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saveExternalLinkValues="0" defaultThemeVersion="166925"/>
  <mc:AlternateContent xmlns:mc="http://schemas.openxmlformats.org/markup-compatibility/2006">
    <mc:Choice Requires="x15">
      <x15ac:absPath xmlns:x15ac="http://schemas.microsoft.com/office/spreadsheetml/2010/11/ac" url="C:\Users\jacob\Downloads\"/>
    </mc:Choice>
  </mc:AlternateContent>
  <xr:revisionPtr revIDLastSave="0" documentId="13_ncr:1_{1231606C-F9A2-421F-BBBA-71FA5E3630A4}" xr6:coauthVersionLast="46" xr6:coauthVersionMax="46" xr10:uidLastSave="{00000000-0000-0000-0000-000000000000}"/>
  <bookViews>
    <workbookView xWindow="-120" yWindow="-120" windowWidth="29040" windowHeight="15840" tabRatio="700" firstSheet="18" activeTab="30" xr2:uid="{7A9B080F-706D-4B41-A1FD-4C71874B47A0}"/>
  </bookViews>
  <sheets>
    <sheet name="Martha McSally" sheetId="8" r:id="rId1"/>
    <sheet name="Mark Kelly" sheetId="11" r:id="rId2"/>
    <sheet name="David Perdue" sheetId="12" r:id="rId3"/>
    <sheet name="Jon Ossoff" sheetId="13" r:id="rId4"/>
    <sheet name="Joni Ernst" sheetId="17" r:id="rId5"/>
    <sheet name="Theresa Greenfield" sheetId="14" r:id="rId6"/>
    <sheet name="Susan Collins" sheetId="15" r:id="rId7"/>
    <sheet name="Sara Gideon" sheetId="16" r:id="rId8"/>
    <sheet name="Gary Peters" sheetId="30" r:id="rId9"/>
    <sheet name="John James" sheetId="29" r:id="rId10"/>
    <sheet name="Tina Smith" sheetId="18" r:id="rId11"/>
    <sheet name="Jason Lewis" sheetId="19" r:id="rId12"/>
    <sheet name="Jeanne Shaheen" sheetId="20" r:id="rId13"/>
    <sheet name="Corky Messner" sheetId="21" r:id="rId14"/>
    <sheet name="Thom Tillis" sheetId="22" r:id="rId15"/>
    <sheet name="Cal Cunningham" sheetId="23" r:id="rId16"/>
    <sheet name="John Cornyn" sheetId="24" r:id="rId17"/>
    <sheet name="MJ Hegar" sheetId="25" r:id="rId18"/>
    <sheet name="Mark Warner" sheetId="26" r:id="rId19"/>
    <sheet name="Daniel Gade" sheetId="27" r:id="rId20"/>
    <sheet name="Table 1" sheetId="1" r:id="rId21"/>
    <sheet name="Table 2" sheetId="2" r:id="rId22"/>
    <sheet name="CODING SHEET" sheetId="3" r:id="rId23"/>
    <sheet name="Table 4" sheetId="4" r:id="rId24"/>
    <sheet name="Table 5" sheetId="7" r:id="rId25"/>
    <sheet name="Table 6" sheetId="5" r:id="rId26"/>
    <sheet name="Table 7" sheetId="6" r:id="rId27"/>
    <sheet name="Table 8" sheetId="32" r:id="rId28"/>
    <sheet name="Table 9" sheetId="33" r:id="rId29"/>
    <sheet name="Distributions" sheetId="35" r:id="rId30"/>
    <sheet name="Engagement Averages" sheetId="36" r:id="rId31"/>
  </sheets>
  <definedNames>
    <definedName name="abortion">'CODING SHEET'!$P$3:$P$21</definedName>
    <definedName name="bipartisan">'CODING SHEET'!$S$3:$S$7</definedName>
    <definedName name="climate">'CODING SHEET'!$O$3:$O$25</definedName>
    <definedName name="covid">'CODING SHEET'!$H$3:$H$15</definedName>
    <definedName name="democrattrigger">'CODING SHEET'!$U$3:$U$32</definedName>
    <definedName name="econineq">'CODING SHEET'!$N$3:$N$15</definedName>
    <definedName name="economy">'CODING SHEET'!$E$3:$E$15</definedName>
    <definedName name="foreign">'CODING SHEET'!$J$3:$J$16</definedName>
    <definedName name="goreign">'CODING SHEET'!$J$3:$J$8</definedName>
    <definedName name="gun">'CODING SHEET'!$K$3:$K$12</definedName>
    <definedName name="healthcare">'CODING SHEET'!$F$3:$F$16</definedName>
    <definedName name="immigration">'CODING SHEET'!$M$3:$M$17</definedName>
    <definedName name="partisanship">'CODING SHEET'!$S$3:$S$19</definedName>
    <definedName name="race">'CODING SHEET'!$L$3:$L$24</definedName>
    <definedName name="republicantrigger">'CODING SHEET'!$T$3:$T$32</definedName>
    <definedName name="supreme">'CODING SHEET'!$G$3:$G$11</definedName>
    <definedName name="trump">'CODING SHEET'!$Q$3:$Q$6</definedName>
    <definedName name="violent">'CODING SHEET'!$I$3:$I$12</definedName>
    <definedName name="voting">'CODING SHEET'!$R$3:$R$13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 i="25" l="1" a="1"/>
  <c r="N2" i="25" s="1"/>
  <c r="E19" i="36"/>
  <c r="E18" i="36"/>
  <c r="E16" i="36"/>
  <c r="E14" i="36"/>
  <c r="E13" i="36"/>
  <c r="E11" i="36"/>
  <c r="E10" i="36"/>
  <c r="E8" i="36"/>
  <c r="E6" i="36"/>
  <c r="E5" i="36"/>
  <c r="E3" i="36"/>
  <c r="B18" i="36"/>
  <c r="B16" i="36"/>
  <c r="B14" i="36"/>
  <c r="B13" i="36"/>
  <c r="B19" i="36"/>
  <c r="D19" i="36"/>
  <c r="D11" i="36"/>
  <c r="D18" i="36"/>
  <c r="D16" i="36"/>
  <c r="D14" i="36"/>
  <c r="D13" i="36"/>
  <c r="D10" i="36"/>
  <c r="D8" i="36"/>
  <c r="D6" i="36"/>
  <c r="D5" i="36"/>
  <c r="D3" i="36"/>
  <c r="B3" i="36"/>
  <c r="B11" i="36" l="1"/>
  <c r="B8" i="36"/>
  <c r="B10" i="36"/>
  <c r="B6" i="36"/>
  <c r="B5" i="36"/>
  <c r="H3" i="36"/>
  <c r="K3" i="36"/>
  <c r="L3" i="36"/>
  <c r="M3" i="36"/>
  <c r="N3" i="36"/>
  <c r="O3" i="36"/>
  <c r="P3" i="36"/>
  <c r="Q3" i="36"/>
  <c r="R3" i="36"/>
  <c r="S3" i="36"/>
  <c r="T3" i="36"/>
  <c r="U3" i="36"/>
  <c r="V3" i="36"/>
  <c r="W3" i="36"/>
  <c r="X3" i="36"/>
  <c r="Y3" i="36"/>
  <c r="Z3" i="36"/>
  <c r="AA3" i="36"/>
  <c r="J3" i="36"/>
  <c r="I3" i="36"/>
  <c r="AA19" i="36"/>
  <c r="AA18" i="36"/>
  <c r="AA17" i="36"/>
  <c r="AA16" i="36"/>
  <c r="AA15" i="36"/>
  <c r="AA14" i="36"/>
  <c r="AA13" i="36"/>
  <c r="AA11" i="36"/>
  <c r="AA10" i="36"/>
  <c r="AA9" i="36"/>
  <c r="AA8" i="36"/>
  <c r="AA7" i="36"/>
  <c r="AA6" i="36"/>
  <c r="AA5" i="36"/>
  <c r="Z19" i="36"/>
  <c r="Z18" i="36"/>
  <c r="Z17" i="36"/>
  <c r="Z16" i="36"/>
  <c r="Z15" i="36"/>
  <c r="Z14" i="36"/>
  <c r="Z13" i="36"/>
  <c r="Z11" i="36"/>
  <c r="Z10" i="36"/>
  <c r="Z9" i="36"/>
  <c r="Z8" i="36"/>
  <c r="Z7" i="36"/>
  <c r="Z6" i="36"/>
  <c r="Z5" i="36"/>
  <c r="Y19" i="36"/>
  <c r="Y18" i="36"/>
  <c r="Y17" i="36"/>
  <c r="Y16" i="36"/>
  <c r="Y15" i="36"/>
  <c r="Y14" i="36"/>
  <c r="Y13" i="36"/>
  <c r="Y11" i="36"/>
  <c r="Y10" i="36"/>
  <c r="Y9" i="36"/>
  <c r="Y8" i="36"/>
  <c r="Y7" i="36"/>
  <c r="Y6" i="36"/>
  <c r="Y5" i="36"/>
  <c r="X19" i="36"/>
  <c r="X18" i="36"/>
  <c r="X17" i="36"/>
  <c r="X16" i="36"/>
  <c r="X15" i="36"/>
  <c r="X14" i="36"/>
  <c r="X13" i="36"/>
  <c r="X11" i="36"/>
  <c r="X10" i="36"/>
  <c r="X9" i="36"/>
  <c r="X8" i="36"/>
  <c r="X7" i="36"/>
  <c r="X6" i="36"/>
  <c r="X5" i="36"/>
  <c r="W19" i="36"/>
  <c r="W18" i="36"/>
  <c r="W17" i="36"/>
  <c r="W16" i="36"/>
  <c r="W15" i="36"/>
  <c r="W14" i="36"/>
  <c r="W13" i="36"/>
  <c r="W11" i="36"/>
  <c r="W10" i="36"/>
  <c r="W9" i="36"/>
  <c r="W8" i="36"/>
  <c r="W7" i="36"/>
  <c r="W6" i="36"/>
  <c r="W5" i="36"/>
  <c r="V19" i="36"/>
  <c r="V18" i="36"/>
  <c r="V17" i="36"/>
  <c r="V16" i="36"/>
  <c r="V15" i="36"/>
  <c r="V14" i="36"/>
  <c r="V13" i="36"/>
  <c r="V11" i="36"/>
  <c r="V10" i="36"/>
  <c r="V9" i="36"/>
  <c r="V8" i="36"/>
  <c r="V7" i="36"/>
  <c r="V6" i="36"/>
  <c r="V5" i="36"/>
  <c r="U19" i="36"/>
  <c r="U18" i="36"/>
  <c r="U17" i="36"/>
  <c r="U16" i="36"/>
  <c r="U15" i="36"/>
  <c r="U14" i="36"/>
  <c r="U13" i="36"/>
  <c r="U11" i="36"/>
  <c r="U10" i="36"/>
  <c r="U9" i="36"/>
  <c r="U8" i="36"/>
  <c r="U7" i="36"/>
  <c r="U6" i="36"/>
  <c r="U5" i="36"/>
  <c r="T19" i="36"/>
  <c r="T18" i="36"/>
  <c r="T17" i="36"/>
  <c r="T16" i="36"/>
  <c r="T15" i="36"/>
  <c r="T14" i="36"/>
  <c r="T13" i="36"/>
  <c r="T11" i="36"/>
  <c r="T10" i="36"/>
  <c r="T9" i="36"/>
  <c r="T8" i="36"/>
  <c r="T7" i="36"/>
  <c r="T6" i="36"/>
  <c r="T5" i="36"/>
  <c r="S19" i="36"/>
  <c r="S18" i="36"/>
  <c r="S17" i="36"/>
  <c r="S16" i="36"/>
  <c r="S15" i="36"/>
  <c r="S14" i="36"/>
  <c r="S13" i="36"/>
  <c r="S11" i="36"/>
  <c r="S10" i="36"/>
  <c r="S9" i="36"/>
  <c r="S8" i="36"/>
  <c r="S7" i="36"/>
  <c r="S6" i="36"/>
  <c r="S5" i="36"/>
  <c r="R19" i="36"/>
  <c r="R18" i="36"/>
  <c r="R17" i="36"/>
  <c r="R16" i="36"/>
  <c r="R15" i="36"/>
  <c r="R14" i="36"/>
  <c r="R13" i="36"/>
  <c r="R11" i="36"/>
  <c r="R10" i="36"/>
  <c r="R9" i="36"/>
  <c r="R8" i="36"/>
  <c r="R7" i="36"/>
  <c r="R6" i="36"/>
  <c r="R5" i="36"/>
  <c r="Q19" i="36"/>
  <c r="Q18" i="36"/>
  <c r="Q17" i="36"/>
  <c r="Q16" i="36"/>
  <c r="Q15" i="36"/>
  <c r="Q14" i="36"/>
  <c r="Q13" i="36"/>
  <c r="Q11" i="36"/>
  <c r="Q10" i="36"/>
  <c r="Q9" i="36"/>
  <c r="Q8" i="36"/>
  <c r="Q7" i="36"/>
  <c r="Q6" i="36"/>
  <c r="Q5" i="36"/>
  <c r="P19" i="36"/>
  <c r="P18" i="36"/>
  <c r="P17" i="36"/>
  <c r="P16" i="36"/>
  <c r="P15" i="36"/>
  <c r="P14" i="36"/>
  <c r="P13" i="36"/>
  <c r="P11" i="36"/>
  <c r="P10" i="36"/>
  <c r="P9" i="36"/>
  <c r="P8" i="36"/>
  <c r="P7" i="36"/>
  <c r="P6" i="36"/>
  <c r="P5" i="36"/>
  <c r="O19" i="36"/>
  <c r="O18" i="36"/>
  <c r="O17" i="36"/>
  <c r="O16" i="36"/>
  <c r="O15" i="36"/>
  <c r="O14" i="36"/>
  <c r="O13" i="36"/>
  <c r="O11" i="36"/>
  <c r="O10" i="36"/>
  <c r="O9" i="36"/>
  <c r="O8" i="36"/>
  <c r="O7" i="36"/>
  <c r="O6" i="36"/>
  <c r="O5" i="36"/>
  <c r="N19" i="36"/>
  <c r="N18" i="36"/>
  <c r="N17" i="36"/>
  <c r="N16" i="36"/>
  <c r="N15" i="36"/>
  <c r="N14" i="36"/>
  <c r="N13" i="36"/>
  <c r="N11" i="36"/>
  <c r="N10" i="36"/>
  <c r="N9" i="36"/>
  <c r="N8" i="36"/>
  <c r="N7" i="36"/>
  <c r="N6" i="36"/>
  <c r="N5" i="36"/>
  <c r="M19" i="36"/>
  <c r="M18" i="36"/>
  <c r="M17" i="36"/>
  <c r="M16" i="36"/>
  <c r="M15" i="36"/>
  <c r="M14" i="36"/>
  <c r="M13" i="36"/>
  <c r="M11" i="36"/>
  <c r="M10" i="36"/>
  <c r="M9" i="36"/>
  <c r="M8" i="36"/>
  <c r="M7" i="36"/>
  <c r="M6" i="36"/>
  <c r="M5" i="36"/>
  <c r="L19" i="36"/>
  <c r="L18" i="36"/>
  <c r="L17" i="36"/>
  <c r="L16" i="36"/>
  <c r="L15" i="36"/>
  <c r="L14" i="36"/>
  <c r="L13" i="36"/>
  <c r="L11" i="36"/>
  <c r="L10" i="36"/>
  <c r="L9" i="36"/>
  <c r="L8" i="36"/>
  <c r="L7" i="36"/>
  <c r="L6" i="36"/>
  <c r="L5" i="36"/>
  <c r="K19" i="36"/>
  <c r="K18" i="36"/>
  <c r="K17" i="36"/>
  <c r="K16" i="36"/>
  <c r="K15" i="36"/>
  <c r="K14" i="36"/>
  <c r="K13" i="36"/>
  <c r="K11" i="36"/>
  <c r="K10" i="36"/>
  <c r="K9" i="36"/>
  <c r="K8" i="36"/>
  <c r="K7" i="36"/>
  <c r="K6" i="36"/>
  <c r="K5" i="36"/>
  <c r="J19" i="36"/>
  <c r="J18" i="36"/>
  <c r="J17" i="36"/>
  <c r="J16" i="36"/>
  <c r="J15" i="36"/>
  <c r="J14" i="36"/>
  <c r="J13" i="36"/>
  <c r="J11" i="36"/>
  <c r="J10" i="36"/>
  <c r="J9" i="36"/>
  <c r="J8" i="36"/>
  <c r="J7" i="36"/>
  <c r="J6" i="36"/>
  <c r="J5" i="36"/>
  <c r="I19" i="36"/>
  <c r="I18" i="36"/>
  <c r="I17" i="36"/>
  <c r="I16" i="36"/>
  <c r="I15" i="36"/>
  <c r="I14" i="36"/>
  <c r="I13" i="36"/>
  <c r="I11" i="36"/>
  <c r="I10" i="36"/>
  <c r="I9" i="36"/>
  <c r="I8" i="36"/>
  <c r="I7" i="36"/>
  <c r="I6" i="36"/>
  <c r="I5" i="36"/>
  <c r="H19" i="36"/>
  <c r="H11" i="36"/>
  <c r="H18" i="36"/>
  <c r="H10" i="36"/>
  <c r="H17" i="36"/>
  <c r="H9" i="36"/>
  <c r="H16" i="36"/>
  <c r="H8" i="36"/>
  <c r="H15" i="36"/>
  <c r="H7" i="36"/>
  <c r="H14" i="36"/>
  <c r="H6" i="36"/>
  <c r="H13" i="36"/>
  <c r="H5" i="36"/>
  <c r="G258" i="15"/>
  <c r="F258" i="15"/>
  <c r="G224" i="14"/>
  <c r="F224" i="14"/>
  <c r="G222" i="17"/>
  <c r="F222" i="17"/>
  <c r="G257" i="13"/>
  <c r="F257" i="13"/>
  <c r="G196" i="12"/>
  <c r="F196" i="12"/>
  <c r="G234" i="11"/>
  <c r="F234" i="11"/>
  <c r="T2" i="27" a="1"/>
  <c r="T2" i="27" s="1"/>
  <c r="T3" i="27" a="1"/>
  <c r="T3" i="27" s="1"/>
  <c r="T4" i="27" a="1"/>
  <c r="T4" i="27" s="1"/>
  <c r="T5" i="27" a="1"/>
  <c r="T5" i="27" s="1"/>
  <c r="T6" i="27" a="1"/>
  <c r="T6" i="27" s="1"/>
  <c r="T7" i="27" a="1"/>
  <c r="T7" i="27" s="1"/>
  <c r="T8" i="27" a="1"/>
  <c r="T8" i="27" s="1"/>
  <c r="T9" i="27" a="1"/>
  <c r="T9" i="27" s="1"/>
  <c r="T10" i="27" a="1"/>
  <c r="T10" i="27" s="1"/>
  <c r="T11" i="27" a="1"/>
  <c r="T11" i="27" s="1"/>
  <c r="T12" i="27" a="1"/>
  <c r="T12" i="27" s="1"/>
  <c r="T13" i="27" a="1"/>
  <c r="T13" i="27" s="1"/>
  <c r="T14" i="27" a="1"/>
  <c r="T14" i="27" s="1"/>
  <c r="T15" i="27" a="1"/>
  <c r="T15" i="27" s="1"/>
  <c r="T16" i="27" a="1"/>
  <c r="T16" i="27" s="1"/>
  <c r="T17" i="27" a="1"/>
  <c r="T17" i="27" s="1"/>
  <c r="T18" i="27" a="1"/>
  <c r="T18" i="27" s="1"/>
  <c r="T19" i="27" a="1"/>
  <c r="T19" i="27" s="1"/>
  <c r="T20" i="27" a="1"/>
  <c r="T20" i="27" s="1"/>
  <c r="T21" i="27" a="1"/>
  <c r="T21" i="27" s="1"/>
  <c r="T22" i="27" a="1"/>
  <c r="T22" i="27" s="1"/>
  <c r="T23" i="27" a="1"/>
  <c r="T23" i="27" s="1"/>
  <c r="T24" i="27" a="1"/>
  <c r="T24" i="27" s="1"/>
  <c r="T25" i="27" a="1"/>
  <c r="T25" i="27" s="1"/>
  <c r="T26" i="27" a="1"/>
  <c r="T26" i="27" s="1"/>
  <c r="T27" i="27" a="1"/>
  <c r="T27" i="27" s="1"/>
  <c r="T28" i="27" a="1"/>
  <c r="T28" i="27" s="1"/>
  <c r="T29" i="27" a="1"/>
  <c r="T29" i="27" s="1"/>
  <c r="T30" i="27" a="1"/>
  <c r="T30" i="27" s="1"/>
  <c r="T31" i="27" a="1"/>
  <c r="T31" i="27" s="1"/>
  <c r="T32" i="27" a="1"/>
  <c r="T32" i="27" s="1"/>
  <c r="T33" i="27" a="1"/>
  <c r="T33" i="27" s="1"/>
  <c r="T34" i="27" a="1"/>
  <c r="T34" i="27" s="1"/>
  <c r="T35" i="27" a="1"/>
  <c r="T35" i="27" s="1"/>
  <c r="T36" i="27" a="1"/>
  <c r="T36" i="27" s="1"/>
  <c r="T37" i="27" a="1"/>
  <c r="T37" i="27" s="1"/>
  <c r="T38" i="27" a="1"/>
  <c r="T38" i="27" s="1"/>
  <c r="T39" i="27" a="1"/>
  <c r="T39" i="27" s="1"/>
  <c r="T40" i="27" a="1"/>
  <c r="T40" i="27" s="1"/>
  <c r="T41" i="27" a="1"/>
  <c r="T41" i="27" s="1"/>
  <c r="T42" i="27" a="1"/>
  <c r="T42" i="27" s="1"/>
  <c r="T43" i="27" a="1"/>
  <c r="T43" i="27" s="1"/>
  <c r="T44" i="27" a="1"/>
  <c r="T44" i="27" s="1"/>
  <c r="T45" i="27" a="1"/>
  <c r="T45" i="27" s="1"/>
  <c r="T46" i="27" a="1"/>
  <c r="T46" i="27" s="1"/>
  <c r="T47" i="27" a="1"/>
  <c r="T47" i="27" s="1"/>
  <c r="T48" i="27" a="1"/>
  <c r="T48" i="27" s="1"/>
  <c r="T49" i="27" a="1"/>
  <c r="T49" i="27" s="1"/>
  <c r="T50" i="27" a="1"/>
  <c r="T50" i="27" s="1"/>
  <c r="T51" i="27" a="1"/>
  <c r="T51" i="27" s="1"/>
  <c r="T52" i="27" a="1"/>
  <c r="T52" i="27" s="1"/>
  <c r="T53" i="27" a="1"/>
  <c r="T53" i="27" s="1"/>
  <c r="T54" i="27" a="1"/>
  <c r="T54" i="27" s="1"/>
  <c r="T55" i="27" a="1"/>
  <c r="T55" i="27" s="1"/>
  <c r="T56" i="27" a="1"/>
  <c r="T56" i="27" s="1"/>
  <c r="T57" i="27" a="1"/>
  <c r="T57" i="27" s="1"/>
  <c r="T58" i="27" a="1"/>
  <c r="T58" i="27" s="1"/>
  <c r="T59" i="27" a="1"/>
  <c r="T59" i="27" s="1"/>
  <c r="T60" i="27" a="1"/>
  <c r="T60" i="27" s="1"/>
  <c r="T61" i="27" a="1"/>
  <c r="T61" i="27" s="1"/>
  <c r="T62" i="27" a="1"/>
  <c r="T62" i="27" s="1"/>
  <c r="T63" i="27" a="1"/>
  <c r="T63" i="27" s="1"/>
  <c r="T64" i="27" a="1"/>
  <c r="T64" i="27" s="1"/>
  <c r="T65" i="27" a="1"/>
  <c r="T65" i="27" s="1"/>
  <c r="T66" i="27" a="1"/>
  <c r="T66" i="27" s="1"/>
  <c r="T67" i="27" a="1"/>
  <c r="T67" i="27" s="1"/>
  <c r="T68" i="27" a="1"/>
  <c r="T68" i="27" s="1"/>
  <c r="T69" i="27" a="1"/>
  <c r="T69" i="27" s="1"/>
  <c r="T70" i="27" a="1"/>
  <c r="T70" i="27" s="1"/>
  <c r="T71" i="27" a="1"/>
  <c r="T71" i="27" s="1"/>
  <c r="T72" i="27" a="1"/>
  <c r="T72" i="27" s="1"/>
  <c r="T73" i="27" a="1"/>
  <c r="T73" i="27" s="1"/>
  <c r="T74" i="27" a="1"/>
  <c r="T74" i="27" s="1"/>
  <c r="T75" i="27" a="1"/>
  <c r="T75" i="27" s="1"/>
  <c r="T76" i="27" a="1"/>
  <c r="T76" i="27" s="1"/>
  <c r="T77" i="27" a="1"/>
  <c r="T77" i="27" s="1"/>
  <c r="T78" i="27" a="1"/>
  <c r="T78" i="27" s="1"/>
  <c r="T79" i="27" a="1"/>
  <c r="T79" i="27" s="1"/>
  <c r="T80" i="27" a="1"/>
  <c r="T80" i="27" s="1"/>
  <c r="T81" i="27" a="1"/>
  <c r="T81" i="27" s="1"/>
  <c r="T82" i="27" a="1"/>
  <c r="T82" i="27" s="1"/>
  <c r="T83" i="27" a="1"/>
  <c r="T83" i="27" s="1"/>
  <c r="T84" i="27" a="1"/>
  <c r="T84" i="27" s="1"/>
  <c r="T85" i="27" a="1"/>
  <c r="T85" i="27" s="1"/>
  <c r="T86" i="27" a="1"/>
  <c r="T86" i="27" s="1"/>
  <c r="T87" i="27" a="1"/>
  <c r="T87" i="27" s="1"/>
  <c r="T88" i="27" a="1"/>
  <c r="T88" i="27" s="1"/>
  <c r="T89" i="27" a="1"/>
  <c r="T89" i="27" s="1"/>
  <c r="T90" i="27" a="1"/>
  <c r="T90" i="27" s="1"/>
  <c r="T91" i="27" a="1"/>
  <c r="T91" i="27" s="1"/>
  <c r="T92" i="27" a="1"/>
  <c r="T92" i="27" s="1"/>
  <c r="T93" i="27" a="1"/>
  <c r="T93" i="27" s="1"/>
  <c r="T94" i="27" a="1"/>
  <c r="T94" i="27" s="1"/>
  <c r="T95" i="27" a="1"/>
  <c r="T95" i="27" s="1"/>
  <c r="T96" i="27" a="1"/>
  <c r="T96" i="27" s="1"/>
  <c r="T97" i="27" a="1"/>
  <c r="T97" i="27" s="1"/>
  <c r="T98" i="27" a="1"/>
  <c r="T98" i="27" s="1"/>
  <c r="T99" i="27" a="1"/>
  <c r="T99" i="27" s="1"/>
  <c r="T100" i="27" a="1"/>
  <c r="T100" i="27" s="1"/>
  <c r="T101" i="27" a="1"/>
  <c r="T101" i="27" s="1"/>
  <c r="T102" i="27" a="1"/>
  <c r="T102" i="27" s="1"/>
  <c r="T103" i="27" a="1"/>
  <c r="T103" i="27" s="1"/>
  <c r="T104" i="27" a="1"/>
  <c r="T104" i="27" s="1"/>
  <c r="T105" i="27" a="1"/>
  <c r="T105" i="27" s="1"/>
  <c r="T106" i="27" a="1"/>
  <c r="T106" i="27" s="1"/>
  <c r="T107" i="27" a="1"/>
  <c r="T107" i="27" s="1"/>
  <c r="T108" i="27" a="1"/>
  <c r="T108" i="27" s="1"/>
  <c r="T109" i="27" a="1"/>
  <c r="T109" i="27" s="1"/>
  <c r="T110" i="27" a="1"/>
  <c r="T110" i="27" s="1"/>
  <c r="T111" i="27" a="1"/>
  <c r="T111" i="27" s="1"/>
  <c r="T112" i="27" a="1"/>
  <c r="T112" i="27" s="1"/>
  <c r="T113" i="27" a="1"/>
  <c r="T113" i="27" s="1"/>
  <c r="T114" i="27" a="1"/>
  <c r="T114" i="27" s="1"/>
  <c r="T115" i="27" a="1"/>
  <c r="T115" i="27" s="1"/>
  <c r="T116" i="27" a="1"/>
  <c r="T116" i="27" s="1"/>
  <c r="T117" i="27" a="1"/>
  <c r="T117" i="27" s="1"/>
  <c r="T118" i="27" a="1"/>
  <c r="T118" i="27" s="1"/>
  <c r="T119" i="27" a="1"/>
  <c r="T119" i="27" s="1"/>
  <c r="T120" i="27" a="1"/>
  <c r="T120" i="27" s="1"/>
  <c r="T121" i="27" a="1"/>
  <c r="T121" i="27" s="1"/>
  <c r="T122" i="27" a="1"/>
  <c r="T122" i="27" s="1"/>
  <c r="T123" i="27" a="1"/>
  <c r="T123" i="27" s="1"/>
  <c r="T124" i="27" a="1"/>
  <c r="T124" i="27" s="1"/>
  <c r="T125" i="27" a="1"/>
  <c r="T125" i="27" s="1"/>
  <c r="T126" i="27" a="1"/>
  <c r="T126" i="27" s="1"/>
  <c r="T127" i="27" a="1"/>
  <c r="T127" i="27" s="1"/>
  <c r="T128" i="27" a="1"/>
  <c r="T128" i="27" s="1"/>
  <c r="T129" i="27" a="1"/>
  <c r="T129" i="27" s="1"/>
  <c r="T130" i="27" a="1"/>
  <c r="T130" i="27" s="1"/>
  <c r="T131" i="27" a="1"/>
  <c r="T131" i="27" s="1"/>
  <c r="T132" i="27" a="1"/>
  <c r="T132" i="27" s="1"/>
  <c r="T133" i="27" a="1"/>
  <c r="T133" i="27" s="1"/>
  <c r="T134" i="27" a="1"/>
  <c r="T134" i="27" s="1"/>
  <c r="T135" i="27" a="1"/>
  <c r="T135" i="27" s="1"/>
  <c r="T136" i="27" a="1"/>
  <c r="T136" i="27" s="1"/>
  <c r="T137" i="27" a="1"/>
  <c r="T137" i="27" s="1"/>
  <c r="T138" i="27" a="1"/>
  <c r="T138" i="27" s="1"/>
  <c r="T139" i="27" a="1"/>
  <c r="T139" i="27" s="1"/>
  <c r="T140" i="27" a="1"/>
  <c r="T140" i="27" s="1"/>
  <c r="T141" i="27" a="1"/>
  <c r="T141" i="27" s="1"/>
  <c r="T142" i="27" a="1"/>
  <c r="T142" i="27" s="1"/>
  <c r="T143" i="27" a="1"/>
  <c r="T143" i="27" s="1"/>
  <c r="T144" i="27" a="1"/>
  <c r="T144" i="27" s="1"/>
  <c r="T145" i="27" a="1"/>
  <c r="T145" i="27" s="1"/>
  <c r="T146" i="27" a="1"/>
  <c r="T146" i="27" s="1"/>
  <c r="T147" i="27" a="1"/>
  <c r="T147" i="27" s="1"/>
  <c r="T148" i="27" a="1"/>
  <c r="T148" i="27" s="1"/>
  <c r="T149" i="27" a="1"/>
  <c r="T149" i="27" s="1"/>
  <c r="T150" i="27" a="1"/>
  <c r="T150" i="27" s="1"/>
  <c r="T151" i="27" a="1"/>
  <c r="T151" i="27" s="1"/>
  <c r="T152" i="27" a="1"/>
  <c r="T152" i="27" s="1"/>
  <c r="T153" i="27" a="1"/>
  <c r="T153" i="27" s="1"/>
  <c r="T154" i="27" a="1"/>
  <c r="T154" i="27" s="1"/>
  <c r="T2" i="26" a="1"/>
  <c r="T2" i="26" s="1"/>
  <c r="T3" i="26" a="1"/>
  <c r="T3" i="26" s="1"/>
  <c r="T4" i="26" a="1"/>
  <c r="T4" i="26" s="1"/>
  <c r="T5" i="26" a="1"/>
  <c r="T5" i="26" s="1"/>
  <c r="T6" i="26" a="1"/>
  <c r="T6" i="26" s="1"/>
  <c r="T7" i="26" a="1"/>
  <c r="T7" i="26" s="1"/>
  <c r="T8" i="26" a="1"/>
  <c r="T8" i="26" s="1"/>
  <c r="T9" i="26" a="1"/>
  <c r="T9" i="26" s="1"/>
  <c r="T10" i="26" a="1"/>
  <c r="T10" i="26" s="1"/>
  <c r="T11" i="26" a="1"/>
  <c r="T11" i="26" s="1"/>
  <c r="T12" i="26" a="1"/>
  <c r="T12" i="26" s="1"/>
  <c r="T13" i="26" a="1"/>
  <c r="T13" i="26" s="1"/>
  <c r="T14" i="26" a="1"/>
  <c r="T14" i="26" s="1"/>
  <c r="T15" i="26" a="1"/>
  <c r="T15" i="26" s="1"/>
  <c r="T16" i="26" a="1"/>
  <c r="T16" i="26" s="1"/>
  <c r="T17" i="26" a="1"/>
  <c r="T17" i="26" s="1"/>
  <c r="T18" i="26" a="1"/>
  <c r="T18" i="26" s="1"/>
  <c r="T19" i="26" a="1"/>
  <c r="T19" i="26" s="1"/>
  <c r="T20" i="26" a="1"/>
  <c r="T20" i="26" s="1"/>
  <c r="T21" i="26" a="1"/>
  <c r="T21" i="26" s="1"/>
  <c r="T22" i="26" a="1"/>
  <c r="T22" i="26" s="1"/>
  <c r="T23" i="26" a="1"/>
  <c r="T23" i="26" s="1"/>
  <c r="T24" i="26" a="1"/>
  <c r="T24" i="26" s="1"/>
  <c r="T25" i="26" a="1"/>
  <c r="T25" i="26" s="1"/>
  <c r="T26" i="26" a="1"/>
  <c r="T26" i="26" s="1"/>
  <c r="T27" i="26" a="1"/>
  <c r="T27" i="26" s="1"/>
  <c r="T28" i="26" a="1"/>
  <c r="T28" i="26" s="1"/>
  <c r="T29" i="26" a="1"/>
  <c r="T29" i="26" s="1"/>
  <c r="T30" i="26" a="1"/>
  <c r="T30" i="26" s="1"/>
  <c r="T31" i="26" a="1"/>
  <c r="T31" i="26" s="1"/>
  <c r="T32" i="26" a="1"/>
  <c r="T32" i="26" s="1"/>
  <c r="T33" i="26" a="1"/>
  <c r="T33" i="26" s="1"/>
  <c r="T34" i="26" a="1"/>
  <c r="T34" i="26" s="1"/>
  <c r="T35" i="26" a="1"/>
  <c r="T35" i="26" s="1"/>
  <c r="T36" i="26" a="1"/>
  <c r="T36" i="26" s="1"/>
  <c r="T37" i="26" a="1"/>
  <c r="T37" i="26" s="1"/>
  <c r="T38" i="26" a="1"/>
  <c r="T38" i="26" s="1"/>
  <c r="T39" i="26" a="1"/>
  <c r="T39" i="26" s="1"/>
  <c r="T40" i="26" a="1"/>
  <c r="T40" i="26" s="1"/>
  <c r="T41" i="26" a="1"/>
  <c r="T41" i="26" s="1"/>
  <c r="T42" i="26" a="1"/>
  <c r="T42" i="26" s="1"/>
  <c r="T43" i="26" a="1"/>
  <c r="T43" i="26" s="1"/>
  <c r="T44" i="26" a="1"/>
  <c r="T44" i="26" s="1"/>
  <c r="T45" i="26" a="1"/>
  <c r="T45" i="26" s="1"/>
  <c r="T46" i="26" a="1"/>
  <c r="T46" i="26" s="1"/>
  <c r="T47" i="26" a="1"/>
  <c r="T47" i="26" s="1"/>
  <c r="T48" i="26" a="1"/>
  <c r="T48" i="26" s="1"/>
  <c r="T49" i="26" a="1"/>
  <c r="T49" i="26" s="1"/>
  <c r="T50" i="26" a="1"/>
  <c r="T50" i="26" s="1"/>
  <c r="T51" i="26" a="1"/>
  <c r="T51" i="26" s="1"/>
  <c r="T52" i="26" a="1"/>
  <c r="T52" i="26" s="1"/>
  <c r="T53" i="26" a="1"/>
  <c r="T53" i="26" s="1"/>
  <c r="T54" i="26" a="1"/>
  <c r="T54" i="26" s="1"/>
  <c r="T55" i="26" a="1"/>
  <c r="T55" i="26" s="1"/>
  <c r="T56" i="26" a="1"/>
  <c r="T56" i="26" s="1"/>
  <c r="T57" i="26" a="1"/>
  <c r="T57" i="26" s="1"/>
  <c r="T58" i="26" a="1"/>
  <c r="T58" i="26" s="1"/>
  <c r="T59" i="26" a="1"/>
  <c r="T59" i="26" s="1"/>
  <c r="T60" i="26" a="1"/>
  <c r="T60" i="26" s="1"/>
  <c r="T61" i="26" a="1"/>
  <c r="T61" i="26" s="1"/>
  <c r="T62" i="26" a="1"/>
  <c r="T62" i="26" s="1"/>
  <c r="T63" i="26" a="1"/>
  <c r="T63" i="26" s="1"/>
  <c r="T64" i="26" a="1"/>
  <c r="T64" i="26" s="1"/>
  <c r="T65" i="26" a="1"/>
  <c r="T65" i="26" s="1"/>
  <c r="T66" i="26" a="1"/>
  <c r="T66" i="26" s="1"/>
  <c r="T67" i="26" a="1"/>
  <c r="T67" i="26" s="1"/>
  <c r="T68" i="26" a="1"/>
  <c r="T68" i="26" s="1"/>
  <c r="T69" i="26" a="1"/>
  <c r="T69" i="26" s="1"/>
  <c r="T70" i="26" a="1"/>
  <c r="T70" i="26" s="1"/>
  <c r="T71" i="26" a="1"/>
  <c r="T71" i="26" s="1"/>
  <c r="T72" i="26" a="1"/>
  <c r="T72" i="26" s="1"/>
  <c r="T73" i="26" a="1"/>
  <c r="T73" i="26" s="1"/>
  <c r="T74" i="26" a="1"/>
  <c r="T74" i="26" s="1"/>
  <c r="T75" i="26" a="1"/>
  <c r="T75" i="26" s="1"/>
  <c r="T76" i="26" a="1"/>
  <c r="T76" i="26" s="1"/>
  <c r="T77" i="26" a="1"/>
  <c r="T77" i="26" s="1"/>
  <c r="T78" i="26" a="1"/>
  <c r="T78" i="26" s="1"/>
  <c r="T79" i="26" a="1"/>
  <c r="T79" i="26" s="1"/>
  <c r="T80" i="26" a="1"/>
  <c r="T80" i="26" s="1"/>
  <c r="T81" i="26" a="1"/>
  <c r="T81" i="26" s="1"/>
  <c r="T82" i="26" a="1"/>
  <c r="T82" i="26" s="1"/>
  <c r="T83" i="26" a="1"/>
  <c r="T83" i="26" s="1"/>
  <c r="T84" i="26" a="1"/>
  <c r="T84" i="26" s="1"/>
  <c r="T85" i="26" a="1"/>
  <c r="T85" i="26" s="1"/>
  <c r="T86" i="26" a="1"/>
  <c r="T86" i="26" s="1"/>
  <c r="T87" i="26" a="1"/>
  <c r="T87" i="26" s="1"/>
  <c r="T88" i="26" a="1"/>
  <c r="T88" i="26" s="1"/>
  <c r="T89" i="26" a="1"/>
  <c r="T89" i="26" s="1"/>
  <c r="T90" i="26" a="1"/>
  <c r="T90" i="26" s="1"/>
  <c r="T91" i="26" a="1"/>
  <c r="T91" i="26" s="1"/>
  <c r="T92" i="26" a="1"/>
  <c r="T92" i="26" s="1"/>
  <c r="T93" i="26" a="1"/>
  <c r="T93" i="26" s="1"/>
  <c r="T94" i="26" a="1"/>
  <c r="T94" i="26" s="1"/>
  <c r="T95" i="26" a="1"/>
  <c r="T95" i="26" s="1"/>
  <c r="T96" i="26" a="1"/>
  <c r="T96" i="26" s="1"/>
  <c r="T97" i="26" a="1"/>
  <c r="T97" i="26" s="1"/>
  <c r="T98" i="26" a="1"/>
  <c r="T98" i="26" s="1"/>
  <c r="T99" i="26" a="1"/>
  <c r="T99" i="26" s="1"/>
  <c r="T100" i="26" a="1"/>
  <c r="T100" i="26" s="1"/>
  <c r="T101" i="26" a="1"/>
  <c r="T101" i="26" s="1"/>
  <c r="T102" i="26" a="1"/>
  <c r="T102" i="26" s="1"/>
  <c r="T103" i="26" a="1"/>
  <c r="T103" i="26" s="1"/>
  <c r="T104" i="26" a="1"/>
  <c r="T104" i="26" s="1"/>
  <c r="T105" i="26" a="1"/>
  <c r="T105" i="26" s="1"/>
  <c r="T106" i="26" a="1"/>
  <c r="T106" i="26" s="1"/>
  <c r="T107" i="26" a="1"/>
  <c r="T107" i="26" s="1"/>
  <c r="T108" i="26" a="1"/>
  <c r="T108" i="26" s="1"/>
  <c r="T109" i="26" a="1"/>
  <c r="T109" i="26" s="1"/>
  <c r="T110" i="26" a="1"/>
  <c r="T110" i="26" s="1"/>
  <c r="T111" i="26" a="1"/>
  <c r="T111" i="26" s="1"/>
  <c r="T112" i="26" a="1"/>
  <c r="T112" i="26" s="1"/>
  <c r="T113" i="26" a="1"/>
  <c r="T113" i="26" s="1"/>
  <c r="T114" i="26" a="1"/>
  <c r="T114" i="26" s="1"/>
  <c r="T115" i="26" a="1"/>
  <c r="T115" i="26" s="1"/>
  <c r="T116" i="26" a="1"/>
  <c r="T116" i="26" s="1"/>
  <c r="T117" i="26" a="1"/>
  <c r="T117" i="26" s="1"/>
  <c r="T118" i="26" a="1"/>
  <c r="T118" i="26" s="1"/>
  <c r="T119" i="26" a="1"/>
  <c r="T119" i="26" s="1"/>
  <c r="T120" i="26" a="1"/>
  <c r="T120" i="26" s="1"/>
  <c r="T121" i="26" a="1"/>
  <c r="T121" i="26" s="1"/>
  <c r="T122" i="26" a="1"/>
  <c r="T122" i="26" s="1"/>
  <c r="T123" i="26" a="1"/>
  <c r="T123" i="26" s="1"/>
  <c r="T124" i="26" a="1"/>
  <c r="T124" i="26" s="1"/>
  <c r="T125" i="26" a="1"/>
  <c r="T125" i="26" s="1"/>
  <c r="T126" i="26" a="1"/>
  <c r="T126" i="26" s="1"/>
  <c r="T2" i="25" a="1"/>
  <c r="T2" i="25" s="1"/>
  <c r="T3" i="25" a="1"/>
  <c r="T3" i="25" s="1"/>
  <c r="T4" i="25" a="1"/>
  <c r="T4" i="25" s="1"/>
  <c r="T5" i="25" a="1"/>
  <c r="T5" i="25" s="1"/>
  <c r="T6" i="25" a="1"/>
  <c r="T6" i="25" s="1"/>
  <c r="T7" i="25" a="1"/>
  <c r="T7" i="25" s="1"/>
  <c r="T8" i="25" a="1"/>
  <c r="T8" i="25" s="1"/>
  <c r="T9" i="25" a="1"/>
  <c r="T9" i="25" s="1"/>
  <c r="T10" i="25" a="1"/>
  <c r="T10" i="25" s="1"/>
  <c r="T11" i="25" a="1"/>
  <c r="T11" i="25" s="1"/>
  <c r="T12" i="25" a="1"/>
  <c r="T12" i="25" s="1"/>
  <c r="T13" i="25" a="1"/>
  <c r="T13" i="25" s="1"/>
  <c r="T14" i="25" a="1"/>
  <c r="T14" i="25" s="1"/>
  <c r="T15" i="25" a="1"/>
  <c r="T15" i="25" s="1"/>
  <c r="T16" i="25" a="1"/>
  <c r="T16" i="25" s="1"/>
  <c r="T17" i="25" a="1"/>
  <c r="T17" i="25" s="1"/>
  <c r="T18" i="25" a="1"/>
  <c r="T18" i="25" s="1"/>
  <c r="T19" i="25" a="1"/>
  <c r="T19" i="25" s="1"/>
  <c r="T20" i="25" a="1"/>
  <c r="T20" i="25" s="1"/>
  <c r="T21" i="25" a="1"/>
  <c r="T21" i="25" s="1"/>
  <c r="T22" i="25" a="1"/>
  <c r="T22" i="25" s="1"/>
  <c r="T23" i="25" a="1"/>
  <c r="T23" i="25" s="1"/>
  <c r="T24" i="25" a="1"/>
  <c r="T24" i="25" s="1"/>
  <c r="T25" i="25" a="1"/>
  <c r="T25" i="25" s="1"/>
  <c r="T26" i="25" a="1"/>
  <c r="T26" i="25" s="1"/>
  <c r="T27" i="25" a="1"/>
  <c r="T27" i="25" s="1"/>
  <c r="T28" i="25" a="1"/>
  <c r="T28" i="25" s="1"/>
  <c r="T29" i="25" a="1"/>
  <c r="T29" i="25" s="1"/>
  <c r="T30" i="25" a="1"/>
  <c r="T30" i="25" s="1"/>
  <c r="T31" i="25" a="1"/>
  <c r="T31" i="25" s="1"/>
  <c r="T32" i="25" a="1"/>
  <c r="T32" i="25" s="1"/>
  <c r="T33" i="25" a="1"/>
  <c r="T33" i="25" s="1"/>
  <c r="T34" i="25" a="1"/>
  <c r="T34" i="25" s="1"/>
  <c r="T35" i="25" a="1"/>
  <c r="T35" i="25" s="1"/>
  <c r="T36" i="25" a="1"/>
  <c r="T36" i="25" s="1"/>
  <c r="T37" i="25" a="1"/>
  <c r="T37" i="25" s="1"/>
  <c r="T38" i="25" a="1"/>
  <c r="T38" i="25" s="1"/>
  <c r="T39" i="25" a="1"/>
  <c r="T39" i="25" s="1"/>
  <c r="T40" i="25" a="1"/>
  <c r="T40" i="25" s="1"/>
  <c r="T41" i="25" a="1"/>
  <c r="T41" i="25" s="1"/>
  <c r="T42" i="25" a="1"/>
  <c r="T42" i="25" s="1"/>
  <c r="T43" i="25" a="1"/>
  <c r="T43" i="25" s="1"/>
  <c r="T44" i="25" a="1"/>
  <c r="T44" i="25" s="1"/>
  <c r="T45" i="25" a="1"/>
  <c r="T45" i="25" s="1"/>
  <c r="T46" i="25" a="1"/>
  <c r="T46" i="25" s="1"/>
  <c r="T47" i="25" a="1"/>
  <c r="T47" i="25" s="1"/>
  <c r="T48" i="25" a="1"/>
  <c r="T48" i="25" s="1"/>
  <c r="T49" i="25" a="1"/>
  <c r="T49" i="25" s="1"/>
  <c r="T50" i="25" a="1"/>
  <c r="T50" i="25" s="1"/>
  <c r="T51" i="25" a="1"/>
  <c r="T51" i="25" s="1"/>
  <c r="T52" i="25" a="1"/>
  <c r="T52" i="25" s="1"/>
  <c r="T53" i="25" a="1"/>
  <c r="T53" i="25" s="1"/>
  <c r="T54" i="25" a="1"/>
  <c r="T54" i="25" s="1"/>
  <c r="T55" i="25" a="1"/>
  <c r="T55" i="25" s="1"/>
  <c r="T56" i="25" a="1"/>
  <c r="T56" i="25" s="1"/>
  <c r="T57" i="25" a="1"/>
  <c r="T57" i="25" s="1"/>
  <c r="T58" i="25" a="1"/>
  <c r="T58" i="25" s="1"/>
  <c r="T59" i="25" a="1"/>
  <c r="T59" i="25" s="1"/>
  <c r="T60" i="25" a="1"/>
  <c r="T60" i="25" s="1"/>
  <c r="T61" i="25" a="1"/>
  <c r="T61" i="25" s="1"/>
  <c r="T62" i="25" a="1"/>
  <c r="T62" i="25" s="1"/>
  <c r="T63" i="25" a="1"/>
  <c r="T63" i="25" s="1"/>
  <c r="T64" i="25" a="1"/>
  <c r="T64" i="25" s="1"/>
  <c r="T65" i="25" a="1"/>
  <c r="T65" i="25" s="1"/>
  <c r="T66" i="25" a="1"/>
  <c r="T66" i="25" s="1"/>
  <c r="T67" i="25" a="1"/>
  <c r="T67" i="25" s="1"/>
  <c r="T68" i="25" a="1"/>
  <c r="T68" i="25" s="1"/>
  <c r="T69" i="25" a="1"/>
  <c r="T69" i="25" s="1"/>
  <c r="T70" i="25" a="1"/>
  <c r="T70" i="25" s="1"/>
  <c r="T71" i="25" a="1"/>
  <c r="T71" i="25" s="1"/>
  <c r="T72" i="25" a="1"/>
  <c r="T72" i="25" s="1"/>
  <c r="T73" i="25" a="1"/>
  <c r="T73" i="25" s="1"/>
  <c r="T74" i="25" a="1"/>
  <c r="T74" i="25" s="1"/>
  <c r="T75" i="25" a="1"/>
  <c r="T75" i="25" s="1"/>
  <c r="T76" i="25" a="1"/>
  <c r="T76" i="25" s="1"/>
  <c r="T77" i="25" a="1"/>
  <c r="T77" i="25" s="1"/>
  <c r="T78" i="25" a="1"/>
  <c r="T78" i="25" s="1"/>
  <c r="T79" i="25" a="1"/>
  <c r="T79" i="25" s="1"/>
  <c r="T80" i="25" a="1"/>
  <c r="T80" i="25" s="1"/>
  <c r="T81" i="25" a="1"/>
  <c r="T81" i="25" s="1"/>
  <c r="T82" i="25" a="1"/>
  <c r="T82" i="25" s="1"/>
  <c r="T83" i="25" a="1"/>
  <c r="T83" i="25" s="1"/>
  <c r="T84" i="25" a="1"/>
  <c r="T84" i="25" s="1"/>
  <c r="T85" i="25" a="1"/>
  <c r="T85" i="25" s="1"/>
  <c r="T86" i="25" a="1"/>
  <c r="T86" i="25" s="1"/>
  <c r="T87" i="25" a="1"/>
  <c r="T87" i="25" s="1"/>
  <c r="T88" i="25" a="1"/>
  <c r="T88" i="25" s="1"/>
  <c r="T89" i="25" a="1"/>
  <c r="T89" i="25" s="1"/>
  <c r="T90" i="25" a="1"/>
  <c r="T90" i="25" s="1"/>
  <c r="T91" i="25" a="1"/>
  <c r="T91" i="25" s="1"/>
  <c r="T92" i="25" a="1"/>
  <c r="T92" i="25" s="1"/>
  <c r="T93" i="25" a="1"/>
  <c r="T93" i="25" s="1"/>
  <c r="T94" i="25" a="1"/>
  <c r="T94" i="25" s="1"/>
  <c r="T95" i="25" a="1"/>
  <c r="T95" i="25" s="1"/>
  <c r="T96" i="25" a="1"/>
  <c r="T96" i="25" s="1"/>
  <c r="T97" i="25" a="1"/>
  <c r="T97" i="25" s="1"/>
  <c r="T98" i="25" a="1"/>
  <c r="T98" i="25" s="1"/>
  <c r="T99" i="25" a="1"/>
  <c r="T99" i="25" s="1"/>
  <c r="T100" i="25" a="1"/>
  <c r="T100" i="25" s="1"/>
  <c r="T101" i="25" a="1"/>
  <c r="T101" i="25" s="1"/>
  <c r="T102" i="25" a="1"/>
  <c r="T102" i="25" s="1"/>
  <c r="T103" i="25" a="1"/>
  <c r="T103" i="25" s="1"/>
  <c r="T104" i="25" a="1"/>
  <c r="T104" i="25" s="1"/>
  <c r="T105" i="25" a="1"/>
  <c r="T105" i="25" s="1"/>
  <c r="T106" i="25" a="1"/>
  <c r="T106" i="25" s="1"/>
  <c r="T107" i="25" a="1"/>
  <c r="T107" i="25" s="1"/>
  <c r="T108" i="25" a="1"/>
  <c r="T108" i="25" s="1"/>
  <c r="T109" i="25" a="1"/>
  <c r="T109" i="25" s="1"/>
  <c r="T110" i="25" a="1"/>
  <c r="T110" i="25" s="1"/>
  <c r="T111" i="25" a="1"/>
  <c r="T111" i="25" s="1"/>
  <c r="T112" i="25" a="1"/>
  <c r="T112" i="25" s="1"/>
  <c r="T113" i="25" a="1"/>
  <c r="T113" i="25" s="1"/>
  <c r="T114" i="25" a="1"/>
  <c r="T114" i="25" s="1"/>
  <c r="T115" i="25" a="1"/>
  <c r="T115" i="25" s="1"/>
  <c r="T116" i="25" a="1"/>
  <c r="T116" i="25" s="1"/>
  <c r="T117" i="25" a="1"/>
  <c r="T117" i="25" s="1"/>
  <c r="T118" i="25" a="1"/>
  <c r="T118" i="25" s="1"/>
  <c r="T119" i="25" a="1"/>
  <c r="T119" i="25" s="1"/>
  <c r="T120" i="25" a="1"/>
  <c r="T120" i="25" s="1"/>
  <c r="T121" i="25" a="1"/>
  <c r="T121" i="25" s="1"/>
  <c r="T122" i="25" a="1"/>
  <c r="T122" i="25" s="1"/>
  <c r="T123" i="25" a="1"/>
  <c r="T123" i="25" s="1"/>
  <c r="T124" i="25" a="1"/>
  <c r="T124" i="25" s="1"/>
  <c r="T125" i="25" a="1"/>
  <c r="T125" i="25" s="1"/>
  <c r="T126" i="25" a="1"/>
  <c r="T126" i="25" s="1"/>
  <c r="T127" i="25" a="1"/>
  <c r="T127" i="25" s="1"/>
  <c r="T128" i="25" a="1"/>
  <c r="T128" i="25" s="1"/>
  <c r="T129" i="25" a="1"/>
  <c r="T129" i="25" s="1"/>
  <c r="T130" i="25" a="1"/>
  <c r="T130" i="25" s="1"/>
  <c r="T131" i="25" a="1"/>
  <c r="T131" i="25" s="1"/>
  <c r="T132" i="25" a="1"/>
  <c r="T132" i="25" s="1"/>
  <c r="T133" i="25" a="1"/>
  <c r="T133" i="25" s="1"/>
  <c r="T134" i="25" a="1"/>
  <c r="T134" i="25" s="1"/>
  <c r="T135" i="25" a="1"/>
  <c r="T135" i="25" s="1"/>
  <c r="T136" i="25" a="1"/>
  <c r="T136" i="25" s="1"/>
  <c r="T137" i="25" a="1"/>
  <c r="T137" i="25" s="1"/>
  <c r="T138" i="25" a="1"/>
  <c r="T138" i="25" s="1"/>
  <c r="T139" i="25" a="1"/>
  <c r="T139" i="25" s="1"/>
  <c r="T140" i="25" a="1"/>
  <c r="T140" i="25" s="1"/>
  <c r="T141" i="25" a="1"/>
  <c r="T141" i="25" s="1"/>
  <c r="T142" i="25" a="1"/>
  <c r="T142" i="25" s="1"/>
  <c r="T143" i="25" a="1"/>
  <c r="T143" i="25" s="1"/>
  <c r="T144" i="25" a="1"/>
  <c r="T144" i="25" s="1"/>
  <c r="T145" i="25" a="1"/>
  <c r="T145" i="25" s="1"/>
  <c r="T146" i="25" a="1"/>
  <c r="T146" i="25" s="1"/>
  <c r="T147" i="25" a="1"/>
  <c r="T147" i="25" s="1"/>
  <c r="T148" i="25" a="1"/>
  <c r="T148" i="25" s="1"/>
  <c r="T149" i="25" a="1"/>
  <c r="T149" i="25" s="1"/>
  <c r="T150" i="25" a="1"/>
  <c r="T150" i="25" s="1"/>
  <c r="T151" i="25" a="1"/>
  <c r="T151" i="25" s="1"/>
  <c r="T152" i="25" a="1"/>
  <c r="T152" i="25" s="1"/>
  <c r="T153" i="25" a="1"/>
  <c r="T153" i="25" s="1"/>
  <c r="T154" i="25" a="1"/>
  <c r="T154" i="25" s="1"/>
  <c r="T155" i="25" a="1"/>
  <c r="T155" i="25" s="1"/>
  <c r="T156" i="25" a="1"/>
  <c r="T156" i="25" s="1"/>
  <c r="T157" i="25" a="1"/>
  <c r="T157" i="25" s="1"/>
  <c r="T158" i="25" a="1"/>
  <c r="T158" i="25" s="1"/>
  <c r="T159" i="25" a="1"/>
  <c r="T159" i="25" s="1"/>
  <c r="T160" i="25" a="1"/>
  <c r="T160" i="25" s="1"/>
  <c r="T161" i="25" a="1"/>
  <c r="T161" i="25" s="1"/>
  <c r="T162" i="25" a="1"/>
  <c r="T162" i="25" s="1"/>
  <c r="T163" i="25" a="1"/>
  <c r="T163" i="25" s="1"/>
  <c r="T164" i="25" a="1"/>
  <c r="T164" i="25" s="1"/>
  <c r="T165" i="25" a="1"/>
  <c r="T165" i="25" s="1"/>
  <c r="T166" i="25" a="1"/>
  <c r="T166" i="25" s="1"/>
  <c r="T167" i="25" a="1"/>
  <c r="T167" i="25" s="1"/>
  <c r="T168" i="25" a="1"/>
  <c r="T168" i="25" s="1"/>
  <c r="T169" i="25" a="1"/>
  <c r="T169" i="25" s="1"/>
  <c r="T170" i="25" a="1"/>
  <c r="T170" i="25" s="1"/>
  <c r="T171" i="25" a="1"/>
  <c r="T171" i="25" s="1"/>
  <c r="T172" i="25" a="1"/>
  <c r="T172" i="25" s="1"/>
  <c r="T173" i="25" a="1"/>
  <c r="T173" i="25" s="1"/>
  <c r="T174" i="25" a="1"/>
  <c r="T174" i="25" s="1"/>
  <c r="T175" i="25" a="1"/>
  <c r="T175" i="25" s="1"/>
  <c r="T176" i="25" a="1"/>
  <c r="T176" i="25" s="1"/>
  <c r="T177" i="25" a="1"/>
  <c r="T177" i="25" s="1"/>
  <c r="T178" i="25" a="1"/>
  <c r="T178" i="25" s="1"/>
  <c r="T179" i="25" a="1"/>
  <c r="T179" i="25" s="1"/>
  <c r="T180" i="25" a="1"/>
  <c r="T180" i="25" s="1"/>
  <c r="T181" i="25" a="1"/>
  <c r="T181" i="25" s="1"/>
  <c r="T182" i="25" a="1"/>
  <c r="T182" i="25" s="1"/>
  <c r="T183" i="25" a="1"/>
  <c r="T183" i="25" s="1"/>
  <c r="T184" i="25" a="1"/>
  <c r="T184" i="25" s="1"/>
  <c r="T185" i="25" a="1"/>
  <c r="T185" i="25" s="1"/>
  <c r="T186" i="25" a="1"/>
  <c r="T186" i="25" s="1"/>
  <c r="T187" i="25" a="1"/>
  <c r="T187" i="25" s="1"/>
  <c r="T188" i="25" a="1"/>
  <c r="T188" i="25" s="1"/>
  <c r="T189" i="25" a="1"/>
  <c r="T189" i="25" s="1"/>
  <c r="T190" i="25" a="1"/>
  <c r="T190" i="25" s="1"/>
  <c r="T191" i="25" a="1"/>
  <c r="T191" i="25" s="1"/>
  <c r="T192" i="25" a="1"/>
  <c r="T192" i="25" s="1"/>
  <c r="T193" i="25" a="1"/>
  <c r="T193" i="25" s="1"/>
  <c r="T194" i="25" a="1"/>
  <c r="T194" i="25" s="1"/>
  <c r="T195" i="25" a="1"/>
  <c r="T195" i="25" s="1"/>
  <c r="T196" i="25" a="1"/>
  <c r="T196" i="25" s="1"/>
  <c r="T197" i="25" a="1"/>
  <c r="T197" i="25" s="1"/>
  <c r="T198" i="25" a="1"/>
  <c r="T198" i="25" s="1"/>
  <c r="T199" i="25" a="1"/>
  <c r="T199" i="25" s="1"/>
  <c r="T200" i="25" a="1"/>
  <c r="T200" i="25" s="1"/>
  <c r="T201" i="25" a="1"/>
  <c r="T201" i="25" s="1"/>
  <c r="T202" i="25" a="1"/>
  <c r="T202" i="25" s="1"/>
  <c r="T203" i="25" a="1"/>
  <c r="T203" i="25" s="1"/>
  <c r="T204" i="25" a="1"/>
  <c r="T204" i="25" s="1"/>
  <c r="T205" i="25" a="1"/>
  <c r="T205" i="25" s="1"/>
  <c r="T206" i="25" a="1"/>
  <c r="T206" i="25" s="1"/>
  <c r="T207" i="25" a="1"/>
  <c r="T207" i="25" s="1"/>
  <c r="T208" i="25" a="1"/>
  <c r="T208" i="25" s="1"/>
  <c r="T209" i="25" a="1"/>
  <c r="T209" i="25" s="1"/>
  <c r="T210" i="25" a="1"/>
  <c r="T210" i="25" s="1"/>
  <c r="T211" i="25" a="1"/>
  <c r="T211" i="25" s="1"/>
  <c r="T212" i="25" a="1"/>
  <c r="T212" i="25" s="1"/>
  <c r="T213" i="25" a="1"/>
  <c r="T213" i="25" s="1"/>
  <c r="T214" i="25" a="1"/>
  <c r="T214" i="25" s="1"/>
  <c r="T215" i="25" a="1"/>
  <c r="T215" i="25" s="1"/>
  <c r="T216" i="25" a="1"/>
  <c r="T216" i="25" s="1"/>
  <c r="T217" i="25" a="1"/>
  <c r="T217" i="25" s="1"/>
  <c r="T218" i="25" a="1"/>
  <c r="T218" i="25" s="1"/>
  <c r="T219" i="25" a="1"/>
  <c r="T219" i="25" s="1"/>
  <c r="T220" i="25" a="1"/>
  <c r="T220" i="25" s="1"/>
  <c r="T221" i="25" a="1"/>
  <c r="T221" i="25" s="1"/>
  <c r="T222" i="25" a="1"/>
  <c r="T222" i="25" s="1"/>
  <c r="T223" i="25" a="1"/>
  <c r="T223" i="25" s="1"/>
  <c r="T224" i="25" a="1"/>
  <c r="T224" i="25" s="1"/>
  <c r="T225" i="25" a="1"/>
  <c r="T225" i="25" s="1"/>
  <c r="T226" i="25" a="1"/>
  <c r="T226" i="25" s="1"/>
  <c r="T227" i="25" a="1"/>
  <c r="T227" i="25" s="1"/>
  <c r="T228" i="25" a="1"/>
  <c r="T228" i="25" s="1"/>
  <c r="T229" i="25" a="1"/>
  <c r="T229" i="25" s="1"/>
  <c r="T230" i="25" a="1"/>
  <c r="T230" i="25" s="1"/>
  <c r="T231" i="25" a="1"/>
  <c r="T231" i="25" s="1"/>
  <c r="T232" i="25" a="1"/>
  <c r="T232" i="25" s="1"/>
  <c r="T233" i="25" a="1"/>
  <c r="T233" i="25" s="1"/>
  <c r="T234" i="25" a="1"/>
  <c r="T234" i="25" s="1"/>
  <c r="T235" i="25" a="1"/>
  <c r="T235" i="25" s="1"/>
  <c r="T236" i="25" a="1"/>
  <c r="T236" i="25" s="1"/>
  <c r="T237" i="25" a="1"/>
  <c r="T237" i="25" s="1"/>
  <c r="T238" i="25" a="1"/>
  <c r="T238" i="25" s="1"/>
  <c r="T239" i="25" a="1"/>
  <c r="T239" i="25" s="1"/>
  <c r="T240" i="25" a="1"/>
  <c r="T240" i="25" s="1"/>
  <c r="T241" i="25" a="1"/>
  <c r="T241" i="25" s="1"/>
  <c r="T242" i="25" a="1"/>
  <c r="T242" i="25" s="1"/>
  <c r="T243" i="25" a="1"/>
  <c r="T243" i="25" s="1"/>
  <c r="T244" i="25" a="1"/>
  <c r="T244" i="25" s="1"/>
  <c r="T245" i="25" a="1"/>
  <c r="T245" i="25" s="1"/>
  <c r="T246" i="25" a="1"/>
  <c r="T246" i="25" s="1"/>
  <c r="T247" i="25" a="1"/>
  <c r="T247" i="25" s="1"/>
  <c r="T248" i="25" a="1"/>
  <c r="T248" i="25" s="1"/>
  <c r="T249" i="25" a="1"/>
  <c r="T249" i="25" s="1"/>
  <c r="T250" i="25" a="1"/>
  <c r="T250" i="25" s="1"/>
  <c r="T251" i="25" a="1"/>
  <c r="T251" i="25" s="1"/>
  <c r="T252" i="25" a="1"/>
  <c r="T252" i="25" s="1"/>
  <c r="T253" i="25" a="1"/>
  <c r="T253" i="25" s="1"/>
  <c r="T254" i="25" a="1"/>
  <c r="T254" i="25" s="1"/>
  <c r="T255" i="25" a="1"/>
  <c r="T255" i="25" s="1"/>
  <c r="T256" i="25" a="1"/>
  <c r="T256" i="25" s="1"/>
  <c r="T257" i="25" a="1"/>
  <c r="T257" i="25" s="1"/>
  <c r="T258" i="25" a="1"/>
  <c r="T258" i="25" s="1"/>
  <c r="T259" i="25" a="1"/>
  <c r="T259" i="25" s="1"/>
  <c r="T260" i="25" a="1"/>
  <c r="T260" i="25" s="1"/>
  <c r="T261" i="25" a="1"/>
  <c r="T261" i="25" s="1"/>
  <c r="T262" i="25" a="1"/>
  <c r="T262" i="25" s="1"/>
  <c r="T263" i="25" a="1"/>
  <c r="T263" i="25" s="1"/>
  <c r="T264" i="25" a="1"/>
  <c r="T264" i="25" s="1"/>
  <c r="T265" i="25" a="1"/>
  <c r="T265" i="25" s="1"/>
  <c r="T266" i="25" a="1"/>
  <c r="T266" i="25" s="1"/>
  <c r="T267" i="25" a="1"/>
  <c r="T267" i="25" s="1"/>
  <c r="T268" i="25" a="1"/>
  <c r="T268" i="25" s="1"/>
  <c r="T269" i="25" a="1"/>
  <c r="T269" i="25" s="1"/>
  <c r="T270" i="25" a="1"/>
  <c r="T270" i="25" s="1"/>
  <c r="T271" i="25" a="1"/>
  <c r="T271" i="25" s="1"/>
  <c r="T272" i="25" a="1"/>
  <c r="T272" i="25" s="1"/>
  <c r="T273" i="25" a="1"/>
  <c r="T273" i="25" s="1"/>
  <c r="T274" i="25" a="1"/>
  <c r="T274" i="25" s="1"/>
  <c r="T275" i="25" a="1"/>
  <c r="T275" i="25" s="1"/>
  <c r="T276" i="25" a="1"/>
  <c r="T276" i="25" s="1"/>
  <c r="T277" i="25" a="1"/>
  <c r="T277" i="25" s="1"/>
  <c r="T278" i="25" a="1"/>
  <c r="T278" i="25" s="1"/>
  <c r="T279" i="25" a="1"/>
  <c r="T279" i="25" s="1"/>
  <c r="T280" i="25" a="1"/>
  <c r="T280" i="25" s="1"/>
  <c r="T281" i="25" a="1"/>
  <c r="T281" i="25" s="1"/>
  <c r="T282" i="25" a="1"/>
  <c r="T282" i="25" s="1"/>
  <c r="T283" i="25" a="1"/>
  <c r="T283" i="25" s="1"/>
  <c r="T284" i="25" a="1"/>
  <c r="T284" i="25" s="1"/>
  <c r="T285" i="25" a="1"/>
  <c r="T285" i="25" s="1"/>
  <c r="T286" i="25" a="1"/>
  <c r="T286" i="25" s="1"/>
  <c r="T287" i="25" a="1"/>
  <c r="T287" i="25" s="1"/>
  <c r="T288" i="25" a="1"/>
  <c r="T288" i="25" s="1"/>
  <c r="T289" i="25" a="1"/>
  <c r="T289" i="25" s="1"/>
  <c r="T290" i="25" a="1"/>
  <c r="T290" i="25" s="1"/>
  <c r="T291" i="25" a="1"/>
  <c r="T291" i="25" s="1"/>
  <c r="T292" i="25" a="1"/>
  <c r="T292" i="25" s="1"/>
  <c r="T293" i="25" a="1"/>
  <c r="T293" i="25" s="1"/>
  <c r="T294" i="25" a="1"/>
  <c r="T294" i="25" s="1"/>
  <c r="T295" i="25" a="1"/>
  <c r="T295" i="25" s="1"/>
  <c r="T296" i="25" a="1"/>
  <c r="T296" i="25" s="1"/>
  <c r="T297" i="25" a="1"/>
  <c r="T297" i="25" s="1"/>
  <c r="T298" i="25" a="1"/>
  <c r="T298" i="25" s="1"/>
  <c r="T299" i="25" a="1"/>
  <c r="T299" i="25" s="1"/>
  <c r="T300" i="25" a="1"/>
  <c r="T300" i="25" s="1"/>
  <c r="T301" i="25" a="1"/>
  <c r="T301" i="25" s="1"/>
  <c r="T302" i="25" a="1"/>
  <c r="T302" i="25" s="1"/>
  <c r="T303" i="25" a="1"/>
  <c r="T303" i="25" s="1"/>
  <c r="T304" i="25" a="1"/>
  <c r="T304" i="25" s="1"/>
  <c r="T305" i="25" a="1"/>
  <c r="T305" i="25" s="1"/>
  <c r="T306" i="25" a="1"/>
  <c r="T306" i="25" s="1"/>
  <c r="T307" i="25" a="1"/>
  <c r="T307" i="25" s="1"/>
  <c r="T308" i="25" a="1"/>
  <c r="T308" i="25" s="1"/>
  <c r="T309" i="25" a="1"/>
  <c r="T309" i="25" s="1"/>
  <c r="T310" i="25" a="1"/>
  <c r="T310" i="25" s="1"/>
  <c r="T311" i="25" a="1"/>
  <c r="T311" i="25" s="1"/>
  <c r="T312" i="25" a="1"/>
  <c r="T312" i="25" s="1"/>
  <c r="T313" i="25" a="1"/>
  <c r="T313" i="25" s="1"/>
  <c r="T314" i="25" a="1"/>
  <c r="T314" i="25" s="1"/>
  <c r="T315" i="25" a="1"/>
  <c r="T315" i="25" s="1"/>
  <c r="T316" i="25" a="1"/>
  <c r="T316" i="25" s="1"/>
  <c r="T317" i="25" a="1"/>
  <c r="T317" i="25" s="1"/>
  <c r="T318" i="25" a="1"/>
  <c r="T318" i="25" s="1"/>
  <c r="T319" i="25" a="1"/>
  <c r="T319" i="25" s="1"/>
  <c r="T320" i="25" a="1"/>
  <c r="T320" i="25" s="1"/>
  <c r="T321" i="25" a="1"/>
  <c r="T321" i="25" s="1"/>
  <c r="T322" i="25" a="1"/>
  <c r="T322" i="25" s="1"/>
  <c r="T323" i="25" a="1"/>
  <c r="T323" i="25" s="1"/>
  <c r="T324" i="25" a="1"/>
  <c r="T324" i="25" s="1"/>
  <c r="T325" i="25" a="1"/>
  <c r="T325" i="25" s="1"/>
  <c r="T326" i="25" a="1"/>
  <c r="T326" i="25" s="1"/>
  <c r="T327" i="25" a="1"/>
  <c r="T327" i="25" s="1"/>
  <c r="T328" i="25" a="1"/>
  <c r="T328" i="25" s="1"/>
  <c r="T329" i="25" a="1"/>
  <c r="T329" i="25" s="1"/>
  <c r="T330" i="25" a="1"/>
  <c r="T330" i="25" s="1"/>
  <c r="T331" i="25" a="1"/>
  <c r="T331" i="25" s="1"/>
  <c r="T332" i="25" a="1"/>
  <c r="T332" i="25" s="1"/>
  <c r="T333" i="25" a="1"/>
  <c r="T333" i="25" s="1"/>
  <c r="T334" i="25" a="1"/>
  <c r="T334" i="25" s="1"/>
  <c r="T335" i="25" a="1"/>
  <c r="T335" i="25" s="1"/>
  <c r="T336" i="25" a="1"/>
  <c r="T336" i="25" s="1"/>
  <c r="T337" i="25" a="1"/>
  <c r="T337" i="25" s="1"/>
  <c r="T338" i="25" a="1"/>
  <c r="T338" i="25" s="1"/>
  <c r="T339" i="25" a="1"/>
  <c r="T339" i="25" s="1"/>
  <c r="T340" i="25" a="1"/>
  <c r="T340" i="25" s="1"/>
  <c r="T341" i="25" a="1"/>
  <c r="T341" i="25" s="1"/>
  <c r="T342" i="25" a="1"/>
  <c r="T342" i="25" s="1"/>
  <c r="T343" i="25" a="1"/>
  <c r="T343" i="25" s="1"/>
  <c r="T344" i="25" a="1"/>
  <c r="T344" i="25" s="1"/>
  <c r="T345" i="25" a="1"/>
  <c r="T345" i="25" s="1"/>
  <c r="T346" i="25" a="1"/>
  <c r="T346" i="25" s="1"/>
  <c r="T347" i="25" a="1"/>
  <c r="T347" i="25" s="1"/>
  <c r="T348" i="25" a="1"/>
  <c r="T348" i="25" s="1"/>
  <c r="T349" i="25" a="1"/>
  <c r="T349" i="25" s="1"/>
  <c r="T350" i="25" a="1"/>
  <c r="T350" i="25" s="1"/>
  <c r="T351" i="25" a="1"/>
  <c r="T351" i="25" s="1"/>
  <c r="T352" i="25" a="1"/>
  <c r="T352" i="25" s="1"/>
  <c r="T353" i="25" a="1"/>
  <c r="T353" i="25" s="1"/>
  <c r="T354" i="25" a="1"/>
  <c r="T354" i="25" s="1"/>
  <c r="T355" i="25" a="1"/>
  <c r="T355" i="25" s="1"/>
  <c r="T2" i="24" a="1"/>
  <c r="T2" i="24" s="1"/>
  <c r="T3" i="24" a="1"/>
  <c r="T3" i="24" s="1"/>
  <c r="T4" i="24" a="1"/>
  <c r="T4" i="24" s="1"/>
  <c r="T5" i="24" a="1"/>
  <c r="T5" i="24" s="1"/>
  <c r="T6" i="24" a="1"/>
  <c r="T6" i="24" s="1"/>
  <c r="T7" i="24" a="1"/>
  <c r="T7" i="24" s="1"/>
  <c r="T8" i="24" a="1"/>
  <c r="T8" i="24" s="1"/>
  <c r="T9" i="24" a="1"/>
  <c r="T9" i="24" s="1"/>
  <c r="T10" i="24" a="1"/>
  <c r="T10" i="24" s="1"/>
  <c r="T11" i="24" a="1"/>
  <c r="T11" i="24" s="1"/>
  <c r="T12" i="24" a="1"/>
  <c r="T12" i="24" s="1"/>
  <c r="T13" i="24" a="1"/>
  <c r="T13" i="24" s="1"/>
  <c r="T14" i="24" a="1"/>
  <c r="T14" i="24" s="1"/>
  <c r="T15" i="24" a="1"/>
  <c r="T15" i="24" s="1"/>
  <c r="T16" i="24" a="1"/>
  <c r="T16" i="24" s="1"/>
  <c r="T17" i="24" a="1"/>
  <c r="T17" i="24" s="1"/>
  <c r="T18" i="24" a="1"/>
  <c r="T18" i="24" s="1"/>
  <c r="T19" i="24" a="1"/>
  <c r="T19" i="24" s="1"/>
  <c r="T20" i="24" a="1"/>
  <c r="T20" i="24" s="1"/>
  <c r="T21" i="24" a="1"/>
  <c r="T21" i="24" s="1"/>
  <c r="T22" i="24" a="1"/>
  <c r="T22" i="24" s="1"/>
  <c r="T23" i="24" a="1"/>
  <c r="T23" i="24" s="1"/>
  <c r="T24" i="24" a="1"/>
  <c r="T24" i="24" s="1"/>
  <c r="T25" i="24" a="1"/>
  <c r="T25" i="24" s="1"/>
  <c r="T26" i="24" a="1"/>
  <c r="T26" i="24" s="1"/>
  <c r="T27" i="24" a="1"/>
  <c r="T27" i="24" s="1"/>
  <c r="T28" i="24" a="1"/>
  <c r="T28" i="24" s="1"/>
  <c r="T29" i="24" a="1"/>
  <c r="T29" i="24" s="1"/>
  <c r="T30" i="24" a="1"/>
  <c r="T30" i="24" s="1"/>
  <c r="T31" i="24" a="1"/>
  <c r="T31" i="24" s="1"/>
  <c r="T32" i="24" a="1"/>
  <c r="T32" i="24" s="1"/>
  <c r="T33" i="24" a="1"/>
  <c r="T33" i="24" s="1"/>
  <c r="T34" i="24" a="1"/>
  <c r="T34" i="24" s="1"/>
  <c r="T35" i="24" a="1"/>
  <c r="T35" i="24" s="1"/>
  <c r="T36" i="24" a="1"/>
  <c r="T36" i="24" s="1"/>
  <c r="T37" i="24" a="1"/>
  <c r="T37" i="24" s="1"/>
  <c r="T38" i="24" a="1"/>
  <c r="T38" i="24" s="1"/>
  <c r="T39" i="24" a="1"/>
  <c r="T39" i="24" s="1"/>
  <c r="T40" i="24" a="1"/>
  <c r="T40" i="24" s="1"/>
  <c r="T41" i="24" a="1"/>
  <c r="T41" i="24" s="1"/>
  <c r="T42" i="24" a="1"/>
  <c r="T42" i="24" s="1"/>
  <c r="T43" i="24" a="1"/>
  <c r="T43" i="24" s="1"/>
  <c r="T44" i="24" a="1"/>
  <c r="T44" i="24" s="1"/>
  <c r="T45" i="24" a="1"/>
  <c r="T45" i="24" s="1"/>
  <c r="T46" i="24" a="1"/>
  <c r="T46" i="24" s="1"/>
  <c r="T47" i="24" a="1"/>
  <c r="T47" i="24" s="1"/>
  <c r="T48" i="24" a="1"/>
  <c r="T48" i="24" s="1"/>
  <c r="T49" i="24" a="1"/>
  <c r="T49" i="24" s="1"/>
  <c r="T50" i="24" a="1"/>
  <c r="T50" i="24" s="1"/>
  <c r="T51" i="24" a="1"/>
  <c r="T51" i="24" s="1"/>
  <c r="T52" i="24" a="1"/>
  <c r="T52" i="24" s="1"/>
  <c r="T53" i="24" a="1"/>
  <c r="T53" i="24" s="1"/>
  <c r="T54" i="24" a="1"/>
  <c r="T54" i="24" s="1"/>
  <c r="T55" i="24" a="1"/>
  <c r="T55" i="24" s="1"/>
  <c r="T56" i="24" a="1"/>
  <c r="T56" i="24" s="1"/>
  <c r="T57" i="24" a="1"/>
  <c r="T57" i="24" s="1"/>
  <c r="T58" i="24" a="1"/>
  <c r="T58" i="24" s="1"/>
  <c r="T59" i="24" a="1"/>
  <c r="T59" i="24" s="1"/>
  <c r="T60" i="24" a="1"/>
  <c r="T60" i="24" s="1"/>
  <c r="T61" i="24" a="1"/>
  <c r="T61" i="24" s="1"/>
  <c r="T62" i="24" a="1"/>
  <c r="T62" i="24" s="1"/>
  <c r="T63" i="24" a="1"/>
  <c r="T63" i="24" s="1"/>
  <c r="T64" i="24" a="1"/>
  <c r="T64" i="24" s="1"/>
  <c r="T65" i="24" a="1"/>
  <c r="T65" i="24" s="1"/>
  <c r="T66" i="24" a="1"/>
  <c r="T66" i="24" s="1"/>
  <c r="T67" i="24" a="1"/>
  <c r="T67" i="24" s="1"/>
  <c r="T68" i="24" a="1"/>
  <c r="T68" i="24" s="1"/>
  <c r="T69" i="24" a="1"/>
  <c r="T69" i="24" s="1"/>
  <c r="T70" i="24" a="1"/>
  <c r="T70" i="24" s="1"/>
  <c r="T71" i="24" a="1"/>
  <c r="T71" i="24" s="1"/>
  <c r="T72" i="24" a="1"/>
  <c r="T72" i="24" s="1"/>
  <c r="T73" i="24" a="1"/>
  <c r="T73" i="24" s="1"/>
  <c r="T74" i="24" a="1"/>
  <c r="T74" i="24" s="1"/>
  <c r="T75" i="24" a="1"/>
  <c r="T75" i="24" s="1"/>
  <c r="T76" i="24" a="1"/>
  <c r="T76" i="24" s="1"/>
  <c r="T77" i="24" a="1"/>
  <c r="T77" i="24" s="1"/>
  <c r="T78" i="24" a="1"/>
  <c r="T78" i="24" s="1"/>
  <c r="T79" i="24" a="1"/>
  <c r="T79" i="24" s="1"/>
  <c r="T80" i="24" a="1"/>
  <c r="T80" i="24" s="1"/>
  <c r="T81" i="24" a="1"/>
  <c r="T81" i="24" s="1"/>
  <c r="T82" i="24" a="1"/>
  <c r="T82" i="24" s="1"/>
  <c r="T83" i="24" a="1"/>
  <c r="T83" i="24" s="1"/>
  <c r="T84" i="24" a="1"/>
  <c r="T84" i="24" s="1"/>
  <c r="T85" i="24" a="1"/>
  <c r="T85" i="24" s="1"/>
  <c r="T86" i="24" a="1"/>
  <c r="T86" i="24" s="1"/>
  <c r="T87" i="24" a="1"/>
  <c r="T87" i="24" s="1"/>
  <c r="T88" i="24" a="1"/>
  <c r="T88" i="24" s="1"/>
  <c r="T89" i="24" a="1"/>
  <c r="T89" i="24" s="1"/>
  <c r="T90" i="24" a="1"/>
  <c r="T90" i="24" s="1"/>
  <c r="T91" i="24" a="1"/>
  <c r="T91" i="24" s="1"/>
  <c r="T92" i="24" a="1"/>
  <c r="T92" i="24" s="1"/>
  <c r="T93" i="24" a="1"/>
  <c r="T93" i="24" s="1"/>
  <c r="T94" i="24" a="1"/>
  <c r="T94" i="24" s="1"/>
  <c r="T95" i="24" a="1"/>
  <c r="T95" i="24" s="1"/>
  <c r="T96" i="24" a="1"/>
  <c r="T96" i="24" s="1"/>
  <c r="T97" i="24" a="1"/>
  <c r="T97" i="24" s="1"/>
  <c r="T98" i="24" a="1"/>
  <c r="T98" i="24" s="1"/>
  <c r="T99" i="24" a="1"/>
  <c r="T99" i="24" s="1"/>
  <c r="T100" i="24" a="1"/>
  <c r="T100" i="24" s="1"/>
  <c r="T101" i="24" a="1"/>
  <c r="T101" i="24" s="1"/>
  <c r="T102" i="24" a="1"/>
  <c r="T102" i="24" s="1"/>
  <c r="T103" i="24" a="1"/>
  <c r="T103" i="24" s="1"/>
  <c r="T104" i="24" a="1"/>
  <c r="T104" i="24" s="1"/>
  <c r="T105" i="24" a="1"/>
  <c r="T105" i="24" s="1"/>
  <c r="T106" i="24" a="1"/>
  <c r="T106" i="24" s="1"/>
  <c r="T107" i="24" a="1"/>
  <c r="T107" i="24" s="1"/>
  <c r="T108" i="24" a="1"/>
  <c r="T108" i="24" s="1"/>
  <c r="T109" i="24" a="1"/>
  <c r="T109" i="24" s="1"/>
  <c r="T110" i="24" a="1"/>
  <c r="T110" i="24" s="1"/>
  <c r="T111" i="24" a="1"/>
  <c r="T111" i="24" s="1"/>
  <c r="T112" i="24" a="1"/>
  <c r="T112" i="24" s="1"/>
  <c r="T113" i="24" a="1"/>
  <c r="T113" i="24" s="1"/>
  <c r="T114" i="24" a="1"/>
  <c r="T114" i="24" s="1"/>
  <c r="T115" i="24" a="1"/>
  <c r="T115" i="24" s="1"/>
  <c r="T116" i="24" a="1"/>
  <c r="T116" i="24" s="1"/>
  <c r="T117" i="24" a="1"/>
  <c r="T117" i="24" s="1"/>
  <c r="T118" i="24" a="1"/>
  <c r="T118" i="24" s="1"/>
  <c r="T119" i="24" a="1"/>
  <c r="T119" i="24" s="1"/>
  <c r="T120" i="24" a="1"/>
  <c r="T120" i="24" s="1"/>
  <c r="T121" i="24" a="1"/>
  <c r="T121" i="24" s="1"/>
  <c r="T122" i="24" a="1"/>
  <c r="T122" i="24" s="1"/>
  <c r="T123" i="24" a="1"/>
  <c r="T123" i="24" s="1"/>
  <c r="T124" i="24" a="1"/>
  <c r="T124" i="24" s="1"/>
  <c r="T125" i="24" a="1"/>
  <c r="T125" i="24" s="1"/>
  <c r="T126" i="24" a="1"/>
  <c r="T126" i="24" s="1"/>
  <c r="T127" i="24" a="1"/>
  <c r="T127" i="24" s="1"/>
  <c r="T128" i="24" a="1"/>
  <c r="T128" i="24" s="1"/>
  <c r="T129" i="24" a="1"/>
  <c r="T129" i="24" s="1"/>
  <c r="T130" i="24" a="1"/>
  <c r="T130" i="24" s="1"/>
  <c r="T131" i="24" a="1"/>
  <c r="T131" i="24" s="1"/>
  <c r="T132" i="24" a="1"/>
  <c r="T132" i="24" s="1"/>
  <c r="T133" i="24" a="1"/>
  <c r="T133" i="24" s="1"/>
  <c r="T134" i="24" a="1"/>
  <c r="T134" i="24" s="1"/>
  <c r="T135" i="24" a="1"/>
  <c r="T135" i="24" s="1"/>
  <c r="T136" i="24" a="1"/>
  <c r="T136" i="24" s="1"/>
  <c r="T137" i="24" a="1"/>
  <c r="T137" i="24" s="1"/>
  <c r="T138" i="24" a="1"/>
  <c r="T138" i="24" s="1"/>
  <c r="T139" i="24" a="1"/>
  <c r="T139" i="24" s="1"/>
  <c r="T140" i="24" a="1"/>
  <c r="T140" i="24" s="1"/>
  <c r="T141" i="24" a="1"/>
  <c r="T141" i="24" s="1"/>
  <c r="T142" i="24" a="1"/>
  <c r="T142" i="24" s="1"/>
  <c r="T143" i="24" a="1"/>
  <c r="T143" i="24" s="1"/>
  <c r="T144" i="24" a="1"/>
  <c r="T144" i="24" s="1"/>
  <c r="T145" i="24" a="1"/>
  <c r="T145" i="24" s="1"/>
  <c r="T146" i="24" a="1"/>
  <c r="T146" i="24" s="1"/>
  <c r="T147" i="24" a="1"/>
  <c r="T147" i="24" s="1"/>
  <c r="T148" i="24" a="1"/>
  <c r="T148" i="24" s="1"/>
  <c r="T149" i="24" a="1"/>
  <c r="T149" i="24" s="1"/>
  <c r="T150" i="24" a="1"/>
  <c r="T150" i="24" s="1"/>
  <c r="T151" i="24" a="1"/>
  <c r="T151" i="24" s="1"/>
  <c r="T152" i="24" a="1"/>
  <c r="T152" i="24" s="1"/>
  <c r="T153" i="24" a="1"/>
  <c r="T153" i="24" s="1"/>
  <c r="T154" i="24" a="1"/>
  <c r="T154" i="24" s="1"/>
  <c r="T155" i="24" a="1"/>
  <c r="T155" i="24" s="1"/>
  <c r="T156" i="24" a="1"/>
  <c r="T156" i="24" s="1"/>
  <c r="T157" i="24" a="1"/>
  <c r="T157" i="24" s="1"/>
  <c r="T158" i="24" a="1"/>
  <c r="T158" i="24" s="1"/>
  <c r="T159" i="24" a="1"/>
  <c r="T159" i="24" s="1"/>
  <c r="T160" i="24" a="1"/>
  <c r="T160" i="24" s="1"/>
  <c r="T161" i="24" a="1"/>
  <c r="T161" i="24" s="1"/>
  <c r="T162" i="24" a="1"/>
  <c r="T162" i="24" s="1"/>
  <c r="T163" i="24" a="1"/>
  <c r="T163" i="24" s="1"/>
  <c r="T164" i="24" a="1"/>
  <c r="T164" i="24" s="1"/>
  <c r="T165" i="24" a="1"/>
  <c r="T165" i="24" s="1"/>
  <c r="T166" i="24" a="1"/>
  <c r="T166" i="24" s="1"/>
  <c r="T167" i="24" a="1"/>
  <c r="T167" i="24" s="1"/>
  <c r="T168" i="24" a="1"/>
  <c r="T168" i="24" s="1"/>
  <c r="T169" i="24" a="1"/>
  <c r="T169" i="24" s="1"/>
  <c r="T170" i="24" a="1"/>
  <c r="T170" i="24" s="1"/>
  <c r="T171" i="24" a="1"/>
  <c r="T171" i="24" s="1"/>
  <c r="T172" i="24" a="1"/>
  <c r="T172" i="24" s="1"/>
  <c r="T173" i="24" a="1"/>
  <c r="T173" i="24" s="1"/>
  <c r="T174" i="24" a="1"/>
  <c r="T174" i="24" s="1"/>
  <c r="T175" i="24" a="1"/>
  <c r="T175" i="24" s="1"/>
  <c r="T176" i="24" a="1"/>
  <c r="T176" i="24" s="1"/>
  <c r="T177" i="24" a="1"/>
  <c r="T177" i="24" s="1"/>
  <c r="T178" i="24" a="1"/>
  <c r="T178" i="24" s="1"/>
  <c r="T179" i="24" a="1"/>
  <c r="T179" i="24" s="1"/>
  <c r="T180" i="24" a="1"/>
  <c r="T180" i="24" s="1"/>
  <c r="T181" i="24" a="1"/>
  <c r="T181" i="24" s="1"/>
  <c r="T182" i="24" a="1"/>
  <c r="T182" i="24" s="1"/>
  <c r="T183" i="24" a="1"/>
  <c r="T183" i="24" s="1"/>
  <c r="T184" i="24" a="1"/>
  <c r="T184" i="24" s="1"/>
  <c r="T185" i="24" a="1"/>
  <c r="T185" i="24" s="1"/>
  <c r="T186" i="24" a="1"/>
  <c r="T186" i="24" s="1"/>
  <c r="T187" i="24" a="1"/>
  <c r="T187" i="24" s="1"/>
  <c r="T188" i="24" a="1"/>
  <c r="T188" i="24" s="1"/>
  <c r="T189" i="24" a="1"/>
  <c r="T189" i="24" s="1"/>
  <c r="T190" i="24" a="1"/>
  <c r="T190" i="24" s="1"/>
  <c r="T191" i="24" a="1"/>
  <c r="T191" i="24" s="1"/>
  <c r="T192" i="24" a="1"/>
  <c r="T192" i="24" s="1"/>
  <c r="T193" i="24" a="1"/>
  <c r="T193" i="24" s="1"/>
  <c r="T194" i="24" a="1"/>
  <c r="T194" i="24" s="1"/>
  <c r="T195" i="24" a="1"/>
  <c r="T195" i="24" s="1"/>
  <c r="T196" i="24" a="1"/>
  <c r="T196" i="24" s="1"/>
  <c r="T197" i="24" a="1"/>
  <c r="T197" i="24" s="1"/>
  <c r="T198" i="24" a="1"/>
  <c r="T198" i="24" s="1"/>
  <c r="T199" i="24" a="1"/>
  <c r="T199" i="24" s="1"/>
  <c r="T200" i="24" a="1"/>
  <c r="T200" i="24" s="1"/>
  <c r="T201" i="24" a="1"/>
  <c r="T201" i="24" s="1"/>
  <c r="T202" i="24" a="1"/>
  <c r="T202" i="24" s="1"/>
  <c r="T203" i="24" a="1"/>
  <c r="T203" i="24" s="1"/>
  <c r="T204" i="24" a="1"/>
  <c r="T204" i="24" s="1"/>
  <c r="T205" i="24" a="1"/>
  <c r="T205" i="24" s="1"/>
  <c r="T206" i="24" a="1"/>
  <c r="T206" i="24" s="1"/>
  <c r="T207" i="24" a="1"/>
  <c r="T207" i="24" s="1"/>
  <c r="T208" i="24" a="1"/>
  <c r="T208" i="24" s="1"/>
  <c r="T209" i="24" a="1"/>
  <c r="T209" i="24" s="1"/>
  <c r="T210" i="24" a="1"/>
  <c r="T210" i="24" s="1"/>
  <c r="T211" i="24" a="1"/>
  <c r="T211" i="24" s="1"/>
  <c r="T212" i="24" a="1"/>
  <c r="T212" i="24" s="1"/>
  <c r="T213" i="24" a="1"/>
  <c r="T213" i="24" s="1"/>
  <c r="T214" i="24" a="1"/>
  <c r="T214" i="24" s="1"/>
  <c r="T215" i="24" a="1"/>
  <c r="T215" i="24" s="1"/>
  <c r="T216" i="24" a="1"/>
  <c r="T216" i="24" s="1"/>
  <c r="T217" i="24" a="1"/>
  <c r="T217" i="24" s="1"/>
  <c r="T218" i="24" a="1"/>
  <c r="T218" i="24" s="1"/>
  <c r="T219" i="24" a="1"/>
  <c r="T219" i="24" s="1"/>
  <c r="T220" i="24" a="1"/>
  <c r="T220" i="24" s="1"/>
  <c r="T221" i="24" a="1"/>
  <c r="T221" i="24" s="1"/>
  <c r="T222" i="24" a="1"/>
  <c r="T222" i="24" s="1"/>
  <c r="T223" i="24" a="1"/>
  <c r="T223" i="24" s="1"/>
  <c r="T224" i="24" a="1"/>
  <c r="T224" i="24" s="1"/>
  <c r="T225" i="24" a="1"/>
  <c r="T225" i="24" s="1"/>
  <c r="T226" i="24" a="1"/>
  <c r="T226" i="24" s="1"/>
  <c r="T227" i="24" a="1"/>
  <c r="T227" i="24" s="1"/>
  <c r="T228" i="24" a="1"/>
  <c r="T228" i="24" s="1"/>
  <c r="T229" i="24" a="1"/>
  <c r="T229" i="24" s="1"/>
  <c r="T230" i="24" a="1"/>
  <c r="T230" i="24" s="1"/>
  <c r="T231" i="24" a="1"/>
  <c r="T231" i="24" s="1"/>
  <c r="T232" i="24" a="1"/>
  <c r="T232" i="24" s="1"/>
  <c r="T233" i="24" a="1"/>
  <c r="T233" i="24" s="1"/>
  <c r="T234" i="24" a="1"/>
  <c r="T234" i="24" s="1"/>
  <c r="T235" i="24" a="1"/>
  <c r="T235" i="24" s="1"/>
  <c r="T236" i="24" a="1"/>
  <c r="T236" i="24" s="1"/>
  <c r="T237" i="24" a="1"/>
  <c r="T237" i="24" s="1"/>
  <c r="T238" i="24" a="1"/>
  <c r="T238" i="24" s="1"/>
  <c r="T239" i="24" a="1"/>
  <c r="T239" i="24" s="1"/>
  <c r="T240" i="24" a="1"/>
  <c r="T240" i="24" s="1"/>
  <c r="T241" i="24" a="1"/>
  <c r="T241" i="24" s="1"/>
  <c r="T242" i="24" a="1"/>
  <c r="T242" i="24" s="1"/>
  <c r="T243" i="24" a="1"/>
  <c r="T243" i="24" s="1"/>
  <c r="T244" i="24" a="1"/>
  <c r="T244" i="24" s="1"/>
  <c r="T245" i="24" a="1"/>
  <c r="T245" i="24" s="1"/>
  <c r="T246" i="24" a="1"/>
  <c r="T246" i="24" s="1"/>
  <c r="T247" i="24" a="1"/>
  <c r="T247" i="24" s="1"/>
  <c r="T248" i="24" a="1"/>
  <c r="T248" i="24" s="1"/>
  <c r="T249" i="24" a="1"/>
  <c r="T249" i="24" s="1"/>
  <c r="T250" i="24" a="1"/>
  <c r="T250" i="24" s="1"/>
  <c r="T251" i="24" a="1"/>
  <c r="T251" i="24" s="1"/>
  <c r="T252" i="24" a="1"/>
  <c r="T252" i="24" s="1"/>
  <c r="T253" i="24" a="1"/>
  <c r="T253" i="24" s="1"/>
  <c r="T254" i="24" a="1"/>
  <c r="T254" i="24" s="1"/>
  <c r="T255" i="24" a="1"/>
  <c r="T255" i="24" s="1"/>
  <c r="T256" i="24" a="1"/>
  <c r="T256" i="24" s="1"/>
  <c r="T257" i="24" a="1"/>
  <c r="T257" i="24" s="1"/>
  <c r="T258" i="24" a="1"/>
  <c r="T258" i="24" s="1"/>
  <c r="T259" i="24" a="1"/>
  <c r="T259" i="24" s="1"/>
  <c r="T260" i="24" a="1"/>
  <c r="T260" i="24" s="1"/>
  <c r="T261" i="24" a="1"/>
  <c r="T261" i="24" s="1"/>
  <c r="T262" i="24" a="1"/>
  <c r="T262" i="24" s="1"/>
  <c r="T263" i="24" a="1"/>
  <c r="T263" i="24" s="1"/>
  <c r="T264" i="24" a="1"/>
  <c r="T264" i="24" s="1"/>
  <c r="T265" i="24" a="1"/>
  <c r="T265" i="24" s="1"/>
  <c r="T266" i="24" a="1"/>
  <c r="T266" i="24" s="1"/>
  <c r="T267" i="24" a="1"/>
  <c r="T267" i="24" s="1"/>
  <c r="T268" i="24" a="1"/>
  <c r="T268" i="24" s="1"/>
  <c r="T269" i="24" a="1"/>
  <c r="T269" i="24" s="1"/>
  <c r="T270" i="24" a="1"/>
  <c r="T270" i="24" s="1"/>
  <c r="T271" i="24" a="1"/>
  <c r="T271" i="24" s="1"/>
  <c r="T272" i="24" a="1"/>
  <c r="T272" i="24" s="1"/>
  <c r="T273" i="24" a="1"/>
  <c r="T273" i="24" s="1"/>
  <c r="T274" i="24" a="1"/>
  <c r="T274" i="24" s="1"/>
  <c r="T275" i="24" a="1"/>
  <c r="T275" i="24" s="1"/>
  <c r="T276" i="24" a="1"/>
  <c r="T276" i="24" s="1"/>
  <c r="T277" i="24" a="1"/>
  <c r="T277" i="24" s="1"/>
  <c r="T278" i="24" a="1"/>
  <c r="T278" i="24" s="1"/>
  <c r="T279" i="24" a="1"/>
  <c r="T279" i="24" s="1"/>
  <c r="T280" i="24" a="1"/>
  <c r="T280" i="24" s="1"/>
  <c r="T281" i="24" a="1"/>
  <c r="T281" i="24" s="1"/>
  <c r="T282" i="24" a="1"/>
  <c r="T282" i="24" s="1"/>
  <c r="T283" i="24" a="1"/>
  <c r="T283" i="24" s="1"/>
  <c r="T284" i="24" a="1"/>
  <c r="T284" i="24" s="1"/>
  <c r="T285" i="24" a="1"/>
  <c r="T285" i="24" s="1"/>
  <c r="T286" i="24" a="1"/>
  <c r="T286" i="24" s="1"/>
  <c r="T287" i="24" a="1"/>
  <c r="T287" i="24" s="1"/>
  <c r="T288" i="24" a="1"/>
  <c r="T288" i="24" s="1"/>
  <c r="T289" i="24" a="1"/>
  <c r="T289" i="24" s="1"/>
  <c r="T290" i="24" a="1"/>
  <c r="T290" i="24" s="1"/>
  <c r="T291" i="24" a="1"/>
  <c r="T291" i="24" s="1"/>
  <c r="T292" i="24" a="1"/>
  <c r="T292" i="24" s="1"/>
  <c r="T293" i="24" a="1"/>
  <c r="T293" i="24" s="1"/>
  <c r="T294" i="24" a="1"/>
  <c r="T294" i="24" s="1"/>
  <c r="T295" i="24" a="1"/>
  <c r="T295" i="24" s="1"/>
  <c r="T296" i="24" a="1"/>
  <c r="T296" i="24" s="1"/>
  <c r="T297" i="24" a="1"/>
  <c r="T297" i="24" s="1"/>
  <c r="T298" i="24" a="1"/>
  <c r="T298" i="24" s="1"/>
  <c r="T299" i="24" a="1"/>
  <c r="T299" i="24" s="1"/>
  <c r="T300" i="24" a="1"/>
  <c r="T300" i="24" s="1"/>
  <c r="T301" i="24" a="1"/>
  <c r="T301" i="24" s="1"/>
  <c r="T302" i="24" a="1"/>
  <c r="T302" i="24" s="1"/>
  <c r="T2" i="23" a="1"/>
  <c r="T2" i="23" s="1"/>
  <c r="T3" i="23" a="1"/>
  <c r="T3" i="23" s="1"/>
  <c r="T4" i="23" a="1"/>
  <c r="T4" i="23" s="1"/>
  <c r="T5" i="23" a="1"/>
  <c r="T5" i="23" s="1"/>
  <c r="T6" i="23" a="1"/>
  <c r="T6" i="23" s="1"/>
  <c r="T7" i="23" a="1"/>
  <c r="T7" i="23" s="1"/>
  <c r="T8" i="23" a="1"/>
  <c r="T8" i="23" s="1"/>
  <c r="T9" i="23" a="1"/>
  <c r="T9" i="23" s="1"/>
  <c r="T10" i="23" a="1"/>
  <c r="T10" i="23" s="1"/>
  <c r="T11" i="23" a="1"/>
  <c r="T11" i="23" s="1"/>
  <c r="T12" i="23" a="1"/>
  <c r="T12" i="23" s="1"/>
  <c r="T13" i="23" a="1"/>
  <c r="T13" i="23" s="1"/>
  <c r="T14" i="23" a="1"/>
  <c r="T14" i="23" s="1"/>
  <c r="T15" i="23" a="1"/>
  <c r="T15" i="23" s="1"/>
  <c r="T16" i="23" a="1"/>
  <c r="T16" i="23" s="1"/>
  <c r="T17" i="23" a="1"/>
  <c r="T17" i="23" s="1"/>
  <c r="T18" i="23" a="1"/>
  <c r="T18" i="23" s="1"/>
  <c r="T19" i="23" a="1"/>
  <c r="T19" i="23" s="1"/>
  <c r="T20" i="23" a="1"/>
  <c r="T20" i="23" s="1"/>
  <c r="T21" i="23" a="1"/>
  <c r="T21" i="23" s="1"/>
  <c r="T22" i="23" a="1"/>
  <c r="T22" i="23" s="1"/>
  <c r="T23" i="23" a="1"/>
  <c r="T23" i="23" s="1"/>
  <c r="T24" i="23" a="1"/>
  <c r="T24" i="23" s="1"/>
  <c r="T25" i="23" a="1"/>
  <c r="T25" i="23" s="1"/>
  <c r="T26" i="23" a="1"/>
  <c r="T26" i="23" s="1"/>
  <c r="T27" i="23" a="1"/>
  <c r="T27" i="23" s="1"/>
  <c r="T28" i="23" a="1"/>
  <c r="T28" i="23" s="1"/>
  <c r="T29" i="23" a="1"/>
  <c r="T29" i="23" s="1"/>
  <c r="T30" i="23" a="1"/>
  <c r="T30" i="23" s="1"/>
  <c r="T31" i="23" a="1"/>
  <c r="T31" i="23" s="1"/>
  <c r="T32" i="23" a="1"/>
  <c r="T32" i="23" s="1"/>
  <c r="T33" i="23" a="1"/>
  <c r="T33" i="23" s="1"/>
  <c r="T34" i="23" a="1"/>
  <c r="T34" i="23" s="1"/>
  <c r="T35" i="23" a="1"/>
  <c r="T35" i="23" s="1"/>
  <c r="T36" i="23" a="1"/>
  <c r="T36" i="23" s="1"/>
  <c r="T37" i="23" a="1"/>
  <c r="T37" i="23" s="1"/>
  <c r="T38" i="23" a="1"/>
  <c r="T38" i="23" s="1"/>
  <c r="T39" i="23" a="1"/>
  <c r="T39" i="23" s="1"/>
  <c r="T40" i="23" a="1"/>
  <c r="T40" i="23" s="1"/>
  <c r="T41" i="23" a="1"/>
  <c r="T41" i="23" s="1"/>
  <c r="T42" i="23" a="1"/>
  <c r="T42" i="23" s="1"/>
  <c r="T43" i="23" a="1"/>
  <c r="T43" i="23" s="1"/>
  <c r="T44" i="23" a="1"/>
  <c r="T44" i="23" s="1"/>
  <c r="T45" i="23" a="1"/>
  <c r="T45" i="23" s="1"/>
  <c r="T46" i="23" a="1"/>
  <c r="T46" i="23" s="1"/>
  <c r="T47" i="23" a="1"/>
  <c r="T47" i="23" s="1"/>
  <c r="T48" i="23" a="1"/>
  <c r="T48" i="23" s="1"/>
  <c r="T49" i="23" a="1"/>
  <c r="T49" i="23" s="1"/>
  <c r="T50" i="23" a="1"/>
  <c r="T50" i="23" s="1"/>
  <c r="T51" i="23" a="1"/>
  <c r="T51" i="23" s="1"/>
  <c r="T52" i="23" a="1"/>
  <c r="T52" i="23" s="1"/>
  <c r="T53" i="23" a="1"/>
  <c r="T53" i="23" s="1"/>
  <c r="T54" i="23" a="1"/>
  <c r="T54" i="23" s="1"/>
  <c r="T55" i="23" a="1"/>
  <c r="T55" i="23" s="1"/>
  <c r="T56" i="23" a="1"/>
  <c r="T56" i="23" s="1"/>
  <c r="T57" i="23" a="1"/>
  <c r="T57" i="23" s="1"/>
  <c r="T58" i="23" a="1"/>
  <c r="T58" i="23" s="1"/>
  <c r="T59" i="23" a="1"/>
  <c r="T59" i="23" s="1"/>
  <c r="T60" i="23" a="1"/>
  <c r="T60" i="23" s="1"/>
  <c r="T61" i="23" a="1"/>
  <c r="T61" i="23" s="1"/>
  <c r="T62" i="23" a="1"/>
  <c r="T62" i="23" s="1"/>
  <c r="T63" i="23" a="1"/>
  <c r="T63" i="23" s="1"/>
  <c r="T64" i="23" a="1"/>
  <c r="T64" i="23" s="1"/>
  <c r="T65" i="23" a="1"/>
  <c r="T65" i="23" s="1"/>
  <c r="T66" i="23" a="1"/>
  <c r="T66" i="23" s="1"/>
  <c r="T67" i="23" a="1"/>
  <c r="T67" i="23" s="1"/>
  <c r="T68" i="23" a="1"/>
  <c r="T68" i="23" s="1"/>
  <c r="T69" i="23" a="1"/>
  <c r="T69" i="23" s="1"/>
  <c r="T70" i="23" a="1"/>
  <c r="T70" i="23" s="1"/>
  <c r="T71" i="23" a="1"/>
  <c r="T71" i="23" s="1"/>
  <c r="T72" i="23" a="1"/>
  <c r="T72" i="23" s="1"/>
  <c r="T73" i="23" a="1"/>
  <c r="T73" i="23" s="1"/>
  <c r="T74" i="23" a="1"/>
  <c r="T74" i="23" s="1"/>
  <c r="T75" i="23" a="1"/>
  <c r="T75" i="23" s="1"/>
  <c r="T76" i="23" a="1"/>
  <c r="T76" i="23" s="1"/>
  <c r="T77" i="23" a="1"/>
  <c r="T77" i="23" s="1"/>
  <c r="T78" i="23" a="1"/>
  <c r="T78" i="23" s="1"/>
  <c r="T79" i="23" a="1"/>
  <c r="T79" i="23" s="1"/>
  <c r="T80" i="23" a="1"/>
  <c r="T80" i="23" s="1"/>
  <c r="T81" i="23" a="1"/>
  <c r="T81" i="23" s="1"/>
  <c r="T82" i="23" a="1"/>
  <c r="T82" i="23" s="1"/>
  <c r="T83" i="23" a="1"/>
  <c r="T83" i="23" s="1"/>
  <c r="T84" i="23" a="1"/>
  <c r="T84" i="23" s="1"/>
  <c r="T85" i="23" a="1"/>
  <c r="T85" i="23" s="1"/>
  <c r="T86" i="23" a="1"/>
  <c r="T86" i="23" s="1"/>
  <c r="T87" i="23" a="1"/>
  <c r="T87" i="23" s="1"/>
  <c r="T88" i="23" a="1"/>
  <c r="T88" i="23" s="1"/>
  <c r="T89" i="23" a="1"/>
  <c r="T89" i="23" s="1"/>
  <c r="T90" i="23" a="1"/>
  <c r="T90" i="23" s="1"/>
  <c r="T91" i="23" a="1"/>
  <c r="T91" i="23" s="1"/>
  <c r="T92" i="23" a="1"/>
  <c r="T92" i="23" s="1"/>
  <c r="T93" i="23" a="1"/>
  <c r="T93" i="23" s="1"/>
  <c r="T94" i="23" a="1"/>
  <c r="T94" i="23" s="1"/>
  <c r="T95" i="23" a="1"/>
  <c r="T95" i="23" s="1"/>
  <c r="T96" i="23" a="1"/>
  <c r="T96" i="23" s="1"/>
  <c r="T97" i="23" a="1"/>
  <c r="T97" i="23" s="1"/>
  <c r="T98" i="23" a="1"/>
  <c r="T98" i="23" s="1"/>
  <c r="T99" i="23" a="1"/>
  <c r="T99" i="23" s="1"/>
  <c r="T100" i="23" a="1"/>
  <c r="T100" i="23" s="1"/>
  <c r="T101" i="23" a="1"/>
  <c r="T101" i="23" s="1"/>
  <c r="T102" i="23" a="1"/>
  <c r="T102" i="23" s="1"/>
  <c r="T103" i="23" a="1"/>
  <c r="T103" i="23" s="1"/>
  <c r="T104" i="23" a="1"/>
  <c r="T104" i="23" s="1"/>
  <c r="T105" i="23" a="1"/>
  <c r="T105" i="23" s="1"/>
  <c r="T106" i="23" a="1"/>
  <c r="T106" i="23" s="1"/>
  <c r="T107" i="23" a="1"/>
  <c r="T107" i="23" s="1"/>
  <c r="T108" i="23" a="1"/>
  <c r="T108" i="23" s="1"/>
  <c r="T109" i="23" a="1"/>
  <c r="T109" i="23" s="1"/>
  <c r="T110" i="23" a="1"/>
  <c r="T110" i="23" s="1"/>
  <c r="T111" i="23" a="1"/>
  <c r="T111" i="23" s="1"/>
  <c r="T112" i="23" a="1"/>
  <c r="T112" i="23" s="1"/>
  <c r="T113" i="23" a="1"/>
  <c r="T113" i="23" s="1"/>
  <c r="T114" i="23" a="1"/>
  <c r="T114" i="23" s="1"/>
  <c r="T115" i="23" a="1"/>
  <c r="T115" i="23" s="1"/>
  <c r="T116" i="23" a="1"/>
  <c r="T116" i="23" s="1"/>
  <c r="T117" i="23" a="1"/>
  <c r="T117" i="23" s="1"/>
  <c r="T118" i="23" a="1"/>
  <c r="T118" i="23" s="1"/>
  <c r="T119" i="23" a="1"/>
  <c r="T119" i="23" s="1"/>
  <c r="T120" i="23" a="1"/>
  <c r="T120" i="23" s="1"/>
  <c r="T121" i="23" a="1"/>
  <c r="T121" i="23" s="1"/>
  <c r="T122" i="23" a="1"/>
  <c r="T122" i="23" s="1"/>
  <c r="T123" i="23" a="1"/>
  <c r="T123" i="23" s="1"/>
  <c r="T124" i="23" a="1"/>
  <c r="T124" i="23" s="1"/>
  <c r="T125" i="23" a="1"/>
  <c r="T125" i="23" s="1"/>
  <c r="T126" i="23" a="1"/>
  <c r="T126" i="23" s="1"/>
  <c r="T127" i="23" a="1"/>
  <c r="T127" i="23" s="1"/>
  <c r="T128" i="23" a="1"/>
  <c r="T128" i="23" s="1"/>
  <c r="T129" i="23" a="1"/>
  <c r="T129" i="23" s="1"/>
  <c r="T130" i="23" a="1"/>
  <c r="T130" i="23" s="1"/>
  <c r="T131" i="23" a="1"/>
  <c r="T131" i="23" s="1"/>
  <c r="T132" i="23" a="1"/>
  <c r="T132" i="23" s="1"/>
  <c r="T133" i="23" a="1"/>
  <c r="T133" i="23" s="1"/>
  <c r="T134" i="23" a="1"/>
  <c r="T134" i="23" s="1"/>
  <c r="T135" i="23" a="1"/>
  <c r="T135" i="23" s="1"/>
  <c r="T136" i="23" a="1"/>
  <c r="T136" i="23" s="1"/>
  <c r="T2" i="22" a="1"/>
  <c r="T2" i="22" s="1"/>
  <c r="T3" i="22" a="1"/>
  <c r="T3" i="22" s="1"/>
  <c r="T4" i="22" a="1"/>
  <c r="T4" i="22" s="1"/>
  <c r="T5" i="22" a="1"/>
  <c r="T5" i="22" s="1"/>
  <c r="T6" i="22" a="1"/>
  <c r="T6" i="22" s="1"/>
  <c r="T7" i="22" a="1"/>
  <c r="T7" i="22" s="1"/>
  <c r="T8" i="22" a="1"/>
  <c r="T8" i="22" s="1"/>
  <c r="T9" i="22" a="1"/>
  <c r="T9" i="22" s="1"/>
  <c r="T10" i="22" a="1"/>
  <c r="T10" i="22" s="1"/>
  <c r="T11" i="22" a="1"/>
  <c r="T11" i="22" s="1"/>
  <c r="T12" i="22" a="1"/>
  <c r="T12" i="22" s="1"/>
  <c r="T13" i="22" a="1"/>
  <c r="T13" i="22" s="1"/>
  <c r="T14" i="22" a="1"/>
  <c r="T14" i="22" s="1"/>
  <c r="T15" i="22" a="1"/>
  <c r="T15" i="22" s="1"/>
  <c r="T16" i="22" a="1"/>
  <c r="T16" i="22" s="1"/>
  <c r="T17" i="22" a="1"/>
  <c r="T17" i="22" s="1"/>
  <c r="T18" i="22" a="1"/>
  <c r="T18" i="22" s="1"/>
  <c r="T19" i="22" a="1"/>
  <c r="T19" i="22" s="1"/>
  <c r="T20" i="22" a="1"/>
  <c r="T20" i="22" s="1"/>
  <c r="T21" i="22" a="1"/>
  <c r="T21" i="22" s="1"/>
  <c r="T22" i="22" a="1"/>
  <c r="T22" i="22" s="1"/>
  <c r="T23" i="22" a="1"/>
  <c r="T23" i="22" s="1"/>
  <c r="T24" i="22" a="1"/>
  <c r="T24" i="22" s="1"/>
  <c r="T25" i="22" a="1"/>
  <c r="T25" i="22" s="1"/>
  <c r="T26" i="22" a="1"/>
  <c r="T26" i="22" s="1"/>
  <c r="T27" i="22" a="1"/>
  <c r="T27" i="22" s="1"/>
  <c r="T28" i="22" a="1"/>
  <c r="T28" i="22" s="1"/>
  <c r="T29" i="22" a="1"/>
  <c r="T29" i="22" s="1"/>
  <c r="T30" i="22" a="1"/>
  <c r="T30" i="22" s="1"/>
  <c r="T31" i="22" a="1"/>
  <c r="T31" i="22" s="1"/>
  <c r="T32" i="22" a="1"/>
  <c r="T32" i="22" s="1"/>
  <c r="T33" i="22" a="1"/>
  <c r="T33" i="22" s="1"/>
  <c r="T34" i="22" a="1"/>
  <c r="T34" i="22" s="1"/>
  <c r="T35" i="22" a="1"/>
  <c r="T35" i="22" s="1"/>
  <c r="T36" i="22" a="1"/>
  <c r="T36" i="22" s="1"/>
  <c r="T37" i="22" a="1"/>
  <c r="T37" i="22" s="1"/>
  <c r="T38" i="22" a="1"/>
  <c r="T38" i="22" s="1"/>
  <c r="T39" i="22" a="1"/>
  <c r="T39" i="22" s="1"/>
  <c r="T40" i="22" a="1"/>
  <c r="T40" i="22" s="1"/>
  <c r="T41" i="22" a="1"/>
  <c r="T41" i="22" s="1"/>
  <c r="T42" i="22" a="1"/>
  <c r="T42" i="22" s="1"/>
  <c r="T43" i="22" a="1"/>
  <c r="T43" i="22" s="1"/>
  <c r="T44" i="22" a="1"/>
  <c r="T44" i="22" s="1"/>
  <c r="T45" i="22" a="1"/>
  <c r="T45" i="22" s="1"/>
  <c r="T46" i="22" a="1"/>
  <c r="T46" i="22" s="1"/>
  <c r="T47" i="22" a="1"/>
  <c r="T47" i="22" s="1"/>
  <c r="T48" i="22" a="1"/>
  <c r="T48" i="22" s="1"/>
  <c r="T49" i="22" a="1"/>
  <c r="T49" i="22" s="1"/>
  <c r="T50" i="22" a="1"/>
  <c r="T50" i="22" s="1"/>
  <c r="T51" i="22" a="1"/>
  <c r="T51" i="22" s="1"/>
  <c r="T52" i="22" a="1"/>
  <c r="T52" i="22" s="1"/>
  <c r="T53" i="22" a="1"/>
  <c r="T53" i="22" s="1"/>
  <c r="T54" i="22" a="1"/>
  <c r="T54" i="22" s="1"/>
  <c r="T55" i="22" a="1"/>
  <c r="T55" i="22" s="1"/>
  <c r="T56" i="22" a="1"/>
  <c r="T56" i="22" s="1"/>
  <c r="T57" i="22" a="1"/>
  <c r="T57" i="22" s="1"/>
  <c r="T58" i="22" a="1"/>
  <c r="T58" i="22" s="1"/>
  <c r="T59" i="22" a="1"/>
  <c r="T59" i="22" s="1"/>
  <c r="T60" i="22" a="1"/>
  <c r="T60" i="22" s="1"/>
  <c r="T61" i="22" a="1"/>
  <c r="T61" i="22" s="1"/>
  <c r="T62" i="22" a="1"/>
  <c r="T62" i="22" s="1"/>
  <c r="T63" i="22" a="1"/>
  <c r="T63" i="22" s="1"/>
  <c r="T64" i="22" a="1"/>
  <c r="T64" i="22" s="1"/>
  <c r="T65" i="22" a="1"/>
  <c r="T65" i="22" s="1"/>
  <c r="T66" i="22" a="1"/>
  <c r="T66" i="22" s="1"/>
  <c r="T67" i="22" a="1"/>
  <c r="T67" i="22" s="1"/>
  <c r="T68" i="22" a="1"/>
  <c r="T68" i="22" s="1"/>
  <c r="T69" i="22" a="1"/>
  <c r="T69" i="22" s="1"/>
  <c r="T70" i="22" a="1"/>
  <c r="T70" i="22" s="1"/>
  <c r="T71" i="22" a="1"/>
  <c r="T71" i="22" s="1"/>
  <c r="T72" i="22" a="1"/>
  <c r="T72" i="22" s="1"/>
  <c r="T73" i="22" a="1"/>
  <c r="T73" i="22" s="1"/>
  <c r="T74" i="22" a="1"/>
  <c r="T74" i="22" s="1"/>
  <c r="T75" i="22" a="1"/>
  <c r="T75" i="22" s="1"/>
  <c r="T76" i="22" a="1"/>
  <c r="T76" i="22" s="1"/>
  <c r="T77" i="22" a="1"/>
  <c r="T77" i="22" s="1"/>
  <c r="T78" i="22" a="1"/>
  <c r="T78" i="22" s="1"/>
  <c r="T79" i="22" a="1"/>
  <c r="T79" i="22" s="1"/>
  <c r="T80" i="22" a="1"/>
  <c r="T80" i="22" s="1"/>
  <c r="T81" i="22" a="1"/>
  <c r="T81" i="22" s="1"/>
  <c r="T82" i="22" a="1"/>
  <c r="T82" i="22" s="1"/>
  <c r="T83" i="22" a="1"/>
  <c r="T83" i="22" s="1"/>
  <c r="T84" i="22" a="1"/>
  <c r="T84" i="22" s="1"/>
  <c r="T85" i="22" a="1"/>
  <c r="T85" i="22" s="1"/>
  <c r="T86" i="22" a="1"/>
  <c r="T86" i="22" s="1"/>
  <c r="T87" i="22" a="1"/>
  <c r="T87" i="22" s="1"/>
  <c r="T88" i="22" a="1"/>
  <c r="T88" i="22" s="1"/>
  <c r="T89" i="22" a="1"/>
  <c r="T89" i="22" s="1"/>
  <c r="T90" i="22" a="1"/>
  <c r="T90" i="22" s="1"/>
  <c r="T91" i="22" a="1"/>
  <c r="T91" i="22" s="1"/>
  <c r="T92" i="22" a="1"/>
  <c r="T92" i="22" s="1"/>
  <c r="T93" i="22" a="1"/>
  <c r="T93" i="22" s="1"/>
  <c r="T94" i="22" a="1"/>
  <c r="T94" i="22" s="1"/>
  <c r="T95" i="22" a="1"/>
  <c r="T95" i="22" s="1"/>
  <c r="T96" i="22" a="1"/>
  <c r="T96" i="22" s="1"/>
  <c r="T97" i="22" a="1"/>
  <c r="T97" i="22" s="1"/>
  <c r="T98" i="22" a="1"/>
  <c r="T98" i="22" s="1"/>
  <c r="T99" i="22" a="1"/>
  <c r="T99" i="22" s="1"/>
  <c r="T100" i="22" a="1"/>
  <c r="T100" i="22" s="1"/>
  <c r="T101" i="22" a="1"/>
  <c r="T101" i="22" s="1"/>
  <c r="T102" i="22" a="1"/>
  <c r="T102" i="22" s="1"/>
  <c r="T103" i="22" a="1"/>
  <c r="T103" i="22" s="1"/>
  <c r="T104" i="22" a="1"/>
  <c r="T104" i="22" s="1"/>
  <c r="T105" i="22" a="1"/>
  <c r="T105" i="22" s="1"/>
  <c r="T106" i="22" a="1"/>
  <c r="T106" i="22" s="1"/>
  <c r="T107" i="22" a="1"/>
  <c r="T107" i="22" s="1"/>
  <c r="T108" i="22" a="1"/>
  <c r="T108" i="22" s="1"/>
  <c r="T109" i="22" a="1"/>
  <c r="T109" i="22" s="1"/>
  <c r="T110" i="22" a="1"/>
  <c r="T110" i="22" s="1"/>
  <c r="T111" i="22" a="1"/>
  <c r="T111" i="22" s="1"/>
  <c r="T112" i="22" a="1"/>
  <c r="T112" i="22" s="1"/>
  <c r="T113" i="22" a="1"/>
  <c r="T113" i="22" s="1"/>
  <c r="T114" i="22" a="1"/>
  <c r="T114" i="22" s="1"/>
  <c r="T115" i="22" a="1"/>
  <c r="T115" i="22" s="1"/>
  <c r="T116" i="22" a="1"/>
  <c r="T116" i="22" s="1"/>
  <c r="T117" i="22" a="1"/>
  <c r="T117" i="22" s="1"/>
  <c r="T118" i="22" a="1"/>
  <c r="T118" i="22" s="1"/>
  <c r="T119" i="22" a="1"/>
  <c r="T119" i="22" s="1"/>
  <c r="T120" i="22" a="1"/>
  <c r="T120" i="22" s="1"/>
  <c r="T121" i="22" a="1"/>
  <c r="T121" i="22" s="1"/>
  <c r="T122" i="22" a="1"/>
  <c r="T122" i="22" s="1"/>
  <c r="T123" i="22" a="1"/>
  <c r="T123" i="22" s="1"/>
  <c r="T124" i="22" a="1"/>
  <c r="T124" i="22" s="1"/>
  <c r="T125" i="22" a="1"/>
  <c r="T125" i="22" s="1"/>
  <c r="T126" i="22" a="1"/>
  <c r="T126" i="22" s="1"/>
  <c r="T127" i="22" a="1"/>
  <c r="T127" i="22" s="1"/>
  <c r="T128" i="22" a="1"/>
  <c r="T128" i="22" s="1"/>
  <c r="T129" i="22" a="1"/>
  <c r="T129" i="22" s="1"/>
  <c r="T130" i="22" a="1"/>
  <c r="T130" i="22" s="1"/>
  <c r="T131" i="22" a="1"/>
  <c r="T131" i="22" s="1"/>
  <c r="T132" i="22" a="1"/>
  <c r="T132" i="22" s="1"/>
  <c r="T133" i="22" a="1"/>
  <c r="T133" i="22" s="1"/>
  <c r="T134" i="22" a="1"/>
  <c r="T134" i="22" s="1"/>
  <c r="T135" i="22" a="1"/>
  <c r="T135" i="22" s="1"/>
  <c r="T136" i="22" a="1"/>
  <c r="T136" i="22" s="1"/>
  <c r="T137" i="22" a="1"/>
  <c r="T137" i="22" s="1"/>
  <c r="T138" i="22" a="1"/>
  <c r="T138" i="22" s="1"/>
  <c r="T139" i="22" a="1"/>
  <c r="T139" i="22" s="1"/>
  <c r="T140" i="22" a="1"/>
  <c r="T140" i="22" s="1"/>
  <c r="T141" i="22" a="1"/>
  <c r="T141" i="22" s="1"/>
  <c r="T142" i="22" a="1"/>
  <c r="T142" i="22" s="1"/>
  <c r="T143" i="22" a="1"/>
  <c r="T143" i="22" s="1"/>
  <c r="T144" i="22" a="1"/>
  <c r="T144" i="22" s="1"/>
  <c r="T145" i="22" a="1"/>
  <c r="T145" i="22" s="1"/>
  <c r="T146" i="22" a="1"/>
  <c r="T146" i="22" s="1"/>
  <c r="T147" i="22" a="1"/>
  <c r="T147" i="22" s="1"/>
  <c r="T148" i="22" a="1"/>
  <c r="T148" i="22" s="1"/>
  <c r="T149" i="22" a="1"/>
  <c r="T149" i="22" s="1"/>
  <c r="T150" i="22" a="1"/>
  <c r="T150" i="22" s="1"/>
  <c r="T151" i="22" a="1"/>
  <c r="T151" i="22" s="1"/>
  <c r="T152" i="22" a="1"/>
  <c r="T152" i="22" s="1"/>
  <c r="T153" i="22" a="1"/>
  <c r="T153" i="22" s="1"/>
  <c r="T154" i="22" a="1"/>
  <c r="T154" i="22" s="1"/>
  <c r="T155" i="22" a="1"/>
  <c r="T155" i="22" s="1"/>
  <c r="T156" i="22" a="1"/>
  <c r="T156" i="22" s="1"/>
  <c r="T157" i="22" a="1"/>
  <c r="T157" i="22" s="1"/>
  <c r="T158" i="22" a="1"/>
  <c r="T158" i="22" s="1"/>
  <c r="T159" i="22" a="1"/>
  <c r="T159" i="22" s="1"/>
  <c r="T160" i="22" a="1"/>
  <c r="T160" i="22" s="1"/>
  <c r="T161" i="22" a="1"/>
  <c r="T161" i="22" s="1"/>
  <c r="T162" i="22" a="1"/>
  <c r="T162" i="22" s="1"/>
  <c r="T163" i="22" a="1"/>
  <c r="T163" i="22" s="1"/>
  <c r="T164" i="22" a="1"/>
  <c r="T164" i="22" s="1"/>
  <c r="T165" i="22" a="1"/>
  <c r="T165" i="22" s="1"/>
  <c r="T166" i="22" a="1"/>
  <c r="T166" i="22" s="1"/>
  <c r="T167" i="22" a="1"/>
  <c r="T167" i="22" s="1"/>
  <c r="T168" i="22" a="1"/>
  <c r="T168" i="22" s="1"/>
  <c r="T169" i="22" a="1"/>
  <c r="T169" i="22" s="1"/>
  <c r="T170" i="22" a="1"/>
  <c r="T170" i="22" s="1"/>
  <c r="T171" i="22" a="1"/>
  <c r="T171" i="22" s="1"/>
  <c r="T172" i="22" a="1"/>
  <c r="T172" i="22" s="1"/>
  <c r="T173" i="22" a="1"/>
  <c r="T173" i="22" s="1"/>
  <c r="T174" i="22" a="1"/>
  <c r="T174" i="22" s="1"/>
  <c r="T175" i="22" a="1"/>
  <c r="T175" i="22" s="1"/>
  <c r="T176" i="22" a="1"/>
  <c r="T176" i="22" s="1"/>
  <c r="T177" i="22" a="1"/>
  <c r="T177" i="22" s="1"/>
  <c r="T178" i="22" a="1"/>
  <c r="T178" i="22" s="1"/>
  <c r="T179" i="22" a="1"/>
  <c r="T179" i="22" s="1"/>
  <c r="T180" i="22" a="1"/>
  <c r="T180" i="22" s="1"/>
  <c r="T181" i="22" a="1"/>
  <c r="T181" i="22" s="1"/>
  <c r="T182" i="22" a="1"/>
  <c r="T182" i="22" s="1"/>
  <c r="T183" i="22" a="1"/>
  <c r="T183" i="22" s="1"/>
  <c r="T2" i="21" a="1"/>
  <c r="T2" i="21" s="1"/>
  <c r="T3" i="21" a="1"/>
  <c r="T3" i="21" s="1"/>
  <c r="T4" i="21" a="1"/>
  <c r="T4" i="21" s="1"/>
  <c r="T5" i="21" a="1"/>
  <c r="T5" i="21" s="1"/>
  <c r="T6" i="21" a="1"/>
  <c r="T6" i="21" s="1"/>
  <c r="T7" i="21" a="1"/>
  <c r="T7" i="21" s="1"/>
  <c r="T8" i="21" a="1"/>
  <c r="T8" i="21" s="1"/>
  <c r="T9" i="21" a="1"/>
  <c r="T9" i="21" s="1"/>
  <c r="T10" i="21" a="1"/>
  <c r="T10" i="21" s="1"/>
  <c r="T11" i="21" a="1"/>
  <c r="T11" i="21" s="1"/>
  <c r="T12" i="21" a="1"/>
  <c r="T12" i="21" s="1"/>
  <c r="T13" i="21" a="1"/>
  <c r="T13" i="21" s="1"/>
  <c r="T14" i="21" a="1"/>
  <c r="T14" i="21" s="1"/>
  <c r="T15" i="21" a="1"/>
  <c r="T15" i="21" s="1"/>
  <c r="T16" i="21" a="1"/>
  <c r="T16" i="21" s="1"/>
  <c r="T17" i="21" a="1"/>
  <c r="T17" i="21" s="1"/>
  <c r="T18" i="21" a="1"/>
  <c r="T18" i="21" s="1"/>
  <c r="T19" i="21" a="1"/>
  <c r="T19" i="21" s="1"/>
  <c r="T20" i="21" a="1"/>
  <c r="T20" i="21" s="1"/>
  <c r="T21" i="21" a="1"/>
  <c r="T21" i="21" s="1"/>
  <c r="T22" i="21" a="1"/>
  <c r="T22" i="21" s="1"/>
  <c r="T23" i="21" a="1"/>
  <c r="T23" i="21" s="1"/>
  <c r="T24" i="21" a="1"/>
  <c r="T24" i="21" s="1"/>
  <c r="T25" i="21" a="1"/>
  <c r="T25" i="21" s="1"/>
  <c r="T26" i="21" a="1"/>
  <c r="T26" i="21" s="1"/>
  <c r="T27" i="21" a="1"/>
  <c r="T27" i="21" s="1"/>
  <c r="T28" i="21" a="1"/>
  <c r="T28" i="21" s="1"/>
  <c r="T29" i="21" a="1"/>
  <c r="T29" i="21" s="1"/>
  <c r="T30" i="21" a="1"/>
  <c r="T30" i="21" s="1"/>
  <c r="T31" i="21" a="1"/>
  <c r="T31" i="21" s="1"/>
  <c r="T32" i="21" a="1"/>
  <c r="T32" i="21" s="1"/>
  <c r="T33" i="21" a="1"/>
  <c r="T33" i="21" s="1"/>
  <c r="T34" i="21" a="1"/>
  <c r="T34" i="21" s="1"/>
  <c r="T35" i="21" a="1"/>
  <c r="T35" i="21" s="1"/>
  <c r="T36" i="21" a="1"/>
  <c r="T36" i="21" s="1"/>
  <c r="T37" i="21" a="1"/>
  <c r="T37" i="21" s="1"/>
  <c r="T38" i="21" a="1"/>
  <c r="T38" i="21" s="1"/>
  <c r="T39" i="21" a="1"/>
  <c r="T39" i="21" s="1"/>
  <c r="T40" i="21" a="1"/>
  <c r="T40" i="21" s="1"/>
  <c r="T41" i="21" a="1"/>
  <c r="T41" i="21" s="1"/>
  <c r="T42" i="21" a="1"/>
  <c r="T42" i="21" s="1"/>
  <c r="T43" i="21" a="1"/>
  <c r="T43" i="21" s="1"/>
  <c r="T44" i="21" a="1"/>
  <c r="T44" i="21" s="1"/>
  <c r="T45" i="21" a="1"/>
  <c r="T45" i="21" s="1"/>
  <c r="T46" i="21" a="1"/>
  <c r="T46" i="21" s="1"/>
  <c r="T47" i="21" a="1"/>
  <c r="T47" i="21" s="1"/>
  <c r="T48" i="21" a="1"/>
  <c r="T48" i="21" s="1"/>
  <c r="T49" i="21" a="1"/>
  <c r="T49" i="21" s="1"/>
  <c r="T50" i="21" a="1"/>
  <c r="T50" i="21" s="1"/>
  <c r="T51" i="21" a="1"/>
  <c r="T51" i="21" s="1"/>
  <c r="T52" i="21" a="1"/>
  <c r="T52" i="21" s="1"/>
  <c r="T53" i="21" a="1"/>
  <c r="T53" i="21" s="1"/>
  <c r="T54" i="21" a="1"/>
  <c r="T54" i="21" s="1"/>
  <c r="T55" i="21" a="1"/>
  <c r="T55" i="21" s="1"/>
  <c r="T56" i="21" a="1"/>
  <c r="T56" i="21" s="1"/>
  <c r="T57" i="21" a="1"/>
  <c r="T57" i="21" s="1"/>
  <c r="T58" i="21" a="1"/>
  <c r="T58" i="21" s="1"/>
  <c r="T59" i="21" a="1"/>
  <c r="T59" i="21" s="1"/>
  <c r="T60" i="21" a="1"/>
  <c r="T60" i="21" s="1"/>
  <c r="T61" i="21" a="1"/>
  <c r="T61" i="21" s="1"/>
  <c r="T62" i="21" a="1"/>
  <c r="T62" i="21" s="1"/>
  <c r="T63" i="21" a="1"/>
  <c r="T63" i="21" s="1"/>
  <c r="T64" i="21" a="1"/>
  <c r="T64" i="21" s="1"/>
  <c r="T65" i="21" a="1"/>
  <c r="T65" i="21" s="1"/>
  <c r="T66" i="21" a="1"/>
  <c r="T66" i="21" s="1"/>
  <c r="T67" i="21" a="1"/>
  <c r="T67" i="21" s="1"/>
  <c r="T68" i="21" a="1"/>
  <c r="T68" i="21" s="1"/>
  <c r="T69" i="21" a="1"/>
  <c r="T69" i="21" s="1"/>
  <c r="T70" i="21" a="1"/>
  <c r="T70" i="21" s="1"/>
  <c r="T71" i="21" a="1"/>
  <c r="T71" i="21" s="1"/>
  <c r="T72" i="21" a="1"/>
  <c r="T72" i="21" s="1"/>
  <c r="T73" i="21" a="1"/>
  <c r="T73" i="21" s="1"/>
  <c r="T74" i="21" a="1"/>
  <c r="T74" i="21" s="1"/>
  <c r="T75" i="21" a="1"/>
  <c r="T75" i="21" s="1"/>
  <c r="T76" i="21" a="1"/>
  <c r="T76" i="21" s="1"/>
  <c r="T77" i="21" a="1"/>
  <c r="T77" i="21" s="1"/>
  <c r="T78" i="21" a="1"/>
  <c r="T78" i="21" s="1"/>
  <c r="T79" i="21" a="1"/>
  <c r="T79" i="21" s="1"/>
  <c r="T80" i="21" a="1"/>
  <c r="T80" i="21" s="1"/>
  <c r="T81" i="21" a="1"/>
  <c r="T81" i="21" s="1"/>
  <c r="T82" i="21" a="1"/>
  <c r="T82" i="21" s="1"/>
  <c r="T83" i="21" a="1"/>
  <c r="T83" i="21" s="1"/>
  <c r="T84" i="21" a="1"/>
  <c r="T84" i="21" s="1"/>
  <c r="T85" i="21" a="1"/>
  <c r="T85" i="21" s="1"/>
  <c r="T86" i="21" a="1"/>
  <c r="T86" i="21" s="1"/>
  <c r="T87" i="21" a="1"/>
  <c r="T87" i="21" s="1"/>
  <c r="T88" i="21" a="1"/>
  <c r="T88" i="21" s="1"/>
  <c r="T89" i="21" a="1"/>
  <c r="T89" i="21" s="1"/>
  <c r="T90" i="21" a="1"/>
  <c r="T90" i="21" s="1"/>
  <c r="T91" i="21" a="1"/>
  <c r="T91" i="21" s="1"/>
  <c r="T92" i="21" a="1"/>
  <c r="T92" i="21" s="1"/>
  <c r="T93" i="21" a="1"/>
  <c r="T93" i="21" s="1"/>
  <c r="T94" i="21" a="1"/>
  <c r="T94" i="21" s="1"/>
  <c r="T95" i="21" a="1"/>
  <c r="T95" i="21" s="1"/>
  <c r="T96" i="21" a="1"/>
  <c r="T96" i="21" s="1"/>
  <c r="T97" i="21" a="1"/>
  <c r="T97" i="21" s="1"/>
  <c r="T98" i="21" a="1"/>
  <c r="T98" i="21" s="1"/>
  <c r="T99" i="21" a="1"/>
  <c r="T99" i="21" s="1"/>
  <c r="T100" i="21" a="1"/>
  <c r="T100" i="21" s="1"/>
  <c r="T101" i="21" a="1"/>
  <c r="T101" i="21" s="1"/>
  <c r="T102" i="21" a="1"/>
  <c r="T102" i="21" s="1"/>
  <c r="T103" i="21" a="1"/>
  <c r="T103" i="21" s="1"/>
  <c r="T104" i="21" a="1"/>
  <c r="T104" i="21" s="1"/>
  <c r="T105" i="21" a="1"/>
  <c r="T105" i="21" s="1"/>
  <c r="T106" i="21" a="1"/>
  <c r="T106" i="21" s="1"/>
  <c r="T107" i="21" a="1"/>
  <c r="T107" i="21" s="1"/>
  <c r="T108" i="21" a="1"/>
  <c r="T108" i="21" s="1"/>
  <c r="T109" i="21" a="1"/>
  <c r="T109" i="21" s="1"/>
  <c r="T110" i="21" a="1"/>
  <c r="T110" i="21" s="1"/>
  <c r="T111" i="21" a="1"/>
  <c r="T111" i="21" s="1"/>
  <c r="T112" i="21" a="1"/>
  <c r="T112" i="21" s="1"/>
  <c r="T113" i="21" a="1"/>
  <c r="T113" i="21" s="1"/>
  <c r="T114" i="21" a="1"/>
  <c r="T114" i="21" s="1"/>
  <c r="T115" i="21" a="1"/>
  <c r="T115" i="21" s="1"/>
  <c r="T116" i="21" a="1"/>
  <c r="T116" i="21" s="1"/>
  <c r="T117" i="21" a="1"/>
  <c r="T117" i="21" s="1"/>
  <c r="T118" i="21" a="1"/>
  <c r="T118" i="21" s="1"/>
  <c r="T119" i="21" a="1"/>
  <c r="T119" i="21" s="1"/>
  <c r="T120" i="21" a="1"/>
  <c r="T120" i="21" s="1"/>
  <c r="T121" i="21" a="1"/>
  <c r="T121" i="21" s="1"/>
  <c r="T122" i="21" a="1"/>
  <c r="T122" i="21" s="1"/>
  <c r="T123" i="21" a="1"/>
  <c r="T123" i="21" s="1"/>
  <c r="T124" i="21" a="1"/>
  <c r="T124" i="21" s="1"/>
  <c r="T125" i="21" a="1"/>
  <c r="T125" i="21" s="1"/>
  <c r="T126" i="21" a="1"/>
  <c r="T126" i="21" s="1"/>
  <c r="T127" i="21" a="1"/>
  <c r="T127" i="21" s="1"/>
  <c r="T128" i="21" a="1"/>
  <c r="T128" i="21" s="1"/>
  <c r="T129" i="21" a="1"/>
  <c r="T129" i="21" s="1"/>
  <c r="T130" i="21" a="1"/>
  <c r="T130" i="21" s="1"/>
  <c r="T131" i="21" a="1"/>
  <c r="T131" i="21" s="1"/>
  <c r="T132" i="21" a="1"/>
  <c r="T132" i="21" s="1"/>
  <c r="T133" i="21" a="1"/>
  <c r="T133" i="21" s="1"/>
  <c r="T134" i="21" a="1"/>
  <c r="T134" i="21" s="1"/>
  <c r="T135" i="21" a="1"/>
  <c r="T135" i="21" s="1"/>
  <c r="T136" i="21" a="1"/>
  <c r="T136" i="21" s="1"/>
  <c r="T137" i="21" a="1"/>
  <c r="T137" i="21" s="1"/>
  <c r="T138" i="21" a="1"/>
  <c r="T138" i="21" s="1"/>
  <c r="T139" i="21" a="1"/>
  <c r="T139" i="21" s="1"/>
  <c r="T140" i="21" a="1"/>
  <c r="T140" i="21" s="1"/>
  <c r="T141" i="21" a="1"/>
  <c r="T141" i="21" s="1"/>
  <c r="T142" i="21" a="1"/>
  <c r="T142" i="21" s="1"/>
  <c r="T143" i="21" a="1"/>
  <c r="T143" i="21" s="1"/>
  <c r="T144" i="21" a="1"/>
  <c r="T144" i="21" s="1"/>
  <c r="T145" i="21" a="1"/>
  <c r="T145" i="21" s="1"/>
  <c r="T146" i="21" a="1"/>
  <c r="T146" i="21" s="1"/>
  <c r="T147" i="21" a="1"/>
  <c r="T147" i="21" s="1"/>
  <c r="T148" i="21" a="1"/>
  <c r="T148" i="21" s="1"/>
  <c r="T149" i="21" a="1"/>
  <c r="T149" i="21" s="1"/>
  <c r="T150" i="21" a="1"/>
  <c r="T150" i="21" s="1"/>
  <c r="T151" i="21" a="1"/>
  <c r="T151" i="21" s="1"/>
  <c r="T152" i="21" a="1"/>
  <c r="T152" i="21" s="1"/>
  <c r="T153" i="21" a="1"/>
  <c r="T153" i="21" s="1"/>
  <c r="T154" i="21" a="1"/>
  <c r="T154" i="21" s="1"/>
  <c r="T155" i="21" a="1"/>
  <c r="T155" i="21" s="1"/>
  <c r="T156" i="21" a="1"/>
  <c r="T156" i="21" s="1"/>
  <c r="T157" i="21" a="1"/>
  <c r="T157" i="21" s="1"/>
  <c r="T158" i="21" a="1"/>
  <c r="T158" i="21" s="1"/>
  <c r="T159" i="21" a="1"/>
  <c r="T159" i="21" s="1"/>
  <c r="T160" i="21" a="1"/>
  <c r="T160" i="21" s="1"/>
  <c r="T161" i="21" a="1"/>
  <c r="T161" i="21" s="1"/>
  <c r="T162" i="21" a="1"/>
  <c r="T162" i="21" s="1"/>
  <c r="T163" i="21" a="1"/>
  <c r="T163" i="21" s="1"/>
  <c r="T164" i="21" a="1"/>
  <c r="T164" i="21" s="1"/>
  <c r="T165" i="21" a="1"/>
  <c r="T165" i="21" s="1"/>
  <c r="T166" i="21" a="1"/>
  <c r="T166" i="21" s="1"/>
  <c r="T167" i="21" a="1"/>
  <c r="T167" i="21" s="1"/>
  <c r="T168" i="21" a="1"/>
  <c r="T168" i="21" s="1"/>
  <c r="T169" i="21" a="1"/>
  <c r="T169" i="21" s="1"/>
  <c r="T170" i="21" a="1"/>
  <c r="T170" i="21" s="1"/>
  <c r="T171" i="21" a="1"/>
  <c r="T171" i="21" s="1"/>
  <c r="T172" i="21" a="1"/>
  <c r="T172" i="21" s="1"/>
  <c r="T173" i="21" a="1"/>
  <c r="T173" i="21" s="1"/>
  <c r="T174" i="21" a="1"/>
  <c r="T174" i="21" s="1"/>
  <c r="T175" i="21" a="1"/>
  <c r="T175" i="21" s="1"/>
  <c r="T176" i="21" a="1"/>
  <c r="T176" i="21" s="1"/>
  <c r="T177" i="21" a="1"/>
  <c r="T177" i="21" s="1"/>
  <c r="T178" i="21" a="1"/>
  <c r="T178" i="21" s="1"/>
  <c r="T179" i="21" a="1"/>
  <c r="T179" i="21" s="1"/>
  <c r="T180" i="21" a="1"/>
  <c r="T180" i="21" s="1"/>
  <c r="T181" i="21" a="1"/>
  <c r="T181" i="21" s="1"/>
  <c r="T182" i="21" a="1"/>
  <c r="T182" i="21" s="1"/>
  <c r="T183" i="21" a="1"/>
  <c r="T183" i="21" s="1"/>
  <c r="T184" i="21" a="1"/>
  <c r="T184" i="21" s="1"/>
  <c r="T185" i="21" a="1"/>
  <c r="T185" i="21" s="1"/>
  <c r="T186" i="21" a="1"/>
  <c r="T186" i="21" s="1"/>
  <c r="T187" i="21" a="1"/>
  <c r="T187" i="21" s="1"/>
  <c r="T188" i="21" a="1"/>
  <c r="T188" i="21" s="1"/>
  <c r="T189" i="21" a="1"/>
  <c r="T189" i="21" s="1"/>
  <c r="T190" i="21" a="1"/>
  <c r="T190" i="21" s="1"/>
  <c r="T191" i="21" a="1"/>
  <c r="T191" i="21" s="1"/>
  <c r="T192" i="21" a="1"/>
  <c r="T192" i="21" s="1"/>
  <c r="T193" i="21" a="1"/>
  <c r="T193" i="21" s="1"/>
  <c r="T194" i="21" a="1"/>
  <c r="T194" i="21" s="1"/>
  <c r="T195" i="21" a="1"/>
  <c r="T195" i="21" s="1"/>
  <c r="T196" i="21" a="1"/>
  <c r="T196" i="21" s="1"/>
  <c r="T197" i="21" a="1"/>
  <c r="T197" i="21" s="1"/>
  <c r="T198" i="21" a="1"/>
  <c r="T198" i="21" s="1"/>
  <c r="T199" i="21" a="1"/>
  <c r="T199" i="21" s="1"/>
  <c r="T200" i="21" a="1"/>
  <c r="T200" i="21" s="1"/>
  <c r="T201" i="21" a="1"/>
  <c r="T201" i="21" s="1"/>
  <c r="T202" i="21" a="1"/>
  <c r="T202" i="21" s="1"/>
  <c r="T203" i="21" a="1"/>
  <c r="T203" i="21" s="1"/>
  <c r="T204" i="21" a="1"/>
  <c r="T204" i="21" s="1"/>
  <c r="T205" i="21" a="1"/>
  <c r="T205" i="21" s="1"/>
  <c r="T206" i="21" a="1"/>
  <c r="T206" i="21" s="1"/>
  <c r="T207" i="21" a="1"/>
  <c r="T207" i="21" s="1"/>
  <c r="T208" i="21" a="1"/>
  <c r="T208" i="21" s="1"/>
  <c r="T209" i="21" a="1"/>
  <c r="T209" i="21" s="1"/>
  <c r="T210" i="21" a="1"/>
  <c r="T210" i="21" s="1"/>
  <c r="T211" i="21" a="1"/>
  <c r="T211" i="21" s="1"/>
  <c r="T212" i="21" a="1"/>
  <c r="T212" i="21" s="1"/>
  <c r="T213" i="21" a="1"/>
  <c r="T213" i="21" s="1"/>
  <c r="T214" i="21" a="1"/>
  <c r="T214" i="21" s="1"/>
  <c r="T215" i="21" a="1"/>
  <c r="T215" i="21" s="1"/>
  <c r="T216" i="21" a="1"/>
  <c r="T216" i="21" s="1"/>
  <c r="T217" i="21" a="1"/>
  <c r="T217" i="21" s="1"/>
  <c r="T218" i="21" a="1"/>
  <c r="T218" i="21" s="1"/>
  <c r="T219" i="21" a="1"/>
  <c r="T219" i="21" s="1"/>
  <c r="T220" i="21" a="1"/>
  <c r="T220" i="21" s="1"/>
  <c r="T221" i="21" a="1"/>
  <c r="T221" i="21" s="1"/>
  <c r="T222" i="21" a="1"/>
  <c r="T222" i="21" s="1"/>
  <c r="T223" i="21" a="1"/>
  <c r="T223" i="21" s="1"/>
  <c r="T224" i="21" a="1"/>
  <c r="T224" i="21" s="1"/>
  <c r="T225" i="21" a="1"/>
  <c r="T225" i="21" s="1"/>
  <c r="T226" i="21" a="1"/>
  <c r="T226" i="21" s="1"/>
  <c r="T227" i="21" a="1"/>
  <c r="T227" i="21" s="1"/>
  <c r="T228" i="21" a="1"/>
  <c r="T228" i="21" s="1"/>
  <c r="T229" i="21" a="1"/>
  <c r="T229" i="21" s="1"/>
  <c r="T230" i="21" a="1"/>
  <c r="T230" i="21" s="1"/>
  <c r="T231" i="21" a="1"/>
  <c r="T231" i="21" s="1"/>
  <c r="T232" i="21" a="1"/>
  <c r="T232" i="21" s="1"/>
  <c r="T233" i="21" a="1"/>
  <c r="T233" i="21" s="1"/>
  <c r="T234" i="21" a="1"/>
  <c r="T234" i="21" s="1"/>
  <c r="T235" i="21" a="1"/>
  <c r="T235" i="21" s="1"/>
  <c r="T236" i="21" a="1"/>
  <c r="T236" i="21" s="1"/>
  <c r="T237" i="21" a="1"/>
  <c r="T237" i="21" s="1"/>
  <c r="T238" i="21" a="1"/>
  <c r="T238" i="21" s="1"/>
  <c r="T239" i="21" a="1"/>
  <c r="T239" i="21" s="1"/>
  <c r="T240" i="21" a="1"/>
  <c r="T240" i="21" s="1"/>
  <c r="T241" i="21" a="1"/>
  <c r="T241" i="21" s="1"/>
  <c r="T242" i="21" a="1"/>
  <c r="T242" i="21" s="1"/>
  <c r="T243" i="21" a="1"/>
  <c r="T243" i="21" s="1"/>
  <c r="T244" i="21" a="1"/>
  <c r="T244" i="21" s="1"/>
  <c r="T245" i="21" a="1"/>
  <c r="T245" i="21" s="1"/>
  <c r="T246" i="21" a="1"/>
  <c r="T246" i="21" s="1"/>
  <c r="T247" i="21" a="1"/>
  <c r="T247" i="21" s="1"/>
  <c r="T248" i="21" a="1"/>
  <c r="T248" i="21" s="1"/>
  <c r="T249" i="21" a="1"/>
  <c r="T249" i="21" s="1"/>
  <c r="T250" i="21" a="1"/>
  <c r="T250" i="21" s="1"/>
  <c r="T251" i="21" a="1"/>
  <c r="T251" i="21" s="1"/>
  <c r="T252" i="21" a="1"/>
  <c r="T252" i="21" s="1"/>
  <c r="T253" i="21" a="1"/>
  <c r="T253" i="21" s="1"/>
  <c r="T254" i="21" a="1"/>
  <c r="T254" i="21" s="1"/>
  <c r="T255" i="21" a="1"/>
  <c r="T255" i="21" s="1"/>
  <c r="T256" i="21" a="1"/>
  <c r="T256" i="21" s="1"/>
  <c r="T257" i="21" a="1"/>
  <c r="T257" i="21" s="1"/>
  <c r="T2" i="20" a="1"/>
  <c r="T2" i="20" s="1"/>
  <c r="T3" i="20" a="1"/>
  <c r="T3" i="20" s="1"/>
  <c r="T4" i="20" a="1"/>
  <c r="T4" i="20" s="1"/>
  <c r="T5" i="20" a="1"/>
  <c r="T5" i="20" s="1"/>
  <c r="T6" i="20" a="1"/>
  <c r="T6" i="20" s="1"/>
  <c r="T7" i="20" a="1"/>
  <c r="T7" i="20" s="1"/>
  <c r="T8" i="20" a="1"/>
  <c r="T8" i="20" s="1"/>
  <c r="T9" i="20" a="1"/>
  <c r="T9" i="20" s="1"/>
  <c r="T10" i="20" a="1"/>
  <c r="T10" i="20" s="1"/>
  <c r="T11" i="20" a="1"/>
  <c r="T11" i="20" s="1"/>
  <c r="T12" i="20" a="1"/>
  <c r="T12" i="20" s="1"/>
  <c r="T13" i="20" a="1"/>
  <c r="T13" i="20" s="1"/>
  <c r="T14" i="20" a="1"/>
  <c r="T14" i="20" s="1"/>
  <c r="T15" i="20" a="1"/>
  <c r="T15" i="20" s="1"/>
  <c r="T16" i="20" a="1"/>
  <c r="T16" i="20" s="1"/>
  <c r="T17" i="20" a="1"/>
  <c r="T17" i="20" s="1"/>
  <c r="T18" i="20" a="1"/>
  <c r="T18" i="20" s="1"/>
  <c r="T19" i="20" a="1"/>
  <c r="T19" i="20" s="1"/>
  <c r="T20" i="20" a="1"/>
  <c r="T20" i="20" s="1"/>
  <c r="T21" i="20" a="1"/>
  <c r="T21" i="20" s="1"/>
  <c r="T22" i="20" a="1"/>
  <c r="T22" i="20" s="1"/>
  <c r="T23" i="20" a="1"/>
  <c r="T23" i="20" s="1"/>
  <c r="T24" i="20" a="1"/>
  <c r="T24" i="20" s="1"/>
  <c r="T25" i="20" a="1"/>
  <c r="T25" i="20" s="1"/>
  <c r="T26" i="20" a="1"/>
  <c r="T26" i="20" s="1"/>
  <c r="T27" i="20" a="1"/>
  <c r="T27" i="20" s="1"/>
  <c r="T28" i="20" a="1"/>
  <c r="T28" i="20" s="1"/>
  <c r="T29" i="20" a="1"/>
  <c r="T29" i="20" s="1"/>
  <c r="T30" i="20" a="1"/>
  <c r="T30" i="20" s="1"/>
  <c r="T31" i="20" a="1"/>
  <c r="T31" i="20" s="1"/>
  <c r="T32" i="20" a="1"/>
  <c r="T32" i="20" s="1"/>
  <c r="T33" i="20" a="1"/>
  <c r="T33" i="20" s="1"/>
  <c r="T34" i="20" a="1"/>
  <c r="T34" i="20" s="1"/>
  <c r="T35" i="20" a="1"/>
  <c r="T35" i="20" s="1"/>
  <c r="T36" i="20" a="1"/>
  <c r="T36" i="20" s="1"/>
  <c r="T37" i="20" a="1"/>
  <c r="T37" i="20" s="1"/>
  <c r="T38" i="20" a="1"/>
  <c r="T38" i="20" s="1"/>
  <c r="T39" i="20" a="1"/>
  <c r="T39" i="20" s="1"/>
  <c r="T40" i="20" a="1"/>
  <c r="T40" i="20" s="1"/>
  <c r="T41" i="20" a="1"/>
  <c r="T41" i="20" s="1"/>
  <c r="T42" i="20" a="1"/>
  <c r="T42" i="20" s="1"/>
  <c r="T43" i="20" a="1"/>
  <c r="T43" i="20" s="1"/>
  <c r="T44" i="20" a="1"/>
  <c r="T44" i="20" s="1"/>
  <c r="T45" i="20" a="1"/>
  <c r="T45" i="20" s="1"/>
  <c r="T46" i="20" a="1"/>
  <c r="T46" i="20" s="1"/>
  <c r="T47" i="20" a="1"/>
  <c r="T47" i="20" s="1"/>
  <c r="T48" i="20" a="1"/>
  <c r="T48" i="20" s="1"/>
  <c r="T49" i="20" a="1"/>
  <c r="T49" i="20" s="1"/>
  <c r="T50" i="20" a="1"/>
  <c r="T50" i="20" s="1"/>
  <c r="T51" i="20" a="1"/>
  <c r="T51" i="20" s="1"/>
  <c r="T52" i="20" a="1"/>
  <c r="T52" i="20" s="1"/>
  <c r="T53" i="20" a="1"/>
  <c r="T53" i="20" s="1"/>
  <c r="T54" i="20" a="1"/>
  <c r="T54" i="20" s="1"/>
  <c r="T55" i="20" a="1"/>
  <c r="T55" i="20" s="1"/>
  <c r="T56" i="20" a="1"/>
  <c r="T56" i="20" s="1"/>
  <c r="T57" i="20" a="1"/>
  <c r="T57" i="20" s="1"/>
  <c r="T58" i="20" a="1"/>
  <c r="T58" i="20" s="1"/>
  <c r="T59" i="20" a="1"/>
  <c r="T59" i="20" s="1"/>
  <c r="T60" i="20" a="1"/>
  <c r="T60" i="20" s="1"/>
  <c r="T61" i="20" a="1"/>
  <c r="T61" i="20" s="1"/>
  <c r="T62" i="20" a="1"/>
  <c r="T62" i="20" s="1"/>
  <c r="T63" i="20" a="1"/>
  <c r="T63" i="20" s="1"/>
  <c r="T64" i="20" a="1"/>
  <c r="T64" i="20" s="1"/>
  <c r="T65" i="20" a="1"/>
  <c r="T65" i="20" s="1"/>
  <c r="T66" i="20" a="1"/>
  <c r="T66" i="20" s="1"/>
  <c r="T67" i="20" a="1"/>
  <c r="T67" i="20" s="1"/>
  <c r="T68" i="20" a="1"/>
  <c r="T68" i="20" s="1"/>
  <c r="T69" i="20" a="1"/>
  <c r="T69" i="20" s="1"/>
  <c r="T70" i="20" a="1"/>
  <c r="T70" i="20" s="1"/>
  <c r="T71" i="20" a="1"/>
  <c r="T71" i="20" s="1"/>
  <c r="T72" i="20" a="1"/>
  <c r="T72" i="20" s="1"/>
  <c r="T73" i="20" a="1"/>
  <c r="T73" i="20" s="1"/>
  <c r="T74" i="20" a="1"/>
  <c r="T74" i="20" s="1"/>
  <c r="T75" i="20" a="1"/>
  <c r="T75" i="20" s="1"/>
  <c r="T76" i="20" a="1"/>
  <c r="T76" i="20" s="1"/>
  <c r="T77" i="20" a="1"/>
  <c r="T77" i="20" s="1"/>
  <c r="T78" i="20" a="1"/>
  <c r="T78" i="20" s="1"/>
  <c r="T79" i="20" a="1"/>
  <c r="T79" i="20" s="1"/>
  <c r="T80" i="20" a="1"/>
  <c r="T80" i="20" s="1"/>
  <c r="T81" i="20" a="1"/>
  <c r="T81" i="20" s="1"/>
  <c r="T82" i="20" a="1"/>
  <c r="T82" i="20" s="1"/>
  <c r="T83" i="20" a="1"/>
  <c r="T83" i="20" s="1"/>
  <c r="T84" i="20" a="1"/>
  <c r="T84" i="20" s="1"/>
  <c r="T85" i="20" a="1"/>
  <c r="T85" i="20" s="1"/>
  <c r="T86" i="20" a="1"/>
  <c r="T86" i="20" s="1"/>
  <c r="T87" i="20" a="1"/>
  <c r="T87" i="20" s="1"/>
  <c r="T88" i="20" a="1"/>
  <c r="T88" i="20" s="1"/>
  <c r="T89" i="20" a="1"/>
  <c r="T89" i="20" s="1"/>
  <c r="T90" i="20" a="1"/>
  <c r="T90" i="20" s="1"/>
  <c r="T91" i="20" a="1"/>
  <c r="T91" i="20" s="1"/>
  <c r="T92" i="20" a="1"/>
  <c r="T92" i="20" s="1"/>
  <c r="T93" i="20" a="1"/>
  <c r="T93" i="20" s="1"/>
  <c r="T94" i="20" a="1"/>
  <c r="T94" i="20" s="1"/>
  <c r="T95" i="20" a="1"/>
  <c r="T95" i="20" s="1"/>
  <c r="T96" i="20" a="1"/>
  <c r="T96" i="20" s="1"/>
  <c r="T97" i="20" a="1"/>
  <c r="T97" i="20" s="1"/>
  <c r="T98" i="20" a="1"/>
  <c r="T98" i="20" s="1"/>
  <c r="T99" i="20" a="1"/>
  <c r="T99" i="20" s="1"/>
  <c r="T100" i="20" a="1"/>
  <c r="T100" i="20" s="1"/>
  <c r="T101" i="20" a="1"/>
  <c r="T101" i="20" s="1"/>
  <c r="T102" i="20" a="1"/>
  <c r="T102" i="20" s="1"/>
  <c r="T103" i="20" a="1"/>
  <c r="T103" i="20" s="1"/>
  <c r="T104" i="20" a="1"/>
  <c r="T104" i="20" s="1"/>
  <c r="T105" i="20" a="1"/>
  <c r="T105" i="20" s="1"/>
  <c r="T106" i="20" a="1"/>
  <c r="T106" i="20" s="1"/>
  <c r="T107" i="20" a="1"/>
  <c r="T107" i="20" s="1"/>
  <c r="T108" i="20" a="1"/>
  <c r="T108" i="20" s="1"/>
  <c r="T109" i="20" a="1"/>
  <c r="T109" i="20" s="1"/>
  <c r="T110" i="20" a="1"/>
  <c r="T110" i="20" s="1"/>
  <c r="T111" i="20" a="1"/>
  <c r="T111" i="20" s="1"/>
  <c r="T112" i="20" a="1"/>
  <c r="T112" i="20" s="1"/>
  <c r="T113" i="20" a="1"/>
  <c r="T113" i="20" s="1"/>
  <c r="T114" i="20" a="1"/>
  <c r="T114" i="20" s="1"/>
  <c r="T115" i="20" a="1"/>
  <c r="T115" i="20" s="1"/>
  <c r="T116" i="20" a="1"/>
  <c r="T116" i="20" s="1"/>
  <c r="T117" i="20" a="1"/>
  <c r="T117" i="20" s="1"/>
  <c r="T118" i="20" a="1"/>
  <c r="T118" i="20" s="1"/>
  <c r="T119" i="20" a="1"/>
  <c r="T119" i="20" s="1"/>
  <c r="T120" i="20" a="1"/>
  <c r="T120" i="20" s="1"/>
  <c r="T121" i="20" a="1"/>
  <c r="T121" i="20" s="1"/>
  <c r="T122" i="20" a="1"/>
  <c r="T122" i="20" s="1"/>
  <c r="T123" i="20" a="1"/>
  <c r="T123" i="20" s="1"/>
  <c r="T124" i="20" a="1"/>
  <c r="T124" i="20" s="1"/>
  <c r="T125" i="20" a="1"/>
  <c r="T125" i="20" s="1"/>
  <c r="T126" i="20" a="1"/>
  <c r="T126" i="20" s="1"/>
  <c r="T127" i="20" a="1"/>
  <c r="T127" i="20" s="1"/>
  <c r="T128" i="20" a="1"/>
  <c r="T128" i="20" s="1"/>
  <c r="T129" i="20" a="1"/>
  <c r="T129" i="20" s="1"/>
  <c r="T130" i="20" a="1"/>
  <c r="T130" i="20" s="1"/>
  <c r="T131" i="20" a="1"/>
  <c r="T131" i="20" s="1"/>
  <c r="T132" i="20" a="1"/>
  <c r="T132" i="20" s="1"/>
  <c r="T133" i="20" a="1"/>
  <c r="T133" i="20" s="1"/>
  <c r="T134" i="20" a="1"/>
  <c r="T134" i="20" s="1"/>
  <c r="T135" i="20" a="1"/>
  <c r="T135" i="20" s="1"/>
  <c r="T136" i="20" a="1"/>
  <c r="T136" i="20" s="1"/>
  <c r="T137" i="20" a="1"/>
  <c r="T137" i="20" s="1"/>
  <c r="T138" i="20" a="1"/>
  <c r="T138" i="20" s="1"/>
  <c r="T139" i="20" a="1"/>
  <c r="T139" i="20" s="1"/>
  <c r="T140" i="20" a="1"/>
  <c r="T140" i="20" s="1"/>
  <c r="T141" i="20" a="1"/>
  <c r="T141" i="20" s="1"/>
  <c r="T142" i="20" a="1"/>
  <c r="T142" i="20" s="1"/>
  <c r="T143" i="20" a="1"/>
  <c r="T143" i="20" s="1"/>
  <c r="T144" i="20" a="1"/>
  <c r="T144" i="20" s="1"/>
  <c r="T145" i="20" a="1"/>
  <c r="T145" i="20" s="1"/>
  <c r="T146" i="20" a="1"/>
  <c r="T146" i="20" s="1"/>
  <c r="T147" i="20" a="1"/>
  <c r="T147" i="20" s="1"/>
  <c r="T148" i="20" a="1"/>
  <c r="T148" i="20" s="1"/>
  <c r="T149" i="20" a="1"/>
  <c r="T149" i="20" s="1"/>
  <c r="T150" i="20" a="1"/>
  <c r="T150" i="20" s="1"/>
  <c r="T151" i="20" a="1"/>
  <c r="T151" i="20" s="1"/>
  <c r="T152" i="20" a="1"/>
  <c r="T152" i="20" s="1"/>
  <c r="T153" i="20" a="1"/>
  <c r="T153" i="20" s="1"/>
  <c r="T154" i="20" a="1"/>
  <c r="T154" i="20" s="1"/>
  <c r="T155" i="20" a="1"/>
  <c r="T155" i="20" s="1"/>
  <c r="T156" i="20" a="1"/>
  <c r="T156" i="20" s="1"/>
  <c r="T157" i="20" a="1"/>
  <c r="T157" i="20" s="1"/>
  <c r="T158" i="20" a="1"/>
  <c r="T158" i="20" s="1"/>
  <c r="T159" i="20" a="1"/>
  <c r="T159" i="20" s="1"/>
  <c r="T160" i="20" a="1"/>
  <c r="T160" i="20" s="1"/>
  <c r="T161" i="20" a="1"/>
  <c r="T161" i="20" s="1"/>
  <c r="T162" i="20" a="1"/>
  <c r="T162" i="20" s="1"/>
  <c r="T163" i="20" a="1"/>
  <c r="T163" i="20" s="1"/>
  <c r="T164" i="20" a="1"/>
  <c r="T164" i="20" s="1"/>
  <c r="T165" i="20" a="1"/>
  <c r="T165" i="20" s="1"/>
  <c r="T166" i="20" a="1"/>
  <c r="T166" i="20" s="1"/>
  <c r="T167" i="20" a="1"/>
  <c r="T167" i="20" s="1"/>
  <c r="T168" i="20" a="1"/>
  <c r="T168" i="20" s="1"/>
  <c r="T169" i="20" a="1"/>
  <c r="T169" i="20" s="1"/>
  <c r="T170" i="20" a="1"/>
  <c r="T170" i="20" s="1"/>
  <c r="T171" i="20" a="1"/>
  <c r="T171" i="20" s="1"/>
  <c r="T172" i="20" a="1"/>
  <c r="T172" i="20" s="1"/>
  <c r="T173" i="20" a="1"/>
  <c r="T173" i="20" s="1"/>
  <c r="T174" i="20" a="1"/>
  <c r="T174" i="20" s="1"/>
  <c r="T175" i="20" a="1"/>
  <c r="T175" i="20" s="1"/>
  <c r="T176" i="20" a="1"/>
  <c r="T176" i="20" s="1"/>
  <c r="T2" i="19" a="1"/>
  <c r="T2" i="19" s="1"/>
  <c r="T3" i="19" a="1"/>
  <c r="T3" i="19" s="1"/>
  <c r="T4" i="19" a="1"/>
  <c r="T4" i="19" s="1"/>
  <c r="T5" i="19" a="1"/>
  <c r="T5" i="19" s="1"/>
  <c r="T6" i="19" a="1"/>
  <c r="T6" i="19" s="1"/>
  <c r="T7" i="19" a="1"/>
  <c r="T7" i="19" s="1"/>
  <c r="T8" i="19" a="1"/>
  <c r="T8" i="19" s="1"/>
  <c r="T9" i="19" a="1"/>
  <c r="T9" i="19" s="1"/>
  <c r="T10" i="19" a="1"/>
  <c r="T10" i="19" s="1"/>
  <c r="T11" i="19" a="1"/>
  <c r="T11" i="19" s="1"/>
  <c r="T12" i="19" a="1"/>
  <c r="T12" i="19" s="1"/>
  <c r="T13" i="19" a="1"/>
  <c r="T13" i="19" s="1"/>
  <c r="T14" i="19" a="1"/>
  <c r="T14" i="19" s="1"/>
  <c r="T15" i="19" a="1"/>
  <c r="T15" i="19" s="1"/>
  <c r="T16" i="19" a="1"/>
  <c r="T16" i="19" s="1"/>
  <c r="T17" i="19" a="1"/>
  <c r="T17" i="19" s="1"/>
  <c r="T18" i="19" a="1"/>
  <c r="T18" i="19" s="1"/>
  <c r="T19" i="19" a="1"/>
  <c r="T19" i="19" s="1"/>
  <c r="T20" i="19" a="1"/>
  <c r="T20" i="19" s="1"/>
  <c r="T21" i="19" a="1"/>
  <c r="T21" i="19" s="1"/>
  <c r="T22" i="19" a="1"/>
  <c r="T22" i="19" s="1"/>
  <c r="T23" i="19" a="1"/>
  <c r="T23" i="19" s="1"/>
  <c r="T24" i="19" a="1"/>
  <c r="T24" i="19" s="1"/>
  <c r="T25" i="19" a="1"/>
  <c r="T25" i="19" s="1"/>
  <c r="T26" i="19" a="1"/>
  <c r="T26" i="19" s="1"/>
  <c r="T27" i="19" a="1"/>
  <c r="T27" i="19" s="1"/>
  <c r="T28" i="19" a="1"/>
  <c r="T28" i="19" s="1"/>
  <c r="T29" i="19" a="1"/>
  <c r="T29" i="19" s="1"/>
  <c r="T30" i="19" a="1"/>
  <c r="T30" i="19" s="1"/>
  <c r="T31" i="19" a="1"/>
  <c r="T31" i="19" s="1"/>
  <c r="T32" i="19" a="1"/>
  <c r="T32" i="19" s="1"/>
  <c r="T33" i="19" a="1"/>
  <c r="T33" i="19" s="1"/>
  <c r="T34" i="19" a="1"/>
  <c r="T34" i="19" s="1"/>
  <c r="T35" i="19" a="1"/>
  <c r="T35" i="19" s="1"/>
  <c r="T36" i="19" a="1"/>
  <c r="T36" i="19" s="1"/>
  <c r="T37" i="19" a="1"/>
  <c r="T37" i="19" s="1"/>
  <c r="T38" i="19" a="1"/>
  <c r="T38" i="19" s="1"/>
  <c r="T39" i="19" a="1"/>
  <c r="T39" i="19" s="1"/>
  <c r="T40" i="19" a="1"/>
  <c r="T40" i="19" s="1"/>
  <c r="T41" i="19" a="1"/>
  <c r="T41" i="19" s="1"/>
  <c r="T42" i="19" a="1"/>
  <c r="T42" i="19" s="1"/>
  <c r="T43" i="19" a="1"/>
  <c r="T43" i="19" s="1"/>
  <c r="T44" i="19" a="1"/>
  <c r="T44" i="19" s="1"/>
  <c r="T45" i="19" a="1"/>
  <c r="T45" i="19" s="1"/>
  <c r="T46" i="19" a="1"/>
  <c r="T46" i="19" s="1"/>
  <c r="T47" i="19" a="1"/>
  <c r="T47" i="19" s="1"/>
  <c r="T48" i="19" a="1"/>
  <c r="T48" i="19" s="1"/>
  <c r="T49" i="19" a="1"/>
  <c r="T49" i="19" s="1"/>
  <c r="T50" i="19" a="1"/>
  <c r="T50" i="19" s="1"/>
  <c r="T51" i="19" a="1"/>
  <c r="T51" i="19" s="1"/>
  <c r="T52" i="19" a="1"/>
  <c r="T52" i="19" s="1"/>
  <c r="T53" i="19" a="1"/>
  <c r="T53" i="19" s="1"/>
  <c r="T54" i="19" a="1"/>
  <c r="T54" i="19" s="1"/>
  <c r="T55" i="19" a="1"/>
  <c r="T55" i="19" s="1"/>
  <c r="T56" i="19" a="1"/>
  <c r="T56" i="19" s="1"/>
  <c r="T57" i="19" a="1"/>
  <c r="T57" i="19" s="1"/>
  <c r="T58" i="19" a="1"/>
  <c r="T58" i="19" s="1"/>
  <c r="T59" i="19" a="1"/>
  <c r="T59" i="19" s="1"/>
  <c r="T60" i="19" a="1"/>
  <c r="T60" i="19" s="1"/>
  <c r="T61" i="19" a="1"/>
  <c r="T61" i="19" s="1"/>
  <c r="T62" i="19" a="1"/>
  <c r="T62" i="19" s="1"/>
  <c r="T63" i="19" a="1"/>
  <c r="T63" i="19" s="1"/>
  <c r="T64" i="19" a="1"/>
  <c r="T64" i="19" s="1"/>
  <c r="T65" i="19" a="1"/>
  <c r="T65" i="19" s="1"/>
  <c r="T66" i="19" a="1"/>
  <c r="T66" i="19" s="1"/>
  <c r="T67" i="19" a="1"/>
  <c r="T67" i="19" s="1"/>
  <c r="T68" i="19" a="1"/>
  <c r="T68" i="19" s="1"/>
  <c r="T69" i="19" a="1"/>
  <c r="T69" i="19" s="1"/>
  <c r="T70" i="19" a="1"/>
  <c r="T70" i="19" s="1"/>
  <c r="T71" i="19" a="1"/>
  <c r="T71" i="19" s="1"/>
  <c r="T72" i="19" a="1"/>
  <c r="T72" i="19" s="1"/>
  <c r="T73" i="19" a="1"/>
  <c r="T73" i="19" s="1"/>
  <c r="T74" i="19" a="1"/>
  <c r="T74" i="19" s="1"/>
  <c r="T75" i="19" a="1"/>
  <c r="T75" i="19" s="1"/>
  <c r="T76" i="19" a="1"/>
  <c r="T76" i="19" s="1"/>
  <c r="T77" i="19" a="1"/>
  <c r="T77" i="19" s="1"/>
  <c r="T78" i="19" a="1"/>
  <c r="T78" i="19" s="1"/>
  <c r="T79" i="19" a="1"/>
  <c r="T79" i="19" s="1"/>
  <c r="T80" i="19" a="1"/>
  <c r="T80" i="19" s="1"/>
  <c r="T81" i="19" a="1"/>
  <c r="T81" i="19" s="1"/>
  <c r="T82" i="19" a="1"/>
  <c r="T82" i="19" s="1"/>
  <c r="T83" i="19" a="1"/>
  <c r="T83" i="19" s="1"/>
  <c r="T84" i="19" a="1"/>
  <c r="T84" i="19" s="1"/>
  <c r="T85" i="19" a="1"/>
  <c r="T85" i="19" s="1"/>
  <c r="T86" i="19" a="1"/>
  <c r="T86" i="19" s="1"/>
  <c r="T87" i="19" a="1"/>
  <c r="T87" i="19" s="1"/>
  <c r="T88" i="19" a="1"/>
  <c r="T88" i="19" s="1"/>
  <c r="T89" i="19" a="1"/>
  <c r="T89" i="19" s="1"/>
  <c r="T90" i="19" a="1"/>
  <c r="T90" i="19" s="1"/>
  <c r="T91" i="19" a="1"/>
  <c r="T91" i="19" s="1"/>
  <c r="T92" i="19" a="1"/>
  <c r="T92" i="19" s="1"/>
  <c r="T93" i="19" a="1"/>
  <c r="T93" i="19" s="1"/>
  <c r="T94" i="19" a="1"/>
  <c r="T94" i="19" s="1"/>
  <c r="T95" i="19" a="1"/>
  <c r="T95" i="19" s="1"/>
  <c r="T96" i="19" a="1"/>
  <c r="T96" i="19" s="1"/>
  <c r="T97" i="19" a="1"/>
  <c r="T97" i="19" s="1"/>
  <c r="T98" i="19" a="1"/>
  <c r="T98" i="19" s="1"/>
  <c r="T99" i="19" a="1"/>
  <c r="T99" i="19" s="1"/>
  <c r="T100" i="19" a="1"/>
  <c r="T100" i="19" s="1"/>
  <c r="T101" i="19" a="1"/>
  <c r="T101" i="19" s="1"/>
  <c r="T102" i="19" a="1"/>
  <c r="T102" i="19" s="1"/>
  <c r="T103" i="19" a="1"/>
  <c r="T103" i="19" s="1"/>
  <c r="T104" i="19" a="1"/>
  <c r="T104" i="19" s="1"/>
  <c r="T105" i="19" a="1"/>
  <c r="T105" i="19" s="1"/>
  <c r="T106" i="19" a="1"/>
  <c r="T106" i="19" s="1"/>
  <c r="T107" i="19" a="1"/>
  <c r="T107" i="19" s="1"/>
  <c r="T108" i="19" a="1"/>
  <c r="T108" i="19" s="1"/>
  <c r="T109" i="19" a="1"/>
  <c r="T109" i="19" s="1"/>
  <c r="T110" i="19" a="1"/>
  <c r="T110" i="19" s="1"/>
  <c r="T111" i="19" a="1"/>
  <c r="T111" i="19" s="1"/>
  <c r="T112" i="19" a="1"/>
  <c r="T112" i="19" s="1"/>
  <c r="T113" i="19" a="1"/>
  <c r="T113" i="19" s="1"/>
  <c r="T114" i="19" a="1"/>
  <c r="T114" i="19" s="1"/>
  <c r="T115" i="19" a="1"/>
  <c r="T115" i="19" s="1"/>
  <c r="T116" i="19" a="1"/>
  <c r="T116" i="19" s="1"/>
  <c r="T117" i="19" a="1"/>
  <c r="T117" i="19" s="1"/>
  <c r="T118" i="19" a="1"/>
  <c r="T118" i="19" s="1"/>
  <c r="T119" i="19" a="1"/>
  <c r="T119" i="19" s="1"/>
  <c r="T120" i="19" a="1"/>
  <c r="T120" i="19" s="1"/>
  <c r="T121" i="19" a="1"/>
  <c r="T121" i="19" s="1"/>
  <c r="T122" i="19" a="1"/>
  <c r="T122" i="19" s="1"/>
  <c r="T123" i="19" a="1"/>
  <c r="T123" i="19" s="1"/>
  <c r="T124" i="19" a="1"/>
  <c r="T124" i="19" s="1"/>
  <c r="T125" i="19" a="1"/>
  <c r="T125" i="19" s="1"/>
  <c r="T126" i="19" a="1"/>
  <c r="T126" i="19" s="1"/>
  <c r="T127" i="19" a="1"/>
  <c r="T127" i="19" s="1"/>
  <c r="T128" i="19" a="1"/>
  <c r="T128" i="19" s="1"/>
  <c r="T129" i="19" a="1"/>
  <c r="T129" i="19" s="1"/>
  <c r="T130" i="19" a="1"/>
  <c r="T130" i="19" s="1"/>
  <c r="T131" i="19" a="1"/>
  <c r="T131" i="19" s="1"/>
  <c r="T132" i="19" a="1"/>
  <c r="T132" i="19" s="1"/>
  <c r="T133" i="19" a="1"/>
  <c r="T133" i="19" s="1"/>
  <c r="T134" i="19" a="1"/>
  <c r="T134" i="19" s="1"/>
  <c r="T135" i="19" a="1"/>
  <c r="T135" i="19" s="1"/>
  <c r="T136" i="19" a="1"/>
  <c r="T136" i="19" s="1"/>
  <c r="T137" i="19" a="1"/>
  <c r="T137" i="19" s="1"/>
  <c r="T138" i="19" a="1"/>
  <c r="T138" i="19" s="1"/>
  <c r="T139" i="19" a="1"/>
  <c r="T139" i="19" s="1"/>
  <c r="T140" i="19" a="1"/>
  <c r="T140" i="19" s="1"/>
  <c r="T141" i="19" a="1"/>
  <c r="T141" i="19" s="1"/>
  <c r="T142" i="19" a="1"/>
  <c r="T142" i="19" s="1"/>
  <c r="T143" i="19" a="1"/>
  <c r="T143" i="19" s="1"/>
  <c r="T144" i="19" a="1"/>
  <c r="T144" i="19" s="1"/>
  <c r="T145" i="19" a="1"/>
  <c r="T145" i="19" s="1"/>
  <c r="T146" i="19" a="1"/>
  <c r="T146" i="19" s="1"/>
  <c r="T147" i="19" a="1"/>
  <c r="T147" i="19" s="1"/>
  <c r="T148" i="19" a="1"/>
  <c r="T148" i="19" s="1"/>
  <c r="T149" i="19" a="1"/>
  <c r="T149" i="19" s="1"/>
  <c r="T150" i="19" a="1"/>
  <c r="T150" i="19" s="1"/>
  <c r="T151" i="19" a="1"/>
  <c r="T151" i="19" s="1"/>
  <c r="T152" i="19" a="1"/>
  <c r="T152" i="19" s="1"/>
  <c r="T153" i="19" a="1"/>
  <c r="T153" i="19" s="1"/>
  <c r="T154" i="19" a="1"/>
  <c r="T154" i="19" s="1"/>
  <c r="T155" i="19" a="1"/>
  <c r="T155" i="19" s="1"/>
  <c r="T156" i="19" a="1"/>
  <c r="T156" i="19" s="1"/>
  <c r="T157" i="19" a="1"/>
  <c r="T157" i="19" s="1"/>
  <c r="T158" i="19" a="1"/>
  <c r="T158" i="19" s="1"/>
  <c r="T159" i="19" a="1"/>
  <c r="T159" i="19" s="1"/>
  <c r="T160" i="19" a="1"/>
  <c r="T160" i="19" s="1"/>
  <c r="T161" i="19" a="1"/>
  <c r="T161" i="19" s="1"/>
  <c r="T162" i="19" a="1"/>
  <c r="T162" i="19" s="1"/>
  <c r="T163" i="19" a="1"/>
  <c r="T163" i="19" s="1"/>
  <c r="T164" i="19" a="1"/>
  <c r="T164" i="19" s="1"/>
  <c r="T165" i="19" a="1"/>
  <c r="T165" i="19" s="1"/>
  <c r="T166" i="19" a="1"/>
  <c r="T166" i="19" s="1"/>
  <c r="T167" i="19" a="1"/>
  <c r="T167" i="19" s="1"/>
  <c r="T168" i="19" a="1"/>
  <c r="T168" i="19" s="1"/>
  <c r="T169" i="19" a="1"/>
  <c r="T169" i="19" s="1"/>
  <c r="T170" i="19" a="1"/>
  <c r="T170" i="19" s="1"/>
  <c r="T171" i="19" a="1"/>
  <c r="T171" i="19" s="1"/>
  <c r="T172" i="19" a="1"/>
  <c r="T172" i="19" s="1"/>
  <c r="T173" i="19" a="1"/>
  <c r="T173" i="19" s="1"/>
  <c r="T174" i="19" a="1"/>
  <c r="T174" i="19" s="1"/>
  <c r="T175" i="19" a="1"/>
  <c r="T175" i="19" s="1"/>
  <c r="T176" i="19" a="1"/>
  <c r="T176" i="19" s="1"/>
  <c r="T177" i="19" a="1"/>
  <c r="T177" i="19" s="1"/>
  <c r="T178" i="19" a="1"/>
  <c r="T178" i="19" s="1"/>
  <c r="T179" i="19" a="1"/>
  <c r="T179" i="19" s="1"/>
  <c r="T180" i="19" a="1"/>
  <c r="T180" i="19" s="1"/>
  <c r="T181" i="19" a="1"/>
  <c r="T181" i="19" s="1"/>
  <c r="T182" i="19" a="1"/>
  <c r="T182" i="19" s="1"/>
  <c r="T183" i="19" a="1"/>
  <c r="T183" i="19" s="1"/>
  <c r="T184" i="19" a="1"/>
  <c r="T184" i="19" s="1"/>
  <c r="T185" i="19" a="1"/>
  <c r="T185" i="19" s="1"/>
  <c r="T186" i="19" a="1"/>
  <c r="T186" i="19" s="1"/>
  <c r="T187" i="19" a="1"/>
  <c r="T187" i="19" s="1"/>
  <c r="T188" i="19" a="1"/>
  <c r="T188" i="19" s="1"/>
  <c r="T189" i="19" a="1"/>
  <c r="T189" i="19" s="1"/>
  <c r="T190" i="19" a="1"/>
  <c r="T190" i="19" s="1"/>
  <c r="T191" i="19" a="1"/>
  <c r="T191" i="19" s="1"/>
  <c r="T192" i="19" a="1"/>
  <c r="T192" i="19" s="1"/>
  <c r="T193" i="19" a="1"/>
  <c r="T193" i="19" s="1"/>
  <c r="T194" i="19" a="1"/>
  <c r="T194" i="19" s="1"/>
  <c r="T195" i="19" a="1"/>
  <c r="T195" i="19" s="1"/>
  <c r="T196" i="19" a="1"/>
  <c r="T196" i="19" s="1"/>
  <c r="T197" i="19" a="1"/>
  <c r="T197" i="19" s="1"/>
  <c r="T198" i="19" a="1"/>
  <c r="T198" i="19" s="1"/>
  <c r="T199" i="19" a="1"/>
  <c r="T199" i="19" s="1"/>
  <c r="T200" i="19" a="1"/>
  <c r="T200" i="19" s="1"/>
  <c r="T201" i="19" a="1"/>
  <c r="T201" i="19" s="1"/>
  <c r="T202" i="19" a="1"/>
  <c r="T202" i="19" s="1"/>
  <c r="T203" i="19" a="1"/>
  <c r="T203" i="19" s="1"/>
  <c r="T204" i="19" a="1"/>
  <c r="T204" i="19" s="1"/>
  <c r="T205" i="19" a="1"/>
  <c r="T205" i="19" s="1"/>
  <c r="T206" i="19" a="1"/>
  <c r="T206" i="19" s="1"/>
  <c r="T207" i="19" a="1"/>
  <c r="T207" i="19" s="1"/>
  <c r="T208" i="19" a="1"/>
  <c r="T208" i="19" s="1"/>
  <c r="T209" i="19" a="1"/>
  <c r="T209" i="19" s="1"/>
  <c r="T210" i="19" a="1"/>
  <c r="T210" i="19" s="1"/>
  <c r="T211" i="19" a="1"/>
  <c r="T211" i="19" s="1"/>
  <c r="T212" i="19" a="1"/>
  <c r="T212" i="19" s="1"/>
  <c r="T213" i="19" a="1"/>
  <c r="T213" i="19" s="1"/>
  <c r="T214" i="19" a="1"/>
  <c r="T214" i="19" s="1"/>
  <c r="T215" i="19" a="1"/>
  <c r="T215" i="19" s="1"/>
  <c r="T216" i="19" a="1"/>
  <c r="T216" i="19" s="1"/>
  <c r="T217" i="19" a="1"/>
  <c r="T217" i="19" s="1"/>
  <c r="T218" i="19" a="1"/>
  <c r="T218" i="19" s="1"/>
  <c r="T219" i="19" a="1"/>
  <c r="T219" i="19" s="1"/>
  <c r="T220" i="19" a="1"/>
  <c r="T220" i="19" s="1"/>
  <c r="T221" i="19" a="1"/>
  <c r="T221" i="19" s="1"/>
  <c r="T222" i="19" a="1"/>
  <c r="T222" i="19" s="1"/>
  <c r="T223" i="19" a="1"/>
  <c r="T223" i="19" s="1"/>
  <c r="T224" i="19" a="1"/>
  <c r="T224" i="19" s="1"/>
  <c r="T225" i="19" a="1"/>
  <c r="T225" i="19" s="1"/>
  <c r="T226" i="19" a="1"/>
  <c r="T226" i="19" s="1"/>
  <c r="T227" i="19" a="1"/>
  <c r="T227" i="19" s="1"/>
  <c r="T228" i="19" a="1"/>
  <c r="T228" i="19" s="1"/>
  <c r="T229" i="19" a="1"/>
  <c r="T229" i="19" s="1"/>
  <c r="T230" i="19" a="1"/>
  <c r="T230" i="19" s="1"/>
  <c r="T231" i="19" a="1"/>
  <c r="T231" i="19" s="1"/>
  <c r="T232" i="19" a="1"/>
  <c r="T232" i="19" s="1"/>
  <c r="T233" i="19" a="1"/>
  <c r="T233" i="19" s="1"/>
  <c r="T234" i="19" a="1"/>
  <c r="T234" i="19" s="1"/>
  <c r="T235" i="19" a="1"/>
  <c r="T235" i="19" s="1"/>
  <c r="T236" i="19" a="1"/>
  <c r="T236" i="19" s="1"/>
  <c r="T237" i="19" a="1"/>
  <c r="T237" i="19" s="1"/>
  <c r="T238" i="19" a="1"/>
  <c r="T238" i="19" s="1"/>
  <c r="T239" i="19" a="1"/>
  <c r="T239" i="19" s="1"/>
  <c r="T240" i="19" a="1"/>
  <c r="T240" i="19" s="1"/>
  <c r="T241" i="19" a="1"/>
  <c r="T241" i="19" s="1"/>
  <c r="T242" i="19" a="1"/>
  <c r="T242" i="19" s="1"/>
  <c r="T243" i="19" a="1"/>
  <c r="T243" i="19" s="1"/>
  <c r="T244" i="19" a="1"/>
  <c r="T244" i="19" s="1"/>
  <c r="T245" i="19" a="1"/>
  <c r="T245" i="19" s="1"/>
  <c r="T246" i="19" a="1"/>
  <c r="T246" i="19" s="1"/>
  <c r="T247" i="19" a="1"/>
  <c r="T247" i="19" s="1"/>
  <c r="T248" i="19" a="1"/>
  <c r="T248" i="19" s="1"/>
  <c r="T249" i="19" a="1"/>
  <c r="T249" i="19" s="1"/>
  <c r="T250" i="19" a="1"/>
  <c r="T250" i="19" s="1"/>
  <c r="T251" i="19" a="1"/>
  <c r="T251" i="19" s="1"/>
  <c r="T252" i="19" a="1"/>
  <c r="T252" i="19" s="1"/>
  <c r="T253" i="19" a="1"/>
  <c r="T253" i="19" s="1"/>
  <c r="T254" i="19" a="1"/>
  <c r="T254" i="19" s="1"/>
  <c r="T255" i="19" a="1"/>
  <c r="T255" i="19" s="1"/>
  <c r="T256" i="19" a="1"/>
  <c r="T256" i="19" s="1"/>
  <c r="T257" i="19" a="1"/>
  <c r="T257" i="19" s="1"/>
  <c r="T258" i="19" a="1"/>
  <c r="T258" i="19" s="1"/>
  <c r="T259" i="19" a="1"/>
  <c r="T259" i="19" s="1"/>
  <c r="T260" i="19" a="1"/>
  <c r="T260" i="19" s="1"/>
  <c r="T261" i="19" a="1"/>
  <c r="T261" i="19" s="1"/>
  <c r="T262" i="19" a="1"/>
  <c r="T262" i="19" s="1"/>
  <c r="T263" i="19" a="1"/>
  <c r="T263" i="19" s="1"/>
  <c r="T264" i="19" a="1"/>
  <c r="T264" i="19" s="1"/>
  <c r="T265" i="19" a="1"/>
  <c r="T265" i="19" s="1"/>
  <c r="T266" i="19" a="1"/>
  <c r="T266" i="19" s="1"/>
  <c r="T267" i="19" a="1"/>
  <c r="T267" i="19" s="1"/>
  <c r="T268" i="19" a="1"/>
  <c r="T268" i="19" s="1"/>
  <c r="T269" i="19" a="1"/>
  <c r="T269" i="19" s="1"/>
  <c r="T270" i="19" a="1"/>
  <c r="T270" i="19" s="1"/>
  <c r="T271" i="19" a="1"/>
  <c r="T271" i="19" s="1"/>
  <c r="T272" i="19" a="1"/>
  <c r="T272" i="19" s="1"/>
  <c r="T273" i="19" a="1"/>
  <c r="T273" i="19" s="1"/>
  <c r="T274" i="19" a="1"/>
  <c r="T274" i="19" s="1"/>
  <c r="T275" i="19" a="1"/>
  <c r="T275" i="19" s="1"/>
  <c r="T276" i="19" a="1"/>
  <c r="T276" i="19" s="1"/>
  <c r="T277" i="19" a="1"/>
  <c r="T277" i="19" s="1"/>
  <c r="T278" i="19" a="1"/>
  <c r="T278" i="19" s="1"/>
  <c r="T279" i="19" a="1"/>
  <c r="T279" i="19" s="1"/>
  <c r="T280" i="19" a="1"/>
  <c r="T280" i="19" s="1"/>
  <c r="T281" i="19" a="1"/>
  <c r="T281" i="19" s="1"/>
  <c r="T282" i="19" a="1"/>
  <c r="T282" i="19" s="1"/>
  <c r="T283" i="19" a="1"/>
  <c r="T283" i="19" s="1"/>
  <c r="T284" i="19" a="1"/>
  <c r="T284" i="19" s="1"/>
  <c r="T285" i="19" a="1"/>
  <c r="T285" i="19" s="1"/>
  <c r="T286" i="19" a="1"/>
  <c r="T286" i="19" s="1"/>
  <c r="T287" i="19" a="1"/>
  <c r="T287" i="19" s="1"/>
  <c r="T2" i="18" a="1"/>
  <c r="T2" i="18" s="1"/>
  <c r="T3" i="18" a="1"/>
  <c r="T3" i="18" s="1"/>
  <c r="T4" i="18" a="1"/>
  <c r="T4" i="18" s="1"/>
  <c r="T5" i="18" a="1"/>
  <c r="T5" i="18" s="1"/>
  <c r="T6" i="18" a="1"/>
  <c r="T6" i="18" s="1"/>
  <c r="T7" i="18" a="1"/>
  <c r="T7" i="18" s="1"/>
  <c r="T8" i="18" a="1"/>
  <c r="T8" i="18" s="1"/>
  <c r="T9" i="18" a="1"/>
  <c r="T9" i="18" s="1"/>
  <c r="T10" i="18" a="1"/>
  <c r="T10" i="18" s="1"/>
  <c r="T11" i="18" a="1"/>
  <c r="T11" i="18" s="1"/>
  <c r="T12" i="18" a="1"/>
  <c r="T12" i="18" s="1"/>
  <c r="T13" i="18" a="1"/>
  <c r="T13" i="18" s="1"/>
  <c r="T14" i="18" a="1"/>
  <c r="T14" i="18" s="1"/>
  <c r="T15" i="18" a="1"/>
  <c r="T15" i="18" s="1"/>
  <c r="T16" i="18" a="1"/>
  <c r="T16" i="18" s="1"/>
  <c r="T17" i="18" a="1"/>
  <c r="T17" i="18" s="1"/>
  <c r="T18" i="18" a="1"/>
  <c r="T18" i="18" s="1"/>
  <c r="T19" i="18" a="1"/>
  <c r="T19" i="18" s="1"/>
  <c r="T20" i="18" a="1"/>
  <c r="T20" i="18" s="1"/>
  <c r="T21" i="18" a="1"/>
  <c r="T21" i="18" s="1"/>
  <c r="T22" i="18" a="1"/>
  <c r="T22" i="18" s="1"/>
  <c r="T23" i="18" a="1"/>
  <c r="T23" i="18" s="1"/>
  <c r="T24" i="18" a="1"/>
  <c r="T24" i="18" s="1"/>
  <c r="T25" i="18" a="1"/>
  <c r="T25" i="18" s="1"/>
  <c r="T26" i="18" a="1"/>
  <c r="T26" i="18" s="1"/>
  <c r="T27" i="18" a="1"/>
  <c r="T27" i="18" s="1"/>
  <c r="T28" i="18" a="1"/>
  <c r="T28" i="18" s="1"/>
  <c r="T29" i="18" a="1"/>
  <c r="T29" i="18" s="1"/>
  <c r="T30" i="18" a="1"/>
  <c r="T30" i="18" s="1"/>
  <c r="T31" i="18" a="1"/>
  <c r="T31" i="18" s="1"/>
  <c r="T32" i="18" a="1"/>
  <c r="T32" i="18" s="1"/>
  <c r="T33" i="18" a="1"/>
  <c r="T33" i="18" s="1"/>
  <c r="T34" i="18" a="1"/>
  <c r="T34" i="18" s="1"/>
  <c r="T35" i="18" a="1"/>
  <c r="T35" i="18" s="1"/>
  <c r="T36" i="18" a="1"/>
  <c r="T36" i="18" s="1"/>
  <c r="T37" i="18" a="1"/>
  <c r="T37" i="18" s="1"/>
  <c r="T38" i="18" a="1"/>
  <c r="T38" i="18" s="1"/>
  <c r="T39" i="18" a="1"/>
  <c r="T39" i="18" s="1"/>
  <c r="T40" i="18" a="1"/>
  <c r="T40" i="18" s="1"/>
  <c r="T41" i="18" a="1"/>
  <c r="T41" i="18" s="1"/>
  <c r="T42" i="18" a="1"/>
  <c r="T42" i="18" s="1"/>
  <c r="T43" i="18" a="1"/>
  <c r="T43" i="18" s="1"/>
  <c r="T44" i="18" a="1"/>
  <c r="T44" i="18" s="1"/>
  <c r="T45" i="18" a="1"/>
  <c r="T45" i="18" s="1"/>
  <c r="T46" i="18" a="1"/>
  <c r="T46" i="18" s="1"/>
  <c r="T47" i="18" a="1"/>
  <c r="T47" i="18" s="1"/>
  <c r="T48" i="18" a="1"/>
  <c r="T48" i="18" s="1"/>
  <c r="T49" i="18" a="1"/>
  <c r="T49" i="18" s="1"/>
  <c r="T50" i="18" a="1"/>
  <c r="T50" i="18" s="1"/>
  <c r="T51" i="18" a="1"/>
  <c r="T51" i="18" s="1"/>
  <c r="T52" i="18" a="1"/>
  <c r="T52" i="18" s="1"/>
  <c r="T53" i="18" a="1"/>
  <c r="T53" i="18" s="1"/>
  <c r="T54" i="18" a="1"/>
  <c r="T54" i="18" s="1"/>
  <c r="T55" i="18" a="1"/>
  <c r="T55" i="18" s="1"/>
  <c r="T56" i="18" a="1"/>
  <c r="T56" i="18" s="1"/>
  <c r="T57" i="18" a="1"/>
  <c r="T57" i="18" s="1"/>
  <c r="T58" i="18" a="1"/>
  <c r="T58" i="18" s="1"/>
  <c r="T59" i="18" a="1"/>
  <c r="T59" i="18" s="1"/>
  <c r="T60" i="18" a="1"/>
  <c r="T60" i="18" s="1"/>
  <c r="T61" i="18" a="1"/>
  <c r="T61" i="18" s="1"/>
  <c r="T62" i="18" a="1"/>
  <c r="T62" i="18" s="1"/>
  <c r="T63" i="18" a="1"/>
  <c r="T63" i="18" s="1"/>
  <c r="T64" i="18" a="1"/>
  <c r="T64" i="18" s="1"/>
  <c r="T65" i="18" a="1"/>
  <c r="T65" i="18" s="1"/>
  <c r="T66" i="18" a="1"/>
  <c r="T66" i="18" s="1"/>
  <c r="T67" i="18" a="1"/>
  <c r="T67" i="18" s="1"/>
  <c r="T68" i="18" a="1"/>
  <c r="T68" i="18" s="1"/>
  <c r="T69" i="18" a="1"/>
  <c r="T69" i="18" s="1"/>
  <c r="T70" i="18" a="1"/>
  <c r="T70" i="18" s="1"/>
  <c r="T71" i="18" a="1"/>
  <c r="T71" i="18" s="1"/>
  <c r="T72" i="18" a="1"/>
  <c r="T72" i="18" s="1"/>
  <c r="T73" i="18" a="1"/>
  <c r="T73" i="18" s="1"/>
  <c r="T74" i="18" a="1"/>
  <c r="T74" i="18" s="1"/>
  <c r="T75" i="18" a="1"/>
  <c r="T75" i="18" s="1"/>
  <c r="T76" i="18" a="1"/>
  <c r="T76" i="18" s="1"/>
  <c r="T77" i="18" a="1"/>
  <c r="T77" i="18" s="1"/>
  <c r="T78" i="18" a="1"/>
  <c r="T78" i="18" s="1"/>
  <c r="T79" i="18" a="1"/>
  <c r="T79" i="18" s="1"/>
  <c r="T80" i="18" a="1"/>
  <c r="T80" i="18" s="1"/>
  <c r="T81" i="18" a="1"/>
  <c r="T81" i="18" s="1"/>
  <c r="T82" i="18" a="1"/>
  <c r="T82" i="18" s="1"/>
  <c r="T83" i="18" a="1"/>
  <c r="T83" i="18" s="1"/>
  <c r="T84" i="18" a="1"/>
  <c r="T84" i="18" s="1"/>
  <c r="T85" i="18" a="1"/>
  <c r="T85" i="18" s="1"/>
  <c r="T86" i="18" a="1"/>
  <c r="T86" i="18" s="1"/>
  <c r="T87" i="18" a="1"/>
  <c r="T87" i="18" s="1"/>
  <c r="T88" i="18" a="1"/>
  <c r="T88" i="18" s="1"/>
  <c r="T89" i="18" a="1"/>
  <c r="T89" i="18" s="1"/>
  <c r="T90" i="18" a="1"/>
  <c r="T90" i="18" s="1"/>
  <c r="T91" i="18" a="1"/>
  <c r="T91" i="18" s="1"/>
  <c r="T92" i="18" a="1"/>
  <c r="T92" i="18" s="1"/>
  <c r="T93" i="18" a="1"/>
  <c r="T93" i="18" s="1"/>
  <c r="T94" i="18" a="1"/>
  <c r="T94" i="18" s="1"/>
  <c r="T95" i="18" a="1"/>
  <c r="T95" i="18" s="1"/>
  <c r="T96" i="18" a="1"/>
  <c r="T96" i="18" s="1"/>
  <c r="T97" i="18" a="1"/>
  <c r="T97" i="18" s="1"/>
  <c r="T98" i="18" a="1"/>
  <c r="T98" i="18" s="1"/>
  <c r="T99" i="18" a="1"/>
  <c r="T99" i="18" s="1"/>
  <c r="T100" i="18" a="1"/>
  <c r="T100" i="18" s="1"/>
  <c r="T101" i="18" a="1"/>
  <c r="T101" i="18" s="1"/>
  <c r="T102" i="18" a="1"/>
  <c r="T102" i="18" s="1"/>
  <c r="T103" i="18" a="1"/>
  <c r="T103" i="18" s="1"/>
  <c r="T104" i="18" a="1"/>
  <c r="T104" i="18" s="1"/>
  <c r="T105" i="18" a="1"/>
  <c r="T105" i="18" s="1"/>
  <c r="T106" i="18" a="1"/>
  <c r="T106" i="18" s="1"/>
  <c r="T107" i="18" a="1"/>
  <c r="T107" i="18" s="1"/>
  <c r="T108" i="18" a="1"/>
  <c r="T108" i="18" s="1"/>
  <c r="T109" i="18" a="1"/>
  <c r="T109" i="18" s="1"/>
  <c r="T110" i="18" a="1"/>
  <c r="T110" i="18" s="1"/>
  <c r="T111" i="18" a="1"/>
  <c r="T111" i="18" s="1"/>
  <c r="T112" i="18" a="1"/>
  <c r="T112" i="18" s="1"/>
  <c r="T113" i="18" a="1"/>
  <c r="T113" i="18" s="1"/>
  <c r="T114" i="18" a="1"/>
  <c r="T114" i="18" s="1"/>
  <c r="T115" i="18" a="1"/>
  <c r="T115" i="18" s="1"/>
  <c r="T116" i="18" a="1"/>
  <c r="T116" i="18" s="1"/>
  <c r="T117" i="18" a="1"/>
  <c r="T117" i="18" s="1"/>
  <c r="T118" i="18" a="1"/>
  <c r="T118" i="18" s="1"/>
  <c r="T119" i="18" a="1"/>
  <c r="T119" i="18" s="1"/>
  <c r="T120" i="18" a="1"/>
  <c r="T120" i="18" s="1"/>
  <c r="T121" i="18" a="1"/>
  <c r="T121" i="18" s="1"/>
  <c r="T122" i="18" a="1"/>
  <c r="T122" i="18" s="1"/>
  <c r="T123" i="18" a="1"/>
  <c r="T123" i="18" s="1"/>
  <c r="T124" i="18" a="1"/>
  <c r="T124" i="18" s="1"/>
  <c r="T125" i="18" a="1"/>
  <c r="T125" i="18" s="1"/>
  <c r="T126" i="18" a="1"/>
  <c r="T126" i="18" s="1"/>
  <c r="T127" i="18" a="1"/>
  <c r="T127" i="18" s="1"/>
  <c r="T128" i="18" a="1"/>
  <c r="T128" i="18" s="1"/>
  <c r="T129" i="18" a="1"/>
  <c r="T129" i="18" s="1"/>
  <c r="T130" i="18" a="1"/>
  <c r="T130" i="18" s="1"/>
  <c r="T131" i="18" a="1"/>
  <c r="T131" i="18" s="1"/>
  <c r="T132" i="18" a="1"/>
  <c r="T132" i="18" s="1"/>
  <c r="T133" i="18" a="1"/>
  <c r="T133" i="18" s="1"/>
  <c r="T134" i="18" a="1"/>
  <c r="T134" i="18" s="1"/>
  <c r="T135" i="18" a="1"/>
  <c r="T135" i="18" s="1"/>
  <c r="T136" i="18" a="1"/>
  <c r="T136" i="18" s="1"/>
  <c r="T137" i="18" a="1"/>
  <c r="T137" i="18" s="1"/>
  <c r="T138" i="18" a="1"/>
  <c r="T138" i="18" s="1"/>
  <c r="T139" i="18" a="1"/>
  <c r="T139" i="18" s="1"/>
  <c r="T140" i="18" a="1"/>
  <c r="T140" i="18" s="1"/>
  <c r="T141" i="18" a="1"/>
  <c r="T141" i="18" s="1"/>
  <c r="T142" i="18" a="1"/>
  <c r="T142" i="18" s="1"/>
  <c r="T143" i="18" a="1"/>
  <c r="T143" i="18" s="1"/>
  <c r="T144" i="18" a="1"/>
  <c r="T144" i="18" s="1"/>
  <c r="T145" i="18" a="1"/>
  <c r="T145" i="18" s="1"/>
  <c r="T146" i="18" a="1"/>
  <c r="T146" i="18" s="1"/>
  <c r="T147" i="18" a="1"/>
  <c r="T147" i="18" s="1"/>
  <c r="T148" i="18" a="1"/>
  <c r="T148" i="18" s="1"/>
  <c r="T149" i="18" a="1"/>
  <c r="T149" i="18" s="1"/>
  <c r="T150" i="18" a="1"/>
  <c r="T150" i="18" s="1"/>
  <c r="T151" i="18" a="1"/>
  <c r="T151" i="18" s="1"/>
  <c r="T152" i="18" a="1"/>
  <c r="T152" i="18" s="1"/>
  <c r="T153" i="18" a="1"/>
  <c r="T153" i="18" s="1"/>
  <c r="T154" i="18" a="1"/>
  <c r="T154" i="18" s="1"/>
  <c r="T155" i="18" a="1"/>
  <c r="T155" i="18" s="1"/>
  <c r="T156" i="18" a="1"/>
  <c r="T156" i="18" s="1"/>
  <c r="T157" i="18" a="1"/>
  <c r="T157" i="18" s="1"/>
  <c r="T158" i="18" a="1"/>
  <c r="T158" i="18" s="1"/>
  <c r="T159" i="18" a="1"/>
  <c r="T159" i="18" s="1"/>
  <c r="T160" i="18" a="1"/>
  <c r="T160" i="18" s="1"/>
  <c r="T161" i="18" a="1"/>
  <c r="T161" i="18" s="1"/>
  <c r="T162" i="18" a="1"/>
  <c r="T162" i="18" s="1"/>
  <c r="T163" i="18" a="1"/>
  <c r="T163" i="18" s="1"/>
  <c r="T164" i="18" a="1"/>
  <c r="T164" i="18" s="1"/>
  <c r="T165" i="18" a="1"/>
  <c r="T165" i="18" s="1"/>
  <c r="T166" i="18" a="1"/>
  <c r="T166" i="18" s="1"/>
  <c r="T167" i="18" a="1"/>
  <c r="T167" i="18" s="1"/>
  <c r="T168" i="18" a="1"/>
  <c r="T168" i="18" s="1"/>
  <c r="T169" i="18" a="1"/>
  <c r="T169" i="18" s="1"/>
  <c r="T170" i="18" a="1"/>
  <c r="T170" i="18" s="1"/>
  <c r="T171" i="18" a="1"/>
  <c r="T171" i="18" s="1"/>
  <c r="T172" i="18" a="1"/>
  <c r="T172" i="18" s="1"/>
  <c r="T173" i="18" a="1"/>
  <c r="T173" i="18" s="1"/>
  <c r="T174" i="18" a="1"/>
  <c r="T174" i="18" s="1"/>
  <c r="T175" i="18" a="1"/>
  <c r="T175" i="18" s="1"/>
  <c r="T176" i="18" a="1"/>
  <c r="T176" i="18" s="1"/>
  <c r="T177" i="18" a="1"/>
  <c r="T177" i="18" s="1"/>
  <c r="T178" i="18" a="1"/>
  <c r="T178" i="18" s="1"/>
  <c r="T179" i="18" a="1"/>
  <c r="T179" i="18" s="1"/>
  <c r="T180" i="18" a="1"/>
  <c r="T180" i="18" s="1"/>
  <c r="T181" i="18" a="1"/>
  <c r="T181" i="18" s="1"/>
  <c r="T182" i="18" a="1"/>
  <c r="T182" i="18" s="1"/>
  <c r="T183" i="18" a="1"/>
  <c r="T183" i="18" s="1"/>
  <c r="T184" i="18" a="1"/>
  <c r="T184" i="18" s="1"/>
  <c r="T185" i="18" a="1"/>
  <c r="T185" i="18" s="1"/>
  <c r="T186" i="18" a="1"/>
  <c r="T186" i="18" s="1"/>
  <c r="T187" i="18" a="1"/>
  <c r="T187" i="18" s="1"/>
  <c r="T188" i="18" a="1"/>
  <c r="T188" i="18" s="1"/>
  <c r="T189" i="18" a="1"/>
  <c r="T189" i="18" s="1"/>
  <c r="T190" i="18" a="1"/>
  <c r="T190" i="18" s="1"/>
  <c r="T191" i="18" a="1"/>
  <c r="T191" i="18" s="1"/>
  <c r="T192" i="18" a="1"/>
  <c r="T192" i="18" s="1"/>
  <c r="T193" i="18" a="1"/>
  <c r="T193" i="18" s="1"/>
  <c r="T194" i="18" a="1"/>
  <c r="T194" i="18" s="1"/>
  <c r="T195" i="18" a="1"/>
  <c r="T195" i="18" s="1"/>
  <c r="T196" i="18" a="1"/>
  <c r="T196" i="18" s="1"/>
  <c r="T197" i="18" a="1"/>
  <c r="T197" i="18" s="1"/>
  <c r="T198" i="18" a="1"/>
  <c r="T198" i="18" s="1"/>
  <c r="T199" i="18" a="1"/>
  <c r="T199" i="18" s="1"/>
  <c r="T200" i="18" a="1"/>
  <c r="T200" i="18" s="1"/>
  <c r="T201" i="18" a="1"/>
  <c r="T201" i="18" s="1"/>
  <c r="T202" i="18" a="1"/>
  <c r="T202" i="18" s="1"/>
  <c r="T203" i="18" a="1"/>
  <c r="T203" i="18" s="1"/>
  <c r="T204" i="18" a="1"/>
  <c r="T204" i="18" s="1"/>
  <c r="T205" i="18" a="1"/>
  <c r="T205" i="18" s="1"/>
  <c r="T206" i="18" a="1"/>
  <c r="T206" i="18" s="1"/>
  <c r="T207" i="18" a="1"/>
  <c r="T207" i="18" s="1"/>
  <c r="T208" i="18" a="1"/>
  <c r="T208" i="18" s="1"/>
  <c r="T209" i="18" a="1"/>
  <c r="T209" i="18" s="1"/>
  <c r="T210" i="18" a="1"/>
  <c r="T210" i="18" s="1"/>
  <c r="T211" i="18" a="1"/>
  <c r="T211" i="18" s="1"/>
  <c r="T212" i="18" a="1"/>
  <c r="T212" i="18" s="1"/>
  <c r="T213" i="18" a="1"/>
  <c r="T213" i="18" s="1"/>
  <c r="T214" i="18" a="1"/>
  <c r="T214" i="18" s="1"/>
  <c r="T215" i="18" a="1"/>
  <c r="T215" i="18" s="1"/>
  <c r="T216" i="18" a="1"/>
  <c r="T216" i="18" s="1"/>
  <c r="T217" i="18" a="1"/>
  <c r="T217" i="18" s="1"/>
  <c r="T218" i="18" a="1"/>
  <c r="T218" i="18" s="1"/>
  <c r="T219" i="18" a="1"/>
  <c r="T219" i="18" s="1"/>
  <c r="T220" i="18" a="1"/>
  <c r="T220" i="18" s="1"/>
  <c r="T221" i="18" a="1"/>
  <c r="T221" i="18" s="1"/>
  <c r="T222" i="18" a="1"/>
  <c r="T222" i="18" s="1"/>
  <c r="T223" i="18" a="1"/>
  <c r="T223" i="18" s="1"/>
  <c r="T224" i="18" a="1"/>
  <c r="T224" i="18" s="1"/>
  <c r="T225" i="18" a="1"/>
  <c r="T225" i="18" s="1"/>
  <c r="T226" i="18" a="1"/>
  <c r="T226" i="18" s="1"/>
  <c r="T227" i="18" a="1"/>
  <c r="T227" i="18" s="1"/>
  <c r="T228" i="18" a="1"/>
  <c r="T228" i="18" s="1"/>
  <c r="T229" i="18" a="1"/>
  <c r="T229" i="18" s="1"/>
  <c r="T230" i="18" a="1"/>
  <c r="T230" i="18" s="1"/>
  <c r="T231" i="18" a="1"/>
  <c r="T231" i="18" s="1"/>
  <c r="T232" i="18" a="1"/>
  <c r="T232" i="18" s="1"/>
  <c r="T233" i="18" a="1"/>
  <c r="T233" i="18" s="1"/>
  <c r="T234" i="18" a="1"/>
  <c r="T234" i="18" s="1"/>
  <c r="T235" i="18" a="1"/>
  <c r="T235" i="18" s="1"/>
  <c r="T236" i="18" a="1"/>
  <c r="T236" i="18" s="1"/>
  <c r="T237" i="18" a="1"/>
  <c r="T237" i="18" s="1"/>
  <c r="T238" i="18" a="1"/>
  <c r="T238" i="18" s="1"/>
  <c r="T239" i="18" a="1"/>
  <c r="T239" i="18" s="1"/>
  <c r="T240" i="18" a="1"/>
  <c r="T240" i="18" s="1"/>
  <c r="T241" i="18" a="1"/>
  <c r="T241" i="18" s="1"/>
  <c r="T242" i="18" a="1"/>
  <c r="T242" i="18" s="1"/>
  <c r="T243" i="18" a="1"/>
  <c r="T243" i="18" s="1"/>
  <c r="T244" i="18" a="1"/>
  <c r="T244" i="18" s="1"/>
  <c r="T245" i="18" a="1"/>
  <c r="T245" i="18" s="1"/>
  <c r="T246" i="18" a="1"/>
  <c r="T246" i="18" s="1"/>
  <c r="T247" i="18" a="1"/>
  <c r="T247" i="18" s="1"/>
  <c r="T248" i="18" a="1"/>
  <c r="T248" i="18" s="1"/>
  <c r="T249" i="18" a="1"/>
  <c r="T249" i="18" s="1"/>
  <c r="T250" i="18" a="1"/>
  <c r="T250" i="18" s="1"/>
  <c r="T251" i="18" a="1"/>
  <c r="T251" i="18" s="1"/>
  <c r="T252" i="18" a="1"/>
  <c r="T252" i="18" s="1"/>
  <c r="T253" i="18" a="1"/>
  <c r="T253" i="18" s="1"/>
  <c r="T254" i="18" a="1"/>
  <c r="T254" i="18" s="1"/>
  <c r="T255" i="18" a="1"/>
  <c r="T255" i="18" s="1"/>
  <c r="T256" i="18" a="1"/>
  <c r="T256" i="18" s="1"/>
  <c r="T257" i="18" a="1"/>
  <c r="T257" i="18" s="1"/>
  <c r="T258" i="18" a="1"/>
  <c r="T258" i="18" s="1"/>
  <c r="T259" i="18" a="1"/>
  <c r="T259" i="18" s="1"/>
  <c r="T260" i="18" a="1"/>
  <c r="T260" i="18" s="1"/>
  <c r="T261" i="18" a="1"/>
  <c r="T261" i="18" s="1"/>
  <c r="T262" i="18" a="1"/>
  <c r="T262" i="18" s="1"/>
  <c r="T263" i="18" a="1"/>
  <c r="T263" i="18" s="1"/>
  <c r="T264" i="18" a="1"/>
  <c r="T264" i="18" s="1"/>
  <c r="T265" i="18" a="1"/>
  <c r="T265" i="18" s="1"/>
  <c r="T266" i="18" a="1"/>
  <c r="T266" i="18" s="1"/>
  <c r="T267" i="18" a="1"/>
  <c r="T267" i="18" s="1"/>
  <c r="T268" i="18" a="1"/>
  <c r="T268" i="18" s="1"/>
  <c r="T269" i="18" a="1"/>
  <c r="T269" i="18" s="1"/>
  <c r="T270" i="18" a="1"/>
  <c r="T270" i="18" s="1"/>
  <c r="T271" i="18" a="1"/>
  <c r="T271" i="18" s="1"/>
  <c r="T272" i="18" a="1"/>
  <c r="T272" i="18" s="1"/>
  <c r="T273" i="18" a="1"/>
  <c r="T273" i="18" s="1"/>
  <c r="T274" i="18" a="1"/>
  <c r="T274" i="18" s="1"/>
  <c r="T275" i="18" a="1"/>
  <c r="T275" i="18" s="1"/>
  <c r="T276" i="18" a="1"/>
  <c r="T276" i="18" s="1"/>
  <c r="T277" i="18" a="1"/>
  <c r="T277" i="18" s="1"/>
  <c r="T278" i="18" a="1"/>
  <c r="T278" i="18" s="1"/>
  <c r="T279" i="18" a="1"/>
  <c r="T279" i="18" s="1"/>
  <c r="T280" i="18" a="1"/>
  <c r="T280" i="18" s="1"/>
  <c r="T281" i="18" a="1"/>
  <c r="T281" i="18" s="1"/>
  <c r="T282" i="18" a="1"/>
  <c r="T282" i="18" s="1"/>
  <c r="T283" i="18" a="1"/>
  <c r="T283" i="18" s="1"/>
  <c r="T284" i="18" a="1"/>
  <c r="T284" i="18" s="1"/>
  <c r="T285" i="18" a="1"/>
  <c r="T285" i="18" s="1"/>
  <c r="T286" i="18" a="1"/>
  <c r="T286" i="18" s="1"/>
  <c r="T287" i="18" a="1"/>
  <c r="T287" i="18" s="1"/>
  <c r="T288" i="18" a="1"/>
  <c r="T288" i="18" s="1"/>
  <c r="T289" i="18" a="1"/>
  <c r="T289" i="18" s="1"/>
  <c r="T290" i="18" a="1"/>
  <c r="T290" i="18" s="1"/>
  <c r="T291" i="18" a="1"/>
  <c r="T291" i="18" s="1"/>
  <c r="T292" i="18" a="1"/>
  <c r="T292" i="18" s="1"/>
  <c r="T293" i="18" a="1"/>
  <c r="T293" i="18" s="1"/>
  <c r="T294" i="18" a="1"/>
  <c r="T294" i="18" s="1"/>
  <c r="T295" i="18" a="1"/>
  <c r="T295" i="18" s="1"/>
  <c r="T296" i="18" a="1"/>
  <c r="T296" i="18" s="1"/>
  <c r="T297" i="18" a="1"/>
  <c r="T297" i="18" s="1"/>
  <c r="T298" i="18" a="1"/>
  <c r="T298" i="18" s="1"/>
  <c r="T299" i="18" a="1"/>
  <c r="T299" i="18" s="1"/>
  <c r="T300" i="18" a="1"/>
  <c r="T300" i="18" s="1"/>
  <c r="T301" i="18" a="1"/>
  <c r="T301" i="18" s="1"/>
  <c r="T302" i="18" a="1"/>
  <c r="T302" i="18" s="1"/>
  <c r="T303" i="18" a="1"/>
  <c r="T303" i="18" s="1"/>
  <c r="T304" i="18" a="1"/>
  <c r="T304" i="18" s="1"/>
  <c r="T305" i="18" a="1"/>
  <c r="T305" i="18" s="1"/>
  <c r="T306" i="18" a="1"/>
  <c r="T306" i="18" s="1"/>
  <c r="T307" i="18" a="1"/>
  <c r="T307" i="18" s="1"/>
  <c r="T308" i="18" a="1"/>
  <c r="T308" i="18" s="1"/>
  <c r="T309" i="18" a="1"/>
  <c r="T309" i="18" s="1"/>
  <c r="T310" i="18" a="1"/>
  <c r="T310" i="18" s="1"/>
  <c r="T311" i="18" a="1"/>
  <c r="T311" i="18" s="1"/>
  <c r="T312" i="18" a="1"/>
  <c r="T312" i="18" s="1"/>
  <c r="T313" i="18" a="1"/>
  <c r="T313" i="18" s="1"/>
  <c r="T314" i="18" a="1"/>
  <c r="T314" i="18" s="1"/>
  <c r="T315" i="18" a="1"/>
  <c r="T315" i="18" s="1"/>
  <c r="T316" i="18" a="1"/>
  <c r="T316" i="18" s="1"/>
  <c r="T317" i="18" a="1"/>
  <c r="T317" i="18" s="1"/>
  <c r="T318" i="18" a="1"/>
  <c r="T318" i="18" s="1"/>
  <c r="T319" i="18" a="1"/>
  <c r="T319" i="18" s="1"/>
  <c r="T320" i="18" a="1"/>
  <c r="T320" i="18" s="1"/>
  <c r="T321" i="18" a="1"/>
  <c r="T321" i="18" s="1"/>
  <c r="T322" i="18" a="1"/>
  <c r="T322" i="18" s="1"/>
  <c r="T323" i="18" a="1"/>
  <c r="T323" i="18" s="1"/>
  <c r="T324" i="18" a="1"/>
  <c r="T324" i="18" s="1"/>
  <c r="T325" i="18" a="1"/>
  <c r="T325" i="18" s="1"/>
  <c r="T326" i="18" a="1"/>
  <c r="T326" i="18" s="1"/>
  <c r="T327" i="18" a="1"/>
  <c r="T327" i="18" s="1"/>
  <c r="T328" i="18" a="1"/>
  <c r="T328" i="18" s="1"/>
  <c r="T329" i="18" a="1"/>
  <c r="T329" i="18" s="1"/>
  <c r="T330" i="18" a="1"/>
  <c r="T330" i="18" s="1"/>
  <c r="T331" i="18" a="1"/>
  <c r="T331" i="18" s="1"/>
  <c r="T332" i="18" a="1"/>
  <c r="T332" i="18" s="1"/>
  <c r="T333" i="18" a="1"/>
  <c r="T333" i="18" s="1"/>
  <c r="T334" i="18" a="1"/>
  <c r="T334" i="18" s="1"/>
  <c r="T335" i="18" a="1"/>
  <c r="T335" i="18" s="1"/>
  <c r="T336" i="18" a="1"/>
  <c r="T336" i="18" s="1"/>
  <c r="T337" i="18" a="1"/>
  <c r="T337" i="18" s="1"/>
  <c r="T338" i="18" a="1"/>
  <c r="T338" i="18" s="1"/>
  <c r="T339" i="18" a="1"/>
  <c r="T339" i="18" s="1"/>
  <c r="T340" i="18" a="1"/>
  <c r="T340" i="18" s="1"/>
  <c r="T341" i="18" a="1"/>
  <c r="T341" i="18" s="1"/>
  <c r="T342" i="18" a="1"/>
  <c r="T342" i="18" s="1"/>
  <c r="T343" i="18" a="1"/>
  <c r="T343" i="18" s="1"/>
  <c r="T344" i="18" a="1"/>
  <c r="T344" i="18" s="1"/>
  <c r="T345" i="18" a="1"/>
  <c r="T345" i="18" s="1"/>
  <c r="T346" i="18" a="1"/>
  <c r="T346" i="18" s="1"/>
  <c r="T347" i="18" a="1"/>
  <c r="T347" i="18" s="1"/>
  <c r="T348" i="18" a="1"/>
  <c r="T348" i="18" s="1"/>
  <c r="T349" i="18" a="1"/>
  <c r="T349" i="18" s="1"/>
  <c r="T350" i="18" a="1"/>
  <c r="T350" i="18" s="1"/>
  <c r="T351" i="18" a="1"/>
  <c r="T351" i="18" s="1"/>
  <c r="T352" i="18" a="1"/>
  <c r="T352" i="18" s="1"/>
  <c r="T353" i="18" a="1"/>
  <c r="T353" i="18" s="1"/>
  <c r="T354" i="18" a="1"/>
  <c r="T354" i="18" s="1"/>
  <c r="T2" i="29" a="1"/>
  <c r="T2" i="29" s="1"/>
  <c r="T3" i="29" a="1"/>
  <c r="T3" i="29" s="1"/>
  <c r="T4" i="29" a="1"/>
  <c r="T4" i="29" s="1"/>
  <c r="T5" i="29" a="1"/>
  <c r="T5" i="29" s="1"/>
  <c r="T6" i="29" a="1"/>
  <c r="T6" i="29" s="1"/>
  <c r="T7" i="29" a="1"/>
  <c r="T7" i="29" s="1"/>
  <c r="T8" i="29" a="1"/>
  <c r="T8" i="29" s="1"/>
  <c r="T9" i="29" a="1"/>
  <c r="T9" i="29" s="1"/>
  <c r="T10" i="29" a="1"/>
  <c r="T10" i="29" s="1"/>
  <c r="T11" i="29" a="1"/>
  <c r="T11" i="29" s="1"/>
  <c r="T12" i="29" a="1"/>
  <c r="T12" i="29" s="1"/>
  <c r="T13" i="29" a="1"/>
  <c r="T13" i="29" s="1"/>
  <c r="T14" i="29" a="1"/>
  <c r="T14" i="29" s="1"/>
  <c r="T15" i="29" a="1"/>
  <c r="T15" i="29" s="1"/>
  <c r="T16" i="29" a="1"/>
  <c r="T16" i="29" s="1"/>
  <c r="T17" i="29" a="1"/>
  <c r="T17" i="29" s="1"/>
  <c r="T18" i="29" a="1"/>
  <c r="T18" i="29" s="1"/>
  <c r="T19" i="29" a="1"/>
  <c r="T19" i="29" s="1"/>
  <c r="T20" i="29" a="1"/>
  <c r="T20" i="29" s="1"/>
  <c r="T21" i="29" a="1"/>
  <c r="T21" i="29" s="1"/>
  <c r="T22" i="29" a="1"/>
  <c r="T22" i="29" s="1"/>
  <c r="T23" i="29" a="1"/>
  <c r="T23" i="29" s="1"/>
  <c r="T24" i="29" a="1"/>
  <c r="T24" i="29" s="1"/>
  <c r="T25" i="29" a="1"/>
  <c r="T25" i="29" s="1"/>
  <c r="T26" i="29" a="1"/>
  <c r="T26" i="29" s="1"/>
  <c r="T27" i="29" a="1"/>
  <c r="T27" i="29" s="1"/>
  <c r="T28" i="29" a="1"/>
  <c r="T28" i="29" s="1"/>
  <c r="T29" i="29" a="1"/>
  <c r="T29" i="29" s="1"/>
  <c r="T30" i="29" a="1"/>
  <c r="T30" i="29" s="1"/>
  <c r="T31" i="29" a="1"/>
  <c r="T31" i="29" s="1"/>
  <c r="T32" i="29" a="1"/>
  <c r="T32" i="29" s="1"/>
  <c r="T33" i="29" a="1"/>
  <c r="T33" i="29" s="1"/>
  <c r="T34" i="29" a="1"/>
  <c r="T34" i="29" s="1"/>
  <c r="T35" i="29" a="1"/>
  <c r="T35" i="29" s="1"/>
  <c r="T36" i="29" a="1"/>
  <c r="T36" i="29" s="1"/>
  <c r="T37" i="29" a="1"/>
  <c r="T37" i="29" s="1"/>
  <c r="T38" i="29" a="1"/>
  <c r="T38" i="29" s="1"/>
  <c r="T39" i="29" a="1"/>
  <c r="T39" i="29" s="1"/>
  <c r="T40" i="29" a="1"/>
  <c r="T40" i="29" s="1"/>
  <c r="T41" i="29" a="1"/>
  <c r="T41" i="29" s="1"/>
  <c r="T42" i="29" a="1"/>
  <c r="T42" i="29" s="1"/>
  <c r="T43" i="29" a="1"/>
  <c r="T43" i="29" s="1"/>
  <c r="T44" i="29" a="1"/>
  <c r="T44" i="29" s="1"/>
  <c r="T45" i="29" a="1"/>
  <c r="T45" i="29" s="1"/>
  <c r="T46" i="29" a="1"/>
  <c r="T46" i="29" s="1"/>
  <c r="T47" i="29" a="1"/>
  <c r="T47" i="29" s="1"/>
  <c r="T48" i="29" a="1"/>
  <c r="T48" i="29" s="1"/>
  <c r="T49" i="29" a="1"/>
  <c r="T49" i="29" s="1"/>
  <c r="T50" i="29" a="1"/>
  <c r="T50" i="29" s="1"/>
  <c r="T51" i="29" a="1"/>
  <c r="T51" i="29" s="1"/>
  <c r="T52" i="29" a="1"/>
  <c r="T52" i="29" s="1"/>
  <c r="T53" i="29" a="1"/>
  <c r="T53" i="29" s="1"/>
  <c r="T54" i="29" a="1"/>
  <c r="T54" i="29" s="1"/>
  <c r="T55" i="29" a="1"/>
  <c r="T55" i="29" s="1"/>
  <c r="T56" i="29" a="1"/>
  <c r="T56" i="29" s="1"/>
  <c r="T2" i="30" a="1"/>
  <c r="T2" i="30" s="1"/>
  <c r="T3" i="30" a="1"/>
  <c r="T3" i="30" s="1"/>
  <c r="T4" i="30" a="1"/>
  <c r="T4" i="30" s="1"/>
  <c r="T5" i="30" a="1"/>
  <c r="T5" i="30" s="1"/>
  <c r="T6" i="30" a="1"/>
  <c r="T6" i="30" s="1"/>
  <c r="T7" i="30" a="1"/>
  <c r="T7" i="30" s="1"/>
  <c r="T8" i="30" a="1"/>
  <c r="T8" i="30" s="1"/>
  <c r="T9" i="30" a="1"/>
  <c r="T9" i="30" s="1"/>
  <c r="T10" i="30" a="1"/>
  <c r="T10" i="30" s="1"/>
  <c r="T11" i="30" a="1"/>
  <c r="T11" i="30" s="1"/>
  <c r="T12" i="30" a="1"/>
  <c r="T12" i="30" s="1"/>
  <c r="T13" i="30" a="1"/>
  <c r="T13" i="30" s="1"/>
  <c r="T14" i="30" a="1"/>
  <c r="T14" i="30" s="1"/>
  <c r="T15" i="30" a="1"/>
  <c r="T15" i="30" s="1"/>
  <c r="T16" i="30" a="1"/>
  <c r="T16" i="30" s="1"/>
  <c r="T17" i="30" a="1"/>
  <c r="T17" i="30" s="1"/>
  <c r="T18" i="30" a="1"/>
  <c r="T18" i="30" s="1"/>
  <c r="T19" i="30" a="1"/>
  <c r="T19" i="30" s="1"/>
  <c r="T20" i="30" a="1"/>
  <c r="T20" i="30" s="1"/>
  <c r="T21" i="30" a="1"/>
  <c r="T21" i="30" s="1"/>
  <c r="T22" i="30" a="1"/>
  <c r="T22" i="30" s="1"/>
  <c r="T23" i="30" a="1"/>
  <c r="T23" i="30" s="1"/>
  <c r="T24" i="30" a="1"/>
  <c r="T24" i="30" s="1"/>
  <c r="T25" i="30" a="1"/>
  <c r="T25" i="30" s="1"/>
  <c r="T26" i="30" a="1"/>
  <c r="T26" i="30" s="1"/>
  <c r="T27" i="30" a="1"/>
  <c r="T27" i="30" s="1"/>
  <c r="T28" i="30" a="1"/>
  <c r="T28" i="30" s="1"/>
  <c r="T29" i="30" a="1"/>
  <c r="T29" i="30" s="1"/>
  <c r="T30" i="30" a="1"/>
  <c r="T30" i="30" s="1"/>
  <c r="T31" i="30" a="1"/>
  <c r="T31" i="30" s="1"/>
  <c r="T32" i="30" a="1"/>
  <c r="T32" i="30" s="1"/>
  <c r="T33" i="30" a="1"/>
  <c r="T33" i="30" s="1"/>
  <c r="T34" i="30" a="1"/>
  <c r="T34" i="30" s="1"/>
  <c r="T35" i="30" a="1"/>
  <c r="T35" i="30" s="1"/>
  <c r="T36" i="30" a="1"/>
  <c r="T36" i="30" s="1"/>
  <c r="T37" i="30" a="1"/>
  <c r="T37" i="30" s="1"/>
  <c r="T38" i="30" a="1"/>
  <c r="T38" i="30" s="1"/>
  <c r="T39" i="30" a="1"/>
  <c r="T39" i="30" s="1"/>
  <c r="T40" i="30" a="1"/>
  <c r="T40" i="30" s="1"/>
  <c r="T41" i="30" a="1"/>
  <c r="T41" i="30" s="1"/>
  <c r="T42" i="30" a="1"/>
  <c r="T42" i="30" s="1"/>
  <c r="T43" i="30" a="1"/>
  <c r="T43" i="30" s="1"/>
  <c r="T44" i="30" a="1"/>
  <c r="T44" i="30" s="1"/>
  <c r="T45" i="30" a="1"/>
  <c r="T45" i="30" s="1"/>
  <c r="T46" i="30" a="1"/>
  <c r="T46" i="30" s="1"/>
  <c r="T47" i="30" a="1"/>
  <c r="T47" i="30" s="1"/>
  <c r="T48" i="30" a="1"/>
  <c r="T48" i="30" s="1"/>
  <c r="T49" i="30" a="1"/>
  <c r="T49" i="30" s="1"/>
  <c r="T50" i="30" a="1"/>
  <c r="T50" i="30" s="1"/>
  <c r="T51" i="30" a="1"/>
  <c r="T51" i="30" s="1"/>
  <c r="T52" i="30" a="1"/>
  <c r="T52" i="30" s="1"/>
  <c r="T53" i="30" a="1"/>
  <c r="T53" i="30" s="1"/>
  <c r="T54" i="30" a="1"/>
  <c r="T54" i="30" s="1"/>
  <c r="T55" i="30" a="1"/>
  <c r="T55" i="30" s="1"/>
  <c r="T56" i="30" a="1"/>
  <c r="T56" i="30" s="1"/>
  <c r="T57" i="30" a="1"/>
  <c r="T57" i="30" s="1"/>
  <c r="T58" i="30" a="1"/>
  <c r="T58" i="30" s="1"/>
  <c r="T59" i="30" a="1"/>
  <c r="T59" i="30" s="1"/>
  <c r="T60" i="30" a="1"/>
  <c r="T60" i="30" s="1"/>
  <c r="T61" i="30" a="1"/>
  <c r="T61" i="30" s="1"/>
  <c r="T62" i="30" a="1"/>
  <c r="T62" i="30" s="1"/>
  <c r="T63" i="30" a="1"/>
  <c r="T63" i="30" s="1"/>
  <c r="T64" i="30" a="1"/>
  <c r="T64" i="30" s="1"/>
  <c r="T65" i="30" a="1"/>
  <c r="T65" i="30" s="1"/>
  <c r="T66" i="30" a="1"/>
  <c r="T66" i="30" s="1"/>
  <c r="T67" i="30" a="1"/>
  <c r="T67" i="30" s="1"/>
  <c r="T68" i="30" a="1"/>
  <c r="T68" i="30" s="1"/>
  <c r="T69" i="30" a="1"/>
  <c r="T69" i="30" s="1"/>
  <c r="T70" i="30" a="1"/>
  <c r="T70" i="30" s="1"/>
  <c r="T71" i="30" a="1"/>
  <c r="T71" i="30" s="1"/>
  <c r="T72" i="30" a="1"/>
  <c r="T72" i="30" s="1"/>
  <c r="T73" i="30" a="1"/>
  <c r="T73" i="30" s="1"/>
  <c r="T74" i="30" a="1"/>
  <c r="T74" i="30" s="1"/>
  <c r="T75" i="30" a="1"/>
  <c r="T75" i="30" s="1"/>
  <c r="T76" i="30" a="1"/>
  <c r="T76" i="30" s="1"/>
  <c r="T77" i="30" a="1"/>
  <c r="T77" i="30" s="1"/>
  <c r="T78" i="30" a="1"/>
  <c r="T78" i="30" s="1"/>
  <c r="T79" i="30" a="1"/>
  <c r="T79" i="30" s="1"/>
  <c r="T80" i="30" a="1"/>
  <c r="T80" i="30" s="1"/>
  <c r="T81" i="30" a="1"/>
  <c r="T81" i="30" s="1"/>
  <c r="T82" i="30" a="1"/>
  <c r="T82" i="30" s="1"/>
  <c r="T83" i="30" a="1"/>
  <c r="T83" i="30" s="1"/>
  <c r="T84" i="30" a="1"/>
  <c r="T84" i="30" s="1"/>
  <c r="T85" i="30" a="1"/>
  <c r="T85" i="30" s="1"/>
  <c r="T86" i="30" a="1"/>
  <c r="T86" i="30" s="1"/>
  <c r="T87" i="30" a="1"/>
  <c r="T87" i="30" s="1"/>
  <c r="T88" i="30" a="1"/>
  <c r="T88" i="30" s="1"/>
  <c r="T89" i="30" a="1"/>
  <c r="T89" i="30" s="1"/>
  <c r="T90" i="30" a="1"/>
  <c r="T90" i="30" s="1"/>
  <c r="T91" i="30" a="1"/>
  <c r="T91" i="30" s="1"/>
  <c r="T92" i="30" a="1"/>
  <c r="T92" i="30" s="1"/>
  <c r="T93" i="30" a="1"/>
  <c r="T93" i="30" s="1"/>
  <c r="T94" i="30" a="1"/>
  <c r="T94" i="30" s="1"/>
  <c r="T95" i="30" a="1"/>
  <c r="T95" i="30" s="1"/>
  <c r="T96" i="30" a="1"/>
  <c r="T96" i="30" s="1"/>
  <c r="T97" i="30" a="1"/>
  <c r="T97" i="30" s="1"/>
  <c r="T98" i="30" a="1"/>
  <c r="T98" i="30" s="1"/>
  <c r="T99" i="30" a="1"/>
  <c r="T99" i="30" s="1"/>
  <c r="T100" i="30" a="1"/>
  <c r="T100" i="30" s="1"/>
  <c r="T101" i="30" a="1"/>
  <c r="T101" i="30" s="1"/>
  <c r="T102" i="30" a="1"/>
  <c r="T102" i="30" s="1"/>
  <c r="T103" i="30" a="1"/>
  <c r="T103" i="30" s="1"/>
  <c r="T104" i="30" a="1"/>
  <c r="T104" i="30" s="1"/>
  <c r="T105" i="30" a="1"/>
  <c r="T105" i="30" s="1"/>
  <c r="T106" i="30" a="1"/>
  <c r="T106" i="30" s="1"/>
  <c r="T107" i="30" a="1"/>
  <c r="T107" i="30" s="1"/>
  <c r="T108" i="30" a="1"/>
  <c r="T108" i="30" s="1"/>
  <c r="T109" i="30" a="1"/>
  <c r="T109" i="30" s="1"/>
  <c r="T110" i="30" a="1"/>
  <c r="T110" i="30" s="1"/>
  <c r="T111" i="30" a="1"/>
  <c r="T111" i="30" s="1"/>
  <c r="T112" i="30" a="1"/>
  <c r="T112" i="30" s="1"/>
  <c r="T113" i="30" a="1"/>
  <c r="T113" i="30" s="1"/>
  <c r="T114" i="30" a="1"/>
  <c r="T114" i="30" s="1"/>
  <c r="T115" i="30" a="1"/>
  <c r="T115" i="30" s="1"/>
  <c r="T116" i="30" a="1"/>
  <c r="T116" i="30" s="1"/>
  <c r="T117" i="30" a="1"/>
  <c r="T117" i="30" s="1"/>
  <c r="T118" i="30" a="1"/>
  <c r="T118" i="30" s="1"/>
  <c r="T119" i="30" a="1"/>
  <c r="T119" i="30" s="1"/>
  <c r="T120" i="30" a="1"/>
  <c r="T120" i="30" s="1"/>
  <c r="T121" i="30" a="1"/>
  <c r="T121" i="30" s="1"/>
  <c r="T122" i="30" a="1"/>
  <c r="T122" i="30" s="1"/>
  <c r="T123" i="30" a="1"/>
  <c r="T123" i="30" s="1"/>
  <c r="T124" i="30" a="1"/>
  <c r="T124" i="30" s="1"/>
  <c r="T125" i="30" a="1"/>
  <c r="T125" i="30" s="1"/>
  <c r="T126" i="30" a="1"/>
  <c r="T126" i="30" s="1"/>
  <c r="T127" i="30" a="1"/>
  <c r="T127" i="30" s="1"/>
  <c r="T128" i="30" a="1"/>
  <c r="T128" i="30" s="1"/>
  <c r="T129" i="30" a="1"/>
  <c r="T129" i="30" s="1"/>
  <c r="T130" i="30" a="1"/>
  <c r="T130" i="30" s="1"/>
  <c r="T131" i="30" a="1"/>
  <c r="T131" i="30" s="1"/>
  <c r="T132" i="30" a="1"/>
  <c r="T132" i="30" s="1"/>
  <c r="T133" i="30" a="1"/>
  <c r="T133" i="30" s="1"/>
  <c r="T134" i="30" a="1"/>
  <c r="T134" i="30" s="1"/>
  <c r="T135" i="30" a="1"/>
  <c r="T135" i="30" s="1"/>
  <c r="T136" i="30" a="1"/>
  <c r="T136" i="30" s="1"/>
  <c r="T137" i="30" a="1"/>
  <c r="T137" i="30" s="1"/>
  <c r="T138" i="30" a="1"/>
  <c r="T138" i="30" s="1"/>
  <c r="T139" i="30" a="1"/>
  <c r="T139" i="30" s="1"/>
  <c r="T140" i="30" a="1"/>
  <c r="T140" i="30" s="1"/>
  <c r="T141" i="30" a="1"/>
  <c r="T141" i="30" s="1"/>
  <c r="T142" i="30" a="1"/>
  <c r="T142" i="30" s="1"/>
  <c r="T143" i="30" a="1"/>
  <c r="T143" i="30" s="1"/>
  <c r="T144" i="30" a="1"/>
  <c r="T144" i="30" s="1"/>
  <c r="T145" i="30" a="1"/>
  <c r="T145" i="30" s="1"/>
  <c r="T146" i="30" a="1"/>
  <c r="T146" i="30" s="1"/>
  <c r="T147" i="30" a="1"/>
  <c r="T147" i="30" s="1"/>
  <c r="T148" i="30" a="1"/>
  <c r="T148" i="30" s="1"/>
  <c r="T149" i="30" a="1"/>
  <c r="T149" i="30" s="1"/>
  <c r="T150" i="30" a="1"/>
  <c r="T150" i="30" s="1"/>
  <c r="T151" i="30" a="1"/>
  <c r="T151" i="30" s="1"/>
  <c r="T152" i="30" a="1"/>
  <c r="T152" i="30" s="1"/>
  <c r="T153" i="30" a="1"/>
  <c r="T153" i="30" s="1"/>
  <c r="T154" i="30" a="1"/>
  <c r="T154" i="30" s="1"/>
  <c r="T155" i="30" a="1"/>
  <c r="T155" i="30" s="1"/>
  <c r="T156" i="30" a="1"/>
  <c r="T156" i="30" s="1"/>
  <c r="T157" i="30" a="1"/>
  <c r="T157" i="30" s="1"/>
  <c r="T158" i="30" a="1"/>
  <c r="T158" i="30" s="1"/>
  <c r="T159" i="30" a="1"/>
  <c r="T159" i="30" s="1"/>
  <c r="T160" i="30" a="1"/>
  <c r="T160" i="30" s="1"/>
  <c r="T161" i="30" a="1"/>
  <c r="T161" i="30" s="1"/>
  <c r="T162" i="30" a="1"/>
  <c r="T162" i="30" s="1"/>
  <c r="T163" i="30" a="1"/>
  <c r="T163" i="30" s="1"/>
  <c r="T164" i="30" a="1"/>
  <c r="T164" i="30" s="1"/>
  <c r="T165" i="30" a="1"/>
  <c r="T165" i="30" s="1"/>
  <c r="T166" i="30" a="1"/>
  <c r="T166" i="30" s="1"/>
  <c r="T167" i="30" a="1"/>
  <c r="T167" i="30" s="1"/>
  <c r="T168" i="30" a="1"/>
  <c r="T168" i="30" s="1"/>
  <c r="T169" i="30" a="1"/>
  <c r="T169" i="30" s="1"/>
  <c r="T170" i="30" a="1"/>
  <c r="T170" i="30" s="1"/>
  <c r="T171" i="30" a="1"/>
  <c r="T171" i="30" s="1"/>
  <c r="T172" i="30" a="1"/>
  <c r="T172" i="30" s="1"/>
  <c r="T173" i="30" a="1"/>
  <c r="T173" i="30" s="1"/>
  <c r="T174" i="30" a="1"/>
  <c r="T174" i="30" s="1"/>
  <c r="T175" i="30" a="1"/>
  <c r="T175" i="30" s="1"/>
  <c r="T176" i="30" a="1"/>
  <c r="T176" i="30" s="1"/>
  <c r="T177" i="30" a="1"/>
  <c r="T177" i="30" s="1"/>
  <c r="T178" i="30" a="1"/>
  <c r="T178" i="30" s="1"/>
  <c r="T179" i="30" a="1"/>
  <c r="T179" i="30" s="1"/>
  <c r="T180" i="30" a="1"/>
  <c r="T180" i="30" s="1"/>
  <c r="T181" i="30" a="1"/>
  <c r="T181" i="30" s="1"/>
  <c r="T182" i="30" a="1"/>
  <c r="T182" i="30" s="1"/>
  <c r="T183" i="30" a="1"/>
  <c r="T183" i="30" s="1"/>
  <c r="T184" i="30" a="1"/>
  <c r="T184" i="30" s="1"/>
  <c r="T185" i="30" a="1"/>
  <c r="T185" i="30" s="1"/>
  <c r="T186" i="30" a="1"/>
  <c r="T186" i="30" s="1"/>
  <c r="T187" i="30" a="1"/>
  <c r="T187" i="30" s="1"/>
  <c r="T188" i="30" a="1"/>
  <c r="T188" i="30" s="1"/>
  <c r="T189" i="30" a="1"/>
  <c r="T189" i="30" s="1"/>
  <c r="T190" i="30" a="1"/>
  <c r="T190" i="30" s="1"/>
  <c r="T191" i="30" a="1"/>
  <c r="T191" i="30" s="1"/>
  <c r="T192" i="30" a="1"/>
  <c r="T192" i="30" s="1"/>
  <c r="T193" i="30" a="1"/>
  <c r="T193" i="30" s="1"/>
  <c r="T194" i="30" a="1"/>
  <c r="T194" i="30" s="1"/>
  <c r="T195" i="30" a="1"/>
  <c r="T195" i="30" s="1"/>
  <c r="T196" i="30" a="1"/>
  <c r="T196" i="30" s="1"/>
  <c r="T197" i="30" a="1"/>
  <c r="T197" i="30" s="1"/>
  <c r="T198" i="30" a="1"/>
  <c r="T198" i="30" s="1"/>
  <c r="T199" i="30" a="1"/>
  <c r="T199" i="30" s="1"/>
  <c r="T200" i="30" a="1"/>
  <c r="T200" i="30" s="1"/>
  <c r="T201" i="30" a="1"/>
  <c r="T201" i="30" s="1"/>
  <c r="T202" i="30" a="1"/>
  <c r="T202" i="30" s="1"/>
  <c r="T203" i="30" a="1"/>
  <c r="T203" i="30" s="1"/>
  <c r="T204" i="30" a="1"/>
  <c r="T204" i="30" s="1"/>
  <c r="T205" i="30" a="1"/>
  <c r="T205" i="30" s="1"/>
  <c r="T206" i="30" a="1"/>
  <c r="T206" i="30" s="1"/>
  <c r="T207" i="30" a="1"/>
  <c r="T207" i="30" s="1"/>
  <c r="T208" i="30" a="1"/>
  <c r="T208" i="30" s="1"/>
  <c r="T209" i="30" a="1"/>
  <c r="T209" i="30" s="1"/>
  <c r="T210" i="30" a="1"/>
  <c r="T210" i="30" s="1"/>
  <c r="T211" i="30" a="1"/>
  <c r="T211" i="30" s="1"/>
  <c r="T212" i="30" a="1"/>
  <c r="T212" i="30" s="1"/>
  <c r="T213" i="30" a="1"/>
  <c r="T213" i="30" s="1"/>
  <c r="T214" i="30" a="1"/>
  <c r="T214" i="30" s="1"/>
  <c r="T215" i="30" a="1"/>
  <c r="T215" i="30" s="1"/>
  <c r="T216" i="30" a="1"/>
  <c r="T216" i="30" s="1"/>
  <c r="T217" i="30" a="1"/>
  <c r="T217" i="30" s="1"/>
  <c r="T218" i="30" a="1"/>
  <c r="T218" i="30" s="1"/>
  <c r="T219" i="30" a="1"/>
  <c r="T219" i="30" s="1"/>
  <c r="T220" i="30" a="1"/>
  <c r="T220" i="30" s="1"/>
  <c r="T221" i="30" a="1"/>
  <c r="T221" i="30" s="1"/>
  <c r="T222" i="30" a="1"/>
  <c r="T222" i="30" s="1"/>
  <c r="T223" i="30" a="1"/>
  <c r="T223" i="30" s="1"/>
  <c r="T224" i="30" a="1"/>
  <c r="T224" i="30" s="1"/>
  <c r="T225" i="30" a="1"/>
  <c r="T225" i="30" s="1"/>
  <c r="T226" i="30" a="1"/>
  <c r="T226" i="30" s="1"/>
  <c r="T227" i="30" a="1"/>
  <c r="T227" i="30" s="1"/>
  <c r="T228" i="30" a="1"/>
  <c r="T228" i="30" s="1"/>
  <c r="T229" i="30" a="1"/>
  <c r="T229" i="30" s="1"/>
  <c r="T230" i="30" a="1"/>
  <c r="T230" i="30" s="1"/>
  <c r="T231" i="30" a="1"/>
  <c r="T231" i="30" s="1"/>
  <c r="T232" i="30" a="1"/>
  <c r="T232" i="30" s="1"/>
  <c r="T233" i="30" a="1"/>
  <c r="T233" i="30" s="1"/>
  <c r="T234" i="30" a="1"/>
  <c r="T234" i="30" s="1"/>
  <c r="T235" i="30" a="1"/>
  <c r="T235" i="30" s="1"/>
  <c r="T236" i="30" a="1"/>
  <c r="T236" i="30" s="1"/>
  <c r="T237" i="30" a="1"/>
  <c r="T237" i="30" s="1"/>
  <c r="T238" i="30" a="1"/>
  <c r="T238" i="30" s="1"/>
  <c r="T239" i="30" a="1"/>
  <c r="T239" i="30" s="1"/>
  <c r="T240" i="30" a="1"/>
  <c r="T240" i="30" s="1"/>
  <c r="T241" i="30" a="1"/>
  <c r="T241" i="30" s="1"/>
  <c r="T242" i="30" a="1"/>
  <c r="T242" i="30" s="1"/>
  <c r="T243" i="30" a="1"/>
  <c r="T243" i="30" s="1"/>
  <c r="T2" i="16" a="1"/>
  <c r="T2" i="16" s="1"/>
  <c r="T3" i="16" a="1"/>
  <c r="T3" i="16" s="1"/>
  <c r="T4" i="16" a="1"/>
  <c r="T4" i="16" s="1"/>
  <c r="T5" i="16" a="1"/>
  <c r="T5" i="16" s="1"/>
  <c r="T6" i="16" a="1"/>
  <c r="T6" i="16" s="1"/>
  <c r="T7" i="16" a="1"/>
  <c r="T7" i="16" s="1"/>
  <c r="T8" i="16" a="1"/>
  <c r="T8" i="16" s="1"/>
  <c r="T9" i="16" a="1"/>
  <c r="T9" i="16" s="1"/>
  <c r="T10" i="16" a="1"/>
  <c r="T10" i="16" s="1"/>
  <c r="T11" i="16" a="1"/>
  <c r="T11" i="16" s="1"/>
  <c r="T12" i="16" a="1"/>
  <c r="T12" i="16" s="1"/>
  <c r="T13" i="16" a="1"/>
  <c r="T13" i="16" s="1"/>
  <c r="T14" i="16" a="1"/>
  <c r="T14" i="16" s="1"/>
  <c r="T15" i="16" a="1"/>
  <c r="T15" i="16" s="1"/>
  <c r="T16" i="16" a="1"/>
  <c r="T16" i="16" s="1"/>
  <c r="T17" i="16" a="1"/>
  <c r="T17" i="16" s="1"/>
  <c r="T18" i="16" a="1"/>
  <c r="T18" i="16" s="1"/>
  <c r="T19" i="16" a="1"/>
  <c r="T19" i="16" s="1"/>
  <c r="T20" i="16" a="1"/>
  <c r="T20" i="16" s="1"/>
  <c r="T21" i="16" a="1"/>
  <c r="T21" i="16" s="1"/>
  <c r="T22" i="16" a="1"/>
  <c r="T22" i="16" s="1"/>
  <c r="T23" i="16" a="1"/>
  <c r="T23" i="16" s="1"/>
  <c r="T24" i="16" a="1"/>
  <c r="T24" i="16" s="1"/>
  <c r="T25" i="16" a="1"/>
  <c r="T25" i="16" s="1"/>
  <c r="T26" i="16" a="1"/>
  <c r="T26" i="16" s="1"/>
  <c r="T27" i="16" a="1"/>
  <c r="T27" i="16" s="1"/>
  <c r="T28" i="16" a="1"/>
  <c r="T28" i="16" s="1"/>
  <c r="T29" i="16" a="1"/>
  <c r="T29" i="16" s="1"/>
  <c r="T30" i="16" a="1"/>
  <c r="T30" i="16" s="1"/>
  <c r="T31" i="16" a="1"/>
  <c r="T31" i="16" s="1"/>
  <c r="T32" i="16" a="1"/>
  <c r="T32" i="16" s="1"/>
  <c r="T33" i="16" a="1"/>
  <c r="T33" i="16" s="1"/>
  <c r="T34" i="16" a="1"/>
  <c r="T34" i="16" s="1"/>
  <c r="T35" i="16" a="1"/>
  <c r="T35" i="16" s="1"/>
  <c r="T36" i="16" a="1"/>
  <c r="T36" i="16" s="1"/>
  <c r="T37" i="16" a="1"/>
  <c r="T37" i="16" s="1"/>
  <c r="T38" i="16" a="1"/>
  <c r="T38" i="16" s="1"/>
  <c r="T39" i="16" a="1"/>
  <c r="T39" i="16" s="1"/>
  <c r="T40" i="16" a="1"/>
  <c r="T40" i="16" s="1"/>
  <c r="T41" i="16" a="1"/>
  <c r="T41" i="16" s="1"/>
  <c r="T42" i="16" a="1"/>
  <c r="T42" i="16" s="1"/>
  <c r="T43" i="16" a="1"/>
  <c r="T43" i="16" s="1"/>
  <c r="T44" i="16" a="1"/>
  <c r="T44" i="16" s="1"/>
  <c r="T45" i="16" a="1"/>
  <c r="T45" i="16" s="1"/>
  <c r="T46" i="16" a="1"/>
  <c r="T46" i="16" s="1"/>
  <c r="T47" i="16" a="1"/>
  <c r="T47" i="16" s="1"/>
  <c r="T48" i="16" a="1"/>
  <c r="T48" i="16" s="1"/>
  <c r="T49" i="16" a="1"/>
  <c r="T49" i="16" s="1"/>
  <c r="T50" i="16" a="1"/>
  <c r="T50" i="16" s="1"/>
  <c r="T51" i="16" a="1"/>
  <c r="T51" i="16" s="1"/>
  <c r="T52" i="16" a="1"/>
  <c r="T52" i="16" s="1"/>
  <c r="T53" i="16" a="1"/>
  <c r="T53" i="16" s="1"/>
  <c r="T54" i="16" a="1"/>
  <c r="T54" i="16" s="1"/>
  <c r="T55" i="16" a="1"/>
  <c r="T55" i="16" s="1"/>
  <c r="T56" i="16" a="1"/>
  <c r="T56" i="16" s="1"/>
  <c r="T57" i="16" a="1"/>
  <c r="T57" i="16" s="1"/>
  <c r="T58" i="16" a="1"/>
  <c r="T58" i="16" s="1"/>
  <c r="T59" i="16" a="1"/>
  <c r="T59" i="16" s="1"/>
  <c r="T60" i="16" a="1"/>
  <c r="T60" i="16" s="1"/>
  <c r="T61" i="16" a="1"/>
  <c r="T61" i="16" s="1"/>
  <c r="T62" i="16" a="1"/>
  <c r="T62" i="16" s="1"/>
  <c r="T63" i="16" a="1"/>
  <c r="T63" i="16" s="1"/>
  <c r="T64" i="16" a="1"/>
  <c r="T64" i="16" s="1"/>
  <c r="T65" i="16" a="1"/>
  <c r="T65" i="16" s="1"/>
  <c r="T66" i="16" a="1"/>
  <c r="T66" i="16" s="1"/>
  <c r="T67" i="16" a="1"/>
  <c r="T67" i="16" s="1"/>
  <c r="T68" i="16" a="1"/>
  <c r="T68" i="16" s="1"/>
  <c r="T69" i="16" a="1"/>
  <c r="T69" i="16" s="1"/>
  <c r="T70" i="16" a="1"/>
  <c r="T70" i="16" s="1"/>
  <c r="T71" i="16" a="1"/>
  <c r="T71" i="16" s="1"/>
  <c r="T72" i="16" a="1"/>
  <c r="T72" i="16" s="1"/>
  <c r="T73" i="16" a="1"/>
  <c r="T73" i="16" s="1"/>
  <c r="T74" i="16" a="1"/>
  <c r="T74" i="16" s="1"/>
  <c r="T75" i="16" a="1"/>
  <c r="T75" i="16" s="1"/>
  <c r="T76" i="16" a="1"/>
  <c r="T76" i="16" s="1"/>
  <c r="T77" i="16" a="1"/>
  <c r="T77" i="16" s="1"/>
  <c r="T78" i="16" a="1"/>
  <c r="T78" i="16" s="1"/>
  <c r="T79" i="16" a="1"/>
  <c r="T79" i="16" s="1"/>
  <c r="T80" i="16" a="1"/>
  <c r="T80" i="16" s="1"/>
  <c r="T81" i="16" a="1"/>
  <c r="T81" i="16" s="1"/>
  <c r="T82" i="16" a="1"/>
  <c r="T82" i="16" s="1"/>
  <c r="T83" i="16" a="1"/>
  <c r="T83" i="16" s="1"/>
  <c r="T84" i="16" a="1"/>
  <c r="T84" i="16" s="1"/>
  <c r="T85" i="16" a="1"/>
  <c r="T85" i="16" s="1"/>
  <c r="T86" i="16" a="1"/>
  <c r="T86" i="16" s="1"/>
  <c r="T87" i="16" a="1"/>
  <c r="T87" i="16" s="1"/>
  <c r="T88" i="16" a="1"/>
  <c r="T88" i="16" s="1"/>
  <c r="T89" i="16" a="1"/>
  <c r="T89" i="16" s="1"/>
  <c r="T90" i="16" a="1"/>
  <c r="T90" i="16" s="1"/>
  <c r="T91" i="16" a="1"/>
  <c r="T91" i="16" s="1"/>
  <c r="T92" i="16" a="1"/>
  <c r="T92" i="16" s="1"/>
  <c r="T93" i="16" a="1"/>
  <c r="T93" i="16" s="1"/>
  <c r="T94" i="16" a="1"/>
  <c r="T94" i="16" s="1"/>
  <c r="T95" i="16" a="1"/>
  <c r="T95" i="16" s="1"/>
  <c r="T96" i="16" a="1"/>
  <c r="T96" i="16" s="1"/>
  <c r="T97" i="16" a="1"/>
  <c r="T97" i="16" s="1"/>
  <c r="T98" i="16" a="1"/>
  <c r="T98" i="16" s="1"/>
  <c r="T99" i="16" a="1"/>
  <c r="T99" i="16" s="1"/>
  <c r="T100" i="16" a="1"/>
  <c r="T100" i="16" s="1"/>
  <c r="T101" i="16" a="1"/>
  <c r="T101" i="16" s="1"/>
  <c r="T102" i="16" a="1"/>
  <c r="T102" i="16" s="1"/>
  <c r="T103" i="16" a="1"/>
  <c r="T103" i="16" s="1"/>
  <c r="T104" i="16" a="1"/>
  <c r="T104" i="16" s="1"/>
  <c r="T105" i="16" a="1"/>
  <c r="T105" i="16" s="1"/>
  <c r="T106" i="16" a="1"/>
  <c r="T106" i="16" s="1"/>
  <c r="T107" i="16" a="1"/>
  <c r="T107" i="16" s="1"/>
  <c r="T108" i="16" a="1"/>
  <c r="T108" i="16" s="1"/>
  <c r="T109" i="16" a="1"/>
  <c r="T109" i="16" s="1"/>
  <c r="T110" i="16" a="1"/>
  <c r="T110" i="16" s="1"/>
  <c r="T111" i="16" a="1"/>
  <c r="T111" i="16" s="1"/>
  <c r="T112" i="16" a="1"/>
  <c r="T112" i="16" s="1"/>
  <c r="T113" i="16" a="1"/>
  <c r="T113" i="16" s="1"/>
  <c r="T114" i="16" a="1"/>
  <c r="T114" i="16" s="1"/>
  <c r="T115" i="16" a="1"/>
  <c r="T115" i="16" s="1"/>
  <c r="T116" i="16" a="1"/>
  <c r="T116" i="16" s="1"/>
  <c r="T117" i="16" a="1"/>
  <c r="T117" i="16" s="1"/>
  <c r="T118" i="16" a="1"/>
  <c r="T118" i="16" s="1"/>
  <c r="T119" i="16" a="1"/>
  <c r="T119" i="16" s="1"/>
  <c r="T120" i="16" a="1"/>
  <c r="T120" i="16" s="1"/>
  <c r="T121" i="16" a="1"/>
  <c r="T121" i="16" s="1"/>
  <c r="T122" i="16" a="1"/>
  <c r="T122" i="16" s="1"/>
  <c r="T123" i="16" a="1"/>
  <c r="T123" i="16" s="1"/>
  <c r="T124" i="16" a="1"/>
  <c r="T124" i="16" s="1"/>
  <c r="T125" i="16" a="1"/>
  <c r="T125" i="16" s="1"/>
  <c r="T126" i="16" a="1"/>
  <c r="T126" i="16" s="1"/>
  <c r="T127" i="16" a="1"/>
  <c r="T127" i="16" s="1"/>
  <c r="T128" i="16" a="1"/>
  <c r="T128" i="16" s="1"/>
  <c r="T129" i="16" a="1"/>
  <c r="T129" i="16" s="1"/>
  <c r="T130" i="16" a="1"/>
  <c r="T130" i="16" s="1"/>
  <c r="T131" i="16" a="1"/>
  <c r="T131" i="16" s="1"/>
  <c r="T132" i="16" a="1"/>
  <c r="T132" i="16" s="1"/>
  <c r="T133" i="16" a="1"/>
  <c r="T133" i="16" s="1"/>
  <c r="T134" i="16" a="1"/>
  <c r="T134" i="16" s="1"/>
  <c r="T135" i="16" a="1"/>
  <c r="T135" i="16" s="1"/>
  <c r="T136" i="16" a="1"/>
  <c r="T136" i="16" s="1"/>
  <c r="T137" i="16" a="1"/>
  <c r="T137" i="16" s="1"/>
  <c r="T138" i="16" a="1"/>
  <c r="T138" i="16" s="1"/>
  <c r="T139" i="16" a="1"/>
  <c r="T139" i="16" s="1"/>
  <c r="T140" i="16" a="1"/>
  <c r="T140" i="16" s="1"/>
  <c r="T141" i="16" a="1"/>
  <c r="T141" i="16" s="1"/>
  <c r="T142" i="16" a="1"/>
  <c r="T142" i="16" s="1"/>
  <c r="T143" i="16" a="1"/>
  <c r="T143" i="16" s="1"/>
  <c r="T144" i="16" a="1"/>
  <c r="T144" i="16" s="1"/>
  <c r="T145" i="16" a="1"/>
  <c r="T145" i="16" s="1"/>
  <c r="T146" i="16" a="1"/>
  <c r="T146" i="16" s="1"/>
  <c r="T147" i="16" a="1"/>
  <c r="T147" i="16" s="1"/>
  <c r="T148" i="16" a="1"/>
  <c r="T148" i="16" s="1"/>
  <c r="T149" i="16" a="1"/>
  <c r="T149" i="16" s="1"/>
  <c r="T150" i="16" a="1"/>
  <c r="T150" i="16" s="1"/>
  <c r="T151" i="16" a="1"/>
  <c r="T151" i="16" s="1"/>
  <c r="T152" i="16" a="1"/>
  <c r="T152" i="16" s="1"/>
  <c r="T153" i="16" a="1"/>
  <c r="T153" i="16" s="1"/>
  <c r="T154" i="16" a="1"/>
  <c r="T154" i="16" s="1"/>
  <c r="T155" i="16" a="1"/>
  <c r="T155" i="16" s="1"/>
  <c r="T156" i="16" a="1"/>
  <c r="T156" i="16" s="1"/>
  <c r="T157" i="16" a="1"/>
  <c r="T157" i="16" s="1"/>
  <c r="T158" i="16" a="1"/>
  <c r="T158" i="16" s="1"/>
  <c r="T159" i="16" a="1"/>
  <c r="T159" i="16" s="1"/>
  <c r="T160" i="16" a="1"/>
  <c r="T160" i="16" s="1"/>
  <c r="T161" i="16" a="1"/>
  <c r="T161" i="16" s="1"/>
  <c r="T162" i="16" a="1"/>
  <c r="T162" i="16" s="1"/>
  <c r="T163" i="16" a="1"/>
  <c r="T163" i="16" s="1"/>
  <c r="T164" i="16" a="1"/>
  <c r="T164" i="16" s="1"/>
  <c r="T165" i="16" a="1"/>
  <c r="T165" i="16" s="1"/>
  <c r="T166" i="16" a="1"/>
  <c r="T166" i="16" s="1"/>
  <c r="T167" i="16" a="1"/>
  <c r="T167" i="16" s="1"/>
  <c r="T168" i="16" a="1"/>
  <c r="T168" i="16" s="1"/>
  <c r="T169" i="16" a="1"/>
  <c r="T169" i="16" s="1"/>
  <c r="T170" i="16" a="1"/>
  <c r="T170" i="16" s="1"/>
  <c r="T171" i="16" a="1"/>
  <c r="T171" i="16" s="1"/>
  <c r="T172" i="16" a="1"/>
  <c r="T172" i="16" s="1"/>
  <c r="T173" i="16" a="1"/>
  <c r="T173" i="16" s="1"/>
  <c r="T174" i="16" a="1"/>
  <c r="T174" i="16" s="1"/>
  <c r="T175" i="16" a="1"/>
  <c r="T175" i="16" s="1"/>
  <c r="T176" i="16" a="1"/>
  <c r="T176" i="16" s="1"/>
  <c r="T177" i="16" a="1"/>
  <c r="T177" i="16" s="1"/>
  <c r="T178" i="16" a="1"/>
  <c r="T178" i="16" s="1"/>
  <c r="T179" i="16" a="1"/>
  <c r="T179" i="16" s="1"/>
  <c r="T180" i="16" a="1"/>
  <c r="T180" i="16" s="1"/>
  <c r="T181" i="16" a="1"/>
  <c r="T181" i="16" s="1"/>
  <c r="T182" i="16" a="1"/>
  <c r="T182" i="16" s="1"/>
  <c r="T183" i="16" a="1"/>
  <c r="T183" i="16" s="1"/>
  <c r="T184" i="16" a="1"/>
  <c r="T184" i="16" s="1"/>
  <c r="T185" i="16" a="1"/>
  <c r="T185" i="16" s="1"/>
  <c r="T186" i="16" a="1"/>
  <c r="T186" i="16" s="1"/>
  <c r="T187" i="16" a="1"/>
  <c r="T187" i="16" s="1"/>
  <c r="T188" i="16" a="1"/>
  <c r="T188" i="16" s="1"/>
  <c r="T189" i="16" a="1"/>
  <c r="T189" i="16" s="1"/>
  <c r="T190" i="16" a="1"/>
  <c r="T190" i="16" s="1"/>
  <c r="T191" i="16" a="1"/>
  <c r="T191" i="16" s="1"/>
  <c r="T192" i="16" a="1"/>
  <c r="T192" i="16" s="1"/>
  <c r="T193" i="16" a="1"/>
  <c r="T193" i="16" s="1"/>
  <c r="T194" i="16" a="1"/>
  <c r="T194" i="16" s="1"/>
  <c r="T195" i="16" a="1"/>
  <c r="T195" i="16" s="1"/>
  <c r="T196" i="16" a="1"/>
  <c r="T196" i="16" s="1"/>
  <c r="T197" i="16" a="1"/>
  <c r="T197" i="16" s="1"/>
  <c r="T198" i="16" a="1"/>
  <c r="T198" i="16" s="1"/>
  <c r="T199" i="16" a="1"/>
  <c r="T199" i="16" s="1"/>
  <c r="T200" i="16" a="1"/>
  <c r="T200" i="16" s="1"/>
  <c r="T201" i="16" a="1"/>
  <c r="T201" i="16" s="1"/>
  <c r="T202" i="16" a="1"/>
  <c r="T202" i="16" s="1"/>
  <c r="T203" i="16" a="1"/>
  <c r="T203" i="16" s="1"/>
  <c r="T204" i="16" a="1"/>
  <c r="T204" i="16" s="1"/>
  <c r="T205" i="16" a="1"/>
  <c r="T205" i="16" s="1"/>
  <c r="T206" i="16" a="1"/>
  <c r="T206" i="16" s="1"/>
  <c r="T207" i="16" a="1"/>
  <c r="T207" i="16" s="1"/>
  <c r="T208" i="16" a="1"/>
  <c r="T208" i="16" s="1"/>
  <c r="T209" i="16" a="1"/>
  <c r="T209" i="16" s="1"/>
  <c r="T210" i="16" a="1"/>
  <c r="T210" i="16" s="1"/>
  <c r="T211" i="16" a="1"/>
  <c r="T211" i="16" s="1"/>
  <c r="T212" i="16" a="1"/>
  <c r="T212" i="16" s="1"/>
  <c r="T213" i="16" a="1"/>
  <c r="T213" i="16" s="1"/>
  <c r="T214" i="16" a="1"/>
  <c r="T214" i="16" s="1"/>
  <c r="T215" i="16" a="1"/>
  <c r="T215" i="16" s="1"/>
  <c r="T216" i="16" a="1"/>
  <c r="T216" i="16" s="1"/>
  <c r="T217" i="16" a="1"/>
  <c r="T217" i="16" s="1"/>
  <c r="T218" i="16" a="1"/>
  <c r="T218" i="16" s="1"/>
  <c r="T219" i="16" a="1"/>
  <c r="T219" i="16" s="1"/>
  <c r="T220" i="16" a="1"/>
  <c r="T220" i="16" s="1"/>
  <c r="T221" i="16" a="1"/>
  <c r="T221" i="16" s="1"/>
  <c r="T222" i="16" a="1"/>
  <c r="T222" i="16" s="1"/>
  <c r="T223" i="16" a="1"/>
  <c r="T223" i="16" s="1"/>
  <c r="T224" i="16" a="1"/>
  <c r="T224" i="16" s="1"/>
  <c r="T225" i="16" a="1"/>
  <c r="T225" i="16" s="1"/>
  <c r="T226" i="16" a="1"/>
  <c r="T226" i="16" s="1"/>
  <c r="T227" i="16" a="1"/>
  <c r="T227" i="16" s="1"/>
  <c r="T228" i="16" a="1"/>
  <c r="T228" i="16" s="1"/>
  <c r="T229" i="16" a="1"/>
  <c r="T229" i="16" s="1"/>
  <c r="T230" i="16" a="1"/>
  <c r="T230" i="16" s="1"/>
  <c r="T231" i="16" a="1"/>
  <c r="T231" i="16" s="1"/>
  <c r="T232" i="16" a="1"/>
  <c r="T232" i="16" s="1"/>
  <c r="T233" i="16" a="1"/>
  <c r="T233" i="16" s="1"/>
  <c r="T234" i="16" a="1"/>
  <c r="T234" i="16" s="1"/>
  <c r="T235" i="16" a="1"/>
  <c r="T235" i="16" s="1"/>
  <c r="T236" i="16" a="1"/>
  <c r="T236" i="16" s="1"/>
  <c r="T237" i="16" a="1"/>
  <c r="T237" i="16" s="1"/>
  <c r="T238" i="16" a="1"/>
  <c r="T238" i="16" s="1"/>
  <c r="T239" i="16" a="1"/>
  <c r="T239" i="16" s="1"/>
  <c r="T240" i="16" a="1"/>
  <c r="T240" i="16" s="1"/>
  <c r="T241" i="16" a="1"/>
  <c r="T241" i="16" s="1"/>
  <c r="T242" i="16" a="1"/>
  <c r="T242" i="16" s="1"/>
  <c r="T243" i="16" a="1"/>
  <c r="T243" i="16" s="1"/>
  <c r="T244" i="16" a="1"/>
  <c r="T244" i="16" s="1"/>
  <c r="T245" i="16" a="1"/>
  <c r="T245" i="16" s="1"/>
  <c r="T246" i="16" a="1"/>
  <c r="T246" i="16" s="1"/>
  <c r="T247" i="16" a="1"/>
  <c r="T247" i="16" s="1"/>
  <c r="T248" i="16" a="1"/>
  <c r="T248" i="16" s="1"/>
  <c r="T249" i="16" a="1"/>
  <c r="T249" i="16" s="1"/>
  <c r="T250" i="16" a="1"/>
  <c r="T250" i="16" s="1"/>
  <c r="T251" i="16" a="1"/>
  <c r="T251" i="16" s="1"/>
  <c r="T252" i="16" a="1"/>
  <c r="T252" i="16" s="1"/>
  <c r="T253" i="16" a="1"/>
  <c r="T253" i="16" s="1"/>
  <c r="T254" i="16" a="1"/>
  <c r="T254" i="16" s="1"/>
  <c r="T255" i="16" a="1"/>
  <c r="T255" i="16" s="1"/>
  <c r="T256" i="16" a="1"/>
  <c r="T256" i="16" s="1"/>
  <c r="T257" i="16" a="1"/>
  <c r="T257" i="16" s="1"/>
  <c r="T258" i="16" a="1"/>
  <c r="T258" i="16" s="1"/>
  <c r="T259" i="16" a="1"/>
  <c r="T259" i="16" s="1"/>
  <c r="T260" i="16" a="1"/>
  <c r="T260" i="16" s="1"/>
  <c r="T261" i="16" a="1"/>
  <c r="T261" i="16" s="1"/>
  <c r="T262" i="16" a="1"/>
  <c r="T262" i="16" s="1"/>
  <c r="T263" i="16" a="1"/>
  <c r="T263" i="16" s="1"/>
  <c r="T264" i="16" a="1"/>
  <c r="T264" i="16" s="1"/>
  <c r="T265" i="16" a="1"/>
  <c r="T265" i="16" s="1"/>
  <c r="T266" i="16" a="1"/>
  <c r="T266" i="16" s="1"/>
  <c r="T267" i="16" a="1"/>
  <c r="T267" i="16" s="1"/>
  <c r="T268" i="16" a="1"/>
  <c r="T268" i="16" s="1"/>
  <c r="T269" i="16" a="1"/>
  <c r="T269" i="16" s="1"/>
  <c r="T270" i="16" a="1"/>
  <c r="T270" i="16" s="1"/>
  <c r="T271" i="16" a="1"/>
  <c r="T271" i="16" s="1"/>
  <c r="T272" i="16" a="1"/>
  <c r="T272" i="16" s="1"/>
  <c r="T273" i="16" a="1"/>
  <c r="T273" i="16" s="1"/>
  <c r="T274" i="16" a="1"/>
  <c r="T274" i="16" s="1"/>
  <c r="T275" i="16" a="1"/>
  <c r="T275" i="16" s="1"/>
  <c r="T276" i="16" a="1"/>
  <c r="T276" i="16" s="1"/>
  <c r="T277" i="16" a="1"/>
  <c r="T277" i="16" s="1"/>
  <c r="T278" i="16" a="1"/>
  <c r="T278" i="16" s="1"/>
  <c r="T279" i="16" a="1"/>
  <c r="T279" i="16" s="1"/>
  <c r="T280" i="16" a="1"/>
  <c r="T280" i="16" s="1"/>
  <c r="T281" i="16" a="1"/>
  <c r="T281" i="16" s="1"/>
  <c r="T282" i="16" a="1"/>
  <c r="T282" i="16" s="1"/>
  <c r="T283" i="16" a="1"/>
  <c r="T283" i="16" s="1"/>
  <c r="T284" i="16" a="1"/>
  <c r="T284" i="16" s="1"/>
  <c r="T285" i="16" a="1"/>
  <c r="T285" i="16" s="1"/>
  <c r="T286" i="16" a="1"/>
  <c r="T286" i="16" s="1"/>
  <c r="T287" i="16" a="1"/>
  <c r="T287" i="16" s="1"/>
  <c r="T288" i="16" a="1"/>
  <c r="T288" i="16" s="1"/>
  <c r="T289" i="16" a="1"/>
  <c r="T289" i="16" s="1"/>
  <c r="T290" i="16" a="1"/>
  <c r="T290" i="16" s="1"/>
  <c r="T291" i="16" a="1"/>
  <c r="T291" i="16" s="1"/>
  <c r="T292" i="16" a="1"/>
  <c r="T292" i="16" s="1"/>
  <c r="T293" i="16" a="1"/>
  <c r="T293" i="16" s="1"/>
  <c r="T294" i="16" a="1"/>
  <c r="T294" i="16" s="1"/>
  <c r="T295" i="16" a="1"/>
  <c r="T295" i="16" s="1"/>
  <c r="T296" i="16" a="1"/>
  <c r="T296" i="16" s="1"/>
  <c r="T297" i="16" a="1"/>
  <c r="T297" i="16" s="1"/>
  <c r="T298" i="16" a="1"/>
  <c r="T298" i="16" s="1"/>
  <c r="T299" i="16" a="1"/>
  <c r="T299" i="16" s="1"/>
  <c r="T300" i="16" a="1"/>
  <c r="T300" i="16" s="1"/>
  <c r="T301" i="16" a="1"/>
  <c r="T301" i="16" s="1"/>
  <c r="T302" i="16" a="1"/>
  <c r="T302" i="16" s="1"/>
  <c r="T303" i="16" a="1"/>
  <c r="T303" i="16" s="1"/>
  <c r="T304" i="16" a="1"/>
  <c r="T304" i="16" s="1"/>
  <c r="T305" i="16" a="1"/>
  <c r="T305" i="16" s="1"/>
  <c r="T306" i="16" a="1"/>
  <c r="T306" i="16" s="1"/>
  <c r="T307" i="16" a="1"/>
  <c r="T307" i="16" s="1"/>
  <c r="T308" i="16" a="1"/>
  <c r="T308" i="16" s="1"/>
  <c r="T309" i="16" a="1"/>
  <c r="T309" i="16" s="1"/>
  <c r="T310" i="16" a="1"/>
  <c r="T310" i="16" s="1"/>
  <c r="T311" i="16" a="1"/>
  <c r="T311" i="16" s="1"/>
  <c r="T312" i="16" a="1"/>
  <c r="T312" i="16" s="1"/>
  <c r="T313" i="16" a="1"/>
  <c r="T313" i="16" s="1"/>
  <c r="T314" i="16" a="1"/>
  <c r="T314" i="16" s="1"/>
  <c r="T315" i="16" a="1"/>
  <c r="T315" i="16" s="1"/>
  <c r="T316" i="16" a="1"/>
  <c r="T316" i="16" s="1"/>
  <c r="T317" i="16" a="1"/>
  <c r="T317" i="16" s="1"/>
  <c r="T318" i="16" a="1"/>
  <c r="T318" i="16" s="1"/>
  <c r="T319" i="16" a="1"/>
  <c r="T319" i="16" s="1"/>
  <c r="T320" i="16" a="1"/>
  <c r="T320" i="16" s="1"/>
  <c r="T321" i="16" a="1"/>
  <c r="T321" i="16" s="1"/>
  <c r="T322" i="16" a="1"/>
  <c r="T322" i="16" s="1"/>
  <c r="T323" i="16" a="1"/>
  <c r="T323" i="16" s="1"/>
  <c r="T324" i="16" a="1"/>
  <c r="T324" i="16" s="1"/>
  <c r="T325" i="16" a="1"/>
  <c r="T325" i="16" s="1"/>
  <c r="T326" i="16" a="1"/>
  <c r="T326" i="16" s="1"/>
  <c r="T327" i="16" a="1"/>
  <c r="T327" i="16" s="1"/>
  <c r="T328" i="16" a="1"/>
  <c r="T328" i="16" s="1"/>
  <c r="T329" i="16" a="1"/>
  <c r="T329" i="16" s="1"/>
  <c r="T330" i="16" a="1"/>
  <c r="T330" i="16" s="1"/>
  <c r="T331" i="16" a="1"/>
  <c r="T331" i="16" s="1"/>
  <c r="T332" i="16" a="1"/>
  <c r="T332" i="16" s="1"/>
  <c r="T333" i="16" a="1"/>
  <c r="T333" i="16" s="1"/>
  <c r="T334" i="16" a="1"/>
  <c r="T334" i="16" s="1"/>
  <c r="T335" i="16" a="1"/>
  <c r="T335" i="16" s="1"/>
  <c r="T336" i="16" a="1"/>
  <c r="T336" i="16" s="1"/>
  <c r="T337" i="16" a="1"/>
  <c r="T337" i="16" s="1"/>
  <c r="T338" i="16" a="1"/>
  <c r="T338" i="16" s="1"/>
  <c r="T339" i="16" a="1"/>
  <c r="T339" i="16" s="1"/>
  <c r="T340" i="16" a="1"/>
  <c r="T340" i="16" s="1"/>
  <c r="T341" i="16" a="1"/>
  <c r="T341" i="16" s="1"/>
  <c r="T342" i="16" a="1"/>
  <c r="T342" i="16" s="1"/>
  <c r="T343" i="16" a="1"/>
  <c r="T343" i="16" s="1"/>
  <c r="T344" i="16" a="1"/>
  <c r="T344" i="16" s="1"/>
  <c r="T345" i="16" a="1"/>
  <c r="T345" i="16" s="1"/>
  <c r="T346" i="16" a="1"/>
  <c r="T346" i="16" s="1"/>
  <c r="T347" i="16" a="1"/>
  <c r="T347" i="16" s="1"/>
  <c r="T348" i="16" a="1"/>
  <c r="T348" i="16" s="1"/>
  <c r="T349" i="16" a="1"/>
  <c r="T349" i="16" s="1"/>
  <c r="T350" i="16" a="1"/>
  <c r="T350" i="16" s="1"/>
  <c r="T351" i="16" a="1"/>
  <c r="T351" i="16" s="1"/>
  <c r="T352" i="16" a="1"/>
  <c r="T352" i="16" s="1"/>
  <c r="T353" i="16" a="1"/>
  <c r="T353" i="16" s="1"/>
  <c r="T354" i="16" a="1"/>
  <c r="T354" i="16" s="1"/>
  <c r="T355" i="16" a="1"/>
  <c r="T355" i="16" s="1"/>
  <c r="T356" i="16" a="1"/>
  <c r="T356" i="16" s="1"/>
  <c r="T357" i="16" a="1"/>
  <c r="T357" i="16" s="1"/>
  <c r="T358" i="16" a="1"/>
  <c r="T358" i="16" s="1"/>
  <c r="T359" i="16" a="1"/>
  <c r="T359" i="16" s="1"/>
  <c r="T360" i="16" a="1"/>
  <c r="T360" i="16" s="1"/>
  <c r="T361" i="16" a="1"/>
  <c r="T361" i="16" s="1"/>
  <c r="T362" i="16" a="1"/>
  <c r="T362" i="16" s="1"/>
  <c r="T363" i="16" a="1"/>
  <c r="T363" i="16" s="1"/>
  <c r="T364" i="16" a="1"/>
  <c r="T364" i="16" s="1"/>
  <c r="T365" i="16" a="1"/>
  <c r="T365" i="16" s="1"/>
  <c r="T366" i="16" a="1"/>
  <c r="T366" i="16" s="1"/>
  <c r="T367" i="16" a="1"/>
  <c r="T367" i="16" s="1"/>
  <c r="T368" i="16" a="1"/>
  <c r="T368" i="16" s="1"/>
  <c r="T369" i="16" a="1"/>
  <c r="T369" i="16" s="1"/>
  <c r="T370" i="16" a="1"/>
  <c r="T370" i="16" s="1"/>
  <c r="T371" i="16" a="1"/>
  <c r="T371" i="16" s="1"/>
  <c r="T372" i="16" a="1"/>
  <c r="T372" i="16" s="1"/>
  <c r="T373" i="16" a="1"/>
  <c r="T373" i="16" s="1"/>
  <c r="T374" i="16" a="1"/>
  <c r="T374" i="16" s="1"/>
  <c r="T375" i="16" a="1"/>
  <c r="T375" i="16" s="1"/>
  <c r="T376" i="16" a="1"/>
  <c r="T376" i="16" s="1"/>
  <c r="T377" i="16" a="1"/>
  <c r="T377" i="16" s="1"/>
  <c r="T378" i="16" a="1"/>
  <c r="T378" i="16" s="1"/>
  <c r="T379" i="16" a="1"/>
  <c r="T379" i="16" s="1"/>
  <c r="T380" i="16" a="1"/>
  <c r="T380" i="16" s="1"/>
  <c r="T381" i="16" a="1"/>
  <c r="T381" i="16" s="1"/>
  <c r="T382" i="16" a="1"/>
  <c r="T382" i="16" s="1"/>
  <c r="T383" i="16" a="1"/>
  <c r="T383" i="16" s="1"/>
  <c r="T384" i="16" a="1"/>
  <c r="T384" i="16" s="1"/>
  <c r="T385" i="16" a="1"/>
  <c r="T385" i="16" s="1"/>
  <c r="T386" i="16" a="1"/>
  <c r="T386" i="16" s="1"/>
  <c r="T387" i="16" a="1"/>
  <c r="T387" i="16" s="1"/>
  <c r="T388" i="16" a="1"/>
  <c r="T388" i="16" s="1"/>
  <c r="T389" i="16" a="1"/>
  <c r="T389" i="16" s="1"/>
  <c r="T390" i="16" a="1"/>
  <c r="T390" i="16" s="1"/>
  <c r="T391" i="16" a="1"/>
  <c r="T391" i="16" s="1"/>
  <c r="T392" i="16" a="1"/>
  <c r="T392" i="16" s="1"/>
  <c r="T393" i="16" a="1"/>
  <c r="T393" i="16" s="1"/>
  <c r="T394" i="16" a="1"/>
  <c r="T394" i="16" s="1"/>
  <c r="T2" i="15" a="1"/>
  <c r="T2" i="15" s="1"/>
  <c r="T3" i="15" a="1"/>
  <c r="T3" i="15" s="1"/>
  <c r="T4" i="15" a="1"/>
  <c r="T4" i="15" s="1"/>
  <c r="T5" i="15" a="1"/>
  <c r="T5" i="15" s="1"/>
  <c r="T6" i="15" a="1"/>
  <c r="T6" i="15" s="1"/>
  <c r="T7" i="15" a="1"/>
  <c r="T7" i="15" s="1"/>
  <c r="T8" i="15" a="1"/>
  <c r="T8" i="15" s="1"/>
  <c r="T9" i="15" a="1"/>
  <c r="T9" i="15" s="1"/>
  <c r="T10" i="15" a="1"/>
  <c r="T10" i="15" s="1"/>
  <c r="T11" i="15" a="1"/>
  <c r="T11" i="15" s="1"/>
  <c r="T12" i="15" a="1"/>
  <c r="T12" i="15" s="1"/>
  <c r="T13" i="15" a="1"/>
  <c r="T13" i="15" s="1"/>
  <c r="T14" i="15" a="1"/>
  <c r="T14" i="15" s="1"/>
  <c r="T15" i="15" a="1"/>
  <c r="T15" i="15" s="1"/>
  <c r="T16" i="15" a="1"/>
  <c r="T16" i="15" s="1"/>
  <c r="T17" i="15" a="1"/>
  <c r="T17" i="15" s="1"/>
  <c r="T18" i="15" a="1"/>
  <c r="T18" i="15" s="1"/>
  <c r="T19" i="15" a="1"/>
  <c r="T19" i="15" s="1"/>
  <c r="T20" i="15" a="1"/>
  <c r="T20" i="15" s="1"/>
  <c r="T21" i="15" a="1"/>
  <c r="T21" i="15" s="1"/>
  <c r="T22" i="15" a="1"/>
  <c r="T22" i="15" s="1"/>
  <c r="T23" i="15" a="1"/>
  <c r="T23" i="15" s="1"/>
  <c r="T24" i="15" a="1"/>
  <c r="T24" i="15" s="1"/>
  <c r="T25" i="15" a="1"/>
  <c r="T25" i="15" s="1"/>
  <c r="T26" i="15" a="1"/>
  <c r="T26" i="15" s="1"/>
  <c r="T27" i="15" a="1"/>
  <c r="T27" i="15" s="1"/>
  <c r="T28" i="15" a="1"/>
  <c r="T28" i="15" s="1"/>
  <c r="T29" i="15" a="1"/>
  <c r="T29" i="15" s="1"/>
  <c r="T30" i="15" a="1"/>
  <c r="T30" i="15" s="1"/>
  <c r="T31" i="15" a="1"/>
  <c r="T31" i="15" s="1"/>
  <c r="T32" i="15" a="1"/>
  <c r="T32" i="15" s="1"/>
  <c r="T33" i="15" a="1"/>
  <c r="T33" i="15" s="1"/>
  <c r="T34" i="15" a="1"/>
  <c r="T34" i="15" s="1"/>
  <c r="T35" i="15" a="1"/>
  <c r="T35" i="15" s="1"/>
  <c r="T36" i="15" a="1"/>
  <c r="T36" i="15" s="1"/>
  <c r="T37" i="15" a="1"/>
  <c r="T37" i="15" s="1"/>
  <c r="T38" i="15" a="1"/>
  <c r="T38" i="15" s="1"/>
  <c r="T39" i="15" a="1"/>
  <c r="T39" i="15" s="1"/>
  <c r="T40" i="15" a="1"/>
  <c r="T40" i="15" s="1"/>
  <c r="T41" i="15" a="1"/>
  <c r="T41" i="15" s="1"/>
  <c r="T42" i="15" a="1"/>
  <c r="T42" i="15" s="1"/>
  <c r="T43" i="15" a="1"/>
  <c r="T43" i="15" s="1"/>
  <c r="T44" i="15" a="1"/>
  <c r="T44" i="15" s="1"/>
  <c r="T45" i="15" a="1"/>
  <c r="T45" i="15" s="1"/>
  <c r="T46" i="15" a="1"/>
  <c r="T46" i="15" s="1"/>
  <c r="T47" i="15" a="1"/>
  <c r="T47" i="15" s="1"/>
  <c r="T48" i="15" a="1"/>
  <c r="T48" i="15" s="1"/>
  <c r="T49" i="15" a="1"/>
  <c r="T49" i="15" s="1"/>
  <c r="T50" i="15" a="1"/>
  <c r="T50" i="15" s="1"/>
  <c r="T51" i="15" a="1"/>
  <c r="T51" i="15" s="1"/>
  <c r="T52" i="15" a="1"/>
  <c r="T52" i="15" s="1"/>
  <c r="T53" i="15" a="1"/>
  <c r="T53" i="15" s="1"/>
  <c r="T54" i="15" a="1"/>
  <c r="T54" i="15" s="1"/>
  <c r="T55" i="15" a="1"/>
  <c r="T55" i="15" s="1"/>
  <c r="T56" i="15" a="1"/>
  <c r="T56" i="15" s="1"/>
  <c r="T57" i="15" a="1"/>
  <c r="T57" i="15" s="1"/>
  <c r="T58" i="15" a="1"/>
  <c r="T58" i="15" s="1"/>
  <c r="T59" i="15" a="1"/>
  <c r="T59" i="15" s="1"/>
  <c r="T60" i="15" a="1"/>
  <c r="T60" i="15" s="1"/>
  <c r="T61" i="15" a="1"/>
  <c r="T61" i="15" s="1"/>
  <c r="T62" i="15" a="1"/>
  <c r="T62" i="15" s="1"/>
  <c r="T63" i="15" a="1"/>
  <c r="T63" i="15" s="1"/>
  <c r="T64" i="15" a="1"/>
  <c r="T64" i="15" s="1"/>
  <c r="T65" i="15" a="1"/>
  <c r="T65" i="15" s="1"/>
  <c r="T66" i="15" a="1"/>
  <c r="T66" i="15" s="1"/>
  <c r="T67" i="15" a="1"/>
  <c r="T67" i="15" s="1"/>
  <c r="T68" i="15" a="1"/>
  <c r="T68" i="15" s="1"/>
  <c r="T69" i="15" a="1"/>
  <c r="T69" i="15" s="1"/>
  <c r="T70" i="15" a="1"/>
  <c r="T70" i="15" s="1"/>
  <c r="T71" i="15" a="1"/>
  <c r="T71" i="15" s="1"/>
  <c r="T72" i="15" a="1"/>
  <c r="T72" i="15" s="1"/>
  <c r="T73" i="15" a="1"/>
  <c r="T73" i="15" s="1"/>
  <c r="T74" i="15" a="1"/>
  <c r="T74" i="15" s="1"/>
  <c r="T75" i="15" a="1"/>
  <c r="T75" i="15" s="1"/>
  <c r="T76" i="15" a="1"/>
  <c r="T76" i="15" s="1"/>
  <c r="T77" i="15" a="1"/>
  <c r="T77" i="15" s="1"/>
  <c r="T78" i="15" a="1"/>
  <c r="T78" i="15" s="1"/>
  <c r="T79" i="15" a="1"/>
  <c r="T79" i="15" s="1"/>
  <c r="T80" i="15" a="1"/>
  <c r="T80" i="15" s="1"/>
  <c r="T81" i="15" a="1"/>
  <c r="T81" i="15" s="1"/>
  <c r="T82" i="15" a="1"/>
  <c r="T82" i="15" s="1"/>
  <c r="T83" i="15" a="1"/>
  <c r="T83" i="15" s="1"/>
  <c r="T84" i="15" a="1"/>
  <c r="T84" i="15" s="1"/>
  <c r="T85" i="15" a="1"/>
  <c r="T85" i="15" s="1"/>
  <c r="T86" i="15" a="1"/>
  <c r="T86" i="15" s="1"/>
  <c r="T87" i="15" a="1"/>
  <c r="T87" i="15" s="1"/>
  <c r="T88" i="15" a="1"/>
  <c r="T88" i="15" s="1"/>
  <c r="T89" i="15" a="1"/>
  <c r="T89" i="15" s="1"/>
  <c r="T90" i="15" a="1"/>
  <c r="T90" i="15" s="1"/>
  <c r="T91" i="15" a="1"/>
  <c r="T91" i="15" s="1"/>
  <c r="T92" i="15" a="1"/>
  <c r="T92" i="15" s="1"/>
  <c r="T93" i="15" a="1"/>
  <c r="T93" i="15" s="1"/>
  <c r="T94" i="15" a="1"/>
  <c r="T94" i="15" s="1"/>
  <c r="T95" i="15" a="1"/>
  <c r="T95" i="15" s="1"/>
  <c r="T96" i="15" a="1"/>
  <c r="T96" i="15" s="1"/>
  <c r="T97" i="15" a="1"/>
  <c r="T97" i="15" s="1"/>
  <c r="T98" i="15" a="1"/>
  <c r="T98" i="15" s="1"/>
  <c r="T99" i="15" a="1"/>
  <c r="T99" i="15" s="1"/>
  <c r="T100" i="15" a="1"/>
  <c r="T100" i="15" s="1"/>
  <c r="T101" i="15" a="1"/>
  <c r="T101" i="15" s="1"/>
  <c r="T102" i="15" a="1"/>
  <c r="T102" i="15" s="1"/>
  <c r="T103" i="15" a="1"/>
  <c r="T103" i="15" s="1"/>
  <c r="T104" i="15" a="1"/>
  <c r="T104" i="15" s="1"/>
  <c r="T105" i="15" a="1"/>
  <c r="T105" i="15" s="1"/>
  <c r="T106" i="15" a="1"/>
  <c r="T106" i="15" s="1"/>
  <c r="T107" i="15" a="1"/>
  <c r="T107" i="15" s="1"/>
  <c r="T108" i="15" a="1"/>
  <c r="T108" i="15" s="1"/>
  <c r="T109" i="15" a="1"/>
  <c r="T109" i="15" s="1"/>
  <c r="T110" i="15" a="1"/>
  <c r="T110" i="15" s="1"/>
  <c r="T111" i="15" a="1"/>
  <c r="T111" i="15" s="1"/>
  <c r="T112" i="15" a="1"/>
  <c r="T112" i="15" s="1"/>
  <c r="T113" i="15" a="1"/>
  <c r="T113" i="15" s="1"/>
  <c r="T114" i="15" a="1"/>
  <c r="T114" i="15" s="1"/>
  <c r="T115" i="15" a="1"/>
  <c r="T115" i="15" s="1"/>
  <c r="T116" i="15" a="1"/>
  <c r="T116" i="15" s="1"/>
  <c r="T117" i="15" a="1"/>
  <c r="T117" i="15" s="1"/>
  <c r="T118" i="15" a="1"/>
  <c r="T118" i="15" s="1"/>
  <c r="T119" i="15" a="1"/>
  <c r="T119" i="15" s="1"/>
  <c r="T120" i="15" a="1"/>
  <c r="T120" i="15" s="1"/>
  <c r="T121" i="15" a="1"/>
  <c r="T121" i="15" s="1"/>
  <c r="T122" i="15" a="1"/>
  <c r="T122" i="15" s="1"/>
  <c r="T123" i="15" a="1"/>
  <c r="T123" i="15" s="1"/>
  <c r="T124" i="15" a="1"/>
  <c r="T124" i="15" s="1"/>
  <c r="T125" i="15" a="1"/>
  <c r="T125" i="15" s="1"/>
  <c r="T126" i="15" a="1"/>
  <c r="T126" i="15" s="1"/>
  <c r="T127" i="15" a="1"/>
  <c r="T127" i="15" s="1"/>
  <c r="T128" i="15" a="1"/>
  <c r="T128" i="15" s="1"/>
  <c r="T129" i="15" a="1"/>
  <c r="T129" i="15" s="1"/>
  <c r="T130" i="15" a="1"/>
  <c r="T130" i="15" s="1"/>
  <c r="T131" i="15" a="1"/>
  <c r="T131" i="15" s="1"/>
  <c r="T132" i="15" a="1"/>
  <c r="T132" i="15" s="1"/>
  <c r="T133" i="15" a="1"/>
  <c r="T133" i="15" s="1"/>
  <c r="T134" i="15" a="1"/>
  <c r="T134" i="15" s="1"/>
  <c r="T135" i="15" a="1"/>
  <c r="T135" i="15" s="1"/>
  <c r="T136" i="15" a="1"/>
  <c r="T136" i="15" s="1"/>
  <c r="T137" i="15" a="1"/>
  <c r="T137" i="15" s="1"/>
  <c r="T138" i="15" a="1"/>
  <c r="T138" i="15" s="1"/>
  <c r="T139" i="15" a="1"/>
  <c r="T139" i="15" s="1"/>
  <c r="T140" i="15" a="1"/>
  <c r="T140" i="15" s="1"/>
  <c r="T141" i="15" a="1"/>
  <c r="T141" i="15" s="1"/>
  <c r="T142" i="15" a="1"/>
  <c r="T142" i="15" s="1"/>
  <c r="T143" i="15" a="1"/>
  <c r="T143" i="15" s="1"/>
  <c r="T144" i="15" a="1"/>
  <c r="T144" i="15" s="1"/>
  <c r="T145" i="15" a="1"/>
  <c r="T145" i="15" s="1"/>
  <c r="T146" i="15" a="1"/>
  <c r="T146" i="15" s="1"/>
  <c r="T147" i="15" a="1"/>
  <c r="T147" i="15" s="1"/>
  <c r="T148" i="15" a="1"/>
  <c r="T148" i="15" s="1"/>
  <c r="T149" i="15" a="1"/>
  <c r="T149" i="15" s="1"/>
  <c r="T150" i="15" a="1"/>
  <c r="T150" i="15" s="1"/>
  <c r="T151" i="15" a="1"/>
  <c r="T151" i="15" s="1"/>
  <c r="T152" i="15" a="1"/>
  <c r="T152" i="15" s="1"/>
  <c r="T153" i="15" a="1"/>
  <c r="T153" i="15" s="1"/>
  <c r="T154" i="15" a="1"/>
  <c r="T154" i="15" s="1"/>
  <c r="T155" i="15" a="1"/>
  <c r="T155" i="15" s="1"/>
  <c r="T156" i="15" a="1"/>
  <c r="T156" i="15" s="1"/>
  <c r="T157" i="15" a="1"/>
  <c r="T157" i="15" s="1"/>
  <c r="T158" i="15" a="1"/>
  <c r="T158" i="15" s="1"/>
  <c r="T159" i="15" a="1"/>
  <c r="T159" i="15" s="1"/>
  <c r="T160" i="15" a="1"/>
  <c r="T160" i="15" s="1"/>
  <c r="T161" i="15" a="1"/>
  <c r="T161" i="15" s="1"/>
  <c r="T162" i="15" a="1"/>
  <c r="T162" i="15" s="1"/>
  <c r="T163" i="15" a="1"/>
  <c r="T163" i="15" s="1"/>
  <c r="T164" i="15" a="1"/>
  <c r="T164" i="15" s="1"/>
  <c r="T165" i="15" a="1"/>
  <c r="T165" i="15" s="1"/>
  <c r="T166" i="15" a="1"/>
  <c r="T166" i="15" s="1"/>
  <c r="T167" i="15" a="1"/>
  <c r="T167" i="15" s="1"/>
  <c r="T168" i="15" a="1"/>
  <c r="T168" i="15" s="1"/>
  <c r="T169" i="15" a="1"/>
  <c r="T169" i="15" s="1"/>
  <c r="T170" i="15" a="1"/>
  <c r="T170" i="15" s="1"/>
  <c r="T171" i="15" a="1"/>
  <c r="T171" i="15" s="1"/>
  <c r="T172" i="15" a="1"/>
  <c r="T172" i="15" s="1"/>
  <c r="T173" i="15" a="1"/>
  <c r="T173" i="15" s="1"/>
  <c r="T174" i="15" a="1"/>
  <c r="T174" i="15" s="1"/>
  <c r="T175" i="15" a="1"/>
  <c r="T175" i="15" s="1"/>
  <c r="T176" i="15" a="1"/>
  <c r="T176" i="15" s="1"/>
  <c r="T177" i="15" a="1"/>
  <c r="T177" i="15" s="1"/>
  <c r="T178" i="15" a="1"/>
  <c r="T178" i="15" s="1"/>
  <c r="T179" i="15" a="1"/>
  <c r="T179" i="15" s="1"/>
  <c r="T180" i="15" a="1"/>
  <c r="T180" i="15" s="1"/>
  <c r="T181" i="15" a="1"/>
  <c r="T181" i="15" s="1"/>
  <c r="T182" i="15" a="1"/>
  <c r="T182" i="15" s="1"/>
  <c r="T183" i="15" a="1"/>
  <c r="T183" i="15" s="1"/>
  <c r="T184" i="15" a="1"/>
  <c r="T184" i="15" s="1"/>
  <c r="T185" i="15" a="1"/>
  <c r="T185" i="15" s="1"/>
  <c r="T186" i="15" a="1"/>
  <c r="T186" i="15" s="1"/>
  <c r="T187" i="15" a="1"/>
  <c r="T187" i="15" s="1"/>
  <c r="T188" i="15" a="1"/>
  <c r="T188" i="15" s="1"/>
  <c r="T189" i="15" a="1"/>
  <c r="T189" i="15" s="1"/>
  <c r="T190" i="15" a="1"/>
  <c r="T190" i="15" s="1"/>
  <c r="T191" i="15" a="1"/>
  <c r="T191" i="15" s="1"/>
  <c r="T192" i="15" a="1"/>
  <c r="T192" i="15" s="1"/>
  <c r="T193" i="15" a="1"/>
  <c r="T193" i="15" s="1"/>
  <c r="T194" i="15" a="1"/>
  <c r="T194" i="15" s="1"/>
  <c r="T195" i="15" a="1"/>
  <c r="T195" i="15" s="1"/>
  <c r="T196" i="15" a="1"/>
  <c r="T196" i="15" s="1"/>
  <c r="T197" i="15" a="1"/>
  <c r="T197" i="15" s="1"/>
  <c r="T198" i="15" a="1"/>
  <c r="T198" i="15" s="1"/>
  <c r="T199" i="15" a="1"/>
  <c r="T199" i="15" s="1"/>
  <c r="T200" i="15" a="1"/>
  <c r="T200" i="15" s="1"/>
  <c r="T201" i="15" a="1"/>
  <c r="T201" i="15" s="1"/>
  <c r="T202" i="15" a="1"/>
  <c r="T202" i="15" s="1"/>
  <c r="T203" i="15" a="1"/>
  <c r="T203" i="15" s="1"/>
  <c r="T204" i="15" a="1"/>
  <c r="T204" i="15" s="1"/>
  <c r="T205" i="15" a="1"/>
  <c r="T205" i="15" s="1"/>
  <c r="T206" i="15" a="1"/>
  <c r="T206" i="15" s="1"/>
  <c r="T207" i="15" a="1"/>
  <c r="T207" i="15" s="1"/>
  <c r="T208" i="15" a="1"/>
  <c r="T208" i="15" s="1"/>
  <c r="T209" i="15" a="1"/>
  <c r="T209" i="15" s="1"/>
  <c r="T210" i="15" a="1"/>
  <c r="T210" i="15" s="1"/>
  <c r="T211" i="15" a="1"/>
  <c r="T211" i="15" s="1"/>
  <c r="T212" i="15" a="1"/>
  <c r="T212" i="15" s="1"/>
  <c r="T213" i="15" a="1"/>
  <c r="T213" i="15" s="1"/>
  <c r="T214" i="15" a="1"/>
  <c r="T214" i="15" s="1"/>
  <c r="T215" i="15" a="1"/>
  <c r="T215" i="15" s="1"/>
  <c r="T216" i="15" a="1"/>
  <c r="T216" i="15" s="1"/>
  <c r="T217" i="15" a="1"/>
  <c r="T217" i="15" s="1"/>
  <c r="T218" i="15" a="1"/>
  <c r="T218" i="15" s="1"/>
  <c r="T219" i="15" a="1"/>
  <c r="T219" i="15" s="1"/>
  <c r="T220" i="15" a="1"/>
  <c r="T220" i="15" s="1"/>
  <c r="T221" i="15" a="1"/>
  <c r="T221" i="15" s="1"/>
  <c r="T222" i="15" a="1"/>
  <c r="T222" i="15" s="1"/>
  <c r="T223" i="15" a="1"/>
  <c r="T223" i="15" s="1"/>
  <c r="T224" i="15" a="1"/>
  <c r="T224" i="15" s="1"/>
  <c r="T225" i="15" a="1"/>
  <c r="T225" i="15" s="1"/>
  <c r="T226" i="15" a="1"/>
  <c r="T226" i="15" s="1"/>
  <c r="T227" i="15" a="1"/>
  <c r="T227" i="15" s="1"/>
  <c r="T228" i="15" a="1"/>
  <c r="T228" i="15" s="1"/>
  <c r="T229" i="15" a="1"/>
  <c r="T229" i="15" s="1"/>
  <c r="T230" i="15" a="1"/>
  <c r="T230" i="15" s="1"/>
  <c r="T231" i="15" a="1"/>
  <c r="T231" i="15" s="1"/>
  <c r="T232" i="15" a="1"/>
  <c r="T232" i="15" s="1"/>
  <c r="T233" i="15" a="1"/>
  <c r="T233" i="15" s="1"/>
  <c r="T234" i="15" a="1"/>
  <c r="T234" i="15" s="1"/>
  <c r="T235" i="15" a="1"/>
  <c r="T235" i="15" s="1"/>
  <c r="T236" i="15" a="1"/>
  <c r="T236" i="15" s="1"/>
  <c r="T237" i="15" a="1"/>
  <c r="T237" i="15" s="1"/>
  <c r="T238" i="15" a="1"/>
  <c r="T238" i="15" s="1"/>
  <c r="T239" i="15" a="1"/>
  <c r="T239" i="15" s="1"/>
  <c r="T240" i="15" a="1"/>
  <c r="T240" i="15" s="1"/>
  <c r="T241" i="15" a="1"/>
  <c r="T241" i="15" s="1"/>
  <c r="T242" i="15" a="1"/>
  <c r="T242" i="15" s="1"/>
  <c r="T243" i="15" a="1"/>
  <c r="T243" i="15" s="1"/>
  <c r="T244" i="15" a="1"/>
  <c r="T244" i="15" s="1"/>
  <c r="T245" i="15" a="1"/>
  <c r="T245" i="15" s="1"/>
  <c r="T246" i="15" a="1"/>
  <c r="T246" i="15" s="1"/>
  <c r="T247" i="15" a="1"/>
  <c r="T247" i="15" s="1"/>
  <c r="T248" i="15" a="1"/>
  <c r="T248" i="15" s="1"/>
  <c r="T249" i="15" a="1"/>
  <c r="T249" i="15" s="1"/>
  <c r="T250" i="15" a="1"/>
  <c r="T250" i="15" s="1"/>
  <c r="T251" i="15" a="1"/>
  <c r="T251" i="15" s="1"/>
  <c r="T252" i="15" a="1"/>
  <c r="T252" i="15" s="1"/>
  <c r="T253" i="15" a="1"/>
  <c r="T253" i="15" s="1"/>
  <c r="T254" i="15" a="1"/>
  <c r="T254" i="15" s="1"/>
  <c r="T255" i="15" a="1"/>
  <c r="T255" i="15" s="1"/>
  <c r="T256" i="15" a="1"/>
  <c r="T256" i="15" s="1"/>
  <c r="T257" i="15" a="1"/>
  <c r="T257" i="15" s="1"/>
  <c r="T2" i="14" a="1"/>
  <c r="T2" i="14" s="1"/>
  <c r="T3" i="14" a="1"/>
  <c r="T3" i="14" s="1"/>
  <c r="T4" i="14" a="1"/>
  <c r="T4" i="14" s="1"/>
  <c r="T5" i="14" a="1"/>
  <c r="T5" i="14" s="1"/>
  <c r="T6" i="14" a="1"/>
  <c r="T6" i="14" s="1"/>
  <c r="T7" i="14" a="1"/>
  <c r="T7" i="14" s="1"/>
  <c r="T8" i="14" a="1"/>
  <c r="T8" i="14" s="1"/>
  <c r="T9" i="14" a="1"/>
  <c r="T9" i="14" s="1"/>
  <c r="T10" i="14" a="1"/>
  <c r="T10" i="14" s="1"/>
  <c r="T11" i="14" a="1"/>
  <c r="T11" i="14" s="1"/>
  <c r="T12" i="14" a="1"/>
  <c r="T12" i="14" s="1"/>
  <c r="T13" i="14" a="1"/>
  <c r="T13" i="14" s="1"/>
  <c r="T14" i="14" a="1"/>
  <c r="T14" i="14" s="1"/>
  <c r="T15" i="14" a="1"/>
  <c r="T15" i="14" s="1"/>
  <c r="T16" i="14" a="1"/>
  <c r="T16" i="14" s="1"/>
  <c r="T17" i="14" a="1"/>
  <c r="T17" i="14" s="1"/>
  <c r="T18" i="14" a="1"/>
  <c r="T18" i="14" s="1"/>
  <c r="T19" i="14" a="1"/>
  <c r="T19" i="14" s="1"/>
  <c r="T20" i="14" a="1"/>
  <c r="T20" i="14" s="1"/>
  <c r="T21" i="14" a="1"/>
  <c r="T21" i="14" s="1"/>
  <c r="T22" i="14" a="1"/>
  <c r="T22" i="14" s="1"/>
  <c r="T23" i="14" a="1"/>
  <c r="T23" i="14" s="1"/>
  <c r="T24" i="14" a="1"/>
  <c r="T24" i="14" s="1"/>
  <c r="T25" i="14" a="1"/>
  <c r="T25" i="14" s="1"/>
  <c r="T26" i="14" a="1"/>
  <c r="T26" i="14" s="1"/>
  <c r="T27" i="14" a="1"/>
  <c r="T27" i="14" s="1"/>
  <c r="T28" i="14" a="1"/>
  <c r="T28" i="14" s="1"/>
  <c r="T29" i="14" a="1"/>
  <c r="T29" i="14" s="1"/>
  <c r="T30" i="14" a="1"/>
  <c r="T30" i="14" s="1"/>
  <c r="T31" i="14" a="1"/>
  <c r="T31" i="14" s="1"/>
  <c r="T32" i="14" a="1"/>
  <c r="T32" i="14" s="1"/>
  <c r="T33" i="14" a="1"/>
  <c r="T33" i="14" s="1"/>
  <c r="T34" i="14" a="1"/>
  <c r="T34" i="14" s="1"/>
  <c r="T35" i="14" a="1"/>
  <c r="T35" i="14" s="1"/>
  <c r="T36" i="14" a="1"/>
  <c r="T36" i="14" s="1"/>
  <c r="T37" i="14" a="1"/>
  <c r="T37" i="14" s="1"/>
  <c r="T38" i="14" a="1"/>
  <c r="T38" i="14" s="1"/>
  <c r="T39" i="14" a="1"/>
  <c r="T39" i="14" s="1"/>
  <c r="T40" i="14" a="1"/>
  <c r="T40" i="14" s="1"/>
  <c r="T41" i="14" a="1"/>
  <c r="T41" i="14" s="1"/>
  <c r="T42" i="14" a="1"/>
  <c r="T42" i="14" s="1"/>
  <c r="T43" i="14" a="1"/>
  <c r="T43" i="14" s="1"/>
  <c r="T44" i="14" a="1"/>
  <c r="T44" i="14" s="1"/>
  <c r="T45" i="14" a="1"/>
  <c r="T45" i="14" s="1"/>
  <c r="T46" i="14" a="1"/>
  <c r="T46" i="14" s="1"/>
  <c r="T47" i="14" a="1"/>
  <c r="T47" i="14" s="1"/>
  <c r="T48" i="14" a="1"/>
  <c r="T48" i="14" s="1"/>
  <c r="T49" i="14" a="1"/>
  <c r="T49" i="14" s="1"/>
  <c r="T50" i="14" a="1"/>
  <c r="T50" i="14" s="1"/>
  <c r="T51" i="14" a="1"/>
  <c r="T51" i="14" s="1"/>
  <c r="T52" i="14" a="1"/>
  <c r="T52" i="14" s="1"/>
  <c r="T53" i="14" a="1"/>
  <c r="T53" i="14" s="1"/>
  <c r="T54" i="14" a="1"/>
  <c r="T54" i="14" s="1"/>
  <c r="T55" i="14" a="1"/>
  <c r="T55" i="14" s="1"/>
  <c r="T56" i="14" a="1"/>
  <c r="T56" i="14" s="1"/>
  <c r="T57" i="14" a="1"/>
  <c r="T57" i="14" s="1"/>
  <c r="T58" i="14" a="1"/>
  <c r="T58" i="14" s="1"/>
  <c r="T59" i="14" a="1"/>
  <c r="T59" i="14" s="1"/>
  <c r="T60" i="14" a="1"/>
  <c r="T60" i="14" s="1"/>
  <c r="T61" i="14" a="1"/>
  <c r="T61" i="14" s="1"/>
  <c r="T62" i="14" a="1"/>
  <c r="T62" i="14" s="1"/>
  <c r="T63" i="14" a="1"/>
  <c r="T63" i="14" s="1"/>
  <c r="T64" i="14" a="1"/>
  <c r="T64" i="14" s="1"/>
  <c r="T65" i="14" a="1"/>
  <c r="T65" i="14" s="1"/>
  <c r="T66" i="14" a="1"/>
  <c r="T66" i="14" s="1"/>
  <c r="T67" i="14" a="1"/>
  <c r="T67" i="14" s="1"/>
  <c r="T68" i="14" a="1"/>
  <c r="T68" i="14" s="1"/>
  <c r="T69" i="14" a="1"/>
  <c r="T69" i="14" s="1"/>
  <c r="T70" i="14" a="1"/>
  <c r="T70" i="14" s="1"/>
  <c r="T71" i="14" a="1"/>
  <c r="T71" i="14" s="1"/>
  <c r="T72" i="14" a="1"/>
  <c r="T72" i="14" s="1"/>
  <c r="T73" i="14" a="1"/>
  <c r="T73" i="14" s="1"/>
  <c r="T74" i="14" a="1"/>
  <c r="T74" i="14" s="1"/>
  <c r="T75" i="14" a="1"/>
  <c r="T75" i="14" s="1"/>
  <c r="T76" i="14" a="1"/>
  <c r="T76" i="14" s="1"/>
  <c r="T77" i="14" a="1"/>
  <c r="T77" i="14" s="1"/>
  <c r="T78" i="14" a="1"/>
  <c r="T78" i="14" s="1"/>
  <c r="T79" i="14" a="1"/>
  <c r="T79" i="14" s="1"/>
  <c r="T80" i="14" a="1"/>
  <c r="T80" i="14" s="1"/>
  <c r="T81" i="14" a="1"/>
  <c r="T81" i="14" s="1"/>
  <c r="T82" i="14" a="1"/>
  <c r="T82" i="14" s="1"/>
  <c r="T83" i="14" a="1"/>
  <c r="T83" i="14" s="1"/>
  <c r="T84" i="14" a="1"/>
  <c r="T84" i="14" s="1"/>
  <c r="T85" i="14" a="1"/>
  <c r="T85" i="14" s="1"/>
  <c r="T86" i="14" a="1"/>
  <c r="T86" i="14" s="1"/>
  <c r="T87" i="14" a="1"/>
  <c r="T87" i="14" s="1"/>
  <c r="T88" i="14" a="1"/>
  <c r="T88" i="14" s="1"/>
  <c r="T89" i="14" a="1"/>
  <c r="T89" i="14" s="1"/>
  <c r="T90" i="14" a="1"/>
  <c r="T90" i="14" s="1"/>
  <c r="T91" i="14" a="1"/>
  <c r="T91" i="14" s="1"/>
  <c r="T92" i="14" a="1"/>
  <c r="T92" i="14" s="1"/>
  <c r="T93" i="14" a="1"/>
  <c r="T93" i="14" s="1"/>
  <c r="T94" i="14" a="1"/>
  <c r="T94" i="14" s="1"/>
  <c r="T95" i="14" a="1"/>
  <c r="T95" i="14" s="1"/>
  <c r="T96" i="14" a="1"/>
  <c r="T96" i="14" s="1"/>
  <c r="T97" i="14" a="1"/>
  <c r="T97" i="14" s="1"/>
  <c r="T98" i="14" a="1"/>
  <c r="T98" i="14" s="1"/>
  <c r="T99" i="14" a="1"/>
  <c r="T99" i="14" s="1"/>
  <c r="T100" i="14" a="1"/>
  <c r="T100" i="14" s="1"/>
  <c r="T101" i="14" a="1"/>
  <c r="T101" i="14" s="1"/>
  <c r="T102" i="14" a="1"/>
  <c r="T102" i="14" s="1"/>
  <c r="T103" i="14" a="1"/>
  <c r="T103" i="14" s="1"/>
  <c r="T104" i="14" a="1"/>
  <c r="T104" i="14" s="1"/>
  <c r="T105" i="14" a="1"/>
  <c r="T105" i="14" s="1"/>
  <c r="T106" i="14" a="1"/>
  <c r="T106" i="14" s="1"/>
  <c r="T107" i="14" a="1"/>
  <c r="T107" i="14" s="1"/>
  <c r="T108" i="14" a="1"/>
  <c r="T108" i="14" s="1"/>
  <c r="T109" i="14" a="1"/>
  <c r="T109" i="14" s="1"/>
  <c r="T110" i="14" a="1"/>
  <c r="T110" i="14" s="1"/>
  <c r="T111" i="14" a="1"/>
  <c r="T111" i="14" s="1"/>
  <c r="T112" i="14" a="1"/>
  <c r="T112" i="14" s="1"/>
  <c r="T113" i="14" a="1"/>
  <c r="T113" i="14" s="1"/>
  <c r="T114" i="14" a="1"/>
  <c r="T114" i="14" s="1"/>
  <c r="T115" i="14" a="1"/>
  <c r="T115" i="14" s="1"/>
  <c r="T116" i="14" a="1"/>
  <c r="T116" i="14" s="1"/>
  <c r="T117" i="14" a="1"/>
  <c r="T117" i="14" s="1"/>
  <c r="T118" i="14" a="1"/>
  <c r="T118" i="14" s="1"/>
  <c r="T119" i="14" a="1"/>
  <c r="T119" i="14" s="1"/>
  <c r="T120" i="14" a="1"/>
  <c r="T120" i="14" s="1"/>
  <c r="T121" i="14" a="1"/>
  <c r="T121" i="14" s="1"/>
  <c r="T122" i="14" a="1"/>
  <c r="T122" i="14" s="1"/>
  <c r="T123" i="14" a="1"/>
  <c r="T123" i="14" s="1"/>
  <c r="T124" i="14" a="1"/>
  <c r="T124" i="14" s="1"/>
  <c r="T125" i="14" a="1"/>
  <c r="T125" i="14" s="1"/>
  <c r="T126" i="14" a="1"/>
  <c r="T126" i="14" s="1"/>
  <c r="T127" i="14" a="1"/>
  <c r="T127" i="14" s="1"/>
  <c r="T128" i="14" a="1"/>
  <c r="T128" i="14" s="1"/>
  <c r="T129" i="14" a="1"/>
  <c r="T129" i="14" s="1"/>
  <c r="T130" i="14" a="1"/>
  <c r="T130" i="14" s="1"/>
  <c r="T131" i="14" a="1"/>
  <c r="T131" i="14" s="1"/>
  <c r="T132" i="14" a="1"/>
  <c r="T132" i="14" s="1"/>
  <c r="T133" i="14" a="1"/>
  <c r="T133" i="14" s="1"/>
  <c r="T134" i="14" a="1"/>
  <c r="T134" i="14" s="1"/>
  <c r="T135" i="14" a="1"/>
  <c r="T135" i="14" s="1"/>
  <c r="T136" i="14" a="1"/>
  <c r="T136" i="14" s="1"/>
  <c r="T137" i="14" a="1"/>
  <c r="T137" i="14" s="1"/>
  <c r="T138" i="14" a="1"/>
  <c r="T138" i="14" s="1"/>
  <c r="T139" i="14" a="1"/>
  <c r="T139" i="14" s="1"/>
  <c r="T140" i="14" a="1"/>
  <c r="T140" i="14" s="1"/>
  <c r="T141" i="14" a="1"/>
  <c r="T141" i="14" s="1"/>
  <c r="T142" i="14" a="1"/>
  <c r="T142" i="14" s="1"/>
  <c r="T143" i="14" a="1"/>
  <c r="T143" i="14" s="1"/>
  <c r="T144" i="14" a="1"/>
  <c r="T144" i="14" s="1"/>
  <c r="T145" i="14" a="1"/>
  <c r="T145" i="14" s="1"/>
  <c r="T146" i="14" a="1"/>
  <c r="T146" i="14" s="1"/>
  <c r="T147" i="14" a="1"/>
  <c r="T147" i="14" s="1"/>
  <c r="T148" i="14" a="1"/>
  <c r="T148" i="14" s="1"/>
  <c r="T149" i="14" a="1"/>
  <c r="T149" i="14" s="1"/>
  <c r="T150" i="14" a="1"/>
  <c r="T150" i="14" s="1"/>
  <c r="T151" i="14" a="1"/>
  <c r="T151" i="14" s="1"/>
  <c r="T152" i="14" a="1"/>
  <c r="T152" i="14" s="1"/>
  <c r="T153" i="14" a="1"/>
  <c r="T153" i="14" s="1"/>
  <c r="T154" i="14" a="1"/>
  <c r="T154" i="14" s="1"/>
  <c r="T155" i="14" a="1"/>
  <c r="T155" i="14" s="1"/>
  <c r="T156" i="14" a="1"/>
  <c r="T156" i="14" s="1"/>
  <c r="T157" i="14" a="1"/>
  <c r="T157" i="14" s="1"/>
  <c r="T158" i="14" a="1"/>
  <c r="T158" i="14" s="1"/>
  <c r="T159" i="14" a="1"/>
  <c r="T159" i="14" s="1"/>
  <c r="T160" i="14" a="1"/>
  <c r="T160" i="14" s="1"/>
  <c r="T161" i="14" a="1"/>
  <c r="T161" i="14" s="1"/>
  <c r="T162" i="14" a="1"/>
  <c r="T162" i="14" s="1"/>
  <c r="T163" i="14" a="1"/>
  <c r="T163" i="14" s="1"/>
  <c r="T164" i="14" a="1"/>
  <c r="T164" i="14" s="1"/>
  <c r="T165" i="14" a="1"/>
  <c r="T165" i="14" s="1"/>
  <c r="T166" i="14" a="1"/>
  <c r="T166" i="14" s="1"/>
  <c r="T167" i="14" a="1"/>
  <c r="T167" i="14" s="1"/>
  <c r="T168" i="14" a="1"/>
  <c r="T168" i="14" s="1"/>
  <c r="T169" i="14" a="1"/>
  <c r="T169" i="14" s="1"/>
  <c r="T170" i="14" a="1"/>
  <c r="T170" i="14" s="1"/>
  <c r="T171" i="14" a="1"/>
  <c r="T171" i="14" s="1"/>
  <c r="T172" i="14" a="1"/>
  <c r="T172" i="14" s="1"/>
  <c r="T173" i="14" a="1"/>
  <c r="T173" i="14" s="1"/>
  <c r="T174" i="14" a="1"/>
  <c r="T174" i="14" s="1"/>
  <c r="T175" i="14" a="1"/>
  <c r="T175" i="14" s="1"/>
  <c r="T176" i="14" a="1"/>
  <c r="T176" i="14" s="1"/>
  <c r="T177" i="14" a="1"/>
  <c r="T177" i="14" s="1"/>
  <c r="T178" i="14" a="1"/>
  <c r="T178" i="14" s="1"/>
  <c r="T179" i="14" a="1"/>
  <c r="T179" i="14" s="1"/>
  <c r="T180" i="14" a="1"/>
  <c r="T180" i="14" s="1"/>
  <c r="T181" i="14" a="1"/>
  <c r="T181" i="14" s="1"/>
  <c r="T182" i="14" a="1"/>
  <c r="T182" i="14" s="1"/>
  <c r="T183" i="14" a="1"/>
  <c r="T183" i="14" s="1"/>
  <c r="T184" i="14" a="1"/>
  <c r="T184" i="14" s="1"/>
  <c r="T185" i="14" a="1"/>
  <c r="T185" i="14" s="1"/>
  <c r="T186" i="14" a="1"/>
  <c r="T186" i="14" s="1"/>
  <c r="T187" i="14" a="1"/>
  <c r="T187" i="14" s="1"/>
  <c r="T188" i="14" a="1"/>
  <c r="T188" i="14" s="1"/>
  <c r="T189" i="14" a="1"/>
  <c r="T189" i="14" s="1"/>
  <c r="T190" i="14" a="1"/>
  <c r="T190" i="14" s="1"/>
  <c r="T191" i="14" a="1"/>
  <c r="T191" i="14" s="1"/>
  <c r="T192" i="14" a="1"/>
  <c r="T192" i="14" s="1"/>
  <c r="T193" i="14" a="1"/>
  <c r="T193" i="14" s="1"/>
  <c r="T194" i="14" a="1"/>
  <c r="T194" i="14" s="1"/>
  <c r="T195" i="14" a="1"/>
  <c r="T195" i="14" s="1"/>
  <c r="T196" i="14" a="1"/>
  <c r="T196" i="14" s="1"/>
  <c r="T197" i="14" a="1"/>
  <c r="T197" i="14" s="1"/>
  <c r="T198" i="14" a="1"/>
  <c r="T198" i="14" s="1"/>
  <c r="T199" i="14" a="1"/>
  <c r="T199" i="14" s="1"/>
  <c r="T200" i="14" a="1"/>
  <c r="T200" i="14" s="1"/>
  <c r="T201" i="14" a="1"/>
  <c r="T201" i="14" s="1"/>
  <c r="T202" i="14" a="1"/>
  <c r="T202" i="14" s="1"/>
  <c r="T203" i="14" a="1"/>
  <c r="T203" i="14" s="1"/>
  <c r="T204" i="14" a="1"/>
  <c r="T204" i="14" s="1"/>
  <c r="T205" i="14" a="1"/>
  <c r="T205" i="14" s="1"/>
  <c r="T206" i="14" a="1"/>
  <c r="T206" i="14" s="1"/>
  <c r="T207" i="14" a="1"/>
  <c r="T207" i="14" s="1"/>
  <c r="T208" i="14" a="1"/>
  <c r="T208" i="14" s="1"/>
  <c r="T209" i="14" a="1"/>
  <c r="T209" i="14" s="1"/>
  <c r="T210" i="14" a="1"/>
  <c r="T210" i="14" s="1"/>
  <c r="T211" i="14" a="1"/>
  <c r="T211" i="14" s="1"/>
  <c r="T212" i="14" a="1"/>
  <c r="T212" i="14" s="1"/>
  <c r="T213" i="14" a="1"/>
  <c r="T213" i="14" s="1"/>
  <c r="T214" i="14" a="1"/>
  <c r="T214" i="14" s="1"/>
  <c r="T215" i="14" a="1"/>
  <c r="T215" i="14" s="1"/>
  <c r="T216" i="14" a="1"/>
  <c r="T216" i="14" s="1"/>
  <c r="T217" i="14" a="1"/>
  <c r="T217" i="14" s="1"/>
  <c r="T218" i="14" a="1"/>
  <c r="T218" i="14" s="1"/>
  <c r="T219" i="14" a="1"/>
  <c r="T219" i="14" s="1"/>
  <c r="T220" i="14" a="1"/>
  <c r="T220" i="14" s="1"/>
  <c r="T221" i="14" a="1"/>
  <c r="T221" i="14" s="1"/>
  <c r="T222" i="14" a="1"/>
  <c r="T222" i="14" s="1"/>
  <c r="T223" i="14" a="1"/>
  <c r="T223" i="14" s="1"/>
  <c r="T2" i="17" a="1"/>
  <c r="T2" i="17" s="1"/>
  <c r="T3" i="17" a="1"/>
  <c r="T3" i="17" s="1"/>
  <c r="T4" i="17" a="1"/>
  <c r="T4" i="17" s="1"/>
  <c r="T5" i="17" a="1"/>
  <c r="T5" i="17" s="1"/>
  <c r="T6" i="17" a="1"/>
  <c r="T6" i="17" s="1"/>
  <c r="T7" i="17" a="1"/>
  <c r="T7" i="17" s="1"/>
  <c r="T8" i="17" a="1"/>
  <c r="T8" i="17" s="1"/>
  <c r="T9" i="17" a="1"/>
  <c r="T9" i="17" s="1"/>
  <c r="T10" i="17" a="1"/>
  <c r="T10" i="17" s="1"/>
  <c r="T11" i="17" a="1"/>
  <c r="T11" i="17" s="1"/>
  <c r="T12" i="17" a="1"/>
  <c r="T12" i="17" s="1"/>
  <c r="T13" i="17" a="1"/>
  <c r="T13" i="17" s="1"/>
  <c r="T14" i="17" a="1"/>
  <c r="T14" i="17" s="1"/>
  <c r="T15" i="17" a="1"/>
  <c r="T15" i="17" s="1"/>
  <c r="T16" i="17" a="1"/>
  <c r="T16" i="17" s="1"/>
  <c r="T17" i="17" a="1"/>
  <c r="T17" i="17" s="1"/>
  <c r="T18" i="17" a="1"/>
  <c r="T18" i="17" s="1"/>
  <c r="T19" i="17" a="1"/>
  <c r="T19" i="17" s="1"/>
  <c r="T20" i="17" a="1"/>
  <c r="T20" i="17" s="1"/>
  <c r="T21" i="17" a="1"/>
  <c r="T21" i="17" s="1"/>
  <c r="T22" i="17" a="1"/>
  <c r="T22" i="17" s="1"/>
  <c r="T23" i="17" a="1"/>
  <c r="T23" i="17" s="1"/>
  <c r="T24" i="17" a="1"/>
  <c r="T24" i="17" s="1"/>
  <c r="T25" i="17" a="1"/>
  <c r="T25" i="17" s="1"/>
  <c r="T26" i="17" a="1"/>
  <c r="T26" i="17" s="1"/>
  <c r="T27" i="17" a="1"/>
  <c r="T27" i="17" s="1"/>
  <c r="T28" i="17" a="1"/>
  <c r="T28" i="17" s="1"/>
  <c r="T29" i="17" a="1"/>
  <c r="T29" i="17" s="1"/>
  <c r="T30" i="17" a="1"/>
  <c r="T30" i="17" s="1"/>
  <c r="T31" i="17" a="1"/>
  <c r="T31" i="17" s="1"/>
  <c r="T32" i="17" a="1"/>
  <c r="T32" i="17" s="1"/>
  <c r="T33" i="17" a="1"/>
  <c r="T33" i="17" s="1"/>
  <c r="T34" i="17" a="1"/>
  <c r="T34" i="17" s="1"/>
  <c r="T35" i="17" a="1"/>
  <c r="T35" i="17" s="1"/>
  <c r="T36" i="17" a="1"/>
  <c r="T36" i="17" s="1"/>
  <c r="T37" i="17" a="1"/>
  <c r="T37" i="17" s="1"/>
  <c r="T38" i="17" a="1"/>
  <c r="T38" i="17" s="1"/>
  <c r="T39" i="17" a="1"/>
  <c r="T39" i="17" s="1"/>
  <c r="T40" i="17" a="1"/>
  <c r="T40" i="17" s="1"/>
  <c r="T41" i="17" a="1"/>
  <c r="T41" i="17" s="1"/>
  <c r="T42" i="17" a="1"/>
  <c r="T42" i="17" s="1"/>
  <c r="T43" i="17" a="1"/>
  <c r="T43" i="17" s="1"/>
  <c r="T44" i="17" a="1"/>
  <c r="T44" i="17" s="1"/>
  <c r="T45" i="17" a="1"/>
  <c r="T45" i="17" s="1"/>
  <c r="T46" i="17" a="1"/>
  <c r="T46" i="17" s="1"/>
  <c r="T47" i="17" a="1"/>
  <c r="T47" i="17" s="1"/>
  <c r="T48" i="17" a="1"/>
  <c r="T48" i="17" s="1"/>
  <c r="T49" i="17" a="1"/>
  <c r="T49" i="17" s="1"/>
  <c r="T50" i="17" a="1"/>
  <c r="T50" i="17" s="1"/>
  <c r="T51" i="17" a="1"/>
  <c r="T51" i="17" s="1"/>
  <c r="T52" i="17" a="1"/>
  <c r="T52" i="17" s="1"/>
  <c r="T53" i="17" a="1"/>
  <c r="T53" i="17" s="1"/>
  <c r="T54" i="17" a="1"/>
  <c r="T54" i="17" s="1"/>
  <c r="T55" i="17" a="1"/>
  <c r="T55" i="17" s="1"/>
  <c r="T56" i="17" a="1"/>
  <c r="T56" i="17" s="1"/>
  <c r="T57" i="17" a="1"/>
  <c r="T57" i="17" s="1"/>
  <c r="T58" i="17" a="1"/>
  <c r="T58" i="17" s="1"/>
  <c r="T59" i="17" a="1"/>
  <c r="T59" i="17" s="1"/>
  <c r="T60" i="17" a="1"/>
  <c r="T60" i="17" s="1"/>
  <c r="T61" i="17" a="1"/>
  <c r="T61" i="17" s="1"/>
  <c r="T62" i="17" a="1"/>
  <c r="T62" i="17" s="1"/>
  <c r="T63" i="17" a="1"/>
  <c r="T63" i="17" s="1"/>
  <c r="T64" i="17" a="1"/>
  <c r="T64" i="17" s="1"/>
  <c r="T65" i="17" a="1"/>
  <c r="T65" i="17" s="1"/>
  <c r="T66" i="17" a="1"/>
  <c r="T66" i="17" s="1"/>
  <c r="T67" i="17" a="1"/>
  <c r="T67" i="17" s="1"/>
  <c r="T68" i="17" a="1"/>
  <c r="T68" i="17" s="1"/>
  <c r="T69" i="17" a="1"/>
  <c r="T69" i="17" s="1"/>
  <c r="T70" i="17" a="1"/>
  <c r="T70" i="17" s="1"/>
  <c r="T71" i="17" a="1"/>
  <c r="T71" i="17" s="1"/>
  <c r="T72" i="17" a="1"/>
  <c r="T72" i="17" s="1"/>
  <c r="T73" i="17" a="1"/>
  <c r="T73" i="17" s="1"/>
  <c r="T74" i="17" a="1"/>
  <c r="T74" i="17" s="1"/>
  <c r="T75" i="17" a="1"/>
  <c r="T75" i="17" s="1"/>
  <c r="T76" i="17" a="1"/>
  <c r="T76" i="17" s="1"/>
  <c r="T77" i="17" a="1"/>
  <c r="T77" i="17" s="1"/>
  <c r="T78" i="17" a="1"/>
  <c r="T78" i="17" s="1"/>
  <c r="T79" i="17" a="1"/>
  <c r="T79" i="17" s="1"/>
  <c r="T80" i="17" a="1"/>
  <c r="T80" i="17" s="1"/>
  <c r="T81" i="17" a="1"/>
  <c r="T81" i="17" s="1"/>
  <c r="T82" i="17" a="1"/>
  <c r="T82" i="17" s="1"/>
  <c r="T83" i="17" a="1"/>
  <c r="T83" i="17" s="1"/>
  <c r="T84" i="17" a="1"/>
  <c r="T84" i="17" s="1"/>
  <c r="T85" i="17" a="1"/>
  <c r="T85" i="17" s="1"/>
  <c r="T86" i="17" a="1"/>
  <c r="T86" i="17" s="1"/>
  <c r="T87" i="17" a="1"/>
  <c r="T87" i="17" s="1"/>
  <c r="T88" i="17" a="1"/>
  <c r="T88" i="17" s="1"/>
  <c r="T89" i="17" a="1"/>
  <c r="T89" i="17" s="1"/>
  <c r="T90" i="17" a="1"/>
  <c r="T90" i="17" s="1"/>
  <c r="T91" i="17" a="1"/>
  <c r="T91" i="17" s="1"/>
  <c r="T92" i="17" a="1"/>
  <c r="T92" i="17" s="1"/>
  <c r="T93" i="17" a="1"/>
  <c r="T93" i="17" s="1"/>
  <c r="T94" i="17" a="1"/>
  <c r="T94" i="17" s="1"/>
  <c r="T95" i="17" a="1"/>
  <c r="T95" i="17" s="1"/>
  <c r="T96" i="17" a="1"/>
  <c r="T96" i="17" s="1"/>
  <c r="T97" i="17" a="1"/>
  <c r="T97" i="17" s="1"/>
  <c r="T98" i="17" a="1"/>
  <c r="T98" i="17" s="1"/>
  <c r="T99" i="17" a="1"/>
  <c r="T99" i="17" s="1"/>
  <c r="T100" i="17" a="1"/>
  <c r="T100" i="17" s="1"/>
  <c r="T101" i="17" a="1"/>
  <c r="T101" i="17" s="1"/>
  <c r="T102" i="17" a="1"/>
  <c r="T102" i="17" s="1"/>
  <c r="T103" i="17" a="1"/>
  <c r="T103" i="17" s="1"/>
  <c r="T104" i="17" a="1"/>
  <c r="T104" i="17" s="1"/>
  <c r="T105" i="17" a="1"/>
  <c r="T105" i="17" s="1"/>
  <c r="T106" i="17" a="1"/>
  <c r="T106" i="17" s="1"/>
  <c r="T107" i="17" a="1"/>
  <c r="T107" i="17" s="1"/>
  <c r="T108" i="17" a="1"/>
  <c r="T108" i="17" s="1"/>
  <c r="T109" i="17" a="1"/>
  <c r="T109" i="17" s="1"/>
  <c r="T110" i="17" a="1"/>
  <c r="T110" i="17" s="1"/>
  <c r="T111" i="17" a="1"/>
  <c r="T111" i="17" s="1"/>
  <c r="T112" i="17" a="1"/>
  <c r="T112" i="17" s="1"/>
  <c r="T113" i="17" a="1"/>
  <c r="T113" i="17" s="1"/>
  <c r="T114" i="17" a="1"/>
  <c r="T114" i="17" s="1"/>
  <c r="T115" i="17" a="1"/>
  <c r="T115" i="17" s="1"/>
  <c r="T116" i="17" a="1"/>
  <c r="T116" i="17" s="1"/>
  <c r="T117" i="17" a="1"/>
  <c r="T117" i="17" s="1"/>
  <c r="T118" i="17" a="1"/>
  <c r="T118" i="17" s="1"/>
  <c r="T119" i="17" a="1"/>
  <c r="T119" i="17" s="1"/>
  <c r="T120" i="17" a="1"/>
  <c r="T120" i="17" s="1"/>
  <c r="T121" i="17" a="1"/>
  <c r="T121" i="17" s="1"/>
  <c r="T122" i="17" a="1"/>
  <c r="T122" i="17" s="1"/>
  <c r="T123" i="17" a="1"/>
  <c r="T123" i="17" s="1"/>
  <c r="T124" i="17" a="1"/>
  <c r="T124" i="17" s="1"/>
  <c r="T125" i="17" a="1"/>
  <c r="T125" i="17" s="1"/>
  <c r="T126" i="17" a="1"/>
  <c r="T126" i="17" s="1"/>
  <c r="T127" i="17" a="1"/>
  <c r="T127" i="17" s="1"/>
  <c r="T128" i="17" a="1"/>
  <c r="T128" i="17" s="1"/>
  <c r="T129" i="17" a="1"/>
  <c r="T129" i="17" s="1"/>
  <c r="T130" i="17" a="1"/>
  <c r="T130" i="17" s="1"/>
  <c r="T131" i="17" a="1"/>
  <c r="T131" i="17" s="1"/>
  <c r="T132" i="17" a="1"/>
  <c r="T132" i="17" s="1"/>
  <c r="T133" i="17" a="1"/>
  <c r="T133" i="17" s="1"/>
  <c r="T134" i="17" a="1"/>
  <c r="T134" i="17" s="1"/>
  <c r="T135" i="17" a="1"/>
  <c r="T135" i="17" s="1"/>
  <c r="T136" i="17" a="1"/>
  <c r="T136" i="17" s="1"/>
  <c r="T137" i="17" a="1"/>
  <c r="T137" i="17" s="1"/>
  <c r="T138" i="17" a="1"/>
  <c r="T138" i="17" s="1"/>
  <c r="T139" i="17" a="1"/>
  <c r="T139" i="17" s="1"/>
  <c r="T140" i="17" a="1"/>
  <c r="T140" i="17" s="1"/>
  <c r="T141" i="17" a="1"/>
  <c r="T141" i="17" s="1"/>
  <c r="T142" i="17" a="1"/>
  <c r="T142" i="17" s="1"/>
  <c r="T143" i="17" a="1"/>
  <c r="T143" i="17" s="1"/>
  <c r="T144" i="17" a="1"/>
  <c r="T144" i="17" s="1"/>
  <c r="T145" i="17" a="1"/>
  <c r="T145" i="17" s="1"/>
  <c r="T146" i="17" a="1"/>
  <c r="T146" i="17" s="1"/>
  <c r="T147" i="17" a="1"/>
  <c r="T147" i="17" s="1"/>
  <c r="T148" i="17" a="1"/>
  <c r="T148" i="17" s="1"/>
  <c r="T149" i="17" a="1"/>
  <c r="T149" i="17" s="1"/>
  <c r="T150" i="17" a="1"/>
  <c r="T150" i="17" s="1"/>
  <c r="T151" i="17" a="1"/>
  <c r="T151" i="17" s="1"/>
  <c r="T152" i="17" a="1"/>
  <c r="T152" i="17" s="1"/>
  <c r="T153" i="17" a="1"/>
  <c r="T153" i="17" s="1"/>
  <c r="T154" i="17" a="1"/>
  <c r="T154" i="17" s="1"/>
  <c r="T155" i="17" a="1"/>
  <c r="T155" i="17" s="1"/>
  <c r="T156" i="17" a="1"/>
  <c r="T156" i="17" s="1"/>
  <c r="T157" i="17" a="1"/>
  <c r="T157" i="17" s="1"/>
  <c r="T158" i="17" a="1"/>
  <c r="T158" i="17" s="1"/>
  <c r="T159" i="17" a="1"/>
  <c r="T159" i="17" s="1"/>
  <c r="T160" i="17" a="1"/>
  <c r="T160" i="17" s="1"/>
  <c r="T161" i="17" a="1"/>
  <c r="T161" i="17" s="1"/>
  <c r="T162" i="17" a="1"/>
  <c r="T162" i="17" s="1"/>
  <c r="T163" i="17" a="1"/>
  <c r="T163" i="17" s="1"/>
  <c r="T164" i="17" a="1"/>
  <c r="T164" i="17" s="1"/>
  <c r="T165" i="17" a="1"/>
  <c r="T165" i="17" s="1"/>
  <c r="T166" i="17" a="1"/>
  <c r="T166" i="17" s="1"/>
  <c r="T167" i="17" a="1"/>
  <c r="T167" i="17" s="1"/>
  <c r="T168" i="17" a="1"/>
  <c r="T168" i="17" s="1"/>
  <c r="T169" i="17" a="1"/>
  <c r="T169" i="17" s="1"/>
  <c r="T170" i="17" a="1"/>
  <c r="T170" i="17" s="1"/>
  <c r="T171" i="17" a="1"/>
  <c r="T171" i="17" s="1"/>
  <c r="T172" i="17" a="1"/>
  <c r="T172" i="17" s="1"/>
  <c r="T173" i="17" a="1"/>
  <c r="T173" i="17" s="1"/>
  <c r="T174" i="17" a="1"/>
  <c r="T174" i="17" s="1"/>
  <c r="T175" i="17" a="1"/>
  <c r="T175" i="17" s="1"/>
  <c r="T176" i="17" a="1"/>
  <c r="T176" i="17" s="1"/>
  <c r="T177" i="17" a="1"/>
  <c r="T177" i="17" s="1"/>
  <c r="T178" i="17" a="1"/>
  <c r="T178" i="17" s="1"/>
  <c r="T179" i="17" a="1"/>
  <c r="T179" i="17" s="1"/>
  <c r="T180" i="17" a="1"/>
  <c r="T180" i="17" s="1"/>
  <c r="T181" i="17" a="1"/>
  <c r="T181" i="17" s="1"/>
  <c r="T182" i="17" a="1"/>
  <c r="T182" i="17" s="1"/>
  <c r="T183" i="17" a="1"/>
  <c r="T183" i="17" s="1"/>
  <c r="T184" i="17" a="1"/>
  <c r="T184" i="17" s="1"/>
  <c r="T185" i="17" a="1"/>
  <c r="T185" i="17" s="1"/>
  <c r="T186" i="17" a="1"/>
  <c r="T186" i="17" s="1"/>
  <c r="T187" i="17" a="1"/>
  <c r="T187" i="17" s="1"/>
  <c r="T188" i="17" a="1"/>
  <c r="T188" i="17" s="1"/>
  <c r="T189" i="17" a="1"/>
  <c r="T189" i="17" s="1"/>
  <c r="T190" i="17" a="1"/>
  <c r="T190" i="17" s="1"/>
  <c r="T191" i="17" a="1"/>
  <c r="T191" i="17" s="1"/>
  <c r="T192" i="17" a="1"/>
  <c r="T192" i="17" s="1"/>
  <c r="T193" i="17" a="1"/>
  <c r="T193" i="17" s="1"/>
  <c r="T194" i="17" a="1"/>
  <c r="T194" i="17" s="1"/>
  <c r="T195" i="17" a="1"/>
  <c r="T195" i="17" s="1"/>
  <c r="T196" i="17" a="1"/>
  <c r="T196" i="17" s="1"/>
  <c r="T197" i="17" a="1"/>
  <c r="T197" i="17" s="1"/>
  <c r="T198" i="17" a="1"/>
  <c r="T198" i="17" s="1"/>
  <c r="T199" i="17" a="1"/>
  <c r="T199" i="17" s="1"/>
  <c r="T200" i="17" a="1"/>
  <c r="T200" i="17" s="1"/>
  <c r="T201" i="17" a="1"/>
  <c r="T201" i="17" s="1"/>
  <c r="T202" i="17" a="1"/>
  <c r="T202" i="17" s="1"/>
  <c r="T203" i="17" a="1"/>
  <c r="T203" i="17" s="1"/>
  <c r="T204" i="17" a="1"/>
  <c r="T204" i="17" s="1"/>
  <c r="T205" i="17" a="1"/>
  <c r="T205" i="17" s="1"/>
  <c r="T206" i="17" a="1"/>
  <c r="T206" i="17" s="1"/>
  <c r="T207" i="17" a="1"/>
  <c r="T207" i="17" s="1"/>
  <c r="T208" i="17" a="1"/>
  <c r="T208" i="17" s="1"/>
  <c r="T209" i="17" a="1"/>
  <c r="T209" i="17" s="1"/>
  <c r="T210" i="17" a="1"/>
  <c r="T210" i="17" s="1"/>
  <c r="T211" i="17" a="1"/>
  <c r="T211" i="17" s="1"/>
  <c r="T212" i="17" a="1"/>
  <c r="T212" i="17" s="1"/>
  <c r="T213" i="17" a="1"/>
  <c r="T213" i="17" s="1"/>
  <c r="T214" i="17" a="1"/>
  <c r="T214" i="17" s="1"/>
  <c r="T215" i="17" a="1"/>
  <c r="T215" i="17" s="1"/>
  <c r="T216" i="17" a="1"/>
  <c r="T216" i="17" s="1"/>
  <c r="T217" i="17" a="1"/>
  <c r="T217" i="17" s="1"/>
  <c r="T218" i="17" a="1"/>
  <c r="T218" i="17" s="1"/>
  <c r="T219" i="17" a="1"/>
  <c r="T219" i="17" s="1"/>
  <c r="T220" i="17" a="1"/>
  <c r="T220" i="17" s="1"/>
  <c r="T221" i="17" a="1"/>
  <c r="T221" i="17" s="1"/>
  <c r="T2" i="12" a="1"/>
  <c r="T2" i="12" s="1"/>
  <c r="T3" i="12" a="1"/>
  <c r="T3" i="12" s="1"/>
  <c r="T4" i="12" a="1"/>
  <c r="T4" i="12" s="1"/>
  <c r="T5" i="12" a="1"/>
  <c r="T5" i="12" s="1"/>
  <c r="T6" i="12" a="1"/>
  <c r="T6" i="12" s="1"/>
  <c r="T7" i="12" a="1"/>
  <c r="T7" i="12" s="1"/>
  <c r="T8" i="12" a="1"/>
  <c r="T8" i="12" s="1"/>
  <c r="T9" i="12" a="1"/>
  <c r="T9" i="12" s="1"/>
  <c r="T10" i="12" a="1"/>
  <c r="T10" i="12" s="1"/>
  <c r="T11" i="12" a="1"/>
  <c r="T11" i="12" s="1"/>
  <c r="T12" i="12" a="1"/>
  <c r="T12" i="12" s="1"/>
  <c r="T13" i="12" a="1"/>
  <c r="T13" i="12" s="1"/>
  <c r="T14" i="12" a="1"/>
  <c r="T14" i="12" s="1"/>
  <c r="T15" i="12" a="1"/>
  <c r="T15" i="12" s="1"/>
  <c r="T16" i="12" a="1"/>
  <c r="T16" i="12" s="1"/>
  <c r="T17" i="12" a="1"/>
  <c r="T17" i="12" s="1"/>
  <c r="T18" i="12" a="1"/>
  <c r="T18" i="12" s="1"/>
  <c r="T19" i="12" a="1"/>
  <c r="T19" i="12" s="1"/>
  <c r="T20" i="12" a="1"/>
  <c r="T20" i="12" s="1"/>
  <c r="T21" i="12" a="1"/>
  <c r="T21" i="12" s="1"/>
  <c r="T22" i="12" a="1"/>
  <c r="T22" i="12" s="1"/>
  <c r="T23" i="12" a="1"/>
  <c r="T23" i="12" s="1"/>
  <c r="T24" i="12" a="1"/>
  <c r="T24" i="12" s="1"/>
  <c r="T25" i="12" a="1"/>
  <c r="T25" i="12" s="1"/>
  <c r="T26" i="12" a="1"/>
  <c r="T26" i="12" s="1"/>
  <c r="T27" i="12" a="1"/>
  <c r="T27" i="12" s="1"/>
  <c r="T28" i="12" a="1"/>
  <c r="T28" i="12" s="1"/>
  <c r="T29" i="12" a="1"/>
  <c r="T29" i="12" s="1"/>
  <c r="T30" i="12" a="1"/>
  <c r="T30" i="12" s="1"/>
  <c r="T31" i="12" a="1"/>
  <c r="T31" i="12" s="1"/>
  <c r="T32" i="12" a="1"/>
  <c r="T32" i="12" s="1"/>
  <c r="T33" i="12" a="1"/>
  <c r="T33" i="12" s="1"/>
  <c r="T34" i="12" a="1"/>
  <c r="T34" i="12" s="1"/>
  <c r="T35" i="12" a="1"/>
  <c r="T35" i="12" s="1"/>
  <c r="T36" i="12" a="1"/>
  <c r="T36" i="12" s="1"/>
  <c r="T37" i="12" a="1"/>
  <c r="T37" i="12" s="1"/>
  <c r="T38" i="12" a="1"/>
  <c r="T38" i="12" s="1"/>
  <c r="T39" i="12" a="1"/>
  <c r="T39" i="12" s="1"/>
  <c r="T40" i="12" a="1"/>
  <c r="T40" i="12" s="1"/>
  <c r="T41" i="12" a="1"/>
  <c r="T41" i="12" s="1"/>
  <c r="T42" i="12" a="1"/>
  <c r="T42" i="12" s="1"/>
  <c r="T43" i="12" a="1"/>
  <c r="T43" i="12" s="1"/>
  <c r="T44" i="12" a="1"/>
  <c r="T44" i="12" s="1"/>
  <c r="T45" i="12" a="1"/>
  <c r="T45" i="12" s="1"/>
  <c r="T46" i="12" a="1"/>
  <c r="T46" i="12" s="1"/>
  <c r="T47" i="12" a="1"/>
  <c r="T47" i="12" s="1"/>
  <c r="T48" i="12" a="1"/>
  <c r="T48" i="12" s="1"/>
  <c r="T49" i="12" a="1"/>
  <c r="T49" i="12" s="1"/>
  <c r="T50" i="12" a="1"/>
  <c r="T50" i="12" s="1"/>
  <c r="T51" i="12" a="1"/>
  <c r="T51" i="12" s="1"/>
  <c r="T52" i="12" a="1"/>
  <c r="T52" i="12" s="1"/>
  <c r="T53" i="12" a="1"/>
  <c r="T53" i="12" s="1"/>
  <c r="T54" i="12" a="1"/>
  <c r="T54" i="12" s="1"/>
  <c r="T55" i="12" a="1"/>
  <c r="T55" i="12" s="1"/>
  <c r="T56" i="12" a="1"/>
  <c r="T56" i="12" s="1"/>
  <c r="T57" i="12" a="1"/>
  <c r="T57" i="12" s="1"/>
  <c r="T58" i="12" a="1"/>
  <c r="T58" i="12" s="1"/>
  <c r="T59" i="12" a="1"/>
  <c r="T59" i="12" s="1"/>
  <c r="T60" i="12" a="1"/>
  <c r="T60" i="12" s="1"/>
  <c r="T61" i="12" a="1"/>
  <c r="T61" i="12" s="1"/>
  <c r="T62" i="12" a="1"/>
  <c r="T62" i="12" s="1"/>
  <c r="T63" i="12" a="1"/>
  <c r="T63" i="12" s="1"/>
  <c r="T64" i="12" a="1"/>
  <c r="T64" i="12" s="1"/>
  <c r="T65" i="12" a="1"/>
  <c r="T65" i="12" s="1"/>
  <c r="T66" i="12" a="1"/>
  <c r="T66" i="12" s="1"/>
  <c r="T67" i="12" a="1"/>
  <c r="T67" i="12" s="1"/>
  <c r="T68" i="12" a="1"/>
  <c r="T68" i="12" s="1"/>
  <c r="T69" i="12" a="1"/>
  <c r="T69" i="12" s="1"/>
  <c r="T70" i="12" a="1"/>
  <c r="T70" i="12" s="1"/>
  <c r="T71" i="12" a="1"/>
  <c r="T71" i="12" s="1"/>
  <c r="T72" i="12" a="1"/>
  <c r="T72" i="12" s="1"/>
  <c r="T73" i="12" a="1"/>
  <c r="T73" i="12" s="1"/>
  <c r="T74" i="12" a="1"/>
  <c r="T74" i="12" s="1"/>
  <c r="T75" i="12" a="1"/>
  <c r="T75" i="12" s="1"/>
  <c r="T76" i="12" a="1"/>
  <c r="T76" i="12" s="1"/>
  <c r="T77" i="12" a="1"/>
  <c r="T77" i="12" s="1"/>
  <c r="T78" i="12" a="1"/>
  <c r="T78" i="12" s="1"/>
  <c r="T79" i="12" a="1"/>
  <c r="T79" i="12" s="1"/>
  <c r="T80" i="12" a="1"/>
  <c r="T80" i="12" s="1"/>
  <c r="T81" i="12" a="1"/>
  <c r="T81" i="12" s="1"/>
  <c r="T82" i="12" a="1"/>
  <c r="T82" i="12" s="1"/>
  <c r="T83" i="12" a="1"/>
  <c r="T83" i="12" s="1"/>
  <c r="T84" i="12" a="1"/>
  <c r="T84" i="12" s="1"/>
  <c r="T85" i="12" a="1"/>
  <c r="T85" i="12" s="1"/>
  <c r="T86" i="12" a="1"/>
  <c r="T86" i="12" s="1"/>
  <c r="T87" i="12" a="1"/>
  <c r="T87" i="12" s="1"/>
  <c r="T88" i="12" a="1"/>
  <c r="T88" i="12" s="1"/>
  <c r="T89" i="12" a="1"/>
  <c r="T89" i="12" s="1"/>
  <c r="T90" i="12" a="1"/>
  <c r="T90" i="12" s="1"/>
  <c r="T91" i="12" a="1"/>
  <c r="T91" i="12" s="1"/>
  <c r="T92" i="12" a="1"/>
  <c r="T92" i="12" s="1"/>
  <c r="T93" i="12" a="1"/>
  <c r="T93" i="12" s="1"/>
  <c r="T94" i="12" a="1"/>
  <c r="T94" i="12" s="1"/>
  <c r="T95" i="12" a="1"/>
  <c r="T95" i="12" s="1"/>
  <c r="T96" i="12" a="1"/>
  <c r="T96" i="12" s="1"/>
  <c r="T97" i="12" a="1"/>
  <c r="T97" i="12" s="1"/>
  <c r="T98" i="12" a="1"/>
  <c r="T98" i="12" s="1"/>
  <c r="T99" i="12" a="1"/>
  <c r="T99" i="12" s="1"/>
  <c r="T100" i="12" a="1"/>
  <c r="T100" i="12" s="1"/>
  <c r="T101" i="12" a="1"/>
  <c r="T101" i="12" s="1"/>
  <c r="T102" i="12" a="1"/>
  <c r="T102" i="12" s="1"/>
  <c r="T103" i="12" a="1"/>
  <c r="T103" i="12" s="1"/>
  <c r="T104" i="12" a="1"/>
  <c r="T104" i="12" s="1"/>
  <c r="T105" i="12" a="1"/>
  <c r="T105" i="12" s="1"/>
  <c r="T106" i="12" a="1"/>
  <c r="T106" i="12" s="1"/>
  <c r="T107" i="12" a="1"/>
  <c r="T107" i="12" s="1"/>
  <c r="T108" i="12" a="1"/>
  <c r="T108" i="12" s="1"/>
  <c r="T109" i="12" a="1"/>
  <c r="T109" i="12" s="1"/>
  <c r="T110" i="12" a="1"/>
  <c r="T110" i="12" s="1"/>
  <c r="T111" i="12" a="1"/>
  <c r="T111" i="12" s="1"/>
  <c r="T112" i="12" a="1"/>
  <c r="T112" i="12" s="1"/>
  <c r="T113" i="12" a="1"/>
  <c r="T113" i="12" s="1"/>
  <c r="T114" i="12" a="1"/>
  <c r="T114" i="12" s="1"/>
  <c r="T115" i="12" a="1"/>
  <c r="T115" i="12" s="1"/>
  <c r="T116" i="12" a="1"/>
  <c r="T116" i="12" s="1"/>
  <c r="T117" i="12" a="1"/>
  <c r="T117" i="12" s="1"/>
  <c r="T118" i="12" a="1"/>
  <c r="T118" i="12" s="1"/>
  <c r="T119" i="12" a="1"/>
  <c r="T119" i="12" s="1"/>
  <c r="T120" i="12" a="1"/>
  <c r="T120" i="12" s="1"/>
  <c r="T121" i="12" a="1"/>
  <c r="T121" i="12" s="1"/>
  <c r="T122" i="12" a="1"/>
  <c r="T122" i="12" s="1"/>
  <c r="T123" i="12" a="1"/>
  <c r="T123" i="12" s="1"/>
  <c r="T124" i="12" a="1"/>
  <c r="T124" i="12" s="1"/>
  <c r="T125" i="12" a="1"/>
  <c r="T125" i="12" s="1"/>
  <c r="T126" i="12" a="1"/>
  <c r="T126" i="12" s="1"/>
  <c r="T127" i="12" a="1"/>
  <c r="T127" i="12" s="1"/>
  <c r="T128" i="12" a="1"/>
  <c r="T128" i="12" s="1"/>
  <c r="T129" i="12" a="1"/>
  <c r="T129" i="12" s="1"/>
  <c r="T130" i="12" a="1"/>
  <c r="T130" i="12" s="1"/>
  <c r="T131" i="12" a="1"/>
  <c r="T131" i="12" s="1"/>
  <c r="T132" i="12" a="1"/>
  <c r="T132" i="12" s="1"/>
  <c r="T133" i="12" a="1"/>
  <c r="T133" i="12" s="1"/>
  <c r="T134" i="12" a="1"/>
  <c r="T134" i="12" s="1"/>
  <c r="T135" i="12" a="1"/>
  <c r="T135" i="12" s="1"/>
  <c r="T136" i="12" a="1"/>
  <c r="T136" i="12" s="1"/>
  <c r="T137" i="12" a="1"/>
  <c r="T137" i="12" s="1"/>
  <c r="T138" i="12" a="1"/>
  <c r="T138" i="12" s="1"/>
  <c r="T139" i="12" a="1"/>
  <c r="T139" i="12" s="1"/>
  <c r="T140" i="12" a="1"/>
  <c r="T140" i="12" s="1"/>
  <c r="T141" i="12" a="1"/>
  <c r="T141" i="12" s="1"/>
  <c r="T142" i="12" a="1"/>
  <c r="T142" i="12" s="1"/>
  <c r="T143" i="12" a="1"/>
  <c r="T143" i="12" s="1"/>
  <c r="T144" i="12" a="1"/>
  <c r="T144" i="12" s="1"/>
  <c r="T145" i="12" a="1"/>
  <c r="T145" i="12" s="1"/>
  <c r="T146" i="12" a="1"/>
  <c r="T146" i="12" s="1"/>
  <c r="T147" i="12" a="1"/>
  <c r="T147" i="12" s="1"/>
  <c r="T148" i="12" a="1"/>
  <c r="T148" i="12" s="1"/>
  <c r="T149" i="12" a="1"/>
  <c r="T149" i="12" s="1"/>
  <c r="T150" i="12" a="1"/>
  <c r="T150" i="12" s="1"/>
  <c r="T151" i="12" a="1"/>
  <c r="T151" i="12" s="1"/>
  <c r="T152" i="12" a="1"/>
  <c r="T152" i="12" s="1"/>
  <c r="T153" i="12" a="1"/>
  <c r="T153" i="12" s="1"/>
  <c r="T154" i="12" a="1"/>
  <c r="T154" i="12" s="1"/>
  <c r="T155" i="12" a="1"/>
  <c r="T155" i="12" s="1"/>
  <c r="T156" i="12" a="1"/>
  <c r="T156" i="12" s="1"/>
  <c r="T157" i="12" a="1"/>
  <c r="T157" i="12" s="1"/>
  <c r="T158" i="12" a="1"/>
  <c r="T158" i="12" s="1"/>
  <c r="T159" i="12" a="1"/>
  <c r="T159" i="12" s="1"/>
  <c r="T160" i="12" a="1"/>
  <c r="T160" i="12" s="1"/>
  <c r="T161" i="12" a="1"/>
  <c r="T161" i="12" s="1"/>
  <c r="T162" i="12" a="1"/>
  <c r="T162" i="12" s="1"/>
  <c r="T163" i="12" a="1"/>
  <c r="T163" i="12" s="1"/>
  <c r="T164" i="12" a="1"/>
  <c r="T164" i="12" s="1"/>
  <c r="T165" i="12" a="1"/>
  <c r="T165" i="12" s="1"/>
  <c r="T166" i="12" a="1"/>
  <c r="T166" i="12" s="1"/>
  <c r="T167" i="12" a="1"/>
  <c r="T167" i="12" s="1"/>
  <c r="T168" i="12" a="1"/>
  <c r="T168" i="12" s="1"/>
  <c r="T169" i="12" a="1"/>
  <c r="T169" i="12" s="1"/>
  <c r="T170" i="12" a="1"/>
  <c r="T170" i="12" s="1"/>
  <c r="T171" i="12" a="1"/>
  <c r="T171" i="12" s="1"/>
  <c r="T172" i="12" a="1"/>
  <c r="T172" i="12" s="1"/>
  <c r="T173" i="12" a="1"/>
  <c r="T173" i="12" s="1"/>
  <c r="T174" i="12" a="1"/>
  <c r="T174" i="12" s="1"/>
  <c r="T175" i="12" a="1"/>
  <c r="T175" i="12" s="1"/>
  <c r="T176" i="12" a="1"/>
  <c r="T176" i="12" s="1"/>
  <c r="T177" i="12" a="1"/>
  <c r="T177" i="12" s="1"/>
  <c r="T178" i="12" a="1"/>
  <c r="T178" i="12" s="1"/>
  <c r="T179" i="12" a="1"/>
  <c r="T179" i="12" s="1"/>
  <c r="T180" i="12" a="1"/>
  <c r="T180" i="12" s="1"/>
  <c r="T181" i="12" a="1"/>
  <c r="T181" i="12" s="1"/>
  <c r="T182" i="12" a="1"/>
  <c r="T182" i="12" s="1"/>
  <c r="T183" i="12" a="1"/>
  <c r="T183" i="12" s="1"/>
  <c r="T184" i="12" a="1"/>
  <c r="T184" i="12" s="1"/>
  <c r="T185" i="12" a="1"/>
  <c r="T185" i="12" s="1"/>
  <c r="T186" i="12" a="1"/>
  <c r="T186" i="12" s="1"/>
  <c r="T187" i="12" a="1"/>
  <c r="T187" i="12" s="1"/>
  <c r="T188" i="12" a="1"/>
  <c r="T188" i="12" s="1"/>
  <c r="T189" i="12" a="1"/>
  <c r="T189" i="12" s="1"/>
  <c r="T190" i="12" a="1"/>
  <c r="T190" i="12" s="1"/>
  <c r="T191" i="12" a="1"/>
  <c r="T191" i="12" s="1"/>
  <c r="T192" i="12" a="1"/>
  <c r="T192" i="12" s="1"/>
  <c r="T193" i="12" a="1"/>
  <c r="T193" i="12" s="1"/>
  <c r="T194" i="12" a="1"/>
  <c r="T194" i="12" s="1"/>
  <c r="T195" i="12" a="1"/>
  <c r="T195" i="12" s="1"/>
  <c r="T3" i="13" a="1"/>
  <c r="T3" i="13" s="1"/>
  <c r="T2" i="13" a="1"/>
  <c r="T2" i="13" s="1"/>
  <c r="T4" i="13" a="1"/>
  <c r="T4" i="13" s="1"/>
  <c r="T5" i="13" a="1"/>
  <c r="T5" i="13" s="1"/>
  <c r="T6" i="13" a="1"/>
  <c r="T6" i="13" s="1"/>
  <c r="T7" i="13" a="1"/>
  <c r="T7" i="13" s="1"/>
  <c r="T8" i="13" a="1"/>
  <c r="T8" i="13" s="1"/>
  <c r="T9" i="13" a="1"/>
  <c r="T9" i="13" s="1"/>
  <c r="T10" i="13" a="1"/>
  <c r="T10" i="13" s="1"/>
  <c r="T11" i="13" a="1"/>
  <c r="T11" i="13" s="1"/>
  <c r="T12" i="13" a="1"/>
  <c r="T12" i="13" s="1"/>
  <c r="T13" i="13" a="1"/>
  <c r="T13" i="13" s="1"/>
  <c r="T14" i="13" a="1"/>
  <c r="T14" i="13" s="1"/>
  <c r="T15" i="13" a="1"/>
  <c r="T15" i="13" s="1"/>
  <c r="T16" i="13" a="1"/>
  <c r="T16" i="13" s="1"/>
  <c r="T17" i="13" a="1"/>
  <c r="T17" i="13" s="1"/>
  <c r="T18" i="13" a="1"/>
  <c r="T18" i="13" s="1"/>
  <c r="T19" i="13" a="1"/>
  <c r="T19" i="13" s="1"/>
  <c r="T20" i="13" a="1"/>
  <c r="T20" i="13" s="1"/>
  <c r="T21" i="13" a="1"/>
  <c r="T21" i="13" s="1"/>
  <c r="T22" i="13" a="1"/>
  <c r="T22" i="13" s="1"/>
  <c r="T23" i="13" a="1"/>
  <c r="T23" i="13" s="1"/>
  <c r="T24" i="13" a="1"/>
  <c r="T24" i="13" s="1"/>
  <c r="T25" i="13" a="1"/>
  <c r="T25" i="13" s="1"/>
  <c r="T26" i="13" a="1"/>
  <c r="T26" i="13" s="1"/>
  <c r="T27" i="13" a="1"/>
  <c r="T27" i="13" s="1"/>
  <c r="T28" i="13" a="1"/>
  <c r="T28" i="13" s="1"/>
  <c r="T29" i="13" a="1"/>
  <c r="T29" i="13" s="1"/>
  <c r="T30" i="13" a="1"/>
  <c r="T30" i="13" s="1"/>
  <c r="T31" i="13" a="1"/>
  <c r="T31" i="13" s="1"/>
  <c r="T32" i="13" a="1"/>
  <c r="T32" i="13" s="1"/>
  <c r="T33" i="13" a="1"/>
  <c r="T33" i="13" s="1"/>
  <c r="T34" i="13" a="1"/>
  <c r="T34" i="13" s="1"/>
  <c r="T35" i="13" a="1"/>
  <c r="T35" i="13" s="1"/>
  <c r="T36" i="13" a="1"/>
  <c r="T36" i="13" s="1"/>
  <c r="T37" i="13" a="1"/>
  <c r="T37" i="13" s="1"/>
  <c r="T38" i="13" a="1"/>
  <c r="T38" i="13" s="1"/>
  <c r="T39" i="13" a="1"/>
  <c r="T39" i="13" s="1"/>
  <c r="T40" i="13" a="1"/>
  <c r="T40" i="13" s="1"/>
  <c r="T41" i="13" a="1"/>
  <c r="T41" i="13" s="1"/>
  <c r="T42" i="13" a="1"/>
  <c r="T42" i="13" s="1"/>
  <c r="T43" i="13" a="1"/>
  <c r="T43" i="13" s="1"/>
  <c r="T44" i="13" a="1"/>
  <c r="T44" i="13" s="1"/>
  <c r="T45" i="13" a="1"/>
  <c r="T45" i="13" s="1"/>
  <c r="T46" i="13" a="1"/>
  <c r="T46" i="13" s="1"/>
  <c r="T47" i="13" a="1"/>
  <c r="T47" i="13" s="1"/>
  <c r="T48" i="13" a="1"/>
  <c r="T48" i="13" s="1"/>
  <c r="T49" i="13" a="1"/>
  <c r="T49" i="13" s="1"/>
  <c r="T50" i="13" a="1"/>
  <c r="T50" i="13" s="1"/>
  <c r="T51" i="13" a="1"/>
  <c r="T51" i="13" s="1"/>
  <c r="T52" i="13" a="1"/>
  <c r="T52" i="13" s="1"/>
  <c r="T53" i="13" a="1"/>
  <c r="T53" i="13" s="1"/>
  <c r="T54" i="13" a="1"/>
  <c r="T54" i="13" s="1"/>
  <c r="T55" i="13" a="1"/>
  <c r="T55" i="13" s="1"/>
  <c r="T56" i="13" a="1"/>
  <c r="T56" i="13" s="1"/>
  <c r="T57" i="13" a="1"/>
  <c r="T57" i="13" s="1"/>
  <c r="T58" i="13" a="1"/>
  <c r="T58" i="13" s="1"/>
  <c r="T59" i="13" a="1"/>
  <c r="T59" i="13" s="1"/>
  <c r="T60" i="13" a="1"/>
  <c r="T60" i="13" s="1"/>
  <c r="T61" i="13" a="1"/>
  <c r="T61" i="13" s="1"/>
  <c r="T62" i="13" a="1"/>
  <c r="T62" i="13" s="1"/>
  <c r="T63" i="13" a="1"/>
  <c r="T63" i="13" s="1"/>
  <c r="T64" i="13" a="1"/>
  <c r="T64" i="13" s="1"/>
  <c r="T65" i="13" a="1"/>
  <c r="T65" i="13" s="1"/>
  <c r="T66" i="13" a="1"/>
  <c r="T66" i="13" s="1"/>
  <c r="T67" i="13" a="1"/>
  <c r="T67" i="13" s="1"/>
  <c r="T68" i="13" a="1"/>
  <c r="T68" i="13" s="1"/>
  <c r="T69" i="13" a="1"/>
  <c r="T69" i="13" s="1"/>
  <c r="T70" i="13" a="1"/>
  <c r="T70" i="13" s="1"/>
  <c r="T71" i="13" a="1"/>
  <c r="T71" i="13" s="1"/>
  <c r="T72" i="13" a="1"/>
  <c r="T72" i="13" s="1"/>
  <c r="T73" i="13" a="1"/>
  <c r="T73" i="13" s="1"/>
  <c r="T74" i="13" a="1"/>
  <c r="T74" i="13" s="1"/>
  <c r="T75" i="13" a="1"/>
  <c r="T75" i="13" s="1"/>
  <c r="T76" i="13" a="1"/>
  <c r="T76" i="13" s="1"/>
  <c r="T77" i="13" a="1"/>
  <c r="T77" i="13" s="1"/>
  <c r="T78" i="13" a="1"/>
  <c r="T78" i="13" s="1"/>
  <c r="T79" i="13" a="1"/>
  <c r="T79" i="13" s="1"/>
  <c r="T80" i="13" a="1"/>
  <c r="T80" i="13" s="1"/>
  <c r="T81" i="13" a="1"/>
  <c r="T81" i="13" s="1"/>
  <c r="T82" i="13" a="1"/>
  <c r="T82" i="13" s="1"/>
  <c r="T83" i="13" a="1"/>
  <c r="T83" i="13" s="1"/>
  <c r="T84" i="13" a="1"/>
  <c r="T84" i="13" s="1"/>
  <c r="T85" i="13" a="1"/>
  <c r="T85" i="13" s="1"/>
  <c r="T86" i="13" a="1"/>
  <c r="T86" i="13" s="1"/>
  <c r="T87" i="13" a="1"/>
  <c r="T87" i="13" s="1"/>
  <c r="T88" i="13" a="1"/>
  <c r="T88" i="13" s="1"/>
  <c r="T89" i="13" a="1"/>
  <c r="T89" i="13" s="1"/>
  <c r="T90" i="13" a="1"/>
  <c r="T90" i="13" s="1"/>
  <c r="T91" i="13" a="1"/>
  <c r="T91" i="13" s="1"/>
  <c r="T92" i="13" a="1"/>
  <c r="T92" i="13" s="1"/>
  <c r="T93" i="13" a="1"/>
  <c r="T93" i="13" s="1"/>
  <c r="T94" i="13" a="1"/>
  <c r="T94" i="13" s="1"/>
  <c r="T95" i="13" a="1"/>
  <c r="T95" i="13" s="1"/>
  <c r="T96" i="13" a="1"/>
  <c r="T96" i="13" s="1"/>
  <c r="T97" i="13" a="1"/>
  <c r="T97" i="13" s="1"/>
  <c r="T98" i="13" a="1"/>
  <c r="T98" i="13" s="1"/>
  <c r="T99" i="13" a="1"/>
  <c r="T99" i="13" s="1"/>
  <c r="T100" i="13" a="1"/>
  <c r="T100" i="13" s="1"/>
  <c r="T101" i="13" a="1"/>
  <c r="T101" i="13" s="1"/>
  <c r="T102" i="13" a="1"/>
  <c r="T102" i="13" s="1"/>
  <c r="T103" i="13" a="1"/>
  <c r="T103" i="13" s="1"/>
  <c r="T104" i="13" a="1"/>
  <c r="T104" i="13" s="1"/>
  <c r="T105" i="13" a="1"/>
  <c r="T105" i="13" s="1"/>
  <c r="T106" i="13" a="1"/>
  <c r="T106" i="13" s="1"/>
  <c r="T107" i="13" a="1"/>
  <c r="T107" i="13" s="1"/>
  <c r="T108" i="13" a="1"/>
  <c r="T108" i="13" s="1"/>
  <c r="T109" i="13" a="1"/>
  <c r="T109" i="13" s="1"/>
  <c r="T110" i="13" a="1"/>
  <c r="T110" i="13" s="1"/>
  <c r="T111" i="13" a="1"/>
  <c r="T111" i="13" s="1"/>
  <c r="T112" i="13" a="1"/>
  <c r="T112" i="13" s="1"/>
  <c r="T113" i="13" a="1"/>
  <c r="T113" i="13" s="1"/>
  <c r="T114" i="13" a="1"/>
  <c r="T114" i="13" s="1"/>
  <c r="T115" i="13" a="1"/>
  <c r="T115" i="13" s="1"/>
  <c r="T116" i="13" a="1"/>
  <c r="T116" i="13" s="1"/>
  <c r="T117" i="13" a="1"/>
  <c r="T117" i="13" s="1"/>
  <c r="T118" i="13" a="1"/>
  <c r="T118" i="13" s="1"/>
  <c r="T119" i="13" a="1"/>
  <c r="T119" i="13" s="1"/>
  <c r="T120" i="13" a="1"/>
  <c r="T120" i="13" s="1"/>
  <c r="T121" i="13" a="1"/>
  <c r="T121" i="13" s="1"/>
  <c r="T122" i="13" a="1"/>
  <c r="T122" i="13" s="1"/>
  <c r="T123" i="13" a="1"/>
  <c r="T123" i="13" s="1"/>
  <c r="T124" i="13" a="1"/>
  <c r="T124" i="13" s="1"/>
  <c r="T125" i="13" a="1"/>
  <c r="T125" i="13" s="1"/>
  <c r="T126" i="13" a="1"/>
  <c r="T126" i="13" s="1"/>
  <c r="T127" i="13" a="1"/>
  <c r="T127" i="13" s="1"/>
  <c r="T128" i="13" a="1"/>
  <c r="T128" i="13" s="1"/>
  <c r="T129" i="13" a="1"/>
  <c r="T129" i="13" s="1"/>
  <c r="T130" i="13" a="1"/>
  <c r="T130" i="13" s="1"/>
  <c r="T131" i="13" a="1"/>
  <c r="T131" i="13" s="1"/>
  <c r="T132" i="13" a="1"/>
  <c r="T132" i="13" s="1"/>
  <c r="T133" i="13" a="1"/>
  <c r="T133" i="13" s="1"/>
  <c r="T134" i="13" a="1"/>
  <c r="T134" i="13" s="1"/>
  <c r="T135" i="13" a="1"/>
  <c r="T135" i="13" s="1"/>
  <c r="T136" i="13" a="1"/>
  <c r="T136" i="13" s="1"/>
  <c r="T137" i="13" a="1"/>
  <c r="T137" i="13" s="1"/>
  <c r="T138" i="13" a="1"/>
  <c r="T138" i="13" s="1"/>
  <c r="T139" i="13" a="1"/>
  <c r="T139" i="13" s="1"/>
  <c r="T140" i="13" a="1"/>
  <c r="T140" i="13" s="1"/>
  <c r="T141" i="13" a="1"/>
  <c r="T141" i="13" s="1"/>
  <c r="T142" i="13" a="1"/>
  <c r="T142" i="13" s="1"/>
  <c r="T143" i="13" a="1"/>
  <c r="T143" i="13" s="1"/>
  <c r="T144" i="13" a="1"/>
  <c r="T144" i="13" s="1"/>
  <c r="T145" i="13" a="1"/>
  <c r="T145" i="13" s="1"/>
  <c r="T146" i="13" a="1"/>
  <c r="T146" i="13" s="1"/>
  <c r="T147" i="13" a="1"/>
  <c r="T147" i="13" s="1"/>
  <c r="T148" i="13" a="1"/>
  <c r="T148" i="13" s="1"/>
  <c r="T149" i="13" a="1"/>
  <c r="T149" i="13" s="1"/>
  <c r="T150" i="13" a="1"/>
  <c r="T150" i="13" s="1"/>
  <c r="T151" i="13" a="1"/>
  <c r="T151" i="13" s="1"/>
  <c r="T152" i="13" a="1"/>
  <c r="T152" i="13" s="1"/>
  <c r="T153" i="13" a="1"/>
  <c r="T153" i="13" s="1"/>
  <c r="T154" i="13" a="1"/>
  <c r="T154" i="13" s="1"/>
  <c r="T155" i="13" a="1"/>
  <c r="T155" i="13" s="1"/>
  <c r="T156" i="13" a="1"/>
  <c r="T156" i="13" s="1"/>
  <c r="T157" i="13" a="1"/>
  <c r="T157" i="13" s="1"/>
  <c r="T158" i="13" a="1"/>
  <c r="T158" i="13" s="1"/>
  <c r="T159" i="13" a="1"/>
  <c r="T159" i="13" s="1"/>
  <c r="T160" i="13" a="1"/>
  <c r="T160" i="13" s="1"/>
  <c r="T161" i="13" a="1"/>
  <c r="T161" i="13" s="1"/>
  <c r="T162" i="13" a="1"/>
  <c r="T162" i="13" s="1"/>
  <c r="T163" i="13" a="1"/>
  <c r="T163" i="13" s="1"/>
  <c r="T164" i="13" a="1"/>
  <c r="T164" i="13" s="1"/>
  <c r="T165" i="13" a="1"/>
  <c r="T165" i="13" s="1"/>
  <c r="T166" i="13" a="1"/>
  <c r="T166" i="13" s="1"/>
  <c r="T167" i="13" a="1"/>
  <c r="T167" i="13" s="1"/>
  <c r="T168" i="13" a="1"/>
  <c r="T168" i="13" s="1"/>
  <c r="T169" i="13" a="1"/>
  <c r="T169" i="13" s="1"/>
  <c r="T170" i="13" a="1"/>
  <c r="T170" i="13" s="1"/>
  <c r="T171" i="13" a="1"/>
  <c r="T171" i="13" s="1"/>
  <c r="T172" i="13" a="1"/>
  <c r="T172" i="13" s="1"/>
  <c r="T173" i="13" a="1"/>
  <c r="T173" i="13" s="1"/>
  <c r="T174" i="13" a="1"/>
  <c r="T174" i="13" s="1"/>
  <c r="T175" i="13" a="1"/>
  <c r="T175" i="13" s="1"/>
  <c r="T176" i="13" a="1"/>
  <c r="T176" i="13" s="1"/>
  <c r="T177" i="13" a="1"/>
  <c r="T177" i="13" s="1"/>
  <c r="T178" i="13" a="1"/>
  <c r="T178" i="13" s="1"/>
  <c r="T179" i="13" a="1"/>
  <c r="T179" i="13" s="1"/>
  <c r="T180" i="13" a="1"/>
  <c r="T180" i="13" s="1"/>
  <c r="T181" i="13" a="1"/>
  <c r="T181" i="13" s="1"/>
  <c r="T182" i="13" a="1"/>
  <c r="T182" i="13" s="1"/>
  <c r="T183" i="13" a="1"/>
  <c r="T183" i="13" s="1"/>
  <c r="T184" i="13" a="1"/>
  <c r="T184" i="13" s="1"/>
  <c r="T185" i="13" a="1"/>
  <c r="T185" i="13" s="1"/>
  <c r="T186" i="13" a="1"/>
  <c r="T186" i="13" s="1"/>
  <c r="T187" i="13" a="1"/>
  <c r="T187" i="13" s="1"/>
  <c r="T188" i="13" a="1"/>
  <c r="T188" i="13" s="1"/>
  <c r="T189" i="13" a="1"/>
  <c r="T189" i="13" s="1"/>
  <c r="T190" i="13" a="1"/>
  <c r="T190" i="13" s="1"/>
  <c r="T191" i="13" a="1"/>
  <c r="T191" i="13" s="1"/>
  <c r="T192" i="13" a="1"/>
  <c r="T192" i="13" s="1"/>
  <c r="T193" i="13" a="1"/>
  <c r="T193" i="13" s="1"/>
  <c r="T194" i="13" a="1"/>
  <c r="T194" i="13" s="1"/>
  <c r="T195" i="13" a="1"/>
  <c r="T195" i="13" s="1"/>
  <c r="T196" i="13" a="1"/>
  <c r="T196" i="13" s="1"/>
  <c r="T197" i="13" a="1"/>
  <c r="T197" i="13" s="1"/>
  <c r="T198" i="13" a="1"/>
  <c r="T198" i="13" s="1"/>
  <c r="T199" i="13" a="1"/>
  <c r="T199" i="13" s="1"/>
  <c r="T200" i="13" a="1"/>
  <c r="T200" i="13" s="1"/>
  <c r="T201" i="13" a="1"/>
  <c r="T201" i="13" s="1"/>
  <c r="T202" i="13" a="1"/>
  <c r="T202" i="13" s="1"/>
  <c r="T203" i="13" a="1"/>
  <c r="T203" i="13" s="1"/>
  <c r="T204" i="13" a="1"/>
  <c r="T204" i="13" s="1"/>
  <c r="T205" i="13" a="1"/>
  <c r="T205" i="13" s="1"/>
  <c r="T206" i="13" a="1"/>
  <c r="T206" i="13" s="1"/>
  <c r="T207" i="13" a="1"/>
  <c r="T207" i="13" s="1"/>
  <c r="T208" i="13" a="1"/>
  <c r="T208" i="13" s="1"/>
  <c r="T209" i="13" a="1"/>
  <c r="T209" i="13" s="1"/>
  <c r="T210" i="13" a="1"/>
  <c r="T210" i="13" s="1"/>
  <c r="T211" i="13" a="1"/>
  <c r="T211" i="13" s="1"/>
  <c r="T212" i="13" a="1"/>
  <c r="T212" i="13" s="1"/>
  <c r="T213" i="13" a="1"/>
  <c r="T213" i="13" s="1"/>
  <c r="T214" i="13" a="1"/>
  <c r="T214" i="13" s="1"/>
  <c r="T215" i="13" a="1"/>
  <c r="T215" i="13" s="1"/>
  <c r="T216" i="13" a="1"/>
  <c r="T216" i="13" s="1"/>
  <c r="T217" i="13" a="1"/>
  <c r="T217" i="13" s="1"/>
  <c r="T218" i="13" a="1"/>
  <c r="T218" i="13" s="1"/>
  <c r="T219" i="13" a="1"/>
  <c r="T219" i="13" s="1"/>
  <c r="T220" i="13" a="1"/>
  <c r="T220" i="13" s="1"/>
  <c r="T221" i="13" a="1"/>
  <c r="T221" i="13" s="1"/>
  <c r="T222" i="13" a="1"/>
  <c r="T222" i="13" s="1"/>
  <c r="T223" i="13" a="1"/>
  <c r="T223" i="13" s="1"/>
  <c r="T224" i="13" a="1"/>
  <c r="T224" i="13" s="1"/>
  <c r="T225" i="13" a="1"/>
  <c r="T225" i="13" s="1"/>
  <c r="T226" i="13" a="1"/>
  <c r="T226" i="13" s="1"/>
  <c r="T227" i="13" a="1"/>
  <c r="T227" i="13" s="1"/>
  <c r="T228" i="13" a="1"/>
  <c r="T228" i="13" s="1"/>
  <c r="T229" i="13" a="1"/>
  <c r="T229" i="13" s="1"/>
  <c r="T230" i="13" a="1"/>
  <c r="T230" i="13" s="1"/>
  <c r="T231" i="13" a="1"/>
  <c r="T231" i="13" s="1"/>
  <c r="T232" i="13" a="1"/>
  <c r="T232" i="13" s="1"/>
  <c r="T233" i="13" a="1"/>
  <c r="T233" i="13" s="1"/>
  <c r="T234" i="13" a="1"/>
  <c r="T234" i="13" s="1"/>
  <c r="T235" i="13" a="1"/>
  <c r="T235" i="13" s="1"/>
  <c r="T236" i="13" a="1"/>
  <c r="T236" i="13" s="1"/>
  <c r="T237" i="13" a="1"/>
  <c r="T237" i="13" s="1"/>
  <c r="T238" i="13" a="1"/>
  <c r="T238" i="13" s="1"/>
  <c r="T239" i="13" a="1"/>
  <c r="T239" i="13" s="1"/>
  <c r="T240" i="13" a="1"/>
  <c r="T240" i="13" s="1"/>
  <c r="T241" i="13" a="1"/>
  <c r="T241" i="13" s="1"/>
  <c r="T242" i="13" a="1"/>
  <c r="T242" i="13" s="1"/>
  <c r="T243" i="13" a="1"/>
  <c r="T243" i="13" s="1"/>
  <c r="T244" i="13" a="1"/>
  <c r="T244" i="13" s="1"/>
  <c r="T245" i="13" a="1"/>
  <c r="T245" i="13" s="1"/>
  <c r="T246" i="13" a="1"/>
  <c r="T246" i="13" s="1"/>
  <c r="T247" i="13" a="1"/>
  <c r="T247" i="13" s="1"/>
  <c r="T248" i="13" a="1"/>
  <c r="T248" i="13" s="1"/>
  <c r="T249" i="13" a="1"/>
  <c r="T249" i="13" s="1"/>
  <c r="T250" i="13" a="1"/>
  <c r="T250" i="13" s="1"/>
  <c r="T251" i="13" a="1"/>
  <c r="T251" i="13" s="1"/>
  <c r="T252" i="13" a="1"/>
  <c r="T252" i="13" s="1"/>
  <c r="T253" i="13" a="1"/>
  <c r="T253" i="13" s="1"/>
  <c r="T254" i="13" a="1"/>
  <c r="T254" i="13" s="1"/>
  <c r="T255" i="13" a="1"/>
  <c r="T255" i="13" s="1"/>
  <c r="T256" i="13" a="1"/>
  <c r="T256" i="13" s="1"/>
  <c r="T2" i="11" a="1"/>
  <c r="T2" i="11" s="1"/>
  <c r="T3" i="11" a="1"/>
  <c r="T3" i="11" s="1"/>
  <c r="T4" i="11" a="1"/>
  <c r="T4" i="11" s="1"/>
  <c r="T5" i="11" a="1"/>
  <c r="T5" i="11" s="1"/>
  <c r="T6" i="11" a="1"/>
  <c r="T6" i="11" s="1"/>
  <c r="T7" i="11" a="1"/>
  <c r="T7" i="11" s="1"/>
  <c r="T8" i="11" a="1"/>
  <c r="T8" i="11" s="1"/>
  <c r="T9" i="11" a="1"/>
  <c r="T9" i="11" s="1"/>
  <c r="T10" i="11" a="1"/>
  <c r="T10" i="11" s="1"/>
  <c r="T11" i="11" a="1"/>
  <c r="T11" i="11" s="1"/>
  <c r="T12" i="11" a="1"/>
  <c r="T12" i="11" s="1"/>
  <c r="T13" i="11" a="1"/>
  <c r="T13" i="11" s="1"/>
  <c r="T14" i="11" a="1"/>
  <c r="T14" i="11" s="1"/>
  <c r="T15" i="11" a="1"/>
  <c r="T15" i="11" s="1"/>
  <c r="T16" i="11" a="1"/>
  <c r="T16" i="11" s="1"/>
  <c r="T17" i="11" a="1"/>
  <c r="T17" i="11" s="1"/>
  <c r="T18" i="11" a="1"/>
  <c r="T18" i="11" s="1"/>
  <c r="T19" i="11" a="1"/>
  <c r="T19" i="11" s="1"/>
  <c r="T20" i="11" a="1"/>
  <c r="T20" i="11" s="1"/>
  <c r="T21" i="11" a="1"/>
  <c r="T21" i="11" s="1"/>
  <c r="T22" i="11" a="1"/>
  <c r="T22" i="11" s="1"/>
  <c r="T23" i="11" a="1"/>
  <c r="T23" i="11" s="1"/>
  <c r="T24" i="11" a="1"/>
  <c r="T24" i="11" s="1"/>
  <c r="T25" i="11" a="1"/>
  <c r="T25" i="11" s="1"/>
  <c r="T26" i="11" a="1"/>
  <c r="T26" i="11" s="1"/>
  <c r="T27" i="11" a="1"/>
  <c r="T27" i="11" s="1"/>
  <c r="T28" i="11" a="1"/>
  <c r="T28" i="11" s="1"/>
  <c r="T29" i="11" a="1"/>
  <c r="T29" i="11" s="1"/>
  <c r="T30" i="11" a="1"/>
  <c r="T30" i="11" s="1"/>
  <c r="T31" i="11" a="1"/>
  <c r="T31" i="11" s="1"/>
  <c r="T32" i="11" a="1"/>
  <c r="T32" i="11" s="1"/>
  <c r="T33" i="11" a="1"/>
  <c r="T33" i="11" s="1"/>
  <c r="T34" i="11" a="1"/>
  <c r="T34" i="11" s="1"/>
  <c r="T35" i="11" a="1"/>
  <c r="T35" i="11" s="1"/>
  <c r="T36" i="11" a="1"/>
  <c r="T36" i="11" s="1"/>
  <c r="T37" i="11" a="1"/>
  <c r="T37" i="11" s="1"/>
  <c r="T38" i="11" a="1"/>
  <c r="T38" i="11" s="1"/>
  <c r="T39" i="11" a="1"/>
  <c r="T39" i="11" s="1"/>
  <c r="T40" i="11" a="1"/>
  <c r="T40" i="11" s="1"/>
  <c r="T41" i="11" a="1"/>
  <c r="T41" i="11" s="1"/>
  <c r="T42" i="11" a="1"/>
  <c r="T42" i="11" s="1"/>
  <c r="T43" i="11" a="1"/>
  <c r="T43" i="11" s="1"/>
  <c r="T44" i="11" a="1"/>
  <c r="T44" i="11" s="1"/>
  <c r="T45" i="11" a="1"/>
  <c r="T45" i="11" s="1"/>
  <c r="T46" i="11" a="1"/>
  <c r="T46" i="11" s="1"/>
  <c r="T47" i="11" a="1"/>
  <c r="T47" i="11" s="1"/>
  <c r="T48" i="11" a="1"/>
  <c r="T48" i="11" s="1"/>
  <c r="T49" i="11" a="1"/>
  <c r="T49" i="11" s="1"/>
  <c r="T50" i="11" a="1"/>
  <c r="T50" i="11" s="1"/>
  <c r="T51" i="11" a="1"/>
  <c r="T51" i="11" s="1"/>
  <c r="T52" i="11" a="1"/>
  <c r="T52" i="11" s="1"/>
  <c r="T53" i="11" a="1"/>
  <c r="T53" i="11" s="1"/>
  <c r="T54" i="11" a="1"/>
  <c r="T54" i="11" s="1"/>
  <c r="T55" i="11" a="1"/>
  <c r="T55" i="11" s="1"/>
  <c r="T56" i="11" a="1"/>
  <c r="T56" i="11" s="1"/>
  <c r="T57" i="11" a="1"/>
  <c r="T57" i="11" s="1"/>
  <c r="T58" i="11" a="1"/>
  <c r="T58" i="11" s="1"/>
  <c r="T59" i="11" a="1"/>
  <c r="T59" i="11" s="1"/>
  <c r="T60" i="11" a="1"/>
  <c r="T60" i="11" s="1"/>
  <c r="T61" i="11" a="1"/>
  <c r="T61" i="11" s="1"/>
  <c r="T62" i="11" a="1"/>
  <c r="T62" i="11" s="1"/>
  <c r="T63" i="11" a="1"/>
  <c r="T63" i="11" s="1"/>
  <c r="T64" i="11" a="1"/>
  <c r="T64" i="11" s="1"/>
  <c r="T65" i="11" a="1"/>
  <c r="T65" i="11" s="1"/>
  <c r="T66" i="11" a="1"/>
  <c r="T66" i="11" s="1"/>
  <c r="T67" i="11" a="1"/>
  <c r="T67" i="11" s="1"/>
  <c r="T68" i="11" a="1"/>
  <c r="T68" i="11" s="1"/>
  <c r="T69" i="11" a="1"/>
  <c r="T69" i="11" s="1"/>
  <c r="T70" i="11" a="1"/>
  <c r="T70" i="11" s="1"/>
  <c r="T71" i="11" a="1"/>
  <c r="T71" i="11" s="1"/>
  <c r="T72" i="11" a="1"/>
  <c r="T72" i="11" s="1"/>
  <c r="T73" i="11" a="1"/>
  <c r="T73" i="11" s="1"/>
  <c r="T74" i="11" a="1"/>
  <c r="T74" i="11" s="1"/>
  <c r="T75" i="11" a="1"/>
  <c r="T75" i="11" s="1"/>
  <c r="T76" i="11" a="1"/>
  <c r="T76" i="11" s="1"/>
  <c r="T77" i="11" a="1"/>
  <c r="T77" i="11" s="1"/>
  <c r="T78" i="11" a="1"/>
  <c r="T78" i="11" s="1"/>
  <c r="T79" i="11" a="1"/>
  <c r="T79" i="11" s="1"/>
  <c r="T80" i="11" a="1"/>
  <c r="T80" i="11" s="1"/>
  <c r="T81" i="11" a="1"/>
  <c r="T81" i="11" s="1"/>
  <c r="T82" i="11" a="1"/>
  <c r="T82" i="11" s="1"/>
  <c r="T83" i="11" a="1"/>
  <c r="T83" i="11" s="1"/>
  <c r="T84" i="11" a="1"/>
  <c r="T84" i="11" s="1"/>
  <c r="T85" i="11" a="1"/>
  <c r="T85" i="11" s="1"/>
  <c r="T86" i="11" a="1"/>
  <c r="T86" i="11" s="1"/>
  <c r="T87" i="11" a="1"/>
  <c r="T87" i="11" s="1"/>
  <c r="T88" i="11" a="1"/>
  <c r="T88" i="11" s="1"/>
  <c r="T89" i="11" a="1"/>
  <c r="T89" i="11" s="1"/>
  <c r="T90" i="11" a="1"/>
  <c r="T90" i="11" s="1"/>
  <c r="T91" i="11" a="1"/>
  <c r="T91" i="11" s="1"/>
  <c r="T92" i="11" a="1"/>
  <c r="T92" i="11" s="1"/>
  <c r="T93" i="11" a="1"/>
  <c r="T93" i="11" s="1"/>
  <c r="T94" i="11" a="1"/>
  <c r="T94" i="11" s="1"/>
  <c r="T95" i="11" a="1"/>
  <c r="T95" i="11" s="1"/>
  <c r="T96" i="11" a="1"/>
  <c r="T96" i="11" s="1"/>
  <c r="T97" i="11" a="1"/>
  <c r="T97" i="11" s="1"/>
  <c r="T98" i="11" a="1"/>
  <c r="T98" i="11" s="1"/>
  <c r="T99" i="11" a="1"/>
  <c r="T99" i="11" s="1"/>
  <c r="T100" i="11" a="1"/>
  <c r="T100" i="11" s="1"/>
  <c r="T101" i="11" a="1"/>
  <c r="T101" i="11" s="1"/>
  <c r="T102" i="11" a="1"/>
  <c r="T102" i="11" s="1"/>
  <c r="T103" i="11" a="1"/>
  <c r="T103" i="11" s="1"/>
  <c r="T104" i="11" a="1"/>
  <c r="T104" i="11" s="1"/>
  <c r="T105" i="11" a="1"/>
  <c r="T105" i="11" s="1"/>
  <c r="T106" i="11" a="1"/>
  <c r="T106" i="11" s="1"/>
  <c r="T107" i="11" a="1"/>
  <c r="T107" i="11" s="1"/>
  <c r="T108" i="11" a="1"/>
  <c r="T108" i="11" s="1"/>
  <c r="T109" i="11" a="1"/>
  <c r="T109" i="11" s="1"/>
  <c r="T110" i="11" a="1"/>
  <c r="T110" i="11" s="1"/>
  <c r="T111" i="11" a="1"/>
  <c r="T111" i="11" s="1"/>
  <c r="T112" i="11" a="1"/>
  <c r="T112" i="11" s="1"/>
  <c r="T113" i="11" a="1"/>
  <c r="T113" i="11" s="1"/>
  <c r="T114" i="11" a="1"/>
  <c r="T114" i="11" s="1"/>
  <c r="T115" i="11" a="1"/>
  <c r="T115" i="11" s="1"/>
  <c r="T116" i="11" a="1"/>
  <c r="T116" i="11" s="1"/>
  <c r="T117" i="11" a="1"/>
  <c r="T117" i="11" s="1"/>
  <c r="T118" i="11" a="1"/>
  <c r="T118" i="11" s="1"/>
  <c r="T119" i="11" a="1"/>
  <c r="T119" i="11" s="1"/>
  <c r="T120" i="11" a="1"/>
  <c r="T120" i="11" s="1"/>
  <c r="T121" i="11" a="1"/>
  <c r="T121" i="11" s="1"/>
  <c r="T122" i="11" a="1"/>
  <c r="T122" i="11" s="1"/>
  <c r="T123" i="11" a="1"/>
  <c r="T123" i="11" s="1"/>
  <c r="T124" i="11" a="1"/>
  <c r="T124" i="11" s="1"/>
  <c r="T125" i="11" a="1"/>
  <c r="T125" i="11" s="1"/>
  <c r="T126" i="11" a="1"/>
  <c r="T126" i="11" s="1"/>
  <c r="T127" i="11" a="1"/>
  <c r="T127" i="11" s="1"/>
  <c r="T128" i="11" a="1"/>
  <c r="T128" i="11" s="1"/>
  <c r="T129" i="11" a="1"/>
  <c r="T129" i="11" s="1"/>
  <c r="T130" i="11" a="1"/>
  <c r="T130" i="11" s="1"/>
  <c r="T131" i="11" a="1"/>
  <c r="T131" i="11" s="1"/>
  <c r="T132" i="11" a="1"/>
  <c r="T132" i="11" s="1"/>
  <c r="T133" i="11" a="1"/>
  <c r="T133" i="11" s="1"/>
  <c r="T134" i="11" a="1"/>
  <c r="T134" i="11" s="1"/>
  <c r="T135" i="11" a="1"/>
  <c r="T135" i="11" s="1"/>
  <c r="T136" i="11" a="1"/>
  <c r="T136" i="11" s="1"/>
  <c r="T137" i="11" a="1"/>
  <c r="T137" i="11" s="1"/>
  <c r="T138" i="11" a="1"/>
  <c r="T138" i="11" s="1"/>
  <c r="T139" i="11" a="1"/>
  <c r="T139" i="11" s="1"/>
  <c r="T140" i="11" a="1"/>
  <c r="T140" i="11" s="1"/>
  <c r="T141" i="11" a="1"/>
  <c r="T141" i="11" s="1"/>
  <c r="T142" i="11" a="1"/>
  <c r="T142" i="11" s="1"/>
  <c r="T143" i="11" a="1"/>
  <c r="T143" i="11" s="1"/>
  <c r="T144" i="11" a="1"/>
  <c r="T144" i="11" s="1"/>
  <c r="T145" i="11" a="1"/>
  <c r="T145" i="11" s="1"/>
  <c r="T146" i="11" a="1"/>
  <c r="T146" i="11" s="1"/>
  <c r="T147" i="11" a="1"/>
  <c r="T147" i="11" s="1"/>
  <c r="T148" i="11" a="1"/>
  <c r="T148" i="11" s="1"/>
  <c r="T149" i="11" a="1"/>
  <c r="T149" i="11" s="1"/>
  <c r="T150" i="11" a="1"/>
  <c r="T150" i="11" s="1"/>
  <c r="T151" i="11" a="1"/>
  <c r="T151" i="11" s="1"/>
  <c r="T152" i="11" a="1"/>
  <c r="T152" i="11" s="1"/>
  <c r="T153" i="11" a="1"/>
  <c r="T153" i="11" s="1"/>
  <c r="T154" i="11" a="1"/>
  <c r="T154" i="11" s="1"/>
  <c r="T155" i="11" a="1"/>
  <c r="T155" i="11" s="1"/>
  <c r="T156" i="11" a="1"/>
  <c r="T156" i="11" s="1"/>
  <c r="T157" i="11" a="1"/>
  <c r="T157" i="11" s="1"/>
  <c r="T158" i="11" a="1"/>
  <c r="T158" i="11" s="1"/>
  <c r="T159" i="11" a="1"/>
  <c r="T159" i="11" s="1"/>
  <c r="T160" i="11" a="1"/>
  <c r="T160" i="11" s="1"/>
  <c r="T161" i="11" a="1"/>
  <c r="T161" i="11" s="1"/>
  <c r="T162" i="11" a="1"/>
  <c r="T162" i="11" s="1"/>
  <c r="T163" i="11" a="1"/>
  <c r="T163" i="11" s="1"/>
  <c r="T164" i="11" a="1"/>
  <c r="T164" i="11" s="1"/>
  <c r="T165" i="11" a="1"/>
  <c r="T165" i="11" s="1"/>
  <c r="T166" i="11" a="1"/>
  <c r="T166" i="11" s="1"/>
  <c r="T167" i="11" a="1"/>
  <c r="T167" i="11" s="1"/>
  <c r="T168" i="11" a="1"/>
  <c r="T168" i="11" s="1"/>
  <c r="T169" i="11" a="1"/>
  <c r="T169" i="11" s="1"/>
  <c r="T170" i="11" a="1"/>
  <c r="T170" i="11" s="1"/>
  <c r="T171" i="11" a="1"/>
  <c r="T171" i="11" s="1"/>
  <c r="T172" i="11" a="1"/>
  <c r="T172" i="11" s="1"/>
  <c r="T173" i="11" a="1"/>
  <c r="T173" i="11" s="1"/>
  <c r="T174" i="11" a="1"/>
  <c r="T174" i="11" s="1"/>
  <c r="T175" i="11" a="1"/>
  <c r="T175" i="11" s="1"/>
  <c r="T176" i="11" a="1"/>
  <c r="T176" i="11" s="1"/>
  <c r="T177" i="11" a="1"/>
  <c r="T177" i="11" s="1"/>
  <c r="T178" i="11" a="1"/>
  <c r="T178" i="11" s="1"/>
  <c r="T179" i="11" a="1"/>
  <c r="T179" i="11" s="1"/>
  <c r="T180" i="11" a="1"/>
  <c r="T180" i="11" s="1"/>
  <c r="T181" i="11" a="1"/>
  <c r="T181" i="11" s="1"/>
  <c r="T182" i="11" a="1"/>
  <c r="T182" i="11" s="1"/>
  <c r="T183" i="11" a="1"/>
  <c r="T183" i="11" s="1"/>
  <c r="T184" i="11" a="1"/>
  <c r="T184" i="11" s="1"/>
  <c r="T185" i="11" a="1"/>
  <c r="T185" i="11" s="1"/>
  <c r="T186" i="11" a="1"/>
  <c r="T186" i="11" s="1"/>
  <c r="T187" i="11" a="1"/>
  <c r="T187" i="11" s="1"/>
  <c r="T188" i="11" a="1"/>
  <c r="T188" i="11" s="1"/>
  <c r="T189" i="11" a="1"/>
  <c r="T189" i="11" s="1"/>
  <c r="T190" i="11" a="1"/>
  <c r="T190" i="11" s="1"/>
  <c r="T191" i="11" a="1"/>
  <c r="T191" i="11" s="1"/>
  <c r="T192" i="11" a="1"/>
  <c r="T192" i="11" s="1"/>
  <c r="T193" i="11" a="1"/>
  <c r="T193" i="11" s="1"/>
  <c r="T194" i="11" a="1"/>
  <c r="T194" i="11" s="1"/>
  <c r="T195" i="11" a="1"/>
  <c r="T195" i="11" s="1"/>
  <c r="T196" i="11" a="1"/>
  <c r="T196" i="11" s="1"/>
  <c r="T197" i="11" a="1"/>
  <c r="T197" i="11" s="1"/>
  <c r="T198" i="11" a="1"/>
  <c r="T198" i="11" s="1"/>
  <c r="T199" i="11" a="1"/>
  <c r="T199" i="11" s="1"/>
  <c r="T200" i="11" a="1"/>
  <c r="T200" i="11" s="1"/>
  <c r="T201" i="11" a="1"/>
  <c r="T201" i="11" s="1"/>
  <c r="T202" i="11" a="1"/>
  <c r="T202" i="11" s="1"/>
  <c r="T203" i="11" a="1"/>
  <c r="T203" i="11" s="1"/>
  <c r="T204" i="11" a="1"/>
  <c r="T204" i="11" s="1"/>
  <c r="T205" i="11" a="1"/>
  <c r="T205" i="11" s="1"/>
  <c r="T206" i="11" a="1"/>
  <c r="T206" i="11" s="1"/>
  <c r="T207" i="11" a="1"/>
  <c r="T207" i="11" s="1"/>
  <c r="T208" i="11" a="1"/>
  <c r="T208" i="11" s="1"/>
  <c r="T209" i="11" a="1"/>
  <c r="T209" i="11" s="1"/>
  <c r="T210" i="11" a="1"/>
  <c r="T210" i="11" s="1"/>
  <c r="T211" i="11" a="1"/>
  <c r="T211" i="11" s="1"/>
  <c r="T212" i="11" a="1"/>
  <c r="T212" i="11" s="1"/>
  <c r="T213" i="11" a="1"/>
  <c r="T213" i="11" s="1"/>
  <c r="T214" i="11" a="1"/>
  <c r="T214" i="11" s="1"/>
  <c r="T215" i="11" a="1"/>
  <c r="T215" i="11" s="1"/>
  <c r="T216" i="11" a="1"/>
  <c r="T216" i="11" s="1"/>
  <c r="T217" i="11" a="1"/>
  <c r="T217" i="11" s="1"/>
  <c r="T218" i="11" a="1"/>
  <c r="T218" i="11" s="1"/>
  <c r="T219" i="11" a="1"/>
  <c r="T219" i="11" s="1"/>
  <c r="T220" i="11" a="1"/>
  <c r="T220" i="11" s="1"/>
  <c r="T221" i="11" a="1"/>
  <c r="T221" i="11" s="1"/>
  <c r="T222" i="11" a="1"/>
  <c r="T222" i="11" s="1"/>
  <c r="T223" i="11" a="1"/>
  <c r="T223" i="11" s="1"/>
  <c r="T224" i="11" a="1"/>
  <c r="T224" i="11" s="1"/>
  <c r="T225" i="11" a="1"/>
  <c r="T225" i="11" s="1"/>
  <c r="T226" i="11" a="1"/>
  <c r="T226" i="11" s="1"/>
  <c r="T227" i="11" a="1"/>
  <c r="T227" i="11" s="1"/>
  <c r="T228" i="11" a="1"/>
  <c r="T228" i="11" s="1"/>
  <c r="T229" i="11" a="1"/>
  <c r="T229" i="11" s="1"/>
  <c r="T230" i="11" a="1"/>
  <c r="T230" i="11" s="1"/>
  <c r="T231" i="11" a="1"/>
  <c r="T231" i="11" s="1"/>
  <c r="T232" i="11" a="1"/>
  <c r="T232" i="11" s="1"/>
  <c r="T233" i="11" a="1"/>
  <c r="T233" i="11" s="1"/>
  <c r="T2" i="8" a="1"/>
  <c r="T2" i="8" s="1"/>
  <c r="T3" i="8" a="1"/>
  <c r="T3" i="8" s="1"/>
  <c r="T4" i="8" a="1"/>
  <c r="T4" i="8" s="1"/>
  <c r="T5" i="8" a="1"/>
  <c r="T5" i="8" s="1"/>
  <c r="T6" i="8" a="1"/>
  <c r="T6" i="8" s="1"/>
  <c r="T7" i="8" a="1"/>
  <c r="T7" i="8" s="1"/>
  <c r="T8" i="8" a="1"/>
  <c r="T8" i="8" s="1"/>
  <c r="T9" i="8" a="1"/>
  <c r="T9" i="8" s="1"/>
  <c r="T10" i="8" a="1"/>
  <c r="T10" i="8" s="1"/>
  <c r="T11" i="8" a="1"/>
  <c r="T11" i="8" s="1"/>
  <c r="T12" i="8" a="1"/>
  <c r="T12" i="8" s="1"/>
  <c r="T13" i="8" a="1"/>
  <c r="T13" i="8" s="1"/>
  <c r="T14" i="8" a="1"/>
  <c r="T14" i="8" s="1"/>
  <c r="T15" i="8" a="1"/>
  <c r="T15" i="8" s="1"/>
  <c r="T16" i="8" a="1"/>
  <c r="T16" i="8" s="1"/>
  <c r="T17" i="8" a="1"/>
  <c r="T17" i="8" s="1"/>
  <c r="T18" i="8" a="1"/>
  <c r="T18" i="8" s="1"/>
  <c r="T19" i="8" a="1"/>
  <c r="T19" i="8" s="1"/>
  <c r="T20" i="8" a="1"/>
  <c r="T20" i="8" s="1"/>
  <c r="T21" i="8" a="1"/>
  <c r="T21" i="8" s="1"/>
  <c r="T22" i="8" a="1"/>
  <c r="T22" i="8" s="1"/>
  <c r="T23" i="8" a="1"/>
  <c r="T23" i="8" s="1"/>
  <c r="T24" i="8" a="1"/>
  <c r="T24" i="8" s="1"/>
  <c r="T25" i="8" a="1"/>
  <c r="T25" i="8" s="1"/>
  <c r="T26" i="8" a="1"/>
  <c r="T26" i="8" s="1"/>
  <c r="T27" i="8" a="1"/>
  <c r="T27" i="8" s="1"/>
  <c r="T28" i="8" a="1"/>
  <c r="T28" i="8" s="1"/>
  <c r="T29" i="8" a="1"/>
  <c r="T29" i="8" s="1"/>
  <c r="T30" i="8" a="1"/>
  <c r="T30" i="8" s="1"/>
  <c r="T31" i="8" a="1"/>
  <c r="T31" i="8" s="1"/>
  <c r="T32" i="8" a="1"/>
  <c r="T32" i="8" s="1"/>
  <c r="T33" i="8" a="1"/>
  <c r="T33" i="8" s="1"/>
  <c r="T34" i="8" a="1"/>
  <c r="T34" i="8" s="1"/>
  <c r="T35" i="8" a="1"/>
  <c r="T35" i="8" s="1"/>
  <c r="T36" i="8" a="1"/>
  <c r="T36" i="8" s="1"/>
  <c r="T37" i="8" a="1"/>
  <c r="T37" i="8" s="1"/>
  <c r="T38" i="8" a="1"/>
  <c r="T38" i="8" s="1"/>
  <c r="T39" i="8" a="1"/>
  <c r="T39" i="8" s="1"/>
  <c r="T40" i="8" a="1"/>
  <c r="T40" i="8" s="1"/>
  <c r="T41" i="8" a="1"/>
  <c r="T41" i="8" s="1"/>
  <c r="T42" i="8" a="1"/>
  <c r="T42" i="8" s="1"/>
  <c r="T43" i="8" a="1"/>
  <c r="T43" i="8" s="1"/>
  <c r="T44" i="8" a="1"/>
  <c r="T44" i="8" s="1"/>
  <c r="T45" i="8" a="1"/>
  <c r="T45" i="8" s="1"/>
  <c r="T46" i="8" a="1"/>
  <c r="T46" i="8" s="1"/>
  <c r="T47" i="8" a="1"/>
  <c r="T47" i="8" s="1"/>
  <c r="T48" i="8" a="1"/>
  <c r="T48" i="8" s="1"/>
  <c r="T49" i="8" a="1"/>
  <c r="T49" i="8" s="1"/>
  <c r="T50" i="8" a="1"/>
  <c r="T50" i="8" s="1"/>
  <c r="T51" i="8" a="1"/>
  <c r="T51" i="8" s="1"/>
  <c r="T52" i="8" a="1"/>
  <c r="T52" i="8" s="1"/>
  <c r="T53" i="8" a="1"/>
  <c r="T53" i="8" s="1"/>
  <c r="T54" i="8" a="1"/>
  <c r="T54" i="8" s="1"/>
  <c r="T55" i="8" a="1"/>
  <c r="T55" i="8" s="1"/>
  <c r="T56" i="8" a="1"/>
  <c r="T56" i="8" s="1"/>
  <c r="T57" i="8" a="1"/>
  <c r="T57" i="8" s="1"/>
  <c r="T58" i="8" a="1"/>
  <c r="T58" i="8" s="1"/>
  <c r="T59" i="8" a="1"/>
  <c r="T59" i="8" s="1"/>
  <c r="T60" i="8" a="1"/>
  <c r="T60" i="8" s="1"/>
  <c r="T61" i="8" a="1"/>
  <c r="T61" i="8" s="1"/>
  <c r="T62" i="8" a="1"/>
  <c r="T62" i="8" s="1"/>
  <c r="T63" i="8" a="1"/>
  <c r="T63" i="8" s="1"/>
  <c r="T64" i="8" a="1"/>
  <c r="T64" i="8" s="1"/>
  <c r="T65" i="8" a="1"/>
  <c r="T65" i="8" s="1"/>
  <c r="T66" i="8" a="1"/>
  <c r="T66" i="8" s="1"/>
  <c r="T67" i="8" a="1"/>
  <c r="T67" i="8" s="1"/>
  <c r="T68" i="8" a="1"/>
  <c r="T68" i="8" s="1"/>
  <c r="T69" i="8" a="1"/>
  <c r="T69" i="8" s="1"/>
  <c r="T70" i="8" a="1"/>
  <c r="T70" i="8" s="1"/>
  <c r="T71" i="8" a="1"/>
  <c r="T71" i="8" s="1"/>
  <c r="T72" i="8" a="1"/>
  <c r="T72" i="8" s="1"/>
  <c r="T73" i="8" a="1"/>
  <c r="T73" i="8" s="1"/>
  <c r="T74" i="8" a="1"/>
  <c r="T74" i="8" s="1"/>
  <c r="T75" i="8" a="1"/>
  <c r="T75" i="8" s="1"/>
  <c r="T76" i="8" a="1"/>
  <c r="T76" i="8" s="1"/>
  <c r="T77" i="8" a="1"/>
  <c r="T77" i="8" s="1"/>
  <c r="T78" i="8" a="1"/>
  <c r="T78" i="8" s="1"/>
  <c r="T79" i="8" a="1"/>
  <c r="T79" i="8" s="1"/>
  <c r="T80" i="8" a="1"/>
  <c r="T80" i="8" s="1"/>
  <c r="T81" i="8" a="1"/>
  <c r="T81" i="8" s="1"/>
  <c r="T82" i="8" a="1"/>
  <c r="T82" i="8" s="1"/>
  <c r="T83" i="8" a="1"/>
  <c r="T83" i="8" s="1"/>
  <c r="T84" i="8" a="1"/>
  <c r="T84" i="8" s="1"/>
  <c r="T85" i="8" a="1"/>
  <c r="T85" i="8" s="1"/>
  <c r="T86" i="8" a="1"/>
  <c r="T86" i="8" s="1"/>
  <c r="S2" i="8" a="1"/>
  <c r="S2" i="8" s="1"/>
  <c r="S3" i="8" a="1"/>
  <c r="S3" i="8" s="1"/>
  <c r="S4" i="8" a="1"/>
  <c r="S4" i="8" s="1"/>
  <c r="S5" i="8" a="1"/>
  <c r="S5" i="8" s="1"/>
  <c r="S6" i="8" a="1"/>
  <c r="S6" i="8" s="1"/>
  <c r="S7" i="8" a="1"/>
  <c r="S7" i="8" s="1"/>
  <c r="S8" i="8" a="1"/>
  <c r="S8" i="8" s="1"/>
  <c r="S9" i="8" a="1"/>
  <c r="S9" i="8" s="1"/>
  <c r="S10" i="8" a="1"/>
  <c r="S10" i="8" s="1"/>
  <c r="S11" i="8" a="1"/>
  <c r="S11" i="8" s="1"/>
  <c r="S12" i="8" a="1"/>
  <c r="S12" i="8" s="1"/>
  <c r="S13" i="8" a="1"/>
  <c r="S13" i="8" s="1"/>
  <c r="S14" i="8" a="1"/>
  <c r="S14" i="8" s="1"/>
  <c r="S15" i="8" a="1"/>
  <c r="S15" i="8" s="1"/>
  <c r="S16" i="8" a="1"/>
  <c r="S16" i="8" s="1"/>
  <c r="S17" i="8" a="1"/>
  <c r="S17" i="8" s="1"/>
  <c r="S18" i="8" a="1"/>
  <c r="S18" i="8" s="1"/>
  <c r="S19" i="8" a="1"/>
  <c r="S19" i="8" s="1"/>
  <c r="S20" i="8" a="1"/>
  <c r="S20" i="8" s="1"/>
  <c r="S21" i="8" a="1"/>
  <c r="S21" i="8" s="1"/>
  <c r="S22" i="8" a="1"/>
  <c r="S22" i="8" s="1"/>
  <c r="S23" i="8" a="1"/>
  <c r="S23" i="8" s="1"/>
  <c r="S24" i="8" a="1"/>
  <c r="S24" i="8" s="1"/>
  <c r="S25" i="8" a="1"/>
  <c r="S25" i="8" s="1"/>
  <c r="S26" i="8" a="1"/>
  <c r="S26" i="8" s="1"/>
  <c r="S27" i="8" a="1"/>
  <c r="S27" i="8" s="1"/>
  <c r="S28" i="8" a="1"/>
  <c r="S28" i="8" s="1"/>
  <c r="S29" i="8" a="1"/>
  <c r="S29" i="8" s="1"/>
  <c r="S30" i="8" a="1"/>
  <c r="S30" i="8" s="1"/>
  <c r="S31" i="8" a="1"/>
  <c r="S31" i="8" s="1"/>
  <c r="S32" i="8" a="1"/>
  <c r="S32" i="8" s="1"/>
  <c r="S33" i="8" a="1"/>
  <c r="S33" i="8" s="1"/>
  <c r="S34" i="8" a="1"/>
  <c r="S34" i="8" s="1"/>
  <c r="S35" i="8" a="1"/>
  <c r="S35" i="8" s="1"/>
  <c r="S36" i="8" a="1"/>
  <c r="S36" i="8" s="1"/>
  <c r="S37" i="8" a="1"/>
  <c r="S37" i="8" s="1"/>
  <c r="S38" i="8" a="1"/>
  <c r="S38" i="8" s="1"/>
  <c r="S39" i="8" a="1"/>
  <c r="S39" i="8" s="1"/>
  <c r="S40" i="8" a="1"/>
  <c r="S40" i="8" s="1"/>
  <c r="S41" i="8" a="1"/>
  <c r="S41" i="8" s="1"/>
  <c r="S42" i="8" a="1"/>
  <c r="S42" i="8" s="1"/>
  <c r="S43" i="8" a="1"/>
  <c r="S43" i="8" s="1"/>
  <c r="S44" i="8" a="1"/>
  <c r="S44" i="8" s="1"/>
  <c r="S45" i="8" a="1"/>
  <c r="S45" i="8" s="1"/>
  <c r="S46" i="8" a="1"/>
  <c r="S46" i="8" s="1"/>
  <c r="S47" i="8" a="1"/>
  <c r="S47" i="8" s="1"/>
  <c r="S48" i="8" a="1"/>
  <c r="S48" i="8" s="1"/>
  <c r="S49" i="8" a="1"/>
  <c r="S49" i="8" s="1"/>
  <c r="S50" i="8" a="1"/>
  <c r="S50" i="8" s="1"/>
  <c r="S51" i="8" a="1"/>
  <c r="S51" i="8" s="1"/>
  <c r="S52" i="8" a="1"/>
  <c r="S52" i="8" s="1"/>
  <c r="S53" i="8" a="1"/>
  <c r="S53" i="8" s="1"/>
  <c r="S54" i="8" a="1"/>
  <c r="S54" i="8" s="1"/>
  <c r="S55" i="8" a="1"/>
  <c r="S55" i="8" s="1"/>
  <c r="S56" i="8" a="1"/>
  <c r="S56" i="8" s="1"/>
  <c r="S57" i="8" a="1"/>
  <c r="S57" i="8" s="1"/>
  <c r="S58" i="8" a="1"/>
  <c r="S58" i="8" s="1"/>
  <c r="S59" i="8" a="1"/>
  <c r="S59" i="8" s="1"/>
  <c r="S60" i="8" a="1"/>
  <c r="S60" i="8" s="1"/>
  <c r="S61" i="8" a="1"/>
  <c r="S61" i="8" s="1"/>
  <c r="S62" i="8" a="1"/>
  <c r="S62" i="8" s="1"/>
  <c r="S63" i="8" a="1"/>
  <c r="S63" i="8" s="1"/>
  <c r="S64" i="8" a="1"/>
  <c r="S64" i="8" s="1"/>
  <c r="S65" i="8" a="1"/>
  <c r="S65" i="8" s="1"/>
  <c r="S66" i="8" a="1"/>
  <c r="S66" i="8" s="1"/>
  <c r="S67" i="8" a="1"/>
  <c r="S67" i="8" s="1"/>
  <c r="S68" i="8" a="1"/>
  <c r="S68" i="8" s="1"/>
  <c r="S69" i="8" a="1"/>
  <c r="S69" i="8" s="1"/>
  <c r="S70" i="8" a="1"/>
  <c r="S70" i="8" s="1"/>
  <c r="S71" i="8" a="1"/>
  <c r="S71" i="8" s="1"/>
  <c r="S72" i="8" a="1"/>
  <c r="S72" i="8" s="1"/>
  <c r="S73" i="8" a="1"/>
  <c r="S73" i="8" s="1"/>
  <c r="S74" i="8" a="1"/>
  <c r="S74" i="8" s="1"/>
  <c r="S75" i="8" a="1"/>
  <c r="S75" i="8" s="1"/>
  <c r="S76" i="8" a="1"/>
  <c r="S76" i="8" s="1"/>
  <c r="S77" i="8" a="1"/>
  <c r="S77" i="8" s="1"/>
  <c r="S78" i="8" a="1"/>
  <c r="S78" i="8" s="1"/>
  <c r="S79" i="8" a="1"/>
  <c r="S79" i="8" s="1"/>
  <c r="S80" i="8" a="1"/>
  <c r="S80" i="8" s="1"/>
  <c r="S81" i="8" a="1"/>
  <c r="S81" i="8" s="1"/>
  <c r="S82" i="8" a="1"/>
  <c r="S82" i="8" s="1"/>
  <c r="S83" i="8" a="1"/>
  <c r="S83" i="8" s="1"/>
  <c r="S84" i="8" a="1"/>
  <c r="S84" i="8" s="1"/>
  <c r="S85" i="8" a="1"/>
  <c r="S85" i="8" s="1"/>
  <c r="S86" i="8" a="1"/>
  <c r="S86" i="8" s="1"/>
  <c r="S2" i="11" a="1"/>
  <c r="S2" i="11" s="1"/>
  <c r="S3" i="11" a="1"/>
  <c r="S3" i="11" s="1"/>
  <c r="S4" i="11" a="1"/>
  <c r="S4" i="11" s="1"/>
  <c r="S5" i="11" a="1"/>
  <c r="S5" i="11" s="1"/>
  <c r="S6" i="11" a="1"/>
  <c r="S6" i="11" s="1"/>
  <c r="S7" i="11" a="1"/>
  <c r="S7" i="11" s="1"/>
  <c r="S8" i="11" a="1"/>
  <c r="S8" i="11" s="1"/>
  <c r="S9" i="11" a="1"/>
  <c r="S9" i="11" s="1"/>
  <c r="S10" i="11" a="1"/>
  <c r="S10" i="11" s="1"/>
  <c r="S11" i="11" a="1"/>
  <c r="S11" i="11" s="1"/>
  <c r="S12" i="11" a="1"/>
  <c r="S12" i="11" s="1"/>
  <c r="S13" i="11" a="1"/>
  <c r="S13" i="11" s="1"/>
  <c r="S14" i="11" a="1"/>
  <c r="S14" i="11" s="1"/>
  <c r="S15" i="11" a="1"/>
  <c r="S15" i="11" s="1"/>
  <c r="S16" i="11" a="1"/>
  <c r="S16" i="11" s="1"/>
  <c r="S17" i="11" a="1"/>
  <c r="S17" i="11" s="1"/>
  <c r="S18" i="11" a="1"/>
  <c r="S18" i="11" s="1"/>
  <c r="S19" i="11" a="1"/>
  <c r="S19" i="11" s="1"/>
  <c r="S20" i="11" a="1"/>
  <c r="S20" i="11" s="1"/>
  <c r="S21" i="11" a="1"/>
  <c r="S21" i="11" s="1"/>
  <c r="S22" i="11" a="1"/>
  <c r="S22" i="11" s="1"/>
  <c r="S23" i="11" a="1"/>
  <c r="S23" i="11" s="1"/>
  <c r="S24" i="11" a="1"/>
  <c r="S24" i="11" s="1"/>
  <c r="S25" i="11" a="1"/>
  <c r="S25" i="11" s="1"/>
  <c r="S26" i="11" a="1"/>
  <c r="S26" i="11" s="1"/>
  <c r="S27" i="11" a="1"/>
  <c r="S27" i="11" s="1"/>
  <c r="S28" i="11" a="1"/>
  <c r="S28" i="11" s="1"/>
  <c r="S29" i="11" a="1"/>
  <c r="S29" i="11" s="1"/>
  <c r="S30" i="11" a="1"/>
  <c r="S30" i="11" s="1"/>
  <c r="S31" i="11" a="1"/>
  <c r="S31" i="11" s="1"/>
  <c r="S32" i="11" a="1"/>
  <c r="S32" i="11" s="1"/>
  <c r="S33" i="11" a="1"/>
  <c r="S33" i="11" s="1"/>
  <c r="S34" i="11" a="1"/>
  <c r="S34" i="11" s="1"/>
  <c r="S35" i="11" a="1"/>
  <c r="S35" i="11" s="1"/>
  <c r="S36" i="11" a="1"/>
  <c r="S36" i="11" s="1"/>
  <c r="S37" i="11" a="1"/>
  <c r="S37" i="11" s="1"/>
  <c r="S38" i="11" a="1"/>
  <c r="S38" i="11" s="1"/>
  <c r="S39" i="11" a="1"/>
  <c r="S39" i="11" s="1"/>
  <c r="S40" i="11" a="1"/>
  <c r="S40" i="11" s="1"/>
  <c r="S41" i="11" a="1"/>
  <c r="S41" i="11" s="1"/>
  <c r="S42" i="11" a="1"/>
  <c r="S42" i="11" s="1"/>
  <c r="S43" i="11" a="1"/>
  <c r="S43" i="11" s="1"/>
  <c r="S44" i="11" a="1"/>
  <c r="S44" i="11" s="1"/>
  <c r="S45" i="11" a="1"/>
  <c r="S45" i="11" s="1"/>
  <c r="S46" i="11" a="1"/>
  <c r="S46" i="11" s="1"/>
  <c r="S47" i="11" a="1"/>
  <c r="S47" i="11" s="1"/>
  <c r="S48" i="11" a="1"/>
  <c r="S48" i="11" s="1"/>
  <c r="S49" i="11" a="1"/>
  <c r="S49" i="11" s="1"/>
  <c r="S50" i="11" a="1"/>
  <c r="S50" i="11" s="1"/>
  <c r="S51" i="11" a="1"/>
  <c r="S51" i="11" s="1"/>
  <c r="S52" i="11" a="1"/>
  <c r="S52" i="11" s="1"/>
  <c r="S53" i="11" a="1"/>
  <c r="S53" i="11" s="1"/>
  <c r="S54" i="11" a="1"/>
  <c r="S54" i="11" s="1"/>
  <c r="S55" i="11" a="1"/>
  <c r="S55" i="11" s="1"/>
  <c r="S56" i="11" a="1"/>
  <c r="S56" i="11" s="1"/>
  <c r="S57" i="11" a="1"/>
  <c r="S57" i="11" s="1"/>
  <c r="S58" i="11" a="1"/>
  <c r="S58" i="11" s="1"/>
  <c r="S59" i="11" a="1"/>
  <c r="S59" i="11" s="1"/>
  <c r="S60" i="11" a="1"/>
  <c r="S60" i="11" s="1"/>
  <c r="S61" i="11" a="1"/>
  <c r="S61" i="11" s="1"/>
  <c r="S62" i="11" a="1"/>
  <c r="S62" i="11" s="1"/>
  <c r="S63" i="11" a="1"/>
  <c r="S63" i="11" s="1"/>
  <c r="S64" i="11" a="1"/>
  <c r="S64" i="11" s="1"/>
  <c r="S65" i="11" a="1"/>
  <c r="S65" i="11" s="1"/>
  <c r="S66" i="11" a="1"/>
  <c r="S66" i="11" s="1"/>
  <c r="S67" i="11" a="1"/>
  <c r="S67" i="11" s="1"/>
  <c r="S68" i="11" a="1"/>
  <c r="S68" i="11" s="1"/>
  <c r="S69" i="11" a="1"/>
  <c r="S69" i="11" s="1"/>
  <c r="S70" i="11" a="1"/>
  <c r="S70" i="11" s="1"/>
  <c r="S71" i="11" a="1"/>
  <c r="S71" i="11" s="1"/>
  <c r="S72" i="11" a="1"/>
  <c r="S72" i="11" s="1"/>
  <c r="S73" i="11" a="1"/>
  <c r="S73" i="11" s="1"/>
  <c r="S74" i="11" a="1"/>
  <c r="S74" i="11" s="1"/>
  <c r="S75" i="11" a="1"/>
  <c r="S75" i="11" s="1"/>
  <c r="S76" i="11" a="1"/>
  <c r="S76" i="11" s="1"/>
  <c r="S77" i="11" a="1"/>
  <c r="S77" i="11" s="1"/>
  <c r="S78" i="11" a="1"/>
  <c r="S78" i="11" s="1"/>
  <c r="S79" i="11" a="1"/>
  <c r="S79" i="11" s="1"/>
  <c r="S80" i="11" a="1"/>
  <c r="S80" i="11" s="1"/>
  <c r="S81" i="11" a="1"/>
  <c r="S81" i="11" s="1"/>
  <c r="S82" i="11" a="1"/>
  <c r="S82" i="11" s="1"/>
  <c r="S83" i="11" a="1"/>
  <c r="S83" i="11" s="1"/>
  <c r="S84" i="11" a="1"/>
  <c r="S84" i="11" s="1"/>
  <c r="S85" i="11" a="1"/>
  <c r="S85" i="11" s="1"/>
  <c r="S86" i="11" a="1"/>
  <c r="S86" i="11" s="1"/>
  <c r="S87" i="11" a="1"/>
  <c r="S87" i="11" s="1"/>
  <c r="S88" i="11" a="1"/>
  <c r="S88" i="11" s="1"/>
  <c r="S89" i="11" a="1"/>
  <c r="S89" i="11" s="1"/>
  <c r="S90" i="11" a="1"/>
  <c r="S90" i="11" s="1"/>
  <c r="S91" i="11" a="1"/>
  <c r="S91" i="11" s="1"/>
  <c r="S92" i="11" a="1"/>
  <c r="S92" i="11" s="1"/>
  <c r="S93" i="11" a="1"/>
  <c r="S93" i="11" s="1"/>
  <c r="S94" i="11" a="1"/>
  <c r="S94" i="11" s="1"/>
  <c r="S95" i="11" a="1"/>
  <c r="S95" i="11" s="1"/>
  <c r="S96" i="11" a="1"/>
  <c r="S96" i="11" s="1"/>
  <c r="S97" i="11" a="1"/>
  <c r="S97" i="11" s="1"/>
  <c r="S98" i="11" a="1"/>
  <c r="S98" i="11" s="1"/>
  <c r="S99" i="11" a="1"/>
  <c r="S99" i="11" s="1"/>
  <c r="S100" i="11" a="1"/>
  <c r="S100" i="11" s="1"/>
  <c r="S101" i="11" a="1"/>
  <c r="S101" i="11" s="1"/>
  <c r="S102" i="11" a="1"/>
  <c r="S102" i="11" s="1"/>
  <c r="S103" i="11" a="1"/>
  <c r="S103" i="11" s="1"/>
  <c r="S104" i="11" a="1"/>
  <c r="S104" i="11" s="1"/>
  <c r="S105" i="11" a="1"/>
  <c r="S105" i="11" s="1"/>
  <c r="S106" i="11" a="1"/>
  <c r="S106" i="11" s="1"/>
  <c r="S107" i="11" a="1"/>
  <c r="S107" i="11" s="1"/>
  <c r="S108" i="11" a="1"/>
  <c r="S108" i="11" s="1"/>
  <c r="S109" i="11" a="1"/>
  <c r="S109" i="11" s="1"/>
  <c r="S110" i="11" a="1"/>
  <c r="S110" i="11" s="1"/>
  <c r="S111" i="11" a="1"/>
  <c r="S111" i="11" s="1"/>
  <c r="S112" i="11" a="1"/>
  <c r="S112" i="11" s="1"/>
  <c r="S113" i="11" a="1"/>
  <c r="S113" i="11" s="1"/>
  <c r="S114" i="11" a="1"/>
  <c r="S114" i="11" s="1"/>
  <c r="S115" i="11" a="1"/>
  <c r="S115" i="11" s="1"/>
  <c r="S116" i="11" a="1"/>
  <c r="S116" i="11" s="1"/>
  <c r="S117" i="11" a="1"/>
  <c r="S117" i="11" s="1"/>
  <c r="S118" i="11" a="1"/>
  <c r="S118" i="11" s="1"/>
  <c r="S119" i="11" a="1"/>
  <c r="S119" i="11" s="1"/>
  <c r="S120" i="11" a="1"/>
  <c r="S120" i="11" s="1"/>
  <c r="S121" i="11" a="1"/>
  <c r="S121" i="11" s="1"/>
  <c r="S122" i="11" a="1"/>
  <c r="S122" i="11" s="1"/>
  <c r="S123" i="11" a="1"/>
  <c r="S123" i="11" s="1"/>
  <c r="S124" i="11" a="1"/>
  <c r="S124" i="11" s="1"/>
  <c r="S125" i="11" a="1"/>
  <c r="S125" i="11" s="1"/>
  <c r="S126" i="11" a="1"/>
  <c r="S126" i="11" s="1"/>
  <c r="S127" i="11" a="1"/>
  <c r="S127" i="11" s="1"/>
  <c r="S128" i="11" a="1"/>
  <c r="S128" i="11" s="1"/>
  <c r="S129" i="11" a="1"/>
  <c r="S129" i="11" s="1"/>
  <c r="S130" i="11" a="1"/>
  <c r="S130" i="11" s="1"/>
  <c r="S131" i="11" a="1"/>
  <c r="S131" i="11" s="1"/>
  <c r="S132" i="11" a="1"/>
  <c r="S132" i="11" s="1"/>
  <c r="S133" i="11" a="1"/>
  <c r="S133" i="11" s="1"/>
  <c r="S134" i="11" a="1"/>
  <c r="S134" i="11" s="1"/>
  <c r="S135" i="11" a="1"/>
  <c r="S135" i="11" s="1"/>
  <c r="S136" i="11" a="1"/>
  <c r="S136" i="11" s="1"/>
  <c r="S137" i="11" a="1"/>
  <c r="S137" i="11" s="1"/>
  <c r="S138" i="11" a="1"/>
  <c r="S138" i="11" s="1"/>
  <c r="S139" i="11" a="1"/>
  <c r="S139" i="11" s="1"/>
  <c r="S140" i="11" a="1"/>
  <c r="S140" i="11" s="1"/>
  <c r="S141" i="11" a="1"/>
  <c r="S141" i="11" s="1"/>
  <c r="S142" i="11" a="1"/>
  <c r="S142" i="11" s="1"/>
  <c r="S143" i="11" a="1"/>
  <c r="S143" i="11" s="1"/>
  <c r="S144" i="11" a="1"/>
  <c r="S144" i="11" s="1"/>
  <c r="S145" i="11" a="1"/>
  <c r="S145" i="11" s="1"/>
  <c r="S146" i="11" a="1"/>
  <c r="S146" i="11" s="1"/>
  <c r="S147" i="11" a="1"/>
  <c r="S147" i="11" s="1"/>
  <c r="S148" i="11" a="1"/>
  <c r="S148" i="11" s="1"/>
  <c r="S149" i="11" a="1"/>
  <c r="S149" i="11" s="1"/>
  <c r="S150" i="11" a="1"/>
  <c r="S150" i="11" s="1"/>
  <c r="S151" i="11" a="1"/>
  <c r="S151" i="11" s="1"/>
  <c r="S152" i="11" a="1"/>
  <c r="S152" i="11" s="1"/>
  <c r="S153" i="11" a="1"/>
  <c r="S153" i="11" s="1"/>
  <c r="S154" i="11" a="1"/>
  <c r="S154" i="11" s="1"/>
  <c r="S155" i="11" a="1"/>
  <c r="S155" i="11" s="1"/>
  <c r="S156" i="11" a="1"/>
  <c r="S156" i="11" s="1"/>
  <c r="S157" i="11" a="1"/>
  <c r="S157" i="11" s="1"/>
  <c r="S158" i="11" a="1"/>
  <c r="S158" i="11" s="1"/>
  <c r="S159" i="11" a="1"/>
  <c r="S159" i="11" s="1"/>
  <c r="S160" i="11" a="1"/>
  <c r="S160" i="11" s="1"/>
  <c r="S161" i="11" a="1"/>
  <c r="S161" i="11" s="1"/>
  <c r="S162" i="11" a="1"/>
  <c r="S162" i="11" s="1"/>
  <c r="S163" i="11" a="1"/>
  <c r="S163" i="11" s="1"/>
  <c r="S164" i="11" a="1"/>
  <c r="S164" i="11" s="1"/>
  <c r="S165" i="11" a="1"/>
  <c r="S165" i="11" s="1"/>
  <c r="S166" i="11" a="1"/>
  <c r="S166" i="11" s="1"/>
  <c r="S167" i="11" a="1"/>
  <c r="S167" i="11" s="1"/>
  <c r="S168" i="11" a="1"/>
  <c r="S168" i="11" s="1"/>
  <c r="S169" i="11" a="1"/>
  <c r="S169" i="11" s="1"/>
  <c r="S170" i="11" a="1"/>
  <c r="S170" i="11" s="1"/>
  <c r="S171" i="11" a="1"/>
  <c r="S171" i="11" s="1"/>
  <c r="S172" i="11" a="1"/>
  <c r="S172" i="11" s="1"/>
  <c r="S173" i="11" a="1"/>
  <c r="S173" i="11" s="1"/>
  <c r="S174" i="11" a="1"/>
  <c r="S174" i="11" s="1"/>
  <c r="S175" i="11" a="1"/>
  <c r="S175" i="11" s="1"/>
  <c r="S176" i="11" a="1"/>
  <c r="S176" i="11" s="1"/>
  <c r="S177" i="11" a="1"/>
  <c r="S177" i="11" s="1"/>
  <c r="S178" i="11" a="1"/>
  <c r="S178" i="11" s="1"/>
  <c r="S179" i="11" a="1"/>
  <c r="S179" i="11" s="1"/>
  <c r="S180" i="11" a="1"/>
  <c r="S180" i="11" s="1"/>
  <c r="S181" i="11" a="1"/>
  <c r="S181" i="11" s="1"/>
  <c r="S182" i="11" a="1"/>
  <c r="S182" i="11" s="1"/>
  <c r="S183" i="11" a="1"/>
  <c r="S183" i="11" s="1"/>
  <c r="S184" i="11" a="1"/>
  <c r="S184" i="11" s="1"/>
  <c r="S185" i="11" a="1"/>
  <c r="S185" i="11" s="1"/>
  <c r="S186" i="11" a="1"/>
  <c r="S186" i="11" s="1"/>
  <c r="S187" i="11" a="1"/>
  <c r="S187" i="11" s="1"/>
  <c r="S188" i="11" a="1"/>
  <c r="S188" i="11" s="1"/>
  <c r="S189" i="11" a="1"/>
  <c r="S189" i="11" s="1"/>
  <c r="S190" i="11" a="1"/>
  <c r="S190" i="11" s="1"/>
  <c r="S191" i="11" a="1"/>
  <c r="S191" i="11" s="1"/>
  <c r="S192" i="11" a="1"/>
  <c r="S192" i="11" s="1"/>
  <c r="S193" i="11" a="1"/>
  <c r="S193" i="11" s="1"/>
  <c r="S194" i="11" a="1"/>
  <c r="S194" i="11" s="1"/>
  <c r="S195" i="11" a="1"/>
  <c r="S195" i="11" s="1"/>
  <c r="S196" i="11" a="1"/>
  <c r="S196" i="11" s="1"/>
  <c r="S197" i="11" a="1"/>
  <c r="S197" i="11" s="1"/>
  <c r="S198" i="11" a="1"/>
  <c r="S198" i="11" s="1"/>
  <c r="S199" i="11" a="1"/>
  <c r="S199" i="11" s="1"/>
  <c r="S200" i="11" a="1"/>
  <c r="S200" i="11" s="1"/>
  <c r="S201" i="11" a="1"/>
  <c r="S201" i="11" s="1"/>
  <c r="S202" i="11" a="1"/>
  <c r="S202" i="11" s="1"/>
  <c r="S203" i="11" a="1"/>
  <c r="S203" i="11" s="1"/>
  <c r="S204" i="11" a="1"/>
  <c r="S204" i="11" s="1"/>
  <c r="S205" i="11" a="1"/>
  <c r="S205" i="11" s="1"/>
  <c r="S206" i="11" a="1"/>
  <c r="S206" i="11" s="1"/>
  <c r="S207" i="11" a="1"/>
  <c r="S207" i="11" s="1"/>
  <c r="S208" i="11" a="1"/>
  <c r="S208" i="11" s="1"/>
  <c r="S209" i="11" a="1"/>
  <c r="S209" i="11" s="1"/>
  <c r="S210" i="11" a="1"/>
  <c r="S210" i="11" s="1"/>
  <c r="S211" i="11" a="1"/>
  <c r="S211" i="11" s="1"/>
  <c r="S212" i="11" a="1"/>
  <c r="S212" i="11" s="1"/>
  <c r="S213" i="11" a="1"/>
  <c r="S213" i="11" s="1"/>
  <c r="S214" i="11" a="1"/>
  <c r="S214" i="11" s="1"/>
  <c r="S215" i="11" a="1"/>
  <c r="S215" i="11" s="1"/>
  <c r="S216" i="11" a="1"/>
  <c r="S216" i="11" s="1"/>
  <c r="S217" i="11" a="1"/>
  <c r="S217" i="11" s="1"/>
  <c r="S218" i="11" a="1"/>
  <c r="S218" i="11" s="1"/>
  <c r="S219" i="11" a="1"/>
  <c r="S219" i="11" s="1"/>
  <c r="S220" i="11" a="1"/>
  <c r="S220" i="11" s="1"/>
  <c r="S221" i="11" a="1"/>
  <c r="S221" i="11" s="1"/>
  <c r="S222" i="11" a="1"/>
  <c r="S222" i="11" s="1"/>
  <c r="S223" i="11" a="1"/>
  <c r="S223" i="11" s="1"/>
  <c r="S224" i="11" a="1"/>
  <c r="S224" i="11" s="1"/>
  <c r="S225" i="11" a="1"/>
  <c r="S225" i="11" s="1"/>
  <c r="S226" i="11" a="1"/>
  <c r="S226" i="11" s="1"/>
  <c r="S227" i="11" a="1"/>
  <c r="S227" i="11" s="1"/>
  <c r="S228" i="11" a="1"/>
  <c r="S228" i="11" s="1"/>
  <c r="S229" i="11" a="1"/>
  <c r="S229" i="11" s="1"/>
  <c r="S230" i="11" a="1"/>
  <c r="S230" i="11" s="1"/>
  <c r="S231" i="11" a="1"/>
  <c r="S231" i="11" s="1"/>
  <c r="S232" i="11" a="1"/>
  <c r="S232" i="11" s="1"/>
  <c r="S233" i="11" a="1"/>
  <c r="S233" i="11" s="1"/>
  <c r="S2" i="12" a="1"/>
  <c r="S2" i="12" s="1"/>
  <c r="S3" i="12" a="1"/>
  <c r="S3" i="12" s="1"/>
  <c r="S4" i="12" a="1"/>
  <c r="S4" i="12" s="1"/>
  <c r="S5" i="12" a="1"/>
  <c r="S5" i="12" s="1"/>
  <c r="S6" i="12" a="1"/>
  <c r="S6" i="12" s="1"/>
  <c r="S7" i="12" a="1"/>
  <c r="S7" i="12" s="1"/>
  <c r="S8" i="12" a="1"/>
  <c r="S8" i="12" s="1"/>
  <c r="S9" i="12" a="1"/>
  <c r="S9" i="12" s="1"/>
  <c r="S10" i="12" a="1"/>
  <c r="S10" i="12" s="1"/>
  <c r="S11" i="12" a="1"/>
  <c r="S11" i="12" s="1"/>
  <c r="S12" i="12" a="1"/>
  <c r="S12" i="12" s="1"/>
  <c r="S13" i="12" a="1"/>
  <c r="S13" i="12" s="1"/>
  <c r="S14" i="12" a="1"/>
  <c r="S14" i="12" s="1"/>
  <c r="S15" i="12" a="1"/>
  <c r="S15" i="12" s="1"/>
  <c r="S16" i="12" a="1"/>
  <c r="S16" i="12" s="1"/>
  <c r="S17" i="12" a="1"/>
  <c r="S17" i="12" s="1"/>
  <c r="S18" i="12" a="1"/>
  <c r="S18" i="12" s="1"/>
  <c r="S19" i="12" a="1"/>
  <c r="S19" i="12" s="1"/>
  <c r="S20" i="12" a="1"/>
  <c r="S20" i="12" s="1"/>
  <c r="S21" i="12" a="1"/>
  <c r="S21" i="12" s="1"/>
  <c r="S22" i="12" a="1"/>
  <c r="S22" i="12" s="1"/>
  <c r="S23" i="12" a="1"/>
  <c r="S23" i="12" s="1"/>
  <c r="S24" i="12" a="1"/>
  <c r="S24" i="12" s="1"/>
  <c r="S25" i="12" a="1"/>
  <c r="S25" i="12" s="1"/>
  <c r="S26" i="12" a="1"/>
  <c r="S26" i="12" s="1"/>
  <c r="S27" i="12" a="1"/>
  <c r="S27" i="12" s="1"/>
  <c r="S28" i="12" a="1"/>
  <c r="S28" i="12" s="1"/>
  <c r="S29" i="12" a="1"/>
  <c r="S29" i="12" s="1"/>
  <c r="S30" i="12" a="1"/>
  <c r="S30" i="12" s="1"/>
  <c r="S31" i="12" a="1"/>
  <c r="S31" i="12" s="1"/>
  <c r="S32" i="12" a="1"/>
  <c r="S32" i="12" s="1"/>
  <c r="S33" i="12" a="1"/>
  <c r="S33" i="12" s="1"/>
  <c r="S34" i="12" a="1"/>
  <c r="S34" i="12" s="1"/>
  <c r="S35" i="12" a="1"/>
  <c r="S35" i="12" s="1"/>
  <c r="S36" i="12" a="1"/>
  <c r="S36" i="12" s="1"/>
  <c r="S37" i="12" a="1"/>
  <c r="S37" i="12" s="1"/>
  <c r="S38" i="12" a="1"/>
  <c r="S38" i="12" s="1"/>
  <c r="S39" i="12" a="1"/>
  <c r="S39" i="12" s="1"/>
  <c r="S40" i="12" a="1"/>
  <c r="S40" i="12" s="1"/>
  <c r="S41" i="12" a="1"/>
  <c r="S41" i="12" s="1"/>
  <c r="S42" i="12" a="1"/>
  <c r="S42" i="12" s="1"/>
  <c r="S43" i="12" a="1"/>
  <c r="S43" i="12" s="1"/>
  <c r="S44" i="12" a="1"/>
  <c r="S44" i="12" s="1"/>
  <c r="S45" i="12" a="1"/>
  <c r="S45" i="12" s="1"/>
  <c r="S46" i="12" a="1"/>
  <c r="S46" i="12" s="1"/>
  <c r="S47" i="12" a="1"/>
  <c r="S47" i="12" s="1"/>
  <c r="S48" i="12" a="1"/>
  <c r="S48" i="12" s="1"/>
  <c r="S49" i="12" a="1"/>
  <c r="S49" i="12" s="1"/>
  <c r="S50" i="12" a="1"/>
  <c r="S50" i="12" s="1"/>
  <c r="S51" i="12" a="1"/>
  <c r="S51" i="12" s="1"/>
  <c r="S52" i="12" a="1"/>
  <c r="S52" i="12" s="1"/>
  <c r="S53" i="12" a="1"/>
  <c r="S53" i="12" s="1"/>
  <c r="S54" i="12" a="1"/>
  <c r="S54" i="12" s="1"/>
  <c r="S55" i="12" a="1"/>
  <c r="S55" i="12" s="1"/>
  <c r="S56" i="12" a="1"/>
  <c r="S56" i="12" s="1"/>
  <c r="S57" i="12" a="1"/>
  <c r="S57" i="12" s="1"/>
  <c r="S58" i="12" a="1"/>
  <c r="S58" i="12" s="1"/>
  <c r="S59" i="12" a="1"/>
  <c r="S59" i="12" s="1"/>
  <c r="S60" i="12" a="1"/>
  <c r="S60" i="12" s="1"/>
  <c r="S61" i="12" a="1"/>
  <c r="S61" i="12" s="1"/>
  <c r="S62" i="12" a="1"/>
  <c r="S62" i="12" s="1"/>
  <c r="S63" i="12" a="1"/>
  <c r="S63" i="12" s="1"/>
  <c r="S64" i="12" a="1"/>
  <c r="S64" i="12" s="1"/>
  <c r="S65" i="12" a="1"/>
  <c r="S65" i="12" s="1"/>
  <c r="S66" i="12" a="1"/>
  <c r="S66" i="12" s="1"/>
  <c r="S67" i="12" a="1"/>
  <c r="S67" i="12" s="1"/>
  <c r="S68" i="12" a="1"/>
  <c r="S68" i="12" s="1"/>
  <c r="S69" i="12" a="1"/>
  <c r="S69" i="12" s="1"/>
  <c r="S70" i="12" a="1"/>
  <c r="S70" i="12" s="1"/>
  <c r="S71" i="12" a="1"/>
  <c r="S71" i="12" s="1"/>
  <c r="S72" i="12" a="1"/>
  <c r="S72" i="12" s="1"/>
  <c r="S73" i="12" a="1"/>
  <c r="S73" i="12" s="1"/>
  <c r="S74" i="12" a="1"/>
  <c r="S74" i="12" s="1"/>
  <c r="S75" i="12" a="1"/>
  <c r="S75" i="12" s="1"/>
  <c r="S76" i="12" a="1"/>
  <c r="S76" i="12" s="1"/>
  <c r="S77" i="12" a="1"/>
  <c r="S77" i="12" s="1"/>
  <c r="S78" i="12" a="1"/>
  <c r="S78" i="12" s="1"/>
  <c r="S79" i="12" a="1"/>
  <c r="S79" i="12" s="1"/>
  <c r="S80" i="12" a="1"/>
  <c r="S80" i="12" s="1"/>
  <c r="S81" i="12" a="1"/>
  <c r="S81" i="12" s="1"/>
  <c r="S82" i="12" a="1"/>
  <c r="S82" i="12" s="1"/>
  <c r="S83" i="12" a="1"/>
  <c r="S83" i="12" s="1"/>
  <c r="S84" i="12" a="1"/>
  <c r="S84" i="12" s="1"/>
  <c r="S85" i="12" a="1"/>
  <c r="S85" i="12" s="1"/>
  <c r="S86" i="12" a="1"/>
  <c r="S86" i="12" s="1"/>
  <c r="S87" i="12" a="1"/>
  <c r="S87" i="12" s="1"/>
  <c r="S88" i="12" a="1"/>
  <c r="S88" i="12" s="1"/>
  <c r="S89" i="12" a="1"/>
  <c r="S89" i="12" s="1"/>
  <c r="S90" i="12" a="1"/>
  <c r="S90" i="12" s="1"/>
  <c r="S91" i="12" a="1"/>
  <c r="S91" i="12" s="1"/>
  <c r="S92" i="12" a="1"/>
  <c r="S92" i="12" s="1"/>
  <c r="S93" i="12" a="1"/>
  <c r="S93" i="12" s="1"/>
  <c r="S94" i="12" a="1"/>
  <c r="S94" i="12" s="1"/>
  <c r="S95" i="12" a="1"/>
  <c r="S95" i="12" s="1"/>
  <c r="S96" i="12" a="1"/>
  <c r="S96" i="12" s="1"/>
  <c r="S97" i="12" a="1"/>
  <c r="S97" i="12" s="1"/>
  <c r="S98" i="12" a="1"/>
  <c r="S98" i="12" s="1"/>
  <c r="S99" i="12" a="1"/>
  <c r="S99" i="12" s="1"/>
  <c r="S100" i="12" a="1"/>
  <c r="S100" i="12" s="1"/>
  <c r="S101" i="12" a="1"/>
  <c r="S101" i="12" s="1"/>
  <c r="S102" i="12" a="1"/>
  <c r="S102" i="12" s="1"/>
  <c r="S103" i="12" a="1"/>
  <c r="S103" i="12" s="1"/>
  <c r="S104" i="12" a="1"/>
  <c r="S104" i="12" s="1"/>
  <c r="S105" i="12" a="1"/>
  <c r="S105" i="12" s="1"/>
  <c r="S106" i="12" a="1"/>
  <c r="S106" i="12" s="1"/>
  <c r="S107" i="12" a="1"/>
  <c r="S107" i="12" s="1"/>
  <c r="S108" i="12" a="1"/>
  <c r="S108" i="12" s="1"/>
  <c r="S109" i="12" a="1"/>
  <c r="S109" i="12" s="1"/>
  <c r="S110" i="12" a="1"/>
  <c r="S110" i="12" s="1"/>
  <c r="S111" i="12" a="1"/>
  <c r="S111" i="12" s="1"/>
  <c r="S112" i="12" a="1"/>
  <c r="S112" i="12" s="1"/>
  <c r="S113" i="12" a="1"/>
  <c r="S113" i="12" s="1"/>
  <c r="S114" i="12" a="1"/>
  <c r="S114" i="12" s="1"/>
  <c r="S115" i="12" a="1"/>
  <c r="S115" i="12" s="1"/>
  <c r="S116" i="12" a="1"/>
  <c r="S116" i="12" s="1"/>
  <c r="S117" i="12" a="1"/>
  <c r="S117" i="12" s="1"/>
  <c r="S118" i="12" a="1"/>
  <c r="S118" i="12" s="1"/>
  <c r="S119" i="12" a="1"/>
  <c r="S119" i="12" s="1"/>
  <c r="S120" i="12" a="1"/>
  <c r="S120" i="12" s="1"/>
  <c r="S121" i="12" a="1"/>
  <c r="S121" i="12" s="1"/>
  <c r="S122" i="12" a="1"/>
  <c r="S122" i="12" s="1"/>
  <c r="S123" i="12" a="1"/>
  <c r="S123" i="12" s="1"/>
  <c r="S124" i="12" a="1"/>
  <c r="S124" i="12" s="1"/>
  <c r="S125" i="12" a="1"/>
  <c r="S125" i="12" s="1"/>
  <c r="S126" i="12" a="1"/>
  <c r="S126" i="12" s="1"/>
  <c r="S127" i="12" a="1"/>
  <c r="S127" i="12" s="1"/>
  <c r="S128" i="12" a="1"/>
  <c r="S128" i="12" s="1"/>
  <c r="S129" i="12" a="1"/>
  <c r="S129" i="12" s="1"/>
  <c r="S130" i="12" a="1"/>
  <c r="S130" i="12" s="1"/>
  <c r="S131" i="12" a="1"/>
  <c r="S131" i="12" s="1"/>
  <c r="S132" i="12" a="1"/>
  <c r="S132" i="12" s="1"/>
  <c r="S133" i="12" a="1"/>
  <c r="S133" i="12" s="1"/>
  <c r="S134" i="12" a="1"/>
  <c r="S134" i="12" s="1"/>
  <c r="S135" i="12" a="1"/>
  <c r="S135" i="12" s="1"/>
  <c r="S136" i="12" a="1"/>
  <c r="S136" i="12" s="1"/>
  <c r="S137" i="12" a="1"/>
  <c r="S137" i="12" s="1"/>
  <c r="S138" i="12" a="1"/>
  <c r="S138" i="12" s="1"/>
  <c r="S139" i="12" a="1"/>
  <c r="S139" i="12" s="1"/>
  <c r="S140" i="12" a="1"/>
  <c r="S140" i="12" s="1"/>
  <c r="S141" i="12" a="1"/>
  <c r="S141" i="12" s="1"/>
  <c r="S142" i="12" a="1"/>
  <c r="S142" i="12" s="1"/>
  <c r="S143" i="12" a="1"/>
  <c r="S143" i="12" s="1"/>
  <c r="S144" i="12" a="1"/>
  <c r="S144" i="12" s="1"/>
  <c r="S145" i="12" a="1"/>
  <c r="S145" i="12" s="1"/>
  <c r="S146" i="12" a="1"/>
  <c r="S146" i="12" s="1"/>
  <c r="S147" i="12" a="1"/>
  <c r="S147" i="12" s="1"/>
  <c r="S148" i="12" a="1"/>
  <c r="S148" i="12" s="1"/>
  <c r="S149" i="12" a="1"/>
  <c r="S149" i="12" s="1"/>
  <c r="S150" i="12" a="1"/>
  <c r="S150" i="12" s="1"/>
  <c r="S151" i="12" a="1"/>
  <c r="S151" i="12" s="1"/>
  <c r="S152" i="12" a="1"/>
  <c r="S152" i="12" s="1"/>
  <c r="S153" i="12" a="1"/>
  <c r="S153" i="12" s="1"/>
  <c r="S154" i="12" a="1"/>
  <c r="S154" i="12" s="1"/>
  <c r="S155" i="12" a="1"/>
  <c r="S155" i="12" s="1"/>
  <c r="S156" i="12" a="1"/>
  <c r="S156" i="12" s="1"/>
  <c r="S157" i="12" a="1"/>
  <c r="S157" i="12" s="1"/>
  <c r="S158" i="12" a="1"/>
  <c r="S158" i="12" s="1"/>
  <c r="S159" i="12" a="1"/>
  <c r="S159" i="12" s="1"/>
  <c r="S160" i="12" a="1"/>
  <c r="S160" i="12" s="1"/>
  <c r="S161" i="12" a="1"/>
  <c r="S161" i="12" s="1"/>
  <c r="S162" i="12" a="1"/>
  <c r="S162" i="12" s="1"/>
  <c r="S163" i="12" a="1"/>
  <c r="S163" i="12" s="1"/>
  <c r="S164" i="12" a="1"/>
  <c r="S164" i="12" s="1"/>
  <c r="S165" i="12" a="1"/>
  <c r="S165" i="12" s="1"/>
  <c r="S166" i="12" a="1"/>
  <c r="S166" i="12" s="1"/>
  <c r="S167" i="12" a="1"/>
  <c r="S167" i="12" s="1"/>
  <c r="S168" i="12" a="1"/>
  <c r="S168" i="12" s="1"/>
  <c r="S169" i="12" a="1"/>
  <c r="S169" i="12" s="1"/>
  <c r="S170" i="12" a="1"/>
  <c r="S170" i="12" s="1"/>
  <c r="S171" i="12" a="1"/>
  <c r="S171" i="12" s="1"/>
  <c r="S172" i="12" a="1"/>
  <c r="S172" i="12" s="1"/>
  <c r="S173" i="12" a="1"/>
  <c r="S173" i="12" s="1"/>
  <c r="S174" i="12" a="1"/>
  <c r="S174" i="12" s="1"/>
  <c r="S175" i="12" a="1"/>
  <c r="S175" i="12" s="1"/>
  <c r="S176" i="12" a="1"/>
  <c r="S176" i="12" s="1"/>
  <c r="S177" i="12" a="1"/>
  <c r="S177" i="12" s="1"/>
  <c r="S178" i="12" a="1"/>
  <c r="S178" i="12" s="1"/>
  <c r="S179" i="12" a="1"/>
  <c r="S179" i="12" s="1"/>
  <c r="S180" i="12" a="1"/>
  <c r="S180" i="12" s="1"/>
  <c r="S181" i="12" a="1"/>
  <c r="S181" i="12" s="1"/>
  <c r="S182" i="12" a="1"/>
  <c r="S182" i="12" s="1"/>
  <c r="S183" i="12" a="1"/>
  <c r="S183" i="12" s="1"/>
  <c r="S184" i="12" a="1"/>
  <c r="S184" i="12" s="1"/>
  <c r="S185" i="12" a="1"/>
  <c r="S185" i="12" s="1"/>
  <c r="S186" i="12" a="1"/>
  <c r="S186" i="12" s="1"/>
  <c r="S187" i="12" a="1"/>
  <c r="S187" i="12" s="1"/>
  <c r="S188" i="12" a="1"/>
  <c r="S188" i="12" s="1"/>
  <c r="S189" i="12" a="1"/>
  <c r="S189" i="12" s="1"/>
  <c r="S190" i="12" a="1"/>
  <c r="S190" i="12" s="1"/>
  <c r="S191" i="12" a="1"/>
  <c r="S191" i="12" s="1"/>
  <c r="S192" i="12" a="1"/>
  <c r="S192" i="12" s="1"/>
  <c r="S193" i="12" a="1"/>
  <c r="S193" i="12" s="1"/>
  <c r="S194" i="12" a="1"/>
  <c r="S194" i="12" s="1"/>
  <c r="S195" i="12" a="1"/>
  <c r="S195" i="12" s="1"/>
  <c r="S2" i="13" a="1"/>
  <c r="S2" i="13" s="1"/>
  <c r="S3" i="13" a="1"/>
  <c r="S3" i="13" s="1"/>
  <c r="S4" i="13" a="1"/>
  <c r="S4" i="13" s="1"/>
  <c r="S5" i="13" a="1"/>
  <c r="S5" i="13" s="1"/>
  <c r="S6" i="13" a="1"/>
  <c r="S6" i="13" s="1"/>
  <c r="S7" i="13" a="1"/>
  <c r="S7" i="13" s="1"/>
  <c r="S8" i="13" a="1"/>
  <c r="S8" i="13" s="1"/>
  <c r="S9" i="13" a="1"/>
  <c r="S9" i="13" s="1"/>
  <c r="S10" i="13" a="1"/>
  <c r="S10" i="13" s="1"/>
  <c r="S11" i="13" a="1"/>
  <c r="S11" i="13" s="1"/>
  <c r="S12" i="13" a="1"/>
  <c r="S12" i="13" s="1"/>
  <c r="S13" i="13" a="1"/>
  <c r="S13" i="13" s="1"/>
  <c r="S14" i="13" a="1"/>
  <c r="S14" i="13" s="1"/>
  <c r="S15" i="13" a="1"/>
  <c r="S15" i="13" s="1"/>
  <c r="S16" i="13" a="1"/>
  <c r="S16" i="13" s="1"/>
  <c r="S17" i="13" a="1"/>
  <c r="S17" i="13" s="1"/>
  <c r="S18" i="13" a="1"/>
  <c r="S18" i="13" s="1"/>
  <c r="S19" i="13" a="1"/>
  <c r="S19" i="13" s="1"/>
  <c r="S20" i="13" a="1"/>
  <c r="S20" i="13" s="1"/>
  <c r="S21" i="13" a="1"/>
  <c r="S21" i="13" s="1"/>
  <c r="S22" i="13" a="1"/>
  <c r="S22" i="13" s="1"/>
  <c r="S23" i="13" a="1"/>
  <c r="S23" i="13" s="1"/>
  <c r="S24" i="13" a="1"/>
  <c r="S24" i="13" s="1"/>
  <c r="S25" i="13" a="1"/>
  <c r="S25" i="13" s="1"/>
  <c r="S26" i="13" a="1"/>
  <c r="S26" i="13" s="1"/>
  <c r="S27" i="13" a="1"/>
  <c r="S27" i="13" s="1"/>
  <c r="S28" i="13" a="1"/>
  <c r="S28" i="13" s="1"/>
  <c r="S29" i="13" a="1"/>
  <c r="S29" i="13" s="1"/>
  <c r="S30" i="13" a="1"/>
  <c r="S30" i="13" s="1"/>
  <c r="S31" i="13" a="1"/>
  <c r="S31" i="13" s="1"/>
  <c r="S32" i="13" a="1"/>
  <c r="S32" i="13" s="1"/>
  <c r="S33" i="13" a="1"/>
  <c r="S33" i="13" s="1"/>
  <c r="S34" i="13" a="1"/>
  <c r="S34" i="13" s="1"/>
  <c r="S35" i="13" a="1"/>
  <c r="S35" i="13" s="1"/>
  <c r="S36" i="13" a="1"/>
  <c r="S36" i="13" s="1"/>
  <c r="S37" i="13" a="1"/>
  <c r="S37" i="13" s="1"/>
  <c r="S38" i="13" a="1"/>
  <c r="S38" i="13" s="1"/>
  <c r="S39" i="13" a="1"/>
  <c r="S39" i="13" s="1"/>
  <c r="S40" i="13" a="1"/>
  <c r="S40" i="13" s="1"/>
  <c r="S41" i="13" a="1"/>
  <c r="S41" i="13" s="1"/>
  <c r="S42" i="13" a="1"/>
  <c r="S42" i="13" s="1"/>
  <c r="S43" i="13" a="1"/>
  <c r="S43" i="13" s="1"/>
  <c r="S44" i="13" a="1"/>
  <c r="S44" i="13" s="1"/>
  <c r="S45" i="13" a="1"/>
  <c r="S45" i="13" s="1"/>
  <c r="S46" i="13" a="1"/>
  <c r="S46" i="13" s="1"/>
  <c r="S47" i="13" a="1"/>
  <c r="S47" i="13" s="1"/>
  <c r="S48" i="13" a="1"/>
  <c r="S48" i="13" s="1"/>
  <c r="S49" i="13" a="1"/>
  <c r="S49" i="13" s="1"/>
  <c r="S50" i="13" a="1"/>
  <c r="S50" i="13" s="1"/>
  <c r="S51" i="13" a="1"/>
  <c r="S51" i="13" s="1"/>
  <c r="S52" i="13" a="1"/>
  <c r="S52" i="13" s="1"/>
  <c r="S53" i="13" a="1"/>
  <c r="S53" i="13" s="1"/>
  <c r="S54" i="13" a="1"/>
  <c r="S54" i="13" s="1"/>
  <c r="S55" i="13" a="1"/>
  <c r="S55" i="13" s="1"/>
  <c r="S56" i="13" a="1"/>
  <c r="S56" i="13" s="1"/>
  <c r="S57" i="13" a="1"/>
  <c r="S57" i="13" s="1"/>
  <c r="S58" i="13" a="1"/>
  <c r="S58" i="13" s="1"/>
  <c r="S59" i="13" a="1"/>
  <c r="S59" i="13" s="1"/>
  <c r="S60" i="13" a="1"/>
  <c r="S60" i="13" s="1"/>
  <c r="S61" i="13" a="1"/>
  <c r="S61" i="13" s="1"/>
  <c r="S62" i="13" a="1"/>
  <c r="S62" i="13" s="1"/>
  <c r="S63" i="13" a="1"/>
  <c r="S63" i="13" s="1"/>
  <c r="S64" i="13" a="1"/>
  <c r="S64" i="13" s="1"/>
  <c r="S65" i="13" a="1"/>
  <c r="S65" i="13" s="1"/>
  <c r="S66" i="13" a="1"/>
  <c r="S66" i="13" s="1"/>
  <c r="S67" i="13" a="1"/>
  <c r="S67" i="13" s="1"/>
  <c r="S68" i="13" a="1"/>
  <c r="S68" i="13" s="1"/>
  <c r="S69" i="13" a="1"/>
  <c r="S69" i="13" s="1"/>
  <c r="S70" i="13" a="1"/>
  <c r="S70" i="13" s="1"/>
  <c r="S71" i="13" a="1"/>
  <c r="S71" i="13" s="1"/>
  <c r="S72" i="13" a="1"/>
  <c r="S72" i="13" s="1"/>
  <c r="S73" i="13" a="1"/>
  <c r="S73" i="13" s="1"/>
  <c r="S74" i="13" a="1"/>
  <c r="S74" i="13" s="1"/>
  <c r="S75" i="13" a="1"/>
  <c r="S75" i="13" s="1"/>
  <c r="S76" i="13" a="1"/>
  <c r="S76" i="13" s="1"/>
  <c r="S77" i="13" a="1"/>
  <c r="S77" i="13" s="1"/>
  <c r="S78" i="13" a="1"/>
  <c r="S78" i="13" s="1"/>
  <c r="S79" i="13" a="1"/>
  <c r="S79" i="13" s="1"/>
  <c r="S80" i="13" a="1"/>
  <c r="S80" i="13" s="1"/>
  <c r="S81" i="13" a="1"/>
  <c r="S81" i="13" s="1"/>
  <c r="S82" i="13" a="1"/>
  <c r="S82" i="13" s="1"/>
  <c r="S83" i="13" a="1"/>
  <c r="S83" i="13" s="1"/>
  <c r="S84" i="13" a="1"/>
  <c r="S84" i="13" s="1"/>
  <c r="S85" i="13" a="1"/>
  <c r="S85" i="13" s="1"/>
  <c r="S86" i="13" a="1"/>
  <c r="S86" i="13" s="1"/>
  <c r="S87" i="13" a="1"/>
  <c r="S87" i="13" s="1"/>
  <c r="S88" i="13" a="1"/>
  <c r="S88" i="13" s="1"/>
  <c r="S89" i="13" a="1"/>
  <c r="S89" i="13" s="1"/>
  <c r="S90" i="13" a="1"/>
  <c r="S90" i="13" s="1"/>
  <c r="S91" i="13" a="1"/>
  <c r="S91" i="13" s="1"/>
  <c r="S92" i="13" a="1"/>
  <c r="S92" i="13" s="1"/>
  <c r="S93" i="13" a="1"/>
  <c r="S93" i="13" s="1"/>
  <c r="S94" i="13" a="1"/>
  <c r="S94" i="13" s="1"/>
  <c r="S95" i="13" a="1"/>
  <c r="S95" i="13" s="1"/>
  <c r="S96" i="13" a="1"/>
  <c r="S96" i="13" s="1"/>
  <c r="S97" i="13" a="1"/>
  <c r="S97" i="13" s="1"/>
  <c r="S98" i="13" a="1"/>
  <c r="S98" i="13" s="1"/>
  <c r="S99" i="13" a="1"/>
  <c r="S99" i="13" s="1"/>
  <c r="S100" i="13" a="1"/>
  <c r="S100" i="13" s="1"/>
  <c r="S101" i="13" a="1"/>
  <c r="S101" i="13" s="1"/>
  <c r="S102" i="13" a="1"/>
  <c r="S102" i="13" s="1"/>
  <c r="S103" i="13" a="1"/>
  <c r="S103" i="13" s="1"/>
  <c r="S104" i="13" a="1"/>
  <c r="S104" i="13" s="1"/>
  <c r="S105" i="13" a="1"/>
  <c r="S105" i="13" s="1"/>
  <c r="S106" i="13" a="1"/>
  <c r="S106" i="13" s="1"/>
  <c r="S107" i="13" a="1"/>
  <c r="S107" i="13" s="1"/>
  <c r="S108" i="13" a="1"/>
  <c r="S108" i="13" s="1"/>
  <c r="S109" i="13" a="1"/>
  <c r="S109" i="13" s="1"/>
  <c r="S110" i="13" a="1"/>
  <c r="S110" i="13" s="1"/>
  <c r="S111" i="13" a="1"/>
  <c r="S111" i="13" s="1"/>
  <c r="S112" i="13" a="1"/>
  <c r="S112" i="13" s="1"/>
  <c r="S113" i="13" a="1"/>
  <c r="S113" i="13" s="1"/>
  <c r="S114" i="13" a="1"/>
  <c r="S114" i="13" s="1"/>
  <c r="S115" i="13" a="1"/>
  <c r="S115" i="13" s="1"/>
  <c r="S116" i="13" a="1"/>
  <c r="S116" i="13" s="1"/>
  <c r="S117" i="13" a="1"/>
  <c r="S117" i="13" s="1"/>
  <c r="S118" i="13" a="1"/>
  <c r="S118" i="13" s="1"/>
  <c r="S119" i="13" a="1"/>
  <c r="S119" i="13" s="1"/>
  <c r="S120" i="13" a="1"/>
  <c r="S120" i="13" s="1"/>
  <c r="S121" i="13" a="1"/>
  <c r="S121" i="13" s="1"/>
  <c r="S122" i="13" a="1"/>
  <c r="S122" i="13" s="1"/>
  <c r="S123" i="13" a="1"/>
  <c r="S123" i="13" s="1"/>
  <c r="S124" i="13" a="1"/>
  <c r="S124" i="13" s="1"/>
  <c r="S125" i="13" a="1"/>
  <c r="S125" i="13" s="1"/>
  <c r="S126" i="13" a="1"/>
  <c r="S126" i="13" s="1"/>
  <c r="S127" i="13" a="1"/>
  <c r="S127" i="13" s="1"/>
  <c r="S128" i="13" a="1"/>
  <c r="S128" i="13" s="1"/>
  <c r="S129" i="13" a="1"/>
  <c r="S129" i="13" s="1"/>
  <c r="S130" i="13" a="1"/>
  <c r="S130" i="13" s="1"/>
  <c r="S131" i="13" a="1"/>
  <c r="S131" i="13" s="1"/>
  <c r="S132" i="13" a="1"/>
  <c r="S132" i="13" s="1"/>
  <c r="S133" i="13" a="1"/>
  <c r="S133" i="13" s="1"/>
  <c r="S134" i="13" a="1"/>
  <c r="S134" i="13" s="1"/>
  <c r="S135" i="13" a="1"/>
  <c r="S135" i="13" s="1"/>
  <c r="S136" i="13" a="1"/>
  <c r="S136" i="13" s="1"/>
  <c r="S137" i="13" a="1"/>
  <c r="S137" i="13" s="1"/>
  <c r="S138" i="13" a="1"/>
  <c r="S138" i="13" s="1"/>
  <c r="S139" i="13" a="1"/>
  <c r="S139" i="13" s="1"/>
  <c r="S140" i="13" a="1"/>
  <c r="S140" i="13" s="1"/>
  <c r="S141" i="13" a="1"/>
  <c r="S141" i="13" s="1"/>
  <c r="S142" i="13" a="1"/>
  <c r="S142" i="13" s="1"/>
  <c r="S143" i="13" a="1"/>
  <c r="S143" i="13" s="1"/>
  <c r="S144" i="13" a="1"/>
  <c r="S144" i="13" s="1"/>
  <c r="S145" i="13" a="1"/>
  <c r="S145" i="13" s="1"/>
  <c r="S146" i="13" a="1"/>
  <c r="S146" i="13" s="1"/>
  <c r="S147" i="13" a="1"/>
  <c r="S147" i="13" s="1"/>
  <c r="S148" i="13" a="1"/>
  <c r="S148" i="13" s="1"/>
  <c r="S149" i="13" a="1"/>
  <c r="S149" i="13" s="1"/>
  <c r="S150" i="13" a="1"/>
  <c r="S150" i="13" s="1"/>
  <c r="S151" i="13" a="1"/>
  <c r="S151" i="13" s="1"/>
  <c r="S152" i="13" a="1"/>
  <c r="S152" i="13" s="1"/>
  <c r="S153" i="13" a="1"/>
  <c r="S153" i="13" s="1"/>
  <c r="S154" i="13" a="1"/>
  <c r="S154" i="13" s="1"/>
  <c r="S155" i="13" a="1"/>
  <c r="S155" i="13" s="1"/>
  <c r="S156" i="13" a="1"/>
  <c r="S156" i="13" s="1"/>
  <c r="S157" i="13" a="1"/>
  <c r="S157" i="13" s="1"/>
  <c r="S158" i="13" a="1"/>
  <c r="S158" i="13" s="1"/>
  <c r="S159" i="13" a="1"/>
  <c r="S159" i="13" s="1"/>
  <c r="S160" i="13" a="1"/>
  <c r="S160" i="13" s="1"/>
  <c r="S161" i="13" a="1"/>
  <c r="S161" i="13" s="1"/>
  <c r="S162" i="13" a="1"/>
  <c r="S162" i="13" s="1"/>
  <c r="S163" i="13" a="1"/>
  <c r="S163" i="13" s="1"/>
  <c r="S164" i="13" a="1"/>
  <c r="S164" i="13" s="1"/>
  <c r="S165" i="13" a="1"/>
  <c r="S165" i="13" s="1"/>
  <c r="S166" i="13" a="1"/>
  <c r="S166" i="13" s="1"/>
  <c r="S167" i="13" a="1"/>
  <c r="S167" i="13" s="1"/>
  <c r="S168" i="13" a="1"/>
  <c r="S168" i="13" s="1"/>
  <c r="S169" i="13" a="1"/>
  <c r="S169" i="13" s="1"/>
  <c r="S170" i="13" a="1"/>
  <c r="S170" i="13" s="1"/>
  <c r="S171" i="13" a="1"/>
  <c r="S171" i="13" s="1"/>
  <c r="S172" i="13" a="1"/>
  <c r="S172" i="13" s="1"/>
  <c r="S173" i="13" a="1"/>
  <c r="S173" i="13" s="1"/>
  <c r="S174" i="13" a="1"/>
  <c r="S174" i="13" s="1"/>
  <c r="S175" i="13" a="1"/>
  <c r="S175" i="13" s="1"/>
  <c r="S176" i="13" a="1"/>
  <c r="S176" i="13" s="1"/>
  <c r="S177" i="13" a="1"/>
  <c r="S177" i="13" s="1"/>
  <c r="S178" i="13" a="1"/>
  <c r="S178" i="13" s="1"/>
  <c r="S179" i="13" a="1"/>
  <c r="S179" i="13" s="1"/>
  <c r="S180" i="13" a="1"/>
  <c r="S180" i="13" s="1"/>
  <c r="S181" i="13" a="1"/>
  <c r="S181" i="13" s="1"/>
  <c r="S182" i="13" a="1"/>
  <c r="S182" i="13" s="1"/>
  <c r="S183" i="13" a="1"/>
  <c r="S183" i="13" s="1"/>
  <c r="S184" i="13" a="1"/>
  <c r="S184" i="13" s="1"/>
  <c r="S185" i="13" a="1"/>
  <c r="S185" i="13" s="1"/>
  <c r="S186" i="13" a="1"/>
  <c r="S186" i="13" s="1"/>
  <c r="S187" i="13" a="1"/>
  <c r="S187" i="13" s="1"/>
  <c r="S188" i="13" a="1"/>
  <c r="S188" i="13" s="1"/>
  <c r="S189" i="13" a="1"/>
  <c r="S189" i="13" s="1"/>
  <c r="S190" i="13" a="1"/>
  <c r="S190" i="13" s="1"/>
  <c r="S191" i="13" a="1"/>
  <c r="S191" i="13" s="1"/>
  <c r="S192" i="13" a="1"/>
  <c r="S192" i="13" s="1"/>
  <c r="S193" i="13" a="1"/>
  <c r="S193" i="13" s="1"/>
  <c r="S194" i="13" a="1"/>
  <c r="S194" i="13" s="1"/>
  <c r="S195" i="13" a="1"/>
  <c r="S195" i="13" s="1"/>
  <c r="S196" i="13" a="1"/>
  <c r="S196" i="13" s="1"/>
  <c r="S197" i="13" a="1"/>
  <c r="S197" i="13" s="1"/>
  <c r="S198" i="13" a="1"/>
  <c r="S198" i="13" s="1"/>
  <c r="S199" i="13" a="1"/>
  <c r="S199" i="13" s="1"/>
  <c r="S200" i="13" a="1"/>
  <c r="S200" i="13" s="1"/>
  <c r="S201" i="13" a="1"/>
  <c r="S201" i="13" s="1"/>
  <c r="S202" i="13" a="1"/>
  <c r="S202" i="13" s="1"/>
  <c r="S203" i="13" a="1"/>
  <c r="S203" i="13" s="1"/>
  <c r="S204" i="13" a="1"/>
  <c r="S204" i="13" s="1"/>
  <c r="S205" i="13" a="1"/>
  <c r="S205" i="13" s="1"/>
  <c r="S206" i="13" a="1"/>
  <c r="S206" i="13" s="1"/>
  <c r="S207" i="13" a="1"/>
  <c r="S207" i="13" s="1"/>
  <c r="S208" i="13" a="1"/>
  <c r="S208" i="13" s="1"/>
  <c r="S209" i="13" a="1"/>
  <c r="S209" i="13" s="1"/>
  <c r="S210" i="13" a="1"/>
  <c r="S210" i="13" s="1"/>
  <c r="S211" i="13" a="1"/>
  <c r="S211" i="13" s="1"/>
  <c r="S212" i="13" a="1"/>
  <c r="S212" i="13" s="1"/>
  <c r="S213" i="13" a="1"/>
  <c r="S213" i="13" s="1"/>
  <c r="S214" i="13" a="1"/>
  <c r="S214" i="13" s="1"/>
  <c r="S215" i="13" a="1"/>
  <c r="S215" i="13" s="1"/>
  <c r="S216" i="13" a="1"/>
  <c r="S216" i="13" s="1"/>
  <c r="S217" i="13" a="1"/>
  <c r="S217" i="13" s="1"/>
  <c r="S218" i="13" a="1"/>
  <c r="S218" i="13" s="1"/>
  <c r="S219" i="13" a="1"/>
  <c r="S219" i="13" s="1"/>
  <c r="S220" i="13" a="1"/>
  <c r="S220" i="13" s="1"/>
  <c r="S221" i="13" a="1"/>
  <c r="S221" i="13" s="1"/>
  <c r="S222" i="13" a="1"/>
  <c r="S222" i="13" s="1"/>
  <c r="S223" i="13" a="1"/>
  <c r="S223" i="13" s="1"/>
  <c r="S224" i="13" a="1"/>
  <c r="S224" i="13" s="1"/>
  <c r="S225" i="13" a="1"/>
  <c r="S225" i="13" s="1"/>
  <c r="S226" i="13" a="1"/>
  <c r="S226" i="13" s="1"/>
  <c r="S227" i="13" a="1"/>
  <c r="S227" i="13" s="1"/>
  <c r="S228" i="13" a="1"/>
  <c r="S228" i="13" s="1"/>
  <c r="S229" i="13" a="1"/>
  <c r="S229" i="13" s="1"/>
  <c r="S230" i="13" a="1"/>
  <c r="S230" i="13" s="1"/>
  <c r="S231" i="13" a="1"/>
  <c r="S231" i="13" s="1"/>
  <c r="S232" i="13" a="1"/>
  <c r="S232" i="13" s="1"/>
  <c r="S233" i="13" a="1"/>
  <c r="S233" i="13" s="1"/>
  <c r="S234" i="13" a="1"/>
  <c r="S234" i="13" s="1"/>
  <c r="S235" i="13" a="1"/>
  <c r="S235" i="13" s="1"/>
  <c r="S236" i="13" a="1"/>
  <c r="S236" i="13" s="1"/>
  <c r="S237" i="13" a="1"/>
  <c r="S237" i="13" s="1"/>
  <c r="S238" i="13" a="1"/>
  <c r="S238" i="13" s="1"/>
  <c r="S239" i="13" a="1"/>
  <c r="S239" i="13" s="1"/>
  <c r="S240" i="13" a="1"/>
  <c r="S240" i="13" s="1"/>
  <c r="S241" i="13" a="1"/>
  <c r="S241" i="13" s="1"/>
  <c r="S242" i="13" a="1"/>
  <c r="S242" i="13" s="1"/>
  <c r="S243" i="13" a="1"/>
  <c r="S243" i="13" s="1"/>
  <c r="S244" i="13" a="1"/>
  <c r="S244" i="13" s="1"/>
  <c r="S245" i="13" a="1"/>
  <c r="S245" i="13" s="1"/>
  <c r="S246" i="13" a="1"/>
  <c r="S246" i="13" s="1"/>
  <c r="S247" i="13" a="1"/>
  <c r="S247" i="13" s="1"/>
  <c r="S248" i="13" a="1"/>
  <c r="S248" i="13" s="1"/>
  <c r="S249" i="13" a="1"/>
  <c r="S249" i="13" s="1"/>
  <c r="S250" i="13" a="1"/>
  <c r="S250" i="13" s="1"/>
  <c r="S251" i="13" a="1"/>
  <c r="S251" i="13" s="1"/>
  <c r="S252" i="13" a="1"/>
  <c r="S252" i="13" s="1"/>
  <c r="S253" i="13" a="1"/>
  <c r="S253" i="13" s="1"/>
  <c r="S254" i="13" a="1"/>
  <c r="S254" i="13" s="1"/>
  <c r="S255" i="13" a="1"/>
  <c r="S255" i="13" s="1"/>
  <c r="S256" i="13" a="1"/>
  <c r="S256" i="13" s="1"/>
  <c r="S2" i="17" a="1"/>
  <c r="S2" i="17" s="1"/>
  <c r="S3" i="17" a="1"/>
  <c r="S3" i="17" s="1"/>
  <c r="S4" i="17" a="1"/>
  <c r="S4" i="17" s="1"/>
  <c r="S5" i="17" a="1"/>
  <c r="S5" i="17" s="1"/>
  <c r="S6" i="17" a="1"/>
  <c r="S6" i="17" s="1"/>
  <c r="S7" i="17" a="1"/>
  <c r="S7" i="17" s="1"/>
  <c r="S8" i="17" a="1"/>
  <c r="S8" i="17" s="1"/>
  <c r="S9" i="17" a="1"/>
  <c r="S9" i="17" s="1"/>
  <c r="S10" i="17" a="1"/>
  <c r="S10" i="17" s="1"/>
  <c r="S11" i="17" a="1"/>
  <c r="S11" i="17" s="1"/>
  <c r="S12" i="17" a="1"/>
  <c r="S12" i="17" s="1"/>
  <c r="S13" i="17" a="1"/>
  <c r="S13" i="17" s="1"/>
  <c r="S14" i="17" a="1"/>
  <c r="S14" i="17" s="1"/>
  <c r="S15" i="17" a="1"/>
  <c r="S15" i="17" s="1"/>
  <c r="S16" i="17" a="1"/>
  <c r="S16" i="17" s="1"/>
  <c r="S17" i="17" a="1"/>
  <c r="S17" i="17" s="1"/>
  <c r="S18" i="17" a="1"/>
  <c r="S18" i="17" s="1"/>
  <c r="S19" i="17" a="1"/>
  <c r="S19" i="17" s="1"/>
  <c r="S20" i="17" a="1"/>
  <c r="S20" i="17" s="1"/>
  <c r="S21" i="17" a="1"/>
  <c r="S21" i="17" s="1"/>
  <c r="S22" i="17" a="1"/>
  <c r="S22" i="17" s="1"/>
  <c r="S23" i="17" a="1"/>
  <c r="S23" i="17" s="1"/>
  <c r="S24" i="17" a="1"/>
  <c r="S24" i="17" s="1"/>
  <c r="S25" i="17" a="1"/>
  <c r="S25" i="17" s="1"/>
  <c r="S26" i="17" a="1"/>
  <c r="S26" i="17" s="1"/>
  <c r="S27" i="17" a="1"/>
  <c r="S27" i="17" s="1"/>
  <c r="S28" i="17" a="1"/>
  <c r="S28" i="17" s="1"/>
  <c r="S29" i="17" a="1"/>
  <c r="S29" i="17" s="1"/>
  <c r="S30" i="17" a="1"/>
  <c r="S30" i="17" s="1"/>
  <c r="S31" i="17" a="1"/>
  <c r="S31" i="17" s="1"/>
  <c r="S32" i="17" a="1"/>
  <c r="S32" i="17" s="1"/>
  <c r="S33" i="17" a="1"/>
  <c r="S33" i="17" s="1"/>
  <c r="S34" i="17" a="1"/>
  <c r="S34" i="17" s="1"/>
  <c r="S35" i="17" a="1"/>
  <c r="S35" i="17" s="1"/>
  <c r="S36" i="17" a="1"/>
  <c r="S36" i="17" s="1"/>
  <c r="S37" i="17" a="1"/>
  <c r="S37" i="17" s="1"/>
  <c r="S38" i="17" a="1"/>
  <c r="S38" i="17" s="1"/>
  <c r="S39" i="17" a="1"/>
  <c r="S39" i="17" s="1"/>
  <c r="S40" i="17" a="1"/>
  <c r="S40" i="17" s="1"/>
  <c r="S41" i="17" a="1"/>
  <c r="S41" i="17" s="1"/>
  <c r="S42" i="17" a="1"/>
  <c r="S42" i="17" s="1"/>
  <c r="S43" i="17" a="1"/>
  <c r="S43" i="17" s="1"/>
  <c r="S44" i="17" a="1"/>
  <c r="S44" i="17" s="1"/>
  <c r="S45" i="17" a="1"/>
  <c r="S45" i="17" s="1"/>
  <c r="S46" i="17" a="1"/>
  <c r="S46" i="17" s="1"/>
  <c r="S47" i="17" a="1"/>
  <c r="S47" i="17" s="1"/>
  <c r="S48" i="17" a="1"/>
  <c r="S48" i="17" s="1"/>
  <c r="S49" i="17" a="1"/>
  <c r="S49" i="17" s="1"/>
  <c r="S50" i="17" a="1"/>
  <c r="S50" i="17" s="1"/>
  <c r="S51" i="17" a="1"/>
  <c r="S51" i="17" s="1"/>
  <c r="S52" i="17" a="1"/>
  <c r="S52" i="17" s="1"/>
  <c r="S53" i="17" a="1"/>
  <c r="S53" i="17" s="1"/>
  <c r="S54" i="17" a="1"/>
  <c r="S54" i="17" s="1"/>
  <c r="S55" i="17" a="1"/>
  <c r="S55" i="17" s="1"/>
  <c r="S56" i="17" a="1"/>
  <c r="S56" i="17" s="1"/>
  <c r="S57" i="17" a="1"/>
  <c r="S57" i="17" s="1"/>
  <c r="S58" i="17" a="1"/>
  <c r="S58" i="17" s="1"/>
  <c r="S59" i="17" a="1"/>
  <c r="S59" i="17" s="1"/>
  <c r="S60" i="17" a="1"/>
  <c r="S60" i="17" s="1"/>
  <c r="S61" i="17" a="1"/>
  <c r="S61" i="17" s="1"/>
  <c r="S62" i="17" a="1"/>
  <c r="S62" i="17" s="1"/>
  <c r="S63" i="17" a="1"/>
  <c r="S63" i="17" s="1"/>
  <c r="S64" i="17" a="1"/>
  <c r="S64" i="17" s="1"/>
  <c r="S65" i="17" a="1"/>
  <c r="S65" i="17" s="1"/>
  <c r="S66" i="17" a="1"/>
  <c r="S66" i="17" s="1"/>
  <c r="S67" i="17" a="1"/>
  <c r="S67" i="17" s="1"/>
  <c r="S68" i="17" a="1"/>
  <c r="S68" i="17" s="1"/>
  <c r="S69" i="17" a="1"/>
  <c r="S69" i="17" s="1"/>
  <c r="S70" i="17" a="1"/>
  <c r="S70" i="17" s="1"/>
  <c r="S71" i="17" a="1"/>
  <c r="S71" i="17" s="1"/>
  <c r="S72" i="17" a="1"/>
  <c r="S72" i="17" s="1"/>
  <c r="S73" i="17" a="1"/>
  <c r="S73" i="17" s="1"/>
  <c r="S74" i="17" a="1"/>
  <c r="S74" i="17" s="1"/>
  <c r="S75" i="17" a="1"/>
  <c r="S75" i="17" s="1"/>
  <c r="S76" i="17" a="1"/>
  <c r="S76" i="17" s="1"/>
  <c r="S77" i="17" a="1"/>
  <c r="S77" i="17" s="1"/>
  <c r="S78" i="17" a="1"/>
  <c r="S78" i="17" s="1"/>
  <c r="S79" i="17" a="1"/>
  <c r="S79" i="17" s="1"/>
  <c r="S80" i="17" a="1"/>
  <c r="S80" i="17" s="1"/>
  <c r="S81" i="17" a="1"/>
  <c r="S81" i="17" s="1"/>
  <c r="S82" i="17" a="1"/>
  <c r="S82" i="17" s="1"/>
  <c r="S83" i="17" a="1"/>
  <c r="S83" i="17" s="1"/>
  <c r="S84" i="17" a="1"/>
  <c r="S84" i="17" s="1"/>
  <c r="S85" i="17" a="1"/>
  <c r="S85" i="17" s="1"/>
  <c r="S86" i="17" a="1"/>
  <c r="S86" i="17" s="1"/>
  <c r="S87" i="17" a="1"/>
  <c r="S87" i="17" s="1"/>
  <c r="S88" i="17" a="1"/>
  <c r="S88" i="17" s="1"/>
  <c r="S89" i="17" a="1"/>
  <c r="S89" i="17" s="1"/>
  <c r="S90" i="17" a="1"/>
  <c r="S90" i="17" s="1"/>
  <c r="S91" i="17" a="1"/>
  <c r="S91" i="17" s="1"/>
  <c r="S92" i="17" a="1"/>
  <c r="S92" i="17" s="1"/>
  <c r="S93" i="17" a="1"/>
  <c r="S93" i="17" s="1"/>
  <c r="S94" i="17" a="1"/>
  <c r="S94" i="17" s="1"/>
  <c r="S95" i="17" a="1"/>
  <c r="S95" i="17" s="1"/>
  <c r="S96" i="17" a="1"/>
  <c r="S96" i="17" s="1"/>
  <c r="S97" i="17" a="1"/>
  <c r="S97" i="17" s="1"/>
  <c r="S98" i="17" a="1"/>
  <c r="S98" i="17" s="1"/>
  <c r="S99" i="17" a="1"/>
  <c r="S99" i="17" s="1"/>
  <c r="S100" i="17" a="1"/>
  <c r="S100" i="17" s="1"/>
  <c r="S101" i="17" a="1"/>
  <c r="S101" i="17" s="1"/>
  <c r="S102" i="17" a="1"/>
  <c r="S102" i="17" s="1"/>
  <c r="S103" i="17" a="1"/>
  <c r="S103" i="17" s="1"/>
  <c r="S104" i="17" a="1"/>
  <c r="S104" i="17" s="1"/>
  <c r="S105" i="17" a="1"/>
  <c r="S105" i="17" s="1"/>
  <c r="S106" i="17" a="1"/>
  <c r="S106" i="17" s="1"/>
  <c r="S107" i="17" a="1"/>
  <c r="S107" i="17" s="1"/>
  <c r="S108" i="17" a="1"/>
  <c r="S108" i="17" s="1"/>
  <c r="S109" i="17" a="1"/>
  <c r="S109" i="17" s="1"/>
  <c r="S110" i="17" a="1"/>
  <c r="S110" i="17" s="1"/>
  <c r="S111" i="17" a="1"/>
  <c r="S111" i="17" s="1"/>
  <c r="S112" i="17" a="1"/>
  <c r="S112" i="17" s="1"/>
  <c r="S113" i="17" a="1"/>
  <c r="S113" i="17" s="1"/>
  <c r="S114" i="17" a="1"/>
  <c r="S114" i="17" s="1"/>
  <c r="S115" i="17" a="1"/>
  <c r="S115" i="17" s="1"/>
  <c r="S116" i="17" a="1"/>
  <c r="S116" i="17" s="1"/>
  <c r="S117" i="17" a="1"/>
  <c r="S117" i="17" s="1"/>
  <c r="S118" i="17" a="1"/>
  <c r="S118" i="17" s="1"/>
  <c r="S119" i="17" a="1"/>
  <c r="S119" i="17" s="1"/>
  <c r="S120" i="17" a="1"/>
  <c r="S120" i="17" s="1"/>
  <c r="S121" i="17" a="1"/>
  <c r="S121" i="17" s="1"/>
  <c r="S122" i="17" a="1"/>
  <c r="S122" i="17" s="1"/>
  <c r="S123" i="17" a="1"/>
  <c r="S123" i="17" s="1"/>
  <c r="S124" i="17" a="1"/>
  <c r="S124" i="17" s="1"/>
  <c r="S125" i="17" a="1"/>
  <c r="S125" i="17" s="1"/>
  <c r="S126" i="17" a="1"/>
  <c r="S126" i="17" s="1"/>
  <c r="S127" i="17" a="1"/>
  <c r="S127" i="17" s="1"/>
  <c r="S128" i="17" a="1"/>
  <c r="S128" i="17" s="1"/>
  <c r="S129" i="17" a="1"/>
  <c r="S129" i="17" s="1"/>
  <c r="S130" i="17" a="1"/>
  <c r="S130" i="17" s="1"/>
  <c r="S131" i="17" a="1"/>
  <c r="S131" i="17" s="1"/>
  <c r="S132" i="17" a="1"/>
  <c r="S132" i="17" s="1"/>
  <c r="S133" i="17" a="1"/>
  <c r="S133" i="17" s="1"/>
  <c r="S134" i="17" a="1"/>
  <c r="S134" i="17" s="1"/>
  <c r="S135" i="17" a="1"/>
  <c r="S135" i="17" s="1"/>
  <c r="S136" i="17" a="1"/>
  <c r="S136" i="17" s="1"/>
  <c r="S137" i="17" a="1"/>
  <c r="S137" i="17" s="1"/>
  <c r="S138" i="17" a="1"/>
  <c r="S138" i="17" s="1"/>
  <c r="S139" i="17" a="1"/>
  <c r="S139" i="17" s="1"/>
  <c r="S140" i="17" a="1"/>
  <c r="S140" i="17" s="1"/>
  <c r="S141" i="17" a="1"/>
  <c r="S141" i="17" s="1"/>
  <c r="S142" i="17" a="1"/>
  <c r="S142" i="17" s="1"/>
  <c r="S143" i="17" a="1"/>
  <c r="S143" i="17" s="1"/>
  <c r="S144" i="17" a="1"/>
  <c r="S144" i="17" s="1"/>
  <c r="S145" i="17" a="1"/>
  <c r="S145" i="17" s="1"/>
  <c r="S146" i="17" a="1"/>
  <c r="S146" i="17" s="1"/>
  <c r="S147" i="17" a="1"/>
  <c r="S147" i="17" s="1"/>
  <c r="S148" i="17" a="1"/>
  <c r="S148" i="17" s="1"/>
  <c r="S149" i="17" a="1"/>
  <c r="S149" i="17" s="1"/>
  <c r="S150" i="17" a="1"/>
  <c r="S150" i="17" s="1"/>
  <c r="S151" i="17" a="1"/>
  <c r="S151" i="17" s="1"/>
  <c r="S152" i="17" a="1"/>
  <c r="S152" i="17" s="1"/>
  <c r="S153" i="17" a="1"/>
  <c r="S153" i="17" s="1"/>
  <c r="S154" i="17" a="1"/>
  <c r="S154" i="17" s="1"/>
  <c r="S155" i="17" a="1"/>
  <c r="S155" i="17" s="1"/>
  <c r="S156" i="17" a="1"/>
  <c r="S156" i="17" s="1"/>
  <c r="S157" i="17" a="1"/>
  <c r="S157" i="17" s="1"/>
  <c r="S158" i="17" a="1"/>
  <c r="S158" i="17" s="1"/>
  <c r="S159" i="17" a="1"/>
  <c r="S159" i="17" s="1"/>
  <c r="S160" i="17" a="1"/>
  <c r="S160" i="17" s="1"/>
  <c r="S161" i="17" a="1"/>
  <c r="S161" i="17" s="1"/>
  <c r="S162" i="17" a="1"/>
  <c r="S162" i="17" s="1"/>
  <c r="S163" i="17" a="1"/>
  <c r="S163" i="17" s="1"/>
  <c r="S164" i="17" a="1"/>
  <c r="S164" i="17" s="1"/>
  <c r="S165" i="17" a="1"/>
  <c r="S165" i="17" s="1"/>
  <c r="S166" i="17" a="1"/>
  <c r="S166" i="17" s="1"/>
  <c r="S167" i="17" a="1"/>
  <c r="S167" i="17" s="1"/>
  <c r="S168" i="17" a="1"/>
  <c r="S168" i="17" s="1"/>
  <c r="S169" i="17" a="1"/>
  <c r="S169" i="17" s="1"/>
  <c r="S170" i="17" a="1"/>
  <c r="S170" i="17" s="1"/>
  <c r="S171" i="17" a="1"/>
  <c r="S171" i="17" s="1"/>
  <c r="S172" i="17" a="1"/>
  <c r="S172" i="17" s="1"/>
  <c r="S173" i="17" a="1"/>
  <c r="S173" i="17" s="1"/>
  <c r="S174" i="17" a="1"/>
  <c r="S174" i="17" s="1"/>
  <c r="S175" i="17" a="1"/>
  <c r="S175" i="17" s="1"/>
  <c r="S176" i="17" a="1"/>
  <c r="S176" i="17" s="1"/>
  <c r="S177" i="17" a="1"/>
  <c r="S177" i="17" s="1"/>
  <c r="S178" i="17" a="1"/>
  <c r="S178" i="17" s="1"/>
  <c r="S179" i="17" a="1"/>
  <c r="S179" i="17" s="1"/>
  <c r="S180" i="17" a="1"/>
  <c r="S180" i="17" s="1"/>
  <c r="S181" i="17" a="1"/>
  <c r="S181" i="17" s="1"/>
  <c r="S182" i="17" a="1"/>
  <c r="S182" i="17" s="1"/>
  <c r="S183" i="17" a="1"/>
  <c r="S183" i="17" s="1"/>
  <c r="S184" i="17" a="1"/>
  <c r="S184" i="17" s="1"/>
  <c r="S185" i="17" a="1"/>
  <c r="S185" i="17" s="1"/>
  <c r="S186" i="17" a="1"/>
  <c r="S186" i="17" s="1"/>
  <c r="S187" i="17" a="1"/>
  <c r="S187" i="17" s="1"/>
  <c r="S188" i="17" a="1"/>
  <c r="S188" i="17" s="1"/>
  <c r="S189" i="17" a="1"/>
  <c r="S189" i="17" s="1"/>
  <c r="S190" i="17" a="1"/>
  <c r="S190" i="17" s="1"/>
  <c r="S191" i="17" a="1"/>
  <c r="S191" i="17" s="1"/>
  <c r="S192" i="17" a="1"/>
  <c r="S192" i="17" s="1"/>
  <c r="S193" i="17" a="1"/>
  <c r="S193" i="17" s="1"/>
  <c r="S194" i="17" a="1"/>
  <c r="S194" i="17" s="1"/>
  <c r="S195" i="17" a="1"/>
  <c r="S195" i="17" s="1"/>
  <c r="S196" i="17" a="1"/>
  <c r="S196" i="17" s="1"/>
  <c r="S197" i="17" a="1"/>
  <c r="S197" i="17" s="1"/>
  <c r="S198" i="17" a="1"/>
  <c r="S198" i="17" s="1"/>
  <c r="S199" i="17" a="1"/>
  <c r="S199" i="17" s="1"/>
  <c r="S200" i="17" a="1"/>
  <c r="S200" i="17" s="1"/>
  <c r="S201" i="17" a="1"/>
  <c r="S201" i="17" s="1"/>
  <c r="S202" i="17" a="1"/>
  <c r="S202" i="17" s="1"/>
  <c r="S203" i="17" a="1"/>
  <c r="S203" i="17" s="1"/>
  <c r="S204" i="17" a="1"/>
  <c r="S204" i="17" s="1"/>
  <c r="S205" i="17" a="1"/>
  <c r="S205" i="17" s="1"/>
  <c r="S206" i="17" a="1"/>
  <c r="S206" i="17" s="1"/>
  <c r="S207" i="17" a="1"/>
  <c r="S207" i="17" s="1"/>
  <c r="S208" i="17" a="1"/>
  <c r="S208" i="17" s="1"/>
  <c r="S209" i="17" a="1"/>
  <c r="S209" i="17" s="1"/>
  <c r="S210" i="17" a="1"/>
  <c r="S210" i="17" s="1"/>
  <c r="S211" i="17" a="1"/>
  <c r="S211" i="17" s="1"/>
  <c r="S212" i="17" a="1"/>
  <c r="S212" i="17" s="1"/>
  <c r="S213" i="17" a="1"/>
  <c r="S213" i="17" s="1"/>
  <c r="S214" i="17" a="1"/>
  <c r="S214" i="17" s="1"/>
  <c r="S215" i="17" a="1"/>
  <c r="S215" i="17" s="1"/>
  <c r="S216" i="17" a="1"/>
  <c r="S216" i="17" s="1"/>
  <c r="S217" i="17" a="1"/>
  <c r="S217" i="17" s="1"/>
  <c r="S218" i="17" a="1"/>
  <c r="S218" i="17" s="1"/>
  <c r="S219" i="17" a="1"/>
  <c r="S219" i="17" s="1"/>
  <c r="S220" i="17" a="1"/>
  <c r="S220" i="17" s="1"/>
  <c r="S221" i="17" a="1"/>
  <c r="S221" i="17" s="1"/>
  <c r="S2" i="14" a="1"/>
  <c r="S2" i="14" s="1"/>
  <c r="S3" i="14" a="1"/>
  <c r="S3" i="14" s="1"/>
  <c r="S4" i="14" a="1"/>
  <c r="S4" i="14" s="1"/>
  <c r="S5" i="14" a="1"/>
  <c r="S5" i="14" s="1"/>
  <c r="S6" i="14" a="1"/>
  <c r="S6" i="14" s="1"/>
  <c r="S7" i="14" a="1"/>
  <c r="S7" i="14" s="1"/>
  <c r="S8" i="14" a="1"/>
  <c r="S8" i="14" s="1"/>
  <c r="S9" i="14" a="1"/>
  <c r="S9" i="14" s="1"/>
  <c r="S10" i="14" a="1"/>
  <c r="S10" i="14" s="1"/>
  <c r="S11" i="14" a="1"/>
  <c r="S11" i="14" s="1"/>
  <c r="S12" i="14" a="1"/>
  <c r="S12" i="14" s="1"/>
  <c r="S13" i="14" a="1"/>
  <c r="S13" i="14" s="1"/>
  <c r="S14" i="14" a="1"/>
  <c r="S14" i="14" s="1"/>
  <c r="S15" i="14" a="1"/>
  <c r="S15" i="14" s="1"/>
  <c r="S16" i="14" a="1"/>
  <c r="S16" i="14" s="1"/>
  <c r="S17" i="14" a="1"/>
  <c r="S17" i="14" s="1"/>
  <c r="S18" i="14" a="1"/>
  <c r="S18" i="14" s="1"/>
  <c r="S19" i="14" a="1"/>
  <c r="S19" i="14" s="1"/>
  <c r="S20" i="14" a="1"/>
  <c r="S20" i="14" s="1"/>
  <c r="S21" i="14" a="1"/>
  <c r="S21" i="14" s="1"/>
  <c r="S22" i="14" a="1"/>
  <c r="S22" i="14" s="1"/>
  <c r="S23" i="14" a="1"/>
  <c r="S23" i="14" s="1"/>
  <c r="S24" i="14" a="1"/>
  <c r="S24" i="14" s="1"/>
  <c r="S25" i="14" a="1"/>
  <c r="S25" i="14" s="1"/>
  <c r="S26" i="14" a="1"/>
  <c r="S26" i="14" s="1"/>
  <c r="S27" i="14" a="1"/>
  <c r="S27" i="14" s="1"/>
  <c r="S28" i="14" a="1"/>
  <c r="S28" i="14" s="1"/>
  <c r="S29" i="14" a="1"/>
  <c r="S29" i="14" s="1"/>
  <c r="S30" i="14" a="1"/>
  <c r="S30" i="14" s="1"/>
  <c r="S31" i="14" a="1"/>
  <c r="S31" i="14" s="1"/>
  <c r="S32" i="14" a="1"/>
  <c r="S32" i="14" s="1"/>
  <c r="S33" i="14" a="1"/>
  <c r="S33" i="14" s="1"/>
  <c r="S34" i="14" a="1"/>
  <c r="S34" i="14" s="1"/>
  <c r="S35" i="14" a="1"/>
  <c r="S35" i="14" s="1"/>
  <c r="S36" i="14" a="1"/>
  <c r="S36" i="14" s="1"/>
  <c r="S37" i="14" a="1"/>
  <c r="S37" i="14" s="1"/>
  <c r="S38" i="14" a="1"/>
  <c r="S38" i="14" s="1"/>
  <c r="S39" i="14" a="1"/>
  <c r="S39" i="14" s="1"/>
  <c r="S40" i="14" a="1"/>
  <c r="S40" i="14" s="1"/>
  <c r="S41" i="14" a="1"/>
  <c r="S41" i="14" s="1"/>
  <c r="S42" i="14" a="1"/>
  <c r="S42" i="14" s="1"/>
  <c r="S43" i="14" a="1"/>
  <c r="S43" i="14" s="1"/>
  <c r="S44" i="14" a="1"/>
  <c r="S44" i="14" s="1"/>
  <c r="S45" i="14" a="1"/>
  <c r="S45" i="14" s="1"/>
  <c r="S46" i="14" a="1"/>
  <c r="S46" i="14" s="1"/>
  <c r="S47" i="14" a="1"/>
  <c r="S47" i="14" s="1"/>
  <c r="S48" i="14" a="1"/>
  <c r="S48" i="14" s="1"/>
  <c r="S49" i="14" a="1"/>
  <c r="S49" i="14" s="1"/>
  <c r="S50" i="14" a="1"/>
  <c r="S50" i="14" s="1"/>
  <c r="S51" i="14" a="1"/>
  <c r="S51" i="14" s="1"/>
  <c r="S52" i="14" a="1"/>
  <c r="S52" i="14" s="1"/>
  <c r="S53" i="14" a="1"/>
  <c r="S53" i="14" s="1"/>
  <c r="S54" i="14" a="1"/>
  <c r="S54" i="14" s="1"/>
  <c r="S55" i="14" a="1"/>
  <c r="S55" i="14" s="1"/>
  <c r="S56" i="14" a="1"/>
  <c r="S56" i="14" s="1"/>
  <c r="S57" i="14" a="1"/>
  <c r="S57" i="14" s="1"/>
  <c r="S58" i="14" a="1"/>
  <c r="S58" i="14" s="1"/>
  <c r="S59" i="14" a="1"/>
  <c r="S59" i="14" s="1"/>
  <c r="S60" i="14" a="1"/>
  <c r="S60" i="14" s="1"/>
  <c r="S61" i="14" a="1"/>
  <c r="S61" i="14" s="1"/>
  <c r="S62" i="14" a="1"/>
  <c r="S62" i="14" s="1"/>
  <c r="S63" i="14" a="1"/>
  <c r="S63" i="14" s="1"/>
  <c r="S64" i="14" a="1"/>
  <c r="S64" i="14" s="1"/>
  <c r="S65" i="14" a="1"/>
  <c r="S65" i="14" s="1"/>
  <c r="S66" i="14" a="1"/>
  <c r="S66" i="14" s="1"/>
  <c r="S67" i="14" a="1"/>
  <c r="S67" i="14" s="1"/>
  <c r="S68" i="14" a="1"/>
  <c r="S68" i="14" s="1"/>
  <c r="S69" i="14" a="1"/>
  <c r="S69" i="14" s="1"/>
  <c r="S70" i="14" a="1"/>
  <c r="S70" i="14" s="1"/>
  <c r="S71" i="14" a="1"/>
  <c r="S71" i="14" s="1"/>
  <c r="S72" i="14" a="1"/>
  <c r="S72" i="14" s="1"/>
  <c r="S73" i="14" a="1"/>
  <c r="S73" i="14" s="1"/>
  <c r="S74" i="14" a="1"/>
  <c r="S74" i="14" s="1"/>
  <c r="S75" i="14" a="1"/>
  <c r="S75" i="14" s="1"/>
  <c r="S76" i="14" a="1"/>
  <c r="S76" i="14" s="1"/>
  <c r="S77" i="14" a="1"/>
  <c r="S77" i="14" s="1"/>
  <c r="S78" i="14" a="1"/>
  <c r="S78" i="14" s="1"/>
  <c r="S79" i="14" a="1"/>
  <c r="S79" i="14" s="1"/>
  <c r="S80" i="14" a="1"/>
  <c r="S80" i="14" s="1"/>
  <c r="S81" i="14" a="1"/>
  <c r="S81" i="14" s="1"/>
  <c r="S82" i="14" a="1"/>
  <c r="S82" i="14" s="1"/>
  <c r="S83" i="14" a="1"/>
  <c r="S83" i="14" s="1"/>
  <c r="S84" i="14" a="1"/>
  <c r="S84" i="14" s="1"/>
  <c r="S85" i="14" a="1"/>
  <c r="S85" i="14" s="1"/>
  <c r="S86" i="14" a="1"/>
  <c r="S86" i="14" s="1"/>
  <c r="S87" i="14" a="1"/>
  <c r="S87" i="14" s="1"/>
  <c r="S88" i="14" a="1"/>
  <c r="S88" i="14" s="1"/>
  <c r="S89" i="14" a="1"/>
  <c r="S89" i="14" s="1"/>
  <c r="S90" i="14" a="1"/>
  <c r="S90" i="14" s="1"/>
  <c r="S91" i="14" a="1"/>
  <c r="S91" i="14" s="1"/>
  <c r="S92" i="14" a="1"/>
  <c r="S92" i="14" s="1"/>
  <c r="S93" i="14" a="1"/>
  <c r="S93" i="14" s="1"/>
  <c r="S94" i="14" a="1"/>
  <c r="S94" i="14" s="1"/>
  <c r="S95" i="14" a="1"/>
  <c r="S95" i="14" s="1"/>
  <c r="S96" i="14" a="1"/>
  <c r="S96" i="14" s="1"/>
  <c r="S97" i="14" a="1"/>
  <c r="S97" i="14" s="1"/>
  <c r="S98" i="14" a="1"/>
  <c r="S98" i="14" s="1"/>
  <c r="S99" i="14" a="1"/>
  <c r="S99" i="14" s="1"/>
  <c r="S100" i="14" a="1"/>
  <c r="S100" i="14" s="1"/>
  <c r="S101" i="14" a="1"/>
  <c r="S101" i="14" s="1"/>
  <c r="S102" i="14" a="1"/>
  <c r="S102" i="14" s="1"/>
  <c r="S103" i="14" a="1"/>
  <c r="S103" i="14" s="1"/>
  <c r="S104" i="14" a="1"/>
  <c r="S104" i="14" s="1"/>
  <c r="S105" i="14" a="1"/>
  <c r="S105" i="14" s="1"/>
  <c r="S106" i="14" a="1"/>
  <c r="S106" i="14" s="1"/>
  <c r="S107" i="14" a="1"/>
  <c r="S107" i="14" s="1"/>
  <c r="S108" i="14" a="1"/>
  <c r="S108" i="14" s="1"/>
  <c r="S109" i="14" a="1"/>
  <c r="S109" i="14" s="1"/>
  <c r="S110" i="14" a="1"/>
  <c r="S110" i="14" s="1"/>
  <c r="S111" i="14" a="1"/>
  <c r="S111" i="14" s="1"/>
  <c r="S112" i="14" a="1"/>
  <c r="S112" i="14" s="1"/>
  <c r="S113" i="14" a="1"/>
  <c r="S113" i="14" s="1"/>
  <c r="S114" i="14" a="1"/>
  <c r="S114" i="14" s="1"/>
  <c r="S115" i="14" a="1"/>
  <c r="S115" i="14" s="1"/>
  <c r="S116" i="14" a="1"/>
  <c r="S116" i="14" s="1"/>
  <c r="S117" i="14" a="1"/>
  <c r="S117" i="14" s="1"/>
  <c r="S118" i="14" a="1"/>
  <c r="S118" i="14" s="1"/>
  <c r="S119" i="14" a="1"/>
  <c r="S119" i="14" s="1"/>
  <c r="S120" i="14" a="1"/>
  <c r="S120" i="14" s="1"/>
  <c r="S121" i="14" a="1"/>
  <c r="S121" i="14" s="1"/>
  <c r="S122" i="14" a="1"/>
  <c r="S122" i="14" s="1"/>
  <c r="S123" i="14" a="1"/>
  <c r="S123" i="14" s="1"/>
  <c r="S124" i="14" a="1"/>
  <c r="S124" i="14" s="1"/>
  <c r="S125" i="14" a="1"/>
  <c r="S125" i="14" s="1"/>
  <c r="S126" i="14" a="1"/>
  <c r="S126" i="14" s="1"/>
  <c r="S127" i="14" a="1"/>
  <c r="S127" i="14" s="1"/>
  <c r="S128" i="14" a="1"/>
  <c r="S128" i="14" s="1"/>
  <c r="S129" i="14" a="1"/>
  <c r="S129" i="14" s="1"/>
  <c r="S130" i="14" a="1"/>
  <c r="S130" i="14" s="1"/>
  <c r="S131" i="14" a="1"/>
  <c r="S131" i="14" s="1"/>
  <c r="S132" i="14" a="1"/>
  <c r="S132" i="14" s="1"/>
  <c r="S133" i="14" a="1"/>
  <c r="S133" i="14" s="1"/>
  <c r="S134" i="14" a="1"/>
  <c r="S134" i="14" s="1"/>
  <c r="S135" i="14" a="1"/>
  <c r="S135" i="14" s="1"/>
  <c r="S136" i="14" a="1"/>
  <c r="S136" i="14" s="1"/>
  <c r="S137" i="14" a="1"/>
  <c r="S137" i="14" s="1"/>
  <c r="S138" i="14" a="1"/>
  <c r="S138" i="14" s="1"/>
  <c r="S139" i="14" a="1"/>
  <c r="S139" i="14" s="1"/>
  <c r="S140" i="14" a="1"/>
  <c r="S140" i="14" s="1"/>
  <c r="S141" i="14" a="1"/>
  <c r="S141" i="14" s="1"/>
  <c r="S142" i="14" a="1"/>
  <c r="S142" i="14" s="1"/>
  <c r="S143" i="14" a="1"/>
  <c r="S143" i="14" s="1"/>
  <c r="S144" i="14" a="1"/>
  <c r="S144" i="14" s="1"/>
  <c r="S145" i="14" a="1"/>
  <c r="S145" i="14" s="1"/>
  <c r="S146" i="14" a="1"/>
  <c r="S146" i="14" s="1"/>
  <c r="S147" i="14" a="1"/>
  <c r="S147" i="14" s="1"/>
  <c r="S148" i="14" a="1"/>
  <c r="S148" i="14" s="1"/>
  <c r="S149" i="14" a="1"/>
  <c r="S149" i="14" s="1"/>
  <c r="S150" i="14" a="1"/>
  <c r="S150" i="14" s="1"/>
  <c r="S151" i="14" a="1"/>
  <c r="S151" i="14" s="1"/>
  <c r="S152" i="14" a="1"/>
  <c r="S152" i="14" s="1"/>
  <c r="S153" i="14" a="1"/>
  <c r="S153" i="14" s="1"/>
  <c r="S154" i="14" a="1"/>
  <c r="S154" i="14" s="1"/>
  <c r="S155" i="14" a="1"/>
  <c r="S155" i="14" s="1"/>
  <c r="S156" i="14" a="1"/>
  <c r="S156" i="14" s="1"/>
  <c r="S157" i="14" a="1"/>
  <c r="S157" i="14" s="1"/>
  <c r="S158" i="14" a="1"/>
  <c r="S158" i="14" s="1"/>
  <c r="S159" i="14" a="1"/>
  <c r="S159" i="14" s="1"/>
  <c r="S160" i="14" a="1"/>
  <c r="S160" i="14" s="1"/>
  <c r="S161" i="14" a="1"/>
  <c r="S161" i="14" s="1"/>
  <c r="S162" i="14" a="1"/>
  <c r="S162" i="14" s="1"/>
  <c r="S163" i="14" a="1"/>
  <c r="S163" i="14" s="1"/>
  <c r="S164" i="14" a="1"/>
  <c r="S164" i="14" s="1"/>
  <c r="S165" i="14" a="1"/>
  <c r="S165" i="14" s="1"/>
  <c r="S166" i="14" a="1"/>
  <c r="S166" i="14" s="1"/>
  <c r="S167" i="14" a="1"/>
  <c r="S167" i="14" s="1"/>
  <c r="S168" i="14" a="1"/>
  <c r="S168" i="14" s="1"/>
  <c r="S169" i="14" a="1"/>
  <c r="S169" i="14" s="1"/>
  <c r="S170" i="14" a="1"/>
  <c r="S170" i="14" s="1"/>
  <c r="S171" i="14" a="1"/>
  <c r="S171" i="14" s="1"/>
  <c r="S172" i="14" a="1"/>
  <c r="S172" i="14" s="1"/>
  <c r="S173" i="14" a="1"/>
  <c r="S173" i="14" s="1"/>
  <c r="S174" i="14" a="1"/>
  <c r="S174" i="14" s="1"/>
  <c r="S175" i="14" a="1"/>
  <c r="S175" i="14" s="1"/>
  <c r="S176" i="14" a="1"/>
  <c r="S176" i="14" s="1"/>
  <c r="S177" i="14" a="1"/>
  <c r="S177" i="14" s="1"/>
  <c r="S178" i="14" a="1"/>
  <c r="S178" i="14" s="1"/>
  <c r="S179" i="14" a="1"/>
  <c r="S179" i="14" s="1"/>
  <c r="S180" i="14" a="1"/>
  <c r="S180" i="14" s="1"/>
  <c r="S181" i="14" a="1"/>
  <c r="S181" i="14" s="1"/>
  <c r="S182" i="14" a="1"/>
  <c r="S182" i="14" s="1"/>
  <c r="S183" i="14" a="1"/>
  <c r="S183" i="14" s="1"/>
  <c r="S184" i="14" a="1"/>
  <c r="S184" i="14" s="1"/>
  <c r="S185" i="14" a="1"/>
  <c r="S185" i="14" s="1"/>
  <c r="S186" i="14" a="1"/>
  <c r="S186" i="14" s="1"/>
  <c r="S187" i="14" a="1"/>
  <c r="S187" i="14" s="1"/>
  <c r="S188" i="14" a="1"/>
  <c r="S188" i="14" s="1"/>
  <c r="S189" i="14" a="1"/>
  <c r="S189" i="14" s="1"/>
  <c r="S190" i="14" a="1"/>
  <c r="S190" i="14" s="1"/>
  <c r="S191" i="14" a="1"/>
  <c r="S191" i="14" s="1"/>
  <c r="S192" i="14" a="1"/>
  <c r="S192" i="14" s="1"/>
  <c r="S193" i="14" a="1"/>
  <c r="S193" i="14" s="1"/>
  <c r="S194" i="14" a="1"/>
  <c r="S194" i="14" s="1"/>
  <c r="S195" i="14" a="1"/>
  <c r="S195" i="14" s="1"/>
  <c r="S196" i="14" a="1"/>
  <c r="S196" i="14" s="1"/>
  <c r="S197" i="14" a="1"/>
  <c r="S197" i="14" s="1"/>
  <c r="S198" i="14" a="1"/>
  <c r="S198" i="14" s="1"/>
  <c r="S199" i="14" a="1"/>
  <c r="S199" i="14" s="1"/>
  <c r="S200" i="14" a="1"/>
  <c r="S200" i="14" s="1"/>
  <c r="S201" i="14" a="1"/>
  <c r="S201" i="14" s="1"/>
  <c r="S202" i="14" a="1"/>
  <c r="S202" i="14" s="1"/>
  <c r="S203" i="14" a="1"/>
  <c r="S203" i="14" s="1"/>
  <c r="S204" i="14" a="1"/>
  <c r="S204" i="14" s="1"/>
  <c r="S205" i="14" a="1"/>
  <c r="S205" i="14" s="1"/>
  <c r="S206" i="14" a="1"/>
  <c r="S206" i="14" s="1"/>
  <c r="S207" i="14" a="1"/>
  <c r="S207" i="14" s="1"/>
  <c r="S208" i="14" a="1"/>
  <c r="S208" i="14" s="1"/>
  <c r="S209" i="14" a="1"/>
  <c r="S209" i="14" s="1"/>
  <c r="S210" i="14" a="1"/>
  <c r="S210" i="14" s="1"/>
  <c r="S211" i="14" a="1"/>
  <c r="S211" i="14" s="1"/>
  <c r="S212" i="14" a="1"/>
  <c r="S212" i="14" s="1"/>
  <c r="S213" i="14" a="1"/>
  <c r="S213" i="14" s="1"/>
  <c r="S214" i="14" a="1"/>
  <c r="S214" i="14" s="1"/>
  <c r="S215" i="14" a="1"/>
  <c r="S215" i="14" s="1"/>
  <c r="S216" i="14" a="1"/>
  <c r="S216" i="14" s="1"/>
  <c r="S217" i="14" a="1"/>
  <c r="S217" i="14" s="1"/>
  <c r="S218" i="14" a="1"/>
  <c r="S218" i="14" s="1"/>
  <c r="S219" i="14" a="1"/>
  <c r="S219" i="14" s="1"/>
  <c r="S220" i="14" a="1"/>
  <c r="S220" i="14" s="1"/>
  <c r="S221" i="14" a="1"/>
  <c r="S221" i="14" s="1"/>
  <c r="S222" i="14" a="1"/>
  <c r="S222" i="14" s="1"/>
  <c r="S223" i="14" a="1"/>
  <c r="S223" i="14" s="1"/>
  <c r="S2" i="15" a="1"/>
  <c r="S2" i="15" s="1"/>
  <c r="S3" i="15" a="1"/>
  <c r="S3" i="15" s="1"/>
  <c r="S4" i="15" a="1"/>
  <c r="S4" i="15" s="1"/>
  <c r="S5" i="15" a="1"/>
  <c r="S5" i="15" s="1"/>
  <c r="S6" i="15" a="1"/>
  <c r="S6" i="15" s="1"/>
  <c r="S7" i="15" a="1"/>
  <c r="S7" i="15" s="1"/>
  <c r="S8" i="15" a="1"/>
  <c r="S8" i="15" s="1"/>
  <c r="S9" i="15" a="1"/>
  <c r="S9" i="15" s="1"/>
  <c r="S10" i="15" a="1"/>
  <c r="S10" i="15" s="1"/>
  <c r="S11" i="15" a="1"/>
  <c r="S11" i="15" s="1"/>
  <c r="S12" i="15" a="1"/>
  <c r="S12" i="15" s="1"/>
  <c r="S13" i="15" a="1"/>
  <c r="S13" i="15" s="1"/>
  <c r="S14" i="15" a="1"/>
  <c r="S14" i="15" s="1"/>
  <c r="S15" i="15" a="1"/>
  <c r="S15" i="15" s="1"/>
  <c r="S16" i="15" a="1"/>
  <c r="S16" i="15" s="1"/>
  <c r="S17" i="15" a="1"/>
  <c r="S17" i="15" s="1"/>
  <c r="S18" i="15" a="1"/>
  <c r="S18" i="15" s="1"/>
  <c r="S19" i="15" a="1"/>
  <c r="S19" i="15" s="1"/>
  <c r="S20" i="15" a="1"/>
  <c r="S20" i="15" s="1"/>
  <c r="S21" i="15" a="1"/>
  <c r="S21" i="15" s="1"/>
  <c r="S22" i="15" a="1"/>
  <c r="S22" i="15" s="1"/>
  <c r="S23" i="15" a="1"/>
  <c r="S23" i="15" s="1"/>
  <c r="S24" i="15" a="1"/>
  <c r="S24" i="15" s="1"/>
  <c r="S25" i="15" a="1"/>
  <c r="S25" i="15" s="1"/>
  <c r="S26" i="15" a="1"/>
  <c r="S26" i="15" s="1"/>
  <c r="S27" i="15" a="1"/>
  <c r="S27" i="15" s="1"/>
  <c r="S28" i="15" a="1"/>
  <c r="S28" i="15" s="1"/>
  <c r="S29" i="15" a="1"/>
  <c r="S29" i="15" s="1"/>
  <c r="S30" i="15" a="1"/>
  <c r="S30" i="15" s="1"/>
  <c r="S31" i="15" a="1"/>
  <c r="S31" i="15" s="1"/>
  <c r="S32" i="15" a="1"/>
  <c r="S32" i="15" s="1"/>
  <c r="S33" i="15" a="1"/>
  <c r="S33" i="15" s="1"/>
  <c r="S34" i="15" a="1"/>
  <c r="S34" i="15" s="1"/>
  <c r="S35" i="15" a="1"/>
  <c r="S35" i="15" s="1"/>
  <c r="S36" i="15" a="1"/>
  <c r="S36" i="15" s="1"/>
  <c r="S37" i="15" a="1"/>
  <c r="S37" i="15" s="1"/>
  <c r="S38" i="15" a="1"/>
  <c r="S38" i="15" s="1"/>
  <c r="S39" i="15" a="1"/>
  <c r="S39" i="15" s="1"/>
  <c r="S40" i="15" a="1"/>
  <c r="S40" i="15" s="1"/>
  <c r="S41" i="15" a="1"/>
  <c r="S41" i="15" s="1"/>
  <c r="S42" i="15" a="1"/>
  <c r="S42" i="15" s="1"/>
  <c r="S43" i="15" a="1"/>
  <c r="S43" i="15" s="1"/>
  <c r="S44" i="15" a="1"/>
  <c r="S44" i="15" s="1"/>
  <c r="S45" i="15" a="1"/>
  <c r="S45" i="15" s="1"/>
  <c r="S46" i="15" a="1"/>
  <c r="S46" i="15" s="1"/>
  <c r="S47" i="15" a="1"/>
  <c r="S47" i="15" s="1"/>
  <c r="S48" i="15" a="1"/>
  <c r="S48" i="15" s="1"/>
  <c r="S49" i="15" a="1"/>
  <c r="S49" i="15" s="1"/>
  <c r="S50" i="15" a="1"/>
  <c r="S50" i="15" s="1"/>
  <c r="S51" i="15" a="1"/>
  <c r="S51" i="15" s="1"/>
  <c r="S52" i="15" a="1"/>
  <c r="S52" i="15" s="1"/>
  <c r="S53" i="15" a="1"/>
  <c r="S53" i="15" s="1"/>
  <c r="S54" i="15" a="1"/>
  <c r="S54" i="15" s="1"/>
  <c r="S55" i="15" a="1"/>
  <c r="S55" i="15" s="1"/>
  <c r="S56" i="15" a="1"/>
  <c r="S56" i="15" s="1"/>
  <c r="S57" i="15" a="1"/>
  <c r="S57" i="15" s="1"/>
  <c r="S58" i="15" a="1"/>
  <c r="S58" i="15" s="1"/>
  <c r="S59" i="15" a="1"/>
  <c r="S59" i="15" s="1"/>
  <c r="S60" i="15" a="1"/>
  <c r="S60" i="15" s="1"/>
  <c r="S61" i="15" a="1"/>
  <c r="S61" i="15" s="1"/>
  <c r="S62" i="15" a="1"/>
  <c r="S62" i="15" s="1"/>
  <c r="S63" i="15" a="1"/>
  <c r="S63" i="15" s="1"/>
  <c r="S64" i="15" a="1"/>
  <c r="S64" i="15" s="1"/>
  <c r="S65" i="15" a="1"/>
  <c r="S65" i="15" s="1"/>
  <c r="S66" i="15" a="1"/>
  <c r="S66" i="15" s="1"/>
  <c r="S67" i="15" a="1"/>
  <c r="S67" i="15" s="1"/>
  <c r="S68" i="15" a="1"/>
  <c r="S68" i="15" s="1"/>
  <c r="S69" i="15" a="1"/>
  <c r="S69" i="15" s="1"/>
  <c r="S70" i="15" a="1"/>
  <c r="S70" i="15" s="1"/>
  <c r="S71" i="15" a="1"/>
  <c r="S71" i="15" s="1"/>
  <c r="S72" i="15" a="1"/>
  <c r="S72" i="15" s="1"/>
  <c r="S73" i="15" a="1"/>
  <c r="S73" i="15" s="1"/>
  <c r="S74" i="15" a="1"/>
  <c r="S74" i="15" s="1"/>
  <c r="S75" i="15" a="1"/>
  <c r="S75" i="15" s="1"/>
  <c r="S76" i="15" a="1"/>
  <c r="S76" i="15" s="1"/>
  <c r="S77" i="15" a="1"/>
  <c r="S77" i="15" s="1"/>
  <c r="S78" i="15" a="1"/>
  <c r="S78" i="15" s="1"/>
  <c r="S79" i="15" a="1"/>
  <c r="S79" i="15" s="1"/>
  <c r="S80" i="15" a="1"/>
  <c r="S80" i="15" s="1"/>
  <c r="S81" i="15" a="1"/>
  <c r="S81" i="15" s="1"/>
  <c r="S82" i="15" a="1"/>
  <c r="S82" i="15" s="1"/>
  <c r="S83" i="15" a="1"/>
  <c r="S83" i="15" s="1"/>
  <c r="S84" i="15" a="1"/>
  <c r="S84" i="15" s="1"/>
  <c r="S85" i="15" a="1"/>
  <c r="S85" i="15" s="1"/>
  <c r="S86" i="15" a="1"/>
  <c r="S86" i="15" s="1"/>
  <c r="S87" i="15" a="1"/>
  <c r="S87" i="15" s="1"/>
  <c r="S88" i="15" a="1"/>
  <c r="S88" i="15" s="1"/>
  <c r="S89" i="15" a="1"/>
  <c r="S89" i="15" s="1"/>
  <c r="S90" i="15" a="1"/>
  <c r="S90" i="15" s="1"/>
  <c r="S91" i="15" a="1"/>
  <c r="S91" i="15" s="1"/>
  <c r="S92" i="15" a="1"/>
  <c r="S92" i="15" s="1"/>
  <c r="S93" i="15" a="1"/>
  <c r="S93" i="15" s="1"/>
  <c r="S94" i="15" a="1"/>
  <c r="S94" i="15" s="1"/>
  <c r="S95" i="15" a="1"/>
  <c r="S95" i="15" s="1"/>
  <c r="S96" i="15" a="1"/>
  <c r="S96" i="15" s="1"/>
  <c r="S97" i="15" a="1"/>
  <c r="S97" i="15" s="1"/>
  <c r="S98" i="15" a="1"/>
  <c r="S98" i="15" s="1"/>
  <c r="S99" i="15" a="1"/>
  <c r="S99" i="15" s="1"/>
  <c r="S100" i="15" a="1"/>
  <c r="S100" i="15" s="1"/>
  <c r="S101" i="15" a="1"/>
  <c r="S101" i="15" s="1"/>
  <c r="S102" i="15" a="1"/>
  <c r="S102" i="15" s="1"/>
  <c r="S103" i="15" a="1"/>
  <c r="S103" i="15" s="1"/>
  <c r="S104" i="15" a="1"/>
  <c r="S104" i="15" s="1"/>
  <c r="S105" i="15" a="1"/>
  <c r="S105" i="15" s="1"/>
  <c r="S106" i="15" a="1"/>
  <c r="S106" i="15" s="1"/>
  <c r="S107" i="15" a="1"/>
  <c r="S107" i="15" s="1"/>
  <c r="S108" i="15" a="1"/>
  <c r="S108" i="15" s="1"/>
  <c r="S109" i="15" a="1"/>
  <c r="S109" i="15" s="1"/>
  <c r="S110" i="15" a="1"/>
  <c r="S110" i="15" s="1"/>
  <c r="S111" i="15" a="1"/>
  <c r="S111" i="15" s="1"/>
  <c r="S112" i="15" a="1"/>
  <c r="S112" i="15" s="1"/>
  <c r="S113" i="15" a="1"/>
  <c r="S113" i="15" s="1"/>
  <c r="S114" i="15" a="1"/>
  <c r="S114" i="15" s="1"/>
  <c r="S115" i="15" a="1"/>
  <c r="S115" i="15" s="1"/>
  <c r="S116" i="15" a="1"/>
  <c r="S116" i="15" s="1"/>
  <c r="S117" i="15" a="1"/>
  <c r="S117" i="15" s="1"/>
  <c r="S118" i="15" a="1"/>
  <c r="S118" i="15" s="1"/>
  <c r="S119" i="15" a="1"/>
  <c r="S119" i="15" s="1"/>
  <c r="S120" i="15" a="1"/>
  <c r="S120" i="15" s="1"/>
  <c r="S121" i="15" a="1"/>
  <c r="S121" i="15" s="1"/>
  <c r="S122" i="15" a="1"/>
  <c r="S122" i="15" s="1"/>
  <c r="S123" i="15" a="1"/>
  <c r="S123" i="15" s="1"/>
  <c r="S124" i="15" a="1"/>
  <c r="S124" i="15" s="1"/>
  <c r="S125" i="15" a="1"/>
  <c r="S125" i="15" s="1"/>
  <c r="S126" i="15" a="1"/>
  <c r="S126" i="15" s="1"/>
  <c r="S127" i="15" a="1"/>
  <c r="S127" i="15" s="1"/>
  <c r="S128" i="15" a="1"/>
  <c r="S128" i="15" s="1"/>
  <c r="S129" i="15" a="1"/>
  <c r="S129" i="15" s="1"/>
  <c r="S130" i="15" a="1"/>
  <c r="S130" i="15" s="1"/>
  <c r="S131" i="15" a="1"/>
  <c r="S131" i="15" s="1"/>
  <c r="S132" i="15" a="1"/>
  <c r="S132" i="15" s="1"/>
  <c r="S133" i="15" a="1"/>
  <c r="S133" i="15" s="1"/>
  <c r="S134" i="15" a="1"/>
  <c r="S134" i="15" s="1"/>
  <c r="S135" i="15" a="1"/>
  <c r="S135" i="15" s="1"/>
  <c r="S136" i="15" a="1"/>
  <c r="S136" i="15" s="1"/>
  <c r="S137" i="15" a="1"/>
  <c r="S137" i="15" s="1"/>
  <c r="S138" i="15" a="1"/>
  <c r="S138" i="15" s="1"/>
  <c r="S139" i="15" a="1"/>
  <c r="S139" i="15" s="1"/>
  <c r="S140" i="15" a="1"/>
  <c r="S140" i="15" s="1"/>
  <c r="S141" i="15" a="1"/>
  <c r="S141" i="15" s="1"/>
  <c r="S142" i="15" a="1"/>
  <c r="S142" i="15" s="1"/>
  <c r="S143" i="15" a="1"/>
  <c r="S143" i="15" s="1"/>
  <c r="S144" i="15" a="1"/>
  <c r="S144" i="15" s="1"/>
  <c r="S145" i="15" a="1"/>
  <c r="S145" i="15" s="1"/>
  <c r="S146" i="15" a="1"/>
  <c r="S146" i="15" s="1"/>
  <c r="S147" i="15" a="1"/>
  <c r="S147" i="15" s="1"/>
  <c r="S148" i="15" a="1"/>
  <c r="S148" i="15" s="1"/>
  <c r="S149" i="15" a="1"/>
  <c r="S149" i="15" s="1"/>
  <c r="S150" i="15" a="1"/>
  <c r="S150" i="15" s="1"/>
  <c r="S151" i="15" a="1"/>
  <c r="S151" i="15" s="1"/>
  <c r="S152" i="15" a="1"/>
  <c r="S152" i="15" s="1"/>
  <c r="S153" i="15" a="1"/>
  <c r="S153" i="15" s="1"/>
  <c r="S154" i="15" a="1"/>
  <c r="S154" i="15" s="1"/>
  <c r="S155" i="15" a="1"/>
  <c r="S155" i="15" s="1"/>
  <c r="S156" i="15" a="1"/>
  <c r="S156" i="15" s="1"/>
  <c r="S157" i="15" a="1"/>
  <c r="S157" i="15" s="1"/>
  <c r="S158" i="15" a="1"/>
  <c r="S158" i="15" s="1"/>
  <c r="S159" i="15" a="1"/>
  <c r="S159" i="15" s="1"/>
  <c r="S160" i="15" a="1"/>
  <c r="S160" i="15" s="1"/>
  <c r="S161" i="15" a="1"/>
  <c r="S161" i="15" s="1"/>
  <c r="S162" i="15" a="1"/>
  <c r="S162" i="15" s="1"/>
  <c r="S163" i="15" a="1"/>
  <c r="S163" i="15" s="1"/>
  <c r="S164" i="15" a="1"/>
  <c r="S164" i="15" s="1"/>
  <c r="S165" i="15" a="1"/>
  <c r="S165" i="15" s="1"/>
  <c r="S166" i="15" a="1"/>
  <c r="S166" i="15" s="1"/>
  <c r="S167" i="15" a="1"/>
  <c r="S167" i="15" s="1"/>
  <c r="S168" i="15" a="1"/>
  <c r="S168" i="15" s="1"/>
  <c r="S169" i="15" a="1"/>
  <c r="S169" i="15" s="1"/>
  <c r="S170" i="15" a="1"/>
  <c r="S170" i="15" s="1"/>
  <c r="S171" i="15" a="1"/>
  <c r="S171" i="15" s="1"/>
  <c r="S172" i="15" a="1"/>
  <c r="S172" i="15" s="1"/>
  <c r="S173" i="15" a="1"/>
  <c r="S173" i="15" s="1"/>
  <c r="S174" i="15" a="1"/>
  <c r="S174" i="15" s="1"/>
  <c r="S175" i="15" a="1"/>
  <c r="S175" i="15" s="1"/>
  <c r="S176" i="15" a="1"/>
  <c r="S176" i="15" s="1"/>
  <c r="S177" i="15" a="1"/>
  <c r="S177" i="15" s="1"/>
  <c r="S178" i="15" a="1"/>
  <c r="S178" i="15" s="1"/>
  <c r="S179" i="15" a="1"/>
  <c r="S179" i="15" s="1"/>
  <c r="S180" i="15" a="1"/>
  <c r="S180" i="15" s="1"/>
  <c r="S181" i="15" a="1"/>
  <c r="S181" i="15" s="1"/>
  <c r="S182" i="15" a="1"/>
  <c r="S182" i="15" s="1"/>
  <c r="S183" i="15" a="1"/>
  <c r="S183" i="15" s="1"/>
  <c r="S184" i="15" a="1"/>
  <c r="S184" i="15" s="1"/>
  <c r="S185" i="15" a="1"/>
  <c r="S185" i="15" s="1"/>
  <c r="S186" i="15" a="1"/>
  <c r="S186" i="15" s="1"/>
  <c r="S187" i="15" a="1"/>
  <c r="S187" i="15" s="1"/>
  <c r="S188" i="15" a="1"/>
  <c r="S188" i="15" s="1"/>
  <c r="S189" i="15" a="1"/>
  <c r="S189" i="15" s="1"/>
  <c r="S190" i="15" a="1"/>
  <c r="S190" i="15" s="1"/>
  <c r="S191" i="15" a="1"/>
  <c r="S191" i="15" s="1"/>
  <c r="S192" i="15" a="1"/>
  <c r="S192" i="15" s="1"/>
  <c r="S193" i="15" a="1"/>
  <c r="S193" i="15" s="1"/>
  <c r="S194" i="15" a="1"/>
  <c r="S194" i="15" s="1"/>
  <c r="S195" i="15" a="1"/>
  <c r="S195" i="15" s="1"/>
  <c r="S196" i="15" a="1"/>
  <c r="S196" i="15" s="1"/>
  <c r="S197" i="15" a="1"/>
  <c r="S197" i="15" s="1"/>
  <c r="S198" i="15" a="1"/>
  <c r="S198" i="15" s="1"/>
  <c r="S199" i="15" a="1"/>
  <c r="S199" i="15" s="1"/>
  <c r="S200" i="15" a="1"/>
  <c r="S200" i="15" s="1"/>
  <c r="S201" i="15" a="1"/>
  <c r="S201" i="15" s="1"/>
  <c r="S202" i="15" a="1"/>
  <c r="S202" i="15" s="1"/>
  <c r="S203" i="15" a="1"/>
  <c r="S203" i="15" s="1"/>
  <c r="S204" i="15" a="1"/>
  <c r="S204" i="15" s="1"/>
  <c r="S205" i="15" a="1"/>
  <c r="S205" i="15" s="1"/>
  <c r="S206" i="15" a="1"/>
  <c r="S206" i="15" s="1"/>
  <c r="S207" i="15" a="1"/>
  <c r="S207" i="15" s="1"/>
  <c r="S208" i="15" a="1"/>
  <c r="S208" i="15" s="1"/>
  <c r="S209" i="15" a="1"/>
  <c r="S209" i="15" s="1"/>
  <c r="S210" i="15" a="1"/>
  <c r="S210" i="15" s="1"/>
  <c r="S211" i="15" a="1"/>
  <c r="S211" i="15" s="1"/>
  <c r="S212" i="15" a="1"/>
  <c r="S212" i="15" s="1"/>
  <c r="S213" i="15" a="1"/>
  <c r="S213" i="15" s="1"/>
  <c r="S214" i="15" a="1"/>
  <c r="S214" i="15" s="1"/>
  <c r="S215" i="15" a="1"/>
  <c r="S215" i="15" s="1"/>
  <c r="S216" i="15" a="1"/>
  <c r="S216" i="15" s="1"/>
  <c r="S217" i="15" a="1"/>
  <c r="S217" i="15" s="1"/>
  <c r="S218" i="15" a="1"/>
  <c r="S218" i="15" s="1"/>
  <c r="S219" i="15" a="1"/>
  <c r="S219" i="15" s="1"/>
  <c r="S220" i="15" a="1"/>
  <c r="S220" i="15" s="1"/>
  <c r="S221" i="15" a="1"/>
  <c r="S221" i="15" s="1"/>
  <c r="S222" i="15" a="1"/>
  <c r="S222" i="15" s="1"/>
  <c r="S223" i="15" a="1"/>
  <c r="S223" i="15" s="1"/>
  <c r="S224" i="15" a="1"/>
  <c r="S224" i="15" s="1"/>
  <c r="S225" i="15" a="1"/>
  <c r="S225" i="15" s="1"/>
  <c r="S226" i="15" a="1"/>
  <c r="S226" i="15" s="1"/>
  <c r="S227" i="15" a="1"/>
  <c r="S227" i="15" s="1"/>
  <c r="S228" i="15" a="1"/>
  <c r="S228" i="15" s="1"/>
  <c r="S229" i="15" a="1"/>
  <c r="S229" i="15" s="1"/>
  <c r="S230" i="15" a="1"/>
  <c r="S230" i="15" s="1"/>
  <c r="S231" i="15" a="1"/>
  <c r="S231" i="15" s="1"/>
  <c r="S232" i="15" a="1"/>
  <c r="S232" i="15" s="1"/>
  <c r="S233" i="15" a="1"/>
  <c r="S233" i="15" s="1"/>
  <c r="S234" i="15" a="1"/>
  <c r="S234" i="15" s="1"/>
  <c r="S235" i="15" a="1"/>
  <c r="S235" i="15" s="1"/>
  <c r="S236" i="15" a="1"/>
  <c r="S236" i="15" s="1"/>
  <c r="S237" i="15" a="1"/>
  <c r="S237" i="15" s="1"/>
  <c r="S238" i="15" a="1"/>
  <c r="S238" i="15" s="1"/>
  <c r="S239" i="15" a="1"/>
  <c r="S239" i="15" s="1"/>
  <c r="S240" i="15" a="1"/>
  <c r="S240" i="15" s="1"/>
  <c r="S241" i="15" a="1"/>
  <c r="S241" i="15" s="1"/>
  <c r="S242" i="15" a="1"/>
  <c r="S242" i="15" s="1"/>
  <c r="S243" i="15" a="1"/>
  <c r="S243" i="15" s="1"/>
  <c r="S244" i="15" a="1"/>
  <c r="S244" i="15" s="1"/>
  <c r="S245" i="15" a="1"/>
  <c r="S245" i="15" s="1"/>
  <c r="S246" i="15" a="1"/>
  <c r="S246" i="15" s="1"/>
  <c r="S247" i="15" a="1"/>
  <c r="S247" i="15" s="1"/>
  <c r="S248" i="15" a="1"/>
  <c r="S248" i="15" s="1"/>
  <c r="S249" i="15" a="1"/>
  <c r="S249" i="15" s="1"/>
  <c r="S250" i="15" a="1"/>
  <c r="S250" i="15" s="1"/>
  <c r="S251" i="15" a="1"/>
  <c r="S251" i="15" s="1"/>
  <c r="S252" i="15" a="1"/>
  <c r="S252" i="15" s="1"/>
  <c r="S253" i="15" a="1"/>
  <c r="S253" i="15" s="1"/>
  <c r="S254" i="15" a="1"/>
  <c r="S254" i="15" s="1"/>
  <c r="S255" i="15" a="1"/>
  <c r="S255" i="15" s="1"/>
  <c r="S256" i="15" a="1"/>
  <c r="S256" i="15" s="1"/>
  <c r="S257" i="15" a="1"/>
  <c r="S257" i="15" s="1"/>
  <c r="S2" i="16" a="1"/>
  <c r="S2" i="16" s="1"/>
  <c r="S3" i="16" a="1"/>
  <c r="S3" i="16" s="1"/>
  <c r="S4" i="16" a="1"/>
  <c r="S4" i="16" s="1"/>
  <c r="S5" i="16" a="1"/>
  <c r="S5" i="16" s="1"/>
  <c r="S6" i="16" a="1"/>
  <c r="S6" i="16" s="1"/>
  <c r="S7" i="16" a="1"/>
  <c r="S7" i="16" s="1"/>
  <c r="S8" i="16" a="1"/>
  <c r="S8" i="16" s="1"/>
  <c r="S9" i="16" a="1"/>
  <c r="S9" i="16" s="1"/>
  <c r="S10" i="16" a="1"/>
  <c r="S10" i="16" s="1"/>
  <c r="S11" i="16" a="1"/>
  <c r="S11" i="16" s="1"/>
  <c r="S12" i="16" a="1"/>
  <c r="S12" i="16" s="1"/>
  <c r="S13" i="16" a="1"/>
  <c r="S13" i="16" s="1"/>
  <c r="S14" i="16" a="1"/>
  <c r="S14" i="16" s="1"/>
  <c r="S15" i="16" a="1"/>
  <c r="S15" i="16" s="1"/>
  <c r="S16" i="16" a="1"/>
  <c r="S16" i="16" s="1"/>
  <c r="S17" i="16" a="1"/>
  <c r="S17" i="16" s="1"/>
  <c r="S18" i="16" a="1"/>
  <c r="S18" i="16" s="1"/>
  <c r="S19" i="16" a="1"/>
  <c r="S19" i="16" s="1"/>
  <c r="S20" i="16" a="1"/>
  <c r="S20" i="16" s="1"/>
  <c r="S21" i="16" a="1"/>
  <c r="S21" i="16" s="1"/>
  <c r="S22" i="16" a="1"/>
  <c r="S22" i="16" s="1"/>
  <c r="S23" i="16" a="1"/>
  <c r="S23" i="16" s="1"/>
  <c r="S24" i="16" a="1"/>
  <c r="S24" i="16" s="1"/>
  <c r="S25" i="16" a="1"/>
  <c r="S25" i="16" s="1"/>
  <c r="S26" i="16" a="1"/>
  <c r="S26" i="16" s="1"/>
  <c r="S27" i="16" a="1"/>
  <c r="S27" i="16" s="1"/>
  <c r="S28" i="16" a="1"/>
  <c r="S28" i="16" s="1"/>
  <c r="S29" i="16" a="1"/>
  <c r="S29" i="16" s="1"/>
  <c r="S30" i="16" a="1"/>
  <c r="S30" i="16" s="1"/>
  <c r="S31" i="16" a="1"/>
  <c r="S31" i="16" s="1"/>
  <c r="S32" i="16" a="1"/>
  <c r="S32" i="16" s="1"/>
  <c r="S33" i="16" a="1"/>
  <c r="S33" i="16" s="1"/>
  <c r="S34" i="16" a="1"/>
  <c r="S34" i="16" s="1"/>
  <c r="S35" i="16" a="1"/>
  <c r="S35" i="16" s="1"/>
  <c r="S36" i="16" a="1"/>
  <c r="S36" i="16" s="1"/>
  <c r="S37" i="16" a="1"/>
  <c r="S37" i="16" s="1"/>
  <c r="S38" i="16" a="1"/>
  <c r="S38" i="16" s="1"/>
  <c r="S39" i="16" a="1"/>
  <c r="S39" i="16" s="1"/>
  <c r="S40" i="16" a="1"/>
  <c r="S40" i="16" s="1"/>
  <c r="S41" i="16" a="1"/>
  <c r="S41" i="16" s="1"/>
  <c r="S42" i="16" a="1"/>
  <c r="S42" i="16" s="1"/>
  <c r="S43" i="16" a="1"/>
  <c r="S43" i="16" s="1"/>
  <c r="S44" i="16" a="1"/>
  <c r="S44" i="16" s="1"/>
  <c r="S45" i="16" a="1"/>
  <c r="S45" i="16" s="1"/>
  <c r="S46" i="16" a="1"/>
  <c r="S46" i="16" s="1"/>
  <c r="S47" i="16" a="1"/>
  <c r="S47" i="16" s="1"/>
  <c r="S48" i="16" a="1"/>
  <c r="S48" i="16" s="1"/>
  <c r="S49" i="16" a="1"/>
  <c r="S49" i="16" s="1"/>
  <c r="S50" i="16" a="1"/>
  <c r="S50" i="16" s="1"/>
  <c r="S51" i="16" a="1"/>
  <c r="S51" i="16" s="1"/>
  <c r="S52" i="16" a="1"/>
  <c r="S52" i="16" s="1"/>
  <c r="S53" i="16" a="1"/>
  <c r="S53" i="16" s="1"/>
  <c r="S54" i="16" a="1"/>
  <c r="S54" i="16" s="1"/>
  <c r="S55" i="16" a="1"/>
  <c r="S55" i="16" s="1"/>
  <c r="S56" i="16" a="1"/>
  <c r="S56" i="16" s="1"/>
  <c r="S57" i="16" a="1"/>
  <c r="S57" i="16" s="1"/>
  <c r="S58" i="16" a="1"/>
  <c r="S58" i="16" s="1"/>
  <c r="S59" i="16" a="1"/>
  <c r="S59" i="16" s="1"/>
  <c r="S60" i="16" a="1"/>
  <c r="S60" i="16" s="1"/>
  <c r="S61" i="16" a="1"/>
  <c r="S61" i="16" s="1"/>
  <c r="S62" i="16" a="1"/>
  <c r="S62" i="16" s="1"/>
  <c r="S63" i="16" a="1"/>
  <c r="S63" i="16" s="1"/>
  <c r="S64" i="16" a="1"/>
  <c r="S64" i="16" s="1"/>
  <c r="S65" i="16" a="1"/>
  <c r="S65" i="16" s="1"/>
  <c r="S66" i="16" a="1"/>
  <c r="S66" i="16" s="1"/>
  <c r="S67" i="16" a="1"/>
  <c r="S67" i="16" s="1"/>
  <c r="S68" i="16" a="1"/>
  <c r="S68" i="16" s="1"/>
  <c r="S69" i="16" a="1"/>
  <c r="S69" i="16" s="1"/>
  <c r="S70" i="16" a="1"/>
  <c r="S70" i="16" s="1"/>
  <c r="S71" i="16" a="1"/>
  <c r="S71" i="16" s="1"/>
  <c r="S72" i="16" a="1"/>
  <c r="S72" i="16" s="1"/>
  <c r="S73" i="16" a="1"/>
  <c r="S73" i="16" s="1"/>
  <c r="S74" i="16" a="1"/>
  <c r="S74" i="16" s="1"/>
  <c r="S75" i="16" a="1"/>
  <c r="S75" i="16" s="1"/>
  <c r="S76" i="16" a="1"/>
  <c r="S76" i="16" s="1"/>
  <c r="S77" i="16" a="1"/>
  <c r="S77" i="16" s="1"/>
  <c r="S78" i="16" a="1"/>
  <c r="S78" i="16" s="1"/>
  <c r="S79" i="16" a="1"/>
  <c r="S79" i="16" s="1"/>
  <c r="S80" i="16" a="1"/>
  <c r="S80" i="16" s="1"/>
  <c r="S81" i="16" a="1"/>
  <c r="S81" i="16" s="1"/>
  <c r="S82" i="16" a="1"/>
  <c r="S82" i="16" s="1"/>
  <c r="S83" i="16" a="1"/>
  <c r="S83" i="16" s="1"/>
  <c r="S84" i="16" a="1"/>
  <c r="S84" i="16" s="1"/>
  <c r="S85" i="16" a="1"/>
  <c r="S85" i="16" s="1"/>
  <c r="S86" i="16" a="1"/>
  <c r="S86" i="16" s="1"/>
  <c r="S87" i="16" a="1"/>
  <c r="S87" i="16" s="1"/>
  <c r="S88" i="16" a="1"/>
  <c r="S88" i="16" s="1"/>
  <c r="S89" i="16" a="1"/>
  <c r="S89" i="16" s="1"/>
  <c r="S90" i="16" a="1"/>
  <c r="S90" i="16" s="1"/>
  <c r="S91" i="16" a="1"/>
  <c r="S91" i="16" s="1"/>
  <c r="S92" i="16" a="1"/>
  <c r="S92" i="16" s="1"/>
  <c r="S93" i="16" a="1"/>
  <c r="S93" i="16" s="1"/>
  <c r="S94" i="16" a="1"/>
  <c r="S94" i="16" s="1"/>
  <c r="S95" i="16" a="1"/>
  <c r="S95" i="16" s="1"/>
  <c r="S96" i="16" a="1"/>
  <c r="S96" i="16" s="1"/>
  <c r="S97" i="16" a="1"/>
  <c r="S97" i="16" s="1"/>
  <c r="S98" i="16" a="1"/>
  <c r="S98" i="16" s="1"/>
  <c r="S99" i="16" a="1"/>
  <c r="S99" i="16" s="1"/>
  <c r="S100" i="16" a="1"/>
  <c r="S100" i="16" s="1"/>
  <c r="S101" i="16" a="1"/>
  <c r="S101" i="16" s="1"/>
  <c r="S102" i="16" a="1"/>
  <c r="S102" i="16" s="1"/>
  <c r="S103" i="16" a="1"/>
  <c r="S103" i="16" s="1"/>
  <c r="S104" i="16" a="1"/>
  <c r="S104" i="16" s="1"/>
  <c r="S105" i="16" a="1"/>
  <c r="S105" i="16" s="1"/>
  <c r="S106" i="16" a="1"/>
  <c r="S106" i="16" s="1"/>
  <c r="S107" i="16" a="1"/>
  <c r="S107" i="16" s="1"/>
  <c r="S108" i="16" a="1"/>
  <c r="S108" i="16" s="1"/>
  <c r="S109" i="16" a="1"/>
  <c r="S109" i="16" s="1"/>
  <c r="S110" i="16" a="1"/>
  <c r="S110" i="16" s="1"/>
  <c r="S111" i="16" a="1"/>
  <c r="S111" i="16" s="1"/>
  <c r="S112" i="16" a="1"/>
  <c r="S112" i="16" s="1"/>
  <c r="S113" i="16" a="1"/>
  <c r="S113" i="16" s="1"/>
  <c r="S114" i="16" a="1"/>
  <c r="S114" i="16" s="1"/>
  <c r="S115" i="16" a="1"/>
  <c r="S115" i="16" s="1"/>
  <c r="S116" i="16" a="1"/>
  <c r="S116" i="16" s="1"/>
  <c r="S117" i="16" a="1"/>
  <c r="S117" i="16" s="1"/>
  <c r="S118" i="16" a="1"/>
  <c r="S118" i="16" s="1"/>
  <c r="S119" i="16" a="1"/>
  <c r="S119" i="16" s="1"/>
  <c r="S120" i="16" a="1"/>
  <c r="S120" i="16" s="1"/>
  <c r="S121" i="16" a="1"/>
  <c r="S121" i="16" s="1"/>
  <c r="S122" i="16" a="1"/>
  <c r="S122" i="16" s="1"/>
  <c r="S123" i="16" a="1"/>
  <c r="S123" i="16" s="1"/>
  <c r="S124" i="16" a="1"/>
  <c r="S124" i="16" s="1"/>
  <c r="S125" i="16" a="1"/>
  <c r="S125" i="16" s="1"/>
  <c r="S126" i="16" a="1"/>
  <c r="S126" i="16" s="1"/>
  <c r="S127" i="16" a="1"/>
  <c r="S127" i="16" s="1"/>
  <c r="S128" i="16" a="1"/>
  <c r="S128" i="16" s="1"/>
  <c r="S129" i="16" a="1"/>
  <c r="S129" i="16" s="1"/>
  <c r="S130" i="16" a="1"/>
  <c r="S130" i="16" s="1"/>
  <c r="S131" i="16" a="1"/>
  <c r="S131" i="16" s="1"/>
  <c r="S132" i="16" a="1"/>
  <c r="S132" i="16" s="1"/>
  <c r="S133" i="16" a="1"/>
  <c r="S133" i="16" s="1"/>
  <c r="S134" i="16" a="1"/>
  <c r="S134" i="16" s="1"/>
  <c r="S135" i="16" a="1"/>
  <c r="S135" i="16" s="1"/>
  <c r="S136" i="16" a="1"/>
  <c r="S136" i="16" s="1"/>
  <c r="S137" i="16" a="1"/>
  <c r="S137" i="16" s="1"/>
  <c r="S138" i="16" a="1"/>
  <c r="S138" i="16" s="1"/>
  <c r="S139" i="16" a="1"/>
  <c r="S139" i="16" s="1"/>
  <c r="S140" i="16" a="1"/>
  <c r="S140" i="16" s="1"/>
  <c r="S141" i="16" a="1"/>
  <c r="S141" i="16" s="1"/>
  <c r="S142" i="16" a="1"/>
  <c r="S142" i="16" s="1"/>
  <c r="S143" i="16" a="1"/>
  <c r="S143" i="16" s="1"/>
  <c r="S144" i="16" a="1"/>
  <c r="S144" i="16" s="1"/>
  <c r="S145" i="16" a="1"/>
  <c r="S145" i="16" s="1"/>
  <c r="S146" i="16" a="1"/>
  <c r="S146" i="16" s="1"/>
  <c r="S147" i="16" a="1"/>
  <c r="S147" i="16" s="1"/>
  <c r="S148" i="16" a="1"/>
  <c r="S148" i="16" s="1"/>
  <c r="S149" i="16" a="1"/>
  <c r="S149" i="16" s="1"/>
  <c r="S150" i="16" a="1"/>
  <c r="S150" i="16" s="1"/>
  <c r="S151" i="16" a="1"/>
  <c r="S151" i="16" s="1"/>
  <c r="S152" i="16" a="1"/>
  <c r="S152" i="16" s="1"/>
  <c r="S153" i="16" a="1"/>
  <c r="S153" i="16" s="1"/>
  <c r="S154" i="16" a="1"/>
  <c r="S154" i="16" s="1"/>
  <c r="S155" i="16" a="1"/>
  <c r="S155" i="16" s="1"/>
  <c r="S156" i="16" a="1"/>
  <c r="S156" i="16" s="1"/>
  <c r="S157" i="16" a="1"/>
  <c r="S157" i="16" s="1"/>
  <c r="S158" i="16" a="1"/>
  <c r="S158" i="16" s="1"/>
  <c r="S159" i="16" a="1"/>
  <c r="S159" i="16" s="1"/>
  <c r="S160" i="16" a="1"/>
  <c r="S160" i="16" s="1"/>
  <c r="S161" i="16" a="1"/>
  <c r="S161" i="16" s="1"/>
  <c r="S162" i="16" a="1"/>
  <c r="S162" i="16" s="1"/>
  <c r="S163" i="16" a="1"/>
  <c r="S163" i="16" s="1"/>
  <c r="S164" i="16" a="1"/>
  <c r="S164" i="16" s="1"/>
  <c r="S165" i="16" a="1"/>
  <c r="S165" i="16" s="1"/>
  <c r="S166" i="16" a="1"/>
  <c r="S166" i="16" s="1"/>
  <c r="S167" i="16" a="1"/>
  <c r="S167" i="16" s="1"/>
  <c r="S168" i="16" a="1"/>
  <c r="S168" i="16" s="1"/>
  <c r="S169" i="16" a="1"/>
  <c r="S169" i="16" s="1"/>
  <c r="S170" i="16" a="1"/>
  <c r="S170" i="16" s="1"/>
  <c r="S171" i="16" a="1"/>
  <c r="S171" i="16" s="1"/>
  <c r="S172" i="16" a="1"/>
  <c r="S172" i="16" s="1"/>
  <c r="S173" i="16" a="1"/>
  <c r="S173" i="16" s="1"/>
  <c r="S174" i="16" a="1"/>
  <c r="S174" i="16" s="1"/>
  <c r="S175" i="16" a="1"/>
  <c r="S175" i="16" s="1"/>
  <c r="S176" i="16" a="1"/>
  <c r="S176" i="16" s="1"/>
  <c r="S177" i="16" a="1"/>
  <c r="S177" i="16" s="1"/>
  <c r="S178" i="16" a="1"/>
  <c r="S178" i="16" s="1"/>
  <c r="S179" i="16" a="1"/>
  <c r="S179" i="16" s="1"/>
  <c r="S180" i="16" a="1"/>
  <c r="S180" i="16" s="1"/>
  <c r="S181" i="16" a="1"/>
  <c r="S181" i="16" s="1"/>
  <c r="S182" i="16" a="1"/>
  <c r="S182" i="16" s="1"/>
  <c r="S183" i="16" a="1"/>
  <c r="S183" i="16" s="1"/>
  <c r="S184" i="16" a="1"/>
  <c r="S184" i="16" s="1"/>
  <c r="S185" i="16" a="1"/>
  <c r="S185" i="16" s="1"/>
  <c r="S186" i="16" a="1"/>
  <c r="S186" i="16" s="1"/>
  <c r="S187" i="16" a="1"/>
  <c r="S187" i="16" s="1"/>
  <c r="S188" i="16" a="1"/>
  <c r="S188" i="16" s="1"/>
  <c r="S189" i="16" a="1"/>
  <c r="S189" i="16" s="1"/>
  <c r="S190" i="16" a="1"/>
  <c r="S190" i="16" s="1"/>
  <c r="S191" i="16" a="1"/>
  <c r="S191" i="16" s="1"/>
  <c r="S192" i="16" a="1"/>
  <c r="S192" i="16" s="1"/>
  <c r="S193" i="16" a="1"/>
  <c r="S193" i="16" s="1"/>
  <c r="S194" i="16" a="1"/>
  <c r="S194" i="16" s="1"/>
  <c r="S195" i="16" a="1"/>
  <c r="S195" i="16" s="1"/>
  <c r="S196" i="16" a="1"/>
  <c r="S196" i="16" s="1"/>
  <c r="S197" i="16" a="1"/>
  <c r="S197" i="16" s="1"/>
  <c r="S198" i="16" a="1"/>
  <c r="S198" i="16" s="1"/>
  <c r="S199" i="16" a="1"/>
  <c r="S199" i="16" s="1"/>
  <c r="S200" i="16" a="1"/>
  <c r="S200" i="16" s="1"/>
  <c r="S201" i="16" a="1"/>
  <c r="S201" i="16" s="1"/>
  <c r="S202" i="16" a="1"/>
  <c r="S202" i="16" s="1"/>
  <c r="S203" i="16" a="1"/>
  <c r="S203" i="16" s="1"/>
  <c r="S204" i="16" a="1"/>
  <c r="S204" i="16" s="1"/>
  <c r="S205" i="16" a="1"/>
  <c r="S205" i="16" s="1"/>
  <c r="S206" i="16" a="1"/>
  <c r="S206" i="16" s="1"/>
  <c r="S207" i="16" a="1"/>
  <c r="S207" i="16" s="1"/>
  <c r="S208" i="16" a="1"/>
  <c r="S208" i="16" s="1"/>
  <c r="S209" i="16" a="1"/>
  <c r="S209" i="16" s="1"/>
  <c r="S210" i="16" a="1"/>
  <c r="S210" i="16" s="1"/>
  <c r="S211" i="16" a="1"/>
  <c r="S211" i="16" s="1"/>
  <c r="S212" i="16" a="1"/>
  <c r="S212" i="16" s="1"/>
  <c r="S213" i="16" a="1"/>
  <c r="S213" i="16" s="1"/>
  <c r="S214" i="16" a="1"/>
  <c r="S214" i="16" s="1"/>
  <c r="S215" i="16" a="1"/>
  <c r="S215" i="16" s="1"/>
  <c r="S216" i="16" a="1"/>
  <c r="S216" i="16" s="1"/>
  <c r="S217" i="16" a="1"/>
  <c r="S217" i="16" s="1"/>
  <c r="S218" i="16" a="1"/>
  <c r="S218" i="16" s="1"/>
  <c r="S219" i="16" a="1"/>
  <c r="S219" i="16" s="1"/>
  <c r="S220" i="16" a="1"/>
  <c r="S220" i="16" s="1"/>
  <c r="S221" i="16" a="1"/>
  <c r="S221" i="16" s="1"/>
  <c r="S222" i="16" a="1"/>
  <c r="S222" i="16" s="1"/>
  <c r="S223" i="16" a="1"/>
  <c r="S223" i="16" s="1"/>
  <c r="S224" i="16" a="1"/>
  <c r="S224" i="16" s="1"/>
  <c r="S225" i="16" a="1"/>
  <c r="S225" i="16" s="1"/>
  <c r="S226" i="16" a="1"/>
  <c r="S226" i="16" s="1"/>
  <c r="S227" i="16" a="1"/>
  <c r="S227" i="16" s="1"/>
  <c r="S228" i="16" a="1"/>
  <c r="S228" i="16" s="1"/>
  <c r="S229" i="16" a="1"/>
  <c r="S229" i="16" s="1"/>
  <c r="S230" i="16" a="1"/>
  <c r="S230" i="16" s="1"/>
  <c r="S231" i="16" a="1"/>
  <c r="S231" i="16" s="1"/>
  <c r="S232" i="16" a="1"/>
  <c r="S232" i="16" s="1"/>
  <c r="S233" i="16" a="1"/>
  <c r="S233" i="16" s="1"/>
  <c r="S234" i="16" a="1"/>
  <c r="S234" i="16" s="1"/>
  <c r="S235" i="16" a="1"/>
  <c r="S235" i="16" s="1"/>
  <c r="S236" i="16" a="1"/>
  <c r="S236" i="16" s="1"/>
  <c r="S237" i="16" a="1"/>
  <c r="S237" i="16" s="1"/>
  <c r="S238" i="16" a="1"/>
  <c r="S238" i="16" s="1"/>
  <c r="S239" i="16" a="1"/>
  <c r="S239" i="16" s="1"/>
  <c r="S240" i="16" a="1"/>
  <c r="S240" i="16" s="1"/>
  <c r="S241" i="16" a="1"/>
  <c r="S241" i="16" s="1"/>
  <c r="S242" i="16" a="1"/>
  <c r="S242" i="16" s="1"/>
  <c r="S243" i="16" a="1"/>
  <c r="S243" i="16" s="1"/>
  <c r="S244" i="16" a="1"/>
  <c r="S244" i="16" s="1"/>
  <c r="S245" i="16" a="1"/>
  <c r="S245" i="16" s="1"/>
  <c r="S246" i="16" a="1"/>
  <c r="S246" i="16" s="1"/>
  <c r="S247" i="16" a="1"/>
  <c r="S247" i="16" s="1"/>
  <c r="S248" i="16" a="1"/>
  <c r="S248" i="16" s="1"/>
  <c r="S249" i="16" a="1"/>
  <c r="S249" i="16" s="1"/>
  <c r="S250" i="16" a="1"/>
  <c r="S250" i="16" s="1"/>
  <c r="S251" i="16" a="1"/>
  <c r="S251" i="16" s="1"/>
  <c r="S252" i="16" a="1"/>
  <c r="S252" i="16" s="1"/>
  <c r="S253" i="16" a="1"/>
  <c r="S253" i="16" s="1"/>
  <c r="S254" i="16" a="1"/>
  <c r="S254" i="16" s="1"/>
  <c r="S255" i="16" a="1"/>
  <c r="S255" i="16" s="1"/>
  <c r="S256" i="16" a="1"/>
  <c r="S256" i="16" s="1"/>
  <c r="S257" i="16" a="1"/>
  <c r="S257" i="16" s="1"/>
  <c r="S258" i="16" a="1"/>
  <c r="S258" i="16" s="1"/>
  <c r="S259" i="16" a="1"/>
  <c r="S259" i="16" s="1"/>
  <c r="S260" i="16" a="1"/>
  <c r="S260" i="16" s="1"/>
  <c r="S261" i="16" a="1"/>
  <c r="S261" i="16" s="1"/>
  <c r="S262" i="16" a="1"/>
  <c r="S262" i="16" s="1"/>
  <c r="S263" i="16" a="1"/>
  <c r="S263" i="16" s="1"/>
  <c r="S264" i="16" a="1"/>
  <c r="S264" i="16" s="1"/>
  <c r="S265" i="16" a="1"/>
  <c r="S265" i="16" s="1"/>
  <c r="S266" i="16" a="1"/>
  <c r="S266" i="16" s="1"/>
  <c r="S267" i="16" a="1"/>
  <c r="S267" i="16" s="1"/>
  <c r="S268" i="16" a="1"/>
  <c r="S268" i="16" s="1"/>
  <c r="S269" i="16" a="1"/>
  <c r="S269" i="16" s="1"/>
  <c r="S270" i="16" a="1"/>
  <c r="S270" i="16" s="1"/>
  <c r="S271" i="16" a="1"/>
  <c r="S271" i="16" s="1"/>
  <c r="S272" i="16" a="1"/>
  <c r="S272" i="16" s="1"/>
  <c r="S273" i="16" a="1"/>
  <c r="S273" i="16" s="1"/>
  <c r="S274" i="16" a="1"/>
  <c r="S274" i="16" s="1"/>
  <c r="S275" i="16" a="1"/>
  <c r="S275" i="16" s="1"/>
  <c r="S276" i="16" a="1"/>
  <c r="S276" i="16" s="1"/>
  <c r="S277" i="16" a="1"/>
  <c r="S277" i="16" s="1"/>
  <c r="S278" i="16" a="1"/>
  <c r="S278" i="16" s="1"/>
  <c r="S279" i="16" a="1"/>
  <c r="S279" i="16" s="1"/>
  <c r="S280" i="16" a="1"/>
  <c r="S280" i="16" s="1"/>
  <c r="S281" i="16" a="1"/>
  <c r="S281" i="16" s="1"/>
  <c r="S282" i="16" a="1"/>
  <c r="S282" i="16" s="1"/>
  <c r="S283" i="16" a="1"/>
  <c r="S283" i="16" s="1"/>
  <c r="S284" i="16" a="1"/>
  <c r="S284" i="16" s="1"/>
  <c r="S285" i="16" a="1"/>
  <c r="S285" i="16" s="1"/>
  <c r="S286" i="16" a="1"/>
  <c r="S286" i="16" s="1"/>
  <c r="S287" i="16" a="1"/>
  <c r="S287" i="16" s="1"/>
  <c r="S288" i="16" a="1"/>
  <c r="S288" i="16" s="1"/>
  <c r="S289" i="16" a="1"/>
  <c r="S289" i="16" s="1"/>
  <c r="S290" i="16" a="1"/>
  <c r="S290" i="16" s="1"/>
  <c r="S291" i="16" a="1"/>
  <c r="S291" i="16" s="1"/>
  <c r="S292" i="16" a="1"/>
  <c r="S292" i="16" s="1"/>
  <c r="S293" i="16" a="1"/>
  <c r="S293" i="16" s="1"/>
  <c r="S294" i="16" a="1"/>
  <c r="S294" i="16" s="1"/>
  <c r="S295" i="16" a="1"/>
  <c r="S295" i="16" s="1"/>
  <c r="S296" i="16" a="1"/>
  <c r="S296" i="16" s="1"/>
  <c r="S297" i="16" a="1"/>
  <c r="S297" i="16" s="1"/>
  <c r="S298" i="16" a="1"/>
  <c r="S298" i="16" s="1"/>
  <c r="S299" i="16" a="1"/>
  <c r="S299" i="16" s="1"/>
  <c r="S300" i="16" a="1"/>
  <c r="S300" i="16" s="1"/>
  <c r="S301" i="16" a="1"/>
  <c r="S301" i="16" s="1"/>
  <c r="S302" i="16" a="1"/>
  <c r="S302" i="16" s="1"/>
  <c r="S303" i="16" a="1"/>
  <c r="S303" i="16" s="1"/>
  <c r="S304" i="16" a="1"/>
  <c r="S304" i="16" s="1"/>
  <c r="S305" i="16" a="1"/>
  <c r="S305" i="16" s="1"/>
  <c r="S306" i="16" a="1"/>
  <c r="S306" i="16" s="1"/>
  <c r="S307" i="16" a="1"/>
  <c r="S307" i="16" s="1"/>
  <c r="S308" i="16" a="1"/>
  <c r="S308" i="16" s="1"/>
  <c r="S309" i="16" a="1"/>
  <c r="S309" i="16" s="1"/>
  <c r="S310" i="16" a="1"/>
  <c r="S310" i="16" s="1"/>
  <c r="S311" i="16" a="1"/>
  <c r="S311" i="16" s="1"/>
  <c r="S312" i="16" a="1"/>
  <c r="S312" i="16" s="1"/>
  <c r="S313" i="16" a="1"/>
  <c r="S313" i="16" s="1"/>
  <c r="S314" i="16" a="1"/>
  <c r="S314" i="16" s="1"/>
  <c r="S315" i="16" a="1"/>
  <c r="S315" i="16" s="1"/>
  <c r="S316" i="16" a="1"/>
  <c r="S316" i="16" s="1"/>
  <c r="S317" i="16" a="1"/>
  <c r="S317" i="16" s="1"/>
  <c r="S318" i="16" a="1"/>
  <c r="S318" i="16" s="1"/>
  <c r="S319" i="16" a="1"/>
  <c r="S319" i="16" s="1"/>
  <c r="S320" i="16" a="1"/>
  <c r="S320" i="16" s="1"/>
  <c r="S321" i="16" a="1"/>
  <c r="S321" i="16" s="1"/>
  <c r="S322" i="16" a="1"/>
  <c r="S322" i="16" s="1"/>
  <c r="S323" i="16" a="1"/>
  <c r="S323" i="16" s="1"/>
  <c r="S324" i="16" a="1"/>
  <c r="S324" i="16" s="1"/>
  <c r="S325" i="16" a="1"/>
  <c r="S325" i="16" s="1"/>
  <c r="S326" i="16" a="1"/>
  <c r="S326" i="16" s="1"/>
  <c r="S327" i="16" a="1"/>
  <c r="S327" i="16" s="1"/>
  <c r="S328" i="16" a="1"/>
  <c r="S328" i="16" s="1"/>
  <c r="S329" i="16" a="1"/>
  <c r="S329" i="16" s="1"/>
  <c r="S330" i="16" a="1"/>
  <c r="S330" i="16" s="1"/>
  <c r="S331" i="16" a="1"/>
  <c r="S331" i="16" s="1"/>
  <c r="S332" i="16" a="1"/>
  <c r="S332" i="16" s="1"/>
  <c r="S333" i="16" a="1"/>
  <c r="S333" i="16" s="1"/>
  <c r="S334" i="16" a="1"/>
  <c r="S334" i="16" s="1"/>
  <c r="S335" i="16" a="1"/>
  <c r="S335" i="16" s="1"/>
  <c r="S336" i="16" a="1"/>
  <c r="S336" i="16" s="1"/>
  <c r="S337" i="16" a="1"/>
  <c r="S337" i="16" s="1"/>
  <c r="S338" i="16" a="1"/>
  <c r="S338" i="16" s="1"/>
  <c r="S339" i="16" a="1"/>
  <c r="S339" i="16" s="1"/>
  <c r="S340" i="16" a="1"/>
  <c r="S340" i="16" s="1"/>
  <c r="S341" i="16" a="1"/>
  <c r="S341" i="16" s="1"/>
  <c r="S342" i="16" a="1"/>
  <c r="S342" i="16" s="1"/>
  <c r="S343" i="16" a="1"/>
  <c r="S343" i="16" s="1"/>
  <c r="S344" i="16" a="1"/>
  <c r="S344" i="16" s="1"/>
  <c r="S345" i="16" a="1"/>
  <c r="S345" i="16" s="1"/>
  <c r="S346" i="16" a="1"/>
  <c r="S346" i="16" s="1"/>
  <c r="S347" i="16" a="1"/>
  <c r="S347" i="16" s="1"/>
  <c r="S348" i="16" a="1"/>
  <c r="S348" i="16" s="1"/>
  <c r="S349" i="16" a="1"/>
  <c r="S349" i="16" s="1"/>
  <c r="S350" i="16" a="1"/>
  <c r="S350" i="16" s="1"/>
  <c r="S351" i="16" a="1"/>
  <c r="S351" i="16" s="1"/>
  <c r="S352" i="16" a="1"/>
  <c r="S352" i="16" s="1"/>
  <c r="S353" i="16" a="1"/>
  <c r="S353" i="16" s="1"/>
  <c r="S354" i="16" a="1"/>
  <c r="S354" i="16" s="1"/>
  <c r="S355" i="16" a="1"/>
  <c r="S355" i="16" s="1"/>
  <c r="S356" i="16" a="1"/>
  <c r="S356" i="16" s="1"/>
  <c r="S357" i="16" a="1"/>
  <c r="S357" i="16" s="1"/>
  <c r="S358" i="16" a="1"/>
  <c r="S358" i="16" s="1"/>
  <c r="S359" i="16" a="1"/>
  <c r="S359" i="16" s="1"/>
  <c r="S360" i="16" a="1"/>
  <c r="S360" i="16" s="1"/>
  <c r="S361" i="16" a="1"/>
  <c r="S361" i="16" s="1"/>
  <c r="S362" i="16" a="1"/>
  <c r="S362" i="16" s="1"/>
  <c r="S363" i="16" a="1"/>
  <c r="S363" i="16" s="1"/>
  <c r="S364" i="16" a="1"/>
  <c r="S364" i="16" s="1"/>
  <c r="S365" i="16" a="1"/>
  <c r="S365" i="16" s="1"/>
  <c r="S366" i="16" a="1"/>
  <c r="S366" i="16" s="1"/>
  <c r="S367" i="16" a="1"/>
  <c r="S367" i="16" s="1"/>
  <c r="S368" i="16" a="1"/>
  <c r="S368" i="16" s="1"/>
  <c r="S369" i="16" a="1"/>
  <c r="S369" i="16" s="1"/>
  <c r="S370" i="16" a="1"/>
  <c r="S370" i="16" s="1"/>
  <c r="S371" i="16" a="1"/>
  <c r="S371" i="16" s="1"/>
  <c r="S372" i="16" a="1"/>
  <c r="S372" i="16" s="1"/>
  <c r="S373" i="16" a="1"/>
  <c r="S373" i="16" s="1"/>
  <c r="S374" i="16" a="1"/>
  <c r="S374" i="16" s="1"/>
  <c r="S375" i="16" a="1"/>
  <c r="S375" i="16" s="1"/>
  <c r="S376" i="16" a="1"/>
  <c r="S376" i="16" s="1"/>
  <c r="S377" i="16" a="1"/>
  <c r="S377" i="16" s="1"/>
  <c r="S378" i="16" a="1"/>
  <c r="S378" i="16" s="1"/>
  <c r="S379" i="16" a="1"/>
  <c r="S379" i="16" s="1"/>
  <c r="S380" i="16" a="1"/>
  <c r="S380" i="16" s="1"/>
  <c r="S381" i="16" a="1"/>
  <c r="S381" i="16" s="1"/>
  <c r="S382" i="16" a="1"/>
  <c r="S382" i="16" s="1"/>
  <c r="S383" i="16" a="1"/>
  <c r="S383" i="16" s="1"/>
  <c r="S384" i="16" a="1"/>
  <c r="S384" i="16" s="1"/>
  <c r="S385" i="16" a="1"/>
  <c r="S385" i="16" s="1"/>
  <c r="S386" i="16" a="1"/>
  <c r="S386" i="16" s="1"/>
  <c r="S387" i="16" a="1"/>
  <c r="S387" i="16" s="1"/>
  <c r="S388" i="16" a="1"/>
  <c r="S388" i="16" s="1"/>
  <c r="S389" i="16" a="1"/>
  <c r="S389" i="16" s="1"/>
  <c r="S390" i="16" a="1"/>
  <c r="S390" i="16" s="1"/>
  <c r="S391" i="16" a="1"/>
  <c r="S391" i="16" s="1"/>
  <c r="S392" i="16" a="1"/>
  <c r="S392" i="16" s="1"/>
  <c r="S393" i="16" a="1"/>
  <c r="S393" i="16" s="1"/>
  <c r="S394" i="16" a="1"/>
  <c r="S394" i="16" s="1"/>
  <c r="S2" i="30" a="1"/>
  <c r="S2" i="30" s="1"/>
  <c r="S3" i="30" a="1"/>
  <c r="S3" i="30" s="1"/>
  <c r="S4" i="30" a="1"/>
  <c r="S4" i="30" s="1"/>
  <c r="S5" i="30" a="1"/>
  <c r="S5" i="30" s="1"/>
  <c r="S6" i="30" a="1"/>
  <c r="S6" i="30" s="1"/>
  <c r="S7" i="30" a="1"/>
  <c r="S7" i="30" s="1"/>
  <c r="S8" i="30" a="1"/>
  <c r="S8" i="30" s="1"/>
  <c r="S9" i="30" a="1"/>
  <c r="S9" i="30" s="1"/>
  <c r="S10" i="30" a="1"/>
  <c r="S10" i="30" s="1"/>
  <c r="S11" i="30" a="1"/>
  <c r="S11" i="30" s="1"/>
  <c r="S12" i="30" a="1"/>
  <c r="S12" i="30" s="1"/>
  <c r="S13" i="30" a="1"/>
  <c r="S13" i="30" s="1"/>
  <c r="S14" i="30" a="1"/>
  <c r="S14" i="30" s="1"/>
  <c r="S15" i="30" a="1"/>
  <c r="S15" i="30" s="1"/>
  <c r="S16" i="30" a="1"/>
  <c r="S16" i="30" s="1"/>
  <c r="S17" i="30" a="1"/>
  <c r="S17" i="30" s="1"/>
  <c r="S18" i="30" a="1"/>
  <c r="S18" i="30" s="1"/>
  <c r="S19" i="30" a="1"/>
  <c r="S19" i="30" s="1"/>
  <c r="S20" i="30" a="1"/>
  <c r="S20" i="30" s="1"/>
  <c r="S21" i="30" a="1"/>
  <c r="S21" i="30" s="1"/>
  <c r="S22" i="30" a="1"/>
  <c r="S22" i="30" s="1"/>
  <c r="S23" i="30" a="1"/>
  <c r="S23" i="30" s="1"/>
  <c r="S24" i="30" a="1"/>
  <c r="S24" i="30" s="1"/>
  <c r="S25" i="30" a="1"/>
  <c r="S25" i="30" s="1"/>
  <c r="S26" i="30" a="1"/>
  <c r="S26" i="30" s="1"/>
  <c r="S27" i="30" a="1"/>
  <c r="S27" i="30" s="1"/>
  <c r="S28" i="30" a="1"/>
  <c r="S28" i="30" s="1"/>
  <c r="S29" i="30" a="1"/>
  <c r="S29" i="30" s="1"/>
  <c r="S30" i="30" a="1"/>
  <c r="S30" i="30" s="1"/>
  <c r="S31" i="30" a="1"/>
  <c r="S31" i="30" s="1"/>
  <c r="S32" i="30" a="1"/>
  <c r="S32" i="30" s="1"/>
  <c r="S33" i="30" a="1"/>
  <c r="S33" i="30" s="1"/>
  <c r="S34" i="30" a="1"/>
  <c r="S34" i="30" s="1"/>
  <c r="S35" i="30" a="1"/>
  <c r="S35" i="30" s="1"/>
  <c r="S36" i="30" a="1"/>
  <c r="S36" i="30" s="1"/>
  <c r="S37" i="30" a="1"/>
  <c r="S37" i="30" s="1"/>
  <c r="S38" i="30" a="1"/>
  <c r="S38" i="30" s="1"/>
  <c r="S39" i="30" a="1"/>
  <c r="S39" i="30" s="1"/>
  <c r="S40" i="30" a="1"/>
  <c r="S40" i="30" s="1"/>
  <c r="S41" i="30" a="1"/>
  <c r="S41" i="30" s="1"/>
  <c r="S42" i="30" a="1"/>
  <c r="S42" i="30" s="1"/>
  <c r="S43" i="30" a="1"/>
  <c r="S43" i="30" s="1"/>
  <c r="S44" i="30" a="1"/>
  <c r="S44" i="30" s="1"/>
  <c r="S45" i="30" a="1"/>
  <c r="S45" i="30" s="1"/>
  <c r="S46" i="30" a="1"/>
  <c r="S46" i="30" s="1"/>
  <c r="S47" i="30" a="1"/>
  <c r="S47" i="30" s="1"/>
  <c r="S48" i="30" a="1"/>
  <c r="S48" i="30" s="1"/>
  <c r="S49" i="30" a="1"/>
  <c r="S49" i="30" s="1"/>
  <c r="S50" i="30" a="1"/>
  <c r="S50" i="30" s="1"/>
  <c r="S51" i="30" a="1"/>
  <c r="S51" i="30" s="1"/>
  <c r="S52" i="30" a="1"/>
  <c r="S52" i="30" s="1"/>
  <c r="S53" i="30" a="1"/>
  <c r="S53" i="30" s="1"/>
  <c r="S54" i="30" a="1"/>
  <c r="S54" i="30" s="1"/>
  <c r="S55" i="30" a="1"/>
  <c r="S55" i="30" s="1"/>
  <c r="S56" i="30" a="1"/>
  <c r="S56" i="30" s="1"/>
  <c r="S57" i="30" a="1"/>
  <c r="S57" i="30" s="1"/>
  <c r="S58" i="30" a="1"/>
  <c r="S58" i="30" s="1"/>
  <c r="S59" i="30" a="1"/>
  <c r="S59" i="30" s="1"/>
  <c r="S60" i="30" a="1"/>
  <c r="S60" i="30" s="1"/>
  <c r="S61" i="30" a="1"/>
  <c r="S61" i="30" s="1"/>
  <c r="S62" i="30" a="1"/>
  <c r="S62" i="30" s="1"/>
  <c r="S63" i="30" a="1"/>
  <c r="S63" i="30" s="1"/>
  <c r="S64" i="30" a="1"/>
  <c r="S64" i="30" s="1"/>
  <c r="S65" i="30" a="1"/>
  <c r="S65" i="30" s="1"/>
  <c r="S66" i="30" a="1"/>
  <c r="S66" i="30" s="1"/>
  <c r="S67" i="30" a="1"/>
  <c r="S67" i="30" s="1"/>
  <c r="S68" i="30" a="1"/>
  <c r="S68" i="30" s="1"/>
  <c r="S69" i="30" a="1"/>
  <c r="S69" i="30" s="1"/>
  <c r="S70" i="30" a="1"/>
  <c r="S70" i="30" s="1"/>
  <c r="S71" i="30" a="1"/>
  <c r="S71" i="30" s="1"/>
  <c r="S72" i="30" a="1"/>
  <c r="S72" i="30" s="1"/>
  <c r="S73" i="30" a="1"/>
  <c r="S73" i="30" s="1"/>
  <c r="S74" i="30" a="1"/>
  <c r="S74" i="30" s="1"/>
  <c r="S75" i="30" a="1"/>
  <c r="S75" i="30" s="1"/>
  <c r="S76" i="30" a="1"/>
  <c r="S76" i="30" s="1"/>
  <c r="S77" i="30" a="1"/>
  <c r="S77" i="30" s="1"/>
  <c r="S78" i="30" a="1"/>
  <c r="S78" i="30" s="1"/>
  <c r="S79" i="30" a="1"/>
  <c r="S79" i="30" s="1"/>
  <c r="S80" i="30" a="1"/>
  <c r="S80" i="30" s="1"/>
  <c r="S81" i="30" a="1"/>
  <c r="S81" i="30" s="1"/>
  <c r="S82" i="30" a="1"/>
  <c r="S82" i="30" s="1"/>
  <c r="S83" i="30" a="1"/>
  <c r="S83" i="30" s="1"/>
  <c r="S84" i="30" a="1"/>
  <c r="S84" i="30" s="1"/>
  <c r="S85" i="30" a="1"/>
  <c r="S85" i="30" s="1"/>
  <c r="S86" i="30" a="1"/>
  <c r="S86" i="30" s="1"/>
  <c r="S87" i="30" a="1"/>
  <c r="S87" i="30" s="1"/>
  <c r="S88" i="30" a="1"/>
  <c r="S88" i="30" s="1"/>
  <c r="S89" i="30" a="1"/>
  <c r="S89" i="30" s="1"/>
  <c r="S90" i="30" a="1"/>
  <c r="S90" i="30" s="1"/>
  <c r="S91" i="30" a="1"/>
  <c r="S91" i="30" s="1"/>
  <c r="S92" i="30" a="1"/>
  <c r="S92" i="30" s="1"/>
  <c r="S93" i="30" a="1"/>
  <c r="S93" i="30" s="1"/>
  <c r="S94" i="30" a="1"/>
  <c r="S94" i="30" s="1"/>
  <c r="S95" i="30" a="1"/>
  <c r="S95" i="30" s="1"/>
  <c r="S96" i="30" a="1"/>
  <c r="S96" i="30" s="1"/>
  <c r="S97" i="30" a="1"/>
  <c r="S97" i="30" s="1"/>
  <c r="S98" i="30" a="1"/>
  <c r="S98" i="30" s="1"/>
  <c r="S99" i="30" a="1"/>
  <c r="S99" i="30" s="1"/>
  <c r="S100" i="30" a="1"/>
  <c r="S100" i="30" s="1"/>
  <c r="S101" i="30" a="1"/>
  <c r="S101" i="30" s="1"/>
  <c r="S102" i="30" a="1"/>
  <c r="S102" i="30" s="1"/>
  <c r="S103" i="30" a="1"/>
  <c r="S103" i="30" s="1"/>
  <c r="S104" i="30" a="1"/>
  <c r="S104" i="30" s="1"/>
  <c r="S105" i="30" a="1"/>
  <c r="S105" i="30" s="1"/>
  <c r="S106" i="30" a="1"/>
  <c r="S106" i="30" s="1"/>
  <c r="S107" i="30" a="1"/>
  <c r="S107" i="30" s="1"/>
  <c r="S108" i="30" a="1"/>
  <c r="S108" i="30" s="1"/>
  <c r="S109" i="30" a="1"/>
  <c r="S109" i="30" s="1"/>
  <c r="S110" i="30" a="1"/>
  <c r="S110" i="30" s="1"/>
  <c r="S111" i="30" a="1"/>
  <c r="S111" i="30" s="1"/>
  <c r="S112" i="30" a="1"/>
  <c r="S112" i="30" s="1"/>
  <c r="S113" i="30" a="1"/>
  <c r="S113" i="30" s="1"/>
  <c r="S114" i="30" a="1"/>
  <c r="S114" i="30" s="1"/>
  <c r="S115" i="30" a="1"/>
  <c r="S115" i="30" s="1"/>
  <c r="S116" i="30" a="1"/>
  <c r="S116" i="30" s="1"/>
  <c r="S117" i="30" a="1"/>
  <c r="S117" i="30" s="1"/>
  <c r="S118" i="30" a="1"/>
  <c r="S118" i="30" s="1"/>
  <c r="S119" i="30" a="1"/>
  <c r="S119" i="30" s="1"/>
  <c r="S120" i="30" a="1"/>
  <c r="S120" i="30" s="1"/>
  <c r="S121" i="30" a="1"/>
  <c r="S121" i="30" s="1"/>
  <c r="S122" i="30" a="1"/>
  <c r="S122" i="30" s="1"/>
  <c r="S123" i="30" a="1"/>
  <c r="S123" i="30" s="1"/>
  <c r="S124" i="30" a="1"/>
  <c r="S124" i="30" s="1"/>
  <c r="S125" i="30" a="1"/>
  <c r="S125" i="30" s="1"/>
  <c r="S126" i="30" a="1"/>
  <c r="S126" i="30" s="1"/>
  <c r="S127" i="30" a="1"/>
  <c r="S127" i="30" s="1"/>
  <c r="S128" i="30" a="1"/>
  <c r="S128" i="30" s="1"/>
  <c r="S129" i="30" a="1"/>
  <c r="S129" i="30" s="1"/>
  <c r="S130" i="30" a="1"/>
  <c r="S130" i="30" s="1"/>
  <c r="S131" i="30" a="1"/>
  <c r="S131" i="30" s="1"/>
  <c r="S132" i="30" a="1"/>
  <c r="S132" i="30" s="1"/>
  <c r="S133" i="30" a="1"/>
  <c r="S133" i="30" s="1"/>
  <c r="S134" i="30" a="1"/>
  <c r="S134" i="30" s="1"/>
  <c r="S135" i="30" a="1"/>
  <c r="S135" i="30" s="1"/>
  <c r="S136" i="30" a="1"/>
  <c r="S136" i="30" s="1"/>
  <c r="S137" i="30" a="1"/>
  <c r="S137" i="30" s="1"/>
  <c r="S138" i="30" a="1"/>
  <c r="S138" i="30" s="1"/>
  <c r="S139" i="30" a="1"/>
  <c r="S139" i="30" s="1"/>
  <c r="S140" i="30" a="1"/>
  <c r="S140" i="30" s="1"/>
  <c r="S141" i="30" a="1"/>
  <c r="S141" i="30" s="1"/>
  <c r="S142" i="30" a="1"/>
  <c r="S142" i="30" s="1"/>
  <c r="S143" i="30" a="1"/>
  <c r="S143" i="30" s="1"/>
  <c r="S144" i="30" a="1"/>
  <c r="S144" i="30" s="1"/>
  <c r="S145" i="30" a="1"/>
  <c r="S145" i="30" s="1"/>
  <c r="S146" i="30" a="1"/>
  <c r="S146" i="30" s="1"/>
  <c r="S147" i="30" a="1"/>
  <c r="S147" i="30" s="1"/>
  <c r="S148" i="30" a="1"/>
  <c r="S148" i="30" s="1"/>
  <c r="S149" i="30" a="1"/>
  <c r="S149" i="30" s="1"/>
  <c r="S150" i="30" a="1"/>
  <c r="S150" i="30" s="1"/>
  <c r="S151" i="30" a="1"/>
  <c r="S151" i="30" s="1"/>
  <c r="S152" i="30" a="1"/>
  <c r="S152" i="30" s="1"/>
  <c r="S153" i="30" a="1"/>
  <c r="S153" i="30" s="1"/>
  <c r="S154" i="30" a="1"/>
  <c r="S154" i="30" s="1"/>
  <c r="S155" i="30" a="1"/>
  <c r="S155" i="30" s="1"/>
  <c r="S156" i="30" a="1"/>
  <c r="S156" i="30" s="1"/>
  <c r="S157" i="30" a="1"/>
  <c r="S157" i="30" s="1"/>
  <c r="S158" i="30" a="1"/>
  <c r="S158" i="30" s="1"/>
  <c r="S159" i="30" a="1"/>
  <c r="S159" i="30" s="1"/>
  <c r="S160" i="30" a="1"/>
  <c r="S160" i="30" s="1"/>
  <c r="S161" i="30" a="1"/>
  <c r="S161" i="30" s="1"/>
  <c r="S162" i="30" a="1"/>
  <c r="S162" i="30" s="1"/>
  <c r="S163" i="30" a="1"/>
  <c r="S163" i="30" s="1"/>
  <c r="S164" i="30" a="1"/>
  <c r="S164" i="30" s="1"/>
  <c r="S165" i="30" a="1"/>
  <c r="S165" i="30" s="1"/>
  <c r="S166" i="30" a="1"/>
  <c r="S166" i="30" s="1"/>
  <c r="S167" i="30" a="1"/>
  <c r="S167" i="30" s="1"/>
  <c r="S168" i="30" a="1"/>
  <c r="S168" i="30" s="1"/>
  <c r="S169" i="30" a="1"/>
  <c r="S169" i="30" s="1"/>
  <c r="S170" i="30" a="1"/>
  <c r="S170" i="30" s="1"/>
  <c r="S171" i="30" a="1"/>
  <c r="S171" i="30" s="1"/>
  <c r="S172" i="30" a="1"/>
  <c r="S172" i="30" s="1"/>
  <c r="S173" i="30" a="1"/>
  <c r="S173" i="30" s="1"/>
  <c r="S174" i="30" a="1"/>
  <c r="S174" i="30" s="1"/>
  <c r="S175" i="30" a="1"/>
  <c r="S175" i="30" s="1"/>
  <c r="S176" i="30" a="1"/>
  <c r="S176" i="30" s="1"/>
  <c r="S177" i="30" a="1"/>
  <c r="S177" i="30" s="1"/>
  <c r="S178" i="30" a="1"/>
  <c r="S178" i="30" s="1"/>
  <c r="S179" i="30" a="1"/>
  <c r="S179" i="30" s="1"/>
  <c r="S180" i="30" a="1"/>
  <c r="S180" i="30" s="1"/>
  <c r="S181" i="30" a="1"/>
  <c r="S181" i="30" s="1"/>
  <c r="S182" i="30" a="1"/>
  <c r="S182" i="30" s="1"/>
  <c r="S183" i="30" a="1"/>
  <c r="S183" i="30" s="1"/>
  <c r="S184" i="30" a="1"/>
  <c r="S184" i="30" s="1"/>
  <c r="S185" i="30" a="1"/>
  <c r="S185" i="30" s="1"/>
  <c r="S186" i="30" a="1"/>
  <c r="S186" i="30" s="1"/>
  <c r="S187" i="30" a="1"/>
  <c r="S187" i="30" s="1"/>
  <c r="S188" i="30" a="1"/>
  <c r="S188" i="30" s="1"/>
  <c r="S189" i="30" a="1"/>
  <c r="S189" i="30" s="1"/>
  <c r="S190" i="30" a="1"/>
  <c r="S190" i="30" s="1"/>
  <c r="S191" i="30" a="1"/>
  <c r="S191" i="30" s="1"/>
  <c r="S192" i="30" a="1"/>
  <c r="S192" i="30" s="1"/>
  <c r="S193" i="30" a="1"/>
  <c r="S193" i="30" s="1"/>
  <c r="S194" i="30" a="1"/>
  <c r="S194" i="30" s="1"/>
  <c r="S195" i="30" a="1"/>
  <c r="S195" i="30" s="1"/>
  <c r="S196" i="30" a="1"/>
  <c r="S196" i="30" s="1"/>
  <c r="S197" i="30" a="1"/>
  <c r="S197" i="30" s="1"/>
  <c r="S198" i="30" a="1"/>
  <c r="S198" i="30" s="1"/>
  <c r="S199" i="30" a="1"/>
  <c r="S199" i="30" s="1"/>
  <c r="S200" i="30" a="1"/>
  <c r="S200" i="30" s="1"/>
  <c r="S201" i="30" a="1"/>
  <c r="S201" i="30" s="1"/>
  <c r="S202" i="30" a="1"/>
  <c r="S202" i="30" s="1"/>
  <c r="S203" i="30" a="1"/>
  <c r="S203" i="30" s="1"/>
  <c r="S204" i="30" a="1"/>
  <c r="S204" i="30" s="1"/>
  <c r="S205" i="30" a="1"/>
  <c r="S205" i="30" s="1"/>
  <c r="S206" i="30" a="1"/>
  <c r="S206" i="30" s="1"/>
  <c r="S207" i="30" a="1"/>
  <c r="S207" i="30" s="1"/>
  <c r="S208" i="30" a="1"/>
  <c r="S208" i="30" s="1"/>
  <c r="S209" i="30" a="1"/>
  <c r="S209" i="30" s="1"/>
  <c r="S210" i="30" a="1"/>
  <c r="S210" i="30" s="1"/>
  <c r="S211" i="30" a="1"/>
  <c r="S211" i="30" s="1"/>
  <c r="S212" i="30" a="1"/>
  <c r="S212" i="30" s="1"/>
  <c r="S213" i="30" a="1"/>
  <c r="S213" i="30" s="1"/>
  <c r="S214" i="30" a="1"/>
  <c r="S214" i="30" s="1"/>
  <c r="S215" i="30" a="1"/>
  <c r="S215" i="30" s="1"/>
  <c r="S216" i="30" a="1"/>
  <c r="S216" i="30" s="1"/>
  <c r="S217" i="30" a="1"/>
  <c r="S217" i="30" s="1"/>
  <c r="S218" i="30" a="1"/>
  <c r="S218" i="30" s="1"/>
  <c r="S219" i="30" a="1"/>
  <c r="S219" i="30" s="1"/>
  <c r="S220" i="30" a="1"/>
  <c r="S220" i="30" s="1"/>
  <c r="S221" i="30" a="1"/>
  <c r="S221" i="30" s="1"/>
  <c r="S222" i="30" a="1"/>
  <c r="S222" i="30" s="1"/>
  <c r="S223" i="30" a="1"/>
  <c r="S223" i="30" s="1"/>
  <c r="S224" i="30" a="1"/>
  <c r="S224" i="30" s="1"/>
  <c r="S225" i="30" a="1"/>
  <c r="S225" i="30" s="1"/>
  <c r="S226" i="30" a="1"/>
  <c r="S226" i="30" s="1"/>
  <c r="S227" i="30" a="1"/>
  <c r="S227" i="30" s="1"/>
  <c r="S228" i="30" a="1"/>
  <c r="S228" i="30" s="1"/>
  <c r="S229" i="30" a="1"/>
  <c r="S229" i="30" s="1"/>
  <c r="S230" i="30" a="1"/>
  <c r="S230" i="30" s="1"/>
  <c r="S231" i="30" a="1"/>
  <c r="S231" i="30" s="1"/>
  <c r="S232" i="30" a="1"/>
  <c r="S232" i="30" s="1"/>
  <c r="S233" i="30" a="1"/>
  <c r="S233" i="30" s="1"/>
  <c r="S234" i="30" a="1"/>
  <c r="S234" i="30" s="1"/>
  <c r="S235" i="30" a="1"/>
  <c r="S235" i="30" s="1"/>
  <c r="S236" i="30" a="1"/>
  <c r="S236" i="30" s="1"/>
  <c r="S237" i="30" a="1"/>
  <c r="S237" i="30" s="1"/>
  <c r="S238" i="30" a="1"/>
  <c r="S238" i="30" s="1"/>
  <c r="S239" i="30" a="1"/>
  <c r="S239" i="30" s="1"/>
  <c r="S240" i="30" a="1"/>
  <c r="S240" i="30" s="1"/>
  <c r="S241" i="30" a="1"/>
  <c r="S241" i="30" s="1"/>
  <c r="S242" i="30" a="1"/>
  <c r="S242" i="30" s="1"/>
  <c r="S243" i="30" a="1"/>
  <c r="S243" i="30" s="1"/>
  <c r="S2" i="29" a="1"/>
  <c r="S2" i="29" s="1"/>
  <c r="S3" i="29" a="1"/>
  <c r="S3" i="29" s="1"/>
  <c r="S4" i="29" a="1"/>
  <c r="S4" i="29" s="1"/>
  <c r="S5" i="29" a="1"/>
  <c r="S5" i="29" s="1"/>
  <c r="S6" i="29" a="1"/>
  <c r="S6" i="29" s="1"/>
  <c r="S7" i="29" a="1"/>
  <c r="S7" i="29" s="1"/>
  <c r="S8" i="29" a="1"/>
  <c r="S8" i="29" s="1"/>
  <c r="S9" i="29" a="1"/>
  <c r="S9" i="29" s="1"/>
  <c r="S10" i="29" a="1"/>
  <c r="S10" i="29" s="1"/>
  <c r="S11" i="29" a="1"/>
  <c r="S11" i="29" s="1"/>
  <c r="S12" i="29" a="1"/>
  <c r="S12" i="29" s="1"/>
  <c r="S13" i="29" a="1"/>
  <c r="S13" i="29" s="1"/>
  <c r="S14" i="29" a="1"/>
  <c r="S14" i="29" s="1"/>
  <c r="S15" i="29" a="1"/>
  <c r="S15" i="29" s="1"/>
  <c r="S16" i="29" a="1"/>
  <c r="S16" i="29" s="1"/>
  <c r="S17" i="29" a="1"/>
  <c r="S17" i="29" s="1"/>
  <c r="S18" i="29" a="1"/>
  <c r="S18" i="29" s="1"/>
  <c r="S19" i="29" a="1"/>
  <c r="S19" i="29" s="1"/>
  <c r="S20" i="29" a="1"/>
  <c r="S20" i="29" s="1"/>
  <c r="S21" i="29" a="1"/>
  <c r="S21" i="29" s="1"/>
  <c r="S22" i="29" a="1"/>
  <c r="S22" i="29" s="1"/>
  <c r="S23" i="29" a="1"/>
  <c r="S23" i="29" s="1"/>
  <c r="S24" i="29" a="1"/>
  <c r="S24" i="29" s="1"/>
  <c r="S25" i="29" a="1"/>
  <c r="S25" i="29" s="1"/>
  <c r="S26" i="29" a="1"/>
  <c r="S26" i="29" s="1"/>
  <c r="S27" i="29" a="1"/>
  <c r="S27" i="29" s="1"/>
  <c r="S28" i="29" a="1"/>
  <c r="S28" i="29" s="1"/>
  <c r="S29" i="29" a="1"/>
  <c r="S29" i="29" s="1"/>
  <c r="S30" i="29" a="1"/>
  <c r="S30" i="29" s="1"/>
  <c r="S31" i="29" a="1"/>
  <c r="S31" i="29" s="1"/>
  <c r="S32" i="29" a="1"/>
  <c r="S32" i="29" s="1"/>
  <c r="S33" i="29" a="1"/>
  <c r="S33" i="29" s="1"/>
  <c r="S34" i="29" a="1"/>
  <c r="S34" i="29" s="1"/>
  <c r="S35" i="29" a="1"/>
  <c r="S35" i="29" s="1"/>
  <c r="S36" i="29" a="1"/>
  <c r="S36" i="29" s="1"/>
  <c r="S37" i="29" a="1"/>
  <c r="S37" i="29" s="1"/>
  <c r="S38" i="29" a="1"/>
  <c r="S38" i="29" s="1"/>
  <c r="S39" i="29" a="1"/>
  <c r="S39" i="29" s="1"/>
  <c r="S40" i="29" a="1"/>
  <c r="S40" i="29" s="1"/>
  <c r="S41" i="29" a="1"/>
  <c r="S41" i="29" s="1"/>
  <c r="S42" i="29" a="1"/>
  <c r="S42" i="29" s="1"/>
  <c r="S43" i="29" a="1"/>
  <c r="S43" i="29" s="1"/>
  <c r="S44" i="29" a="1"/>
  <c r="S44" i="29" s="1"/>
  <c r="S45" i="29" a="1"/>
  <c r="S45" i="29" s="1"/>
  <c r="S46" i="29" a="1"/>
  <c r="S46" i="29" s="1"/>
  <c r="S47" i="29" a="1"/>
  <c r="S47" i="29" s="1"/>
  <c r="S48" i="29" a="1"/>
  <c r="S48" i="29" s="1"/>
  <c r="S49" i="29" a="1"/>
  <c r="S49" i="29" s="1"/>
  <c r="S50" i="29" a="1"/>
  <c r="S50" i="29" s="1"/>
  <c r="S51" i="29" a="1"/>
  <c r="S51" i="29" s="1"/>
  <c r="S52" i="29" a="1"/>
  <c r="S52" i="29" s="1"/>
  <c r="S53" i="29" a="1"/>
  <c r="S53" i="29" s="1"/>
  <c r="S54" i="29" a="1"/>
  <c r="S54" i="29" s="1"/>
  <c r="S55" i="29" a="1"/>
  <c r="S55" i="29" s="1"/>
  <c r="S56" i="29" a="1"/>
  <c r="S56" i="29" s="1"/>
  <c r="S2" i="18" a="1"/>
  <c r="S2" i="18" s="1"/>
  <c r="S3" i="18" a="1"/>
  <c r="S3" i="18" s="1"/>
  <c r="S4" i="18" a="1"/>
  <c r="S4" i="18" s="1"/>
  <c r="S5" i="18" a="1"/>
  <c r="S5" i="18" s="1"/>
  <c r="S6" i="18" a="1"/>
  <c r="S6" i="18" s="1"/>
  <c r="S7" i="18" a="1"/>
  <c r="S7" i="18" s="1"/>
  <c r="S8" i="18" a="1"/>
  <c r="S8" i="18" s="1"/>
  <c r="S9" i="18" a="1"/>
  <c r="S9" i="18" s="1"/>
  <c r="S10" i="18" a="1"/>
  <c r="S10" i="18" s="1"/>
  <c r="S11" i="18" a="1"/>
  <c r="S11" i="18" s="1"/>
  <c r="S12" i="18" a="1"/>
  <c r="S12" i="18" s="1"/>
  <c r="S13" i="18" a="1"/>
  <c r="S13" i="18" s="1"/>
  <c r="S14" i="18" a="1"/>
  <c r="S14" i="18" s="1"/>
  <c r="S15" i="18" a="1"/>
  <c r="S15" i="18" s="1"/>
  <c r="S16" i="18" a="1"/>
  <c r="S16" i="18" s="1"/>
  <c r="S17" i="18" a="1"/>
  <c r="S17" i="18" s="1"/>
  <c r="S18" i="18" a="1"/>
  <c r="S18" i="18" s="1"/>
  <c r="S19" i="18" a="1"/>
  <c r="S19" i="18" s="1"/>
  <c r="S20" i="18" a="1"/>
  <c r="S20" i="18" s="1"/>
  <c r="S21" i="18" a="1"/>
  <c r="S21" i="18" s="1"/>
  <c r="S22" i="18" a="1"/>
  <c r="S22" i="18" s="1"/>
  <c r="S23" i="18" a="1"/>
  <c r="S23" i="18" s="1"/>
  <c r="S24" i="18" a="1"/>
  <c r="S24" i="18" s="1"/>
  <c r="S25" i="18" a="1"/>
  <c r="S25" i="18" s="1"/>
  <c r="S26" i="18" a="1"/>
  <c r="S26" i="18" s="1"/>
  <c r="S27" i="18" a="1"/>
  <c r="S27" i="18" s="1"/>
  <c r="S28" i="18" a="1"/>
  <c r="S28" i="18" s="1"/>
  <c r="S29" i="18" a="1"/>
  <c r="S29" i="18" s="1"/>
  <c r="S30" i="18" a="1"/>
  <c r="S30" i="18" s="1"/>
  <c r="S31" i="18" a="1"/>
  <c r="S31" i="18" s="1"/>
  <c r="S32" i="18" a="1"/>
  <c r="S32" i="18" s="1"/>
  <c r="S33" i="18" a="1"/>
  <c r="S33" i="18" s="1"/>
  <c r="S34" i="18" a="1"/>
  <c r="S34" i="18" s="1"/>
  <c r="S35" i="18" a="1"/>
  <c r="S35" i="18" s="1"/>
  <c r="S36" i="18" a="1"/>
  <c r="S36" i="18" s="1"/>
  <c r="S37" i="18" a="1"/>
  <c r="S37" i="18" s="1"/>
  <c r="S38" i="18" a="1"/>
  <c r="S38" i="18" s="1"/>
  <c r="S39" i="18" a="1"/>
  <c r="S39" i="18" s="1"/>
  <c r="S40" i="18" a="1"/>
  <c r="S40" i="18" s="1"/>
  <c r="S41" i="18" a="1"/>
  <c r="S41" i="18" s="1"/>
  <c r="S42" i="18" a="1"/>
  <c r="S42" i="18" s="1"/>
  <c r="S43" i="18" a="1"/>
  <c r="S43" i="18" s="1"/>
  <c r="S44" i="18" a="1"/>
  <c r="S44" i="18" s="1"/>
  <c r="S45" i="18" a="1"/>
  <c r="S45" i="18" s="1"/>
  <c r="S46" i="18" a="1"/>
  <c r="S46" i="18" s="1"/>
  <c r="S47" i="18" a="1"/>
  <c r="S47" i="18" s="1"/>
  <c r="S48" i="18" a="1"/>
  <c r="S48" i="18" s="1"/>
  <c r="S49" i="18" a="1"/>
  <c r="S49" i="18" s="1"/>
  <c r="S50" i="18" a="1"/>
  <c r="S50" i="18" s="1"/>
  <c r="S51" i="18" a="1"/>
  <c r="S51" i="18" s="1"/>
  <c r="S52" i="18" a="1"/>
  <c r="S52" i="18" s="1"/>
  <c r="S53" i="18" a="1"/>
  <c r="S53" i="18" s="1"/>
  <c r="S54" i="18" a="1"/>
  <c r="S54" i="18" s="1"/>
  <c r="S55" i="18" a="1"/>
  <c r="S55" i="18" s="1"/>
  <c r="S56" i="18" a="1"/>
  <c r="S56" i="18" s="1"/>
  <c r="S57" i="18" a="1"/>
  <c r="S57" i="18" s="1"/>
  <c r="S58" i="18" a="1"/>
  <c r="S58" i="18" s="1"/>
  <c r="S59" i="18" a="1"/>
  <c r="S59" i="18" s="1"/>
  <c r="S60" i="18" a="1"/>
  <c r="S60" i="18" s="1"/>
  <c r="S61" i="18" a="1"/>
  <c r="S61" i="18" s="1"/>
  <c r="S62" i="18" a="1"/>
  <c r="S62" i="18" s="1"/>
  <c r="S63" i="18" a="1"/>
  <c r="S63" i="18" s="1"/>
  <c r="S64" i="18" a="1"/>
  <c r="S64" i="18" s="1"/>
  <c r="S65" i="18" a="1"/>
  <c r="S65" i="18" s="1"/>
  <c r="S66" i="18" a="1"/>
  <c r="S66" i="18" s="1"/>
  <c r="S67" i="18" a="1"/>
  <c r="S67" i="18" s="1"/>
  <c r="S68" i="18" a="1"/>
  <c r="S68" i="18" s="1"/>
  <c r="S69" i="18" a="1"/>
  <c r="S69" i="18" s="1"/>
  <c r="S70" i="18" a="1"/>
  <c r="S70" i="18" s="1"/>
  <c r="S71" i="18" a="1"/>
  <c r="S71" i="18" s="1"/>
  <c r="S72" i="18" a="1"/>
  <c r="S72" i="18" s="1"/>
  <c r="S73" i="18" a="1"/>
  <c r="S73" i="18" s="1"/>
  <c r="S74" i="18" a="1"/>
  <c r="S74" i="18" s="1"/>
  <c r="S75" i="18" a="1"/>
  <c r="S75" i="18" s="1"/>
  <c r="S76" i="18" a="1"/>
  <c r="S76" i="18" s="1"/>
  <c r="S77" i="18" a="1"/>
  <c r="S77" i="18" s="1"/>
  <c r="S78" i="18" a="1"/>
  <c r="S78" i="18" s="1"/>
  <c r="S79" i="18" a="1"/>
  <c r="S79" i="18" s="1"/>
  <c r="S80" i="18" a="1"/>
  <c r="S80" i="18" s="1"/>
  <c r="S81" i="18" a="1"/>
  <c r="S81" i="18" s="1"/>
  <c r="S82" i="18" a="1"/>
  <c r="S82" i="18" s="1"/>
  <c r="S83" i="18" a="1"/>
  <c r="S83" i="18" s="1"/>
  <c r="S84" i="18" a="1"/>
  <c r="S84" i="18" s="1"/>
  <c r="S85" i="18" a="1"/>
  <c r="S85" i="18" s="1"/>
  <c r="S86" i="18" a="1"/>
  <c r="S86" i="18" s="1"/>
  <c r="S87" i="18" a="1"/>
  <c r="S87" i="18" s="1"/>
  <c r="S88" i="18" a="1"/>
  <c r="S88" i="18" s="1"/>
  <c r="S89" i="18" a="1"/>
  <c r="S89" i="18" s="1"/>
  <c r="S90" i="18" a="1"/>
  <c r="S90" i="18" s="1"/>
  <c r="S91" i="18" a="1"/>
  <c r="S91" i="18" s="1"/>
  <c r="S92" i="18" a="1"/>
  <c r="S92" i="18" s="1"/>
  <c r="S93" i="18" a="1"/>
  <c r="S93" i="18" s="1"/>
  <c r="S94" i="18" a="1"/>
  <c r="S94" i="18" s="1"/>
  <c r="S95" i="18" a="1"/>
  <c r="S95" i="18" s="1"/>
  <c r="S96" i="18" a="1"/>
  <c r="S96" i="18" s="1"/>
  <c r="S97" i="18" a="1"/>
  <c r="S97" i="18" s="1"/>
  <c r="S98" i="18" a="1"/>
  <c r="S98" i="18" s="1"/>
  <c r="S99" i="18" a="1"/>
  <c r="S99" i="18" s="1"/>
  <c r="S100" i="18" a="1"/>
  <c r="S100" i="18" s="1"/>
  <c r="S101" i="18" a="1"/>
  <c r="S101" i="18" s="1"/>
  <c r="S102" i="18" a="1"/>
  <c r="S102" i="18" s="1"/>
  <c r="S103" i="18" a="1"/>
  <c r="S103" i="18" s="1"/>
  <c r="S104" i="18" a="1"/>
  <c r="S104" i="18" s="1"/>
  <c r="S105" i="18" a="1"/>
  <c r="S105" i="18" s="1"/>
  <c r="S106" i="18" a="1"/>
  <c r="S106" i="18" s="1"/>
  <c r="S107" i="18" a="1"/>
  <c r="S107" i="18" s="1"/>
  <c r="S108" i="18" a="1"/>
  <c r="S108" i="18" s="1"/>
  <c r="S109" i="18" a="1"/>
  <c r="S109" i="18" s="1"/>
  <c r="S110" i="18" a="1"/>
  <c r="S110" i="18" s="1"/>
  <c r="S111" i="18" a="1"/>
  <c r="S111" i="18" s="1"/>
  <c r="S112" i="18" a="1"/>
  <c r="S112" i="18" s="1"/>
  <c r="S113" i="18" a="1"/>
  <c r="S113" i="18" s="1"/>
  <c r="S114" i="18" a="1"/>
  <c r="S114" i="18" s="1"/>
  <c r="S115" i="18" a="1"/>
  <c r="S115" i="18" s="1"/>
  <c r="S116" i="18" a="1"/>
  <c r="S116" i="18" s="1"/>
  <c r="S117" i="18" a="1"/>
  <c r="S117" i="18" s="1"/>
  <c r="S118" i="18" a="1"/>
  <c r="S118" i="18" s="1"/>
  <c r="S119" i="18" a="1"/>
  <c r="S119" i="18" s="1"/>
  <c r="S120" i="18" a="1"/>
  <c r="S120" i="18" s="1"/>
  <c r="S121" i="18" a="1"/>
  <c r="S121" i="18" s="1"/>
  <c r="S122" i="18" a="1"/>
  <c r="S122" i="18" s="1"/>
  <c r="S123" i="18" a="1"/>
  <c r="S123" i="18" s="1"/>
  <c r="S124" i="18" a="1"/>
  <c r="S124" i="18" s="1"/>
  <c r="S125" i="18" a="1"/>
  <c r="S125" i="18" s="1"/>
  <c r="S126" i="18" a="1"/>
  <c r="S126" i="18" s="1"/>
  <c r="S127" i="18" a="1"/>
  <c r="S127" i="18" s="1"/>
  <c r="S128" i="18" a="1"/>
  <c r="S128" i="18" s="1"/>
  <c r="S129" i="18" a="1"/>
  <c r="S129" i="18" s="1"/>
  <c r="S130" i="18" a="1"/>
  <c r="S130" i="18" s="1"/>
  <c r="S131" i="18" a="1"/>
  <c r="S131" i="18" s="1"/>
  <c r="S132" i="18" a="1"/>
  <c r="S132" i="18" s="1"/>
  <c r="S133" i="18" a="1"/>
  <c r="S133" i="18" s="1"/>
  <c r="S134" i="18" a="1"/>
  <c r="S134" i="18" s="1"/>
  <c r="S135" i="18" a="1"/>
  <c r="S135" i="18" s="1"/>
  <c r="S136" i="18" a="1"/>
  <c r="S136" i="18" s="1"/>
  <c r="S137" i="18" a="1"/>
  <c r="S137" i="18" s="1"/>
  <c r="S138" i="18" a="1"/>
  <c r="S138" i="18" s="1"/>
  <c r="S139" i="18" a="1"/>
  <c r="S139" i="18" s="1"/>
  <c r="S140" i="18" a="1"/>
  <c r="S140" i="18" s="1"/>
  <c r="S141" i="18" a="1"/>
  <c r="S141" i="18" s="1"/>
  <c r="S142" i="18" a="1"/>
  <c r="S142" i="18" s="1"/>
  <c r="S143" i="18" a="1"/>
  <c r="S143" i="18" s="1"/>
  <c r="S144" i="18" a="1"/>
  <c r="S144" i="18" s="1"/>
  <c r="S145" i="18" a="1"/>
  <c r="S145" i="18" s="1"/>
  <c r="S146" i="18" a="1"/>
  <c r="S146" i="18" s="1"/>
  <c r="S147" i="18" a="1"/>
  <c r="S147" i="18" s="1"/>
  <c r="S148" i="18" a="1"/>
  <c r="S148" i="18" s="1"/>
  <c r="S149" i="18" a="1"/>
  <c r="S149" i="18" s="1"/>
  <c r="S150" i="18" a="1"/>
  <c r="S150" i="18" s="1"/>
  <c r="S151" i="18" a="1"/>
  <c r="S151" i="18" s="1"/>
  <c r="S152" i="18" a="1"/>
  <c r="S152" i="18" s="1"/>
  <c r="S153" i="18" a="1"/>
  <c r="S153" i="18" s="1"/>
  <c r="S154" i="18" a="1"/>
  <c r="S154" i="18" s="1"/>
  <c r="S155" i="18" a="1"/>
  <c r="S155" i="18" s="1"/>
  <c r="S156" i="18" a="1"/>
  <c r="S156" i="18" s="1"/>
  <c r="S157" i="18" a="1"/>
  <c r="S157" i="18" s="1"/>
  <c r="S158" i="18" a="1"/>
  <c r="S158" i="18" s="1"/>
  <c r="S159" i="18" a="1"/>
  <c r="S159" i="18" s="1"/>
  <c r="S160" i="18" a="1"/>
  <c r="S160" i="18" s="1"/>
  <c r="S161" i="18" a="1"/>
  <c r="S161" i="18" s="1"/>
  <c r="S162" i="18" a="1"/>
  <c r="S162" i="18" s="1"/>
  <c r="S163" i="18" a="1"/>
  <c r="S163" i="18" s="1"/>
  <c r="S164" i="18" a="1"/>
  <c r="S164" i="18" s="1"/>
  <c r="S165" i="18" a="1"/>
  <c r="S165" i="18" s="1"/>
  <c r="S166" i="18" a="1"/>
  <c r="S166" i="18" s="1"/>
  <c r="S167" i="18" a="1"/>
  <c r="S167" i="18" s="1"/>
  <c r="S168" i="18" a="1"/>
  <c r="S168" i="18" s="1"/>
  <c r="S169" i="18" a="1"/>
  <c r="S169" i="18" s="1"/>
  <c r="S170" i="18" a="1"/>
  <c r="S170" i="18" s="1"/>
  <c r="S171" i="18" a="1"/>
  <c r="S171" i="18" s="1"/>
  <c r="S172" i="18" a="1"/>
  <c r="S172" i="18" s="1"/>
  <c r="S173" i="18" a="1"/>
  <c r="S173" i="18" s="1"/>
  <c r="S174" i="18" a="1"/>
  <c r="S174" i="18" s="1"/>
  <c r="S175" i="18" a="1"/>
  <c r="S175" i="18" s="1"/>
  <c r="S176" i="18" a="1"/>
  <c r="S176" i="18" s="1"/>
  <c r="S177" i="18" a="1"/>
  <c r="S177" i="18" s="1"/>
  <c r="S178" i="18" a="1"/>
  <c r="S178" i="18" s="1"/>
  <c r="S179" i="18" a="1"/>
  <c r="S179" i="18" s="1"/>
  <c r="S180" i="18" a="1"/>
  <c r="S180" i="18" s="1"/>
  <c r="S181" i="18" a="1"/>
  <c r="S181" i="18" s="1"/>
  <c r="S182" i="18" a="1"/>
  <c r="S182" i="18" s="1"/>
  <c r="S183" i="18" a="1"/>
  <c r="S183" i="18" s="1"/>
  <c r="S184" i="18" a="1"/>
  <c r="S184" i="18" s="1"/>
  <c r="S185" i="18" a="1"/>
  <c r="S185" i="18" s="1"/>
  <c r="S186" i="18" a="1"/>
  <c r="S186" i="18" s="1"/>
  <c r="S187" i="18" a="1"/>
  <c r="S187" i="18" s="1"/>
  <c r="S188" i="18" a="1"/>
  <c r="S188" i="18" s="1"/>
  <c r="S189" i="18" a="1"/>
  <c r="S189" i="18" s="1"/>
  <c r="S190" i="18" a="1"/>
  <c r="S190" i="18" s="1"/>
  <c r="S191" i="18" a="1"/>
  <c r="S191" i="18" s="1"/>
  <c r="S192" i="18" a="1"/>
  <c r="S192" i="18" s="1"/>
  <c r="S193" i="18" a="1"/>
  <c r="S193" i="18" s="1"/>
  <c r="S194" i="18" a="1"/>
  <c r="S194" i="18" s="1"/>
  <c r="S195" i="18" a="1"/>
  <c r="S195" i="18" s="1"/>
  <c r="S196" i="18" a="1"/>
  <c r="S196" i="18" s="1"/>
  <c r="S197" i="18" a="1"/>
  <c r="S197" i="18" s="1"/>
  <c r="S198" i="18" a="1"/>
  <c r="S198" i="18" s="1"/>
  <c r="S199" i="18" a="1"/>
  <c r="S199" i="18" s="1"/>
  <c r="S200" i="18" a="1"/>
  <c r="S200" i="18" s="1"/>
  <c r="S201" i="18" a="1"/>
  <c r="S201" i="18" s="1"/>
  <c r="S202" i="18" a="1"/>
  <c r="S202" i="18" s="1"/>
  <c r="S203" i="18" a="1"/>
  <c r="S203" i="18" s="1"/>
  <c r="S204" i="18" a="1"/>
  <c r="S204" i="18" s="1"/>
  <c r="S205" i="18" a="1"/>
  <c r="S205" i="18" s="1"/>
  <c r="S206" i="18" a="1"/>
  <c r="S206" i="18" s="1"/>
  <c r="S207" i="18" a="1"/>
  <c r="S207" i="18" s="1"/>
  <c r="S208" i="18" a="1"/>
  <c r="S208" i="18" s="1"/>
  <c r="S209" i="18" a="1"/>
  <c r="S209" i="18" s="1"/>
  <c r="S210" i="18" a="1"/>
  <c r="S210" i="18" s="1"/>
  <c r="S211" i="18" a="1"/>
  <c r="S211" i="18" s="1"/>
  <c r="S212" i="18" a="1"/>
  <c r="S212" i="18" s="1"/>
  <c r="S213" i="18" a="1"/>
  <c r="S213" i="18" s="1"/>
  <c r="S214" i="18" a="1"/>
  <c r="S214" i="18" s="1"/>
  <c r="S215" i="18" a="1"/>
  <c r="S215" i="18" s="1"/>
  <c r="S216" i="18" a="1"/>
  <c r="S216" i="18" s="1"/>
  <c r="S217" i="18" a="1"/>
  <c r="S217" i="18" s="1"/>
  <c r="S218" i="18" a="1"/>
  <c r="S218" i="18" s="1"/>
  <c r="S219" i="18" a="1"/>
  <c r="S219" i="18" s="1"/>
  <c r="S220" i="18" a="1"/>
  <c r="S220" i="18" s="1"/>
  <c r="S221" i="18" a="1"/>
  <c r="S221" i="18" s="1"/>
  <c r="S222" i="18" a="1"/>
  <c r="S222" i="18" s="1"/>
  <c r="S223" i="18" a="1"/>
  <c r="S223" i="18" s="1"/>
  <c r="S224" i="18" a="1"/>
  <c r="S224" i="18" s="1"/>
  <c r="S225" i="18" a="1"/>
  <c r="S225" i="18" s="1"/>
  <c r="S226" i="18" a="1"/>
  <c r="S226" i="18" s="1"/>
  <c r="S227" i="18" a="1"/>
  <c r="S227" i="18" s="1"/>
  <c r="S228" i="18" a="1"/>
  <c r="S228" i="18" s="1"/>
  <c r="S229" i="18" a="1"/>
  <c r="S229" i="18" s="1"/>
  <c r="S230" i="18" a="1"/>
  <c r="S230" i="18" s="1"/>
  <c r="S231" i="18" a="1"/>
  <c r="S231" i="18" s="1"/>
  <c r="S232" i="18" a="1"/>
  <c r="S232" i="18" s="1"/>
  <c r="S233" i="18" a="1"/>
  <c r="S233" i="18" s="1"/>
  <c r="S234" i="18" a="1"/>
  <c r="S234" i="18" s="1"/>
  <c r="S235" i="18" a="1"/>
  <c r="S235" i="18" s="1"/>
  <c r="S236" i="18" a="1"/>
  <c r="S236" i="18" s="1"/>
  <c r="S237" i="18" a="1"/>
  <c r="S237" i="18" s="1"/>
  <c r="S238" i="18" a="1"/>
  <c r="S238" i="18" s="1"/>
  <c r="S239" i="18" a="1"/>
  <c r="S239" i="18" s="1"/>
  <c r="S240" i="18" a="1"/>
  <c r="S240" i="18" s="1"/>
  <c r="S241" i="18" a="1"/>
  <c r="S241" i="18" s="1"/>
  <c r="S242" i="18" a="1"/>
  <c r="S242" i="18" s="1"/>
  <c r="S243" i="18" a="1"/>
  <c r="S243" i="18" s="1"/>
  <c r="S244" i="18" a="1"/>
  <c r="S244" i="18" s="1"/>
  <c r="S245" i="18" a="1"/>
  <c r="S245" i="18" s="1"/>
  <c r="S246" i="18" a="1"/>
  <c r="S246" i="18" s="1"/>
  <c r="S247" i="18" a="1"/>
  <c r="S247" i="18" s="1"/>
  <c r="S248" i="18" a="1"/>
  <c r="S248" i="18" s="1"/>
  <c r="S249" i="18" a="1"/>
  <c r="S249" i="18" s="1"/>
  <c r="S250" i="18" a="1"/>
  <c r="S250" i="18" s="1"/>
  <c r="S251" i="18" a="1"/>
  <c r="S251" i="18" s="1"/>
  <c r="S252" i="18" a="1"/>
  <c r="S252" i="18" s="1"/>
  <c r="S253" i="18" a="1"/>
  <c r="S253" i="18" s="1"/>
  <c r="S254" i="18" a="1"/>
  <c r="S254" i="18" s="1"/>
  <c r="S255" i="18" a="1"/>
  <c r="S255" i="18" s="1"/>
  <c r="S256" i="18" a="1"/>
  <c r="S256" i="18" s="1"/>
  <c r="S257" i="18" a="1"/>
  <c r="S257" i="18" s="1"/>
  <c r="S258" i="18" a="1"/>
  <c r="S258" i="18" s="1"/>
  <c r="S259" i="18" a="1"/>
  <c r="S259" i="18" s="1"/>
  <c r="S260" i="18" a="1"/>
  <c r="S260" i="18" s="1"/>
  <c r="S261" i="18" a="1"/>
  <c r="S261" i="18" s="1"/>
  <c r="S262" i="18" a="1"/>
  <c r="S262" i="18" s="1"/>
  <c r="S263" i="18" a="1"/>
  <c r="S263" i="18" s="1"/>
  <c r="S264" i="18" a="1"/>
  <c r="S264" i="18" s="1"/>
  <c r="S265" i="18" a="1"/>
  <c r="S265" i="18" s="1"/>
  <c r="S266" i="18" a="1"/>
  <c r="S266" i="18" s="1"/>
  <c r="S267" i="18" a="1"/>
  <c r="S267" i="18" s="1"/>
  <c r="S268" i="18" a="1"/>
  <c r="S268" i="18" s="1"/>
  <c r="S269" i="18" a="1"/>
  <c r="S269" i="18" s="1"/>
  <c r="S270" i="18" a="1"/>
  <c r="S270" i="18" s="1"/>
  <c r="S271" i="18" a="1"/>
  <c r="S271" i="18" s="1"/>
  <c r="S272" i="18" a="1"/>
  <c r="S272" i="18" s="1"/>
  <c r="S273" i="18" a="1"/>
  <c r="S273" i="18" s="1"/>
  <c r="S274" i="18" a="1"/>
  <c r="S274" i="18" s="1"/>
  <c r="S275" i="18" a="1"/>
  <c r="S275" i="18" s="1"/>
  <c r="S276" i="18" a="1"/>
  <c r="S276" i="18" s="1"/>
  <c r="S277" i="18" a="1"/>
  <c r="S277" i="18" s="1"/>
  <c r="S278" i="18" a="1"/>
  <c r="S278" i="18" s="1"/>
  <c r="S279" i="18" a="1"/>
  <c r="S279" i="18" s="1"/>
  <c r="S280" i="18" a="1"/>
  <c r="S280" i="18" s="1"/>
  <c r="S281" i="18" a="1"/>
  <c r="S281" i="18" s="1"/>
  <c r="S282" i="18" a="1"/>
  <c r="S282" i="18" s="1"/>
  <c r="S283" i="18" a="1"/>
  <c r="S283" i="18" s="1"/>
  <c r="S284" i="18" a="1"/>
  <c r="S284" i="18" s="1"/>
  <c r="S285" i="18" a="1"/>
  <c r="S285" i="18" s="1"/>
  <c r="S286" i="18" a="1"/>
  <c r="S286" i="18" s="1"/>
  <c r="S287" i="18" a="1"/>
  <c r="S287" i="18" s="1"/>
  <c r="S288" i="18" a="1"/>
  <c r="S288" i="18" s="1"/>
  <c r="S289" i="18" a="1"/>
  <c r="S289" i="18" s="1"/>
  <c r="S290" i="18" a="1"/>
  <c r="S290" i="18" s="1"/>
  <c r="S291" i="18" a="1"/>
  <c r="S291" i="18" s="1"/>
  <c r="S292" i="18" a="1"/>
  <c r="S292" i="18" s="1"/>
  <c r="S293" i="18" a="1"/>
  <c r="S293" i="18" s="1"/>
  <c r="S294" i="18" a="1"/>
  <c r="S294" i="18" s="1"/>
  <c r="S295" i="18" a="1"/>
  <c r="S295" i="18" s="1"/>
  <c r="S296" i="18" a="1"/>
  <c r="S296" i="18" s="1"/>
  <c r="S297" i="18" a="1"/>
  <c r="S297" i="18" s="1"/>
  <c r="S298" i="18" a="1"/>
  <c r="S298" i="18" s="1"/>
  <c r="S299" i="18" a="1"/>
  <c r="S299" i="18" s="1"/>
  <c r="S300" i="18" a="1"/>
  <c r="S300" i="18" s="1"/>
  <c r="S301" i="18" a="1"/>
  <c r="S301" i="18" s="1"/>
  <c r="S302" i="18" a="1"/>
  <c r="S302" i="18" s="1"/>
  <c r="S303" i="18" a="1"/>
  <c r="S303" i="18" s="1"/>
  <c r="S304" i="18" a="1"/>
  <c r="S304" i="18" s="1"/>
  <c r="S305" i="18" a="1"/>
  <c r="S305" i="18" s="1"/>
  <c r="S306" i="18" a="1"/>
  <c r="S306" i="18" s="1"/>
  <c r="S307" i="18" a="1"/>
  <c r="S307" i="18" s="1"/>
  <c r="S308" i="18" a="1"/>
  <c r="S308" i="18" s="1"/>
  <c r="S309" i="18" a="1"/>
  <c r="S309" i="18" s="1"/>
  <c r="S310" i="18" a="1"/>
  <c r="S310" i="18" s="1"/>
  <c r="S311" i="18" a="1"/>
  <c r="S311" i="18" s="1"/>
  <c r="S312" i="18" a="1"/>
  <c r="S312" i="18" s="1"/>
  <c r="S313" i="18" a="1"/>
  <c r="S313" i="18" s="1"/>
  <c r="S314" i="18" a="1"/>
  <c r="S314" i="18" s="1"/>
  <c r="S315" i="18" a="1"/>
  <c r="S315" i="18" s="1"/>
  <c r="S316" i="18" a="1"/>
  <c r="S316" i="18" s="1"/>
  <c r="S317" i="18" a="1"/>
  <c r="S317" i="18" s="1"/>
  <c r="S318" i="18" a="1"/>
  <c r="S318" i="18" s="1"/>
  <c r="S319" i="18" a="1"/>
  <c r="S319" i="18" s="1"/>
  <c r="S320" i="18" a="1"/>
  <c r="S320" i="18" s="1"/>
  <c r="S321" i="18" a="1"/>
  <c r="S321" i="18" s="1"/>
  <c r="S322" i="18" a="1"/>
  <c r="S322" i="18" s="1"/>
  <c r="S323" i="18" a="1"/>
  <c r="S323" i="18" s="1"/>
  <c r="S324" i="18" a="1"/>
  <c r="S324" i="18" s="1"/>
  <c r="S325" i="18" a="1"/>
  <c r="S325" i="18" s="1"/>
  <c r="S326" i="18" a="1"/>
  <c r="S326" i="18" s="1"/>
  <c r="S327" i="18" a="1"/>
  <c r="S327" i="18" s="1"/>
  <c r="S328" i="18" a="1"/>
  <c r="S328" i="18" s="1"/>
  <c r="S329" i="18" a="1"/>
  <c r="S329" i="18" s="1"/>
  <c r="S330" i="18" a="1"/>
  <c r="S330" i="18" s="1"/>
  <c r="S331" i="18" a="1"/>
  <c r="S331" i="18" s="1"/>
  <c r="S332" i="18" a="1"/>
  <c r="S332" i="18" s="1"/>
  <c r="S333" i="18" a="1"/>
  <c r="S333" i="18" s="1"/>
  <c r="S334" i="18" a="1"/>
  <c r="S334" i="18" s="1"/>
  <c r="S335" i="18" a="1"/>
  <c r="S335" i="18" s="1"/>
  <c r="S336" i="18" a="1"/>
  <c r="S336" i="18" s="1"/>
  <c r="S337" i="18" a="1"/>
  <c r="S337" i="18" s="1"/>
  <c r="S338" i="18" a="1"/>
  <c r="S338" i="18" s="1"/>
  <c r="S339" i="18" a="1"/>
  <c r="S339" i="18" s="1"/>
  <c r="S340" i="18" a="1"/>
  <c r="S340" i="18" s="1"/>
  <c r="S341" i="18" a="1"/>
  <c r="S341" i="18" s="1"/>
  <c r="S342" i="18" a="1"/>
  <c r="S342" i="18" s="1"/>
  <c r="S343" i="18" a="1"/>
  <c r="S343" i="18" s="1"/>
  <c r="S344" i="18" a="1"/>
  <c r="S344" i="18" s="1"/>
  <c r="S345" i="18" a="1"/>
  <c r="S345" i="18" s="1"/>
  <c r="S346" i="18" a="1"/>
  <c r="S346" i="18" s="1"/>
  <c r="S347" i="18" a="1"/>
  <c r="S347" i="18" s="1"/>
  <c r="S348" i="18" a="1"/>
  <c r="S348" i="18" s="1"/>
  <c r="S349" i="18" a="1"/>
  <c r="S349" i="18" s="1"/>
  <c r="S350" i="18" a="1"/>
  <c r="S350" i="18" s="1"/>
  <c r="S351" i="18" a="1"/>
  <c r="S351" i="18" s="1"/>
  <c r="S352" i="18" a="1"/>
  <c r="S352" i="18" s="1"/>
  <c r="S353" i="18" a="1"/>
  <c r="S353" i="18" s="1"/>
  <c r="S354" i="18" a="1"/>
  <c r="S354" i="18" s="1"/>
  <c r="S2" i="19" a="1"/>
  <c r="S2" i="19" s="1"/>
  <c r="S3" i="19" a="1"/>
  <c r="S3" i="19" s="1"/>
  <c r="S4" i="19" a="1"/>
  <c r="S4" i="19" s="1"/>
  <c r="S5" i="19" a="1"/>
  <c r="S5" i="19" s="1"/>
  <c r="S6" i="19" a="1"/>
  <c r="S6" i="19" s="1"/>
  <c r="S7" i="19" a="1"/>
  <c r="S7" i="19" s="1"/>
  <c r="S8" i="19" a="1"/>
  <c r="S8" i="19" s="1"/>
  <c r="S9" i="19" a="1"/>
  <c r="S9" i="19" s="1"/>
  <c r="S10" i="19" a="1"/>
  <c r="S10" i="19" s="1"/>
  <c r="S11" i="19" a="1"/>
  <c r="S11" i="19" s="1"/>
  <c r="S12" i="19" a="1"/>
  <c r="S12" i="19" s="1"/>
  <c r="S13" i="19" a="1"/>
  <c r="S13" i="19" s="1"/>
  <c r="S14" i="19" a="1"/>
  <c r="S14" i="19" s="1"/>
  <c r="S15" i="19" a="1"/>
  <c r="S15" i="19" s="1"/>
  <c r="S16" i="19" a="1"/>
  <c r="S16" i="19" s="1"/>
  <c r="S17" i="19" a="1"/>
  <c r="S17" i="19" s="1"/>
  <c r="S18" i="19" a="1"/>
  <c r="S18" i="19" s="1"/>
  <c r="S19" i="19" a="1"/>
  <c r="S19" i="19" s="1"/>
  <c r="S20" i="19" a="1"/>
  <c r="S20" i="19" s="1"/>
  <c r="S21" i="19" a="1"/>
  <c r="S21" i="19" s="1"/>
  <c r="S22" i="19" a="1"/>
  <c r="S22" i="19" s="1"/>
  <c r="S23" i="19" a="1"/>
  <c r="S23" i="19" s="1"/>
  <c r="S24" i="19" a="1"/>
  <c r="S24" i="19" s="1"/>
  <c r="S25" i="19" a="1"/>
  <c r="S25" i="19" s="1"/>
  <c r="S26" i="19" a="1"/>
  <c r="S26" i="19" s="1"/>
  <c r="S27" i="19" a="1"/>
  <c r="S27" i="19" s="1"/>
  <c r="S28" i="19" a="1"/>
  <c r="S28" i="19" s="1"/>
  <c r="S29" i="19" a="1"/>
  <c r="S29" i="19" s="1"/>
  <c r="S30" i="19" a="1"/>
  <c r="S30" i="19" s="1"/>
  <c r="S31" i="19" a="1"/>
  <c r="S31" i="19" s="1"/>
  <c r="S32" i="19" a="1"/>
  <c r="S32" i="19" s="1"/>
  <c r="S33" i="19" a="1"/>
  <c r="S33" i="19" s="1"/>
  <c r="S34" i="19" a="1"/>
  <c r="S34" i="19" s="1"/>
  <c r="S35" i="19" a="1"/>
  <c r="S35" i="19" s="1"/>
  <c r="S36" i="19" a="1"/>
  <c r="S36" i="19" s="1"/>
  <c r="S37" i="19" a="1"/>
  <c r="S37" i="19" s="1"/>
  <c r="S38" i="19" a="1"/>
  <c r="S38" i="19" s="1"/>
  <c r="S39" i="19" a="1"/>
  <c r="S39" i="19" s="1"/>
  <c r="S40" i="19" a="1"/>
  <c r="S40" i="19" s="1"/>
  <c r="S41" i="19" a="1"/>
  <c r="S41" i="19" s="1"/>
  <c r="S42" i="19" a="1"/>
  <c r="S42" i="19" s="1"/>
  <c r="S43" i="19" a="1"/>
  <c r="S43" i="19" s="1"/>
  <c r="S44" i="19" a="1"/>
  <c r="S44" i="19" s="1"/>
  <c r="S45" i="19" a="1"/>
  <c r="S45" i="19" s="1"/>
  <c r="S46" i="19" a="1"/>
  <c r="S46" i="19" s="1"/>
  <c r="S47" i="19" a="1"/>
  <c r="S47" i="19" s="1"/>
  <c r="S48" i="19" a="1"/>
  <c r="S48" i="19" s="1"/>
  <c r="S49" i="19" a="1"/>
  <c r="S49" i="19" s="1"/>
  <c r="S50" i="19" a="1"/>
  <c r="S50" i="19" s="1"/>
  <c r="S51" i="19" a="1"/>
  <c r="S51" i="19" s="1"/>
  <c r="S52" i="19" a="1"/>
  <c r="S52" i="19" s="1"/>
  <c r="S53" i="19" a="1"/>
  <c r="S53" i="19" s="1"/>
  <c r="S54" i="19" a="1"/>
  <c r="S54" i="19" s="1"/>
  <c r="S55" i="19" a="1"/>
  <c r="S55" i="19" s="1"/>
  <c r="S56" i="19" a="1"/>
  <c r="S56" i="19" s="1"/>
  <c r="S57" i="19" a="1"/>
  <c r="S57" i="19" s="1"/>
  <c r="S58" i="19" a="1"/>
  <c r="S58" i="19" s="1"/>
  <c r="S59" i="19" a="1"/>
  <c r="S59" i="19" s="1"/>
  <c r="S60" i="19" a="1"/>
  <c r="S60" i="19" s="1"/>
  <c r="S61" i="19" a="1"/>
  <c r="S61" i="19" s="1"/>
  <c r="S62" i="19" a="1"/>
  <c r="S62" i="19" s="1"/>
  <c r="S63" i="19" a="1"/>
  <c r="S63" i="19" s="1"/>
  <c r="S64" i="19" a="1"/>
  <c r="S64" i="19" s="1"/>
  <c r="S65" i="19" a="1"/>
  <c r="S65" i="19" s="1"/>
  <c r="S66" i="19" a="1"/>
  <c r="S66" i="19" s="1"/>
  <c r="S67" i="19" a="1"/>
  <c r="S67" i="19" s="1"/>
  <c r="S68" i="19" a="1"/>
  <c r="S68" i="19" s="1"/>
  <c r="S69" i="19" a="1"/>
  <c r="S69" i="19" s="1"/>
  <c r="S70" i="19" a="1"/>
  <c r="S70" i="19" s="1"/>
  <c r="S71" i="19" a="1"/>
  <c r="S71" i="19" s="1"/>
  <c r="S72" i="19" a="1"/>
  <c r="S72" i="19" s="1"/>
  <c r="S73" i="19" a="1"/>
  <c r="S73" i="19" s="1"/>
  <c r="S74" i="19" a="1"/>
  <c r="S74" i="19" s="1"/>
  <c r="S75" i="19" a="1"/>
  <c r="S75" i="19" s="1"/>
  <c r="S76" i="19" a="1"/>
  <c r="S76" i="19" s="1"/>
  <c r="S77" i="19" a="1"/>
  <c r="S77" i="19" s="1"/>
  <c r="S78" i="19" a="1"/>
  <c r="S78" i="19" s="1"/>
  <c r="S79" i="19" a="1"/>
  <c r="S79" i="19" s="1"/>
  <c r="S80" i="19" a="1"/>
  <c r="S80" i="19" s="1"/>
  <c r="S81" i="19" a="1"/>
  <c r="S81" i="19" s="1"/>
  <c r="S82" i="19" a="1"/>
  <c r="S82" i="19" s="1"/>
  <c r="S83" i="19" a="1"/>
  <c r="S83" i="19" s="1"/>
  <c r="S84" i="19" a="1"/>
  <c r="S84" i="19" s="1"/>
  <c r="S85" i="19" a="1"/>
  <c r="S85" i="19" s="1"/>
  <c r="S86" i="19" a="1"/>
  <c r="S86" i="19" s="1"/>
  <c r="S87" i="19" a="1"/>
  <c r="S87" i="19" s="1"/>
  <c r="S88" i="19" a="1"/>
  <c r="S88" i="19" s="1"/>
  <c r="S89" i="19" a="1"/>
  <c r="S89" i="19" s="1"/>
  <c r="S90" i="19" a="1"/>
  <c r="S90" i="19" s="1"/>
  <c r="S91" i="19" a="1"/>
  <c r="S91" i="19" s="1"/>
  <c r="S92" i="19" a="1"/>
  <c r="S92" i="19" s="1"/>
  <c r="S93" i="19" a="1"/>
  <c r="S93" i="19" s="1"/>
  <c r="S94" i="19" a="1"/>
  <c r="S94" i="19" s="1"/>
  <c r="S95" i="19" a="1"/>
  <c r="S95" i="19" s="1"/>
  <c r="S96" i="19" a="1"/>
  <c r="S96" i="19" s="1"/>
  <c r="S97" i="19" a="1"/>
  <c r="S97" i="19" s="1"/>
  <c r="S98" i="19" a="1"/>
  <c r="S98" i="19" s="1"/>
  <c r="S99" i="19" a="1"/>
  <c r="S99" i="19" s="1"/>
  <c r="S100" i="19" a="1"/>
  <c r="S100" i="19" s="1"/>
  <c r="S101" i="19" a="1"/>
  <c r="S101" i="19" s="1"/>
  <c r="S102" i="19" a="1"/>
  <c r="S102" i="19" s="1"/>
  <c r="S103" i="19" a="1"/>
  <c r="S103" i="19" s="1"/>
  <c r="S104" i="19" a="1"/>
  <c r="S104" i="19" s="1"/>
  <c r="S105" i="19" a="1"/>
  <c r="S105" i="19" s="1"/>
  <c r="S106" i="19" a="1"/>
  <c r="S106" i="19" s="1"/>
  <c r="S107" i="19" a="1"/>
  <c r="S107" i="19" s="1"/>
  <c r="S108" i="19" a="1"/>
  <c r="S108" i="19" s="1"/>
  <c r="S109" i="19" a="1"/>
  <c r="S109" i="19" s="1"/>
  <c r="S110" i="19" a="1"/>
  <c r="S110" i="19" s="1"/>
  <c r="S111" i="19" a="1"/>
  <c r="S111" i="19" s="1"/>
  <c r="S112" i="19" a="1"/>
  <c r="S112" i="19" s="1"/>
  <c r="S113" i="19" a="1"/>
  <c r="S113" i="19" s="1"/>
  <c r="S114" i="19" a="1"/>
  <c r="S114" i="19" s="1"/>
  <c r="S115" i="19" a="1"/>
  <c r="S115" i="19" s="1"/>
  <c r="S116" i="19" a="1"/>
  <c r="S116" i="19" s="1"/>
  <c r="S117" i="19" a="1"/>
  <c r="S117" i="19" s="1"/>
  <c r="S118" i="19" a="1"/>
  <c r="S118" i="19" s="1"/>
  <c r="S119" i="19" a="1"/>
  <c r="S119" i="19" s="1"/>
  <c r="S120" i="19" a="1"/>
  <c r="S120" i="19" s="1"/>
  <c r="S121" i="19" a="1"/>
  <c r="S121" i="19" s="1"/>
  <c r="S122" i="19" a="1"/>
  <c r="S122" i="19" s="1"/>
  <c r="S123" i="19" a="1"/>
  <c r="S123" i="19" s="1"/>
  <c r="S124" i="19" a="1"/>
  <c r="S124" i="19" s="1"/>
  <c r="S125" i="19" a="1"/>
  <c r="S125" i="19" s="1"/>
  <c r="S126" i="19" a="1"/>
  <c r="S126" i="19" s="1"/>
  <c r="S127" i="19" a="1"/>
  <c r="S127" i="19" s="1"/>
  <c r="S128" i="19" a="1"/>
  <c r="S128" i="19" s="1"/>
  <c r="S129" i="19" a="1"/>
  <c r="S129" i="19" s="1"/>
  <c r="S130" i="19" a="1"/>
  <c r="S130" i="19" s="1"/>
  <c r="S131" i="19" a="1"/>
  <c r="S131" i="19" s="1"/>
  <c r="S132" i="19" a="1"/>
  <c r="S132" i="19" s="1"/>
  <c r="S133" i="19" a="1"/>
  <c r="S133" i="19" s="1"/>
  <c r="S134" i="19" a="1"/>
  <c r="S134" i="19" s="1"/>
  <c r="S135" i="19" a="1"/>
  <c r="S135" i="19" s="1"/>
  <c r="S136" i="19" a="1"/>
  <c r="S136" i="19" s="1"/>
  <c r="S137" i="19" a="1"/>
  <c r="S137" i="19" s="1"/>
  <c r="S138" i="19" a="1"/>
  <c r="S138" i="19" s="1"/>
  <c r="S139" i="19" a="1"/>
  <c r="S139" i="19" s="1"/>
  <c r="S140" i="19" a="1"/>
  <c r="S140" i="19" s="1"/>
  <c r="S141" i="19" a="1"/>
  <c r="S141" i="19" s="1"/>
  <c r="S142" i="19" a="1"/>
  <c r="S142" i="19" s="1"/>
  <c r="S143" i="19" a="1"/>
  <c r="S143" i="19" s="1"/>
  <c r="S144" i="19" a="1"/>
  <c r="S144" i="19" s="1"/>
  <c r="S145" i="19" a="1"/>
  <c r="S145" i="19" s="1"/>
  <c r="S146" i="19" a="1"/>
  <c r="S146" i="19" s="1"/>
  <c r="S147" i="19" a="1"/>
  <c r="S147" i="19" s="1"/>
  <c r="S148" i="19" a="1"/>
  <c r="S148" i="19" s="1"/>
  <c r="S149" i="19" a="1"/>
  <c r="S149" i="19" s="1"/>
  <c r="S150" i="19" a="1"/>
  <c r="S150" i="19" s="1"/>
  <c r="S151" i="19" a="1"/>
  <c r="S151" i="19" s="1"/>
  <c r="S152" i="19" a="1"/>
  <c r="S152" i="19" s="1"/>
  <c r="S153" i="19" a="1"/>
  <c r="S153" i="19" s="1"/>
  <c r="S154" i="19" a="1"/>
  <c r="S154" i="19" s="1"/>
  <c r="S155" i="19" a="1"/>
  <c r="S155" i="19" s="1"/>
  <c r="S156" i="19" a="1"/>
  <c r="S156" i="19" s="1"/>
  <c r="S157" i="19" a="1"/>
  <c r="S157" i="19" s="1"/>
  <c r="S158" i="19" a="1"/>
  <c r="S158" i="19" s="1"/>
  <c r="S159" i="19" a="1"/>
  <c r="S159" i="19" s="1"/>
  <c r="S160" i="19" a="1"/>
  <c r="S160" i="19" s="1"/>
  <c r="S161" i="19" a="1"/>
  <c r="S161" i="19" s="1"/>
  <c r="S162" i="19" a="1"/>
  <c r="S162" i="19" s="1"/>
  <c r="S163" i="19" a="1"/>
  <c r="S163" i="19" s="1"/>
  <c r="S164" i="19" a="1"/>
  <c r="S164" i="19" s="1"/>
  <c r="S165" i="19" a="1"/>
  <c r="S165" i="19" s="1"/>
  <c r="S166" i="19" a="1"/>
  <c r="S166" i="19" s="1"/>
  <c r="S167" i="19" a="1"/>
  <c r="S167" i="19" s="1"/>
  <c r="S168" i="19" a="1"/>
  <c r="S168" i="19" s="1"/>
  <c r="S169" i="19" a="1"/>
  <c r="S169" i="19" s="1"/>
  <c r="S170" i="19" a="1"/>
  <c r="S170" i="19" s="1"/>
  <c r="S171" i="19" a="1"/>
  <c r="S171" i="19" s="1"/>
  <c r="S172" i="19" a="1"/>
  <c r="S172" i="19" s="1"/>
  <c r="S173" i="19" a="1"/>
  <c r="S173" i="19" s="1"/>
  <c r="S174" i="19" a="1"/>
  <c r="S174" i="19" s="1"/>
  <c r="S175" i="19" a="1"/>
  <c r="S175" i="19" s="1"/>
  <c r="S176" i="19" a="1"/>
  <c r="S176" i="19" s="1"/>
  <c r="S177" i="19" a="1"/>
  <c r="S177" i="19" s="1"/>
  <c r="S178" i="19" a="1"/>
  <c r="S178" i="19" s="1"/>
  <c r="S179" i="19" a="1"/>
  <c r="S179" i="19" s="1"/>
  <c r="S180" i="19" a="1"/>
  <c r="S180" i="19" s="1"/>
  <c r="S181" i="19" a="1"/>
  <c r="S181" i="19" s="1"/>
  <c r="S182" i="19" a="1"/>
  <c r="S182" i="19" s="1"/>
  <c r="S183" i="19" a="1"/>
  <c r="S183" i="19" s="1"/>
  <c r="S184" i="19" a="1"/>
  <c r="S184" i="19" s="1"/>
  <c r="S185" i="19" a="1"/>
  <c r="S185" i="19" s="1"/>
  <c r="S186" i="19" a="1"/>
  <c r="S186" i="19" s="1"/>
  <c r="S187" i="19" a="1"/>
  <c r="S187" i="19" s="1"/>
  <c r="S188" i="19" a="1"/>
  <c r="S188" i="19" s="1"/>
  <c r="S189" i="19" a="1"/>
  <c r="S189" i="19" s="1"/>
  <c r="S190" i="19" a="1"/>
  <c r="S190" i="19" s="1"/>
  <c r="S191" i="19" a="1"/>
  <c r="S191" i="19" s="1"/>
  <c r="S192" i="19" a="1"/>
  <c r="S192" i="19" s="1"/>
  <c r="S193" i="19" a="1"/>
  <c r="S193" i="19" s="1"/>
  <c r="S194" i="19" a="1"/>
  <c r="S194" i="19" s="1"/>
  <c r="S195" i="19" a="1"/>
  <c r="S195" i="19" s="1"/>
  <c r="S196" i="19" a="1"/>
  <c r="S196" i="19" s="1"/>
  <c r="S197" i="19" a="1"/>
  <c r="S197" i="19" s="1"/>
  <c r="S198" i="19" a="1"/>
  <c r="S198" i="19" s="1"/>
  <c r="S199" i="19" a="1"/>
  <c r="S199" i="19" s="1"/>
  <c r="S200" i="19" a="1"/>
  <c r="S200" i="19" s="1"/>
  <c r="S201" i="19" a="1"/>
  <c r="S201" i="19" s="1"/>
  <c r="S202" i="19" a="1"/>
  <c r="S202" i="19" s="1"/>
  <c r="S203" i="19" a="1"/>
  <c r="S203" i="19" s="1"/>
  <c r="S204" i="19" a="1"/>
  <c r="S204" i="19" s="1"/>
  <c r="S205" i="19" a="1"/>
  <c r="S205" i="19" s="1"/>
  <c r="S206" i="19" a="1"/>
  <c r="S206" i="19" s="1"/>
  <c r="S207" i="19" a="1"/>
  <c r="S207" i="19" s="1"/>
  <c r="S208" i="19" a="1"/>
  <c r="S208" i="19" s="1"/>
  <c r="S209" i="19" a="1"/>
  <c r="S209" i="19" s="1"/>
  <c r="S210" i="19" a="1"/>
  <c r="S210" i="19" s="1"/>
  <c r="S211" i="19" a="1"/>
  <c r="S211" i="19" s="1"/>
  <c r="S212" i="19" a="1"/>
  <c r="S212" i="19" s="1"/>
  <c r="S213" i="19" a="1"/>
  <c r="S213" i="19" s="1"/>
  <c r="S214" i="19" a="1"/>
  <c r="S214" i="19" s="1"/>
  <c r="S215" i="19" a="1"/>
  <c r="S215" i="19" s="1"/>
  <c r="S216" i="19" a="1"/>
  <c r="S216" i="19" s="1"/>
  <c r="S217" i="19" a="1"/>
  <c r="S217" i="19" s="1"/>
  <c r="S218" i="19" a="1"/>
  <c r="S218" i="19" s="1"/>
  <c r="S219" i="19" a="1"/>
  <c r="S219" i="19" s="1"/>
  <c r="S220" i="19" a="1"/>
  <c r="S220" i="19" s="1"/>
  <c r="S221" i="19" a="1"/>
  <c r="S221" i="19" s="1"/>
  <c r="S222" i="19" a="1"/>
  <c r="S222" i="19" s="1"/>
  <c r="S223" i="19" a="1"/>
  <c r="S223" i="19" s="1"/>
  <c r="S224" i="19" a="1"/>
  <c r="S224" i="19" s="1"/>
  <c r="S225" i="19" a="1"/>
  <c r="S225" i="19" s="1"/>
  <c r="S226" i="19" a="1"/>
  <c r="S226" i="19" s="1"/>
  <c r="S227" i="19" a="1"/>
  <c r="S227" i="19" s="1"/>
  <c r="S228" i="19" a="1"/>
  <c r="S228" i="19" s="1"/>
  <c r="S229" i="19" a="1"/>
  <c r="S229" i="19" s="1"/>
  <c r="S230" i="19" a="1"/>
  <c r="S230" i="19" s="1"/>
  <c r="S231" i="19" a="1"/>
  <c r="S231" i="19" s="1"/>
  <c r="S232" i="19" a="1"/>
  <c r="S232" i="19" s="1"/>
  <c r="S233" i="19" a="1"/>
  <c r="S233" i="19" s="1"/>
  <c r="S234" i="19" a="1"/>
  <c r="S234" i="19" s="1"/>
  <c r="S235" i="19" a="1"/>
  <c r="S235" i="19" s="1"/>
  <c r="S236" i="19" a="1"/>
  <c r="S236" i="19" s="1"/>
  <c r="S237" i="19" a="1"/>
  <c r="S237" i="19" s="1"/>
  <c r="S238" i="19" a="1"/>
  <c r="S238" i="19" s="1"/>
  <c r="S239" i="19" a="1"/>
  <c r="S239" i="19" s="1"/>
  <c r="S240" i="19" a="1"/>
  <c r="S240" i="19" s="1"/>
  <c r="S241" i="19" a="1"/>
  <c r="S241" i="19" s="1"/>
  <c r="S242" i="19" a="1"/>
  <c r="S242" i="19" s="1"/>
  <c r="S243" i="19" a="1"/>
  <c r="S243" i="19" s="1"/>
  <c r="S244" i="19" a="1"/>
  <c r="S244" i="19" s="1"/>
  <c r="S245" i="19" a="1"/>
  <c r="S245" i="19" s="1"/>
  <c r="S246" i="19" a="1"/>
  <c r="S246" i="19" s="1"/>
  <c r="S247" i="19" a="1"/>
  <c r="S247" i="19" s="1"/>
  <c r="S248" i="19" a="1"/>
  <c r="S248" i="19" s="1"/>
  <c r="S249" i="19" a="1"/>
  <c r="S249" i="19" s="1"/>
  <c r="S250" i="19" a="1"/>
  <c r="S250" i="19" s="1"/>
  <c r="S251" i="19" a="1"/>
  <c r="S251" i="19" s="1"/>
  <c r="S252" i="19" a="1"/>
  <c r="S252" i="19" s="1"/>
  <c r="S253" i="19" a="1"/>
  <c r="S253" i="19" s="1"/>
  <c r="S254" i="19" a="1"/>
  <c r="S254" i="19" s="1"/>
  <c r="S255" i="19" a="1"/>
  <c r="S255" i="19" s="1"/>
  <c r="S256" i="19" a="1"/>
  <c r="S256" i="19" s="1"/>
  <c r="S257" i="19" a="1"/>
  <c r="S257" i="19" s="1"/>
  <c r="S258" i="19" a="1"/>
  <c r="S258" i="19" s="1"/>
  <c r="S259" i="19" a="1"/>
  <c r="S259" i="19" s="1"/>
  <c r="S260" i="19" a="1"/>
  <c r="S260" i="19" s="1"/>
  <c r="S261" i="19" a="1"/>
  <c r="S261" i="19" s="1"/>
  <c r="S262" i="19" a="1"/>
  <c r="S262" i="19" s="1"/>
  <c r="S263" i="19" a="1"/>
  <c r="S263" i="19" s="1"/>
  <c r="S264" i="19" a="1"/>
  <c r="S264" i="19" s="1"/>
  <c r="S265" i="19" a="1"/>
  <c r="S265" i="19" s="1"/>
  <c r="S266" i="19" a="1"/>
  <c r="S266" i="19" s="1"/>
  <c r="S267" i="19" a="1"/>
  <c r="S267" i="19" s="1"/>
  <c r="S268" i="19" a="1"/>
  <c r="S268" i="19" s="1"/>
  <c r="S269" i="19" a="1"/>
  <c r="S269" i="19" s="1"/>
  <c r="S270" i="19" a="1"/>
  <c r="S270" i="19" s="1"/>
  <c r="S271" i="19" a="1"/>
  <c r="S271" i="19" s="1"/>
  <c r="S272" i="19" a="1"/>
  <c r="S272" i="19" s="1"/>
  <c r="S273" i="19" a="1"/>
  <c r="S273" i="19" s="1"/>
  <c r="S274" i="19" a="1"/>
  <c r="S274" i="19" s="1"/>
  <c r="S275" i="19" a="1"/>
  <c r="S275" i="19" s="1"/>
  <c r="S276" i="19" a="1"/>
  <c r="S276" i="19" s="1"/>
  <c r="S277" i="19" a="1"/>
  <c r="S277" i="19" s="1"/>
  <c r="S278" i="19" a="1"/>
  <c r="S278" i="19" s="1"/>
  <c r="S279" i="19" a="1"/>
  <c r="S279" i="19" s="1"/>
  <c r="S280" i="19" a="1"/>
  <c r="S280" i="19" s="1"/>
  <c r="S281" i="19" a="1"/>
  <c r="S281" i="19" s="1"/>
  <c r="S282" i="19" a="1"/>
  <c r="S282" i="19" s="1"/>
  <c r="S283" i="19" a="1"/>
  <c r="S283" i="19" s="1"/>
  <c r="S284" i="19" a="1"/>
  <c r="S284" i="19" s="1"/>
  <c r="S285" i="19" a="1"/>
  <c r="S285" i="19" s="1"/>
  <c r="S286" i="19" a="1"/>
  <c r="S286" i="19" s="1"/>
  <c r="S287" i="19" a="1"/>
  <c r="S287" i="19" s="1"/>
  <c r="S2" i="20" a="1"/>
  <c r="S2" i="20" s="1"/>
  <c r="S3" i="20" a="1"/>
  <c r="S3" i="20" s="1"/>
  <c r="S4" i="20" a="1"/>
  <c r="S4" i="20" s="1"/>
  <c r="S5" i="20" a="1"/>
  <c r="S5" i="20" s="1"/>
  <c r="S6" i="20" a="1"/>
  <c r="S6" i="20" s="1"/>
  <c r="S7" i="20" a="1"/>
  <c r="S7" i="20" s="1"/>
  <c r="S8" i="20" a="1"/>
  <c r="S8" i="20" s="1"/>
  <c r="S9" i="20" a="1"/>
  <c r="S9" i="20" s="1"/>
  <c r="S10" i="20" a="1"/>
  <c r="S10" i="20" s="1"/>
  <c r="S11" i="20" a="1"/>
  <c r="S11" i="20" s="1"/>
  <c r="S12" i="20" a="1"/>
  <c r="S12" i="20" s="1"/>
  <c r="S13" i="20" a="1"/>
  <c r="S13" i="20" s="1"/>
  <c r="S14" i="20" a="1"/>
  <c r="S14" i="20" s="1"/>
  <c r="S15" i="20" a="1"/>
  <c r="S15" i="20" s="1"/>
  <c r="S16" i="20" a="1"/>
  <c r="S16" i="20" s="1"/>
  <c r="S17" i="20" a="1"/>
  <c r="S17" i="20" s="1"/>
  <c r="S18" i="20" a="1"/>
  <c r="S18" i="20" s="1"/>
  <c r="S19" i="20" a="1"/>
  <c r="S19" i="20" s="1"/>
  <c r="S20" i="20" a="1"/>
  <c r="S20" i="20" s="1"/>
  <c r="S21" i="20" a="1"/>
  <c r="S21" i="20" s="1"/>
  <c r="S22" i="20" a="1"/>
  <c r="S22" i="20" s="1"/>
  <c r="S23" i="20" a="1"/>
  <c r="S23" i="20" s="1"/>
  <c r="S24" i="20" a="1"/>
  <c r="S24" i="20" s="1"/>
  <c r="S25" i="20" a="1"/>
  <c r="S25" i="20" s="1"/>
  <c r="S26" i="20" a="1"/>
  <c r="S26" i="20" s="1"/>
  <c r="S27" i="20" a="1"/>
  <c r="S27" i="20" s="1"/>
  <c r="S28" i="20" a="1"/>
  <c r="S28" i="20" s="1"/>
  <c r="S29" i="20" a="1"/>
  <c r="S29" i="20" s="1"/>
  <c r="S30" i="20" a="1"/>
  <c r="S30" i="20" s="1"/>
  <c r="S31" i="20" a="1"/>
  <c r="S31" i="20" s="1"/>
  <c r="S32" i="20" a="1"/>
  <c r="S32" i="20" s="1"/>
  <c r="S33" i="20" a="1"/>
  <c r="S33" i="20" s="1"/>
  <c r="S34" i="20" a="1"/>
  <c r="S34" i="20" s="1"/>
  <c r="S35" i="20" a="1"/>
  <c r="S35" i="20" s="1"/>
  <c r="S36" i="20" a="1"/>
  <c r="S36" i="20" s="1"/>
  <c r="S37" i="20" a="1"/>
  <c r="S37" i="20" s="1"/>
  <c r="S38" i="20" a="1"/>
  <c r="S38" i="20" s="1"/>
  <c r="S39" i="20" a="1"/>
  <c r="S39" i="20" s="1"/>
  <c r="S40" i="20" a="1"/>
  <c r="S40" i="20" s="1"/>
  <c r="S41" i="20" a="1"/>
  <c r="S41" i="20" s="1"/>
  <c r="S42" i="20" a="1"/>
  <c r="S42" i="20" s="1"/>
  <c r="S43" i="20" a="1"/>
  <c r="S43" i="20" s="1"/>
  <c r="S44" i="20" a="1"/>
  <c r="S44" i="20" s="1"/>
  <c r="S45" i="20" a="1"/>
  <c r="S45" i="20" s="1"/>
  <c r="S46" i="20" a="1"/>
  <c r="S46" i="20" s="1"/>
  <c r="S47" i="20" a="1"/>
  <c r="S47" i="20" s="1"/>
  <c r="S48" i="20" a="1"/>
  <c r="S48" i="20" s="1"/>
  <c r="S49" i="20" a="1"/>
  <c r="S49" i="20" s="1"/>
  <c r="S50" i="20" a="1"/>
  <c r="S50" i="20" s="1"/>
  <c r="S51" i="20" a="1"/>
  <c r="S51" i="20" s="1"/>
  <c r="S52" i="20" a="1"/>
  <c r="S52" i="20" s="1"/>
  <c r="S53" i="20" a="1"/>
  <c r="S53" i="20" s="1"/>
  <c r="S54" i="20" a="1"/>
  <c r="S54" i="20" s="1"/>
  <c r="S55" i="20" a="1"/>
  <c r="S55" i="20" s="1"/>
  <c r="S56" i="20" a="1"/>
  <c r="S56" i="20" s="1"/>
  <c r="S57" i="20" a="1"/>
  <c r="S57" i="20" s="1"/>
  <c r="S58" i="20" a="1"/>
  <c r="S58" i="20" s="1"/>
  <c r="S59" i="20" a="1"/>
  <c r="S59" i="20" s="1"/>
  <c r="S60" i="20" a="1"/>
  <c r="S60" i="20" s="1"/>
  <c r="S61" i="20" a="1"/>
  <c r="S61" i="20" s="1"/>
  <c r="S62" i="20" a="1"/>
  <c r="S62" i="20" s="1"/>
  <c r="S63" i="20" a="1"/>
  <c r="S63" i="20" s="1"/>
  <c r="S64" i="20" a="1"/>
  <c r="S64" i="20" s="1"/>
  <c r="S65" i="20" a="1"/>
  <c r="S65" i="20" s="1"/>
  <c r="S66" i="20" a="1"/>
  <c r="S66" i="20" s="1"/>
  <c r="S67" i="20" a="1"/>
  <c r="S67" i="20" s="1"/>
  <c r="S68" i="20" a="1"/>
  <c r="S68" i="20" s="1"/>
  <c r="S69" i="20" a="1"/>
  <c r="S69" i="20" s="1"/>
  <c r="S70" i="20" a="1"/>
  <c r="S70" i="20" s="1"/>
  <c r="S71" i="20" a="1"/>
  <c r="S71" i="20" s="1"/>
  <c r="S72" i="20" a="1"/>
  <c r="S72" i="20" s="1"/>
  <c r="S73" i="20" a="1"/>
  <c r="S73" i="20" s="1"/>
  <c r="S74" i="20" a="1"/>
  <c r="S74" i="20" s="1"/>
  <c r="S75" i="20" a="1"/>
  <c r="S75" i="20" s="1"/>
  <c r="S76" i="20" a="1"/>
  <c r="S76" i="20" s="1"/>
  <c r="S77" i="20" a="1"/>
  <c r="S77" i="20" s="1"/>
  <c r="S78" i="20" a="1"/>
  <c r="S78" i="20" s="1"/>
  <c r="S79" i="20" a="1"/>
  <c r="S79" i="20" s="1"/>
  <c r="S80" i="20" a="1"/>
  <c r="S80" i="20" s="1"/>
  <c r="S81" i="20" a="1"/>
  <c r="S81" i="20" s="1"/>
  <c r="S82" i="20" a="1"/>
  <c r="S82" i="20" s="1"/>
  <c r="S83" i="20" a="1"/>
  <c r="S83" i="20" s="1"/>
  <c r="S84" i="20" a="1"/>
  <c r="S84" i="20" s="1"/>
  <c r="S85" i="20" a="1"/>
  <c r="S85" i="20" s="1"/>
  <c r="S86" i="20" a="1"/>
  <c r="S86" i="20" s="1"/>
  <c r="S87" i="20" a="1"/>
  <c r="S87" i="20" s="1"/>
  <c r="S88" i="20" a="1"/>
  <c r="S88" i="20" s="1"/>
  <c r="S89" i="20" a="1"/>
  <c r="S89" i="20" s="1"/>
  <c r="S90" i="20" a="1"/>
  <c r="S90" i="20" s="1"/>
  <c r="S91" i="20" a="1"/>
  <c r="S91" i="20" s="1"/>
  <c r="S92" i="20" a="1"/>
  <c r="S92" i="20" s="1"/>
  <c r="S93" i="20" a="1"/>
  <c r="S93" i="20" s="1"/>
  <c r="S94" i="20" a="1"/>
  <c r="S94" i="20" s="1"/>
  <c r="S95" i="20" a="1"/>
  <c r="S95" i="20" s="1"/>
  <c r="S96" i="20" a="1"/>
  <c r="S96" i="20" s="1"/>
  <c r="S97" i="20" a="1"/>
  <c r="S97" i="20" s="1"/>
  <c r="S98" i="20" a="1"/>
  <c r="S98" i="20" s="1"/>
  <c r="S99" i="20" a="1"/>
  <c r="S99" i="20" s="1"/>
  <c r="S100" i="20" a="1"/>
  <c r="S100" i="20" s="1"/>
  <c r="S101" i="20" a="1"/>
  <c r="S101" i="20" s="1"/>
  <c r="S102" i="20" a="1"/>
  <c r="S102" i="20" s="1"/>
  <c r="S103" i="20" a="1"/>
  <c r="S103" i="20" s="1"/>
  <c r="S104" i="20" a="1"/>
  <c r="S104" i="20" s="1"/>
  <c r="S105" i="20" a="1"/>
  <c r="S105" i="20" s="1"/>
  <c r="S106" i="20" a="1"/>
  <c r="S106" i="20" s="1"/>
  <c r="S107" i="20" a="1"/>
  <c r="S107" i="20" s="1"/>
  <c r="S108" i="20" a="1"/>
  <c r="S108" i="20" s="1"/>
  <c r="S109" i="20" a="1"/>
  <c r="S109" i="20" s="1"/>
  <c r="S110" i="20" a="1"/>
  <c r="S110" i="20" s="1"/>
  <c r="S111" i="20" a="1"/>
  <c r="S111" i="20" s="1"/>
  <c r="S112" i="20" a="1"/>
  <c r="S112" i="20" s="1"/>
  <c r="S113" i="20" a="1"/>
  <c r="S113" i="20" s="1"/>
  <c r="S114" i="20" a="1"/>
  <c r="S114" i="20" s="1"/>
  <c r="S115" i="20" a="1"/>
  <c r="S115" i="20" s="1"/>
  <c r="S116" i="20" a="1"/>
  <c r="S116" i="20" s="1"/>
  <c r="S117" i="20" a="1"/>
  <c r="S117" i="20" s="1"/>
  <c r="S118" i="20" a="1"/>
  <c r="S118" i="20" s="1"/>
  <c r="S119" i="20" a="1"/>
  <c r="S119" i="20" s="1"/>
  <c r="S120" i="20" a="1"/>
  <c r="S120" i="20" s="1"/>
  <c r="S121" i="20" a="1"/>
  <c r="S121" i="20" s="1"/>
  <c r="S122" i="20" a="1"/>
  <c r="S122" i="20" s="1"/>
  <c r="S123" i="20" a="1"/>
  <c r="S123" i="20" s="1"/>
  <c r="S124" i="20" a="1"/>
  <c r="S124" i="20" s="1"/>
  <c r="S125" i="20" a="1"/>
  <c r="S125" i="20" s="1"/>
  <c r="S126" i="20" a="1"/>
  <c r="S126" i="20" s="1"/>
  <c r="S127" i="20" a="1"/>
  <c r="S127" i="20" s="1"/>
  <c r="S128" i="20" a="1"/>
  <c r="S128" i="20" s="1"/>
  <c r="S129" i="20" a="1"/>
  <c r="S129" i="20" s="1"/>
  <c r="S130" i="20" a="1"/>
  <c r="S130" i="20" s="1"/>
  <c r="S131" i="20" a="1"/>
  <c r="S131" i="20" s="1"/>
  <c r="S132" i="20" a="1"/>
  <c r="S132" i="20" s="1"/>
  <c r="S133" i="20" a="1"/>
  <c r="S133" i="20" s="1"/>
  <c r="S134" i="20" a="1"/>
  <c r="S134" i="20" s="1"/>
  <c r="S135" i="20" a="1"/>
  <c r="S135" i="20" s="1"/>
  <c r="S136" i="20" a="1"/>
  <c r="S136" i="20" s="1"/>
  <c r="S137" i="20" a="1"/>
  <c r="S137" i="20" s="1"/>
  <c r="S138" i="20" a="1"/>
  <c r="S138" i="20" s="1"/>
  <c r="S139" i="20" a="1"/>
  <c r="S139" i="20" s="1"/>
  <c r="S140" i="20" a="1"/>
  <c r="S140" i="20" s="1"/>
  <c r="S141" i="20" a="1"/>
  <c r="S141" i="20" s="1"/>
  <c r="S142" i="20" a="1"/>
  <c r="S142" i="20" s="1"/>
  <c r="S143" i="20" a="1"/>
  <c r="S143" i="20" s="1"/>
  <c r="S144" i="20" a="1"/>
  <c r="S144" i="20" s="1"/>
  <c r="S145" i="20" a="1"/>
  <c r="S145" i="20" s="1"/>
  <c r="S146" i="20" a="1"/>
  <c r="S146" i="20" s="1"/>
  <c r="S147" i="20" a="1"/>
  <c r="S147" i="20" s="1"/>
  <c r="S148" i="20" a="1"/>
  <c r="S148" i="20" s="1"/>
  <c r="S149" i="20" a="1"/>
  <c r="S149" i="20" s="1"/>
  <c r="S150" i="20" a="1"/>
  <c r="S150" i="20" s="1"/>
  <c r="S151" i="20" a="1"/>
  <c r="S151" i="20" s="1"/>
  <c r="S152" i="20" a="1"/>
  <c r="S152" i="20" s="1"/>
  <c r="S153" i="20" a="1"/>
  <c r="S153" i="20" s="1"/>
  <c r="S154" i="20" a="1"/>
  <c r="S154" i="20" s="1"/>
  <c r="S155" i="20" a="1"/>
  <c r="S155" i="20" s="1"/>
  <c r="S156" i="20" a="1"/>
  <c r="S156" i="20" s="1"/>
  <c r="S157" i="20" a="1"/>
  <c r="S157" i="20" s="1"/>
  <c r="S158" i="20" a="1"/>
  <c r="S158" i="20" s="1"/>
  <c r="S159" i="20" a="1"/>
  <c r="S159" i="20" s="1"/>
  <c r="S160" i="20" a="1"/>
  <c r="S160" i="20" s="1"/>
  <c r="S161" i="20" a="1"/>
  <c r="S161" i="20" s="1"/>
  <c r="S162" i="20" a="1"/>
  <c r="S162" i="20" s="1"/>
  <c r="S163" i="20" a="1"/>
  <c r="S163" i="20" s="1"/>
  <c r="S164" i="20" a="1"/>
  <c r="S164" i="20" s="1"/>
  <c r="S165" i="20" a="1"/>
  <c r="S165" i="20" s="1"/>
  <c r="S166" i="20" a="1"/>
  <c r="S166" i="20" s="1"/>
  <c r="S167" i="20" a="1"/>
  <c r="S167" i="20" s="1"/>
  <c r="S168" i="20" a="1"/>
  <c r="S168" i="20" s="1"/>
  <c r="S169" i="20" a="1"/>
  <c r="S169" i="20" s="1"/>
  <c r="S170" i="20" a="1"/>
  <c r="S170" i="20" s="1"/>
  <c r="S171" i="20" a="1"/>
  <c r="S171" i="20" s="1"/>
  <c r="S172" i="20" a="1"/>
  <c r="S172" i="20" s="1"/>
  <c r="S173" i="20" a="1"/>
  <c r="S173" i="20" s="1"/>
  <c r="S174" i="20" a="1"/>
  <c r="S174" i="20" s="1"/>
  <c r="S175" i="20" a="1"/>
  <c r="S175" i="20" s="1"/>
  <c r="S176" i="20" a="1"/>
  <c r="S176" i="20" s="1"/>
  <c r="S2" i="21" a="1"/>
  <c r="S2" i="21" s="1"/>
  <c r="S3" i="21" a="1"/>
  <c r="S3" i="21" s="1"/>
  <c r="S4" i="21" a="1"/>
  <c r="S4" i="21" s="1"/>
  <c r="S5" i="21" a="1"/>
  <c r="S5" i="21" s="1"/>
  <c r="S6" i="21" a="1"/>
  <c r="S6" i="21" s="1"/>
  <c r="S7" i="21" a="1"/>
  <c r="S7" i="21" s="1"/>
  <c r="S8" i="21" a="1"/>
  <c r="S8" i="21" s="1"/>
  <c r="S9" i="21" a="1"/>
  <c r="S9" i="21" s="1"/>
  <c r="S10" i="21" a="1"/>
  <c r="S10" i="21" s="1"/>
  <c r="S11" i="21" a="1"/>
  <c r="S11" i="21" s="1"/>
  <c r="S12" i="21" a="1"/>
  <c r="S12" i="21" s="1"/>
  <c r="S13" i="21" a="1"/>
  <c r="S13" i="21" s="1"/>
  <c r="S14" i="21" a="1"/>
  <c r="S14" i="21" s="1"/>
  <c r="S15" i="21" a="1"/>
  <c r="S15" i="21" s="1"/>
  <c r="S16" i="21" a="1"/>
  <c r="S16" i="21" s="1"/>
  <c r="S17" i="21" a="1"/>
  <c r="S17" i="21" s="1"/>
  <c r="S18" i="21" a="1"/>
  <c r="S18" i="21" s="1"/>
  <c r="S19" i="21" a="1"/>
  <c r="S19" i="21" s="1"/>
  <c r="S20" i="21" a="1"/>
  <c r="S20" i="21" s="1"/>
  <c r="S21" i="21" a="1"/>
  <c r="S21" i="21" s="1"/>
  <c r="S22" i="21" a="1"/>
  <c r="S22" i="21" s="1"/>
  <c r="S23" i="21" a="1"/>
  <c r="S23" i="21" s="1"/>
  <c r="S24" i="21" a="1"/>
  <c r="S24" i="21" s="1"/>
  <c r="S25" i="21" a="1"/>
  <c r="S25" i="21" s="1"/>
  <c r="S26" i="21" a="1"/>
  <c r="S26" i="21" s="1"/>
  <c r="S27" i="21" a="1"/>
  <c r="S27" i="21" s="1"/>
  <c r="S28" i="21" a="1"/>
  <c r="S28" i="21" s="1"/>
  <c r="S29" i="21" a="1"/>
  <c r="S29" i="21" s="1"/>
  <c r="S30" i="21" a="1"/>
  <c r="S30" i="21" s="1"/>
  <c r="S31" i="21" a="1"/>
  <c r="S31" i="21" s="1"/>
  <c r="S32" i="21" a="1"/>
  <c r="S32" i="21" s="1"/>
  <c r="S33" i="21" a="1"/>
  <c r="S33" i="21" s="1"/>
  <c r="S34" i="21" a="1"/>
  <c r="S34" i="21" s="1"/>
  <c r="S35" i="21" a="1"/>
  <c r="S35" i="21" s="1"/>
  <c r="S36" i="21" a="1"/>
  <c r="S36" i="21" s="1"/>
  <c r="S37" i="21" a="1"/>
  <c r="S37" i="21" s="1"/>
  <c r="S38" i="21" a="1"/>
  <c r="S38" i="21" s="1"/>
  <c r="S39" i="21" a="1"/>
  <c r="S39" i="21" s="1"/>
  <c r="S40" i="21" a="1"/>
  <c r="S40" i="21" s="1"/>
  <c r="S41" i="21" a="1"/>
  <c r="S41" i="21" s="1"/>
  <c r="S42" i="21" a="1"/>
  <c r="S42" i="21" s="1"/>
  <c r="S43" i="21" a="1"/>
  <c r="S43" i="21" s="1"/>
  <c r="S44" i="21" a="1"/>
  <c r="S44" i="21" s="1"/>
  <c r="S45" i="21" a="1"/>
  <c r="S45" i="21" s="1"/>
  <c r="S46" i="21" a="1"/>
  <c r="S46" i="21" s="1"/>
  <c r="S47" i="21" a="1"/>
  <c r="S47" i="21" s="1"/>
  <c r="S48" i="21" a="1"/>
  <c r="S48" i="21" s="1"/>
  <c r="S49" i="21" a="1"/>
  <c r="S49" i="21" s="1"/>
  <c r="S50" i="21" a="1"/>
  <c r="S50" i="21" s="1"/>
  <c r="S51" i="21" a="1"/>
  <c r="S51" i="21" s="1"/>
  <c r="S52" i="21" a="1"/>
  <c r="S52" i="21" s="1"/>
  <c r="S53" i="21" a="1"/>
  <c r="S53" i="21" s="1"/>
  <c r="S54" i="21" a="1"/>
  <c r="S54" i="21" s="1"/>
  <c r="S55" i="21" a="1"/>
  <c r="S55" i="21" s="1"/>
  <c r="S56" i="21" a="1"/>
  <c r="S56" i="21" s="1"/>
  <c r="S57" i="21" a="1"/>
  <c r="S57" i="21" s="1"/>
  <c r="S58" i="21" a="1"/>
  <c r="S58" i="21" s="1"/>
  <c r="S59" i="21" a="1"/>
  <c r="S59" i="21" s="1"/>
  <c r="S60" i="21" a="1"/>
  <c r="S60" i="21" s="1"/>
  <c r="S61" i="21" a="1"/>
  <c r="S61" i="21" s="1"/>
  <c r="S62" i="21" a="1"/>
  <c r="S62" i="21" s="1"/>
  <c r="S63" i="21" a="1"/>
  <c r="S63" i="21" s="1"/>
  <c r="S64" i="21" a="1"/>
  <c r="S64" i="21" s="1"/>
  <c r="S65" i="21" a="1"/>
  <c r="S65" i="21" s="1"/>
  <c r="S66" i="21" a="1"/>
  <c r="S66" i="21" s="1"/>
  <c r="S67" i="21" a="1"/>
  <c r="S67" i="21" s="1"/>
  <c r="S68" i="21" a="1"/>
  <c r="S68" i="21" s="1"/>
  <c r="S69" i="21" a="1"/>
  <c r="S69" i="21" s="1"/>
  <c r="S70" i="21" a="1"/>
  <c r="S70" i="21" s="1"/>
  <c r="S71" i="21" a="1"/>
  <c r="S71" i="21" s="1"/>
  <c r="S72" i="21" a="1"/>
  <c r="S72" i="21" s="1"/>
  <c r="S73" i="21" a="1"/>
  <c r="S73" i="21" s="1"/>
  <c r="S74" i="21" a="1"/>
  <c r="S74" i="21" s="1"/>
  <c r="S75" i="21" a="1"/>
  <c r="S75" i="21" s="1"/>
  <c r="S76" i="21" a="1"/>
  <c r="S76" i="21" s="1"/>
  <c r="S77" i="21" a="1"/>
  <c r="S77" i="21" s="1"/>
  <c r="S78" i="21" a="1"/>
  <c r="S78" i="21" s="1"/>
  <c r="S79" i="21" a="1"/>
  <c r="S79" i="21" s="1"/>
  <c r="S80" i="21" a="1"/>
  <c r="S80" i="21" s="1"/>
  <c r="S81" i="21" a="1"/>
  <c r="S81" i="21" s="1"/>
  <c r="S82" i="21" a="1"/>
  <c r="S82" i="21" s="1"/>
  <c r="S83" i="21" a="1"/>
  <c r="S83" i="21" s="1"/>
  <c r="S84" i="21" a="1"/>
  <c r="S84" i="21" s="1"/>
  <c r="S85" i="21" a="1"/>
  <c r="S85" i="21" s="1"/>
  <c r="S86" i="21" a="1"/>
  <c r="S86" i="21" s="1"/>
  <c r="S87" i="21" a="1"/>
  <c r="S87" i="21" s="1"/>
  <c r="S88" i="21" a="1"/>
  <c r="S88" i="21" s="1"/>
  <c r="S89" i="21" a="1"/>
  <c r="S89" i="21" s="1"/>
  <c r="S90" i="21" a="1"/>
  <c r="S90" i="21" s="1"/>
  <c r="S91" i="21" a="1"/>
  <c r="S91" i="21" s="1"/>
  <c r="S92" i="21" a="1"/>
  <c r="S92" i="21" s="1"/>
  <c r="S93" i="21" a="1"/>
  <c r="S93" i="21" s="1"/>
  <c r="S94" i="21" a="1"/>
  <c r="S94" i="21" s="1"/>
  <c r="S95" i="21" a="1"/>
  <c r="S95" i="21" s="1"/>
  <c r="S96" i="21" a="1"/>
  <c r="S96" i="21" s="1"/>
  <c r="S97" i="21" a="1"/>
  <c r="S97" i="21" s="1"/>
  <c r="S98" i="21" a="1"/>
  <c r="S98" i="21" s="1"/>
  <c r="S99" i="21" a="1"/>
  <c r="S99" i="21" s="1"/>
  <c r="S100" i="21" a="1"/>
  <c r="S100" i="21" s="1"/>
  <c r="S101" i="21" a="1"/>
  <c r="S101" i="21" s="1"/>
  <c r="S102" i="21" a="1"/>
  <c r="S102" i="21" s="1"/>
  <c r="S103" i="21" a="1"/>
  <c r="S103" i="21" s="1"/>
  <c r="S104" i="21" a="1"/>
  <c r="S104" i="21" s="1"/>
  <c r="S105" i="21" a="1"/>
  <c r="S105" i="21" s="1"/>
  <c r="S106" i="21" a="1"/>
  <c r="S106" i="21" s="1"/>
  <c r="S107" i="21" a="1"/>
  <c r="S107" i="21" s="1"/>
  <c r="S108" i="21" a="1"/>
  <c r="S108" i="21" s="1"/>
  <c r="S109" i="21" a="1"/>
  <c r="S109" i="21" s="1"/>
  <c r="S110" i="21" a="1"/>
  <c r="S110" i="21" s="1"/>
  <c r="S111" i="21" a="1"/>
  <c r="S111" i="21" s="1"/>
  <c r="S112" i="21" a="1"/>
  <c r="S112" i="21" s="1"/>
  <c r="S113" i="21" a="1"/>
  <c r="S113" i="21" s="1"/>
  <c r="S114" i="21" a="1"/>
  <c r="S114" i="21" s="1"/>
  <c r="S115" i="21" a="1"/>
  <c r="S115" i="21" s="1"/>
  <c r="S116" i="21" a="1"/>
  <c r="S116" i="21" s="1"/>
  <c r="S117" i="21" a="1"/>
  <c r="S117" i="21" s="1"/>
  <c r="S118" i="21" a="1"/>
  <c r="S118" i="21" s="1"/>
  <c r="S119" i="21" a="1"/>
  <c r="S119" i="21" s="1"/>
  <c r="S120" i="21" a="1"/>
  <c r="S120" i="21" s="1"/>
  <c r="S121" i="21" a="1"/>
  <c r="S121" i="21" s="1"/>
  <c r="S122" i="21" a="1"/>
  <c r="S122" i="21" s="1"/>
  <c r="S123" i="21" a="1"/>
  <c r="S123" i="21" s="1"/>
  <c r="S124" i="21" a="1"/>
  <c r="S124" i="21" s="1"/>
  <c r="S125" i="21" a="1"/>
  <c r="S125" i="21" s="1"/>
  <c r="S126" i="21" a="1"/>
  <c r="S126" i="21" s="1"/>
  <c r="S127" i="21" a="1"/>
  <c r="S127" i="21" s="1"/>
  <c r="S128" i="21" a="1"/>
  <c r="S128" i="21" s="1"/>
  <c r="S129" i="21" a="1"/>
  <c r="S129" i="21" s="1"/>
  <c r="S130" i="21" a="1"/>
  <c r="S130" i="21" s="1"/>
  <c r="S131" i="21" a="1"/>
  <c r="S131" i="21" s="1"/>
  <c r="S132" i="21" a="1"/>
  <c r="S132" i="21" s="1"/>
  <c r="S133" i="21" a="1"/>
  <c r="S133" i="21" s="1"/>
  <c r="S134" i="21" a="1"/>
  <c r="S134" i="21" s="1"/>
  <c r="S135" i="21" a="1"/>
  <c r="S135" i="21" s="1"/>
  <c r="S136" i="21" a="1"/>
  <c r="S136" i="21" s="1"/>
  <c r="S137" i="21" a="1"/>
  <c r="S137" i="21" s="1"/>
  <c r="S138" i="21" a="1"/>
  <c r="S138" i="21" s="1"/>
  <c r="S139" i="21" a="1"/>
  <c r="S139" i="21" s="1"/>
  <c r="S140" i="21" a="1"/>
  <c r="S140" i="21" s="1"/>
  <c r="S141" i="21" a="1"/>
  <c r="S141" i="21" s="1"/>
  <c r="S142" i="21" a="1"/>
  <c r="S142" i="21" s="1"/>
  <c r="S143" i="21" a="1"/>
  <c r="S143" i="21" s="1"/>
  <c r="S144" i="21" a="1"/>
  <c r="S144" i="21" s="1"/>
  <c r="S145" i="21" a="1"/>
  <c r="S145" i="21" s="1"/>
  <c r="S146" i="21" a="1"/>
  <c r="S146" i="21" s="1"/>
  <c r="S147" i="21" a="1"/>
  <c r="S147" i="21" s="1"/>
  <c r="S148" i="21" a="1"/>
  <c r="S148" i="21" s="1"/>
  <c r="S149" i="21" a="1"/>
  <c r="S149" i="21" s="1"/>
  <c r="S150" i="21" a="1"/>
  <c r="S150" i="21" s="1"/>
  <c r="S151" i="21" a="1"/>
  <c r="S151" i="21" s="1"/>
  <c r="S152" i="21" a="1"/>
  <c r="S152" i="21" s="1"/>
  <c r="S153" i="21" a="1"/>
  <c r="S153" i="21" s="1"/>
  <c r="S154" i="21" a="1"/>
  <c r="S154" i="21" s="1"/>
  <c r="S155" i="21" a="1"/>
  <c r="S155" i="21" s="1"/>
  <c r="S156" i="21" a="1"/>
  <c r="S156" i="21" s="1"/>
  <c r="S157" i="21" a="1"/>
  <c r="S157" i="21" s="1"/>
  <c r="S158" i="21" a="1"/>
  <c r="S158" i="21" s="1"/>
  <c r="S159" i="21" a="1"/>
  <c r="S159" i="21" s="1"/>
  <c r="S160" i="21" a="1"/>
  <c r="S160" i="21" s="1"/>
  <c r="S161" i="21" a="1"/>
  <c r="S161" i="21" s="1"/>
  <c r="S162" i="21" a="1"/>
  <c r="S162" i="21" s="1"/>
  <c r="S163" i="21" a="1"/>
  <c r="S163" i="21" s="1"/>
  <c r="S164" i="21" a="1"/>
  <c r="S164" i="21" s="1"/>
  <c r="S165" i="21" a="1"/>
  <c r="S165" i="21" s="1"/>
  <c r="S166" i="21" a="1"/>
  <c r="S166" i="21" s="1"/>
  <c r="S167" i="21" a="1"/>
  <c r="S167" i="21" s="1"/>
  <c r="S168" i="21" a="1"/>
  <c r="S168" i="21" s="1"/>
  <c r="S169" i="21" a="1"/>
  <c r="S169" i="21" s="1"/>
  <c r="S170" i="21" a="1"/>
  <c r="S170" i="21" s="1"/>
  <c r="S171" i="21" a="1"/>
  <c r="S171" i="21" s="1"/>
  <c r="S172" i="21" a="1"/>
  <c r="S172" i="21" s="1"/>
  <c r="S173" i="21" a="1"/>
  <c r="S173" i="21" s="1"/>
  <c r="S174" i="21" a="1"/>
  <c r="S174" i="21" s="1"/>
  <c r="S175" i="21" a="1"/>
  <c r="S175" i="21" s="1"/>
  <c r="S176" i="21" a="1"/>
  <c r="S176" i="21" s="1"/>
  <c r="S177" i="21" a="1"/>
  <c r="S177" i="21" s="1"/>
  <c r="S178" i="21" a="1"/>
  <c r="S178" i="21" s="1"/>
  <c r="S179" i="21" a="1"/>
  <c r="S179" i="21" s="1"/>
  <c r="S180" i="21" a="1"/>
  <c r="S180" i="21" s="1"/>
  <c r="S181" i="21" a="1"/>
  <c r="S181" i="21" s="1"/>
  <c r="S182" i="21" a="1"/>
  <c r="S182" i="21" s="1"/>
  <c r="S183" i="21" a="1"/>
  <c r="S183" i="21" s="1"/>
  <c r="S184" i="21" a="1"/>
  <c r="S184" i="21" s="1"/>
  <c r="S185" i="21" a="1"/>
  <c r="S185" i="21" s="1"/>
  <c r="S186" i="21" a="1"/>
  <c r="S186" i="21" s="1"/>
  <c r="S187" i="21" a="1"/>
  <c r="S187" i="21" s="1"/>
  <c r="S188" i="21" a="1"/>
  <c r="S188" i="21" s="1"/>
  <c r="S189" i="21" a="1"/>
  <c r="S189" i="21" s="1"/>
  <c r="S190" i="21" a="1"/>
  <c r="S190" i="21" s="1"/>
  <c r="S191" i="21" a="1"/>
  <c r="S191" i="21" s="1"/>
  <c r="S192" i="21" a="1"/>
  <c r="S192" i="21" s="1"/>
  <c r="S193" i="21" a="1"/>
  <c r="S193" i="21" s="1"/>
  <c r="S194" i="21" a="1"/>
  <c r="S194" i="21" s="1"/>
  <c r="S195" i="21" a="1"/>
  <c r="S195" i="21" s="1"/>
  <c r="S196" i="21" a="1"/>
  <c r="S196" i="21" s="1"/>
  <c r="S197" i="21" a="1"/>
  <c r="S197" i="21" s="1"/>
  <c r="S198" i="21" a="1"/>
  <c r="S198" i="21" s="1"/>
  <c r="S199" i="21" a="1"/>
  <c r="S199" i="21" s="1"/>
  <c r="S200" i="21" a="1"/>
  <c r="S200" i="21" s="1"/>
  <c r="S201" i="21" a="1"/>
  <c r="S201" i="21" s="1"/>
  <c r="S202" i="21" a="1"/>
  <c r="S202" i="21" s="1"/>
  <c r="S203" i="21" a="1"/>
  <c r="S203" i="21" s="1"/>
  <c r="S204" i="21" a="1"/>
  <c r="S204" i="21" s="1"/>
  <c r="S205" i="21" a="1"/>
  <c r="S205" i="21" s="1"/>
  <c r="S206" i="21" a="1"/>
  <c r="S206" i="21" s="1"/>
  <c r="S207" i="21" a="1"/>
  <c r="S207" i="21" s="1"/>
  <c r="S208" i="21" a="1"/>
  <c r="S208" i="21" s="1"/>
  <c r="S209" i="21" a="1"/>
  <c r="S209" i="21" s="1"/>
  <c r="S210" i="21" a="1"/>
  <c r="S210" i="21" s="1"/>
  <c r="S211" i="21" a="1"/>
  <c r="S211" i="21" s="1"/>
  <c r="S212" i="21" a="1"/>
  <c r="S212" i="21" s="1"/>
  <c r="S213" i="21" a="1"/>
  <c r="S213" i="21" s="1"/>
  <c r="S214" i="21" a="1"/>
  <c r="S214" i="21" s="1"/>
  <c r="S215" i="21" a="1"/>
  <c r="S215" i="21" s="1"/>
  <c r="S216" i="21" a="1"/>
  <c r="S216" i="21" s="1"/>
  <c r="S217" i="21" a="1"/>
  <c r="S217" i="21" s="1"/>
  <c r="S218" i="21" a="1"/>
  <c r="S218" i="21" s="1"/>
  <c r="S219" i="21" a="1"/>
  <c r="S219" i="21" s="1"/>
  <c r="S220" i="21" a="1"/>
  <c r="S220" i="21" s="1"/>
  <c r="S221" i="21" a="1"/>
  <c r="S221" i="21" s="1"/>
  <c r="S222" i="21" a="1"/>
  <c r="S222" i="21" s="1"/>
  <c r="S223" i="21" a="1"/>
  <c r="S223" i="21" s="1"/>
  <c r="S224" i="21" a="1"/>
  <c r="S224" i="21" s="1"/>
  <c r="S225" i="21" a="1"/>
  <c r="S225" i="21" s="1"/>
  <c r="S226" i="21" a="1"/>
  <c r="S226" i="21" s="1"/>
  <c r="S227" i="21" a="1"/>
  <c r="S227" i="21" s="1"/>
  <c r="S228" i="21" a="1"/>
  <c r="S228" i="21" s="1"/>
  <c r="S229" i="21" a="1"/>
  <c r="S229" i="21" s="1"/>
  <c r="S230" i="21" a="1"/>
  <c r="S230" i="21" s="1"/>
  <c r="S231" i="21" a="1"/>
  <c r="S231" i="21" s="1"/>
  <c r="S232" i="21" a="1"/>
  <c r="S232" i="21" s="1"/>
  <c r="S233" i="21" a="1"/>
  <c r="S233" i="21" s="1"/>
  <c r="S234" i="21" a="1"/>
  <c r="S234" i="21" s="1"/>
  <c r="S235" i="21" a="1"/>
  <c r="S235" i="21" s="1"/>
  <c r="S236" i="21" a="1"/>
  <c r="S236" i="21" s="1"/>
  <c r="S237" i="21" a="1"/>
  <c r="S237" i="21" s="1"/>
  <c r="S238" i="21" a="1"/>
  <c r="S238" i="21" s="1"/>
  <c r="S239" i="21" a="1"/>
  <c r="S239" i="21" s="1"/>
  <c r="S240" i="21" a="1"/>
  <c r="S240" i="21" s="1"/>
  <c r="S241" i="21" a="1"/>
  <c r="S241" i="21" s="1"/>
  <c r="S242" i="21" a="1"/>
  <c r="S242" i="21" s="1"/>
  <c r="S243" i="21" a="1"/>
  <c r="S243" i="21" s="1"/>
  <c r="S244" i="21" a="1"/>
  <c r="S244" i="21" s="1"/>
  <c r="S245" i="21" a="1"/>
  <c r="S245" i="21" s="1"/>
  <c r="S246" i="21" a="1"/>
  <c r="S246" i="21" s="1"/>
  <c r="S247" i="21" a="1"/>
  <c r="S247" i="21" s="1"/>
  <c r="S248" i="21" a="1"/>
  <c r="S248" i="21" s="1"/>
  <c r="S249" i="21" a="1"/>
  <c r="S249" i="21" s="1"/>
  <c r="S250" i="21" a="1"/>
  <c r="S250" i="21" s="1"/>
  <c r="S251" i="21" a="1"/>
  <c r="S251" i="21" s="1"/>
  <c r="S252" i="21" a="1"/>
  <c r="S252" i="21" s="1"/>
  <c r="S253" i="21" a="1"/>
  <c r="S253" i="21" s="1"/>
  <c r="S254" i="21" a="1"/>
  <c r="S254" i="21" s="1"/>
  <c r="S255" i="21" a="1"/>
  <c r="S255" i="21" s="1"/>
  <c r="S256" i="21" a="1"/>
  <c r="S256" i="21" s="1"/>
  <c r="S257" i="21" a="1"/>
  <c r="S257" i="21" s="1"/>
  <c r="S2" i="22" a="1"/>
  <c r="S2" i="22" s="1"/>
  <c r="S3" i="22" a="1"/>
  <c r="S3" i="22" s="1"/>
  <c r="S4" i="22" a="1"/>
  <c r="S4" i="22" s="1"/>
  <c r="S5" i="22" a="1"/>
  <c r="S5" i="22" s="1"/>
  <c r="S6" i="22" a="1"/>
  <c r="S6" i="22" s="1"/>
  <c r="S7" i="22" a="1"/>
  <c r="S7" i="22" s="1"/>
  <c r="S8" i="22" a="1"/>
  <c r="S8" i="22" s="1"/>
  <c r="S9" i="22" a="1"/>
  <c r="S9" i="22" s="1"/>
  <c r="S10" i="22" a="1"/>
  <c r="S10" i="22" s="1"/>
  <c r="S11" i="22" a="1"/>
  <c r="S11" i="22" s="1"/>
  <c r="S12" i="22" a="1"/>
  <c r="S12" i="22" s="1"/>
  <c r="S13" i="22" a="1"/>
  <c r="S13" i="22" s="1"/>
  <c r="S14" i="22" a="1"/>
  <c r="S14" i="22" s="1"/>
  <c r="S15" i="22" a="1"/>
  <c r="S15" i="22" s="1"/>
  <c r="S16" i="22" a="1"/>
  <c r="S16" i="22" s="1"/>
  <c r="S17" i="22" a="1"/>
  <c r="S17" i="22" s="1"/>
  <c r="S18" i="22" a="1"/>
  <c r="S18" i="22" s="1"/>
  <c r="S19" i="22" a="1"/>
  <c r="S19" i="22" s="1"/>
  <c r="S20" i="22" a="1"/>
  <c r="S20" i="22" s="1"/>
  <c r="S21" i="22" a="1"/>
  <c r="S21" i="22" s="1"/>
  <c r="S22" i="22" a="1"/>
  <c r="S22" i="22" s="1"/>
  <c r="S23" i="22" a="1"/>
  <c r="S23" i="22" s="1"/>
  <c r="S24" i="22" a="1"/>
  <c r="S24" i="22" s="1"/>
  <c r="S25" i="22" a="1"/>
  <c r="S25" i="22" s="1"/>
  <c r="S26" i="22" a="1"/>
  <c r="S26" i="22" s="1"/>
  <c r="S27" i="22" a="1"/>
  <c r="S27" i="22" s="1"/>
  <c r="S28" i="22" a="1"/>
  <c r="S28" i="22" s="1"/>
  <c r="S29" i="22" a="1"/>
  <c r="S29" i="22" s="1"/>
  <c r="S30" i="22" a="1"/>
  <c r="S30" i="22" s="1"/>
  <c r="S31" i="22" a="1"/>
  <c r="S31" i="22" s="1"/>
  <c r="S32" i="22" a="1"/>
  <c r="S32" i="22" s="1"/>
  <c r="S33" i="22" a="1"/>
  <c r="S33" i="22" s="1"/>
  <c r="S34" i="22" a="1"/>
  <c r="S34" i="22" s="1"/>
  <c r="S35" i="22" a="1"/>
  <c r="S35" i="22" s="1"/>
  <c r="S36" i="22" a="1"/>
  <c r="S36" i="22" s="1"/>
  <c r="S37" i="22" a="1"/>
  <c r="S37" i="22" s="1"/>
  <c r="S38" i="22" a="1"/>
  <c r="S38" i="22" s="1"/>
  <c r="S39" i="22" a="1"/>
  <c r="S39" i="22" s="1"/>
  <c r="S40" i="22" a="1"/>
  <c r="S40" i="22" s="1"/>
  <c r="S41" i="22" a="1"/>
  <c r="S41" i="22" s="1"/>
  <c r="S42" i="22" a="1"/>
  <c r="S42" i="22" s="1"/>
  <c r="S43" i="22" a="1"/>
  <c r="S43" i="22" s="1"/>
  <c r="S44" i="22" a="1"/>
  <c r="S44" i="22" s="1"/>
  <c r="S45" i="22" a="1"/>
  <c r="S45" i="22" s="1"/>
  <c r="S46" i="22" a="1"/>
  <c r="S46" i="22" s="1"/>
  <c r="S47" i="22" a="1"/>
  <c r="S47" i="22" s="1"/>
  <c r="S48" i="22" a="1"/>
  <c r="S48" i="22" s="1"/>
  <c r="S49" i="22" a="1"/>
  <c r="S49" i="22" s="1"/>
  <c r="S50" i="22" a="1"/>
  <c r="S50" i="22" s="1"/>
  <c r="S51" i="22" a="1"/>
  <c r="S51" i="22" s="1"/>
  <c r="S52" i="22" a="1"/>
  <c r="S52" i="22" s="1"/>
  <c r="S53" i="22" a="1"/>
  <c r="S53" i="22" s="1"/>
  <c r="S54" i="22" a="1"/>
  <c r="S54" i="22" s="1"/>
  <c r="S55" i="22" a="1"/>
  <c r="S55" i="22" s="1"/>
  <c r="S56" i="22" a="1"/>
  <c r="S56" i="22" s="1"/>
  <c r="S57" i="22" a="1"/>
  <c r="S57" i="22" s="1"/>
  <c r="S58" i="22" a="1"/>
  <c r="S58" i="22" s="1"/>
  <c r="S59" i="22" a="1"/>
  <c r="S59" i="22" s="1"/>
  <c r="S60" i="22" a="1"/>
  <c r="S60" i="22" s="1"/>
  <c r="S61" i="22" a="1"/>
  <c r="S61" i="22" s="1"/>
  <c r="S62" i="22" a="1"/>
  <c r="S62" i="22" s="1"/>
  <c r="S63" i="22" a="1"/>
  <c r="S63" i="22" s="1"/>
  <c r="S64" i="22" a="1"/>
  <c r="S64" i="22" s="1"/>
  <c r="S65" i="22" a="1"/>
  <c r="S65" i="22" s="1"/>
  <c r="S66" i="22" a="1"/>
  <c r="S66" i="22" s="1"/>
  <c r="S67" i="22" a="1"/>
  <c r="S67" i="22" s="1"/>
  <c r="S68" i="22" a="1"/>
  <c r="S68" i="22" s="1"/>
  <c r="S69" i="22" a="1"/>
  <c r="S69" i="22" s="1"/>
  <c r="S70" i="22" a="1"/>
  <c r="S70" i="22" s="1"/>
  <c r="S71" i="22" a="1"/>
  <c r="S71" i="22" s="1"/>
  <c r="S72" i="22" a="1"/>
  <c r="S72" i="22" s="1"/>
  <c r="S73" i="22" a="1"/>
  <c r="S73" i="22" s="1"/>
  <c r="S74" i="22" a="1"/>
  <c r="S74" i="22" s="1"/>
  <c r="S75" i="22" a="1"/>
  <c r="S75" i="22" s="1"/>
  <c r="S76" i="22" a="1"/>
  <c r="S76" i="22" s="1"/>
  <c r="S77" i="22" a="1"/>
  <c r="S77" i="22" s="1"/>
  <c r="S78" i="22" a="1"/>
  <c r="S78" i="22" s="1"/>
  <c r="S79" i="22" a="1"/>
  <c r="S79" i="22" s="1"/>
  <c r="S80" i="22" a="1"/>
  <c r="S80" i="22" s="1"/>
  <c r="S81" i="22" a="1"/>
  <c r="S81" i="22" s="1"/>
  <c r="S82" i="22" a="1"/>
  <c r="S82" i="22" s="1"/>
  <c r="S83" i="22" a="1"/>
  <c r="S83" i="22" s="1"/>
  <c r="S84" i="22" a="1"/>
  <c r="S84" i="22" s="1"/>
  <c r="S85" i="22" a="1"/>
  <c r="S85" i="22" s="1"/>
  <c r="S86" i="22" a="1"/>
  <c r="S86" i="22" s="1"/>
  <c r="S87" i="22" a="1"/>
  <c r="S87" i="22" s="1"/>
  <c r="S88" i="22" a="1"/>
  <c r="S88" i="22" s="1"/>
  <c r="S89" i="22" a="1"/>
  <c r="S89" i="22" s="1"/>
  <c r="S90" i="22" a="1"/>
  <c r="S90" i="22" s="1"/>
  <c r="S91" i="22" a="1"/>
  <c r="S91" i="22" s="1"/>
  <c r="S92" i="22" a="1"/>
  <c r="S92" i="22" s="1"/>
  <c r="S93" i="22" a="1"/>
  <c r="S93" i="22" s="1"/>
  <c r="S94" i="22" a="1"/>
  <c r="S94" i="22" s="1"/>
  <c r="S95" i="22" a="1"/>
  <c r="S95" i="22" s="1"/>
  <c r="S96" i="22" a="1"/>
  <c r="S96" i="22" s="1"/>
  <c r="S97" i="22" a="1"/>
  <c r="S97" i="22" s="1"/>
  <c r="S98" i="22" a="1"/>
  <c r="S98" i="22" s="1"/>
  <c r="S99" i="22" a="1"/>
  <c r="S99" i="22" s="1"/>
  <c r="S100" i="22" a="1"/>
  <c r="S100" i="22" s="1"/>
  <c r="S101" i="22" a="1"/>
  <c r="S101" i="22" s="1"/>
  <c r="S102" i="22" a="1"/>
  <c r="S102" i="22" s="1"/>
  <c r="S103" i="22" a="1"/>
  <c r="S103" i="22" s="1"/>
  <c r="S104" i="22" a="1"/>
  <c r="S104" i="22" s="1"/>
  <c r="S105" i="22" a="1"/>
  <c r="S105" i="22" s="1"/>
  <c r="S106" i="22" a="1"/>
  <c r="S106" i="22" s="1"/>
  <c r="S107" i="22" a="1"/>
  <c r="S107" i="22" s="1"/>
  <c r="S108" i="22" a="1"/>
  <c r="S108" i="22" s="1"/>
  <c r="S109" i="22" a="1"/>
  <c r="S109" i="22" s="1"/>
  <c r="S110" i="22" a="1"/>
  <c r="S110" i="22" s="1"/>
  <c r="S111" i="22" a="1"/>
  <c r="S111" i="22" s="1"/>
  <c r="S112" i="22" a="1"/>
  <c r="S112" i="22" s="1"/>
  <c r="S113" i="22" a="1"/>
  <c r="S113" i="22" s="1"/>
  <c r="S114" i="22" a="1"/>
  <c r="S114" i="22" s="1"/>
  <c r="S115" i="22" a="1"/>
  <c r="S115" i="22" s="1"/>
  <c r="S116" i="22" a="1"/>
  <c r="S116" i="22" s="1"/>
  <c r="S117" i="22" a="1"/>
  <c r="S117" i="22" s="1"/>
  <c r="S118" i="22" a="1"/>
  <c r="S118" i="22" s="1"/>
  <c r="S119" i="22" a="1"/>
  <c r="S119" i="22" s="1"/>
  <c r="S120" i="22" a="1"/>
  <c r="S120" i="22" s="1"/>
  <c r="S121" i="22" a="1"/>
  <c r="S121" i="22" s="1"/>
  <c r="S122" i="22" a="1"/>
  <c r="S122" i="22" s="1"/>
  <c r="S123" i="22" a="1"/>
  <c r="S123" i="22" s="1"/>
  <c r="S124" i="22" a="1"/>
  <c r="S124" i="22" s="1"/>
  <c r="S125" i="22" a="1"/>
  <c r="S125" i="22" s="1"/>
  <c r="S126" i="22" a="1"/>
  <c r="S126" i="22" s="1"/>
  <c r="S127" i="22" a="1"/>
  <c r="S127" i="22" s="1"/>
  <c r="S128" i="22" a="1"/>
  <c r="S128" i="22" s="1"/>
  <c r="S129" i="22" a="1"/>
  <c r="S129" i="22" s="1"/>
  <c r="S130" i="22" a="1"/>
  <c r="S130" i="22" s="1"/>
  <c r="S131" i="22" a="1"/>
  <c r="S131" i="22" s="1"/>
  <c r="S132" i="22" a="1"/>
  <c r="S132" i="22" s="1"/>
  <c r="S133" i="22" a="1"/>
  <c r="S133" i="22" s="1"/>
  <c r="S134" i="22" a="1"/>
  <c r="S134" i="22" s="1"/>
  <c r="S135" i="22" a="1"/>
  <c r="S135" i="22" s="1"/>
  <c r="S136" i="22" a="1"/>
  <c r="S136" i="22" s="1"/>
  <c r="S137" i="22" a="1"/>
  <c r="S137" i="22" s="1"/>
  <c r="S138" i="22" a="1"/>
  <c r="S138" i="22" s="1"/>
  <c r="S139" i="22" a="1"/>
  <c r="S139" i="22" s="1"/>
  <c r="S140" i="22" a="1"/>
  <c r="S140" i="22" s="1"/>
  <c r="S141" i="22" a="1"/>
  <c r="S141" i="22" s="1"/>
  <c r="S142" i="22" a="1"/>
  <c r="S142" i="22" s="1"/>
  <c r="S143" i="22" a="1"/>
  <c r="S143" i="22" s="1"/>
  <c r="S144" i="22" a="1"/>
  <c r="S144" i="22" s="1"/>
  <c r="S145" i="22" a="1"/>
  <c r="S145" i="22" s="1"/>
  <c r="S146" i="22" a="1"/>
  <c r="S146" i="22" s="1"/>
  <c r="S147" i="22" a="1"/>
  <c r="S147" i="22" s="1"/>
  <c r="S148" i="22" a="1"/>
  <c r="S148" i="22" s="1"/>
  <c r="S149" i="22" a="1"/>
  <c r="S149" i="22" s="1"/>
  <c r="S150" i="22" a="1"/>
  <c r="S150" i="22" s="1"/>
  <c r="S151" i="22" a="1"/>
  <c r="S151" i="22" s="1"/>
  <c r="S152" i="22" a="1"/>
  <c r="S152" i="22" s="1"/>
  <c r="S153" i="22" a="1"/>
  <c r="S153" i="22" s="1"/>
  <c r="S154" i="22" a="1"/>
  <c r="S154" i="22" s="1"/>
  <c r="S155" i="22" a="1"/>
  <c r="S155" i="22" s="1"/>
  <c r="S156" i="22" a="1"/>
  <c r="S156" i="22" s="1"/>
  <c r="S157" i="22" a="1"/>
  <c r="S157" i="22" s="1"/>
  <c r="S158" i="22" a="1"/>
  <c r="S158" i="22" s="1"/>
  <c r="S159" i="22" a="1"/>
  <c r="S159" i="22" s="1"/>
  <c r="S160" i="22" a="1"/>
  <c r="S160" i="22" s="1"/>
  <c r="S161" i="22" a="1"/>
  <c r="S161" i="22" s="1"/>
  <c r="S162" i="22" a="1"/>
  <c r="S162" i="22" s="1"/>
  <c r="S163" i="22" a="1"/>
  <c r="S163" i="22" s="1"/>
  <c r="S164" i="22" a="1"/>
  <c r="S164" i="22" s="1"/>
  <c r="S165" i="22" a="1"/>
  <c r="S165" i="22" s="1"/>
  <c r="S166" i="22" a="1"/>
  <c r="S166" i="22" s="1"/>
  <c r="S167" i="22" a="1"/>
  <c r="S167" i="22" s="1"/>
  <c r="S168" i="22" a="1"/>
  <c r="S168" i="22" s="1"/>
  <c r="S169" i="22" a="1"/>
  <c r="S169" i="22" s="1"/>
  <c r="S170" i="22" a="1"/>
  <c r="S170" i="22" s="1"/>
  <c r="S171" i="22" a="1"/>
  <c r="S171" i="22" s="1"/>
  <c r="S172" i="22" a="1"/>
  <c r="S172" i="22" s="1"/>
  <c r="S173" i="22" a="1"/>
  <c r="S173" i="22" s="1"/>
  <c r="S174" i="22" a="1"/>
  <c r="S174" i="22" s="1"/>
  <c r="S175" i="22" a="1"/>
  <c r="S175" i="22" s="1"/>
  <c r="S176" i="22" a="1"/>
  <c r="S176" i="22" s="1"/>
  <c r="S177" i="22" a="1"/>
  <c r="S177" i="22" s="1"/>
  <c r="S178" i="22" a="1"/>
  <c r="S178" i="22" s="1"/>
  <c r="S179" i="22" a="1"/>
  <c r="S179" i="22" s="1"/>
  <c r="S180" i="22" a="1"/>
  <c r="S180" i="22" s="1"/>
  <c r="S181" i="22" a="1"/>
  <c r="S181" i="22" s="1"/>
  <c r="S182" i="22" a="1"/>
  <c r="S182" i="22" s="1"/>
  <c r="S183" i="22" a="1"/>
  <c r="S183" i="22" s="1"/>
  <c r="S2" i="23" a="1"/>
  <c r="S2" i="23" s="1"/>
  <c r="S3" i="23" a="1"/>
  <c r="S3" i="23" s="1"/>
  <c r="S4" i="23" a="1"/>
  <c r="S4" i="23" s="1"/>
  <c r="S5" i="23" a="1"/>
  <c r="S5" i="23" s="1"/>
  <c r="S6" i="23" a="1"/>
  <c r="S6" i="23" s="1"/>
  <c r="S7" i="23" a="1"/>
  <c r="S7" i="23" s="1"/>
  <c r="S8" i="23" a="1"/>
  <c r="S8" i="23" s="1"/>
  <c r="S9" i="23" a="1"/>
  <c r="S9" i="23" s="1"/>
  <c r="S10" i="23" a="1"/>
  <c r="S10" i="23" s="1"/>
  <c r="S11" i="23" a="1"/>
  <c r="S11" i="23" s="1"/>
  <c r="S12" i="23" a="1"/>
  <c r="S12" i="23" s="1"/>
  <c r="S13" i="23" a="1"/>
  <c r="S13" i="23" s="1"/>
  <c r="S14" i="23" a="1"/>
  <c r="S14" i="23" s="1"/>
  <c r="S15" i="23" a="1"/>
  <c r="S15" i="23" s="1"/>
  <c r="S16" i="23" a="1"/>
  <c r="S16" i="23" s="1"/>
  <c r="S17" i="23" a="1"/>
  <c r="S17" i="23" s="1"/>
  <c r="S18" i="23" a="1"/>
  <c r="S18" i="23" s="1"/>
  <c r="S19" i="23" a="1"/>
  <c r="S19" i="23" s="1"/>
  <c r="S20" i="23" a="1"/>
  <c r="S20" i="23" s="1"/>
  <c r="S21" i="23" a="1"/>
  <c r="S21" i="23" s="1"/>
  <c r="S22" i="23" a="1"/>
  <c r="S22" i="23" s="1"/>
  <c r="S23" i="23" a="1"/>
  <c r="S23" i="23" s="1"/>
  <c r="S24" i="23" a="1"/>
  <c r="S24" i="23" s="1"/>
  <c r="S25" i="23" a="1"/>
  <c r="S25" i="23" s="1"/>
  <c r="S26" i="23" a="1"/>
  <c r="S26" i="23" s="1"/>
  <c r="S27" i="23" a="1"/>
  <c r="S27" i="23" s="1"/>
  <c r="S28" i="23" a="1"/>
  <c r="S28" i="23" s="1"/>
  <c r="S29" i="23" a="1"/>
  <c r="S29" i="23" s="1"/>
  <c r="S30" i="23" a="1"/>
  <c r="S30" i="23" s="1"/>
  <c r="S31" i="23" a="1"/>
  <c r="S31" i="23" s="1"/>
  <c r="S32" i="23" a="1"/>
  <c r="S32" i="23" s="1"/>
  <c r="S33" i="23" a="1"/>
  <c r="S33" i="23" s="1"/>
  <c r="S34" i="23" a="1"/>
  <c r="S34" i="23" s="1"/>
  <c r="S35" i="23" a="1"/>
  <c r="S35" i="23" s="1"/>
  <c r="S36" i="23" a="1"/>
  <c r="S36" i="23" s="1"/>
  <c r="S37" i="23" a="1"/>
  <c r="S37" i="23" s="1"/>
  <c r="S38" i="23" a="1"/>
  <c r="S38" i="23" s="1"/>
  <c r="S39" i="23" a="1"/>
  <c r="S39" i="23" s="1"/>
  <c r="S40" i="23" a="1"/>
  <c r="S40" i="23" s="1"/>
  <c r="S41" i="23" a="1"/>
  <c r="S41" i="23" s="1"/>
  <c r="S42" i="23" a="1"/>
  <c r="S42" i="23" s="1"/>
  <c r="S43" i="23" a="1"/>
  <c r="S43" i="23" s="1"/>
  <c r="S44" i="23" a="1"/>
  <c r="S44" i="23" s="1"/>
  <c r="S45" i="23" a="1"/>
  <c r="S45" i="23" s="1"/>
  <c r="S46" i="23" a="1"/>
  <c r="S46" i="23" s="1"/>
  <c r="S47" i="23" a="1"/>
  <c r="S47" i="23" s="1"/>
  <c r="S48" i="23" a="1"/>
  <c r="S48" i="23" s="1"/>
  <c r="S49" i="23" a="1"/>
  <c r="S49" i="23" s="1"/>
  <c r="S50" i="23" a="1"/>
  <c r="S50" i="23" s="1"/>
  <c r="S51" i="23" a="1"/>
  <c r="S51" i="23" s="1"/>
  <c r="S52" i="23" a="1"/>
  <c r="S52" i="23" s="1"/>
  <c r="S53" i="23" a="1"/>
  <c r="S53" i="23" s="1"/>
  <c r="S54" i="23" a="1"/>
  <c r="S54" i="23" s="1"/>
  <c r="S55" i="23" a="1"/>
  <c r="S55" i="23" s="1"/>
  <c r="S56" i="23" a="1"/>
  <c r="S56" i="23" s="1"/>
  <c r="S57" i="23" a="1"/>
  <c r="S57" i="23" s="1"/>
  <c r="S58" i="23" a="1"/>
  <c r="S58" i="23" s="1"/>
  <c r="S59" i="23" a="1"/>
  <c r="S59" i="23" s="1"/>
  <c r="S60" i="23" a="1"/>
  <c r="S60" i="23" s="1"/>
  <c r="S61" i="23" a="1"/>
  <c r="S61" i="23" s="1"/>
  <c r="S62" i="23" a="1"/>
  <c r="S62" i="23" s="1"/>
  <c r="S63" i="23" a="1"/>
  <c r="S63" i="23" s="1"/>
  <c r="S64" i="23" a="1"/>
  <c r="S64" i="23" s="1"/>
  <c r="S65" i="23" a="1"/>
  <c r="S65" i="23" s="1"/>
  <c r="S66" i="23" a="1"/>
  <c r="S66" i="23" s="1"/>
  <c r="S67" i="23" a="1"/>
  <c r="S67" i="23" s="1"/>
  <c r="S68" i="23" a="1"/>
  <c r="S68" i="23" s="1"/>
  <c r="S69" i="23" a="1"/>
  <c r="S69" i="23" s="1"/>
  <c r="S70" i="23" a="1"/>
  <c r="S70" i="23" s="1"/>
  <c r="S71" i="23" a="1"/>
  <c r="S71" i="23" s="1"/>
  <c r="S72" i="23" a="1"/>
  <c r="S72" i="23" s="1"/>
  <c r="S73" i="23" a="1"/>
  <c r="S73" i="23" s="1"/>
  <c r="S74" i="23" a="1"/>
  <c r="S74" i="23" s="1"/>
  <c r="S75" i="23" a="1"/>
  <c r="S75" i="23" s="1"/>
  <c r="S76" i="23" a="1"/>
  <c r="S76" i="23" s="1"/>
  <c r="S77" i="23" a="1"/>
  <c r="S77" i="23" s="1"/>
  <c r="S78" i="23" a="1"/>
  <c r="S78" i="23" s="1"/>
  <c r="S79" i="23" a="1"/>
  <c r="S79" i="23" s="1"/>
  <c r="S80" i="23" a="1"/>
  <c r="S80" i="23" s="1"/>
  <c r="S81" i="23" a="1"/>
  <c r="S81" i="23" s="1"/>
  <c r="S82" i="23" a="1"/>
  <c r="S82" i="23" s="1"/>
  <c r="S83" i="23" a="1"/>
  <c r="S83" i="23" s="1"/>
  <c r="S84" i="23" a="1"/>
  <c r="S84" i="23" s="1"/>
  <c r="S85" i="23" a="1"/>
  <c r="S85" i="23" s="1"/>
  <c r="S86" i="23" a="1"/>
  <c r="S86" i="23" s="1"/>
  <c r="S87" i="23" a="1"/>
  <c r="S87" i="23" s="1"/>
  <c r="S88" i="23" a="1"/>
  <c r="S88" i="23" s="1"/>
  <c r="S89" i="23" a="1"/>
  <c r="S89" i="23" s="1"/>
  <c r="S90" i="23" a="1"/>
  <c r="S90" i="23" s="1"/>
  <c r="S91" i="23" a="1"/>
  <c r="S91" i="23" s="1"/>
  <c r="S92" i="23" a="1"/>
  <c r="S92" i="23" s="1"/>
  <c r="S93" i="23" a="1"/>
  <c r="S93" i="23" s="1"/>
  <c r="S94" i="23" a="1"/>
  <c r="S94" i="23" s="1"/>
  <c r="S95" i="23" a="1"/>
  <c r="S95" i="23" s="1"/>
  <c r="S96" i="23" a="1"/>
  <c r="S96" i="23" s="1"/>
  <c r="S97" i="23" a="1"/>
  <c r="S97" i="23" s="1"/>
  <c r="S98" i="23" a="1"/>
  <c r="S98" i="23" s="1"/>
  <c r="S99" i="23" a="1"/>
  <c r="S99" i="23" s="1"/>
  <c r="S100" i="23" a="1"/>
  <c r="S100" i="23" s="1"/>
  <c r="S101" i="23" a="1"/>
  <c r="S101" i="23" s="1"/>
  <c r="S102" i="23" a="1"/>
  <c r="S102" i="23" s="1"/>
  <c r="S103" i="23" a="1"/>
  <c r="S103" i="23" s="1"/>
  <c r="S104" i="23" a="1"/>
  <c r="S104" i="23" s="1"/>
  <c r="S105" i="23" a="1"/>
  <c r="S105" i="23" s="1"/>
  <c r="S106" i="23" a="1"/>
  <c r="S106" i="23" s="1"/>
  <c r="S107" i="23" a="1"/>
  <c r="S107" i="23" s="1"/>
  <c r="S108" i="23" a="1"/>
  <c r="S108" i="23" s="1"/>
  <c r="S109" i="23" a="1"/>
  <c r="S109" i="23" s="1"/>
  <c r="S110" i="23" a="1"/>
  <c r="S110" i="23" s="1"/>
  <c r="S111" i="23" a="1"/>
  <c r="S111" i="23" s="1"/>
  <c r="S112" i="23" a="1"/>
  <c r="S112" i="23" s="1"/>
  <c r="S113" i="23" a="1"/>
  <c r="S113" i="23" s="1"/>
  <c r="S114" i="23" a="1"/>
  <c r="S114" i="23" s="1"/>
  <c r="S115" i="23" a="1"/>
  <c r="S115" i="23" s="1"/>
  <c r="S116" i="23" a="1"/>
  <c r="S116" i="23" s="1"/>
  <c r="S117" i="23" a="1"/>
  <c r="S117" i="23" s="1"/>
  <c r="S118" i="23" a="1"/>
  <c r="S118" i="23" s="1"/>
  <c r="S119" i="23" a="1"/>
  <c r="S119" i="23" s="1"/>
  <c r="S120" i="23" a="1"/>
  <c r="S120" i="23" s="1"/>
  <c r="S121" i="23" a="1"/>
  <c r="S121" i="23" s="1"/>
  <c r="S122" i="23" a="1"/>
  <c r="S122" i="23" s="1"/>
  <c r="S123" i="23" a="1"/>
  <c r="S123" i="23" s="1"/>
  <c r="S124" i="23" a="1"/>
  <c r="S124" i="23" s="1"/>
  <c r="S125" i="23" a="1"/>
  <c r="S125" i="23" s="1"/>
  <c r="S126" i="23" a="1"/>
  <c r="S126" i="23" s="1"/>
  <c r="S127" i="23" a="1"/>
  <c r="S127" i="23" s="1"/>
  <c r="S128" i="23" a="1"/>
  <c r="S128" i="23" s="1"/>
  <c r="S129" i="23" a="1"/>
  <c r="S129" i="23" s="1"/>
  <c r="S130" i="23" a="1"/>
  <c r="S130" i="23" s="1"/>
  <c r="S131" i="23" a="1"/>
  <c r="S131" i="23" s="1"/>
  <c r="S132" i="23" a="1"/>
  <c r="S132" i="23" s="1"/>
  <c r="S133" i="23" a="1"/>
  <c r="S133" i="23" s="1"/>
  <c r="S134" i="23" a="1"/>
  <c r="S134" i="23" s="1"/>
  <c r="S135" i="23" a="1"/>
  <c r="S135" i="23" s="1"/>
  <c r="S136" i="23" a="1"/>
  <c r="S136" i="23" s="1"/>
  <c r="S2" i="24" a="1"/>
  <c r="S2" i="24" s="1"/>
  <c r="S3" i="24" a="1"/>
  <c r="S3" i="24" s="1"/>
  <c r="S4" i="24" a="1"/>
  <c r="S4" i="24" s="1"/>
  <c r="S5" i="24" a="1"/>
  <c r="S5" i="24" s="1"/>
  <c r="S6" i="24" a="1"/>
  <c r="S6" i="24" s="1"/>
  <c r="S7" i="24" a="1"/>
  <c r="S7" i="24" s="1"/>
  <c r="S8" i="24" a="1"/>
  <c r="S8" i="24" s="1"/>
  <c r="S9" i="24" a="1"/>
  <c r="S9" i="24" s="1"/>
  <c r="S10" i="24" a="1"/>
  <c r="S10" i="24" s="1"/>
  <c r="S11" i="24" a="1"/>
  <c r="S11" i="24" s="1"/>
  <c r="S12" i="24" a="1"/>
  <c r="S12" i="24" s="1"/>
  <c r="S13" i="24" a="1"/>
  <c r="S13" i="24" s="1"/>
  <c r="S14" i="24" a="1"/>
  <c r="S14" i="24" s="1"/>
  <c r="S15" i="24" a="1"/>
  <c r="S15" i="24" s="1"/>
  <c r="S16" i="24" a="1"/>
  <c r="S16" i="24" s="1"/>
  <c r="S17" i="24" a="1"/>
  <c r="S17" i="24" s="1"/>
  <c r="S18" i="24" a="1"/>
  <c r="S18" i="24" s="1"/>
  <c r="S19" i="24" a="1"/>
  <c r="S19" i="24" s="1"/>
  <c r="S20" i="24" a="1"/>
  <c r="S20" i="24" s="1"/>
  <c r="S21" i="24" a="1"/>
  <c r="S21" i="24" s="1"/>
  <c r="S22" i="24" a="1"/>
  <c r="S22" i="24" s="1"/>
  <c r="S23" i="24" a="1"/>
  <c r="S23" i="24" s="1"/>
  <c r="S24" i="24" a="1"/>
  <c r="S24" i="24" s="1"/>
  <c r="S25" i="24" a="1"/>
  <c r="S25" i="24" s="1"/>
  <c r="S26" i="24" a="1"/>
  <c r="S26" i="24" s="1"/>
  <c r="S27" i="24" a="1"/>
  <c r="S27" i="24" s="1"/>
  <c r="S28" i="24" a="1"/>
  <c r="S28" i="24" s="1"/>
  <c r="S29" i="24" a="1"/>
  <c r="S29" i="24" s="1"/>
  <c r="S30" i="24" a="1"/>
  <c r="S30" i="24" s="1"/>
  <c r="S31" i="24" a="1"/>
  <c r="S31" i="24" s="1"/>
  <c r="S32" i="24" a="1"/>
  <c r="S32" i="24" s="1"/>
  <c r="S33" i="24" a="1"/>
  <c r="S33" i="24" s="1"/>
  <c r="S34" i="24" a="1"/>
  <c r="S34" i="24" s="1"/>
  <c r="S35" i="24" a="1"/>
  <c r="S35" i="24" s="1"/>
  <c r="S36" i="24" a="1"/>
  <c r="S36" i="24" s="1"/>
  <c r="S37" i="24" a="1"/>
  <c r="S37" i="24" s="1"/>
  <c r="S38" i="24" a="1"/>
  <c r="S38" i="24" s="1"/>
  <c r="S39" i="24" a="1"/>
  <c r="S39" i="24" s="1"/>
  <c r="S40" i="24" a="1"/>
  <c r="S40" i="24" s="1"/>
  <c r="S41" i="24" a="1"/>
  <c r="S41" i="24" s="1"/>
  <c r="S42" i="24" a="1"/>
  <c r="S42" i="24" s="1"/>
  <c r="S43" i="24" a="1"/>
  <c r="S43" i="24" s="1"/>
  <c r="S44" i="24" a="1"/>
  <c r="S44" i="24" s="1"/>
  <c r="S45" i="24" a="1"/>
  <c r="S45" i="24" s="1"/>
  <c r="S46" i="24" a="1"/>
  <c r="S46" i="24" s="1"/>
  <c r="S47" i="24" a="1"/>
  <c r="S47" i="24" s="1"/>
  <c r="S48" i="24" a="1"/>
  <c r="S48" i="24" s="1"/>
  <c r="S49" i="24" a="1"/>
  <c r="S49" i="24" s="1"/>
  <c r="S50" i="24" a="1"/>
  <c r="S50" i="24" s="1"/>
  <c r="S51" i="24" a="1"/>
  <c r="S51" i="24" s="1"/>
  <c r="S52" i="24" a="1"/>
  <c r="S52" i="24" s="1"/>
  <c r="S53" i="24" a="1"/>
  <c r="S53" i="24" s="1"/>
  <c r="S54" i="24" a="1"/>
  <c r="S54" i="24" s="1"/>
  <c r="S55" i="24" a="1"/>
  <c r="S55" i="24" s="1"/>
  <c r="S56" i="24" a="1"/>
  <c r="S56" i="24" s="1"/>
  <c r="S57" i="24" a="1"/>
  <c r="S57" i="24" s="1"/>
  <c r="S58" i="24" a="1"/>
  <c r="S58" i="24" s="1"/>
  <c r="S59" i="24" a="1"/>
  <c r="S59" i="24" s="1"/>
  <c r="S60" i="24" a="1"/>
  <c r="S60" i="24" s="1"/>
  <c r="S61" i="24" a="1"/>
  <c r="S61" i="24" s="1"/>
  <c r="S62" i="24" a="1"/>
  <c r="S62" i="24" s="1"/>
  <c r="S63" i="24" a="1"/>
  <c r="S63" i="24" s="1"/>
  <c r="S64" i="24" a="1"/>
  <c r="S64" i="24" s="1"/>
  <c r="S65" i="24" a="1"/>
  <c r="S65" i="24" s="1"/>
  <c r="S66" i="24" a="1"/>
  <c r="S66" i="24" s="1"/>
  <c r="S67" i="24" a="1"/>
  <c r="S67" i="24" s="1"/>
  <c r="S68" i="24" a="1"/>
  <c r="S68" i="24" s="1"/>
  <c r="S69" i="24" a="1"/>
  <c r="S69" i="24" s="1"/>
  <c r="S70" i="24" a="1"/>
  <c r="S70" i="24" s="1"/>
  <c r="S71" i="24" a="1"/>
  <c r="S71" i="24" s="1"/>
  <c r="S72" i="24" a="1"/>
  <c r="S72" i="24" s="1"/>
  <c r="S73" i="24" a="1"/>
  <c r="S73" i="24" s="1"/>
  <c r="S74" i="24" a="1"/>
  <c r="S74" i="24" s="1"/>
  <c r="S75" i="24" a="1"/>
  <c r="S75" i="24" s="1"/>
  <c r="S76" i="24" a="1"/>
  <c r="S76" i="24" s="1"/>
  <c r="S77" i="24" a="1"/>
  <c r="S77" i="24" s="1"/>
  <c r="S78" i="24" a="1"/>
  <c r="S78" i="24" s="1"/>
  <c r="S79" i="24" a="1"/>
  <c r="S79" i="24" s="1"/>
  <c r="S80" i="24" a="1"/>
  <c r="S80" i="24" s="1"/>
  <c r="S81" i="24" a="1"/>
  <c r="S81" i="24" s="1"/>
  <c r="S82" i="24" a="1"/>
  <c r="S82" i="24" s="1"/>
  <c r="S83" i="24" a="1"/>
  <c r="S83" i="24" s="1"/>
  <c r="S84" i="24" a="1"/>
  <c r="S84" i="24" s="1"/>
  <c r="S85" i="24" a="1"/>
  <c r="S85" i="24" s="1"/>
  <c r="S86" i="24" a="1"/>
  <c r="S86" i="24" s="1"/>
  <c r="S87" i="24" a="1"/>
  <c r="S87" i="24" s="1"/>
  <c r="S88" i="24" a="1"/>
  <c r="S88" i="24" s="1"/>
  <c r="S89" i="24" a="1"/>
  <c r="S89" i="24" s="1"/>
  <c r="S90" i="24" a="1"/>
  <c r="S90" i="24" s="1"/>
  <c r="S91" i="24" a="1"/>
  <c r="S91" i="24" s="1"/>
  <c r="S92" i="24" a="1"/>
  <c r="S92" i="24" s="1"/>
  <c r="S93" i="24" a="1"/>
  <c r="S93" i="24" s="1"/>
  <c r="S94" i="24" a="1"/>
  <c r="S94" i="24" s="1"/>
  <c r="S95" i="24" a="1"/>
  <c r="S95" i="24" s="1"/>
  <c r="S96" i="24" a="1"/>
  <c r="S96" i="24" s="1"/>
  <c r="S97" i="24" a="1"/>
  <c r="S97" i="24" s="1"/>
  <c r="S98" i="24" a="1"/>
  <c r="S98" i="24" s="1"/>
  <c r="S99" i="24" a="1"/>
  <c r="S99" i="24" s="1"/>
  <c r="S100" i="24" a="1"/>
  <c r="S100" i="24" s="1"/>
  <c r="S101" i="24" a="1"/>
  <c r="S101" i="24" s="1"/>
  <c r="S102" i="24" a="1"/>
  <c r="S102" i="24" s="1"/>
  <c r="S103" i="24" a="1"/>
  <c r="S103" i="24" s="1"/>
  <c r="S104" i="24" a="1"/>
  <c r="S104" i="24" s="1"/>
  <c r="S105" i="24" a="1"/>
  <c r="S105" i="24" s="1"/>
  <c r="S106" i="24" a="1"/>
  <c r="S106" i="24" s="1"/>
  <c r="S107" i="24" a="1"/>
  <c r="S107" i="24" s="1"/>
  <c r="S108" i="24" a="1"/>
  <c r="S108" i="24" s="1"/>
  <c r="S109" i="24" a="1"/>
  <c r="S109" i="24" s="1"/>
  <c r="S110" i="24" a="1"/>
  <c r="S110" i="24" s="1"/>
  <c r="S111" i="24" a="1"/>
  <c r="S111" i="24" s="1"/>
  <c r="S112" i="24" a="1"/>
  <c r="S112" i="24" s="1"/>
  <c r="S113" i="24" a="1"/>
  <c r="S113" i="24" s="1"/>
  <c r="S114" i="24" a="1"/>
  <c r="S114" i="24" s="1"/>
  <c r="S115" i="24" a="1"/>
  <c r="S115" i="24" s="1"/>
  <c r="S116" i="24" a="1"/>
  <c r="S116" i="24" s="1"/>
  <c r="S117" i="24" a="1"/>
  <c r="S117" i="24" s="1"/>
  <c r="S118" i="24" a="1"/>
  <c r="S118" i="24" s="1"/>
  <c r="S119" i="24" a="1"/>
  <c r="S119" i="24" s="1"/>
  <c r="S120" i="24" a="1"/>
  <c r="S120" i="24" s="1"/>
  <c r="S121" i="24" a="1"/>
  <c r="S121" i="24" s="1"/>
  <c r="S122" i="24" a="1"/>
  <c r="S122" i="24" s="1"/>
  <c r="S123" i="24" a="1"/>
  <c r="S123" i="24" s="1"/>
  <c r="S124" i="24" a="1"/>
  <c r="S124" i="24" s="1"/>
  <c r="S125" i="24" a="1"/>
  <c r="S125" i="24" s="1"/>
  <c r="S126" i="24" a="1"/>
  <c r="S126" i="24" s="1"/>
  <c r="S127" i="24" a="1"/>
  <c r="S127" i="24" s="1"/>
  <c r="S128" i="24" a="1"/>
  <c r="S128" i="24" s="1"/>
  <c r="S129" i="24" a="1"/>
  <c r="S129" i="24" s="1"/>
  <c r="S130" i="24" a="1"/>
  <c r="S130" i="24" s="1"/>
  <c r="S131" i="24" a="1"/>
  <c r="S131" i="24" s="1"/>
  <c r="S132" i="24" a="1"/>
  <c r="S132" i="24" s="1"/>
  <c r="S133" i="24" a="1"/>
  <c r="S133" i="24" s="1"/>
  <c r="S134" i="24" a="1"/>
  <c r="S134" i="24" s="1"/>
  <c r="S135" i="24" a="1"/>
  <c r="S135" i="24" s="1"/>
  <c r="S136" i="24" a="1"/>
  <c r="S136" i="24" s="1"/>
  <c r="S137" i="24" a="1"/>
  <c r="S137" i="24" s="1"/>
  <c r="S138" i="24" a="1"/>
  <c r="S138" i="24" s="1"/>
  <c r="S139" i="24" a="1"/>
  <c r="S139" i="24" s="1"/>
  <c r="S140" i="24" a="1"/>
  <c r="S140" i="24" s="1"/>
  <c r="S141" i="24" a="1"/>
  <c r="S141" i="24" s="1"/>
  <c r="S142" i="24" a="1"/>
  <c r="S142" i="24" s="1"/>
  <c r="S143" i="24" a="1"/>
  <c r="S143" i="24" s="1"/>
  <c r="S144" i="24" a="1"/>
  <c r="S144" i="24" s="1"/>
  <c r="S145" i="24" a="1"/>
  <c r="S145" i="24" s="1"/>
  <c r="S146" i="24" a="1"/>
  <c r="S146" i="24" s="1"/>
  <c r="S147" i="24" a="1"/>
  <c r="S147" i="24" s="1"/>
  <c r="S148" i="24" a="1"/>
  <c r="S148" i="24" s="1"/>
  <c r="S149" i="24" a="1"/>
  <c r="S149" i="24" s="1"/>
  <c r="S150" i="24" a="1"/>
  <c r="S150" i="24" s="1"/>
  <c r="S151" i="24" a="1"/>
  <c r="S151" i="24" s="1"/>
  <c r="S152" i="24" a="1"/>
  <c r="S152" i="24" s="1"/>
  <c r="S153" i="24" a="1"/>
  <c r="S153" i="24" s="1"/>
  <c r="S154" i="24" a="1"/>
  <c r="S154" i="24" s="1"/>
  <c r="S155" i="24" a="1"/>
  <c r="S155" i="24" s="1"/>
  <c r="S156" i="24" a="1"/>
  <c r="S156" i="24" s="1"/>
  <c r="S157" i="24" a="1"/>
  <c r="S157" i="24" s="1"/>
  <c r="S158" i="24" a="1"/>
  <c r="S158" i="24" s="1"/>
  <c r="S159" i="24" a="1"/>
  <c r="S159" i="24" s="1"/>
  <c r="S160" i="24" a="1"/>
  <c r="S160" i="24" s="1"/>
  <c r="S161" i="24" a="1"/>
  <c r="S161" i="24" s="1"/>
  <c r="S162" i="24" a="1"/>
  <c r="S162" i="24" s="1"/>
  <c r="S163" i="24" a="1"/>
  <c r="S163" i="24" s="1"/>
  <c r="S164" i="24" a="1"/>
  <c r="S164" i="24" s="1"/>
  <c r="S165" i="24" a="1"/>
  <c r="S165" i="24" s="1"/>
  <c r="S166" i="24" a="1"/>
  <c r="S166" i="24" s="1"/>
  <c r="S167" i="24" a="1"/>
  <c r="S167" i="24" s="1"/>
  <c r="S168" i="24" a="1"/>
  <c r="S168" i="24" s="1"/>
  <c r="S169" i="24" a="1"/>
  <c r="S169" i="24" s="1"/>
  <c r="S170" i="24" a="1"/>
  <c r="S170" i="24" s="1"/>
  <c r="S171" i="24" a="1"/>
  <c r="S171" i="24" s="1"/>
  <c r="S172" i="24" a="1"/>
  <c r="S172" i="24" s="1"/>
  <c r="S173" i="24" a="1"/>
  <c r="S173" i="24" s="1"/>
  <c r="S174" i="24" a="1"/>
  <c r="S174" i="24" s="1"/>
  <c r="S175" i="24" a="1"/>
  <c r="S175" i="24" s="1"/>
  <c r="S176" i="24" a="1"/>
  <c r="S176" i="24" s="1"/>
  <c r="S177" i="24" a="1"/>
  <c r="S177" i="24" s="1"/>
  <c r="S178" i="24" a="1"/>
  <c r="S178" i="24" s="1"/>
  <c r="S179" i="24" a="1"/>
  <c r="S179" i="24" s="1"/>
  <c r="S180" i="24" a="1"/>
  <c r="S180" i="24" s="1"/>
  <c r="S181" i="24" a="1"/>
  <c r="S181" i="24" s="1"/>
  <c r="S182" i="24" a="1"/>
  <c r="S182" i="24" s="1"/>
  <c r="S183" i="24" a="1"/>
  <c r="S183" i="24" s="1"/>
  <c r="S184" i="24" a="1"/>
  <c r="S184" i="24" s="1"/>
  <c r="S185" i="24" a="1"/>
  <c r="S185" i="24" s="1"/>
  <c r="S186" i="24" a="1"/>
  <c r="S186" i="24" s="1"/>
  <c r="S187" i="24" a="1"/>
  <c r="S187" i="24" s="1"/>
  <c r="S188" i="24" a="1"/>
  <c r="S188" i="24" s="1"/>
  <c r="S189" i="24" a="1"/>
  <c r="S189" i="24" s="1"/>
  <c r="S190" i="24" a="1"/>
  <c r="S190" i="24" s="1"/>
  <c r="S191" i="24" a="1"/>
  <c r="S191" i="24" s="1"/>
  <c r="S192" i="24" a="1"/>
  <c r="S192" i="24" s="1"/>
  <c r="S193" i="24" a="1"/>
  <c r="S193" i="24" s="1"/>
  <c r="S194" i="24" a="1"/>
  <c r="S194" i="24" s="1"/>
  <c r="S195" i="24" a="1"/>
  <c r="S195" i="24" s="1"/>
  <c r="S196" i="24" a="1"/>
  <c r="S196" i="24" s="1"/>
  <c r="S197" i="24" a="1"/>
  <c r="S197" i="24" s="1"/>
  <c r="S198" i="24" a="1"/>
  <c r="S198" i="24" s="1"/>
  <c r="S199" i="24" a="1"/>
  <c r="S199" i="24" s="1"/>
  <c r="S200" i="24" a="1"/>
  <c r="S200" i="24" s="1"/>
  <c r="S201" i="24" a="1"/>
  <c r="S201" i="24" s="1"/>
  <c r="S202" i="24" a="1"/>
  <c r="S202" i="24" s="1"/>
  <c r="S203" i="24" a="1"/>
  <c r="S203" i="24" s="1"/>
  <c r="S204" i="24" a="1"/>
  <c r="S204" i="24" s="1"/>
  <c r="S205" i="24" a="1"/>
  <c r="S205" i="24" s="1"/>
  <c r="S206" i="24" a="1"/>
  <c r="S206" i="24" s="1"/>
  <c r="S207" i="24" a="1"/>
  <c r="S207" i="24" s="1"/>
  <c r="S208" i="24" a="1"/>
  <c r="S208" i="24" s="1"/>
  <c r="S209" i="24" a="1"/>
  <c r="S209" i="24" s="1"/>
  <c r="S210" i="24" a="1"/>
  <c r="S210" i="24" s="1"/>
  <c r="S211" i="24" a="1"/>
  <c r="S211" i="24" s="1"/>
  <c r="S212" i="24" a="1"/>
  <c r="S212" i="24" s="1"/>
  <c r="S213" i="24" a="1"/>
  <c r="S213" i="24" s="1"/>
  <c r="S214" i="24" a="1"/>
  <c r="S214" i="24" s="1"/>
  <c r="S215" i="24" a="1"/>
  <c r="S215" i="24" s="1"/>
  <c r="S216" i="24" a="1"/>
  <c r="S216" i="24" s="1"/>
  <c r="S217" i="24" a="1"/>
  <c r="S217" i="24" s="1"/>
  <c r="S218" i="24" a="1"/>
  <c r="S218" i="24" s="1"/>
  <c r="S219" i="24" a="1"/>
  <c r="S219" i="24" s="1"/>
  <c r="S220" i="24" a="1"/>
  <c r="S220" i="24" s="1"/>
  <c r="S221" i="24" a="1"/>
  <c r="S221" i="24" s="1"/>
  <c r="S222" i="24" a="1"/>
  <c r="S222" i="24" s="1"/>
  <c r="S223" i="24" a="1"/>
  <c r="S223" i="24" s="1"/>
  <c r="S224" i="24" a="1"/>
  <c r="S224" i="24" s="1"/>
  <c r="S225" i="24" a="1"/>
  <c r="S225" i="24" s="1"/>
  <c r="S226" i="24" a="1"/>
  <c r="S226" i="24" s="1"/>
  <c r="S227" i="24" a="1"/>
  <c r="S227" i="24" s="1"/>
  <c r="S228" i="24" a="1"/>
  <c r="S228" i="24" s="1"/>
  <c r="S229" i="24" a="1"/>
  <c r="S229" i="24" s="1"/>
  <c r="S230" i="24" a="1"/>
  <c r="S230" i="24" s="1"/>
  <c r="S231" i="24" a="1"/>
  <c r="S231" i="24" s="1"/>
  <c r="S232" i="24" a="1"/>
  <c r="S232" i="24" s="1"/>
  <c r="S233" i="24" a="1"/>
  <c r="S233" i="24" s="1"/>
  <c r="S234" i="24" a="1"/>
  <c r="S234" i="24" s="1"/>
  <c r="S235" i="24" a="1"/>
  <c r="S235" i="24" s="1"/>
  <c r="S236" i="24" a="1"/>
  <c r="S236" i="24" s="1"/>
  <c r="S237" i="24" a="1"/>
  <c r="S237" i="24" s="1"/>
  <c r="S238" i="24" a="1"/>
  <c r="S238" i="24" s="1"/>
  <c r="S239" i="24" a="1"/>
  <c r="S239" i="24" s="1"/>
  <c r="S240" i="24" a="1"/>
  <c r="S240" i="24" s="1"/>
  <c r="S241" i="24" a="1"/>
  <c r="S241" i="24" s="1"/>
  <c r="S242" i="24" a="1"/>
  <c r="S242" i="24" s="1"/>
  <c r="S243" i="24" a="1"/>
  <c r="S243" i="24" s="1"/>
  <c r="S244" i="24" a="1"/>
  <c r="S244" i="24" s="1"/>
  <c r="S245" i="24" a="1"/>
  <c r="S245" i="24" s="1"/>
  <c r="S246" i="24" a="1"/>
  <c r="S246" i="24" s="1"/>
  <c r="S247" i="24" a="1"/>
  <c r="S247" i="24" s="1"/>
  <c r="S248" i="24" a="1"/>
  <c r="S248" i="24" s="1"/>
  <c r="S249" i="24" a="1"/>
  <c r="S249" i="24" s="1"/>
  <c r="S250" i="24" a="1"/>
  <c r="S250" i="24" s="1"/>
  <c r="S251" i="24" a="1"/>
  <c r="S251" i="24" s="1"/>
  <c r="S252" i="24" a="1"/>
  <c r="S252" i="24" s="1"/>
  <c r="S253" i="24" a="1"/>
  <c r="S253" i="24" s="1"/>
  <c r="S254" i="24" a="1"/>
  <c r="S254" i="24" s="1"/>
  <c r="S255" i="24" a="1"/>
  <c r="S255" i="24" s="1"/>
  <c r="S256" i="24" a="1"/>
  <c r="S256" i="24" s="1"/>
  <c r="S257" i="24" a="1"/>
  <c r="S257" i="24" s="1"/>
  <c r="S258" i="24" a="1"/>
  <c r="S258" i="24" s="1"/>
  <c r="S259" i="24" a="1"/>
  <c r="S259" i="24" s="1"/>
  <c r="S260" i="24" a="1"/>
  <c r="S260" i="24" s="1"/>
  <c r="S261" i="24" a="1"/>
  <c r="S261" i="24" s="1"/>
  <c r="S262" i="24" a="1"/>
  <c r="S262" i="24" s="1"/>
  <c r="S263" i="24" a="1"/>
  <c r="S263" i="24" s="1"/>
  <c r="S264" i="24" a="1"/>
  <c r="S264" i="24" s="1"/>
  <c r="S265" i="24" a="1"/>
  <c r="S265" i="24" s="1"/>
  <c r="S266" i="24" a="1"/>
  <c r="S266" i="24" s="1"/>
  <c r="S267" i="24" a="1"/>
  <c r="S267" i="24" s="1"/>
  <c r="S268" i="24" a="1"/>
  <c r="S268" i="24" s="1"/>
  <c r="S269" i="24" a="1"/>
  <c r="S269" i="24" s="1"/>
  <c r="S270" i="24" a="1"/>
  <c r="S270" i="24" s="1"/>
  <c r="S271" i="24" a="1"/>
  <c r="S271" i="24" s="1"/>
  <c r="S272" i="24" a="1"/>
  <c r="S272" i="24" s="1"/>
  <c r="S273" i="24" a="1"/>
  <c r="S273" i="24" s="1"/>
  <c r="S274" i="24" a="1"/>
  <c r="S274" i="24" s="1"/>
  <c r="S275" i="24" a="1"/>
  <c r="S275" i="24" s="1"/>
  <c r="S276" i="24" a="1"/>
  <c r="S276" i="24" s="1"/>
  <c r="S277" i="24" a="1"/>
  <c r="S277" i="24" s="1"/>
  <c r="S278" i="24" a="1"/>
  <c r="S278" i="24" s="1"/>
  <c r="S279" i="24" a="1"/>
  <c r="S279" i="24" s="1"/>
  <c r="S280" i="24" a="1"/>
  <c r="S280" i="24" s="1"/>
  <c r="S281" i="24" a="1"/>
  <c r="S281" i="24" s="1"/>
  <c r="S282" i="24" a="1"/>
  <c r="S282" i="24" s="1"/>
  <c r="S283" i="24" a="1"/>
  <c r="S283" i="24" s="1"/>
  <c r="S284" i="24" a="1"/>
  <c r="S284" i="24" s="1"/>
  <c r="S285" i="24" a="1"/>
  <c r="S285" i="24" s="1"/>
  <c r="S286" i="24" a="1"/>
  <c r="S286" i="24" s="1"/>
  <c r="S287" i="24" a="1"/>
  <c r="S287" i="24" s="1"/>
  <c r="S288" i="24" a="1"/>
  <c r="S288" i="24" s="1"/>
  <c r="S289" i="24" a="1"/>
  <c r="S289" i="24" s="1"/>
  <c r="S290" i="24" a="1"/>
  <c r="S290" i="24" s="1"/>
  <c r="S291" i="24" a="1"/>
  <c r="S291" i="24" s="1"/>
  <c r="S292" i="24" a="1"/>
  <c r="S292" i="24" s="1"/>
  <c r="S293" i="24" a="1"/>
  <c r="S293" i="24" s="1"/>
  <c r="S294" i="24" a="1"/>
  <c r="S294" i="24" s="1"/>
  <c r="S295" i="24" a="1"/>
  <c r="S295" i="24" s="1"/>
  <c r="S296" i="24" a="1"/>
  <c r="S296" i="24" s="1"/>
  <c r="S297" i="24" a="1"/>
  <c r="S297" i="24" s="1"/>
  <c r="S298" i="24" a="1"/>
  <c r="S298" i="24" s="1"/>
  <c r="S299" i="24" a="1"/>
  <c r="S299" i="24" s="1"/>
  <c r="S300" i="24" a="1"/>
  <c r="S300" i="24" s="1"/>
  <c r="S301" i="24" a="1"/>
  <c r="S301" i="24" s="1"/>
  <c r="S302" i="24" a="1"/>
  <c r="S302" i="24" s="1"/>
  <c r="S2" i="25" a="1"/>
  <c r="S2" i="25" s="1"/>
  <c r="S3" i="25" a="1"/>
  <c r="S3" i="25" s="1"/>
  <c r="S4" i="25" a="1"/>
  <c r="S4" i="25" s="1"/>
  <c r="S5" i="25" a="1"/>
  <c r="S5" i="25" s="1"/>
  <c r="S6" i="25" a="1"/>
  <c r="S6" i="25" s="1"/>
  <c r="S7" i="25" a="1"/>
  <c r="S7" i="25" s="1"/>
  <c r="S8" i="25" a="1"/>
  <c r="S8" i="25" s="1"/>
  <c r="S9" i="25" a="1"/>
  <c r="S9" i="25" s="1"/>
  <c r="S10" i="25" a="1"/>
  <c r="S10" i="25" s="1"/>
  <c r="S11" i="25" a="1"/>
  <c r="S11" i="25" s="1"/>
  <c r="S12" i="25" a="1"/>
  <c r="S12" i="25" s="1"/>
  <c r="S13" i="25" a="1"/>
  <c r="S13" i="25" s="1"/>
  <c r="S14" i="25" a="1"/>
  <c r="S14" i="25" s="1"/>
  <c r="S15" i="25" a="1"/>
  <c r="S15" i="25" s="1"/>
  <c r="S16" i="25" a="1"/>
  <c r="S16" i="25" s="1"/>
  <c r="S17" i="25" a="1"/>
  <c r="S17" i="25" s="1"/>
  <c r="S18" i="25" a="1"/>
  <c r="S18" i="25" s="1"/>
  <c r="S19" i="25" a="1"/>
  <c r="S19" i="25" s="1"/>
  <c r="S20" i="25" a="1"/>
  <c r="S20" i="25" s="1"/>
  <c r="S21" i="25" a="1"/>
  <c r="S21" i="25" s="1"/>
  <c r="S22" i="25" a="1"/>
  <c r="S22" i="25" s="1"/>
  <c r="S23" i="25" a="1"/>
  <c r="S23" i="25" s="1"/>
  <c r="S24" i="25" a="1"/>
  <c r="S24" i="25" s="1"/>
  <c r="S25" i="25" a="1"/>
  <c r="S25" i="25" s="1"/>
  <c r="S26" i="25" a="1"/>
  <c r="S26" i="25" s="1"/>
  <c r="S27" i="25" a="1"/>
  <c r="S27" i="25" s="1"/>
  <c r="S28" i="25" a="1"/>
  <c r="S28" i="25" s="1"/>
  <c r="S29" i="25" a="1"/>
  <c r="S29" i="25" s="1"/>
  <c r="S30" i="25" a="1"/>
  <c r="S30" i="25" s="1"/>
  <c r="S31" i="25" a="1"/>
  <c r="S31" i="25" s="1"/>
  <c r="S32" i="25" a="1"/>
  <c r="S32" i="25" s="1"/>
  <c r="S33" i="25" a="1"/>
  <c r="S33" i="25" s="1"/>
  <c r="S34" i="25" a="1"/>
  <c r="S34" i="25" s="1"/>
  <c r="S35" i="25" a="1"/>
  <c r="S35" i="25" s="1"/>
  <c r="S36" i="25" a="1"/>
  <c r="S36" i="25" s="1"/>
  <c r="S37" i="25" a="1"/>
  <c r="S37" i="25" s="1"/>
  <c r="S38" i="25" a="1"/>
  <c r="S38" i="25" s="1"/>
  <c r="S39" i="25" a="1"/>
  <c r="S39" i="25" s="1"/>
  <c r="S40" i="25" a="1"/>
  <c r="S40" i="25" s="1"/>
  <c r="S41" i="25" a="1"/>
  <c r="S41" i="25" s="1"/>
  <c r="S42" i="25" a="1"/>
  <c r="S42" i="25" s="1"/>
  <c r="S43" i="25" a="1"/>
  <c r="S43" i="25" s="1"/>
  <c r="S44" i="25" a="1"/>
  <c r="S44" i="25" s="1"/>
  <c r="S45" i="25" a="1"/>
  <c r="S45" i="25" s="1"/>
  <c r="S46" i="25" a="1"/>
  <c r="S46" i="25" s="1"/>
  <c r="S47" i="25" a="1"/>
  <c r="S47" i="25" s="1"/>
  <c r="S48" i="25" a="1"/>
  <c r="S48" i="25" s="1"/>
  <c r="S49" i="25" a="1"/>
  <c r="S49" i="25" s="1"/>
  <c r="S50" i="25" a="1"/>
  <c r="S50" i="25" s="1"/>
  <c r="S51" i="25" a="1"/>
  <c r="S51" i="25" s="1"/>
  <c r="S52" i="25" a="1"/>
  <c r="S52" i="25" s="1"/>
  <c r="S53" i="25" a="1"/>
  <c r="S53" i="25" s="1"/>
  <c r="S54" i="25" a="1"/>
  <c r="S54" i="25" s="1"/>
  <c r="S55" i="25" a="1"/>
  <c r="S55" i="25" s="1"/>
  <c r="S56" i="25" a="1"/>
  <c r="S56" i="25" s="1"/>
  <c r="S57" i="25" a="1"/>
  <c r="S57" i="25" s="1"/>
  <c r="S58" i="25" a="1"/>
  <c r="S58" i="25" s="1"/>
  <c r="S59" i="25" a="1"/>
  <c r="S59" i="25" s="1"/>
  <c r="S60" i="25" a="1"/>
  <c r="S60" i="25" s="1"/>
  <c r="S61" i="25" a="1"/>
  <c r="S61" i="25" s="1"/>
  <c r="S62" i="25" a="1"/>
  <c r="S62" i="25" s="1"/>
  <c r="S63" i="25" a="1"/>
  <c r="S63" i="25" s="1"/>
  <c r="S64" i="25" a="1"/>
  <c r="S64" i="25" s="1"/>
  <c r="S65" i="25" a="1"/>
  <c r="S65" i="25" s="1"/>
  <c r="S66" i="25" a="1"/>
  <c r="S66" i="25" s="1"/>
  <c r="S67" i="25" a="1"/>
  <c r="S67" i="25" s="1"/>
  <c r="S68" i="25" a="1"/>
  <c r="S68" i="25" s="1"/>
  <c r="S69" i="25" a="1"/>
  <c r="S69" i="25" s="1"/>
  <c r="S70" i="25" a="1"/>
  <c r="S70" i="25" s="1"/>
  <c r="S71" i="25" a="1"/>
  <c r="S71" i="25" s="1"/>
  <c r="S72" i="25" a="1"/>
  <c r="S72" i="25" s="1"/>
  <c r="S73" i="25" a="1"/>
  <c r="S73" i="25" s="1"/>
  <c r="S74" i="25" a="1"/>
  <c r="S74" i="25" s="1"/>
  <c r="S75" i="25" a="1"/>
  <c r="S75" i="25" s="1"/>
  <c r="S76" i="25" a="1"/>
  <c r="S76" i="25" s="1"/>
  <c r="S77" i="25" a="1"/>
  <c r="S77" i="25" s="1"/>
  <c r="S78" i="25" a="1"/>
  <c r="S78" i="25" s="1"/>
  <c r="S79" i="25" a="1"/>
  <c r="S79" i="25" s="1"/>
  <c r="S80" i="25" a="1"/>
  <c r="S80" i="25" s="1"/>
  <c r="S81" i="25" a="1"/>
  <c r="S81" i="25" s="1"/>
  <c r="S82" i="25" a="1"/>
  <c r="S82" i="25" s="1"/>
  <c r="S83" i="25" a="1"/>
  <c r="S83" i="25" s="1"/>
  <c r="S84" i="25" a="1"/>
  <c r="S84" i="25" s="1"/>
  <c r="S85" i="25" a="1"/>
  <c r="S85" i="25" s="1"/>
  <c r="S86" i="25" a="1"/>
  <c r="S86" i="25" s="1"/>
  <c r="S87" i="25" a="1"/>
  <c r="S87" i="25" s="1"/>
  <c r="S88" i="25" a="1"/>
  <c r="S88" i="25" s="1"/>
  <c r="S89" i="25" a="1"/>
  <c r="S89" i="25" s="1"/>
  <c r="S90" i="25" a="1"/>
  <c r="S90" i="25" s="1"/>
  <c r="S91" i="25" a="1"/>
  <c r="S91" i="25" s="1"/>
  <c r="S92" i="25" a="1"/>
  <c r="S92" i="25" s="1"/>
  <c r="S93" i="25" a="1"/>
  <c r="S93" i="25" s="1"/>
  <c r="S94" i="25" a="1"/>
  <c r="S94" i="25" s="1"/>
  <c r="S95" i="25" a="1"/>
  <c r="S95" i="25" s="1"/>
  <c r="S96" i="25" a="1"/>
  <c r="S96" i="25" s="1"/>
  <c r="S97" i="25" a="1"/>
  <c r="S97" i="25" s="1"/>
  <c r="S98" i="25" a="1"/>
  <c r="S98" i="25" s="1"/>
  <c r="S99" i="25" a="1"/>
  <c r="S99" i="25" s="1"/>
  <c r="S100" i="25" a="1"/>
  <c r="S100" i="25" s="1"/>
  <c r="S101" i="25" a="1"/>
  <c r="S101" i="25" s="1"/>
  <c r="S102" i="25" a="1"/>
  <c r="S102" i="25" s="1"/>
  <c r="S103" i="25" a="1"/>
  <c r="S103" i="25" s="1"/>
  <c r="S104" i="25" a="1"/>
  <c r="S104" i="25" s="1"/>
  <c r="S105" i="25" a="1"/>
  <c r="S105" i="25" s="1"/>
  <c r="S106" i="25" a="1"/>
  <c r="S106" i="25" s="1"/>
  <c r="S107" i="25" a="1"/>
  <c r="S107" i="25" s="1"/>
  <c r="S108" i="25" a="1"/>
  <c r="S108" i="25" s="1"/>
  <c r="S109" i="25" a="1"/>
  <c r="S109" i="25" s="1"/>
  <c r="S110" i="25" a="1"/>
  <c r="S110" i="25" s="1"/>
  <c r="S111" i="25" a="1"/>
  <c r="S111" i="25" s="1"/>
  <c r="S112" i="25" a="1"/>
  <c r="S112" i="25" s="1"/>
  <c r="S113" i="25" a="1"/>
  <c r="S113" i="25" s="1"/>
  <c r="S114" i="25" a="1"/>
  <c r="S114" i="25" s="1"/>
  <c r="S115" i="25" a="1"/>
  <c r="S115" i="25" s="1"/>
  <c r="S116" i="25" a="1"/>
  <c r="S116" i="25" s="1"/>
  <c r="S117" i="25" a="1"/>
  <c r="S117" i="25" s="1"/>
  <c r="S118" i="25" a="1"/>
  <c r="S118" i="25" s="1"/>
  <c r="S119" i="25" a="1"/>
  <c r="S119" i="25" s="1"/>
  <c r="S120" i="25" a="1"/>
  <c r="S120" i="25" s="1"/>
  <c r="S121" i="25" a="1"/>
  <c r="S121" i="25" s="1"/>
  <c r="S122" i="25" a="1"/>
  <c r="S122" i="25" s="1"/>
  <c r="S123" i="25" a="1"/>
  <c r="S123" i="25" s="1"/>
  <c r="S124" i="25" a="1"/>
  <c r="S124" i="25" s="1"/>
  <c r="S125" i="25" a="1"/>
  <c r="S125" i="25" s="1"/>
  <c r="S126" i="25" a="1"/>
  <c r="S126" i="25" s="1"/>
  <c r="S127" i="25" a="1"/>
  <c r="S127" i="25" s="1"/>
  <c r="S128" i="25" a="1"/>
  <c r="S128" i="25" s="1"/>
  <c r="S129" i="25" a="1"/>
  <c r="S129" i="25" s="1"/>
  <c r="S130" i="25" a="1"/>
  <c r="S130" i="25" s="1"/>
  <c r="S131" i="25" a="1"/>
  <c r="S131" i="25" s="1"/>
  <c r="S132" i="25" a="1"/>
  <c r="S132" i="25" s="1"/>
  <c r="S133" i="25" a="1"/>
  <c r="S133" i="25" s="1"/>
  <c r="S134" i="25" a="1"/>
  <c r="S134" i="25" s="1"/>
  <c r="S135" i="25" a="1"/>
  <c r="S135" i="25" s="1"/>
  <c r="S136" i="25" a="1"/>
  <c r="S136" i="25" s="1"/>
  <c r="S137" i="25" a="1"/>
  <c r="S137" i="25" s="1"/>
  <c r="S138" i="25" a="1"/>
  <c r="S138" i="25" s="1"/>
  <c r="S139" i="25" a="1"/>
  <c r="S139" i="25" s="1"/>
  <c r="S140" i="25" a="1"/>
  <c r="S140" i="25" s="1"/>
  <c r="S141" i="25" a="1"/>
  <c r="S141" i="25" s="1"/>
  <c r="S142" i="25" a="1"/>
  <c r="S142" i="25" s="1"/>
  <c r="S143" i="25" a="1"/>
  <c r="S143" i="25" s="1"/>
  <c r="S144" i="25" a="1"/>
  <c r="S144" i="25" s="1"/>
  <c r="S145" i="25" a="1"/>
  <c r="S145" i="25" s="1"/>
  <c r="S146" i="25" a="1"/>
  <c r="S146" i="25" s="1"/>
  <c r="S147" i="25" a="1"/>
  <c r="S147" i="25" s="1"/>
  <c r="S148" i="25" a="1"/>
  <c r="S148" i="25" s="1"/>
  <c r="S149" i="25" a="1"/>
  <c r="S149" i="25" s="1"/>
  <c r="S150" i="25" a="1"/>
  <c r="S150" i="25" s="1"/>
  <c r="S151" i="25" a="1"/>
  <c r="S151" i="25" s="1"/>
  <c r="S152" i="25" a="1"/>
  <c r="S152" i="25" s="1"/>
  <c r="S153" i="25" a="1"/>
  <c r="S153" i="25" s="1"/>
  <c r="S154" i="25" a="1"/>
  <c r="S154" i="25" s="1"/>
  <c r="S155" i="25" a="1"/>
  <c r="S155" i="25" s="1"/>
  <c r="S156" i="25" a="1"/>
  <c r="S156" i="25" s="1"/>
  <c r="S157" i="25" a="1"/>
  <c r="S157" i="25" s="1"/>
  <c r="S158" i="25" a="1"/>
  <c r="S158" i="25" s="1"/>
  <c r="S159" i="25" a="1"/>
  <c r="S159" i="25" s="1"/>
  <c r="S160" i="25" a="1"/>
  <c r="S160" i="25" s="1"/>
  <c r="S161" i="25" a="1"/>
  <c r="S161" i="25" s="1"/>
  <c r="S162" i="25" a="1"/>
  <c r="S162" i="25" s="1"/>
  <c r="S163" i="25" a="1"/>
  <c r="S163" i="25" s="1"/>
  <c r="S164" i="25" a="1"/>
  <c r="S164" i="25" s="1"/>
  <c r="S165" i="25" a="1"/>
  <c r="S165" i="25" s="1"/>
  <c r="S166" i="25" a="1"/>
  <c r="S166" i="25" s="1"/>
  <c r="S167" i="25" a="1"/>
  <c r="S167" i="25" s="1"/>
  <c r="S168" i="25" a="1"/>
  <c r="S168" i="25" s="1"/>
  <c r="S169" i="25" a="1"/>
  <c r="S169" i="25" s="1"/>
  <c r="S170" i="25" a="1"/>
  <c r="S170" i="25" s="1"/>
  <c r="S171" i="25" a="1"/>
  <c r="S171" i="25" s="1"/>
  <c r="S172" i="25" a="1"/>
  <c r="S172" i="25" s="1"/>
  <c r="S173" i="25" a="1"/>
  <c r="S173" i="25" s="1"/>
  <c r="S174" i="25" a="1"/>
  <c r="S174" i="25" s="1"/>
  <c r="S175" i="25" a="1"/>
  <c r="S175" i="25" s="1"/>
  <c r="S176" i="25" a="1"/>
  <c r="S176" i="25" s="1"/>
  <c r="S177" i="25" a="1"/>
  <c r="S177" i="25" s="1"/>
  <c r="S178" i="25" a="1"/>
  <c r="S178" i="25" s="1"/>
  <c r="S179" i="25" a="1"/>
  <c r="S179" i="25" s="1"/>
  <c r="S180" i="25" a="1"/>
  <c r="S180" i="25" s="1"/>
  <c r="S181" i="25" a="1"/>
  <c r="S181" i="25" s="1"/>
  <c r="S182" i="25" a="1"/>
  <c r="S182" i="25" s="1"/>
  <c r="S183" i="25" a="1"/>
  <c r="S183" i="25" s="1"/>
  <c r="S184" i="25" a="1"/>
  <c r="S184" i="25" s="1"/>
  <c r="S185" i="25" a="1"/>
  <c r="S185" i="25" s="1"/>
  <c r="S186" i="25" a="1"/>
  <c r="S186" i="25" s="1"/>
  <c r="S187" i="25" a="1"/>
  <c r="S187" i="25" s="1"/>
  <c r="S188" i="25" a="1"/>
  <c r="S188" i="25" s="1"/>
  <c r="S189" i="25" a="1"/>
  <c r="S189" i="25" s="1"/>
  <c r="S190" i="25" a="1"/>
  <c r="S190" i="25" s="1"/>
  <c r="S191" i="25" a="1"/>
  <c r="S191" i="25" s="1"/>
  <c r="S192" i="25" a="1"/>
  <c r="S192" i="25" s="1"/>
  <c r="S193" i="25" a="1"/>
  <c r="S193" i="25" s="1"/>
  <c r="S194" i="25" a="1"/>
  <c r="S194" i="25" s="1"/>
  <c r="S195" i="25" a="1"/>
  <c r="S195" i="25" s="1"/>
  <c r="S196" i="25" a="1"/>
  <c r="S196" i="25" s="1"/>
  <c r="S197" i="25" a="1"/>
  <c r="S197" i="25" s="1"/>
  <c r="S198" i="25" a="1"/>
  <c r="S198" i="25" s="1"/>
  <c r="S199" i="25" a="1"/>
  <c r="S199" i="25" s="1"/>
  <c r="S200" i="25" a="1"/>
  <c r="S200" i="25" s="1"/>
  <c r="S201" i="25" a="1"/>
  <c r="S201" i="25" s="1"/>
  <c r="S202" i="25" a="1"/>
  <c r="S202" i="25" s="1"/>
  <c r="S203" i="25" a="1"/>
  <c r="S203" i="25" s="1"/>
  <c r="S204" i="25" a="1"/>
  <c r="S204" i="25" s="1"/>
  <c r="S205" i="25" a="1"/>
  <c r="S205" i="25" s="1"/>
  <c r="S206" i="25" a="1"/>
  <c r="S206" i="25" s="1"/>
  <c r="S207" i="25" a="1"/>
  <c r="S207" i="25" s="1"/>
  <c r="S208" i="25" a="1"/>
  <c r="S208" i="25" s="1"/>
  <c r="S209" i="25" a="1"/>
  <c r="S209" i="25" s="1"/>
  <c r="S210" i="25" a="1"/>
  <c r="S210" i="25" s="1"/>
  <c r="S211" i="25" a="1"/>
  <c r="S211" i="25" s="1"/>
  <c r="S212" i="25" a="1"/>
  <c r="S212" i="25" s="1"/>
  <c r="S213" i="25" a="1"/>
  <c r="S213" i="25" s="1"/>
  <c r="S214" i="25" a="1"/>
  <c r="S214" i="25" s="1"/>
  <c r="S215" i="25" a="1"/>
  <c r="S215" i="25" s="1"/>
  <c r="S216" i="25" a="1"/>
  <c r="S216" i="25" s="1"/>
  <c r="S217" i="25" a="1"/>
  <c r="S217" i="25" s="1"/>
  <c r="S218" i="25" a="1"/>
  <c r="S218" i="25" s="1"/>
  <c r="S219" i="25" a="1"/>
  <c r="S219" i="25" s="1"/>
  <c r="S220" i="25" a="1"/>
  <c r="S220" i="25" s="1"/>
  <c r="S221" i="25" a="1"/>
  <c r="S221" i="25" s="1"/>
  <c r="S222" i="25" a="1"/>
  <c r="S222" i="25" s="1"/>
  <c r="S223" i="25" a="1"/>
  <c r="S223" i="25" s="1"/>
  <c r="S224" i="25" a="1"/>
  <c r="S224" i="25" s="1"/>
  <c r="S225" i="25" a="1"/>
  <c r="S225" i="25" s="1"/>
  <c r="S226" i="25" a="1"/>
  <c r="S226" i="25" s="1"/>
  <c r="S227" i="25" a="1"/>
  <c r="S227" i="25" s="1"/>
  <c r="S228" i="25" a="1"/>
  <c r="S228" i="25" s="1"/>
  <c r="S229" i="25" a="1"/>
  <c r="S229" i="25" s="1"/>
  <c r="S230" i="25" a="1"/>
  <c r="S230" i="25" s="1"/>
  <c r="S231" i="25" a="1"/>
  <c r="S231" i="25" s="1"/>
  <c r="S232" i="25" a="1"/>
  <c r="S232" i="25" s="1"/>
  <c r="S233" i="25" a="1"/>
  <c r="S233" i="25" s="1"/>
  <c r="S234" i="25" a="1"/>
  <c r="S234" i="25" s="1"/>
  <c r="S235" i="25" a="1"/>
  <c r="S235" i="25" s="1"/>
  <c r="S236" i="25" a="1"/>
  <c r="S236" i="25" s="1"/>
  <c r="S237" i="25" a="1"/>
  <c r="S237" i="25" s="1"/>
  <c r="S238" i="25" a="1"/>
  <c r="S238" i="25" s="1"/>
  <c r="S239" i="25" a="1"/>
  <c r="S239" i="25" s="1"/>
  <c r="S240" i="25" a="1"/>
  <c r="S240" i="25" s="1"/>
  <c r="S241" i="25" a="1"/>
  <c r="S241" i="25" s="1"/>
  <c r="S242" i="25" a="1"/>
  <c r="S242" i="25" s="1"/>
  <c r="S243" i="25" a="1"/>
  <c r="S243" i="25" s="1"/>
  <c r="S244" i="25" a="1"/>
  <c r="S244" i="25" s="1"/>
  <c r="S245" i="25" a="1"/>
  <c r="S245" i="25" s="1"/>
  <c r="S246" i="25" a="1"/>
  <c r="S246" i="25" s="1"/>
  <c r="S247" i="25" a="1"/>
  <c r="S247" i="25" s="1"/>
  <c r="S248" i="25" a="1"/>
  <c r="S248" i="25" s="1"/>
  <c r="S249" i="25" a="1"/>
  <c r="S249" i="25" s="1"/>
  <c r="S250" i="25" a="1"/>
  <c r="S250" i="25" s="1"/>
  <c r="S251" i="25" a="1"/>
  <c r="S251" i="25" s="1"/>
  <c r="S252" i="25" a="1"/>
  <c r="S252" i="25" s="1"/>
  <c r="S253" i="25" a="1"/>
  <c r="S253" i="25" s="1"/>
  <c r="S254" i="25" a="1"/>
  <c r="S254" i="25" s="1"/>
  <c r="S255" i="25" a="1"/>
  <c r="S255" i="25" s="1"/>
  <c r="S256" i="25" a="1"/>
  <c r="S256" i="25" s="1"/>
  <c r="S257" i="25" a="1"/>
  <c r="S257" i="25" s="1"/>
  <c r="S258" i="25" a="1"/>
  <c r="S258" i="25" s="1"/>
  <c r="S259" i="25" a="1"/>
  <c r="S259" i="25" s="1"/>
  <c r="S260" i="25" a="1"/>
  <c r="S260" i="25" s="1"/>
  <c r="S261" i="25" a="1"/>
  <c r="S261" i="25" s="1"/>
  <c r="S262" i="25" a="1"/>
  <c r="S262" i="25" s="1"/>
  <c r="S263" i="25" a="1"/>
  <c r="S263" i="25" s="1"/>
  <c r="S264" i="25" a="1"/>
  <c r="S264" i="25" s="1"/>
  <c r="S265" i="25" a="1"/>
  <c r="S265" i="25" s="1"/>
  <c r="S266" i="25" a="1"/>
  <c r="S266" i="25" s="1"/>
  <c r="S267" i="25" a="1"/>
  <c r="S267" i="25" s="1"/>
  <c r="S268" i="25" a="1"/>
  <c r="S268" i="25" s="1"/>
  <c r="S269" i="25" a="1"/>
  <c r="S269" i="25" s="1"/>
  <c r="S270" i="25" a="1"/>
  <c r="S270" i="25" s="1"/>
  <c r="S271" i="25" a="1"/>
  <c r="S271" i="25" s="1"/>
  <c r="S272" i="25" a="1"/>
  <c r="S272" i="25" s="1"/>
  <c r="S273" i="25" a="1"/>
  <c r="S273" i="25" s="1"/>
  <c r="S274" i="25" a="1"/>
  <c r="S274" i="25" s="1"/>
  <c r="S275" i="25" a="1"/>
  <c r="S275" i="25" s="1"/>
  <c r="S276" i="25" a="1"/>
  <c r="S276" i="25" s="1"/>
  <c r="S277" i="25" a="1"/>
  <c r="S277" i="25" s="1"/>
  <c r="S278" i="25" a="1"/>
  <c r="S278" i="25" s="1"/>
  <c r="S279" i="25" a="1"/>
  <c r="S279" i="25" s="1"/>
  <c r="S280" i="25" a="1"/>
  <c r="S280" i="25" s="1"/>
  <c r="S281" i="25" a="1"/>
  <c r="S281" i="25" s="1"/>
  <c r="S282" i="25" a="1"/>
  <c r="S282" i="25" s="1"/>
  <c r="S283" i="25" a="1"/>
  <c r="S283" i="25" s="1"/>
  <c r="S284" i="25" a="1"/>
  <c r="S284" i="25" s="1"/>
  <c r="S285" i="25" a="1"/>
  <c r="S285" i="25" s="1"/>
  <c r="S286" i="25" a="1"/>
  <c r="S286" i="25" s="1"/>
  <c r="S287" i="25" a="1"/>
  <c r="S287" i="25" s="1"/>
  <c r="S288" i="25" a="1"/>
  <c r="S288" i="25" s="1"/>
  <c r="S289" i="25" a="1"/>
  <c r="S289" i="25" s="1"/>
  <c r="S290" i="25" a="1"/>
  <c r="S290" i="25" s="1"/>
  <c r="S291" i="25" a="1"/>
  <c r="S291" i="25" s="1"/>
  <c r="S292" i="25" a="1"/>
  <c r="S292" i="25" s="1"/>
  <c r="S293" i="25" a="1"/>
  <c r="S293" i="25" s="1"/>
  <c r="S294" i="25" a="1"/>
  <c r="S294" i="25" s="1"/>
  <c r="S295" i="25" a="1"/>
  <c r="S295" i="25" s="1"/>
  <c r="S296" i="25" a="1"/>
  <c r="S296" i="25" s="1"/>
  <c r="S297" i="25" a="1"/>
  <c r="S297" i="25" s="1"/>
  <c r="S298" i="25" a="1"/>
  <c r="S298" i="25" s="1"/>
  <c r="S299" i="25" a="1"/>
  <c r="S299" i="25" s="1"/>
  <c r="S300" i="25" a="1"/>
  <c r="S300" i="25" s="1"/>
  <c r="S301" i="25" a="1"/>
  <c r="S301" i="25" s="1"/>
  <c r="S302" i="25" a="1"/>
  <c r="S302" i="25" s="1"/>
  <c r="S303" i="25" a="1"/>
  <c r="S303" i="25" s="1"/>
  <c r="S304" i="25" a="1"/>
  <c r="S304" i="25" s="1"/>
  <c r="S305" i="25" a="1"/>
  <c r="S305" i="25" s="1"/>
  <c r="S306" i="25" a="1"/>
  <c r="S306" i="25" s="1"/>
  <c r="S307" i="25" a="1"/>
  <c r="S307" i="25" s="1"/>
  <c r="S308" i="25" a="1"/>
  <c r="S308" i="25" s="1"/>
  <c r="S309" i="25" a="1"/>
  <c r="S309" i="25" s="1"/>
  <c r="S310" i="25" a="1"/>
  <c r="S310" i="25" s="1"/>
  <c r="S311" i="25" a="1"/>
  <c r="S311" i="25" s="1"/>
  <c r="S312" i="25" a="1"/>
  <c r="S312" i="25" s="1"/>
  <c r="S313" i="25" a="1"/>
  <c r="S313" i="25" s="1"/>
  <c r="S314" i="25" a="1"/>
  <c r="S314" i="25" s="1"/>
  <c r="S315" i="25" a="1"/>
  <c r="S315" i="25" s="1"/>
  <c r="S316" i="25" a="1"/>
  <c r="S316" i="25" s="1"/>
  <c r="S317" i="25" a="1"/>
  <c r="S317" i="25" s="1"/>
  <c r="S318" i="25" a="1"/>
  <c r="S318" i="25" s="1"/>
  <c r="S319" i="25" a="1"/>
  <c r="S319" i="25" s="1"/>
  <c r="S320" i="25" a="1"/>
  <c r="S320" i="25" s="1"/>
  <c r="S321" i="25" a="1"/>
  <c r="S321" i="25" s="1"/>
  <c r="S322" i="25" a="1"/>
  <c r="S322" i="25" s="1"/>
  <c r="S323" i="25" a="1"/>
  <c r="S323" i="25" s="1"/>
  <c r="S324" i="25" a="1"/>
  <c r="S324" i="25" s="1"/>
  <c r="S325" i="25" a="1"/>
  <c r="S325" i="25" s="1"/>
  <c r="S326" i="25" a="1"/>
  <c r="S326" i="25" s="1"/>
  <c r="S327" i="25" a="1"/>
  <c r="S327" i="25" s="1"/>
  <c r="S328" i="25" a="1"/>
  <c r="S328" i="25" s="1"/>
  <c r="S329" i="25" a="1"/>
  <c r="S329" i="25" s="1"/>
  <c r="S330" i="25" a="1"/>
  <c r="S330" i="25" s="1"/>
  <c r="S331" i="25" a="1"/>
  <c r="S331" i="25" s="1"/>
  <c r="S332" i="25" a="1"/>
  <c r="S332" i="25" s="1"/>
  <c r="S333" i="25" a="1"/>
  <c r="S333" i="25" s="1"/>
  <c r="S334" i="25" a="1"/>
  <c r="S334" i="25" s="1"/>
  <c r="S335" i="25" a="1"/>
  <c r="S335" i="25" s="1"/>
  <c r="S336" i="25" a="1"/>
  <c r="S336" i="25" s="1"/>
  <c r="S337" i="25" a="1"/>
  <c r="S337" i="25" s="1"/>
  <c r="S338" i="25" a="1"/>
  <c r="S338" i="25" s="1"/>
  <c r="S339" i="25" a="1"/>
  <c r="S339" i="25" s="1"/>
  <c r="S340" i="25" a="1"/>
  <c r="S340" i="25" s="1"/>
  <c r="S341" i="25" a="1"/>
  <c r="S341" i="25" s="1"/>
  <c r="S342" i="25" a="1"/>
  <c r="S342" i="25" s="1"/>
  <c r="S343" i="25" a="1"/>
  <c r="S343" i="25" s="1"/>
  <c r="S344" i="25" a="1"/>
  <c r="S344" i="25" s="1"/>
  <c r="S345" i="25" a="1"/>
  <c r="S345" i="25" s="1"/>
  <c r="S346" i="25" a="1"/>
  <c r="S346" i="25" s="1"/>
  <c r="S347" i="25" a="1"/>
  <c r="S347" i="25" s="1"/>
  <c r="S348" i="25" a="1"/>
  <c r="S348" i="25" s="1"/>
  <c r="S349" i="25" a="1"/>
  <c r="S349" i="25" s="1"/>
  <c r="S350" i="25" a="1"/>
  <c r="S350" i="25" s="1"/>
  <c r="S351" i="25" a="1"/>
  <c r="S351" i="25" s="1"/>
  <c r="S352" i="25" a="1"/>
  <c r="S352" i="25" s="1"/>
  <c r="S353" i="25" a="1"/>
  <c r="S353" i="25" s="1"/>
  <c r="S354" i="25" a="1"/>
  <c r="S354" i="25" s="1"/>
  <c r="S355" i="25" a="1"/>
  <c r="S355" i="25" s="1"/>
  <c r="S2" i="26" a="1"/>
  <c r="S2" i="26" s="1"/>
  <c r="S3" i="26" a="1"/>
  <c r="S3" i="26" s="1"/>
  <c r="S4" i="26" a="1"/>
  <c r="S4" i="26" s="1"/>
  <c r="S5" i="26" a="1"/>
  <c r="S5" i="26" s="1"/>
  <c r="S6" i="26" a="1"/>
  <c r="S6" i="26" s="1"/>
  <c r="S7" i="26" a="1"/>
  <c r="S7" i="26" s="1"/>
  <c r="S8" i="26" a="1"/>
  <c r="S8" i="26" s="1"/>
  <c r="S9" i="26" a="1"/>
  <c r="S9" i="26" s="1"/>
  <c r="S10" i="26" a="1"/>
  <c r="S10" i="26" s="1"/>
  <c r="S11" i="26" a="1"/>
  <c r="S11" i="26" s="1"/>
  <c r="S12" i="26" a="1"/>
  <c r="S12" i="26" s="1"/>
  <c r="S13" i="26" a="1"/>
  <c r="S13" i="26" s="1"/>
  <c r="S14" i="26" a="1"/>
  <c r="S14" i="26" s="1"/>
  <c r="S15" i="26" a="1"/>
  <c r="S15" i="26" s="1"/>
  <c r="S16" i="26" a="1"/>
  <c r="S16" i="26" s="1"/>
  <c r="S17" i="26" a="1"/>
  <c r="S17" i="26" s="1"/>
  <c r="S18" i="26" a="1"/>
  <c r="S18" i="26" s="1"/>
  <c r="S19" i="26" a="1"/>
  <c r="S19" i="26" s="1"/>
  <c r="S20" i="26" a="1"/>
  <c r="S20" i="26" s="1"/>
  <c r="S21" i="26" a="1"/>
  <c r="S21" i="26" s="1"/>
  <c r="S22" i="26" a="1"/>
  <c r="S22" i="26" s="1"/>
  <c r="S23" i="26" a="1"/>
  <c r="S23" i="26" s="1"/>
  <c r="S24" i="26" a="1"/>
  <c r="S24" i="26" s="1"/>
  <c r="S25" i="26" a="1"/>
  <c r="S25" i="26" s="1"/>
  <c r="S26" i="26" a="1"/>
  <c r="S26" i="26" s="1"/>
  <c r="S27" i="26" a="1"/>
  <c r="S27" i="26" s="1"/>
  <c r="S28" i="26" a="1"/>
  <c r="S28" i="26" s="1"/>
  <c r="S29" i="26" a="1"/>
  <c r="S29" i="26" s="1"/>
  <c r="S30" i="26" a="1"/>
  <c r="S30" i="26" s="1"/>
  <c r="S31" i="26" a="1"/>
  <c r="S31" i="26" s="1"/>
  <c r="S32" i="26" a="1"/>
  <c r="S32" i="26" s="1"/>
  <c r="S33" i="26" a="1"/>
  <c r="S33" i="26" s="1"/>
  <c r="S34" i="26" a="1"/>
  <c r="S34" i="26" s="1"/>
  <c r="S35" i="26" a="1"/>
  <c r="S35" i="26" s="1"/>
  <c r="S36" i="26" a="1"/>
  <c r="S36" i="26" s="1"/>
  <c r="S37" i="26" a="1"/>
  <c r="S37" i="26" s="1"/>
  <c r="S38" i="26" a="1"/>
  <c r="S38" i="26" s="1"/>
  <c r="S39" i="26" a="1"/>
  <c r="S39" i="26" s="1"/>
  <c r="S40" i="26" a="1"/>
  <c r="S40" i="26" s="1"/>
  <c r="S41" i="26" a="1"/>
  <c r="S41" i="26" s="1"/>
  <c r="S42" i="26" a="1"/>
  <c r="S42" i="26" s="1"/>
  <c r="S43" i="26" a="1"/>
  <c r="S43" i="26" s="1"/>
  <c r="S44" i="26" a="1"/>
  <c r="S44" i="26" s="1"/>
  <c r="S45" i="26" a="1"/>
  <c r="S45" i="26" s="1"/>
  <c r="S46" i="26" a="1"/>
  <c r="S46" i="26" s="1"/>
  <c r="S47" i="26" a="1"/>
  <c r="S47" i="26" s="1"/>
  <c r="S48" i="26" a="1"/>
  <c r="S48" i="26" s="1"/>
  <c r="S49" i="26" a="1"/>
  <c r="S49" i="26" s="1"/>
  <c r="S50" i="26" a="1"/>
  <c r="S50" i="26" s="1"/>
  <c r="S51" i="26" a="1"/>
  <c r="S51" i="26" s="1"/>
  <c r="S52" i="26" a="1"/>
  <c r="S52" i="26" s="1"/>
  <c r="S53" i="26" a="1"/>
  <c r="S53" i="26" s="1"/>
  <c r="S54" i="26" a="1"/>
  <c r="S54" i="26" s="1"/>
  <c r="S55" i="26" a="1"/>
  <c r="S55" i="26" s="1"/>
  <c r="S56" i="26" a="1"/>
  <c r="S56" i="26" s="1"/>
  <c r="S57" i="26" a="1"/>
  <c r="S57" i="26" s="1"/>
  <c r="S58" i="26" a="1"/>
  <c r="S58" i="26" s="1"/>
  <c r="S59" i="26" a="1"/>
  <c r="S59" i="26" s="1"/>
  <c r="S60" i="26" a="1"/>
  <c r="S60" i="26" s="1"/>
  <c r="S61" i="26" a="1"/>
  <c r="S61" i="26" s="1"/>
  <c r="S62" i="26" a="1"/>
  <c r="S62" i="26" s="1"/>
  <c r="S63" i="26" a="1"/>
  <c r="S63" i="26" s="1"/>
  <c r="S64" i="26" a="1"/>
  <c r="S64" i="26" s="1"/>
  <c r="S65" i="26" a="1"/>
  <c r="S65" i="26" s="1"/>
  <c r="S66" i="26" a="1"/>
  <c r="S66" i="26" s="1"/>
  <c r="S67" i="26" a="1"/>
  <c r="S67" i="26" s="1"/>
  <c r="S68" i="26" a="1"/>
  <c r="S68" i="26" s="1"/>
  <c r="S69" i="26" a="1"/>
  <c r="S69" i="26" s="1"/>
  <c r="S70" i="26" a="1"/>
  <c r="S70" i="26" s="1"/>
  <c r="S71" i="26" a="1"/>
  <c r="S71" i="26" s="1"/>
  <c r="S72" i="26" a="1"/>
  <c r="S72" i="26" s="1"/>
  <c r="S73" i="26" a="1"/>
  <c r="S73" i="26" s="1"/>
  <c r="S74" i="26" a="1"/>
  <c r="S74" i="26" s="1"/>
  <c r="S75" i="26" a="1"/>
  <c r="S75" i="26" s="1"/>
  <c r="S76" i="26" a="1"/>
  <c r="S76" i="26" s="1"/>
  <c r="S77" i="26" a="1"/>
  <c r="S77" i="26" s="1"/>
  <c r="S78" i="26" a="1"/>
  <c r="S78" i="26" s="1"/>
  <c r="S79" i="26" a="1"/>
  <c r="S79" i="26" s="1"/>
  <c r="S80" i="26" a="1"/>
  <c r="S80" i="26" s="1"/>
  <c r="S81" i="26" a="1"/>
  <c r="S81" i="26" s="1"/>
  <c r="S82" i="26" a="1"/>
  <c r="S82" i="26" s="1"/>
  <c r="S83" i="26" a="1"/>
  <c r="S83" i="26" s="1"/>
  <c r="S84" i="26" a="1"/>
  <c r="S84" i="26" s="1"/>
  <c r="S85" i="26" a="1"/>
  <c r="S85" i="26" s="1"/>
  <c r="S86" i="26" a="1"/>
  <c r="S86" i="26" s="1"/>
  <c r="S87" i="26" a="1"/>
  <c r="S87" i="26" s="1"/>
  <c r="S88" i="26" a="1"/>
  <c r="S88" i="26" s="1"/>
  <c r="S89" i="26" a="1"/>
  <c r="S89" i="26" s="1"/>
  <c r="S90" i="26" a="1"/>
  <c r="S90" i="26" s="1"/>
  <c r="S91" i="26" a="1"/>
  <c r="S91" i="26" s="1"/>
  <c r="S92" i="26" a="1"/>
  <c r="S92" i="26" s="1"/>
  <c r="S93" i="26" a="1"/>
  <c r="S93" i="26" s="1"/>
  <c r="S94" i="26" a="1"/>
  <c r="S94" i="26" s="1"/>
  <c r="S95" i="26" a="1"/>
  <c r="S95" i="26" s="1"/>
  <c r="S96" i="26" a="1"/>
  <c r="S96" i="26" s="1"/>
  <c r="S97" i="26" a="1"/>
  <c r="S97" i="26" s="1"/>
  <c r="S98" i="26" a="1"/>
  <c r="S98" i="26" s="1"/>
  <c r="S99" i="26" a="1"/>
  <c r="S99" i="26" s="1"/>
  <c r="S100" i="26" a="1"/>
  <c r="S100" i="26" s="1"/>
  <c r="S101" i="26" a="1"/>
  <c r="S101" i="26" s="1"/>
  <c r="S102" i="26" a="1"/>
  <c r="S102" i="26" s="1"/>
  <c r="S103" i="26" a="1"/>
  <c r="S103" i="26" s="1"/>
  <c r="S104" i="26" a="1"/>
  <c r="S104" i="26" s="1"/>
  <c r="S105" i="26" a="1"/>
  <c r="S105" i="26" s="1"/>
  <c r="S106" i="26" a="1"/>
  <c r="S106" i="26" s="1"/>
  <c r="S107" i="26" a="1"/>
  <c r="S107" i="26" s="1"/>
  <c r="S108" i="26" a="1"/>
  <c r="S108" i="26" s="1"/>
  <c r="S109" i="26" a="1"/>
  <c r="S109" i="26" s="1"/>
  <c r="S110" i="26" a="1"/>
  <c r="S110" i="26" s="1"/>
  <c r="S111" i="26" a="1"/>
  <c r="S111" i="26" s="1"/>
  <c r="S112" i="26" a="1"/>
  <c r="S112" i="26" s="1"/>
  <c r="S113" i="26" a="1"/>
  <c r="S113" i="26" s="1"/>
  <c r="S114" i="26" a="1"/>
  <c r="S114" i="26" s="1"/>
  <c r="S115" i="26" a="1"/>
  <c r="S115" i="26" s="1"/>
  <c r="S116" i="26" a="1"/>
  <c r="S116" i="26" s="1"/>
  <c r="S117" i="26" a="1"/>
  <c r="S117" i="26" s="1"/>
  <c r="S118" i="26" a="1"/>
  <c r="S118" i="26" s="1"/>
  <c r="S119" i="26" a="1"/>
  <c r="S119" i="26" s="1"/>
  <c r="S120" i="26" a="1"/>
  <c r="S120" i="26" s="1"/>
  <c r="S121" i="26" a="1"/>
  <c r="S121" i="26" s="1"/>
  <c r="S122" i="26" a="1"/>
  <c r="S122" i="26" s="1"/>
  <c r="S123" i="26" a="1"/>
  <c r="S123" i="26" s="1"/>
  <c r="S124" i="26" a="1"/>
  <c r="S124" i="26" s="1"/>
  <c r="S125" i="26" a="1"/>
  <c r="S125" i="26" s="1"/>
  <c r="S126" i="26" a="1"/>
  <c r="S126" i="26" s="1"/>
  <c r="S2" i="27" a="1"/>
  <c r="S2" i="27" s="1"/>
  <c r="S3" i="27" a="1"/>
  <c r="S3" i="27" s="1"/>
  <c r="S4" i="27" a="1"/>
  <c r="S4" i="27" s="1"/>
  <c r="S5" i="27" a="1"/>
  <c r="S5" i="27" s="1"/>
  <c r="S6" i="27" a="1"/>
  <c r="S6" i="27" s="1"/>
  <c r="S7" i="27" a="1"/>
  <c r="S7" i="27" s="1"/>
  <c r="S8" i="27" a="1"/>
  <c r="S8" i="27" s="1"/>
  <c r="S9" i="27" a="1"/>
  <c r="S9" i="27" s="1"/>
  <c r="S10" i="27" a="1"/>
  <c r="S10" i="27" s="1"/>
  <c r="S11" i="27" a="1"/>
  <c r="S11" i="27" s="1"/>
  <c r="S12" i="27" a="1"/>
  <c r="S12" i="27" s="1"/>
  <c r="S13" i="27" a="1"/>
  <c r="S13" i="27" s="1"/>
  <c r="S14" i="27" a="1"/>
  <c r="S14" i="27" s="1"/>
  <c r="S15" i="27" a="1"/>
  <c r="S15" i="27" s="1"/>
  <c r="S16" i="27" a="1"/>
  <c r="S16" i="27" s="1"/>
  <c r="S17" i="27" a="1"/>
  <c r="S17" i="27" s="1"/>
  <c r="S18" i="27" a="1"/>
  <c r="S18" i="27" s="1"/>
  <c r="S19" i="27" a="1"/>
  <c r="S19" i="27" s="1"/>
  <c r="S20" i="27" a="1"/>
  <c r="S20" i="27" s="1"/>
  <c r="S21" i="27" a="1"/>
  <c r="S21" i="27" s="1"/>
  <c r="S22" i="27" a="1"/>
  <c r="S22" i="27" s="1"/>
  <c r="S23" i="27" a="1"/>
  <c r="S23" i="27" s="1"/>
  <c r="S24" i="27" a="1"/>
  <c r="S24" i="27" s="1"/>
  <c r="S25" i="27" a="1"/>
  <c r="S25" i="27" s="1"/>
  <c r="S26" i="27" a="1"/>
  <c r="S26" i="27" s="1"/>
  <c r="S27" i="27" a="1"/>
  <c r="S27" i="27" s="1"/>
  <c r="S28" i="27" a="1"/>
  <c r="S28" i="27" s="1"/>
  <c r="S29" i="27" a="1"/>
  <c r="S29" i="27" s="1"/>
  <c r="S30" i="27" a="1"/>
  <c r="S30" i="27" s="1"/>
  <c r="S31" i="27" a="1"/>
  <c r="S31" i="27" s="1"/>
  <c r="S32" i="27" a="1"/>
  <c r="S32" i="27" s="1"/>
  <c r="S33" i="27" a="1"/>
  <c r="S33" i="27" s="1"/>
  <c r="S34" i="27" a="1"/>
  <c r="S34" i="27" s="1"/>
  <c r="S35" i="27" a="1"/>
  <c r="S35" i="27" s="1"/>
  <c r="S36" i="27" a="1"/>
  <c r="S36" i="27" s="1"/>
  <c r="S37" i="27" a="1"/>
  <c r="S37" i="27" s="1"/>
  <c r="S38" i="27" a="1"/>
  <c r="S38" i="27" s="1"/>
  <c r="S39" i="27" a="1"/>
  <c r="S39" i="27" s="1"/>
  <c r="S40" i="27" a="1"/>
  <c r="S40" i="27" s="1"/>
  <c r="S41" i="27" a="1"/>
  <c r="S41" i="27" s="1"/>
  <c r="S42" i="27" a="1"/>
  <c r="S42" i="27" s="1"/>
  <c r="S43" i="27" a="1"/>
  <c r="S43" i="27" s="1"/>
  <c r="S44" i="27" a="1"/>
  <c r="S44" i="27" s="1"/>
  <c r="S45" i="27" a="1"/>
  <c r="S45" i="27" s="1"/>
  <c r="S46" i="27" a="1"/>
  <c r="S46" i="27" s="1"/>
  <c r="S47" i="27" a="1"/>
  <c r="S47" i="27" s="1"/>
  <c r="S48" i="27" a="1"/>
  <c r="S48" i="27" s="1"/>
  <c r="S49" i="27" a="1"/>
  <c r="S49" i="27" s="1"/>
  <c r="S50" i="27" a="1"/>
  <c r="S50" i="27" s="1"/>
  <c r="S51" i="27" a="1"/>
  <c r="S51" i="27" s="1"/>
  <c r="S52" i="27" a="1"/>
  <c r="S52" i="27" s="1"/>
  <c r="S53" i="27" a="1"/>
  <c r="S53" i="27" s="1"/>
  <c r="S54" i="27" a="1"/>
  <c r="S54" i="27" s="1"/>
  <c r="S55" i="27" a="1"/>
  <c r="S55" i="27" s="1"/>
  <c r="S56" i="27" a="1"/>
  <c r="S56" i="27" s="1"/>
  <c r="S57" i="27" a="1"/>
  <c r="S57" i="27" s="1"/>
  <c r="S58" i="27" a="1"/>
  <c r="S58" i="27" s="1"/>
  <c r="S59" i="27" a="1"/>
  <c r="S59" i="27" s="1"/>
  <c r="S60" i="27" a="1"/>
  <c r="S60" i="27" s="1"/>
  <c r="S61" i="27" a="1"/>
  <c r="S61" i="27" s="1"/>
  <c r="S62" i="27" a="1"/>
  <c r="S62" i="27" s="1"/>
  <c r="S63" i="27" a="1"/>
  <c r="S63" i="27" s="1"/>
  <c r="S64" i="27" a="1"/>
  <c r="S64" i="27" s="1"/>
  <c r="S65" i="27" a="1"/>
  <c r="S65" i="27" s="1"/>
  <c r="S66" i="27" a="1"/>
  <c r="S66" i="27" s="1"/>
  <c r="S67" i="27" a="1"/>
  <c r="S67" i="27" s="1"/>
  <c r="S68" i="27" a="1"/>
  <c r="S68" i="27" s="1"/>
  <c r="S69" i="27" a="1"/>
  <c r="S69" i="27" s="1"/>
  <c r="S70" i="27" a="1"/>
  <c r="S70" i="27" s="1"/>
  <c r="S71" i="27" a="1"/>
  <c r="S71" i="27" s="1"/>
  <c r="S72" i="27" a="1"/>
  <c r="S72" i="27" s="1"/>
  <c r="S73" i="27" a="1"/>
  <c r="S73" i="27" s="1"/>
  <c r="S74" i="27" a="1"/>
  <c r="S74" i="27" s="1"/>
  <c r="S75" i="27" a="1"/>
  <c r="S75" i="27" s="1"/>
  <c r="S76" i="27" a="1"/>
  <c r="S76" i="27" s="1"/>
  <c r="S77" i="27" a="1"/>
  <c r="S77" i="27" s="1"/>
  <c r="S78" i="27" a="1"/>
  <c r="S78" i="27" s="1"/>
  <c r="S79" i="27" a="1"/>
  <c r="S79" i="27" s="1"/>
  <c r="S80" i="27" a="1"/>
  <c r="S80" i="27" s="1"/>
  <c r="S81" i="27" a="1"/>
  <c r="S81" i="27" s="1"/>
  <c r="S82" i="27" a="1"/>
  <c r="S82" i="27" s="1"/>
  <c r="S83" i="27" a="1"/>
  <c r="S83" i="27" s="1"/>
  <c r="S84" i="27" a="1"/>
  <c r="S84" i="27" s="1"/>
  <c r="S85" i="27" a="1"/>
  <c r="S85" i="27" s="1"/>
  <c r="S86" i="27" a="1"/>
  <c r="S86" i="27" s="1"/>
  <c r="S87" i="27" a="1"/>
  <c r="S87" i="27" s="1"/>
  <c r="S88" i="27" a="1"/>
  <c r="S88" i="27" s="1"/>
  <c r="S89" i="27" a="1"/>
  <c r="S89" i="27" s="1"/>
  <c r="S90" i="27" a="1"/>
  <c r="S90" i="27" s="1"/>
  <c r="S91" i="27" a="1"/>
  <c r="S91" i="27" s="1"/>
  <c r="S92" i="27" a="1"/>
  <c r="S92" i="27" s="1"/>
  <c r="S93" i="27" a="1"/>
  <c r="S93" i="27" s="1"/>
  <c r="S94" i="27" a="1"/>
  <c r="S94" i="27" s="1"/>
  <c r="S95" i="27" a="1"/>
  <c r="S95" i="27" s="1"/>
  <c r="S96" i="27" a="1"/>
  <c r="S96" i="27" s="1"/>
  <c r="S97" i="27" a="1"/>
  <c r="S97" i="27" s="1"/>
  <c r="S98" i="27" a="1"/>
  <c r="S98" i="27" s="1"/>
  <c r="S99" i="27" a="1"/>
  <c r="S99" i="27" s="1"/>
  <c r="S100" i="27" a="1"/>
  <c r="S100" i="27" s="1"/>
  <c r="S101" i="27" a="1"/>
  <c r="S101" i="27" s="1"/>
  <c r="S102" i="27" a="1"/>
  <c r="S102" i="27" s="1"/>
  <c r="S103" i="27" a="1"/>
  <c r="S103" i="27" s="1"/>
  <c r="S104" i="27" a="1"/>
  <c r="S104" i="27" s="1"/>
  <c r="S105" i="27" a="1"/>
  <c r="S105" i="27" s="1"/>
  <c r="S106" i="27" a="1"/>
  <c r="S106" i="27" s="1"/>
  <c r="S107" i="27" a="1"/>
  <c r="S107" i="27" s="1"/>
  <c r="S108" i="27" a="1"/>
  <c r="S108" i="27" s="1"/>
  <c r="S109" i="27" a="1"/>
  <c r="S109" i="27" s="1"/>
  <c r="S110" i="27" a="1"/>
  <c r="S110" i="27" s="1"/>
  <c r="S111" i="27" a="1"/>
  <c r="S111" i="27" s="1"/>
  <c r="S112" i="27" a="1"/>
  <c r="S112" i="27" s="1"/>
  <c r="S113" i="27" a="1"/>
  <c r="S113" i="27" s="1"/>
  <c r="S114" i="27" a="1"/>
  <c r="S114" i="27" s="1"/>
  <c r="S115" i="27" a="1"/>
  <c r="S115" i="27" s="1"/>
  <c r="S116" i="27" a="1"/>
  <c r="S116" i="27" s="1"/>
  <c r="S117" i="27" a="1"/>
  <c r="S117" i="27" s="1"/>
  <c r="S118" i="27" a="1"/>
  <c r="S118" i="27" s="1"/>
  <c r="S119" i="27" a="1"/>
  <c r="S119" i="27" s="1"/>
  <c r="S120" i="27" a="1"/>
  <c r="S120" i="27" s="1"/>
  <c r="S121" i="27" a="1"/>
  <c r="S121" i="27" s="1"/>
  <c r="S122" i="27" a="1"/>
  <c r="S122" i="27" s="1"/>
  <c r="S123" i="27" a="1"/>
  <c r="S123" i="27" s="1"/>
  <c r="S124" i="27" a="1"/>
  <c r="S124" i="27" s="1"/>
  <c r="S125" i="27" a="1"/>
  <c r="S125" i="27" s="1"/>
  <c r="S126" i="27" a="1"/>
  <c r="S126" i="27" s="1"/>
  <c r="S127" i="27" a="1"/>
  <c r="S127" i="27" s="1"/>
  <c r="S128" i="27" a="1"/>
  <c r="S128" i="27" s="1"/>
  <c r="S129" i="27" a="1"/>
  <c r="S129" i="27" s="1"/>
  <c r="S130" i="27" a="1"/>
  <c r="S130" i="27" s="1"/>
  <c r="S131" i="27" a="1"/>
  <c r="S131" i="27" s="1"/>
  <c r="S132" i="27" a="1"/>
  <c r="S132" i="27" s="1"/>
  <c r="S133" i="27" a="1"/>
  <c r="S133" i="27" s="1"/>
  <c r="S134" i="27" a="1"/>
  <c r="S134" i="27" s="1"/>
  <c r="S135" i="27" a="1"/>
  <c r="S135" i="27" s="1"/>
  <c r="S136" i="27" a="1"/>
  <c r="S136" i="27" s="1"/>
  <c r="S137" i="27" a="1"/>
  <c r="S137" i="27" s="1"/>
  <c r="S138" i="27" a="1"/>
  <c r="S138" i="27" s="1"/>
  <c r="S139" i="27" a="1"/>
  <c r="S139" i="27" s="1"/>
  <c r="S140" i="27" a="1"/>
  <c r="S140" i="27" s="1"/>
  <c r="S141" i="27" a="1"/>
  <c r="S141" i="27" s="1"/>
  <c r="S142" i="27" a="1"/>
  <c r="S142" i="27" s="1"/>
  <c r="S143" i="27" a="1"/>
  <c r="S143" i="27" s="1"/>
  <c r="S144" i="27" a="1"/>
  <c r="S144" i="27" s="1"/>
  <c r="S145" i="27" a="1"/>
  <c r="S145" i="27" s="1"/>
  <c r="S146" i="27" a="1"/>
  <c r="S146" i="27" s="1"/>
  <c r="S147" i="27" a="1"/>
  <c r="S147" i="27" s="1"/>
  <c r="S148" i="27" a="1"/>
  <c r="S148" i="27" s="1"/>
  <c r="S149" i="27" a="1"/>
  <c r="S149" i="27" s="1"/>
  <c r="S150" i="27" a="1"/>
  <c r="S150" i="27" s="1"/>
  <c r="S151" i="27" a="1"/>
  <c r="S151" i="27" s="1"/>
  <c r="S152" i="27" a="1"/>
  <c r="S152" i="27" s="1"/>
  <c r="S153" i="27" a="1"/>
  <c r="S153" i="27" s="1"/>
  <c r="S154" i="27" a="1"/>
  <c r="S154" i="27" s="1"/>
  <c r="Y4" i="29" a="1"/>
  <c r="Y4" i="29" s="1"/>
  <c r="R7" i="29" a="1"/>
  <c r="R7" i="29" s="1"/>
  <c r="U5" i="4"/>
  <c r="K39" i="8" a="1"/>
  <c r="K39" i="8" s="1"/>
  <c r="L39" i="8" a="1"/>
  <c r="L39" i="8" s="1"/>
  <c r="M39" i="8" a="1"/>
  <c r="M39" i="8" s="1"/>
  <c r="N39" i="8" a="1"/>
  <c r="N39" i="8" s="1"/>
  <c r="O39" i="8" a="1"/>
  <c r="O39" i="8" s="1"/>
  <c r="P39" i="8" a="1"/>
  <c r="P39" i="8" s="1"/>
  <c r="Q39" i="8" a="1"/>
  <c r="Q39" i="8" s="1"/>
  <c r="R39" i="8" a="1"/>
  <c r="R39" i="8" s="1"/>
  <c r="U39" i="8" a="1"/>
  <c r="U39" i="8" s="1"/>
  <c r="V39" i="8" a="1"/>
  <c r="V39" i="8" s="1"/>
  <c r="W39" i="8" a="1"/>
  <c r="W39" i="8" s="1"/>
  <c r="X39" i="8" a="1"/>
  <c r="X39" i="8" s="1"/>
  <c r="Y39" i="8" a="1"/>
  <c r="Y39" i="8" s="1"/>
  <c r="Z39" i="8" a="1"/>
  <c r="Z39" i="8" s="1"/>
  <c r="Y3" i="27" a="1"/>
  <c r="Y3" i="27" s="1"/>
  <c r="Z3" i="27" a="1"/>
  <c r="Z3" i="27" s="1"/>
  <c r="Y4" i="27" a="1"/>
  <c r="Y4" i="27" s="1"/>
  <c r="Z4" i="27" a="1"/>
  <c r="Z4" i="27" s="1"/>
  <c r="Y5" i="27" a="1"/>
  <c r="Y5" i="27" s="1"/>
  <c r="Z5" i="27" a="1"/>
  <c r="Z5" i="27" s="1"/>
  <c r="Y6" i="27" a="1"/>
  <c r="Y6" i="27" s="1"/>
  <c r="Z6" i="27" a="1"/>
  <c r="Z6" i="27" s="1"/>
  <c r="Y7" i="27" a="1"/>
  <c r="Y7" i="27" s="1"/>
  <c r="Z7" i="27" a="1"/>
  <c r="Z7" i="27" s="1"/>
  <c r="Y8" i="27" a="1"/>
  <c r="Y8" i="27" s="1"/>
  <c r="Z8" i="27" a="1"/>
  <c r="Z8" i="27" s="1"/>
  <c r="Y9" i="27" a="1"/>
  <c r="Y9" i="27" s="1"/>
  <c r="Z9" i="27" a="1"/>
  <c r="Z9" i="27" s="1"/>
  <c r="Y10" i="27" a="1"/>
  <c r="Y10" i="27" s="1"/>
  <c r="Z10" i="27" a="1"/>
  <c r="Z10" i="27" s="1"/>
  <c r="Y11" i="27" a="1"/>
  <c r="Y11" i="27" s="1"/>
  <c r="Z11" i="27" a="1"/>
  <c r="Z11" i="27" s="1"/>
  <c r="Y12" i="27" a="1"/>
  <c r="Y12" i="27" s="1"/>
  <c r="Z12" i="27" a="1"/>
  <c r="Z12" i="27" s="1"/>
  <c r="Y13" i="27" a="1"/>
  <c r="Y13" i="27" s="1"/>
  <c r="Z13" i="27" a="1"/>
  <c r="Z13" i="27" s="1"/>
  <c r="Y14" i="27" a="1"/>
  <c r="Y14" i="27" s="1"/>
  <c r="Z14" i="27" a="1"/>
  <c r="Z14" i="27" s="1"/>
  <c r="Y15" i="27" a="1"/>
  <c r="Y15" i="27" s="1"/>
  <c r="Z15" i="27" a="1"/>
  <c r="Z15" i="27" s="1"/>
  <c r="Y16" i="27" a="1"/>
  <c r="Y16" i="27" s="1"/>
  <c r="Z16" i="27" a="1"/>
  <c r="Z16" i="27" s="1"/>
  <c r="Y17" i="27" a="1"/>
  <c r="Y17" i="27" s="1"/>
  <c r="Z17" i="27" a="1"/>
  <c r="Z17" i="27" s="1"/>
  <c r="Y18" i="27" a="1"/>
  <c r="Y18" i="27" s="1"/>
  <c r="Z18" i="27" a="1"/>
  <c r="Z18" i="27" s="1"/>
  <c r="Y19" i="27" a="1"/>
  <c r="Y19" i="27" s="1"/>
  <c r="Z19" i="27" a="1"/>
  <c r="Z19" i="27" s="1"/>
  <c r="Y20" i="27" a="1"/>
  <c r="Y20" i="27" s="1"/>
  <c r="Z20" i="27" a="1"/>
  <c r="Z20" i="27" s="1"/>
  <c r="Y21" i="27" a="1"/>
  <c r="Y21" i="27" s="1"/>
  <c r="Z21" i="27" a="1"/>
  <c r="Z21" i="27" s="1"/>
  <c r="Y22" i="27" a="1"/>
  <c r="Y22" i="27" s="1"/>
  <c r="Z22" i="27" a="1"/>
  <c r="Z22" i="27" s="1"/>
  <c r="Y23" i="27" a="1"/>
  <c r="Y23" i="27" s="1"/>
  <c r="Z23" i="27" a="1"/>
  <c r="Z23" i="27" s="1"/>
  <c r="Y24" i="27" a="1"/>
  <c r="Y24" i="27" s="1"/>
  <c r="Z24" i="27" a="1"/>
  <c r="Z24" i="27" s="1"/>
  <c r="Y25" i="27" a="1"/>
  <c r="Y25" i="27" s="1"/>
  <c r="Z25" i="27" a="1"/>
  <c r="Z25" i="27" s="1"/>
  <c r="Y26" i="27" a="1"/>
  <c r="Y26" i="27" s="1"/>
  <c r="Z26" i="27" a="1"/>
  <c r="Z26" i="27" s="1"/>
  <c r="Y27" i="27" a="1"/>
  <c r="Y27" i="27" s="1"/>
  <c r="Z27" i="27" a="1"/>
  <c r="Z27" i="27" s="1"/>
  <c r="Y28" i="27" a="1"/>
  <c r="Y28" i="27" s="1"/>
  <c r="Z28" i="27" a="1"/>
  <c r="Z28" i="27" s="1"/>
  <c r="Y29" i="27" a="1"/>
  <c r="Y29" i="27" s="1"/>
  <c r="Z29" i="27" a="1"/>
  <c r="Z29" i="27" s="1"/>
  <c r="Y30" i="27" a="1"/>
  <c r="Y30" i="27" s="1"/>
  <c r="Z30" i="27" a="1"/>
  <c r="Z30" i="27" s="1"/>
  <c r="Y31" i="27" a="1"/>
  <c r="Y31" i="27" s="1"/>
  <c r="Z31" i="27" a="1"/>
  <c r="Z31" i="27" s="1"/>
  <c r="Y32" i="27" a="1"/>
  <c r="Y32" i="27" s="1"/>
  <c r="Z32" i="27" a="1"/>
  <c r="Z32" i="27" s="1"/>
  <c r="Y33" i="27" a="1"/>
  <c r="Y33" i="27" s="1"/>
  <c r="Z33" i="27" a="1"/>
  <c r="Z33" i="27" s="1"/>
  <c r="Y34" i="27" a="1"/>
  <c r="Y34" i="27" s="1"/>
  <c r="Z34" i="27" a="1"/>
  <c r="Z34" i="27" s="1"/>
  <c r="Y35" i="27" a="1"/>
  <c r="Y35" i="27" s="1"/>
  <c r="Z35" i="27" a="1"/>
  <c r="Z35" i="27" s="1"/>
  <c r="Y36" i="27" a="1"/>
  <c r="Y36" i="27" s="1"/>
  <c r="Z36" i="27" a="1"/>
  <c r="Z36" i="27" s="1"/>
  <c r="Y37" i="27" a="1"/>
  <c r="Y37" i="27" s="1"/>
  <c r="Z37" i="27" a="1"/>
  <c r="Z37" i="27" s="1"/>
  <c r="Y38" i="27" a="1"/>
  <c r="Y38" i="27" s="1"/>
  <c r="Z38" i="27" a="1"/>
  <c r="Z38" i="27" s="1"/>
  <c r="Y39" i="27" a="1"/>
  <c r="Y39" i="27" s="1"/>
  <c r="Z39" i="27" a="1"/>
  <c r="Z39" i="27" s="1"/>
  <c r="Y40" i="27" a="1"/>
  <c r="Y40" i="27" s="1"/>
  <c r="Z40" i="27" a="1"/>
  <c r="Z40" i="27" s="1"/>
  <c r="Y41" i="27" a="1"/>
  <c r="Y41" i="27" s="1"/>
  <c r="Z41" i="27" a="1"/>
  <c r="Z41" i="27" s="1"/>
  <c r="Y42" i="27" a="1"/>
  <c r="Y42" i="27" s="1"/>
  <c r="Z42" i="27" a="1"/>
  <c r="Z42" i="27" s="1"/>
  <c r="Y43" i="27" a="1"/>
  <c r="Y43" i="27" s="1"/>
  <c r="Z43" i="27" a="1"/>
  <c r="Z43" i="27" s="1"/>
  <c r="Y44" i="27" a="1"/>
  <c r="Y44" i="27" s="1"/>
  <c r="Z44" i="27" a="1"/>
  <c r="Z44" i="27" s="1"/>
  <c r="Y45" i="27" a="1"/>
  <c r="Y45" i="27" s="1"/>
  <c r="Z45" i="27" a="1"/>
  <c r="Z45" i="27" s="1"/>
  <c r="Y46" i="27" a="1"/>
  <c r="Y46" i="27" s="1"/>
  <c r="Z46" i="27" a="1"/>
  <c r="Z46" i="27" s="1"/>
  <c r="Y47" i="27" a="1"/>
  <c r="Y47" i="27" s="1"/>
  <c r="Z47" i="27" a="1"/>
  <c r="Z47" i="27" s="1"/>
  <c r="Y48" i="27" a="1"/>
  <c r="Y48" i="27" s="1"/>
  <c r="Z48" i="27" a="1"/>
  <c r="Z48" i="27" s="1"/>
  <c r="Y49" i="27" a="1"/>
  <c r="Y49" i="27" s="1"/>
  <c r="Z49" i="27" a="1"/>
  <c r="Z49" i="27" s="1"/>
  <c r="Y50" i="27" a="1"/>
  <c r="Y50" i="27" s="1"/>
  <c r="Z50" i="27" a="1"/>
  <c r="Z50" i="27" s="1"/>
  <c r="Y51" i="27" a="1"/>
  <c r="Y51" i="27" s="1"/>
  <c r="Z51" i="27" a="1"/>
  <c r="Z51" i="27" s="1"/>
  <c r="Y52" i="27" a="1"/>
  <c r="Y52" i="27" s="1"/>
  <c r="Z52" i="27" a="1"/>
  <c r="Z52" i="27" s="1"/>
  <c r="Y53" i="27" a="1"/>
  <c r="Y53" i="27" s="1"/>
  <c r="Z53" i="27" a="1"/>
  <c r="Z53" i="27" s="1"/>
  <c r="Y54" i="27" a="1"/>
  <c r="Y54" i="27" s="1"/>
  <c r="Z54" i="27" a="1"/>
  <c r="Z54" i="27" s="1"/>
  <c r="Y55" i="27" a="1"/>
  <c r="Y55" i="27" s="1"/>
  <c r="Z55" i="27" a="1"/>
  <c r="Z55" i="27" s="1"/>
  <c r="Y56" i="27" a="1"/>
  <c r="Y56" i="27" s="1"/>
  <c r="Z56" i="27" a="1"/>
  <c r="Z56" i="27" s="1"/>
  <c r="Y57" i="27" a="1"/>
  <c r="Y57" i="27" s="1"/>
  <c r="Z57" i="27" a="1"/>
  <c r="Z57" i="27" s="1"/>
  <c r="Y58" i="27" a="1"/>
  <c r="Y58" i="27" s="1"/>
  <c r="Z58" i="27" a="1"/>
  <c r="Z58" i="27" s="1"/>
  <c r="Y59" i="27" a="1"/>
  <c r="Y59" i="27" s="1"/>
  <c r="Z59" i="27" a="1"/>
  <c r="Z59" i="27" s="1"/>
  <c r="Y60" i="27" a="1"/>
  <c r="Y60" i="27" s="1"/>
  <c r="Z60" i="27" a="1"/>
  <c r="Z60" i="27" s="1"/>
  <c r="Y61" i="27" a="1"/>
  <c r="Y61" i="27" s="1"/>
  <c r="Z61" i="27" a="1"/>
  <c r="Z61" i="27" s="1"/>
  <c r="Y62" i="27" a="1"/>
  <c r="Y62" i="27" s="1"/>
  <c r="Z62" i="27" a="1"/>
  <c r="Z62" i="27" s="1"/>
  <c r="Y63" i="27" a="1"/>
  <c r="Y63" i="27" s="1"/>
  <c r="Z63" i="27" a="1"/>
  <c r="Z63" i="27" s="1"/>
  <c r="Y64" i="27" a="1"/>
  <c r="Y64" i="27" s="1"/>
  <c r="Z64" i="27" a="1"/>
  <c r="Z64" i="27" s="1"/>
  <c r="Y65" i="27" a="1"/>
  <c r="Y65" i="27" s="1"/>
  <c r="Z65" i="27" a="1"/>
  <c r="Z65" i="27" s="1"/>
  <c r="Y66" i="27" a="1"/>
  <c r="Y66" i="27" s="1"/>
  <c r="Z66" i="27" a="1"/>
  <c r="Z66" i="27" s="1"/>
  <c r="Y67" i="27" a="1"/>
  <c r="Y67" i="27" s="1"/>
  <c r="Z67" i="27" a="1"/>
  <c r="Z67" i="27" s="1"/>
  <c r="Y68" i="27" a="1"/>
  <c r="Y68" i="27" s="1"/>
  <c r="Z68" i="27" a="1"/>
  <c r="Z68" i="27" s="1"/>
  <c r="Y69" i="27" a="1"/>
  <c r="Y69" i="27" s="1"/>
  <c r="Z69" i="27" a="1"/>
  <c r="Z69" i="27" s="1"/>
  <c r="Y70" i="27" a="1"/>
  <c r="Y70" i="27" s="1"/>
  <c r="Z70" i="27" a="1"/>
  <c r="Z70" i="27" s="1"/>
  <c r="Y71" i="27" a="1"/>
  <c r="Y71" i="27" s="1"/>
  <c r="Z71" i="27" a="1"/>
  <c r="Z71" i="27" s="1"/>
  <c r="Y72" i="27" a="1"/>
  <c r="Y72" i="27" s="1"/>
  <c r="Z72" i="27" a="1"/>
  <c r="Z72" i="27" s="1"/>
  <c r="Y73" i="27" a="1"/>
  <c r="Y73" i="27" s="1"/>
  <c r="Z73" i="27" a="1"/>
  <c r="Z73" i="27" s="1"/>
  <c r="Y74" i="27" a="1"/>
  <c r="Y74" i="27" s="1"/>
  <c r="Z74" i="27" a="1"/>
  <c r="Z74" i="27" s="1"/>
  <c r="Y75" i="27" a="1"/>
  <c r="Y75" i="27" s="1"/>
  <c r="Z75" i="27" a="1"/>
  <c r="Z75" i="27" s="1"/>
  <c r="Y76" i="27" a="1"/>
  <c r="Y76" i="27" s="1"/>
  <c r="Z76" i="27" a="1"/>
  <c r="Z76" i="27" s="1"/>
  <c r="Y77" i="27" a="1"/>
  <c r="Y77" i="27" s="1"/>
  <c r="Z77" i="27" a="1"/>
  <c r="Z77" i="27" s="1"/>
  <c r="Y78" i="27" a="1"/>
  <c r="Y78" i="27" s="1"/>
  <c r="Z78" i="27" a="1"/>
  <c r="Z78" i="27" s="1"/>
  <c r="Y79" i="27" a="1"/>
  <c r="Y79" i="27" s="1"/>
  <c r="Z79" i="27" a="1"/>
  <c r="Z79" i="27" s="1"/>
  <c r="Y80" i="27" a="1"/>
  <c r="Y80" i="27" s="1"/>
  <c r="Z80" i="27" a="1"/>
  <c r="Z80" i="27" s="1"/>
  <c r="Y81" i="27" a="1"/>
  <c r="Y81" i="27" s="1"/>
  <c r="Z81" i="27" a="1"/>
  <c r="Z81" i="27" s="1"/>
  <c r="Y82" i="27" a="1"/>
  <c r="Y82" i="27" s="1"/>
  <c r="Z82" i="27" a="1"/>
  <c r="Z82" i="27" s="1"/>
  <c r="Y83" i="27" a="1"/>
  <c r="Y83" i="27" s="1"/>
  <c r="Z83" i="27" a="1"/>
  <c r="Z83" i="27" s="1"/>
  <c r="Y84" i="27" a="1"/>
  <c r="Y84" i="27" s="1"/>
  <c r="Z84" i="27" a="1"/>
  <c r="Z84" i="27" s="1"/>
  <c r="Y85" i="27" a="1"/>
  <c r="Y85" i="27" s="1"/>
  <c r="Z85" i="27" a="1"/>
  <c r="Z85" i="27" s="1"/>
  <c r="Y86" i="27" a="1"/>
  <c r="Y86" i="27" s="1"/>
  <c r="Z86" i="27" a="1"/>
  <c r="Z86" i="27" s="1"/>
  <c r="Y87" i="27" a="1"/>
  <c r="Y87" i="27" s="1"/>
  <c r="Z87" i="27" a="1"/>
  <c r="Z87" i="27" s="1"/>
  <c r="Y88" i="27" a="1"/>
  <c r="Y88" i="27" s="1"/>
  <c r="Z88" i="27" a="1"/>
  <c r="Z88" i="27" s="1"/>
  <c r="Y89" i="27" a="1"/>
  <c r="Y89" i="27" s="1"/>
  <c r="Z89" i="27" a="1"/>
  <c r="Z89" i="27" s="1"/>
  <c r="Y90" i="27" a="1"/>
  <c r="Y90" i="27" s="1"/>
  <c r="Z90" i="27" a="1"/>
  <c r="Z90" i="27" s="1"/>
  <c r="Y91" i="27" a="1"/>
  <c r="Y91" i="27" s="1"/>
  <c r="Z91" i="27" a="1"/>
  <c r="Z91" i="27" s="1"/>
  <c r="Y92" i="27" a="1"/>
  <c r="Y92" i="27" s="1"/>
  <c r="Z92" i="27" a="1"/>
  <c r="Z92" i="27" s="1"/>
  <c r="Y93" i="27" a="1"/>
  <c r="Y93" i="27" s="1"/>
  <c r="Z93" i="27" a="1"/>
  <c r="Z93" i="27" s="1"/>
  <c r="Y94" i="27" a="1"/>
  <c r="Y94" i="27" s="1"/>
  <c r="Z94" i="27" a="1"/>
  <c r="Z94" i="27" s="1"/>
  <c r="Y95" i="27" a="1"/>
  <c r="Y95" i="27" s="1"/>
  <c r="Z95" i="27" a="1"/>
  <c r="Z95" i="27" s="1"/>
  <c r="Y96" i="27" a="1"/>
  <c r="Y96" i="27" s="1"/>
  <c r="Z96" i="27" a="1"/>
  <c r="Z96" i="27" s="1"/>
  <c r="Y97" i="27" a="1"/>
  <c r="Y97" i="27" s="1"/>
  <c r="Z97" i="27" a="1"/>
  <c r="Z97" i="27" s="1"/>
  <c r="Y98" i="27" a="1"/>
  <c r="Y98" i="27" s="1"/>
  <c r="Z98" i="27" a="1"/>
  <c r="Z98" i="27" s="1"/>
  <c r="Y99" i="27" a="1"/>
  <c r="Y99" i="27" s="1"/>
  <c r="Z99" i="27" a="1"/>
  <c r="Z99" i="27" s="1"/>
  <c r="Y100" i="27" a="1"/>
  <c r="Y100" i="27" s="1"/>
  <c r="Z100" i="27" a="1"/>
  <c r="Z100" i="27" s="1"/>
  <c r="Y101" i="27" a="1"/>
  <c r="Y101" i="27" s="1"/>
  <c r="Z101" i="27" a="1"/>
  <c r="Z101" i="27" s="1"/>
  <c r="Y102" i="27" a="1"/>
  <c r="Y102" i="27" s="1"/>
  <c r="Z102" i="27" a="1"/>
  <c r="Z102" i="27" s="1"/>
  <c r="Y103" i="27" a="1"/>
  <c r="Y103" i="27" s="1"/>
  <c r="Z103" i="27" a="1"/>
  <c r="Z103" i="27" s="1"/>
  <c r="Y104" i="27" a="1"/>
  <c r="Y104" i="27" s="1"/>
  <c r="Z104" i="27" a="1"/>
  <c r="Z104" i="27" s="1"/>
  <c r="Y105" i="27" a="1"/>
  <c r="Y105" i="27" s="1"/>
  <c r="Z105" i="27" a="1"/>
  <c r="Z105" i="27" s="1"/>
  <c r="Y106" i="27" a="1"/>
  <c r="Y106" i="27" s="1"/>
  <c r="Z106" i="27" a="1"/>
  <c r="Z106" i="27" s="1"/>
  <c r="Y107" i="27" a="1"/>
  <c r="Y107" i="27" s="1"/>
  <c r="Z107" i="27" a="1"/>
  <c r="Z107" i="27" s="1"/>
  <c r="Y108" i="27" a="1"/>
  <c r="Y108" i="27" s="1"/>
  <c r="Z108" i="27" a="1"/>
  <c r="Z108" i="27" s="1"/>
  <c r="Y109" i="27" a="1"/>
  <c r="Y109" i="27" s="1"/>
  <c r="Z109" i="27" a="1"/>
  <c r="Z109" i="27" s="1"/>
  <c r="Y110" i="27" a="1"/>
  <c r="Y110" i="27" s="1"/>
  <c r="Z110" i="27" a="1"/>
  <c r="Z110" i="27" s="1"/>
  <c r="Y111" i="27" a="1"/>
  <c r="Y111" i="27" s="1"/>
  <c r="Z111" i="27" a="1"/>
  <c r="Z111" i="27" s="1"/>
  <c r="Y112" i="27" a="1"/>
  <c r="Y112" i="27" s="1"/>
  <c r="Z112" i="27" a="1"/>
  <c r="Z112" i="27" s="1"/>
  <c r="Y113" i="27" a="1"/>
  <c r="Y113" i="27" s="1"/>
  <c r="Z113" i="27" a="1"/>
  <c r="Z113" i="27" s="1"/>
  <c r="Y114" i="27" a="1"/>
  <c r="Y114" i="27" s="1"/>
  <c r="Z114" i="27" a="1"/>
  <c r="Z114" i="27" s="1"/>
  <c r="Y115" i="27" a="1"/>
  <c r="Y115" i="27" s="1"/>
  <c r="Z115" i="27" a="1"/>
  <c r="Z115" i="27" s="1"/>
  <c r="Y116" i="27" a="1"/>
  <c r="Y116" i="27" s="1"/>
  <c r="Z116" i="27" a="1"/>
  <c r="Z116" i="27" s="1"/>
  <c r="Y117" i="27" a="1"/>
  <c r="Y117" i="27" s="1"/>
  <c r="Z117" i="27" a="1"/>
  <c r="Z117" i="27" s="1"/>
  <c r="Y118" i="27" a="1"/>
  <c r="Y118" i="27" s="1"/>
  <c r="Z118" i="27" a="1"/>
  <c r="Z118" i="27" s="1"/>
  <c r="Y119" i="27" a="1"/>
  <c r="Y119" i="27" s="1"/>
  <c r="Z119" i="27" a="1"/>
  <c r="Z119" i="27" s="1"/>
  <c r="Y120" i="27" a="1"/>
  <c r="Y120" i="27" s="1"/>
  <c r="Z120" i="27" a="1"/>
  <c r="Z120" i="27" s="1"/>
  <c r="Y121" i="27" a="1"/>
  <c r="Y121" i="27" s="1"/>
  <c r="Z121" i="27" a="1"/>
  <c r="Z121" i="27" s="1"/>
  <c r="Y122" i="27" a="1"/>
  <c r="Y122" i="27" s="1"/>
  <c r="Z122" i="27" a="1"/>
  <c r="Z122" i="27" s="1"/>
  <c r="Y123" i="27" a="1"/>
  <c r="Y123" i="27" s="1"/>
  <c r="Z123" i="27" a="1"/>
  <c r="Z123" i="27" s="1"/>
  <c r="Y124" i="27" a="1"/>
  <c r="Y124" i="27" s="1"/>
  <c r="Z124" i="27" a="1"/>
  <c r="Z124" i="27" s="1"/>
  <c r="Y125" i="27" a="1"/>
  <c r="Y125" i="27" s="1"/>
  <c r="Z125" i="27" a="1"/>
  <c r="Z125" i="27" s="1"/>
  <c r="Y126" i="27" a="1"/>
  <c r="Y126" i="27" s="1"/>
  <c r="Z126" i="27" a="1"/>
  <c r="Z126" i="27" s="1"/>
  <c r="Y127" i="27" a="1"/>
  <c r="Y127" i="27" s="1"/>
  <c r="Z127" i="27" a="1"/>
  <c r="Z127" i="27" s="1"/>
  <c r="Y128" i="27" a="1"/>
  <c r="Y128" i="27" s="1"/>
  <c r="Z128" i="27" a="1"/>
  <c r="Z128" i="27" s="1"/>
  <c r="Y129" i="27" a="1"/>
  <c r="Y129" i="27" s="1"/>
  <c r="Z129" i="27" a="1"/>
  <c r="Z129" i="27" s="1"/>
  <c r="Y130" i="27" a="1"/>
  <c r="Y130" i="27" s="1"/>
  <c r="Z130" i="27" a="1"/>
  <c r="Z130" i="27" s="1"/>
  <c r="Y131" i="27" a="1"/>
  <c r="Y131" i="27" s="1"/>
  <c r="Z131" i="27" a="1"/>
  <c r="Z131" i="27" s="1"/>
  <c r="Y132" i="27" a="1"/>
  <c r="Y132" i="27" s="1"/>
  <c r="Z132" i="27" a="1"/>
  <c r="Z132" i="27" s="1"/>
  <c r="Y133" i="27" a="1"/>
  <c r="Y133" i="27" s="1"/>
  <c r="Z133" i="27" a="1"/>
  <c r="Z133" i="27" s="1"/>
  <c r="Y134" i="27" a="1"/>
  <c r="Y134" i="27" s="1"/>
  <c r="Z134" i="27" a="1"/>
  <c r="Z134" i="27" s="1"/>
  <c r="Y135" i="27" a="1"/>
  <c r="Y135" i="27" s="1"/>
  <c r="Z135" i="27" a="1"/>
  <c r="Z135" i="27" s="1"/>
  <c r="Y136" i="27" a="1"/>
  <c r="Y136" i="27" s="1"/>
  <c r="Z136" i="27" a="1"/>
  <c r="Z136" i="27" s="1"/>
  <c r="Y137" i="27" a="1"/>
  <c r="Y137" i="27" s="1"/>
  <c r="Z137" i="27" a="1"/>
  <c r="Z137" i="27" s="1"/>
  <c r="Y138" i="27" a="1"/>
  <c r="Y138" i="27" s="1"/>
  <c r="Z138" i="27" a="1"/>
  <c r="Z138" i="27" s="1"/>
  <c r="Y139" i="27" a="1"/>
  <c r="Y139" i="27" s="1"/>
  <c r="Z139" i="27" a="1"/>
  <c r="Z139" i="27" s="1"/>
  <c r="Y140" i="27" a="1"/>
  <c r="Y140" i="27" s="1"/>
  <c r="Z140" i="27" a="1"/>
  <c r="Z140" i="27" s="1"/>
  <c r="Y141" i="27" a="1"/>
  <c r="Y141" i="27" s="1"/>
  <c r="Z141" i="27" a="1"/>
  <c r="Z141" i="27" s="1"/>
  <c r="Y142" i="27" a="1"/>
  <c r="Y142" i="27" s="1"/>
  <c r="Z142" i="27" a="1"/>
  <c r="Z142" i="27" s="1"/>
  <c r="Y143" i="27" a="1"/>
  <c r="Y143" i="27" s="1"/>
  <c r="Z143" i="27" a="1"/>
  <c r="Z143" i="27" s="1"/>
  <c r="Y144" i="27" a="1"/>
  <c r="Y144" i="27" s="1"/>
  <c r="Z144" i="27" a="1"/>
  <c r="Z144" i="27" s="1"/>
  <c r="Y145" i="27" a="1"/>
  <c r="Y145" i="27" s="1"/>
  <c r="Z145" i="27" a="1"/>
  <c r="Z145" i="27" s="1"/>
  <c r="Y146" i="27" a="1"/>
  <c r="Y146" i="27" s="1"/>
  <c r="Z146" i="27" a="1"/>
  <c r="Z146" i="27" s="1"/>
  <c r="Y147" i="27" a="1"/>
  <c r="Y147" i="27" s="1"/>
  <c r="Z147" i="27" a="1"/>
  <c r="Z147" i="27" s="1"/>
  <c r="Y148" i="27" a="1"/>
  <c r="Y148" i="27" s="1"/>
  <c r="Z148" i="27" a="1"/>
  <c r="Z148" i="27" s="1"/>
  <c r="Y149" i="27" a="1"/>
  <c r="Y149" i="27" s="1"/>
  <c r="Z149" i="27" a="1"/>
  <c r="Z149" i="27" s="1"/>
  <c r="Y150" i="27" a="1"/>
  <c r="Y150" i="27" s="1"/>
  <c r="Z150" i="27" a="1"/>
  <c r="Z150" i="27" s="1"/>
  <c r="Y151" i="27" a="1"/>
  <c r="Y151" i="27" s="1"/>
  <c r="Z151" i="27" a="1"/>
  <c r="Z151" i="27" s="1"/>
  <c r="Y152" i="27" a="1"/>
  <c r="Y152" i="27" s="1"/>
  <c r="Z152" i="27" a="1"/>
  <c r="Z152" i="27" s="1"/>
  <c r="Y153" i="27" a="1"/>
  <c r="Y153" i="27" s="1"/>
  <c r="Z153" i="27" a="1"/>
  <c r="Z153" i="27" s="1"/>
  <c r="Y154" i="27" a="1"/>
  <c r="Y154" i="27" s="1"/>
  <c r="Z154" i="27" a="1"/>
  <c r="Z154" i="27" s="1"/>
  <c r="Z2" i="27" a="1"/>
  <c r="Z2" i="27" s="1"/>
  <c r="Y2" i="27" a="1"/>
  <c r="Y2" i="27" s="1"/>
  <c r="Y3" i="26" a="1"/>
  <c r="Y3" i="26" s="1"/>
  <c r="Z3" i="26" a="1"/>
  <c r="Z3" i="26" s="1"/>
  <c r="Y4" i="26" a="1"/>
  <c r="Y4" i="26" s="1"/>
  <c r="Z4" i="26" a="1"/>
  <c r="Z4" i="26" s="1"/>
  <c r="Y5" i="26" a="1"/>
  <c r="Y5" i="26" s="1"/>
  <c r="Z5" i="26" a="1"/>
  <c r="Z5" i="26" s="1"/>
  <c r="Y6" i="26" a="1"/>
  <c r="Y6" i="26" s="1"/>
  <c r="Z6" i="26" a="1"/>
  <c r="Z6" i="26" s="1"/>
  <c r="Y7" i="26" a="1"/>
  <c r="Y7" i="26" s="1"/>
  <c r="Z7" i="26" a="1"/>
  <c r="Z7" i="26" s="1"/>
  <c r="Y8" i="26" a="1"/>
  <c r="Y8" i="26" s="1"/>
  <c r="Z8" i="26" a="1"/>
  <c r="Z8" i="26" s="1"/>
  <c r="Y9" i="26" a="1"/>
  <c r="Y9" i="26" s="1"/>
  <c r="Z9" i="26" a="1"/>
  <c r="Z9" i="26" s="1"/>
  <c r="Y10" i="26" a="1"/>
  <c r="Y10" i="26" s="1"/>
  <c r="Z10" i="26" a="1"/>
  <c r="Z10" i="26" s="1"/>
  <c r="Y11" i="26" a="1"/>
  <c r="Y11" i="26" s="1"/>
  <c r="Z11" i="26" a="1"/>
  <c r="Z11" i="26" s="1"/>
  <c r="Y12" i="26" a="1"/>
  <c r="Y12" i="26" s="1"/>
  <c r="Z12" i="26" a="1"/>
  <c r="Z12" i="26" s="1"/>
  <c r="Y13" i="26" a="1"/>
  <c r="Y13" i="26" s="1"/>
  <c r="Z13" i="26" a="1"/>
  <c r="Z13" i="26" s="1"/>
  <c r="Y14" i="26" a="1"/>
  <c r="Y14" i="26" s="1"/>
  <c r="Z14" i="26" a="1"/>
  <c r="Z14" i="26" s="1"/>
  <c r="Y15" i="26" a="1"/>
  <c r="Y15" i="26" s="1"/>
  <c r="Z15" i="26" a="1"/>
  <c r="Z15" i="26" s="1"/>
  <c r="Y16" i="26" a="1"/>
  <c r="Y16" i="26" s="1"/>
  <c r="Z16" i="26" a="1"/>
  <c r="Z16" i="26" s="1"/>
  <c r="Y17" i="26" a="1"/>
  <c r="Y17" i="26" s="1"/>
  <c r="Z17" i="26" a="1"/>
  <c r="Z17" i="26" s="1"/>
  <c r="Y18" i="26" a="1"/>
  <c r="Y18" i="26" s="1"/>
  <c r="Z18" i="26" a="1"/>
  <c r="Z18" i="26" s="1"/>
  <c r="Y19" i="26" a="1"/>
  <c r="Y19" i="26" s="1"/>
  <c r="Z19" i="26" a="1"/>
  <c r="Z19" i="26" s="1"/>
  <c r="Y20" i="26" a="1"/>
  <c r="Y20" i="26" s="1"/>
  <c r="Z20" i="26" a="1"/>
  <c r="Z20" i="26" s="1"/>
  <c r="Y21" i="26" a="1"/>
  <c r="Y21" i="26" s="1"/>
  <c r="Z21" i="26" a="1"/>
  <c r="Z21" i="26" s="1"/>
  <c r="Y22" i="26" a="1"/>
  <c r="Y22" i="26" s="1"/>
  <c r="Z22" i="26" a="1"/>
  <c r="Z22" i="26" s="1"/>
  <c r="Y23" i="26" a="1"/>
  <c r="Y23" i="26" s="1"/>
  <c r="Z23" i="26" a="1"/>
  <c r="Z23" i="26" s="1"/>
  <c r="Y24" i="26" a="1"/>
  <c r="Y24" i="26" s="1"/>
  <c r="Z24" i="26" a="1"/>
  <c r="Z24" i="26" s="1"/>
  <c r="Y25" i="26" a="1"/>
  <c r="Y25" i="26" s="1"/>
  <c r="Z25" i="26" a="1"/>
  <c r="Z25" i="26" s="1"/>
  <c r="Y26" i="26" a="1"/>
  <c r="Y26" i="26" s="1"/>
  <c r="Z26" i="26" a="1"/>
  <c r="Z26" i="26" s="1"/>
  <c r="Y27" i="26" a="1"/>
  <c r="Y27" i="26" s="1"/>
  <c r="Z27" i="26" a="1"/>
  <c r="Z27" i="26" s="1"/>
  <c r="Y28" i="26" a="1"/>
  <c r="Y28" i="26" s="1"/>
  <c r="Z28" i="26" a="1"/>
  <c r="Z28" i="26" s="1"/>
  <c r="Y29" i="26" a="1"/>
  <c r="Y29" i="26" s="1"/>
  <c r="Z29" i="26" a="1"/>
  <c r="Z29" i="26" s="1"/>
  <c r="Y30" i="26" a="1"/>
  <c r="Y30" i="26" s="1"/>
  <c r="Z30" i="26" a="1"/>
  <c r="Z30" i="26" s="1"/>
  <c r="Y31" i="26" a="1"/>
  <c r="Y31" i="26" s="1"/>
  <c r="Z31" i="26" a="1"/>
  <c r="Z31" i="26" s="1"/>
  <c r="Y32" i="26" a="1"/>
  <c r="Y32" i="26" s="1"/>
  <c r="Z32" i="26" a="1"/>
  <c r="Z32" i="26" s="1"/>
  <c r="Y33" i="26" a="1"/>
  <c r="Y33" i="26" s="1"/>
  <c r="Z33" i="26" a="1"/>
  <c r="Z33" i="26" s="1"/>
  <c r="Y34" i="26" a="1"/>
  <c r="Y34" i="26" s="1"/>
  <c r="Z34" i="26" a="1"/>
  <c r="Z34" i="26" s="1"/>
  <c r="Y35" i="26" a="1"/>
  <c r="Y35" i="26" s="1"/>
  <c r="Z35" i="26" a="1"/>
  <c r="Z35" i="26" s="1"/>
  <c r="Y36" i="26" a="1"/>
  <c r="Y36" i="26" s="1"/>
  <c r="Z36" i="26" a="1"/>
  <c r="Z36" i="26" s="1"/>
  <c r="Y37" i="26" a="1"/>
  <c r="Y37" i="26" s="1"/>
  <c r="Z37" i="26" a="1"/>
  <c r="Z37" i="26" s="1"/>
  <c r="Y38" i="26" a="1"/>
  <c r="Y38" i="26" s="1"/>
  <c r="Z38" i="26" a="1"/>
  <c r="Z38" i="26" s="1"/>
  <c r="Y39" i="26" a="1"/>
  <c r="Y39" i="26" s="1"/>
  <c r="Z39" i="26" a="1"/>
  <c r="Z39" i="26" s="1"/>
  <c r="Y40" i="26" a="1"/>
  <c r="Y40" i="26" s="1"/>
  <c r="Z40" i="26" a="1"/>
  <c r="Z40" i="26" s="1"/>
  <c r="Y41" i="26" a="1"/>
  <c r="Y41" i="26" s="1"/>
  <c r="Z41" i="26" a="1"/>
  <c r="Z41" i="26" s="1"/>
  <c r="Y42" i="26" a="1"/>
  <c r="Y42" i="26" s="1"/>
  <c r="Z42" i="26" a="1"/>
  <c r="Z42" i="26" s="1"/>
  <c r="Y43" i="26" a="1"/>
  <c r="Y43" i="26" s="1"/>
  <c r="Z43" i="26" a="1"/>
  <c r="Z43" i="26" s="1"/>
  <c r="Y44" i="26" a="1"/>
  <c r="Y44" i="26" s="1"/>
  <c r="Z44" i="26" a="1"/>
  <c r="Z44" i="26" s="1"/>
  <c r="Y45" i="26" a="1"/>
  <c r="Y45" i="26" s="1"/>
  <c r="Z45" i="26" a="1"/>
  <c r="Z45" i="26" s="1"/>
  <c r="Y46" i="26" a="1"/>
  <c r="Y46" i="26" s="1"/>
  <c r="Z46" i="26" a="1"/>
  <c r="Z46" i="26" s="1"/>
  <c r="Y47" i="26" a="1"/>
  <c r="Y47" i="26" s="1"/>
  <c r="Z47" i="26" a="1"/>
  <c r="Z47" i="26" s="1"/>
  <c r="Y48" i="26" a="1"/>
  <c r="Y48" i="26" s="1"/>
  <c r="Z48" i="26" a="1"/>
  <c r="Z48" i="26" s="1"/>
  <c r="Y49" i="26" a="1"/>
  <c r="Y49" i="26" s="1"/>
  <c r="Z49" i="26" a="1"/>
  <c r="Z49" i="26" s="1"/>
  <c r="Y50" i="26" a="1"/>
  <c r="Y50" i="26" s="1"/>
  <c r="Z50" i="26" a="1"/>
  <c r="Z50" i="26" s="1"/>
  <c r="Y51" i="26" a="1"/>
  <c r="Y51" i="26" s="1"/>
  <c r="Z51" i="26" a="1"/>
  <c r="Z51" i="26" s="1"/>
  <c r="Y52" i="26" a="1"/>
  <c r="Y52" i="26" s="1"/>
  <c r="Z52" i="26" a="1"/>
  <c r="Z52" i="26" s="1"/>
  <c r="Y53" i="26" a="1"/>
  <c r="Y53" i="26" s="1"/>
  <c r="Z53" i="26" a="1"/>
  <c r="Z53" i="26" s="1"/>
  <c r="Y54" i="26" a="1"/>
  <c r="Y54" i="26" s="1"/>
  <c r="Z54" i="26" a="1"/>
  <c r="Z54" i="26" s="1"/>
  <c r="Y55" i="26" a="1"/>
  <c r="Y55" i="26" s="1"/>
  <c r="Z55" i="26" a="1"/>
  <c r="Z55" i="26" s="1"/>
  <c r="Y56" i="26" a="1"/>
  <c r="Y56" i="26" s="1"/>
  <c r="Z56" i="26" a="1"/>
  <c r="Z56" i="26" s="1"/>
  <c r="Y57" i="26" a="1"/>
  <c r="Y57" i="26" s="1"/>
  <c r="Z57" i="26" a="1"/>
  <c r="Z57" i="26" s="1"/>
  <c r="Y58" i="26" a="1"/>
  <c r="Y58" i="26" s="1"/>
  <c r="Z58" i="26" a="1"/>
  <c r="Z58" i="26" s="1"/>
  <c r="Y59" i="26" a="1"/>
  <c r="Y59" i="26" s="1"/>
  <c r="Z59" i="26" a="1"/>
  <c r="Z59" i="26" s="1"/>
  <c r="Y60" i="26" a="1"/>
  <c r="Y60" i="26" s="1"/>
  <c r="Z60" i="26" a="1"/>
  <c r="Z60" i="26" s="1"/>
  <c r="Y61" i="26" a="1"/>
  <c r="Y61" i="26" s="1"/>
  <c r="Z61" i="26" a="1"/>
  <c r="Z61" i="26" s="1"/>
  <c r="Y62" i="26" a="1"/>
  <c r="Y62" i="26" s="1"/>
  <c r="Z62" i="26" a="1"/>
  <c r="Z62" i="26" s="1"/>
  <c r="Y63" i="26" a="1"/>
  <c r="Y63" i="26" s="1"/>
  <c r="Z63" i="26" a="1"/>
  <c r="Z63" i="26" s="1"/>
  <c r="Y64" i="26" a="1"/>
  <c r="Y64" i="26" s="1"/>
  <c r="Z64" i="26" a="1"/>
  <c r="Z64" i="26" s="1"/>
  <c r="Y65" i="26" a="1"/>
  <c r="Y65" i="26" s="1"/>
  <c r="Z65" i="26" a="1"/>
  <c r="Z65" i="26" s="1"/>
  <c r="Y66" i="26" a="1"/>
  <c r="Y66" i="26" s="1"/>
  <c r="Z66" i="26" a="1"/>
  <c r="Z66" i="26" s="1"/>
  <c r="Y67" i="26" a="1"/>
  <c r="Y67" i="26" s="1"/>
  <c r="Z67" i="26" a="1"/>
  <c r="Z67" i="26" s="1"/>
  <c r="Y68" i="26" a="1"/>
  <c r="Y68" i="26" s="1"/>
  <c r="Z68" i="26" a="1"/>
  <c r="Z68" i="26" s="1"/>
  <c r="Y69" i="26" a="1"/>
  <c r="Y69" i="26" s="1"/>
  <c r="Z69" i="26" a="1"/>
  <c r="Z69" i="26" s="1"/>
  <c r="Y70" i="26" a="1"/>
  <c r="Y70" i="26" s="1"/>
  <c r="Z70" i="26" a="1"/>
  <c r="Z70" i="26" s="1"/>
  <c r="Y71" i="26" a="1"/>
  <c r="Y71" i="26" s="1"/>
  <c r="Z71" i="26" a="1"/>
  <c r="Z71" i="26" s="1"/>
  <c r="Y72" i="26" a="1"/>
  <c r="Y72" i="26" s="1"/>
  <c r="Z72" i="26" a="1"/>
  <c r="Z72" i="26" s="1"/>
  <c r="Y73" i="26" a="1"/>
  <c r="Y73" i="26" s="1"/>
  <c r="Z73" i="26" a="1"/>
  <c r="Z73" i="26" s="1"/>
  <c r="Y74" i="26" a="1"/>
  <c r="Y74" i="26" s="1"/>
  <c r="Z74" i="26" a="1"/>
  <c r="Z74" i="26" s="1"/>
  <c r="Y75" i="26" a="1"/>
  <c r="Y75" i="26" s="1"/>
  <c r="Z75" i="26" a="1"/>
  <c r="Z75" i="26" s="1"/>
  <c r="Y76" i="26" a="1"/>
  <c r="Y76" i="26" s="1"/>
  <c r="Z76" i="26" a="1"/>
  <c r="Z76" i="26" s="1"/>
  <c r="Y77" i="26" a="1"/>
  <c r="Y77" i="26" s="1"/>
  <c r="Z77" i="26" a="1"/>
  <c r="Z77" i="26" s="1"/>
  <c r="Y78" i="26" a="1"/>
  <c r="Y78" i="26" s="1"/>
  <c r="Z78" i="26" a="1"/>
  <c r="Z78" i="26" s="1"/>
  <c r="Y79" i="26" a="1"/>
  <c r="Y79" i="26" s="1"/>
  <c r="Z79" i="26" a="1"/>
  <c r="Z79" i="26" s="1"/>
  <c r="Y80" i="26" a="1"/>
  <c r="Y80" i="26" s="1"/>
  <c r="Z80" i="26" a="1"/>
  <c r="Z80" i="26" s="1"/>
  <c r="Y81" i="26" a="1"/>
  <c r="Y81" i="26" s="1"/>
  <c r="Z81" i="26" a="1"/>
  <c r="Z81" i="26" s="1"/>
  <c r="Y82" i="26" a="1"/>
  <c r="Y82" i="26" s="1"/>
  <c r="Z82" i="26" a="1"/>
  <c r="Z82" i="26" s="1"/>
  <c r="Y83" i="26" a="1"/>
  <c r="Y83" i="26" s="1"/>
  <c r="Z83" i="26" a="1"/>
  <c r="Z83" i="26" s="1"/>
  <c r="Y84" i="26" a="1"/>
  <c r="Y84" i="26" s="1"/>
  <c r="Z84" i="26" a="1"/>
  <c r="Z84" i="26" s="1"/>
  <c r="Y85" i="26" a="1"/>
  <c r="Y85" i="26" s="1"/>
  <c r="Z85" i="26" a="1"/>
  <c r="Z85" i="26" s="1"/>
  <c r="Y86" i="26" a="1"/>
  <c r="Y86" i="26" s="1"/>
  <c r="Z86" i="26" a="1"/>
  <c r="Z86" i="26" s="1"/>
  <c r="Y87" i="26" a="1"/>
  <c r="Y87" i="26" s="1"/>
  <c r="Z87" i="26" a="1"/>
  <c r="Z87" i="26" s="1"/>
  <c r="Y88" i="26" a="1"/>
  <c r="Y88" i="26" s="1"/>
  <c r="Z88" i="26" a="1"/>
  <c r="Z88" i="26" s="1"/>
  <c r="Y89" i="26" a="1"/>
  <c r="Y89" i="26" s="1"/>
  <c r="Z89" i="26" a="1"/>
  <c r="Z89" i="26" s="1"/>
  <c r="Y90" i="26" a="1"/>
  <c r="Y90" i="26" s="1"/>
  <c r="Z90" i="26" a="1"/>
  <c r="Z90" i="26" s="1"/>
  <c r="Y91" i="26" a="1"/>
  <c r="Y91" i="26" s="1"/>
  <c r="Z91" i="26" a="1"/>
  <c r="Z91" i="26" s="1"/>
  <c r="Y92" i="26" a="1"/>
  <c r="Y92" i="26" s="1"/>
  <c r="Z92" i="26" a="1"/>
  <c r="Z92" i="26" s="1"/>
  <c r="Y93" i="26" a="1"/>
  <c r="Y93" i="26" s="1"/>
  <c r="Z93" i="26" a="1"/>
  <c r="Z93" i="26" s="1"/>
  <c r="Y94" i="26" a="1"/>
  <c r="Y94" i="26" s="1"/>
  <c r="Z94" i="26" a="1"/>
  <c r="Z94" i="26" s="1"/>
  <c r="Y95" i="26" a="1"/>
  <c r="Y95" i="26" s="1"/>
  <c r="Z95" i="26" a="1"/>
  <c r="Z95" i="26" s="1"/>
  <c r="Y96" i="26" a="1"/>
  <c r="Y96" i="26" s="1"/>
  <c r="Z96" i="26" a="1"/>
  <c r="Z96" i="26" s="1"/>
  <c r="Y97" i="26" a="1"/>
  <c r="Y97" i="26" s="1"/>
  <c r="Z97" i="26" a="1"/>
  <c r="Z97" i="26" s="1"/>
  <c r="Y98" i="26" a="1"/>
  <c r="Y98" i="26" s="1"/>
  <c r="Z98" i="26" a="1"/>
  <c r="Z98" i="26" s="1"/>
  <c r="Y99" i="26" a="1"/>
  <c r="Y99" i="26" s="1"/>
  <c r="Z99" i="26" a="1"/>
  <c r="Z99" i="26" s="1"/>
  <c r="Y100" i="26" a="1"/>
  <c r="Y100" i="26" s="1"/>
  <c r="Z100" i="26" a="1"/>
  <c r="Z100" i="26" s="1"/>
  <c r="Y101" i="26" a="1"/>
  <c r="Y101" i="26" s="1"/>
  <c r="Z101" i="26" a="1"/>
  <c r="Z101" i="26" s="1"/>
  <c r="Y102" i="26" a="1"/>
  <c r="Y102" i="26" s="1"/>
  <c r="Z102" i="26" a="1"/>
  <c r="Z102" i="26" s="1"/>
  <c r="Y103" i="26" a="1"/>
  <c r="Y103" i="26" s="1"/>
  <c r="Z103" i="26" a="1"/>
  <c r="Z103" i="26" s="1"/>
  <c r="Y104" i="26" a="1"/>
  <c r="Y104" i="26" s="1"/>
  <c r="Z104" i="26" a="1"/>
  <c r="Z104" i="26" s="1"/>
  <c r="Y105" i="26" a="1"/>
  <c r="Y105" i="26" s="1"/>
  <c r="Z105" i="26" a="1"/>
  <c r="Z105" i="26" s="1"/>
  <c r="Y106" i="26" a="1"/>
  <c r="Y106" i="26" s="1"/>
  <c r="Z106" i="26" a="1"/>
  <c r="Z106" i="26" s="1"/>
  <c r="Y107" i="26" a="1"/>
  <c r="Y107" i="26" s="1"/>
  <c r="Z107" i="26" a="1"/>
  <c r="Z107" i="26" s="1"/>
  <c r="Y108" i="26" a="1"/>
  <c r="Y108" i="26" s="1"/>
  <c r="Z108" i="26" a="1"/>
  <c r="Z108" i="26" s="1"/>
  <c r="Y109" i="26" a="1"/>
  <c r="Y109" i="26" s="1"/>
  <c r="Z109" i="26" a="1"/>
  <c r="Z109" i="26" s="1"/>
  <c r="Y110" i="26" a="1"/>
  <c r="Y110" i="26" s="1"/>
  <c r="Z110" i="26" a="1"/>
  <c r="Z110" i="26" s="1"/>
  <c r="Y111" i="26" a="1"/>
  <c r="Y111" i="26" s="1"/>
  <c r="Z111" i="26" a="1"/>
  <c r="Z111" i="26" s="1"/>
  <c r="Y112" i="26" a="1"/>
  <c r="Y112" i="26" s="1"/>
  <c r="Z112" i="26" a="1"/>
  <c r="Z112" i="26" s="1"/>
  <c r="Y113" i="26" a="1"/>
  <c r="Y113" i="26" s="1"/>
  <c r="Z113" i="26" a="1"/>
  <c r="Z113" i="26" s="1"/>
  <c r="Y114" i="26" a="1"/>
  <c r="Y114" i="26" s="1"/>
  <c r="Z114" i="26" a="1"/>
  <c r="Z114" i="26" s="1"/>
  <c r="Y115" i="26" a="1"/>
  <c r="Y115" i="26" s="1"/>
  <c r="Z115" i="26" a="1"/>
  <c r="Z115" i="26" s="1"/>
  <c r="Y116" i="26" a="1"/>
  <c r="Y116" i="26" s="1"/>
  <c r="Z116" i="26" a="1"/>
  <c r="Z116" i="26" s="1"/>
  <c r="Y117" i="26" a="1"/>
  <c r="Y117" i="26" s="1"/>
  <c r="Z117" i="26" a="1"/>
  <c r="Z117" i="26" s="1"/>
  <c r="Y118" i="26" a="1"/>
  <c r="Y118" i="26" s="1"/>
  <c r="Z118" i="26" a="1"/>
  <c r="Z118" i="26" s="1"/>
  <c r="Y119" i="26" a="1"/>
  <c r="Y119" i="26" s="1"/>
  <c r="Z119" i="26" a="1"/>
  <c r="Z119" i="26" s="1"/>
  <c r="Y120" i="26" a="1"/>
  <c r="Y120" i="26" s="1"/>
  <c r="Z120" i="26" a="1"/>
  <c r="Z120" i="26" s="1"/>
  <c r="Y121" i="26" a="1"/>
  <c r="Y121" i="26" s="1"/>
  <c r="Z121" i="26" a="1"/>
  <c r="Z121" i="26" s="1"/>
  <c r="Y122" i="26" a="1"/>
  <c r="Y122" i="26" s="1"/>
  <c r="Z122" i="26" a="1"/>
  <c r="Z122" i="26" s="1"/>
  <c r="Y123" i="26" a="1"/>
  <c r="Y123" i="26" s="1"/>
  <c r="Z123" i="26" a="1"/>
  <c r="Z123" i="26" s="1"/>
  <c r="Y124" i="26" a="1"/>
  <c r="Y124" i="26" s="1"/>
  <c r="Z124" i="26" a="1"/>
  <c r="Z124" i="26" s="1"/>
  <c r="Y125" i="26" a="1"/>
  <c r="Y125" i="26" s="1"/>
  <c r="Z125" i="26" a="1"/>
  <c r="Z125" i="26" s="1"/>
  <c r="Y126" i="26" a="1"/>
  <c r="Y126" i="26" s="1"/>
  <c r="Z126" i="26" a="1"/>
  <c r="Z126" i="26" s="1"/>
  <c r="Z2" i="26" a="1"/>
  <c r="Z2" i="26" s="1"/>
  <c r="Y2" i="26" a="1"/>
  <c r="Y2" i="26" s="1"/>
  <c r="Y3" i="25" a="1"/>
  <c r="Y3" i="25" s="1"/>
  <c r="Z3" i="25" a="1"/>
  <c r="Z3" i="25" s="1"/>
  <c r="Y4" i="25" a="1"/>
  <c r="Y4" i="25" s="1"/>
  <c r="Z4" i="25" a="1"/>
  <c r="Z4" i="25" s="1"/>
  <c r="Y5" i="25" a="1"/>
  <c r="Y5" i="25" s="1"/>
  <c r="Z5" i="25" a="1"/>
  <c r="Z5" i="25" s="1"/>
  <c r="Y6" i="25" a="1"/>
  <c r="Y6" i="25" s="1"/>
  <c r="Z6" i="25" a="1"/>
  <c r="Z6" i="25" s="1"/>
  <c r="Y7" i="25" a="1"/>
  <c r="Y7" i="25" s="1"/>
  <c r="Z7" i="25" a="1"/>
  <c r="Z7" i="25" s="1"/>
  <c r="Y8" i="25" a="1"/>
  <c r="Y8" i="25" s="1"/>
  <c r="Z8" i="25" a="1"/>
  <c r="Z8" i="25" s="1"/>
  <c r="Y9" i="25" a="1"/>
  <c r="Y9" i="25" s="1"/>
  <c r="Z9" i="25" a="1"/>
  <c r="Z9" i="25" s="1"/>
  <c r="Y10" i="25" a="1"/>
  <c r="Y10" i="25" s="1"/>
  <c r="Z10" i="25" a="1"/>
  <c r="Z10" i="25" s="1"/>
  <c r="Y11" i="25" a="1"/>
  <c r="Y11" i="25" s="1"/>
  <c r="Z11" i="25" a="1"/>
  <c r="Z11" i="25" s="1"/>
  <c r="Y12" i="25" a="1"/>
  <c r="Y12" i="25" s="1"/>
  <c r="Z12" i="25" a="1"/>
  <c r="Z12" i="25" s="1"/>
  <c r="Y13" i="25" a="1"/>
  <c r="Y13" i="25" s="1"/>
  <c r="Z13" i="25" a="1"/>
  <c r="Z13" i="25" s="1"/>
  <c r="Y14" i="25" a="1"/>
  <c r="Y14" i="25" s="1"/>
  <c r="Z14" i="25" a="1"/>
  <c r="Z14" i="25" s="1"/>
  <c r="Y15" i="25" a="1"/>
  <c r="Y15" i="25" s="1"/>
  <c r="Z15" i="25" a="1"/>
  <c r="Z15" i="25" s="1"/>
  <c r="Y16" i="25" a="1"/>
  <c r="Y16" i="25" s="1"/>
  <c r="Z16" i="25" a="1"/>
  <c r="Z16" i="25" s="1"/>
  <c r="Y17" i="25" a="1"/>
  <c r="Y17" i="25" s="1"/>
  <c r="Z17" i="25" a="1"/>
  <c r="Z17" i="25" s="1"/>
  <c r="Y18" i="25" a="1"/>
  <c r="Y18" i="25" s="1"/>
  <c r="Z18" i="25" a="1"/>
  <c r="Z18" i="25" s="1"/>
  <c r="Y19" i="25" a="1"/>
  <c r="Y19" i="25" s="1"/>
  <c r="Z19" i="25" a="1"/>
  <c r="Z19" i="25" s="1"/>
  <c r="Y20" i="25" a="1"/>
  <c r="Y20" i="25" s="1"/>
  <c r="Z20" i="25" a="1"/>
  <c r="Z20" i="25" s="1"/>
  <c r="Y21" i="25" a="1"/>
  <c r="Y21" i="25" s="1"/>
  <c r="Z21" i="25" a="1"/>
  <c r="Z21" i="25" s="1"/>
  <c r="Y22" i="25" a="1"/>
  <c r="Y22" i="25" s="1"/>
  <c r="Z22" i="25" a="1"/>
  <c r="Z22" i="25" s="1"/>
  <c r="Y23" i="25" a="1"/>
  <c r="Y23" i="25" s="1"/>
  <c r="Z23" i="25" a="1"/>
  <c r="Z23" i="25" s="1"/>
  <c r="Y24" i="25" a="1"/>
  <c r="Y24" i="25" s="1"/>
  <c r="Z24" i="25" a="1"/>
  <c r="Z24" i="25" s="1"/>
  <c r="Y25" i="25" a="1"/>
  <c r="Y25" i="25" s="1"/>
  <c r="Z25" i="25" a="1"/>
  <c r="Z25" i="25" s="1"/>
  <c r="Y26" i="25" a="1"/>
  <c r="Y26" i="25" s="1"/>
  <c r="Z26" i="25" a="1"/>
  <c r="Z26" i="25" s="1"/>
  <c r="Y27" i="25" a="1"/>
  <c r="Y27" i="25" s="1"/>
  <c r="Z27" i="25" a="1"/>
  <c r="Z27" i="25" s="1"/>
  <c r="Y28" i="25" a="1"/>
  <c r="Y28" i="25" s="1"/>
  <c r="Z28" i="25" a="1"/>
  <c r="Z28" i="25" s="1"/>
  <c r="Y29" i="25" a="1"/>
  <c r="Y29" i="25" s="1"/>
  <c r="Z29" i="25" a="1"/>
  <c r="Z29" i="25" s="1"/>
  <c r="Y30" i="25" a="1"/>
  <c r="Y30" i="25" s="1"/>
  <c r="Z30" i="25" a="1"/>
  <c r="Z30" i="25" s="1"/>
  <c r="Y31" i="25" a="1"/>
  <c r="Y31" i="25" s="1"/>
  <c r="Z31" i="25" a="1"/>
  <c r="Z31" i="25" s="1"/>
  <c r="Y32" i="25" a="1"/>
  <c r="Y32" i="25" s="1"/>
  <c r="Z32" i="25" a="1"/>
  <c r="Z32" i="25" s="1"/>
  <c r="Y33" i="25" a="1"/>
  <c r="Y33" i="25" s="1"/>
  <c r="Z33" i="25" a="1"/>
  <c r="Z33" i="25" s="1"/>
  <c r="Y34" i="25" a="1"/>
  <c r="Y34" i="25" s="1"/>
  <c r="Z34" i="25" a="1"/>
  <c r="Z34" i="25" s="1"/>
  <c r="Y35" i="25" a="1"/>
  <c r="Y35" i="25" s="1"/>
  <c r="Z35" i="25" a="1"/>
  <c r="Z35" i="25" s="1"/>
  <c r="Y36" i="25" a="1"/>
  <c r="Y36" i="25" s="1"/>
  <c r="Z36" i="25" a="1"/>
  <c r="Z36" i="25" s="1"/>
  <c r="Y37" i="25" a="1"/>
  <c r="Y37" i="25" s="1"/>
  <c r="Z37" i="25" a="1"/>
  <c r="Z37" i="25" s="1"/>
  <c r="Y38" i="25" a="1"/>
  <c r="Y38" i="25" s="1"/>
  <c r="Z38" i="25" a="1"/>
  <c r="Z38" i="25" s="1"/>
  <c r="Y39" i="25" a="1"/>
  <c r="Y39" i="25" s="1"/>
  <c r="Z39" i="25" a="1"/>
  <c r="Z39" i="25" s="1"/>
  <c r="Y40" i="25" a="1"/>
  <c r="Y40" i="25" s="1"/>
  <c r="Z40" i="25" a="1"/>
  <c r="Z40" i="25" s="1"/>
  <c r="Y41" i="25" a="1"/>
  <c r="Y41" i="25" s="1"/>
  <c r="Z41" i="25" a="1"/>
  <c r="Z41" i="25" s="1"/>
  <c r="Y42" i="25" a="1"/>
  <c r="Y42" i="25" s="1"/>
  <c r="Z42" i="25" a="1"/>
  <c r="Z42" i="25" s="1"/>
  <c r="Y43" i="25" a="1"/>
  <c r="Y43" i="25" s="1"/>
  <c r="Z43" i="25" a="1"/>
  <c r="Z43" i="25" s="1"/>
  <c r="Y44" i="25" a="1"/>
  <c r="Y44" i="25" s="1"/>
  <c r="Z44" i="25" a="1"/>
  <c r="Z44" i="25" s="1"/>
  <c r="Y45" i="25" a="1"/>
  <c r="Y45" i="25" s="1"/>
  <c r="Z45" i="25" a="1"/>
  <c r="Z45" i="25" s="1"/>
  <c r="Y46" i="25" a="1"/>
  <c r="Y46" i="25" s="1"/>
  <c r="Z46" i="25" a="1"/>
  <c r="Z46" i="25" s="1"/>
  <c r="Y47" i="25" a="1"/>
  <c r="Y47" i="25" s="1"/>
  <c r="Z47" i="25" a="1"/>
  <c r="Z47" i="25" s="1"/>
  <c r="Y48" i="25" a="1"/>
  <c r="Y48" i="25" s="1"/>
  <c r="Z48" i="25" a="1"/>
  <c r="Z48" i="25" s="1"/>
  <c r="Y49" i="25" a="1"/>
  <c r="Y49" i="25" s="1"/>
  <c r="Z49" i="25" a="1"/>
  <c r="Z49" i="25" s="1"/>
  <c r="Y50" i="25" a="1"/>
  <c r="Y50" i="25" s="1"/>
  <c r="Z50" i="25" a="1"/>
  <c r="Z50" i="25" s="1"/>
  <c r="Y51" i="25" a="1"/>
  <c r="Y51" i="25" s="1"/>
  <c r="Z51" i="25" a="1"/>
  <c r="Z51" i="25" s="1"/>
  <c r="Y52" i="25" a="1"/>
  <c r="Y52" i="25" s="1"/>
  <c r="Z52" i="25" a="1"/>
  <c r="Z52" i="25" s="1"/>
  <c r="Y53" i="25" a="1"/>
  <c r="Y53" i="25" s="1"/>
  <c r="Z53" i="25" a="1"/>
  <c r="Z53" i="25" s="1"/>
  <c r="Y54" i="25" a="1"/>
  <c r="Y54" i="25" s="1"/>
  <c r="Z54" i="25" a="1"/>
  <c r="Z54" i="25" s="1"/>
  <c r="Y55" i="25" a="1"/>
  <c r="Y55" i="25" s="1"/>
  <c r="Z55" i="25" a="1"/>
  <c r="Z55" i="25" s="1"/>
  <c r="Y56" i="25" a="1"/>
  <c r="Y56" i="25" s="1"/>
  <c r="Z56" i="25" a="1"/>
  <c r="Z56" i="25" s="1"/>
  <c r="Y57" i="25" a="1"/>
  <c r="Y57" i="25" s="1"/>
  <c r="Z57" i="25" a="1"/>
  <c r="Z57" i="25" s="1"/>
  <c r="Y58" i="25" a="1"/>
  <c r="Y58" i="25" s="1"/>
  <c r="Z58" i="25" a="1"/>
  <c r="Z58" i="25" s="1"/>
  <c r="Y59" i="25" a="1"/>
  <c r="Y59" i="25" s="1"/>
  <c r="Z59" i="25" a="1"/>
  <c r="Z59" i="25" s="1"/>
  <c r="Y60" i="25" a="1"/>
  <c r="Y60" i="25" s="1"/>
  <c r="Z60" i="25" a="1"/>
  <c r="Z60" i="25" s="1"/>
  <c r="Y61" i="25" a="1"/>
  <c r="Y61" i="25" s="1"/>
  <c r="Z61" i="25" a="1"/>
  <c r="Z61" i="25" s="1"/>
  <c r="Y62" i="25" a="1"/>
  <c r="Y62" i="25" s="1"/>
  <c r="Z62" i="25" a="1"/>
  <c r="Z62" i="25" s="1"/>
  <c r="Y63" i="25" a="1"/>
  <c r="Y63" i="25" s="1"/>
  <c r="Z63" i="25" a="1"/>
  <c r="Z63" i="25" s="1"/>
  <c r="Y64" i="25" a="1"/>
  <c r="Y64" i="25" s="1"/>
  <c r="Z64" i="25" a="1"/>
  <c r="Z64" i="25" s="1"/>
  <c r="Y65" i="25" a="1"/>
  <c r="Y65" i="25" s="1"/>
  <c r="Z65" i="25" a="1"/>
  <c r="Z65" i="25" s="1"/>
  <c r="Y66" i="25" a="1"/>
  <c r="Y66" i="25" s="1"/>
  <c r="Z66" i="25" a="1"/>
  <c r="Z66" i="25" s="1"/>
  <c r="Y67" i="25" a="1"/>
  <c r="Y67" i="25" s="1"/>
  <c r="Z67" i="25" a="1"/>
  <c r="Z67" i="25" s="1"/>
  <c r="Y68" i="25" a="1"/>
  <c r="Y68" i="25" s="1"/>
  <c r="Z68" i="25" a="1"/>
  <c r="Z68" i="25" s="1"/>
  <c r="Y69" i="25" a="1"/>
  <c r="Y69" i="25" s="1"/>
  <c r="Z69" i="25" a="1"/>
  <c r="Z69" i="25" s="1"/>
  <c r="Y70" i="25" a="1"/>
  <c r="Y70" i="25" s="1"/>
  <c r="Z70" i="25" a="1"/>
  <c r="Z70" i="25" s="1"/>
  <c r="Y71" i="25" a="1"/>
  <c r="Y71" i="25" s="1"/>
  <c r="Z71" i="25" a="1"/>
  <c r="Z71" i="25" s="1"/>
  <c r="Y72" i="25" a="1"/>
  <c r="Y72" i="25" s="1"/>
  <c r="Z72" i="25" a="1"/>
  <c r="Z72" i="25" s="1"/>
  <c r="Y73" i="25" a="1"/>
  <c r="Y73" i="25" s="1"/>
  <c r="Z73" i="25" a="1"/>
  <c r="Z73" i="25" s="1"/>
  <c r="Y74" i="25" a="1"/>
  <c r="Y74" i="25" s="1"/>
  <c r="Z74" i="25" a="1"/>
  <c r="Z74" i="25" s="1"/>
  <c r="Y75" i="25" a="1"/>
  <c r="Y75" i="25" s="1"/>
  <c r="Z75" i="25" a="1"/>
  <c r="Z75" i="25" s="1"/>
  <c r="Y76" i="25" a="1"/>
  <c r="Y76" i="25" s="1"/>
  <c r="Z76" i="25" a="1"/>
  <c r="Z76" i="25" s="1"/>
  <c r="Y77" i="25" a="1"/>
  <c r="Y77" i="25" s="1"/>
  <c r="Z77" i="25" a="1"/>
  <c r="Z77" i="25" s="1"/>
  <c r="Y78" i="25" a="1"/>
  <c r="Y78" i="25" s="1"/>
  <c r="Z78" i="25" a="1"/>
  <c r="Z78" i="25" s="1"/>
  <c r="Y79" i="25" a="1"/>
  <c r="Y79" i="25" s="1"/>
  <c r="Z79" i="25" a="1"/>
  <c r="Z79" i="25" s="1"/>
  <c r="Y80" i="25" a="1"/>
  <c r="Y80" i="25" s="1"/>
  <c r="Z80" i="25" a="1"/>
  <c r="Z80" i="25" s="1"/>
  <c r="Y81" i="25" a="1"/>
  <c r="Y81" i="25" s="1"/>
  <c r="Z81" i="25" a="1"/>
  <c r="Z81" i="25" s="1"/>
  <c r="Y82" i="25" a="1"/>
  <c r="Y82" i="25" s="1"/>
  <c r="Z82" i="25" a="1"/>
  <c r="Z82" i="25" s="1"/>
  <c r="Y83" i="25" a="1"/>
  <c r="Y83" i="25" s="1"/>
  <c r="Z83" i="25" a="1"/>
  <c r="Z83" i="25" s="1"/>
  <c r="Y84" i="25" a="1"/>
  <c r="Y84" i="25" s="1"/>
  <c r="Z84" i="25" a="1"/>
  <c r="Z84" i="25" s="1"/>
  <c r="Y85" i="25" a="1"/>
  <c r="Y85" i="25" s="1"/>
  <c r="Z85" i="25" a="1"/>
  <c r="Z85" i="25" s="1"/>
  <c r="Y86" i="25" a="1"/>
  <c r="Y86" i="25" s="1"/>
  <c r="Z86" i="25" a="1"/>
  <c r="Z86" i="25" s="1"/>
  <c r="Y87" i="25" a="1"/>
  <c r="Y87" i="25" s="1"/>
  <c r="Z87" i="25" a="1"/>
  <c r="Z87" i="25" s="1"/>
  <c r="Y88" i="25" a="1"/>
  <c r="Y88" i="25" s="1"/>
  <c r="Z88" i="25" a="1"/>
  <c r="Z88" i="25" s="1"/>
  <c r="Y89" i="25" a="1"/>
  <c r="Y89" i="25" s="1"/>
  <c r="Z89" i="25" a="1"/>
  <c r="Z89" i="25" s="1"/>
  <c r="Y90" i="25" a="1"/>
  <c r="Y90" i="25" s="1"/>
  <c r="Z90" i="25" a="1"/>
  <c r="Z90" i="25" s="1"/>
  <c r="Y91" i="25" a="1"/>
  <c r="Y91" i="25" s="1"/>
  <c r="Z91" i="25" a="1"/>
  <c r="Z91" i="25" s="1"/>
  <c r="Y92" i="25" a="1"/>
  <c r="Y92" i="25" s="1"/>
  <c r="Z92" i="25" a="1"/>
  <c r="Z92" i="25" s="1"/>
  <c r="Y93" i="25" a="1"/>
  <c r="Y93" i="25" s="1"/>
  <c r="Z93" i="25" a="1"/>
  <c r="Z93" i="25" s="1"/>
  <c r="Y94" i="25" a="1"/>
  <c r="Y94" i="25" s="1"/>
  <c r="Z94" i="25" a="1"/>
  <c r="Z94" i="25" s="1"/>
  <c r="Y95" i="25" a="1"/>
  <c r="Y95" i="25" s="1"/>
  <c r="Z95" i="25" a="1"/>
  <c r="Z95" i="25" s="1"/>
  <c r="Y96" i="25" a="1"/>
  <c r="Y96" i="25" s="1"/>
  <c r="Z96" i="25" a="1"/>
  <c r="Z96" i="25" s="1"/>
  <c r="Y97" i="25" a="1"/>
  <c r="Y97" i="25" s="1"/>
  <c r="Z97" i="25" a="1"/>
  <c r="Z97" i="25" s="1"/>
  <c r="Y98" i="25" a="1"/>
  <c r="Y98" i="25" s="1"/>
  <c r="Z98" i="25" a="1"/>
  <c r="Z98" i="25" s="1"/>
  <c r="Y99" i="25" a="1"/>
  <c r="Y99" i="25" s="1"/>
  <c r="Z99" i="25" a="1"/>
  <c r="Z99" i="25" s="1"/>
  <c r="Y100" i="25" a="1"/>
  <c r="Y100" i="25" s="1"/>
  <c r="Z100" i="25" a="1"/>
  <c r="Z100" i="25" s="1"/>
  <c r="Y101" i="25" a="1"/>
  <c r="Y101" i="25" s="1"/>
  <c r="Z101" i="25" a="1"/>
  <c r="Z101" i="25" s="1"/>
  <c r="Y102" i="25" a="1"/>
  <c r="Y102" i="25" s="1"/>
  <c r="Z102" i="25" a="1"/>
  <c r="Z102" i="25" s="1"/>
  <c r="Y103" i="25" a="1"/>
  <c r="Y103" i="25" s="1"/>
  <c r="Z103" i="25" a="1"/>
  <c r="Z103" i="25" s="1"/>
  <c r="Y104" i="25" a="1"/>
  <c r="Y104" i="25" s="1"/>
  <c r="Z104" i="25" a="1"/>
  <c r="Z104" i="25" s="1"/>
  <c r="Y105" i="25" a="1"/>
  <c r="Y105" i="25" s="1"/>
  <c r="Z105" i="25" a="1"/>
  <c r="Z105" i="25" s="1"/>
  <c r="Y106" i="25" a="1"/>
  <c r="Y106" i="25" s="1"/>
  <c r="Z106" i="25" a="1"/>
  <c r="Z106" i="25" s="1"/>
  <c r="Y107" i="25" a="1"/>
  <c r="Y107" i="25" s="1"/>
  <c r="Z107" i="25" a="1"/>
  <c r="Z107" i="25" s="1"/>
  <c r="Y108" i="25" a="1"/>
  <c r="Y108" i="25" s="1"/>
  <c r="Z108" i="25" a="1"/>
  <c r="Z108" i="25" s="1"/>
  <c r="Y109" i="25" a="1"/>
  <c r="Y109" i="25" s="1"/>
  <c r="Z109" i="25" a="1"/>
  <c r="Z109" i="25" s="1"/>
  <c r="Y110" i="25" a="1"/>
  <c r="Y110" i="25" s="1"/>
  <c r="Z110" i="25" a="1"/>
  <c r="Z110" i="25" s="1"/>
  <c r="Y111" i="25" a="1"/>
  <c r="Y111" i="25" s="1"/>
  <c r="Z111" i="25" a="1"/>
  <c r="Z111" i="25" s="1"/>
  <c r="Y112" i="25" a="1"/>
  <c r="Y112" i="25" s="1"/>
  <c r="Z112" i="25" a="1"/>
  <c r="Z112" i="25" s="1"/>
  <c r="Y113" i="25" a="1"/>
  <c r="Y113" i="25" s="1"/>
  <c r="Z113" i="25" a="1"/>
  <c r="Z113" i="25" s="1"/>
  <c r="Y114" i="25" a="1"/>
  <c r="Y114" i="25" s="1"/>
  <c r="Z114" i="25" a="1"/>
  <c r="Z114" i="25" s="1"/>
  <c r="Y115" i="25" a="1"/>
  <c r="Y115" i="25" s="1"/>
  <c r="Z115" i="25" a="1"/>
  <c r="Z115" i="25" s="1"/>
  <c r="Y116" i="25" a="1"/>
  <c r="Y116" i="25" s="1"/>
  <c r="Z116" i="25" a="1"/>
  <c r="Z116" i="25" s="1"/>
  <c r="Y117" i="25" a="1"/>
  <c r="Y117" i="25" s="1"/>
  <c r="Z117" i="25" a="1"/>
  <c r="Z117" i="25" s="1"/>
  <c r="Y118" i="25" a="1"/>
  <c r="Y118" i="25" s="1"/>
  <c r="Z118" i="25" a="1"/>
  <c r="Z118" i="25" s="1"/>
  <c r="Y119" i="25" a="1"/>
  <c r="Y119" i="25" s="1"/>
  <c r="Z119" i="25" a="1"/>
  <c r="Z119" i="25" s="1"/>
  <c r="Y120" i="25" a="1"/>
  <c r="Y120" i="25" s="1"/>
  <c r="Z120" i="25" a="1"/>
  <c r="Z120" i="25"/>
  <c r="Y121" i="25" a="1"/>
  <c r="Y121" i="25" s="1"/>
  <c r="Z121" i="25" a="1"/>
  <c r="Z121" i="25" s="1"/>
  <c r="Y122" i="25" a="1"/>
  <c r="Y122" i="25" s="1"/>
  <c r="Z122" i="25" a="1"/>
  <c r="Z122" i="25" s="1"/>
  <c r="Y123" i="25" a="1"/>
  <c r="Y123" i="25" s="1"/>
  <c r="Z123" i="25" a="1"/>
  <c r="Z123" i="25" s="1"/>
  <c r="Y124" i="25" a="1"/>
  <c r="Y124" i="25" s="1"/>
  <c r="Z124" i="25" a="1"/>
  <c r="Z124" i="25" s="1"/>
  <c r="Y125" i="25" a="1"/>
  <c r="Y125" i="25" s="1"/>
  <c r="Z125" i="25" a="1"/>
  <c r="Z125" i="25" s="1"/>
  <c r="Y126" i="25" a="1"/>
  <c r="Y126" i="25" s="1"/>
  <c r="Z126" i="25" a="1"/>
  <c r="Z126" i="25" s="1"/>
  <c r="Y127" i="25" a="1"/>
  <c r="Y127" i="25" s="1"/>
  <c r="Z127" i="25" a="1"/>
  <c r="Z127" i="25" s="1"/>
  <c r="Y128" i="25" a="1"/>
  <c r="Y128" i="25" s="1"/>
  <c r="Z128" i="25" a="1"/>
  <c r="Z128" i="25" s="1"/>
  <c r="Y129" i="25" a="1"/>
  <c r="Y129" i="25" s="1"/>
  <c r="Z129" i="25" a="1"/>
  <c r="Z129" i="25" s="1"/>
  <c r="Y130" i="25" a="1"/>
  <c r="Y130" i="25" s="1"/>
  <c r="Z130" i="25" a="1"/>
  <c r="Z130" i="25" s="1"/>
  <c r="Y131" i="25" a="1"/>
  <c r="Y131" i="25" s="1"/>
  <c r="Z131" i="25" a="1"/>
  <c r="Z131" i="25" s="1"/>
  <c r="Y132" i="25" a="1"/>
  <c r="Y132" i="25" s="1"/>
  <c r="Z132" i="25" a="1"/>
  <c r="Z132" i="25" s="1"/>
  <c r="Y133" i="25" a="1"/>
  <c r="Y133" i="25" s="1"/>
  <c r="Z133" i="25" a="1"/>
  <c r="Z133" i="25" s="1"/>
  <c r="Y134" i="25" a="1"/>
  <c r="Y134" i="25" s="1"/>
  <c r="Z134" i="25" a="1"/>
  <c r="Z134" i="25" s="1"/>
  <c r="Y135" i="25" a="1"/>
  <c r="Y135" i="25" s="1"/>
  <c r="Z135" i="25" a="1"/>
  <c r="Z135" i="25" s="1"/>
  <c r="Y136" i="25" a="1"/>
  <c r="Y136" i="25" s="1"/>
  <c r="Z136" i="25" a="1"/>
  <c r="Z136" i="25" s="1"/>
  <c r="Y137" i="25" a="1"/>
  <c r="Y137" i="25" s="1"/>
  <c r="Z137" i="25" a="1"/>
  <c r="Z137" i="25" s="1"/>
  <c r="Y138" i="25" a="1"/>
  <c r="Y138" i="25" s="1"/>
  <c r="Z138" i="25" a="1"/>
  <c r="Z138" i="25" s="1"/>
  <c r="Y139" i="25" a="1"/>
  <c r="Y139" i="25" s="1"/>
  <c r="Z139" i="25" a="1"/>
  <c r="Z139" i="25" s="1"/>
  <c r="Y140" i="25" a="1"/>
  <c r="Y140" i="25" s="1"/>
  <c r="Z140" i="25" a="1"/>
  <c r="Z140" i="25" s="1"/>
  <c r="Y141" i="25" a="1"/>
  <c r="Y141" i="25" s="1"/>
  <c r="Z141" i="25" a="1"/>
  <c r="Z141" i="25" s="1"/>
  <c r="Y142" i="25" a="1"/>
  <c r="Y142" i="25" s="1"/>
  <c r="Z142" i="25" a="1"/>
  <c r="Z142" i="25" s="1"/>
  <c r="Y143" i="25" a="1"/>
  <c r="Y143" i="25" s="1"/>
  <c r="Z143" i="25" a="1"/>
  <c r="Z143" i="25" s="1"/>
  <c r="Y144" i="25" a="1"/>
  <c r="Y144" i="25" s="1"/>
  <c r="Z144" i="25" a="1"/>
  <c r="Z144" i="25" s="1"/>
  <c r="Y145" i="25" a="1"/>
  <c r="Y145" i="25" s="1"/>
  <c r="Z145" i="25" a="1"/>
  <c r="Z145" i="25" s="1"/>
  <c r="Y146" i="25" a="1"/>
  <c r="Y146" i="25" s="1"/>
  <c r="Z146" i="25" a="1"/>
  <c r="Z146" i="25" s="1"/>
  <c r="Y147" i="25" a="1"/>
  <c r="Y147" i="25" s="1"/>
  <c r="Z147" i="25" a="1"/>
  <c r="Z147" i="25" s="1"/>
  <c r="Y148" i="25" a="1"/>
  <c r="Y148" i="25" s="1"/>
  <c r="Z148" i="25" a="1"/>
  <c r="Z148" i="25" s="1"/>
  <c r="Y149" i="25" a="1"/>
  <c r="Y149" i="25" s="1"/>
  <c r="Z149" i="25" a="1"/>
  <c r="Z149" i="25" s="1"/>
  <c r="Y150" i="25" a="1"/>
  <c r="Y150" i="25" s="1"/>
  <c r="Z150" i="25" a="1"/>
  <c r="Z150" i="25" s="1"/>
  <c r="Y151" i="25" a="1"/>
  <c r="Y151" i="25" s="1"/>
  <c r="Z151" i="25" a="1"/>
  <c r="Z151" i="25" s="1"/>
  <c r="Y152" i="25" a="1"/>
  <c r="Y152" i="25" s="1"/>
  <c r="Z152" i="25" a="1"/>
  <c r="Z152" i="25" s="1"/>
  <c r="Y153" i="25" a="1"/>
  <c r="Y153" i="25" s="1"/>
  <c r="Z153" i="25" a="1"/>
  <c r="Z153" i="25" s="1"/>
  <c r="Y154" i="25" a="1"/>
  <c r="Y154" i="25" s="1"/>
  <c r="Z154" i="25" a="1"/>
  <c r="Z154" i="25" s="1"/>
  <c r="Y155" i="25" a="1"/>
  <c r="Y155" i="25" s="1"/>
  <c r="Z155" i="25" a="1"/>
  <c r="Z155" i="25" s="1"/>
  <c r="Y156" i="25" a="1"/>
  <c r="Y156" i="25" s="1"/>
  <c r="Z156" i="25" a="1"/>
  <c r="Z156" i="25" s="1"/>
  <c r="Y157" i="25" a="1"/>
  <c r="Y157" i="25" s="1"/>
  <c r="Z157" i="25" a="1"/>
  <c r="Z157" i="25" s="1"/>
  <c r="Y158" i="25" a="1"/>
  <c r="Y158" i="25" s="1"/>
  <c r="Z158" i="25" a="1"/>
  <c r="Z158" i="25" s="1"/>
  <c r="Y159" i="25" a="1"/>
  <c r="Y159" i="25" s="1"/>
  <c r="Z159" i="25" a="1"/>
  <c r="Z159" i="25" s="1"/>
  <c r="Y160" i="25" a="1"/>
  <c r="Y160" i="25" s="1"/>
  <c r="Z160" i="25" a="1"/>
  <c r="Z160" i="25" s="1"/>
  <c r="Y161" i="25" a="1"/>
  <c r="Y161" i="25" s="1"/>
  <c r="Z161" i="25" a="1"/>
  <c r="Z161" i="25" s="1"/>
  <c r="Y162" i="25" a="1"/>
  <c r="Y162" i="25" s="1"/>
  <c r="Z162" i="25" a="1"/>
  <c r="Z162" i="25" s="1"/>
  <c r="Y163" i="25" a="1"/>
  <c r="Y163" i="25" s="1"/>
  <c r="Z163" i="25" a="1"/>
  <c r="Z163" i="25" s="1"/>
  <c r="Y164" i="25" a="1"/>
  <c r="Y164" i="25" s="1"/>
  <c r="Z164" i="25" a="1"/>
  <c r="Z164" i="25" s="1"/>
  <c r="Y165" i="25" a="1"/>
  <c r="Y165" i="25" s="1"/>
  <c r="Z165" i="25" a="1"/>
  <c r="Z165" i="25" s="1"/>
  <c r="Y166" i="25" a="1"/>
  <c r="Y166" i="25" s="1"/>
  <c r="Z166" i="25" a="1"/>
  <c r="Z166" i="25" s="1"/>
  <c r="Y167" i="25" a="1"/>
  <c r="Y167" i="25" s="1"/>
  <c r="Z167" i="25" a="1"/>
  <c r="Z167" i="25" s="1"/>
  <c r="Y168" i="25" a="1"/>
  <c r="Y168" i="25" s="1"/>
  <c r="Z168" i="25" a="1"/>
  <c r="Z168" i="25" s="1"/>
  <c r="Y169" i="25" a="1"/>
  <c r="Y169" i="25" s="1"/>
  <c r="Z169" i="25" a="1"/>
  <c r="Z169" i="25" s="1"/>
  <c r="Y170" i="25" a="1"/>
  <c r="Y170" i="25" s="1"/>
  <c r="Z170" i="25" a="1"/>
  <c r="Z170" i="25" s="1"/>
  <c r="Y171" i="25" a="1"/>
  <c r="Y171" i="25" s="1"/>
  <c r="Z171" i="25" a="1"/>
  <c r="Z171" i="25" s="1"/>
  <c r="Y172" i="25" a="1"/>
  <c r="Y172" i="25" s="1"/>
  <c r="Z172" i="25" a="1"/>
  <c r="Z172" i="25" s="1"/>
  <c r="Y173" i="25" a="1"/>
  <c r="Y173" i="25" s="1"/>
  <c r="Z173" i="25" a="1"/>
  <c r="Z173" i="25" s="1"/>
  <c r="Y174" i="25" a="1"/>
  <c r="Y174" i="25" s="1"/>
  <c r="Z174" i="25" a="1"/>
  <c r="Z174" i="25" s="1"/>
  <c r="Y175" i="25" a="1"/>
  <c r="Y175" i="25" s="1"/>
  <c r="Z175" i="25" a="1"/>
  <c r="Z175" i="25" s="1"/>
  <c r="Y176" i="25" a="1"/>
  <c r="Y176" i="25" s="1"/>
  <c r="Z176" i="25" a="1"/>
  <c r="Z176" i="25" s="1"/>
  <c r="Y177" i="25" a="1"/>
  <c r="Y177" i="25" s="1"/>
  <c r="Z177" i="25" a="1"/>
  <c r="Z177" i="25" s="1"/>
  <c r="Y178" i="25" a="1"/>
  <c r="Y178" i="25" s="1"/>
  <c r="Z178" i="25" a="1"/>
  <c r="Z178" i="25" s="1"/>
  <c r="Y179" i="25" a="1"/>
  <c r="Y179" i="25" s="1"/>
  <c r="Z179" i="25" a="1"/>
  <c r="Z179" i="25" s="1"/>
  <c r="Y180" i="25" a="1"/>
  <c r="Y180" i="25" s="1"/>
  <c r="Z180" i="25" a="1"/>
  <c r="Z180" i="25" s="1"/>
  <c r="Y181" i="25" a="1"/>
  <c r="Y181" i="25" s="1"/>
  <c r="Z181" i="25" a="1"/>
  <c r="Z181" i="25" s="1"/>
  <c r="Y182" i="25" a="1"/>
  <c r="Y182" i="25" s="1"/>
  <c r="Z182" i="25" a="1"/>
  <c r="Z182" i="25" s="1"/>
  <c r="Y183" i="25" a="1"/>
  <c r="Y183" i="25" s="1"/>
  <c r="Z183" i="25" a="1"/>
  <c r="Z183" i="25" s="1"/>
  <c r="Y184" i="25" a="1"/>
  <c r="Y184" i="25" s="1"/>
  <c r="Z184" i="25" a="1"/>
  <c r="Z184" i="25" s="1"/>
  <c r="Y185" i="25" a="1"/>
  <c r="Y185" i="25" s="1"/>
  <c r="Z185" i="25" a="1"/>
  <c r="Z185" i="25" s="1"/>
  <c r="Y186" i="25" a="1"/>
  <c r="Y186" i="25" s="1"/>
  <c r="Z186" i="25" a="1"/>
  <c r="Z186" i="25" s="1"/>
  <c r="Y187" i="25" a="1"/>
  <c r="Y187" i="25" s="1"/>
  <c r="Z187" i="25" a="1"/>
  <c r="Z187" i="25" s="1"/>
  <c r="Y188" i="25" a="1"/>
  <c r="Y188" i="25" s="1"/>
  <c r="Z188" i="25" a="1"/>
  <c r="Z188" i="25" s="1"/>
  <c r="Y189" i="25" a="1"/>
  <c r="Y189" i="25" s="1"/>
  <c r="Z189" i="25" a="1"/>
  <c r="Z189" i="25" s="1"/>
  <c r="Y190" i="25" a="1"/>
  <c r="Y190" i="25" s="1"/>
  <c r="Z190" i="25" a="1"/>
  <c r="Z190" i="25" s="1"/>
  <c r="Y191" i="25" a="1"/>
  <c r="Y191" i="25" s="1"/>
  <c r="Z191" i="25" a="1"/>
  <c r="Z191" i="25" s="1"/>
  <c r="Y192" i="25" a="1"/>
  <c r="Y192" i="25" s="1"/>
  <c r="Z192" i="25" a="1"/>
  <c r="Z192" i="25" s="1"/>
  <c r="Y193" i="25" a="1"/>
  <c r="Y193" i="25" s="1"/>
  <c r="Z193" i="25" a="1"/>
  <c r="Z193" i="25" s="1"/>
  <c r="Y194" i="25" a="1"/>
  <c r="Y194" i="25" s="1"/>
  <c r="Z194" i="25" a="1"/>
  <c r="Z194" i="25" s="1"/>
  <c r="Y195" i="25" a="1"/>
  <c r="Y195" i="25" s="1"/>
  <c r="Z195" i="25" a="1"/>
  <c r="Z195" i="25" s="1"/>
  <c r="Y196" i="25" a="1"/>
  <c r="Y196" i="25" s="1"/>
  <c r="Z196" i="25" a="1"/>
  <c r="Z196" i="25" s="1"/>
  <c r="Y197" i="25" a="1"/>
  <c r="Y197" i="25" s="1"/>
  <c r="Z197" i="25" a="1"/>
  <c r="Z197" i="25" s="1"/>
  <c r="Y198" i="25" a="1"/>
  <c r="Y198" i="25" s="1"/>
  <c r="Z198" i="25" a="1"/>
  <c r="Z198" i="25" s="1"/>
  <c r="Y199" i="25" a="1"/>
  <c r="Y199" i="25" s="1"/>
  <c r="Z199" i="25" a="1"/>
  <c r="Z199" i="25" s="1"/>
  <c r="Y200" i="25" a="1"/>
  <c r="Y200" i="25" s="1"/>
  <c r="Z200" i="25" a="1"/>
  <c r="Z200" i="25" s="1"/>
  <c r="Y201" i="25" a="1"/>
  <c r="Y201" i="25" s="1"/>
  <c r="Z201" i="25" a="1"/>
  <c r="Z201" i="25" s="1"/>
  <c r="Y202" i="25" a="1"/>
  <c r="Y202" i="25" s="1"/>
  <c r="Z202" i="25" a="1"/>
  <c r="Z202" i="25" s="1"/>
  <c r="Y203" i="25" a="1"/>
  <c r="Y203" i="25" s="1"/>
  <c r="Z203" i="25" a="1"/>
  <c r="Z203" i="25" s="1"/>
  <c r="Y204" i="25" a="1"/>
  <c r="Y204" i="25" s="1"/>
  <c r="Z204" i="25" a="1"/>
  <c r="Z204" i="25" s="1"/>
  <c r="Y205" i="25" a="1"/>
  <c r="Y205" i="25" s="1"/>
  <c r="Z205" i="25" a="1"/>
  <c r="Z205" i="25" s="1"/>
  <c r="Y206" i="25" a="1"/>
  <c r="Y206" i="25" s="1"/>
  <c r="Z206" i="25" a="1"/>
  <c r="Z206" i="25" s="1"/>
  <c r="Y207" i="25" a="1"/>
  <c r="Y207" i="25" s="1"/>
  <c r="Z207" i="25" a="1"/>
  <c r="Z207" i="25" s="1"/>
  <c r="Y208" i="25" a="1"/>
  <c r="Y208" i="25" s="1"/>
  <c r="Z208" i="25" a="1"/>
  <c r="Z208" i="25" s="1"/>
  <c r="Y209" i="25" a="1"/>
  <c r="Y209" i="25" s="1"/>
  <c r="Z209" i="25" a="1"/>
  <c r="Z209" i="25" s="1"/>
  <c r="Y210" i="25" a="1"/>
  <c r="Y210" i="25" s="1"/>
  <c r="Z210" i="25" a="1"/>
  <c r="Z210" i="25" s="1"/>
  <c r="Y211" i="25" a="1"/>
  <c r="Y211" i="25" s="1"/>
  <c r="Z211" i="25" a="1"/>
  <c r="Z211" i="25" s="1"/>
  <c r="Y212" i="25" a="1"/>
  <c r="Y212" i="25" s="1"/>
  <c r="Z212" i="25" a="1"/>
  <c r="Z212" i="25" s="1"/>
  <c r="Y213" i="25" a="1"/>
  <c r="Y213" i="25" s="1"/>
  <c r="Z213" i="25" a="1"/>
  <c r="Z213" i="25" s="1"/>
  <c r="Y214" i="25" a="1"/>
  <c r="Y214" i="25" s="1"/>
  <c r="Z214" i="25" a="1"/>
  <c r="Z214" i="25" s="1"/>
  <c r="Y215" i="25" a="1"/>
  <c r="Y215" i="25" s="1"/>
  <c r="Z215" i="25" a="1"/>
  <c r="Z215" i="25" s="1"/>
  <c r="Y216" i="25" a="1"/>
  <c r="Y216" i="25" s="1"/>
  <c r="Z216" i="25" a="1"/>
  <c r="Z216" i="25" s="1"/>
  <c r="Y217" i="25" a="1"/>
  <c r="Y217" i="25" s="1"/>
  <c r="Z217" i="25" a="1"/>
  <c r="Z217" i="25" s="1"/>
  <c r="Y218" i="25" a="1"/>
  <c r="Y218" i="25" s="1"/>
  <c r="Z218" i="25" a="1"/>
  <c r="Z218" i="25" s="1"/>
  <c r="Y219" i="25" a="1"/>
  <c r="Y219" i="25" s="1"/>
  <c r="Z219" i="25" a="1"/>
  <c r="Z219" i="25" s="1"/>
  <c r="Y220" i="25" a="1"/>
  <c r="Y220" i="25" s="1"/>
  <c r="Z220" i="25" a="1"/>
  <c r="Z220" i="25" s="1"/>
  <c r="Y221" i="25" a="1"/>
  <c r="Y221" i="25" s="1"/>
  <c r="Z221" i="25" a="1"/>
  <c r="Z221" i="25" s="1"/>
  <c r="Y222" i="25" a="1"/>
  <c r="Y222" i="25" s="1"/>
  <c r="Z222" i="25" a="1"/>
  <c r="Z222" i="25" s="1"/>
  <c r="Y223" i="25" a="1"/>
  <c r="Y223" i="25" s="1"/>
  <c r="Z223" i="25" a="1"/>
  <c r="Z223" i="25" s="1"/>
  <c r="Y224" i="25" a="1"/>
  <c r="Y224" i="25" s="1"/>
  <c r="Z224" i="25" a="1"/>
  <c r="Z224" i="25" s="1"/>
  <c r="Y225" i="25" a="1"/>
  <c r="Y225" i="25" s="1"/>
  <c r="Z225" i="25" a="1"/>
  <c r="Z225" i="25" s="1"/>
  <c r="Y226" i="25" a="1"/>
  <c r="Y226" i="25" s="1"/>
  <c r="Z226" i="25" a="1"/>
  <c r="Z226" i="25" s="1"/>
  <c r="Y227" i="25" a="1"/>
  <c r="Y227" i="25" s="1"/>
  <c r="Z227" i="25" a="1"/>
  <c r="Z227" i="25" s="1"/>
  <c r="Y228" i="25" a="1"/>
  <c r="Y228" i="25" s="1"/>
  <c r="Z228" i="25" a="1"/>
  <c r="Z228" i="25" s="1"/>
  <c r="Y229" i="25" a="1"/>
  <c r="Y229" i="25" s="1"/>
  <c r="Z229" i="25" a="1"/>
  <c r="Z229" i="25" s="1"/>
  <c r="Y230" i="25" a="1"/>
  <c r="Y230" i="25" s="1"/>
  <c r="Z230" i="25" a="1"/>
  <c r="Z230" i="25" s="1"/>
  <c r="Y231" i="25" a="1"/>
  <c r="Y231" i="25" s="1"/>
  <c r="Z231" i="25" a="1"/>
  <c r="Z231" i="25" s="1"/>
  <c r="Y232" i="25" a="1"/>
  <c r="Y232" i="25" s="1"/>
  <c r="Z232" i="25" a="1"/>
  <c r="Z232" i="25" s="1"/>
  <c r="Y233" i="25" a="1"/>
  <c r="Y233" i="25" s="1"/>
  <c r="Z233" i="25" a="1"/>
  <c r="Z233" i="25" s="1"/>
  <c r="Y234" i="25" a="1"/>
  <c r="Y234" i="25" s="1"/>
  <c r="Z234" i="25" a="1"/>
  <c r="Z234" i="25" s="1"/>
  <c r="Y235" i="25" a="1"/>
  <c r="Y235" i="25" s="1"/>
  <c r="Z235" i="25" a="1"/>
  <c r="Z235" i="25" s="1"/>
  <c r="Y236" i="25" a="1"/>
  <c r="Y236" i="25" s="1"/>
  <c r="Z236" i="25" a="1"/>
  <c r="Z236" i="25" s="1"/>
  <c r="Y237" i="25" a="1"/>
  <c r="Y237" i="25" s="1"/>
  <c r="Z237" i="25" a="1"/>
  <c r="Z237" i="25" s="1"/>
  <c r="Y238" i="25" a="1"/>
  <c r="Y238" i="25" s="1"/>
  <c r="Z238" i="25" a="1"/>
  <c r="Z238" i="25" s="1"/>
  <c r="Y239" i="25" a="1"/>
  <c r="Y239" i="25" s="1"/>
  <c r="Z239" i="25" a="1"/>
  <c r="Z239" i="25" s="1"/>
  <c r="Y240" i="25" a="1"/>
  <c r="Y240" i="25" s="1"/>
  <c r="Z240" i="25" a="1"/>
  <c r="Z240" i="25" s="1"/>
  <c r="Y241" i="25" a="1"/>
  <c r="Y241" i="25" s="1"/>
  <c r="Z241" i="25" a="1"/>
  <c r="Z241" i="25" s="1"/>
  <c r="Y242" i="25" a="1"/>
  <c r="Y242" i="25" s="1"/>
  <c r="Z242" i="25" a="1"/>
  <c r="Z242" i="25" s="1"/>
  <c r="Y243" i="25" a="1"/>
  <c r="Y243" i="25" s="1"/>
  <c r="Z243" i="25" a="1"/>
  <c r="Z243" i="25" s="1"/>
  <c r="Y244" i="25" a="1"/>
  <c r="Y244" i="25" s="1"/>
  <c r="Z244" i="25" a="1"/>
  <c r="Z244" i="25" s="1"/>
  <c r="Y245" i="25" a="1"/>
  <c r="Y245" i="25" s="1"/>
  <c r="Z245" i="25" a="1"/>
  <c r="Z245" i="25" s="1"/>
  <c r="Y246" i="25" a="1"/>
  <c r="Y246" i="25" s="1"/>
  <c r="Z246" i="25" a="1"/>
  <c r="Z246" i="25" s="1"/>
  <c r="Y247" i="25" a="1"/>
  <c r="Y247" i="25" s="1"/>
  <c r="Z247" i="25" a="1"/>
  <c r="Z247" i="25" s="1"/>
  <c r="Y248" i="25" a="1"/>
  <c r="Y248" i="25" s="1"/>
  <c r="Z248" i="25" a="1"/>
  <c r="Z248" i="25" s="1"/>
  <c r="Y249" i="25" a="1"/>
  <c r="Y249" i="25" s="1"/>
  <c r="Z249" i="25" a="1"/>
  <c r="Z249" i="25" s="1"/>
  <c r="Y250" i="25" a="1"/>
  <c r="Y250" i="25" s="1"/>
  <c r="Z250" i="25" a="1"/>
  <c r="Z250" i="25" s="1"/>
  <c r="Y251" i="25" a="1"/>
  <c r="Y251" i="25" s="1"/>
  <c r="Z251" i="25" a="1"/>
  <c r="Z251" i="25" s="1"/>
  <c r="Y252" i="25" a="1"/>
  <c r="Y252" i="25" s="1"/>
  <c r="Z252" i="25" a="1"/>
  <c r="Z252" i="25" s="1"/>
  <c r="Y253" i="25" a="1"/>
  <c r="Y253" i="25" s="1"/>
  <c r="Z253" i="25" a="1"/>
  <c r="Z253" i="25" s="1"/>
  <c r="Y254" i="25" a="1"/>
  <c r="Y254" i="25" s="1"/>
  <c r="Z254" i="25" a="1"/>
  <c r="Z254" i="25" s="1"/>
  <c r="Y255" i="25" a="1"/>
  <c r="Y255" i="25" s="1"/>
  <c r="Z255" i="25" a="1"/>
  <c r="Z255" i="25" s="1"/>
  <c r="Y256" i="25" a="1"/>
  <c r="Y256" i="25" s="1"/>
  <c r="Z256" i="25" a="1"/>
  <c r="Z256" i="25" s="1"/>
  <c r="Y257" i="25" a="1"/>
  <c r="Y257" i="25" s="1"/>
  <c r="Z257" i="25" a="1"/>
  <c r="Z257" i="25" s="1"/>
  <c r="Y258" i="25" a="1"/>
  <c r="Y258" i="25" s="1"/>
  <c r="Z258" i="25" a="1"/>
  <c r="Z258" i="25" s="1"/>
  <c r="Y259" i="25" a="1"/>
  <c r="Y259" i="25" s="1"/>
  <c r="Z259" i="25" a="1"/>
  <c r="Z259" i="25" s="1"/>
  <c r="Y260" i="25" a="1"/>
  <c r="Y260" i="25" s="1"/>
  <c r="Z260" i="25" a="1"/>
  <c r="Z260" i="25" s="1"/>
  <c r="Y261" i="25" a="1"/>
  <c r="Y261" i="25" s="1"/>
  <c r="Z261" i="25" a="1"/>
  <c r="Z261" i="25" s="1"/>
  <c r="Y262" i="25" a="1"/>
  <c r="Y262" i="25" s="1"/>
  <c r="Z262" i="25" a="1"/>
  <c r="Z262" i="25" s="1"/>
  <c r="Y263" i="25" a="1"/>
  <c r="Y263" i="25" s="1"/>
  <c r="Z263" i="25" a="1"/>
  <c r="Z263" i="25" s="1"/>
  <c r="Y264" i="25" a="1"/>
  <c r="Y264" i="25" s="1"/>
  <c r="Z264" i="25" a="1"/>
  <c r="Z264" i="25" s="1"/>
  <c r="Y265" i="25" a="1"/>
  <c r="Y265" i="25" s="1"/>
  <c r="Z265" i="25" a="1"/>
  <c r="Z265" i="25" s="1"/>
  <c r="Y266" i="25" a="1"/>
  <c r="Y266" i="25" s="1"/>
  <c r="Z266" i="25" a="1"/>
  <c r="Z266" i="25" s="1"/>
  <c r="Y267" i="25" a="1"/>
  <c r="Y267" i="25" s="1"/>
  <c r="Z267" i="25" a="1"/>
  <c r="Z267" i="25" s="1"/>
  <c r="Y268" i="25" a="1"/>
  <c r="Y268" i="25" s="1"/>
  <c r="Z268" i="25" a="1"/>
  <c r="Z268" i="25" s="1"/>
  <c r="Y269" i="25" a="1"/>
  <c r="Y269" i="25" s="1"/>
  <c r="Z269" i="25" a="1"/>
  <c r="Z269" i="25" s="1"/>
  <c r="Y270" i="25" a="1"/>
  <c r="Y270" i="25" s="1"/>
  <c r="Z270" i="25" a="1"/>
  <c r="Z270" i="25" s="1"/>
  <c r="Y271" i="25" a="1"/>
  <c r="Y271" i="25" s="1"/>
  <c r="Z271" i="25" a="1"/>
  <c r="Z271" i="25" s="1"/>
  <c r="Y272" i="25" a="1"/>
  <c r="Y272" i="25" s="1"/>
  <c r="Z272" i="25" a="1"/>
  <c r="Z272" i="25" s="1"/>
  <c r="Y273" i="25" a="1"/>
  <c r="Y273" i="25" s="1"/>
  <c r="Z273" i="25" a="1"/>
  <c r="Z273" i="25" s="1"/>
  <c r="Y274" i="25" a="1"/>
  <c r="Y274" i="25" s="1"/>
  <c r="Z274" i="25" a="1"/>
  <c r="Z274" i="25" s="1"/>
  <c r="Y275" i="25" a="1"/>
  <c r="Y275" i="25" s="1"/>
  <c r="Z275" i="25" a="1"/>
  <c r="Z275" i="25" s="1"/>
  <c r="Y276" i="25" a="1"/>
  <c r="Y276" i="25" s="1"/>
  <c r="Z276" i="25" a="1"/>
  <c r="Z276" i="25" s="1"/>
  <c r="Y277" i="25" a="1"/>
  <c r="Y277" i="25" s="1"/>
  <c r="Z277" i="25" a="1"/>
  <c r="Z277" i="25" s="1"/>
  <c r="Y278" i="25" a="1"/>
  <c r="Y278" i="25" s="1"/>
  <c r="Z278" i="25" a="1"/>
  <c r="Z278" i="25" s="1"/>
  <c r="Y279" i="25" a="1"/>
  <c r="Y279" i="25" s="1"/>
  <c r="Z279" i="25" a="1"/>
  <c r="Z279" i="25" s="1"/>
  <c r="Y280" i="25" a="1"/>
  <c r="Y280" i="25" s="1"/>
  <c r="Z280" i="25" a="1"/>
  <c r="Z280" i="25" s="1"/>
  <c r="Y281" i="25" a="1"/>
  <c r="Y281" i="25" s="1"/>
  <c r="Z281" i="25" a="1"/>
  <c r="Z281" i="25" s="1"/>
  <c r="Y282" i="25" a="1"/>
  <c r="Y282" i="25" s="1"/>
  <c r="Z282" i="25" a="1"/>
  <c r="Z282" i="25" s="1"/>
  <c r="Y283" i="25" a="1"/>
  <c r="Y283" i="25" s="1"/>
  <c r="Z283" i="25" a="1"/>
  <c r="Z283" i="25" s="1"/>
  <c r="Y284" i="25" a="1"/>
  <c r="Y284" i="25" s="1"/>
  <c r="Z284" i="25" a="1"/>
  <c r="Z284" i="25" s="1"/>
  <c r="Y285" i="25" a="1"/>
  <c r="Y285" i="25" s="1"/>
  <c r="Z285" i="25" a="1"/>
  <c r="Z285" i="25" s="1"/>
  <c r="Y286" i="25" a="1"/>
  <c r="Y286" i="25" s="1"/>
  <c r="Z286" i="25" a="1"/>
  <c r="Z286" i="25" s="1"/>
  <c r="Y287" i="25" a="1"/>
  <c r="Y287" i="25" s="1"/>
  <c r="Z287" i="25" a="1"/>
  <c r="Z287" i="25" s="1"/>
  <c r="Y288" i="25" a="1"/>
  <c r="Y288" i="25" s="1"/>
  <c r="Z288" i="25" a="1"/>
  <c r="Z288" i="25" s="1"/>
  <c r="Y289" i="25" a="1"/>
  <c r="Y289" i="25" s="1"/>
  <c r="Z289" i="25" a="1"/>
  <c r="Z289" i="25" s="1"/>
  <c r="Y290" i="25" a="1"/>
  <c r="Y290" i="25" s="1"/>
  <c r="Z290" i="25" a="1"/>
  <c r="Z290" i="25" s="1"/>
  <c r="Y291" i="25" a="1"/>
  <c r="Y291" i="25" s="1"/>
  <c r="Z291" i="25" a="1"/>
  <c r="Z291" i="25" s="1"/>
  <c r="Y292" i="25" a="1"/>
  <c r="Y292" i="25" s="1"/>
  <c r="Z292" i="25" a="1"/>
  <c r="Z292" i="25" s="1"/>
  <c r="Y293" i="25" a="1"/>
  <c r="Y293" i="25" s="1"/>
  <c r="Z293" i="25" a="1"/>
  <c r="Z293" i="25" s="1"/>
  <c r="Y294" i="25" a="1"/>
  <c r="Y294" i="25" s="1"/>
  <c r="Z294" i="25" a="1"/>
  <c r="Z294" i="25" s="1"/>
  <c r="Y295" i="25" a="1"/>
  <c r="Y295" i="25" s="1"/>
  <c r="Z295" i="25" a="1"/>
  <c r="Z295" i="25" s="1"/>
  <c r="Y296" i="25" a="1"/>
  <c r="Y296" i="25" s="1"/>
  <c r="Z296" i="25" a="1"/>
  <c r="Z296" i="25" s="1"/>
  <c r="Y297" i="25" a="1"/>
  <c r="Y297" i="25" s="1"/>
  <c r="Z297" i="25" a="1"/>
  <c r="Z297" i="25" s="1"/>
  <c r="Y298" i="25" a="1"/>
  <c r="Y298" i="25" s="1"/>
  <c r="Z298" i="25" a="1"/>
  <c r="Z298" i="25" s="1"/>
  <c r="Y299" i="25" a="1"/>
  <c r="Y299" i="25" s="1"/>
  <c r="Z299" i="25" a="1"/>
  <c r="Z299" i="25" s="1"/>
  <c r="Y300" i="25" a="1"/>
  <c r="Y300" i="25" s="1"/>
  <c r="Z300" i="25" a="1"/>
  <c r="Z300" i="25" s="1"/>
  <c r="Y301" i="25" a="1"/>
  <c r="Y301" i="25" s="1"/>
  <c r="Z301" i="25" a="1"/>
  <c r="Z301" i="25" s="1"/>
  <c r="Y302" i="25" a="1"/>
  <c r="Y302" i="25" s="1"/>
  <c r="Z302" i="25" a="1"/>
  <c r="Z302" i="25" s="1"/>
  <c r="Y303" i="25" a="1"/>
  <c r="Y303" i="25" s="1"/>
  <c r="Z303" i="25" a="1"/>
  <c r="Z303" i="25" s="1"/>
  <c r="Y304" i="25" a="1"/>
  <c r="Y304" i="25" s="1"/>
  <c r="Z304" i="25" a="1"/>
  <c r="Z304" i="25" s="1"/>
  <c r="Y305" i="25" a="1"/>
  <c r="Y305" i="25" s="1"/>
  <c r="Z305" i="25" a="1"/>
  <c r="Z305" i="25" s="1"/>
  <c r="Y306" i="25" a="1"/>
  <c r="Y306" i="25" s="1"/>
  <c r="Z306" i="25" a="1"/>
  <c r="Z306" i="25" s="1"/>
  <c r="Y307" i="25" a="1"/>
  <c r="Y307" i="25" s="1"/>
  <c r="Z307" i="25" a="1"/>
  <c r="Z307" i="25" s="1"/>
  <c r="Y308" i="25" a="1"/>
  <c r="Y308" i="25" s="1"/>
  <c r="Z308" i="25" a="1"/>
  <c r="Z308" i="25" s="1"/>
  <c r="Y309" i="25" a="1"/>
  <c r="Y309" i="25" s="1"/>
  <c r="Z309" i="25" a="1"/>
  <c r="Z309" i="25" s="1"/>
  <c r="Y310" i="25" a="1"/>
  <c r="Y310" i="25" s="1"/>
  <c r="Z310" i="25" a="1"/>
  <c r="Z310" i="25" s="1"/>
  <c r="Y311" i="25" a="1"/>
  <c r="Y311" i="25" s="1"/>
  <c r="Z311" i="25" a="1"/>
  <c r="Z311" i="25" s="1"/>
  <c r="Y312" i="25" a="1"/>
  <c r="Y312" i="25" s="1"/>
  <c r="Z312" i="25" a="1"/>
  <c r="Z312" i="25" s="1"/>
  <c r="Y313" i="25" a="1"/>
  <c r="Y313" i="25" s="1"/>
  <c r="Z313" i="25" a="1"/>
  <c r="Z313" i="25" s="1"/>
  <c r="Y314" i="25" a="1"/>
  <c r="Y314" i="25" s="1"/>
  <c r="Z314" i="25" a="1"/>
  <c r="Z314" i="25" s="1"/>
  <c r="Y315" i="25" a="1"/>
  <c r="Y315" i="25" s="1"/>
  <c r="Z315" i="25" a="1"/>
  <c r="Z315" i="25" s="1"/>
  <c r="Y316" i="25" a="1"/>
  <c r="Y316" i="25" s="1"/>
  <c r="Z316" i="25" a="1"/>
  <c r="Z316" i="25" s="1"/>
  <c r="Y317" i="25" a="1"/>
  <c r="Y317" i="25" s="1"/>
  <c r="Z317" i="25" a="1"/>
  <c r="Z317" i="25" s="1"/>
  <c r="Y318" i="25" a="1"/>
  <c r="Y318" i="25" s="1"/>
  <c r="Z318" i="25" a="1"/>
  <c r="Z318" i="25" s="1"/>
  <c r="Y319" i="25" a="1"/>
  <c r="Y319" i="25" s="1"/>
  <c r="Z319" i="25" a="1"/>
  <c r="Z319" i="25" s="1"/>
  <c r="Y320" i="25" a="1"/>
  <c r="Y320" i="25" s="1"/>
  <c r="Z320" i="25" a="1"/>
  <c r="Z320" i="25" s="1"/>
  <c r="Y321" i="25" a="1"/>
  <c r="Y321" i="25" s="1"/>
  <c r="Z321" i="25" a="1"/>
  <c r="Z321" i="25" s="1"/>
  <c r="Y322" i="25" a="1"/>
  <c r="Y322" i="25" s="1"/>
  <c r="Z322" i="25" a="1"/>
  <c r="Z322" i="25" s="1"/>
  <c r="Y323" i="25" a="1"/>
  <c r="Y323" i="25" s="1"/>
  <c r="Z323" i="25" a="1"/>
  <c r="Z323" i="25" s="1"/>
  <c r="Y324" i="25" a="1"/>
  <c r="Y324" i="25" s="1"/>
  <c r="Z324" i="25" a="1"/>
  <c r="Z324" i="25" s="1"/>
  <c r="Y325" i="25" a="1"/>
  <c r="Y325" i="25" s="1"/>
  <c r="Z325" i="25" a="1"/>
  <c r="Z325" i="25" s="1"/>
  <c r="Y326" i="25" a="1"/>
  <c r="Y326" i="25" s="1"/>
  <c r="Z326" i="25" a="1"/>
  <c r="Z326" i="25" s="1"/>
  <c r="Y327" i="25" a="1"/>
  <c r="Y327" i="25" s="1"/>
  <c r="Z327" i="25" a="1"/>
  <c r="Z327" i="25" s="1"/>
  <c r="Y328" i="25" a="1"/>
  <c r="Y328" i="25" s="1"/>
  <c r="Z328" i="25" a="1"/>
  <c r="Z328" i="25" s="1"/>
  <c r="Y329" i="25" a="1"/>
  <c r="Y329" i="25" s="1"/>
  <c r="Z329" i="25" a="1"/>
  <c r="Z329" i="25" s="1"/>
  <c r="Y330" i="25" a="1"/>
  <c r="Y330" i="25" s="1"/>
  <c r="Z330" i="25" a="1"/>
  <c r="Z330" i="25" s="1"/>
  <c r="Y331" i="25" a="1"/>
  <c r="Y331" i="25" s="1"/>
  <c r="Z331" i="25" a="1"/>
  <c r="Z331" i="25" s="1"/>
  <c r="Y332" i="25" a="1"/>
  <c r="Y332" i="25" s="1"/>
  <c r="Z332" i="25" a="1"/>
  <c r="Z332" i="25" s="1"/>
  <c r="Y333" i="25" a="1"/>
  <c r="Y333" i="25" s="1"/>
  <c r="Z333" i="25" a="1"/>
  <c r="Z333" i="25" s="1"/>
  <c r="Y334" i="25" a="1"/>
  <c r="Y334" i="25" s="1"/>
  <c r="Z334" i="25" a="1"/>
  <c r="Z334" i="25" s="1"/>
  <c r="Y335" i="25" a="1"/>
  <c r="Y335" i="25" s="1"/>
  <c r="Z335" i="25" a="1"/>
  <c r="Z335" i="25" s="1"/>
  <c r="Y336" i="25" a="1"/>
  <c r="Y336" i="25" s="1"/>
  <c r="Z336" i="25" a="1"/>
  <c r="Z336" i="25" s="1"/>
  <c r="Y337" i="25" a="1"/>
  <c r="Y337" i="25" s="1"/>
  <c r="Z337" i="25" a="1"/>
  <c r="Z337" i="25" s="1"/>
  <c r="Y338" i="25" a="1"/>
  <c r="Y338" i="25" s="1"/>
  <c r="Z338" i="25" a="1"/>
  <c r="Z338" i="25" s="1"/>
  <c r="Y339" i="25" a="1"/>
  <c r="Y339" i="25" s="1"/>
  <c r="Z339" i="25" a="1"/>
  <c r="Z339" i="25" s="1"/>
  <c r="Y340" i="25" a="1"/>
  <c r="Y340" i="25" s="1"/>
  <c r="Z340" i="25" a="1"/>
  <c r="Z340" i="25" s="1"/>
  <c r="Y341" i="25" a="1"/>
  <c r="Y341" i="25" s="1"/>
  <c r="Z341" i="25" a="1"/>
  <c r="Z341" i="25" s="1"/>
  <c r="Y342" i="25" a="1"/>
  <c r="Y342" i="25" s="1"/>
  <c r="Z342" i="25" a="1"/>
  <c r="Z342" i="25" s="1"/>
  <c r="Y343" i="25" a="1"/>
  <c r="Y343" i="25" s="1"/>
  <c r="Z343" i="25" a="1"/>
  <c r="Z343" i="25" s="1"/>
  <c r="Y344" i="25" a="1"/>
  <c r="Y344" i="25" s="1"/>
  <c r="Z344" i="25" a="1"/>
  <c r="Z344" i="25" s="1"/>
  <c r="Y345" i="25" a="1"/>
  <c r="Y345" i="25" s="1"/>
  <c r="Z345" i="25" a="1"/>
  <c r="Z345" i="25" s="1"/>
  <c r="Y346" i="25" a="1"/>
  <c r="Y346" i="25" s="1"/>
  <c r="Z346" i="25" a="1"/>
  <c r="Z346" i="25" s="1"/>
  <c r="Y347" i="25" a="1"/>
  <c r="Y347" i="25" s="1"/>
  <c r="Z347" i="25" a="1"/>
  <c r="Z347" i="25" s="1"/>
  <c r="Y348" i="25" a="1"/>
  <c r="Y348" i="25" s="1"/>
  <c r="Z348" i="25" a="1"/>
  <c r="Z348" i="25" s="1"/>
  <c r="Y349" i="25" a="1"/>
  <c r="Y349" i="25" s="1"/>
  <c r="Z349" i="25" a="1"/>
  <c r="Z349" i="25" s="1"/>
  <c r="Y350" i="25" a="1"/>
  <c r="Y350" i="25" s="1"/>
  <c r="Z350" i="25" a="1"/>
  <c r="Z350" i="25" s="1"/>
  <c r="Y351" i="25" a="1"/>
  <c r="Y351" i="25" s="1"/>
  <c r="Z351" i="25" a="1"/>
  <c r="Z351" i="25" s="1"/>
  <c r="Y352" i="25" a="1"/>
  <c r="Y352" i="25" s="1"/>
  <c r="Z352" i="25" a="1"/>
  <c r="Z352" i="25" s="1"/>
  <c r="Y353" i="25" a="1"/>
  <c r="Y353" i="25" s="1"/>
  <c r="Z353" i="25" a="1"/>
  <c r="Z353" i="25" s="1"/>
  <c r="Y354" i="25" a="1"/>
  <c r="Y354" i="25" s="1"/>
  <c r="Z354" i="25" a="1"/>
  <c r="Z354" i="25" s="1"/>
  <c r="Y355" i="25" a="1"/>
  <c r="Y355" i="25" s="1"/>
  <c r="Z355" i="25" a="1"/>
  <c r="Z355" i="25" s="1"/>
  <c r="Z2" i="25" a="1"/>
  <c r="Z2" i="25" s="1"/>
  <c r="Y2" i="25" a="1"/>
  <c r="Y2" i="25" s="1"/>
  <c r="Y3" i="23" a="1"/>
  <c r="Y3" i="23" s="1"/>
  <c r="Z3" i="23" a="1"/>
  <c r="Z3" i="23" s="1"/>
  <c r="Y4" i="23" a="1"/>
  <c r="Y4" i="23" s="1"/>
  <c r="Z4" i="23" a="1"/>
  <c r="Z4" i="23" s="1"/>
  <c r="Y5" i="23" a="1"/>
  <c r="Y5" i="23" s="1"/>
  <c r="Z5" i="23" a="1"/>
  <c r="Z5" i="23" s="1"/>
  <c r="Y6" i="23" a="1"/>
  <c r="Y6" i="23" s="1"/>
  <c r="Z6" i="23" a="1"/>
  <c r="Z6" i="23" s="1"/>
  <c r="Y7" i="23" a="1"/>
  <c r="Y7" i="23" s="1"/>
  <c r="Z7" i="23" a="1"/>
  <c r="Z7" i="23" s="1"/>
  <c r="Y8" i="23" a="1"/>
  <c r="Y8" i="23" s="1"/>
  <c r="Z8" i="23" a="1"/>
  <c r="Z8" i="23" s="1"/>
  <c r="Y9" i="23" a="1"/>
  <c r="Y9" i="23" s="1"/>
  <c r="Z9" i="23" a="1"/>
  <c r="Z9" i="23" s="1"/>
  <c r="Y10" i="23" a="1"/>
  <c r="Y10" i="23" s="1"/>
  <c r="Z10" i="23" a="1"/>
  <c r="Z10" i="23" s="1"/>
  <c r="Y11" i="23" a="1"/>
  <c r="Y11" i="23" s="1"/>
  <c r="Z11" i="23" a="1"/>
  <c r="Z11" i="23" s="1"/>
  <c r="Y12" i="23" a="1"/>
  <c r="Y12" i="23" s="1"/>
  <c r="Z12" i="23" a="1"/>
  <c r="Z12" i="23" s="1"/>
  <c r="Y13" i="23" a="1"/>
  <c r="Y13" i="23" s="1"/>
  <c r="Z13" i="23" a="1"/>
  <c r="Z13" i="23" s="1"/>
  <c r="Y14" i="23" a="1"/>
  <c r="Y14" i="23" s="1"/>
  <c r="Z14" i="23" a="1"/>
  <c r="Z14" i="23" s="1"/>
  <c r="Y15" i="23" a="1"/>
  <c r="Y15" i="23" s="1"/>
  <c r="Z15" i="23" a="1"/>
  <c r="Z15" i="23" s="1"/>
  <c r="Y16" i="23" a="1"/>
  <c r="Y16" i="23" s="1"/>
  <c r="Z16" i="23" a="1"/>
  <c r="Z16" i="23" s="1"/>
  <c r="Y17" i="23" a="1"/>
  <c r="Y17" i="23" s="1"/>
  <c r="Z17" i="23" a="1"/>
  <c r="Z17" i="23" s="1"/>
  <c r="Y18" i="23" a="1"/>
  <c r="Y18" i="23" s="1"/>
  <c r="Z18" i="23" a="1"/>
  <c r="Z18" i="23" s="1"/>
  <c r="Y19" i="23" a="1"/>
  <c r="Y19" i="23" s="1"/>
  <c r="Z19" i="23" a="1"/>
  <c r="Z19" i="23" s="1"/>
  <c r="Y20" i="23" a="1"/>
  <c r="Y20" i="23" s="1"/>
  <c r="Z20" i="23" a="1"/>
  <c r="Z20" i="23" s="1"/>
  <c r="Y21" i="23" a="1"/>
  <c r="Y21" i="23" s="1"/>
  <c r="Z21" i="23" a="1"/>
  <c r="Z21" i="23" s="1"/>
  <c r="Y22" i="23" a="1"/>
  <c r="Y22" i="23" s="1"/>
  <c r="Z22" i="23" a="1"/>
  <c r="Z22" i="23" s="1"/>
  <c r="Y23" i="23" a="1"/>
  <c r="Y23" i="23" s="1"/>
  <c r="Z23" i="23" a="1"/>
  <c r="Z23" i="23" s="1"/>
  <c r="Y24" i="23" a="1"/>
  <c r="Y24" i="23" s="1"/>
  <c r="Z24" i="23" a="1"/>
  <c r="Z24" i="23" s="1"/>
  <c r="Y25" i="23" a="1"/>
  <c r="Y25" i="23" s="1"/>
  <c r="Z25" i="23" a="1"/>
  <c r="Z25" i="23" s="1"/>
  <c r="Y26" i="23" a="1"/>
  <c r="Y26" i="23" s="1"/>
  <c r="Z26" i="23" a="1"/>
  <c r="Z26" i="23" s="1"/>
  <c r="Y27" i="23" a="1"/>
  <c r="Y27" i="23" s="1"/>
  <c r="Z27" i="23" a="1"/>
  <c r="Z27" i="23" s="1"/>
  <c r="Y28" i="23" a="1"/>
  <c r="Y28" i="23" s="1"/>
  <c r="Z28" i="23" a="1"/>
  <c r="Z28" i="23" s="1"/>
  <c r="Y29" i="23" a="1"/>
  <c r="Y29" i="23" s="1"/>
  <c r="Z29" i="23" a="1"/>
  <c r="Z29" i="23" s="1"/>
  <c r="Y30" i="23" a="1"/>
  <c r="Y30" i="23" s="1"/>
  <c r="Z30" i="23" a="1"/>
  <c r="Z30" i="23" s="1"/>
  <c r="Y31" i="23" a="1"/>
  <c r="Y31" i="23" s="1"/>
  <c r="Z31" i="23" a="1"/>
  <c r="Z31" i="23" s="1"/>
  <c r="Y32" i="23" a="1"/>
  <c r="Y32" i="23" s="1"/>
  <c r="Z32" i="23" a="1"/>
  <c r="Z32" i="23" s="1"/>
  <c r="Y33" i="23" a="1"/>
  <c r="Y33" i="23" s="1"/>
  <c r="Z33" i="23" a="1"/>
  <c r="Z33" i="23" s="1"/>
  <c r="Y34" i="23" a="1"/>
  <c r="Y34" i="23" s="1"/>
  <c r="Z34" i="23" a="1"/>
  <c r="Z34" i="23" s="1"/>
  <c r="Y35" i="23" a="1"/>
  <c r="Y35" i="23" s="1"/>
  <c r="Z35" i="23" a="1"/>
  <c r="Z35" i="23" s="1"/>
  <c r="Y36" i="23" a="1"/>
  <c r="Y36" i="23" s="1"/>
  <c r="Z36" i="23" a="1"/>
  <c r="Z36" i="23" s="1"/>
  <c r="Y37" i="23" a="1"/>
  <c r="Y37" i="23" s="1"/>
  <c r="Z37" i="23" a="1"/>
  <c r="Z37" i="23" s="1"/>
  <c r="Y38" i="23" a="1"/>
  <c r="Y38" i="23" s="1"/>
  <c r="Z38" i="23" a="1"/>
  <c r="Z38" i="23" s="1"/>
  <c r="Y39" i="23" a="1"/>
  <c r="Y39" i="23" s="1"/>
  <c r="Z39" i="23" a="1"/>
  <c r="Z39" i="23" s="1"/>
  <c r="Y40" i="23" a="1"/>
  <c r="Y40" i="23" s="1"/>
  <c r="Z40" i="23" a="1"/>
  <c r="Z40" i="23" s="1"/>
  <c r="Y41" i="23" a="1"/>
  <c r="Y41" i="23" s="1"/>
  <c r="Z41" i="23" a="1"/>
  <c r="Z41" i="23" s="1"/>
  <c r="Y42" i="23" a="1"/>
  <c r="Y42" i="23" s="1"/>
  <c r="Z42" i="23" a="1"/>
  <c r="Z42" i="23" s="1"/>
  <c r="Y43" i="23" a="1"/>
  <c r="Y43" i="23" s="1"/>
  <c r="Z43" i="23" a="1"/>
  <c r="Z43" i="23" s="1"/>
  <c r="Y44" i="23" a="1"/>
  <c r="Y44" i="23" s="1"/>
  <c r="Z44" i="23" a="1"/>
  <c r="Z44" i="23" s="1"/>
  <c r="Y45" i="23" a="1"/>
  <c r="Y45" i="23" s="1"/>
  <c r="Z45" i="23" a="1"/>
  <c r="Z45" i="23" s="1"/>
  <c r="Y46" i="23" a="1"/>
  <c r="Y46" i="23" s="1"/>
  <c r="Z46" i="23" a="1"/>
  <c r="Z46" i="23" s="1"/>
  <c r="Y47" i="23" a="1"/>
  <c r="Y47" i="23" s="1"/>
  <c r="Z47" i="23" a="1"/>
  <c r="Z47" i="23" s="1"/>
  <c r="Y48" i="23" a="1"/>
  <c r="Y48" i="23" s="1"/>
  <c r="Z48" i="23" a="1"/>
  <c r="Z48" i="23" s="1"/>
  <c r="Y49" i="23" a="1"/>
  <c r="Y49" i="23" s="1"/>
  <c r="Z49" i="23" a="1"/>
  <c r="Z49" i="23" s="1"/>
  <c r="Y50" i="23" a="1"/>
  <c r="Y50" i="23" s="1"/>
  <c r="Z50" i="23" a="1"/>
  <c r="Z50" i="23" s="1"/>
  <c r="Y51" i="23" a="1"/>
  <c r="Y51" i="23" s="1"/>
  <c r="Z51" i="23" a="1"/>
  <c r="Z51" i="23" s="1"/>
  <c r="Y52" i="23" a="1"/>
  <c r="Y52" i="23" s="1"/>
  <c r="Z52" i="23" a="1"/>
  <c r="Z52" i="23" s="1"/>
  <c r="Y53" i="23" a="1"/>
  <c r="Y53" i="23" s="1"/>
  <c r="Z53" i="23" a="1"/>
  <c r="Z53" i="23" s="1"/>
  <c r="Y54" i="23" a="1"/>
  <c r="Y54" i="23" s="1"/>
  <c r="Z54" i="23" a="1"/>
  <c r="Z54" i="23" s="1"/>
  <c r="Y55" i="23" a="1"/>
  <c r="Y55" i="23" s="1"/>
  <c r="Z55" i="23" a="1"/>
  <c r="Z55" i="23" s="1"/>
  <c r="Y56" i="23" a="1"/>
  <c r="Y56" i="23" s="1"/>
  <c r="Z56" i="23" a="1"/>
  <c r="Z56" i="23" s="1"/>
  <c r="Y57" i="23" a="1"/>
  <c r="Y57" i="23" s="1"/>
  <c r="Z57" i="23" a="1"/>
  <c r="Z57" i="23" s="1"/>
  <c r="Y58" i="23" a="1"/>
  <c r="Y58" i="23" s="1"/>
  <c r="Z58" i="23" a="1"/>
  <c r="Z58" i="23" s="1"/>
  <c r="Y59" i="23" a="1"/>
  <c r="Y59" i="23" s="1"/>
  <c r="Z59" i="23" a="1"/>
  <c r="Z59" i="23" s="1"/>
  <c r="Y60" i="23" a="1"/>
  <c r="Y60" i="23" s="1"/>
  <c r="Z60" i="23" a="1"/>
  <c r="Z60" i="23" s="1"/>
  <c r="Y61" i="23" a="1"/>
  <c r="Y61" i="23" s="1"/>
  <c r="Z61" i="23" a="1"/>
  <c r="Z61" i="23" s="1"/>
  <c r="Y62" i="23" a="1"/>
  <c r="Y62" i="23" s="1"/>
  <c r="Z62" i="23" a="1"/>
  <c r="Z62" i="23" s="1"/>
  <c r="Y63" i="23" a="1"/>
  <c r="Y63" i="23" s="1"/>
  <c r="Z63" i="23" a="1"/>
  <c r="Z63" i="23" s="1"/>
  <c r="Y64" i="23" a="1"/>
  <c r="Y64" i="23" s="1"/>
  <c r="Z64" i="23" a="1"/>
  <c r="Z64" i="23" s="1"/>
  <c r="Y65" i="23" a="1"/>
  <c r="Y65" i="23" s="1"/>
  <c r="Z65" i="23" a="1"/>
  <c r="Z65" i="23" s="1"/>
  <c r="Y66" i="23" a="1"/>
  <c r="Y66" i="23" s="1"/>
  <c r="Z66" i="23" a="1"/>
  <c r="Z66" i="23" s="1"/>
  <c r="Y67" i="23" a="1"/>
  <c r="Y67" i="23" s="1"/>
  <c r="Z67" i="23" a="1"/>
  <c r="Z67" i="23" s="1"/>
  <c r="Y68" i="23" a="1"/>
  <c r="Y68" i="23" s="1"/>
  <c r="Z68" i="23" a="1"/>
  <c r="Z68" i="23" s="1"/>
  <c r="Y69" i="23" a="1"/>
  <c r="Y69" i="23" s="1"/>
  <c r="Z69" i="23" a="1"/>
  <c r="Z69" i="23" s="1"/>
  <c r="Y70" i="23" a="1"/>
  <c r="Y70" i="23" s="1"/>
  <c r="Z70" i="23" a="1"/>
  <c r="Z70" i="23" s="1"/>
  <c r="Y71" i="23" a="1"/>
  <c r="Y71" i="23" s="1"/>
  <c r="Z71" i="23" a="1"/>
  <c r="Z71" i="23" s="1"/>
  <c r="Y72" i="23" a="1"/>
  <c r="Y72" i="23" s="1"/>
  <c r="Z72" i="23" a="1"/>
  <c r="Z72" i="23" s="1"/>
  <c r="Y73" i="23" a="1"/>
  <c r="Y73" i="23" s="1"/>
  <c r="Z73" i="23" a="1"/>
  <c r="Z73" i="23" s="1"/>
  <c r="Y74" i="23" a="1"/>
  <c r="Y74" i="23" s="1"/>
  <c r="Z74" i="23" a="1"/>
  <c r="Z74" i="23" s="1"/>
  <c r="Y75" i="23" a="1"/>
  <c r="Y75" i="23" s="1"/>
  <c r="Z75" i="23" a="1"/>
  <c r="Z75" i="23" s="1"/>
  <c r="Y76" i="23" a="1"/>
  <c r="Y76" i="23" s="1"/>
  <c r="Z76" i="23" a="1"/>
  <c r="Z76" i="23" s="1"/>
  <c r="Y77" i="23" a="1"/>
  <c r="Y77" i="23" s="1"/>
  <c r="Z77" i="23" a="1"/>
  <c r="Z77" i="23" s="1"/>
  <c r="Y78" i="23" a="1"/>
  <c r="Y78" i="23" s="1"/>
  <c r="Z78" i="23" a="1"/>
  <c r="Z78" i="23" s="1"/>
  <c r="Y79" i="23" a="1"/>
  <c r="Y79" i="23" s="1"/>
  <c r="Z79" i="23" a="1"/>
  <c r="Z79" i="23" s="1"/>
  <c r="Y80" i="23" a="1"/>
  <c r="Y80" i="23" s="1"/>
  <c r="Z80" i="23" a="1"/>
  <c r="Z80" i="23" s="1"/>
  <c r="Y81" i="23" a="1"/>
  <c r="Y81" i="23" s="1"/>
  <c r="Z81" i="23" a="1"/>
  <c r="Z81" i="23" s="1"/>
  <c r="Y82" i="23" a="1"/>
  <c r="Y82" i="23" s="1"/>
  <c r="Z82" i="23" a="1"/>
  <c r="Z82" i="23" s="1"/>
  <c r="Y83" i="23" a="1"/>
  <c r="Y83" i="23" s="1"/>
  <c r="Z83" i="23" a="1"/>
  <c r="Z83" i="23" s="1"/>
  <c r="Y84" i="23" a="1"/>
  <c r="Y84" i="23" s="1"/>
  <c r="Z84" i="23" a="1"/>
  <c r="Z84" i="23" s="1"/>
  <c r="Y85" i="23" a="1"/>
  <c r="Y85" i="23" s="1"/>
  <c r="Z85" i="23" a="1"/>
  <c r="Z85" i="23" s="1"/>
  <c r="Y86" i="23" a="1"/>
  <c r="Y86" i="23" s="1"/>
  <c r="Z86" i="23" a="1"/>
  <c r="Z86" i="23" s="1"/>
  <c r="Y87" i="23" a="1"/>
  <c r="Y87" i="23" s="1"/>
  <c r="Z87" i="23" a="1"/>
  <c r="Z87" i="23" s="1"/>
  <c r="Y88" i="23" a="1"/>
  <c r="Y88" i="23" s="1"/>
  <c r="Z88" i="23" a="1"/>
  <c r="Z88" i="23" s="1"/>
  <c r="Y89" i="23" a="1"/>
  <c r="Y89" i="23" s="1"/>
  <c r="Z89" i="23" a="1"/>
  <c r="Z89" i="23" s="1"/>
  <c r="Y90" i="23" a="1"/>
  <c r="Y90" i="23" s="1"/>
  <c r="Z90" i="23" a="1"/>
  <c r="Z90" i="23" s="1"/>
  <c r="Y91" i="23" a="1"/>
  <c r="Y91" i="23" s="1"/>
  <c r="Z91" i="23" a="1"/>
  <c r="Z91" i="23" s="1"/>
  <c r="Y92" i="23" a="1"/>
  <c r="Y92" i="23" s="1"/>
  <c r="Z92" i="23" a="1"/>
  <c r="Z92" i="23" s="1"/>
  <c r="Y93" i="23" a="1"/>
  <c r="Y93" i="23" s="1"/>
  <c r="Z93" i="23" a="1"/>
  <c r="Z93" i="23" s="1"/>
  <c r="Y94" i="23" a="1"/>
  <c r="Y94" i="23" s="1"/>
  <c r="Z94" i="23" a="1"/>
  <c r="Z94" i="23" s="1"/>
  <c r="Y95" i="23" a="1"/>
  <c r="Y95" i="23" s="1"/>
  <c r="Z95" i="23" a="1"/>
  <c r="Z95" i="23" s="1"/>
  <c r="Y96" i="23" a="1"/>
  <c r="Y96" i="23" s="1"/>
  <c r="Z96" i="23" a="1"/>
  <c r="Z96" i="23" s="1"/>
  <c r="Y97" i="23" a="1"/>
  <c r="Y97" i="23" s="1"/>
  <c r="Z97" i="23" a="1"/>
  <c r="Z97" i="23" s="1"/>
  <c r="Y98" i="23" a="1"/>
  <c r="Y98" i="23" s="1"/>
  <c r="Z98" i="23" a="1"/>
  <c r="Z98" i="23" s="1"/>
  <c r="Y99" i="23" a="1"/>
  <c r="Y99" i="23" s="1"/>
  <c r="Z99" i="23" a="1"/>
  <c r="Z99" i="23" s="1"/>
  <c r="Y100" i="23" a="1"/>
  <c r="Y100" i="23" s="1"/>
  <c r="Z100" i="23" a="1"/>
  <c r="Z100" i="23" s="1"/>
  <c r="Y101" i="23" a="1"/>
  <c r="Y101" i="23" s="1"/>
  <c r="Z101" i="23" a="1"/>
  <c r="Z101" i="23" s="1"/>
  <c r="Y102" i="23" a="1"/>
  <c r="Y102" i="23" s="1"/>
  <c r="Z102" i="23" a="1"/>
  <c r="Z102" i="23" s="1"/>
  <c r="Y103" i="23" a="1"/>
  <c r="Y103" i="23" s="1"/>
  <c r="Z103" i="23" a="1"/>
  <c r="Z103" i="23" s="1"/>
  <c r="Y104" i="23" a="1"/>
  <c r="Y104" i="23" s="1"/>
  <c r="Z104" i="23" a="1"/>
  <c r="Z104" i="23" s="1"/>
  <c r="Y105" i="23" a="1"/>
  <c r="Y105" i="23" s="1"/>
  <c r="Z105" i="23" a="1"/>
  <c r="Z105" i="23" s="1"/>
  <c r="Y106" i="23" a="1"/>
  <c r="Y106" i="23" s="1"/>
  <c r="Z106" i="23" a="1"/>
  <c r="Z106" i="23" s="1"/>
  <c r="Y107" i="23" a="1"/>
  <c r="Y107" i="23" s="1"/>
  <c r="Z107" i="23" a="1"/>
  <c r="Z107" i="23" s="1"/>
  <c r="Y108" i="23" a="1"/>
  <c r="Y108" i="23" s="1"/>
  <c r="Z108" i="23" a="1"/>
  <c r="Z108" i="23" s="1"/>
  <c r="Y109" i="23" a="1"/>
  <c r="Y109" i="23" s="1"/>
  <c r="Z109" i="23" a="1"/>
  <c r="Z109" i="23" s="1"/>
  <c r="Y110" i="23" a="1"/>
  <c r="Y110" i="23" s="1"/>
  <c r="Z110" i="23" a="1"/>
  <c r="Z110" i="23" s="1"/>
  <c r="Y111" i="23" a="1"/>
  <c r="Y111" i="23" s="1"/>
  <c r="Z111" i="23" a="1"/>
  <c r="Z111" i="23" s="1"/>
  <c r="Y112" i="23" a="1"/>
  <c r="Y112" i="23" s="1"/>
  <c r="Z112" i="23" a="1"/>
  <c r="Z112" i="23" s="1"/>
  <c r="Y113" i="23" a="1"/>
  <c r="Y113" i="23" s="1"/>
  <c r="Z113" i="23" a="1"/>
  <c r="Z113" i="23" s="1"/>
  <c r="Y114" i="23" a="1"/>
  <c r="Y114" i="23" s="1"/>
  <c r="Z114" i="23" a="1"/>
  <c r="Z114" i="23" s="1"/>
  <c r="Y115" i="23" a="1"/>
  <c r="Y115" i="23" s="1"/>
  <c r="Z115" i="23" a="1"/>
  <c r="Z115" i="23" s="1"/>
  <c r="Y116" i="23" a="1"/>
  <c r="Y116" i="23" s="1"/>
  <c r="Z116" i="23" a="1"/>
  <c r="Z116" i="23" s="1"/>
  <c r="Y117" i="23" a="1"/>
  <c r="Y117" i="23" s="1"/>
  <c r="Z117" i="23" a="1"/>
  <c r="Z117" i="23" s="1"/>
  <c r="Y118" i="23" a="1"/>
  <c r="Y118" i="23" s="1"/>
  <c r="Z118" i="23" a="1"/>
  <c r="Z118" i="23" s="1"/>
  <c r="Y119" i="23" a="1"/>
  <c r="Y119" i="23" s="1"/>
  <c r="Z119" i="23" a="1"/>
  <c r="Z119" i="23" s="1"/>
  <c r="Y120" i="23" a="1"/>
  <c r="Y120" i="23" s="1"/>
  <c r="Z120" i="23" a="1"/>
  <c r="Z120" i="23" s="1"/>
  <c r="Y121" i="23" a="1"/>
  <c r="Y121" i="23" s="1"/>
  <c r="Z121" i="23" a="1"/>
  <c r="Z121" i="23" s="1"/>
  <c r="Y122" i="23" a="1"/>
  <c r="Y122" i="23" s="1"/>
  <c r="Z122" i="23" a="1"/>
  <c r="Z122" i="23" s="1"/>
  <c r="Y123" i="23" a="1"/>
  <c r="Y123" i="23" s="1"/>
  <c r="Z123" i="23" a="1"/>
  <c r="Z123" i="23" s="1"/>
  <c r="Y124" i="23" a="1"/>
  <c r="Y124" i="23" s="1"/>
  <c r="Z124" i="23" a="1"/>
  <c r="Z124" i="23" s="1"/>
  <c r="Y125" i="23" a="1"/>
  <c r="Y125" i="23" s="1"/>
  <c r="Z125" i="23" a="1"/>
  <c r="Z125" i="23" s="1"/>
  <c r="Y126" i="23" a="1"/>
  <c r="Y126" i="23" s="1"/>
  <c r="Z126" i="23" a="1"/>
  <c r="Z126" i="23" s="1"/>
  <c r="Y127" i="23" a="1"/>
  <c r="Y127" i="23" s="1"/>
  <c r="Z127" i="23" a="1"/>
  <c r="Z127" i="23" s="1"/>
  <c r="Y128" i="23" a="1"/>
  <c r="Y128" i="23" s="1"/>
  <c r="Z128" i="23" a="1"/>
  <c r="Z128" i="23" s="1"/>
  <c r="Y129" i="23" a="1"/>
  <c r="Y129" i="23" s="1"/>
  <c r="Z129" i="23" a="1"/>
  <c r="Z129" i="23" s="1"/>
  <c r="Y130" i="23" a="1"/>
  <c r="Y130" i="23" s="1"/>
  <c r="Z130" i="23" a="1"/>
  <c r="Z130" i="23" s="1"/>
  <c r="Y131" i="23" a="1"/>
  <c r="Y131" i="23" s="1"/>
  <c r="Z131" i="23" a="1"/>
  <c r="Z131" i="23" s="1"/>
  <c r="Y132" i="23" a="1"/>
  <c r="Y132" i="23" s="1"/>
  <c r="Z132" i="23" a="1"/>
  <c r="Z132" i="23" s="1"/>
  <c r="Y133" i="23" a="1"/>
  <c r="Y133" i="23" s="1"/>
  <c r="Z133" i="23" a="1"/>
  <c r="Z133" i="23" s="1"/>
  <c r="Y134" i="23" a="1"/>
  <c r="Y134" i="23" s="1"/>
  <c r="Z134" i="23" a="1"/>
  <c r="Z134" i="23" s="1"/>
  <c r="Y135" i="23" a="1"/>
  <c r="Y135" i="23" s="1"/>
  <c r="Z135" i="23" a="1"/>
  <c r="Z135" i="23" s="1"/>
  <c r="Y136" i="23" a="1"/>
  <c r="Y136" i="23" s="1"/>
  <c r="Z136" i="23" a="1"/>
  <c r="Z136" i="23" s="1"/>
  <c r="Z2" i="23" a="1"/>
  <c r="Z2" i="23" s="1"/>
  <c r="Y2" i="23" a="1"/>
  <c r="Y2" i="23" s="1"/>
  <c r="Y3" i="24" a="1"/>
  <c r="Y3" i="24" s="1"/>
  <c r="Z3" i="24" a="1"/>
  <c r="Z3" i="24" s="1"/>
  <c r="Y4" i="24" a="1"/>
  <c r="Y4" i="24" s="1"/>
  <c r="Z4" i="24" a="1"/>
  <c r="Z4" i="24" s="1"/>
  <c r="Y5" i="24" a="1"/>
  <c r="Y5" i="24" s="1"/>
  <c r="Z5" i="24" a="1"/>
  <c r="Z5" i="24" s="1"/>
  <c r="Y6" i="24" a="1"/>
  <c r="Y6" i="24" s="1"/>
  <c r="Z6" i="24" a="1"/>
  <c r="Z6" i="24" s="1"/>
  <c r="Y7" i="24" a="1"/>
  <c r="Y7" i="24" s="1"/>
  <c r="Z7" i="24" a="1"/>
  <c r="Z7" i="24" s="1"/>
  <c r="Y8" i="24" a="1"/>
  <c r="Y8" i="24" s="1"/>
  <c r="Z8" i="24" a="1"/>
  <c r="Z8" i="24" s="1"/>
  <c r="Y9" i="24" a="1"/>
  <c r="Y9" i="24" s="1"/>
  <c r="Z9" i="24" a="1"/>
  <c r="Z9" i="24" s="1"/>
  <c r="Y10" i="24" a="1"/>
  <c r="Y10" i="24" s="1"/>
  <c r="Z10" i="24" a="1"/>
  <c r="Z10" i="24" s="1"/>
  <c r="Y11" i="24" a="1"/>
  <c r="Y11" i="24" s="1"/>
  <c r="Z11" i="24" a="1"/>
  <c r="Z11" i="24" s="1"/>
  <c r="Y12" i="24" a="1"/>
  <c r="Y12" i="24" s="1"/>
  <c r="Z12" i="24" a="1"/>
  <c r="Z12" i="24" s="1"/>
  <c r="Y13" i="24" a="1"/>
  <c r="Y13" i="24" s="1"/>
  <c r="Z13" i="24" a="1"/>
  <c r="Z13" i="24" s="1"/>
  <c r="Y14" i="24" a="1"/>
  <c r="Y14" i="24" s="1"/>
  <c r="Z14" i="24" a="1"/>
  <c r="Z14" i="24" s="1"/>
  <c r="Y15" i="24" a="1"/>
  <c r="Y15" i="24" s="1"/>
  <c r="Z15" i="24" a="1"/>
  <c r="Z15" i="24" s="1"/>
  <c r="Y16" i="24" a="1"/>
  <c r="Y16" i="24" s="1"/>
  <c r="Z16" i="24" a="1"/>
  <c r="Z16" i="24" s="1"/>
  <c r="Y17" i="24" a="1"/>
  <c r="Y17" i="24" s="1"/>
  <c r="Z17" i="24" a="1"/>
  <c r="Z17" i="24" s="1"/>
  <c r="Y18" i="24" a="1"/>
  <c r="Y18" i="24" s="1"/>
  <c r="Z18" i="24" a="1"/>
  <c r="Z18" i="24" s="1"/>
  <c r="Y19" i="24" a="1"/>
  <c r="Y19" i="24" s="1"/>
  <c r="Z19" i="24" a="1"/>
  <c r="Z19" i="24" s="1"/>
  <c r="Y20" i="24" a="1"/>
  <c r="Y20" i="24" s="1"/>
  <c r="Z20" i="24" a="1"/>
  <c r="Z20" i="24" s="1"/>
  <c r="Y21" i="24" a="1"/>
  <c r="Y21" i="24" s="1"/>
  <c r="Z21" i="24" a="1"/>
  <c r="Z21" i="24" s="1"/>
  <c r="Y22" i="24" a="1"/>
  <c r="Y22" i="24" s="1"/>
  <c r="Z22" i="24" a="1"/>
  <c r="Z22" i="24" s="1"/>
  <c r="Y23" i="24" a="1"/>
  <c r="Y23" i="24" s="1"/>
  <c r="Z23" i="24" a="1"/>
  <c r="Z23" i="24" s="1"/>
  <c r="Y24" i="24" a="1"/>
  <c r="Y24" i="24" s="1"/>
  <c r="Z24" i="24" a="1"/>
  <c r="Z24" i="24" s="1"/>
  <c r="Y25" i="24" a="1"/>
  <c r="Y25" i="24" s="1"/>
  <c r="Z25" i="24" a="1"/>
  <c r="Z25" i="24" s="1"/>
  <c r="Y26" i="24" a="1"/>
  <c r="Y26" i="24" s="1"/>
  <c r="Z26" i="24" a="1"/>
  <c r="Z26" i="24" s="1"/>
  <c r="Y27" i="24" a="1"/>
  <c r="Y27" i="24" s="1"/>
  <c r="Z27" i="24" a="1"/>
  <c r="Z27" i="24" s="1"/>
  <c r="Y28" i="24" a="1"/>
  <c r="Y28" i="24" s="1"/>
  <c r="Z28" i="24" a="1"/>
  <c r="Z28" i="24" s="1"/>
  <c r="Y29" i="24" a="1"/>
  <c r="Y29" i="24" s="1"/>
  <c r="Z29" i="24" a="1"/>
  <c r="Z29" i="24" s="1"/>
  <c r="Y30" i="24" a="1"/>
  <c r="Y30" i="24" s="1"/>
  <c r="Z30" i="24" a="1"/>
  <c r="Z30" i="24" s="1"/>
  <c r="Y31" i="24" a="1"/>
  <c r="Y31" i="24" s="1"/>
  <c r="Z31" i="24" a="1"/>
  <c r="Z31" i="24" s="1"/>
  <c r="Y32" i="24" a="1"/>
  <c r="Y32" i="24" s="1"/>
  <c r="Z32" i="24" a="1"/>
  <c r="Z32" i="24" s="1"/>
  <c r="Y33" i="24" a="1"/>
  <c r="Y33" i="24" s="1"/>
  <c r="Z33" i="24" a="1"/>
  <c r="Z33" i="24" s="1"/>
  <c r="Y34" i="24" a="1"/>
  <c r="Y34" i="24" s="1"/>
  <c r="Z34" i="24" a="1"/>
  <c r="Z34" i="24" s="1"/>
  <c r="Y35" i="24" a="1"/>
  <c r="Y35" i="24" s="1"/>
  <c r="Z35" i="24" a="1"/>
  <c r="Z35" i="24" s="1"/>
  <c r="Y36" i="24" a="1"/>
  <c r="Y36" i="24" s="1"/>
  <c r="Z36" i="24" a="1"/>
  <c r="Z36" i="24" s="1"/>
  <c r="Y37" i="24" a="1"/>
  <c r="Y37" i="24" s="1"/>
  <c r="Z37" i="24" a="1"/>
  <c r="Z37" i="24" s="1"/>
  <c r="Y38" i="24" a="1"/>
  <c r="Y38" i="24" s="1"/>
  <c r="Z38" i="24" a="1"/>
  <c r="Z38" i="24" s="1"/>
  <c r="Y39" i="24" a="1"/>
  <c r="Y39" i="24" s="1"/>
  <c r="Z39" i="24" a="1"/>
  <c r="Z39" i="24" s="1"/>
  <c r="Y40" i="24" a="1"/>
  <c r="Y40" i="24" s="1"/>
  <c r="Z40" i="24" a="1"/>
  <c r="Z40" i="24" s="1"/>
  <c r="Y41" i="24" a="1"/>
  <c r="Y41" i="24" s="1"/>
  <c r="Z41" i="24" a="1"/>
  <c r="Z41" i="24" s="1"/>
  <c r="Y42" i="24" a="1"/>
  <c r="Y42" i="24" s="1"/>
  <c r="Z42" i="24" a="1"/>
  <c r="Z42" i="24" s="1"/>
  <c r="Y43" i="24" a="1"/>
  <c r="Y43" i="24" s="1"/>
  <c r="Z43" i="24" a="1"/>
  <c r="Z43" i="24" s="1"/>
  <c r="Y44" i="24" a="1"/>
  <c r="Y44" i="24" s="1"/>
  <c r="Z44" i="24" a="1"/>
  <c r="Z44" i="24" s="1"/>
  <c r="Y45" i="24" a="1"/>
  <c r="Y45" i="24" s="1"/>
  <c r="Z45" i="24" a="1"/>
  <c r="Z45" i="24" s="1"/>
  <c r="Y46" i="24" a="1"/>
  <c r="Y46" i="24" s="1"/>
  <c r="Z46" i="24" a="1"/>
  <c r="Z46" i="24" s="1"/>
  <c r="Y47" i="24" a="1"/>
  <c r="Y47" i="24" s="1"/>
  <c r="Z47" i="24" a="1"/>
  <c r="Z47" i="24" s="1"/>
  <c r="Y48" i="24" a="1"/>
  <c r="Y48" i="24" s="1"/>
  <c r="Z48" i="24" a="1"/>
  <c r="Z48" i="24" s="1"/>
  <c r="Y49" i="24" a="1"/>
  <c r="Y49" i="24" s="1"/>
  <c r="Z49" i="24" a="1"/>
  <c r="Z49" i="24" s="1"/>
  <c r="Y50" i="24" a="1"/>
  <c r="Y50" i="24" s="1"/>
  <c r="Z50" i="24" a="1"/>
  <c r="Z50" i="24" s="1"/>
  <c r="Y51" i="24" a="1"/>
  <c r="Y51" i="24" s="1"/>
  <c r="Z51" i="24" a="1"/>
  <c r="Z51" i="24" s="1"/>
  <c r="Y52" i="24" a="1"/>
  <c r="Y52" i="24" s="1"/>
  <c r="Z52" i="24" a="1"/>
  <c r="Z52" i="24" s="1"/>
  <c r="Y53" i="24" a="1"/>
  <c r="Y53" i="24" s="1"/>
  <c r="Z53" i="24" a="1"/>
  <c r="Z53" i="24" s="1"/>
  <c r="Y54" i="24" a="1"/>
  <c r="Y54" i="24" s="1"/>
  <c r="Z54" i="24" a="1"/>
  <c r="Z54" i="24" s="1"/>
  <c r="Y55" i="24" a="1"/>
  <c r="Y55" i="24" s="1"/>
  <c r="Z55" i="24" a="1"/>
  <c r="Z55" i="24" s="1"/>
  <c r="Y56" i="24" a="1"/>
  <c r="Y56" i="24" s="1"/>
  <c r="Z56" i="24" a="1"/>
  <c r="Z56" i="24" s="1"/>
  <c r="Y57" i="24" a="1"/>
  <c r="Y57" i="24" s="1"/>
  <c r="Z57" i="24" a="1"/>
  <c r="Z57" i="24" s="1"/>
  <c r="Y58" i="24" a="1"/>
  <c r="Y58" i="24" s="1"/>
  <c r="Z58" i="24" a="1"/>
  <c r="Z58" i="24" s="1"/>
  <c r="Y59" i="24" a="1"/>
  <c r="Y59" i="24" s="1"/>
  <c r="Z59" i="24" a="1"/>
  <c r="Z59" i="24" s="1"/>
  <c r="Y60" i="24" a="1"/>
  <c r="Y60" i="24" s="1"/>
  <c r="Z60" i="24" a="1"/>
  <c r="Z60" i="24" s="1"/>
  <c r="Y61" i="24" a="1"/>
  <c r="Y61" i="24" s="1"/>
  <c r="Z61" i="24" a="1"/>
  <c r="Z61" i="24" s="1"/>
  <c r="Y62" i="24" a="1"/>
  <c r="Y62" i="24" s="1"/>
  <c r="Z62" i="24" a="1"/>
  <c r="Z62" i="24" s="1"/>
  <c r="Y63" i="24" a="1"/>
  <c r="Y63" i="24" s="1"/>
  <c r="Z63" i="24" a="1"/>
  <c r="Z63" i="24" s="1"/>
  <c r="Y64" i="24" a="1"/>
  <c r="Y64" i="24" s="1"/>
  <c r="Z64" i="24" a="1"/>
  <c r="Z64" i="24" s="1"/>
  <c r="Y65" i="24" a="1"/>
  <c r="Y65" i="24" s="1"/>
  <c r="Z65" i="24" a="1"/>
  <c r="Z65" i="24" s="1"/>
  <c r="Y66" i="24" a="1"/>
  <c r="Y66" i="24" s="1"/>
  <c r="Z66" i="24" a="1"/>
  <c r="Z66" i="24" s="1"/>
  <c r="Y67" i="24" a="1"/>
  <c r="Y67" i="24" s="1"/>
  <c r="Z67" i="24" a="1"/>
  <c r="Z67" i="24" s="1"/>
  <c r="Y68" i="24" a="1"/>
  <c r="Y68" i="24" s="1"/>
  <c r="Z68" i="24" a="1"/>
  <c r="Z68" i="24" s="1"/>
  <c r="Y69" i="24" a="1"/>
  <c r="Y69" i="24" s="1"/>
  <c r="Z69" i="24" a="1"/>
  <c r="Z69" i="24" s="1"/>
  <c r="Y70" i="24" a="1"/>
  <c r="Y70" i="24" s="1"/>
  <c r="Z70" i="24" a="1"/>
  <c r="Z70" i="24" s="1"/>
  <c r="Y71" i="24" a="1"/>
  <c r="Y71" i="24" s="1"/>
  <c r="Z71" i="24" a="1"/>
  <c r="Z71" i="24" s="1"/>
  <c r="Y72" i="24" a="1"/>
  <c r="Y72" i="24" s="1"/>
  <c r="Z72" i="24" a="1"/>
  <c r="Z72" i="24" s="1"/>
  <c r="Y73" i="24" a="1"/>
  <c r="Y73" i="24" s="1"/>
  <c r="Z73" i="24" a="1"/>
  <c r="Z73" i="24" s="1"/>
  <c r="Y74" i="24" a="1"/>
  <c r="Y74" i="24" s="1"/>
  <c r="Z74" i="24" a="1"/>
  <c r="Z74" i="24" s="1"/>
  <c r="Y75" i="24" a="1"/>
  <c r="Y75" i="24" s="1"/>
  <c r="Z75" i="24" a="1"/>
  <c r="Z75" i="24" s="1"/>
  <c r="Y76" i="24" a="1"/>
  <c r="Y76" i="24" s="1"/>
  <c r="Z76" i="24" a="1"/>
  <c r="Z76" i="24" s="1"/>
  <c r="Y77" i="24" a="1"/>
  <c r="Y77" i="24" s="1"/>
  <c r="Z77" i="24" a="1"/>
  <c r="Z77" i="24" s="1"/>
  <c r="Y78" i="24" a="1"/>
  <c r="Y78" i="24" s="1"/>
  <c r="Z78" i="24" a="1"/>
  <c r="Z78" i="24" s="1"/>
  <c r="Y79" i="24" a="1"/>
  <c r="Y79" i="24" s="1"/>
  <c r="Z79" i="24" a="1"/>
  <c r="Z79" i="24" s="1"/>
  <c r="Y80" i="24" a="1"/>
  <c r="Y80" i="24" s="1"/>
  <c r="Z80" i="24" a="1"/>
  <c r="Z80" i="24" s="1"/>
  <c r="Y81" i="24" a="1"/>
  <c r="Y81" i="24" s="1"/>
  <c r="Z81" i="24" a="1"/>
  <c r="Z81" i="24" s="1"/>
  <c r="Y82" i="24" a="1"/>
  <c r="Y82" i="24" s="1"/>
  <c r="Z82" i="24" a="1"/>
  <c r="Z82" i="24" s="1"/>
  <c r="Y83" i="24" a="1"/>
  <c r="Y83" i="24" s="1"/>
  <c r="Z83" i="24" a="1"/>
  <c r="Z83" i="24" s="1"/>
  <c r="Y84" i="24" a="1"/>
  <c r="Y84" i="24" s="1"/>
  <c r="Z84" i="24" a="1"/>
  <c r="Z84" i="24" s="1"/>
  <c r="Y85" i="24" a="1"/>
  <c r="Y85" i="24" s="1"/>
  <c r="Z85" i="24" a="1"/>
  <c r="Z85" i="24" s="1"/>
  <c r="Y86" i="24" a="1"/>
  <c r="Y86" i="24" s="1"/>
  <c r="Z86" i="24" a="1"/>
  <c r="Z86" i="24" s="1"/>
  <c r="Y87" i="24" a="1"/>
  <c r="Y87" i="24" s="1"/>
  <c r="Z87" i="24" a="1"/>
  <c r="Z87" i="24" s="1"/>
  <c r="Y88" i="24" a="1"/>
  <c r="Y88" i="24" s="1"/>
  <c r="Z88" i="24" a="1"/>
  <c r="Z88" i="24" s="1"/>
  <c r="Y89" i="24" a="1"/>
  <c r="Y89" i="24" s="1"/>
  <c r="Z89" i="24" a="1"/>
  <c r="Z89" i="24" s="1"/>
  <c r="Y90" i="24" a="1"/>
  <c r="Y90" i="24" s="1"/>
  <c r="Z90" i="24" a="1"/>
  <c r="Z90" i="24" s="1"/>
  <c r="Y91" i="24" a="1"/>
  <c r="Y91" i="24" s="1"/>
  <c r="Z91" i="24" a="1"/>
  <c r="Z91" i="24" s="1"/>
  <c r="Y92" i="24" a="1"/>
  <c r="Y92" i="24" s="1"/>
  <c r="Z92" i="24" a="1"/>
  <c r="Z92" i="24" s="1"/>
  <c r="Y93" i="24" a="1"/>
  <c r="Y93" i="24" s="1"/>
  <c r="Z93" i="24" a="1"/>
  <c r="Z93" i="24" s="1"/>
  <c r="Y94" i="24" a="1"/>
  <c r="Y94" i="24" s="1"/>
  <c r="Z94" i="24" a="1"/>
  <c r="Z94" i="24" s="1"/>
  <c r="Y95" i="24" a="1"/>
  <c r="Y95" i="24" s="1"/>
  <c r="Z95" i="24" a="1"/>
  <c r="Z95" i="24" s="1"/>
  <c r="Y96" i="24" a="1"/>
  <c r="Y96" i="24" s="1"/>
  <c r="Z96" i="24" a="1"/>
  <c r="Z96" i="24" s="1"/>
  <c r="Y97" i="24" a="1"/>
  <c r="Y97" i="24" s="1"/>
  <c r="Z97" i="24" a="1"/>
  <c r="Z97" i="24" s="1"/>
  <c r="Y98" i="24" a="1"/>
  <c r="Y98" i="24" s="1"/>
  <c r="Z98" i="24" a="1"/>
  <c r="Z98" i="24" s="1"/>
  <c r="Y99" i="24" a="1"/>
  <c r="Y99" i="24" s="1"/>
  <c r="Z99" i="24" a="1"/>
  <c r="Z99" i="24" s="1"/>
  <c r="Y100" i="24" a="1"/>
  <c r="Y100" i="24" s="1"/>
  <c r="Z100" i="24" a="1"/>
  <c r="Z100" i="24" s="1"/>
  <c r="Y101" i="24" a="1"/>
  <c r="Y101" i="24" s="1"/>
  <c r="Z101" i="24" a="1"/>
  <c r="Z101" i="24" s="1"/>
  <c r="Y102" i="24" a="1"/>
  <c r="Y102" i="24" s="1"/>
  <c r="Z102" i="24" a="1"/>
  <c r="Z102" i="24" s="1"/>
  <c r="Y103" i="24" a="1"/>
  <c r="Y103" i="24" s="1"/>
  <c r="Z103" i="24" a="1"/>
  <c r="Z103" i="24" s="1"/>
  <c r="Y104" i="24" a="1"/>
  <c r="Y104" i="24" s="1"/>
  <c r="Z104" i="24" a="1"/>
  <c r="Z104" i="24" s="1"/>
  <c r="Y105" i="24" a="1"/>
  <c r="Y105" i="24" s="1"/>
  <c r="Z105" i="24" a="1"/>
  <c r="Z105" i="24" s="1"/>
  <c r="Y106" i="24" a="1"/>
  <c r="Y106" i="24" s="1"/>
  <c r="Z106" i="24" a="1"/>
  <c r="Z106" i="24" s="1"/>
  <c r="Y107" i="24" a="1"/>
  <c r="Y107" i="24" s="1"/>
  <c r="Z107" i="24" a="1"/>
  <c r="Z107" i="24" s="1"/>
  <c r="Y108" i="24" a="1"/>
  <c r="Y108" i="24" s="1"/>
  <c r="Z108" i="24" a="1"/>
  <c r="Z108" i="24" s="1"/>
  <c r="Y109" i="24" a="1"/>
  <c r="Y109" i="24" s="1"/>
  <c r="Z109" i="24" a="1"/>
  <c r="Z109" i="24" s="1"/>
  <c r="Y110" i="24" a="1"/>
  <c r="Y110" i="24" s="1"/>
  <c r="Z110" i="24" a="1"/>
  <c r="Z110" i="24" s="1"/>
  <c r="Y111" i="24" a="1"/>
  <c r="Y111" i="24" s="1"/>
  <c r="Z111" i="24" a="1"/>
  <c r="Z111" i="24" s="1"/>
  <c r="Y112" i="24" a="1"/>
  <c r="Y112" i="24" s="1"/>
  <c r="Z112" i="24" a="1"/>
  <c r="Z112" i="24" s="1"/>
  <c r="Y113" i="24" a="1"/>
  <c r="Y113" i="24" s="1"/>
  <c r="Z113" i="24" a="1"/>
  <c r="Z113" i="24" s="1"/>
  <c r="Y114" i="24" a="1"/>
  <c r="Y114" i="24" s="1"/>
  <c r="Z114" i="24" a="1"/>
  <c r="Z114" i="24" s="1"/>
  <c r="Y115" i="24" a="1"/>
  <c r="Y115" i="24" s="1"/>
  <c r="Z115" i="24" a="1"/>
  <c r="Z115" i="24" s="1"/>
  <c r="Y116" i="24" a="1"/>
  <c r="Y116" i="24" s="1"/>
  <c r="Z116" i="24" a="1"/>
  <c r="Z116" i="24" s="1"/>
  <c r="Y117" i="24" a="1"/>
  <c r="Y117" i="24" s="1"/>
  <c r="Z117" i="24" a="1"/>
  <c r="Z117" i="24" s="1"/>
  <c r="Y118" i="24" a="1"/>
  <c r="Y118" i="24" s="1"/>
  <c r="Z118" i="24" a="1"/>
  <c r="Z118" i="24" s="1"/>
  <c r="Y119" i="24" a="1"/>
  <c r="Y119" i="24" s="1"/>
  <c r="Z119" i="24" a="1"/>
  <c r="Z119" i="24" s="1"/>
  <c r="Y120" i="24" a="1"/>
  <c r="Y120" i="24" s="1"/>
  <c r="Z120" i="24" a="1"/>
  <c r="Z120" i="24" s="1"/>
  <c r="Y121" i="24" a="1"/>
  <c r="Y121" i="24" s="1"/>
  <c r="Z121" i="24" a="1"/>
  <c r="Z121" i="24" s="1"/>
  <c r="Y122" i="24" a="1"/>
  <c r="Y122" i="24" s="1"/>
  <c r="Z122" i="24" a="1"/>
  <c r="Z122" i="24" s="1"/>
  <c r="Y123" i="24" a="1"/>
  <c r="Y123" i="24" s="1"/>
  <c r="Z123" i="24" a="1"/>
  <c r="Z123" i="24" s="1"/>
  <c r="Y124" i="24" a="1"/>
  <c r="Y124" i="24" s="1"/>
  <c r="Z124" i="24" a="1"/>
  <c r="Z124" i="24" s="1"/>
  <c r="Y125" i="24" a="1"/>
  <c r="Y125" i="24" s="1"/>
  <c r="Z125" i="24" a="1"/>
  <c r="Z125" i="24" s="1"/>
  <c r="Y126" i="24" a="1"/>
  <c r="Y126" i="24" s="1"/>
  <c r="Z126" i="24" a="1"/>
  <c r="Z126" i="24" s="1"/>
  <c r="Y127" i="24" a="1"/>
  <c r="Y127" i="24" s="1"/>
  <c r="Z127" i="24" a="1"/>
  <c r="Z127" i="24" s="1"/>
  <c r="Y128" i="24" a="1"/>
  <c r="Y128" i="24" s="1"/>
  <c r="Z128" i="24" a="1"/>
  <c r="Z128" i="24" s="1"/>
  <c r="Y129" i="24" a="1"/>
  <c r="Y129" i="24" s="1"/>
  <c r="Z129" i="24" a="1"/>
  <c r="Z129" i="24" s="1"/>
  <c r="Y130" i="24" a="1"/>
  <c r="Y130" i="24" s="1"/>
  <c r="Z130" i="24" a="1"/>
  <c r="Z130" i="24" s="1"/>
  <c r="Y131" i="24" a="1"/>
  <c r="Y131" i="24" s="1"/>
  <c r="Z131" i="24" a="1"/>
  <c r="Z131" i="24" s="1"/>
  <c r="Y132" i="24" a="1"/>
  <c r="Y132" i="24" s="1"/>
  <c r="Z132" i="24" a="1"/>
  <c r="Z132" i="24" s="1"/>
  <c r="Y133" i="24" a="1"/>
  <c r="Y133" i="24" s="1"/>
  <c r="Z133" i="24" a="1"/>
  <c r="Z133" i="24" s="1"/>
  <c r="Y134" i="24" a="1"/>
  <c r="Y134" i="24" s="1"/>
  <c r="Z134" i="24" a="1"/>
  <c r="Z134" i="24" s="1"/>
  <c r="Y135" i="24" a="1"/>
  <c r="Y135" i="24" s="1"/>
  <c r="Z135" i="24" a="1"/>
  <c r="Z135" i="24" s="1"/>
  <c r="Y136" i="24" a="1"/>
  <c r="Y136" i="24" s="1"/>
  <c r="Z136" i="24" a="1"/>
  <c r="Z136" i="24" s="1"/>
  <c r="Y137" i="24" a="1"/>
  <c r="Y137" i="24" s="1"/>
  <c r="Z137" i="24" a="1"/>
  <c r="Z137" i="24" s="1"/>
  <c r="Y138" i="24" a="1"/>
  <c r="Y138" i="24" s="1"/>
  <c r="Z138" i="24" a="1"/>
  <c r="Z138" i="24" s="1"/>
  <c r="Y139" i="24" a="1"/>
  <c r="Y139" i="24" s="1"/>
  <c r="Z139" i="24" a="1"/>
  <c r="Z139" i="24" s="1"/>
  <c r="Y140" i="24" a="1"/>
  <c r="Y140" i="24" s="1"/>
  <c r="Z140" i="24" a="1"/>
  <c r="Z140" i="24" s="1"/>
  <c r="Y141" i="24" a="1"/>
  <c r="Y141" i="24" s="1"/>
  <c r="Z141" i="24" a="1"/>
  <c r="Z141" i="24" s="1"/>
  <c r="Y142" i="24" a="1"/>
  <c r="Y142" i="24" s="1"/>
  <c r="Z142" i="24" a="1"/>
  <c r="Z142" i="24" s="1"/>
  <c r="Y143" i="24" a="1"/>
  <c r="Y143" i="24" s="1"/>
  <c r="Z143" i="24" a="1"/>
  <c r="Z143" i="24" s="1"/>
  <c r="Y144" i="24" a="1"/>
  <c r="Y144" i="24" s="1"/>
  <c r="Z144" i="24" a="1"/>
  <c r="Z144" i="24" s="1"/>
  <c r="Y145" i="24" a="1"/>
  <c r="Y145" i="24" s="1"/>
  <c r="Z145" i="24" a="1"/>
  <c r="Z145" i="24" s="1"/>
  <c r="Y146" i="24" a="1"/>
  <c r="Y146" i="24" s="1"/>
  <c r="Z146" i="24" a="1"/>
  <c r="Z146" i="24" s="1"/>
  <c r="Y147" i="24" a="1"/>
  <c r="Y147" i="24" s="1"/>
  <c r="Z147" i="24" a="1"/>
  <c r="Z147" i="24" s="1"/>
  <c r="Y148" i="24" a="1"/>
  <c r="Y148" i="24" s="1"/>
  <c r="Z148" i="24" a="1"/>
  <c r="Z148" i="24" s="1"/>
  <c r="Y149" i="24" a="1"/>
  <c r="Y149" i="24" s="1"/>
  <c r="Z149" i="24" a="1"/>
  <c r="Z149" i="24" s="1"/>
  <c r="Y150" i="24" a="1"/>
  <c r="Y150" i="24" s="1"/>
  <c r="Z150" i="24" a="1"/>
  <c r="Z150" i="24" s="1"/>
  <c r="Y151" i="24" a="1"/>
  <c r="Y151" i="24" s="1"/>
  <c r="Z151" i="24" a="1"/>
  <c r="Z151" i="24" s="1"/>
  <c r="Y152" i="24" a="1"/>
  <c r="Y152" i="24" s="1"/>
  <c r="Z152" i="24" a="1"/>
  <c r="Z152" i="24" s="1"/>
  <c r="Y153" i="24" a="1"/>
  <c r="Y153" i="24" s="1"/>
  <c r="Z153" i="24" a="1"/>
  <c r="Z153" i="24" s="1"/>
  <c r="Y154" i="24" a="1"/>
  <c r="Y154" i="24" s="1"/>
  <c r="Z154" i="24" a="1"/>
  <c r="Z154" i="24" s="1"/>
  <c r="Y155" i="24" a="1"/>
  <c r="Y155" i="24" s="1"/>
  <c r="Z155" i="24" a="1"/>
  <c r="Z155" i="24" s="1"/>
  <c r="Y156" i="24" a="1"/>
  <c r="Y156" i="24" s="1"/>
  <c r="Z156" i="24" a="1"/>
  <c r="Z156" i="24" s="1"/>
  <c r="Y157" i="24" a="1"/>
  <c r="Y157" i="24" s="1"/>
  <c r="Z157" i="24" a="1"/>
  <c r="Z157" i="24" s="1"/>
  <c r="Y158" i="24" a="1"/>
  <c r="Y158" i="24" s="1"/>
  <c r="Z158" i="24" a="1"/>
  <c r="Z158" i="24" s="1"/>
  <c r="Y159" i="24" a="1"/>
  <c r="Y159" i="24" s="1"/>
  <c r="Z159" i="24" a="1"/>
  <c r="Z159" i="24" s="1"/>
  <c r="Y160" i="24" a="1"/>
  <c r="Y160" i="24" s="1"/>
  <c r="Z160" i="24" a="1"/>
  <c r="Z160" i="24" s="1"/>
  <c r="Y161" i="24" a="1"/>
  <c r="Y161" i="24" s="1"/>
  <c r="Z161" i="24" a="1"/>
  <c r="Z161" i="24" s="1"/>
  <c r="Y162" i="24" a="1"/>
  <c r="Y162" i="24" s="1"/>
  <c r="Z162" i="24" a="1"/>
  <c r="Z162" i="24" s="1"/>
  <c r="Y163" i="24" a="1"/>
  <c r="Y163" i="24" s="1"/>
  <c r="Z163" i="24" a="1"/>
  <c r="Z163" i="24" s="1"/>
  <c r="Y164" i="24" a="1"/>
  <c r="Y164" i="24" s="1"/>
  <c r="Z164" i="24" a="1"/>
  <c r="Z164" i="24" s="1"/>
  <c r="Y165" i="24" a="1"/>
  <c r="Y165" i="24" s="1"/>
  <c r="Z165" i="24" a="1"/>
  <c r="Z165" i="24" s="1"/>
  <c r="Y166" i="24" a="1"/>
  <c r="Y166" i="24" s="1"/>
  <c r="Z166" i="24" a="1"/>
  <c r="Z166" i="24" s="1"/>
  <c r="Y167" i="24" a="1"/>
  <c r="Y167" i="24" s="1"/>
  <c r="Z167" i="24" a="1"/>
  <c r="Z167" i="24" s="1"/>
  <c r="Y168" i="24" a="1"/>
  <c r="Y168" i="24" s="1"/>
  <c r="Z168" i="24" a="1"/>
  <c r="Z168" i="24" s="1"/>
  <c r="Y169" i="24" a="1"/>
  <c r="Y169" i="24" s="1"/>
  <c r="Z169" i="24" a="1"/>
  <c r="Z169" i="24" s="1"/>
  <c r="Y170" i="24" a="1"/>
  <c r="Y170" i="24" s="1"/>
  <c r="Z170" i="24" a="1"/>
  <c r="Z170" i="24" s="1"/>
  <c r="Y171" i="24" a="1"/>
  <c r="Y171" i="24" s="1"/>
  <c r="Z171" i="24" a="1"/>
  <c r="Z171" i="24" s="1"/>
  <c r="Y172" i="24" a="1"/>
  <c r="Y172" i="24" s="1"/>
  <c r="Z172" i="24" a="1"/>
  <c r="Z172" i="24" s="1"/>
  <c r="Y173" i="24" a="1"/>
  <c r="Y173" i="24" s="1"/>
  <c r="Z173" i="24" a="1"/>
  <c r="Z173" i="24" s="1"/>
  <c r="Y174" i="24" a="1"/>
  <c r="Y174" i="24" s="1"/>
  <c r="Z174" i="24" a="1"/>
  <c r="Z174" i="24" s="1"/>
  <c r="Y175" i="24" a="1"/>
  <c r="Y175" i="24" s="1"/>
  <c r="Z175" i="24" a="1"/>
  <c r="Z175" i="24" s="1"/>
  <c r="Y176" i="24" a="1"/>
  <c r="Y176" i="24" s="1"/>
  <c r="Z176" i="24" a="1"/>
  <c r="Z176" i="24" s="1"/>
  <c r="Y177" i="24" a="1"/>
  <c r="Y177" i="24" s="1"/>
  <c r="Z177" i="24" a="1"/>
  <c r="Z177" i="24" s="1"/>
  <c r="Y178" i="24" a="1"/>
  <c r="Y178" i="24" s="1"/>
  <c r="Z178" i="24" a="1"/>
  <c r="Z178" i="24" s="1"/>
  <c r="Y179" i="24" a="1"/>
  <c r="Y179" i="24" s="1"/>
  <c r="Z179" i="24" a="1"/>
  <c r="Z179" i="24" s="1"/>
  <c r="Y180" i="24" a="1"/>
  <c r="Y180" i="24" s="1"/>
  <c r="Z180" i="24" a="1"/>
  <c r="Z180" i="24" s="1"/>
  <c r="Y181" i="24" a="1"/>
  <c r="Y181" i="24" s="1"/>
  <c r="Z181" i="24" a="1"/>
  <c r="Z181" i="24" s="1"/>
  <c r="Y182" i="24" a="1"/>
  <c r="Y182" i="24" s="1"/>
  <c r="Z182" i="24" a="1"/>
  <c r="Z182" i="24" s="1"/>
  <c r="Y183" i="24" a="1"/>
  <c r="Y183" i="24" s="1"/>
  <c r="Z183" i="24" a="1"/>
  <c r="Z183" i="24" s="1"/>
  <c r="Y184" i="24" a="1"/>
  <c r="Y184" i="24" s="1"/>
  <c r="Z184" i="24" a="1"/>
  <c r="Z184" i="24" s="1"/>
  <c r="Y185" i="24" a="1"/>
  <c r="Y185" i="24" s="1"/>
  <c r="Z185" i="24" a="1"/>
  <c r="Z185" i="24" s="1"/>
  <c r="Y186" i="24" a="1"/>
  <c r="Y186" i="24" s="1"/>
  <c r="Z186" i="24" a="1"/>
  <c r="Z186" i="24" s="1"/>
  <c r="Y187" i="24" a="1"/>
  <c r="Y187" i="24" s="1"/>
  <c r="Z187" i="24" a="1"/>
  <c r="Z187" i="24" s="1"/>
  <c r="Y188" i="24" a="1"/>
  <c r="Y188" i="24" s="1"/>
  <c r="Z188" i="24" a="1"/>
  <c r="Z188" i="24" s="1"/>
  <c r="Y189" i="24" a="1"/>
  <c r="Y189" i="24" s="1"/>
  <c r="Z189" i="24" a="1"/>
  <c r="Z189" i="24" s="1"/>
  <c r="Y190" i="24" a="1"/>
  <c r="Y190" i="24" s="1"/>
  <c r="Z190" i="24" a="1"/>
  <c r="Z190" i="24" s="1"/>
  <c r="Y191" i="24" a="1"/>
  <c r="Y191" i="24" s="1"/>
  <c r="Z191" i="24" a="1"/>
  <c r="Z191" i="24" s="1"/>
  <c r="Y192" i="24" a="1"/>
  <c r="Y192" i="24" s="1"/>
  <c r="Z192" i="24" a="1"/>
  <c r="Z192" i="24" s="1"/>
  <c r="Y193" i="24" a="1"/>
  <c r="Y193" i="24" s="1"/>
  <c r="Z193" i="24" a="1"/>
  <c r="Z193" i="24" s="1"/>
  <c r="Y194" i="24" a="1"/>
  <c r="Y194" i="24" s="1"/>
  <c r="Z194" i="24" a="1"/>
  <c r="Z194" i="24" s="1"/>
  <c r="Y195" i="24" a="1"/>
  <c r="Y195" i="24" s="1"/>
  <c r="Z195" i="24" a="1"/>
  <c r="Z195" i="24" s="1"/>
  <c r="Y196" i="24" a="1"/>
  <c r="Y196" i="24" s="1"/>
  <c r="Z196" i="24" a="1"/>
  <c r="Z196" i="24" s="1"/>
  <c r="Y197" i="24" a="1"/>
  <c r="Y197" i="24" s="1"/>
  <c r="Z197" i="24" a="1"/>
  <c r="Z197" i="24" s="1"/>
  <c r="Y198" i="24" a="1"/>
  <c r="Y198" i="24" s="1"/>
  <c r="Z198" i="24" a="1"/>
  <c r="Z198" i="24" s="1"/>
  <c r="Y199" i="24" a="1"/>
  <c r="Y199" i="24" s="1"/>
  <c r="Z199" i="24" a="1"/>
  <c r="Z199" i="24" s="1"/>
  <c r="Y200" i="24" a="1"/>
  <c r="Y200" i="24" s="1"/>
  <c r="Z200" i="24" a="1"/>
  <c r="Z200" i="24" s="1"/>
  <c r="Y201" i="24" a="1"/>
  <c r="Y201" i="24" s="1"/>
  <c r="Z201" i="24" a="1"/>
  <c r="Z201" i="24" s="1"/>
  <c r="Y202" i="24" a="1"/>
  <c r="Y202" i="24" s="1"/>
  <c r="Z202" i="24" a="1"/>
  <c r="Z202" i="24" s="1"/>
  <c r="Y203" i="24" a="1"/>
  <c r="Y203" i="24" s="1"/>
  <c r="Z203" i="24" a="1"/>
  <c r="Z203" i="24" s="1"/>
  <c r="Y204" i="24" a="1"/>
  <c r="Y204" i="24" s="1"/>
  <c r="Z204" i="24" a="1"/>
  <c r="Z204" i="24" s="1"/>
  <c r="Y205" i="24" a="1"/>
  <c r="Y205" i="24" s="1"/>
  <c r="Z205" i="24" a="1"/>
  <c r="Z205" i="24" s="1"/>
  <c r="Y206" i="24" a="1"/>
  <c r="Y206" i="24" s="1"/>
  <c r="Z206" i="24" a="1"/>
  <c r="Z206" i="24" s="1"/>
  <c r="Y207" i="24" a="1"/>
  <c r="Y207" i="24" s="1"/>
  <c r="Z207" i="24" a="1"/>
  <c r="Z207" i="24" s="1"/>
  <c r="Y208" i="24" a="1"/>
  <c r="Y208" i="24" s="1"/>
  <c r="Z208" i="24" a="1"/>
  <c r="Z208" i="24" s="1"/>
  <c r="Y209" i="24" a="1"/>
  <c r="Y209" i="24" s="1"/>
  <c r="Z209" i="24" a="1"/>
  <c r="Z209" i="24" s="1"/>
  <c r="Y210" i="24" a="1"/>
  <c r="Y210" i="24" s="1"/>
  <c r="Z210" i="24" a="1"/>
  <c r="Z210" i="24" s="1"/>
  <c r="Y211" i="24" a="1"/>
  <c r="Y211" i="24" s="1"/>
  <c r="Z211" i="24" a="1"/>
  <c r="Z211" i="24" s="1"/>
  <c r="Y212" i="24" a="1"/>
  <c r="Y212" i="24" s="1"/>
  <c r="Z212" i="24" a="1"/>
  <c r="Z212" i="24" s="1"/>
  <c r="Y213" i="24" a="1"/>
  <c r="Y213" i="24" s="1"/>
  <c r="Z213" i="24" a="1"/>
  <c r="Z213" i="24" s="1"/>
  <c r="Y214" i="24" a="1"/>
  <c r="Y214" i="24" s="1"/>
  <c r="Z214" i="24" a="1"/>
  <c r="Z214" i="24" s="1"/>
  <c r="Y215" i="24" a="1"/>
  <c r="Y215" i="24" s="1"/>
  <c r="Z215" i="24" a="1"/>
  <c r="Z215" i="24" s="1"/>
  <c r="Y216" i="24" a="1"/>
  <c r="Y216" i="24" s="1"/>
  <c r="Z216" i="24" a="1"/>
  <c r="Z216" i="24" s="1"/>
  <c r="Y217" i="24" a="1"/>
  <c r="Y217" i="24" s="1"/>
  <c r="Z217" i="24" a="1"/>
  <c r="Z217" i="24" s="1"/>
  <c r="Y218" i="24" a="1"/>
  <c r="Y218" i="24" s="1"/>
  <c r="Z218" i="24" a="1"/>
  <c r="Z218" i="24" s="1"/>
  <c r="Y219" i="24" a="1"/>
  <c r="Y219" i="24" s="1"/>
  <c r="Z219" i="24" a="1"/>
  <c r="Z219" i="24" s="1"/>
  <c r="Y220" i="24" a="1"/>
  <c r="Y220" i="24" s="1"/>
  <c r="Z220" i="24" a="1"/>
  <c r="Z220" i="24" s="1"/>
  <c r="Y221" i="24" a="1"/>
  <c r="Y221" i="24" s="1"/>
  <c r="Z221" i="24" a="1"/>
  <c r="Z221" i="24" s="1"/>
  <c r="Y222" i="24" a="1"/>
  <c r="Y222" i="24" s="1"/>
  <c r="Z222" i="24" a="1"/>
  <c r="Z222" i="24" s="1"/>
  <c r="Y223" i="24" a="1"/>
  <c r="Y223" i="24" s="1"/>
  <c r="Z223" i="24" a="1"/>
  <c r="Z223" i="24" s="1"/>
  <c r="Y224" i="24" a="1"/>
  <c r="Y224" i="24" s="1"/>
  <c r="Z224" i="24" a="1"/>
  <c r="Z224" i="24" s="1"/>
  <c r="Y225" i="24" a="1"/>
  <c r="Y225" i="24" s="1"/>
  <c r="Z225" i="24" a="1"/>
  <c r="Z225" i="24" s="1"/>
  <c r="Y226" i="24" a="1"/>
  <c r="Y226" i="24" s="1"/>
  <c r="Z226" i="24" a="1"/>
  <c r="Z226" i="24" s="1"/>
  <c r="Y227" i="24" a="1"/>
  <c r="Y227" i="24" s="1"/>
  <c r="Z227" i="24" a="1"/>
  <c r="Z227" i="24" s="1"/>
  <c r="Y228" i="24" a="1"/>
  <c r="Y228" i="24" s="1"/>
  <c r="Z228" i="24" a="1"/>
  <c r="Z228" i="24" s="1"/>
  <c r="Y229" i="24" a="1"/>
  <c r="Y229" i="24" s="1"/>
  <c r="Z229" i="24" a="1"/>
  <c r="Z229" i="24" s="1"/>
  <c r="Y230" i="24" a="1"/>
  <c r="Y230" i="24" s="1"/>
  <c r="Z230" i="24" a="1"/>
  <c r="Z230" i="24" s="1"/>
  <c r="Y231" i="24" a="1"/>
  <c r="Y231" i="24" s="1"/>
  <c r="Z231" i="24" a="1"/>
  <c r="Z231" i="24" s="1"/>
  <c r="Y232" i="24" a="1"/>
  <c r="Y232" i="24" s="1"/>
  <c r="Z232" i="24" a="1"/>
  <c r="Z232" i="24" s="1"/>
  <c r="Y233" i="24" a="1"/>
  <c r="Y233" i="24" s="1"/>
  <c r="Z233" i="24" a="1"/>
  <c r="Z233" i="24" s="1"/>
  <c r="Y234" i="24" a="1"/>
  <c r="Y234" i="24" s="1"/>
  <c r="Z234" i="24" a="1"/>
  <c r="Z234" i="24" s="1"/>
  <c r="Y235" i="24" a="1"/>
  <c r="Y235" i="24" s="1"/>
  <c r="Z235" i="24" a="1"/>
  <c r="Z235" i="24" s="1"/>
  <c r="Y236" i="24" a="1"/>
  <c r="Y236" i="24" s="1"/>
  <c r="Z236" i="24" a="1"/>
  <c r="Z236" i="24" s="1"/>
  <c r="Y237" i="24" a="1"/>
  <c r="Y237" i="24" s="1"/>
  <c r="Z237" i="24" a="1"/>
  <c r="Z237" i="24" s="1"/>
  <c r="Y238" i="24" a="1"/>
  <c r="Y238" i="24" s="1"/>
  <c r="Z238" i="24" a="1"/>
  <c r="Z238" i="24" s="1"/>
  <c r="Y239" i="24" a="1"/>
  <c r="Y239" i="24" s="1"/>
  <c r="Z239" i="24" a="1"/>
  <c r="Z239" i="24" s="1"/>
  <c r="Y240" i="24" a="1"/>
  <c r="Y240" i="24" s="1"/>
  <c r="Z240" i="24" a="1"/>
  <c r="Z240" i="24" s="1"/>
  <c r="Y241" i="24" a="1"/>
  <c r="Y241" i="24" s="1"/>
  <c r="Z241" i="24" a="1"/>
  <c r="Z241" i="24" s="1"/>
  <c r="Y242" i="24" a="1"/>
  <c r="Y242" i="24" s="1"/>
  <c r="Z242" i="24" a="1"/>
  <c r="Z242" i="24" s="1"/>
  <c r="Y243" i="24" a="1"/>
  <c r="Y243" i="24" s="1"/>
  <c r="Z243" i="24" a="1"/>
  <c r="Z243" i="24" s="1"/>
  <c r="Y244" i="24" a="1"/>
  <c r="Y244" i="24" s="1"/>
  <c r="Z244" i="24" a="1"/>
  <c r="Z244" i="24" s="1"/>
  <c r="Y245" i="24" a="1"/>
  <c r="Y245" i="24" s="1"/>
  <c r="Z245" i="24" a="1"/>
  <c r="Z245" i="24" s="1"/>
  <c r="Y246" i="24" a="1"/>
  <c r="Y246" i="24" s="1"/>
  <c r="Z246" i="24" a="1"/>
  <c r="Z246" i="24" s="1"/>
  <c r="Y247" i="24" a="1"/>
  <c r="Y247" i="24" s="1"/>
  <c r="Z247" i="24" a="1"/>
  <c r="Z247" i="24" s="1"/>
  <c r="Y248" i="24" a="1"/>
  <c r="Y248" i="24" s="1"/>
  <c r="Z248" i="24" a="1"/>
  <c r="Z248" i="24" s="1"/>
  <c r="Y249" i="24" a="1"/>
  <c r="Y249" i="24" s="1"/>
  <c r="Z249" i="24" a="1"/>
  <c r="Z249" i="24" s="1"/>
  <c r="Y250" i="24" a="1"/>
  <c r="Y250" i="24" s="1"/>
  <c r="Z250" i="24" a="1"/>
  <c r="Z250" i="24" s="1"/>
  <c r="Y251" i="24" a="1"/>
  <c r="Y251" i="24" s="1"/>
  <c r="Z251" i="24" a="1"/>
  <c r="Z251" i="24" s="1"/>
  <c r="Y252" i="24" a="1"/>
  <c r="Y252" i="24" s="1"/>
  <c r="Z252" i="24" a="1"/>
  <c r="Z252" i="24" s="1"/>
  <c r="Y253" i="24" a="1"/>
  <c r="Y253" i="24" s="1"/>
  <c r="Z253" i="24" a="1"/>
  <c r="Z253" i="24" s="1"/>
  <c r="Y254" i="24" a="1"/>
  <c r="Y254" i="24" s="1"/>
  <c r="Z254" i="24" a="1"/>
  <c r="Z254" i="24" s="1"/>
  <c r="Y255" i="24" a="1"/>
  <c r="Y255" i="24" s="1"/>
  <c r="Z255" i="24" a="1"/>
  <c r="Z255" i="24" s="1"/>
  <c r="Y256" i="24" a="1"/>
  <c r="Y256" i="24" s="1"/>
  <c r="Z256" i="24" a="1"/>
  <c r="Z256" i="24" s="1"/>
  <c r="Y257" i="24" a="1"/>
  <c r="Y257" i="24" s="1"/>
  <c r="Z257" i="24" a="1"/>
  <c r="Z257" i="24" s="1"/>
  <c r="Y258" i="24" a="1"/>
  <c r="Y258" i="24" s="1"/>
  <c r="Z258" i="24" a="1"/>
  <c r="Z258" i="24" s="1"/>
  <c r="Y259" i="24" a="1"/>
  <c r="Y259" i="24" s="1"/>
  <c r="Z259" i="24" a="1"/>
  <c r="Z259" i="24" s="1"/>
  <c r="Y260" i="24" a="1"/>
  <c r="Y260" i="24" s="1"/>
  <c r="Z260" i="24" a="1"/>
  <c r="Z260" i="24" s="1"/>
  <c r="Y261" i="24" a="1"/>
  <c r="Y261" i="24" s="1"/>
  <c r="Z261" i="24" a="1"/>
  <c r="Z261" i="24" s="1"/>
  <c r="Y262" i="24" a="1"/>
  <c r="Y262" i="24" s="1"/>
  <c r="Z262" i="24" a="1"/>
  <c r="Z262" i="24" s="1"/>
  <c r="Y263" i="24" a="1"/>
  <c r="Y263" i="24" s="1"/>
  <c r="Z263" i="24" a="1"/>
  <c r="Z263" i="24" s="1"/>
  <c r="Y264" i="24" a="1"/>
  <c r="Y264" i="24" s="1"/>
  <c r="Z264" i="24" a="1"/>
  <c r="Z264" i="24" s="1"/>
  <c r="Y265" i="24" a="1"/>
  <c r="Y265" i="24" s="1"/>
  <c r="Z265" i="24" a="1"/>
  <c r="Z265" i="24" s="1"/>
  <c r="Y266" i="24" a="1"/>
  <c r="Y266" i="24" s="1"/>
  <c r="Z266" i="24" a="1"/>
  <c r="Z266" i="24" s="1"/>
  <c r="Y267" i="24" a="1"/>
  <c r="Y267" i="24" s="1"/>
  <c r="Z267" i="24" a="1"/>
  <c r="Z267" i="24" s="1"/>
  <c r="Y268" i="24" a="1"/>
  <c r="Y268" i="24" s="1"/>
  <c r="Z268" i="24" a="1"/>
  <c r="Z268" i="24" s="1"/>
  <c r="Y269" i="24" a="1"/>
  <c r="Y269" i="24" s="1"/>
  <c r="Z269" i="24" a="1"/>
  <c r="Z269" i="24" s="1"/>
  <c r="Y270" i="24" a="1"/>
  <c r="Y270" i="24" s="1"/>
  <c r="Z270" i="24" a="1"/>
  <c r="Z270" i="24" s="1"/>
  <c r="Y271" i="24" a="1"/>
  <c r="Y271" i="24" s="1"/>
  <c r="Z271" i="24" a="1"/>
  <c r="Z271" i="24" s="1"/>
  <c r="Y272" i="24" a="1"/>
  <c r="Y272" i="24" s="1"/>
  <c r="Z272" i="24" a="1"/>
  <c r="Z272" i="24" s="1"/>
  <c r="Y273" i="24" a="1"/>
  <c r="Y273" i="24" s="1"/>
  <c r="Z273" i="24" a="1"/>
  <c r="Z273" i="24" s="1"/>
  <c r="Y274" i="24" a="1"/>
  <c r="Y274" i="24" s="1"/>
  <c r="Z274" i="24" a="1"/>
  <c r="Z274" i="24" s="1"/>
  <c r="Y275" i="24" a="1"/>
  <c r="Y275" i="24" s="1"/>
  <c r="Z275" i="24" a="1"/>
  <c r="Z275" i="24" s="1"/>
  <c r="Y276" i="24" a="1"/>
  <c r="Y276" i="24" s="1"/>
  <c r="Z276" i="24" a="1"/>
  <c r="Z276" i="24" s="1"/>
  <c r="Y277" i="24" a="1"/>
  <c r="Y277" i="24" s="1"/>
  <c r="Z277" i="24" a="1"/>
  <c r="Z277" i="24" s="1"/>
  <c r="Y278" i="24" a="1"/>
  <c r="Y278" i="24" s="1"/>
  <c r="Z278" i="24" a="1"/>
  <c r="Z278" i="24" s="1"/>
  <c r="Y279" i="24" a="1"/>
  <c r="Y279" i="24" s="1"/>
  <c r="Z279" i="24" a="1"/>
  <c r="Z279" i="24" s="1"/>
  <c r="Y280" i="24" a="1"/>
  <c r="Y280" i="24" s="1"/>
  <c r="Z280" i="24" a="1"/>
  <c r="Z280" i="24" s="1"/>
  <c r="Y281" i="24" a="1"/>
  <c r="Y281" i="24" s="1"/>
  <c r="Z281" i="24" a="1"/>
  <c r="Z281" i="24" s="1"/>
  <c r="Y282" i="24" a="1"/>
  <c r="Y282" i="24" s="1"/>
  <c r="Z282" i="24" a="1"/>
  <c r="Z282" i="24" s="1"/>
  <c r="Y283" i="24" a="1"/>
  <c r="Y283" i="24" s="1"/>
  <c r="Z283" i="24" a="1"/>
  <c r="Z283" i="24" s="1"/>
  <c r="Y284" i="24" a="1"/>
  <c r="Y284" i="24" s="1"/>
  <c r="Z284" i="24" a="1"/>
  <c r="Z284" i="24" s="1"/>
  <c r="Y285" i="24" a="1"/>
  <c r="Y285" i="24" s="1"/>
  <c r="Z285" i="24" a="1"/>
  <c r="Z285" i="24" s="1"/>
  <c r="Y286" i="24" a="1"/>
  <c r="Y286" i="24" s="1"/>
  <c r="Z286" i="24" a="1"/>
  <c r="Z286" i="24" s="1"/>
  <c r="Y287" i="24" a="1"/>
  <c r="Y287" i="24" s="1"/>
  <c r="Z287" i="24" a="1"/>
  <c r="Z287" i="24" s="1"/>
  <c r="Y288" i="24" a="1"/>
  <c r="Y288" i="24" s="1"/>
  <c r="Z288" i="24" a="1"/>
  <c r="Z288" i="24" s="1"/>
  <c r="Y289" i="24" a="1"/>
  <c r="Y289" i="24" s="1"/>
  <c r="Z289" i="24" a="1"/>
  <c r="Z289" i="24" s="1"/>
  <c r="Y290" i="24" a="1"/>
  <c r="Y290" i="24" s="1"/>
  <c r="Z290" i="24" a="1"/>
  <c r="Z290" i="24" s="1"/>
  <c r="Y291" i="24" a="1"/>
  <c r="Y291" i="24" s="1"/>
  <c r="Z291" i="24" a="1"/>
  <c r="Z291" i="24" s="1"/>
  <c r="Y292" i="24" a="1"/>
  <c r="Y292" i="24" s="1"/>
  <c r="Z292" i="24" a="1"/>
  <c r="Z292" i="24" s="1"/>
  <c r="Y293" i="24" a="1"/>
  <c r="Y293" i="24" s="1"/>
  <c r="Z293" i="24" a="1"/>
  <c r="Z293" i="24" s="1"/>
  <c r="Y294" i="24" a="1"/>
  <c r="Y294" i="24" s="1"/>
  <c r="Z294" i="24" a="1"/>
  <c r="Z294" i="24" s="1"/>
  <c r="Y295" i="24" a="1"/>
  <c r="Y295" i="24" s="1"/>
  <c r="Z295" i="24" a="1"/>
  <c r="Z295" i="24" s="1"/>
  <c r="Y296" i="24" a="1"/>
  <c r="Y296" i="24" s="1"/>
  <c r="Z296" i="24" a="1"/>
  <c r="Z296" i="24" s="1"/>
  <c r="Y297" i="24" a="1"/>
  <c r="Y297" i="24" s="1"/>
  <c r="Z297" i="24" a="1"/>
  <c r="Z297" i="24" s="1"/>
  <c r="Y298" i="24" a="1"/>
  <c r="Y298" i="24" s="1"/>
  <c r="Z298" i="24" a="1"/>
  <c r="Z298" i="24" s="1"/>
  <c r="Y299" i="24" a="1"/>
  <c r="Y299" i="24" s="1"/>
  <c r="Z299" i="24" a="1"/>
  <c r="Z299" i="24" s="1"/>
  <c r="Y300" i="24" a="1"/>
  <c r="Y300" i="24" s="1"/>
  <c r="Z300" i="24" a="1"/>
  <c r="Z300" i="24" s="1"/>
  <c r="Y301" i="24" a="1"/>
  <c r="Y301" i="24" s="1"/>
  <c r="Z301" i="24" a="1"/>
  <c r="Z301" i="24" s="1"/>
  <c r="Y302" i="24" a="1"/>
  <c r="Y302" i="24" s="1"/>
  <c r="Z302" i="24" a="1"/>
  <c r="Z302" i="24" s="1"/>
  <c r="Z2" i="24" a="1"/>
  <c r="Z2" i="24" s="1"/>
  <c r="Y2" i="24" a="1"/>
  <c r="Y2" i="24" s="1"/>
  <c r="Y3" i="22" a="1"/>
  <c r="Y3" i="22" s="1"/>
  <c r="Z3" i="22" a="1"/>
  <c r="Z3" i="22" s="1"/>
  <c r="Y4" i="22" a="1"/>
  <c r="Y4" i="22" s="1"/>
  <c r="Z4" i="22" a="1"/>
  <c r="Z4" i="22" s="1"/>
  <c r="Y5" i="22" a="1"/>
  <c r="Y5" i="22" s="1"/>
  <c r="Z5" i="22" a="1"/>
  <c r="Z5" i="22" s="1"/>
  <c r="Y6" i="22" a="1"/>
  <c r="Y6" i="22" s="1"/>
  <c r="Z6" i="22" a="1"/>
  <c r="Z6" i="22" s="1"/>
  <c r="Y7" i="22" a="1"/>
  <c r="Y7" i="22" s="1"/>
  <c r="Z7" i="22" a="1"/>
  <c r="Z7" i="22" s="1"/>
  <c r="Y8" i="22" a="1"/>
  <c r="Y8" i="22" s="1"/>
  <c r="Z8" i="22" a="1"/>
  <c r="Z8" i="22" s="1"/>
  <c r="Y9" i="22" a="1"/>
  <c r="Y9" i="22" s="1"/>
  <c r="Z9" i="22" a="1"/>
  <c r="Z9" i="22" s="1"/>
  <c r="Y10" i="22" a="1"/>
  <c r="Y10" i="22" s="1"/>
  <c r="Z10" i="22" a="1"/>
  <c r="Z10" i="22" s="1"/>
  <c r="Y11" i="22" a="1"/>
  <c r="Y11" i="22" s="1"/>
  <c r="Z11" i="22" a="1"/>
  <c r="Z11" i="22" s="1"/>
  <c r="Y12" i="22" a="1"/>
  <c r="Y12" i="22" s="1"/>
  <c r="Z12" i="22" a="1"/>
  <c r="Z12" i="22" s="1"/>
  <c r="Y13" i="22" a="1"/>
  <c r="Y13" i="22" s="1"/>
  <c r="Z13" i="22" a="1"/>
  <c r="Z13" i="22" s="1"/>
  <c r="Y14" i="22" a="1"/>
  <c r="Y14" i="22" s="1"/>
  <c r="Z14" i="22" a="1"/>
  <c r="Z14" i="22" s="1"/>
  <c r="Y15" i="22" a="1"/>
  <c r="Y15" i="22" s="1"/>
  <c r="Z15" i="22" a="1"/>
  <c r="Z15" i="22" s="1"/>
  <c r="Y16" i="22" a="1"/>
  <c r="Y16" i="22" s="1"/>
  <c r="Z16" i="22" a="1"/>
  <c r="Z16" i="22" s="1"/>
  <c r="Y17" i="22" a="1"/>
  <c r="Y17" i="22" s="1"/>
  <c r="Z17" i="22" a="1"/>
  <c r="Z17" i="22" s="1"/>
  <c r="Y18" i="22" a="1"/>
  <c r="Y18" i="22" s="1"/>
  <c r="Z18" i="22" a="1"/>
  <c r="Z18" i="22" s="1"/>
  <c r="Y19" i="22" a="1"/>
  <c r="Y19" i="22" s="1"/>
  <c r="Z19" i="22" a="1"/>
  <c r="Z19" i="22" s="1"/>
  <c r="Y20" i="22" a="1"/>
  <c r="Y20" i="22" s="1"/>
  <c r="Z20" i="22" a="1"/>
  <c r="Z20" i="22" s="1"/>
  <c r="Y21" i="22" a="1"/>
  <c r="Y21" i="22" s="1"/>
  <c r="Z21" i="22" a="1"/>
  <c r="Z21" i="22" s="1"/>
  <c r="Y22" i="22" a="1"/>
  <c r="Y22" i="22" s="1"/>
  <c r="Z22" i="22" a="1"/>
  <c r="Z22" i="22" s="1"/>
  <c r="Y23" i="22" a="1"/>
  <c r="Y23" i="22" s="1"/>
  <c r="Z23" i="22" a="1"/>
  <c r="Z23" i="22" s="1"/>
  <c r="Y24" i="22" a="1"/>
  <c r="Y24" i="22" s="1"/>
  <c r="Z24" i="22" a="1"/>
  <c r="Z24" i="22" s="1"/>
  <c r="Y25" i="22" a="1"/>
  <c r="Y25" i="22" s="1"/>
  <c r="Z25" i="22" a="1"/>
  <c r="Z25" i="22" s="1"/>
  <c r="Y26" i="22" a="1"/>
  <c r="Y26" i="22" s="1"/>
  <c r="Z26" i="22" a="1"/>
  <c r="Z26" i="22" s="1"/>
  <c r="Y27" i="22" a="1"/>
  <c r="Y27" i="22" s="1"/>
  <c r="Z27" i="22" a="1"/>
  <c r="Z27" i="22" s="1"/>
  <c r="Y28" i="22" a="1"/>
  <c r="Y28" i="22" s="1"/>
  <c r="Z28" i="22" a="1"/>
  <c r="Z28" i="22" s="1"/>
  <c r="Y29" i="22" a="1"/>
  <c r="Y29" i="22" s="1"/>
  <c r="Z29" i="22" a="1"/>
  <c r="Z29" i="22" s="1"/>
  <c r="Y30" i="22" a="1"/>
  <c r="Y30" i="22" s="1"/>
  <c r="Z30" i="22" a="1"/>
  <c r="Z30" i="22" s="1"/>
  <c r="Y31" i="22" a="1"/>
  <c r="Y31" i="22" s="1"/>
  <c r="Z31" i="22" a="1"/>
  <c r="Z31" i="22" s="1"/>
  <c r="Y32" i="22" a="1"/>
  <c r="Y32" i="22" s="1"/>
  <c r="Z32" i="22" a="1"/>
  <c r="Z32" i="22" s="1"/>
  <c r="Y33" i="22" a="1"/>
  <c r="Y33" i="22" s="1"/>
  <c r="Z33" i="22" a="1"/>
  <c r="Z33" i="22" s="1"/>
  <c r="Y34" i="22" a="1"/>
  <c r="Y34" i="22" s="1"/>
  <c r="Z34" i="22" a="1"/>
  <c r="Z34" i="22" s="1"/>
  <c r="Y35" i="22" a="1"/>
  <c r="Y35" i="22" s="1"/>
  <c r="Z35" i="22" a="1"/>
  <c r="Z35" i="22" s="1"/>
  <c r="Y36" i="22" a="1"/>
  <c r="Y36" i="22" s="1"/>
  <c r="Z36" i="22" a="1"/>
  <c r="Z36" i="22" s="1"/>
  <c r="Y37" i="22" a="1"/>
  <c r="Y37" i="22" s="1"/>
  <c r="Z37" i="22" a="1"/>
  <c r="Z37" i="22" s="1"/>
  <c r="Y38" i="22" a="1"/>
  <c r="Y38" i="22" s="1"/>
  <c r="Z38" i="22" a="1"/>
  <c r="Z38" i="22" s="1"/>
  <c r="Y39" i="22" a="1"/>
  <c r="Y39" i="22" s="1"/>
  <c r="Z39" i="22" a="1"/>
  <c r="Z39" i="22" s="1"/>
  <c r="Y40" i="22" a="1"/>
  <c r="Y40" i="22" s="1"/>
  <c r="Z40" i="22" a="1"/>
  <c r="Z40" i="22" s="1"/>
  <c r="Y41" i="22" a="1"/>
  <c r="Y41" i="22" s="1"/>
  <c r="Z41" i="22" a="1"/>
  <c r="Z41" i="22" s="1"/>
  <c r="Y42" i="22" a="1"/>
  <c r="Y42" i="22" s="1"/>
  <c r="Z42" i="22" a="1"/>
  <c r="Z42" i="22" s="1"/>
  <c r="Y43" i="22" a="1"/>
  <c r="Y43" i="22" s="1"/>
  <c r="Z43" i="22" a="1"/>
  <c r="Z43" i="22" s="1"/>
  <c r="Y44" i="22" a="1"/>
  <c r="Y44" i="22" s="1"/>
  <c r="Z44" i="22" a="1"/>
  <c r="Z44" i="22" s="1"/>
  <c r="Y45" i="22" a="1"/>
  <c r="Y45" i="22" s="1"/>
  <c r="Z45" i="22" a="1"/>
  <c r="Z45" i="22" s="1"/>
  <c r="Y46" i="22" a="1"/>
  <c r="Y46" i="22" s="1"/>
  <c r="Z46" i="22" a="1"/>
  <c r="Z46" i="22" s="1"/>
  <c r="Y47" i="22" a="1"/>
  <c r="Y47" i="22" s="1"/>
  <c r="Z47" i="22" a="1"/>
  <c r="Z47" i="22" s="1"/>
  <c r="Y48" i="22" a="1"/>
  <c r="Y48" i="22" s="1"/>
  <c r="Z48" i="22" a="1"/>
  <c r="Z48" i="22" s="1"/>
  <c r="Y49" i="22" a="1"/>
  <c r="Y49" i="22" s="1"/>
  <c r="Z49" i="22" a="1"/>
  <c r="Z49" i="22" s="1"/>
  <c r="Y50" i="22" a="1"/>
  <c r="Y50" i="22" s="1"/>
  <c r="Z50" i="22" a="1"/>
  <c r="Z50" i="22" s="1"/>
  <c r="Y51" i="22" a="1"/>
  <c r="Y51" i="22" s="1"/>
  <c r="Z51" i="22" a="1"/>
  <c r="Z51" i="22" s="1"/>
  <c r="Y52" i="22" a="1"/>
  <c r="Y52" i="22" s="1"/>
  <c r="Z52" i="22" a="1"/>
  <c r="Z52" i="22" s="1"/>
  <c r="Y53" i="22" a="1"/>
  <c r="Y53" i="22" s="1"/>
  <c r="Z53" i="22" a="1"/>
  <c r="Z53" i="22" s="1"/>
  <c r="Y54" i="22" a="1"/>
  <c r="Y54" i="22" s="1"/>
  <c r="Z54" i="22" a="1"/>
  <c r="Z54" i="22" s="1"/>
  <c r="Y55" i="22" a="1"/>
  <c r="Y55" i="22" s="1"/>
  <c r="Z55" i="22" a="1"/>
  <c r="Z55" i="22" s="1"/>
  <c r="Y56" i="22" a="1"/>
  <c r="Y56" i="22" s="1"/>
  <c r="Z56" i="22" a="1"/>
  <c r="Z56" i="22" s="1"/>
  <c r="Y57" i="22" a="1"/>
  <c r="Y57" i="22" s="1"/>
  <c r="Z57" i="22" a="1"/>
  <c r="Z57" i="22" s="1"/>
  <c r="Y58" i="22" a="1"/>
  <c r="Y58" i="22" s="1"/>
  <c r="Z58" i="22" a="1"/>
  <c r="Z58" i="22" s="1"/>
  <c r="Y59" i="22" a="1"/>
  <c r="Y59" i="22" s="1"/>
  <c r="Z59" i="22" a="1"/>
  <c r="Z59" i="22" s="1"/>
  <c r="Y60" i="22" a="1"/>
  <c r="Y60" i="22" s="1"/>
  <c r="Z60" i="22" a="1"/>
  <c r="Z60" i="22" s="1"/>
  <c r="Y61" i="22" a="1"/>
  <c r="Y61" i="22" s="1"/>
  <c r="Z61" i="22" a="1"/>
  <c r="Z61" i="22" s="1"/>
  <c r="Y62" i="22" a="1"/>
  <c r="Y62" i="22" s="1"/>
  <c r="Z62" i="22" a="1"/>
  <c r="Z62" i="22" s="1"/>
  <c r="Y63" i="22" a="1"/>
  <c r="Y63" i="22" s="1"/>
  <c r="Z63" i="22" a="1"/>
  <c r="Z63" i="22" s="1"/>
  <c r="Y64" i="22" a="1"/>
  <c r="Y64" i="22" s="1"/>
  <c r="Z64" i="22" a="1"/>
  <c r="Z64" i="22" s="1"/>
  <c r="Y65" i="22" a="1"/>
  <c r="Y65" i="22" s="1"/>
  <c r="Z65" i="22" a="1"/>
  <c r="Z65" i="22" s="1"/>
  <c r="Y66" i="22" a="1"/>
  <c r="Y66" i="22" s="1"/>
  <c r="Z66" i="22" a="1"/>
  <c r="Z66" i="22" s="1"/>
  <c r="Y67" i="22" a="1"/>
  <c r="Y67" i="22" s="1"/>
  <c r="Z67" i="22" a="1"/>
  <c r="Z67" i="22" s="1"/>
  <c r="Y68" i="22" a="1"/>
  <c r="Y68" i="22" s="1"/>
  <c r="Z68" i="22" a="1"/>
  <c r="Z68" i="22" s="1"/>
  <c r="Y69" i="22" a="1"/>
  <c r="Y69" i="22" s="1"/>
  <c r="Z69" i="22" a="1"/>
  <c r="Z69" i="22" s="1"/>
  <c r="Y70" i="22" a="1"/>
  <c r="Y70" i="22" s="1"/>
  <c r="Z70" i="22" a="1"/>
  <c r="Z70" i="22" s="1"/>
  <c r="Y71" i="22" a="1"/>
  <c r="Y71" i="22" s="1"/>
  <c r="Z71" i="22" a="1"/>
  <c r="Z71" i="22" s="1"/>
  <c r="Y72" i="22" a="1"/>
  <c r="Y72" i="22" s="1"/>
  <c r="Z72" i="22" a="1"/>
  <c r="Z72" i="22" s="1"/>
  <c r="Y73" i="22" a="1"/>
  <c r="Y73" i="22" s="1"/>
  <c r="Z73" i="22" a="1"/>
  <c r="Z73" i="22" s="1"/>
  <c r="Y74" i="22" a="1"/>
  <c r="Y74" i="22" s="1"/>
  <c r="Z74" i="22" a="1"/>
  <c r="Z74" i="22" s="1"/>
  <c r="Y75" i="22" a="1"/>
  <c r="Y75" i="22" s="1"/>
  <c r="Z75" i="22" a="1"/>
  <c r="Z75" i="22" s="1"/>
  <c r="Y76" i="22" a="1"/>
  <c r="Y76" i="22" s="1"/>
  <c r="Z76" i="22" a="1"/>
  <c r="Z76" i="22" s="1"/>
  <c r="Y77" i="22" a="1"/>
  <c r="Y77" i="22" s="1"/>
  <c r="Z77" i="22" a="1"/>
  <c r="Z77" i="22" s="1"/>
  <c r="Y78" i="22" a="1"/>
  <c r="Y78" i="22" s="1"/>
  <c r="Z78" i="22" a="1"/>
  <c r="Z78" i="22" s="1"/>
  <c r="Y79" i="22" a="1"/>
  <c r="Y79" i="22" s="1"/>
  <c r="Z79" i="22" a="1"/>
  <c r="Z79" i="22" s="1"/>
  <c r="Y80" i="22" a="1"/>
  <c r="Y80" i="22" s="1"/>
  <c r="Z80" i="22" a="1"/>
  <c r="Z80" i="22" s="1"/>
  <c r="Y81" i="22" a="1"/>
  <c r="Y81" i="22" s="1"/>
  <c r="Z81" i="22" a="1"/>
  <c r="Z81" i="22" s="1"/>
  <c r="Y82" i="22" a="1"/>
  <c r="Y82" i="22" s="1"/>
  <c r="Z82" i="22" a="1"/>
  <c r="Z82" i="22" s="1"/>
  <c r="Y83" i="22" a="1"/>
  <c r="Y83" i="22" s="1"/>
  <c r="Z83" i="22" a="1"/>
  <c r="Z83" i="22" s="1"/>
  <c r="Y84" i="22" a="1"/>
  <c r="Y84" i="22" s="1"/>
  <c r="Z84" i="22" a="1"/>
  <c r="Z84" i="22" s="1"/>
  <c r="Y85" i="22" a="1"/>
  <c r="Y85" i="22" s="1"/>
  <c r="Z85" i="22" a="1"/>
  <c r="Z85" i="22" s="1"/>
  <c r="Y86" i="22" a="1"/>
  <c r="Y86" i="22" s="1"/>
  <c r="Z86" i="22" a="1"/>
  <c r="Z86" i="22" s="1"/>
  <c r="Y87" i="22" a="1"/>
  <c r="Y87" i="22" s="1"/>
  <c r="Z87" i="22" a="1"/>
  <c r="Z87" i="22" s="1"/>
  <c r="Y88" i="22" a="1"/>
  <c r="Y88" i="22" s="1"/>
  <c r="Z88" i="22" a="1"/>
  <c r="Z88" i="22" s="1"/>
  <c r="Y89" i="22" a="1"/>
  <c r="Y89" i="22" s="1"/>
  <c r="Z89" i="22" a="1"/>
  <c r="Z89" i="22" s="1"/>
  <c r="Y90" i="22" a="1"/>
  <c r="Y90" i="22" s="1"/>
  <c r="Z90" i="22" a="1"/>
  <c r="Z90" i="22" s="1"/>
  <c r="Y91" i="22" a="1"/>
  <c r="Y91" i="22" s="1"/>
  <c r="Z91" i="22" a="1"/>
  <c r="Z91" i="22" s="1"/>
  <c r="Y92" i="22" a="1"/>
  <c r="Y92" i="22" s="1"/>
  <c r="Z92" i="22" a="1"/>
  <c r="Z92" i="22" s="1"/>
  <c r="Y93" i="22" a="1"/>
  <c r="Y93" i="22" s="1"/>
  <c r="Z93" i="22" a="1"/>
  <c r="Z93" i="22" s="1"/>
  <c r="Y94" i="22" a="1"/>
  <c r="Y94" i="22" s="1"/>
  <c r="Z94" i="22" a="1"/>
  <c r="Z94" i="22" s="1"/>
  <c r="Y95" i="22" a="1"/>
  <c r="Y95" i="22" s="1"/>
  <c r="Z95" i="22" a="1"/>
  <c r="Z95" i="22" s="1"/>
  <c r="Y96" i="22" a="1"/>
  <c r="Y96" i="22" s="1"/>
  <c r="Z96" i="22" a="1"/>
  <c r="Z96" i="22" s="1"/>
  <c r="Y97" i="22" a="1"/>
  <c r="Y97" i="22" s="1"/>
  <c r="Z97" i="22" a="1"/>
  <c r="Z97" i="22" s="1"/>
  <c r="Y98" i="22" a="1"/>
  <c r="Y98" i="22" s="1"/>
  <c r="Z98" i="22" a="1"/>
  <c r="Z98" i="22" s="1"/>
  <c r="Y99" i="22" a="1"/>
  <c r="Y99" i="22" s="1"/>
  <c r="Z99" i="22" a="1"/>
  <c r="Z99" i="22" s="1"/>
  <c r="Y100" i="22" a="1"/>
  <c r="Y100" i="22" s="1"/>
  <c r="Z100" i="22" a="1"/>
  <c r="Z100" i="22" s="1"/>
  <c r="Y101" i="22" a="1"/>
  <c r="Y101" i="22" s="1"/>
  <c r="Z101" i="22" a="1"/>
  <c r="Z101" i="22" s="1"/>
  <c r="Y102" i="22" a="1"/>
  <c r="Y102" i="22" s="1"/>
  <c r="Z102" i="22" a="1"/>
  <c r="Z102" i="22" s="1"/>
  <c r="Y103" i="22" a="1"/>
  <c r="Y103" i="22" s="1"/>
  <c r="Z103" i="22" a="1"/>
  <c r="Z103" i="22" s="1"/>
  <c r="Y104" i="22" a="1"/>
  <c r="Y104" i="22" s="1"/>
  <c r="Z104" i="22" a="1"/>
  <c r="Z104" i="22" s="1"/>
  <c r="Y105" i="22" a="1"/>
  <c r="Y105" i="22" s="1"/>
  <c r="Z105" i="22" a="1"/>
  <c r="Z105" i="22" s="1"/>
  <c r="Y106" i="22" a="1"/>
  <c r="Y106" i="22" s="1"/>
  <c r="Z106" i="22" a="1"/>
  <c r="Z106" i="22" s="1"/>
  <c r="Y107" i="22" a="1"/>
  <c r="Y107" i="22" s="1"/>
  <c r="Z107" i="22" a="1"/>
  <c r="Z107" i="22" s="1"/>
  <c r="Y108" i="22" a="1"/>
  <c r="Y108" i="22" s="1"/>
  <c r="Z108" i="22" a="1"/>
  <c r="Z108" i="22" s="1"/>
  <c r="Y109" i="22" a="1"/>
  <c r="Y109" i="22" s="1"/>
  <c r="Z109" i="22" a="1"/>
  <c r="Z109" i="22" s="1"/>
  <c r="Y110" i="22" a="1"/>
  <c r="Y110" i="22" s="1"/>
  <c r="Z110" i="22" a="1"/>
  <c r="Z110" i="22" s="1"/>
  <c r="Y111" i="22" a="1"/>
  <c r="Y111" i="22" s="1"/>
  <c r="Z111" i="22" a="1"/>
  <c r="Z111" i="22" s="1"/>
  <c r="Y112" i="22" a="1"/>
  <c r="Y112" i="22" s="1"/>
  <c r="Z112" i="22" a="1"/>
  <c r="Z112" i="22" s="1"/>
  <c r="Y113" i="22" a="1"/>
  <c r="Y113" i="22" s="1"/>
  <c r="Z113" i="22" a="1"/>
  <c r="Z113" i="22" s="1"/>
  <c r="Y114" i="22" a="1"/>
  <c r="Y114" i="22" s="1"/>
  <c r="Z114" i="22" a="1"/>
  <c r="Z114" i="22" s="1"/>
  <c r="Y115" i="22" a="1"/>
  <c r="Y115" i="22" s="1"/>
  <c r="Z115" i="22" a="1"/>
  <c r="Z115" i="22" s="1"/>
  <c r="Y116" i="22" a="1"/>
  <c r="Y116" i="22" s="1"/>
  <c r="Z116" i="22" a="1"/>
  <c r="Z116" i="22" s="1"/>
  <c r="Y117" i="22" a="1"/>
  <c r="Y117" i="22" s="1"/>
  <c r="Z117" i="22" a="1"/>
  <c r="Z117" i="22" s="1"/>
  <c r="Y118" i="22" a="1"/>
  <c r="Y118" i="22" s="1"/>
  <c r="Z118" i="22" a="1"/>
  <c r="Z118" i="22" s="1"/>
  <c r="Y119" i="22" a="1"/>
  <c r="Y119" i="22" s="1"/>
  <c r="Z119" i="22" a="1"/>
  <c r="Z119" i="22" s="1"/>
  <c r="Y120" i="22" a="1"/>
  <c r="Y120" i="22" s="1"/>
  <c r="Z120" i="22" a="1"/>
  <c r="Z120" i="22" s="1"/>
  <c r="Y121" i="22" a="1"/>
  <c r="Y121" i="22" s="1"/>
  <c r="Z121" i="22" a="1"/>
  <c r="Z121" i="22" s="1"/>
  <c r="Y122" i="22" a="1"/>
  <c r="Y122" i="22" s="1"/>
  <c r="Z122" i="22" a="1"/>
  <c r="Z122" i="22" s="1"/>
  <c r="Y123" i="22" a="1"/>
  <c r="Y123" i="22" s="1"/>
  <c r="Z123" i="22" a="1"/>
  <c r="Z123" i="22" s="1"/>
  <c r="Y124" i="22" a="1"/>
  <c r="Y124" i="22" s="1"/>
  <c r="Z124" i="22" a="1"/>
  <c r="Z124" i="22" s="1"/>
  <c r="Y125" i="22" a="1"/>
  <c r="Y125" i="22" s="1"/>
  <c r="Z125" i="22" a="1"/>
  <c r="Z125" i="22" s="1"/>
  <c r="Y126" i="22" a="1"/>
  <c r="Y126" i="22" s="1"/>
  <c r="Z126" i="22" a="1"/>
  <c r="Z126" i="22" s="1"/>
  <c r="Y127" i="22" a="1"/>
  <c r="Y127" i="22" s="1"/>
  <c r="Z127" i="22" a="1"/>
  <c r="Z127" i="22" s="1"/>
  <c r="Y128" i="22" a="1"/>
  <c r="Y128" i="22" s="1"/>
  <c r="Z128" i="22" a="1"/>
  <c r="Z128" i="22" s="1"/>
  <c r="Y129" i="22" a="1"/>
  <c r="Y129" i="22" s="1"/>
  <c r="Z129" i="22" a="1"/>
  <c r="Z129" i="22" s="1"/>
  <c r="Y130" i="22" a="1"/>
  <c r="Y130" i="22" s="1"/>
  <c r="Z130" i="22" a="1"/>
  <c r="Z130" i="22" s="1"/>
  <c r="Y131" i="22" a="1"/>
  <c r="Y131" i="22" s="1"/>
  <c r="Z131" i="22" a="1"/>
  <c r="Z131" i="22" s="1"/>
  <c r="Y132" i="22" a="1"/>
  <c r="Y132" i="22" s="1"/>
  <c r="Z132" i="22" a="1"/>
  <c r="Z132" i="22" s="1"/>
  <c r="Y133" i="22" a="1"/>
  <c r="Y133" i="22" s="1"/>
  <c r="Z133" i="22" a="1"/>
  <c r="Z133" i="22" s="1"/>
  <c r="Y134" i="22" a="1"/>
  <c r="Y134" i="22" s="1"/>
  <c r="Z134" i="22" a="1"/>
  <c r="Z134" i="22" s="1"/>
  <c r="Y135" i="22" a="1"/>
  <c r="Y135" i="22" s="1"/>
  <c r="Z135" i="22" a="1"/>
  <c r="Z135" i="22" s="1"/>
  <c r="Y136" i="22" a="1"/>
  <c r="Y136" i="22" s="1"/>
  <c r="Z136" i="22" a="1"/>
  <c r="Z136" i="22" s="1"/>
  <c r="Y137" i="22" a="1"/>
  <c r="Y137" i="22" s="1"/>
  <c r="Z137" i="22" a="1"/>
  <c r="Z137" i="22" s="1"/>
  <c r="Y138" i="22" a="1"/>
  <c r="Y138" i="22" s="1"/>
  <c r="Z138" i="22" a="1"/>
  <c r="Z138" i="22" s="1"/>
  <c r="Y139" i="22" a="1"/>
  <c r="Y139" i="22" s="1"/>
  <c r="Z139" i="22" a="1"/>
  <c r="Z139" i="22" s="1"/>
  <c r="Y140" i="22" a="1"/>
  <c r="Y140" i="22" s="1"/>
  <c r="Z140" i="22" a="1"/>
  <c r="Z140" i="22" s="1"/>
  <c r="Y141" i="22" a="1"/>
  <c r="Y141" i="22" s="1"/>
  <c r="Z141" i="22" a="1"/>
  <c r="Z141" i="22" s="1"/>
  <c r="Y142" i="22" a="1"/>
  <c r="Y142" i="22" s="1"/>
  <c r="Z142" i="22" a="1"/>
  <c r="Z142" i="22" s="1"/>
  <c r="Y143" i="22" a="1"/>
  <c r="Y143" i="22" s="1"/>
  <c r="Z143" i="22" a="1"/>
  <c r="Z143" i="22" s="1"/>
  <c r="Y144" i="22" a="1"/>
  <c r="Y144" i="22" s="1"/>
  <c r="Z144" i="22" a="1"/>
  <c r="Z144" i="22" s="1"/>
  <c r="Y145" i="22" a="1"/>
  <c r="Y145" i="22" s="1"/>
  <c r="Z145" i="22" a="1"/>
  <c r="Z145" i="22" s="1"/>
  <c r="Y146" i="22" a="1"/>
  <c r="Y146" i="22" s="1"/>
  <c r="Z146" i="22" a="1"/>
  <c r="Z146" i="22" s="1"/>
  <c r="Y147" i="22" a="1"/>
  <c r="Y147" i="22" s="1"/>
  <c r="Z147" i="22" a="1"/>
  <c r="Z147" i="22" s="1"/>
  <c r="Y148" i="22" a="1"/>
  <c r="Y148" i="22" s="1"/>
  <c r="Z148" i="22" a="1"/>
  <c r="Z148" i="22" s="1"/>
  <c r="Y149" i="22" a="1"/>
  <c r="Y149" i="22" s="1"/>
  <c r="Z149" i="22" a="1"/>
  <c r="Z149" i="22" s="1"/>
  <c r="Y150" i="22" a="1"/>
  <c r="Y150" i="22" s="1"/>
  <c r="Z150" i="22" a="1"/>
  <c r="Z150" i="22" s="1"/>
  <c r="Y151" i="22" a="1"/>
  <c r="Y151" i="22" s="1"/>
  <c r="Z151" i="22" a="1"/>
  <c r="Z151" i="22" s="1"/>
  <c r="Y152" i="22" a="1"/>
  <c r="Y152" i="22" s="1"/>
  <c r="Z152" i="22" a="1"/>
  <c r="Z152" i="22" s="1"/>
  <c r="Y153" i="22" a="1"/>
  <c r="Y153" i="22" s="1"/>
  <c r="Z153" i="22" a="1"/>
  <c r="Z153" i="22" s="1"/>
  <c r="Y154" i="22" a="1"/>
  <c r="Y154" i="22" s="1"/>
  <c r="Z154" i="22" a="1"/>
  <c r="Z154" i="22" s="1"/>
  <c r="Y155" i="22" a="1"/>
  <c r="Y155" i="22" s="1"/>
  <c r="Z155" i="22" a="1"/>
  <c r="Z155" i="22" s="1"/>
  <c r="Y156" i="22" a="1"/>
  <c r="Y156" i="22" s="1"/>
  <c r="Z156" i="22" a="1"/>
  <c r="Z156" i="22" s="1"/>
  <c r="Y157" i="22" a="1"/>
  <c r="Y157" i="22" s="1"/>
  <c r="Z157" i="22" a="1"/>
  <c r="Z157" i="22" s="1"/>
  <c r="Y158" i="22" a="1"/>
  <c r="Y158" i="22" s="1"/>
  <c r="Z158" i="22" a="1"/>
  <c r="Z158" i="22" s="1"/>
  <c r="Y159" i="22" a="1"/>
  <c r="Y159" i="22" s="1"/>
  <c r="Z159" i="22" a="1"/>
  <c r="Z159" i="22" s="1"/>
  <c r="Y160" i="22" a="1"/>
  <c r="Y160" i="22" s="1"/>
  <c r="Z160" i="22" a="1"/>
  <c r="Z160" i="22" s="1"/>
  <c r="Y161" i="22" a="1"/>
  <c r="Y161" i="22" s="1"/>
  <c r="Z161" i="22" a="1"/>
  <c r="Z161" i="22" s="1"/>
  <c r="Y162" i="22" a="1"/>
  <c r="Y162" i="22" s="1"/>
  <c r="Z162" i="22" a="1"/>
  <c r="Z162" i="22" s="1"/>
  <c r="Y163" i="22" a="1"/>
  <c r="Y163" i="22" s="1"/>
  <c r="Z163" i="22" a="1"/>
  <c r="Z163" i="22" s="1"/>
  <c r="Y164" i="22" a="1"/>
  <c r="Y164" i="22" s="1"/>
  <c r="Z164" i="22" a="1"/>
  <c r="Z164" i="22" s="1"/>
  <c r="Y165" i="22" a="1"/>
  <c r="Y165" i="22" s="1"/>
  <c r="Z165" i="22" a="1"/>
  <c r="Z165" i="22" s="1"/>
  <c r="Y166" i="22" a="1"/>
  <c r="Y166" i="22" s="1"/>
  <c r="Z166" i="22" a="1"/>
  <c r="Z166" i="22" s="1"/>
  <c r="Y167" i="22" a="1"/>
  <c r="Y167" i="22" s="1"/>
  <c r="Z167" i="22" a="1"/>
  <c r="Z167" i="22" s="1"/>
  <c r="Y168" i="22" a="1"/>
  <c r="Y168" i="22" s="1"/>
  <c r="Z168" i="22" a="1"/>
  <c r="Z168" i="22" s="1"/>
  <c r="Y169" i="22" a="1"/>
  <c r="Y169" i="22" s="1"/>
  <c r="Z169" i="22" a="1"/>
  <c r="Z169" i="22" s="1"/>
  <c r="Y170" i="22" a="1"/>
  <c r="Y170" i="22" s="1"/>
  <c r="Z170" i="22" a="1"/>
  <c r="Z170" i="22" s="1"/>
  <c r="Y171" i="22" a="1"/>
  <c r="Y171" i="22" s="1"/>
  <c r="Z171" i="22" a="1"/>
  <c r="Z171" i="22" s="1"/>
  <c r="Y172" i="22" a="1"/>
  <c r="Y172" i="22" s="1"/>
  <c r="Z172" i="22" a="1"/>
  <c r="Z172" i="22" s="1"/>
  <c r="Y173" i="22" a="1"/>
  <c r="Y173" i="22" s="1"/>
  <c r="Z173" i="22" a="1"/>
  <c r="Z173" i="22" s="1"/>
  <c r="Y174" i="22" a="1"/>
  <c r="Y174" i="22" s="1"/>
  <c r="Z174" i="22" a="1"/>
  <c r="Z174" i="22" s="1"/>
  <c r="Y175" i="22" a="1"/>
  <c r="Y175" i="22" s="1"/>
  <c r="Z175" i="22" a="1"/>
  <c r="Z175" i="22" s="1"/>
  <c r="Y176" i="22" a="1"/>
  <c r="Y176" i="22" s="1"/>
  <c r="Z176" i="22" a="1"/>
  <c r="Z176" i="22" s="1"/>
  <c r="Y177" i="22" a="1"/>
  <c r="Y177" i="22" s="1"/>
  <c r="Z177" i="22" a="1"/>
  <c r="Z177" i="22" s="1"/>
  <c r="Y178" i="22" a="1"/>
  <c r="Y178" i="22" s="1"/>
  <c r="Z178" i="22" a="1"/>
  <c r="Z178" i="22" s="1"/>
  <c r="Y179" i="22" a="1"/>
  <c r="Y179" i="22" s="1"/>
  <c r="Z179" i="22" a="1"/>
  <c r="Z179" i="22" s="1"/>
  <c r="Y180" i="22" a="1"/>
  <c r="Y180" i="22" s="1"/>
  <c r="Z180" i="22" a="1"/>
  <c r="Z180" i="22" s="1"/>
  <c r="Y181" i="22" a="1"/>
  <c r="Y181" i="22" s="1"/>
  <c r="Z181" i="22" a="1"/>
  <c r="Z181" i="22" s="1"/>
  <c r="Y182" i="22" a="1"/>
  <c r="Y182" i="22" s="1"/>
  <c r="Z182" i="22" a="1"/>
  <c r="Z182" i="22" s="1"/>
  <c r="Y183" i="22" a="1"/>
  <c r="Y183" i="22" s="1"/>
  <c r="Z183" i="22" a="1"/>
  <c r="Z183" i="22" s="1"/>
  <c r="Z2" i="22" a="1"/>
  <c r="Z2" i="22" s="1"/>
  <c r="Y2" i="22" a="1"/>
  <c r="Y2" i="22" s="1"/>
  <c r="Y3" i="20" a="1"/>
  <c r="Y3" i="20" s="1"/>
  <c r="Z3" i="20" a="1"/>
  <c r="Z3" i="20" s="1"/>
  <c r="Y4" i="20" a="1"/>
  <c r="Y4" i="20" s="1"/>
  <c r="Z4" i="20" a="1"/>
  <c r="Z4" i="20" s="1"/>
  <c r="Y5" i="20" a="1"/>
  <c r="Y5" i="20" s="1"/>
  <c r="Z5" i="20" a="1"/>
  <c r="Z5" i="20" s="1"/>
  <c r="Y6" i="20" a="1"/>
  <c r="Y6" i="20" s="1"/>
  <c r="Z6" i="20" a="1"/>
  <c r="Z6" i="20" s="1"/>
  <c r="Y7" i="20" a="1"/>
  <c r="Y7" i="20" s="1"/>
  <c r="Z7" i="20" a="1"/>
  <c r="Z7" i="20" s="1"/>
  <c r="Y8" i="20" a="1"/>
  <c r="Y8" i="20" s="1"/>
  <c r="Z8" i="20" a="1"/>
  <c r="Z8" i="20" s="1"/>
  <c r="Y9" i="20" a="1"/>
  <c r="Y9" i="20" s="1"/>
  <c r="Z9" i="20" a="1"/>
  <c r="Z9" i="20" s="1"/>
  <c r="Y10" i="20" a="1"/>
  <c r="Y10" i="20" s="1"/>
  <c r="Z10" i="20" a="1"/>
  <c r="Z10" i="20" s="1"/>
  <c r="Y11" i="20" a="1"/>
  <c r="Y11" i="20" s="1"/>
  <c r="Z11" i="20" a="1"/>
  <c r="Z11" i="20" s="1"/>
  <c r="Y12" i="20" a="1"/>
  <c r="Y12" i="20" s="1"/>
  <c r="Z12" i="20" a="1"/>
  <c r="Z12" i="20" s="1"/>
  <c r="Y13" i="20" a="1"/>
  <c r="Y13" i="20" s="1"/>
  <c r="Z13" i="20" a="1"/>
  <c r="Z13" i="20" s="1"/>
  <c r="Y14" i="20" a="1"/>
  <c r="Y14" i="20" s="1"/>
  <c r="Z14" i="20" a="1"/>
  <c r="Z14" i="20" s="1"/>
  <c r="Y15" i="20" a="1"/>
  <c r="Y15" i="20" s="1"/>
  <c r="Z15" i="20" a="1"/>
  <c r="Z15" i="20" s="1"/>
  <c r="Y16" i="20" a="1"/>
  <c r="Y16" i="20" s="1"/>
  <c r="Z16" i="20" a="1"/>
  <c r="Z16" i="20" s="1"/>
  <c r="Y17" i="20" a="1"/>
  <c r="Y17" i="20" s="1"/>
  <c r="Z17" i="20" a="1"/>
  <c r="Z17" i="20" s="1"/>
  <c r="Y18" i="20" a="1"/>
  <c r="Y18" i="20" s="1"/>
  <c r="Z18" i="20" a="1"/>
  <c r="Z18" i="20" s="1"/>
  <c r="Y19" i="20" a="1"/>
  <c r="Y19" i="20" s="1"/>
  <c r="Z19" i="20" a="1"/>
  <c r="Z19" i="20" s="1"/>
  <c r="Y20" i="20" a="1"/>
  <c r="Y20" i="20" s="1"/>
  <c r="Z20" i="20" a="1"/>
  <c r="Z20" i="20" s="1"/>
  <c r="Y21" i="20" a="1"/>
  <c r="Y21" i="20" s="1"/>
  <c r="Z21" i="20" a="1"/>
  <c r="Z21" i="20" s="1"/>
  <c r="Y22" i="20" a="1"/>
  <c r="Y22" i="20" s="1"/>
  <c r="Z22" i="20" a="1"/>
  <c r="Z22" i="20" s="1"/>
  <c r="Y23" i="20" a="1"/>
  <c r="Y23" i="20" s="1"/>
  <c r="Z23" i="20" a="1"/>
  <c r="Z23" i="20" s="1"/>
  <c r="Y24" i="20" a="1"/>
  <c r="Y24" i="20" s="1"/>
  <c r="Z24" i="20" a="1"/>
  <c r="Z24" i="20" s="1"/>
  <c r="Y25" i="20" a="1"/>
  <c r="Y25" i="20" s="1"/>
  <c r="Z25" i="20" a="1"/>
  <c r="Z25" i="20" s="1"/>
  <c r="Y26" i="20" a="1"/>
  <c r="Y26" i="20" s="1"/>
  <c r="Z26" i="20" a="1"/>
  <c r="Z26" i="20" s="1"/>
  <c r="Y27" i="20" a="1"/>
  <c r="Y27" i="20" s="1"/>
  <c r="Z27" i="20" a="1"/>
  <c r="Z27" i="20" s="1"/>
  <c r="Y28" i="20" a="1"/>
  <c r="Y28" i="20" s="1"/>
  <c r="Z28" i="20" a="1"/>
  <c r="Z28" i="20" s="1"/>
  <c r="Y29" i="20" a="1"/>
  <c r="Y29" i="20" s="1"/>
  <c r="Z29" i="20" a="1"/>
  <c r="Z29" i="20" s="1"/>
  <c r="Y30" i="20" a="1"/>
  <c r="Y30" i="20" s="1"/>
  <c r="Z30" i="20" a="1"/>
  <c r="Z30" i="20" s="1"/>
  <c r="Y31" i="20" a="1"/>
  <c r="Y31" i="20" s="1"/>
  <c r="Z31" i="20" a="1"/>
  <c r="Z31" i="20" s="1"/>
  <c r="Y32" i="20" a="1"/>
  <c r="Y32" i="20" s="1"/>
  <c r="Z32" i="20" a="1"/>
  <c r="Z32" i="20" s="1"/>
  <c r="Y33" i="20" a="1"/>
  <c r="Y33" i="20" s="1"/>
  <c r="Z33" i="20" a="1"/>
  <c r="Z33" i="20" s="1"/>
  <c r="Y34" i="20" a="1"/>
  <c r="Y34" i="20" s="1"/>
  <c r="Z34" i="20" a="1"/>
  <c r="Z34" i="20" s="1"/>
  <c r="Y35" i="20" a="1"/>
  <c r="Y35" i="20" s="1"/>
  <c r="Z35" i="20" a="1"/>
  <c r="Z35" i="20" s="1"/>
  <c r="Y36" i="20" a="1"/>
  <c r="Y36" i="20" s="1"/>
  <c r="Z36" i="20" a="1"/>
  <c r="Z36" i="20" s="1"/>
  <c r="Y37" i="20" a="1"/>
  <c r="Y37" i="20" s="1"/>
  <c r="Z37" i="20" a="1"/>
  <c r="Z37" i="20" s="1"/>
  <c r="Y38" i="20" a="1"/>
  <c r="Y38" i="20" s="1"/>
  <c r="Z38" i="20" a="1"/>
  <c r="Z38" i="20" s="1"/>
  <c r="Y39" i="20" a="1"/>
  <c r="Y39" i="20" s="1"/>
  <c r="Z39" i="20" a="1"/>
  <c r="Z39" i="20" s="1"/>
  <c r="Y40" i="20" a="1"/>
  <c r="Y40" i="20" s="1"/>
  <c r="Z40" i="20" a="1"/>
  <c r="Z40" i="20" s="1"/>
  <c r="Y41" i="20" a="1"/>
  <c r="Y41" i="20" s="1"/>
  <c r="Z41" i="20" a="1"/>
  <c r="Z41" i="20" s="1"/>
  <c r="Y42" i="20" a="1"/>
  <c r="Y42" i="20" s="1"/>
  <c r="Z42" i="20" a="1"/>
  <c r="Z42" i="20" s="1"/>
  <c r="Y43" i="20" a="1"/>
  <c r="Y43" i="20" s="1"/>
  <c r="Z43" i="20" a="1"/>
  <c r="Z43" i="20" s="1"/>
  <c r="Y44" i="20" a="1"/>
  <c r="Y44" i="20" s="1"/>
  <c r="Z44" i="20" a="1"/>
  <c r="Z44" i="20" s="1"/>
  <c r="Y45" i="20" a="1"/>
  <c r="Y45" i="20" s="1"/>
  <c r="Z45" i="20" a="1"/>
  <c r="Z45" i="20" s="1"/>
  <c r="Y46" i="20" a="1"/>
  <c r="Y46" i="20" s="1"/>
  <c r="Z46" i="20" a="1"/>
  <c r="Z46" i="20" s="1"/>
  <c r="Y47" i="20" a="1"/>
  <c r="Y47" i="20" s="1"/>
  <c r="Z47" i="20" a="1"/>
  <c r="Z47" i="20" s="1"/>
  <c r="Y48" i="20" a="1"/>
  <c r="Y48" i="20" s="1"/>
  <c r="Z48" i="20" a="1"/>
  <c r="Z48" i="20" s="1"/>
  <c r="Y49" i="20" a="1"/>
  <c r="Y49" i="20" s="1"/>
  <c r="Z49" i="20" a="1"/>
  <c r="Z49" i="20" s="1"/>
  <c r="Y50" i="20" a="1"/>
  <c r="Y50" i="20" s="1"/>
  <c r="Z50" i="20" a="1"/>
  <c r="Z50" i="20" s="1"/>
  <c r="Y51" i="20" a="1"/>
  <c r="Y51" i="20" s="1"/>
  <c r="Z51" i="20" a="1"/>
  <c r="Z51" i="20" s="1"/>
  <c r="Y52" i="20" a="1"/>
  <c r="Y52" i="20" s="1"/>
  <c r="Z52" i="20" a="1"/>
  <c r="Z52" i="20" s="1"/>
  <c r="Y53" i="20" a="1"/>
  <c r="Y53" i="20" s="1"/>
  <c r="Z53" i="20" a="1"/>
  <c r="Z53" i="20" s="1"/>
  <c r="Y54" i="20" a="1"/>
  <c r="Y54" i="20" s="1"/>
  <c r="Z54" i="20" a="1"/>
  <c r="Z54" i="20" s="1"/>
  <c r="Y55" i="20" a="1"/>
  <c r="Y55" i="20" s="1"/>
  <c r="Z55" i="20" a="1"/>
  <c r="Z55" i="20" s="1"/>
  <c r="Y56" i="20" a="1"/>
  <c r="Y56" i="20" s="1"/>
  <c r="Z56" i="20" a="1"/>
  <c r="Z56" i="20" s="1"/>
  <c r="Y57" i="20" a="1"/>
  <c r="Y57" i="20" s="1"/>
  <c r="Z57" i="20" a="1"/>
  <c r="Z57" i="20" s="1"/>
  <c r="Y58" i="20" a="1"/>
  <c r="Y58" i="20" s="1"/>
  <c r="Z58" i="20" a="1"/>
  <c r="Z58" i="20" s="1"/>
  <c r="Y59" i="20" a="1"/>
  <c r="Y59" i="20" s="1"/>
  <c r="Z59" i="20" a="1"/>
  <c r="Z59" i="20" s="1"/>
  <c r="Y60" i="20" a="1"/>
  <c r="Y60" i="20" s="1"/>
  <c r="Z60" i="20" a="1"/>
  <c r="Z60" i="20" s="1"/>
  <c r="Y61" i="20" a="1"/>
  <c r="Y61" i="20" s="1"/>
  <c r="Z61" i="20" a="1"/>
  <c r="Z61" i="20" s="1"/>
  <c r="Y62" i="20" a="1"/>
  <c r="Y62" i="20" s="1"/>
  <c r="Z62" i="20" a="1"/>
  <c r="Z62" i="20" s="1"/>
  <c r="Y63" i="20" a="1"/>
  <c r="Y63" i="20" s="1"/>
  <c r="Z63" i="20" a="1"/>
  <c r="Z63" i="20" s="1"/>
  <c r="Y64" i="20" a="1"/>
  <c r="Y64" i="20" s="1"/>
  <c r="Z64" i="20" a="1"/>
  <c r="Z64" i="20" s="1"/>
  <c r="Y65" i="20" a="1"/>
  <c r="Y65" i="20" s="1"/>
  <c r="Z65" i="20" a="1"/>
  <c r="Z65" i="20" s="1"/>
  <c r="Y66" i="20" a="1"/>
  <c r="Y66" i="20" s="1"/>
  <c r="Z66" i="20" a="1"/>
  <c r="Z66" i="20" s="1"/>
  <c r="Y67" i="20" a="1"/>
  <c r="Y67" i="20" s="1"/>
  <c r="Z67" i="20" a="1"/>
  <c r="Z67" i="20" s="1"/>
  <c r="Y68" i="20" a="1"/>
  <c r="Y68" i="20" s="1"/>
  <c r="Z68" i="20" a="1"/>
  <c r="Z68" i="20" s="1"/>
  <c r="Y69" i="20" a="1"/>
  <c r="Y69" i="20" s="1"/>
  <c r="Z69" i="20" a="1"/>
  <c r="Z69" i="20" s="1"/>
  <c r="Y70" i="20" a="1"/>
  <c r="Y70" i="20" s="1"/>
  <c r="Z70" i="20" a="1"/>
  <c r="Z70" i="20" s="1"/>
  <c r="Y71" i="20" a="1"/>
  <c r="Y71" i="20" s="1"/>
  <c r="Z71" i="20" a="1"/>
  <c r="Z71" i="20" s="1"/>
  <c r="Y72" i="20" a="1"/>
  <c r="Y72" i="20" s="1"/>
  <c r="Z72" i="20" a="1"/>
  <c r="Z72" i="20" s="1"/>
  <c r="Y73" i="20" a="1"/>
  <c r="Y73" i="20" s="1"/>
  <c r="Z73" i="20" a="1"/>
  <c r="Z73" i="20" s="1"/>
  <c r="Y74" i="20" a="1"/>
  <c r="Y74" i="20" s="1"/>
  <c r="Z74" i="20" a="1"/>
  <c r="Z74" i="20" s="1"/>
  <c r="Y75" i="20" a="1"/>
  <c r="Y75" i="20" s="1"/>
  <c r="Z75" i="20" a="1"/>
  <c r="Z75" i="20" s="1"/>
  <c r="Y76" i="20" a="1"/>
  <c r="Y76" i="20" s="1"/>
  <c r="Z76" i="20" a="1"/>
  <c r="Z76" i="20" s="1"/>
  <c r="Y77" i="20" a="1"/>
  <c r="Y77" i="20" s="1"/>
  <c r="Z77" i="20" a="1"/>
  <c r="Z77" i="20" s="1"/>
  <c r="Y78" i="20" a="1"/>
  <c r="Y78" i="20" s="1"/>
  <c r="Z78" i="20" a="1"/>
  <c r="Z78" i="20" s="1"/>
  <c r="Y79" i="20" a="1"/>
  <c r="Y79" i="20" s="1"/>
  <c r="Z79" i="20" a="1"/>
  <c r="Z79" i="20" s="1"/>
  <c r="Y80" i="20" a="1"/>
  <c r="Y80" i="20" s="1"/>
  <c r="Z80" i="20" a="1"/>
  <c r="Z80" i="20" s="1"/>
  <c r="Y81" i="20" a="1"/>
  <c r="Y81" i="20" s="1"/>
  <c r="Z81" i="20" a="1"/>
  <c r="Z81" i="20" s="1"/>
  <c r="Y82" i="20" a="1"/>
  <c r="Y82" i="20" s="1"/>
  <c r="Z82" i="20" a="1"/>
  <c r="Z82" i="20" s="1"/>
  <c r="Y83" i="20" a="1"/>
  <c r="Y83" i="20" s="1"/>
  <c r="Z83" i="20" a="1"/>
  <c r="Z83" i="20" s="1"/>
  <c r="Y84" i="20" a="1"/>
  <c r="Y84" i="20" s="1"/>
  <c r="Z84" i="20" a="1"/>
  <c r="Z84" i="20" s="1"/>
  <c r="Y85" i="20" a="1"/>
  <c r="Y85" i="20" s="1"/>
  <c r="Z85" i="20" a="1"/>
  <c r="Z85" i="20" s="1"/>
  <c r="Y86" i="20" a="1"/>
  <c r="Y86" i="20" s="1"/>
  <c r="Z86" i="20" a="1"/>
  <c r="Z86" i="20" s="1"/>
  <c r="Y87" i="20" a="1"/>
  <c r="Y87" i="20" s="1"/>
  <c r="Z87" i="20" a="1"/>
  <c r="Z87" i="20" s="1"/>
  <c r="Y88" i="20" a="1"/>
  <c r="Y88" i="20" s="1"/>
  <c r="Z88" i="20" a="1"/>
  <c r="Z88" i="20" s="1"/>
  <c r="Y89" i="20" a="1"/>
  <c r="Y89" i="20" s="1"/>
  <c r="Z89" i="20" a="1"/>
  <c r="Z89" i="20" s="1"/>
  <c r="Y90" i="20" a="1"/>
  <c r="Y90" i="20" s="1"/>
  <c r="Z90" i="20" a="1"/>
  <c r="Z90" i="20" s="1"/>
  <c r="Y91" i="20" a="1"/>
  <c r="Y91" i="20" s="1"/>
  <c r="Z91" i="20" a="1"/>
  <c r="Z91" i="20" s="1"/>
  <c r="Y92" i="20" a="1"/>
  <c r="Y92" i="20" s="1"/>
  <c r="Z92" i="20" a="1"/>
  <c r="Z92" i="20" s="1"/>
  <c r="Y93" i="20" a="1"/>
  <c r="Y93" i="20" s="1"/>
  <c r="Z93" i="20" a="1"/>
  <c r="Z93" i="20" s="1"/>
  <c r="Y94" i="20" a="1"/>
  <c r="Y94" i="20" s="1"/>
  <c r="Z94" i="20" a="1"/>
  <c r="Z94" i="20" s="1"/>
  <c r="Y95" i="20" a="1"/>
  <c r="Y95" i="20" s="1"/>
  <c r="Z95" i="20" a="1"/>
  <c r="Z95" i="20" s="1"/>
  <c r="Y96" i="20" a="1"/>
  <c r="Y96" i="20" s="1"/>
  <c r="Z96" i="20" a="1"/>
  <c r="Z96" i="20" s="1"/>
  <c r="Y97" i="20" a="1"/>
  <c r="Y97" i="20" s="1"/>
  <c r="Z97" i="20" a="1"/>
  <c r="Z97" i="20" s="1"/>
  <c r="Y98" i="20" a="1"/>
  <c r="Y98" i="20" s="1"/>
  <c r="Z98" i="20" a="1"/>
  <c r="Z98" i="20" s="1"/>
  <c r="Y99" i="20" a="1"/>
  <c r="Y99" i="20" s="1"/>
  <c r="Z99" i="20" a="1"/>
  <c r="Z99" i="20" s="1"/>
  <c r="Y100" i="20" a="1"/>
  <c r="Y100" i="20" s="1"/>
  <c r="Z100" i="20" a="1"/>
  <c r="Z100" i="20" s="1"/>
  <c r="Y101" i="20" a="1"/>
  <c r="Y101" i="20" s="1"/>
  <c r="Z101" i="20" a="1"/>
  <c r="Z101" i="20" s="1"/>
  <c r="Y102" i="20" a="1"/>
  <c r="Y102" i="20" s="1"/>
  <c r="Z102" i="20" a="1"/>
  <c r="Z102" i="20" s="1"/>
  <c r="Y103" i="20" a="1"/>
  <c r="Y103" i="20" s="1"/>
  <c r="Z103" i="20" a="1"/>
  <c r="Z103" i="20" s="1"/>
  <c r="Y104" i="20" a="1"/>
  <c r="Y104" i="20" s="1"/>
  <c r="Z104" i="20" a="1"/>
  <c r="Z104" i="20" s="1"/>
  <c r="Y105" i="20" a="1"/>
  <c r="Y105" i="20" s="1"/>
  <c r="Z105" i="20" a="1"/>
  <c r="Z105" i="20" s="1"/>
  <c r="Y106" i="20" a="1"/>
  <c r="Y106" i="20" s="1"/>
  <c r="Z106" i="20" a="1"/>
  <c r="Z106" i="20" s="1"/>
  <c r="Y107" i="20" a="1"/>
  <c r="Y107" i="20" s="1"/>
  <c r="Z107" i="20" a="1"/>
  <c r="Z107" i="20" s="1"/>
  <c r="Y108" i="20" a="1"/>
  <c r="Y108" i="20" s="1"/>
  <c r="Z108" i="20" a="1"/>
  <c r="Z108" i="20" s="1"/>
  <c r="Y109" i="20" a="1"/>
  <c r="Y109" i="20" s="1"/>
  <c r="Z109" i="20" a="1"/>
  <c r="Z109" i="20" s="1"/>
  <c r="Y110" i="20" a="1"/>
  <c r="Y110" i="20" s="1"/>
  <c r="Z110" i="20" a="1"/>
  <c r="Z110" i="20" s="1"/>
  <c r="Y111" i="20" a="1"/>
  <c r="Y111" i="20" s="1"/>
  <c r="Z111" i="20" a="1"/>
  <c r="Z111" i="20" s="1"/>
  <c r="Y112" i="20" a="1"/>
  <c r="Y112" i="20" s="1"/>
  <c r="Z112" i="20" a="1"/>
  <c r="Z112" i="20" s="1"/>
  <c r="Y113" i="20" a="1"/>
  <c r="Y113" i="20" s="1"/>
  <c r="Z113" i="20" a="1"/>
  <c r="Z113" i="20" s="1"/>
  <c r="Y114" i="20" a="1"/>
  <c r="Y114" i="20" s="1"/>
  <c r="Z114" i="20" a="1"/>
  <c r="Z114" i="20" s="1"/>
  <c r="Y115" i="20" a="1"/>
  <c r="Y115" i="20" s="1"/>
  <c r="Z115" i="20" a="1"/>
  <c r="Z115" i="20" s="1"/>
  <c r="Y116" i="20" a="1"/>
  <c r="Y116" i="20" s="1"/>
  <c r="Z116" i="20" a="1"/>
  <c r="Z116" i="20" s="1"/>
  <c r="Y117" i="20" a="1"/>
  <c r="Y117" i="20" s="1"/>
  <c r="Z117" i="20" a="1"/>
  <c r="Z117" i="20" s="1"/>
  <c r="Y118" i="20" a="1"/>
  <c r="Y118" i="20" s="1"/>
  <c r="Z118" i="20" a="1"/>
  <c r="Z118" i="20" s="1"/>
  <c r="Y119" i="20" a="1"/>
  <c r="Y119" i="20" s="1"/>
  <c r="Z119" i="20" a="1"/>
  <c r="Z119" i="20" s="1"/>
  <c r="Y120" i="20" a="1"/>
  <c r="Y120" i="20" s="1"/>
  <c r="Z120" i="20" a="1"/>
  <c r="Z120" i="20" s="1"/>
  <c r="Y121" i="20" a="1"/>
  <c r="Y121" i="20" s="1"/>
  <c r="Z121" i="20" a="1"/>
  <c r="Z121" i="20" s="1"/>
  <c r="Y122" i="20" a="1"/>
  <c r="Y122" i="20" s="1"/>
  <c r="Z122" i="20" a="1"/>
  <c r="Z122" i="20" s="1"/>
  <c r="Y123" i="20" a="1"/>
  <c r="Y123" i="20" s="1"/>
  <c r="Z123" i="20" a="1"/>
  <c r="Z123" i="20" s="1"/>
  <c r="Y124" i="20" a="1"/>
  <c r="Y124" i="20" s="1"/>
  <c r="Z124" i="20" a="1"/>
  <c r="Z124" i="20" s="1"/>
  <c r="Y125" i="20" a="1"/>
  <c r="Y125" i="20" s="1"/>
  <c r="Z125" i="20" a="1"/>
  <c r="Z125" i="20" s="1"/>
  <c r="Y126" i="20" a="1"/>
  <c r="Y126" i="20" s="1"/>
  <c r="Z126" i="20" a="1"/>
  <c r="Z126" i="20" s="1"/>
  <c r="Y127" i="20" a="1"/>
  <c r="Y127" i="20" s="1"/>
  <c r="Z127" i="20" a="1"/>
  <c r="Z127" i="20" s="1"/>
  <c r="Y128" i="20" a="1"/>
  <c r="Y128" i="20" s="1"/>
  <c r="Z128" i="20" a="1"/>
  <c r="Z128" i="20" s="1"/>
  <c r="Y129" i="20" a="1"/>
  <c r="Y129" i="20" s="1"/>
  <c r="Z129" i="20" a="1"/>
  <c r="Z129" i="20" s="1"/>
  <c r="Y130" i="20" a="1"/>
  <c r="Y130" i="20" s="1"/>
  <c r="Z130" i="20" a="1"/>
  <c r="Z130" i="20" s="1"/>
  <c r="Y131" i="20" a="1"/>
  <c r="Y131" i="20" s="1"/>
  <c r="Z131" i="20" a="1"/>
  <c r="Z131" i="20" s="1"/>
  <c r="Y132" i="20" a="1"/>
  <c r="Y132" i="20" s="1"/>
  <c r="Z132" i="20" a="1"/>
  <c r="Z132" i="20" s="1"/>
  <c r="Y133" i="20" a="1"/>
  <c r="Y133" i="20" s="1"/>
  <c r="Z133" i="20" a="1"/>
  <c r="Z133" i="20" s="1"/>
  <c r="Y134" i="20" a="1"/>
  <c r="Y134" i="20" s="1"/>
  <c r="Z134" i="20" a="1"/>
  <c r="Z134" i="20" s="1"/>
  <c r="Y135" i="20" a="1"/>
  <c r="Y135" i="20" s="1"/>
  <c r="Z135" i="20" a="1"/>
  <c r="Z135" i="20" s="1"/>
  <c r="Y136" i="20" a="1"/>
  <c r="Y136" i="20" s="1"/>
  <c r="Z136" i="20" a="1"/>
  <c r="Z136" i="20" s="1"/>
  <c r="Y137" i="20" a="1"/>
  <c r="Y137" i="20" s="1"/>
  <c r="Z137" i="20" a="1"/>
  <c r="Z137" i="20" s="1"/>
  <c r="Y138" i="20" a="1"/>
  <c r="Y138" i="20" s="1"/>
  <c r="Z138" i="20" a="1"/>
  <c r="Z138" i="20" s="1"/>
  <c r="Y139" i="20" a="1"/>
  <c r="Y139" i="20" s="1"/>
  <c r="Z139" i="20" a="1"/>
  <c r="Z139" i="20" s="1"/>
  <c r="Y140" i="20" a="1"/>
  <c r="Y140" i="20" s="1"/>
  <c r="Z140" i="20" a="1"/>
  <c r="Z140" i="20" s="1"/>
  <c r="Y141" i="20" a="1"/>
  <c r="Y141" i="20" s="1"/>
  <c r="Z141" i="20" a="1"/>
  <c r="Z141" i="20" s="1"/>
  <c r="Y142" i="20" a="1"/>
  <c r="Y142" i="20" s="1"/>
  <c r="Z142" i="20" a="1"/>
  <c r="Z142" i="20" s="1"/>
  <c r="Y143" i="20" a="1"/>
  <c r="Y143" i="20" s="1"/>
  <c r="Z143" i="20" a="1"/>
  <c r="Z143" i="20" s="1"/>
  <c r="Y144" i="20" a="1"/>
  <c r="Y144" i="20" s="1"/>
  <c r="Z144" i="20" a="1"/>
  <c r="Z144" i="20" s="1"/>
  <c r="Y145" i="20" a="1"/>
  <c r="Y145" i="20" s="1"/>
  <c r="Z145" i="20" a="1"/>
  <c r="Z145" i="20" s="1"/>
  <c r="Y146" i="20" a="1"/>
  <c r="Y146" i="20" s="1"/>
  <c r="Z146" i="20" a="1"/>
  <c r="Z146" i="20" s="1"/>
  <c r="Y147" i="20" a="1"/>
  <c r="Y147" i="20" s="1"/>
  <c r="Z147" i="20" a="1"/>
  <c r="Z147" i="20" s="1"/>
  <c r="Y148" i="20" a="1"/>
  <c r="Y148" i="20" s="1"/>
  <c r="Z148" i="20" a="1"/>
  <c r="Z148" i="20" s="1"/>
  <c r="Y149" i="20" a="1"/>
  <c r="Y149" i="20" s="1"/>
  <c r="Z149" i="20" a="1"/>
  <c r="Z149" i="20" s="1"/>
  <c r="Y150" i="20" a="1"/>
  <c r="Y150" i="20" s="1"/>
  <c r="Z150" i="20" a="1"/>
  <c r="Z150" i="20" s="1"/>
  <c r="Y151" i="20" a="1"/>
  <c r="Y151" i="20" s="1"/>
  <c r="Z151" i="20" a="1"/>
  <c r="Z151" i="20" s="1"/>
  <c r="Y152" i="20" a="1"/>
  <c r="Y152" i="20" s="1"/>
  <c r="Z152" i="20" a="1"/>
  <c r="Z152" i="20" s="1"/>
  <c r="Y153" i="20" a="1"/>
  <c r="Y153" i="20" s="1"/>
  <c r="Z153" i="20" a="1"/>
  <c r="Z153" i="20" s="1"/>
  <c r="Y154" i="20" a="1"/>
  <c r="Y154" i="20" s="1"/>
  <c r="Z154" i="20" a="1"/>
  <c r="Z154" i="20" s="1"/>
  <c r="Y155" i="20" a="1"/>
  <c r="Y155" i="20" s="1"/>
  <c r="Z155" i="20" a="1"/>
  <c r="Z155" i="20" s="1"/>
  <c r="Y156" i="20" a="1"/>
  <c r="Y156" i="20" s="1"/>
  <c r="Z156" i="20" a="1"/>
  <c r="Z156" i="20" s="1"/>
  <c r="Y157" i="20" a="1"/>
  <c r="Y157" i="20" s="1"/>
  <c r="Z157" i="20" a="1"/>
  <c r="Z157" i="20" s="1"/>
  <c r="Y158" i="20" a="1"/>
  <c r="Y158" i="20" s="1"/>
  <c r="Z158" i="20" a="1"/>
  <c r="Z158" i="20" s="1"/>
  <c r="Y159" i="20" a="1"/>
  <c r="Y159" i="20" s="1"/>
  <c r="Z159" i="20" a="1"/>
  <c r="Z159" i="20" s="1"/>
  <c r="Y160" i="20" a="1"/>
  <c r="Y160" i="20" s="1"/>
  <c r="Z160" i="20" a="1"/>
  <c r="Z160" i="20" s="1"/>
  <c r="Y161" i="20" a="1"/>
  <c r="Y161" i="20" s="1"/>
  <c r="Z161" i="20" a="1"/>
  <c r="Z161" i="20" s="1"/>
  <c r="Y162" i="20" a="1"/>
  <c r="Y162" i="20" s="1"/>
  <c r="Z162" i="20" a="1"/>
  <c r="Z162" i="20" s="1"/>
  <c r="Y163" i="20" a="1"/>
  <c r="Y163" i="20" s="1"/>
  <c r="Z163" i="20" a="1"/>
  <c r="Z163" i="20" s="1"/>
  <c r="Y164" i="20" a="1"/>
  <c r="Y164" i="20" s="1"/>
  <c r="Z164" i="20" a="1"/>
  <c r="Z164" i="20" s="1"/>
  <c r="Y165" i="20" a="1"/>
  <c r="Y165" i="20" s="1"/>
  <c r="Z165" i="20" a="1"/>
  <c r="Z165" i="20" s="1"/>
  <c r="Y166" i="20" a="1"/>
  <c r="Y166" i="20" s="1"/>
  <c r="Z166" i="20" a="1"/>
  <c r="Z166" i="20" s="1"/>
  <c r="Y167" i="20" a="1"/>
  <c r="Y167" i="20" s="1"/>
  <c r="Z167" i="20" a="1"/>
  <c r="Z167" i="20" s="1"/>
  <c r="Y168" i="20" a="1"/>
  <c r="Y168" i="20" s="1"/>
  <c r="Z168" i="20" a="1"/>
  <c r="Z168" i="20" s="1"/>
  <c r="Y169" i="20" a="1"/>
  <c r="Y169" i="20" s="1"/>
  <c r="Z169" i="20" a="1"/>
  <c r="Z169" i="20" s="1"/>
  <c r="Y170" i="20" a="1"/>
  <c r="Y170" i="20" s="1"/>
  <c r="Z170" i="20" a="1"/>
  <c r="Z170" i="20" s="1"/>
  <c r="Y171" i="20" a="1"/>
  <c r="Y171" i="20" s="1"/>
  <c r="Z171" i="20" a="1"/>
  <c r="Z171" i="20" s="1"/>
  <c r="Y172" i="20" a="1"/>
  <c r="Y172" i="20" s="1"/>
  <c r="Z172" i="20" a="1"/>
  <c r="Z172" i="20" s="1"/>
  <c r="Y173" i="20" a="1"/>
  <c r="Y173" i="20" s="1"/>
  <c r="Z173" i="20" a="1"/>
  <c r="Z173" i="20" s="1"/>
  <c r="Y174" i="20" a="1"/>
  <c r="Y174" i="20" s="1"/>
  <c r="Z174" i="20" a="1"/>
  <c r="Z174" i="20" s="1"/>
  <c r="Y175" i="20" a="1"/>
  <c r="Y175" i="20" s="1"/>
  <c r="Z175" i="20" a="1"/>
  <c r="Z175" i="20" s="1"/>
  <c r="Y176" i="20" a="1"/>
  <c r="Y176" i="20" s="1"/>
  <c r="Z176" i="20" a="1"/>
  <c r="Z176" i="20" s="1"/>
  <c r="Z2" i="20" a="1"/>
  <c r="Z2" i="20" s="1"/>
  <c r="Y2" i="20" a="1"/>
  <c r="Y2" i="20" s="1"/>
  <c r="Y3" i="21" a="1"/>
  <c r="Y3" i="21" s="1"/>
  <c r="Z3" i="21" a="1"/>
  <c r="Z3" i="21" s="1"/>
  <c r="Y4" i="21" a="1"/>
  <c r="Y4" i="21" s="1"/>
  <c r="Z4" i="21" a="1"/>
  <c r="Z4" i="21" s="1"/>
  <c r="Y5" i="21" a="1"/>
  <c r="Y5" i="21" s="1"/>
  <c r="Z5" i="21" a="1"/>
  <c r="Z5" i="21" s="1"/>
  <c r="Y6" i="21" a="1"/>
  <c r="Y6" i="21" s="1"/>
  <c r="Z6" i="21" a="1"/>
  <c r="Z6" i="21" s="1"/>
  <c r="Y7" i="21" a="1"/>
  <c r="Y7" i="21" s="1"/>
  <c r="Z7" i="21" a="1"/>
  <c r="Z7" i="21" s="1"/>
  <c r="Y8" i="21" a="1"/>
  <c r="Y8" i="21" s="1"/>
  <c r="Z8" i="21" a="1"/>
  <c r="Z8" i="21" s="1"/>
  <c r="Y9" i="21" a="1"/>
  <c r="Y9" i="21" s="1"/>
  <c r="Z9" i="21" a="1"/>
  <c r="Z9" i="21" s="1"/>
  <c r="Y10" i="21" a="1"/>
  <c r="Y10" i="21" s="1"/>
  <c r="Z10" i="21" a="1"/>
  <c r="Z10" i="21" s="1"/>
  <c r="Y11" i="21" a="1"/>
  <c r="Y11" i="21" s="1"/>
  <c r="Z11" i="21" a="1"/>
  <c r="Z11" i="21" s="1"/>
  <c r="Y12" i="21" a="1"/>
  <c r="Y12" i="21" s="1"/>
  <c r="Z12" i="21" a="1"/>
  <c r="Z12" i="21" s="1"/>
  <c r="Y13" i="21" a="1"/>
  <c r="Y13" i="21" s="1"/>
  <c r="Z13" i="21" a="1"/>
  <c r="Z13" i="21" s="1"/>
  <c r="Y14" i="21" a="1"/>
  <c r="Y14" i="21" s="1"/>
  <c r="Z14" i="21" a="1"/>
  <c r="Z14" i="21" s="1"/>
  <c r="Y15" i="21" a="1"/>
  <c r="Y15" i="21" s="1"/>
  <c r="Z15" i="21" a="1"/>
  <c r="Z15" i="21" s="1"/>
  <c r="Y16" i="21" a="1"/>
  <c r="Y16" i="21" s="1"/>
  <c r="Z16" i="21" a="1"/>
  <c r="Z16" i="21" s="1"/>
  <c r="Y17" i="21" a="1"/>
  <c r="Y17" i="21" s="1"/>
  <c r="Z17" i="21" a="1"/>
  <c r="Z17" i="21" s="1"/>
  <c r="Y18" i="21" a="1"/>
  <c r="Y18" i="21" s="1"/>
  <c r="Z18" i="21" a="1"/>
  <c r="Z18" i="21" s="1"/>
  <c r="Y19" i="21" a="1"/>
  <c r="Y19" i="21" s="1"/>
  <c r="Z19" i="21" a="1"/>
  <c r="Z19" i="21" s="1"/>
  <c r="Y20" i="21" a="1"/>
  <c r="Y20" i="21" s="1"/>
  <c r="Z20" i="21" a="1"/>
  <c r="Z20" i="21" s="1"/>
  <c r="Y21" i="21" a="1"/>
  <c r="Y21" i="21" s="1"/>
  <c r="Z21" i="21" a="1"/>
  <c r="Z21" i="21" s="1"/>
  <c r="Y22" i="21" a="1"/>
  <c r="Y22" i="21" s="1"/>
  <c r="Z22" i="21" a="1"/>
  <c r="Z22" i="21" s="1"/>
  <c r="Y23" i="21" a="1"/>
  <c r="Y23" i="21" s="1"/>
  <c r="Z23" i="21" a="1"/>
  <c r="Z23" i="21" s="1"/>
  <c r="Y24" i="21" a="1"/>
  <c r="Y24" i="21" s="1"/>
  <c r="Z24" i="21" a="1"/>
  <c r="Z24" i="21" s="1"/>
  <c r="Y25" i="21" a="1"/>
  <c r="Y25" i="21" s="1"/>
  <c r="Z25" i="21" a="1"/>
  <c r="Z25" i="21" s="1"/>
  <c r="Y26" i="21" a="1"/>
  <c r="Y26" i="21" s="1"/>
  <c r="Z26" i="21" a="1"/>
  <c r="Z26" i="21" s="1"/>
  <c r="Y27" i="21" a="1"/>
  <c r="Y27" i="21" s="1"/>
  <c r="Z27" i="21" a="1"/>
  <c r="Z27" i="21" s="1"/>
  <c r="Y28" i="21" a="1"/>
  <c r="Y28" i="21" s="1"/>
  <c r="Z28" i="21" a="1"/>
  <c r="Z28" i="21" s="1"/>
  <c r="Y29" i="21" a="1"/>
  <c r="Y29" i="21" s="1"/>
  <c r="Z29" i="21" a="1"/>
  <c r="Z29" i="21" s="1"/>
  <c r="Y30" i="21" a="1"/>
  <c r="Y30" i="21" s="1"/>
  <c r="Z30" i="21" a="1"/>
  <c r="Z30" i="21" s="1"/>
  <c r="Y31" i="21" a="1"/>
  <c r="Y31" i="21" s="1"/>
  <c r="Z31" i="21" a="1"/>
  <c r="Z31" i="21" s="1"/>
  <c r="Y32" i="21" a="1"/>
  <c r="Y32" i="21" s="1"/>
  <c r="Z32" i="21" a="1"/>
  <c r="Z32" i="21" s="1"/>
  <c r="Y33" i="21" a="1"/>
  <c r="Y33" i="21" s="1"/>
  <c r="Z33" i="21" a="1"/>
  <c r="Z33" i="21" s="1"/>
  <c r="Y34" i="21" a="1"/>
  <c r="Y34" i="21" s="1"/>
  <c r="Z34" i="21" a="1"/>
  <c r="Z34" i="21" s="1"/>
  <c r="Y35" i="21" a="1"/>
  <c r="Y35" i="21" s="1"/>
  <c r="Z35" i="21" a="1"/>
  <c r="Z35" i="21" s="1"/>
  <c r="Y36" i="21" a="1"/>
  <c r="Y36" i="21" s="1"/>
  <c r="Z36" i="21" a="1"/>
  <c r="Z36" i="21" s="1"/>
  <c r="Y37" i="21" a="1"/>
  <c r="Y37" i="21" s="1"/>
  <c r="Z37" i="21" a="1"/>
  <c r="Z37" i="21" s="1"/>
  <c r="Y38" i="21" a="1"/>
  <c r="Y38" i="21" s="1"/>
  <c r="Z38" i="21" a="1"/>
  <c r="Z38" i="21" s="1"/>
  <c r="Y39" i="21" a="1"/>
  <c r="Y39" i="21" s="1"/>
  <c r="Z39" i="21" a="1"/>
  <c r="Z39" i="21" s="1"/>
  <c r="Y40" i="21" a="1"/>
  <c r="Y40" i="21" s="1"/>
  <c r="Z40" i="21" a="1"/>
  <c r="Z40" i="21" s="1"/>
  <c r="Y41" i="21" a="1"/>
  <c r="Y41" i="21" s="1"/>
  <c r="Z41" i="21" a="1"/>
  <c r="Z41" i="21" s="1"/>
  <c r="Y42" i="21" a="1"/>
  <c r="Y42" i="21" s="1"/>
  <c r="Z42" i="21" a="1"/>
  <c r="Z42" i="21" s="1"/>
  <c r="Y43" i="21" a="1"/>
  <c r="Y43" i="21" s="1"/>
  <c r="Z43" i="21" a="1"/>
  <c r="Z43" i="21" s="1"/>
  <c r="Y44" i="21" a="1"/>
  <c r="Y44" i="21" s="1"/>
  <c r="Z44" i="21" a="1"/>
  <c r="Z44" i="21" s="1"/>
  <c r="Y45" i="21" a="1"/>
  <c r="Y45" i="21" s="1"/>
  <c r="Z45" i="21" a="1"/>
  <c r="Z45" i="21" s="1"/>
  <c r="Y46" i="21" a="1"/>
  <c r="Y46" i="21" s="1"/>
  <c r="Z46" i="21" a="1"/>
  <c r="Z46" i="21" s="1"/>
  <c r="Y47" i="21" a="1"/>
  <c r="Y47" i="21" s="1"/>
  <c r="Z47" i="21" a="1"/>
  <c r="Z47" i="21" s="1"/>
  <c r="Y48" i="21" a="1"/>
  <c r="Y48" i="21" s="1"/>
  <c r="Z48" i="21" a="1"/>
  <c r="Z48" i="21" s="1"/>
  <c r="Y49" i="21" a="1"/>
  <c r="Y49" i="21" s="1"/>
  <c r="Z49" i="21" a="1"/>
  <c r="Z49" i="21" s="1"/>
  <c r="Y50" i="21" a="1"/>
  <c r="Y50" i="21" s="1"/>
  <c r="Z50" i="21" a="1"/>
  <c r="Z50" i="21" s="1"/>
  <c r="Y51" i="21" a="1"/>
  <c r="Y51" i="21" s="1"/>
  <c r="Z51" i="21" a="1"/>
  <c r="Z51" i="21" s="1"/>
  <c r="Y52" i="21" a="1"/>
  <c r="Y52" i="21" s="1"/>
  <c r="Z52" i="21" a="1"/>
  <c r="Z52" i="21" s="1"/>
  <c r="Y53" i="21" a="1"/>
  <c r="Y53" i="21" s="1"/>
  <c r="Z53" i="21" a="1"/>
  <c r="Z53" i="21" s="1"/>
  <c r="Y54" i="21" a="1"/>
  <c r="Y54" i="21" s="1"/>
  <c r="Z54" i="21" a="1"/>
  <c r="Z54" i="21" s="1"/>
  <c r="Y55" i="21" a="1"/>
  <c r="Y55" i="21" s="1"/>
  <c r="Z55" i="21" a="1"/>
  <c r="Z55" i="21" s="1"/>
  <c r="Y56" i="21" a="1"/>
  <c r="Y56" i="21" s="1"/>
  <c r="Z56" i="21" a="1"/>
  <c r="Z56" i="21" s="1"/>
  <c r="Y57" i="21" a="1"/>
  <c r="Y57" i="21" s="1"/>
  <c r="Z57" i="21" a="1"/>
  <c r="Z57" i="21" s="1"/>
  <c r="Y58" i="21" a="1"/>
  <c r="Y58" i="21" s="1"/>
  <c r="Z58" i="21" a="1"/>
  <c r="Z58" i="21" s="1"/>
  <c r="Y59" i="21" a="1"/>
  <c r="Y59" i="21" s="1"/>
  <c r="Z59" i="21" a="1"/>
  <c r="Z59" i="21" s="1"/>
  <c r="Y60" i="21" a="1"/>
  <c r="Y60" i="21" s="1"/>
  <c r="Z60" i="21" a="1"/>
  <c r="Z60" i="21" s="1"/>
  <c r="Y61" i="21" a="1"/>
  <c r="Y61" i="21" s="1"/>
  <c r="Z61" i="21" a="1"/>
  <c r="Z61" i="21" s="1"/>
  <c r="Y62" i="21" a="1"/>
  <c r="Y62" i="21" s="1"/>
  <c r="Z62" i="21" a="1"/>
  <c r="Z62" i="21" s="1"/>
  <c r="Y63" i="21" a="1"/>
  <c r="Y63" i="21" s="1"/>
  <c r="Z63" i="21" a="1"/>
  <c r="Z63" i="21" s="1"/>
  <c r="Y64" i="21" a="1"/>
  <c r="Y64" i="21" s="1"/>
  <c r="Z64" i="21" a="1"/>
  <c r="Z64" i="21" s="1"/>
  <c r="Y65" i="21" a="1"/>
  <c r="Y65" i="21" s="1"/>
  <c r="Z65" i="21" a="1"/>
  <c r="Z65" i="21" s="1"/>
  <c r="Y66" i="21" a="1"/>
  <c r="Y66" i="21" s="1"/>
  <c r="Z66" i="21" a="1"/>
  <c r="Z66" i="21" s="1"/>
  <c r="Y67" i="21" a="1"/>
  <c r="Y67" i="21" s="1"/>
  <c r="Z67" i="21" a="1"/>
  <c r="Z67" i="21" s="1"/>
  <c r="Y68" i="21" a="1"/>
  <c r="Y68" i="21" s="1"/>
  <c r="Z68" i="21" a="1"/>
  <c r="Z68" i="21" s="1"/>
  <c r="Y69" i="21" a="1"/>
  <c r="Y69" i="21" s="1"/>
  <c r="Z69" i="21" a="1"/>
  <c r="Z69" i="21" s="1"/>
  <c r="Y70" i="21" a="1"/>
  <c r="Y70" i="21" s="1"/>
  <c r="Z70" i="21" a="1"/>
  <c r="Z70" i="21" s="1"/>
  <c r="Y71" i="21" a="1"/>
  <c r="Y71" i="21" s="1"/>
  <c r="Z71" i="21" a="1"/>
  <c r="Z71" i="21" s="1"/>
  <c r="Y72" i="21" a="1"/>
  <c r="Y72" i="21" s="1"/>
  <c r="Z72" i="21" a="1"/>
  <c r="Z72" i="21" s="1"/>
  <c r="Y73" i="21" a="1"/>
  <c r="Y73" i="21" s="1"/>
  <c r="Z73" i="21" a="1"/>
  <c r="Z73" i="21" s="1"/>
  <c r="Y74" i="21" a="1"/>
  <c r="Y74" i="21" s="1"/>
  <c r="Z74" i="21" a="1"/>
  <c r="Z74" i="21" s="1"/>
  <c r="Y75" i="21" a="1"/>
  <c r="Y75" i="21" s="1"/>
  <c r="Z75" i="21" a="1"/>
  <c r="Z75" i="21" s="1"/>
  <c r="Y76" i="21" a="1"/>
  <c r="Y76" i="21" s="1"/>
  <c r="Z76" i="21" a="1"/>
  <c r="Z76" i="21" s="1"/>
  <c r="Y77" i="21" a="1"/>
  <c r="Y77" i="21" s="1"/>
  <c r="Z77" i="21" a="1"/>
  <c r="Z77" i="21" s="1"/>
  <c r="Y78" i="21" a="1"/>
  <c r="Y78" i="21" s="1"/>
  <c r="Z78" i="21" a="1"/>
  <c r="Z78" i="21" s="1"/>
  <c r="Y79" i="21" a="1"/>
  <c r="Y79" i="21" s="1"/>
  <c r="Z79" i="21" a="1"/>
  <c r="Z79" i="21" s="1"/>
  <c r="Y80" i="21" a="1"/>
  <c r="Y80" i="21" s="1"/>
  <c r="Z80" i="21" a="1"/>
  <c r="Z80" i="21" s="1"/>
  <c r="Y81" i="21" a="1"/>
  <c r="Y81" i="21" s="1"/>
  <c r="Z81" i="21" a="1"/>
  <c r="Z81" i="21" s="1"/>
  <c r="Y82" i="21" a="1"/>
  <c r="Y82" i="21" s="1"/>
  <c r="Z82" i="21" a="1"/>
  <c r="Z82" i="21" s="1"/>
  <c r="Y83" i="21" a="1"/>
  <c r="Y83" i="21" s="1"/>
  <c r="Z83" i="21" a="1"/>
  <c r="Z83" i="21" s="1"/>
  <c r="Y84" i="21" a="1"/>
  <c r="Y84" i="21" s="1"/>
  <c r="Z84" i="21" a="1"/>
  <c r="Z84" i="21" s="1"/>
  <c r="Y85" i="21" a="1"/>
  <c r="Y85" i="21" s="1"/>
  <c r="Z85" i="21" a="1"/>
  <c r="Z85" i="21" s="1"/>
  <c r="Y86" i="21" a="1"/>
  <c r="Y86" i="21" s="1"/>
  <c r="Z86" i="21" a="1"/>
  <c r="Z86" i="21" s="1"/>
  <c r="Y87" i="21" a="1"/>
  <c r="Y87" i="21" s="1"/>
  <c r="Z87" i="21" a="1"/>
  <c r="Z87" i="21" s="1"/>
  <c r="Y88" i="21" a="1"/>
  <c r="Y88" i="21" s="1"/>
  <c r="Z88" i="21" a="1"/>
  <c r="Z88" i="21" s="1"/>
  <c r="Y89" i="21" a="1"/>
  <c r="Y89" i="21" s="1"/>
  <c r="Z89" i="21" a="1"/>
  <c r="Z89" i="21" s="1"/>
  <c r="Y90" i="21" a="1"/>
  <c r="Y90" i="21" s="1"/>
  <c r="Z90" i="21" a="1"/>
  <c r="Z90" i="21" s="1"/>
  <c r="Y91" i="21" a="1"/>
  <c r="Y91" i="21" s="1"/>
  <c r="Z91" i="21" a="1"/>
  <c r="Z91" i="21" s="1"/>
  <c r="Y92" i="21" a="1"/>
  <c r="Y92" i="21" s="1"/>
  <c r="Z92" i="21" a="1"/>
  <c r="Z92" i="21" s="1"/>
  <c r="Y93" i="21" a="1"/>
  <c r="Y93" i="21" s="1"/>
  <c r="Z93" i="21" a="1"/>
  <c r="Z93" i="21" s="1"/>
  <c r="Y94" i="21" a="1"/>
  <c r="Y94" i="21" s="1"/>
  <c r="Z94" i="21" a="1"/>
  <c r="Z94" i="21" s="1"/>
  <c r="Y95" i="21" a="1"/>
  <c r="Y95" i="21" s="1"/>
  <c r="Z95" i="21" a="1"/>
  <c r="Z95" i="21" s="1"/>
  <c r="Y96" i="21" a="1"/>
  <c r="Y96" i="21" s="1"/>
  <c r="Z96" i="21" a="1"/>
  <c r="Z96" i="21" s="1"/>
  <c r="Y97" i="21" a="1"/>
  <c r="Y97" i="21" s="1"/>
  <c r="Z97" i="21" a="1"/>
  <c r="Z97" i="21" s="1"/>
  <c r="Y98" i="21" a="1"/>
  <c r="Y98" i="21" s="1"/>
  <c r="Z98" i="21" a="1"/>
  <c r="Z98" i="21" s="1"/>
  <c r="Y99" i="21" a="1"/>
  <c r="Y99" i="21" s="1"/>
  <c r="Z99" i="21" a="1"/>
  <c r="Z99" i="21" s="1"/>
  <c r="Y100" i="21" a="1"/>
  <c r="Y100" i="21" s="1"/>
  <c r="Z100" i="21" a="1"/>
  <c r="Z100" i="21" s="1"/>
  <c r="Y101" i="21" a="1"/>
  <c r="Y101" i="21" s="1"/>
  <c r="Z101" i="21" a="1"/>
  <c r="Z101" i="21" s="1"/>
  <c r="Y102" i="21" a="1"/>
  <c r="Y102" i="21" s="1"/>
  <c r="Z102" i="21" a="1"/>
  <c r="Z102" i="21" s="1"/>
  <c r="Y103" i="21" a="1"/>
  <c r="Y103" i="21" s="1"/>
  <c r="Z103" i="21" a="1"/>
  <c r="Z103" i="21" s="1"/>
  <c r="Y104" i="21" a="1"/>
  <c r="Y104" i="21" s="1"/>
  <c r="Z104" i="21" a="1"/>
  <c r="Z104" i="21" s="1"/>
  <c r="Y105" i="21" a="1"/>
  <c r="Y105" i="21" s="1"/>
  <c r="Z105" i="21" a="1"/>
  <c r="Z105" i="21" s="1"/>
  <c r="Y106" i="21" a="1"/>
  <c r="Y106" i="21" s="1"/>
  <c r="Z106" i="21" a="1"/>
  <c r="Z106" i="21" s="1"/>
  <c r="Y107" i="21" a="1"/>
  <c r="Y107" i="21" s="1"/>
  <c r="Z107" i="21" a="1"/>
  <c r="Z107" i="21" s="1"/>
  <c r="Y108" i="21" a="1"/>
  <c r="Y108" i="21" s="1"/>
  <c r="Z108" i="21" a="1"/>
  <c r="Z108" i="21" s="1"/>
  <c r="Y109" i="21" a="1"/>
  <c r="Y109" i="21" s="1"/>
  <c r="Z109" i="21" a="1"/>
  <c r="Z109" i="21" s="1"/>
  <c r="Y110" i="21" a="1"/>
  <c r="Y110" i="21" s="1"/>
  <c r="Z110" i="21" a="1"/>
  <c r="Z110" i="21" s="1"/>
  <c r="Y111" i="21" a="1"/>
  <c r="Y111" i="21" s="1"/>
  <c r="Z111" i="21" a="1"/>
  <c r="Z111" i="21" s="1"/>
  <c r="Y112" i="21" a="1"/>
  <c r="Y112" i="21" s="1"/>
  <c r="Z112" i="21" a="1"/>
  <c r="Z112" i="21" s="1"/>
  <c r="Y113" i="21" a="1"/>
  <c r="Y113" i="21" s="1"/>
  <c r="Z113" i="21" a="1"/>
  <c r="Z113" i="21" s="1"/>
  <c r="Y114" i="21" a="1"/>
  <c r="Y114" i="21" s="1"/>
  <c r="Z114" i="21" a="1"/>
  <c r="Z114" i="21" s="1"/>
  <c r="Y115" i="21" a="1"/>
  <c r="Y115" i="21" s="1"/>
  <c r="Z115" i="21" a="1"/>
  <c r="Z115" i="21" s="1"/>
  <c r="Y116" i="21" a="1"/>
  <c r="Y116" i="21" s="1"/>
  <c r="Z116" i="21" a="1"/>
  <c r="Z116" i="21" s="1"/>
  <c r="Y117" i="21" a="1"/>
  <c r="Y117" i="21" s="1"/>
  <c r="Z117" i="21" a="1"/>
  <c r="Z117" i="21" s="1"/>
  <c r="Y118" i="21" a="1"/>
  <c r="Y118" i="21" s="1"/>
  <c r="Z118" i="21" a="1"/>
  <c r="Z118" i="21" s="1"/>
  <c r="Y119" i="21" a="1"/>
  <c r="Y119" i="21" s="1"/>
  <c r="Z119" i="21" a="1"/>
  <c r="Z119" i="21" s="1"/>
  <c r="Y120" i="21" a="1"/>
  <c r="Y120" i="21" s="1"/>
  <c r="Z120" i="21" a="1"/>
  <c r="Z120" i="21" s="1"/>
  <c r="Y121" i="21" a="1"/>
  <c r="Y121" i="21" s="1"/>
  <c r="Z121" i="21" a="1"/>
  <c r="Z121" i="21" s="1"/>
  <c r="Y122" i="21" a="1"/>
  <c r="Y122" i="21" s="1"/>
  <c r="Z122" i="21" a="1"/>
  <c r="Z122" i="21" s="1"/>
  <c r="Y123" i="21" a="1"/>
  <c r="Y123" i="21" s="1"/>
  <c r="Z123" i="21" a="1"/>
  <c r="Z123" i="21" s="1"/>
  <c r="Y124" i="21" a="1"/>
  <c r="Y124" i="21" s="1"/>
  <c r="Z124" i="21" a="1"/>
  <c r="Z124" i="21" s="1"/>
  <c r="Y125" i="21" a="1"/>
  <c r="Y125" i="21" s="1"/>
  <c r="Z125" i="21" a="1"/>
  <c r="Z125" i="21" s="1"/>
  <c r="Y126" i="21" a="1"/>
  <c r="Y126" i="21" s="1"/>
  <c r="Z126" i="21" a="1"/>
  <c r="Z126" i="21" s="1"/>
  <c r="Y127" i="21" a="1"/>
  <c r="Y127" i="21" s="1"/>
  <c r="Z127" i="21" a="1"/>
  <c r="Z127" i="21" s="1"/>
  <c r="Y128" i="21" a="1"/>
  <c r="Y128" i="21" s="1"/>
  <c r="Z128" i="21" a="1"/>
  <c r="Z128" i="21" s="1"/>
  <c r="Y129" i="21" a="1"/>
  <c r="Y129" i="21" s="1"/>
  <c r="Z129" i="21" a="1"/>
  <c r="Z129" i="21" s="1"/>
  <c r="Y130" i="21" a="1"/>
  <c r="Y130" i="21" s="1"/>
  <c r="Z130" i="21" a="1"/>
  <c r="Z130" i="21" s="1"/>
  <c r="Y131" i="21" a="1"/>
  <c r="Y131" i="21" s="1"/>
  <c r="Z131" i="21" a="1"/>
  <c r="Z131" i="21" s="1"/>
  <c r="Y132" i="21" a="1"/>
  <c r="Y132" i="21" s="1"/>
  <c r="Z132" i="21" a="1"/>
  <c r="Z132" i="21" s="1"/>
  <c r="Y133" i="21" a="1"/>
  <c r="Y133" i="21" s="1"/>
  <c r="Z133" i="21" a="1"/>
  <c r="Z133" i="21" s="1"/>
  <c r="Y134" i="21" a="1"/>
  <c r="Y134" i="21" s="1"/>
  <c r="Z134" i="21" a="1"/>
  <c r="Z134" i="21" s="1"/>
  <c r="Y135" i="21" a="1"/>
  <c r="Y135" i="21" s="1"/>
  <c r="Z135" i="21" a="1"/>
  <c r="Z135" i="21" s="1"/>
  <c r="Y136" i="21" a="1"/>
  <c r="Y136" i="21" s="1"/>
  <c r="Z136" i="21" a="1"/>
  <c r="Z136" i="21" s="1"/>
  <c r="Y137" i="21" a="1"/>
  <c r="Y137" i="21" s="1"/>
  <c r="Z137" i="21" a="1"/>
  <c r="Z137" i="21"/>
  <c r="Y138" i="21" a="1"/>
  <c r="Y138" i="21" s="1"/>
  <c r="Z138" i="21" a="1"/>
  <c r="Z138" i="21" s="1"/>
  <c r="Y139" i="21" a="1"/>
  <c r="Y139" i="21" s="1"/>
  <c r="Z139" i="21" a="1"/>
  <c r="Z139" i="21" s="1"/>
  <c r="Y140" i="21" a="1"/>
  <c r="Y140" i="21" s="1"/>
  <c r="Z140" i="21" a="1"/>
  <c r="Z140" i="21" s="1"/>
  <c r="Y141" i="21" a="1"/>
  <c r="Y141" i="21" s="1"/>
  <c r="Z141" i="21" a="1"/>
  <c r="Z141" i="21" s="1"/>
  <c r="Y142" i="21" a="1"/>
  <c r="Y142" i="21" s="1"/>
  <c r="Z142" i="21" a="1"/>
  <c r="Z142" i="21" s="1"/>
  <c r="Y143" i="21" a="1"/>
  <c r="Y143" i="21" s="1"/>
  <c r="Z143" i="21" a="1"/>
  <c r="Z143" i="21" s="1"/>
  <c r="Y144" i="21" a="1"/>
  <c r="Y144" i="21" s="1"/>
  <c r="Z144" i="21" a="1"/>
  <c r="Z144" i="21" s="1"/>
  <c r="Y145" i="21" a="1"/>
  <c r="Y145" i="21" s="1"/>
  <c r="Z145" i="21" a="1"/>
  <c r="Z145" i="21" s="1"/>
  <c r="Y146" i="21" a="1"/>
  <c r="Y146" i="21" s="1"/>
  <c r="Z146" i="21" a="1"/>
  <c r="Z146" i="21" s="1"/>
  <c r="Y147" i="21" a="1"/>
  <c r="Y147" i="21" s="1"/>
  <c r="Z147" i="21" a="1"/>
  <c r="Z147" i="21" s="1"/>
  <c r="Y148" i="21" a="1"/>
  <c r="Y148" i="21" s="1"/>
  <c r="Z148" i="21" a="1"/>
  <c r="Z148" i="21" s="1"/>
  <c r="Y149" i="21" a="1"/>
  <c r="Y149" i="21" s="1"/>
  <c r="Z149" i="21" a="1"/>
  <c r="Z149" i="21" s="1"/>
  <c r="Y150" i="21" a="1"/>
  <c r="Y150" i="21" s="1"/>
  <c r="Z150" i="21" a="1"/>
  <c r="Z150" i="21" s="1"/>
  <c r="Y151" i="21" a="1"/>
  <c r="Y151" i="21" s="1"/>
  <c r="Z151" i="21" a="1"/>
  <c r="Z151" i="21" s="1"/>
  <c r="Y152" i="21" a="1"/>
  <c r="Y152" i="21" s="1"/>
  <c r="Z152" i="21" a="1"/>
  <c r="Z152" i="21" s="1"/>
  <c r="Y153" i="21" a="1"/>
  <c r="Y153" i="21" s="1"/>
  <c r="Z153" i="21" a="1"/>
  <c r="Z153" i="21" s="1"/>
  <c r="Y154" i="21" a="1"/>
  <c r="Y154" i="21" s="1"/>
  <c r="Z154" i="21" a="1"/>
  <c r="Z154" i="21" s="1"/>
  <c r="Y155" i="21" a="1"/>
  <c r="Y155" i="21" s="1"/>
  <c r="Z155" i="21" a="1"/>
  <c r="Z155" i="21" s="1"/>
  <c r="Y156" i="21" a="1"/>
  <c r="Y156" i="21" s="1"/>
  <c r="Z156" i="21" a="1"/>
  <c r="Z156" i="21" s="1"/>
  <c r="Y157" i="21" a="1"/>
  <c r="Y157" i="21" s="1"/>
  <c r="Z157" i="21" a="1"/>
  <c r="Z157" i="21" s="1"/>
  <c r="Y158" i="21" a="1"/>
  <c r="Y158" i="21" s="1"/>
  <c r="Z158" i="21" a="1"/>
  <c r="Z158" i="21" s="1"/>
  <c r="Y159" i="21" a="1"/>
  <c r="Y159" i="21" s="1"/>
  <c r="Z159" i="21" a="1"/>
  <c r="Z159" i="21" s="1"/>
  <c r="Y160" i="21" a="1"/>
  <c r="Y160" i="21" s="1"/>
  <c r="Z160" i="21" a="1"/>
  <c r="Z160" i="21" s="1"/>
  <c r="Y161" i="21" a="1"/>
  <c r="Y161" i="21" s="1"/>
  <c r="Z161" i="21" a="1"/>
  <c r="Z161" i="21" s="1"/>
  <c r="Y162" i="21" a="1"/>
  <c r="Y162" i="21" s="1"/>
  <c r="Z162" i="21" a="1"/>
  <c r="Z162" i="21" s="1"/>
  <c r="Y163" i="21" a="1"/>
  <c r="Y163" i="21" s="1"/>
  <c r="Z163" i="21" a="1"/>
  <c r="Z163" i="21" s="1"/>
  <c r="Y164" i="21" a="1"/>
  <c r="Y164" i="21" s="1"/>
  <c r="Z164" i="21" a="1"/>
  <c r="Z164" i="21" s="1"/>
  <c r="Y165" i="21" a="1"/>
  <c r="Y165" i="21" s="1"/>
  <c r="Z165" i="21" a="1"/>
  <c r="Z165" i="21" s="1"/>
  <c r="Y166" i="21" a="1"/>
  <c r="Y166" i="21" s="1"/>
  <c r="Z166" i="21" a="1"/>
  <c r="Z166" i="21" s="1"/>
  <c r="Y167" i="21" a="1"/>
  <c r="Y167" i="21" s="1"/>
  <c r="Z167" i="21" a="1"/>
  <c r="Z167" i="21" s="1"/>
  <c r="Y168" i="21" a="1"/>
  <c r="Y168" i="21" s="1"/>
  <c r="Z168" i="21" a="1"/>
  <c r="Z168" i="21" s="1"/>
  <c r="Y169" i="21" a="1"/>
  <c r="Y169" i="21" s="1"/>
  <c r="Z169" i="21" a="1"/>
  <c r="Z169" i="21" s="1"/>
  <c r="Y170" i="21" a="1"/>
  <c r="Y170" i="21" s="1"/>
  <c r="Z170" i="21" a="1"/>
  <c r="Z170" i="21" s="1"/>
  <c r="Y171" i="21" a="1"/>
  <c r="Y171" i="21" s="1"/>
  <c r="Z171" i="21" a="1"/>
  <c r="Z171" i="21" s="1"/>
  <c r="Y172" i="21" a="1"/>
  <c r="Y172" i="21" s="1"/>
  <c r="Z172" i="21" a="1"/>
  <c r="Z172" i="21" s="1"/>
  <c r="Y173" i="21" a="1"/>
  <c r="Y173" i="21" s="1"/>
  <c r="Z173" i="21" a="1"/>
  <c r="Z173" i="21" s="1"/>
  <c r="Y174" i="21" a="1"/>
  <c r="Y174" i="21" s="1"/>
  <c r="Z174" i="21" a="1"/>
  <c r="Z174" i="21" s="1"/>
  <c r="Y175" i="21" a="1"/>
  <c r="Y175" i="21" s="1"/>
  <c r="Z175" i="21" a="1"/>
  <c r="Z175" i="21" s="1"/>
  <c r="Y176" i="21" a="1"/>
  <c r="Y176" i="21" s="1"/>
  <c r="Z176" i="21" a="1"/>
  <c r="Z176" i="21" s="1"/>
  <c r="Y177" i="21" a="1"/>
  <c r="Y177" i="21" s="1"/>
  <c r="Z177" i="21" a="1"/>
  <c r="Z177" i="21" s="1"/>
  <c r="Y178" i="21" a="1"/>
  <c r="Y178" i="21" s="1"/>
  <c r="Z178" i="21" a="1"/>
  <c r="Z178" i="21" s="1"/>
  <c r="Y179" i="21" a="1"/>
  <c r="Y179" i="21" s="1"/>
  <c r="Z179" i="21" a="1"/>
  <c r="Z179" i="21" s="1"/>
  <c r="Y180" i="21" a="1"/>
  <c r="Y180" i="21" s="1"/>
  <c r="Z180" i="21" a="1"/>
  <c r="Z180" i="21" s="1"/>
  <c r="Y181" i="21" a="1"/>
  <c r="Y181" i="21" s="1"/>
  <c r="Z181" i="21" a="1"/>
  <c r="Z181" i="21" s="1"/>
  <c r="Y182" i="21" a="1"/>
  <c r="Y182" i="21" s="1"/>
  <c r="Z182" i="21" a="1"/>
  <c r="Z182" i="21" s="1"/>
  <c r="Y183" i="21" a="1"/>
  <c r="Y183" i="21" s="1"/>
  <c r="Z183" i="21" a="1"/>
  <c r="Z183" i="21" s="1"/>
  <c r="Y184" i="21" a="1"/>
  <c r="Y184" i="21" s="1"/>
  <c r="Z184" i="21" a="1"/>
  <c r="Z184" i="21" s="1"/>
  <c r="Y185" i="21" a="1"/>
  <c r="Y185" i="21" s="1"/>
  <c r="Z185" i="21" a="1"/>
  <c r="Z185" i="21" s="1"/>
  <c r="Y186" i="21" a="1"/>
  <c r="Y186" i="21" s="1"/>
  <c r="Z186" i="21" a="1"/>
  <c r="Z186" i="21" s="1"/>
  <c r="Y187" i="21" a="1"/>
  <c r="Y187" i="21" s="1"/>
  <c r="Z187" i="21" a="1"/>
  <c r="Z187" i="21" s="1"/>
  <c r="Y188" i="21" a="1"/>
  <c r="Y188" i="21" s="1"/>
  <c r="Z188" i="21" a="1"/>
  <c r="Z188" i="21" s="1"/>
  <c r="Y189" i="21" a="1"/>
  <c r="Y189" i="21" s="1"/>
  <c r="Z189" i="21" a="1"/>
  <c r="Z189" i="21" s="1"/>
  <c r="Y190" i="21" a="1"/>
  <c r="Y190" i="21" s="1"/>
  <c r="Z190" i="21" a="1"/>
  <c r="Z190" i="21" s="1"/>
  <c r="Y191" i="21" a="1"/>
  <c r="Y191" i="21" s="1"/>
  <c r="Z191" i="21" a="1"/>
  <c r="Z191" i="21" s="1"/>
  <c r="Y192" i="21" a="1"/>
  <c r="Y192" i="21" s="1"/>
  <c r="Z192" i="21" a="1"/>
  <c r="Z192" i="21" s="1"/>
  <c r="Y193" i="21" a="1"/>
  <c r="Y193" i="21" s="1"/>
  <c r="Z193" i="21" a="1"/>
  <c r="Z193" i="21" s="1"/>
  <c r="Y194" i="21" a="1"/>
  <c r="Y194" i="21" s="1"/>
  <c r="Z194" i="21" a="1"/>
  <c r="Z194" i="21" s="1"/>
  <c r="Y195" i="21" a="1"/>
  <c r="Y195" i="21" s="1"/>
  <c r="Z195" i="21" a="1"/>
  <c r="Z195" i="21" s="1"/>
  <c r="Y196" i="21" a="1"/>
  <c r="Y196" i="21" s="1"/>
  <c r="Z196" i="21" a="1"/>
  <c r="Z196" i="21" s="1"/>
  <c r="Y197" i="21" a="1"/>
  <c r="Y197" i="21" s="1"/>
  <c r="Z197" i="21" a="1"/>
  <c r="Z197" i="21" s="1"/>
  <c r="Y198" i="21" a="1"/>
  <c r="Y198" i="21" s="1"/>
  <c r="Z198" i="21" a="1"/>
  <c r="Z198" i="21" s="1"/>
  <c r="Y199" i="21" a="1"/>
  <c r="Y199" i="21" s="1"/>
  <c r="Z199" i="21" a="1"/>
  <c r="Z199" i="21" s="1"/>
  <c r="Y200" i="21" a="1"/>
  <c r="Y200" i="21" s="1"/>
  <c r="Z200" i="21" a="1"/>
  <c r="Z200" i="21" s="1"/>
  <c r="Y201" i="21" a="1"/>
  <c r="Y201" i="21" s="1"/>
  <c r="Z201" i="21" a="1"/>
  <c r="Z201" i="21" s="1"/>
  <c r="Y202" i="21" a="1"/>
  <c r="Y202" i="21" s="1"/>
  <c r="Z202" i="21" a="1"/>
  <c r="Z202" i="21" s="1"/>
  <c r="Y203" i="21" a="1"/>
  <c r="Y203" i="21" s="1"/>
  <c r="Z203" i="21" a="1"/>
  <c r="Z203" i="21" s="1"/>
  <c r="Y204" i="21" a="1"/>
  <c r="Y204" i="21" s="1"/>
  <c r="Z204" i="21" a="1"/>
  <c r="Z204" i="21" s="1"/>
  <c r="Y205" i="21" a="1"/>
  <c r="Y205" i="21" s="1"/>
  <c r="Z205" i="21" a="1"/>
  <c r="Z205" i="21" s="1"/>
  <c r="Y206" i="21" a="1"/>
  <c r="Y206" i="21" s="1"/>
  <c r="Z206" i="21" a="1"/>
  <c r="Z206" i="21" s="1"/>
  <c r="Y207" i="21" a="1"/>
  <c r="Y207" i="21" s="1"/>
  <c r="Z207" i="21" a="1"/>
  <c r="Z207" i="21" s="1"/>
  <c r="Y208" i="21" a="1"/>
  <c r="Y208" i="21" s="1"/>
  <c r="Z208" i="21" a="1"/>
  <c r="Z208" i="21" s="1"/>
  <c r="Y209" i="21" a="1"/>
  <c r="Y209" i="21" s="1"/>
  <c r="Z209" i="21" a="1"/>
  <c r="Z209" i="21" s="1"/>
  <c r="Y210" i="21" a="1"/>
  <c r="Y210" i="21" s="1"/>
  <c r="Z210" i="21" a="1"/>
  <c r="Z210" i="21" s="1"/>
  <c r="Y211" i="21" a="1"/>
  <c r="Y211" i="21" s="1"/>
  <c r="Z211" i="21" a="1"/>
  <c r="Z211" i="21" s="1"/>
  <c r="Y212" i="21" a="1"/>
  <c r="Y212" i="21" s="1"/>
  <c r="Z212" i="21" a="1"/>
  <c r="Z212" i="21" s="1"/>
  <c r="Y213" i="21" a="1"/>
  <c r="Y213" i="21" s="1"/>
  <c r="Z213" i="21" a="1"/>
  <c r="Z213" i="21" s="1"/>
  <c r="Y214" i="21" a="1"/>
  <c r="Y214" i="21" s="1"/>
  <c r="Z214" i="21" a="1"/>
  <c r="Z214" i="21" s="1"/>
  <c r="Y215" i="21" a="1"/>
  <c r="Y215" i="21" s="1"/>
  <c r="Z215" i="21" a="1"/>
  <c r="Z215" i="21" s="1"/>
  <c r="Y216" i="21" a="1"/>
  <c r="Y216" i="21" s="1"/>
  <c r="Z216" i="21" a="1"/>
  <c r="Z216" i="21" s="1"/>
  <c r="Y217" i="21" a="1"/>
  <c r="Y217" i="21" s="1"/>
  <c r="Z217" i="21" a="1"/>
  <c r="Z217" i="21" s="1"/>
  <c r="Y218" i="21" a="1"/>
  <c r="Y218" i="21" s="1"/>
  <c r="Z218" i="21" a="1"/>
  <c r="Z218" i="21" s="1"/>
  <c r="Y219" i="21" a="1"/>
  <c r="Y219" i="21" s="1"/>
  <c r="Z219" i="21" a="1"/>
  <c r="Z219" i="21" s="1"/>
  <c r="Y220" i="21" a="1"/>
  <c r="Y220" i="21" s="1"/>
  <c r="Z220" i="21" a="1"/>
  <c r="Z220" i="21" s="1"/>
  <c r="Y221" i="21" a="1"/>
  <c r="Y221" i="21" s="1"/>
  <c r="Z221" i="21" a="1"/>
  <c r="Z221" i="21" s="1"/>
  <c r="Y222" i="21" a="1"/>
  <c r="Y222" i="21" s="1"/>
  <c r="Z222" i="21" a="1"/>
  <c r="Z222" i="21" s="1"/>
  <c r="Y223" i="21" a="1"/>
  <c r="Y223" i="21" s="1"/>
  <c r="Z223" i="21" a="1"/>
  <c r="Z223" i="21" s="1"/>
  <c r="Y224" i="21" a="1"/>
  <c r="Y224" i="21" s="1"/>
  <c r="Z224" i="21" a="1"/>
  <c r="Z224" i="21" s="1"/>
  <c r="Y225" i="21" a="1"/>
  <c r="Y225" i="21" s="1"/>
  <c r="Z225" i="21" a="1"/>
  <c r="Z225" i="21" s="1"/>
  <c r="Y226" i="21" a="1"/>
  <c r="Y226" i="21" s="1"/>
  <c r="Z226" i="21" a="1"/>
  <c r="Z226" i="21" s="1"/>
  <c r="Y227" i="21" a="1"/>
  <c r="Y227" i="21" s="1"/>
  <c r="Z227" i="21" a="1"/>
  <c r="Z227" i="21" s="1"/>
  <c r="Y228" i="21" a="1"/>
  <c r="Y228" i="21" s="1"/>
  <c r="Z228" i="21" a="1"/>
  <c r="Z228" i="21" s="1"/>
  <c r="Y229" i="21" a="1"/>
  <c r="Y229" i="21" s="1"/>
  <c r="Z229" i="21" a="1"/>
  <c r="Z229" i="21" s="1"/>
  <c r="Y230" i="21" a="1"/>
  <c r="Y230" i="21" s="1"/>
  <c r="Z230" i="21" a="1"/>
  <c r="Z230" i="21" s="1"/>
  <c r="Y231" i="21" a="1"/>
  <c r="Y231" i="21" s="1"/>
  <c r="Z231" i="21" a="1"/>
  <c r="Z231" i="21" s="1"/>
  <c r="Y232" i="21" a="1"/>
  <c r="Y232" i="21" s="1"/>
  <c r="Z232" i="21" a="1"/>
  <c r="Z232" i="21" s="1"/>
  <c r="Y233" i="21" a="1"/>
  <c r="Y233" i="21" s="1"/>
  <c r="Z233" i="21" a="1"/>
  <c r="Z233" i="21" s="1"/>
  <c r="Y234" i="21" a="1"/>
  <c r="Y234" i="21" s="1"/>
  <c r="Z234" i="21" a="1"/>
  <c r="Z234" i="21" s="1"/>
  <c r="Y235" i="21" a="1"/>
  <c r="Y235" i="21" s="1"/>
  <c r="Z235" i="21" a="1"/>
  <c r="Z235" i="21" s="1"/>
  <c r="Y236" i="21" a="1"/>
  <c r="Y236" i="21" s="1"/>
  <c r="Z236" i="21" a="1"/>
  <c r="Z236" i="21" s="1"/>
  <c r="Y237" i="21" a="1"/>
  <c r="Y237" i="21" s="1"/>
  <c r="Z237" i="21" a="1"/>
  <c r="Z237" i="21" s="1"/>
  <c r="Y238" i="21" a="1"/>
  <c r="Y238" i="21" s="1"/>
  <c r="Z238" i="21" a="1"/>
  <c r="Z238" i="21" s="1"/>
  <c r="Y239" i="21" a="1"/>
  <c r="Y239" i="21" s="1"/>
  <c r="Z239" i="21" a="1"/>
  <c r="Z239" i="21" s="1"/>
  <c r="Y240" i="21" a="1"/>
  <c r="Y240" i="21" s="1"/>
  <c r="Z240" i="21" a="1"/>
  <c r="Z240" i="21" s="1"/>
  <c r="Y241" i="21" a="1"/>
  <c r="Y241" i="21" s="1"/>
  <c r="Z241" i="21" a="1"/>
  <c r="Z241" i="21" s="1"/>
  <c r="Y242" i="21" a="1"/>
  <c r="Y242" i="21" s="1"/>
  <c r="Z242" i="21" a="1"/>
  <c r="Z242" i="21" s="1"/>
  <c r="Y243" i="21" a="1"/>
  <c r="Y243" i="21" s="1"/>
  <c r="Z243" i="21" a="1"/>
  <c r="Z243" i="21" s="1"/>
  <c r="Y244" i="21" a="1"/>
  <c r="Y244" i="21" s="1"/>
  <c r="Z244" i="21" a="1"/>
  <c r="Z244" i="21" s="1"/>
  <c r="Y245" i="21" a="1"/>
  <c r="Y245" i="21" s="1"/>
  <c r="Z245" i="21" a="1"/>
  <c r="Z245" i="21" s="1"/>
  <c r="Y246" i="21" a="1"/>
  <c r="Y246" i="21" s="1"/>
  <c r="Z246" i="21" a="1"/>
  <c r="Z246" i="21" s="1"/>
  <c r="Y247" i="21" a="1"/>
  <c r="Y247" i="21" s="1"/>
  <c r="Z247" i="21" a="1"/>
  <c r="Z247" i="21" s="1"/>
  <c r="Y248" i="21" a="1"/>
  <c r="Y248" i="21" s="1"/>
  <c r="Z248" i="21" a="1"/>
  <c r="Z248" i="21" s="1"/>
  <c r="Y249" i="21" a="1"/>
  <c r="Y249" i="21" s="1"/>
  <c r="Z249" i="21" a="1"/>
  <c r="Z249" i="21" s="1"/>
  <c r="Y250" i="21" a="1"/>
  <c r="Y250" i="21" s="1"/>
  <c r="Z250" i="21" a="1"/>
  <c r="Z250" i="21" s="1"/>
  <c r="Y251" i="21" a="1"/>
  <c r="Y251" i="21" s="1"/>
  <c r="Z251" i="21" a="1"/>
  <c r="Z251" i="21" s="1"/>
  <c r="Y252" i="21" a="1"/>
  <c r="Y252" i="21" s="1"/>
  <c r="Z252" i="21" a="1"/>
  <c r="Z252" i="21" s="1"/>
  <c r="Y253" i="21" a="1"/>
  <c r="Y253" i="21" s="1"/>
  <c r="Z253" i="21" a="1"/>
  <c r="Z253" i="21" s="1"/>
  <c r="Y254" i="21" a="1"/>
  <c r="Y254" i="21" s="1"/>
  <c r="Z254" i="21" a="1"/>
  <c r="Z254" i="21" s="1"/>
  <c r="Y255" i="21" a="1"/>
  <c r="Y255" i="21" s="1"/>
  <c r="Z255" i="21" a="1"/>
  <c r="Z255" i="21" s="1"/>
  <c r="Y256" i="21" a="1"/>
  <c r="Y256" i="21" s="1"/>
  <c r="Z256" i="21" a="1"/>
  <c r="Z256" i="21" s="1"/>
  <c r="Y257" i="21" a="1"/>
  <c r="Y257" i="21" s="1"/>
  <c r="Z257" i="21" a="1"/>
  <c r="Z257" i="21" s="1"/>
  <c r="Z2" i="21" a="1"/>
  <c r="Z2" i="21" s="1"/>
  <c r="Y2" i="21" a="1"/>
  <c r="Y2" i="21" s="1"/>
  <c r="Y3" i="19" a="1"/>
  <c r="Y3" i="19" s="1"/>
  <c r="Z3" i="19" a="1"/>
  <c r="Z3" i="19" s="1"/>
  <c r="Y4" i="19" a="1"/>
  <c r="Y4" i="19" s="1"/>
  <c r="Z4" i="19" a="1"/>
  <c r="Z4" i="19" s="1"/>
  <c r="Y5" i="19" a="1"/>
  <c r="Y5" i="19" s="1"/>
  <c r="Z5" i="19" a="1"/>
  <c r="Z5" i="19" s="1"/>
  <c r="Y6" i="19" a="1"/>
  <c r="Y6" i="19" s="1"/>
  <c r="Z6" i="19" a="1"/>
  <c r="Z6" i="19" s="1"/>
  <c r="Y7" i="19" a="1"/>
  <c r="Y7" i="19" s="1"/>
  <c r="Z7" i="19" a="1"/>
  <c r="Z7" i="19" s="1"/>
  <c r="Y8" i="19" a="1"/>
  <c r="Y8" i="19" s="1"/>
  <c r="Z8" i="19" a="1"/>
  <c r="Z8" i="19" s="1"/>
  <c r="Y9" i="19" a="1"/>
  <c r="Y9" i="19" s="1"/>
  <c r="Z9" i="19" a="1"/>
  <c r="Z9" i="19" s="1"/>
  <c r="Y10" i="19" a="1"/>
  <c r="Y10" i="19" s="1"/>
  <c r="Z10" i="19" a="1"/>
  <c r="Z10" i="19" s="1"/>
  <c r="Y11" i="19" a="1"/>
  <c r="Y11" i="19" s="1"/>
  <c r="Z11" i="19" a="1"/>
  <c r="Z11" i="19" s="1"/>
  <c r="Y12" i="19" a="1"/>
  <c r="Y12" i="19" s="1"/>
  <c r="Z12" i="19" a="1"/>
  <c r="Z12" i="19" s="1"/>
  <c r="Y13" i="19" a="1"/>
  <c r="Y13" i="19" s="1"/>
  <c r="Z13" i="19" a="1"/>
  <c r="Z13" i="19" s="1"/>
  <c r="Y14" i="19" a="1"/>
  <c r="Y14" i="19" s="1"/>
  <c r="Z14" i="19" a="1"/>
  <c r="Z14" i="19" s="1"/>
  <c r="Y15" i="19" a="1"/>
  <c r="Y15" i="19" s="1"/>
  <c r="Z15" i="19" a="1"/>
  <c r="Z15" i="19" s="1"/>
  <c r="Y16" i="19" a="1"/>
  <c r="Y16" i="19" s="1"/>
  <c r="Z16" i="19" a="1"/>
  <c r="Z16" i="19" s="1"/>
  <c r="Y17" i="19" a="1"/>
  <c r="Y17" i="19" s="1"/>
  <c r="Z17" i="19" a="1"/>
  <c r="Z17" i="19" s="1"/>
  <c r="Y18" i="19" a="1"/>
  <c r="Y18" i="19" s="1"/>
  <c r="Z18" i="19" a="1"/>
  <c r="Z18" i="19" s="1"/>
  <c r="Y19" i="19" a="1"/>
  <c r="Y19" i="19" s="1"/>
  <c r="Z19" i="19" a="1"/>
  <c r="Z19" i="19" s="1"/>
  <c r="Y20" i="19" a="1"/>
  <c r="Y20" i="19" s="1"/>
  <c r="Z20" i="19" a="1"/>
  <c r="Z20" i="19" s="1"/>
  <c r="Y21" i="19" a="1"/>
  <c r="Y21" i="19" s="1"/>
  <c r="Z21" i="19" a="1"/>
  <c r="Z21" i="19" s="1"/>
  <c r="Y22" i="19" a="1"/>
  <c r="Y22" i="19" s="1"/>
  <c r="Z22" i="19" a="1"/>
  <c r="Z22" i="19" s="1"/>
  <c r="Y23" i="19" a="1"/>
  <c r="Y23" i="19" s="1"/>
  <c r="Z23" i="19" a="1"/>
  <c r="Z23" i="19" s="1"/>
  <c r="Y24" i="19" a="1"/>
  <c r="Y24" i="19" s="1"/>
  <c r="Z24" i="19" a="1"/>
  <c r="Z24" i="19" s="1"/>
  <c r="Y25" i="19" a="1"/>
  <c r="Y25" i="19" s="1"/>
  <c r="Z25" i="19" a="1"/>
  <c r="Z25" i="19" s="1"/>
  <c r="Y26" i="19" a="1"/>
  <c r="Y26" i="19" s="1"/>
  <c r="Z26" i="19" a="1"/>
  <c r="Z26" i="19" s="1"/>
  <c r="Y27" i="19" a="1"/>
  <c r="Y27" i="19" s="1"/>
  <c r="Z27" i="19" a="1"/>
  <c r="Z27" i="19" s="1"/>
  <c r="Y28" i="19" a="1"/>
  <c r="Y28" i="19" s="1"/>
  <c r="Z28" i="19" a="1"/>
  <c r="Z28" i="19" s="1"/>
  <c r="Y29" i="19" a="1"/>
  <c r="Y29" i="19" s="1"/>
  <c r="Z29" i="19" a="1"/>
  <c r="Z29" i="19" s="1"/>
  <c r="Y30" i="19" a="1"/>
  <c r="Y30" i="19" s="1"/>
  <c r="Z30" i="19" a="1"/>
  <c r="Z30" i="19" s="1"/>
  <c r="Y31" i="19" a="1"/>
  <c r="Y31" i="19" s="1"/>
  <c r="Z31" i="19" a="1"/>
  <c r="Z31" i="19" s="1"/>
  <c r="Y32" i="19" a="1"/>
  <c r="Y32" i="19" s="1"/>
  <c r="Z32" i="19" a="1"/>
  <c r="Z32" i="19" s="1"/>
  <c r="Y33" i="19" a="1"/>
  <c r="Y33" i="19" s="1"/>
  <c r="Z33" i="19" a="1"/>
  <c r="Z33" i="19" s="1"/>
  <c r="Y34" i="19" a="1"/>
  <c r="Y34" i="19" s="1"/>
  <c r="Z34" i="19" a="1"/>
  <c r="Z34" i="19" s="1"/>
  <c r="Y35" i="19" a="1"/>
  <c r="Y35" i="19" s="1"/>
  <c r="Z35" i="19" a="1"/>
  <c r="Z35" i="19" s="1"/>
  <c r="Y36" i="19" a="1"/>
  <c r="Y36" i="19" s="1"/>
  <c r="Z36" i="19" a="1"/>
  <c r="Z36" i="19" s="1"/>
  <c r="Y37" i="19" a="1"/>
  <c r="Y37" i="19" s="1"/>
  <c r="Z37" i="19" a="1"/>
  <c r="Z37" i="19" s="1"/>
  <c r="Y38" i="19" a="1"/>
  <c r="Y38" i="19" s="1"/>
  <c r="Z38" i="19" a="1"/>
  <c r="Z38" i="19" s="1"/>
  <c r="Y39" i="19" a="1"/>
  <c r="Y39" i="19" s="1"/>
  <c r="Z39" i="19" a="1"/>
  <c r="Z39" i="19" s="1"/>
  <c r="Y40" i="19" a="1"/>
  <c r="Y40" i="19" s="1"/>
  <c r="Z40" i="19" a="1"/>
  <c r="Z40" i="19" s="1"/>
  <c r="Y41" i="19" a="1"/>
  <c r="Y41" i="19" s="1"/>
  <c r="Z41" i="19" a="1"/>
  <c r="Z41" i="19" s="1"/>
  <c r="Y42" i="19" a="1"/>
  <c r="Y42" i="19" s="1"/>
  <c r="Z42" i="19" a="1"/>
  <c r="Z42" i="19" s="1"/>
  <c r="Y43" i="19" a="1"/>
  <c r="Y43" i="19" s="1"/>
  <c r="Z43" i="19" a="1"/>
  <c r="Z43" i="19" s="1"/>
  <c r="Y44" i="19" a="1"/>
  <c r="Y44" i="19" s="1"/>
  <c r="Z44" i="19" a="1"/>
  <c r="Z44" i="19" s="1"/>
  <c r="Y45" i="19" a="1"/>
  <c r="Y45" i="19" s="1"/>
  <c r="Z45" i="19" a="1"/>
  <c r="Z45" i="19" s="1"/>
  <c r="Y46" i="19" a="1"/>
  <c r="Y46" i="19" s="1"/>
  <c r="Z46" i="19" a="1"/>
  <c r="Z46" i="19" s="1"/>
  <c r="Y47" i="19" a="1"/>
  <c r="Y47" i="19" s="1"/>
  <c r="Z47" i="19" a="1"/>
  <c r="Z47" i="19" s="1"/>
  <c r="Y48" i="19" a="1"/>
  <c r="Y48" i="19" s="1"/>
  <c r="Z48" i="19" a="1"/>
  <c r="Z48" i="19" s="1"/>
  <c r="Y49" i="19" a="1"/>
  <c r="Y49" i="19" s="1"/>
  <c r="Z49" i="19" a="1"/>
  <c r="Z49" i="19" s="1"/>
  <c r="Y50" i="19" a="1"/>
  <c r="Y50" i="19" s="1"/>
  <c r="Z50" i="19" a="1"/>
  <c r="Z50" i="19" s="1"/>
  <c r="Y51" i="19" a="1"/>
  <c r="Y51" i="19" s="1"/>
  <c r="Z51" i="19" a="1"/>
  <c r="Z51" i="19" s="1"/>
  <c r="Y52" i="19" a="1"/>
  <c r="Y52" i="19" s="1"/>
  <c r="Z52" i="19" a="1"/>
  <c r="Z52" i="19" s="1"/>
  <c r="Y53" i="19" a="1"/>
  <c r="Y53" i="19" s="1"/>
  <c r="Z53" i="19" a="1"/>
  <c r="Z53" i="19" s="1"/>
  <c r="Y54" i="19" a="1"/>
  <c r="Y54" i="19" s="1"/>
  <c r="Z54" i="19" a="1"/>
  <c r="Z54" i="19" s="1"/>
  <c r="Y55" i="19" a="1"/>
  <c r="Y55" i="19" s="1"/>
  <c r="Z55" i="19" a="1"/>
  <c r="Z55" i="19" s="1"/>
  <c r="Y56" i="19" a="1"/>
  <c r="Y56" i="19" s="1"/>
  <c r="Z56" i="19" a="1"/>
  <c r="Z56" i="19" s="1"/>
  <c r="Y57" i="19" a="1"/>
  <c r="Y57" i="19" s="1"/>
  <c r="Z57" i="19" a="1"/>
  <c r="Z57" i="19" s="1"/>
  <c r="Y58" i="19" a="1"/>
  <c r="Y58" i="19" s="1"/>
  <c r="Z58" i="19" a="1"/>
  <c r="Z58" i="19" s="1"/>
  <c r="Y59" i="19" a="1"/>
  <c r="Y59" i="19" s="1"/>
  <c r="Z59" i="19" a="1"/>
  <c r="Z59" i="19" s="1"/>
  <c r="Y60" i="19" a="1"/>
  <c r="Y60" i="19" s="1"/>
  <c r="Z60" i="19" a="1"/>
  <c r="Z60" i="19" s="1"/>
  <c r="Y61" i="19" a="1"/>
  <c r="Y61" i="19" s="1"/>
  <c r="Z61" i="19" a="1"/>
  <c r="Z61" i="19" s="1"/>
  <c r="Y62" i="19" a="1"/>
  <c r="Y62" i="19" s="1"/>
  <c r="Z62" i="19" a="1"/>
  <c r="Z62" i="19" s="1"/>
  <c r="Y63" i="19" a="1"/>
  <c r="Y63" i="19" s="1"/>
  <c r="Z63" i="19" a="1"/>
  <c r="Z63" i="19" s="1"/>
  <c r="Y64" i="19" a="1"/>
  <c r="Y64" i="19" s="1"/>
  <c r="Z64" i="19" a="1"/>
  <c r="Z64" i="19" s="1"/>
  <c r="Y65" i="19" a="1"/>
  <c r="Y65" i="19" s="1"/>
  <c r="Z65" i="19" a="1"/>
  <c r="Z65" i="19" s="1"/>
  <c r="Y66" i="19" a="1"/>
  <c r="Y66" i="19" s="1"/>
  <c r="Z66" i="19" a="1"/>
  <c r="Z66" i="19" s="1"/>
  <c r="Y67" i="19" a="1"/>
  <c r="Y67" i="19" s="1"/>
  <c r="Z67" i="19" a="1"/>
  <c r="Z67" i="19" s="1"/>
  <c r="Y68" i="19" a="1"/>
  <c r="Y68" i="19" s="1"/>
  <c r="Z68" i="19" a="1"/>
  <c r="Z68" i="19" s="1"/>
  <c r="Y69" i="19" a="1"/>
  <c r="Y69" i="19" s="1"/>
  <c r="Z69" i="19" a="1"/>
  <c r="Z69" i="19" s="1"/>
  <c r="Y70" i="19" a="1"/>
  <c r="Y70" i="19" s="1"/>
  <c r="Z70" i="19" a="1"/>
  <c r="Z70" i="19" s="1"/>
  <c r="Y71" i="19" a="1"/>
  <c r="Y71" i="19" s="1"/>
  <c r="Z71" i="19" a="1"/>
  <c r="Z71" i="19" s="1"/>
  <c r="Y72" i="19" a="1"/>
  <c r="Y72" i="19" s="1"/>
  <c r="Z72" i="19" a="1"/>
  <c r="Z72" i="19" s="1"/>
  <c r="Y73" i="19" a="1"/>
  <c r="Y73" i="19" s="1"/>
  <c r="Z73" i="19" a="1"/>
  <c r="Z73" i="19" s="1"/>
  <c r="Y74" i="19" a="1"/>
  <c r="Y74" i="19" s="1"/>
  <c r="Z74" i="19" a="1"/>
  <c r="Z74" i="19" s="1"/>
  <c r="Y75" i="19" a="1"/>
  <c r="Y75" i="19" s="1"/>
  <c r="Z75" i="19" a="1"/>
  <c r="Z75" i="19" s="1"/>
  <c r="Y76" i="19" a="1"/>
  <c r="Y76" i="19" s="1"/>
  <c r="Z76" i="19" a="1"/>
  <c r="Z76" i="19" s="1"/>
  <c r="Y77" i="19" a="1"/>
  <c r="Y77" i="19" s="1"/>
  <c r="Z77" i="19" a="1"/>
  <c r="Z77" i="19" s="1"/>
  <c r="Y78" i="19" a="1"/>
  <c r="Y78" i="19" s="1"/>
  <c r="Z78" i="19" a="1"/>
  <c r="Z78" i="19" s="1"/>
  <c r="Y79" i="19" a="1"/>
  <c r="Y79" i="19" s="1"/>
  <c r="Z79" i="19" a="1"/>
  <c r="Z79" i="19" s="1"/>
  <c r="Y80" i="19" a="1"/>
  <c r="Y80" i="19" s="1"/>
  <c r="Z80" i="19" a="1"/>
  <c r="Z80" i="19" s="1"/>
  <c r="Y81" i="19" a="1"/>
  <c r="Y81" i="19" s="1"/>
  <c r="Z81" i="19" a="1"/>
  <c r="Z81" i="19" s="1"/>
  <c r="Y82" i="19" a="1"/>
  <c r="Y82" i="19" s="1"/>
  <c r="Z82" i="19" a="1"/>
  <c r="Z82" i="19" s="1"/>
  <c r="Y83" i="19" a="1"/>
  <c r="Y83" i="19" s="1"/>
  <c r="Z83" i="19" a="1"/>
  <c r="Z83" i="19" s="1"/>
  <c r="Y84" i="19" a="1"/>
  <c r="Y84" i="19" s="1"/>
  <c r="Z84" i="19" a="1"/>
  <c r="Z84" i="19" s="1"/>
  <c r="Y85" i="19" a="1"/>
  <c r="Y85" i="19" s="1"/>
  <c r="Z85" i="19" a="1"/>
  <c r="Z85" i="19" s="1"/>
  <c r="Y86" i="19" a="1"/>
  <c r="Y86" i="19" s="1"/>
  <c r="Z86" i="19" a="1"/>
  <c r="Z86" i="19" s="1"/>
  <c r="Y87" i="19" a="1"/>
  <c r="Y87" i="19" s="1"/>
  <c r="Z87" i="19" a="1"/>
  <c r="Z87" i="19" s="1"/>
  <c r="Y88" i="19" a="1"/>
  <c r="Y88" i="19" s="1"/>
  <c r="Z88" i="19" a="1"/>
  <c r="Z88" i="19" s="1"/>
  <c r="Y89" i="19" a="1"/>
  <c r="Y89" i="19" s="1"/>
  <c r="Z89" i="19" a="1"/>
  <c r="Z89" i="19" s="1"/>
  <c r="Y90" i="19" a="1"/>
  <c r="Y90" i="19" s="1"/>
  <c r="Z90" i="19" a="1"/>
  <c r="Z90" i="19" s="1"/>
  <c r="Y91" i="19" a="1"/>
  <c r="Y91" i="19" s="1"/>
  <c r="Z91" i="19" a="1"/>
  <c r="Z91" i="19" s="1"/>
  <c r="Y92" i="19" a="1"/>
  <c r="Y92" i="19" s="1"/>
  <c r="Z92" i="19" a="1"/>
  <c r="Z92" i="19" s="1"/>
  <c r="Y93" i="19" a="1"/>
  <c r="Y93" i="19" s="1"/>
  <c r="Z93" i="19" a="1"/>
  <c r="Z93" i="19" s="1"/>
  <c r="Y94" i="19" a="1"/>
  <c r="Y94" i="19" s="1"/>
  <c r="Z94" i="19" a="1"/>
  <c r="Z94" i="19" s="1"/>
  <c r="Y95" i="19" a="1"/>
  <c r="Y95" i="19" s="1"/>
  <c r="Z95" i="19" a="1"/>
  <c r="Z95" i="19" s="1"/>
  <c r="Y96" i="19" a="1"/>
  <c r="Y96" i="19" s="1"/>
  <c r="Z96" i="19" a="1"/>
  <c r="Z96" i="19" s="1"/>
  <c r="Y97" i="19" a="1"/>
  <c r="Y97" i="19" s="1"/>
  <c r="Z97" i="19" a="1"/>
  <c r="Z97" i="19" s="1"/>
  <c r="Y98" i="19" a="1"/>
  <c r="Y98" i="19" s="1"/>
  <c r="Z98" i="19" a="1"/>
  <c r="Z98" i="19" s="1"/>
  <c r="Y99" i="19" a="1"/>
  <c r="Y99" i="19" s="1"/>
  <c r="Z99" i="19" a="1"/>
  <c r="Z99" i="19" s="1"/>
  <c r="Y100" i="19" a="1"/>
  <c r="Y100" i="19" s="1"/>
  <c r="Z100" i="19" a="1"/>
  <c r="Z100" i="19" s="1"/>
  <c r="Y101" i="19" a="1"/>
  <c r="Y101" i="19" s="1"/>
  <c r="Z101" i="19" a="1"/>
  <c r="Z101" i="19" s="1"/>
  <c r="Y102" i="19" a="1"/>
  <c r="Y102" i="19" s="1"/>
  <c r="Z102" i="19" a="1"/>
  <c r="Z102" i="19" s="1"/>
  <c r="Y103" i="19" a="1"/>
  <c r="Y103" i="19" s="1"/>
  <c r="Z103" i="19" a="1"/>
  <c r="Z103" i="19" s="1"/>
  <c r="Y104" i="19" a="1"/>
  <c r="Y104" i="19" s="1"/>
  <c r="Z104" i="19" a="1"/>
  <c r="Z104" i="19" s="1"/>
  <c r="Y105" i="19" a="1"/>
  <c r="Y105" i="19" s="1"/>
  <c r="Z105" i="19" a="1"/>
  <c r="Z105" i="19" s="1"/>
  <c r="Y106" i="19" a="1"/>
  <c r="Y106" i="19" s="1"/>
  <c r="Z106" i="19" a="1"/>
  <c r="Z106" i="19" s="1"/>
  <c r="Y107" i="19" a="1"/>
  <c r="Y107" i="19" s="1"/>
  <c r="Z107" i="19" a="1"/>
  <c r="Z107" i="19" s="1"/>
  <c r="Y108" i="19" a="1"/>
  <c r="Y108" i="19" s="1"/>
  <c r="Z108" i="19" a="1"/>
  <c r="Z108" i="19" s="1"/>
  <c r="Y109" i="19" a="1"/>
  <c r="Y109" i="19" s="1"/>
  <c r="Z109" i="19" a="1"/>
  <c r="Z109" i="19" s="1"/>
  <c r="Y110" i="19" a="1"/>
  <c r="Y110" i="19" s="1"/>
  <c r="Z110" i="19" a="1"/>
  <c r="Z110" i="19" s="1"/>
  <c r="Y111" i="19" a="1"/>
  <c r="Y111" i="19" s="1"/>
  <c r="Z111" i="19" a="1"/>
  <c r="Z111" i="19" s="1"/>
  <c r="Y112" i="19" a="1"/>
  <c r="Y112" i="19" s="1"/>
  <c r="Z112" i="19" a="1"/>
  <c r="Z112" i="19" s="1"/>
  <c r="Y113" i="19" a="1"/>
  <c r="Y113" i="19" s="1"/>
  <c r="Z113" i="19" a="1"/>
  <c r="Z113" i="19" s="1"/>
  <c r="Y114" i="19" a="1"/>
  <c r="Y114" i="19" s="1"/>
  <c r="Z114" i="19" a="1"/>
  <c r="Z114" i="19" s="1"/>
  <c r="Y115" i="19" a="1"/>
  <c r="Y115" i="19" s="1"/>
  <c r="Z115" i="19" a="1"/>
  <c r="Z115" i="19" s="1"/>
  <c r="Y116" i="19" a="1"/>
  <c r="Y116" i="19" s="1"/>
  <c r="Z116" i="19" a="1"/>
  <c r="Z116" i="19" s="1"/>
  <c r="Y117" i="19" a="1"/>
  <c r="Y117" i="19" s="1"/>
  <c r="Z117" i="19" a="1"/>
  <c r="Z117" i="19" s="1"/>
  <c r="Y118" i="19" a="1"/>
  <c r="Y118" i="19" s="1"/>
  <c r="Z118" i="19" a="1"/>
  <c r="Z118" i="19" s="1"/>
  <c r="Y119" i="19" a="1"/>
  <c r="Y119" i="19" s="1"/>
  <c r="Z119" i="19" a="1"/>
  <c r="Z119" i="19" s="1"/>
  <c r="Y120" i="19" a="1"/>
  <c r="Y120" i="19" s="1"/>
  <c r="Z120" i="19" a="1"/>
  <c r="Z120" i="19" s="1"/>
  <c r="Y121" i="19" a="1"/>
  <c r="Y121" i="19" s="1"/>
  <c r="Z121" i="19" a="1"/>
  <c r="Z121" i="19" s="1"/>
  <c r="Y122" i="19" a="1"/>
  <c r="Y122" i="19" s="1"/>
  <c r="Z122" i="19" a="1"/>
  <c r="Z122" i="19" s="1"/>
  <c r="Y123" i="19" a="1"/>
  <c r="Y123" i="19" s="1"/>
  <c r="Z123" i="19" a="1"/>
  <c r="Z123" i="19" s="1"/>
  <c r="Y124" i="19" a="1"/>
  <c r="Y124" i="19" s="1"/>
  <c r="Z124" i="19" a="1"/>
  <c r="Z124" i="19" s="1"/>
  <c r="Y125" i="19" a="1"/>
  <c r="Y125" i="19" s="1"/>
  <c r="Z125" i="19" a="1"/>
  <c r="Z125" i="19" s="1"/>
  <c r="Y126" i="19" a="1"/>
  <c r="Y126" i="19" s="1"/>
  <c r="Z126" i="19" a="1"/>
  <c r="Z126" i="19" s="1"/>
  <c r="Y127" i="19" a="1"/>
  <c r="Y127" i="19" s="1"/>
  <c r="Z127" i="19" a="1"/>
  <c r="Z127" i="19" s="1"/>
  <c r="Y128" i="19" a="1"/>
  <c r="Y128" i="19" s="1"/>
  <c r="Z128" i="19" a="1"/>
  <c r="Z128" i="19" s="1"/>
  <c r="Y129" i="19" a="1"/>
  <c r="Y129" i="19" s="1"/>
  <c r="Z129" i="19" a="1"/>
  <c r="Z129" i="19" s="1"/>
  <c r="Y130" i="19" a="1"/>
  <c r="Y130" i="19" s="1"/>
  <c r="Z130" i="19" a="1"/>
  <c r="Z130" i="19" s="1"/>
  <c r="Y131" i="19" a="1"/>
  <c r="Y131" i="19" s="1"/>
  <c r="Z131" i="19" a="1"/>
  <c r="Z131" i="19" s="1"/>
  <c r="Y132" i="19" a="1"/>
  <c r="Y132" i="19" s="1"/>
  <c r="Z132" i="19" a="1"/>
  <c r="Z132" i="19" s="1"/>
  <c r="Y133" i="19" a="1"/>
  <c r="Y133" i="19" s="1"/>
  <c r="Z133" i="19" a="1"/>
  <c r="Z133" i="19" s="1"/>
  <c r="Y134" i="19" a="1"/>
  <c r="Y134" i="19" s="1"/>
  <c r="Z134" i="19" a="1"/>
  <c r="Z134" i="19" s="1"/>
  <c r="Y135" i="19" a="1"/>
  <c r="Y135" i="19" s="1"/>
  <c r="Z135" i="19" a="1"/>
  <c r="Z135" i="19" s="1"/>
  <c r="Y136" i="19" a="1"/>
  <c r="Y136" i="19" s="1"/>
  <c r="Z136" i="19" a="1"/>
  <c r="Z136" i="19" s="1"/>
  <c r="Y137" i="19" a="1"/>
  <c r="Y137" i="19" s="1"/>
  <c r="Z137" i="19" a="1"/>
  <c r="Z137" i="19" s="1"/>
  <c r="Y138" i="19" a="1"/>
  <c r="Y138" i="19" s="1"/>
  <c r="Z138" i="19" a="1"/>
  <c r="Z138" i="19" s="1"/>
  <c r="Y139" i="19" a="1"/>
  <c r="Y139" i="19" s="1"/>
  <c r="Z139" i="19" a="1"/>
  <c r="Z139" i="19" s="1"/>
  <c r="Y140" i="19" a="1"/>
  <c r="Y140" i="19" s="1"/>
  <c r="Z140" i="19" a="1"/>
  <c r="Z140" i="19" s="1"/>
  <c r="Y141" i="19" a="1"/>
  <c r="Y141" i="19" s="1"/>
  <c r="Z141" i="19" a="1"/>
  <c r="Z141" i="19" s="1"/>
  <c r="Y142" i="19" a="1"/>
  <c r="Y142" i="19" s="1"/>
  <c r="Z142" i="19" a="1"/>
  <c r="Z142" i="19" s="1"/>
  <c r="Y143" i="19" a="1"/>
  <c r="Y143" i="19" s="1"/>
  <c r="Z143" i="19" a="1"/>
  <c r="Z143" i="19" s="1"/>
  <c r="Y144" i="19" a="1"/>
  <c r="Y144" i="19" s="1"/>
  <c r="Z144" i="19" a="1"/>
  <c r="Z144" i="19" s="1"/>
  <c r="Y145" i="19" a="1"/>
  <c r="Y145" i="19" s="1"/>
  <c r="Z145" i="19" a="1"/>
  <c r="Z145" i="19" s="1"/>
  <c r="Y146" i="19" a="1"/>
  <c r="Y146" i="19" s="1"/>
  <c r="Z146" i="19" a="1"/>
  <c r="Z146" i="19" s="1"/>
  <c r="Y147" i="19" a="1"/>
  <c r="Y147" i="19" s="1"/>
  <c r="Z147" i="19" a="1"/>
  <c r="Z147" i="19" s="1"/>
  <c r="Y148" i="19" a="1"/>
  <c r="Y148" i="19" s="1"/>
  <c r="Z148" i="19" a="1"/>
  <c r="Z148" i="19" s="1"/>
  <c r="Y149" i="19" a="1"/>
  <c r="Y149" i="19" s="1"/>
  <c r="Z149" i="19" a="1"/>
  <c r="Z149" i="19" s="1"/>
  <c r="Y150" i="19" a="1"/>
  <c r="Y150" i="19" s="1"/>
  <c r="Z150" i="19" a="1"/>
  <c r="Z150" i="19" s="1"/>
  <c r="Y151" i="19" a="1"/>
  <c r="Y151" i="19" s="1"/>
  <c r="Z151" i="19" a="1"/>
  <c r="Z151" i="19" s="1"/>
  <c r="Y152" i="19" a="1"/>
  <c r="Y152" i="19" s="1"/>
  <c r="Z152" i="19" a="1"/>
  <c r="Z152" i="19" s="1"/>
  <c r="Y153" i="19" a="1"/>
  <c r="Y153" i="19" s="1"/>
  <c r="Z153" i="19" a="1"/>
  <c r="Z153" i="19" s="1"/>
  <c r="Y154" i="19" a="1"/>
  <c r="Y154" i="19" s="1"/>
  <c r="Z154" i="19" a="1"/>
  <c r="Z154" i="19" s="1"/>
  <c r="Y155" i="19" a="1"/>
  <c r="Y155" i="19" s="1"/>
  <c r="Z155" i="19" a="1"/>
  <c r="Z155" i="19" s="1"/>
  <c r="Y156" i="19" a="1"/>
  <c r="Y156" i="19" s="1"/>
  <c r="Z156" i="19" a="1"/>
  <c r="Z156" i="19" s="1"/>
  <c r="Y157" i="19" a="1"/>
  <c r="Y157" i="19" s="1"/>
  <c r="Z157" i="19" a="1"/>
  <c r="Z157" i="19" s="1"/>
  <c r="Y158" i="19" a="1"/>
  <c r="Y158" i="19" s="1"/>
  <c r="Z158" i="19" a="1"/>
  <c r="Z158" i="19" s="1"/>
  <c r="Y159" i="19" a="1"/>
  <c r="Y159" i="19" s="1"/>
  <c r="Z159" i="19" a="1"/>
  <c r="Z159" i="19" s="1"/>
  <c r="Y160" i="19" a="1"/>
  <c r="Y160" i="19" s="1"/>
  <c r="Z160" i="19" a="1"/>
  <c r="Z160" i="19" s="1"/>
  <c r="Y161" i="19" a="1"/>
  <c r="Y161" i="19" s="1"/>
  <c r="Z161" i="19" a="1"/>
  <c r="Z161" i="19" s="1"/>
  <c r="Y162" i="19" a="1"/>
  <c r="Y162" i="19" s="1"/>
  <c r="Z162" i="19" a="1"/>
  <c r="Z162" i="19" s="1"/>
  <c r="Y163" i="19" a="1"/>
  <c r="Y163" i="19" s="1"/>
  <c r="Z163" i="19" a="1"/>
  <c r="Z163" i="19" s="1"/>
  <c r="Y164" i="19" a="1"/>
  <c r="Y164" i="19" s="1"/>
  <c r="Z164" i="19" a="1"/>
  <c r="Z164" i="19" s="1"/>
  <c r="Y165" i="19" a="1"/>
  <c r="Y165" i="19" s="1"/>
  <c r="Z165" i="19" a="1"/>
  <c r="Z165" i="19" s="1"/>
  <c r="Y166" i="19" a="1"/>
  <c r="Y166" i="19" s="1"/>
  <c r="Z166" i="19" a="1"/>
  <c r="Z166" i="19" s="1"/>
  <c r="Y167" i="19" a="1"/>
  <c r="Y167" i="19" s="1"/>
  <c r="Z167" i="19" a="1"/>
  <c r="Z167" i="19" s="1"/>
  <c r="Y168" i="19" a="1"/>
  <c r="Y168" i="19" s="1"/>
  <c r="Z168" i="19" a="1"/>
  <c r="Z168" i="19" s="1"/>
  <c r="Y169" i="19" a="1"/>
  <c r="Y169" i="19" s="1"/>
  <c r="Z169" i="19" a="1"/>
  <c r="Z169" i="19" s="1"/>
  <c r="Y170" i="19" a="1"/>
  <c r="Y170" i="19" s="1"/>
  <c r="Z170" i="19" a="1"/>
  <c r="Z170" i="19" s="1"/>
  <c r="Y171" i="19" a="1"/>
  <c r="Y171" i="19" s="1"/>
  <c r="Z171" i="19" a="1"/>
  <c r="Z171" i="19" s="1"/>
  <c r="Y172" i="19" a="1"/>
  <c r="Y172" i="19" s="1"/>
  <c r="Z172" i="19" a="1"/>
  <c r="Z172" i="19" s="1"/>
  <c r="Y173" i="19" a="1"/>
  <c r="Y173" i="19" s="1"/>
  <c r="Z173" i="19" a="1"/>
  <c r="Z173" i="19" s="1"/>
  <c r="Y174" i="19" a="1"/>
  <c r="Y174" i="19" s="1"/>
  <c r="Z174" i="19" a="1"/>
  <c r="Z174" i="19" s="1"/>
  <c r="Y175" i="19" a="1"/>
  <c r="Y175" i="19" s="1"/>
  <c r="Z175" i="19" a="1"/>
  <c r="Z175" i="19" s="1"/>
  <c r="Y176" i="19" a="1"/>
  <c r="Y176" i="19" s="1"/>
  <c r="Z176" i="19" a="1"/>
  <c r="Z176" i="19" s="1"/>
  <c r="Y177" i="19" a="1"/>
  <c r="Y177" i="19" s="1"/>
  <c r="Z177" i="19" a="1"/>
  <c r="Z177" i="19" s="1"/>
  <c r="Y178" i="19" a="1"/>
  <c r="Y178" i="19" s="1"/>
  <c r="Z178" i="19" a="1"/>
  <c r="Z178" i="19" s="1"/>
  <c r="Y179" i="19" a="1"/>
  <c r="Y179" i="19" s="1"/>
  <c r="Z179" i="19" a="1"/>
  <c r="Z179" i="19" s="1"/>
  <c r="Y180" i="19" a="1"/>
  <c r="Y180" i="19" s="1"/>
  <c r="Z180" i="19" a="1"/>
  <c r="Z180" i="19" s="1"/>
  <c r="Y181" i="19" a="1"/>
  <c r="Y181" i="19" s="1"/>
  <c r="Z181" i="19" a="1"/>
  <c r="Z181" i="19" s="1"/>
  <c r="Y182" i="19" a="1"/>
  <c r="Y182" i="19" s="1"/>
  <c r="Z182" i="19" a="1"/>
  <c r="Z182" i="19" s="1"/>
  <c r="Y183" i="19" a="1"/>
  <c r="Y183" i="19" s="1"/>
  <c r="Z183" i="19" a="1"/>
  <c r="Z183" i="19" s="1"/>
  <c r="Y184" i="19" a="1"/>
  <c r="Y184" i="19" s="1"/>
  <c r="Z184" i="19" a="1"/>
  <c r="Z184" i="19" s="1"/>
  <c r="Y185" i="19" a="1"/>
  <c r="Y185" i="19" s="1"/>
  <c r="Z185" i="19" a="1"/>
  <c r="Z185" i="19" s="1"/>
  <c r="Y186" i="19" a="1"/>
  <c r="Y186" i="19" s="1"/>
  <c r="Z186" i="19" a="1"/>
  <c r="Z186" i="19" s="1"/>
  <c r="Y187" i="19" a="1"/>
  <c r="Y187" i="19" s="1"/>
  <c r="Z187" i="19" a="1"/>
  <c r="Z187" i="19" s="1"/>
  <c r="Y188" i="19" a="1"/>
  <c r="Y188" i="19" s="1"/>
  <c r="Z188" i="19" a="1"/>
  <c r="Z188" i="19" s="1"/>
  <c r="Y189" i="19" a="1"/>
  <c r="Y189" i="19" s="1"/>
  <c r="Z189" i="19" a="1"/>
  <c r="Z189" i="19" s="1"/>
  <c r="Y190" i="19" a="1"/>
  <c r="Y190" i="19" s="1"/>
  <c r="Z190" i="19" a="1"/>
  <c r="Z190" i="19" s="1"/>
  <c r="Y191" i="19" a="1"/>
  <c r="Y191" i="19" s="1"/>
  <c r="Z191" i="19" a="1"/>
  <c r="Z191" i="19" s="1"/>
  <c r="Y192" i="19" a="1"/>
  <c r="Y192" i="19" s="1"/>
  <c r="Z192" i="19" a="1"/>
  <c r="Z192" i="19" s="1"/>
  <c r="Y193" i="19" a="1"/>
  <c r="Y193" i="19" s="1"/>
  <c r="Z193" i="19" a="1"/>
  <c r="Z193" i="19" s="1"/>
  <c r="Y194" i="19" a="1"/>
  <c r="Y194" i="19" s="1"/>
  <c r="Z194" i="19" a="1"/>
  <c r="Z194" i="19" s="1"/>
  <c r="Y195" i="19" a="1"/>
  <c r="Y195" i="19" s="1"/>
  <c r="Z195" i="19" a="1"/>
  <c r="Z195" i="19" s="1"/>
  <c r="Y196" i="19" a="1"/>
  <c r="Y196" i="19" s="1"/>
  <c r="Z196" i="19" a="1"/>
  <c r="Z196" i="19" s="1"/>
  <c r="Y197" i="19" a="1"/>
  <c r="Y197" i="19" s="1"/>
  <c r="Z197" i="19" a="1"/>
  <c r="Z197" i="19" s="1"/>
  <c r="Y198" i="19" a="1"/>
  <c r="Y198" i="19" s="1"/>
  <c r="Z198" i="19" a="1"/>
  <c r="Z198" i="19" s="1"/>
  <c r="Y199" i="19" a="1"/>
  <c r="Y199" i="19" s="1"/>
  <c r="Z199" i="19" a="1"/>
  <c r="Z199" i="19" s="1"/>
  <c r="Y200" i="19" a="1"/>
  <c r="Y200" i="19" s="1"/>
  <c r="Z200" i="19" a="1"/>
  <c r="Z200" i="19" s="1"/>
  <c r="Y201" i="19" a="1"/>
  <c r="Y201" i="19" s="1"/>
  <c r="Z201" i="19" a="1"/>
  <c r="Z201" i="19" s="1"/>
  <c r="Y202" i="19" a="1"/>
  <c r="Y202" i="19" s="1"/>
  <c r="Z202" i="19" a="1"/>
  <c r="Z202" i="19" s="1"/>
  <c r="Y203" i="19" a="1"/>
  <c r="Y203" i="19" s="1"/>
  <c r="Z203" i="19" a="1"/>
  <c r="Z203" i="19" s="1"/>
  <c r="Y204" i="19" a="1"/>
  <c r="Y204" i="19" s="1"/>
  <c r="Z204" i="19" a="1"/>
  <c r="Z204" i="19" s="1"/>
  <c r="Y205" i="19" a="1"/>
  <c r="Y205" i="19" s="1"/>
  <c r="Z205" i="19" a="1"/>
  <c r="Z205" i="19" s="1"/>
  <c r="Y206" i="19" a="1"/>
  <c r="Y206" i="19" s="1"/>
  <c r="Z206" i="19" a="1"/>
  <c r="Z206" i="19" s="1"/>
  <c r="Y207" i="19" a="1"/>
  <c r="Y207" i="19" s="1"/>
  <c r="Z207" i="19" a="1"/>
  <c r="Z207" i="19" s="1"/>
  <c r="Y208" i="19" a="1"/>
  <c r="Y208" i="19" s="1"/>
  <c r="Z208" i="19" a="1"/>
  <c r="Z208" i="19" s="1"/>
  <c r="Y209" i="19" a="1"/>
  <c r="Y209" i="19" s="1"/>
  <c r="Z209" i="19" a="1"/>
  <c r="Z209" i="19" s="1"/>
  <c r="Y210" i="19" a="1"/>
  <c r="Y210" i="19" s="1"/>
  <c r="Z210" i="19" a="1"/>
  <c r="Z210" i="19" s="1"/>
  <c r="Y211" i="19" a="1"/>
  <c r="Y211" i="19" s="1"/>
  <c r="Z211" i="19" a="1"/>
  <c r="Z211" i="19" s="1"/>
  <c r="Y212" i="19" a="1"/>
  <c r="Y212" i="19" s="1"/>
  <c r="Z212" i="19" a="1"/>
  <c r="Z212" i="19" s="1"/>
  <c r="Y213" i="19" a="1"/>
  <c r="Y213" i="19" s="1"/>
  <c r="Z213" i="19" a="1"/>
  <c r="Z213" i="19" s="1"/>
  <c r="Y214" i="19" a="1"/>
  <c r="Y214" i="19" s="1"/>
  <c r="Z214" i="19" a="1"/>
  <c r="Z214" i="19" s="1"/>
  <c r="Y215" i="19" a="1"/>
  <c r="Y215" i="19" s="1"/>
  <c r="Z215" i="19" a="1"/>
  <c r="Z215" i="19" s="1"/>
  <c r="Y216" i="19" a="1"/>
  <c r="Y216" i="19" s="1"/>
  <c r="Z216" i="19" a="1"/>
  <c r="Z216" i="19" s="1"/>
  <c r="Y217" i="19" a="1"/>
  <c r="Y217" i="19" s="1"/>
  <c r="Z217" i="19" a="1"/>
  <c r="Z217" i="19" s="1"/>
  <c r="Y218" i="19" a="1"/>
  <c r="Y218" i="19" s="1"/>
  <c r="Z218" i="19" a="1"/>
  <c r="Z218" i="19" s="1"/>
  <c r="Y219" i="19" a="1"/>
  <c r="Y219" i="19" s="1"/>
  <c r="Z219" i="19" a="1"/>
  <c r="Z219" i="19" s="1"/>
  <c r="Y220" i="19" a="1"/>
  <c r="Y220" i="19" s="1"/>
  <c r="Z220" i="19" a="1"/>
  <c r="Z220" i="19" s="1"/>
  <c r="Y221" i="19" a="1"/>
  <c r="Y221" i="19" s="1"/>
  <c r="Z221" i="19" a="1"/>
  <c r="Z221" i="19" s="1"/>
  <c r="Y222" i="19" a="1"/>
  <c r="Y222" i="19" s="1"/>
  <c r="Z222" i="19" a="1"/>
  <c r="Z222" i="19" s="1"/>
  <c r="Y223" i="19" a="1"/>
  <c r="Y223" i="19" s="1"/>
  <c r="Z223" i="19" a="1"/>
  <c r="Z223" i="19" s="1"/>
  <c r="Y224" i="19" a="1"/>
  <c r="Y224" i="19" s="1"/>
  <c r="Z224" i="19" a="1"/>
  <c r="Z224" i="19" s="1"/>
  <c r="Y225" i="19" a="1"/>
  <c r="Y225" i="19" s="1"/>
  <c r="Z225" i="19" a="1"/>
  <c r="Z225" i="19" s="1"/>
  <c r="Y226" i="19" a="1"/>
  <c r="Y226" i="19" s="1"/>
  <c r="Z226" i="19" a="1"/>
  <c r="Z226" i="19" s="1"/>
  <c r="Y227" i="19" a="1"/>
  <c r="Y227" i="19" s="1"/>
  <c r="Z227" i="19" a="1"/>
  <c r="Z227" i="19" s="1"/>
  <c r="Y228" i="19" a="1"/>
  <c r="Y228" i="19" s="1"/>
  <c r="Z228" i="19" a="1"/>
  <c r="Z228" i="19" s="1"/>
  <c r="Y229" i="19" a="1"/>
  <c r="Y229" i="19" s="1"/>
  <c r="Z229" i="19" a="1"/>
  <c r="Z229" i="19" s="1"/>
  <c r="Y230" i="19" a="1"/>
  <c r="Y230" i="19" s="1"/>
  <c r="Z230" i="19" a="1"/>
  <c r="Z230" i="19" s="1"/>
  <c r="Y231" i="19" a="1"/>
  <c r="Y231" i="19" s="1"/>
  <c r="Z231" i="19" a="1"/>
  <c r="Z231" i="19" s="1"/>
  <c r="Y232" i="19" a="1"/>
  <c r="Y232" i="19" s="1"/>
  <c r="Z232" i="19" a="1"/>
  <c r="Z232" i="19" s="1"/>
  <c r="Y233" i="19" a="1"/>
  <c r="Y233" i="19" s="1"/>
  <c r="Z233" i="19" a="1"/>
  <c r="Z233" i="19" s="1"/>
  <c r="Y234" i="19" a="1"/>
  <c r="Y234" i="19" s="1"/>
  <c r="Z234" i="19" a="1"/>
  <c r="Z234" i="19" s="1"/>
  <c r="Y235" i="19" a="1"/>
  <c r="Y235" i="19" s="1"/>
  <c r="Z235" i="19" a="1"/>
  <c r="Z235" i="19" s="1"/>
  <c r="Y236" i="19" a="1"/>
  <c r="Y236" i="19" s="1"/>
  <c r="Z236" i="19" a="1"/>
  <c r="Z236" i="19" s="1"/>
  <c r="Y237" i="19" a="1"/>
  <c r="Y237" i="19" s="1"/>
  <c r="Z237" i="19" a="1"/>
  <c r="Z237" i="19" s="1"/>
  <c r="Y238" i="19" a="1"/>
  <c r="Y238" i="19" s="1"/>
  <c r="Z238" i="19" a="1"/>
  <c r="Z238" i="19" s="1"/>
  <c r="Y239" i="19" a="1"/>
  <c r="Y239" i="19" s="1"/>
  <c r="Z239" i="19" a="1"/>
  <c r="Z239" i="19" s="1"/>
  <c r="Y240" i="19" a="1"/>
  <c r="Y240" i="19" s="1"/>
  <c r="Z240" i="19" a="1"/>
  <c r="Z240" i="19" s="1"/>
  <c r="Y241" i="19" a="1"/>
  <c r="Y241" i="19" s="1"/>
  <c r="Z241" i="19" a="1"/>
  <c r="Z241" i="19" s="1"/>
  <c r="Y242" i="19" a="1"/>
  <c r="Y242" i="19" s="1"/>
  <c r="Z242" i="19" a="1"/>
  <c r="Z242" i="19" s="1"/>
  <c r="Y243" i="19" a="1"/>
  <c r="Y243" i="19" s="1"/>
  <c r="Z243" i="19" a="1"/>
  <c r="Z243" i="19" s="1"/>
  <c r="Y244" i="19" a="1"/>
  <c r="Y244" i="19" s="1"/>
  <c r="Z244" i="19" a="1"/>
  <c r="Z244" i="19" s="1"/>
  <c r="Y245" i="19" a="1"/>
  <c r="Y245" i="19" s="1"/>
  <c r="Z245" i="19" a="1"/>
  <c r="Z245" i="19" s="1"/>
  <c r="Y246" i="19" a="1"/>
  <c r="Y246" i="19" s="1"/>
  <c r="Z246" i="19" a="1"/>
  <c r="Z246" i="19" s="1"/>
  <c r="Y247" i="19" a="1"/>
  <c r="Y247" i="19" s="1"/>
  <c r="Z247" i="19" a="1"/>
  <c r="Z247" i="19" s="1"/>
  <c r="Y248" i="19" a="1"/>
  <c r="Y248" i="19" s="1"/>
  <c r="Z248" i="19" a="1"/>
  <c r="Z248" i="19" s="1"/>
  <c r="Y249" i="19" a="1"/>
  <c r="Y249" i="19" s="1"/>
  <c r="Z249" i="19" a="1"/>
  <c r="Z249" i="19" s="1"/>
  <c r="Y250" i="19" a="1"/>
  <c r="Y250" i="19" s="1"/>
  <c r="Z250" i="19" a="1"/>
  <c r="Z250" i="19" s="1"/>
  <c r="Y251" i="19" a="1"/>
  <c r="Y251" i="19" s="1"/>
  <c r="Z251" i="19" a="1"/>
  <c r="Z251" i="19" s="1"/>
  <c r="Y252" i="19" a="1"/>
  <c r="Y252" i="19" s="1"/>
  <c r="Z252" i="19" a="1"/>
  <c r="Z252" i="19" s="1"/>
  <c r="Y253" i="19" a="1"/>
  <c r="Y253" i="19" s="1"/>
  <c r="Z253" i="19" a="1"/>
  <c r="Z253" i="19" s="1"/>
  <c r="Y254" i="19" a="1"/>
  <c r="Y254" i="19" s="1"/>
  <c r="Z254" i="19" a="1"/>
  <c r="Z254" i="19" s="1"/>
  <c r="Y255" i="19" a="1"/>
  <c r="Y255" i="19" s="1"/>
  <c r="Z255" i="19" a="1"/>
  <c r="Z255" i="19" s="1"/>
  <c r="Y256" i="19" a="1"/>
  <c r="Y256" i="19" s="1"/>
  <c r="Z256" i="19" a="1"/>
  <c r="Z256" i="19" s="1"/>
  <c r="Y257" i="19" a="1"/>
  <c r="Y257" i="19" s="1"/>
  <c r="Z257" i="19" a="1"/>
  <c r="Z257" i="19" s="1"/>
  <c r="Y258" i="19" a="1"/>
  <c r="Y258" i="19" s="1"/>
  <c r="Z258" i="19" a="1"/>
  <c r="Z258" i="19" s="1"/>
  <c r="Y259" i="19" a="1"/>
  <c r="Y259" i="19" s="1"/>
  <c r="Z259" i="19" a="1"/>
  <c r="Z259" i="19" s="1"/>
  <c r="Y260" i="19" a="1"/>
  <c r="Y260" i="19" s="1"/>
  <c r="Z260" i="19" a="1"/>
  <c r="Z260" i="19" s="1"/>
  <c r="Y261" i="19" a="1"/>
  <c r="Y261" i="19" s="1"/>
  <c r="Z261" i="19" a="1"/>
  <c r="Z261" i="19" s="1"/>
  <c r="Y262" i="19" a="1"/>
  <c r="Y262" i="19" s="1"/>
  <c r="Z262" i="19" a="1"/>
  <c r="Z262" i="19" s="1"/>
  <c r="Y263" i="19" a="1"/>
  <c r="Y263" i="19" s="1"/>
  <c r="Z263" i="19" a="1"/>
  <c r="Z263" i="19" s="1"/>
  <c r="Y264" i="19" a="1"/>
  <c r="Y264" i="19" s="1"/>
  <c r="Z264" i="19" a="1"/>
  <c r="Z264" i="19" s="1"/>
  <c r="Y265" i="19" a="1"/>
  <c r="Y265" i="19" s="1"/>
  <c r="Z265" i="19" a="1"/>
  <c r="Z265" i="19" s="1"/>
  <c r="Y266" i="19" a="1"/>
  <c r="Y266" i="19" s="1"/>
  <c r="Z266" i="19" a="1"/>
  <c r="Z266" i="19" s="1"/>
  <c r="Y267" i="19" a="1"/>
  <c r="Y267" i="19" s="1"/>
  <c r="Z267" i="19" a="1"/>
  <c r="Z267" i="19" s="1"/>
  <c r="Y268" i="19" a="1"/>
  <c r="Y268" i="19" s="1"/>
  <c r="Z268" i="19" a="1"/>
  <c r="Z268" i="19" s="1"/>
  <c r="Y269" i="19" a="1"/>
  <c r="Y269" i="19" s="1"/>
  <c r="Z269" i="19" a="1"/>
  <c r="Z269" i="19" s="1"/>
  <c r="Y270" i="19" a="1"/>
  <c r="Y270" i="19" s="1"/>
  <c r="Z270" i="19" a="1"/>
  <c r="Z270" i="19" s="1"/>
  <c r="Y271" i="19" a="1"/>
  <c r="Y271" i="19" s="1"/>
  <c r="Z271" i="19" a="1"/>
  <c r="Z271" i="19" s="1"/>
  <c r="Y272" i="19" a="1"/>
  <c r="Y272" i="19" s="1"/>
  <c r="Z272" i="19" a="1"/>
  <c r="Z272" i="19" s="1"/>
  <c r="Y273" i="19" a="1"/>
  <c r="Y273" i="19" s="1"/>
  <c r="Z273" i="19" a="1"/>
  <c r="Z273" i="19" s="1"/>
  <c r="Y274" i="19" a="1"/>
  <c r="Y274" i="19" s="1"/>
  <c r="Z274" i="19" a="1"/>
  <c r="Z274" i="19" s="1"/>
  <c r="Y275" i="19" a="1"/>
  <c r="Y275" i="19" s="1"/>
  <c r="Z275" i="19" a="1"/>
  <c r="Z275" i="19" s="1"/>
  <c r="Y276" i="19" a="1"/>
  <c r="Y276" i="19" s="1"/>
  <c r="Z276" i="19" a="1"/>
  <c r="Z276" i="19" s="1"/>
  <c r="Y277" i="19" a="1"/>
  <c r="Y277" i="19" s="1"/>
  <c r="Z277" i="19" a="1"/>
  <c r="Z277" i="19" s="1"/>
  <c r="Y278" i="19" a="1"/>
  <c r="Y278" i="19" s="1"/>
  <c r="Z278" i="19" a="1"/>
  <c r="Z278" i="19" s="1"/>
  <c r="Y279" i="19" a="1"/>
  <c r="Y279" i="19" s="1"/>
  <c r="Z279" i="19" a="1"/>
  <c r="Z279" i="19" s="1"/>
  <c r="Y280" i="19" a="1"/>
  <c r="Y280" i="19" s="1"/>
  <c r="Z280" i="19" a="1"/>
  <c r="Z280" i="19" s="1"/>
  <c r="Y281" i="19" a="1"/>
  <c r="Y281" i="19" s="1"/>
  <c r="Z281" i="19" a="1"/>
  <c r="Z281" i="19" s="1"/>
  <c r="Y282" i="19" a="1"/>
  <c r="Y282" i="19" s="1"/>
  <c r="Z282" i="19" a="1"/>
  <c r="Z282" i="19" s="1"/>
  <c r="Y283" i="19" a="1"/>
  <c r="Y283" i="19" s="1"/>
  <c r="Z283" i="19" a="1"/>
  <c r="Z283" i="19" s="1"/>
  <c r="Y284" i="19" a="1"/>
  <c r="Y284" i="19" s="1"/>
  <c r="Z284" i="19" a="1"/>
  <c r="Z284" i="19" s="1"/>
  <c r="Y285" i="19" a="1"/>
  <c r="Y285" i="19" s="1"/>
  <c r="Z285" i="19" a="1"/>
  <c r="Z285" i="19" s="1"/>
  <c r="Y286" i="19" a="1"/>
  <c r="Y286" i="19" s="1"/>
  <c r="Z286" i="19" a="1"/>
  <c r="Z286" i="19" s="1"/>
  <c r="Y287" i="19" a="1"/>
  <c r="Y287" i="19" s="1"/>
  <c r="Z287" i="19" a="1"/>
  <c r="Z287" i="19" s="1"/>
  <c r="Z2" i="19" a="1"/>
  <c r="Z2" i="19" s="1"/>
  <c r="Y2" i="19" a="1"/>
  <c r="Y2" i="19" s="1"/>
  <c r="Y3" i="18" a="1"/>
  <c r="Y3" i="18" s="1"/>
  <c r="Z3" i="18" a="1"/>
  <c r="Z3" i="18" s="1"/>
  <c r="Y4" i="18" a="1"/>
  <c r="Y4" i="18" s="1"/>
  <c r="Z4" i="18" a="1"/>
  <c r="Z4" i="18" s="1"/>
  <c r="Y5" i="18" a="1"/>
  <c r="Y5" i="18" s="1"/>
  <c r="Z5" i="18" a="1"/>
  <c r="Z5" i="18" s="1"/>
  <c r="Y6" i="18" a="1"/>
  <c r="Y6" i="18" s="1"/>
  <c r="Z6" i="18" a="1"/>
  <c r="Z6" i="18" s="1"/>
  <c r="Y7" i="18" a="1"/>
  <c r="Y7" i="18" s="1"/>
  <c r="Z7" i="18" a="1"/>
  <c r="Z7" i="18" s="1"/>
  <c r="Y8" i="18" a="1"/>
  <c r="Y8" i="18" s="1"/>
  <c r="Z8" i="18" a="1"/>
  <c r="Z8" i="18" s="1"/>
  <c r="Y9" i="18" a="1"/>
  <c r="Y9" i="18" s="1"/>
  <c r="Z9" i="18" a="1"/>
  <c r="Z9" i="18" s="1"/>
  <c r="Y10" i="18" a="1"/>
  <c r="Y10" i="18" s="1"/>
  <c r="Z10" i="18" a="1"/>
  <c r="Z10" i="18" s="1"/>
  <c r="Y11" i="18" a="1"/>
  <c r="Y11" i="18" s="1"/>
  <c r="Z11" i="18" a="1"/>
  <c r="Z11" i="18" s="1"/>
  <c r="Y12" i="18" a="1"/>
  <c r="Y12" i="18" s="1"/>
  <c r="Z12" i="18" a="1"/>
  <c r="Z12" i="18" s="1"/>
  <c r="Y13" i="18" a="1"/>
  <c r="Y13" i="18" s="1"/>
  <c r="Z13" i="18" a="1"/>
  <c r="Z13" i="18" s="1"/>
  <c r="Y14" i="18" a="1"/>
  <c r="Y14" i="18" s="1"/>
  <c r="Z14" i="18" a="1"/>
  <c r="Z14" i="18" s="1"/>
  <c r="Y15" i="18" a="1"/>
  <c r="Y15" i="18" s="1"/>
  <c r="Z15" i="18" a="1"/>
  <c r="Z15" i="18" s="1"/>
  <c r="Y16" i="18" a="1"/>
  <c r="Y16" i="18" s="1"/>
  <c r="Z16" i="18" a="1"/>
  <c r="Z16" i="18" s="1"/>
  <c r="Y17" i="18" a="1"/>
  <c r="Y17" i="18" s="1"/>
  <c r="Z17" i="18" a="1"/>
  <c r="Z17" i="18" s="1"/>
  <c r="Y18" i="18" a="1"/>
  <c r="Y18" i="18" s="1"/>
  <c r="Z18" i="18" a="1"/>
  <c r="Z18" i="18" s="1"/>
  <c r="Y19" i="18" a="1"/>
  <c r="Y19" i="18" s="1"/>
  <c r="Z19" i="18" a="1"/>
  <c r="Z19" i="18" s="1"/>
  <c r="Y20" i="18" a="1"/>
  <c r="Y20" i="18" s="1"/>
  <c r="Z20" i="18" a="1"/>
  <c r="Z20" i="18" s="1"/>
  <c r="Y21" i="18" a="1"/>
  <c r="Y21" i="18" s="1"/>
  <c r="Z21" i="18" a="1"/>
  <c r="Z21" i="18" s="1"/>
  <c r="Y22" i="18" a="1"/>
  <c r="Y22" i="18" s="1"/>
  <c r="Z22" i="18" a="1"/>
  <c r="Z22" i="18" s="1"/>
  <c r="Y23" i="18" a="1"/>
  <c r="Y23" i="18" s="1"/>
  <c r="Z23" i="18" a="1"/>
  <c r="Z23" i="18" s="1"/>
  <c r="Y24" i="18" a="1"/>
  <c r="Y24" i="18" s="1"/>
  <c r="Z24" i="18" a="1"/>
  <c r="Z24" i="18" s="1"/>
  <c r="Y25" i="18" a="1"/>
  <c r="Y25" i="18" s="1"/>
  <c r="Z25" i="18" a="1"/>
  <c r="Z25" i="18" s="1"/>
  <c r="Y26" i="18" a="1"/>
  <c r="Y26" i="18" s="1"/>
  <c r="Z26" i="18" a="1"/>
  <c r="Z26" i="18" s="1"/>
  <c r="Y27" i="18" a="1"/>
  <c r="Y27" i="18" s="1"/>
  <c r="Z27" i="18" a="1"/>
  <c r="Z27" i="18" s="1"/>
  <c r="Y28" i="18" a="1"/>
  <c r="Y28" i="18" s="1"/>
  <c r="Z28" i="18" a="1"/>
  <c r="Z28" i="18" s="1"/>
  <c r="Y29" i="18" a="1"/>
  <c r="Y29" i="18" s="1"/>
  <c r="Z29" i="18" a="1"/>
  <c r="Z29" i="18" s="1"/>
  <c r="Y30" i="18" a="1"/>
  <c r="Y30" i="18" s="1"/>
  <c r="Z30" i="18" a="1"/>
  <c r="Z30" i="18" s="1"/>
  <c r="Y31" i="18" a="1"/>
  <c r="Y31" i="18" s="1"/>
  <c r="Z31" i="18" a="1"/>
  <c r="Z31" i="18" s="1"/>
  <c r="Y32" i="18" a="1"/>
  <c r="Y32" i="18" s="1"/>
  <c r="Z32" i="18" a="1"/>
  <c r="Z32" i="18" s="1"/>
  <c r="Y33" i="18" a="1"/>
  <c r="Y33" i="18" s="1"/>
  <c r="Z33" i="18" a="1"/>
  <c r="Z33" i="18" s="1"/>
  <c r="Y34" i="18" a="1"/>
  <c r="Y34" i="18" s="1"/>
  <c r="Z34" i="18" a="1"/>
  <c r="Z34" i="18" s="1"/>
  <c r="Y35" i="18" a="1"/>
  <c r="Y35" i="18" s="1"/>
  <c r="Z35" i="18" a="1"/>
  <c r="Z35" i="18" s="1"/>
  <c r="Y36" i="18" a="1"/>
  <c r="Y36" i="18" s="1"/>
  <c r="Z36" i="18" a="1"/>
  <c r="Z36" i="18" s="1"/>
  <c r="Y37" i="18" a="1"/>
  <c r="Y37" i="18" s="1"/>
  <c r="Z37" i="18" a="1"/>
  <c r="Z37" i="18" s="1"/>
  <c r="Y38" i="18" a="1"/>
  <c r="Y38" i="18" s="1"/>
  <c r="Z38" i="18" a="1"/>
  <c r="Z38" i="18" s="1"/>
  <c r="Y39" i="18" a="1"/>
  <c r="Y39" i="18" s="1"/>
  <c r="Z39" i="18" a="1"/>
  <c r="Z39" i="18" s="1"/>
  <c r="Y40" i="18" a="1"/>
  <c r="Y40" i="18" s="1"/>
  <c r="Z40" i="18" a="1"/>
  <c r="Z40" i="18" s="1"/>
  <c r="Y41" i="18" a="1"/>
  <c r="Y41" i="18" s="1"/>
  <c r="Z41" i="18" a="1"/>
  <c r="Z41" i="18" s="1"/>
  <c r="Y42" i="18" a="1"/>
  <c r="Y42" i="18" s="1"/>
  <c r="Z42" i="18" a="1"/>
  <c r="Z42" i="18" s="1"/>
  <c r="Y43" i="18" a="1"/>
  <c r="Y43" i="18" s="1"/>
  <c r="Z43" i="18" a="1"/>
  <c r="Z43" i="18" s="1"/>
  <c r="Y44" i="18" a="1"/>
  <c r="Y44" i="18" s="1"/>
  <c r="Z44" i="18" a="1"/>
  <c r="Z44" i="18" s="1"/>
  <c r="Y45" i="18" a="1"/>
  <c r="Y45" i="18" s="1"/>
  <c r="Z45" i="18" a="1"/>
  <c r="Z45" i="18" s="1"/>
  <c r="Y46" i="18" a="1"/>
  <c r="Y46" i="18" s="1"/>
  <c r="Z46" i="18" a="1"/>
  <c r="Z46" i="18" s="1"/>
  <c r="Y47" i="18" a="1"/>
  <c r="Y47" i="18" s="1"/>
  <c r="Z47" i="18" a="1"/>
  <c r="Z47" i="18" s="1"/>
  <c r="Y48" i="18" a="1"/>
  <c r="Y48" i="18" s="1"/>
  <c r="Z48" i="18" a="1"/>
  <c r="Z48" i="18" s="1"/>
  <c r="Y49" i="18" a="1"/>
  <c r="Y49" i="18" s="1"/>
  <c r="Z49" i="18" a="1"/>
  <c r="Z49" i="18" s="1"/>
  <c r="Y50" i="18" a="1"/>
  <c r="Y50" i="18" s="1"/>
  <c r="Z50" i="18" a="1"/>
  <c r="Z50" i="18" s="1"/>
  <c r="Y51" i="18" a="1"/>
  <c r="Y51" i="18" s="1"/>
  <c r="Z51" i="18" a="1"/>
  <c r="Z51" i="18" s="1"/>
  <c r="Y52" i="18" a="1"/>
  <c r="Y52" i="18" s="1"/>
  <c r="Z52" i="18" a="1"/>
  <c r="Z52" i="18" s="1"/>
  <c r="Y53" i="18" a="1"/>
  <c r="Y53" i="18" s="1"/>
  <c r="Z53" i="18" a="1"/>
  <c r="Z53" i="18" s="1"/>
  <c r="Y54" i="18" a="1"/>
  <c r="Y54" i="18" s="1"/>
  <c r="Z54" i="18" a="1"/>
  <c r="Z54" i="18" s="1"/>
  <c r="Y55" i="18" a="1"/>
  <c r="Y55" i="18" s="1"/>
  <c r="Z55" i="18" a="1"/>
  <c r="Z55" i="18" s="1"/>
  <c r="Y56" i="18" a="1"/>
  <c r="Y56" i="18" s="1"/>
  <c r="Z56" i="18" a="1"/>
  <c r="Z56" i="18" s="1"/>
  <c r="Y57" i="18" a="1"/>
  <c r="Y57" i="18" s="1"/>
  <c r="Z57" i="18" a="1"/>
  <c r="Z57" i="18" s="1"/>
  <c r="Y58" i="18" a="1"/>
  <c r="Y58" i="18" s="1"/>
  <c r="Z58" i="18" a="1"/>
  <c r="Z58" i="18" s="1"/>
  <c r="Y59" i="18" a="1"/>
  <c r="Y59" i="18" s="1"/>
  <c r="Z59" i="18" a="1"/>
  <c r="Z59" i="18" s="1"/>
  <c r="Y60" i="18" a="1"/>
  <c r="Y60" i="18" s="1"/>
  <c r="Z60" i="18" a="1"/>
  <c r="Z60" i="18" s="1"/>
  <c r="Y61" i="18" a="1"/>
  <c r="Y61" i="18" s="1"/>
  <c r="Z61" i="18" a="1"/>
  <c r="Z61" i="18" s="1"/>
  <c r="Y62" i="18" a="1"/>
  <c r="Y62" i="18" s="1"/>
  <c r="Z62" i="18" a="1"/>
  <c r="Z62" i="18" s="1"/>
  <c r="Y63" i="18" a="1"/>
  <c r="Y63" i="18" s="1"/>
  <c r="Z63" i="18" a="1"/>
  <c r="Z63" i="18" s="1"/>
  <c r="Y64" i="18" a="1"/>
  <c r="Y64" i="18" s="1"/>
  <c r="Z64" i="18" a="1"/>
  <c r="Z64" i="18" s="1"/>
  <c r="Y65" i="18" a="1"/>
  <c r="Y65" i="18" s="1"/>
  <c r="Z65" i="18" a="1"/>
  <c r="Z65" i="18" s="1"/>
  <c r="Y66" i="18" a="1"/>
  <c r="Y66" i="18" s="1"/>
  <c r="Z66" i="18" a="1"/>
  <c r="Z66" i="18" s="1"/>
  <c r="Y67" i="18" a="1"/>
  <c r="Y67" i="18" s="1"/>
  <c r="Z67" i="18" a="1"/>
  <c r="Z67" i="18" s="1"/>
  <c r="Y68" i="18" a="1"/>
  <c r="Y68" i="18" s="1"/>
  <c r="Z68" i="18" a="1"/>
  <c r="Z68" i="18" s="1"/>
  <c r="Y69" i="18" a="1"/>
  <c r="Y69" i="18" s="1"/>
  <c r="Z69" i="18" a="1"/>
  <c r="Z69" i="18" s="1"/>
  <c r="Y70" i="18" a="1"/>
  <c r="Y70" i="18" s="1"/>
  <c r="Z70" i="18" a="1"/>
  <c r="Z70" i="18" s="1"/>
  <c r="Y71" i="18" a="1"/>
  <c r="Y71" i="18" s="1"/>
  <c r="Z71" i="18" a="1"/>
  <c r="Z71" i="18" s="1"/>
  <c r="Y72" i="18" a="1"/>
  <c r="Y72" i="18" s="1"/>
  <c r="Z72" i="18" a="1"/>
  <c r="Z72" i="18" s="1"/>
  <c r="Y73" i="18" a="1"/>
  <c r="Y73" i="18" s="1"/>
  <c r="Z73" i="18" a="1"/>
  <c r="Z73" i="18" s="1"/>
  <c r="Y74" i="18" a="1"/>
  <c r="Y74" i="18" s="1"/>
  <c r="Z74" i="18" a="1"/>
  <c r="Z74" i="18" s="1"/>
  <c r="Y75" i="18" a="1"/>
  <c r="Y75" i="18" s="1"/>
  <c r="Z75" i="18" a="1"/>
  <c r="Z75" i="18" s="1"/>
  <c r="Y76" i="18" a="1"/>
  <c r="Y76" i="18" s="1"/>
  <c r="Z76" i="18" a="1"/>
  <c r="Z76" i="18" s="1"/>
  <c r="Y77" i="18" a="1"/>
  <c r="Y77" i="18" s="1"/>
  <c r="Z77" i="18" a="1"/>
  <c r="Z77" i="18" s="1"/>
  <c r="Y78" i="18" a="1"/>
  <c r="Y78" i="18" s="1"/>
  <c r="Z78" i="18" a="1"/>
  <c r="Z78" i="18" s="1"/>
  <c r="Y79" i="18" a="1"/>
  <c r="Y79" i="18" s="1"/>
  <c r="Z79" i="18" a="1"/>
  <c r="Z79" i="18" s="1"/>
  <c r="Y80" i="18" a="1"/>
  <c r="Y80" i="18" s="1"/>
  <c r="Z80" i="18" a="1"/>
  <c r="Z80" i="18" s="1"/>
  <c r="Y81" i="18" a="1"/>
  <c r="Y81" i="18" s="1"/>
  <c r="Z81" i="18" a="1"/>
  <c r="Z81" i="18" s="1"/>
  <c r="Y82" i="18" a="1"/>
  <c r="Y82" i="18" s="1"/>
  <c r="Z82" i="18" a="1"/>
  <c r="Z82" i="18" s="1"/>
  <c r="Y83" i="18" a="1"/>
  <c r="Y83" i="18" s="1"/>
  <c r="Z83" i="18" a="1"/>
  <c r="Z83" i="18" s="1"/>
  <c r="Y84" i="18" a="1"/>
  <c r="Y84" i="18" s="1"/>
  <c r="Z84" i="18" a="1"/>
  <c r="Z84" i="18" s="1"/>
  <c r="Y85" i="18" a="1"/>
  <c r="Y85" i="18" s="1"/>
  <c r="Z85" i="18" a="1"/>
  <c r="Z85" i="18" s="1"/>
  <c r="Y86" i="18" a="1"/>
  <c r="Y86" i="18" s="1"/>
  <c r="Z86" i="18" a="1"/>
  <c r="Z86" i="18" s="1"/>
  <c r="Y87" i="18" a="1"/>
  <c r="Y87" i="18" s="1"/>
  <c r="Z87" i="18" a="1"/>
  <c r="Z87" i="18" s="1"/>
  <c r="Y88" i="18" a="1"/>
  <c r="Y88" i="18" s="1"/>
  <c r="Z88" i="18" a="1"/>
  <c r="Z88" i="18" s="1"/>
  <c r="Y89" i="18" a="1"/>
  <c r="Y89" i="18" s="1"/>
  <c r="Z89" i="18" a="1"/>
  <c r="Z89" i="18" s="1"/>
  <c r="Y90" i="18" a="1"/>
  <c r="Y90" i="18" s="1"/>
  <c r="Z90" i="18" a="1"/>
  <c r="Z90" i="18" s="1"/>
  <c r="Y91" i="18" a="1"/>
  <c r="Y91" i="18" s="1"/>
  <c r="Z91" i="18" a="1"/>
  <c r="Z91" i="18" s="1"/>
  <c r="Y92" i="18" a="1"/>
  <c r="Y92" i="18" s="1"/>
  <c r="Z92" i="18" a="1"/>
  <c r="Z92" i="18" s="1"/>
  <c r="Y93" i="18" a="1"/>
  <c r="Y93" i="18" s="1"/>
  <c r="Z93" i="18" a="1"/>
  <c r="Z93" i="18" s="1"/>
  <c r="Y94" i="18" a="1"/>
  <c r="Y94" i="18" s="1"/>
  <c r="Z94" i="18" a="1"/>
  <c r="Z94" i="18" s="1"/>
  <c r="Y95" i="18" a="1"/>
  <c r="Y95" i="18" s="1"/>
  <c r="Z95" i="18" a="1"/>
  <c r="Z95" i="18" s="1"/>
  <c r="Y96" i="18" a="1"/>
  <c r="Y96" i="18" s="1"/>
  <c r="Z96" i="18" a="1"/>
  <c r="Z96" i="18" s="1"/>
  <c r="Y97" i="18" a="1"/>
  <c r="Y97" i="18" s="1"/>
  <c r="Z97" i="18" a="1"/>
  <c r="Z97" i="18" s="1"/>
  <c r="Y98" i="18" a="1"/>
  <c r="Y98" i="18" s="1"/>
  <c r="Z98" i="18" a="1"/>
  <c r="Z98" i="18" s="1"/>
  <c r="Y99" i="18" a="1"/>
  <c r="Y99" i="18" s="1"/>
  <c r="Z99" i="18" a="1"/>
  <c r="Z99" i="18" s="1"/>
  <c r="Y100" i="18" a="1"/>
  <c r="Y100" i="18" s="1"/>
  <c r="Z100" i="18" a="1"/>
  <c r="Z100" i="18" s="1"/>
  <c r="Y101" i="18" a="1"/>
  <c r="Y101" i="18" s="1"/>
  <c r="Z101" i="18" a="1"/>
  <c r="Z101" i="18" s="1"/>
  <c r="Y102" i="18" a="1"/>
  <c r="Y102" i="18" s="1"/>
  <c r="Z102" i="18" a="1"/>
  <c r="Z102" i="18" s="1"/>
  <c r="Y103" i="18" a="1"/>
  <c r="Y103" i="18" s="1"/>
  <c r="Z103" i="18" a="1"/>
  <c r="Z103" i="18" s="1"/>
  <c r="Y104" i="18" a="1"/>
  <c r="Y104" i="18" s="1"/>
  <c r="Z104" i="18" a="1"/>
  <c r="Z104" i="18" s="1"/>
  <c r="Y105" i="18" a="1"/>
  <c r="Y105" i="18" s="1"/>
  <c r="Z105" i="18" a="1"/>
  <c r="Z105" i="18" s="1"/>
  <c r="Y106" i="18" a="1"/>
  <c r="Y106" i="18" s="1"/>
  <c r="Z106" i="18" a="1"/>
  <c r="Z106" i="18" s="1"/>
  <c r="Y107" i="18" a="1"/>
  <c r="Y107" i="18" s="1"/>
  <c r="Z107" i="18" a="1"/>
  <c r="Z107" i="18" s="1"/>
  <c r="Y108" i="18" a="1"/>
  <c r="Y108" i="18" s="1"/>
  <c r="Z108" i="18" a="1"/>
  <c r="Z108" i="18" s="1"/>
  <c r="Y109" i="18" a="1"/>
  <c r="Y109" i="18" s="1"/>
  <c r="Z109" i="18" a="1"/>
  <c r="Z109" i="18" s="1"/>
  <c r="Y110" i="18" a="1"/>
  <c r="Y110" i="18" s="1"/>
  <c r="Z110" i="18" a="1"/>
  <c r="Z110" i="18" s="1"/>
  <c r="Y111" i="18" a="1"/>
  <c r="Y111" i="18" s="1"/>
  <c r="Z111" i="18" a="1"/>
  <c r="Z111" i="18" s="1"/>
  <c r="Y112" i="18" a="1"/>
  <c r="Y112" i="18" s="1"/>
  <c r="Z112" i="18" a="1"/>
  <c r="Z112" i="18" s="1"/>
  <c r="Y113" i="18" a="1"/>
  <c r="Y113" i="18" s="1"/>
  <c r="Z113" i="18" a="1"/>
  <c r="Z113" i="18" s="1"/>
  <c r="Y114" i="18" a="1"/>
  <c r="Y114" i="18" s="1"/>
  <c r="Z114" i="18" a="1"/>
  <c r="Z114" i="18" s="1"/>
  <c r="Y115" i="18" a="1"/>
  <c r="Y115" i="18" s="1"/>
  <c r="Z115" i="18" a="1"/>
  <c r="Z115" i="18" s="1"/>
  <c r="Y116" i="18" a="1"/>
  <c r="Y116" i="18" s="1"/>
  <c r="Z116" i="18" a="1"/>
  <c r="Z116" i="18" s="1"/>
  <c r="Y117" i="18" a="1"/>
  <c r="Y117" i="18" s="1"/>
  <c r="Z117" i="18" a="1"/>
  <c r="Z117" i="18" s="1"/>
  <c r="Y118" i="18" a="1"/>
  <c r="Y118" i="18" s="1"/>
  <c r="Z118" i="18" a="1"/>
  <c r="Z118" i="18" s="1"/>
  <c r="Y119" i="18" a="1"/>
  <c r="Y119" i="18" s="1"/>
  <c r="Z119" i="18" a="1"/>
  <c r="Z119" i="18" s="1"/>
  <c r="Y120" i="18" a="1"/>
  <c r="Y120" i="18" s="1"/>
  <c r="Z120" i="18" a="1"/>
  <c r="Z120" i="18" s="1"/>
  <c r="Y121" i="18" a="1"/>
  <c r="Y121" i="18" s="1"/>
  <c r="Z121" i="18" a="1"/>
  <c r="Z121" i="18" s="1"/>
  <c r="Y122" i="18" a="1"/>
  <c r="Y122" i="18" s="1"/>
  <c r="Z122" i="18" a="1"/>
  <c r="Z122" i="18" s="1"/>
  <c r="Y123" i="18" a="1"/>
  <c r="Y123" i="18" s="1"/>
  <c r="Z123" i="18" a="1"/>
  <c r="Z123" i="18" s="1"/>
  <c r="Y124" i="18" a="1"/>
  <c r="Y124" i="18" s="1"/>
  <c r="Z124" i="18" a="1"/>
  <c r="Z124" i="18" s="1"/>
  <c r="Y125" i="18" a="1"/>
  <c r="Y125" i="18" s="1"/>
  <c r="Z125" i="18" a="1"/>
  <c r="Z125" i="18" s="1"/>
  <c r="Y126" i="18" a="1"/>
  <c r="Y126" i="18" s="1"/>
  <c r="Z126" i="18" a="1"/>
  <c r="Z126" i="18" s="1"/>
  <c r="Y127" i="18" a="1"/>
  <c r="Y127" i="18" s="1"/>
  <c r="Z127" i="18" a="1"/>
  <c r="Z127" i="18" s="1"/>
  <c r="Y128" i="18" a="1"/>
  <c r="Y128" i="18" s="1"/>
  <c r="Z128" i="18" a="1"/>
  <c r="Z128" i="18" s="1"/>
  <c r="Y129" i="18" a="1"/>
  <c r="Y129" i="18" s="1"/>
  <c r="Z129" i="18" a="1"/>
  <c r="Z129" i="18" s="1"/>
  <c r="Y130" i="18" a="1"/>
  <c r="Y130" i="18" s="1"/>
  <c r="Z130" i="18" a="1"/>
  <c r="Z130" i="18" s="1"/>
  <c r="Y131" i="18" a="1"/>
  <c r="Y131" i="18" s="1"/>
  <c r="Z131" i="18" a="1"/>
  <c r="Z131" i="18" s="1"/>
  <c r="Y132" i="18" a="1"/>
  <c r="Y132" i="18" s="1"/>
  <c r="Z132" i="18" a="1"/>
  <c r="Z132" i="18" s="1"/>
  <c r="Y133" i="18" a="1"/>
  <c r="Y133" i="18" s="1"/>
  <c r="Z133" i="18" a="1"/>
  <c r="Z133" i="18" s="1"/>
  <c r="Y134" i="18" a="1"/>
  <c r="Y134" i="18" s="1"/>
  <c r="Z134" i="18" a="1"/>
  <c r="Z134" i="18" s="1"/>
  <c r="Y135" i="18" a="1"/>
  <c r="Y135" i="18" s="1"/>
  <c r="Z135" i="18" a="1"/>
  <c r="Z135" i="18" s="1"/>
  <c r="Y136" i="18" a="1"/>
  <c r="Y136" i="18" s="1"/>
  <c r="Z136" i="18" a="1"/>
  <c r="Z136" i="18" s="1"/>
  <c r="Y137" i="18" a="1"/>
  <c r="Y137" i="18" s="1"/>
  <c r="Z137" i="18" a="1"/>
  <c r="Z137" i="18" s="1"/>
  <c r="Y138" i="18" a="1"/>
  <c r="Y138" i="18" s="1"/>
  <c r="Z138" i="18" a="1"/>
  <c r="Z138" i="18" s="1"/>
  <c r="Y139" i="18" a="1"/>
  <c r="Y139" i="18" s="1"/>
  <c r="Z139" i="18" a="1"/>
  <c r="Z139" i="18" s="1"/>
  <c r="Y140" i="18" a="1"/>
  <c r="Y140" i="18" s="1"/>
  <c r="Z140" i="18" a="1"/>
  <c r="Z140" i="18" s="1"/>
  <c r="Y141" i="18" a="1"/>
  <c r="Y141" i="18" s="1"/>
  <c r="Z141" i="18" a="1"/>
  <c r="Z141" i="18" s="1"/>
  <c r="Y142" i="18" a="1"/>
  <c r="Y142" i="18" s="1"/>
  <c r="Z142" i="18" a="1"/>
  <c r="Z142" i="18" s="1"/>
  <c r="Y143" i="18" a="1"/>
  <c r="Y143" i="18" s="1"/>
  <c r="Z143" i="18" a="1"/>
  <c r="Z143" i="18" s="1"/>
  <c r="Y144" i="18" a="1"/>
  <c r="Y144" i="18" s="1"/>
  <c r="Z144" i="18" a="1"/>
  <c r="Z144" i="18" s="1"/>
  <c r="Y145" i="18" a="1"/>
  <c r="Y145" i="18" s="1"/>
  <c r="Z145" i="18" a="1"/>
  <c r="Z145" i="18" s="1"/>
  <c r="Y146" i="18" a="1"/>
  <c r="Y146" i="18" s="1"/>
  <c r="Z146" i="18" a="1"/>
  <c r="Z146" i="18" s="1"/>
  <c r="Y147" i="18" a="1"/>
  <c r="Y147" i="18" s="1"/>
  <c r="Z147" i="18" a="1"/>
  <c r="Z147" i="18" s="1"/>
  <c r="Y148" i="18" a="1"/>
  <c r="Y148" i="18" s="1"/>
  <c r="Z148" i="18" a="1"/>
  <c r="Z148" i="18" s="1"/>
  <c r="Y149" i="18" a="1"/>
  <c r="Y149" i="18" s="1"/>
  <c r="Z149" i="18" a="1"/>
  <c r="Z149" i="18" s="1"/>
  <c r="Y150" i="18" a="1"/>
  <c r="Y150" i="18" s="1"/>
  <c r="Z150" i="18" a="1"/>
  <c r="Z150" i="18" s="1"/>
  <c r="Y151" i="18" a="1"/>
  <c r="Y151" i="18" s="1"/>
  <c r="Z151" i="18" a="1"/>
  <c r="Z151" i="18" s="1"/>
  <c r="Y152" i="18" a="1"/>
  <c r="Y152" i="18" s="1"/>
  <c r="Z152" i="18" a="1"/>
  <c r="Z152" i="18" s="1"/>
  <c r="Y153" i="18" a="1"/>
  <c r="Y153" i="18" s="1"/>
  <c r="Z153" i="18" a="1"/>
  <c r="Z153" i="18" s="1"/>
  <c r="Y154" i="18" a="1"/>
  <c r="Y154" i="18" s="1"/>
  <c r="Z154" i="18" a="1"/>
  <c r="Z154" i="18" s="1"/>
  <c r="Y155" i="18" a="1"/>
  <c r="Y155" i="18" s="1"/>
  <c r="Z155" i="18" a="1"/>
  <c r="Z155" i="18" s="1"/>
  <c r="Y156" i="18" a="1"/>
  <c r="Y156" i="18" s="1"/>
  <c r="Z156" i="18" a="1"/>
  <c r="Z156" i="18" s="1"/>
  <c r="Y157" i="18" a="1"/>
  <c r="Y157" i="18" s="1"/>
  <c r="Z157" i="18" a="1"/>
  <c r="Z157" i="18" s="1"/>
  <c r="Y158" i="18" a="1"/>
  <c r="Y158" i="18" s="1"/>
  <c r="Z158" i="18" a="1"/>
  <c r="Z158" i="18" s="1"/>
  <c r="Y159" i="18" a="1"/>
  <c r="Y159" i="18" s="1"/>
  <c r="Z159" i="18" a="1"/>
  <c r="Z159" i="18" s="1"/>
  <c r="Y160" i="18" a="1"/>
  <c r="Y160" i="18" s="1"/>
  <c r="Z160" i="18" a="1"/>
  <c r="Z160" i="18" s="1"/>
  <c r="Y161" i="18" a="1"/>
  <c r="Y161" i="18" s="1"/>
  <c r="Z161" i="18" a="1"/>
  <c r="Z161" i="18" s="1"/>
  <c r="Y162" i="18" a="1"/>
  <c r="Y162" i="18" s="1"/>
  <c r="Z162" i="18" a="1"/>
  <c r="Z162" i="18" s="1"/>
  <c r="Y163" i="18" a="1"/>
  <c r="Y163" i="18" s="1"/>
  <c r="Z163" i="18" a="1"/>
  <c r="Z163" i="18" s="1"/>
  <c r="Y164" i="18" a="1"/>
  <c r="Y164" i="18" s="1"/>
  <c r="Z164" i="18" a="1"/>
  <c r="Z164" i="18" s="1"/>
  <c r="Y165" i="18" a="1"/>
  <c r="Y165" i="18" s="1"/>
  <c r="Z165" i="18" a="1"/>
  <c r="Z165" i="18" s="1"/>
  <c r="Y166" i="18" a="1"/>
  <c r="Y166" i="18" s="1"/>
  <c r="Z166" i="18" a="1"/>
  <c r="Z166" i="18" s="1"/>
  <c r="Y167" i="18" a="1"/>
  <c r="Y167" i="18" s="1"/>
  <c r="Z167" i="18" a="1"/>
  <c r="Z167" i="18" s="1"/>
  <c r="Y168" i="18" a="1"/>
  <c r="Y168" i="18" s="1"/>
  <c r="Z168" i="18" a="1"/>
  <c r="Z168" i="18" s="1"/>
  <c r="Y169" i="18" a="1"/>
  <c r="Y169" i="18" s="1"/>
  <c r="Z169" i="18" a="1"/>
  <c r="Z169" i="18" s="1"/>
  <c r="Y170" i="18" a="1"/>
  <c r="Y170" i="18" s="1"/>
  <c r="Z170" i="18" a="1"/>
  <c r="Z170" i="18" s="1"/>
  <c r="Y171" i="18" a="1"/>
  <c r="Y171" i="18" s="1"/>
  <c r="Z171" i="18" a="1"/>
  <c r="Z171" i="18" s="1"/>
  <c r="Y172" i="18" a="1"/>
  <c r="Y172" i="18" s="1"/>
  <c r="Z172" i="18" a="1"/>
  <c r="Z172" i="18" s="1"/>
  <c r="Y173" i="18" a="1"/>
  <c r="Y173" i="18" s="1"/>
  <c r="Z173" i="18" a="1"/>
  <c r="Z173" i="18" s="1"/>
  <c r="Y174" i="18" a="1"/>
  <c r="Y174" i="18" s="1"/>
  <c r="Z174" i="18" a="1"/>
  <c r="Z174" i="18" s="1"/>
  <c r="Y175" i="18" a="1"/>
  <c r="Y175" i="18" s="1"/>
  <c r="Z175" i="18" a="1"/>
  <c r="Z175" i="18" s="1"/>
  <c r="Y176" i="18" a="1"/>
  <c r="Y176" i="18" s="1"/>
  <c r="Z176" i="18" a="1"/>
  <c r="Z176" i="18" s="1"/>
  <c r="Y177" i="18" a="1"/>
  <c r="Y177" i="18" s="1"/>
  <c r="Z177" i="18" a="1"/>
  <c r="Z177" i="18" s="1"/>
  <c r="Y178" i="18" a="1"/>
  <c r="Y178" i="18" s="1"/>
  <c r="Z178" i="18" a="1"/>
  <c r="Z178" i="18" s="1"/>
  <c r="Y179" i="18" a="1"/>
  <c r="Y179" i="18" s="1"/>
  <c r="Z179" i="18" a="1"/>
  <c r="Z179" i="18" s="1"/>
  <c r="Y180" i="18" a="1"/>
  <c r="Y180" i="18" s="1"/>
  <c r="Z180" i="18" a="1"/>
  <c r="Z180" i="18" s="1"/>
  <c r="Y181" i="18" a="1"/>
  <c r="Y181" i="18" s="1"/>
  <c r="Z181" i="18" a="1"/>
  <c r="Z181" i="18" s="1"/>
  <c r="Y182" i="18" a="1"/>
  <c r="Y182" i="18" s="1"/>
  <c r="Z182" i="18" a="1"/>
  <c r="Z182" i="18" s="1"/>
  <c r="Y183" i="18" a="1"/>
  <c r="Y183" i="18" s="1"/>
  <c r="Z183" i="18" a="1"/>
  <c r="Z183" i="18" s="1"/>
  <c r="Y184" i="18" a="1"/>
  <c r="Y184" i="18" s="1"/>
  <c r="Z184" i="18" a="1"/>
  <c r="Z184" i="18" s="1"/>
  <c r="Y185" i="18" a="1"/>
  <c r="Y185" i="18" s="1"/>
  <c r="Z185" i="18" a="1"/>
  <c r="Z185" i="18" s="1"/>
  <c r="Y186" i="18" a="1"/>
  <c r="Y186" i="18" s="1"/>
  <c r="Z186" i="18" a="1"/>
  <c r="Z186" i="18" s="1"/>
  <c r="Y187" i="18" a="1"/>
  <c r="Y187" i="18" s="1"/>
  <c r="Z187" i="18" a="1"/>
  <c r="Z187" i="18" s="1"/>
  <c r="Y188" i="18" a="1"/>
  <c r="Y188" i="18" s="1"/>
  <c r="Z188" i="18" a="1"/>
  <c r="Z188" i="18" s="1"/>
  <c r="Y189" i="18" a="1"/>
  <c r="Y189" i="18" s="1"/>
  <c r="Z189" i="18" a="1"/>
  <c r="Z189" i="18" s="1"/>
  <c r="Y190" i="18" a="1"/>
  <c r="Y190" i="18" s="1"/>
  <c r="Z190" i="18" a="1"/>
  <c r="Z190" i="18" s="1"/>
  <c r="Y191" i="18" a="1"/>
  <c r="Y191" i="18" s="1"/>
  <c r="Z191" i="18" a="1"/>
  <c r="Z191" i="18" s="1"/>
  <c r="Y192" i="18" a="1"/>
  <c r="Y192" i="18" s="1"/>
  <c r="Z192" i="18" a="1"/>
  <c r="Z192" i="18" s="1"/>
  <c r="Y193" i="18" a="1"/>
  <c r="Y193" i="18" s="1"/>
  <c r="Z193" i="18" a="1"/>
  <c r="Z193" i="18" s="1"/>
  <c r="Y194" i="18" a="1"/>
  <c r="Y194" i="18" s="1"/>
  <c r="Z194" i="18" a="1"/>
  <c r="Z194" i="18" s="1"/>
  <c r="Y195" i="18" a="1"/>
  <c r="Y195" i="18" s="1"/>
  <c r="Z195" i="18" a="1"/>
  <c r="Z195" i="18" s="1"/>
  <c r="Y196" i="18" a="1"/>
  <c r="Y196" i="18" s="1"/>
  <c r="Z196" i="18" a="1"/>
  <c r="Z196" i="18" s="1"/>
  <c r="Y197" i="18" a="1"/>
  <c r="Y197" i="18" s="1"/>
  <c r="Z197" i="18" a="1"/>
  <c r="Z197" i="18" s="1"/>
  <c r="Y198" i="18" a="1"/>
  <c r="Y198" i="18" s="1"/>
  <c r="Z198" i="18" a="1"/>
  <c r="Z198" i="18" s="1"/>
  <c r="Y199" i="18" a="1"/>
  <c r="Y199" i="18" s="1"/>
  <c r="Z199" i="18" a="1"/>
  <c r="Z199" i="18" s="1"/>
  <c r="Y200" i="18" a="1"/>
  <c r="Y200" i="18" s="1"/>
  <c r="Z200" i="18" a="1"/>
  <c r="Z200" i="18" s="1"/>
  <c r="Y201" i="18" a="1"/>
  <c r="Y201" i="18" s="1"/>
  <c r="Z201" i="18" a="1"/>
  <c r="Z201" i="18" s="1"/>
  <c r="Y202" i="18" a="1"/>
  <c r="Y202" i="18" s="1"/>
  <c r="Z202" i="18" a="1"/>
  <c r="Z202" i="18" s="1"/>
  <c r="Y203" i="18" a="1"/>
  <c r="Y203" i="18" s="1"/>
  <c r="Z203" i="18" a="1"/>
  <c r="Z203" i="18" s="1"/>
  <c r="Y204" i="18" a="1"/>
  <c r="Y204" i="18" s="1"/>
  <c r="Z204" i="18" a="1"/>
  <c r="Z204" i="18" s="1"/>
  <c r="Y205" i="18" a="1"/>
  <c r="Y205" i="18" s="1"/>
  <c r="Z205" i="18" a="1"/>
  <c r="Z205" i="18" s="1"/>
  <c r="Y206" i="18" a="1"/>
  <c r="Y206" i="18" s="1"/>
  <c r="Z206" i="18" a="1"/>
  <c r="Z206" i="18" s="1"/>
  <c r="Y207" i="18" a="1"/>
  <c r="Y207" i="18" s="1"/>
  <c r="Z207" i="18" a="1"/>
  <c r="Z207" i="18" s="1"/>
  <c r="Y208" i="18" a="1"/>
  <c r="Y208" i="18" s="1"/>
  <c r="Z208" i="18" a="1"/>
  <c r="Z208" i="18" s="1"/>
  <c r="Y209" i="18" a="1"/>
  <c r="Y209" i="18" s="1"/>
  <c r="Z209" i="18" a="1"/>
  <c r="Z209" i="18" s="1"/>
  <c r="Y210" i="18" a="1"/>
  <c r="Y210" i="18" s="1"/>
  <c r="Z210" i="18" a="1"/>
  <c r="Z210" i="18" s="1"/>
  <c r="Y211" i="18" a="1"/>
  <c r="Y211" i="18" s="1"/>
  <c r="Z211" i="18" a="1"/>
  <c r="Z211" i="18" s="1"/>
  <c r="Y212" i="18" a="1"/>
  <c r="Y212" i="18" s="1"/>
  <c r="Z212" i="18" a="1"/>
  <c r="Z212" i="18" s="1"/>
  <c r="Y213" i="18" a="1"/>
  <c r="Y213" i="18" s="1"/>
  <c r="Z213" i="18" a="1"/>
  <c r="Z213" i="18" s="1"/>
  <c r="Y214" i="18" a="1"/>
  <c r="Y214" i="18" s="1"/>
  <c r="Z214" i="18" a="1"/>
  <c r="Z214" i="18" s="1"/>
  <c r="Y215" i="18" a="1"/>
  <c r="Y215" i="18" s="1"/>
  <c r="Z215" i="18" a="1"/>
  <c r="Z215" i="18" s="1"/>
  <c r="Y216" i="18" a="1"/>
  <c r="Y216" i="18" s="1"/>
  <c r="Z216" i="18" a="1"/>
  <c r="Z216" i="18" s="1"/>
  <c r="Y217" i="18" a="1"/>
  <c r="Y217" i="18" s="1"/>
  <c r="Z217" i="18" a="1"/>
  <c r="Z217" i="18" s="1"/>
  <c r="Y218" i="18" a="1"/>
  <c r="Y218" i="18" s="1"/>
  <c r="Z218" i="18" a="1"/>
  <c r="Z218" i="18" s="1"/>
  <c r="Y219" i="18" a="1"/>
  <c r="Y219" i="18" s="1"/>
  <c r="Z219" i="18" a="1"/>
  <c r="Z219" i="18" s="1"/>
  <c r="Y220" i="18" a="1"/>
  <c r="Y220" i="18" s="1"/>
  <c r="Z220" i="18" a="1"/>
  <c r="Z220" i="18" s="1"/>
  <c r="Y221" i="18" a="1"/>
  <c r="Y221" i="18" s="1"/>
  <c r="Z221" i="18" a="1"/>
  <c r="Z221" i="18" s="1"/>
  <c r="Y222" i="18" a="1"/>
  <c r="Y222" i="18" s="1"/>
  <c r="Z222" i="18" a="1"/>
  <c r="Z222" i="18" s="1"/>
  <c r="Y223" i="18" a="1"/>
  <c r="Y223" i="18" s="1"/>
  <c r="Z223" i="18" a="1"/>
  <c r="Z223" i="18" s="1"/>
  <c r="Y224" i="18" a="1"/>
  <c r="Y224" i="18" s="1"/>
  <c r="Z224" i="18" a="1"/>
  <c r="Z224" i="18" s="1"/>
  <c r="Y225" i="18" a="1"/>
  <c r="Y225" i="18" s="1"/>
  <c r="Z225" i="18" a="1"/>
  <c r="Z225" i="18" s="1"/>
  <c r="Y226" i="18" a="1"/>
  <c r="Y226" i="18" s="1"/>
  <c r="Z226" i="18" a="1"/>
  <c r="Z226" i="18" s="1"/>
  <c r="Y227" i="18" a="1"/>
  <c r="Y227" i="18" s="1"/>
  <c r="Z227" i="18" a="1"/>
  <c r="Z227" i="18" s="1"/>
  <c r="Y228" i="18" a="1"/>
  <c r="Y228" i="18" s="1"/>
  <c r="Z228" i="18" a="1"/>
  <c r="Z228" i="18" s="1"/>
  <c r="Y229" i="18" a="1"/>
  <c r="Y229" i="18" s="1"/>
  <c r="Z229" i="18" a="1"/>
  <c r="Z229" i="18" s="1"/>
  <c r="Y230" i="18" a="1"/>
  <c r="Y230" i="18" s="1"/>
  <c r="Z230" i="18" a="1"/>
  <c r="Z230" i="18" s="1"/>
  <c r="Y231" i="18" a="1"/>
  <c r="Y231" i="18" s="1"/>
  <c r="Z231" i="18" a="1"/>
  <c r="Z231" i="18" s="1"/>
  <c r="Y232" i="18" a="1"/>
  <c r="Y232" i="18" s="1"/>
  <c r="Z232" i="18" a="1"/>
  <c r="Z232" i="18" s="1"/>
  <c r="Y233" i="18" a="1"/>
  <c r="Y233" i="18" s="1"/>
  <c r="Z233" i="18" a="1"/>
  <c r="Z233" i="18" s="1"/>
  <c r="Y234" i="18" a="1"/>
  <c r="Y234" i="18" s="1"/>
  <c r="Z234" i="18" a="1"/>
  <c r="Z234" i="18" s="1"/>
  <c r="Y235" i="18" a="1"/>
  <c r="Y235" i="18" s="1"/>
  <c r="Z235" i="18" a="1"/>
  <c r="Z235" i="18" s="1"/>
  <c r="Y236" i="18" a="1"/>
  <c r="Y236" i="18" s="1"/>
  <c r="Z236" i="18" a="1"/>
  <c r="Z236" i="18" s="1"/>
  <c r="Y237" i="18" a="1"/>
  <c r="Y237" i="18" s="1"/>
  <c r="Z237" i="18" a="1"/>
  <c r="Z237" i="18" s="1"/>
  <c r="Y238" i="18" a="1"/>
  <c r="Y238" i="18" s="1"/>
  <c r="Z238" i="18" a="1"/>
  <c r="Z238" i="18" s="1"/>
  <c r="Y239" i="18" a="1"/>
  <c r="Y239" i="18" s="1"/>
  <c r="Z239" i="18" a="1"/>
  <c r="Z239" i="18" s="1"/>
  <c r="Y240" i="18" a="1"/>
  <c r="Y240" i="18" s="1"/>
  <c r="Z240" i="18" a="1"/>
  <c r="Z240" i="18" s="1"/>
  <c r="Y241" i="18" a="1"/>
  <c r="Y241" i="18" s="1"/>
  <c r="Z241" i="18" a="1"/>
  <c r="Z241" i="18" s="1"/>
  <c r="Y242" i="18" a="1"/>
  <c r="Y242" i="18" s="1"/>
  <c r="Z242" i="18" a="1"/>
  <c r="Z242" i="18" s="1"/>
  <c r="Y243" i="18" a="1"/>
  <c r="Y243" i="18" s="1"/>
  <c r="Z243" i="18" a="1"/>
  <c r="Z243" i="18" s="1"/>
  <c r="Y244" i="18" a="1"/>
  <c r="Y244" i="18" s="1"/>
  <c r="Z244" i="18" a="1"/>
  <c r="Z244" i="18" s="1"/>
  <c r="Y245" i="18" a="1"/>
  <c r="Y245" i="18" s="1"/>
  <c r="Z245" i="18" a="1"/>
  <c r="Z245" i="18" s="1"/>
  <c r="Y246" i="18" a="1"/>
  <c r="Y246" i="18" s="1"/>
  <c r="Z246" i="18" a="1"/>
  <c r="Z246" i="18" s="1"/>
  <c r="Y247" i="18" a="1"/>
  <c r="Y247" i="18" s="1"/>
  <c r="Z247" i="18" a="1"/>
  <c r="Z247" i="18" s="1"/>
  <c r="Y248" i="18" a="1"/>
  <c r="Y248" i="18" s="1"/>
  <c r="Z248" i="18" a="1"/>
  <c r="Z248" i="18" s="1"/>
  <c r="Y249" i="18" a="1"/>
  <c r="Y249" i="18" s="1"/>
  <c r="Z249" i="18" a="1"/>
  <c r="Z249" i="18" s="1"/>
  <c r="Y250" i="18" a="1"/>
  <c r="Y250" i="18" s="1"/>
  <c r="Z250" i="18" a="1"/>
  <c r="Z250" i="18" s="1"/>
  <c r="Y251" i="18" a="1"/>
  <c r="Y251" i="18" s="1"/>
  <c r="Z251" i="18" a="1"/>
  <c r="Z251" i="18" s="1"/>
  <c r="Y252" i="18" a="1"/>
  <c r="Y252" i="18" s="1"/>
  <c r="Z252" i="18" a="1"/>
  <c r="Z252" i="18" s="1"/>
  <c r="Y253" i="18" a="1"/>
  <c r="Y253" i="18" s="1"/>
  <c r="Z253" i="18" a="1"/>
  <c r="Z253" i="18" s="1"/>
  <c r="Y254" i="18" a="1"/>
  <c r="Y254" i="18" s="1"/>
  <c r="Z254" i="18" a="1"/>
  <c r="Z254" i="18" s="1"/>
  <c r="Y255" i="18" a="1"/>
  <c r="Y255" i="18" s="1"/>
  <c r="Z255" i="18" a="1"/>
  <c r="Z255" i="18" s="1"/>
  <c r="Y256" i="18" a="1"/>
  <c r="Y256" i="18" s="1"/>
  <c r="Z256" i="18" a="1"/>
  <c r="Z256" i="18" s="1"/>
  <c r="Y257" i="18" a="1"/>
  <c r="Y257" i="18" s="1"/>
  <c r="Z257" i="18" a="1"/>
  <c r="Z257" i="18" s="1"/>
  <c r="Y258" i="18" a="1"/>
  <c r="Y258" i="18" s="1"/>
  <c r="Z258" i="18" a="1"/>
  <c r="Z258" i="18" s="1"/>
  <c r="Y259" i="18" a="1"/>
  <c r="Y259" i="18" s="1"/>
  <c r="Z259" i="18" a="1"/>
  <c r="Z259" i="18" s="1"/>
  <c r="Y260" i="18" a="1"/>
  <c r="Y260" i="18" s="1"/>
  <c r="Z260" i="18" a="1"/>
  <c r="Z260" i="18" s="1"/>
  <c r="Y261" i="18" a="1"/>
  <c r="Y261" i="18" s="1"/>
  <c r="Z261" i="18" a="1"/>
  <c r="Z261" i="18" s="1"/>
  <c r="Y262" i="18" a="1"/>
  <c r="Y262" i="18" s="1"/>
  <c r="Z262" i="18" a="1"/>
  <c r="Z262" i="18" s="1"/>
  <c r="Y263" i="18" a="1"/>
  <c r="Y263" i="18" s="1"/>
  <c r="Z263" i="18" a="1"/>
  <c r="Z263" i="18" s="1"/>
  <c r="Y264" i="18" a="1"/>
  <c r="Y264" i="18" s="1"/>
  <c r="Z264" i="18" a="1"/>
  <c r="Z264" i="18" s="1"/>
  <c r="Y265" i="18" a="1"/>
  <c r="Y265" i="18" s="1"/>
  <c r="Z265" i="18" a="1"/>
  <c r="Z265" i="18" s="1"/>
  <c r="Y266" i="18" a="1"/>
  <c r="Y266" i="18" s="1"/>
  <c r="Z266" i="18" a="1"/>
  <c r="Z266" i="18" s="1"/>
  <c r="Y267" i="18" a="1"/>
  <c r="Y267" i="18" s="1"/>
  <c r="Z267" i="18" a="1"/>
  <c r="Z267" i="18" s="1"/>
  <c r="Y268" i="18" a="1"/>
  <c r="Y268" i="18" s="1"/>
  <c r="Z268" i="18" a="1"/>
  <c r="Z268" i="18" s="1"/>
  <c r="Y269" i="18" a="1"/>
  <c r="Y269" i="18" s="1"/>
  <c r="Z269" i="18" a="1"/>
  <c r="Z269" i="18" s="1"/>
  <c r="Y270" i="18" a="1"/>
  <c r="Y270" i="18" s="1"/>
  <c r="Z270" i="18" a="1"/>
  <c r="Z270" i="18" s="1"/>
  <c r="Y271" i="18" a="1"/>
  <c r="Y271" i="18" s="1"/>
  <c r="Z271" i="18" a="1"/>
  <c r="Z271" i="18" s="1"/>
  <c r="Y272" i="18" a="1"/>
  <c r="Y272" i="18" s="1"/>
  <c r="Z272" i="18" a="1"/>
  <c r="Z272" i="18" s="1"/>
  <c r="Y273" i="18" a="1"/>
  <c r="Y273" i="18" s="1"/>
  <c r="Z273" i="18" a="1"/>
  <c r="Z273" i="18" s="1"/>
  <c r="Y274" i="18" a="1"/>
  <c r="Y274" i="18" s="1"/>
  <c r="Z274" i="18" a="1"/>
  <c r="Z274" i="18" s="1"/>
  <c r="Y275" i="18" a="1"/>
  <c r="Y275" i="18" s="1"/>
  <c r="Z275" i="18" a="1"/>
  <c r="Z275" i="18" s="1"/>
  <c r="Y276" i="18" a="1"/>
  <c r="Y276" i="18" s="1"/>
  <c r="Z276" i="18" a="1"/>
  <c r="Z276" i="18" s="1"/>
  <c r="Y277" i="18" a="1"/>
  <c r="Y277" i="18" s="1"/>
  <c r="Z277" i="18" a="1"/>
  <c r="Z277" i="18" s="1"/>
  <c r="Y278" i="18" a="1"/>
  <c r="Y278" i="18" s="1"/>
  <c r="Z278" i="18" a="1"/>
  <c r="Z278" i="18" s="1"/>
  <c r="Y279" i="18" a="1"/>
  <c r="Y279" i="18" s="1"/>
  <c r="Z279" i="18" a="1"/>
  <c r="Z279" i="18" s="1"/>
  <c r="Y280" i="18" a="1"/>
  <c r="Y280" i="18" s="1"/>
  <c r="Z280" i="18" a="1"/>
  <c r="Z280" i="18" s="1"/>
  <c r="Y281" i="18" a="1"/>
  <c r="Y281" i="18" s="1"/>
  <c r="Z281" i="18" a="1"/>
  <c r="Z281" i="18" s="1"/>
  <c r="Y282" i="18" a="1"/>
  <c r="Y282" i="18" s="1"/>
  <c r="Z282" i="18" a="1"/>
  <c r="Z282" i="18" s="1"/>
  <c r="Y283" i="18" a="1"/>
  <c r="Y283" i="18" s="1"/>
  <c r="Z283" i="18" a="1"/>
  <c r="Z283" i="18" s="1"/>
  <c r="Y284" i="18" a="1"/>
  <c r="Y284" i="18" s="1"/>
  <c r="Z284" i="18" a="1"/>
  <c r="Z284" i="18" s="1"/>
  <c r="Y285" i="18" a="1"/>
  <c r="Y285" i="18" s="1"/>
  <c r="Z285" i="18" a="1"/>
  <c r="Z285" i="18" s="1"/>
  <c r="Y286" i="18" a="1"/>
  <c r="Y286" i="18" s="1"/>
  <c r="Z286" i="18" a="1"/>
  <c r="Z286" i="18" s="1"/>
  <c r="Y287" i="18" a="1"/>
  <c r="Y287" i="18" s="1"/>
  <c r="Z287" i="18" a="1"/>
  <c r="Z287" i="18" s="1"/>
  <c r="Y288" i="18" a="1"/>
  <c r="Y288" i="18" s="1"/>
  <c r="Z288" i="18" a="1"/>
  <c r="Z288" i="18" s="1"/>
  <c r="Y289" i="18" a="1"/>
  <c r="Y289" i="18" s="1"/>
  <c r="Z289" i="18" a="1"/>
  <c r="Z289" i="18" s="1"/>
  <c r="Y290" i="18" a="1"/>
  <c r="Y290" i="18" s="1"/>
  <c r="Z290" i="18" a="1"/>
  <c r="Z290" i="18" s="1"/>
  <c r="Y291" i="18" a="1"/>
  <c r="Y291" i="18" s="1"/>
  <c r="Z291" i="18" a="1"/>
  <c r="Z291" i="18" s="1"/>
  <c r="Y292" i="18" a="1"/>
  <c r="Y292" i="18" s="1"/>
  <c r="Z292" i="18" a="1"/>
  <c r="Z292" i="18" s="1"/>
  <c r="Y293" i="18" a="1"/>
  <c r="Y293" i="18" s="1"/>
  <c r="Z293" i="18" a="1"/>
  <c r="Z293" i="18" s="1"/>
  <c r="Y294" i="18" a="1"/>
  <c r="Y294" i="18" s="1"/>
  <c r="Z294" i="18" a="1"/>
  <c r="Z294" i="18" s="1"/>
  <c r="Y295" i="18" a="1"/>
  <c r="Y295" i="18" s="1"/>
  <c r="Z295" i="18" a="1"/>
  <c r="Z295" i="18" s="1"/>
  <c r="Y296" i="18" a="1"/>
  <c r="Y296" i="18" s="1"/>
  <c r="Z296" i="18" a="1"/>
  <c r="Z296" i="18" s="1"/>
  <c r="Y297" i="18" a="1"/>
  <c r="Y297" i="18" s="1"/>
  <c r="Z297" i="18" a="1"/>
  <c r="Z297" i="18" s="1"/>
  <c r="Y298" i="18" a="1"/>
  <c r="Y298" i="18" s="1"/>
  <c r="Z298" i="18" a="1"/>
  <c r="Z298" i="18" s="1"/>
  <c r="Y299" i="18" a="1"/>
  <c r="Y299" i="18" s="1"/>
  <c r="Z299" i="18" a="1"/>
  <c r="Z299" i="18" s="1"/>
  <c r="Y300" i="18" a="1"/>
  <c r="Y300" i="18" s="1"/>
  <c r="Z300" i="18" a="1"/>
  <c r="Z300" i="18" s="1"/>
  <c r="Y301" i="18" a="1"/>
  <c r="Y301" i="18" s="1"/>
  <c r="Z301" i="18" a="1"/>
  <c r="Z301" i="18" s="1"/>
  <c r="Y302" i="18" a="1"/>
  <c r="Y302" i="18" s="1"/>
  <c r="Z302" i="18" a="1"/>
  <c r="Z302" i="18" s="1"/>
  <c r="Y303" i="18" a="1"/>
  <c r="Y303" i="18" s="1"/>
  <c r="Z303" i="18" a="1"/>
  <c r="Z303" i="18" s="1"/>
  <c r="Y304" i="18" a="1"/>
  <c r="Y304" i="18" s="1"/>
  <c r="Z304" i="18" a="1"/>
  <c r="Z304" i="18" s="1"/>
  <c r="Y305" i="18" a="1"/>
  <c r="Y305" i="18" s="1"/>
  <c r="Z305" i="18" a="1"/>
  <c r="Z305" i="18" s="1"/>
  <c r="Y306" i="18" a="1"/>
  <c r="Y306" i="18" s="1"/>
  <c r="Z306" i="18" a="1"/>
  <c r="Z306" i="18" s="1"/>
  <c r="Y307" i="18" a="1"/>
  <c r="Y307" i="18" s="1"/>
  <c r="Z307" i="18" a="1"/>
  <c r="Z307" i="18" s="1"/>
  <c r="Y308" i="18" a="1"/>
  <c r="Y308" i="18" s="1"/>
  <c r="Z308" i="18" a="1"/>
  <c r="Z308" i="18" s="1"/>
  <c r="Y309" i="18" a="1"/>
  <c r="Y309" i="18" s="1"/>
  <c r="Z309" i="18" a="1"/>
  <c r="Z309" i="18" s="1"/>
  <c r="Y310" i="18" a="1"/>
  <c r="Y310" i="18" s="1"/>
  <c r="Z310" i="18" a="1"/>
  <c r="Z310" i="18" s="1"/>
  <c r="Y311" i="18" a="1"/>
  <c r="Y311" i="18" s="1"/>
  <c r="Z311" i="18" a="1"/>
  <c r="Z311" i="18" s="1"/>
  <c r="Y312" i="18" a="1"/>
  <c r="Y312" i="18" s="1"/>
  <c r="Z312" i="18" a="1"/>
  <c r="Z312" i="18" s="1"/>
  <c r="Y313" i="18" a="1"/>
  <c r="Y313" i="18" s="1"/>
  <c r="Z313" i="18" a="1"/>
  <c r="Z313" i="18" s="1"/>
  <c r="Y314" i="18" a="1"/>
  <c r="Y314" i="18" s="1"/>
  <c r="Z314" i="18" a="1"/>
  <c r="Z314" i="18" s="1"/>
  <c r="Y315" i="18" a="1"/>
  <c r="Y315" i="18" s="1"/>
  <c r="Z315" i="18" a="1"/>
  <c r="Z315" i="18" s="1"/>
  <c r="Y316" i="18" a="1"/>
  <c r="Y316" i="18" s="1"/>
  <c r="Z316" i="18" a="1"/>
  <c r="Z316" i="18" s="1"/>
  <c r="Y317" i="18" a="1"/>
  <c r="Y317" i="18" s="1"/>
  <c r="Z317" i="18" a="1"/>
  <c r="Z317" i="18" s="1"/>
  <c r="Y318" i="18" a="1"/>
  <c r="Y318" i="18" s="1"/>
  <c r="Z318" i="18" a="1"/>
  <c r="Z318" i="18" s="1"/>
  <c r="Y319" i="18" a="1"/>
  <c r="Y319" i="18" s="1"/>
  <c r="Z319" i="18" a="1"/>
  <c r="Z319" i="18" s="1"/>
  <c r="Y320" i="18" a="1"/>
  <c r="Y320" i="18" s="1"/>
  <c r="Z320" i="18" a="1"/>
  <c r="Z320" i="18" s="1"/>
  <c r="Y321" i="18" a="1"/>
  <c r="Y321" i="18" s="1"/>
  <c r="Z321" i="18" a="1"/>
  <c r="Z321" i="18" s="1"/>
  <c r="Y322" i="18" a="1"/>
  <c r="Y322" i="18" s="1"/>
  <c r="Z322" i="18" a="1"/>
  <c r="Z322" i="18" s="1"/>
  <c r="Y323" i="18" a="1"/>
  <c r="Y323" i="18" s="1"/>
  <c r="Z323" i="18" a="1"/>
  <c r="Z323" i="18" s="1"/>
  <c r="Y324" i="18" a="1"/>
  <c r="Y324" i="18" s="1"/>
  <c r="Z324" i="18" a="1"/>
  <c r="Z324" i="18" s="1"/>
  <c r="Y325" i="18" a="1"/>
  <c r="Y325" i="18" s="1"/>
  <c r="Z325" i="18" a="1"/>
  <c r="Z325" i="18" s="1"/>
  <c r="Y326" i="18" a="1"/>
  <c r="Y326" i="18" s="1"/>
  <c r="Z326" i="18" a="1"/>
  <c r="Z326" i="18" s="1"/>
  <c r="Y327" i="18" a="1"/>
  <c r="Y327" i="18" s="1"/>
  <c r="Z327" i="18" a="1"/>
  <c r="Z327" i="18" s="1"/>
  <c r="Y328" i="18" a="1"/>
  <c r="Y328" i="18" s="1"/>
  <c r="Z328" i="18" a="1"/>
  <c r="Z328" i="18" s="1"/>
  <c r="Y329" i="18" a="1"/>
  <c r="Y329" i="18" s="1"/>
  <c r="Z329" i="18" a="1"/>
  <c r="Z329" i="18" s="1"/>
  <c r="Y330" i="18" a="1"/>
  <c r="Y330" i="18" s="1"/>
  <c r="Z330" i="18" a="1"/>
  <c r="Z330" i="18" s="1"/>
  <c r="Y331" i="18" a="1"/>
  <c r="Y331" i="18" s="1"/>
  <c r="Z331" i="18" a="1"/>
  <c r="Z331" i="18" s="1"/>
  <c r="Y332" i="18" a="1"/>
  <c r="Y332" i="18" s="1"/>
  <c r="Z332" i="18" a="1"/>
  <c r="Z332" i="18" s="1"/>
  <c r="Y333" i="18" a="1"/>
  <c r="Y333" i="18" s="1"/>
  <c r="Z333" i="18" a="1"/>
  <c r="Z333" i="18" s="1"/>
  <c r="Y334" i="18" a="1"/>
  <c r="Y334" i="18" s="1"/>
  <c r="Z334" i="18" a="1"/>
  <c r="Z334" i="18" s="1"/>
  <c r="Y335" i="18" a="1"/>
  <c r="Y335" i="18" s="1"/>
  <c r="Z335" i="18" a="1"/>
  <c r="Z335" i="18" s="1"/>
  <c r="Y336" i="18" a="1"/>
  <c r="Y336" i="18" s="1"/>
  <c r="Z336" i="18" a="1"/>
  <c r="Z336" i="18" s="1"/>
  <c r="Y337" i="18" a="1"/>
  <c r="Y337" i="18" s="1"/>
  <c r="Z337" i="18" a="1"/>
  <c r="Z337" i="18" s="1"/>
  <c r="Y338" i="18" a="1"/>
  <c r="Y338" i="18" s="1"/>
  <c r="Z338" i="18" a="1"/>
  <c r="Z338" i="18" s="1"/>
  <c r="Y339" i="18" a="1"/>
  <c r="Y339" i="18" s="1"/>
  <c r="Z339" i="18" a="1"/>
  <c r="Z339" i="18" s="1"/>
  <c r="Y340" i="18" a="1"/>
  <c r="Y340" i="18" s="1"/>
  <c r="Z340" i="18" a="1"/>
  <c r="Z340" i="18" s="1"/>
  <c r="Y341" i="18" a="1"/>
  <c r="Y341" i="18" s="1"/>
  <c r="Z341" i="18" a="1"/>
  <c r="Z341" i="18" s="1"/>
  <c r="Y342" i="18" a="1"/>
  <c r="Y342" i="18" s="1"/>
  <c r="Z342" i="18" a="1"/>
  <c r="Z342" i="18" s="1"/>
  <c r="Y343" i="18" a="1"/>
  <c r="Y343" i="18" s="1"/>
  <c r="Z343" i="18" a="1"/>
  <c r="Z343" i="18" s="1"/>
  <c r="Y344" i="18" a="1"/>
  <c r="Y344" i="18" s="1"/>
  <c r="Z344" i="18" a="1"/>
  <c r="Z344" i="18" s="1"/>
  <c r="Y345" i="18" a="1"/>
  <c r="Y345" i="18" s="1"/>
  <c r="Z345" i="18" a="1"/>
  <c r="Z345" i="18" s="1"/>
  <c r="Y346" i="18" a="1"/>
  <c r="Y346" i="18" s="1"/>
  <c r="Z346" i="18" a="1"/>
  <c r="Z346" i="18" s="1"/>
  <c r="Y347" i="18" a="1"/>
  <c r="Y347" i="18" s="1"/>
  <c r="Z347" i="18" a="1"/>
  <c r="Z347" i="18" s="1"/>
  <c r="Y348" i="18" a="1"/>
  <c r="Y348" i="18" s="1"/>
  <c r="Z348" i="18" a="1"/>
  <c r="Z348" i="18" s="1"/>
  <c r="Y349" i="18" a="1"/>
  <c r="Y349" i="18" s="1"/>
  <c r="Z349" i="18" a="1"/>
  <c r="Z349" i="18" s="1"/>
  <c r="Y350" i="18" a="1"/>
  <c r="Y350" i="18" s="1"/>
  <c r="Z350" i="18" a="1"/>
  <c r="Z350" i="18" s="1"/>
  <c r="Y351" i="18" a="1"/>
  <c r="Y351" i="18" s="1"/>
  <c r="Z351" i="18" a="1"/>
  <c r="Z351" i="18" s="1"/>
  <c r="Y352" i="18" a="1"/>
  <c r="Y352" i="18" s="1"/>
  <c r="Z352" i="18" a="1"/>
  <c r="Z352" i="18" s="1"/>
  <c r="Y353" i="18" a="1"/>
  <c r="Y353" i="18" s="1"/>
  <c r="Z353" i="18" a="1"/>
  <c r="Z353" i="18" s="1"/>
  <c r="Y354" i="18" a="1"/>
  <c r="Y354" i="18" s="1"/>
  <c r="Z354" i="18" a="1"/>
  <c r="Z354" i="18" s="1"/>
  <c r="Z2" i="18" a="1"/>
  <c r="Z2" i="18" s="1"/>
  <c r="Y2" i="18" a="1"/>
  <c r="Y2" i="18" s="1"/>
  <c r="Y3" i="29" a="1"/>
  <c r="Y3" i="29" s="1"/>
  <c r="Z3" i="29" a="1"/>
  <c r="Z3" i="29" s="1"/>
  <c r="Z4" i="29" a="1"/>
  <c r="Z4" i="29" s="1"/>
  <c r="Y5" i="29" a="1"/>
  <c r="Y5" i="29" s="1"/>
  <c r="Z5" i="29" a="1"/>
  <c r="Z5" i="29" s="1"/>
  <c r="Y6" i="29" a="1"/>
  <c r="Y6" i="29" s="1"/>
  <c r="Z6" i="29" a="1"/>
  <c r="Z6" i="29" s="1"/>
  <c r="Y7" i="29" a="1"/>
  <c r="Y7" i="29" s="1"/>
  <c r="Z7" i="29" a="1"/>
  <c r="Z7" i="29" s="1"/>
  <c r="Y8" i="29" a="1"/>
  <c r="Y8" i="29" s="1"/>
  <c r="Z8" i="29" a="1"/>
  <c r="Z8" i="29" s="1"/>
  <c r="Y9" i="29" a="1"/>
  <c r="Y9" i="29" s="1"/>
  <c r="Z9" i="29" a="1"/>
  <c r="Z9" i="29" s="1"/>
  <c r="Y10" i="29" a="1"/>
  <c r="Y10" i="29" s="1"/>
  <c r="Z10" i="29" a="1"/>
  <c r="Z10" i="29" s="1"/>
  <c r="Y11" i="29" a="1"/>
  <c r="Y11" i="29" s="1"/>
  <c r="Z11" i="29" a="1"/>
  <c r="Z11" i="29" s="1"/>
  <c r="Y12" i="29" a="1"/>
  <c r="Y12" i="29" s="1"/>
  <c r="Z12" i="29" a="1"/>
  <c r="Z12" i="29" s="1"/>
  <c r="Y13" i="29" a="1"/>
  <c r="Y13" i="29" s="1"/>
  <c r="Z13" i="29" a="1"/>
  <c r="Z13" i="29" s="1"/>
  <c r="Y15" i="29" a="1"/>
  <c r="Y15" i="29" s="1"/>
  <c r="Z15" i="29" a="1"/>
  <c r="Z15" i="29" s="1"/>
  <c r="Y16" i="29" a="1"/>
  <c r="Y16" i="29" s="1"/>
  <c r="Z16" i="29" a="1"/>
  <c r="Z16" i="29" s="1"/>
  <c r="Y17" i="29" a="1"/>
  <c r="Y17" i="29" s="1"/>
  <c r="Z17" i="29" a="1"/>
  <c r="Z17" i="29" s="1"/>
  <c r="Y18" i="29" a="1"/>
  <c r="Y18" i="29" s="1"/>
  <c r="Z18" i="29" a="1"/>
  <c r="Z18" i="29" s="1"/>
  <c r="Y19" i="29" a="1"/>
  <c r="Y19" i="29" s="1"/>
  <c r="Z19" i="29" a="1"/>
  <c r="Z19" i="29" s="1"/>
  <c r="Y20" i="29" a="1"/>
  <c r="Y20" i="29" s="1"/>
  <c r="Z20" i="29" a="1"/>
  <c r="Z20" i="29" s="1"/>
  <c r="Y21" i="29" a="1"/>
  <c r="Y21" i="29" s="1"/>
  <c r="Z21" i="29" a="1"/>
  <c r="Z21" i="29" s="1"/>
  <c r="Y22" i="29" a="1"/>
  <c r="Y22" i="29" s="1"/>
  <c r="Z22" i="29" a="1"/>
  <c r="Z22" i="29" s="1"/>
  <c r="Y23" i="29" a="1"/>
  <c r="Y23" i="29" s="1"/>
  <c r="Z23" i="29" a="1"/>
  <c r="Z23" i="29" s="1"/>
  <c r="Y24" i="29" a="1"/>
  <c r="Y24" i="29" s="1"/>
  <c r="Z24" i="29" a="1"/>
  <c r="Z24" i="29" s="1"/>
  <c r="Y25" i="29" a="1"/>
  <c r="Y25" i="29" s="1"/>
  <c r="Z25" i="29" a="1"/>
  <c r="Z25" i="29" s="1"/>
  <c r="Y26" i="29" a="1"/>
  <c r="Y26" i="29" s="1"/>
  <c r="Z26" i="29" a="1"/>
  <c r="Z26" i="29" s="1"/>
  <c r="Y27" i="29" a="1"/>
  <c r="Y27" i="29" s="1"/>
  <c r="Z27" i="29" a="1"/>
  <c r="Z27" i="29" s="1"/>
  <c r="Y28" i="29" a="1"/>
  <c r="Y28" i="29" s="1"/>
  <c r="Z28" i="29" a="1"/>
  <c r="Z28" i="29" s="1"/>
  <c r="Y29" i="29" a="1"/>
  <c r="Y29" i="29" s="1"/>
  <c r="Z29" i="29" a="1"/>
  <c r="Z29" i="29" s="1"/>
  <c r="Y30" i="29" a="1"/>
  <c r="Y30" i="29" s="1"/>
  <c r="Z30" i="29" a="1"/>
  <c r="Z30" i="29" s="1"/>
  <c r="Y31" i="29" a="1"/>
  <c r="Y31" i="29" s="1"/>
  <c r="Z31" i="29" a="1"/>
  <c r="Z31" i="29" s="1"/>
  <c r="Y32" i="29" a="1"/>
  <c r="Y32" i="29" s="1"/>
  <c r="Z32" i="29" a="1"/>
  <c r="Z32" i="29" s="1"/>
  <c r="Y33" i="29" a="1"/>
  <c r="Y33" i="29" s="1"/>
  <c r="Z33" i="29" a="1"/>
  <c r="Z33" i="29" s="1"/>
  <c r="Y34" i="29" a="1"/>
  <c r="Y34" i="29" s="1"/>
  <c r="Z34" i="29" a="1"/>
  <c r="Z34" i="29" s="1"/>
  <c r="Y35" i="29" a="1"/>
  <c r="Y35" i="29" s="1"/>
  <c r="Z35" i="29" a="1"/>
  <c r="Z35" i="29" s="1"/>
  <c r="Y36" i="29" a="1"/>
  <c r="Y36" i="29" s="1"/>
  <c r="Z36" i="29" a="1"/>
  <c r="Z36" i="29" s="1"/>
  <c r="Y37" i="29" a="1"/>
  <c r="Y37" i="29" s="1"/>
  <c r="Z37" i="29" a="1"/>
  <c r="Z37" i="29" s="1"/>
  <c r="Y38" i="29" a="1"/>
  <c r="Y38" i="29" s="1"/>
  <c r="Z38" i="29" a="1"/>
  <c r="Z38" i="29" s="1"/>
  <c r="Y39" i="29" a="1"/>
  <c r="Y39" i="29" s="1"/>
  <c r="Z39" i="29" a="1"/>
  <c r="Z39" i="29" s="1"/>
  <c r="Y40" i="29" a="1"/>
  <c r="Y40" i="29" s="1"/>
  <c r="Z40" i="29" a="1"/>
  <c r="Z40" i="29" s="1"/>
  <c r="Y41" i="29" a="1"/>
  <c r="Y41" i="29" s="1"/>
  <c r="Z41" i="29" a="1"/>
  <c r="Z41" i="29" s="1"/>
  <c r="Y42" i="29" a="1"/>
  <c r="Y42" i="29" s="1"/>
  <c r="Z42" i="29" a="1"/>
  <c r="Z42" i="29" s="1"/>
  <c r="Y43" i="29" a="1"/>
  <c r="Y43" i="29" s="1"/>
  <c r="Z43" i="29" a="1"/>
  <c r="Z43" i="29" s="1"/>
  <c r="Y44" i="29" a="1"/>
  <c r="Y44" i="29" s="1"/>
  <c r="Z44" i="29" a="1"/>
  <c r="Z44" i="29" s="1"/>
  <c r="Y45" i="29" a="1"/>
  <c r="Y45" i="29" s="1"/>
  <c r="Z45" i="29" a="1"/>
  <c r="Z45" i="29" s="1"/>
  <c r="Y46" i="29" a="1"/>
  <c r="Y46" i="29" s="1"/>
  <c r="Z46" i="29" a="1"/>
  <c r="Z46" i="29" s="1"/>
  <c r="Y47" i="29" a="1"/>
  <c r="Y47" i="29" s="1"/>
  <c r="Z47" i="29" a="1"/>
  <c r="Z47" i="29" s="1"/>
  <c r="Y48" i="29" a="1"/>
  <c r="Y48" i="29" s="1"/>
  <c r="Z48" i="29" a="1"/>
  <c r="Z48" i="29" s="1"/>
  <c r="Y49" i="29" a="1"/>
  <c r="Y49" i="29" s="1"/>
  <c r="Z49" i="29" a="1"/>
  <c r="Z49" i="29" s="1"/>
  <c r="Y50" i="29" a="1"/>
  <c r="Y50" i="29" s="1"/>
  <c r="Z50" i="29" a="1"/>
  <c r="Z50" i="29" s="1"/>
  <c r="Y51" i="29" a="1"/>
  <c r="Y51" i="29" s="1"/>
  <c r="Z51" i="29" a="1"/>
  <c r="Z51" i="29" s="1"/>
  <c r="Y52" i="29" a="1"/>
  <c r="Y52" i="29" s="1"/>
  <c r="Z52" i="29" a="1"/>
  <c r="Z52" i="29" s="1"/>
  <c r="Y53" i="29" a="1"/>
  <c r="Y53" i="29" s="1"/>
  <c r="Z53" i="29" a="1"/>
  <c r="Z53" i="29" s="1"/>
  <c r="Y54" i="29" a="1"/>
  <c r="Y54" i="29" s="1"/>
  <c r="Z54" i="29" a="1"/>
  <c r="Z54" i="29" s="1"/>
  <c r="Y55" i="29" a="1"/>
  <c r="Y55" i="29" s="1"/>
  <c r="Z55" i="29" a="1"/>
  <c r="Z55" i="29" s="1"/>
  <c r="Y56" i="29" a="1"/>
  <c r="Y56" i="29" s="1"/>
  <c r="Z56" i="29" a="1"/>
  <c r="Z56" i="29" s="1"/>
  <c r="Z2" i="29" a="1"/>
  <c r="Z2" i="29" s="1"/>
  <c r="Y2" i="29" a="1"/>
  <c r="Y2" i="29" s="1"/>
  <c r="Y3" i="30" a="1"/>
  <c r="Y3" i="30" s="1"/>
  <c r="Y4" i="30" a="1"/>
  <c r="Y4" i="30" s="1"/>
  <c r="Y5" i="30" a="1"/>
  <c r="Y5" i="30" s="1"/>
  <c r="Y6" i="30" a="1"/>
  <c r="Y6" i="30" s="1"/>
  <c r="Y7" i="30" a="1"/>
  <c r="Y7" i="30" s="1"/>
  <c r="Y8" i="30" a="1"/>
  <c r="Y8" i="30" s="1"/>
  <c r="Y9" i="30" a="1"/>
  <c r="Y9" i="30" s="1"/>
  <c r="Y10" i="30" a="1"/>
  <c r="Y10" i="30" s="1"/>
  <c r="Y11" i="30" a="1"/>
  <c r="Y11" i="30" s="1"/>
  <c r="Y12" i="30" a="1"/>
  <c r="Y12" i="30" s="1"/>
  <c r="Y13" i="30" a="1"/>
  <c r="Y13" i="30" s="1"/>
  <c r="Y14" i="30" a="1"/>
  <c r="Y14" i="30" s="1"/>
  <c r="Y15" i="30" a="1"/>
  <c r="Y15" i="30" s="1"/>
  <c r="Y16" i="30" a="1"/>
  <c r="Y16" i="30" s="1"/>
  <c r="Y17" i="30" a="1"/>
  <c r="Y17" i="30" s="1"/>
  <c r="Y18" i="30" a="1"/>
  <c r="Y18" i="30" s="1"/>
  <c r="Y19" i="30" a="1"/>
  <c r="Y19" i="30" s="1"/>
  <c r="Y20" i="30" a="1"/>
  <c r="Y20" i="30" s="1"/>
  <c r="Y21" i="30" a="1"/>
  <c r="Y21" i="30" s="1"/>
  <c r="Y22" i="30" a="1"/>
  <c r="Y22" i="30" s="1"/>
  <c r="Y23" i="30" a="1"/>
  <c r="Y23" i="30" s="1"/>
  <c r="Y24" i="30" a="1"/>
  <c r="Y24" i="30" s="1"/>
  <c r="Y25" i="30" a="1"/>
  <c r="Y25" i="30" s="1"/>
  <c r="Y26" i="30" a="1"/>
  <c r="Y26" i="30" s="1"/>
  <c r="Y27" i="30" a="1"/>
  <c r="Y27" i="30" s="1"/>
  <c r="Y28" i="30" a="1"/>
  <c r="Y28" i="30" s="1"/>
  <c r="Y29" i="30" a="1"/>
  <c r="Y29" i="30" s="1"/>
  <c r="Y30" i="30" a="1"/>
  <c r="Y30" i="30" s="1"/>
  <c r="Y31" i="30" a="1"/>
  <c r="Y31" i="30" s="1"/>
  <c r="Y32" i="30" a="1"/>
  <c r="Y32" i="30" s="1"/>
  <c r="Y33" i="30" a="1"/>
  <c r="Y33" i="30" s="1"/>
  <c r="Y34" i="30" a="1"/>
  <c r="Y34" i="30" s="1"/>
  <c r="Y35" i="30" a="1"/>
  <c r="Y35" i="30" s="1"/>
  <c r="Y36" i="30" a="1"/>
  <c r="Y36" i="30" s="1"/>
  <c r="Y37" i="30" a="1"/>
  <c r="Y37" i="30" s="1"/>
  <c r="Y38" i="30" a="1"/>
  <c r="Y38" i="30" s="1"/>
  <c r="Y39" i="30" a="1"/>
  <c r="Y39" i="30" s="1"/>
  <c r="Y40" i="30" a="1"/>
  <c r="Y40" i="30" s="1"/>
  <c r="Y41" i="30" a="1"/>
  <c r="Y41" i="30" s="1"/>
  <c r="Y42" i="30" a="1"/>
  <c r="Y42" i="30" s="1"/>
  <c r="Y43" i="30" a="1"/>
  <c r="Y43" i="30" s="1"/>
  <c r="Y44" i="30" a="1"/>
  <c r="Y44" i="30" s="1"/>
  <c r="Y45" i="30" a="1"/>
  <c r="Y45" i="30" s="1"/>
  <c r="Y46" i="30" a="1"/>
  <c r="Y46" i="30" s="1"/>
  <c r="Y47" i="30" a="1"/>
  <c r="Y47" i="30" s="1"/>
  <c r="Y48" i="30" a="1"/>
  <c r="Y48" i="30" s="1"/>
  <c r="Y49" i="30" a="1"/>
  <c r="Y49" i="30" s="1"/>
  <c r="Y50" i="30" a="1"/>
  <c r="Y50" i="30" s="1"/>
  <c r="Y51" i="30" a="1"/>
  <c r="Y51" i="30" s="1"/>
  <c r="Y52" i="30" a="1"/>
  <c r="Y52" i="30" s="1"/>
  <c r="Y53" i="30" a="1"/>
  <c r="Y53" i="30" s="1"/>
  <c r="Y54" i="30" a="1"/>
  <c r="Y54" i="30" s="1"/>
  <c r="Y55" i="30" a="1"/>
  <c r="Y55" i="30" s="1"/>
  <c r="Y56" i="30" a="1"/>
  <c r="Y56" i="30" s="1"/>
  <c r="Y57" i="30" a="1"/>
  <c r="Y57" i="30" s="1"/>
  <c r="Y58" i="30" a="1"/>
  <c r="Y58" i="30" s="1"/>
  <c r="Y59" i="30" a="1"/>
  <c r="Y59" i="30" s="1"/>
  <c r="Y60" i="30" a="1"/>
  <c r="Y60" i="30" s="1"/>
  <c r="Y61" i="30" a="1"/>
  <c r="Y61" i="30" s="1"/>
  <c r="Y62" i="30" a="1"/>
  <c r="Y62" i="30" s="1"/>
  <c r="Y63" i="30" a="1"/>
  <c r="Y63" i="30" s="1"/>
  <c r="Y64" i="30" a="1"/>
  <c r="Y64" i="30" s="1"/>
  <c r="Y65" i="30" a="1"/>
  <c r="Y65" i="30" s="1"/>
  <c r="Y66" i="30" a="1"/>
  <c r="Y66" i="30" s="1"/>
  <c r="Y67" i="30" a="1"/>
  <c r="Y67" i="30" s="1"/>
  <c r="Y68" i="30" a="1"/>
  <c r="Y68" i="30" s="1"/>
  <c r="Y69" i="30" a="1"/>
  <c r="Y69" i="30" s="1"/>
  <c r="Y70" i="30" a="1"/>
  <c r="Y70" i="30" s="1"/>
  <c r="Y71" i="30" a="1"/>
  <c r="Y71" i="30" s="1"/>
  <c r="Y72" i="30" a="1"/>
  <c r="Y72" i="30" s="1"/>
  <c r="Y73" i="30" a="1"/>
  <c r="Y73" i="30" s="1"/>
  <c r="Y74" i="30" a="1"/>
  <c r="Y74" i="30" s="1"/>
  <c r="Y75" i="30" a="1"/>
  <c r="Y75" i="30" s="1"/>
  <c r="Y76" i="30" a="1"/>
  <c r="Y76" i="30" s="1"/>
  <c r="Y77" i="30" a="1"/>
  <c r="Y77" i="30" s="1"/>
  <c r="Y78" i="30" a="1"/>
  <c r="Y78" i="30" s="1"/>
  <c r="Y79" i="30" a="1"/>
  <c r="Y79" i="30" s="1"/>
  <c r="Y80" i="30" a="1"/>
  <c r="Y80" i="30" s="1"/>
  <c r="Y81" i="30" a="1"/>
  <c r="Y81" i="30" s="1"/>
  <c r="Y82" i="30" a="1"/>
  <c r="Y82" i="30" s="1"/>
  <c r="Y83" i="30" a="1"/>
  <c r="Y83" i="30" s="1"/>
  <c r="Y84" i="30" a="1"/>
  <c r="Y84" i="30" s="1"/>
  <c r="Y85" i="30" a="1"/>
  <c r="Y85" i="30" s="1"/>
  <c r="Y86" i="30" a="1"/>
  <c r="Y86" i="30" s="1"/>
  <c r="Y87" i="30" a="1"/>
  <c r="Y87" i="30" s="1"/>
  <c r="Y88" i="30" a="1"/>
  <c r="Y88" i="30" s="1"/>
  <c r="Y89" i="30" a="1"/>
  <c r="Y89" i="30" s="1"/>
  <c r="Y90" i="30" a="1"/>
  <c r="Y90" i="30" s="1"/>
  <c r="Y91" i="30" a="1"/>
  <c r="Y91" i="30" s="1"/>
  <c r="Y92" i="30" a="1"/>
  <c r="Y92" i="30" s="1"/>
  <c r="Y93" i="30" a="1"/>
  <c r="Y93" i="30" s="1"/>
  <c r="Y94" i="30" a="1"/>
  <c r="Y94" i="30" s="1"/>
  <c r="Y95" i="30" a="1"/>
  <c r="Y95" i="30" s="1"/>
  <c r="Y96" i="30" a="1"/>
  <c r="Y96" i="30" s="1"/>
  <c r="Y97" i="30" a="1"/>
  <c r="Y97" i="30" s="1"/>
  <c r="Y98" i="30" a="1"/>
  <c r="Y98" i="30" s="1"/>
  <c r="Y99" i="30" a="1"/>
  <c r="Y99" i="30" s="1"/>
  <c r="Y100" i="30" a="1"/>
  <c r="Y100" i="30" s="1"/>
  <c r="Y101" i="30" a="1"/>
  <c r="Y101" i="30" s="1"/>
  <c r="Y102" i="30" a="1"/>
  <c r="Y102" i="30" s="1"/>
  <c r="Y103" i="30" a="1"/>
  <c r="Y103" i="30" s="1"/>
  <c r="Y104" i="30" a="1"/>
  <c r="Y104" i="30" s="1"/>
  <c r="Y105" i="30" a="1"/>
  <c r="Y105" i="30" s="1"/>
  <c r="Y106" i="30" a="1"/>
  <c r="Y106" i="30" s="1"/>
  <c r="Y107" i="30" a="1"/>
  <c r="Y107" i="30" s="1"/>
  <c r="Y108" i="30" a="1"/>
  <c r="Y108" i="30" s="1"/>
  <c r="Y109" i="30" a="1"/>
  <c r="Y109" i="30" s="1"/>
  <c r="Y110" i="30" a="1"/>
  <c r="Y110" i="30" s="1"/>
  <c r="Y111" i="30" a="1"/>
  <c r="Y111" i="30" s="1"/>
  <c r="Y112" i="30" a="1"/>
  <c r="Y112" i="30" s="1"/>
  <c r="Y113" i="30" a="1"/>
  <c r="Y113" i="30" s="1"/>
  <c r="Y114" i="30" a="1"/>
  <c r="Y114" i="30" s="1"/>
  <c r="Y115" i="30" a="1"/>
  <c r="Y115" i="30" s="1"/>
  <c r="Y116" i="30" a="1"/>
  <c r="Y116" i="30" s="1"/>
  <c r="Y117" i="30" a="1"/>
  <c r="Y117" i="30" s="1"/>
  <c r="Y118" i="30" a="1"/>
  <c r="Y118" i="30" s="1"/>
  <c r="Y119" i="30" a="1"/>
  <c r="Y119" i="30" s="1"/>
  <c r="Y120" i="30" a="1"/>
  <c r="Y120" i="30" s="1"/>
  <c r="Y121" i="30" a="1"/>
  <c r="Y121" i="30" s="1"/>
  <c r="Y122" i="30" a="1"/>
  <c r="Y122" i="30" s="1"/>
  <c r="Y123" i="30" a="1"/>
  <c r="Y123" i="30" s="1"/>
  <c r="Y124" i="30" a="1"/>
  <c r="Y124" i="30" s="1"/>
  <c r="Y125" i="30" a="1"/>
  <c r="Y125" i="30" s="1"/>
  <c r="Y126" i="30" a="1"/>
  <c r="Y126" i="30" s="1"/>
  <c r="Y127" i="30" a="1"/>
  <c r="Y127" i="30" s="1"/>
  <c r="Y128" i="30" a="1"/>
  <c r="Y128" i="30" s="1"/>
  <c r="Y129" i="30" a="1"/>
  <c r="Y129" i="30" s="1"/>
  <c r="Y130" i="30" a="1"/>
  <c r="Y130" i="30" s="1"/>
  <c r="Y131" i="30" a="1"/>
  <c r="Y131" i="30" s="1"/>
  <c r="Y132" i="30" a="1"/>
  <c r="Y132" i="30" s="1"/>
  <c r="Y133" i="30" a="1"/>
  <c r="Y133" i="30" s="1"/>
  <c r="Y134" i="30" a="1"/>
  <c r="Y134" i="30" s="1"/>
  <c r="Y135" i="30" a="1"/>
  <c r="Y135" i="30" s="1"/>
  <c r="Y136" i="30" a="1"/>
  <c r="Y136" i="30" s="1"/>
  <c r="Y137" i="30" a="1"/>
  <c r="Y137" i="30" s="1"/>
  <c r="Y138" i="30" a="1"/>
  <c r="Y138" i="30" s="1"/>
  <c r="Y139" i="30" a="1"/>
  <c r="Y139" i="30" s="1"/>
  <c r="Y140" i="30" a="1"/>
  <c r="Y140" i="30" s="1"/>
  <c r="Y141" i="30" a="1"/>
  <c r="Y141" i="30" s="1"/>
  <c r="Y142" i="30" a="1"/>
  <c r="Y142" i="30" s="1"/>
  <c r="Y143" i="30" a="1"/>
  <c r="Y143" i="30" s="1"/>
  <c r="Y144" i="30" a="1"/>
  <c r="Y144" i="30" s="1"/>
  <c r="Y145" i="30" a="1"/>
  <c r="Y145" i="30" s="1"/>
  <c r="Y146" i="30" a="1"/>
  <c r="Y146" i="30" s="1"/>
  <c r="Y147" i="30" a="1"/>
  <c r="Y147" i="30" s="1"/>
  <c r="Y148" i="30" a="1"/>
  <c r="Y148" i="30" s="1"/>
  <c r="Y149" i="30" a="1"/>
  <c r="Y149" i="30" s="1"/>
  <c r="Y150" i="30" a="1"/>
  <c r="Y150" i="30" s="1"/>
  <c r="Y151" i="30" a="1"/>
  <c r="Y151" i="30" s="1"/>
  <c r="Y152" i="30" a="1"/>
  <c r="Y152" i="30" s="1"/>
  <c r="Y153" i="30" a="1"/>
  <c r="Y153" i="30" s="1"/>
  <c r="Y154" i="30" a="1"/>
  <c r="Y154" i="30" s="1"/>
  <c r="Y155" i="30" a="1"/>
  <c r="Y155" i="30" s="1"/>
  <c r="Y156" i="30" a="1"/>
  <c r="Y156" i="30" s="1"/>
  <c r="Y157" i="30" a="1"/>
  <c r="Y157" i="30" s="1"/>
  <c r="Y158" i="30" a="1"/>
  <c r="Y158" i="30" s="1"/>
  <c r="Y159" i="30" a="1"/>
  <c r="Y159" i="30" s="1"/>
  <c r="Y160" i="30" a="1"/>
  <c r="Y160" i="30" s="1"/>
  <c r="Y161" i="30" a="1"/>
  <c r="Y161" i="30" s="1"/>
  <c r="Y162" i="30" a="1"/>
  <c r="Y162" i="30" s="1"/>
  <c r="Y163" i="30" a="1"/>
  <c r="Y163" i="30" s="1"/>
  <c r="Y164" i="30" a="1"/>
  <c r="Y164" i="30" s="1"/>
  <c r="Y165" i="30" a="1"/>
  <c r="Y165" i="30" s="1"/>
  <c r="Y166" i="30" a="1"/>
  <c r="Y166" i="30" s="1"/>
  <c r="Y167" i="30" a="1"/>
  <c r="Y167" i="30" s="1"/>
  <c r="Y168" i="30" a="1"/>
  <c r="Y168" i="30" s="1"/>
  <c r="Y169" i="30" a="1"/>
  <c r="Y169" i="30" s="1"/>
  <c r="Y170" i="30" a="1"/>
  <c r="Y170" i="30" s="1"/>
  <c r="Y171" i="30" a="1"/>
  <c r="Y171" i="30" s="1"/>
  <c r="Y172" i="30" a="1"/>
  <c r="Y172" i="30" s="1"/>
  <c r="Y173" i="30" a="1"/>
  <c r="Y173" i="30" s="1"/>
  <c r="Y174" i="30" a="1"/>
  <c r="Y174" i="30" s="1"/>
  <c r="Y175" i="30" a="1"/>
  <c r="Y175" i="30" s="1"/>
  <c r="Y176" i="30" a="1"/>
  <c r="Y176" i="30" s="1"/>
  <c r="Y177" i="30" a="1"/>
  <c r="Y177" i="30" s="1"/>
  <c r="Y178" i="30" a="1"/>
  <c r="Y178" i="30" s="1"/>
  <c r="Y179" i="30" a="1"/>
  <c r="Y179" i="30" s="1"/>
  <c r="Y180" i="30" a="1"/>
  <c r="Y180" i="30" s="1"/>
  <c r="Y181" i="30" a="1"/>
  <c r="Y181" i="30" s="1"/>
  <c r="Y182" i="30" a="1"/>
  <c r="Y182" i="30" s="1"/>
  <c r="Y183" i="30" a="1"/>
  <c r="Y183" i="30" s="1"/>
  <c r="Y184" i="30" a="1"/>
  <c r="Y184" i="30" s="1"/>
  <c r="Y185" i="30" a="1"/>
  <c r="Y185" i="30" s="1"/>
  <c r="Y186" i="30" a="1"/>
  <c r="Y186" i="30" s="1"/>
  <c r="Y187" i="30" a="1"/>
  <c r="Y187" i="30" s="1"/>
  <c r="Y188" i="30" a="1"/>
  <c r="Y188" i="30" s="1"/>
  <c r="Y189" i="30" a="1"/>
  <c r="Y189" i="30" s="1"/>
  <c r="Y190" i="30" a="1"/>
  <c r="Y190" i="30" s="1"/>
  <c r="Y191" i="30" a="1"/>
  <c r="Y191" i="30" s="1"/>
  <c r="Y192" i="30" a="1"/>
  <c r="Y192" i="30" s="1"/>
  <c r="Y193" i="30" a="1"/>
  <c r="Y193" i="30" s="1"/>
  <c r="Y194" i="30" a="1"/>
  <c r="Y194" i="30" s="1"/>
  <c r="Y195" i="30" a="1"/>
  <c r="Y195" i="30" s="1"/>
  <c r="Y196" i="30" a="1"/>
  <c r="Y196" i="30" s="1"/>
  <c r="Y197" i="30" a="1"/>
  <c r="Y197" i="30" s="1"/>
  <c r="Y198" i="30" a="1"/>
  <c r="Y198" i="30" s="1"/>
  <c r="Y199" i="30" a="1"/>
  <c r="Y199" i="30" s="1"/>
  <c r="Y200" i="30" a="1"/>
  <c r="Y200" i="30" s="1"/>
  <c r="Y201" i="30" a="1"/>
  <c r="Y201" i="30" s="1"/>
  <c r="Y202" i="30" a="1"/>
  <c r="Y202" i="30" s="1"/>
  <c r="Y203" i="30" a="1"/>
  <c r="Y203" i="30" s="1"/>
  <c r="Y204" i="30" a="1"/>
  <c r="Y204" i="30" s="1"/>
  <c r="Y205" i="30" a="1"/>
  <c r="Y205" i="30" s="1"/>
  <c r="Y206" i="30" a="1"/>
  <c r="Y206" i="30" s="1"/>
  <c r="Y207" i="30" a="1"/>
  <c r="Y207" i="30" s="1"/>
  <c r="Y208" i="30" a="1"/>
  <c r="Y208" i="30" s="1"/>
  <c r="Y209" i="30" a="1"/>
  <c r="Y209" i="30" s="1"/>
  <c r="Y210" i="30" a="1"/>
  <c r="Y210" i="30" s="1"/>
  <c r="Y211" i="30" a="1"/>
  <c r="Y211" i="30" s="1"/>
  <c r="Y212" i="30" a="1"/>
  <c r="Y212" i="30" s="1"/>
  <c r="Y213" i="30" a="1"/>
  <c r="Y213" i="30" s="1"/>
  <c r="Y214" i="30" a="1"/>
  <c r="Y214" i="30" s="1"/>
  <c r="Y215" i="30" a="1"/>
  <c r="Y215" i="30" s="1"/>
  <c r="Y216" i="30" a="1"/>
  <c r="Y216" i="30" s="1"/>
  <c r="Y217" i="30" a="1"/>
  <c r="Y217" i="30" s="1"/>
  <c r="Y218" i="30" a="1"/>
  <c r="Y218" i="30" s="1"/>
  <c r="Y219" i="30" a="1"/>
  <c r="Y219" i="30" s="1"/>
  <c r="Y220" i="30" a="1"/>
  <c r="Y220" i="30" s="1"/>
  <c r="Y221" i="30" a="1"/>
  <c r="Y221" i="30" s="1"/>
  <c r="Y222" i="30" a="1"/>
  <c r="Y222" i="30" s="1"/>
  <c r="Y223" i="30" a="1"/>
  <c r="Y223" i="30" s="1"/>
  <c r="Y224" i="30" a="1"/>
  <c r="Y224" i="30" s="1"/>
  <c r="Y225" i="30" a="1"/>
  <c r="Y225" i="30" s="1"/>
  <c r="Y226" i="30" a="1"/>
  <c r="Y226" i="30" s="1"/>
  <c r="Y227" i="30" a="1"/>
  <c r="Y227" i="30" s="1"/>
  <c r="Y228" i="30" a="1"/>
  <c r="Y228" i="30" s="1"/>
  <c r="Y229" i="30" a="1"/>
  <c r="Y229" i="30" s="1"/>
  <c r="Y230" i="30" a="1"/>
  <c r="Y230" i="30" s="1"/>
  <c r="Y231" i="30" a="1"/>
  <c r="Y231" i="30" s="1"/>
  <c r="Y232" i="30" a="1"/>
  <c r="Y232" i="30" s="1"/>
  <c r="Y233" i="30" a="1"/>
  <c r="Y233" i="30" s="1"/>
  <c r="Y234" i="30" a="1"/>
  <c r="Y234" i="30" s="1"/>
  <c r="Y235" i="30" a="1"/>
  <c r="Y235" i="30" s="1"/>
  <c r="Y236" i="30" a="1"/>
  <c r="Y236" i="30" s="1"/>
  <c r="Y237" i="30" a="1"/>
  <c r="Y237" i="30" s="1"/>
  <c r="Y238" i="30" a="1"/>
  <c r="Y238" i="30" s="1"/>
  <c r="Y239" i="30" a="1"/>
  <c r="Y239" i="30" s="1"/>
  <c r="Y240" i="30" a="1"/>
  <c r="Y240" i="30" s="1"/>
  <c r="Y241" i="30" a="1"/>
  <c r="Y241" i="30" s="1"/>
  <c r="Y242" i="30" a="1"/>
  <c r="Y242" i="30" s="1"/>
  <c r="Y243" i="30" a="1"/>
  <c r="Y243" i="30" s="1"/>
  <c r="Y2" i="30" a="1"/>
  <c r="Y2" i="30" s="1"/>
  <c r="Z3" i="30" a="1"/>
  <c r="Z3" i="30" s="1"/>
  <c r="Z4" i="30" a="1"/>
  <c r="Z4" i="30" s="1"/>
  <c r="Z5" i="30" a="1"/>
  <c r="Z5" i="30" s="1"/>
  <c r="Z6" i="30" a="1"/>
  <c r="Z6" i="30" s="1"/>
  <c r="Z7" i="30" a="1"/>
  <c r="Z7" i="30" s="1"/>
  <c r="Z8" i="30" a="1"/>
  <c r="Z8" i="30" s="1"/>
  <c r="Z9" i="30" a="1"/>
  <c r="Z9" i="30" s="1"/>
  <c r="Z10" i="30" a="1"/>
  <c r="Z10" i="30" s="1"/>
  <c r="Z11" i="30" a="1"/>
  <c r="Z11" i="30" s="1"/>
  <c r="Z12" i="30" a="1"/>
  <c r="Z12" i="30" s="1"/>
  <c r="Z13" i="30" a="1"/>
  <c r="Z13" i="30" s="1"/>
  <c r="Z14" i="30" a="1"/>
  <c r="Z14" i="30" s="1"/>
  <c r="Z15" i="30" a="1"/>
  <c r="Z15" i="30" s="1"/>
  <c r="Z16" i="30" a="1"/>
  <c r="Z16" i="30" s="1"/>
  <c r="Z17" i="30" a="1"/>
  <c r="Z17" i="30" s="1"/>
  <c r="Z18" i="30" a="1"/>
  <c r="Z18" i="30" s="1"/>
  <c r="Z19" i="30" a="1"/>
  <c r="Z19" i="30" s="1"/>
  <c r="Z20" i="30" a="1"/>
  <c r="Z20" i="30" s="1"/>
  <c r="Z21" i="30" a="1"/>
  <c r="Z21" i="30" s="1"/>
  <c r="Z22" i="30" a="1"/>
  <c r="Z22" i="30" s="1"/>
  <c r="Z23" i="30" a="1"/>
  <c r="Z23" i="30" s="1"/>
  <c r="Z24" i="30" a="1"/>
  <c r="Z24" i="30" s="1"/>
  <c r="Z25" i="30" a="1"/>
  <c r="Z25" i="30" s="1"/>
  <c r="Z26" i="30" a="1"/>
  <c r="Z26" i="30" s="1"/>
  <c r="Z27" i="30" a="1"/>
  <c r="Z27" i="30" s="1"/>
  <c r="Z28" i="30" a="1"/>
  <c r="Z28" i="30" s="1"/>
  <c r="Z29" i="30" a="1"/>
  <c r="Z29" i="30" s="1"/>
  <c r="Z30" i="30" a="1"/>
  <c r="Z30" i="30" s="1"/>
  <c r="Z31" i="30" a="1"/>
  <c r="Z31" i="30" s="1"/>
  <c r="Z32" i="30" a="1"/>
  <c r="Z32" i="30" s="1"/>
  <c r="Z33" i="30" a="1"/>
  <c r="Z33" i="30" s="1"/>
  <c r="Z34" i="30" a="1"/>
  <c r="Z34" i="30" s="1"/>
  <c r="Z35" i="30" a="1"/>
  <c r="Z35" i="30" s="1"/>
  <c r="Z36" i="30" a="1"/>
  <c r="Z36" i="30" s="1"/>
  <c r="Z37" i="30" a="1"/>
  <c r="Z37" i="30" s="1"/>
  <c r="Z38" i="30" a="1"/>
  <c r="Z38" i="30" s="1"/>
  <c r="Z39" i="30" a="1"/>
  <c r="Z39" i="30" s="1"/>
  <c r="Z40" i="30" a="1"/>
  <c r="Z40" i="30" s="1"/>
  <c r="Z41" i="30" a="1"/>
  <c r="Z41" i="30" s="1"/>
  <c r="Z42" i="30" a="1"/>
  <c r="Z42" i="30" s="1"/>
  <c r="Z43" i="30" a="1"/>
  <c r="Z43" i="30" s="1"/>
  <c r="Z44" i="30" a="1"/>
  <c r="Z44" i="30" s="1"/>
  <c r="Z45" i="30" a="1"/>
  <c r="Z45" i="30" s="1"/>
  <c r="Z46" i="30" a="1"/>
  <c r="Z46" i="30" s="1"/>
  <c r="Z47" i="30" a="1"/>
  <c r="Z47" i="30" s="1"/>
  <c r="Z48" i="30" a="1"/>
  <c r="Z48" i="30" s="1"/>
  <c r="Z49" i="30" a="1"/>
  <c r="Z49" i="30" s="1"/>
  <c r="Z50" i="30" a="1"/>
  <c r="Z50" i="30" s="1"/>
  <c r="Z51" i="30" a="1"/>
  <c r="Z51" i="30" s="1"/>
  <c r="Z52" i="30" a="1"/>
  <c r="Z52" i="30" s="1"/>
  <c r="Z53" i="30" a="1"/>
  <c r="Z53" i="30" s="1"/>
  <c r="Z54" i="30" a="1"/>
  <c r="Z54" i="30" s="1"/>
  <c r="Z55" i="30" a="1"/>
  <c r="Z55" i="30" s="1"/>
  <c r="Z56" i="30" a="1"/>
  <c r="Z56" i="30" s="1"/>
  <c r="Z57" i="30" a="1"/>
  <c r="Z57" i="30" s="1"/>
  <c r="Z58" i="30" a="1"/>
  <c r="Z58" i="30" s="1"/>
  <c r="Z59" i="30" a="1"/>
  <c r="Z59" i="30" s="1"/>
  <c r="Z60" i="30" a="1"/>
  <c r="Z60" i="30" s="1"/>
  <c r="Z61" i="30" a="1"/>
  <c r="Z61" i="30" s="1"/>
  <c r="Z62" i="30" a="1"/>
  <c r="Z62" i="30" s="1"/>
  <c r="Z63" i="30" a="1"/>
  <c r="Z63" i="30" s="1"/>
  <c r="Z64" i="30" a="1"/>
  <c r="Z64" i="30" s="1"/>
  <c r="Z65" i="30" a="1"/>
  <c r="Z65" i="30" s="1"/>
  <c r="Z66" i="30" a="1"/>
  <c r="Z66" i="30" s="1"/>
  <c r="Z67" i="30" a="1"/>
  <c r="Z67" i="30" s="1"/>
  <c r="Z68" i="30" a="1"/>
  <c r="Z68" i="30" s="1"/>
  <c r="Z69" i="30" a="1"/>
  <c r="Z69" i="30" s="1"/>
  <c r="Z70" i="30" a="1"/>
  <c r="Z70" i="30" s="1"/>
  <c r="Z71" i="30" a="1"/>
  <c r="Z71" i="30" s="1"/>
  <c r="Z72" i="30" a="1"/>
  <c r="Z72" i="30" s="1"/>
  <c r="Z73" i="30" a="1"/>
  <c r="Z73" i="30" s="1"/>
  <c r="Z74" i="30" a="1"/>
  <c r="Z74" i="30" s="1"/>
  <c r="Z75" i="30" a="1"/>
  <c r="Z75" i="30" s="1"/>
  <c r="Z76" i="30" a="1"/>
  <c r="Z76" i="30" s="1"/>
  <c r="Z77" i="30" a="1"/>
  <c r="Z77" i="30" s="1"/>
  <c r="Z78" i="30" a="1"/>
  <c r="Z78" i="30" s="1"/>
  <c r="Z79" i="30" a="1"/>
  <c r="Z79" i="30" s="1"/>
  <c r="Z80" i="30" a="1"/>
  <c r="Z80" i="30" s="1"/>
  <c r="Z81" i="30" a="1"/>
  <c r="Z81" i="30" s="1"/>
  <c r="Z82" i="30" a="1"/>
  <c r="Z82" i="30" s="1"/>
  <c r="Z83" i="30" a="1"/>
  <c r="Z83" i="30" s="1"/>
  <c r="Z84" i="30" a="1"/>
  <c r="Z84" i="30" s="1"/>
  <c r="Z85" i="30" a="1"/>
  <c r="Z85" i="30" s="1"/>
  <c r="Z86" i="30" a="1"/>
  <c r="Z86" i="30" s="1"/>
  <c r="Z87" i="30" a="1"/>
  <c r="Z87" i="30" s="1"/>
  <c r="Z88" i="30" a="1"/>
  <c r="Z88" i="30" s="1"/>
  <c r="Z89" i="30" a="1"/>
  <c r="Z89" i="30" s="1"/>
  <c r="Z90" i="30" a="1"/>
  <c r="Z90" i="30" s="1"/>
  <c r="Z91" i="30" a="1"/>
  <c r="Z91" i="30" s="1"/>
  <c r="Z92" i="30" a="1"/>
  <c r="Z92" i="30" s="1"/>
  <c r="Z93" i="30" a="1"/>
  <c r="Z93" i="30" s="1"/>
  <c r="Z94" i="30" a="1"/>
  <c r="Z94" i="30" s="1"/>
  <c r="Z95" i="30" a="1"/>
  <c r="Z95" i="30" s="1"/>
  <c r="Z96" i="30" a="1"/>
  <c r="Z96" i="30" s="1"/>
  <c r="Z97" i="30" a="1"/>
  <c r="Z97" i="30" s="1"/>
  <c r="Z98" i="30" a="1"/>
  <c r="Z98" i="30" s="1"/>
  <c r="Z99" i="30" a="1"/>
  <c r="Z99" i="30" s="1"/>
  <c r="Z100" i="30" a="1"/>
  <c r="Z100" i="30" s="1"/>
  <c r="Z101" i="30" a="1"/>
  <c r="Z101" i="30" s="1"/>
  <c r="Z102" i="30" a="1"/>
  <c r="Z102" i="30" s="1"/>
  <c r="Z103" i="30" a="1"/>
  <c r="Z103" i="30" s="1"/>
  <c r="Z104" i="30" a="1"/>
  <c r="Z104" i="30" s="1"/>
  <c r="Z105" i="30" a="1"/>
  <c r="Z105" i="30" s="1"/>
  <c r="Z106" i="30" a="1"/>
  <c r="Z106" i="30" s="1"/>
  <c r="Z107" i="30" a="1"/>
  <c r="Z107" i="30" s="1"/>
  <c r="Z108" i="30" a="1"/>
  <c r="Z108" i="30" s="1"/>
  <c r="Z109" i="30" a="1"/>
  <c r="Z109" i="30" s="1"/>
  <c r="Z110" i="30" a="1"/>
  <c r="Z110" i="30" s="1"/>
  <c r="Z111" i="30" a="1"/>
  <c r="Z111" i="30" s="1"/>
  <c r="Z112" i="30" a="1"/>
  <c r="Z112" i="30" s="1"/>
  <c r="Z113" i="30" a="1"/>
  <c r="Z113" i="30" s="1"/>
  <c r="Z114" i="30" a="1"/>
  <c r="Z114" i="30" s="1"/>
  <c r="Z115" i="30" a="1"/>
  <c r="Z115" i="30" s="1"/>
  <c r="Z116" i="30" a="1"/>
  <c r="Z116" i="30" s="1"/>
  <c r="Z117" i="30" a="1"/>
  <c r="Z117" i="30" s="1"/>
  <c r="Z118" i="30" a="1"/>
  <c r="Z118" i="30" s="1"/>
  <c r="Z119" i="30" a="1"/>
  <c r="Z119" i="30" s="1"/>
  <c r="Z120" i="30" a="1"/>
  <c r="Z120" i="30" s="1"/>
  <c r="Z121" i="30" a="1"/>
  <c r="Z121" i="30" s="1"/>
  <c r="Z122" i="30" a="1"/>
  <c r="Z122" i="30" s="1"/>
  <c r="Z123" i="30" a="1"/>
  <c r="Z123" i="30" s="1"/>
  <c r="Z124" i="30" a="1"/>
  <c r="Z124" i="30" s="1"/>
  <c r="Z125" i="30" a="1"/>
  <c r="Z125" i="30" s="1"/>
  <c r="Z126" i="30" a="1"/>
  <c r="Z126" i="30" s="1"/>
  <c r="Z127" i="30" a="1"/>
  <c r="Z127" i="30" s="1"/>
  <c r="Z128" i="30" a="1"/>
  <c r="Z128" i="30" s="1"/>
  <c r="Z129" i="30" a="1"/>
  <c r="Z129" i="30" s="1"/>
  <c r="Z130" i="30" a="1"/>
  <c r="Z130" i="30" s="1"/>
  <c r="Z131" i="30" a="1"/>
  <c r="Z131" i="30" s="1"/>
  <c r="Z132" i="30" a="1"/>
  <c r="Z132" i="30" s="1"/>
  <c r="Z133" i="30" a="1"/>
  <c r="Z133" i="30" s="1"/>
  <c r="Z134" i="30" a="1"/>
  <c r="Z134" i="30" s="1"/>
  <c r="Z135" i="30" a="1"/>
  <c r="Z135" i="30" s="1"/>
  <c r="Z136" i="30" a="1"/>
  <c r="Z136" i="30" s="1"/>
  <c r="Z137" i="30" a="1"/>
  <c r="Z137" i="30" s="1"/>
  <c r="Z138" i="30" a="1"/>
  <c r="Z138" i="30" s="1"/>
  <c r="Z139" i="30" a="1"/>
  <c r="Z139" i="30" s="1"/>
  <c r="Z140" i="30" a="1"/>
  <c r="Z140" i="30" s="1"/>
  <c r="Z141" i="30" a="1"/>
  <c r="Z141" i="30" s="1"/>
  <c r="Z142" i="30" a="1"/>
  <c r="Z142" i="30" s="1"/>
  <c r="Z143" i="30" a="1"/>
  <c r="Z143" i="30" s="1"/>
  <c r="Z144" i="30" a="1"/>
  <c r="Z144" i="30" s="1"/>
  <c r="Z145" i="30" a="1"/>
  <c r="Z145" i="30" s="1"/>
  <c r="Z146" i="30" a="1"/>
  <c r="Z146" i="30" s="1"/>
  <c r="Z147" i="30" a="1"/>
  <c r="Z147" i="30" s="1"/>
  <c r="Z148" i="30" a="1"/>
  <c r="Z148" i="30" s="1"/>
  <c r="Z149" i="30" a="1"/>
  <c r="Z149" i="30" s="1"/>
  <c r="Z150" i="30" a="1"/>
  <c r="Z150" i="30" s="1"/>
  <c r="Z151" i="30" a="1"/>
  <c r="Z151" i="30" s="1"/>
  <c r="Z152" i="30" a="1"/>
  <c r="Z152" i="30" s="1"/>
  <c r="Z153" i="30" a="1"/>
  <c r="Z153" i="30" s="1"/>
  <c r="Z154" i="30" a="1"/>
  <c r="Z154" i="30" s="1"/>
  <c r="Z155" i="30" a="1"/>
  <c r="Z155" i="30" s="1"/>
  <c r="Z156" i="30" a="1"/>
  <c r="Z156" i="30" s="1"/>
  <c r="Z157" i="30" a="1"/>
  <c r="Z157" i="30" s="1"/>
  <c r="Z158" i="30" a="1"/>
  <c r="Z158" i="30" s="1"/>
  <c r="Z159" i="30" a="1"/>
  <c r="Z159" i="30" s="1"/>
  <c r="Z160" i="30" a="1"/>
  <c r="Z160" i="30" s="1"/>
  <c r="Z161" i="30" a="1"/>
  <c r="Z161" i="30" s="1"/>
  <c r="Z162" i="30" a="1"/>
  <c r="Z162" i="30" s="1"/>
  <c r="Z163" i="30" a="1"/>
  <c r="Z163" i="30" s="1"/>
  <c r="Z164" i="30" a="1"/>
  <c r="Z164" i="30" s="1"/>
  <c r="Z165" i="30" a="1"/>
  <c r="Z165" i="30" s="1"/>
  <c r="Z166" i="30" a="1"/>
  <c r="Z166" i="30" s="1"/>
  <c r="Z167" i="30" a="1"/>
  <c r="Z167" i="30" s="1"/>
  <c r="Z168" i="30" a="1"/>
  <c r="Z168" i="30" s="1"/>
  <c r="Z169" i="30" a="1"/>
  <c r="Z169" i="30" s="1"/>
  <c r="Z170" i="30" a="1"/>
  <c r="Z170" i="30" s="1"/>
  <c r="Z171" i="30" a="1"/>
  <c r="Z171" i="30" s="1"/>
  <c r="Z172" i="30" a="1"/>
  <c r="Z172" i="30" s="1"/>
  <c r="Z173" i="30" a="1"/>
  <c r="Z173" i="30" s="1"/>
  <c r="Z174" i="30" a="1"/>
  <c r="Z174" i="30" s="1"/>
  <c r="Z175" i="30" a="1"/>
  <c r="Z175" i="30" s="1"/>
  <c r="Z176" i="30" a="1"/>
  <c r="Z176" i="30" s="1"/>
  <c r="Z177" i="30" a="1"/>
  <c r="Z177" i="30" s="1"/>
  <c r="Z178" i="30" a="1"/>
  <c r="Z178" i="30" s="1"/>
  <c r="Z179" i="30" a="1"/>
  <c r="Z179" i="30" s="1"/>
  <c r="Z180" i="30" a="1"/>
  <c r="Z180" i="30" s="1"/>
  <c r="Z181" i="30" a="1"/>
  <c r="Z181" i="30" s="1"/>
  <c r="Z182" i="30" a="1"/>
  <c r="Z182" i="30" s="1"/>
  <c r="Z183" i="30" a="1"/>
  <c r="Z183" i="30" s="1"/>
  <c r="Z184" i="30" a="1"/>
  <c r="Z184" i="30" s="1"/>
  <c r="Z185" i="30" a="1"/>
  <c r="Z185" i="30" s="1"/>
  <c r="Z186" i="30" a="1"/>
  <c r="Z186" i="30" s="1"/>
  <c r="Z187" i="30" a="1"/>
  <c r="Z187" i="30" s="1"/>
  <c r="Z188" i="30" a="1"/>
  <c r="Z188" i="30" s="1"/>
  <c r="Z189" i="30" a="1"/>
  <c r="Z189" i="30" s="1"/>
  <c r="Z190" i="30" a="1"/>
  <c r="Z190" i="30" s="1"/>
  <c r="Z191" i="30" a="1"/>
  <c r="Z191" i="30" s="1"/>
  <c r="Z192" i="30" a="1"/>
  <c r="Z192" i="30" s="1"/>
  <c r="Z193" i="30" a="1"/>
  <c r="Z193" i="30" s="1"/>
  <c r="Z194" i="30" a="1"/>
  <c r="Z194" i="30" s="1"/>
  <c r="Z195" i="30" a="1"/>
  <c r="Z195" i="30" s="1"/>
  <c r="Z196" i="30" a="1"/>
  <c r="Z196" i="30" s="1"/>
  <c r="Z197" i="30" a="1"/>
  <c r="Z197" i="30" s="1"/>
  <c r="Z198" i="30" a="1"/>
  <c r="Z198" i="30" s="1"/>
  <c r="Z199" i="30" a="1"/>
  <c r="Z199" i="30" s="1"/>
  <c r="Z200" i="30" a="1"/>
  <c r="Z200" i="30" s="1"/>
  <c r="Z201" i="30" a="1"/>
  <c r="Z201" i="30" s="1"/>
  <c r="Z202" i="30" a="1"/>
  <c r="Z202" i="30" s="1"/>
  <c r="Z203" i="30" a="1"/>
  <c r="Z203" i="30" s="1"/>
  <c r="Z204" i="30" a="1"/>
  <c r="Z204" i="30" s="1"/>
  <c r="Z205" i="30" a="1"/>
  <c r="Z205" i="30" s="1"/>
  <c r="Z206" i="30" a="1"/>
  <c r="Z206" i="30" s="1"/>
  <c r="Z207" i="30" a="1"/>
  <c r="Z207" i="30" s="1"/>
  <c r="Z208" i="30" a="1"/>
  <c r="Z208" i="30" s="1"/>
  <c r="Z209" i="30" a="1"/>
  <c r="Z209" i="30" s="1"/>
  <c r="Z210" i="30" a="1"/>
  <c r="Z210" i="30" s="1"/>
  <c r="Z211" i="30" a="1"/>
  <c r="Z211" i="30" s="1"/>
  <c r="Z212" i="30" a="1"/>
  <c r="Z212" i="30" s="1"/>
  <c r="Z213" i="30" a="1"/>
  <c r="Z213" i="30" s="1"/>
  <c r="Z214" i="30" a="1"/>
  <c r="Z214" i="30" s="1"/>
  <c r="Z215" i="30" a="1"/>
  <c r="Z215" i="30" s="1"/>
  <c r="Z216" i="30" a="1"/>
  <c r="Z216" i="30" s="1"/>
  <c r="Z217" i="30" a="1"/>
  <c r="Z217" i="30" s="1"/>
  <c r="Z218" i="30" a="1"/>
  <c r="Z218" i="30" s="1"/>
  <c r="Z219" i="30" a="1"/>
  <c r="Z219" i="30" s="1"/>
  <c r="Z220" i="30" a="1"/>
  <c r="Z220" i="30" s="1"/>
  <c r="Z221" i="30" a="1"/>
  <c r="Z221" i="30" s="1"/>
  <c r="Z222" i="30" a="1"/>
  <c r="Z222" i="30" s="1"/>
  <c r="Z223" i="30" a="1"/>
  <c r="Z223" i="30" s="1"/>
  <c r="Z224" i="30" a="1"/>
  <c r="Z224" i="30" s="1"/>
  <c r="Z225" i="30" a="1"/>
  <c r="Z225" i="30" s="1"/>
  <c r="Z226" i="30" a="1"/>
  <c r="Z226" i="30" s="1"/>
  <c r="Z227" i="30" a="1"/>
  <c r="Z227" i="30" s="1"/>
  <c r="Z228" i="30" a="1"/>
  <c r="Z228" i="30" s="1"/>
  <c r="Z229" i="30" a="1"/>
  <c r="Z229" i="30" s="1"/>
  <c r="Z230" i="30" a="1"/>
  <c r="Z230" i="30" s="1"/>
  <c r="Z231" i="30" a="1"/>
  <c r="Z231" i="30" s="1"/>
  <c r="Z232" i="30" a="1"/>
  <c r="Z232" i="30" s="1"/>
  <c r="Z233" i="30" a="1"/>
  <c r="Z233" i="30" s="1"/>
  <c r="Z234" i="30" a="1"/>
  <c r="Z234" i="30" s="1"/>
  <c r="Z235" i="30" a="1"/>
  <c r="Z235" i="30" s="1"/>
  <c r="Z236" i="30" a="1"/>
  <c r="Z236" i="30" s="1"/>
  <c r="Z237" i="30" a="1"/>
  <c r="Z237" i="30" s="1"/>
  <c r="Z238" i="30" a="1"/>
  <c r="Z238" i="30" s="1"/>
  <c r="Z239" i="30" a="1"/>
  <c r="Z239" i="30" s="1"/>
  <c r="Z240" i="30" a="1"/>
  <c r="Z240" i="30" s="1"/>
  <c r="Z241" i="30" a="1"/>
  <c r="Z241" i="30" s="1"/>
  <c r="Z242" i="30" a="1"/>
  <c r="Z242" i="30" s="1"/>
  <c r="Z243" i="30" a="1"/>
  <c r="Z243" i="30" s="1"/>
  <c r="Z2" i="30" a="1"/>
  <c r="Z2" i="30" s="1"/>
  <c r="Y3" i="16" a="1"/>
  <c r="Y3" i="16" s="1"/>
  <c r="Z3" i="16" a="1"/>
  <c r="Z3" i="16" s="1"/>
  <c r="Y4" i="16" a="1"/>
  <c r="Y4" i="16" s="1"/>
  <c r="Z4" i="16" a="1"/>
  <c r="Z4" i="16" s="1"/>
  <c r="Y5" i="16" a="1"/>
  <c r="Y5" i="16" s="1"/>
  <c r="Z5" i="16" a="1"/>
  <c r="Z5" i="16" s="1"/>
  <c r="Y6" i="16" a="1"/>
  <c r="Y6" i="16" s="1"/>
  <c r="Z6" i="16" a="1"/>
  <c r="Z6" i="16" s="1"/>
  <c r="Y7" i="16" a="1"/>
  <c r="Y7" i="16" s="1"/>
  <c r="Z7" i="16" a="1"/>
  <c r="Z7" i="16" s="1"/>
  <c r="Y8" i="16" a="1"/>
  <c r="Y8" i="16" s="1"/>
  <c r="Z8" i="16" a="1"/>
  <c r="Z8" i="16" s="1"/>
  <c r="Y9" i="16" a="1"/>
  <c r="Y9" i="16" s="1"/>
  <c r="Z9" i="16" a="1"/>
  <c r="Z9" i="16" s="1"/>
  <c r="Y10" i="16" a="1"/>
  <c r="Y10" i="16" s="1"/>
  <c r="Z10" i="16" a="1"/>
  <c r="Z10" i="16" s="1"/>
  <c r="Y11" i="16" a="1"/>
  <c r="Y11" i="16" s="1"/>
  <c r="Z11" i="16" a="1"/>
  <c r="Z11" i="16" s="1"/>
  <c r="Y12" i="16" a="1"/>
  <c r="Y12" i="16" s="1"/>
  <c r="Z12" i="16" a="1"/>
  <c r="Z12" i="16" s="1"/>
  <c r="Y13" i="16" a="1"/>
  <c r="Y13" i="16" s="1"/>
  <c r="Z13" i="16" a="1"/>
  <c r="Z13" i="16" s="1"/>
  <c r="Y14" i="16" a="1"/>
  <c r="Y14" i="16" s="1"/>
  <c r="Z14" i="16" a="1"/>
  <c r="Z14" i="16" s="1"/>
  <c r="Y15" i="16" a="1"/>
  <c r="Y15" i="16" s="1"/>
  <c r="Z15" i="16" a="1"/>
  <c r="Z15" i="16" s="1"/>
  <c r="Y16" i="16" a="1"/>
  <c r="Y16" i="16" s="1"/>
  <c r="Z16" i="16" a="1"/>
  <c r="Z16" i="16" s="1"/>
  <c r="Y17" i="16" a="1"/>
  <c r="Y17" i="16" s="1"/>
  <c r="Z17" i="16" a="1"/>
  <c r="Z17" i="16" s="1"/>
  <c r="Y18" i="16" a="1"/>
  <c r="Y18" i="16" s="1"/>
  <c r="Z18" i="16" a="1"/>
  <c r="Z18" i="16" s="1"/>
  <c r="Y19" i="16" a="1"/>
  <c r="Y19" i="16" s="1"/>
  <c r="Z19" i="16" a="1"/>
  <c r="Z19" i="16" s="1"/>
  <c r="Y20" i="16" a="1"/>
  <c r="Y20" i="16" s="1"/>
  <c r="Z20" i="16" a="1"/>
  <c r="Z20" i="16" s="1"/>
  <c r="Y21" i="16" a="1"/>
  <c r="Y21" i="16" s="1"/>
  <c r="Z21" i="16" a="1"/>
  <c r="Z21" i="16" s="1"/>
  <c r="Y22" i="16" a="1"/>
  <c r="Y22" i="16" s="1"/>
  <c r="Z22" i="16" a="1"/>
  <c r="Z22" i="16" s="1"/>
  <c r="Y23" i="16" a="1"/>
  <c r="Y23" i="16" s="1"/>
  <c r="Z23" i="16" a="1"/>
  <c r="Z23" i="16" s="1"/>
  <c r="Y24" i="16" a="1"/>
  <c r="Y24" i="16" s="1"/>
  <c r="Z24" i="16" a="1"/>
  <c r="Z24" i="16" s="1"/>
  <c r="Y25" i="16" a="1"/>
  <c r="Y25" i="16" s="1"/>
  <c r="Z25" i="16" a="1"/>
  <c r="Z25" i="16" s="1"/>
  <c r="Y26" i="16" a="1"/>
  <c r="Y26" i="16" s="1"/>
  <c r="Z26" i="16" a="1"/>
  <c r="Z26" i="16" s="1"/>
  <c r="Y27" i="16" a="1"/>
  <c r="Y27" i="16" s="1"/>
  <c r="Z27" i="16" a="1"/>
  <c r="Z27" i="16" s="1"/>
  <c r="Y28" i="16" a="1"/>
  <c r="Y28" i="16" s="1"/>
  <c r="Z28" i="16" a="1"/>
  <c r="Z28" i="16" s="1"/>
  <c r="Y29" i="16" a="1"/>
  <c r="Y29" i="16" s="1"/>
  <c r="Z29" i="16" a="1"/>
  <c r="Z29" i="16" s="1"/>
  <c r="Y30" i="16" a="1"/>
  <c r="Y30" i="16" s="1"/>
  <c r="Z30" i="16" a="1"/>
  <c r="Z30" i="16" s="1"/>
  <c r="Y31" i="16" a="1"/>
  <c r="Y31" i="16" s="1"/>
  <c r="Z31" i="16" a="1"/>
  <c r="Z31" i="16" s="1"/>
  <c r="Y32" i="16" a="1"/>
  <c r="Y32" i="16" s="1"/>
  <c r="Z32" i="16" a="1"/>
  <c r="Z32" i="16" s="1"/>
  <c r="Y33" i="16" a="1"/>
  <c r="Y33" i="16" s="1"/>
  <c r="Z33" i="16" a="1"/>
  <c r="Z33" i="16" s="1"/>
  <c r="Y34" i="16" a="1"/>
  <c r="Y34" i="16" s="1"/>
  <c r="Z34" i="16" a="1"/>
  <c r="Z34" i="16" s="1"/>
  <c r="Y35" i="16" a="1"/>
  <c r="Y35" i="16" s="1"/>
  <c r="Z35" i="16" a="1"/>
  <c r="Z35" i="16" s="1"/>
  <c r="Y36" i="16" a="1"/>
  <c r="Y36" i="16" s="1"/>
  <c r="Z36" i="16" a="1"/>
  <c r="Z36" i="16" s="1"/>
  <c r="Y37" i="16" a="1"/>
  <c r="Y37" i="16" s="1"/>
  <c r="Z37" i="16" a="1"/>
  <c r="Z37" i="16" s="1"/>
  <c r="Y38" i="16" a="1"/>
  <c r="Y38" i="16" s="1"/>
  <c r="Z38" i="16" a="1"/>
  <c r="Z38" i="16" s="1"/>
  <c r="Y39" i="16" a="1"/>
  <c r="Y39" i="16" s="1"/>
  <c r="Z39" i="16" a="1"/>
  <c r="Z39" i="16" s="1"/>
  <c r="Y40" i="16" a="1"/>
  <c r="Y40" i="16" s="1"/>
  <c r="Z40" i="16" a="1"/>
  <c r="Z40" i="16" s="1"/>
  <c r="Y41" i="16" a="1"/>
  <c r="Y41" i="16" s="1"/>
  <c r="Z41" i="16" a="1"/>
  <c r="Z41" i="16" s="1"/>
  <c r="Y42" i="16" a="1"/>
  <c r="Y42" i="16" s="1"/>
  <c r="Z42" i="16" a="1"/>
  <c r="Z42" i="16" s="1"/>
  <c r="Y43" i="16" a="1"/>
  <c r="Y43" i="16" s="1"/>
  <c r="Z43" i="16" a="1"/>
  <c r="Z43" i="16" s="1"/>
  <c r="Y44" i="16" a="1"/>
  <c r="Y44" i="16" s="1"/>
  <c r="Z44" i="16" a="1"/>
  <c r="Z44" i="16" s="1"/>
  <c r="Y45" i="16" a="1"/>
  <c r="Y45" i="16" s="1"/>
  <c r="Z45" i="16" a="1"/>
  <c r="Z45" i="16" s="1"/>
  <c r="Y46" i="16" a="1"/>
  <c r="Y46" i="16" s="1"/>
  <c r="Z46" i="16" a="1"/>
  <c r="Z46" i="16" s="1"/>
  <c r="Y47" i="16" a="1"/>
  <c r="Y47" i="16" s="1"/>
  <c r="Z47" i="16" a="1"/>
  <c r="Z47" i="16" s="1"/>
  <c r="Y48" i="16" a="1"/>
  <c r="Y48" i="16" s="1"/>
  <c r="Z48" i="16" a="1"/>
  <c r="Z48" i="16" s="1"/>
  <c r="Y49" i="16" a="1"/>
  <c r="Y49" i="16" s="1"/>
  <c r="Z49" i="16" a="1"/>
  <c r="Z49" i="16" s="1"/>
  <c r="Y50" i="16" a="1"/>
  <c r="Y50" i="16" s="1"/>
  <c r="Z50" i="16" a="1"/>
  <c r="Z50" i="16" s="1"/>
  <c r="Y51" i="16" a="1"/>
  <c r="Y51" i="16" s="1"/>
  <c r="Z51" i="16" a="1"/>
  <c r="Z51" i="16" s="1"/>
  <c r="Y52" i="16" a="1"/>
  <c r="Y52" i="16" s="1"/>
  <c r="Z52" i="16" a="1"/>
  <c r="Z52" i="16" s="1"/>
  <c r="Y53" i="16" a="1"/>
  <c r="Y53" i="16" s="1"/>
  <c r="Z53" i="16" a="1"/>
  <c r="Z53" i="16" s="1"/>
  <c r="Y54" i="16" a="1"/>
  <c r="Y54" i="16" s="1"/>
  <c r="Z54" i="16" a="1"/>
  <c r="Z54" i="16" s="1"/>
  <c r="Y55" i="16" a="1"/>
  <c r="Y55" i="16" s="1"/>
  <c r="Z55" i="16" a="1"/>
  <c r="Z55" i="16" s="1"/>
  <c r="Y56" i="16" a="1"/>
  <c r="Y56" i="16" s="1"/>
  <c r="Z56" i="16" a="1"/>
  <c r="Z56" i="16" s="1"/>
  <c r="Y57" i="16" a="1"/>
  <c r="Y57" i="16" s="1"/>
  <c r="Z57" i="16" a="1"/>
  <c r="Z57" i="16" s="1"/>
  <c r="Y58" i="16" a="1"/>
  <c r="Y58" i="16" s="1"/>
  <c r="Z58" i="16" a="1"/>
  <c r="Z58" i="16" s="1"/>
  <c r="Y59" i="16" a="1"/>
  <c r="Y59" i="16" s="1"/>
  <c r="Z59" i="16" a="1"/>
  <c r="Z59" i="16" s="1"/>
  <c r="Y60" i="16" a="1"/>
  <c r="Y60" i="16" s="1"/>
  <c r="Z60" i="16" a="1"/>
  <c r="Z60" i="16" s="1"/>
  <c r="Y61" i="16" a="1"/>
  <c r="Y61" i="16" s="1"/>
  <c r="Z61" i="16" a="1"/>
  <c r="Z61" i="16" s="1"/>
  <c r="Y62" i="16" a="1"/>
  <c r="Y62" i="16" s="1"/>
  <c r="Z62" i="16" a="1"/>
  <c r="Z62" i="16" s="1"/>
  <c r="Y63" i="16" a="1"/>
  <c r="Y63" i="16" s="1"/>
  <c r="Z63" i="16" a="1"/>
  <c r="Z63" i="16" s="1"/>
  <c r="Y64" i="16" a="1"/>
  <c r="Y64" i="16" s="1"/>
  <c r="Z64" i="16" a="1"/>
  <c r="Z64" i="16" s="1"/>
  <c r="Y65" i="16" a="1"/>
  <c r="Y65" i="16" s="1"/>
  <c r="Z65" i="16" a="1"/>
  <c r="Z65" i="16" s="1"/>
  <c r="Y66" i="16" a="1"/>
  <c r="Y66" i="16" s="1"/>
  <c r="Z66" i="16" a="1"/>
  <c r="Z66" i="16" s="1"/>
  <c r="Y67" i="16" a="1"/>
  <c r="Y67" i="16" s="1"/>
  <c r="Z67" i="16" a="1"/>
  <c r="Z67" i="16" s="1"/>
  <c r="Y68" i="16" a="1"/>
  <c r="Y68" i="16" s="1"/>
  <c r="Z68" i="16" a="1"/>
  <c r="Z68" i="16" s="1"/>
  <c r="Y69" i="16" a="1"/>
  <c r="Y69" i="16" s="1"/>
  <c r="Z69" i="16" a="1"/>
  <c r="Z69" i="16" s="1"/>
  <c r="Y70" i="16" a="1"/>
  <c r="Y70" i="16" s="1"/>
  <c r="Z70" i="16" a="1"/>
  <c r="Z70" i="16" s="1"/>
  <c r="Y71" i="16" a="1"/>
  <c r="Y71" i="16" s="1"/>
  <c r="Z71" i="16" a="1"/>
  <c r="Z71" i="16" s="1"/>
  <c r="Y72" i="16" a="1"/>
  <c r="Y72" i="16" s="1"/>
  <c r="Z72" i="16" a="1"/>
  <c r="Z72" i="16" s="1"/>
  <c r="Y73" i="16" a="1"/>
  <c r="Y73" i="16" s="1"/>
  <c r="Z73" i="16" a="1"/>
  <c r="Z73" i="16" s="1"/>
  <c r="Y74" i="16" a="1"/>
  <c r="Y74" i="16" s="1"/>
  <c r="Z74" i="16" a="1"/>
  <c r="Z74" i="16" s="1"/>
  <c r="Y75" i="16" a="1"/>
  <c r="Y75" i="16" s="1"/>
  <c r="Z75" i="16" a="1"/>
  <c r="Z75" i="16" s="1"/>
  <c r="Y76" i="16" a="1"/>
  <c r="Y76" i="16" s="1"/>
  <c r="Z76" i="16" a="1"/>
  <c r="Z76" i="16" s="1"/>
  <c r="Y77" i="16" a="1"/>
  <c r="Y77" i="16" s="1"/>
  <c r="Z77" i="16" a="1"/>
  <c r="Z77" i="16" s="1"/>
  <c r="Y78" i="16" a="1"/>
  <c r="Y78" i="16" s="1"/>
  <c r="Z78" i="16" a="1"/>
  <c r="Z78" i="16" s="1"/>
  <c r="Y79" i="16" a="1"/>
  <c r="Y79" i="16" s="1"/>
  <c r="Z79" i="16" a="1"/>
  <c r="Z79" i="16" s="1"/>
  <c r="Y80" i="16" a="1"/>
  <c r="Y80" i="16" s="1"/>
  <c r="Z80" i="16" a="1"/>
  <c r="Z80" i="16" s="1"/>
  <c r="Y81" i="16" a="1"/>
  <c r="Y81" i="16" s="1"/>
  <c r="Z81" i="16" a="1"/>
  <c r="Z81" i="16" s="1"/>
  <c r="Y82" i="16" a="1"/>
  <c r="Y82" i="16" s="1"/>
  <c r="Z82" i="16" a="1"/>
  <c r="Z82" i="16" s="1"/>
  <c r="Y83" i="16" a="1"/>
  <c r="Y83" i="16" s="1"/>
  <c r="Z83" i="16" a="1"/>
  <c r="Z83" i="16" s="1"/>
  <c r="Y84" i="16" a="1"/>
  <c r="Y84" i="16" s="1"/>
  <c r="Z84" i="16" a="1"/>
  <c r="Z84" i="16" s="1"/>
  <c r="Y85" i="16" a="1"/>
  <c r="Y85" i="16" s="1"/>
  <c r="Z85" i="16" a="1"/>
  <c r="Z85" i="16" s="1"/>
  <c r="Y86" i="16" a="1"/>
  <c r="Y86" i="16" s="1"/>
  <c r="Z86" i="16" a="1"/>
  <c r="Z86" i="16" s="1"/>
  <c r="Y87" i="16" a="1"/>
  <c r="Y87" i="16" s="1"/>
  <c r="Z87" i="16" a="1"/>
  <c r="Z87" i="16" s="1"/>
  <c r="Y88" i="16" a="1"/>
  <c r="Y88" i="16" s="1"/>
  <c r="Z88" i="16" a="1"/>
  <c r="Z88" i="16" s="1"/>
  <c r="Y89" i="16" a="1"/>
  <c r="Y89" i="16" s="1"/>
  <c r="Z89" i="16" a="1"/>
  <c r="Z89" i="16" s="1"/>
  <c r="Y90" i="16" a="1"/>
  <c r="Y90" i="16" s="1"/>
  <c r="Z90" i="16" a="1"/>
  <c r="Z90" i="16" s="1"/>
  <c r="Y91" i="16" a="1"/>
  <c r="Y91" i="16" s="1"/>
  <c r="Z91" i="16" a="1"/>
  <c r="Z91" i="16" s="1"/>
  <c r="Y92" i="16" a="1"/>
  <c r="Y92" i="16" s="1"/>
  <c r="Z92" i="16" a="1"/>
  <c r="Z92" i="16" s="1"/>
  <c r="Y93" i="16" a="1"/>
  <c r="Y93" i="16" s="1"/>
  <c r="Z93" i="16" a="1"/>
  <c r="Z93" i="16" s="1"/>
  <c r="Y94" i="16" a="1"/>
  <c r="Y94" i="16" s="1"/>
  <c r="Z94" i="16" a="1"/>
  <c r="Z94" i="16" s="1"/>
  <c r="Y95" i="16" a="1"/>
  <c r="Y95" i="16" s="1"/>
  <c r="Z95" i="16" a="1"/>
  <c r="Z95" i="16" s="1"/>
  <c r="Y96" i="16" a="1"/>
  <c r="Y96" i="16" s="1"/>
  <c r="Z96" i="16" a="1"/>
  <c r="Z96" i="16" s="1"/>
  <c r="Y97" i="16" a="1"/>
  <c r="Y97" i="16" s="1"/>
  <c r="Z97" i="16" a="1"/>
  <c r="Z97" i="16" s="1"/>
  <c r="Y98" i="16" a="1"/>
  <c r="Y98" i="16" s="1"/>
  <c r="Z98" i="16" a="1"/>
  <c r="Z98" i="16" s="1"/>
  <c r="Y99" i="16" a="1"/>
  <c r="Y99" i="16" s="1"/>
  <c r="Z99" i="16" a="1"/>
  <c r="Z99" i="16" s="1"/>
  <c r="Y100" i="16" a="1"/>
  <c r="Y100" i="16" s="1"/>
  <c r="Z100" i="16" a="1"/>
  <c r="Z100" i="16" s="1"/>
  <c r="Y101" i="16" a="1"/>
  <c r="Y101" i="16" s="1"/>
  <c r="Z101" i="16" a="1"/>
  <c r="Z101" i="16" s="1"/>
  <c r="Y102" i="16" a="1"/>
  <c r="Y102" i="16" s="1"/>
  <c r="Z102" i="16" a="1"/>
  <c r="Z102" i="16" s="1"/>
  <c r="Y103" i="16" a="1"/>
  <c r="Y103" i="16" s="1"/>
  <c r="Z103" i="16" a="1"/>
  <c r="Z103" i="16" s="1"/>
  <c r="Y104" i="16" a="1"/>
  <c r="Y104" i="16" s="1"/>
  <c r="Z104" i="16" a="1"/>
  <c r="Z104" i="16" s="1"/>
  <c r="Y105" i="16" a="1"/>
  <c r="Y105" i="16" s="1"/>
  <c r="Z105" i="16" a="1"/>
  <c r="Z105" i="16" s="1"/>
  <c r="Y106" i="16" a="1"/>
  <c r="Y106" i="16" s="1"/>
  <c r="Z106" i="16" a="1"/>
  <c r="Z106" i="16" s="1"/>
  <c r="Y107" i="16" a="1"/>
  <c r="Y107" i="16" s="1"/>
  <c r="Z107" i="16" a="1"/>
  <c r="Z107" i="16" s="1"/>
  <c r="Y108" i="16" a="1"/>
  <c r="Y108" i="16" s="1"/>
  <c r="Z108" i="16" a="1"/>
  <c r="Z108" i="16" s="1"/>
  <c r="Y109" i="16" a="1"/>
  <c r="Y109" i="16" s="1"/>
  <c r="Z109" i="16" a="1"/>
  <c r="Z109" i="16" s="1"/>
  <c r="Y110" i="16" a="1"/>
  <c r="Y110" i="16" s="1"/>
  <c r="Z110" i="16" a="1"/>
  <c r="Z110" i="16" s="1"/>
  <c r="Y111" i="16" a="1"/>
  <c r="Y111" i="16" s="1"/>
  <c r="Z111" i="16" a="1"/>
  <c r="Z111" i="16" s="1"/>
  <c r="Y112" i="16" a="1"/>
  <c r="Y112" i="16" s="1"/>
  <c r="Z112" i="16" a="1"/>
  <c r="Z112" i="16" s="1"/>
  <c r="Y113" i="16" a="1"/>
  <c r="Y113" i="16" s="1"/>
  <c r="Z113" i="16" a="1"/>
  <c r="Z113" i="16" s="1"/>
  <c r="Y114" i="16" a="1"/>
  <c r="Y114" i="16" s="1"/>
  <c r="Z114" i="16" a="1"/>
  <c r="Z114" i="16" s="1"/>
  <c r="Y115" i="16" a="1"/>
  <c r="Y115" i="16" s="1"/>
  <c r="Z115" i="16" a="1"/>
  <c r="Z115" i="16" s="1"/>
  <c r="Y116" i="16" a="1"/>
  <c r="Y116" i="16" s="1"/>
  <c r="Z116" i="16" a="1"/>
  <c r="Z116" i="16" s="1"/>
  <c r="Y117" i="16" a="1"/>
  <c r="Y117" i="16" s="1"/>
  <c r="Z117" i="16" a="1"/>
  <c r="Z117" i="16" s="1"/>
  <c r="Y118" i="16" a="1"/>
  <c r="Y118" i="16" s="1"/>
  <c r="Z118" i="16" a="1"/>
  <c r="Z118" i="16" s="1"/>
  <c r="Y119" i="16" a="1"/>
  <c r="Y119" i="16" s="1"/>
  <c r="Z119" i="16" a="1"/>
  <c r="Z119" i="16" s="1"/>
  <c r="Y120" i="16" a="1"/>
  <c r="Y120" i="16" s="1"/>
  <c r="Z120" i="16" a="1"/>
  <c r="Z120" i="16" s="1"/>
  <c r="Y121" i="16" a="1"/>
  <c r="Y121" i="16" s="1"/>
  <c r="Z121" i="16" a="1"/>
  <c r="Z121" i="16" s="1"/>
  <c r="Y122" i="16" a="1"/>
  <c r="Y122" i="16" s="1"/>
  <c r="Z122" i="16" a="1"/>
  <c r="Z122" i="16" s="1"/>
  <c r="Y123" i="16" a="1"/>
  <c r="Y123" i="16" s="1"/>
  <c r="Z123" i="16" a="1"/>
  <c r="Z123" i="16" s="1"/>
  <c r="Y124" i="16" a="1"/>
  <c r="Y124" i="16" s="1"/>
  <c r="Z124" i="16" a="1"/>
  <c r="Z124" i="16" s="1"/>
  <c r="Y125" i="16" a="1"/>
  <c r="Y125" i="16" s="1"/>
  <c r="Z125" i="16" a="1"/>
  <c r="Z125" i="16" s="1"/>
  <c r="Y126" i="16" a="1"/>
  <c r="Y126" i="16" s="1"/>
  <c r="Z126" i="16" a="1"/>
  <c r="Z126" i="16" s="1"/>
  <c r="Y127" i="16" a="1"/>
  <c r="Y127" i="16" s="1"/>
  <c r="Z127" i="16" a="1"/>
  <c r="Z127" i="16" s="1"/>
  <c r="Y128" i="16" a="1"/>
  <c r="Y128" i="16" s="1"/>
  <c r="Z128" i="16" a="1"/>
  <c r="Z128" i="16" s="1"/>
  <c r="Y129" i="16" a="1"/>
  <c r="Y129" i="16" s="1"/>
  <c r="Z129" i="16" a="1"/>
  <c r="Z129" i="16" s="1"/>
  <c r="Y130" i="16" a="1"/>
  <c r="Y130" i="16" s="1"/>
  <c r="Z130" i="16" a="1"/>
  <c r="Z130" i="16" s="1"/>
  <c r="Y131" i="16" a="1"/>
  <c r="Y131" i="16" s="1"/>
  <c r="Z131" i="16" a="1"/>
  <c r="Z131" i="16" s="1"/>
  <c r="Y132" i="16" a="1"/>
  <c r="Y132" i="16" s="1"/>
  <c r="Z132" i="16" a="1"/>
  <c r="Z132" i="16" s="1"/>
  <c r="Y133" i="16" a="1"/>
  <c r="Y133" i="16" s="1"/>
  <c r="Z133" i="16" a="1"/>
  <c r="Z133" i="16" s="1"/>
  <c r="Y134" i="16" a="1"/>
  <c r="Y134" i="16" s="1"/>
  <c r="Z134" i="16" a="1"/>
  <c r="Z134" i="16" s="1"/>
  <c r="Y135" i="16" a="1"/>
  <c r="Y135" i="16" s="1"/>
  <c r="Z135" i="16" a="1"/>
  <c r="Z135" i="16" s="1"/>
  <c r="Y136" i="16" a="1"/>
  <c r="Y136" i="16" s="1"/>
  <c r="Z136" i="16" a="1"/>
  <c r="Z136" i="16" s="1"/>
  <c r="Y137" i="16" a="1"/>
  <c r="Y137" i="16" s="1"/>
  <c r="Z137" i="16" a="1"/>
  <c r="Z137" i="16" s="1"/>
  <c r="Y138" i="16" a="1"/>
  <c r="Y138" i="16" s="1"/>
  <c r="Z138" i="16" a="1"/>
  <c r="Z138" i="16" s="1"/>
  <c r="Y139" i="16" a="1"/>
  <c r="Y139" i="16" s="1"/>
  <c r="Z139" i="16" a="1"/>
  <c r="Z139" i="16" s="1"/>
  <c r="Y140" i="16" a="1"/>
  <c r="Y140" i="16" s="1"/>
  <c r="Z140" i="16" a="1"/>
  <c r="Z140" i="16" s="1"/>
  <c r="Y141" i="16" a="1"/>
  <c r="Y141" i="16" s="1"/>
  <c r="Z141" i="16" a="1"/>
  <c r="Z141" i="16" s="1"/>
  <c r="Y142" i="16" a="1"/>
  <c r="Y142" i="16" s="1"/>
  <c r="Z142" i="16" a="1"/>
  <c r="Z142" i="16" s="1"/>
  <c r="Y143" i="16" a="1"/>
  <c r="Y143" i="16" s="1"/>
  <c r="Z143" i="16" a="1"/>
  <c r="Z143" i="16" s="1"/>
  <c r="Y144" i="16" a="1"/>
  <c r="Y144" i="16" s="1"/>
  <c r="Z144" i="16" a="1"/>
  <c r="Z144" i="16" s="1"/>
  <c r="Y145" i="16" a="1"/>
  <c r="Y145" i="16" s="1"/>
  <c r="Z145" i="16" a="1"/>
  <c r="Z145" i="16" s="1"/>
  <c r="Y146" i="16" a="1"/>
  <c r="Y146" i="16" s="1"/>
  <c r="Z146" i="16" a="1"/>
  <c r="Z146" i="16" s="1"/>
  <c r="Y147" i="16" a="1"/>
  <c r="Y147" i="16" s="1"/>
  <c r="Z147" i="16" a="1"/>
  <c r="Z147" i="16" s="1"/>
  <c r="Y148" i="16" a="1"/>
  <c r="Y148" i="16" s="1"/>
  <c r="Z148" i="16" a="1"/>
  <c r="Z148" i="16" s="1"/>
  <c r="Y149" i="16" a="1"/>
  <c r="Y149" i="16" s="1"/>
  <c r="Z149" i="16" a="1"/>
  <c r="Z149" i="16" s="1"/>
  <c r="Y150" i="16" a="1"/>
  <c r="Y150" i="16" s="1"/>
  <c r="Z150" i="16" a="1"/>
  <c r="Z150" i="16" s="1"/>
  <c r="Y151" i="16" a="1"/>
  <c r="Y151" i="16" s="1"/>
  <c r="Z151" i="16" a="1"/>
  <c r="Z151" i="16" s="1"/>
  <c r="Y152" i="16" a="1"/>
  <c r="Y152" i="16" s="1"/>
  <c r="Z152" i="16" a="1"/>
  <c r="Z152" i="16" s="1"/>
  <c r="Y153" i="16" a="1"/>
  <c r="Y153" i="16" s="1"/>
  <c r="Z153" i="16" a="1"/>
  <c r="Z153" i="16" s="1"/>
  <c r="Y154" i="16" a="1"/>
  <c r="Y154" i="16" s="1"/>
  <c r="Z154" i="16" a="1"/>
  <c r="Z154" i="16" s="1"/>
  <c r="Y155" i="16" a="1"/>
  <c r="Y155" i="16" s="1"/>
  <c r="Z155" i="16" a="1"/>
  <c r="Z155" i="16" s="1"/>
  <c r="Y156" i="16" a="1"/>
  <c r="Y156" i="16" s="1"/>
  <c r="Z156" i="16" a="1"/>
  <c r="Z156" i="16" s="1"/>
  <c r="Y157" i="16" a="1"/>
  <c r="Y157" i="16" s="1"/>
  <c r="Z157" i="16" a="1"/>
  <c r="Z157" i="16" s="1"/>
  <c r="Y158" i="16" a="1"/>
  <c r="Y158" i="16" s="1"/>
  <c r="Z158" i="16" a="1"/>
  <c r="Z158" i="16" s="1"/>
  <c r="Y159" i="16" a="1"/>
  <c r="Y159" i="16" s="1"/>
  <c r="Z159" i="16" a="1"/>
  <c r="Z159" i="16" s="1"/>
  <c r="Y160" i="16" a="1"/>
  <c r="Y160" i="16" s="1"/>
  <c r="Z160" i="16" a="1"/>
  <c r="Z160" i="16" s="1"/>
  <c r="Y161" i="16" a="1"/>
  <c r="Y161" i="16" s="1"/>
  <c r="Z161" i="16" a="1"/>
  <c r="Z161" i="16" s="1"/>
  <c r="Y162" i="16" a="1"/>
  <c r="Y162" i="16" s="1"/>
  <c r="Z162" i="16" a="1"/>
  <c r="Z162" i="16" s="1"/>
  <c r="Y163" i="16" a="1"/>
  <c r="Y163" i="16" s="1"/>
  <c r="Z163" i="16" a="1"/>
  <c r="Z163" i="16" s="1"/>
  <c r="Y164" i="16" a="1"/>
  <c r="Y164" i="16" s="1"/>
  <c r="Z164" i="16" a="1"/>
  <c r="Z164" i="16" s="1"/>
  <c r="Y165" i="16" a="1"/>
  <c r="Y165" i="16" s="1"/>
  <c r="Z165" i="16" a="1"/>
  <c r="Z165" i="16" s="1"/>
  <c r="Y166" i="16" a="1"/>
  <c r="Y166" i="16" s="1"/>
  <c r="Z166" i="16" a="1"/>
  <c r="Z166" i="16" s="1"/>
  <c r="Y167" i="16" a="1"/>
  <c r="Y167" i="16" s="1"/>
  <c r="Z167" i="16" a="1"/>
  <c r="Z167" i="16" s="1"/>
  <c r="Y168" i="16" a="1"/>
  <c r="Y168" i="16" s="1"/>
  <c r="Z168" i="16" a="1"/>
  <c r="Z168" i="16" s="1"/>
  <c r="Y169" i="16" a="1"/>
  <c r="Y169" i="16" s="1"/>
  <c r="Z169" i="16" a="1"/>
  <c r="Z169" i="16" s="1"/>
  <c r="Y170" i="16" a="1"/>
  <c r="Y170" i="16" s="1"/>
  <c r="Z170" i="16" a="1"/>
  <c r="Z170" i="16" s="1"/>
  <c r="Y171" i="16" a="1"/>
  <c r="Y171" i="16" s="1"/>
  <c r="Z171" i="16" a="1"/>
  <c r="Z171" i="16" s="1"/>
  <c r="Y172" i="16" a="1"/>
  <c r="Y172" i="16" s="1"/>
  <c r="Z172" i="16" a="1"/>
  <c r="Z172" i="16" s="1"/>
  <c r="Y173" i="16" a="1"/>
  <c r="Y173" i="16" s="1"/>
  <c r="Z173" i="16" a="1"/>
  <c r="Z173" i="16" s="1"/>
  <c r="Y174" i="16" a="1"/>
  <c r="Y174" i="16" s="1"/>
  <c r="Z174" i="16" a="1"/>
  <c r="Z174" i="16" s="1"/>
  <c r="Y175" i="16" a="1"/>
  <c r="Y175" i="16" s="1"/>
  <c r="Z175" i="16" a="1"/>
  <c r="Z175" i="16" s="1"/>
  <c r="Y176" i="16" a="1"/>
  <c r="Y176" i="16" s="1"/>
  <c r="Z176" i="16" a="1"/>
  <c r="Z176" i="16" s="1"/>
  <c r="Y177" i="16" a="1"/>
  <c r="Y177" i="16" s="1"/>
  <c r="Z177" i="16" a="1"/>
  <c r="Z177" i="16" s="1"/>
  <c r="Y178" i="16" a="1"/>
  <c r="Y178" i="16" s="1"/>
  <c r="Z178" i="16" a="1"/>
  <c r="Z178" i="16" s="1"/>
  <c r="Y179" i="16" a="1"/>
  <c r="Y179" i="16" s="1"/>
  <c r="Z179" i="16" a="1"/>
  <c r="Z179" i="16" s="1"/>
  <c r="Y180" i="16" a="1"/>
  <c r="Y180" i="16" s="1"/>
  <c r="Z180" i="16" a="1"/>
  <c r="Z180" i="16" s="1"/>
  <c r="Y181" i="16" a="1"/>
  <c r="Y181" i="16" s="1"/>
  <c r="Z181" i="16" a="1"/>
  <c r="Z181" i="16" s="1"/>
  <c r="Y182" i="16" a="1"/>
  <c r="Y182" i="16" s="1"/>
  <c r="Z182" i="16" a="1"/>
  <c r="Z182" i="16" s="1"/>
  <c r="Y183" i="16" a="1"/>
  <c r="Y183" i="16" s="1"/>
  <c r="Z183" i="16" a="1"/>
  <c r="Z183" i="16" s="1"/>
  <c r="Y184" i="16" a="1"/>
  <c r="Y184" i="16" s="1"/>
  <c r="Z184" i="16" a="1"/>
  <c r="Z184" i="16" s="1"/>
  <c r="Y185" i="16" a="1"/>
  <c r="Y185" i="16" s="1"/>
  <c r="Z185" i="16" a="1"/>
  <c r="Z185" i="16" s="1"/>
  <c r="Y186" i="16" a="1"/>
  <c r="Y186" i="16" s="1"/>
  <c r="Z186" i="16" a="1"/>
  <c r="Z186" i="16" s="1"/>
  <c r="Y187" i="16" a="1"/>
  <c r="Y187" i="16" s="1"/>
  <c r="Z187" i="16" a="1"/>
  <c r="Z187" i="16" s="1"/>
  <c r="Y188" i="16" a="1"/>
  <c r="Y188" i="16" s="1"/>
  <c r="Z188" i="16" a="1"/>
  <c r="Z188" i="16" s="1"/>
  <c r="Y189" i="16" a="1"/>
  <c r="Y189" i="16" s="1"/>
  <c r="Z189" i="16" a="1"/>
  <c r="Z189" i="16" s="1"/>
  <c r="Y190" i="16" a="1"/>
  <c r="Y190" i="16" s="1"/>
  <c r="Z190" i="16" a="1"/>
  <c r="Z190" i="16" s="1"/>
  <c r="Y191" i="16" a="1"/>
  <c r="Y191" i="16" s="1"/>
  <c r="Z191" i="16" a="1"/>
  <c r="Z191" i="16" s="1"/>
  <c r="Y192" i="16" a="1"/>
  <c r="Y192" i="16" s="1"/>
  <c r="Z192" i="16" a="1"/>
  <c r="Z192" i="16" s="1"/>
  <c r="Y193" i="16" a="1"/>
  <c r="Y193" i="16" s="1"/>
  <c r="Z193" i="16" a="1"/>
  <c r="Z193" i="16" s="1"/>
  <c r="Y194" i="16" a="1"/>
  <c r="Y194" i="16" s="1"/>
  <c r="Z194" i="16" a="1"/>
  <c r="Z194" i="16" s="1"/>
  <c r="Y195" i="16" a="1"/>
  <c r="Y195" i="16" s="1"/>
  <c r="Z195" i="16" a="1"/>
  <c r="Z195" i="16" s="1"/>
  <c r="Y196" i="16" a="1"/>
  <c r="Y196" i="16" s="1"/>
  <c r="Z196" i="16" a="1"/>
  <c r="Z196" i="16" s="1"/>
  <c r="Y197" i="16" a="1"/>
  <c r="Y197" i="16" s="1"/>
  <c r="Z197" i="16" a="1"/>
  <c r="Z197" i="16" s="1"/>
  <c r="Y198" i="16" a="1"/>
  <c r="Y198" i="16" s="1"/>
  <c r="Z198" i="16" a="1"/>
  <c r="Z198" i="16" s="1"/>
  <c r="Y199" i="16" a="1"/>
  <c r="Y199" i="16" s="1"/>
  <c r="Z199" i="16" a="1"/>
  <c r="Z199" i="16" s="1"/>
  <c r="Y200" i="16" a="1"/>
  <c r="Y200" i="16" s="1"/>
  <c r="Z200" i="16" a="1"/>
  <c r="Z200" i="16" s="1"/>
  <c r="Y201" i="16" a="1"/>
  <c r="Y201" i="16" s="1"/>
  <c r="Z201" i="16" a="1"/>
  <c r="Z201" i="16" s="1"/>
  <c r="Y202" i="16" a="1"/>
  <c r="Y202" i="16" s="1"/>
  <c r="Z202" i="16" a="1"/>
  <c r="Z202" i="16" s="1"/>
  <c r="Y203" i="16" a="1"/>
  <c r="Y203" i="16" s="1"/>
  <c r="Z203" i="16" a="1"/>
  <c r="Z203" i="16" s="1"/>
  <c r="Y204" i="16" a="1"/>
  <c r="Y204" i="16" s="1"/>
  <c r="Z204" i="16" a="1"/>
  <c r="Z204" i="16" s="1"/>
  <c r="Y205" i="16" a="1"/>
  <c r="Y205" i="16" s="1"/>
  <c r="Z205" i="16" a="1"/>
  <c r="Z205" i="16" s="1"/>
  <c r="Y206" i="16" a="1"/>
  <c r="Y206" i="16" s="1"/>
  <c r="Z206" i="16" a="1"/>
  <c r="Z206" i="16" s="1"/>
  <c r="Y207" i="16" a="1"/>
  <c r="Y207" i="16" s="1"/>
  <c r="Z207" i="16" a="1"/>
  <c r="Z207" i="16" s="1"/>
  <c r="Y208" i="16" a="1"/>
  <c r="Y208" i="16" s="1"/>
  <c r="Z208" i="16" a="1"/>
  <c r="Z208" i="16" s="1"/>
  <c r="Y209" i="16" a="1"/>
  <c r="Y209" i="16" s="1"/>
  <c r="Z209" i="16" a="1"/>
  <c r="Z209" i="16" s="1"/>
  <c r="Y210" i="16" a="1"/>
  <c r="Y210" i="16" s="1"/>
  <c r="Z210" i="16" a="1"/>
  <c r="Z210" i="16" s="1"/>
  <c r="Y211" i="16" a="1"/>
  <c r="Y211" i="16" s="1"/>
  <c r="Z211" i="16" a="1"/>
  <c r="Z211" i="16" s="1"/>
  <c r="Y212" i="16" a="1"/>
  <c r="Y212" i="16" s="1"/>
  <c r="Z212" i="16" a="1"/>
  <c r="Z212" i="16" s="1"/>
  <c r="Y213" i="16" a="1"/>
  <c r="Y213" i="16" s="1"/>
  <c r="Z213" i="16" a="1"/>
  <c r="Z213" i="16" s="1"/>
  <c r="Y214" i="16" a="1"/>
  <c r="Y214" i="16" s="1"/>
  <c r="Z214" i="16" a="1"/>
  <c r="Z214" i="16" s="1"/>
  <c r="Y215" i="16" a="1"/>
  <c r="Y215" i="16" s="1"/>
  <c r="Z215" i="16" a="1"/>
  <c r="Z215" i="16" s="1"/>
  <c r="Y216" i="16" a="1"/>
  <c r="Y216" i="16" s="1"/>
  <c r="Z216" i="16" a="1"/>
  <c r="Z216" i="16" s="1"/>
  <c r="Y217" i="16" a="1"/>
  <c r="Y217" i="16" s="1"/>
  <c r="Z217" i="16" a="1"/>
  <c r="Z217" i="16" s="1"/>
  <c r="Y218" i="16" a="1"/>
  <c r="Y218" i="16" s="1"/>
  <c r="Z218" i="16" a="1"/>
  <c r="Z218" i="16" s="1"/>
  <c r="Y219" i="16" a="1"/>
  <c r="Y219" i="16" s="1"/>
  <c r="Z219" i="16" a="1"/>
  <c r="Z219" i="16" s="1"/>
  <c r="Y220" i="16" a="1"/>
  <c r="Y220" i="16" s="1"/>
  <c r="Z220" i="16" a="1"/>
  <c r="Z220" i="16" s="1"/>
  <c r="Y221" i="16" a="1"/>
  <c r="Y221" i="16" s="1"/>
  <c r="Z221" i="16" a="1"/>
  <c r="Z221" i="16" s="1"/>
  <c r="Y222" i="16" a="1"/>
  <c r="Y222" i="16" s="1"/>
  <c r="Z222" i="16" a="1"/>
  <c r="Z222" i="16" s="1"/>
  <c r="Y223" i="16" a="1"/>
  <c r="Y223" i="16" s="1"/>
  <c r="Z223" i="16" a="1"/>
  <c r="Z223" i="16" s="1"/>
  <c r="Y224" i="16" a="1"/>
  <c r="Y224" i="16" s="1"/>
  <c r="Z224" i="16" a="1"/>
  <c r="Z224" i="16" s="1"/>
  <c r="Y225" i="16" a="1"/>
  <c r="Y225" i="16" s="1"/>
  <c r="Z225" i="16" a="1"/>
  <c r="Z225" i="16" s="1"/>
  <c r="Y226" i="16" a="1"/>
  <c r="Y226" i="16" s="1"/>
  <c r="Z226" i="16" a="1"/>
  <c r="Z226" i="16" s="1"/>
  <c r="Y227" i="16" a="1"/>
  <c r="Y227" i="16" s="1"/>
  <c r="Z227" i="16" a="1"/>
  <c r="Z227" i="16" s="1"/>
  <c r="Y228" i="16" a="1"/>
  <c r="Y228" i="16" s="1"/>
  <c r="Z228" i="16" a="1"/>
  <c r="Z228" i="16" s="1"/>
  <c r="Y229" i="16" a="1"/>
  <c r="Y229" i="16" s="1"/>
  <c r="Z229" i="16" a="1"/>
  <c r="Z229" i="16" s="1"/>
  <c r="Y230" i="16" a="1"/>
  <c r="Y230" i="16" s="1"/>
  <c r="Z230" i="16" a="1"/>
  <c r="Z230" i="16" s="1"/>
  <c r="Y231" i="16" a="1"/>
  <c r="Y231" i="16" s="1"/>
  <c r="Z231" i="16" a="1"/>
  <c r="Z231" i="16" s="1"/>
  <c r="Y232" i="16" a="1"/>
  <c r="Y232" i="16" s="1"/>
  <c r="Z232" i="16" a="1"/>
  <c r="Z232" i="16" s="1"/>
  <c r="Y233" i="16" a="1"/>
  <c r="Y233" i="16" s="1"/>
  <c r="Z233" i="16" a="1"/>
  <c r="Z233" i="16" s="1"/>
  <c r="Y234" i="16" a="1"/>
  <c r="Y234" i="16" s="1"/>
  <c r="Z234" i="16" a="1"/>
  <c r="Z234" i="16" s="1"/>
  <c r="Y235" i="16" a="1"/>
  <c r="Y235" i="16" s="1"/>
  <c r="Z235" i="16" a="1"/>
  <c r="Z235" i="16" s="1"/>
  <c r="Y236" i="16" a="1"/>
  <c r="Y236" i="16" s="1"/>
  <c r="Z236" i="16" a="1"/>
  <c r="Z236" i="16" s="1"/>
  <c r="Y237" i="16" a="1"/>
  <c r="Y237" i="16" s="1"/>
  <c r="Z237" i="16" a="1"/>
  <c r="Z237" i="16" s="1"/>
  <c r="Y238" i="16" a="1"/>
  <c r="Y238" i="16" s="1"/>
  <c r="Z238" i="16" a="1"/>
  <c r="Z238" i="16" s="1"/>
  <c r="Y239" i="16" a="1"/>
  <c r="Y239" i="16" s="1"/>
  <c r="Z239" i="16" a="1"/>
  <c r="Z239" i="16" s="1"/>
  <c r="Y240" i="16" a="1"/>
  <c r="Y240" i="16" s="1"/>
  <c r="Z240" i="16" a="1"/>
  <c r="Z240" i="16" s="1"/>
  <c r="Y241" i="16" a="1"/>
  <c r="Y241" i="16" s="1"/>
  <c r="Z241" i="16" a="1"/>
  <c r="Z241" i="16" s="1"/>
  <c r="Y242" i="16" a="1"/>
  <c r="Y242" i="16" s="1"/>
  <c r="Z242" i="16" a="1"/>
  <c r="Z242" i="16" s="1"/>
  <c r="Y243" i="16" a="1"/>
  <c r="Y243" i="16" s="1"/>
  <c r="Z243" i="16" a="1"/>
  <c r="Z243" i="16" s="1"/>
  <c r="Y244" i="16" a="1"/>
  <c r="Y244" i="16" s="1"/>
  <c r="Z244" i="16" a="1"/>
  <c r="Z244" i="16" s="1"/>
  <c r="Y245" i="16" a="1"/>
  <c r="Y245" i="16" s="1"/>
  <c r="Z245" i="16" a="1"/>
  <c r="Z245" i="16" s="1"/>
  <c r="Y246" i="16" a="1"/>
  <c r="Y246" i="16" s="1"/>
  <c r="Z246" i="16" a="1"/>
  <c r="Z246" i="16" s="1"/>
  <c r="Y247" i="16" a="1"/>
  <c r="Y247" i="16" s="1"/>
  <c r="Z247" i="16" a="1"/>
  <c r="Z247" i="16" s="1"/>
  <c r="Y248" i="16" a="1"/>
  <c r="Y248" i="16" s="1"/>
  <c r="Z248" i="16" a="1"/>
  <c r="Z248" i="16" s="1"/>
  <c r="Y249" i="16" a="1"/>
  <c r="Y249" i="16" s="1"/>
  <c r="Z249" i="16" a="1"/>
  <c r="Z249" i="16" s="1"/>
  <c r="Y250" i="16" a="1"/>
  <c r="Y250" i="16" s="1"/>
  <c r="Z250" i="16" a="1"/>
  <c r="Z250" i="16" s="1"/>
  <c r="Y251" i="16" a="1"/>
  <c r="Y251" i="16" s="1"/>
  <c r="Z251" i="16" a="1"/>
  <c r="Z251" i="16" s="1"/>
  <c r="Y252" i="16" a="1"/>
  <c r="Y252" i="16" s="1"/>
  <c r="Z252" i="16" a="1"/>
  <c r="Z252" i="16" s="1"/>
  <c r="Y253" i="16" a="1"/>
  <c r="Y253" i="16" s="1"/>
  <c r="Z253" i="16" a="1"/>
  <c r="Z253" i="16" s="1"/>
  <c r="Y254" i="16" a="1"/>
  <c r="Y254" i="16" s="1"/>
  <c r="Z254" i="16" a="1"/>
  <c r="Z254" i="16" s="1"/>
  <c r="Y255" i="16" a="1"/>
  <c r="Y255" i="16" s="1"/>
  <c r="Z255" i="16" a="1"/>
  <c r="Z255" i="16" s="1"/>
  <c r="Y256" i="16" a="1"/>
  <c r="Y256" i="16" s="1"/>
  <c r="Z256" i="16" a="1"/>
  <c r="Z256" i="16" s="1"/>
  <c r="Y257" i="16" a="1"/>
  <c r="Y257" i="16" s="1"/>
  <c r="Z257" i="16" a="1"/>
  <c r="Z257" i="16" s="1"/>
  <c r="Y258" i="16" a="1"/>
  <c r="Y258" i="16" s="1"/>
  <c r="Z258" i="16" a="1"/>
  <c r="Z258" i="16" s="1"/>
  <c r="Y259" i="16" a="1"/>
  <c r="Y259" i="16" s="1"/>
  <c r="Z259" i="16" a="1"/>
  <c r="Z259" i="16" s="1"/>
  <c r="Y260" i="16" a="1"/>
  <c r="Y260" i="16" s="1"/>
  <c r="Z260" i="16" a="1"/>
  <c r="Z260" i="16" s="1"/>
  <c r="Y261" i="16" a="1"/>
  <c r="Y261" i="16" s="1"/>
  <c r="Z261" i="16" a="1"/>
  <c r="Z261" i="16" s="1"/>
  <c r="Y262" i="16" a="1"/>
  <c r="Y262" i="16" s="1"/>
  <c r="Z262" i="16" a="1"/>
  <c r="Z262" i="16" s="1"/>
  <c r="Y263" i="16" a="1"/>
  <c r="Y263" i="16" s="1"/>
  <c r="Z263" i="16" a="1"/>
  <c r="Z263" i="16" s="1"/>
  <c r="Y264" i="16" a="1"/>
  <c r="Y264" i="16" s="1"/>
  <c r="Z264" i="16" a="1"/>
  <c r="Z264" i="16" s="1"/>
  <c r="Y265" i="16" a="1"/>
  <c r="Y265" i="16" s="1"/>
  <c r="Z265" i="16" a="1"/>
  <c r="Z265" i="16" s="1"/>
  <c r="Y266" i="16" a="1"/>
  <c r="Y266" i="16" s="1"/>
  <c r="Z266" i="16" a="1"/>
  <c r="Z266" i="16" s="1"/>
  <c r="Y267" i="16" a="1"/>
  <c r="Y267" i="16" s="1"/>
  <c r="Z267" i="16" a="1"/>
  <c r="Z267" i="16" s="1"/>
  <c r="Y268" i="16" a="1"/>
  <c r="Y268" i="16" s="1"/>
  <c r="Z268" i="16" a="1"/>
  <c r="Z268" i="16" s="1"/>
  <c r="Y269" i="16" a="1"/>
  <c r="Y269" i="16" s="1"/>
  <c r="Z269" i="16" a="1"/>
  <c r="Z269" i="16" s="1"/>
  <c r="Y270" i="16" a="1"/>
  <c r="Y270" i="16" s="1"/>
  <c r="Z270" i="16" a="1"/>
  <c r="Z270" i="16" s="1"/>
  <c r="Y271" i="16" a="1"/>
  <c r="Y271" i="16" s="1"/>
  <c r="Z271" i="16" a="1"/>
  <c r="Z271" i="16" s="1"/>
  <c r="Y272" i="16" a="1"/>
  <c r="Y272" i="16" s="1"/>
  <c r="Z272" i="16" a="1"/>
  <c r="Z272" i="16" s="1"/>
  <c r="Y273" i="16" a="1"/>
  <c r="Y273" i="16" s="1"/>
  <c r="Z273" i="16" a="1"/>
  <c r="Z273" i="16" s="1"/>
  <c r="Y274" i="16" a="1"/>
  <c r="Y274" i="16" s="1"/>
  <c r="Z274" i="16" a="1"/>
  <c r="Z274" i="16" s="1"/>
  <c r="Y275" i="16" a="1"/>
  <c r="Y275" i="16" s="1"/>
  <c r="Z275" i="16" a="1"/>
  <c r="Z275" i="16" s="1"/>
  <c r="Y276" i="16" a="1"/>
  <c r="Y276" i="16" s="1"/>
  <c r="Z276" i="16" a="1"/>
  <c r="Z276" i="16" s="1"/>
  <c r="Y277" i="16" a="1"/>
  <c r="Y277" i="16" s="1"/>
  <c r="Z277" i="16" a="1"/>
  <c r="Z277" i="16" s="1"/>
  <c r="Y278" i="16" a="1"/>
  <c r="Y278" i="16" s="1"/>
  <c r="Z278" i="16" a="1"/>
  <c r="Z278" i="16" s="1"/>
  <c r="Y279" i="16" a="1"/>
  <c r="Y279" i="16" s="1"/>
  <c r="Z279" i="16" a="1"/>
  <c r="Z279" i="16" s="1"/>
  <c r="Y280" i="16" a="1"/>
  <c r="Y280" i="16" s="1"/>
  <c r="Z280" i="16" a="1"/>
  <c r="Z280" i="16" s="1"/>
  <c r="Y281" i="16" a="1"/>
  <c r="Y281" i="16" s="1"/>
  <c r="Z281" i="16" a="1"/>
  <c r="Z281" i="16" s="1"/>
  <c r="Y282" i="16" a="1"/>
  <c r="Y282" i="16" s="1"/>
  <c r="Z282" i="16" a="1"/>
  <c r="Z282" i="16" s="1"/>
  <c r="Y283" i="16" a="1"/>
  <c r="Y283" i="16" s="1"/>
  <c r="Z283" i="16" a="1"/>
  <c r="Z283" i="16" s="1"/>
  <c r="Y284" i="16" a="1"/>
  <c r="Y284" i="16" s="1"/>
  <c r="Z284" i="16" a="1"/>
  <c r="Z284" i="16" s="1"/>
  <c r="Y285" i="16" a="1"/>
  <c r="Y285" i="16" s="1"/>
  <c r="Z285" i="16" a="1"/>
  <c r="Z285" i="16" s="1"/>
  <c r="Y286" i="16" a="1"/>
  <c r="Y286" i="16" s="1"/>
  <c r="Z286" i="16" a="1"/>
  <c r="Z286" i="16" s="1"/>
  <c r="Y287" i="16" a="1"/>
  <c r="Y287" i="16" s="1"/>
  <c r="Z287" i="16" a="1"/>
  <c r="Z287" i="16" s="1"/>
  <c r="Y288" i="16" a="1"/>
  <c r="Y288" i="16" s="1"/>
  <c r="Z288" i="16" a="1"/>
  <c r="Z288" i="16" s="1"/>
  <c r="Y289" i="16" a="1"/>
  <c r="Y289" i="16" s="1"/>
  <c r="Z289" i="16" a="1"/>
  <c r="Z289" i="16" s="1"/>
  <c r="Y290" i="16" a="1"/>
  <c r="Y290" i="16" s="1"/>
  <c r="Z290" i="16" a="1"/>
  <c r="Z290" i="16" s="1"/>
  <c r="Y291" i="16" a="1"/>
  <c r="Y291" i="16" s="1"/>
  <c r="Z291" i="16" a="1"/>
  <c r="Z291" i="16" s="1"/>
  <c r="Y292" i="16" a="1"/>
  <c r="Y292" i="16" s="1"/>
  <c r="Z292" i="16" a="1"/>
  <c r="Z292" i="16" s="1"/>
  <c r="Y293" i="16" a="1"/>
  <c r="Y293" i="16" s="1"/>
  <c r="Z293" i="16" a="1"/>
  <c r="Z293" i="16" s="1"/>
  <c r="Y294" i="16" a="1"/>
  <c r="Y294" i="16" s="1"/>
  <c r="Z294" i="16" a="1"/>
  <c r="Z294" i="16" s="1"/>
  <c r="Y295" i="16" a="1"/>
  <c r="Y295" i="16" s="1"/>
  <c r="Z295" i="16" a="1"/>
  <c r="Z295" i="16" s="1"/>
  <c r="Y296" i="16" a="1"/>
  <c r="Y296" i="16" s="1"/>
  <c r="Z296" i="16" a="1"/>
  <c r="Z296" i="16" s="1"/>
  <c r="Y297" i="16" a="1"/>
  <c r="Y297" i="16" s="1"/>
  <c r="Z297" i="16" a="1"/>
  <c r="Z297" i="16" s="1"/>
  <c r="Y298" i="16" a="1"/>
  <c r="Y298" i="16" s="1"/>
  <c r="Z298" i="16" a="1"/>
  <c r="Z298" i="16" s="1"/>
  <c r="Y299" i="16" a="1"/>
  <c r="Y299" i="16" s="1"/>
  <c r="Z299" i="16" a="1"/>
  <c r="Z299" i="16" s="1"/>
  <c r="Y300" i="16" a="1"/>
  <c r="Y300" i="16" s="1"/>
  <c r="Z300" i="16" a="1"/>
  <c r="Z300" i="16" s="1"/>
  <c r="Y301" i="16" a="1"/>
  <c r="Y301" i="16" s="1"/>
  <c r="Z301" i="16" a="1"/>
  <c r="Z301" i="16" s="1"/>
  <c r="Y302" i="16" a="1"/>
  <c r="Y302" i="16" s="1"/>
  <c r="Z302" i="16" a="1"/>
  <c r="Z302" i="16" s="1"/>
  <c r="Y303" i="16" a="1"/>
  <c r="Y303" i="16" s="1"/>
  <c r="Z303" i="16" a="1"/>
  <c r="Z303" i="16" s="1"/>
  <c r="Y304" i="16" a="1"/>
  <c r="Y304" i="16" s="1"/>
  <c r="Z304" i="16" a="1"/>
  <c r="Z304" i="16" s="1"/>
  <c r="Y305" i="16" a="1"/>
  <c r="Y305" i="16" s="1"/>
  <c r="Z305" i="16" a="1"/>
  <c r="Z305" i="16" s="1"/>
  <c r="Y306" i="16" a="1"/>
  <c r="Y306" i="16" s="1"/>
  <c r="Z306" i="16" a="1"/>
  <c r="Z306" i="16" s="1"/>
  <c r="Y307" i="16" a="1"/>
  <c r="Y307" i="16" s="1"/>
  <c r="Z307" i="16" a="1"/>
  <c r="Z307" i="16" s="1"/>
  <c r="Y308" i="16" a="1"/>
  <c r="Y308" i="16" s="1"/>
  <c r="Z308" i="16" a="1"/>
  <c r="Z308" i="16" s="1"/>
  <c r="Y309" i="16" a="1"/>
  <c r="Y309" i="16" s="1"/>
  <c r="Z309" i="16" a="1"/>
  <c r="Z309" i="16" s="1"/>
  <c r="Y310" i="16" a="1"/>
  <c r="Y310" i="16" s="1"/>
  <c r="Z310" i="16" a="1"/>
  <c r="Z310" i="16" s="1"/>
  <c r="Y311" i="16" a="1"/>
  <c r="Y311" i="16" s="1"/>
  <c r="Z311" i="16" a="1"/>
  <c r="Z311" i="16" s="1"/>
  <c r="Y312" i="16" a="1"/>
  <c r="Y312" i="16" s="1"/>
  <c r="Z312" i="16" a="1"/>
  <c r="Z312" i="16" s="1"/>
  <c r="Y313" i="16" a="1"/>
  <c r="Y313" i="16" s="1"/>
  <c r="Z313" i="16" a="1"/>
  <c r="Z313" i="16" s="1"/>
  <c r="Y314" i="16" a="1"/>
  <c r="Y314" i="16" s="1"/>
  <c r="Z314" i="16" a="1"/>
  <c r="Z314" i="16" s="1"/>
  <c r="Y315" i="16" a="1"/>
  <c r="Y315" i="16" s="1"/>
  <c r="Z315" i="16" a="1"/>
  <c r="Z315" i="16" s="1"/>
  <c r="Y316" i="16" a="1"/>
  <c r="Y316" i="16" s="1"/>
  <c r="Z316" i="16" a="1"/>
  <c r="Z316" i="16" s="1"/>
  <c r="Y317" i="16" a="1"/>
  <c r="Y317" i="16" s="1"/>
  <c r="Z317" i="16" a="1"/>
  <c r="Z317" i="16" s="1"/>
  <c r="Y318" i="16" a="1"/>
  <c r="Y318" i="16" s="1"/>
  <c r="Z318" i="16" a="1"/>
  <c r="Z318" i="16" s="1"/>
  <c r="Y319" i="16" a="1"/>
  <c r="Y319" i="16" s="1"/>
  <c r="Z319" i="16" a="1"/>
  <c r="Z319" i="16" s="1"/>
  <c r="Y320" i="16" a="1"/>
  <c r="Y320" i="16" s="1"/>
  <c r="Z320" i="16" a="1"/>
  <c r="Z320" i="16" s="1"/>
  <c r="Y321" i="16" a="1"/>
  <c r="Y321" i="16" s="1"/>
  <c r="Z321" i="16" a="1"/>
  <c r="Z321" i="16" s="1"/>
  <c r="Y322" i="16" a="1"/>
  <c r="Y322" i="16" s="1"/>
  <c r="Z322" i="16" a="1"/>
  <c r="Z322" i="16" s="1"/>
  <c r="Y323" i="16" a="1"/>
  <c r="Y323" i="16" s="1"/>
  <c r="Z323" i="16" a="1"/>
  <c r="Z323" i="16" s="1"/>
  <c r="Y324" i="16" a="1"/>
  <c r="Y324" i="16" s="1"/>
  <c r="Z324" i="16" a="1"/>
  <c r="Z324" i="16" s="1"/>
  <c r="Y325" i="16" a="1"/>
  <c r="Y325" i="16" s="1"/>
  <c r="Z325" i="16" a="1"/>
  <c r="Z325" i="16" s="1"/>
  <c r="Y326" i="16" a="1"/>
  <c r="Y326" i="16" s="1"/>
  <c r="Z326" i="16" a="1"/>
  <c r="Z326" i="16" s="1"/>
  <c r="Y327" i="16" a="1"/>
  <c r="Y327" i="16" s="1"/>
  <c r="Z327" i="16" a="1"/>
  <c r="Z327" i="16" s="1"/>
  <c r="Y328" i="16" a="1"/>
  <c r="Y328" i="16" s="1"/>
  <c r="Z328" i="16" a="1"/>
  <c r="Z328" i="16" s="1"/>
  <c r="Y329" i="16" a="1"/>
  <c r="Y329" i="16" s="1"/>
  <c r="Z329" i="16" a="1"/>
  <c r="Z329" i="16" s="1"/>
  <c r="Y330" i="16" a="1"/>
  <c r="Y330" i="16" s="1"/>
  <c r="Z330" i="16" a="1"/>
  <c r="Z330" i="16" s="1"/>
  <c r="Y331" i="16" a="1"/>
  <c r="Y331" i="16" s="1"/>
  <c r="Z331" i="16" a="1"/>
  <c r="Z331" i="16" s="1"/>
  <c r="Y332" i="16" a="1"/>
  <c r="Y332" i="16" s="1"/>
  <c r="Z332" i="16" a="1"/>
  <c r="Z332" i="16" s="1"/>
  <c r="Y333" i="16" a="1"/>
  <c r="Y333" i="16" s="1"/>
  <c r="Z333" i="16" a="1"/>
  <c r="Z333" i="16" s="1"/>
  <c r="Y334" i="16" a="1"/>
  <c r="Y334" i="16" s="1"/>
  <c r="Z334" i="16" a="1"/>
  <c r="Z334" i="16" s="1"/>
  <c r="Y335" i="16" a="1"/>
  <c r="Y335" i="16" s="1"/>
  <c r="Z335" i="16" a="1"/>
  <c r="Z335" i="16" s="1"/>
  <c r="Y336" i="16" a="1"/>
  <c r="Y336" i="16" s="1"/>
  <c r="Z336" i="16" a="1"/>
  <c r="Z336" i="16" s="1"/>
  <c r="Y337" i="16" a="1"/>
  <c r="Y337" i="16" s="1"/>
  <c r="Z337" i="16" a="1"/>
  <c r="Z337" i="16" s="1"/>
  <c r="Y338" i="16" a="1"/>
  <c r="Y338" i="16" s="1"/>
  <c r="Z338" i="16" a="1"/>
  <c r="Z338" i="16" s="1"/>
  <c r="Y339" i="16" a="1"/>
  <c r="Y339" i="16" s="1"/>
  <c r="Z339" i="16" a="1"/>
  <c r="Z339" i="16" s="1"/>
  <c r="Y340" i="16" a="1"/>
  <c r="Y340" i="16" s="1"/>
  <c r="Z340" i="16" a="1"/>
  <c r="Z340" i="16" s="1"/>
  <c r="Y341" i="16" a="1"/>
  <c r="Y341" i="16" s="1"/>
  <c r="Z341" i="16" a="1"/>
  <c r="Z341" i="16" s="1"/>
  <c r="Y342" i="16" a="1"/>
  <c r="Y342" i="16" s="1"/>
  <c r="Z342" i="16" a="1"/>
  <c r="Z342" i="16" s="1"/>
  <c r="Y343" i="16" a="1"/>
  <c r="Y343" i="16" s="1"/>
  <c r="Z343" i="16" a="1"/>
  <c r="Z343" i="16" s="1"/>
  <c r="Y344" i="16" a="1"/>
  <c r="Y344" i="16" s="1"/>
  <c r="Z344" i="16" a="1"/>
  <c r="Z344" i="16" s="1"/>
  <c r="Y345" i="16" a="1"/>
  <c r="Y345" i="16" s="1"/>
  <c r="Z345" i="16" a="1"/>
  <c r="Z345" i="16" s="1"/>
  <c r="Y346" i="16" a="1"/>
  <c r="Y346" i="16" s="1"/>
  <c r="Z346" i="16" a="1"/>
  <c r="Z346" i="16" s="1"/>
  <c r="Y347" i="16" a="1"/>
  <c r="Y347" i="16" s="1"/>
  <c r="Z347" i="16" a="1"/>
  <c r="Z347" i="16" s="1"/>
  <c r="Y348" i="16" a="1"/>
  <c r="Y348" i="16" s="1"/>
  <c r="Z348" i="16" a="1"/>
  <c r="Z348" i="16" s="1"/>
  <c r="Y349" i="16" a="1"/>
  <c r="Y349" i="16" s="1"/>
  <c r="Z349" i="16" a="1"/>
  <c r="Z349" i="16" s="1"/>
  <c r="Y350" i="16" a="1"/>
  <c r="Y350" i="16" s="1"/>
  <c r="Z350" i="16" a="1"/>
  <c r="Z350" i="16" s="1"/>
  <c r="Y351" i="16" a="1"/>
  <c r="Y351" i="16" s="1"/>
  <c r="Z351" i="16" a="1"/>
  <c r="Z351" i="16" s="1"/>
  <c r="Y352" i="16" a="1"/>
  <c r="Y352" i="16" s="1"/>
  <c r="Z352" i="16" a="1"/>
  <c r="Z352" i="16" s="1"/>
  <c r="Y353" i="16" a="1"/>
  <c r="Y353" i="16" s="1"/>
  <c r="Z353" i="16" a="1"/>
  <c r="Z353" i="16" s="1"/>
  <c r="Y354" i="16" a="1"/>
  <c r="Y354" i="16" s="1"/>
  <c r="Z354" i="16" a="1"/>
  <c r="Z354" i="16" s="1"/>
  <c r="Y355" i="16" a="1"/>
  <c r="Y355" i="16" s="1"/>
  <c r="Z355" i="16" a="1"/>
  <c r="Z355" i="16" s="1"/>
  <c r="Y356" i="16" a="1"/>
  <c r="Y356" i="16" s="1"/>
  <c r="Z356" i="16" a="1"/>
  <c r="Z356" i="16" s="1"/>
  <c r="Y357" i="16" a="1"/>
  <c r="Y357" i="16" s="1"/>
  <c r="Z357" i="16" a="1"/>
  <c r="Z357" i="16" s="1"/>
  <c r="Y358" i="16" a="1"/>
  <c r="Y358" i="16" s="1"/>
  <c r="Z358" i="16" a="1"/>
  <c r="Z358" i="16" s="1"/>
  <c r="Y359" i="16" a="1"/>
  <c r="Y359" i="16" s="1"/>
  <c r="Z359" i="16" a="1"/>
  <c r="Z359" i="16" s="1"/>
  <c r="Y360" i="16" a="1"/>
  <c r="Y360" i="16" s="1"/>
  <c r="Z360" i="16" a="1"/>
  <c r="Z360" i="16" s="1"/>
  <c r="Y361" i="16" a="1"/>
  <c r="Y361" i="16" s="1"/>
  <c r="Z361" i="16" a="1"/>
  <c r="Z361" i="16" s="1"/>
  <c r="Y362" i="16" a="1"/>
  <c r="Y362" i="16" s="1"/>
  <c r="Z362" i="16" a="1"/>
  <c r="Z362" i="16" s="1"/>
  <c r="Y363" i="16" a="1"/>
  <c r="Y363" i="16" s="1"/>
  <c r="Z363" i="16" a="1"/>
  <c r="Z363" i="16" s="1"/>
  <c r="Y364" i="16" a="1"/>
  <c r="Y364" i="16" s="1"/>
  <c r="Z364" i="16" a="1"/>
  <c r="Z364" i="16" s="1"/>
  <c r="Y365" i="16" a="1"/>
  <c r="Y365" i="16" s="1"/>
  <c r="Z365" i="16" a="1"/>
  <c r="Z365" i="16" s="1"/>
  <c r="Y366" i="16" a="1"/>
  <c r="Y366" i="16" s="1"/>
  <c r="Z366" i="16" a="1"/>
  <c r="Z366" i="16" s="1"/>
  <c r="Y367" i="16" a="1"/>
  <c r="Y367" i="16" s="1"/>
  <c r="Z367" i="16" a="1"/>
  <c r="Z367" i="16" s="1"/>
  <c r="Y368" i="16" a="1"/>
  <c r="Y368" i="16" s="1"/>
  <c r="Z368" i="16" a="1"/>
  <c r="Z368" i="16" s="1"/>
  <c r="Y369" i="16" a="1"/>
  <c r="Y369" i="16" s="1"/>
  <c r="Z369" i="16" a="1"/>
  <c r="Z369" i="16" s="1"/>
  <c r="Y370" i="16" a="1"/>
  <c r="Y370" i="16" s="1"/>
  <c r="Z370" i="16" a="1"/>
  <c r="Z370" i="16" s="1"/>
  <c r="Y371" i="16" a="1"/>
  <c r="Y371" i="16" s="1"/>
  <c r="Z371" i="16" a="1"/>
  <c r="Z371" i="16" s="1"/>
  <c r="Y372" i="16" a="1"/>
  <c r="Y372" i="16" s="1"/>
  <c r="Z372" i="16" a="1"/>
  <c r="Z372" i="16" s="1"/>
  <c r="Y373" i="16" a="1"/>
  <c r="Y373" i="16" s="1"/>
  <c r="Z373" i="16" a="1"/>
  <c r="Z373" i="16" s="1"/>
  <c r="Y374" i="16" a="1"/>
  <c r="Y374" i="16" s="1"/>
  <c r="Z374" i="16" a="1"/>
  <c r="Z374" i="16" s="1"/>
  <c r="Y375" i="16" a="1"/>
  <c r="Y375" i="16" s="1"/>
  <c r="Z375" i="16" a="1"/>
  <c r="Z375" i="16" s="1"/>
  <c r="Y376" i="16" a="1"/>
  <c r="Y376" i="16" s="1"/>
  <c r="Z376" i="16" a="1"/>
  <c r="Z376" i="16" s="1"/>
  <c r="Y377" i="16" a="1"/>
  <c r="Y377" i="16" s="1"/>
  <c r="Z377" i="16" a="1"/>
  <c r="Z377" i="16" s="1"/>
  <c r="Y378" i="16" a="1"/>
  <c r="Y378" i="16" s="1"/>
  <c r="Z378" i="16" a="1"/>
  <c r="Z378" i="16" s="1"/>
  <c r="Y379" i="16" a="1"/>
  <c r="Y379" i="16" s="1"/>
  <c r="Z379" i="16" a="1"/>
  <c r="Z379" i="16" s="1"/>
  <c r="Y380" i="16" a="1"/>
  <c r="Y380" i="16" s="1"/>
  <c r="Z380" i="16" a="1"/>
  <c r="Z380" i="16" s="1"/>
  <c r="Y381" i="16" a="1"/>
  <c r="Y381" i="16" s="1"/>
  <c r="Z381" i="16" a="1"/>
  <c r="Z381" i="16" s="1"/>
  <c r="Y382" i="16" a="1"/>
  <c r="Y382" i="16" s="1"/>
  <c r="Z382" i="16" a="1"/>
  <c r="Z382" i="16" s="1"/>
  <c r="Y383" i="16" a="1"/>
  <c r="Y383" i="16" s="1"/>
  <c r="Z383" i="16" a="1"/>
  <c r="Z383" i="16" s="1"/>
  <c r="Y384" i="16" a="1"/>
  <c r="Y384" i="16" s="1"/>
  <c r="Z384" i="16" a="1"/>
  <c r="Z384" i="16" s="1"/>
  <c r="Y385" i="16" a="1"/>
  <c r="Y385" i="16" s="1"/>
  <c r="Z385" i="16" a="1"/>
  <c r="Z385" i="16" s="1"/>
  <c r="Y386" i="16" a="1"/>
  <c r="Y386" i="16" s="1"/>
  <c r="Z386" i="16" a="1"/>
  <c r="Z386" i="16" s="1"/>
  <c r="Y387" i="16" a="1"/>
  <c r="Y387" i="16" s="1"/>
  <c r="Z387" i="16" a="1"/>
  <c r="Z387" i="16" s="1"/>
  <c r="Y388" i="16" a="1"/>
  <c r="Y388" i="16" s="1"/>
  <c r="Z388" i="16" a="1"/>
  <c r="Z388" i="16" s="1"/>
  <c r="Y389" i="16" a="1"/>
  <c r="Y389" i="16" s="1"/>
  <c r="Z389" i="16" a="1"/>
  <c r="Z389" i="16" s="1"/>
  <c r="Y390" i="16" a="1"/>
  <c r="Y390" i="16" s="1"/>
  <c r="Z390" i="16" a="1"/>
  <c r="Z390" i="16" s="1"/>
  <c r="Y391" i="16" a="1"/>
  <c r="Y391" i="16" s="1"/>
  <c r="Z391" i="16" a="1"/>
  <c r="Z391" i="16" s="1"/>
  <c r="Y392" i="16" a="1"/>
  <c r="Y392" i="16" s="1"/>
  <c r="Z392" i="16" a="1"/>
  <c r="Z392" i="16" s="1"/>
  <c r="Y393" i="16" a="1"/>
  <c r="Y393" i="16" s="1"/>
  <c r="Z393" i="16" a="1"/>
  <c r="Z393" i="16" s="1"/>
  <c r="Y394" i="16" a="1"/>
  <c r="Y394" i="16" s="1"/>
  <c r="Z394" i="16" a="1"/>
  <c r="Z394" i="16" s="1"/>
  <c r="Z2" i="16" a="1"/>
  <c r="Z2" i="16" s="1"/>
  <c r="Y2" i="16" a="1"/>
  <c r="Y2" i="16" s="1"/>
  <c r="Y3" i="15" a="1"/>
  <c r="Y3" i="15" s="1"/>
  <c r="Z3" i="15" a="1"/>
  <c r="Z3" i="15" s="1"/>
  <c r="Y4" i="15" a="1"/>
  <c r="Y4" i="15" s="1"/>
  <c r="Z4" i="15" a="1"/>
  <c r="Z4" i="15" s="1"/>
  <c r="Y5" i="15" a="1"/>
  <c r="Y5" i="15" s="1"/>
  <c r="Z5" i="15" a="1"/>
  <c r="Z5" i="15" s="1"/>
  <c r="Y6" i="15" a="1"/>
  <c r="Y6" i="15" s="1"/>
  <c r="Z6" i="15" a="1"/>
  <c r="Z6" i="15" s="1"/>
  <c r="Y7" i="15" a="1"/>
  <c r="Y7" i="15" s="1"/>
  <c r="Z7" i="15" a="1"/>
  <c r="Z7" i="15" s="1"/>
  <c r="Y8" i="15" a="1"/>
  <c r="Y8" i="15" s="1"/>
  <c r="Z8" i="15" a="1"/>
  <c r="Z8" i="15" s="1"/>
  <c r="Y9" i="15" a="1"/>
  <c r="Y9" i="15" s="1"/>
  <c r="Z9" i="15" a="1"/>
  <c r="Z9" i="15" s="1"/>
  <c r="Y10" i="15" a="1"/>
  <c r="Y10" i="15" s="1"/>
  <c r="Z10" i="15" a="1"/>
  <c r="Z10" i="15" s="1"/>
  <c r="Y11" i="15" a="1"/>
  <c r="Y11" i="15" s="1"/>
  <c r="Z11" i="15" a="1"/>
  <c r="Z11" i="15" s="1"/>
  <c r="Y12" i="15" a="1"/>
  <c r="Y12" i="15" s="1"/>
  <c r="Z12" i="15" a="1"/>
  <c r="Z12" i="15" s="1"/>
  <c r="Y13" i="15" a="1"/>
  <c r="Y13" i="15" s="1"/>
  <c r="Z13" i="15" a="1"/>
  <c r="Z13" i="15" s="1"/>
  <c r="Y14" i="15" a="1"/>
  <c r="Y14" i="15" s="1"/>
  <c r="Z14" i="15" a="1"/>
  <c r="Z14" i="15" s="1"/>
  <c r="Y15" i="15" a="1"/>
  <c r="Y15" i="15" s="1"/>
  <c r="Z15" i="15" a="1"/>
  <c r="Z15" i="15" s="1"/>
  <c r="Y16" i="15" a="1"/>
  <c r="Y16" i="15" s="1"/>
  <c r="Z16" i="15" a="1"/>
  <c r="Z16" i="15" s="1"/>
  <c r="Y17" i="15" a="1"/>
  <c r="Y17" i="15" s="1"/>
  <c r="Z17" i="15" a="1"/>
  <c r="Z17" i="15" s="1"/>
  <c r="Y18" i="15" a="1"/>
  <c r="Y18" i="15" s="1"/>
  <c r="Z18" i="15" a="1"/>
  <c r="Z18" i="15" s="1"/>
  <c r="Y19" i="15" a="1"/>
  <c r="Y19" i="15" s="1"/>
  <c r="Z19" i="15" a="1"/>
  <c r="Z19" i="15" s="1"/>
  <c r="Y20" i="15" a="1"/>
  <c r="Y20" i="15" s="1"/>
  <c r="Z20" i="15" a="1"/>
  <c r="Z20" i="15" s="1"/>
  <c r="Y21" i="15" a="1"/>
  <c r="Y21" i="15" s="1"/>
  <c r="Z21" i="15" a="1"/>
  <c r="Z21" i="15" s="1"/>
  <c r="Y22" i="15" a="1"/>
  <c r="Y22" i="15" s="1"/>
  <c r="Z22" i="15" a="1"/>
  <c r="Z22" i="15" s="1"/>
  <c r="Y23" i="15" a="1"/>
  <c r="Y23" i="15" s="1"/>
  <c r="Z23" i="15" a="1"/>
  <c r="Z23" i="15" s="1"/>
  <c r="Y24" i="15" a="1"/>
  <c r="Y24" i="15" s="1"/>
  <c r="Z24" i="15" a="1"/>
  <c r="Z24" i="15" s="1"/>
  <c r="Y25" i="15" a="1"/>
  <c r="Y25" i="15" s="1"/>
  <c r="Z25" i="15" a="1"/>
  <c r="Z25" i="15" s="1"/>
  <c r="Y26" i="15" a="1"/>
  <c r="Y26" i="15" s="1"/>
  <c r="Z26" i="15" a="1"/>
  <c r="Z26" i="15" s="1"/>
  <c r="Y27" i="15" a="1"/>
  <c r="Y27" i="15" s="1"/>
  <c r="Z27" i="15" a="1"/>
  <c r="Z27" i="15" s="1"/>
  <c r="Y28" i="15" a="1"/>
  <c r="Y28" i="15" s="1"/>
  <c r="Z28" i="15" a="1"/>
  <c r="Z28" i="15" s="1"/>
  <c r="Y29" i="15" a="1"/>
  <c r="Y29" i="15" s="1"/>
  <c r="Z29" i="15" a="1"/>
  <c r="Z29" i="15" s="1"/>
  <c r="Y30" i="15" a="1"/>
  <c r="Y30" i="15" s="1"/>
  <c r="Z30" i="15" a="1"/>
  <c r="Z30" i="15" s="1"/>
  <c r="Y31" i="15" a="1"/>
  <c r="Y31" i="15" s="1"/>
  <c r="Z31" i="15" a="1"/>
  <c r="Z31" i="15" s="1"/>
  <c r="Y32" i="15" a="1"/>
  <c r="Y32" i="15" s="1"/>
  <c r="Z32" i="15" a="1"/>
  <c r="Z32" i="15" s="1"/>
  <c r="Y33" i="15" a="1"/>
  <c r="Y33" i="15" s="1"/>
  <c r="Z33" i="15" a="1"/>
  <c r="Z33" i="15" s="1"/>
  <c r="Y34" i="15" a="1"/>
  <c r="Y34" i="15" s="1"/>
  <c r="Z34" i="15" a="1"/>
  <c r="Z34" i="15" s="1"/>
  <c r="Y35" i="15" a="1"/>
  <c r="Y35" i="15" s="1"/>
  <c r="Z35" i="15" a="1"/>
  <c r="Z35" i="15" s="1"/>
  <c r="Y36" i="15" a="1"/>
  <c r="Y36" i="15" s="1"/>
  <c r="Z36" i="15" a="1"/>
  <c r="Z36" i="15" s="1"/>
  <c r="Y37" i="15" a="1"/>
  <c r="Y37" i="15" s="1"/>
  <c r="Z37" i="15" a="1"/>
  <c r="Z37" i="15" s="1"/>
  <c r="Y38" i="15" a="1"/>
  <c r="Y38" i="15" s="1"/>
  <c r="Z38" i="15" a="1"/>
  <c r="Z38" i="15" s="1"/>
  <c r="Y39" i="15" a="1"/>
  <c r="Y39" i="15" s="1"/>
  <c r="Z39" i="15" a="1"/>
  <c r="Z39" i="15" s="1"/>
  <c r="Y40" i="15" a="1"/>
  <c r="Y40" i="15" s="1"/>
  <c r="Z40" i="15" a="1"/>
  <c r="Z40" i="15" s="1"/>
  <c r="Y41" i="15" a="1"/>
  <c r="Y41" i="15" s="1"/>
  <c r="Z41" i="15" a="1"/>
  <c r="Z41" i="15" s="1"/>
  <c r="Y42" i="15" a="1"/>
  <c r="Y42" i="15" s="1"/>
  <c r="Z42" i="15" a="1"/>
  <c r="Z42" i="15" s="1"/>
  <c r="Y43" i="15" a="1"/>
  <c r="Y43" i="15" s="1"/>
  <c r="Z43" i="15" a="1"/>
  <c r="Z43" i="15" s="1"/>
  <c r="Y44" i="15" a="1"/>
  <c r="Y44" i="15" s="1"/>
  <c r="Z44" i="15" a="1"/>
  <c r="Z44" i="15" s="1"/>
  <c r="Y45" i="15" a="1"/>
  <c r="Y45" i="15" s="1"/>
  <c r="Z45" i="15" a="1"/>
  <c r="Z45" i="15" s="1"/>
  <c r="Y46" i="15" a="1"/>
  <c r="Y46" i="15" s="1"/>
  <c r="Z46" i="15" a="1"/>
  <c r="Z46" i="15" s="1"/>
  <c r="Y47" i="15" a="1"/>
  <c r="Y47" i="15" s="1"/>
  <c r="Z47" i="15" a="1"/>
  <c r="Z47" i="15" s="1"/>
  <c r="Y48" i="15" a="1"/>
  <c r="Y48" i="15" s="1"/>
  <c r="Z48" i="15" a="1"/>
  <c r="Z48" i="15" s="1"/>
  <c r="Y49" i="15" a="1"/>
  <c r="Y49" i="15" s="1"/>
  <c r="Z49" i="15" a="1"/>
  <c r="Z49" i="15" s="1"/>
  <c r="Y50" i="15" a="1"/>
  <c r="Y50" i="15" s="1"/>
  <c r="Z50" i="15" a="1"/>
  <c r="Z50" i="15" s="1"/>
  <c r="Y51" i="15" a="1"/>
  <c r="Y51" i="15" s="1"/>
  <c r="Z51" i="15" a="1"/>
  <c r="Z51" i="15" s="1"/>
  <c r="Y52" i="15" a="1"/>
  <c r="Y52" i="15" s="1"/>
  <c r="Z52" i="15" a="1"/>
  <c r="Z52" i="15" s="1"/>
  <c r="Y53" i="15" a="1"/>
  <c r="Y53" i="15" s="1"/>
  <c r="Z53" i="15" a="1"/>
  <c r="Z53" i="15" s="1"/>
  <c r="Y54" i="15" a="1"/>
  <c r="Y54" i="15" s="1"/>
  <c r="Z54" i="15" a="1"/>
  <c r="Z54" i="15" s="1"/>
  <c r="Y55" i="15" a="1"/>
  <c r="Y55" i="15" s="1"/>
  <c r="Z55" i="15" a="1"/>
  <c r="Z55" i="15" s="1"/>
  <c r="Y56" i="15" a="1"/>
  <c r="Y56" i="15" s="1"/>
  <c r="Z56" i="15" a="1"/>
  <c r="Z56" i="15" s="1"/>
  <c r="Y57" i="15" a="1"/>
  <c r="Y57" i="15" s="1"/>
  <c r="Z57" i="15" a="1"/>
  <c r="Z57" i="15" s="1"/>
  <c r="Y58" i="15" a="1"/>
  <c r="Y58" i="15" s="1"/>
  <c r="Z58" i="15" a="1"/>
  <c r="Z58" i="15" s="1"/>
  <c r="Y59" i="15" a="1"/>
  <c r="Y59" i="15" s="1"/>
  <c r="Z59" i="15" a="1"/>
  <c r="Z59" i="15" s="1"/>
  <c r="Y60" i="15" a="1"/>
  <c r="Y60" i="15" s="1"/>
  <c r="Z60" i="15" a="1"/>
  <c r="Z60" i="15" s="1"/>
  <c r="Y61" i="15" a="1"/>
  <c r="Y61" i="15" s="1"/>
  <c r="Z61" i="15" a="1"/>
  <c r="Z61" i="15" s="1"/>
  <c r="Y62" i="15" a="1"/>
  <c r="Y62" i="15" s="1"/>
  <c r="Z62" i="15" a="1"/>
  <c r="Z62" i="15" s="1"/>
  <c r="Y63" i="15" a="1"/>
  <c r="Y63" i="15" s="1"/>
  <c r="Z63" i="15" a="1"/>
  <c r="Z63" i="15" s="1"/>
  <c r="Y64" i="15" a="1"/>
  <c r="Y64" i="15" s="1"/>
  <c r="Z64" i="15" a="1"/>
  <c r="Z64" i="15" s="1"/>
  <c r="Y65" i="15" a="1"/>
  <c r="Y65" i="15" s="1"/>
  <c r="Z65" i="15" a="1"/>
  <c r="Z65" i="15" s="1"/>
  <c r="Y66" i="15" a="1"/>
  <c r="Y66" i="15" s="1"/>
  <c r="Z66" i="15" a="1"/>
  <c r="Z66" i="15" s="1"/>
  <c r="Y67" i="15" a="1"/>
  <c r="Y67" i="15" s="1"/>
  <c r="Z67" i="15" a="1"/>
  <c r="Z67" i="15" s="1"/>
  <c r="Y68" i="15" a="1"/>
  <c r="Y68" i="15" s="1"/>
  <c r="Z68" i="15" a="1"/>
  <c r="Z68" i="15" s="1"/>
  <c r="Y69" i="15" a="1"/>
  <c r="Y69" i="15" s="1"/>
  <c r="Z69" i="15" a="1"/>
  <c r="Z69" i="15" s="1"/>
  <c r="Y70" i="15" a="1"/>
  <c r="Y70" i="15" s="1"/>
  <c r="Z70" i="15" a="1"/>
  <c r="Z70" i="15" s="1"/>
  <c r="Y71" i="15" a="1"/>
  <c r="Y71" i="15" s="1"/>
  <c r="Z71" i="15" a="1"/>
  <c r="Z71" i="15" s="1"/>
  <c r="Y72" i="15" a="1"/>
  <c r="Y72" i="15" s="1"/>
  <c r="Z72" i="15" a="1"/>
  <c r="Z72" i="15" s="1"/>
  <c r="Y73" i="15" a="1"/>
  <c r="Y73" i="15" s="1"/>
  <c r="Z73" i="15" a="1"/>
  <c r="Z73" i="15" s="1"/>
  <c r="Y74" i="15" a="1"/>
  <c r="Y74" i="15" s="1"/>
  <c r="Z74" i="15" a="1"/>
  <c r="Z74" i="15" s="1"/>
  <c r="Y75" i="15" a="1"/>
  <c r="Y75" i="15" s="1"/>
  <c r="Z75" i="15" a="1"/>
  <c r="Z75" i="15" s="1"/>
  <c r="Y76" i="15" a="1"/>
  <c r="Y76" i="15" s="1"/>
  <c r="Z76" i="15" a="1"/>
  <c r="Z76" i="15" s="1"/>
  <c r="Y77" i="15" a="1"/>
  <c r="Y77" i="15" s="1"/>
  <c r="Z77" i="15" a="1"/>
  <c r="Z77" i="15" s="1"/>
  <c r="Y78" i="15" a="1"/>
  <c r="Y78" i="15" s="1"/>
  <c r="Z78" i="15" a="1"/>
  <c r="Z78" i="15" s="1"/>
  <c r="Y79" i="15" a="1"/>
  <c r="Y79" i="15" s="1"/>
  <c r="Z79" i="15" a="1"/>
  <c r="Z79" i="15" s="1"/>
  <c r="Y80" i="15" a="1"/>
  <c r="Y80" i="15" s="1"/>
  <c r="Z80" i="15" a="1"/>
  <c r="Z80" i="15" s="1"/>
  <c r="Y81" i="15" a="1"/>
  <c r="Y81" i="15" s="1"/>
  <c r="Z81" i="15" a="1"/>
  <c r="Z81" i="15" s="1"/>
  <c r="Y82" i="15" a="1"/>
  <c r="Y82" i="15" s="1"/>
  <c r="Z82" i="15" a="1"/>
  <c r="Z82" i="15" s="1"/>
  <c r="Y83" i="15" a="1"/>
  <c r="Y83" i="15" s="1"/>
  <c r="Z83" i="15" a="1"/>
  <c r="Z83" i="15" s="1"/>
  <c r="Y84" i="15" a="1"/>
  <c r="Y84" i="15" s="1"/>
  <c r="Z84" i="15" a="1"/>
  <c r="Z84" i="15" s="1"/>
  <c r="Y85" i="15" a="1"/>
  <c r="Y85" i="15" s="1"/>
  <c r="Z85" i="15" a="1"/>
  <c r="Z85" i="15" s="1"/>
  <c r="Y86" i="15" a="1"/>
  <c r="Y86" i="15" s="1"/>
  <c r="Z86" i="15" a="1"/>
  <c r="Z86" i="15" s="1"/>
  <c r="Y87" i="15" a="1"/>
  <c r="Y87" i="15" s="1"/>
  <c r="Z87" i="15" a="1"/>
  <c r="Z87" i="15" s="1"/>
  <c r="Y88" i="15" a="1"/>
  <c r="Y88" i="15" s="1"/>
  <c r="Z88" i="15" a="1"/>
  <c r="Z88" i="15" s="1"/>
  <c r="Y89" i="15" a="1"/>
  <c r="Y89" i="15" s="1"/>
  <c r="Z89" i="15" a="1"/>
  <c r="Z89" i="15" s="1"/>
  <c r="Y90" i="15" a="1"/>
  <c r="Y90" i="15" s="1"/>
  <c r="Z90" i="15" a="1"/>
  <c r="Z90" i="15" s="1"/>
  <c r="Y91" i="15" a="1"/>
  <c r="Y91" i="15" s="1"/>
  <c r="Z91" i="15" a="1"/>
  <c r="Z91" i="15" s="1"/>
  <c r="Y92" i="15" a="1"/>
  <c r="Y92" i="15" s="1"/>
  <c r="Z92" i="15" a="1"/>
  <c r="Z92" i="15" s="1"/>
  <c r="Y93" i="15" a="1"/>
  <c r="Y93" i="15" s="1"/>
  <c r="Z93" i="15" a="1"/>
  <c r="Z93" i="15" s="1"/>
  <c r="Y94" i="15" a="1"/>
  <c r="Y94" i="15" s="1"/>
  <c r="Z94" i="15" a="1"/>
  <c r="Z94" i="15" s="1"/>
  <c r="Y95" i="15" a="1"/>
  <c r="Y95" i="15" s="1"/>
  <c r="Z95" i="15" a="1"/>
  <c r="Z95" i="15" s="1"/>
  <c r="Y96" i="15" a="1"/>
  <c r="Y96" i="15" s="1"/>
  <c r="Z96" i="15" a="1"/>
  <c r="Z96" i="15" s="1"/>
  <c r="Y97" i="15" a="1"/>
  <c r="Y97" i="15" s="1"/>
  <c r="Z97" i="15" a="1"/>
  <c r="Z97" i="15" s="1"/>
  <c r="Y98" i="15" a="1"/>
  <c r="Y98" i="15" s="1"/>
  <c r="Z98" i="15" a="1"/>
  <c r="Z98" i="15" s="1"/>
  <c r="Y99" i="15" a="1"/>
  <c r="Y99" i="15" s="1"/>
  <c r="Z99" i="15" a="1"/>
  <c r="Z99" i="15" s="1"/>
  <c r="Y100" i="15" a="1"/>
  <c r="Y100" i="15" s="1"/>
  <c r="Z100" i="15" a="1"/>
  <c r="Z100" i="15" s="1"/>
  <c r="Y101" i="15" a="1"/>
  <c r="Y101" i="15" s="1"/>
  <c r="Z101" i="15" a="1"/>
  <c r="Z101" i="15" s="1"/>
  <c r="Y102" i="15" a="1"/>
  <c r="Y102" i="15" s="1"/>
  <c r="Z102" i="15" a="1"/>
  <c r="Z102" i="15" s="1"/>
  <c r="Y103" i="15" a="1"/>
  <c r="Y103" i="15" s="1"/>
  <c r="Z103" i="15" a="1"/>
  <c r="Z103" i="15" s="1"/>
  <c r="Y104" i="15" a="1"/>
  <c r="Y104" i="15" s="1"/>
  <c r="Z104" i="15" a="1"/>
  <c r="Z104" i="15" s="1"/>
  <c r="Y105" i="15" a="1"/>
  <c r="Y105" i="15" s="1"/>
  <c r="Z105" i="15" a="1"/>
  <c r="Z105" i="15" s="1"/>
  <c r="Y106" i="15" a="1"/>
  <c r="Y106" i="15" s="1"/>
  <c r="Z106" i="15" a="1"/>
  <c r="Z106" i="15" s="1"/>
  <c r="Y107" i="15" a="1"/>
  <c r="Y107" i="15" s="1"/>
  <c r="Z107" i="15" a="1"/>
  <c r="Z107" i="15" s="1"/>
  <c r="Y108" i="15" a="1"/>
  <c r="Y108" i="15" s="1"/>
  <c r="Z108" i="15" a="1"/>
  <c r="Z108" i="15" s="1"/>
  <c r="Y109" i="15" a="1"/>
  <c r="Y109" i="15" s="1"/>
  <c r="Z109" i="15" a="1"/>
  <c r="Z109" i="15" s="1"/>
  <c r="Y110" i="15" a="1"/>
  <c r="Y110" i="15" s="1"/>
  <c r="Z110" i="15" a="1"/>
  <c r="Z110" i="15" s="1"/>
  <c r="Y111" i="15" a="1"/>
  <c r="Y111" i="15" s="1"/>
  <c r="Z111" i="15" a="1"/>
  <c r="Z111" i="15" s="1"/>
  <c r="Y112" i="15" a="1"/>
  <c r="Y112" i="15" s="1"/>
  <c r="Z112" i="15" a="1"/>
  <c r="Z112" i="15" s="1"/>
  <c r="Y113" i="15" a="1"/>
  <c r="Y113" i="15" s="1"/>
  <c r="Z113" i="15" a="1"/>
  <c r="Z113" i="15" s="1"/>
  <c r="Y114" i="15" a="1"/>
  <c r="Y114" i="15" s="1"/>
  <c r="Z114" i="15" a="1"/>
  <c r="Z114" i="15" s="1"/>
  <c r="Y115" i="15" a="1"/>
  <c r="Y115" i="15" s="1"/>
  <c r="Z115" i="15" a="1"/>
  <c r="Z115" i="15" s="1"/>
  <c r="Y116" i="15" a="1"/>
  <c r="Y116" i="15" s="1"/>
  <c r="Z116" i="15" a="1"/>
  <c r="Z116" i="15" s="1"/>
  <c r="Y117" i="15" a="1"/>
  <c r="Y117" i="15" s="1"/>
  <c r="Z117" i="15" a="1"/>
  <c r="Z117" i="15" s="1"/>
  <c r="Y118" i="15" a="1"/>
  <c r="Y118" i="15" s="1"/>
  <c r="Z118" i="15" a="1"/>
  <c r="Z118" i="15" s="1"/>
  <c r="Y119" i="15" a="1"/>
  <c r="Y119" i="15" s="1"/>
  <c r="Z119" i="15" a="1"/>
  <c r="Z119" i="15" s="1"/>
  <c r="Y120" i="15" a="1"/>
  <c r="Y120" i="15" s="1"/>
  <c r="Z120" i="15" a="1"/>
  <c r="Z120" i="15" s="1"/>
  <c r="Y121" i="15" a="1"/>
  <c r="Y121" i="15" s="1"/>
  <c r="Z121" i="15" a="1"/>
  <c r="Z121" i="15" s="1"/>
  <c r="Y122" i="15" a="1"/>
  <c r="Y122" i="15" s="1"/>
  <c r="Z122" i="15" a="1"/>
  <c r="Z122" i="15" s="1"/>
  <c r="Y123" i="15" a="1"/>
  <c r="Y123" i="15" s="1"/>
  <c r="Z123" i="15" a="1"/>
  <c r="Z123" i="15" s="1"/>
  <c r="Y124" i="15" a="1"/>
  <c r="Y124" i="15" s="1"/>
  <c r="Z124" i="15" a="1"/>
  <c r="Z124" i="15" s="1"/>
  <c r="Y125" i="15" a="1"/>
  <c r="Y125" i="15" s="1"/>
  <c r="Z125" i="15" a="1"/>
  <c r="Z125" i="15" s="1"/>
  <c r="Y126" i="15" a="1"/>
  <c r="Y126" i="15" s="1"/>
  <c r="Z126" i="15" a="1"/>
  <c r="Z126" i="15" s="1"/>
  <c r="Y127" i="15" a="1"/>
  <c r="Y127" i="15" s="1"/>
  <c r="Z127" i="15" a="1"/>
  <c r="Z127" i="15" s="1"/>
  <c r="Y128" i="15" a="1"/>
  <c r="Y128" i="15" s="1"/>
  <c r="Z128" i="15" a="1"/>
  <c r="Z128" i="15" s="1"/>
  <c r="Y129" i="15" a="1"/>
  <c r="Y129" i="15" s="1"/>
  <c r="Z129" i="15" a="1"/>
  <c r="Z129" i="15" s="1"/>
  <c r="Y130" i="15" a="1"/>
  <c r="Y130" i="15" s="1"/>
  <c r="Z130" i="15" a="1"/>
  <c r="Z130" i="15" s="1"/>
  <c r="Y131" i="15" a="1"/>
  <c r="Y131" i="15" s="1"/>
  <c r="Z131" i="15" a="1"/>
  <c r="Z131" i="15" s="1"/>
  <c r="Y132" i="15" a="1"/>
  <c r="Y132" i="15" s="1"/>
  <c r="Z132" i="15" a="1"/>
  <c r="Z132" i="15" s="1"/>
  <c r="Y133" i="15" a="1"/>
  <c r="Y133" i="15" s="1"/>
  <c r="Z133" i="15" a="1"/>
  <c r="Z133" i="15" s="1"/>
  <c r="Y134" i="15" a="1"/>
  <c r="Y134" i="15" s="1"/>
  <c r="Z134" i="15" a="1"/>
  <c r="Z134" i="15" s="1"/>
  <c r="Y135" i="15" a="1"/>
  <c r="Y135" i="15" s="1"/>
  <c r="Z135" i="15" a="1"/>
  <c r="Z135" i="15" s="1"/>
  <c r="Y136" i="15" a="1"/>
  <c r="Y136" i="15" s="1"/>
  <c r="Z136" i="15" a="1"/>
  <c r="Z136" i="15" s="1"/>
  <c r="Y137" i="15" a="1"/>
  <c r="Y137" i="15" s="1"/>
  <c r="Z137" i="15" a="1"/>
  <c r="Z137" i="15" s="1"/>
  <c r="Y138" i="15" a="1"/>
  <c r="Y138" i="15" s="1"/>
  <c r="Z138" i="15" a="1"/>
  <c r="Z138" i="15" s="1"/>
  <c r="Y139" i="15" a="1"/>
  <c r="Y139" i="15" s="1"/>
  <c r="Z139" i="15" a="1"/>
  <c r="Z139" i="15" s="1"/>
  <c r="Y140" i="15" a="1"/>
  <c r="Y140" i="15" s="1"/>
  <c r="Z140" i="15" a="1"/>
  <c r="Z140" i="15" s="1"/>
  <c r="Y141" i="15" a="1"/>
  <c r="Y141" i="15" s="1"/>
  <c r="Z141" i="15" a="1"/>
  <c r="Z141" i="15" s="1"/>
  <c r="Y142" i="15" a="1"/>
  <c r="Y142" i="15" s="1"/>
  <c r="Z142" i="15" a="1"/>
  <c r="Z142" i="15" s="1"/>
  <c r="Y143" i="15" a="1"/>
  <c r="Y143" i="15" s="1"/>
  <c r="Z143" i="15" a="1"/>
  <c r="Z143" i="15" s="1"/>
  <c r="Y144" i="15" a="1"/>
  <c r="Y144" i="15" s="1"/>
  <c r="Z144" i="15" a="1"/>
  <c r="Z144" i="15" s="1"/>
  <c r="Y145" i="15" a="1"/>
  <c r="Y145" i="15" s="1"/>
  <c r="Z145" i="15" a="1"/>
  <c r="Z145" i="15" s="1"/>
  <c r="Y146" i="15" a="1"/>
  <c r="Y146" i="15" s="1"/>
  <c r="Z146" i="15" a="1"/>
  <c r="Z146" i="15" s="1"/>
  <c r="Y147" i="15" a="1"/>
  <c r="Y147" i="15" s="1"/>
  <c r="Z147" i="15" a="1"/>
  <c r="Z147" i="15" s="1"/>
  <c r="Y148" i="15" a="1"/>
  <c r="Y148" i="15" s="1"/>
  <c r="Z148" i="15" a="1"/>
  <c r="Z148" i="15" s="1"/>
  <c r="Y149" i="15" a="1"/>
  <c r="Y149" i="15" s="1"/>
  <c r="Z149" i="15" a="1"/>
  <c r="Z149" i="15" s="1"/>
  <c r="Y150" i="15" a="1"/>
  <c r="Y150" i="15" s="1"/>
  <c r="Z150" i="15" a="1"/>
  <c r="Z150" i="15" s="1"/>
  <c r="Y151" i="15" a="1"/>
  <c r="Y151" i="15" s="1"/>
  <c r="Z151" i="15" a="1"/>
  <c r="Z151" i="15" s="1"/>
  <c r="Y152" i="15" a="1"/>
  <c r="Y152" i="15" s="1"/>
  <c r="Z152" i="15" a="1"/>
  <c r="Z152" i="15" s="1"/>
  <c r="Y153" i="15" a="1"/>
  <c r="Y153" i="15" s="1"/>
  <c r="Z153" i="15" a="1"/>
  <c r="Z153" i="15" s="1"/>
  <c r="Y154" i="15" a="1"/>
  <c r="Y154" i="15" s="1"/>
  <c r="Z154" i="15" a="1"/>
  <c r="Z154" i="15" s="1"/>
  <c r="Y155" i="15" a="1"/>
  <c r="Y155" i="15" s="1"/>
  <c r="Z155" i="15" a="1"/>
  <c r="Z155" i="15" s="1"/>
  <c r="Y156" i="15" a="1"/>
  <c r="Y156" i="15" s="1"/>
  <c r="Z156" i="15" a="1"/>
  <c r="Z156" i="15" s="1"/>
  <c r="Y157" i="15" a="1"/>
  <c r="Y157" i="15" s="1"/>
  <c r="Z157" i="15" a="1"/>
  <c r="Z157" i="15" s="1"/>
  <c r="Y158" i="15" a="1"/>
  <c r="Y158" i="15" s="1"/>
  <c r="Z158" i="15" a="1"/>
  <c r="Z158" i="15" s="1"/>
  <c r="Y159" i="15" a="1"/>
  <c r="Y159" i="15" s="1"/>
  <c r="Z159" i="15" a="1"/>
  <c r="Z159" i="15" s="1"/>
  <c r="Y160" i="15" a="1"/>
  <c r="Y160" i="15" s="1"/>
  <c r="Z160" i="15" a="1"/>
  <c r="Z160" i="15" s="1"/>
  <c r="Y161" i="15" a="1"/>
  <c r="Y161" i="15" s="1"/>
  <c r="Z161" i="15" a="1"/>
  <c r="Z161" i="15" s="1"/>
  <c r="Y162" i="15" a="1"/>
  <c r="Y162" i="15" s="1"/>
  <c r="Z162" i="15" a="1"/>
  <c r="Z162" i="15" s="1"/>
  <c r="Y163" i="15" a="1"/>
  <c r="Y163" i="15" s="1"/>
  <c r="Z163" i="15" a="1"/>
  <c r="Z163" i="15" s="1"/>
  <c r="Y164" i="15" a="1"/>
  <c r="Y164" i="15" s="1"/>
  <c r="Z164" i="15" a="1"/>
  <c r="Z164" i="15" s="1"/>
  <c r="Y165" i="15" a="1"/>
  <c r="Y165" i="15" s="1"/>
  <c r="Z165" i="15" a="1"/>
  <c r="Z165" i="15" s="1"/>
  <c r="Y166" i="15" a="1"/>
  <c r="Y166" i="15" s="1"/>
  <c r="Z166" i="15" a="1"/>
  <c r="Z166" i="15" s="1"/>
  <c r="Y167" i="15" a="1"/>
  <c r="Y167" i="15" s="1"/>
  <c r="Z167" i="15" a="1"/>
  <c r="Z167" i="15" s="1"/>
  <c r="Y168" i="15" a="1"/>
  <c r="Y168" i="15" s="1"/>
  <c r="Z168" i="15" a="1"/>
  <c r="Z168" i="15" s="1"/>
  <c r="Y169" i="15" a="1"/>
  <c r="Y169" i="15" s="1"/>
  <c r="Z169" i="15" a="1"/>
  <c r="Z169" i="15" s="1"/>
  <c r="Y170" i="15" a="1"/>
  <c r="Y170" i="15" s="1"/>
  <c r="Z170" i="15" a="1"/>
  <c r="Z170" i="15" s="1"/>
  <c r="Y171" i="15" a="1"/>
  <c r="Y171" i="15" s="1"/>
  <c r="Z171" i="15" a="1"/>
  <c r="Z171" i="15" s="1"/>
  <c r="Y172" i="15" a="1"/>
  <c r="Y172" i="15" s="1"/>
  <c r="Z172" i="15" a="1"/>
  <c r="Z172" i="15" s="1"/>
  <c r="Y173" i="15" a="1"/>
  <c r="Y173" i="15" s="1"/>
  <c r="Z173" i="15" a="1"/>
  <c r="Z173" i="15" s="1"/>
  <c r="Y174" i="15" a="1"/>
  <c r="Y174" i="15" s="1"/>
  <c r="Z174" i="15" a="1"/>
  <c r="Z174" i="15" s="1"/>
  <c r="Y175" i="15" a="1"/>
  <c r="Y175" i="15" s="1"/>
  <c r="Z175" i="15" a="1"/>
  <c r="Z175" i="15" s="1"/>
  <c r="Y176" i="15" a="1"/>
  <c r="Y176" i="15" s="1"/>
  <c r="Z176" i="15" a="1"/>
  <c r="Z176" i="15" s="1"/>
  <c r="Y177" i="15" a="1"/>
  <c r="Y177" i="15" s="1"/>
  <c r="Z177" i="15" a="1"/>
  <c r="Z177" i="15" s="1"/>
  <c r="Y178" i="15" a="1"/>
  <c r="Y178" i="15" s="1"/>
  <c r="Z178" i="15" a="1"/>
  <c r="Z178" i="15" s="1"/>
  <c r="Y179" i="15" a="1"/>
  <c r="Y179" i="15" s="1"/>
  <c r="Z179" i="15" a="1"/>
  <c r="Z179" i="15" s="1"/>
  <c r="Y180" i="15" a="1"/>
  <c r="Y180" i="15" s="1"/>
  <c r="Z180" i="15" a="1"/>
  <c r="Z180" i="15" s="1"/>
  <c r="Y181" i="15" a="1"/>
  <c r="Y181" i="15" s="1"/>
  <c r="Z181" i="15" a="1"/>
  <c r="Z181" i="15" s="1"/>
  <c r="Y182" i="15" a="1"/>
  <c r="Y182" i="15" s="1"/>
  <c r="Z182" i="15" a="1"/>
  <c r="Z182" i="15" s="1"/>
  <c r="Y183" i="15" a="1"/>
  <c r="Y183" i="15" s="1"/>
  <c r="Z183" i="15" a="1"/>
  <c r="Z183" i="15" s="1"/>
  <c r="Y184" i="15" a="1"/>
  <c r="Y184" i="15" s="1"/>
  <c r="Z184" i="15" a="1"/>
  <c r="Z184" i="15" s="1"/>
  <c r="Y185" i="15" a="1"/>
  <c r="Y185" i="15" s="1"/>
  <c r="Z185" i="15" a="1"/>
  <c r="Z185" i="15" s="1"/>
  <c r="Y186" i="15" a="1"/>
  <c r="Y186" i="15" s="1"/>
  <c r="Z186" i="15" a="1"/>
  <c r="Z186" i="15" s="1"/>
  <c r="Y187" i="15" a="1"/>
  <c r="Y187" i="15" s="1"/>
  <c r="Z187" i="15" a="1"/>
  <c r="Z187" i="15" s="1"/>
  <c r="Y188" i="15" a="1"/>
  <c r="Y188" i="15" s="1"/>
  <c r="Z188" i="15" a="1"/>
  <c r="Z188" i="15" s="1"/>
  <c r="Y189" i="15" a="1"/>
  <c r="Y189" i="15" s="1"/>
  <c r="Z189" i="15" a="1"/>
  <c r="Z189" i="15" s="1"/>
  <c r="Y190" i="15" a="1"/>
  <c r="Y190" i="15" s="1"/>
  <c r="Z190" i="15" a="1"/>
  <c r="Z190" i="15" s="1"/>
  <c r="Y191" i="15" a="1"/>
  <c r="Y191" i="15" s="1"/>
  <c r="Z191" i="15" a="1"/>
  <c r="Z191" i="15" s="1"/>
  <c r="Y192" i="15" a="1"/>
  <c r="Y192" i="15" s="1"/>
  <c r="Z192" i="15" a="1"/>
  <c r="Z192" i="15" s="1"/>
  <c r="Y193" i="15" a="1"/>
  <c r="Y193" i="15" s="1"/>
  <c r="Z193" i="15" a="1"/>
  <c r="Z193" i="15" s="1"/>
  <c r="Y194" i="15" a="1"/>
  <c r="Y194" i="15" s="1"/>
  <c r="Z194" i="15" a="1"/>
  <c r="Z194" i="15" s="1"/>
  <c r="Y195" i="15" a="1"/>
  <c r="Y195" i="15" s="1"/>
  <c r="Z195" i="15" a="1"/>
  <c r="Z195" i="15" s="1"/>
  <c r="Y196" i="15" a="1"/>
  <c r="Y196" i="15" s="1"/>
  <c r="Z196" i="15" a="1"/>
  <c r="Z196" i="15" s="1"/>
  <c r="Y197" i="15" a="1"/>
  <c r="Y197" i="15" s="1"/>
  <c r="Z197" i="15" a="1"/>
  <c r="Z197" i="15" s="1"/>
  <c r="Y198" i="15" a="1"/>
  <c r="Y198" i="15" s="1"/>
  <c r="Z198" i="15" a="1"/>
  <c r="Z198" i="15" s="1"/>
  <c r="Y199" i="15" a="1"/>
  <c r="Y199" i="15" s="1"/>
  <c r="Z199" i="15" a="1"/>
  <c r="Z199" i="15" s="1"/>
  <c r="Y200" i="15" a="1"/>
  <c r="Y200" i="15" s="1"/>
  <c r="Z200" i="15" a="1"/>
  <c r="Z200" i="15" s="1"/>
  <c r="Y201" i="15" a="1"/>
  <c r="Y201" i="15" s="1"/>
  <c r="Z201" i="15" a="1"/>
  <c r="Z201" i="15" s="1"/>
  <c r="Y202" i="15" a="1"/>
  <c r="Y202" i="15" s="1"/>
  <c r="Z202" i="15" a="1"/>
  <c r="Z202" i="15" s="1"/>
  <c r="Y203" i="15" a="1"/>
  <c r="Y203" i="15" s="1"/>
  <c r="Z203" i="15" a="1"/>
  <c r="Z203" i="15" s="1"/>
  <c r="Y204" i="15" a="1"/>
  <c r="Y204" i="15" s="1"/>
  <c r="Z204" i="15" a="1"/>
  <c r="Z204" i="15" s="1"/>
  <c r="Y205" i="15" a="1"/>
  <c r="Y205" i="15" s="1"/>
  <c r="Z205" i="15" a="1"/>
  <c r="Z205" i="15" s="1"/>
  <c r="Y206" i="15" a="1"/>
  <c r="Y206" i="15" s="1"/>
  <c r="Z206" i="15" a="1"/>
  <c r="Z206" i="15" s="1"/>
  <c r="Y207" i="15" a="1"/>
  <c r="Y207" i="15" s="1"/>
  <c r="Z207" i="15" a="1"/>
  <c r="Z207" i="15" s="1"/>
  <c r="Y208" i="15" a="1"/>
  <c r="Y208" i="15" s="1"/>
  <c r="Z208" i="15" a="1"/>
  <c r="Z208" i="15" s="1"/>
  <c r="Y209" i="15" a="1"/>
  <c r="Y209" i="15" s="1"/>
  <c r="Z209" i="15" a="1"/>
  <c r="Z209" i="15" s="1"/>
  <c r="Y210" i="15" a="1"/>
  <c r="Y210" i="15" s="1"/>
  <c r="Z210" i="15" a="1"/>
  <c r="Z210" i="15" s="1"/>
  <c r="Y211" i="15" a="1"/>
  <c r="Y211" i="15" s="1"/>
  <c r="Z211" i="15" a="1"/>
  <c r="Z211" i="15" s="1"/>
  <c r="Y212" i="15" a="1"/>
  <c r="Y212" i="15" s="1"/>
  <c r="Z212" i="15" a="1"/>
  <c r="Z212" i="15" s="1"/>
  <c r="Y213" i="15" a="1"/>
  <c r="Y213" i="15" s="1"/>
  <c r="Z213" i="15" a="1"/>
  <c r="Z213" i="15" s="1"/>
  <c r="Y214" i="15" a="1"/>
  <c r="Y214" i="15" s="1"/>
  <c r="Z214" i="15" a="1"/>
  <c r="Z214" i="15" s="1"/>
  <c r="Y215" i="15" a="1"/>
  <c r="Y215" i="15" s="1"/>
  <c r="Z215" i="15" a="1"/>
  <c r="Z215" i="15" s="1"/>
  <c r="Y216" i="15" a="1"/>
  <c r="Y216" i="15" s="1"/>
  <c r="Z216" i="15" a="1"/>
  <c r="Z216" i="15" s="1"/>
  <c r="Y217" i="15" a="1"/>
  <c r="Y217" i="15" s="1"/>
  <c r="Z217" i="15" a="1"/>
  <c r="Z217" i="15" s="1"/>
  <c r="Y218" i="15" a="1"/>
  <c r="Y218" i="15" s="1"/>
  <c r="Z218" i="15" a="1"/>
  <c r="Z218" i="15" s="1"/>
  <c r="Y219" i="15" a="1"/>
  <c r="Y219" i="15" s="1"/>
  <c r="Z219" i="15" a="1"/>
  <c r="Z219" i="15" s="1"/>
  <c r="Y220" i="15" a="1"/>
  <c r="Y220" i="15" s="1"/>
  <c r="Z220" i="15" a="1"/>
  <c r="Z220" i="15" s="1"/>
  <c r="Y221" i="15" a="1"/>
  <c r="Y221" i="15" s="1"/>
  <c r="Z221" i="15" a="1"/>
  <c r="Z221" i="15" s="1"/>
  <c r="Y222" i="15" a="1"/>
  <c r="Y222" i="15" s="1"/>
  <c r="Z222" i="15" a="1"/>
  <c r="Z222" i="15" s="1"/>
  <c r="Y223" i="15" a="1"/>
  <c r="Y223" i="15" s="1"/>
  <c r="Z223" i="15" a="1"/>
  <c r="Z223" i="15" s="1"/>
  <c r="Y224" i="15" a="1"/>
  <c r="Y224" i="15" s="1"/>
  <c r="Z224" i="15" a="1"/>
  <c r="Z224" i="15" s="1"/>
  <c r="Y225" i="15" a="1"/>
  <c r="Y225" i="15" s="1"/>
  <c r="Z225" i="15" a="1"/>
  <c r="Z225" i="15" s="1"/>
  <c r="Y226" i="15" a="1"/>
  <c r="Y226" i="15" s="1"/>
  <c r="Z226" i="15" a="1"/>
  <c r="Z226" i="15" s="1"/>
  <c r="Y227" i="15" a="1"/>
  <c r="Y227" i="15" s="1"/>
  <c r="Z227" i="15" a="1"/>
  <c r="Z227" i="15" s="1"/>
  <c r="Y228" i="15" a="1"/>
  <c r="Y228" i="15" s="1"/>
  <c r="Z228" i="15" a="1"/>
  <c r="Z228" i="15" s="1"/>
  <c r="Y229" i="15" a="1"/>
  <c r="Y229" i="15" s="1"/>
  <c r="Z229" i="15" a="1"/>
  <c r="Z229" i="15" s="1"/>
  <c r="Y230" i="15" a="1"/>
  <c r="Y230" i="15" s="1"/>
  <c r="Z230" i="15" a="1"/>
  <c r="Z230" i="15" s="1"/>
  <c r="Y231" i="15" a="1"/>
  <c r="Y231" i="15" s="1"/>
  <c r="Z231" i="15" a="1"/>
  <c r="Z231" i="15" s="1"/>
  <c r="Y232" i="15" a="1"/>
  <c r="Y232" i="15" s="1"/>
  <c r="Z232" i="15" a="1"/>
  <c r="Z232" i="15" s="1"/>
  <c r="Y233" i="15" a="1"/>
  <c r="Y233" i="15" s="1"/>
  <c r="Z233" i="15" a="1"/>
  <c r="Z233" i="15" s="1"/>
  <c r="Y234" i="15" a="1"/>
  <c r="Y234" i="15" s="1"/>
  <c r="Z234" i="15" a="1"/>
  <c r="Z234" i="15" s="1"/>
  <c r="Y235" i="15" a="1"/>
  <c r="Y235" i="15" s="1"/>
  <c r="Z235" i="15" a="1"/>
  <c r="Z235" i="15" s="1"/>
  <c r="Y236" i="15" a="1"/>
  <c r="Y236" i="15" s="1"/>
  <c r="Z236" i="15" a="1"/>
  <c r="Z236" i="15" s="1"/>
  <c r="Y237" i="15" a="1"/>
  <c r="Y237" i="15" s="1"/>
  <c r="Z237" i="15" a="1"/>
  <c r="Z237" i="15" s="1"/>
  <c r="Y238" i="15" a="1"/>
  <c r="Y238" i="15" s="1"/>
  <c r="Z238" i="15" a="1"/>
  <c r="Z238" i="15" s="1"/>
  <c r="Y239" i="15" a="1"/>
  <c r="Y239" i="15" s="1"/>
  <c r="Z239" i="15" a="1"/>
  <c r="Z239" i="15" s="1"/>
  <c r="Y240" i="15" a="1"/>
  <c r="Y240" i="15" s="1"/>
  <c r="Z240" i="15" a="1"/>
  <c r="Z240" i="15" s="1"/>
  <c r="Y241" i="15" a="1"/>
  <c r="Y241" i="15" s="1"/>
  <c r="Z241" i="15" a="1"/>
  <c r="Z241" i="15" s="1"/>
  <c r="Y242" i="15" a="1"/>
  <c r="Y242" i="15" s="1"/>
  <c r="Z242" i="15" a="1"/>
  <c r="Z242" i="15" s="1"/>
  <c r="Y243" i="15" a="1"/>
  <c r="Y243" i="15" s="1"/>
  <c r="Z243" i="15" a="1"/>
  <c r="Z243" i="15" s="1"/>
  <c r="Y244" i="15" a="1"/>
  <c r="Y244" i="15" s="1"/>
  <c r="Z244" i="15" a="1"/>
  <c r="Z244" i="15" s="1"/>
  <c r="Y245" i="15" a="1"/>
  <c r="Y245" i="15" s="1"/>
  <c r="Z245" i="15" a="1"/>
  <c r="Z245" i="15" s="1"/>
  <c r="Y246" i="15" a="1"/>
  <c r="Y246" i="15" s="1"/>
  <c r="Z246" i="15" a="1"/>
  <c r="Z246" i="15" s="1"/>
  <c r="Y247" i="15" a="1"/>
  <c r="Y247" i="15" s="1"/>
  <c r="Z247" i="15" a="1"/>
  <c r="Z247" i="15" s="1"/>
  <c r="Y248" i="15" a="1"/>
  <c r="Y248" i="15" s="1"/>
  <c r="Z248" i="15" a="1"/>
  <c r="Z248" i="15" s="1"/>
  <c r="Y249" i="15" a="1"/>
  <c r="Y249" i="15" s="1"/>
  <c r="Z249" i="15" a="1"/>
  <c r="Z249" i="15" s="1"/>
  <c r="Y250" i="15" a="1"/>
  <c r="Y250" i="15" s="1"/>
  <c r="Z250" i="15" a="1"/>
  <c r="Z250" i="15" s="1"/>
  <c r="Y251" i="15" a="1"/>
  <c r="Y251" i="15" s="1"/>
  <c r="Z251" i="15" a="1"/>
  <c r="Z251" i="15" s="1"/>
  <c r="Y252" i="15" a="1"/>
  <c r="Y252" i="15" s="1"/>
  <c r="Z252" i="15" a="1"/>
  <c r="Z252" i="15" s="1"/>
  <c r="Y253" i="15" a="1"/>
  <c r="Y253" i="15" s="1"/>
  <c r="Z253" i="15" a="1"/>
  <c r="Z253" i="15" s="1"/>
  <c r="Y254" i="15" a="1"/>
  <c r="Y254" i="15" s="1"/>
  <c r="Z254" i="15" a="1"/>
  <c r="Z254" i="15" s="1"/>
  <c r="Y255" i="15" a="1"/>
  <c r="Y255" i="15" s="1"/>
  <c r="Z255" i="15" a="1"/>
  <c r="Z255" i="15" s="1"/>
  <c r="Y256" i="15" a="1"/>
  <c r="Y256" i="15" s="1"/>
  <c r="Z256" i="15" a="1"/>
  <c r="Z256" i="15" s="1"/>
  <c r="Y257" i="15" a="1"/>
  <c r="Y257" i="15" s="1"/>
  <c r="Z257" i="15" a="1"/>
  <c r="Z257" i="15" s="1"/>
  <c r="Y2" i="15" a="1"/>
  <c r="Y2" i="15" s="1"/>
  <c r="Z2" i="15" a="1"/>
  <c r="Z2" i="15" s="1"/>
  <c r="Y3" i="14" a="1"/>
  <c r="Y3" i="14" s="1"/>
  <c r="Z3" i="14" a="1"/>
  <c r="Z3" i="14" s="1"/>
  <c r="Y4" i="14" a="1"/>
  <c r="Y4" i="14" s="1"/>
  <c r="Z4" i="14" a="1"/>
  <c r="Z4" i="14" s="1"/>
  <c r="Y5" i="14" a="1"/>
  <c r="Y5" i="14" s="1"/>
  <c r="Z5" i="14" a="1"/>
  <c r="Z5" i="14" s="1"/>
  <c r="Y6" i="14" a="1"/>
  <c r="Y6" i="14" s="1"/>
  <c r="Z6" i="14" a="1"/>
  <c r="Z6" i="14" s="1"/>
  <c r="Y7" i="14" a="1"/>
  <c r="Y7" i="14" s="1"/>
  <c r="Z7" i="14" a="1"/>
  <c r="Z7" i="14" s="1"/>
  <c r="Y8" i="14" a="1"/>
  <c r="Y8" i="14" s="1"/>
  <c r="Z8" i="14" a="1"/>
  <c r="Z8" i="14" s="1"/>
  <c r="Y9" i="14" a="1"/>
  <c r="Y9" i="14" s="1"/>
  <c r="Z9" i="14" a="1"/>
  <c r="Z9" i="14" s="1"/>
  <c r="Y10" i="14" a="1"/>
  <c r="Y10" i="14" s="1"/>
  <c r="Z10" i="14" a="1"/>
  <c r="Z10" i="14" s="1"/>
  <c r="Y11" i="14" a="1"/>
  <c r="Y11" i="14" s="1"/>
  <c r="Z11" i="14" a="1"/>
  <c r="Z11" i="14" s="1"/>
  <c r="Y12" i="14" a="1"/>
  <c r="Y12" i="14" s="1"/>
  <c r="Z12" i="14" a="1"/>
  <c r="Z12" i="14" s="1"/>
  <c r="Y13" i="14" a="1"/>
  <c r="Y13" i="14" s="1"/>
  <c r="Z13" i="14" a="1"/>
  <c r="Z13" i="14" s="1"/>
  <c r="Y14" i="14" a="1"/>
  <c r="Y14" i="14" s="1"/>
  <c r="Z14" i="14" a="1"/>
  <c r="Z14" i="14" s="1"/>
  <c r="Y15" i="14" a="1"/>
  <c r="Y15" i="14" s="1"/>
  <c r="Z15" i="14" a="1"/>
  <c r="Z15" i="14" s="1"/>
  <c r="Y16" i="14" a="1"/>
  <c r="Y16" i="14" s="1"/>
  <c r="Z16" i="14" a="1"/>
  <c r="Z16" i="14" s="1"/>
  <c r="Y17" i="14" a="1"/>
  <c r="Y17" i="14" s="1"/>
  <c r="Z17" i="14" a="1"/>
  <c r="Z17" i="14" s="1"/>
  <c r="Y18" i="14" a="1"/>
  <c r="Y18" i="14" s="1"/>
  <c r="Z18" i="14" a="1"/>
  <c r="Z18" i="14" s="1"/>
  <c r="Y19" i="14" a="1"/>
  <c r="Y19" i="14" s="1"/>
  <c r="Z19" i="14" a="1"/>
  <c r="Z19" i="14" s="1"/>
  <c r="Y20" i="14" a="1"/>
  <c r="Y20" i="14" s="1"/>
  <c r="Z20" i="14" a="1"/>
  <c r="Z20" i="14" s="1"/>
  <c r="Y21" i="14" a="1"/>
  <c r="Y21" i="14" s="1"/>
  <c r="Z21" i="14" a="1"/>
  <c r="Z21" i="14" s="1"/>
  <c r="Y22" i="14" a="1"/>
  <c r="Y22" i="14" s="1"/>
  <c r="Z22" i="14" a="1"/>
  <c r="Z22" i="14" s="1"/>
  <c r="Y23" i="14" a="1"/>
  <c r="Y23" i="14" s="1"/>
  <c r="Z23" i="14" a="1"/>
  <c r="Z23" i="14" s="1"/>
  <c r="Y24" i="14" a="1"/>
  <c r="Y24" i="14" s="1"/>
  <c r="Z24" i="14" a="1"/>
  <c r="Z24" i="14" s="1"/>
  <c r="Y25" i="14" a="1"/>
  <c r="Y25" i="14" s="1"/>
  <c r="Z25" i="14" a="1"/>
  <c r="Z25" i="14" s="1"/>
  <c r="Y26" i="14" a="1"/>
  <c r="Y26" i="14" s="1"/>
  <c r="Z26" i="14" a="1"/>
  <c r="Z26" i="14" s="1"/>
  <c r="Y27" i="14" a="1"/>
  <c r="Y27" i="14" s="1"/>
  <c r="Z27" i="14" a="1"/>
  <c r="Z27" i="14" s="1"/>
  <c r="Y28" i="14" a="1"/>
  <c r="Y28" i="14" s="1"/>
  <c r="Z28" i="14" a="1"/>
  <c r="Z28" i="14" s="1"/>
  <c r="Y29" i="14" a="1"/>
  <c r="Y29" i="14" s="1"/>
  <c r="Z29" i="14" a="1"/>
  <c r="Z29" i="14" s="1"/>
  <c r="Y30" i="14" a="1"/>
  <c r="Y30" i="14" s="1"/>
  <c r="Z30" i="14" a="1"/>
  <c r="Z30" i="14" s="1"/>
  <c r="Y31" i="14" a="1"/>
  <c r="Y31" i="14" s="1"/>
  <c r="Z31" i="14" a="1"/>
  <c r="Z31" i="14" s="1"/>
  <c r="Y32" i="14" a="1"/>
  <c r="Y32" i="14" s="1"/>
  <c r="Z32" i="14" a="1"/>
  <c r="Z32" i="14" s="1"/>
  <c r="Y33" i="14" a="1"/>
  <c r="Y33" i="14" s="1"/>
  <c r="Z33" i="14" a="1"/>
  <c r="Z33" i="14" s="1"/>
  <c r="Y34" i="14" a="1"/>
  <c r="Y34" i="14" s="1"/>
  <c r="Z34" i="14" a="1"/>
  <c r="Z34" i="14" s="1"/>
  <c r="Y35" i="14" a="1"/>
  <c r="Y35" i="14" s="1"/>
  <c r="Z35" i="14" a="1"/>
  <c r="Z35" i="14" s="1"/>
  <c r="Y36" i="14" a="1"/>
  <c r="Y36" i="14" s="1"/>
  <c r="Z36" i="14" a="1"/>
  <c r="Z36" i="14" s="1"/>
  <c r="Y37" i="14" a="1"/>
  <c r="Y37" i="14" s="1"/>
  <c r="Z37" i="14" a="1"/>
  <c r="Z37" i="14" s="1"/>
  <c r="Y38" i="14" a="1"/>
  <c r="Y38" i="14" s="1"/>
  <c r="Z38" i="14" a="1"/>
  <c r="Z38" i="14" s="1"/>
  <c r="Y39" i="14" a="1"/>
  <c r="Y39" i="14" s="1"/>
  <c r="Z39" i="14" a="1"/>
  <c r="Z39" i="14" s="1"/>
  <c r="Y40" i="14" a="1"/>
  <c r="Y40" i="14" s="1"/>
  <c r="Z40" i="14" a="1"/>
  <c r="Z40" i="14" s="1"/>
  <c r="Y41" i="14" a="1"/>
  <c r="Y41" i="14" s="1"/>
  <c r="Z41" i="14" a="1"/>
  <c r="Z41" i="14" s="1"/>
  <c r="Y42" i="14" a="1"/>
  <c r="Y42" i="14" s="1"/>
  <c r="Z42" i="14" a="1"/>
  <c r="Z42" i="14" s="1"/>
  <c r="Y43" i="14" a="1"/>
  <c r="Y43" i="14" s="1"/>
  <c r="Z43" i="14" a="1"/>
  <c r="Z43" i="14" s="1"/>
  <c r="Y44" i="14" a="1"/>
  <c r="Y44" i="14" s="1"/>
  <c r="Z44" i="14" a="1"/>
  <c r="Z44" i="14" s="1"/>
  <c r="Y45" i="14" a="1"/>
  <c r="Y45" i="14" s="1"/>
  <c r="Z45" i="14" a="1"/>
  <c r="Z45" i="14" s="1"/>
  <c r="Y46" i="14" a="1"/>
  <c r="Y46" i="14" s="1"/>
  <c r="Z46" i="14" a="1"/>
  <c r="Z46" i="14" s="1"/>
  <c r="Y47" i="14" a="1"/>
  <c r="Y47" i="14" s="1"/>
  <c r="Z47" i="14" a="1"/>
  <c r="Z47" i="14" s="1"/>
  <c r="Y48" i="14" a="1"/>
  <c r="Y48" i="14" s="1"/>
  <c r="Z48" i="14" a="1"/>
  <c r="Z48" i="14" s="1"/>
  <c r="Y49" i="14" a="1"/>
  <c r="Y49" i="14" s="1"/>
  <c r="Z49" i="14" a="1"/>
  <c r="Z49" i="14" s="1"/>
  <c r="Y50" i="14" a="1"/>
  <c r="Y50" i="14" s="1"/>
  <c r="Z50" i="14" a="1"/>
  <c r="Z50" i="14" s="1"/>
  <c r="Y51" i="14" a="1"/>
  <c r="Y51" i="14" s="1"/>
  <c r="Z51" i="14" a="1"/>
  <c r="Z51" i="14" s="1"/>
  <c r="Y52" i="14" a="1"/>
  <c r="Y52" i="14" s="1"/>
  <c r="Z52" i="14" a="1"/>
  <c r="Z52" i="14" s="1"/>
  <c r="Y53" i="14" a="1"/>
  <c r="Y53" i="14" s="1"/>
  <c r="Z53" i="14" a="1"/>
  <c r="Z53" i="14" s="1"/>
  <c r="Y54" i="14" a="1"/>
  <c r="Y54" i="14" s="1"/>
  <c r="Z54" i="14" a="1"/>
  <c r="Z54" i="14" s="1"/>
  <c r="Y55" i="14" a="1"/>
  <c r="Y55" i="14" s="1"/>
  <c r="Z55" i="14" a="1"/>
  <c r="Z55" i="14" s="1"/>
  <c r="Y56" i="14" a="1"/>
  <c r="Y56" i="14" s="1"/>
  <c r="Z56" i="14" a="1"/>
  <c r="Z56" i="14" s="1"/>
  <c r="Y57" i="14" a="1"/>
  <c r="Y57" i="14" s="1"/>
  <c r="Z57" i="14" a="1"/>
  <c r="Z57" i="14" s="1"/>
  <c r="Y58" i="14" a="1"/>
  <c r="Y58" i="14" s="1"/>
  <c r="Z58" i="14" a="1"/>
  <c r="Z58" i="14" s="1"/>
  <c r="Y59" i="14" a="1"/>
  <c r="Y59" i="14" s="1"/>
  <c r="Z59" i="14" a="1"/>
  <c r="Z59" i="14" s="1"/>
  <c r="Y60" i="14" a="1"/>
  <c r="Y60" i="14" s="1"/>
  <c r="Z60" i="14" a="1"/>
  <c r="Z60" i="14" s="1"/>
  <c r="Y61" i="14" a="1"/>
  <c r="Y61" i="14" s="1"/>
  <c r="Z61" i="14" a="1"/>
  <c r="Z61" i="14" s="1"/>
  <c r="Y62" i="14" a="1"/>
  <c r="Y62" i="14" s="1"/>
  <c r="Z62" i="14" a="1"/>
  <c r="Z62" i="14" s="1"/>
  <c r="Y63" i="14" a="1"/>
  <c r="Y63" i="14" s="1"/>
  <c r="Z63" i="14" a="1"/>
  <c r="Z63" i="14" s="1"/>
  <c r="Y64" i="14" a="1"/>
  <c r="Y64" i="14" s="1"/>
  <c r="Z64" i="14" a="1"/>
  <c r="Z64" i="14" s="1"/>
  <c r="Y65" i="14" a="1"/>
  <c r="Y65" i="14" s="1"/>
  <c r="Z65" i="14" a="1"/>
  <c r="Z65" i="14" s="1"/>
  <c r="Y66" i="14" a="1"/>
  <c r="Y66" i="14" s="1"/>
  <c r="Z66" i="14" a="1"/>
  <c r="Z66" i="14" s="1"/>
  <c r="Y67" i="14" a="1"/>
  <c r="Y67" i="14" s="1"/>
  <c r="Z67" i="14" a="1"/>
  <c r="Z67" i="14" s="1"/>
  <c r="Y68" i="14" a="1"/>
  <c r="Y68" i="14" s="1"/>
  <c r="Z68" i="14" a="1"/>
  <c r="Z68" i="14" s="1"/>
  <c r="Y69" i="14" a="1"/>
  <c r="Y69" i="14" s="1"/>
  <c r="Z69" i="14" a="1"/>
  <c r="Z69" i="14" s="1"/>
  <c r="Y70" i="14" a="1"/>
  <c r="Y70" i="14" s="1"/>
  <c r="Z70" i="14" a="1"/>
  <c r="Z70" i="14" s="1"/>
  <c r="Y71" i="14" a="1"/>
  <c r="Y71" i="14" s="1"/>
  <c r="Z71" i="14" a="1"/>
  <c r="Z71" i="14" s="1"/>
  <c r="Y72" i="14" a="1"/>
  <c r="Y72" i="14" s="1"/>
  <c r="Z72" i="14" a="1"/>
  <c r="Z72" i="14" s="1"/>
  <c r="Y73" i="14" a="1"/>
  <c r="Y73" i="14" s="1"/>
  <c r="Z73" i="14" a="1"/>
  <c r="Z73" i="14" s="1"/>
  <c r="Y74" i="14" a="1"/>
  <c r="Y74" i="14" s="1"/>
  <c r="Z74" i="14" a="1"/>
  <c r="Z74" i="14" s="1"/>
  <c r="Y75" i="14" a="1"/>
  <c r="Y75" i="14" s="1"/>
  <c r="Z75" i="14" a="1"/>
  <c r="Z75" i="14" s="1"/>
  <c r="Y76" i="14" a="1"/>
  <c r="Y76" i="14" s="1"/>
  <c r="Z76" i="14" a="1"/>
  <c r="Z76" i="14" s="1"/>
  <c r="Y77" i="14" a="1"/>
  <c r="Y77" i="14" s="1"/>
  <c r="Z77" i="14" a="1"/>
  <c r="Z77" i="14" s="1"/>
  <c r="Y78" i="14" a="1"/>
  <c r="Y78" i="14" s="1"/>
  <c r="Z78" i="14" a="1"/>
  <c r="Z78" i="14" s="1"/>
  <c r="Y79" i="14" a="1"/>
  <c r="Y79" i="14" s="1"/>
  <c r="Z79" i="14" a="1"/>
  <c r="Z79" i="14" s="1"/>
  <c r="Y80" i="14" a="1"/>
  <c r="Y80" i="14" s="1"/>
  <c r="Z80" i="14" a="1"/>
  <c r="Z80" i="14" s="1"/>
  <c r="Y81" i="14" a="1"/>
  <c r="Y81" i="14" s="1"/>
  <c r="Z81" i="14" a="1"/>
  <c r="Z81" i="14" s="1"/>
  <c r="Y82" i="14" a="1"/>
  <c r="Y82" i="14" s="1"/>
  <c r="Z82" i="14" a="1"/>
  <c r="Z82" i="14" s="1"/>
  <c r="Y83" i="14" a="1"/>
  <c r="Y83" i="14" s="1"/>
  <c r="Z83" i="14" a="1"/>
  <c r="Z83" i="14" s="1"/>
  <c r="Y84" i="14" a="1"/>
  <c r="Y84" i="14" s="1"/>
  <c r="Z84" i="14" a="1"/>
  <c r="Z84" i="14" s="1"/>
  <c r="Y85" i="14" a="1"/>
  <c r="Y85" i="14" s="1"/>
  <c r="Z85" i="14" a="1"/>
  <c r="Z85" i="14" s="1"/>
  <c r="Y86" i="14" a="1"/>
  <c r="Y86" i="14" s="1"/>
  <c r="Z86" i="14" a="1"/>
  <c r="Z86" i="14" s="1"/>
  <c r="Y87" i="14" a="1"/>
  <c r="Y87" i="14" s="1"/>
  <c r="Z87" i="14" a="1"/>
  <c r="Z87" i="14" s="1"/>
  <c r="Y88" i="14" a="1"/>
  <c r="Y88" i="14" s="1"/>
  <c r="Z88" i="14" a="1"/>
  <c r="Z88" i="14" s="1"/>
  <c r="Y89" i="14" a="1"/>
  <c r="Y89" i="14" s="1"/>
  <c r="Z89" i="14" a="1"/>
  <c r="Z89" i="14" s="1"/>
  <c r="Y90" i="14" a="1"/>
  <c r="Y90" i="14" s="1"/>
  <c r="Z90" i="14" a="1"/>
  <c r="Z90" i="14" s="1"/>
  <c r="Y91" i="14" a="1"/>
  <c r="Y91" i="14" s="1"/>
  <c r="Z91" i="14" a="1"/>
  <c r="Z91" i="14" s="1"/>
  <c r="Y92" i="14" a="1"/>
  <c r="Y92" i="14" s="1"/>
  <c r="Z92" i="14" a="1"/>
  <c r="Z92" i="14" s="1"/>
  <c r="Y93" i="14" a="1"/>
  <c r="Y93" i="14" s="1"/>
  <c r="Z93" i="14" a="1"/>
  <c r="Z93" i="14" s="1"/>
  <c r="Y94" i="14" a="1"/>
  <c r="Y94" i="14" s="1"/>
  <c r="Z94" i="14" a="1"/>
  <c r="Z94" i="14" s="1"/>
  <c r="Y95" i="14" a="1"/>
  <c r="Y95" i="14" s="1"/>
  <c r="Z95" i="14" a="1"/>
  <c r="Z95" i="14" s="1"/>
  <c r="Y96" i="14" a="1"/>
  <c r="Y96" i="14" s="1"/>
  <c r="Z96" i="14" a="1"/>
  <c r="Z96" i="14" s="1"/>
  <c r="Y97" i="14" a="1"/>
  <c r="Y97" i="14" s="1"/>
  <c r="Z97" i="14" a="1"/>
  <c r="Z97" i="14" s="1"/>
  <c r="Y98" i="14" a="1"/>
  <c r="Y98" i="14" s="1"/>
  <c r="Z98" i="14" a="1"/>
  <c r="Z98" i="14" s="1"/>
  <c r="Y99" i="14" a="1"/>
  <c r="Y99" i="14" s="1"/>
  <c r="Z99" i="14" a="1"/>
  <c r="Z99" i="14" s="1"/>
  <c r="Y100" i="14" a="1"/>
  <c r="Y100" i="14" s="1"/>
  <c r="Z100" i="14" a="1"/>
  <c r="Z100" i="14" s="1"/>
  <c r="Y101" i="14" a="1"/>
  <c r="Y101" i="14" s="1"/>
  <c r="Z101" i="14" a="1"/>
  <c r="Z101" i="14" s="1"/>
  <c r="Y102" i="14" a="1"/>
  <c r="Y102" i="14" s="1"/>
  <c r="Z102" i="14" a="1"/>
  <c r="Z102" i="14" s="1"/>
  <c r="Y103" i="14" a="1"/>
  <c r="Y103" i="14" s="1"/>
  <c r="Z103" i="14" a="1"/>
  <c r="Z103" i="14" s="1"/>
  <c r="Y104" i="14" a="1"/>
  <c r="Y104" i="14" s="1"/>
  <c r="Z104" i="14" a="1"/>
  <c r="Z104" i="14" s="1"/>
  <c r="Y105" i="14" a="1"/>
  <c r="Y105" i="14" s="1"/>
  <c r="Z105" i="14" a="1"/>
  <c r="Z105" i="14" s="1"/>
  <c r="Y106" i="14" a="1"/>
  <c r="Y106" i="14" s="1"/>
  <c r="Z106" i="14" a="1"/>
  <c r="Z106" i="14" s="1"/>
  <c r="Y107" i="14" a="1"/>
  <c r="Y107" i="14" s="1"/>
  <c r="Z107" i="14" a="1"/>
  <c r="Z107" i="14" s="1"/>
  <c r="Y108" i="14" a="1"/>
  <c r="Y108" i="14" s="1"/>
  <c r="Z108" i="14" a="1"/>
  <c r="Z108" i="14" s="1"/>
  <c r="Y109" i="14" a="1"/>
  <c r="Y109" i="14" s="1"/>
  <c r="Z109" i="14" a="1"/>
  <c r="Z109" i="14" s="1"/>
  <c r="Y110" i="14" a="1"/>
  <c r="Y110" i="14" s="1"/>
  <c r="Z110" i="14" a="1"/>
  <c r="Z110" i="14" s="1"/>
  <c r="Y111" i="14" a="1"/>
  <c r="Y111" i="14" s="1"/>
  <c r="Z111" i="14" a="1"/>
  <c r="Z111" i="14" s="1"/>
  <c r="Y112" i="14" a="1"/>
  <c r="Y112" i="14" s="1"/>
  <c r="Z112" i="14" a="1"/>
  <c r="Z112" i="14" s="1"/>
  <c r="Y113" i="14" a="1"/>
  <c r="Y113" i="14" s="1"/>
  <c r="Z113" i="14" a="1"/>
  <c r="Z113" i="14" s="1"/>
  <c r="Y114" i="14" a="1"/>
  <c r="Y114" i="14" s="1"/>
  <c r="Z114" i="14" a="1"/>
  <c r="Z114" i="14" s="1"/>
  <c r="Y115" i="14" a="1"/>
  <c r="Y115" i="14" s="1"/>
  <c r="Z115" i="14" a="1"/>
  <c r="Z115" i="14" s="1"/>
  <c r="Y116" i="14" a="1"/>
  <c r="Y116" i="14" s="1"/>
  <c r="Z116" i="14" a="1"/>
  <c r="Z116" i="14" s="1"/>
  <c r="Y117" i="14" a="1"/>
  <c r="Y117" i="14" s="1"/>
  <c r="Z117" i="14" a="1"/>
  <c r="Z117" i="14" s="1"/>
  <c r="Y118" i="14" a="1"/>
  <c r="Y118" i="14" s="1"/>
  <c r="Z118" i="14" a="1"/>
  <c r="Z118" i="14" s="1"/>
  <c r="Y119" i="14" a="1"/>
  <c r="Y119" i="14" s="1"/>
  <c r="Z119" i="14" a="1"/>
  <c r="Z119" i="14" s="1"/>
  <c r="Y120" i="14" a="1"/>
  <c r="Y120" i="14" s="1"/>
  <c r="Z120" i="14" a="1"/>
  <c r="Z120" i="14" s="1"/>
  <c r="Y121" i="14" a="1"/>
  <c r="Y121" i="14" s="1"/>
  <c r="Z121" i="14" a="1"/>
  <c r="Z121" i="14" s="1"/>
  <c r="Y122" i="14" a="1"/>
  <c r="Y122" i="14" s="1"/>
  <c r="Z122" i="14" a="1"/>
  <c r="Z122" i="14" s="1"/>
  <c r="Y123" i="14" a="1"/>
  <c r="Y123" i="14" s="1"/>
  <c r="Z123" i="14" a="1"/>
  <c r="Z123" i="14" s="1"/>
  <c r="Y124" i="14" a="1"/>
  <c r="Y124" i="14" s="1"/>
  <c r="Z124" i="14" a="1"/>
  <c r="Z124" i="14" s="1"/>
  <c r="Y125" i="14" a="1"/>
  <c r="Y125" i="14" s="1"/>
  <c r="Z125" i="14" a="1"/>
  <c r="Z125" i="14"/>
  <c r="Y126" i="14" a="1"/>
  <c r="Y126" i="14" s="1"/>
  <c r="Z126" i="14" a="1"/>
  <c r="Z126" i="14" s="1"/>
  <c r="Y127" i="14" a="1"/>
  <c r="Y127" i="14" s="1"/>
  <c r="Z127" i="14" a="1"/>
  <c r="Z127" i="14" s="1"/>
  <c r="Y128" i="14" a="1"/>
  <c r="Y128" i="14" s="1"/>
  <c r="Z128" i="14" a="1"/>
  <c r="Z128" i="14" s="1"/>
  <c r="Y129" i="14" a="1"/>
  <c r="Y129" i="14" s="1"/>
  <c r="Z129" i="14" a="1"/>
  <c r="Z129" i="14" s="1"/>
  <c r="Y130" i="14" a="1"/>
  <c r="Y130" i="14" s="1"/>
  <c r="Z130" i="14" a="1"/>
  <c r="Z130" i="14" s="1"/>
  <c r="Y131" i="14" a="1"/>
  <c r="Y131" i="14" s="1"/>
  <c r="Z131" i="14" a="1"/>
  <c r="Z131" i="14" s="1"/>
  <c r="Y132" i="14" a="1"/>
  <c r="Y132" i="14" s="1"/>
  <c r="Z132" i="14" a="1"/>
  <c r="Z132" i="14" s="1"/>
  <c r="Y133" i="14" a="1"/>
  <c r="Y133" i="14" s="1"/>
  <c r="Z133" i="14" a="1"/>
  <c r="Z133" i="14" s="1"/>
  <c r="Y134" i="14" a="1"/>
  <c r="Y134" i="14" s="1"/>
  <c r="Z134" i="14" a="1"/>
  <c r="Z134" i="14" s="1"/>
  <c r="Y135" i="14" a="1"/>
  <c r="Y135" i="14" s="1"/>
  <c r="Z135" i="14" a="1"/>
  <c r="Z135" i="14" s="1"/>
  <c r="Y136" i="14" a="1"/>
  <c r="Y136" i="14" s="1"/>
  <c r="Z136" i="14" a="1"/>
  <c r="Z136" i="14" s="1"/>
  <c r="Y137" i="14" a="1"/>
  <c r="Y137" i="14" s="1"/>
  <c r="Z137" i="14" a="1"/>
  <c r="Z137" i="14" s="1"/>
  <c r="Y138" i="14" a="1"/>
  <c r="Y138" i="14" s="1"/>
  <c r="Z138" i="14" a="1"/>
  <c r="Z138" i="14" s="1"/>
  <c r="Y139" i="14" a="1"/>
  <c r="Y139" i="14" s="1"/>
  <c r="Z139" i="14" a="1"/>
  <c r="Z139" i="14" s="1"/>
  <c r="Y140" i="14" a="1"/>
  <c r="Y140" i="14" s="1"/>
  <c r="Z140" i="14" a="1"/>
  <c r="Z140" i="14" s="1"/>
  <c r="Y141" i="14" a="1"/>
  <c r="Y141" i="14" s="1"/>
  <c r="Z141" i="14" a="1"/>
  <c r="Z141" i="14" s="1"/>
  <c r="Y142" i="14" a="1"/>
  <c r="Y142" i="14" s="1"/>
  <c r="Z142" i="14" a="1"/>
  <c r="Z142" i="14" s="1"/>
  <c r="Y143" i="14" a="1"/>
  <c r="Y143" i="14" s="1"/>
  <c r="Z143" i="14" a="1"/>
  <c r="Z143" i="14" s="1"/>
  <c r="Y144" i="14" a="1"/>
  <c r="Y144" i="14" s="1"/>
  <c r="Z144" i="14" a="1"/>
  <c r="Z144" i="14" s="1"/>
  <c r="Y145" i="14" a="1"/>
  <c r="Y145" i="14" s="1"/>
  <c r="Z145" i="14" a="1"/>
  <c r="Z145" i="14" s="1"/>
  <c r="Y146" i="14" a="1"/>
  <c r="Y146" i="14" s="1"/>
  <c r="Z146" i="14" a="1"/>
  <c r="Z146" i="14" s="1"/>
  <c r="Y147" i="14" a="1"/>
  <c r="Y147" i="14" s="1"/>
  <c r="Z147" i="14" a="1"/>
  <c r="Z147" i="14" s="1"/>
  <c r="Y148" i="14" a="1"/>
  <c r="Y148" i="14" s="1"/>
  <c r="Z148" i="14" a="1"/>
  <c r="Z148" i="14" s="1"/>
  <c r="Y149" i="14" a="1"/>
  <c r="Y149" i="14" s="1"/>
  <c r="Z149" i="14" a="1"/>
  <c r="Z149" i="14" s="1"/>
  <c r="Y150" i="14" a="1"/>
  <c r="Y150" i="14" s="1"/>
  <c r="Z150" i="14" a="1"/>
  <c r="Z150" i="14" s="1"/>
  <c r="Y151" i="14" a="1"/>
  <c r="Y151" i="14" s="1"/>
  <c r="Z151" i="14" a="1"/>
  <c r="Z151" i="14" s="1"/>
  <c r="Y152" i="14" a="1"/>
  <c r="Y152" i="14" s="1"/>
  <c r="Z152" i="14" a="1"/>
  <c r="Z152" i="14" s="1"/>
  <c r="Y153" i="14" a="1"/>
  <c r="Y153" i="14" s="1"/>
  <c r="Z153" i="14" a="1"/>
  <c r="Z153" i="14" s="1"/>
  <c r="Y154" i="14" a="1"/>
  <c r="Y154" i="14" s="1"/>
  <c r="Z154" i="14" a="1"/>
  <c r="Z154" i="14" s="1"/>
  <c r="Y155" i="14" a="1"/>
  <c r="Y155" i="14" s="1"/>
  <c r="Z155" i="14" a="1"/>
  <c r="Z155" i="14" s="1"/>
  <c r="Y156" i="14" a="1"/>
  <c r="Y156" i="14" s="1"/>
  <c r="Z156" i="14" a="1"/>
  <c r="Z156" i="14" s="1"/>
  <c r="Y157" i="14" a="1"/>
  <c r="Y157" i="14" s="1"/>
  <c r="Z157" i="14" a="1"/>
  <c r="Z157" i="14" s="1"/>
  <c r="Y158" i="14" a="1"/>
  <c r="Y158" i="14" s="1"/>
  <c r="Z158" i="14" a="1"/>
  <c r="Z158" i="14" s="1"/>
  <c r="Y159" i="14" a="1"/>
  <c r="Y159" i="14" s="1"/>
  <c r="Z159" i="14" a="1"/>
  <c r="Z159" i="14" s="1"/>
  <c r="Y160" i="14" a="1"/>
  <c r="Y160" i="14" s="1"/>
  <c r="Z160" i="14" a="1"/>
  <c r="Z160" i="14" s="1"/>
  <c r="Y161" i="14" a="1"/>
  <c r="Y161" i="14" s="1"/>
  <c r="Z161" i="14" a="1"/>
  <c r="Z161" i="14" s="1"/>
  <c r="Y162" i="14" a="1"/>
  <c r="Y162" i="14" s="1"/>
  <c r="Z162" i="14" a="1"/>
  <c r="Z162" i="14" s="1"/>
  <c r="Y163" i="14" a="1"/>
  <c r="Y163" i="14" s="1"/>
  <c r="Z163" i="14" a="1"/>
  <c r="Z163" i="14" s="1"/>
  <c r="Y164" i="14" a="1"/>
  <c r="Y164" i="14" s="1"/>
  <c r="Z164" i="14" a="1"/>
  <c r="Z164" i="14" s="1"/>
  <c r="Y165" i="14" a="1"/>
  <c r="Y165" i="14" s="1"/>
  <c r="Z165" i="14" a="1"/>
  <c r="Z165" i="14" s="1"/>
  <c r="Y166" i="14" a="1"/>
  <c r="Y166" i="14" s="1"/>
  <c r="Z166" i="14" a="1"/>
  <c r="Z166" i="14" s="1"/>
  <c r="Y167" i="14" a="1"/>
  <c r="Y167" i="14" s="1"/>
  <c r="Z167" i="14" a="1"/>
  <c r="Z167" i="14" s="1"/>
  <c r="Y168" i="14" a="1"/>
  <c r="Y168" i="14" s="1"/>
  <c r="Z168" i="14" a="1"/>
  <c r="Z168" i="14" s="1"/>
  <c r="Y169" i="14" a="1"/>
  <c r="Y169" i="14" s="1"/>
  <c r="Z169" i="14" a="1"/>
  <c r="Z169" i="14" s="1"/>
  <c r="Y170" i="14" a="1"/>
  <c r="Y170" i="14" s="1"/>
  <c r="Z170" i="14" a="1"/>
  <c r="Z170" i="14" s="1"/>
  <c r="Y171" i="14" a="1"/>
  <c r="Y171" i="14" s="1"/>
  <c r="Z171" i="14" a="1"/>
  <c r="Z171" i="14" s="1"/>
  <c r="Y172" i="14" a="1"/>
  <c r="Y172" i="14" s="1"/>
  <c r="Z172" i="14" a="1"/>
  <c r="Z172" i="14" s="1"/>
  <c r="Y173" i="14" a="1"/>
  <c r="Y173" i="14" s="1"/>
  <c r="Z173" i="14" a="1"/>
  <c r="Z173" i="14" s="1"/>
  <c r="Y174" i="14" a="1"/>
  <c r="Y174" i="14" s="1"/>
  <c r="Z174" i="14" a="1"/>
  <c r="Z174" i="14" s="1"/>
  <c r="Y175" i="14" a="1"/>
  <c r="Y175" i="14" s="1"/>
  <c r="Z175" i="14" a="1"/>
  <c r="Z175" i="14" s="1"/>
  <c r="Y176" i="14" a="1"/>
  <c r="Y176" i="14" s="1"/>
  <c r="Z176" i="14" a="1"/>
  <c r="Z176" i="14" s="1"/>
  <c r="Y177" i="14" a="1"/>
  <c r="Y177" i="14" s="1"/>
  <c r="Z177" i="14" a="1"/>
  <c r="Z177" i="14" s="1"/>
  <c r="Y178" i="14" a="1"/>
  <c r="Y178" i="14" s="1"/>
  <c r="Z178" i="14" a="1"/>
  <c r="Z178" i="14" s="1"/>
  <c r="Y179" i="14" a="1"/>
  <c r="Y179" i="14" s="1"/>
  <c r="Z179" i="14" a="1"/>
  <c r="Z179" i="14" s="1"/>
  <c r="Y180" i="14" a="1"/>
  <c r="Y180" i="14" s="1"/>
  <c r="Z180" i="14" a="1"/>
  <c r="Z180" i="14" s="1"/>
  <c r="Y181" i="14" a="1"/>
  <c r="Y181" i="14" s="1"/>
  <c r="Z181" i="14" a="1"/>
  <c r="Z181" i="14" s="1"/>
  <c r="Y182" i="14" a="1"/>
  <c r="Y182" i="14" s="1"/>
  <c r="Z182" i="14" a="1"/>
  <c r="Z182" i="14" s="1"/>
  <c r="Y183" i="14" a="1"/>
  <c r="Y183" i="14" s="1"/>
  <c r="Z183" i="14" a="1"/>
  <c r="Z183" i="14" s="1"/>
  <c r="Y184" i="14" a="1"/>
  <c r="Y184" i="14" s="1"/>
  <c r="Z184" i="14" a="1"/>
  <c r="Z184" i="14" s="1"/>
  <c r="Y185" i="14" a="1"/>
  <c r="Y185" i="14" s="1"/>
  <c r="Z185" i="14" a="1"/>
  <c r="Z185" i="14" s="1"/>
  <c r="Y186" i="14" a="1"/>
  <c r="Y186" i="14" s="1"/>
  <c r="Z186" i="14" a="1"/>
  <c r="Z186" i="14" s="1"/>
  <c r="Y187" i="14" a="1"/>
  <c r="Y187" i="14" s="1"/>
  <c r="Z187" i="14" a="1"/>
  <c r="Z187" i="14" s="1"/>
  <c r="Y188" i="14" a="1"/>
  <c r="Y188" i="14" s="1"/>
  <c r="Z188" i="14" a="1"/>
  <c r="Z188" i="14" s="1"/>
  <c r="Y189" i="14" a="1"/>
  <c r="Y189" i="14" s="1"/>
  <c r="Z189" i="14" a="1"/>
  <c r="Z189" i="14" s="1"/>
  <c r="Y190" i="14" a="1"/>
  <c r="Y190" i="14" s="1"/>
  <c r="Z190" i="14" a="1"/>
  <c r="Z190" i="14" s="1"/>
  <c r="Y191" i="14" a="1"/>
  <c r="Y191" i="14" s="1"/>
  <c r="Z191" i="14" a="1"/>
  <c r="Z191" i="14" s="1"/>
  <c r="Y192" i="14" a="1"/>
  <c r="Y192" i="14" s="1"/>
  <c r="Z192" i="14" a="1"/>
  <c r="Z192" i="14" s="1"/>
  <c r="Y193" i="14" a="1"/>
  <c r="Y193" i="14" s="1"/>
  <c r="Z193" i="14" a="1"/>
  <c r="Z193" i="14" s="1"/>
  <c r="Y194" i="14" a="1"/>
  <c r="Y194" i="14" s="1"/>
  <c r="Z194" i="14" a="1"/>
  <c r="Z194" i="14" s="1"/>
  <c r="Y195" i="14" a="1"/>
  <c r="Y195" i="14" s="1"/>
  <c r="Z195" i="14" a="1"/>
  <c r="Z195" i="14" s="1"/>
  <c r="Y196" i="14" a="1"/>
  <c r="Y196" i="14" s="1"/>
  <c r="Z196" i="14" a="1"/>
  <c r="Z196" i="14" s="1"/>
  <c r="Y197" i="14" a="1"/>
  <c r="Y197" i="14" s="1"/>
  <c r="Z197" i="14" a="1"/>
  <c r="Z197" i="14" s="1"/>
  <c r="Y198" i="14" a="1"/>
  <c r="Y198" i="14" s="1"/>
  <c r="Z198" i="14" a="1"/>
  <c r="Z198" i="14" s="1"/>
  <c r="Y199" i="14" a="1"/>
  <c r="Y199" i="14" s="1"/>
  <c r="Z199" i="14" a="1"/>
  <c r="Z199" i="14" s="1"/>
  <c r="Y200" i="14" a="1"/>
  <c r="Y200" i="14" s="1"/>
  <c r="Z200" i="14" a="1"/>
  <c r="Z200" i="14" s="1"/>
  <c r="Y201" i="14" a="1"/>
  <c r="Y201" i="14" s="1"/>
  <c r="Z201" i="14" a="1"/>
  <c r="Z201" i="14" s="1"/>
  <c r="Y202" i="14" a="1"/>
  <c r="Y202" i="14" s="1"/>
  <c r="Z202" i="14" a="1"/>
  <c r="Z202" i="14" s="1"/>
  <c r="Y203" i="14" a="1"/>
  <c r="Y203" i="14" s="1"/>
  <c r="Z203" i="14" a="1"/>
  <c r="Z203" i="14" s="1"/>
  <c r="Y204" i="14" a="1"/>
  <c r="Y204" i="14" s="1"/>
  <c r="Z204" i="14" a="1"/>
  <c r="Z204" i="14" s="1"/>
  <c r="Y205" i="14" a="1"/>
  <c r="Y205" i="14" s="1"/>
  <c r="Z205" i="14" a="1"/>
  <c r="Z205" i="14" s="1"/>
  <c r="Y206" i="14" a="1"/>
  <c r="Y206" i="14" s="1"/>
  <c r="Z206" i="14" a="1"/>
  <c r="Z206" i="14" s="1"/>
  <c r="Y207" i="14" a="1"/>
  <c r="Y207" i="14" s="1"/>
  <c r="Z207" i="14" a="1"/>
  <c r="Z207" i="14" s="1"/>
  <c r="Y208" i="14" a="1"/>
  <c r="Y208" i="14" s="1"/>
  <c r="Z208" i="14" a="1"/>
  <c r="Z208" i="14" s="1"/>
  <c r="Y209" i="14" a="1"/>
  <c r="Y209" i="14" s="1"/>
  <c r="Z209" i="14" a="1"/>
  <c r="Z209" i="14" s="1"/>
  <c r="Y210" i="14" a="1"/>
  <c r="Y210" i="14" s="1"/>
  <c r="Z210" i="14" a="1"/>
  <c r="Z210" i="14" s="1"/>
  <c r="Y211" i="14" a="1"/>
  <c r="Y211" i="14" s="1"/>
  <c r="Z211" i="14" a="1"/>
  <c r="Z211" i="14" s="1"/>
  <c r="Y212" i="14" a="1"/>
  <c r="Y212" i="14" s="1"/>
  <c r="Z212" i="14" a="1"/>
  <c r="Z212" i="14" s="1"/>
  <c r="Y213" i="14" a="1"/>
  <c r="Y213" i="14" s="1"/>
  <c r="Z213" i="14" a="1"/>
  <c r="Z213" i="14" s="1"/>
  <c r="Y214" i="14" a="1"/>
  <c r="Y214" i="14" s="1"/>
  <c r="Z214" i="14" a="1"/>
  <c r="Z214" i="14" s="1"/>
  <c r="Y215" i="14" a="1"/>
  <c r="Y215" i="14" s="1"/>
  <c r="Z215" i="14" a="1"/>
  <c r="Z215" i="14" s="1"/>
  <c r="Y216" i="14" a="1"/>
  <c r="Y216" i="14" s="1"/>
  <c r="Z216" i="14" a="1"/>
  <c r="Z216" i="14" s="1"/>
  <c r="Y217" i="14" a="1"/>
  <c r="Y217" i="14" s="1"/>
  <c r="Z217" i="14" a="1"/>
  <c r="Z217" i="14" s="1"/>
  <c r="Y218" i="14" a="1"/>
  <c r="Y218" i="14" s="1"/>
  <c r="Z218" i="14" a="1"/>
  <c r="Z218" i="14" s="1"/>
  <c r="Y219" i="14" a="1"/>
  <c r="Y219" i="14" s="1"/>
  <c r="Z219" i="14" a="1"/>
  <c r="Z219" i="14" s="1"/>
  <c r="Y220" i="14" a="1"/>
  <c r="Y220" i="14" s="1"/>
  <c r="Z220" i="14" a="1"/>
  <c r="Z220" i="14" s="1"/>
  <c r="Y221" i="14" a="1"/>
  <c r="Y221" i="14" s="1"/>
  <c r="Z221" i="14" a="1"/>
  <c r="Z221" i="14" s="1"/>
  <c r="Y222" i="14" a="1"/>
  <c r="Y222" i="14" s="1"/>
  <c r="Z222" i="14" a="1"/>
  <c r="Z222" i="14" s="1"/>
  <c r="Y223" i="14" a="1"/>
  <c r="Y223" i="14" s="1"/>
  <c r="Z223" i="14" a="1"/>
  <c r="Z223" i="14" s="1"/>
  <c r="Y2" i="14" a="1"/>
  <c r="Y2" i="14" s="1"/>
  <c r="Z2" i="14" a="1"/>
  <c r="Z2" i="14" s="1"/>
  <c r="X2" i="14" a="1"/>
  <c r="X2" i="14" s="1"/>
  <c r="Y3" i="17" a="1"/>
  <c r="Y3" i="17" s="1"/>
  <c r="Z3" i="17" a="1"/>
  <c r="Z3" i="17" s="1"/>
  <c r="Y4" i="17" a="1"/>
  <c r="Y4" i="17" s="1"/>
  <c r="Z4" i="17" a="1"/>
  <c r="Z4" i="17" s="1"/>
  <c r="Y5" i="17" a="1"/>
  <c r="Y5" i="17" s="1"/>
  <c r="Z5" i="17" a="1"/>
  <c r="Z5" i="17" s="1"/>
  <c r="Y6" i="17" a="1"/>
  <c r="Y6" i="17" s="1"/>
  <c r="Z6" i="17" a="1"/>
  <c r="Z6" i="17" s="1"/>
  <c r="Y7" i="17" a="1"/>
  <c r="Y7" i="17" s="1"/>
  <c r="Z7" i="17" a="1"/>
  <c r="Z7" i="17" s="1"/>
  <c r="Y8" i="17" a="1"/>
  <c r="Y8" i="17" s="1"/>
  <c r="Z8" i="17" a="1"/>
  <c r="Z8" i="17" s="1"/>
  <c r="Y9" i="17" a="1"/>
  <c r="Y9" i="17" s="1"/>
  <c r="Z9" i="17" a="1"/>
  <c r="Z9" i="17" s="1"/>
  <c r="Y10" i="17" a="1"/>
  <c r="Y10" i="17" s="1"/>
  <c r="Z10" i="17" a="1"/>
  <c r="Z10" i="17" s="1"/>
  <c r="Y11" i="17" a="1"/>
  <c r="Y11" i="17" s="1"/>
  <c r="Z11" i="17" a="1"/>
  <c r="Z11" i="17" s="1"/>
  <c r="Y12" i="17" a="1"/>
  <c r="Y12" i="17" s="1"/>
  <c r="Z12" i="17" a="1"/>
  <c r="Z12" i="17" s="1"/>
  <c r="Y13" i="17" a="1"/>
  <c r="Y13" i="17" s="1"/>
  <c r="Z13" i="17" a="1"/>
  <c r="Z13" i="17" s="1"/>
  <c r="Y14" i="17" a="1"/>
  <c r="Y14" i="17" s="1"/>
  <c r="Z14" i="17" a="1"/>
  <c r="Z14" i="17" s="1"/>
  <c r="Y15" i="17" a="1"/>
  <c r="Y15" i="17" s="1"/>
  <c r="Z15" i="17" a="1"/>
  <c r="Z15" i="17" s="1"/>
  <c r="Y16" i="17" a="1"/>
  <c r="Y16" i="17" s="1"/>
  <c r="Z16" i="17" a="1"/>
  <c r="Z16" i="17" s="1"/>
  <c r="Y17" i="17" a="1"/>
  <c r="Y17" i="17" s="1"/>
  <c r="Z17" i="17" a="1"/>
  <c r="Z17" i="17" s="1"/>
  <c r="Y18" i="17" a="1"/>
  <c r="Y18" i="17" s="1"/>
  <c r="Z18" i="17" a="1"/>
  <c r="Z18" i="17" s="1"/>
  <c r="Y19" i="17" a="1"/>
  <c r="Y19" i="17" s="1"/>
  <c r="Z19" i="17" a="1"/>
  <c r="Z19" i="17" s="1"/>
  <c r="Y20" i="17" a="1"/>
  <c r="Y20" i="17" s="1"/>
  <c r="Z20" i="17" a="1"/>
  <c r="Z20" i="17" s="1"/>
  <c r="Y21" i="17" a="1"/>
  <c r="Y21" i="17" s="1"/>
  <c r="Z21" i="17" a="1"/>
  <c r="Z21" i="17" s="1"/>
  <c r="Y22" i="17" a="1"/>
  <c r="Y22" i="17" s="1"/>
  <c r="Z22" i="17" a="1"/>
  <c r="Z22" i="17" s="1"/>
  <c r="Y23" i="17" a="1"/>
  <c r="Y23" i="17" s="1"/>
  <c r="Z23" i="17" a="1"/>
  <c r="Z23" i="17" s="1"/>
  <c r="Y24" i="17" a="1"/>
  <c r="Y24" i="17" s="1"/>
  <c r="Z24" i="17" a="1"/>
  <c r="Z24" i="17" s="1"/>
  <c r="Y25" i="17" a="1"/>
  <c r="Y25" i="17" s="1"/>
  <c r="Z25" i="17" a="1"/>
  <c r="Z25" i="17" s="1"/>
  <c r="Y26" i="17" a="1"/>
  <c r="Y26" i="17" s="1"/>
  <c r="Z26" i="17" a="1"/>
  <c r="Z26" i="17" s="1"/>
  <c r="Y27" i="17" a="1"/>
  <c r="Y27" i="17" s="1"/>
  <c r="Z27" i="17" a="1"/>
  <c r="Z27" i="17" s="1"/>
  <c r="Y28" i="17" a="1"/>
  <c r="Y28" i="17" s="1"/>
  <c r="Z28" i="17" a="1"/>
  <c r="Z28" i="17" s="1"/>
  <c r="Y29" i="17" a="1"/>
  <c r="Y29" i="17" s="1"/>
  <c r="Z29" i="17" a="1"/>
  <c r="Z29" i="17" s="1"/>
  <c r="Y30" i="17" a="1"/>
  <c r="Y30" i="17" s="1"/>
  <c r="Z30" i="17" a="1"/>
  <c r="Z30" i="17" s="1"/>
  <c r="Y31" i="17" a="1"/>
  <c r="Y31" i="17" s="1"/>
  <c r="Z31" i="17" a="1"/>
  <c r="Z31" i="17" s="1"/>
  <c r="Y32" i="17" a="1"/>
  <c r="Y32" i="17" s="1"/>
  <c r="Z32" i="17" a="1"/>
  <c r="Z32" i="17" s="1"/>
  <c r="Y33" i="17" a="1"/>
  <c r="Y33" i="17" s="1"/>
  <c r="Z33" i="17" a="1"/>
  <c r="Z33" i="17" s="1"/>
  <c r="Y34" i="17" a="1"/>
  <c r="Y34" i="17" s="1"/>
  <c r="Z34" i="17" a="1"/>
  <c r="Z34" i="17" s="1"/>
  <c r="Y35" i="17" a="1"/>
  <c r="Y35" i="17" s="1"/>
  <c r="Z35" i="17" a="1"/>
  <c r="Z35" i="17" s="1"/>
  <c r="Y36" i="17" a="1"/>
  <c r="Y36" i="17" s="1"/>
  <c r="Z36" i="17" a="1"/>
  <c r="Z36" i="17" s="1"/>
  <c r="Y37" i="17" a="1"/>
  <c r="Y37" i="17" s="1"/>
  <c r="Z37" i="17" a="1"/>
  <c r="Z37" i="17" s="1"/>
  <c r="Y38" i="17" a="1"/>
  <c r="Y38" i="17" s="1"/>
  <c r="Z38" i="17" a="1"/>
  <c r="Z38" i="17" s="1"/>
  <c r="Y39" i="17" a="1"/>
  <c r="Y39" i="17" s="1"/>
  <c r="Z39" i="17" a="1"/>
  <c r="Z39" i="17" s="1"/>
  <c r="Y40" i="17" a="1"/>
  <c r="Y40" i="17" s="1"/>
  <c r="Z40" i="17" a="1"/>
  <c r="Z40" i="17" s="1"/>
  <c r="Y41" i="17" a="1"/>
  <c r="Y41" i="17" s="1"/>
  <c r="Z41" i="17" a="1"/>
  <c r="Z41" i="17" s="1"/>
  <c r="Y42" i="17" a="1"/>
  <c r="Y42" i="17" s="1"/>
  <c r="Z42" i="17" a="1"/>
  <c r="Z42" i="17" s="1"/>
  <c r="Y43" i="17" a="1"/>
  <c r="Y43" i="17" s="1"/>
  <c r="Z43" i="17" a="1"/>
  <c r="Z43" i="17" s="1"/>
  <c r="Y44" i="17" a="1"/>
  <c r="Y44" i="17" s="1"/>
  <c r="Z44" i="17" a="1"/>
  <c r="Z44" i="17" s="1"/>
  <c r="Y45" i="17" a="1"/>
  <c r="Y45" i="17" s="1"/>
  <c r="Z45" i="17" a="1"/>
  <c r="Z45" i="17" s="1"/>
  <c r="Y46" i="17" a="1"/>
  <c r="Y46" i="17" s="1"/>
  <c r="Z46" i="17" a="1"/>
  <c r="Z46" i="17" s="1"/>
  <c r="Y47" i="17" a="1"/>
  <c r="Y47" i="17" s="1"/>
  <c r="Z47" i="17" a="1"/>
  <c r="Z47" i="17" s="1"/>
  <c r="Y48" i="17" a="1"/>
  <c r="Y48" i="17" s="1"/>
  <c r="Z48" i="17" a="1"/>
  <c r="Z48" i="17" s="1"/>
  <c r="Y49" i="17" a="1"/>
  <c r="Y49" i="17" s="1"/>
  <c r="Z49" i="17" a="1"/>
  <c r="Z49" i="17" s="1"/>
  <c r="Y50" i="17" a="1"/>
  <c r="Y50" i="17" s="1"/>
  <c r="Z50" i="17" a="1"/>
  <c r="Z50" i="17" s="1"/>
  <c r="Y51" i="17" a="1"/>
  <c r="Y51" i="17" s="1"/>
  <c r="Z51" i="17" a="1"/>
  <c r="Z51" i="17" s="1"/>
  <c r="Y52" i="17" a="1"/>
  <c r="Y52" i="17" s="1"/>
  <c r="Z52" i="17" a="1"/>
  <c r="Z52" i="17" s="1"/>
  <c r="Y53" i="17" a="1"/>
  <c r="Y53" i="17" s="1"/>
  <c r="Z53" i="17" a="1"/>
  <c r="Z53" i="17" s="1"/>
  <c r="Y54" i="17" a="1"/>
  <c r="Y54" i="17" s="1"/>
  <c r="Z54" i="17" a="1"/>
  <c r="Z54" i="17" s="1"/>
  <c r="Y55" i="17" a="1"/>
  <c r="Y55" i="17" s="1"/>
  <c r="Z55" i="17" a="1"/>
  <c r="Z55" i="17" s="1"/>
  <c r="Y56" i="17" a="1"/>
  <c r="Y56" i="17" s="1"/>
  <c r="Z56" i="17" a="1"/>
  <c r="Z56" i="17" s="1"/>
  <c r="Y57" i="17" a="1"/>
  <c r="Y57" i="17" s="1"/>
  <c r="Z57" i="17" a="1"/>
  <c r="Z57" i="17" s="1"/>
  <c r="Y58" i="17" a="1"/>
  <c r="Y58" i="17" s="1"/>
  <c r="Z58" i="17" a="1"/>
  <c r="Z58" i="17" s="1"/>
  <c r="Y59" i="17" a="1"/>
  <c r="Y59" i="17" s="1"/>
  <c r="Z59" i="17" a="1"/>
  <c r="Z59" i="17" s="1"/>
  <c r="Y60" i="17" a="1"/>
  <c r="Y60" i="17" s="1"/>
  <c r="Z60" i="17" a="1"/>
  <c r="Z60" i="17" s="1"/>
  <c r="Y61" i="17" a="1"/>
  <c r="Y61" i="17" s="1"/>
  <c r="Z61" i="17" a="1"/>
  <c r="Z61" i="17" s="1"/>
  <c r="Y62" i="17" a="1"/>
  <c r="Y62" i="17" s="1"/>
  <c r="Z62" i="17" a="1"/>
  <c r="Z62" i="17" s="1"/>
  <c r="Y63" i="17" a="1"/>
  <c r="Y63" i="17" s="1"/>
  <c r="Z63" i="17" a="1"/>
  <c r="Z63" i="17" s="1"/>
  <c r="Y64" i="17" a="1"/>
  <c r="Y64" i="17" s="1"/>
  <c r="Z64" i="17" a="1"/>
  <c r="Z64" i="17" s="1"/>
  <c r="Y65" i="17" a="1"/>
  <c r="Y65" i="17" s="1"/>
  <c r="Z65" i="17" a="1"/>
  <c r="Z65" i="17" s="1"/>
  <c r="Y66" i="17" a="1"/>
  <c r="Y66" i="17" s="1"/>
  <c r="Z66" i="17" a="1"/>
  <c r="Z66" i="17" s="1"/>
  <c r="Y67" i="17" a="1"/>
  <c r="Y67" i="17" s="1"/>
  <c r="Z67" i="17" a="1"/>
  <c r="Z67" i="17" s="1"/>
  <c r="Y68" i="17" a="1"/>
  <c r="Y68" i="17" s="1"/>
  <c r="Z68" i="17" a="1"/>
  <c r="Z68" i="17" s="1"/>
  <c r="Y69" i="17" a="1"/>
  <c r="Y69" i="17" s="1"/>
  <c r="Z69" i="17" a="1"/>
  <c r="Z69" i="17" s="1"/>
  <c r="Y70" i="17" a="1"/>
  <c r="Y70" i="17" s="1"/>
  <c r="Z70" i="17" a="1"/>
  <c r="Z70" i="17" s="1"/>
  <c r="Y71" i="17" a="1"/>
  <c r="Y71" i="17" s="1"/>
  <c r="Z71" i="17" a="1"/>
  <c r="Z71" i="17" s="1"/>
  <c r="Y72" i="17" a="1"/>
  <c r="Y72" i="17" s="1"/>
  <c r="Z72" i="17" a="1"/>
  <c r="Z72" i="17" s="1"/>
  <c r="Y73" i="17" a="1"/>
  <c r="Y73" i="17" s="1"/>
  <c r="Z73" i="17" a="1"/>
  <c r="Z73" i="17" s="1"/>
  <c r="Y74" i="17" a="1"/>
  <c r="Y74" i="17" s="1"/>
  <c r="Z74" i="17" a="1"/>
  <c r="Z74" i="17" s="1"/>
  <c r="Y75" i="17" a="1"/>
  <c r="Y75" i="17" s="1"/>
  <c r="Z75" i="17" a="1"/>
  <c r="Z75" i="17" s="1"/>
  <c r="Y76" i="17" a="1"/>
  <c r="Y76" i="17" s="1"/>
  <c r="Z76" i="17" a="1"/>
  <c r="Z76" i="17" s="1"/>
  <c r="Y77" i="17" a="1"/>
  <c r="Y77" i="17" s="1"/>
  <c r="Z77" i="17" a="1"/>
  <c r="Z77" i="17" s="1"/>
  <c r="Y78" i="17" a="1"/>
  <c r="Y78" i="17" s="1"/>
  <c r="Z78" i="17" a="1"/>
  <c r="Z78" i="17" s="1"/>
  <c r="Y79" i="17" a="1"/>
  <c r="Y79" i="17" s="1"/>
  <c r="Z79" i="17" a="1"/>
  <c r="Z79" i="17" s="1"/>
  <c r="Y80" i="17" a="1"/>
  <c r="Y80" i="17" s="1"/>
  <c r="Z80" i="17" a="1"/>
  <c r="Z80" i="17" s="1"/>
  <c r="Y81" i="17" a="1"/>
  <c r="Y81" i="17" s="1"/>
  <c r="Z81" i="17" a="1"/>
  <c r="Z81" i="17" s="1"/>
  <c r="Y82" i="17" a="1"/>
  <c r="Y82" i="17" s="1"/>
  <c r="Z82" i="17" a="1"/>
  <c r="Z82" i="17" s="1"/>
  <c r="Y83" i="17" a="1"/>
  <c r="Y83" i="17" s="1"/>
  <c r="Z83" i="17" a="1"/>
  <c r="Z83" i="17" s="1"/>
  <c r="Y84" i="17" a="1"/>
  <c r="Y84" i="17" s="1"/>
  <c r="Z84" i="17" a="1"/>
  <c r="Z84" i="17" s="1"/>
  <c r="Y85" i="17" a="1"/>
  <c r="Y85" i="17" s="1"/>
  <c r="Z85" i="17" a="1"/>
  <c r="Z85" i="17" s="1"/>
  <c r="Y86" i="17" a="1"/>
  <c r="Y86" i="17" s="1"/>
  <c r="Z86" i="17" a="1"/>
  <c r="Z86" i="17" s="1"/>
  <c r="Y87" i="17" a="1"/>
  <c r="Y87" i="17" s="1"/>
  <c r="Z87" i="17" a="1"/>
  <c r="Z87" i="17" s="1"/>
  <c r="Y88" i="17" a="1"/>
  <c r="Y88" i="17" s="1"/>
  <c r="Z88" i="17" a="1"/>
  <c r="Z88" i="17" s="1"/>
  <c r="Y89" i="17" a="1"/>
  <c r="Y89" i="17" s="1"/>
  <c r="Z89" i="17" a="1"/>
  <c r="Z89" i="17" s="1"/>
  <c r="Y90" i="17" a="1"/>
  <c r="Y90" i="17" s="1"/>
  <c r="Z90" i="17" a="1"/>
  <c r="Z90" i="17" s="1"/>
  <c r="Y91" i="17" a="1"/>
  <c r="Y91" i="17" s="1"/>
  <c r="Z91" i="17" a="1"/>
  <c r="Z91" i="17" s="1"/>
  <c r="Y92" i="17" a="1"/>
  <c r="Y92" i="17" s="1"/>
  <c r="Z92" i="17" a="1"/>
  <c r="Z92" i="17" s="1"/>
  <c r="Y93" i="17" a="1"/>
  <c r="Y93" i="17" s="1"/>
  <c r="Z93" i="17" a="1"/>
  <c r="Z93" i="17" s="1"/>
  <c r="Y94" i="17" a="1"/>
  <c r="Y94" i="17" s="1"/>
  <c r="Z94" i="17" a="1"/>
  <c r="Z94" i="17" s="1"/>
  <c r="Y95" i="17" a="1"/>
  <c r="Y95" i="17" s="1"/>
  <c r="Z95" i="17" a="1"/>
  <c r="Z95" i="17"/>
  <c r="Y96" i="17" a="1"/>
  <c r="Y96" i="17" s="1"/>
  <c r="Z96" i="17" a="1"/>
  <c r="Z96" i="17" s="1"/>
  <c r="Y97" i="17" a="1"/>
  <c r="Y97" i="17" s="1"/>
  <c r="Z97" i="17" a="1"/>
  <c r="Z97" i="17" s="1"/>
  <c r="Y98" i="17" a="1"/>
  <c r="Y98" i="17" s="1"/>
  <c r="Z98" i="17" a="1"/>
  <c r="Z98" i="17" s="1"/>
  <c r="Y99" i="17" a="1"/>
  <c r="Y99" i="17" s="1"/>
  <c r="Z99" i="17" a="1"/>
  <c r="Z99" i="17" s="1"/>
  <c r="Y100" i="17" a="1"/>
  <c r="Y100" i="17" s="1"/>
  <c r="Z100" i="17" a="1"/>
  <c r="Z100" i="17" s="1"/>
  <c r="Y101" i="17" a="1"/>
  <c r="Y101" i="17" s="1"/>
  <c r="Z101" i="17" a="1"/>
  <c r="Z101" i="17" s="1"/>
  <c r="Y102" i="17" a="1"/>
  <c r="Y102" i="17" s="1"/>
  <c r="Z102" i="17" a="1"/>
  <c r="Z102" i="17" s="1"/>
  <c r="Y103" i="17" a="1"/>
  <c r="Y103" i="17" s="1"/>
  <c r="Z103" i="17" a="1"/>
  <c r="Z103" i="17" s="1"/>
  <c r="Y104" i="17" a="1"/>
  <c r="Y104" i="17" s="1"/>
  <c r="Z104" i="17" a="1"/>
  <c r="Z104" i="17" s="1"/>
  <c r="Y105" i="17" a="1"/>
  <c r="Y105" i="17" s="1"/>
  <c r="Z105" i="17" a="1"/>
  <c r="Z105" i="17" s="1"/>
  <c r="Y106" i="17" a="1"/>
  <c r="Y106" i="17" s="1"/>
  <c r="Z106" i="17" a="1"/>
  <c r="Z106" i="17" s="1"/>
  <c r="Y107" i="17" a="1"/>
  <c r="Y107" i="17" s="1"/>
  <c r="Z107" i="17" a="1"/>
  <c r="Z107" i="17" s="1"/>
  <c r="Y108" i="17" a="1"/>
  <c r="Y108" i="17" s="1"/>
  <c r="Z108" i="17" a="1"/>
  <c r="Z108" i="17" s="1"/>
  <c r="Y109" i="17" a="1"/>
  <c r="Y109" i="17" s="1"/>
  <c r="Z109" i="17" a="1"/>
  <c r="Z109" i="17" s="1"/>
  <c r="Y110" i="17" a="1"/>
  <c r="Y110" i="17" s="1"/>
  <c r="Z110" i="17" a="1"/>
  <c r="Z110" i="17" s="1"/>
  <c r="Y111" i="17" a="1"/>
  <c r="Y111" i="17" s="1"/>
  <c r="Z111" i="17" a="1"/>
  <c r="Z111" i="17" s="1"/>
  <c r="Y112" i="17" a="1"/>
  <c r="Y112" i="17" s="1"/>
  <c r="Z112" i="17" a="1"/>
  <c r="Z112" i="17" s="1"/>
  <c r="Y113" i="17" a="1"/>
  <c r="Y113" i="17" s="1"/>
  <c r="Z113" i="17" a="1"/>
  <c r="Z113" i="17" s="1"/>
  <c r="Y114" i="17" a="1"/>
  <c r="Y114" i="17" s="1"/>
  <c r="Z114" i="17" a="1"/>
  <c r="Z114" i="17" s="1"/>
  <c r="Y115" i="17" a="1"/>
  <c r="Y115" i="17" s="1"/>
  <c r="Z115" i="17" a="1"/>
  <c r="Z115" i="17" s="1"/>
  <c r="Y116" i="17" a="1"/>
  <c r="Y116" i="17" s="1"/>
  <c r="Z116" i="17" a="1"/>
  <c r="Z116" i="17" s="1"/>
  <c r="Y117" i="17" a="1"/>
  <c r="Y117" i="17" s="1"/>
  <c r="Z117" i="17" a="1"/>
  <c r="Z117" i="17" s="1"/>
  <c r="Y118" i="17" a="1"/>
  <c r="Y118" i="17" s="1"/>
  <c r="Z118" i="17" a="1"/>
  <c r="Z118" i="17" s="1"/>
  <c r="Y119" i="17" a="1"/>
  <c r="Y119" i="17" s="1"/>
  <c r="Z119" i="17" a="1"/>
  <c r="Z119" i="17" s="1"/>
  <c r="Y120" i="17" a="1"/>
  <c r="Y120" i="17" s="1"/>
  <c r="Z120" i="17" a="1"/>
  <c r="Z120" i="17" s="1"/>
  <c r="Y121" i="17" a="1"/>
  <c r="Y121" i="17" s="1"/>
  <c r="Z121" i="17" a="1"/>
  <c r="Z121" i="17" s="1"/>
  <c r="Y122" i="17" a="1"/>
  <c r="Y122" i="17" s="1"/>
  <c r="Z122" i="17" a="1"/>
  <c r="Z122" i="17" s="1"/>
  <c r="Y123" i="17" a="1"/>
  <c r="Y123" i="17" s="1"/>
  <c r="Z123" i="17" a="1"/>
  <c r="Z123" i="17" s="1"/>
  <c r="Y124" i="17" a="1"/>
  <c r="Y124" i="17" s="1"/>
  <c r="Z124" i="17" a="1"/>
  <c r="Z124" i="17" s="1"/>
  <c r="Y125" i="17" a="1"/>
  <c r="Y125" i="17" s="1"/>
  <c r="Z125" i="17" a="1"/>
  <c r="Z125" i="17" s="1"/>
  <c r="Y126" i="17" a="1"/>
  <c r="Y126" i="17" s="1"/>
  <c r="Z126" i="17" a="1"/>
  <c r="Z126" i="17" s="1"/>
  <c r="Y127" i="17" a="1"/>
  <c r="Y127" i="17" s="1"/>
  <c r="Z127" i="17" a="1"/>
  <c r="Z127" i="17" s="1"/>
  <c r="Y128" i="17" a="1"/>
  <c r="Y128" i="17" s="1"/>
  <c r="Z128" i="17" a="1"/>
  <c r="Z128" i="17" s="1"/>
  <c r="Y129" i="17" a="1"/>
  <c r="Y129" i="17" s="1"/>
  <c r="Z129" i="17" a="1"/>
  <c r="Z129" i="17" s="1"/>
  <c r="Y130" i="17" a="1"/>
  <c r="Y130" i="17" s="1"/>
  <c r="Z130" i="17" a="1"/>
  <c r="Z130" i="17" s="1"/>
  <c r="Y131" i="17" a="1"/>
  <c r="Y131" i="17" s="1"/>
  <c r="Z131" i="17" a="1"/>
  <c r="Z131" i="17" s="1"/>
  <c r="Y132" i="17" a="1"/>
  <c r="Y132" i="17" s="1"/>
  <c r="Z132" i="17" a="1"/>
  <c r="Z132" i="17" s="1"/>
  <c r="Y133" i="17" a="1"/>
  <c r="Y133" i="17" s="1"/>
  <c r="Z133" i="17" a="1"/>
  <c r="Z133" i="17" s="1"/>
  <c r="Y134" i="17" a="1"/>
  <c r="Y134" i="17" s="1"/>
  <c r="Z134" i="17" a="1"/>
  <c r="Z134" i="17" s="1"/>
  <c r="Y135" i="17" a="1"/>
  <c r="Y135" i="17" s="1"/>
  <c r="Z135" i="17" a="1"/>
  <c r="Z135" i="17" s="1"/>
  <c r="Y136" i="17" a="1"/>
  <c r="Y136" i="17" s="1"/>
  <c r="Z136" i="17" a="1"/>
  <c r="Z136" i="17" s="1"/>
  <c r="Y137" i="17" a="1"/>
  <c r="Y137" i="17" s="1"/>
  <c r="Z137" i="17" a="1"/>
  <c r="Z137" i="17" s="1"/>
  <c r="Y138" i="17" a="1"/>
  <c r="Y138" i="17" s="1"/>
  <c r="Z138" i="17" a="1"/>
  <c r="Z138" i="17" s="1"/>
  <c r="Y139" i="17" a="1"/>
  <c r="Y139" i="17" s="1"/>
  <c r="Z139" i="17" a="1"/>
  <c r="Z139" i="17" s="1"/>
  <c r="Y140" i="17" a="1"/>
  <c r="Y140" i="17" s="1"/>
  <c r="Z140" i="17" a="1"/>
  <c r="Z140" i="17" s="1"/>
  <c r="Y141" i="17" a="1"/>
  <c r="Y141" i="17" s="1"/>
  <c r="Z141" i="17" a="1"/>
  <c r="Z141" i="17" s="1"/>
  <c r="Y142" i="17" a="1"/>
  <c r="Y142" i="17" s="1"/>
  <c r="Z142" i="17" a="1"/>
  <c r="Z142" i="17" s="1"/>
  <c r="Y143" i="17" a="1"/>
  <c r="Y143" i="17" s="1"/>
  <c r="Z143" i="17" a="1"/>
  <c r="Z143" i="17" s="1"/>
  <c r="Y144" i="17" a="1"/>
  <c r="Y144" i="17" s="1"/>
  <c r="Z144" i="17" a="1"/>
  <c r="Z144" i="17" s="1"/>
  <c r="Y145" i="17" a="1"/>
  <c r="Y145" i="17" s="1"/>
  <c r="Z145" i="17" a="1"/>
  <c r="Z145" i="17" s="1"/>
  <c r="Y146" i="17" a="1"/>
  <c r="Y146" i="17" s="1"/>
  <c r="Z146" i="17" a="1"/>
  <c r="Z146" i="17" s="1"/>
  <c r="Y147" i="17" a="1"/>
  <c r="Y147" i="17" s="1"/>
  <c r="Z147" i="17" a="1"/>
  <c r="Z147" i="17" s="1"/>
  <c r="Y148" i="17" a="1"/>
  <c r="Y148" i="17" s="1"/>
  <c r="Z148" i="17" a="1"/>
  <c r="Z148" i="17" s="1"/>
  <c r="Y149" i="17" a="1"/>
  <c r="Y149" i="17" s="1"/>
  <c r="Z149" i="17" a="1"/>
  <c r="Z149" i="17" s="1"/>
  <c r="Y150" i="17" a="1"/>
  <c r="Y150" i="17" s="1"/>
  <c r="Z150" i="17" a="1"/>
  <c r="Z150" i="17" s="1"/>
  <c r="Y151" i="17" a="1"/>
  <c r="Y151" i="17" s="1"/>
  <c r="Z151" i="17" a="1"/>
  <c r="Z151" i="17" s="1"/>
  <c r="Y152" i="17" a="1"/>
  <c r="Y152" i="17" s="1"/>
  <c r="Z152" i="17" a="1"/>
  <c r="Z152" i="17" s="1"/>
  <c r="Y153" i="17" a="1"/>
  <c r="Y153" i="17" s="1"/>
  <c r="Z153" i="17" a="1"/>
  <c r="Z153" i="17" s="1"/>
  <c r="Y154" i="17" a="1"/>
  <c r="Y154" i="17" s="1"/>
  <c r="Z154" i="17" a="1"/>
  <c r="Z154" i="17" s="1"/>
  <c r="Y155" i="17" a="1"/>
  <c r="Y155" i="17" s="1"/>
  <c r="Z155" i="17" a="1"/>
  <c r="Z155" i="17" s="1"/>
  <c r="Y156" i="17" a="1"/>
  <c r="Y156" i="17" s="1"/>
  <c r="Z156" i="17" a="1"/>
  <c r="Z156" i="17" s="1"/>
  <c r="Y157" i="17" a="1"/>
  <c r="Y157" i="17" s="1"/>
  <c r="Z157" i="17" a="1"/>
  <c r="Z157" i="17" s="1"/>
  <c r="Y158" i="17" a="1"/>
  <c r="Y158" i="17" s="1"/>
  <c r="Z158" i="17" a="1"/>
  <c r="Z158" i="17" s="1"/>
  <c r="Y159" i="17" a="1"/>
  <c r="Y159" i="17" s="1"/>
  <c r="Z159" i="17" a="1"/>
  <c r="Z159" i="17" s="1"/>
  <c r="Y160" i="17" a="1"/>
  <c r="Y160" i="17" s="1"/>
  <c r="Z160" i="17" a="1"/>
  <c r="Z160" i="17" s="1"/>
  <c r="Y161" i="17" a="1"/>
  <c r="Y161" i="17" s="1"/>
  <c r="Z161" i="17" a="1"/>
  <c r="Z161" i="17" s="1"/>
  <c r="Y162" i="17" a="1"/>
  <c r="Y162" i="17" s="1"/>
  <c r="Z162" i="17" a="1"/>
  <c r="Z162" i="17" s="1"/>
  <c r="Y163" i="17" a="1"/>
  <c r="Y163" i="17" s="1"/>
  <c r="Z163" i="17" a="1"/>
  <c r="Z163" i="17" s="1"/>
  <c r="Y164" i="17" a="1"/>
  <c r="Y164" i="17" s="1"/>
  <c r="Z164" i="17" a="1"/>
  <c r="Z164" i="17" s="1"/>
  <c r="Y165" i="17" a="1"/>
  <c r="Y165" i="17" s="1"/>
  <c r="Z165" i="17" a="1"/>
  <c r="Z165" i="17" s="1"/>
  <c r="Y166" i="17" a="1"/>
  <c r="Y166" i="17" s="1"/>
  <c r="Z166" i="17" a="1"/>
  <c r="Z166" i="17" s="1"/>
  <c r="Y167" i="17" a="1"/>
  <c r="Y167" i="17" s="1"/>
  <c r="Z167" i="17" a="1"/>
  <c r="Z167" i="17" s="1"/>
  <c r="Y168" i="17" a="1"/>
  <c r="Y168" i="17" s="1"/>
  <c r="Z168" i="17" a="1"/>
  <c r="Z168" i="17" s="1"/>
  <c r="Y169" i="17" a="1"/>
  <c r="Y169" i="17" s="1"/>
  <c r="Z169" i="17" a="1"/>
  <c r="Z169" i="17" s="1"/>
  <c r="Y170" i="17" a="1"/>
  <c r="Y170" i="17" s="1"/>
  <c r="Z170" i="17" a="1"/>
  <c r="Z170" i="17" s="1"/>
  <c r="Y171" i="17" a="1"/>
  <c r="Y171" i="17" s="1"/>
  <c r="Z171" i="17" a="1"/>
  <c r="Z171" i="17" s="1"/>
  <c r="Y172" i="17" a="1"/>
  <c r="Y172" i="17" s="1"/>
  <c r="Z172" i="17" a="1"/>
  <c r="Z172" i="17" s="1"/>
  <c r="Y173" i="17" a="1"/>
  <c r="Y173" i="17" s="1"/>
  <c r="Z173" i="17" a="1"/>
  <c r="Z173" i="17" s="1"/>
  <c r="Y174" i="17" a="1"/>
  <c r="Y174" i="17" s="1"/>
  <c r="Z174" i="17" a="1"/>
  <c r="Z174" i="17" s="1"/>
  <c r="Y175" i="17" a="1"/>
  <c r="Y175" i="17" s="1"/>
  <c r="Z175" i="17" a="1"/>
  <c r="Z175" i="17" s="1"/>
  <c r="Y176" i="17" a="1"/>
  <c r="Y176" i="17" s="1"/>
  <c r="Z176" i="17" a="1"/>
  <c r="Z176" i="17" s="1"/>
  <c r="Y177" i="17" a="1"/>
  <c r="Y177" i="17" s="1"/>
  <c r="Z177" i="17" a="1"/>
  <c r="Z177" i="17" s="1"/>
  <c r="Y178" i="17" a="1"/>
  <c r="Y178" i="17" s="1"/>
  <c r="Z178" i="17" a="1"/>
  <c r="Z178" i="17" s="1"/>
  <c r="Y179" i="17" a="1"/>
  <c r="Y179" i="17" s="1"/>
  <c r="Z179" i="17" a="1"/>
  <c r="Z179" i="17" s="1"/>
  <c r="Y180" i="17" a="1"/>
  <c r="Y180" i="17" s="1"/>
  <c r="Z180" i="17" a="1"/>
  <c r="Z180" i="17" s="1"/>
  <c r="Y181" i="17" a="1"/>
  <c r="Y181" i="17" s="1"/>
  <c r="Z181" i="17" a="1"/>
  <c r="Z181" i="17" s="1"/>
  <c r="Y182" i="17" a="1"/>
  <c r="Y182" i="17" s="1"/>
  <c r="Z182" i="17" a="1"/>
  <c r="Z182" i="17" s="1"/>
  <c r="Y183" i="17" a="1"/>
  <c r="Y183" i="17" s="1"/>
  <c r="Z183" i="17" a="1"/>
  <c r="Z183" i="17" s="1"/>
  <c r="Y184" i="17" a="1"/>
  <c r="Y184" i="17" s="1"/>
  <c r="Z184" i="17" a="1"/>
  <c r="Z184" i="17" s="1"/>
  <c r="Y185" i="17" a="1"/>
  <c r="Y185" i="17" s="1"/>
  <c r="Z185" i="17" a="1"/>
  <c r="Z185" i="17" s="1"/>
  <c r="Y186" i="17" a="1"/>
  <c r="Y186" i="17" s="1"/>
  <c r="Z186" i="17" a="1"/>
  <c r="Z186" i="17" s="1"/>
  <c r="Y187" i="17" a="1"/>
  <c r="Y187" i="17" s="1"/>
  <c r="Z187" i="17" a="1"/>
  <c r="Z187" i="17" s="1"/>
  <c r="Y188" i="17" a="1"/>
  <c r="Y188" i="17" s="1"/>
  <c r="Z188" i="17" a="1"/>
  <c r="Z188" i="17" s="1"/>
  <c r="Y189" i="17" a="1"/>
  <c r="Y189" i="17" s="1"/>
  <c r="Z189" i="17" a="1"/>
  <c r="Z189" i="17" s="1"/>
  <c r="Y190" i="17" a="1"/>
  <c r="Y190" i="17" s="1"/>
  <c r="Z190" i="17" a="1"/>
  <c r="Z190" i="17" s="1"/>
  <c r="Y191" i="17" a="1"/>
  <c r="Y191" i="17" s="1"/>
  <c r="Z191" i="17" a="1"/>
  <c r="Z191" i="17" s="1"/>
  <c r="Y192" i="17" a="1"/>
  <c r="Y192" i="17" s="1"/>
  <c r="Z192" i="17" a="1"/>
  <c r="Z192" i="17" s="1"/>
  <c r="Y193" i="17" a="1"/>
  <c r="Y193" i="17" s="1"/>
  <c r="Z193" i="17" a="1"/>
  <c r="Z193" i="17" s="1"/>
  <c r="Y194" i="17" a="1"/>
  <c r="Y194" i="17" s="1"/>
  <c r="Z194" i="17" a="1"/>
  <c r="Z194" i="17" s="1"/>
  <c r="Y195" i="17" a="1"/>
  <c r="Y195" i="17" s="1"/>
  <c r="Z195" i="17" a="1"/>
  <c r="Z195" i="17" s="1"/>
  <c r="Y196" i="17" a="1"/>
  <c r="Y196" i="17" s="1"/>
  <c r="Z196" i="17" a="1"/>
  <c r="Z196" i="17" s="1"/>
  <c r="Y197" i="17" a="1"/>
  <c r="Y197" i="17" s="1"/>
  <c r="Z197" i="17" a="1"/>
  <c r="Z197" i="17" s="1"/>
  <c r="Y198" i="17" a="1"/>
  <c r="Y198" i="17" s="1"/>
  <c r="Z198" i="17" a="1"/>
  <c r="Z198" i="17" s="1"/>
  <c r="Y199" i="17" a="1"/>
  <c r="Y199" i="17" s="1"/>
  <c r="Z199" i="17" a="1"/>
  <c r="Z199" i="17" s="1"/>
  <c r="Y200" i="17" a="1"/>
  <c r="Y200" i="17" s="1"/>
  <c r="Z200" i="17" a="1"/>
  <c r="Z200" i="17" s="1"/>
  <c r="Y201" i="17" a="1"/>
  <c r="Y201" i="17" s="1"/>
  <c r="Z201" i="17" a="1"/>
  <c r="Z201" i="17" s="1"/>
  <c r="Y202" i="17" a="1"/>
  <c r="Y202" i="17" s="1"/>
  <c r="Z202" i="17" a="1"/>
  <c r="Z202" i="17" s="1"/>
  <c r="Y203" i="17" a="1"/>
  <c r="Y203" i="17" s="1"/>
  <c r="Z203" i="17" a="1"/>
  <c r="Z203" i="17" s="1"/>
  <c r="Y204" i="17" a="1"/>
  <c r="Y204" i="17" s="1"/>
  <c r="Z204" i="17" a="1"/>
  <c r="Z204" i="17" s="1"/>
  <c r="Y205" i="17" a="1"/>
  <c r="Y205" i="17" s="1"/>
  <c r="Z205" i="17" a="1"/>
  <c r="Z205" i="17" s="1"/>
  <c r="Y206" i="17" a="1"/>
  <c r="Y206" i="17" s="1"/>
  <c r="Z206" i="17" a="1"/>
  <c r="Z206" i="17" s="1"/>
  <c r="Y207" i="17" a="1"/>
  <c r="Y207" i="17" s="1"/>
  <c r="Z207" i="17" a="1"/>
  <c r="Z207" i="17" s="1"/>
  <c r="Y208" i="17" a="1"/>
  <c r="Y208" i="17" s="1"/>
  <c r="Z208" i="17" a="1"/>
  <c r="Z208" i="17" s="1"/>
  <c r="Y209" i="17" a="1"/>
  <c r="Y209" i="17" s="1"/>
  <c r="Z209" i="17" a="1"/>
  <c r="Z209" i="17" s="1"/>
  <c r="Y210" i="17" a="1"/>
  <c r="Y210" i="17" s="1"/>
  <c r="Z210" i="17" a="1"/>
  <c r="Z210" i="17" s="1"/>
  <c r="Y211" i="17" a="1"/>
  <c r="Y211" i="17" s="1"/>
  <c r="Z211" i="17" a="1"/>
  <c r="Z211" i="17" s="1"/>
  <c r="Y212" i="17" a="1"/>
  <c r="Y212" i="17" s="1"/>
  <c r="Z212" i="17" a="1"/>
  <c r="Z212" i="17" s="1"/>
  <c r="Y213" i="17" a="1"/>
  <c r="Y213" i="17" s="1"/>
  <c r="Z213" i="17" a="1"/>
  <c r="Z213" i="17" s="1"/>
  <c r="Y214" i="17" a="1"/>
  <c r="Y214" i="17" s="1"/>
  <c r="Z214" i="17" a="1"/>
  <c r="Z214" i="17" s="1"/>
  <c r="Y215" i="17" a="1"/>
  <c r="Y215" i="17" s="1"/>
  <c r="Z215" i="17" a="1"/>
  <c r="Z215" i="17" s="1"/>
  <c r="Y216" i="17" a="1"/>
  <c r="Y216" i="17" s="1"/>
  <c r="Z216" i="17" a="1"/>
  <c r="Z216" i="17" s="1"/>
  <c r="Y217" i="17" a="1"/>
  <c r="Y217" i="17" s="1"/>
  <c r="Z217" i="17" a="1"/>
  <c r="Z217" i="17" s="1"/>
  <c r="Y218" i="17" a="1"/>
  <c r="Y218" i="17" s="1"/>
  <c r="Z218" i="17" a="1"/>
  <c r="Z218" i="17" s="1"/>
  <c r="Y219" i="17" a="1"/>
  <c r="Y219" i="17" s="1"/>
  <c r="Z219" i="17" a="1"/>
  <c r="Z219" i="17" s="1"/>
  <c r="Y220" i="17" a="1"/>
  <c r="Y220" i="17" s="1"/>
  <c r="Z220" i="17" a="1"/>
  <c r="Z220" i="17" s="1"/>
  <c r="Y221" i="17" a="1"/>
  <c r="Y221" i="17" s="1"/>
  <c r="Z221" i="17" a="1"/>
  <c r="Z221" i="17" s="1"/>
  <c r="Z2" i="17" a="1"/>
  <c r="Z2" i="17" s="1"/>
  <c r="Y2" i="17" a="1"/>
  <c r="Y2" i="17" s="1"/>
  <c r="Y3" i="13" a="1"/>
  <c r="Y3" i="13" s="1"/>
  <c r="Z3" i="13" a="1"/>
  <c r="Z3" i="13" s="1"/>
  <c r="Y4" i="13" a="1"/>
  <c r="Y4" i="13" s="1"/>
  <c r="Z4" i="13" a="1"/>
  <c r="Z4" i="13" s="1"/>
  <c r="Y5" i="13" a="1"/>
  <c r="Y5" i="13" s="1"/>
  <c r="Z5" i="13" a="1"/>
  <c r="Z5" i="13" s="1"/>
  <c r="Y6" i="13" a="1"/>
  <c r="Y6" i="13" s="1"/>
  <c r="Z6" i="13" a="1"/>
  <c r="Z6" i="13" s="1"/>
  <c r="Y7" i="13" a="1"/>
  <c r="Y7" i="13" s="1"/>
  <c r="Z7" i="13" a="1"/>
  <c r="Z7" i="13" s="1"/>
  <c r="Y8" i="13" a="1"/>
  <c r="Y8" i="13" s="1"/>
  <c r="Z8" i="13" a="1"/>
  <c r="Z8" i="13" s="1"/>
  <c r="Y9" i="13" a="1"/>
  <c r="Y9" i="13" s="1"/>
  <c r="Z9" i="13" a="1"/>
  <c r="Z9" i="13" s="1"/>
  <c r="Y10" i="13" a="1"/>
  <c r="Y10" i="13" s="1"/>
  <c r="Z10" i="13" a="1"/>
  <c r="Z10" i="13" s="1"/>
  <c r="Y11" i="13" a="1"/>
  <c r="Y11" i="13" s="1"/>
  <c r="Z11" i="13" a="1"/>
  <c r="Z11" i="13" s="1"/>
  <c r="Y12" i="13" a="1"/>
  <c r="Y12" i="13" s="1"/>
  <c r="Z12" i="13" a="1"/>
  <c r="Z12" i="13" s="1"/>
  <c r="Y13" i="13" a="1"/>
  <c r="Y13" i="13" s="1"/>
  <c r="Z13" i="13" a="1"/>
  <c r="Z13" i="13" s="1"/>
  <c r="Y14" i="13" a="1"/>
  <c r="Y14" i="13" s="1"/>
  <c r="Z14" i="13" a="1"/>
  <c r="Z14" i="13" s="1"/>
  <c r="Y15" i="13" a="1"/>
  <c r="Y15" i="13" s="1"/>
  <c r="Z15" i="13" a="1"/>
  <c r="Z15" i="13" s="1"/>
  <c r="Y16" i="13" a="1"/>
  <c r="Y16" i="13" s="1"/>
  <c r="Z16" i="13" a="1"/>
  <c r="Z16" i="13" s="1"/>
  <c r="Y17" i="13" a="1"/>
  <c r="Y17" i="13" s="1"/>
  <c r="Z17" i="13" a="1"/>
  <c r="Z17" i="13" s="1"/>
  <c r="Y18" i="13" a="1"/>
  <c r="Y18" i="13" s="1"/>
  <c r="Z18" i="13" a="1"/>
  <c r="Z18" i="13" s="1"/>
  <c r="Y19" i="13" a="1"/>
  <c r="Y19" i="13" s="1"/>
  <c r="Z19" i="13" a="1"/>
  <c r="Z19" i="13" s="1"/>
  <c r="Y20" i="13" a="1"/>
  <c r="Y20" i="13" s="1"/>
  <c r="Z20" i="13" a="1"/>
  <c r="Z20" i="13" s="1"/>
  <c r="Y21" i="13" a="1"/>
  <c r="Y21" i="13" s="1"/>
  <c r="Z21" i="13" a="1"/>
  <c r="Z21" i="13" s="1"/>
  <c r="Y22" i="13" a="1"/>
  <c r="Y22" i="13" s="1"/>
  <c r="Z22" i="13" a="1"/>
  <c r="Z22" i="13" s="1"/>
  <c r="Y23" i="13" a="1"/>
  <c r="Y23" i="13" s="1"/>
  <c r="Z23" i="13" a="1"/>
  <c r="Z23" i="13" s="1"/>
  <c r="Y24" i="13" a="1"/>
  <c r="Y24" i="13" s="1"/>
  <c r="Z24" i="13" a="1"/>
  <c r="Z24" i="13" s="1"/>
  <c r="Y25" i="13" a="1"/>
  <c r="Y25" i="13" s="1"/>
  <c r="Z25" i="13" a="1"/>
  <c r="Z25" i="13" s="1"/>
  <c r="Y26" i="13" a="1"/>
  <c r="Y26" i="13" s="1"/>
  <c r="Z26" i="13" a="1"/>
  <c r="Z26" i="13" s="1"/>
  <c r="Y27" i="13" a="1"/>
  <c r="Y27" i="13" s="1"/>
  <c r="Z27" i="13" a="1"/>
  <c r="Z27" i="13" s="1"/>
  <c r="Y28" i="13" a="1"/>
  <c r="Y28" i="13" s="1"/>
  <c r="Z28" i="13" a="1"/>
  <c r="Z28" i="13" s="1"/>
  <c r="Y29" i="13" a="1"/>
  <c r="Y29" i="13" s="1"/>
  <c r="Z29" i="13" a="1"/>
  <c r="Z29" i="13" s="1"/>
  <c r="Y30" i="13" a="1"/>
  <c r="Y30" i="13" s="1"/>
  <c r="Z30" i="13" a="1"/>
  <c r="Z30" i="13" s="1"/>
  <c r="Y31" i="13" a="1"/>
  <c r="Y31" i="13" s="1"/>
  <c r="Z31" i="13" a="1"/>
  <c r="Z31" i="13" s="1"/>
  <c r="Y32" i="13" a="1"/>
  <c r="Y32" i="13" s="1"/>
  <c r="Z32" i="13" a="1"/>
  <c r="Z32" i="13" s="1"/>
  <c r="Y33" i="13" a="1"/>
  <c r="Y33" i="13" s="1"/>
  <c r="Z33" i="13" a="1"/>
  <c r="Z33" i="13" s="1"/>
  <c r="Y34" i="13" a="1"/>
  <c r="Y34" i="13" s="1"/>
  <c r="Z34" i="13" a="1"/>
  <c r="Z34" i="13" s="1"/>
  <c r="Y35" i="13" a="1"/>
  <c r="Y35" i="13" s="1"/>
  <c r="Z35" i="13" a="1"/>
  <c r="Z35" i="13" s="1"/>
  <c r="Y36" i="13" a="1"/>
  <c r="Y36" i="13" s="1"/>
  <c r="Z36" i="13" a="1"/>
  <c r="Z36" i="13" s="1"/>
  <c r="Y37" i="13" a="1"/>
  <c r="Y37" i="13" s="1"/>
  <c r="Z37" i="13" a="1"/>
  <c r="Z37" i="13" s="1"/>
  <c r="Y38" i="13" a="1"/>
  <c r="Y38" i="13" s="1"/>
  <c r="Z38" i="13" a="1"/>
  <c r="Z38" i="13" s="1"/>
  <c r="Y39" i="13" a="1"/>
  <c r="Y39" i="13" s="1"/>
  <c r="Z39" i="13" a="1"/>
  <c r="Z39" i="13" s="1"/>
  <c r="Y40" i="13" a="1"/>
  <c r="Y40" i="13" s="1"/>
  <c r="Z40" i="13" a="1"/>
  <c r="Z40" i="13" s="1"/>
  <c r="Y41" i="13" a="1"/>
  <c r="Y41" i="13" s="1"/>
  <c r="Z41" i="13" a="1"/>
  <c r="Z41" i="13" s="1"/>
  <c r="Y42" i="13" a="1"/>
  <c r="Y42" i="13" s="1"/>
  <c r="Z42" i="13" a="1"/>
  <c r="Z42" i="13" s="1"/>
  <c r="Y43" i="13" a="1"/>
  <c r="Y43" i="13" s="1"/>
  <c r="Z43" i="13" a="1"/>
  <c r="Z43" i="13" s="1"/>
  <c r="Y44" i="13" a="1"/>
  <c r="Y44" i="13" s="1"/>
  <c r="Z44" i="13" a="1"/>
  <c r="Z44" i="13" s="1"/>
  <c r="Y45" i="13" a="1"/>
  <c r="Y45" i="13" s="1"/>
  <c r="Z45" i="13" a="1"/>
  <c r="Z45" i="13" s="1"/>
  <c r="Y46" i="13" a="1"/>
  <c r="Y46" i="13" s="1"/>
  <c r="Z46" i="13" a="1"/>
  <c r="Z46" i="13" s="1"/>
  <c r="Y47" i="13" a="1"/>
  <c r="Y47" i="13" s="1"/>
  <c r="Z47" i="13" a="1"/>
  <c r="Z47" i="13" s="1"/>
  <c r="Y48" i="13" a="1"/>
  <c r="Y48" i="13" s="1"/>
  <c r="Z48" i="13" a="1"/>
  <c r="Z48" i="13" s="1"/>
  <c r="Y49" i="13" a="1"/>
  <c r="Y49" i="13" s="1"/>
  <c r="Z49" i="13" a="1"/>
  <c r="Z49" i="13" s="1"/>
  <c r="Y50" i="13" a="1"/>
  <c r="Y50" i="13" s="1"/>
  <c r="Z50" i="13" a="1"/>
  <c r="Z50" i="13" s="1"/>
  <c r="Y51" i="13" a="1"/>
  <c r="Y51" i="13" s="1"/>
  <c r="Z51" i="13" a="1"/>
  <c r="Z51" i="13" s="1"/>
  <c r="Y52" i="13" a="1"/>
  <c r="Y52" i="13" s="1"/>
  <c r="Z52" i="13" a="1"/>
  <c r="Z52" i="13" s="1"/>
  <c r="Y53" i="13" a="1"/>
  <c r="Y53" i="13" s="1"/>
  <c r="Z53" i="13" a="1"/>
  <c r="Z53" i="13" s="1"/>
  <c r="Y54" i="13" a="1"/>
  <c r="Y54" i="13" s="1"/>
  <c r="Z54" i="13" a="1"/>
  <c r="Z54" i="13" s="1"/>
  <c r="Y55" i="13" a="1"/>
  <c r="Y55" i="13" s="1"/>
  <c r="Z55" i="13" a="1"/>
  <c r="Z55" i="13" s="1"/>
  <c r="Y56" i="13" a="1"/>
  <c r="Y56" i="13" s="1"/>
  <c r="Z56" i="13" a="1"/>
  <c r="Z56" i="13" s="1"/>
  <c r="Y57" i="13" a="1"/>
  <c r="Y57" i="13" s="1"/>
  <c r="Z57" i="13" a="1"/>
  <c r="Z57" i="13" s="1"/>
  <c r="Y58" i="13" a="1"/>
  <c r="Y58" i="13" s="1"/>
  <c r="Z58" i="13" a="1"/>
  <c r="Z58" i="13" s="1"/>
  <c r="Y59" i="13" a="1"/>
  <c r="Y59" i="13" s="1"/>
  <c r="Z59" i="13" a="1"/>
  <c r="Z59" i="13" s="1"/>
  <c r="Y60" i="13" a="1"/>
  <c r="Y60" i="13" s="1"/>
  <c r="Z60" i="13" a="1"/>
  <c r="Z60" i="13" s="1"/>
  <c r="Y61" i="13" a="1"/>
  <c r="Y61" i="13" s="1"/>
  <c r="Z61" i="13" a="1"/>
  <c r="Z61" i="13" s="1"/>
  <c r="Y62" i="13" a="1"/>
  <c r="Y62" i="13" s="1"/>
  <c r="Z62" i="13" a="1"/>
  <c r="Z62" i="13" s="1"/>
  <c r="Y63" i="13" a="1"/>
  <c r="Y63" i="13" s="1"/>
  <c r="Z63" i="13" a="1"/>
  <c r="Z63" i="13" s="1"/>
  <c r="Y64" i="13" a="1"/>
  <c r="Y64" i="13" s="1"/>
  <c r="Z64" i="13" a="1"/>
  <c r="Z64" i="13" s="1"/>
  <c r="Y65" i="13" a="1"/>
  <c r="Y65" i="13" s="1"/>
  <c r="Z65" i="13" a="1"/>
  <c r="Z65" i="13" s="1"/>
  <c r="Y66" i="13" a="1"/>
  <c r="Y66" i="13" s="1"/>
  <c r="Z66" i="13" a="1"/>
  <c r="Z66" i="13" s="1"/>
  <c r="Y67" i="13" a="1"/>
  <c r="Y67" i="13" s="1"/>
  <c r="Z67" i="13" a="1"/>
  <c r="Z67" i="13" s="1"/>
  <c r="Y68" i="13" a="1"/>
  <c r="Y68" i="13" s="1"/>
  <c r="Z68" i="13" a="1"/>
  <c r="Z68" i="13" s="1"/>
  <c r="Y69" i="13" a="1"/>
  <c r="Y69" i="13" s="1"/>
  <c r="Z69" i="13" a="1"/>
  <c r="Z69" i="13" s="1"/>
  <c r="Y70" i="13" a="1"/>
  <c r="Y70" i="13" s="1"/>
  <c r="Z70" i="13" a="1"/>
  <c r="Z70" i="13" s="1"/>
  <c r="Y71" i="13" a="1"/>
  <c r="Y71" i="13" s="1"/>
  <c r="Z71" i="13" a="1"/>
  <c r="Z71" i="13" s="1"/>
  <c r="Y72" i="13" a="1"/>
  <c r="Y72" i="13" s="1"/>
  <c r="Z72" i="13" a="1"/>
  <c r="Z72" i="13" s="1"/>
  <c r="Y73" i="13" a="1"/>
  <c r="Y73" i="13" s="1"/>
  <c r="Z73" i="13" a="1"/>
  <c r="Z73" i="13" s="1"/>
  <c r="Y74" i="13" a="1"/>
  <c r="Y74" i="13" s="1"/>
  <c r="Z74" i="13" a="1"/>
  <c r="Z74" i="13" s="1"/>
  <c r="Y75" i="13" a="1"/>
  <c r="Y75" i="13" s="1"/>
  <c r="Z75" i="13" a="1"/>
  <c r="Z75" i="13" s="1"/>
  <c r="Y76" i="13" a="1"/>
  <c r="Y76" i="13" s="1"/>
  <c r="Z76" i="13" a="1"/>
  <c r="Z76" i="13" s="1"/>
  <c r="Y77" i="13" a="1"/>
  <c r="Y77" i="13" s="1"/>
  <c r="Z77" i="13" a="1"/>
  <c r="Z77" i="13" s="1"/>
  <c r="Y78" i="13" a="1"/>
  <c r="Y78" i="13" s="1"/>
  <c r="Z78" i="13" a="1"/>
  <c r="Z78" i="13" s="1"/>
  <c r="Y79" i="13" a="1"/>
  <c r="Y79" i="13" s="1"/>
  <c r="Z79" i="13" a="1"/>
  <c r="Z79" i="13" s="1"/>
  <c r="Y80" i="13" a="1"/>
  <c r="Y80" i="13" s="1"/>
  <c r="Z80" i="13" a="1"/>
  <c r="Z80" i="13" s="1"/>
  <c r="Y81" i="13" a="1"/>
  <c r="Y81" i="13" s="1"/>
  <c r="Z81" i="13" a="1"/>
  <c r="Z81" i="13" s="1"/>
  <c r="Y82" i="13" a="1"/>
  <c r="Y82" i="13" s="1"/>
  <c r="Z82" i="13" a="1"/>
  <c r="Z82" i="13" s="1"/>
  <c r="Y83" i="13" a="1"/>
  <c r="Y83" i="13" s="1"/>
  <c r="Z83" i="13" a="1"/>
  <c r="Z83" i="13" s="1"/>
  <c r="Y84" i="13" a="1"/>
  <c r="Y84" i="13" s="1"/>
  <c r="Z84" i="13" a="1"/>
  <c r="Z84" i="13" s="1"/>
  <c r="Y85" i="13" a="1"/>
  <c r="Y85" i="13" s="1"/>
  <c r="Z85" i="13" a="1"/>
  <c r="Z85" i="13" s="1"/>
  <c r="Y86" i="13" a="1"/>
  <c r="Y86" i="13" s="1"/>
  <c r="Z86" i="13" a="1"/>
  <c r="Z86" i="13" s="1"/>
  <c r="Y87" i="13" a="1"/>
  <c r="Y87" i="13" s="1"/>
  <c r="Z87" i="13" a="1"/>
  <c r="Z87" i="13" s="1"/>
  <c r="Y88" i="13" a="1"/>
  <c r="Y88" i="13" s="1"/>
  <c r="Z88" i="13" a="1"/>
  <c r="Z88" i="13" s="1"/>
  <c r="Y89" i="13" a="1"/>
  <c r="Y89" i="13" s="1"/>
  <c r="Z89" i="13" a="1"/>
  <c r="Z89" i="13" s="1"/>
  <c r="Y90" i="13" a="1"/>
  <c r="Y90" i="13" s="1"/>
  <c r="Z90" i="13" a="1"/>
  <c r="Z90" i="13" s="1"/>
  <c r="Y91" i="13" a="1"/>
  <c r="Y91" i="13" s="1"/>
  <c r="Z91" i="13" a="1"/>
  <c r="Z91" i="13" s="1"/>
  <c r="Y92" i="13" a="1"/>
  <c r="Y92" i="13" s="1"/>
  <c r="Z92" i="13" a="1"/>
  <c r="Z92" i="13" s="1"/>
  <c r="Y93" i="13" a="1"/>
  <c r="Y93" i="13" s="1"/>
  <c r="Z93" i="13" a="1"/>
  <c r="Z93" i="13" s="1"/>
  <c r="Y94" i="13" a="1"/>
  <c r="Y94" i="13" s="1"/>
  <c r="Z94" i="13" a="1"/>
  <c r="Z94" i="13" s="1"/>
  <c r="Y95" i="13" a="1"/>
  <c r="Y95" i="13" s="1"/>
  <c r="Z95" i="13" a="1"/>
  <c r="Z95" i="13" s="1"/>
  <c r="Y96" i="13" a="1"/>
  <c r="Y96" i="13" s="1"/>
  <c r="Z96" i="13" a="1"/>
  <c r="Z96" i="13" s="1"/>
  <c r="Y97" i="13" a="1"/>
  <c r="Y97" i="13" s="1"/>
  <c r="Z97" i="13" a="1"/>
  <c r="Z97" i="13" s="1"/>
  <c r="Y98" i="13" a="1"/>
  <c r="Y98" i="13" s="1"/>
  <c r="Z98" i="13" a="1"/>
  <c r="Z98" i="13" s="1"/>
  <c r="Y99" i="13" a="1"/>
  <c r="Y99" i="13" s="1"/>
  <c r="Z99" i="13" a="1"/>
  <c r="Z99" i="13" s="1"/>
  <c r="Y100" i="13" a="1"/>
  <c r="Y100" i="13" s="1"/>
  <c r="Z100" i="13" a="1"/>
  <c r="Z100" i="13" s="1"/>
  <c r="Y101" i="13" a="1"/>
  <c r="Y101" i="13" s="1"/>
  <c r="Z101" i="13" a="1"/>
  <c r="Z101" i="13" s="1"/>
  <c r="Y102" i="13" a="1"/>
  <c r="Y102" i="13" s="1"/>
  <c r="Z102" i="13" a="1"/>
  <c r="Z102" i="13" s="1"/>
  <c r="Y103" i="13" a="1"/>
  <c r="Y103" i="13" s="1"/>
  <c r="Z103" i="13" a="1"/>
  <c r="Z103" i="13" s="1"/>
  <c r="Y104" i="13" a="1"/>
  <c r="Y104" i="13" s="1"/>
  <c r="Z104" i="13" a="1"/>
  <c r="Z104" i="13" s="1"/>
  <c r="Y105" i="13" a="1"/>
  <c r="Y105" i="13" s="1"/>
  <c r="Z105" i="13" a="1"/>
  <c r="Z105" i="13" s="1"/>
  <c r="Y106" i="13" a="1"/>
  <c r="Y106" i="13" s="1"/>
  <c r="Z106" i="13" a="1"/>
  <c r="Z106" i="13" s="1"/>
  <c r="Y107" i="13" a="1"/>
  <c r="Y107" i="13" s="1"/>
  <c r="Z107" i="13" a="1"/>
  <c r="Z107" i="13" s="1"/>
  <c r="Y108" i="13" a="1"/>
  <c r="Y108" i="13" s="1"/>
  <c r="Z108" i="13" a="1"/>
  <c r="Z108" i="13" s="1"/>
  <c r="Y109" i="13" a="1"/>
  <c r="Y109" i="13" s="1"/>
  <c r="Z109" i="13" a="1"/>
  <c r="Z109" i="13" s="1"/>
  <c r="Y110" i="13" a="1"/>
  <c r="Y110" i="13" s="1"/>
  <c r="Z110" i="13" a="1"/>
  <c r="Z110" i="13" s="1"/>
  <c r="Y111" i="13" a="1"/>
  <c r="Y111" i="13" s="1"/>
  <c r="Z111" i="13" a="1"/>
  <c r="Z111" i="13" s="1"/>
  <c r="Y112" i="13" a="1"/>
  <c r="Y112" i="13" s="1"/>
  <c r="Z112" i="13" a="1"/>
  <c r="Z112" i="13" s="1"/>
  <c r="Y113" i="13" a="1"/>
  <c r="Y113" i="13" s="1"/>
  <c r="Z113" i="13" a="1"/>
  <c r="Z113" i="13" s="1"/>
  <c r="Y114" i="13" a="1"/>
  <c r="Y114" i="13" s="1"/>
  <c r="Z114" i="13" a="1"/>
  <c r="Z114" i="13" s="1"/>
  <c r="Y115" i="13" a="1"/>
  <c r="Y115" i="13" s="1"/>
  <c r="Z115" i="13" a="1"/>
  <c r="Z115" i="13" s="1"/>
  <c r="Y116" i="13" a="1"/>
  <c r="Y116" i="13" s="1"/>
  <c r="Z116" i="13" a="1"/>
  <c r="Z116" i="13" s="1"/>
  <c r="Y117" i="13" a="1"/>
  <c r="Y117" i="13" s="1"/>
  <c r="Z117" i="13" a="1"/>
  <c r="Z117" i="13" s="1"/>
  <c r="Y118" i="13" a="1"/>
  <c r="Y118" i="13" s="1"/>
  <c r="Z118" i="13" a="1"/>
  <c r="Z118" i="13" s="1"/>
  <c r="Y119" i="13" a="1"/>
  <c r="Y119" i="13" s="1"/>
  <c r="Z119" i="13" a="1"/>
  <c r="Z119" i="13" s="1"/>
  <c r="Y120" i="13" a="1"/>
  <c r="Y120" i="13" s="1"/>
  <c r="Z120" i="13" a="1"/>
  <c r="Z120" i="13" s="1"/>
  <c r="Y121" i="13" a="1"/>
  <c r="Y121" i="13" s="1"/>
  <c r="Z121" i="13" a="1"/>
  <c r="Z121" i="13" s="1"/>
  <c r="Y122" i="13" a="1"/>
  <c r="Y122" i="13" s="1"/>
  <c r="Z122" i="13" a="1"/>
  <c r="Z122" i="13" s="1"/>
  <c r="Y123" i="13" a="1"/>
  <c r="Y123" i="13" s="1"/>
  <c r="Z123" i="13" a="1"/>
  <c r="Z123" i="13" s="1"/>
  <c r="Y124" i="13" a="1"/>
  <c r="Y124" i="13" s="1"/>
  <c r="Z124" i="13" a="1"/>
  <c r="Z124" i="13" s="1"/>
  <c r="Y125" i="13" a="1"/>
  <c r="Y125" i="13" s="1"/>
  <c r="Z125" i="13" a="1"/>
  <c r="Z125" i="13" s="1"/>
  <c r="Y126" i="13" a="1"/>
  <c r="Y126" i="13" s="1"/>
  <c r="Z126" i="13" a="1"/>
  <c r="Z126" i="13" s="1"/>
  <c r="Y127" i="13" a="1"/>
  <c r="Y127" i="13" s="1"/>
  <c r="Z127" i="13" a="1"/>
  <c r="Z127" i="13" s="1"/>
  <c r="Y128" i="13" a="1"/>
  <c r="Y128" i="13" s="1"/>
  <c r="Z128" i="13" a="1"/>
  <c r="Z128" i="13" s="1"/>
  <c r="Y129" i="13" a="1"/>
  <c r="Y129" i="13" s="1"/>
  <c r="Z129" i="13" a="1"/>
  <c r="Z129" i="13" s="1"/>
  <c r="Y130" i="13" a="1"/>
  <c r="Y130" i="13" s="1"/>
  <c r="Z130" i="13" a="1"/>
  <c r="Z130" i="13" s="1"/>
  <c r="Y131" i="13" a="1"/>
  <c r="Y131" i="13" s="1"/>
  <c r="Z131" i="13" a="1"/>
  <c r="Z131" i="13" s="1"/>
  <c r="Y132" i="13" a="1"/>
  <c r="Y132" i="13" s="1"/>
  <c r="Z132" i="13" a="1"/>
  <c r="Z132" i="13" s="1"/>
  <c r="Y133" i="13" a="1"/>
  <c r="Y133" i="13" s="1"/>
  <c r="Z133" i="13" a="1"/>
  <c r="Z133" i="13" s="1"/>
  <c r="Y134" i="13" a="1"/>
  <c r="Y134" i="13" s="1"/>
  <c r="Z134" i="13" a="1"/>
  <c r="Z134" i="13" s="1"/>
  <c r="Y135" i="13" a="1"/>
  <c r="Y135" i="13" s="1"/>
  <c r="Z135" i="13" a="1"/>
  <c r="Z135" i="13" s="1"/>
  <c r="Y136" i="13" a="1"/>
  <c r="Y136" i="13" s="1"/>
  <c r="Z136" i="13" a="1"/>
  <c r="Z136" i="13" s="1"/>
  <c r="Y137" i="13" a="1"/>
  <c r="Y137" i="13" s="1"/>
  <c r="Z137" i="13" a="1"/>
  <c r="Z137" i="13" s="1"/>
  <c r="Y138" i="13" a="1"/>
  <c r="Y138" i="13" s="1"/>
  <c r="Z138" i="13" a="1"/>
  <c r="Z138" i="13" s="1"/>
  <c r="Y139" i="13" a="1"/>
  <c r="Y139" i="13" s="1"/>
  <c r="Z139" i="13" a="1"/>
  <c r="Z139" i="13" s="1"/>
  <c r="Y140" i="13" a="1"/>
  <c r="Y140" i="13" s="1"/>
  <c r="Z140" i="13" a="1"/>
  <c r="Z140" i="13" s="1"/>
  <c r="Y141" i="13" a="1"/>
  <c r="Y141" i="13" s="1"/>
  <c r="Z141" i="13" a="1"/>
  <c r="Z141" i="13" s="1"/>
  <c r="Y142" i="13" a="1"/>
  <c r="Y142" i="13" s="1"/>
  <c r="Z142" i="13" a="1"/>
  <c r="Z142" i="13" s="1"/>
  <c r="Y143" i="13" a="1"/>
  <c r="Y143" i="13" s="1"/>
  <c r="Z143" i="13" a="1"/>
  <c r="Z143" i="13" s="1"/>
  <c r="Y144" i="13" a="1"/>
  <c r="Y144" i="13" s="1"/>
  <c r="Z144" i="13" a="1"/>
  <c r="Z144" i="13" s="1"/>
  <c r="Y145" i="13" a="1"/>
  <c r="Y145" i="13" s="1"/>
  <c r="Z145" i="13" a="1"/>
  <c r="Z145" i="13" s="1"/>
  <c r="Y146" i="13" a="1"/>
  <c r="Y146" i="13" s="1"/>
  <c r="Z146" i="13" a="1"/>
  <c r="Z146" i="13" s="1"/>
  <c r="Y147" i="13" a="1"/>
  <c r="Y147" i="13" s="1"/>
  <c r="Z147" i="13" a="1"/>
  <c r="Z147" i="13" s="1"/>
  <c r="Y148" i="13" a="1"/>
  <c r="Y148" i="13" s="1"/>
  <c r="Z148" i="13" a="1"/>
  <c r="Z148" i="13" s="1"/>
  <c r="Y149" i="13" a="1"/>
  <c r="Y149" i="13" s="1"/>
  <c r="Z149" i="13" a="1"/>
  <c r="Z149" i="13" s="1"/>
  <c r="Y150" i="13" a="1"/>
  <c r="Y150" i="13" s="1"/>
  <c r="Z150" i="13" a="1"/>
  <c r="Z150" i="13" s="1"/>
  <c r="Y151" i="13" a="1"/>
  <c r="Y151" i="13" s="1"/>
  <c r="Z151" i="13" a="1"/>
  <c r="Z151" i="13" s="1"/>
  <c r="Y152" i="13" a="1"/>
  <c r="Y152" i="13" s="1"/>
  <c r="Z152" i="13" a="1"/>
  <c r="Z152" i="13" s="1"/>
  <c r="Y153" i="13" a="1"/>
  <c r="Y153" i="13" s="1"/>
  <c r="Z153" i="13" a="1"/>
  <c r="Z153" i="13" s="1"/>
  <c r="Y154" i="13" a="1"/>
  <c r="Y154" i="13" s="1"/>
  <c r="Z154" i="13" a="1"/>
  <c r="Z154" i="13" s="1"/>
  <c r="Y155" i="13" a="1"/>
  <c r="Y155" i="13" s="1"/>
  <c r="Z155" i="13" a="1"/>
  <c r="Z155" i="13" s="1"/>
  <c r="Y156" i="13" a="1"/>
  <c r="Y156" i="13" s="1"/>
  <c r="Z156" i="13" a="1"/>
  <c r="Z156" i="13" s="1"/>
  <c r="Y157" i="13" a="1"/>
  <c r="Y157" i="13" s="1"/>
  <c r="Z157" i="13" a="1"/>
  <c r="Z157" i="13" s="1"/>
  <c r="Y158" i="13" a="1"/>
  <c r="Y158" i="13" s="1"/>
  <c r="Z158" i="13" a="1"/>
  <c r="Z158" i="13" s="1"/>
  <c r="Y159" i="13" a="1"/>
  <c r="Y159" i="13" s="1"/>
  <c r="Z159" i="13" a="1"/>
  <c r="Z159" i="13" s="1"/>
  <c r="Y160" i="13" a="1"/>
  <c r="Y160" i="13" s="1"/>
  <c r="Z160" i="13" a="1"/>
  <c r="Z160" i="13" s="1"/>
  <c r="Y161" i="13" a="1"/>
  <c r="Y161" i="13" s="1"/>
  <c r="Z161" i="13" a="1"/>
  <c r="Z161" i="13" s="1"/>
  <c r="Y162" i="13" a="1"/>
  <c r="Y162" i="13" s="1"/>
  <c r="Z162" i="13" a="1"/>
  <c r="Z162" i="13" s="1"/>
  <c r="Y163" i="13" a="1"/>
  <c r="Y163" i="13" s="1"/>
  <c r="Z163" i="13" a="1"/>
  <c r="Z163" i="13" s="1"/>
  <c r="Y164" i="13" a="1"/>
  <c r="Y164" i="13" s="1"/>
  <c r="Z164" i="13" a="1"/>
  <c r="Z164" i="13" s="1"/>
  <c r="Y165" i="13" a="1"/>
  <c r="Y165" i="13" s="1"/>
  <c r="Z165" i="13" a="1"/>
  <c r="Z165" i="13" s="1"/>
  <c r="Y166" i="13" a="1"/>
  <c r="Y166" i="13" s="1"/>
  <c r="Z166" i="13" a="1"/>
  <c r="Z166" i="13" s="1"/>
  <c r="Y167" i="13" a="1"/>
  <c r="Y167" i="13" s="1"/>
  <c r="Z167" i="13" a="1"/>
  <c r="Z167" i="13" s="1"/>
  <c r="Y168" i="13" a="1"/>
  <c r="Y168" i="13" s="1"/>
  <c r="Z168" i="13" a="1"/>
  <c r="Z168" i="13" s="1"/>
  <c r="Y169" i="13" a="1"/>
  <c r="Y169" i="13" s="1"/>
  <c r="Z169" i="13" a="1"/>
  <c r="Z169" i="13" s="1"/>
  <c r="Y170" i="13" a="1"/>
  <c r="Y170" i="13" s="1"/>
  <c r="Z170" i="13" a="1"/>
  <c r="Z170" i="13" s="1"/>
  <c r="Y171" i="13" a="1"/>
  <c r="Y171" i="13" s="1"/>
  <c r="Z171" i="13" a="1"/>
  <c r="Z171" i="13" s="1"/>
  <c r="Y172" i="13" a="1"/>
  <c r="Y172" i="13" s="1"/>
  <c r="Z172" i="13" a="1"/>
  <c r="Z172" i="13" s="1"/>
  <c r="Y173" i="13" a="1"/>
  <c r="Y173" i="13" s="1"/>
  <c r="Z173" i="13" a="1"/>
  <c r="Z173" i="13" s="1"/>
  <c r="Y174" i="13" a="1"/>
  <c r="Y174" i="13" s="1"/>
  <c r="Z174" i="13" a="1"/>
  <c r="Z174" i="13" s="1"/>
  <c r="Y175" i="13" a="1"/>
  <c r="Y175" i="13" s="1"/>
  <c r="Z175" i="13" a="1"/>
  <c r="Z175" i="13" s="1"/>
  <c r="Y176" i="13" a="1"/>
  <c r="Y176" i="13" s="1"/>
  <c r="Z176" i="13" a="1"/>
  <c r="Z176" i="13" s="1"/>
  <c r="Y177" i="13" a="1"/>
  <c r="Y177" i="13" s="1"/>
  <c r="Z177" i="13" a="1"/>
  <c r="Z177" i="13" s="1"/>
  <c r="Y178" i="13" a="1"/>
  <c r="Y178" i="13" s="1"/>
  <c r="Z178" i="13" a="1"/>
  <c r="Z178" i="13" s="1"/>
  <c r="Y179" i="13" a="1"/>
  <c r="Y179" i="13" s="1"/>
  <c r="Z179" i="13" a="1"/>
  <c r="Z179" i="13" s="1"/>
  <c r="Y180" i="13" a="1"/>
  <c r="Y180" i="13" s="1"/>
  <c r="Z180" i="13" a="1"/>
  <c r="Z180" i="13" s="1"/>
  <c r="Y181" i="13" a="1"/>
  <c r="Y181" i="13" s="1"/>
  <c r="Z181" i="13" a="1"/>
  <c r="Z181" i="13" s="1"/>
  <c r="Y182" i="13" a="1"/>
  <c r="Y182" i="13" s="1"/>
  <c r="Z182" i="13" a="1"/>
  <c r="Z182" i="13" s="1"/>
  <c r="Y183" i="13" a="1"/>
  <c r="Y183" i="13" s="1"/>
  <c r="Z183" i="13" a="1"/>
  <c r="Z183" i="13" s="1"/>
  <c r="Y184" i="13" a="1"/>
  <c r="Y184" i="13" s="1"/>
  <c r="Z184" i="13" a="1"/>
  <c r="Z184" i="13" s="1"/>
  <c r="Y185" i="13" a="1"/>
  <c r="Y185" i="13" s="1"/>
  <c r="Z185" i="13" a="1"/>
  <c r="Z185" i="13" s="1"/>
  <c r="Y186" i="13" a="1"/>
  <c r="Y186" i="13" s="1"/>
  <c r="Z186" i="13" a="1"/>
  <c r="Z186" i="13" s="1"/>
  <c r="Y187" i="13" a="1"/>
  <c r="Y187" i="13" s="1"/>
  <c r="Z187" i="13" a="1"/>
  <c r="Z187" i="13" s="1"/>
  <c r="Y188" i="13" a="1"/>
  <c r="Y188" i="13" s="1"/>
  <c r="Z188" i="13" a="1"/>
  <c r="Z188" i="13" s="1"/>
  <c r="Y189" i="13" a="1"/>
  <c r="Y189" i="13" s="1"/>
  <c r="Z189" i="13" a="1"/>
  <c r="Z189" i="13" s="1"/>
  <c r="Y190" i="13" a="1"/>
  <c r="Y190" i="13" s="1"/>
  <c r="Z190" i="13" a="1"/>
  <c r="Z190" i="13" s="1"/>
  <c r="Y191" i="13" a="1"/>
  <c r="Y191" i="13" s="1"/>
  <c r="Z191" i="13" a="1"/>
  <c r="Z191" i="13" s="1"/>
  <c r="Y192" i="13" a="1"/>
  <c r="Y192" i="13" s="1"/>
  <c r="Z192" i="13" a="1"/>
  <c r="Z192" i="13" s="1"/>
  <c r="Y193" i="13" a="1"/>
  <c r="Y193" i="13" s="1"/>
  <c r="Z193" i="13" a="1"/>
  <c r="Z193" i="13" s="1"/>
  <c r="Y194" i="13" a="1"/>
  <c r="Y194" i="13" s="1"/>
  <c r="Z194" i="13" a="1"/>
  <c r="Z194" i="13" s="1"/>
  <c r="Y195" i="13" a="1"/>
  <c r="Y195" i="13" s="1"/>
  <c r="Z195" i="13" a="1"/>
  <c r="Z195" i="13" s="1"/>
  <c r="Y196" i="13" a="1"/>
  <c r="Y196" i="13" s="1"/>
  <c r="Z196" i="13" a="1"/>
  <c r="Z196" i="13" s="1"/>
  <c r="Y197" i="13" a="1"/>
  <c r="Y197" i="13" s="1"/>
  <c r="Z197" i="13" a="1"/>
  <c r="Z197" i="13" s="1"/>
  <c r="Y198" i="13" a="1"/>
  <c r="Y198" i="13" s="1"/>
  <c r="Z198" i="13" a="1"/>
  <c r="Z198" i="13" s="1"/>
  <c r="Y199" i="13" a="1"/>
  <c r="Y199" i="13" s="1"/>
  <c r="Z199" i="13" a="1"/>
  <c r="Z199" i="13" s="1"/>
  <c r="Y200" i="13" a="1"/>
  <c r="Y200" i="13" s="1"/>
  <c r="Z200" i="13" a="1"/>
  <c r="Z200" i="13" s="1"/>
  <c r="Y201" i="13" a="1"/>
  <c r="Y201" i="13" s="1"/>
  <c r="Z201" i="13" a="1"/>
  <c r="Z201" i="13" s="1"/>
  <c r="Y202" i="13" a="1"/>
  <c r="Y202" i="13" s="1"/>
  <c r="Z202" i="13" a="1"/>
  <c r="Z202" i="13" s="1"/>
  <c r="Y203" i="13" a="1"/>
  <c r="Y203" i="13" s="1"/>
  <c r="Z203" i="13" a="1"/>
  <c r="Z203" i="13" s="1"/>
  <c r="Y204" i="13" a="1"/>
  <c r="Y204" i="13" s="1"/>
  <c r="Z204" i="13" a="1"/>
  <c r="Z204" i="13" s="1"/>
  <c r="Y205" i="13" a="1"/>
  <c r="Y205" i="13" s="1"/>
  <c r="Z205" i="13" a="1"/>
  <c r="Z205" i="13" s="1"/>
  <c r="Y206" i="13" a="1"/>
  <c r="Y206" i="13" s="1"/>
  <c r="Z206" i="13" a="1"/>
  <c r="Z206" i="13" s="1"/>
  <c r="Y207" i="13" a="1"/>
  <c r="Y207" i="13" s="1"/>
  <c r="Z207" i="13" a="1"/>
  <c r="Z207" i="13" s="1"/>
  <c r="Y208" i="13" a="1"/>
  <c r="Y208" i="13" s="1"/>
  <c r="Z208" i="13" a="1"/>
  <c r="Z208" i="13" s="1"/>
  <c r="Y209" i="13" a="1"/>
  <c r="Y209" i="13" s="1"/>
  <c r="Z209" i="13" a="1"/>
  <c r="Z209" i="13" s="1"/>
  <c r="Y210" i="13" a="1"/>
  <c r="Y210" i="13" s="1"/>
  <c r="Z210" i="13" a="1"/>
  <c r="Z210" i="13" s="1"/>
  <c r="Y211" i="13" a="1"/>
  <c r="Y211" i="13" s="1"/>
  <c r="Z211" i="13" a="1"/>
  <c r="Z211" i="13" s="1"/>
  <c r="Y212" i="13" a="1"/>
  <c r="Y212" i="13" s="1"/>
  <c r="Z212" i="13" a="1"/>
  <c r="Z212" i="13" s="1"/>
  <c r="Y213" i="13" a="1"/>
  <c r="Y213" i="13" s="1"/>
  <c r="Z213" i="13" a="1"/>
  <c r="Z213" i="13" s="1"/>
  <c r="Y214" i="13" a="1"/>
  <c r="Y214" i="13" s="1"/>
  <c r="Z214" i="13" a="1"/>
  <c r="Z214" i="13" s="1"/>
  <c r="Y215" i="13" a="1"/>
  <c r="Y215" i="13" s="1"/>
  <c r="Z215" i="13" a="1"/>
  <c r="Z215" i="13" s="1"/>
  <c r="Y216" i="13" a="1"/>
  <c r="Y216" i="13" s="1"/>
  <c r="Z216" i="13" a="1"/>
  <c r="Z216" i="13" s="1"/>
  <c r="Y217" i="13" a="1"/>
  <c r="Y217" i="13" s="1"/>
  <c r="Z217" i="13" a="1"/>
  <c r="Z217" i="13" s="1"/>
  <c r="Y218" i="13" a="1"/>
  <c r="Y218" i="13" s="1"/>
  <c r="Z218" i="13" a="1"/>
  <c r="Z218" i="13" s="1"/>
  <c r="Y219" i="13" a="1"/>
  <c r="Y219" i="13" s="1"/>
  <c r="Z219" i="13" a="1"/>
  <c r="Z219" i="13" s="1"/>
  <c r="Y220" i="13" a="1"/>
  <c r="Y220" i="13" s="1"/>
  <c r="Z220" i="13" a="1"/>
  <c r="Z220" i="13" s="1"/>
  <c r="Y221" i="13" a="1"/>
  <c r="Y221" i="13" s="1"/>
  <c r="Z221" i="13" a="1"/>
  <c r="Z221" i="13" s="1"/>
  <c r="Y222" i="13" a="1"/>
  <c r="Y222" i="13" s="1"/>
  <c r="Z222" i="13" a="1"/>
  <c r="Z222" i="13" s="1"/>
  <c r="Y223" i="13" a="1"/>
  <c r="Y223" i="13" s="1"/>
  <c r="Z223" i="13" a="1"/>
  <c r="Z223" i="13" s="1"/>
  <c r="Y224" i="13" a="1"/>
  <c r="Y224" i="13" s="1"/>
  <c r="Z224" i="13" a="1"/>
  <c r="Z224" i="13" s="1"/>
  <c r="Y225" i="13" a="1"/>
  <c r="Y225" i="13" s="1"/>
  <c r="Z225" i="13" a="1"/>
  <c r="Z225" i="13" s="1"/>
  <c r="Y226" i="13" a="1"/>
  <c r="Y226" i="13" s="1"/>
  <c r="Z226" i="13" a="1"/>
  <c r="Z226" i="13" s="1"/>
  <c r="Y227" i="13" a="1"/>
  <c r="Y227" i="13" s="1"/>
  <c r="Z227" i="13" a="1"/>
  <c r="Z227" i="13" s="1"/>
  <c r="Y228" i="13" a="1"/>
  <c r="Y228" i="13" s="1"/>
  <c r="Z228" i="13" a="1"/>
  <c r="Z228" i="13" s="1"/>
  <c r="Y229" i="13" a="1"/>
  <c r="Y229" i="13" s="1"/>
  <c r="Z229" i="13" a="1"/>
  <c r="Z229" i="13" s="1"/>
  <c r="Y230" i="13" a="1"/>
  <c r="Y230" i="13" s="1"/>
  <c r="Z230" i="13" a="1"/>
  <c r="Z230" i="13" s="1"/>
  <c r="Y231" i="13" a="1"/>
  <c r="Y231" i="13" s="1"/>
  <c r="Z231" i="13" a="1"/>
  <c r="Z231" i="13" s="1"/>
  <c r="Y232" i="13" a="1"/>
  <c r="Y232" i="13" s="1"/>
  <c r="Z232" i="13" a="1"/>
  <c r="Z232" i="13" s="1"/>
  <c r="Y233" i="13" a="1"/>
  <c r="Y233" i="13" s="1"/>
  <c r="Z233" i="13" a="1"/>
  <c r="Z233" i="13" s="1"/>
  <c r="Y234" i="13" a="1"/>
  <c r="Y234" i="13" s="1"/>
  <c r="Z234" i="13" a="1"/>
  <c r="Z234" i="13" s="1"/>
  <c r="Y235" i="13" a="1"/>
  <c r="Y235" i="13" s="1"/>
  <c r="Z235" i="13" a="1"/>
  <c r="Z235" i="13" s="1"/>
  <c r="Y236" i="13" a="1"/>
  <c r="Y236" i="13" s="1"/>
  <c r="Z236" i="13" a="1"/>
  <c r="Z236" i="13" s="1"/>
  <c r="Y237" i="13" a="1"/>
  <c r="Y237" i="13" s="1"/>
  <c r="Z237" i="13" a="1"/>
  <c r="Z237" i="13" s="1"/>
  <c r="Y238" i="13" a="1"/>
  <c r="Y238" i="13" s="1"/>
  <c r="Z238" i="13" a="1"/>
  <c r="Z238" i="13" s="1"/>
  <c r="Y239" i="13" a="1"/>
  <c r="Y239" i="13" s="1"/>
  <c r="Z239" i="13" a="1"/>
  <c r="Z239" i="13" s="1"/>
  <c r="Y240" i="13" a="1"/>
  <c r="Y240" i="13" s="1"/>
  <c r="Z240" i="13" a="1"/>
  <c r="Z240" i="13" s="1"/>
  <c r="Y241" i="13" a="1"/>
  <c r="Y241" i="13" s="1"/>
  <c r="Z241" i="13" a="1"/>
  <c r="Z241" i="13" s="1"/>
  <c r="Y242" i="13" a="1"/>
  <c r="Y242" i="13" s="1"/>
  <c r="Z242" i="13" a="1"/>
  <c r="Z242" i="13" s="1"/>
  <c r="Y243" i="13" a="1"/>
  <c r="Y243" i="13" s="1"/>
  <c r="Z243" i="13" a="1"/>
  <c r="Z243" i="13" s="1"/>
  <c r="Y244" i="13" a="1"/>
  <c r="Y244" i="13" s="1"/>
  <c r="Z244" i="13" a="1"/>
  <c r="Z244" i="13" s="1"/>
  <c r="Y245" i="13" a="1"/>
  <c r="Y245" i="13" s="1"/>
  <c r="Z245" i="13" a="1"/>
  <c r="Z245" i="13" s="1"/>
  <c r="Y246" i="13" a="1"/>
  <c r="Y246" i="13" s="1"/>
  <c r="Z246" i="13" a="1"/>
  <c r="Z246" i="13" s="1"/>
  <c r="Y247" i="13" a="1"/>
  <c r="Y247" i="13" s="1"/>
  <c r="Z247" i="13" a="1"/>
  <c r="Z247" i="13" s="1"/>
  <c r="Y248" i="13" a="1"/>
  <c r="Y248" i="13" s="1"/>
  <c r="Z248" i="13" a="1"/>
  <c r="Z248" i="13" s="1"/>
  <c r="Y249" i="13" a="1"/>
  <c r="Y249" i="13" s="1"/>
  <c r="Z249" i="13" a="1"/>
  <c r="Z249" i="13" s="1"/>
  <c r="Y250" i="13" a="1"/>
  <c r="Y250" i="13" s="1"/>
  <c r="Z250" i="13" a="1"/>
  <c r="Z250" i="13" s="1"/>
  <c r="Y251" i="13" a="1"/>
  <c r="Y251" i="13" s="1"/>
  <c r="Z251" i="13" a="1"/>
  <c r="Z251" i="13" s="1"/>
  <c r="Y252" i="13" a="1"/>
  <c r="Y252" i="13" s="1"/>
  <c r="Z252" i="13" a="1"/>
  <c r="Z252" i="13" s="1"/>
  <c r="Y253" i="13" a="1"/>
  <c r="Y253" i="13" s="1"/>
  <c r="Z253" i="13" a="1"/>
  <c r="Z253" i="13" s="1"/>
  <c r="Y254" i="13" a="1"/>
  <c r="Y254" i="13" s="1"/>
  <c r="Z254" i="13" a="1"/>
  <c r="Z254" i="13" s="1"/>
  <c r="Y255" i="13" a="1"/>
  <c r="Y255" i="13" s="1"/>
  <c r="Z255" i="13" a="1"/>
  <c r="Z255" i="13" s="1"/>
  <c r="Y256" i="13" a="1"/>
  <c r="Y256" i="13" s="1"/>
  <c r="Z256" i="13" a="1"/>
  <c r="Z256" i="13" s="1"/>
  <c r="Z2" i="13" a="1"/>
  <c r="Z2" i="13" s="1"/>
  <c r="Y2" i="13" a="1"/>
  <c r="Y2" i="13" s="1"/>
  <c r="Y3" i="12" a="1"/>
  <c r="Y3" i="12" s="1"/>
  <c r="Z3" i="12" a="1"/>
  <c r="Z3" i="12" s="1"/>
  <c r="Y4" i="12" a="1"/>
  <c r="Y4" i="12" s="1"/>
  <c r="Z4" i="12" a="1"/>
  <c r="Z4" i="12" s="1"/>
  <c r="Y5" i="12" a="1"/>
  <c r="Y5" i="12" s="1"/>
  <c r="Z5" i="12" a="1"/>
  <c r="Z5" i="12" s="1"/>
  <c r="Y6" i="12" a="1"/>
  <c r="Y6" i="12" s="1"/>
  <c r="Z6" i="12" a="1"/>
  <c r="Z6" i="12" s="1"/>
  <c r="Y7" i="12" a="1"/>
  <c r="Y7" i="12" s="1"/>
  <c r="Z7" i="12" a="1"/>
  <c r="Z7" i="12" s="1"/>
  <c r="Y8" i="12" a="1"/>
  <c r="Y8" i="12" s="1"/>
  <c r="Z8" i="12" a="1"/>
  <c r="Z8" i="12" s="1"/>
  <c r="Y9" i="12" a="1"/>
  <c r="Y9" i="12" s="1"/>
  <c r="Z9" i="12" a="1"/>
  <c r="Z9" i="12" s="1"/>
  <c r="Y10" i="12" a="1"/>
  <c r="Y10" i="12" s="1"/>
  <c r="Z10" i="12" a="1"/>
  <c r="Z10" i="12" s="1"/>
  <c r="Y11" i="12" a="1"/>
  <c r="Y11" i="12" s="1"/>
  <c r="Z11" i="12" a="1"/>
  <c r="Z11" i="12" s="1"/>
  <c r="Y12" i="12" a="1"/>
  <c r="Y12" i="12" s="1"/>
  <c r="Z12" i="12" a="1"/>
  <c r="Z12" i="12" s="1"/>
  <c r="Y13" i="12" a="1"/>
  <c r="Y13" i="12" s="1"/>
  <c r="Z13" i="12" a="1"/>
  <c r="Z13" i="12" s="1"/>
  <c r="Y14" i="12" a="1"/>
  <c r="Y14" i="12" s="1"/>
  <c r="Z14" i="12" a="1"/>
  <c r="Z14" i="12" s="1"/>
  <c r="Y15" i="12" a="1"/>
  <c r="Y15" i="12" s="1"/>
  <c r="Z15" i="12" a="1"/>
  <c r="Z15" i="12" s="1"/>
  <c r="Y16" i="12" a="1"/>
  <c r="Y16" i="12" s="1"/>
  <c r="Z16" i="12" a="1"/>
  <c r="Z16" i="12" s="1"/>
  <c r="Y17" i="12" a="1"/>
  <c r="Y17" i="12" s="1"/>
  <c r="Z17" i="12" a="1"/>
  <c r="Z17" i="12" s="1"/>
  <c r="Y18" i="12" a="1"/>
  <c r="Y18" i="12" s="1"/>
  <c r="Z18" i="12" a="1"/>
  <c r="Z18" i="12" s="1"/>
  <c r="Y19" i="12" a="1"/>
  <c r="Y19" i="12" s="1"/>
  <c r="Z19" i="12" a="1"/>
  <c r="Z19" i="12" s="1"/>
  <c r="Y20" i="12" a="1"/>
  <c r="Y20" i="12" s="1"/>
  <c r="Z20" i="12" a="1"/>
  <c r="Z20" i="12" s="1"/>
  <c r="Y21" i="12" a="1"/>
  <c r="Y21" i="12" s="1"/>
  <c r="Z21" i="12" a="1"/>
  <c r="Z21" i="12" s="1"/>
  <c r="Y22" i="12" a="1"/>
  <c r="Y22" i="12" s="1"/>
  <c r="Z22" i="12" a="1"/>
  <c r="Z22" i="12" s="1"/>
  <c r="Y23" i="12" a="1"/>
  <c r="Y23" i="12" s="1"/>
  <c r="Z23" i="12" a="1"/>
  <c r="Z23" i="12" s="1"/>
  <c r="Y24" i="12" a="1"/>
  <c r="Y24" i="12" s="1"/>
  <c r="Z24" i="12" a="1"/>
  <c r="Z24" i="12" s="1"/>
  <c r="Y25" i="12" a="1"/>
  <c r="Y25" i="12" s="1"/>
  <c r="Z25" i="12" a="1"/>
  <c r="Z25" i="12" s="1"/>
  <c r="Y26" i="12" a="1"/>
  <c r="Y26" i="12" s="1"/>
  <c r="Z26" i="12" a="1"/>
  <c r="Z26" i="12" s="1"/>
  <c r="Y27" i="12" a="1"/>
  <c r="Y27" i="12" s="1"/>
  <c r="Z27" i="12" a="1"/>
  <c r="Z27" i="12" s="1"/>
  <c r="Y28" i="12" a="1"/>
  <c r="Y28" i="12" s="1"/>
  <c r="Z28" i="12" a="1"/>
  <c r="Z28" i="12" s="1"/>
  <c r="Y29" i="12" a="1"/>
  <c r="Y29" i="12" s="1"/>
  <c r="Z29" i="12" a="1"/>
  <c r="Z29" i="12" s="1"/>
  <c r="Y30" i="12" a="1"/>
  <c r="Y30" i="12" s="1"/>
  <c r="Z30" i="12" a="1"/>
  <c r="Z30" i="12" s="1"/>
  <c r="Y31" i="12" a="1"/>
  <c r="Y31" i="12" s="1"/>
  <c r="Z31" i="12" a="1"/>
  <c r="Z31" i="12" s="1"/>
  <c r="Y32" i="12" a="1"/>
  <c r="Y32" i="12" s="1"/>
  <c r="Z32" i="12" a="1"/>
  <c r="Z32" i="12" s="1"/>
  <c r="Y33" i="12" a="1"/>
  <c r="Y33" i="12" s="1"/>
  <c r="Z33" i="12" a="1"/>
  <c r="Z33" i="12" s="1"/>
  <c r="Y34" i="12" a="1"/>
  <c r="Y34" i="12" s="1"/>
  <c r="Z34" i="12" a="1"/>
  <c r="Z34" i="12" s="1"/>
  <c r="Y35" i="12" a="1"/>
  <c r="Y35" i="12" s="1"/>
  <c r="Z35" i="12" a="1"/>
  <c r="Z35" i="12" s="1"/>
  <c r="Y36" i="12" a="1"/>
  <c r="Y36" i="12" s="1"/>
  <c r="Z36" i="12" a="1"/>
  <c r="Z36" i="12" s="1"/>
  <c r="Y37" i="12" a="1"/>
  <c r="Y37" i="12" s="1"/>
  <c r="Z37" i="12" a="1"/>
  <c r="Z37" i="12" s="1"/>
  <c r="Y38" i="12" a="1"/>
  <c r="Y38" i="12" s="1"/>
  <c r="Z38" i="12" a="1"/>
  <c r="Z38" i="12" s="1"/>
  <c r="Y39" i="12" a="1"/>
  <c r="Y39" i="12" s="1"/>
  <c r="Z39" i="12" a="1"/>
  <c r="Z39" i="12" s="1"/>
  <c r="Y40" i="12" a="1"/>
  <c r="Y40" i="12" s="1"/>
  <c r="Z40" i="12" a="1"/>
  <c r="Z40" i="12" s="1"/>
  <c r="Y41" i="12" a="1"/>
  <c r="Y41" i="12" s="1"/>
  <c r="Z41" i="12" a="1"/>
  <c r="Z41" i="12" s="1"/>
  <c r="Y42" i="12" a="1"/>
  <c r="Y42" i="12" s="1"/>
  <c r="Z42" i="12" a="1"/>
  <c r="Z42" i="12" s="1"/>
  <c r="Y43" i="12" a="1"/>
  <c r="Y43" i="12" s="1"/>
  <c r="Z43" i="12" a="1"/>
  <c r="Z43" i="12" s="1"/>
  <c r="Y44" i="12" a="1"/>
  <c r="Y44" i="12" s="1"/>
  <c r="Z44" i="12" a="1"/>
  <c r="Z44" i="12" s="1"/>
  <c r="Y45" i="12" a="1"/>
  <c r="Y45" i="12" s="1"/>
  <c r="Z45" i="12" a="1"/>
  <c r="Z45" i="12" s="1"/>
  <c r="Y46" i="12" a="1"/>
  <c r="Y46" i="12" s="1"/>
  <c r="Z46" i="12" a="1"/>
  <c r="Z46" i="12" s="1"/>
  <c r="Y47" i="12" a="1"/>
  <c r="Y47" i="12" s="1"/>
  <c r="Z47" i="12" a="1"/>
  <c r="Z47" i="12" s="1"/>
  <c r="Y48" i="12" a="1"/>
  <c r="Y48" i="12" s="1"/>
  <c r="Z48" i="12" a="1"/>
  <c r="Z48" i="12" s="1"/>
  <c r="Y49" i="12" a="1"/>
  <c r="Y49" i="12" s="1"/>
  <c r="Z49" i="12" a="1"/>
  <c r="Z49" i="12" s="1"/>
  <c r="Y50" i="12" a="1"/>
  <c r="Y50" i="12" s="1"/>
  <c r="Z50" i="12" a="1"/>
  <c r="Z50" i="12" s="1"/>
  <c r="Y51" i="12" a="1"/>
  <c r="Y51" i="12" s="1"/>
  <c r="Z51" i="12" a="1"/>
  <c r="Z51" i="12" s="1"/>
  <c r="Y52" i="12" a="1"/>
  <c r="Y52" i="12" s="1"/>
  <c r="Z52" i="12" a="1"/>
  <c r="Z52" i="12" s="1"/>
  <c r="Y53" i="12" a="1"/>
  <c r="Y53" i="12" s="1"/>
  <c r="Z53" i="12" a="1"/>
  <c r="Z53" i="12" s="1"/>
  <c r="Y54" i="12" a="1"/>
  <c r="Y54" i="12" s="1"/>
  <c r="Z54" i="12" a="1"/>
  <c r="Z54" i="12" s="1"/>
  <c r="Y55" i="12" a="1"/>
  <c r="Y55" i="12" s="1"/>
  <c r="Z55" i="12" a="1"/>
  <c r="Z55" i="12" s="1"/>
  <c r="Y56" i="12" a="1"/>
  <c r="Y56" i="12" s="1"/>
  <c r="Z56" i="12" a="1"/>
  <c r="Z56" i="12" s="1"/>
  <c r="Y57" i="12" a="1"/>
  <c r="Y57" i="12" s="1"/>
  <c r="Z57" i="12" a="1"/>
  <c r="Z57" i="12" s="1"/>
  <c r="Y58" i="12" a="1"/>
  <c r="Y58" i="12" s="1"/>
  <c r="Z58" i="12" a="1"/>
  <c r="Z58" i="12" s="1"/>
  <c r="Y59" i="12" a="1"/>
  <c r="Y59" i="12" s="1"/>
  <c r="Z59" i="12" a="1"/>
  <c r="Z59" i="12" s="1"/>
  <c r="Y60" i="12" a="1"/>
  <c r="Y60" i="12" s="1"/>
  <c r="Z60" i="12" a="1"/>
  <c r="Z60" i="12" s="1"/>
  <c r="Y61" i="12" a="1"/>
  <c r="Y61" i="12" s="1"/>
  <c r="Z61" i="12" a="1"/>
  <c r="Z61" i="12" s="1"/>
  <c r="Y62" i="12" a="1"/>
  <c r="Y62" i="12" s="1"/>
  <c r="Z62" i="12" a="1"/>
  <c r="Z62" i="12" s="1"/>
  <c r="Y63" i="12" a="1"/>
  <c r="Y63" i="12" s="1"/>
  <c r="Z63" i="12" a="1"/>
  <c r="Z63" i="12" s="1"/>
  <c r="Y64" i="12" a="1"/>
  <c r="Y64" i="12" s="1"/>
  <c r="Z64" i="12" a="1"/>
  <c r="Z64" i="12" s="1"/>
  <c r="Y65" i="12" a="1"/>
  <c r="Y65" i="12" s="1"/>
  <c r="Z65" i="12" a="1"/>
  <c r="Z65" i="12" s="1"/>
  <c r="Y66" i="12" a="1"/>
  <c r="Y66" i="12" s="1"/>
  <c r="Z66" i="12" a="1"/>
  <c r="Z66" i="12" s="1"/>
  <c r="Y67" i="12" a="1"/>
  <c r="Y67" i="12" s="1"/>
  <c r="Z67" i="12" a="1"/>
  <c r="Z67" i="12" s="1"/>
  <c r="Y68" i="12" a="1"/>
  <c r="Y68" i="12" s="1"/>
  <c r="Z68" i="12" a="1"/>
  <c r="Z68" i="12" s="1"/>
  <c r="Y69" i="12" a="1"/>
  <c r="Y69" i="12" s="1"/>
  <c r="Z69" i="12" a="1"/>
  <c r="Z69" i="12" s="1"/>
  <c r="Y70" i="12" a="1"/>
  <c r="Y70" i="12" s="1"/>
  <c r="Z70" i="12" a="1"/>
  <c r="Z70" i="12" s="1"/>
  <c r="Y71" i="12" a="1"/>
  <c r="Y71" i="12" s="1"/>
  <c r="Z71" i="12" a="1"/>
  <c r="Z71" i="12" s="1"/>
  <c r="Y72" i="12" a="1"/>
  <c r="Y72" i="12" s="1"/>
  <c r="Z72" i="12" a="1"/>
  <c r="Z72" i="12" s="1"/>
  <c r="Y73" i="12" a="1"/>
  <c r="Y73" i="12" s="1"/>
  <c r="Z73" i="12" a="1"/>
  <c r="Z73" i="12" s="1"/>
  <c r="Y74" i="12" a="1"/>
  <c r="Y74" i="12" s="1"/>
  <c r="Z74" i="12" a="1"/>
  <c r="Z74" i="12" s="1"/>
  <c r="Y75" i="12" a="1"/>
  <c r="Y75" i="12" s="1"/>
  <c r="Z75" i="12" a="1"/>
  <c r="Z75" i="12" s="1"/>
  <c r="Y76" i="12" a="1"/>
  <c r="Y76" i="12" s="1"/>
  <c r="Z76" i="12" a="1"/>
  <c r="Z76" i="12" s="1"/>
  <c r="Y77" i="12" a="1"/>
  <c r="Y77" i="12" s="1"/>
  <c r="Z77" i="12" a="1"/>
  <c r="Z77" i="12" s="1"/>
  <c r="Y78" i="12" a="1"/>
  <c r="Y78" i="12" s="1"/>
  <c r="Z78" i="12" a="1"/>
  <c r="Z78" i="12" s="1"/>
  <c r="Y79" i="12" a="1"/>
  <c r="Y79" i="12" s="1"/>
  <c r="Z79" i="12" a="1"/>
  <c r="Z79" i="12" s="1"/>
  <c r="Y80" i="12" a="1"/>
  <c r="Y80" i="12" s="1"/>
  <c r="Z80" i="12" a="1"/>
  <c r="Z80" i="12" s="1"/>
  <c r="Y81" i="12" a="1"/>
  <c r="Y81" i="12" s="1"/>
  <c r="Z81" i="12" a="1"/>
  <c r="Z81" i="12" s="1"/>
  <c r="Y82" i="12" a="1"/>
  <c r="Y82" i="12" s="1"/>
  <c r="Z82" i="12" a="1"/>
  <c r="Z82" i="12" s="1"/>
  <c r="Y83" i="12" a="1"/>
  <c r="Y83" i="12" s="1"/>
  <c r="Z83" i="12" a="1"/>
  <c r="Z83" i="12" s="1"/>
  <c r="Y84" i="12" a="1"/>
  <c r="Y84" i="12" s="1"/>
  <c r="Z84" i="12" a="1"/>
  <c r="Z84" i="12" s="1"/>
  <c r="Y85" i="12" a="1"/>
  <c r="Y85" i="12" s="1"/>
  <c r="Z85" i="12" a="1"/>
  <c r="Z85" i="12" s="1"/>
  <c r="Y86" i="12" a="1"/>
  <c r="Y86" i="12" s="1"/>
  <c r="Z86" i="12" a="1"/>
  <c r="Z86" i="12" s="1"/>
  <c r="Y87" i="12" a="1"/>
  <c r="Y87" i="12" s="1"/>
  <c r="Z87" i="12" a="1"/>
  <c r="Z87" i="12" s="1"/>
  <c r="Y88" i="12" a="1"/>
  <c r="Y88" i="12" s="1"/>
  <c r="Z88" i="12" a="1"/>
  <c r="Z88" i="12" s="1"/>
  <c r="Y89" i="12" a="1"/>
  <c r="Y89" i="12" s="1"/>
  <c r="Z89" i="12" a="1"/>
  <c r="Z89" i="12" s="1"/>
  <c r="Y90" i="12" a="1"/>
  <c r="Y90" i="12" s="1"/>
  <c r="Z90" i="12" a="1"/>
  <c r="Z90" i="12" s="1"/>
  <c r="Y91" i="12" a="1"/>
  <c r="Y91" i="12" s="1"/>
  <c r="Z91" i="12" a="1"/>
  <c r="Z91" i="12" s="1"/>
  <c r="Y92" i="12" a="1"/>
  <c r="Y92" i="12" s="1"/>
  <c r="Z92" i="12" a="1"/>
  <c r="Z92" i="12" s="1"/>
  <c r="Y93" i="12" a="1"/>
  <c r="Y93" i="12" s="1"/>
  <c r="Z93" i="12" a="1"/>
  <c r="Z93" i="12" s="1"/>
  <c r="Y94" i="12" a="1"/>
  <c r="Y94" i="12" s="1"/>
  <c r="Z94" i="12" a="1"/>
  <c r="Z94" i="12" s="1"/>
  <c r="Y95" i="12" a="1"/>
  <c r="Y95" i="12" s="1"/>
  <c r="Z95" i="12" a="1"/>
  <c r="Z95" i="12" s="1"/>
  <c r="Y96" i="12" a="1"/>
  <c r="Y96" i="12" s="1"/>
  <c r="Z96" i="12" a="1"/>
  <c r="Z96" i="12" s="1"/>
  <c r="Y97" i="12" a="1"/>
  <c r="Y97" i="12" s="1"/>
  <c r="Z97" i="12" a="1"/>
  <c r="Z97" i="12" s="1"/>
  <c r="Y98" i="12" a="1"/>
  <c r="Y98" i="12" s="1"/>
  <c r="Z98" i="12" a="1"/>
  <c r="Z98" i="12" s="1"/>
  <c r="Y99" i="12" a="1"/>
  <c r="Y99" i="12" s="1"/>
  <c r="Z99" i="12" a="1"/>
  <c r="Z99" i="12" s="1"/>
  <c r="Y100" i="12" a="1"/>
  <c r="Y100" i="12" s="1"/>
  <c r="Z100" i="12" a="1"/>
  <c r="Z100" i="12" s="1"/>
  <c r="Y101" i="12" a="1"/>
  <c r="Y101" i="12" s="1"/>
  <c r="Z101" i="12" a="1"/>
  <c r="Z101" i="12" s="1"/>
  <c r="Y102" i="12" a="1"/>
  <c r="Y102" i="12" s="1"/>
  <c r="Z102" i="12" a="1"/>
  <c r="Z102" i="12" s="1"/>
  <c r="Y103" i="12" a="1"/>
  <c r="Y103" i="12" s="1"/>
  <c r="Z103" i="12" a="1"/>
  <c r="Z103" i="12" s="1"/>
  <c r="Y104" i="12" a="1"/>
  <c r="Y104" i="12" s="1"/>
  <c r="Z104" i="12" a="1"/>
  <c r="Z104" i="12" s="1"/>
  <c r="Y105" i="12" a="1"/>
  <c r="Y105" i="12" s="1"/>
  <c r="Z105" i="12" a="1"/>
  <c r="Z105" i="12" s="1"/>
  <c r="Y106" i="12" a="1"/>
  <c r="Y106" i="12" s="1"/>
  <c r="Z106" i="12" a="1"/>
  <c r="Z106" i="12" s="1"/>
  <c r="Y107" i="12" a="1"/>
  <c r="Y107" i="12" s="1"/>
  <c r="Z107" i="12" a="1"/>
  <c r="Z107" i="12" s="1"/>
  <c r="Y108" i="12" a="1"/>
  <c r="Y108" i="12" s="1"/>
  <c r="Z108" i="12" a="1"/>
  <c r="Z108" i="12" s="1"/>
  <c r="Y109" i="12" a="1"/>
  <c r="Y109" i="12" s="1"/>
  <c r="Z109" i="12" a="1"/>
  <c r="Z109" i="12" s="1"/>
  <c r="Y110" i="12" a="1"/>
  <c r="Y110" i="12" s="1"/>
  <c r="Z110" i="12" a="1"/>
  <c r="Z110" i="12" s="1"/>
  <c r="Y111" i="12" a="1"/>
  <c r="Y111" i="12" s="1"/>
  <c r="Z111" i="12" a="1"/>
  <c r="Z111" i="12" s="1"/>
  <c r="Y112" i="12" a="1"/>
  <c r="Y112" i="12" s="1"/>
  <c r="Z112" i="12" a="1"/>
  <c r="Z112" i="12" s="1"/>
  <c r="Y113" i="12" a="1"/>
  <c r="Y113" i="12" s="1"/>
  <c r="Z113" i="12" a="1"/>
  <c r="Z113" i="12" s="1"/>
  <c r="Y114" i="12" a="1"/>
  <c r="Y114" i="12" s="1"/>
  <c r="Z114" i="12" a="1"/>
  <c r="Z114" i="12" s="1"/>
  <c r="Y115" i="12" a="1"/>
  <c r="Y115" i="12" s="1"/>
  <c r="Z115" i="12" a="1"/>
  <c r="Z115" i="12" s="1"/>
  <c r="Y116" i="12" a="1"/>
  <c r="Y116" i="12" s="1"/>
  <c r="Z116" i="12" a="1"/>
  <c r="Z116" i="12" s="1"/>
  <c r="Y117" i="12" a="1"/>
  <c r="Y117" i="12" s="1"/>
  <c r="Z117" i="12" a="1"/>
  <c r="Z117" i="12" s="1"/>
  <c r="Y118" i="12" a="1"/>
  <c r="Y118" i="12" s="1"/>
  <c r="Z118" i="12" a="1"/>
  <c r="Z118" i="12" s="1"/>
  <c r="Y119" i="12" a="1"/>
  <c r="Y119" i="12" s="1"/>
  <c r="Z119" i="12" a="1"/>
  <c r="Z119" i="12" s="1"/>
  <c r="Y120" i="12" a="1"/>
  <c r="Y120" i="12" s="1"/>
  <c r="Z120" i="12" a="1"/>
  <c r="Z120" i="12" s="1"/>
  <c r="Y121" i="12" a="1"/>
  <c r="Y121" i="12" s="1"/>
  <c r="Z121" i="12" a="1"/>
  <c r="Z121" i="12" s="1"/>
  <c r="Y122" i="12" a="1"/>
  <c r="Y122" i="12" s="1"/>
  <c r="Z122" i="12" a="1"/>
  <c r="Z122" i="12" s="1"/>
  <c r="Y123" i="12" a="1"/>
  <c r="Y123" i="12" s="1"/>
  <c r="Z123" i="12" a="1"/>
  <c r="Z123" i="12" s="1"/>
  <c r="Y124" i="12" a="1"/>
  <c r="Y124" i="12" s="1"/>
  <c r="Z124" i="12" a="1"/>
  <c r="Z124" i="12" s="1"/>
  <c r="Y125" i="12" a="1"/>
  <c r="Y125" i="12" s="1"/>
  <c r="Z125" i="12" a="1"/>
  <c r="Z125" i="12" s="1"/>
  <c r="Y126" i="12" a="1"/>
  <c r="Y126" i="12" s="1"/>
  <c r="Z126" i="12" a="1"/>
  <c r="Z126" i="12" s="1"/>
  <c r="Y127" i="12" a="1"/>
  <c r="Y127" i="12" s="1"/>
  <c r="Z127" i="12" a="1"/>
  <c r="Z127" i="12" s="1"/>
  <c r="Y128" i="12" a="1"/>
  <c r="Y128" i="12" s="1"/>
  <c r="Z128" i="12" a="1"/>
  <c r="Z128" i="12" s="1"/>
  <c r="Y129" i="12" a="1"/>
  <c r="Y129" i="12" s="1"/>
  <c r="Z129" i="12" a="1"/>
  <c r="Z129" i="12" s="1"/>
  <c r="Y130" i="12" a="1"/>
  <c r="Y130" i="12" s="1"/>
  <c r="Z130" i="12" a="1"/>
  <c r="Z130" i="12" s="1"/>
  <c r="Y131" i="12" a="1"/>
  <c r="Y131" i="12" s="1"/>
  <c r="Z131" i="12" a="1"/>
  <c r="Z131" i="12" s="1"/>
  <c r="Y132" i="12" a="1"/>
  <c r="Y132" i="12" s="1"/>
  <c r="Z132" i="12" a="1"/>
  <c r="Z132" i="12" s="1"/>
  <c r="Y133" i="12" a="1"/>
  <c r="Y133" i="12" s="1"/>
  <c r="Z133" i="12" a="1"/>
  <c r="Z133" i="12" s="1"/>
  <c r="Y134" i="12" a="1"/>
  <c r="Y134" i="12" s="1"/>
  <c r="Z134" i="12" a="1"/>
  <c r="Z134" i="12" s="1"/>
  <c r="Y135" i="12" a="1"/>
  <c r="Y135" i="12" s="1"/>
  <c r="Z135" i="12" a="1"/>
  <c r="Z135" i="12" s="1"/>
  <c r="Y136" i="12" a="1"/>
  <c r="Y136" i="12" s="1"/>
  <c r="Z136" i="12" a="1"/>
  <c r="Z136" i="12" s="1"/>
  <c r="Y137" i="12" a="1"/>
  <c r="Y137" i="12" s="1"/>
  <c r="Z137" i="12" a="1"/>
  <c r="Z137" i="12" s="1"/>
  <c r="Y138" i="12" a="1"/>
  <c r="Y138" i="12" s="1"/>
  <c r="Z138" i="12" a="1"/>
  <c r="Z138" i="12" s="1"/>
  <c r="Y139" i="12" a="1"/>
  <c r="Y139" i="12" s="1"/>
  <c r="Z139" i="12" a="1"/>
  <c r="Z139" i="12" s="1"/>
  <c r="Y140" i="12" a="1"/>
  <c r="Y140" i="12" s="1"/>
  <c r="Z140" i="12" a="1"/>
  <c r="Z140" i="12" s="1"/>
  <c r="Y141" i="12" a="1"/>
  <c r="Y141" i="12" s="1"/>
  <c r="Z141" i="12" a="1"/>
  <c r="Z141" i="12" s="1"/>
  <c r="Y142" i="12" a="1"/>
  <c r="Y142" i="12" s="1"/>
  <c r="Z142" i="12" a="1"/>
  <c r="Z142" i="12" s="1"/>
  <c r="Y143" i="12" a="1"/>
  <c r="Y143" i="12" s="1"/>
  <c r="Z143" i="12" a="1"/>
  <c r="Z143" i="12" s="1"/>
  <c r="Y144" i="12" a="1"/>
  <c r="Y144" i="12" s="1"/>
  <c r="Z144" i="12" a="1"/>
  <c r="Z144" i="12" s="1"/>
  <c r="Y145" i="12" a="1"/>
  <c r="Y145" i="12" s="1"/>
  <c r="Z145" i="12" a="1"/>
  <c r="Z145" i="12" s="1"/>
  <c r="Y146" i="12" a="1"/>
  <c r="Y146" i="12" s="1"/>
  <c r="Z146" i="12" a="1"/>
  <c r="Z146" i="12" s="1"/>
  <c r="Y147" i="12" a="1"/>
  <c r="Y147" i="12" s="1"/>
  <c r="Z147" i="12" a="1"/>
  <c r="Z147" i="12" s="1"/>
  <c r="Y148" i="12" a="1"/>
  <c r="Y148" i="12" s="1"/>
  <c r="Z148" i="12" a="1"/>
  <c r="Z148" i="12" s="1"/>
  <c r="Y149" i="12" a="1"/>
  <c r="Y149" i="12" s="1"/>
  <c r="Z149" i="12" a="1"/>
  <c r="Z149" i="12" s="1"/>
  <c r="Y150" i="12" a="1"/>
  <c r="Y150" i="12" s="1"/>
  <c r="Z150" i="12" a="1"/>
  <c r="Z150" i="12" s="1"/>
  <c r="Y151" i="12" a="1"/>
  <c r="Y151" i="12" s="1"/>
  <c r="Z151" i="12" a="1"/>
  <c r="Z151" i="12" s="1"/>
  <c r="Y152" i="12" a="1"/>
  <c r="Y152" i="12" s="1"/>
  <c r="Z152" i="12" a="1"/>
  <c r="Z152" i="12" s="1"/>
  <c r="Y153" i="12" a="1"/>
  <c r="Y153" i="12" s="1"/>
  <c r="Z153" i="12" a="1"/>
  <c r="Z153" i="12" s="1"/>
  <c r="Y154" i="12" a="1"/>
  <c r="Y154" i="12" s="1"/>
  <c r="Z154" i="12" a="1"/>
  <c r="Z154" i="12" s="1"/>
  <c r="Y155" i="12" a="1"/>
  <c r="Y155" i="12" s="1"/>
  <c r="Z155" i="12" a="1"/>
  <c r="Z155" i="12" s="1"/>
  <c r="Y156" i="12" a="1"/>
  <c r="Y156" i="12" s="1"/>
  <c r="Z156" i="12" a="1"/>
  <c r="Z156" i="12" s="1"/>
  <c r="Y157" i="12" a="1"/>
  <c r="Y157" i="12" s="1"/>
  <c r="Z157" i="12" a="1"/>
  <c r="Z157" i="12" s="1"/>
  <c r="Y158" i="12" a="1"/>
  <c r="Y158" i="12" s="1"/>
  <c r="Z158" i="12" a="1"/>
  <c r="Z158" i="12" s="1"/>
  <c r="Y159" i="12" a="1"/>
  <c r="Y159" i="12" s="1"/>
  <c r="Z159" i="12" a="1"/>
  <c r="Z159" i="12" s="1"/>
  <c r="Y160" i="12" a="1"/>
  <c r="Y160" i="12" s="1"/>
  <c r="Z160" i="12" a="1"/>
  <c r="Z160" i="12" s="1"/>
  <c r="Y161" i="12" a="1"/>
  <c r="Y161" i="12" s="1"/>
  <c r="Z161" i="12" a="1"/>
  <c r="Z161" i="12" s="1"/>
  <c r="Y162" i="12" a="1"/>
  <c r="Y162" i="12" s="1"/>
  <c r="Z162" i="12" a="1"/>
  <c r="Z162" i="12" s="1"/>
  <c r="Y163" i="12" a="1"/>
  <c r="Y163" i="12" s="1"/>
  <c r="Z163" i="12" a="1"/>
  <c r="Z163" i="12" s="1"/>
  <c r="Y164" i="12" a="1"/>
  <c r="Y164" i="12" s="1"/>
  <c r="Z164" i="12" a="1"/>
  <c r="Z164" i="12" s="1"/>
  <c r="Y165" i="12" a="1"/>
  <c r="Y165" i="12" s="1"/>
  <c r="Z165" i="12" a="1"/>
  <c r="Z165" i="12" s="1"/>
  <c r="Y166" i="12" a="1"/>
  <c r="Y166" i="12" s="1"/>
  <c r="Z166" i="12" a="1"/>
  <c r="Z166" i="12" s="1"/>
  <c r="Y167" i="12" a="1"/>
  <c r="Y167" i="12" s="1"/>
  <c r="Z167" i="12" a="1"/>
  <c r="Z167" i="12" s="1"/>
  <c r="Y168" i="12" a="1"/>
  <c r="Y168" i="12" s="1"/>
  <c r="Z168" i="12" a="1"/>
  <c r="Z168" i="12" s="1"/>
  <c r="Y169" i="12" a="1"/>
  <c r="Y169" i="12" s="1"/>
  <c r="Z169" i="12" a="1"/>
  <c r="Z169" i="12" s="1"/>
  <c r="Y170" i="12" a="1"/>
  <c r="Y170" i="12" s="1"/>
  <c r="Z170" i="12" a="1"/>
  <c r="Z170" i="12" s="1"/>
  <c r="Y171" i="12" a="1"/>
  <c r="Y171" i="12" s="1"/>
  <c r="Z171" i="12" a="1"/>
  <c r="Z171" i="12" s="1"/>
  <c r="Y172" i="12" a="1"/>
  <c r="Y172" i="12" s="1"/>
  <c r="Z172" i="12" a="1"/>
  <c r="Z172" i="12" s="1"/>
  <c r="Y173" i="12" a="1"/>
  <c r="Y173" i="12" s="1"/>
  <c r="Z173" i="12" a="1"/>
  <c r="Z173" i="12" s="1"/>
  <c r="Y174" i="12" a="1"/>
  <c r="Y174" i="12" s="1"/>
  <c r="Z174" i="12" a="1"/>
  <c r="Z174" i="12" s="1"/>
  <c r="Y175" i="12" a="1"/>
  <c r="Y175" i="12" s="1"/>
  <c r="Z175" i="12" a="1"/>
  <c r="Z175" i="12" s="1"/>
  <c r="Y176" i="12" a="1"/>
  <c r="Y176" i="12" s="1"/>
  <c r="Z176" i="12" a="1"/>
  <c r="Z176" i="12" s="1"/>
  <c r="Y177" i="12" a="1"/>
  <c r="Y177" i="12" s="1"/>
  <c r="Z177" i="12" a="1"/>
  <c r="Z177" i="12" s="1"/>
  <c r="Y178" i="12" a="1"/>
  <c r="Y178" i="12" s="1"/>
  <c r="Z178" i="12" a="1"/>
  <c r="Z178" i="12" s="1"/>
  <c r="Y179" i="12" a="1"/>
  <c r="Y179" i="12" s="1"/>
  <c r="Z179" i="12" a="1"/>
  <c r="Z179" i="12" s="1"/>
  <c r="Y180" i="12" a="1"/>
  <c r="Y180" i="12" s="1"/>
  <c r="Z180" i="12" a="1"/>
  <c r="Z180" i="12" s="1"/>
  <c r="Y181" i="12" a="1"/>
  <c r="Y181" i="12" s="1"/>
  <c r="Z181" i="12" a="1"/>
  <c r="Z181" i="12" s="1"/>
  <c r="Y182" i="12" a="1"/>
  <c r="Y182" i="12" s="1"/>
  <c r="Z182" i="12" a="1"/>
  <c r="Z182" i="12" s="1"/>
  <c r="Y183" i="12" a="1"/>
  <c r="Y183" i="12" s="1"/>
  <c r="Z183" i="12" a="1"/>
  <c r="Z183" i="12" s="1"/>
  <c r="Y184" i="12" a="1"/>
  <c r="Y184" i="12" s="1"/>
  <c r="Z184" i="12" a="1"/>
  <c r="Z184" i="12" s="1"/>
  <c r="Y185" i="12" a="1"/>
  <c r="Y185" i="12" s="1"/>
  <c r="Z185" i="12" a="1"/>
  <c r="Z185" i="12" s="1"/>
  <c r="Y186" i="12" a="1"/>
  <c r="Y186" i="12" s="1"/>
  <c r="Z186" i="12" a="1"/>
  <c r="Z186" i="12" s="1"/>
  <c r="Y187" i="12" a="1"/>
  <c r="Y187" i="12" s="1"/>
  <c r="Z187" i="12" a="1"/>
  <c r="Z187" i="12" s="1"/>
  <c r="Y188" i="12" a="1"/>
  <c r="Y188" i="12" s="1"/>
  <c r="Z188" i="12" a="1"/>
  <c r="Z188" i="12" s="1"/>
  <c r="Y189" i="12" a="1"/>
  <c r="Y189" i="12" s="1"/>
  <c r="Z189" i="12" a="1"/>
  <c r="Z189" i="12" s="1"/>
  <c r="Y190" i="12" a="1"/>
  <c r="Y190" i="12" s="1"/>
  <c r="Z190" i="12" a="1"/>
  <c r="Z190" i="12" s="1"/>
  <c r="Y191" i="12" a="1"/>
  <c r="Y191" i="12" s="1"/>
  <c r="Z191" i="12" a="1"/>
  <c r="Z191" i="12" s="1"/>
  <c r="Y192" i="12" a="1"/>
  <c r="Y192" i="12" s="1"/>
  <c r="Z192" i="12" a="1"/>
  <c r="Z192" i="12" s="1"/>
  <c r="Y193" i="12" a="1"/>
  <c r="Y193" i="12" s="1"/>
  <c r="Z193" i="12" a="1"/>
  <c r="Z193" i="12" s="1"/>
  <c r="Y194" i="12" a="1"/>
  <c r="Y194" i="12" s="1"/>
  <c r="Z194" i="12" a="1"/>
  <c r="Z194" i="12" s="1"/>
  <c r="Y195" i="12" a="1"/>
  <c r="Y195" i="12" s="1"/>
  <c r="Z195" i="12" a="1"/>
  <c r="Z195" i="12" s="1"/>
  <c r="Z2" i="12" a="1"/>
  <c r="Z2" i="12" s="1"/>
  <c r="Y2" i="12" a="1"/>
  <c r="Y2" i="12" s="1"/>
  <c r="Z3" i="8" a="1"/>
  <c r="Z3" i="8" s="1"/>
  <c r="Z4" i="8" a="1"/>
  <c r="Z4" i="8" s="1"/>
  <c r="Z5" i="8" a="1"/>
  <c r="Z5" i="8" s="1"/>
  <c r="Z6" i="8" a="1"/>
  <c r="Z6" i="8" s="1"/>
  <c r="Z7" i="8" a="1"/>
  <c r="Z7" i="8" s="1"/>
  <c r="Z8" i="8" a="1"/>
  <c r="Z8" i="8" s="1"/>
  <c r="Z9" i="8" a="1"/>
  <c r="Z9" i="8" s="1"/>
  <c r="Z10" i="8" a="1"/>
  <c r="Z10" i="8" s="1"/>
  <c r="Z11" i="8" a="1"/>
  <c r="Z11" i="8" s="1"/>
  <c r="Z12" i="8" a="1"/>
  <c r="Z12" i="8" s="1"/>
  <c r="Z13" i="8" a="1"/>
  <c r="Z13" i="8" s="1"/>
  <c r="Z14" i="8" a="1"/>
  <c r="Z14" i="8" s="1"/>
  <c r="Z15" i="8" a="1"/>
  <c r="Z15" i="8" s="1"/>
  <c r="Z16" i="8" a="1"/>
  <c r="Z16" i="8" s="1"/>
  <c r="Z17" i="8" a="1"/>
  <c r="Z17" i="8" s="1"/>
  <c r="Z18" i="8" a="1"/>
  <c r="Z18" i="8" s="1"/>
  <c r="Z19" i="8" a="1"/>
  <c r="Z19" i="8" s="1"/>
  <c r="Z20" i="8" a="1"/>
  <c r="Z20" i="8" s="1"/>
  <c r="Z21" i="8" a="1"/>
  <c r="Z21" i="8" s="1"/>
  <c r="Z22" i="8" a="1"/>
  <c r="Z22" i="8" s="1"/>
  <c r="Z23" i="8" a="1"/>
  <c r="Z23" i="8" s="1"/>
  <c r="Z24" i="8" a="1"/>
  <c r="Z24" i="8" s="1"/>
  <c r="Z25" i="8" a="1"/>
  <c r="Z25" i="8" s="1"/>
  <c r="Z26" i="8" a="1"/>
  <c r="Z26" i="8" s="1"/>
  <c r="Z27" i="8" a="1"/>
  <c r="Z27" i="8" s="1"/>
  <c r="Z28" i="8" a="1"/>
  <c r="Z28" i="8" s="1"/>
  <c r="Z29" i="8" a="1"/>
  <c r="Z29" i="8" s="1"/>
  <c r="Z30" i="8" a="1"/>
  <c r="Z30" i="8" s="1"/>
  <c r="Z31" i="8" a="1"/>
  <c r="Z31" i="8" s="1"/>
  <c r="Z32" i="8" a="1"/>
  <c r="Z32" i="8" s="1"/>
  <c r="Z33" i="8" a="1"/>
  <c r="Z33" i="8" s="1"/>
  <c r="Z34" i="8" a="1"/>
  <c r="Z34" i="8" s="1"/>
  <c r="Z35" i="8" a="1"/>
  <c r="Z35" i="8" s="1"/>
  <c r="Z36" i="8" a="1"/>
  <c r="Z36" i="8" s="1"/>
  <c r="Z37" i="8" a="1"/>
  <c r="Z37" i="8" s="1"/>
  <c r="Z38" i="8" a="1"/>
  <c r="Z38" i="8" s="1"/>
  <c r="Z40" i="8" a="1"/>
  <c r="Z40" i="8" s="1"/>
  <c r="Z41" i="8" a="1"/>
  <c r="Z41" i="8" s="1"/>
  <c r="Z42" i="8" a="1"/>
  <c r="Z42" i="8" s="1"/>
  <c r="Z43" i="8" a="1"/>
  <c r="Z43" i="8" s="1"/>
  <c r="Z44" i="8" a="1"/>
  <c r="Z44" i="8" s="1"/>
  <c r="Z45" i="8" a="1"/>
  <c r="Z45" i="8" s="1"/>
  <c r="Z46" i="8" a="1"/>
  <c r="Z46" i="8" s="1"/>
  <c r="Z47" i="8" a="1"/>
  <c r="Z47" i="8" s="1"/>
  <c r="Z48" i="8" a="1"/>
  <c r="Z48" i="8" s="1"/>
  <c r="Z49" i="8" a="1"/>
  <c r="Z49" i="8" s="1"/>
  <c r="Z50" i="8" a="1"/>
  <c r="Z50" i="8" s="1"/>
  <c r="Z51" i="8" a="1"/>
  <c r="Z51" i="8" s="1"/>
  <c r="Z52" i="8" a="1"/>
  <c r="Z52" i="8" s="1"/>
  <c r="Z53" i="8" a="1"/>
  <c r="Z53" i="8" s="1"/>
  <c r="Z54" i="8" a="1"/>
  <c r="Z54" i="8" s="1"/>
  <c r="Z55" i="8" a="1"/>
  <c r="Z55" i="8" s="1"/>
  <c r="Z56" i="8" a="1"/>
  <c r="Z56" i="8" s="1"/>
  <c r="Z57" i="8" a="1"/>
  <c r="Z57" i="8" s="1"/>
  <c r="Z58" i="8" a="1"/>
  <c r="Z58" i="8" s="1"/>
  <c r="Z59" i="8" a="1"/>
  <c r="Z59" i="8" s="1"/>
  <c r="Z60" i="8" a="1"/>
  <c r="Z60" i="8" s="1"/>
  <c r="Z61" i="8" a="1"/>
  <c r="Z61" i="8" s="1"/>
  <c r="Z62" i="8" a="1"/>
  <c r="Z62" i="8" s="1"/>
  <c r="Z63" i="8" a="1"/>
  <c r="Z63" i="8" s="1"/>
  <c r="Z64" i="8" a="1"/>
  <c r="Z64" i="8" s="1"/>
  <c r="Z65" i="8" a="1"/>
  <c r="Z65" i="8" s="1"/>
  <c r="Z66" i="8" a="1"/>
  <c r="Z66" i="8" s="1"/>
  <c r="Z67" i="8" a="1"/>
  <c r="Z67" i="8" s="1"/>
  <c r="Z68" i="8" a="1"/>
  <c r="Z68" i="8" s="1"/>
  <c r="Z69" i="8" a="1"/>
  <c r="Z69" i="8" s="1"/>
  <c r="Z70" i="8" a="1"/>
  <c r="Z70" i="8" s="1"/>
  <c r="Z71" i="8" a="1"/>
  <c r="Z71" i="8" s="1"/>
  <c r="Z72" i="8" a="1"/>
  <c r="Z72" i="8" s="1"/>
  <c r="Z73" i="8" a="1"/>
  <c r="Z73" i="8" s="1"/>
  <c r="Z74" i="8" a="1"/>
  <c r="Z74" i="8" s="1"/>
  <c r="Z75" i="8" a="1"/>
  <c r="Z75" i="8" s="1"/>
  <c r="Z76" i="8" a="1"/>
  <c r="Z76" i="8" s="1"/>
  <c r="Z77" i="8" a="1"/>
  <c r="Z77" i="8" s="1"/>
  <c r="Z78" i="8" a="1"/>
  <c r="Z78" i="8" s="1"/>
  <c r="Z79" i="8" a="1"/>
  <c r="Z79" i="8" s="1"/>
  <c r="Z80" i="8" a="1"/>
  <c r="Z80" i="8" s="1"/>
  <c r="Z81" i="8" a="1"/>
  <c r="Z81" i="8" s="1"/>
  <c r="Z82" i="8" a="1"/>
  <c r="Z82" i="8" s="1"/>
  <c r="Z83" i="8" a="1"/>
  <c r="Z83" i="8" s="1"/>
  <c r="Z84" i="8" a="1"/>
  <c r="Z84" i="8" s="1"/>
  <c r="Z85" i="8" a="1"/>
  <c r="Z85" i="8" s="1"/>
  <c r="Z86" i="8" a="1"/>
  <c r="Z86" i="8" s="1"/>
  <c r="Z2" i="8" a="1"/>
  <c r="Z2" i="8" s="1"/>
  <c r="Z3" i="11" a="1"/>
  <c r="Z3" i="11" s="1"/>
  <c r="Z4" i="11" a="1"/>
  <c r="Z4" i="11" s="1"/>
  <c r="Z5" i="11" a="1"/>
  <c r="Z5" i="11" s="1"/>
  <c r="Z6" i="11" a="1"/>
  <c r="Z6" i="11" s="1"/>
  <c r="Z7" i="11" a="1"/>
  <c r="Z7" i="11" s="1"/>
  <c r="Z8" i="11" a="1"/>
  <c r="Z8" i="11" s="1"/>
  <c r="Z9" i="11" a="1"/>
  <c r="Z9" i="11" s="1"/>
  <c r="Z10" i="11" a="1"/>
  <c r="Z10" i="11" s="1"/>
  <c r="Z11" i="11" a="1"/>
  <c r="Z11" i="11" s="1"/>
  <c r="Z12" i="11" a="1"/>
  <c r="Z12" i="11" s="1"/>
  <c r="Z13" i="11" a="1"/>
  <c r="Z13" i="11" s="1"/>
  <c r="Z14" i="11" a="1"/>
  <c r="Z14" i="11" s="1"/>
  <c r="Z15" i="11" a="1"/>
  <c r="Z15" i="11" s="1"/>
  <c r="Z16" i="11" a="1"/>
  <c r="Z16" i="11" s="1"/>
  <c r="Z17" i="11" a="1"/>
  <c r="Z17" i="11" s="1"/>
  <c r="Z18" i="11" a="1"/>
  <c r="Z18" i="11" s="1"/>
  <c r="Z19" i="11" a="1"/>
  <c r="Z19" i="11" s="1"/>
  <c r="Z20" i="11" a="1"/>
  <c r="Z20" i="11" s="1"/>
  <c r="Z21" i="11" a="1"/>
  <c r="Z21" i="11" s="1"/>
  <c r="Z22" i="11" a="1"/>
  <c r="Z22" i="11" s="1"/>
  <c r="Z23" i="11" a="1"/>
  <c r="Z23" i="11" s="1"/>
  <c r="Z24" i="11" a="1"/>
  <c r="Z24" i="11" s="1"/>
  <c r="Z25" i="11" a="1"/>
  <c r="Z25" i="11" s="1"/>
  <c r="Z26" i="11" a="1"/>
  <c r="Z26" i="11" s="1"/>
  <c r="Z27" i="11" a="1"/>
  <c r="Z27" i="11" s="1"/>
  <c r="Z28" i="11" a="1"/>
  <c r="Z28" i="11" s="1"/>
  <c r="Z29" i="11" a="1"/>
  <c r="Z29" i="11" s="1"/>
  <c r="Z30" i="11" a="1"/>
  <c r="Z30" i="11" s="1"/>
  <c r="Z31" i="11" a="1"/>
  <c r="Z31" i="11" s="1"/>
  <c r="Z32" i="11" a="1"/>
  <c r="Z32" i="11" s="1"/>
  <c r="Z33" i="11" a="1"/>
  <c r="Z33" i="11" s="1"/>
  <c r="Z34" i="11" a="1"/>
  <c r="Z34" i="11" s="1"/>
  <c r="Z35" i="11" a="1"/>
  <c r="Z35" i="11" s="1"/>
  <c r="Z36" i="11" a="1"/>
  <c r="Z36" i="11" s="1"/>
  <c r="Z37" i="11" a="1"/>
  <c r="Z37" i="11" s="1"/>
  <c r="Z38" i="11" a="1"/>
  <c r="Z38" i="11" s="1"/>
  <c r="Z39" i="11" a="1"/>
  <c r="Z39" i="11" s="1"/>
  <c r="Z40" i="11" a="1"/>
  <c r="Z40" i="11" s="1"/>
  <c r="Z41" i="11" a="1"/>
  <c r="Z41" i="11" s="1"/>
  <c r="Z42" i="11" a="1"/>
  <c r="Z42" i="11" s="1"/>
  <c r="Z43" i="11" a="1"/>
  <c r="Z43" i="11" s="1"/>
  <c r="Z44" i="11" a="1"/>
  <c r="Z44" i="11" s="1"/>
  <c r="Z45" i="11" a="1"/>
  <c r="Z45" i="11" s="1"/>
  <c r="Z46" i="11" a="1"/>
  <c r="Z46" i="11" s="1"/>
  <c r="Z47" i="11" a="1"/>
  <c r="Z47" i="11" s="1"/>
  <c r="Z48" i="11" a="1"/>
  <c r="Z48" i="11" s="1"/>
  <c r="Z49" i="11" a="1"/>
  <c r="Z49" i="11" s="1"/>
  <c r="Z50" i="11" a="1"/>
  <c r="Z50" i="11" s="1"/>
  <c r="Z51" i="11" a="1"/>
  <c r="Z51" i="11" s="1"/>
  <c r="Z52" i="11" a="1"/>
  <c r="Z52" i="11" s="1"/>
  <c r="Z53" i="11" a="1"/>
  <c r="Z53" i="11" s="1"/>
  <c r="Z54" i="11" a="1"/>
  <c r="Z54" i="11" s="1"/>
  <c r="Z55" i="11" a="1"/>
  <c r="Z55" i="11" s="1"/>
  <c r="Z56" i="11" a="1"/>
  <c r="Z56" i="11" s="1"/>
  <c r="Z57" i="11" a="1"/>
  <c r="Z57" i="11" s="1"/>
  <c r="Z58" i="11" a="1"/>
  <c r="Z58" i="11" s="1"/>
  <c r="Z59" i="11" a="1"/>
  <c r="Z59" i="11" s="1"/>
  <c r="Z60" i="11" a="1"/>
  <c r="Z60" i="11" s="1"/>
  <c r="Z61" i="11" a="1"/>
  <c r="Z61" i="11" s="1"/>
  <c r="Z62" i="11" a="1"/>
  <c r="Z62" i="11" s="1"/>
  <c r="Z63" i="11" a="1"/>
  <c r="Z63" i="11" s="1"/>
  <c r="Z64" i="11" a="1"/>
  <c r="Z64" i="11" s="1"/>
  <c r="Z65" i="11" a="1"/>
  <c r="Z65" i="11" s="1"/>
  <c r="Z66" i="11" a="1"/>
  <c r="Z66" i="11" s="1"/>
  <c r="Z67" i="11" a="1"/>
  <c r="Z67" i="11" s="1"/>
  <c r="Z68" i="11" a="1"/>
  <c r="Z68" i="11" s="1"/>
  <c r="Z69" i="11" a="1"/>
  <c r="Z69" i="11" s="1"/>
  <c r="Z70" i="11" a="1"/>
  <c r="Z70" i="11" s="1"/>
  <c r="Z71" i="11" a="1"/>
  <c r="Z71" i="11" s="1"/>
  <c r="Z72" i="11" a="1"/>
  <c r="Z72" i="11" s="1"/>
  <c r="Z73" i="11" a="1"/>
  <c r="Z73" i="11" s="1"/>
  <c r="Z74" i="11" a="1"/>
  <c r="Z74" i="11" s="1"/>
  <c r="Z75" i="11" a="1"/>
  <c r="Z75" i="11" s="1"/>
  <c r="Z76" i="11" a="1"/>
  <c r="Z76" i="11" s="1"/>
  <c r="Z77" i="11" a="1"/>
  <c r="Z77" i="11" s="1"/>
  <c r="Z78" i="11" a="1"/>
  <c r="Z78" i="11" s="1"/>
  <c r="Z79" i="11" a="1"/>
  <c r="Z79" i="11" s="1"/>
  <c r="Z80" i="11" a="1"/>
  <c r="Z80" i="11" s="1"/>
  <c r="Z81" i="11" a="1"/>
  <c r="Z81" i="11" s="1"/>
  <c r="Z82" i="11" a="1"/>
  <c r="Z82" i="11" s="1"/>
  <c r="Z83" i="11" a="1"/>
  <c r="Z83" i="11" s="1"/>
  <c r="Z84" i="11" a="1"/>
  <c r="Z84" i="11" s="1"/>
  <c r="Z85" i="11" a="1"/>
  <c r="Z85" i="11" s="1"/>
  <c r="Z86" i="11" a="1"/>
  <c r="Z86" i="11" s="1"/>
  <c r="Z87" i="11" a="1"/>
  <c r="Z87" i="11" s="1"/>
  <c r="Z88" i="11" a="1"/>
  <c r="Z88" i="11" s="1"/>
  <c r="Z89" i="11" a="1"/>
  <c r="Z89" i="11" s="1"/>
  <c r="Z90" i="11" a="1"/>
  <c r="Z90" i="11" s="1"/>
  <c r="Z91" i="11" a="1"/>
  <c r="Z91" i="11" s="1"/>
  <c r="Z92" i="11" a="1"/>
  <c r="Z92" i="11" s="1"/>
  <c r="Z93" i="11" a="1"/>
  <c r="Z93" i="11" s="1"/>
  <c r="Z94" i="11" a="1"/>
  <c r="Z94" i="11" s="1"/>
  <c r="Z95" i="11" a="1"/>
  <c r="Z95" i="11" s="1"/>
  <c r="Z96" i="11" a="1"/>
  <c r="Z96" i="11" s="1"/>
  <c r="Z97" i="11" a="1"/>
  <c r="Z97" i="11" s="1"/>
  <c r="Z98" i="11" a="1"/>
  <c r="Z98" i="11" s="1"/>
  <c r="Z99" i="11" a="1"/>
  <c r="Z99" i="11" s="1"/>
  <c r="Z100" i="11" a="1"/>
  <c r="Z100" i="11" s="1"/>
  <c r="Z101" i="11" a="1"/>
  <c r="Z101" i="11" s="1"/>
  <c r="Z102" i="11" a="1"/>
  <c r="Z102" i="11" s="1"/>
  <c r="Z103" i="11" a="1"/>
  <c r="Z103" i="11" s="1"/>
  <c r="Z104" i="11" a="1"/>
  <c r="Z104" i="11" s="1"/>
  <c r="Z105" i="11" a="1"/>
  <c r="Z105" i="11" s="1"/>
  <c r="Z106" i="11" a="1"/>
  <c r="Z106" i="11" s="1"/>
  <c r="Z107" i="11" a="1"/>
  <c r="Z107" i="11" s="1"/>
  <c r="Z108" i="11" a="1"/>
  <c r="Z108" i="11" s="1"/>
  <c r="Z109" i="11" a="1"/>
  <c r="Z109" i="11" s="1"/>
  <c r="Z110" i="11" a="1"/>
  <c r="Z110" i="11" s="1"/>
  <c r="Z111" i="11" a="1"/>
  <c r="Z111" i="11" s="1"/>
  <c r="Z112" i="11" a="1"/>
  <c r="Z112" i="11" s="1"/>
  <c r="Z113" i="11" a="1"/>
  <c r="Z113" i="11" s="1"/>
  <c r="Z114" i="11" a="1"/>
  <c r="Z114" i="11" s="1"/>
  <c r="Z115" i="11" a="1"/>
  <c r="Z115" i="11" s="1"/>
  <c r="Z116" i="11" a="1"/>
  <c r="Z116" i="11" s="1"/>
  <c r="Z117" i="11" a="1"/>
  <c r="Z117" i="11" s="1"/>
  <c r="Z118" i="11" a="1"/>
  <c r="Z118" i="11" s="1"/>
  <c r="Z119" i="11" a="1"/>
  <c r="Z119" i="11" s="1"/>
  <c r="Z120" i="11" a="1"/>
  <c r="Z120" i="11" s="1"/>
  <c r="Z121" i="11" a="1"/>
  <c r="Z121" i="11" s="1"/>
  <c r="Z122" i="11" a="1"/>
  <c r="Z122" i="11" s="1"/>
  <c r="Z123" i="11" a="1"/>
  <c r="Z123" i="11" s="1"/>
  <c r="Z124" i="11" a="1"/>
  <c r="Z124" i="11" s="1"/>
  <c r="Z125" i="11" a="1"/>
  <c r="Z125" i="11" s="1"/>
  <c r="Z126" i="11" a="1"/>
  <c r="Z126" i="11" s="1"/>
  <c r="Z127" i="11" a="1"/>
  <c r="Z127" i="11" s="1"/>
  <c r="Z128" i="11" a="1"/>
  <c r="Z128" i="11" s="1"/>
  <c r="Z129" i="11" a="1"/>
  <c r="Z129" i="11" s="1"/>
  <c r="Z130" i="11" a="1"/>
  <c r="Z130" i="11" s="1"/>
  <c r="Z131" i="11" a="1"/>
  <c r="Z131" i="11" s="1"/>
  <c r="Z132" i="11" a="1"/>
  <c r="Z132" i="11" s="1"/>
  <c r="Z133" i="11" a="1"/>
  <c r="Z133" i="11" s="1"/>
  <c r="Z134" i="11" a="1"/>
  <c r="Z134" i="11" s="1"/>
  <c r="Z135" i="11" a="1"/>
  <c r="Z135" i="11" s="1"/>
  <c r="Z136" i="11" a="1"/>
  <c r="Z136" i="11" s="1"/>
  <c r="Z137" i="11" a="1"/>
  <c r="Z137" i="11" s="1"/>
  <c r="Z138" i="11" a="1"/>
  <c r="Z138" i="11" s="1"/>
  <c r="Z139" i="11" a="1"/>
  <c r="Z139" i="11" s="1"/>
  <c r="Z140" i="11" a="1"/>
  <c r="Z140" i="11" s="1"/>
  <c r="Z141" i="11" a="1"/>
  <c r="Z141" i="11" s="1"/>
  <c r="Z142" i="11" a="1"/>
  <c r="Z142" i="11" s="1"/>
  <c r="Z143" i="11" a="1"/>
  <c r="Z143" i="11" s="1"/>
  <c r="Z144" i="11" a="1"/>
  <c r="Z144" i="11" s="1"/>
  <c r="Z145" i="11" a="1"/>
  <c r="Z145" i="11" s="1"/>
  <c r="Z146" i="11" a="1"/>
  <c r="Z146" i="11" s="1"/>
  <c r="Z147" i="11" a="1"/>
  <c r="Z147" i="11" s="1"/>
  <c r="Z148" i="11" a="1"/>
  <c r="Z148" i="11" s="1"/>
  <c r="Z149" i="11" a="1"/>
  <c r="Z149" i="11" s="1"/>
  <c r="Z150" i="11" a="1"/>
  <c r="Z150" i="11" s="1"/>
  <c r="Z151" i="11" a="1"/>
  <c r="Z151" i="11" s="1"/>
  <c r="Z152" i="11" a="1"/>
  <c r="Z152" i="11" s="1"/>
  <c r="Z153" i="11" a="1"/>
  <c r="Z153" i="11" s="1"/>
  <c r="Z154" i="11" a="1"/>
  <c r="Z154" i="11" s="1"/>
  <c r="Z155" i="11" a="1"/>
  <c r="Z155" i="11" s="1"/>
  <c r="Z156" i="11" a="1"/>
  <c r="Z156" i="11" s="1"/>
  <c r="Z157" i="11" a="1"/>
  <c r="Z157" i="11" s="1"/>
  <c r="Z158" i="11" a="1"/>
  <c r="Z158" i="11" s="1"/>
  <c r="Z159" i="11" a="1"/>
  <c r="Z159" i="11" s="1"/>
  <c r="Z160" i="11" a="1"/>
  <c r="Z160" i="11" s="1"/>
  <c r="Z161" i="11" a="1"/>
  <c r="Z161" i="11" s="1"/>
  <c r="Z162" i="11" a="1"/>
  <c r="Z162" i="11" s="1"/>
  <c r="Z163" i="11" a="1"/>
  <c r="Z163" i="11" s="1"/>
  <c r="Z164" i="11" a="1"/>
  <c r="Z164" i="11" s="1"/>
  <c r="Z165" i="11" a="1"/>
  <c r="Z165" i="11" s="1"/>
  <c r="Z166" i="11" a="1"/>
  <c r="Z166" i="11" s="1"/>
  <c r="Z167" i="11" a="1"/>
  <c r="Z167" i="11" s="1"/>
  <c r="Z168" i="11" a="1"/>
  <c r="Z168" i="11" s="1"/>
  <c r="Z169" i="11" a="1"/>
  <c r="Z169" i="11" s="1"/>
  <c r="Z170" i="11" a="1"/>
  <c r="Z170" i="11" s="1"/>
  <c r="Z171" i="11" a="1"/>
  <c r="Z171" i="11" s="1"/>
  <c r="Z172" i="11" a="1"/>
  <c r="Z172" i="11" s="1"/>
  <c r="Z173" i="11" a="1"/>
  <c r="Z173" i="11" s="1"/>
  <c r="Z174" i="11" a="1"/>
  <c r="Z174" i="11" s="1"/>
  <c r="Z175" i="11" a="1"/>
  <c r="Z175" i="11" s="1"/>
  <c r="Z176" i="11" a="1"/>
  <c r="Z176" i="11" s="1"/>
  <c r="Z177" i="11" a="1"/>
  <c r="Z177" i="11" s="1"/>
  <c r="Z178" i="11" a="1"/>
  <c r="Z178" i="11" s="1"/>
  <c r="Z179" i="11" a="1"/>
  <c r="Z179" i="11" s="1"/>
  <c r="Z180" i="11" a="1"/>
  <c r="Z180" i="11" s="1"/>
  <c r="Z181" i="11" a="1"/>
  <c r="Z181" i="11" s="1"/>
  <c r="Z182" i="11" a="1"/>
  <c r="Z182" i="11" s="1"/>
  <c r="Z183" i="11" a="1"/>
  <c r="Z183" i="11" s="1"/>
  <c r="Z184" i="11" a="1"/>
  <c r="Z184" i="11" s="1"/>
  <c r="Z185" i="11" a="1"/>
  <c r="Z185" i="11" s="1"/>
  <c r="Z186" i="11" a="1"/>
  <c r="Z186" i="11" s="1"/>
  <c r="Z187" i="11" a="1"/>
  <c r="Z187" i="11" s="1"/>
  <c r="Z188" i="11" a="1"/>
  <c r="Z188" i="11" s="1"/>
  <c r="Z189" i="11" a="1"/>
  <c r="Z189" i="11" s="1"/>
  <c r="Z190" i="11" a="1"/>
  <c r="Z190" i="11" s="1"/>
  <c r="Z191" i="11" a="1"/>
  <c r="Z191" i="11" s="1"/>
  <c r="Z192" i="11" a="1"/>
  <c r="Z192" i="11" s="1"/>
  <c r="Z193" i="11" a="1"/>
  <c r="Z193" i="11" s="1"/>
  <c r="Z194" i="11" a="1"/>
  <c r="Z194" i="11" s="1"/>
  <c r="Z195" i="11" a="1"/>
  <c r="Z195" i="11" s="1"/>
  <c r="Z196" i="11" a="1"/>
  <c r="Z196" i="11" s="1"/>
  <c r="Z197" i="11" a="1"/>
  <c r="Z197" i="11" s="1"/>
  <c r="Z198" i="11" a="1"/>
  <c r="Z198" i="11" s="1"/>
  <c r="Z199" i="11" a="1"/>
  <c r="Z199" i="11" s="1"/>
  <c r="Z200" i="11" a="1"/>
  <c r="Z200" i="11" s="1"/>
  <c r="Z201" i="11" a="1"/>
  <c r="Z201" i="11" s="1"/>
  <c r="Z202" i="11" a="1"/>
  <c r="Z202" i="11" s="1"/>
  <c r="Z203" i="11" a="1"/>
  <c r="Z203" i="11" s="1"/>
  <c r="Z204" i="11" a="1"/>
  <c r="Z204" i="11" s="1"/>
  <c r="Z205" i="11" a="1"/>
  <c r="Z205" i="11" s="1"/>
  <c r="Z206" i="11" a="1"/>
  <c r="Z206" i="11" s="1"/>
  <c r="Z207" i="11" a="1"/>
  <c r="Z207" i="11" s="1"/>
  <c r="Z208" i="11" a="1"/>
  <c r="Z208" i="11" s="1"/>
  <c r="Z209" i="11" a="1"/>
  <c r="Z209" i="11" s="1"/>
  <c r="Z210" i="11" a="1"/>
  <c r="Z210" i="11" s="1"/>
  <c r="Z211" i="11" a="1"/>
  <c r="Z211" i="11" s="1"/>
  <c r="Z212" i="11" a="1"/>
  <c r="Z212" i="11" s="1"/>
  <c r="Z213" i="11" a="1"/>
  <c r="Z213" i="11" s="1"/>
  <c r="Z214" i="11" a="1"/>
  <c r="Z214" i="11" s="1"/>
  <c r="Z215" i="11" a="1"/>
  <c r="Z215" i="11" s="1"/>
  <c r="Z216" i="11" a="1"/>
  <c r="Z216" i="11" s="1"/>
  <c r="Z217" i="11" a="1"/>
  <c r="Z217" i="11" s="1"/>
  <c r="Z218" i="11" a="1"/>
  <c r="Z218" i="11" s="1"/>
  <c r="Z219" i="11" a="1"/>
  <c r="Z219" i="11" s="1"/>
  <c r="Z220" i="11" a="1"/>
  <c r="Z220" i="11" s="1"/>
  <c r="Z221" i="11" a="1"/>
  <c r="Z221" i="11" s="1"/>
  <c r="Z222" i="11" a="1"/>
  <c r="Z222" i="11" s="1"/>
  <c r="Z223" i="11" a="1"/>
  <c r="Z223" i="11" s="1"/>
  <c r="Z224" i="11" a="1"/>
  <c r="Z224" i="11" s="1"/>
  <c r="Z225" i="11" a="1"/>
  <c r="Z225" i="11" s="1"/>
  <c r="Z226" i="11" a="1"/>
  <c r="Z226" i="11" s="1"/>
  <c r="Z227" i="11" a="1"/>
  <c r="Z227" i="11" s="1"/>
  <c r="Z228" i="11" a="1"/>
  <c r="Z228" i="11" s="1"/>
  <c r="Z229" i="11" a="1"/>
  <c r="Z229" i="11" s="1"/>
  <c r="Z230" i="11" a="1"/>
  <c r="Z230" i="11" s="1"/>
  <c r="Z231" i="11" a="1"/>
  <c r="Z231" i="11" s="1"/>
  <c r="Z232" i="11" a="1"/>
  <c r="Z232" i="11" s="1"/>
  <c r="Z233" i="11" a="1"/>
  <c r="Z233" i="11" s="1"/>
  <c r="Z2" i="11" a="1"/>
  <c r="Z2" i="11" s="1"/>
  <c r="Y3" i="11" a="1"/>
  <c r="Y3" i="11" s="1"/>
  <c r="Y4" i="11" a="1"/>
  <c r="Y4" i="11" s="1"/>
  <c r="Y5" i="11" a="1"/>
  <c r="Y5" i="11" s="1"/>
  <c r="Y6" i="11" a="1"/>
  <c r="Y6" i="11" s="1"/>
  <c r="Y7" i="11" a="1"/>
  <c r="Y7" i="11" s="1"/>
  <c r="Y8" i="11" a="1"/>
  <c r="Y8" i="11" s="1"/>
  <c r="Y9" i="11" a="1"/>
  <c r="Y9" i="11" s="1"/>
  <c r="Y10" i="11" a="1"/>
  <c r="Y10" i="11" s="1"/>
  <c r="Y11" i="11" a="1"/>
  <c r="Y11" i="11" s="1"/>
  <c r="Y12" i="11" a="1"/>
  <c r="Y12" i="11" s="1"/>
  <c r="Y13" i="11" a="1"/>
  <c r="Y13" i="11" s="1"/>
  <c r="Y14" i="11" a="1"/>
  <c r="Y14" i="11" s="1"/>
  <c r="Y15" i="11" a="1"/>
  <c r="Y15" i="11" s="1"/>
  <c r="Y16" i="11" a="1"/>
  <c r="Y16" i="11" s="1"/>
  <c r="Y17" i="11" a="1"/>
  <c r="Y17" i="11" s="1"/>
  <c r="Y18" i="11" a="1"/>
  <c r="Y18" i="11" s="1"/>
  <c r="Y19" i="11" a="1"/>
  <c r="Y19" i="11" s="1"/>
  <c r="Y20" i="11" a="1"/>
  <c r="Y20" i="11" s="1"/>
  <c r="Y21" i="11" a="1"/>
  <c r="Y21" i="11" s="1"/>
  <c r="Y22" i="11" a="1"/>
  <c r="Y22" i="11" s="1"/>
  <c r="Y23" i="11" a="1"/>
  <c r="Y23" i="11" s="1"/>
  <c r="Y24" i="11" a="1"/>
  <c r="Y24" i="11" s="1"/>
  <c r="Y25" i="11" a="1"/>
  <c r="Y25" i="11" s="1"/>
  <c r="Y26" i="11" a="1"/>
  <c r="Y26" i="11" s="1"/>
  <c r="Y27" i="11" a="1"/>
  <c r="Y27" i="11" s="1"/>
  <c r="Y28" i="11" a="1"/>
  <c r="Y28" i="11" s="1"/>
  <c r="Y29" i="11" a="1"/>
  <c r="Y29" i="11" s="1"/>
  <c r="Y30" i="11" a="1"/>
  <c r="Y30" i="11" s="1"/>
  <c r="Y31" i="11" a="1"/>
  <c r="Y31" i="11" s="1"/>
  <c r="Y32" i="11" a="1"/>
  <c r="Y32" i="11" s="1"/>
  <c r="Y33" i="11" a="1"/>
  <c r="Y33" i="11" s="1"/>
  <c r="Y34" i="11" a="1"/>
  <c r="Y34" i="11" s="1"/>
  <c r="Y35" i="11" a="1"/>
  <c r="Y35" i="11" s="1"/>
  <c r="Y36" i="11" a="1"/>
  <c r="Y36" i="11" s="1"/>
  <c r="Y37" i="11" a="1"/>
  <c r="Y37" i="11" s="1"/>
  <c r="Y38" i="11" a="1"/>
  <c r="Y38" i="11" s="1"/>
  <c r="Y39" i="11" a="1"/>
  <c r="Y39" i="11" s="1"/>
  <c r="Y40" i="11" a="1"/>
  <c r="Y40" i="11" s="1"/>
  <c r="Y41" i="11" a="1"/>
  <c r="Y41" i="11" s="1"/>
  <c r="Y42" i="11" a="1"/>
  <c r="Y42" i="11" s="1"/>
  <c r="Y43" i="11" a="1"/>
  <c r="Y43" i="11" s="1"/>
  <c r="Y44" i="11" a="1"/>
  <c r="Y44" i="11" s="1"/>
  <c r="Y45" i="11" a="1"/>
  <c r="Y45" i="11" s="1"/>
  <c r="Y46" i="11" a="1"/>
  <c r="Y46" i="11" s="1"/>
  <c r="Y47" i="11" a="1"/>
  <c r="Y47" i="11" s="1"/>
  <c r="Y48" i="11" a="1"/>
  <c r="Y48" i="11" s="1"/>
  <c r="Y49" i="11" a="1"/>
  <c r="Y49" i="11" s="1"/>
  <c r="Y50" i="11" a="1"/>
  <c r="Y50" i="11" s="1"/>
  <c r="Y51" i="11" a="1"/>
  <c r="Y51" i="11" s="1"/>
  <c r="Y52" i="11" a="1"/>
  <c r="Y52" i="11" s="1"/>
  <c r="Y53" i="11" a="1"/>
  <c r="Y53" i="11" s="1"/>
  <c r="Y54" i="11" a="1"/>
  <c r="Y54" i="11" s="1"/>
  <c r="Y55" i="11" a="1"/>
  <c r="Y55" i="11" s="1"/>
  <c r="Y56" i="11" a="1"/>
  <c r="Y56" i="11" s="1"/>
  <c r="Y57" i="11" a="1"/>
  <c r="Y57" i="11" s="1"/>
  <c r="Y58" i="11" a="1"/>
  <c r="Y58" i="11" s="1"/>
  <c r="Y59" i="11" a="1"/>
  <c r="Y59" i="11" s="1"/>
  <c r="Y60" i="11" a="1"/>
  <c r="Y60" i="11" s="1"/>
  <c r="Y61" i="11" a="1"/>
  <c r="Y61" i="11" s="1"/>
  <c r="Y62" i="11" a="1"/>
  <c r="Y62" i="11" s="1"/>
  <c r="Y63" i="11" a="1"/>
  <c r="Y63" i="11" s="1"/>
  <c r="Y64" i="11" a="1"/>
  <c r="Y64" i="11" s="1"/>
  <c r="Y65" i="11" a="1"/>
  <c r="Y65" i="11" s="1"/>
  <c r="Y66" i="11" a="1"/>
  <c r="Y66" i="11" s="1"/>
  <c r="Y67" i="11" a="1"/>
  <c r="Y67" i="11" s="1"/>
  <c r="Y68" i="11" a="1"/>
  <c r="Y68" i="11" s="1"/>
  <c r="Y69" i="11" a="1"/>
  <c r="Y69" i="11" s="1"/>
  <c r="Y70" i="11" a="1"/>
  <c r="Y70" i="11" s="1"/>
  <c r="Y71" i="11" a="1"/>
  <c r="Y71" i="11" s="1"/>
  <c r="Y72" i="11" a="1"/>
  <c r="Y72" i="11" s="1"/>
  <c r="Y73" i="11" a="1"/>
  <c r="Y73" i="11" s="1"/>
  <c r="Y74" i="11" a="1"/>
  <c r="Y74" i="11" s="1"/>
  <c r="Y75" i="11" a="1"/>
  <c r="Y75" i="11" s="1"/>
  <c r="Y76" i="11" a="1"/>
  <c r="Y76" i="11" s="1"/>
  <c r="Y77" i="11" a="1"/>
  <c r="Y77" i="11" s="1"/>
  <c r="Y78" i="11" a="1"/>
  <c r="Y78" i="11" s="1"/>
  <c r="Y79" i="11" a="1"/>
  <c r="Y79" i="11" s="1"/>
  <c r="Y80" i="11" a="1"/>
  <c r="Y80" i="11" s="1"/>
  <c r="Y81" i="11" a="1"/>
  <c r="Y81" i="11" s="1"/>
  <c r="Y82" i="11" a="1"/>
  <c r="Y82" i="11" s="1"/>
  <c r="Y83" i="11" a="1"/>
  <c r="Y83" i="11" s="1"/>
  <c r="Y84" i="11" a="1"/>
  <c r="Y84" i="11" s="1"/>
  <c r="Y85" i="11" a="1"/>
  <c r="Y85" i="11" s="1"/>
  <c r="Y86" i="11" a="1"/>
  <c r="Y86" i="11" s="1"/>
  <c r="Y87" i="11" a="1"/>
  <c r="Y87" i="11" s="1"/>
  <c r="Y88" i="11" a="1"/>
  <c r="Y88" i="11" s="1"/>
  <c r="Y89" i="11" a="1"/>
  <c r="Y89" i="11" s="1"/>
  <c r="Y90" i="11" a="1"/>
  <c r="Y90" i="11" s="1"/>
  <c r="Y91" i="11" a="1"/>
  <c r="Y91" i="11" s="1"/>
  <c r="Y92" i="11" a="1"/>
  <c r="Y92" i="11" s="1"/>
  <c r="Y93" i="11" a="1"/>
  <c r="Y93" i="11" s="1"/>
  <c r="Y94" i="11" a="1"/>
  <c r="Y94" i="11" s="1"/>
  <c r="Y95" i="11" a="1"/>
  <c r="Y95" i="11" s="1"/>
  <c r="Y96" i="11" a="1"/>
  <c r="Y96" i="11" s="1"/>
  <c r="Y97" i="11" a="1"/>
  <c r="Y97" i="11" s="1"/>
  <c r="Y98" i="11" a="1"/>
  <c r="Y98" i="11" s="1"/>
  <c r="Y99" i="11" a="1"/>
  <c r="Y99" i="11" s="1"/>
  <c r="Y100" i="11" a="1"/>
  <c r="Y100" i="11" s="1"/>
  <c r="Y101" i="11" a="1"/>
  <c r="Y101" i="11" s="1"/>
  <c r="Y102" i="11" a="1"/>
  <c r="Y102" i="11" s="1"/>
  <c r="Y103" i="11" a="1"/>
  <c r="Y103" i="11" s="1"/>
  <c r="Y104" i="11" a="1"/>
  <c r="Y104" i="11" s="1"/>
  <c r="Y105" i="11" a="1"/>
  <c r="Y105" i="11" s="1"/>
  <c r="Y106" i="11" a="1"/>
  <c r="Y106" i="11" s="1"/>
  <c r="Y107" i="11" a="1"/>
  <c r="Y107" i="11" s="1"/>
  <c r="Y108" i="11" a="1"/>
  <c r="Y108" i="11" s="1"/>
  <c r="Y109" i="11" a="1"/>
  <c r="Y109" i="11" s="1"/>
  <c r="Y110" i="11" a="1"/>
  <c r="Y110" i="11" s="1"/>
  <c r="Y111" i="11" a="1"/>
  <c r="Y111" i="11" s="1"/>
  <c r="Y112" i="11" a="1"/>
  <c r="Y112" i="11" s="1"/>
  <c r="Y113" i="11" a="1"/>
  <c r="Y113" i="11" s="1"/>
  <c r="Y114" i="11" a="1"/>
  <c r="Y114" i="11" s="1"/>
  <c r="Y115" i="11" a="1"/>
  <c r="Y115" i="11" s="1"/>
  <c r="Y116" i="11" a="1"/>
  <c r="Y116" i="11" s="1"/>
  <c r="Y117" i="11" a="1"/>
  <c r="Y117" i="11" s="1"/>
  <c r="Y118" i="11" a="1"/>
  <c r="Y118" i="11" s="1"/>
  <c r="Y119" i="11" a="1"/>
  <c r="Y119" i="11" s="1"/>
  <c r="Y120" i="11" a="1"/>
  <c r="Y120" i="11" s="1"/>
  <c r="Y121" i="11" a="1"/>
  <c r="Y121" i="11" s="1"/>
  <c r="Y122" i="11" a="1"/>
  <c r="Y122" i="11" s="1"/>
  <c r="Y123" i="11" a="1"/>
  <c r="Y123" i="11" s="1"/>
  <c r="Y124" i="11" a="1"/>
  <c r="Y124" i="11" s="1"/>
  <c r="Y125" i="11" a="1"/>
  <c r="Y125" i="11" s="1"/>
  <c r="Y126" i="11" a="1"/>
  <c r="Y126" i="11" s="1"/>
  <c r="Y127" i="11" a="1"/>
  <c r="Y127" i="11" s="1"/>
  <c r="Y128" i="11" a="1"/>
  <c r="Y128" i="11" s="1"/>
  <c r="Y129" i="11" a="1"/>
  <c r="Y129" i="11" s="1"/>
  <c r="Y130" i="11" a="1"/>
  <c r="Y130" i="11" s="1"/>
  <c r="Y131" i="11" a="1"/>
  <c r="Y131" i="11" s="1"/>
  <c r="Y132" i="11" a="1"/>
  <c r="Y132" i="11" s="1"/>
  <c r="Y133" i="11" a="1"/>
  <c r="Y133" i="11" s="1"/>
  <c r="Y134" i="11" a="1"/>
  <c r="Y134" i="11" s="1"/>
  <c r="Y135" i="11" a="1"/>
  <c r="Y135" i="11" s="1"/>
  <c r="Y136" i="11" a="1"/>
  <c r="Y136" i="11" s="1"/>
  <c r="Y137" i="11" a="1"/>
  <c r="Y137" i="11" s="1"/>
  <c r="Y138" i="11" a="1"/>
  <c r="Y138" i="11" s="1"/>
  <c r="Y139" i="11" a="1"/>
  <c r="Y139" i="11" s="1"/>
  <c r="Y140" i="11" a="1"/>
  <c r="Y140" i="11" s="1"/>
  <c r="Y141" i="11" a="1"/>
  <c r="Y141" i="11" s="1"/>
  <c r="Y142" i="11" a="1"/>
  <c r="Y142" i="11" s="1"/>
  <c r="Y143" i="11" a="1"/>
  <c r="Y143" i="11" s="1"/>
  <c r="Y144" i="11" a="1"/>
  <c r="Y144" i="11" s="1"/>
  <c r="Y145" i="11" a="1"/>
  <c r="Y145" i="11" s="1"/>
  <c r="Y146" i="11" a="1"/>
  <c r="Y146" i="11" s="1"/>
  <c r="Y147" i="11" a="1"/>
  <c r="Y147" i="11" s="1"/>
  <c r="Y148" i="11" a="1"/>
  <c r="Y148" i="11" s="1"/>
  <c r="Y149" i="11" a="1"/>
  <c r="Y149" i="11" s="1"/>
  <c r="Y150" i="11" a="1"/>
  <c r="Y150" i="11" s="1"/>
  <c r="Y151" i="11" a="1"/>
  <c r="Y151" i="11" s="1"/>
  <c r="Y152" i="11" a="1"/>
  <c r="Y152" i="11" s="1"/>
  <c r="Y153" i="11" a="1"/>
  <c r="Y153" i="11" s="1"/>
  <c r="Y154" i="11" a="1"/>
  <c r="Y154" i="11" s="1"/>
  <c r="Y155" i="11" a="1"/>
  <c r="Y155" i="11" s="1"/>
  <c r="Y156" i="11" a="1"/>
  <c r="Y156" i="11" s="1"/>
  <c r="Y157" i="11" a="1"/>
  <c r="Y157" i="11" s="1"/>
  <c r="Y158" i="11" a="1"/>
  <c r="Y158" i="11" s="1"/>
  <c r="Y159" i="11" a="1"/>
  <c r="Y159" i="11" s="1"/>
  <c r="Y160" i="11" a="1"/>
  <c r="Y160" i="11" s="1"/>
  <c r="Y161" i="11" a="1"/>
  <c r="Y161" i="11" s="1"/>
  <c r="Y162" i="11" a="1"/>
  <c r="Y162" i="11" s="1"/>
  <c r="Y163" i="11" a="1"/>
  <c r="Y163" i="11" s="1"/>
  <c r="Y164" i="11" a="1"/>
  <c r="Y164" i="11" s="1"/>
  <c r="Y165" i="11" a="1"/>
  <c r="Y165" i="11" s="1"/>
  <c r="Y166" i="11" a="1"/>
  <c r="Y166" i="11" s="1"/>
  <c r="Y167" i="11" a="1"/>
  <c r="Y167" i="11" s="1"/>
  <c r="Y168" i="11" a="1"/>
  <c r="Y168" i="11" s="1"/>
  <c r="Y169" i="11" a="1"/>
  <c r="Y169" i="11" s="1"/>
  <c r="Y170" i="11" a="1"/>
  <c r="Y170" i="11" s="1"/>
  <c r="Y171" i="11" a="1"/>
  <c r="Y171" i="11" s="1"/>
  <c r="Y172" i="11" a="1"/>
  <c r="Y172" i="11" s="1"/>
  <c r="Y173" i="11" a="1"/>
  <c r="Y173" i="11" s="1"/>
  <c r="Y174" i="11" a="1"/>
  <c r="Y174" i="11" s="1"/>
  <c r="Y175" i="11" a="1"/>
  <c r="Y175" i="11" s="1"/>
  <c r="Y176" i="11" a="1"/>
  <c r="Y176" i="11" s="1"/>
  <c r="Y177" i="11" a="1"/>
  <c r="Y177" i="11" s="1"/>
  <c r="Y178" i="11" a="1"/>
  <c r="Y178" i="11" s="1"/>
  <c r="Y179" i="11" a="1"/>
  <c r="Y179" i="11" s="1"/>
  <c r="Y180" i="11" a="1"/>
  <c r="Y180" i="11" s="1"/>
  <c r="Y181" i="11" a="1"/>
  <c r="Y181" i="11" s="1"/>
  <c r="Y182" i="11" a="1"/>
  <c r="Y182" i="11" s="1"/>
  <c r="Y183" i="11" a="1"/>
  <c r="Y183" i="11" s="1"/>
  <c r="Y184" i="11" a="1"/>
  <c r="Y184" i="11" s="1"/>
  <c r="Y185" i="11" a="1"/>
  <c r="Y185" i="11" s="1"/>
  <c r="Y186" i="11" a="1"/>
  <c r="Y186" i="11" s="1"/>
  <c r="Y187" i="11" a="1"/>
  <c r="Y187" i="11" s="1"/>
  <c r="Y188" i="11" a="1"/>
  <c r="Y188" i="11" s="1"/>
  <c r="Y189" i="11" a="1"/>
  <c r="Y189" i="11" s="1"/>
  <c r="Y190" i="11" a="1"/>
  <c r="Y190" i="11" s="1"/>
  <c r="Y191" i="11" a="1"/>
  <c r="Y191" i="11" s="1"/>
  <c r="Y192" i="11" a="1"/>
  <c r="Y192" i="11" s="1"/>
  <c r="Y193" i="11" a="1"/>
  <c r="Y193" i="11" s="1"/>
  <c r="Y194" i="11" a="1"/>
  <c r="Y194" i="11" s="1"/>
  <c r="Y195" i="11" a="1"/>
  <c r="Y195" i="11" s="1"/>
  <c r="Y196" i="11" a="1"/>
  <c r="Y196" i="11" s="1"/>
  <c r="Y197" i="11" a="1"/>
  <c r="Y197" i="11" s="1"/>
  <c r="Y198" i="11" a="1"/>
  <c r="Y198" i="11" s="1"/>
  <c r="Y199" i="11" a="1"/>
  <c r="Y199" i="11" s="1"/>
  <c r="Y200" i="11" a="1"/>
  <c r="Y200" i="11" s="1"/>
  <c r="Y201" i="11" a="1"/>
  <c r="Y201" i="11" s="1"/>
  <c r="Y202" i="11" a="1"/>
  <c r="Y202" i="11" s="1"/>
  <c r="Y203" i="11" a="1"/>
  <c r="Y203" i="11" s="1"/>
  <c r="Y204" i="11" a="1"/>
  <c r="Y204" i="11" s="1"/>
  <c r="Y205" i="11" a="1"/>
  <c r="Y205" i="11" s="1"/>
  <c r="Y206" i="11" a="1"/>
  <c r="Y206" i="11" s="1"/>
  <c r="Y207" i="11" a="1"/>
  <c r="Y207" i="11" s="1"/>
  <c r="Y208" i="11" a="1"/>
  <c r="Y208" i="11" s="1"/>
  <c r="Y209" i="11" a="1"/>
  <c r="Y209" i="11" s="1"/>
  <c r="Y210" i="11" a="1"/>
  <c r="Y210" i="11" s="1"/>
  <c r="Y211" i="11" a="1"/>
  <c r="Y211" i="11" s="1"/>
  <c r="Y212" i="11" a="1"/>
  <c r="Y212" i="11" s="1"/>
  <c r="Y213" i="11" a="1"/>
  <c r="Y213" i="11" s="1"/>
  <c r="Y214" i="11" a="1"/>
  <c r="Y214" i="11" s="1"/>
  <c r="Y215" i="11" a="1"/>
  <c r="Y215" i="11" s="1"/>
  <c r="Y216" i="11" a="1"/>
  <c r="Y216" i="11" s="1"/>
  <c r="Y217" i="11" a="1"/>
  <c r="Y217" i="11" s="1"/>
  <c r="Y218" i="11" a="1"/>
  <c r="Y218" i="11" s="1"/>
  <c r="Y219" i="11" a="1"/>
  <c r="Y219" i="11" s="1"/>
  <c r="Y220" i="11" a="1"/>
  <c r="Y220" i="11" s="1"/>
  <c r="Y221" i="11" a="1"/>
  <c r="Y221" i="11" s="1"/>
  <c r="Y222" i="11" a="1"/>
  <c r="Y222" i="11" s="1"/>
  <c r="Y223" i="11" a="1"/>
  <c r="Y223" i="11" s="1"/>
  <c r="Y224" i="11" a="1"/>
  <c r="Y224" i="11" s="1"/>
  <c r="Y225" i="11" a="1"/>
  <c r="Y225" i="11" s="1"/>
  <c r="Y226" i="11" a="1"/>
  <c r="Y226" i="11" s="1"/>
  <c r="Y227" i="11" a="1"/>
  <c r="Y227" i="11" s="1"/>
  <c r="Y228" i="11" a="1"/>
  <c r="Y228" i="11" s="1"/>
  <c r="Y229" i="11" a="1"/>
  <c r="Y229" i="11" s="1"/>
  <c r="Y230" i="11" a="1"/>
  <c r="Y230" i="11" s="1"/>
  <c r="Y231" i="11" a="1"/>
  <c r="Y231" i="11" s="1"/>
  <c r="Y232" i="11" a="1"/>
  <c r="Y232" i="11" s="1"/>
  <c r="Y233" i="11" a="1"/>
  <c r="Y233" i="11" s="1"/>
  <c r="Y2" i="11" a="1"/>
  <c r="Y2" i="11" s="1"/>
  <c r="Y3" i="8" a="1"/>
  <c r="Y3" i="8" s="1"/>
  <c r="Y4" i="8" a="1"/>
  <c r="Y4" i="8" s="1"/>
  <c r="Y5" i="8" a="1"/>
  <c r="Y5" i="8" s="1"/>
  <c r="Y6" i="8" a="1"/>
  <c r="Y6" i="8" s="1"/>
  <c r="Y7" i="8" a="1"/>
  <c r="Y7" i="8" s="1"/>
  <c r="Y8" i="8" a="1"/>
  <c r="Y8" i="8" s="1"/>
  <c r="Y9" i="8" a="1"/>
  <c r="Y9" i="8" s="1"/>
  <c r="Y10" i="8" a="1"/>
  <c r="Y10" i="8" s="1"/>
  <c r="Y11" i="8" a="1"/>
  <c r="Y11" i="8" s="1"/>
  <c r="Y12" i="8" a="1"/>
  <c r="Y12" i="8" s="1"/>
  <c r="Y13" i="8" a="1"/>
  <c r="Y13" i="8" s="1"/>
  <c r="Y14" i="8" a="1"/>
  <c r="Y14" i="8" s="1"/>
  <c r="Y15" i="8" a="1"/>
  <c r="Y15" i="8" s="1"/>
  <c r="Y16" i="8" a="1"/>
  <c r="Y16" i="8" s="1"/>
  <c r="Y17" i="8" a="1"/>
  <c r="Y17" i="8" s="1"/>
  <c r="Y18" i="8" a="1"/>
  <c r="Y18" i="8" s="1"/>
  <c r="Y19" i="8" a="1"/>
  <c r="Y19" i="8" s="1"/>
  <c r="Y20" i="8" a="1"/>
  <c r="Y20" i="8" s="1"/>
  <c r="Y21" i="8" a="1"/>
  <c r="Y21" i="8" s="1"/>
  <c r="Y22" i="8" a="1"/>
  <c r="Y22" i="8" s="1"/>
  <c r="Y23" i="8" a="1"/>
  <c r="Y23" i="8" s="1"/>
  <c r="Y24" i="8" a="1"/>
  <c r="Y24" i="8" s="1"/>
  <c r="Y25" i="8" a="1"/>
  <c r="Y25" i="8" s="1"/>
  <c r="Y26" i="8" a="1"/>
  <c r="Y26" i="8" s="1"/>
  <c r="Y27" i="8" a="1"/>
  <c r="Y27" i="8" s="1"/>
  <c r="Y28" i="8" a="1"/>
  <c r="Y28" i="8" s="1"/>
  <c r="Y29" i="8" a="1"/>
  <c r="Y29" i="8" s="1"/>
  <c r="Y30" i="8" a="1"/>
  <c r="Y30" i="8" s="1"/>
  <c r="Y31" i="8" a="1"/>
  <c r="Y31" i="8" s="1"/>
  <c r="Y32" i="8" a="1"/>
  <c r="Y32" i="8" s="1"/>
  <c r="Y33" i="8" a="1"/>
  <c r="Y33" i="8" s="1"/>
  <c r="Y34" i="8" a="1"/>
  <c r="Y34" i="8" s="1"/>
  <c r="Y35" i="8" a="1"/>
  <c r="Y35" i="8" s="1"/>
  <c r="Y36" i="8" a="1"/>
  <c r="Y36" i="8" s="1"/>
  <c r="Y37" i="8" a="1"/>
  <c r="Y37" i="8" s="1"/>
  <c r="Y38" i="8" a="1"/>
  <c r="Y38" i="8" s="1"/>
  <c r="Y40" i="8" a="1"/>
  <c r="Y40" i="8" s="1"/>
  <c r="Y41" i="8" a="1"/>
  <c r="Y41" i="8" s="1"/>
  <c r="Y42" i="8" a="1"/>
  <c r="Y42" i="8" s="1"/>
  <c r="Y43" i="8" a="1"/>
  <c r="Y43" i="8" s="1"/>
  <c r="Y44" i="8" a="1"/>
  <c r="Y44" i="8" s="1"/>
  <c r="Y45" i="8" a="1"/>
  <c r="Y45" i="8" s="1"/>
  <c r="Y46" i="8" a="1"/>
  <c r="Y46" i="8" s="1"/>
  <c r="Y47" i="8" a="1"/>
  <c r="Y47" i="8" s="1"/>
  <c r="Y48" i="8" a="1"/>
  <c r="Y48" i="8" s="1"/>
  <c r="Y49" i="8" a="1"/>
  <c r="Y49" i="8" s="1"/>
  <c r="Y50" i="8" a="1"/>
  <c r="Y50" i="8" s="1"/>
  <c r="Y51" i="8" a="1"/>
  <c r="Y51" i="8" s="1"/>
  <c r="Y52" i="8" a="1"/>
  <c r="Y52" i="8" s="1"/>
  <c r="Y53" i="8" a="1"/>
  <c r="Y53" i="8" s="1"/>
  <c r="Y54" i="8" a="1"/>
  <c r="Y54" i="8" s="1"/>
  <c r="Y55" i="8" a="1"/>
  <c r="Y55" i="8" s="1"/>
  <c r="Y56" i="8" a="1"/>
  <c r="Y56" i="8" s="1"/>
  <c r="Y57" i="8" a="1"/>
  <c r="Y57" i="8" s="1"/>
  <c r="Y58" i="8" a="1"/>
  <c r="Y58" i="8" s="1"/>
  <c r="Y59" i="8" a="1"/>
  <c r="Y59" i="8" s="1"/>
  <c r="Y60" i="8" a="1"/>
  <c r="Y60" i="8" s="1"/>
  <c r="Y61" i="8" a="1"/>
  <c r="Y61" i="8" s="1"/>
  <c r="Y62" i="8" a="1"/>
  <c r="Y62" i="8" s="1"/>
  <c r="Y63" i="8" a="1"/>
  <c r="Y63" i="8" s="1"/>
  <c r="Y64" i="8" a="1"/>
  <c r="Y64" i="8" s="1"/>
  <c r="Y65" i="8" a="1"/>
  <c r="Y65" i="8" s="1"/>
  <c r="Y66" i="8" a="1"/>
  <c r="Y66" i="8" s="1"/>
  <c r="Y67" i="8" a="1"/>
  <c r="Y67" i="8" s="1"/>
  <c r="Y68" i="8" a="1"/>
  <c r="Y68" i="8" s="1"/>
  <c r="Y69" i="8" a="1"/>
  <c r="Y69" i="8" s="1"/>
  <c r="Y70" i="8" a="1"/>
  <c r="Y70" i="8" s="1"/>
  <c r="Y71" i="8" a="1"/>
  <c r="Y71" i="8" s="1"/>
  <c r="Y72" i="8" a="1"/>
  <c r="Y72" i="8" s="1"/>
  <c r="Y73" i="8" a="1"/>
  <c r="Y73" i="8" s="1"/>
  <c r="Y74" i="8" a="1"/>
  <c r="Y74" i="8" s="1"/>
  <c r="Y75" i="8" a="1"/>
  <c r="Y75" i="8" s="1"/>
  <c r="Y76" i="8" a="1"/>
  <c r="Y76" i="8" s="1"/>
  <c r="Y77" i="8" a="1"/>
  <c r="Y77" i="8" s="1"/>
  <c r="Y78" i="8" a="1"/>
  <c r="Y78" i="8" s="1"/>
  <c r="Y79" i="8" a="1"/>
  <c r="Y79" i="8" s="1"/>
  <c r="Y80" i="8" a="1"/>
  <c r="Y80" i="8" s="1"/>
  <c r="Y81" i="8" a="1"/>
  <c r="Y81" i="8" s="1"/>
  <c r="Y82" i="8" a="1"/>
  <c r="Y82" i="8" s="1"/>
  <c r="Y83" i="8" a="1"/>
  <c r="Y83" i="8" s="1"/>
  <c r="Y84" i="8" a="1"/>
  <c r="Y84" i="8" s="1"/>
  <c r="Y85" i="8" a="1"/>
  <c r="Y85" i="8" s="1"/>
  <c r="Y86" i="8" a="1"/>
  <c r="Y86" i="8" s="1"/>
  <c r="Y2" i="8" a="1"/>
  <c r="Y2" i="8" s="1"/>
  <c r="K3" i="29" a="1"/>
  <c r="K3" i="29" s="1"/>
  <c r="L3" i="29" a="1"/>
  <c r="L3" i="29" s="1"/>
  <c r="M3" i="29" a="1"/>
  <c r="M3" i="29" s="1"/>
  <c r="N3" i="29" a="1"/>
  <c r="N3" i="29" s="1"/>
  <c r="O3" i="29" a="1"/>
  <c r="O3" i="29" s="1"/>
  <c r="P3" i="29" a="1"/>
  <c r="P3" i="29" s="1"/>
  <c r="Q3" i="29" a="1"/>
  <c r="Q3" i="29" s="1"/>
  <c r="R3" i="29" a="1"/>
  <c r="R3" i="29" s="1"/>
  <c r="U3" i="29" a="1"/>
  <c r="U3" i="29" s="1"/>
  <c r="V3" i="29" a="1"/>
  <c r="V3" i="29" s="1"/>
  <c r="W3" i="29" a="1"/>
  <c r="W3" i="29" s="1"/>
  <c r="X3" i="29" a="1"/>
  <c r="X3" i="29" s="1"/>
  <c r="K4" i="29" a="1"/>
  <c r="K4" i="29" s="1"/>
  <c r="L4" i="29" a="1"/>
  <c r="L4" i="29" s="1"/>
  <c r="M4" i="29" a="1"/>
  <c r="M4" i="29" s="1"/>
  <c r="N4" i="29" a="1"/>
  <c r="N4" i="29" s="1"/>
  <c r="O4" i="29" a="1"/>
  <c r="O4" i="29" s="1"/>
  <c r="P4" i="29" a="1"/>
  <c r="P4" i="29" s="1"/>
  <c r="Q4" i="29" a="1"/>
  <c r="Q4" i="29" s="1"/>
  <c r="R4" i="29" a="1"/>
  <c r="R4" i="29" s="1"/>
  <c r="U4" i="29" a="1"/>
  <c r="U4" i="29" s="1"/>
  <c r="V4" i="29" a="1"/>
  <c r="V4" i="29" s="1"/>
  <c r="X4" i="29" a="1"/>
  <c r="X4" i="29" s="1"/>
  <c r="K5" i="29" a="1"/>
  <c r="K5" i="29" s="1"/>
  <c r="L5" i="29" a="1"/>
  <c r="L5" i="29" s="1"/>
  <c r="M5" i="29" a="1"/>
  <c r="M5" i="29" s="1"/>
  <c r="N5" i="29" a="1"/>
  <c r="N5" i="29" s="1"/>
  <c r="O5" i="29" a="1"/>
  <c r="O5" i="29" s="1"/>
  <c r="P5" i="29" a="1"/>
  <c r="P5" i="29" s="1"/>
  <c r="Q5" i="29" a="1"/>
  <c r="Q5" i="29" s="1"/>
  <c r="R5" i="29" a="1"/>
  <c r="R5" i="29" s="1"/>
  <c r="U5" i="29" a="1"/>
  <c r="U5" i="29" s="1"/>
  <c r="V5" i="29" a="1"/>
  <c r="V5" i="29" s="1"/>
  <c r="W5" i="29" a="1"/>
  <c r="W5" i="29" s="1"/>
  <c r="X5" i="29" a="1"/>
  <c r="X5" i="29" s="1"/>
  <c r="K6" i="29" a="1"/>
  <c r="K6" i="29" s="1"/>
  <c r="L6" i="29" a="1"/>
  <c r="L6" i="29" s="1"/>
  <c r="M6" i="29" a="1"/>
  <c r="M6" i="29" s="1"/>
  <c r="N6" i="29" a="1"/>
  <c r="N6" i="29" s="1"/>
  <c r="O6" i="29" a="1"/>
  <c r="O6" i="29" s="1"/>
  <c r="P6" i="29" a="1"/>
  <c r="P6" i="29" s="1"/>
  <c r="Q6" i="29" a="1"/>
  <c r="Q6" i="29" s="1"/>
  <c r="R6" i="29" a="1"/>
  <c r="R6" i="29" s="1"/>
  <c r="U6" i="29" a="1"/>
  <c r="U6" i="29" s="1"/>
  <c r="V6" i="29" a="1"/>
  <c r="V6" i="29" s="1"/>
  <c r="W6" i="29" a="1"/>
  <c r="W6" i="29" s="1"/>
  <c r="X6" i="29" a="1"/>
  <c r="X6" i="29" s="1"/>
  <c r="K7" i="29" a="1"/>
  <c r="K7" i="29" s="1"/>
  <c r="L7" i="29" a="1"/>
  <c r="L7" i="29" s="1"/>
  <c r="M7" i="29" a="1"/>
  <c r="M7" i="29" s="1"/>
  <c r="N7" i="29" a="1"/>
  <c r="N7" i="29" s="1"/>
  <c r="O7" i="29" a="1"/>
  <c r="O7" i="29" s="1"/>
  <c r="P7" i="29" a="1"/>
  <c r="P7" i="29" s="1"/>
  <c r="Q7" i="29" a="1"/>
  <c r="Q7" i="29" s="1"/>
  <c r="U7" i="29" a="1"/>
  <c r="U7" i="29" s="1"/>
  <c r="V7" i="29" a="1"/>
  <c r="V7" i="29" s="1"/>
  <c r="W7" i="29" a="1"/>
  <c r="W7" i="29" s="1"/>
  <c r="X7" i="29" a="1"/>
  <c r="X7" i="29" s="1"/>
  <c r="K8" i="29" a="1"/>
  <c r="K8" i="29" s="1"/>
  <c r="L8" i="29" a="1"/>
  <c r="L8" i="29" s="1"/>
  <c r="M8" i="29" a="1"/>
  <c r="M8" i="29" s="1"/>
  <c r="N8" i="29" a="1"/>
  <c r="N8" i="29" s="1"/>
  <c r="O8" i="29" a="1"/>
  <c r="O8" i="29" s="1"/>
  <c r="P8" i="29" a="1"/>
  <c r="P8" i="29" s="1"/>
  <c r="Q8" i="29" a="1"/>
  <c r="Q8" i="29" s="1"/>
  <c r="R8" i="29" a="1"/>
  <c r="R8" i="29" s="1"/>
  <c r="U8" i="29" a="1"/>
  <c r="U8" i="29" s="1"/>
  <c r="V8" i="29" a="1"/>
  <c r="V8" i="29" s="1"/>
  <c r="W8" i="29" a="1"/>
  <c r="W8" i="29" s="1"/>
  <c r="X8" i="29" a="1"/>
  <c r="X8" i="29" s="1"/>
  <c r="L9" i="29" a="1"/>
  <c r="L9" i="29" s="1"/>
  <c r="M9" i="29" a="1"/>
  <c r="M9" i="29" s="1"/>
  <c r="N9" i="29" a="1"/>
  <c r="N9" i="29" s="1"/>
  <c r="O9" i="29" a="1"/>
  <c r="O9" i="29" s="1"/>
  <c r="Q9" i="29" a="1"/>
  <c r="Q9" i="29" s="1"/>
  <c r="R9" i="29" a="1"/>
  <c r="R9" i="29" s="1"/>
  <c r="U9" i="29" a="1"/>
  <c r="U9" i="29" s="1"/>
  <c r="V9" i="29" a="1"/>
  <c r="V9" i="29" s="1"/>
  <c r="W9" i="29" a="1"/>
  <c r="W9" i="29" s="1"/>
  <c r="X9" i="29" a="1"/>
  <c r="X9" i="29" s="1"/>
  <c r="K10" i="29" a="1"/>
  <c r="K10" i="29" s="1"/>
  <c r="L10" i="29" a="1"/>
  <c r="L10" i="29" s="1"/>
  <c r="M10" i="29" a="1"/>
  <c r="M10" i="29" s="1"/>
  <c r="N10" i="29" a="1"/>
  <c r="N10" i="29" s="1"/>
  <c r="O10" i="29" a="1"/>
  <c r="O10" i="29" s="1"/>
  <c r="P10" i="29" a="1"/>
  <c r="P10" i="29" s="1"/>
  <c r="Q10" i="29" a="1"/>
  <c r="Q10" i="29" s="1"/>
  <c r="R10" i="29" a="1"/>
  <c r="R10" i="29" s="1"/>
  <c r="U10" i="29" a="1"/>
  <c r="U10" i="29" s="1"/>
  <c r="V10" i="29" a="1"/>
  <c r="V10" i="29" s="1"/>
  <c r="W10" i="29" a="1"/>
  <c r="W10" i="29" s="1"/>
  <c r="X10" i="29" a="1"/>
  <c r="X10" i="29" s="1"/>
  <c r="K11" i="29" a="1"/>
  <c r="K11" i="29" s="1"/>
  <c r="L11" i="29" a="1"/>
  <c r="L11" i="29" s="1"/>
  <c r="M11" i="29" a="1"/>
  <c r="M11" i="29" s="1"/>
  <c r="N11" i="29" a="1"/>
  <c r="N11" i="29" s="1"/>
  <c r="O11" i="29" a="1"/>
  <c r="O11" i="29" s="1"/>
  <c r="P11" i="29" a="1"/>
  <c r="P11" i="29" s="1"/>
  <c r="Q11" i="29" a="1"/>
  <c r="Q11" i="29" s="1"/>
  <c r="R11" i="29" a="1"/>
  <c r="R11" i="29" s="1"/>
  <c r="U11" i="29" a="1"/>
  <c r="U11" i="29" s="1"/>
  <c r="V11" i="29" a="1"/>
  <c r="V11" i="29" s="1"/>
  <c r="W11" i="29" a="1"/>
  <c r="W11" i="29" s="1"/>
  <c r="X11" i="29" a="1"/>
  <c r="X11" i="29" s="1"/>
  <c r="L12" i="29" a="1"/>
  <c r="L12" i="29" s="1"/>
  <c r="M12" i="29" a="1"/>
  <c r="M12" i="29" s="1"/>
  <c r="N12" i="29" a="1"/>
  <c r="N12" i="29" s="1"/>
  <c r="O12" i="29" a="1"/>
  <c r="O12" i="29" s="1"/>
  <c r="P12" i="29" a="1"/>
  <c r="P12" i="29" s="1"/>
  <c r="Q12" i="29" a="1"/>
  <c r="Q12" i="29" s="1"/>
  <c r="R12" i="29" a="1"/>
  <c r="R12" i="29" s="1"/>
  <c r="U12" i="29" a="1"/>
  <c r="U12" i="29" s="1"/>
  <c r="V12" i="29" a="1"/>
  <c r="V12" i="29" s="1"/>
  <c r="W12" i="29" a="1"/>
  <c r="W12" i="29" s="1"/>
  <c r="X12" i="29" a="1"/>
  <c r="X12" i="29" s="1"/>
  <c r="K13" i="29" a="1"/>
  <c r="K13" i="29" s="1"/>
  <c r="L13" i="29" a="1"/>
  <c r="L13" i="29" s="1"/>
  <c r="M13" i="29" a="1"/>
  <c r="M13" i="29" s="1"/>
  <c r="N13" i="29" a="1"/>
  <c r="N13" i="29" s="1"/>
  <c r="O13" i="29" a="1"/>
  <c r="O13" i="29" s="1"/>
  <c r="P13" i="29" a="1"/>
  <c r="P13" i="29" s="1"/>
  <c r="Q13" i="29" a="1"/>
  <c r="Q13" i="29" s="1"/>
  <c r="R13" i="29" a="1"/>
  <c r="R13" i="29" s="1"/>
  <c r="U13" i="29" a="1"/>
  <c r="U13" i="29" s="1"/>
  <c r="V13" i="29" a="1"/>
  <c r="V13" i="29" s="1"/>
  <c r="W13" i="29" a="1"/>
  <c r="W13" i="29" s="1"/>
  <c r="X13" i="29" a="1"/>
  <c r="X13" i="29" s="1"/>
  <c r="K14" i="29" a="1"/>
  <c r="K14" i="29" s="1"/>
  <c r="L14" i="29" a="1"/>
  <c r="L14" i="29" s="1"/>
  <c r="M14" i="29" a="1"/>
  <c r="M14" i="29" s="1"/>
  <c r="N14" i="29" a="1"/>
  <c r="N14" i="29" s="1"/>
  <c r="O14" i="29" a="1"/>
  <c r="O14" i="29" s="1"/>
  <c r="P14" i="29" a="1"/>
  <c r="P14" i="29" s="1"/>
  <c r="Q14" i="29" a="1"/>
  <c r="Q14" i="29" s="1"/>
  <c r="R14" i="29" a="1"/>
  <c r="R14" i="29" s="1"/>
  <c r="U14" i="29" a="1"/>
  <c r="U14" i="29" s="1"/>
  <c r="V14" i="29" a="1"/>
  <c r="V14" i="29" s="1"/>
  <c r="W14" i="29" a="1"/>
  <c r="W14" i="29" s="1"/>
  <c r="X14" i="29" a="1"/>
  <c r="X14" i="29" s="1"/>
  <c r="L15" i="29" a="1"/>
  <c r="L15" i="29" s="1"/>
  <c r="M15" i="29" a="1"/>
  <c r="M15" i="29" s="1"/>
  <c r="N15" i="29" a="1"/>
  <c r="N15" i="29" s="1"/>
  <c r="O15" i="29" a="1"/>
  <c r="O15" i="29" s="1"/>
  <c r="P15" i="29" a="1"/>
  <c r="P15" i="29" s="1"/>
  <c r="Q15" i="29" a="1"/>
  <c r="Q15" i="29" s="1"/>
  <c r="R15" i="29" a="1"/>
  <c r="R15" i="29" s="1"/>
  <c r="U15" i="29" a="1"/>
  <c r="U15" i="29" s="1"/>
  <c r="V15" i="29" a="1"/>
  <c r="V15" i="29" s="1"/>
  <c r="W15" i="29" a="1"/>
  <c r="W15" i="29" s="1"/>
  <c r="L16" i="29" a="1"/>
  <c r="L16" i="29" s="1"/>
  <c r="M16" i="29" a="1"/>
  <c r="M16" i="29" s="1"/>
  <c r="N16" i="29" a="1"/>
  <c r="N16" i="29" s="1"/>
  <c r="O16" i="29" a="1"/>
  <c r="O16" i="29" s="1"/>
  <c r="P16" i="29" a="1"/>
  <c r="P16" i="29" s="1"/>
  <c r="Q16" i="29" a="1"/>
  <c r="Q16" i="29" s="1"/>
  <c r="R16" i="29" a="1"/>
  <c r="R16" i="29" s="1"/>
  <c r="U16" i="29" a="1"/>
  <c r="U16" i="29" s="1"/>
  <c r="V16" i="29" a="1"/>
  <c r="V16" i="29" s="1"/>
  <c r="W16" i="29" a="1"/>
  <c r="W16" i="29" s="1"/>
  <c r="X16" i="29" a="1"/>
  <c r="X16" i="29" s="1"/>
  <c r="K17" i="29" a="1"/>
  <c r="K17" i="29" s="1"/>
  <c r="L17" i="29" a="1"/>
  <c r="L17" i="29" s="1"/>
  <c r="M17" i="29" a="1"/>
  <c r="M17" i="29" s="1"/>
  <c r="N17" i="29" a="1"/>
  <c r="N17" i="29" s="1"/>
  <c r="O17" i="29" a="1"/>
  <c r="O17" i="29" s="1"/>
  <c r="P17" i="29" a="1"/>
  <c r="P17" i="29" s="1"/>
  <c r="Q17" i="29" a="1"/>
  <c r="Q17" i="29" s="1"/>
  <c r="R17" i="29" a="1"/>
  <c r="R17" i="29" s="1"/>
  <c r="U17" i="29" a="1"/>
  <c r="U17" i="29" s="1"/>
  <c r="V17" i="29" a="1"/>
  <c r="V17" i="29" s="1"/>
  <c r="W17" i="29" a="1"/>
  <c r="W17" i="29" s="1"/>
  <c r="X17" i="29" a="1"/>
  <c r="X17" i="29" s="1"/>
  <c r="K18" i="29" a="1"/>
  <c r="K18" i="29" s="1"/>
  <c r="L18" i="29" a="1"/>
  <c r="L18" i="29" s="1"/>
  <c r="M18" i="29" a="1"/>
  <c r="M18" i="29" s="1"/>
  <c r="N18" i="29" a="1"/>
  <c r="N18" i="29" s="1"/>
  <c r="O18" i="29" a="1"/>
  <c r="O18" i="29" s="1"/>
  <c r="P18" i="29" a="1"/>
  <c r="P18" i="29" s="1"/>
  <c r="Q18" i="29" a="1"/>
  <c r="Q18" i="29" s="1"/>
  <c r="R18" i="29" a="1"/>
  <c r="R18" i="29" s="1"/>
  <c r="U18" i="29" a="1"/>
  <c r="U18" i="29" s="1"/>
  <c r="V18" i="29" a="1"/>
  <c r="V18" i="29" s="1"/>
  <c r="W18" i="29" a="1"/>
  <c r="W18" i="29" s="1"/>
  <c r="X18" i="29" a="1"/>
  <c r="X18" i="29" s="1"/>
  <c r="K19" i="29" a="1"/>
  <c r="K19" i="29" s="1"/>
  <c r="L19" i="29" a="1"/>
  <c r="L19" i="29" s="1"/>
  <c r="M19" i="29" a="1"/>
  <c r="M19" i="29" s="1"/>
  <c r="N19" i="29" a="1"/>
  <c r="N19" i="29" s="1"/>
  <c r="O19" i="29" a="1"/>
  <c r="O19" i="29" s="1"/>
  <c r="P19" i="29" a="1"/>
  <c r="P19" i="29" s="1"/>
  <c r="Q19" i="29" a="1"/>
  <c r="Q19" i="29" s="1"/>
  <c r="R19" i="29" a="1"/>
  <c r="R19" i="29" s="1"/>
  <c r="U19" i="29" a="1"/>
  <c r="U19" i="29" s="1"/>
  <c r="V19" i="29" a="1"/>
  <c r="V19" i="29" s="1"/>
  <c r="W19" i="29" a="1"/>
  <c r="W19" i="29" s="1"/>
  <c r="X19" i="29" a="1"/>
  <c r="X19" i="29" s="1"/>
  <c r="K20" i="29" a="1"/>
  <c r="K20" i="29" s="1"/>
  <c r="L20" i="29" a="1"/>
  <c r="L20" i="29" s="1"/>
  <c r="M20" i="29" a="1"/>
  <c r="M20" i="29" s="1"/>
  <c r="N20" i="29" a="1"/>
  <c r="N20" i="29" s="1"/>
  <c r="O20" i="29" a="1"/>
  <c r="O20" i="29" s="1"/>
  <c r="P20" i="29" a="1"/>
  <c r="P20" i="29" s="1"/>
  <c r="Q20" i="29" a="1"/>
  <c r="Q20" i="29" s="1"/>
  <c r="R20" i="29" a="1"/>
  <c r="R20" i="29" s="1"/>
  <c r="U20" i="29" a="1"/>
  <c r="U20" i="29" s="1"/>
  <c r="V20" i="29" a="1"/>
  <c r="V20" i="29" s="1"/>
  <c r="W20" i="29" a="1"/>
  <c r="W20" i="29" s="1"/>
  <c r="X20" i="29" a="1"/>
  <c r="X20" i="29" s="1"/>
  <c r="K21" i="29" a="1"/>
  <c r="K21" i="29" s="1"/>
  <c r="L21" i="29" a="1"/>
  <c r="L21" i="29" s="1"/>
  <c r="M21" i="29" a="1"/>
  <c r="M21" i="29" s="1"/>
  <c r="N21" i="29" a="1"/>
  <c r="N21" i="29" s="1"/>
  <c r="O21" i="29" a="1"/>
  <c r="O21" i="29" s="1"/>
  <c r="P21" i="29" a="1"/>
  <c r="P21" i="29" s="1"/>
  <c r="Q21" i="29" a="1"/>
  <c r="Q21" i="29" s="1"/>
  <c r="R21" i="29" a="1"/>
  <c r="R21" i="29" s="1"/>
  <c r="U21" i="29" a="1"/>
  <c r="U21" i="29" s="1"/>
  <c r="V21" i="29" a="1"/>
  <c r="V21" i="29" s="1"/>
  <c r="W21" i="29" a="1"/>
  <c r="W21" i="29" s="1"/>
  <c r="X21" i="29" a="1"/>
  <c r="X21" i="29" s="1"/>
  <c r="K22" i="29" a="1"/>
  <c r="K22" i="29" s="1"/>
  <c r="L22" i="29" a="1"/>
  <c r="L22" i="29" s="1"/>
  <c r="M22" i="29" a="1"/>
  <c r="M22" i="29" s="1"/>
  <c r="N22" i="29" a="1"/>
  <c r="N22" i="29" s="1"/>
  <c r="O22" i="29" a="1"/>
  <c r="O22" i="29" s="1"/>
  <c r="P22" i="29" a="1"/>
  <c r="P22" i="29" s="1"/>
  <c r="Q22" i="29" a="1"/>
  <c r="Q22" i="29" s="1"/>
  <c r="R22" i="29" a="1"/>
  <c r="R22" i="29" s="1"/>
  <c r="U22" i="29" a="1"/>
  <c r="U22" i="29" s="1"/>
  <c r="V22" i="29" a="1"/>
  <c r="V22" i="29" s="1"/>
  <c r="W22" i="29" a="1"/>
  <c r="W22" i="29" s="1"/>
  <c r="X22" i="29" a="1"/>
  <c r="X22" i="29" s="1"/>
  <c r="K23" i="29" a="1"/>
  <c r="K23" i="29" s="1"/>
  <c r="L23" i="29" a="1"/>
  <c r="L23" i="29" s="1"/>
  <c r="M23" i="29" a="1"/>
  <c r="M23" i="29" s="1"/>
  <c r="N23" i="29" a="1"/>
  <c r="N23" i="29" s="1"/>
  <c r="O23" i="29" a="1"/>
  <c r="O23" i="29" s="1"/>
  <c r="P23" i="29" a="1"/>
  <c r="P23" i="29" s="1"/>
  <c r="Q23" i="29" a="1"/>
  <c r="Q23" i="29" s="1"/>
  <c r="R23" i="29" a="1"/>
  <c r="R23" i="29" s="1"/>
  <c r="U23" i="29" a="1"/>
  <c r="U23" i="29" s="1"/>
  <c r="V23" i="29" a="1"/>
  <c r="V23" i="29" s="1"/>
  <c r="W23" i="29" a="1"/>
  <c r="W23" i="29" s="1"/>
  <c r="X23" i="29" a="1"/>
  <c r="X23" i="29" s="1"/>
  <c r="K24" i="29" a="1"/>
  <c r="K24" i="29" s="1"/>
  <c r="L24" i="29" a="1"/>
  <c r="L24" i="29" s="1"/>
  <c r="M24" i="29" a="1"/>
  <c r="M24" i="29" s="1"/>
  <c r="N24" i="29" a="1"/>
  <c r="N24" i="29" s="1"/>
  <c r="O24" i="29" a="1"/>
  <c r="O24" i="29" s="1"/>
  <c r="P24" i="29" a="1"/>
  <c r="P24" i="29" s="1"/>
  <c r="Q24" i="29" a="1"/>
  <c r="Q24" i="29" s="1"/>
  <c r="R24" i="29" a="1"/>
  <c r="R24" i="29" s="1"/>
  <c r="U24" i="29" a="1"/>
  <c r="U24" i="29" s="1"/>
  <c r="V24" i="29" a="1"/>
  <c r="V24" i="29" s="1"/>
  <c r="W24" i="29" a="1"/>
  <c r="W24" i="29" s="1"/>
  <c r="X24" i="29" a="1"/>
  <c r="X24" i="29" s="1"/>
  <c r="K25" i="29" a="1"/>
  <c r="K25" i="29" s="1"/>
  <c r="L25" i="29" a="1"/>
  <c r="L25" i="29" s="1"/>
  <c r="M25" i="29" a="1"/>
  <c r="M25" i="29" s="1"/>
  <c r="N25" i="29" a="1"/>
  <c r="N25" i="29" s="1"/>
  <c r="O25" i="29" a="1"/>
  <c r="O25" i="29" s="1"/>
  <c r="P25" i="29" a="1"/>
  <c r="P25" i="29" s="1"/>
  <c r="Q25" i="29" a="1"/>
  <c r="Q25" i="29" s="1"/>
  <c r="R25" i="29" a="1"/>
  <c r="R25" i="29" s="1"/>
  <c r="U25" i="29" a="1"/>
  <c r="U25" i="29" s="1"/>
  <c r="V25" i="29" a="1"/>
  <c r="V25" i="29" s="1"/>
  <c r="W25" i="29" a="1"/>
  <c r="W25" i="29" s="1"/>
  <c r="X25" i="29" a="1"/>
  <c r="X25" i="29" s="1"/>
  <c r="K26" i="29" a="1"/>
  <c r="K26" i="29" s="1"/>
  <c r="L26" i="29" a="1"/>
  <c r="L26" i="29" s="1"/>
  <c r="M26" i="29" a="1"/>
  <c r="M26" i="29" s="1"/>
  <c r="N26" i="29" a="1"/>
  <c r="N26" i="29" s="1"/>
  <c r="O26" i="29" a="1"/>
  <c r="O26" i="29" s="1"/>
  <c r="P26" i="29" a="1"/>
  <c r="P26" i="29" s="1"/>
  <c r="Q26" i="29" a="1"/>
  <c r="Q26" i="29" s="1"/>
  <c r="R26" i="29" a="1"/>
  <c r="R26" i="29" s="1"/>
  <c r="U26" i="29" a="1"/>
  <c r="U26" i="29" s="1"/>
  <c r="V26" i="29" a="1"/>
  <c r="V26" i="29" s="1"/>
  <c r="W26" i="29" a="1"/>
  <c r="W26" i="29" s="1"/>
  <c r="X26" i="29" a="1"/>
  <c r="X26" i="29" s="1"/>
  <c r="K27" i="29" a="1"/>
  <c r="K27" i="29" s="1"/>
  <c r="L27" i="29" a="1"/>
  <c r="L27" i="29" s="1"/>
  <c r="M27" i="29" a="1"/>
  <c r="M27" i="29" s="1"/>
  <c r="N27" i="29" a="1"/>
  <c r="N27" i="29" s="1"/>
  <c r="O27" i="29" a="1"/>
  <c r="O27" i="29" s="1"/>
  <c r="P27" i="29" a="1"/>
  <c r="P27" i="29" s="1"/>
  <c r="Q27" i="29" a="1"/>
  <c r="Q27" i="29" s="1"/>
  <c r="R27" i="29" a="1"/>
  <c r="R27" i="29" s="1"/>
  <c r="U27" i="29" a="1"/>
  <c r="U27" i="29" s="1"/>
  <c r="V27" i="29" a="1"/>
  <c r="V27" i="29" s="1"/>
  <c r="W27" i="29" a="1"/>
  <c r="W27" i="29" s="1"/>
  <c r="X27" i="29" a="1"/>
  <c r="X27" i="29" s="1"/>
  <c r="K28" i="29" a="1"/>
  <c r="K28" i="29" s="1"/>
  <c r="L28" i="29" a="1"/>
  <c r="L28" i="29" s="1"/>
  <c r="M28" i="29" a="1"/>
  <c r="M28" i="29" s="1"/>
  <c r="N28" i="29" a="1"/>
  <c r="N28" i="29" s="1"/>
  <c r="O28" i="29" a="1"/>
  <c r="O28" i="29" s="1"/>
  <c r="P28" i="29" a="1"/>
  <c r="P28" i="29" s="1"/>
  <c r="Q28" i="29" a="1"/>
  <c r="Q28" i="29" s="1"/>
  <c r="R28" i="29" a="1"/>
  <c r="R28" i="29" s="1"/>
  <c r="U28" i="29" a="1"/>
  <c r="U28" i="29" s="1"/>
  <c r="V28" i="29" a="1"/>
  <c r="V28" i="29" s="1"/>
  <c r="W28" i="29" a="1"/>
  <c r="W28" i="29" s="1"/>
  <c r="X28" i="29" a="1"/>
  <c r="X28" i="29" s="1"/>
  <c r="K29" i="29" a="1"/>
  <c r="K29" i="29" s="1"/>
  <c r="L29" i="29" a="1"/>
  <c r="L29" i="29" s="1"/>
  <c r="M29" i="29" a="1"/>
  <c r="M29" i="29" s="1"/>
  <c r="N29" i="29" a="1"/>
  <c r="N29" i="29" s="1"/>
  <c r="O29" i="29" a="1"/>
  <c r="O29" i="29" s="1"/>
  <c r="P29" i="29" a="1"/>
  <c r="P29" i="29" s="1"/>
  <c r="Q29" i="29" a="1"/>
  <c r="Q29" i="29" s="1"/>
  <c r="R29" i="29" a="1"/>
  <c r="R29" i="29" s="1"/>
  <c r="U29" i="29" a="1"/>
  <c r="U29" i="29" s="1"/>
  <c r="V29" i="29" a="1"/>
  <c r="V29" i="29" s="1"/>
  <c r="W29" i="29" a="1"/>
  <c r="W29" i="29" s="1"/>
  <c r="X29" i="29" a="1"/>
  <c r="X29" i="29" s="1"/>
  <c r="K30" i="29" a="1"/>
  <c r="K30" i="29" s="1"/>
  <c r="L30" i="29" a="1"/>
  <c r="L30" i="29" s="1"/>
  <c r="M30" i="29" a="1"/>
  <c r="M30" i="29" s="1"/>
  <c r="N30" i="29" a="1"/>
  <c r="N30" i="29" s="1"/>
  <c r="O30" i="29" a="1"/>
  <c r="O30" i="29" s="1"/>
  <c r="P30" i="29" a="1"/>
  <c r="P30" i="29" s="1"/>
  <c r="Q30" i="29" a="1"/>
  <c r="Q30" i="29" s="1"/>
  <c r="R30" i="29" a="1"/>
  <c r="R30" i="29" s="1"/>
  <c r="U30" i="29" a="1"/>
  <c r="U30" i="29" s="1"/>
  <c r="V30" i="29" a="1"/>
  <c r="V30" i="29" s="1"/>
  <c r="W30" i="29" a="1"/>
  <c r="W30" i="29" s="1"/>
  <c r="X30" i="29" a="1"/>
  <c r="X30" i="29" s="1"/>
  <c r="K31" i="29" a="1"/>
  <c r="K31" i="29" s="1"/>
  <c r="L31" i="29" a="1"/>
  <c r="L31" i="29" s="1"/>
  <c r="M31" i="29" a="1"/>
  <c r="M31" i="29" s="1"/>
  <c r="N31" i="29" a="1"/>
  <c r="N31" i="29" s="1"/>
  <c r="O31" i="29" a="1"/>
  <c r="O31" i="29" s="1"/>
  <c r="P31" i="29" a="1"/>
  <c r="P31" i="29" s="1"/>
  <c r="Q31" i="29" a="1"/>
  <c r="Q31" i="29" s="1"/>
  <c r="R31" i="29" a="1"/>
  <c r="R31" i="29" s="1"/>
  <c r="U31" i="29" a="1"/>
  <c r="U31" i="29" s="1"/>
  <c r="V31" i="29" a="1"/>
  <c r="V31" i="29" s="1"/>
  <c r="W31" i="29" a="1"/>
  <c r="W31" i="29" s="1"/>
  <c r="X31" i="29" a="1"/>
  <c r="X31" i="29" s="1"/>
  <c r="K32" i="29" a="1"/>
  <c r="K32" i="29" s="1"/>
  <c r="L32" i="29" a="1"/>
  <c r="L32" i="29" s="1"/>
  <c r="M32" i="29" a="1"/>
  <c r="M32" i="29" s="1"/>
  <c r="N32" i="29" a="1"/>
  <c r="N32" i="29" s="1"/>
  <c r="O32" i="29" a="1"/>
  <c r="O32" i="29" s="1"/>
  <c r="P32" i="29" a="1"/>
  <c r="P32" i="29" s="1"/>
  <c r="Q32" i="29" a="1"/>
  <c r="Q32" i="29" s="1"/>
  <c r="R32" i="29" a="1"/>
  <c r="R32" i="29" s="1"/>
  <c r="U32" i="29" a="1"/>
  <c r="U32" i="29" s="1"/>
  <c r="V32" i="29" a="1"/>
  <c r="V32" i="29" s="1"/>
  <c r="W32" i="29" a="1"/>
  <c r="W32" i="29" s="1"/>
  <c r="X32" i="29" a="1"/>
  <c r="X32" i="29" s="1"/>
  <c r="K33" i="29" a="1"/>
  <c r="K33" i="29" s="1"/>
  <c r="L33" i="29" a="1"/>
  <c r="L33" i="29" s="1"/>
  <c r="M33" i="29" a="1"/>
  <c r="M33" i="29" s="1"/>
  <c r="N33" i="29" a="1"/>
  <c r="N33" i="29" s="1"/>
  <c r="O33" i="29" a="1"/>
  <c r="O33" i="29" s="1"/>
  <c r="P33" i="29" a="1"/>
  <c r="P33" i="29" s="1"/>
  <c r="Q33" i="29" a="1"/>
  <c r="Q33" i="29" s="1"/>
  <c r="R33" i="29" a="1"/>
  <c r="R33" i="29" s="1"/>
  <c r="U33" i="29" a="1"/>
  <c r="U33" i="29" s="1"/>
  <c r="V33" i="29" a="1"/>
  <c r="V33" i="29" s="1"/>
  <c r="W33" i="29" a="1"/>
  <c r="W33" i="29" s="1"/>
  <c r="X33" i="29" a="1"/>
  <c r="X33" i="29" s="1"/>
  <c r="K34" i="29" a="1"/>
  <c r="K34" i="29" s="1"/>
  <c r="L34" i="29" a="1"/>
  <c r="L34" i="29" s="1"/>
  <c r="M34" i="29" a="1"/>
  <c r="M34" i="29" s="1"/>
  <c r="N34" i="29" a="1"/>
  <c r="N34" i="29" s="1"/>
  <c r="O34" i="29" a="1"/>
  <c r="O34" i="29" s="1"/>
  <c r="P34" i="29" a="1"/>
  <c r="P34" i="29" s="1"/>
  <c r="Q34" i="29" a="1"/>
  <c r="Q34" i="29" s="1"/>
  <c r="R34" i="29" a="1"/>
  <c r="R34" i="29" s="1"/>
  <c r="U34" i="29" a="1"/>
  <c r="U34" i="29" s="1"/>
  <c r="V34" i="29" a="1"/>
  <c r="V34" i="29" s="1"/>
  <c r="W34" i="29" a="1"/>
  <c r="W34" i="29" s="1"/>
  <c r="X34" i="29" a="1"/>
  <c r="X34" i="29" s="1"/>
  <c r="K35" i="29" a="1"/>
  <c r="K35" i="29" s="1"/>
  <c r="L35" i="29" a="1"/>
  <c r="L35" i="29" s="1"/>
  <c r="M35" i="29" a="1"/>
  <c r="M35" i="29" s="1"/>
  <c r="N35" i="29" a="1"/>
  <c r="N35" i="29" s="1"/>
  <c r="O35" i="29" a="1"/>
  <c r="O35" i="29" s="1"/>
  <c r="P35" i="29" a="1"/>
  <c r="P35" i="29" s="1"/>
  <c r="Q35" i="29" a="1"/>
  <c r="Q35" i="29" s="1"/>
  <c r="R35" i="29" a="1"/>
  <c r="R35" i="29" s="1"/>
  <c r="U35" i="29" a="1"/>
  <c r="U35" i="29" s="1"/>
  <c r="V35" i="29" a="1"/>
  <c r="V35" i="29" s="1"/>
  <c r="W35" i="29" a="1"/>
  <c r="W35" i="29" s="1"/>
  <c r="X35" i="29" a="1"/>
  <c r="X35" i="29" s="1"/>
  <c r="K36" i="29" a="1"/>
  <c r="K36" i="29" s="1"/>
  <c r="L36" i="29" a="1"/>
  <c r="L36" i="29" s="1"/>
  <c r="M36" i="29" a="1"/>
  <c r="M36" i="29" s="1"/>
  <c r="N36" i="29" a="1"/>
  <c r="N36" i="29" s="1"/>
  <c r="O36" i="29" a="1"/>
  <c r="O36" i="29" s="1"/>
  <c r="P36" i="29" a="1"/>
  <c r="P36" i="29" s="1"/>
  <c r="Q36" i="29" a="1"/>
  <c r="Q36" i="29" s="1"/>
  <c r="R36" i="29" a="1"/>
  <c r="R36" i="29" s="1"/>
  <c r="U36" i="29" a="1"/>
  <c r="U36" i="29" s="1"/>
  <c r="V36" i="29" a="1"/>
  <c r="V36" i="29" s="1"/>
  <c r="W36" i="29" a="1"/>
  <c r="W36" i="29" s="1"/>
  <c r="X36" i="29" a="1"/>
  <c r="X36" i="29" s="1"/>
  <c r="K37" i="29" a="1"/>
  <c r="K37" i="29" s="1"/>
  <c r="L37" i="29" a="1"/>
  <c r="L37" i="29" s="1"/>
  <c r="M37" i="29" a="1"/>
  <c r="M37" i="29" s="1"/>
  <c r="N37" i="29" a="1"/>
  <c r="N37" i="29" s="1"/>
  <c r="O37" i="29" a="1"/>
  <c r="O37" i="29" s="1"/>
  <c r="P37" i="29" a="1"/>
  <c r="P37" i="29" s="1"/>
  <c r="Q37" i="29" a="1"/>
  <c r="Q37" i="29" s="1"/>
  <c r="R37" i="29" a="1"/>
  <c r="R37" i="29" s="1"/>
  <c r="U37" i="29" a="1"/>
  <c r="U37" i="29" s="1"/>
  <c r="V37" i="29" a="1"/>
  <c r="V37" i="29" s="1"/>
  <c r="W37" i="29" a="1"/>
  <c r="W37" i="29" s="1"/>
  <c r="X37" i="29" a="1"/>
  <c r="X37" i="29" s="1"/>
  <c r="K38" i="29" a="1"/>
  <c r="K38" i="29" s="1"/>
  <c r="L38" i="29" a="1"/>
  <c r="L38" i="29" s="1"/>
  <c r="M38" i="29" a="1"/>
  <c r="M38" i="29" s="1"/>
  <c r="N38" i="29" a="1"/>
  <c r="N38" i="29" s="1"/>
  <c r="O38" i="29" a="1"/>
  <c r="O38" i="29" s="1"/>
  <c r="P38" i="29" a="1"/>
  <c r="P38" i="29" s="1"/>
  <c r="Q38" i="29" a="1"/>
  <c r="Q38" i="29" s="1"/>
  <c r="R38" i="29" a="1"/>
  <c r="R38" i="29" s="1"/>
  <c r="U38" i="29" a="1"/>
  <c r="U38" i="29" s="1"/>
  <c r="V38" i="29" a="1"/>
  <c r="V38" i="29" s="1"/>
  <c r="W38" i="29" a="1"/>
  <c r="W38" i="29" s="1"/>
  <c r="X38" i="29" a="1"/>
  <c r="X38" i="29" s="1"/>
  <c r="K39" i="29" a="1"/>
  <c r="K39" i="29" s="1"/>
  <c r="L39" i="29" a="1"/>
  <c r="L39" i="29" s="1"/>
  <c r="M39" i="29" a="1"/>
  <c r="M39" i="29" s="1"/>
  <c r="N39" i="29" a="1"/>
  <c r="N39" i="29" s="1"/>
  <c r="O39" i="29" a="1"/>
  <c r="O39" i="29" s="1"/>
  <c r="P39" i="29" a="1"/>
  <c r="P39" i="29" s="1"/>
  <c r="Q39" i="29" a="1"/>
  <c r="Q39" i="29" s="1"/>
  <c r="R39" i="29" a="1"/>
  <c r="R39" i="29" s="1"/>
  <c r="U39" i="29" a="1"/>
  <c r="U39" i="29" s="1"/>
  <c r="V39" i="29" a="1"/>
  <c r="V39" i="29" s="1"/>
  <c r="W39" i="29" a="1"/>
  <c r="W39" i="29" s="1"/>
  <c r="X39" i="29" a="1"/>
  <c r="X39" i="29" s="1"/>
  <c r="K40" i="29" a="1"/>
  <c r="K40" i="29" s="1"/>
  <c r="L40" i="29" a="1"/>
  <c r="L40" i="29" s="1"/>
  <c r="M40" i="29" a="1"/>
  <c r="M40" i="29" s="1"/>
  <c r="N40" i="29" a="1"/>
  <c r="N40" i="29" s="1"/>
  <c r="O40" i="29" a="1"/>
  <c r="O40" i="29" s="1"/>
  <c r="P40" i="29" a="1"/>
  <c r="P40" i="29" s="1"/>
  <c r="Q40" i="29" a="1"/>
  <c r="Q40" i="29" s="1"/>
  <c r="R40" i="29" a="1"/>
  <c r="R40" i="29" s="1"/>
  <c r="U40" i="29" a="1"/>
  <c r="U40" i="29" s="1"/>
  <c r="V40" i="29" a="1"/>
  <c r="V40" i="29" s="1"/>
  <c r="W40" i="29" a="1"/>
  <c r="W40" i="29" s="1"/>
  <c r="X40" i="29" a="1"/>
  <c r="X40" i="29" s="1"/>
  <c r="K41" i="29" a="1"/>
  <c r="K41" i="29" s="1"/>
  <c r="L41" i="29" a="1"/>
  <c r="L41" i="29" s="1"/>
  <c r="M41" i="29" a="1"/>
  <c r="M41" i="29" s="1"/>
  <c r="N41" i="29" a="1"/>
  <c r="N41" i="29" s="1"/>
  <c r="O41" i="29" a="1"/>
  <c r="O41" i="29" s="1"/>
  <c r="P41" i="29" a="1"/>
  <c r="P41" i="29" s="1"/>
  <c r="Q41" i="29" a="1"/>
  <c r="Q41" i="29" s="1"/>
  <c r="R41" i="29" a="1"/>
  <c r="R41" i="29" s="1"/>
  <c r="U41" i="29" a="1"/>
  <c r="U41" i="29" s="1"/>
  <c r="V41" i="29" a="1"/>
  <c r="V41" i="29" s="1"/>
  <c r="W41" i="29" a="1"/>
  <c r="W41" i="29" s="1"/>
  <c r="X41" i="29" a="1"/>
  <c r="X41" i="29" s="1"/>
  <c r="K42" i="29" a="1"/>
  <c r="K42" i="29" s="1"/>
  <c r="L42" i="29" a="1"/>
  <c r="L42" i="29" s="1"/>
  <c r="M42" i="29" a="1"/>
  <c r="M42" i="29" s="1"/>
  <c r="N42" i="29" a="1"/>
  <c r="N42" i="29" s="1"/>
  <c r="O42" i="29" a="1"/>
  <c r="O42" i="29" s="1"/>
  <c r="P42" i="29" a="1"/>
  <c r="P42" i="29" s="1"/>
  <c r="Q42" i="29" a="1"/>
  <c r="Q42" i="29" s="1"/>
  <c r="R42" i="29" a="1"/>
  <c r="R42" i="29" s="1"/>
  <c r="U42" i="29" a="1"/>
  <c r="U42" i="29" s="1"/>
  <c r="V42" i="29" a="1"/>
  <c r="V42" i="29" s="1"/>
  <c r="W42" i="29" a="1"/>
  <c r="W42" i="29" s="1"/>
  <c r="X42" i="29" a="1"/>
  <c r="X42" i="29" s="1"/>
  <c r="K43" i="29" a="1"/>
  <c r="K43" i="29" s="1"/>
  <c r="L43" i="29" a="1"/>
  <c r="L43" i="29" s="1"/>
  <c r="M43" i="29" a="1"/>
  <c r="M43" i="29" s="1"/>
  <c r="N43" i="29" a="1"/>
  <c r="N43" i="29" s="1"/>
  <c r="O43" i="29" a="1"/>
  <c r="O43" i="29" s="1"/>
  <c r="P43" i="29" a="1"/>
  <c r="P43" i="29" s="1"/>
  <c r="Q43" i="29" a="1"/>
  <c r="Q43" i="29" s="1"/>
  <c r="R43" i="29" a="1"/>
  <c r="R43" i="29" s="1"/>
  <c r="U43" i="29" a="1"/>
  <c r="U43" i="29" s="1"/>
  <c r="V43" i="29" a="1"/>
  <c r="V43" i="29" s="1"/>
  <c r="W43" i="29" a="1"/>
  <c r="W43" i="29" s="1"/>
  <c r="X43" i="29" a="1"/>
  <c r="X43" i="29" s="1"/>
  <c r="K44" i="29" a="1"/>
  <c r="K44" i="29" s="1"/>
  <c r="L44" i="29" a="1"/>
  <c r="L44" i="29" s="1"/>
  <c r="M44" i="29" a="1"/>
  <c r="M44" i="29" s="1"/>
  <c r="N44" i="29" a="1"/>
  <c r="N44" i="29" s="1"/>
  <c r="O44" i="29" a="1"/>
  <c r="O44" i="29" s="1"/>
  <c r="P44" i="29" a="1"/>
  <c r="P44" i="29" s="1"/>
  <c r="Q44" i="29" a="1"/>
  <c r="Q44" i="29" s="1"/>
  <c r="R44" i="29" a="1"/>
  <c r="R44" i="29" s="1"/>
  <c r="U44" i="29" a="1"/>
  <c r="U44" i="29" s="1"/>
  <c r="V44" i="29" a="1"/>
  <c r="V44" i="29" s="1"/>
  <c r="W44" i="29" a="1"/>
  <c r="W44" i="29" s="1"/>
  <c r="X44" i="29" a="1"/>
  <c r="X44" i="29" s="1"/>
  <c r="K45" i="29" a="1"/>
  <c r="K45" i="29" s="1"/>
  <c r="L45" i="29" a="1"/>
  <c r="L45" i="29" s="1"/>
  <c r="M45" i="29" a="1"/>
  <c r="M45" i="29" s="1"/>
  <c r="N45" i="29" a="1"/>
  <c r="N45" i="29" s="1"/>
  <c r="O45" i="29" a="1"/>
  <c r="O45" i="29" s="1"/>
  <c r="P45" i="29" a="1"/>
  <c r="P45" i="29" s="1"/>
  <c r="Q45" i="29" a="1"/>
  <c r="Q45" i="29" s="1"/>
  <c r="R45" i="29" a="1"/>
  <c r="R45" i="29" s="1"/>
  <c r="U45" i="29" a="1"/>
  <c r="U45" i="29" s="1"/>
  <c r="V45" i="29" a="1"/>
  <c r="V45" i="29" s="1"/>
  <c r="W45" i="29" a="1"/>
  <c r="W45" i="29" s="1"/>
  <c r="X45" i="29" a="1"/>
  <c r="X45" i="29" s="1"/>
  <c r="K46" i="29" a="1"/>
  <c r="K46" i="29" s="1"/>
  <c r="L46" i="29" a="1"/>
  <c r="L46" i="29" s="1"/>
  <c r="M46" i="29" a="1"/>
  <c r="M46" i="29" s="1"/>
  <c r="N46" i="29" a="1"/>
  <c r="N46" i="29" s="1"/>
  <c r="O46" i="29" a="1"/>
  <c r="O46" i="29" s="1"/>
  <c r="P46" i="29" a="1"/>
  <c r="P46" i="29" s="1"/>
  <c r="Q46" i="29" a="1"/>
  <c r="Q46" i="29" s="1"/>
  <c r="R46" i="29" a="1"/>
  <c r="R46" i="29" s="1"/>
  <c r="U46" i="29" a="1"/>
  <c r="U46" i="29" s="1"/>
  <c r="V46" i="29" a="1"/>
  <c r="V46" i="29" s="1"/>
  <c r="W46" i="29" a="1"/>
  <c r="W46" i="29" s="1"/>
  <c r="X46" i="29" a="1"/>
  <c r="X46" i="29" s="1"/>
  <c r="K47" i="29" a="1"/>
  <c r="K47" i="29" s="1"/>
  <c r="L47" i="29" a="1"/>
  <c r="L47" i="29" s="1"/>
  <c r="M47" i="29" a="1"/>
  <c r="M47" i="29" s="1"/>
  <c r="N47" i="29" a="1"/>
  <c r="N47" i="29" s="1"/>
  <c r="O47" i="29" a="1"/>
  <c r="O47" i="29" s="1"/>
  <c r="P47" i="29" a="1"/>
  <c r="P47" i="29" s="1"/>
  <c r="Q47" i="29" a="1"/>
  <c r="Q47" i="29" s="1"/>
  <c r="R47" i="29" a="1"/>
  <c r="R47" i="29" s="1"/>
  <c r="U47" i="29" a="1"/>
  <c r="U47" i="29" s="1"/>
  <c r="V47" i="29" a="1"/>
  <c r="V47" i="29" s="1"/>
  <c r="W47" i="29" a="1"/>
  <c r="W47" i="29" s="1"/>
  <c r="X47" i="29" a="1"/>
  <c r="X47" i="29" s="1"/>
  <c r="K48" i="29" a="1"/>
  <c r="K48" i="29" s="1"/>
  <c r="L48" i="29" a="1"/>
  <c r="L48" i="29" s="1"/>
  <c r="M48" i="29" a="1"/>
  <c r="M48" i="29" s="1"/>
  <c r="N48" i="29" a="1"/>
  <c r="N48" i="29" s="1"/>
  <c r="O48" i="29" a="1"/>
  <c r="O48" i="29" s="1"/>
  <c r="P48" i="29" a="1"/>
  <c r="P48" i="29" s="1"/>
  <c r="Q48" i="29" a="1"/>
  <c r="Q48" i="29" s="1"/>
  <c r="R48" i="29" a="1"/>
  <c r="R48" i="29" s="1"/>
  <c r="U48" i="29" a="1"/>
  <c r="U48" i="29" s="1"/>
  <c r="V48" i="29" a="1"/>
  <c r="V48" i="29" s="1"/>
  <c r="W48" i="29" a="1"/>
  <c r="W48" i="29" s="1"/>
  <c r="X48" i="29" a="1"/>
  <c r="X48" i="29" s="1"/>
  <c r="K49" i="29" a="1"/>
  <c r="K49" i="29" s="1"/>
  <c r="L49" i="29" a="1"/>
  <c r="L49" i="29" s="1"/>
  <c r="M49" i="29" a="1"/>
  <c r="M49" i="29" s="1"/>
  <c r="N49" i="29" a="1"/>
  <c r="N49" i="29" s="1"/>
  <c r="O49" i="29" a="1"/>
  <c r="O49" i="29" s="1"/>
  <c r="P49" i="29" a="1"/>
  <c r="P49" i="29" s="1"/>
  <c r="Q49" i="29" a="1"/>
  <c r="Q49" i="29" s="1"/>
  <c r="R49" i="29" a="1"/>
  <c r="R49" i="29" s="1"/>
  <c r="U49" i="29" a="1"/>
  <c r="U49" i="29" s="1"/>
  <c r="V49" i="29" a="1"/>
  <c r="V49" i="29" s="1"/>
  <c r="W49" i="29" a="1"/>
  <c r="W49" i="29" s="1"/>
  <c r="X49" i="29" a="1"/>
  <c r="X49" i="29" s="1"/>
  <c r="K50" i="29" a="1"/>
  <c r="K50" i="29" s="1"/>
  <c r="L50" i="29" a="1"/>
  <c r="L50" i="29" s="1"/>
  <c r="M50" i="29" a="1"/>
  <c r="M50" i="29" s="1"/>
  <c r="N50" i="29" a="1"/>
  <c r="N50" i="29" s="1"/>
  <c r="O50" i="29" a="1"/>
  <c r="O50" i="29" s="1"/>
  <c r="P50" i="29" a="1"/>
  <c r="P50" i="29" s="1"/>
  <c r="Q50" i="29" a="1"/>
  <c r="Q50" i="29" s="1"/>
  <c r="R50" i="29" a="1"/>
  <c r="R50" i="29" s="1"/>
  <c r="U50" i="29" a="1"/>
  <c r="U50" i="29" s="1"/>
  <c r="V50" i="29" a="1"/>
  <c r="V50" i="29" s="1"/>
  <c r="W50" i="29" a="1"/>
  <c r="W50" i="29" s="1"/>
  <c r="X50" i="29" a="1"/>
  <c r="X50" i="29" s="1"/>
  <c r="K51" i="29" a="1"/>
  <c r="K51" i="29" s="1"/>
  <c r="L51" i="29" a="1"/>
  <c r="L51" i="29" s="1"/>
  <c r="M51" i="29" a="1"/>
  <c r="M51" i="29" s="1"/>
  <c r="N51" i="29" a="1"/>
  <c r="N51" i="29" s="1"/>
  <c r="O51" i="29" a="1"/>
  <c r="O51" i="29" s="1"/>
  <c r="P51" i="29" a="1"/>
  <c r="P51" i="29" s="1"/>
  <c r="Q51" i="29" a="1"/>
  <c r="Q51" i="29" s="1"/>
  <c r="R51" i="29" a="1"/>
  <c r="R51" i="29" s="1"/>
  <c r="U51" i="29" a="1"/>
  <c r="U51" i="29" s="1"/>
  <c r="V51" i="29" a="1"/>
  <c r="V51" i="29" s="1"/>
  <c r="W51" i="29" a="1"/>
  <c r="W51" i="29" s="1"/>
  <c r="X51" i="29" a="1"/>
  <c r="X51" i="29" s="1"/>
  <c r="K52" i="29" a="1"/>
  <c r="K52" i="29" s="1"/>
  <c r="L52" i="29" a="1"/>
  <c r="L52" i="29" s="1"/>
  <c r="M52" i="29" a="1"/>
  <c r="M52" i="29" s="1"/>
  <c r="N52" i="29" a="1"/>
  <c r="N52" i="29" s="1"/>
  <c r="O52" i="29" a="1"/>
  <c r="O52" i="29" s="1"/>
  <c r="P52" i="29" a="1"/>
  <c r="P52" i="29" s="1"/>
  <c r="Q52" i="29" a="1"/>
  <c r="Q52" i="29" s="1"/>
  <c r="R52" i="29" a="1"/>
  <c r="R52" i="29" s="1"/>
  <c r="U52" i="29" a="1"/>
  <c r="U52" i="29" s="1"/>
  <c r="V52" i="29" a="1"/>
  <c r="V52" i="29" s="1"/>
  <c r="W52" i="29" a="1"/>
  <c r="W52" i="29" s="1"/>
  <c r="X52" i="29" a="1"/>
  <c r="X52" i="29" s="1"/>
  <c r="K53" i="29" a="1"/>
  <c r="K53" i="29" s="1"/>
  <c r="L53" i="29" a="1"/>
  <c r="L53" i="29" s="1"/>
  <c r="M53" i="29" a="1"/>
  <c r="M53" i="29" s="1"/>
  <c r="N53" i="29" a="1"/>
  <c r="N53" i="29" s="1"/>
  <c r="O53" i="29" a="1"/>
  <c r="O53" i="29" s="1"/>
  <c r="P53" i="29" a="1"/>
  <c r="P53" i="29" s="1"/>
  <c r="Q53" i="29" a="1"/>
  <c r="Q53" i="29" s="1"/>
  <c r="R53" i="29" a="1"/>
  <c r="R53" i="29" s="1"/>
  <c r="U53" i="29" a="1"/>
  <c r="U53" i="29" s="1"/>
  <c r="V53" i="29" a="1"/>
  <c r="V53" i="29" s="1"/>
  <c r="W53" i="29" a="1"/>
  <c r="W53" i="29" s="1"/>
  <c r="X53" i="29" a="1"/>
  <c r="X53" i="29" s="1"/>
  <c r="K54" i="29" a="1"/>
  <c r="K54" i="29" s="1"/>
  <c r="L54" i="29" a="1"/>
  <c r="L54" i="29" s="1"/>
  <c r="M54" i="29" a="1"/>
  <c r="M54" i="29" s="1"/>
  <c r="N54" i="29" a="1"/>
  <c r="N54" i="29" s="1"/>
  <c r="O54" i="29" a="1"/>
  <c r="O54" i="29" s="1"/>
  <c r="P54" i="29" a="1"/>
  <c r="P54" i="29" s="1"/>
  <c r="Q54" i="29" a="1"/>
  <c r="Q54" i="29" s="1"/>
  <c r="R54" i="29" a="1"/>
  <c r="R54" i="29" s="1"/>
  <c r="U54" i="29" a="1"/>
  <c r="U54" i="29" s="1"/>
  <c r="V54" i="29" a="1"/>
  <c r="V54" i="29" s="1"/>
  <c r="W54" i="29" a="1"/>
  <c r="W54" i="29" s="1"/>
  <c r="X54" i="29" a="1"/>
  <c r="X54" i="29" s="1"/>
  <c r="K55" i="29" a="1"/>
  <c r="K55" i="29" s="1"/>
  <c r="L55" i="29" a="1"/>
  <c r="L55" i="29" s="1"/>
  <c r="M55" i="29" a="1"/>
  <c r="M55" i="29" s="1"/>
  <c r="N55" i="29" a="1"/>
  <c r="N55" i="29" s="1"/>
  <c r="O55" i="29" a="1"/>
  <c r="O55" i="29" s="1"/>
  <c r="P55" i="29" a="1"/>
  <c r="P55" i="29" s="1"/>
  <c r="Q55" i="29" a="1"/>
  <c r="Q55" i="29" s="1"/>
  <c r="R55" i="29" a="1"/>
  <c r="R55" i="29" s="1"/>
  <c r="U55" i="29" a="1"/>
  <c r="U55" i="29" s="1"/>
  <c r="V55" i="29" a="1"/>
  <c r="V55" i="29" s="1"/>
  <c r="W55" i="29" a="1"/>
  <c r="W55" i="29" s="1"/>
  <c r="X55" i="29" a="1"/>
  <c r="X55" i="29" s="1"/>
  <c r="K56" i="29" a="1"/>
  <c r="K56" i="29" s="1"/>
  <c r="L56" i="29" a="1"/>
  <c r="L56" i="29" s="1"/>
  <c r="M56" i="29" a="1"/>
  <c r="M56" i="29" s="1"/>
  <c r="N56" i="29" a="1"/>
  <c r="N56" i="29" s="1"/>
  <c r="O56" i="29" a="1"/>
  <c r="O56" i="29" s="1"/>
  <c r="P56" i="29" a="1"/>
  <c r="P56" i="29" s="1"/>
  <c r="Q56" i="29" a="1"/>
  <c r="Q56" i="29" s="1"/>
  <c r="R56" i="29" a="1"/>
  <c r="R56" i="29" s="1"/>
  <c r="U56" i="29" a="1"/>
  <c r="U56" i="29" s="1"/>
  <c r="V56" i="29" a="1"/>
  <c r="V56" i="29" s="1"/>
  <c r="W56" i="29" a="1"/>
  <c r="W56" i="29" s="1"/>
  <c r="X56" i="29" a="1"/>
  <c r="X56" i="29" s="1"/>
  <c r="X2" i="29" a="1"/>
  <c r="X2" i="29" s="1"/>
  <c r="W2" i="29" a="1"/>
  <c r="W2" i="29" s="1"/>
  <c r="V2" i="29" a="1"/>
  <c r="V2" i="29" s="1"/>
  <c r="U2" i="29" a="1"/>
  <c r="U2" i="29" s="1"/>
  <c r="R2" i="29" a="1"/>
  <c r="R2" i="29" s="1"/>
  <c r="Q2" i="29" a="1"/>
  <c r="Q2" i="29" s="1"/>
  <c r="P2" i="29" a="1"/>
  <c r="P2" i="29" s="1"/>
  <c r="O2" i="29" a="1"/>
  <c r="O2" i="29" s="1"/>
  <c r="N2" i="29" a="1"/>
  <c r="N2" i="29" s="1"/>
  <c r="M2" i="29" a="1"/>
  <c r="M2" i="29" s="1"/>
  <c r="L2" i="29" a="1"/>
  <c r="L2" i="29" s="1"/>
  <c r="K3" i="27" a="1"/>
  <c r="K3" i="27" s="1"/>
  <c r="L3" i="27" a="1"/>
  <c r="L3" i="27" s="1"/>
  <c r="M3" i="27" a="1"/>
  <c r="M3" i="27" s="1"/>
  <c r="N3" i="27" a="1"/>
  <c r="N3" i="27" s="1"/>
  <c r="O3" i="27" a="1"/>
  <c r="O3" i="27" s="1"/>
  <c r="P3" i="27" a="1"/>
  <c r="P3" i="27" s="1"/>
  <c r="Q3" i="27" a="1"/>
  <c r="Q3" i="27" s="1"/>
  <c r="R3" i="27" a="1"/>
  <c r="R3" i="27" s="1"/>
  <c r="U3" i="27" a="1"/>
  <c r="U3" i="27" s="1"/>
  <c r="V3" i="27" a="1"/>
  <c r="V3" i="27" s="1"/>
  <c r="W3" i="27" a="1"/>
  <c r="W3" i="27" s="1"/>
  <c r="X3" i="27" a="1"/>
  <c r="X3" i="27" s="1"/>
  <c r="K4" i="27" a="1"/>
  <c r="K4" i="27" s="1"/>
  <c r="L4" i="27" a="1"/>
  <c r="L4" i="27" s="1"/>
  <c r="M4" i="27" a="1"/>
  <c r="M4" i="27" s="1"/>
  <c r="N4" i="27" a="1"/>
  <c r="N4" i="27" s="1"/>
  <c r="O4" i="27" a="1"/>
  <c r="O4" i="27" s="1"/>
  <c r="P4" i="27" a="1"/>
  <c r="P4" i="27" s="1"/>
  <c r="Q4" i="27" a="1"/>
  <c r="Q4" i="27" s="1"/>
  <c r="R4" i="27" a="1"/>
  <c r="R4" i="27" s="1"/>
  <c r="U4" i="27" a="1"/>
  <c r="U4" i="27" s="1"/>
  <c r="V4" i="27" a="1"/>
  <c r="V4" i="27" s="1"/>
  <c r="W4" i="27" a="1"/>
  <c r="W4" i="27" s="1"/>
  <c r="X4" i="27" a="1"/>
  <c r="X4" i="27" s="1"/>
  <c r="K5" i="27" a="1"/>
  <c r="K5" i="27" s="1"/>
  <c r="L5" i="27" a="1"/>
  <c r="L5" i="27" s="1"/>
  <c r="M5" i="27" a="1"/>
  <c r="M5" i="27" s="1"/>
  <c r="N5" i="27" a="1"/>
  <c r="N5" i="27" s="1"/>
  <c r="O5" i="27" a="1"/>
  <c r="O5" i="27" s="1"/>
  <c r="P5" i="27" a="1"/>
  <c r="P5" i="27" s="1"/>
  <c r="Q5" i="27" a="1"/>
  <c r="Q5" i="27" s="1"/>
  <c r="R5" i="27" a="1"/>
  <c r="R5" i="27" s="1"/>
  <c r="U5" i="27" a="1"/>
  <c r="U5" i="27" s="1"/>
  <c r="V5" i="27" a="1"/>
  <c r="V5" i="27" s="1"/>
  <c r="W5" i="27" a="1"/>
  <c r="W5" i="27" s="1"/>
  <c r="X5" i="27" a="1"/>
  <c r="X5" i="27" s="1"/>
  <c r="K6" i="27" a="1"/>
  <c r="K6" i="27" s="1"/>
  <c r="L6" i="27" a="1"/>
  <c r="L6" i="27" s="1"/>
  <c r="M6" i="27" a="1"/>
  <c r="M6" i="27" s="1"/>
  <c r="N6" i="27" a="1"/>
  <c r="N6" i="27" s="1"/>
  <c r="O6" i="27" a="1"/>
  <c r="O6" i="27" s="1"/>
  <c r="P6" i="27" a="1"/>
  <c r="P6" i="27" s="1"/>
  <c r="Q6" i="27" a="1"/>
  <c r="Q6" i="27" s="1"/>
  <c r="R6" i="27" a="1"/>
  <c r="R6" i="27" s="1"/>
  <c r="U6" i="27" a="1"/>
  <c r="U6" i="27" s="1"/>
  <c r="V6" i="27" a="1"/>
  <c r="V6" i="27" s="1"/>
  <c r="W6" i="27" a="1"/>
  <c r="W6" i="27" s="1"/>
  <c r="X6" i="27" a="1"/>
  <c r="X6" i="27" s="1"/>
  <c r="K7" i="27" a="1"/>
  <c r="K7" i="27" s="1"/>
  <c r="L7" i="27" a="1"/>
  <c r="L7" i="27" s="1"/>
  <c r="M7" i="27" a="1"/>
  <c r="M7" i="27" s="1"/>
  <c r="N7" i="27" a="1"/>
  <c r="N7" i="27" s="1"/>
  <c r="O7" i="27" a="1"/>
  <c r="O7" i="27" s="1"/>
  <c r="P7" i="27" a="1"/>
  <c r="P7" i="27" s="1"/>
  <c r="Q7" i="27" a="1"/>
  <c r="Q7" i="27" s="1"/>
  <c r="R7" i="27" a="1"/>
  <c r="R7" i="27" s="1"/>
  <c r="U7" i="27" a="1"/>
  <c r="U7" i="27" s="1"/>
  <c r="V7" i="27" a="1"/>
  <c r="V7" i="27" s="1"/>
  <c r="W7" i="27" a="1"/>
  <c r="W7" i="27" s="1"/>
  <c r="X7" i="27" a="1"/>
  <c r="X7" i="27" s="1"/>
  <c r="K8" i="27" a="1"/>
  <c r="K8" i="27" s="1"/>
  <c r="L8" i="27" a="1"/>
  <c r="L8" i="27" s="1"/>
  <c r="M8" i="27" a="1"/>
  <c r="M8" i="27" s="1"/>
  <c r="N8" i="27" a="1"/>
  <c r="N8" i="27" s="1"/>
  <c r="O8" i="27" a="1"/>
  <c r="O8" i="27" s="1"/>
  <c r="P8" i="27" a="1"/>
  <c r="P8" i="27" s="1"/>
  <c r="Q8" i="27" a="1"/>
  <c r="Q8" i="27" s="1"/>
  <c r="R8" i="27" a="1"/>
  <c r="R8" i="27" s="1"/>
  <c r="U8" i="27" a="1"/>
  <c r="U8" i="27" s="1"/>
  <c r="V8" i="27" a="1"/>
  <c r="V8" i="27" s="1"/>
  <c r="W8" i="27" a="1"/>
  <c r="W8" i="27" s="1"/>
  <c r="X8" i="27" a="1"/>
  <c r="X8" i="27" s="1"/>
  <c r="K9" i="27" a="1"/>
  <c r="K9" i="27" s="1"/>
  <c r="L9" i="27" a="1"/>
  <c r="L9" i="27" s="1"/>
  <c r="M9" i="27" a="1"/>
  <c r="M9" i="27" s="1"/>
  <c r="N9" i="27" a="1"/>
  <c r="N9" i="27" s="1"/>
  <c r="O9" i="27" a="1"/>
  <c r="O9" i="27" s="1"/>
  <c r="P9" i="27" a="1"/>
  <c r="P9" i="27" s="1"/>
  <c r="Q9" i="27" a="1"/>
  <c r="Q9" i="27" s="1"/>
  <c r="R9" i="27" a="1"/>
  <c r="R9" i="27" s="1"/>
  <c r="U9" i="27" a="1"/>
  <c r="U9" i="27" s="1"/>
  <c r="V9" i="27" a="1"/>
  <c r="V9" i="27" s="1"/>
  <c r="W9" i="27" a="1"/>
  <c r="W9" i="27" s="1"/>
  <c r="X9" i="27" a="1"/>
  <c r="X9" i="27" s="1"/>
  <c r="K10" i="27" a="1"/>
  <c r="K10" i="27" s="1"/>
  <c r="L10" i="27" a="1"/>
  <c r="L10" i="27" s="1"/>
  <c r="M10" i="27" a="1"/>
  <c r="M10" i="27" s="1"/>
  <c r="N10" i="27" a="1"/>
  <c r="N10" i="27" s="1"/>
  <c r="O10" i="27" a="1"/>
  <c r="O10" i="27" s="1"/>
  <c r="P10" i="27" a="1"/>
  <c r="P10" i="27" s="1"/>
  <c r="Q10" i="27" a="1"/>
  <c r="Q10" i="27" s="1"/>
  <c r="R10" i="27" a="1"/>
  <c r="R10" i="27" s="1"/>
  <c r="U10" i="27" a="1"/>
  <c r="U10" i="27" s="1"/>
  <c r="V10" i="27" a="1"/>
  <c r="V10" i="27" s="1"/>
  <c r="W10" i="27" a="1"/>
  <c r="W10" i="27" s="1"/>
  <c r="X10" i="27" a="1"/>
  <c r="X10" i="27" s="1"/>
  <c r="K11" i="27" a="1"/>
  <c r="K11" i="27" s="1"/>
  <c r="L11" i="27" a="1"/>
  <c r="L11" i="27" s="1"/>
  <c r="M11" i="27" a="1"/>
  <c r="M11" i="27" s="1"/>
  <c r="N11" i="27" a="1"/>
  <c r="N11" i="27" s="1"/>
  <c r="O11" i="27" a="1"/>
  <c r="O11" i="27" s="1"/>
  <c r="P11" i="27" a="1"/>
  <c r="P11" i="27" s="1"/>
  <c r="Q11" i="27" a="1"/>
  <c r="Q11" i="27" s="1"/>
  <c r="R11" i="27" a="1"/>
  <c r="R11" i="27" s="1"/>
  <c r="U11" i="27" a="1"/>
  <c r="U11" i="27" s="1"/>
  <c r="V11" i="27" a="1"/>
  <c r="V11" i="27" s="1"/>
  <c r="W11" i="27" a="1"/>
  <c r="W11" i="27" s="1"/>
  <c r="X11" i="27" a="1"/>
  <c r="X11" i="27" s="1"/>
  <c r="K12" i="27" a="1"/>
  <c r="K12" i="27" s="1"/>
  <c r="L12" i="27" a="1"/>
  <c r="L12" i="27" s="1"/>
  <c r="M12" i="27" a="1"/>
  <c r="M12" i="27" s="1"/>
  <c r="N12" i="27" a="1"/>
  <c r="N12" i="27" s="1"/>
  <c r="O12" i="27" a="1"/>
  <c r="O12" i="27" s="1"/>
  <c r="P12" i="27" a="1"/>
  <c r="P12" i="27" s="1"/>
  <c r="Q12" i="27" a="1"/>
  <c r="Q12" i="27" s="1"/>
  <c r="R12" i="27" a="1"/>
  <c r="R12" i="27" s="1"/>
  <c r="U12" i="27" a="1"/>
  <c r="U12" i="27" s="1"/>
  <c r="V12" i="27" a="1"/>
  <c r="V12" i="27" s="1"/>
  <c r="W12" i="27" a="1"/>
  <c r="W12" i="27" s="1"/>
  <c r="X12" i="27" a="1"/>
  <c r="X12" i="27" s="1"/>
  <c r="K13" i="27" a="1"/>
  <c r="K13" i="27" s="1"/>
  <c r="L13" i="27" a="1"/>
  <c r="L13" i="27" s="1"/>
  <c r="M13" i="27" a="1"/>
  <c r="M13" i="27" s="1"/>
  <c r="N13" i="27" a="1"/>
  <c r="N13" i="27" s="1"/>
  <c r="O13" i="27" a="1"/>
  <c r="O13" i="27" s="1"/>
  <c r="P13" i="27" a="1"/>
  <c r="P13" i="27" s="1"/>
  <c r="Q13" i="27" a="1"/>
  <c r="Q13" i="27" s="1"/>
  <c r="R13" i="27" a="1"/>
  <c r="R13" i="27" s="1"/>
  <c r="U13" i="27" a="1"/>
  <c r="U13" i="27" s="1"/>
  <c r="V13" i="27" a="1"/>
  <c r="V13" i="27" s="1"/>
  <c r="W13" i="27" a="1"/>
  <c r="W13" i="27" s="1"/>
  <c r="X13" i="27" a="1"/>
  <c r="X13" i="27" s="1"/>
  <c r="K14" i="27" a="1"/>
  <c r="K14" i="27" s="1"/>
  <c r="L14" i="27" a="1"/>
  <c r="L14" i="27" s="1"/>
  <c r="M14" i="27" a="1"/>
  <c r="M14" i="27" s="1"/>
  <c r="N14" i="27" a="1"/>
  <c r="N14" i="27" s="1"/>
  <c r="O14" i="27" a="1"/>
  <c r="O14" i="27" s="1"/>
  <c r="P14" i="27" a="1"/>
  <c r="P14" i="27" s="1"/>
  <c r="Q14" i="27" a="1"/>
  <c r="Q14" i="27" s="1"/>
  <c r="R14" i="27" a="1"/>
  <c r="R14" i="27" s="1"/>
  <c r="U14" i="27" a="1"/>
  <c r="U14" i="27" s="1"/>
  <c r="V14" i="27" a="1"/>
  <c r="V14" i="27" s="1"/>
  <c r="W14" i="27" a="1"/>
  <c r="W14" i="27" s="1"/>
  <c r="X14" i="27" a="1"/>
  <c r="X14" i="27" s="1"/>
  <c r="K15" i="27" a="1"/>
  <c r="K15" i="27" s="1"/>
  <c r="L15" i="27" a="1"/>
  <c r="L15" i="27" s="1"/>
  <c r="M15" i="27" a="1"/>
  <c r="M15" i="27" s="1"/>
  <c r="N15" i="27" a="1"/>
  <c r="N15" i="27" s="1"/>
  <c r="O15" i="27" a="1"/>
  <c r="O15" i="27" s="1"/>
  <c r="P15" i="27" a="1"/>
  <c r="P15" i="27" s="1"/>
  <c r="Q15" i="27" a="1"/>
  <c r="Q15" i="27" s="1"/>
  <c r="R15" i="27" a="1"/>
  <c r="R15" i="27" s="1"/>
  <c r="U15" i="27" a="1"/>
  <c r="U15" i="27" s="1"/>
  <c r="V15" i="27" a="1"/>
  <c r="V15" i="27" s="1"/>
  <c r="W15" i="27" a="1"/>
  <c r="W15" i="27" s="1"/>
  <c r="X15" i="27" a="1"/>
  <c r="X15" i="27" s="1"/>
  <c r="K16" i="27" a="1"/>
  <c r="K16" i="27" s="1"/>
  <c r="L16" i="27" a="1"/>
  <c r="L16" i="27" s="1"/>
  <c r="M16" i="27" a="1"/>
  <c r="M16" i="27" s="1"/>
  <c r="N16" i="27" a="1"/>
  <c r="N16" i="27" s="1"/>
  <c r="O16" i="27" a="1"/>
  <c r="O16" i="27" s="1"/>
  <c r="P16" i="27" a="1"/>
  <c r="P16" i="27" s="1"/>
  <c r="Q16" i="27" a="1"/>
  <c r="Q16" i="27" s="1"/>
  <c r="R16" i="27" a="1"/>
  <c r="R16" i="27" s="1"/>
  <c r="U16" i="27" a="1"/>
  <c r="U16" i="27" s="1"/>
  <c r="V16" i="27" a="1"/>
  <c r="V16" i="27" s="1"/>
  <c r="W16" i="27" a="1"/>
  <c r="W16" i="27" s="1"/>
  <c r="X16" i="27" a="1"/>
  <c r="X16" i="27" s="1"/>
  <c r="K17" i="27" a="1"/>
  <c r="K17" i="27" s="1"/>
  <c r="L17" i="27" a="1"/>
  <c r="L17" i="27" s="1"/>
  <c r="M17" i="27" a="1"/>
  <c r="M17" i="27" s="1"/>
  <c r="N17" i="27" a="1"/>
  <c r="N17" i="27" s="1"/>
  <c r="O17" i="27" a="1"/>
  <c r="O17" i="27" s="1"/>
  <c r="P17" i="27" a="1"/>
  <c r="P17" i="27" s="1"/>
  <c r="Q17" i="27" a="1"/>
  <c r="Q17" i="27" s="1"/>
  <c r="R17" i="27" a="1"/>
  <c r="R17" i="27" s="1"/>
  <c r="U17" i="27" a="1"/>
  <c r="U17" i="27" s="1"/>
  <c r="V17" i="27" a="1"/>
  <c r="V17" i="27" s="1"/>
  <c r="W17" i="27" a="1"/>
  <c r="W17" i="27" s="1"/>
  <c r="X17" i="27" a="1"/>
  <c r="X17" i="27" s="1"/>
  <c r="K18" i="27" a="1"/>
  <c r="K18" i="27" s="1"/>
  <c r="L18" i="27" a="1"/>
  <c r="L18" i="27" s="1"/>
  <c r="M18" i="27" a="1"/>
  <c r="M18" i="27" s="1"/>
  <c r="N18" i="27" a="1"/>
  <c r="N18" i="27" s="1"/>
  <c r="O18" i="27" a="1"/>
  <c r="O18" i="27" s="1"/>
  <c r="P18" i="27" a="1"/>
  <c r="P18" i="27" s="1"/>
  <c r="Q18" i="27" a="1"/>
  <c r="Q18" i="27" s="1"/>
  <c r="R18" i="27" a="1"/>
  <c r="R18" i="27" s="1"/>
  <c r="U18" i="27" a="1"/>
  <c r="U18" i="27" s="1"/>
  <c r="V18" i="27" a="1"/>
  <c r="V18" i="27" s="1"/>
  <c r="W18" i="27" a="1"/>
  <c r="W18" i="27" s="1"/>
  <c r="X18" i="27" a="1"/>
  <c r="X18" i="27" s="1"/>
  <c r="K19" i="27" a="1"/>
  <c r="K19" i="27" s="1"/>
  <c r="L19" i="27" a="1"/>
  <c r="L19" i="27" s="1"/>
  <c r="M19" i="27" a="1"/>
  <c r="M19" i="27" s="1"/>
  <c r="N19" i="27" a="1"/>
  <c r="N19" i="27" s="1"/>
  <c r="O19" i="27" a="1"/>
  <c r="O19" i="27" s="1"/>
  <c r="P19" i="27" a="1"/>
  <c r="P19" i="27" s="1"/>
  <c r="Q19" i="27" a="1"/>
  <c r="Q19" i="27" s="1"/>
  <c r="R19" i="27" a="1"/>
  <c r="R19" i="27" s="1"/>
  <c r="U19" i="27" a="1"/>
  <c r="U19" i="27" s="1"/>
  <c r="V19" i="27" a="1"/>
  <c r="V19" i="27" s="1"/>
  <c r="W19" i="27" a="1"/>
  <c r="W19" i="27" s="1"/>
  <c r="X19" i="27" a="1"/>
  <c r="X19" i="27" s="1"/>
  <c r="K20" i="27" a="1"/>
  <c r="K20" i="27" s="1"/>
  <c r="L20" i="27" a="1"/>
  <c r="L20" i="27" s="1"/>
  <c r="M20" i="27" a="1"/>
  <c r="M20" i="27" s="1"/>
  <c r="N20" i="27" a="1"/>
  <c r="N20" i="27" s="1"/>
  <c r="O20" i="27" a="1"/>
  <c r="O20" i="27" s="1"/>
  <c r="P20" i="27" a="1"/>
  <c r="P20" i="27" s="1"/>
  <c r="Q20" i="27" a="1"/>
  <c r="Q20" i="27" s="1"/>
  <c r="R20" i="27" a="1"/>
  <c r="R20" i="27" s="1"/>
  <c r="U20" i="27" a="1"/>
  <c r="U20" i="27" s="1"/>
  <c r="V20" i="27" a="1"/>
  <c r="V20" i="27" s="1"/>
  <c r="W20" i="27" a="1"/>
  <c r="W20" i="27" s="1"/>
  <c r="X20" i="27" a="1"/>
  <c r="X20" i="27" s="1"/>
  <c r="K21" i="27" a="1"/>
  <c r="K21" i="27" s="1"/>
  <c r="L21" i="27" a="1"/>
  <c r="L21" i="27" s="1"/>
  <c r="M21" i="27" a="1"/>
  <c r="M21" i="27" s="1"/>
  <c r="N21" i="27" a="1"/>
  <c r="N21" i="27" s="1"/>
  <c r="O21" i="27" a="1"/>
  <c r="O21" i="27" s="1"/>
  <c r="P21" i="27" a="1"/>
  <c r="P21" i="27" s="1"/>
  <c r="Q21" i="27" a="1"/>
  <c r="Q21" i="27" s="1"/>
  <c r="R21" i="27" a="1"/>
  <c r="R21" i="27" s="1"/>
  <c r="U21" i="27" a="1"/>
  <c r="U21" i="27" s="1"/>
  <c r="V21" i="27" a="1"/>
  <c r="V21" i="27" s="1"/>
  <c r="W21" i="27" a="1"/>
  <c r="W21" i="27" s="1"/>
  <c r="X21" i="27" a="1"/>
  <c r="X21" i="27" s="1"/>
  <c r="K22" i="27" a="1"/>
  <c r="K22" i="27" s="1"/>
  <c r="L22" i="27" a="1"/>
  <c r="L22" i="27" s="1"/>
  <c r="M22" i="27" a="1"/>
  <c r="M22" i="27" s="1"/>
  <c r="N22" i="27" a="1"/>
  <c r="N22" i="27" s="1"/>
  <c r="O22" i="27" a="1"/>
  <c r="O22" i="27" s="1"/>
  <c r="P22" i="27" a="1"/>
  <c r="P22" i="27" s="1"/>
  <c r="Q22" i="27" a="1"/>
  <c r="Q22" i="27" s="1"/>
  <c r="R22" i="27" a="1"/>
  <c r="R22" i="27" s="1"/>
  <c r="U22" i="27" a="1"/>
  <c r="U22" i="27" s="1"/>
  <c r="V22" i="27" a="1"/>
  <c r="V22" i="27" s="1"/>
  <c r="W22" i="27" a="1"/>
  <c r="W22" i="27" s="1"/>
  <c r="X22" i="27" a="1"/>
  <c r="X22" i="27" s="1"/>
  <c r="K23" i="27" a="1"/>
  <c r="K23" i="27" s="1"/>
  <c r="L23" i="27" a="1"/>
  <c r="L23" i="27" s="1"/>
  <c r="M23" i="27" a="1"/>
  <c r="M23" i="27" s="1"/>
  <c r="N23" i="27" a="1"/>
  <c r="N23" i="27" s="1"/>
  <c r="O23" i="27" a="1"/>
  <c r="O23" i="27" s="1"/>
  <c r="P23" i="27" a="1"/>
  <c r="P23" i="27" s="1"/>
  <c r="Q23" i="27" a="1"/>
  <c r="Q23" i="27" s="1"/>
  <c r="R23" i="27" a="1"/>
  <c r="R23" i="27" s="1"/>
  <c r="U23" i="27" a="1"/>
  <c r="U23" i="27" s="1"/>
  <c r="V23" i="27" a="1"/>
  <c r="V23" i="27" s="1"/>
  <c r="W23" i="27" a="1"/>
  <c r="W23" i="27" s="1"/>
  <c r="X23" i="27" a="1"/>
  <c r="X23" i="27" s="1"/>
  <c r="K24" i="27" a="1"/>
  <c r="K24" i="27" s="1"/>
  <c r="L24" i="27" a="1"/>
  <c r="L24" i="27" s="1"/>
  <c r="M24" i="27" a="1"/>
  <c r="M24" i="27" s="1"/>
  <c r="N24" i="27" a="1"/>
  <c r="N24" i="27" s="1"/>
  <c r="O24" i="27" a="1"/>
  <c r="O24" i="27" s="1"/>
  <c r="P24" i="27" a="1"/>
  <c r="P24" i="27" s="1"/>
  <c r="Q24" i="27" a="1"/>
  <c r="Q24" i="27" s="1"/>
  <c r="R24" i="27" a="1"/>
  <c r="R24" i="27" s="1"/>
  <c r="U24" i="27" a="1"/>
  <c r="U24" i="27" s="1"/>
  <c r="V24" i="27" a="1"/>
  <c r="V24" i="27" s="1"/>
  <c r="W24" i="27" a="1"/>
  <c r="W24" i="27" s="1"/>
  <c r="X24" i="27" a="1"/>
  <c r="X24" i="27" s="1"/>
  <c r="K25" i="27" a="1"/>
  <c r="K25" i="27" s="1"/>
  <c r="L25" i="27" a="1"/>
  <c r="L25" i="27" s="1"/>
  <c r="M25" i="27" a="1"/>
  <c r="M25" i="27" s="1"/>
  <c r="N25" i="27" a="1"/>
  <c r="N25" i="27" s="1"/>
  <c r="O25" i="27" a="1"/>
  <c r="O25" i="27" s="1"/>
  <c r="P25" i="27" a="1"/>
  <c r="P25" i="27" s="1"/>
  <c r="Q25" i="27" a="1"/>
  <c r="Q25" i="27" s="1"/>
  <c r="R25" i="27" a="1"/>
  <c r="R25" i="27" s="1"/>
  <c r="U25" i="27" a="1"/>
  <c r="U25" i="27" s="1"/>
  <c r="V25" i="27" a="1"/>
  <c r="V25" i="27" s="1"/>
  <c r="W25" i="27" a="1"/>
  <c r="W25" i="27" s="1"/>
  <c r="X25" i="27" a="1"/>
  <c r="X25" i="27" s="1"/>
  <c r="K26" i="27" a="1"/>
  <c r="K26" i="27" s="1"/>
  <c r="L26" i="27" a="1"/>
  <c r="L26" i="27" s="1"/>
  <c r="M26" i="27" a="1"/>
  <c r="M26" i="27" s="1"/>
  <c r="N26" i="27" a="1"/>
  <c r="N26" i="27" s="1"/>
  <c r="O26" i="27" a="1"/>
  <c r="O26" i="27" s="1"/>
  <c r="P26" i="27" a="1"/>
  <c r="P26" i="27" s="1"/>
  <c r="Q26" i="27" a="1"/>
  <c r="Q26" i="27" s="1"/>
  <c r="R26" i="27" a="1"/>
  <c r="R26" i="27" s="1"/>
  <c r="U26" i="27" a="1"/>
  <c r="U26" i="27" s="1"/>
  <c r="V26" i="27" a="1"/>
  <c r="V26" i="27" s="1"/>
  <c r="W26" i="27" a="1"/>
  <c r="W26" i="27" s="1"/>
  <c r="X26" i="27" a="1"/>
  <c r="X26" i="27" s="1"/>
  <c r="K27" i="27" a="1"/>
  <c r="K27" i="27" s="1"/>
  <c r="L27" i="27" a="1"/>
  <c r="L27" i="27" s="1"/>
  <c r="M27" i="27" a="1"/>
  <c r="M27" i="27" s="1"/>
  <c r="N27" i="27" a="1"/>
  <c r="N27" i="27" s="1"/>
  <c r="O27" i="27" a="1"/>
  <c r="O27" i="27" s="1"/>
  <c r="P27" i="27" a="1"/>
  <c r="P27" i="27" s="1"/>
  <c r="Q27" i="27" a="1"/>
  <c r="Q27" i="27" s="1"/>
  <c r="R27" i="27" a="1"/>
  <c r="R27" i="27" s="1"/>
  <c r="U27" i="27" a="1"/>
  <c r="U27" i="27" s="1"/>
  <c r="V27" i="27" a="1"/>
  <c r="V27" i="27" s="1"/>
  <c r="W27" i="27" a="1"/>
  <c r="W27" i="27" s="1"/>
  <c r="X27" i="27" a="1"/>
  <c r="X27" i="27" s="1"/>
  <c r="K28" i="27" a="1"/>
  <c r="K28" i="27" s="1"/>
  <c r="L28" i="27" a="1"/>
  <c r="L28" i="27" s="1"/>
  <c r="M28" i="27" a="1"/>
  <c r="M28" i="27" s="1"/>
  <c r="N28" i="27" a="1"/>
  <c r="N28" i="27" s="1"/>
  <c r="O28" i="27" a="1"/>
  <c r="O28" i="27" s="1"/>
  <c r="P28" i="27" a="1"/>
  <c r="P28" i="27" s="1"/>
  <c r="Q28" i="27" a="1"/>
  <c r="Q28" i="27" s="1"/>
  <c r="R28" i="27" a="1"/>
  <c r="R28" i="27" s="1"/>
  <c r="U28" i="27" a="1"/>
  <c r="U28" i="27" s="1"/>
  <c r="V28" i="27" a="1"/>
  <c r="V28" i="27" s="1"/>
  <c r="W28" i="27" a="1"/>
  <c r="W28" i="27" s="1"/>
  <c r="X28" i="27" a="1"/>
  <c r="X28" i="27" s="1"/>
  <c r="K29" i="27" a="1"/>
  <c r="K29" i="27" s="1"/>
  <c r="L29" i="27" a="1"/>
  <c r="L29" i="27" s="1"/>
  <c r="M29" i="27" a="1"/>
  <c r="M29" i="27" s="1"/>
  <c r="N29" i="27" a="1"/>
  <c r="N29" i="27" s="1"/>
  <c r="O29" i="27" a="1"/>
  <c r="O29" i="27" s="1"/>
  <c r="P29" i="27" a="1"/>
  <c r="P29" i="27" s="1"/>
  <c r="Q29" i="27" a="1"/>
  <c r="Q29" i="27" s="1"/>
  <c r="R29" i="27" a="1"/>
  <c r="R29" i="27" s="1"/>
  <c r="U29" i="27" a="1"/>
  <c r="U29" i="27" s="1"/>
  <c r="V29" i="27" a="1"/>
  <c r="V29" i="27" s="1"/>
  <c r="W29" i="27" a="1"/>
  <c r="W29" i="27" s="1"/>
  <c r="X29" i="27" a="1"/>
  <c r="X29" i="27" s="1"/>
  <c r="K30" i="27" a="1"/>
  <c r="K30" i="27" s="1"/>
  <c r="L30" i="27" a="1"/>
  <c r="L30" i="27" s="1"/>
  <c r="M30" i="27" a="1"/>
  <c r="M30" i="27" s="1"/>
  <c r="N30" i="27" a="1"/>
  <c r="N30" i="27" s="1"/>
  <c r="O30" i="27" a="1"/>
  <c r="O30" i="27" s="1"/>
  <c r="P30" i="27" a="1"/>
  <c r="P30" i="27" s="1"/>
  <c r="Q30" i="27" a="1"/>
  <c r="Q30" i="27" s="1"/>
  <c r="R30" i="27" a="1"/>
  <c r="R30" i="27" s="1"/>
  <c r="U30" i="27" a="1"/>
  <c r="U30" i="27" s="1"/>
  <c r="V30" i="27" a="1"/>
  <c r="V30" i="27" s="1"/>
  <c r="W30" i="27" a="1"/>
  <c r="W30" i="27" s="1"/>
  <c r="X30" i="27" a="1"/>
  <c r="X30" i="27" s="1"/>
  <c r="K31" i="27" a="1"/>
  <c r="K31" i="27" s="1"/>
  <c r="L31" i="27" a="1"/>
  <c r="L31" i="27" s="1"/>
  <c r="M31" i="27" a="1"/>
  <c r="M31" i="27" s="1"/>
  <c r="N31" i="27" a="1"/>
  <c r="N31" i="27" s="1"/>
  <c r="O31" i="27" a="1"/>
  <c r="O31" i="27" s="1"/>
  <c r="P31" i="27" a="1"/>
  <c r="P31" i="27" s="1"/>
  <c r="Q31" i="27" a="1"/>
  <c r="Q31" i="27" s="1"/>
  <c r="R31" i="27" a="1"/>
  <c r="R31" i="27" s="1"/>
  <c r="U31" i="27" a="1"/>
  <c r="U31" i="27" s="1"/>
  <c r="V31" i="27" a="1"/>
  <c r="V31" i="27" s="1"/>
  <c r="W31" i="27" a="1"/>
  <c r="W31" i="27" s="1"/>
  <c r="X31" i="27" a="1"/>
  <c r="X31" i="27" s="1"/>
  <c r="K32" i="27" a="1"/>
  <c r="K32" i="27" s="1"/>
  <c r="L32" i="27" a="1"/>
  <c r="L32" i="27" s="1"/>
  <c r="M32" i="27" a="1"/>
  <c r="M32" i="27" s="1"/>
  <c r="N32" i="27" a="1"/>
  <c r="N32" i="27" s="1"/>
  <c r="O32" i="27" a="1"/>
  <c r="O32" i="27" s="1"/>
  <c r="P32" i="27" a="1"/>
  <c r="P32" i="27" s="1"/>
  <c r="Q32" i="27" a="1"/>
  <c r="Q32" i="27" s="1"/>
  <c r="R32" i="27" a="1"/>
  <c r="R32" i="27" s="1"/>
  <c r="U32" i="27" a="1"/>
  <c r="U32" i="27" s="1"/>
  <c r="V32" i="27" a="1"/>
  <c r="V32" i="27" s="1"/>
  <c r="W32" i="27" a="1"/>
  <c r="W32" i="27" s="1"/>
  <c r="X32" i="27" a="1"/>
  <c r="X32" i="27" s="1"/>
  <c r="K33" i="27" a="1"/>
  <c r="K33" i="27" s="1"/>
  <c r="L33" i="27" a="1"/>
  <c r="L33" i="27" s="1"/>
  <c r="M33" i="27" a="1"/>
  <c r="M33" i="27" s="1"/>
  <c r="N33" i="27" a="1"/>
  <c r="N33" i="27" s="1"/>
  <c r="O33" i="27" a="1"/>
  <c r="O33" i="27" s="1"/>
  <c r="P33" i="27" a="1"/>
  <c r="P33" i="27" s="1"/>
  <c r="Q33" i="27" a="1"/>
  <c r="Q33" i="27" s="1"/>
  <c r="R33" i="27" a="1"/>
  <c r="R33" i="27" s="1"/>
  <c r="U33" i="27" a="1"/>
  <c r="U33" i="27" s="1"/>
  <c r="V33" i="27" a="1"/>
  <c r="V33" i="27" s="1"/>
  <c r="W33" i="27" a="1"/>
  <c r="W33" i="27" s="1"/>
  <c r="X33" i="27" a="1"/>
  <c r="X33" i="27" s="1"/>
  <c r="K34" i="27" a="1"/>
  <c r="K34" i="27" s="1"/>
  <c r="L34" i="27" a="1"/>
  <c r="L34" i="27" s="1"/>
  <c r="M34" i="27" a="1"/>
  <c r="M34" i="27" s="1"/>
  <c r="N34" i="27" a="1"/>
  <c r="N34" i="27" s="1"/>
  <c r="O34" i="27" a="1"/>
  <c r="O34" i="27" s="1"/>
  <c r="P34" i="27" a="1"/>
  <c r="P34" i="27" s="1"/>
  <c r="Q34" i="27" a="1"/>
  <c r="Q34" i="27" s="1"/>
  <c r="R34" i="27" a="1"/>
  <c r="R34" i="27" s="1"/>
  <c r="U34" i="27" a="1"/>
  <c r="U34" i="27" s="1"/>
  <c r="V34" i="27" a="1"/>
  <c r="V34" i="27" s="1"/>
  <c r="W34" i="27" a="1"/>
  <c r="W34" i="27" s="1"/>
  <c r="X34" i="27" a="1"/>
  <c r="X34" i="27" s="1"/>
  <c r="K35" i="27" a="1"/>
  <c r="K35" i="27" s="1"/>
  <c r="L35" i="27" a="1"/>
  <c r="L35" i="27" s="1"/>
  <c r="M35" i="27" a="1"/>
  <c r="M35" i="27" s="1"/>
  <c r="N35" i="27" a="1"/>
  <c r="N35" i="27" s="1"/>
  <c r="O35" i="27" a="1"/>
  <c r="O35" i="27" s="1"/>
  <c r="P35" i="27" a="1"/>
  <c r="P35" i="27" s="1"/>
  <c r="Q35" i="27" a="1"/>
  <c r="Q35" i="27" s="1"/>
  <c r="R35" i="27" a="1"/>
  <c r="R35" i="27" s="1"/>
  <c r="U35" i="27" a="1"/>
  <c r="U35" i="27" s="1"/>
  <c r="V35" i="27" a="1"/>
  <c r="V35" i="27" s="1"/>
  <c r="W35" i="27" a="1"/>
  <c r="W35" i="27" s="1"/>
  <c r="X35" i="27" a="1"/>
  <c r="X35" i="27" s="1"/>
  <c r="K36" i="27" a="1"/>
  <c r="K36" i="27" s="1"/>
  <c r="L36" i="27" a="1"/>
  <c r="L36" i="27" s="1"/>
  <c r="M36" i="27" a="1"/>
  <c r="M36" i="27" s="1"/>
  <c r="N36" i="27" a="1"/>
  <c r="N36" i="27" s="1"/>
  <c r="O36" i="27" a="1"/>
  <c r="O36" i="27" s="1"/>
  <c r="P36" i="27" a="1"/>
  <c r="P36" i="27" s="1"/>
  <c r="Q36" i="27" a="1"/>
  <c r="Q36" i="27" s="1"/>
  <c r="R36" i="27" a="1"/>
  <c r="R36" i="27" s="1"/>
  <c r="U36" i="27" a="1"/>
  <c r="U36" i="27" s="1"/>
  <c r="V36" i="27" a="1"/>
  <c r="V36" i="27" s="1"/>
  <c r="W36" i="27" a="1"/>
  <c r="W36" i="27" s="1"/>
  <c r="X36" i="27" a="1"/>
  <c r="X36" i="27" s="1"/>
  <c r="K37" i="27" a="1"/>
  <c r="K37" i="27" s="1"/>
  <c r="L37" i="27" a="1"/>
  <c r="L37" i="27" s="1"/>
  <c r="M37" i="27" a="1"/>
  <c r="M37" i="27" s="1"/>
  <c r="N37" i="27" a="1"/>
  <c r="N37" i="27" s="1"/>
  <c r="O37" i="27" a="1"/>
  <c r="O37" i="27" s="1"/>
  <c r="P37" i="27" a="1"/>
  <c r="P37" i="27" s="1"/>
  <c r="Q37" i="27" a="1"/>
  <c r="Q37" i="27" s="1"/>
  <c r="R37" i="27" a="1"/>
  <c r="R37" i="27" s="1"/>
  <c r="U37" i="27" a="1"/>
  <c r="U37" i="27" s="1"/>
  <c r="V37" i="27" a="1"/>
  <c r="V37" i="27" s="1"/>
  <c r="W37" i="27" a="1"/>
  <c r="W37" i="27" s="1"/>
  <c r="X37" i="27" a="1"/>
  <c r="X37" i="27" s="1"/>
  <c r="K38" i="27" a="1"/>
  <c r="K38" i="27" s="1"/>
  <c r="L38" i="27" a="1"/>
  <c r="L38" i="27" s="1"/>
  <c r="M38" i="27" a="1"/>
  <c r="M38" i="27" s="1"/>
  <c r="N38" i="27" a="1"/>
  <c r="N38" i="27" s="1"/>
  <c r="O38" i="27" a="1"/>
  <c r="O38" i="27" s="1"/>
  <c r="P38" i="27" a="1"/>
  <c r="P38" i="27" s="1"/>
  <c r="Q38" i="27" a="1"/>
  <c r="Q38" i="27" s="1"/>
  <c r="R38" i="27" a="1"/>
  <c r="R38" i="27" s="1"/>
  <c r="U38" i="27" a="1"/>
  <c r="U38" i="27" s="1"/>
  <c r="V38" i="27" a="1"/>
  <c r="V38" i="27" s="1"/>
  <c r="W38" i="27" a="1"/>
  <c r="W38" i="27" s="1"/>
  <c r="X38" i="27" a="1"/>
  <c r="X38" i="27" s="1"/>
  <c r="K39" i="27" a="1"/>
  <c r="K39" i="27" s="1"/>
  <c r="L39" i="27" a="1"/>
  <c r="L39" i="27" s="1"/>
  <c r="M39" i="27" a="1"/>
  <c r="M39" i="27" s="1"/>
  <c r="N39" i="27" a="1"/>
  <c r="N39" i="27" s="1"/>
  <c r="O39" i="27" a="1"/>
  <c r="O39" i="27" s="1"/>
  <c r="P39" i="27" a="1"/>
  <c r="P39" i="27" s="1"/>
  <c r="Q39" i="27" a="1"/>
  <c r="Q39" i="27" s="1"/>
  <c r="R39" i="27" a="1"/>
  <c r="R39" i="27" s="1"/>
  <c r="U39" i="27" a="1"/>
  <c r="U39" i="27" s="1"/>
  <c r="V39" i="27" a="1"/>
  <c r="V39" i="27" s="1"/>
  <c r="W39" i="27" a="1"/>
  <c r="W39" i="27" s="1"/>
  <c r="X39" i="27" a="1"/>
  <c r="X39" i="27" s="1"/>
  <c r="K40" i="27" a="1"/>
  <c r="K40" i="27" s="1"/>
  <c r="L40" i="27" a="1"/>
  <c r="L40" i="27" s="1"/>
  <c r="M40" i="27" a="1"/>
  <c r="M40" i="27" s="1"/>
  <c r="N40" i="27" a="1"/>
  <c r="N40" i="27" s="1"/>
  <c r="O40" i="27" a="1"/>
  <c r="O40" i="27" s="1"/>
  <c r="P40" i="27" a="1"/>
  <c r="P40" i="27" s="1"/>
  <c r="Q40" i="27" a="1"/>
  <c r="Q40" i="27" s="1"/>
  <c r="R40" i="27" a="1"/>
  <c r="R40" i="27" s="1"/>
  <c r="U40" i="27" a="1"/>
  <c r="U40" i="27" s="1"/>
  <c r="V40" i="27" a="1"/>
  <c r="V40" i="27" s="1"/>
  <c r="W40" i="27" a="1"/>
  <c r="W40" i="27" s="1"/>
  <c r="X40" i="27" a="1"/>
  <c r="X40" i="27" s="1"/>
  <c r="K41" i="27" a="1"/>
  <c r="K41" i="27" s="1"/>
  <c r="L41" i="27" a="1"/>
  <c r="L41" i="27" s="1"/>
  <c r="M41" i="27" a="1"/>
  <c r="M41" i="27" s="1"/>
  <c r="N41" i="27" a="1"/>
  <c r="N41" i="27" s="1"/>
  <c r="O41" i="27" a="1"/>
  <c r="O41" i="27" s="1"/>
  <c r="P41" i="27" a="1"/>
  <c r="P41" i="27" s="1"/>
  <c r="Q41" i="27" a="1"/>
  <c r="Q41" i="27" s="1"/>
  <c r="R41" i="27" a="1"/>
  <c r="R41" i="27" s="1"/>
  <c r="U41" i="27" a="1"/>
  <c r="U41" i="27" s="1"/>
  <c r="V41" i="27" a="1"/>
  <c r="V41" i="27" s="1"/>
  <c r="W41" i="27" a="1"/>
  <c r="W41" i="27" s="1"/>
  <c r="X41" i="27" a="1"/>
  <c r="X41" i="27" s="1"/>
  <c r="K42" i="27" a="1"/>
  <c r="K42" i="27" s="1"/>
  <c r="L42" i="27" a="1"/>
  <c r="L42" i="27" s="1"/>
  <c r="M42" i="27" a="1"/>
  <c r="M42" i="27" s="1"/>
  <c r="N42" i="27" a="1"/>
  <c r="N42" i="27" s="1"/>
  <c r="O42" i="27" a="1"/>
  <c r="O42" i="27" s="1"/>
  <c r="P42" i="27" a="1"/>
  <c r="P42" i="27" s="1"/>
  <c r="Q42" i="27" a="1"/>
  <c r="Q42" i="27" s="1"/>
  <c r="R42" i="27" a="1"/>
  <c r="R42" i="27" s="1"/>
  <c r="U42" i="27" a="1"/>
  <c r="U42" i="27" s="1"/>
  <c r="V42" i="27" a="1"/>
  <c r="V42" i="27" s="1"/>
  <c r="W42" i="27" a="1"/>
  <c r="W42" i="27" s="1"/>
  <c r="X42" i="27" a="1"/>
  <c r="X42" i="27" s="1"/>
  <c r="K43" i="27" a="1"/>
  <c r="K43" i="27" s="1"/>
  <c r="L43" i="27" a="1"/>
  <c r="L43" i="27" s="1"/>
  <c r="M43" i="27" a="1"/>
  <c r="M43" i="27" s="1"/>
  <c r="N43" i="27" a="1"/>
  <c r="N43" i="27" s="1"/>
  <c r="O43" i="27" a="1"/>
  <c r="O43" i="27" s="1"/>
  <c r="P43" i="27" a="1"/>
  <c r="P43" i="27" s="1"/>
  <c r="Q43" i="27" a="1"/>
  <c r="Q43" i="27" s="1"/>
  <c r="R43" i="27" a="1"/>
  <c r="R43" i="27" s="1"/>
  <c r="U43" i="27" a="1"/>
  <c r="U43" i="27" s="1"/>
  <c r="V43" i="27" a="1"/>
  <c r="V43" i="27" s="1"/>
  <c r="W43" i="27" a="1"/>
  <c r="W43" i="27" s="1"/>
  <c r="X43" i="27" a="1"/>
  <c r="X43" i="27" s="1"/>
  <c r="K44" i="27" a="1"/>
  <c r="K44" i="27" s="1"/>
  <c r="L44" i="27" a="1"/>
  <c r="L44" i="27" s="1"/>
  <c r="M44" i="27" a="1"/>
  <c r="M44" i="27" s="1"/>
  <c r="N44" i="27" a="1"/>
  <c r="N44" i="27" s="1"/>
  <c r="O44" i="27" a="1"/>
  <c r="O44" i="27" s="1"/>
  <c r="P44" i="27" a="1"/>
  <c r="P44" i="27" s="1"/>
  <c r="Q44" i="27" a="1"/>
  <c r="Q44" i="27" s="1"/>
  <c r="R44" i="27" a="1"/>
  <c r="R44" i="27" s="1"/>
  <c r="U44" i="27" a="1"/>
  <c r="U44" i="27" s="1"/>
  <c r="V44" i="27" a="1"/>
  <c r="V44" i="27" s="1"/>
  <c r="W44" i="27" a="1"/>
  <c r="W44" i="27" s="1"/>
  <c r="X44" i="27" a="1"/>
  <c r="X44" i="27" s="1"/>
  <c r="K45" i="27" a="1"/>
  <c r="K45" i="27" s="1"/>
  <c r="L45" i="27" a="1"/>
  <c r="L45" i="27" s="1"/>
  <c r="M45" i="27" a="1"/>
  <c r="M45" i="27" s="1"/>
  <c r="N45" i="27" a="1"/>
  <c r="N45" i="27" s="1"/>
  <c r="O45" i="27" a="1"/>
  <c r="O45" i="27" s="1"/>
  <c r="P45" i="27" a="1"/>
  <c r="P45" i="27" s="1"/>
  <c r="Q45" i="27" a="1"/>
  <c r="Q45" i="27" s="1"/>
  <c r="R45" i="27" a="1"/>
  <c r="R45" i="27" s="1"/>
  <c r="U45" i="27" a="1"/>
  <c r="U45" i="27" s="1"/>
  <c r="V45" i="27" a="1"/>
  <c r="V45" i="27" s="1"/>
  <c r="W45" i="27" a="1"/>
  <c r="W45" i="27" s="1"/>
  <c r="X45" i="27" a="1"/>
  <c r="X45" i="27" s="1"/>
  <c r="K46" i="27" a="1"/>
  <c r="K46" i="27" s="1"/>
  <c r="L46" i="27" a="1"/>
  <c r="L46" i="27" s="1"/>
  <c r="M46" i="27" a="1"/>
  <c r="M46" i="27" s="1"/>
  <c r="N46" i="27" a="1"/>
  <c r="N46" i="27" s="1"/>
  <c r="O46" i="27" a="1"/>
  <c r="O46" i="27" s="1"/>
  <c r="P46" i="27" a="1"/>
  <c r="P46" i="27" s="1"/>
  <c r="Q46" i="27" a="1"/>
  <c r="Q46" i="27" s="1"/>
  <c r="R46" i="27" a="1"/>
  <c r="R46" i="27" s="1"/>
  <c r="U46" i="27" a="1"/>
  <c r="U46" i="27" s="1"/>
  <c r="V46" i="27" a="1"/>
  <c r="V46" i="27" s="1"/>
  <c r="W46" i="27" a="1"/>
  <c r="W46" i="27" s="1"/>
  <c r="X46" i="27" a="1"/>
  <c r="X46" i="27" s="1"/>
  <c r="K47" i="27" a="1"/>
  <c r="K47" i="27" s="1"/>
  <c r="L47" i="27" a="1"/>
  <c r="L47" i="27" s="1"/>
  <c r="M47" i="27" a="1"/>
  <c r="M47" i="27" s="1"/>
  <c r="N47" i="27" a="1"/>
  <c r="N47" i="27" s="1"/>
  <c r="O47" i="27" a="1"/>
  <c r="O47" i="27" s="1"/>
  <c r="P47" i="27" a="1"/>
  <c r="P47" i="27" s="1"/>
  <c r="Q47" i="27" a="1"/>
  <c r="Q47" i="27" s="1"/>
  <c r="R47" i="27" a="1"/>
  <c r="R47" i="27" s="1"/>
  <c r="U47" i="27" a="1"/>
  <c r="U47" i="27" s="1"/>
  <c r="V47" i="27" a="1"/>
  <c r="V47" i="27" s="1"/>
  <c r="W47" i="27" a="1"/>
  <c r="W47" i="27" s="1"/>
  <c r="X47" i="27" a="1"/>
  <c r="X47" i="27" s="1"/>
  <c r="K48" i="27" a="1"/>
  <c r="K48" i="27" s="1"/>
  <c r="L48" i="27" a="1"/>
  <c r="L48" i="27" s="1"/>
  <c r="M48" i="27" a="1"/>
  <c r="M48" i="27" s="1"/>
  <c r="N48" i="27" a="1"/>
  <c r="N48" i="27" s="1"/>
  <c r="O48" i="27" a="1"/>
  <c r="O48" i="27" s="1"/>
  <c r="P48" i="27" a="1"/>
  <c r="P48" i="27" s="1"/>
  <c r="Q48" i="27" a="1"/>
  <c r="Q48" i="27" s="1"/>
  <c r="R48" i="27" a="1"/>
  <c r="R48" i="27" s="1"/>
  <c r="U48" i="27" a="1"/>
  <c r="U48" i="27" s="1"/>
  <c r="V48" i="27" a="1"/>
  <c r="V48" i="27" s="1"/>
  <c r="W48" i="27" a="1"/>
  <c r="W48" i="27" s="1"/>
  <c r="X48" i="27" a="1"/>
  <c r="X48" i="27" s="1"/>
  <c r="K49" i="27" a="1"/>
  <c r="K49" i="27" s="1"/>
  <c r="L49" i="27" a="1"/>
  <c r="L49" i="27" s="1"/>
  <c r="M49" i="27" a="1"/>
  <c r="M49" i="27" s="1"/>
  <c r="N49" i="27" a="1"/>
  <c r="N49" i="27" s="1"/>
  <c r="O49" i="27" a="1"/>
  <c r="O49" i="27" s="1"/>
  <c r="P49" i="27" a="1"/>
  <c r="P49" i="27" s="1"/>
  <c r="Q49" i="27" a="1"/>
  <c r="Q49" i="27" s="1"/>
  <c r="R49" i="27" a="1"/>
  <c r="R49" i="27" s="1"/>
  <c r="U49" i="27" a="1"/>
  <c r="U49" i="27" s="1"/>
  <c r="V49" i="27" a="1"/>
  <c r="V49" i="27" s="1"/>
  <c r="W49" i="27" a="1"/>
  <c r="W49" i="27" s="1"/>
  <c r="X49" i="27" a="1"/>
  <c r="X49" i="27" s="1"/>
  <c r="K50" i="27" a="1"/>
  <c r="K50" i="27" s="1"/>
  <c r="L50" i="27" a="1"/>
  <c r="L50" i="27" s="1"/>
  <c r="M50" i="27" a="1"/>
  <c r="M50" i="27" s="1"/>
  <c r="N50" i="27" a="1"/>
  <c r="N50" i="27" s="1"/>
  <c r="O50" i="27" a="1"/>
  <c r="O50" i="27" s="1"/>
  <c r="P50" i="27" a="1"/>
  <c r="P50" i="27" s="1"/>
  <c r="Q50" i="27" a="1"/>
  <c r="Q50" i="27" s="1"/>
  <c r="R50" i="27" a="1"/>
  <c r="R50" i="27" s="1"/>
  <c r="U50" i="27" a="1"/>
  <c r="U50" i="27" s="1"/>
  <c r="V50" i="27" a="1"/>
  <c r="V50" i="27" s="1"/>
  <c r="W50" i="27" a="1"/>
  <c r="W50" i="27" s="1"/>
  <c r="X50" i="27" a="1"/>
  <c r="X50" i="27" s="1"/>
  <c r="K51" i="27" a="1"/>
  <c r="K51" i="27" s="1"/>
  <c r="L51" i="27" a="1"/>
  <c r="L51" i="27" s="1"/>
  <c r="M51" i="27" a="1"/>
  <c r="M51" i="27" s="1"/>
  <c r="N51" i="27" a="1"/>
  <c r="N51" i="27" s="1"/>
  <c r="O51" i="27" a="1"/>
  <c r="O51" i="27" s="1"/>
  <c r="P51" i="27" a="1"/>
  <c r="P51" i="27" s="1"/>
  <c r="Q51" i="27" a="1"/>
  <c r="Q51" i="27" s="1"/>
  <c r="R51" i="27" a="1"/>
  <c r="R51" i="27" s="1"/>
  <c r="U51" i="27" a="1"/>
  <c r="U51" i="27" s="1"/>
  <c r="V51" i="27" a="1"/>
  <c r="V51" i="27" s="1"/>
  <c r="W51" i="27" a="1"/>
  <c r="W51" i="27" s="1"/>
  <c r="X51" i="27" a="1"/>
  <c r="X51" i="27" s="1"/>
  <c r="K52" i="27" a="1"/>
  <c r="K52" i="27" s="1"/>
  <c r="L52" i="27" a="1"/>
  <c r="L52" i="27" s="1"/>
  <c r="M52" i="27" a="1"/>
  <c r="M52" i="27" s="1"/>
  <c r="N52" i="27" a="1"/>
  <c r="N52" i="27" s="1"/>
  <c r="O52" i="27" a="1"/>
  <c r="O52" i="27" s="1"/>
  <c r="P52" i="27" a="1"/>
  <c r="P52" i="27" s="1"/>
  <c r="Q52" i="27" a="1"/>
  <c r="Q52" i="27" s="1"/>
  <c r="R52" i="27" a="1"/>
  <c r="R52" i="27" s="1"/>
  <c r="U52" i="27" a="1"/>
  <c r="U52" i="27" s="1"/>
  <c r="V52" i="27" a="1"/>
  <c r="V52" i="27" s="1"/>
  <c r="W52" i="27" a="1"/>
  <c r="W52" i="27" s="1"/>
  <c r="X52" i="27" a="1"/>
  <c r="X52" i="27" s="1"/>
  <c r="K53" i="27" a="1"/>
  <c r="K53" i="27" s="1"/>
  <c r="L53" i="27" a="1"/>
  <c r="L53" i="27" s="1"/>
  <c r="M53" i="27" a="1"/>
  <c r="M53" i="27" s="1"/>
  <c r="N53" i="27" a="1"/>
  <c r="N53" i="27" s="1"/>
  <c r="O53" i="27" a="1"/>
  <c r="O53" i="27" s="1"/>
  <c r="P53" i="27" a="1"/>
  <c r="P53" i="27" s="1"/>
  <c r="Q53" i="27" a="1"/>
  <c r="Q53" i="27" s="1"/>
  <c r="R53" i="27" a="1"/>
  <c r="R53" i="27" s="1"/>
  <c r="U53" i="27" a="1"/>
  <c r="U53" i="27" s="1"/>
  <c r="V53" i="27" a="1"/>
  <c r="V53" i="27" s="1"/>
  <c r="W53" i="27" a="1"/>
  <c r="W53" i="27" s="1"/>
  <c r="X53" i="27" a="1"/>
  <c r="X53" i="27" s="1"/>
  <c r="K54" i="27" a="1"/>
  <c r="K54" i="27" s="1"/>
  <c r="L54" i="27" a="1"/>
  <c r="L54" i="27" s="1"/>
  <c r="M54" i="27" a="1"/>
  <c r="M54" i="27" s="1"/>
  <c r="N54" i="27" a="1"/>
  <c r="N54" i="27" s="1"/>
  <c r="O54" i="27" a="1"/>
  <c r="O54" i="27" s="1"/>
  <c r="P54" i="27" a="1"/>
  <c r="P54" i="27" s="1"/>
  <c r="Q54" i="27" a="1"/>
  <c r="Q54" i="27" s="1"/>
  <c r="R54" i="27" a="1"/>
  <c r="R54" i="27" s="1"/>
  <c r="U54" i="27" a="1"/>
  <c r="U54" i="27" s="1"/>
  <c r="V54" i="27" a="1"/>
  <c r="V54" i="27" s="1"/>
  <c r="W54" i="27" a="1"/>
  <c r="W54" i="27" s="1"/>
  <c r="X54" i="27" a="1"/>
  <c r="X54" i="27" s="1"/>
  <c r="K55" i="27" a="1"/>
  <c r="K55" i="27" s="1"/>
  <c r="L55" i="27" a="1"/>
  <c r="L55" i="27" s="1"/>
  <c r="M55" i="27" a="1"/>
  <c r="M55" i="27" s="1"/>
  <c r="N55" i="27" a="1"/>
  <c r="N55" i="27" s="1"/>
  <c r="O55" i="27" a="1"/>
  <c r="O55" i="27" s="1"/>
  <c r="P55" i="27" a="1"/>
  <c r="P55" i="27" s="1"/>
  <c r="Q55" i="27" a="1"/>
  <c r="Q55" i="27" s="1"/>
  <c r="R55" i="27" a="1"/>
  <c r="R55" i="27" s="1"/>
  <c r="U55" i="27" a="1"/>
  <c r="U55" i="27" s="1"/>
  <c r="V55" i="27" a="1"/>
  <c r="V55" i="27" s="1"/>
  <c r="W55" i="27" a="1"/>
  <c r="W55" i="27" s="1"/>
  <c r="X55" i="27" a="1"/>
  <c r="X55" i="27" s="1"/>
  <c r="K56" i="27" a="1"/>
  <c r="K56" i="27" s="1"/>
  <c r="L56" i="27" a="1"/>
  <c r="L56" i="27" s="1"/>
  <c r="M56" i="27" a="1"/>
  <c r="M56" i="27" s="1"/>
  <c r="N56" i="27" a="1"/>
  <c r="N56" i="27" s="1"/>
  <c r="O56" i="27" a="1"/>
  <c r="O56" i="27" s="1"/>
  <c r="P56" i="27" a="1"/>
  <c r="P56" i="27" s="1"/>
  <c r="Q56" i="27" a="1"/>
  <c r="Q56" i="27" s="1"/>
  <c r="R56" i="27" a="1"/>
  <c r="R56" i="27" s="1"/>
  <c r="U56" i="27" a="1"/>
  <c r="U56" i="27" s="1"/>
  <c r="V56" i="27" a="1"/>
  <c r="V56" i="27" s="1"/>
  <c r="W56" i="27" a="1"/>
  <c r="W56" i="27" s="1"/>
  <c r="X56" i="27" a="1"/>
  <c r="X56" i="27" s="1"/>
  <c r="K57" i="27" a="1"/>
  <c r="K57" i="27" s="1"/>
  <c r="L57" i="27" a="1"/>
  <c r="L57" i="27" s="1"/>
  <c r="M57" i="27" a="1"/>
  <c r="M57" i="27" s="1"/>
  <c r="N57" i="27" a="1"/>
  <c r="N57" i="27" s="1"/>
  <c r="O57" i="27" a="1"/>
  <c r="O57" i="27" s="1"/>
  <c r="P57" i="27" a="1"/>
  <c r="P57" i="27" s="1"/>
  <c r="Q57" i="27" a="1"/>
  <c r="Q57" i="27" s="1"/>
  <c r="R57" i="27" a="1"/>
  <c r="R57" i="27" s="1"/>
  <c r="U57" i="27" a="1"/>
  <c r="U57" i="27" s="1"/>
  <c r="V57" i="27" a="1"/>
  <c r="V57" i="27" s="1"/>
  <c r="W57" i="27" a="1"/>
  <c r="W57" i="27" s="1"/>
  <c r="X57" i="27" a="1"/>
  <c r="X57" i="27" s="1"/>
  <c r="K58" i="27" a="1"/>
  <c r="K58" i="27" s="1"/>
  <c r="L58" i="27" a="1"/>
  <c r="L58" i="27" s="1"/>
  <c r="M58" i="27" a="1"/>
  <c r="M58" i="27" s="1"/>
  <c r="N58" i="27" a="1"/>
  <c r="N58" i="27" s="1"/>
  <c r="O58" i="27" a="1"/>
  <c r="O58" i="27" s="1"/>
  <c r="P58" i="27" a="1"/>
  <c r="P58" i="27" s="1"/>
  <c r="Q58" i="27" a="1"/>
  <c r="Q58" i="27" s="1"/>
  <c r="R58" i="27" a="1"/>
  <c r="R58" i="27" s="1"/>
  <c r="U58" i="27" a="1"/>
  <c r="U58" i="27" s="1"/>
  <c r="V58" i="27" a="1"/>
  <c r="V58" i="27" s="1"/>
  <c r="W58" i="27" a="1"/>
  <c r="W58" i="27" s="1"/>
  <c r="X58" i="27" a="1"/>
  <c r="X58" i="27" s="1"/>
  <c r="K59" i="27" a="1"/>
  <c r="K59" i="27" s="1"/>
  <c r="L59" i="27" a="1"/>
  <c r="L59" i="27" s="1"/>
  <c r="M59" i="27" a="1"/>
  <c r="M59" i="27" s="1"/>
  <c r="N59" i="27" a="1"/>
  <c r="N59" i="27" s="1"/>
  <c r="O59" i="27" a="1"/>
  <c r="O59" i="27" s="1"/>
  <c r="P59" i="27" a="1"/>
  <c r="P59" i="27" s="1"/>
  <c r="Q59" i="27" a="1"/>
  <c r="Q59" i="27" s="1"/>
  <c r="R59" i="27" a="1"/>
  <c r="R59" i="27" s="1"/>
  <c r="U59" i="27" a="1"/>
  <c r="U59" i="27" s="1"/>
  <c r="V59" i="27" a="1"/>
  <c r="V59" i="27" s="1"/>
  <c r="W59" i="27" a="1"/>
  <c r="W59" i="27" s="1"/>
  <c r="X59" i="27" a="1"/>
  <c r="X59" i="27" s="1"/>
  <c r="K60" i="27" a="1"/>
  <c r="K60" i="27" s="1"/>
  <c r="L60" i="27" a="1"/>
  <c r="L60" i="27" s="1"/>
  <c r="M60" i="27" a="1"/>
  <c r="M60" i="27" s="1"/>
  <c r="N60" i="27" a="1"/>
  <c r="N60" i="27" s="1"/>
  <c r="O60" i="27" a="1"/>
  <c r="O60" i="27" s="1"/>
  <c r="P60" i="27" a="1"/>
  <c r="P60" i="27" s="1"/>
  <c r="Q60" i="27" a="1"/>
  <c r="Q60" i="27" s="1"/>
  <c r="R60" i="27" a="1"/>
  <c r="R60" i="27" s="1"/>
  <c r="U60" i="27" a="1"/>
  <c r="U60" i="27" s="1"/>
  <c r="V60" i="27" a="1"/>
  <c r="V60" i="27" s="1"/>
  <c r="W60" i="27" a="1"/>
  <c r="W60" i="27" s="1"/>
  <c r="X60" i="27" a="1"/>
  <c r="X60" i="27" s="1"/>
  <c r="K61" i="27" a="1"/>
  <c r="K61" i="27" s="1"/>
  <c r="L61" i="27" a="1"/>
  <c r="L61" i="27" s="1"/>
  <c r="M61" i="27" a="1"/>
  <c r="M61" i="27" s="1"/>
  <c r="N61" i="27" a="1"/>
  <c r="N61" i="27" s="1"/>
  <c r="O61" i="27" a="1"/>
  <c r="O61" i="27" s="1"/>
  <c r="P61" i="27" a="1"/>
  <c r="P61" i="27" s="1"/>
  <c r="Q61" i="27" a="1"/>
  <c r="Q61" i="27" s="1"/>
  <c r="R61" i="27" a="1"/>
  <c r="R61" i="27" s="1"/>
  <c r="U61" i="27" a="1"/>
  <c r="U61" i="27" s="1"/>
  <c r="V61" i="27" a="1"/>
  <c r="V61" i="27" s="1"/>
  <c r="W61" i="27" a="1"/>
  <c r="W61" i="27" s="1"/>
  <c r="X61" i="27" a="1"/>
  <c r="X61" i="27" s="1"/>
  <c r="K62" i="27" a="1"/>
  <c r="K62" i="27" s="1"/>
  <c r="L62" i="27" a="1"/>
  <c r="L62" i="27" s="1"/>
  <c r="M62" i="27" a="1"/>
  <c r="M62" i="27" s="1"/>
  <c r="N62" i="27" a="1"/>
  <c r="N62" i="27" s="1"/>
  <c r="O62" i="27" a="1"/>
  <c r="O62" i="27" s="1"/>
  <c r="P62" i="27" a="1"/>
  <c r="P62" i="27" s="1"/>
  <c r="Q62" i="27" a="1"/>
  <c r="Q62" i="27" s="1"/>
  <c r="R62" i="27" a="1"/>
  <c r="R62" i="27" s="1"/>
  <c r="U62" i="27" a="1"/>
  <c r="U62" i="27" s="1"/>
  <c r="V62" i="27" a="1"/>
  <c r="V62" i="27" s="1"/>
  <c r="W62" i="27" a="1"/>
  <c r="W62" i="27" s="1"/>
  <c r="X62" i="27" a="1"/>
  <c r="X62" i="27" s="1"/>
  <c r="K63" i="27" a="1"/>
  <c r="K63" i="27" s="1"/>
  <c r="L63" i="27" a="1"/>
  <c r="L63" i="27" s="1"/>
  <c r="M63" i="27" a="1"/>
  <c r="M63" i="27" s="1"/>
  <c r="N63" i="27" a="1"/>
  <c r="N63" i="27" s="1"/>
  <c r="O63" i="27" a="1"/>
  <c r="O63" i="27" s="1"/>
  <c r="P63" i="27" a="1"/>
  <c r="P63" i="27" s="1"/>
  <c r="Q63" i="27" a="1"/>
  <c r="Q63" i="27" s="1"/>
  <c r="R63" i="27" a="1"/>
  <c r="R63" i="27" s="1"/>
  <c r="U63" i="27" a="1"/>
  <c r="U63" i="27" s="1"/>
  <c r="V63" i="27" a="1"/>
  <c r="V63" i="27" s="1"/>
  <c r="W63" i="27" a="1"/>
  <c r="W63" i="27" s="1"/>
  <c r="X63" i="27" a="1"/>
  <c r="X63" i="27" s="1"/>
  <c r="K64" i="27" a="1"/>
  <c r="K64" i="27" s="1"/>
  <c r="L64" i="27" a="1"/>
  <c r="L64" i="27" s="1"/>
  <c r="M64" i="27" a="1"/>
  <c r="M64" i="27" s="1"/>
  <c r="N64" i="27" a="1"/>
  <c r="N64" i="27" s="1"/>
  <c r="O64" i="27" a="1"/>
  <c r="O64" i="27" s="1"/>
  <c r="P64" i="27" a="1"/>
  <c r="P64" i="27" s="1"/>
  <c r="Q64" i="27" a="1"/>
  <c r="Q64" i="27" s="1"/>
  <c r="R64" i="27" a="1"/>
  <c r="R64" i="27" s="1"/>
  <c r="U64" i="27" a="1"/>
  <c r="U64" i="27" s="1"/>
  <c r="V64" i="27" a="1"/>
  <c r="V64" i="27" s="1"/>
  <c r="W64" i="27" a="1"/>
  <c r="W64" i="27" s="1"/>
  <c r="X64" i="27" a="1"/>
  <c r="X64" i="27" s="1"/>
  <c r="K65" i="27" a="1"/>
  <c r="K65" i="27" s="1"/>
  <c r="L65" i="27" a="1"/>
  <c r="L65" i="27" s="1"/>
  <c r="M65" i="27" a="1"/>
  <c r="M65" i="27" s="1"/>
  <c r="N65" i="27" a="1"/>
  <c r="N65" i="27" s="1"/>
  <c r="O65" i="27" a="1"/>
  <c r="O65" i="27" s="1"/>
  <c r="P65" i="27" a="1"/>
  <c r="P65" i="27" s="1"/>
  <c r="Q65" i="27" a="1"/>
  <c r="Q65" i="27" s="1"/>
  <c r="R65" i="27" a="1"/>
  <c r="R65" i="27" s="1"/>
  <c r="U65" i="27" a="1"/>
  <c r="U65" i="27" s="1"/>
  <c r="V65" i="27" a="1"/>
  <c r="V65" i="27" s="1"/>
  <c r="W65" i="27" a="1"/>
  <c r="W65" i="27" s="1"/>
  <c r="X65" i="27" a="1"/>
  <c r="X65" i="27" s="1"/>
  <c r="K66" i="27" a="1"/>
  <c r="K66" i="27" s="1"/>
  <c r="L66" i="27" a="1"/>
  <c r="L66" i="27" s="1"/>
  <c r="M66" i="27" a="1"/>
  <c r="M66" i="27" s="1"/>
  <c r="N66" i="27" a="1"/>
  <c r="N66" i="27" s="1"/>
  <c r="O66" i="27" a="1"/>
  <c r="O66" i="27" s="1"/>
  <c r="P66" i="27" a="1"/>
  <c r="P66" i="27" s="1"/>
  <c r="Q66" i="27" a="1"/>
  <c r="Q66" i="27" s="1"/>
  <c r="R66" i="27" a="1"/>
  <c r="R66" i="27" s="1"/>
  <c r="U66" i="27" a="1"/>
  <c r="U66" i="27" s="1"/>
  <c r="V66" i="27" a="1"/>
  <c r="V66" i="27" s="1"/>
  <c r="W66" i="27" a="1"/>
  <c r="W66" i="27" s="1"/>
  <c r="X66" i="27" a="1"/>
  <c r="X66" i="27" s="1"/>
  <c r="K67" i="27" a="1"/>
  <c r="K67" i="27" s="1"/>
  <c r="L67" i="27" a="1"/>
  <c r="L67" i="27" s="1"/>
  <c r="M67" i="27" a="1"/>
  <c r="M67" i="27" s="1"/>
  <c r="N67" i="27" a="1"/>
  <c r="N67" i="27" s="1"/>
  <c r="O67" i="27" a="1"/>
  <c r="O67" i="27" s="1"/>
  <c r="P67" i="27" a="1"/>
  <c r="P67" i="27" s="1"/>
  <c r="Q67" i="27" a="1"/>
  <c r="Q67" i="27" s="1"/>
  <c r="R67" i="27" a="1"/>
  <c r="R67" i="27" s="1"/>
  <c r="U67" i="27" a="1"/>
  <c r="U67" i="27" s="1"/>
  <c r="V67" i="27" a="1"/>
  <c r="V67" i="27" s="1"/>
  <c r="W67" i="27" a="1"/>
  <c r="W67" i="27" s="1"/>
  <c r="X67" i="27" a="1"/>
  <c r="X67" i="27" s="1"/>
  <c r="K68" i="27" a="1"/>
  <c r="K68" i="27" s="1"/>
  <c r="L68" i="27" a="1"/>
  <c r="L68" i="27" s="1"/>
  <c r="M68" i="27" a="1"/>
  <c r="M68" i="27" s="1"/>
  <c r="N68" i="27" a="1"/>
  <c r="N68" i="27" s="1"/>
  <c r="O68" i="27" a="1"/>
  <c r="O68" i="27" s="1"/>
  <c r="P68" i="27" a="1"/>
  <c r="P68" i="27" s="1"/>
  <c r="Q68" i="27" a="1"/>
  <c r="Q68" i="27" s="1"/>
  <c r="R68" i="27" a="1"/>
  <c r="R68" i="27" s="1"/>
  <c r="U68" i="27" a="1"/>
  <c r="U68" i="27" s="1"/>
  <c r="V68" i="27" a="1"/>
  <c r="V68" i="27" s="1"/>
  <c r="W68" i="27" a="1"/>
  <c r="W68" i="27" s="1"/>
  <c r="X68" i="27" a="1"/>
  <c r="X68" i="27" s="1"/>
  <c r="K69" i="27" a="1"/>
  <c r="K69" i="27" s="1"/>
  <c r="L69" i="27" a="1"/>
  <c r="L69" i="27" s="1"/>
  <c r="M69" i="27" a="1"/>
  <c r="M69" i="27" s="1"/>
  <c r="N69" i="27" a="1"/>
  <c r="N69" i="27" s="1"/>
  <c r="O69" i="27" a="1"/>
  <c r="O69" i="27" s="1"/>
  <c r="P69" i="27" a="1"/>
  <c r="P69" i="27" s="1"/>
  <c r="Q69" i="27" a="1"/>
  <c r="Q69" i="27" s="1"/>
  <c r="R69" i="27" a="1"/>
  <c r="R69" i="27" s="1"/>
  <c r="U69" i="27" a="1"/>
  <c r="U69" i="27" s="1"/>
  <c r="V69" i="27" a="1"/>
  <c r="V69" i="27" s="1"/>
  <c r="W69" i="27" a="1"/>
  <c r="W69" i="27" s="1"/>
  <c r="X69" i="27" a="1"/>
  <c r="X69" i="27" s="1"/>
  <c r="K70" i="27" a="1"/>
  <c r="K70" i="27" s="1"/>
  <c r="L70" i="27" a="1"/>
  <c r="L70" i="27" s="1"/>
  <c r="M70" i="27" a="1"/>
  <c r="M70" i="27" s="1"/>
  <c r="N70" i="27" a="1"/>
  <c r="N70" i="27" s="1"/>
  <c r="O70" i="27" a="1"/>
  <c r="O70" i="27" s="1"/>
  <c r="P70" i="27" a="1"/>
  <c r="P70" i="27" s="1"/>
  <c r="Q70" i="27" a="1"/>
  <c r="Q70" i="27" s="1"/>
  <c r="R70" i="27" a="1"/>
  <c r="R70" i="27" s="1"/>
  <c r="U70" i="27" a="1"/>
  <c r="U70" i="27" s="1"/>
  <c r="V70" i="27" a="1"/>
  <c r="V70" i="27" s="1"/>
  <c r="W70" i="27" a="1"/>
  <c r="W70" i="27" s="1"/>
  <c r="X70" i="27" a="1"/>
  <c r="X70" i="27" s="1"/>
  <c r="K71" i="27" a="1"/>
  <c r="K71" i="27" s="1"/>
  <c r="L71" i="27" a="1"/>
  <c r="L71" i="27" s="1"/>
  <c r="M71" i="27" a="1"/>
  <c r="M71" i="27" s="1"/>
  <c r="N71" i="27" a="1"/>
  <c r="N71" i="27" s="1"/>
  <c r="O71" i="27" a="1"/>
  <c r="O71" i="27" s="1"/>
  <c r="P71" i="27" a="1"/>
  <c r="P71" i="27" s="1"/>
  <c r="Q71" i="27" a="1"/>
  <c r="Q71" i="27" s="1"/>
  <c r="R71" i="27" a="1"/>
  <c r="R71" i="27" s="1"/>
  <c r="U71" i="27" a="1"/>
  <c r="U71" i="27" s="1"/>
  <c r="V71" i="27" a="1"/>
  <c r="V71" i="27" s="1"/>
  <c r="W71" i="27" a="1"/>
  <c r="W71" i="27" s="1"/>
  <c r="X71" i="27" a="1"/>
  <c r="X71" i="27" s="1"/>
  <c r="K72" i="27" a="1"/>
  <c r="K72" i="27" s="1"/>
  <c r="L72" i="27" a="1"/>
  <c r="L72" i="27" s="1"/>
  <c r="M72" i="27" a="1"/>
  <c r="M72" i="27" s="1"/>
  <c r="N72" i="27" a="1"/>
  <c r="N72" i="27" s="1"/>
  <c r="O72" i="27" a="1"/>
  <c r="O72" i="27" s="1"/>
  <c r="P72" i="27" a="1"/>
  <c r="P72" i="27" s="1"/>
  <c r="Q72" i="27" a="1"/>
  <c r="Q72" i="27" s="1"/>
  <c r="R72" i="27" a="1"/>
  <c r="R72" i="27" s="1"/>
  <c r="U72" i="27" a="1"/>
  <c r="U72" i="27" s="1"/>
  <c r="V72" i="27" a="1"/>
  <c r="V72" i="27" s="1"/>
  <c r="W72" i="27" a="1"/>
  <c r="W72" i="27" s="1"/>
  <c r="X72" i="27" a="1"/>
  <c r="X72" i="27" s="1"/>
  <c r="K73" i="27" a="1"/>
  <c r="K73" i="27" s="1"/>
  <c r="L73" i="27" a="1"/>
  <c r="L73" i="27" s="1"/>
  <c r="M73" i="27" a="1"/>
  <c r="M73" i="27" s="1"/>
  <c r="N73" i="27" a="1"/>
  <c r="N73" i="27" s="1"/>
  <c r="O73" i="27" a="1"/>
  <c r="O73" i="27" s="1"/>
  <c r="P73" i="27" a="1"/>
  <c r="P73" i="27" s="1"/>
  <c r="Q73" i="27" a="1"/>
  <c r="Q73" i="27" s="1"/>
  <c r="R73" i="27" a="1"/>
  <c r="R73" i="27" s="1"/>
  <c r="U73" i="27" a="1"/>
  <c r="U73" i="27" s="1"/>
  <c r="V73" i="27" a="1"/>
  <c r="V73" i="27" s="1"/>
  <c r="W73" i="27" a="1"/>
  <c r="W73" i="27" s="1"/>
  <c r="X73" i="27" a="1"/>
  <c r="X73" i="27" s="1"/>
  <c r="K74" i="27" a="1"/>
  <c r="K74" i="27" s="1"/>
  <c r="L74" i="27" a="1"/>
  <c r="L74" i="27" s="1"/>
  <c r="M74" i="27" a="1"/>
  <c r="M74" i="27" s="1"/>
  <c r="N74" i="27" a="1"/>
  <c r="N74" i="27" s="1"/>
  <c r="O74" i="27" a="1"/>
  <c r="O74" i="27" s="1"/>
  <c r="P74" i="27" a="1"/>
  <c r="P74" i="27" s="1"/>
  <c r="Q74" i="27" a="1"/>
  <c r="Q74" i="27" s="1"/>
  <c r="R74" i="27" a="1"/>
  <c r="R74" i="27" s="1"/>
  <c r="U74" i="27" a="1"/>
  <c r="U74" i="27" s="1"/>
  <c r="V74" i="27" a="1"/>
  <c r="V74" i="27" s="1"/>
  <c r="W74" i="27" a="1"/>
  <c r="W74" i="27" s="1"/>
  <c r="X74" i="27" a="1"/>
  <c r="X74" i="27" s="1"/>
  <c r="K75" i="27" a="1"/>
  <c r="K75" i="27" s="1"/>
  <c r="L75" i="27" a="1"/>
  <c r="L75" i="27" s="1"/>
  <c r="M75" i="27" a="1"/>
  <c r="M75" i="27" s="1"/>
  <c r="N75" i="27" a="1"/>
  <c r="N75" i="27" s="1"/>
  <c r="O75" i="27" a="1"/>
  <c r="O75" i="27" s="1"/>
  <c r="P75" i="27" a="1"/>
  <c r="P75" i="27" s="1"/>
  <c r="Q75" i="27" a="1"/>
  <c r="Q75" i="27" s="1"/>
  <c r="R75" i="27" a="1"/>
  <c r="R75" i="27" s="1"/>
  <c r="U75" i="27" a="1"/>
  <c r="U75" i="27" s="1"/>
  <c r="V75" i="27" a="1"/>
  <c r="V75" i="27" s="1"/>
  <c r="W75" i="27" a="1"/>
  <c r="W75" i="27" s="1"/>
  <c r="X75" i="27" a="1"/>
  <c r="X75" i="27" s="1"/>
  <c r="K76" i="27" a="1"/>
  <c r="K76" i="27" s="1"/>
  <c r="L76" i="27" a="1"/>
  <c r="L76" i="27" s="1"/>
  <c r="M76" i="27" a="1"/>
  <c r="M76" i="27" s="1"/>
  <c r="N76" i="27" a="1"/>
  <c r="N76" i="27" s="1"/>
  <c r="O76" i="27" a="1"/>
  <c r="O76" i="27" s="1"/>
  <c r="P76" i="27" a="1"/>
  <c r="P76" i="27" s="1"/>
  <c r="Q76" i="27" a="1"/>
  <c r="Q76" i="27" s="1"/>
  <c r="R76" i="27" a="1"/>
  <c r="R76" i="27" s="1"/>
  <c r="U76" i="27" a="1"/>
  <c r="U76" i="27" s="1"/>
  <c r="V76" i="27" a="1"/>
  <c r="V76" i="27" s="1"/>
  <c r="W76" i="27" a="1"/>
  <c r="W76" i="27" s="1"/>
  <c r="X76" i="27" a="1"/>
  <c r="X76" i="27" s="1"/>
  <c r="K77" i="27" a="1"/>
  <c r="K77" i="27" s="1"/>
  <c r="L77" i="27" a="1"/>
  <c r="L77" i="27" s="1"/>
  <c r="M77" i="27" a="1"/>
  <c r="M77" i="27" s="1"/>
  <c r="N77" i="27" a="1"/>
  <c r="N77" i="27" s="1"/>
  <c r="O77" i="27" a="1"/>
  <c r="O77" i="27" s="1"/>
  <c r="P77" i="27" a="1"/>
  <c r="P77" i="27" s="1"/>
  <c r="Q77" i="27" a="1"/>
  <c r="Q77" i="27" s="1"/>
  <c r="R77" i="27" a="1"/>
  <c r="R77" i="27" s="1"/>
  <c r="U77" i="27" a="1"/>
  <c r="U77" i="27" s="1"/>
  <c r="V77" i="27" a="1"/>
  <c r="V77" i="27" s="1"/>
  <c r="W77" i="27" a="1"/>
  <c r="W77" i="27" s="1"/>
  <c r="X77" i="27" a="1"/>
  <c r="X77" i="27" s="1"/>
  <c r="K78" i="27" a="1"/>
  <c r="K78" i="27" s="1"/>
  <c r="L78" i="27" a="1"/>
  <c r="L78" i="27" s="1"/>
  <c r="M78" i="27" a="1"/>
  <c r="M78" i="27" s="1"/>
  <c r="N78" i="27" a="1"/>
  <c r="N78" i="27" s="1"/>
  <c r="O78" i="27" a="1"/>
  <c r="O78" i="27" s="1"/>
  <c r="P78" i="27" a="1"/>
  <c r="P78" i="27" s="1"/>
  <c r="Q78" i="27" a="1"/>
  <c r="Q78" i="27" s="1"/>
  <c r="R78" i="27" a="1"/>
  <c r="R78" i="27" s="1"/>
  <c r="U78" i="27" a="1"/>
  <c r="U78" i="27" s="1"/>
  <c r="V78" i="27" a="1"/>
  <c r="V78" i="27" s="1"/>
  <c r="W78" i="27" a="1"/>
  <c r="W78" i="27" s="1"/>
  <c r="X78" i="27" a="1"/>
  <c r="X78" i="27" s="1"/>
  <c r="K79" i="27" a="1"/>
  <c r="K79" i="27" s="1"/>
  <c r="L79" i="27" a="1"/>
  <c r="L79" i="27" s="1"/>
  <c r="M79" i="27" a="1"/>
  <c r="M79" i="27" s="1"/>
  <c r="N79" i="27" a="1"/>
  <c r="N79" i="27" s="1"/>
  <c r="O79" i="27" a="1"/>
  <c r="O79" i="27" s="1"/>
  <c r="P79" i="27" a="1"/>
  <c r="P79" i="27" s="1"/>
  <c r="Q79" i="27" a="1"/>
  <c r="Q79" i="27" s="1"/>
  <c r="R79" i="27" a="1"/>
  <c r="R79" i="27" s="1"/>
  <c r="U79" i="27" a="1"/>
  <c r="U79" i="27" s="1"/>
  <c r="V79" i="27" a="1"/>
  <c r="V79" i="27" s="1"/>
  <c r="W79" i="27" a="1"/>
  <c r="W79" i="27" s="1"/>
  <c r="X79" i="27" a="1"/>
  <c r="X79" i="27" s="1"/>
  <c r="K80" i="27" a="1"/>
  <c r="K80" i="27" s="1"/>
  <c r="L80" i="27" a="1"/>
  <c r="L80" i="27" s="1"/>
  <c r="M80" i="27" a="1"/>
  <c r="M80" i="27" s="1"/>
  <c r="N80" i="27" a="1"/>
  <c r="N80" i="27" s="1"/>
  <c r="O80" i="27" a="1"/>
  <c r="O80" i="27" s="1"/>
  <c r="P80" i="27" a="1"/>
  <c r="P80" i="27" s="1"/>
  <c r="Q80" i="27" a="1"/>
  <c r="Q80" i="27" s="1"/>
  <c r="R80" i="27" a="1"/>
  <c r="R80" i="27" s="1"/>
  <c r="U80" i="27" a="1"/>
  <c r="U80" i="27" s="1"/>
  <c r="V80" i="27" a="1"/>
  <c r="V80" i="27" s="1"/>
  <c r="W80" i="27" a="1"/>
  <c r="W80" i="27" s="1"/>
  <c r="X80" i="27" a="1"/>
  <c r="X80" i="27" s="1"/>
  <c r="K81" i="27" a="1"/>
  <c r="K81" i="27" s="1"/>
  <c r="L81" i="27" a="1"/>
  <c r="L81" i="27" s="1"/>
  <c r="M81" i="27" a="1"/>
  <c r="M81" i="27" s="1"/>
  <c r="N81" i="27" a="1"/>
  <c r="N81" i="27" s="1"/>
  <c r="O81" i="27" a="1"/>
  <c r="O81" i="27" s="1"/>
  <c r="P81" i="27" a="1"/>
  <c r="P81" i="27" s="1"/>
  <c r="Q81" i="27" a="1"/>
  <c r="Q81" i="27" s="1"/>
  <c r="R81" i="27" a="1"/>
  <c r="R81" i="27" s="1"/>
  <c r="U81" i="27" a="1"/>
  <c r="U81" i="27" s="1"/>
  <c r="V81" i="27" a="1"/>
  <c r="V81" i="27" s="1"/>
  <c r="W81" i="27" a="1"/>
  <c r="W81" i="27" s="1"/>
  <c r="X81" i="27" a="1"/>
  <c r="X81" i="27" s="1"/>
  <c r="K82" i="27" a="1"/>
  <c r="K82" i="27" s="1"/>
  <c r="L82" i="27" a="1"/>
  <c r="L82" i="27" s="1"/>
  <c r="M82" i="27" a="1"/>
  <c r="M82" i="27" s="1"/>
  <c r="N82" i="27" a="1"/>
  <c r="N82" i="27" s="1"/>
  <c r="O82" i="27" a="1"/>
  <c r="O82" i="27" s="1"/>
  <c r="P82" i="27" a="1"/>
  <c r="P82" i="27" s="1"/>
  <c r="Q82" i="27" a="1"/>
  <c r="Q82" i="27" s="1"/>
  <c r="R82" i="27" a="1"/>
  <c r="R82" i="27" s="1"/>
  <c r="U82" i="27" a="1"/>
  <c r="U82" i="27" s="1"/>
  <c r="V82" i="27" a="1"/>
  <c r="V82" i="27" s="1"/>
  <c r="W82" i="27" a="1"/>
  <c r="W82" i="27" s="1"/>
  <c r="X82" i="27" a="1"/>
  <c r="X82" i="27" s="1"/>
  <c r="K83" i="27" a="1"/>
  <c r="K83" i="27" s="1"/>
  <c r="L83" i="27" a="1"/>
  <c r="L83" i="27" s="1"/>
  <c r="M83" i="27" a="1"/>
  <c r="M83" i="27" s="1"/>
  <c r="N83" i="27" a="1"/>
  <c r="N83" i="27" s="1"/>
  <c r="O83" i="27" a="1"/>
  <c r="O83" i="27" s="1"/>
  <c r="P83" i="27" a="1"/>
  <c r="P83" i="27" s="1"/>
  <c r="Q83" i="27" a="1"/>
  <c r="Q83" i="27" s="1"/>
  <c r="R83" i="27" a="1"/>
  <c r="R83" i="27" s="1"/>
  <c r="U83" i="27" a="1"/>
  <c r="U83" i="27" s="1"/>
  <c r="V83" i="27" a="1"/>
  <c r="V83" i="27" s="1"/>
  <c r="W83" i="27" a="1"/>
  <c r="W83" i="27" s="1"/>
  <c r="X83" i="27" a="1"/>
  <c r="X83" i="27" s="1"/>
  <c r="K84" i="27" a="1"/>
  <c r="K84" i="27" s="1"/>
  <c r="L84" i="27" a="1"/>
  <c r="L84" i="27" s="1"/>
  <c r="M84" i="27" a="1"/>
  <c r="M84" i="27" s="1"/>
  <c r="N84" i="27" a="1"/>
  <c r="N84" i="27" s="1"/>
  <c r="O84" i="27" a="1"/>
  <c r="O84" i="27" s="1"/>
  <c r="P84" i="27" a="1"/>
  <c r="P84" i="27" s="1"/>
  <c r="Q84" i="27" a="1"/>
  <c r="Q84" i="27" s="1"/>
  <c r="R84" i="27" a="1"/>
  <c r="R84" i="27" s="1"/>
  <c r="U84" i="27" a="1"/>
  <c r="U84" i="27" s="1"/>
  <c r="V84" i="27" a="1"/>
  <c r="V84" i="27" s="1"/>
  <c r="W84" i="27" a="1"/>
  <c r="W84" i="27" s="1"/>
  <c r="X84" i="27" a="1"/>
  <c r="X84" i="27" s="1"/>
  <c r="K85" i="27" a="1"/>
  <c r="K85" i="27" s="1"/>
  <c r="L85" i="27" a="1"/>
  <c r="L85" i="27" s="1"/>
  <c r="M85" i="27" a="1"/>
  <c r="M85" i="27" s="1"/>
  <c r="N85" i="27" a="1"/>
  <c r="N85" i="27" s="1"/>
  <c r="O85" i="27" a="1"/>
  <c r="O85" i="27" s="1"/>
  <c r="P85" i="27" a="1"/>
  <c r="P85" i="27" s="1"/>
  <c r="Q85" i="27" a="1"/>
  <c r="Q85" i="27" s="1"/>
  <c r="R85" i="27" a="1"/>
  <c r="R85" i="27" s="1"/>
  <c r="U85" i="27" a="1"/>
  <c r="U85" i="27" s="1"/>
  <c r="V85" i="27" a="1"/>
  <c r="V85" i="27" s="1"/>
  <c r="W85" i="27" a="1"/>
  <c r="W85" i="27" s="1"/>
  <c r="X85" i="27" a="1"/>
  <c r="X85" i="27" s="1"/>
  <c r="K86" i="27" a="1"/>
  <c r="K86" i="27" s="1"/>
  <c r="L86" i="27" a="1"/>
  <c r="L86" i="27" s="1"/>
  <c r="M86" i="27" a="1"/>
  <c r="M86" i="27" s="1"/>
  <c r="N86" i="27" a="1"/>
  <c r="N86" i="27" s="1"/>
  <c r="O86" i="27" a="1"/>
  <c r="O86" i="27" s="1"/>
  <c r="P86" i="27" a="1"/>
  <c r="P86" i="27" s="1"/>
  <c r="Q86" i="27" a="1"/>
  <c r="Q86" i="27" s="1"/>
  <c r="R86" i="27" a="1"/>
  <c r="R86" i="27" s="1"/>
  <c r="U86" i="27" a="1"/>
  <c r="U86" i="27" s="1"/>
  <c r="V86" i="27" a="1"/>
  <c r="V86" i="27" s="1"/>
  <c r="W86" i="27" a="1"/>
  <c r="W86" i="27" s="1"/>
  <c r="X86" i="27" a="1"/>
  <c r="X86" i="27" s="1"/>
  <c r="K87" i="27" a="1"/>
  <c r="K87" i="27" s="1"/>
  <c r="L87" i="27" a="1"/>
  <c r="L87" i="27" s="1"/>
  <c r="M87" i="27" a="1"/>
  <c r="M87" i="27" s="1"/>
  <c r="N87" i="27" a="1"/>
  <c r="N87" i="27" s="1"/>
  <c r="O87" i="27" a="1"/>
  <c r="O87" i="27" s="1"/>
  <c r="P87" i="27" a="1"/>
  <c r="P87" i="27" s="1"/>
  <c r="Q87" i="27" a="1"/>
  <c r="Q87" i="27" s="1"/>
  <c r="R87" i="27" a="1"/>
  <c r="R87" i="27" s="1"/>
  <c r="U87" i="27" a="1"/>
  <c r="U87" i="27" s="1"/>
  <c r="V87" i="27" a="1"/>
  <c r="V87" i="27" s="1"/>
  <c r="W87" i="27" a="1"/>
  <c r="W87" i="27" s="1"/>
  <c r="X87" i="27" a="1"/>
  <c r="X87" i="27" s="1"/>
  <c r="K88" i="27" a="1"/>
  <c r="K88" i="27" s="1"/>
  <c r="L88" i="27" a="1"/>
  <c r="L88" i="27" s="1"/>
  <c r="M88" i="27" a="1"/>
  <c r="M88" i="27" s="1"/>
  <c r="N88" i="27" a="1"/>
  <c r="N88" i="27" s="1"/>
  <c r="O88" i="27" a="1"/>
  <c r="O88" i="27" s="1"/>
  <c r="P88" i="27" a="1"/>
  <c r="P88" i="27" s="1"/>
  <c r="Q88" i="27" a="1"/>
  <c r="Q88" i="27" s="1"/>
  <c r="R88" i="27" a="1"/>
  <c r="R88" i="27" s="1"/>
  <c r="U88" i="27" a="1"/>
  <c r="U88" i="27" s="1"/>
  <c r="V88" i="27" a="1"/>
  <c r="V88" i="27" s="1"/>
  <c r="W88" i="27" a="1"/>
  <c r="W88" i="27" s="1"/>
  <c r="X88" i="27" a="1"/>
  <c r="X88" i="27" s="1"/>
  <c r="K89" i="27" a="1"/>
  <c r="K89" i="27" s="1"/>
  <c r="L89" i="27" a="1"/>
  <c r="L89" i="27" s="1"/>
  <c r="M89" i="27" a="1"/>
  <c r="M89" i="27" s="1"/>
  <c r="N89" i="27" a="1"/>
  <c r="N89" i="27" s="1"/>
  <c r="O89" i="27" a="1"/>
  <c r="O89" i="27" s="1"/>
  <c r="P89" i="27" a="1"/>
  <c r="P89" i="27" s="1"/>
  <c r="Q89" i="27" a="1"/>
  <c r="Q89" i="27" s="1"/>
  <c r="R89" i="27" a="1"/>
  <c r="R89" i="27" s="1"/>
  <c r="U89" i="27" a="1"/>
  <c r="U89" i="27" s="1"/>
  <c r="V89" i="27" a="1"/>
  <c r="V89" i="27" s="1"/>
  <c r="W89" i="27" a="1"/>
  <c r="W89" i="27" s="1"/>
  <c r="X89" i="27" a="1"/>
  <c r="X89" i="27" s="1"/>
  <c r="K90" i="27" a="1"/>
  <c r="K90" i="27" s="1"/>
  <c r="L90" i="27" a="1"/>
  <c r="L90" i="27" s="1"/>
  <c r="M90" i="27" a="1"/>
  <c r="M90" i="27" s="1"/>
  <c r="N90" i="27" a="1"/>
  <c r="N90" i="27" s="1"/>
  <c r="O90" i="27" a="1"/>
  <c r="O90" i="27" s="1"/>
  <c r="P90" i="27" a="1"/>
  <c r="P90" i="27" s="1"/>
  <c r="Q90" i="27" a="1"/>
  <c r="Q90" i="27" s="1"/>
  <c r="R90" i="27" a="1"/>
  <c r="R90" i="27" s="1"/>
  <c r="U90" i="27" a="1"/>
  <c r="U90" i="27" s="1"/>
  <c r="V90" i="27" a="1"/>
  <c r="V90" i="27" s="1"/>
  <c r="W90" i="27" a="1"/>
  <c r="W90" i="27" s="1"/>
  <c r="X90" i="27" a="1"/>
  <c r="X90" i="27" s="1"/>
  <c r="K91" i="27" a="1"/>
  <c r="K91" i="27" s="1"/>
  <c r="L91" i="27" a="1"/>
  <c r="L91" i="27" s="1"/>
  <c r="M91" i="27" a="1"/>
  <c r="M91" i="27" s="1"/>
  <c r="N91" i="27" a="1"/>
  <c r="N91" i="27" s="1"/>
  <c r="O91" i="27" a="1"/>
  <c r="O91" i="27" s="1"/>
  <c r="P91" i="27" a="1"/>
  <c r="P91" i="27" s="1"/>
  <c r="Q91" i="27" a="1"/>
  <c r="Q91" i="27" s="1"/>
  <c r="R91" i="27" a="1"/>
  <c r="R91" i="27" s="1"/>
  <c r="U91" i="27" a="1"/>
  <c r="U91" i="27" s="1"/>
  <c r="V91" i="27" a="1"/>
  <c r="V91" i="27" s="1"/>
  <c r="W91" i="27" a="1"/>
  <c r="W91" i="27" s="1"/>
  <c r="X91" i="27" a="1"/>
  <c r="X91" i="27" s="1"/>
  <c r="K92" i="27" a="1"/>
  <c r="K92" i="27" s="1"/>
  <c r="L92" i="27" a="1"/>
  <c r="L92" i="27" s="1"/>
  <c r="M92" i="27" a="1"/>
  <c r="M92" i="27" s="1"/>
  <c r="N92" i="27" a="1"/>
  <c r="N92" i="27" s="1"/>
  <c r="O92" i="27" a="1"/>
  <c r="O92" i="27" s="1"/>
  <c r="P92" i="27" a="1"/>
  <c r="P92" i="27" s="1"/>
  <c r="Q92" i="27" a="1"/>
  <c r="Q92" i="27" s="1"/>
  <c r="R92" i="27" a="1"/>
  <c r="R92" i="27" s="1"/>
  <c r="U92" i="27" a="1"/>
  <c r="U92" i="27" s="1"/>
  <c r="V92" i="27" a="1"/>
  <c r="V92" i="27" s="1"/>
  <c r="W92" i="27" a="1"/>
  <c r="W92" i="27" s="1"/>
  <c r="X92" i="27" a="1"/>
  <c r="X92" i="27" s="1"/>
  <c r="K93" i="27" a="1"/>
  <c r="K93" i="27" s="1"/>
  <c r="L93" i="27" a="1"/>
  <c r="L93" i="27" s="1"/>
  <c r="M93" i="27" a="1"/>
  <c r="M93" i="27" s="1"/>
  <c r="N93" i="27" a="1"/>
  <c r="N93" i="27" s="1"/>
  <c r="O93" i="27" a="1"/>
  <c r="O93" i="27" s="1"/>
  <c r="P93" i="27" a="1"/>
  <c r="P93" i="27" s="1"/>
  <c r="Q93" i="27" a="1"/>
  <c r="Q93" i="27" s="1"/>
  <c r="R93" i="27" a="1"/>
  <c r="R93" i="27" s="1"/>
  <c r="U93" i="27" a="1"/>
  <c r="U93" i="27" s="1"/>
  <c r="V93" i="27" a="1"/>
  <c r="V93" i="27" s="1"/>
  <c r="W93" i="27" a="1"/>
  <c r="W93" i="27" s="1"/>
  <c r="X93" i="27" a="1"/>
  <c r="X93" i="27" s="1"/>
  <c r="K94" i="27" a="1"/>
  <c r="K94" i="27" s="1"/>
  <c r="L94" i="27" a="1"/>
  <c r="L94" i="27" s="1"/>
  <c r="M94" i="27" a="1"/>
  <c r="M94" i="27" s="1"/>
  <c r="N94" i="27" a="1"/>
  <c r="N94" i="27" s="1"/>
  <c r="O94" i="27" a="1"/>
  <c r="O94" i="27" s="1"/>
  <c r="P94" i="27" a="1"/>
  <c r="P94" i="27" s="1"/>
  <c r="Q94" i="27" a="1"/>
  <c r="Q94" i="27" s="1"/>
  <c r="R94" i="27" a="1"/>
  <c r="R94" i="27" s="1"/>
  <c r="U94" i="27" a="1"/>
  <c r="U94" i="27" s="1"/>
  <c r="V94" i="27" a="1"/>
  <c r="V94" i="27" s="1"/>
  <c r="W94" i="27" a="1"/>
  <c r="W94" i="27" s="1"/>
  <c r="X94" i="27" a="1"/>
  <c r="X94" i="27" s="1"/>
  <c r="K95" i="27" a="1"/>
  <c r="K95" i="27" s="1"/>
  <c r="L95" i="27" a="1"/>
  <c r="L95" i="27" s="1"/>
  <c r="M95" i="27" a="1"/>
  <c r="M95" i="27" s="1"/>
  <c r="N95" i="27" a="1"/>
  <c r="N95" i="27" s="1"/>
  <c r="O95" i="27" a="1"/>
  <c r="O95" i="27" s="1"/>
  <c r="P95" i="27" a="1"/>
  <c r="P95" i="27" s="1"/>
  <c r="Q95" i="27" a="1"/>
  <c r="Q95" i="27" s="1"/>
  <c r="R95" i="27" a="1"/>
  <c r="R95" i="27" s="1"/>
  <c r="U95" i="27" a="1"/>
  <c r="U95" i="27" s="1"/>
  <c r="V95" i="27" a="1"/>
  <c r="V95" i="27" s="1"/>
  <c r="W95" i="27" a="1"/>
  <c r="W95" i="27" s="1"/>
  <c r="X95" i="27" a="1"/>
  <c r="X95" i="27" s="1"/>
  <c r="K96" i="27" a="1"/>
  <c r="K96" i="27" s="1"/>
  <c r="L96" i="27" a="1"/>
  <c r="L96" i="27" s="1"/>
  <c r="M96" i="27" a="1"/>
  <c r="M96" i="27" s="1"/>
  <c r="N96" i="27" a="1"/>
  <c r="N96" i="27" s="1"/>
  <c r="O96" i="27" a="1"/>
  <c r="O96" i="27" s="1"/>
  <c r="P96" i="27" a="1"/>
  <c r="P96" i="27" s="1"/>
  <c r="Q96" i="27" a="1"/>
  <c r="Q96" i="27" s="1"/>
  <c r="R96" i="27" a="1"/>
  <c r="R96" i="27" s="1"/>
  <c r="U96" i="27" a="1"/>
  <c r="U96" i="27" s="1"/>
  <c r="V96" i="27" a="1"/>
  <c r="V96" i="27" s="1"/>
  <c r="W96" i="27" a="1"/>
  <c r="W96" i="27" s="1"/>
  <c r="X96" i="27" a="1"/>
  <c r="X96" i="27" s="1"/>
  <c r="K97" i="27" a="1"/>
  <c r="K97" i="27" s="1"/>
  <c r="L97" i="27" a="1"/>
  <c r="L97" i="27" s="1"/>
  <c r="M97" i="27" a="1"/>
  <c r="M97" i="27" s="1"/>
  <c r="N97" i="27" a="1"/>
  <c r="N97" i="27" s="1"/>
  <c r="O97" i="27" a="1"/>
  <c r="O97" i="27" s="1"/>
  <c r="P97" i="27" a="1"/>
  <c r="P97" i="27" s="1"/>
  <c r="Q97" i="27" a="1"/>
  <c r="Q97" i="27" s="1"/>
  <c r="R97" i="27" a="1"/>
  <c r="R97" i="27" s="1"/>
  <c r="U97" i="27" a="1"/>
  <c r="U97" i="27" s="1"/>
  <c r="V97" i="27" a="1"/>
  <c r="V97" i="27" s="1"/>
  <c r="W97" i="27" a="1"/>
  <c r="W97" i="27" s="1"/>
  <c r="X97" i="27" a="1"/>
  <c r="X97" i="27" s="1"/>
  <c r="K98" i="27" a="1"/>
  <c r="K98" i="27" s="1"/>
  <c r="L98" i="27" a="1"/>
  <c r="L98" i="27" s="1"/>
  <c r="M98" i="27" a="1"/>
  <c r="M98" i="27" s="1"/>
  <c r="N98" i="27" a="1"/>
  <c r="N98" i="27" s="1"/>
  <c r="O98" i="27" a="1"/>
  <c r="O98" i="27" s="1"/>
  <c r="P98" i="27" a="1"/>
  <c r="P98" i="27" s="1"/>
  <c r="Q98" i="27" a="1"/>
  <c r="Q98" i="27" s="1"/>
  <c r="R98" i="27" a="1"/>
  <c r="R98" i="27" s="1"/>
  <c r="U98" i="27" a="1"/>
  <c r="U98" i="27" s="1"/>
  <c r="V98" i="27" a="1"/>
  <c r="V98" i="27" s="1"/>
  <c r="W98" i="27" a="1"/>
  <c r="W98" i="27" s="1"/>
  <c r="X98" i="27" a="1"/>
  <c r="X98" i="27" s="1"/>
  <c r="K99" i="27" a="1"/>
  <c r="K99" i="27" s="1"/>
  <c r="L99" i="27" a="1"/>
  <c r="L99" i="27" s="1"/>
  <c r="M99" i="27" a="1"/>
  <c r="M99" i="27" s="1"/>
  <c r="N99" i="27" a="1"/>
  <c r="N99" i="27" s="1"/>
  <c r="O99" i="27" a="1"/>
  <c r="O99" i="27" s="1"/>
  <c r="P99" i="27" a="1"/>
  <c r="P99" i="27" s="1"/>
  <c r="Q99" i="27" a="1"/>
  <c r="Q99" i="27" s="1"/>
  <c r="R99" i="27" a="1"/>
  <c r="R99" i="27" s="1"/>
  <c r="U99" i="27" a="1"/>
  <c r="U99" i="27" s="1"/>
  <c r="V99" i="27" a="1"/>
  <c r="V99" i="27" s="1"/>
  <c r="W99" i="27" a="1"/>
  <c r="W99" i="27" s="1"/>
  <c r="X99" i="27" a="1"/>
  <c r="X99" i="27" s="1"/>
  <c r="K100" i="27" a="1"/>
  <c r="K100" i="27" s="1"/>
  <c r="L100" i="27" a="1"/>
  <c r="L100" i="27" s="1"/>
  <c r="M100" i="27" a="1"/>
  <c r="M100" i="27" s="1"/>
  <c r="N100" i="27" a="1"/>
  <c r="N100" i="27" s="1"/>
  <c r="O100" i="27" a="1"/>
  <c r="O100" i="27" s="1"/>
  <c r="P100" i="27" a="1"/>
  <c r="P100" i="27" s="1"/>
  <c r="Q100" i="27" a="1"/>
  <c r="Q100" i="27" s="1"/>
  <c r="R100" i="27" a="1"/>
  <c r="R100" i="27" s="1"/>
  <c r="U100" i="27" a="1"/>
  <c r="U100" i="27" s="1"/>
  <c r="V100" i="27" a="1"/>
  <c r="V100" i="27" s="1"/>
  <c r="W100" i="27" a="1"/>
  <c r="W100" i="27" s="1"/>
  <c r="X100" i="27" a="1"/>
  <c r="X100" i="27" s="1"/>
  <c r="K101" i="27" a="1"/>
  <c r="K101" i="27" s="1"/>
  <c r="L101" i="27" a="1"/>
  <c r="L101" i="27" s="1"/>
  <c r="M101" i="27" a="1"/>
  <c r="M101" i="27" s="1"/>
  <c r="N101" i="27" a="1"/>
  <c r="N101" i="27" s="1"/>
  <c r="O101" i="27" a="1"/>
  <c r="O101" i="27" s="1"/>
  <c r="P101" i="27" a="1"/>
  <c r="P101" i="27" s="1"/>
  <c r="Q101" i="27" a="1"/>
  <c r="Q101" i="27" s="1"/>
  <c r="R101" i="27" a="1"/>
  <c r="R101" i="27" s="1"/>
  <c r="U101" i="27" a="1"/>
  <c r="U101" i="27" s="1"/>
  <c r="V101" i="27" a="1"/>
  <c r="V101" i="27" s="1"/>
  <c r="W101" i="27" a="1"/>
  <c r="W101" i="27" s="1"/>
  <c r="X101" i="27" a="1"/>
  <c r="X101" i="27" s="1"/>
  <c r="K102" i="27" a="1"/>
  <c r="K102" i="27" s="1"/>
  <c r="L102" i="27" a="1"/>
  <c r="L102" i="27" s="1"/>
  <c r="M102" i="27" a="1"/>
  <c r="M102" i="27" s="1"/>
  <c r="N102" i="27" a="1"/>
  <c r="N102" i="27" s="1"/>
  <c r="O102" i="27" a="1"/>
  <c r="O102" i="27" s="1"/>
  <c r="P102" i="27" a="1"/>
  <c r="P102" i="27" s="1"/>
  <c r="Q102" i="27" a="1"/>
  <c r="Q102" i="27" s="1"/>
  <c r="R102" i="27" a="1"/>
  <c r="R102" i="27" s="1"/>
  <c r="U102" i="27" a="1"/>
  <c r="U102" i="27" s="1"/>
  <c r="V102" i="27" a="1"/>
  <c r="V102" i="27" s="1"/>
  <c r="W102" i="27" a="1"/>
  <c r="W102" i="27" s="1"/>
  <c r="X102" i="27" a="1"/>
  <c r="X102" i="27" s="1"/>
  <c r="K103" i="27" a="1"/>
  <c r="K103" i="27" s="1"/>
  <c r="L103" i="27" a="1"/>
  <c r="L103" i="27" s="1"/>
  <c r="M103" i="27" a="1"/>
  <c r="M103" i="27" s="1"/>
  <c r="N103" i="27" a="1"/>
  <c r="N103" i="27" s="1"/>
  <c r="O103" i="27" a="1"/>
  <c r="O103" i="27" s="1"/>
  <c r="P103" i="27" a="1"/>
  <c r="P103" i="27" s="1"/>
  <c r="Q103" i="27" a="1"/>
  <c r="Q103" i="27" s="1"/>
  <c r="R103" i="27" a="1"/>
  <c r="R103" i="27" s="1"/>
  <c r="U103" i="27" a="1"/>
  <c r="U103" i="27" s="1"/>
  <c r="V103" i="27" a="1"/>
  <c r="V103" i="27" s="1"/>
  <c r="W103" i="27" a="1"/>
  <c r="W103" i="27" s="1"/>
  <c r="X103" i="27" a="1"/>
  <c r="X103" i="27" s="1"/>
  <c r="K104" i="27" a="1"/>
  <c r="K104" i="27" s="1"/>
  <c r="L104" i="27" a="1"/>
  <c r="L104" i="27" s="1"/>
  <c r="M104" i="27" a="1"/>
  <c r="M104" i="27" s="1"/>
  <c r="N104" i="27" a="1"/>
  <c r="N104" i="27" s="1"/>
  <c r="O104" i="27" a="1"/>
  <c r="O104" i="27" s="1"/>
  <c r="P104" i="27" a="1"/>
  <c r="P104" i="27" s="1"/>
  <c r="Q104" i="27" a="1"/>
  <c r="Q104" i="27" s="1"/>
  <c r="R104" i="27" a="1"/>
  <c r="R104" i="27" s="1"/>
  <c r="U104" i="27" a="1"/>
  <c r="U104" i="27" s="1"/>
  <c r="V104" i="27" a="1"/>
  <c r="V104" i="27" s="1"/>
  <c r="W104" i="27" a="1"/>
  <c r="W104" i="27" s="1"/>
  <c r="X104" i="27" a="1"/>
  <c r="X104" i="27" s="1"/>
  <c r="K105" i="27" a="1"/>
  <c r="K105" i="27" s="1"/>
  <c r="L105" i="27" a="1"/>
  <c r="L105" i="27" s="1"/>
  <c r="M105" i="27" a="1"/>
  <c r="M105" i="27" s="1"/>
  <c r="N105" i="27" a="1"/>
  <c r="N105" i="27" s="1"/>
  <c r="O105" i="27" a="1"/>
  <c r="O105" i="27" s="1"/>
  <c r="P105" i="27" a="1"/>
  <c r="P105" i="27" s="1"/>
  <c r="Q105" i="27" a="1"/>
  <c r="Q105" i="27" s="1"/>
  <c r="R105" i="27" a="1"/>
  <c r="R105" i="27" s="1"/>
  <c r="U105" i="27" a="1"/>
  <c r="U105" i="27" s="1"/>
  <c r="V105" i="27" a="1"/>
  <c r="V105" i="27" s="1"/>
  <c r="W105" i="27" a="1"/>
  <c r="W105" i="27" s="1"/>
  <c r="X105" i="27" a="1"/>
  <c r="X105" i="27" s="1"/>
  <c r="K106" i="27" a="1"/>
  <c r="K106" i="27" s="1"/>
  <c r="L106" i="27" a="1"/>
  <c r="L106" i="27" s="1"/>
  <c r="M106" i="27" a="1"/>
  <c r="M106" i="27" s="1"/>
  <c r="N106" i="27" a="1"/>
  <c r="N106" i="27" s="1"/>
  <c r="O106" i="27" a="1"/>
  <c r="O106" i="27" s="1"/>
  <c r="P106" i="27" a="1"/>
  <c r="P106" i="27" s="1"/>
  <c r="Q106" i="27" a="1"/>
  <c r="Q106" i="27" s="1"/>
  <c r="R106" i="27" a="1"/>
  <c r="R106" i="27" s="1"/>
  <c r="U106" i="27" a="1"/>
  <c r="U106" i="27" s="1"/>
  <c r="V106" i="27" a="1"/>
  <c r="V106" i="27" s="1"/>
  <c r="W106" i="27" a="1"/>
  <c r="W106" i="27" s="1"/>
  <c r="X106" i="27" a="1"/>
  <c r="X106" i="27" s="1"/>
  <c r="K107" i="27" a="1"/>
  <c r="K107" i="27" s="1"/>
  <c r="L107" i="27" a="1"/>
  <c r="L107" i="27" s="1"/>
  <c r="M107" i="27" a="1"/>
  <c r="M107" i="27" s="1"/>
  <c r="N107" i="27" a="1"/>
  <c r="N107" i="27" s="1"/>
  <c r="O107" i="27" a="1"/>
  <c r="O107" i="27" s="1"/>
  <c r="P107" i="27" a="1"/>
  <c r="P107" i="27" s="1"/>
  <c r="Q107" i="27" a="1"/>
  <c r="Q107" i="27" s="1"/>
  <c r="R107" i="27" a="1"/>
  <c r="R107" i="27" s="1"/>
  <c r="U107" i="27" a="1"/>
  <c r="U107" i="27" s="1"/>
  <c r="V107" i="27" a="1"/>
  <c r="V107" i="27" s="1"/>
  <c r="W107" i="27" a="1"/>
  <c r="W107" i="27" s="1"/>
  <c r="X107" i="27" a="1"/>
  <c r="X107" i="27" s="1"/>
  <c r="K108" i="27" a="1"/>
  <c r="K108" i="27" s="1"/>
  <c r="L108" i="27" a="1"/>
  <c r="L108" i="27" s="1"/>
  <c r="M108" i="27" a="1"/>
  <c r="M108" i="27" s="1"/>
  <c r="N108" i="27" a="1"/>
  <c r="N108" i="27" s="1"/>
  <c r="O108" i="27" a="1"/>
  <c r="O108" i="27" s="1"/>
  <c r="P108" i="27" a="1"/>
  <c r="P108" i="27" s="1"/>
  <c r="Q108" i="27" a="1"/>
  <c r="Q108" i="27" s="1"/>
  <c r="R108" i="27" a="1"/>
  <c r="R108" i="27" s="1"/>
  <c r="U108" i="27" a="1"/>
  <c r="U108" i="27" s="1"/>
  <c r="V108" i="27" a="1"/>
  <c r="V108" i="27" s="1"/>
  <c r="W108" i="27" a="1"/>
  <c r="W108" i="27" s="1"/>
  <c r="X108" i="27" a="1"/>
  <c r="X108" i="27" s="1"/>
  <c r="K109" i="27" a="1"/>
  <c r="K109" i="27" s="1"/>
  <c r="L109" i="27" a="1"/>
  <c r="L109" i="27" s="1"/>
  <c r="M109" i="27" a="1"/>
  <c r="M109" i="27" s="1"/>
  <c r="N109" i="27" a="1"/>
  <c r="N109" i="27" s="1"/>
  <c r="O109" i="27" a="1"/>
  <c r="O109" i="27" s="1"/>
  <c r="P109" i="27" a="1"/>
  <c r="P109" i="27" s="1"/>
  <c r="Q109" i="27" a="1"/>
  <c r="Q109" i="27" s="1"/>
  <c r="R109" i="27" a="1"/>
  <c r="R109" i="27" s="1"/>
  <c r="U109" i="27" a="1"/>
  <c r="U109" i="27" s="1"/>
  <c r="V109" i="27" a="1"/>
  <c r="V109" i="27" s="1"/>
  <c r="W109" i="27" a="1"/>
  <c r="W109" i="27" s="1"/>
  <c r="X109" i="27" a="1"/>
  <c r="X109" i="27" s="1"/>
  <c r="K110" i="27" a="1"/>
  <c r="K110" i="27" s="1"/>
  <c r="L110" i="27" a="1"/>
  <c r="L110" i="27" s="1"/>
  <c r="M110" i="27" a="1"/>
  <c r="M110" i="27" s="1"/>
  <c r="N110" i="27" a="1"/>
  <c r="N110" i="27" s="1"/>
  <c r="O110" i="27" a="1"/>
  <c r="O110" i="27" s="1"/>
  <c r="P110" i="27" a="1"/>
  <c r="P110" i="27" s="1"/>
  <c r="Q110" i="27" a="1"/>
  <c r="Q110" i="27" s="1"/>
  <c r="R110" i="27" a="1"/>
  <c r="R110" i="27" s="1"/>
  <c r="U110" i="27" a="1"/>
  <c r="U110" i="27" s="1"/>
  <c r="V110" i="27" a="1"/>
  <c r="V110" i="27" s="1"/>
  <c r="W110" i="27" a="1"/>
  <c r="W110" i="27" s="1"/>
  <c r="X110" i="27" a="1"/>
  <c r="X110" i="27" s="1"/>
  <c r="K111" i="27" a="1"/>
  <c r="K111" i="27" s="1"/>
  <c r="L111" i="27" a="1"/>
  <c r="L111" i="27" s="1"/>
  <c r="M111" i="27" a="1"/>
  <c r="M111" i="27" s="1"/>
  <c r="N111" i="27" a="1"/>
  <c r="N111" i="27" s="1"/>
  <c r="O111" i="27" a="1"/>
  <c r="O111" i="27" s="1"/>
  <c r="P111" i="27" a="1"/>
  <c r="P111" i="27" s="1"/>
  <c r="Q111" i="27" a="1"/>
  <c r="Q111" i="27" s="1"/>
  <c r="R111" i="27" a="1"/>
  <c r="R111" i="27" s="1"/>
  <c r="U111" i="27" a="1"/>
  <c r="U111" i="27" s="1"/>
  <c r="V111" i="27" a="1"/>
  <c r="V111" i="27" s="1"/>
  <c r="W111" i="27" a="1"/>
  <c r="W111" i="27" s="1"/>
  <c r="X111" i="27" a="1"/>
  <c r="X111" i="27" s="1"/>
  <c r="K112" i="27" a="1"/>
  <c r="K112" i="27" s="1"/>
  <c r="L112" i="27" a="1"/>
  <c r="L112" i="27" s="1"/>
  <c r="M112" i="27" a="1"/>
  <c r="M112" i="27" s="1"/>
  <c r="N112" i="27" a="1"/>
  <c r="N112" i="27" s="1"/>
  <c r="O112" i="27" a="1"/>
  <c r="O112" i="27" s="1"/>
  <c r="P112" i="27" a="1"/>
  <c r="P112" i="27" s="1"/>
  <c r="Q112" i="27" a="1"/>
  <c r="Q112" i="27" s="1"/>
  <c r="R112" i="27" a="1"/>
  <c r="R112" i="27" s="1"/>
  <c r="U112" i="27" a="1"/>
  <c r="U112" i="27" s="1"/>
  <c r="V112" i="27" a="1"/>
  <c r="V112" i="27" s="1"/>
  <c r="W112" i="27" a="1"/>
  <c r="W112" i="27" s="1"/>
  <c r="X112" i="27" a="1"/>
  <c r="X112" i="27" s="1"/>
  <c r="K113" i="27" a="1"/>
  <c r="K113" i="27" s="1"/>
  <c r="L113" i="27" a="1"/>
  <c r="L113" i="27" s="1"/>
  <c r="M113" i="27" a="1"/>
  <c r="M113" i="27" s="1"/>
  <c r="N113" i="27" a="1"/>
  <c r="N113" i="27" s="1"/>
  <c r="O113" i="27" a="1"/>
  <c r="O113" i="27" s="1"/>
  <c r="P113" i="27" a="1"/>
  <c r="P113" i="27" s="1"/>
  <c r="Q113" i="27" a="1"/>
  <c r="Q113" i="27" s="1"/>
  <c r="R113" i="27" a="1"/>
  <c r="R113" i="27" s="1"/>
  <c r="U113" i="27" a="1"/>
  <c r="U113" i="27" s="1"/>
  <c r="V113" i="27" a="1"/>
  <c r="V113" i="27" s="1"/>
  <c r="W113" i="27" a="1"/>
  <c r="W113" i="27" s="1"/>
  <c r="X113" i="27" a="1"/>
  <c r="X113" i="27" s="1"/>
  <c r="K114" i="27" a="1"/>
  <c r="K114" i="27" s="1"/>
  <c r="L114" i="27" a="1"/>
  <c r="L114" i="27" s="1"/>
  <c r="M114" i="27" a="1"/>
  <c r="M114" i="27" s="1"/>
  <c r="N114" i="27" a="1"/>
  <c r="N114" i="27" s="1"/>
  <c r="O114" i="27" a="1"/>
  <c r="O114" i="27" s="1"/>
  <c r="P114" i="27" a="1"/>
  <c r="P114" i="27" s="1"/>
  <c r="Q114" i="27" a="1"/>
  <c r="Q114" i="27" s="1"/>
  <c r="R114" i="27" a="1"/>
  <c r="R114" i="27" s="1"/>
  <c r="U114" i="27" a="1"/>
  <c r="U114" i="27" s="1"/>
  <c r="V114" i="27" a="1"/>
  <c r="V114" i="27" s="1"/>
  <c r="W114" i="27" a="1"/>
  <c r="W114" i="27" s="1"/>
  <c r="X114" i="27" a="1"/>
  <c r="X114" i="27" s="1"/>
  <c r="K115" i="27" a="1"/>
  <c r="K115" i="27" s="1"/>
  <c r="L115" i="27" a="1"/>
  <c r="L115" i="27" s="1"/>
  <c r="M115" i="27" a="1"/>
  <c r="M115" i="27" s="1"/>
  <c r="N115" i="27" a="1"/>
  <c r="N115" i="27" s="1"/>
  <c r="O115" i="27" a="1"/>
  <c r="O115" i="27" s="1"/>
  <c r="P115" i="27" a="1"/>
  <c r="P115" i="27" s="1"/>
  <c r="Q115" i="27" a="1"/>
  <c r="Q115" i="27" s="1"/>
  <c r="R115" i="27" a="1"/>
  <c r="R115" i="27" s="1"/>
  <c r="U115" i="27" a="1"/>
  <c r="U115" i="27" s="1"/>
  <c r="V115" i="27" a="1"/>
  <c r="V115" i="27" s="1"/>
  <c r="W115" i="27" a="1"/>
  <c r="W115" i="27" s="1"/>
  <c r="X115" i="27" a="1"/>
  <c r="X115" i="27" s="1"/>
  <c r="K116" i="27" a="1"/>
  <c r="K116" i="27" s="1"/>
  <c r="L116" i="27" a="1"/>
  <c r="L116" i="27" s="1"/>
  <c r="M116" i="27" a="1"/>
  <c r="M116" i="27" s="1"/>
  <c r="N116" i="27" a="1"/>
  <c r="N116" i="27" s="1"/>
  <c r="O116" i="27" a="1"/>
  <c r="O116" i="27" s="1"/>
  <c r="P116" i="27" a="1"/>
  <c r="P116" i="27" s="1"/>
  <c r="Q116" i="27" a="1"/>
  <c r="Q116" i="27" s="1"/>
  <c r="R116" i="27" a="1"/>
  <c r="R116" i="27" s="1"/>
  <c r="U116" i="27" a="1"/>
  <c r="U116" i="27" s="1"/>
  <c r="V116" i="27" a="1"/>
  <c r="V116" i="27" s="1"/>
  <c r="W116" i="27" a="1"/>
  <c r="W116" i="27" s="1"/>
  <c r="X116" i="27" a="1"/>
  <c r="X116" i="27" s="1"/>
  <c r="K117" i="27" a="1"/>
  <c r="K117" i="27" s="1"/>
  <c r="L117" i="27" a="1"/>
  <c r="L117" i="27" s="1"/>
  <c r="M117" i="27" a="1"/>
  <c r="M117" i="27" s="1"/>
  <c r="N117" i="27" a="1"/>
  <c r="N117" i="27" s="1"/>
  <c r="O117" i="27" a="1"/>
  <c r="O117" i="27" s="1"/>
  <c r="P117" i="27" a="1"/>
  <c r="P117" i="27" s="1"/>
  <c r="Q117" i="27" a="1"/>
  <c r="Q117" i="27" s="1"/>
  <c r="R117" i="27" a="1"/>
  <c r="R117" i="27" s="1"/>
  <c r="U117" i="27" a="1"/>
  <c r="U117" i="27" s="1"/>
  <c r="V117" i="27" a="1"/>
  <c r="V117" i="27" s="1"/>
  <c r="W117" i="27" a="1"/>
  <c r="W117" i="27" s="1"/>
  <c r="X117" i="27" a="1"/>
  <c r="X117" i="27" s="1"/>
  <c r="K118" i="27" a="1"/>
  <c r="K118" i="27" s="1"/>
  <c r="L118" i="27" a="1"/>
  <c r="L118" i="27" s="1"/>
  <c r="M118" i="27" a="1"/>
  <c r="M118" i="27" s="1"/>
  <c r="N118" i="27" a="1"/>
  <c r="N118" i="27" s="1"/>
  <c r="O118" i="27" a="1"/>
  <c r="O118" i="27" s="1"/>
  <c r="P118" i="27" a="1"/>
  <c r="P118" i="27" s="1"/>
  <c r="Q118" i="27" a="1"/>
  <c r="Q118" i="27" s="1"/>
  <c r="R118" i="27" a="1"/>
  <c r="R118" i="27" s="1"/>
  <c r="U118" i="27" a="1"/>
  <c r="U118" i="27" s="1"/>
  <c r="V118" i="27" a="1"/>
  <c r="V118" i="27" s="1"/>
  <c r="W118" i="27" a="1"/>
  <c r="W118" i="27" s="1"/>
  <c r="X118" i="27" a="1"/>
  <c r="X118" i="27" s="1"/>
  <c r="K119" i="27" a="1"/>
  <c r="K119" i="27" s="1"/>
  <c r="L119" i="27" a="1"/>
  <c r="L119" i="27" s="1"/>
  <c r="M119" i="27" a="1"/>
  <c r="M119" i="27" s="1"/>
  <c r="N119" i="27" a="1"/>
  <c r="N119" i="27" s="1"/>
  <c r="O119" i="27" a="1"/>
  <c r="O119" i="27" s="1"/>
  <c r="P119" i="27" a="1"/>
  <c r="P119" i="27" s="1"/>
  <c r="Q119" i="27" a="1"/>
  <c r="Q119" i="27" s="1"/>
  <c r="R119" i="27" a="1"/>
  <c r="R119" i="27" s="1"/>
  <c r="U119" i="27" a="1"/>
  <c r="U119" i="27" s="1"/>
  <c r="V119" i="27" a="1"/>
  <c r="V119" i="27" s="1"/>
  <c r="W119" i="27" a="1"/>
  <c r="W119" i="27" s="1"/>
  <c r="X119" i="27" a="1"/>
  <c r="X119" i="27" s="1"/>
  <c r="K120" i="27" a="1"/>
  <c r="K120" i="27" s="1"/>
  <c r="L120" i="27" a="1"/>
  <c r="L120" i="27" s="1"/>
  <c r="M120" i="27" a="1"/>
  <c r="M120" i="27" s="1"/>
  <c r="N120" i="27" a="1"/>
  <c r="N120" i="27" s="1"/>
  <c r="O120" i="27" a="1"/>
  <c r="O120" i="27" s="1"/>
  <c r="P120" i="27" a="1"/>
  <c r="P120" i="27" s="1"/>
  <c r="Q120" i="27" a="1"/>
  <c r="Q120" i="27" s="1"/>
  <c r="R120" i="27" a="1"/>
  <c r="R120" i="27" s="1"/>
  <c r="U120" i="27" a="1"/>
  <c r="U120" i="27" s="1"/>
  <c r="V120" i="27" a="1"/>
  <c r="V120" i="27" s="1"/>
  <c r="W120" i="27" a="1"/>
  <c r="W120" i="27" s="1"/>
  <c r="X120" i="27" a="1"/>
  <c r="X120" i="27" s="1"/>
  <c r="K121" i="27" a="1"/>
  <c r="K121" i="27" s="1"/>
  <c r="L121" i="27" a="1"/>
  <c r="L121" i="27" s="1"/>
  <c r="M121" i="27" a="1"/>
  <c r="M121" i="27" s="1"/>
  <c r="N121" i="27" a="1"/>
  <c r="N121" i="27" s="1"/>
  <c r="O121" i="27" a="1"/>
  <c r="O121" i="27" s="1"/>
  <c r="P121" i="27" a="1"/>
  <c r="P121" i="27" s="1"/>
  <c r="Q121" i="27" a="1"/>
  <c r="Q121" i="27" s="1"/>
  <c r="R121" i="27" a="1"/>
  <c r="R121" i="27" s="1"/>
  <c r="U121" i="27" a="1"/>
  <c r="U121" i="27" s="1"/>
  <c r="V121" i="27" a="1"/>
  <c r="V121" i="27" s="1"/>
  <c r="W121" i="27" a="1"/>
  <c r="W121" i="27" s="1"/>
  <c r="X121" i="27" a="1"/>
  <c r="X121" i="27" s="1"/>
  <c r="K122" i="27" a="1"/>
  <c r="K122" i="27" s="1"/>
  <c r="L122" i="27" a="1"/>
  <c r="L122" i="27" s="1"/>
  <c r="M122" i="27" a="1"/>
  <c r="M122" i="27" s="1"/>
  <c r="N122" i="27" a="1"/>
  <c r="N122" i="27" s="1"/>
  <c r="O122" i="27" a="1"/>
  <c r="O122" i="27" s="1"/>
  <c r="P122" i="27" a="1"/>
  <c r="P122" i="27" s="1"/>
  <c r="Q122" i="27" a="1"/>
  <c r="Q122" i="27" s="1"/>
  <c r="R122" i="27" a="1"/>
  <c r="R122" i="27" s="1"/>
  <c r="U122" i="27" a="1"/>
  <c r="U122" i="27" s="1"/>
  <c r="V122" i="27" a="1"/>
  <c r="V122" i="27" s="1"/>
  <c r="W122" i="27" a="1"/>
  <c r="W122" i="27" s="1"/>
  <c r="X122" i="27" a="1"/>
  <c r="X122" i="27" s="1"/>
  <c r="K123" i="27" a="1"/>
  <c r="K123" i="27" s="1"/>
  <c r="L123" i="27" a="1"/>
  <c r="L123" i="27" s="1"/>
  <c r="M123" i="27" a="1"/>
  <c r="M123" i="27" s="1"/>
  <c r="N123" i="27" a="1"/>
  <c r="N123" i="27" s="1"/>
  <c r="O123" i="27" a="1"/>
  <c r="O123" i="27" s="1"/>
  <c r="P123" i="27" a="1"/>
  <c r="P123" i="27" s="1"/>
  <c r="Q123" i="27" a="1"/>
  <c r="Q123" i="27" s="1"/>
  <c r="R123" i="27" a="1"/>
  <c r="R123" i="27" s="1"/>
  <c r="U123" i="27" a="1"/>
  <c r="U123" i="27" s="1"/>
  <c r="V123" i="27" a="1"/>
  <c r="V123" i="27" s="1"/>
  <c r="W123" i="27" a="1"/>
  <c r="W123" i="27" s="1"/>
  <c r="X123" i="27" a="1"/>
  <c r="X123" i="27" s="1"/>
  <c r="K124" i="27" a="1"/>
  <c r="K124" i="27" s="1"/>
  <c r="L124" i="27" a="1"/>
  <c r="L124" i="27" s="1"/>
  <c r="M124" i="27" a="1"/>
  <c r="M124" i="27" s="1"/>
  <c r="N124" i="27" a="1"/>
  <c r="N124" i="27" s="1"/>
  <c r="O124" i="27" a="1"/>
  <c r="O124" i="27" s="1"/>
  <c r="P124" i="27" a="1"/>
  <c r="P124" i="27" s="1"/>
  <c r="Q124" i="27" a="1"/>
  <c r="Q124" i="27" s="1"/>
  <c r="R124" i="27" a="1"/>
  <c r="R124" i="27" s="1"/>
  <c r="U124" i="27" a="1"/>
  <c r="U124" i="27" s="1"/>
  <c r="V124" i="27" a="1"/>
  <c r="V124" i="27" s="1"/>
  <c r="W124" i="27" a="1"/>
  <c r="W124" i="27" s="1"/>
  <c r="X124" i="27" a="1"/>
  <c r="X124" i="27" s="1"/>
  <c r="K125" i="27" a="1"/>
  <c r="K125" i="27" s="1"/>
  <c r="L125" i="27" a="1"/>
  <c r="L125" i="27" s="1"/>
  <c r="M125" i="27" a="1"/>
  <c r="M125" i="27" s="1"/>
  <c r="N125" i="27" a="1"/>
  <c r="N125" i="27" s="1"/>
  <c r="O125" i="27" a="1"/>
  <c r="O125" i="27" s="1"/>
  <c r="P125" i="27" a="1"/>
  <c r="P125" i="27" s="1"/>
  <c r="Q125" i="27" a="1"/>
  <c r="Q125" i="27" s="1"/>
  <c r="R125" i="27" a="1"/>
  <c r="R125" i="27" s="1"/>
  <c r="U125" i="27" a="1"/>
  <c r="U125" i="27" s="1"/>
  <c r="V125" i="27" a="1"/>
  <c r="V125" i="27" s="1"/>
  <c r="W125" i="27" a="1"/>
  <c r="W125" i="27" s="1"/>
  <c r="X125" i="27" a="1"/>
  <c r="X125" i="27" s="1"/>
  <c r="K126" i="27" a="1"/>
  <c r="K126" i="27" s="1"/>
  <c r="L126" i="27" a="1"/>
  <c r="L126" i="27" s="1"/>
  <c r="M126" i="27" a="1"/>
  <c r="M126" i="27" s="1"/>
  <c r="N126" i="27" a="1"/>
  <c r="N126" i="27" s="1"/>
  <c r="O126" i="27" a="1"/>
  <c r="O126" i="27" s="1"/>
  <c r="P126" i="27" a="1"/>
  <c r="P126" i="27" s="1"/>
  <c r="Q126" i="27" a="1"/>
  <c r="Q126" i="27" s="1"/>
  <c r="R126" i="27" a="1"/>
  <c r="R126" i="27" s="1"/>
  <c r="U126" i="27" a="1"/>
  <c r="U126" i="27" s="1"/>
  <c r="V126" i="27" a="1"/>
  <c r="V126" i="27" s="1"/>
  <c r="W126" i="27" a="1"/>
  <c r="W126" i="27" s="1"/>
  <c r="X126" i="27" a="1"/>
  <c r="X126" i="27" s="1"/>
  <c r="K127" i="27" a="1"/>
  <c r="K127" i="27" s="1"/>
  <c r="L127" i="27" a="1"/>
  <c r="L127" i="27" s="1"/>
  <c r="M127" i="27" a="1"/>
  <c r="M127" i="27" s="1"/>
  <c r="N127" i="27" a="1"/>
  <c r="N127" i="27" s="1"/>
  <c r="O127" i="27" a="1"/>
  <c r="O127" i="27" s="1"/>
  <c r="P127" i="27" a="1"/>
  <c r="P127" i="27" s="1"/>
  <c r="Q127" i="27" a="1"/>
  <c r="Q127" i="27" s="1"/>
  <c r="R127" i="27" a="1"/>
  <c r="R127" i="27" s="1"/>
  <c r="U127" i="27" a="1"/>
  <c r="U127" i="27" s="1"/>
  <c r="V127" i="27" a="1"/>
  <c r="V127" i="27" s="1"/>
  <c r="W127" i="27" a="1"/>
  <c r="W127" i="27" s="1"/>
  <c r="X127" i="27" a="1"/>
  <c r="X127" i="27" s="1"/>
  <c r="K128" i="27" a="1"/>
  <c r="K128" i="27" s="1"/>
  <c r="L128" i="27" a="1"/>
  <c r="L128" i="27" s="1"/>
  <c r="M128" i="27" a="1"/>
  <c r="M128" i="27" s="1"/>
  <c r="N128" i="27" a="1"/>
  <c r="N128" i="27" s="1"/>
  <c r="O128" i="27" a="1"/>
  <c r="O128" i="27" s="1"/>
  <c r="P128" i="27" a="1"/>
  <c r="P128" i="27" s="1"/>
  <c r="Q128" i="27" a="1"/>
  <c r="Q128" i="27" s="1"/>
  <c r="R128" i="27" a="1"/>
  <c r="R128" i="27" s="1"/>
  <c r="U128" i="27" a="1"/>
  <c r="U128" i="27" s="1"/>
  <c r="V128" i="27" a="1"/>
  <c r="V128" i="27" s="1"/>
  <c r="W128" i="27" a="1"/>
  <c r="W128" i="27" s="1"/>
  <c r="X128" i="27" a="1"/>
  <c r="X128" i="27" s="1"/>
  <c r="K129" i="27" a="1"/>
  <c r="K129" i="27" s="1"/>
  <c r="L129" i="27" a="1"/>
  <c r="L129" i="27" s="1"/>
  <c r="M129" i="27" a="1"/>
  <c r="M129" i="27" s="1"/>
  <c r="N129" i="27" a="1"/>
  <c r="N129" i="27" s="1"/>
  <c r="O129" i="27" a="1"/>
  <c r="O129" i="27" s="1"/>
  <c r="P129" i="27" a="1"/>
  <c r="P129" i="27" s="1"/>
  <c r="Q129" i="27" a="1"/>
  <c r="Q129" i="27" s="1"/>
  <c r="R129" i="27" a="1"/>
  <c r="R129" i="27" s="1"/>
  <c r="U129" i="27" a="1"/>
  <c r="U129" i="27" s="1"/>
  <c r="V129" i="27" a="1"/>
  <c r="V129" i="27" s="1"/>
  <c r="W129" i="27" a="1"/>
  <c r="W129" i="27" s="1"/>
  <c r="X129" i="27" a="1"/>
  <c r="X129" i="27" s="1"/>
  <c r="K130" i="27" a="1"/>
  <c r="K130" i="27" s="1"/>
  <c r="L130" i="27" a="1"/>
  <c r="L130" i="27" s="1"/>
  <c r="M130" i="27" a="1"/>
  <c r="M130" i="27" s="1"/>
  <c r="N130" i="27" a="1"/>
  <c r="N130" i="27" s="1"/>
  <c r="O130" i="27" a="1"/>
  <c r="O130" i="27" s="1"/>
  <c r="P130" i="27" a="1"/>
  <c r="P130" i="27" s="1"/>
  <c r="Q130" i="27" a="1"/>
  <c r="Q130" i="27" s="1"/>
  <c r="R130" i="27" a="1"/>
  <c r="R130" i="27" s="1"/>
  <c r="U130" i="27" a="1"/>
  <c r="U130" i="27" s="1"/>
  <c r="V130" i="27" a="1"/>
  <c r="V130" i="27" s="1"/>
  <c r="W130" i="27" a="1"/>
  <c r="W130" i="27" s="1"/>
  <c r="X130" i="27" a="1"/>
  <c r="X130" i="27" s="1"/>
  <c r="K131" i="27" a="1"/>
  <c r="K131" i="27" s="1"/>
  <c r="L131" i="27" a="1"/>
  <c r="L131" i="27" s="1"/>
  <c r="M131" i="27" a="1"/>
  <c r="M131" i="27" s="1"/>
  <c r="N131" i="27" a="1"/>
  <c r="N131" i="27" s="1"/>
  <c r="O131" i="27" a="1"/>
  <c r="O131" i="27" s="1"/>
  <c r="P131" i="27" a="1"/>
  <c r="P131" i="27" s="1"/>
  <c r="Q131" i="27" a="1"/>
  <c r="Q131" i="27" s="1"/>
  <c r="R131" i="27" a="1"/>
  <c r="R131" i="27" s="1"/>
  <c r="U131" i="27" a="1"/>
  <c r="U131" i="27" s="1"/>
  <c r="V131" i="27" a="1"/>
  <c r="V131" i="27" s="1"/>
  <c r="W131" i="27" a="1"/>
  <c r="W131" i="27" s="1"/>
  <c r="X131" i="27" a="1"/>
  <c r="X131" i="27" s="1"/>
  <c r="K132" i="27" a="1"/>
  <c r="K132" i="27" s="1"/>
  <c r="L132" i="27" a="1"/>
  <c r="L132" i="27" s="1"/>
  <c r="M132" i="27" a="1"/>
  <c r="M132" i="27" s="1"/>
  <c r="N132" i="27" a="1"/>
  <c r="N132" i="27" s="1"/>
  <c r="O132" i="27" a="1"/>
  <c r="O132" i="27" s="1"/>
  <c r="P132" i="27" a="1"/>
  <c r="P132" i="27" s="1"/>
  <c r="Q132" i="27" a="1"/>
  <c r="Q132" i="27" s="1"/>
  <c r="R132" i="27" a="1"/>
  <c r="R132" i="27" s="1"/>
  <c r="U132" i="27" a="1"/>
  <c r="U132" i="27" s="1"/>
  <c r="V132" i="27" a="1"/>
  <c r="V132" i="27" s="1"/>
  <c r="W132" i="27" a="1"/>
  <c r="W132" i="27" s="1"/>
  <c r="X132" i="27" a="1"/>
  <c r="X132" i="27" s="1"/>
  <c r="K133" i="27" a="1"/>
  <c r="K133" i="27" s="1"/>
  <c r="L133" i="27" a="1"/>
  <c r="L133" i="27" s="1"/>
  <c r="M133" i="27" a="1"/>
  <c r="M133" i="27" s="1"/>
  <c r="N133" i="27" a="1"/>
  <c r="N133" i="27" s="1"/>
  <c r="O133" i="27" a="1"/>
  <c r="O133" i="27" s="1"/>
  <c r="P133" i="27" a="1"/>
  <c r="P133" i="27" s="1"/>
  <c r="Q133" i="27" a="1"/>
  <c r="Q133" i="27" s="1"/>
  <c r="R133" i="27" a="1"/>
  <c r="R133" i="27" s="1"/>
  <c r="U133" i="27" a="1"/>
  <c r="U133" i="27" s="1"/>
  <c r="V133" i="27" a="1"/>
  <c r="V133" i="27" s="1"/>
  <c r="W133" i="27" a="1"/>
  <c r="W133" i="27" s="1"/>
  <c r="X133" i="27" a="1"/>
  <c r="X133" i="27" s="1"/>
  <c r="K134" i="27" a="1"/>
  <c r="K134" i="27" s="1"/>
  <c r="L134" i="27" a="1"/>
  <c r="L134" i="27" s="1"/>
  <c r="M134" i="27" a="1"/>
  <c r="M134" i="27" s="1"/>
  <c r="N134" i="27" a="1"/>
  <c r="N134" i="27" s="1"/>
  <c r="O134" i="27" a="1"/>
  <c r="O134" i="27" s="1"/>
  <c r="P134" i="27" a="1"/>
  <c r="P134" i="27" s="1"/>
  <c r="Q134" i="27" a="1"/>
  <c r="Q134" i="27" s="1"/>
  <c r="R134" i="27" a="1"/>
  <c r="R134" i="27" s="1"/>
  <c r="U134" i="27" a="1"/>
  <c r="U134" i="27" s="1"/>
  <c r="V134" i="27" a="1"/>
  <c r="V134" i="27" s="1"/>
  <c r="W134" i="27" a="1"/>
  <c r="W134" i="27" s="1"/>
  <c r="X134" i="27" a="1"/>
  <c r="X134" i="27" s="1"/>
  <c r="K135" i="27" a="1"/>
  <c r="K135" i="27" s="1"/>
  <c r="L135" i="27" a="1"/>
  <c r="L135" i="27" s="1"/>
  <c r="M135" i="27" a="1"/>
  <c r="M135" i="27" s="1"/>
  <c r="N135" i="27" a="1"/>
  <c r="N135" i="27" s="1"/>
  <c r="O135" i="27" a="1"/>
  <c r="O135" i="27" s="1"/>
  <c r="P135" i="27" a="1"/>
  <c r="P135" i="27" s="1"/>
  <c r="Q135" i="27" a="1"/>
  <c r="Q135" i="27" s="1"/>
  <c r="R135" i="27" a="1"/>
  <c r="R135" i="27" s="1"/>
  <c r="U135" i="27" a="1"/>
  <c r="U135" i="27" s="1"/>
  <c r="V135" i="27" a="1"/>
  <c r="V135" i="27" s="1"/>
  <c r="W135" i="27" a="1"/>
  <c r="W135" i="27" s="1"/>
  <c r="X135" i="27" a="1"/>
  <c r="X135" i="27" s="1"/>
  <c r="K136" i="27" a="1"/>
  <c r="K136" i="27" s="1"/>
  <c r="L136" i="27" a="1"/>
  <c r="L136" i="27" s="1"/>
  <c r="M136" i="27" a="1"/>
  <c r="M136" i="27" s="1"/>
  <c r="N136" i="27" a="1"/>
  <c r="N136" i="27" s="1"/>
  <c r="O136" i="27" a="1"/>
  <c r="O136" i="27" s="1"/>
  <c r="P136" i="27" a="1"/>
  <c r="P136" i="27" s="1"/>
  <c r="Q136" i="27" a="1"/>
  <c r="Q136" i="27" s="1"/>
  <c r="R136" i="27" a="1"/>
  <c r="R136" i="27" s="1"/>
  <c r="U136" i="27" a="1"/>
  <c r="U136" i="27" s="1"/>
  <c r="V136" i="27" a="1"/>
  <c r="V136" i="27" s="1"/>
  <c r="W136" i="27" a="1"/>
  <c r="W136" i="27" s="1"/>
  <c r="X136" i="27" a="1"/>
  <c r="X136" i="27" s="1"/>
  <c r="K137" i="27" a="1"/>
  <c r="K137" i="27" s="1"/>
  <c r="L137" i="27" a="1"/>
  <c r="L137" i="27" s="1"/>
  <c r="M137" i="27" a="1"/>
  <c r="M137" i="27" s="1"/>
  <c r="N137" i="27" a="1"/>
  <c r="N137" i="27" s="1"/>
  <c r="O137" i="27" a="1"/>
  <c r="O137" i="27" s="1"/>
  <c r="P137" i="27" a="1"/>
  <c r="P137" i="27" s="1"/>
  <c r="Q137" i="27" a="1"/>
  <c r="Q137" i="27" s="1"/>
  <c r="R137" i="27" a="1"/>
  <c r="R137" i="27" s="1"/>
  <c r="U137" i="27" a="1"/>
  <c r="U137" i="27" s="1"/>
  <c r="V137" i="27" a="1"/>
  <c r="V137" i="27" s="1"/>
  <c r="W137" i="27" a="1"/>
  <c r="W137" i="27" s="1"/>
  <c r="X137" i="27" a="1"/>
  <c r="X137" i="27" s="1"/>
  <c r="K138" i="27" a="1"/>
  <c r="K138" i="27" s="1"/>
  <c r="L138" i="27" a="1"/>
  <c r="L138" i="27" s="1"/>
  <c r="M138" i="27" a="1"/>
  <c r="M138" i="27" s="1"/>
  <c r="N138" i="27" a="1"/>
  <c r="N138" i="27" s="1"/>
  <c r="O138" i="27" a="1"/>
  <c r="O138" i="27" s="1"/>
  <c r="P138" i="27" a="1"/>
  <c r="P138" i="27" s="1"/>
  <c r="Q138" i="27" a="1"/>
  <c r="Q138" i="27" s="1"/>
  <c r="R138" i="27" a="1"/>
  <c r="R138" i="27" s="1"/>
  <c r="U138" i="27" a="1"/>
  <c r="U138" i="27" s="1"/>
  <c r="V138" i="27" a="1"/>
  <c r="V138" i="27" s="1"/>
  <c r="W138" i="27" a="1"/>
  <c r="W138" i="27" s="1"/>
  <c r="X138" i="27" a="1"/>
  <c r="X138" i="27" s="1"/>
  <c r="K139" i="27" a="1"/>
  <c r="K139" i="27" s="1"/>
  <c r="L139" i="27" a="1"/>
  <c r="L139" i="27" s="1"/>
  <c r="M139" i="27" a="1"/>
  <c r="M139" i="27" s="1"/>
  <c r="N139" i="27" a="1"/>
  <c r="N139" i="27" s="1"/>
  <c r="O139" i="27" a="1"/>
  <c r="O139" i="27" s="1"/>
  <c r="P139" i="27" a="1"/>
  <c r="P139" i="27" s="1"/>
  <c r="Q139" i="27" a="1"/>
  <c r="Q139" i="27" s="1"/>
  <c r="R139" i="27" a="1"/>
  <c r="R139" i="27" s="1"/>
  <c r="U139" i="27" a="1"/>
  <c r="U139" i="27" s="1"/>
  <c r="V139" i="27" a="1"/>
  <c r="V139" i="27" s="1"/>
  <c r="W139" i="27" a="1"/>
  <c r="W139" i="27" s="1"/>
  <c r="X139" i="27" a="1"/>
  <c r="X139" i="27" s="1"/>
  <c r="K140" i="27" a="1"/>
  <c r="K140" i="27" s="1"/>
  <c r="L140" i="27" a="1"/>
  <c r="L140" i="27" s="1"/>
  <c r="M140" i="27" a="1"/>
  <c r="M140" i="27" s="1"/>
  <c r="N140" i="27" a="1"/>
  <c r="N140" i="27" s="1"/>
  <c r="O140" i="27" a="1"/>
  <c r="O140" i="27" s="1"/>
  <c r="P140" i="27" a="1"/>
  <c r="P140" i="27" s="1"/>
  <c r="Q140" i="27" a="1"/>
  <c r="Q140" i="27" s="1"/>
  <c r="R140" i="27" a="1"/>
  <c r="R140" i="27" s="1"/>
  <c r="U140" i="27" a="1"/>
  <c r="U140" i="27" s="1"/>
  <c r="V140" i="27" a="1"/>
  <c r="V140" i="27" s="1"/>
  <c r="W140" i="27" a="1"/>
  <c r="W140" i="27" s="1"/>
  <c r="X140" i="27" a="1"/>
  <c r="X140" i="27" s="1"/>
  <c r="K141" i="27" a="1"/>
  <c r="K141" i="27" s="1"/>
  <c r="L141" i="27" a="1"/>
  <c r="L141" i="27" s="1"/>
  <c r="M141" i="27" a="1"/>
  <c r="M141" i="27" s="1"/>
  <c r="N141" i="27" a="1"/>
  <c r="N141" i="27" s="1"/>
  <c r="O141" i="27" a="1"/>
  <c r="O141" i="27" s="1"/>
  <c r="P141" i="27" a="1"/>
  <c r="P141" i="27" s="1"/>
  <c r="Q141" i="27" a="1"/>
  <c r="Q141" i="27" s="1"/>
  <c r="R141" i="27" a="1"/>
  <c r="R141" i="27" s="1"/>
  <c r="U141" i="27" a="1"/>
  <c r="U141" i="27" s="1"/>
  <c r="V141" i="27" a="1"/>
  <c r="V141" i="27" s="1"/>
  <c r="W141" i="27" a="1"/>
  <c r="W141" i="27" s="1"/>
  <c r="X141" i="27" a="1"/>
  <c r="X141" i="27" s="1"/>
  <c r="K142" i="27" a="1"/>
  <c r="K142" i="27" s="1"/>
  <c r="L142" i="27" a="1"/>
  <c r="L142" i="27" s="1"/>
  <c r="M142" i="27" a="1"/>
  <c r="M142" i="27" s="1"/>
  <c r="N142" i="27" a="1"/>
  <c r="N142" i="27" s="1"/>
  <c r="O142" i="27" a="1"/>
  <c r="O142" i="27" s="1"/>
  <c r="P142" i="27" a="1"/>
  <c r="P142" i="27" s="1"/>
  <c r="Q142" i="27" a="1"/>
  <c r="Q142" i="27" s="1"/>
  <c r="R142" i="27" a="1"/>
  <c r="R142" i="27" s="1"/>
  <c r="U142" i="27" a="1"/>
  <c r="U142" i="27" s="1"/>
  <c r="V142" i="27" a="1"/>
  <c r="V142" i="27" s="1"/>
  <c r="W142" i="27" a="1"/>
  <c r="W142" i="27" s="1"/>
  <c r="X142" i="27" a="1"/>
  <c r="X142" i="27" s="1"/>
  <c r="K143" i="27" a="1"/>
  <c r="K143" i="27" s="1"/>
  <c r="L143" i="27" a="1"/>
  <c r="L143" i="27" s="1"/>
  <c r="M143" i="27" a="1"/>
  <c r="M143" i="27" s="1"/>
  <c r="N143" i="27" a="1"/>
  <c r="N143" i="27" s="1"/>
  <c r="O143" i="27" a="1"/>
  <c r="O143" i="27" s="1"/>
  <c r="P143" i="27" a="1"/>
  <c r="P143" i="27" s="1"/>
  <c r="Q143" i="27" a="1"/>
  <c r="Q143" i="27" s="1"/>
  <c r="R143" i="27" a="1"/>
  <c r="R143" i="27" s="1"/>
  <c r="U143" i="27" a="1"/>
  <c r="U143" i="27" s="1"/>
  <c r="V143" i="27" a="1"/>
  <c r="V143" i="27" s="1"/>
  <c r="W143" i="27" a="1"/>
  <c r="W143" i="27" s="1"/>
  <c r="X143" i="27" a="1"/>
  <c r="X143" i="27" s="1"/>
  <c r="K144" i="27" a="1"/>
  <c r="K144" i="27" s="1"/>
  <c r="L144" i="27" a="1"/>
  <c r="L144" i="27" s="1"/>
  <c r="M144" i="27" a="1"/>
  <c r="M144" i="27" s="1"/>
  <c r="N144" i="27" a="1"/>
  <c r="N144" i="27" s="1"/>
  <c r="O144" i="27" a="1"/>
  <c r="O144" i="27" s="1"/>
  <c r="P144" i="27" a="1"/>
  <c r="P144" i="27" s="1"/>
  <c r="Q144" i="27" a="1"/>
  <c r="Q144" i="27" s="1"/>
  <c r="R144" i="27" a="1"/>
  <c r="R144" i="27" s="1"/>
  <c r="U144" i="27" a="1"/>
  <c r="U144" i="27" s="1"/>
  <c r="V144" i="27" a="1"/>
  <c r="V144" i="27" s="1"/>
  <c r="W144" i="27" a="1"/>
  <c r="W144" i="27" s="1"/>
  <c r="X144" i="27" a="1"/>
  <c r="X144" i="27" s="1"/>
  <c r="K145" i="27" a="1"/>
  <c r="K145" i="27" s="1"/>
  <c r="L145" i="27" a="1"/>
  <c r="L145" i="27" s="1"/>
  <c r="M145" i="27" a="1"/>
  <c r="M145" i="27" s="1"/>
  <c r="N145" i="27" a="1"/>
  <c r="N145" i="27" s="1"/>
  <c r="O145" i="27" a="1"/>
  <c r="O145" i="27" s="1"/>
  <c r="P145" i="27" a="1"/>
  <c r="P145" i="27" s="1"/>
  <c r="Q145" i="27" a="1"/>
  <c r="Q145" i="27" s="1"/>
  <c r="R145" i="27" a="1"/>
  <c r="R145" i="27" s="1"/>
  <c r="U145" i="27" a="1"/>
  <c r="U145" i="27" s="1"/>
  <c r="V145" i="27" a="1"/>
  <c r="V145" i="27" s="1"/>
  <c r="W145" i="27" a="1"/>
  <c r="W145" i="27" s="1"/>
  <c r="X145" i="27" a="1"/>
  <c r="X145" i="27" s="1"/>
  <c r="K146" i="27" a="1"/>
  <c r="K146" i="27" s="1"/>
  <c r="L146" i="27" a="1"/>
  <c r="L146" i="27" s="1"/>
  <c r="M146" i="27" a="1"/>
  <c r="M146" i="27" s="1"/>
  <c r="N146" i="27" a="1"/>
  <c r="N146" i="27" s="1"/>
  <c r="O146" i="27" a="1"/>
  <c r="O146" i="27" s="1"/>
  <c r="P146" i="27" a="1"/>
  <c r="P146" i="27" s="1"/>
  <c r="Q146" i="27" a="1"/>
  <c r="Q146" i="27" s="1"/>
  <c r="R146" i="27" a="1"/>
  <c r="R146" i="27" s="1"/>
  <c r="U146" i="27" a="1"/>
  <c r="U146" i="27" s="1"/>
  <c r="V146" i="27" a="1"/>
  <c r="V146" i="27" s="1"/>
  <c r="W146" i="27" a="1"/>
  <c r="W146" i="27" s="1"/>
  <c r="X146" i="27" a="1"/>
  <c r="X146" i="27" s="1"/>
  <c r="K147" i="27" a="1"/>
  <c r="K147" i="27" s="1"/>
  <c r="L147" i="27" a="1"/>
  <c r="L147" i="27" s="1"/>
  <c r="M147" i="27" a="1"/>
  <c r="M147" i="27" s="1"/>
  <c r="N147" i="27" a="1"/>
  <c r="N147" i="27" s="1"/>
  <c r="O147" i="27" a="1"/>
  <c r="O147" i="27" s="1"/>
  <c r="P147" i="27" a="1"/>
  <c r="P147" i="27" s="1"/>
  <c r="Q147" i="27" a="1"/>
  <c r="Q147" i="27" s="1"/>
  <c r="R147" i="27" a="1"/>
  <c r="R147" i="27" s="1"/>
  <c r="U147" i="27" a="1"/>
  <c r="U147" i="27" s="1"/>
  <c r="V147" i="27" a="1"/>
  <c r="V147" i="27" s="1"/>
  <c r="W147" i="27" a="1"/>
  <c r="W147" i="27" s="1"/>
  <c r="X147" i="27" a="1"/>
  <c r="X147" i="27" s="1"/>
  <c r="K148" i="27" a="1"/>
  <c r="K148" i="27" s="1"/>
  <c r="L148" i="27" a="1"/>
  <c r="L148" i="27" s="1"/>
  <c r="M148" i="27" a="1"/>
  <c r="M148" i="27" s="1"/>
  <c r="N148" i="27" a="1"/>
  <c r="N148" i="27" s="1"/>
  <c r="O148" i="27" a="1"/>
  <c r="O148" i="27" s="1"/>
  <c r="P148" i="27" a="1"/>
  <c r="P148" i="27" s="1"/>
  <c r="Q148" i="27" a="1"/>
  <c r="Q148" i="27" s="1"/>
  <c r="R148" i="27" a="1"/>
  <c r="R148" i="27" s="1"/>
  <c r="U148" i="27" a="1"/>
  <c r="U148" i="27" s="1"/>
  <c r="V148" i="27" a="1"/>
  <c r="V148" i="27" s="1"/>
  <c r="W148" i="27" a="1"/>
  <c r="W148" i="27" s="1"/>
  <c r="X148" i="27" a="1"/>
  <c r="X148" i="27" s="1"/>
  <c r="K149" i="27" a="1"/>
  <c r="K149" i="27" s="1"/>
  <c r="L149" i="27" a="1"/>
  <c r="L149" i="27" s="1"/>
  <c r="M149" i="27" a="1"/>
  <c r="M149" i="27" s="1"/>
  <c r="N149" i="27" a="1"/>
  <c r="N149" i="27" s="1"/>
  <c r="O149" i="27" a="1"/>
  <c r="O149" i="27" s="1"/>
  <c r="P149" i="27" a="1"/>
  <c r="P149" i="27" s="1"/>
  <c r="Q149" i="27" a="1"/>
  <c r="Q149" i="27" s="1"/>
  <c r="R149" i="27" a="1"/>
  <c r="R149" i="27" s="1"/>
  <c r="U149" i="27" a="1"/>
  <c r="U149" i="27" s="1"/>
  <c r="V149" i="27" a="1"/>
  <c r="V149" i="27" s="1"/>
  <c r="W149" i="27" a="1"/>
  <c r="W149" i="27" s="1"/>
  <c r="X149" i="27" a="1"/>
  <c r="X149" i="27" s="1"/>
  <c r="K150" i="27" a="1"/>
  <c r="K150" i="27" s="1"/>
  <c r="L150" i="27" a="1"/>
  <c r="L150" i="27" s="1"/>
  <c r="M150" i="27" a="1"/>
  <c r="M150" i="27" s="1"/>
  <c r="N150" i="27" a="1"/>
  <c r="N150" i="27" s="1"/>
  <c r="O150" i="27" a="1"/>
  <c r="O150" i="27" s="1"/>
  <c r="P150" i="27" a="1"/>
  <c r="P150" i="27" s="1"/>
  <c r="Q150" i="27" a="1"/>
  <c r="Q150" i="27" s="1"/>
  <c r="R150" i="27" a="1"/>
  <c r="R150" i="27" s="1"/>
  <c r="U150" i="27" a="1"/>
  <c r="U150" i="27" s="1"/>
  <c r="V150" i="27" a="1"/>
  <c r="V150" i="27" s="1"/>
  <c r="W150" i="27" a="1"/>
  <c r="W150" i="27" s="1"/>
  <c r="X150" i="27" a="1"/>
  <c r="X150" i="27" s="1"/>
  <c r="K151" i="27" a="1"/>
  <c r="K151" i="27" s="1"/>
  <c r="L151" i="27" a="1"/>
  <c r="L151" i="27" s="1"/>
  <c r="M151" i="27" a="1"/>
  <c r="M151" i="27" s="1"/>
  <c r="N151" i="27" a="1"/>
  <c r="N151" i="27" s="1"/>
  <c r="O151" i="27" a="1"/>
  <c r="O151" i="27" s="1"/>
  <c r="P151" i="27" a="1"/>
  <c r="P151" i="27" s="1"/>
  <c r="Q151" i="27" a="1"/>
  <c r="Q151" i="27" s="1"/>
  <c r="R151" i="27" a="1"/>
  <c r="R151" i="27" s="1"/>
  <c r="U151" i="27" a="1"/>
  <c r="U151" i="27" s="1"/>
  <c r="V151" i="27" a="1"/>
  <c r="V151" i="27" s="1"/>
  <c r="W151" i="27" a="1"/>
  <c r="W151" i="27" s="1"/>
  <c r="X151" i="27" a="1"/>
  <c r="X151" i="27" s="1"/>
  <c r="K152" i="27" a="1"/>
  <c r="K152" i="27" s="1"/>
  <c r="L152" i="27" a="1"/>
  <c r="L152" i="27" s="1"/>
  <c r="M152" i="27" a="1"/>
  <c r="M152" i="27" s="1"/>
  <c r="N152" i="27" a="1"/>
  <c r="N152" i="27" s="1"/>
  <c r="O152" i="27" a="1"/>
  <c r="O152" i="27" s="1"/>
  <c r="P152" i="27" a="1"/>
  <c r="P152" i="27" s="1"/>
  <c r="Q152" i="27" a="1"/>
  <c r="Q152" i="27" s="1"/>
  <c r="R152" i="27" a="1"/>
  <c r="R152" i="27" s="1"/>
  <c r="U152" i="27" a="1"/>
  <c r="U152" i="27" s="1"/>
  <c r="V152" i="27" a="1"/>
  <c r="V152" i="27" s="1"/>
  <c r="W152" i="27" a="1"/>
  <c r="W152" i="27" s="1"/>
  <c r="X152" i="27" a="1"/>
  <c r="X152" i="27" s="1"/>
  <c r="K153" i="27" a="1"/>
  <c r="K153" i="27" s="1"/>
  <c r="L153" i="27" a="1"/>
  <c r="L153" i="27" s="1"/>
  <c r="M153" i="27" a="1"/>
  <c r="M153" i="27" s="1"/>
  <c r="N153" i="27" a="1"/>
  <c r="N153" i="27" s="1"/>
  <c r="O153" i="27" a="1"/>
  <c r="O153" i="27" s="1"/>
  <c r="P153" i="27" a="1"/>
  <c r="P153" i="27" s="1"/>
  <c r="Q153" i="27" a="1"/>
  <c r="Q153" i="27" s="1"/>
  <c r="R153" i="27" a="1"/>
  <c r="R153" i="27" s="1"/>
  <c r="U153" i="27" a="1"/>
  <c r="U153" i="27" s="1"/>
  <c r="V153" i="27" a="1"/>
  <c r="V153" i="27" s="1"/>
  <c r="W153" i="27" a="1"/>
  <c r="W153" i="27" s="1"/>
  <c r="X153" i="27" a="1"/>
  <c r="X153" i="27" s="1"/>
  <c r="K154" i="27" a="1"/>
  <c r="K154" i="27" s="1"/>
  <c r="L154" i="27" a="1"/>
  <c r="L154" i="27" s="1"/>
  <c r="M154" i="27" a="1"/>
  <c r="M154" i="27" s="1"/>
  <c r="N154" i="27" a="1"/>
  <c r="N154" i="27" s="1"/>
  <c r="O154" i="27" a="1"/>
  <c r="O154" i="27" s="1"/>
  <c r="P154" i="27" a="1"/>
  <c r="P154" i="27" s="1"/>
  <c r="Q154" i="27" a="1"/>
  <c r="Q154" i="27" s="1"/>
  <c r="R154" i="27" a="1"/>
  <c r="R154" i="27" s="1"/>
  <c r="U154" i="27" a="1"/>
  <c r="U154" i="27" s="1"/>
  <c r="V154" i="27" a="1"/>
  <c r="V154" i="27" s="1"/>
  <c r="W154" i="27" a="1"/>
  <c r="W154" i="27" s="1"/>
  <c r="X154" i="27" a="1"/>
  <c r="X154" i="27" s="1"/>
  <c r="K126" i="26" a="1"/>
  <c r="K126" i="26" s="1"/>
  <c r="L126" i="26" a="1"/>
  <c r="L126" i="26" s="1"/>
  <c r="M126" i="26" a="1"/>
  <c r="M126" i="26" s="1"/>
  <c r="N126" i="26" a="1"/>
  <c r="N126" i="26" s="1"/>
  <c r="O126" i="26" a="1"/>
  <c r="O126" i="26" s="1"/>
  <c r="P126" i="26" a="1"/>
  <c r="P126" i="26" s="1"/>
  <c r="Q126" i="26" a="1"/>
  <c r="Q126" i="26" s="1"/>
  <c r="R126" i="26" a="1"/>
  <c r="R126" i="26" s="1"/>
  <c r="U126" i="26" a="1"/>
  <c r="U126" i="26" s="1"/>
  <c r="V126" i="26" a="1"/>
  <c r="V126" i="26" s="1"/>
  <c r="W126" i="26" a="1"/>
  <c r="W126" i="26" s="1"/>
  <c r="X126" i="26" a="1"/>
  <c r="X126" i="26" s="1"/>
  <c r="K3" i="26" a="1"/>
  <c r="K3" i="26" s="1"/>
  <c r="L3" i="26" a="1"/>
  <c r="L3" i="26" s="1"/>
  <c r="M3" i="26" a="1"/>
  <c r="M3" i="26" s="1"/>
  <c r="N3" i="26" a="1"/>
  <c r="N3" i="26" s="1"/>
  <c r="O3" i="26" a="1"/>
  <c r="O3" i="26" s="1"/>
  <c r="P3" i="26" a="1"/>
  <c r="P3" i="26" s="1"/>
  <c r="Q3" i="26" a="1"/>
  <c r="Q3" i="26" s="1"/>
  <c r="R3" i="26" a="1"/>
  <c r="R3" i="26" s="1"/>
  <c r="U3" i="26" a="1"/>
  <c r="U3" i="26" s="1"/>
  <c r="V3" i="26" a="1"/>
  <c r="V3" i="26" s="1"/>
  <c r="W3" i="26" a="1"/>
  <c r="W3" i="26" s="1"/>
  <c r="X3" i="26" a="1"/>
  <c r="X3" i="26" s="1"/>
  <c r="K4" i="26" a="1"/>
  <c r="K4" i="26" s="1"/>
  <c r="L4" i="26" a="1"/>
  <c r="L4" i="26" s="1"/>
  <c r="M4" i="26" a="1"/>
  <c r="M4" i="26" s="1"/>
  <c r="N4" i="26" a="1"/>
  <c r="N4" i="26" s="1"/>
  <c r="O4" i="26" a="1"/>
  <c r="O4" i="26" s="1"/>
  <c r="P4" i="26" a="1"/>
  <c r="P4" i="26" s="1"/>
  <c r="Q4" i="26" a="1"/>
  <c r="Q4" i="26" s="1"/>
  <c r="R4" i="26" a="1"/>
  <c r="R4" i="26" s="1"/>
  <c r="U4" i="26" a="1"/>
  <c r="U4" i="26" s="1"/>
  <c r="V4" i="26" a="1"/>
  <c r="V4" i="26" s="1"/>
  <c r="W4" i="26" a="1"/>
  <c r="W4" i="26" s="1"/>
  <c r="X4" i="26" a="1"/>
  <c r="X4" i="26" s="1"/>
  <c r="K5" i="26" a="1"/>
  <c r="K5" i="26" s="1"/>
  <c r="L5" i="26" a="1"/>
  <c r="L5" i="26" s="1"/>
  <c r="M5" i="26" a="1"/>
  <c r="M5" i="26" s="1"/>
  <c r="N5" i="26" a="1"/>
  <c r="N5" i="26" s="1"/>
  <c r="O5" i="26" a="1"/>
  <c r="O5" i="26" s="1"/>
  <c r="P5" i="26" a="1"/>
  <c r="P5" i="26" s="1"/>
  <c r="Q5" i="26" a="1"/>
  <c r="Q5" i="26" s="1"/>
  <c r="R5" i="26" a="1"/>
  <c r="R5" i="26" s="1"/>
  <c r="U5" i="26" a="1"/>
  <c r="U5" i="26" s="1"/>
  <c r="V5" i="26" a="1"/>
  <c r="V5" i="26" s="1"/>
  <c r="W5" i="26" a="1"/>
  <c r="W5" i="26" s="1"/>
  <c r="X5" i="26" a="1"/>
  <c r="X5" i="26" s="1"/>
  <c r="K6" i="26" a="1"/>
  <c r="K6" i="26" s="1"/>
  <c r="L6" i="26" a="1"/>
  <c r="L6" i="26" s="1"/>
  <c r="M6" i="26" a="1"/>
  <c r="M6" i="26" s="1"/>
  <c r="N6" i="26" a="1"/>
  <c r="N6" i="26" s="1"/>
  <c r="O6" i="26" a="1"/>
  <c r="O6" i="26" s="1"/>
  <c r="P6" i="26" a="1"/>
  <c r="P6" i="26" s="1"/>
  <c r="Q6" i="26" a="1"/>
  <c r="Q6" i="26" s="1"/>
  <c r="R6" i="26" a="1"/>
  <c r="R6" i="26" s="1"/>
  <c r="U6" i="26" a="1"/>
  <c r="U6" i="26" s="1"/>
  <c r="V6" i="26" a="1"/>
  <c r="V6" i="26" s="1"/>
  <c r="W6" i="26" a="1"/>
  <c r="W6" i="26" s="1"/>
  <c r="X6" i="26" a="1"/>
  <c r="X6" i="26" s="1"/>
  <c r="K7" i="26" a="1"/>
  <c r="K7" i="26" s="1"/>
  <c r="L7" i="26" a="1"/>
  <c r="L7" i="26" s="1"/>
  <c r="M7" i="26" a="1"/>
  <c r="M7" i="26" s="1"/>
  <c r="N7" i="26" a="1"/>
  <c r="N7" i="26" s="1"/>
  <c r="O7" i="26" a="1"/>
  <c r="O7" i="26" s="1"/>
  <c r="P7" i="26" a="1"/>
  <c r="P7" i="26" s="1"/>
  <c r="Q7" i="26" a="1"/>
  <c r="Q7" i="26" s="1"/>
  <c r="R7" i="26" a="1"/>
  <c r="R7" i="26" s="1"/>
  <c r="U7" i="26" a="1"/>
  <c r="U7" i="26" s="1"/>
  <c r="V7" i="26" a="1"/>
  <c r="V7" i="26" s="1"/>
  <c r="W7" i="26" a="1"/>
  <c r="W7" i="26" s="1"/>
  <c r="X7" i="26" a="1"/>
  <c r="X7" i="26" s="1"/>
  <c r="K8" i="26" a="1"/>
  <c r="K8" i="26" s="1"/>
  <c r="L8" i="26" a="1"/>
  <c r="L8" i="26" s="1"/>
  <c r="M8" i="26" a="1"/>
  <c r="M8" i="26" s="1"/>
  <c r="N8" i="26" a="1"/>
  <c r="N8" i="26" s="1"/>
  <c r="O8" i="26" a="1"/>
  <c r="O8" i="26" s="1"/>
  <c r="P8" i="26" a="1"/>
  <c r="P8" i="26" s="1"/>
  <c r="Q8" i="26" a="1"/>
  <c r="Q8" i="26" s="1"/>
  <c r="R8" i="26" a="1"/>
  <c r="R8" i="26" s="1"/>
  <c r="U8" i="26" a="1"/>
  <c r="U8" i="26" s="1"/>
  <c r="V8" i="26" a="1"/>
  <c r="V8" i="26" s="1"/>
  <c r="W8" i="26" a="1"/>
  <c r="W8" i="26" s="1"/>
  <c r="X8" i="26" a="1"/>
  <c r="X8" i="26" s="1"/>
  <c r="K9" i="26" a="1"/>
  <c r="K9" i="26" s="1"/>
  <c r="L9" i="26" a="1"/>
  <c r="L9" i="26" s="1"/>
  <c r="M9" i="26" a="1"/>
  <c r="M9" i="26" s="1"/>
  <c r="N9" i="26" a="1"/>
  <c r="N9" i="26" s="1"/>
  <c r="O9" i="26" a="1"/>
  <c r="O9" i="26" s="1"/>
  <c r="P9" i="26" a="1"/>
  <c r="P9" i="26" s="1"/>
  <c r="Q9" i="26" a="1"/>
  <c r="Q9" i="26" s="1"/>
  <c r="R9" i="26" a="1"/>
  <c r="R9" i="26" s="1"/>
  <c r="U9" i="26" a="1"/>
  <c r="U9" i="26" s="1"/>
  <c r="V9" i="26" a="1"/>
  <c r="V9" i="26" s="1"/>
  <c r="W9" i="26" a="1"/>
  <c r="W9" i="26" s="1"/>
  <c r="X9" i="26" a="1"/>
  <c r="X9" i="26" s="1"/>
  <c r="K10" i="26" a="1"/>
  <c r="K10" i="26" s="1"/>
  <c r="L10" i="26" a="1"/>
  <c r="L10" i="26" s="1"/>
  <c r="M10" i="26" a="1"/>
  <c r="M10" i="26" s="1"/>
  <c r="N10" i="26" a="1"/>
  <c r="N10" i="26" s="1"/>
  <c r="O10" i="26" a="1"/>
  <c r="O10" i="26" s="1"/>
  <c r="P10" i="26" a="1"/>
  <c r="P10" i="26" s="1"/>
  <c r="Q10" i="26" a="1"/>
  <c r="Q10" i="26" s="1"/>
  <c r="R10" i="26" a="1"/>
  <c r="R10" i="26" s="1"/>
  <c r="U10" i="26" a="1"/>
  <c r="U10" i="26" s="1"/>
  <c r="V10" i="26" a="1"/>
  <c r="V10" i="26" s="1"/>
  <c r="W10" i="26" a="1"/>
  <c r="W10" i="26" s="1"/>
  <c r="X10" i="26" a="1"/>
  <c r="X10" i="26" s="1"/>
  <c r="K11" i="26" a="1"/>
  <c r="K11" i="26" s="1"/>
  <c r="L11" i="26" a="1"/>
  <c r="L11" i="26" s="1"/>
  <c r="M11" i="26" a="1"/>
  <c r="M11" i="26" s="1"/>
  <c r="N11" i="26" a="1"/>
  <c r="N11" i="26" s="1"/>
  <c r="O11" i="26" a="1"/>
  <c r="O11" i="26" s="1"/>
  <c r="P11" i="26" a="1"/>
  <c r="P11" i="26" s="1"/>
  <c r="Q11" i="26" a="1"/>
  <c r="Q11" i="26" s="1"/>
  <c r="R11" i="26" a="1"/>
  <c r="R11" i="26" s="1"/>
  <c r="U11" i="26" a="1"/>
  <c r="U11" i="26" s="1"/>
  <c r="V11" i="26" a="1"/>
  <c r="V11" i="26" s="1"/>
  <c r="W11" i="26" a="1"/>
  <c r="W11" i="26" s="1"/>
  <c r="X11" i="26" a="1"/>
  <c r="X11" i="26" s="1"/>
  <c r="K12" i="26" a="1"/>
  <c r="K12" i="26" s="1"/>
  <c r="L12" i="26" a="1"/>
  <c r="L12" i="26" s="1"/>
  <c r="M12" i="26" a="1"/>
  <c r="M12" i="26" s="1"/>
  <c r="N12" i="26" a="1"/>
  <c r="N12" i="26" s="1"/>
  <c r="O12" i="26" a="1"/>
  <c r="O12" i="26" s="1"/>
  <c r="P12" i="26" a="1"/>
  <c r="P12" i="26" s="1"/>
  <c r="Q12" i="26" a="1"/>
  <c r="Q12" i="26" s="1"/>
  <c r="R12" i="26" a="1"/>
  <c r="R12" i="26" s="1"/>
  <c r="U12" i="26" a="1"/>
  <c r="U12" i="26" s="1"/>
  <c r="V12" i="26" a="1"/>
  <c r="V12" i="26" s="1"/>
  <c r="W12" i="26" a="1"/>
  <c r="W12" i="26" s="1"/>
  <c r="X12" i="26" a="1"/>
  <c r="X12" i="26" s="1"/>
  <c r="K13" i="26" a="1"/>
  <c r="K13" i="26" s="1"/>
  <c r="L13" i="26" a="1"/>
  <c r="L13" i="26" s="1"/>
  <c r="M13" i="26" a="1"/>
  <c r="M13" i="26" s="1"/>
  <c r="N13" i="26" a="1"/>
  <c r="N13" i="26" s="1"/>
  <c r="O13" i="26" a="1"/>
  <c r="O13" i="26" s="1"/>
  <c r="P13" i="26" a="1"/>
  <c r="P13" i="26" s="1"/>
  <c r="Q13" i="26" a="1"/>
  <c r="Q13" i="26" s="1"/>
  <c r="R13" i="26" a="1"/>
  <c r="R13" i="26" s="1"/>
  <c r="U13" i="26" a="1"/>
  <c r="U13" i="26" s="1"/>
  <c r="V13" i="26" a="1"/>
  <c r="V13" i="26" s="1"/>
  <c r="W13" i="26" a="1"/>
  <c r="W13" i="26" s="1"/>
  <c r="X13" i="26" a="1"/>
  <c r="X13" i="26" s="1"/>
  <c r="K14" i="26" a="1"/>
  <c r="K14" i="26" s="1"/>
  <c r="L14" i="26" a="1"/>
  <c r="L14" i="26" s="1"/>
  <c r="M14" i="26" a="1"/>
  <c r="M14" i="26" s="1"/>
  <c r="N14" i="26" a="1"/>
  <c r="N14" i="26" s="1"/>
  <c r="O14" i="26" a="1"/>
  <c r="O14" i="26" s="1"/>
  <c r="P14" i="26" a="1"/>
  <c r="P14" i="26" s="1"/>
  <c r="Q14" i="26" a="1"/>
  <c r="Q14" i="26" s="1"/>
  <c r="R14" i="26" a="1"/>
  <c r="R14" i="26" s="1"/>
  <c r="U14" i="26" a="1"/>
  <c r="U14" i="26" s="1"/>
  <c r="V14" i="26" a="1"/>
  <c r="V14" i="26" s="1"/>
  <c r="W14" i="26" a="1"/>
  <c r="W14" i="26" s="1"/>
  <c r="X14" i="26" a="1"/>
  <c r="X14" i="26" s="1"/>
  <c r="K15" i="26" a="1"/>
  <c r="K15" i="26" s="1"/>
  <c r="L15" i="26" a="1"/>
  <c r="L15" i="26" s="1"/>
  <c r="M15" i="26" a="1"/>
  <c r="M15" i="26" s="1"/>
  <c r="N15" i="26" a="1"/>
  <c r="N15" i="26" s="1"/>
  <c r="O15" i="26" a="1"/>
  <c r="O15" i="26" s="1"/>
  <c r="P15" i="26" a="1"/>
  <c r="P15" i="26" s="1"/>
  <c r="Q15" i="26" a="1"/>
  <c r="Q15" i="26" s="1"/>
  <c r="R15" i="26" a="1"/>
  <c r="R15" i="26" s="1"/>
  <c r="U15" i="26" a="1"/>
  <c r="U15" i="26" s="1"/>
  <c r="V15" i="26" a="1"/>
  <c r="V15" i="26" s="1"/>
  <c r="W15" i="26" a="1"/>
  <c r="W15" i="26" s="1"/>
  <c r="X15" i="26" a="1"/>
  <c r="X15" i="26" s="1"/>
  <c r="K16" i="26" a="1"/>
  <c r="K16" i="26" s="1"/>
  <c r="L16" i="26" a="1"/>
  <c r="L16" i="26" s="1"/>
  <c r="M16" i="26" a="1"/>
  <c r="M16" i="26" s="1"/>
  <c r="N16" i="26" a="1"/>
  <c r="N16" i="26" s="1"/>
  <c r="O16" i="26" a="1"/>
  <c r="O16" i="26" s="1"/>
  <c r="P16" i="26" a="1"/>
  <c r="P16" i="26" s="1"/>
  <c r="Q16" i="26" a="1"/>
  <c r="Q16" i="26" s="1"/>
  <c r="R16" i="26" a="1"/>
  <c r="R16" i="26" s="1"/>
  <c r="U16" i="26" a="1"/>
  <c r="U16" i="26" s="1"/>
  <c r="V16" i="26" a="1"/>
  <c r="V16" i="26" s="1"/>
  <c r="W16" i="26" a="1"/>
  <c r="W16" i="26" s="1"/>
  <c r="X16" i="26" a="1"/>
  <c r="X16" i="26" s="1"/>
  <c r="K17" i="26" a="1"/>
  <c r="K17" i="26" s="1"/>
  <c r="L17" i="26" a="1"/>
  <c r="L17" i="26" s="1"/>
  <c r="M17" i="26" a="1"/>
  <c r="M17" i="26" s="1"/>
  <c r="N17" i="26" a="1"/>
  <c r="N17" i="26" s="1"/>
  <c r="O17" i="26" a="1"/>
  <c r="O17" i="26" s="1"/>
  <c r="P17" i="26" a="1"/>
  <c r="P17" i="26" s="1"/>
  <c r="Q17" i="26" a="1"/>
  <c r="Q17" i="26" s="1"/>
  <c r="R17" i="26" a="1"/>
  <c r="R17" i="26" s="1"/>
  <c r="U17" i="26" a="1"/>
  <c r="U17" i="26" s="1"/>
  <c r="V17" i="26" a="1"/>
  <c r="V17" i="26" s="1"/>
  <c r="W17" i="26" a="1"/>
  <c r="W17" i="26" s="1"/>
  <c r="X17" i="26" a="1"/>
  <c r="X17" i="26" s="1"/>
  <c r="K18" i="26" a="1"/>
  <c r="K18" i="26" s="1"/>
  <c r="L18" i="26" a="1"/>
  <c r="L18" i="26" s="1"/>
  <c r="M18" i="26" a="1"/>
  <c r="M18" i="26" s="1"/>
  <c r="N18" i="26" a="1"/>
  <c r="N18" i="26" s="1"/>
  <c r="O18" i="26" a="1"/>
  <c r="O18" i="26" s="1"/>
  <c r="P18" i="26" a="1"/>
  <c r="P18" i="26" s="1"/>
  <c r="Q18" i="26" a="1"/>
  <c r="Q18" i="26" s="1"/>
  <c r="R18" i="26" a="1"/>
  <c r="R18" i="26" s="1"/>
  <c r="U18" i="26" a="1"/>
  <c r="U18" i="26" s="1"/>
  <c r="V18" i="26" a="1"/>
  <c r="V18" i="26" s="1"/>
  <c r="W18" i="26" a="1"/>
  <c r="W18" i="26" s="1"/>
  <c r="X18" i="26" a="1"/>
  <c r="X18" i="26" s="1"/>
  <c r="K19" i="26" a="1"/>
  <c r="K19" i="26" s="1"/>
  <c r="L19" i="26" a="1"/>
  <c r="L19" i="26" s="1"/>
  <c r="M19" i="26" a="1"/>
  <c r="M19" i="26" s="1"/>
  <c r="N19" i="26" a="1"/>
  <c r="N19" i="26" s="1"/>
  <c r="O19" i="26" a="1"/>
  <c r="O19" i="26" s="1"/>
  <c r="P19" i="26" a="1"/>
  <c r="P19" i="26" s="1"/>
  <c r="Q19" i="26" a="1"/>
  <c r="Q19" i="26" s="1"/>
  <c r="R19" i="26" a="1"/>
  <c r="R19" i="26" s="1"/>
  <c r="U19" i="26" a="1"/>
  <c r="U19" i="26" s="1"/>
  <c r="V19" i="26" a="1"/>
  <c r="V19" i="26" s="1"/>
  <c r="W19" i="26" a="1"/>
  <c r="W19" i="26" s="1"/>
  <c r="X19" i="26" a="1"/>
  <c r="X19" i="26" s="1"/>
  <c r="K20" i="26" a="1"/>
  <c r="K20" i="26" s="1"/>
  <c r="L20" i="26" a="1"/>
  <c r="L20" i="26" s="1"/>
  <c r="M20" i="26" a="1"/>
  <c r="M20" i="26" s="1"/>
  <c r="N20" i="26" a="1"/>
  <c r="N20" i="26" s="1"/>
  <c r="O20" i="26" a="1"/>
  <c r="O20" i="26" s="1"/>
  <c r="P20" i="26" a="1"/>
  <c r="P20" i="26" s="1"/>
  <c r="Q20" i="26" a="1"/>
  <c r="Q20" i="26" s="1"/>
  <c r="R20" i="26" a="1"/>
  <c r="R20" i="26" s="1"/>
  <c r="U20" i="26" a="1"/>
  <c r="U20" i="26" s="1"/>
  <c r="V20" i="26" a="1"/>
  <c r="V20" i="26" s="1"/>
  <c r="W20" i="26" a="1"/>
  <c r="W20" i="26" s="1"/>
  <c r="X20" i="26" a="1"/>
  <c r="X20" i="26" s="1"/>
  <c r="K21" i="26" a="1"/>
  <c r="K21" i="26" s="1"/>
  <c r="L21" i="26" a="1"/>
  <c r="L21" i="26" s="1"/>
  <c r="M21" i="26" a="1"/>
  <c r="M21" i="26" s="1"/>
  <c r="N21" i="26" a="1"/>
  <c r="N21" i="26" s="1"/>
  <c r="O21" i="26" a="1"/>
  <c r="O21" i="26" s="1"/>
  <c r="P21" i="26" a="1"/>
  <c r="P21" i="26" s="1"/>
  <c r="Q21" i="26" a="1"/>
  <c r="Q21" i="26" s="1"/>
  <c r="R21" i="26" a="1"/>
  <c r="R21" i="26" s="1"/>
  <c r="U21" i="26" a="1"/>
  <c r="U21" i="26" s="1"/>
  <c r="V21" i="26" a="1"/>
  <c r="V21" i="26" s="1"/>
  <c r="W21" i="26" a="1"/>
  <c r="W21" i="26" s="1"/>
  <c r="X21" i="26" a="1"/>
  <c r="X21" i="26" s="1"/>
  <c r="K22" i="26" a="1"/>
  <c r="K22" i="26" s="1"/>
  <c r="L22" i="26" a="1"/>
  <c r="L22" i="26" s="1"/>
  <c r="M22" i="26" a="1"/>
  <c r="M22" i="26" s="1"/>
  <c r="N22" i="26" a="1"/>
  <c r="N22" i="26" s="1"/>
  <c r="O22" i="26" a="1"/>
  <c r="O22" i="26" s="1"/>
  <c r="P22" i="26" a="1"/>
  <c r="P22" i="26" s="1"/>
  <c r="Q22" i="26" a="1"/>
  <c r="Q22" i="26" s="1"/>
  <c r="R22" i="26" a="1"/>
  <c r="R22" i="26" s="1"/>
  <c r="U22" i="26" a="1"/>
  <c r="U22" i="26" s="1"/>
  <c r="V22" i="26" a="1"/>
  <c r="V22" i="26" s="1"/>
  <c r="W22" i="26" a="1"/>
  <c r="W22" i="26" s="1"/>
  <c r="X22" i="26" a="1"/>
  <c r="X22" i="26" s="1"/>
  <c r="K23" i="26" a="1"/>
  <c r="K23" i="26" s="1"/>
  <c r="L23" i="26" a="1"/>
  <c r="L23" i="26" s="1"/>
  <c r="M23" i="26" a="1"/>
  <c r="M23" i="26" s="1"/>
  <c r="N23" i="26" a="1"/>
  <c r="N23" i="26" s="1"/>
  <c r="O23" i="26" a="1"/>
  <c r="O23" i="26" s="1"/>
  <c r="P23" i="26" a="1"/>
  <c r="P23" i="26" s="1"/>
  <c r="Q23" i="26" a="1"/>
  <c r="Q23" i="26" s="1"/>
  <c r="R23" i="26" a="1"/>
  <c r="R23" i="26" s="1"/>
  <c r="U23" i="26" a="1"/>
  <c r="U23" i="26" s="1"/>
  <c r="V23" i="26" a="1"/>
  <c r="V23" i="26" s="1"/>
  <c r="W23" i="26" a="1"/>
  <c r="W23" i="26" s="1"/>
  <c r="X23" i="26" a="1"/>
  <c r="X23" i="26" s="1"/>
  <c r="K24" i="26" a="1"/>
  <c r="K24" i="26" s="1"/>
  <c r="L24" i="26" a="1"/>
  <c r="L24" i="26" s="1"/>
  <c r="M24" i="26" a="1"/>
  <c r="M24" i="26" s="1"/>
  <c r="N24" i="26" a="1"/>
  <c r="N24" i="26" s="1"/>
  <c r="O24" i="26" a="1"/>
  <c r="O24" i="26" s="1"/>
  <c r="P24" i="26" a="1"/>
  <c r="P24" i="26" s="1"/>
  <c r="Q24" i="26" a="1"/>
  <c r="Q24" i="26" s="1"/>
  <c r="R24" i="26" a="1"/>
  <c r="R24" i="26" s="1"/>
  <c r="U24" i="26" a="1"/>
  <c r="U24" i="26" s="1"/>
  <c r="V24" i="26" a="1"/>
  <c r="V24" i="26" s="1"/>
  <c r="W24" i="26" a="1"/>
  <c r="W24" i="26" s="1"/>
  <c r="X24" i="26" a="1"/>
  <c r="X24" i="26" s="1"/>
  <c r="K25" i="26" a="1"/>
  <c r="K25" i="26" s="1"/>
  <c r="L25" i="26" a="1"/>
  <c r="L25" i="26" s="1"/>
  <c r="M25" i="26" a="1"/>
  <c r="M25" i="26" s="1"/>
  <c r="N25" i="26" a="1"/>
  <c r="N25" i="26" s="1"/>
  <c r="O25" i="26" a="1"/>
  <c r="O25" i="26" s="1"/>
  <c r="P25" i="26" a="1"/>
  <c r="P25" i="26" s="1"/>
  <c r="Q25" i="26" a="1"/>
  <c r="Q25" i="26" s="1"/>
  <c r="R25" i="26" a="1"/>
  <c r="R25" i="26" s="1"/>
  <c r="U25" i="26" a="1"/>
  <c r="U25" i="26" s="1"/>
  <c r="V25" i="26" a="1"/>
  <c r="V25" i="26" s="1"/>
  <c r="W25" i="26" a="1"/>
  <c r="W25" i="26" s="1"/>
  <c r="X25" i="26" a="1"/>
  <c r="X25" i="26" s="1"/>
  <c r="K26" i="26" a="1"/>
  <c r="K26" i="26" s="1"/>
  <c r="L26" i="26" a="1"/>
  <c r="L26" i="26" s="1"/>
  <c r="M26" i="26" a="1"/>
  <c r="M26" i="26" s="1"/>
  <c r="N26" i="26" a="1"/>
  <c r="N26" i="26" s="1"/>
  <c r="O26" i="26" a="1"/>
  <c r="O26" i="26" s="1"/>
  <c r="P26" i="26" a="1"/>
  <c r="P26" i="26" s="1"/>
  <c r="Q26" i="26" a="1"/>
  <c r="Q26" i="26" s="1"/>
  <c r="R26" i="26" a="1"/>
  <c r="R26" i="26" s="1"/>
  <c r="U26" i="26" a="1"/>
  <c r="U26" i="26" s="1"/>
  <c r="V26" i="26" a="1"/>
  <c r="V26" i="26" s="1"/>
  <c r="W26" i="26" a="1"/>
  <c r="W26" i="26" s="1"/>
  <c r="X26" i="26" a="1"/>
  <c r="X26" i="26" s="1"/>
  <c r="K27" i="26" a="1"/>
  <c r="K27" i="26" s="1"/>
  <c r="L27" i="26" a="1"/>
  <c r="L27" i="26" s="1"/>
  <c r="M27" i="26" a="1"/>
  <c r="M27" i="26" s="1"/>
  <c r="N27" i="26" a="1"/>
  <c r="N27" i="26" s="1"/>
  <c r="O27" i="26" a="1"/>
  <c r="O27" i="26" s="1"/>
  <c r="P27" i="26" a="1"/>
  <c r="P27" i="26" s="1"/>
  <c r="Q27" i="26" a="1"/>
  <c r="Q27" i="26" s="1"/>
  <c r="R27" i="26" a="1"/>
  <c r="R27" i="26" s="1"/>
  <c r="U27" i="26" a="1"/>
  <c r="U27" i="26" s="1"/>
  <c r="V27" i="26" a="1"/>
  <c r="V27" i="26" s="1"/>
  <c r="W27" i="26" a="1"/>
  <c r="W27" i="26" s="1"/>
  <c r="X27" i="26" a="1"/>
  <c r="X27" i="26" s="1"/>
  <c r="K28" i="26" a="1"/>
  <c r="K28" i="26" s="1"/>
  <c r="L28" i="26" a="1"/>
  <c r="L28" i="26" s="1"/>
  <c r="M28" i="26" a="1"/>
  <c r="M28" i="26" s="1"/>
  <c r="N28" i="26" a="1"/>
  <c r="N28" i="26" s="1"/>
  <c r="O28" i="26" a="1"/>
  <c r="O28" i="26" s="1"/>
  <c r="P28" i="26" a="1"/>
  <c r="P28" i="26" s="1"/>
  <c r="Q28" i="26" a="1"/>
  <c r="Q28" i="26" s="1"/>
  <c r="R28" i="26" a="1"/>
  <c r="R28" i="26" s="1"/>
  <c r="U28" i="26" a="1"/>
  <c r="U28" i="26" s="1"/>
  <c r="V28" i="26" a="1"/>
  <c r="V28" i="26" s="1"/>
  <c r="W28" i="26" a="1"/>
  <c r="W28" i="26" s="1"/>
  <c r="X28" i="26" a="1"/>
  <c r="X28" i="26" s="1"/>
  <c r="K29" i="26" a="1"/>
  <c r="K29" i="26" s="1"/>
  <c r="L29" i="26" a="1"/>
  <c r="L29" i="26" s="1"/>
  <c r="M29" i="26" a="1"/>
  <c r="M29" i="26" s="1"/>
  <c r="N29" i="26" a="1"/>
  <c r="N29" i="26" s="1"/>
  <c r="O29" i="26" a="1"/>
  <c r="O29" i="26" s="1"/>
  <c r="P29" i="26" a="1"/>
  <c r="P29" i="26" s="1"/>
  <c r="Q29" i="26" a="1"/>
  <c r="Q29" i="26" s="1"/>
  <c r="R29" i="26" a="1"/>
  <c r="R29" i="26" s="1"/>
  <c r="U29" i="26" a="1"/>
  <c r="U29" i="26" s="1"/>
  <c r="V29" i="26" a="1"/>
  <c r="V29" i="26" s="1"/>
  <c r="W29" i="26" a="1"/>
  <c r="W29" i="26" s="1"/>
  <c r="X29" i="26" a="1"/>
  <c r="X29" i="26" s="1"/>
  <c r="K30" i="26" a="1"/>
  <c r="K30" i="26" s="1"/>
  <c r="L30" i="26" a="1"/>
  <c r="L30" i="26" s="1"/>
  <c r="M30" i="26" a="1"/>
  <c r="M30" i="26" s="1"/>
  <c r="N30" i="26" a="1"/>
  <c r="N30" i="26" s="1"/>
  <c r="O30" i="26" a="1"/>
  <c r="O30" i="26" s="1"/>
  <c r="P30" i="26" a="1"/>
  <c r="P30" i="26" s="1"/>
  <c r="Q30" i="26" a="1"/>
  <c r="Q30" i="26" s="1"/>
  <c r="R30" i="26" a="1"/>
  <c r="R30" i="26" s="1"/>
  <c r="U30" i="26" a="1"/>
  <c r="U30" i="26" s="1"/>
  <c r="V30" i="26" a="1"/>
  <c r="V30" i="26" s="1"/>
  <c r="W30" i="26" a="1"/>
  <c r="W30" i="26" s="1"/>
  <c r="X30" i="26" a="1"/>
  <c r="X30" i="26" s="1"/>
  <c r="K31" i="26" a="1"/>
  <c r="K31" i="26" s="1"/>
  <c r="L31" i="26" a="1"/>
  <c r="L31" i="26" s="1"/>
  <c r="M31" i="26" a="1"/>
  <c r="M31" i="26" s="1"/>
  <c r="N31" i="26" a="1"/>
  <c r="N31" i="26" s="1"/>
  <c r="O31" i="26" a="1"/>
  <c r="O31" i="26" s="1"/>
  <c r="P31" i="26" a="1"/>
  <c r="P31" i="26" s="1"/>
  <c r="Q31" i="26" a="1"/>
  <c r="Q31" i="26" s="1"/>
  <c r="R31" i="26" a="1"/>
  <c r="R31" i="26" s="1"/>
  <c r="U31" i="26" a="1"/>
  <c r="U31" i="26" s="1"/>
  <c r="V31" i="26" a="1"/>
  <c r="V31" i="26" s="1"/>
  <c r="W31" i="26" a="1"/>
  <c r="W31" i="26" s="1"/>
  <c r="X31" i="26" a="1"/>
  <c r="X31" i="26" s="1"/>
  <c r="K32" i="26" a="1"/>
  <c r="K32" i="26" s="1"/>
  <c r="L32" i="26" a="1"/>
  <c r="L32" i="26" s="1"/>
  <c r="M32" i="26" a="1"/>
  <c r="M32" i="26" s="1"/>
  <c r="N32" i="26" a="1"/>
  <c r="N32" i="26" s="1"/>
  <c r="O32" i="26" a="1"/>
  <c r="O32" i="26" s="1"/>
  <c r="P32" i="26" a="1"/>
  <c r="P32" i="26" s="1"/>
  <c r="Q32" i="26" a="1"/>
  <c r="Q32" i="26" s="1"/>
  <c r="R32" i="26" a="1"/>
  <c r="R32" i="26" s="1"/>
  <c r="U32" i="26" a="1"/>
  <c r="U32" i="26" s="1"/>
  <c r="V32" i="26" a="1"/>
  <c r="V32" i="26" s="1"/>
  <c r="W32" i="26" a="1"/>
  <c r="W32" i="26" s="1"/>
  <c r="X32" i="26" a="1"/>
  <c r="X32" i="26" s="1"/>
  <c r="K33" i="26" a="1"/>
  <c r="K33" i="26" s="1"/>
  <c r="L33" i="26" a="1"/>
  <c r="L33" i="26" s="1"/>
  <c r="M33" i="26" a="1"/>
  <c r="M33" i="26" s="1"/>
  <c r="N33" i="26" a="1"/>
  <c r="N33" i="26" s="1"/>
  <c r="O33" i="26" a="1"/>
  <c r="O33" i="26" s="1"/>
  <c r="P33" i="26" a="1"/>
  <c r="P33" i="26" s="1"/>
  <c r="Q33" i="26" a="1"/>
  <c r="Q33" i="26" s="1"/>
  <c r="R33" i="26" a="1"/>
  <c r="R33" i="26" s="1"/>
  <c r="U33" i="26" a="1"/>
  <c r="U33" i="26" s="1"/>
  <c r="V33" i="26" a="1"/>
  <c r="V33" i="26" s="1"/>
  <c r="W33" i="26" a="1"/>
  <c r="W33" i="26" s="1"/>
  <c r="X33" i="26" a="1"/>
  <c r="X33" i="26" s="1"/>
  <c r="K34" i="26" a="1"/>
  <c r="K34" i="26" s="1"/>
  <c r="L34" i="26" a="1"/>
  <c r="L34" i="26" s="1"/>
  <c r="M34" i="26" a="1"/>
  <c r="M34" i="26" s="1"/>
  <c r="N34" i="26" a="1"/>
  <c r="N34" i="26" s="1"/>
  <c r="O34" i="26" a="1"/>
  <c r="O34" i="26" s="1"/>
  <c r="P34" i="26" a="1"/>
  <c r="P34" i="26" s="1"/>
  <c r="Q34" i="26" a="1"/>
  <c r="Q34" i="26" s="1"/>
  <c r="R34" i="26" a="1"/>
  <c r="R34" i="26" s="1"/>
  <c r="U34" i="26" a="1"/>
  <c r="U34" i="26" s="1"/>
  <c r="V34" i="26" a="1"/>
  <c r="V34" i="26" s="1"/>
  <c r="W34" i="26" a="1"/>
  <c r="W34" i="26" s="1"/>
  <c r="X34" i="26" a="1"/>
  <c r="X34" i="26" s="1"/>
  <c r="K35" i="26" a="1"/>
  <c r="K35" i="26" s="1"/>
  <c r="L35" i="26" a="1"/>
  <c r="L35" i="26" s="1"/>
  <c r="M35" i="26" a="1"/>
  <c r="M35" i="26" s="1"/>
  <c r="N35" i="26" a="1"/>
  <c r="N35" i="26" s="1"/>
  <c r="O35" i="26" a="1"/>
  <c r="O35" i="26" s="1"/>
  <c r="P35" i="26" a="1"/>
  <c r="P35" i="26" s="1"/>
  <c r="Q35" i="26" a="1"/>
  <c r="Q35" i="26" s="1"/>
  <c r="R35" i="26" a="1"/>
  <c r="R35" i="26" s="1"/>
  <c r="U35" i="26" a="1"/>
  <c r="U35" i="26" s="1"/>
  <c r="V35" i="26" a="1"/>
  <c r="V35" i="26" s="1"/>
  <c r="W35" i="26" a="1"/>
  <c r="W35" i="26" s="1"/>
  <c r="X35" i="26" a="1"/>
  <c r="X35" i="26" s="1"/>
  <c r="K36" i="26" a="1"/>
  <c r="K36" i="26" s="1"/>
  <c r="L36" i="26" a="1"/>
  <c r="L36" i="26" s="1"/>
  <c r="M36" i="26" a="1"/>
  <c r="M36" i="26" s="1"/>
  <c r="N36" i="26" a="1"/>
  <c r="N36" i="26" s="1"/>
  <c r="O36" i="26" a="1"/>
  <c r="O36" i="26" s="1"/>
  <c r="P36" i="26" a="1"/>
  <c r="P36" i="26" s="1"/>
  <c r="Q36" i="26" a="1"/>
  <c r="Q36" i="26" s="1"/>
  <c r="R36" i="26" a="1"/>
  <c r="R36" i="26" s="1"/>
  <c r="U36" i="26" a="1"/>
  <c r="U36" i="26" s="1"/>
  <c r="V36" i="26" a="1"/>
  <c r="V36" i="26" s="1"/>
  <c r="W36" i="26" a="1"/>
  <c r="W36" i="26" s="1"/>
  <c r="X36" i="26" a="1"/>
  <c r="X36" i="26" s="1"/>
  <c r="K37" i="26" a="1"/>
  <c r="K37" i="26" s="1"/>
  <c r="L37" i="26" a="1"/>
  <c r="L37" i="26" s="1"/>
  <c r="M37" i="26" a="1"/>
  <c r="M37" i="26" s="1"/>
  <c r="N37" i="26" a="1"/>
  <c r="N37" i="26" s="1"/>
  <c r="O37" i="26" a="1"/>
  <c r="O37" i="26" s="1"/>
  <c r="P37" i="26" a="1"/>
  <c r="P37" i="26" s="1"/>
  <c r="Q37" i="26" a="1"/>
  <c r="Q37" i="26" s="1"/>
  <c r="R37" i="26" a="1"/>
  <c r="R37" i="26" s="1"/>
  <c r="U37" i="26" a="1"/>
  <c r="U37" i="26" s="1"/>
  <c r="V37" i="26" a="1"/>
  <c r="V37" i="26" s="1"/>
  <c r="W37" i="26" a="1"/>
  <c r="W37" i="26" s="1"/>
  <c r="X37" i="26" a="1"/>
  <c r="X37" i="26" s="1"/>
  <c r="K38" i="26" a="1"/>
  <c r="K38" i="26" s="1"/>
  <c r="L38" i="26" a="1"/>
  <c r="L38" i="26" s="1"/>
  <c r="M38" i="26" a="1"/>
  <c r="M38" i="26" s="1"/>
  <c r="N38" i="26" a="1"/>
  <c r="N38" i="26" s="1"/>
  <c r="O38" i="26" a="1"/>
  <c r="O38" i="26" s="1"/>
  <c r="P38" i="26" a="1"/>
  <c r="P38" i="26" s="1"/>
  <c r="Q38" i="26" a="1"/>
  <c r="Q38" i="26" s="1"/>
  <c r="R38" i="26" a="1"/>
  <c r="R38" i="26" s="1"/>
  <c r="U38" i="26" a="1"/>
  <c r="U38" i="26" s="1"/>
  <c r="V38" i="26" a="1"/>
  <c r="V38" i="26" s="1"/>
  <c r="W38" i="26" a="1"/>
  <c r="W38" i="26" s="1"/>
  <c r="X38" i="26" a="1"/>
  <c r="X38" i="26" s="1"/>
  <c r="K39" i="26" a="1"/>
  <c r="K39" i="26" s="1"/>
  <c r="L39" i="26" a="1"/>
  <c r="L39" i="26" s="1"/>
  <c r="M39" i="26" a="1"/>
  <c r="M39" i="26" s="1"/>
  <c r="N39" i="26" a="1"/>
  <c r="N39" i="26" s="1"/>
  <c r="O39" i="26" a="1"/>
  <c r="O39" i="26" s="1"/>
  <c r="P39" i="26" a="1"/>
  <c r="P39" i="26" s="1"/>
  <c r="Q39" i="26" a="1"/>
  <c r="Q39" i="26" s="1"/>
  <c r="R39" i="26" a="1"/>
  <c r="R39" i="26" s="1"/>
  <c r="U39" i="26" a="1"/>
  <c r="U39" i="26" s="1"/>
  <c r="V39" i="26" a="1"/>
  <c r="V39" i="26" s="1"/>
  <c r="W39" i="26" a="1"/>
  <c r="W39" i="26" s="1"/>
  <c r="X39" i="26" a="1"/>
  <c r="X39" i="26" s="1"/>
  <c r="K40" i="26" a="1"/>
  <c r="K40" i="26" s="1"/>
  <c r="L40" i="26" a="1"/>
  <c r="L40" i="26" s="1"/>
  <c r="M40" i="26" a="1"/>
  <c r="M40" i="26" s="1"/>
  <c r="N40" i="26" a="1"/>
  <c r="N40" i="26" s="1"/>
  <c r="O40" i="26" a="1"/>
  <c r="O40" i="26" s="1"/>
  <c r="P40" i="26" a="1"/>
  <c r="P40" i="26" s="1"/>
  <c r="Q40" i="26" a="1"/>
  <c r="Q40" i="26" s="1"/>
  <c r="R40" i="26" a="1"/>
  <c r="R40" i="26" s="1"/>
  <c r="U40" i="26" a="1"/>
  <c r="U40" i="26" s="1"/>
  <c r="V40" i="26" a="1"/>
  <c r="V40" i="26" s="1"/>
  <c r="W40" i="26" a="1"/>
  <c r="W40" i="26" s="1"/>
  <c r="X40" i="26" a="1"/>
  <c r="X40" i="26" s="1"/>
  <c r="K41" i="26" a="1"/>
  <c r="K41" i="26" s="1"/>
  <c r="L41" i="26" a="1"/>
  <c r="L41" i="26" s="1"/>
  <c r="M41" i="26" a="1"/>
  <c r="M41" i="26" s="1"/>
  <c r="N41" i="26" a="1"/>
  <c r="N41" i="26" s="1"/>
  <c r="O41" i="26" a="1"/>
  <c r="O41" i="26" s="1"/>
  <c r="P41" i="26" a="1"/>
  <c r="P41" i="26" s="1"/>
  <c r="Q41" i="26" a="1"/>
  <c r="Q41" i="26" s="1"/>
  <c r="R41" i="26" a="1"/>
  <c r="R41" i="26" s="1"/>
  <c r="U41" i="26" a="1"/>
  <c r="U41" i="26" s="1"/>
  <c r="V41" i="26" a="1"/>
  <c r="V41" i="26" s="1"/>
  <c r="W41" i="26" a="1"/>
  <c r="W41" i="26" s="1"/>
  <c r="X41" i="26" a="1"/>
  <c r="X41" i="26" s="1"/>
  <c r="K42" i="26" a="1"/>
  <c r="K42" i="26" s="1"/>
  <c r="L42" i="26" a="1"/>
  <c r="L42" i="26" s="1"/>
  <c r="M42" i="26" a="1"/>
  <c r="M42" i="26" s="1"/>
  <c r="N42" i="26" a="1"/>
  <c r="N42" i="26" s="1"/>
  <c r="O42" i="26" a="1"/>
  <c r="O42" i="26" s="1"/>
  <c r="P42" i="26" a="1"/>
  <c r="P42" i="26" s="1"/>
  <c r="Q42" i="26" a="1"/>
  <c r="Q42" i="26" s="1"/>
  <c r="R42" i="26" a="1"/>
  <c r="R42" i="26" s="1"/>
  <c r="U42" i="26" a="1"/>
  <c r="U42" i="26" s="1"/>
  <c r="V42" i="26" a="1"/>
  <c r="V42" i="26" s="1"/>
  <c r="W42" i="26" a="1"/>
  <c r="W42" i="26" s="1"/>
  <c r="X42" i="26" a="1"/>
  <c r="X42" i="26" s="1"/>
  <c r="K43" i="26" a="1"/>
  <c r="K43" i="26" s="1"/>
  <c r="L43" i="26" a="1"/>
  <c r="L43" i="26" s="1"/>
  <c r="M43" i="26" a="1"/>
  <c r="M43" i="26" s="1"/>
  <c r="N43" i="26" a="1"/>
  <c r="N43" i="26" s="1"/>
  <c r="O43" i="26" a="1"/>
  <c r="O43" i="26" s="1"/>
  <c r="P43" i="26" a="1"/>
  <c r="P43" i="26" s="1"/>
  <c r="Q43" i="26" a="1"/>
  <c r="Q43" i="26" s="1"/>
  <c r="R43" i="26" a="1"/>
  <c r="R43" i="26" s="1"/>
  <c r="U43" i="26" a="1"/>
  <c r="U43" i="26" s="1"/>
  <c r="V43" i="26" a="1"/>
  <c r="V43" i="26" s="1"/>
  <c r="W43" i="26" a="1"/>
  <c r="W43" i="26" s="1"/>
  <c r="X43" i="26" a="1"/>
  <c r="X43" i="26" s="1"/>
  <c r="K44" i="26" a="1"/>
  <c r="K44" i="26" s="1"/>
  <c r="L44" i="26" a="1"/>
  <c r="L44" i="26" s="1"/>
  <c r="M44" i="26" a="1"/>
  <c r="M44" i="26" s="1"/>
  <c r="N44" i="26" a="1"/>
  <c r="N44" i="26" s="1"/>
  <c r="O44" i="26" a="1"/>
  <c r="O44" i="26" s="1"/>
  <c r="P44" i="26" a="1"/>
  <c r="P44" i="26" s="1"/>
  <c r="Q44" i="26" a="1"/>
  <c r="Q44" i="26" s="1"/>
  <c r="R44" i="26" a="1"/>
  <c r="R44" i="26" s="1"/>
  <c r="U44" i="26" a="1"/>
  <c r="U44" i="26" s="1"/>
  <c r="V44" i="26" a="1"/>
  <c r="V44" i="26" s="1"/>
  <c r="W44" i="26" a="1"/>
  <c r="W44" i="26" s="1"/>
  <c r="X44" i="26" a="1"/>
  <c r="X44" i="26" s="1"/>
  <c r="K45" i="26" a="1"/>
  <c r="K45" i="26" s="1"/>
  <c r="L45" i="26" a="1"/>
  <c r="L45" i="26" s="1"/>
  <c r="M45" i="26" a="1"/>
  <c r="M45" i="26" s="1"/>
  <c r="N45" i="26" a="1"/>
  <c r="N45" i="26" s="1"/>
  <c r="O45" i="26" a="1"/>
  <c r="O45" i="26" s="1"/>
  <c r="P45" i="26" a="1"/>
  <c r="P45" i="26" s="1"/>
  <c r="Q45" i="26" a="1"/>
  <c r="Q45" i="26" s="1"/>
  <c r="R45" i="26" a="1"/>
  <c r="R45" i="26" s="1"/>
  <c r="U45" i="26" a="1"/>
  <c r="U45" i="26" s="1"/>
  <c r="V45" i="26" a="1"/>
  <c r="V45" i="26" s="1"/>
  <c r="W45" i="26" a="1"/>
  <c r="W45" i="26" s="1"/>
  <c r="X45" i="26" a="1"/>
  <c r="X45" i="26" s="1"/>
  <c r="K46" i="26" a="1"/>
  <c r="K46" i="26" s="1"/>
  <c r="L46" i="26" a="1"/>
  <c r="L46" i="26" s="1"/>
  <c r="M46" i="26" a="1"/>
  <c r="M46" i="26" s="1"/>
  <c r="N46" i="26" a="1"/>
  <c r="N46" i="26" s="1"/>
  <c r="O46" i="26" a="1"/>
  <c r="O46" i="26" s="1"/>
  <c r="P46" i="26" a="1"/>
  <c r="P46" i="26" s="1"/>
  <c r="Q46" i="26" a="1"/>
  <c r="Q46" i="26" s="1"/>
  <c r="R46" i="26" a="1"/>
  <c r="R46" i="26" s="1"/>
  <c r="U46" i="26" a="1"/>
  <c r="U46" i="26" s="1"/>
  <c r="V46" i="26" a="1"/>
  <c r="V46" i="26" s="1"/>
  <c r="W46" i="26" a="1"/>
  <c r="W46" i="26" s="1"/>
  <c r="X46" i="26" a="1"/>
  <c r="X46" i="26" s="1"/>
  <c r="K47" i="26" a="1"/>
  <c r="K47" i="26" s="1"/>
  <c r="L47" i="26" a="1"/>
  <c r="L47" i="26" s="1"/>
  <c r="M47" i="26" a="1"/>
  <c r="M47" i="26" s="1"/>
  <c r="N47" i="26" a="1"/>
  <c r="N47" i="26" s="1"/>
  <c r="O47" i="26" a="1"/>
  <c r="O47" i="26" s="1"/>
  <c r="P47" i="26" a="1"/>
  <c r="P47" i="26" s="1"/>
  <c r="Q47" i="26" a="1"/>
  <c r="Q47" i="26" s="1"/>
  <c r="R47" i="26" a="1"/>
  <c r="R47" i="26" s="1"/>
  <c r="U47" i="26" a="1"/>
  <c r="U47" i="26" s="1"/>
  <c r="V47" i="26" a="1"/>
  <c r="V47" i="26" s="1"/>
  <c r="W47" i="26" a="1"/>
  <c r="W47" i="26" s="1"/>
  <c r="X47" i="26" a="1"/>
  <c r="X47" i="26" s="1"/>
  <c r="K48" i="26" a="1"/>
  <c r="K48" i="26" s="1"/>
  <c r="L48" i="26" a="1"/>
  <c r="L48" i="26" s="1"/>
  <c r="M48" i="26" a="1"/>
  <c r="M48" i="26" s="1"/>
  <c r="N48" i="26" a="1"/>
  <c r="N48" i="26" s="1"/>
  <c r="O48" i="26" a="1"/>
  <c r="O48" i="26" s="1"/>
  <c r="P48" i="26" a="1"/>
  <c r="P48" i="26" s="1"/>
  <c r="Q48" i="26" a="1"/>
  <c r="Q48" i="26" s="1"/>
  <c r="R48" i="26" a="1"/>
  <c r="R48" i="26" s="1"/>
  <c r="U48" i="26" a="1"/>
  <c r="U48" i="26" s="1"/>
  <c r="V48" i="26" a="1"/>
  <c r="V48" i="26" s="1"/>
  <c r="W48" i="26" a="1"/>
  <c r="W48" i="26" s="1"/>
  <c r="X48" i="26" a="1"/>
  <c r="X48" i="26" s="1"/>
  <c r="K49" i="26" a="1"/>
  <c r="K49" i="26" s="1"/>
  <c r="L49" i="26" a="1"/>
  <c r="L49" i="26" s="1"/>
  <c r="M49" i="26" a="1"/>
  <c r="M49" i="26" s="1"/>
  <c r="N49" i="26" a="1"/>
  <c r="N49" i="26" s="1"/>
  <c r="O49" i="26" a="1"/>
  <c r="O49" i="26" s="1"/>
  <c r="P49" i="26" a="1"/>
  <c r="P49" i="26" s="1"/>
  <c r="Q49" i="26" a="1"/>
  <c r="Q49" i="26" s="1"/>
  <c r="R49" i="26" a="1"/>
  <c r="R49" i="26" s="1"/>
  <c r="U49" i="26" a="1"/>
  <c r="U49" i="26" s="1"/>
  <c r="V49" i="26" a="1"/>
  <c r="V49" i="26" s="1"/>
  <c r="W49" i="26" a="1"/>
  <c r="W49" i="26" s="1"/>
  <c r="X49" i="26" a="1"/>
  <c r="X49" i="26" s="1"/>
  <c r="K50" i="26" a="1"/>
  <c r="K50" i="26" s="1"/>
  <c r="L50" i="26" a="1"/>
  <c r="L50" i="26" s="1"/>
  <c r="M50" i="26" a="1"/>
  <c r="M50" i="26" s="1"/>
  <c r="N50" i="26" a="1"/>
  <c r="N50" i="26" s="1"/>
  <c r="O50" i="26" a="1"/>
  <c r="O50" i="26" s="1"/>
  <c r="P50" i="26" a="1"/>
  <c r="P50" i="26" s="1"/>
  <c r="Q50" i="26" a="1"/>
  <c r="Q50" i="26" s="1"/>
  <c r="R50" i="26" a="1"/>
  <c r="R50" i="26" s="1"/>
  <c r="U50" i="26" a="1"/>
  <c r="U50" i="26" s="1"/>
  <c r="V50" i="26" a="1"/>
  <c r="V50" i="26" s="1"/>
  <c r="W50" i="26" a="1"/>
  <c r="W50" i="26" s="1"/>
  <c r="X50" i="26" a="1"/>
  <c r="X50" i="26" s="1"/>
  <c r="K51" i="26" a="1"/>
  <c r="K51" i="26" s="1"/>
  <c r="L51" i="26" a="1"/>
  <c r="L51" i="26" s="1"/>
  <c r="M51" i="26" a="1"/>
  <c r="M51" i="26" s="1"/>
  <c r="N51" i="26" a="1"/>
  <c r="N51" i="26" s="1"/>
  <c r="O51" i="26" a="1"/>
  <c r="O51" i="26" s="1"/>
  <c r="P51" i="26" a="1"/>
  <c r="P51" i="26" s="1"/>
  <c r="Q51" i="26" a="1"/>
  <c r="Q51" i="26" s="1"/>
  <c r="R51" i="26" a="1"/>
  <c r="R51" i="26" s="1"/>
  <c r="U51" i="26" a="1"/>
  <c r="U51" i="26" s="1"/>
  <c r="V51" i="26" a="1"/>
  <c r="V51" i="26" s="1"/>
  <c r="W51" i="26" a="1"/>
  <c r="W51" i="26" s="1"/>
  <c r="X51" i="26" a="1"/>
  <c r="X51" i="26" s="1"/>
  <c r="K52" i="26" a="1"/>
  <c r="K52" i="26" s="1"/>
  <c r="L52" i="26" a="1"/>
  <c r="L52" i="26" s="1"/>
  <c r="M52" i="26" a="1"/>
  <c r="M52" i="26" s="1"/>
  <c r="N52" i="26" a="1"/>
  <c r="N52" i="26" s="1"/>
  <c r="O52" i="26" a="1"/>
  <c r="O52" i="26" s="1"/>
  <c r="P52" i="26" a="1"/>
  <c r="P52" i="26" s="1"/>
  <c r="Q52" i="26" a="1"/>
  <c r="Q52" i="26" s="1"/>
  <c r="R52" i="26" a="1"/>
  <c r="R52" i="26" s="1"/>
  <c r="U52" i="26" a="1"/>
  <c r="U52" i="26" s="1"/>
  <c r="V52" i="26" a="1"/>
  <c r="V52" i="26" s="1"/>
  <c r="W52" i="26" a="1"/>
  <c r="W52" i="26" s="1"/>
  <c r="X52" i="26" a="1"/>
  <c r="X52" i="26" s="1"/>
  <c r="K53" i="26" a="1"/>
  <c r="K53" i="26" s="1"/>
  <c r="L53" i="26" a="1"/>
  <c r="L53" i="26" s="1"/>
  <c r="M53" i="26" a="1"/>
  <c r="M53" i="26" s="1"/>
  <c r="N53" i="26" a="1"/>
  <c r="N53" i="26" s="1"/>
  <c r="O53" i="26" a="1"/>
  <c r="O53" i="26" s="1"/>
  <c r="P53" i="26" a="1"/>
  <c r="P53" i="26" s="1"/>
  <c r="Q53" i="26" a="1"/>
  <c r="Q53" i="26" s="1"/>
  <c r="R53" i="26" a="1"/>
  <c r="R53" i="26" s="1"/>
  <c r="U53" i="26" a="1"/>
  <c r="U53" i="26" s="1"/>
  <c r="V53" i="26" a="1"/>
  <c r="V53" i="26" s="1"/>
  <c r="W53" i="26" a="1"/>
  <c r="W53" i="26" s="1"/>
  <c r="X53" i="26" a="1"/>
  <c r="X53" i="26" s="1"/>
  <c r="K54" i="26" a="1"/>
  <c r="K54" i="26" s="1"/>
  <c r="L54" i="26" a="1"/>
  <c r="L54" i="26" s="1"/>
  <c r="M54" i="26" a="1"/>
  <c r="M54" i="26" s="1"/>
  <c r="N54" i="26" a="1"/>
  <c r="N54" i="26" s="1"/>
  <c r="O54" i="26" a="1"/>
  <c r="O54" i="26" s="1"/>
  <c r="P54" i="26" a="1"/>
  <c r="P54" i="26" s="1"/>
  <c r="Q54" i="26" a="1"/>
  <c r="Q54" i="26" s="1"/>
  <c r="R54" i="26" a="1"/>
  <c r="R54" i="26" s="1"/>
  <c r="U54" i="26" a="1"/>
  <c r="U54" i="26" s="1"/>
  <c r="V54" i="26" a="1"/>
  <c r="V54" i="26" s="1"/>
  <c r="W54" i="26" a="1"/>
  <c r="W54" i="26" s="1"/>
  <c r="X54" i="26" a="1"/>
  <c r="X54" i="26" s="1"/>
  <c r="K55" i="26" a="1"/>
  <c r="K55" i="26" s="1"/>
  <c r="L55" i="26" a="1"/>
  <c r="L55" i="26" s="1"/>
  <c r="M55" i="26" a="1"/>
  <c r="M55" i="26" s="1"/>
  <c r="N55" i="26" a="1"/>
  <c r="N55" i="26" s="1"/>
  <c r="O55" i="26" a="1"/>
  <c r="O55" i="26" s="1"/>
  <c r="P55" i="26" a="1"/>
  <c r="P55" i="26" s="1"/>
  <c r="Q55" i="26" a="1"/>
  <c r="Q55" i="26" s="1"/>
  <c r="R55" i="26" a="1"/>
  <c r="R55" i="26" s="1"/>
  <c r="U55" i="26" a="1"/>
  <c r="U55" i="26" s="1"/>
  <c r="V55" i="26" a="1"/>
  <c r="V55" i="26" s="1"/>
  <c r="W55" i="26" a="1"/>
  <c r="W55" i="26" s="1"/>
  <c r="X55" i="26" a="1"/>
  <c r="X55" i="26" s="1"/>
  <c r="K56" i="26" a="1"/>
  <c r="K56" i="26" s="1"/>
  <c r="L56" i="26" a="1"/>
  <c r="L56" i="26" s="1"/>
  <c r="M56" i="26" a="1"/>
  <c r="M56" i="26" s="1"/>
  <c r="N56" i="26" a="1"/>
  <c r="N56" i="26" s="1"/>
  <c r="O56" i="26" a="1"/>
  <c r="O56" i="26" s="1"/>
  <c r="P56" i="26" a="1"/>
  <c r="P56" i="26" s="1"/>
  <c r="Q56" i="26" a="1"/>
  <c r="Q56" i="26" s="1"/>
  <c r="R56" i="26" a="1"/>
  <c r="R56" i="26" s="1"/>
  <c r="U56" i="26" a="1"/>
  <c r="U56" i="26" s="1"/>
  <c r="V56" i="26" a="1"/>
  <c r="V56" i="26" s="1"/>
  <c r="W56" i="26" a="1"/>
  <c r="W56" i="26" s="1"/>
  <c r="X56" i="26" a="1"/>
  <c r="X56" i="26" s="1"/>
  <c r="K57" i="26" a="1"/>
  <c r="K57" i="26" s="1"/>
  <c r="L57" i="26" a="1"/>
  <c r="L57" i="26" s="1"/>
  <c r="M57" i="26" a="1"/>
  <c r="M57" i="26" s="1"/>
  <c r="N57" i="26" a="1"/>
  <c r="N57" i="26" s="1"/>
  <c r="O57" i="26" a="1"/>
  <c r="O57" i="26" s="1"/>
  <c r="P57" i="26" a="1"/>
  <c r="P57" i="26" s="1"/>
  <c r="Q57" i="26" a="1"/>
  <c r="Q57" i="26" s="1"/>
  <c r="R57" i="26" a="1"/>
  <c r="R57" i="26" s="1"/>
  <c r="U57" i="26" a="1"/>
  <c r="U57" i="26" s="1"/>
  <c r="V57" i="26" a="1"/>
  <c r="V57" i="26" s="1"/>
  <c r="W57" i="26" a="1"/>
  <c r="W57" i="26" s="1"/>
  <c r="X57" i="26" a="1"/>
  <c r="X57" i="26" s="1"/>
  <c r="K58" i="26" a="1"/>
  <c r="K58" i="26" s="1"/>
  <c r="L58" i="26" a="1"/>
  <c r="L58" i="26" s="1"/>
  <c r="M58" i="26" a="1"/>
  <c r="M58" i="26" s="1"/>
  <c r="N58" i="26" a="1"/>
  <c r="N58" i="26" s="1"/>
  <c r="O58" i="26" a="1"/>
  <c r="O58" i="26" s="1"/>
  <c r="P58" i="26" a="1"/>
  <c r="P58" i="26" s="1"/>
  <c r="Q58" i="26" a="1"/>
  <c r="Q58" i="26" s="1"/>
  <c r="R58" i="26" a="1"/>
  <c r="R58" i="26" s="1"/>
  <c r="U58" i="26" a="1"/>
  <c r="U58" i="26" s="1"/>
  <c r="V58" i="26" a="1"/>
  <c r="V58" i="26" s="1"/>
  <c r="W58" i="26" a="1"/>
  <c r="W58" i="26" s="1"/>
  <c r="X58" i="26" a="1"/>
  <c r="X58" i="26" s="1"/>
  <c r="K59" i="26" a="1"/>
  <c r="K59" i="26" s="1"/>
  <c r="L59" i="26" a="1"/>
  <c r="L59" i="26" s="1"/>
  <c r="M59" i="26" a="1"/>
  <c r="M59" i="26" s="1"/>
  <c r="N59" i="26" a="1"/>
  <c r="N59" i="26" s="1"/>
  <c r="O59" i="26" a="1"/>
  <c r="O59" i="26" s="1"/>
  <c r="P59" i="26" a="1"/>
  <c r="P59" i="26" s="1"/>
  <c r="Q59" i="26" a="1"/>
  <c r="Q59" i="26" s="1"/>
  <c r="R59" i="26" a="1"/>
  <c r="R59" i="26" s="1"/>
  <c r="U59" i="26" a="1"/>
  <c r="U59" i="26" s="1"/>
  <c r="V59" i="26" a="1"/>
  <c r="V59" i="26" s="1"/>
  <c r="W59" i="26" a="1"/>
  <c r="W59" i="26" s="1"/>
  <c r="X59" i="26" a="1"/>
  <c r="X59" i="26" s="1"/>
  <c r="K60" i="26" a="1"/>
  <c r="K60" i="26" s="1"/>
  <c r="L60" i="26" a="1"/>
  <c r="L60" i="26" s="1"/>
  <c r="M60" i="26" a="1"/>
  <c r="M60" i="26" s="1"/>
  <c r="N60" i="26" a="1"/>
  <c r="N60" i="26" s="1"/>
  <c r="O60" i="26" a="1"/>
  <c r="O60" i="26" s="1"/>
  <c r="P60" i="26" a="1"/>
  <c r="P60" i="26" s="1"/>
  <c r="Q60" i="26" a="1"/>
  <c r="Q60" i="26" s="1"/>
  <c r="R60" i="26" a="1"/>
  <c r="R60" i="26" s="1"/>
  <c r="U60" i="26" a="1"/>
  <c r="U60" i="26" s="1"/>
  <c r="V60" i="26" a="1"/>
  <c r="V60" i="26" s="1"/>
  <c r="W60" i="26" a="1"/>
  <c r="W60" i="26" s="1"/>
  <c r="X60" i="26" a="1"/>
  <c r="X60" i="26" s="1"/>
  <c r="K61" i="26" a="1"/>
  <c r="K61" i="26" s="1"/>
  <c r="L61" i="26" a="1"/>
  <c r="L61" i="26" s="1"/>
  <c r="M61" i="26" a="1"/>
  <c r="M61" i="26" s="1"/>
  <c r="N61" i="26" a="1"/>
  <c r="N61" i="26" s="1"/>
  <c r="O61" i="26" a="1"/>
  <c r="O61" i="26" s="1"/>
  <c r="P61" i="26" a="1"/>
  <c r="P61" i="26" s="1"/>
  <c r="Q61" i="26" a="1"/>
  <c r="Q61" i="26" s="1"/>
  <c r="R61" i="26" a="1"/>
  <c r="R61" i="26" s="1"/>
  <c r="U61" i="26" a="1"/>
  <c r="U61" i="26" s="1"/>
  <c r="V61" i="26" a="1"/>
  <c r="V61" i="26" s="1"/>
  <c r="W61" i="26" a="1"/>
  <c r="W61" i="26" s="1"/>
  <c r="X61" i="26" a="1"/>
  <c r="X61" i="26" s="1"/>
  <c r="K62" i="26" a="1"/>
  <c r="K62" i="26" s="1"/>
  <c r="L62" i="26" a="1"/>
  <c r="L62" i="26" s="1"/>
  <c r="M62" i="26" a="1"/>
  <c r="M62" i="26" s="1"/>
  <c r="N62" i="26" a="1"/>
  <c r="N62" i="26" s="1"/>
  <c r="O62" i="26" a="1"/>
  <c r="O62" i="26" s="1"/>
  <c r="P62" i="26" a="1"/>
  <c r="P62" i="26" s="1"/>
  <c r="Q62" i="26" a="1"/>
  <c r="Q62" i="26" s="1"/>
  <c r="R62" i="26" a="1"/>
  <c r="R62" i="26" s="1"/>
  <c r="U62" i="26" a="1"/>
  <c r="U62" i="26" s="1"/>
  <c r="V62" i="26" a="1"/>
  <c r="V62" i="26" s="1"/>
  <c r="W62" i="26" a="1"/>
  <c r="W62" i="26" s="1"/>
  <c r="X62" i="26" a="1"/>
  <c r="X62" i="26" s="1"/>
  <c r="K63" i="26" a="1"/>
  <c r="K63" i="26" s="1"/>
  <c r="L63" i="26" a="1"/>
  <c r="L63" i="26" s="1"/>
  <c r="M63" i="26" a="1"/>
  <c r="M63" i="26" s="1"/>
  <c r="N63" i="26" a="1"/>
  <c r="N63" i="26" s="1"/>
  <c r="O63" i="26" a="1"/>
  <c r="O63" i="26" s="1"/>
  <c r="P63" i="26" a="1"/>
  <c r="P63" i="26" s="1"/>
  <c r="Q63" i="26" a="1"/>
  <c r="Q63" i="26" s="1"/>
  <c r="R63" i="26" a="1"/>
  <c r="R63" i="26" s="1"/>
  <c r="U63" i="26" a="1"/>
  <c r="U63" i="26" s="1"/>
  <c r="V63" i="26" a="1"/>
  <c r="V63" i="26" s="1"/>
  <c r="W63" i="26" a="1"/>
  <c r="W63" i="26" s="1"/>
  <c r="X63" i="26" a="1"/>
  <c r="X63" i="26" s="1"/>
  <c r="K64" i="26" a="1"/>
  <c r="K64" i="26" s="1"/>
  <c r="L64" i="26" a="1"/>
  <c r="L64" i="26" s="1"/>
  <c r="M64" i="26" a="1"/>
  <c r="M64" i="26" s="1"/>
  <c r="N64" i="26" a="1"/>
  <c r="N64" i="26" s="1"/>
  <c r="O64" i="26" a="1"/>
  <c r="O64" i="26" s="1"/>
  <c r="P64" i="26" a="1"/>
  <c r="P64" i="26" s="1"/>
  <c r="Q64" i="26" a="1"/>
  <c r="Q64" i="26" s="1"/>
  <c r="R64" i="26" a="1"/>
  <c r="R64" i="26" s="1"/>
  <c r="U64" i="26" a="1"/>
  <c r="U64" i="26" s="1"/>
  <c r="V64" i="26" a="1"/>
  <c r="V64" i="26" s="1"/>
  <c r="W64" i="26" a="1"/>
  <c r="W64" i="26" s="1"/>
  <c r="X64" i="26" a="1"/>
  <c r="X64" i="26" s="1"/>
  <c r="K65" i="26" a="1"/>
  <c r="K65" i="26" s="1"/>
  <c r="L65" i="26" a="1"/>
  <c r="L65" i="26" s="1"/>
  <c r="M65" i="26" a="1"/>
  <c r="M65" i="26" s="1"/>
  <c r="N65" i="26" a="1"/>
  <c r="N65" i="26" s="1"/>
  <c r="O65" i="26" a="1"/>
  <c r="O65" i="26" s="1"/>
  <c r="P65" i="26" a="1"/>
  <c r="P65" i="26" s="1"/>
  <c r="Q65" i="26" a="1"/>
  <c r="Q65" i="26" s="1"/>
  <c r="R65" i="26" a="1"/>
  <c r="R65" i="26" s="1"/>
  <c r="U65" i="26" a="1"/>
  <c r="U65" i="26" s="1"/>
  <c r="V65" i="26" a="1"/>
  <c r="V65" i="26" s="1"/>
  <c r="W65" i="26" a="1"/>
  <c r="W65" i="26" s="1"/>
  <c r="X65" i="26" a="1"/>
  <c r="X65" i="26" s="1"/>
  <c r="K66" i="26" a="1"/>
  <c r="K66" i="26" s="1"/>
  <c r="L66" i="26" a="1"/>
  <c r="L66" i="26" s="1"/>
  <c r="M66" i="26" a="1"/>
  <c r="M66" i="26" s="1"/>
  <c r="N66" i="26" a="1"/>
  <c r="N66" i="26" s="1"/>
  <c r="O66" i="26" a="1"/>
  <c r="O66" i="26" s="1"/>
  <c r="P66" i="26" a="1"/>
  <c r="P66" i="26" s="1"/>
  <c r="Q66" i="26" a="1"/>
  <c r="Q66" i="26" s="1"/>
  <c r="R66" i="26" a="1"/>
  <c r="R66" i="26" s="1"/>
  <c r="U66" i="26" a="1"/>
  <c r="U66" i="26" s="1"/>
  <c r="V66" i="26" a="1"/>
  <c r="V66" i="26" s="1"/>
  <c r="W66" i="26" a="1"/>
  <c r="W66" i="26" s="1"/>
  <c r="X66" i="26" a="1"/>
  <c r="X66" i="26" s="1"/>
  <c r="K67" i="26" a="1"/>
  <c r="K67" i="26" s="1"/>
  <c r="L67" i="26" a="1"/>
  <c r="L67" i="26" s="1"/>
  <c r="M67" i="26" a="1"/>
  <c r="M67" i="26" s="1"/>
  <c r="N67" i="26" a="1"/>
  <c r="N67" i="26" s="1"/>
  <c r="O67" i="26" a="1"/>
  <c r="O67" i="26" s="1"/>
  <c r="P67" i="26" a="1"/>
  <c r="P67" i="26" s="1"/>
  <c r="Q67" i="26" a="1"/>
  <c r="Q67" i="26" s="1"/>
  <c r="R67" i="26" a="1"/>
  <c r="R67" i="26" s="1"/>
  <c r="U67" i="26" a="1"/>
  <c r="U67" i="26" s="1"/>
  <c r="V67" i="26" a="1"/>
  <c r="V67" i="26" s="1"/>
  <c r="W67" i="26" a="1"/>
  <c r="W67" i="26" s="1"/>
  <c r="X67" i="26" a="1"/>
  <c r="X67" i="26" s="1"/>
  <c r="K68" i="26" a="1"/>
  <c r="K68" i="26" s="1"/>
  <c r="L68" i="26" a="1"/>
  <c r="L68" i="26" s="1"/>
  <c r="M68" i="26" a="1"/>
  <c r="M68" i="26" s="1"/>
  <c r="N68" i="26" a="1"/>
  <c r="N68" i="26" s="1"/>
  <c r="O68" i="26" a="1"/>
  <c r="O68" i="26" s="1"/>
  <c r="P68" i="26" a="1"/>
  <c r="P68" i="26" s="1"/>
  <c r="Q68" i="26" a="1"/>
  <c r="Q68" i="26" s="1"/>
  <c r="R68" i="26" a="1"/>
  <c r="R68" i="26" s="1"/>
  <c r="U68" i="26" a="1"/>
  <c r="U68" i="26" s="1"/>
  <c r="V68" i="26" a="1"/>
  <c r="V68" i="26" s="1"/>
  <c r="W68" i="26" a="1"/>
  <c r="W68" i="26" s="1"/>
  <c r="X68" i="26" a="1"/>
  <c r="X68" i="26" s="1"/>
  <c r="K69" i="26" a="1"/>
  <c r="K69" i="26" s="1"/>
  <c r="L69" i="26" a="1"/>
  <c r="L69" i="26" s="1"/>
  <c r="M69" i="26" a="1"/>
  <c r="M69" i="26" s="1"/>
  <c r="N69" i="26" a="1"/>
  <c r="N69" i="26" s="1"/>
  <c r="O69" i="26" a="1"/>
  <c r="O69" i="26" s="1"/>
  <c r="P69" i="26" a="1"/>
  <c r="P69" i="26" s="1"/>
  <c r="Q69" i="26" a="1"/>
  <c r="Q69" i="26" s="1"/>
  <c r="R69" i="26" a="1"/>
  <c r="R69" i="26" s="1"/>
  <c r="U69" i="26" a="1"/>
  <c r="U69" i="26" s="1"/>
  <c r="V69" i="26" a="1"/>
  <c r="V69" i="26" s="1"/>
  <c r="W69" i="26" a="1"/>
  <c r="W69" i="26" s="1"/>
  <c r="X69" i="26" a="1"/>
  <c r="X69" i="26" s="1"/>
  <c r="K70" i="26" a="1"/>
  <c r="K70" i="26" s="1"/>
  <c r="L70" i="26" a="1"/>
  <c r="L70" i="26" s="1"/>
  <c r="M70" i="26" a="1"/>
  <c r="M70" i="26" s="1"/>
  <c r="N70" i="26" a="1"/>
  <c r="N70" i="26" s="1"/>
  <c r="O70" i="26" a="1"/>
  <c r="O70" i="26" s="1"/>
  <c r="P70" i="26" a="1"/>
  <c r="P70" i="26" s="1"/>
  <c r="Q70" i="26" a="1"/>
  <c r="Q70" i="26" s="1"/>
  <c r="R70" i="26" a="1"/>
  <c r="R70" i="26" s="1"/>
  <c r="U70" i="26" a="1"/>
  <c r="U70" i="26" s="1"/>
  <c r="V70" i="26" a="1"/>
  <c r="V70" i="26" s="1"/>
  <c r="W70" i="26" a="1"/>
  <c r="W70" i="26" s="1"/>
  <c r="X70" i="26" a="1"/>
  <c r="X70" i="26" s="1"/>
  <c r="K71" i="26" a="1"/>
  <c r="K71" i="26" s="1"/>
  <c r="L71" i="26" a="1"/>
  <c r="L71" i="26" s="1"/>
  <c r="M71" i="26" a="1"/>
  <c r="M71" i="26" s="1"/>
  <c r="N71" i="26" a="1"/>
  <c r="N71" i="26" s="1"/>
  <c r="O71" i="26" a="1"/>
  <c r="O71" i="26" s="1"/>
  <c r="P71" i="26" a="1"/>
  <c r="P71" i="26" s="1"/>
  <c r="Q71" i="26" a="1"/>
  <c r="Q71" i="26" s="1"/>
  <c r="R71" i="26" a="1"/>
  <c r="R71" i="26" s="1"/>
  <c r="U71" i="26" a="1"/>
  <c r="U71" i="26" s="1"/>
  <c r="V71" i="26" a="1"/>
  <c r="V71" i="26" s="1"/>
  <c r="W71" i="26" a="1"/>
  <c r="W71" i="26" s="1"/>
  <c r="X71" i="26" a="1"/>
  <c r="X71" i="26" s="1"/>
  <c r="K72" i="26" a="1"/>
  <c r="K72" i="26" s="1"/>
  <c r="L72" i="26" a="1"/>
  <c r="L72" i="26" s="1"/>
  <c r="M72" i="26" a="1"/>
  <c r="M72" i="26" s="1"/>
  <c r="N72" i="26" a="1"/>
  <c r="N72" i="26" s="1"/>
  <c r="O72" i="26" a="1"/>
  <c r="O72" i="26" s="1"/>
  <c r="P72" i="26" a="1"/>
  <c r="P72" i="26" s="1"/>
  <c r="Q72" i="26" a="1"/>
  <c r="Q72" i="26" s="1"/>
  <c r="R72" i="26" a="1"/>
  <c r="R72" i="26" s="1"/>
  <c r="U72" i="26" a="1"/>
  <c r="U72" i="26" s="1"/>
  <c r="V72" i="26" a="1"/>
  <c r="V72" i="26" s="1"/>
  <c r="W72" i="26" a="1"/>
  <c r="W72" i="26" s="1"/>
  <c r="X72" i="26" a="1"/>
  <c r="X72" i="26" s="1"/>
  <c r="K73" i="26" a="1"/>
  <c r="K73" i="26" s="1"/>
  <c r="L73" i="26" a="1"/>
  <c r="L73" i="26" s="1"/>
  <c r="M73" i="26" a="1"/>
  <c r="M73" i="26" s="1"/>
  <c r="N73" i="26" a="1"/>
  <c r="N73" i="26" s="1"/>
  <c r="O73" i="26" a="1"/>
  <c r="O73" i="26" s="1"/>
  <c r="P73" i="26" a="1"/>
  <c r="P73" i="26" s="1"/>
  <c r="Q73" i="26" a="1"/>
  <c r="Q73" i="26" s="1"/>
  <c r="R73" i="26" a="1"/>
  <c r="R73" i="26" s="1"/>
  <c r="U73" i="26" a="1"/>
  <c r="U73" i="26" s="1"/>
  <c r="V73" i="26" a="1"/>
  <c r="V73" i="26" s="1"/>
  <c r="W73" i="26" a="1"/>
  <c r="W73" i="26" s="1"/>
  <c r="X73" i="26" a="1"/>
  <c r="X73" i="26" s="1"/>
  <c r="K74" i="26" a="1"/>
  <c r="K74" i="26" s="1"/>
  <c r="L74" i="26" a="1"/>
  <c r="L74" i="26" s="1"/>
  <c r="M74" i="26" a="1"/>
  <c r="M74" i="26" s="1"/>
  <c r="N74" i="26" a="1"/>
  <c r="N74" i="26" s="1"/>
  <c r="O74" i="26" a="1"/>
  <c r="O74" i="26" s="1"/>
  <c r="P74" i="26" a="1"/>
  <c r="P74" i="26" s="1"/>
  <c r="Q74" i="26" a="1"/>
  <c r="Q74" i="26" s="1"/>
  <c r="R74" i="26" a="1"/>
  <c r="R74" i="26" s="1"/>
  <c r="U74" i="26" a="1"/>
  <c r="U74" i="26" s="1"/>
  <c r="V74" i="26" a="1"/>
  <c r="V74" i="26" s="1"/>
  <c r="W74" i="26" a="1"/>
  <c r="W74" i="26" s="1"/>
  <c r="X74" i="26" a="1"/>
  <c r="X74" i="26" s="1"/>
  <c r="K75" i="26" a="1"/>
  <c r="K75" i="26" s="1"/>
  <c r="L75" i="26" a="1"/>
  <c r="L75" i="26" s="1"/>
  <c r="M75" i="26" a="1"/>
  <c r="M75" i="26" s="1"/>
  <c r="N75" i="26" a="1"/>
  <c r="N75" i="26" s="1"/>
  <c r="O75" i="26" a="1"/>
  <c r="O75" i="26" s="1"/>
  <c r="P75" i="26" a="1"/>
  <c r="P75" i="26" s="1"/>
  <c r="Q75" i="26" a="1"/>
  <c r="Q75" i="26" s="1"/>
  <c r="R75" i="26" a="1"/>
  <c r="R75" i="26" s="1"/>
  <c r="U75" i="26" a="1"/>
  <c r="U75" i="26" s="1"/>
  <c r="V75" i="26" a="1"/>
  <c r="V75" i="26" s="1"/>
  <c r="W75" i="26" a="1"/>
  <c r="W75" i="26" s="1"/>
  <c r="X75" i="26" a="1"/>
  <c r="X75" i="26" s="1"/>
  <c r="K76" i="26" a="1"/>
  <c r="K76" i="26" s="1"/>
  <c r="L76" i="26" a="1"/>
  <c r="L76" i="26" s="1"/>
  <c r="M76" i="26" a="1"/>
  <c r="M76" i="26" s="1"/>
  <c r="N76" i="26" a="1"/>
  <c r="N76" i="26" s="1"/>
  <c r="O76" i="26" a="1"/>
  <c r="O76" i="26" s="1"/>
  <c r="P76" i="26" a="1"/>
  <c r="P76" i="26" s="1"/>
  <c r="Q76" i="26" a="1"/>
  <c r="Q76" i="26" s="1"/>
  <c r="R76" i="26" a="1"/>
  <c r="R76" i="26" s="1"/>
  <c r="U76" i="26" a="1"/>
  <c r="U76" i="26" s="1"/>
  <c r="V76" i="26" a="1"/>
  <c r="V76" i="26" s="1"/>
  <c r="W76" i="26" a="1"/>
  <c r="W76" i="26" s="1"/>
  <c r="X76" i="26" a="1"/>
  <c r="X76" i="26" s="1"/>
  <c r="K77" i="26" a="1"/>
  <c r="K77" i="26" s="1"/>
  <c r="L77" i="26" a="1"/>
  <c r="L77" i="26" s="1"/>
  <c r="M77" i="26" a="1"/>
  <c r="M77" i="26" s="1"/>
  <c r="N77" i="26" a="1"/>
  <c r="N77" i="26" s="1"/>
  <c r="O77" i="26" a="1"/>
  <c r="O77" i="26" s="1"/>
  <c r="P77" i="26" a="1"/>
  <c r="P77" i="26" s="1"/>
  <c r="Q77" i="26" a="1"/>
  <c r="Q77" i="26" s="1"/>
  <c r="R77" i="26" a="1"/>
  <c r="R77" i="26" s="1"/>
  <c r="U77" i="26" a="1"/>
  <c r="U77" i="26" s="1"/>
  <c r="V77" i="26" a="1"/>
  <c r="V77" i="26" s="1"/>
  <c r="W77" i="26" a="1"/>
  <c r="W77" i="26" s="1"/>
  <c r="X77" i="26" a="1"/>
  <c r="X77" i="26" s="1"/>
  <c r="K78" i="26" a="1"/>
  <c r="K78" i="26" s="1"/>
  <c r="L78" i="26" a="1"/>
  <c r="L78" i="26" s="1"/>
  <c r="M78" i="26" a="1"/>
  <c r="M78" i="26" s="1"/>
  <c r="N78" i="26" a="1"/>
  <c r="N78" i="26" s="1"/>
  <c r="O78" i="26" a="1"/>
  <c r="O78" i="26" s="1"/>
  <c r="P78" i="26" a="1"/>
  <c r="P78" i="26" s="1"/>
  <c r="Q78" i="26" a="1"/>
  <c r="Q78" i="26" s="1"/>
  <c r="R78" i="26" a="1"/>
  <c r="R78" i="26" s="1"/>
  <c r="U78" i="26" a="1"/>
  <c r="U78" i="26" s="1"/>
  <c r="V78" i="26" a="1"/>
  <c r="V78" i="26" s="1"/>
  <c r="W78" i="26" a="1"/>
  <c r="W78" i="26" s="1"/>
  <c r="X78" i="26" a="1"/>
  <c r="X78" i="26" s="1"/>
  <c r="K79" i="26" a="1"/>
  <c r="K79" i="26" s="1"/>
  <c r="L79" i="26" a="1"/>
  <c r="L79" i="26" s="1"/>
  <c r="M79" i="26" a="1"/>
  <c r="M79" i="26" s="1"/>
  <c r="N79" i="26" a="1"/>
  <c r="N79" i="26" s="1"/>
  <c r="O79" i="26" a="1"/>
  <c r="O79" i="26" s="1"/>
  <c r="P79" i="26" a="1"/>
  <c r="P79" i="26" s="1"/>
  <c r="Q79" i="26" a="1"/>
  <c r="Q79" i="26" s="1"/>
  <c r="R79" i="26" a="1"/>
  <c r="R79" i="26" s="1"/>
  <c r="U79" i="26" a="1"/>
  <c r="U79" i="26" s="1"/>
  <c r="V79" i="26" a="1"/>
  <c r="V79" i="26" s="1"/>
  <c r="W79" i="26" a="1"/>
  <c r="W79" i="26" s="1"/>
  <c r="X79" i="26" a="1"/>
  <c r="X79" i="26" s="1"/>
  <c r="K80" i="26" a="1"/>
  <c r="K80" i="26" s="1"/>
  <c r="L80" i="26" a="1"/>
  <c r="L80" i="26" s="1"/>
  <c r="M80" i="26" a="1"/>
  <c r="M80" i="26" s="1"/>
  <c r="N80" i="26" a="1"/>
  <c r="N80" i="26" s="1"/>
  <c r="O80" i="26" a="1"/>
  <c r="O80" i="26" s="1"/>
  <c r="P80" i="26" a="1"/>
  <c r="P80" i="26" s="1"/>
  <c r="Q80" i="26" a="1"/>
  <c r="Q80" i="26" s="1"/>
  <c r="R80" i="26" a="1"/>
  <c r="R80" i="26" s="1"/>
  <c r="U80" i="26" a="1"/>
  <c r="U80" i="26" s="1"/>
  <c r="V80" i="26" a="1"/>
  <c r="V80" i="26" s="1"/>
  <c r="W80" i="26" a="1"/>
  <c r="W80" i="26" s="1"/>
  <c r="X80" i="26" a="1"/>
  <c r="X80" i="26" s="1"/>
  <c r="K81" i="26" a="1"/>
  <c r="K81" i="26" s="1"/>
  <c r="L81" i="26" a="1"/>
  <c r="L81" i="26" s="1"/>
  <c r="M81" i="26" a="1"/>
  <c r="M81" i="26" s="1"/>
  <c r="N81" i="26" a="1"/>
  <c r="N81" i="26" s="1"/>
  <c r="O81" i="26" a="1"/>
  <c r="O81" i="26" s="1"/>
  <c r="P81" i="26" a="1"/>
  <c r="P81" i="26" s="1"/>
  <c r="Q81" i="26" a="1"/>
  <c r="Q81" i="26" s="1"/>
  <c r="R81" i="26" a="1"/>
  <c r="R81" i="26" s="1"/>
  <c r="U81" i="26" a="1"/>
  <c r="U81" i="26" s="1"/>
  <c r="V81" i="26" a="1"/>
  <c r="V81" i="26" s="1"/>
  <c r="W81" i="26" a="1"/>
  <c r="W81" i="26" s="1"/>
  <c r="X81" i="26" a="1"/>
  <c r="X81" i="26" s="1"/>
  <c r="K82" i="26" a="1"/>
  <c r="K82" i="26" s="1"/>
  <c r="L82" i="26" a="1"/>
  <c r="L82" i="26" s="1"/>
  <c r="M82" i="26" a="1"/>
  <c r="M82" i="26" s="1"/>
  <c r="N82" i="26" a="1"/>
  <c r="N82" i="26" s="1"/>
  <c r="O82" i="26" a="1"/>
  <c r="O82" i="26" s="1"/>
  <c r="P82" i="26" a="1"/>
  <c r="P82" i="26" s="1"/>
  <c r="Q82" i="26" a="1"/>
  <c r="Q82" i="26" s="1"/>
  <c r="R82" i="26" a="1"/>
  <c r="R82" i="26" s="1"/>
  <c r="U82" i="26" a="1"/>
  <c r="U82" i="26" s="1"/>
  <c r="V82" i="26" a="1"/>
  <c r="V82" i="26" s="1"/>
  <c r="W82" i="26" a="1"/>
  <c r="W82" i="26" s="1"/>
  <c r="X82" i="26" a="1"/>
  <c r="X82" i="26" s="1"/>
  <c r="K83" i="26" a="1"/>
  <c r="K83" i="26" s="1"/>
  <c r="L83" i="26" a="1"/>
  <c r="L83" i="26" s="1"/>
  <c r="M83" i="26" a="1"/>
  <c r="M83" i="26" s="1"/>
  <c r="N83" i="26" a="1"/>
  <c r="N83" i="26" s="1"/>
  <c r="O83" i="26" a="1"/>
  <c r="O83" i="26" s="1"/>
  <c r="P83" i="26" a="1"/>
  <c r="P83" i="26" s="1"/>
  <c r="Q83" i="26" a="1"/>
  <c r="Q83" i="26" s="1"/>
  <c r="R83" i="26" a="1"/>
  <c r="R83" i="26" s="1"/>
  <c r="U83" i="26" a="1"/>
  <c r="U83" i="26" s="1"/>
  <c r="V83" i="26" a="1"/>
  <c r="V83" i="26" s="1"/>
  <c r="W83" i="26" a="1"/>
  <c r="W83" i="26" s="1"/>
  <c r="X83" i="26" a="1"/>
  <c r="X83" i="26" s="1"/>
  <c r="K84" i="26" a="1"/>
  <c r="K84" i="26" s="1"/>
  <c r="L84" i="26" a="1"/>
  <c r="L84" i="26" s="1"/>
  <c r="M84" i="26" a="1"/>
  <c r="M84" i="26" s="1"/>
  <c r="N84" i="26" a="1"/>
  <c r="N84" i="26" s="1"/>
  <c r="O84" i="26" a="1"/>
  <c r="O84" i="26" s="1"/>
  <c r="P84" i="26" a="1"/>
  <c r="P84" i="26" s="1"/>
  <c r="Q84" i="26" a="1"/>
  <c r="Q84" i="26" s="1"/>
  <c r="R84" i="26" a="1"/>
  <c r="R84" i="26" s="1"/>
  <c r="U84" i="26" a="1"/>
  <c r="U84" i="26" s="1"/>
  <c r="V84" i="26" a="1"/>
  <c r="V84" i="26" s="1"/>
  <c r="W84" i="26" a="1"/>
  <c r="W84" i="26" s="1"/>
  <c r="X84" i="26" a="1"/>
  <c r="X84" i="26" s="1"/>
  <c r="K85" i="26" a="1"/>
  <c r="K85" i="26" s="1"/>
  <c r="L85" i="26" a="1"/>
  <c r="L85" i="26" s="1"/>
  <c r="M85" i="26" a="1"/>
  <c r="M85" i="26" s="1"/>
  <c r="N85" i="26" a="1"/>
  <c r="N85" i="26" s="1"/>
  <c r="O85" i="26" a="1"/>
  <c r="O85" i="26" s="1"/>
  <c r="P85" i="26" a="1"/>
  <c r="P85" i="26" s="1"/>
  <c r="Q85" i="26" a="1"/>
  <c r="Q85" i="26" s="1"/>
  <c r="R85" i="26" a="1"/>
  <c r="R85" i="26" s="1"/>
  <c r="U85" i="26" a="1"/>
  <c r="U85" i="26" s="1"/>
  <c r="V85" i="26" a="1"/>
  <c r="V85" i="26" s="1"/>
  <c r="W85" i="26" a="1"/>
  <c r="W85" i="26" s="1"/>
  <c r="X85" i="26" a="1"/>
  <c r="X85" i="26" s="1"/>
  <c r="K86" i="26" a="1"/>
  <c r="K86" i="26" s="1"/>
  <c r="L86" i="26" a="1"/>
  <c r="L86" i="26" s="1"/>
  <c r="M86" i="26" a="1"/>
  <c r="M86" i="26" s="1"/>
  <c r="N86" i="26" a="1"/>
  <c r="N86" i="26" s="1"/>
  <c r="O86" i="26" a="1"/>
  <c r="O86" i="26" s="1"/>
  <c r="P86" i="26" a="1"/>
  <c r="P86" i="26" s="1"/>
  <c r="Q86" i="26" a="1"/>
  <c r="Q86" i="26" s="1"/>
  <c r="R86" i="26" a="1"/>
  <c r="R86" i="26" s="1"/>
  <c r="U86" i="26" a="1"/>
  <c r="U86" i="26" s="1"/>
  <c r="V86" i="26" a="1"/>
  <c r="V86" i="26" s="1"/>
  <c r="W86" i="26" a="1"/>
  <c r="W86" i="26" s="1"/>
  <c r="X86" i="26" a="1"/>
  <c r="X86" i="26" s="1"/>
  <c r="K87" i="26" a="1"/>
  <c r="K87" i="26" s="1"/>
  <c r="L87" i="26" a="1"/>
  <c r="L87" i="26" s="1"/>
  <c r="M87" i="26" a="1"/>
  <c r="M87" i="26" s="1"/>
  <c r="N87" i="26" a="1"/>
  <c r="N87" i="26" s="1"/>
  <c r="O87" i="26" a="1"/>
  <c r="O87" i="26" s="1"/>
  <c r="P87" i="26" a="1"/>
  <c r="P87" i="26" s="1"/>
  <c r="Q87" i="26" a="1"/>
  <c r="Q87" i="26" s="1"/>
  <c r="R87" i="26" a="1"/>
  <c r="R87" i="26" s="1"/>
  <c r="U87" i="26" a="1"/>
  <c r="U87" i="26" s="1"/>
  <c r="V87" i="26" a="1"/>
  <c r="V87" i="26" s="1"/>
  <c r="W87" i="26" a="1"/>
  <c r="W87" i="26" s="1"/>
  <c r="X87" i="26" a="1"/>
  <c r="X87" i="26" s="1"/>
  <c r="K88" i="26" a="1"/>
  <c r="K88" i="26" s="1"/>
  <c r="L88" i="26" a="1"/>
  <c r="L88" i="26" s="1"/>
  <c r="M88" i="26" a="1"/>
  <c r="M88" i="26" s="1"/>
  <c r="N88" i="26" a="1"/>
  <c r="N88" i="26" s="1"/>
  <c r="O88" i="26" a="1"/>
  <c r="O88" i="26" s="1"/>
  <c r="P88" i="26" a="1"/>
  <c r="P88" i="26" s="1"/>
  <c r="Q88" i="26" a="1"/>
  <c r="Q88" i="26" s="1"/>
  <c r="R88" i="26" a="1"/>
  <c r="R88" i="26" s="1"/>
  <c r="U88" i="26" a="1"/>
  <c r="U88" i="26" s="1"/>
  <c r="V88" i="26" a="1"/>
  <c r="V88" i="26" s="1"/>
  <c r="W88" i="26" a="1"/>
  <c r="W88" i="26" s="1"/>
  <c r="X88" i="26" a="1"/>
  <c r="X88" i="26" s="1"/>
  <c r="K89" i="26" a="1"/>
  <c r="K89" i="26" s="1"/>
  <c r="L89" i="26" a="1"/>
  <c r="L89" i="26" s="1"/>
  <c r="M89" i="26" a="1"/>
  <c r="M89" i="26" s="1"/>
  <c r="N89" i="26" a="1"/>
  <c r="N89" i="26" s="1"/>
  <c r="O89" i="26" a="1"/>
  <c r="O89" i="26" s="1"/>
  <c r="P89" i="26" a="1"/>
  <c r="P89" i="26" s="1"/>
  <c r="Q89" i="26" a="1"/>
  <c r="Q89" i="26" s="1"/>
  <c r="R89" i="26" a="1"/>
  <c r="R89" i="26" s="1"/>
  <c r="U89" i="26" a="1"/>
  <c r="U89" i="26" s="1"/>
  <c r="V89" i="26" a="1"/>
  <c r="V89" i="26" s="1"/>
  <c r="W89" i="26" a="1"/>
  <c r="W89" i="26" s="1"/>
  <c r="X89" i="26" a="1"/>
  <c r="X89" i="26" s="1"/>
  <c r="K90" i="26" a="1"/>
  <c r="K90" i="26" s="1"/>
  <c r="L90" i="26" a="1"/>
  <c r="L90" i="26" s="1"/>
  <c r="M90" i="26" a="1"/>
  <c r="M90" i="26" s="1"/>
  <c r="N90" i="26" a="1"/>
  <c r="N90" i="26" s="1"/>
  <c r="O90" i="26" a="1"/>
  <c r="O90" i="26" s="1"/>
  <c r="P90" i="26" a="1"/>
  <c r="P90" i="26" s="1"/>
  <c r="Q90" i="26" a="1"/>
  <c r="Q90" i="26" s="1"/>
  <c r="R90" i="26" a="1"/>
  <c r="R90" i="26" s="1"/>
  <c r="U90" i="26" a="1"/>
  <c r="U90" i="26" s="1"/>
  <c r="V90" i="26" a="1"/>
  <c r="V90" i="26" s="1"/>
  <c r="W90" i="26" a="1"/>
  <c r="W90" i="26" s="1"/>
  <c r="X90" i="26" a="1"/>
  <c r="X90" i="26" s="1"/>
  <c r="K91" i="26" a="1"/>
  <c r="K91" i="26" s="1"/>
  <c r="L91" i="26" a="1"/>
  <c r="L91" i="26" s="1"/>
  <c r="M91" i="26" a="1"/>
  <c r="M91" i="26" s="1"/>
  <c r="N91" i="26" a="1"/>
  <c r="N91" i="26" s="1"/>
  <c r="O91" i="26" a="1"/>
  <c r="O91" i="26" s="1"/>
  <c r="P91" i="26" a="1"/>
  <c r="P91" i="26" s="1"/>
  <c r="Q91" i="26" a="1"/>
  <c r="Q91" i="26" s="1"/>
  <c r="R91" i="26" a="1"/>
  <c r="R91" i="26" s="1"/>
  <c r="U91" i="26" a="1"/>
  <c r="U91" i="26" s="1"/>
  <c r="V91" i="26" a="1"/>
  <c r="V91" i="26" s="1"/>
  <c r="W91" i="26" a="1"/>
  <c r="W91" i="26" s="1"/>
  <c r="X91" i="26" a="1"/>
  <c r="X91" i="26" s="1"/>
  <c r="K92" i="26" a="1"/>
  <c r="K92" i="26" s="1"/>
  <c r="L92" i="26" a="1"/>
  <c r="L92" i="26" s="1"/>
  <c r="M92" i="26" a="1"/>
  <c r="M92" i="26" s="1"/>
  <c r="N92" i="26" a="1"/>
  <c r="N92" i="26" s="1"/>
  <c r="O92" i="26" a="1"/>
  <c r="O92" i="26" s="1"/>
  <c r="P92" i="26" a="1"/>
  <c r="P92" i="26" s="1"/>
  <c r="Q92" i="26" a="1"/>
  <c r="Q92" i="26" s="1"/>
  <c r="R92" i="26" a="1"/>
  <c r="R92" i="26" s="1"/>
  <c r="U92" i="26" a="1"/>
  <c r="U92" i="26" s="1"/>
  <c r="V92" i="26" a="1"/>
  <c r="V92" i="26" s="1"/>
  <c r="W92" i="26" a="1"/>
  <c r="W92" i="26" s="1"/>
  <c r="X92" i="26" a="1"/>
  <c r="X92" i="26" s="1"/>
  <c r="K93" i="26" a="1"/>
  <c r="K93" i="26" s="1"/>
  <c r="L93" i="26" a="1"/>
  <c r="L93" i="26" s="1"/>
  <c r="M93" i="26" a="1"/>
  <c r="M93" i="26" s="1"/>
  <c r="N93" i="26" a="1"/>
  <c r="N93" i="26" s="1"/>
  <c r="O93" i="26" a="1"/>
  <c r="O93" i="26" s="1"/>
  <c r="P93" i="26" a="1"/>
  <c r="P93" i="26" s="1"/>
  <c r="Q93" i="26" a="1"/>
  <c r="Q93" i="26" s="1"/>
  <c r="R93" i="26" a="1"/>
  <c r="R93" i="26" s="1"/>
  <c r="U93" i="26" a="1"/>
  <c r="U93" i="26" s="1"/>
  <c r="V93" i="26" a="1"/>
  <c r="V93" i="26" s="1"/>
  <c r="W93" i="26" a="1"/>
  <c r="W93" i="26" s="1"/>
  <c r="X93" i="26" a="1"/>
  <c r="X93" i="26" s="1"/>
  <c r="K94" i="26" a="1"/>
  <c r="K94" i="26" s="1"/>
  <c r="L94" i="26" a="1"/>
  <c r="L94" i="26" s="1"/>
  <c r="M94" i="26" a="1"/>
  <c r="M94" i="26" s="1"/>
  <c r="N94" i="26" a="1"/>
  <c r="N94" i="26" s="1"/>
  <c r="O94" i="26" a="1"/>
  <c r="O94" i="26" s="1"/>
  <c r="P94" i="26" a="1"/>
  <c r="P94" i="26" s="1"/>
  <c r="Q94" i="26" a="1"/>
  <c r="Q94" i="26" s="1"/>
  <c r="R94" i="26" a="1"/>
  <c r="R94" i="26" s="1"/>
  <c r="U94" i="26" a="1"/>
  <c r="U94" i="26" s="1"/>
  <c r="V94" i="26" a="1"/>
  <c r="V94" i="26" s="1"/>
  <c r="W94" i="26" a="1"/>
  <c r="W94" i="26" s="1"/>
  <c r="X94" i="26" a="1"/>
  <c r="X94" i="26" s="1"/>
  <c r="K95" i="26" a="1"/>
  <c r="K95" i="26" s="1"/>
  <c r="L95" i="26" a="1"/>
  <c r="L95" i="26" s="1"/>
  <c r="M95" i="26" a="1"/>
  <c r="M95" i="26" s="1"/>
  <c r="N95" i="26" a="1"/>
  <c r="N95" i="26" s="1"/>
  <c r="O95" i="26" a="1"/>
  <c r="O95" i="26" s="1"/>
  <c r="P95" i="26" a="1"/>
  <c r="P95" i="26" s="1"/>
  <c r="Q95" i="26" a="1"/>
  <c r="Q95" i="26" s="1"/>
  <c r="R95" i="26" a="1"/>
  <c r="R95" i="26" s="1"/>
  <c r="U95" i="26" a="1"/>
  <c r="U95" i="26" s="1"/>
  <c r="V95" i="26" a="1"/>
  <c r="V95" i="26" s="1"/>
  <c r="W95" i="26" a="1"/>
  <c r="W95" i="26" s="1"/>
  <c r="X95" i="26" a="1"/>
  <c r="X95" i="26" s="1"/>
  <c r="K96" i="26" a="1"/>
  <c r="K96" i="26" s="1"/>
  <c r="L96" i="26" a="1"/>
  <c r="L96" i="26" s="1"/>
  <c r="M96" i="26" a="1"/>
  <c r="M96" i="26" s="1"/>
  <c r="N96" i="26" a="1"/>
  <c r="N96" i="26" s="1"/>
  <c r="O96" i="26" a="1"/>
  <c r="O96" i="26" s="1"/>
  <c r="P96" i="26" a="1"/>
  <c r="P96" i="26" s="1"/>
  <c r="Q96" i="26" a="1"/>
  <c r="Q96" i="26" s="1"/>
  <c r="R96" i="26" a="1"/>
  <c r="R96" i="26" s="1"/>
  <c r="U96" i="26" a="1"/>
  <c r="U96" i="26" s="1"/>
  <c r="V96" i="26" a="1"/>
  <c r="V96" i="26" s="1"/>
  <c r="W96" i="26" a="1"/>
  <c r="W96" i="26" s="1"/>
  <c r="X96" i="26" a="1"/>
  <c r="X96" i="26" s="1"/>
  <c r="K97" i="26" a="1"/>
  <c r="K97" i="26" s="1"/>
  <c r="L97" i="26" a="1"/>
  <c r="L97" i="26" s="1"/>
  <c r="M97" i="26" a="1"/>
  <c r="M97" i="26" s="1"/>
  <c r="N97" i="26" a="1"/>
  <c r="N97" i="26" s="1"/>
  <c r="O97" i="26" a="1"/>
  <c r="O97" i="26" s="1"/>
  <c r="P97" i="26" a="1"/>
  <c r="P97" i="26" s="1"/>
  <c r="Q97" i="26" a="1"/>
  <c r="Q97" i="26" s="1"/>
  <c r="R97" i="26" a="1"/>
  <c r="R97" i="26" s="1"/>
  <c r="U97" i="26" a="1"/>
  <c r="U97" i="26" s="1"/>
  <c r="V97" i="26" a="1"/>
  <c r="V97" i="26" s="1"/>
  <c r="W97" i="26" a="1"/>
  <c r="W97" i="26" s="1"/>
  <c r="X97" i="26" a="1"/>
  <c r="X97" i="26" s="1"/>
  <c r="K98" i="26" a="1"/>
  <c r="K98" i="26" s="1"/>
  <c r="L98" i="26" a="1"/>
  <c r="L98" i="26" s="1"/>
  <c r="M98" i="26" a="1"/>
  <c r="M98" i="26" s="1"/>
  <c r="N98" i="26" a="1"/>
  <c r="N98" i="26" s="1"/>
  <c r="O98" i="26" a="1"/>
  <c r="O98" i="26" s="1"/>
  <c r="P98" i="26" a="1"/>
  <c r="P98" i="26" s="1"/>
  <c r="Q98" i="26" a="1"/>
  <c r="Q98" i="26" s="1"/>
  <c r="R98" i="26" a="1"/>
  <c r="R98" i="26" s="1"/>
  <c r="U98" i="26" a="1"/>
  <c r="U98" i="26" s="1"/>
  <c r="V98" i="26" a="1"/>
  <c r="V98" i="26" s="1"/>
  <c r="W98" i="26" a="1"/>
  <c r="W98" i="26" s="1"/>
  <c r="X98" i="26" a="1"/>
  <c r="X98" i="26" s="1"/>
  <c r="K99" i="26" a="1"/>
  <c r="K99" i="26" s="1"/>
  <c r="L99" i="26" a="1"/>
  <c r="L99" i="26" s="1"/>
  <c r="M99" i="26" a="1"/>
  <c r="M99" i="26" s="1"/>
  <c r="N99" i="26" a="1"/>
  <c r="N99" i="26" s="1"/>
  <c r="O99" i="26" a="1"/>
  <c r="O99" i="26" s="1"/>
  <c r="P99" i="26" a="1"/>
  <c r="P99" i="26" s="1"/>
  <c r="Q99" i="26" a="1"/>
  <c r="Q99" i="26" s="1"/>
  <c r="R99" i="26" a="1"/>
  <c r="R99" i="26" s="1"/>
  <c r="U99" i="26" a="1"/>
  <c r="U99" i="26" s="1"/>
  <c r="V99" i="26" a="1"/>
  <c r="V99" i="26" s="1"/>
  <c r="W99" i="26" a="1"/>
  <c r="W99" i="26" s="1"/>
  <c r="X99" i="26" a="1"/>
  <c r="X99" i="26" s="1"/>
  <c r="K100" i="26" a="1"/>
  <c r="K100" i="26" s="1"/>
  <c r="L100" i="26" a="1"/>
  <c r="L100" i="26" s="1"/>
  <c r="M100" i="26" a="1"/>
  <c r="M100" i="26" s="1"/>
  <c r="N100" i="26" a="1"/>
  <c r="N100" i="26" s="1"/>
  <c r="O100" i="26" a="1"/>
  <c r="O100" i="26" s="1"/>
  <c r="P100" i="26" a="1"/>
  <c r="P100" i="26" s="1"/>
  <c r="Q100" i="26" a="1"/>
  <c r="Q100" i="26" s="1"/>
  <c r="R100" i="26" a="1"/>
  <c r="R100" i="26" s="1"/>
  <c r="U100" i="26" a="1"/>
  <c r="U100" i="26" s="1"/>
  <c r="V100" i="26" a="1"/>
  <c r="V100" i="26" s="1"/>
  <c r="W100" i="26" a="1"/>
  <c r="W100" i="26" s="1"/>
  <c r="X100" i="26" a="1"/>
  <c r="X100" i="26" s="1"/>
  <c r="K101" i="26" a="1"/>
  <c r="K101" i="26" s="1"/>
  <c r="L101" i="26" a="1"/>
  <c r="L101" i="26" s="1"/>
  <c r="M101" i="26" a="1"/>
  <c r="M101" i="26" s="1"/>
  <c r="N101" i="26" a="1"/>
  <c r="N101" i="26" s="1"/>
  <c r="O101" i="26" a="1"/>
  <c r="O101" i="26" s="1"/>
  <c r="P101" i="26" a="1"/>
  <c r="P101" i="26" s="1"/>
  <c r="Q101" i="26" a="1"/>
  <c r="Q101" i="26" s="1"/>
  <c r="R101" i="26" a="1"/>
  <c r="R101" i="26" s="1"/>
  <c r="U101" i="26" a="1"/>
  <c r="U101" i="26" s="1"/>
  <c r="V101" i="26" a="1"/>
  <c r="V101" i="26" s="1"/>
  <c r="W101" i="26" a="1"/>
  <c r="W101" i="26" s="1"/>
  <c r="X101" i="26" a="1"/>
  <c r="X101" i="26" s="1"/>
  <c r="K102" i="26" a="1"/>
  <c r="K102" i="26" s="1"/>
  <c r="L102" i="26" a="1"/>
  <c r="L102" i="26" s="1"/>
  <c r="M102" i="26" a="1"/>
  <c r="M102" i="26" s="1"/>
  <c r="N102" i="26" a="1"/>
  <c r="N102" i="26" s="1"/>
  <c r="O102" i="26" a="1"/>
  <c r="O102" i="26" s="1"/>
  <c r="P102" i="26" a="1"/>
  <c r="P102" i="26" s="1"/>
  <c r="Q102" i="26" a="1"/>
  <c r="Q102" i="26" s="1"/>
  <c r="R102" i="26" a="1"/>
  <c r="R102" i="26" s="1"/>
  <c r="U102" i="26" a="1"/>
  <c r="U102" i="26" s="1"/>
  <c r="V102" i="26" a="1"/>
  <c r="V102" i="26" s="1"/>
  <c r="W102" i="26" a="1"/>
  <c r="W102" i="26" s="1"/>
  <c r="X102" i="26" a="1"/>
  <c r="X102" i="26" s="1"/>
  <c r="K103" i="26" a="1"/>
  <c r="K103" i="26" s="1"/>
  <c r="L103" i="26" a="1"/>
  <c r="L103" i="26" s="1"/>
  <c r="M103" i="26" a="1"/>
  <c r="M103" i="26" s="1"/>
  <c r="N103" i="26" a="1"/>
  <c r="N103" i="26" s="1"/>
  <c r="O103" i="26" a="1"/>
  <c r="O103" i="26" s="1"/>
  <c r="P103" i="26" a="1"/>
  <c r="P103" i="26" s="1"/>
  <c r="Q103" i="26" a="1"/>
  <c r="Q103" i="26" s="1"/>
  <c r="R103" i="26" a="1"/>
  <c r="R103" i="26" s="1"/>
  <c r="U103" i="26" a="1"/>
  <c r="U103" i="26" s="1"/>
  <c r="V103" i="26" a="1"/>
  <c r="V103" i="26" s="1"/>
  <c r="W103" i="26" a="1"/>
  <c r="W103" i="26" s="1"/>
  <c r="X103" i="26" a="1"/>
  <c r="X103" i="26" s="1"/>
  <c r="K104" i="26" a="1"/>
  <c r="K104" i="26" s="1"/>
  <c r="L104" i="26" a="1"/>
  <c r="L104" i="26" s="1"/>
  <c r="M104" i="26" a="1"/>
  <c r="M104" i="26" s="1"/>
  <c r="N104" i="26" a="1"/>
  <c r="N104" i="26" s="1"/>
  <c r="O104" i="26" a="1"/>
  <c r="O104" i="26" s="1"/>
  <c r="P104" i="26" a="1"/>
  <c r="P104" i="26" s="1"/>
  <c r="Q104" i="26" a="1"/>
  <c r="Q104" i="26" s="1"/>
  <c r="R104" i="26" a="1"/>
  <c r="R104" i="26" s="1"/>
  <c r="U104" i="26" a="1"/>
  <c r="U104" i="26" s="1"/>
  <c r="V104" i="26" a="1"/>
  <c r="V104" i="26" s="1"/>
  <c r="W104" i="26" a="1"/>
  <c r="W104" i="26" s="1"/>
  <c r="X104" i="26" a="1"/>
  <c r="X104" i="26" s="1"/>
  <c r="K105" i="26" a="1"/>
  <c r="K105" i="26" s="1"/>
  <c r="L105" i="26" a="1"/>
  <c r="L105" i="26" s="1"/>
  <c r="M105" i="26" a="1"/>
  <c r="M105" i="26" s="1"/>
  <c r="N105" i="26" a="1"/>
  <c r="N105" i="26" s="1"/>
  <c r="O105" i="26" a="1"/>
  <c r="O105" i="26" s="1"/>
  <c r="P105" i="26" a="1"/>
  <c r="P105" i="26" s="1"/>
  <c r="Q105" i="26" a="1"/>
  <c r="Q105" i="26" s="1"/>
  <c r="R105" i="26" a="1"/>
  <c r="R105" i="26" s="1"/>
  <c r="U105" i="26" a="1"/>
  <c r="U105" i="26" s="1"/>
  <c r="V105" i="26" a="1"/>
  <c r="V105" i="26" s="1"/>
  <c r="W105" i="26" a="1"/>
  <c r="W105" i="26" s="1"/>
  <c r="X105" i="26" a="1"/>
  <c r="X105" i="26" s="1"/>
  <c r="K106" i="26" a="1"/>
  <c r="K106" i="26" s="1"/>
  <c r="L106" i="26" a="1"/>
  <c r="L106" i="26" s="1"/>
  <c r="M106" i="26" a="1"/>
  <c r="M106" i="26" s="1"/>
  <c r="N106" i="26" a="1"/>
  <c r="N106" i="26" s="1"/>
  <c r="O106" i="26" a="1"/>
  <c r="O106" i="26" s="1"/>
  <c r="P106" i="26" a="1"/>
  <c r="P106" i="26" s="1"/>
  <c r="Q106" i="26" a="1"/>
  <c r="Q106" i="26" s="1"/>
  <c r="R106" i="26" a="1"/>
  <c r="R106" i="26" s="1"/>
  <c r="U106" i="26" a="1"/>
  <c r="U106" i="26" s="1"/>
  <c r="V106" i="26" a="1"/>
  <c r="V106" i="26" s="1"/>
  <c r="W106" i="26" a="1"/>
  <c r="W106" i="26" s="1"/>
  <c r="X106" i="26" a="1"/>
  <c r="X106" i="26" s="1"/>
  <c r="K107" i="26" a="1"/>
  <c r="K107" i="26" s="1"/>
  <c r="L107" i="26" a="1"/>
  <c r="L107" i="26" s="1"/>
  <c r="M107" i="26" a="1"/>
  <c r="M107" i="26" s="1"/>
  <c r="N107" i="26" a="1"/>
  <c r="N107" i="26" s="1"/>
  <c r="O107" i="26" a="1"/>
  <c r="O107" i="26" s="1"/>
  <c r="P107" i="26" a="1"/>
  <c r="P107" i="26" s="1"/>
  <c r="Q107" i="26" a="1"/>
  <c r="Q107" i="26" s="1"/>
  <c r="R107" i="26" a="1"/>
  <c r="R107" i="26" s="1"/>
  <c r="U107" i="26" a="1"/>
  <c r="U107" i="26" s="1"/>
  <c r="V107" i="26" a="1"/>
  <c r="V107" i="26" s="1"/>
  <c r="W107" i="26" a="1"/>
  <c r="W107" i="26" s="1"/>
  <c r="X107" i="26" a="1"/>
  <c r="X107" i="26" s="1"/>
  <c r="K108" i="26" a="1"/>
  <c r="K108" i="26" s="1"/>
  <c r="L108" i="26" a="1"/>
  <c r="L108" i="26" s="1"/>
  <c r="M108" i="26" a="1"/>
  <c r="M108" i="26" s="1"/>
  <c r="N108" i="26" a="1"/>
  <c r="N108" i="26" s="1"/>
  <c r="O108" i="26" a="1"/>
  <c r="O108" i="26" s="1"/>
  <c r="P108" i="26" a="1"/>
  <c r="P108" i="26" s="1"/>
  <c r="Q108" i="26" a="1"/>
  <c r="Q108" i="26" s="1"/>
  <c r="R108" i="26" a="1"/>
  <c r="R108" i="26" s="1"/>
  <c r="U108" i="26" a="1"/>
  <c r="U108" i="26" s="1"/>
  <c r="V108" i="26" a="1"/>
  <c r="V108" i="26" s="1"/>
  <c r="W108" i="26" a="1"/>
  <c r="W108" i="26" s="1"/>
  <c r="X108" i="26" a="1"/>
  <c r="X108" i="26" s="1"/>
  <c r="K109" i="26" a="1"/>
  <c r="K109" i="26" s="1"/>
  <c r="L109" i="26" a="1"/>
  <c r="L109" i="26" s="1"/>
  <c r="M109" i="26" a="1"/>
  <c r="M109" i="26" s="1"/>
  <c r="N109" i="26" a="1"/>
  <c r="N109" i="26" s="1"/>
  <c r="O109" i="26" a="1"/>
  <c r="O109" i="26" s="1"/>
  <c r="P109" i="26" a="1"/>
  <c r="P109" i="26" s="1"/>
  <c r="Q109" i="26" a="1"/>
  <c r="Q109" i="26" s="1"/>
  <c r="R109" i="26" a="1"/>
  <c r="R109" i="26" s="1"/>
  <c r="U109" i="26" a="1"/>
  <c r="U109" i="26" s="1"/>
  <c r="V109" i="26" a="1"/>
  <c r="V109" i="26" s="1"/>
  <c r="W109" i="26" a="1"/>
  <c r="W109" i="26" s="1"/>
  <c r="X109" i="26" a="1"/>
  <c r="X109" i="26" s="1"/>
  <c r="K110" i="26" a="1"/>
  <c r="K110" i="26" s="1"/>
  <c r="L110" i="26" a="1"/>
  <c r="L110" i="26" s="1"/>
  <c r="M110" i="26" a="1"/>
  <c r="M110" i="26" s="1"/>
  <c r="N110" i="26" a="1"/>
  <c r="N110" i="26" s="1"/>
  <c r="O110" i="26" a="1"/>
  <c r="O110" i="26" s="1"/>
  <c r="P110" i="26" a="1"/>
  <c r="P110" i="26" s="1"/>
  <c r="Q110" i="26" a="1"/>
  <c r="Q110" i="26" s="1"/>
  <c r="R110" i="26" a="1"/>
  <c r="R110" i="26" s="1"/>
  <c r="U110" i="26" a="1"/>
  <c r="U110" i="26" s="1"/>
  <c r="V110" i="26" a="1"/>
  <c r="V110" i="26" s="1"/>
  <c r="W110" i="26" a="1"/>
  <c r="W110" i="26" s="1"/>
  <c r="X110" i="26" a="1"/>
  <c r="X110" i="26" s="1"/>
  <c r="K111" i="26" a="1"/>
  <c r="K111" i="26" s="1"/>
  <c r="L111" i="26" a="1"/>
  <c r="L111" i="26" s="1"/>
  <c r="M111" i="26" a="1"/>
  <c r="M111" i="26" s="1"/>
  <c r="N111" i="26" a="1"/>
  <c r="N111" i="26" s="1"/>
  <c r="O111" i="26" a="1"/>
  <c r="O111" i="26" s="1"/>
  <c r="P111" i="26" a="1"/>
  <c r="P111" i="26" s="1"/>
  <c r="Q111" i="26" a="1"/>
  <c r="Q111" i="26" s="1"/>
  <c r="R111" i="26" a="1"/>
  <c r="R111" i="26" s="1"/>
  <c r="U111" i="26" a="1"/>
  <c r="U111" i="26" s="1"/>
  <c r="V111" i="26" a="1"/>
  <c r="V111" i="26" s="1"/>
  <c r="W111" i="26" a="1"/>
  <c r="W111" i="26" s="1"/>
  <c r="X111" i="26" a="1"/>
  <c r="X111" i="26" s="1"/>
  <c r="K112" i="26" a="1"/>
  <c r="K112" i="26" s="1"/>
  <c r="L112" i="26" a="1"/>
  <c r="L112" i="26" s="1"/>
  <c r="M112" i="26" a="1"/>
  <c r="M112" i="26" s="1"/>
  <c r="N112" i="26" a="1"/>
  <c r="N112" i="26" s="1"/>
  <c r="O112" i="26" a="1"/>
  <c r="O112" i="26" s="1"/>
  <c r="P112" i="26" a="1"/>
  <c r="P112" i="26" s="1"/>
  <c r="Q112" i="26" a="1"/>
  <c r="Q112" i="26" s="1"/>
  <c r="R112" i="26" a="1"/>
  <c r="R112" i="26" s="1"/>
  <c r="U112" i="26" a="1"/>
  <c r="U112" i="26" s="1"/>
  <c r="V112" i="26" a="1"/>
  <c r="V112" i="26" s="1"/>
  <c r="W112" i="26" a="1"/>
  <c r="W112" i="26" s="1"/>
  <c r="X112" i="26" a="1"/>
  <c r="X112" i="26" s="1"/>
  <c r="K113" i="26" a="1"/>
  <c r="K113" i="26" s="1"/>
  <c r="L113" i="26" a="1"/>
  <c r="L113" i="26" s="1"/>
  <c r="M113" i="26" a="1"/>
  <c r="M113" i="26" s="1"/>
  <c r="N113" i="26" a="1"/>
  <c r="N113" i="26" s="1"/>
  <c r="O113" i="26" a="1"/>
  <c r="O113" i="26" s="1"/>
  <c r="P113" i="26" a="1"/>
  <c r="P113" i="26" s="1"/>
  <c r="Q113" i="26" a="1"/>
  <c r="Q113" i="26" s="1"/>
  <c r="R113" i="26" a="1"/>
  <c r="R113" i="26" s="1"/>
  <c r="U113" i="26" a="1"/>
  <c r="U113" i="26" s="1"/>
  <c r="V113" i="26" a="1"/>
  <c r="V113" i="26" s="1"/>
  <c r="W113" i="26" a="1"/>
  <c r="W113" i="26" s="1"/>
  <c r="X113" i="26" a="1"/>
  <c r="X113" i="26" s="1"/>
  <c r="K114" i="26" a="1"/>
  <c r="K114" i="26" s="1"/>
  <c r="L114" i="26" a="1"/>
  <c r="L114" i="26" s="1"/>
  <c r="M114" i="26" a="1"/>
  <c r="M114" i="26" s="1"/>
  <c r="N114" i="26" a="1"/>
  <c r="N114" i="26" s="1"/>
  <c r="O114" i="26" a="1"/>
  <c r="O114" i="26" s="1"/>
  <c r="P114" i="26" a="1"/>
  <c r="P114" i="26" s="1"/>
  <c r="Q114" i="26" a="1"/>
  <c r="Q114" i="26" s="1"/>
  <c r="R114" i="26" a="1"/>
  <c r="R114" i="26" s="1"/>
  <c r="U114" i="26" a="1"/>
  <c r="U114" i="26" s="1"/>
  <c r="V114" i="26" a="1"/>
  <c r="V114" i="26" s="1"/>
  <c r="W114" i="26" a="1"/>
  <c r="W114" i="26" s="1"/>
  <c r="X114" i="26" a="1"/>
  <c r="X114" i="26" s="1"/>
  <c r="K115" i="26" a="1"/>
  <c r="K115" i="26" s="1"/>
  <c r="L115" i="26" a="1"/>
  <c r="L115" i="26" s="1"/>
  <c r="M115" i="26" a="1"/>
  <c r="M115" i="26" s="1"/>
  <c r="N115" i="26" a="1"/>
  <c r="N115" i="26" s="1"/>
  <c r="O115" i="26" a="1"/>
  <c r="O115" i="26" s="1"/>
  <c r="P115" i="26" a="1"/>
  <c r="P115" i="26" s="1"/>
  <c r="Q115" i="26" a="1"/>
  <c r="Q115" i="26" s="1"/>
  <c r="R115" i="26" a="1"/>
  <c r="R115" i="26" s="1"/>
  <c r="U115" i="26" a="1"/>
  <c r="U115" i="26" s="1"/>
  <c r="V115" i="26" a="1"/>
  <c r="V115" i="26" s="1"/>
  <c r="W115" i="26" a="1"/>
  <c r="W115" i="26" s="1"/>
  <c r="X115" i="26" a="1"/>
  <c r="X115" i="26" s="1"/>
  <c r="K116" i="26" a="1"/>
  <c r="K116" i="26" s="1"/>
  <c r="L116" i="26" a="1"/>
  <c r="L116" i="26" s="1"/>
  <c r="M116" i="26" a="1"/>
  <c r="M116" i="26" s="1"/>
  <c r="N116" i="26" a="1"/>
  <c r="N116" i="26" s="1"/>
  <c r="O116" i="26" a="1"/>
  <c r="O116" i="26" s="1"/>
  <c r="P116" i="26" a="1"/>
  <c r="P116" i="26" s="1"/>
  <c r="Q116" i="26" a="1"/>
  <c r="Q116" i="26" s="1"/>
  <c r="R116" i="26" a="1"/>
  <c r="R116" i="26" s="1"/>
  <c r="U116" i="26" a="1"/>
  <c r="U116" i="26" s="1"/>
  <c r="V116" i="26" a="1"/>
  <c r="V116" i="26" s="1"/>
  <c r="W116" i="26" a="1"/>
  <c r="W116" i="26" s="1"/>
  <c r="X116" i="26" a="1"/>
  <c r="X116" i="26" s="1"/>
  <c r="K117" i="26" a="1"/>
  <c r="K117" i="26" s="1"/>
  <c r="L117" i="26" a="1"/>
  <c r="L117" i="26" s="1"/>
  <c r="M117" i="26" a="1"/>
  <c r="M117" i="26" s="1"/>
  <c r="N117" i="26" a="1"/>
  <c r="N117" i="26" s="1"/>
  <c r="O117" i="26" a="1"/>
  <c r="O117" i="26" s="1"/>
  <c r="P117" i="26" a="1"/>
  <c r="P117" i="26" s="1"/>
  <c r="Q117" i="26" a="1"/>
  <c r="Q117" i="26" s="1"/>
  <c r="R117" i="26" a="1"/>
  <c r="R117" i="26" s="1"/>
  <c r="U117" i="26" a="1"/>
  <c r="U117" i="26" s="1"/>
  <c r="V117" i="26" a="1"/>
  <c r="V117" i="26" s="1"/>
  <c r="W117" i="26" a="1"/>
  <c r="W117" i="26" s="1"/>
  <c r="X117" i="26" a="1"/>
  <c r="X117" i="26" s="1"/>
  <c r="K118" i="26" a="1"/>
  <c r="K118" i="26" s="1"/>
  <c r="L118" i="26" a="1"/>
  <c r="L118" i="26" s="1"/>
  <c r="M118" i="26" a="1"/>
  <c r="M118" i="26" s="1"/>
  <c r="N118" i="26" a="1"/>
  <c r="N118" i="26" s="1"/>
  <c r="O118" i="26" a="1"/>
  <c r="O118" i="26" s="1"/>
  <c r="P118" i="26" a="1"/>
  <c r="P118" i="26" s="1"/>
  <c r="Q118" i="26" a="1"/>
  <c r="Q118" i="26" s="1"/>
  <c r="R118" i="26" a="1"/>
  <c r="R118" i="26" s="1"/>
  <c r="U118" i="26" a="1"/>
  <c r="U118" i="26" s="1"/>
  <c r="V118" i="26" a="1"/>
  <c r="V118" i="26" s="1"/>
  <c r="W118" i="26" a="1"/>
  <c r="W118" i="26" s="1"/>
  <c r="X118" i="26" a="1"/>
  <c r="X118" i="26" s="1"/>
  <c r="K119" i="26" a="1"/>
  <c r="K119" i="26" s="1"/>
  <c r="L119" i="26" a="1"/>
  <c r="L119" i="26" s="1"/>
  <c r="M119" i="26" a="1"/>
  <c r="M119" i="26" s="1"/>
  <c r="N119" i="26" a="1"/>
  <c r="N119" i="26" s="1"/>
  <c r="O119" i="26" a="1"/>
  <c r="O119" i="26" s="1"/>
  <c r="P119" i="26" a="1"/>
  <c r="P119" i="26" s="1"/>
  <c r="Q119" i="26" a="1"/>
  <c r="Q119" i="26" s="1"/>
  <c r="R119" i="26" a="1"/>
  <c r="R119" i="26" s="1"/>
  <c r="U119" i="26" a="1"/>
  <c r="U119" i="26" s="1"/>
  <c r="V119" i="26" a="1"/>
  <c r="V119" i="26" s="1"/>
  <c r="W119" i="26" a="1"/>
  <c r="W119" i="26" s="1"/>
  <c r="X119" i="26" a="1"/>
  <c r="X119" i="26" s="1"/>
  <c r="K120" i="26" a="1"/>
  <c r="K120" i="26" s="1"/>
  <c r="L120" i="26" a="1"/>
  <c r="L120" i="26" s="1"/>
  <c r="M120" i="26" a="1"/>
  <c r="M120" i="26" s="1"/>
  <c r="N120" i="26" a="1"/>
  <c r="N120" i="26" s="1"/>
  <c r="O120" i="26" a="1"/>
  <c r="O120" i="26" s="1"/>
  <c r="P120" i="26" a="1"/>
  <c r="P120" i="26" s="1"/>
  <c r="Q120" i="26" a="1"/>
  <c r="Q120" i="26" s="1"/>
  <c r="R120" i="26" a="1"/>
  <c r="R120" i="26" s="1"/>
  <c r="U120" i="26" a="1"/>
  <c r="U120" i="26" s="1"/>
  <c r="V120" i="26" a="1"/>
  <c r="V120" i="26" s="1"/>
  <c r="W120" i="26" a="1"/>
  <c r="W120" i="26" s="1"/>
  <c r="X120" i="26" a="1"/>
  <c r="X120" i="26" s="1"/>
  <c r="K121" i="26" a="1"/>
  <c r="K121" i="26" s="1"/>
  <c r="L121" i="26" a="1"/>
  <c r="L121" i="26" s="1"/>
  <c r="M121" i="26" a="1"/>
  <c r="M121" i="26" s="1"/>
  <c r="N121" i="26" a="1"/>
  <c r="N121" i="26" s="1"/>
  <c r="O121" i="26" a="1"/>
  <c r="O121" i="26" s="1"/>
  <c r="P121" i="26" a="1"/>
  <c r="P121" i="26" s="1"/>
  <c r="Q121" i="26" a="1"/>
  <c r="Q121" i="26" s="1"/>
  <c r="R121" i="26" a="1"/>
  <c r="R121" i="26" s="1"/>
  <c r="U121" i="26" a="1"/>
  <c r="U121" i="26" s="1"/>
  <c r="V121" i="26" a="1"/>
  <c r="V121" i="26" s="1"/>
  <c r="W121" i="26" a="1"/>
  <c r="W121" i="26" s="1"/>
  <c r="X121" i="26" a="1"/>
  <c r="X121" i="26" s="1"/>
  <c r="K122" i="26" a="1"/>
  <c r="K122" i="26" s="1"/>
  <c r="L122" i="26" a="1"/>
  <c r="L122" i="26" s="1"/>
  <c r="M122" i="26" a="1"/>
  <c r="M122" i="26" s="1"/>
  <c r="N122" i="26" a="1"/>
  <c r="N122" i="26" s="1"/>
  <c r="O122" i="26" a="1"/>
  <c r="O122" i="26" s="1"/>
  <c r="P122" i="26" a="1"/>
  <c r="P122" i="26" s="1"/>
  <c r="Q122" i="26" a="1"/>
  <c r="Q122" i="26" s="1"/>
  <c r="R122" i="26" a="1"/>
  <c r="R122" i="26" s="1"/>
  <c r="U122" i="26" a="1"/>
  <c r="U122" i="26" s="1"/>
  <c r="V122" i="26" a="1"/>
  <c r="V122" i="26" s="1"/>
  <c r="W122" i="26" a="1"/>
  <c r="W122" i="26" s="1"/>
  <c r="X122" i="26" a="1"/>
  <c r="X122" i="26" s="1"/>
  <c r="K123" i="26" a="1"/>
  <c r="K123" i="26" s="1"/>
  <c r="L123" i="26" a="1"/>
  <c r="L123" i="26" s="1"/>
  <c r="M123" i="26" a="1"/>
  <c r="M123" i="26" s="1"/>
  <c r="N123" i="26" a="1"/>
  <c r="N123" i="26" s="1"/>
  <c r="O123" i="26" a="1"/>
  <c r="O123" i="26" s="1"/>
  <c r="P123" i="26" a="1"/>
  <c r="P123" i="26" s="1"/>
  <c r="Q123" i="26" a="1"/>
  <c r="Q123" i="26" s="1"/>
  <c r="R123" i="26" a="1"/>
  <c r="R123" i="26" s="1"/>
  <c r="U123" i="26" a="1"/>
  <c r="U123" i="26" s="1"/>
  <c r="V123" i="26" a="1"/>
  <c r="V123" i="26" s="1"/>
  <c r="W123" i="26" a="1"/>
  <c r="W123" i="26" s="1"/>
  <c r="X123" i="26" a="1"/>
  <c r="X123" i="26" s="1"/>
  <c r="K124" i="26" a="1"/>
  <c r="K124" i="26" s="1"/>
  <c r="L124" i="26" a="1"/>
  <c r="L124" i="26" s="1"/>
  <c r="M124" i="26" a="1"/>
  <c r="M124" i="26" s="1"/>
  <c r="N124" i="26" a="1"/>
  <c r="N124" i="26" s="1"/>
  <c r="O124" i="26" a="1"/>
  <c r="O124" i="26" s="1"/>
  <c r="P124" i="26" a="1"/>
  <c r="P124" i="26" s="1"/>
  <c r="Q124" i="26" a="1"/>
  <c r="Q124" i="26" s="1"/>
  <c r="R124" i="26" a="1"/>
  <c r="R124" i="26" s="1"/>
  <c r="U124" i="26" a="1"/>
  <c r="U124" i="26" s="1"/>
  <c r="V124" i="26" a="1"/>
  <c r="V124" i="26" s="1"/>
  <c r="W124" i="26" a="1"/>
  <c r="W124" i="26" s="1"/>
  <c r="X124" i="26" a="1"/>
  <c r="X124" i="26" s="1"/>
  <c r="K125" i="26" a="1"/>
  <c r="K125" i="26" s="1"/>
  <c r="L125" i="26" a="1"/>
  <c r="L125" i="26" s="1"/>
  <c r="M125" i="26" a="1"/>
  <c r="M125" i="26" s="1"/>
  <c r="N125" i="26" a="1"/>
  <c r="N125" i="26" s="1"/>
  <c r="O125" i="26" a="1"/>
  <c r="O125" i="26" s="1"/>
  <c r="P125" i="26" a="1"/>
  <c r="P125" i="26" s="1"/>
  <c r="Q125" i="26" a="1"/>
  <c r="Q125" i="26" s="1"/>
  <c r="R125" i="26" a="1"/>
  <c r="R125" i="26" s="1"/>
  <c r="U125" i="26" a="1"/>
  <c r="U125" i="26" s="1"/>
  <c r="V125" i="26" a="1"/>
  <c r="V125" i="26" s="1"/>
  <c r="W125" i="26" a="1"/>
  <c r="W125" i="26" s="1"/>
  <c r="X125" i="26" a="1"/>
  <c r="X125" i="26" s="1"/>
  <c r="K3" i="25" a="1"/>
  <c r="K3" i="25" s="1"/>
  <c r="L3" i="25" a="1"/>
  <c r="L3" i="25" s="1"/>
  <c r="M3" i="25" a="1"/>
  <c r="M3" i="25" s="1"/>
  <c r="N3" i="25" a="1"/>
  <c r="N3" i="25" s="1"/>
  <c r="O3" i="25" a="1"/>
  <c r="O3" i="25" s="1"/>
  <c r="P3" i="25" a="1"/>
  <c r="P3" i="25" s="1"/>
  <c r="Q3" i="25" a="1"/>
  <c r="Q3" i="25" s="1"/>
  <c r="R3" i="25" a="1"/>
  <c r="R3" i="25" s="1"/>
  <c r="U3" i="25" a="1"/>
  <c r="U3" i="25" s="1"/>
  <c r="V3" i="25" a="1"/>
  <c r="V3" i="25" s="1"/>
  <c r="W3" i="25" a="1"/>
  <c r="W3" i="25" s="1"/>
  <c r="X3" i="25" a="1"/>
  <c r="X3" i="25" s="1"/>
  <c r="K4" i="25" a="1"/>
  <c r="K4" i="25" s="1"/>
  <c r="L4" i="25" a="1"/>
  <c r="L4" i="25" s="1"/>
  <c r="M4" i="25" a="1"/>
  <c r="M4" i="25" s="1"/>
  <c r="N4" i="25" a="1"/>
  <c r="N4" i="25" s="1"/>
  <c r="O4" i="25" a="1"/>
  <c r="O4" i="25" s="1"/>
  <c r="P4" i="25" a="1"/>
  <c r="P4" i="25" s="1"/>
  <c r="Q4" i="25" a="1"/>
  <c r="Q4" i="25" s="1"/>
  <c r="R4" i="25" a="1"/>
  <c r="R4" i="25" s="1"/>
  <c r="U4" i="25" a="1"/>
  <c r="U4" i="25" s="1"/>
  <c r="V4" i="25" a="1"/>
  <c r="V4" i="25" s="1"/>
  <c r="W4" i="25" a="1"/>
  <c r="W4" i="25" s="1"/>
  <c r="X4" i="25" a="1"/>
  <c r="X4" i="25" s="1"/>
  <c r="K5" i="25" a="1"/>
  <c r="K5" i="25" s="1"/>
  <c r="L5" i="25" a="1"/>
  <c r="L5" i="25" s="1"/>
  <c r="M5" i="25" a="1"/>
  <c r="M5" i="25" s="1"/>
  <c r="N5" i="25" a="1"/>
  <c r="N5" i="25" s="1"/>
  <c r="O5" i="25" a="1"/>
  <c r="O5" i="25" s="1"/>
  <c r="P5" i="25" a="1"/>
  <c r="P5" i="25" s="1"/>
  <c r="Q5" i="25" a="1"/>
  <c r="Q5" i="25" s="1"/>
  <c r="R5" i="25" a="1"/>
  <c r="R5" i="25" s="1"/>
  <c r="U5" i="25" a="1"/>
  <c r="U5" i="25" s="1"/>
  <c r="V5" i="25" a="1"/>
  <c r="V5" i="25" s="1"/>
  <c r="W5" i="25" a="1"/>
  <c r="W5" i="25" s="1"/>
  <c r="X5" i="25" a="1"/>
  <c r="X5" i="25" s="1"/>
  <c r="K6" i="25" a="1"/>
  <c r="K6" i="25" s="1"/>
  <c r="L6" i="25" a="1"/>
  <c r="L6" i="25" s="1"/>
  <c r="M6" i="25" a="1"/>
  <c r="M6" i="25" s="1"/>
  <c r="N6" i="25" a="1"/>
  <c r="N6" i="25" s="1"/>
  <c r="O6" i="25" a="1"/>
  <c r="O6" i="25" s="1"/>
  <c r="P6" i="25" a="1"/>
  <c r="P6" i="25" s="1"/>
  <c r="Q6" i="25" a="1"/>
  <c r="Q6" i="25" s="1"/>
  <c r="R6" i="25" a="1"/>
  <c r="R6" i="25" s="1"/>
  <c r="U6" i="25" a="1"/>
  <c r="U6" i="25" s="1"/>
  <c r="V6" i="25" a="1"/>
  <c r="V6" i="25" s="1"/>
  <c r="W6" i="25" a="1"/>
  <c r="W6" i="25" s="1"/>
  <c r="X6" i="25" a="1"/>
  <c r="X6" i="25" s="1"/>
  <c r="K7" i="25" a="1"/>
  <c r="K7" i="25" s="1"/>
  <c r="L7" i="25" a="1"/>
  <c r="L7" i="25" s="1"/>
  <c r="M7" i="25" a="1"/>
  <c r="M7" i="25" s="1"/>
  <c r="N7" i="25" a="1"/>
  <c r="N7" i="25" s="1"/>
  <c r="O7" i="25" a="1"/>
  <c r="O7" i="25" s="1"/>
  <c r="P7" i="25" a="1"/>
  <c r="P7" i="25" s="1"/>
  <c r="Q7" i="25" a="1"/>
  <c r="Q7" i="25" s="1"/>
  <c r="R7" i="25" a="1"/>
  <c r="R7" i="25" s="1"/>
  <c r="U7" i="25" a="1"/>
  <c r="U7" i="25" s="1"/>
  <c r="V7" i="25" a="1"/>
  <c r="V7" i="25" s="1"/>
  <c r="W7" i="25" a="1"/>
  <c r="W7" i="25" s="1"/>
  <c r="X7" i="25" a="1"/>
  <c r="X7" i="25" s="1"/>
  <c r="K8" i="25" a="1"/>
  <c r="K8" i="25" s="1"/>
  <c r="L8" i="25" a="1"/>
  <c r="L8" i="25" s="1"/>
  <c r="M8" i="25" a="1"/>
  <c r="M8" i="25" s="1"/>
  <c r="N8" i="25" a="1"/>
  <c r="N8" i="25" s="1"/>
  <c r="O8" i="25" a="1"/>
  <c r="O8" i="25" s="1"/>
  <c r="P8" i="25" a="1"/>
  <c r="P8" i="25" s="1"/>
  <c r="Q8" i="25" a="1"/>
  <c r="Q8" i="25" s="1"/>
  <c r="R8" i="25" a="1"/>
  <c r="R8" i="25" s="1"/>
  <c r="U8" i="25" a="1"/>
  <c r="U8" i="25" s="1"/>
  <c r="V8" i="25" a="1"/>
  <c r="V8" i="25" s="1"/>
  <c r="W8" i="25" a="1"/>
  <c r="W8" i="25" s="1"/>
  <c r="X8" i="25" a="1"/>
  <c r="X8" i="25" s="1"/>
  <c r="K9" i="25" a="1"/>
  <c r="K9" i="25" s="1"/>
  <c r="L9" i="25" a="1"/>
  <c r="L9" i="25" s="1"/>
  <c r="M9" i="25" a="1"/>
  <c r="M9" i="25" s="1"/>
  <c r="N9" i="25" a="1"/>
  <c r="N9" i="25" s="1"/>
  <c r="O9" i="25" a="1"/>
  <c r="O9" i="25" s="1"/>
  <c r="P9" i="25" a="1"/>
  <c r="P9" i="25" s="1"/>
  <c r="Q9" i="25" a="1"/>
  <c r="Q9" i="25" s="1"/>
  <c r="R9" i="25" a="1"/>
  <c r="R9" i="25" s="1"/>
  <c r="U9" i="25" a="1"/>
  <c r="U9" i="25" s="1"/>
  <c r="V9" i="25" a="1"/>
  <c r="V9" i="25" s="1"/>
  <c r="W9" i="25" a="1"/>
  <c r="W9" i="25" s="1"/>
  <c r="X9" i="25" a="1"/>
  <c r="X9" i="25" s="1"/>
  <c r="K10" i="25" a="1"/>
  <c r="K10" i="25" s="1"/>
  <c r="L10" i="25" a="1"/>
  <c r="L10" i="25" s="1"/>
  <c r="M10" i="25" a="1"/>
  <c r="M10" i="25" s="1"/>
  <c r="N10" i="25" a="1"/>
  <c r="N10" i="25" s="1"/>
  <c r="O10" i="25" a="1"/>
  <c r="O10" i="25" s="1"/>
  <c r="P10" i="25" a="1"/>
  <c r="P10" i="25" s="1"/>
  <c r="Q10" i="25" a="1"/>
  <c r="Q10" i="25" s="1"/>
  <c r="R10" i="25" a="1"/>
  <c r="R10" i="25" s="1"/>
  <c r="U10" i="25" a="1"/>
  <c r="U10" i="25" s="1"/>
  <c r="V10" i="25" a="1"/>
  <c r="V10" i="25" s="1"/>
  <c r="W10" i="25" a="1"/>
  <c r="W10" i="25" s="1"/>
  <c r="X10" i="25" a="1"/>
  <c r="X10" i="25" s="1"/>
  <c r="K11" i="25" a="1"/>
  <c r="K11" i="25" s="1"/>
  <c r="L11" i="25" a="1"/>
  <c r="L11" i="25" s="1"/>
  <c r="M11" i="25" a="1"/>
  <c r="M11" i="25" s="1"/>
  <c r="N11" i="25" a="1"/>
  <c r="N11" i="25" s="1"/>
  <c r="O11" i="25" a="1"/>
  <c r="O11" i="25" s="1"/>
  <c r="P11" i="25" a="1"/>
  <c r="P11" i="25" s="1"/>
  <c r="Q11" i="25" a="1"/>
  <c r="Q11" i="25" s="1"/>
  <c r="R11" i="25" a="1"/>
  <c r="R11" i="25" s="1"/>
  <c r="U11" i="25" a="1"/>
  <c r="U11" i="25" s="1"/>
  <c r="V11" i="25" a="1"/>
  <c r="V11" i="25" s="1"/>
  <c r="W11" i="25" a="1"/>
  <c r="W11" i="25" s="1"/>
  <c r="X11" i="25" a="1"/>
  <c r="X11" i="25" s="1"/>
  <c r="K12" i="25" a="1"/>
  <c r="K12" i="25" s="1"/>
  <c r="L12" i="25" a="1"/>
  <c r="L12" i="25" s="1"/>
  <c r="M12" i="25" a="1"/>
  <c r="M12" i="25" s="1"/>
  <c r="N12" i="25" a="1"/>
  <c r="N12" i="25" s="1"/>
  <c r="O12" i="25" a="1"/>
  <c r="O12" i="25" s="1"/>
  <c r="P12" i="25" a="1"/>
  <c r="P12" i="25" s="1"/>
  <c r="Q12" i="25" a="1"/>
  <c r="Q12" i="25" s="1"/>
  <c r="R12" i="25" a="1"/>
  <c r="R12" i="25" s="1"/>
  <c r="U12" i="25" a="1"/>
  <c r="U12" i="25" s="1"/>
  <c r="V12" i="25" a="1"/>
  <c r="V12" i="25" s="1"/>
  <c r="W12" i="25" a="1"/>
  <c r="W12" i="25" s="1"/>
  <c r="X12" i="25" a="1"/>
  <c r="X12" i="25" s="1"/>
  <c r="K13" i="25" a="1"/>
  <c r="K13" i="25" s="1"/>
  <c r="L13" i="25" a="1"/>
  <c r="L13" i="25" s="1"/>
  <c r="M13" i="25" a="1"/>
  <c r="M13" i="25" s="1"/>
  <c r="N13" i="25" a="1"/>
  <c r="N13" i="25" s="1"/>
  <c r="O13" i="25" a="1"/>
  <c r="O13" i="25" s="1"/>
  <c r="P13" i="25" a="1"/>
  <c r="P13" i="25" s="1"/>
  <c r="Q13" i="25" a="1"/>
  <c r="Q13" i="25" s="1"/>
  <c r="R13" i="25" a="1"/>
  <c r="R13" i="25" s="1"/>
  <c r="U13" i="25" a="1"/>
  <c r="U13" i="25" s="1"/>
  <c r="V13" i="25" a="1"/>
  <c r="V13" i="25" s="1"/>
  <c r="W13" i="25" a="1"/>
  <c r="W13" i="25" s="1"/>
  <c r="X13" i="25" a="1"/>
  <c r="X13" i="25" s="1"/>
  <c r="K14" i="25" a="1"/>
  <c r="K14" i="25" s="1"/>
  <c r="L14" i="25" a="1"/>
  <c r="L14" i="25" s="1"/>
  <c r="M14" i="25" a="1"/>
  <c r="M14" i="25" s="1"/>
  <c r="N14" i="25" a="1"/>
  <c r="N14" i="25" s="1"/>
  <c r="O14" i="25" a="1"/>
  <c r="O14" i="25" s="1"/>
  <c r="P14" i="25" a="1"/>
  <c r="P14" i="25" s="1"/>
  <c r="Q14" i="25" a="1"/>
  <c r="Q14" i="25" s="1"/>
  <c r="R14" i="25" a="1"/>
  <c r="R14" i="25" s="1"/>
  <c r="U14" i="25" a="1"/>
  <c r="U14" i="25" s="1"/>
  <c r="V14" i="25" a="1"/>
  <c r="V14" i="25" s="1"/>
  <c r="W14" i="25" a="1"/>
  <c r="W14" i="25" s="1"/>
  <c r="X14" i="25" a="1"/>
  <c r="X14" i="25" s="1"/>
  <c r="K15" i="25" a="1"/>
  <c r="K15" i="25" s="1"/>
  <c r="L15" i="25" a="1"/>
  <c r="L15" i="25" s="1"/>
  <c r="M15" i="25" a="1"/>
  <c r="M15" i="25" s="1"/>
  <c r="N15" i="25" a="1"/>
  <c r="N15" i="25" s="1"/>
  <c r="O15" i="25" a="1"/>
  <c r="O15" i="25" s="1"/>
  <c r="P15" i="25" a="1"/>
  <c r="P15" i="25" s="1"/>
  <c r="Q15" i="25" a="1"/>
  <c r="Q15" i="25" s="1"/>
  <c r="R15" i="25" a="1"/>
  <c r="R15" i="25" s="1"/>
  <c r="U15" i="25" a="1"/>
  <c r="U15" i="25" s="1"/>
  <c r="V15" i="25" a="1"/>
  <c r="V15" i="25" s="1"/>
  <c r="W15" i="25" a="1"/>
  <c r="W15" i="25" s="1"/>
  <c r="X15" i="25" a="1"/>
  <c r="X15" i="25" s="1"/>
  <c r="K16" i="25" a="1"/>
  <c r="K16" i="25" s="1"/>
  <c r="L16" i="25" a="1"/>
  <c r="L16" i="25" s="1"/>
  <c r="M16" i="25" a="1"/>
  <c r="M16" i="25" s="1"/>
  <c r="N16" i="25" a="1"/>
  <c r="N16" i="25" s="1"/>
  <c r="O16" i="25" a="1"/>
  <c r="O16" i="25" s="1"/>
  <c r="P16" i="25" a="1"/>
  <c r="P16" i="25" s="1"/>
  <c r="Q16" i="25" a="1"/>
  <c r="Q16" i="25" s="1"/>
  <c r="R16" i="25" a="1"/>
  <c r="R16" i="25" s="1"/>
  <c r="U16" i="25" a="1"/>
  <c r="U16" i="25" s="1"/>
  <c r="V16" i="25" a="1"/>
  <c r="V16" i="25" s="1"/>
  <c r="W16" i="25" a="1"/>
  <c r="W16" i="25" s="1"/>
  <c r="X16" i="25" a="1"/>
  <c r="X16" i="25" s="1"/>
  <c r="K17" i="25" a="1"/>
  <c r="K17" i="25" s="1"/>
  <c r="L17" i="25" a="1"/>
  <c r="L17" i="25" s="1"/>
  <c r="M17" i="25" a="1"/>
  <c r="M17" i="25" s="1"/>
  <c r="N17" i="25" a="1"/>
  <c r="N17" i="25" s="1"/>
  <c r="O17" i="25" a="1"/>
  <c r="O17" i="25" s="1"/>
  <c r="P17" i="25" a="1"/>
  <c r="P17" i="25" s="1"/>
  <c r="Q17" i="25" a="1"/>
  <c r="Q17" i="25" s="1"/>
  <c r="R17" i="25" a="1"/>
  <c r="R17" i="25" s="1"/>
  <c r="U17" i="25" a="1"/>
  <c r="U17" i="25" s="1"/>
  <c r="V17" i="25" a="1"/>
  <c r="V17" i="25" s="1"/>
  <c r="W17" i="25" a="1"/>
  <c r="W17" i="25" s="1"/>
  <c r="X17" i="25" a="1"/>
  <c r="X17" i="25" s="1"/>
  <c r="K18" i="25" a="1"/>
  <c r="K18" i="25" s="1"/>
  <c r="L18" i="25" a="1"/>
  <c r="L18" i="25" s="1"/>
  <c r="M18" i="25" a="1"/>
  <c r="M18" i="25" s="1"/>
  <c r="N18" i="25" a="1"/>
  <c r="N18" i="25" s="1"/>
  <c r="O18" i="25" a="1"/>
  <c r="O18" i="25" s="1"/>
  <c r="P18" i="25" a="1"/>
  <c r="P18" i="25" s="1"/>
  <c r="Q18" i="25" a="1"/>
  <c r="Q18" i="25" s="1"/>
  <c r="R18" i="25" a="1"/>
  <c r="R18" i="25" s="1"/>
  <c r="U18" i="25" a="1"/>
  <c r="U18" i="25" s="1"/>
  <c r="V18" i="25" a="1"/>
  <c r="V18" i="25" s="1"/>
  <c r="W18" i="25" a="1"/>
  <c r="W18" i="25" s="1"/>
  <c r="X18" i="25" a="1"/>
  <c r="X18" i="25" s="1"/>
  <c r="K19" i="25" a="1"/>
  <c r="K19" i="25" s="1"/>
  <c r="L19" i="25" a="1"/>
  <c r="L19" i="25" s="1"/>
  <c r="M19" i="25" a="1"/>
  <c r="M19" i="25" s="1"/>
  <c r="N19" i="25" a="1"/>
  <c r="N19" i="25" s="1"/>
  <c r="O19" i="25" a="1"/>
  <c r="O19" i="25" s="1"/>
  <c r="P19" i="25" a="1"/>
  <c r="P19" i="25" s="1"/>
  <c r="Q19" i="25" a="1"/>
  <c r="Q19" i="25" s="1"/>
  <c r="R19" i="25" a="1"/>
  <c r="R19" i="25" s="1"/>
  <c r="U19" i="25" a="1"/>
  <c r="U19" i="25" s="1"/>
  <c r="V19" i="25" a="1"/>
  <c r="V19" i="25" s="1"/>
  <c r="W19" i="25" a="1"/>
  <c r="W19" i="25" s="1"/>
  <c r="X19" i="25" a="1"/>
  <c r="X19" i="25" s="1"/>
  <c r="K20" i="25" a="1"/>
  <c r="K20" i="25" s="1"/>
  <c r="L20" i="25" a="1"/>
  <c r="L20" i="25" s="1"/>
  <c r="M20" i="25" a="1"/>
  <c r="M20" i="25" s="1"/>
  <c r="N20" i="25" a="1"/>
  <c r="N20" i="25" s="1"/>
  <c r="O20" i="25" a="1"/>
  <c r="O20" i="25" s="1"/>
  <c r="P20" i="25" a="1"/>
  <c r="P20" i="25" s="1"/>
  <c r="Q20" i="25" a="1"/>
  <c r="Q20" i="25" s="1"/>
  <c r="R20" i="25" a="1"/>
  <c r="R20" i="25" s="1"/>
  <c r="U20" i="25" a="1"/>
  <c r="U20" i="25" s="1"/>
  <c r="V20" i="25" a="1"/>
  <c r="V20" i="25" s="1"/>
  <c r="W20" i="25" a="1"/>
  <c r="W20" i="25" s="1"/>
  <c r="X20" i="25" a="1"/>
  <c r="X20" i="25" s="1"/>
  <c r="K21" i="25" a="1"/>
  <c r="K21" i="25" s="1"/>
  <c r="L21" i="25" a="1"/>
  <c r="L21" i="25" s="1"/>
  <c r="M21" i="25" a="1"/>
  <c r="M21" i="25" s="1"/>
  <c r="N21" i="25" a="1"/>
  <c r="N21" i="25" s="1"/>
  <c r="O21" i="25" a="1"/>
  <c r="O21" i="25" s="1"/>
  <c r="P21" i="25" a="1"/>
  <c r="P21" i="25" s="1"/>
  <c r="Q21" i="25" a="1"/>
  <c r="Q21" i="25" s="1"/>
  <c r="R21" i="25" a="1"/>
  <c r="R21" i="25" s="1"/>
  <c r="U21" i="25" a="1"/>
  <c r="U21" i="25" s="1"/>
  <c r="V21" i="25" a="1"/>
  <c r="V21" i="25" s="1"/>
  <c r="W21" i="25" a="1"/>
  <c r="W21" i="25" s="1"/>
  <c r="X21" i="25" a="1"/>
  <c r="X21" i="25" s="1"/>
  <c r="K22" i="25" a="1"/>
  <c r="K22" i="25" s="1"/>
  <c r="L22" i="25" a="1"/>
  <c r="L22" i="25" s="1"/>
  <c r="M22" i="25" a="1"/>
  <c r="M22" i="25" s="1"/>
  <c r="N22" i="25" a="1"/>
  <c r="N22" i="25" s="1"/>
  <c r="O22" i="25" a="1"/>
  <c r="O22" i="25" s="1"/>
  <c r="P22" i="25" a="1"/>
  <c r="P22" i="25" s="1"/>
  <c r="Q22" i="25" a="1"/>
  <c r="Q22" i="25" s="1"/>
  <c r="R22" i="25" a="1"/>
  <c r="R22" i="25" s="1"/>
  <c r="U22" i="25" a="1"/>
  <c r="U22" i="25" s="1"/>
  <c r="V22" i="25" a="1"/>
  <c r="V22" i="25" s="1"/>
  <c r="W22" i="25" a="1"/>
  <c r="W22" i="25" s="1"/>
  <c r="X22" i="25" a="1"/>
  <c r="X22" i="25" s="1"/>
  <c r="K23" i="25" a="1"/>
  <c r="K23" i="25" s="1"/>
  <c r="L23" i="25" a="1"/>
  <c r="L23" i="25" s="1"/>
  <c r="M23" i="25" a="1"/>
  <c r="M23" i="25" s="1"/>
  <c r="N23" i="25" a="1"/>
  <c r="N23" i="25" s="1"/>
  <c r="O23" i="25" a="1"/>
  <c r="O23" i="25" s="1"/>
  <c r="P23" i="25" a="1"/>
  <c r="P23" i="25" s="1"/>
  <c r="Q23" i="25" a="1"/>
  <c r="Q23" i="25" s="1"/>
  <c r="R23" i="25" a="1"/>
  <c r="R23" i="25" s="1"/>
  <c r="U23" i="25" a="1"/>
  <c r="U23" i="25" s="1"/>
  <c r="V23" i="25" a="1"/>
  <c r="V23" i="25" s="1"/>
  <c r="W23" i="25" a="1"/>
  <c r="W23" i="25" s="1"/>
  <c r="X23" i="25" a="1"/>
  <c r="X23" i="25" s="1"/>
  <c r="K24" i="25" a="1"/>
  <c r="K24" i="25" s="1"/>
  <c r="L24" i="25" a="1"/>
  <c r="L24" i="25" s="1"/>
  <c r="M24" i="25" a="1"/>
  <c r="M24" i="25" s="1"/>
  <c r="N24" i="25" a="1"/>
  <c r="N24" i="25" s="1"/>
  <c r="O24" i="25" a="1"/>
  <c r="O24" i="25" s="1"/>
  <c r="P24" i="25" a="1"/>
  <c r="P24" i="25" s="1"/>
  <c r="Q24" i="25" a="1"/>
  <c r="Q24" i="25" s="1"/>
  <c r="R24" i="25" a="1"/>
  <c r="R24" i="25" s="1"/>
  <c r="U24" i="25" a="1"/>
  <c r="U24" i="25" s="1"/>
  <c r="V24" i="25" a="1"/>
  <c r="V24" i="25" s="1"/>
  <c r="W24" i="25" a="1"/>
  <c r="W24" i="25" s="1"/>
  <c r="X24" i="25" a="1"/>
  <c r="X24" i="25" s="1"/>
  <c r="K25" i="25" a="1"/>
  <c r="K25" i="25" s="1"/>
  <c r="L25" i="25" a="1"/>
  <c r="L25" i="25" s="1"/>
  <c r="M25" i="25" a="1"/>
  <c r="M25" i="25" s="1"/>
  <c r="N25" i="25" a="1"/>
  <c r="N25" i="25" s="1"/>
  <c r="O25" i="25" a="1"/>
  <c r="O25" i="25" s="1"/>
  <c r="P25" i="25" a="1"/>
  <c r="P25" i="25" s="1"/>
  <c r="Q25" i="25" a="1"/>
  <c r="Q25" i="25" s="1"/>
  <c r="R25" i="25" a="1"/>
  <c r="R25" i="25" s="1"/>
  <c r="U25" i="25" a="1"/>
  <c r="U25" i="25" s="1"/>
  <c r="V25" i="25" a="1"/>
  <c r="V25" i="25" s="1"/>
  <c r="W25" i="25" a="1"/>
  <c r="W25" i="25" s="1"/>
  <c r="X25" i="25" a="1"/>
  <c r="X25" i="25" s="1"/>
  <c r="K26" i="25" a="1"/>
  <c r="K26" i="25" s="1"/>
  <c r="L26" i="25" a="1"/>
  <c r="L26" i="25" s="1"/>
  <c r="M26" i="25" a="1"/>
  <c r="M26" i="25" s="1"/>
  <c r="N26" i="25" a="1"/>
  <c r="N26" i="25" s="1"/>
  <c r="O26" i="25" a="1"/>
  <c r="O26" i="25" s="1"/>
  <c r="P26" i="25" a="1"/>
  <c r="P26" i="25" s="1"/>
  <c r="Q26" i="25" a="1"/>
  <c r="Q26" i="25" s="1"/>
  <c r="R26" i="25" a="1"/>
  <c r="R26" i="25" s="1"/>
  <c r="U26" i="25" a="1"/>
  <c r="U26" i="25" s="1"/>
  <c r="V26" i="25" a="1"/>
  <c r="V26" i="25" s="1"/>
  <c r="W26" i="25" a="1"/>
  <c r="W26" i="25" s="1"/>
  <c r="X26" i="25" a="1"/>
  <c r="X26" i="25" s="1"/>
  <c r="K27" i="25" a="1"/>
  <c r="K27" i="25" s="1"/>
  <c r="L27" i="25" a="1"/>
  <c r="L27" i="25" s="1"/>
  <c r="M27" i="25" a="1"/>
  <c r="M27" i="25" s="1"/>
  <c r="N27" i="25" a="1"/>
  <c r="N27" i="25" s="1"/>
  <c r="O27" i="25" a="1"/>
  <c r="O27" i="25" s="1"/>
  <c r="P27" i="25" a="1"/>
  <c r="P27" i="25" s="1"/>
  <c r="Q27" i="25" a="1"/>
  <c r="Q27" i="25" s="1"/>
  <c r="R27" i="25" a="1"/>
  <c r="R27" i="25" s="1"/>
  <c r="U27" i="25" a="1"/>
  <c r="U27" i="25" s="1"/>
  <c r="V27" i="25" a="1"/>
  <c r="V27" i="25" s="1"/>
  <c r="W27" i="25" a="1"/>
  <c r="W27" i="25" s="1"/>
  <c r="X27" i="25" a="1"/>
  <c r="X27" i="25" s="1"/>
  <c r="K28" i="25" a="1"/>
  <c r="K28" i="25" s="1"/>
  <c r="L28" i="25" a="1"/>
  <c r="L28" i="25" s="1"/>
  <c r="M28" i="25" a="1"/>
  <c r="M28" i="25" s="1"/>
  <c r="N28" i="25" a="1"/>
  <c r="N28" i="25" s="1"/>
  <c r="O28" i="25" a="1"/>
  <c r="O28" i="25" s="1"/>
  <c r="P28" i="25" a="1"/>
  <c r="P28" i="25" s="1"/>
  <c r="Q28" i="25" a="1"/>
  <c r="Q28" i="25" s="1"/>
  <c r="R28" i="25" a="1"/>
  <c r="R28" i="25" s="1"/>
  <c r="U28" i="25" a="1"/>
  <c r="U28" i="25" s="1"/>
  <c r="V28" i="25" a="1"/>
  <c r="V28" i="25" s="1"/>
  <c r="W28" i="25" a="1"/>
  <c r="W28" i="25" s="1"/>
  <c r="X28" i="25" a="1"/>
  <c r="X28" i="25" s="1"/>
  <c r="K29" i="25" a="1"/>
  <c r="K29" i="25" s="1"/>
  <c r="L29" i="25" a="1"/>
  <c r="L29" i="25" s="1"/>
  <c r="M29" i="25" a="1"/>
  <c r="M29" i="25" s="1"/>
  <c r="N29" i="25" a="1"/>
  <c r="N29" i="25" s="1"/>
  <c r="O29" i="25" a="1"/>
  <c r="O29" i="25" s="1"/>
  <c r="P29" i="25" a="1"/>
  <c r="P29" i="25" s="1"/>
  <c r="Q29" i="25" a="1"/>
  <c r="Q29" i="25" s="1"/>
  <c r="R29" i="25" a="1"/>
  <c r="R29" i="25" s="1"/>
  <c r="U29" i="25" a="1"/>
  <c r="U29" i="25" s="1"/>
  <c r="V29" i="25" a="1"/>
  <c r="V29" i="25" s="1"/>
  <c r="W29" i="25" a="1"/>
  <c r="W29" i="25" s="1"/>
  <c r="X29" i="25" a="1"/>
  <c r="X29" i="25" s="1"/>
  <c r="K30" i="25" a="1"/>
  <c r="K30" i="25" s="1"/>
  <c r="L30" i="25" a="1"/>
  <c r="L30" i="25" s="1"/>
  <c r="M30" i="25" a="1"/>
  <c r="M30" i="25" s="1"/>
  <c r="N30" i="25" a="1"/>
  <c r="N30" i="25" s="1"/>
  <c r="O30" i="25" a="1"/>
  <c r="O30" i="25" s="1"/>
  <c r="P30" i="25" a="1"/>
  <c r="P30" i="25" s="1"/>
  <c r="Q30" i="25" a="1"/>
  <c r="Q30" i="25" s="1"/>
  <c r="R30" i="25" a="1"/>
  <c r="R30" i="25" s="1"/>
  <c r="U30" i="25" a="1"/>
  <c r="U30" i="25" s="1"/>
  <c r="V30" i="25" a="1"/>
  <c r="V30" i="25" s="1"/>
  <c r="W30" i="25" a="1"/>
  <c r="W30" i="25" s="1"/>
  <c r="X30" i="25" a="1"/>
  <c r="X30" i="25" s="1"/>
  <c r="K31" i="25" a="1"/>
  <c r="K31" i="25" s="1"/>
  <c r="L31" i="25" a="1"/>
  <c r="L31" i="25" s="1"/>
  <c r="M31" i="25" a="1"/>
  <c r="M31" i="25" s="1"/>
  <c r="N31" i="25" a="1"/>
  <c r="N31" i="25" s="1"/>
  <c r="O31" i="25" a="1"/>
  <c r="O31" i="25" s="1"/>
  <c r="P31" i="25" a="1"/>
  <c r="P31" i="25" s="1"/>
  <c r="Q31" i="25" a="1"/>
  <c r="Q31" i="25" s="1"/>
  <c r="R31" i="25" a="1"/>
  <c r="R31" i="25" s="1"/>
  <c r="U31" i="25" a="1"/>
  <c r="U31" i="25" s="1"/>
  <c r="V31" i="25" a="1"/>
  <c r="V31" i="25" s="1"/>
  <c r="W31" i="25" a="1"/>
  <c r="W31" i="25" s="1"/>
  <c r="X31" i="25" a="1"/>
  <c r="X31" i="25" s="1"/>
  <c r="K32" i="25" a="1"/>
  <c r="K32" i="25" s="1"/>
  <c r="L32" i="25" a="1"/>
  <c r="L32" i="25" s="1"/>
  <c r="M32" i="25" a="1"/>
  <c r="M32" i="25" s="1"/>
  <c r="N32" i="25" a="1"/>
  <c r="N32" i="25" s="1"/>
  <c r="O32" i="25" a="1"/>
  <c r="O32" i="25" s="1"/>
  <c r="P32" i="25" a="1"/>
  <c r="P32" i="25" s="1"/>
  <c r="Q32" i="25" a="1"/>
  <c r="Q32" i="25" s="1"/>
  <c r="R32" i="25" a="1"/>
  <c r="R32" i="25" s="1"/>
  <c r="U32" i="25" a="1"/>
  <c r="U32" i="25" s="1"/>
  <c r="V32" i="25" a="1"/>
  <c r="V32" i="25" s="1"/>
  <c r="W32" i="25" a="1"/>
  <c r="W32" i="25" s="1"/>
  <c r="X32" i="25" a="1"/>
  <c r="X32" i="25" s="1"/>
  <c r="K33" i="25" a="1"/>
  <c r="K33" i="25" s="1"/>
  <c r="L33" i="25" a="1"/>
  <c r="L33" i="25" s="1"/>
  <c r="M33" i="25" a="1"/>
  <c r="M33" i="25" s="1"/>
  <c r="N33" i="25" a="1"/>
  <c r="N33" i="25" s="1"/>
  <c r="O33" i="25" a="1"/>
  <c r="O33" i="25" s="1"/>
  <c r="P33" i="25" a="1"/>
  <c r="P33" i="25" s="1"/>
  <c r="Q33" i="25" a="1"/>
  <c r="Q33" i="25" s="1"/>
  <c r="R33" i="25" a="1"/>
  <c r="R33" i="25" s="1"/>
  <c r="U33" i="25" a="1"/>
  <c r="U33" i="25" s="1"/>
  <c r="V33" i="25" a="1"/>
  <c r="V33" i="25" s="1"/>
  <c r="W33" i="25" a="1"/>
  <c r="W33" i="25" s="1"/>
  <c r="X33" i="25" a="1"/>
  <c r="X33" i="25" s="1"/>
  <c r="K34" i="25" a="1"/>
  <c r="K34" i="25" s="1"/>
  <c r="L34" i="25" a="1"/>
  <c r="L34" i="25" s="1"/>
  <c r="M34" i="25" a="1"/>
  <c r="M34" i="25" s="1"/>
  <c r="N34" i="25" a="1"/>
  <c r="N34" i="25" s="1"/>
  <c r="O34" i="25" a="1"/>
  <c r="O34" i="25" s="1"/>
  <c r="P34" i="25" a="1"/>
  <c r="P34" i="25" s="1"/>
  <c r="Q34" i="25" a="1"/>
  <c r="Q34" i="25" s="1"/>
  <c r="R34" i="25" a="1"/>
  <c r="R34" i="25" s="1"/>
  <c r="U34" i="25" a="1"/>
  <c r="U34" i="25" s="1"/>
  <c r="V34" i="25" a="1"/>
  <c r="V34" i="25" s="1"/>
  <c r="W34" i="25" a="1"/>
  <c r="W34" i="25" s="1"/>
  <c r="X34" i="25" a="1"/>
  <c r="X34" i="25" s="1"/>
  <c r="K35" i="25" a="1"/>
  <c r="K35" i="25" s="1"/>
  <c r="L35" i="25" a="1"/>
  <c r="L35" i="25" s="1"/>
  <c r="M35" i="25" a="1"/>
  <c r="M35" i="25" s="1"/>
  <c r="N35" i="25" a="1"/>
  <c r="N35" i="25" s="1"/>
  <c r="O35" i="25" a="1"/>
  <c r="O35" i="25" s="1"/>
  <c r="P35" i="25" a="1"/>
  <c r="P35" i="25" s="1"/>
  <c r="Q35" i="25" a="1"/>
  <c r="Q35" i="25" s="1"/>
  <c r="R35" i="25" a="1"/>
  <c r="R35" i="25" s="1"/>
  <c r="U35" i="25" a="1"/>
  <c r="U35" i="25" s="1"/>
  <c r="V35" i="25" a="1"/>
  <c r="V35" i="25" s="1"/>
  <c r="W35" i="25" a="1"/>
  <c r="W35" i="25" s="1"/>
  <c r="X35" i="25" a="1"/>
  <c r="X35" i="25" s="1"/>
  <c r="K36" i="25" a="1"/>
  <c r="K36" i="25" s="1"/>
  <c r="L36" i="25" a="1"/>
  <c r="L36" i="25" s="1"/>
  <c r="M36" i="25" a="1"/>
  <c r="M36" i="25" s="1"/>
  <c r="N36" i="25" a="1"/>
  <c r="N36" i="25" s="1"/>
  <c r="O36" i="25" a="1"/>
  <c r="O36" i="25" s="1"/>
  <c r="P36" i="25" a="1"/>
  <c r="P36" i="25" s="1"/>
  <c r="Q36" i="25" a="1"/>
  <c r="Q36" i="25" s="1"/>
  <c r="R36" i="25" a="1"/>
  <c r="R36" i="25" s="1"/>
  <c r="U36" i="25" a="1"/>
  <c r="U36" i="25" s="1"/>
  <c r="V36" i="25" a="1"/>
  <c r="V36" i="25" s="1"/>
  <c r="W36" i="25" a="1"/>
  <c r="W36" i="25" s="1"/>
  <c r="X36" i="25" a="1"/>
  <c r="X36" i="25" s="1"/>
  <c r="K37" i="25" a="1"/>
  <c r="K37" i="25" s="1"/>
  <c r="L37" i="25" a="1"/>
  <c r="L37" i="25" s="1"/>
  <c r="M37" i="25" a="1"/>
  <c r="M37" i="25" s="1"/>
  <c r="N37" i="25" a="1"/>
  <c r="N37" i="25" s="1"/>
  <c r="O37" i="25" a="1"/>
  <c r="O37" i="25" s="1"/>
  <c r="P37" i="25" a="1"/>
  <c r="P37" i="25" s="1"/>
  <c r="Q37" i="25" a="1"/>
  <c r="Q37" i="25" s="1"/>
  <c r="R37" i="25" a="1"/>
  <c r="R37" i="25" s="1"/>
  <c r="U37" i="25" a="1"/>
  <c r="U37" i="25" s="1"/>
  <c r="V37" i="25" a="1"/>
  <c r="V37" i="25" s="1"/>
  <c r="W37" i="25" a="1"/>
  <c r="W37" i="25" s="1"/>
  <c r="X37" i="25" a="1"/>
  <c r="X37" i="25" s="1"/>
  <c r="K38" i="25" a="1"/>
  <c r="K38" i="25" s="1"/>
  <c r="L38" i="25" a="1"/>
  <c r="L38" i="25" s="1"/>
  <c r="M38" i="25" a="1"/>
  <c r="M38" i="25" s="1"/>
  <c r="N38" i="25" a="1"/>
  <c r="N38" i="25" s="1"/>
  <c r="O38" i="25" a="1"/>
  <c r="O38" i="25" s="1"/>
  <c r="P38" i="25" a="1"/>
  <c r="P38" i="25" s="1"/>
  <c r="Q38" i="25" a="1"/>
  <c r="Q38" i="25" s="1"/>
  <c r="R38" i="25" a="1"/>
  <c r="R38" i="25" s="1"/>
  <c r="U38" i="25" a="1"/>
  <c r="U38" i="25" s="1"/>
  <c r="V38" i="25" a="1"/>
  <c r="V38" i="25" s="1"/>
  <c r="W38" i="25" a="1"/>
  <c r="W38" i="25" s="1"/>
  <c r="X38" i="25" a="1"/>
  <c r="X38" i="25" s="1"/>
  <c r="K39" i="25" a="1"/>
  <c r="K39" i="25" s="1"/>
  <c r="L39" i="25" a="1"/>
  <c r="L39" i="25" s="1"/>
  <c r="M39" i="25" a="1"/>
  <c r="M39" i="25" s="1"/>
  <c r="N39" i="25" a="1"/>
  <c r="N39" i="25" s="1"/>
  <c r="O39" i="25" a="1"/>
  <c r="O39" i="25" s="1"/>
  <c r="P39" i="25" a="1"/>
  <c r="P39" i="25" s="1"/>
  <c r="Q39" i="25" a="1"/>
  <c r="Q39" i="25" s="1"/>
  <c r="R39" i="25" a="1"/>
  <c r="R39" i="25" s="1"/>
  <c r="U39" i="25" a="1"/>
  <c r="U39" i="25" s="1"/>
  <c r="V39" i="25" a="1"/>
  <c r="V39" i="25" s="1"/>
  <c r="W39" i="25" a="1"/>
  <c r="W39" i="25" s="1"/>
  <c r="X39" i="25" a="1"/>
  <c r="X39" i="25" s="1"/>
  <c r="K40" i="25" a="1"/>
  <c r="K40" i="25" s="1"/>
  <c r="L40" i="25" a="1"/>
  <c r="L40" i="25" s="1"/>
  <c r="M40" i="25" a="1"/>
  <c r="M40" i="25" s="1"/>
  <c r="N40" i="25" a="1"/>
  <c r="N40" i="25" s="1"/>
  <c r="O40" i="25" a="1"/>
  <c r="O40" i="25" s="1"/>
  <c r="P40" i="25" a="1"/>
  <c r="P40" i="25" s="1"/>
  <c r="Q40" i="25" a="1"/>
  <c r="Q40" i="25" s="1"/>
  <c r="R40" i="25" a="1"/>
  <c r="R40" i="25" s="1"/>
  <c r="U40" i="25" a="1"/>
  <c r="U40" i="25" s="1"/>
  <c r="V40" i="25" a="1"/>
  <c r="V40" i="25" s="1"/>
  <c r="W40" i="25" a="1"/>
  <c r="W40" i="25" s="1"/>
  <c r="X40" i="25" a="1"/>
  <c r="X40" i="25" s="1"/>
  <c r="K41" i="25" a="1"/>
  <c r="K41" i="25" s="1"/>
  <c r="L41" i="25" a="1"/>
  <c r="L41" i="25" s="1"/>
  <c r="M41" i="25" a="1"/>
  <c r="M41" i="25" s="1"/>
  <c r="N41" i="25" a="1"/>
  <c r="N41" i="25" s="1"/>
  <c r="O41" i="25" a="1"/>
  <c r="O41" i="25" s="1"/>
  <c r="P41" i="25" a="1"/>
  <c r="P41" i="25" s="1"/>
  <c r="Q41" i="25" a="1"/>
  <c r="Q41" i="25" s="1"/>
  <c r="R41" i="25" a="1"/>
  <c r="R41" i="25" s="1"/>
  <c r="U41" i="25" a="1"/>
  <c r="U41" i="25" s="1"/>
  <c r="V41" i="25" a="1"/>
  <c r="V41" i="25" s="1"/>
  <c r="W41" i="25" a="1"/>
  <c r="W41" i="25" s="1"/>
  <c r="X41" i="25" a="1"/>
  <c r="X41" i="25" s="1"/>
  <c r="K42" i="25" a="1"/>
  <c r="K42" i="25" s="1"/>
  <c r="L42" i="25" a="1"/>
  <c r="L42" i="25" s="1"/>
  <c r="M42" i="25" a="1"/>
  <c r="M42" i="25" s="1"/>
  <c r="N42" i="25" a="1"/>
  <c r="N42" i="25" s="1"/>
  <c r="O42" i="25" a="1"/>
  <c r="O42" i="25" s="1"/>
  <c r="P42" i="25" a="1"/>
  <c r="P42" i="25" s="1"/>
  <c r="Q42" i="25" a="1"/>
  <c r="Q42" i="25" s="1"/>
  <c r="R42" i="25" a="1"/>
  <c r="R42" i="25" s="1"/>
  <c r="U42" i="25" a="1"/>
  <c r="U42" i="25" s="1"/>
  <c r="V42" i="25" a="1"/>
  <c r="V42" i="25" s="1"/>
  <c r="W42" i="25" a="1"/>
  <c r="W42" i="25" s="1"/>
  <c r="X42" i="25" a="1"/>
  <c r="X42" i="25" s="1"/>
  <c r="K43" i="25" a="1"/>
  <c r="K43" i="25" s="1"/>
  <c r="L43" i="25" a="1"/>
  <c r="L43" i="25" s="1"/>
  <c r="M43" i="25" a="1"/>
  <c r="M43" i="25" s="1"/>
  <c r="N43" i="25" a="1"/>
  <c r="N43" i="25" s="1"/>
  <c r="O43" i="25" a="1"/>
  <c r="O43" i="25" s="1"/>
  <c r="P43" i="25" a="1"/>
  <c r="P43" i="25" s="1"/>
  <c r="Q43" i="25" a="1"/>
  <c r="Q43" i="25" s="1"/>
  <c r="R43" i="25" a="1"/>
  <c r="R43" i="25" s="1"/>
  <c r="U43" i="25" a="1"/>
  <c r="U43" i="25" s="1"/>
  <c r="V43" i="25" a="1"/>
  <c r="V43" i="25" s="1"/>
  <c r="W43" i="25" a="1"/>
  <c r="W43" i="25" s="1"/>
  <c r="X43" i="25" a="1"/>
  <c r="X43" i="25" s="1"/>
  <c r="K44" i="25" a="1"/>
  <c r="K44" i="25" s="1"/>
  <c r="L44" i="25" a="1"/>
  <c r="L44" i="25" s="1"/>
  <c r="M44" i="25" a="1"/>
  <c r="M44" i="25" s="1"/>
  <c r="N44" i="25" a="1"/>
  <c r="N44" i="25" s="1"/>
  <c r="O44" i="25" a="1"/>
  <c r="O44" i="25" s="1"/>
  <c r="P44" i="25" a="1"/>
  <c r="P44" i="25" s="1"/>
  <c r="Q44" i="25" a="1"/>
  <c r="Q44" i="25" s="1"/>
  <c r="R44" i="25" a="1"/>
  <c r="R44" i="25" s="1"/>
  <c r="U44" i="25" a="1"/>
  <c r="U44" i="25" s="1"/>
  <c r="V44" i="25" a="1"/>
  <c r="V44" i="25" s="1"/>
  <c r="W44" i="25" a="1"/>
  <c r="W44" i="25" s="1"/>
  <c r="X44" i="25" a="1"/>
  <c r="X44" i="25" s="1"/>
  <c r="K45" i="25" a="1"/>
  <c r="K45" i="25" s="1"/>
  <c r="L45" i="25" a="1"/>
  <c r="L45" i="25" s="1"/>
  <c r="M45" i="25" a="1"/>
  <c r="M45" i="25" s="1"/>
  <c r="N45" i="25" a="1"/>
  <c r="N45" i="25" s="1"/>
  <c r="O45" i="25" a="1"/>
  <c r="O45" i="25" s="1"/>
  <c r="P45" i="25" a="1"/>
  <c r="P45" i="25" s="1"/>
  <c r="Q45" i="25" a="1"/>
  <c r="Q45" i="25" s="1"/>
  <c r="R45" i="25" a="1"/>
  <c r="R45" i="25" s="1"/>
  <c r="U45" i="25" a="1"/>
  <c r="U45" i="25" s="1"/>
  <c r="V45" i="25" a="1"/>
  <c r="V45" i="25" s="1"/>
  <c r="W45" i="25" a="1"/>
  <c r="W45" i="25" s="1"/>
  <c r="X45" i="25" a="1"/>
  <c r="X45" i="25" s="1"/>
  <c r="K46" i="25" a="1"/>
  <c r="K46" i="25" s="1"/>
  <c r="L46" i="25" a="1"/>
  <c r="L46" i="25" s="1"/>
  <c r="M46" i="25" a="1"/>
  <c r="M46" i="25" s="1"/>
  <c r="N46" i="25" a="1"/>
  <c r="N46" i="25" s="1"/>
  <c r="O46" i="25" a="1"/>
  <c r="O46" i="25" s="1"/>
  <c r="P46" i="25" a="1"/>
  <c r="P46" i="25" s="1"/>
  <c r="Q46" i="25" a="1"/>
  <c r="Q46" i="25" s="1"/>
  <c r="R46" i="25" a="1"/>
  <c r="R46" i="25" s="1"/>
  <c r="U46" i="25" a="1"/>
  <c r="U46" i="25" s="1"/>
  <c r="V46" i="25" a="1"/>
  <c r="V46" i="25" s="1"/>
  <c r="W46" i="25" a="1"/>
  <c r="W46" i="25" s="1"/>
  <c r="X46" i="25" a="1"/>
  <c r="X46" i="25" s="1"/>
  <c r="K47" i="25" a="1"/>
  <c r="K47" i="25" s="1"/>
  <c r="L47" i="25" a="1"/>
  <c r="L47" i="25" s="1"/>
  <c r="M47" i="25" a="1"/>
  <c r="M47" i="25" s="1"/>
  <c r="N47" i="25" a="1"/>
  <c r="N47" i="25" s="1"/>
  <c r="O47" i="25" a="1"/>
  <c r="O47" i="25" s="1"/>
  <c r="P47" i="25" a="1"/>
  <c r="P47" i="25" s="1"/>
  <c r="Q47" i="25" a="1"/>
  <c r="Q47" i="25" s="1"/>
  <c r="R47" i="25" a="1"/>
  <c r="R47" i="25" s="1"/>
  <c r="U47" i="25" a="1"/>
  <c r="U47" i="25" s="1"/>
  <c r="V47" i="25" a="1"/>
  <c r="V47" i="25" s="1"/>
  <c r="W47" i="25" a="1"/>
  <c r="W47" i="25" s="1"/>
  <c r="X47" i="25" a="1"/>
  <c r="X47" i="25" s="1"/>
  <c r="K48" i="25" a="1"/>
  <c r="K48" i="25" s="1"/>
  <c r="L48" i="25" a="1"/>
  <c r="L48" i="25" s="1"/>
  <c r="M48" i="25" a="1"/>
  <c r="M48" i="25" s="1"/>
  <c r="N48" i="25" a="1"/>
  <c r="N48" i="25" s="1"/>
  <c r="O48" i="25" a="1"/>
  <c r="O48" i="25" s="1"/>
  <c r="P48" i="25" a="1"/>
  <c r="P48" i="25" s="1"/>
  <c r="Q48" i="25" a="1"/>
  <c r="Q48" i="25" s="1"/>
  <c r="R48" i="25" a="1"/>
  <c r="R48" i="25" s="1"/>
  <c r="U48" i="25" a="1"/>
  <c r="U48" i="25" s="1"/>
  <c r="V48" i="25" a="1"/>
  <c r="V48" i="25" s="1"/>
  <c r="W48" i="25" a="1"/>
  <c r="W48" i="25" s="1"/>
  <c r="X48" i="25" a="1"/>
  <c r="X48" i="25" s="1"/>
  <c r="K49" i="25" a="1"/>
  <c r="K49" i="25" s="1"/>
  <c r="L49" i="25" a="1"/>
  <c r="L49" i="25" s="1"/>
  <c r="M49" i="25" a="1"/>
  <c r="M49" i="25" s="1"/>
  <c r="N49" i="25" a="1"/>
  <c r="N49" i="25" s="1"/>
  <c r="O49" i="25" a="1"/>
  <c r="O49" i="25" s="1"/>
  <c r="P49" i="25" a="1"/>
  <c r="P49" i="25" s="1"/>
  <c r="Q49" i="25" a="1"/>
  <c r="Q49" i="25" s="1"/>
  <c r="R49" i="25" a="1"/>
  <c r="R49" i="25" s="1"/>
  <c r="U49" i="25" a="1"/>
  <c r="U49" i="25" s="1"/>
  <c r="V49" i="25" a="1"/>
  <c r="V49" i="25" s="1"/>
  <c r="W49" i="25" a="1"/>
  <c r="W49" i="25" s="1"/>
  <c r="X49" i="25" a="1"/>
  <c r="X49" i="25" s="1"/>
  <c r="K50" i="25" a="1"/>
  <c r="K50" i="25" s="1"/>
  <c r="L50" i="25" a="1"/>
  <c r="L50" i="25" s="1"/>
  <c r="M50" i="25" a="1"/>
  <c r="M50" i="25" s="1"/>
  <c r="N50" i="25" a="1"/>
  <c r="N50" i="25" s="1"/>
  <c r="O50" i="25" a="1"/>
  <c r="O50" i="25" s="1"/>
  <c r="P50" i="25" a="1"/>
  <c r="P50" i="25" s="1"/>
  <c r="Q50" i="25" a="1"/>
  <c r="Q50" i="25" s="1"/>
  <c r="R50" i="25" a="1"/>
  <c r="R50" i="25" s="1"/>
  <c r="U50" i="25" a="1"/>
  <c r="U50" i="25" s="1"/>
  <c r="V50" i="25" a="1"/>
  <c r="V50" i="25" s="1"/>
  <c r="W50" i="25" a="1"/>
  <c r="W50" i="25" s="1"/>
  <c r="X50" i="25" a="1"/>
  <c r="X50" i="25" s="1"/>
  <c r="K51" i="25" a="1"/>
  <c r="K51" i="25" s="1"/>
  <c r="L51" i="25" a="1"/>
  <c r="L51" i="25" s="1"/>
  <c r="M51" i="25" a="1"/>
  <c r="M51" i="25" s="1"/>
  <c r="N51" i="25" a="1"/>
  <c r="N51" i="25" s="1"/>
  <c r="O51" i="25" a="1"/>
  <c r="O51" i="25" s="1"/>
  <c r="P51" i="25" a="1"/>
  <c r="P51" i="25" s="1"/>
  <c r="Q51" i="25" a="1"/>
  <c r="Q51" i="25" s="1"/>
  <c r="R51" i="25" a="1"/>
  <c r="R51" i="25" s="1"/>
  <c r="U51" i="25" a="1"/>
  <c r="U51" i="25" s="1"/>
  <c r="V51" i="25" a="1"/>
  <c r="V51" i="25" s="1"/>
  <c r="W51" i="25" a="1"/>
  <c r="W51" i="25" s="1"/>
  <c r="X51" i="25" a="1"/>
  <c r="X51" i="25" s="1"/>
  <c r="K52" i="25" a="1"/>
  <c r="K52" i="25" s="1"/>
  <c r="L52" i="25" a="1"/>
  <c r="L52" i="25" s="1"/>
  <c r="M52" i="25" a="1"/>
  <c r="M52" i="25" s="1"/>
  <c r="N52" i="25" a="1"/>
  <c r="N52" i="25" s="1"/>
  <c r="O52" i="25" a="1"/>
  <c r="O52" i="25" s="1"/>
  <c r="P52" i="25" a="1"/>
  <c r="P52" i="25" s="1"/>
  <c r="Q52" i="25" a="1"/>
  <c r="Q52" i="25" s="1"/>
  <c r="R52" i="25" a="1"/>
  <c r="R52" i="25" s="1"/>
  <c r="U52" i="25" a="1"/>
  <c r="U52" i="25" s="1"/>
  <c r="V52" i="25" a="1"/>
  <c r="V52" i="25" s="1"/>
  <c r="W52" i="25" a="1"/>
  <c r="W52" i="25" s="1"/>
  <c r="X52" i="25" a="1"/>
  <c r="X52" i="25" s="1"/>
  <c r="K53" i="25" a="1"/>
  <c r="K53" i="25" s="1"/>
  <c r="L53" i="25" a="1"/>
  <c r="L53" i="25" s="1"/>
  <c r="M53" i="25" a="1"/>
  <c r="M53" i="25" s="1"/>
  <c r="N53" i="25" a="1"/>
  <c r="N53" i="25" s="1"/>
  <c r="O53" i="25" a="1"/>
  <c r="O53" i="25" s="1"/>
  <c r="P53" i="25" a="1"/>
  <c r="P53" i="25" s="1"/>
  <c r="Q53" i="25" a="1"/>
  <c r="Q53" i="25" s="1"/>
  <c r="R53" i="25" a="1"/>
  <c r="R53" i="25" s="1"/>
  <c r="U53" i="25" a="1"/>
  <c r="U53" i="25" s="1"/>
  <c r="V53" i="25" a="1"/>
  <c r="V53" i="25" s="1"/>
  <c r="W53" i="25" a="1"/>
  <c r="W53" i="25" s="1"/>
  <c r="X53" i="25" a="1"/>
  <c r="X53" i="25" s="1"/>
  <c r="K54" i="25" a="1"/>
  <c r="K54" i="25" s="1"/>
  <c r="L54" i="25" a="1"/>
  <c r="L54" i="25" s="1"/>
  <c r="M54" i="25" a="1"/>
  <c r="M54" i="25" s="1"/>
  <c r="N54" i="25" a="1"/>
  <c r="N54" i="25" s="1"/>
  <c r="O54" i="25" a="1"/>
  <c r="O54" i="25" s="1"/>
  <c r="P54" i="25" a="1"/>
  <c r="P54" i="25" s="1"/>
  <c r="Q54" i="25" a="1"/>
  <c r="Q54" i="25" s="1"/>
  <c r="R54" i="25" a="1"/>
  <c r="R54" i="25" s="1"/>
  <c r="U54" i="25" a="1"/>
  <c r="U54" i="25" s="1"/>
  <c r="V54" i="25" a="1"/>
  <c r="V54" i="25" s="1"/>
  <c r="W54" i="25" a="1"/>
  <c r="W54" i="25" s="1"/>
  <c r="X54" i="25" a="1"/>
  <c r="X54" i="25" s="1"/>
  <c r="K55" i="25" a="1"/>
  <c r="K55" i="25" s="1"/>
  <c r="L55" i="25" a="1"/>
  <c r="L55" i="25" s="1"/>
  <c r="M55" i="25" a="1"/>
  <c r="M55" i="25" s="1"/>
  <c r="N55" i="25" a="1"/>
  <c r="N55" i="25" s="1"/>
  <c r="O55" i="25" a="1"/>
  <c r="O55" i="25" s="1"/>
  <c r="P55" i="25" a="1"/>
  <c r="P55" i="25" s="1"/>
  <c r="Q55" i="25" a="1"/>
  <c r="Q55" i="25" s="1"/>
  <c r="R55" i="25" a="1"/>
  <c r="R55" i="25" s="1"/>
  <c r="U55" i="25" a="1"/>
  <c r="U55" i="25" s="1"/>
  <c r="V55" i="25" a="1"/>
  <c r="V55" i="25" s="1"/>
  <c r="W55" i="25" a="1"/>
  <c r="W55" i="25" s="1"/>
  <c r="X55" i="25" a="1"/>
  <c r="X55" i="25" s="1"/>
  <c r="K56" i="25" a="1"/>
  <c r="K56" i="25" s="1"/>
  <c r="L56" i="25" a="1"/>
  <c r="L56" i="25" s="1"/>
  <c r="M56" i="25" a="1"/>
  <c r="M56" i="25" s="1"/>
  <c r="N56" i="25" a="1"/>
  <c r="N56" i="25" s="1"/>
  <c r="O56" i="25" a="1"/>
  <c r="O56" i="25" s="1"/>
  <c r="P56" i="25" a="1"/>
  <c r="P56" i="25" s="1"/>
  <c r="Q56" i="25" a="1"/>
  <c r="Q56" i="25" s="1"/>
  <c r="R56" i="25" a="1"/>
  <c r="R56" i="25" s="1"/>
  <c r="U56" i="25" a="1"/>
  <c r="U56" i="25" s="1"/>
  <c r="V56" i="25" a="1"/>
  <c r="V56" i="25" s="1"/>
  <c r="W56" i="25" a="1"/>
  <c r="W56" i="25" s="1"/>
  <c r="X56" i="25" a="1"/>
  <c r="X56" i="25" s="1"/>
  <c r="K57" i="25" a="1"/>
  <c r="K57" i="25" s="1"/>
  <c r="L57" i="25" a="1"/>
  <c r="L57" i="25" s="1"/>
  <c r="M57" i="25" a="1"/>
  <c r="M57" i="25" s="1"/>
  <c r="N57" i="25" a="1"/>
  <c r="N57" i="25" s="1"/>
  <c r="O57" i="25" a="1"/>
  <c r="O57" i="25" s="1"/>
  <c r="P57" i="25" a="1"/>
  <c r="P57" i="25" s="1"/>
  <c r="Q57" i="25" a="1"/>
  <c r="Q57" i="25" s="1"/>
  <c r="R57" i="25" a="1"/>
  <c r="R57" i="25" s="1"/>
  <c r="U57" i="25" a="1"/>
  <c r="U57" i="25" s="1"/>
  <c r="V57" i="25" a="1"/>
  <c r="V57" i="25" s="1"/>
  <c r="W57" i="25" a="1"/>
  <c r="W57" i="25" s="1"/>
  <c r="X57" i="25" a="1"/>
  <c r="X57" i="25" s="1"/>
  <c r="K58" i="25" a="1"/>
  <c r="K58" i="25" s="1"/>
  <c r="L58" i="25" a="1"/>
  <c r="L58" i="25" s="1"/>
  <c r="M58" i="25" a="1"/>
  <c r="M58" i="25" s="1"/>
  <c r="N58" i="25" a="1"/>
  <c r="N58" i="25" s="1"/>
  <c r="O58" i="25" a="1"/>
  <c r="O58" i="25" s="1"/>
  <c r="P58" i="25" a="1"/>
  <c r="P58" i="25" s="1"/>
  <c r="Q58" i="25" a="1"/>
  <c r="Q58" i="25" s="1"/>
  <c r="R58" i="25" a="1"/>
  <c r="R58" i="25" s="1"/>
  <c r="U58" i="25" a="1"/>
  <c r="U58" i="25" s="1"/>
  <c r="V58" i="25" a="1"/>
  <c r="V58" i="25" s="1"/>
  <c r="W58" i="25" a="1"/>
  <c r="W58" i="25" s="1"/>
  <c r="X58" i="25" a="1"/>
  <c r="X58" i="25" s="1"/>
  <c r="K59" i="25" a="1"/>
  <c r="K59" i="25" s="1"/>
  <c r="L59" i="25" a="1"/>
  <c r="L59" i="25" s="1"/>
  <c r="M59" i="25" a="1"/>
  <c r="M59" i="25" s="1"/>
  <c r="N59" i="25" a="1"/>
  <c r="N59" i="25" s="1"/>
  <c r="O59" i="25" a="1"/>
  <c r="O59" i="25" s="1"/>
  <c r="P59" i="25" a="1"/>
  <c r="P59" i="25" s="1"/>
  <c r="Q59" i="25" a="1"/>
  <c r="Q59" i="25" s="1"/>
  <c r="R59" i="25" a="1"/>
  <c r="R59" i="25" s="1"/>
  <c r="U59" i="25" a="1"/>
  <c r="U59" i="25" s="1"/>
  <c r="V59" i="25" a="1"/>
  <c r="V59" i="25" s="1"/>
  <c r="W59" i="25" a="1"/>
  <c r="W59" i="25" s="1"/>
  <c r="X59" i="25" a="1"/>
  <c r="X59" i="25" s="1"/>
  <c r="K60" i="25" a="1"/>
  <c r="K60" i="25" s="1"/>
  <c r="L60" i="25" a="1"/>
  <c r="L60" i="25" s="1"/>
  <c r="M60" i="25" a="1"/>
  <c r="M60" i="25" s="1"/>
  <c r="N60" i="25" a="1"/>
  <c r="N60" i="25" s="1"/>
  <c r="O60" i="25" a="1"/>
  <c r="O60" i="25" s="1"/>
  <c r="P60" i="25" a="1"/>
  <c r="P60" i="25" s="1"/>
  <c r="Q60" i="25" a="1"/>
  <c r="Q60" i="25" s="1"/>
  <c r="R60" i="25" a="1"/>
  <c r="R60" i="25" s="1"/>
  <c r="U60" i="25" a="1"/>
  <c r="U60" i="25" s="1"/>
  <c r="V60" i="25" a="1"/>
  <c r="V60" i="25" s="1"/>
  <c r="W60" i="25" a="1"/>
  <c r="W60" i="25" s="1"/>
  <c r="X60" i="25" a="1"/>
  <c r="X60" i="25" s="1"/>
  <c r="K61" i="25" a="1"/>
  <c r="K61" i="25" s="1"/>
  <c r="L61" i="25" a="1"/>
  <c r="L61" i="25" s="1"/>
  <c r="M61" i="25" a="1"/>
  <c r="M61" i="25" s="1"/>
  <c r="N61" i="25" a="1"/>
  <c r="N61" i="25" s="1"/>
  <c r="O61" i="25" a="1"/>
  <c r="O61" i="25" s="1"/>
  <c r="P61" i="25" a="1"/>
  <c r="P61" i="25" s="1"/>
  <c r="Q61" i="25" a="1"/>
  <c r="Q61" i="25" s="1"/>
  <c r="R61" i="25" a="1"/>
  <c r="R61" i="25" s="1"/>
  <c r="U61" i="25" a="1"/>
  <c r="U61" i="25" s="1"/>
  <c r="V61" i="25" a="1"/>
  <c r="V61" i="25" s="1"/>
  <c r="W61" i="25" a="1"/>
  <c r="W61" i="25" s="1"/>
  <c r="X61" i="25" a="1"/>
  <c r="X61" i="25" s="1"/>
  <c r="K62" i="25" a="1"/>
  <c r="K62" i="25" s="1"/>
  <c r="L62" i="25" a="1"/>
  <c r="L62" i="25" s="1"/>
  <c r="M62" i="25" a="1"/>
  <c r="M62" i="25" s="1"/>
  <c r="N62" i="25" a="1"/>
  <c r="N62" i="25" s="1"/>
  <c r="O62" i="25" a="1"/>
  <c r="O62" i="25" s="1"/>
  <c r="P62" i="25" a="1"/>
  <c r="P62" i="25" s="1"/>
  <c r="Q62" i="25" a="1"/>
  <c r="Q62" i="25" s="1"/>
  <c r="R62" i="25" a="1"/>
  <c r="R62" i="25" s="1"/>
  <c r="U62" i="25" a="1"/>
  <c r="U62" i="25" s="1"/>
  <c r="V62" i="25" a="1"/>
  <c r="V62" i="25" s="1"/>
  <c r="W62" i="25" a="1"/>
  <c r="W62" i="25" s="1"/>
  <c r="X62" i="25" a="1"/>
  <c r="X62" i="25" s="1"/>
  <c r="K63" i="25" a="1"/>
  <c r="K63" i="25" s="1"/>
  <c r="L63" i="25" a="1"/>
  <c r="L63" i="25" s="1"/>
  <c r="M63" i="25" a="1"/>
  <c r="M63" i="25" s="1"/>
  <c r="N63" i="25" a="1"/>
  <c r="N63" i="25" s="1"/>
  <c r="O63" i="25" a="1"/>
  <c r="O63" i="25" s="1"/>
  <c r="P63" i="25" a="1"/>
  <c r="P63" i="25" s="1"/>
  <c r="Q63" i="25" a="1"/>
  <c r="Q63" i="25" s="1"/>
  <c r="R63" i="25" a="1"/>
  <c r="R63" i="25" s="1"/>
  <c r="U63" i="25" a="1"/>
  <c r="U63" i="25" s="1"/>
  <c r="V63" i="25" a="1"/>
  <c r="V63" i="25" s="1"/>
  <c r="W63" i="25" a="1"/>
  <c r="W63" i="25" s="1"/>
  <c r="X63" i="25" a="1"/>
  <c r="X63" i="25" s="1"/>
  <c r="K64" i="25" a="1"/>
  <c r="K64" i="25" s="1"/>
  <c r="L64" i="25" a="1"/>
  <c r="L64" i="25" s="1"/>
  <c r="M64" i="25" a="1"/>
  <c r="M64" i="25" s="1"/>
  <c r="N64" i="25" a="1"/>
  <c r="N64" i="25" s="1"/>
  <c r="O64" i="25" a="1"/>
  <c r="O64" i="25" s="1"/>
  <c r="P64" i="25" a="1"/>
  <c r="P64" i="25" s="1"/>
  <c r="Q64" i="25" a="1"/>
  <c r="Q64" i="25" s="1"/>
  <c r="R64" i="25" a="1"/>
  <c r="R64" i="25" s="1"/>
  <c r="U64" i="25" a="1"/>
  <c r="U64" i="25" s="1"/>
  <c r="V64" i="25" a="1"/>
  <c r="V64" i="25" s="1"/>
  <c r="W64" i="25" a="1"/>
  <c r="W64" i="25" s="1"/>
  <c r="X64" i="25" a="1"/>
  <c r="X64" i="25" s="1"/>
  <c r="K65" i="25" a="1"/>
  <c r="K65" i="25" s="1"/>
  <c r="L65" i="25" a="1"/>
  <c r="L65" i="25" s="1"/>
  <c r="M65" i="25" a="1"/>
  <c r="M65" i="25" s="1"/>
  <c r="N65" i="25" a="1"/>
  <c r="N65" i="25" s="1"/>
  <c r="O65" i="25" a="1"/>
  <c r="O65" i="25" s="1"/>
  <c r="P65" i="25" a="1"/>
  <c r="P65" i="25" s="1"/>
  <c r="Q65" i="25" a="1"/>
  <c r="Q65" i="25" s="1"/>
  <c r="R65" i="25" a="1"/>
  <c r="R65" i="25" s="1"/>
  <c r="U65" i="25" a="1"/>
  <c r="U65" i="25" s="1"/>
  <c r="V65" i="25" a="1"/>
  <c r="V65" i="25" s="1"/>
  <c r="W65" i="25" a="1"/>
  <c r="W65" i="25" s="1"/>
  <c r="X65" i="25" a="1"/>
  <c r="X65" i="25" s="1"/>
  <c r="K66" i="25" a="1"/>
  <c r="K66" i="25" s="1"/>
  <c r="L66" i="25" a="1"/>
  <c r="L66" i="25" s="1"/>
  <c r="M66" i="25" a="1"/>
  <c r="M66" i="25" s="1"/>
  <c r="N66" i="25" a="1"/>
  <c r="N66" i="25" s="1"/>
  <c r="O66" i="25" a="1"/>
  <c r="O66" i="25" s="1"/>
  <c r="P66" i="25" a="1"/>
  <c r="P66" i="25" s="1"/>
  <c r="Q66" i="25" a="1"/>
  <c r="Q66" i="25" s="1"/>
  <c r="R66" i="25" a="1"/>
  <c r="R66" i="25" s="1"/>
  <c r="U66" i="25" a="1"/>
  <c r="U66" i="25" s="1"/>
  <c r="V66" i="25" a="1"/>
  <c r="V66" i="25" s="1"/>
  <c r="W66" i="25" a="1"/>
  <c r="W66" i="25" s="1"/>
  <c r="X66" i="25" a="1"/>
  <c r="X66" i="25" s="1"/>
  <c r="K67" i="25" a="1"/>
  <c r="K67" i="25" s="1"/>
  <c r="L67" i="25" a="1"/>
  <c r="L67" i="25" s="1"/>
  <c r="M67" i="25" a="1"/>
  <c r="M67" i="25" s="1"/>
  <c r="N67" i="25" a="1"/>
  <c r="N67" i="25" s="1"/>
  <c r="O67" i="25" a="1"/>
  <c r="O67" i="25" s="1"/>
  <c r="P67" i="25" a="1"/>
  <c r="P67" i="25" s="1"/>
  <c r="Q67" i="25" a="1"/>
  <c r="Q67" i="25" s="1"/>
  <c r="R67" i="25" a="1"/>
  <c r="R67" i="25" s="1"/>
  <c r="U67" i="25" a="1"/>
  <c r="U67" i="25" s="1"/>
  <c r="V67" i="25" a="1"/>
  <c r="V67" i="25" s="1"/>
  <c r="W67" i="25" a="1"/>
  <c r="W67" i="25" s="1"/>
  <c r="X67" i="25" a="1"/>
  <c r="X67" i="25" s="1"/>
  <c r="K68" i="25" a="1"/>
  <c r="K68" i="25" s="1"/>
  <c r="L68" i="25" a="1"/>
  <c r="L68" i="25" s="1"/>
  <c r="M68" i="25" a="1"/>
  <c r="M68" i="25" s="1"/>
  <c r="N68" i="25" a="1"/>
  <c r="N68" i="25" s="1"/>
  <c r="O68" i="25" a="1"/>
  <c r="O68" i="25" s="1"/>
  <c r="P68" i="25" a="1"/>
  <c r="P68" i="25" s="1"/>
  <c r="Q68" i="25" a="1"/>
  <c r="Q68" i="25" s="1"/>
  <c r="R68" i="25" a="1"/>
  <c r="R68" i="25" s="1"/>
  <c r="U68" i="25" a="1"/>
  <c r="U68" i="25" s="1"/>
  <c r="V68" i="25" a="1"/>
  <c r="V68" i="25" s="1"/>
  <c r="W68" i="25" a="1"/>
  <c r="W68" i="25" s="1"/>
  <c r="X68" i="25" a="1"/>
  <c r="X68" i="25" s="1"/>
  <c r="K69" i="25" a="1"/>
  <c r="K69" i="25" s="1"/>
  <c r="L69" i="25" a="1"/>
  <c r="L69" i="25" s="1"/>
  <c r="M69" i="25" a="1"/>
  <c r="M69" i="25" s="1"/>
  <c r="N69" i="25" a="1"/>
  <c r="N69" i="25" s="1"/>
  <c r="O69" i="25" a="1"/>
  <c r="O69" i="25" s="1"/>
  <c r="P69" i="25" a="1"/>
  <c r="P69" i="25" s="1"/>
  <c r="Q69" i="25" a="1"/>
  <c r="Q69" i="25" s="1"/>
  <c r="R69" i="25" a="1"/>
  <c r="R69" i="25" s="1"/>
  <c r="U69" i="25" a="1"/>
  <c r="U69" i="25" s="1"/>
  <c r="V69" i="25" a="1"/>
  <c r="V69" i="25" s="1"/>
  <c r="W69" i="25" a="1"/>
  <c r="W69" i="25" s="1"/>
  <c r="X69" i="25" a="1"/>
  <c r="X69" i="25" s="1"/>
  <c r="K70" i="25" a="1"/>
  <c r="K70" i="25" s="1"/>
  <c r="L70" i="25" a="1"/>
  <c r="L70" i="25" s="1"/>
  <c r="M70" i="25" a="1"/>
  <c r="M70" i="25" s="1"/>
  <c r="N70" i="25" a="1"/>
  <c r="N70" i="25" s="1"/>
  <c r="O70" i="25" a="1"/>
  <c r="O70" i="25" s="1"/>
  <c r="P70" i="25" a="1"/>
  <c r="P70" i="25" s="1"/>
  <c r="Q70" i="25" a="1"/>
  <c r="Q70" i="25" s="1"/>
  <c r="R70" i="25" a="1"/>
  <c r="R70" i="25" s="1"/>
  <c r="U70" i="25" a="1"/>
  <c r="U70" i="25" s="1"/>
  <c r="V70" i="25" a="1"/>
  <c r="V70" i="25" s="1"/>
  <c r="W70" i="25" a="1"/>
  <c r="W70" i="25" s="1"/>
  <c r="X70" i="25" a="1"/>
  <c r="X70" i="25" s="1"/>
  <c r="K71" i="25" a="1"/>
  <c r="K71" i="25" s="1"/>
  <c r="L71" i="25" a="1"/>
  <c r="L71" i="25" s="1"/>
  <c r="M71" i="25" a="1"/>
  <c r="M71" i="25" s="1"/>
  <c r="N71" i="25" a="1"/>
  <c r="N71" i="25" s="1"/>
  <c r="O71" i="25" a="1"/>
  <c r="O71" i="25" s="1"/>
  <c r="P71" i="25" a="1"/>
  <c r="P71" i="25" s="1"/>
  <c r="Q71" i="25" a="1"/>
  <c r="Q71" i="25" s="1"/>
  <c r="R71" i="25" a="1"/>
  <c r="R71" i="25" s="1"/>
  <c r="U71" i="25" a="1"/>
  <c r="U71" i="25" s="1"/>
  <c r="V71" i="25" a="1"/>
  <c r="V71" i="25" s="1"/>
  <c r="W71" i="25" a="1"/>
  <c r="W71" i="25" s="1"/>
  <c r="X71" i="25" a="1"/>
  <c r="X71" i="25" s="1"/>
  <c r="K72" i="25" a="1"/>
  <c r="K72" i="25" s="1"/>
  <c r="L72" i="25" a="1"/>
  <c r="L72" i="25" s="1"/>
  <c r="M72" i="25" a="1"/>
  <c r="M72" i="25" s="1"/>
  <c r="N72" i="25" a="1"/>
  <c r="N72" i="25" s="1"/>
  <c r="O72" i="25" a="1"/>
  <c r="O72" i="25" s="1"/>
  <c r="P72" i="25" a="1"/>
  <c r="P72" i="25" s="1"/>
  <c r="Q72" i="25" a="1"/>
  <c r="Q72" i="25" s="1"/>
  <c r="R72" i="25" a="1"/>
  <c r="R72" i="25" s="1"/>
  <c r="U72" i="25" a="1"/>
  <c r="U72" i="25" s="1"/>
  <c r="V72" i="25" a="1"/>
  <c r="V72" i="25" s="1"/>
  <c r="W72" i="25" a="1"/>
  <c r="W72" i="25" s="1"/>
  <c r="X72" i="25" a="1"/>
  <c r="X72" i="25" s="1"/>
  <c r="K73" i="25" a="1"/>
  <c r="K73" i="25" s="1"/>
  <c r="L73" i="25" a="1"/>
  <c r="L73" i="25" s="1"/>
  <c r="M73" i="25" a="1"/>
  <c r="M73" i="25" s="1"/>
  <c r="N73" i="25" a="1"/>
  <c r="N73" i="25" s="1"/>
  <c r="O73" i="25" a="1"/>
  <c r="O73" i="25" s="1"/>
  <c r="P73" i="25" a="1"/>
  <c r="P73" i="25" s="1"/>
  <c r="Q73" i="25" a="1"/>
  <c r="Q73" i="25" s="1"/>
  <c r="R73" i="25" a="1"/>
  <c r="R73" i="25" s="1"/>
  <c r="U73" i="25" a="1"/>
  <c r="U73" i="25" s="1"/>
  <c r="V73" i="25" a="1"/>
  <c r="V73" i="25" s="1"/>
  <c r="W73" i="25" a="1"/>
  <c r="W73" i="25" s="1"/>
  <c r="X73" i="25" a="1"/>
  <c r="X73" i="25" s="1"/>
  <c r="K74" i="25" a="1"/>
  <c r="K74" i="25" s="1"/>
  <c r="L74" i="25" a="1"/>
  <c r="L74" i="25" s="1"/>
  <c r="M74" i="25" a="1"/>
  <c r="M74" i="25" s="1"/>
  <c r="N74" i="25" a="1"/>
  <c r="N74" i="25" s="1"/>
  <c r="O74" i="25" a="1"/>
  <c r="O74" i="25" s="1"/>
  <c r="P74" i="25" a="1"/>
  <c r="P74" i="25" s="1"/>
  <c r="Q74" i="25" a="1"/>
  <c r="Q74" i="25" s="1"/>
  <c r="R74" i="25" a="1"/>
  <c r="R74" i="25" s="1"/>
  <c r="U74" i="25" a="1"/>
  <c r="U74" i="25" s="1"/>
  <c r="V74" i="25" a="1"/>
  <c r="V74" i="25" s="1"/>
  <c r="W74" i="25" a="1"/>
  <c r="W74" i="25" s="1"/>
  <c r="X74" i="25" a="1"/>
  <c r="X74" i="25" s="1"/>
  <c r="K75" i="25" a="1"/>
  <c r="K75" i="25" s="1"/>
  <c r="L75" i="25" a="1"/>
  <c r="L75" i="25" s="1"/>
  <c r="M75" i="25" a="1"/>
  <c r="M75" i="25" s="1"/>
  <c r="N75" i="25" a="1"/>
  <c r="N75" i="25" s="1"/>
  <c r="O75" i="25" a="1"/>
  <c r="O75" i="25" s="1"/>
  <c r="P75" i="25" a="1"/>
  <c r="P75" i="25" s="1"/>
  <c r="Q75" i="25" a="1"/>
  <c r="Q75" i="25" s="1"/>
  <c r="R75" i="25" a="1"/>
  <c r="R75" i="25" s="1"/>
  <c r="U75" i="25" a="1"/>
  <c r="U75" i="25" s="1"/>
  <c r="V75" i="25" a="1"/>
  <c r="V75" i="25" s="1"/>
  <c r="W75" i="25" a="1"/>
  <c r="W75" i="25" s="1"/>
  <c r="X75" i="25" a="1"/>
  <c r="X75" i="25" s="1"/>
  <c r="K76" i="25" a="1"/>
  <c r="K76" i="25" s="1"/>
  <c r="L76" i="25" a="1"/>
  <c r="L76" i="25" s="1"/>
  <c r="M76" i="25" a="1"/>
  <c r="M76" i="25" s="1"/>
  <c r="N76" i="25" a="1"/>
  <c r="N76" i="25" s="1"/>
  <c r="O76" i="25" a="1"/>
  <c r="O76" i="25" s="1"/>
  <c r="P76" i="25" a="1"/>
  <c r="P76" i="25" s="1"/>
  <c r="Q76" i="25" a="1"/>
  <c r="Q76" i="25" s="1"/>
  <c r="R76" i="25" a="1"/>
  <c r="R76" i="25" s="1"/>
  <c r="U76" i="25" a="1"/>
  <c r="U76" i="25" s="1"/>
  <c r="V76" i="25" a="1"/>
  <c r="V76" i="25" s="1"/>
  <c r="W76" i="25" a="1"/>
  <c r="W76" i="25" s="1"/>
  <c r="X76" i="25" a="1"/>
  <c r="X76" i="25" s="1"/>
  <c r="K77" i="25" a="1"/>
  <c r="K77" i="25" s="1"/>
  <c r="L77" i="25" a="1"/>
  <c r="L77" i="25" s="1"/>
  <c r="M77" i="25" a="1"/>
  <c r="M77" i="25" s="1"/>
  <c r="N77" i="25" a="1"/>
  <c r="N77" i="25" s="1"/>
  <c r="O77" i="25" a="1"/>
  <c r="O77" i="25" s="1"/>
  <c r="P77" i="25" a="1"/>
  <c r="P77" i="25" s="1"/>
  <c r="Q77" i="25" a="1"/>
  <c r="Q77" i="25" s="1"/>
  <c r="R77" i="25" a="1"/>
  <c r="R77" i="25" s="1"/>
  <c r="U77" i="25" a="1"/>
  <c r="U77" i="25" s="1"/>
  <c r="V77" i="25" a="1"/>
  <c r="V77" i="25" s="1"/>
  <c r="W77" i="25" a="1"/>
  <c r="W77" i="25" s="1"/>
  <c r="X77" i="25" a="1"/>
  <c r="X77" i="25" s="1"/>
  <c r="K78" i="25" a="1"/>
  <c r="K78" i="25" s="1"/>
  <c r="L78" i="25" a="1"/>
  <c r="L78" i="25" s="1"/>
  <c r="M78" i="25" a="1"/>
  <c r="M78" i="25" s="1"/>
  <c r="N78" i="25" a="1"/>
  <c r="N78" i="25" s="1"/>
  <c r="O78" i="25" a="1"/>
  <c r="O78" i="25" s="1"/>
  <c r="P78" i="25" a="1"/>
  <c r="P78" i="25" s="1"/>
  <c r="Q78" i="25" a="1"/>
  <c r="Q78" i="25" s="1"/>
  <c r="R78" i="25" a="1"/>
  <c r="R78" i="25" s="1"/>
  <c r="U78" i="25" a="1"/>
  <c r="U78" i="25" s="1"/>
  <c r="V78" i="25" a="1"/>
  <c r="V78" i="25" s="1"/>
  <c r="W78" i="25" a="1"/>
  <c r="W78" i="25" s="1"/>
  <c r="X78" i="25" a="1"/>
  <c r="X78" i="25" s="1"/>
  <c r="K79" i="25" a="1"/>
  <c r="K79" i="25" s="1"/>
  <c r="L79" i="25" a="1"/>
  <c r="L79" i="25" s="1"/>
  <c r="M79" i="25" a="1"/>
  <c r="M79" i="25" s="1"/>
  <c r="N79" i="25" a="1"/>
  <c r="N79" i="25" s="1"/>
  <c r="O79" i="25" a="1"/>
  <c r="O79" i="25" s="1"/>
  <c r="P79" i="25" a="1"/>
  <c r="P79" i="25" s="1"/>
  <c r="Q79" i="25" a="1"/>
  <c r="Q79" i="25" s="1"/>
  <c r="R79" i="25" a="1"/>
  <c r="R79" i="25" s="1"/>
  <c r="U79" i="25" a="1"/>
  <c r="U79" i="25" s="1"/>
  <c r="V79" i="25" a="1"/>
  <c r="V79" i="25" s="1"/>
  <c r="W79" i="25" a="1"/>
  <c r="W79" i="25" s="1"/>
  <c r="X79" i="25" a="1"/>
  <c r="X79" i="25" s="1"/>
  <c r="K80" i="25" a="1"/>
  <c r="K80" i="25" s="1"/>
  <c r="L80" i="25" a="1"/>
  <c r="L80" i="25" s="1"/>
  <c r="M80" i="25" a="1"/>
  <c r="M80" i="25" s="1"/>
  <c r="N80" i="25" a="1"/>
  <c r="N80" i="25" s="1"/>
  <c r="O80" i="25" a="1"/>
  <c r="O80" i="25" s="1"/>
  <c r="P80" i="25" a="1"/>
  <c r="P80" i="25" s="1"/>
  <c r="Q80" i="25" a="1"/>
  <c r="Q80" i="25" s="1"/>
  <c r="R80" i="25" a="1"/>
  <c r="R80" i="25" s="1"/>
  <c r="U80" i="25" a="1"/>
  <c r="U80" i="25" s="1"/>
  <c r="V80" i="25" a="1"/>
  <c r="V80" i="25" s="1"/>
  <c r="W80" i="25" a="1"/>
  <c r="W80" i="25" s="1"/>
  <c r="X80" i="25" a="1"/>
  <c r="X80" i="25" s="1"/>
  <c r="K81" i="25" a="1"/>
  <c r="K81" i="25" s="1"/>
  <c r="L81" i="25" a="1"/>
  <c r="L81" i="25" s="1"/>
  <c r="M81" i="25" a="1"/>
  <c r="M81" i="25" s="1"/>
  <c r="N81" i="25" a="1"/>
  <c r="N81" i="25" s="1"/>
  <c r="O81" i="25" a="1"/>
  <c r="O81" i="25" s="1"/>
  <c r="P81" i="25" a="1"/>
  <c r="P81" i="25" s="1"/>
  <c r="Q81" i="25" a="1"/>
  <c r="Q81" i="25" s="1"/>
  <c r="R81" i="25" a="1"/>
  <c r="R81" i="25" s="1"/>
  <c r="U81" i="25" a="1"/>
  <c r="U81" i="25" s="1"/>
  <c r="V81" i="25" a="1"/>
  <c r="V81" i="25" s="1"/>
  <c r="W81" i="25" a="1"/>
  <c r="W81" i="25" s="1"/>
  <c r="X81" i="25" a="1"/>
  <c r="X81" i="25" s="1"/>
  <c r="K82" i="25" a="1"/>
  <c r="K82" i="25" s="1"/>
  <c r="L82" i="25" a="1"/>
  <c r="L82" i="25" s="1"/>
  <c r="M82" i="25" a="1"/>
  <c r="M82" i="25" s="1"/>
  <c r="N82" i="25" a="1"/>
  <c r="N82" i="25" s="1"/>
  <c r="O82" i="25" a="1"/>
  <c r="O82" i="25" s="1"/>
  <c r="P82" i="25" a="1"/>
  <c r="P82" i="25" s="1"/>
  <c r="Q82" i="25" a="1"/>
  <c r="Q82" i="25" s="1"/>
  <c r="R82" i="25" a="1"/>
  <c r="R82" i="25" s="1"/>
  <c r="U82" i="25" a="1"/>
  <c r="U82" i="25" s="1"/>
  <c r="V82" i="25" a="1"/>
  <c r="V82" i="25" s="1"/>
  <c r="W82" i="25" a="1"/>
  <c r="W82" i="25" s="1"/>
  <c r="X82" i="25" a="1"/>
  <c r="X82" i="25" s="1"/>
  <c r="K83" i="25" a="1"/>
  <c r="K83" i="25" s="1"/>
  <c r="L83" i="25" a="1"/>
  <c r="L83" i="25" s="1"/>
  <c r="M83" i="25" a="1"/>
  <c r="M83" i="25" s="1"/>
  <c r="N83" i="25" a="1"/>
  <c r="N83" i="25" s="1"/>
  <c r="O83" i="25" a="1"/>
  <c r="O83" i="25" s="1"/>
  <c r="P83" i="25" a="1"/>
  <c r="P83" i="25" s="1"/>
  <c r="Q83" i="25" a="1"/>
  <c r="Q83" i="25" s="1"/>
  <c r="R83" i="25" a="1"/>
  <c r="R83" i="25" s="1"/>
  <c r="U83" i="25" a="1"/>
  <c r="U83" i="25" s="1"/>
  <c r="V83" i="25" a="1"/>
  <c r="V83" i="25" s="1"/>
  <c r="W83" i="25" a="1"/>
  <c r="W83" i="25" s="1"/>
  <c r="X83" i="25" a="1"/>
  <c r="X83" i="25" s="1"/>
  <c r="K84" i="25" a="1"/>
  <c r="K84" i="25" s="1"/>
  <c r="L84" i="25" a="1"/>
  <c r="L84" i="25" s="1"/>
  <c r="M84" i="25" a="1"/>
  <c r="M84" i="25" s="1"/>
  <c r="N84" i="25" a="1"/>
  <c r="N84" i="25" s="1"/>
  <c r="O84" i="25" a="1"/>
  <c r="O84" i="25" s="1"/>
  <c r="P84" i="25" a="1"/>
  <c r="P84" i="25" s="1"/>
  <c r="Q84" i="25" a="1"/>
  <c r="Q84" i="25" s="1"/>
  <c r="R84" i="25" a="1"/>
  <c r="R84" i="25" s="1"/>
  <c r="U84" i="25" a="1"/>
  <c r="U84" i="25" s="1"/>
  <c r="V84" i="25" a="1"/>
  <c r="V84" i="25" s="1"/>
  <c r="W84" i="25" a="1"/>
  <c r="W84" i="25" s="1"/>
  <c r="X84" i="25" a="1"/>
  <c r="X84" i="25" s="1"/>
  <c r="K85" i="25" a="1"/>
  <c r="K85" i="25" s="1"/>
  <c r="L85" i="25" a="1"/>
  <c r="L85" i="25" s="1"/>
  <c r="M85" i="25" a="1"/>
  <c r="M85" i="25" s="1"/>
  <c r="N85" i="25" a="1"/>
  <c r="N85" i="25" s="1"/>
  <c r="O85" i="25" a="1"/>
  <c r="O85" i="25" s="1"/>
  <c r="P85" i="25" a="1"/>
  <c r="P85" i="25" s="1"/>
  <c r="Q85" i="25" a="1"/>
  <c r="Q85" i="25" s="1"/>
  <c r="R85" i="25" a="1"/>
  <c r="R85" i="25" s="1"/>
  <c r="U85" i="25" a="1"/>
  <c r="U85" i="25" s="1"/>
  <c r="V85" i="25" a="1"/>
  <c r="V85" i="25" s="1"/>
  <c r="W85" i="25" a="1"/>
  <c r="W85" i="25" s="1"/>
  <c r="X85" i="25" a="1"/>
  <c r="X85" i="25" s="1"/>
  <c r="K86" i="25" a="1"/>
  <c r="K86" i="25" s="1"/>
  <c r="L86" i="25" a="1"/>
  <c r="L86" i="25" s="1"/>
  <c r="M86" i="25" a="1"/>
  <c r="M86" i="25" s="1"/>
  <c r="N86" i="25" a="1"/>
  <c r="N86" i="25" s="1"/>
  <c r="O86" i="25" a="1"/>
  <c r="O86" i="25" s="1"/>
  <c r="P86" i="25" a="1"/>
  <c r="P86" i="25" s="1"/>
  <c r="Q86" i="25" a="1"/>
  <c r="Q86" i="25" s="1"/>
  <c r="R86" i="25" a="1"/>
  <c r="R86" i="25" s="1"/>
  <c r="U86" i="25" a="1"/>
  <c r="U86" i="25" s="1"/>
  <c r="V86" i="25" a="1"/>
  <c r="V86" i="25" s="1"/>
  <c r="W86" i="25" a="1"/>
  <c r="W86" i="25" s="1"/>
  <c r="X86" i="25" a="1"/>
  <c r="X86" i="25" s="1"/>
  <c r="K87" i="25" a="1"/>
  <c r="K87" i="25" s="1"/>
  <c r="L87" i="25" a="1"/>
  <c r="L87" i="25" s="1"/>
  <c r="M87" i="25" a="1"/>
  <c r="M87" i="25" s="1"/>
  <c r="N87" i="25" a="1"/>
  <c r="N87" i="25" s="1"/>
  <c r="O87" i="25" a="1"/>
  <c r="O87" i="25" s="1"/>
  <c r="P87" i="25" a="1"/>
  <c r="P87" i="25" s="1"/>
  <c r="Q87" i="25" a="1"/>
  <c r="Q87" i="25" s="1"/>
  <c r="R87" i="25" a="1"/>
  <c r="R87" i="25" s="1"/>
  <c r="U87" i="25" a="1"/>
  <c r="U87" i="25" s="1"/>
  <c r="V87" i="25" a="1"/>
  <c r="V87" i="25" s="1"/>
  <c r="W87" i="25" a="1"/>
  <c r="W87" i="25" s="1"/>
  <c r="X87" i="25" a="1"/>
  <c r="X87" i="25" s="1"/>
  <c r="K88" i="25" a="1"/>
  <c r="K88" i="25" s="1"/>
  <c r="L88" i="25" a="1"/>
  <c r="L88" i="25" s="1"/>
  <c r="M88" i="25" a="1"/>
  <c r="M88" i="25" s="1"/>
  <c r="N88" i="25" a="1"/>
  <c r="N88" i="25" s="1"/>
  <c r="O88" i="25" a="1"/>
  <c r="O88" i="25" s="1"/>
  <c r="P88" i="25" a="1"/>
  <c r="P88" i="25" s="1"/>
  <c r="Q88" i="25" a="1"/>
  <c r="Q88" i="25" s="1"/>
  <c r="R88" i="25" a="1"/>
  <c r="R88" i="25" s="1"/>
  <c r="U88" i="25" a="1"/>
  <c r="U88" i="25" s="1"/>
  <c r="V88" i="25" a="1"/>
  <c r="V88" i="25" s="1"/>
  <c r="W88" i="25" a="1"/>
  <c r="W88" i="25" s="1"/>
  <c r="X88" i="25" a="1"/>
  <c r="X88" i="25" s="1"/>
  <c r="K89" i="25" a="1"/>
  <c r="K89" i="25" s="1"/>
  <c r="L89" i="25" a="1"/>
  <c r="L89" i="25" s="1"/>
  <c r="M89" i="25" a="1"/>
  <c r="M89" i="25" s="1"/>
  <c r="N89" i="25" a="1"/>
  <c r="N89" i="25" s="1"/>
  <c r="O89" i="25" a="1"/>
  <c r="O89" i="25" s="1"/>
  <c r="P89" i="25" a="1"/>
  <c r="P89" i="25" s="1"/>
  <c r="Q89" i="25" a="1"/>
  <c r="Q89" i="25" s="1"/>
  <c r="R89" i="25" a="1"/>
  <c r="R89" i="25" s="1"/>
  <c r="U89" i="25" a="1"/>
  <c r="U89" i="25" s="1"/>
  <c r="V89" i="25" a="1"/>
  <c r="V89" i="25" s="1"/>
  <c r="W89" i="25" a="1"/>
  <c r="W89" i="25" s="1"/>
  <c r="X89" i="25" a="1"/>
  <c r="X89" i="25" s="1"/>
  <c r="K90" i="25" a="1"/>
  <c r="K90" i="25" s="1"/>
  <c r="L90" i="25" a="1"/>
  <c r="L90" i="25" s="1"/>
  <c r="M90" i="25" a="1"/>
  <c r="M90" i="25" s="1"/>
  <c r="N90" i="25" a="1"/>
  <c r="N90" i="25" s="1"/>
  <c r="O90" i="25" a="1"/>
  <c r="O90" i="25" s="1"/>
  <c r="P90" i="25" a="1"/>
  <c r="P90" i="25" s="1"/>
  <c r="Q90" i="25" a="1"/>
  <c r="Q90" i="25" s="1"/>
  <c r="R90" i="25" a="1"/>
  <c r="R90" i="25" s="1"/>
  <c r="U90" i="25" a="1"/>
  <c r="U90" i="25" s="1"/>
  <c r="V90" i="25" a="1"/>
  <c r="V90" i="25" s="1"/>
  <c r="W90" i="25" a="1"/>
  <c r="W90" i="25" s="1"/>
  <c r="X90" i="25" a="1"/>
  <c r="X90" i="25" s="1"/>
  <c r="K91" i="25" a="1"/>
  <c r="K91" i="25" s="1"/>
  <c r="L91" i="25" a="1"/>
  <c r="L91" i="25" s="1"/>
  <c r="M91" i="25" a="1"/>
  <c r="M91" i="25" s="1"/>
  <c r="N91" i="25" a="1"/>
  <c r="N91" i="25" s="1"/>
  <c r="O91" i="25" a="1"/>
  <c r="O91" i="25" s="1"/>
  <c r="P91" i="25" a="1"/>
  <c r="P91" i="25" s="1"/>
  <c r="Q91" i="25" a="1"/>
  <c r="Q91" i="25" s="1"/>
  <c r="R91" i="25" a="1"/>
  <c r="R91" i="25" s="1"/>
  <c r="U91" i="25" a="1"/>
  <c r="U91" i="25" s="1"/>
  <c r="V91" i="25" a="1"/>
  <c r="V91" i="25" s="1"/>
  <c r="W91" i="25" a="1"/>
  <c r="W91" i="25" s="1"/>
  <c r="X91" i="25" a="1"/>
  <c r="X91" i="25" s="1"/>
  <c r="K92" i="25" a="1"/>
  <c r="K92" i="25" s="1"/>
  <c r="L92" i="25" a="1"/>
  <c r="L92" i="25" s="1"/>
  <c r="M92" i="25" a="1"/>
  <c r="M92" i="25" s="1"/>
  <c r="N92" i="25" a="1"/>
  <c r="N92" i="25" s="1"/>
  <c r="O92" i="25" a="1"/>
  <c r="O92" i="25" s="1"/>
  <c r="P92" i="25" a="1"/>
  <c r="P92" i="25" s="1"/>
  <c r="Q92" i="25" a="1"/>
  <c r="Q92" i="25" s="1"/>
  <c r="R92" i="25" a="1"/>
  <c r="R92" i="25" s="1"/>
  <c r="U92" i="25" a="1"/>
  <c r="U92" i="25" s="1"/>
  <c r="V92" i="25" a="1"/>
  <c r="V92" i="25" s="1"/>
  <c r="W92" i="25" a="1"/>
  <c r="W92" i="25" s="1"/>
  <c r="X92" i="25" a="1"/>
  <c r="X92" i="25" s="1"/>
  <c r="K93" i="25" a="1"/>
  <c r="K93" i="25" s="1"/>
  <c r="L93" i="25" a="1"/>
  <c r="L93" i="25" s="1"/>
  <c r="M93" i="25" a="1"/>
  <c r="M93" i="25" s="1"/>
  <c r="N93" i="25" a="1"/>
  <c r="N93" i="25" s="1"/>
  <c r="O93" i="25" a="1"/>
  <c r="O93" i="25" s="1"/>
  <c r="P93" i="25" a="1"/>
  <c r="P93" i="25" s="1"/>
  <c r="Q93" i="25" a="1"/>
  <c r="Q93" i="25" s="1"/>
  <c r="R93" i="25" a="1"/>
  <c r="R93" i="25" s="1"/>
  <c r="U93" i="25" a="1"/>
  <c r="U93" i="25" s="1"/>
  <c r="V93" i="25" a="1"/>
  <c r="V93" i="25" s="1"/>
  <c r="W93" i="25" a="1"/>
  <c r="W93" i="25" s="1"/>
  <c r="X93" i="25" a="1"/>
  <c r="X93" i="25" s="1"/>
  <c r="K94" i="25" a="1"/>
  <c r="K94" i="25" s="1"/>
  <c r="L94" i="25" a="1"/>
  <c r="L94" i="25" s="1"/>
  <c r="M94" i="25" a="1"/>
  <c r="M94" i="25" s="1"/>
  <c r="N94" i="25" a="1"/>
  <c r="N94" i="25" s="1"/>
  <c r="O94" i="25" a="1"/>
  <c r="O94" i="25" s="1"/>
  <c r="P94" i="25" a="1"/>
  <c r="P94" i="25" s="1"/>
  <c r="Q94" i="25" a="1"/>
  <c r="Q94" i="25" s="1"/>
  <c r="R94" i="25" a="1"/>
  <c r="R94" i="25" s="1"/>
  <c r="U94" i="25" a="1"/>
  <c r="U94" i="25" s="1"/>
  <c r="V94" i="25" a="1"/>
  <c r="V94" i="25" s="1"/>
  <c r="W94" i="25" a="1"/>
  <c r="W94" i="25" s="1"/>
  <c r="X94" i="25" a="1"/>
  <c r="X94" i="25" s="1"/>
  <c r="K95" i="25" a="1"/>
  <c r="K95" i="25" s="1"/>
  <c r="L95" i="25" a="1"/>
  <c r="L95" i="25" s="1"/>
  <c r="M95" i="25" a="1"/>
  <c r="M95" i="25" s="1"/>
  <c r="N95" i="25" a="1"/>
  <c r="N95" i="25" s="1"/>
  <c r="O95" i="25" a="1"/>
  <c r="O95" i="25" s="1"/>
  <c r="P95" i="25" a="1"/>
  <c r="P95" i="25" s="1"/>
  <c r="Q95" i="25" a="1"/>
  <c r="Q95" i="25" s="1"/>
  <c r="R95" i="25" a="1"/>
  <c r="R95" i="25" s="1"/>
  <c r="U95" i="25" a="1"/>
  <c r="U95" i="25" s="1"/>
  <c r="V95" i="25" a="1"/>
  <c r="V95" i="25" s="1"/>
  <c r="W95" i="25" a="1"/>
  <c r="W95" i="25" s="1"/>
  <c r="X95" i="25" a="1"/>
  <c r="X95" i="25" s="1"/>
  <c r="K96" i="25" a="1"/>
  <c r="K96" i="25" s="1"/>
  <c r="L96" i="25" a="1"/>
  <c r="L96" i="25" s="1"/>
  <c r="M96" i="25" a="1"/>
  <c r="M96" i="25" s="1"/>
  <c r="N96" i="25" a="1"/>
  <c r="N96" i="25" s="1"/>
  <c r="O96" i="25" a="1"/>
  <c r="O96" i="25" s="1"/>
  <c r="P96" i="25" a="1"/>
  <c r="P96" i="25" s="1"/>
  <c r="Q96" i="25" a="1"/>
  <c r="Q96" i="25" s="1"/>
  <c r="R96" i="25" a="1"/>
  <c r="R96" i="25" s="1"/>
  <c r="U96" i="25" a="1"/>
  <c r="U96" i="25" s="1"/>
  <c r="V96" i="25" a="1"/>
  <c r="V96" i="25" s="1"/>
  <c r="W96" i="25" a="1"/>
  <c r="W96" i="25" s="1"/>
  <c r="X96" i="25" a="1"/>
  <c r="X96" i="25" s="1"/>
  <c r="K97" i="25" a="1"/>
  <c r="K97" i="25" s="1"/>
  <c r="L97" i="25" a="1"/>
  <c r="L97" i="25" s="1"/>
  <c r="M97" i="25" a="1"/>
  <c r="M97" i="25" s="1"/>
  <c r="N97" i="25" a="1"/>
  <c r="N97" i="25" s="1"/>
  <c r="O97" i="25" a="1"/>
  <c r="O97" i="25" s="1"/>
  <c r="P97" i="25" a="1"/>
  <c r="P97" i="25" s="1"/>
  <c r="Q97" i="25" a="1"/>
  <c r="Q97" i="25" s="1"/>
  <c r="R97" i="25" a="1"/>
  <c r="R97" i="25" s="1"/>
  <c r="U97" i="25" a="1"/>
  <c r="U97" i="25" s="1"/>
  <c r="V97" i="25" a="1"/>
  <c r="V97" i="25" s="1"/>
  <c r="W97" i="25" a="1"/>
  <c r="W97" i="25" s="1"/>
  <c r="X97" i="25" a="1"/>
  <c r="X97" i="25" s="1"/>
  <c r="K98" i="25" a="1"/>
  <c r="K98" i="25" s="1"/>
  <c r="L98" i="25" a="1"/>
  <c r="L98" i="25" s="1"/>
  <c r="M98" i="25" a="1"/>
  <c r="M98" i="25" s="1"/>
  <c r="N98" i="25" a="1"/>
  <c r="N98" i="25" s="1"/>
  <c r="O98" i="25" a="1"/>
  <c r="O98" i="25" s="1"/>
  <c r="P98" i="25" a="1"/>
  <c r="P98" i="25" s="1"/>
  <c r="Q98" i="25" a="1"/>
  <c r="Q98" i="25" s="1"/>
  <c r="R98" i="25" a="1"/>
  <c r="R98" i="25" s="1"/>
  <c r="U98" i="25" a="1"/>
  <c r="U98" i="25" s="1"/>
  <c r="V98" i="25" a="1"/>
  <c r="V98" i="25" s="1"/>
  <c r="W98" i="25" a="1"/>
  <c r="W98" i="25" s="1"/>
  <c r="X98" i="25" a="1"/>
  <c r="X98" i="25" s="1"/>
  <c r="K99" i="25" a="1"/>
  <c r="K99" i="25" s="1"/>
  <c r="L99" i="25" a="1"/>
  <c r="L99" i="25" s="1"/>
  <c r="M99" i="25" a="1"/>
  <c r="M99" i="25" s="1"/>
  <c r="N99" i="25" a="1"/>
  <c r="N99" i="25" s="1"/>
  <c r="O99" i="25" a="1"/>
  <c r="O99" i="25" s="1"/>
  <c r="P99" i="25" a="1"/>
  <c r="P99" i="25" s="1"/>
  <c r="Q99" i="25" a="1"/>
  <c r="Q99" i="25" s="1"/>
  <c r="R99" i="25" a="1"/>
  <c r="R99" i="25" s="1"/>
  <c r="U99" i="25" a="1"/>
  <c r="U99" i="25" s="1"/>
  <c r="V99" i="25" a="1"/>
  <c r="V99" i="25" s="1"/>
  <c r="W99" i="25" a="1"/>
  <c r="W99" i="25" s="1"/>
  <c r="X99" i="25" a="1"/>
  <c r="X99" i="25" s="1"/>
  <c r="K100" i="25" a="1"/>
  <c r="K100" i="25" s="1"/>
  <c r="L100" i="25" a="1"/>
  <c r="L100" i="25" s="1"/>
  <c r="M100" i="25" a="1"/>
  <c r="M100" i="25" s="1"/>
  <c r="N100" i="25" a="1"/>
  <c r="N100" i="25" s="1"/>
  <c r="O100" i="25" a="1"/>
  <c r="O100" i="25" s="1"/>
  <c r="P100" i="25" a="1"/>
  <c r="P100" i="25" s="1"/>
  <c r="Q100" i="25" a="1"/>
  <c r="Q100" i="25" s="1"/>
  <c r="R100" i="25" a="1"/>
  <c r="R100" i="25" s="1"/>
  <c r="U100" i="25" a="1"/>
  <c r="U100" i="25" s="1"/>
  <c r="V100" i="25" a="1"/>
  <c r="V100" i="25" s="1"/>
  <c r="W100" i="25" a="1"/>
  <c r="W100" i="25" s="1"/>
  <c r="X100" i="25" a="1"/>
  <c r="X100" i="25" s="1"/>
  <c r="K101" i="25" a="1"/>
  <c r="K101" i="25" s="1"/>
  <c r="L101" i="25" a="1"/>
  <c r="L101" i="25" s="1"/>
  <c r="M101" i="25" a="1"/>
  <c r="M101" i="25" s="1"/>
  <c r="N101" i="25" a="1"/>
  <c r="N101" i="25" s="1"/>
  <c r="O101" i="25" a="1"/>
  <c r="O101" i="25" s="1"/>
  <c r="P101" i="25" a="1"/>
  <c r="P101" i="25" s="1"/>
  <c r="Q101" i="25" a="1"/>
  <c r="Q101" i="25" s="1"/>
  <c r="R101" i="25" a="1"/>
  <c r="R101" i="25" s="1"/>
  <c r="U101" i="25" a="1"/>
  <c r="U101" i="25" s="1"/>
  <c r="V101" i="25" a="1"/>
  <c r="V101" i="25" s="1"/>
  <c r="W101" i="25" a="1"/>
  <c r="W101" i="25" s="1"/>
  <c r="X101" i="25" a="1"/>
  <c r="X101" i="25" s="1"/>
  <c r="K102" i="25" a="1"/>
  <c r="K102" i="25" s="1"/>
  <c r="L102" i="25" a="1"/>
  <c r="L102" i="25" s="1"/>
  <c r="M102" i="25" a="1"/>
  <c r="M102" i="25" s="1"/>
  <c r="N102" i="25" a="1"/>
  <c r="N102" i="25" s="1"/>
  <c r="O102" i="25" a="1"/>
  <c r="O102" i="25" s="1"/>
  <c r="P102" i="25" a="1"/>
  <c r="P102" i="25" s="1"/>
  <c r="Q102" i="25" a="1"/>
  <c r="Q102" i="25" s="1"/>
  <c r="R102" i="25" a="1"/>
  <c r="R102" i="25" s="1"/>
  <c r="U102" i="25" a="1"/>
  <c r="U102" i="25" s="1"/>
  <c r="V102" i="25" a="1"/>
  <c r="V102" i="25" s="1"/>
  <c r="W102" i="25" a="1"/>
  <c r="W102" i="25" s="1"/>
  <c r="X102" i="25" a="1"/>
  <c r="X102" i="25" s="1"/>
  <c r="K103" i="25" a="1"/>
  <c r="K103" i="25" s="1"/>
  <c r="L103" i="25" a="1"/>
  <c r="L103" i="25" s="1"/>
  <c r="M103" i="25" a="1"/>
  <c r="M103" i="25" s="1"/>
  <c r="N103" i="25" a="1"/>
  <c r="N103" i="25" s="1"/>
  <c r="O103" i="25" a="1"/>
  <c r="O103" i="25" s="1"/>
  <c r="P103" i="25" a="1"/>
  <c r="P103" i="25" s="1"/>
  <c r="Q103" i="25" a="1"/>
  <c r="Q103" i="25" s="1"/>
  <c r="R103" i="25" a="1"/>
  <c r="R103" i="25" s="1"/>
  <c r="U103" i="25" a="1"/>
  <c r="U103" i="25" s="1"/>
  <c r="V103" i="25" a="1"/>
  <c r="V103" i="25" s="1"/>
  <c r="W103" i="25" a="1"/>
  <c r="W103" i="25" s="1"/>
  <c r="X103" i="25" a="1"/>
  <c r="X103" i="25" s="1"/>
  <c r="K104" i="25" a="1"/>
  <c r="K104" i="25" s="1"/>
  <c r="L104" i="25" a="1"/>
  <c r="L104" i="25" s="1"/>
  <c r="M104" i="25" a="1"/>
  <c r="M104" i="25" s="1"/>
  <c r="N104" i="25" a="1"/>
  <c r="N104" i="25" s="1"/>
  <c r="O104" i="25" a="1"/>
  <c r="O104" i="25" s="1"/>
  <c r="P104" i="25" a="1"/>
  <c r="P104" i="25" s="1"/>
  <c r="Q104" i="25" a="1"/>
  <c r="Q104" i="25" s="1"/>
  <c r="R104" i="25" a="1"/>
  <c r="R104" i="25" s="1"/>
  <c r="U104" i="25" a="1"/>
  <c r="U104" i="25" s="1"/>
  <c r="V104" i="25" a="1"/>
  <c r="V104" i="25" s="1"/>
  <c r="W104" i="25" a="1"/>
  <c r="W104" i="25" s="1"/>
  <c r="X104" i="25" a="1"/>
  <c r="X104" i="25" s="1"/>
  <c r="K105" i="25" a="1"/>
  <c r="K105" i="25" s="1"/>
  <c r="L105" i="25" a="1"/>
  <c r="L105" i="25" s="1"/>
  <c r="M105" i="25" a="1"/>
  <c r="M105" i="25" s="1"/>
  <c r="N105" i="25" a="1"/>
  <c r="N105" i="25" s="1"/>
  <c r="O105" i="25" a="1"/>
  <c r="O105" i="25" s="1"/>
  <c r="P105" i="25" a="1"/>
  <c r="P105" i="25" s="1"/>
  <c r="Q105" i="25" a="1"/>
  <c r="Q105" i="25" s="1"/>
  <c r="R105" i="25" a="1"/>
  <c r="R105" i="25" s="1"/>
  <c r="U105" i="25" a="1"/>
  <c r="U105" i="25" s="1"/>
  <c r="V105" i="25" a="1"/>
  <c r="V105" i="25" s="1"/>
  <c r="W105" i="25" a="1"/>
  <c r="W105" i="25" s="1"/>
  <c r="X105" i="25" a="1"/>
  <c r="X105" i="25" s="1"/>
  <c r="K106" i="25" a="1"/>
  <c r="K106" i="25" s="1"/>
  <c r="L106" i="25" a="1"/>
  <c r="L106" i="25" s="1"/>
  <c r="M106" i="25" a="1"/>
  <c r="M106" i="25" s="1"/>
  <c r="N106" i="25" a="1"/>
  <c r="N106" i="25" s="1"/>
  <c r="O106" i="25" a="1"/>
  <c r="O106" i="25" s="1"/>
  <c r="P106" i="25" a="1"/>
  <c r="P106" i="25" s="1"/>
  <c r="Q106" i="25" a="1"/>
  <c r="Q106" i="25" s="1"/>
  <c r="R106" i="25" a="1"/>
  <c r="R106" i="25" s="1"/>
  <c r="U106" i="25" a="1"/>
  <c r="U106" i="25" s="1"/>
  <c r="V106" i="25" a="1"/>
  <c r="V106" i="25" s="1"/>
  <c r="W106" i="25" a="1"/>
  <c r="W106" i="25" s="1"/>
  <c r="X106" i="25" a="1"/>
  <c r="X106" i="25" s="1"/>
  <c r="K107" i="25" a="1"/>
  <c r="K107" i="25" s="1"/>
  <c r="L107" i="25" a="1"/>
  <c r="L107" i="25" s="1"/>
  <c r="M107" i="25" a="1"/>
  <c r="M107" i="25" s="1"/>
  <c r="N107" i="25" a="1"/>
  <c r="N107" i="25" s="1"/>
  <c r="O107" i="25" a="1"/>
  <c r="O107" i="25" s="1"/>
  <c r="P107" i="25" a="1"/>
  <c r="P107" i="25" s="1"/>
  <c r="Q107" i="25" a="1"/>
  <c r="Q107" i="25" s="1"/>
  <c r="R107" i="25" a="1"/>
  <c r="R107" i="25" s="1"/>
  <c r="U107" i="25" a="1"/>
  <c r="U107" i="25" s="1"/>
  <c r="V107" i="25" a="1"/>
  <c r="V107" i="25" s="1"/>
  <c r="W107" i="25" a="1"/>
  <c r="W107" i="25" s="1"/>
  <c r="X107" i="25" a="1"/>
  <c r="X107" i="25" s="1"/>
  <c r="K108" i="25" a="1"/>
  <c r="K108" i="25" s="1"/>
  <c r="L108" i="25" a="1"/>
  <c r="L108" i="25" s="1"/>
  <c r="M108" i="25" a="1"/>
  <c r="M108" i="25" s="1"/>
  <c r="N108" i="25" a="1"/>
  <c r="N108" i="25" s="1"/>
  <c r="O108" i="25" a="1"/>
  <c r="O108" i="25" s="1"/>
  <c r="P108" i="25" a="1"/>
  <c r="P108" i="25" s="1"/>
  <c r="Q108" i="25" a="1"/>
  <c r="Q108" i="25" s="1"/>
  <c r="R108" i="25" a="1"/>
  <c r="R108" i="25" s="1"/>
  <c r="U108" i="25" a="1"/>
  <c r="U108" i="25" s="1"/>
  <c r="V108" i="25" a="1"/>
  <c r="V108" i="25" s="1"/>
  <c r="W108" i="25" a="1"/>
  <c r="W108" i="25" s="1"/>
  <c r="X108" i="25" a="1"/>
  <c r="X108" i="25" s="1"/>
  <c r="K109" i="25" a="1"/>
  <c r="K109" i="25" s="1"/>
  <c r="L109" i="25" a="1"/>
  <c r="L109" i="25" s="1"/>
  <c r="M109" i="25" a="1"/>
  <c r="M109" i="25" s="1"/>
  <c r="N109" i="25" a="1"/>
  <c r="N109" i="25" s="1"/>
  <c r="O109" i="25" a="1"/>
  <c r="O109" i="25" s="1"/>
  <c r="P109" i="25" a="1"/>
  <c r="P109" i="25" s="1"/>
  <c r="Q109" i="25" a="1"/>
  <c r="Q109" i="25" s="1"/>
  <c r="R109" i="25" a="1"/>
  <c r="R109" i="25" s="1"/>
  <c r="U109" i="25" a="1"/>
  <c r="U109" i="25" s="1"/>
  <c r="V109" i="25" a="1"/>
  <c r="V109" i="25" s="1"/>
  <c r="W109" i="25" a="1"/>
  <c r="W109" i="25" s="1"/>
  <c r="X109" i="25" a="1"/>
  <c r="X109" i="25" s="1"/>
  <c r="K110" i="25" a="1"/>
  <c r="K110" i="25" s="1"/>
  <c r="L110" i="25" a="1"/>
  <c r="L110" i="25" s="1"/>
  <c r="M110" i="25" a="1"/>
  <c r="M110" i="25" s="1"/>
  <c r="N110" i="25" a="1"/>
  <c r="N110" i="25" s="1"/>
  <c r="O110" i="25" a="1"/>
  <c r="O110" i="25" s="1"/>
  <c r="P110" i="25" a="1"/>
  <c r="P110" i="25" s="1"/>
  <c r="Q110" i="25" a="1"/>
  <c r="Q110" i="25" s="1"/>
  <c r="R110" i="25" a="1"/>
  <c r="R110" i="25" s="1"/>
  <c r="U110" i="25" a="1"/>
  <c r="U110" i="25" s="1"/>
  <c r="V110" i="25" a="1"/>
  <c r="V110" i="25" s="1"/>
  <c r="W110" i="25" a="1"/>
  <c r="W110" i="25" s="1"/>
  <c r="X110" i="25" a="1"/>
  <c r="X110" i="25" s="1"/>
  <c r="K111" i="25" a="1"/>
  <c r="K111" i="25" s="1"/>
  <c r="L111" i="25" a="1"/>
  <c r="L111" i="25" s="1"/>
  <c r="M111" i="25" a="1"/>
  <c r="M111" i="25" s="1"/>
  <c r="N111" i="25" a="1"/>
  <c r="N111" i="25" s="1"/>
  <c r="O111" i="25" a="1"/>
  <c r="O111" i="25" s="1"/>
  <c r="P111" i="25" a="1"/>
  <c r="P111" i="25" s="1"/>
  <c r="Q111" i="25" a="1"/>
  <c r="Q111" i="25" s="1"/>
  <c r="R111" i="25" a="1"/>
  <c r="R111" i="25" s="1"/>
  <c r="U111" i="25" a="1"/>
  <c r="U111" i="25" s="1"/>
  <c r="V111" i="25" a="1"/>
  <c r="V111" i="25" s="1"/>
  <c r="W111" i="25" a="1"/>
  <c r="W111" i="25" s="1"/>
  <c r="X111" i="25" a="1"/>
  <c r="X111" i="25" s="1"/>
  <c r="K112" i="25" a="1"/>
  <c r="K112" i="25" s="1"/>
  <c r="L112" i="25" a="1"/>
  <c r="L112" i="25" s="1"/>
  <c r="M112" i="25" a="1"/>
  <c r="M112" i="25" s="1"/>
  <c r="N112" i="25" a="1"/>
  <c r="N112" i="25" s="1"/>
  <c r="O112" i="25" a="1"/>
  <c r="O112" i="25" s="1"/>
  <c r="P112" i="25" a="1"/>
  <c r="P112" i="25" s="1"/>
  <c r="Q112" i="25" a="1"/>
  <c r="Q112" i="25" s="1"/>
  <c r="R112" i="25" a="1"/>
  <c r="R112" i="25" s="1"/>
  <c r="U112" i="25" a="1"/>
  <c r="U112" i="25" s="1"/>
  <c r="V112" i="25" a="1"/>
  <c r="V112" i="25" s="1"/>
  <c r="W112" i="25" a="1"/>
  <c r="W112" i="25" s="1"/>
  <c r="X112" i="25" a="1"/>
  <c r="X112" i="25" s="1"/>
  <c r="K113" i="25" a="1"/>
  <c r="K113" i="25" s="1"/>
  <c r="L113" i="25" a="1"/>
  <c r="L113" i="25" s="1"/>
  <c r="M113" i="25" a="1"/>
  <c r="M113" i="25" s="1"/>
  <c r="N113" i="25" a="1"/>
  <c r="N113" i="25" s="1"/>
  <c r="O113" i="25" a="1"/>
  <c r="O113" i="25" s="1"/>
  <c r="P113" i="25" a="1"/>
  <c r="P113" i="25" s="1"/>
  <c r="Q113" i="25" a="1"/>
  <c r="Q113" i="25" s="1"/>
  <c r="R113" i="25" a="1"/>
  <c r="R113" i="25" s="1"/>
  <c r="U113" i="25" a="1"/>
  <c r="U113" i="25" s="1"/>
  <c r="V113" i="25" a="1"/>
  <c r="V113" i="25" s="1"/>
  <c r="W113" i="25" a="1"/>
  <c r="W113" i="25" s="1"/>
  <c r="X113" i="25" a="1"/>
  <c r="X113" i="25" s="1"/>
  <c r="K114" i="25" a="1"/>
  <c r="K114" i="25" s="1"/>
  <c r="L114" i="25" a="1"/>
  <c r="L114" i="25" s="1"/>
  <c r="M114" i="25" a="1"/>
  <c r="M114" i="25" s="1"/>
  <c r="N114" i="25" a="1"/>
  <c r="N114" i="25" s="1"/>
  <c r="O114" i="25" a="1"/>
  <c r="O114" i="25" s="1"/>
  <c r="P114" i="25" a="1"/>
  <c r="P114" i="25" s="1"/>
  <c r="Q114" i="25" a="1"/>
  <c r="Q114" i="25" s="1"/>
  <c r="R114" i="25" a="1"/>
  <c r="R114" i="25" s="1"/>
  <c r="U114" i="25" a="1"/>
  <c r="U114" i="25" s="1"/>
  <c r="V114" i="25" a="1"/>
  <c r="V114" i="25" s="1"/>
  <c r="W114" i="25" a="1"/>
  <c r="W114" i="25" s="1"/>
  <c r="X114" i="25" a="1"/>
  <c r="X114" i="25" s="1"/>
  <c r="K115" i="25" a="1"/>
  <c r="K115" i="25" s="1"/>
  <c r="L115" i="25" a="1"/>
  <c r="L115" i="25" s="1"/>
  <c r="M115" i="25" a="1"/>
  <c r="M115" i="25" s="1"/>
  <c r="N115" i="25" a="1"/>
  <c r="N115" i="25" s="1"/>
  <c r="O115" i="25" a="1"/>
  <c r="O115" i="25" s="1"/>
  <c r="P115" i="25" a="1"/>
  <c r="P115" i="25" s="1"/>
  <c r="Q115" i="25" a="1"/>
  <c r="Q115" i="25" s="1"/>
  <c r="R115" i="25" a="1"/>
  <c r="R115" i="25" s="1"/>
  <c r="U115" i="25" a="1"/>
  <c r="U115" i="25" s="1"/>
  <c r="V115" i="25" a="1"/>
  <c r="V115" i="25" s="1"/>
  <c r="W115" i="25" a="1"/>
  <c r="W115" i="25" s="1"/>
  <c r="X115" i="25" a="1"/>
  <c r="X115" i="25" s="1"/>
  <c r="K116" i="25" a="1"/>
  <c r="K116" i="25" s="1"/>
  <c r="L116" i="25" a="1"/>
  <c r="L116" i="25" s="1"/>
  <c r="M116" i="25" a="1"/>
  <c r="M116" i="25" s="1"/>
  <c r="N116" i="25" a="1"/>
  <c r="N116" i="25" s="1"/>
  <c r="O116" i="25" a="1"/>
  <c r="O116" i="25" s="1"/>
  <c r="P116" i="25" a="1"/>
  <c r="P116" i="25" s="1"/>
  <c r="Q116" i="25" a="1"/>
  <c r="Q116" i="25" s="1"/>
  <c r="R116" i="25" a="1"/>
  <c r="R116" i="25" s="1"/>
  <c r="U116" i="25" a="1"/>
  <c r="U116" i="25" s="1"/>
  <c r="V116" i="25" a="1"/>
  <c r="V116" i="25" s="1"/>
  <c r="W116" i="25" a="1"/>
  <c r="W116" i="25" s="1"/>
  <c r="X116" i="25" a="1"/>
  <c r="X116" i="25" s="1"/>
  <c r="K117" i="25" a="1"/>
  <c r="K117" i="25" s="1"/>
  <c r="L117" i="25" a="1"/>
  <c r="L117" i="25" s="1"/>
  <c r="M117" i="25" a="1"/>
  <c r="M117" i="25" s="1"/>
  <c r="N117" i="25" a="1"/>
  <c r="N117" i="25" s="1"/>
  <c r="O117" i="25" a="1"/>
  <c r="O117" i="25" s="1"/>
  <c r="P117" i="25" a="1"/>
  <c r="P117" i="25" s="1"/>
  <c r="Q117" i="25" a="1"/>
  <c r="Q117" i="25" s="1"/>
  <c r="R117" i="25" a="1"/>
  <c r="R117" i="25" s="1"/>
  <c r="U117" i="25" a="1"/>
  <c r="U117" i="25" s="1"/>
  <c r="V117" i="25" a="1"/>
  <c r="V117" i="25" s="1"/>
  <c r="W117" i="25" a="1"/>
  <c r="W117" i="25" s="1"/>
  <c r="X117" i="25" a="1"/>
  <c r="X117" i="25" s="1"/>
  <c r="K118" i="25" a="1"/>
  <c r="K118" i="25" s="1"/>
  <c r="L118" i="25" a="1"/>
  <c r="L118" i="25" s="1"/>
  <c r="M118" i="25" a="1"/>
  <c r="M118" i="25" s="1"/>
  <c r="N118" i="25" a="1"/>
  <c r="N118" i="25" s="1"/>
  <c r="O118" i="25" a="1"/>
  <c r="O118" i="25" s="1"/>
  <c r="P118" i="25" a="1"/>
  <c r="P118" i="25" s="1"/>
  <c r="Q118" i="25" a="1"/>
  <c r="Q118" i="25" s="1"/>
  <c r="R118" i="25" a="1"/>
  <c r="R118" i="25" s="1"/>
  <c r="U118" i="25" a="1"/>
  <c r="U118" i="25" s="1"/>
  <c r="V118" i="25" a="1"/>
  <c r="V118" i="25" s="1"/>
  <c r="W118" i="25" a="1"/>
  <c r="W118" i="25" s="1"/>
  <c r="X118" i="25" a="1"/>
  <c r="X118" i="25" s="1"/>
  <c r="K119" i="25" a="1"/>
  <c r="K119" i="25" s="1"/>
  <c r="L119" i="25" a="1"/>
  <c r="L119" i="25" s="1"/>
  <c r="M119" i="25" a="1"/>
  <c r="M119" i="25" s="1"/>
  <c r="N119" i="25" a="1"/>
  <c r="N119" i="25" s="1"/>
  <c r="O119" i="25" a="1"/>
  <c r="O119" i="25" s="1"/>
  <c r="P119" i="25" a="1"/>
  <c r="P119" i="25" s="1"/>
  <c r="Q119" i="25" a="1"/>
  <c r="Q119" i="25" s="1"/>
  <c r="R119" i="25" a="1"/>
  <c r="R119" i="25" s="1"/>
  <c r="U119" i="25" a="1"/>
  <c r="U119" i="25" s="1"/>
  <c r="V119" i="25" a="1"/>
  <c r="V119" i="25" s="1"/>
  <c r="W119" i="25" a="1"/>
  <c r="W119" i="25" s="1"/>
  <c r="X119" i="25" a="1"/>
  <c r="X119" i="25" s="1"/>
  <c r="K120" i="25" a="1"/>
  <c r="K120" i="25" s="1"/>
  <c r="L120" i="25" a="1"/>
  <c r="L120" i="25" s="1"/>
  <c r="M120" i="25" a="1"/>
  <c r="M120" i="25" s="1"/>
  <c r="N120" i="25" a="1"/>
  <c r="N120" i="25" s="1"/>
  <c r="O120" i="25" a="1"/>
  <c r="O120" i="25" s="1"/>
  <c r="P120" i="25" a="1"/>
  <c r="P120" i="25" s="1"/>
  <c r="Q120" i="25" a="1"/>
  <c r="Q120" i="25" s="1"/>
  <c r="R120" i="25" a="1"/>
  <c r="R120" i="25" s="1"/>
  <c r="U120" i="25" a="1"/>
  <c r="U120" i="25" s="1"/>
  <c r="V120" i="25" a="1"/>
  <c r="V120" i="25" s="1"/>
  <c r="W120" i="25" a="1"/>
  <c r="W120" i="25" s="1"/>
  <c r="X120" i="25" a="1"/>
  <c r="X120" i="25" s="1"/>
  <c r="K121" i="25" a="1"/>
  <c r="K121" i="25" s="1"/>
  <c r="L121" i="25" a="1"/>
  <c r="L121" i="25" s="1"/>
  <c r="M121" i="25" a="1"/>
  <c r="M121" i="25" s="1"/>
  <c r="N121" i="25" a="1"/>
  <c r="N121" i="25" s="1"/>
  <c r="O121" i="25" a="1"/>
  <c r="O121" i="25" s="1"/>
  <c r="P121" i="25" a="1"/>
  <c r="P121" i="25" s="1"/>
  <c r="Q121" i="25" a="1"/>
  <c r="Q121" i="25" s="1"/>
  <c r="R121" i="25" a="1"/>
  <c r="R121" i="25" s="1"/>
  <c r="U121" i="25" a="1"/>
  <c r="U121" i="25" s="1"/>
  <c r="V121" i="25" a="1"/>
  <c r="V121" i="25" s="1"/>
  <c r="W121" i="25" a="1"/>
  <c r="W121" i="25" s="1"/>
  <c r="X121" i="25" a="1"/>
  <c r="X121" i="25" s="1"/>
  <c r="K122" i="25" a="1"/>
  <c r="K122" i="25" s="1"/>
  <c r="L122" i="25" a="1"/>
  <c r="L122" i="25" s="1"/>
  <c r="M122" i="25" a="1"/>
  <c r="M122" i="25" s="1"/>
  <c r="N122" i="25" a="1"/>
  <c r="N122" i="25" s="1"/>
  <c r="O122" i="25" a="1"/>
  <c r="O122" i="25" s="1"/>
  <c r="P122" i="25" a="1"/>
  <c r="P122" i="25" s="1"/>
  <c r="Q122" i="25" a="1"/>
  <c r="Q122" i="25" s="1"/>
  <c r="R122" i="25" a="1"/>
  <c r="R122" i="25" s="1"/>
  <c r="U122" i="25" a="1"/>
  <c r="U122" i="25" s="1"/>
  <c r="V122" i="25" a="1"/>
  <c r="V122" i="25" s="1"/>
  <c r="W122" i="25" a="1"/>
  <c r="W122" i="25" s="1"/>
  <c r="X122" i="25" a="1"/>
  <c r="X122" i="25" s="1"/>
  <c r="K123" i="25" a="1"/>
  <c r="K123" i="25" s="1"/>
  <c r="L123" i="25" a="1"/>
  <c r="L123" i="25" s="1"/>
  <c r="M123" i="25" a="1"/>
  <c r="M123" i="25" s="1"/>
  <c r="N123" i="25" a="1"/>
  <c r="N123" i="25" s="1"/>
  <c r="O123" i="25" a="1"/>
  <c r="O123" i="25" s="1"/>
  <c r="P123" i="25" a="1"/>
  <c r="P123" i="25" s="1"/>
  <c r="Q123" i="25" a="1"/>
  <c r="Q123" i="25" s="1"/>
  <c r="R123" i="25" a="1"/>
  <c r="R123" i="25" s="1"/>
  <c r="U123" i="25" a="1"/>
  <c r="U123" i="25" s="1"/>
  <c r="V123" i="25" a="1"/>
  <c r="V123" i="25" s="1"/>
  <c r="W123" i="25" a="1"/>
  <c r="W123" i="25" s="1"/>
  <c r="X123" i="25" a="1"/>
  <c r="X123" i="25" s="1"/>
  <c r="K124" i="25" a="1"/>
  <c r="K124" i="25" s="1"/>
  <c r="L124" i="25" a="1"/>
  <c r="L124" i="25" s="1"/>
  <c r="M124" i="25" a="1"/>
  <c r="M124" i="25" s="1"/>
  <c r="N124" i="25" a="1"/>
  <c r="N124" i="25" s="1"/>
  <c r="O124" i="25" a="1"/>
  <c r="O124" i="25" s="1"/>
  <c r="P124" i="25" a="1"/>
  <c r="P124" i="25" s="1"/>
  <c r="Q124" i="25" a="1"/>
  <c r="Q124" i="25" s="1"/>
  <c r="R124" i="25" a="1"/>
  <c r="R124" i="25" s="1"/>
  <c r="U124" i="25" a="1"/>
  <c r="U124" i="25" s="1"/>
  <c r="V124" i="25" a="1"/>
  <c r="V124" i="25" s="1"/>
  <c r="W124" i="25" a="1"/>
  <c r="W124" i="25" s="1"/>
  <c r="X124" i="25" a="1"/>
  <c r="X124" i="25" s="1"/>
  <c r="K125" i="25" a="1"/>
  <c r="K125" i="25" s="1"/>
  <c r="L125" i="25" a="1"/>
  <c r="L125" i="25" s="1"/>
  <c r="M125" i="25" a="1"/>
  <c r="M125" i="25" s="1"/>
  <c r="N125" i="25" a="1"/>
  <c r="N125" i="25" s="1"/>
  <c r="O125" i="25" a="1"/>
  <c r="O125" i="25" s="1"/>
  <c r="P125" i="25" a="1"/>
  <c r="P125" i="25" s="1"/>
  <c r="Q125" i="25" a="1"/>
  <c r="Q125" i="25" s="1"/>
  <c r="R125" i="25" a="1"/>
  <c r="R125" i="25" s="1"/>
  <c r="U125" i="25" a="1"/>
  <c r="U125" i="25" s="1"/>
  <c r="V125" i="25" a="1"/>
  <c r="V125" i="25" s="1"/>
  <c r="W125" i="25" a="1"/>
  <c r="W125" i="25" s="1"/>
  <c r="X125" i="25" a="1"/>
  <c r="X125" i="25" s="1"/>
  <c r="K126" i="25" a="1"/>
  <c r="K126" i="25" s="1"/>
  <c r="L126" i="25" a="1"/>
  <c r="L126" i="25" s="1"/>
  <c r="M126" i="25" a="1"/>
  <c r="M126" i="25" s="1"/>
  <c r="N126" i="25" a="1"/>
  <c r="N126" i="25" s="1"/>
  <c r="O126" i="25" a="1"/>
  <c r="O126" i="25" s="1"/>
  <c r="P126" i="25" a="1"/>
  <c r="P126" i="25" s="1"/>
  <c r="Q126" i="25" a="1"/>
  <c r="Q126" i="25" s="1"/>
  <c r="R126" i="25" a="1"/>
  <c r="R126" i="25" s="1"/>
  <c r="U126" i="25" a="1"/>
  <c r="U126" i="25" s="1"/>
  <c r="V126" i="25" a="1"/>
  <c r="V126" i="25" s="1"/>
  <c r="W126" i="25" a="1"/>
  <c r="W126" i="25" s="1"/>
  <c r="X126" i="25" a="1"/>
  <c r="X126" i="25" s="1"/>
  <c r="K127" i="25" a="1"/>
  <c r="K127" i="25" s="1"/>
  <c r="L127" i="25" a="1"/>
  <c r="L127" i="25" s="1"/>
  <c r="M127" i="25" a="1"/>
  <c r="M127" i="25" s="1"/>
  <c r="N127" i="25" a="1"/>
  <c r="N127" i="25" s="1"/>
  <c r="O127" i="25" a="1"/>
  <c r="O127" i="25" s="1"/>
  <c r="P127" i="25" a="1"/>
  <c r="P127" i="25" s="1"/>
  <c r="Q127" i="25" a="1"/>
  <c r="Q127" i="25" s="1"/>
  <c r="R127" i="25" a="1"/>
  <c r="R127" i="25" s="1"/>
  <c r="U127" i="25" a="1"/>
  <c r="U127" i="25" s="1"/>
  <c r="V127" i="25" a="1"/>
  <c r="V127" i="25" s="1"/>
  <c r="W127" i="25" a="1"/>
  <c r="W127" i="25" s="1"/>
  <c r="X127" i="25" a="1"/>
  <c r="X127" i="25" s="1"/>
  <c r="K128" i="25" a="1"/>
  <c r="K128" i="25" s="1"/>
  <c r="L128" i="25" a="1"/>
  <c r="L128" i="25" s="1"/>
  <c r="M128" i="25" a="1"/>
  <c r="M128" i="25" s="1"/>
  <c r="N128" i="25" a="1"/>
  <c r="N128" i="25" s="1"/>
  <c r="O128" i="25" a="1"/>
  <c r="O128" i="25" s="1"/>
  <c r="P128" i="25" a="1"/>
  <c r="P128" i="25" s="1"/>
  <c r="Q128" i="25" a="1"/>
  <c r="Q128" i="25" s="1"/>
  <c r="R128" i="25" a="1"/>
  <c r="R128" i="25" s="1"/>
  <c r="U128" i="25" a="1"/>
  <c r="U128" i="25" s="1"/>
  <c r="V128" i="25" a="1"/>
  <c r="V128" i="25" s="1"/>
  <c r="W128" i="25" a="1"/>
  <c r="W128" i="25" s="1"/>
  <c r="X128" i="25" a="1"/>
  <c r="X128" i="25" s="1"/>
  <c r="K129" i="25" a="1"/>
  <c r="K129" i="25" s="1"/>
  <c r="L129" i="25" a="1"/>
  <c r="L129" i="25" s="1"/>
  <c r="M129" i="25" a="1"/>
  <c r="M129" i="25" s="1"/>
  <c r="N129" i="25" a="1"/>
  <c r="N129" i="25" s="1"/>
  <c r="O129" i="25" a="1"/>
  <c r="O129" i="25" s="1"/>
  <c r="P129" i="25" a="1"/>
  <c r="P129" i="25" s="1"/>
  <c r="Q129" i="25" a="1"/>
  <c r="Q129" i="25" s="1"/>
  <c r="R129" i="25" a="1"/>
  <c r="R129" i="25" s="1"/>
  <c r="U129" i="25" a="1"/>
  <c r="U129" i="25" s="1"/>
  <c r="V129" i="25" a="1"/>
  <c r="V129" i="25" s="1"/>
  <c r="W129" i="25" a="1"/>
  <c r="W129" i="25" s="1"/>
  <c r="X129" i="25" a="1"/>
  <c r="X129" i="25" s="1"/>
  <c r="K130" i="25" a="1"/>
  <c r="K130" i="25" s="1"/>
  <c r="L130" i="25" a="1"/>
  <c r="L130" i="25" s="1"/>
  <c r="M130" i="25" a="1"/>
  <c r="M130" i="25" s="1"/>
  <c r="N130" i="25" a="1"/>
  <c r="N130" i="25" s="1"/>
  <c r="O130" i="25" a="1"/>
  <c r="O130" i="25" s="1"/>
  <c r="P130" i="25" a="1"/>
  <c r="P130" i="25" s="1"/>
  <c r="Q130" i="25" a="1"/>
  <c r="Q130" i="25" s="1"/>
  <c r="R130" i="25" a="1"/>
  <c r="R130" i="25" s="1"/>
  <c r="U130" i="25" a="1"/>
  <c r="U130" i="25" s="1"/>
  <c r="V130" i="25" a="1"/>
  <c r="V130" i="25" s="1"/>
  <c r="W130" i="25" a="1"/>
  <c r="W130" i="25" s="1"/>
  <c r="X130" i="25" a="1"/>
  <c r="X130" i="25" s="1"/>
  <c r="K131" i="25" a="1"/>
  <c r="K131" i="25" s="1"/>
  <c r="L131" i="25" a="1"/>
  <c r="L131" i="25" s="1"/>
  <c r="M131" i="25" a="1"/>
  <c r="M131" i="25" s="1"/>
  <c r="N131" i="25" a="1"/>
  <c r="N131" i="25" s="1"/>
  <c r="O131" i="25" a="1"/>
  <c r="O131" i="25" s="1"/>
  <c r="P131" i="25" a="1"/>
  <c r="P131" i="25" s="1"/>
  <c r="Q131" i="25" a="1"/>
  <c r="Q131" i="25" s="1"/>
  <c r="R131" i="25" a="1"/>
  <c r="R131" i="25" s="1"/>
  <c r="U131" i="25" a="1"/>
  <c r="U131" i="25" s="1"/>
  <c r="V131" i="25" a="1"/>
  <c r="V131" i="25" s="1"/>
  <c r="W131" i="25" a="1"/>
  <c r="W131" i="25" s="1"/>
  <c r="X131" i="25" a="1"/>
  <c r="X131" i="25" s="1"/>
  <c r="K132" i="25" a="1"/>
  <c r="K132" i="25" s="1"/>
  <c r="L132" i="25" a="1"/>
  <c r="L132" i="25" s="1"/>
  <c r="M132" i="25" a="1"/>
  <c r="M132" i="25" s="1"/>
  <c r="N132" i="25" a="1"/>
  <c r="N132" i="25" s="1"/>
  <c r="O132" i="25" a="1"/>
  <c r="O132" i="25" s="1"/>
  <c r="P132" i="25" a="1"/>
  <c r="P132" i="25" s="1"/>
  <c r="Q132" i="25" a="1"/>
  <c r="Q132" i="25" s="1"/>
  <c r="R132" i="25" a="1"/>
  <c r="R132" i="25" s="1"/>
  <c r="U132" i="25" a="1"/>
  <c r="U132" i="25" s="1"/>
  <c r="V132" i="25" a="1"/>
  <c r="V132" i="25" s="1"/>
  <c r="W132" i="25" a="1"/>
  <c r="W132" i="25" s="1"/>
  <c r="X132" i="25" a="1"/>
  <c r="X132" i="25" s="1"/>
  <c r="K133" i="25" a="1"/>
  <c r="K133" i="25" s="1"/>
  <c r="L133" i="25" a="1"/>
  <c r="L133" i="25" s="1"/>
  <c r="M133" i="25" a="1"/>
  <c r="M133" i="25" s="1"/>
  <c r="N133" i="25" a="1"/>
  <c r="N133" i="25" s="1"/>
  <c r="O133" i="25" a="1"/>
  <c r="O133" i="25" s="1"/>
  <c r="P133" i="25" a="1"/>
  <c r="P133" i="25" s="1"/>
  <c r="Q133" i="25" a="1"/>
  <c r="Q133" i="25" s="1"/>
  <c r="R133" i="25" a="1"/>
  <c r="R133" i="25" s="1"/>
  <c r="U133" i="25" a="1"/>
  <c r="U133" i="25" s="1"/>
  <c r="V133" i="25" a="1"/>
  <c r="V133" i="25" s="1"/>
  <c r="W133" i="25" a="1"/>
  <c r="W133" i="25" s="1"/>
  <c r="X133" i="25" a="1"/>
  <c r="X133" i="25" s="1"/>
  <c r="K134" i="25" a="1"/>
  <c r="K134" i="25" s="1"/>
  <c r="L134" i="25" a="1"/>
  <c r="L134" i="25" s="1"/>
  <c r="M134" i="25" a="1"/>
  <c r="M134" i="25" s="1"/>
  <c r="N134" i="25" a="1"/>
  <c r="N134" i="25" s="1"/>
  <c r="O134" i="25" a="1"/>
  <c r="O134" i="25" s="1"/>
  <c r="P134" i="25" a="1"/>
  <c r="P134" i="25" s="1"/>
  <c r="Q134" i="25" a="1"/>
  <c r="Q134" i="25" s="1"/>
  <c r="R134" i="25" a="1"/>
  <c r="R134" i="25" s="1"/>
  <c r="U134" i="25" a="1"/>
  <c r="U134" i="25" s="1"/>
  <c r="V134" i="25" a="1"/>
  <c r="V134" i="25" s="1"/>
  <c r="W134" i="25" a="1"/>
  <c r="W134" i="25" s="1"/>
  <c r="X134" i="25" a="1"/>
  <c r="X134" i="25" s="1"/>
  <c r="K135" i="25" a="1"/>
  <c r="K135" i="25" s="1"/>
  <c r="L135" i="25" a="1"/>
  <c r="L135" i="25" s="1"/>
  <c r="M135" i="25" a="1"/>
  <c r="M135" i="25" s="1"/>
  <c r="N135" i="25" a="1"/>
  <c r="N135" i="25" s="1"/>
  <c r="O135" i="25" a="1"/>
  <c r="O135" i="25" s="1"/>
  <c r="P135" i="25" a="1"/>
  <c r="P135" i="25" s="1"/>
  <c r="Q135" i="25" a="1"/>
  <c r="Q135" i="25" s="1"/>
  <c r="R135" i="25" a="1"/>
  <c r="R135" i="25" s="1"/>
  <c r="U135" i="25" a="1"/>
  <c r="U135" i="25" s="1"/>
  <c r="V135" i="25" a="1"/>
  <c r="V135" i="25" s="1"/>
  <c r="W135" i="25" a="1"/>
  <c r="W135" i="25" s="1"/>
  <c r="X135" i="25" a="1"/>
  <c r="X135" i="25" s="1"/>
  <c r="K136" i="25" a="1"/>
  <c r="K136" i="25" s="1"/>
  <c r="L136" i="25" a="1"/>
  <c r="L136" i="25" s="1"/>
  <c r="M136" i="25" a="1"/>
  <c r="M136" i="25" s="1"/>
  <c r="N136" i="25" a="1"/>
  <c r="N136" i="25" s="1"/>
  <c r="O136" i="25" a="1"/>
  <c r="O136" i="25" s="1"/>
  <c r="P136" i="25" a="1"/>
  <c r="P136" i="25" s="1"/>
  <c r="Q136" i="25" a="1"/>
  <c r="Q136" i="25" s="1"/>
  <c r="R136" i="25" a="1"/>
  <c r="R136" i="25" s="1"/>
  <c r="U136" i="25" a="1"/>
  <c r="U136" i="25" s="1"/>
  <c r="V136" i="25" a="1"/>
  <c r="V136" i="25" s="1"/>
  <c r="W136" i="25" a="1"/>
  <c r="W136" i="25" s="1"/>
  <c r="X136" i="25" a="1"/>
  <c r="X136" i="25" s="1"/>
  <c r="K137" i="25" a="1"/>
  <c r="K137" i="25" s="1"/>
  <c r="L137" i="25" a="1"/>
  <c r="L137" i="25" s="1"/>
  <c r="M137" i="25" a="1"/>
  <c r="M137" i="25" s="1"/>
  <c r="N137" i="25" a="1"/>
  <c r="N137" i="25" s="1"/>
  <c r="O137" i="25" a="1"/>
  <c r="O137" i="25" s="1"/>
  <c r="P137" i="25" a="1"/>
  <c r="P137" i="25" s="1"/>
  <c r="Q137" i="25" a="1"/>
  <c r="Q137" i="25" s="1"/>
  <c r="R137" i="25" a="1"/>
  <c r="R137" i="25" s="1"/>
  <c r="U137" i="25" a="1"/>
  <c r="U137" i="25" s="1"/>
  <c r="V137" i="25" a="1"/>
  <c r="V137" i="25" s="1"/>
  <c r="W137" i="25" a="1"/>
  <c r="W137" i="25" s="1"/>
  <c r="X137" i="25" a="1"/>
  <c r="X137" i="25" s="1"/>
  <c r="K138" i="25" a="1"/>
  <c r="K138" i="25" s="1"/>
  <c r="L138" i="25" a="1"/>
  <c r="L138" i="25" s="1"/>
  <c r="M138" i="25" a="1"/>
  <c r="M138" i="25" s="1"/>
  <c r="N138" i="25" a="1"/>
  <c r="N138" i="25" s="1"/>
  <c r="O138" i="25" a="1"/>
  <c r="O138" i="25" s="1"/>
  <c r="P138" i="25" a="1"/>
  <c r="P138" i="25" s="1"/>
  <c r="Q138" i="25" a="1"/>
  <c r="Q138" i="25" s="1"/>
  <c r="R138" i="25" a="1"/>
  <c r="R138" i="25" s="1"/>
  <c r="U138" i="25" a="1"/>
  <c r="U138" i="25" s="1"/>
  <c r="V138" i="25" a="1"/>
  <c r="V138" i="25" s="1"/>
  <c r="W138" i="25" a="1"/>
  <c r="W138" i="25" s="1"/>
  <c r="X138" i="25" a="1"/>
  <c r="X138" i="25" s="1"/>
  <c r="K139" i="25" a="1"/>
  <c r="K139" i="25" s="1"/>
  <c r="L139" i="25" a="1"/>
  <c r="L139" i="25" s="1"/>
  <c r="M139" i="25" a="1"/>
  <c r="M139" i="25" s="1"/>
  <c r="N139" i="25" a="1"/>
  <c r="N139" i="25" s="1"/>
  <c r="O139" i="25" a="1"/>
  <c r="O139" i="25" s="1"/>
  <c r="P139" i="25" a="1"/>
  <c r="P139" i="25" s="1"/>
  <c r="Q139" i="25" a="1"/>
  <c r="Q139" i="25" s="1"/>
  <c r="R139" i="25" a="1"/>
  <c r="R139" i="25" s="1"/>
  <c r="U139" i="25" a="1"/>
  <c r="U139" i="25" s="1"/>
  <c r="V139" i="25" a="1"/>
  <c r="V139" i="25" s="1"/>
  <c r="W139" i="25" a="1"/>
  <c r="W139" i="25" s="1"/>
  <c r="X139" i="25" a="1"/>
  <c r="X139" i="25" s="1"/>
  <c r="K140" i="25" a="1"/>
  <c r="K140" i="25" s="1"/>
  <c r="L140" i="25" a="1"/>
  <c r="L140" i="25" s="1"/>
  <c r="M140" i="25" a="1"/>
  <c r="M140" i="25" s="1"/>
  <c r="N140" i="25" a="1"/>
  <c r="N140" i="25" s="1"/>
  <c r="O140" i="25" a="1"/>
  <c r="O140" i="25" s="1"/>
  <c r="P140" i="25" a="1"/>
  <c r="P140" i="25" s="1"/>
  <c r="Q140" i="25" a="1"/>
  <c r="Q140" i="25" s="1"/>
  <c r="R140" i="25" a="1"/>
  <c r="R140" i="25" s="1"/>
  <c r="U140" i="25" a="1"/>
  <c r="U140" i="25" s="1"/>
  <c r="V140" i="25" a="1"/>
  <c r="V140" i="25" s="1"/>
  <c r="W140" i="25" a="1"/>
  <c r="W140" i="25" s="1"/>
  <c r="X140" i="25" a="1"/>
  <c r="X140" i="25" s="1"/>
  <c r="K141" i="25" a="1"/>
  <c r="K141" i="25" s="1"/>
  <c r="L141" i="25" a="1"/>
  <c r="L141" i="25" s="1"/>
  <c r="M141" i="25" a="1"/>
  <c r="M141" i="25" s="1"/>
  <c r="N141" i="25" a="1"/>
  <c r="N141" i="25" s="1"/>
  <c r="O141" i="25" a="1"/>
  <c r="O141" i="25" s="1"/>
  <c r="P141" i="25" a="1"/>
  <c r="P141" i="25" s="1"/>
  <c r="Q141" i="25" a="1"/>
  <c r="Q141" i="25" s="1"/>
  <c r="R141" i="25" a="1"/>
  <c r="R141" i="25" s="1"/>
  <c r="U141" i="25" a="1"/>
  <c r="U141" i="25" s="1"/>
  <c r="V141" i="25" a="1"/>
  <c r="V141" i="25" s="1"/>
  <c r="W141" i="25" a="1"/>
  <c r="W141" i="25" s="1"/>
  <c r="X141" i="25" a="1"/>
  <c r="X141" i="25" s="1"/>
  <c r="K142" i="25" a="1"/>
  <c r="K142" i="25" s="1"/>
  <c r="L142" i="25" a="1"/>
  <c r="L142" i="25" s="1"/>
  <c r="M142" i="25" a="1"/>
  <c r="M142" i="25" s="1"/>
  <c r="N142" i="25" a="1"/>
  <c r="N142" i="25" s="1"/>
  <c r="O142" i="25" a="1"/>
  <c r="O142" i="25" s="1"/>
  <c r="P142" i="25" a="1"/>
  <c r="P142" i="25" s="1"/>
  <c r="Q142" i="25" a="1"/>
  <c r="Q142" i="25" s="1"/>
  <c r="R142" i="25" a="1"/>
  <c r="R142" i="25" s="1"/>
  <c r="U142" i="25" a="1"/>
  <c r="U142" i="25" s="1"/>
  <c r="V142" i="25" a="1"/>
  <c r="V142" i="25" s="1"/>
  <c r="W142" i="25" a="1"/>
  <c r="W142" i="25" s="1"/>
  <c r="X142" i="25" a="1"/>
  <c r="X142" i="25" s="1"/>
  <c r="K143" i="25" a="1"/>
  <c r="K143" i="25" s="1"/>
  <c r="L143" i="25" a="1"/>
  <c r="L143" i="25" s="1"/>
  <c r="M143" i="25" a="1"/>
  <c r="M143" i="25" s="1"/>
  <c r="N143" i="25" a="1"/>
  <c r="N143" i="25" s="1"/>
  <c r="O143" i="25" a="1"/>
  <c r="O143" i="25" s="1"/>
  <c r="P143" i="25" a="1"/>
  <c r="P143" i="25" s="1"/>
  <c r="Q143" i="25" a="1"/>
  <c r="Q143" i="25" s="1"/>
  <c r="R143" i="25" a="1"/>
  <c r="R143" i="25" s="1"/>
  <c r="U143" i="25" a="1"/>
  <c r="U143" i="25" s="1"/>
  <c r="V143" i="25" a="1"/>
  <c r="V143" i="25" s="1"/>
  <c r="W143" i="25" a="1"/>
  <c r="W143" i="25" s="1"/>
  <c r="X143" i="25" a="1"/>
  <c r="X143" i="25" s="1"/>
  <c r="K144" i="25" a="1"/>
  <c r="K144" i="25" s="1"/>
  <c r="L144" i="25" a="1"/>
  <c r="L144" i="25" s="1"/>
  <c r="M144" i="25" a="1"/>
  <c r="M144" i="25" s="1"/>
  <c r="N144" i="25" a="1"/>
  <c r="N144" i="25" s="1"/>
  <c r="O144" i="25" a="1"/>
  <c r="O144" i="25" s="1"/>
  <c r="P144" i="25" a="1"/>
  <c r="P144" i="25" s="1"/>
  <c r="Q144" i="25" a="1"/>
  <c r="Q144" i="25" s="1"/>
  <c r="R144" i="25" a="1"/>
  <c r="R144" i="25" s="1"/>
  <c r="U144" i="25" a="1"/>
  <c r="U144" i="25" s="1"/>
  <c r="V144" i="25" a="1"/>
  <c r="V144" i="25" s="1"/>
  <c r="W144" i="25" a="1"/>
  <c r="W144" i="25" s="1"/>
  <c r="X144" i="25" a="1"/>
  <c r="X144" i="25" s="1"/>
  <c r="K145" i="25" a="1"/>
  <c r="K145" i="25" s="1"/>
  <c r="L145" i="25" a="1"/>
  <c r="L145" i="25" s="1"/>
  <c r="M145" i="25" a="1"/>
  <c r="M145" i="25" s="1"/>
  <c r="N145" i="25" a="1"/>
  <c r="N145" i="25" s="1"/>
  <c r="O145" i="25" a="1"/>
  <c r="O145" i="25" s="1"/>
  <c r="P145" i="25" a="1"/>
  <c r="P145" i="25" s="1"/>
  <c r="Q145" i="25" a="1"/>
  <c r="Q145" i="25" s="1"/>
  <c r="R145" i="25" a="1"/>
  <c r="R145" i="25" s="1"/>
  <c r="U145" i="25" a="1"/>
  <c r="U145" i="25" s="1"/>
  <c r="V145" i="25" a="1"/>
  <c r="V145" i="25" s="1"/>
  <c r="W145" i="25" a="1"/>
  <c r="W145" i="25" s="1"/>
  <c r="X145" i="25" a="1"/>
  <c r="X145" i="25" s="1"/>
  <c r="K146" i="25" a="1"/>
  <c r="K146" i="25" s="1"/>
  <c r="L146" i="25" a="1"/>
  <c r="L146" i="25" s="1"/>
  <c r="M146" i="25" a="1"/>
  <c r="M146" i="25" s="1"/>
  <c r="N146" i="25" a="1"/>
  <c r="N146" i="25" s="1"/>
  <c r="O146" i="25" a="1"/>
  <c r="O146" i="25" s="1"/>
  <c r="P146" i="25" a="1"/>
  <c r="P146" i="25" s="1"/>
  <c r="Q146" i="25" a="1"/>
  <c r="Q146" i="25" s="1"/>
  <c r="R146" i="25" a="1"/>
  <c r="R146" i="25" s="1"/>
  <c r="U146" i="25" a="1"/>
  <c r="U146" i="25" s="1"/>
  <c r="V146" i="25" a="1"/>
  <c r="V146" i="25" s="1"/>
  <c r="W146" i="25" a="1"/>
  <c r="W146" i="25" s="1"/>
  <c r="X146" i="25" a="1"/>
  <c r="X146" i="25" s="1"/>
  <c r="K147" i="25" a="1"/>
  <c r="K147" i="25" s="1"/>
  <c r="L147" i="25" a="1"/>
  <c r="L147" i="25" s="1"/>
  <c r="M147" i="25" a="1"/>
  <c r="M147" i="25" s="1"/>
  <c r="N147" i="25" a="1"/>
  <c r="N147" i="25" s="1"/>
  <c r="O147" i="25" a="1"/>
  <c r="O147" i="25" s="1"/>
  <c r="P147" i="25" a="1"/>
  <c r="P147" i="25" s="1"/>
  <c r="Q147" i="25" a="1"/>
  <c r="Q147" i="25" s="1"/>
  <c r="R147" i="25" a="1"/>
  <c r="R147" i="25" s="1"/>
  <c r="U147" i="25" a="1"/>
  <c r="U147" i="25" s="1"/>
  <c r="V147" i="25" a="1"/>
  <c r="V147" i="25" s="1"/>
  <c r="W147" i="25" a="1"/>
  <c r="W147" i="25" s="1"/>
  <c r="X147" i="25" a="1"/>
  <c r="X147" i="25" s="1"/>
  <c r="K148" i="25" a="1"/>
  <c r="K148" i="25" s="1"/>
  <c r="L148" i="25" a="1"/>
  <c r="L148" i="25" s="1"/>
  <c r="M148" i="25" a="1"/>
  <c r="M148" i="25" s="1"/>
  <c r="N148" i="25" a="1"/>
  <c r="N148" i="25" s="1"/>
  <c r="O148" i="25" a="1"/>
  <c r="O148" i="25" s="1"/>
  <c r="P148" i="25" a="1"/>
  <c r="P148" i="25" s="1"/>
  <c r="Q148" i="25" a="1"/>
  <c r="Q148" i="25" s="1"/>
  <c r="R148" i="25" a="1"/>
  <c r="R148" i="25" s="1"/>
  <c r="U148" i="25" a="1"/>
  <c r="U148" i="25" s="1"/>
  <c r="V148" i="25" a="1"/>
  <c r="V148" i="25" s="1"/>
  <c r="W148" i="25" a="1"/>
  <c r="W148" i="25" s="1"/>
  <c r="X148" i="25" a="1"/>
  <c r="X148" i="25" s="1"/>
  <c r="K149" i="25" a="1"/>
  <c r="K149" i="25" s="1"/>
  <c r="L149" i="25" a="1"/>
  <c r="L149" i="25" s="1"/>
  <c r="M149" i="25" a="1"/>
  <c r="M149" i="25" s="1"/>
  <c r="N149" i="25" a="1"/>
  <c r="N149" i="25" s="1"/>
  <c r="O149" i="25" a="1"/>
  <c r="O149" i="25" s="1"/>
  <c r="P149" i="25" a="1"/>
  <c r="P149" i="25" s="1"/>
  <c r="Q149" i="25" a="1"/>
  <c r="Q149" i="25" s="1"/>
  <c r="R149" i="25" a="1"/>
  <c r="R149" i="25" s="1"/>
  <c r="U149" i="25" a="1"/>
  <c r="U149" i="25" s="1"/>
  <c r="V149" i="25" a="1"/>
  <c r="V149" i="25" s="1"/>
  <c r="W149" i="25" a="1"/>
  <c r="W149" i="25" s="1"/>
  <c r="X149" i="25" a="1"/>
  <c r="X149" i="25" s="1"/>
  <c r="K150" i="25" a="1"/>
  <c r="K150" i="25" s="1"/>
  <c r="L150" i="25" a="1"/>
  <c r="L150" i="25" s="1"/>
  <c r="M150" i="25" a="1"/>
  <c r="M150" i="25" s="1"/>
  <c r="N150" i="25" a="1"/>
  <c r="N150" i="25" s="1"/>
  <c r="O150" i="25" a="1"/>
  <c r="O150" i="25" s="1"/>
  <c r="P150" i="25" a="1"/>
  <c r="P150" i="25" s="1"/>
  <c r="Q150" i="25" a="1"/>
  <c r="Q150" i="25" s="1"/>
  <c r="R150" i="25" a="1"/>
  <c r="R150" i="25" s="1"/>
  <c r="U150" i="25" a="1"/>
  <c r="U150" i="25" s="1"/>
  <c r="V150" i="25" a="1"/>
  <c r="V150" i="25" s="1"/>
  <c r="W150" i="25" a="1"/>
  <c r="W150" i="25" s="1"/>
  <c r="X150" i="25" a="1"/>
  <c r="X150" i="25" s="1"/>
  <c r="K151" i="25" a="1"/>
  <c r="K151" i="25" s="1"/>
  <c r="L151" i="25" a="1"/>
  <c r="L151" i="25" s="1"/>
  <c r="M151" i="25" a="1"/>
  <c r="M151" i="25" s="1"/>
  <c r="N151" i="25" a="1"/>
  <c r="N151" i="25" s="1"/>
  <c r="O151" i="25" a="1"/>
  <c r="O151" i="25" s="1"/>
  <c r="P151" i="25" a="1"/>
  <c r="P151" i="25" s="1"/>
  <c r="Q151" i="25" a="1"/>
  <c r="Q151" i="25" s="1"/>
  <c r="R151" i="25" a="1"/>
  <c r="R151" i="25" s="1"/>
  <c r="U151" i="25" a="1"/>
  <c r="U151" i="25" s="1"/>
  <c r="V151" i="25" a="1"/>
  <c r="V151" i="25" s="1"/>
  <c r="W151" i="25" a="1"/>
  <c r="W151" i="25" s="1"/>
  <c r="X151" i="25" a="1"/>
  <c r="X151" i="25" s="1"/>
  <c r="K152" i="25" a="1"/>
  <c r="K152" i="25" s="1"/>
  <c r="L152" i="25" a="1"/>
  <c r="L152" i="25" s="1"/>
  <c r="M152" i="25" a="1"/>
  <c r="M152" i="25" s="1"/>
  <c r="N152" i="25" a="1"/>
  <c r="N152" i="25" s="1"/>
  <c r="O152" i="25" a="1"/>
  <c r="O152" i="25" s="1"/>
  <c r="P152" i="25" a="1"/>
  <c r="P152" i="25" s="1"/>
  <c r="Q152" i="25" a="1"/>
  <c r="Q152" i="25" s="1"/>
  <c r="R152" i="25" a="1"/>
  <c r="R152" i="25" s="1"/>
  <c r="U152" i="25" a="1"/>
  <c r="U152" i="25" s="1"/>
  <c r="V152" i="25" a="1"/>
  <c r="V152" i="25" s="1"/>
  <c r="W152" i="25" a="1"/>
  <c r="W152" i="25" s="1"/>
  <c r="X152" i="25" a="1"/>
  <c r="X152" i="25" s="1"/>
  <c r="K153" i="25" a="1"/>
  <c r="K153" i="25" s="1"/>
  <c r="L153" i="25" a="1"/>
  <c r="L153" i="25" s="1"/>
  <c r="M153" i="25" a="1"/>
  <c r="M153" i="25" s="1"/>
  <c r="N153" i="25" a="1"/>
  <c r="N153" i="25" s="1"/>
  <c r="O153" i="25" a="1"/>
  <c r="O153" i="25" s="1"/>
  <c r="P153" i="25" a="1"/>
  <c r="P153" i="25" s="1"/>
  <c r="Q153" i="25" a="1"/>
  <c r="Q153" i="25" s="1"/>
  <c r="R153" i="25" a="1"/>
  <c r="R153" i="25" s="1"/>
  <c r="U153" i="25" a="1"/>
  <c r="U153" i="25" s="1"/>
  <c r="V153" i="25" a="1"/>
  <c r="V153" i="25" s="1"/>
  <c r="W153" i="25" a="1"/>
  <c r="W153" i="25" s="1"/>
  <c r="X153" i="25" a="1"/>
  <c r="X153" i="25" s="1"/>
  <c r="K154" i="25" a="1"/>
  <c r="K154" i="25" s="1"/>
  <c r="L154" i="25" a="1"/>
  <c r="L154" i="25" s="1"/>
  <c r="M154" i="25" a="1"/>
  <c r="M154" i="25" s="1"/>
  <c r="N154" i="25" a="1"/>
  <c r="N154" i="25" s="1"/>
  <c r="O154" i="25" a="1"/>
  <c r="O154" i="25" s="1"/>
  <c r="P154" i="25" a="1"/>
  <c r="P154" i="25" s="1"/>
  <c r="Q154" i="25" a="1"/>
  <c r="Q154" i="25" s="1"/>
  <c r="R154" i="25" a="1"/>
  <c r="R154" i="25" s="1"/>
  <c r="U154" i="25" a="1"/>
  <c r="U154" i="25" s="1"/>
  <c r="V154" i="25" a="1"/>
  <c r="V154" i="25" s="1"/>
  <c r="W154" i="25" a="1"/>
  <c r="W154" i="25" s="1"/>
  <c r="X154" i="25" a="1"/>
  <c r="X154" i="25" s="1"/>
  <c r="K155" i="25" a="1"/>
  <c r="K155" i="25" s="1"/>
  <c r="L155" i="25" a="1"/>
  <c r="L155" i="25" s="1"/>
  <c r="M155" i="25" a="1"/>
  <c r="M155" i="25" s="1"/>
  <c r="N155" i="25" a="1"/>
  <c r="N155" i="25" s="1"/>
  <c r="O155" i="25" a="1"/>
  <c r="O155" i="25" s="1"/>
  <c r="P155" i="25" a="1"/>
  <c r="P155" i="25" s="1"/>
  <c r="Q155" i="25" a="1"/>
  <c r="Q155" i="25" s="1"/>
  <c r="R155" i="25" a="1"/>
  <c r="R155" i="25" s="1"/>
  <c r="U155" i="25" a="1"/>
  <c r="U155" i="25" s="1"/>
  <c r="V155" i="25" a="1"/>
  <c r="V155" i="25" s="1"/>
  <c r="W155" i="25" a="1"/>
  <c r="W155" i="25" s="1"/>
  <c r="X155" i="25" a="1"/>
  <c r="X155" i="25" s="1"/>
  <c r="K156" i="25" a="1"/>
  <c r="K156" i="25" s="1"/>
  <c r="L156" i="25" a="1"/>
  <c r="L156" i="25" s="1"/>
  <c r="M156" i="25" a="1"/>
  <c r="M156" i="25" s="1"/>
  <c r="N156" i="25" a="1"/>
  <c r="N156" i="25" s="1"/>
  <c r="O156" i="25" a="1"/>
  <c r="O156" i="25" s="1"/>
  <c r="P156" i="25" a="1"/>
  <c r="P156" i="25" s="1"/>
  <c r="Q156" i="25" a="1"/>
  <c r="Q156" i="25" s="1"/>
  <c r="R156" i="25" a="1"/>
  <c r="R156" i="25" s="1"/>
  <c r="U156" i="25" a="1"/>
  <c r="U156" i="25" s="1"/>
  <c r="V156" i="25" a="1"/>
  <c r="V156" i="25" s="1"/>
  <c r="W156" i="25" a="1"/>
  <c r="W156" i="25" s="1"/>
  <c r="X156" i="25" a="1"/>
  <c r="X156" i="25" s="1"/>
  <c r="K157" i="25" a="1"/>
  <c r="K157" i="25" s="1"/>
  <c r="L157" i="25" a="1"/>
  <c r="L157" i="25" s="1"/>
  <c r="M157" i="25" a="1"/>
  <c r="M157" i="25" s="1"/>
  <c r="N157" i="25" a="1"/>
  <c r="N157" i="25" s="1"/>
  <c r="O157" i="25" a="1"/>
  <c r="O157" i="25" s="1"/>
  <c r="P157" i="25" a="1"/>
  <c r="P157" i="25" s="1"/>
  <c r="Q157" i="25" a="1"/>
  <c r="Q157" i="25" s="1"/>
  <c r="R157" i="25" a="1"/>
  <c r="R157" i="25" s="1"/>
  <c r="U157" i="25" a="1"/>
  <c r="U157" i="25" s="1"/>
  <c r="V157" i="25" a="1"/>
  <c r="V157" i="25" s="1"/>
  <c r="W157" i="25" a="1"/>
  <c r="W157" i="25" s="1"/>
  <c r="X157" i="25" a="1"/>
  <c r="X157" i="25" s="1"/>
  <c r="K158" i="25" a="1"/>
  <c r="K158" i="25" s="1"/>
  <c r="L158" i="25" a="1"/>
  <c r="L158" i="25" s="1"/>
  <c r="M158" i="25" a="1"/>
  <c r="M158" i="25" s="1"/>
  <c r="N158" i="25" a="1"/>
  <c r="N158" i="25" s="1"/>
  <c r="O158" i="25" a="1"/>
  <c r="O158" i="25" s="1"/>
  <c r="P158" i="25" a="1"/>
  <c r="P158" i="25" s="1"/>
  <c r="Q158" i="25" a="1"/>
  <c r="Q158" i="25" s="1"/>
  <c r="R158" i="25" a="1"/>
  <c r="R158" i="25" s="1"/>
  <c r="U158" i="25" a="1"/>
  <c r="U158" i="25" s="1"/>
  <c r="V158" i="25" a="1"/>
  <c r="V158" i="25" s="1"/>
  <c r="W158" i="25" a="1"/>
  <c r="W158" i="25" s="1"/>
  <c r="X158" i="25" a="1"/>
  <c r="X158" i="25" s="1"/>
  <c r="K159" i="25" a="1"/>
  <c r="K159" i="25" s="1"/>
  <c r="L159" i="25" a="1"/>
  <c r="L159" i="25" s="1"/>
  <c r="M159" i="25" a="1"/>
  <c r="M159" i="25" s="1"/>
  <c r="N159" i="25" a="1"/>
  <c r="N159" i="25" s="1"/>
  <c r="O159" i="25" a="1"/>
  <c r="O159" i="25" s="1"/>
  <c r="P159" i="25" a="1"/>
  <c r="P159" i="25" s="1"/>
  <c r="Q159" i="25" a="1"/>
  <c r="Q159" i="25" s="1"/>
  <c r="R159" i="25" a="1"/>
  <c r="R159" i="25" s="1"/>
  <c r="U159" i="25" a="1"/>
  <c r="U159" i="25" s="1"/>
  <c r="V159" i="25" a="1"/>
  <c r="V159" i="25" s="1"/>
  <c r="W159" i="25" a="1"/>
  <c r="W159" i="25" s="1"/>
  <c r="X159" i="25" a="1"/>
  <c r="X159" i="25" s="1"/>
  <c r="K160" i="25" a="1"/>
  <c r="K160" i="25" s="1"/>
  <c r="L160" i="25" a="1"/>
  <c r="L160" i="25" s="1"/>
  <c r="M160" i="25" a="1"/>
  <c r="M160" i="25" s="1"/>
  <c r="N160" i="25" a="1"/>
  <c r="N160" i="25" s="1"/>
  <c r="O160" i="25" a="1"/>
  <c r="O160" i="25" s="1"/>
  <c r="P160" i="25" a="1"/>
  <c r="P160" i="25" s="1"/>
  <c r="Q160" i="25" a="1"/>
  <c r="Q160" i="25" s="1"/>
  <c r="R160" i="25" a="1"/>
  <c r="R160" i="25" s="1"/>
  <c r="U160" i="25" a="1"/>
  <c r="U160" i="25" s="1"/>
  <c r="V160" i="25" a="1"/>
  <c r="V160" i="25" s="1"/>
  <c r="W160" i="25" a="1"/>
  <c r="W160" i="25" s="1"/>
  <c r="X160" i="25" a="1"/>
  <c r="X160" i="25" s="1"/>
  <c r="K161" i="25" a="1"/>
  <c r="K161" i="25" s="1"/>
  <c r="L161" i="25" a="1"/>
  <c r="L161" i="25" s="1"/>
  <c r="M161" i="25" a="1"/>
  <c r="M161" i="25" s="1"/>
  <c r="N161" i="25" a="1"/>
  <c r="N161" i="25" s="1"/>
  <c r="O161" i="25" a="1"/>
  <c r="O161" i="25" s="1"/>
  <c r="P161" i="25" a="1"/>
  <c r="P161" i="25" s="1"/>
  <c r="Q161" i="25" a="1"/>
  <c r="Q161" i="25" s="1"/>
  <c r="R161" i="25" a="1"/>
  <c r="R161" i="25" s="1"/>
  <c r="U161" i="25" a="1"/>
  <c r="U161" i="25" s="1"/>
  <c r="V161" i="25" a="1"/>
  <c r="V161" i="25" s="1"/>
  <c r="W161" i="25" a="1"/>
  <c r="W161" i="25" s="1"/>
  <c r="X161" i="25" a="1"/>
  <c r="X161" i="25" s="1"/>
  <c r="K162" i="25" a="1"/>
  <c r="K162" i="25" s="1"/>
  <c r="L162" i="25" a="1"/>
  <c r="L162" i="25" s="1"/>
  <c r="M162" i="25" a="1"/>
  <c r="M162" i="25" s="1"/>
  <c r="N162" i="25" a="1"/>
  <c r="N162" i="25" s="1"/>
  <c r="O162" i="25" a="1"/>
  <c r="O162" i="25" s="1"/>
  <c r="P162" i="25" a="1"/>
  <c r="P162" i="25" s="1"/>
  <c r="Q162" i="25" a="1"/>
  <c r="Q162" i="25" s="1"/>
  <c r="R162" i="25" a="1"/>
  <c r="R162" i="25" s="1"/>
  <c r="U162" i="25" a="1"/>
  <c r="U162" i="25" s="1"/>
  <c r="V162" i="25" a="1"/>
  <c r="V162" i="25" s="1"/>
  <c r="W162" i="25" a="1"/>
  <c r="W162" i="25" s="1"/>
  <c r="X162" i="25" a="1"/>
  <c r="X162" i="25" s="1"/>
  <c r="K163" i="25" a="1"/>
  <c r="K163" i="25" s="1"/>
  <c r="L163" i="25" a="1"/>
  <c r="L163" i="25" s="1"/>
  <c r="M163" i="25" a="1"/>
  <c r="M163" i="25" s="1"/>
  <c r="N163" i="25" a="1"/>
  <c r="N163" i="25" s="1"/>
  <c r="O163" i="25" a="1"/>
  <c r="O163" i="25" s="1"/>
  <c r="P163" i="25" a="1"/>
  <c r="P163" i="25" s="1"/>
  <c r="Q163" i="25" a="1"/>
  <c r="Q163" i="25" s="1"/>
  <c r="R163" i="25" a="1"/>
  <c r="R163" i="25" s="1"/>
  <c r="U163" i="25" a="1"/>
  <c r="U163" i="25" s="1"/>
  <c r="V163" i="25" a="1"/>
  <c r="V163" i="25" s="1"/>
  <c r="W163" i="25" a="1"/>
  <c r="W163" i="25" s="1"/>
  <c r="X163" i="25" a="1"/>
  <c r="X163" i="25" s="1"/>
  <c r="K164" i="25" a="1"/>
  <c r="K164" i="25" s="1"/>
  <c r="L164" i="25" a="1"/>
  <c r="L164" i="25" s="1"/>
  <c r="M164" i="25" a="1"/>
  <c r="M164" i="25" s="1"/>
  <c r="N164" i="25" a="1"/>
  <c r="N164" i="25" s="1"/>
  <c r="O164" i="25" a="1"/>
  <c r="O164" i="25" s="1"/>
  <c r="P164" i="25" a="1"/>
  <c r="P164" i="25" s="1"/>
  <c r="Q164" i="25" a="1"/>
  <c r="Q164" i="25" s="1"/>
  <c r="R164" i="25" a="1"/>
  <c r="R164" i="25" s="1"/>
  <c r="U164" i="25" a="1"/>
  <c r="U164" i="25" s="1"/>
  <c r="V164" i="25" a="1"/>
  <c r="V164" i="25" s="1"/>
  <c r="W164" i="25" a="1"/>
  <c r="W164" i="25" s="1"/>
  <c r="X164" i="25" a="1"/>
  <c r="X164" i="25" s="1"/>
  <c r="K165" i="25" a="1"/>
  <c r="K165" i="25" s="1"/>
  <c r="L165" i="25" a="1"/>
  <c r="L165" i="25" s="1"/>
  <c r="M165" i="25" a="1"/>
  <c r="M165" i="25" s="1"/>
  <c r="N165" i="25" a="1"/>
  <c r="N165" i="25" s="1"/>
  <c r="O165" i="25" a="1"/>
  <c r="O165" i="25" s="1"/>
  <c r="P165" i="25" a="1"/>
  <c r="P165" i="25" s="1"/>
  <c r="Q165" i="25" a="1"/>
  <c r="Q165" i="25" s="1"/>
  <c r="R165" i="25" a="1"/>
  <c r="R165" i="25" s="1"/>
  <c r="U165" i="25" a="1"/>
  <c r="U165" i="25" s="1"/>
  <c r="V165" i="25" a="1"/>
  <c r="V165" i="25" s="1"/>
  <c r="W165" i="25" a="1"/>
  <c r="W165" i="25" s="1"/>
  <c r="X165" i="25" a="1"/>
  <c r="X165" i="25" s="1"/>
  <c r="K166" i="25" a="1"/>
  <c r="K166" i="25" s="1"/>
  <c r="L166" i="25" a="1"/>
  <c r="L166" i="25" s="1"/>
  <c r="M166" i="25" a="1"/>
  <c r="M166" i="25" s="1"/>
  <c r="N166" i="25" a="1"/>
  <c r="N166" i="25" s="1"/>
  <c r="O166" i="25" a="1"/>
  <c r="O166" i="25" s="1"/>
  <c r="P166" i="25" a="1"/>
  <c r="P166" i="25" s="1"/>
  <c r="Q166" i="25" a="1"/>
  <c r="Q166" i="25" s="1"/>
  <c r="R166" i="25" a="1"/>
  <c r="R166" i="25" s="1"/>
  <c r="U166" i="25" a="1"/>
  <c r="U166" i="25" s="1"/>
  <c r="V166" i="25" a="1"/>
  <c r="V166" i="25" s="1"/>
  <c r="W166" i="25" a="1"/>
  <c r="W166" i="25" s="1"/>
  <c r="X166" i="25" a="1"/>
  <c r="X166" i="25" s="1"/>
  <c r="K167" i="25" a="1"/>
  <c r="K167" i="25" s="1"/>
  <c r="L167" i="25" a="1"/>
  <c r="L167" i="25" s="1"/>
  <c r="M167" i="25" a="1"/>
  <c r="M167" i="25" s="1"/>
  <c r="N167" i="25" a="1"/>
  <c r="N167" i="25" s="1"/>
  <c r="O167" i="25" a="1"/>
  <c r="O167" i="25" s="1"/>
  <c r="P167" i="25" a="1"/>
  <c r="P167" i="25" s="1"/>
  <c r="Q167" i="25" a="1"/>
  <c r="Q167" i="25" s="1"/>
  <c r="R167" i="25" a="1"/>
  <c r="R167" i="25" s="1"/>
  <c r="U167" i="25" a="1"/>
  <c r="U167" i="25" s="1"/>
  <c r="V167" i="25" a="1"/>
  <c r="V167" i="25" s="1"/>
  <c r="W167" i="25" a="1"/>
  <c r="W167" i="25" s="1"/>
  <c r="X167" i="25" a="1"/>
  <c r="X167" i="25" s="1"/>
  <c r="K168" i="25" a="1"/>
  <c r="K168" i="25" s="1"/>
  <c r="L168" i="25" a="1"/>
  <c r="L168" i="25" s="1"/>
  <c r="M168" i="25" a="1"/>
  <c r="M168" i="25" s="1"/>
  <c r="N168" i="25" a="1"/>
  <c r="N168" i="25" s="1"/>
  <c r="O168" i="25" a="1"/>
  <c r="O168" i="25" s="1"/>
  <c r="P168" i="25" a="1"/>
  <c r="P168" i="25" s="1"/>
  <c r="Q168" i="25" a="1"/>
  <c r="Q168" i="25" s="1"/>
  <c r="R168" i="25" a="1"/>
  <c r="R168" i="25" s="1"/>
  <c r="U168" i="25" a="1"/>
  <c r="U168" i="25" s="1"/>
  <c r="V168" i="25" a="1"/>
  <c r="V168" i="25" s="1"/>
  <c r="W168" i="25" a="1"/>
  <c r="W168" i="25" s="1"/>
  <c r="X168" i="25" a="1"/>
  <c r="X168" i="25" s="1"/>
  <c r="K169" i="25" a="1"/>
  <c r="K169" i="25" s="1"/>
  <c r="L169" i="25" a="1"/>
  <c r="L169" i="25" s="1"/>
  <c r="M169" i="25" a="1"/>
  <c r="M169" i="25" s="1"/>
  <c r="N169" i="25" a="1"/>
  <c r="N169" i="25" s="1"/>
  <c r="O169" i="25" a="1"/>
  <c r="O169" i="25" s="1"/>
  <c r="P169" i="25" a="1"/>
  <c r="P169" i="25" s="1"/>
  <c r="Q169" i="25" a="1"/>
  <c r="Q169" i="25" s="1"/>
  <c r="R169" i="25" a="1"/>
  <c r="R169" i="25" s="1"/>
  <c r="U169" i="25" a="1"/>
  <c r="U169" i="25" s="1"/>
  <c r="V169" i="25" a="1"/>
  <c r="V169" i="25" s="1"/>
  <c r="W169" i="25" a="1"/>
  <c r="W169" i="25" s="1"/>
  <c r="X169" i="25" a="1"/>
  <c r="X169" i="25" s="1"/>
  <c r="K170" i="25" a="1"/>
  <c r="K170" i="25" s="1"/>
  <c r="L170" i="25" a="1"/>
  <c r="L170" i="25" s="1"/>
  <c r="M170" i="25" a="1"/>
  <c r="M170" i="25" s="1"/>
  <c r="N170" i="25" a="1"/>
  <c r="N170" i="25" s="1"/>
  <c r="O170" i="25" a="1"/>
  <c r="O170" i="25" s="1"/>
  <c r="P170" i="25" a="1"/>
  <c r="P170" i="25" s="1"/>
  <c r="Q170" i="25" a="1"/>
  <c r="Q170" i="25" s="1"/>
  <c r="R170" i="25" a="1"/>
  <c r="R170" i="25" s="1"/>
  <c r="U170" i="25" a="1"/>
  <c r="U170" i="25" s="1"/>
  <c r="V170" i="25" a="1"/>
  <c r="V170" i="25" s="1"/>
  <c r="W170" i="25" a="1"/>
  <c r="W170" i="25" s="1"/>
  <c r="X170" i="25" a="1"/>
  <c r="X170" i="25" s="1"/>
  <c r="K171" i="25" a="1"/>
  <c r="K171" i="25" s="1"/>
  <c r="L171" i="25" a="1"/>
  <c r="L171" i="25" s="1"/>
  <c r="M171" i="25" a="1"/>
  <c r="M171" i="25" s="1"/>
  <c r="N171" i="25" a="1"/>
  <c r="N171" i="25" s="1"/>
  <c r="O171" i="25" a="1"/>
  <c r="O171" i="25" s="1"/>
  <c r="P171" i="25" a="1"/>
  <c r="P171" i="25" s="1"/>
  <c r="Q171" i="25" a="1"/>
  <c r="Q171" i="25" s="1"/>
  <c r="R171" i="25" a="1"/>
  <c r="R171" i="25" s="1"/>
  <c r="U171" i="25" a="1"/>
  <c r="U171" i="25" s="1"/>
  <c r="V171" i="25" a="1"/>
  <c r="V171" i="25" s="1"/>
  <c r="W171" i="25" a="1"/>
  <c r="W171" i="25" s="1"/>
  <c r="X171" i="25" a="1"/>
  <c r="X171" i="25" s="1"/>
  <c r="K172" i="25" a="1"/>
  <c r="K172" i="25" s="1"/>
  <c r="L172" i="25" a="1"/>
  <c r="L172" i="25" s="1"/>
  <c r="M172" i="25" a="1"/>
  <c r="M172" i="25" s="1"/>
  <c r="N172" i="25" a="1"/>
  <c r="N172" i="25" s="1"/>
  <c r="O172" i="25" a="1"/>
  <c r="O172" i="25" s="1"/>
  <c r="P172" i="25" a="1"/>
  <c r="P172" i="25" s="1"/>
  <c r="Q172" i="25" a="1"/>
  <c r="Q172" i="25" s="1"/>
  <c r="R172" i="25" a="1"/>
  <c r="R172" i="25" s="1"/>
  <c r="U172" i="25" a="1"/>
  <c r="U172" i="25" s="1"/>
  <c r="V172" i="25" a="1"/>
  <c r="V172" i="25" s="1"/>
  <c r="W172" i="25" a="1"/>
  <c r="W172" i="25" s="1"/>
  <c r="X172" i="25" a="1"/>
  <c r="X172" i="25" s="1"/>
  <c r="K173" i="25" a="1"/>
  <c r="K173" i="25" s="1"/>
  <c r="L173" i="25" a="1"/>
  <c r="L173" i="25" s="1"/>
  <c r="M173" i="25" a="1"/>
  <c r="M173" i="25" s="1"/>
  <c r="N173" i="25" a="1"/>
  <c r="N173" i="25" s="1"/>
  <c r="O173" i="25" a="1"/>
  <c r="O173" i="25" s="1"/>
  <c r="P173" i="25" a="1"/>
  <c r="P173" i="25" s="1"/>
  <c r="Q173" i="25" a="1"/>
  <c r="Q173" i="25" s="1"/>
  <c r="R173" i="25" a="1"/>
  <c r="R173" i="25" s="1"/>
  <c r="U173" i="25" a="1"/>
  <c r="U173" i="25" s="1"/>
  <c r="V173" i="25" a="1"/>
  <c r="V173" i="25" s="1"/>
  <c r="W173" i="25" a="1"/>
  <c r="W173" i="25" s="1"/>
  <c r="X173" i="25" a="1"/>
  <c r="X173" i="25" s="1"/>
  <c r="K174" i="25" a="1"/>
  <c r="K174" i="25" s="1"/>
  <c r="L174" i="25" a="1"/>
  <c r="L174" i="25" s="1"/>
  <c r="M174" i="25" a="1"/>
  <c r="M174" i="25" s="1"/>
  <c r="N174" i="25" a="1"/>
  <c r="N174" i="25" s="1"/>
  <c r="O174" i="25" a="1"/>
  <c r="O174" i="25" s="1"/>
  <c r="P174" i="25" a="1"/>
  <c r="P174" i="25" s="1"/>
  <c r="Q174" i="25" a="1"/>
  <c r="Q174" i="25" s="1"/>
  <c r="R174" i="25" a="1"/>
  <c r="R174" i="25" s="1"/>
  <c r="U174" i="25" a="1"/>
  <c r="U174" i="25" s="1"/>
  <c r="V174" i="25" a="1"/>
  <c r="V174" i="25" s="1"/>
  <c r="W174" i="25" a="1"/>
  <c r="W174" i="25" s="1"/>
  <c r="X174" i="25" a="1"/>
  <c r="X174" i="25" s="1"/>
  <c r="K175" i="25" a="1"/>
  <c r="K175" i="25" s="1"/>
  <c r="L175" i="25" a="1"/>
  <c r="L175" i="25" s="1"/>
  <c r="M175" i="25" a="1"/>
  <c r="M175" i="25" s="1"/>
  <c r="N175" i="25" a="1"/>
  <c r="N175" i="25" s="1"/>
  <c r="O175" i="25" a="1"/>
  <c r="O175" i="25" s="1"/>
  <c r="P175" i="25" a="1"/>
  <c r="P175" i="25" s="1"/>
  <c r="Q175" i="25" a="1"/>
  <c r="Q175" i="25" s="1"/>
  <c r="R175" i="25" a="1"/>
  <c r="R175" i="25" s="1"/>
  <c r="U175" i="25" a="1"/>
  <c r="U175" i="25" s="1"/>
  <c r="V175" i="25" a="1"/>
  <c r="V175" i="25" s="1"/>
  <c r="W175" i="25" a="1"/>
  <c r="W175" i="25" s="1"/>
  <c r="X175" i="25" a="1"/>
  <c r="X175" i="25" s="1"/>
  <c r="K176" i="25" a="1"/>
  <c r="K176" i="25" s="1"/>
  <c r="L176" i="25" a="1"/>
  <c r="L176" i="25" s="1"/>
  <c r="M176" i="25" a="1"/>
  <c r="M176" i="25" s="1"/>
  <c r="N176" i="25" a="1"/>
  <c r="N176" i="25" s="1"/>
  <c r="O176" i="25" a="1"/>
  <c r="O176" i="25" s="1"/>
  <c r="P176" i="25" a="1"/>
  <c r="P176" i="25" s="1"/>
  <c r="Q176" i="25" a="1"/>
  <c r="Q176" i="25" s="1"/>
  <c r="R176" i="25" a="1"/>
  <c r="R176" i="25" s="1"/>
  <c r="U176" i="25" a="1"/>
  <c r="U176" i="25" s="1"/>
  <c r="V176" i="25" a="1"/>
  <c r="V176" i="25" s="1"/>
  <c r="W176" i="25" a="1"/>
  <c r="W176" i="25" s="1"/>
  <c r="X176" i="25" a="1"/>
  <c r="X176" i="25" s="1"/>
  <c r="K177" i="25" a="1"/>
  <c r="K177" i="25" s="1"/>
  <c r="L177" i="25" a="1"/>
  <c r="L177" i="25" s="1"/>
  <c r="M177" i="25" a="1"/>
  <c r="M177" i="25" s="1"/>
  <c r="N177" i="25" a="1"/>
  <c r="N177" i="25" s="1"/>
  <c r="O177" i="25" a="1"/>
  <c r="O177" i="25" s="1"/>
  <c r="P177" i="25" a="1"/>
  <c r="P177" i="25" s="1"/>
  <c r="Q177" i="25" a="1"/>
  <c r="Q177" i="25" s="1"/>
  <c r="R177" i="25" a="1"/>
  <c r="R177" i="25" s="1"/>
  <c r="U177" i="25" a="1"/>
  <c r="U177" i="25" s="1"/>
  <c r="V177" i="25" a="1"/>
  <c r="V177" i="25" s="1"/>
  <c r="W177" i="25" a="1"/>
  <c r="W177" i="25" s="1"/>
  <c r="X177" i="25" a="1"/>
  <c r="X177" i="25" s="1"/>
  <c r="K178" i="25" a="1"/>
  <c r="K178" i="25" s="1"/>
  <c r="L178" i="25" a="1"/>
  <c r="L178" i="25" s="1"/>
  <c r="M178" i="25" a="1"/>
  <c r="M178" i="25" s="1"/>
  <c r="N178" i="25" a="1"/>
  <c r="N178" i="25" s="1"/>
  <c r="O178" i="25" a="1"/>
  <c r="O178" i="25" s="1"/>
  <c r="P178" i="25" a="1"/>
  <c r="P178" i="25" s="1"/>
  <c r="Q178" i="25" a="1"/>
  <c r="Q178" i="25" s="1"/>
  <c r="R178" i="25" a="1"/>
  <c r="R178" i="25" s="1"/>
  <c r="U178" i="25" a="1"/>
  <c r="U178" i="25" s="1"/>
  <c r="V178" i="25" a="1"/>
  <c r="V178" i="25" s="1"/>
  <c r="W178" i="25" a="1"/>
  <c r="W178" i="25" s="1"/>
  <c r="X178" i="25" a="1"/>
  <c r="X178" i="25" s="1"/>
  <c r="K179" i="25" a="1"/>
  <c r="K179" i="25" s="1"/>
  <c r="L179" i="25" a="1"/>
  <c r="L179" i="25" s="1"/>
  <c r="M179" i="25" a="1"/>
  <c r="M179" i="25" s="1"/>
  <c r="N179" i="25" a="1"/>
  <c r="N179" i="25" s="1"/>
  <c r="O179" i="25" a="1"/>
  <c r="O179" i="25" s="1"/>
  <c r="P179" i="25" a="1"/>
  <c r="P179" i="25" s="1"/>
  <c r="Q179" i="25" a="1"/>
  <c r="Q179" i="25" s="1"/>
  <c r="R179" i="25" a="1"/>
  <c r="R179" i="25" s="1"/>
  <c r="U179" i="25" a="1"/>
  <c r="U179" i="25" s="1"/>
  <c r="V179" i="25" a="1"/>
  <c r="V179" i="25" s="1"/>
  <c r="W179" i="25" a="1"/>
  <c r="W179" i="25" s="1"/>
  <c r="X179" i="25" a="1"/>
  <c r="X179" i="25" s="1"/>
  <c r="K180" i="25" a="1"/>
  <c r="K180" i="25" s="1"/>
  <c r="L180" i="25" a="1"/>
  <c r="L180" i="25" s="1"/>
  <c r="M180" i="25" a="1"/>
  <c r="M180" i="25" s="1"/>
  <c r="N180" i="25" a="1"/>
  <c r="N180" i="25" s="1"/>
  <c r="O180" i="25" a="1"/>
  <c r="O180" i="25" s="1"/>
  <c r="P180" i="25" a="1"/>
  <c r="P180" i="25" s="1"/>
  <c r="Q180" i="25" a="1"/>
  <c r="Q180" i="25" s="1"/>
  <c r="R180" i="25" a="1"/>
  <c r="R180" i="25" s="1"/>
  <c r="U180" i="25" a="1"/>
  <c r="U180" i="25" s="1"/>
  <c r="V180" i="25" a="1"/>
  <c r="V180" i="25" s="1"/>
  <c r="W180" i="25" a="1"/>
  <c r="W180" i="25" s="1"/>
  <c r="X180" i="25" a="1"/>
  <c r="X180" i="25" s="1"/>
  <c r="K181" i="25" a="1"/>
  <c r="K181" i="25" s="1"/>
  <c r="L181" i="25" a="1"/>
  <c r="L181" i="25" s="1"/>
  <c r="M181" i="25" a="1"/>
  <c r="M181" i="25" s="1"/>
  <c r="N181" i="25" a="1"/>
  <c r="N181" i="25" s="1"/>
  <c r="O181" i="25" a="1"/>
  <c r="O181" i="25" s="1"/>
  <c r="P181" i="25" a="1"/>
  <c r="P181" i="25" s="1"/>
  <c r="Q181" i="25" a="1"/>
  <c r="Q181" i="25" s="1"/>
  <c r="R181" i="25" a="1"/>
  <c r="R181" i="25" s="1"/>
  <c r="U181" i="25" a="1"/>
  <c r="U181" i="25" s="1"/>
  <c r="V181" i="25" a="1"/>
  <c r="V181" i="25" s="1"/>
  <c r="W181" i="25" a="1"/>
  <c r="W181" i="25" s="1"/>
  <c r="X181" i="25" a="1"/>
  <c r="X181" i="25" s="1"/>
  <c r="K182" i="25" a="1"/>
  <c r="K182" i="25" s="1"/>
  <c r="L182" i="25" a="1"/>
  <c r="L182" i="25" s="1"/>
  <c r="M182" i="25" a="1"/>
  <c r="M182" i="25" s="1"/>
  <c r="N182" i="25" a="1"/>
  <c r="N182" i="25" s="1"/>
  <c r="O182" i="25" a="1"/>
  <c r="O182" i="25" s="1"/>
  <c r="P182" i="25" a="1"/>
  <c r="P182" i="25" s="1"/>
  <c r="Q182" i="25" a="1"/>
  <c r="Q182" i="25" s="1"/>
  <c r="R182" i="25" a="1"/>
  <c r="R182" i="25" s="1"/>
  <c r="U182" i="25" a="1"/>
  <c r="U182" i="25" s="1"/>
  <c r="V182" i="25" a="1"/>
  <c r="V182" i="25" s="1"/>
  <c r="W182" i="25" a="1"/>
  <c r="W182" i="25" s="1"/>
  <c r="X182" i="25" a="1"/>
  <c r="X182" i="25" s="1"/>
  <c r="K183" i="25" a="1"/>
  <c r="K183" i="25" s="1"/>
  <c r="L183" i="25" a="1"/>
  <c r="L183" i="25" s="1"/>
  <c r="M183" i="25" a="1"/>
  <c r="M183" i="25" s="1"/>
  <c r="N183" i="25" a="1"/>
  <c r="N183" i="25" s="1"/>
  <c r="O183" i="25" a="1"/>
  <c r="O183" i="25" s="1"/>
  <c r="P183" i="25" a="1"/>
  <c r="P183" i="25" s="1"/>
  <c r="Q183" i="25" a="1"/>
  <c r="Q183" i="25" s="1"/>
  <c r="R183" i="25" a="1"/>
  <c r="R183" i="25" s="1"/>
  <c r="U183" i="25" a="1"/>
  <c r="U183" i="25" s="1"/>
  <c r="V183" i="25" a="1"/>
  <c r="V183" i="25" s="1"/>
  <c r="W183" i="25" a="1"/>
  <c r="W183" i="25" s="1"/>
  <c r="X183" i="25" a="1"/>
  <c r="X183" i="25" s="1"/>
  <c r="K184" i="25" a="1"/>
  <c r="K184" i="25" s="1"/>
  <c r="L184" i="25" a="1"/>
  <c r="L184" i="25" s="1"/>
  <c r="M184" i="25" a="1"/>
  <c r="M184" i="25" s="1"/>
  <c r="N184" i="25" a="1"/>
  <c r="N184" i="25" s="1"/>
  <c r="O184" i="25" a="1"/>
  <c r="O184" i="25" s="1"/>
  <c r="P184" i="25" a="1"/>
  <c r="P184" i="25" s="1"/>
  <c r="Q184" i="25" a="1"/>
  <c r="Q184" i="25" s="1"/>
  <c r="R184" i="25" a="1"/>
  <c r="R184" i="25" s="1"/>
  <c r="U184" i="25" a="1"/>
  <c r="U184" i="25" s="1"/>
  <c r="V184" i="25" a="1"/>
  <c r="V184" i="25" s="1"/>
  <c r="W184" i="25" a="1"/>
  <c r="W184" i="25" s="1"/>
  <c r="X184" i="25" a="1"/>
  <c r="X184" i="25" s="1"/>
  <c r="K185" i="25" a="1"/>
  <c r="K185" i="25" s="1"/>
  <c r="L185" i="25" a="1"/>
  <c r="L185" i="25" s="1"/>
  <c r="M185" i="25" a="1"/>
  <c r="M185" i="25" s="1"/>
  <c r="N185" i="25" a="1"/>
  <c r="N185" i="25" s="1"/>
  <c r="O185" i="25" a="1"/>
  <c r="O185" i="25" s="1"/>
  <c r="P185" i="25" a="1"/>
  <c r="P185" i="25" s="1"/>
  <c r="Q185" i="25" a="1"/>
  <c r="Q185" i="25" s="1"/>
  <c r="R185" i="25" a="1"/>
  <c r="R185" i="25" s="1"/>
  <c r="U185" i="25" a="1"/>
  <c r="U185" i="25" s="1"/>
  <c r="V185" i="25" a="1"/>
  <c r="V185" i="25" s="1"/>
  <c r="W185" i="25" a="1"/>
  <c r="W185" i="25" s="1"/>
  <c r="X185" i="25" a="1"/>
  <c r="X185" i="25" s="1"/>
  <c r="K186" i="25" a="1"/>
  <c r="K186" i="25" s="1"/>
  <c r="L186" i="25" a="1"/>
  <c r="L186" i="25" s="1"/>
  <c r="M186" i="25" a="1"/>
  <c r="M186" i="25" s="1"/>
  <c r="N186" i="25" a="1"/>
  <c r="N186" i="25" s="1"/>
  <c r="O186" i="25" a="1"/>
  <c r="O186" i="25" s="1"/>
  <c r="P186" i="25" a="1"/>
  <c r="P186" i="25" s="1"/>
  <c r="Q186" i="25" a="1"/>
  <c r="Q186" i="25" s="1"/>
  <c r="R186" i="25" a="1"/>
  <c r="R186" i="25" s="1"/>
  <c r="U186" i="25" a="1"/>
  <c r="U186" i="25" s="1"/>
  <c r="V186" i="25" a="1"/>
  <c r="V186" i="25" s="1"/>
  <c r="W186" i="25" a="1"/>
  <c r="W186" i="25" s="1"/>
  <c r="X186" i="25" a="1"/>
  <c r="X186" i="25" s="1"/>
  <c r="K187" i="25" a="1"/>
  <c r="K187" i="25" s="1"/>
  <c r="L187" i="25" a="1"/>
  <c r="L187" i="25" s="1"/>
  <c r="M187" i="25" a="1"/>
  <c r="M187" i="25" s="1"/>
  <c r="N187" i="25" a="1"/>
  <c r="N187" i="25" s="1"/>
  <c r="O187" i="25" a="1"/>
  <c r="O187" i="25" s="1"/>
  <c r="P187" i="25" a="1"/>
  <c r="P187" i="25" s="1"/>
  <c r="Q187" i="25" a="1"/>
  <c r="Q187" i="25" s="1"/>
  <c r="R187" i="25" a="1"/>
  <c r="R187" i="25" s="1"/>
  <c r="U187" i="25" a="1"/>
  <c r="U187" i="25" s="1"/>
  <c r="V187" i="25" a="1"/>
  <c r="V187" i="25" s="1"/>
  <c r="W187" i="25" a="1"/>
  <c r="W187" i="25" s="1"/>
  <c r="X187" i="25" a="1"/>
  <c r="X187" i="25" s="1"/>
  <c r="K188" i="25" a="1"/>
  <c r="K188" i="25" s="1"/>
  <c r="L188" i="25" a="1"/>
  <c r="L188" i="25" s="1"/>
  <c r="M188" i="25" a="1"/>
  <c r="M188" i="25" s="1"/>
  <c r="N188" i="25" a="1"/>
  <c r="N188" i="25" s="1"/>
  <c r="O188" i="25" a="1"/>
  <c r="O188" i="25" s="1"/>
  <c r="P188" i="25" a="1"/>
  <c r="P188" i="25" s="1"/>
  <c r="Q188" i="25" a="1"/>
  <c r="Q188" i="25" s="1"/>
  <c r="R188" i="25" a="1"/>
  <c r="R188" i="25" s="1"/>
  <c r="U188" i="25" a="1"/>
  <c r="U188" i="25" s="1"/>
  <c r="V188" i="25" a="1"/>
  <c r="V188" i="25" s="1"/>
  <c r="W188" i="25" a="1"/>
  <c r="W188" i="25" s="1"/>
  <c r="X188" i="25" a="1"/>
  <c r="X188" i="25" s="1"/>
  <c r="K189" i="25" a="1"/>
  <c r="K189" i="25" s="1"/>
  <c r="L189" i="25" a="1"/>
  <c r="L189" i="25" s="1"/>
  <c r="M189" i="25" a="1"/>
  <c r="M189" i="25" s="1"/>
  <c r="N189" i="25" a="1"/>
  <c r="N189" i="25" s="1"/>
  <c r="O189" i="25" a="1"/>
  <c r="O189" i="25" s="1"/>
  <c r="P189" i="25" a="1"/>
  <c r="P189" i="25" s="1"/>
  <c r="Q189" i="25" a="1"/>
  <c r="Q189" i="25" s="1"/>
  <c r="R189" i="25" a="1"/>
  <c r="R189" i="25" s="1"/>
  <c r="U189" i="25" a="1"/>
  <c r="U189" i="25" s="1"/>
  <c r="V189" i="25" a="1"/>
  <c r="V189" i="25" s="1"/>
  <c r="W189" i="25" a="1"/>
  <c r="W189" i="25" s="1"/>
  <c r="X189" i="25" a="1"/>
  <c r="X189" i="25" s="1"/>
  <c r="K190" i="25" a="1"/>
  <c r="K190" i="25" s="1"/>
  <c r="L190" i="25" a="1"/>
  <c r="L190" i="25" s="1"/>
  <c r="M190" i="25" a="1"/>
  <c r="M190" i="25" s="1"/>
  <c r="N190" i="25" a="1"/>
  <c r="N190" i="25" s="1"/>
  <c r="O190" i="25" a="1"/>
  <c r="O190" i="25" s="1"/>
  <c r="P190" i="25" a="1"/>
  <c r="P190" i="25" s="1"/>
  <c r="Q190" i="25" a="1"/>
  <c r="Q190" i="25" s="1"/>
  <c r="R190" i="25" a="1"/>
  <c r="R190" i="25" s="1"/>
  <c r="U190" i="25" a="1"/>
  <c r="U190" i="25" s="1"/>
  <c r="V190" i="25" a="1"/>
  <c r="V190" i="25" s="1"/>
  <c r="W190" i="25" a="1"/>
  <c r="W190" i="25" s="1"/>
  <c r="X190" i="25" a="1"/>
  <c r="X190" i="25" s="1"/>
  <c r="K191" i="25" a="1"/>
  <c r="K191" i="25" s="1"/>
  <c r="L191" i="25" a="1"/>
  <c r="L191" i="25" s="1"/>
  <c r="M191" i="25" a="1"/>
  <c r="M191" i="25" s="1"/>
  <c r="N191" i="25" a="1"/>
  <c r="N191" i="25" s="1"/>
  <c r="O191" i="25" a="1"/>
  <c r="O191" i="25" s="1"/>
  <c r="P191" i="25" a="1"/>
  <c r="P191" i="25" s="1"/>
  <c r="Q191" i="25" a="1"/>
  <c r="Q191" i="25" s="1"/>
  <c r="R191" i="25" a="1"/>
  <c r="R191" i="25" s="1"/>
  <c r="U191" i="25" a="1"/>
  <c r="U191" i="25" s="1"/>
  <c r="V191" i="25" a="1"/>
  <c r="V191" i="25" s="1"/>
  <c r="W191" i="25" a="1"/>
  <c r="W191" i="25" s="1"/>
  <c r="X191" i="25" a="1"/>
  <c r="X191" i="25" s="1"/>
  <c r="K192" i="25" a="1"/>
  <c r="K192" i="25" s="1"/>
  <c r="L192" i="25" a="1"/>
  <c r="L192" i="25" s="1"/>
  <c r="M192" i="25" a="1"/>
  <c r="M192" i="25" s="1"/>
  <c r="N192" i="25" a="1"/>
  <c r="N192" i="25" s="1"/>
  <c r="O192" i="25" a="1"/>
  <c r="O192" i="25" s="1"/>
  <c r="P192" i="25" a="1"/>
  <c r="P192" i="25" s="1"/>
  <c r="Q192" i="25" a="1"/>
  <c r="Q192" i="25" s="1"/>
  <c r="R192" i="25" a="1"/>
  <c r="R192" i="25" s="1"/>
  <c r="U192" i="25" a="1"/>
  <c r="U192" i="25" s="1"/>
  <c r="V192" i="25" a="1"/>
  <c r="V192" i="25" s="1"/>
  <c r="W192" i="25" a="1"/>
  <c r="W192" i="25" s="1"/>
  <c r="X192" i="25" a="1"/>
  <c r="X192" i="25" s="1"/>
  <c r="K193" i="25" a="1"/>
  <c r="K193" i="25" s="1"/>
  <c r="L193" i="25" a="1"/>
  <c r="L193" i="25" s="1"/>
  <c r="M193" i="25" a="1"/>
  <c r="M193" i="25" s="1"/>
  <c r="N193" i="25" a="1"/>
  <c r="N193" i="25" s="1"/>
  <c r="O193" i="25" a="1"/>
  <c r="O193" i="25" s="1"/>
  <c r="P193" i="25" a="1"/>
  <c r="P193" i="25" s="1"/>
  <c r="Q193" i="25" a="1"/>
  <c r="Q193" i="25" s="1"/>
  <c r="R193" i="25" a="1"/>
  <c r="R193" i="25" s="1"/>
  <c r="U193" i="25" a="1"/>
  <c r="U193" i="25" s="1"/>
  <c r="V193" i="25" a="1"/>
  <c r="V193" i="25" s="1"/>
  <c r="W193" i="25" a="1"/>
  <c r="W193" i="25" s="1"/>
  <c r="X193" i="25" a="1"/>
  <c r="X193" i="25" s="1"/>
  <c r="K194" i="25" a="1"/>
  <c r="K194" i="25" s="1"/>
  <c r="L194" i="25" a="1"/>
  <c r="L194" i="25" s="1"/>
  <c r="M194" i="25" a="1"/>
  <c r="M194" i="25" s="1"/>
  <c r="N194" i="25" a="1"/>
  <c r="N194" i="25" s="1"/>
  <c r="O194" i="25" a="1"/>
  <c r="O194" i="25" s="1"/>
  <c r="P194" i="25" a="1"/>
  <c r="P194" i="25" s="1"/>
  <c r="Q194" i="25" a="1"/>
  <c r="Q194" i="25" s="1"/>
  <c r="R194" i="25" a="1"/>
  <c r="R194" i="25" s="1"/>
  <c r="U194" i="25" a="1"/>
  <c r="U194" i="25" s="1"/>
  <c r="V194" i="25" a="1"/>
  <c r="V194" i="25" s="1"/>
  <c r="W194" i="25" a="1"/>
  <c r="W194" i="25" s="1"/>
  <c r="X194" i="25" a="1"/>
  <c r="X194" i="25" s="1"/>
  <c r="K195" i="25" a="1"/>
  <c r="K195" i="25" s="1"/>
  <c r="L195" i="25" a="1"/>
  <c r="L195" i="25" s="1"/>
  <c r="M195" i="25" a="1"/>
  <c r="M195" i="25" s="1"/>
  <c r="N195" i="25" a="1"/>
  <c r="N195" i="25" s="1"/>
  <c r="O195" i="25" a="1"/>
  <c r="O195" i="25" s="1"/>
  <c r="P195" i="25" a="1"/>
  <c r="P195" i="25" s="1"/>
  <c r="Q195" i="25" a="1"/>
  <c r="Q195" i="25" s="1"/>
  <c r="R195" i="25" a="1"/>
  <c r="R195" i="25" s="1"/>
  <c r="U195" i="25" a="1"/>
  <c r="U195" i="25" s="1"/>
  <c r="V195" i="25" a="1"/>
  <c r="V195" i="25" s="1"/>
  <c r="W195" i="25" a="1"/>
  <c r="W195" i="25" s="1"/>
  <c r="X195" i="25" a="1"/>
  <c r="X195" i="25" s="1"/>
  <c r="K196" i="25" a="1"/>
  <c r="K196" i="25" s="1"/>
  <c r="L196" i="25" a="1"/>
  <c r="L196" i="25" s="1"/>
  <c r="M196" i="25" a="1"/>
  <c r="M196" i="25" s="1"/>
  <c r="N196" i="25" a="1"/>
  <c r="N196" i="25" s="1"/>
  <c r="O196" i="25" a="1"/>
  <c r="O196" i="25" s="1"/>
  <c r="P196" i="25" a="1"/>
  <c r="P196" i="25" s="1"/>
  <c r="Q196" i="25" a="1"/>
  <c r="Q196" i="25" s="1"/>
  <c r="R196" i="25" a="1"/>
  <c r="R196" i="25" s="1"/>
  <c r="U196" i="25" a="1"/>
  <c r="U196" i="25" s="1"/>
  <c r="V196" i="25" a="1"/>
  <c r="V196" i="25" s="1"/>
  <c r="W196" i="25" a="1"/>
  <c r="W196" i="25" s="1"/>
  <c r="X196" i="25" a="1"/>
  <c r="X196" i="25" s="1"/>
  <c r="K197" i="25" a="1"/>
  <c r="K197" i="25" s="1"/>
  <c r="L197" i="25" a="1"/>
  <c r="L197" i="25" s="1"/>
  <c r="M197" i="25" a="1"/>
  <c r="M197" i="25" s="1"/>
  <c r="N197" i="25" a="1"/>
  <c r="N197" i="25" s="1"/>
  <c r="O197" i="25" a="1"/>
  <c r="O197" i="25" s="1"/>
  <c r="P197" i="25" a="1"/>
  <c r="P197" i="25" s="1"/>
  <c r="Q197" i="25" a="1"/>
  <c r="Q197" i="25" s="1"/>
  <c r="R197" i="25" a="1"/>
  <c r="R197" i="25" s="1"/>
  <c r="U197" i="25" a="1"/>
  <c r="U197" i="25" s="1"/>
  <c r="V197" i="25" a="1"/>
  <c r="V197" i="25" s="1"/>
  <c r="W197" i="25" a="1"/>
  <c r="W197" i="25" s="1"/>
  <c r="X197" i="25" a="1"/>
  <c r="X197" i="25" s="1"/>
  <c r="K198" i="25" a="1"/>
  <c r="K198" i="25" s="1"/>
  <c r="L198" i="25" a="1"/>
  <c r="L198" i="25" s="1"/>
  <c r="M198" i="25" a="1"/>
  <c r="M198" i="25" s="1"/>
  <c r="N198" i="25" a="1"/>
  <c r="N198" i="25" s="1"/>
  <c r="O198" i="25" a="1"/>
  <c r="O198" i="25" s="1"/>
  <c r="P198" i="25" a="1"/>
  <c r="P198" i="25" s="1"/>
  <c r="Q198" i="25" a="1"/>
  <c r="Q198" i="25" s="1"/>
  <c r="R198" i="25" a="1"/>
  <c r="R198" i="25" s="1"/>
  <c r="U198" i="25" a="1"/>
  <c r="U198" i="25" s="1"/>
  <c r="V198" i="25" a="1"/>
  <c r="V198" i="25" s="1"/>
  <c r="W198" i="25" a="1"/>
  <c r="W198" i="25" s="1"/>
  <c r="X198" i="25" a="1"/>
  <c r="X198" i="25" s="1"/>
  <c r="K199" i="25" a="1"/>
  <c r="K199" i="25" s="1"/>
  <c r="L199" i="25" a="1"/>
  <c r="L199" i="25" s="1"/>
  <c r="M199" i="25" a="1"/>
  <c r="M199" i="25" s="1"/>
  <c r="N199" i="25" a="1"/>
  <c r="N199" i="25" s="1"/>
  <c r="O199" i="25" a="1"/>
  <c r="O199" i="25" s="1"/>
  <c r="P199" i="25" a="1"/>
  <c r="P199" i="25" s="1"/>
  <c r="Q199" i="25" a="1"/>
  <c r="Q199" i="25" s="1"/>
  <c r="R199" i="25" a="1"/>
  <c r="R199" i="25" s="1"/>
  <c r="U199" i="25" a="1"/>
  <c r="U199" i="25" s="1"/>
  <c r="V199" i="25" a="1"/>
  <c r="V199" i="25" s="1"/>
  <c r="W199" i="25" a="1"/>
  <c r="W199" i="25" s="1"/>
  <c r="X199" i="25" a="1"/>
  <c r="X199" i="25" s="1"/>
  <c r="K200" i="25" a="1"/>
  <c r="K200" i="25" s="1"/>
  <c r="L200" i="25" a="1"/>
  <c r="L200" i="25" s="1"/>
  <c r="M200" i="25" a="1"/>
  <c r="M200" i="25" s="1"/>
  <c r="N200" i="25" a="1"/>
  <c r="N200" i="25" s="1"/>
  <c r="O200" i="25" a="1"/>
  <c r="O200" i="25" s="1"/>
  <c r="P200" i="25" a="1"/>
  <c r="P200" i="25" s="1"/>
  <c r="Q200" i="25" a="1"/>
  <c r="Q200" i="25" s="1"/>
  <c r="R200" i="25" a="1"/>
  <c r="R200" i="25" s="1"/>
  <c r="U200" i="25" a="1"/>
  <c r="U200" i="25" s="1"/>
  <c r="V200" i="25" a="1"/>
  <c r="V200" i="25" s="1"/>
  <c r="W200" i="25" a="1"/>
  <c r="W200" i="25" s="1"/>
  <c r="X200" i="25" a="1"/>
  <c r="X200" i="25" s="1"/>
  <c r="K201" i="25" a="1"/>
  <c r="K201" i="25" s="1"/>
  <c r="L201" i="25" a="1"/>
  <c r="L201" i="25" s="1"/>
  <c r="M201" i="25" a="1"/>
  <c r="M201" i="25" s="1"/>
  <c r="N201" i="25" a="1"/>
  <c r="N201" i="25" s="1"/>
  <c r="O201" i="25" a="1"/>
  <c r="O201" i="25" s="1"/>
  <c r="P201" i="25" a="1"/>
  <c r="P201" i="25" s="1"/>
  <c r="Q201" i="25" a="1"/>
  <c r="Q201" i="25" s="1"/>
  <c r="R201" i="25" a="1"/>
  <c r="R201" i="25" s="1"/>
  <c r="U201" i="25" a="1"/>
  <c r="U201" i="25" s="1"/>
  <c r="V201" i="25" a="1"/>
  <c r="V201" i="25" s="1"/>
  <c r="W201" i="25" a="1"/>
  <c r="W201" i="25" s="1"/>
  <c r="X201" i="25" a="1"/>
  <c r="X201" i="25" s="1"/>
  <c r="K202" i="25" a="1"/>
  <c r="K202" i="25" s="1"/>
  <c r="L202" i="25" a="1"/>
  <c r="L202" i="25" s="1"/>
  <c r="M202" i="25" a="1"/>
  <c r="M202" i="25" s="1"/>
  <c r="N202" i="25" a="1"/>
  <c r="N202" i="25" s="1"/>
  <c r="O202" i="25" a="1"/>
  <c r="O202" i="25" s="1"/>
  <c r="P202" i="25" a="1"/>
  <c r="P202" i="25" s="1"/>
  <c r="Q202" i="25" a="1"/>
  <c r="Q202" i="25" s="1"/>
  <c r="R202" i="25" a="1"/>
  <c r="R202" i="25" s="1"/>
  <c r="U202" i="25" a="1"/>
  <c r="U202" i="25" s="1"/>
  <c r="V202" i="25" a="1"/>
  <c r="V202" i="25" s="1"/>
  <c r="W202" i="25" a="1"/>
  <c r="W202" i="25" s="1"/>
  <c r="X202" i="25" a="1"/>
  <c r="X202" i="25" s="1"/>
  <c r="K203" i="25" a="1"/>
  <c r="K203" i="25" s="1"/>
  <c r="L203" i="25" a="1"/>
  <c r="L203" i="25" s="1"/>
  <c r="M203" i="25" a="1"/>
  <c r="M203" i="25" s="1"/>
  <c r="N203" i="25" a="1"/>
  <c r="N203" i="25" s="1"/>
  <c r="O203" i="25" a="1"/>
  <c r="O203" i="25" s="1"/>
  <c r="P203" i="25" a="1"/>
  <c r="P203" i="25" s="1"/>
  <c r="Q203" i="25" a="1"/>
  <c r="Q203" i="25" s="1"/>
  <c r="R203" i="25" a="1"/>
  <c r="R203" i="25" s="1"/>
  <c r="U203" i="25" a="1"/>
  <c r="U203" i="25" s="1"/>
  <c r="V203" i="25" a="1"/>
  <c r="V203" i="25" s="1"/>
  <c r="W203" i="25" a="1"/>
  <c r="W203" i="25" s="1"/>
  <c r="X203" i="25" a="1"/>
  <c r="X203" i="25" s="1"/>
  <c r="K204" i="25" a="1"/>
  <c r="K204" i="25" s="1"/>
  <c r="L204" i="25" a="1"/>
  <c r="L204" i="25" s="1"/>
  <c r="M204" i="25" a="1"/>
  <c r="M204" i="25" s="1"/>
  <c r="N204" i="25" a="1"/>
  <c r="N204" i="25" s="1"/>
  <c r="O204" i="25" a="1"/>
  <c r="O204" i="25" s="1"/>
  <c r="P204" i="25" a="1"/>
  <c r="P204" i="25" s="1"/>
  <c r="Q204" i="25" a="1"/>
  <c r="Q204" i="25" s="1"/>
  <c r="R204" i="25" a="1"/>
  <c r="R204" i="25" s="1"/>
  <c r="U204" i="25" a="1"/>
  <c r="U204" i="25" s="1"/>
  <c r="V204" i="25" a="1"/>
  <c r="V204" i="25" s="1"/>
  <c r="W204" i="25" a="1"/>
  <c r="W204" i="25" s="1"/>
  <c r="X204" i="25" a="1"/>
  <c r="X204" i="25" s="1"/>
  <c r="K205" i="25" a="1"/>
  <c r="K205" i="25" s="1"/>
  <c r="L205" i="25" a="1"/>
  <c r="L205" i="25" s="1"/>
  <c r="M205" i="25" a="1"/>
  <c r="M205" i="25" s="1"/>
  <c r="N205" i="25" a="1"/>
  <c r="N205" i="25" s="1"/>
  <c r="O205" i="25" a="1"/>
  <c r="O205" i="25" s="1"/>
  <c r="P205" i="25" a="1"/>
  <c r="P205" i="25" s="1"/>
  <c r="Q205" i="25" a="1"/>
  <c r="Q205" i="25" s="1"/>
  <c r="R205" i="25" a="1"/>
  <c r="R205" i="25" s="1"/>
  <c r="U205" i="25" a="1"/>
  <c r="U205" i="25" s="1"/>
  <c r="V205" i="25" a="1"/>
  <c r="V205" i="25" s="1"/>
  <c r="W205" i="25" a="1"/>
  <c r="W205" i="25" s="1"/>
  <c r="X205" i="25" a="1"/>
  <c r="X205" i="25" s="1"/>
  <c r="K206" i="25" a="1"/>
  <c r="K206" i="25" s="1"/>
  <c r="L206" i="25" a="1"/>
  <c r="L206" i="25" s="1"/>
  <c r="M206" i="25" a="1"/>
  <c r="M206" i="25" s="1"/>
  <c r="N206" i="25" a="1"/>
  <c r="N206" i="25" s="1"/>
  <c r="O206" i="25" a="1"/>
  <c r="O206" i="25" s="1"/>
  <c r="P206" i="25" a="1"/>
  <c r="P206" i="25" s="1"/>
  <c r="Q206" i="25" a="1"/>
  <c r="Q206" i="25" s="1"/>
  <c r="R206" i="25" a="1"/>
  <c r="R206" i="25" s="1"/>
  <c r="U206" i="25" a="1"/>
  <c r="U206" i="25" s="1"/>
  <c r="V206" i="25" a="1"/>
  <c r="V206" i="25" s="1"/>
  <c r="W206" i="25" a="1"/>
  <c r="W206" i="25" s="1"/>
  <c r="X206" i="25" a="1"/>
  <c r="X206" i="25" s="1"/>
  <c r="K207" i="25" a="1"/>
  <c r="K207" i="25" s="1"/>
  <c r="L207" i="25" a="1"/>
  <c r="L207" i="25" s="1"/>
  <c r="M207" i="25" a="1"/>
  <c r="M207" i="25" s="1"/>
  <c r="N207" i="25" a="1"/>
  <c r="N207" i="25" s="1"/>
  <c r="O207" i="25" a="1"/>
  <c r="O207" i="25" s="1"/>
  <c r="P207" i="25" a="1"/>
  <c r="P207" i="25" s="1"/>
  <c r="Q207" i="25" a="1"/>
  <c r="Q207" i="25" s="1"/>
  <c r="R207" i="25" a="1"/>
  <c r="R207" i="25" s="1"/>
  <c r="U207" i="25" a="1"/>
  <c r="U207" i="25" s="1"/>
  <c r="V207" i="25" a="1"/>
  <c r="V207" i="25" s="1"/>
  <c r="W207" i="25" a="1"/>
  <c r="W207" i="25" s="1"/>
  <c r="X207" i="25" a="1"/>
  <c r="X207" i="25" s="1"/>
  <c r="K208" i="25" a="1"/>
  <c r="K208" i="25" s="1"/>
  <c r="L208" i="25" a="1"/>
  <c r="L208" i="25" s="1"/>
  <c r="M208" i="25" a="1"/>
  <c r="M208" i="25" s="1"/>
  <c r="N208" i="25" a="1"/>
  <c r="N208" i="25" s="1"/>
  <c r="O208" i="25" a="1"/>
  <c r="O208" i="25" s="1"/>
  <c r="P208" i="25" a="1"/>
  <c r="P208" i="25" s="1"/>
  <c r="Q208" i="25" a="1"/>
  <c r="Q208" i="25" s="1"/>
  <c r="R208" i="25" a="1"/>
  <c r="R208" i="25" s="1"/>
  <c r="U208" i="25" a="1"/>
  <c r="U208" i="25" s="1"/>
  <c r="V208" i="25" a="1"/>
  <c r="V208" i="25" s="1"/>
  <c r="W208" i="25" a="1"/>
  <c r="W208" i="25" s="1"/>
  <c r="X208" i="25" a="1"/>
  <c r="X208" i="25" s="1"/>
  <c r="K209" i="25" a="1"/>
  <c r="K209" i="25" s="1"/>
  <c r="L209" i="25" a="1"/>
  <c r="L209" i="25" s="1"/>
  <c r="M209" i="25" a="1"/>
  <c r="M209" i="25" s="1"/>
  <c r="N209" i="25" a="1"/>
  <c r="N209" i="25" s="1"/>
  <c r="O209" i="25" a="1"/>
  <c r="O209" i="25" s="1"/>
  <c r="P209" i="25" a="1"/>
  <c r="P209" i="25" s="1"/>
  <c r="Q209" i="25" a="1"/>
  <c r="Q209" i="25" s="1"/>
  <c r="R209" i="25" a="1"/>
  <c r="R209" i="25" s="1"/>
  <c r="U209" i="25" a="1"/>
  <c r="U209" i="25" s="1"/>
  <c r="V209" i="25" a="1"/>
  <c r="V209" i="25" s="1"/>
  <c r="W209" i="25" a="1"/>
  <c r="W209" i="25" s="1"/>
  <c r="X209" i="25" a="1"/>
  <c r="X209" i="25" s="1"/>
  <c r="K210" i="25" a="1"/>
  <c r="K210" i="25" s="1"/>
  <c r="L210" i="25" a="1"/>
  <c r="L210" i="25" s="1"/>
  <c r="M210" i="25" a="1"/>
  <c r="M210" i="25" s="1"/>
  <c r="N210" i="25" a="1"/>
  <c r="N210" i="25" s="1"/>
  <c r="O210" i="25" a="1"/>
  <c r="O210" i="25" s="1"/>
  <c r="P210" i="25" a="1"/>
  <c r="P210" i="25" s="1"/>
  <c r="Q210" i="25" a="1"/>
  <c r="Q210" i="25" s="1"/>
  <c r="R210" i="25" a="1"/>
  <c r="R210" i="25" s="1"/>
  <c r="U210" i="25" a="1"/>
  <c r="U210" i="25" s="1"/>
  <c r="V210" i="25" a="1"/>
  <c r="V210" i="25" s="1"/>
  <c r="W210" i="25" a="1"/>
  <c r="W210" i="25" s="1"/>
  <c r="X210" i="25" a="1"/>
  <c r="X210" i="25" s="1"/>
  <c r="K211" i="25" a="1"/>
  <c r="K211" i="25" s="1"/>
  <c r="L211" i="25" a="1"/>
  <c r="L211" i="25" s="1"/>
  <c r="M211" i="25" a="1"/>
  <c r="M211" i="25" s="1"/>
  <c r="N211" i="25" a="1"/>
  <c r="N211" i="25" s="1"/>
  <c r="O211" i="25" a="1"/>
  <c r="O211" i="25" s="1"/>
  <c r="P211" i="25" a="1"/>
  <c r="P211" i="25" s="1"/>
  <c r="Q211" i="25" a="1"/>
  <c r="Q211" i="25" s="1"/>
  <c r="R211" i="25" a="1"/>
  <c r="R211" i="25" s="1"/>
  <c r="U211" i="25" a="1"/>
  <c r="U211" i="25" s="1"/>
  <c r="V211" i="25" a="1"/>
  <c r="V211" i="25" s="1"/>
  <c r="W211" i="25" a="1"/>
  <c r="W211" i="25" s="1"/>
  <c r="X211" i="25" a="1"/>
  <c r="X211" i="25" s="1"/>
  <c r="K212" i="25" a="1"/>
  <c r="K212" i="25" s="1"/>
  <c r="L212" i="25" a="1"/>
  <c r="L212" i="25" s="1"/>
  <c r="M212" i="25" a="1"/>
  <c r="M212" i="25" s="1"/>
  <c r="N212" i="25" a="1"/>
  <c r="N212" i="25" s="1"/>
  <c r="O212" i="25" a="1"/>
  <c r="O212" i="25" s="1"/>
  <c r="P212" i="25" a="1"/>
  <c r="P212" i="25" s="1"/>
  <c r="Q212" i="25" a="1"/>
  <c r="Q212" i="25" s="1"/>
  <c r="R212" i="25" a="1"/>
  <c r="R212" i="25" s="1"/>
  <c r="U212" i="25" a="1"/>
  <c r="U212" i="25" s="1"/>
  <c r="V212" i="25" a="1"/>
  <c r="V212" i="25" s="1"/>
  <c r="W212" i="25" a="1"/>
  <c r="W212" i="25" s="1"/>
  <c r="X212" i="25" a="1"/>
  <c r="X212" i="25" s="1"/>
  <c r="K213" i="25" a="1"/>
  <c r="K213" i="25" s="1"/>
  <c r="L213" i="25" a="1"/>
  <c r="L213" i="25" s="1"/>
  <c r="M213" i="25" a="1"/>
  <c r="M213" i="25" s="1"/>
  <c r="N213" i="25" a="1"/>
  <c r="N213" i="25" s="1"/>
  <c r="O213" i="25" a="1"/>
  <c r="O213" i="25" s="1"/>
  <c r="P213" i="25" a="1"/>
  <c r="P213" i="25" s="1"/>
  <c r="Q213" i="25" a="1"/>
  <c r="Q213" i="25" s="1"/>
  <c r="R213" i="25" a="1"/>
  <c r="R213" i="25" s="1"/>
  <c r="U213" i="25" a="1"/>
  <c r="U213" i="25" s="1"/>
  <c r="V213" i="25" a="1"/>
  <c r="V213" i="25" s="1"/>
  <c r="W213" i="25" a="1"/>
  <c r="W213" i="25" s="1"/>
  <c r="X213" i="25" a="1"/>
  <c r="X213" i="25" s="1"/>
  <c r="K214" i="25" a="1"/>
  <c r="K214" i="25" s="1"/>
  <c r="L214" i="25" a="1"/>
  <c r="L214" i="25" s="1"/>
  <c r="M214" i="25" a="1"/>
  <c r="M214" i="25" s="1"/>
  <c r="N214" i="25" a="1"/>
  <c r="N214" i="25" s="1"/>
  <c r="O214" i="25" a="1"/>
  <c r="O214" i="25" s="1"/>
  <c r="P214" i="25" a="1"/>
  <c r="P214" i="25" s="1"/>
  <c r="Q214" i="25" a="1"/>
  <c r="Q214" i="25" s="1"/>
  <c r="R214" i="25" a="1"/>
  <c r="R214" i="25" s="1"/>
  <c r="U214" i="25" a="1"/>
  <c r="U214" i="25" s="1"/>
  <c r="V214" i="25" a="1"/>
  <c r="V214" i="25" s="1"/>
  <c r="W214" i="25" a="1"/>
  <c r="W214" i="25" s="1"/>
  <c r="X214" i="25" a="1"/>
  <c r="X214" i="25" s="1"/>
  <c r="K215" i="25" a="1"/>
  <c r="K215" i="25" s="1"/>
  <c r="L215" i="25" a="1"/>
  <c r="L215" i="25" s="1"/>
  <c r="M215" i="25" a="1"/>
  <c r="M215" i="25" s="1"/>
  <c r="N215" i="25" a="1"/>
  <c r="N215" i="25" s="1"/>
  <c r="O215" i="25" a="1"/>
  <c r="O215" i="25" s="1"/>
  <c r="P215" i="25" a="1"/>
  <c r="P215" i="25" s="1"/>
  <c r="Q215" i="25" a="1"/>
  <c r="Q215" i="25" s="1"/>
  <c r="R215" i="25" a="1"/>
  <c r="R215" i="25" s="1"/>
  <c r="U215" i="25" a="1"/>
  <c r="U215" i="25" s="1"/>
  <c r="V215" i="25" a="1"/>
  <c r="V215" i="25" s="1"/>
  <c r="W215" i="25" a="1"/>
  <c r="W215" i="25" s="1"/>
  <c r="X215" i="25" a="1"/>
  <c r="X215" i="25" s="1"/>
  <c r="K216" i="25" a="1"/>
  <c r="K216" i="25" s="1"/>
  <c r="L216" i="25" a="1"/>
  <c r="L216" i="25" s="1"/>
  <c r="M216" i="25" a="1"/>
  <c r="M216" i="25" s="1"/>
  <c r="N216" i="25" a="1"/>
  <c r="N216" i="25" s="1"/>
  <c r="O216" i="25" a="1"/>
  <c r="O216" i="25" s="1"/>
  <c r="P216" i="25" a="1"/>
  <c r="P216" i="25" s="1"/>
  <c r="Q216" i="25" a="1"/>
  <c r="Q216" i="25" s="1"/>
  <c r="R216" i="25" a="1"/>
  <c r="R216" i="25" s="1"/>
  <c r="U216" i="25" a="1"/>
  <c r="U216" i="25" s="1"/>
  <c r="V216" i="25" a="1"/>
  <c r="V216" i="25" s="1"/>
  <c r="W216" i="25" a="1"/>
  <c r="W216" i="25" s="1"/>
  <c r="X216" i="25" a="1"/>
  <c r="X216" i="25" s="1"/>
  <c r="K217" i="25" a="1"/>
  <c r="K217" i="25" s="1"/>
  <c r="L217" i="25" a="1"/>
  <c r="L217" i="25" s="1"/>
  <c r="M217" i="25" a="1"/>
  <c r="M217" i="25" s="1"/>
  <c r="N217" i="25" a="1"/>
  <c r="N217" i="25" s="1"/>
  <c r="O217" i="25" a="1"/>
  <c r="O217" i="25" s="1"/>
  <c r="P217" i="25" a="1"/>
  <c r="P217" i="25" s="1"/>
  <c r="Q217" i="25" a="1"/>
  <c r="Q217" i="25" s="1"/>
  <c r="R217" i="25" a="1"/>
  <c r="R217" i="25" s="1"/>
  <c r="U217" i="25" a="1"/>
  <c r="U217" i="25" s="1"/>
  <c r="V217" i="25" a="1"/>
  <c r="V217" i="25" s="1"/>
  <c r="W217" i="25" a="1"/>
  <c r="W217" i="25" s="1"/>
  <c r="X217" i="25" a="1"/>
  <c r="X217" i="25" s="1"/>
  <c r="K218" i="25" a="1"/>
  <c r="K218" i="25" s="1"/>
  <c r="L218" i="25" a="1"/>
  <c r="L218" i="25" s="1"/>
  <c r="M218" i="25" a="1"/>
  <c r="M218" i="25" s="1"/>
  <c r="N218" i="25" a="1"/>
  <c r="N218" i="25" s="1"/>
  <c r="O218" i="25" a="1"/>
  <c r="O218" i="25" s="1"/>
  <c r="P218" i="25" a="1"/>
  <c r="P218" i="25" s="1"/>
  <c r="Q218" i="25" a="1"/>
  <c r="Q218" i="25" s="1"/>
  <c r="R218" i="25" a="1"/>
  <c r="R218" i="25" s="1"/>
  <c r="U218" i="25" a="1"/>
  <c r="U218" i="25" s="1"/>
  <c r="V218" i="25" a="1"/>
  <c r="V218" i="25" s="1"/>
  <c r="W218" i="25" a="1"/>
  <c r="W218" i="25" s="1"/>
  <c r="X218" i="25" a="1"/>
  <c r="X218" i="25" s="1"/>
  <c r="K219" i="25" a="1"/>
  <c r="K219" i="25" s="1"/>
  <c r="L219" i="25" a="1"/>
  <c r="L219" i="25" s="1"/>
  <c r="M219" i="25" a="1"/>
  <c r="M219" i="25" s="1"/>
  <c r="N219" i="25" a="1"/>
  <c r="N219" i="25" s="1"/>
  <c r="O219" i="25" a="1"/>
  <c r="O219" i="25" s="1"/>
  <c r="P219" i="25" a="1"/>
  <c r="P219" i="25" s="1"/>
  <c r="Q219" i="25" a="1"/>
  <c r="Q219" i="25" s="1"/>
  <c r="R219" i="25" a="1"/>
  <c r="R219" i="25" s="1"/>
  <c r="U219" i="25" a="1"/>
  <c r="U219" i="25" s="1"/>
  <c r="V219" i="25" a="1"/>
  <c r="V219" i="25" s="1"/>
  <c r="W219" i="25" a="1"/>
  <c r="W219" i="25" s="1"/>
  <c r="X219" i="25" a="1"/>
  <c r="X219" i="25" s="1"/>
  <c r="K220" i="25" a="1"/>
  <c r="K220" i="25" s="1"/>
  <c r="L220" i="25" a="1"/>
  <c r="L220" i="25" s="1"/>
  <c r="M220" i="25" a="1"/>
  <c r="M220" i="25" s="1"/>
  <c r="N220" i="25" a="1"/>
  <c r="N220" i="25" s="1"/>
  <c r="O220" i="25" a="1"/>
  <c r="O220" i="25" s="1"/>
  <c r="P220" i="25" a="1"/>
  <c r="P220" i="25" s="1"/>
  <c r="Q220" i="25" a="1"/>
  <c r="Q220" i="25" s="1"/>
  <c r="R220" i="25" a="1"/>
  <c r="R220" i="25" s="1"/>
  <c r="U220" i="25" a="1"/>
  <c r="U220" i="25" s="1"/>
  <c r="V220" i="25" a="1"/>
  <c r="V220" i="25" s="1"/>
  <c r="W220" i="25" a="1"/>
  <c r="W220" i="25" s="1"/>
  <c r="X220" i="25" a="1"/>
  <c r="X220" i="25" s="1"/>
  <c r="K221" i="25" a="1"/>
  <c r="K221" i="25" s="1"/>
  <c r="L221" i="25" a="1"/>
  <c r="L221" i="25" s="1"/>
  <c r="M221" i="25" a="1"/>
  <c r="M221" i="25" s="1"/>
  <c r="N221" i="25" a="1"/>
  <c r="N221" i="25" s="1"/>
  <c r="O221" i="25" a="1"/>
  <c r="O221" i="25" s="1"/>
  <c r="P221" i="25" a="1"/>
  <c r="P221" i="25" s="1"/>
  <c r="Q221" i="25" a="1"/>
  <c r="Q221" i="25" s="1"/>
  <c r="R221" i="25" a="1"/>
  <c r="R221" i="25" s="1"/>
  <c r="U221" i="25" a="1"/>
  <c r="U221" i="25" s="1"/>
  <c r="V221" i="25" a="1"/>
  <c r="V221" i="25" s="1"/>
  <c r="W221" i="25" a="1"/>
  <c r="W221" i="25" s="1"/>
  <c r="X221" i="25" a="1"/>
  <c r="X221" i="25" s="1"/>
  <c r="K222" i="25" a="1"/>
  <c r="K222" i="25" s="1"/>
  <c r="L222" i="25" a="1"/>
  <c r="L222" i="25" s="1"/>
  <c r="M222" i="25" a="1"/>
  <c r="M222" i="25" s="1"/>
  <c r="N222" i="25" a="1"/>
  <c r="N222" i="25" s="1"/>
  <c r="O222" i="25" a="1"/>
  <c r="O222" i="25" s="1"/>
  <c r="P222" i="25" a="1"/>
  <c r="P222" i="25" s="1"/>
  <c r="Q222" i="25" a="1"/>
  <c r="Q222" i="25" s="1"/>
  <c r="R222" i="25" a="1"/>
  <c r="R222" i="25" s="1"/>
  <c r="U222" i="25" a="1"/>
  <c r="U222" i="25" s="1"/>
  <c r="V222" i="25" a="1"/>
  <c r="V222" i="25" s="1"/>
  <c r="W222" i="25" a="1"/>
  <c r="W222" i="25" s="1"/>
  <c r="X222" i="25" a="1"/>
  <c r="X222" i="25" s="1"/>
  <c r="K223" i="25" a="1"/>
  <c r="K223" i="25" s="1"/>
  <c r="L223" i="25" a="1"/>
  <c r="L223" i="25" s="1"/>
  <c r="M223" i="25" a="1"/>
  <c r="M223" i="25" s="1"/>
  <c r="N223" i="25" a="1"/>
  <c r="N223" i="25" s="1"/>
  <c r="O223" i="25" a="1"/>
  <c r="O223" i="25" s="1"/>
  <c r="P223" i="25" a="1"/>
  <c r="P223" i="25" s="1"/>
  <c r="Q223" i="25" a="1"/>
  <c r="Q223" i="25" s="1"/>
  <c r="R223" i="25" a="1"/>
  <c r="R223" i="25" s="1"/>
  <c r="U223" i="25" a="1"/>
  <c r="U223" i="25" s="1"/>
  <c r="V223" i="25" a="1"/>
  <c r="V223" i="25" s="1"/>
  <c r="W223" i="25" a="1"/>
  <c r="W223" i="25" s="1"/>
  <c r="X223" i="25" a="1"/>
  <c r="X223" i="25" s="1"/>
  <c r="K224" i="25" a="1"/>
  <c r="K224" i="25" s="1"/>
  <c r="L224" i="25" a="1"/>
  <c r="L224" i="25" s="1"/>
  <c r="M224" i="25" a="1"/>
  <c r="M224" i="25" s="1"/>
  <c r="N224" i="25" a="1"/>
  <c r="N224" i="25" s="1"/>
  <c r="O224" i="25" a="1"/>
  <c r="O224" i="25" s="1"/>
  <c r="P224" i="25" a="1"/>
  <c r="P224" i="25" s="1"/>
  <c r="Q224" i="25" a="1"/>
  <c r="Q224" i="25" s="1"/>
  <c r="R224" i="25" a="1"/>
  <c r="R224" i="25" s="1"/>
  <c r="U224" i="25" a="1"/>
  <c r="U224" i="25" s="1"/>
  <c r="V224" i="25" a="1"/>
  <c r="V224" i="25" s="1"/>
  <c r="W224" i="25" a="1"/>
  <c r="W224" i="25" s="1"/>
  <c r="X224" i="25" a="1"/>
  <c r="X224" i="25" s="1"/>
  <c r="K225" i="25" a="1"/>
  <c r="K225" i="25" s="1"/>
  <c r="L225" i="25" a="1"/>
  <c r="L225" i="25" s="1"/>
  <c r="M225" i="25" a="1"/>
  <c r="M225" i="25" s="1"/>
  <c r="N225" i="25" a="1"/>
  <c r="N225" i="25" s="1"/>
  <c r="O225" i="25" a="1"/>
  <c r="O225" i="25" s="1"/>
  <c r="P225" i="25" a="1"/>
  <c r="P225" i="25" s="1"/>
  <c r="Q225" i="25" a="1"/>
  <c r="Q225" i="25" s="1"/>
  <c r="R225" i="25" a="1"/>
  <c r="R225" i="25" s="1"/>
  <c r="U225" i="25" a="1"/>
  <c r="U225" i="25" s="1"/>
  <c r="V225" i="25" a="1"/>
  <c r="V225" i="25" s="1"/>
  <c r="W225" i="25" a="1"/>
  <c r="W225" i="25" s="1"/>
  <c r="X225" i="25" a="1"/>
  <c r="X225" i="25" s="1"/>
  <c r="K226" i="25" a="1"/>
  <c r="K226" i="25" s="1"/>
  <c r="L226" i="25" a="1"/>
  <c r="L226" i="25" s="1"/>
  <c r="M226" i="25" a="1"/>
  <c r="M226" i="25" s="1"/>
  <c r="N226" i="25" a="1"/>
  <c r="N226" i="25" s="1"/>
  <c r="O226" i="25" a="1"/>
  <c r="O226" i="25" s="1"/>
  <c r="P226" i="25" a="1"/>
  <c r="P226" i="25" s="1"/>
  <c r="Q226" i="25" a="1"/>
  <c r="Q226" i="25" s="1"/>
  <c r="R226" i="25" a="1"/>
  <c r="R226" i="25" s="1"/>
  <c r="U226" i="25" a="1"/>
  <c r="U226" i="25" s="1"/>
  <c r="V226" i="25" a="1"/>
  <c r="V226" i="25" s="1"/>
  <c r="W226" i="25" a="1"/>
  <c r="W226" i="25" s="1"/>
  <c r="X226" i="25" a="1"/>
  <c r="X226" i="25" s="1"/>
  <c r="K227" i="25" a="1"/>
  <c r="K227" i="25" s="1"/>
  <c r="L227" i="25" a="1"/>
  <c r="L227" i="25" s="1"/>
  <c r="M227" i="25" a="1"/>
  <c r="M227" i="25" s="1"/>
  <c r="N227" i="25" a="1"/>
  <c r="N227" i="25" s="1"/>
  <c r="O227" i="25" a="1"/>
  <c r="O227" i="25" s="1"/>
  <c r="P227" i="25" a="1"/>
  <c r="P227" i="25" s="1"/>
  <c r="Q227" i="25" a="1"/>
  <c r="Q227" i="25" s="1"/>
  <c r="R227" i="25" a="1"/>
  <c r="R227" i="25" s="1"/>
  <c r="U227" i="25" a="1"/>
  <c r="U227" i="25" s="1"/>
  <c r="V227" i="25" a="1"/>
  <c r="V227" i="25" s="1"/>
  <c r="W227" i="25" a="1"/>
  <c r="W227" i="25" s="1"/>
  <c r="X227" i="25" a="1"/>
  <c r="X227" i="25" s="1"/>
  <c r="K228" i="25" a="1"/>
  <c r="K228" i="25" s="1"/>
  <c r="L228" i="25" a="1"/>
  <c r="L228" i="25" s="1"/>
  <c r="M228" i="25" a="1"/>
  <c r="M228" i="25" s="1"/>
  <c r="N228" i="25" a="1"/>
  <c r="N228" i="25" s="1"/>
  <c r="O228" i="25" a="1"/>
  <c r="O228" i="25" s="1"/>
  <c r="P228" i="25" a="1"/>
  <c r="P228" i="25" s="1"/>
  <c r="Q228" i="25" a="1"/>
  <c r="Q228" i="25" s="1"/>
  <c r="R228" i="25" a="1"/>
  <c r="R228" i="25" s="1"/>
  <c r="U228" i="25" a="1"/>
  <c r="U228" i="25" s="1"/>
  <c r="V228" i="25" a="1"/>
  <c r="V228" i="25" s="1"/>
  <c r="W228" i="25" a="1"/>
  <c r="W228" i="25" s="1"/>
  <c r="X228" i="25" a="1"/>
  <c r="X228" i="25" s="1"/>
  <c r="K229" i="25" a="1"/>
  <c r="K229" i="25" s="1"/>
  <c r="L229" i="25" a="1"/>
  <c r="L229" i="25" s="1"/>
  <c r="M229" i="25" a="1"/>
  <c r="M229" i="25" s="1"/>
  <c r="N229" i="25" a="1"/>
  <c r="N229" i="25" s="1"/>
  <c r="O229" i="25" a="1"/>
  <c r="O229" i="25" s="1"/>
  <c r="P229" i="25" a="1"/>
  <c r="P229" i="25" s="1"/>
  <c r="Q229" i="25" a="1"/>
  <c r="Q229" i="25" s="1"/>
  <c r="R229" i="25" a="1"/>
  <c r="R229" i="25" s="1"/>
  <c r="U229" i="25" a="1"/>
  <c r="U229" i="25" s="1"/>
  <c r="V229" i="25" a="1"/>
  <c r="V229" i="25" s="1"/>
  <c r="W229" i="25" a="1"/>
  <c r="W229" i="25" s="1"/>
  <c r="X229" i="25" a="1"/>
  <c r="X229" i="25" s="1"/>
  <c r="K230" i="25" a="1"/>
  <c r="K230" i="25" s="1"/>
  <c r="L230" i="25" a="1"/>
  <c r="L230" i="25" s="1"/>
  <c r="M230" i="25" a="1"/>
  <c r="M230" i="25" s="1"/>
  <c r="N230" i="25" a="1"/>
  <c r="N230" i="25" s="1"/>
  <c r="O230" i="25" a="1"/>
  <c r="O230" i="25" s="1"/>
  <c r="P230" i="25" a="1"/>
  <c r="P230" i="25" s="1"/>
  <c r="Q230" i="25" a="1"/>
  <c r="Q230" i="25" s="1"/>
  <c r="R230" i="25" a="1"/>
  <c r="R230" i="25" s="1"/>
  <c r="U230" i="25" a="1"/>
  <c r="U230" i="25" s="1"/>
  <c r="V230" i="25" a="1"/>
  <c r="V230" i="25" s="1"/>
  <c r="W230" i="25" a="1"/>
  <c r="W230" i="25" s="1"/>
  <c r="X230" i="25" a="1"/>
  <c r="X230" i="25" s="1"/>
  <c r="K231" i="25" a="1"/>
  <c r="K231" i="25" s="1"/>
  <c r="L231" i="25" a="1"/>
  <c r="L231" i="25" s="1"/>
  <c r="M231" i="25" a="1"/>
  <c r="M231" i="25" s="1"/>
  <c r="N231" i="25" a="1"/>
  <c r="N231" i="25" s="1"/>
  <c r="O231" i="25" a="1"/>
  <c r="O231" i="25" s="1"/>
  <c r="P231" i="25" a="1"/>
  <c r="P231" i="25" s="1"/>
  <c r="Q231" i="25" a="1"/>
  <c r="Q231" i="25" s="1"/>
  <c r="R231" i="25" a="1"/>
  <c r="R231" i="25" s="1"/>
  <c r="U231" i="25" a="1"/>
  <c r="U231" i="25" s="1"/>
  <c r="V231" i="25" a="1"/>
  <c r="V231" i="25" s="1"/>
  <c r="W231" i="25" a="1"/>
  <c r="W231" i="25" s="1"/>
  <c r="X231" i="25" a="1"/>
  <c r="X231" i="25" s="1"/>
  <c r="K232" i="25" a="1"/>
  <c r="K232" i="25" s="1"/>
  <c r="L232" i="25" a="1"/>
  <c r="L232" i="25" s="1"/>
  <c r="M232" i="25" a="1"/>
  <c r="M232" i="25" s="1"/>
  <c r="N232" i="25" a="1"/>
  <c r="N232" i="25" s="1"/>
  <c r="O232" i="25" a="1"/>
  <c r="O232" i="25" s="1"/>
  <c r="P232" i="25" a="1"/>
  <c r="P232" i="25" s="1"/>
  <c r="Q232" i="25" a="1"/>
  <c r="Q232" i="25" s="1"/>
  <c r="R232" i="25" a="1"/>
  <c r="R232" i="25" s="1"/>
  <c r="U232" i="25" a="1"/>
  <c r="U232" i="25" s="1"/>
  <c r="V232" i="25" a="1"/>
  <c r="V232" i="25" s="1"/>
  <c r="W232" i="25" a="1"/>
  <c r="W232" i="25" s="1"/>
  <c r="X232" i="25" a="1"/>
  <c r="X232" i="25" s="1"/>
  <c r="K233" i="25" a="1"/>
  <c r="K233" i="25" s="1"/>
  <c r="L233" i="25" a="1"/>
  <c r="L233" i="25" s="1"/>
  <c r="M233" i="25" a="1"/>
  <c r="M233" i="25" s="1"/>
  <c r="N233" i="25" a="1"/>
  <c r="N233" i="25" s="1"/>
  <c r="O233" i="25" a="1"/>
  <c r="O233" i="25" s="1"/>
  <c r="P233" i="25" a="1"/>
  <c r="P233" i="25" s="1"/>
  <c r="Q233" i="25" a="1"/>
  <c r="Q233" i="25" s="1"/>
  <c r="R233" i="25" a="1"/>
  <c r="R233" i="25" s="1"/>
  <c r="U233" i="25" a="1"/>
  <c r="U233" i="25" s="1"/>
  <c r="V233" i="25" a="1"/>
  <c r="V233" i="25" s="1"/>
  <c r="W233" i="25" a="1"/>
  <c r="W233" i="25" s="1"/>
  <c r="X233" i="25" a="1"/>
  <c r="X233" i="25" s="1"/>
  <c r="K234" i="25" a="1"/>
  <c r="K234" i="25" s="1"/>
  <c r="L234" i="25" a="1"/>
  <c r="L234" i="25" s="1"/>
  <c r="M234" i="25" a="1"/>
  <c r="M234" i="25" s="1"/>
  <c r="N234" i="25" a="1"/>
  <c r="N234" i="25" s="1"/>
  <c r="O234" i="25" a="1"/>
  <c r="O234" i="25" s="1"/>
  <c r="P234" i="25" a="1"/>
  <c r="P234" i="25" s="1"/>
  <c r="Q234" i="25" a="1"/>
  <c r="Q234" i="25" s="1"/>
  <c r="R234" i="25" a="1"/>
  <c r="R234" i="25" s="1"/>
  <c r="U234" i="25" a="1"/>
  <c r="U234" i="25" s="1"/>
  <c r="V234" i="25" a="1"/>
  <c r="V234" i="25" s="1"/>
  <c r="W234" i="25" a="1"/>
  <c r="W234" i="25" s="1"/>
  <c r="X234" i="25" a="1"/>
  <c r="X234" i="25" s="1"/>
  <c r="K235" i="25" a="1"/>
  <c r="K235" i="25" s="1"/>
  <c r="L235" i="25" a="1"/>
  <c r="L235" i="25" s="1"/>
  <c r="M235" i="25" a="1"/>
  <c r="M235" i="25" s="1"/>
  <c r="N235" i="25" a="1"/>
  <c r="N235" i="25" s="1"/>
  <c r="O235" i="25" a="1"/>
  <c r="O235" i="25" s="1"/>
  <c r="P235" i="25" a="1"/>
  <c r="P235" i="25" s="1"/>
  <c r="Q235" i="25" a="1"/>
  <c r="Q235" i="25" s="1"/>
  <c r="R235" i="25" a="1"/>
  <c r="R235" i="25" s="1"/>
  <c r="U235" i="25" a="1"/>
  <c r="U235" i="25" s="1"/>
  <c r="V235" i="25" a="1"/>
  <c r="V235" i="25" s="1"/>
  <c r="W235" i="25" a="1"/>
  <c r="W235" i="25" s="1"/>
  <c r="X235" i="25" a="1"/>
  <c r="X235" i="25" s="1"/>
  <c r="K236" i="25" a="1"/>
  <c r="K236" i="25" s="1"/>
  <c r="L236" i="25" a="1"/>
  <c r="L236" i="25" s="1"/>
  <c r="M236" i="25" a="1"/>
  <c r="M236" i="25" s="1"/>
  <c r="N236" i="25" a="1"/>
  <c r="N236" i="25" s="1"/>
  <c r="O236" i="25" a="1"/>
  <c r="O236" i="25" s="1"/>
  <c r="P236" i="25" a="1"/>
  <c r="P236" i="25" s="1"/>
  <c r="Q236" i="25" a="1"/>
  <c r="Q236" i="25" s="1"/>
  <c r="R236" i="25" a="1"/>
  <c r="R236" i="25" s="1"/>
  <c r="U236" i="25" a="1"/>
  <c r="U236" i="25" s="1"/>
  <c r="V236" i="25" a="1"/>
  <c r="V236" i="25" s="1"/>
  <c r="W236" i="25" a="1"/>
  <c r="W236" i="25" s="1"/>
  <c r="X236" i="25" a="1"/>
  <c r="X236" i="25" s="1"/>
  <c r="K237" i="25" a="1"/>
  <c r="K237" i="25" s="1"/>
  <c r="L237" i="25" a="1"/>
  <c r="L237" i="25" s="1"/>
  <c r="M237" i="25" a="1"/>
  <c r="M237" i="25" s="1"/>
  <c r="N237" i="25" a="1"/>
  <c r="N237" i="25" s="1"/>
  <c r="O237" i="25" a="1"/>
  <c r="O237" i="25" s="1"/>
  <c r="P237" i="25" a="1"/>
  <c r="P237" i="25" s="1"/>
  <c r="Q237" i="25" a="1"/>
  <c r="Q237" i="25" s="1"/>
  <c r="R237" i="25" a="1"/>
  <c r="R237" i="25" s="1"/>
  <c r="U237" i="25" a="1"/>
  <c r="U237" i="25" s="1"/>
  <c r="V237" i="25" a="1"/>
  <c r="V237" i="25" s="1"/>
  <c r="W237" i="25" a="1"/>
  <c r="W237" i="25" s="1"/>
  <c r="X237" i="25" a="1"/>
  <c r="X237" i="25" s="1"/>
  <c r="K238" i="25" a="1"/>
  <c r="K238" i="25" s="1"/>
  <c r="L238" i="25" a="1"/>
  <c r="L238" i="25" s="1"/>
  <c r="M238" i="25" a="1"/>
  <c r="M238" i="25" s="1"/>
  <c r="N238" i="25" a="1"/>
  <c r="N238" i="25" s="1"/>
  <c r="O238" i="25" a="1"/>
  <c r="O238" i="25" s="1"/>
  <c r="P238" i="25" a="1"/>
  <c r="P238" i="25" s="1"/>
  <c r="Q238" i="25" a="1"/>
  <c r="Q238" i="25" s="1"/>
  <c r="R238" i="25" a="1"/>
  <c r="R238" i="25" s="1"/>
  <c r="U238" i="25" a="1"/>
  <c r="U238" i="25" s="1"/>
  <c r="V238" i="25" a="1"/>
  <c r="V238" i="25" s="1"/>
  <c r="W238" i="25" a="1"/>
  <c r="W238" i="25" s="1"/>
  <c r="X238" i="25" a="1"/>
  <c r="X238" i="25" s="1"/>
  <c r="K239" i="25" a="1"/>
  <c r="K239" i="25" s="1"/>
  <c r="L239" i="25" a="1"/>
  <c r="L239" i="25" s="1"/>
  <c r="M239" i="25" a="1"/>
  <c r="M239" i="25" s="1"/>
  <c r="N239" i="25" a="1"/>
  <c r="N239" i="25" s="1"/>
  <c r="O239" i="25" a="1"/>
  <c r="O239" i="25" s="1"/>
  <c r="P239" i="25" a="1"/>
  <c r="P239" i="25" s="1"/>
  <c r="Q239" i="25" a="1"/>
  <c r="Q239" i="25" s="1"/>
  <c r="R239" i="25" a="1"/>
  <c r="R239" i="25" s="1"/>
  <c r="U239" i="25" a="1"/>
  <c r="U239" i="25" s="1"/>
  <c r="V239" i="25" a="1"/>
  <c r="V239" i="25" s="1"/>
  <c r="W239" i="25" a="1"/>
  <c r="W239" i="25" s="1"/>
  <c r="X239" i="25" a="1"/>
  <c r="X239" i="25" s="1"/>
  <c r="K240" i="25" a="1"/>
  <c r="K240" i="25" s="1"/>
  <c r="L240" i="25" a="1"/>
  <c r="L240" i="25" s="1"/>
  <c r="M240" i="25" a="1"/>
  <c r="M240" i="25" s="1"/>
  <c r="N240" i="25" a="1"/>
  <c r="N240" i="25" s="1"/>
  <c r="O240" i="25" a="1"/>
  <c r="O240" i="25" s="1"/>
  <c r="P240" i="25" a="1"/>
  <c r="P240" i="25" s="1"/>
  <c r="Q240" i="25" a="1"/>
  <c r="Q240" i="25" s="1"/>
  <c r="R240" i="25" a="1"/>
  <c r="R240" i="25" s="1"/>
  <c r="U240" i="25" a="1"/>
  <c r="U240" i="25" s="1"/>
  <c r="V240" i="25" a="1"/>
  <c r="V240" i="25" s="1"/>
  <c r="W240" i="25" a="1"/>
  <c r="W240" i="25" s="1"/>
  <c r="X240" i="25" a="1"/>
  <c r="X240" i="25" s="1"/>
  <c r="K241" i="25" a="1"/>
  <c r="K241" i="25" s="1"/>
  <c r="L241" i="25" a="1"/>
  <c r="L241" i="25" s="1"/>
  <c r="M241" i="25" a="1"/>
  <c r="M241" i="25" s="1"/>
  <c r="N241" i="25" a="1"/>
  <c r="N241" i="25" s="1"/>
  <c r="O241" i="25" a="1"/>
  <c r="O241" i="25" s="1"/>
  <c r="P241" i="25" a="1"/>
  <c r="P241" i="25" s="1"/>
  <c r="Q241" i="25" a="1"/>
  <c r="Q241" i="25" s="1"/>
  <c r="R241" i="25" a="1"/>
  <c r="R241" i="25" s="1"/>
  <c r="U241" i="25" a="1"/>
  <c r="U241" i="25" s="1"/>
  <c r="V241" i="25" a="1"/>
  <c r="V241" i="25" s="1"/>
  <c r="W241" i="25" a="1"/>
  <c r="W241" i="25" s="1"/>
  <c r="X241" i="25" a="1"/>
  <c r="X241" i="25" s="1"/>
  <c r="K242" i="25" a="1"/>
  <c r="K242" i="25" s="1"/>
  <c r="L242" i="25" a="1"/>
  <c r="L242" i="25" s="1"/>
  <c r="M242" i="25" a="1"/>
  <c r="M242" i="25" s="1"/>
  <c r="N242" i="25" a="1"/>
  <c r="N242" i="25" s="1"/>
  <c r="O242" i="25" a="1"/>
  <c r="O242" i="25" s="1"/>
  <c r="P242" i="25" a="1"/>
  <c r="P242" i="25" s="1"/>
  <c r="Q242" i="25" a="1"/>
  <c r="Q242" i="25" s="1"/>
  <c r="R242" i="25" a="1"/>
  <c r="R242" i="25" s="1"/>
  <c r="U242" i="25" a="1"/>
  <c r="U242" i="25" s="1"/>
  <c r="V242" i="25" a="1"/>
  <c r="V242" i="25" s="1"/>
  <c r="W242" i="25" a="1"/>
  <c r="W242" i="25" s="1"/>
  <c r="X242" i="25" a="1"/>
  <c r="X242" i="25" s="1"/>
  <c r="K243" i="25" a="1"/>
  <c r="K243" i="25" s="1"/>
  <c r="L243" i="25" a="1"/>
  <c r="L243" i="25" s="1"/>
  <c r="M243" i="25" a="1"/>
  <c r="M243" i="25" s="1"/>
  <c r="N243" i="25" a="1"/>
  <c r="N243" i="25" s="1"/>
  <c r="O243" i="25" a="1"/>
  <c r="O243" i="25" s="1"/>
  <c r="P243" i="25" a="1"/>
  <c r="P243" i="25" s="1"/>
  <c r="Q243" i="25" a="1"/>
  <c r="Q243" i="25" s="1"/>
  <c r="R243" i="25" a="1"/>
  <c r="R243" i="25" s="1"/>
  <c r="U243" i="25" a="1"/>
  <c r="U243" i="25" s="1"/>
  <c r="V243" i="25" a="1"/>
  <c r="V243" i="25" s="1"/>
  <c r="W243" i="25" a="1"/>
  <c r="W243" i="25" s="1"/>
  <c r="X243" i="25" a="1"/>
  <c r="X243" i="25" s="1"/>
  <c r="K244" i="25" a="1"/>
  <c r="K244" i="25" s="1"/>
  <c r="L244" i="25" a="1"/>
  <c r="L244" i="25" s="1"/>
  <c r="M244" i="25" a="1"/>
  <c r="M244" i="25" s="1"/>
  <c r="N244" i="25" a="1"/>
  <c r="N244" i="25" s="1"/>
  <c r="O244" i="25" a="1"/>
  <c r="O244" i="25" s="1"/>
  <c r="P244" i="25" a="1"/>
  <c r="P244" i="25" s="1"/>
  <c r="Q244" i="25" a="1"/>
  <c r="Q244" i="25" s="1"/>
  <c r="R244" i="25" a="1"/>
  <c r="R244" i="25" s="1"/>
  <c r="U244" i="25" a="1"/>
  <c r="U244" i="25" s="1"/>
  <c r="V244" i="25" a="1"/>
  <c r="V244" i="25" s="1"/>
  <c r="W244" i="25" a="1"/>
  <c r="W244" i="25" s="1"/>
  <c r="X244" i="25" a="1"/>
  <c r="X244" i="25" s="1"/>
  <c r="K245" i="25" a="1"/>
  <c r="K245" i="25" s="1"/>
  <c r="L245" i="25" a="1"/>
  <c r="L245" i="25" s="1"/>
  <c r="M245" i="25" a="1"/>
  <c r="M245" i="25" s="1"/>
  <c r="N245" i="25" a="1"/>
  <c r="N245" i="25" s="1"/>
  <c r="O245" i="25" a="1"/>
  <c r="O245" i="25" s="1"/>
  <c r="P245" i="25" a="1"/>
  <c r="P245" i="25" s="1"/>
  <c r="Q245" i="25" a="1"/>
  <c r="Q245" i="25" s="1"/>
  <c r="R245" i="25" a="1"/>
  <c r="R245" i="25" s="1"/>
  <c r="U245" i="25" a="1"/>
  <c r="U245" i="25" s="1"/>
  <c r="V245" i="25" a="1"/>
  <c r="V245" i="25" s="1"/>
  <c r="W245" i="25" a="1"/>
  <c r="W245" i="25" s="1"/>
  <c r="X245" i="25" a="1"/>
  <c r="X245" i="25" s="1"/>
  <c r="K246" i="25" a="1"/>
  <c r="K246" i="25" s="1"/>
  <c r="L246" i="25" a="1"/>
  <c r="L246" i="25" s="1"/>
  <c r="M246" i="25" a="1"/>
  <c r="M246" i="25" s="1"/>
  <c r="N246" i="25" a="1"/>
  <c r="N246" i="25" s="1"/>
  <c r="O246" i="25" a="1"/>
  <c r="O246" i="25" s="1"/>
  <c r="P246" i="25" a="1"/>
  <c r="P246" i="25" s="1"/>
  <c r="Q246" i="25" a="1"/>
  <c r="Q246" i="25" s="1"/>
  <c r="R246" i="25" a="1"/>
  <c r="R246" i="25" s="1"/>
  <c r="U246" i="25" a="1"/>
  <c r="U246" i="25" s="1"/>
  <c r="V246" i="25" a="1"/>
  <c r="V246" i="25" s="1"/>
  <c r="W246" i="25" a="1"/>
  <c r="W246" i="25" s="1"/>
  <c r="X246" i="25" a="1"/>
  <c r="X246" i="25" s="1"/>
  <c r="K247" i="25" a="1"/>
  <c r="K247" i="25" s="1"/>
  <c r="L247" i="25" a="1"/>
  <c r="L247" i="25" s="1"/>
  <c r="M247" i="25" a="1"/>
  <c r="M247" i="25" s="1"/>
  <c r="N247" i="25" a="1"/>
  <c r="N247" i="25" s="1"/>
  <c r="O247" i="25" a="1"/>
  <c r="O247" i="25" s="1"/>
  <c r="P247" i="25" a="1"/>
  <c r="P247" i="25" s="1"/>
  <c r="Q247" i="25" a="1"/>
  <c r="Q247" i="25" s="1"/>
  <c r="R247" i="25" a="1"/>
  <c r="R247" i="25" s="1"/>
  <c r="U247" i="25" a="1"/>
  <c r="U247" i="25" s="1"/>
  <c r="V247" i="25" a="1"/>
  <c r="V247" i="25" s="1"/>
  <c r="W247" i="25" a="1"/>
  <c r="W247" i="25" s="1"/>
  <c r="X247" i="25" a="1"/>
  <c r="X247" i="25" s="1"/>
  <c r="K248" i="25" a="1"/>
  <c r="K248" i="25" s="1"/>
  <c r="L248" i="25" a="1"/>
  <c r="L248" i="25" s="1"/>
  <c r="M248" i="25" a="1"/>
  <c r="M248" i="25" s="1"/>
  <c r="N248" i="25" a="1"/>
  <c r="N248" i="25" s="1"/>
  <c r="O248" i="25" a="1"/>
  <c r="O248" i="25" s="1"/>
  <c r="P248" i="25" a="1"/>
  <c r="P248" i="25" s="1"/>
  <c r="Q248" i="25" a="1"/>
  <c r="Q248" i="25" s="1"/>
  <c r="R248" i="25" a="1"/>
  <c r="R248" i="25" s="1"/>
  <c r="U248" i="25" a="1"/>
  <c r="U248" i="25" s="1"/>
  <c r="V248" i="25" a="1"/>
  <c r="V248" i="25" s="1"/>
  <c r="W248" i="25" a="1"/>
  <c r="W248" i="25" s="1"/>
  <c r="X248" i="25" a="1"/>
  <c r="X248" i="25" s="1"/>
  <c r="K249" i="25" a="1"/>
  <c r="K249" i="25" s="1"/>
  <c r="L249" i="25" a="1"/>
  <c r="L249" i="25" s="1"/>
  <c r="M249" i="25" a="1"/>
  <c r="M249" i="25" s="1"/>
  <c r="N249" i="25" a="1"/>
  <c r="N249" i="25" s="1"/>
  <c r="O249" i="25" a="1"/>
  <c r="O249" i="25" s="1"/>
  <c r="P249" i="25" a="1"/>
  <c r="P249" i="25" s="1"/>
  <c r="Q249" i="25" a="1"/>
  <c r="Q249" i="25" s="1"/>
  <c r="R249" i="25" a="1"/>
  <c r="R249" i="25" s="1"/>
  <c r="U249" i="25" a="1"/>
  <c r="U249" i="25" s="1"/>
  <c r="V249" i="25" a="1"/>
  <c r="V249" i="25" s="1"/>
  <c r="W249" i="25" a="1"/>
  <c r="W249" i="25" s="1"/>
  <c r="X249" i="25" a="1"/>
  <c r="X249" i="25" s="1"/>
  <c r="K250" i="25" a="1"/>
  <c r="K250" i="25" s="1"/>
  <c r="L250" i="25" a="1"/>
  <c r="L250" i="25" s="1"/>
  <c r="M250" i="25" a="1"/>
  <c r="M250" i="25" s="1"/>
  <c r="N250" i="25" a="1"/>
  <c r="N250" i="25" s="1"/>
  <c r="O250" i="25" a="1"/>
  <c r="O250" i="25" s="1"/>
  <c r="P250" i="25" a="1"/>
  <c r="P250" i="25" s="1"/>
  <c r="Q250" i="25" a="1"/>
  <c r="Q250" i="25" s="1"/>
  <c r="R250" i="25" a="1"/>
  <c r="R250" i="25" s="1"/>
  <c r="U250" i="25" a="1"/>
  <c r="U250" i="25" s="1"/>
  <c r="V250" i="25" a="1"/>
  <c r="V250" i="25" s="1"/>
  <c r="W250" i="25" a="1"/>
  <c r="W250" i="25" s="1"/>
  <c r="X250" i="25" a="1"/>
  <c r="X250" i="25" s="1"/>
  <c r="K251" i="25" a="1"/>
  <c r="K251" i="25" s="1"/>
  <c r="L251" i="25" a="1"/>
  <c r="L251" i="25" s="1"/>
  <c r="M251" i="25" a="1"/>
  <c r="M251" i="25" s="1"/>
  <c r="N251" i="25" a="1"/>
  <c r="N251" i="25" s="1"/>
  <c r="O251" i="25" a="1"/>
  <c r="O251" i="25" s="1"/>
  <c r="P251" i="25" a="1"/>
  <c r="P251" i="25" s="1"/>
  <c r="Q251" i="25" a="1"/>
  <c r="Q251" i="25" s="1"/>
  <c r="R251" i="25" a="1"/>
  <c r="R251" i="25" s="1"/>
  <c r="U251" i="25" a="1"/>
  <c r="U251" i="25" s="1"/>
  <c r="V251" i="25" a="1"/>
  <c r="V251" i="25" s="1"/>
  <c r="W251" i="25" a="1"/>
  <c r="W251" i="25" s="1"/>
  <c r="X251" i="25" a="1"/>
  <c r="X251" i="25" s="1"/>
  <c r="K252" i="25" a="1"/>
  <c r="K252" i="25" s="1"/>
  <c r="L252" i="25" a="1"/>
  <c r="L252" i="25" s="1"/>
  <c r="M252" i="25" a="1"/>
  <c r="M252" i="25" s="1"/>
  <c r="N252" i="25" a="1"/>
  <c r="N252" i="25" s="1"/>
  <c r="O252" i="25" a="1"/>
  <c r="O252" i="25" s="1"/>
  <c r="P252" i="25" a="1"/>
  <c r="P252" i="25" s="1"/>
  <c r="Q252" i="25" a="1"/>
  <c r="Q252" i="25" s="1"/>
  <c r="R252" i="25" a="1"/>
  <c r="R252" i="25" s="1"/>
  <c r="U252" i="25" a="1"/>
  <c r="U252" i="25" s="1"/>
  <c r="V252" i="25" a="1"/>
  <c r="V252" i="25" s="1"/>
  <c r="W252" i="25" a="1"/>
  <c r="W252" i="25" s="1"/>
  <c r="X252" i="25" a="1"/>
  <c r="X252" i="25" s="1"/>
  <c r="K253" i="25" a="1"/>
  <c r="K253" i="25" s="1"/>
  <c r="L253" i="25" a="1"/>
  <c r="L253" i="25" s="1"/>
  <c r="M253" i="25" a="1"/>
  <c r="M253" i="25" s="1"/>
  <c r="N253" i="25" a="1"/>
  <c r="N253" i="25" s="1"/>
  <c r="O253" i="25" a="1"/>
  <c r="O253" i="25" s="1"/>
  <c r="P253" i="25" a="1"/>
  <c r="P253" i="25" s="1"/>
  <c r="Q253" i="25" a="1"/>
  <c r="Q253" i="25" s="1"/>
  <c r="R253" i="25" a="1"/>
  <c r="R253" i="25" s="1"/>
  <c r="U253" i="25" a="1"/>
  <c r="U253" i="25" s="1"/>
  <c r="V253" i="25" a="1"/>
  <c r="V253" i="25" s="1"/>
  <c r="W253" i="25" a="1"/>
  <c r="W253" i="25" s="1"/>
  <c r="X253" i="25" a="1"/>
  <c r="X253" i="25" s="1"/>
  <c r="K254" i="25" a="1"/>
  <c r="K254" i="25" s="1"/>
  <c r="L254" i="25" a="1"/>
  <c r="L254" i="25" s="1"/>
  <c r="M254" i="25" a="1"/>
  <c r="M254" i="25" s="1"/>
  <c r="N254" i="25" a="1"/>
  <c r="N254" i="25" s="1"/>
  <c r="O254" i="25" a="1"/>
  <c r="O254" i="25" s="1"/>
  <c r="P254" i="25" a="1"/>
  <c r="P254" i="25" s="1"/>
  <c r="Q254" i="25" a="1"/>
  <c r="Q254" i="25" s="1"/>
  <c r="R254" i="25" a="1"/>
  <c r="R254" i="25" s="1"/>
  <c r="U254" i="25" a="1"/>
  <c r="U254" i="25" s="1"/>
  <c r="V254" i="25" a="1"/>
  <c r="V254" i="25" s="1"/>
  <c r="W254" i="25" a="1"/>
  <c r="W254" i="25" s="1"/>
  <c r="X254" i="25" a="1"/>
  <c r="X254" i="25" s="1"/>
  <c r="K255" i="25" a="1"/>
  <c r="K255" i="25" s="1"/>
  <c r="L255" i="25" a="1"/>
  <c r="L255" i="25" s="1"/>
  <c r="M255" i="25" a="1"/>
  <c r="M255" i="25" s="1"/>
  <c r="N255" i="25" a="1"/>
  <c r="N255" i="25" s="1"/>
  <c r="O255" i="25" a="1"/>
  <c r="O255" i="25" s="1"/>
  <c r="P255" i="25" a="1"/>
  <c r="P255" i="25" s="1"/>
  <c r="Q255" i="25" a="1"/>
  <c r="Q255" i="25" s="1"/>
  <c r="R255" i="25" a="1"/>
  <c r="R255" i="25" s="1"/>
  <c r="U255" i="25" a="1"/>
  <c r="U255" i="25" s="1"/>
  <c r="V255" i="25" a="1"/>
  <c r="V255" i="25" s="1"/>
  <c r="W255" i="25" a="1"/>
  <c r="W255" i="25" s="1"/>
  <c r="X255" i="25" a="1"/>
  <c r="X255" i="25" s="1"/>
  <c r="K256" i="25" a="1"/>
  <c r="K256" i="25" s="1"/>
  <c r="L256" i="25" a="1"/>
  <c r="L256" i="25" s="1"/>
  <c r="M256" i="25" a="1"/>
  <c r="M256" i="25" s="1"/>
  <c r="N256" i="25" a="1"/>
  <c r="N256" i="25" s="1"/>
  <c r="O256" i="25" a="1"/>
  <c r="O256" i="25" s="1"/>
  <c r="P256" i="25" a="1"/>
  <c r="P256" i="25" s="1"/>
  <c r="Q256" i="25" a="1"/>
  <c r="Q256" i="25" s="1"/>
  <c r="R256" i="25" a="1"/>
  <c r="R256" i="25" s="1"/>
  <c r="U256" i="25" a="1"/>
  <c r="U256" i="25" s="1"/>
  <c r="V256" i="25" a="1"/>
  <c r="V256" i="25" s="1"/>
  <c r="W256" i="25" a="1"/>
  <c r="W256" i="25" s="1"/>
  <c r="X256" i="25" a="1"/>
  <c r="X256" i="25" s="1"/>
  <c r="K257" i="25" a="1"/>
  <c r="K257" i="25" s="1"/>
  <c r="L257" i="25" a="1"/>
  <c r="L257" i="25" s="1"/>
  <c r="M257" i="25" a="1"/>
  <c r="M257" i="25" s="1"/>
  <c r="N257" i="25" a="1"/>
  <c r="N257" i="25" s="1"/>
  <c r="O257" i="25" a="1"/>
  <c r="O257" i="25" s="1"/>
  <c r="P257" i="25" a="1"/>
  <c r="P257" i="25" s="1"/>
  <c r="Q257" i="25" a="1"/>
  <c r="Q257" i="25" s="1"/>
  <c r="R257" i="25" a="1"/>
  <c r="R257" i="25" s="1"/>
  <c r="U257" i="25" a="1"/>
  <c r="U257" i="25" s="1"/>
  <c r="V257" i="25" a="1"/>
  <c r="V257" i="25" s="1"/>
  <c r="W257" i="25" a="1"/>
  <c r="W257" i="25" s="1"/>
  <c r="X257" i="25" a="1"/>
  <c r="X257" i="25" s="1"/>
  <c r="K258" i="25" a="1"/>
  <c r="K258" i="25" s="1"/>
  <c r="L258" i="25" a="1"/>
  <c r="L258" i="25" s="1"/>
  <c r="M258" i="25" a="1"/>
  <c r="M258" i="25" s="1"/>
  <c r="N258" i="25" a="1"/>
  <c r="N258" i="25" s="1"/>
  <c r="O258" i="25" a="1"/>
  <c r="O258" i="25" s="1"/>
  <c r="P258" i="25" a="1"/>
  <c r="P258" i="25" s="1"/>
  <c r="Q258" i="25" a="1"/>
  <c r="Q258" i="25" s="1"/>
  <c r="R258" i="25" a="1"/>
  <c r="R258" i="25" s="1"/>
  <c r="U258" i="25" a="1"/>
  <c r="U258" i="25" s="1"/>
  <c r="V258" i="25" a="1"/>
  <c r="V258" i="25" s="1"/>
  <c r="W258" i="25" a="1"/>
  <c r="W258" i="25" s="1"/>
  <c r="X258" i="25" a="1"/>
  <c r="X258" i="25" s="1"/>
  <c r="K259" i="25" a="1"/>
  <c r="K259" i="25" s="1"/>
  <c r="L259" i="25" a="1"/>
  <c r="L259" i="25" s="1"/>
  <c r="M259" i="25" a="1"/>
  <c r="M259" i="25" s="1"/>
  <c r="N259" i="25" a="1"/>
  <c r="N259" i="25" s="1"/>
  <c r="O259" i="25" a="1"/>
  <c r="O259" i="25" s="1"/>
  <c r="P259" i="25" a="1"/>
  <c r="P259" i="25" s="1"/>
  <c r="Q259" i="25" a="1"/>
  <c r="Q259" i="25" s="1"/>
  <c r="R259" i="25" a="1"/>
  <c r="R259" i="25" s="1"/>
  <c r="U259" i="25" a="1"/>
  <c r="U259" i="25" s="1"/>
  <c r="V259" i="25" a="1"/>
  <c r="V259" i="25" s="1"/>
  <c r="W259" i="25" a="1"/>
  <c r="W259" i="25" s="1"/>
  <c r="X259" i="25" a="1"/>
  <c r="X259" i="25" s="1"/>
  <c r="K260" i="25" a="1"/>
  <c r="K260" i="25" s="1"/>
  <c r="L260" i="25" a="1"/>
  <c r="L260" i="25" s="1"/>
  <c r="M260" i="25" a="1"/>
  <c r="M260" i="25" s="1"/>
  <c r="N260" i="25" a="1"/>
  <c r="N260" i="25" s="1"/>
  <c r="O260" i="25" a="1"/>
  <c r="O260" i="25" s="1"/>
  <c r="P260" i="25" a="1"/>
  <c r="P260" i="25" s="1"/>
  <c r="Q260" i="25" a="1"/>
  <c r="Q260" i="25" s="1"/>
  <c r="R260" i="25" a="1"/>
  <c r="R260" i="25" s="1"/>
  <c r="U260" i="25" a="1"/>
  <c r="U260" i="25" s="1"/>
  <c r="V260" i="25" a="1"/>
  <c r="V260" i="25" s="1"/>
  <c r="W260" i="25" a="1"/>
  <c r="W260" i="25" s="1"/>
  <c r="X260" i="25" a="1"/>
  <c r="X260" i="25" s="1"/>
  <c r="K261" i="25" a="1"/>
  <c r="K261" i="25" s="1"/>
  <c r="L261" i="25" a="1"/>
  <c r="L261" i="25" s="1"/>
  <c r="M261" i="25" a="1"/>
  <c r="M261" i="25" s="1"/>
  <c r="N261" i="25" a="1"/>
  <c r="N261" i="25" s="1"/>
  <c r="O261" i="25" a="1"/>
  <c r="O261" i="25" s="1"/>
  <c r="P261" i="25" a="1"/>
  <c r="P261" i="25" s="1"/>
  <c r="Q261" i="25" a="1"/>
  <c r="Q261" i="25" s="1"/>
  <c r="R261" i="25" a="1"/>
  <c r="R261" i="25" s="1"/>
  <c r="U261" i="25" a="1"/>
  <c r="U261" i="25" s="1"/>
  <c r="V261" i="25" a="1"/>
  <c r="V261" i="25" s="1"/>
  <c r="W261" i="25" a="1"/>
  <c r="W261" i="25" s="1"/>
  <c r="X261" i="25" a="1"/>
  <c r="X261" i="25" s="1"/>
  <c r="K262" i="25" a="1"/>
  <c r="K262" i="25" s="1"/>
  <c r="L262" i="25" a="1"/>
  <c r="L262" i="25" s="1"/>
  <c r="M262" i="25" a="1"/>
  <c r="M262" i="25" s="1"/>
  <c r="N262" i="25" a="1"/>
  <c r="N262" i="25" s="1"/>
  <c r="O262" i="25" a="1"/>
  <c r="O262" i="25" s="1"/>
  <c r="P262" i="25" a="1"/>
  <c r="P262" i="25" s="1"/>
  <c r="Q262" i="25" a="1"/>
  <c r="Q262" i="25" s="1"/>
  <c r="R262" i="25" a="1"/>
  <c r="R262" i="25" s="1"/>
  <c r="U262" i="25" a="1"/>
  <c r="U262" i="25" s="1"/>
  <c r="V262" i="25" a="1"/>
  <c r="V262" i="25" s="1"/>
  <c r="W262" i="25" a="1"/>
  <c r="W262" i="25" s="1"/>
  <c r="X262" i="25" a="1"/>
  <c r="X262" i="25" s="1"/>
  <c r="K263" i="25" a="1"/>
  <c r="K263" i="25" s="1"/>
  <c r="L263" i="25" a="1"/>
  <c r="L263" i="25" s="1"/>
  <c r="M263" i="25" a="1"/>
  <c r="M263" i="25" s="1"/>
  <c r="N263" i="25" a="1"/>
  <c r="N263" i="25" s="1"/>
  <c r="O263" i="25" a="1"/>
  <c r="O263" i="25" s="1"/>
  <c r="P263" i="25" a="1"/>
  <c r="P263" i="25" s="1"/>
  <c r="Q263" i="25" a="1"/>
  <c r="Q263" i="25" s="1"/>
  <c r="R263" i="25" a="1"/>
  <c r="R263" i="25" s="1"/>
  <c r="U263" i="25" a="1"/>
  <c r="U263" i="25" s="1"/>
  <c r="V263" i="25" a="1"/>
  <c r="V263" i="25" s="1"/>
  <c r="W263" i="25" a="1"/>
  <c r="W263" i="25" s="1"/>
  <c r="X263" i="25" a="1"/>
  <c r="X263" i="25" s="1"/>
  <c r="K264" i="25" a="1"/>
  <c r="K264" i="25" s="1"/>
  <c r="L264" i="25" a="1"/>
  <c r="L264" i="25" s="1"/>
  <c r="M264" i="25" a="1"/>
  <c r="M264" i="25" s="1"/>
  <c r="N264" i="25" a="1"/>
  <c r="N264" i="25" s="1"/>
  <c r="O264" i="25" a="1"/>
  <c r="O264" i="25" s="1"/>
  <c r="P264" i="25" a="1"/>
  <c r="P264" i="25" s="1"/>
  <c r="Q264" i="25" a="1"/>
  <c r="Q264" i="25" s="1"/>
  <c r="R264" i="25" a="1"/>
  <c r="R264" i="25" s="1"/>
  <c r="U264" i="25" a="1"/>
  <c r="U264" i="25" s="1"/>
  <c r="V264" i="25" a="1"/>
  <c r="V264" i="25" s="1"/>
  <c r="W264" i="25" a="1"/>
  <c r="W264" i="25" s="1"/>
  <c r="X264" i="25" a="1"/>
  <c r="X264" i="25" s="1"/>
  <c r="K265" i="25" a="1"/>
  <c r="K265" i="25" s="1"/>
  <c r="L265" i="25" a="1"/>
  <c r="L265" i="25" s="1"/>
  <c r="M265" i="25" a="1"/>
  <c r="M265" i="25" s="1"/>
  <c r="N265" i="25" a="1"/>
  <c r="N265" i="25" s="1"/>
  <c r="O265" i="25" a="1"/>
  <c r="O265" i="25" s="1"/>
  <c r="P265" i="25" a="1"/>
  <c r="P265" i="25" s="1"/>
  <c r="Q265" i="25" a="1"/>
  <c r="Q265" i="25" s="1"/>
  <c r="R265" i="25" a="1"/>
  <c r="R265" i="25" s="1"/>
  <c r="U265" i="25" a="1"/>
  <c r="U265" i="25" s="1"/>
  <c r="V265" i="25" a="1"/>
  <c r="V265" i="25" s="1"/>
  <c r="W265" i="25" a="1"/>
  <c r="W265" i="25" s="1"/>
  <c r="X265" i="25" a="1"/>
  <c r="X265" i="25" s="1"/>
  <c r="K266" i="25" a="1"/>
  <c r="K266" i="25" s="1"/>
  <c r="L266" i="25" a="1"/>
  <c r="L266" i="25" s="1"/>
  <c r="M266" i="25" a="1"/>
  <c r="M266" i="25" s="1"/>
  <c r="N266" i="25" a="1"/>
  <c r="N266" i="25" s="1"/>
  <c r="O266" i="25" a="1"/>
  <c r="O266" i="25" s="1"/>
  <c r="P266" i="25" a="1"/>
  <c r="P266" i="25" s="1"/>
  <c r="Q266" i="25" a="1"/>
  <c r="Q266" i="25" s="1"/>
  <c r="R266" i="25" a="1"/>
  <c r="R266" i="25" s="1"/>
  <c r="U266" i="25" a="1"/>
  <c r="U266" i="25" s="1"/>
  <c r="V266" i="25" a="1"/>
  <c r="V266" i="25" s="1"/>
  <c r="W266" i="25" a="1"/>
  <c r="W266" i="25" s="1"/>
  <c r="X266" i="25" a="1"/>
  <c r="X266" i="25" s="1"/>
  <c r="K267" i="25" a="1"/>
  <c r="K267" i="25" s="1"/>
  <c r="L267" i="25" a="1"/>
  <c r="L267" i="25" s="1"/>
  <c r="M267" i="25" a="1"/>
  <c r="M267" i="25" s="1"/>
  <c r="N267" i="25" a="1"/>
  <c r="N267" i="25" s="1"/>
  <c r="O267" i="25" a="1"/>
  <c r="O267" i="25" s="1"/>
  <c r="P267" i="25" a="1"/>
  <c r="P267" i="25" s="1"/>
  <c r="Q267" i="25" a="1"/>
  <c r="Q267" i="25" s="1"/>
  <c r="R267" i="25" a="1"/>
  <c r="R267" i="25" s="1"/>
  <c r="U267" i="25" a="1"/>
  <c r="U267" i="25" s="1"/>
  <c r="V267" i="25" a="1"/>
  <c r="V267" i="25" s="1"/>
  <c r="W267" i="25" a="1"/>
  <c r="W267" i="25" s="1"/>
  <c r="X267" i="25" a="1"/>
  <c r="X267" i="25" s="1"/>
  <c r="K268" i="25" a="1"/>
  <c r="K268" i="25" s="1"/>
  <c r="L268" i="25" a="1"/>
  <c r="L268" i="25" s="1"/>
  <c r="M268" i="25" a="1"/>
  <c r="M268" i="25" s="1"/>
  <c r="N268" i="25" a="1"/>
  <c r="N268" i="25" s="1"/>
  <c r="O268" i="25" a="1"/>
  <c r="O268" i="25" s="1"/>
  <c r="P268" i="25" a="1"/>
  <c r="P268" i="25" s="1"/>
  <c r="Q268" i="25" a="1"/>
  <c r="Q268" i="25" s="1"/>
  <c r="R268" i="25" a="1"/>
  <c r="R268" i="25" s="1"/>
  <c r="U268" i="25" a="1"/>
  <c r="U268" i="25" s="1"/>
  <c r="V268" i="25" a="1"/>
  <c r="V268" i="25" s="1"/>
  <c r="W268" i="25" a="1"/>
  <c r="W268" i="25" s="1"/>
  <c r="X268" i="25" a="1"/>
  <c r="X268" i="25" s="1"/>
  <c r="K269" i="25" a="1"/>
  <c r="K269" i="25" s="1"/>
  <c r="L269" i="25" a="1"/>
  <c r="L269" i="25" s="1"/>
  <c r="M269" i="25" a="1"/>
  <c r="M269" i="25" s="1"/>
  <c r="N269" i="25" a="1"/>
  <c r="N269" i="25" s="1"/>
  <c r="O269" i="25" a="1"/>
  <c r="O269" i="25" s="1"/>
  <c r="P269" i="25" a="1"/>
  <c r="P269" i="25" s="1"/>
  <c r="Q269" i="25" a="1"/>
  <c r="Q269" i="25" s="1"/>
  <c r="R269" i="25" a="1"/>
  <c r="R269" i="25" s="1"/>
  <c r="U269" i="25" a="1"/>
  <c r="U269" i="25" s="1"/>
  <c r="V269" i="25" a="1"/>
  <c r="V269" i="25" s="1"/>
  <c r="W269" i="25" a="1"/>
  <c r="W269" i="25" s="1"/>
  <c r="X269" i="25" a="1"/>
  <c r="X269" i="25" s="1"/>
  <c r="K270" i="25" a="1"/>
  <c r="K270" i="25" s="1"/>
  <c r="L270" i="25" a="1"/>
  <c r="L270" i="25" s="1"/>
  <c r="M270" i="25" a="1"/>
  <c r="M270" i="25" s="1"/>
  <c r="N270" i="25" a="1"/>
  <c r="N270" i="25" s="1"/>
  <c r="O270" i="25" a="1"/>
  <c r="O270" i="25" s="1"/>
  <c r="P270" i="25" a="1"/>
  <c r="P270" i="25" s="1"/>
  <c r="Q270" i="25" a="1"/>
  <c r="Q270" i="25" s="1"/>
  <c r="R270" i="25" a="1"/>
  <c r="R270" i="25" s="1"/>
  <c r="U270" i="25" a="1"/>
  <c r="U270" i="25" s="1"/>
  <c r="V270" i="25" a="1"/>
  <c r="V270" i="25" s="1"/>
  <c r="W270" i="25" a="1"/>
  <c r="W270" i="25" s="1"/>
  <c r="X270" i="25" a="1"/>
  <c r="X270" i="25" s="1"/>
  <c r="K271" i="25" a="1"/>
  <c r="K271" i="25" s="1"/>
  <c r="L271" i="25" a="1"/>
  <c r="L271" i="25" s="1"/>
  <c r="M271" i="25" a="1"/>
  <c r="M271" i="25" s="1"/>
  <c r="N271" i="25" a="1"/>
  <c r="N271" i="25" s="1"/>
  <c r="O271" i="25" a="1"/>
  <c r="O271" i="25" s="1"/>
  <c r="P271" i="25" a="1"/>
  <c r="P271" i="25" s="1"/>
  <c r="Q271" i="25" a="1"/>
  <c r="Q271" i="25" s="1"/>
  <c r="R271" i="25" a="1"/>
  <c r="R271" i="25" s="1"/>
  <c r="U271" i="25" a="1"/>
  <c r="U271" i="25" s="1"/>
  <c r="V271" i="25" a="1"/>
  <c r="V271" i="25" s="1"/>
  <c r="W271" i="25" a="1"/>
  <c r="W271" i="25" s="1"/>
  <c r="X271" i="25" a="1"/>
  <c r="X271" i="25" s="1"/>
  <c r="K272" i="25" a="1"/>
  <c r="K272" i="25" s="1"/>
  <c r="L272" i="25" a="1"/>
  <c r="L272" i="25" s="1"/>
  <c r="M272" i="25" a="1"/>
  <c r="M272" i="25" s="1"/>
  <c r="N272" i="25" a="1"/>
  <c r="N272" i="25" s="1"/>
  <c r="O272" i="25" a="1"/>
  <c r="O272" i="25" s="1"/>
  <c r="P272" i="25" a="1"/>
  <c r="P272" i="25" s="1"/>
  <c r="Q272" i="25" a="1"/>
  <c r="Q272" i="25" s="1"/>
  <c r="R272" i="25" a="1"/>
  <c r="R272" i="25" s="1"/>
  <c r="U272" i="25" a="1"/>
  <c r="U272" i="25" s="1"/>
  <c r="V272" i="25" a="1"/>
  <c r="V272" i="25" s="1"/>
  <c r="W272" i="25" a="1"/>
  <c r="W272" i="25" s="1"/>
  <c r="X272" i="25" a="1"/>
  <c r="X272" i="25" s="1"/>
  <c r="K273" i="25" a="1"/>
  <c r="K273" i="25" s="1"/>
  <c r="L273" i="25" a="1"/>
  <c r="L273" i="25" s="1"/>
  <c r="M273" i="25" a="1"/>
  <c r="M273" i="25" s="1"/>
  <c r="N273" i="25" a="1"/>
  <c r="N273" i="25" s="1"/>
  <c r="O273" i="25" a="1"/>
  <c r="O273" i="25" s="1"/>
  <c r="P273" i="25" a="1"/>
  <c r="P273" i="25" s="1"/>
  <c r="Q273" i="25" a="1"/>
  <c r="Q273" i="25" s="1"/>
  <c r="R273" i="25" a="1"/>
  <c r="R273" i="25" s="1"/>
  <c r="U273" i="25" a="1"/>
  <c r="U273" i="25" s="1"/>
  <c r="V273" i="25" a="1"/>
  <c r="V273" i="25" s="1"/>
  <c r="W273" i="25" a="1"/>
  <c r="W273" i="25" s="1"/>
  <c r="X273" i="25" a="1"/>
  <c r="X273" i="25" s="1"/>
  <c r="K274" i="25" a="1"/>
  <c r="K274" i="25" s="1"/>
  <c r="L274" i="25" a="1"/>
  <c r="L274" i="25" s="1"/>
  <c r="M274" i="25" a="1"/>
  <c r="M274" i="25" s="1"/>
  <c r="N274" i="25" a="1"/>
  <c r="N274" i="25" s="1"/>
  <c r="O274" i="25" a="1"/>
  <c r="O274" i="25" s="1"/>
  <c r="P274" i="25" a="1"/>
  <c r="P274" i="25" s="1"/>
  <c r="Q274" i="25" a="1"/>
  <c r="Q274" i="25" s="1"/>
  <c r="R274" i="25" a="1"/>
  <c r="R274" i="25" s="1"/>
  <c r="U274" i="25" a="1"/>
  <c r="U274" i="25" s="1"/>
  <c r="V274" i="25" a="1"/>
  <c r="V274" i="25" s="1"/>
  <c r="W274" i="25" a="1"/>
  <c r="W274" i="25" s="1"/>
  <c r="X274" i="25" a="1"/>
  <c r="X274" i="25" s="1"/>
  <c r="K275" i="25" a="1"/>
  <c r="K275" i="25" s="1"/>
  <c r="L275" i="25" a="1"/>
  <c r="L275" i="25" s="1"/>
  <c r="M275" i="25" a="1"/>
  <c r="M275" i="25" s="1"/>
  <c r="N275" i="25" a="1"/>
  <c r="N275" i="25" s="1"/>
  <c r="O275" i="25" a="1"/>
  <c r="O275" i="25" s="1"/>
  <c r="P275" i="25" a="1"/>
  <c r="P275" i="25" s="1"/>
  <c r="Q275" i="25" a="1"/>
  <c r="Q275" i="25" s="1"/>
  <c r="R275" i="25" a="1"/>
  <c r="R275" i="25" s="1"/>
  <c r="U275" i="25" a="1"/>
  <c r="U275" i="25" s="1"/>
  <c r="V275" i="25" a="1"/>
  <c r="V275" i="25" s="1"/>
  <c r="W275" i="25" a="1"/>
  <c r="W275" i="25" s="1"/>
  <c r="X275" i="25" a="1"/>
  <c r="X275" i="25" s="1"/>
  <c r="K276" i="25" a="1"/>
  <c r="K276" i="25" s="1"/>
  <c r="L276" i="25" a="1"/>
  <c r="L276" i="25" s="1"/>
  <c r="M276" i="25" a="1"/>
  <c r="M276" i="25" s="1"/>
  <c r="N276" i="25" a="1"/>
  <c r="N276" i="25" s="1"/>
  <c r="O276" i="25" a="1"/>
  <c r="O276" i="25" s="1"/>
  <c r="P276" i="25" a="1"/>
  <c r="P276" i="25" s="1"/>
  <c r="Q276" i="25" a="1"/>
  <c r="Q276" i="25" s="1"/>
  <c r="R276" i="25" a="1"/>
  <c r="R276" i="25" s="1"/>
  <c r="U276" i="25" a="1"/>
  <c r="U276" i="25" s="1"/>
  <c r="V276" i="25" a="1"/>
  <c r="V276" i="25" s="1"/>
  <c r="W276" i="25" a="1"/>
  <c r="W276" i="25" s="1"/>
  <c r="X276" i="25" a="1"/>
  <c r="X276" i="25" s="1"/>
  <c r="K277" i="25" a="1"/>
  <c r="K277" i="25" s="1"/>
  <c r="L277" i="25" a="1"/>
  <c r="L277" i="25" s="1"/>
  <c r="M277" i="25" a="1"/>
  <c r="M277" i="25" s="1"/>
  <c r="N277" i="25" a="1"/>
  <c r="N277" i="25" s="1"/>
  <c r="O277" i="25" a="1"/>
  <c r="O277" i="25" s="1"/>
  <c r="P277" i="25" a="1"/>
  <c r="P277" i="25" s="1"/>
  <c r="Q277" i="25" a="1"/>
  <c r="Q277" i="25" s="1"/>
  <c r="R277" i="25" a="1"/>
  <c r="R277" i="25" s="1"/>
  <c r="U277" i="25" a="1"/>
  <c r="U277" i="25" s="1"/>
  <c r="V277" i="25" a="1"/>
  <c r="V277" i="25" s="1"/>
  <c r="W277" i="25" a="1"/>
  <c r="W277" i="25" s="1"/>
  <c r="X277" i="25" a="1"/>
  <c r="X277" i="25" s="1"/>
  <c r="K278" i="25" a="1"/>
  <c r="K278" i="25" s="1"/>
  <c r="L278" i="25" a="1"/>
  <c r="L278" i="25" s="1"/>
  <c r="M278" i="25" a="1"/>
  <c r="M278" i="25" s="1"/>
  <c r="N278" i="25" a="1"/>
  <c r="N278" i="25" s="1"/>
  <c r="O278" i="25" a="1"/>
  <c r="O278" i="25" s="1"/>
  <c r="P278" i="25" a="1"/>
  <c r="P278" i="25" s="1"/>
  <c r="Q278" i="25" a="1"/>
  <c r="Q278" i="25" s="1"/>
  <c r="R278" i="25" a="1"/>
  <c r="R278" i="25" s="1"/>
  <c r="U278" i="25" a="1"/>
  <c r="U278" i="25" s="1"/>
  <c r="V278" i="25" a="1"/>
  <c r="V278" i="25" s="1"/>
  <c r="W278" i="25" a="1"/>
  <c r="W278" i="25" s="1"/>
  <c r="X278" i="25" a="1"/>
  <c r="X278" i="25" s="1"/>
  <c r="K279" i="25" a="1"/>
  <c r="K279" i="25" s="1"/>
  <c r="L279" i="25" a="1"/>
  <c r="L279" i="25" s="1"/>
  <c r="M279" i="25" a="1"/>
  <c r="M279" i="25" s="1"/>
  <c r="N279" i="25" a="1"/>
  <c r="N279" i="25" s="1"/>
  <c r="O279" i="25" a="1"/>
  <c r="O279" i="25" s="1"/>
  <c r="P279" i="25" a="1"/>
  <c r="P279" i="25" s="1"/>
  <c r="Q279" i="25" a="1"/>
  <c r="Q279" i="25" s="1"/>
  <c r="R279" i="25" a="1"/>
  <c r="R279" i="25" s="1"/>
  <c r="U279" i="25" a="1"/>
  <c r="U279" i="25" s="1"/>
  <c r="V279" i="25" a="1"/>
  <c r="V279" i="25" s="1"/>
  <c r="W279" i="25" a="1"/>
  <c r="W279" i="25" s="1"/>
  <c r="X279" i="25" a="1"/>
  <c r="X279" i="25" s="1"/>
  <c r="K280" i="25" a="1"/>
  <c r="K280" i="25" s="1"/>
  <c r="L280" i="25" a="1"/>
  <c r="L280" i="25" s="1"/>
  <c r="M280" i="25" a="1"/>
  <c r="M280" i="25" s="1"/>
  <c r="N280" i="25" a="1"/>
  <c r="N280" i="25" s="1"/>
  <c r="O280" i="25" a="1"/>
  <c r="O280" i="25" s="1"/>
  <c r="P280" i="25" a="1"/>
  <c r="P280" i="25" s="1"/>
  <c r="Q280" i="25" a="1"/>
  <c r="Q280" i="25" s="1"/>
  <c r="R280" i="25" a="1"/>
  <c r="R280" i="25" s="1"/>
  <c r="U280" i="25" a="1"/>
  <c r="U280" i="25" s="1"/>
  <c r="V280" i="25" a="1"/>
  <c r="V280" i="25" s="1"/>
  <c r="W280" i="25" a="1"/>
  <c r="W280" i="25" s="1"/>
  <c r="X280" i="25" a="1"/>
  <c r="X280" i="25" s="1"/>
  <c r="K281" i="25" a="1"/>
  <c r="K281" i="25" s="1"/>
  <c r="L281" i="25" a="1"/>
  <c r="L281" i="25" s="1"/>
  <c r="M281" i="25" a="1"/>
  <c r="M281" i="25" s="1"/>
  <c r="N281" i="25" a="1"/>
  <c r="N281" i="25" s="1"/>
  <c r="O281" i="25" a="1"/>
  <c r="O281" i="25" s="1"/>
  <c r="P281" i="25" a="1"/>
  <c r="P281" i="25" s="1"/>
  <c r="Q281" i="25" a="1"/>
  <c r="Q281" i="25" s="1"/>
  <c r="R281" i="25" a="1"/>
  <c r="R281" i="25" s="1"/>
  <c r="U281" i="25" a="1"/>
  <c r="U281" i="25" s="1"/>
  <c r="V281" i="25" a="1"/>
  <c r="V281" i="25" s="1"/>
  <c r="W281" i="25" a="1"/>
  <c r="W281" i="25" s="1"/>
  <c r="X281" i="25" a="1"/>
  <c r="X281" i="25" s="1"/>
  <c r="K282" i="25" a="1"/>
  <c r="K282" i="25" s="1"/>
  <c r="L282" i="25" a="1"/>
  <c r="L282" i="25" s="1"/>
  <c r="M282" i="25" a="1"/>
  <c r="M282" i="25" s="1"/>
  <c r="N282" i="25" a="1"/>
  <c r="N282" i="25" s="1"/>
  <c r="O282" i="25" a="1"/>
  <c r="O282" i="25" s="1"/>
  <c r="P282" i="25" a="1"/>
  <c r="P282" i="25" s="1"/>
  <c r="Q282" i="25" a="1"/>
  <c r="Q282" i="25" s="1"/>
  <c r="R282" i="25" a="1"/>
  <c r="R282" i="25" s="1"/>
  <c r="U282" i="25" a="1"/>
  <c r="U282" i="25" s="1"/>
  <c r="V282" i="25" a="1"/>
  <c r="V282" i="25" s="1"/>
  <c r="W282" i="25" a="1"/>
  <c r="W282" i="25" s="1"/>
  <c r="X282" i="25" a="1"/>
  <c r="X282" i="25" s="1"/>
  <c r="K283" i="25" a="1"/>
  <c r="K283" i="25" s="1"/>
  <c r="L283" i="25" a="1"/>
  <c r="L283" i="25" s="1"/>
  <c r="M283" i="25" a="1"/>
  <c r="M283" i="25" s="1"/>
  <c r="N283" i="25" a="1"/>
  <c r="N283" i="25" s="1"/>
  <c r="O283" i="25" a="1"/>
  <c r="O283" i="25" s="1"/>
  <c r="P283" i="25" a="1"/>
  <c r="P283" i="25" s="1"/>
  <c r="Q283" i="25" a="1"/>
  <c r="Q283" i="25" s="1"/>
  <c r="R283" i="25" a="1"/>
  <c r="R283" i="25" s="1"/>
  <c r="U283" i="25" a="1"/>
  <c r="U283" i="25" s="1"/>
  <c r="V283" i="25" a="1"/>
  <c r="V283" i="25" s="1"/>
  <c r="W283" i="25" a="1"/>
  <c r="W283" i="25" s="1"/>
  <c r="X283" i="25" a="1"/>
  <c r="X283" i="25" s="1"/>
  <c r="K284" i="25" a="1"/>
  <c r="K284" i="25" s="1"/>
  <c r="L284" i="25" a="1"/>
  <c r="L284" i="25" s="1"/>
  <c r="M284" i="25" a="1"/>
  <c r="M284" i="25" s="1"/>
  <c r="N284" i="25" a="1"/>
  <c r="N284" i="25" s="1"/>
  <c r="O284" i="25" a="1"/>
  <c r="O284" i="25" s="1"/>
  <c r="P284" i="25" a="1"/>
  <c r="P284" i="25" s="1"/>
  <c r="Q284" i="25" a="1"/>
  <c r="Q284" i="25" s="1"/>
  <c r="R284" i="25" a="1"/>
  <c r="R284" i="25" s="1"/>
  <c r="U284" i="25" a="1"/>
  <c r="U284" i="25" s="1"/>
  <c r="V284" i="25" a="1"/>
  <c r="V284" i="25" s="1"/>
  <c r="W284" i="25" a="1"/>
  <c r="W284" i="25" s="1"/>
  <c r="X284" i="25" a="1"/>
  <c r="X284" i="25" s="1"/>
  <c r="K285" i="25" a="1"/>
  <c r="K285" i="25" s="1"/>
  <c r="L285" i="25" a="1"/>
  <c r="L285" i="25" s="1"/>
  <c r="M285" i="25" a="1"/>
  <c r="M285" i="25" s="1"/>
  <c r="N285" i="25" a="1"/>
  <c r="N285" i="25" s="1"/>
  <c r="O285" i="25" a="1"/>
  <c r="O285" i="25" s="1"/>
  <c r="P285" i="25" a="1"/>
  <c r="P285" i="25" s="1"/>
  <c r="Q285" i="25" a="1"/>
  <c r="Q285" i="25" s="1"/>
  <c r="R285" i="25" a="1"/>
  <c r="R285" i="25" s="1"/>
  <c r="U285" i="25" a="1"/>
  <c r="U285" i="25" s="1"/>
  <c r="V285" i="25" a="1"/>
  <c r="V285" i="25" s="1"/>
  <c r="W285" i="25" a="1"/>
  <c r="W285" i="25" s="1"/>
  <c r="X285" i="25" a="1"/>
  <c r="X285" i="25" s="1"/>
  <c r="K286" i="25" a="1"/>
  <c r="K286" i="25" s="1"/>
  <c r="L286" i="25" a="1"/>
  <c r="L286" i="25" s="1"/>
  <c r="M286" i="25" a="1"/>
  <c r="M286" i="25" s="1"/>
  <c r="N286" i="25" a="1"/>
  <c r="N286" i="25" s="1"/>
  <c r="O286" i="25" a="1"/>
  <c r="O286" i="25" s="1"/>
  <c r="P286" i="25" a="1"/>
  <c r="P286" i="25" s="1"/>
  <c r="Q286" i="25" a="1"/>
  <c r="Q286" i="25" s="1"/>
  <c r="R286" i="25" a="1"/>
  <c r="R286" i="25" s="1"/>
  <c r="U286" i="25" a="1"/>
  <c r="U286" i="25" s="1"/>
  <c r="V286" i="25" a="1"/>
  <c r="V286" i="25" s="1"/>
  <c r="W286" i="25" a="1"/>
  <c r="W286" i="25" s="1"/>
  <c r="X286" i="25" a="1"/>
  <c r="X286" i="25" s="1"/>
  <c r="K287" i="25" a="1"/>
  <c r="K287" i="25" s="1"/>
  <c r="L287" i="25" a="1"/>
  <c r="L287" i="25" s="1"/>
  <c r="M287" i="25" a="1"/>
  <c r="M287" i="25" s="1"/>
  <c r="N287" i="25" a="1"/>
  <c r="N287" i="25" s="1"/>
  <c r="O287" i="25" a="1"/>
  <c r="O287" i="25" s="1"/>
  <c r="P287" i="25" a="1"/>
  <c r="P287" i="25" s="1"/>
  <c r="Q287" i="25" a="1"/>
  <c r="Q287" i="25" s="1"/>
  <c r="R287" i="25" a="1"/>
  <c r="R287" i="25" s="1"/>
  <c r="U287" i="25" a="1"/>
  <c r="U287" i="25" s="1"/>
  <c r="V287" i="25" a="1"/>
  <c r="V287" i="25" s="1"/>
  <c r="W287" i="25" a="1"/>
  <c r="W287" i="25" s="1"/>
  <c r="X287" i="25" a="1"/>
  <c r="X287" i="25" s="1"/>
  <c r="K288" i="25" a="1"/>
  <c r="K288" i="25" s="1"/>
  <c r="L288" i="25" a="1"/>
  <c r="L288" i="25" s="1"/>
  <c r="M288" i="25" a="1"/>
  <c r="M288" i="25" s="1"/>
  <c r="N288" i="25" a="1"/>
  <c r="N288" i="25" s="1"/>
  <c r="O288" i="25" a="1"/>
  <c r="O288" i="25" s="1"/>
  <c r="P288" i="25" a="1"/>
  <c r="P288" i="25" s="1"/>
  <c r="Q288" i="25" a="1"/>
  <c r="Q288" i="25" s="1"/>
  <c r="R288" i="25" a="1"/>
  <c r="R288" i="25" s="1"/>
  <c r="U288" i="25" a="1"/>
  <c r="U288" i="25" s="1"/>
  <c r="V288" i="25" a="1"/>
  <c r="V288" i="25" s="1"/>
  <c r="W288" i="25" a="1"/>
  <c r="W288" i="25" s="1"/>
  <c r="X288" i="25" a="1"/>
  <c r="X288" i="25" s="1"/>
  <c r="K289" i="25" a="1"/>
  <c r="K289" i="25" s="1"/>
  <c r="L289" i="25" a="1"/>
  <c r="L289" i="25" s="1"/>
  <c r="M289" i="25" a="1"/>
  <c r="M289" i="25" s="1"/>
  <c r="N289" i="25" a="1"/>
  <c r="N289" i="25" s="1"/>
  <c r="O289" i="25" a="1"/>
  <c r="O289" i="25" s="1"/>
  <c r="P289" i="25" a="1"/>
  <c r="P289" i="25" s="1"/>
  <c r="Q289" i="25" a="1"/>
  <c r="Q289" i="25" s="1"/>
  <c r="R289" i="25" a="1"/>
  <c r="R289" i="25" s="1"/>
  <c r="U289" i="25" a="1"/>
  <c r="U289" i="25" s="1"/>
  <c r="V289" i="25" a="1"/>
  <c r="V289" i="25" s="1"/>
  <c r="W289" i="25" a="1"/>
  <c r="W289" i="25" s="1"/>
  <c r="X289" i="25" a="1"/>
  <c r="X289" i="25" s="1"/>
  <c r="K290" i="25" a="1"/>
  <c r="K290" i="25" s="1"/>
  <c r="L290" i="25" a="1"/>
  <c r="L290" i="25" s="1"/>
  <c r="M290" i="25" a="1"/>
  <c r="M290" i="25" s="1"/>
  <c r="N290" i="25" a="1"/>
  <c r="N290" i="25" s="1"/>
  <c r="O290" i="25" a="1"/>
  <c r="O290" i="25" s="1"/>
  <c r="P290" i="25" a="1"/>
  <c r="P290" i="25" s="1"/>
  <c r="Q290" i="25" a="1"/>
  <c r="Q290" i="25" s="1"/>
  <c r="R290" i="25" a="1"/>
  <c r="R290" i="25" s="1"/>
  <c r="U290" i="25" a="1"/>
  <c r="U290" i="25" s="1"/>
  <c r="V290" i="25" a="1"/>
  <c r="V290" i="25" s="1"/>
  <c r="W290" i="25" a="1"/>
  <c r="W290" i="25" s="1"/>
  <c r="X290" i="25" a="1"/>
  <c r="X290" i="25" s="1"/>
  <c r="K291" i="25" a="1"/>
  <c r="K291" i="25" s="1"/>
  <c r="L291" i="25" a="1"/>
  <c r="L291" i="25" s="1"/>
  <c r="M291" i="25" a="1"/>
  <c r="M291" i="25" s="1"/>
  <c r="N291" i="25" a="1"/>
  <c r="N291" i="25" s="1"/>
  <c r="O291" i="25" a="1"/>
  <c r="O291" i="25" s="1"/>
  <c r="P291" i="25" a="1"/>
  <c r="P291" i="25" s="1"/>
  <c r="Q291" i="25" a="1"/>
  <c r="Q291" i="25" s="1"/>
  <c r="R291" i="25" a="1"/>
  <c r="R291" i="25" s="1"/>
  <c r="U291" i="25" a="1"/>
  <c r="U291" i="25" s="1"/>
  <c r="V291" i="25" a="1"/>
  <c r="V291" i="25" s="1"/>
  <c r="W291" i="25" a="1"/>
  <c r="W291" i="25" s="1"/>
  <c r="X291" i="25" a="1"/>
  <c r="X291" i="25" s="1"/>
  <c r="K292" i="25" a="1"/>
  <c r="K292" i="25" s="1"/>
  <c r="L292" i="25" a="1"/>
  <c r="L292" i="25" s="1"/>
  <c r="M292" i="25" a="1"/>
  <c r="M292" i="25" s="1"/>
  <c r="N292" i="25" a="1"/>
  <c r="N292" i="25" s="1"/>
  <c r="O292" i="25" a="1"/>
  <c r="O292" i="25" s="1"/>
  <c r="P292" i="25" a="1"/>
  <c r="P292" i="25" s="1"/>
  <c r="Q292" i="25" a="1"/>
  <c r="Q292" i="25" s="1"/>
  <c r="R292" i="25" a="1"/>
  <c r="R292" i="25" s="1"/>
  <c r="U292" i="25" a="1"/>
  <c r="U292" i="25" s="1"/>
  <c r="V292" i="25" a="1"/>
  <c r="V292" i="25" s="1"/>
  <c r="W292" i="25" a="1"/>
  <c r="W292" i="25" s="1"/>
  <c r="X292" i="25" a="1"/>
  <c r="X292" i="25" s="1"/>
  <c r="K293" i="25" a="1"/>
  <c r="K293" i="25" s="1"/>
  <c r="L293" i="25" a="1"/>
  <c r="L293" i="25" s="1"/>
  <c r="M293" i="25" a="1"/>
  <c r="M293" i="25" s="1"/>
  <c r="N293" i="25" a="1"/>
  <c r="N293" i="25" s="1"/>
  <c r="O293" i="25" a="1"/>
  <c r="O293" i="25" s="1"/>
  <c r="P293" i="25" a="1"/>
  <c r="P293" i="25" s="1"/>
  <c r="Q293" i="25" a="1"/>
  <c r="Q293" i="25" s="1"/>
  <c r="R293" i="25" a="1"/>
  <c r="R293" i="25" s="1"/>
  <c r="U293" i="25" a="1"/>
  <c r="U293" i="25" s="1"/>
  <c r="V293" i="25" a="1"/>
  <c r="V293" i="25" s="1"/>
  <c r="W293" i="25" a="1"/>
  <c r="W293" i="25" s="1"/>
  <c r="X293" i="25" a="1"/>
  <c r="X293" i="25" s="1"/>
  <c r="K294" i="25" a="1"/>
  <c r="K294" i="25" s="1"/>
  <c r="L294" i="25" a="1"/>
  <c r="L294" i="25" s="1"/>
  <c r="M294" i="25" a="1"/>
  <c r="M294" i="25" s="1"/>
  <c r="N294" i="25" a="1"/>
  <c r="N294" i="25" s="1"/>
  <c r="O294" i="25" a="1"/>
  <c r="O294" i="25" s="1"/>
  <c r="P294" i="25" a="1"/>
  <c r="P294" i="25" s="1"/>
  <c r="Q294" i="25" a="1"/>
  <c r="Q294" i="25" s="1"/>
  <c r="R294" i="25" a="1"/>
  <c r="R294" i="25" s="1"/>
  <c r="U294" i="25" a="1"/>
  <c r="U294" i="25" s="1"/>
  <c r="V294" i="25" a="1"/>
  <c r="V294" i="25" s="1"/>
  <c r="W294" i="25" a="1"/>
  <c r="W294" i="25" s="1"/>
  <c r="X294" i="25" a="1"/>
  <c r="X294" i="25" s="1"/>
  <c r="K295" i="25" a="1"/>
  <c r="K295" i="25" s="1"/>
  <c r="L295" i="25" a="1"/>
  <c r="L295" i="25" s="1"/>
  <c r="M295" i="25" a="1"/>
  <c r="M295" i="25" s="1"/>
  <c r="N295" i="25" a="1"/>
  <c r="N295" i="25" s="1"/>
  <c r="O295" i="25" a="1"/>
  <c r="O295" i="25" s="1"/>
  <c r="P295" i="25" a="1"/>
  <c r="P295" i="25" s="1"/>
  <c r="Q295" i="25" a="1"/>
  <c r="Q295" i="25" s="1"/>
  <c r="R295" i="25" a="1"/>
  <c r="R295" i="25" s="1"/>
  <c r="U295" i="25" a="1"/>
  <c r="U295" i="25" s="1"/>
  <c r="V295" i="25" a="1"/>
  <c r="V295" i="25" s="1"/>
  <c r="W295" i="25" a="1"/>
  <c r="W295" i="25" s="1"/>
  <c r="X295" i="25" a="1"/>
  <c r="X295" i="25" s="1"/>
  <c r="K296" i="25" a="1"/>
  <c r="K296" i="25" s="1"/>
  <c r="L296" i="25" a="1"/>
  <c r="L296" i="25" s="1"/>
  <c r="M296" i="25" a="1"/>
  <c r="M296" i="25" s="1"/>
  <c r="N296" i="25" a="1"/>
  <c r="N296" i="25" s="1"/>
  <c r="O296" i="25" a="1"/>
  <c r="O296" i="25" s="1"/>
  <c r="P296" i="25" a="1"/>
  <c r="P296" i="25" s="1"/>
  <c r="Q296" i="25" a="1"/>
  <c r="Q296" i="25" s="1"/>
  <c r="R296" i="25" a="1"/>
  <c r="R296" i="25" s="1"/>
  <c r="U296" i="25" a="1"/>
  <c r="U296" i="25" s="1"/>
  <c r="V296" i="25" a="1"/>
  <c r="V296" i="25" s="1"/>
  <c r="W296" i="25" a="1"/>
  <c r="W296" i="25" s="1"/>
  <c r="X296" i="25" a="1"/>
  <c r="X296" i="25" s="1"/>
  <c r="K297" i="25" a="1"/>
  <c r="K297" i="25" s="1"/>
  <c r="L297" i="25" a="1"/>
  <c r="L297" i="25" s="1"/>
  <c r="M297" i="25" a="1"/>
  <c r="M297" i="25" s="1"/>
  <c r="N297" i="25" a="1"/>
  <c r="N297" i="25" s="1"/>
  <c r="O297" i="25" a="1"/>
  <c r="O297" i="25" s="1"/>
  <c r="P297" i="25" a="1"/>
  <c r="P297" i="25" s="1"/>
  <c r="Q297" i="25" a="1"/>
  <c r="Q297" i="25" s="1"/>
  <c r="R297" i="25" a="1"/>
  <c r="R297" i="25" s="1"/>
  <c r="U297" i="25" a="1"/>
  <c r="U297" i="25" s="1"/>
  <c r="V297" i="25" a="1"/>
  <c r="V297" i="25" s="1"/>
  <c r="W297" i="25" a="1"/>
  <c r="W297" i="25" s="1"/>
  <c r="X297" i="25" a="1"/>
  <c r="X297" i="25" s="1"/>
  <c r="K298" i="25" a="1"/>
  <c r="K298" i="25" s="1"/>
  <c r="L298" i="25" a="1"/>
  <c r="L298" i="25" s="1"/>
  <c r="M298" i="25" a="1"/>
  <c r="M298" i="25" s="1"/>
  <c r="N298" i="25" a="1"/>
  <c r="N298" i="25" s="1"/>
  <c r="O298" i="25" a="1"/>
  <c r="O298" i="25" s="1"/>
  <c r="P298" i="25" a="1"/>
  <c r="P298" i="25" s="1"/>
  <c r="Q298" i="25" a="1"/>
  <c r="Q298" i="25" s="1"/>
  <c r="R298" i="25" a="1"/>
  <c r="R298" i="25" s="1"/>
  <c r="U298" i="25" a="1"/>
  <c r="U298" i="25" s="1"/>
  <c r="V298" i="25" a="1"/>
  <c r="V298" i="25" s="1"/>
  <c r="W298" i="25" a="1"/>
  <c r="W298" i="25" s="1"/>
  <c r="X298" i="25" a="1"/>
  <c r="X298" i="25" s="1"/>
  <c r="K299" i="25" a="1"/>
  <c r="K299" i="25" s="1"/>
  <c r="L299" i="25" a="1"/>
  <c r="L299" i="25" s="1"/>
  <c r="M299" i="25" a="1"/>
  <c r="M299" i="25" s="1"/>
  <c r="N299" i="25" a="1"/>
  <c r="N299" i="25" s="1"/>
  <c r="O299" i="25" a="1"/>
  <c r="O299" i="25" s="1"/>
  <c r="P299" i="25" a="1"/>
  <c r="P299" i="25" s="1"/>
  <c r="Q299" i="25" a="1"/>
  <c r="Q299" i="25" s="1"/>
  <c r="R299" i="25" a="1"/>
  <c r="R299" i="25" s="1"/>
  <c r="U299" i="25" a="1"/>
  <c r="U299" i="25" s="1"/>
  <c r="V299" i="25" a="1"/>
  <c r="V299" i="25" s="1"/>
  <c r="W299" i="25" a="1"/>
  <c r="W299" i="25" s="1"/>
  <c r="X299" i="25" a="1"/>
  <c r="X299" i="25" s="1"/>
  <c r="K300" i="25" a="1"/>
  <c r="K300" i="25" s="1"/>
  <c r="L300" i="25" a="1"/>
  <c r="L300" i="25" s="1"/>
  <c r="M300" i="25" a="1"/>
  <c r="M300" i="25" s="1"/>
  <c r="N300" i="25" a="1"/>
  <c r="N300" i="25" s="1"/>
  <c r="O300" i="25" a="1"/>
  <c r="O300" i="25" s="1"/>
  <c r="P300" i="25" a="1"/>
  <c r="P300" i="25" s="1"/>
  <c r="Q300" i="25" a="1"/>
  <c r="Q300" i="25" s="1"/>
  <c r="R300" i="25" a="1"/>
  <c r="R300" i="25" s="1"/>
  <c r="U300" i="25" a="1"/>
  <c r="U300" i="25" s="1"/>
  <c r="V300" i="25" a="1"/>
  <c r="V300" i="25" s="1"/>
  <c r="W300" i="25" a="1"/>
  <c r="W300" i="25" s="1"/>
  <c r="X300" i="25" a="1"/>
  <c r="X300" i="25" s="1"/>
  <c r="K301" i="25" a="1"/>
  <c r="K301" i="25" s="1"/>
  <c r="L301" i="25" a="1"/>
  <c r="L301" i="25" s="1"/>
  <c r="M301" i="25" a="1"/>
  <c r="M301" i="25" s="1"/>
  <c r="N301" i="25" a="1"/>
  <c r="N301" i="25" s="1"/>
  <c r="O301" i="25" a="1"/>
  <c r="O301" i="25" s="1"/>
  <c r="P301" i="25" a="1"/>
  <c r="P301" i="25" s="1"/>
  <c r="Q301" i="25" a="1"/>
  <c r="Q301" i="25" s="1"/>
  <c r="R301" i="25" a="1"/>
  <c r="R301" i="25" s="1"/>
  <c r="U301" i="25" a="1"/>
  <c r="U301" i="25" s="1"/>
  <c r="V301" i="25" a="1"/>
  <c r="V301" i="25" s="1"/>
  <c r="W301" i="25" a="1"/>
  <c r="W301" i="25" s="1"/>
  <c r="X301" i="25" a="1"/>
  <c r="X301" i="25" s="1"/>
  <c r="K302" i="25" a="1"/>
  <c r="K302" i="25" s="1"/>
  <c r="L302" i="25" a="1"/>
  <c r="L302" i="25" s="1"/>
  <c r="M302" i="25" a="1"/>
  <c r="M302" i="25" s="1"/>
  <c r="N302" i="25" a="1"/>
  <c r="N302" i="25" s="1"/>
  <c r="O302" i="25" a="1"/>
  <c r="O302" i="25" s="1"/>
  <c r="P302" i="25" a="1"/>
  <c r="P302" i="25" s="1"/>
  <c r="Q302" i="25" a="1"/>
  <c r="Q302" i="25" s="1"/>
  <c r="R302" i="25" a="1"/>
  <c r="R302" i="25" s="1"/>
  <c r="U302" i="25" a="1"/>
  <c r="U302" i="25" s="1"/>
  <c r="V302" i="25" a="1"/>
  <c r="V302" i="25" s="1"/>
  <c r="W302" i="25" a="1"/>
  <c r="W302" i="25" s="1"/>
  <c r="X302" i="25" a="1"/>
  <c r="X302" i="25" s="1"/>
  <c r="K303" i="25" a="1"/>
  <c r="K303" i="25" s="1"/>
  <c r="L303" i="25" a="1"/>
  <c r="L303" i="25" s="1"/>
  <c r="M303" i="25" a="1"/>
  <c r="M303" i="25" s="1"/>
  <c r="N303" i="25" a="1"/>
  <c r="N303" i="25" s="1"/>
  <c r="O303" i="25" a="1"/>
  <c r="O303" i="25" s="1"/>
  <c r="P303" i="25" a="1"/>
  <c r="P303" i="25" s="1"/>
  <c r="Q303" i="25" a="1"/>
  <c r="Q303" i="25" s="1"/>
  <c r="R303" i="25" a="1"/>
  <c r="R303" i="25" s="1"/>
  <c r="U303" i="25" a="1"/>
  <c r="U303" i="25" s="1"/>
  <c r="V303" i="25" a="1"/>
  <c r="V303" i="25" s="1"/>
  <c r="W303" i="25" a="1"/>
  <c r="W303" i="25" s="1"/>
  <c r="X303" i="25" a="1"/>
  <c r="X303" i="25" s="1"/>
  <c r="K304" i="25" a="1"/>
  <c r="K304" i="25" s="1"/>
  <c r="L304" i="25" a="1"/>
  <c r="L304" i="25" s="1"/>
  <c r="M304" i="25" a="1"/>
  <c r="M304" i="25" s="1"/>
  <c r="N304" i="25" a="1"/>
  <c r="N304" i="25" s="1"/>
  <c r="O304" i="25" a="1"/>
  <c r="O304" i="25" s="1"/>
  <c r="P304" i="25" a="1"/>
  <c r="P304" i="25" s="1"/>
  <c r="Q304" i="25" a="1"/>
  <c r="Q304" i="25" s="1"/>
  <c r="R304" i="25" a="1"/>
  <c r="R304" i="25" s="1"/>
  <c r="U304" i="25" a="1"/>
  <c r="U304" i="25" s="1"/>
  <c r="V304" i="25" a="1"/>
  <c r="V304" i="25" s="1"/>
  <c r="W304" i="25" a="1"/>
  <c r="W304" i="25" s="1"/>
  <c r="X304" i="25" a="1"/>
  <c r="X304" i="25" s="1"/>
  <c r="K305" i="25" a="1"/>
  <c r="K305" i="25" s="1"/>
  <c r="L305" i="25" a="1"/>
  <c r="L305" i="25" s="1"/>
  <c r="M305" i="25" a="1"/>
  <c r="M305" i="25" s="1"/>
  <c r="N305" i="25" a="1"/>
  <c r="N305" i="25" s="1"/>
  <c r="O305" i="25" a="1"/>
  <c r="O305" i="25" s="1"/>
  <c r="P305" i="25" a="1"/>
  <c r="P305" i="25" s="1"/>
  <c r="Q305" i="25" a="1"/>
  <c r="Q305" i="25" s="1"/>
  <c r="R305" i="25" a="1"/>
  <c r="R305" i="25" s="1"/>
  <c r="U305" i="25" a="1"/>
  <c r="U305" i="25" s="1"/>
  <c r="V305" i="25" a="1"/>
  <c r="V305" i="25" s="1"/>
  <c r="W305" i="25" a="1"/>
  <c r="W305" i="25" s="1"/>
  <c r="X305" i="25" a="1"/>
  <c r="X305" i="25" s="1"/>
  <c r="K306" i="25" a="1"/>
  <c r="K306" i="25" s="1"/>
  <c r="L306" i="25" a="1"/>
  <c r="L306" i="25" s="1"/>
  <c r="M306" i="25" a="1"/>
  <c r="M306" i="25" s="1"/>
  <c r="N306" i="25" a="1"/>
  <c r="N306" i="25" s="1"/>
  <c r="O306" i="25" a="1"/>
  <c r="O306" i="25" s="1"/>
  <c r="P306" i="25" a="1"/>
  <c r="P306" i="25" s="1"/>
  <c r="Q306" i="25" a="1"/>
  <c r="Q306" i="25" s="1"/>
  <c r="R306" i="25" a="1"/>
  <c r="R306" i="25" s="1"/>
  <c r="U306" i="25" a="1"/>
  <c r="U306" i="25" s="1"/>
  <c r="V306" i="25" a="1"/>
  <c r="V306" i="25" s="1"/>
  <c r="W306" i="25" a="1"/>
  <c r="W306" i="25" s="1"/>
  <c r="X306" i="25" a="1"/>
  <c r="X306" i="25" s="1"/>
  <c r="K307" i="25" a="1"/>
  <c r="K307" i="25" s="1"/>
  <c r="L307" i="25" a="1"/>
  <c r="L307" i="25" s="1"/>
  <c r="M307" i="25" a="1"/>
  <c r="M307" i="25" s="1"/>
  <c r="N307" i="25" a="1"/>
  <c r="N307" i="25" s="1"/>
  <c r="O307" i="25" a="1"/>
  <c r="O307" i="25" s="1"/>
  <c r="P307" i="25" a="1"/>
  <c r="P307" i="25" s="1"/>
  <c r="Q307" i="25" a="1"/>
  <c r="Q307" i="25" s="1"/>
  <c r="R307" i="25" a="1"/>
  <c r="R307" i="25" s="1"/>
  <c r="U307" i="25" a="1"/>
  <c r="U307" i="25" s="1"/>
  <c r="V307" i="25" a="1"/>
  <c r="V307" i="25" s="1"/>
  <c r="W307" i="25" a="1"/>
  <c r="W307" i="25" s="1"/>
  <c r="X307" i="25" a="1"/>
  <c r="X307" i="25" s="1"/>
  <c r="K308" i="25" a="1"/>
  <c r="K308" i="25" s="1"/>
  <c r="L308" i="25" a="1"/>
  <c r="L308" i="25" s="1"/>
  <c r="M308" i="25" a="1"/>
  <c r="M308" i="25" s="1"/>
  <c r="N308" i="25" a="1"/>
  <c r="N308" i="25" s="1"/>
  <c r="O308" i="25" a="1"/>
  <c r="O308" i="25" s="1"/>
  <c r="P308" i="25" a="1"/>
  <c r="P308" i="25" s="1"/>
  <c r="Q308" i="25" a="1"/>
  <c r="Q308" i="25" s="1"/>
  <c r="R308" i="25" a="1"/>
  <c r="R308" i="25" s="1"/>
  <c r="U308" i="25" a="1"/>
  <c r="U308" i="25" s="1"/>
  <c r="V308" i="25" a="1"/>
  <c r="V308" i="25" s="1"/>
  <c r="W308" i="25" a="1"/>
  <c r="W308" i="25" s="1"/>
  <c r="X308" i="25" a="1"/>
  <c r="X308" i="25" s="1"/>
  <c r="K309" i="25" a="1"/>
  <c r="K309" i="25" s="1"/>
  <c r="L309" i="25" a="1"/>
  <c r="L309" i="25" s="1"/>
  <c r="M309" i="25" a="1"/>
  <c r="M309" i="25" s="1"/>
  <c r="N309" i="25" a="1"/>
  <c r="N309" i="25" s="1"/>
  <c r="O309" i="25" a="1"/>
  <c r="O309" i="25" s="1"/>
  <c r="P309" i="25" a="1"/>
  <c r="P309" i="25" s="1"/>
  <c r="Q309" i="25" a="1"/>
  <c r="Q309" i="25" s="1"/>
  <c r="R309" i="25" a="1"/>
  <c r="R309" i="25" s="1"/>
  <c r="U309" i="25" a="1"/>
  <c r="U309" i="25" s="1"/>
  <c r="V309" i="25" a="1"/>
  <c r="V309" i="25" s="1"/>
  <c r="W309" i="25" a="1"/>
  <c r="W309" i="25" s="1"/>
  <c r="X309" i="25" a="1"/>
  <c r="X309" i="25" s="1"/>
  <c r="K310" i="25" a="1"/>
  <c r="K310" i="25" s="1"/>
  <c r="L310" i="25" a="1"/>
  <c r="L310" i="25" s="1"/>
  <c r="M310" i="25" a="1"/>
  <c r="M310" i="25" s="1"/>
  <c r="N310" i="25" a="1"/>
  <c r="N310" i="25" s="1"/>
  <c r="O310" i="25" a="1"/>
  <c r="O310" i="25" s="1"/>
  <c r="P310" i="25" a="1"/>
  <c r="P310" i="25" s="1"/>
  <c r="Q310" i="25" a="1"/>
  <c r="Q310" i="25" s="1"/>
  <c r="R310" i="25" a="1"/>
  <c r="R310" i="25" s="1"/>
  <c r="U310" i="25" a="1"/>
  <c r="U310" i="25" s="1"/>
  <c r="V310" i="25" a="1"/>
  <c r="V310" i="25" s="1"/>
  <c r="W310" i="25" a="1"/>
  <c r="W310" i="25" s="1"/>
  <c r="X310" i="25" a="1"/>
  <c r="X310" i="25" s="1"/>
  <c r="K311" i="25" a="1"/>
  <c r="K311" i="25" s="1"/>
  <c r="L311" i="25" a="1"/>
  <c r="L311" i="25" s="1"/>
  <c r="M311" i="25" a="1"/>
  <c r="M311" i="25" s="1"/>
  <c r="N311" i="25" a="1"/>
  <c r="N311" i="25" s="1"/>
  <c r="O311" i="25" a="1"/>
  <c r="O311" i="25" s="1"/>
  <c r="P311" i="25" a="1"/>
  <c r="P311" i="25" s="1"/>
  <c r="Q311" i="25" a="1"/>
  <c r="Q311" i="25" s="1"/>
  <c r="R311" i="25" a="1"/>
  <c r="R311" i="25" s="1"/>
  <c r="U311" i="25" a="1"/>
  <c r="U311" i="25" s="1"/>
  <c r="V311" i="25" a="1"/>
  <c r="V311" i="25" s="1"/>
  <c r="W311" i="25" a="1"/>
  <c r="W311" i="25" s="1"/>
  <c r="X311" i="25" a="1"/>
  <c r="X311" i="25" s="1"/>
  <c r="K312" i="25" a="1"/>
  <c r="K312" i="25" s="1"/>
  <c r="L312" i="25" a="1"/>
  <c r="L312" i="25" s="1"/>
  <c r="M312" i="25" a="1"/>
  <c r="M312" i="25" s="1"/>
  <c r="N312" i="25" a="1"/>
  <c r="N312" i="25" s="1"/>
  <c r="O312" i="25" a="1"/>
  <c r="O312" i="25" s="1"/>
  <c r="P312" i="25" a="1"/>
  <c r="P312" i="25" s="1"/>
  <c r="Q312" i="25" a="1"/>
  <c r="Q312" i="25" s="1"/>
  <c r="R312" i="25" a="1"/>
  <c r="R312" i="25" s="1"/>
  <c r="U312" i="25" a="1"/>
  <c r="U312" i="25" s="1"/>
  <c r="V312" i="25" a="1"/>
  <c r="V312" i="25" s="1"/>
  <c r="W312" i="25" a="1"/>
  <c r="W312" i="25" s="1"/>
  <c r="X312" i="25" a="1"/>
  <c r="X312" i="25" s="1"/>
  <c r="K313" i="25" a="1"/>
  <c r="K313" i="25" s="1"/>
  <c r="L313" i="25" a="1"/>
  <c r="L313" i="25" s="1"/>
  <c r="M313" i="25" a="1"/>
  <c r="M313" i="25" s="1"/>
  <c r="N313" i="25" a="1"/>
  <c r="N313" i="25" s="1"/>
  <c r="O313" i="25" a="1"/>
  <c r="O313" i="25" s="1"/>
  <c r="P313" i="25" a="1"/>
  <c r="P313" i="25" s="1"/>
  <c r="Q313" i="25" a="1"/>
  <c r="Q313" i="25" s="1"/>
  <c r="R313" i="25" a="1"/>
  <c r="R313" i="25" s="1"/>
  <c r="U313" i="25" a="1"/>
  <c r="U313" i="25" s="1"/>
  <c r="V313" i="25" a="1"/>
  <c r="V313" i="25" s="1"/>
  <c r="W313" i="25" a="1"/>
  <c r="W313" i="25" s="1"/>
  <c r="X313" i="25" a="1"/>
  <c r="X313" i="25" s="1"/>
  <c r="K314" i="25" a="1"/>
  <c r="K314" i="25" s="1"/>
  <c r="L314" i="25" a="1"/>
  <c r="L314" i="25" s="1"/>
  <c r="M314" i="25" a="1"/>
  <c r="M314" i="25" s="1"/>
  <c r="N314" i="25" a="1"/>
  <c r="N314" i="25" s="1"/>
  <c r="O314" i="25" a="1"/>
  <c r="O314" i="25" s="1"/>
  <c r="P314" i="25" a="1"/>
  <c r="P314" i="25" s="1"/>
  <c r="Q314" i="25" a="1"/>
  <c r="Q314" i="25" s="1"/>
  <c r="R314" i="25" a="1"/>
  <c r="R314" i="25" s="1"/>
  <c r="U314" i="25" a="1"/>
  <c r="U314" i="25" s="1"/>
  <c r="V314" i="25" a="1"/>
  <c r="V314" i="25" s="1"/>
  <c r="W314" i="25" a="1"/>
  <c r="W314" i="25" s="1"/>
  <c r="X314" i="25" a="1"/>
  <c r="X314" i="25" s="1"/>
  <c r="K315" i="25" a="1"/>
  <c r="K315" i="25" s="1"/>
  <c r="L315" i="25" a="1"/>
  <c r="L315" i="25" s="1"/>
  <c r="M315" i="25" a="1"/>
  <c r="M315" i="25" s="1"/>
  <c r="N315" i="25" a="1"/>
  <c r="N315" i="25" s="1"/>
  <c r="O315" i="25" a="1"/>
  <c r="O315" i="25" s="1"/>
  <c r="P315" i="25" a="1"/>
  <c r="P315" i="25" s="1"/>
  <c r="Q315" i="25" a="1"/>
  <c r="Q315" i="25" s="1"/>
  <c r="R315" i="25" a="1"/>
  <c r="R315" i="25" s="1"/>
  <c r="U315" i="25" a="1"/>
  <c r="U315" i="25" s="1"/>
  <c r="V315" i="25" a="1"/>
  <c r="V315" i="25" s="1"/>
  <c r="W315" i="25" a="1"/>
  <c r="W315" i="25" s="1"/>
  <c r="X315" i="25" a="1"/>
  <c r="X315" i="25" s="1"/>
  <c r="K316" i="25" a="1"/>
  <c r="K316" i="25" s="1"/>
  <c r="L316" i="25" a="1"/>
  <c r="L316" i="25" s="1"/>
  <c r="M316" i="25" a="1"/>
  <c r="M316" i="25" s="1"/>
  <c r="N316" i="25" a="1"/>
  <c r="N316" i="25" s="1"/>
  <c r="O316" i="25" a="1"/>
  <c r="O316" i="25" s="1"/>
  <c r="P316" i="25" a="1"/>
  <c r="P316" i="25" s="1"/>
  <c r="Q316" i="25" a="1"/>
  <c r="Q316" i="25" s="1"/>
  <c r="R316" i="25" a="1"/>
  <c r="R316" i="25" s="1"/>
  <c r="U316" i="25" a="1"/>
  <c r="U316" i="25" s="1"/>
  <c r="V316" i="25" a="1"/>
  <c r="V316" i="25" s="1"/>
  <c r="W316" i="25" a="1"/>
  <c r="W316" i="25" s="1"/>
  <c r="X316" i="25" a="1"/>
  <c r="X316" i="25" s="1"/>
  <c r="K317" i="25" a="1"/>
  <c r="K317" i="25" s="1"/>
  <c r="L317" i="25" a="1"/>
  <c r="L317" i="25" s="1"/>
  <c r="M317" i="25" a="1"/>
  <c r="M317" i="25" s="1"/>
  <c r="N317" i="25" a="1"/>
  <c r="N317" i="25" s="1"/>
  <c r="O317" i="25" a="1"/>
  <c r="O317" i="25" s="1"/>
  <c r="P317" i="25" a="1"/>
  <c r="P317" i="25" s="1"/>
  <c r="Q317" i="25" a="1"/>
  <c r="Q317" i="25" s="1"/>
  <c r="R317" i="25" a="1"/>
  <c r="R317" i="25" s="1"/>
  <c r="U317" i="25" a="1"/>
  <c r="U317" i="25" s="1"/>
  <c r="V317" i="25" a="1"/>
  <c r="V317" i="25" s="1"/>
  <c r="W317" i="25" a="1"/>
  <c r="W317" i="25" s="1"/>
  <c r="X317" i="25" a="1"/>
  <c r="X317" i="25" s="1"/>
  <c r="K318" i="25" a="1"/>
  <c r="K318" i="25" s="1"/>
  <c r="L318" i="25" a="1"/>
  <c r="L318" i="25" s="1"/>
  <c r="M318" i="25" a="1"/>
  <c r="M318" i="25" s="1"/>
  <c r="N318" i="25" a="1"/>
  <c r="N318" i="25" s="1"/>
  <c r="O318" i="25" a="1"/>
  <c r="O318" i="25" s="1"/>
  <c r="P318" i="25" a="1"/>
  <c r="P318" i="25" s="1"/>
  <c r="Q318" i="25" a="1"/>
  <c r="Q318" i="25" s="1"/>
  <c r="R318" i="25" a="1"/>
  <c r="R318" i="25" s="1"/>
  <c r="U318" i="25" a="1"/>
  <c r="U318" i="25" s="1"/>
  <c r="V318" i="25" a="1"/>
  <c r="V318" i="25" s="1"/>
  <c r="W318" i="25" a="1"/>
  <c r="W318" i="25" s="1"/>
  <c r="X318" i="25" a="1"/>
  <c r="X318" i="25" s="1"/>
  <c r="K319" i="25" a="1"/>
  <c r="K319" i="25" s="1"/>
  <c r="L319" i="25" a="1"/>
  <c r="L319" i="25" s="1"/>
  <c r="M319" i="25" a="1"/>
  <c r="M319" i="25" s="1"/>
  <c r="N319" i="25" a="1"/>
  <c r="N319" i="25" s="1"/>
  <c r="O319" i="25" a="1"/>
  <c r="O319" i="25" s="1"/>
  <c r="P319" i="25" a="1"/>
  <c r="P319" i="25" s="1"/>
  <c r="Q319" i="25" a="1"/>
  <c r="Q319" i="25" s="1"/>
  <c r="R319" i="25" a="1"/>
  <c r="R319" i="25" s="1"/>
  <c r="U319" i="25" a="1"/>
  <c r="U319" i="25" s="1"/>
  <c r="V319" i="25" a="1"/>
  <c r="V319" i="25" s="1"/>
  <c r="W319" i="25" a="1"/>
  <c r="W319" i="25" s="1"/>
  <c r="X319" i="25" a="1"/>
  <c r="X319" i="25" s="1"/>
  <c r="K320" i="25" a="1"/>
  <c r="K320" i="25" s="1"/>
  <c r="L320" i="25" a="1"/>
  <c r="L320" i="25" s="1"/>
  <c r="M320" i="25" a="1"/>
  <c r="M320" i="25" s="1"/>
  <c r="N320" i="25" a="1"/>
  <c r="N320" i="25" s="1"/>
  <c r="O320" i="25" a="1"/>
  <c r="O320" i="25" s="1"/>
  <c r="P320" i="25" a="1"/>
  <c r="P320" i="25" s="1"/>
  <c r="Q320" i="25" a="1"/>
  <c r="Q320" i="25" s="1"/>
  <c r="R320" i="25" a="1"/>
  <c r="R320" i="25" s="1"/>
  <c r="U320" i="25" a="1"/>
  <c r="U320" i="25" s="1"/>
  <c r="V320" i="25" a="1"/>
  <c r="V320" i="25" s="1"/>
  <c r="W320" i="25" a="1"/>
  <c r="W320" i="25" s="1"/>
  <c r="X320" i="25" a="1"/>
  <c r="X320" i="25" s="1"/>
  <c r="K321" i="25" a="1"/>
  <c r="K321" i="25" s="1"/>
  <c r="L321" i="25" a="1"/>
  <c r="L321" i="25" s="1"/>
  <c r="M321" i="25" a="1"/>
  <c r="M321" i="25" s="1"/>
  <c r="N321" i="25" a="1"/>
  <c r="N321" i="25" s="1"/>
  <c r="O321" i="25" a="1"/>
  <c r="O321" i="25" s="1"/>
  <c r="P321" i="25" a="1"/>
  <c r="P321" i="25" s="1"/>
  <c r="Q321" i="25" a="1"/>
  <c r="Q321" i="25" s="1"/>
  <c r="R321" i="25" a="1"/>
  <c r="R321" i="25" s="1"/>
  <c r="U321" i="25" a="1"/>
  <c r="U321" i="25" s="1"/>
  <c r="V321" i="25" a="1"/>
  <c r="V321" i="25" s="1"/>
  <c r="W321" i="25" a="1"/>
  <c r="W321" i="25" s="1"/>
  <c r="X321" i="25" a="1"/>
  <c r="X321" i="25" s="1"/>
  <c r="K322" i="25" a="1"/>
  <c r="K322" i="25" s="1"/>
  <c r="L322" i="25" a="1"/>
  <c r="L322" i="25" s="1"/>
  <c r="M322" i="25" a="1"/>
  <c r="M322" i="25" s="1"/>
  <c r="N322" i="25" a="1"/>
  <c r="N322" i="25" s="1"/>
  <c r="O322" i="25" a="1"/>
  <c r="O322" i="25" s="1"/>
  <c r="P322" i="25" a="1"/>
  <c r="P322" i="25" s="1"/>
  <c r="Q322" i="25" a="1"/>
  <c r="Q322" i="25" s="1"/>
  <c r="R322" i="25" a="1"/>
  <c r="R322" i="25" s="1"/>
  <c r="U322" i="25" a="1"/>
  <c r="U322" i="25" s="1"/>
  <c r="V322" i="25" a="1"/>
  <c r="V322" i="25" s="1"/>
  <c r="W322" i="25" a="1"/>
  <c r="W322" i="25" s="1"/>
  <c r="X322" i="25" a="1"/>
  <c r="X322" i="25" s="1"/>
  <c r="K323" i="25" a="1"/>
  <c r="K323" i="25" s="1"/>
  <c r="L323" i="25" a="1"/>
  <c r="L323" i="25" s="1"/>
  <c r="M323" i="25" a="1"/>
  <c r="M323" i="25" s="1"/>
  <c r="N323" i="25" a="1"/>
  <c r="N323" i="25" s="1"/>
  <c r="O323" i="25" a="1"/>
  <c r="O323" i="25" s="1"/>
  <c r="P323" i="25" a="1"/>
  <c r="P323" i="25" s="1"/>
  <c r="Q323" i="25" a="1"/>
  <c r="Q323" i="25" s="1"/>
  <c r="R323" i="25" a="1"/>
  <c r="R323" i="25" s="1"/>
  <c r="U323" i="25" a="1"/>
  <c r="U323" i="25" s="1"/>
  <c r="V323" i="25" a="1"/>
  <c r="V323" i="25" s="1"/>
  <c r="W323" i="25" a="1"/>
  <c r="W323" i="25" s="1"/>
  <c r="X323" i="25" a="1"/>
  <c r="X323" i="25" s="1"/>
  <c r="K324" i="25" a="1"/>
  <c r="K324" i="25" s="1"/>
  <c r="L324" i="25" a="1"/>
  <c r="L324" i="25" s="1"/>
  <c r="M324" i="25" a="1"/>
  <c r="M324" i="25" s="1"/>
  <c r="N324" i="25" a="1"/>
  <c r="N324" i="25" s="1"/>
  <c r="O324" i="25" a="1"/>
  <c r="O324" i="25" s="1"/>
  <c r="P324" i="25" a="1"/>
  <c r="P324" i="25" s="1"/>
  <c r="Q324" i="25" a="1"/>
  <c r="Q324" i="25" s="1"/>
  <c r="R324" i="25" a="1"/>
  <c r="R324" i="25" s="1"/>
  <c r="U324" i="25" a="1"/>
  <c r="U324" i="25" s="1"/>
  <c r="V324" i="25" a="1"/>
  <c r="V324" i="25" s="1"/>
  <c r="W324" i="25" a="1"/>
  <c r="W324" i="25" s="1"/>
  <c r="X324" i="25" a="1"/>
  <c r="X324" i="25" s="1"/>
  <c r="K325" i="25" a="1"/>
  <c r="K325" i="25" s="1"/>
  <c r="L325" i="25" a="1"/>
  <c r="L325" i="25" s="1"/>
  <c r="M325" i="25" a="1"/>
  <c r="M325" i="25" s="1"/>
  <c r="N325" i="25" a="1"/>
  <c r="N325" i="25" s="1"/>
  <c r="O325" i="25" a="1"/>
  <c r="O325" i="25" s="1"/>
  <c r="P325" i="25" a="1"/>
  <c r="P325" i="25" s="1"/>
  <c r="Q325" i="25" a="1"/>
  <c r="Q325" i="25" s="1"/>
  <c r="R325" i="25" a="1"/>
  <c r="R325" i="25" s="1"/>
  <c r="U325" i="25" a="1"/>
  <c r="U325" i="25" s="1"/>
  <c r="V325" i="25" a="1"/>
  <c r="V325" i="25" s="1"/>
  <c r="W325" i="25" a="1"/>
  <c r="W325" i="25" s="1"/>
  <c r="X325" i="25" a="1"/>
  <c r="X325" i="25" s="1"/>
  <c r="K326" i="25" a="1"/>
  <c r="K326" i="25" s="1"/>
  <c r="L326" i="25" a="1"/>
  <c r="L326" i="25" s="1"/>
  <c r="M326" i="25" a="1"/>
  <c r="M326" i="25" s="1"/>
  <c r="N326" i="25" a="1"/>
  <c r="N326" i="25" s="1"/>
  <c r="O326" i="25" a="1"/>
  <c r="O326" i="25" s="1"/>
  <c r="P326" i="25" a="1"/>
  <c r="P326" i="25" s="1"/>
  <c r="Q326" i="25" a="1"/>
  <c r="Q326" i="25" s="1"/>
  <c r="R326" i="25" a="1"/>
  <c r="R326" i="25" s="1"/>
  <c r="U326" i="25" a="1"/>
  <c r="U326" i="25" s="1"/>
  <c r="V326" i="25" a="1"/>
  <c r="V326" i="25" s="1"/>
  <c r="W326" i="25" a="1"/>
  <c r="W326" i="25" s="1"/>
  <c r="X326" i="25" a="1"/>
  <c r="X326" i="25" s="1"/>
  <c r="K327" i="25" a="1"/>
  <c r="K327" i="25" s="1"/>
  <c r="L327" i="25" a="1"/>
  <c r="L327" i="25" s="1"/>
  <c r="M327" i="25" a="1"/>
  <c r="M327" i="25" s="1"/>
  <c r="N327" i="25" a="1"/>
  <c r="N327" i="25" s="1"/>
  <c r="O327" i="25" a="1"/>
  <c r="O327" i="25" s="1"/>
  <c r="P327" i="25" a="1"/>
  <c r="P327" i="25" s="1"/>
  <c r="Q327" i="25" a="1"/>
  <c r="Q327" i="25" s="1"/>
  <c r="R327" i="25" a="1"/>
  <c r="R327" i="25" s="1"/>
  <c r="U327" i="25" a="1"/>
  <c r="U327" i="25" s="1"/>
  <c r="V327" i="25" a="1"/>
  <c r="V327" i="25" s="1"/>
  <c r="W327" i="25" a="1"/>
  <c r="W327" i="25" s="1"/>
  <c r="X327" i="25" a="1"/>
  <c r="X327" i="25" s="1"/>
  <c r="K328" i="25" a="1"/>
  <c r="K328" i="25" s="1"/>
  <c r="L328" i="25" a="1"/>
  <c r="L328" i="25" s="1"/>
  <c r="M328" i="25" a="1"/>
  <c r="M328" i="25" s="1"/>
  <c r="N328" i="25" a="1"/>
  <c r="N328" i="25" s="1"/>
  <c r="O328" i="25" a="1"/>
  <c r="O328" i="25" s="1"/>
  <c r="P328" i="25" a="1"/>
  <c r="P328" i="25" s="1"/>
  <c r="Q328" i="25" a="1"/>
  <c r="Q328" i="25" s="1"/>
  <c r="R328" i="25" a="1"/>
  <c r="R328" i="25" s="1"/>
  <c r="U328" i="25" a="1"/>
  <c r="U328" i="25" s="1"/>
  <c r="V328" i="25" a="1"/>
  <c r="V328" i="25" s="1"/>
  <c r="W328" i="25" a="1"/>
  <c r="W328" i="25" s="1"/>
  <c r="X328" i="25" a="1"/>
  <c r="X328" i="25" s="1"/>
  <c r="K329" i="25" a="1"/>
  <c r="K329" i="25" s="1"/>
  <c r="L329" i="25" a="1"/>
  <c r="L329" i="25" s="1"/>
  <c r="M329" i="25" a="1"/>
  <c r="M329" i="25" s="1"/>
  <c r="N329" i="25" a="1"/>
  <c r="N329" i="25" s="1"/>
  <c r="O329" i="25" a="1"/>
  <c r="O329" i="25" s="1"/>
  <c r="P329" i="25" a="1"/>
  <c r="P329" i="25" s="1"/>
  <c r="Q329" i="25" a="1"/>
  <c r="Q329" i="25" s="1"/>
  <c r="R329" i="25" a="1"/>
  <c r="R329" i="25" s="1"/>
  <c r="U329" i="25" a="1"/>
  <c r="U329" i="25" s="1"/>
  <c r="V329" i="25" a="1"/>
  <c r="V329" i="25" s="1"/>
  <c r="W329" i="25" a="1"/>
  <c r="W329" i="25" s="1"/>
  <c r="X329" i="25" a="1"/>
  <c r="X329" i="25" s="1"/>
  <c r="K330" i="25" a="1"/>
  <c r="K330" i="25" s="1"/>
  <c r="L330" i="25" a="1"/>
  <c r="L330" i="25" s="1"/>
  <c r="M330" i="25" a="1"/>
  <c r="M330" i="25" s="1"/>
  <c r="N330" i="25" a="1"/>
  <c r="N330" i="25" s="1"/>
  <c r="O330" i="25" a="1"/>
  <c r="O330" i="25" s="1"/>
  <c r="P330" i="25" a="1"/>
  <c r="P330" i="25" s="1"/>
  <c r="Q330" i="25" a="1"/>
  <c r="Q330" i="25" s="1"/>
  <c r="R330" i="25" a="1"/>
  <c r="R330" i="25" s="1"/>
  <c r="U330" i="25" a="1"/>
  <c r="U330" i="25" s="1"/>
  <c r="V330" i="25" a="1"/>
  <c r="V330" i="25" s="1"/>
  <c r="W330" i="25" a="1"/>
  <c r="W330" i="25" s="1"/>
  <c r="X330" i="25" a="1"/>
  <c r="X330" i="25" s="1"/>
  <c r="K331" i="25" a="1"/>
  <c r="K331" i="25" s="1"/>
  <c r="L331" i="25" a="1"/>
  <c r="L331" i="25" s="1"/>
  <c r="M331" i="25" a="1"/>
  <c r="M331" i="25" s="1"/>
  <c r="N331" i="25" a="1"/>
  <c r="N331" i="25" s="1"/>
  <c r="O331" i="25" a="1"/>
  <c r="O331" i="25" s="1"/>
  <c r="P331" i="25" a="1"/>
  <c r="P331" i="25" s="1"/>
  <c r="Q331" i="25" a="1"/>
  <c r="Q331" i="25" s="1"/>
  <c r="R331" i="25" a="1"/>
  <c r="R331" i="25" s="1"/>
  <c r="U331" i="25" a="1"/>
  <c r="U331" i="25" s="1"/>
  <c r="V331" i="25" a="1"/>
  <c r="V331" i="25" s="1"/>
  <c r="W331" i="25" a="1"/>
  <c r="W331" i="25" s="1"/>
  <c r="X331" i="25" a="1"/>
  <c r="X331" i="25" s="1"/>
  <c r="K332" i="25" a="1"/>
  <c r="K332" i="25" s="1"/>
  <c r="L332" i="25" a="1"/>
  <c r="L332" i="25" s="1"/>
  <c r="M332" i="25" a="1"/>
  <c r="M332" i="25" s="1"/>
  <c r="N332" i="25" a="1"/>
  <c r="N332" i="25" s="1"/>
  <c r="O332" i="25" a="1"/>
  <c r="O332" i="25" s="1"/>
  <c r="P332" i="25" a="1"/>
  <c r="P332" i="25" s="1"/>
  <c r="Q332" i="25" a="1"/>
  <c r="Q332" i="25" s="1"/>
  <c r="R332" i="25" a="1"/>
  <c r="R332" i="25" s="1"/>
  <c r="U332" i="25" a="1"/>
  <c r="U332" i="25" s="1"/>
  <c r="V332" i="25" a="1"/>
  <c r="V332" i="25" s="1"/>
  <c r="W332" i="25" a="1"/>
  <c r="W332" i="25" s="1"/>
  <c r="X332" i="25" a="1"/>
  <c r="X332" i="25" s="1"/>
  <c r="K333" i="25" a="1"/>
  <c r="K333" i="25" s="1"/>
  <c r="L333" i="25" a="1"/>
  <c r="L333" i="25" s="1"/>
  <c r="M333" i="25" a="1"/>
  <c r="M333" i="25" s="1"/>
  <c r="N333" i="25" a="1"/>
  <c r="N333" i="25" s="1"/>
  <c r="O333" i="25" a="1"/>
  <c r="O333" i="25" s="1"/>
  <c r="P333" i="25" a="1"/>
  <c r="P333" i="25" s="1"/>
  <c r="Q333" i="25" a="1"/>
  <c r="Q333" i="25" s="1"/>
  <c r="R333" i="25" a="1"/>
  <c r="R333" i="25" s="1"/>
  <c r="U333" i="25" a="1"/>
  <c r="U333" i="25" s="1"/>
  <c r="V333" i="25" a="1"/>
  <c r="V333" i="25" s="1"/>
  <c r="W333" i="25" a="1"/>
  <c r="W333" i="25" s="1"/>
  <c r="X333" i="25" a="1"/>
  <c r="X333" i="25" s="1"/>
  <c r="K334" i="25" a="1"/>
  <c r="K334" i="25" s="1"/>
  <c r="L334" i="25" a="1"/>
  <c r="L334" i="25" s="1"/>
  <c r="M334" i="25" a="1"/>
  <c r="M334" i="25" s="1"/>
  <c r="N334" i="25" a="1"/>
  <c r="N334" i="25" s="1"/>
  <c r="O334" i="25" a="1"/>
  <c r="O334" i="25" s="1"/>
  <c r="P334" i="25" a="1"/>
  <c r="P334" i="25" s="1"/>
  <c r="Q334" i="25" a="1"/>
  <c r="Q334" i="25" s="1"/>
  <c r="R334" i="25" a="1"/>
  <c r="R334" i="25" s="1"/>
  <c r="U334" i="25" a="1"/>
  <c r="U334" i="25" s="1"/>
  <c r="V334" i="25" a="1"/>
  <c r="V334" i="25" s="1"/>
  <c r="W334" i="25" a="1"/>
  <c r="W334" i="25" s="1"/>
  <c r="X334" i="25" a="1"/>
  <c r="X334" i="25" s="1"/>
  <c r="K335" i="25" a="1"/>
  <c r="K335" i="25" s="1"/>
  <c r="L335" i="25" a="1"/>
  <c r="L335" i="25" s="1"/>
  <c r="M335" i="25" a="1"/>
  <c r="M335" i="25" s="1"/>
  <c r="N335" i="25" a="1"/>
  <c r="N335" i="25" s="1"/>
  <c r="O335" i="25" a="1"/>
  <c r="O335" i="25" s="1"/>
  <c r="P335" i="25" a="1"/>
  <c r="P335" i="25" s="1"/>
  <c r="Q335" i="25" a="1"/>
  <c r="Q335" i="25" s="1"/>
  <c r="R335" i="25" a="1"/>
  <c r="R335" i="25" s="1"/>
  <c r="U335" i="25" a="1"/>
  <c r="U335" i="25" s="1"/>
  <c r="V335" i="25" a="1"/>
  <c r="V335" i="25" s="1"/>
  <c r="W335" i="25" a="1"/>
  <c r="W335" i="25" s="1"/>
  <c r="X335" i="25" a="1"/>
  <c r="X335" i="25" s="1"/>
  <c r="K336" i="25" a="1"/>
  <c r="K336" i="25" s="1"/>
  <c r="L336" i="25" a="1"/>
  <c r="L336" i="25" s="1"/>
  <c r="M336" i="25" a="1"/>
  <c r="M336" i="25" s="1"/>
  <c r="N336" i="25" a="1"/>
  <c r="N336" i="25" s="1"/>
  <c r="O336" i="25" a="1"/>
  <c r="O336" i="25" s="1"/>
  <c r="P336" i="25" a="1"/>
  <c r="P336" i="25" s="1"/>
  <c r="Q336" i="25" a="1"/>
  <c r="Q336" i="25" s="1"/>
  <c r="R336" i="25" a="1"/>
  <c r="R336" i="25" s="1"/>
  <c r="U336" i="25" a="1"/>
  <c r="U336" i="25" s="1"/>
  <c r="V336" i="25" a="1"/>
  <c r="V336" i="25" s="1"/>
  <c r="W336" i="25" a="1"/>
  <c r="W336" i="25" s="1"/>
  <c r="X336" i="25" a="1"/>
  <c r="X336" i="25" s="1"/>
  <c r="K337" i="25" a="1"/>
  <c r="K337" i="25" s="1"/>
  <c r="L337" i="25" a="1"/>
  <c r="L337" i="25" s="1"/>
  <c r="M337" i="25" a="1"/>
  <c r="M337" i="25" s="1"/>
  <c r="N337" i="25" a="1"/>
  <c r="N337" i="25" s="1"/>
  <c r="O337" i="25" a="1"/>
  <c r="O337" i="25" s="1"/>
  <c r="P337" i="25" a="1"/>
  <c r="P337" i="25" s="1"/>
  <c r="Q337" i="25" a="1"/>
  <c r="Q337" i="25" s="1"/>
  <c r="R337" i="25" a="1"/>
  <c r="R337" i="25" s="1"/>
  <c r="U337" i="25" a="1"/>
  <c r="U337" i="25" s="1"/>
  <c r="V337" i="25" a="1"/>
  <c r="V337" i="25" s="1"/>
  <c r="W337" i="25" a="1"/>
  <c r="W337" i="25" s="1"/>
  <c r="X337" i="25" a="1"/>
  <c r="X337" i="25" s="1"/>
  <c r="K338" i="25" a="1"/>
  <c r="K338" i="25" s="1"/>
  <c r="L338" i="25" a="1"/>
  <c r="L338" i="25" s="1"/>
  <c r="M338" i="25" a="1"/>
  <c r="M338" i="25" s="1"/>
  <c r="N338" i="25" a="1"/>
  <c r="N338" i="25" s="1"/>
  <c r="O338" i="25" a="1"/>
  <c r="O338" i="25" s="1"/>
  <c r="P338" i="25" a="1"/>
  <c r="P338" i="25" s="1"/>
  <c r="Q338" i="25" a="1"/>
  <c r="Q338" i="25" s="1"/>
  <c r="R338" i="25" a="1"/>
  <c r="R338" i="25" s="1"/>
  <c r="U338" i="25" a="1"/>
  <c r="U338" i="25" s="1"/>
  <c r="V338" i="25" a="1"/>
  <c r="V338" i="25" s="1"/>
  <c r="W338" i="25" a="1"/>
  <c r="W338" i="25" s="1"/>
  <c r="X338" i="25" a="1"/>
  <c r="X338" i="25" s="1"/>
  <c r="K339" i="25" a="1"/>
  <c r="K339" i="25" s="1"/>
  <c r="L339" i="25" a="1"/>
  <c r="L339" i="25" s="1"/>
  <c r="M339" i="25" a="1"/>
  <c r="M339" i="25" s="1"/>
  <c r="N339" i="25" a="1"/>
  <c r="N339" i="25" s="1"/>
  <c r="O339" i="25" a="1"/>
  <c r="O339" i="25" s="1"/>
  <c r="P339" i="25" a="1"/>
  <c r="P339" i="25" s="1"/>
  <c r="Q339" i="25" a="1"/>
  <c r="Q339" i="25" s="1"/>
  <c r="R339" i="25" a="1"/>
  <c r="R339" i="25" s="1"/>
  <c r="U339" i="25" a="1"/>
  <c r="U339" i="25" s="1"/>
  <c r="V339" i="25" a="1"/>
  <c r="V339" i="25" s="1"/>
  <c r="W339" i="25" a="1"/>
  <c r="W339" i="25" s="1"/>
  <c r="X339" i="25" a="1"/>
  <c r="X339" i="25" s="1"/>
  <c r="K340" i="25" a="1"/>
  <c r="K340" i="25" s="1"/>
  <c r="L340" i="25" a="1"/>
  <c r="L340" i="25" s="1"/>
  <c r="M340" i="25" a="1"/>
  <c r="M340" i="25" s="1"/>
  <c r="N340" i="25" a="1"/>
  <c r="N340" i="25" s="1"/>
  <c r="O340" i="25" a="1"/>
  <c r="O340" i="25" s="1"/>
  <c r="P340" i="25" a="1"/>
  <c r="P340" i="25" s="1"/>
  <c r="Q340" i="25" a="1"/>
  <c r="Q340" i="25" s="1"/>
  <c r="R340" i="25" a="1"/>
  <c r="R340" i="25" s="1"/>
  <c r="U340" i="25" a="1"/>
  <c r="U340" i="25" s="1"/>
  <c r="V340" i="25" a="1"/>
  <c r="V340" i="25" s="1"/>
  <c r="W340" i="25" a="1"/>
  <c r="W340" i="25" s="1"/>
  <c r="X340" i="25" a="1"/>
  <c r="X340" i="25" s="1"/>
  <c r="K341" i="25" a="1"/>
  <c r="K341" i="25" s="1"/>
  <c r="L341" i="25" a="1"/>
  <c r="L341" i="25" s="1"/>
  <c r="M341" i="25" a="1"/>
  <c r="M341" i="25" s="1"/>
  <c r="N341" i="25" a="1"/>
  <c r="N341" i="25" s="1"/>
  <c r="O341" i="25" a="1"/>
  <c r="O341" i="25" s="1"/>
  <c r="P341" i="25" a="1"/>
  <c r="P341" i="25" s="1"/>
  <c r="Q341" i="25" a="1"/>
  <c r="Q341" i="25" s="1"/>
  <c r="R341" i="25" a="1"/>
  <c r="R341" i="25" s="1"/>
  <c r="U341" i="25" a="1"/>
  <c r="U341" i="25" s="1"/>
  <c r="V341" i="25" a="1"/>
  <c r="V341" i="25" s="1"/>
  <c r="W341" i="25" a="1"/>
  <c r="W341" i="25" s="1"/>
  <c r="X341" i="25" a="1"/>
  <c r="X341" i="25" s="1"/>
  <c r="K342" i="25" a="1"/>
  <c r="K342" i="25" s="1"/>
  <c r="L342" i="25" a="1"/>
  <c r="L342" i="25" s="1"/>
  <c r="M342" i="25" a="1"/>
  <c r="M342" i="25" s="1"/>
  <c r="N342" i="25" a="1"/>
  <c r="N342" i="25" s="1"/>
  <c r="O342" i="25" a="1"/>
  <c r="O342" i="25" s="1"/>
  <c r="P342" i="25" a="1"/>
  <c r="P342" i="25" s="1"/>
  <c r="Q342" i="25" a="1"/>
  <c r="Q342" i="25" s="1"/>
  <c r="R342" i="25" a="1"/>
  <c r="R342" i="25" s="1"/>
  <c r="U342" i="25" a="1"/>
  <c r="U342" i="25" s="1"/>
  <c r="V342" i="25" a="1"/>
  <c r="V342" i="25" s="1"/>
  <c r="W342" i="25" a="1"/>
  <c r="W342" i="25" s="1"/>
  <c r="X342" i="25" a="1"/>
  <c r="X342" i="25" s="1"/>
  <c r="K343" i="25" a="1"/>
  <c r="K343" i="25" s="1"/>
  <c r="L343" i="25" a="1"/>
  <c r="L343" i="25" s="1"/>
  <c r="M343" i="25" a="1"/>
  <c r="M343" i="25" s="1"/>
  <c r="N343" i="25" a="1"/>
  <c r="N343" i="25" s="1"/>
  <c r="O343" i="25" a="1"/>
  <c r="O343" i="25" s="1"/>
  <c r="P343" i="25" a="1"/>
  <c r="P343" i="25" s="1"/>
  <c r="Q343" i="25" a="1"/>
  <c r="Q343" i="25" s="1"/>
  <c r="R343" i="25" a="1"/>
  <c r="R343" i="25" s="1"/>
  <c r="U343" i="25" a="1"/>
  <c r="U343" i="25" s="1"/>
  <c r="V343" i="25" a="1"/>
  <c r="V343" i="25" s="1"/>
  <c r="W343" i="25" a="1"/>
  <c r="W343" i="25" s="1"/>
  <c r="X343" i="25" a="1"/>
  <c r="X343" i="25" s="1"/>
  <c r="K344" i="25" a="1"/>
  <c r="K344" i="25" s="1"/>
  <c r="L344" i="25" a="1"/>
  <c r="L344" i="25" s="1"/>
  <c r="M344" i="25" a="1"/>
  <c r="M344" i="25" s="1"/>
  <c r="N344" i="25" a="1"/>
  <c r="N344" i="25" s="1"/>
  <c r="O344" i="25" a="1"/>
  <c r="O344" i="25" s="1"/>
  <c r="P344" i="25" a="1"/>
  <c r="P344" i="25" s="1"/>
  <c r="Q344" i="25" a="1"/>
  <c r="Q344" i="25" s="1"/>
  <c r="R344" i="25" a="1"/>
  <c r="R344" i="25" s="1"/>
  <c r="U344" i="25" a="1"/>
  <c r="U344" i="25" s="1"/>
  <c r="V344" i="25" a="1"/>
  <c r="V344" i="25" s="1"/>
  <c r="W344" i="25" a="1"/>
  <c r="W344" i="25" s="1"/>
  <c r="X344" i="25" a="1"/>
  <c r="X344" i="25" s="1"/>
  <c r="K345" i="25" a="1"/>
  <c r="K345" i="25" s="1"/>
  <c r="L345" i="25" a="1"/>
  <c r="L345" i="25" s="1"/>
  <c r="M345" i="25" a="1"/>
  <c r="M345" i="25" s="1"/>
  <c r="N345" i="25" a="1"/>
  <c r="N345" i="25" s="1"/>
  <c r="O345" i="25" a="1"/>
  <c r="O345" i="25" s="1"/>
  <c r="P345" i="25" a="1"/>
  <c r="P345" i="25" s="1"/>
  <c r="Q345" i="25" a="1"/>
  <c r="Q345" i="25" s="1"/>
  <c r="R345" i="25" a="1"/>
  <c r="R345" i="25" s="1"/>
  <c r="U345" i="25" a="1"/>
  <c r="U345" i="25" s="1"/>
  <c r="V345" i="25" a="1"/>
  <c r="V345" i="25" s="1"/>
  <c r="W345" i="25" a="1"/>
  <c r="W345" i="25" s="1"/>
  <c r="X345" i="25" a="1"/>
  <c r="X345" i="25" s="1"/>
  <c r="K346" i="25" a="1"/>
  <c r="K346" i="25" s="1"/>
  <c r="L346" i="25" a="1"/>
  <c r="L346" i="25" s="1"/>
  <c r="M346" i="25" a="1"/>
  <c r="M346" i="25" s="1"/>
  <c r="N346" i="25" a="1"/>
  <c r="N346" i="25" s="1"/>
  <c r="O346" i="25" a="1"/>
  <c r="O346" i="25" s="1"/>
  <c r="P346" i="25" a="1"/>
  <c r="P346" i="25" s="1"/>
  <c r="Q346" i="25" a="1"/>
  <c r="Q346" i="25" s="1"/>
  <c r="R346" i="25" a="1"/>
  <c r="R346" i="25" s="1"/>
  <c r="U346" i="25" a="1"/>
  <c r="U346" i="25" s="1"/>
  <c r="V346" i="25" a="1"/>
  <c r="V346" i="25" s="1"/>
  <c r="W346" i="25" a="1"/>
  <c r="W346" i="25" s="1"/>
  <c r="X346" i="25" a="1"/>
  <c r="X346" i="25" s="1"/>
  <c r="K347" i="25" a="1"/>
  <c r="K347" i="25" s="1"/>
  <c r="L347" i="25" a="1"/>
  <c r="L347" i="25" s="1"/>
  <c r="M347" i="25" a="1"/>
  <c r="M347" i="25" s="1"/>
  <c r="N347" i="25" a="1"/>
  <c r="N347" i="25" s="1"/>
  <c r="O347" i="25" a="1"/>
  <c r="O347" i="25" s="1"/>
  <c r="P347" i="25" a="1"/>
  <c r="P347" i="25" s="1"/>
  <c r="Q347" i="25" a="1"/>
  <c r="Q347" i="25" s="1"/>
  <c r="R347" i="25" a="1"/>
  <c r="R347" i="25" s="1"/>
  <c r="U347" i="25" a="1"/>
  <c r="U347" i="25" s="1"/>
  <c r="V347" i="25" a="1"/>
  <c r="V347" i="25" s="1"/>
  <c r="W347" i="25" a="1"/>
  <c r="W347" i="25" s="1"/>
  <c r="X347" i="25" a="1"/>
  <c r="X347" i="25" s="1"/>
  <c r="K348" i="25" a="1"/>
  <c r="K348" i="25" s="1"/>
  <c r="L348" i="25" a="1"/>
  <c r="L348" i="25" s="1"/>
  <c r="M348" i="25" a="1"/>
  <c r="M348" i="25" s="1"/>
  <c r="N348" i="25" a="1"/>
  <c r="N348" i="25" s="1"/>
  <c r="O348" i="25" a="1"/>
  <c r="O348" i="25" s="1"/>
  <c r="P348" i="25" a="1"/>
  <c r="P348" i="25" s="1"/>
  <c r="Q348" i="25" a="1"/>
  <c r="Q348" i="25" s="1"/>
  <c r="R348" i="25" a="1"/>
  <c r="R348" i="25" s="1"/>
  <c r="U348" i="25" a="1"/>
  <c r="U348" i="25" s="1"/>
  <c r="V348" i="25" a="1"/>
  <c r="V348" i="25" s="1"/>
  <c r="W348" i="25" a="1"/>
  <c r="W348" i="25" s="1"/>
  <c r="X348" i="25" a="1"/>
  <c r="X348" i="25" s="1"/>
  <c r="K349" i="25" a="1"/>
  <c r="K349" i="25" s="1"/>
  <c r="L349" i="25" a="1"/>
  <c r="L349" i="25" s="1"/>
  <c r="M349" i="25" a="1"/>
  <c r="M349" i="25" s="1"/>
  <c r="N349" i="25" a="1"/>
  <c r="N349" i="25" s="1"/>
  <c r="O349" i="25" a="1"/>
  <c r="O349" i="25" s="1"/>
  <c r="P349" i="25" a="1"/>
  <c r="P349" i="25" s="1"/>
  <c r="Q349" i="25" a="1"/>
  <c r="Q349" i="25" s="1"/>
  <c r="R349" i="25" a="1"/>
  <c r="R349" i="25" s="1"/>
  <c r="U349" i="25" a="1"/>
  <c r="U349" i="25" s="1"/>
  <c r="V349" i="25" a="1"/>
  <c r="V349" i="25" s="1"/>
  <c r="W349" i="25" a="1"/>
  <c r="W349" i="25" s="1"/>
  <c r="X349" i="25" a="1"/>
  <c r="X349" i="25" s="1"/>
  <c r="K350" i="25" a="1"/>
  <c r="K350" i="25" s="1"/>
  <c r="L350" i="25" a="1"/>
  <c r="L350" i="25" s="1"/>
  <c r="M350" i="25" a="1"/>
  <c r="M350" i="25" s="1"/>
  <c r="N350" i="25" a="1"/>
  <c r="N350" i="25" s="1"/>
  <c r="O350" i="25" a="1"/>
  <c r="O350" i="25" s="1"/>
  <c r="P350" i="25" a="1"/>
  <c r="P350" i="25" s="1"/>
  <c r="Q350" i="25" a="1"/>
  <c r="Q350" i="25" s="1"/>
  <c r="R350" i="25" a="1"/>
  <c r="R350" i="25" s="1"/>
  <c r="U350" i="25" a="1"/>
  <c r="U350" i="25" s="1"/>
  <c r="V350" i="25" a="1"/>
  <c r="V350" i="25" s="1"/>
  <c r="W350" i="25" a="1"/>
  <c r="W350" i="25" s="1"/>
  <c r="X350" i="25" a="1"/>
  <c r="X350" i="25" s="1"/>
  <c r="K351" i="25" a="1"/>
  <c r="K351" i="25" s="1"/>
  <c r="L351" i="25" a="1"/>
  <c r="L351" i="25" s="1"/>
  <c r="M351" i="25" a="1"/>
  <c r="M351" i="25" s="1"/>
  <c r="N351" i="25" a="1"/>
  <c r="N351" i="25" s="1"/>
  <c r="O351" i="25" a="1"/>
  <c r="O351" i="25" s="1"/>
  <c r="P351" i="25" a="1"/>
  <c r="P351" i="25" s="1"/>
  <c r="Q351" i="25" a="1"/>
  <c r="Q351" i="25" s="1"/>
  <c r="R351" i="25" a="1"/>
  <c r="R351" i="25" s="1"/>
  <c r="U351" i="25" a="1"/>
  <c r="U351" i="25" s="1"/>
  <c r="V351" i="25" a="1"/>
  <c r="V351" i="25" s="1"/>
  <c r="W351" i="25" a="1"/>
  <c r="W351" i="25" s="1"/>
  <c r="X351" i="25" a="1"/>
  <c r="X351" i="25" s="1"/>
  <c r="K352" i="25" a="1"/>
  <c r="K352" i="25" s="1"/>
  <c r="L352" i="25" a="1"/>
  <c r="L352" i="25" s="1"/>
  <c r="M352" i="25" a="1"/>
  <c r="M352" i="25" s="1"/>
  <c r="N352" i="25" a="1"/>
  <c r="N352" i="25" s="1"/>
  <c r="O352" i="25" a="1"/>
  <c r="O352" i="25" s="1"/>
  <c r="P352" i="25" a="1"/>
  <c r="P352" i="25" s="1"/>
  <c r="Q352" i="25" a="1"/>
  <c r="Q352" i="25" s="1"/>
  <c r="R352" i="25" a="1"/>
  <c r="R352" i="25" s="1"/>
  <c r="U352" i="25" a="1"/>
  <c r="U352" i="25" s="1"/>
  <c r="V352" i="25" a="1"/>
  <c r="V352" i="25" s="1"/>
  <c r="W352" i="25" a="1"/>
  <c r="W352" i="25" s="1"/>
  <c r="X352" i="25" a="1"/>
  <c r="X352" i="25" s="1"/>
  <c r="K353" i="25" a="1"/>
  <c r="K353" i="25" s="1"/>
  <c r="L353" i="25" a="1"/>
  <c r="L353" i="25" s="1"/>
  <c r="M353" i="25" a="1"/>
  <c r="M353" i="25" s="1"/>
  <c r="N353" i="25" a="1"/>
  <c r="N353" i="25" s="1"/>
  <c r="O353" i="25" a="1"/>
  <c r="O353" i="25" s="1"/>
  <c r="P353" i="25" a="1"/>
  <c r="P353" i="25" s="1"/>
  <c r="Q353" i="25" a="1"/>
  <c r="Q353" i="25" s="1"/>
  <c r="R353" i="25" a="1"/>
  <c r="R353" i="25" s="1"/>
  <c r="U353" i="25" a="1"/>
  <c r="U353" i="25" s="1"/>
  <c r="V353" i="25" a="1"/>
  <c r="V353" i="25" s="1"/>
  <c r="W353" i="25" a="1"/>
  <c r="W353" i="25" s="1"/>
  <c r="X353" i="25" a="1"/>
  <c r="X353" i="25" s="1"/>
  <c r="K354" i="25" a="1"/>
  <c r="K354" i="25" s="1"/>
  <c r="L354" i="25" a="1"/>
  <c r="L354" i="25" s="1"/>
  <c r="M354" i="25" a="1"/>
  <c r="M354" i="25" s="1"/>
  <c r="N354" i="25" a="1"/>
  <c r="N354" i="25" s="1"/>
  <c r="O354" i="25" a="1"/>
  <c r="O354" i="25" s="1"/>
  <c r="P354" i="25" a="1"/>
  <c r="P354" i="25" s="1"/>
  <c r="Q354" i="25" a="1"/>
  <c r="Q354" i="25" s="1"/>
  <c r="R354" i="25" a="1"/>
  <c r="R354" i="25" s="1"/>
  <c r="U354" i="25" a="1"/>
  <c r="U354" i="25" s="1"/>
  <c r="V354" i="25" a="1"/>
  <c r="V354" i="25" s="1"/>
  <c r="W354" i="25" a="1"/>
  <c r="W354" i="25" s="1"/>
  <c r="X354" i="25" a="1"/>
  <c r="X354" i="25" s="1"/>
  <c r="K355" i="25" a="1"/>
  <c r="K355" i="25" s="1"/>
  <c r="L355" i="25" a="1"/>
  <c r="L355" i="25" s="1"/>
  <c r="M355" i="25" a="1"/>
  <c r="M355" i="25" s="1"/>
  <c r="N355" i="25" a="1"/>
  <c r="N355" i="25" s="1"/>
  <c r="O355" i="25" a="1"/>
  <c r="O355" i="25" s="1"/>
  <c r="P355" i="25" a="1"/>
  <c r="P355" i="25" s="1"/>
  <c r="Q355" i="25" a="1"/>
  <c r="Q355" i="25" s="1"/>
  <c r="R355" i="25" a="1"/>
  <c r="R355" i="25" s="1"/>
  <c r="U355" i="25" a="1"/>
  <c r="U355" i="25" s="1"/>
  <c r="V355" i="25" a="1"/>
  <c r="V355" i="25" s="1"/>
  <c r="W355" i="25" a="1"/>
  <c r="W355" i="25" s="1"/>
  <c r="X355" i="25" a="1"/>
  <c r="X355" i="25" s="1"/>
  <c r="K3" i="24" a="1"/>
  <c r="K3" i="24" s="1"/>
  <c r="L3" i="24" a="1"/>
  <c r="L3" i="24" s="1"/>
  <c r="M3" i="24" a="1"/>
  <c r="M3" i="24" s="1"/>
  <c r="N3" i="24" a="1"/>
  <c r="N3" i="24" s="1"/>
  <c r="O3" i="24" a="1"/>
  <c r="O3" i="24" s="1"/>
  <c r="P3" i="24" a="1"/>
  <c r="P3" i="24" s="1"/>
  <c r="Q3" i="24" a="1"/>
  <c r="Q3" i="24" s="1"/>
  <c r="R3" i="24" a="1"/>
  <c r="R3" i="24" s="1"/>
  <c r="U3" i="24" a="1"/>
  <c r="U3" i="24" s="1"/>
  <c r="V3" i="24" a="1"/>
  <c r="V3" i="24" s="1"/>
  <c r="W3" i="24" a="1"/>
  <c r="W3" i="24" s="1"/>
  <c r="X3" i="24" a="1"/>
  <c r="X3" i="24" s="1"/>
  <c r="K4" i="24" a="1"/>
  <c r="K4" i="24" s="1"/>
  <c r="L4" i="24" a="1"/>
  <c r="L4" i="24" s="1"/>
  <c r="M4" i="24" a="1"/>
  <c r="M4" i="24" s="1"/>
  <c r="N4" i="24" a="1"/>
  <c r="N4" i="24" s="1"/>
  <c r="O4" i="24" a="1"/>
  <c r="O4" i="24" s="1"/>
  <c r="P4" i="24" a="1"/>
  <c r="P4" i="24" s="1"/>
  <c r="Q4" i="24" a="1"/>
  <c r="Q4" i="24" s="1"/>
  <c r="R4" i="24" a="1"/>
  <c r="R4" i="24" s="1"/>
  <c r="U4" i="24" a="1"/>
  <c r="U4" i="24" s="1"/>
  <c r="V4" i="24" a="1"/>
  <c r="V4" i="24" s="1"/>
  <c r="W4" i="24" a="1"/>
  <c r="W4" i="24" s="1"/>
  <c r="X4" i="24" a="1"/>
  <c r="X4" i="24" s="1"/>
  <c r="K5" i="24" a="1"/>
  <c r="K5" i="24" s="1"/>
  <c r="L5" i="24" a="1"/>
  <c r="L5" i="24" s="1"/>
  <c r="M5" i="24" a="1"/>
  <c r="M5" i="24" s="1"/>
  <c r="N5" i="24" a="1"/>
  <c r="N5" i="24" s="1"/>
  <c r="O5" i="24" a="1"/>
  <c r="O5" i="24" s="1"/>
  <c r="P5" i="24" a="1"/>
  <c r="P5" i="24" s="1"/>
  <c r="Q5" i="24" a="1"/>
  <c r="Q5" i="24" s="1"/>
  <c r="R5" i="24" a="1"/>
  <c r="R5" i="24" s="1"/>
  <c r="U5" i="24" a="1"/>
  <c r="U5" i="24" s="1"/>
  <c r="V5" i="24" a="1"/>
  <c r="V5" i="24" s="1"/>
  <c r="W5" i="24" a="1"/>
  <c r="W5" i="24" s="1"/>
  <c r="X5" i="24" a="1"/>
  <c r="X5" i="24" s="1"/>
  <c r="K6" i="24" a="1"/>
  <c r="K6" i="24" s="1"/>
  <c r="L6" i="24" a="1"/>
  <c r="L6" i="24" s="1"/>
  <c r="M6" i="24" a="1"/>
  <c r="M6" i="24" s="1"/>
  <c r="N6" i="24" a="1"/>
  <c r="N6" i="24" s="1"/>
  <c r="O6" i="24" a="1"/>
  <c r="O6" i="24" s="1"/>
  <c r="P6" i="24" a="1"/>
  <c r="P6" i="24" s="1"/>
  <c r="Q6" i="24" a="1"/>
  <c r="Q6" i="24" s="1"/>
  <c r="R6" i="24" a="1"/>
  <c r="R6" i="24" s="1"/>
  <c r="U6" i="24" a="1"/>
  <c r="U6" i="24" s="1"/>
  <c r="V6" i="24" a="1"/>
  <c r="V6" i="24" s="1"/>
  <c r="W6" i="24" a="1"/>
  <c r="W6" i="24" s="1"/>
  <c r="X6" i="24" a="1"/>
  <c r="X6" i="24" s="1"/>
  <c r="K7" i="24" a="1"/>
  <c r="K7" i="24" s="1"/>
  <c r="L7" i="24" a="1"/>
  <c r="L7" i="24" s="1"/>
  <c r="M7" i="24" a="1"/>
  <c r="M7" i="24" s="1"/>
  <c r="N7" i="24" a="1"/>
  <c r="N7" i="24" s="1"/>
  <c r="O7" i="24" a="1"/>
  <c r="O7" i="24" s="1"/>
  <c r="P7" i="24" a="1"/>
  <c r="P7" i="24" s="1"/>
  <c r="Q7" i="24" a="1"/>
  <c r="Q7" i="24" s="1"/>
  <c r="R7" i="24" a="1"/>
  <c r="R7" i="24" s="1"/>
  <c r="U7" i="24" a="1"/>
  <c r="U7" i="24" s="1"/>
  <c r="V7" i="24" a="1"/>
  <c r="V7" i="24" s="1"/>
  <c r="W7" i="24" a="1"/>
  <c r="W7" i="24" s="1"/>
  <c r="X7" i="24" a="1"/>
  <c r="X7" i="24" s="1"/>
  <c r="K8" i="24" a="1"/>
  <c r="K8" i="24" s="1"/>
  <c r="L8" i="24" a="1"/>
  <c r="L8" i="24" s="1"/>
  <c r="M8" i="24" a="1"/>
  <c r="M8" i="24" s="1"/>
  <c r="N8" i="24" a="1"/>
  <c r="N8" i="24" s="1"/>
  <c r="O8" i="24" a="1"/>
  <c r="O8" i="24" s="1"/>
  <c r="P8" i="24" a="1"/>
  <c r="P8" i="24" s="1"/>
  <c r="Q8" i="24" a="1"/>
  <c r="Q8" i="24" s="1"/>
  <c r="R8" i="24" a="1"/>
  <c r="R8" i="24" s="1"/>
  <c r="U8" i="24" a="1"/>
  <c r="U8" i="24" s="1"/>
  <c r="V8" i="24" a="1"/>
  <c r="V8" i="24" s="1"/>
  <c r="W8" i="24" a="1"/>
  <c r="W8" i="24" s="1"/>
  <c r="X8" i="24" a="1"/>
  <c r="X8" i="24" s="1"/>
  <c r="K9" i="24" a="1"/>
  <c r="K9" i="24" s="1"/>
  <c r="L9" i="24" a="1"/>
  <c r="L9" i="24" s="1"/>
  <c r="M9" i="24" a="1"/>
  <c r="M9" i="24" s="1"/>
  <c r="N9" i="24" a="1"/>
  <c r="N9" i="24" s="1"/>
  <c r="O9" i="24" a="1"/>
  <c r="O9" i="24" s="1"/>
  <c r="P9" i="24" a="1"/>
  <c r="P9" i="24" s="1"/>
  <c r="Q9" i="24" a="1"/>
  <c r="Q9" i="24" s="1"/>
  <c r="R9" i="24" a="1"/>
  <c r="R9" i="24" s="1"/>
  <c r="U9" i="24" a="1"/>
  <c r="U9" i="24" s="1"/>
  <c r="V9" i="24" a="1"/>
  <c r="V9" i="24" s="1"/>
  <c r="W9" i="24" a="1"/>
  <c r="W9" i="24" s="1"/>
  <c r="X9" i="24" a="1"/>
  <c r="X9" i="24" s="1"/>
  <c r="K10" i="24" a="1"/>
  <c r="K10" i="24" s="1"/>
  <c r="L10" i="24" a="1"/>
  <c r="L10" i="24" s="1"/>
  <c r="M10" i="24" a="1"/>
  <c r="M10" i="24" s="1"/>
  <c r="N10" i="24" a="1"/>
  <c r="N10" i="24" s="1"/>
  <c r="O10" i="24" a="1"/>
  <c r="O10" i="24" s="1"/>
  <c r="P10" i="24" a="1"/>
  <c r="P10" i="24" s="1"/>
  <c r="Q10" i="24" a="1"/>
  <c r="Q10" i="24" s="1"/>
  <c r="R10" i="24" a="1"/>
  <c r="R10" i="24" s="1"/>
  <c r="U10" i="24" a="1"/>
  <c r="U10" i="24" s="1"/>
  <c r="V10" i="24" a="1"/>
  <c r="V10" i="24" s="1"/>
  <c r="W10" i="24" a="1"/>
  <c r="W10" i="24" s="1"/>
  <c r="X10" i="24" a="1"/>
  <c r="X10" i="24" s="1"/>
  <c r="K11" i="24" a="1"/>
  <c r="K11" i="24" s="1"/>
  <c r="L11" i="24" a="1"/>
  <c r="L11" i="24" s="1"/>
  <c r="M11" i="24" a="1"/>
  <c r="M11" i="24" s="1"/>
  <c r="N11" i="24" a="1"/>
  <c r="N11" i="24" s="1"/>
  <c r="O11" i="24" a="1"/>
  <c r="O11" i="24" s="1"/>
  <c r="P11" i="24" a="1"/>
  <c r="P11" i="24" s="1"/>
  <c r="Q11" i="24" a="1"/>
  <c r="Q11" i="24" s="1"/>
  <c r="R11" i="24" a="1"/>
  <c r="R11" i="24" s="1"/>
  <c r="U11" i="24" a="1"/>
  <c r="U11" i="24" s="1"/>
  <c r="V11" i="24" a="1"/>
  <c r="V11" i="24" s="1"/>
  <c r="W11" i="24" a="1"/>
  <c r="W11" i="24" s="1"/>
  <c r="X11" i="24" a="1"/>
  <c r="X11" i="24" s="1"/>
  <c r="K12" i="24" a="1"/>
  <c r="K12" i="24" s="1"/>
  <c r="L12" i="24" a="1"/>
  <c r="L12" i="24" s="1"/>
  <c r="M12" i="24" a="1"/>
  <c r="M12" i="24" s="1"/>
  <c r="N12" i="24" a="1"/>
  <c r="N12" i="24" s="1"/>
  <c r="O12" i="24" a="1"/>
  <c r="O12" i="24" s="1"/>
  <c r="P12" i="24" a="1"/>
  <c r="P12" i="24" s="1"/>
  <c r="Q12" i="24" a="1"/>
  <c r="Q12" i="24" s="1"/>
  <c r="R12" i="24" a="1"/>
  <c r="R12" i="24" s="1"/>
  <c r="U12" i="24" a="1"/>
  <c r="U12" i="24" s="1"/>
  <c r="V12" i="24" a="1"/>
  <c r="V12" i="24" s="1"/>
  <c r="W12" i="24" a="1"/>
  <c r="W12" i="24" s="1"/>
  <c r="X12" i="24" a="1"/>
  <c r="X12" i="24" s="1"/>
  <c r="K13" i="24" a="1"/>
  <c r="K13" i="24" s="1"/>
  <c r="L13" i="24" a="1"/>
  <c r="L13" i="24" s="1"/>
  <c r="M13" i="24" a="1"/>
  <c r="M13" i="24" s="1"/>
  <c r="N13" i="24" a="1"/>
  <c r="N13" i="24" s="1"/>
  <c r="O13" i="24" a="1"/>
  <c r="O13" i="24" s="1"/>
  <c r="P13" i="24" a="1"/>
  <c r="P13" i="24" s="1"/>
  <c r="Q13" i="24" a="1"/>
  <c r="Q13" i="24" s="1"/>
  <c r="R13" i="24" a="1"/>
  <c r="R13" i="24" s="1"/>
  <c r="U13" i="24" a="1"/>
  <c r="U13" i="24" s="1"/>
  <c r="V13" i="24" a="1"/>
  <c r="V13" i="24" s="1"/>
  <c r="W13" i="24" a="1"/>
  <c r="W13" i="24" s="1"/>
  <c r="X13" i="24" a="1"/>
  <c r="X13" i="24" s="1"/>
  <c r="K14" i="24" a="1"/>
  <c r="K14" i="24" s="1"/>
  <c r="L14" i="24" a="1"/>
  <c r="L14" i="24" s="1"/>
  <c r="M14" i="24" a="1"/>
  <c r="M14" i="24" s="1"/>
  <c r="N14" i="24" a="1"/>
  <c r="N14" i="24" s="1"/>
  <c r="O14" i="24" a="1"/>
  <c r="O14" i="24" s="1"/>
  <c r="P14" i="24" a="1"/>
  <c r="P14" i="24" s="1"/>
  <c r="Q14" i="24" a="1"/>
  <c r="Q14" i="24" s="1"/>
  <c r="R14" i="24" a="1"/>
  <c r="R14" i="24" s="1"/>
  <c r="U14" i="24" a="1"/>
  <c r="U14" i="24" s="1"/>
  <c r="V14" i="24" a="1"/>
  <c r="V14" i="24" s="1"/>
  <c r="W14" i="24" a="1"/>
  <c r="W14" i="24" s="1"/>
  <c r="X14" i="24" a="1"/>
  <c r="X14" i="24" s="1"/>
  <c r="K15" i="24" a="1"/>
  <c r="K15" i="24" s="1"/>
  <c r="L15" i="24" a="1"/>
  <c r="L15" i="24" s="1"/>
  <c r="M15" i="24" a="1"/>
  <c r="M15" i="24" s="1"/>
  <c r="N15" i="24" a="1"/>
  <c r="N15" i="24" s="1"/>
  <c r="O15" i="24" a="1"/>
  <c r="O15" i="24" s="1"/>
  <c r="P15" i="24" a="1"/>
  <c r="P15" i="24" s="1"/>
  <c r="Q15" i="24" a="1"/>
  <c r="Q15" i="24" s="1"/>
  <c r="R15" i="24" a="1"/>
  <c r="R15" i="24" s="1"/>
  <c r="U15" i="24" a="1"/>
  <c r="U15" i="24" s="1"/>
  <c r="V15" i="24" a="1"/>
  <c r="V15" i="24" s="1"/>
  <c r="W15" i="24" a="1"/>
  <c r="W15" i="24" s="1"/>
  <c r="X15" i="24" a="1"/>
  <c r="X15" i="24" s="1"/>
  <c r="K16" i="24" a="1"/>
  <c r="K16" i="24" s="1"/>
  <c r="L16" i="24" a="1"/>
  <c r="L16" i="24" s="1"/>
  <c r="M16" i="24" a="1"/>
  <c r="M16" i="24" s="1"/>
  <c r="N16" i="24" a="1"/>
  <c r="N16" i="24" s="1"/>
  <c r="O16" i="24" a="1"/>
  <c r="O16" i="24" s="1"/>
  <c r="P16" i="24" a="1"/>
  <c r="P16" i="24" s="1"/>
  <c r="Q16" i="24" a="1"/>
  <c r="Q16" i="24" s="1"/>
  <c r="R16" i="24" a="1"/>
  <c r="R16" i="24" s="1"/>
  <c r="U16" i="24" a="1"/>
  <c r="U16" i="24" s="1"/>
  <c r="V16" i="24" a="1"/>
  <c r="V16" i="24" s="1"/>
  <c r="W16" i="24" a="1"/>
  <c r="W16" i="24" s="1"/>
  <c r="X16" i="24" a="1"/>
  <c r="X16" i="24" s="1"/>
  <c r="K17" i="24" a="1"/>
  <c r="K17" i="24" s="1"/>
  <c r="L17" i="24" a="1"/>
  <c r="L17" i="24" s="1"/>
  <c r="M17" i="24" a="1"/>
  <c r="M17" i="24" s="1"/>
  <c r="N17" i="24" a="1"/>
  <c r="N17" i="24" s="1"/>
  <c r="O17" i="24" a="1"/>
  <c r="O17" i="24" s="1"/>
  <c r="P17" i="24" a="1"/>
  <c r="P17" i="24" s="1"/>
  <c r="Q17" i="24" a="1"/>
  <c r="Q17" i="24" s="1"/>
  <c r="R17" i="24" a="1"/>
  <c r="R17" i="24" s="1"/>
  <c r="U17" i="24" a="1"/>
  <c r="U17" i="24" s="1"/>
  <c r="V17" i="24" a="1"/>
  <c r="V17" i="24" s="1"/>
  <c r="W17" i="24" a="1"/>
  <c r="W17" i="24" s="1"/>
  <c r="X17" i="24" a="1"/>
  <c r="X17" i="24" s="1"/>
  <c r="K18" i="24" a="1"/>
  <c r="K18" i="24" s="1"/>
  <c r="L18" i="24" a="1"/>
  <c r="L18" i="24" s="1"/>
  <c r="M18" i="24" a="1"/>
  <c r="M18" i="24" s="1"/>
  <c r="N18" i="24" a="1"/>
  <c r="N18" i="24" s="1"/>
  <c r="O18" i="24" a="1"/>
  <c r="O18" i="24" s="1"/>
  <c r="P18" i="24" a="1"/>
  <c r="P18" i="24" s="1"/>
  <c r="Q18" i="24" a="1"/>
  <c r="Q18" i="24" s="1"/>
  <c r="R18" i="24" a="1"/>
  <c r="R18" i="24" s="1"/>
  <c r="U18" i="24" a="1"/>
  <c r="U18" i="24" s="1"/>
  <c r="V18" i="24" a="1"/>
  <c r="V18" i="24" s="1"/>
  <c r="W18" i="24" a="1"/>
  <c r="W18" i="24" s="1"/>
  <c r="X18" i="24" a="1"/>
  <c r="X18" i="24" s="1"/>
  <c r="K19" i="24" a="1"/>
  <c r="K19" i="24" s="1"/>
  <c r="L19" i="24" a="1"/>
  <c r="L19" i="24" s="1"/>
  <c r="M19" i="24" a="1"/>
  <c r="M19" i="24" s="1"/>
  <c r="N19" i="24" a="1"/>
  <c r="N19" i="24" s="1"/>
  <c r="O19" i="24" a="1"/>
  <c r="O19" i="24" s="1"/>
  <c r="P19" i="24" a="1"/>
  <c r="P19" i="24" s="1"/>
  <c r="Q19" i="24" a="1"/>
  <c r="Q19" i="24" s="1"/>
  <c r="R19" i="24" a="1"/>
  <c r="R19" i="24" s="1"/>
  <c r="U19" i="24" a="1"/>
  <c r="U19" i="24" s="1"/>
  <c r="V19" i="24" a="1"/>
  <c r="V19" i="24" s="1"/>
  <c r="W19" i="24" a="1"/>
  <c r="W19" i="24" s="1"/>
  <c r="X19" i="24" a="1"/>
  <c r="X19" i="24" s="1"/>
  <c r="K20" i="24" a="1"/>
  <c r="K20" i="24" s="1"/>
  <c r="L20" i="24" a="1"/>
  <c r="L20" i="24" s="1"/>
  <c r="M20" i="24" a="1"/>
  <c r="M20" i="24" s="1"/>
  <c r="N20" i="24" a="1"/>
  <c r="N20" i="24" s="1"/>
  <c r="O20" i="24" a="1"/>
  <c r="O20" i="24" s="1"/>
  <c r="P20" i="24" a="1"/>
  <c r="P20" i="24" s="1"/>
  <c r="Q20" i="24" a="1"/>
  <c r="Q20" i="24" s="1"/>
  <c r="R20" i="24" a="1"/>
  <c r="R20" i="24" s="1"/>
  <c r="U20" i="24" a="1"/>
  <c r="U20" i="24" s="1"/>
  <c r="V20" i="24" a="1"/>
  <c r="V20" i="24" s="1"/>
  <c r="W20" i="24" a="1"/>
  <c r="W20" i="24" s="1"/>
  <c r="X20" i="24" a="1"/>
  <c r="X20" i="24" s="1"/>
  <c r="K21" i="24" a="1"/>
  <c r="K21" i="24" s="1"/>
  <c r="L21" i="24" a="1"/>
  <c r="L21" i="24" s="1"/>
  <c r="M21" i="24" a="1"/>
  <c r="M21" i="24" s="1"/>
  <c r="N21" i="24" a="1"/>
  <c r="N21" i="24" s="1"/>
  <c r="O21" i="24" a="1"/>
  <c r="O21" i="24" s="1"/>
  <c r="P21" i="24" a="1"/>
  <c r="P21" i="24" s="1"/>
  <c r="Q21" i="24" a="1"/>
  <c r="Q21" i="24" s="1"/>
  <c r="R21" i="24" a="1"/>
  <c r="R21" i="24" s="1"/>
  <c r="U21" i="24" a="1"/>
  <c r="U21" i="24" s="1"/>
  <c r="V21" i="24" a="1"/>
  <c r="V21" i="24" s="1"/>
  <c r="W21" i="24" a="1"/>
  <c r="W21" i="24" s="1"/>
  <c r="X21" i="24" a="1"/>
  <c r="X21" i="24" s="1"/>
  <c r="K22" i="24" a="1"/>
  <c r="K22" i="24" s="1"/>
  <c r="L22" i="24" a="1"/>
  <c r="L22" i="24" s="1"/>
  <c r="M22" i="24" a="1"/>
  <c r="M22" i="24" s="1"/>
  <c r="N22" i="24" a="1"/>
  <c r="N22" i="24" s="1"/>
  <c r="O22" i="24" a="1"/>
  <c r="O22" i="24" s="1"/>
  <c r="P22" i="24" a="1"/>
  <c r="P22" i="24" s="1"/>
  <c r="Q22" i="24" a="1"/>
  <c r="Q22" i="24" s="1"/>
  <c r="R22" i="24" a="1"/>
  <c r="R22" i="24" s="1"/>
  <c r="U22" i="24" a="1"/>
  <c r="U22" i="24" s="1"/>
  <c r="V22" i="24" a="1"/>
  <c r="V22" i="24" s="1"/>
  <c r="W22" i="24" a="1"/>
  <c r="W22" i="24" s="1"/>
  <c r="X22" i="24" a="1"/>
  <c r="X22" i="24" s="1"/>
  <c r="K23" i="24" a="1"/>
  <c r="K23" i="24" s="1"/>
  <c r="L23" i="24" a="1"/>
  <c r="L23" i="24" s="1"/>
  <c r="M23" i="24" a="1"/>
  <c r="M23" i="24" s="1"/>
  <c r="N23" i="24" a="1"/>
  <c r="N23" i="24" s="1"/>
  <c r="O23" i="24" a="1"/>
  <c r="O23" i="24" s="1"/>
  <c r="P23" i="24" a="1"/>
  <c r="P23" i="24" s="1"/>
  <c r="Q23" i="24" a="1"/>
  <c r="Q23" i="24" s="1"/>
  <c r="R23" i="24" a="1"/>
  <c r="R23" i="24" s="1"/>
  <c r="U23" i="24" a="1"/>
  <c r="U23" i="24" s="1"/>
  <c r="V23" i="24" a="1"/>
  <c r="V23" i="24" s="1"/>
  <c r="W23" i="24" a="1"/>
  <c r="W23" i="24" s="1"/>
  <c r="X23" i="24" a="1"/>
  <c r="X23" i="24" s="1"/>
  <c r="K24" i="24" a="1"/>
  <c r="K24" i="24" s="1"/>
  <c r="L24" i="24" a="1"/>
  <c r="L24" i="24" s="1"/>
  <c r="M24" i="24" a="1"/>
  <c r="M24" i="24" s="1"/>
  <c r="N24" i="24" a="1"/>
  <c r="N24" i="24" s="1"/>
  <c r="O24" i="24" a="1"/>
  <c r="O24" i="24" s="1"/>
  <c r="P24" i="24" a="1"/>
  <c r="P24" i="24" s="1"/>
  <c r="Q24" i="24" a="1"/>
  <c r="Q24" i="24" s="1"/>
  <c r="R24" i="24" a="1"/>
  <c r="R24" i="24" s="1"/>
  <c r="U24" i="24" a="1"/>
  <c r="U24" i="24" s="1"/>
  <c r="V24" i="24" a="1"/>
  <c r="V24" i="24" s="1"/>
  <c r="W24" i="24" a="1"/>
  <c r="W24" i="24" s="1"/>
  <c r="X24" i="24" a="1"/>
  <c r="X24" i="24" s="1"/>
  <c r="K25" i="24" a="1"/>
  <c r="K25" i="24" s="1"/>
  <c r="L25" i="24" a="1"/>
  <c r="L25" i="24" s="1"/>
  <c r="M25" i="24" a="1"/>
  <c r="M25" i="24" s="1"/>
  <c r="N25" i="24" a="1"/>
  <c r="N25" i="24" s="1"/>
  <c r="O25" i="24" a="1"/>
  <c r="O25" i="24" s="1"/>
  <c r="P25" i="24" a="1"/>
  <c r="P25" i="24" s="1"/>
  <c r="Q25" i="24" a="1"/>
  <c r="Q25" i="24" s="1"/>
  <c r="R25" i="24" a="1"/>
  <c r="R25" i="24" s="1"/>
  <c r="U25" i="24" a="1"/>
  <c r="U25" i="24" s="1"/>
  <c r="V25" i="24" a="1"/>
  <c r="V25" i="24" s="1"/>
  <c r="W25" i="24" a="1"/>
  <c r="W25" i="24" s="1"/>
  <c r="X25" i="24" a="1"/>
  <c r="X25" i="24" s="1"/>
  <c r="K26" i="24" a="1"/>
  <c r="K26" i="24" s="1"/>
  <c r="L26" i="24" a="1"/>
  <c r="L26" i="24" s="1"/>
  <c r="M26" i="24" a="1"/>
  <c r="M26" i="24" s="1"/>
  <c r="N26" i="24" a="1"/>
  <c r="N26" i="24" s="1"/>
  <c r="O26" i="24" a="1"/>
  <c r="O26" i="24" s="1"/>
  <c r="P26" i="24" a="1"/>
  <c r="P26" i="24" s="1"/>
  <c r="Q26" i="24" a="1"/>
  <c r="Q26" i="24" s="1"/>
  <c r="R26" i="24" a="1"/>
  <c r="R26" i="24" s="1"/>
  <c r="U26" i="24" a="1"/>
  <c r="U26" i="24" s="1"/>
  <c r="V26" i="24" a="1"/>
  <c r="V26" i="24" s="1"/>
  <c r="W26" i="24" a="1"/>
  <c r="W26" i="24" s="1"/>
  <c r="X26" i="24" a="1"/>
  <c r="X26" i="24" s="1"/>
  <c r="K27" i="24" a="1"/>
  <c r="K27" i="24" s="1"/>
  <c r="L27" i="24" a="1"/>
  <c r="L27" i="24" s="1"/>
  <c r="M27" i="24" a="1"/>
  <c r="M27" i="24" s="1"/>
  <c r="N27" i="24" a="1"/>
  <c r="N27" i="24" s="1"/>
  <c r="O27" i="24" a="1"/>
  <c r="O27" i="24" s="1"/>
  <c r="P27" i="24" a="1"/>
  <c r="P27" i="24" s="1"/>
  <c r="Q27" i="24" a="1"/>
  <c r="Q27" i="24" s="1"/>
  <c r="R27" i="24" a="1"/>
  <c r="R27" i="24" s="1"/>
  <c r="U27" i="24" a="1"/>
  <c r="U27" i="24" s="1"/>
  <c r="V27" i="24" a="1"/>
  <c r="V27" i="24" s="1"/>
  <c r="W27" i="24" a="1"/>
  <c r="W27" i="24" s="1"/>
  <c r="X27" i="24" a="1"/>
  <c r="X27" i="24" s="1"/>
  <c r="K28" i="24" a="1"/>
  <c r="K28" i="24" s="1"/>
  <c r="L28" i="24" a="1"/>
  <c r="L28" i="24" s="1"/>
  <c r="M28" i="24" a="1"/>
  <c r="M28" i="24" s="1"/>
  <c r="N28" i="24" a="1"/>
  <c r="N28" i="24" s="1"/>
  <c r="O28" i="24" a="1"/>
  <c r="O28" i="24" s="1"/>
  <c r="P28" i="24" a="1"/>
  <c r="P28" i="24" s="1"/>
  <c r="Q28" i="24" a="1"/>
  <c r="Q28" i="24" s="1"/>
  <c r="R28" i="24" a="1"/>
  <c r="R28" i="24" s="1"/>
  <c r="U28" i="24" a="1"/>
  <c r="U28" i="24" s="1"/>
  <c r="V28" i="24" a="1"/>
  <c r="V28" i="24" s="1"/>
  <c r="W28" i="24" a="1"/>
  <c r="W28" i="24" s="1"/>
  <c r="X28" i="24" a="1"/>
  <c r="X28" i="24" s="1"/>
  <c r="K29" i="24" a="1"/>
  <c r="K29" i="24" s="1"/>
  <c r="L29" i="24" a="1"/>
  <c r="L29" i="24" s="1"/>
  <c r="M29" i="24" a="1"/>
  <c r="M29" i="24" s="1"/>
  <c r="N29" i="24" a="1"/>
  <c r="N29" i="24" s="1"/>
  <c r="O29" i="24" a="1"/>
  <c r="O29" i="24" s="1"/>
  <c r="P29" i="24" a="1"/>
  <c r="P29" i="24" s="1"/>
  <c r="Q29" i="24" a="1"/>
  <c r="Q29" i="24" s="1"/>
  <c r="R29" i="24" a="1"/>
  <c r="R29" i="24" s="1"/>
  <c r="U29" i="24" a="1"/>
  <c r="U29" i="24" s="1"/>
  <c r="V29" i="24" a="1"/>
  <c r="V29" i="24" s="1"/>
  <c r="W29" i="24" a="1"/>
  <c r="W29" i="24" s="1"/>
  <c r="X29" i="24" a="1"/>
  <c r="X29" i="24" s="1"/>
  <c r="K30" i="24" a="1"/>
  <c r="K30" i="24" s="1"/>
  <c r="L30" i="24" a="1"/>
  <c r="L30" i="24" s="1"/>
  <c r="M30" i="24" a="1"/>
  <c r="M30" i="24" s="1"/>
  <c r="N30" i="24" a="1"/>
  <c r="N30" i="24" s="1"/>
  <c r="O30" i="24" a="1"/>
  <c r="O30" i="24" s="1"/>
  <c r="P30" i="24" a="1"/>
  <c r="P30" i="24" s="1"/>
  <c r="Q30" i="24" a="1"/>
  <c r="Q30" i="24" s="1"/>
  <c r="R30" i="24" a="1"/>
  <c r="R30" i="24" s="1"/>
  <c r="U30" i="24" a="1"/>
  <c r="U30" i="24" s="1"/>
  <c r="V30" i="24" a="1"/>
  <c r="V30" i="24" s="1"/>
  <c r="W30" i="24" a="1"/>
  <c r="W30" i="24" s="1"/>
  <c r="X30" i="24" a="1"/>
  <c r="X30" i="24" s="1"/>
  <c r="K31" i="24" a="1"/>
  <c r="K31" i="24" s="1"/>
  <c r="L31" i="24" a="1"/>
  <c r="L31" i="24" s="1"/>
  <c r="M31" i="24" a="1"/>
  <c r="M31" i="24" s="1"/>
  <c r="N31" i="24" a="1"/>
  <c r="N31" i="24" s="1"/>
  <c r="O31" i="24" a="1"/>
  <c r="O31" i="24" s="1"/>
  <c r="P31" i="24" a="1"/>
  <c r="P31" i="24" s="1"/>
  <c r="Q31" i="24" a="1"/>
  <c r="Q31" i="24" s="1"/>
  <c r="R31" i="24" a="1"/>
  <c r="R31" i="24" s="1"/>
  <c r="U31" i="24" a="1"/>
  <c r="U31" i="24" s="1"/>
  <c r="V31" i="24" a="1"/>
  <c r="V31" i="24" s="1"/>
  <c r="W31" i="24" a="1"/>
  <c r="W31" i="24" s="1"/>
  <c r="X31" i="24" a="1"/>
  <c r="X31" i="24" s="1"/>
  <c r="K32" i="24" a="1"/>
  <c r="K32" i="24" s="1"/>
  <c r="L32" i="24" a="1"/>
  <c r="L32" i="24" s="1"/>
  <c r="M32" i="24" a="1"/>
  <c r="M32" i="24" s="1"/>
  <c r="N32" i="24" a="1"/>
  <c r="N32" i="24" s="1"/>
  <c r="O32" i="24" a="1"/>
  <c r="O32" i="24" s="1"/>
  <c r="P32" i="24" a="1"/>
  <c r="P32" i="24" s="1"/>
  <c r="Q32" i="24" a="1"/>
  <c r="Q32" i="24" s="1"/>
  <c r="R32" i="24" a="1"/>
  <c r="R32" i="24" s="1"/>
  <c r="U32" i="24" a="1"/>
  <c r="U32" i="24" s="1"/>
  <c r="V32" i="24" a="1"/>
  <c r="V32" i="24" s="1"/>
  <c r="W32" i="24" a="1"/>
  <c r="W32" i="24" s="1"/>
  <c r="X32" i="24" a="1"/>
  <c r="X32" i="24" s="1"/>
  <c r="K33" i="24" a="1"/>
  <c r="K33" i="24" s="1"/>
  <c r="L33" i="24" a="1"/>
  <c r="L33" i="24" s="1"/>
  <c r="M33" i="24" a="1"/>
  <c r="M33" i="24" s="1"/>
  <c r="N33" i="24" a="1"/>
  <c r="N33" i="24" s="1"/>
  <c r="O33" i="24" a="1"/>
  <c r="O33" i="24" s="1"/>
  <c r="P33" i="24" a="1"/>
  <c r="P33" i="24" s="1"/>
  <c r="Q33" i="24" a="1"/>
  <c r="Q33" i="24" s="1"/>
  <c r="R33" i="24" a="1"/>
  <c r="R33" i="24" s="1"/>
  <c r="U33" i="24" a="1"/>
  <c r="U33" i="24" s="1"/>
  <c r="V33" i="24" a="1"/>
  <c r="V33" i="24" s="1"/>
  <c r="W33" i="24" a="1"/>
  <c r="W33" i="24" s="1"/>
  <c r="X33" i="24" a="1"/>
  <c r="X33" i="24" s="1"/>
  <c r="K34" i="24" a="1"/>
  <c r="K34" i="24" s="1"/>
  <c r="L34" i="24" a="1"/>
  <c r="L34" i="24" s="1"/>
  <c r="M34" i="24" a="1"/>
  <c r="M34" i="24" s="1"/>
  <c r="N34" i="24" a="1"/>
  <c r="N34" i="24" s="1"/>
  <c r="O34" i="24" a="1"/>
  <c r="O34" i="24" s="1"/>
  <c r="P34" i="24" a="1"/>
  <c r="P34" i="24" s="1"/>
  <c r="Q34" i="24" a="1"/>
  <c r="Q34" i="24" s="1"/>
  <c r="R34" i="24" a="1"/>
  <c r="R34" i="24" s="1"/>
  <c r="U34" i="24" a="1"/>
  <c r="U34" i="24" s="1"/>
  <c r="V34" i="24" a="1"/>
  <c r="V34" i="24" s="1"/>
  <c r="W34" i="24" a="1"/>
  <c r="W34" i="24" s="1"/>
  <c r="X34" i="24" a="1"/>
  <c r="X34" i="24" s="1"/>
  <c r="K35" i="24" a="1"/>
  <c r="K35" i="24" s="1"/>
  <c r="L35" i="24" a="1"/>
  <c r="L35" i="24" s="1"/>
  <c r="M35" i="24" a="1"/>
  <c r="M35" i="24" s="1"/>
  <c r="N35" i="24" a="1"/>
  <c r="N35" i="24" s="1"/>
  <c r="O35" i="24" a="1"/>
  <c r="O35" i="24" s="1"/>
  <c r="P35" i="24" a="1"/>
  <c r="P35" i="24" s="1"/>
  <c r="Q35" i="24" a="1"/>
  <c r="Q35" i="24" s="1"/>
  <c r="R35" i="24" a="1"/>
  <c r="R35" i="24" s="1"/>
  <c r="U35" i="24" a="1"/>
  <c r="U35" i="24" s="1"/>
  <c r="V35" i="24" a="1"/>
  <c r="V35" i="24" s="1"/>
  <c r="W35" i="24" a="1"/>
  <c r="W35" i="24" s="1"/>
  <c r="X35" i="24" a="1"/>
  <c r="X35" i="24" s="1"/>
  <c r="K36" i="24" a="1"/>
  <c r="K36" i="24" s="1"/>
  <c r="L36" i="24" a="1"/>
  <c r="L36" i="24" s="1"/>
  <c r="M36" i="24" a="1"/>
  <c r="M36" i="24" s="1"/>
  <c r="N36" i="24" a="1"/>
  <c r="N36" i="24" s="1"/>
  <c r="O36" i="24" a="1"/>
  <c r="O36" i="24" s="1"/>
  <c r="P36" i="24" a="1"/>
  <c r="P36" i="24" s="1"/>
  <c r="Q36" i="24" a="1"/>
  <c r="Q36" i="24" s="1"/>
  <c r="R36" i="24" a="1"/>
  <c r="R36" i="24" s="1"/>
  <c r="U36" i="24" a="1"/>
  <c r="U36" i="24" s="1"/>
  <c r="V36" i="24" a="1"/>
  <c r="V36" i="24" s="1"/>
  <c r="W36" i="24" a="1"/>
  <c r="W36" i="24" s="1"/>
  <c r="X36" i="24" a="1"/>
  <c r="X36" i="24" s="1"/>
  <c r="K37" i="24" a="1"/>
  <c r="K37" i="24" s="1"/>
  <c r="L37" i="24" a="1"/>
  <c r="L37" i="24" s="1"/>
  <c r="M37" i="24" a="1"/>
  <c r="M37" i="24" s="1"/>
  <c r="N37" i="24" a="1"/>
  <c r="N37" i="24" s="1"/>
  <c r="O37" i="24" a="1"/>
  <c r="O37" i="24" s="1"/>
  <c r="P37" i="24" a="1"/>
  <c r="P37" i="24" s="1"/>
  <c r="Q37" i="24" a="1"/>
  <c r="Q37" i="24" s="1"/>
  <c r="R37" i="24" a="1"/>
  <c r="R37" i="24" s="1"/>
  <c r="U37" i="24" a="1"/>
  <c r="U37" i="24" s="1"/>
  <c r="V37" i="24" a="1"/>
  <c r="V37" i="24" s="1"/>
  <c r="W37" i="24" a="1"/>
  <c r="W37" i="24" s="1"/>
  <c r="X37" i="24" a="1"/>
  <c r="X37" i="24" s="1"/>
  <c r="K38" i="24" a="1"/>
  <c r="K38" i="24" s="1"/>
  <c r="L38" i="24" a="1"/>
  <c r="L38" i="24" s="1"/>
  <c r="M38" i="24" a="1"/>
  <c r="M38" i="24" s="1"/>
  <c r="N38" i="24" a="1"/>
  <c r="N38" i="24" s="1"/>
  <c r="O38" i="24" a="1"/>
  <c r="O38" i="24" s="1"/>
  <c r="P38" i="24" a="1"/>
  <c r="P38" i="24" s="1"/>
  <c r="Q38" i="24" a="1"/>
  <c r="Q38" i="24" s="1"/>
  <c r="R38" i="24" a="1"/>
  <c r="R38" i="24" s="1"/>
  <c r="U38" i="24" a="1"/>
  <c r="U38" i="24" s="1"/>
  <c r="V38" i="24" a="1"/>
  <c r="V38" i="24" s="1"/>
  <c r="W38" i="24" a="1"/>
  <c r="W38" i="24" s="1"/>
  <c r="X38" i="24" a="1"/>
  <c r="X38" i="24" s="1"/>
  <c r="K39" i="24" a="1"/>
  <c r="K39" i="24" s="1"/>
  <c r="L39" i="24" a="1"/>
  <c r="L39" i="24" s="1"/>
  <c r="M39" i="24" a="1"/>
  <c r="M39" i="24" s="1"/>
  <c r="N39" i="24" a="1"/>
  <c r="N39" i="24" s="1"/>
  <c r="O39" i="24" a="1"/>
  <c r="O39" i="24" s="1"/>
  <c r="P39" i="24" a="1"/>
  <c r="P39" i="24" s="1"/>
  <c r="Q39" i="24" a="1"/>
  <c r="Q39" i="24" s="1"/>
  <c r="R39" i="24" a="1"/>
  <c r="R39" i="24" s="1"/>
  <c r="U39" i="24" a="1"/>
  <c r="U39" i="24" s="1"/>
  <c r="V39" i="24" a="1"/>
  <c r="V39" i="24" s="1"/>
  <c r="W39" i="24" a="1"/>
  <c r="W39" i="24" s="1"/>
  <c r="X39" i="24" a="1"/>
  <c r="X39" i="24" s="1"/>
  <c r="K40" i="24" a="1"/>
  <c r="K40" i="24" s="1"/>
  <c r="L40" i="24" a="1"/>
  <c r="L40" i="24" s="1"/>
  <c r="M40" i="24" a="1"/>
  <c r="M40" i="24" s="1"/>
  <c r="N40" i="24" a="1"/>
  <c r="N40" i="24" s="1"/>
  <c r="O40" i="24" a="1"/>
  <c r="O40" i="24" s="1"/>
  <c r="P40" i="24" a="1"/>
  <c r="P40" i="24" s="1"/>
  <c r="Q40" i="24" a="1"/>
  <c r="Q40" i="24" s="1"/>
  <c r="R40" i="24" a="1"/>
  <c r="R40" i="24" s="1"/>
  <c r="U40" i="24" a="1"/>
  <c r="U40" i="24" s="1"/>
  <c r="V40" i="24" a="1"/>
  <c r="V40" i="24" s="1"/>
  <c r="W40" i="24" a="1"/>
  <c r="W40" i="24" s="1"/>
  <c r="X40" i="24" a="1"/>
  <c r="X40" i="24" s="1"/>
  <c r="K41" i="24" a="1"/>
  <c r="K41" i="24" s="1"/>
  <c r="L41" i="24" a="1"/>
  <c r="L41" i="24" s="1"/>
  <c r="M41" i="24" a="1"/>
  <c r="M41" i="24" s="1"/>
  <c r="N41" i="24" a="1"/>
  <c r="N41" i="24" s="1"/>
  <c r="O41" i="24" a="1"/>
  <c r="O41" i="24" s="1"/>
  <c r="P41" i="24" a="1"/>
  <c r="P41" i="24" s="1"/>
  <c r="Q41" i="24" a="1"/>
  <c r="Q41" i="24" s="1"/>
  <c r="R41" i="24" a="1"/>
  <c r="R41" i="24" s="1"/>
  <c r="U41" i="24" a="1"/>
  <c r="U41" i="24" s="1"/>
  <c r="V41" i="24" a="1"/>
  <c r="V41" i="24" s="1"/>
  <c r="W41" i="24" a="1"/>
  <c r="W41" i="24" s="1"/>
  <c r="X41" i="24" a="1"/>
  <c r="X41" i="24" s="1"/>
  <c r="K42" i="24" a="1"/>
  <c r="K42" i="24" s="1"/>
  <c r="L42" i="24" a="1"/>
  <c r="L42" i="24" s="1"/>
  <c r="M42" i="24" a="1"/>
  <c r="M42" i="24" s="1"/>
  <c r="N42" i="24" a="1"/>
  <c r="N42" i="24" s="1"/>
  <c r="O42" i="24" a="1"/>
  <c r="O42" i="24" s="1"/>
  <c r="P42" i="24" a="1"/>
  <c r="P42" i="24" s="1"/>
  <c r="Q42" i="24" a="1"/>
  <c r="Q42" i="24" s="1"/>
  <c r="R42" i="24" a="1"/>
  <c r="R42" i="24" s="1"/>
  <c r="U42" i="24" a="1"/>
  <c r="U42" i="24" s="1"/>
  <c r="V42" i="24" a="1"/>
  <c r="V42" i="24" s="1"/>
  <c r="W42" i="24" a="1"/>
  <c r="W42" i="24" s="1"/>
  <c r="X42" i="24" a="1"/>
  <c r="X42" i="24" s="1"/>
  <c r="K43" i="24" a="1"/>
  <c r="K43" i="24" s="1"/>
  <c r="L43" i="24" a="1"/>
  <c r="L43" i="24" s="1"/>
  <c r="M43" i="24" a="1"/>
  <c r="M43" i="24" s="1"/>
  <c r="N43" i="24" a="1"/>
  <c r="N43" i="24" s="1"/>
  <c r="O43" i="24" a="1"/>
  <c r="O43" i="24" s="1"/>
  <c r="P43" i="24" a="1"/>
  <c r="P43" i="24" s="1"/>
  <c r="Q43" i="24" a="1"/>
  <c r="Q43" i="24" s="1"/>
  <c r="R43" i="24" a="1"/>
  <c r="R43" i="24" s="1"/>
  <c r="U43" i="24" a="1"/>
  <c r="U43" i="24" s="1"/>
  <c r="V43" i="24" a="1"/>
  <c r="V43" i="24" s="1"/>
  <c r="W43" i="24" a="1"/>
  <c r="W43" i="24" s="1"/>
  <c r="X43" i="24" a="1"/>
  <c r="X43" i="24" s="1"/>
  <c r="K44" i="24" a="1"/>
  <c r="K44" i="24" s="1"/>
  <c r="L44" i="24" a="1"/>
  <c r="L44" i="24" s="1"/>
  <c r="M44" i="24" a="1"/>
  <c r="M44" i="24" s="1"/>
  <c r="N44" i="24" a="1"/>
  <c r="N44" i="24" s="1"/>
  <c r="O44" i="24" a="1"/>
  <c r="O44" i="24" s="1"/>
  <c r="P44" i="24" a="1"/>
  <c r="P44" i="24" s="1"/>
  <c r="Q44" i="24" a="1"/>
  <c r="Q44" i="24" s="1"/>
  <c r="R44" i="24" a="1"/>
  <c r="R44" i="24" s="1"/>
  <c r="U44" i="24" a="1"/>
  <c r="U44" i="24" s="1"/>
  <c r="V44" i="24" a="1"/>
  <c r="V44" i="24" s="1"/>
  <c r="W44" i="24" a="1"/>
  <c r="W44" i="24" s="1"/>
  <c r="X44" i="24" a="1"/>
  <c r="X44" i="24" s="1"/>
  <c r="K45" i="24" a="1"/>
  <c r="K45" i="24" s="1"/>
  <c r="L45" i="24" a="1"/>
  <c r="L45" i="24" s="1"/>
  <c r="M45" i="24" a="1"/>
  <c r="M45" i="24" s="1"/>
  <c r="N45" i="24" a="1"/>
  <c r="N45" i="24" s="1"/>
  <c r="O45" i="24" a="1"/>
  <c r="O45" i="24" s="1"/>
  <c r="P45" i="24" a="1"/>
  <c r="P45" i="24" s="1"/>
  <c r="Q45" i="24" a="1"/>
  <c r="Q45" i="24" s="1"/>
  <c r="R45" i="24" a="1"/>
  <c r="R45" i="24" s="1"/>
  <c r="U45" i="24" a="1"/>
  <c r="U45" i="24" s="1"/>
  <c r="V45" i="24" a="1"/>
  <c r="V45" i="24" s="1"/>
  <c r="W45" i="24" a="1"/>
  <c r="W45" i="24" s="1"/>
  <c r="X45" i="24" a="1"/>
  <c r="X45" i="24" s="1"/>
  <c r="K46" i="24" a="1"/>
  <c r="K46" i="24" s="1"/>
  <c r="L46" i="24" a="1"/>
  <c r="L46" i="24" s="1"/>
  <c r="M46" i="24" a="1"/>
  <c r="M46" i="24" s="1"/>
  <c r="N46" i="24" a="1"/>
  <c r="N46" i="24" s="1"/>
  <c r="O46" i="24" a="1"/>
  <c r="O46" i="24" s="1"/>
  <c r="P46" i="24" a="1"/>
  <c r="P46" i="24" s="1"/>
  <c r="Q46" i="24" a="1"/>
  <c r="Q46" i="24" s="1"/>
  <c r="R46" i="24" a="1"/>
  <c r="R46" i="24" s="1"/>
  <c r="U46" i="24" a="1"/>
  <c r="U46" i="24" s="1"/>
  <c r="V46" i="24" a="1"/>
  <c r="V46" i="24" s="1"/>
  <c r="W46" i="24" a="1"/>
  <c r="W46" i="24" s="1"/>
  <c r="X46" i="24" a="1"/>
  <c r="X46" i="24" s="1"/>
  <c r="K47" i="24" a="1"/>
  <c r="K47" i="24" s="1"/>
  <c r="L47" i="24" a="1"/>
  <c r="L47" i="24" s="1"/>
  <c r="M47" i="24" a="1"/>
  <c r="M47" i="24" s="1"/>
  <c r="N47" i="24" a="1"/>
  <c r="N47" i="24" s="1"/>
  <c r="O47" i="24" a="1"/>
  <c r="O47" i="24" s="1"/>
  <c r="P47" i="24" a="1"/>
  <c r="P47" i="24" s="1"/>
  <c r="Q47" i="24" a="1"/>
  <c r="Q47" i="24" s="1"/>
  <c r="R47" i="24" a="1"/>
  <c r="R47" i="24" s="1"/>
  <c r="U47" i="24" a="1"/>
  <c r="U47" i="24" s="1"/>
  <c r="V47" i="24" a="1"/>
  <c r="V47" i="24" s="1"/>
  <c r="W47" i="24" a="1"/>
  <c r="W47" i="24" s="1"/>
  <c r="X47" i="24" a="1"/>
  <c r="X47" i="24" s="1"/>
  <c r="K48" i="24" a="1"/>
  <c r="K48" i="24" s="1"/>
  <c r="L48" i="24" a="1"/>
  <c r="L48" i="24" s="1"/>
  <c r="M48" i="24" a="1"/>
  <c r="M48" i="24" s="1"/>
  <c r="N48" i="24" a="1"/>
  <c r="N48" i="24" s="1"/>
  <c r="O48" i="24" a="1"/>
  <c r="O48" i="24" s="1"/>
  <c r="P48" i="24" a="1"/>
  <c r="P48" i="24" s="1"/>
  <c r="Q48" i="24" a="1"/>
  <c r="Q48" i="24" s="1"/>
  <c r="R48" i="24" a="1"/>
  <c r="R48" i="24" s="1"/>
  <c r="U48" i="24" a="1"/>
  <c r="U48" i="24" s="1"/>
  <c r="V48" i="24" a="1"/>
  <c r="V48" i="24" s="1"/>
  <c r="W48" i="24" a="1"/>
  <c r="W48" i="24" s="1"/>
  <c r="X48" i="24" a="1"/>
  <c r="X48" i="24" s="1"/>
  <c r="K49" i="24" a="1"/>
  <c r="K49" i="24" s="1"/>
  <c r="L49" i="24" a="1"/>
  <c r="L49" i="24" s="1"/>
  <c r="M49" i="24" a="1"/>
  <c r="M49" i="24" s="1"/>
  <c r="N49" i="24" a="1"/>
  <c r="N49" i="24" s="1"/>
  <c r="O49" i="24" a="1"/>
  <c r="O49" i="24" s="1"/>
  <c r="P49" i="24" a="1"/>
  <c r="P49" i="24" s="1"/>
  <c r="Q49" i="24" a="1"/>
  <c r="Q49" i="24" s="1"/>
  <c r="R49" i="24" a="1"/>
  <c r="R49" i="24" s="1"/>
  <c r="U49" i="24" a="1"/>
  <c r="U49" i="24" s="1"/>
  <c r="V49" i="24" a="1"/>
  <c r="V49" i="24" s="1"/>
  <c r="W49" i="24" a="1"/>
  <c r="W49" i="24" s="1"/>
  <c r="X49" i="24" a="1"/>
  <c r="X49" i="24" s="1"/>
  <c r="K50" i="24" a="1"/>
  <c r="K50" i="24" s="1"/>
  <c r="L50" i="24" a="1"/>
  <c r="L50" i="24" s="1"/>
  <c r="M50" i="24" a="1"/>
  <c r="M50" i="24" s="1"/>
  <c r="N50" i="24" a="1"/>
  <c r="N50" i="24" s="1"/>
  <c r="O50" i="24" a="1"/>
  <c r="O50" i="24" s="1"/>
  <c r="P50" i="24" a="1"/>
  <c r="P50" i="24" s="1"/>
  <c r="Q50" i="24" a="1"/>
  <c r="Q50" i="24" s="1"/>
  <c r="R50" i="24" a="1"/>
  <c r="R50" i="24" s="1"/>
  <c r="U50" i="24" a="1"/>
  <c r="U50" i="24" s="1"/>
  <c r="V50" i="24" a="1"/>
  <c r="V50" i="24" s="1"/>
  <c r="W50" i="24" a="1"/>
  <c r="W50" i="24" s="1"/>
  <c r="X50" i="24" a="1"/>
  <c r="X50" i="24" s="1"/>
  <c r="K51" i="24" a="1"/>
  <c r="K51" i="24" s="1"/>
  <c r="L51" i="24" a="1"/>
  <c r="L51" i="24" s="1"/>
  <c r="M51" i="24" a="1"/>
  <c r="M51" i="24" s="1"/>
  <c r="N51" i="24" a="1"/>
  <c r="N51" i="24" s="1"/>
  <c r="O51" i="24" a="1"/>
  <c r="O51" i="24" s="1"/>
  <c r="P51" i="24" a="1"/>
  <c r="P51" i="24" s="1"/>
  <c r="Q51" i="24" a="1"/>
  <c r="Q51" i="24" s="1"/>
  <c r="R51" i="24" a="1"/>
  <c r="R51" i="24" s="1"/>
  <c r="U51" i="24" a="1"/>
  <c r="U51" i="24" s="1"/>
  <c r="V51" i="24" a="1"/>
  <c r="V51" i="24" s="1"/>
  <c r="W51" i="24" a="1"/>
  <c r="W51" i="24" s="1"/>
  <c r="X51" i="24" a="1"/>
  <c r="X51" i="24" s="1"/>
  <c r="K52" i="24" a="1"/>
  <c r="K52" i="24" s="1"/>
  <c r="L52" i="24" a="1"/>
  <c r="L52" i="24" s="1"/>
  <c r="M52" i="24" a="1"/>
  <c r="M52" i="24" s="1"/>
  <c r="N52" i="24" a="1"/>
  <c r="N52" i="24" s="1"/>
  <c r="O52" i="24" a="1"/>
  <c r="O52" i="24" s="1"/>
  <c r="P52" i="24" a="1"/>
  <c r="P52" i="24" s="1"/>
  <c r="Q52" i="24" a="1"/>
  <c r="Q52" i="24" s="1"/>
  <c r="R52" i="24" a="1"/>
  <c r="R52" i="24" s="1"/>
  <c r="U52" i="24" a="1"/>
  <c r="U52" i="24" s="1"/>
  <c r="V52" i="24" a="1"/>
  <c r="V52" i="24" s="1"/>
  <c r="W52" i="24" a="1"/>
  <c r="W52" i="24" s="1"/>
  <c r="X52" i="24" a="1"/>
  <c r="X52" i="24" s="1"/>
  <c r="K53" i="24" a="1"/>
  <c r="K53" i="24" s="1"/>
  <c r="L53" i="24" a="1"/>
  <c r="L53" i="24" s="1"/>
  <c r="M53" i="24" a="1"/>
  <c r="M53" i="24" s="1"/>
  <c r="N53" i="24" a="1"/>
  <c r="N53" i="24" s="1"/>
  <c r="O53" i="24" a="1"/>
  <c r="O53" i="24" s="1"/>
  <c r="P53" i="24" a="1"/>
  <c r="P53" i="24" s="1"/>
  <c r="Q53" i="24" a="1"/>
  <c r="Q53" i="24" s="1"/>
  <c r="R53" i="24" a="1"/>
  <c r="R53" i="24" s="1"/>
  <c r="U53" i="24" a="1"/>
  <c r="U53" i="24" s="1"/>
  <c r="V53" i="24" a="1"/>
  <c r="V53" i="24" s="1"/>
  <c r="W53" i="24" a="1"/>
  <c r="W53" i="24" s="1"/>
  <c r="X53" i="24" a="1"/>
  <c r="X53" i="24" s="1"/>
  <c r="K54" i="24" a="1"/>
  <c r="K54" i="24" s="1"/>
  <c r="L54" i="24" a="1"/>
  <c r="L54" i="24" s="1"/>
  <c r="M54" i="24" a="1"/>
  <c r="M54" i="24" s="1"/>
  <c r="N54" i="24" a="1"/>
  <c r="N54" i="24" s="1"/>
  <c r="O54" i="24" a="1"/>
  <c r="O54" i="24" s="1"/>
  <c r="P54" i="24" a="1"/>
  <c r="P54" i="24" s="1"/>
  <c r="Q54" i="24" a="1"/>
  <c r="Q54" i="24" s="1"/>
  <c r="R54" i="24" a="1"/>
  <c r="R54" i="24" s="1"/>
  <c r="U54" i="24" a="1"/>
  <c r="U54" i="24" s="1"/>
  <c r="V54" i="24" a="1"/>
  <c r="V54" i="24" s="1"/>
  <c r="W54" i="24" a="1"/>
  <c r="W54" i="24" s="1"/>
  <c r="X54" i="24" a="1"/>
  <c r="X54" i="24" s="1"/>
  <c r="K55" i="24" a="1"/>
  <c r="K55" i="24" s="1"/>
  <c r="L55" i="24" a="1"/>
  <c r="L55" i="24" s="1"/>
  <c r="M55" i="24" a="1"/>
  <c r="M55" i="24" s="1"/>
  <c r="N55" i="24" a="1"/>
  <c r="N55" i="24" s="1"/>
  <c r="O55" i="24" a="1"/>
  <c r="O55" i="24" s="1"/>
  <c r="P55" i="24" a="1"/>
  <c r="P55" i="24" s="1"/>
  <c r="Q55" i="24" a="1"/>
  <c r="Q55" i="24" s="1"/>
  <c r="R55" i="24" a="1"/>
  <c r="R55" i="24" s="1"/>
  <c r="U55" i="24" a="1"/>
  <c r="U55" i="24" s="1"/>
  <c r="V55" i="24" a="1"/>
  <c r="V55" i="24" s="1"/>
  <c r="W55" i="24" a="1"/>
  <c r="W55" i="24" s="1"/>
  <c r="X55" i="24" a="1"/>
  <c r="X55" i="24" s="1"/>
  <c r="K56" i="24" a="1"/>
  <c r="K56" i="24" s="1"/>
  <c r="L56" i="24" a="1"/>
  <c r="L56" i="24" s="1"/>
  <c r="M56" i="24" a="1"/>
  <c r="M56" i="24" s="1"/>
  <c r="N56" i="24" a="1"/>
  <c r="N56" i="24" s="1"/>
  <c r="O56" i="24" a="1"/>
  <c r="O56" i="24" s="1"/>
  <c r="P56" i="24" a="1"/>
  <c r="P56" i="24" s="1"/>
  <c r="Q56" i="24" a="1"/>
  <c r="Q56" i="24" s="1"/>
  <c r="R56" i="24" a="1"/>
  <c r="R56" i="24" s="1"/>
  <c r="U56" i="24" a="1"/>
  <c r="U56" i="24" s="1"/>
  <c r="V56" i="24" a="1"/>
  <c r="V56" i="24" s="1"/>
  <c r="W56" i="24" a="1"/>
  <c r="W56" i="24" s="1"/>
  <c r="X56" i="24" a="1"/>
  <c r="X56" i="24" s="1"/>
  <c r="K57" i="24" a="1"/>
  <c r="K57" i="24" s="1"/>
  <c r="L57" i="24" a="1"/>
  <c r="L57" i="24" s="1"/>
  <c r="M57" i="24" a="1"/>
  <c r="M57" i="24" s="1"/>
  <c r="N57" i="24" a="1"/>
  <c r="N57" i="24" s="1"/>
  <c r="O57" i="24" a="1"/>
  <c r="O57" i="24" s="1"/>
  <c r="P57" i="24" a="1"/>
  <c r="P57" i="24" s="1"/>
  <c r="Q57" i="24" a="1"/>
  <c r="Q57" i="24" s="1"/>
  <c r="R57" i="24" a="1"/>
  <c r="R57" i="24" s="1"/>
  <c r="U57" i="24" a="1"/>
  <c r="U57" i="24" s="1"/>
  <c r="V57" i="24" a="1"/>
  <c r="V57" i="24" s="1"/>
  <c r="W57" i="24" a="1"/>
  <c r="W57" i="24" s="1"/>
  <c r="X57" i="24" a="1"/>
  <c r="X57" i="24" s="1"/>
  <c r="K58" i="24" a="1"/>
  <c r="K58" i="24" s="1"/>
  <c r="L58" i="24" a="1"/>
  <c r="L58" i="24" s="1"/>
  <c r="M58" i="24" a="1"/>
  <c r="M58" i="24" s="1"/>
  <c r="N58" i="24" a="1"/>
  <c r="N58" i="24" s="1"/>
  <c r="O58" i="24" a="1"/>
  <c r="O58" i="24" s="1"/>
  <c r="P58" i="24" a="1"/>
  <c r="P58" i="24" s="1"/>
  <c r="Q58" i="24" a="1"/>
  <c r="Q58" i="24" s="1"/>
  <c r="R58" i="24" a="1"/>
  <c r="R58" i="24" s="1"/>
  <c r="U58" i="24" a="1"/>
  <c r="U58" i="24" s="1"/>
  <c r="V58" i="24" a="1"/>
  <c r="V58" i="24" s="1"/>
  <c r="W58" i="24" a="1"/>
  <c r="W58" i="24" s="1"/>
  <c r="X58" i="24" a="1"/>
  <c r="X58" i="24" s="1"/>
  <c r="K59" i="24" a="1"/>
  <c r="K59" i="24" s="1"/>
  <c r="L59" i="24" a="1"/>
  <c r="L59" i="24" s="1"/>
  <c r="M59" i="24" a="1"/>
  <c r="M59" i="24" s="1"/>
  <c r="N59" i="24" a="1"/>
  <c r="N59" i="24" s="1"/>
  <c r="O59" i="24" a="1"/>
  <c r="O59" i="24" s="1"/>
  <c r="P59" i="24" a="1"/>
  <c r="P59" i="24" s="1"/>
  <c r="Q59" i="24" a="1"/>
  <c r="Q59" i="24" s="1"/>
  <c r="R59" i="24" a="1"/>
  <c r="R59" i="24" s="1"/>
  <c r="U59" i="24" a="1"/>
  <c r="U59" i="24" s="1"/>
  <c r="V59" i="24" a="1"/>
  <c r="V59" i="24" s="1"/>
  <c r="W59" i="24" a="1"/>
  <c r="W59" i="24" s="1"/>
  <c r="X59" i="24" a="1"/>
  <c r="X59" i="24" s="1"/>
  <c r="K60" i="24" a="1"/>
  <c r="K60" i="24" s="1"/>
  <c r="L60" i="24" a="1"/>
  <c r="L60" i="24" s="1"/>
  <c r="M60" i="24" a="1"/>
  <c r="M60" i="24" s="1"/>
  <c r="N60" i="24" a="1"/>
  <c r="N60" i="24" s="1"/>
  <c r="O60" i="24" a="1"/>
  <c r="O60" i="24" s="1"/>
  <c r="P60" i="24" a="1"/>
  <c r="P60" i="24" s="1"/>
  <c r="Q60" i="24" a="1"/>
  <c r="Q60" i="24" s="1"/>
  <c r="R60" i="24" a="1"/>
  <c r="R60" i="24" s="1"/>
  <c r="U60" i="24" a="1"/>
  <c r="U60" i="24" s="1"/>
  <c r="V60" i="24" a="1"/>
  <c r="V60" i="24" s="1"/>
  <c r="W60" i="24" a="1"/>
  <c r="W60" i="24" s="1"/>
  <c r="X60" i="24" a="1"/>
  <c r="X60" i="24" s="1"/>
  <c r="K61" i="24" a="1"/>
  <c r="K61" i="24" s="1"/>
  <c r="L61" i="24" a="1"/>
  <c r="L61" i="24" s="1"/>
  <c r="M61" i="24" a="1"/>
  <c r="M61" i="24" s="1"/>
  <c r="N61" i="24" a="1"/>
  <c r="N61" i="24" s="1"/>
  <c r="O61" i="24" a="1"/>
  <c r="O61" i="24" s="1"/>
  <c r="P61" i="24" a="1"/>
  <c r="P61" i="24" s="1"/>
  <c r="Q61" i="24" a="1"/>
  <c r="Q61" i="24" s="1"/>
  <c r="R61" i="24" a="1"/>
  <c r="R61" i="24" s="1"/>
  <c r="U61" i="24" a="1"/>
  <c r="U61" i="24" s="1"/>
  <c r="V61" i="24" a="1"/>
  <c r="V61" i="24" s="1"/>
  <c r="W61" i="24" a="1"/>
  <c r="W61" i="24" s="1"/>
  <c r="X61" i="24" a="1"/>
  <c r="X61" i="24" s="1"/>
  <c r="K62" i="24" a="1"/>
  <c r="K62" i="24" s="1"/>
  <c r="L62" i="24" a="1"/>
  <c r="L62" i="24" s="1"/>
  <c r="M62" i="24" a="1"/>
  <c r="M62" i="24" s="1"/>
  <c r="N62" i="24" a="1"/>
  <c r="N62" i="24" s="1"/>
  <c r="O62" i="24" a="1"/>
  <c r="O62" i="24" s="1"/>
  <c r="P62" i="24" a="1"/>
  <c r="P62" i="24" s="1"/>
  <c r="Q62" i="24" a="1"/>
  <c r="Q62" i="24" s="1"/>
  <c r="R62" i="24" a="1"/>
  <c r="R62" i="24" s="1"/>
  <c r="U62" i="24" a="1"/>
  <c r="U62" i="24" s="1"/>
  <c r="V62" i="24" a="1"/>
  <c r="V62" i="24" s="1"/>
  <c r="W62" i="24" a="1"/>
  <c r="W62" i="24" s="1"/>
  <c r="X62" i="24" a="1"/>
  <c r="X62" i="24" s="1"/>
  <c r="K63" i="24" a="1"/>
  <c r="K63" i="24" s="1"/>
  <c r="L63" i="24" a="1"/>
  <c r="L63" i="24" s="1"/>
  <c r="M63" i="24" a="1"/>
  <c r="M63" i="24" s="1"/>
  <c r="N63" i="24" a="1"/>
  <c r="N63" i="24" s="1"/>
  <c r="O63" i="24" a="1"/>
  <c r="O63" i="24" s="1"/>
  <c r="P63" i="24" a="1"/>
  <c r="P63" i="24" s="1"/>
  <c r="Q63" i="24" a="1"/>
  <c r="Q63" i="24" s="1"/>
  <c r="R63" i="24" a="1"/>
  <c r="R63" i="24" s="1"/>
  <c r="U63" i="24" a="1"/>
  <c r="U63" i="24" s="1"/>
  <c r="V63" i="24" a="1"/>
  <c r="V63" i="24" s="1"/>
  <c r="W63" i="24" a="1"/>
  <c r="W63" i="24" s="1"/>
  <c r="X63" i="24" a="1"/>
  <c r="X63" i="24" s="1"/>
  <c r="K64" i="24" a="1"/>
  <c r="K64" i="24" s="1"/>
  <c r="L64" i="24" a="1"/>
  <c r="L64" i="24" s="1"/>
  <c r="M64" i="24" a="1"/>
  <c r="M64" i="24" s="1"/>
  <c r="N64" i="24" a="1"/>
  <c r="N64" i="24" s="1"/>
  <c r="O64" i="24" a="1"/>
  <c r="O64" i="24" s="1"/>
  <c r="P64" i="24" a="1"/>
  <c r="P64" i="24" s="1"/>
  <c r="Q64" i="24" a="1"/>
  <c r="Q64" i="24" s="1"/>
  <c r="R64" i="24" a="1"/>
  <c r="R64" i="24" s="1"/>
  <c r="U64" i="24" a="1"/>
  <c r="U64" i="24" s="1"/>
  <c r="V64" i="24" a="1"/>
  <c r="V64" i="24" s="1"/>
  <c r="W64" i="24" a="1"/>
  <c r="W64" i="24" s="1"/>
  <c r="X64" i="24" a="1"/>
  <c r="X64" i="24" s="1"/>
  <c r="K65" i="24" a="1"/>
  <c r="K65" i="24" s="1"/>
  <c r="L65" i="24" a="1"/>
  <c r="L65" i="24" s="1"/>
  <c r="M65" i="24" a="1"/>
  <c r="M65" i="24" s="1"/>
  <c r="N65" i="24" a="1"/>
  <c r="N65" i="24" s="1"/>
  <c r="O65" i="24" a="1"/>
  <c r="O65" i="24" s="1"/>
  <c r="P65" i="24" a="1"/>
  <c r="P65" i="24" s="1"/>
  <c r="Q65" i="24" a="1"/>
  <c r="Q65" i="24" s="1"/>
  <c r="R65" i="24" a="1"/>
  <c r="R65" i="24" s="1"/>
  <c r="U65" i="24" a="1"/>
  <c r="U65" i="24" s="1"/>
  <c r="V65" i="24" a="1"/>
  <c r="V65" i="24" s="1"/>
  <c r="W65" i="24" a="1"/>
  <c r="W65" i="24" s="1"/>
  <c r="X65" i="24" a="1"/>
  <c r="X65" i="24" s="1"/>
  <c r="K66" i="24" a="1"/>
  <c r="K66" i="24" s="1"/>
  <c r="L66" i="24" a="1"/>
  <c r="L66" i="24" s="1"/>
  <c r="M66" i="24" a="1"/>
  <c r="M66" i="24" s="1"/>
  <c r="N66" i="24" a="1"/>
  <c r="N66" i="24" s="1"/>
  <c r="O66" i="24" a="1"/>
  <c r="O66" i="24" s="1"/>
  <c r="P66" i="24" a="1"/>
  <c r="P66" i="24" s="1"/>
  <c r="Q66" i="24" a="1"/>
  <c r="Q66" i="24" s="1"/>
  <c r="R66" i="24" a="1"/>
  <c r="R66" i="24" s="1"/>
  <c r="U66" i="24" a="1"/>
  <c r="U66" i="24" s="1"/>
  <c r="V66" i="24" a="1"/>
  <c r="V66" i="24" s="1"/>
  <c r="W66" i="24" a="1"/>
  <c r="W66" i="24" s="1"/>
  <c r="X66" i="24" a="1"/>
  <c r="X66" i="24" s="1"/>
  <c r="K67" i="24" a="1"/>
  <c r="K67" i="24" s="1"/>
  <c r="L67" i="24" a="1"/>
  <c r="L67" i="24" s="1"/>
  <c r="M67" i="24" a="1"/>
  <c r="M67" i="24" s="1"/>
  <c r="N67" i="24" a="1"/>
  <c r="N67" i="24" s="1"/>
  <c r="O67" i="24" a="1"/>
  <c r="O67" i="24" s="1"/>
  <c r="P67" i="24" a="1"/>
  <c r="P67" i="24" s="1"/>
  <c r="Q67" i="24" a="1"/>
  <c r="Q67" i="24" s="1"/>
  <c r="R67" i="24" a="1"/>
  <c r="R67" i="24" s="1"/>
  <c r="U67" i="24" a="1"/>
  <c r="U67" i="24" s="1"/>
  <c r="V67" i="24" a="1"/>
  <c r="V67" i="24" s="1"/>
  <c r="W67" i="24" a="1"/>
  <c r="W67" i="24" s="1"/>
  <c r="X67" i="24" a="1"/>
  <c r="X67" i="24" s="1"/>
  <c r="K68" i="24" a="1"/>
  <c r="K68" i="24" s="1"/>
  <c r="L68" i="24" a="1"/>
  <c r="L68" i="24" s="1"/>
  <c r="M68" i="24" a="1"/>
  <c r="M68" i="24" s="1"/>
  <c r="N68" i="24" a="1"/>
  <c r="N68" i="24" s="1"/>
  <c r="O68" i="24" a="1"/>
  <c r="O68" i="24" s="1"/>
  <c r="P68" i="24" a="1"/>
  <c r="P68" i="24" s="1"/>
  <c r="Q68" i="24" a="1"/>
  <c r="Q68" i="24" s="1"/>
  <c r="R68" i="24" a="1"/>
  <c r="R68" i="24" s="1"/>
  <c r="U68" i="24" a="1"/>
  <c r="U68" i="24" s="1"/>
  <c r="V68" i="24" a="1"/>
  <c r="V68" i="24" s="1"/>
  <c r="W68" i="24" a="1"/>
  <c r="W68" i="24" s="1"/>
  <c r="X68" i="24" a="1"/>
  <c r="X68" i="24" s="1"/>
  <c r="K69" i="24" a="1"/>
  <c r="K69" i="24" s="1"/>
  <c r="L69" i="24" a="1"/>
  <c r="L69" i="24" s="1"/>
  <c r="M69" i="24" a="1"/>
  <c r="M69" i="24" s="1"/>
  <c r="N69" i="24" a="1"/>
  <c r="N69" i="24" s="1"/>
  <c r="O69" i="24" a="1"/>
  <c r="O69" i="24" s="1"/>
  <c r="P69" i="24" a="1"/>
  <c r="P69" i="24" s="1"/>
  <c r="Q69" i="24" a="1"/>
  <c r="Q69" i="24" s="1"/>
  <c r="R69" i="24" a="1"/>
  <c r="R69" i="24" s="1"/>
  <c r="U69" i="24" a="1"/>
  <c r="U69" i="24" s="1"/>
  <c r="V69" i="24" a="1"/>
  <c r="V69" i="24" s="1"/>
  <c r="W69" i="24" a="1"/>
  <c r="W69" i="24" s="1"/>
  <c r="X69" i="24" a="1"/>
  <c r="X69" i="24" s="1"/>
  <c r="K70" i="24" a="1"/>
  <c r="K70" i="24" s="1"/>
  <c r="L70" i="24" a="1"/>
  <c r="L70" i="24" s="1"/>
  <c r="M70" i="24" a="1"/>
  <c r="M70" i="24" s="1"/>
  <c r="N70" i="24" a="1"/>
  <c r="N70" i="24" s="1"/>
  <c r="O70" i="24" a="1"/>
  <c r="O70" i="24" s="1"/>
  <c r="P70" i="24" a="1"/>
  <c r="P70" i="24" s="1"/>
  <c r="Q70" i="24" a="1"/>
  <c r="Q70" i="24" s="1"/>
  <c r="R70" i="24" a="1"/>
  <c r="R70" i="24" s="1"/>
  <c r="U70" i="24" a="1"/>
  <c r="U70" i="24" s="1"/>
  <c r="V70" i="24" a="1"/>
  <c r="V70" i="24" s="1"/>
  <c r="W70" i="24" a="1"/>
  <c r="W70" i="24" s="1"/>
  <c r="X70" i="24" a="1"/>
  <c r="X70" i="24" s="1"/>
  <c r="K71" i="24" a="1"/>
  <c r="K71" i="24" s="1"/>
  <c r="L71" i="24" a="1"/>
  <c r="L71" i="24" s="1"/>
  <c r="M71" i="24" a="1"/>
  <c r="M71" i="24" s="1"/>
  <c r="N71" i="24" a="1"/>
  <c r="N71" i="24" s="1"/>
  <c r="O71" i="24" a="1"/>
  <c r="O71" i="24" s="1"/>
  <c r="P71" i="24" a="1"/>
  <c r="P71" i="24" s="1"/>
  <c r="Q71" i="24" a="1"/>
  <c r="Q71" i="24" s="1"/>
  <c r="R71" i="24" a="1"/>
  <c r="R71" i="24" s="1"/>
  <c r="U71" i="24" a="1"/>
  <c r="U71" i="24" s="1"/>
  <c r="V71" i="24" a="1"/>
  <c r="V71" i="24" s="1"/>
  <c r="W71" i="24" a="1"/>
  <c r="W71" i="24" s="1"/>
  <c r="X71" i="24" a="1"/>
  <c r="X71" i="24" s="1"/>
  <c r="K72" i="24" a="1"/>
  <c r="K72" i="24" s="1"/>
  <c r="L72" i="24" a="1"/>
  <c r="L72" i="24" s="1"/>
  <c r="M72" i="24" a="1"/>
  <c r="M72" i="24" s="1"/>
  <c r="N72" i="24" a="1"/>
  <c r="N72" i="24" s="1"/>
  <c r="O72" i="24" a="1"/>
  <c r="O72" i="24" s="1"/>
  <c r="P72" i="24" a="1"/>
  <c r="P72" i="24" s="1"/>
  <c r="Q72" i="24" a="1"/>
  <c r="Q72" i="24" s="1"/>
  <c r="R72" i="24" a="1"/>
  <c r="R72" i="24" s="1"/>
  <c r="U72" i="24" a="1"/>
  <c r="U72" i="24" s="1"/>
  <c r="V72" i="24" a="1"/>
  <c r="V72" i="24" s="1"/>
  <c r="W72" i="24" a="1"/>
  <c r="W72" i="24" s="1"/>
  <c r="X72" i="24" a="1"/>
  <c r="X72" i="24" s="1"/>
  <c r="K73" i="24" a="1"/>
  <c r="K73" i="24" s="1"/>
  <c r="L73" i="24" a="1"/>
  <c r="L73" i="24" s="1"/>
  <c r="M73" i="24" a="1"/>
  <c r="M73" i="24" s="1"/>
  <c r="N73" i="24" a="1"/>
  <c r="N73" i="24" s="1"/>
  <c r="O73" i="24" a="1"/>
  <c r="O73" i="24" s="1"/>
  <c r="P73" i="24" a="1"/>
  <c r="P73" i="24" s="1"/>
  <c r="Q73" i="24" a="1"/>
  <c r="Q73" i="24" s="1"/>
  <c r="R73" i="24" a="1"/>
  <c r="R73" i="24" s="1"/>
  <c r="U73" i="24" a="1"/>
  <c r="U73" i="24" s="1"/>
  <c r="V73" i="24" a="1"/>
  <c r="V73" i="24" s="1"/>
  <c r="W73" i="24" a="1"/>
  <c r="W73" i="24" s="1"/>
  <c r="X73" i="24" a="1"/>
  <c r="X73" i="24" s="1"/>
  <c r="K74" i="24" a="1"/>
  <c r="K74" i="24" s="1"/>
  <c r="L74" i="24" a="1"/>
  <c r="L74" i="24" s="1"/>
  <c r="M74" i="24" a="1"/>
  <c r="M74" i="24" s="1"/>
  <c r="N74" i="24" a="1"/>
  <c r="N74" i="24" s="1"/>
  <c r="O74" i="24" a="1"/>
  <c r="O74" i="24" s="1"/>
  <c r="P74" i="24" a="1"/>
  <c r="P74" i="24" s="1"/>
  <c r="Q74" i="24" a="1"/>
  <c r="Q74" i="24" s="1"/>
  <c r="R74" i="24" a="1"/>
  <c r="R74" i="24" s="1"/>
  <c r="U74" i="24" a="1"/>
  <c r="U74" i="24" s="1"/>
  <c r="V74" i="24" a="1"/>
  <c r="V74" i="24" s="1"/>
  <c r="W74" i="24" a="1"/>
  <c r="W74" i="24" s="1"/>
  <c r="X74" i="24" a="1"/>
  <c r="X74" i="24" s="1"/>
  <c r="K75" i="24" a="1"/>
  <c r="K75" i="24" s="1"/>
  <c r="L75" i="24" a="1"/>
  <c r="L75" i="24" s="1"/>
  <c r="M75" i="24" a="1"/>
  <c r="M75" i="24" s="1"/>
  <c r="N75" i="24" a="1"/>
  <c r="N75" i="24" s="1"/>
  <c r="O75" i="24" a="1"/>
  <c r="O75" i="24" s="1"/>
  <c r="P75" i="24" a="1"/>
  <c r="P75" i="24" s="1"/>
  <c r="Q75" i="24" a="1"/>
  <c r="Q75" i="24" s="1"/>
  <c r="R75" i="24" a="1"/>
  <c r="R75" i="24" s="1"/>
  <c r="U75" i="24" a="1"/>
  <c r="U75" i="24" s="1"/>
  <c r="V75" i="24" a="1"/>
  <c r="V75" i="24" s="1"/>
  <c r="W75" i="24" a="1"/>
  <c r="W75" i="24" s="1"/>
  <c r="X75" i="24" a="1"/>
  <c r="X75" i="24" s="1"/>
  <c r="K76" i="24" a="1"/>
  <c r="K76" i="24" s="1"/>
  <c r="L76" i="24" a="1"/>
  <c r="L76" i="24" s="1"/>
  <c r="M76" i="24" a="1"/>
  <c r="M76" i="24" s="1"/>
  <c r="N76" i="24" a="1"/>
  <c r="N76" i="24" s="1"/>
  <c r="O76" i="24" a="1"/>
  <c r="O76" i="24" s="1"/>
  <c r="P76" i="24" a="1"/>
  <c r="P76" i="24" s="1"/>
  <c r="Q76" i="24" a="1"/>
  <c r="Q76" i="24" s="1"/>
  <c r="R76" i="24" a="1"/>
  <c r="R76" i="24" s="1"/>
  <c r="U76" i="24" a="1"/>
  <c r="U76" i="24" s="1"/>
  <c r="V76" i="24" a="1"/>
  <c r="V76" i="24" s="1"/>
  <c r="W76" i="24" a="1"/>
  <c r="W76" i="24" s="1"/>
  <c r="X76" i="24" a="1"/>
  <c r="X76" i="24" s="1"/>
  <c r="K77" i="24" a="1"/>
  <c r="K77" i="24" s="1"/>
  <c r="L77" i="24" a="1"/>
  <c r="L77" i="24" s="1"/>
  <c r="M77" i="24" a="1"/>
  <c r="M77" i="24" s="1"/>
  <c r="N77" i="24" a="1"/>
  <c r="N77" i="24" s="1"/>
  <c r="O77" i="24" a="1"/>
  <c r="O77" i="24" s="1"/>
  <c r="P77" i="24" a="1"/>
  <c r="P77" i="24" s="1"/>
  <c r="Q77" i="24" a="1"/>
  <c r="Q77" i="24" s="1"/>
  <c r="R77" i="24" a="1"/>
  <c r="R77" i="24" s="1"/>
  <c r="U77" i="24" a="1"/>
  <c r="U77" i="24" s="1"/>
  <c r="V77" i="24" a="1"/>
  <c r="V77" i="24" s="1"/>
  <c r="W77" i="24" a="1"/>
  <c r="W77" i="24" s="1"/>
  <c r="X77" i="24" a="1"/>
  <c r="X77" i="24" s="1"/>
  <c r="K78" i="24" a="1"/>
  <c r="K78" i="24" s="1"/>
  <c r="L78" i="24" a="1"/>
  <c r="L78" i="24" s="1"/>
  <c r="M78" i="24" a="1"/>
  <c r="M78" i="24" s="1"/>
  <c r="N78" i="24" a="1"/>
  <c r="N78" i="24" s="1"/>
  <c r="O78" i="24" a="1"/>
  <c r="O78" i="24" s="1"/>
  <c r="P78" i="24" a="1"/>
  <c r="P78" i="24" s="1"/>
  <c r="Q78" i="24" a="1"/>
  <c r="Q78" i="24" s="1"/>
  <c r="R78" i="24" a="1"/>
  <c r="R78" i="24" s="1"/>
  <c r="U78" i="24" a="1"/>
  <c r="U78" i="24" s="1"/>
  <c r="V78" i="24" a="1"/>
  <c r="V78" i="24" s="1"/>
  <c r="W78" i="24" a="1"/>
  <c r="W78" i="24" s="1"/>
  <c r="X78" i="24" a="1"/>
  <c r="X78" i="24" s="1"/>
  <c r="K79" i="24" a="1"/>
  <c r="K79" i="24" s="1"/>
  <c r="L79" i="24" a="1"/>
  <c r="L79" i="24" s="1"/>
  <c r="M79" i="24" a="1"/>
  <c r="M79" i="24" s="1"/>
  <c r="N79" i="24" a="1"/>
  <c r="N79" i="24" s="1"/>
  <c r="O79" i="24" a="1"/>
  <c r="O79" i="24" s="1"/>
  <c r="P79" i="24" a="1"/>
  <c r="P79" i="24" s="1"/>
  <c r="Q79" i="24" a="1"/>
  <c r="Q79" i="24" s="1"/>
  <c r="R79" i="24" a="1"/>
  <c r="R79" i="24" s="1"/>
  <c r="U79" i="24" a="1"/>
  <c r="U79" i="24" s="1"/>
  <c r="V79" i="24" a="1"/>
  <c r="V79" i="24" s="1"/>
  <c r="W79" i="24" a="1"/>
  <c r="W79" i="24" s="1"/>
  <c r="X79" i="24" a="1"/>
  <c r="X79" i="24" s="1"/>
  <c r="K80" i="24" a="1"/>
  <c r="K80" i="24" s="1"/>
  <c r="L80" i="24" a="1"/>
  <c r="L80" i="24" s="1"/>
  <c r="M80" i="24" a="1"/>
  <c r="M80" i="24" s="1"/>
  <c r="N80" i="24" a="1"/>
  <c r="N80" i="24" s="1"/>
  <c r="O80" i="24" a="1"/>
  <c r="O80" i="24" s="1"/>
  <c r="P80" i="24" a="1"/>
  <c r="P80" i="24" s="1"/>
  <c r="Q80" i="24" a="1"/>
  <c r="Q80" i="24" s="1"/>
  <c r="R80" i="24" a="1"/>
  <c r="R80" i="24" s="1"/>
  <c r="U80" i="24" a="1"/>
  <c r="U80" i="24" s="1"/>
  <c r="V80" i="24" a="1"/>
  <c r="V80" i="24" s="1"/>
  <c r="W80" i="24" a="1"/>
  <c r="W80" i="24" s="1"/>
  <c r="X80" i="24" a="1"/>
  <c r="X80" i="24" s="1"/>
  <c r="K81" i="24" a="1"/>
  <c r="K81" i="24" s="1"/>
  <c r="L81" i="24" a="1"/>
  <c r="L81" i="24" s="1"/>
  <c r="M81" i="24" a="1"/>
  <c r="M81" i="24" s="1"/>
  <c r="N81" i="24" a="1"/>
  <c r="N81" i="24" s="1"/>
  <c r="O81" i="24" a="1"/>
  <c r="O81" i="24" s="1"/>
  <c r="P81" i="24" a="1"/>
  <c r="P81" i="24" s="1"/>
  <c r="Q81" i="24" a="1"/>
  <c r="Q81" i="24" s="1"/>
  <c r="R81" i="24" a="1"/>
  <c r="R81" i="24" s="1"/>
  <c r="U81" i="24" a="1"/>
  <c r="U81" i="24" s="1"/>
  <c r="V81" i="24" a="1"/>
  <c r="V81" i="24" s="1"/>
  <c r="W81" i="24" a="1"/>
  <c r="W81" i="24" s="1"/>
  <c r="X81" i="24" a="1"/>
  <c r="X81" i="24" s="1"/>
  <c r="K82" i="24" a="1"/>
  <c r="K82" i="24" s="1"/>
  <c r="L82" i="24" a="1"/>
  <c r="L82" i="24" s="1"/>
  <c r="M82" i="24" a="1"/>
  <c r="M82" i="24" s="1"/>
  <c r="N82" i="24" a="1"/>
  <c r="N82" i="24" s="1"/>
  <c r="O82" i="24" a="1"/>
  <c r="O82" i="24" s="1"/>
  <c r="P82" i="24" a="1"/>
  <c r="P82" i="24" s="1"/>
  <c r="Q82" i="24" a="1"/>
  <c r="Q82" i="24" s="1"/>
  <c r="R82" i="24" a="1"/>
  <c r="R82" i="24" s="1"/>
  <c r="U82" i="24" a="1"/>
  <c r="U82" i="24" s="1"/>
  <c r="V82" i="24" a="1"/>
  <c r="V82" i="24" s="1"/>
  <c r="W82" i="24" a="1"/>
  <c r="W82" i="24" s="1"/>
  <c r="X82" i="24" a="1"/>
  <c r="X82" i="24" s="1"/>
  <c r="K83" i="24" a="1"/>
  <c r="K83" i="24" s="1"/>
  <c r="L83" i="24" a="1"/>
  <c r="L83" i="24" s="1"/>
  <c r="M83" i="24" a="1"/>
  <c r="M83" i="24" s="1"/>
  <c r="N83" i="24" a="1"/>
  <c r="N83" i="24" s="1"/>
  <c r="O83" i="24" a="1"/>
  <c r="O83" i="24" s="1"/>
  <c r="P83" i="24" a="1"/>
  <c r="P83" i="24" s="1"/>
  <c r="Q83" i="24" a="1"/>
  <c r="Q83" i="24" s="1"/>
  <c r="R83" i="24" a="1"/>
  <c r="R83" i="24" s="1"/>
  <c r="U83" i="24" a="1"/>
  <c r="U83" i="24" s="1"/>
  <c r="V83" i="24" a="1"/>
  <c r="V83" i="24" s="1"/>
  <c r="W83" i="24" a="1"/>
  <c r="W83" i="24" s="1"/>
  <c r="X83" i="24" a="1"/>
  <c r="X83" i="24" s="1"/>
  <c r="K84" i="24" a="1"/>
  <c r="K84" i="24" s="1"/>
  <c r="L84" i="24" a="1"/>
  <c r="L84" i="24" s="1"/>
  <c r="M84" i="24" a="1"/>
  <c r="M84" i="24" s="1"/>
  <c r="N84" i="24" a="1"/>
  <c r="N84" i="24" s="1"/>
  <c r="O84" i="24" a="1"/>
  <c r="O84" i="24" s="1"/>
  <c r="P84" i="24" a="1"/>
  <c r="P84" i="24" s="1"/>
  <c r="Q84" i="24" a="1"/>
  <c r="Q84" i="24" s="1"/>
  <c r="R84" i="24" a="1"/>
  <c r="R84" i="24" s="1"/>
  <c r="U84" i="24" a="1"/>
  <c r="U84" i="24" s="1"/>
  <c r="V84" i="24" a="1"/>
  <c r="V84" i="24" s="1"/>
  <c r="W84" i="24" a="1"/>
  <c r="W84" i="24" s="1"/>
  <c r="X84" i="24" a="1"/>
  <c r="X84" i="24" s="1"/>
  <c r="K85" i="24" a="1"/>
  <c r="K85" i="24" s="1"/>
  <c r="L85" i="24" a="1"/>
  <c r="L85" i="24" s="1"/>
  <c r="M85" i="24" a="1"/>
  <c r="M85" i="24" s="1"/>
  <c r="N85" i="24" a="1"/>
  <c r="N85" i="24" s="1"/>
  <c r="O85" i="24" a="1"/>
  <c r="O85" i="24" s="1"/>
  <c r="P85" i="24" a="1"/>
  <c r="P85" i="24" s="1"/>
  <c r="Q85" i="24" a="1"/>
  <c r="Q85" i="24" s="1"/>
  <c r="R85" i="24" a="1"/>
  <c r="R85" i="24" s="1"/>
  <c r="U85" i="24" a="1"/>
  <c r="U85" i="24" s="1"/>
  <c r="V85" i="24" a="1"/>
  <c r="V85" i="24" s="1"/>
  <c r="W85" i="24" a="1"/>
  <c r="W85" i="24" s="1"/>
  <c r="X85" i="24" a="1"/>
  <c r="X85" i="24" s="1"/>
  <c r="K86" i="24" a="1"/>
  <c r="K86" i="24" s="1"/>
  <c r="L86" i="24" a="1"/>
  <c r="L86" i="24" s="1"/>
  <c r="M86" i="24" a="1"/>
  <c r="M86" i="24" s="1"/>
  <c r="N86" i="24" a="1"/>
  <c r="N86" i="24" s="1"/>
  <c r="O86" i="24" a="1"/>
  <c r="O86" i="24" s="1"/>
  <c r="P86" i="24" a="1"/>
  <c r="P86" i="24" s="1"/>
  <c r="Q86" i="24" a="1"/>
  <c r="Q86" i="24" s="1"/>
  <c r="R86" i="24" a="1"/>
  <c r="R86" i="24" s="1"/>
  <c r="U86" i="24" a="1"/>
  <c r="U86" i="24" s="1"/>
  <c r="V86" i="24" a="1"/>
  <c r="V86" i="24" s="1"/>
  <c r="W86" i="24" a="1"/>
  <c r="W86" i="24" s="1"/>
  <c r="X86" i="24" a="1"/>
  <c r="X86" i="24" s="1"/>
  <c r="K87" i="24" a="1"/>
  <c r="K87" i="24" s="1"/>
  <c r="L87" i="24" a="1"/>
  <c r="L87" i="24" s="1"/>
  <c r="M87" i="24" a="1"/>
  <c r="M87" i="24" s="1"/>
  <c r="N87" i="24" a="1"/>
  <c r="N87" i="24" s="1"/>
  <c r="O87" i="24" a="1"/>
  <c r="O87" i="24" s="1"/>
  <c r="P87" i="24" a="1"/>
  <c r="P87" i="24" s="1"/>
  <c r="Q87" i="24" a="1"/>
  <c r="Q87" i="24" s="1"/>
  <c r="R87" i="24" a="1"/>
  <c r="R87" i="24" s="1"/>
  <c r="U87" i="24" a="1"/>
  <c r="U87" i="24" s="1"/>
  <c r="V87" i="24" a="1"/>
  <c r="V87" i="24" s="1"/>
  <c r="W87" i="24" a="1"/>
  <c r="W87" i="24" s="1"/>
  <c r="X87" i="24" a="1"/>
  <c r="X87" i="24" s="1"/>
  <c r="K88" i="24" a="1"/>
  <c r="K88" i="24" s="1"/>
  <c r="L88" i="24" a="1"/>
  <c r="L88" i="24" s="1"/>
  <c r="M88" i="24" a="1"/>
  <c r="M88" i="24" s="1"/>
  <c r="N88" i="24" a="1"/>
  <c r="N88" i="24" s="1"/>
  <c r="O88" i="24" a="1"/>
  <c r="O88" i="24" s="1"/>
  <c r="P88" i="24" a="1"/>
  <c r="P88" i="24" s="1"/>
  <c r="Q88" i="24" a="1"/>
  <c r="Q88" i="24" s="1"/>
  <c r="R88" i="24" a="1"/>
  <c r="R88" i="24" s="1"/>
  <c r="U88" i="24" a="1"/>
  <c r="U88" i="24" s="1"/>
  <c r="V88" i="24" a="1"/>
  <c r="V88" i="24" s="1"/>
  <c r="W88" i="24" a="1"/>
  <c r="W88" i="24" s="1"/>
  <c r="X88" i="24" a="1"/>
  <c r="X88" i="24" s="1"/>
  <c r="K89" i="24" a="1"/>
  <c r="K89" i="24" s="1"/>
  <c r="L89" i="24" a="1"/>
  <c r="L89" i="24" s="1"/>
  <c r="M89" i="24" a="1"/>
  <c r="M89" i="24" s="1"/>
  <c r="N89" i="24" a="1"/>
  <c r="N89" i="24" s="1"/>
  <c r="O89" i="24" a="1"/>
  <c r="O89" i="24" s="1"/>
  <c r="P89" i="24" a="1"/>
  <c r="P89" i="24" s="1"/>
  <c r="Q89" i="24" a="1"/>
  <c r="Q89" i="24" s="1"/>
  <c r="R89" i="24" a="1"/>
  <c r="R89" i="24" s="1"/>
  <c r="U89" i="24" a="1"/>
  <c r="U89" i="24" s="1"/>
  <c r="V89" i="24" a="1"/>
  <c r="V89" i="24" s="1"/>
  <c r="W89" i="24" a="1"/>
  <c r="W89" i="24" s="1"/>
  <c r="X89" i="24" a="1"/>
  <c r="X89" i="24" s="1"/>
  <c r="K90" i="24" a="1"/>
  <c r="K90" i="24" s="1"/>
  <c r="L90" i="24" a="1"/>
  <c r="L90" i="24" s="1"/>
  <c r="M90" i="24" a="1"/>
  <c r="M90" i="24" s="1"/>
  <c r="N90" i="24" a="1"/>
  <c r="N90" i="24" s="1"/>
  <c r="O90" i="24" a="1"/>
  <c r="O90" i="24" s="1"/>
  <c r="P90" i="24" a="1"/>
  <c r="P90" i="24" s="1"/>
  <c r="Q90" i="24" a="1"/>
  <c r="Q90" i="24" s="1"/>
  <c r="R90" i="24" a="1"/>
  <c r="R90" i="24" s="1"/>
  <c r="U90" i="24" a="1"/>
  <c r="U90" i="24" s="1"/>
  <c r="V90" i="24" a="1"/>
  <c r="V90" i="24" s="1"/>
  <c r="W90" i="24" a="1"/>
  <c r="W90" i="24" s="1"/>
  <c r="X90" i="24" a="1"/>
  <c r="X90" i="24" s="1"/>
  <c r="K91" i="24" a="1"/>
  <c r="K91" i="24" s="1"/>
  <c r="L91" i="24" a="1"/>
  <c r="L91" i="24" s="1"/>
  <c r="M91" i="24" a="1"/>
  <c r="M91" i="24" s="1"/>
  <c r="N91" i="24" a="1"/>
  <c r="N91" i="24" s="1"/>
  <c r="O91" i="24" a="1"/>
  <c r="O91" i="24" s="1"/>
  <c r="P91" i="24" a="1"/>
  <c r="P91" i="24" s="1"/>
  <c r="Q91" i="24" a="1"/>
  <c r="Q91" i="24" s="1"/>
  <c r="R91" i="24" a="1"/>
  <c r="R91" i="24" s="1"/>
  <c r="U91" i="24" a="1"/>
  <c r="U91" i="24" s="1"/>
  <c r="V91" i="24" a="1"/>
  <c r="V91" i="24" s="1"/>
  <c r="W91" i="24" a="1"/>
  <c r="W91" i="24" s="1"/>
  <c r="X91" i="24" a="1"/>
  <c r="X91" i="24" s="1"/>
  <c r="K92" i="24" a="1"/>
  <c r="K92" i="24" s="1"/>
  <c r="L92" i="24" a="1"/>
  <c r="L92" i="24" s="1"/>
  <c r="M92" i="24" a="1"/>
  <c r="M92" i="24" s="1"/>
  <c r="N92" i="24" a="1"/>
  <c r="N92" i="24" s="1"/>
  <c r="O92" i="24" a="1"/>
  <c r="O92" i="24" s="1"/>
  <c r="P92" i="24" a="1"/>
  <c r="P92" i="24" s="1"/>
  <c r="Q92" i="24" a="1"/>
  <c r="Q92" i="24" s="1"/>
  <c r="R92" i="24" a="1"/>
  <c r="R92" i="24" s="1"/>
  <c r="U92" i="24" a="1"/>
  <c r="U92" i="24" s="1"/>
  <c r="V92" i="24" a="1"/>
  <c r="V92" i="24" s="1"/>
  <c r="W92" i="24" a="1"/>
  <c r="W92" i="24" s="1"/>
  <c r="X92" i="24" a="1"/>
  <c r="X92" i="24" s="1"/>
  <c r="K93" i="24" a="1"/>
  <c r="K93" i="24" s="1"/>
  <c r="L93" i="24" a="1"/>
  <c r="L93" i="24" s="1"/>
  <c r="M93" i="24" a="1"/>
  <c r="M93" i="24" s="1"/>
  <c r="N93" i="24" a="1"/>
  <c r="N93" i="24" s="1"/>
  <c r="O93" i="24" a="1"/>
  <c r="O93" i="24" s="1"/>
  <c r="P93" i="24" a="1"/>
  <c r="P93" i="24" s="1"/>
  <c r="Q93" i="24" a="1"/>
  <c r="Q93" i="24" s="1"/>
  <c r="R93" i="24" a="1"/>
  <c r="R93" i="24" s="1"/>
  <c r="U93" i="24" a="1"/>
  <c r="U93" i="24" s="1"/>
  <c r="V93" i="24" a="1"/>
  <c r="V93" i="24" s="1"/>
  <c r="W93" i="24" a="1"/>
  <c r="W93" i="24" s="1"/>
  <c r="X93" i="24" a="1"/>
  <c r="X93" i="24" s="1"/>
  <c r="K94" i="24" a="1"/>
  <c r="K94" i="24" s="1"/>
  <c r="L94" i="24" a="1"/>
  <c r="L94" i="24" s="1"/>
  <c r="M94" i="24" a="1"/>
  <c r="M94" i="24" s="1"/>
  <c r="N94" i="24" a="1"/>
  <c r="N94" i="24" s="1"/>
  <c r="O94" i="24" a="1"/>
  <c r="O94" i="24" s="1"/>
  <c r="P94" i="24" a="1"/>
  <c r="P94" i="24" s="1"/>
  <c r="Q94" i="24" a="1"/>
  <c r="Q94" i="24" s="1"/>
  <c r="R94" i="24" a="1"/>
  <c r="R94" i="24" s="1"/>
  <c r="U94" i="24" a="1"/>
  <c r="U94" i="24" s="1"/>
  <c r="V94" i="24" a="1"/>
  <c r="V94" i="24" s="1"/>
  <c r="W94" i="24" a="1"/>
  <c r="W94" i="24" s="1"/>
  <c r="X94" i="24" a="1"/>
  <c r="X94" i="24" s="1"/>
  <c r="K95" i="24" a="1"/>
  <c r="K95" i="24" s="1"/>
  <c r="L95" i="24" a="1"/>
  <c r="L95" i="24" s="1"/>
  <c r="M95" i="24" a="1"/>
  <c r="M95" i="24" s="1"/>
  <c r="N95" i="24" a="1"/>
  <c r="N95" i="24" s="1"/>
  <c r="O95" i="24" a="1"/>
  <c r="O95" i="24" s="1"/>
  <c r="P95" i="24" a="1"/>
  <c r="P95" i="24" s="1"/>
  <c r="Q95" i="24" a="1"/>
  <c r="Q95" i="24" s="1"/>
  <c r="R95" i="24" a="1"/>
  <c r="R95" i="24" s="1"/>
  <c r="U95" i="24" a="1"/>
  <c r="U95" i="24" s="1"/>
  <c r="V95" i="24" a="1"/>
  <c r="V95" i="24" s="1"/>
  <c r="W95" i="24" a="1"/>
  <c r="W95" i="24" s="1"/>
  <c r="X95" i="24" a="1"/>
  <c r="X95" i="24" s="1"/>
  <c r="K96" i="24" a="1"/>
  <c r="K96" i="24" s="1"/>
  <c r="L96" i="24" a="1"/>
  <c r="L96" i="24" s="1"/>
  <c r="M96" i="24" a="1"/>
  <c r="M96" i="24" s="1"/>
  <c r="N96" i="24" a="1"/>
  <c r="N96" i="24" s="1"/>
  <c r="O96" i="24" a="1"/>
  <c r="O96" i="24" s="1"/>
  <c r="P96" i="24" a="1"/>
  <c r="P96" i="24" s="1"/>
  <c r="Q96" i="24" a="1"/>
  <c r="Q96" i="24" s="1"/>
  <c r="R96" i="24" a="1"/>
  <c r="R96" i="24" s="1"/>
  <c r="U96" i="24" a="1"/>
  <c r="U96" i="24" s="1"/>
  <c r="V96" i="24" a="1"/>
  <c r="V96" i="24" s="1"/>
  <c r="W96" i="24" a="1"/>
  <c r="W96" i="24" s="1"/>
  <c r="X96" i="24" a="1"/>
  <c r="X96" i="24" s="1"/>
  <c r="K97" i="24" a="1"/>
  <c r="K97" i="24" s="1"/>
  <c r="L97" i="24" a="1"/>
  <c r="L97" i="24" s="1"/>
  <c r="M97" i="24" a="1"/>
  <c r="M97" i="24" s="1"/>
  <c r="N97" i="24" a="1"/>
  <c r="N97" i="24" s="1"/>
  <c r="O97" i="24" a="1"/>
  <c r="O97" i="24" s="1"/>
  <c r="P97" i="24" a="1"/>
  <c r="P97" i="24" s="1"/>
  <c r="Q97" i="24" a="1"/>
  <c r="Q97" i="24" s="1"/>
  <c r="R97" i="24" a="1"/>
  <c r="R97" i="24" s="1"/>
  <c r="U97" i="24" a="1"/>
  <c r="U97" i="24" s="1"/>
  <c r="V97" i="24" a="1"/>
  <c r="V97" i="24" s="1"/>
  <c r="W97" i="24" a="1"/>
  <c r="W97" i="24" s="1"/>
  <c r="X97" i="24" a="1"/>
  <c r="X97" i="24" s="1"/>
  <c r="K98" i="24" a="1"/>
  <c r="K98" i="24" s="1"/>
  <c r="L98" i="24" a="1"/>
  <c r="L98" i="24" s="1"/>
  <c r="M98" i="24" a="1"/>
  <c r="M98" i="24" s="1"/>
  <c r="N98" i="24" a="1"/>
  <c r="N98" i="24" s="1"/>
  <c r="O98" i="24" a="1"/>
  <c r="O98" i="24" s="1"/>
  <c r="P98" i="24" a="1"/>
  <c r="P98" i="24" s="1"/>
  <c r="Q98" i="24" a="1"/>
  <c r="Q98" i="24" s="1"/>
  <c r="R98" i="24" a="1"/>
  <c r="R98" i="24" s="1"/>
  <c r="U98" i="24" a="1"/>
  <c r="U98" i="24" s="1"/>
  <c r="V98" i="24" a="1"/>
  <c r="V98" i="24" s="1"/>
  <c r="W98" i="24" a="1"/>
  <c r="W98" i="24" s="1"/>
  <c r="X98" i="24" a="1"/>
  <c r="X98" i="24" s="1"/>
  <c r="K99" i="24" a="1"/>
  <c r="K99" i="24" s="1"/>
  <c r="L99" i="24" a="1"/>
  <c r="L99" i="24" s="1"/>
  <c r="M99" i="24" a="1"/>
  <c r="M99" i="24" s="1"/>
  <c r="N99" i="24" a="1"/>
  <c r="N99" i="24" s="1"/>
  <c r="O99" i="24" a="1"/>
  <c r="O99" i="24" s="1"/>
  <c r="P99" i="24" a="1"/>
  <c r="P99" i="24" s="1"/>
  <c r="Q99" i="24" a="1"/>
  <c r="Q99" i="24" s="1"/>
  <c r="R99" i="24" a="1"/>
  <c r="R99" i="24" s="1"/>
  <c r="U99" i="24" a="1"/>
  <c r="U99" i="24" s="1"/>
  <c r="V99" i="24" a="1"/>
  <c r="V99" i="24" s="1"/>
  <c r="W99" i="24" a="1"/>
  <c r="W99" i="24" s="1"/>
  <c r="X99" i="24" a="1"/>
  <c r="X99" i="24" s="1"/>
  <c r="K100" i="24" a="1"/>
  <c r="K100" i="24" s="1"/>
  <c r="L100" i="24" a="1"/>
  <c r="L100" i="24" s="1"/>
  <c r="M100" i="24" a="1"/>
  <c r="M100" i="24" s="1"/>
  <c r="N100" i="24" a="1"/>
  <c r="N100" i="24" s="1"/>
  <c r="O100" i="24" a="1"/>
  <c r="O100" i="24" s="1"/>
  <c r="P100" i="24" a="1"/>
  <c r="P100" i="24" s="1"/>
  <c r="Q100" i="24" a="1"/>
  <c r="Q100" i="24" s="1"/>
  <c r="R100" i="24" a="1"/>
  <c r="R100" i="24" s="1"/>
  <c r="U100" i="24" a="1"/>
  <c r="U100" i="24" s="1"/>
  <c r="V100" i="24" a="1"/>
  <c r="V100" i="24" s="1"/>
  <c r="W100" i="24" a="1"/>
  <c r="W100" i="24" s="1"/>
  <c r="X100" i="24" a="1"/>
  <c r="X100" i="24" s="1"/>
  <c r="K101" i="24" a="1"/>
  <c r="K101" i="24" s="1"/>
  <c r="L101" i="24" a="1"/>
  <c r="L101" i="24" s="1"/>
  <c r="M101" i="24" a="1"/>
  <c r="M101" i="24" s="1"/>
  <c r="N101" i="24" a="1"/>
  <c r="N101" i="24" s="1"/>
  <c r="O101" i="24" a="1"/>
  <c r="O101" i="24" s="1"/>
  <c r="P101" i="24" a="1"/>
  <c r="P101" i="24" s="1"/>
  <c r="Q101" i="24" a="1"/>
  <c r="Q101" i="24" s="1"/>
  <c r="R101" i="24" a="1"/>
  <c r="R101" i="24" s="1"/>
  <c r="U101" i="24" a="1"/>
  <c r="U101" i="24" s="1"/>
  <c r="V101" i="24" a="1"/>
  <c r="V101" i="24" s="1"/>
  <c r="W101" i="24" a="1"/>
  <c r="W101" i="24" s="1"/>
  <c r="X101" i="24" a="1"/>
  <c r="X101" i="24" s="1"/>
  <c r="K102" i="24" a="1"/>
  <c r="K102" i="24" s="1"/>
  <c r="L102" i="24" a="1"/>
  <c r="L102" i="24" s="1"/>
  <c r="M102" i="24" a="1"/>
  <c r="M102" i="24" s="1"/>
  <c r="N102" i="24" a="1"/>
  <c r="N102" i="24" s="1"/>
  <c r="O102" i="24" a="1"/>
  <c r="O102" i="24" s="1"/>
  <c r="P102" i="24" a="1"/>
  <c r="P102" i="24" s="1"/>
  <c r="Q102" i="24" a="1"/>
  <c r="Q102" i="24" s="1"/>
  <c r="R102" i="24" a="1"/>
  <c r="R102" i="24" s="1"/>
  <c r="U102" i="24" a="1"/>
  <c r="U102" i="24" s="1"/>
  <c r="V102" i="24" a="1"/>
  <c r="V102" i="24" s="1"/>
  <c r="W102" i="24" a="1"/>
  <c r="W102" i="24" s="1"/>
  <c r="X102" i="24" a="1"/>
  <c r="X102" i="24" s="1"/>
  <c r="K103" i="24" a="1"/>
  <c r="K103" i="24" s="1"/>
  <c r="L103" i="24" a="1"/>
  <c r="L103" i="24" s="1"/>
  <c r="M103" i="24" a="1"/>
  <c r="M103" i="24" s="1"/>
  <c r="N103" i="24" a="1"/>
  <c r="N103" i="24" s="1"/>
  <c r="O103" i="24" a="1"/>
  <c r="O103" i="24" s="1"/>
  <c r="P103" i="24" a="1"/>
  <c r="P103" i="24" s="1"/>
  <c r="Q103" i="24" a="1"/>
  <c r="Q103" i="24" s="1"/>
  <c r="R103" i="24" a="1"/>
  <c r="R103" i="24" s="1"/>
  <c r="U103" i="24" a="1"/>
  <c r="U103" i="24" s="1"/>
  <c r="V103" i="24" a="1"/>
  <c r="V103" i="24" s="1"/>
  <c r="W103" i="24" a="1"/>
  <c r="W103" i="24" s="1"/>
  <c r="X103" i="24" a="1"/>
  <c r="X103" i="24" s="1"/>
  <c r="K104" i="24" a="1"/>
  <c r="K104" i="24" s="1"/>
  <c r="L104" i="24" a="1"/>
  <c r="L104" i="24" s="1"/>
  <c r="M104" i="24" a="1"/>
  <c r="M104" i="24" s="1"/>
  <c r="N104" i="24" a="1"/>
  <c r="N104" i="24" s="1"/>
  <c r="O104" i="24" a="1"/>
  <c r="O104" i="24" s="1"/>
  <c r="P104" i="24" a="1"/>
  <c r="P104" i="24" s="1"/>
  <c r="Q104" i="24" a="1"/>
  <c r="Q104" i="24" s="1"/>
  <c r="R104" i="24" a="1"/>
  <c r="R104" i="24" s="1"/>
  <c r="U104" i="24" a="1"/>
  <c r="U104" i="24" s="1"/>
  <c r="V104" i="24" a="1"/>
  <c r="V104" i="24" s="1"/>
  <c r="W104" i="24" a="1"/>
  <c r="W104" i="24" s="1"/>
  <c r="X104" i="24" a="1"/>
  <c r="X104" i="24" s="1"/>
  <c r="K105" i="24" a="1"/>
  <c r="K105" i="24" s="1"/>
  <c r="L105" i="24" a="1"/>
  <c r="L105" i="24" s="1"/>
  <c r="M105" i="24" a="1"/>
  <c r="M105" i="24" s="1"/>
  <c r="N105" i="24" a="1"/>
  <c r="N105" i="24" s="1"/>
  <c r="O105" i="24" a="1"/>
  <c r="O105" i="24" s="1"/>
  <c r="P105" i="24" a="1"/>
  <c r="P105" i="24" s="1"/>
  <c r="Q105" i="24" a="1"/>
  <c r="Q105" i="24" s="1"/>
  <c r="R105" i="24" a="1"/>
  <c r="R105" i="24" s="1"/>
  <c r="U105" i="24" a="1"/>
  <c r="U105" i="24" s="1"/>
  <c r="V105" i="24" a="1"/>
  <c r="V105" i="24" s="1"/>
  <c r="W105" i="24" a="1"/>
  <c r="W105" i="24" s="1"/>
  <c r="X105" i="24" a="1"/>
  <c r="X105" i="24" s="1"/>
  <c r="K106" i="24" a="1"/>
  <c r="K106" i="24" s="1"/>
  <c r="L106" i="24" a="1"/>
  <c r="L106" i="24" s="1"/>
  <c r="M106" i="24" a="1"/>
  <c r="M106" i="24" s="1"/>
  <c r="N106" i="24" a="1"/>
  <c r="N106" i="24" s="1"/>
  <c r="O106" i="24" a="1"/>
  <c r="O106" i="24" s="1"/>
  <c r="P106" i="24" a="1"/>
  <c r="P106" i="24" s="1"/>
  <c r="Q106" i="24" a="1"/>
  <c r="Q106" i="24" s="1"/>
  <c r="R106" i="24" a="1"/>
  <c r="R106" i="24" s="1"/>
  <c r="U106" i="24" a="1"/>
  <c r="U106" i="24" s="1"/>
  <c r="V106" i="24" a="1"/>
  <c r="V106" i="24" s="1"/>
  <c r="W106" i="24" a="1"/>
  <c r="W106" i="24" s="1"/>
  <c r="X106" i="24" a="1"/>
  <c r="X106" i="24" s="1"/>
  <c r="K107" i="24" a="1"/>
  <c r="K107" i="24" s="1"/>
  <c r="L107" i="24" a="1"/>
  <c r="L107" i="24" s="1"/>
  <c r="M107" i="24" a="1"/>
  <c r="M107" i="24" s="1"/>
  <c r="N107" i="24" a="1"/>
  <c r="N107" i="24" s="1"/>
  <c r="O107" i="24" a="1"/>
  <c r="O107" i="24" s="1"/>
  <c r="P107" i="24" a="1"/>
  <c r="P107" i="24" s="1"/>
  <c r="Q107" i="24" a="1"/>
  <c r="Q107" i="24" s="1"/>
  <c r="R107" i="24" a="1"/>
  <c r="R107" i="24" s="1"/>
  <c r="U107" i="24" a="1"/>
  <c r="U107" i="24" s="1"/>
  <c r="V107" i="24" a="1"/>
  <c r="V107" i="24" s="1"/>
  <c r="W107" i="24" a="1"/>
  <c r="W107" i="24" s="1"/>
  <c r="X107" i="24" a="1"/>
  <c r="X107" i="24" s="1"/>
  <c r="K108" i="24" a="1"/>
  <c r="K108" i="24" s="1"/>
  <c r="L108" i="24" a="1"/>
  <c r="L108" i="24" s="1"/>
  <c r="M108" i="24" a="1"/>
  <c r="M108" i="24" s="1"/>
  <c r="N108" i="24" a="1"/>
  <c r="N108" i="24" s="1"/>
  <c r="O108" i="24" a="1"/>
  <c r="O108" i="24" s="1"/>
  <c r="P108" i="24" a="1"/>
  <c r="P108" i="24" s="1"/>
  <c r="Q108" i="24" a="1"/>
  <c r="Q108" i="24" s="1"/>
  <c r="R108" i="24" a="1"/>
  <c r="R108" i="24" s="1"/>
  <c r="U108" i="24" a="1"/>
  <c r="U108" i="24" s="1"/>
  <c r="V108" i="24" a="1"/>
  <c r="V108" i="24" s="1"/>
  <c r="W108" i="24" a="1"/>
  <c r="W108" i="24" s="1"/>
  <c r="X108" i="24" a="1"/>
  <c r="X108" i="24" s="1"/>
  <c r="K109" i="24" a="1"/>
  <c r="K109" i="24" s="1"/>
  <c r="L109" i="24" a="1"/>
  <c r="L109" i="24" s="1"/>
  <c r="M109" i="24" a="1"/>
  <c r="M109" i="24" s="1"/>
  <c r="N109" i="24" a="1"/>
  <c r="N109" i="24" s="1"/>
  <c r="O109" i="24" a="1"/>
  <c r="O109" i="24" s="1"/>
  <c r="P109" i="24" a="1"/>
  <c r="P109" i="24" s="1"/>
  <c r="Q109" i="24" a="1"/>
  <c r="Q109" i="24" s="1"/>
  <c r="R109" i="24" a="1"/>
  <c r="R109" i="24" s="1"/>
  <c r="U109" i="24" a="1"/>
  <c r="U109" i="24" s="1"/>
  <c r="V109" i="24" a="1"/>
  <c r="V109" i="24" s="1"/>
  <c r="W109" i="24" a="1"/>
  <c r="W109" i="24" s="1"/>
  <c r="X109" i="24" a="1"/>
  <c r="X109" i="24" s="1"/>
  <c r="K110" i="24" a="1"/>
  <c r="K110" i="24" s="1"/>
  <c r="L110" i="24" a="1"/>
  <c r="L110" i="24" s="1"/>
  <c r="M110" i="24" a="1"/>
  <c r="M110" i="24" s="1"/>
  <c r="N110" i="24" a="1"/>
  <c r="N110" i="24" s="1"/>
  <c r="O110" i="24" a="1"/>
  <c r="O110" i="24" s="1"/>
  <c r="P110" i="24" a="1"/>
  <c r="P110" i="24" s="1"/>
  <c r="Q110" i="24" a="1"/>
  <c r="Q110" i="24" s="1"/>
  <c r="R110" i="24" a="1"/>
  <c r="R110" i="24" s="1"/>
  <c r="U110" i="24" a="1"/>
  <c r="U110" i="24" s="1"/>
  <c r="V110" i="24" a="1"/>
  <c r="V110" i="24" s="1"/>
  <c r="W110" i="24" a="1"/>
  <c r="W110" i="24" s="1"/>
  <c r="X110" i="24" a="1"/>
  <c r="X110" i="24" s="1"/>
  <c r="K111" i="24" a="1"/>
  <c r="K111" i="24" s="1"/>
  <c r="L111" i="24" a="1"/>
  <c r="L111" i="24" s="1"/>
  <c r="M111" i="24" a="1"/>
  <c r="M111" i="24" s="1"/>
  <c r="N111" i="24" a="1"/>
  <c r="N111" i="24" s="1"/>
  <c r="O111" i="24" a="1"/>
  <c r="O111" i="24" s="1"/>
  <c r="P111" i="24" a="1"/>
  <c r="P111" i="24" s="1"/>
  <c r="Q111" i="24" a="1"/>
  <c r="Q111" i="24" s="1"/>
  <c r="R111" i="24" a="1"/>
  <c r="R111" i="24" s="1"/>
  <c r="U111" i="24" a="1"/>
  <c r="U111" i="24" s="1"/>
  <c r="V111" i="24" a="1"/>
  <c r="V111" i="24" s="1"/>
  <c r="W111" i="24" a="1"/>
  <c r="W111" i="24" s="1"/>
  <c r="X111" i="24" a="1"/>
  <c r="X111" i="24" s="1"/>
  <c r="K112" i="24" a="1"/>
  <c r="K112" i="24" s="1"/>
  <c r="L112" i="24" a="1"/>
  <c r="L112" i="24" s="1"/>
  <c r="M112" i="24" a="1"/>
  <c r="M112" i="24" s="1"/>
  <c r="N112" i="24" a="1"/>
  <c r="N112" i="24" s="1"/>
  <c r="O112" i="24" a="1"/>
  <c r="O112" i="24" s="1"/>
  <c r="P112" i="24" a="1"/>
  <c r="P112" i="24" s="1"/>
  <c r="Q112" i="24" a="1"/>
  <c r="Q112" i="24" s="1"/>
  <c r="R112" i="24" a="1"/>
  <c r="R112" i="24" s="1"/>
  <c r="U112" i="24" a="1"/>
  <c r="U112" i="24" s="1"/>
  <c r="V112" i="24" a="1"/>
  <c r="V112" i="24" s="1"/>
  <c r="W112" i="24" a="1"/>
  <c r="W112" i="24" s="1"/>
  <c r="X112" i="24" a="1"/>
  <c r="X112" i="24" s="1"/>
  <c r="K113" i="24" a="1"/>
  <c r="K113" i="24" s="1"/>
  <c r="L113" i="24" a="1"/>
  <c r="L113" i="24" s="1"/>
  <c r="M113" i="24" a="1"/>
  <c r="M113" i="24" s="1"/>
  <c r="N113" i="24" a="1"/>
  <c r="N113" i="24" s="1"/>
  <c r="O113" i="24" a="1"/>
  <c r="O113" i="24" s="1"/>
  <c r="P113" i="24" a="1"/>
  <c r="P113" i="24" s="1"/>
  <c r="Q113" i="24" a="1"/>
  <c r="Q113" i="24" s="1"/>
  <c r="R113" i="24" a="1"/>
  <c r="R113" i="24" s="1"/>
  <c r="U113" i="24" a="1"/>
  <c r="U113" i="24" s="1"/>
  <c r="V113" i="24" a="1"/>
  <c r="V113" i="24" s="1"/>
  <c r="W113" i="24" a="1"/>
  <c r="W113" i="24" s="1"/>
  <c r="X113" i="24" a="1"/>
  <c r="X113" i="24" s="1"/>
  <c r="K114" i="24" a="1"/>
  <c r="K114" i="24" s="1"/>
  <c r="L114" i="24" a="1"/>
  <c r="L114" i="24" s="1"/>
  <c r="M114" i="24" a="1"/>
  <c r="M114" i="24" s="1"/>
  <c r="N114" i="24" a="1"/>
  <c r="N114" i="24" s="1"/>
  <c r="O114" i="24" a="1"/>
  <c r="O114" i="24" s="1"/>
  <c r="P114" i="24" a="1"/>
  <c r="P114" i="24" s="1"/>
  <c r="Q114" i="24" a="1"/>
  <c r="Q114" i="24" s="1"/>
  <c r="R114" i="24" a="1"/>
  <c r="R114" i="24" s="1"/>
  <c r="U114" i="24" a="1"/>
  <c r="U114" i="24" s="1"/>
  <c r="V114" i="24" a="1"/>
  <c r="V114" i="24" s="1"/>
  <c r="W114" i="24" a="1"/>
  <c r="W114" i="24" s="1"/>
  <c r="X114" i="24" a="1"/>
  <c r="X114" i="24" s="1"/>
  <c r="K115" i="24" a="1"/>
  <c r="K115" i="24" s="1"/>
  <c r="L115" i="24" a="1"/>
  <c r="L115" i="24" s="1"/>
  <c r="M115" i="24" a="1"/>
  <c r="M115" i="24" s="1"/>
  <c r="N115" i="24" a="1"/>
  <c r="N115" i="24" s="1"/>
  <c r="O115" i="24" a="1"/>
  <c r="O115" i="24" s="1"/>
  <c r="P115" i="24" a="1"/>
  <c r="P115" i="24" s="1"/>
  <c r="Q115" i="24" a="1"/>
  <c r="Q115" i="24" s="1"/>
  <c r="R115" i="24" a="1"/>
  <c r="R115" i="24" s="1"/>
  <c r="U115" i="24" a="1"/>
  <c r="U115" i="24" s="1"/>
  <c r="V115" i="24" a="1"/>
  <c r="V115" i="24" s="1"/>
  <c r="W115" i="24" a="1"/>
  <c r="W115" i="24" s="1"/>
  <c r="X115" i="24" a="1"/>
  <c r="X115" i="24" s="1"/>
  <c r="K116" i="24" a="1"/>
  <c r="K116" i="24" s="1"/>
  <c r="L116" i="24" a="1"/>
  <c r="L116" i="24" s="1"/>
  <c r="M116" i="24" a="1"/>
  <c r="M116" i="24" s="1"/>
  <c r="N116" i="24" a="1"/>
  <c r="N116" i="24" s="1"/>
  <c r="O116" i="24" a="1"/>
  <c r="O116" i="24" s="1"/>
  <c r="P116" i="24" a="1"/>
  <c r="P116" i="24" s="1"/>
  <c r="Q116" i="24" a="1"/>
  <c r="Q116" i="24" s="1"/>
  <c r="R116" i="24" a="1"/>
  <c r="R116" i="24" s="1"/>
  <c r="U116" i="24" a="1"/>
  <c r="U116" i="24" s="1"/>
  <c r="V116" i="24" a="1"/>
  <c r="V116" i="24" s="1"/>
  <c r="W116" i="24" a="1"/>
  <c r="W116" i="24" s="1"/>
  <c r="X116" i="24" a="1"/>
  <c r="X116" i="24" s="1"/>
  <c r="K117" i="24" a="1"/>
  <c r="K117" i="24" s="1"/>
  <c r="L117" i="24" a="1"/>
  <c r="L117" i="24" s="1"/>
  <c r="M117" i="24" a="1"/>
  <c r="M117" i="24" s="1"/>
  <c r="N117" i="24" a="1"/>
  <c r="N117" i="24" s="1"/>
  <c r="O117" i="24" a="1"/>
  <c r="O117" i="24" s="1"/>
  <c r="P117" i="24" a="1"/>
  <c r="P117" i="24" s="1"/>
  <c r="Q117" i="24" a="1"/>
  <c r="Q117" i="24" s="1"/>
  <c r="R117" i="24" a="1"/>
  <c r="R117" i="24" s="1"/>
  <c r="U117" i="24" a="1"/>
  <c r="U117" i="24" s="1"/>
  <c r="V117" i="24" a="1"/>
  <c r="V117" i="24" s="1"/>
  <c r="W117" i="24" a="1"/>
  <c r="W117" i="24" s="1"/>
  <c r="X117" i="24" a="1"/>
  <c r="X117" i="24" s="1"/>
  <c r="K118" i="24" a="1"/>
  <c r="K118" i="24" s="1"/>
  <c r="L118" i="24" a="1"/>
  <c r="L118" i="24" s="1"/>
  <c r="M118" i="24" a="1"/>
  <c r="M118" i="24" s="1"/>
  <c r="N118" i="24" a="1"/>
  <c r="N118" i="24" s="1"/>
  <c r="O118" i="24" a="1"/>
  <c r="O118" i="24" s="1"/>
  <c r="P118" i="24" a="1"/>
  <c r="P118" i="24" s="1"/>
  <c r="Q118" i="24" a="1"/>
  <c r="Q118" i="24" s="1"/>
  <c r="R118" i="24" a="1"/>
  <c r="R118" i="24" s="1"/>
  <c r="U118" i="24" a="1"/>
  <c r="U118" i="24" s="1"/>
  <c r="V118" i="24" a="1"/>
  <c r="V118" i="24" s="1"/>
  <c r="W118" i="24" a="1"/>
  <c r="W118" i="24" s="1"/>
  <c r="X118" i="24" a="1"/>
  <c r="X118" i="24" s="1"/>
  <c r="K119" i="24" a="1"/>
  <c r="K119" i="24" s="1"/>
  <c r="L119" i="24" a="1"/>
  <c r="L119" i="24" s="1"/>
  <c r="M119" i="24" a="1"/>
  <c r="M119" i="24" s="1"/>
  <c r="N119" i="24" a="1"/>
  <c r="N119" i="24" s="1"/>
  <c r="O119" i="24" a="1"/>
  <c r="O119" i="24" s="1"/>
  <c r="P119" i="24" a="1"/>
  <c r="P119" i="24" s="1"/>
  <c r="Q119" i="24" a="1"/>
  <c r="Q119" i="24" s="1"/>
  <c r="R119" i="24" a="1"/>
  <c r="R119" i="24" s="1"/>
  <c r="U119" i="24" a="1"/>
  <c r="U119" i="24" s="1"/>
  <c r="V119" i="24" a="1"/>
  <c r="V119" i="24" s="1"/>
  <c r="W119" i="24" a="1"/>
  <c r="W119" i="24" s="1"/>
  <c r="X119" i="24" a="1"/>
  <c r="X119" i="24" s="1"/>
  <c r="K120" i="24" a="1"/>
  <c r="K120" i="24" s="1"/>
  <c r="L120" i="24" a="1"/>
  <c r="L120" i="24" s="1"/>
  <c r="M120" i="24" a="1"/>
  <c r="M120" i="24" s="1"/>
  <c r="N120" i="24" a="1"/>
  <c r="N120" i="24" s="1"/>
  <c r="O120" i="24" a="1"/>
  <c r="O120" i="24" s="1"/>
  <c r="P120" i="24" a="1"/>
  <c r="P120" i="24" s="1"/>
  <c r="Q120" i="24" a="1"/>
  <c r="Q120" i="24" s="1"/>
  <c r="R120" i="24" a="1"/>
  <c r="R120" i="24" s="1"/>
  <c r="U120" i="24" a="1"/>
  <c r="U120" i="24" s="1"/>
  <c r="V120" i="24" a="1"/>
  <c r="V120" i="24" s="1"/>
  <c r="W120" i="24" a="1"/>
  <c r="W120" i="24" s="1"/>
  <c r="X120" i="24" a="1"/>
  <c r="X120" i="24" s="1"/>
  <c r="K121" i="24" a="1"/>
  <c r="K121" i="24" s="1"/>
  <c r="L121" i="24" a="1"/>
  <c r="L121" i="24" s="1"/>
  <c r="M121" i="24" a="1"/>
  <c r="M121" i="24" s="1"/>
  <c r="N121" i="24" a="1"/>
  <c r="N121" i="24" s="1"/>
  <c r="O121" i="24" a="1"/>
  <c r="O121" i="24" s="1"/>
  <c r="P121" i="24" a="1"/>
  <c r="P121" i="24" s="1"/>
  <c r="Q121" i="24" a="1"/>
  <c r="Q121" i="24" s="1"/>
  <c r="R121" i="24" a="1"/>
  <c r="R121" i="24" s="1"/>
  <c r="U121" i="24" a="1"/>
  <c r="U121" i="24" s="1"/>
  <c r="V121" i="24" a="1"/>
  <c r="V121" i="24" s="1"/>
  <c r="W121" i="24" a="1"/>
  <c r="W121" i="24" s="1"/>
  <c r="X121" i="24" a="1"/>
  <c r="X121" i="24" s="1"/>
  <c r="K122" i="24" a="1"/>
  <c r="K122" i="24" s="1"/>
  <c r="L122" i="24" a="1"/>
  <c r="L122" i="24" s="1"/>
  <c r="M122" i="24" a="1"/>
  <c r="M122" i="24" s="1"/>
  <c r="N122" i="24" a="1"/>
  <c r="N122" i="24" s="1"/>
  <c r="O122" i="24" a="1"/>
  <c r="O122" i="24" s="1"/>
  <c r="P122" i="24" a="1"/>
  <c r="P122" i="24" s="1"/>
  <c r="Q122" i="24" a="1"/>
  <c r="Q122" i="24" s="1"/>
  <c r="R122" i="24" a="1"/>
  <c r="R122" i="24" s="1"/>
  <c r="U122" i="24" a="1"/>
  <c r="U122" i="24" s="1"/>
  <c r="V122" i="24" a="1"/>
  <c r="V122" i="24" s="1"/>
  <c r="W122" i="24" a="1"/>
  <c r="W122" i="24" s="1"/>
  <c r="X122" i="24" a="1"/>
  <c r="X122" i="24" s="1"/>
  <c r="K123" i="24" a="1"/>
  <c r="K123" i="24" s="1"/>
  <c r="L123" i="24" a="1"/>
  <c r="L123" i="24" s="1"/>
  <c r="M123" i="24" a="1"/>
  <c r="M123" i="24" s="1"/>
  <c r="N123" i="24" a="1"/>
  <c r="N123" i="24" s="1"/>
  <c r="O123" i="24" a="1"/>
  <c r="O123" i="24" s="1"/>
  <c r="P123" i="24" a="1"/>
  <c r="P123" i="24" s="1"/>
  <c r="Q123" i="24" a="1"/>
  <c r="Q123" i="24" s="1"/>
  <c r="R123" i="24" a="1"/>
  <c r="R123" i="24" s="1"/>
  <c r="U123" i="24" a="1"/>
  <c r="U123" i="24" s="1"/>
  <c r="V123" i="24" a="1"/>
  <c r="V123" i="24" s="1"/>
  <c r="W123" i="24" a="1"/>
  <c r="W123" i="24" s="1"/>
  <c r="X123" i="24" a="1"/>
  <c r="X123" i="24" s="1"/>
  <c r="K124" i="24" a="1"/>
  <c r="K124" i="24" s="1"/>
  <c r="L124" i="24" a="1"/>
  <c r="L124" i="24" s="1"/>
  <c r="M124" i="24" a="1"/>
  <c r="M124" i="24" s="1"/>
  <c r="N124" i="24" a="1"/>
  <c r="N124" i="24" s="1"/>
  <c r="O124" i="24" a="1"/>
  <c r="O124" i="24" s="1"/>
  <c r="P124" i="24" a="1"/>
  <c r="P124" i="24" s="1"/>
  <c r="Q124" i="24" a="1"/>
  <c r="Q124" i="24" s="1"/>
  <c r="R124" i="24" a="1"/>
  <c r="R124" i="24" s="1"/>
  <c r="U124" i="24" a="1"/>
  <c r="U124" i="24" s="1"/>
  <c r="V124" i="24" a="1"/>
  <c r="V124" i="24" s="1"/>
  <c r="W124" i="24" a="1"/>
  <c r="W124" i="24" s="1"/>
  <c r="X124" i="24" a="1"/>
  <c r="X124" i="24" s="1"/>
  <c r="K125" i="24" a="1"/>
  <c r="K125" i="24" s="1"/>
  <c r="L125" i="24" a="1"/>
  <c r="L125" i="24" s="1"/>
  <c r="M125" i="24" a="1"/>
  <c r="M125" i="24" s="1"/>
  <c r="N125" i="24" a="1"/>
  <c r="N125" i="24" s="1"/>
  <c r="O125" i="24" a="1"/>
  <c r="O125" i="24" s="1"/>
  <c r="P125" i="24" a="1"/>
  <c r="P125" i="24" s="1"/>
  <c r="Q125" i="24" a="1"/>
  <c r="Q125" i="24" s="1"/>
  <c r="R125" i="24" a="1"/>
  <c r="R125" i="24" s="1"/>
  <c r="U125" i="24" a="1"/>
  <c r="U125" i="24" s="1"/>
  <c r="V125" i="24" a="1"/>
  <c r="V125" i="24" s="1"/>
  <c r="W125" i="24" a="1"/>
  <c r="W125" i="24" s="1"/>
  <c r="X125" i="24" a="1"/>
  <c r="X125" i="24" s="1"/>
  <c r="K126" i="24" a="1"/>
  <c r="K126" i="24" s="1"/>
  <c r="L126" i="24" a="1"/>
  <c r="L126" i="24" s="1"/>
  <c r="M126" i="24" a="1"/>
  <c r="M126" i="24" s="1"/>
  <c r="N126" i="24" a="1"/>
  <c r="N126" i="24" s="1"/>
  <c r="O126" i="24" a="1"/>
  <c r="O126" i="24" s="1"/>
  <c r="P126" i="24" a="1"/>
  <c r="P126" i="24" s="1"/>
  <c r="Q126" i="24" a="1"/>
  <c r="Q126" i="24" s="1"/>
  <c r="R126" i="24" a="1"/>
  <c r="R126" i="24" s="1"/>
  <c r="U126" i="24" a="1"/>
  <c r="U126" i="24" s="1"/>
  <c r="V126" i="24" a="1"/>
  <c r="V126" i="24" s="1"/>
  <c r="W126" i="24" a="1"/>
  <c r="W126" i="24" s="1"/>
  <c r="X126" i="24" a="1"/>
  <c r="X126" i="24" s="1"/>
  <c r="K127" i="24" a="1"/>
  <c r="K127" i="24" s="1"/>
  <c r="L127" i="24" a="1"/>
  <c r="L127" i="24" s="1"/>
  <c r="M127" i="24" a="1"/>
  <c r="M127" i="24" s="1"/>
  <c r="N127" i="24" a="1"/>
  <c r="N127" i="24" s="1"/>
  <c r="O127" i="24" a="1"/>
  <c r="O127" i="24" s="1"/>
  <c r="P127" i="24" a="1"/>
  <c r="P127" i="24" s="1"/>
  <c r="Q127" i="24" a="1"/>
  <c r="Q127" i="24" s="1"/>
  <c r="R127" i="24" a="1"/>
  <c r="R127" i="24" s="1"/>
  <c r="U127" i="24" a="1"/>
  <c r="U127" i="24" s="1"/>
  <c r="V127" i="24" a="1"/>
  <c r="V127" i="24" s="1"/>
  <c r="W127" i="24" a="1"/>
  <c r="W127" i="24" s="1"/>
  <c r="X127" i="24" a="1"/>
  <c r="X127" i="24" s="1"/>
  <c r="K128" i="24" a="1"/>
  <c r="K128" i="24" s="1"/>
  <c r="L128" i="24" a="1"/>
  <c r="L128" i="24" s="1"/>
  <c r="M128" i="24" a="1"/>
  <c r="M128" i="24" s="1"/>
  <c r="N128" i="24" a="1"/>
  <c r="N128" i="24" s="1"/>
  <c r="O128" i="24" a="1"/>
  <c r="O128" i="24" s="1"/>
  <c r="P128" i="24" a="1"/>
  <c r="P128" i="24" s="1"/>
  <c r="Q128" i="24" a="1"/>
  <c r="Q128" i="24" s="1"/>
  <c r="R128" i="24" a="1"/>
  <c r="R128" i="24" s="1"/>
  <c r="U128" i="24" a="1"/>
  <c r="U128" i="24" s="1"/>
  <c r="V128" i="24" a="1"/>
  <c r="V128" i="24" s="1"/>
  <c r="W128" i="24" a="1"/>
  <c r="W128" i="24" s="1"/>
  <c r="X128" i="24" a="1"/>
  <c r="X128" i="24" s="1"/>
  <c r="K129" i="24" a="1"/>
  <c r="K129" i="24" s="1"/>
  <c r="L129" i="24" a="1"/>
  <c r="L129" i="24" s="1"/>
  <c r="M129" i="24" a="1"/>
  <c r="M129" i="24" s="1"/>
  <c r="N129" i="24" a="1"/>
  <c r="N129" i="24" s="1"/>
  <c r="O129" i="24" a="1"/>
  <c r="O129" i="24" s="1"/>
  <c r="P129" i="24" a="1"/>
  <c r="P129" i="24" s="1"/>
  <c r="Q129" i="24" a="1"/>
  <c r="Q129" i="24" s="1"/>
  <c r="R129" i="24" a="1"/>
  <c r="R129" i="24" s="1"/>
  <c r="U129" i="24" a="1"/>
  <c r="U129" i="24" s="1"/>
  <c r="V129" i="24" a="1"/>
  <c r="V129" i="24" s="1"/>
  <c r="W129" i="24" a="1"/>
  <c r="W129" i="24" s="1"/>
  <c r="X129" i="24" a="1"/>
  <c r="X129" i="24" s="1"/>
  <c r="K130" i="24" a="1"/>
  <c r="K130" i="24" s="1"/>
  <c r="L130" i="24" a="1"/>
  <c r="L130" i="24" s="1"/>
  <c r="M130" i="24" a="1"/>
  <c r="M130" i="24" s="1"/>
  <c r="N130" i="24" a="1"/>
  <c r="N130" i="24" s="1"/>
  <c r="O130" i="24" a="1"/>
  <c r="O130" i="24" s="1"/>
  <c r="P130" i="24" a="1"/>
  <c r="P130" i="24" s="1"/>
  <c r="Q130" i="24" a="1"/>
  <c r="Q130" i="24" s="1"/>
  <c r="R130" i="24" a="1"/>
  <c r="R130" i="24" s="1"/>
  <c r="U130" i="24" a="1"/>
  <c r="U130" i="24" s="1"/>
  <c r="V130" i="24" a="1"/>
  <c r="V130" i="24" s="1"/>
  <c r="W130" i="24" a="1"/>
  <c r="W130" i="24" s="1"/>
  <c r="X130" i="24" a="1"/>
  <c r="X130" i="24" s="1"/>
  <c r="K131" i="24" a="1"/>
  <c r="K131" i="24" s="1"/>
  <c r="L131" i="24" a="1"/>
  <c r="L131" i="24" s="1"/>
  <c r="M131" i="24" a="1"/>
  <c r="M131" i="24" s="1"/>
  <c r="N131" i="24" a="1"/>
  <c r="N131" i="24" s="1"/>
  <c r="O131" i="24" a="1"/>
  <c r="O131" i="24" s="1"/>
  <c r="P131" i="24" a="1"/>
  <c r="P131" i="24" s="1"/>
  <c r="Q131" i="24" a="1"/>
  <c r="Q131" i="24" s="1"/>
  <c r="R131" i="24" a="1"/>
  <c r="R131" i="24" s="1"/>
  <c r="U131" i="24" a="1"/>
  <c r="U131" i="24" s="1"/>
  <c r="V131" i="24" a="1"/>
  <c r="V131" i="24" s="1"/>
  <c r="W131" i="24" a="1"/>
  <c r="W131" i="24" s="1"/>
  <c r="X131" i="24" a="1"/>
  <c r="X131" i="24" s="1"/>
  <c r="K132" i="24" a="1"/>
  <c r="K132" i="24" s="1"/>
  <c r="L132" i="24" a="1"/>
  <c r="L132" i="24" s="1"/>
  <c r="M132" i="24" a="1"/>
  <c r="M132" i="24" s="1"/>
  <c r="N132" i="24" a="1"/>
  <c r="N132" i="24" s="1"/>
  <c r="O132" i="24" a="1"/>
  <c r="O132" i="24" s="1"/>
  <c r="P132" i="24" a="1"/>
  <c r="P132" i="24" s="1"/>
  <c r="Q132" i="24" a="1"/>
  <c r="Q132" i="24" s="1"/>
  <c r="R132" i="24" a="1"/>
  <c r="R132" i="24" s="1"/>
  <c r="U132" i="24" a="1"/>
  <c r="U132" i="24" s="1"/>
  <c r="V132" i="24" a="1"/>
  <c r="V132" i="24" s="1"/>
  <c r="W132" i="24" a="1"/>
  <c r="W132" i="24" s="1"/>
  <c r="X132" i="24" a="1"/>
  <c r="X132" i="24" s="1"/>
  <c r="K133" i="24" a="1"/>
  <c r="K133" i="24" s="1"/>
  <c r="L133" i="24" a="1"/>
  <c r="L133" i="24" s="1"/>
  <c r="M133" i="24" a="1"/>
  <c r="M133" i="24" s="1"/>
  <c r="N133" i="24" a="1"/>
  <c r="N133" i="24" s="1"/>
  <c r="O133" i="24" a="1"/>
  <c r="O133" i="24" s="1"/>
  <c r="P133" i="24" a="1"/>
  <c r="P133" i="24" s="1"/>
  <c r="Q133" i="24" a="1"/>
  <c r="Q133" i="24" s="1"/>
  <c r="R133" i="24" a="1"/>
  <c r="R133" i="24" s="1"/>
  <c r="U133" i="24" a="1"/>
  <c r="U133" i="24" s="1"/>
  <c r="V133" i="24" a="1"/>
  <c r="V133" i="24" s="1"/>
  <c r="W133" i="24" a="1"/>
  <c r="W133" i="24" s="1"/>
  <c r="X133" i="24" a="1"/>
  <c r="X133" i="24" s="1"/>
  <c r="K134" i="24" a="1"/>
  <c r="K134" i="24" s="1"/>
  <c r="L134" i="24" a="1"/>
  <c r="L134" i="24" s="1"/>
  <c r="M134" i="24" a="1"/>
  <c r="M134" i="24" s="1"/>
  <c r="N134" i="24" a="1"/>
  <c r="N134" i="24" s="1"/>
  <c r="O134" i="24" a="1"/>
  <c r="O134" i="24" s="1"/>
  <c r="P134" i="24" a="1"/>
  <c r="P134" i="24" s="1"/>
  <c r="Q134" i="24" a="1"/>
  <c r="Q134" i="24" s="1"/>
  <c r="R134" i="24" a="1"/>
  <c r="R134" i="24" s="1"/>
  <c r="U134" i="24" a="1"/>
  <c r="U134" i="24" s="1"/>
  <c r="V134" i="24" a="1"/>
  <c r="V134" i="24" s="1"/>
  <c r="W134" i="24" a="1"/>
  <c r="W134" i="24" s="1"/>
  <c r="X134" i="24" a="1"/>
  <c r="X134" i="24" s="1"/>
  <c r="K135" i="24" a="1"/>
  <c r="K135" i="24" s="1"/>
  <c r="L135" i="24" a="1"/>
  <c r="L135" i="24" s="1"/>
  <c r="M135" i="24" a="1"/>
  <c r="M135" i="24" s="1"/>
  <c r="N135" i="24" a="1"/>
  <c r="N135" i="24" s="1"/>
  <c r="O135" i="24" a="1"/>
  <c r="O135" i="24" s="1"/>
  <c r="P135" i="24" a="1"/>
  <c r="P135" i="24" s="1"/>
  <c r="Q135" i="24" a="1"/>
  <c r="Q135" i="24" s="1"/>
  <c r="R135" i="24" a="1"/>
  <c r="R135" i="24" s="1"/>
  <c r="U135" i="24" a="1"/>
  <c r="U135" i="24" s="1"/>
  <c r="V135" i="24" a="1"/>
  <c r="V135" i="24" s="1"/>
  <c r="W135" i="24" a="1"/>
  <c r="W135" i="24" s="1"/>
  <c r="X135" i="24" a="1"/>
  <c r="X135" i="24" s="1"/>
  <c r="K136" i="24" a="1"/>
  <c r="K136" i="24" s="1"/>
  <c r="L136" i="24" a="1"/>
  <c r="L136" i="24" s="1"/>
  <c r="M136" i="24" a="1"/>
  <c r="M136" i="24" s="1"/>
  <c r="N136" i="24" a="1"/>
  <c r="N136" i="24" s="1"/>
  <c r="O136" i="24" a="1"/>
  <c r="O136" i="24" s="1"/>
  <c r="P136" i="24" a="1"/>
  <c r="P136" i="24" s="1"/>
  <c r="Q136" i="24" a="1"/>
  <c r="Q136" i="24" s="1"/>
  <c r="R136" i="24" a="1"/>
  <c r="R136" i="24" s="1"/>
  <c r="U136" i="24" a="1"/>
  <c r="U136" i="24" s="1"/>
  <c r="V136" i="24" a="1"/>
  <c r="V136" i="24" s="1"/>
  <c r="W136" i="24" a="1"/>
  <c r="W136" i="24" s="1"/>
  <c r="X136" i="24" a="1"/>
  <c r="X136" i="24" s="1"/>
  <c r="K137" i="24" a="1"/>
  <c r="K137" i="24" s="1"/>
  <c r="L137" i="24" a="1"/>
  <c r="L137" i="24" s="1"/>
  <c r="M137" i="24" a="1"/>
  <c r="M137" i="24" s="1"/>
  <c r="N137" i="24" a="1"/>
  <c r="N137" i="24" s="1"/>
  <c r="O137" i="24" a="1"/>
  <c r="O137" i="24" s="1"/>
  <c r="P137" i="24" a="1"/>
  <c r="P137" i="24" s="1"/>
  <c r="Q137" i="24" a="1"/>
  <c r="Q137" i="24" s="1"/>
  <c r="R137" i="24" a="1"/>
  <c r="R137" i="24" s="1"/>
  <c r="U137" i="24" a="1"/>
  <c r="U137" i="24" s="1"/>
  <c r="V137" i="24" a="1"/>
  <c r="V137" i="24" s="1"/>
  <c r="W137" i="24" a="1"/>
  <c r="W137" i="24" s="1"/>
  <c r="X137" i="24" a="1"/>
  <c r="X137" i="24" s="1"/>
  <c r="K138" i="24" a="1"/>
  <c r="K138" i="24" s="1"/>
  <c r="L138" i="24" a="1"/>
  <c r="L138" i="24" s="1"/>
  <c r="M138" i="24" a="1"/>
  <c r="M138" i="24" s="1"/>
  <c r="N138" i="24" a="1"/>
  <c r="N138" i="24" s="1"/>
  <c r="O138" i="24" a="1"/>
  <c r="O138" i="24" s="1"/>
  <c r="P138" i="24" a="1"/>
  <c r="P138" i="24" s="1"/>
  <c r="Q138" i="24" a="1"/>
  <c r="Q138" i="24" s="1"/>
  <c r="R138" i="24" a="1"/>
  <c r="R138" i="24" s="1"/>
  <c r="U138" i="24" a="1"/>
  <c r="U138" i="24" s="1"/>
  <c r="V138" i="24" a="1"/>
  <c r="V138" i="24" s="1"/>
  <c r="W138" i="24" a="1"/>
  <c r="W138" i="24" s="1"/>
  <c r="X138" i="24" a="1"/>
  <c r="X138" i="24" s="1"/>
  <c r="K139" i="24" a="1"/>
  <c r="K139" i="24" s="1"/>
  <c r="L139" i="24" a="1"/>
  <c r="L139" i="24" s="1"/>
  <c r="M139" i="24" a="1"/>
  <c r="M139" i="24" s="1"/>
  <c r="N139" i="24" a="1"/>
  <c r="N139" i="24" s="1"/>
  <c r="O139" i="24" a="1"/>
  <c r="O139" i="24" s="1"/>
  <c r="P139" i="24" a="1"/>
  <c r="P139" i="24" s="1"/>
  <c r="Q139" i="24" a="1"/>
  <c r="Q139" i="24" s="1"/>
  <c r="R139" i="24" a="1"/>
  <c r="R139" i="24" s="1"/>
  <c r="U139" i="24" a="1"/>
  <c r="U139" i="24" s="1"/>
  <c r="V139" i="24" a="1"/>
  <c r="V139" i="24" s="1"/>
  <c r="W139" i="24" a="1"/>
  <c r="W139" i="24" s="1"/>
  <c r="X139" i="24" a="1"/>
  <c r="X139" i="24" s="1"/>
  <c r="K140" i="24" a="1"/>
  <c r="K140" i="24" s="1"/>
  <c r="L140" i="24" a="1"/>
  <c r="L140" i="24" s="1"/>
  <c r="M140" i="24" a="1"/>
  <c r="M140" i="24" s="1"/>
  <c r="N140" i="24" a="1"/>
  <c r="N140" i="24" s="1"/>
  <c r="O140" i="24" a="1"/>
  <c r="O140" i="24" s="1"/>
  <c r="P140" i="24" a="1"/>
  <c r="P140" i="24" s="1"/>
  <c r="Q140" i="24" a="1"/>
  <c r="Q140" i="24" s="1"/>
  <c r="R140" i="24" a="1"/>
  <c r="R140" i="24" s="1"/>
  <c r="U140" i="24" a="1"/>
  <c r="U140" i="24" s="1"/>
  <c r="V140" i="24" a="1"/>
  <c r="V140" i="24" s="1"/>
  <c r="W140" i="24" a="1"/>
  <c r="W140" i="24" s="1"/>
  <c r="X140" i="24" a="1"/>
  <c r="X140" i="24" s="1"/>
  <c r="K141" i="24" a="1"/>
  <c r="K141" i="24" s="1"/>
  <c r="L141" i="24" a="1"/>
  <c r="L141" i="24" s="1"/>
  <c r="M141" i="24" a="1"/>
  <c r="M141" i="24" s="1"/>
  <c r="N141" i="24" a="1"/>
  <c r="N141" i="24" s="1"/>
  <c r="O141" i="24" a="1"/>
  <c r="O141" i="24" s="1"/>
  <c r="P141" i="24" a="1"/>
  <c r="P141" i="24" s="1"/>
  <c r="Q141" i="24" a="1"/>
  <c r="Q141" i="24" s="1"/>
  <c r="R141" i="24" a="1"/>
  <c r="R141" i="24" s="1"/>
  <c r="U141" i="24" a="1"/>
  <c r="U141" i="24" s="1"/>
  <c r="V141" i="24" a="1"/>
  <c r="V141" i="24" s="1"/>
  <c r="W141" i="24" a="1"/>
  <c r="W141" i="24" s="1"/>
  <c r="X141" i="24" a="1"/>
  <c r="X141" i="24" s="1"/>
  <c r="K142" i="24" a="1"/>
  <c r="K142" i="24" s="1"/>
  <c r="L142" i="24" a="1"/>
  <c r="L142" i="24" s="1"/>
  <c r="M142" i="24" a="1"/>
  <c r="M142" i="24" s="1"/>
  <c r="N142" i="24" a="1"/>
  <c r="N142" i="24" s="1"/>
  <c r="O142" i="24" a="1"/>
  <c r="O142" i="24" s="1"/>
  <c r="P142" i="24" a="1"/>
  <c r="P142" i="24" s="1"/>
  <c r="Q142" i="24" a="1"/>
  <c r="Q142" i="24" s="1"/>
  <c r="R142" i="24" a="1"/>
  <c r="R142" i="24" s="1"/>
  <c r="U142" i="24" a="1"/>
  <c r="U142" i="24" s="1"/>
  <c r="V142" i="24" a="1"/>
  <c r="V142" i="24" s="1"/>
  <c r="W142" i="24" a="1"/>
  <c r="W142" i="24" s="1"/>
  <c r="X142" i="24" a="1"/>
  <c r="X142" i="24" s="1"/>
  <c r="K143" i="24" a="1"/>
  <c r="K143" i="24" s="1"/>
  <c r="L143" i="24" a="1"/>
  <c r="L143" i="24" s="1"/>
  <c r="M143" i="24" a="1"/>
  <c r="M143" i="24" s="1"/>
  <c r="N143" i="24" a="1"/>
  <c r="N143" i="24" s="1"/>
  <c r="O143" i="24" a="1"/>
  <c r="O143" i="24" s="1"/>
  <c r="P143" i="24" a="1"/>
  <c r="P143" i="24" s="1"/>
  <c r="Q143" i="24" a="1"/>
  <c r="Q143" i="24" s="1"/>
  <c r="R143" i="24" a="1"/>
  <c r="R143" i="24" s="1"/>
  <c r="U143" i="24" a="1"/>
  <c r="U143" i="24" s="1"/>
  <c r="V143" i="24" a="1"/>
  <c r="V143" i="24" s="1"/>
  <c r="W143" i="24" a="1"/>
  <c r="W143" i="24" s="1"/>
  <c r="X143" i="24" a="1"/>
  <c r="X143" i="24" s="1"/>
  <c r="K144" i="24" a="1"/>
  <c r="K144" i="24" s="1"/>
  <c r="L144" i="24" a="1"/>
  <c r="L144" i="24" s="1"/>
  <c r="M144" i="24" a="1"/>
  <c r="M144" i="24" s="1"/>
  <c r="N144" i="24" a="1"/>
  <c r="N144" i="24" s="1"/>
  <c r="O144" i="24" a="1"/>
  <c r="O144" i="24" s="1"/>
  <c r="P144" i="24" a="1"/>
  <c r="P144" i="24" s="1"/>
  <c r="Q144" i="24" a="1"/>
  <c r="Q144" i="24" s="1"/>
  <c r="R144" i="24" a="1"/>
  <c r="R144" i="24" s="1"/>
  <c r="U144" i="24" a="1"/>
  <c r="U144" i="24" s="1"/>
  <c r="V144" i="24" a="1"/>
  <c r="V144" i="24" s="1"/>
  <c r="W144" i="24" a="1"/>
  <c r="W144" i="24" s="1"/>
  <c r="X144" i="24" a="1"/>
  <c r="X144" i="24" s="1"/>
  <c r="K145" i="24" a="1"/>
  <c r="K145" i="24" s="1"/>
  <c r="L145" i="24" a="1"/>
  <c r="L145" i="24" s="1"/>
  <c r="M145" i="24" a="1"/>
  <c r="M145" i="24" s="1"/>
  <c r="N145" i="24" a="1"/>
  <c r="N145" i="24" s="1"/>
  <c r="O145" i="24" a="1"/>
  <c r="O145" i="24" s="1"/>
  <c r="P145" i="24" a="1"/>
  <c r="P145" i="24" s="1"/>
  <c r="Q145" i="24" a="1"/>
  <c r="Q145" i="24" s="1"/>
  <c r="R145" i="24" a="1"/>
  <c r="R145" i="24" s="1"/>
  <c r="U145" i="24" a="1"/>
  <c r="U145" i="24" s="1"/>
  <c r="V145" i="24" a="1"/>
  <c r="V145" i="24" s="1"/>
  <c r="W145" i="24" a="1"/>
  <c r="W145" i="24" s="1"/>
  <c r="X145" i="24" a="1"/>
  <c r="X145" i="24" s="1"/>
  <c r="K146" i="24" a="1"/>
  <c r="K146" i="24" s="1"/>
  <c r="L146" i="24" a="1"/>
  <c r="L146" i="24" s="1"/>
  <c r="M146" i="24" a="1"/>
  <c r="M146" i="24" s="1"/>
  <c r="N146" i="24" a="1"/>
  <c r="N146" i="24" s="1"/>
  <c r="O146" i="24" a="1"/>
  <c r="O146" i="24" s="1"/>
  <c r="P146" i="24" a="1"/>
  <c r="P146" i="24" s="1"/>
  <c r="Q146" i="24" a="1"/>
  <c r="Q146" i="24" s="1"/>
  <c r="R146" i="24" a="1"/>
  <c r="R146" i="24" s="1"/>
  <c r="U146" i="24" a="1"/>
  <c r="U146" i="24" s="1"/>
  <c r="V146" i="24" a="1"/>
  <c r="V146" i="24" s="1"/>
  <c r="W146" i="24" a="1"/>
  <c r="W146" i="24" s="1"/>
  <c r="X146" i="24" a="1"/>
  <c r="X146" i="24" s="1"/>
  <c r="K147" i="24" a="1"/>
  <c r="K147" i="24" s="1"/>
  <c r="L147" i="24" a="1"/>
  <c r="L147" i="24" s="1"/>
  <c r="M147" i="24" a="1"/>
  <c r="M147" i="24" s="1"/>
  <c r="N147" i="24" a="1"/>
  <c r="N147" i="24" s="1"/>
  <c r="O147" i="24" a="1"/>
  <c r="O147" i="24" s="1"/>
  <c r="P147" i="24" a="1"/>
  <c r="P147" i="24" s="1"/>
  <c r="Q147" i="24" a="1"/>
  <c r="Q147" i="24" s="1"/>
  <c r="R147" i="24" a="1"/>
  <c r="R147" i="24" s="1"/>
  <c r="U147" i="24" a="1"/>
  <c r="U147" i="24" s="1"/>
  <c r="V147" i="24" a="1"/>
  <c r="V147" i="24" s="1"/>
  <c r="W147" i="24" a="1"/>
  <c r="W147" i="24" s="1"/>
  <c r="X147" i="24" a="1"/>
  <c r="X147" i="24" s="1"/>
  <c r="K148" i="24" a="1"/>
  <c r="K148" i="24" s="1"/>
  <c r="L148" i="24" a="1"/>
  <c r="L148" i="24" s="1"/>
  <c r="M148" i="24" a="1"/>
  <c r="M148" i="24" s="1"/>
  <c r="N148" i="24" a="1"/>
  <c r="N148" i="24" s="1"/>
  <c r="O148" i="24" a="1"/>
  <c r="O148" i="24" s="1"/>
  <c r="P148" i="24" a="1"/>
  <c r="P148" i="24" s="1"/>
  <c r="Q148" i="24" a="1"/>
  <c r="Q148" i="24" s="1"/>
  <c r="R148" i="24" a="1"/>
  <c r="R148" i="24" s="1"/>
  <c r="U148" i="24" a="1"/>
  <c r="U148" i="24" s="1"/>
  <c r="V148" i="24" a="1"/>
  <c r="V148" i="24" s="1"/>
  <c r="W148" i="24" a="1"/>
  <c r="W148" i="24" s="1"/>
  <c r="X148" i="24" a="1"/>
  <c r="X148" i="24" s="1"/>
  <c r="K149" i="24" a="1"/>
  <c r="K149" i="24" s="1"/>
  <c r="L149" i="24" a="1"/>
  <c r="L149" i="24" s="1"/>
  <c r="M149" i="24" a="1"/>
  <c r="M149" i="24" s="1"/>
  <c r="N149" i="24" a="1"/>
  <c r="N149" i="24" s="1"/>
  <c r="O149" i="24" a="1"/>
  <c r="O149" i="24" s="1"/>
  <c r="P149" i="24" a="1"/>
  <c r="P149" i="24" s="1"/>
  <c r="Q149" i="24" a="1"/>
  <c r="Q149" i="24" s="1"/>
  <c r="R149" i="24" a="1"/>
  <c r="R149" i="24" s="1"/>
  <c r="U149" i="24" a="1"/>
  <c r="U149" i="24" s="1"/>
  <c r="V149" i="24" a="1"/>
  <c r="V149" i="24" s="1"/>
  <c r="W149" i="24" a="1"/>
  <c r="W149" i="24" s="1"/>
  <c r="X149" i="24" a="1"/>
  <c r="X149" i="24" s="1"/>
  <c r="K150" i="24" a="1"/>
  <c r="K150" i="24" s="1"/>
  <c r="L150" i="24" a="1"/>
  <c r="L150" i="24" s="1"/>
  <c r="M150" i="24" a="1"/>
  <c r="M150" i="24" s="1"/>
  <c r="N150" i="24" a="1"/>
  <c r="N150" i="24" s="1"/>
  <c r="O150" i="24" a="1"/>
  <c r="O150" i="24" s="1"/>
  <c r="P150" i="24" a="1"/>
  <c r="P150" i="24" s="1"/>
  <c r="Q150" i="24" a="1"/>
  <c r="Q150" i="24" s="1"/>
  <c r="R150" i="24" a="1"/>
  <c r="R150" i="24" s="1"/>
  <c r="U150" i="24" a="1"/>
  <c r="U150" i="24" s="1"/>
  <c r="V150" i="24" a="1"/>
  <c r="V150" i="24" s="1"/>
  <c r="W150" i="24" a="1"/>
  <c r="W150" i="24" s="1"/>
  <c r="X150" i="24" a="1"/>
  <c r="X150" i="24" s="1"/>
  <c r="K151" i="24" a="1"/>
  <c r="K151" i="24" s="1"/>
  <c r="L151" i="24" a="1"/>
  <c r="L151" i="24" s="1"/>
  <c r="M151" i="24" a="1"/>
  <c r="M151" i="24" s="1"/>
  <c r="N151" i="24" a="1"/>
  <c r="N151" i="24" s="1"/>
  <c r="O151" i="24" a="1"/>
  <c r="O151" i="24" s="1"/>
  <c r="P151" i="24" a="1"/>
  <c r="P151" i="24" s="1"/>
  <c r="Q151" i="24" a="1"/>
  <c r="Q151" i="24" s="1"/>
  <c r="R151" i="24" a="1"/>
  <c r="R151" i="24" s="1"/>
  <c r="U151" i="24" a="1"/>
  <c r="U151" i="24" s="1"/>
  <c r="V151" i="24" a="1"/>
  <c r="V151" i="24" s="1"/>
  <c r="W151" i="24" a="1"/>
  <c r="W151" i="24" s="1"/>
  <c r="X151" i="24" a="1"/>
  <c r="X151" i="24" s="1"/>
  <c r="K152" i="24" a="1"/>
  <c r="K152" i="24" s="1"/>
  <c r="L152" i="24" a="1"/>
  <c r="L152" i="24" s="1"/>
  <c r="M152" i="24" a="1"/>
  <c r="M152" i="24" s="1"/>
  <c r="N152" i="24" a="1"/>
  <c r="N152" i="24" s="1"/>
  <c r="O152" i="24" a="1"/>
  <c r="O152" i="24" s="1"/>
  <c r="P152" i="24" a="1"/>
  <c r="P152" i="24" s="1"/>
  <c r="Q152" i="24" a="1"/>
  <c r="Q152" i="24" s="1"/>
  <c r="R152" i="24" a="1"/>
  <c r="R152" i="24" s="1"/>
  <c r="U152" i="24" a="1"/>
  <c r="U152" i="24" s="1"/>
  <c r="V152" i="24" a="1"/>
  <c r="V152" i="24" s="1"/>
  <c r="W152" i="24" a="1"/>
  <c r="W152" i="24" s="1"/>
  <c r="X152" i="24" a="1"/>
  <c r="X152" i="24" s="1"/>
  <c r="K153" i="24" a="1"/>
  <c r="K153" i="24" s="1"/>
  <c r="L153" i="24" a="1"/>
  <c r="L153" i="24" s="1"/>
  <c r="M153" i="24" a="1"/>
  <c r="M153" i="24" s="1"/>
  <c r="N153" i="24" a="1"/>
  <c r="N153" i="24" s="1"/>
  <c r="O153" i="24" a="1"/>
  <c r="O153" i="24" s="1"/>
  <c r="P153" i="24" a="1"/>
  <c r="P153" i="24" s="1"/>
  <c r="Q153" i="24" a="1"/>
  <c r="Q153" i="24" s="1"/>
  <c r="R153" i="24" a="1"/>
  <c r="R153" i="24" s="1"/>
  <c r="U153" i="24" a="1"/>
  <c r="U153" i="24" s="1"/>
  <c r="V153" i="24" a="1"/>
  <c r="V153" i="24" s="1"/>
  <c r="W153" i="24" a="1"/>
  <c r="W153" i="24" s="1"/>
  <c r="X153" i="24" a="1"/>
  <c r="X153" i="24" s="1"/>
  <c r="K154" i="24" a="1"/>
  <c r="K154" i="24" s="1"/>
  <c r="L154" i="24" a="1"/>
  <c r="L154" i="24" s="1"/>
  <c r="M154" i="24" a="1"/>
  <c r="M154" i="24" s="1"/>
  <c r="N154" i="24" a="1"/>
  <c r="N154" i="24" s="1"/>
  <c r="O154" i="24" a="1"/>
  <c r="O154" i="24" s="1"/>
  <c r="P154" i="24" a="1"/>
  <c r="P154" i="24" s="1"/>
  <c r="Q154" i="24" a="1"/>
  <c r="Q154" i="24" s="1"/>
  <c r="R154" i="24" a="1"/>
  <c r="R154" i="24" s="1"/>
  <c r="U154" i="24" a="1"/>
  <c r="U154" i="24" s="1"/>
  <c r="V154" i="24" a="1"/>
  <c r="V154" i="24" s="1"/>
  <c r="W154" i="24" a="1"/>
  <c r="W154" i="24" s="1"/>
  <c r="X154" i="24" a="1"/>
  <c r="X154" i="24" s="1"/>
  <c r="K155" i="24" a="1"/>
  <c r="K155" i="24" s="1"/>
  <c r="L155" i="24" a="1"/>
  <c r="L155" i="24" s="1"/>
  <c r="M155" i="24" a="1"/>
  <c r="M155" i="24" s="1"/>
  <c r="N155" i="24" a="1"/>
  <c r="N155" i="24" s="1"/>
  <c r="O155" i="24" a="1"/>
  <c r="O155" i="24" s="1"/>
  <c r="P155" i="24" a="1"/>
  <c r="P155" i="24" s="1"/>
  <c r="Q155" i="24" a="1"/>
  <c r="Q155" i="24" s="1"/>
  <c r="R155" i="24" a="1"/>
  <c r="R155" i="24" s="1"/>
  <c r="U155" i="24" a="1"/>
  <c r="U155" i="24" s="1"/>
  <c r="V155" i="24" a="1"/>
  <c r="V155" i="24" s="1"/>
  <c r="W155" i="24" a="1"/>
  <c r="W155" i="24" s="1"/>
  <c r="X155" i="24" a="1"/>
  <c r="X155" i="24" s="1"/>
  <c r="K156" i="24" a="1"/>
  <c r="K156" i="24" s="1"/>
  <c r="L156" i="24" a="1"/>
  <c r="L156" i="24" s="1"/>
  <c r="M156" i="24" a="1"/>
  <c r="M156" i="24" s="1"/>
  <c r="N156" i="24" a="1"/>
  <c r="N156" i="24" s="1"/>
  <c r="O156" i="24" a="1"/>
  <c r="O156" i="24" s="1"/>
  <c r="P156" i="24" a="1"/>
  <c r="P156" i="24" s="1"/>
  <c r="Q156" i="24" a="1"/>
  <c r="Q156" i="24" s="1"/>
  <c r="R156" i="24" a="1"/>
  <c r="R156" i="24" s="1"/>
  <c r="U156" i="24" a="1"/>
  <c r="U156" i="24" s="1"/>
  <c r="V156" i="24" a="1"/>
  <c r="V156" i="24" s="1"/>
  <c r="W156" i="24" a="1"/>
  <c r="W156" i="24" s="1"/>
  <c r="X156" i="24" a="1"/>
  <c r="X156" i="24" s="1"/>
  <c r="K157" i="24" a="1"/>
  <c r="K157" i="24" s="1"/>
  <c r="L157" i="24" a="1"/>
  <c r="L157" i="24" s="1"/>
  <c r="M157" i="24" a="1"/>
  <c r="M157" i="24" s="1"/>
  <c r="N157" i="24" a="1"/>
  <c r="N157" i="24" s="1"/>
  <c r="O157" i="24" a="1"/>
  <c r="O157" i="24" s="1"/>
  <c r="P157" i="24" a="1"/>
  <c r="P157" i="24" s="1"/>
  <c r="Q157" i="24" a="1"/>
  <c r="Q157" i="24" s="1"/>
  <c r="R157" i="24" a="1"/>
  <c r="R157" i="24" s="1"/>
  <c r="U157" i="24" a="1"/>
  <c r="U157" i="24" s="1"/>
  <c r="V157" i="24" a="1"/>
  <c r="V157" i="24" s="1"/>
  <c r="W157" i="24" a="1"/>
  <c r="W157" i="24" s="1"/>
  <c r="X157" i="24" a="1"/>
  <c r="X157" i="24" s="1"/>
  <c r="K158" i="24" a="1"/>
  <c r="K158" i="24" s="1"/>
  <c r="L158" i="24" a="1"/>
  <c r="L158" i="24" s="1"/>
  <c r="M158" i="24" a="1"/>
  <c r="M158" i="24" s="1"/>
  <c r="N158" i="24" a="1"/>
  <c r="N158" i="24" s="1"/>
  <c r="O158" i="24" a="1"/>
  <c r="O158" i="24" s="1"/>
  <c r="P158" i="24" a="1"/>
  <c r="P158" i="24" s="1"/>
  <c r="Q158" i="24" a="1"/>
  <c r="Q158" i="24" s="1"/>
  <c r="R158" i="24" a="1"/>
  <c r="R158" i="24" s="1"/>
  <c r="U158" i="24" a="1"/>
  <c r="U158" i="24" s="1"/>
  <c r="V158" i="24" a="1"/>
  <c r="V158" i="24" s="1"/>
  <c r="W158" i="24" a="1"/>
  <c r="W158" i="24" s="1"/>
  <c r="X158" i="24" a="1"/>
  <c r="X158" i="24" s="1"/>
  <c r="K159" i="24" a="1"/>
  <c r="K159" i="24" s="1"/>
  <c r="L159" i="24" a="1"/>
  <c r="L159" i="24" s="1"/>
  <c r="M159" i="24" a="1"/>
  <c r="M159" i="24" s="1"/>
  <c r="N159" i="24" a="1"/>
  <c r="N159" i="24" s="1"/>
  <c r="O159" i="24" a="1"/>
  <c r="O159" i="24" s="1"/>
  <c r="P159" i="24" a="1"/>
  <c r="P159" i="24" s="1"/>
  <c r="Q159" i="24" a="1"/>
  <c r="Q159" i="24" s="1"/>
  <c r="R159" i="24" a="1"/>
  <c r="R159" i="24" s="1"/>
  <c r="U159" i="24" a="1"/>
  <c r="U159" i="24" s="1"/>
  <c r="V159" i="24" a="1"/>
  <c r="V159" i="24" s="1"/>
  <c r="W159" i="24" a="1"/>
  <c r="W159" i="24" s="1"/>
  <c r="X159" i="24" a="1"/>
  <c r="X159" i="24" s="1"/>
  <c r="K160" i="24" a="1"/>
  <c r="K160" i="24" s="1"/>
  <c r="L160" i="24" a="1"/>
  <c r="L160" i="24" s="1"/>
  <c r="M160" i="24" a="1"/>
  <c r="M160" i="24" s="1"/>
  <c r="N160" i="24" a="1"/>
  <c r="N160" i="24" s="1"/>
  <c r="O160" i="24" a="1"/>
  <c r="O160" i="24" s="1"/>
  <c r="P160" i="24" a="1"/>
  <c r="P160" i="24" s="1"/>
  <c r="Q160" i="24" a="1"/>
  <c r="Q160" i="24" s="1"/>
  <c r="R160" i="24" a="1"/>
  <c r="R160" i="24" s="1"/>
  <c r="U160" i="24" a="1"/>
  <c r="U160" i="24" s="1"/>
  <c r="V160" i="24" a="1"/>
  <c r="V160" i="24" s="1"/>
  <c r="W160" i="24" a="1"/>
  <c r="W160" i="24" s="1"/>
  <c r="X160" i="24" a="1"/>
  <c r="X160" i="24" s="1"/>
  <c r="K161" i="24" a="1"/>
  <c r="K161" i="24" s="1"/>
  <c r="L161" i="24" a="1"/>
  <c r="L161" i="24" s="1"/>
  <c r="M161" i="24" a="1"/>
  <c r="M161" i="24" s="1"/>
  <c r="N161" i="24" a="1"/>
  <c r="N161" i="24" s="1"/>
  <c r="O161" i="24" a="1"/>
  <c r="O161" i="24" s="1"/>
  <c r="P161" i="24" a="1"/>
  <c r="P161" i="24" s="1"/>
  <c r="Q161" i="24" a="1"/>
  <c r="Q161" i="24" s="1"/>
  <c r="R161" i="24" a="1"/>
  <c r="R161" i="24" s="1"/>
  <c r="U161" i="24" a="1"/>
  <c r="U161" i="24" s="1"/>
  <c r="V161" i="24" a="1"/>
  <c r="V161" i="24" s="1"/>
  <c r="W161" i="24" a="1"/>
  <c r="W161" i="24" s="1"/>
  <c r="X161" i="24" a="1"/>
  <c r="X161" i="24" s="1"/>
  <c r="K162" i="24" a="1"/>
  <c r="K162" i="24" s="1"/>
  <c r="L162" i="24" a="1"/>
  <c r="L162" i="24" s="1"/>
  <c r="M162" i="24" a="1"/>
  <c r="M162" i="24" s="1"/>
  <c r="N162" i="24" a="1"/>
  <c r="N162" i="24" s="1"/>
  <c r="O162" i="24" a="1"/>
  <c r="O162" i="24" s="1"/>
  <c r="P162" i="24" a="1"/>
  <c r="P162" i="24" s="1"/>
  <c r="Q162" i="24" a="1"/>
  <c r="Q162" i="24" s="1"/>
  <c r="R162" i="24" a="1"/>
  <c r="R162" i="24" s="1"/>
  <c r="U162" i="24" a="1"/>
  <c r="U162" i="24" s="1"/>
  <c r="V162" i="24" a="1"/>
  <c r="V162" i="24" s="1"/>
  <c r="W162" i="24" a="1"/>
  <c r="W162" i="24" s="1"/>
  <c r="X162" i="24" a="1"/>
  <c r="X162" i="24" s="1"/>
  <c r="K163" i="24" a="1"/>
  <c r="K163" i="24" s="1"/>
  <c r="L163" i="24" a="1"/>
  <c r="L163" i="24" s="1"/>
  <c r="M163" i="24" a="1"/>
  <c r="M163" i="24" s="1"/>
  <c r="N163" i="24" a="1"/>
  <c r="N163" i="24" s="1"/>
  <c r="O163" i="24" a="1"/>
  <c r="O163" i="24" s="1"/>
  <c r="P163" i="24" a="1"/>
  <c r="P163" i="24" s="1"/>
  <c r="Q163" i="24" a="1"/>
  <c r="Q163" i="24" s="1"/>
  <c r="R163" i="24" a="1"/>
  <c r="R163" i="24" s="1"/>
  <c r="U163" i="24" a="1"/>
  <c r="U163" i="24" s="1"/>
  <c r="V163" i="24" a="1"/>
  <c r="V163" i="24" s="1"/>
  <c r="W163" i="24" a="1"/>
  <c r="W163" i="24" s="1"/>
  <c r="X163" i="24" a="1"/>
  <c r="X163" i="24" s="1"/>
  <c r="K164" i="24" a="1"/>
  <c r="K164" i="24" s="1"/>
  <c r="L164" i="24" a="1"/>
  <c r="L164" i="24" s="1"/>
  <c r="M164" i="24" a="1"/>
  <c r="M164" i="24" s="1"/>
  <c r="N164" i="24" a="1"/>
  <c r="N164" i="24" s="1"/>
  <c r="O164" i="24" a="1"/>
  <c r="O164" i="24" s="1"/>
  <c r="P164" i="24" a="1"/>
  <c r="P164" i="24" s="1"/>
  <c r="Q164" i="24" a="1"/>
  <c r="Q164" i="24" s="1"/>
  <c r="R164" i="24" a="1"/>
  <c r="R164" i="24" s="1"/>
  <c r="U164" i="24" a="1"/>
  <c r="U164" i="24" s="1"/>
  <c r="V164" i="24" a="1"/>
  <c r="V164" i="24" s="1"/>
  <c r="W164" i="24" a="1"/>
  <c r="W164" i="24" s="1"/>
  <c r="X164" i="24" a="1"/>
  <c r="X164" i="24" s="1"/>
  <c r="K165" i="24" a="1"/>
  <c r="K165" i="24" s="1"/>
  <c r="L165" i="24" a="1"/>
  <c r="L165" i="24" s="1"/>
  <c r="M165" i="24" a="1"/>
  <c r="M165" i="24" s="1"/>
  <c r="N165" i="24" a="1"/>
  <c r="N165" i="24" s="1"/>
  <c r="O165" i="24" a="1"/>
  <c r="O165" i="24" s="1"/>
  <c r="P165" i="24" a="1"/>
  <c r="P165" i="24" s="1"/>
  <c r="Q165" i="24" a="1"/>
  <c r="Q165" i="24" s="1"/>
  <c r="R165" i="24" a="1"/>
  <c r="R165" i="24" s="1"/>
  <c r="U165" i="24" a="1"/>
  <c r="U165" i="24" s="1"/>
  <c r="V165" i="24" a="1"/>
  <c r="V165" i="24" s="1"/>
  <c r="W165" i="24" a="1"/>
  <c r="W165" i="24" s="1"/>
  <c r="X165" i="24" a="1"/>
  <c r="X165" i="24" s="1"/>
  <c r="K166" i="24" a="1"/>
  <c r="K166" i="24" s="1"/>
  <c r="L166" i="24" a="1"/>
  <c r="L166" i="24" s="1"/>
  <c r="M166" i="24" a="1"/>
  <c r="M166" i="24" s="1"/>
  <c r="N166" i="24" a="1"/>
  <c r="N166" i="24" s="1"/>
  <c r="O166" i="24" a="1"/>
  <c r="O166" i="24" s="1"/>
  <c r="P166" i="24" a="1"/>
  <c r="P166" i="24" s="1"/>
  <c r="Q166" i="24" a="1"/>
  <c r="Q166" i="24" s="1"/>
  <c r="R166" i="24" a="1"/>
  <c r="R166" i="24" s="1"/>
  <c r="U166" i="24" a="1"/>
  <c r="U166" i="24" s="1"/>
  <c r="V166" i="24" a="1"/>
  <c r="V166" i="24" s="1"/>
  <c r="W166" i="24" a="1"/>
  <c r="W166" i="24" s="1"/>
  <c r="X166" i="24" a="1"/>
  <c r="X166" i="24" s="1"/>
  <c r="K167" i="24" a="1"/>
  <c r="K167" i="24" s="1"/>
  <c r="L167" i="24" a="1"/>
  <c r="L167" i="24" s="1"/>
  <c r="M167" i="24" a="1"/>
  <c r="M167" i="24" s="1"/>
  <c r="N167" i="24" a="1"/>
  <c r="N167" i="24" s="1"/>
  <c r="O167" i="24" a="1"/>
  <c r="O167" i="24" s="1"/>
  <c r="P167" i="24" a="1"/>
  <c r="P167" i="24" s="1"/>
  <c r="Q167" i="24" a="1"/>
  <c r="Q167" i="24" s="1"/>
  <c r="R167" i="24" a="1"/>
  <c r="R167" i="24" s="1"/>
  <c r="U167" i="24" a="1"/>
  <c r="U167" i="24" s="1"/>
  <c r="V167" i="24" a="1"/>
  <c r="V167" i="24" s="1"/>
  <c r="W167" i="24" a="1"/>
  <c r="W167" i="24" s="1"/>
  <c r="X167" i="24" a="1"/>
  <c r="X167" i="24" s="1"/>
  <c r="K168" i="24" a="1"/>
  <c r="K168" i="24" s="1"/>
  <c r="L168" i="24" a="1"/>
  <c r="L168" i="24" s="1"/>
  <c r="M168" i="24" a="1"/>
  <c r="M168" i="24" s="1"/>
  <c r="N168" i="24" a="1"/>
  <c r="N168" i="24" s="1"/>
  <c r="O168" i="24" a="1"/>
  <c r="O168" i="24" s="1"/>
  <c r="P168" i="24" a="1"/>
  <c r="P168" i="24" s="1"/>
  <c r="Q168" i="24" a="1"/>
  <c r="Q168" i="24" s="1"/>
  <c r="R168" i="24" a="1"/>
  <c r="R168" i="24" s="1"/>
  <c r="U168" i="24" a="1"/>
  <c r="U168" i="24" s="1"/>
  <c r="V168" i="24" a="1"/>
  <c r="V168" i="24" s="1"/>
  <c r="W168" i="24" a="1"/>
  <c r="W168" i="24" s="1"/>
  <c r="X168" i="24" a="1"/>
  <c r="X168" i="24" s="1"/>
  <c r="K169" i="24" a="1"/>
  <c r="K169" i="24" s="1"/>
  <c r="L169" i="24" a="1"/>
  <c r="L169" i="24" s="1"/>
  <c r="M169" i="24" a="1"/>
  <c r="M169" i="24" s="1"/>
  <c r="N169" i="24" a="1"/>
  <c r="N169" i="24" s="1"/>
  <c r="O169" i="24" a="1"/>
  <c r="O169" i="24" s="1"/>
  <c r="P169" i="24" a="1"/>
  <c r="P169" i="24" s="1"/>
  <c r="Q169" i="24" a="1"/>
  <c r="Q169" i="24" s="1"/>
  <c r="R169" i="24" a="1"/>
  <c r="R169" i="24" s="1"/>
  <c r="U169" i="24" a="1"/>
  <c r="U169" i="24" s="1"/>
  <c r="V169" i="24" a="1"/>
  <c r="V169" i="24" s="1"/>
  <c r="W169" i="24" a="1"/>
  <c r="W169" i="24" s="1"/>
  <c r="X169" i="24" a="1"/>
  <c r="X169" i="24" s="1"/>
  <c r="K170" i="24" a="1"/>
  <c r="K170" i="24" s="1"/>
  <c r="L170" i="24" a="1"/>
  <c r="L170" i="24" s="1"/>
  <c r="M170" i="24" a="1"/>
  <c r="M170" i="24" s="1"/>
  <c r="N170" i="24" a="1"/>
  <c r="N170" i="24" s="1"/>
  <c r="O170" i="24" a="1"/>
  <c r="O170" i="24" s="1"/>
  <c r="P170" i="24" a="1"/>
  <c r="P170" i="24" s="1"/>
  <c r="Q170" i="24" a="1"/>
  <c r="Q170" i="24" s="1"/>
  <c r="R170" i="24" a="1"/>
  <c r="R170" i="24" s="1"/>
  <c r="U170" i="24" a="1"/>
  <c r="U170" i="24" s="1"/>
  <c r="V170" i="24" a="1"/>
  <c r="V170" i="24" s="1"/>
  <c r="W170" i="24" a="1"/>
  <c r="W170" i="24" s="1"/>
  <c r="X170" i="24" a="1"/>
  <c r="X170" i="24" s="1"/>
  <c r="K171" i="24" a="1"/>
  <c r="K171" i="24" s="1"/>
  <c r="L171" i="24" a="1"/>
  <c r="L171" i="24" s="1"/>
  <c r="M171" i="24" a="1"/>
  <c r="M171" i="24" s="1"/>
  <c r="N171" i="24" a="1"/>
  <c r="N171" i="24" s="1"/>
  <c r="O171" i="24" a="1"/>
  <c r="O171" i="24" s="1"/>
  <c r="P171" i="24" a="1"/>
  <c r="P171" i="24" s="1"/>
  <c r="Q171" i="24" a="1"/>
  <c r="Q171" i="24" s="1"/>
  <c r="R171" i="24" a="1"/>
  <c r="R171" i="24" s="1"/>
  <c r="U171" i="24" a="1"/>
  <c r="U171" i="24" s="1"/>
  <c r="V171" i="24" a="1"/>
  <c r="V171" i="24" s="1"/>
  <c r="W171" i="24" a="1"/>
  <c r="W171" i="24" s="1"/>
  <c r="X171" i="24" a="1"/>
  <c r="X171" i="24" s="1"/>
  <c r="K172" i="24" a="1"/>
  <c r="K172" i="24" s="1"/>
  <c r="L172" i="24" a="1"/>
  <c r="L172" i="24" s="1"/>
  <c r="M172" i="24" a="1"/>
  <c r="M172" i="24" s="1"/>
  <c r="N172" i="24" a="1"/>
  <c r="N172" i="24" s="1"/>
  <c r="O172" i="24" a="1"/>
  <c r="O172" i="24" s="1"/>
  <c r="P172" i="24" a="1"/>
  <c r="P172" i="24" s="1"/>
  <c r="Q172" i="24" a="1"/>
  <c r="Q172" i="24" s="1"/>
  <c r="R172" i="24" a="1"/>
  <c r="R172" i="24" s="1"/>
  <c r="U172" i="24" a="1"/>
  <c r="U172" i="24" s="1"/>
  <c r="V172" i="24" a="1"/>
  <c r="V172" i="24" s="1"/>
  <c r="W172" i="24" a="1"/>
  <c r="W172" i="24" s="1"/>
  <c r="X172" i="24" a="1"/>
  <c r="X172" i="24" s="1"/>
  <c r="K173" i="24" a="1"/>
  <c r="K173" i="24" s="1"/>
  <c r="L173" i="24" a="1"/>
  <c r="L173" i="24" s="1"/>
  <c r="M173" i="24" a="1"/>
  <c r="M173" i="24" s="1"/>
  <c r="N173" i="24" a="1"/>
  <c r="N173" i="24" s="1"/>
  <c r="O173" i="24" a="1"/>
  <c r="O173" i="24" s="1"/>
  <c r="P173" i="24" a="1"/>
  <c r="P173" i="24" s="1"/>
  <c r="Q173" i="24" a="1"/>
  <c r="Q173" i="24" s="1"/>
  <c r="R173" i="24" a="1"/>
  <c r="R173" i="24" s="1"/>
  <c r="U173" i="24" a="1"/>
  <c r="U173" i="24" s="1"/>
  <c r="V173" i="24" a="1"/>
  <c r="V173" i="24" s="1"/>
  <c r="W173" i="24" a="1"/>
  <c r="W173" i="24" s="1"/>
  <c r="X173" i="24" a="1"/>
  <c r="X173" i="24" s="1"/>
  <c r="K174" i="24" a="1"/>
  <c r="K174" i="24" s="1"/>
  <c r="L174" i="24" a="1"/>
  <c r="L174" i="24" s="1"/>
  <c r="M174" i="24" a="1"/>
  <c r="M174" i="24" s="1"/>
  <c r="N174" i="24" a="1"/>
  <c r="N174" i="24" s="1"/>
  <c r="O174" i="24" a="1"/>
  <c r="O174" i="24" s="1"/>
  <c r="P174" i="24" a="1"/>
  <c r="P174" i="24" s="1"/>
  <c r="Q174" i="24" a="1"/>
  <c r="Q174" i="24" s="1"/>
  <c r="R174" i="24" a="1"/>
  <c r="R174" i="24" s="1"/>
  <c r="U174" i="24" a="1"/>
  <c r="U174" i="24" s="1"/>
  <c r="V174" i="24" a="1"/>
  <c r="V174" i="24" s="1"/>
  <c r="W174" i="24" a="1"/>
  <c r="W174" i="24" s="1"/>
  <c r="X174" i="24" a="1"/>
  <c r="X174" i="24" s="1"/>
  <c r="K175" i="24" a="1"/>
  <c r="K175" i="24" s="1"/>
  <c r="L175" i="24" a="1"/>
  <c r="L175" i="24" s="1"/>
  <c r="M175" i="24" a="1"/>
  <c r="M175" i="24" s="1"/>
  <c r="N175" i="24" a="1"/>
  <c r="N175" i="24" s="1"/>
  <c r="O175" i="24" a="1"/>
  <c r="O175" i="24" s="1"/>
  <c r="P175" i="24" a="1"/>
  <c r="P175" i="24" s="1"/>
  <c r="Q175" i="24" a="1"/>
  <c r="Q175" i="24" s="1"/>
  <c r="R175" i="24" a="1"/>
  <c r="R175" i="24" s="1"/>
  <c r="U175" i="24" a="1"/>
  <c r="U175" i="24" s="1"/>
  <c r="V175" i="24" a="1"/>
  <c r="V175" i="24" s="1"/>
  <c r="W175" i="24" a="1"/>
  <c r="W175" i="24" s="1"/>
  <c r="X175" i="24" a="1"/>
  <c r="X175" i="24" s="1"/>
  <c r="K176" i="24" a="1"/>
  <c r="K176" i="24" s="1"/>
  <c r="L176" i="24" a="1"/>
  <c r="L176" i="24" s="1"/>
  <c r="M176" i="24" a="1"/>
  <c r="M176" i="24" s="1"/>
  <c r="N176" i="24" a="1"/>
  <c r="N176" i="24" s="1"/>
  <c r="O176" i="24" a="1"/>
  <c r="O176" i="24" s="1"/>
  <c r="P176" i="24" a="1"/>
  <c r="P176" i="24" s="1"/>
  <c r="Q176" i="24" a="1"/>
  <c r="Q176" i="24" s="1"/>
  <c r="R176" i="24" a="1"/>
  <c r="R176" i="24" s="1"/>
  <c r="U176" i="24" a="1"/>
  <c r="U176" i="24" s="1"/>
  <c r="V176" i="24" a="1"/>
  <c r="V176" i="24" s="1"/>
  <c r="W176" i="24" a="1"/>
  <c r="W176" i="24" s="1"/>
  <c r="X176" i="24" a="1"/>
  <c r="X176" i="24" s="1"/>
  <c r="K177" i="24" a="1"/>
  <c r="K177" i="24" s="1"/>
  <c r="L177" i="24" a="1"/>
  <c r="L177" i="24" s="1"/>
  <c r="M177" i="24" a="1"/>
  <c r="M177" i="24" s="1"/>
  <c r="N177" i="24" a="1"/>
  <c r="N177" i="24" s="1"/>
  <c r="O177" i="24" a="1"/>
  <c r="O177" i="24" s="1"/>
  <c r="P177" i="24" a="1"/>
  <c r="P177" i="24" s="1"/>
  <c r="Q177" i="24" a="1"/>
  <c r="Q177" i="24" s="1"/>
  <c r="R177" i="24" a="1"/>
  <c r="R177" i="24" s="1"/>
  <c r="U177" i="24" a="1"/>
  <c r="U177" i="24" s="1"/>
  <c r="V177" i="24" a="1"/>
  <c r="V177" i="24" s="1"/>
  <c r="W177" i="24" a="1"/>
  <c r="W177" i="24" s="1"/>
  <c r="X177" i="24" a="1"/>
  <c r="X177" i="24" s="1"/>
  <c r="K178" i="24" a="1"/>
  <c r="K178" i="24" s="1"/>
  <c r="L178" i="24" a="1"/>
  <c r="L178" i="24" s="1"/>
  <c r="M178" i="24" a="1"/>
  <c r="M178" i="24" s="1"/>
  <c r="N178" i="24" a="1"/>
  <c r="N178" i="24" s="1"/>
  <c r="O178" i="24" a="1"/>
  <c r="O178" i="24" s="1"/>
  <c r="P178" i="24" a="1"/>
  <c r="P178" i="24" s="1"/>
  <c r="Q178" i="24" a="1"/>
  <c r="Q178" i="24" s="1"/>
  <c r="R178" i="24" a="1"/>
  <c r="R178" i="24" s="1"/>
  <c r="U178" i="24" a="1"/>
  <c r="U178" i="24" s="1"/>
  <c r="V178" i="24" a="1"/>
  <c r="V178" i="24" s="1"/>
  <c r="W178" i="24" a="1"/>
  <c r="W178" i="24" s="1"/>
  <c r="X178" i="24" a="1"/>
  <c r="X178" i="24" s="1"/>
  <c r="K179" i="24" a="1"/>
  <c r="K179" i="24" s="1"/>
  <c r="L179" i="24" a="1"/>
  <c r="L179" i="24" s="1"/>
  <c r="M179" i="24" a="1"/>
  <c r="M179" i="24" s="1"/>
  <c r="N179" i="24" a="1"/>
  <c r="N179" i="24" s="1"/>
  <c r="O179" i="24" a="1"/>
  <c r="O179" i="24" s="1"/>
  <c r="P179" i="24" a="1"/>
  <c r="P179" i="24" s="1"/>
  <c r="Q179" i="24" a="1"/>
  <c r="Q179" i="24" s="1"/>
  <c r="R179" i="24" a="1"/>
  <c r="R179" i="24" s="1"/>
  <c r="U179" i="24" a="1"/>
  <c r="U179" i="24" s="1"/>
  <c r="V179" i="24" a="1"/>
  <c r="V179" i="24" s="1"/>
  <c r="W179" i="24" a="1"/>
  <c r="W179" i="24" s="1"/>
  <c r="X179" i="24" a="1"/>
  <c r="X179" i="24" s="1"/>
  <c r="K180" i="24" a="1"/>
  <c r="K180" i="24" s="1"/>
  <c r="L180" i="24" a="1"/>
  <c r="L180" i="24" s="1"/>
  <c r="M180" i="24" a="1"/>
  <c r="M180" i="24" s="1"/>
  <c r="N180" i="24" a="1"/>
  <c r="N180" i="24" s="1"/>
  <c r="O180" i="24" a="1"/>
  <c r="O180" i="24" s="1"/>
  <c r="P180" i="24" a="1"/>
  <c r="P180" i="24" s="1"/>
  <c r="Q180" i="24" a="1"/>
  <c r="Q180" i="24" s="1"/>
  <c r="R180" i="24" a="1"/>
  <c r="R180" i="24" s="1"/>
  <c r="U180" i="24" a="1"/>
  <c r="U180" i="24" s="1"/>
  <c r="V180" i="24" a="1"/>
  <c r="V180" i="24" s="1"/>
  <c r="W180" i="24" a="1"/>
  <c r="W180" i="24" s="1"/>
  <c r="X180" i="24" a="1"/>
  <c r="X180" i="24" s="1"/>
  <c r="K181" i="24" a="1"/>
  <c r="K181" i="24" s="1"/>
  <c r="L181" i="24" a="1"/>
  <c r="L181" i="24" s="1"/>
  <c r="M181" i="24" a="1"/>
  <c r="M181" i="24" s="1"/>
  <c r="N181" i="24" a="1"/>
  <c r="N181" i="24" s="1"/>
  <c r="O181" i="24" a="1"/>
  <c r="O181" i="24" s="1"/>
  <c r="P181" i="24" a="1"/>
  <c r="P181" i="24" s="1"/>
  <c r="Q181" i="24" a="1"/>
  <c r="Q181" i="24" s="1"/>
  <c r="R181" i="24" a="1"/>
  <c r="R181" i="24" s="1"/>
  <c r="U181" i="24" a="1"/>
  <c r="U181" i="24" s="1"/>
  <c r="V181" i="24" a="1"/>
  <c r="V181" i="24" s="1"/>
  <c r="W181" i="24" a="1"/>
  <c r="W181" i="24" s="1"/>
  <c r="X181" i="24" a="1"/>
  <c r="X181" i="24" s="1"/>
  <c r="K182" i="24" a="1"/>
  <c r="K182" i="24" s="1"/>
  <c r="L182" i="24" a="1"/>
  <c r="L182" i="24" s="1"/>
  <c r="M182" i="24" a="1"/>
  <c r="M182" i="24" s="1"/>
  <c r="N182" i="24" a="1"/>
  <c r="N182" i="24" s="1"/>
  <c r="O182" i="24" a="1"/>
  <c r="O182" i="24" s="1"/>
  <c r="P182" i="24" a="1"/>
  <c r="P182" i="24" s="1"/>
  <c r="Q182" i="24" a="1"/>
  <c r="Q182" i="24" s="1"/>
  <c r="R182" i="24" a="1"/>
  <c r="R182" i="24" s="1"/>
  <c r="U182" i="24" a="1"/>
  <c r="U182" i="24" s="1"/>
  <c r="V182" i="24" a="1"/>
  <c r="V182" i="24" s="1"/>
  <c r="W182" i="24" a="1"/>
  <c r="W182" i="24" s="1"/>
  <c r="X182" i="24" a="1"/>
  <c r="X182" i="24" s="1"/>
  <c r="K183" i="24" a="1"/>
  <c r="K183" i="24" s="1"/>
  <c r="L183" i="24" a="1"/>
  <c r="L183" i="24" s="1"/>
  <c r="M183" i="24" a="1"/>
  <c r="M183" i="24" s="1"/>
  <c r="N183" i="24" a="1"/>
  <c r="N183" i="24" s="1"/>
  <c r="O183" i="24" a="1"/>
  <c r="O183" i="24" s="1"/>
  <c r="P183" i="24" a="1"/>
  <c r="P183" i="24" s="1"/>
  <c r="Q183" i="24" a="1"/>
  <c r="Q183" i="24" s="1"/>
  <c r="R183" i="24" a="1"/>
  <c r="R183" i="24" s="1"/>
  <c r="U183" i="24" a="1"/>
  <c r="U183" i="24" s="1"/>
  <c r="V183" i="24" a="1"/>
  <c r="V183" i="24" s="1"/>
  <c r="W183" i="24" a="1"/>
  <c r="W183" i="24" s="1"/>
  <c r="X183" i="24" a="1"/>
  <c r="X183" i="24" s="1"/>
  <c r="K184" i="24" a="1"/>
  <c r="K184" i="24" s="1"/>
  <c r="L184" i="24" a="1"/>
  <c r="L184" i="24" s="1"/>
  <c r="M184" i="24" a="1"/>
  <c r="M184" i="24" s="1"/>
  <c r="N184" i="24" a="1"/>
  <c r="N184" i="24" s="1"/>
  <c r="O184" i="24" a="1"/>
  <c r="O184" i="24" s="1"/>
  <c r="P184" i="24" a="1"/>
  <c r="P184" i="24" s="1"/>
  <c r="Q184" i="24" a="1"/>
  <c r="Q184" i="24" s="1"/>
  <c r="R184" i="24" a="1"/>
  <c r="R184" i="24" s="1"/>
  <c r="U184" i="24" a="1"/>
  <c r="U184" i="24" s="1"/>
  <c r="V184" i="24" a="1"/>
  <c r="V184" i="24" s="1"/>
  <c r="W184" i="24" a="1"/>
  <c r="W184" i="24" s="1"/>
  <c r="X184" i="24" a="1"/>
  <c r="X184" i="24" s="1"/>
  <c r="K185" i="24" a="1"/>
  <c r="K185" i="24" s="1"/>
  <c r="L185" i="24" a="1"/>
  <c r="L185" i="24" s="1"/>
  <c r="M185" i="24" a="1"/>
  <c r="M185" i="24" s="1"/>
  <c r="N185" i="24" a="1"/>
  <c r="N185" i="24" s="1"/>
  <c r="O185" i="24" a="1"/>
  <c r="O185" i="24" s="1"/>
  <c r="P185" i="24" a="1"/>
  <c r="P185" i="24" s="1"/>
  <c r="Q185" i="24" a="1"/>
  <c r="Q185" i="24" s="1"/>
  <c r="R185" i="24" a="1"/>
  <c r="R185" i="24" s="1"/>
  <c r="U185" i="24" a="1"/>
  <c r="U185" i="24" s="1"/>
  <c r="V185" i="24" a="1"/>
  <c r="V185" i="24" s="1"/>
  <c r="W185" i="24" a="1"/>
  <c r="W185" i="24" s="1"/>
  <c r="X185" i="24" a="1"/>
  <c r="X185" i="24" s="1"/>
  <c r="K186" i="24" a="1"/>
  <c r="K186" i="24" s="1"/>
  <c r="L186" i="24" a="1"/>
  <c r="L186" i="24" s="1"/>
  <c r="M186" i="24" a="1"/>
  <c r="M186" i="24" s="1"/>
  <c r="N186" i="24" a="1"/>
  <c r="N186" i="24" s="1"/>
  <c r="O186" i="24" a="1"/>
  <c r="O186" i="24" s="1"/>
  <c r="P186" i="24" a="1"/>
  <c r="P186" i="24" s="1"/>
  <c r="Q186" i="24" a="1"/>
  <c r="Q186" i="24" s="1"/>
  <c r="R186" i="24" a="1"/>
  <c r="R186" i="24" s="1"/>
  <c r="U186" i="24" a="1"/>
  <c r="U186" i="24" s="1"/>
  <c r="V186" i="24" a="1"/>
  <c r="V186" i="24" s="1"/>
  <c r="W186" i="24" a="1"/>
  <c r="W186" i="24" s="1"/>
  <c r="X186" i="24" a="1"/>
  <c r="X186" i="24" s="1"/>
  <c r="K187" i="24" a="1"/>
  <c r="K187" i="24" s="1"/>
  <c r="L187" i="24" a="1"/>
  <c r="L187" i="24" s="1"/>
  <c r="M187" i="24" a="1"/>
  <c r="M187" i="24" s="1"/>
  <c r="N187" i="24" a="1"/>
  <c r="N187" i="24" s="1"/>
  <c r="O187" i="24" a="1"/>
  <c r="O187" i="24" s="1"/>
  <c r="P187" i="24" a="1"/>
  <c r="P187" i="24" s="1"/>
  <c r="Q187" i="24" a="1"/>
  <c r="Q187" i="24" s="1"/>
  <c r="R187" i="24" a="1"/>
  <c r="R187" i="24" s="1"/>
  <c r="U187" i="24" a="1"/>
  <c r="U187" i="24" s="1"/>
  <c r="V187" i="24" a="1"/>
  <c r="V187" i="24" s="1"/>
  <c r="W187" i="24" a="1"/>
  <c r="W187" i="24" s="1"/>
  <c r="X187" i="24" a="1"/>
  <c r="X187" i="24" s="1"/>
  <c r="K188" i="24" a="1"/>
  <c r="K188" i="24" s="1"/>
  <c r="L188" i="24" a="1"/>
  <c r="L188" i="24" s="1"/>
  <c r="M188" i="24" a="1"/>
  <c r="M188" i="24" s="1"/>
  <c r="N188" i="24" a="1"/>
  <c r="N188" i="24" s="1"/>
  <c r="O188" i="24" a="1"/>
  <c r="O188" i="24" s="1"/>
  <c r="P188" i="24" a="1"/>
  <c r="P188" i="24" s="1"/>
  <c r="Q188" i="24" a="1"/>
  <c r="Q188" i="24" s="1"/>
  <c r="R188" i="24" a="1"/>
  <c r="R188" i="24" s="1"/>
  <c r="U188" i="24" a="1"/>
  <c r="U188" i="24" s="1"/>
  <c r="V188" i="24" a="1"/>
  <c r="V188" i="24" s="1"/>
  <c r="W188" i="24" a="1"/>
  <c r="W188" i="24" s="1"/>
  <c r="X188" i="24" a="1"/>
  <c r="X188" i="24" s="1"/>
  <c r="K189" i="24" a="1"/>
  <c r="K189" i="24" s="1"/>
  <c r="L189" i="24" a="1"/>
  <c r="L189" i="24" s="1"/>
  <c r="M189" i="24" a="1"/>
  <c r="M189" i="24" s="1"/>
  <c r="N189" i="24" a="1"/>
  <c r="N189" i="24" s="1"/>
  <c r="O189" i="24" a="1"/>
  <c r="O189" i="24" s="1"/>
  <c r="P189" i="24" a="1"/>
  <c r="P189" i="24" s="1"/>
  <c r="Q189" i="24" a="1"/>
  <c r="Q189" i="24" s="1"/>
  <c r="R189" i="24" a="1"/>
  <c r="R189" i="24" s="1"/>
  <c r="U189" i="24" a="1"/>
  <c r="U189" i="24" s="1"/>
  <c r="V189" i="24" a="1"/>
  <c r="V189" i="24" s="1"/>
  <c r="W189" i="24" a="1"/>
  <c r="W189" i="24" s="1"/>
  <c r="X189" i="24" a="1"/>
  <c r="X189" i="24" s="1"/>
  <c r="K190" i="24" a="1"/>
  <c r="K190" i="24" s="1"/>
  <c r="L190" i="24" a="1"/>
  <c r="L190" i="24" s="1"/>
  <c r="M190" i="24" a="1"/>
  <c r="M190" i="24" s="1"/>
  <c r="N190" i="24" a="1"/>
  <c r="N190" i="24" s="1"/>
  <c r="O190" i="24" a="1"/>
  <c r="O190" i="24" s="1"/>
  <c r="P190" i="24" a="1"/>
  <c r="P190" i="24" s="1"/>
  <c r="Q190" i="24" a="1"/>
  <c r="Q190" i="24" s="1"/>
  <c r="R190" i="24" a="1"/>
  <c r="R190" i="24" s="1"/>
  <c r="U190" i="24" a="1"/>
  <c r="U190" i="24" s="1"/>
  <c r="V190" i="24" a="1"/>
  <c r="V190" i="24" s="1"/>
  <c r="W190" i="24" a="1"/>
  <c r="W190" i="24" s="1"/>
  <c r="X190" i="24" a="1"/>
  <c r="X190" i="24" s="1"/>
  <c r="K191" i="24" a="1"/>
  <c r="K191" i="24" s="1"/>
  <c r="L191" i="24" a="1"/>
  <c r="L191" i="24" s="1"/>
  <c r="M191" i="24" a="1"/>
  <c r="M191" i="24" s="1"/>
  <c r="N191" i="24" a="1"/>
  <c r="N191" i="24" s="1"/>
  <c r="O191" i="24" a="1"/>
  <c r="O191" i="24" s="1"/>
  <c r="P191" i="24" a="1"/>
  <c r="P191" i="24" s="1"/>
  <c r="Q191" i="24" a="1"/>
  <c r="Q191" i="24" s="1"/>
  <c r="R191" i="24" a="1"/>
  <c r="R191" i="24" s="1"/>
  <c r="U191" i="24" a="1"/>
  <c r="U191" i="24" s="1"/>
  <c r="V191" i="24" a="1"/>
  <c r="V191" i="24" s="1"/>
  <c r="W191" i="24" a="1"/>
  <c r="W191" i="24" s="1"/>
  <c r="X191" i="24" a="1"/>
  <c r="X191" i="24" s="1"/>
  <c r="K192" i="24" a="1"/>
  <c r="K192" i="24" s="1"/>
  <c r="L192" i="24" a="1"/>
  <c r="L192" i="24" s="1"/>
  <c r="M192" i="24" a="1"/>
  <c r="M192" i="24" s="1"/>
  <c r="N192" i="24" a="1"/>
  <c r="N192" i="24" s="1"/>
  <c r="O192" i="24" a="1"/>
  <c r="O192" i="24" s="1"/>
  <c r="P192" i="24" a="1"/>
  <c r="P192" i="24" s="1"/>
  <c r="Q192" i="24" a="1"/>
  <c r="Q192" i="24" s="1"/>
  <c r="R192" i="24" a="1"/>
  <c r="R192" i="24" s="1"/>
  <c r="U192" i="24" a="1"/>
  <c r="U192" i="24" s="1"/>
  <c r="V192" i="24" a="1"/>
  <c r="V192" i="24" s="1"/>
  <c r="W192" i="24" a="1"/>
  <c r="W192" i="24" s="1"/>
  <c r="X192" i="24" a="1"/>
  <c r="X192" i="24" s="1"/>
  <c r="K193" i="24" a="1"/>
  <c r="K193" i="24" s="1"/>
  <c r="L193" i="24" a="1"/>
  <c r="L193" i="24" s="1"/>
  <c r="M193" i="24" a="1"/>
  <c r="M193" i="24" s="1"/>
  <c r="N193" i="24" a="1"/>
  <c r="N193" i="24" s="1"/>
  <c r="O193" i="24" a="1"/>
  <c r="O193" i="24" s="1"/>
  <c r="P193" i="24" a="1"/>
  <c r="P193" i="24" s="1"/>
  <c r="Q193" i="24" a="1"/>
  <c r="Q193" i="24" s="1"/>
  <c r="R193" i="24" a="1"/>
  <c r="R193" i="24" s="1"/>
  <c r="U193" i="24" a="1"/>
  <c r="U193" i="24" s="1"/>
  <c r="V193" i="24" a="1"/>
  <c r="V193" i="24" s="1"/>
  <c r="W193" i="24" a="1"/>
  <c r="W193" i="24" s="1"/>
  <c r="X193" i="24" a="1"/>
  <c r="X193" i="24" s="1"/>
  <c r="K194" i="24" a="1"/>
  <c r="K194" i="24" s="1"/>
  <c r="L194" i="24" a="1"/>
  <c r="L194" i="24" s="1"/>
  <c r="M194" i="24" a="1"/>
  <c r="M194" i="24" s="1"/>
  <c r="N194" i="24" a="1"/>
  <c r="N194" i="24" s="1"/>
  <c r="O194" i="24" a="1"/>
  <c r="O194" i="24" s="1"/>
  <c r="P194" i="24" a="1"/>
  <c r="P194" i="24" s="1"/>
  <c r="Q194" i="24" a="1"/>
  <c r="Q194" i="24" s="1"/>
  <c r="R194" i="24" a="1"/>
  <c r="R194" i="24" s="1"/>
  <c r="U194" i="24" a="1"/>
  <c r="U194" i="24" s="1"/>
  <c r="V194" i="24" a="1"/>
  <c r="V194" i="24" s="1"/>
  <c r="W194" i="24" a="1"/>
  <c r="W194" i="24" s="1"/>
  <c r="X194" i="24" a="1"/>
  <c r="X194" i="24" s="1"/>
  <c r="K195" i="24" a="1"/>
  <c r="K195" i="24" s="1"/>
  <c r="L195" i="24" a="1"/>
  <c r="L195" i="24" s="1"/>
  <c r="M195" i="24" a="1"/>
  <c r="M195" i="24" s="1"/>
  <c r="N195" i="24" a="1"/>
  <c r="N195" i="24" s="1"/>
  <c r="O195" i="24" a="1"/>
  <c r="O195" i="24" s="1"/>
  <c r="P195" i="24" a="1"/>
  <c r="P195" i="24" s="1"/>
  <c r="Q195" i="24" a="1"/>
  <c r="Q195" i="24" s="1"/>
  <c r="R195" i="24" a="1"/>
  <c r="R195" i="24" s="1"/>
  <c r="U195" i="24" a="1"/>
  <c r="U195" i="24" s="1"/>
  <c r="V195" i="24" a="1"/>
  <c r="V195" i="24" s="1"/>
  <c r="W195" i="24" a="1"/>
  <c r="W195" i="24" s="1"/>
  <c r="X195" i="24" a="1"/>
  <c r="X195" i="24" s="1"/>
  <c r="K196" i="24" a="1"/>
  <c r="K196" i="24" s="1"/>
  <c r="L196" i="24" a="1"/>
  <c r="L196" i="24" s="1"/>
  <c r="M196" i="24" a="1"/>
  <c r="M196" i="24" s="1"/>
  <c r="N196" i="24" a="1"/>
  <c r="N196" i="24" s="1"/>
  <c r="O196" i="24" a="1"/>
  <c r="O196" i="24" s="1"/>
  <c r="P196" i="24" a="1"/>
  <c r="P196" i="24" s="1"/>
  <c r="Q196" i="24" a="1"/>
  <c r="Q196" i="24" s="1"/>
  <c r="R196" i="24" a="1"/>
  <c r="R196" i="24" s="1"/>
  <c r="U196" i="24" a="1"/>
  <c r="U196" i="24" s="1"/>
  <c r="V196" i="24" a="1"/>
  <c r="V196" i="24" s="1"/>
  <c r="W196" i="24" a="1"/>
  <c r="W196" i="24" s="1"/>
  <c r="X196" i="24" a="1"/>
  <c r="X196" i="24" s="1"/>
  <c r="K197" i="24" a="1"/>
  <c r="K197" i="24" s="1"/>
  <c r="L197" i="24" a="1"/>
  <c r="L197" i="24" s="1"/>
  <c r="M197" i="24" a="1"/>
  <c r="M197" i="24" s="1"/>
  <c r="N197" i="24" a="1"/>
  <c r="N197" i="24" s="1"/>
  <c r="O197" i="24" a="1"/>
  <c r="O197" i="24" s="1"/>
  <c r="P197" i="24" a="1"/>
  <c r="P197" i="24" s="1"/>
  <c r="Q197" i="24" a="1"/>
  <c r="Q197" i="24" s="1"/>
  <c r="R197" i="24" a="1"/>
  <c r="R197" i="24" s="1"/>
  <c r="U197" i="24" a="1"/>
  <c r="U197" i="24" s="1"/>
  <c r="V197" i="24" a="1"/>
  <c r="V197" i="24" s="1"/>
  <c r="W197" i="24" a="1"/>
  <c r="W197" i="24" s="1"/>
  <c r="X197" i="24" a="1"/>
  <c r="X197" i="24" s="1"/>
  <c r="K198" i="24" a="1"/>
  <c r="K198" i="24" s="1"/>
  <c r="L198" i="24" a="1"/>
  <c r="L198" i="24" s="1"/>
  <c r="M198" i="24" a="1"/>
  <c r="M198" i="24" s="1"/>
  <c r="N198" i="24" a="1"/>
  <c r="N198" i="24" s="1"/>
  <c r="O198" i="24" a="1"/>
  <c r="O198" i="24" s="1"/>
  <c r="P198" i="24" a="1"/>
  <c r="P198" i="24" s="1"/>
  <c r="Q198" i="24" a="1"/>
  <c r="Q198" i="24" s="1"/>
  <c r="R198" i="24" a="1"/>
  <c r="R198" i="24" s="1"/>
  <c r="U198" i="24" a="1"/>
  <c r="U198" i="24" s="1"/>
  <c r="V198" i="24" a="1"/>
  <c r="V198" i="24" s="1"/>
  <c r="W198" i="24" a="1"/>
  <c r="W198" i="24" s="1"/>
  <c r="X198" i="24" a="1"/>
  <c r="X198" i="24" s="1"/>
  <c r="K199" i="24" a="1"/>
  <c r="K199" i="24" s="1"/>
  <c r="L199" i="24" a="1"/>
  <c r="L199" i="24" s="1"/>
  <c r="M199" i="24" a="1"/>
  <c r="M199" i="24" s="1"/>
  <c r="N199" i="24" a="1"/>
  <c r="N199" i="24" s="1"/>
  <c r="O199" i="24" a="1"/>
  <c r="O199" i="24" s="1"/>
  <c r="P199" i="24" a="1"/>
  <c r="P199" i="24" s="1"/>
  <c r="Q199" i="24" a="1"/>
  <c r="Q199" i="24" s="1"/>
  <c r="R199" i="24" a="1"/>
  <c r="R199" i="24" s="1"/>
  <c r="U199" i="24" a="1"/>
  <c r="U199" i="24" s="1"/>
  <c r="V199" i="24" a="1"/>
  <c r="V199" i="24" s="1"/>
  <c r="W199" i="24" a="1"/>
  <c r="W199" i="24" s="1"/>
  <c r="X199" i="24" a="1"/>
  <c r="X199" i="24" s="1"/>
  <c r="K200" i="24" a="1"/>
  <c r="K200" i="24" s="1"/>
  <c r="L200" i="24" a="1"/>
  <c r="L200" i="24" s="1"/>
  <c r="M200" i="24" a="1"/>
  <c r="M200" i="24" s="1"/>
  <c r="N200" i="24" a="1"/>
  <c r="N200" i="24" s="1"/>
  <c r="O200" i="24" a="1"/>
  <c r="O200" i="24" s="1"/>
  <c r="P200" i="24" a="1"/>
  <c r="P200" i="24" s="1"/>
  <c r="Q200" i="24" a="1"/>
  <c r="Q200" i="24" s="1"/>
  <c r="R200" i="24" a="1"/>
  <c r="R200" i="24" s="1"/>
  <c r="U200" i="24" a="1"/>
  <c r="U200" i="24" s="1"/>
  <c r="V200" i="24" a="1"/>
  <c r="V200" i="24" s="1"/>
  <c r="W200" i="24" a="1"/>
  <c r="W200" i="24" s="1"/>
  <c r="X200" i="24" a="1"/>
  <c r="X200" i="24" s="1"/>
  <c r="K201" i="24" a="1"/>
  <c r="K201" i="24" s="1"/>
  <c r="L201" i="24" a="1"/>
  <c r="L201" i="24" s="1"/>
  <c r="M201" i="24" a="1"/>
  <c r="M201" i="24" s="1"/>
  <c r="N201" i="24" a="1"/>
  <c r="N201" i="24" s="1"/>
  <c r="O201" i="24" a="1"/>
  <c r="O201" i="24" s="1"/>
  <c r="P201" i="24" a="1"/>
  <c r="P201" i="24" s="1"/>
  <c r="Q201" i="24" a="1"/>
  <c r="Q201" i="24" s="1"/>
  <c r="R201" i="24" a="1"/>
  <c r="R201" i="24" s="1"/>
  <c r="U201" i="24" a="1"/>
  <c r="U201" i="24" s="1"/>
  <c r="V201" i="24" a="1"/>
  <c r="V201" i="24" s="1"/>
  <c r="W201" i="24" a="1"/>
  <c r="W201" i="24" s="1"/>
  <c r="X201" i="24" a="1"/>
  <c r="X201" i="24" s="1"/>
  <c r="K202" i="24" a="1"/>
  <c r="K202" i="24" s="1"/>
  <c r="L202" i="24" a="1"/>
  <c r="L202" i="24" s="1"/>
  <c r="M202" i="24" a="1"/>
  <c r="M202" i="24" s="1"/>
  <c r="N202" i="24" a="1"/>
  <c r="N202" i="24" s="1"/>
  <c r="O202" i="24" a="1"/>
  <c r="O202" i="24" s="1"/>
  <c r="P202" i="24" a="1"/>
  <c r="P202" i="24" s="1"/>
  <c r="Q202" i="24" a="1"/>
  <c r="Q202" i="24" s="1"/>
  <c r="R202" i="24" a="1"/>
  <c r="R202" i="24" s="1"/>
  <c r="U202" i="24" a="1"/>
  <c r="U202" i="24" s="1"/>
  <c r="V202" i="24" a="1"/>
  <c r="V202" i="24" s="1"/>
  <c r="W202" i="24" a="1"/>
  <c r="W202" i="24" s="1"/>
  <c r="X202" i="24" a="1"/>
  <c r="X202" i="24" s="1"/>
  <c r="K203" i="24" a="1"/>
  <c r="K203" i="24" s="1"/>
  <c r="L203" i="24" a="1"/>
  <c r="L203" i="24" s="1"/>
  <c r="M203" i="24" a="1"/>
  <c r="M203" i="24" s="1"/>
  <c r="N203" i="24" a="1"/>
  <c r="N203" i="24" s="1"/>
  <c r="O203" i="24" a="1"/>
  <c r="O203" i="24" s="1"/>
  <c r="P203" i="24" a="1"/>
  <c r="P203" i="24" s="1"/>
  <c r="Q203" i="24" a="1"/>
  <c r="Q203" i="24" s="1"/>
  <c r="R203" i="24" a="1"/>
  <c r="R203" i="24" s="1"/>
  <c r="U203" i="24" a="1"/>
  <c r="U203" i="24" s="1"/>
  <c r="V203" i="24" a="1"/>
  <c r="V203" i="24" s="1"/>
  <c r="W203" i="24" a="1"/>
  <c r="W203" i="24" s="1"/>
  <c r="X203" i="24" a="1"/>
  <c r="X203" i="24" s="1"/>
  <c r="K204" i="24" a="1"/>
  <c r="K204" i="24" s="1"/>
  <c r="L204" i="24" a="1"/>
  <c r="L204" i="24" s="1"/>
  <c r="M204" i="24" a="1"/>
  <c r="M204" i="24" s="1"/>
  <c r="N204" i="24" a="1"/>
  <c r="N204" i="24" s="1"/>
  <c r="O204" i="24" a="1"/>
  <c r="O204" i="24" s="1"/>
  <c r="P204" i="24" a="1"/>
  <c r="P204" i="24" s="1"/>
  <c r="Q204" i="24" a="1"/>
  <c r="Q204" i="24" s="1"/>
  <c r="R204" i="24" a="1"/>
  <c r="R204" i="24" s="1"/>
  <c r="U204" i="24" a="1"/>
  <c r="U204" i="24" s="1"/>
  <c r="V204" i="24" a="1"/>
  <c r="V204" i="24" s="1"/>
  <c r="W204" i="24" a="1"/>
  <c r="W204" i="24" s="1"/>
  <c r="X204" i="24" a="1"/>
  <c r="X204" i="24" s="1"/>
  <c r="K205" i="24" a="1"/>
  <c r="K205" i="24" s="1"/>
  <c r="L205" i="24" a="1"/>
  <c r="L205" i="24" s="1"/>
  <c r="M205" i="24" a="1"/>
  <c r="M205" i="24" s="1"/>
  <c r="N205" i="24" a="1"/>
  <c r="N205" i="24" s="1"/>
  <c r="O205" i="24" a="1"/>
  <c r="O205" i="24" s="1"/>
  <c r="P205" i="24" a="1"/>
  <c r="P205" i="24" s="1"/>
  <c r="Q205" i="24" a="1"/>
  <c r="Q205" i="24" s="1"/>
  <c r="R205" i="24" a="1"/>
  <c r="R205" i="24" s="1"/>
  <c r="U205" i="24" a="1"/>
  <c r="U205" i="24" s="1"/>
  <c r="V205" i="24" a="1"/>
  <c r="V205" i="24" s="1"/>
  <c r="W205" i="24" a="1"/>
  <c r="W205" i="24" s="1"/>
  <c r="X205" i="24" a="1"/>
  <c r="X205" i="24" s="1"/>
  <c r="K206" i="24" a="1"/>
  <c r="K206" i="24" s="1"/>
  <c r="L206" i="24" a="1"/>
  <c r="L206" i="24" s="1"/>
  <c r="M206" i="24" a="1"/>
  <c r="M206" i="24" s="1"/>
  <c r="N206" i="24" a="1"/>
  <c r="N206" i="24" s="1"/>
  <c r="O206" i="24" a="1"/>
  <c r="O206" i="24" s="1"/>
  <c r="P206" i="24" a="1"/>
  <c r="P206" i="24" s="1"/>
  <c r="Q206" i="24" a="1"/>
  <c r="Q206" i="24" s="1"/>
  <c r="R206" i="24" a="1"/>
  <c r="R206" i="24" s="1"/>
  <c r="U206" i="24" a="1"/>
  <c r="U206" i="24" s="1"/>
  <c r="V206" i="24" a="1"/>
  <c r="V206" i="24" s="1"/>
  <c r="W206" i="24" a="1"/>
  <c r="W206" i="24" s="1"/>
  <c r="X206" i="24" a="1"/>
  <c r="X206" i="24" s="1"/>
  <c r="K207" i="24" a="1"/>
  <c r="K207" i="24" s="1"/>
  <c r="L207" i="24" a="1"/>
  <c r="L207" i="24" s="1"/>
  <c r="M207" i="24" a="1"/>
  <c r="M207" i="24" s="1"/>
  <c r="N207" i="24" a="1"/>
  <c r="N207" i="24" s="1"/>
  <c r="O207" i="24" a="1"/>
  <c r="O207" i="24" s="1"/>
  <c r="P207" i="24" a="1"/>
  <c r="P207" i="24" s="1"/>
  <c r="Q207" i="24" a="1"/>
  <c r="Q207" i="24" s="1"/>
  <c r="R207" i="24" a="1"/>
  <c r="R207" i="24" s="1"/>
  <c r="U207" i="24" a="1"/>
  <c r="U207" i="24" s="1"/>
  <c r="V207" i="24" a="1"/>
  <c r="V207" i="24" s="1"/>
  <c r="W207" i="24" a="1"/>
  <c r="W207" i="24" s="1"/>
  <c r="X207" i="24" a="1"/>
  <c r="X207" i="24" s="1"/>
  <c r="K208" i="24" a="1"/>
  <c r="K208" i="24" s="1"/>
  <c r="L208" i="24" a="1"/>
  <c r="L208" i="24" s="1"/>
  <c r="M208" i="24" a="1"/>
  <c r="M208" i="24" s="1"/>
  <c r="N208" i="24" a="1"/>
  <c r="N208" i="24" s="1"/>
  <c r="O208" i="24" a="1"/>
  <c r="O208" i="24" s="1"/>
  <c r="P208" i="24" a="1"/>
  <c r="P208" i="24" s="1"/>
  <c r="Q208" i="24" a="1"/>
  <c r="Q208" i="24" s="1"/>
  <c r="R208" i="24" a="1"/>
  <c r="R208" i="24" s="1"/>
  <c r="U208" i="24" a="1"/>
  <c r="U208" i="24" s="1"/>
  <c r="V208" i="24" a="1"/>
  <c r="V208" i="24" s="1"/>
  <c r="W208" i="24" a="1"/>
  <c r="W208" i="24" s="1"/>
  <c r="X208" i="24" a="1"/>
  <c r="X208" i="24" s="1"/>
  <c r="K209" i="24" a="1"/>
  <c r="K209" i="24" s="1"/>
  <c r="L209" i="24" a="1"/>
  <c r="L209" i="24" s="1"/>
  <c r="M209" i="24" a="1"/>
  <c r="M209" i="24" s="1"/>
  <c r="N209" i="24" a="1"/>
  <c r="N209" i="24" s="1"/>
  <c r="O209" i="24" a="1"/>
  <c r="O209" i="24" s="1"/>
  <c r="P209" i="24" a="1"/>
  <c r="P209" i="24" s="1"/>
  <c r="Q209" i="24" a="1"/>
  <c r="Q209" i="24" s="1"/>
  <c r="R209" i="24" a="1"/>
  <c r="R209" i="24" s="1"/>
  <c r="U209" i="24" a="1"/>
  <c r="U209" i="24" s="1"/>
  <c r="V209" i="24" a="1"/>
  <c r="V209" i="24" s="1"/>
  <c r="W209" i="24" a="1"/>
  <c r="W209" i="24" s="1"/>
  <c r="X209" i="24" a="1"/>
  <c r="X209" i="24" s="1"/>
  <c r="K210" i="24" a="1"/>
  <c r="K210" i="24" s="1"/>
  <c r="L210" i="24" a="1"/>
  <c r="L210" i="24" s="1"/>
  <c r="M210" i="24" a="1"/>
  <c r="M210" i="24" s="1"/>
  <c r="N210" i="24" a="1"/>
  <c r="N210" i="24" s="1"/>
  <c r="O210" i="24" a="1"/>
  <c r="O210" i="24" s="1"/>
  <c r="P210" i="24" a="1"/>
  <c r="P210" i="24" s="1"/>
  <c r="Q210" i="24" a="1"/>
  <c r="Q210" i="24" s="1"/>
  <c r="R210" i="24" a="1"/>
  <c r="R210" i="24" s="1"/>
  <c r="U210" i="24" a="1"/>
  <c r="U210" i="24" s="1"/>
  <c r="V210" i="24" a="1"/>
  <c r="V210" i="24" s="1"/>
  <c r="W210" i="24" a="1"/>
  <c r="W210" i="24" s="1"/>
  <c r="X210" i="24" a="1"/>
  <c r="X210" i="24" s="1"/>
  <c r="K211" i="24" a="1"/>
  <c r="K211" i="24" s="1"/>
  <c r="L211" i="24" a="1"/>
  <c r="L211" i="24" s="1"/>
  <c r="M211" i="24" a="1"/>
  <c r="M211" i="24" s="1"/>
  <c r="N211" i="24" a="1"/>
  <c r="N211" i="24" s="1"/>
  <c r="O211" i="24" a="1"/>
  <c r="O211" i="24" s="1"/>
  <c r="P211" i="24" a="1"/>
  <c r="P211" i="24" s="1"/>
  <c r="Q211" i="24" a="1"/>
  <c r="Q211" i="24" s="1"/>
  <c r="R211" i="24" a="1"/>
  <c r="R211" i="24" s="1"/>
  <c r="U211" i="24" a="1"/>
  <c r="U211" i="24" s="1"/>
  <c r="V211" i="24" a="1"/>
  <c r="V211" i="24" s="1"/>
  <c r="W211" i="24" a="1"/>
  <c r="W211" i="24" s="1"/>
  <c r="X211" i="24" a="1"/>
  <c r="X211" i="24" s="1"/>
  <c r="K212" i="24" a="1"/>
  <c r="K212" i="24" s="1"/>
  <c r="L212" i="24" a="1"/>
  <c r="L212" i="24" s="1"/>
  <c r="M212" i="24" a="1"/>
  <c r="M212" i="24" s="1"/>
  <c r="N212" i="24" a="1"/>
  <c r="N212" i="24" s="1"/>
  <c r="O212" i="24" a="1"/>
  <c r="O212" i="24" s="1"/>
  <c r="P212" i="24" a="1"/>
  <c r="P212" i="24" s="1"/>
  <c r="Q212" i="24" a="1"/>
  <c r="Q212" i="24" s="1"/>
  <c r="R212" i="24" a="1"/>
  <c r="R212" i="24" s="1"/>
  <c r="U212" i="24" a="1"/>
  <c r="U212" i="24" s="1"/>
  <c r="V212" i="24" a="1"/>
  <c r="V212" i="24" s="1"/>
  <c r="W212" i="24" a="1"/>
  <c r="W212" i="24" s="1"/>
  <c r="X212" i="24" a="1"/>
  <c r="X212" i="24" s="1"/>
  <c r="K213" i="24" a="1"/>
  <c r="K213" i="24" s="1"/>
  <c r="L213" i="24" a="1"/>
  <c r="L213" i="24" s="1"/>
  <c r="M213" i="24" a="1"/>
  <c r="M213" i="24" s="1"/>
  <c r="N213" i="24" a="1"/>
  <c r="N213" i="24" s="1"/>
  <c r="O213" i="24" a="1"/>
  <c r="O213" i="24" s="1"/>
  <c r="P213" i="24" a="1"/>
  <c r="P213" i="24" s="1"/>
  <c r="Q213" i="24" a="1"/>
  <c r="Q213" i="24" s="1"/>
  <c r="R213" i="24" a="1"/>
  <c r="R213" i="24" s="1"/>
  <c r="U213" i="24" a="1"/>
  <c r="U213" i="24" s="1"/>
  <c r="V213" i="24" a="1"/>
  <c r="V213" i="24" s="1"/>
  <c r="W213" i="24" a="1"/>
  <c r="W213" i="24" s="1"/>
  <c r="X213" i="24" a="1"/>
  <c r="X213" i="24" s="1"/>
  <c r="K214" i="24" a="1"/>
  <c r="K214" i="24" s="1"/>
  <c r="L214" i="24" a="1"/>
  <c r="L214" i="24" s="1"/>
  <c r="M214" i="24" a="1"/>
  <c r="M214" i="24" s="1"/>
  <c r="N214" i="24" a="1"/>
  <c r="N214" i="24" s="1"/>
  <c r="O214" i="24" a="1"/>
  <c r="O214" i="24" s="1"/>
  <c r="P214" i="24" a="1"/>
  <c r="P214" i="24" s="1"/>
  <c r="Q214" i="24" a="1"/>
  <c r="Q214" i="24" s="1"/>
  <c r="R214" i="24" a="1"/>
  <c r="R214" i="24" s="1"/>
  <c r="U214" i="24" a="1"/>
  <c r="U214" i="24" s="1"/>
  <c r="V214" i="24" a="1"/>
  <c r="V214" i="24" s="1"/>
  <c r="W214" i="24" a="1"/>
  <c r="W214" i="24" s="1"/>
  <c r="X214" i="24" a="1"/>
  <c r="X214" i="24" s="1"/>
  <c r="K215" i="24" a="1"/>
  <c r="K215" i="24" s="1"/>
  <c r="L215" i="24" a="1"/>
  <c r="L215" i="24" s="1"/>
  <c r="M215" i="24" a="1"/>
  <c r="M215" i="24" s="1"/>
  <c r="N215" i="24" a="1"/>
  <c r="N215" i="24" s="1"/>
  <c r="O215" i="24" a="1"/>
  <c r="O215" i="24" s="1"/>
  <c r="P215" i="24" a="1"/>
  <c r="P215" i="24" s="1"/>
  <c r="Q215" i="24" a="1"/>
  <c r="Q215" i="24" s="1"/>
  <c r="R215" i="24" a="1"/>
  <c r="R215" i="24" s="1"/>
  <c r="U215" i="24" a="1"/>
  <c r="U215" i="24" s="1"/>
  <c r="V215" i="24" a="1"/>
  <c r="V215" i="24" s="1"/>
  <c r="W215" i="24" a="1"/>
  <c r="W215" i="24" s="1"/>
  <c r="X215" i="24" a="1"/>
  <c r="X215" i="24" s="1"/>
  <c r="K216" i="24" a="1"/>
  <c r="K216" i="24" s="1"/>
  <c r="L216" i="24" a="1"/>
  <c r="L216" i="24" s="1"/>
  <c r="M216" i="24" a="1"/>
  <c r="M216" i="24" s="1"/>
  <c r="N216" i="24" a="1"/>
  <c r="N216" i="24" s="1"/>
  <c r="O216" i="24" a="1"/>
  <c r="O216" i="24" s="1"/>
  <c r="P216" i="24" a="1"/>
  <c r="P216" i="24" s="1"/>
  <c r="Q216" i="24" a="1"/>
  <c r="Q216" i="24" s="1"/>
  <c r="R216" i="24" a="1"/>
  <c r="R216" i="24" s="1"/>
  <c r="U216" i="24" a="1"/>
  <c r="U216" i="24" s="1"/>
  <c r="V216" i="24" a="1"/>
  <c r="V216" i="24" s="1"/>
  <c r="W216" i="24" a="1"/>
  <c r="W216" i="24" s="1"/>
  <c r="X216" i="24" a="1"/>
  <c r="X216" i="24" s="1"/>
  <c r="K217" i="24" a="1"/>
  <c r="K217" i="24" s="1"/>
  <c r="L217" i="24" a="1"/>
  <c r="L217" i="24" s="1"/>
  <c r="M217" i="24" a="1"/>
  <c r="M217" i="24" s="1"/>
  <c r="N217" i="24" a="1"/>
  <c r="N217" i="24" s="1"/>
  <c r="O217" i="24" a="1"/>
  <c r="O217" i="24" s="1"/>
  <c r="P217" i="24" a="1"/>
  <c r="P217" i="24" s="1"/>
  <c r="Q217" i="24" a="1"/>
  <c r="Q217" i="24" s="1"/>
  <c r="R217" i="24" a="1"/>
  <c r="R217" i="24" s="1"/>
  <c r="U217" i="24" a="1"/>
  <c r="U217" i="24" s="1"/>
  <c r="V217" i="24" a="1"/>
  <c r="V217" i="24" s="1"/>
  <c r="W217" i="24" a="1"/>
  <c r="W217" i="24" s="1"/>
  <c r="X217" i="24" a="1"/>
  <c r="X217" i="24" s="1"/>
  <c r="K218" i="24" a="1"/>
  <c r="K218" i="24" s="1"/>
  <c r="L218" i="24" a="1"/>
  <c r="L218" i="24" s="1"/>
  <c r="M218" i="24" a="1"/>
  <c r="M218" i="24" s="1"/>
  <c r="N218" i="24" a="1"/>
  <c r="N218" i="24" s="1"/>
  <c r="O218" i="24" a="1"/>
  <c r="O218" i="24" s="1"/>
  <c r="P218" i="24" a="1"/>
  <c r="P218" i="24" s="1"/>
  <c r="Q218" i="24" a="1"/>
  <c r="Q218" i="24" s="1"/>
  <c r="R218" i="24" a="1"/>
  <c r="R218" i="24" s="1"/>
  <c r="U218" i="24" a="1"/>
  <c r="U218" i="24" s="1"/>
  <c r="V218" i="24" a="1"/>
  <c r="V218" i="24" s="1"/>
  <c r="W218" i="24" a="1"/>
  <c r="W218" i="24" s="1"/>
  <c r="X218" i="24" a="1"/>
  <c r="X218" i="24" s="1"/>
  <c r="K219" i="24" a="1"/>
  <c r="K219" i="24" s="1"/>
  <c r="L219" i="24" a="1"/>
  <c r="L219" i="24" s="1"/>
  <c r="M219" i="24" a="1"/>
  <c r="M219" i="24" s="1"/>
  <c r="N219" i="24" a="1"/>
  <c r="N219" i="24" s="1"/>
  <c r="O219" i="24" a="1"/>
  <c r="O219" i="24" s="1"/>
  <c r="P219" i="24" a="1"/>
  <c r="P219" i="24" s="1"/>
  <c r="Q219" i="24" a="1"/>
  <c r="Q219" i="24" s="1"/>
  <c r="R219" i="24" a="1"/>
  <c r="R219" i="24" s="1"/>
  <c r="U219" i="24" a="1"/>
  <c r="U219" i="24" s="1"/>
  <c r="V219" i="24" a="1"/>
  <c r="V219" i="24" s="1"/>
  <c r="W219" i="24" a="1"/>
  <c r="W219" i="24" s="1"/>
  <c r="X219" i="24" a="1"/>
  <c r="X219" i="24" s="1"/>
  <c r="K220" i="24" a="1"/>
  <c r="K220" i="24" s="1"/>
  <c r="L220" i="24" a="1"/>
  <c r="L220" i="24" s="1"/>
  <c r="M220" i="24" a="1"/>
  <c r="M220" i="24" s="1"/>
  <c r="N220" i="24" a="1"/>
  <c r="N220" i="24" s="1"/>
  <c r="O220" i="24" a="1"/>
  <c r="O220" i="24" s="1"/>
  <c r="P220" i="24" a="1"/>
  <c r="P220" i="24" s="1"/>
  <c r="Q220" i="24" a="1"/>
  <c r="Q220" i="24" s="1"/>
  <c r="R220" i="24" a="1"/>
  <c r="R220" i="24" s="1"/>
  <c r="U220" i="24" a="1"/>
  <c r="U220" i="24" s="1"/>
  <c r="V220" i="24" a="1"/>
  <c r="V220" i="24" s="1"/>
  <c r="W220" i="24" a="1"/>
  <c r="W220" i="24" s="1"/>
  <c r="X220" i="24" a="1"/>
  <c r="X220" i="24" s="1"/>
  <c r="K221" i="24" a="1"/>
  <c r="K221" i="24" s="1"/>
  <c r="L221" i="24" a="1"/>
  <c r="L221" i="24" s="1"/>
  <c r="M221" i="24" a="1"/>
  <c r="M221" i="24" s="1"/>
  <c r="N221" i="24" a="1"/>
  <c r="N221" i="24" s="1"/>
  <c r="O221" i="24" a="1"/>
  <c r="O221" i="24" s="1"/>
  <c r="P221" i="24" a="1"/>
  <c r="P221" i="24" s="1"/>
  <c r="Q221" i="24" a="1"/>
  <c r="Q221" i="24" s="1"/>
  <c r="R221" i="24" a="1"/>
  <c r="R221" i="24" s="1"/>
  <c r="U221" i="24" a="1"/>
  <c r="U221" i="24" s="1"/>
  <c r="V221" i="24" a="1"/>
  <c r="V221" i="24" s="1"/>
  <c r="W221" i="24" a="1"/>
  <c r="W221" i="24" s="1"/>
  <c r="X221" i="24" a="1"/>
  <c r="X221" i="24" s="1"/>
  <c r="K222" i="24" a="1"/>
  <c r="K222" i="24" s="1"/>
  <c r="L222" i="24" a="1"/>
  <c r="L222" i="24" s="1"/>
  <c r="M222" i="24" a="1"/>
  <c r="M222" i="24" s="1"/>
  <c r="N222" i="24" a="1"/>
  <c r="N222" i="24" s="1"/>
  <c r="O222" i="24" a="1"/>
  <c r="O222" i="24" s="1"/>
  <c r="P222" i="24" a="1"/>
  <c r="P222" i="24" s="1"/>
  <c r="Q222" i="24" a="1"/>
  <c r="Q222" i="24" s="1"/>
  <c r="R222" i="24" a="1"/>
  <c r="R222" i="24" s="1"/>
  <c r="U222" i="24" a="1"/>
  <c r="U222" i="24" s="1"/>
  <c r="V222" i="24" a="1"/>
  <c r="V222" i="24" s="1"/>
  <c r="W222" i="24" a="1"/>
  <c r="W222" i="24" s="1"/>
  <c r="X222" i="24" a="1"/>
  <c r="X222" i="24" s="1"/>
  <c r="K223" i="24" a="1"/>
  <c r="K223" i="24" s="1"/>
  <c r="L223" i="24" a="1"/>
  <c r="L223" i="24" s="1"/>
  <c r="M223" i="24" a="1"/>
  <c r="M223" i="24" s="1"/>
  <c r="N223" i="24" a="1"/>
  <c r="N223" i="24" s="1"/>
  <c r="O223" i="24" a="1"/>
  <c r="O223" i="24" s="1"/>
  <c r="P223" i="24" a="1"/>
  <c r="P223" i="24" s="1"/>
  <c r="Q223" i="24" a="1"/>
  <c r="Q223" i="24" s="1"/>
  <c r="R223" i="24" a="1"/>
  <c r="R223" i="24" s="1"/>
  <c r="U223" i="24" a="1"/>
  <c r="U223" i="24" s="1"/>
  <c r="V223" i="24" a="1"/>
  <c r="V223" i="24" s="1"/>
  <c r="W223" i="24" a="1"/>
  <c r="W223" i="24" s="1"/>
  <c r="X223" i="24" a="1"/>
  <c r="X223" i="24" s="1"/>
  <c r="K224" i="24" a="1"/>
  <c r="K224" i="24" s="1"/>
  <c r="L224" i="24" a="1"/>
  <c r="L224" i="24" s="1"/>
  <c r="M224" i="24" a="1"/>
  <c r="M224" i="24" s="1"/>
  <c r="N224" i="24" a="1"/>
  <c r="N224" i="24" s="1"/>
  <c r="O224" i="24" a="1"/>
  <c r="O224" i="24" s="1"/>
  <c r="P224" i="24" a="1"/>
  <c r="P224" i="24" s="1"/>
  <c r="Q224" i="24" a="1"/>
  <c r="Q224" i="24" s="1"/>
  <c r="R224" i="24" a="1"/>
  <c r="R224" i="24" s="1"/>
  <c r="U224" i="24" a="1"/>
  <c r="U224" i="24" s="1"/>
  <c r="V224" i="24" a="1"/>
  <c r="V224" i="24" s="1"/>
  <c r="W224" i="24" a="1"/>
  <c r="W224" i="24" s="1"/>
  <c r="X224" i="24" a="1"/>
  <c r="X224" i="24" s="1"/>
  <c r="K225" i="24" a="1"/>
  <c r="K225" i="24" s="1"/>
  <c r="L225" i="24" a="1"/>
  <c r="L225" i="24" s="1"/>
  <c r="M225" i="24" a="1"/>
  <c r="M225" i="24" s="1"/>
  <c r="N225" i="24" a="1"/>
  <c r="N225" i="24" s="1"/>
  <c r="O225" i="24" a="1"/>
  <c r="O225" i="24" s="1"/>
  <c r="P225" i="24" a="1"/>
  <c r="P225" i="24" s="1"/>
  <c r="Q225" i="24" a="1"/>
  <c r="Q225" i="24" s="1"/>
  <c r="R225" i="24" a="1"/>
  <c r="R225" i="24" s="1"/>
  <c r="U225" i="24" a="1"/>
  <c r="U225" i="24" s="1"/>
  <c r="V225" i="24" a="1"/>
  <c r="V225" i="24" s="1"/>
  <c r="W225" i="24" a="1"/>
  <c r="W225" i="24" s="1"/>
  <c r="X225" i="24" a="1"/>
  <c r="X225" i="24" s="1"/>
  <c r="K226" i="24" a="1"/>
  <c r="K226" i="24" s="1"/>
  <c r="L226" i="24" a="1"/>
  <c r="L226" i="24" s="1"/>
  <c r="M226" i="24" a="1"/>
  <c r="M226" i="24" s="1"/>
  <c r="N226" i="24" a="1"/>
  <c r="N226" i="24" s="1"/>
  <c r="O226" i="24" a="1"/>
  <c r="O226" i="24" s="1"/>
  <c r="P226" i="24" a="1"/>
  <c r="P226" i="24" s="1"/>
  <c r="Q226" i="24" a="1"/>
  <c r="Q226" i="24" s="1"/>
  <c r="R226" i="24" a="1"/>
  <c r="R226" i="24" s="1"/>
  <c r="U226" i="24" a="1"/>
  <c r="U226" i="24" s="1"/>
  <c r="V226" i="24" a="1"/>
  <c r="V226" i="24" s="1"/>
  <c r="W226" i="24" a="1"/>
  <c r="W226" i="24" s="1"/>
  <c r="X226" i="24" a="1"/>
  <c r="X226" i="24" s="1"/>
  <c r="K227" i="24" a="1"/>
  <c r="K227" i="24" s="1"/>
  <c r="L227" i="24" a="1"/>
  <c r="L227" i="24" s="1"/>
  <c r="M227" i="24" a="1"/>
  <c r="M227" i="24" s="1"/>
  <c r="N227" i="24" a="1"/>
  <c r="N227" i="24" s="1"/>
  <c r="O227" i="24" a="1"/>
  <c r="O227" i="24" s="1"/>
  <c r="P227" i="24" a="1"/>
  <c r="P227" i="24" s="1"/>
  <c r="Q227" i="24" a="1"/>
  <c r="Q227" i="24" s="1"/>
  <c r="R227" i="24" a="1"/>
  <c r="R227" i="24" s="1"/>
  <c r="U227" i="24" a="1"/>
  <c r="U227" i="24" s="1"/>
  <c r="V227" i="24" a="1"/>
  <c r="V227" i="24" s="1"/>
  <c r="W227" i="24" a="1"/>
  <c r="W227" i="24" s="1"/>
  <c r="X227" i="24" a="1"/>
  <c r="X227" i="24" s="1"/>
  <c r="K228" i="24" a="1"/>
  <c r="K228" i="24" s="1"/>
  <c r="L228" i="24" a="1"/>
  <c r="L228" i="24" s="1"/>
  <c r="M228" i="24" a="1"/>
  <c r="M228" i="24" s="1"/>
  <c r="N228" i="24" a="1"/>
  <c r="N228" i="24" s="1"/>
  <c r="O228" i="24" a="1"/>
  <c r="O228" i="24" s="1"/>
  <c r="P228" i="24" a="1"/>
  <c r="P228" i="24" s="1"/>
  <c r="Q228" i="24" a="1"/>
  <c r="Q228" i="24" s="1"/>
  <c r="R228" i="24" a="1"/>
  <c r="R228" i="24" s="1"/>
  <c r="U228" i="24" a="1"/>
  <c r="U228" i="24" s="1"/>
  <c r="V228" i="24" a="1"/>
  <c r="V228" i="24" s="1"/>
  <c r="W228" i="24" a="1"/>
  <c r="W228" i="24" s="1"/>
  <c r="X228" i="24" a="1"/>
  <c r="X228" i="24" s="1"/>
  <c r="K229" i="24" a="1"/>
  <c r="K229" i="24" s="1"/>
  <c r="L229" i="24" a="1"/>
  <c r="L229" i="24" s="1"/>
  <c r="M229" i="24" a="1"/>
  <c r="M229" i="24" s="1"/>
  <c r="N229" i="24" a="1"/>
  <c r="N229" i="24" s="1"/>
  <c r="O229" i="24" a="1"/>
  <c r="O229" i="24" s="1"/>
  <c r="P229" i="24" a="1"/>
  <c r="P229" i="24" s="1"/>
  <c r="Q229" i="24" a="1"/>
  <c r="Q229" i="24" s="1"/>
  <c r="R229" i="24" a="1"/>
  <c r="R229" i="24" s="1"/>
  <c r="U229" i="24" a="1"/>
  <c r="U229" i="24" s="1"/>
  <c r="V229" i="24" a="1"/>
  <c r="V229" i="24" s="1"/>
  <c r="W229" i="24" a="1"/>
  <c r="W229" i="24" s="1"/>
  <c r="X229" i="24" a="1"/>
  <c r="X229" i="24" s="1"/>
  <c r="K230" i="24" a="1"/>
  <c r="K230" i="24" s="1"/>
  <c r="L230" i="24" a="1"/>
  <c r="L230" i="24" s="1"/>
  <c r="M230" i="24" a="1"/>
  <c r="M230" i="24" s="1"/>
  <c r="N230" i="24" a="1"/>
  <c r="N230" i="24" s="1"/>
  <c r="O230" i="24" a="1"/>
  <c r="O230" i="24" s="1"/>
  <c r="P230" i="24" a="1"/>
  <c r="P230" i="24" s="1"/>
  <c r="Q230" i="24" a="1"/>
  <c r="Q230" i="24" s="1"/>
  <c r="R230" i="24" a="1"/>
  <c r="R230" i="24" s="1"/>
  <c r="U230" i="24" a="1"/>
  <c r="U230" i="24" s="1"/>
  <c r="V230" i="24" a="1"/>
  <c r="V230" i="24" s="1"/>
  <c r="W230" i="24" a="1"/>
  <c r="W230" i="24" s="1"/>
  <c r="X230" i="24" a="1"/>
  <c r="X230" i="24" s="1"/>
  <c r="K231" i="24" a="1"/>
  <c r="K231" i="24" s="1"/>
  <c r="L231" i="24" a="1"/>
  <c r="L231" i="24" s="1"/>
  <c r="M231" i="24" a="1"/>
  <c r="M231" i="24" s="1"/>
  <c r="N231" i="24" a="1"/>
  <c r="N231" i="24" s="1"/>
  <c r="O231" i="24" a="1"/>
  <c r="O231" i="24" s="1"/>
  <c r="P231" i="24" a="1"/>
  <c r="P231" i="24" s="1"/>
  <c r="Q231" i="24" a="1"/>
  <c r="Q231" i="24" s="1"/>
  <c r="R231" i="24" a="1"/>
  <c r="R231" i="24" s="1"/>
  <c r="U231" i="24" a="1"/>
  <c r="U231" i="24" s="1"/>
  <c r="V231" i="24" a="1"/>
  <c r="V231" i="24" s="1"/>
  <c r="W231" i="24" a="1"/>
  <c r="W231" i="24" s="1"/>
  <c r="X231" i="24" a="1"/>
  <c r="X231" i="24" s="1"/>
  <c r="K232" i="24" a="1"/>
  <c r="K232" i="24" s="1"/>
  <c r="L232" i="24" a="1"/>
  <c r="L232" i="24" s="1"/>
  <c r="M232" i="24" a="1"/>
  <c r="M232" i="24" s="1"/>
  <c r="N232" i="24" a="1"/>
  <c r="N232" i="24" s="1"/>
  <c r="O232" i="24" a="1"/>
  <c r="O232" i="24" s="1"/>
  <c r="P232" i="24" a="1"/>
  <c r="P232" i="24" s="1"/>
  <c r="Q232" i="24" a="1"/>
  <c r="Q232" i="24" s="1"/>
  <c r="R232" i="24" a="1"/>
  <c r="R232" i="24" s="1"/>
  <c r="U232" i="24" a="1"/>
  <c r="U232" i="24" s="1"/>
  <c r="V232" i="24" a="1"/>
  <c r="V232" i="24" s="1"/>
  <c r="W232" i="24" a="1"/>
  <c r="W232" i="24" s="1"/>
  <c r="X232" i="24" a="1"/>
  <c r="X232" i="24" s="1"/>
  <c r="K233" i="24" a="1"/>
  <c r="K233" i="24" s="1"/>
  <c r="L233" i="24" a="1"/>
  <c r="L233" i="24" s="1"/>
  <c r="M233" i="24" a="1"/>
  <c r="M233" i="24" s="1"/>
  <c r="N233" i="24" a="1"/>
  <c r="N233" i="24" s="1"/>
  <c r="O233" i="24" a="1"/>
  <c r="O233" i="24" s="1"/>
  <c r="P233" i="24" a="1"/>
  <c r="P233" i="24" s="1"/>
  <c r="Q233" i="24" a="1"/>
  <c r="Q233" i="24" s="1"/>
  <c r="R233" i="24" a="1"/>
  <c r="R233" i="24" s="1"/>
  <c r="U233" i="24" a="1"/>
  <c r="U233" i="24" s="1"/>
  <c r="V233" i="24" a="1"/>
  <c r="V233" i="24" s="1"/>
  <c r="W233" i="24" a="1"/>
  <c r="W233" i="24" s="1"/>
  <c r="X233" i="24" a="1"/>
  <c r="X233" i="24" s="1"/>
  <c r="K234" i="24" a="1"/>
  <c r="K234" i="24" s="1"/>
  <c r="L234" i="24" a="1"/>
  <c r="L234" i="24" s="1"/>
  <c r="M234" i="24" a="1"/>
  <c r="M234" i="24" s="1"/>
  <c r="N234" i="24" a="1"/>
  <c r="N234" i="24" s="1"/>
  <c r="O234" i="24" a="1"/>
  <c r="O234" i="24" s="1"/>
  <c r="P234" i="24" a="1"/>
  <c r="P234" i="24" s="1"/>
  <c r="Q234" i="24" a="1"/>
  <c r="Q234" i="24" s="1"/>
  <c r="R234" i="24" a="1"/>
  <c r="R234" i="24" s="1"/>
  <c r="U234" i="24" a="1"/>
  <c r="U234" i="24" s="1"/>
  <c r="V234" i="24" a="1"/>
  <c r="V234" i="24" s="1"/>
  <c r="W234" i="24" a="1"/>
  <c r="W234" i="24" s="1"/>
  <c r="X234" i="24" a="1"/>
  <c r="X234" i="24" s="1"/>
  <c r="K235" i="24" a="1"/>
  <c r="K235" i="24" s="1"/>
  <c r="L235" i="24" a="1"/>
  <c r="L235" i="24" s="1"/>
  <c r="M235" i="24" a="1"/>
  <c r="M235" i="24" s="1"/>
  <c r="N235" i="24" a="1"/>
  <c r="N235" i="24" s="1"/>
  <c r="O235" i="24" a="1"/>
  <c r="O235" i="24" s="1"/>
  <c r="P235" i="24" a="1"/>
  <c r="P235" i="24" s="1"/>
  <c r="Q235" i="24" a="1"/>
  <c r="Q235" i="24" s="1"/>
  <c r="R235" i="24" a="1"/>
  <c r="R235" i="24" s="1"/>
  <c r="U235" i="24" a="1"/>
  <c r="U235" i="24" s="1"/>
  <c r="V235" i="24" a="1"/>
  <c r="V235" i="24" s="1"/>
  <c r="W235" i="24" a="1"/>
  <c r="W235" i="24" s="1"/>
  <c r="X235" i="24" a="1"/>
  <c r="X235" i="24" s="1"/>
  <c r="K236" i="24" a="1"/>
  <c r="K236" i="24" s="1"/>
  <c r="L236" i="24" a="1"/>
  <c r="L236" i="24" s="1"/>
  <c r="M236" i="24" a="1"/>
  <c r="M236" i="24" s="1"/>
  <c r="N236" i="24" a="1"/>
  <c r="N236" i="24" s="1"/>
  <c r="O236" i="24" a="1"/>
  <c r="O236" i="24" s="1"/>
  <c r="P236" i="24" a="1"/>
  <c r="P236" i="24" s="1"/>
  <c r="Q236" i="24" a="1"/>
  <c r="Q236" i="24" s="1"/>
  <c r="R236" i="24" a="1"/>
  <c r="R236" i="24" s="1"/>
  <c r="U236" i="24" a="1"/>
  <c r="U236" i="24" s="1"/>
  <c r="V236" i="24" a="1"/>
  <c r="V236" i="24" s="1"/>
  <c r="W236" i="24" a="1"/>
  <c r="W236" i="24" s="1"/>
  <c r="X236" i="24" a="1"/>
  <c r="X236" i="24" s="1"/>
  <c r="K237" i="24" a="1"/>
  <c r="K237" i="24" s="1"/>
  <c r="L237" i="24" a="1"/>
  <c r="L237" i="24" s="1"/>
  <c r="M237" i="24" a="1"/>
  <c r="M237" i="24" s="1"/>
  <c r="N237" i="24" a="1"/>
  <c r="N237" i="24" s="1"/>
  <c r="O237" i="24" a="1"/>
  <c r="O237" i="24" s="1"/>
  <c r="P237" i="24" a="1"/>
  <c r="P237" i="24" s="1"/>
  <c r="Q237" i="24" a="1"/>
  <c r="Q237" i="24" s="1"/>
  <c r="R237" i="24" a="1"/>
  <c r="R237" i="24" s="1"/>
  <c r="U237" i="24" a="1"/>
  <c r="U237" i="24" s="1"/>
  <c r="V237" i="24" a="1"/>
  <c r="V237" i="24" s="1"/>
  <c r="W237" i="24" a="1"/>
  <c r="W237" i="24" s="1"/>
  <c r="X237" i="24" a="1"/>
  <c r="X237" i="24" s="1"/>
  <c r="K238" i="24" a="1"/>
  <c r="K238" i="24" s="1"/>
  <c r="L238" i="24" a="1"/>
  <c r="L238" i="24" s="1"/>
  <c r="M238" i="24" a="1"/>
  <c r="M238" i="24" s="1"/>
  <c r="N238" i="24" a="1"/>
  <c r="N238" i="24" s="1"/>
  <c r="O238" i="24" a="1"/>
  <c r="O238" i="24" s="1"/>
  <c r="P238" i="24" a="1"/>
  <c r="P238" i="24" s="1"/>
  <c r="Q238" i="24" a="1"/>
  <c r="Q238" i="24" s="1"/>
  <c r="R238" i="24" a="1"/>
  <c r="R238" i="24" s="1"/>
  <c r="U238" i="24" a="1"/>
  <c r="U238" i="24" s="1"/>
  <c r="V238" i="24" a="1"/>
  <c r="V238" i="24" s="1"/>
  <c r="W238" i="24" a="1"/>
  <c r="W238" i="24" s="1"/>
  <c r="X238" i="24" a="1"/>
  <c r="X238" i="24" s="1"/>
  <c r="K239" i="24" a="1"/>
  <c r="K239" i="24" s="1"/>
  <c r="L239" i="24" a="1"/>
  <c r="L239" i="24" s="1"/>
  <c r="M239" i="24" a="1"/>
  <c r="M239" i="24" s="1"/>
  <c r="N239" i="24" a="1"/>
  <c r="N239" i="24" s="1"/>
  <c r="O239" i="24" a="1"/>
  <c r="O239" i="24" s="1"/>
  <c r="P239" i="24" a="1"/>
  <c r="P239" i="24" s="1"/>
  <c r="Q239" i="24" a="1"/>
  <c r="Q239" i="24" s="1"/>
  <c r="R239" i="24" a="1"/>
  <c r="R239" i="24" s="1"/>
  <c r="U239" i="24" a="1"/>
  <c r="U239" i="24" s="1"/>
  <c r="V239" i="24" a="1"/>
  <c r="V239" i="24" s="1"/>
  <c r="W239" i="24" a="1"/>
  <c r="W239" i="24" s="1"/>
  <c r="X239" i="24" a="1"/>
  <c r="X239" i="24" s="1"/>
  <c r="K240" i="24" a="1"/>
  <c r="K240" i="24" s="1"/>
  <c r="L240" i="24" a="1"/>
  <c r="L240" i="24" s="1"/>
  <c r="M240" i="24" a="1"/>
  <c r="M240" i="24" s="1"/>
  <c r="N240" i="24" a="1"/>
  <c r="N240" i="24" s="1"/>
  <c r="O240" i="24" a="1"/>
  <c r="O240" i="24" s="1"/>
  <c r="P240" i="24" a="1"/>
  <c r="P240" i="24" s="1"/>
  <c r="Q240" i="24" a="1"/>
  <c r="Q240" i="24" s="1"/>
  <c r="R240" i="24" a="1"/>
  <c r="R240" i="24" s="1"/>
  <c r="U240" i="24" a="1"/>
  <c r="U240" i="24" s="1"/>
  <c r="V240" i="24" a="1"/>
  <c r="V240" i="24" s="1"/>
  <c r="W240" i="24" a="1"/>
  <c r="W240" i="24" s="1"/>
  <c r="X240" i="24" a="1"/>
  <c r="X240" i="24" s="1"/>
  <c r="K241" i="24" a="1"/>
  <c r="K241" i="24" s="1"/>
  <c r="L241" i="24" a="1"/>
  <c r="L241" i="24" s="1"/>
  <c r="M241" i="24" a="1"/>
  <c r="M241" i="24" s="1"/>
  <c r="N241" i="24" a="1"/>
  <c r="N241" i="24" s="1"/>
  <c r="O241" i="24" a="1"/>
  <c r="O241" i="24" s="1"/>
  <c r="P241" i="24" a="1"/>
  <c r="P241" i="24" s="1"/>
  <c r="Q241" i="24" a="1"/>
  <c r="Q241" i="24" s="1"/>
  <c r="R241" i="24" a="1"/>
  <c r="R241" i="24" s="1"/>
  <c r="U241" i="24" a="1"/>
  <c r="U241" i="24" s="1"/>
  <c r="V241" i="24" a="1"/>
  <c r="V241" i="24" s="1"/>
  <c r="W241" i="24" a="1"/>
  <c r="W241" i="24" s="1"/>
  <c r="X241" i="24" a="1"/>
  <c r="X241" i="24" s="1"/>
  <c r="K242" i="24" a="1"/>
  <c r="K242" i="24" s="1"/>
  <c r="L242" i="24" a="1"/>
  <c r="L242" i="24" s="1"/>
  <c r="M242" i="24" a="1"/>
  <c r="M242" i="24" s="1"/>
  <c r="N242" i="24" a="1"/>
  <c r="N242" i="24" s="1"/>
  <c r="O242" i="24" a="1"/>
  <c r="O242" i="24" s="1"/>
  <c r="P242" i="24" a="1"/>
  <c r="P242" i="24" s="1"/>
  <c r="Q242" i="24" a="1"/>
  <c r="Q242" i="24" s="1"/>
  <c r="R242" i="24" a="1"/>
  <c r="R242" i="24" s="1"/>
  <c r="U242" i="24" a="1"/>
  <c r="U242" i="24" s="1"/>
  <c r="V242" i="24" a="1"/>
  <c r="V242" i="24" s="1"/>
  <c r="W242" i="24" a="1"/>
  <c r="W242" i="24" s="1"/>
  <c r="X242" i="24" a="1"/>
  <c r="X242" i="24" s="1"/>
  <c r="K243" i="24" a="1"/>
  <c r="K243" i="24" s="1"/>
  <c r="L243" i="24" a="1"/>
  <c r="L243" i="24" s="1"/>
  <c r="M243" i="24" a="1"/>
  <c r="M243" i="24" s="1"/>
  <c r="N243" i="24" a="1"/>
  <c r="N243" i="24" s="1"/>
  <c r="O243" i="24" a="1"/>
  <c r="O243" i="24" s="1"/>
  <c r="P243" i="24" a="1"/>
  <c r="P243" i="24" s="1"/>
  <c r="Q243" i="24" a="1"/>
  <c r="Q243" i="24" s="1"/>
  <c r="R243" i="24" a="1"/>
  <c r="R243" i="24" s="1"/>
  <c r="U243" i="24" a="1"/>
  <c r="U243" i="24" s="1"/>
  <c r="V243" i="24" a="1"/>
  <c r="V243" i="24" s="1"/>
  <c r="W243" i="24" a="1"/>
  <c r="W243" i="24" s="1"/>
  <c r="X243" i="24" a="1"/>
  <c r="X243" i="24" s="1"/>
  <c r="K244" i="24" a="1"/>
  <c r="K244" i="24" s="1"/>
  <c r="L244" i="24" a="1"/>
  <c r="L244" i="24" s="1"/>
  <c r="M244" i="24" a="1"/>
  <c r="M244" i="24" s="1"/>
  <c r="N244" i="24" a="1"/>
  <c r="N244" i="24" s="1"/>
  <c r="O244" i="24" a="1"/>
  <c r="O244" i="24" s="1"/>
  <c r="P244" i="24" a="1"/>
  <c r="P244" i="24" s="1"/>
  <c r="Q244" i="24" a="1"/>
  <c r="Q244" i="24" s="1"/>
  <c r="R244" i="24" a="1"/>
  <c r="R244" i="24" s="1"/>
  <c r="U244" i="24" a="1"/>
  <c r="U244" i="24" s="1"/>
  <c r="V244" i="24" a="1"/>
  <c r="V244" i="24" s="1"/>
  <c r="W244" i="24" a="1"/>
  <c r="W244" i="24" s="1"/>
  <c r="X244" i="24" a="1"/>
  <c r="X244" i="24" s="1"/>
  <c r="K245" i="24" a="1"/>
  <c r="K245" i="24" s="1"/>
  <c r="L245" i="24" a="1"/>
  <c r="L245" i="24" s="1"/>
  <c r="M245" i="24" a="1"/>
  <c r="M245" i="24" s="1"/>
  <c r="N245" i="24" a="1"/>
  <c r="N245" i="24" s="1"/>
  <c r="O245" i="24" a="1"/>
  <c r="O245" i="24" s="1"/>
  <c r="P245" i="24" a="1"/>
  <c r="P245" i="24" s="1"/>
  <c r="Q245" i="24" a="1"/>
  <c r="Q245" i="24" s="1"/>
  <c r="R245" i="24" a="1"/>
  <c r="R245" i="24" s="1"/>
  <c r="U245" i="24" a="1"/>
  <c r="U245" i="24" s="1"/>
  <c r="V245" i="24" a="1"/>
  <c r="V245" i="24" s="1"/>
  <c r="W245" i="24" a="1"/>
  <c r="W245" i="24" s="1"/>
  <c r="X245" i="24" a="1"/>
  <c r="X245" i="24" s="1"/>
  <c r="K246" i="24" a="1"/>
  <c r="K246" i="24" s="1"/>
  <c r="L246" i="24" a="1"/>
  <c r="L246" i="24" s="1"/>
  <c r="M246" i="24" a="1"/>
  <c r="M246" i="24" s="1"/>
  <c r="N246" i="24" a="1"/>
  <c r="N246" i="24" s="1"/>
  <c r="O246" i="24" a="1"/>
  <c r="O246" i="24" s="1"/>
  <c r="P246" i="24" a="1"/>
  <c r="P246" i="24" s="1"/>
  <c r="Q246" i="24" a="1"/>
  <c r="Q246" i="24" s="1"/>
  <c r="R246" i="24" a="1"/>
  <c r="R246" i="24" s="1"/>
  <c r="U246" i="24" a="1"/>
  <c r="U246" i="24" s="1"/>
  <c r="V246" i="24" a="1"/>
  <c r="V246" i="24" s="1"/>
  <c r="W246" i="24" a="1"/>
  <c r="W246" i="24" s="1"/>
  <c r="X246" i="24" a="1"/>
  <c r="X246" i="24" s="1"/>
  <c r="K247" i="24" a="1"/>
  <c r="K247" i="24" s="1"/>
  <c r="L247" i="24" a="1"/>
  <c r="L247" i="24" s="1"/>
  <c r="M247" i="24" a="1"/>
  <c r="M247" i="24" s="1"/>
  <c r="N247" i="24" a="1"/>
  <c r="N247" i="24" s="1"/>
  <c r="O247" i="24" a="1"/>
  <c r="O247" i="24" s="1"/>
  <c r="P247" i="24" a="1"/>
  <c r="P247" i="24" s="1"/>
  <c r="Q247" i="24" a="1"/>
  <c r="Q247" i="24" s="1"/>
  <c r="R247" i="24" a="1"/>
  <c r="R247" i="24" s="1"/>
  <c r="U247" i="24" a="1"/>
  <c r="U247" i="24" s="1"/>
  <c r="V247" i="24" a="1"/>
  <c r="V247" i="24" s="1"/>
  <c r="W247" i="24" a="1"/>
  <c r="W247" i="24" s="1"/>
  <c r="X247" i="24" a="1"/>
  <c r="X247" i="24" s="1"/>
  <c r="K248" i="24" a="1"/>
  <c r="K248" i="24" s="1"/>
  <c r="L248" i="24" a="1"/>
  <c r="L248" i="24" s="1"/>
  <c r="M248" i="24" a="1"/>
  <c r="M248" i="24" s="1"/>
  <c r="N248" i="24" a="1"/>
  <c r="N248" i="24" s="1"/>
  <c r="O248" i="24" a="1"/>
  <c r="O248" i="24" s="1"/>
  <c r="P248" i="24" a="1"/>
  <c r="P248" i="24" s="1"/>
  <c r="Q248" i="24" a="1"/>
  <c r="Q248" i="24" s="1"/>
  <c r="R248" i="24" a="1"/>
  <c r="R248" i="24" s="1"/>
  <c r="U248" i="24" a="1"/>
  <c r="U248" i="24" s="1"/>
  <c r="V248" i="24" a="1"/>
  <c r="V248" i="24" s="1"/>
  <c r="W248" i="24" a="1"/>
  <c r="W248" i="24" s="1"/>
  <c r="X248" i="24" a="1"/>
  <c r="X248" i="24" s="1"/>
  <c r="K249" i="24" a="1"/>
  <c r="K249" i="24" s="1"/>
  <c r="L249" i="24" a="1"/>
  <c r="L249" i="24" s="1"/>
  <c r="M249" i="24" a="1"/>
  <c r="M249" i="24" s="1"/>
  <c r="N249" i="24" a="1"/>
  <c r="N249" i="24" s="1"/>
  <c r="O249" i="24" a="1"/>
  <c r="O249" i="24" s="1"/>
  <c r="P249" i="24" a="1"/>
  <c r="P249" i="24" s="1"/>
  <c r="Q249" i="24" a="1"/>
  <c r="Q249" i="24" s="1"/>
  <c r="R249" i="24" a="1"/>
  <c r="R249" i="24" s="1"/>
  <c r="U249" i="24" a="1"/>
  <c r="U249" i="24" s="1"/>
  <c r="V249" i="24" a="1"/>
  <c r="V249" i="24" s="1"/>
  <c r="W249" i="24" a="1"/>
  <c r="W249" i="24" s="1"/>
  <c r="X249" i="24" a="1"/>
  <c r="X249" i="24" s="1"/>
  <c r="K250" i="24" a="1"/>
  <c r="K250" i="24" s="1"/>
  <c r="L250" i="24" a="1"/>
  <c r="L250" i="24" s="1"/>
  <c r="M250" i="24" a="1"/>
  <c r="M250" i="24" s="1"/>
  <c r="N250" i="24" a="1"/>
  <c r="N250" i="24" s="1"/>
  <c r="O250" i="24" a="1"/>
  <c r="O250" i="24" s="1"/>
  <c r="P250" i="24" a="1"/>
  <c r="P250" i="24" s="1"/>
  <c r="Q250" i="24" a="1"/>
  <c r="Q250" i="24" s="1"/>
  <c r="R250" i="24" a="1"/>
  <c r="R250" i="24" s="1"/>
  <c r="U250" i="24" a="1"/>
  <c r="U250" i="24" s="1"/>
  <c r="V250" i="24" a="1"/>
  <c r="V250" i="24" s="1"/>
  <c r="W250" i="24" a="1"/>
  <c r="W250" i="24" s="1"/>
  <c r="X250" i="24" a="1"/>
  <c r="X250" i="24" s="1"/>
  <c r="K251" i="24" a="1"/>
  <c r="K251" i="24" s="1"/>
  <c r="L251" i="24" a="1"/>
  <c r="L251" i="24" s="1"/>
  <c r="M251" i="24" a="1"/>
  <c r="M251" i="24" s="1"/>
  <c r="N251" i="24" a="1"/>
  <c r="N251" i="24" s="1"/>
  <c r="O251" i="24" a="1"/>
  <c r="O251" i="24" s="1"/>
  <c r="P251" i="24" a="1"/>
  <c r="P251" i="24" s="1"/>
  <c r="Q251" i="24" a="1"/>
  <c r="Q251" i="24" s="1"/>
  <c r="R251" i="24" a="1"/>
  <c r="R251" i="24" s="1"/>
  <c r="U251" i="24" a="1"/>
  <c r="U251" i="24" s="1"/>
  <c r="V251" i="24" a="1"/>
  <c r="V251" i="24" s="1"/>
  <c r="W251" i="24" a="1"/>
  <c r="W251" i="24" s="1"/>
  <c r="X251" i="24" a="1"/>
  <c r="X251" i="24" s="1"/>
  <c r="K252" i="24" a="1"/>
  <c r="K252" i="24" s="1"/>
  <c r="L252" i="24" a="1"/>
  <c r="L252" i="24" s="1"/>
  <c r="M252" i="24" a="1"/>
  <c r="M252" i="24" s="1"/>
  <c r="N252" i="24" a="1"/>
  <c r="N252" i="24" s="1"/>
  <c r="O252" i="24" a="1"/>
  <c r="O252" i="24" s="1"/>
  <c r="P252" i="24" a="1"/>
  <c r="P252" i="24" s="1"/>
  <c r="Q252" i="24" a="1"/>
  <c r="Q252" i="24" s="1"/>
  <c r="R252" i="24" a="1"/>
  <c r="R252" i="24" s="1"/>
  <c r="U252" i="24" a="1"/>
  <c r="U252" i="24" s="1"/>
  <c r="V252" i="24" a="1"/>
  <c r="V252" i="24" s="1"/>
  <c r="W252" i="24" a="1"/>
  <c r="W252" i="24" s="1"/>
  <c r="X252" i="24" a="1"/>
  <c r="X252" i="24" s="1"/>
  <c r="K253" i="24" a="1"/>
  <c r="K253" i="24" s="1"/>
  <c r="L253" i="24" a="1"/>
  <c r="L253" i="24" s="1"/>
  <c r="M253" i="24" a="1"/>
  <c r="M253" i="24" s="1"/>
  <c r="N253" i="24" a="1"/>
  <c r="N253" i="24" s="1"/>
  <c r="O253" i="24" a="1"/>
  <c r="O253" i="24" s="1"/>
  <c r="P253" i="24" a="1"/>
  <c r="P253" i="24" s="1"/>
  <c r="Q253" i="24" a="1"/>
  <c r="Q253" i="24" s="1"/>
  <c r="R253" i="24" a="1"/>
  <c r="R253" i="24" s="1"/>
  <c r="U253" i="24" a="1"/>
  <c r="U253" i="24" s="1"/>
  <c r="V253" i="24" a="1"/>
  <c r="V253" i="24" s="1"/>
  <c r="W253" i="24" a="1"/>
  <c r="W253" i="24" s="1"/>
  <c r="X253" i="24" a="1"/>
  <c r="X253" i="24" s="1"/>
  <c r="K254" i="24" a="1"/>
  <c r="K254" i="24" s="1"/>
  <c r="L254" i="24" a="1"/>
  <c r="L254" i="24" s="1"/>
  <c r="M254" i="24" a="1"/>
  <c r="M254" i="24" s="1"/>
  <c r="N254" i="24" a="1"/>
  <c r="N254" i="24" s="1"/>
  <c r="O254" i="24" a="1"/>
  <c r="O254" i="24" s="1"/>
  <c r="P254" i="24" a="1"/>
  <c r="P254" i="24" s="1"/>
  <c r="Q254" i="24" a="1"/>
  <c r="Q254" i="24" s="1"/>
  <c r="R254" i="24" a="1"/>
  <c r="R254" i="24" s="1"/>
  <c r="U254" i="24" a="1"/>
  <c r="U254" i="24" s="1"/>
  <c r="V254" i="24" a="1"/>
  <c r="V254" i="24" s="1"/>
  <c r="W254" i="24" a="1"/>
  <c r="W254" i="24" s="1"/>
  <c r="X254" i="24" a="1"/>
  <c r="X254" i="24" s="1"/>
  <c r="K255" i="24" a="1"/>
  <c r="K255" i="24" s="1"/>
  <c r="L255" i="24" a="1"/>
  <c r="L255" i="24" s="1"/>
  <c r="M255" i="24" a="1"/>
  <c r="M255" i="24" s="1"/>
  <c r="N255" i="24" a="1"/>
  <c r="N255" i="24" s="1"/>
  <c r="O255" i="24" a="1"/>
  <c r="O255" i="24" s="1"/>
  <c r="P255" i="24" a="1"/>
  <c r="P255" i="24" s="1"/>
  <c r="Q255" i="24" a="1"/>
  <c r="Q255" i="24" s="1"/>
  <c r="R255" i="24" a="1"/>
  <c r="R255" i="24" s="1"/>
  <c r="U255" i="24" a="1"/>
  <c r="U255" i="24" s="1"/>
  <c r="V255" i="24" a="1"/>
  <c r="V255" i="24" s="1"/>
  <c r="W255" i="24" a="1"/>
  <c r="W255" i="24" s="1"/>
  <c r="X255" i="24" a="1"/>
  <c r="X255" i="24" s="1"/>
  <c r="K256" i="24" a="1"/>
  <c r="K256" i="24" s="1"/>
  <c r="L256" i="24" a="1"/>
  <c r="L256" i="24" s="1"/>
  <c r="M256" i="24" a="1"/>
  <c r="M256" i="24" s="1"/>
  <c r="N256" i="24" a="1"/>
  <c r="N256" i="24" s="1"/>
  <c r="O256" i="24" a="1"/>
  <c r="O256" i="24" s="1"/>
  <c r="P256" i="24" a="1"/>
  <c r="P256" i="24" s="1"/>
  <c r="Q256" i="24" a="1"/>
  <c r="Q256" i="24" s="1"/>
  <c r="R256" i="24" a="1"/>
  <c r="R256" i="24" s="1"/>
  <c r="U256" i="24" a="1"/>
  <c r="U256" i="24" s="1"/>
  <c r="V256" i="24" a="1"/>
  <c r="V256" i="24" s="1"/>
  <c r="W256" i="24" a="1"/>
  <c r="W256" i="24" s="1"/>
  <c r="X256" i="24" a="1"/>
  <c r="X256" i="24" s="1"/>
  <c r="K257" i="24" a="1"/>
  <c r="K257" i="24" s="1"/>
  <c r="L257" i="24" a="1"/>
  <c r="L257" i="24" s="1"/>
  <c r="M257" i="24" a="1"/>
  <c r="M257" i="24" s="1"/>
  <c r="N257" i="24" a="1"/>
  <c r="N257" i="24" s="1"/>
  <c r="O257" i="24" a="1"/>
  <c r="O257" i="24" s="1"/>
  <c r="P257" i="24" a="1"/>
  <c r="P257" i="24" s="1"/>
  <c r="Q257" i="24" a="1"/>
  <c r="Q257" i="24" s="1"/>
  <c r="R257" i="24" a="1"/>
  <c r="R257" i="24" s="1"/>
  <c r="U257" i="24" a="1"/>
  <c r="U257" i="24" s="1"/>
  <c r="V257" i="24" a="1"/>
  <c r="V257" i="24" s="1"/>
  <c r="W257" i="24" a="1"/>
  <c r="W257" i="24" s="1"/>
  <c r="X257" i="24" a="1"/>
  <c r="X257" i="24" s="1"/>
  <c r="K258" i="24" a="1"/>
  <c r="K258" i="24" s="1"/>
  <c r="L258" i="24" a="1"/>
  <c r="L258" i="24" s="1"/>
  <c r="M258" i="24" a="1"/>
  <c r="M258" i="24" s="1"/>
  <c r="N258" i="24" a="1"/>
  <c r="N258" i="24" s="1"/>
  <c r="O258" i="24" a="1"/>
  <c r="O258" i="24" s="1"/>
  <c r="P258" i="24" a="1"/>
  <c r="P258" i="24" s="1"/>
  <c r="Q258" i="24" a="1"/>
  <c r="Q258" i="24" s="1"/>
  <c r="R258" i="24" a="1"/>
  <c r="R258" i="24" s="1"/>
  <c r="U258" i="24" a="1"/>
  <c r="U258" i="24" s="1"/>
  <c r="V258" i="24" a="1"/>
  <c r="V258" i="24" s="1"/>
  <c r="W258" i="24" a="1"/>
  <c r="W258" i="24" s="1"/>
  <c r="X258" i="24" a="1"/>
  <c r="X258" i="24" s="1"/>
  <c r="K259" i="24" a="1"/>
  <c r="K259" i="24" s="1"/>
  <c r="L259" i="24" a="1"/>
  <c r="L259" i="24" s="1"/>
  <c r="M259" i="24" a="1"/>
  <c r="M259" i="24" s="1"/>
  <c r="N259" i="24" a="1"/>
  <c r="N259" i="24" s="1"/>
  <c r="O259" i="24" a="1"/>
  <c r="O259" i="24" s="1"/>
  <c r="P259" i="24" a="1"/>
  <c r="P259" i="24" s="1"/>
  <c r="Q259" i="24" a="1"/>
  <c r="Q259" i="24" s="1"/>
  <c r="R259" i="24" a="1"/>
  <c r="R259" i="24" s="1"/>
  <c r="U259" i="24" a="1"/>
  <c r="U259" i="24" s="1"/>
  <c r="V259" i="24" a="1"/>
  <c r="V259" i="24" s="1"/>
  <c r="W259" i="24" a="1"/>
  <c r="W259" i="24" s="1"/>
  <c r="X259" i="24" a="1"/>
  <c r="X259" i="24" s="1"/>
  <c r="K260" i="24" a="1"/>
  <c r="K260" i="24" s="1"/>
  <c r="L260" i="24" a="1"/>
  <c r="L260" i="24" s="1"/>
  <c r="M260" i="24" a="1"/>
  <c r="M260" i="24" s="1"/>
  <c r="N260" i="24" a="1"/>
  <c r="N260" i="24" s="1"/>
  <c r="O260" i="24" a="1"/>
  <c r="O260" i="24" s="1"/>
  <c r="P260" i="24" a="1"/>
  <c r="P260" i="24" s="1"/>
  <c r="Q260" i="24" a="1"/>
  <c r="Q260" i="24" s="1"/>
  <c r="R260" i="24" a="1"/>
  <c r="R260" i="24" s="1"/>
  <c r="U260" i="24" a="1"/>
  <c r="U260" i="24" s="1"/>
  <c r="V260" i="24" a="1"/>
  <c r="V260" i="24" s="1"/>
  <c r="W260" i="24" a="1"/>
  <c r="W260" i="24" s="1"/>
  <c r="X260" i="24" a="1"/>
  <c r="X260" i="24" s="1"/>
  <c r="K261" i="24" a="1"/>
  <c r="K261" i="24" s="1"/>
  <c r="L261" i="24" a="1"/>
  <c r="L261" i="24" s="1"/>
  <c r="M261" i="24" a="1"/>
  <c r="M261" i="24" s="1"/>
  <c r="N261" i="24" a="1"/>
  <c r="N261" i="24" s="1"/>
  <c r="O261" i="24" a="1"/>
  <c r="O261" i="24" s="1"/>
  <c r="P261" i="24" a="1"/>
  <c r="P261" i="24" s="1"/>
  <c r="Q261" i="24" a="1"/>
  <c r="Q261" i="24" s="1"/>
  <c r="R261" i="24" a="1"/>
  <c r="R261" i="24" s="1"/>
  <c r="U261" i="24" a="1"/>
  <c r="U261" i="24" s="1"/>
  <c r="V261" i="24" a="1"/>
  <c r="V261" i="24" s="1"/>
  <c r="W261" i="24" a="1"/>
  <c r="W261" i="24" s="1"/>
  <c r="X261" i="24" a="1"/>
  <c r="X261" i="24" s="1"/>
  <c r="K262" i="24" a="1"/>
  <c r="K262" i="24" s="1"/>
  <c r="L262" i="24" a="1"/>
  <c r="L262" i="24" s="1"/>
  <c r="M262" i="24" a="1"/>
  <c r="M262" i="24" s="1"/>
  <c r="N262" i="24" a="1"/>
  <c r="N262" i="24" s="1"/>
  <c r="O262" i="24" a="1"/>
  <c r="O262" i="24" s="1"/>
  <c r="P262" i="24" a="1"/>
  <c r="P262" i="24" s="1"/>
  <c r="Q262" i="24" a="1"/>
  <c r="Q262" i="24" s="1"/>
  <c r="R262" i="24" a="1"/>
  <c r="R262" i="24" s="1"/>
  <c r="U262" i="24" a="1"/>
  <c r="U262" i="24" s="1"/>
  <c r="V262" i="24" a="1"/>
  <c r="V262" i="24" s="1"/>
  <c r="W262" i="24" a="1"/>
  <c r="W262" i="24" s="1"/>
  <c r="X262" i="24" a="1"/>
  <c r="X262" i="24" s="1"/>
  <c r="K263" i="24" a="1"/>
  <c r="K263" i="24" s="1"/>
  <c r="L263" i="24" a="1"/>
  <c r="L263" i="24" s="1"/>
  <c r="M263" i="24" a="1"/>
  <c r="M263" i="24" s="1"/>
  <c r="N263" i="24" a="1"/>
  <c r="N263" i="24" s="1"/>
  <c r="O263" i="24" a="1"/>
  <c r="O263" i="24" s="1"/>
  <c r="P263" i="24" a="1"/>
  <c r="P263" i="24" s="1"/>
  <c r="Q263" i="24" a="1"/>
  <c r="Q263" i="24" s="1"/>
  <c r="R263" i="24" a="1"/>
  <c r="R263" i="24" s="1"/>
  <c r="U263" i="24" a="1"/>
  <c r="U263" i="24" s="1"/>
  <c r="V263" i="24" a="1"/>
  <c r="V263" i="24" s="1"/>
  <c r="W263" i="24" a="1"/>
  <c r="W263" i="24" s="1"/>
  <c r="X263" i="24" a="1"/>
  <c r="X263" i="24" s="1"/>
  <c r="K264" i="24" a="1"/>
  <c r="K264" i="24" s="1"/>
  <c r="L264" i="24" a="1"/>
  <c r="L264" i="24" s="1"/>
  <c r="M264" i="24" a="1"/>
  <c r="M264" i="24" s="1"/>
  <c r="N264" i="24" a="1"/>
  <c r="N264" i="24" s="1"/>
  <c r="O264" i="24" a="1"/>
  <c r="O264" i="24" s="1"/>
  <c r="P264" i="24" a="1"/>
  <c r="P264" i="24" s="1"/>
  <c r="Q264" i="24" a="1"/>
  <c r="Q264" i="24" s="1"/>
  <c r="R264" i="24" a="1"/>
  <c r="R264" i="24" s="1"/>
  <c r="U264" i="24" a="1"/>
  <c r="U264" i="24" s="1"/>
  <c r="V264" i="24" a="1"/>
  <c r="V264" i="24" s="1"/>
  <c r="W264" i="24" a="1"/>
  <c r="W264" i="24" s="1"/>
  <c r="X264" i="24" a="1"/>
  <c r="X264" i="24" s="1"/>
  <c r="K265" i="24" a="1"/>
  <c r="K265" i="24" s="1"/>
  <c r="L265" i="24" a="1"/>
  <c r="L265" i="24" s="1"/>
  <c r="M265" i="24" a="1"/>
  <c r="M265" i="24" s="1"/>
  <c r="N265" i="24" a="1"/>
  <c r="N265" i="24" s="1"/>
  <c r="O265" i="24" a="1"/>
  <c r="O265" i="24" s="1"/>
  <c r="P265" i="24" a="1"/>
  <c r="P265" i="24" s="1"/>
  <c r="Q265" i="24" a="1"/>
  <c r="Q265" i="24" s="1"/>
  <c r="R265" i="24" a="1"/>
  <c r="R265" i="24" s="1"/>
  <c r="U265" i="24" a="1"/>
  <c r="U265" i="24" s="1"/>
  <c r="V265" i="24" a="1"/>
  <c r="V265" i="24" s="1"/>
  <c r="W265" i="24" a="1"/>
  <c r="W265" i="24" s="1"/>
  <c r="X265" i="24" a="1"/>
  <c r="X265" i="24" s="1"/>
  <c r="K266" i="24" a="1"/>
  <c r="K266" i="24" s="1"/>
  <c r="L266" i="24" a="1"/>
  <c r="L266" i="24" s="1"/>
  <c r="M266" i="24" a="1"/>
  <c r="M266" i="24" s="1"/>
  <c r="N266" i="24" a="1"/>
  <c r="N266" i="24" s="1"/>
  <c r="O266" i="24" a="1"/>
  <c r="O266" i="24" s="1"/>
  <c r="P266" i="24" a="1"/>
  <c r="P266" i="24" s="1"/>
  <c r="Q266" i="24" a="1"/>
  <c r="Q266" i="24" s="1"/>
  <c r="R266" i="24" a="1"/>
  <c r="R266" i="24" s="1"/>
  <c r="U266" i="24" a="1"/>
  <c r="U266" i="24" s="1"/>
  <c r="V266" i="24" a="1"/>
  <c r="V266" i="24" s="1"/>
  <c r="W266" i="24" a="1"/>
  <c r="W266" i="24" s="1"/>
  <c r="X266" i="24" a="1"/>
  <c r="X266" i="24" s="1"/>
  <c r="K267" i="24" a="1"/>
  <c r="K267" i="24" s="1"/>
  <c r="L267" i="24" a="1"/>
  <c r="L267" i="24" s="1"/>
  <c r="M267" i="24" a="1"/>
  <c r="M267" i="24" s="1"/>
  <c r="N267" i="24" a="1"/>
  <c r="N267" i="24" s="1"/>
  <c r="O267" i="24" a="1"/>
  <c r="O267" i="24" s="1"/>
  <c r="P267" i="24" a="1"/>
  <c r="P267" i="24" s="1"/>
  <c r="Q267" i="24" a="1"/>
  <c r="Q267" i="24" s="1"/>
  <c r="R267" i="24" a="1"/>
  <c r="R267" i="24" s="1"/>
  <c r="U267" i="24" a="1"/>
  <c r="U267" i="24" s="1"/>
  <c r="V267" i="24" a="1"/>
  <c r="V267" i="24" s="1"/>
  <c r="W267" i="24" a="1"/>
  <c r="W267" i="24" s="1"/>
  <c r="X267" i="24" a="1"/>
  <c r="X267" i="24" s="1"/>
  <c r="K268" i="24" a="1"/>
  <c r="K268" i="24" s="1"/>
  <c r="L268" i="24" a="1"/>
  <c r="L268" i="24" s="1"/>
  <c r="M268" i="24" a="1"/>
  <c r="M268" i="24" s="1"/>
  <c r="N268" i="24" a="1"/>
  <c r="N268" i="24" s="1"/>
  <c r="O268" i="24" a="1"/>
  <c r="O268" i="24" s="1"/>
  <c r="P268" i="24" a="1"/>
  <c r="P268" i="24" s="1"/>
  <c r="Q268" i="24" a="1"/>
  <c r="Q268" i="24" s="1"/>
  <c r="R268" i="24" a="1"/>
  <c r="R268" i="24" s="1"/>
  <c r="U268" i="24" a="1"/>
  <c r="U268" i="24" s="1"/>
  <c r="V268" i="24" a="1"/>
  <c r="V268" i="24" s="1"/>
  <c r="W268" i="24" a="1"/>
  <c r="W268" i="24" s="1"/>
  <c r="X268" i="24" a="1"/>
  <c r="X268" i="24" s="1"/>
  <c r="K269" i="24" a="1"/>
  <c r="K269" i="24" s="1"/>
  <c r="L269" i="24" a="1"/>
  <c r="L269" i="24" s="1"/>
  <c r="M269" i="24" a="1"/>
  <c r="M269" i="24" s="1"/>
  <c r="N269" i="24" a="1"/>
  <c r="N269" i="24" s="1"/>
  <c r="O269" i="24" a="1"/>
  <c r="O269" i="24" s="1"/>
  <c r="P269" i="24" a="1"/>
  <c r="P269" i="24" s="1"/>
  <c r="Q269" i="24" a="1"/>
  <c r="Q269" i="24" s="1"/>
  <c r="R269" i="24" a="1"/>
  <c r="R269" i="24" s="1"/>
  <c r="U269" i="24" a="1"/>
  <c r="U269" i="24" s="1"/>
  <c r="V269" i="24" a="1"/>
  <c r="V269" i="24" s="1"/>
  <c r="W269" i="24" a="1"/>
  <c r="W269" i="24" s="1"/>
  <c r="X269" i="24" a="1"/>
  <c r="X269" i="24" s="1"/>
  <c r="K270" i="24" a="1"/>
  <c r="K270" i="24" s="1"/>
  <c r="L270" i="24" a="1"/>
  <c r="L270" i="24" s="1"/>
  <c r="M270" i="24" a="1"/>
  <c r="M270" i="24" s="1"/>
  <c r="N270" i="24" a="1"/>
  <c r="N270" i="24" s="1"/>
  <c r="O270" i="24" a="1"/>
  <c r="O270" i="24" s="1"/>
  <c r="P270" i="24" a="1"/>
  <c r="P270" i="24" s="1"/>
  <c r="Q270" i="24" a="1"/>
  <c r="Q270" i="24" s="1"/>
  <c r="R270" i="24" a="1"/>
  <c r="R270" i="24" s="1"/>
  <c r="U270" i="24" a="1"/>
  <c r="U270" i="24" s="1"/>
  <c r="V270" i="24" a="1"/>
  <c r="V270" i="24" s="1"/>
  <c r="W270" i="24" a="1"/>
  <c r="W270" i="24" s="1"/>
  <c r="X270" i="24" a="1"/>
  <c r="X270" i="24" s="1"/>
  <c r="K271" i="24" a="1"/>
  <c r="K271" i="24" s="1"/>
  <c r="L271" i="24" a="1"/>
  <c r="L271" i="24" s="1"/>
  <c r="M271" i="24" a="1"/>
  <c r="M271" i="24" s="1"/>
  <c r="N271" i="24" a="1"/>
  <c r="N271" i="24" s="1"/>
  <c r="O271" i="24" a="1"/>
  <c r="O271" i="24" s="1"/>
  <c r="P271" i="24" a="1"/>
  <c r="P271" i="24" s="1"/>
  <c r="Q271" i="24" a="1"/>
  <c r="Q271" i="24" s="1"/>
  <c r="R271" i="24" a="1"/>
  <c r="R271" i="24" s="1"/>
  <c r="U271" i="24" a="1"/>
  <c r="U271" i="24" s="1"/>
  <c r="V271" i="24" a="1"/>
  <c r="V271" i="24" s="1"/>
  <c r="W271" i="24" a="1"/>
  <c r="W271" i="24" s="1"/>
  <c r="X271" i="24" a="1"/>
  <c r="X271" i="24" s="1"/>
  <c r="K272" i="24" a="1"/>
  <c r="K272" i="24" s="1"/>
  <c r="L272" i="24" a="1"/>
  <c r="L272" i="24" s="1"/>
  <c r="M272" i="24" a="1"/>
  <c r="M272" i="24" s="1"/>
  <c r="N272" i="24" a="1"/>
  <c r="N272" i="24" s="1"/>
  <c r="O272" i="24" a="1"/>
  <c r="O272" i="24" s="1"/>
  <c r="P272" i="24" a="1"/>
  <c r="P272" i="24" s="1"/>
  <c r="Q272" i="24" a="1"/>
  <c r="Q272" i="24" s="1"/>
  <c r="R272" i="24" a="1"/>
  <c r="R272" i="24" s="1"/>
  <c r="U272" i="24" a="1"/>
  <c r="U272" i="24" s="1"/>
  <c r="V272" i="24" a="1"/>
  <c r="V272" i="24" s="1"/>
  <c r="W272" i="24" a="1"/>
  <c r="W272" i="24" s="1"/>
  <c r="X272" i="24" a="1"/>
  <c r="X272" i="24" s="1"/>
  <c r="K273" i="24" a="1"/>
  <c r="K273" i="24" s="1"/>
  <c r="L273" i="24" a="1"/>
  <c r="L273" i="24" s="1"/>
  <c r="M273" i="24" a="1"/>
  <c r="M273" i="24" s="1"/>
  <c r="N273" i="24" a="1"/>
  <c r="N273" i="24" s="1"/>
  <c r="O273" i="24" a="1"/>
  <c r="O273" i="24" s="1"/>
  <c r="P273" i="24" a="1"/>
  <c r="P273" i="24" s="1"/>
  <c r="Q273" i="24" a="1"/>
  <c r="Q273" i="24" s="1"/>
  <c r="R273" i="24" a="1"/>
  <c r="R273" i="24" s="1"/>
  <c r="U273" i="24" a="1"/>
  <c r="U273" i="24" s="1"/>
  <c r="V273" i="24" a="1"/>
  <c r="V273" i="24" s="1"/>
  <c r="W273" i="24" a="1"/>
  <c r="W273" i="24" s="1"/>
  <c r="X273" i="24" a="1"/>
  <c r="X273" i="24" s="1"/>
  <c r="K274" i="24" a="1"/>
  <c r="K274" i="24" s="1"/>
  <c r="L274" i="24" a="1"/>
  <c r="L274" i="24" s="1"/>
  <c r="M274" i="24" a="1"/>
  <c r="M274" i="24" s="1"/>
  <c r="N274" i="24" a="1"/>
  <c r="N274" i="24" s="1"/>
  <c r="O274" i="24" a="1"/>
  <c r="O274" i="24" s="1"/>
  <c r="P274" i="24" a="1"/>
  <c r="P274" i="24" s="1"/>
  <c r="Q274" i="24" a="1"/>
  <c r="Q274" i="24" s="1"/>
  <c r="R274" i="24" a="1"/>
  <c r="R274" i="24" s="1"/>
  <c r="U274" i="24" a="1"/>
  <c r="U274" i="24" s="1"/>
  <c r="V274" i="24" a="1"/>
  <c r="V274" i="24" s="1"/>
  <c r="W274" i="24" a="1"/>
  <c r="W274" i="24" s="1"/>
  <c r="X274" i="24" a="1"/>
  <c r="X274" i="24" s="1"/>
  <c r="K275" i="24" a="1"/>
  <c r="K275" i="24" s="1"/>
  <c r="L275" i="24" a="1"/>
  <c r="L275" i="24" s="1"/>
  <c r="M275" i="24" a="1"/>
  <c r="M275" i="24" s="1"/>
  <c r="N275" i="24" a="1"/>
  <c r="N275" i="24" s="1"/>
  <c r="O275" i="24" a="1"/>
  <c r="O275" i="24" s="1"/>
  <c r="P275" i="24" a="1"/>
  <c r="P275" i="24" s="1"/>
  <c r="Q275" i="24" a="1"/>
  <c r="Q275" i="24" s="1"/>
  <c r="R275" i="24" a="1"/>
  <c r="R275" i="24" s="1"/>
  <c r="U275" i="24" a="1"/>
  <c r="U275" i="24" s="1"/>
  <c r="V275" i="24" a="1"/>
  <c r="V275" i="24" s="1"/>
  <c r="W275" i="24" a="1"/>
  <c r="W275" i="24" s="1"/>
  <c r="X275" i="24" a="1"/>
  <c r="X275" i="24" s="1"/>
  <c r="K276" i="24" a="1"/>
  <c r="K276" i="24" s="1"/>
  <c r="L276" i="24" a="1"/>
  <c r="L276" i="24" s="1"/>
  <c r="M276" i="24" a="1"/>
  <c r="M276" i="24" s="1"/>
  <c r="N276" i="24" a="1"/>
  <c r="N276" i="24" s="1"/>
  <c r="O276" i="24" a="1"/>
  <c r="O276" i="24" s="1"/>
  <c r="P276" i="24" a="1"/>
  <c r="P276" i="24" s="1"/>
  <c r="Q276" i="24" a="1"/>
  <c r="Q276" i="24" s="1"/>
  <c r="R276" i="24" a="1"/>
  <c r="R276" i="24" s="1"/>
  <c r="U276" i="24" a="1"/>
  <c r="U276" i="24" s="1"/>
  <c r="V276" i="24" a="1"/>
  <c r="V276" i="24" s="1"/>
  <c r="W276" i="24" a="1"/>
  <c r="W276" i="24" s="1"/>
  <c r="X276" i="24" a="1"/>
  <c r="X276" i="24" s="1"/>
  <c r="K277" i="24" a="1"/>
  <c r="K277" i="24" s="1"/>
  <c r="L277" i="24" a="1"/>
  <c r="L277" i="24" s="1"/>
  <c r="M277" i="24" a="1"/>
  <c r="M277" i="24" s="1"/>
  <c r="N277" i="24" a="1"/>
  <c r="N277" i="24" s="1"/>
  <c r="O277" i="24" a="1"/>
  <c r="O277" i="24" s="1"/>
  <c r="P277" i="24" a="1"/>
  <c r="P277" i="24" s="1"/>
  <c r="Q277" i="24" a="1"/>
  <c r="Q277" i="24" s="1"/>
  <c r="R277" i="24" a="1"/>
  <c r="R277" i="24" s="1"/>
  <c r="U277" i="24" a="1"/>
  <c r="U277" i="24" s="1"/>
  <c r="V277" i="24" a="1"/>
  <c r="V277" i="24" s="1"/>
  <c r="W277" i="24" a="1"/>
  <c r="W277" i="24" s="1"/>
  <c r="X277" i="24" a="1"/>
  <c r="X277" i="24" s="1"/>
  <c r="K278" i="24" a="1"/>
  <c r="K278" i="24" s="1"/>
  <c r="L278" i="24" a="1"/>
  <c r="L278" i="24" s="1"/>
  <c r="M278" i="24" a="1"/>
  <c r="M278" i="24" s="1"/>
  <c r="N278" i="24" a="1"/>
  <c r="N278" i="24" s="1"/>
  <c r="O278" i="24" a="1"/>
  <c r="O278" i="24" s="1"/>
  <c r="P278" i="24" a="1"/>
  <c r="P278" i="24" s="1"/>
  <c r="Q278" i="24" a="1"/>
  <c r="Q278" i="24" s="1"/>
  <c r="R278" i="24" a="1"/>
  <c r="R278" i="24" s="1"/>
  <c r="U278" i="24" a="1"/>
  <c r="U278" i="24" s="1"/>
  <c r="V278" i="24" a="1"/>
  <c r="V278" i="24" s="1"/>
  <c r="W278" i="24" a="1"/>
  <c r="W278" i="24" s="1"/>
  <c r="X278" i="24" a="1"/>
  <c r="X278" i="24" s="1"/>
  <c r="K279" i="24" a="1"/>
  <c r="K279" i="24" s="1"/>
  <c r="L279" i="24" a="1"/>
  <c r="L279" i="24" s="1"/>
  <c r="M279" i="24" a="1"/>
  <c r="M279" i="24" s="1"/>
  <c r="N279" i="24" a="1"/>
  <c r="N279" i="24" s="1"/>
  <c r="O279" i="24" a="1"/>
  <c r="O279" i="24" s="1"/>
  <c r="P279" i="24" a="1"/>
  <c r="P279" i="24" s="1"/>
  <c r="Q279" i="24" a="1"/>
  <c r="Q279" i="24" s="1"/>
  <c r="R279" i="24" a="1"/>
  <c r="R279" i="24" s="1"/>
  <c r="U279" i="24" a="1"/>
  <c r="U279" i="24" s="1"/>
  <c r="V279" i="24" a="1"/>
  <c r="V279" i="24" s="1"/>
  <c r="W279" i="24" a="1"/>
  <c r="W279" i="24" s="1"/>
  <c r="X279" i="24" a="1"/>
  <c r="X279" i="24" s="1"/>
  <c r="K280" i="24" a="1"/>
  <c r="K280" i="24" s="1"/>
  <c r="L280" i="24" a="1"/>
  <c r="L280" i="24" s="1"/>
  <c r="M280" i="24" a="1"/>
  <c r="M280" i="24" s="1"/>
  <c r="N280" i="24" a="1"/>
  <c r="N280" i="24" s="1"/>
  <c r="O280" i="24" a="1"/>
  <c r="O280" i="24" s="1"/>
  <c r="P280" i="24" a="1"/>
  <c r="P280" i="24" s="1"/>
  <c r="Q280" i="24" a="1"/>
  <c r="Q280" i="24" s="1"/>
  <c r="R280" i="24" a="1"/>
  <c r="R280" i="24" s="1"/>
  <c r="U280" i="24" a="1"/>
  <c r="U280" i="24" s="1"/>
  <c r="V280" i="24" a="1"/>
  <c r="V280" i="24" s="1"/>
  <c r="W280" i="24" a="1"/>
  <c r="W280" i="24" s="1"/>
  <c r="X280" i="24" a="1"/>
  <c r="X280" i="24" s="1"/>
  <c r="K281" i="24" a="1"/>
  <c r="K281" i="24" s="1"/>
  <c r="L281" i="24" a="1"/>
  <c r="L281" i="24" s="1"/>
  <c r="M281" i="24" a="1"/>
  <c r="M281" i="24" s="1"/>
  <c r="N281" i="24" a="1"/>
  <c r="N281" i="24" s="1"/>
  <c r="O281" i="24" a="1"/>
  <c r="O281" i="24" s="1"/>
  <c r="P281" i="24" a="1"/>
  <c r="P281" i="24" s="1"/>
  <c r="Q281" i="24" a="1"/>
  <c r="Q281" i="24" s="1"/>
  <c r="R281" i="24" a="1"/>
  <c r="R281" i="24" s="1"/>
  <c r="U281" i="24" a="1"/>
  <c r="U281" i="24" s="1"/>
  <c r="V281" i="24" a="1"/>
  <c r="V281" i="24" s="1"/>
  <c r="W281" i="24" a="1"/>
  <c r="W281" i="24" s="1"/>
  <c r="X281" i="24" a="1"/>
  <c r="X281" i="24" s="1"/>
  <c r="K282" i="24" a="1"/>
  <c r="K282" i="24" s="1"/>
  <c r="L282" i="24" a="1"/>
  <c r="L282" i="24" s="1"/>
  <c r="M282" i="24" a="1"/>
  <c r="M282" i="24" s="1"/>
  <c r="N282" i="24" a="1"/>
  <c r="N282" i="24" s="1"/>
  <c r="O282" i="24" a="1"/>
  <c r="O282" i="24" s="1"/>
  <c r="P282" i="24" a="1"/>
  <c r="P282" i="24" s="1"/>
  <c r="Q282" i="24" a="1"/>
  <c r="Q282" i="24" s="1"/>
  <c r="R282" i="24" a="1"/>
  <c r="R282" i="24" s="1"/>
  <c r="U282" i="24" a="1"/>
  <c r="U282" i="24" s="1"/>
  <c r="V282" i="24" a="1"/>
  <c r="V282" i="24" s="1"/>
  <c r="W282" i="24" a="1"/>
  <c r="W282" i="24" s="1"/>
  <c r="X282" i="24" a="1"/>
  <c r="X282" i="24" s="1"/>
  <c r="K283" i="24" a="1"/>
  <c r="K283" i="24" s="1"/>
  <c r="L283" i="24" a="1"/>
  <c r="L283" i="24" s="1"/>
  <c r="M283" i="24" a="1"/>
  <c r="M283" i="24" s="1"/>
  <c r="N283" i="24" a="1"/>
  <c r="N283" i="24" s="1"/>
  <c r="O283" i="24" a="1"/>
  <c r="O283" i="24" s="1"/>
  <c r="P283" i="24" a="1"/>
  <c r="P283" i="24" s="1"/>
  <c r="Q283" i="24" a="1"/>
  <c r="Q283" i="24" s="1"/>
  <c r="R283" i="24" a="1"/>
  <c r="R283" i="24" s="1"/>
  <c r="U283" i="24" a="1"/>
  <c r="U283" i="24" s="1"/>
  <c r="V283" i="24" a="1"/>
  <c r="V283" i="24" s="1"/>
  <c r="W283" i="24" a="1"/>
  <c r="W283" i="24" s="1"/>
  <c r="X283" i="24" a="1"/>
  <c r="X283" i="24" s="1"/>
  <c r="K284" i="24" a="1"/>
  <c r="K284" i="24" s="1"/>
  <c r="L284" i="24" a="1"/>
  <c r="L284" i="24" s="1"/>
  <c r="M284" i="24" a="1"/>
  <c r="M284" i="24" s="1"/>
  <c r="N284" i="24" a="1"/>
  <c r="N284" i="24" s="1"/>
  <c r="O284" i="24" a="1"/>
  <c r="O284" i="24" s="1"/>
  <c r="P284" i="24" a="1"/>
  <c r="P284" i="24" s="1"/>
  <c r="Q284" i="24" a="1"/>
  <c r="Q284" i="24" s="1"/>
  <c r="R284" i="24" a="1"/>
  <c r="R284" i="24" s="1"/>
  <c r="U284" i="24" a="1"/>
  <c r="U284" i="24" s="1"/>
  <c r="V284" i="24" a="1"/>
  <c r="V284" i="24" s="1"/>
  <c r="W284" i="24" a="1"/>
  <c r="W284" i="24" s="1"/>
  <c r="X284" i="24" a="1"/>
  <c r="X284" i="24" s="1"/>
  <c r="K285" i="24" a="1"/>
  <c r="K285" i="24" s="1"/>
  <c r="L285" i="24" a="1"/>
  <c r="L285" i="24" s="1"/>
  <c r="M285" i="24" a="1"/>
  <c r="M285" i="24" s="1"/>
  <c r="N285" i="24" a="1"/>
  <c r="N285" i="24" s="1"/>
  <c r="O285" i="24" a="1"/>
  <c r="O285" i="24" s="1"/>
  <c r="P285" i="24" a="1"/>
  <c r="P285" i="24" s="1"/>
  <c r="Q285" i="24" a="1"/>
  <c r="Q285" i="24" s="1"/>
  <c r="R285" i="24" a="1"/>
  <c r="R285" i="24" s="1"/>
  <c r="U285" i="24" a="1"/>
  <c r="U285" i="24" s="1"/>
  <c r="V285" i="24" a="1"/>
  <c r="V285" i="24" s="1"/>
  <c r="W285" i="24" a="1"/>
  <c r="W285" i="24" s="1"/>
  <c r="X285" i="24" a="1"/>
  <c r="X285" i="24" s="1"/>
  <c r="K286" i="24" a="1"/>
  <c r="K286" i="24" s="1"/>
  <c r="L286" i="24" a="1"/>
  <c r="L286" i="24" s="1"/>
  <c r="M286" i="24" a="1"/>
  <c r="M286" i="24" s="1"/>
  <c r="N286" i="24" a="1"/>
  <c r="N286" i="24" s="1"/>
  <c r="O286" i="24" a="1"/>
  <c r="O286" i="24" s="1"/>
  <c r="P286" i="24" a="1"/>
  <c r="P286" i="24" s="1"/>
  <c r="Q286" i="24" a="1"/>
  <c r="Q286" i="24" s="1"/>
  <c r="R286" i="24" a="1"/>
  <c r="R286" i="24" s="1"/>
  <c r="U286" i="24" a="1"/>
  <c r="U286" i="24" s="1"/>
  <c r="V286" i="24" a="1"/>
  <c r="V286" i="24" s="1"/>
  <c r="W286" i="24" a="1"/>
  <c r="W286" i="24" s="1"/>
  <c r="X286" i="24" a="1"/>
  <c r="X286" i="24" s="1"/>
  <c r="K287" i="24" a="1"/>
  <c r="K287" i="24" s="1"/>
  <c r="L287" i="24" a="1"/>
  <c r="L287" i="24" s="1"/>
  <c r="M287" i="24" a="1"/>
  <c r="M287" i="24" s="1"/>
  <c r="N287" i="24" a="1"/>
  <c r="N287" i="24" s="1"/>
  <c r="O287" i="24" a="1"/>
  <c r="O287" i="24" s="1"/>
  <c r="P287" i="24" a="1"/>
  <c r="P287" i="24" s="1"/>
  <c r="Q287" i="24" a="1"/>
  <c r="Q287" i="24" s="1"/>
  <c r="R287" i="24" a="1"/>
  <c r="R287" i="24" s="1"/>
  <c r="U287" i="24" a="1"/>
  <c r="U287" i="24" s="1"/>
  <c r="V287" i="24" a="1"/>
  <c r="V287" i="24" s="1"/>
  <c r="W287" i="24" a="1"/>
  <c r="W287" i="24" s="1"/>
  <c r="X287" i="24" a="1"/>
  <c r="X287" i="24" s="1"/>
  <c r="K288" i="24" a="1"/>
  <c r="K288" i="24" s="1"/>
  <c r="L288" i="24" a="1"/>
  <c r="L288" i="24" s="1"/>
  <c r="M288" i="24" a="1"/>
  <c r="M288" i="24" s="1"/>
  <c r="N288" i="24" a="1"/>
  <c r="N288" i="24" s="1"/>
  <c r="O288" i="24" a="1"/>
  <c r="O288" i="24" s="1"/>
  <c r="P288" i="24" a="1"/>
  <c r="P288" i="24" s="1"/>
  <c r="Q288" i="24" a="1"/>
  <c r="Q288" i="24" s="1"/>
  <c r="R288" i="24" a="1"/>
  <c r="R288" i="24" s="1"/>
  <c r="U288" i="24" a="1"/>
  <c r="U288" i="24" s="1"/>
  <c r="V288" i="24" a="1"/>
  <c r="V288" i="24" s="1"/>
  <c r="W288" i="24" a="1"/>
  <c r="W288" i="24" s="1"/>
  <c r="X288" i="24" a="1"/>
  <c r="X288" i="24" s="1"/>
  <c r="K289" i="24" a="1"/>
  <c r="K289" i="24" s="1"/>
  <c r="L289" i="24" a="1"/>
  <c r="L289" i="24" s="1"/>
  <c r="M289" i="24" a="1"/>
  <c r="M289" i="24" s="1"/>
  <c r="N289" i="24" a="1"/>
  <c r="N289" i="24" s="1"/>
  <c r="O289" i="24" a="1"/>
  <c r="O289" i="24" s="1"/>
  <c r="P289" i="24" a="1"/>
  <c r="P289" i="24" s="1"/>
  <c r="Q289" i="24" a="1"/>
  <c r="Q289" i="24" s="1"/>
  <c r="R289" i="24" a="1"/>
  <c r="R289" i="24" s="1"/>
  <c r="U289" i="24" a="1"/>
  <c r="U289" i="24" s="1"/>
  <c r="V289" i="24" a="1"/>
  <c r="V289" i="24" s="1"/>
  <c r="W289" i="24" a="1"/>
  <c r="W289" i="24" s="1"/>
  <c r="X289" i="24" a="1"/>
  <c r="X289" i="24" s="1"/>
  <c r="K290" i="24" a="1"/>
  <c r="K290" i="24" s="1"/>
  <c r="L290" i="24" a="1"/>
  <c r="L290" i="24" s="1"/>
  <c r="M290" i="24" a="1"/>
  <c r="M290" i="24" s="1"/>
  <c r="N290" i="24" a="1"/>
  <c r="N290" i="24" s="1"/>
  <c r="O290" i="24" a="1"/>
  <c r="O290" i="24" s="1"/>
  <c r="P290" i="24" a="1"/>
  <c r="P290" i="24" s="1"/>
  <c r="Q290" i="24" a="1"/>
  <c r="Q290" i="24" s="1"/>
  <c r="R290" i="24" a="1"/>
  <c r="R290" i="24" s="1"/>
  <c r="U290" i="24" a="1"/>
  <c r="U290" i="24" s="1"/>
  <c r="V290" i="24" a="1"/>
  <c r="V290" i="24" s="1"/>
  <c r="W290" i="24" a="1"/>
  <c r="W290" i="24" s="1"/>
  <c r="X290" i="24" a="1"/>
  <c r="X290" i="24" s="1"/>
  <c r="K291" i="24" a="1"/>
  <c r="K291" i="24" s="1"/>
  <c r="L291" i="24" a="1"/>
  <c r="L291" i="24" s="1"/>
  <c r="M291" i="24" a="1"/>
  <c r="M291" i="24" s="1"/>
  <c r="N291" i="24" a="1"/>
  <c r="N291" i="24" s="1"/>
  <c r="O291" i="24" a="1"/>
  <c r="O291" i="24" s="1"/>
  <c r="P291" i="24" a="1"/>
  <c r="P291" i="24" s="1"/>
  <c r="Q291" i="24" a="1"/>
  <c r="Q291" i="24" s="1"/>
  <c r="R291" i="24" a="1"/>
  <c r="R291" i="24" s="1"/>
  <c r="U291" i="24" a="1"/>
  <c r="U291" i="24" s="1"/>
  <c r="V291" i="24" a="1"/>
  <c r="V291" i="24" s="1"/>
  <c r="W291" i="24" a="1"/>
  <c r="W291" i="24" s="1"/>
  <c r="X291" i="24" a="1"/>
  <c r="X291" i="24" s="1"/>
  <c r="K292" i="24" a="1"/>
  <c r="K292" i="24" s="1"/>
  <c r="L292" i="24" a="1"/>
  <c r="L292" i="24" s="1"/>
  <c r="M292" i="24" a="1"/>
  <c r="M292" i="24" s="1"/>
  <c r="N292" i="24" a="1"/>
  <c r="N292" i="24" s="1"/>
  <c r="O292" i="24" a="1"/>
  <c r="O292" i="24" s="1"/>
  <c r="P292" i="24" a="1"/>
  <c r="P292" i="24" s="1"/>
  <c r="Q292" i="24" a="1"/>
  <c r="Q292" i="24" s="1"/>
  <c r="R292" i="24" a="1"/>
  <c r="R292" i="24" s="1"/>
  <c r="U292" i="24" a="1"/>
  <c r="U292" i="24" s="1"/>
  <c r="V292" i="24" a="1"/>
  <c r="V292" i="24" s="1"/>
  <c r="W292" i="24" a="1"/>
  <c r="W292" i="24" s="1"/>
  <c r="X292" i="24" a="1"/>
  <c r="X292" i="24" s="1"/>
  <c r="K293" i="24" a="1"/>
  <c r="K293" i="24" s="1"/>
  <c r="L293" i="24" a="1"/>
  <c r="L293" i="24" s="1"/>
  <c r="M293" i="24" a="1"/>
  <c r="M293" i="24" s="1"/>
  <c r="N293" i="24" a="1"/>
  <c r="N293" i="24" s="1"/>
  <c r="O293" i="24" a="1"/>
  <c r="O293" i="24" s="1"/>
  <c r="P293" i="24" a="1"/>
  <c r="P293" i="24" s="1"/>
  <c r="Q293" i="24" a="1"/>
  <c r="Q293" i="24" s="1"/>
  <c r="R293" i="24" a="1"/>
  <c r="R293" i="24" s="1"/>
  <c r="U293" i="24" a="1"/>
  <c r="U293" i="24" s="1"/>
  <c r="V293" i="24" a="1"/>
  <c r="V293" i="24" s="1"/>
  <c r="W293" i="24" a="1"/>
  <c r="W293" i="24" s="1"/>
  <c r="X293" i="24" a="1"/>
  <c r="X293" i="24" s="1"/>
  <c r="K294" i="24" a="1"/>
  <c r="K294" i="24" s="1"/>
  <c r="L294" i="24" a="1"/>
  <c r="L294" i="24" s="1"/>
  <c r="M294" i="24" a="1"/>
  <c r="M294" i="24" s="1"/>
  <c r="N294" i="24" a="1"/>
  <c r="N294" i="24" s="1"/>
  <c r="O294" i="24" a="1"/>
  <c r="O294" i="24" s="1"/>
  <c r="P294" i="24" a="1"/>
  <c r="P294" i="24" s="1"/>
  <c r="Q294" i="24" a="1"/>
  <c r="Q294" i="24" s="1"/>
  <c r="R294" i="24" a="1"/>
  <c r="R294" i="24" s="1"/>
  <c r="U294" i="24" a="1"/>
  <c r="U294" i="24" s="1"/>
  <c r="V294" i="24" a="1"/>
  <c r="V294" i="24" s="1"/>
  <c r="W294" i="24" a="1"/>
  <c r="W294" i="24" s="1"/>
  <c r="X294" i="24" a="1"/>
  <c r="X294" i="24" s="1"/>
  <c r="K295" i="24" a="1"/>
  <c r="K295" i="24" s="1"/>
  <c r="L295" i="24" a="1"/>
  <c r="L295" i="24" s="1"/>
  <c r="M295" i="24" a="1"/>
  <c r="M295" i="24" s="1"/>
  <c r="N295" i="24" a="1"/>
  <c r="N295" i="24" s="1"/>
  <c r="O295" i="24" a="1"/>
  <c r="O295" i="24" s="1"/>
  <c r="P295" i="24" a="1"/>
  <c r="P295" i="24" s="1"/>
  <c r="Q295" i="24" a="1"/>
  <c r="Q295" i="24" s="1"/>
  <c r="R295" i="24" a="1"/>
  <c r="R295" i="24" s="1"/>
  <c r="U295" i="24" a="1"/>
  <c r="U295" i="24" s="1"/>
  <c r="V295" i="24" a="1"/>
  <c r="V295" i="24" s="1"/>
  <c r="W295" i="24" a="1"/>
  <c r="W295" i="24" s="1"/>
  <c r="X295" i="24" a="1"/>
  <c r="X295" i="24" s="1"/>
  <c r="K296" i="24" a="1"/>
  <c r="K296" i="24" s="1"/>
  <c r="L296" i="24" a="1"/>
  <c r="L296" i="24" s="1"/>
  <c r="M296" i="24" a="1"/>
  <c r="M296" i="24" s="1"/>
  <c r="N296" i="24" a="1"/>
  <c r="N296" i="24" s="1"/>
  <c r="O296" i="24" a="1"/>
  <c r="O296" i="24" s="1"/>
  <c r="P296" i="24" a="1"/>
  <c r="P296" i="24" s="1"/>
  <c r="Q296" i="24" a="1"/>
  <c r="Q296" i="24" s="1"/>
  <c r="R296" i="24" a="1"/>
  <c r="R296" i="24" s="1"/>
  <c r="U296" i="24" a="1"/>
  <c r="U296" i="24" s="1"/>
  <c r="V296" i="24" a="1"/>
  <c r="V296" i="24" s="1"/>
  <c r="W296" i="24" a="1"/>
  <c r="W296" i="24" s="1"/>
  <c r="X296" i="24" a="1"/>
  <c r="X296" i="24" s="1"/>
  <c r="K297" i="24" a="1"/>
  <c r="K297" i="24" s="1"/>
  <c r="L297" i="24" a="1"/>
  <c r="L297" i="24" s="1"/>
  <c r="M297" i="24" a="1"/>
  <c r="M297" i="24" s="1"/>
  <c r="N297" i="24" a="1"/>
  <c r="N297" i="24" s="1"/>
  <c r="O297" i="24" a="1"/>
  <c r="O297" i="24" s="1"/>
  <c r="P297" i="24" a="1"/>
  <c r="P297" i="24" s="1"/>
  <c r="Q297" i="24" a="1"/>
  <c r="Q297" i="24" s="1"/>
  <c r="R297" i="24" a="1"/>
  <c r="R297" i="24" s="1"/>
  <c r="U297" i="24" a="1"/>
  <c r="U297" i="24" s="1"/>
  <c r="V297" i="24" a="1"/>
  <c r="V297" i="24" s="1"/>
  <c r="W297" i="24" a="1"/>
  <c r="W297" i="24" s="1"/>
  <c r="X297" i="24" a="1"/>
  <c r="X297" i="24" s="1"/>
  <c r="K298" i="24" a="1"/>
  <c r="K298" i="24" s="1"/>
  <c r="L298" i="24" a="1"/>
  <c r="L298" i="24" s="1"/>
  <c r="M298" i="24" a="1"/>
  <c r="M298" i="24" s="1"/>
  <c r="N298" i="24" a="1"/>
  <c r="N298" i="24" s="1"/>
  <c r="O298" i="24" a="1"/>
  <c r="O298" i="24" s="1"/>
  <c r="P298" i="24" a="1"/>
  <c r="P298" i="24" s="1"/>
  <c r="Q298" i="24" a="1"/>
  <c r="Q298" i="24" s="1"/>
  <c r="R298" i="24" a="1"/>
  <c r="R298" i="24" s="1"/>
  <c r="U298" i="24" a="1"/>
  <c r="U298" i="24" s="1"/>
  <c r="V298" i="24" a="1"/>
  <c r="V298" i="24" s="1"/>
  <c r="W298" i="24" a="1"/>
  <c r="W298" i="24" s="1"/>
  <c r="X298" i="24" a="1"/>
  <c r="X298" i="24" s="1"/>
  <c r="K299" i="24" a="1"/>
  <c r="K299" i="24" s="1"/>
  <c r="L299" i="24" a="1"/>
  <c r="L299" i="24" s="1"/>
  <c r="M299" i="24" a="1"/>
  <c r="M299" i="24" s="1"/>
  <c r="N299" i="24" a="1"/>
  <c r="N299" i="24" s="1"/>
  <c r="O299" i="24" a="1"/>
  <c r="O299" i="24" s="1"/>
  <c r="P299" i="24" a="1"/>
  <c r="P299" i="24" s="1"/>
  <c r="Q299" i="24" a="1"/>
  <c r="Q299" i="24" s="1"/>
  <c r="R299" i="24" a="1"/>
  <c r="R299" i="24" s="1"/>
  <c r="U299" i="24" a="1"/>
  <c r="U299" i="24" s="1"/>
  <c r="V299" i="24" a="1"/>
  <c r="V299" i="24" s="1"/>
  <c r="W299" i="24" a="1"/>
  <c r="W299" i="24" s="1"/>
  <c r="X299" i="24" a="1"/>
  <c r="X299" i="24" s="1"/>
  <c r="K300" i="24" a="1"/>
  <c r="K300" i="24" s="1"/>
  <c r="L300" i="24" a="1"/>
  <c r="L300" i="24" s="1"/>
  <c r="M300" i="24" a="1"/>
  <c r="M300" i="24" s="1"/>
  <c r="N300" i="24" a="1"/>
  <c r="N300" i="24" s="1"/>
  <c r="O300" i="24" a="1"/>
  <c r="O300" i="24" s="1"/>
  <c r="P300" i="24" a="1"/>
  <c r="P300" i="24" s="1"/>
  <c r="Q300" i="24" a="1"/>
  <c r="Q300" i="24" s="1"/>
  <c r="R300" i="24" a="1"/>
  <c r="R300" i="24" s="1"/>
  <c r="U300" i="24" a="1"/>
  <c r="U300" i="24" s="1"/>
  <c r="V300" i="24" a="1"/>
  <c r="V300" i="24" s="1"/>
  <c r="W300" i="24" a="1"/>
  <c r="W300" i="24" s="1"/>
  <c r="X300" i="24" a="1"/>
  <c r="X300" i="24" s="1"/>
  <c r="K301" i="24" a="1"/>
  <c r="K301" i="24" s="1"/>
  <c r="L301" i="24" a="1"/>
  <c r="L301" i="24" s="1"/>
  <c r="M301" i="24" a="1"/>
  <c r="M301" i="24" s="1"/>
  <c r="N301" i="24" a="1"/>
  <c r="N301" i="24" s="1"/>
  <c r="O301" i="24" a="1"/>
  <c r="O301" i="24" s="1"/>
  <c r="P301" i="24" a="1"/>
  <c r="P301" i="24" s="1"/>
  <c r="Q301" i="24" a="1"/>
  <c r="Q301" i="24" s="1"/>
  <c r="R301" i="24" a="1"/>
  <c r="R301" i="24" s="1"/>
  <c r="U301" i="24" a="1"/>
  <c r="U301" i="24" s="1"/>
  <c r="V301" i="24" a="1"/>
  <c r="V301" i="24" s="1"/>
  <c r="W301" i="24" a="1"/>
  <c r="W301" i="24" s="1"/>
  <c r="X301" i="24" a="1"/>
  <c r="X301" i="24" s="1"/>
  <c r="K302" i="24" a="1"/>
  <c r="K302" i="24" s="1"/>
  <c r="L302" i="24" a="1"/>
  <c r="L302" i="24" s="1"/>
  <c r="M302" i="24" a="1"/>
  <c r="M302" i="24" s="1"/>
  <c r="N302" i="24" a="1"/>
  <c r="N302" i="24" s="1"/>
  <c r="O302" i="24" a="1"/>
  <c r="O302" i="24" s="1"/>
  <c r="P302" i="24" a="1"/>
  <c r="P302" i="24" s="1"/>
  <c r="Q302" i="24" a="1"/>
  <c r="Q302" i="24" s="1"/>
  <c r="R302" i="24" a="1"/>
  <c r="R302" i="24" s="1"/>
  <c r="U302" i="24" a="1"/>
  <c r="U302" i="24" s="1"/>
  <c r="V302" i="24" a="1"/>
  <c r="V302" i="24" s="1"/>
  <c r="W302" i="24" a="1"/>
  <c r="W302" i="24" s="1"/>
  <c r="X302" i="24" a="1"/>
  <c r="X302" i="24" s="1"/>
  <c r="K3" i="22" a="1"/>
  <c r="K3" i="22" s="1"/>
  <c r="L3" i="22" a="1"/>
  <c r="L3" i="22" s="1"/>
  <c r="M3" i="22" a="1"/>
  <c r="M3" i="22" s="1"/>
  <c r="N3" i="22" a="1"/>
  <c r="N3" i="22" s="1"/>
  <c r="O3" i="22" a="1"/>
  <c r="O3" i="22" s="1"/>
  <c r="P3" i="22" a="1"/>
  <c r="P3" i="22" s="1"/>
  <c r="Q3" i="22" a="1"/>
  <c r="Q3" i="22" s="1"/>
  <c r="R3" i="22" a="1"/>
  <c r="R3" i="22" s="1"/>
  <c r="U3" i="22" a="1"/>
  <c r="U3" i="22" s="1"/>
  <c r="V3" i="22" a="1"/>
  <c r="V3" i="22" s="1"/>
  <c r="W3" i="22" a="1"/>
  <c r="W3" i="22" s="1"/>
  <c r="X3" i="22" a="1"/>
  <c r="X3" i="22" s="1"/>
  <c r="K4" i="22" a="1"/>
  <c r="K4" i="22" s="1"/>
  <c r="L4" i="22" a="1"/>
  <c r="L4" i="22" s="1"/>
  <c r="M4" i="22" a="1"/>
  <c r="M4" i="22" s="1"/>
  <c r="N4" i="22" a="1"/>
  <c r="N4" i="22" s="1"/>
  <c r="O4" i="22" a="1"/>
  <c r="O4" i="22" s="1"/>
  <c r="P4" i="22" a="1"/>
  <c r="P4" i="22" s="1"/>
  <c r="Q4" i="22" a="1"/>
  <c r="Q4" i="22" s="1"/>
  <c r="R4" i="22" a="1"/>
  <c r="R4" i="22" s="1"/>
  <c r="U4" i="22" a="1"/>
  <c r="U4" i="22" s="1"/>
  <c r="V4" i="22" a="1"/>
  <c r="V4" i="22" s="1"/>
  <c r="W4" i="22" a="1"/>
  <c r="W4" i="22" s="1"/>
  <c r="X4" i="22" a="1"/>
  <c r="X4" i="22" s="1"/>
  <c r="K5" i="22" a="1"/>
  <c r="K5" i="22" s="1"/>
  <c r="L5" i="22" a="1"/>
  <c r="L5" i="22" s="1"/>
  <c r="M5" i="22" a="1"/>
  <c r="M5" i="22" s="1"/>
  <c r="N5" i="22" a="1"/>
  <c r="N5" i="22" s="1"/>
  <c r="O5" i="22" a="1"/>
  <c r="O5" i="22" s="1"/>
  <c r="P5" i="22" a="1"/>
  <c r="P5" i="22" s="1"/>
  <c r="Q5" i="22" a="1"/>
  <c r="Q5" i="22" s="1"/>
  <c r="R5" i="22" a="1"/>
  <c r="R5" i="22" s="1"/>
  <c r="U5" i="22" a="1"/>
  <c r="U5" i="22" s="1"/>
  <c r="V5" i="22" a="1"/>
  <c r="V5" i="22" s="1"/>
  <c r="W5" i="22" a="1"/>
  <c r="W5" i="22" s="1"/>
  <c r="X5" i="22" a="1"/>
  <c r="X5" i="22" s="1"/>
  <c r="K6" i="22" a="1"/>
  <c r="K6" i="22" s="1"/>
  <c r="L6" i="22" a="1"/>
  <c r="L6" i="22" s="1"/>
  <c r="M6" i="22" a="1"/>
  <c r="M6" i="22" s="1"/>
  <c r="N6" i="22" a="1"/>
  <c r="N6" i="22" s="1"/>
  <c r="O6" i="22" a="1"/>
  <c r="O6" i="22" s="1"/>
  <c r="P6" i="22" a="1"/>
  <c r="P6" i="22" s="1"/>
  <c r="Q6" i="22" a="1"/>
  <c r="Q6" i="22" s="1"/>
  <c r="R6" i="22" a="1"/>
  <c r="R6" i="22" s="1"/>
  <c r="U6" i="22" a="1"/>
  <c r="U6" i="22" s="1"/>
  <c r="V6" i="22" a="1"/>
  <c r="V6" i="22" s="1"/>
  <c r="W6" i="22" a="1"/>
  <c r="W6" i="22" s="1"/>
  <c r="X6" i="22" a="1"/>
  <c r="X6" i="22" s="1"/>
  <c r="K7" i="22" a="1"/>
  <c r="K7" i="22" s="1"/>
  <c r="L7" i="22" a="1"/>
  <c r="L7" i="22" s="1"/>
  <c r="M7" i="22" a="1"/>
  <c r="M7" i="22" s="1"/>
  <c r="N7" i="22" a="1"/>
  <c r="N7" i="22" s="1"/>
  <c r="O7" i="22" a="1"/>
  <c r="O7" i="22" s="1"/>
  <c r="P7" i="22" a="1"/>
  <c r="P7" i="22" s="1"/>
  <c r="Q7" i="22" a="1"/>
  <c r="Q7" i="22" s="1"/>
  <c r="R7" i="22" a="1"/>
  <c r="R7" i="22" s="1"/>
  <c r="U7" i="22" a="1"/>
  <c r="U7" i="22" s="1"/>
  <c r="V7" i="22" a="1"/>
  <c r="V7" i="22" s="1"/>
  <c r="W7" i="22" a="1"/>
  <c r="W7" i="22" s="1"/>
  <c r="X7" i="22" a="1"/>
  <c r="X7" i="22" s="1"/>
  <c r="K8" i="22" a="1"/>
  <c r="K8" i="22" s="1"/>
  <c r="L8" i="22" a="1"/>
  <c r="L8" i="22" s="1"/>
  <c r="M8" i="22" a="1"/>
  <c r="M8" i="22" s="1"/>
  <c r="N8" i="22" a="1"/>
  <c r="N8" i="22" s="1"/>
  <c r="O8" i="22" a="1"/>
  <c r="O8" i="22" s="1"/>
  <c r="P8" i="22" a="1"/>
  <c r="P8" i="22" s="1"/>
  <c r="Q8" i="22" a="1"/>
  <c r="Q8" i="22" s="1"/>
  <c r="R8" i="22" a="1"/>
  <c r="R8" i="22" s="1"/>
  <c r="U8" i="22" a="1"/>
  <c r="U8" i="22" s="1"/>
  <c r="V8" i="22" a="1"/>
  <c r="V8" i="22" s="1"/>
  <c r="W8" i="22" a="1"/>
  <c r="W8" i="22" s="1"/>
  <c r="X8" i="22" a="1"/>
  <c r="X8" i="22" s="1"/>
  <c r="K9" i="22" a="1"/>
  <c r="K9" i="22" s="1"/>
  <c r="L9" i="22" a="1"/>
  <c r="L9" i="22" s="1"/>
  <c r="M9" i="22" a="1"/>
  <c r="M9" i="22" s="1"/>
  <c r="N9" i="22" a="1"/>
  <c r="N9" i="22" s="1"/>
  <c r="O9" i="22" a="1"/>
  <c r="O9" i="22" s="1"/>
  <c r="P9" i="22" a="1"/>
  <c r="P9" i="22" s="1"/>
  <c r="Q9" i="22" a="1"/>
  <c r="Q9" i="22" s="1"/>
  <c r="R9" i="22" a="1"/>
  <c r="R9" i="22" s="1"/>
  <c r="U9" i="22" a="1"/>
  <c r="U9" i="22" s="1"/>
  <c r="V9" i="22" a="1"/>
  <c r="V9" i="22" s="1"/>
  <c r="W9" i="22" a="1"/>
  <c r="W9" i="22" s="1"/>
  <c r="X9" i="22" a="1"/>
  <c r="X9" i="22" s="1"/>
  <c r="K10" i="22" a="1"/>
  <c r="K10" i="22" s="1"/>
  <c r="L10" i="22" a="1"/>
  <c r="L10" i="22" s="1"/>
  <c r="M10" i="22" a="1"/>
  <c r="M10" i="22" s="1"/>
  <c r="N10" i="22" a="1"/>
  <c r="N10" i="22" s="1"/>
  <c r="O10" i="22" a="1"/>
  <c r="O10" i="22" s="1"/>
  <c r="P10" i="22" a="1"/>
  <c r="P10" i="22" s="1"/>
  <c r="Q10" i="22" a="1"/>
  <c r="Q10" i="22" s="1"/>
  <c r="R10" i="22" a="1"/>
  <c r="R10" i="22" s="1"/>
  <c r="U10" i="22" a="1"/>
  <c r="U10" i="22" s="1"/>
  <c r="V10" i="22" a="1"/>
  <c r="V10" i="22" s="1"/>
  <c r="W10" i="22" a="1"/>
  <c r="W10" i="22" s="1"/>
  <c r="X10" i="22" a="1"/>
  <c r="X10" i="22" s="1"/>
  <c r="K11" i="22" a="1"/>
  <c r="K11" i="22" s="1"/>
  <c r="L11" i="22" a="1"/>
  <c r="L11" i="22" s="1"/>
  <c r="M11" i="22" a="1"/>
  <c r="M11" i="22" s="1"/>
  <c r="N11" i="22" a="1"/>
  <c r="N11" i="22" s="1"/>
  <c r="O11" i="22" a="1"/>
  <c r="O11" i="22" s="1"/>
  <c r="P11" i="22" a="1"/>
  <c r="P11" i="22" s="1"/>
  <c r="Q11" i="22" a="1"/>
  <c r="Q11" i="22" s="1"/>
  <c r="R11" i="22" a="1"/>
  <c r="R11" i="22" s="1"/>
  <c r="U11" i="22" a="1"/>
  <c r="U11" i="22" s="1"/>
  <c r="V11" i="22" a="1"/>
  <c r="V11" i="22" s="1"/>
  <c r="W11" i="22" a="1"/>
  <c r="W11" i="22" s="1"/>
  <c r="X11" i="22" a="1"/>
  <c r="X11" i="22" s="1"/>
  <c r="K12" i="22" a="1"/>
  <c r="K12" i="22" s="1"/>
  <c r="L12" i="22" a="1"/>
  <c r="L12" i="22" s="1"/>
  <c r="M12" i="22" a="1"/>
  <c r="M12" i="22" s="1"/>
  <c r="N12" i="22" a="1"/>
  <c r="N12" i="22" s="1"/>
  <c r="O12" i="22" a="1"/>
  <c r="O12" i="22" s="1"/>
  <c r="P12" i="22" a="1"/>
  <c r="P12" i="22" s="1"/>
  <c r="Q12" i="22" a="1"/>
  <c r="Q12" i="22" s="1"/>
  <c r="R12" i="22" a="1"/>
  <c r="R12" i="22" s="1"/>
  <c r="U12" i="22" a="1"/>
  <c r="U12" i="22" s="1"/>
  <c r="V12" i="22" a="1"/>
  <c r="V12" i="22" s="1"/>
  <c r="W12" i="22" a="1"/>
  <c r="W12" i="22" s="1"/>
  <c r="X12" i="22" a="1"/>
  <c r="X12" i="22" s="1"/>
  <c r="K13" i="22" a="1"/>
  <c r="K13" i="22" s="1"/>
  <c r="L13" i="22" a="1"/>
  <c r="L13" i="22" s="1"/>
  <c r="M13" i="22" a="1"/>
  <c r="M13" i="22" s="1"/>
  <c r="N13" i="22" a="1"/>
  <c r="N13" i="22" s="1"/>
  <c r="O13" i="22" a="1"/>
  <c r="O13" i="22" s="1"/>
  <c r="P13" i="22" a="1"/>
  <c r="P13" i="22" s="1"/>
  <c r="Q13" i="22" a="1"/>
  <c r="Q13" i="22" s="1"/>
  <c r="R13" i="22" a="1"/>
  <c r="R13" i="22" s="1"/>
  <c r="U13" i="22" a="1"/>
  <c r="U13" i="22" s="1"/>
  <c r="V13" i="22" a="1"/>
  <c r="V13" i="22" s="1"/>
  <c r="W13" i="22" a="1"/>
  <c r="W13" i="22" s="1"/>
  <c r="X13" i="22" a="1"/>
  <c r="X13" i="22" s="1"/>
  <c r="K14" i="22" a="1"/>
  <c r="K14" i="22" s="1"/>
  <c r="L14" i="22" a="1"/>
  <c r="L14" i="22" s="1"/>
  <c r="M14" i="22" a="1"/>
  <c r="M14" i="22" s="1"/>
  <c r="N14" i="22" a="1"/>
  <c r="N14" i="22" s="1"/>
  <c r="O14" i="22" a="1"/>
  <c r="O14" i="22" s="1"/>
  <c r="P14" i="22" a="1"/>
  <c r="P14" i="22" s="1"/>
  <c r="Q14" i="22" a="1"/>
  <c r="Q14" i="22" s="1"/>
  <c r="R14" i="22" a="1"/>
  <c r="R14" i="22" s="1"/>
  <c r="U14" i="22" a="1"/>
  <c r="U14" i="22" s="1"/>
  <c r="V14" i="22" a="1"/>
  <c r="V14" i="22" s="1"/>
  <c r="W14" i="22" a="1"/>
  <c r="W14" i="22" s="1"/>
  <c r="X14" i="22" a="1"/>
  <c r="X14" i="22" s="1"/>
  <c r="K15" i="22" a="1"/>
  <c r="K15" i="22" s="1"/>
  <c r="L15" i="22" a="1"/>
  <c r="L15" i="22" s="1"/>
  <c r="M15" i="22" a="1"/>
  <c r="M15" i="22" s="1"/>
  <c r="N15" i="22" a="1"/>
  <c r="N15" i="22" s="1"/>
  <c r="O15" i="22" a="1"/>
  <c r="O15" i="22" s="1"/>
  <c r="P15" i="22" a="1"/>
  <c r="P15" i="22" s="1"/>
  <c r="Q15" i="22" a="1"/>
  <c r="Q15" i="22" s="1"/>
  <c r="R15" i="22" a="1"/>
  <c r="R15" i="22" s="1"/>
  <c r="U15" i="22" a="1"/>
  <c r="U15" i="22" s="1"/>
  <c r="V15" i="22" a="1"/>
  <c r="V15" i="22" s="1"/>
  <c r="W15" i="22" a="1"/>
  <c r="W15" i="22" s="1"/>
  <c r="X15" i="22" a="1"/>
  <c r="X15" i="22" s="1"/>
  <c r="K16" i="22" a="1"/>
  <c r="K16" i="22" s="1"/>
  <c r="L16" i="22" a="1"/>
  <c r="L16" i="22" s="1"/>
  <c r="M16" i="22" a="1"/>
  <c r="M16" i="22" s="1"/>
  <c r="N16" i="22" a="1"/>
  <c r="N16" i="22" s="1"/>
  <c r="O16" i="22" a="1"/>
  <c r="O16" i="22" s="1"/>
  <c r="P16" i="22" a="1"/>
  <c r="P16" i="22" s="1"/>
  <c r="Q16" i="22" a="1"/>
  <c r="Q16" i="22" s="1"/>
  <c r="R16" i="22" a="1"/>
  <c r="R16" i="22" s="1"/>
  <c r="U16" i="22" a="1"/>
  <c r="U16" i="22" s="1"/>
  <c r="V16" i="22" a="1"/>
  <c r="V16" i="22" s="1"/>
  <c r="W16" i="22" a="1"/>
  <c r="W16" i="22" s="1"/>
  <c r="X16" i="22" a="1"/>
  <c r="X16" i="22" s="1"/>
  <c r="K17" i="22" a="1"/>
  <c r="K17" i="22" s="1"/>
  <c r="L17" i="22" a="1"/>
  <c r="L17" i="22" s="1"/>
  <c r="M17" i="22" a="1"/>
  <c r="M17" i="22" s="1"/>
  <c r="N17" i="22" a="1"/>
  <c r="N17" i="22" s="1"/>
  <c r="O17" i="22" a="1"/>
  <c r="O17" i="22" s="1"/>
  <c r="P17" i="22" a="1"/>
  <c r="P17" i="22" s="1"/>
  <c r="Q17" i="22" a="1"/>
  <c r="Q17" i="22" s="1"/>
  <c r="R17" i="22" a="1"/>
  <c r="R17" i="22" s="1"/>
  <c r="U17" i="22" a="1"/>
  <c r="U17" i="22" s="1"/>
  <c r="V17" i="22" a="1"/>
  <c r="V17" i="22" s="1"/>
  <c r="W17" i="22" a="1"/>
  <c r="W17" i="22" s="1"/>
  <c r="X17" i="22" a="1"/>
  <c r="X17" i="22" s="1"/>
  <c r="K18" i="22" a="1"/>
  <c r="K18" i="22" s="1"/>
  <c r="L18" i="22" a="1"/>
  <c r="L18" i="22" s="1"/>
  <c r="M18" i="22" a="1"/>
  <c r="M18" i="22" s="1"/>
  <c r="N18" i="22" a="1"/>
  <c r="N18" i="22" s="1"/>
  <c r="O18" i="22" a="1"/>
  <c r="O18" i="22" s="1"/>
  <c r="P18" i="22" a="1"/>
  <c r="P18" i="22" s="1"/>
  <c r="Q18" i="22" a="1"/>
  <c r="Q18" i="22" s="1"/>
  <c r="R18" i="22" a="1"/>
  <c r="R18" i="22" s="1"/>
  <c r="U18" i="22" a="1"/>
  <c r="U18" i="22" s="1"/>
  <c r="V18" i="22" a="1"/>
  <c r="V18" i="22" s="1"/>
  <c r="W18" i="22" a="1"/>
  <c r="W18" i="22" s="1"/>
  <c r="X18" i="22" a="1"/>
  <c r="X18" i="22" s="1"/>
  <c r="K19" i="22" a="1"/>
  <c r="K19" i="22" s="1"/>
  <c r="L19" i="22" a="1"/>
  <c r="L19" i="22" s="1"/>
  <c r="M19" i="22" a="1"/>
  <c r="M19" i="22" s="1"/>
  <c r="N19" i="22" a="1"/>
  <c r="N19" i="22" s="1"/>
  <c r="O19" i="22" a="1"/>
  <c r="O19" i="22" s="1"/>
  <c r="P19" i="22" a="1"/>
  <c r="P19" i="22" s="1"/>
  <c r="Q19" i="22" a="1"/>
  <c r="Q19" i="22" s="1"/>
  <c r="R19" i="22" a="1"/>
  <c r="R19" i="22" s="1"/>
  <c r="U19" i="22" a="1"/>
  <c r="U19" i="22" s="1"/>
  <c r="V19" i="22" a="1"/>
  <c r="V19" i="22" s="1"/>
  <c r="W19" i="22" a="1"/>
  <c r="W19" i="22" s="1"/>
  <c r="X19" i="22" a="1"/>
  <c r="X19" i="22" s="1"/>
  <c r="K20" i="22" a="1"/>
  <c r="K20" i="22" s="1"/>
  <c r="L20" i="22" a="1"/>
  <c r="L20" i="22" s="1"/>
  <c r="M20" i="22" a="1"/>
  <c r="M20" i="22" s="1"/>
  <c r="N20" i="22" a="1"/>
  <c r="N20" i="22" s="1"/>
  <c r="O20" i="22" a="1"/>
  <c r="O20" i="22" s="1"/>
  <c r="P20" i="22" a="1"/>
  <c r="P20" i="22" s="1"/>
  <c r="Q20" i="22" a="1"/>
  <c r="Q20" i="22" s="1"/>
  <c r="R20" i="22" a="1"/>
  <c r="R20" i="22" s="1"/>
  <c r="U20" i="22" a="1"/>
  <c r="U20" i="22" s="1"/>
  <c r="V20" i="22" a="1"/>
  <c r="V20" i="22" s="1"/>
  <c r="W20" i="22" a="1"/>
  <c r="W20" i="22" s="1"/>
  <c r="X20" i="22" a="1"/>
  <c r="X20" i="22" s="1"/>
  <c r="K21" i="22" a="1"/>
  <c r="K21" i="22" s="1"/>
  <c r="L21" i="22" a="1"/>
  <c r="L21" i="22" s="1"/>
  <c r="M21" i="22" a="1"/>
  <c r="M21" i="22" s="1"/>
  <c r="N21" i="22" a="1"/>
  <c r="N21" i="22" s="1"/>
  <c r="O21" i="22" a="1"/>
  <c r="O21" i="22" s="1"/>
  <c r="P21" i="22" a="1"/>
  <c r="P21" i="22" s="1"/>
  <c r="Q21" i="22" a="1"/>
  <c r="Q21" i="22" s="1"/>
  <c r="R21" i="22" a="1"/>
  <c r="R21" i="22" s="1"/>
  <c r="U21" i="22" a="1"/>
  <c r="U21" i="22" s="1"/>
  <c r="V21" i="22" a="1"/>
  <c r="V21" i="22" s="1"/>
  <c r="W21" i="22" a="1"/>
  <c r="W21" i="22" s="1"/>
  <c r="X21" i="22" a="1"/>
  <c r="X21" i="22" s="1"/>
  <c r="K22" i="22" a="1"/>
  <c r="K22" i="22" s="1"/>
  <c r="L22" i="22" a="1"/>
  <c r="L22" i="22" s="1"/>
  <c r="M22" i="22" a="1"/>
  <c r="M22" i="22" s="1"/>
  <c r="N22" i="22" a="1"/>
  <c r="N22" i="22" s="1"/>
  <c r="O22" i="22" a="1"/>
  <c r="O22" i="22" s="1"/>
  <c r="P22" i="22" a="1"/>
  <c r="P22" i="22" s="1"/>
  <c r="Q22" i="22" a="1"/>
  <c r="Q22" i="22" s="1"/>
  <c r="R22" i="22" a="1"/>
  <c r="R22" i="22" s="1"/>
  <c r="U22" i="22" a="1"/>
  <c r="U22" i="22" s="1"/>
  <c r="V22" i="22" a="1"/>
  <c r="V22" i="22" s="1"/>
  <c r="W22" i="22" a="1"/>
  <c r="W22" i="22" s="1"/>
  <c r="X22" i="22" a="1"/>
  <c r="X22" i="22" s="1"/>
  <c r="K23" i="22" a="1"/>
  <c r="K23" i="22" s="1"/>
  <c r="L23" i="22" a="1"/>
  <c r="L23" i="22" s="1"/>
  <c r="M23" i="22" a="1"/>
  <c r="M23" i="22" s="1"/>
  <c r="N23" i="22" a="1"/>
  <c r="N23" i="22" s="1"/>
  <c r="O23" i="22" a="1"/>
  <c r="O23" i="22" s="1"/>
  <c r="P23" i="22" a="1"/>
  <c r="P23" i="22" s="1"/>
  <c r="Q23" i="22" a="1"/>
  <c r="Q23" i="22" s="1"/>
  <c r="R23" i="22" a="1"/>
  <c r="R23" i="22" s="1"/>
  <c r="U23" i="22" a="1"/>
  <c r="U23" i="22" s="1"/>
  <c r="V23" i="22" a="1"/>
  <c r="V23" i="22" s="1"/>
  <c r="W23" i="22" a="1"/>
  <c r="W23" i="22" s="1"/>
  <c r="X23" i="22" a="1"/>
  <c r="X23" i="22" s="1"/>
  <c r="K24" i="22" a="1"/>
  <c r="K24" i="22" s="1"/>
  <c r="L24" i="22" a="1"/>
  <c r="L24" i="22" s="1"/>
  <c r="M24" i="22" a="1"/>
  <c r="M24" i="22" s="1"/>
  <c r="N24" i="22" a="1"/>
  <c r="N24" i="22" s="1"/>
  <c r="O24" i="22" a="1"/>
  <c r="O24" i="22" s="1"/>
  <c r="P24" i="22" a="1"/>
  <c r="P24" i="22" s="1"/>
  <c r="Q24" i="22" a="1"/>
  <c r="Q24" i="22" s="1"/>
  <c r="R24" i="22" a="1"/>
  <c r="R24" i="22" s="1"/>
  <c r="U24" i="22" a="1"/>
  <c r="U24" i="22" s="1"/>
  <c r="V24" i="22" a="1"/>
  <c r="V24" i="22" s="1"/>
  <c r="W24" i="22" a="1"/>
  <c r="W24" i="22" s="1"/>
  <c r="X24" i="22" a="1"/>
  <c r="X24" i="22" s="1"/>
  <c r="K25" i="22" a="1"/>
  <c r="K25" i="22" s="1"/>
  <c r="L25" i="22" a="1"/>
  <c r="L25" i="22" s="1"/>
  <c r="M25" i="22" a="1"/>
  <c r="M25" i="22" s="1"/>
  <c r="N25" i="22" a="1"/>
  <c r="N25" i="22" s="1"/>
  <c r="O25" i="22" a="1"/>
  <c r="O25" i="22" s="1"/>
  <c r="P25" i="22" a="1"/>
  <c r="P25" i="22" s="1"/>
  <c r="Q25" i="22" a="1"/>
  <c r="Q25" i="22" s="1"/>
  <c r="R25" i="22" a="1"/>
  <c r="R25" i="22" s="1"/>
  <c r="U25" i="22" a="1"/>
  <c r="U25" i="22" s="1"/>
  <c r="V25" i="22" a="1"/>
  <c r="V25" i="22" s="1"/>
  <c r="W25" i="22" a="1"/>
  <c r="W25" i="22" s="1"/>
  <c r="X25" i="22" a="1"/>
  <c r="X25" i="22" s="1"/>
  <c r="K26" i="22" a="1"/>
  <c r="K26" i="22" s="1"/>
  <c r="L26" i="22" a="1"/>
  <c r="L26" i="22" s="1"/>
  <c r="M26" i="22" a="1"/>
  <c r="M26" i="22" s="1"/>
  <c r="N26" i="22" a="1"/>
  <c r="N26" i="22" s="1"/>
  <c r="O26" i="22" a="1"/>
  <c r="O26" i="22" s="1"/>
  <c r="P26" i="22" a="1"/>
  <c r="P26" i="22" s="1"/>
  <c r="Q26" i="22" a="1"/>
  <c r="Q26" i="22" s="1"/>
  <c r="R26" i="22" a="1"/>
  <c r="R26" i="22" s="1"/>
  <c r="U26" i="22" a="1"/>
  <c r="U26" i="22" s="1"/>
  <c r="V26" i="22" a="1"/>
  <c r="V26" i="22" s="1"/>
  <c r="W26" i="22" a="1"/>
  <c r="W26" i="22" s="1"/>
  <c r="X26" i="22" a="1"/>
  <c r="X26" i="22" s="1"/>
  <c r="K27" i="22" a="1"/>
  <c r="K27" i="22" s="1"/>
  <c r="L27" i="22" a="1"/>
  <c r="L27" i="22" s="1"/>
  <c r="M27" i="22" a="1"/>
  <c r="M27" i="22" s="1"/>
  <c r="N27" i="22" a="1"/>
  <c r="N27" i="22" s="1"/>
  <c r="O27" i="22" a="1"/>
  <c r="O27" i="22" s="1"/>
  <c r="P27" i="22" a="1"/>
  <c r="P27" i="22" s="1"/>
  <c r="Q27" i="22" a="1"/>
  <c r="Q27" i="22" s="1"/>
  <c r="R27" i="22" a="1"/>
  <c r="R27" i="22" s="1"/>
  <c r="U27" i="22" a="1"/>
  <c r="U27" i="22" s="1"/>
  <c r="V27" i="22" a="1"/>
  <c r="V27" i="22" s="1"/>
  <c r="W27" i="22" a="1"/>
  <c r="W27" i="22" s="1"/>
  <c r="X27" i="22" a="1"/>
  <c r="X27" i="22" s="1"/>
  <c r="K28" i="22" a="1"/>
  <c r="K28" i="22" s="1"/>
  <c r="L28" i="22" a="1"/>
  <c r="L28" i="22" s="1"/>
  <c r="M28" i="22" a="1"/>
  <c r="M28" i="22" s="1"/>
  <c r="N28" i="22" a="1"/>
  <c r="N28" i="22" s="1"/>
  <c r="O28" i="22" a="1"/>
  <c r="O28" i="22" s="1"/>
  <c r="P28" i="22" a="1"/>
  <c r="P28" i="22" s="1"/>
  <c r="Q28" i="22" a="1"/>
  <c r="Q28" i="22" s="1"/>
  <c r="R28" i="22" a="1"/>
  <c r="R28" i="22" s="1"/>
  <c r="U28" i="22" a="1"/>
  <c r="U28" i="22" s="1"/>
  <c r="V28" i="22" a="1"/>
  <c r="V28" i="22" s="1"/>
  <c r="W28" i="22" a="1"/>
  <c r="W28" i="22" s="1"/>
  <c r="X28" i="22" a="1"/>
  <c r="X28" i="22" s="1"/>
  <c r="K29" i="22" a="1"/>
  <c r="K29" i="22" s="1"/>
  <c r="L29" i="22" a="1"/>
  <c r="L29" i="22" s="1"/>
  <c r="M29" i="22" a="1"/>
  <c r="M29" i="22" s="1"/>
  <c r="N29" i="22" a="1"/>
  <c r="N29" i="22" s="1"/>
  <c r="O29" i="22" a="1"/>
  <c r="O29" i="22" s="1"/>
  <c r="P29" i="22" a="1"/>
  <c r="P29" i="22" s="1"/>
  <c r="Q29" i="22" a="1"/>
  <c r="Q29" i="22" s="1"/>
  <c r="R29" i="22" a="1"/>
  <c r="R29" i="22" s="1"/>
  <c r="U29" i="22" a="1"/>
  <c r="U29" i="22" s="1"/>
  <c r="V29" i="22" a="1"/>
  <c r="V29" i="22" s="1"/>
  <c r="W29" i="22" a="1"/>
  <c r="W29" i="22" s="1"/>
  <c r="X29" i="22" a="1"/>
  <c r="X29" i="22" s="1"/>
  <c r="K30" i="22" a="1"/>
  <c r="K30" i="22" s="1"/>
  <c r="L30" i="22" a="1"/>
  <c r="L30" i="22" s="1"/>
  <c r="M30" i="22" a="1"/>
  <c r="M30" i="22" s="1"/>
  <c r="N30" i="22" a="1"/>
  <c r="N30" i="22" s="1"/>
  <c r="O30" i="22" a="1"/>
  <c r="O30" i="22" s="1"/>
  <c r="P30" i="22" a="1"/>
  <c r="P30" i="22" s="1"/>
  <c r="Q30" i="22" a="1"/>
  <c r="Q30" i="22" s="1"/>
  <c r="R30" i="22" a="1"/>
  <c r="R30" i="22" s="1"/>
  <c r="U30" i="22" a="1"/>
  <c r="U30" i="22" s="1"/>
  <c r="V30" i="22" a="1"/>
  <c r="V30" i="22" s="1"/>
  <c r="W30" i="22" a="1"/>
  <c r="W30" i="22" s="1"/>
  <c r="X30" i="22" a="1"/>
  <c r="X30" i="22" s="1"/>
  <c r="K31" i="22" a="1"/>
  <c r="K31" i="22" s="1"/>
  <c r="L31" i="22" a="1"/>
  <c r="L31" i="22" s="1"/>
  <c r="M31" i="22" a="1"/>
  <c r="M31" i="22" s="1"/>
  <c r="N31" i="22" a="1"/>
  <c r="N31" i="22" s="1"/>
  <c r="O31" i="22" a="1"/>
  <c r="O31" i="22" s="1"/>
  <c r="P31" i="22" a="1"/>
  <c r="P31" i="22" s="1"/>
  <c r="Q31" i="22" a="1"/>
  <c r="Q31" i="22" s="1"/>
  <c r="R31" i="22" a="1"/>
  <c r="R31" i="22" s="1"/>
  <c r="U31" i="22" a="1"/>
  <c r="U31" i="22" s="1"/>
  <c r="V31" i="22" a="1"/>
  <c r="V31" i="22" s="1"/>
  <c r="W31" i="22" a="1"/>
  <c r="W31" i="22" s="1"/>
  <c r="X31" i="22" a="1"/>
  <c r="X31" i="22" s="1"/>
  <c r="K32" i="22" a="1"/>
  <c r="K32" i="22" s="1"/>
  <c r="L32" i="22" a="1"/>
  <c r="L32" i="22" s="1"/>
  <c r="M32" i="22" a="1"/>
  <c r="M32" i="22" s="1"/>
  <c r="N32" i="22" a="1"/>
  <c r="N32" i="22" s="1"/>
  <c r="O32" i="22" a="1"/>
  <c r="O32" i="22" s="1"/>
  <c r="P32" i="22" a="1"/>
  <c r="P32" i="22" s="1"/>
  <c r="Q32" i="22" a="1"/>
  <c r="Q32" i="22" s="1"/>
  <c r="R32" i="22" a="1"/>
  <c r="R32" i="22" s="1"/>
  <c r="U32" i="22" a="1"/>
  <c r="U32" i="22" s="1"/>
  <c r="V32" i="22" a="1"/>
  <c r="V32" i="22" s="1"/>
  <c r="W32" i="22" a="1"/>
  <c r="W32" i="22" s="1"/>
  <c r="X32" i="22" a="1"/>
  <c r="X32" i="22" s="1"/>
  <c r="K33" i="22" a="1"/>
  <c r="K33" i="22" s="1"/>
  <c r="L33" i="22" a="1"/>
  <c r="L33" i="22" s="1"/>
  <c r="M33" i="22" a="1"/>
  <c r="M33" i="22" s="1"/>
  <c r="N33" i="22" a="1"/>
  <c r="N33" i="22" s="1"/>
  <c r="O33" i="22" a="1"/>
  <c r="O33" i="22" s="1"/>
  <c r="P33" i="22" a="1"/>
  <c r="P33" i="22" s="1"/>
  <c r="Q33" i="22" a="1"/>
  <c r="Q33" i="22" s="1"/>
  <c r="R33" i="22" a="1"/>
  <c r="R33" i="22" s="1"/>
  <c r="U33" i="22" a="1"/>
  <c r="U33" i="22" s="1"/>
  <c r="V33" i="22" a="1"/>
  <c r="V33" i="22" s="1"/>
  <c r="W33" i="22" a="1"/>
  <c r="W33" i="22" s="1"/>
  <c r="X33" i="22" a="1"/>
  <c r="X33" i="22" s="1"/>
  <c r="K34" i="22" a="1"/>
  <c r="K34" i="22" s="1"/>
  <c r="L34" i="22" a="1"/>
  <c r="L34" i="22" s="1"/>
  <c r="M34" i="22" a="1"/>
  <c r="M34" i="22" s="1"/>
  <c r="N34" i="22" a="1"/>
  <c r="N34" i="22" s="1"/>
  <c r="O34" i="22" a="1"/>
  <c r="O34" i="22" s="1"/>
  <c r="P34" i="22" a="1"/>
  <c r="P34" i="22" s="1"/>
  <c r="Q34" i="22" a="1"/>
  <c r="Q34" i="22" s="1"/>
  <c r="R34" i="22" a="1"/>
  <c r="R34" i="22" s="1"/>
  <c r="U34" i="22" a="1"/>
  <c r="U34" i="22" s="1"/>
  <c r="V34" i="22" a="1"/>
  <c r="V34" i="22" s="1"/>
  <c r="W34" i="22" a="1"/>
  <c r="W34" i="22" s="1"/>
  <c r="X34" i="22" a="1"/>
  <c r="X34" i="22" s="1"/>
  <c r="K35" i="22" a="1"/>
  <c r="K35" i="22" s="1"/>
  <c r="L35" i="22" a="1"/>
  <c r="L35" i="22" s="1"/>
  <c r="M35" i="22" a="1"/>
  <c r="M35" i="22" s="1"/>
  <c r="N35" i="22" a="1"/>
  <c r="N35" i="22" s="1"/>
  <c r="O35" i="22" a="1"/>
  <c r="O35" i="22" s="1"/>
  <c r="P35" i="22" a="1"/>
  <c r="P35" i="22" s="1"/>
  <c r="Q35" i="22" a="1"/>
  <c r="Q35" i="22" s="1"/>
  <c r="R35" i="22" a="1"/>
  <c r="R35" i="22" s="1"/>
  <c r="U35" i="22" a="1"/>
  <c r="U35" i="22" s="1"/>
  <c r="V35" i="22" a="1"/>
  <c r="V35" i="22" s="1"/>
  <c r="W35" i="22" a="1"/>
  <c r="W35" i="22" s="1"/>
  <c r="X35" i="22" a="1"/>
  <c r="X35" i="22" s="1"/>
  <c r="K36" i="22" a="1"/>
  <c r="K36" i="22" s="1"/>
  <c r="L36" i="22" a="1"/>
  <c r="L36" i="22" s="1"/>
  <c r="M36" i="22" a="1"/>
  <c r="M36" i="22" s="1"/>
  <c r="N36" i="22" a="1"/>
  <c r="N36" i="22" s="1"/>
  <c r="O36" i="22" a="1"/>
  <c r="O36" i="22" s="1"/>
  <c r="P36" i="22" a="1"/>
  <c r="P36" i="22" s="1"/>
  <c r="Q36" i="22" a="1"/>
  <c r="Q36" i="22" s="1"/>
  <c r="R36" i="22" a="1"/>
  <c r="R36" i="22" s="1"/>
  <c r="U36" i="22" a="1"/>
  <c r="U36" i="22" s="1"/>
  <c r="V36" i="22" a="1"/>
  <c r="V36" i="22" s="1"/>
  <c r="W36" i="22" a="1"/>
  <c r="W36" i="22" s="1"/>
  <c r="X36" i="22" a="1"/>
  <c r="X36" i="22" s="1"/>
  <c r="K37" i="22" a="1"/>
  <c r="K37" i="22" s="1"/>
  <c r="L37" i="22" a="1"/>
  <c r="L37" i="22" s="1"/>
  <c r="M37" i="22" a="1"/>
  <c r="M37" i="22" s="1"/>
  <c r="N37" i="22" a="1"/>
  <c r="N37" i="22" s="1"/>
  <c r="O37" i="22" a="1"/>
  <c r="O37" i="22" s="1"/>
  <c r="P37" i="22" a="1"/>
  <c r="P37" i="22" s="1"/>
  <c r="Q37" i="22" a="1"/>
  <c r="Q37" i="22" s="1"/>
  <c r="R37" i="22" a="1"/>
  <c r="R37" i="22" s="1"/>
  <c r="U37" i="22" a="1"/>
  <c r="U37" i="22" s="1"/>
  <c r="V37" i="22" a="1"/>
  <c r="V37" i="22" s="1"/>
  <c r="W37" i="22" a="1"/>
  <c r="W37" i="22" s="1"/>
  <c r="X37" i="22" a="1"/>
  <c r="X37" i="22" s="1"/>
  <c r="K38" i="22" a="1"/>
  <c r="K38" i="22" s="1"/>
  <c r="L38" i="22" a="1"/>
  <c r="L38" i="22" s="1"/>
  <c r="M38" i="22" a="1"/>
  <c r="M38" i="22" s="1"/>
  <c r="N38" i="22" a="1"/>
  <c r="N38" i="22" s="1"/>
  <c r="O38" i="22" a="1"/>
  <c r="O38" i="22" s="1"/>
  <c r="P38" i="22" a="1"/>
  <c r="P38" i="22" s="1"/>
  <c r="Q38" i="22" a="1"/>
  <c r="Q38" i="22" s="1"/>
  <c r="R38" i="22" a="1"/>
  <c r="R38" i="22" s="1"/>
  <c r="U38" i="22" a="1"/>
  <c r="U38" i="22" s="1"/>
  <c r="V38" i="22" a="1"/>
  <c r="V38" i="22" s="1"/>
  <c r="W38" i="22" a="1"/>
  <c r="W38" i="22" s="1"/>
  <c r="X38" i="22" a="1"/>
  <c r="X38" i="22" s="1"/>
  <c r="K39" i="22" a="1"/>
  <c r="K39" i="22" s="1"/>
  <c r="L39" i="22" a="1"/>
  <c r="L39" i="22" s="1"/>
  <c r="M39" i="22" a="1"/>
  <c r="M39" i="22" s="1"/>
  <c r="N39" i="22" a="1"/>
  <c r="N39" i="22" s="1"/>
  <c r="O39" i="22" a="1"/>
  <c r="O39" i="22" s="1"/>
  <c r="P39" i="22" a="1"/>
  <c r="P39" i="22" s="1"/>
  <c r="Q39" i="22" a="1"/>
  <c r="Q39" i="22" s="1"/>
  <c r="R39" i="22" a="1"/>
  <c r="R39" i="22" s="1"/>
  <c r="U39" i="22" a="1"/>
  <c r="U39" i="22" s="1"/>
  <c r="V39" i="22" a="1"/>
  <c r="V39" i="22" s="1"/>
  <c r="W39" i="22" a="1"/>
  <c r="W39" i="22" s="1"/>
  <c r="X39" i="22" a="1"/>
  <c r="X39" i="22" s="1"/>
  <c r="K40" i="22" a="1"/>
  <c r="K40" i="22" s="1"/>
  <c r="L40" i="22" a="1"/>
  <c r="L40" i="22" s="1"/>
  <c r="M40" i="22" a="1"/>
  <c r="M40" i="22" s="1"/>
  <c r="N40" i="22" a="1"/>
  <c r="N40" i="22" s="1"/>
  <c r="O40" i="22" a="1"/>
  <c r="O40" i="22" s="1"/>
  <c r="P40" i="22" a="1"/>
  <c r="P40" i="22" s="1"/>
  <c r="Q40" i="22" a="1"/>
  <c r="Q40" i="22" s="1"/>
  <c r="R40" i="22" a="1"/>
  <c r="R40" i="22" s="1"/>
  <c r="U40" i="22" a="1"/>
  <c r="U40" i="22" s="1"/>
  <c r="V40" i="22" a="1"/>
  <c r="V40" i="22" s="1"/>
  <c r="W40" i="22" a="1"/>
  <c r="W40" i="22" s="1"/>
  <c r="X40" i="22" a="1"/>
  <c r="X40" i="22" s="1"/>
  <c r="K41" i="22" a="1"/>
  <c r="K41" i="22" s="1"/>
  <c r="L41" i="22" a="1"/>
  <c r="L41" i="22" s="1"/>
  <c r="M41" i="22" a="1"/>
  <c r="M41" i="22" s="1"/>
  <c r="N41" i="22" a="1"/>
  <c r="N41" i="22" s="1"/>
  <c r="O41" i="22" a="1"/>
  <c r="O41" i="22" s="1"/>
  <c r="P41" i="22" a="1"/>
  <c r="P41" i="22" s="1"/>
  <c r="Q41" i="22" a="1"/>
  <c r="Q41" i="22" s="1"/>
  <c r="R41" i="22" a="1"/>
  <c r="R41" i="22" s="1"/>
  <c r="U41" i="22" a="1"/>
  <c r="U41" i="22" s="1"/>
  <c r="V41" i="22" a="1"/>
  <c r="V41" i="22" s="1"/>
  <c r="W41" i="22" a="1"/>
  <c r="W41" i="22" s="1"/>
  <c r="X41" i="22" a="1"/>
  <c r="X41" i="22" s="1"/>
  <c r="K42" i="22" a="1"/>
  <c r="K42" i="22" s="1"/>
  <c r="L42" i="22" a="1"/>
  <c r="L42" i="22" s="1"/>
  <c r="M42" i="22" a="1"/>
  <c r="M42" i="22" s="1"/>
  <c r="N42" i="22" a="1"/>
  <c r="N42" i="22" s="1"/>
  <c r="O42" i="22" a="1"/>
  <c r="O42" i="22" s="1"/>
  <c r="P42" i="22" a="1"/>
  <c r="P42" i="22" s="1"/>
  <c r="Q42" i="22" a="1"/>
  <c r="Q42" i="22" s="1"/>
  <c r="R42" i="22" a="1"/>
  <c r="R42" i="22" s="1"/>
  <c r="U42" i="22" a="1"/>
  <c r="U42" i="22" s="1"/>
  <c r="V42" i="22" a="1"/>
  <c r="V42" i="22" s="1"/>
  <c r="W42" i="22" a="1"/>
  <c r="W42" i="22" s="1"/>
  <c r="X42" i="22" a="1"/>
  <c r="X42" i="22" s="1"/>
  <c r="K43" i="22" a="1"/>
  <c r="K43" i="22" s="1"/>
  <c r="L43" i="22" a="1"/>
  <c r="L43" i="22" s="1"/>
  <c r="M43" i="22" a="1"/>
  <c r="M43" i="22" s="1"/>
  <c r="N43" i="22" a="1"/>
  <c r="N43" i="22" s="1"/>
  <c r="O43" i="22" a="1"/>
  <c r="O43" i="22" s="1"/>
  <c r="P43" i="22" a="1"/>
  <c r="P43" i="22" s="1"/>
  <c r="Q43" i="22" a="1"/>
  <c r="Q43" i="22" s="1"/>
  <c r="R43" i="22" a="1"/>
  <c r="R43" i="22" s="1"/>
  <c r="U43" i="22" a="1"/>
  <c r="U43" i="22" s="1"/>
  <c r="V43" i="22" a="1"/>
  <c r="V43" i="22" s="1"/>
  <c r="W43" i="22" a="1"/>
  <c r="W43" i="22" s="1"/>
  <c r="X43" i="22" a="1"/>
  <c r="X43" i="22" s="1"/>
  <c r="K44" i="22" a="1"/>
  <c r="K44" i="22" s="1"/>
  <c r="L44" i="22" a="1"/>
  <c r="L44" i="22" s="1"/>
  <c r="M44" i="22" a="1"/>
  <c r="M44" i="22" s="1"/>
  <c r="N44" i="22" a="1"/>
  <c r="N44" i="22" s="1"/>
  <c r="O44" i="22" a="1"/>
  <c r="O44" i="22" s="1"/>
  <c r="P44" i="22" a="1"/>
  <c r="P44" i="22" s="1"/>
  <c r="Q44" i="22" a="1"/>
  <c r="Q44" i="22" s="1"/>
  <c r="R44" i="22" a="1"/>
  <c r="R44" i="22" s="1"/>
  <c r="U44" i="22" a="1"/>
  <c r="U44" i="22" s="1"/>
  <c r="V44" i="22" a="1"/>
  <c r="V44" i="22" s="1"/>
  <c r="W44" i="22" a="1"/>
  <c r="W44" i="22" s="1"/>
  <c r="X44" i="22" a="1"/>
  <c r="X44" i="22" s="1"/>
  <c r="K45" i="22" a="1"/>
  <c r="K45" i="22" s="1"/>
  <c r="L45" i="22" a="1"/>
  <c r="L45" i="22" s="1"/>
  <c r="M45" i="22" a="1"/>
  <c r="M45" i="22" s="1"/>
  <c r="N45" i="22" a="1"/>
  <c r="N45" i="22" s="1"/>
  <c r="O45" i="22" a="1"/>
  <c r="O45" i="22" s="1"/>
  <c r="P45" i="22" a="1"/>
  <c r="P45" i="22" s="1"/>
  <c r="Q45" i="22" a="1"/>
  <c r="Q45" i="22" s="1"/>
  <c r="R45" i="22" a="1"/>
  <c r="R45" i="22" s="1"/>
  <c r="U45" i="22" a="1"/>
  <c r="U45" i="22" s="1"/>
  <c r="V45" i="22" a="1"/>
  <c r="V45" i="22" s="1"/>
  <c r="W45" i="22" a="1"/>
  <c r="W45" i="22" s="1"/>
  <c r="X45" i="22" a="1"/>
  <c r="X45" i="22" s="1"/>
  <c r="K46" i="22" a="1"/>
  <c r="K46" i="22" s="1"/>
  <c r="L46" i="22" a="1"/>
  <c r="L46" i="22" s="1"/>
  <c r="M46" i="22" a="1"/>
  <c r="M46" i="22" s="1"/>
  <c r="N46" i="22" a="1"/>
  <c r="N46" i="22" s="1"/>
  <c r="O46" i="22" a="1"/>
  <c r="O46" i="22" s="1"/>
  <c r="P46" i="22" a="1"/>
  <c r="P46" i="22" s="1"/>
  <c r="Q46" i="22" a="1"/>
  <c r="Q46" i="22" s="1"/>
  <c r="R46" i="22" a="1"/>
  <c r="R46" i="22" s="1"/>
  <c r="U46" i="22" a="1"/>
  <c r="U46" i="22" s="1"/>
  <c r="V46" i="22" a="1"/>
  <c r="V46" i="22" s="1"/>
  <c r="W46" i="22" a="1"/>
  <c r="W46" i="22" s="1"/>
  <c r="X46" i="22" a="1"/>
  <c r="X46" i="22" s="1"/>
  <c r="K47" i="22" a="1"/>
  <c r="K47" i="22" s="1"/>
  <c r="L47" i="22" a="1"/>
  <c r="L47" i="22" s="1"/>
  <c r="M47" i="22" a="1"/>
  <c r="M47" i="22" s="1"/>
  <c r="N47" i="22" a="1"/>
  <c r="N47" i="22" s="1"/>
  <c r="O47" i="22" a="1"/>
  <c r="O47" i="22" s="1"/>
  <c r="P47" i="22" a="1"/>
  <c r="P47" i="22" s="1"/>
  <c r="Q47" i="22" a="1"/>
  <c r="Q47" i="22" s="1"/>
  <c r="R47" i="22" a="1"/>
  <c r="R47" i="22" s="1"/>
  <c r="U47" i="22" a="1"/>
  <c r="U47" i="22" s="1"/>
  <c r="V47" i="22" a="1"/>
  <c r="V47" i="22" s="1"/>
  <c r="W47" i="22" a="1"/>
  <c r="W47" i="22" s="1"/>
  <c r="X47" i="22" a="1"/>
  <c r="X47" i="22" s="1"/>
  <c r="K48" i="22" a="1"/>
  <c r="K48" i="22" s="1"/>
  <c r="L48" i="22" a="1"/>
  <c r="L48" i="22" s="1"/>
  <c r="M48" i="22" a="1"/>
  <c r="M48" i="22" s="1"/>
  <c r="N48" i="22" a="1"/>
  <c r="N48" i="22" s="1"/>
  <c r="O48" i="22" a="1"/>
  <c r="O48" i="22" s="1"/>
  <c r="P48" i="22" a="1"/>
  <c r="P48" i="22" s="1"/>
  <c r="Q48" i="22" a="1"/>
  <c r="Q48" i="22" s="1"/>
  <c r="R48" i="22" a="1"/>
  <c r="R48" i="22" s="1"/>
  <c r="U48" i="22" a="1"/>
  <c r="U48" i="22" s="1"/>
  <c r="V48" i="22" a="1"/>
  <c r="V48" i="22" s="1"/>
  <c r="W48" i="22" a="1"/>
  <c r="W48" i="22" s="1"/>
  <c r="X48" i="22" a="1"/>
  <c r="X48" i="22" s="1"/>
  <c r="K49" i="22" a="1"/>
  <c r="K49" i="22" s="1"/>
  <c r="L49" i="22" a="1"/>
  <c r="L49" i="22" s="1"/>
  <c r="M49" i="22" a="1"/>
  <c r="M49" i="22" s="1"/>
  <c r="N49" i="22" a="1"/>
  <c r="N49" i="22" s="1"/>
  <c r="O49" i="22" a="1"/>
  <c r="O49" i="22" s="1"/>
  <c r="P49" i="22" a="1"/>
  <c r="P49" i="22" s="1"/>
  <c r="Q49" i="22" a="1"/>
  <c r="Q49" i="22" s="1"/>
  <c r="R49" i="22" a="1"/>
  <c r="R49" i="22" s="1"/>
  <c r="U49" i="22" a="1"/>
  <c r="U49" i="22" s="1"/>
  <c r="V49" i="22" a="1"/>
  <c r="V49" i="22" s="1"/>
  <c r="W49" i="22" a="1"/>
  <c r="W49" i="22" s="1"/>
  <c r="X49" i="22" a="1"/>
  <c r="X49" i="22" s="1"/>
  <c r="K50" i="22" a="1"/>
  <c r="K50" i="22" s="1"/>
  <c r="L50" i="22" a="1"/>
  <c r="L50" i="22" s="1"/>
  <c r="M50" i="22" a="1"/>
  <c r="M50" i="22" s="1"/>
  <c r="N50" i="22" a="1"/>
  <c r="N50" i="22" s="1"/>
  <c r="O50" i="22" a="1"/>
  <c r="O50" i="22" s="1"/>
  <c r="P50" i="22" a="1"/>
  <c r="P50" i="22" s="1"/>
  <c r="Q50" i="22" a="1"/>
  <c r="Q50" i="22" s="1"/>
  <c r="R50" i="22" a="1"/>
  <c r="R50" i="22" s="1"/>
  <c r="U50" i="22" a="1"/>
  <c r="U50" i="22" s="1"/>
  <c r="V50" i="22" a="1"/>
  <c r="V50" i="22" s="1"/>
  <c r="W50" i="22" a="1"/>
  <c r="W50" i="22" s="1"/>
  <c r="X50" i="22" a="1"/>
  <c r="X50" i="22" s="1"/>
  <c r="K51" i="22" a="1"/>
  <c r="K51" i="22" s="1"/>
  <c r="L51" i="22" a="1"/>
  <c r="L51" i="22" s="1"/>
  <c r="M51" i="22" a="1"/>
  <c r="M51" i="22" s="1"/>
  <c r="N51" i="22" a="1"/>
  <c r="N51" i="22" s="1"/>
  <c r="O51" i="22" a="1"/>
  <c r="O51" i="22" s="1"/>
  <c r="P51" i="22" a="1"/>
  <c r="P51" i="22" s="1"/>
  <c r="Q51" i="22" a="1"/>
  <c r="Q51" i="22" s="1"/>
  <c r="R51" i="22" a="1"/>
  <c r="R51" i="22" s="1"/>
  <c r="U51" i="22" a="1"/>
  <c r="U51" i="22" s="1"/>
  <c r="V51" i="22" a="1"/>
  <c r="V51" i="22" s="1"/>
  <c r="W51" i="22" a="1"/>
  <c r="W51" i="22" s="1"/>
  <c r="X51" i="22" a="1"/>
  <c r="X51" i="22" s="1"/>
  <c r="K52" i="22" a="1"/>
  <c r="K52" i="22" s="1"/>
  <c r="L52" i="22" a="1"/>
  <c r="L52" i="22" s="1"/>
  <c r="M52" i="22" a="1"/>
  <c r="M52" i="22" s="1"/>
  <c r="N52" i="22" a="1"/>
  <c r="N52" i="22" s="1"/>
  <c r="O52" i="22" a="1"/>
  <c r="O52" i="22" s="1"/>
  <c r="P52" i="22" a="1"/>
  <c r="P52" i="22" s="1"/>
  <c r="Q52" i="22" a="1"/>
  <c r="Q52" i="22" s="1"/>
  <c r="R52" i="22" a="1"/>
  <c r="R52" i="22" s="1"/>
  <c r="U52" i="22" a="1"/>
  <c r="U52" i="22" s="1"/>
  <c r="V52" i="22" a="1"/>
  <c r="V52" i="22" s="1"/>
  <c r="W52" i="22" a="1"/>
  <c r="W52" i="22" s="1"/>
  <c r="X52" i="22" a="1"/>
  <c r="X52" i="22" s="1"/>
  <c r="K53" i="22" a="1"/>
  <c r="K53" i="22" s="1"/>
  <c r="L53" i="22" a="1"/>
  <c r="L53" i="22" s="1"/>
  <c r="M53" i="22" a="1"/>
  <c r="M53" i="22" s="1"/>
  <c r="N53" i="22" a="1"/>
  <c r="N53" i="22" s="1"/>
  <c r="O53" i="22" a="1"/>
  <c r="O53" i="22" s="1"/>
  <c r="P53" i="22" a="1"/>
  <c r="P53" i="22" s="1"/>
  <c r="Q53" i="22" a="1"/>
  <c r="Q53" i="22" s="1"/>
  <c r="R53" i="22" a="1"/>
  <c r="R53" i="22" s="1"/>
  <c r="U53" i="22" a="1"/>
  <c r="U53" i="22" s="1"/>
  <c r="V53" i="22" a="1"/>
  <c r="V53" i="22" s="1"/>
  <c r="W53" i="22" a="1"/>
  <c r="W53" i="22" s="1"/>
  <c r="X53" i="22" a="1"/>
  <c r="X53" i="22" s="1"/>
  <c r="K54" i="22" a="1"/>
  <c r="K54" i="22" s="1"/>
  <c r="L54" i="22" a="1"/>
  <c r="L54" i="22" s="1"/>
  <c r="M54" i="22" a="1"/>
  <c r="M54" i="22" s="1"/>
  <c r="N54" i="22" a="1"/>
  <c r="N54" i="22" s="1"/>
  <c r="O54" i="22" a="1"/>
  <c r="O54" i="22" s="1"/>
  <c r="P54" i="22" a="1"/>
  <c r="P54" i="22" s="1"/>
  <c r="Q54" i="22" a="1"/>
  <c r="Q54" i="22" s="1"/>
  <c r="R54" i="22" a="1"/>
  <c r="R54" i="22" s="1"/>
  <c r="U54" i="22" a="1"/>
  <c r="U54" i="22" s="1"/>
  <c r="V54" i="22" a="1"/>
  <c r="V54" i="22" s="1"/>
  <c r="W54" i="22" a="1"/>
  <c r="W54" i="22" s="1"/>
  <c r="X54" i="22" a="1"/>
  <c r="X54" i="22" s="1"/>
  <c r="K55" i="22" a="1"/>
  <c r="K55" i="22" s="1"/>
  <c r="L55" i="22" a="1"/>
  <c r="L55" i="22" s="1"/>
  <c r="M55" i="22" a="1"/>
  <c r="M55" i="22" s="1"/>
  <c r="N55" i="22" a="1"/>
  <c r="N55" i="22" s="1"/>
  <c r="O55" i="22" a="1"/>
  <c r="O55" i="22" s="1"/>
  <c r="P55" i="22" a="1"/>
  <c r="P55" i="22" s="1"/>
  <c r="Q55" i="22" a="1"/>
  <c r="Q55" i="22" s="1"/>
  <c r="R55" i="22" a="1"/>
  <c r="R55" i="22" s="1"/>
  <c r="U55" i="22" a="1"/>
  <c r="U55" i="22" s="1"/>
  <c r="V55" i="22" a="1"/>
  <c r="V55" i="22" s="1"/>
  <c r="W55" i="22" a="1"/>
  <c r="W55" i="22" s="1"/>
  <c r="X55" i="22" a="1"/>
  <c r="X55" i="22" s="1"/>
  <c r="K56" i="22" a="1"/>
  <c r="K56" i="22" s="1"/>
  <c r="L56" i="22" a="1"/>
  <c r="L56" i="22" s="1"/>
  <c r="M56" i="22" a="1"/>
  <c r="M56" i="22" s="1"/>
  <c r="N56" i="22" a="1"/>
  <c r="N56" i="22" s="1"/>
  <c r="O56" i="22" a="1"/>
  <c r="O56" i="22" s="1"/>
  <c r="P56" i="22" a="1"/>
  <c r="P56" i="22" s="1"/>
  <c r="Q56" i="22" a="1"/>
  <c r="Q56" i="22" s="1"/>
  <c r="R56" i="22" a="1"/>
  <c r="R56" i="22" s="1"/>
  <c r="U56" i="22" a="1"/>
  <c r="U56" i="22" s="1"/>
  <c r="V56" i="22" a="1"/>
  <c r="V56" i="22" s="1"/>
  <c r="W56" i="22" a="1"/>
  <c r="W56" i="22" s="1"/>
  <c r="X56" i="22" a="1"/>
  <c r="X56" i="22" s="1"/>
  <c r="K57" i="22" a="1"/>
  <c r="K57" i="22" s="1"/>
  <c r="L57" i="22" a="1"/>
  <c r="L57" i="22" s="1"/>
  <c r="M57" i="22" a="1"/>
  <c r="M57" i="22" s="1"/>
  <c r="N57" i="22" a="1"/>
  <c r="N57" i="22" s="1"/>
  <c r="O57" i="22" a="1"/>
  <c r="O57" i="22" s="1"/>
  <c r="P57" i="22" a="1"/>
  <c r="P57" i="22" s="1"/>
  <c r="Q57" i="22" a="1"/>
  <c r="Q57" i="22" s="1"/>
  <c r="R57" i="22" a="1"/>
  <c r="R57" i="22" s="1"/>
  <c r="U57" i="22" a="1"/>
  <c r="U57" i="22" s="1"/>
  <c r="V57" i="22" a="1"/>
  <c r="V57" i="22" s="1"/>
  <c r="W57" i="22" a="1"/>
  <c r="W57" i="22" s="1"/>
  <c r="X57" i="22" a="1"/>
  <c r="X57" i="22" s="1"/>
  <c r="K58" i="22" a="1"/>
  <c r="K58" i="22" s="1"/>
  <c r="L58" i="22" a="1"/>
  <c r="L58" i="22" s="1"/>
  <c r="M58" i="22" a="1"/>
  <c r="M58" i="22" s="1"/>
  <c r="N58" i="22" a="1"/>
  <c r="N58" i="22" s="1"/>
  <c r="O58" i="22" a="1"/>
  <c r="O58" i="22" s="1"/>
  <c r="P58" i="22" a="1"/>
  <c r="P58" i="22" s="1"/>
  <c r="Q58" i="22" a="1"/>
  <c r="Q58" i="22" s="1"/>
  <c r="R58" i="22" a="1"/>
  <c r="R58" i="22" s="1"/>
  <c r="U58" i="22" a="1"/>
  <c r="U58" i="22" s="1"/>
  <c r="V58" i="22" a="1"/>
  <c r="V58" i="22" s="1"/>
  <c r="W58" i="22" a="1"/>
  <c r="W58" i="22" s="1"/>
  <c r="X58" i="22" a="1"/>
  <c r="X58" i="22" s="1"/>
  <c r="K59" i="22" a="1"/>
  <c r="K59" i="22" s="1"/>
  <c r="L59" i="22" a="1"/>
  <c r="L59" i="22" s="1"/>
  <c r="M59" i="22" a="1"/>
  <c r="M59" i="22" s="1"/>
  <c r="N59" i="22" a="1"/>
  <c r="N59" i="22" s="1"/>
  <c r="O59" i="22" a="1"/>
  <c r="O59" i="22" s="1"/>
  <c r="P59" i="22" a="1"/>
  <c r="P59" i="22" s="1"/>
  <c r="Q59" i="22" a="1"/>
  <c r="Q59" i="22" s="1"/>
  <c r="R59" i="22" a="1"/>
  <c r="R59" i="22" s="1"/>
  <c r="U59" i="22" a="1"/>
  <c r="U59" i="22" s="1"/>
  <c r="V59" i="22" a="1"/>
  <c r="V59" i="22" s="1"/>
  <c r="W59" i="22" a="1"/>
  <c r="W59" i="22" s="1"/>
  <c r="X59" i="22" a="1"/>
  <c r="X59" i="22" s="1"/>
  <c r="K60" i="22" a="1"/>
  <c r="K60" i="22" s="1"/>
  <c r="L60" i="22" a="1"/>
  <c r="L60" i="22" s="1"/>
  <c r="M60" i="22" a="1"/>
  <c r="M60" i="22" s="1"/>
  <c r="N60" i="22" a="1"/>
  <c r="N60" i="22" s="1"/>
  <c r="O60" i="22" a="1"/>
  <c r="O60" i="22" s="1"/>
  <c r="P60" i="22" a="1"/>
  <c r="P60" i="22" s="1"/>
  <c r="Q60" i="22" a="1"/>
  <c r="Q60" i="22" s="1"/>
  <c r="R60" i="22" a="1"/>
  <c r="R60" i="22" s="1"/>
  <c r="U60" i="22" a="1"/>
  <c r="U60" i="22" s="1"/>
  <c r="V60" i="22" a="1"/>
  <c r="V60" i="22" s="1"/>
  <c r="W60" i="22" a="1"/>
  <c r="W60" i="22" s="1"/>
  <c r="X60" i="22" a="1"/>
  <c r="X60" i="22" s="1"/>
  <c r="K61" i="22" a="1"/>
  <c r="K61" i="22" s="1"/>
  <c r="L61" i="22" a="1"/>
  <c r="L61" i="22" s="1"/>
  <c r="M61" i="22" a="1"/>
  <c r="M61" i="22" s="1"/>
  <c r="N61" i="22" a="1"/>
  <c r="N61" i="22" s="1"/>
  <c r="O61" i="22" a="1"/>
  <c r="O61" i="22" s="1"/>
  <c r="P61" i="22" a="1"/>
  <c r="P61" i="22" s="1"/>
  <c r="Q61" i="22" a="1"/>
  <c r="Q61" i="22" s="1"/>
  <c r="R61" i="22" a="1"/>
  <c r="R61" i="22" s="1"/>
  <c r="U61" i="22" a="1"/>
  <c r="U61" i="22" s="1"/>
  <c r="V61" i="22" a="1"/>
  <c r="V61" i="22" s="1"/>
  <c r="W61" i="22" a="1"/>
  <c r="W61" i="22" s="1"/>
  <c r="X61" i="22" a="1"/>
  <c r="X61" i="22" s="1"/>
  <c r="K62" i="22" a="1"/>
  <c r="K62" i="22" s="1"/>
  <c r="L62" i="22" a="1"/>
  <c r="L62" i="22" s="1"/>
  <c r="M62" i="22" a="1"/>
  <c r="M62" i="22" s="1"/>
  <c r="N62" i="22" a="1"/>
  <c r="N62" i="22" s="1"/>
  <c r="O62" i="22" a="1"/>
  <c r="O62" i="22" s="1"/>
  <c r="P62" i="22" a="1"/>
  <c r="P62" i="22" s="1"/>
  <c r="Q62" i="22" a="1"/>
  <c r="Q62" i="22" s="1"/>
  <c r="R62" i="22" a="1"/>
  <c r="R62" i="22" s="1"/>
  <c r="U62" i="22" a="1"/>
  <c r="U62" i="22" s="1"/>
  <c r="V62" i="22" a="1"/>
  <c r="V62" i="22" s="1"/>
  <c r="W62" i="22" a="1"/>
  <c r="W62" i="22" s="1"/>
  <c r="X62" i="22" a="1"/>
  <c r="X62" i="22" s="1"/>
  <c r="K63" i="22" a="1"/>
  <c r="K63" i="22" s="1"/>
  <c r="L63" i="22" a="1"/>
  <c r="L63" i="22" s="1"/>
  <c r="M63" i="22" a="1"/>
  <c r="M63" i="22" s="1"/>
  <c r="N63" i="22" a="1"/>
  <c r="N63" i="22" s="1"/>
  <c r="O63" i="22" a="1"/>
  <c r="O63" i="22" s="1"/>
  <c r="P63" i="22" a="1"/>
  <c r="P63" i="22" s="1"/>
  <c r="Q63" i="22" a="1"/>
  <c r="Q63" i="22" s="1"/>
  <c r="R63" i="22" a="1"/>
  <c r="R63" i="22" s="1"/>
  <c r="U63" i="22" a="1"/>
  <c r="U63" i="22" s="1"/>
  <c r="V63" i="22" a="1"/>
  <c r="V63" i="22" s="1"/>
  <c r="W63" i="22" a="1"/>
  <c r="W63" i="22" s="1"/>
  <c r="X63" i="22" a="1"/>
  <c r="X63" i="22" s="1"/>
  <c r="K64" i="22" a="1"/>
  <c r="K64" i="22" s="1"/>
  <c r="L64" i="22" a="1"/>
  <c r="L64" i="22" s="1"/>
  <c r="M64" i="22" a="1"/>
  <c r="M64" i="22" s="1"/>
  <c r="N64" i="22" a="1"/>
  <c r="N64" i="22" s="1"/>
  <c r="O64" i="22" a="1"/>
  <c r="O64" i="22" s="1"/>
  <c r="P64" i="22" a="1"/>
  <c r="P64" i="22" s="1"/>
  <c r="Q64" i="22" a="1"/>
  <c r="Q64" i="22" s="1"/>
  <c r="R64" i="22" a="1"/>
  <c r="R64" i="22" s="1"/>
  <c r="U64" i="22" a="1"/>
  <c r="U64" i="22" s="1"/>
  <c r="V64" i="22" a="1"/>
  <c r="V64" i="22" s="1"/>
  <c r="W64" i="22" a="1"/>
  <c r="W64" i="22" s="1"/>
  <c r="X64" i="22" a="1"/>
  <c r="X64" i="22" s="1"/>
  <c r="K65" i="22" a="1"/>
  <c r="K65" i="22" s="1"/>
  <c r="L65" i="22" a="1"/>
  <c r="L65" i="22" s="1"/>
  <c r="M65" i="22" a="1"/>
  <c r="M65" i="22" s="1"/>
  <c r="N65" i="22" a="1"/>
  <c r="N65" i="22" s="1"/>
  <c r="O65" i="22" a="1"/>
  <c r="O65" i="22" s="1"/>
  <c r="P65" i="22" a="1"/>
  <c r="P65" i="22" s="1"/>
  <c r="Q65" i="22" a="1"/>
  <c r="Q65" i="22" s="1"/>
  <c r="R65" i="22" a="1"/>
  <c r="R65" i="22" s="1"/>
  <c r="U65" i="22" a="1"/>
  <c r="U65" i="22" s="1"/>
  <c r="V65" i="22" a="1"/>
  <c r="V65" i="22" s="1"/>
  <c r="W65" i="22" a="1"/>
  <c r="W65" i="22" s="1"/>
  <c r="X65" i="22" a="1"/>
  <c r="X65" i="22" s="1"/>
  <c r="K66" i="22" a="1"/>
  <c r="K66" i="22" s="1"/>
  <c r="L66" i="22" a="1"/>
  <c r="L66" i="22" s="1"/>
  <c r="M66" i="22" a="1"/>
  <c r="M66" i="22" s="1"/>
  <c r="N66" i="22" a="1"/>
  <c r="N66" i="22" s="1"/>
  <c r="O66" i="22" a="1"/>
  <c r="O66" i="22" s="1"/>
  <c r="P66" i="22" a="1"/>
  <c r="P66" i="22" s="1"/>
  <c r="Q66" i="22" a="1"/>
  <c r="Q66" i="22" s="1"/>
  <c r="R66" i="22" a="1"/>
  <c r="R66" i="22" s="1"/>
  <c r="U66" i="22" a="1"/>
  <c r="U66" i="22" s="1"/>
  <c r="V66" i="22" a="1"/>
  <c r="V66" i="22" s="1"/>
  <c r="W66" i="22" a="1"/>
  <c r="W66" i="22" s="1"/>
  <c r="X66" i="22" a="1"/>
  <c r="X66" i="22" s="1"/>
  <c r="K67" i="22" a="1"/>
  <c r="K67" i="22" s="1"/>
  <c r="L67" i="22" a="1"/>
  <c r="L67" i="22" s="1"/>
  <c r="M67" i="22" a="1"/>
  <c r="M67" i="22" s="1"/>
  <c r="N67" i="22" a="1"/>
  <c r="N67" i="22" s="1"/>
  <c r="O67" i="22" a="1"/>
  <c r="O67" i="22" s="1"/>
  <c r="P67" i="22" a="1"/>
  <c r="P67" i="22" s="1"/>
  <c r="Q67" i="22" a="1"/>
  <c r="Q67" i="22" s="1"/>
  <c r="R67" i="22" a="1"/>
  <c r="R67" i="22" s="1"/>
  <c r="U67" i="22" a="1"/>
  <c r="U67" i="22" s="1"/>
  <c r="V67" i="22" a="1"/>
  <c r="V67" i="22" s="1"/>
  <c r="W67" i="22" a="1"/>
  <c r="W67" i="22" s="1"/>
  <c r="X67" i="22" a="1"/>
  <c r="X67" i="22" s="1"/>
  <c r="K68" i="22" a="1"/>
  <c r="K68" i="22" s="1"/>
  <c r="L68" i="22" a="1"/>
  <c r="L68" i="22" s="1"/>
  <c r="M68" i="22" a="1"/>
  <c r="M68" i="22" s="1"/>
  <c r="N68" i="22" a="1"/>
  <c r="N68" i="22" s="1"/>
  <c r="O68" i="22" a="1"/>
  <c r="O68" i="22" s="1"/>
  <c r="P68" i="22" a="1"/>
  <c r="P68" i="22" s="1"/>
  <c r="Q68" i="22" a="1"/>
  <c r="Q68" i="22" s="1"/>
  <c r="R68" i="22" a="1"/>
  <c r="R68" i="22" s="1"/>
  <c r="U68" i="22" a="1"/>
  <c r="U68" i="22" s="1"/>
  <c r="V68" i="22" a="1"/>
  <c r="V68" i="22" s="1"/>
  <c r="W68" i="22" a="1"/>
  <c r="W68" i="22" s="1"/>
  <c r="X68" i="22" a="1"/>
  <c r="X68" i="22" s="1"/>
  <c r="K69" i="22" a="1"/>
  <c r="K69" i="22" s="1"/>
  <c r="L69" i="22" a="1"/>
  <c r="L69" i="22" s="1"/>
  <c r="M69" i="22" a="1"/>
  <c r="M69" i="22" s="1"/>
  <c r="N69" i="22" a="1"/>
  <c r="N69" i="22" s="1"/>
  <c r="O69" i="22" a="1"/>
  <c r="O69" i="22" s="1"/>
  <c r="P69" i="22" a="1"/>
  <c r="P69" i="22" s="1"/>
  <c r="Q69" i="22" a="1"/>
  <c r="Q69" i="22" s="1"/>
  <c r="R69" i="22" a="1"/>
  <c r="R69" i="22" s="1"/>
  <c r="U69" i="22" a="1"/>
  <c r="U69" i="22" s="1"/>
  <c r="V69" i="22" a="1"/>
  <c r="V69" i="22" s="1"/>
  <c r="W69" i="22" a="1"/>
  <c r="W69" i="22" s="1"/>
  <c r="X69" i="22" a="1"/>
  <c r="X69" i="22" s="1"/>
  <c r="K70" i="22" a="1"/>
  <c r="K70" i="22" s="1"/>
  <c r="L70" i="22" a="1"/>
  <c r="L70" i="22" s="1"/>
  <c r="M70" i="22" a="1"/>
  <c r="M70" i="22" s="1"/>
  <c r="N70" i="22" a="1"/>
  <c r="N70" i="22" s="1"/>
  <c r="O70" i="22" a="1"/>
  <c r="O70" i="22" s="1"/>
  <c r="P70" i="22" a="1"/>
  <c r="P70" i="22" s="1"/>
  <c r="Q70" i="22" a="1"/>
  <c r="Q70" i="22" s="1"/>
  <c r="R70" i="22" a="1"/>
  <c r="R70" i="22" s="1"/>
  <c r="U70" i="22" a="1"/>
  <c r="U70" i="22" s="1"/>
  <c r="V70" i="22" a="1"/>
  <c r="V70" i="22" s="1"/>
  <c r="W70" i="22" a="1"/>
  <c r="W70" i="22" s="1"/>
  <c r="X70" i="22" a="1"/>
  <c r="X70" i="22" s="1"/>
  <c r="K71" i="22" a="1"/>
  <c r="K71" i="22" s="1"/>
  <c r="L71" i="22" a="1"/>
  <c r="L71" i="22" s="1"/>
  <c r="M71" i="22" a="1"/>
  <c r="M71" i="22" s="1"/>
  <c r="N71" i="22" a="1"/>
  <c r="N71" i="22" s="1"/>
  <c r="O71" i="22" a="1"/>
  <c r="O71" i="22" s="1"/>
  <c r="P71" i="22" a="1"/>
  <c r="P71" i="22" s="1"/>
  <c r="Q71" i="22" a="1"/>
  <c r="Q71" i="22" s="1"/>
  <c r="R71" i="22" a="1"/>
  <c r="R71" i="22" s="1"/>
  <c r="U71" i="22" a="1"/>
  <c r="U71" i="22" s="1"/>
  <c r="V71" i="22" a="1"/>
  <c r="V71" i="22" s="1"/>
  <c r="W71" i="22" a="1"/>
  <c r="W71" i="22" s="1"/>
  <c r="X71" i="22" a="1"/>
  <c r="X71" i="22" s="1"/>
  <c r="K72" i="22" a="1"/>
  <c r="K72" i="22" s="1"/>
  <c r="L72" i="22" a="1"/>
  <c r="L72" i="22" s="1"/>
  <c r="M72" i="22" a="1"/>
  <c r="M72" i="22" s="1"/>
  <c r="N72" i="22" a="1"/>
  <c r="N72" i="22" s="1"/>
  <c r="O72" i="22" a="1"/>
  <c r="O72" i="22" s="1"/>
  <c r="P72" i="22" a="1"/>
  <c r="P72" i="22" s="1"/>
  <c r="Q72" i="22" a="1"/>
  <c r="Q72" i="22" s="1"/>
  <c r="R72" i="22" a="1"/>
  <c r="R72" i="22" s="1"/>
  <c r="U72" i="22" a="1"/>
  <c r="U72" i="22" s="1"/>
  <c r="V72" i="22" a="1"/>
  <c r="V72" i="22" s="1"/>
  <c r="W72" i="22" a="1"/>
  <c r="W72" i="22" s="1"/>
  <c r="X72" i="22" a="1"/>
  <c r="X72" i="22" s="1"/>
  <c r="K73" i="22" a="1"/>
  <c r="K73" i="22" s="1"/>
  <c r="L73" i="22" a="1"/>
  <c r="L73" i="22" s="1"/>
  <c r="M73" i="22" a="1"/>
  <c r="M73" i="22" s="1"/>
  <c r="N73" i="22" a="1"/>
  <c r="N73" i="22" s="1"/>
  <c r="O73" i="22" a="1"/>
  <c r="O73" i="22" s="1"/>
  <c r="P73" i="22" a="1"/>
  <c r="P73" i="22" s="1"/>
  <c r="Q73" i="22" a="1"/>
  <c r="Q73" i="22" s="1"/>
  <c r="R73" i="22" a="1"/>
  <c r="R73" i="22" s="1"/>
  <c r="U73" i="22" a="1"/>
  <c r="U73" i="22" s="1"/>
  <c r="V73" i="22" a="1"/>
  <c r="V73" i="22" s="1"/>
  <c r="W73" i="22" a="1"/>
  <c r="W73" i="22" s="1"/>
  <c r="X73" i="22" a="1"/>
  <c r="X73" i="22" s="1"/>
  <c r="K74" i="22" a="1"/>
  <c r="K74" i="22" s="1"/>
  <c r="L74" i="22" a="1"/>
  <c r="L74" i="22" s="1"/>
  <c r="M74" i="22" a="1"/>
  <c r="M74" i="22" s="1"/>
  <c r="N74" i="22" a="1"/>
  <c r="N74" i="22" s="1"/>
  <c r="O74" i="22" a="1"/>
  <c r="O74" i="22" s="1"/>
  <c r="P74" i="22" a="1"/>
  <c r="P74" i="22" s="1"/>
  <c r="Q74" i="22" a="1"/>
  <c r="Q74" i="22" s="1"/>
  <c r="R74" i="22" a="1"/>
  <c r="R74" i="22" s="1"/>
  <c r="U74" i="22" a="1"/>
  <c r="U74" i="22" s="1"/>
  <c r="V74" i="22" a="1"/>
  <c r="V74" i="22" s="1"/>
  <c r="W74" i="22" a="1"/>
  <c r="W74" i="22" s="1"/>
  <c r="X74" i="22" a="1"/>
  <c r="X74" i="22" s="1"/>
  <c r="K75" i="22" a="1"/>
  <c r="K75" i="22" s="1"/>
  <c r="L75" i="22" a="1"/>
  <c r="L75" i="22" s="1"/>
  <c r="M75" i="22" a="1"/>
  <c r="M75" i="22" s="1"/>
  <c r="N75" i="22" a="1"/>
  <c r="N75" i="22" s="1"/>
  <c r="O75" i="22" a="1"/>
  <c r="O75" i="22" s="1"/>
  <c r="P75" i="22" a="1"/>
  <c r="P75" i="22" s="1"/>
  <c r="Q75" i="22" a="1"/>
  <c r="Q75" i="22" s="1"/>
  <c r="R75" i="22" a="1"/>
  <c r="R75" i="22" s="1"/>
  <c r="U75" i="22" a="1"/>
  <c r="U75" i="22" s="1"/>
  <c r="V75" i="22" a="1"/>
  <c r="V75" i="22" s="1"/>
  <c r="W75" i="22" a="1"/>
  <c r="W75" i="22" s="1"/>
  <c r="X75" i="22" a="1"/>
  <c r="X75" i="22" s="1"/>
  <c r="K76" i="22" a="1"/>
  <c r="K76" i="22" s="1"/>
  <c r="L76" i="22" a="1"/>
  <c r="L76" i="22" s="1"/>
  <c r="M76" i="22" a="1"/>
  <c r="M76" i="22" s="1"/>
  <c r="N76" i="22" a="1"/>
  <c r="N76" i="22" s="1"/>
  <c r="O76" i="22" a="1"/>
  <c r="O76" i="22" s="1"/>
  <c r="P76" i="22" a="1"/>
  <c r="P76" i="22" s="1"/>
  <c r="Q76" i="22" a="1"/>
  <c r="Q76" i="22" s="1"/>
  <c r="R76" i="22" a="1"/>
  <c r="R76" i="22" s="1"/>
  <c r="U76" i="22" a="1"/>
  <c r="U76" i="22" s="1"/>
  <c r="V76" i="22" a="1"/>
  <c r="V76" i="22" s="1"/>
  <c r="W76" i="22" a="1"/>
  <c r="W76" i="22" s="1"/>
  <c r="X76" i="22" a="1"/>
  <c r="X76" i="22" s="1"/>
  <c r="K77" i="22" a="1"/>
  <c r="K77" i="22" s="1"/>
  <c r="L77" i="22" a="1"/>
  <c r="L77" i="22" s="1"/>
  <c r="M77" i="22" a="1"/>
  <c r="M77" i="22" s="1"/>
  <c r="N77" i="22" a="1"/>
  <c r="N77" i="22" s="1"/>
  <c r="O77" i="22" a="1"/>
  <c r="O77" i="22" s="1"/>
  <c r="P77" i="22" a="1"/>
  <c r="P77" i="22" s="1"/>
  <c r="Q77" i="22" a="1"/>
  <c r="Q77" i="22" s="1"/>
  <c r="R77" i="22" a="1"/>
  <c r="R77" i="22" s="1"/>
  <c r="U77" i="22" a="1"/>
  <c r="U77" i="22" s="1"/>
  <c r="V77" i="22" a="1"/>
  <c r="V77" i="22" s="1"/>
  <c r="W77" i="22" a="1"/>
  <c r="W77" i="22" s="1"/>
  <c r="X77" i="22" a="1"/>
  <c r="X77" i="22" s="1"/>
  <c r="K78" i="22" a="1"/>
  <c r="K78" i="22" s="1"/>
  <c r="L78" i="22" a="1"/>
  <c r="L78" i="22" s="1"/>
  <c r="M78" i="22" a="1"/>
  <c r="M78" i="22" s="1"/>
  <c r="N78" i="22" a="1"/>
  <c r="N78" i="22" s="1"/>
  <c r="O78" i="22" a="1"/>
  <c r="O78" i="22" s="1"/>
  <c r="P78" i="22" a="1"/>
  <c r="P78" i="22" s="1"/>
  <c r="Q78" i="22" a="1"/>
  <c r="Q78" i="22" s="1"/>
  <c r="R78" i="22" a="1"/>
  <c r="R78" i="22" s="1"/>
  <c r="U78" i="22" a="1"/>
  <c r="U78" i="22" s="1"/>
  <c r="V78" i="22" a="1"/>
  <c r="V78" i="22" s="1"/>
  <c r="W78" i="22" a="1"/>
  <c r="W78" i="22" s="1"/>
  <c r="X78" i="22" a="1"/>
  <c r="X78" i="22" s="1"/>
  <c r="K79" i="22" a="1"/>
  <c r="K79" i="22" s="1"/>
  <c r="L79" i="22" a="1"/>
  <c r="L79" i="22" s="1"/>
  <c r="M79" i="22" a="1"/>
  <c r="M79" i="22" s="1"/>
  <c r="N79" i="22" a="1"/>
  <c r="N79" i="22" s="1"/>
  <c r="O79" i="22" a="1"/>
  <c r="O79" i="22" s="1"/>
  <c r="P79" i="22" a="1"/>
  <c r="P79" i="22" s="1"/>
  <c r="Q79" i="22" a="1"/>
  <c r="Q79" i="22" s="1"/>
  <c r="R79" i="22" a="1"/>
  <c r="R79" i="22" s="1"/>
  <c r="U79" i="22" a="1"/>
  <c r="U79" i="22" s="1"/>
  <c r="V79" i="22" a="1"/>
  <c r="V79" i="22" s="1"/>
  <c r="W79" i="22" a="1"/>
  <c r="W79" i="22" s="1"/>
  <c r="X79" i="22" a="1"/>
  <c r="X79" i="22" s="1"/>
  <c r="K80" i="22" a="1"/>
  <c r="K80" i="22" s="1"/>
  <c r="L80" i="22" a="1"/>
  <c r="L80" i="22" s="1"/>
  <c r="M80" i="22" a="1"/>
  <c r="M80" i="22" s="1"/>
  <c r="N80" i="22" a="1"/>
  <c r="N80" i="22" s="1"/>
  <c r="O80" i="22" a="1"/>
  <c r="O80" i="22" s="1"/>
  <c r="P80" i="22" a="1"/>
  <c r="P80" i="22" s="1"/>
  <c r="Q80" i="22" a="1"/>
  <c r="Q80" i="22" s="1"/>
  <c r="R80" i="22" a="1"/>
  <c r="R80" i="22" s="1"/>
  <c r="U80" i="22" a="1"/>
  <c r="U80" i="22" s="1"/>
  <c r="V80" i="22" a="1"/>
  <c r="V80" i="22" s="1"/>
  <c r="W80" i="22" a="1"/>
  <c r="W80" i="22" s="1"/>
  <c r="X80" i="22" a="1"/>
  <c r="X80" i="22" s="1"/>
  <c r="K81" i="22" a="1"/>
  <c r="K81" i="22" s="1"/>
  <c r="L81" i="22" a="1"/>
  <c r="L81" i="22" s="1"/>
  <c r="M81" i="22" a="1"/>
  <c r="M81" i="22" s="1"/>
  <c r="N81" i="22" a="1"/>
  <c r="N81" i="22" s="1"/>
  <c r="O81" i="22" a="1"/>
  <c r="O81" i="22" s="1"/>
  <c r="P81" i="22" a="1"/>
  <c r="P81" i="22" s="1"/>
  <c r="Q81" i="22" a="1"/>
  <c r="Q81" i="22" s="1"/>
  <c r="R81" i="22" a="1"/>
  <c r="R81" i="22" s="1"/>
  <c r="U81" i="22" a="1"/>
  <c r="U81" i="22" s="1"/>
  <c r="V81" i="22" a="1"/>
  <c r="V81" i="22" s="1"/>
  <c r="W81" i="22" a="1"/>
  <c r="W81" i="22" s="1"/>
  <c r="X81" i="22" a="1"/>
  <c r="X81" i="22" s="1"/>
  <c r="K82" i="22" a="1"/>
  <c r="K82" i="22" s="1"/>
  <c r="L82" i="22" a="1"/>
  <c r="L82" i="22" s="1"/>
  <c r="M82" i="22" a="1"/>
  <c r="M82" i="22" s="1"/>
  <c r="N82" i="22" a="1"/>
  <c r="N82" i="22" s="1"/>
  <c r="O82" i="22" a="1"/>
  <c r="O82" i="22" s="1"/>
  <c r="P82" i="22" a="1"/>
  <c r="P82" i="22" s="1"/>
  <c r="Q82" i="22" a="1"/>
  <c r="Q82" i="22" s="1"/>
  <c r="R82" i="22" a="1"/>
  <c r="R82" i="22" s="1"/>
  <c r="U82" i="22" a="1"/>
  <c r="U82" i="22" s="1"/>
  <c r="V82" i="22" a="1"/>
  <c r="V82" i="22" s="1"/>
  <c r="W82" i="22" a="1"/>
  <c r="W82" i="22" s="1"/>
  <c r="X82" i="22" a="1"/>
  <c r="X82" i="22" s="1"/>
  <c r="K83" i="22" a="1"/>
  <c r="K83" i="22" s="1"/>
  <c r="L83" i="22" a="1"/>
  <c r="L83" i="22" s="1"/>
  <c r="M83" i="22" a="1"/>
  <c r="M83" i="22" s="1"/>
  <c r="N83" i="22" a="1"/>
  <c r="N83" i="22" s="1"/>
  <c r="O83" i="22" a="1"/>
  <c r="O83" i="22" s="1"/>
  <c r="P83" i="22" a="1"/>
  <c r="P83" i="22" s="1"/>
  <c r="Q83" i="22" a="1"/>
  <c r="Q83" i="22" s="1"/>
  <c r="R83" i="22" a="1"/>
  <c r="R83" i="22" s="1"/>
  <c r="U83" i="22" a="1"/>
  <c r="U83" i="22" s="1"/>
  <c r="V83" i="22" a="1"/>
  <c r="V83" i="22" s="1"/>
  <c r="W83" i="22" a="1"/>
  <c r="W83" i="22" s="1"/>
  <c r="X83" i="22" a="1"/>
  <c r="X83" i="22" s="1"/>
  <c r="K84" i="22" a="1"/>
  <c r="K84" i="22" s="1"/>
  <c r="L84" i="22" a="1"/>
  <c r="L84" i="22" s="1"/>
  <c r="M84" i="22" a="1"/>
  <c r="M84" i="22" s="1"/>
  <c r="N84" i="22" a="1"/>
  <c r="N84" i="22" s="1"/>
  <c r="O84" i="22" a="1"/>
  <c r="O84" i="22" s="1"/>
  <c r="P84" i="22" a="1"/>
  <c r="P84" i="22" s="1"/>
  <c r="Q84" i="22" a="1"/>
  <c r="Q84" i="22" s="1"/>
  <c r="R84" i="22" a="1"/>
  <c r="R84" i="22" s="1"/>
  <c r="U84" i="22" a="1"/>
  <c r="U84" i="22" s="1"/>
  <c r="V84" i="22" a="1"/>
  <c r="V84" i="22" s="1"/>
  <c r="W84" i="22" a="1"/>
  <c r="W84" i="22" s="1"/>
  <c r="X84" i="22" a="1"/>
  <c r="X84" i="22" s="1"/>
  <c r="K85" i="22" a="1"/>
  <c r="K85" i="22" s="1"/>
  <c r="L85" i="22" a="1"/>
  <c r="L85" i="22" s="1"/>
  <c r="M85" i="22" a="1"/>
  <c r="M85" i="22" s="1"/>
  <c r="N85" i="22" a="1"/>
  <c r="N85" i="22" s="1"/>
  <c r="O85" i="22" a="1"/>
  <c r="O85" i="22" s="1"/>
  <c r="P85" i="22" a="1"/>
  <c r="P85" i="22" s="1"/>
  <c r="Q85" i="22" a="1"/>
  <c r="Q85" i="22" s="1"/>
  <c r="R85" i="22" a="1"/>
  <c r="R85" i="22" s="1"/>
  <c r="U85" i="22" a="1"/>
  <c r="U85" i="22" s="1"/>
  <c r="V85" i="22" a="1"/>
  <c r="V85" i="22" s="1"/>
  <c r="W85" i="22" a="1"/>
  <c r="W85" i="22" s="1"/>
  <c r="X85" i="22" a="1"/>
  <c r="X85" i="22" s="1"/>
  <c r="K86" i="22" a="1"/>
  <c r="K86" i="22" s="1"/>
  <c r="L86" i="22" a="1"/>
  <c r="L86" i="22" s="1"/>
  <c r="M86" i="22" a="1"/>
  <c r="M86" i="22" s="1"/>
  <c r="N86" i="22" a="1"/>
  <c r="N86" i="22" s="1"/>
  <c r="O86" i="22" a="1"/>
  <c r="O86" i="22" s="1"/>
  <c r="P86" i="22" a="1"/>
  <c r="P86" i="22" s="1"/>
  <c r="Q86" i="22" a="1"/>
  <c r="Q86" i="22" s="1"/>
  <c r="R86" i="22" a="1"/>
  <c r="R86" i="22" s="1"/>
  <c r="U86" i="22" a="1"/>
  <c r="U86" i="22" s="1"/>
  <c r="V86" i="22" a="1"/>
  <c r="V86" i="22" s="1"/>
  <c r="W86" i="22" a="1"/>
  <c r="W86" i="22" s="1"/>
  <c r="X86" i="22" a="1"/>
  <c r="X86" i="22" s="1"/>
  <c r="K87" i="22" a="1"/>
  <c r="K87" i="22" s="1"/>
  <c r="L87" i="22" a="1"/>
  <c r="L87" i="22" s="1"/>
  <c r="M87" i="22" a="1"/>
  <c r="M87" i="22" s="1"/>
  <c r="N87" i="22" a="1"/>
  <c r="N87" i="22" s="1"/>
  <c r="O87" i="22" a="1"/>
  <c r="O87" i="22" s="1"/>
  <c r="P87" i="22" a="1"/>
  <c r="P87" i="22" s="1"/>
  <c r="Q87" i="22" a="1"/>
  <c r="Q87" i="22" s="1"/>
  <c r="R87" i="22" a="1"/>
  <c r="R87" i="22" s="1"/>
  <c r="U87" i="22" a="1"/>
  <c r="U87" i="22" s="1"/>
  <c r="V87" i="22" a="1"/>
  <c r="V87" i="22" s="1"/>
  <c r="W87" i="22" a="1"/>
  <c r="W87" i="22" s="1"/>
  <c r="X87" i="22" a="1"/>
  <c r="X87" i="22" s="1"/>
  <c r="K88" i="22" a="1"/>
  <c r="K88" i="22" s="1"/>
  <c r="L88" i="22" a="1"/>
  <c r="L88" i="22" s="1"/>
  <c r="M88" i="22" a="1"/>
  <c r="M88" i="22" s="1"/>
  <c r="N88" i="22" a="1"/>
  <c r="N88" i="22" s="1"/>
  <c r="O88" i="22" a="1"/>
  <c r="O88" i="22" s="1"/>
  <c r="P88" i="22" a="1"/>
  <c r="P88" i="22" s="1"/>
  <c r="Q88" i="22" a="1"/>
  <c r="Q88" i="22" s="1"/>
  <c r="R88" i="22" a="1"/>
  <c r="R88" i="22" s="1"/>
  <c r="U88" i="22" a="1"/>
  <c r="U88" i="22" s="1"/>
  <c r="V88" i="22" a="1"/>
  <c r="V88" i="22" s="1"/>
  <c r="W88" i="22" a="1"/>
  <c r="W88" i="22" s="1"/>
  <c r="X88" i="22" a="1"/>
  <c r="X88" i="22" s="1"/>
  <c r="K89" i="22" a="1"/>
  <c r="K89" i="22" s="1"/>
  <c r="L89" i="22" a="1"/>
  <c r="L89" i="22" s="1"/>
  <c r="M89" i="22" a="1"/>
  <c r="M89" i="22" s="1"/>
  <c r="N89" i="22" a="1"/>
  <c r="N89" i="22" s="1"/>
  <c r="O89" i="22" a="1"/>
  <c r="O89" i="22" s="1"/>
  <c r="P89" i="22" a="1"/>
  <c r="P89" i="22" s="1"/>
  <c r="Q89" i="22" a="1"/>
  <c r="Q89" i="22" s="1"/>
  <c r="R89" i="22" a="1"/>
  <c r="R89" i="22" s="1"/>
  <c r="U89" i="22" a="1"/>
  <c r="U89" i="22" s="1"/>
  <c r="V89" i="22" a="1"/>
  <c r="V89" i="22" s="1"/>
  <c r="W89" i="22" a="1"/>
  <c r="W89" i="22" s="1"/>
  <c r="X89" i="22" a="1"/>
  <c r="X89" i="22" s="1"/>
  <c r="K90" i="22" a="1"/>
  <c r="K90" i="22" s="1"/>
  <c r="L90" i="22" a="1"/>
  <c r="L90" i="22" s="1"/>
  <c r="M90" i="22" a="1"/>
  <c r="M90" i="22" s="1"/>
  <c r="N90" i="22" a="1"/>
  <c r="N90" i="22" s="1"/>
  <c r="O90" i="22" a="1"/>
  <c r="O90" i="22" s="1"/>
  <c r="P90" i="22" a="1"/>
  <c r="P90" i="22" s="1"/>
  <c r="Q90" i="22" a="1"/>
  <c r="Q90" i="22" s="1"/>
  <c r="R90" i="22" a="1"/>
  <c r="R90" i="22" s="1"/>
  <c r="U90" i="22" a="1"/>
  <c r="U90" i="22" s="1"/>
  <c r="V90" i="22" a="1"/>
  <c r="V90" i="22" s="1"/>
  <c r="W90" i="22" a="1"/>
  <c r="W90" i="22" s="1"/>
  <c r="X90" i="22" a="1"/>
  <c r="X90" i="22" s="1"/>
  <c r="K91" i="22" a="1"/>
  <c r="K91" i="22" s="1"/>
  <c r="L91" i="22" a="1"/>
  <c r="L91" i="22" s="1"/>
  <c r="M91" i="22" a="1"/>
  <c r="M91" i="22" s="1"/>
  <c r="N91" i="22" a="1"/>
  <c r="N91" i="22" s="1"/>
  <c r="O91" i="22" a="1"/>
  <c r="O91" i="22" s="1"/>
  <c r="P91" i="22" a="1"/>
  <c r="P91" i="22" s="1"/>
  <c r="Q91" i="22" a="1"/>
  <c r="Q91" i="22" s="1"/>
  <c r="R91" i="22" a="1"/>
  <c r="R91" i="22" s="1"/>
  <c r="U91" i="22" a="1"/>
  <c r="U91" i="22" s="1"/>
  <c r="V91" i="22" a="1"/>
  <c r="V91" i="22" s="1"/>
  <c r="W91" i="22" a="1"/>
  <c r="W91" i="22" s="1"/>
  <c r="X91" i="22" a="1"/>
  <c r="X91" i="22" s="1"/>
  <c r="K92" i="22" a="1"/>
  <c r="K92" i="22" s="1"/>
  <c r="L92" i="22" a="1"/>
  <c r="L92" i="22" s="1"/>
  <c r="M92" i="22" a="1"/>
  <c r="M92" i="22" s="1"/>
  <c r="N92" i="22" a="1"/>
  <c r="N92" i="22" s="1"/>
  <c r="O92" i="22" a="1"/>
  <c r="O92" i="22" s="1"/>
  <c r="P92" i="22" a="1"/>
  <c r="P92" i="22" s="1"/>
  <c r="Q92" i="22" a="1"/>
  <c r="Q92" i="22" s="1"/>
  <c r="R92" i="22" a="1"/>
  <c r="R92" i="22" s="1"/>
  <c r="U92" i="22" a="1"/>
  <c r="U92" i="22" s="1"/>
  <c r="V92" i="22" a="1"/>
  <c r="V92" i="22" s="1"/>
  <c r="W92" i="22" a="1"/>
  <c r="W92" i="22" s="1"/>
  <c r="X92" i="22" a="1"/>
  <c r="X92" i="22" s="1"/>
  <c r="K93" i="22" a="1"/>
  <c r="K93" i="22" s="1"/>
  <c r="L93" i="22" a="1"/>
  <c r="L93" i="22" s="1"/>
  <c r="M93" i="22" a="1"/>
  <c r="M93" i="22" s="1"/>
  <c r="N93" i="22" a="1"/>
  <c r="N93" i="22" s="1"/>
  <c r="O93" i="22" a="1"/>
  <c r="O93" i="22" s="1"/>
  <c r="P93" i="22" a="1"/>
  <c r="P93" i="22" s="1"/>
  <c r="Q93" i="22" a="1"/>
  <c r="Q93" i="22" s="1"/>
  <c r="R93" i="22" a="1"/>
  <c r="R93" i="22" s="1"/>
  <c r="U93" i="22" a="1"/>
  <c r="U93" i="22" s="1"/>
  <c r="V93" i="22" a="1"/>
  <c r="V93" i="22" s="1"/>
  <c r="W93" i="22" a="1"/>
  <c r="W93" i="22" s="1"/>
  <c r="X93" i="22" a="1"/>
  <c r="X93" i="22" s="1"/>
  <c r="K94" i="22" a="1"/>
  <c r="K94" i="22" s="1"/>
  <c r="L94" i="22" a="1"/>
  <c r="L94" i="22" s="1"/>
  <c r="M94" i="22" a="1"/>
  <c r="M94" i="22" s="1"/>
  <c r="N94" i="22" a="1"/>
  <c r="N94" i="22" s="1"/>
  <c r="O94" i="22" a="1"/>
  <c r="O94" i="22" s="1"/>
  <c r="P94" i="22" a="1"/>
  <c r="P94" i="22" s="1"/>
  <c r="Q94" i="22" a="1"/>
  <c r="Q94" i="22" s="1"/>
  <c r="R94" i="22" a="1"/>
  <c r="R94" i="22" s="1"/>
  <c r="U94" i="22" a="1"/>
  <c r="U94" i="22" s="1"/>
  <c r="V94" i="22" a="1"/>
  <c r="V94" i="22" s="1"/>
  <c r="W94" i="22" a="1"/>
  <c r="W94" i="22" s="1"/>
  <c r="X94" i="22" a="1"/>
  <c r="X94" i="22" s="1"/>
  <c r="K95" i="22" a="1"/>
  <c r="K95" i="22" s="1"/>
  <c r="L95" i="22" a="1"/>
  <c r="L95" i="22" s="1"/>
  <c r="M95" i="22" a="1"/>
  <c r="M95" i="22" s="1"/>
  <c r="N95" i="22" a="1"/>
  <c r="N95" i="22" s="1"/>
  <c r="O95" i="22" a="1"/>
  <c r="O95" i="22" s="1"/>
  <c r="P95" i="22" a="1"/>
  <c r="P95" i="22" s="1"/>
  <c r="Q95" i="22" a="1"/>
  <c r="Q95" i="22" s="1"/>
  <c r="R95" i="22" a="1"/>
  <c r="R95" i="22" s="1"/>
  <c r="U95" i="22" a="1"/>
  <c r="U95" i="22" s="1"/>
  <c r="V95" i="22" a="1"/>
  <c r="V95" i="22" s="1"/>
  <c r="W95" i="22" a="1"/>
  <c r="W95" i="22" s="1"/>
  <c r="X95" i="22" a="1"/>
  <c r="X95" i="22" s="1"/>
  <c r="K96" i="22" a="1"/>
  <c r="K96" i="22" s="1"/>
  <c r="L96" i="22" a="1"/>
  <c r="L96" i="22" s="1"/>
  <c r="M96" i="22" a="1"/>
  <c r="M96" i="22" s="1"/>
  <c r="N96" i="22" a="1"/>
  <c r="N96" i="22" s="1"/>
  <c r="O96" i="22" a="1"/>
  <c r="O96" i="22" s="1"/>
  <c r="P96" i="22" a="1"/>
  <c r="P96" i="22" s="1"/>
  <c r="Q96" i="22" a="1"/>
  <c r="Q96" i="22" s="1"/>
  <c r="R96" i="22" a="1"/>
  <c r="R96" i="22" s="1"/>
  <c r="U96" i="22" a="1"/>
  <c r="U96" i="22" s="1"/>
  <c r="V96" i="22" a="1"/>
  <c r="V96" i="22" s="1"/>
  <c r="W96" i="22" a="1"/>
  <c r="W96" i="22" s="1"/>
  <c r="X96" i="22" a="1"/>
  <c r="X96" i="22" s="1"/>
  <c r="K97" i="22" a="1"/>
  <c r="K97" i="22" s="1"/>
  <c r="L97" i="22" a="1"/>
  <c r="L97" i="22" s="1"/>
  <c r="M97" i="22" a="1"/>
  <c r="M97" i="22" s="1"/>
  <c r="N97" i="22" a="1"/>
  <c r="N97" i="22" s="1"/>
  <c r="O97" i="22" a="1"/>
  <c r="O97" i="22" s="1"/>
  <c r="P97" i="22" a="1"/>
  <c r="P97" i="22" s="1"/>
  <c r="Q97" i="22" a="1"/>
  <c r="Q97" i="22" s="1"/>
  <c r="R97" i="22" a="1"/>
  <c r="R97" i="22" s="1"/>
  <c r="U97" i="22" a="1"/>
  <c r="U97" i="22" s="1"/>
  <c r="V97" i="22" a="1"/>
  <c r="V97" i="22" s="1"/>
  <c r="W97" i="22" a="1"/>
  <c r="W97" i="22" s="1"/>
  <c r="X97" i="22" a="1"/>
  <c r="X97" i="22" s="1"/>
  <c r="K98" i="22" a="1"/>
  <c r="K98" i="22" s="1"/>
  <c r="L98" i="22" a="1"/>
  <c r="L98" i="22" s="1"/>
  <c r="M98" i="22" a="1"/>
  <c r="M98" i="22" s="1"/>
  <c r="N98" i="22" a="1"/>
  <c r="N98" i="22" s="1"/>
  <c r="O98" i="22" a="1"/>
  <c r="O98" i="22" s="1"/>
  <c r="P98" i="22" a="1"/>
  <c r="P98" i="22" s="1"/>
  <c r="Q98" i="22" a="1"/>
  <c r="Q98" i="22" s="1"/>
  <c r="R98" i="22" a="1"/>
  <c r="R98" i="22" s="1"/>
  <c r="U98" i="22" a="1"/>
  <c r="U98" i="22" s="1"/>
  <c r="V98" i="22" a="1"/>
  <c r="V98" i="22" s="1"/>
  <c r="W98" i="22" a="1"/>
  <c r="W98" i="22" s="1"/>
  <c r="X98" i="22" a="1"/>
  <c r="X98" i="22" s="1"/>
  <c r="K99" i="22" a="1"/>
  <c r="K99" i="22" s="1"/>
  <c r="L99" i="22" a="1"/>
  <c r="L99" i="22" s="1"/>
  <c r="M99" i="22" a="1"/>
  <c r="M99" i="22" s="1"/>
  <c r="N99" i="22" a="1"/>
  <c r="N99" i="22" s="1"/>
  <c r="O99" i="22" a="1"/>
  <c r="O99" i="22" s="1"/>
  <c r="P99" i="22" a="1"/>
  <c r="P99" i="22" s="1"/>
  <c r="Q99" i="22" a="1"/>
  <c r="Q99" i="22" s="1"/>
  <c r="R99" i="22" a="1"/>
  <c r="R99" i="22" s="1"/>
  <c r="U99" i="22" a="1"/>
  <c r="U99" i="22" s="1"/>
  <c r="V99" i="22" a="1"/>
  <c r="V99" i="22" s="1"/>
  <c r="W99" i="22" a="1"/>
  <c r="W99" i="22" s="1"/>
  <c r="X99" i="22" a="1"/>
  <c r="X99" i="22" s="1"/>
  <c r="K100" i="22" a="1"/>
  <c r="K100" i="22" s="1"/>
  <c r="L100" i="22" a="1"/>
  <c r="L100" i="22" s="1"/>
  <c r="M100" i="22" a="1"/>
  <c r="M100" i="22" s="1"/>
  <c r="N100" i="22" a="1"/>
  <c r="N100" i="22" s="1"/>
  <c r="O100" i="22" a="1"/>
  <c r="O100" i="22" s="1"/>
  <c r="P100" i="22" a="1"/>
  <c r="P100" i="22" s="1"/>
  <c r="Q100" i="22" a="1"/>
  <c r="Q100" i="22" s="1"/>
  <c r="R100" i="22" a="1"/>
  <c r="R100" i="22" s="1"/>
  <c r="U100" i="22" a="1"/>
  <c r="U100" i="22" s="1"/>
  <c r="V100" i="22" a="1"/>
  <c r="V100" i="22" s="1"/>
  <c r="W100" i="22" a="1"/>
  <c r="W100" i="22" s="1"/>
  <c r="X100" i="22" a="1"/>
  <c r="X100" i="22" s="1"/>
  <c r="K101" i="22" a="1"/>
  <c r="K101" i="22" s="1"/>
  <c r="L101" i="22" a="1"/>
  <c r="L101" i="22" s="1"/>
  <c r="M101" i="22" a="1"/>
  <c r="M101" i="22" s="1"/>
  <c r="N101" i="22" a="1"/>
  <c r="N101" i="22" s="1"/>
  <c r="O101" i="22" a="1"/>
  <c r="O101" i="22" s="1"/>
  <c r="P101" i="22" a="1"/>
  <c r="P101" i="22" s="1"/>
  <c r="Q101" i="22" a="1"/>
  <c r="Q101" i="22" s="1"/>
  <c r="R101" i="22" a="1"/>
  <c r="R101" i="22" s="1"/>
  <c r="U101" i="22" a="1"/>
  <c r="U101" i="22" s="1"/>
  <c r="V101" i="22" a="1"/>
  <c r="V101" i="22" s="1"/>
  <c r="W101" i="22" a="1"/>
  <c r="W101" i="22" s="1"/>
  <c r="X101" i="22" a="1"/>
  <c r="X101" i="22" s="1"/>
  <c r="K102" i="22" a="1"/>
  <c r="K102" i="22" s="1"/>
  <c r="L102" i="22" a="1"/>
  <c r="L102" i="22" s="1"/>
  <c r="M102" i="22" a="1"/>
  <c r="M102" i="22" s="1"/>
  <c r="N102" i="22" a="1"/>
  <c r="N102" i="22" s="1"/>
  <c r="O102" i="22" a="1"/>
  <c r="O102" i="22" s="1"/>
  <c r="P102" i="22" a="1"/>
  <c r="P102" i="22" s="1"/>
  <c r="Q102" i="22" a="1"/>
  <c r="Q102" i="22" s="1"/>
  <c r="R102" i="22" a="1"/>
  <c r="R102" i="22" s="1"/>
  <c r="U102" i="22" a="1"/>
  <c r="U102" i="22" s="1"/>
  <c r="V102" i="22" a="1"/>
  <c r="V102" i="22" s="1"/>
  <c r="W102" i="22" a="1"/>
  <c r="W102" i="22" s="1"/>
  <c r="X102" i="22" a="1"/>
  <c r="X102" i="22" s="1"/>
  <c r="K103" i="22" a="1"/>
  <c r="K103" i="22" s="1"/>
  <c r="L103" i="22" a="1"/>
  <c r="L103" i="22" s="1"/>
  <c r="M103" i="22" a="1"/>
  <c r="M103" i="22" s="1"/>
  <c r="N103" i="22" a="1"/>
  <c r="N103" i="22" s="1"/>
  <c r="O103" i="22" a="1"/>
  <c r="O103" i="22" s="1"/>
  <c r="P103" i="22" a="1"/>
  <c r="P103" i="22" s="1"/>
  <c r="Q103" i="22" a="1"/>
  <c r="Q103" i="22" s="1"/>
  <c r="R103" i="22" a="1"/>
  <c r="R103" i="22" s="1"/>
  <c r="U103" i="22" a="1"/>
  <c r="U103" i="22" s="1"/>
  <c r="V103" i="22" a="1"/>
  <c r="V103" i="22" s="1"/>
  <c r="W103" i="22" a="1"/>
  <c r="W103" i="22" s="1"/>
  <c r="X103" i="22" a="1"/>
  <c r="X103" i="22" s="1"/>
  <c r="K104" i="22" a="1"/>
  <c r="K104" i="22" s="1"/>
  <c r="L104" i="22" a="1"/>
  <c r="L104" i="22" s="1"/>
  <c r="M104" i="22" a="1"/>
  <c r="M104" i="22" s="1"/>
  <c r="N104" i="22" a="1"/>
  <c r="N104" i="22" s="1"/>
  <c r="O104" i="22" a="1"/>
  <c r="O104" i="22" s="1"/>
  <c r="P104" i="22" a="1"/>
  <c r="P104" i="22" s="1"/>
  <c r="Q104" i="22" a="1"/>
  <c r="Q104" i="22" s="1"/>
  <c r="R104" i="22" a="1"/>
  <c r="R104" i="22" s="1"/>
  <c r="U104" i="22" a="1"/>
  <c r="U104" i="22" s="1"/>
  <c r="V104" i="22" a="1"/>
  <c r="V104" i="22" s="1"/>
  <c r="W104" i="22" a="1"/>
  <c r="W104" i="22" s="1"/>
  <c r="X104" i="22" a="1"/>
  <c r="X104" i="22" s="1"/>
  <c r="K105" i="22" a="1"/>
  <c r="K105" i="22" s="1"/>
  <c r="L105" i="22" a="1"/>
  <c r="L105" i="22" s="1"/>
  <c r="M105" i="22" a="1"/>
  <c r="M105" i="22" s="1"/>
  <c r="N105" i="22" a="1"/>
  <c r="N105" i="22" s="1"/>
  <c r="O105" i="22" a="1"/>
  <c r="O105" i="22" s="1"/>
  <c r="P105" i="22" a="1"/>
  <c r="P105" i="22" s="1"/>
  <c r="Q105" i="22" a="1"/>
  <c r="Q105" i="22" s="1"/>
  <c r="R105" i="22" a="1"/>
  <c r="R105" i="22" s="1"/>
  <c r="U105" i="22" a="1"/>
  <c r="U105" i="22" s="1"/>
  <c r="V105" i="22" a="1"/>
  <c r="V105" i="22" s="1"/>
  <c r="W105" i="22" a="1"/>
  <c r="W105" i="22" s="1"/>
  <c r="X105" i="22" a="1"/>
  <c r="X105" i="22" s="1"/>
  <c r="K106" i="22" a="1"/>
  <c r="K106" i="22" s="1"/>
  <c r="L106" i="22" a="1"/>
  <c r="L106" i="22" s="1"/>
  <c r="M106" i="22" a="1"/>
  <c r="M106" i="22" s="1"/>
  <c r="N106" i="22" a="1"/>
  <c r="N106" i="22" s="1"/>
  <c r="O106" i="22" a="1"/>
  <c r="O106" i="22" s="1"/>
  <c r="P106" i="22" a="1"/>
  <c r="P106" i="22" s="1"/>
  <c r="Q106" i="22" a="1"/>
  <c r="Q106" i="22" s="1"/>
  <c r="R106" i="22" a="1"/>
  <c r="R106" i="22" s="1"/>
  <c r="U106" i="22" a="1"/>
  <c r="U106" i="22" s="1"/>
  <c r="V106" i="22" a="1"/>
  <c r="V106" i="22" s="1"/>
  <c r="W106" i="22" a="1"/>
  <c r="W106" i="22" s="1"/>
  <c r="X106" i="22" a="1"/>
  <c r="X106" i="22" s="1"/>
  <c r="K107" i="22" a="1"/>
  <c r="K107" i="22" s="1"/>
  <c r="L107" i="22" a="1"/>
  <c r="L107" i="22" s="1"/>
  <c r="M107" i="22" a="1"/>
  <c r="M107" i="22" s="1"/>
  <c r="N107" i="22" a="1"/>
  <c r="N107" i="22" s="1"/>
  <c r="O107" i="22" a="1"/>
  <c r="O107" i="22" s="1"/>
  <c r="P107" i="22" a="1"/>
  <c r="P107" i="22" s="1"/>
  <c r="Q107" i="22" a="1"/>
  <c r="Q107" i="22" s="1"/>
  <c r="R107" i="22" a="1"/>
  <c r="R107" i="22" s="1"/>
  <c r="U107" i="22" a="1"/>
  <c r="U107" i="22" s="1"/>
  <c r="V107" i="22" a="1"/>
  <c r="V107" i="22" s="1"/>
  <c r="W107" i="22" a="1"/>
  <c r="W107" i="22" s="1"/>
  <c r="X107" i="22" a="1"/>
  <c r="X107" i="22" s="1"/>
  <c r="K108" i="22" a="1"/>
  <c r="K108" i="22" s="1"/>
  <c r="L108" i="22" a="1"/>
  <c r="L108" i="22" s="1"/>
  <c r="M108" i="22" a="1"/>
  <c r="M108" i="22" s="1"/>
  <c r="N108" i="22" a="1"/>
  <c r="N108" i="22" s="1"/>
  <c r="O108" i="22" a="1"/>
  <c r="O108" i="22" s="1"/>
  <c r="P108" i="22" a="1"/>
  <c r="P108" i="22" s="1"/>
  <c r="Q108" i="22" a="1"/>
  <c r="Q108" i="22" s="1"/>
  <c r="R108" i="22" a="1"/>
  <c r="R108" i="22" s="1"/>
  <c r="U108" i="22" a="1"/>
  <c r="U108" i="22" s="1"/>
  <c r="V108" i="22" a="1"/>
  <c r="V108" i="22" s="1"/>
  <c r="W108" i="22" a="1"/>
  <c r="W108" i="22" s="1"/>
  <c r="X108" i="22" a="1"/>
  <c r="X108" i="22" s="1"/>
  <c r="K109" i="22" a="1"/>
  <c r="K109" i="22" s="1"/>
  <c r="L109" i="22" a="1"/>
  <c r="L109" i="22" s="1"/>
  <c r="M109" i="22" a="1"/>
  <c r="M109" i="22" s="1"/>
  <c r="N109" i="22" a="1"/>
  <c r="N109" i="22" s="1"/>
  <c r="O109" i="22" a="1"/>
  <c r="O109" i="22" s="1"/>
  <c r="P109" i="22" a="1"/>
  <c r="P109" i="22" s="1"/>
  <c r="Q109" i="22" a="1"/>
  <c r="Q109" i="22" s="1"/>
  <c r="R109" i="22" a="1"/>
  <c r="R109" i="22" s="1"/>
  <c r="U109" i="22" a="1"/>
  <c r="U109" i="22" s="1"/>
  <c r="V109" i="22" a="1"/>
  <c r="V109" i="22" s="1"/>
  <c r="W109" i="22" a="1"/>
  <c r="W109" i="22" s="1"/>
  <c r="X109" i="22" a="1"/>
  <c r="X109" i="22" s="1"/>
  <c r="K110" i="22" a="1"/>
  <c r="K110" i="22" s="1"/>
  <c r="L110" i="22" a="1"/>
  <c r="L110" i="22" s="1"/>
  <c r="M110" i="22" a="1"/>
  <c r="M110" i="22" s="1"/>
  <c r="N110" i="22" a="1"/>
  <c r="N110" i="22" s="1"/>
  <c r="O110" i="22" a="1"/>
  <c r="O110" i="22" s="1"/>
  <c r="P110" i="22" a="1"/>
  <c r="P110" i="22" s="1"/>
  <c r="Q110" i="22" a="1"/>
  <c r="Q110" i="22" s="1"/>
  <c r="R110" i="22" a="1"/>
  <c r="R110" i="22" s="1"/>
  <c r="U110" i="22" a="1"/>
  <c r="U110" i="22" s="1"/>
  <c r="V110" i="22" a="1"/>
  <c r="V110" i="22" s="1"/>
  <c r="W110" i="22" a="1"/>
  <c r="W110" i="22" s="1"/>
  <c r="X110" i="22" a="1"/>
  <c r="X110" i="22" s="1"/>
  <c r="K111" i="22" a="1"/>
  <c r="K111" i="22" s="1"/>
  <c r="L111" i="22" a="1"/>
  <c r="L111" i="22" s="1"/>
  <c r="M111" i="22" a="1"/>
  <c r="M111" i="22" s="1"/>
  <c r="N111" i="22" a="1"/>
  <c r="N111" i="22" s="1"/>
  <c r="O111" i="22" a="1"/>
  <c r="O111" i="22" s="1"/>
  <c r="P111" i="22" a="1"/>
  <c r="P111" i="22" s="1"/>
  <c r="Q111" i="22" a="1"/>
  <c r="Q111" i="22" s="1"/>
  <c r="R111" i="22" a="1"/>
  <c r="R111" i="22" s="1"/>
  <c r="U111" i="22" a="1"/>
  <c r="U111" i="22" s="1"/>
  <c r="V111" i="22" a="1"/>
  <c r="V111" i="22" s="1"/>
  <c r="W111" i="22" a="1"/>
  <c r="W111" i="22" s="1"/>
  <c r="X111" i="22" a="1"/>
  <c r="X111" i="22" s="1"/>
  <c r="K112" i="22" a="1"/>
  <c r="K112" i="22" s="1"/>
  <c r="L112" i="22" a="1"/>
  <c r="L112" i="22" s="1"/>
  <c r="M112" i="22" a="1"/>
  <c r="M112" i="22" s="1"/>
  <c r="N112" i="22" a="1"/>
  <c r="N112" i="22" s="1"/>
  <c r="O112" i="22" a="1"/>
  <c r="O112" i="22" s="1"/>
  <c r="P112" i="22" a="1"/>
  <c r="P112" i="22" s="1"/>
  <c r="Q112" i="22" a="1"/>
  <c r="Q112" i="22" s="1"/>
  <c r="R112" i="22" a="1"/>
  <c r="R112" i="22" s="1"/>
  <c r="U112" i="22" a="1"/>
  <c r="U112" i="22" s="1"/>
  <c r="V112" i="22" a="1"/>
  <c r="V112" i="22" s="1"/>
  <c r="W112" i="22" a="1"/>
  <c r="W112" i="22" s="1"/>
  <c r="X112" i="22" a="1"/>
  <c r="X112" i="22" s="1"/>
  <c r="K113" i="22" a="1"/>
  <c r="K113" i="22" s="1"/>
  <c r="L113" i="22" a="1"/>
  <c r="L113" i="22" s="1"/>
  <c r="M113" i="22" a="1"/>
  <c r="M113" i="22" s="1"/>
  <c r="N113" i="22" a="1"/>
  <c r="N113" i="22" s="1"/>
  <c r="O113" i="22" a="1"/>
  <c r="O113" i="22" s="1"/>
  <c r="P113" i="22" a="1"/>
  <c r="P113" i="22" s="1"/>
  <c r="Q113" i="22" a="1"/>
  <c r="Q113" i="22" s="1"/>
  <c r="R113" i="22" a="1"/>
  <c r="R113" i="22" s="1"/>
  <c r="U113" i="22" a="1"/>
  <c r="U113" i="22" s="1"/>
  <c r="V113" i="22" a="1"/>
  <c r="V113" i="22" s="1"/>
  <c r="W113" i="22" a="1"/>
  <c r="W113" i="22" s="1"/>
  <c r="X113" i="22" a="1"/>
  <c r="X113" i="22" s="1"/>
  <c r="K114" i="22" a="1"/>
  <c r="K114" i="22" s="1"/>
  <c r="L114" i="22" a="1"/>
  <c r="L114" i="22" s="1"/>
  <c r="M114" i="22" a="1"/>
  <c r="M114" i="22" s="1"/>
  <c r="N114" i="22" a="1"/>
  <c r="N114" i="22" s="1"/>
  <c r="O114" i="22" a="1"/>
  <c r="O114" i="22" s="1"/>
  <c r="P114" i="22" a="1"/>
  <c r="P114" i="22" s="1"/>
  <c r="Q114" i="22" a="1"/>
  <c r="Q114" i="22" s="1"/>
  <c r="R114" i="22" a="1"/>
  <c r="R114" i="22" s="1"/>
  <c r="U114" i="22" a="1"/>
  <c r="U114" i="22" s="1"/>
  <c r="V114" i="22" a="1"/>
  <c r="V114" i="22" s="1"/>
  <c r="W114" i="22" a="1"/>
  <c r="W114" i="22" s="1"/>
  <c r="X114" i="22" a="1"/>
  <c r="X114" i="22" s="1"/>
  <c r="K115" i="22" a="1"/>
  <c r="K115" i="22" s="1"/>
  <c r="L115" i="22" a="1"/>
  <c r="L115" i="22" s="1"/>
  <c r="M115" i="22" a="1"/>
  <c r="M115" i="22" s="1"/>
  <c r="N115" i="22" a="1"/>
  <c r="N115" i="22" s="1"/>
  <c r="O115" i="22" a="1"/>
  <c r="O115" i="22" s="1"/>
  <c r="P115" i="22" a="1"/>
  <c r="P115" i="22" s="1"/>
  <c r="Q115" i="22" a="1"/>
  <c r="Q115" i="22" s="1"/>
  <c r="R115" i="22" a="1"/>
  <c r="R115" i="22" s="1"/>
  <c r="U115" i="22" a="1"/>
  <c r="U115" i="22" s="1"/>
  <c r="V115" i="22" a="1"/>
  <c r="V115" i="22" s="1"/>
  <c r="W115" i="22" a="1"/>
  <c r="W115" i="22" s="1"/>
  <c r="X115" i="22" a="1"/>
  <c r="X115" i="22" s="1"/>
  <c r="K116" i="22" a="1"/>
  <c r="K116" i="22" s="1"/>
  <c r="L116" i="22" a="1"/>
  <c r="L116" i="22" s="1"/>
  <c r="M116" i="22" a="1"/>
  <c r="M116" i="22" s="1"/>
  <c r="N116" i="22" a="1"/>
  <c r="N116" i="22" s="1"/>
  <c r="O116" i="22" a="1"/>
  <c r="O116" i="22" s="1"/>
  <c r="P116" i="22" a="1"/>
  <c r="P116" i="22" s="1"/>
  <c r="Q116" i="22" a="1"/>
  <c r="Q116" i="22" s="1"/>
  <c r="R116" i="22" a="1"/>
  <c r="R116" i="22" s="1"/>
  <c r="U116" i="22" a="1"/>
  <c r="U116" i="22" s="1"/>
  <c r="V116" i="22" a="1"/>
  <c r="V116" i="22" s="1"/>
  <c r="W116" i="22" a="1"/>
  <c r="W116" i="22" s="1"/>
  <c r="X116" i="22" a="1"/>
  <c r="X116" i="22" s="1"/>
  <c r="K117" i="22" a="1"/>
  <c r="K117" i="22" s="1"/>
  <c r="L117" i="22" a="1"/>
  <c r="L117" i="22" s="1"/>
  <c r="M117" i="22" a="1"/>
  <c r="M117" i="22" s="1"/>
  <c r="N117" i="22" a="1"/>
  <c r="N117" i="22" s="1"/>
  <c r="O117" i="22" a="1"/>
  <c r="O117" i="22" s="1"/>
  <c r="P117" i="22" a="1"/>
  <c r="P117" i="22" s="1"/>
  <c r="Q117" i="22" a="1"/>
  <c r="Q117" i="22" s="1"/>
  <c r="R117" i="22" a="1"/>
  <c r="R117" i="22" s="1"/>
  <c r="U117" i="22" a="1"/>
  <c r="U117" i="22" s="1"/>
  <c r="V117" i="22" a="1"/>
  <c r="V117" i="22" s="1"/>
  <c r="W117" i="22" a="1"/>
  <c r="W117" i="22" s="1"/>
  <c r="X117" i="22" a="1"/>
  <c r="X117" i="22" s="1"/>
  <c r="K118" i="22" a="1"/>
  <c r="K118" i="22" s="1"/>
  <c r="L118" i="22" a="1"/>
  <c r="L118" i="22" s="1"/>
  <c r="M118" i="22" a="1"/>
  <c r="M118" i="22" s="1"/>
  <c r="N118" i="22" a="1"/>
  <c r="N118" i="22" s="1"/>
  <c r="O118" i="22" a="1"/>
  <c r="O118" i="22" s="1"/>
  <c r="P118" i="22" a="1"/>
  <c r="P118" i="22" s="1"/>
  <c r="Q118" i="22" a="1"/>
  <c r="Q118" i="22" s="1"/>
  <c r="R118" i="22" a="1"/>
  <c r="R118" i="22" s="1"/>
  <c r="U118" i="22" a="1"/>
  <c r="U118" i="22" s="1"/>
  <c r="V118" i="22" a="1"/>
  <c r="V118" i="22" s="1"/>
  <c r="W118" i="22" a="1"/>
  <c r="W118" i="22" s="1"/>
  <c r="X118" i="22" a="1"/>
  <c r="X118" i="22" s="1"/>
  <c r="K119" i="22" a="1"/>
  <c r="K119" i="22" s="1"/>
  <c r="L119" i="22" a="1"/>
  <c r="L119" i="22" s="1"/>
  <c r="M119" i="22" a="1"/>
  <c r="M119" i="22" s="1"/>
  <c r="N119" i="22" a="1"/>
  <c r="N119" i="22" s="1"/>
  <c r="O119" i="22" a="1"/>
  <c r="O119" i="22" s="1"/>
  <c r="P119" i="22" a="1"/>
  <c r="P119" i="22" s="1"/>
  <c r="Q119" i="22" a="1"/>
  <c r="Q119" i="22" s="1"/>
  <c r="R119" i="22" a="1"/>
  <c r="R119" i="22" s="1"/>
  <c r="U119" i="22" a="1"/>
  <c r="U119" i="22" s="1"/>
  <c r="V119" i="22" a="1"/>
  <c r="V119" i="22" s="1"/>
  <c r="W119" i="22" a="1"/>
  <c r="W119" i="22" s="1"/>
  <c r="X119" i="22" a="1"/>
  <c r="X119" i="22" s="1"/>
  <c r="K120" i="22" a="1"/>
  <c r="K120" i="22" s="1"/>
  <c r="L120" i="22" a="1"/>
  <c r="L120" i="22" s="1"/>
  <c r="M120" i="22" a="1"/>
  <c r="M120" i="22" s="1"/>
  <c r="N120" i="22" a="1"/>
  <c r="N120" i="22" s="1"/>
  <c r="O120" i="22" a="1"/>
  <c r="O120" i="22" s="1"/>
  <c r="P120" i="22" a="1"/>
  <c r="P120" i="22" s="1"/>
  <c r="Q120" i="22" a="1"/>
  <c r="Q120" i="22" s="1"/>
  <c r="R120" i="22" a="1"/>
  <c r="R120" i="22" s="1"/>
  <c r="U120" i="22" a="1"/>
  <c r="U120" i="22" s="1"/>
  <c r="V120" i="22" a="1"/>
  <c r="V120" i="22" s="1"/>
  <c r="W120" i="22" a="1"/>
  <c r="W120" i="22" s="1"/>
  <c r="X120" i="22" a="1"/>
  <c r="X120" i="22" s="1"/>
  <c r="K121" i="22" a="1"/>
  <c r="K121" i="22" s="1"/>
  <c r="L121" i="22" a="1"/>
  <c r="L121" i="22" s="1"/>
  <c r="M121" i="22" a="1"/>
  <c r="M121" i="22" s="1"/>
  <c r="N121" i="22" a="1"/>
  <c r="N121" i="22" s="1"/>
  <c r="O121" i="22" a="1"/>
  <c r="O121" i="22" s="1"/>
  <c r="P121" i="22" a="1"/>
  <c r="P121" i="22" s="1"/>
  <c r="Q121" i="22" a="1"/>
  <c r="Q121" i="22" s="1"/>
  <c r="R121" i="22" a="1"/>
  <c r="R121" i="22" s="1"/>
  <c r="U121" i="22" a="1"/>
  <c r="U121" i="22" s="1"/>
  <c r="V121" i="22" a="1"/>
  <c r="V121" i="22" s="1"/>
  <c r="W121" i="22" a="1"/>
  <c r="W121" i="22" s="1"/>
  <c r="X121" i="22" a="1"/>
  <c r="X121" i="22" s="1"/>
  <c r="K122" i="22" a="1"/>
  <c r="K122" i="22" s="1"/>
  <c r="L122" i="22" a="1"/>
  <c r="L122" i="22" s="1"/>
  <c r="M122" i="22" a="1"/>
  <c r="M122" i="22" s="1"/>
  <c r="N122" i="22" a="1"/>
  <c r="N122" i="22" s="1"/>
  <c r="O122" i="22" a="1"/>
  <c r="O122" i="22" s="1"/>
  <c r="P122" i="22" a="1"/>
  <c r="P122" i="22" s="1"/>
  <c r="Q122" i="22" a="1"/>
  <c r="Q122" i="22" s="1"/>
  <c r="R122" i="22" a="1"/>
  <c r="R122" i="22" s="1"/>
  <c r="U122" i="22" a="1"/>
  <c r="U122" i="22" s="1"/>
  <c r="V122" i="22" a="1"/>
  <c r="V122" i="22" s="1"/>
  <c r="W122" i="22" a="1"/>
  <c r="W122" i="22" s="1"/>
  <c r="X122" i="22" a="1"/>
  <c r="X122" i="22" s="1"/>
  <c r="K123" i="22" a="1"/>
  <c r="K123" i="22" s="1"/>
  <c r="L123" i="22" a="1"/>
  <c r="L123" i="22" s="1"/>
  <c r="M123" i="22" a="1"/>
  <c r="M123" i="22" s="1"/>
  <c r="N123" i="22" a="1"/>
  <c r="N123" i="22" s="1"/>
  <c r="O123" i="22" a="1"/>
  <c r="O123" i="22" s="1"/>
  <c r="P123" i="22" a="1"/>
  <c r="P123" i="22" s="1"/>
  <c r="Q123" i="22" a="1"/>
  <c r="Q123" i="22" s="1"/>
  <c r="R123" i="22" a="1"/>
  <c r="R123" i="22" s="1"/>
  <c r="U123" i="22" a="1"/>
  <c r="U123" i="22" s="1"/>
  <c r="V123" i="22" a="1"/>
  <c r="V123" i="22" s="1"/>
  <c r="W123" i="22" a="1"/>
  <c r="W123" i="22" s="1"/>
  <c r="X123" i="22" a="1"/>
  <c r="X123" i="22" s="1"/>
  <c r="K124" i="22" a="1"/>
  <c r="K124" i="22" s="1"/>
  <c r="L124" i="22" a="1"/>
  <c r="L124" i="22" s="1"/>
  <c r="M124" i="22" a="1"/>
  <c r="M124" i="22" s="1"/>
  <c r="N124" i="22" a="1"/>
  <c r="N124" i="22" s="1"/>
  <c r="O124" i="22" a="1"/>
  <c r="O124" i="22" s="1"/>
  <c r="P124" i="22" a="1"/>
  <c r="P124" i="22" s="1"/>
  <c r="Q124" i="22" a="1"/>
  <c r="Q124" i="22" s="1"/>
  <c r="R124" i="22" a="1"/>
  <c r="R124" i="22" s="1"/>
  <c r="U124" i="22" a="1"/>
  <c r="U124" i="22" s="1"/>
  <c r="V124" i="22" a="1"/>
  <c r="V124" i="22" s="1"/>
  <c r="W124" i="22" a="1"/>
  <c r="W124" i="22" s="1"/>
  <c r="X124" i="22" a="1"/>
  <c r="X124" i="22" s="1"/>
  <c r="K125" i="22" a="1"/>
  <c r="K125" i="22" s="1"/>
  <c r="L125" i="22" a="1"/>
  <c r="L125" i="22" s="1"/>
  <c r="M125" i="22" a="1"/>
  <c r="M125" i="22" s="1"/>
  <c r="N125" i="22" a="1"/>
  <c r="N125" i="22" s="1"/>
  <c r="O125" i="22" a="1"/>
  <c r="O125" i="22" s="1"/>
  <c r="P125" i="22" a="1"/>
  <c r="P125" i="22" s="1"/>
  <c r="Q125" i="22" a="1"/>
  <c r="Q125" i="22" s="1"/>
  <c r="R125" i="22" a="1"/>
  <c r="R125" i="22" s="1"/>
  <c r="U125" i="22" a="1"/>
  <c r="U125" i="22" s="1"/>
  <c r="V125" i="22" a="1"/>
  <c r="V125" i="22" s="1"/>
  <c r="W125" i="22" a="1"/>
  <c r="W125" i="22" s="1"/>
  <c r="X125" i="22" a="1"/>
  <c r="X125" i="22" s="1"/>
  <c r="K126" i="22" a="1"/>
  <c r="K126" i="22" s="1"/>
  <c r="L126" i="22" a="1"/>
  <c r="L126" i="22" s="1"/>
  <c r="M126" i="22" a="1"/>
  <c r="M126" i="22" s="1"/>
  <c r="N126" i="22" a="1"/>
  <c r="N126" i="22" s="1"/>
  <c r="O126" i="22" a="1"/>
  <c r="O126" i="22" s="1"/>
  <c r="P126" i="22" a="1"/>
  <c r="P126" i="22" s="1"/>
  <c r="Q126" i="22" a="1"/>
  <c r="Q126" i="22" s="1"/>
  <c r="R126" i="22" a="1"/>
  <c r="R126" i="22" s="1"/>
  <c r="U126" i="22" a="1"/>
  <c r="U126" i="22" s="1"/>
  <c r="V126" i="22" a="1"/>
  <c r="V126" i="22" s="1"/>
  <c r="W126" i="22" a="1"/>
  <c r="W126" i="22" s="1"/>
  <c r="X126" i="22" a="1"/>
  <c r="X126" i="22" s="1"/>
  <c r="K127" i="22" a="1"/>
  <c r="K127" i="22" s="1"/>
  <c r="L127" i="22" a="1"/>
  <c r="L127" i="22" s="1"/>
  <c r="M127" i="22" a="1"/>
  <c r="M127" i="22" s="1"/>
  <c r="N127" i="22" a="1"/>
  <c r="N127" i="22" s="1"/>
  <c r="O127" i="22" a="1"/>
  <c r="O127" i="22" s="1"/>
  <c r="P127" i="22" a="1"/>
  <c r="P127" i="22" s="1"/>
  <c r="Q127" i="22" a="1"/>
  <c r="Q127" i="22" s="1"/>
  <c r="R127" i="22" a="1"/>
  <c r="R127" i="22" s="1"/>
  <c r="U127" i="22" a="1"/>
  <c r="U127" i="22" s="1"/>
  <c r="V127" i="22" a="1"/>
  <c r="V127" i="22" s="1"/>
  <c r="W127" i="22" a="1"/>
  <c r="W127" i="22" s="1"/>
  <c r="X127" i="22" a="1"/>
  <c r="X127" i="22" s="1"/>
  <c r="K128" i="22" a="1"/>
  <c r="K128" i="22" s="1"/>
  <c r="L128" i="22" a="1"/>
  <c r="L128" i="22" s="1"/>
  <c r="M128" i="22" a="1"/>
  <c r="M128" i="22" s="1"/>
  <c r="N128" i="22" a="1"/>
  <c r="N128" i="22" s="1"/>
  <c r="O128" i="22" a="1"/>
  <c r="O128" i="22" s="1"/>
  <c r="P128" i="22" a="1"/>
  <c r="P128" i="22" s="1"/>
  <c r="Q128" i="22" a="1"/>
  <c r="Q128" i="22" s="1"/>
  <c r="R128" i="22" a="1"/>
  <c r="R128" i="22" s="1"/>
  <c r="U128" i="22" a="1"/>
  <c r="U128" i="22" s="1"/>
  <c r="V128" i="22" a="1"/>
  <c r="V128" i="22" s="1"/>
  <c r="W128" i="22" a="1"/>
  <c r="W128" i="22" s="1"/>
  <c r="X128" i="22" a="1"/>
  <c r="X128" i="22" s="1"/>
  <c r="K129" i="22" a="1"/>
  <c r="K129" i="22" s="1"/>
  <c r="L129" i="22" a="1"/>
  <c r="L129" i="22" s="1"/>
  <c r="M129" i="22" a="1"/>
  <c r="M129" i="22" s="1"/>
  <c r="N129" i="22" a="1"/>
  <c r="N129" i="22" s="1"/>
  <c r="O129" i="22" a="1"/>
  <c r="O129" i="22" s="1"/>
  <c r="P129" i="22" a="1"/>
  <c r="P129" i="22" s="1"/>
  <c r="Q129" i="22" a="1"/>
  <c r="Q129" i="22" s="1"/>
  <c r="R129" i="22" a="1"/>
  <c r="R129" i="22" s="1"/>
  <c r="U129" i="22" a="1"/>
  <c r="U129" i="22" s="1"/>
  <c r="V129" i="22" a="1"/>
  <c r="V129" i="22" s="1"/>
  <c r="W129" i="22" a="1"/>
  <c r="W129" i="22" s="1"/>
  <c r="X129" i="22" a="1"/>
  <c r="X129" i="22" s="1"/>
  <c r="K130" i="22" a="1"/>
  <c r="K130" i="22" s="1"/>
  <c r="L130" i="22" a="1"/>
  <c r="L130" i="22" s="1"/>
  <c r="M130" i="22" a="1"/>
  <c r="M130" i="22" s="1"/>
  <c r="N130" i="22" a="1"/>
  <c r="N130" i="22" s="1"/>
  <c r="O130" i="22" a="1"/>
  <c r="O130" i="22" s="1"/>
  <c r="P130" i="22" a="1"/>
  <c r="P130" i="22" s="1"/>
  <c r="Q130" i="22" a="1"/>
  <c r="Q130" i="22" s="1"/>
  <c r="R130" i="22" a="1"/>
  <c r="R130" i="22" s="1"/>
  <c r="U130" i="22" a="1"/>
  <c r="U130" i="22" s="1"/>
  <c r="V130" i="22" a="1"/>
  <c r="V130" i="22" s="1"/>
  <c r="W130" i="22" a="1"/>
  <c r="W130" i="22" s="1"/>
  <c r="X130" i="22" a="1"/>
  <c r="X130" i="22" s="1"/>
  <c r="K131" i="22" a="1"/>
  <c r="K131" i="22" s="1"/>
  <c r="L131" i="22" a="1"/>
  <c r="L131" i="22" s="1"/>
  <c r="M131" i="22" a="1"/>
  <c r="M131" i="22" s="1"/>
  <c r="N131" i="22" a="1"/>
  <c r="N131" i="22" s="1"/>
  <c r="O131" i="22" a="1"/>
  <c r="O131" i="22" s="1"/>
  <c r="P131" i="22" a="1"/>
  <c r="P131" i="22" s="1"/>
  <c r="Q131" i="22" a="1"/>
  <c r="Q131" i="22" s="1"/>
  <c r="R131" i="22" a="1"/>
  <c r="R131" i="22" s="1"/>
  <c r="U131" i="22" a="1"/>
  <c r="U131" i="22" s="1"/>
  <c r="V131" i="22" a="1"/>
  <c r="V131" i="22" s="1"/>
  <c r="W131" i="22" a="1"/>
  <c r="W131" i="22" s="1"/>
  <c r="X131" i="22" a="1"/>
  <c r="X131" i="22" s="1"/>
  <c r="K132" i="22" a="1"/>
  <c r="K132" i="22" s="1"/>
  <c r="L132" i="22" a="1"/>
  <c r="L132" i="22" s="1"/>
  <c r="M132" i="22" a="1"/>
  <c r="M132" i="22" s="1"/>
  <c r="N132" i="22" a="1"/>
  <c r="N132" i="22" s="1"/>
  <c r="O132" i="22" a="1"/>
  <c r="O132" i="22" s="1"/>
  <c r="P132" i="22" a="1"/>
  <c r="P132" i="22" s="1"/>
  <c r="Q132" i="22" a="1"/>
  <c r="Q132" i="22" s="1"/>
  <c r="R132" i="22" a="1"/>
  <c r="R132" i="22" s="1"/>
  <c r="U132" i="22" a="1"/>
  <c r="U132" i="22" s="1"/>
  <c r="V132" i="22" a="1"/>
  <c r="V132" i="22" s="1"/>
  <c r="W132" i="22" a="1"/>
  <c r="W132" i="22" s="1"/>
  <c r="X132" i="22" a="1"/>
  <c r="X132" i="22" s="1"/>
  <c r="K133" i="22" a="1"/>
  <c r="K133" i="22" s="1"/>
  <c r="L133" i="22" a="1"/>
  <c r="L133" i="22" s="1"/>
  <c r="M133" i="22" a="1"/>
  <c r="M133" i="22" s="1"/>
  <c r="N133" i="22" a="1"/>
  <c r="N133" i="22" s="1"/>
  <c r="O133" i="22" a="1"/>
  <c r="O133" i="22" s="1"/>
  <c r="P133" i="22" a="1"/>
  <c r="P133" i="22" s="1"/>
  <c r="Q133" i="22" a="1"/>
  <c r="Q133" i="22" s="1"/>
  <c r="R133" i="22" a="1"/>
  <c r="R133" i="22" s="1"/>
  <c r="U133" i="22" a="1"/>
  <c r="U133" i="22" s="1"/>
  <c r="V133" i="22" a="1"/>
  <c r="V133" i="22" s="1"/>
  <c r="W133" i="22" a="1"/>
  <c r="W133" i="22" s="1"/>
  <c r="X133" i="22" a="1"/>
  <c r="X133" i="22" s="1"/>
  <c r="K134" i="22" a="1"/>
  <c r="K134" i="22" s="1"/>
  <c r="L134" i="22" a="1"/>
  <c r="L134" i="22" s="1"/>
  <c r="M134" i="22" a="1"/>
  <c r="M134" i="22" s="1"/>
  <c r="N134" i="22" a="1"/>
  <c r="N134" i="22" s="1"/>
  <c r="O134" i="22" a="1"/>
  <c r="O134" i="22" s="1"/>
  <c r="P134" i="22" a="1"/>
  <c r="P134" i="22" s="1"/>
  <c r="Q134" i="22" a="1"/>
  <c r="Q134" i="22" s="1"/>
  <c r="R134" i="22" a="1"/>
  <c r="R134" i="22" s="1"/>
  <c r="U134" i="22" a="1"/>
  <c r="U134" i="22" s="1"/>
  <c r="V134" i="22" a="1"/>
  <c r="V134" i="22" s="1"/>
  <c r="W134" i="22" a="1"/>
  <c r="W134" i="22" s="1"/>
  <c r="X134" i="22" a="1"/>
  <c r="X134" i="22" s="1"/>
  <c r="K135" i="22" a="1"/>
  <c r="K135" i="22" s="1"/>
  <c r="L135" i="22" a="1"/>
  <c r="L135" i="22" s="1"/>
  <c r="M135" i="22" a="1"/>
  <c r="M135" i="22" s="1"/>
  <c r="N135" i="22" a="1"/>
  <c r="N135" i="22" s="1"/>
  <c r="O135" i="22" a="1"/>
  <c r="O135" i="22" s="1"/>
  <c r="P135" i="22" a="1"/>
  <c r="P135" i="22" s="1"/>
  <c r="Q135" i="22" a="1"/>
  <c r="Q135" i="22" s="1"/>
  <c r="R135" i="22" a="1"/>
  <c r="R135" i="22" s="1"/>
  <c r="U135" i="22" a="1"/>
  <c r="U135" i="22" s="1"/>
  <c r="V135" i="22" a="1"/>
  <c r="V135" i="22" s="1"/>
  <c r="W135" i="22" a="1"/>
  <c r="W135" i="22" s="1"/>
  <c r="X135" i="22" a="1"/>
  <c r="X135" i="22" s="1"/>
  <c r="K136" i="22" a="1"/>
  <c r="K136" i="22" s="1"/>
  <c r="L136" i="22" a="1"/>
  <c r="L136" i="22" s="1"/>
  <c r="M136" i="22" a="1"/>
  <c r="M136" i="22" s="1"/>
  <c r="N136" i="22" a="1"/>
  <c r="N136" i="22" s="1"/>
  <c r="O136" i="22" a="1"/>
  <c r="O136" i="22" s="1"/>
  <c r="P136" i="22" a="1"/>
  <c r="P136" i="22" s="1"/>
  <c r="Q136" i="22" a="1"/>
  <c r="Q136" i="22" s="1"/>
  <c r="R136" i="22" a="1"/>
  <c r="R136" i="22" s="1"/>
  <c r="U136" i="22" a="1"/>
  <c r="U136" i="22" s="1"/>
  <c r="V136" i="22" a="1"/>
  <c r="V136" i="22" s="1"/>
  <c r="W136" i="22" a="1"/>
  <c r="W136" i="22" s="1"/>
  <c r="X136" i="22" a="1"/>
  <c r="X136" i="22" s="1"/>
  <c r="K137" i="22" a="1"/>
  <c r="K137" i="22" s="1"/>
  <c r="L137" i="22" a="1"/>
  <c r="L137" i="22" s="1"/>
  <c r="M137" i="22" a="1"/>
  <c r="M137" i="22" s="1"/>
  <c r="N137" i="22" a="1"/>
  <c r="N137" i="22" s="1"/>
  <c r="O137" i="22" a="1"/>
  <c r="O137" i="22" s="1"/>
  <c r="P137" i="22" a="1"/>
  <c r="P137" i="22" s="1"/>
  <c r="Q137" i="22" a="1"/>
  <c r="Q137" i="22" s="1"/>
  <c r="R137" i="22" a="1"/>
  <c r="R137" i="22" s="1"/>
  <c r="U137" i="22" a="1"/>
  <c r="U137" i="22" s="1"/>
  <c r="V137" i="22" a="1"/>
  <c r="V137" i="22" s="1"/>
  <c r="W137" i="22" a="1"/>
  <c r="W137" i="22" s="1"/>
  <c r="X137" i="22" a="1"/>
  <c r="X137" i="22" s="1"/>
  <c r="K138" i="22" a="1"/>
  <c r="K138" i="22" s="1"/>
  <c r="L138" i="22" a="1"/>
  <c r="L138" i="22" s="1"/>
  <c r="M138" i="22" a="1"/>
  <c r="M138" i="22" s="1"/>
  <c r="N138" i="22" a="1"/>
  <c r="N138" i="22" s="1"/>
  <c r="O138" i="22" a="1"/>
  <c r="O138" i="22" s="1"/>
  <c r="P138" i="22" a="1"/>
  <c r="P138" i="22" s="1"/>
  <c r="Q138" i="22" a="1"/>
  <c r="Q138" i="22" s="1"/>
  <c r="R138" i="22" a="1"/>
  <c r="R138" i="22" s="1"/>
  <c r="U138" i="22" a="1"/>
  <c r="U138" i="22" s="1"/>
  <c r="V138" i="22" a="1"/>
  <c r="V138" i="22" s="1"/>
  <c r="W138" i="22" a="1"/>
  <c r="W138" i="22" s="1"/>
  <c r="X138" i="22" a="1"/>
  <c r="X138" i="22" s="1"/>
  <c r="K139" i="22" a="1"/>
  <c r="K139" i="22" s="1"/>
  <c r="L139" i="22" a="1"/>
  <c r="L139" i="22" s="1"/>
  <c r="M139" i="22" a="1"/>
  <c r="M139" i="22" s="1"/>
  <c r="N139" i="22" a="1"/>
  <c r="N139" i="22" s="1"/>
  <c r="O139" i="22" a="1"/>
  <c r="O139" i="22" s="1"/>
  <c r="P139" i="22" a="1"/>
  <c r="P139" i="22" s="1"/>
  <c r="Q139" i="22" a="1"/>
  <c r="Q139" i="22" s="1"/>
  <c r="R139" i="22" a="1"/>
  <c r="R139" i="22" s="1"/>
  <c r="U139" i="22" a="1"/>
  <c r="U139" i="22" s="1"/>
  <c r="V139" i="22" a="1"/>
  <c r="V139" i="22" s="1"/>
  <c r="W139" i="22" a="1"/>
  <c r="W139" i="22" s="1"/>
  <c r="X139" i="22" a="1"/>
  <c r="X139" i="22" s="1"/>
  <c r="K140" i="22" a="1"/>
  <c r="K140" i="22" s="1"/>
  <c r="L140" i="22" a="1"/>
  <c r="L140" i="22" s="1"/>
  <c r="M140" i="22" a="1"/>
  <c r="M140" i="22" s="1"/>
  <c r="N140" i="22" a="1"/>
  <c r="N140" i="22" s="1"/>
  <c r="O140" i="22" a="1"/>
  <c r="O140" i="22" s="1"/>
  <c r="P140" i="22" a="1"/>
  <c r="P140" i="22" s="1"/>
  <c r="Q140" i="22" a="1"/>
  <c r="Q140" i="22" s="1"/>
  <c r="R140" i="22" a="1"/>
  <c r="R140" i="22" s="1"/>
  <c r="U140" i="22" a="1"/>
  <c r="U140" i="22" s="1"/>
  <c r="V140" i="22" a="1"/>
  <c r="V140" i="22" s="1"/>
  <c r="W140" i="22" a="1"/>
  <c r="W140" i="22" s="1"/>
  <c r="X140" i="22" a="1"/>
  <c r="X140" i="22" s="1"/>
  <c r="K141" i="22" a="1"/>
  <c r="K141" i="22" s="1"/>
  <c r="L141" i="22" a="1"/>
  <c r="L141" i="22" s="1"/>
  <c r="M141" i="22" a="1"/>
  <c r="M141" i="22" s="1"/>
  <c r="N141" i="22" a="1"/>
  <c r="N141" i="22" s="1"/>
  <c r="O141" i="22" a="1"/>
  <c r="O141" i="22" s="1"/>
  <c r="P141" i="22" a="1"/>
  <c r="P141" i="22" s="1"/>
  <c r="Q141" i="22" a="1"/>
  <c r="Q141" i="22" s="1"/>
  <c r="R141" i="22" a="1"/>
  <c r="R141" i="22" s="1"/>
  <c r="U141" i="22" a="1"/>
  <c r="U141" i="22" s="1"/>
  <c r="V141" i="22" a="1"/>
  <c r="V141" i="22" s="1"/>
  <c r="W141" i="22" a="1"/>
  <c r="W141" i="22" s="1"/>
  <c r="X141" i="22" a="1"/>
  <c r="X141" i="22" s="1"/>
  <c r="K142" i="22" a="1"/>
  <c r="K142" i="22" s="1"/>
  <c r="L142" i="22" a="1"/>
  <c r="L142" i="22" s="1"/>
  <c r="M142" i="22" a="1"/>
  <c r="M142" i="22" s="1"/>
  <c r="N142" i="22" a="1"/>
  <c r="N142" i="22" s="1"/>
  <c r="O142" i="22" a="1"/>
  <c r="O142" i="22" s="1"/>
  <c r="P142" i="22" a="1"/>
  <c r="P142" i="22" s="1"/>
  <c r="Q142" i="22" a="1"/>
  <c r="Q142" i="22" s="1"/>
  <c r="R142" i="22" a="1"/>
  <c r="R142" i="22" s="1"/>
  <c r="U142" i="22" a="1"/>
  <c r="U142" i="22" s="1"/>
  <c r="V142" i="22" a="1"/>
  <c r="V142" i="22" s="1"/>
  <c r="W142" i="22" a="1"/>
  <c r="W142" i="22" s="1"/>
  <c r="X142" i="22" a="1"/>
  <c r="X142" i="22" s="1"/>
  <c r="K143" i="22" a="1"/>
  <c r="K143" i="22" s="1"/>
  <c r="L143" i="22" a="1"/>
  <c r="L143" i="22" s="1"/>
  <c r="M143" i="22" a="1"/>
  <c r="M143" i="22" s="1"/>
  <c r="N143" i="22" a="1"/>
  <c r="N143" i="22" s="1"/>
  <c r="O143" i="22" a="1"/>
  <c r="O143" i="22" s="1"/>
  <c r="P143" i="22" a="1"/>
  <c r="P143" i="22" s="1"/>
  <c r="Q143" i="22" a="1"/>
  <c r="Q143" i="22" s="1"/>
  <c r="R143" i="22" a="1"/>
  <c r="R143" i="22" s="1"/>
  <c r="U143" i="22" a="1"/>
  <c r="U143" i="22" s="1"/>
  <c r="V143" i="22" a="1"/>
  <c r="V143" i="22" s="1"/>
  <c r="W143" i="22" a="1"/>
  <c r="W143" i="22" s="1"/>
  <c r="X143" i="22" a="1"/>
  <c r="X143" i="22" s="1"/>
  <c r="K144" i="22" a="1"/>
  <c r="K144" i="22" s="1"/>
  <c r="L144" i="22" a="1"/>
  <c r="L144" i="22" s="1"/>
  <c r="M144" i="22" a="1"/>
  <c r="M144" i="22" s="1"/>
  <c r="N144" i="22" a="1"/>
  <c r="N144" i="22" s="1"/>
  <c r="O144" i="22" a="1"/>
  <c r="O144" i="22" s="1"/>
  <c r="P144" i="22" a="1"/>
  <c r="P144" i="22" s="1"/>
  <c r="Q144" i="22" a="1"/>
  <c r="Q144" i="22" s="1"/>
  <c r="R144" i="22" a="1"/>
  <c r="R144" i="22" s="1"/>
  <c r="U144" i="22" a="1"/>
  <c r="U144" i="22" s="1"/>
  <c r="V144" i="22" a="1"/>
  <c r="V144" i="22" s="1"/>
  <c r="W144" i="22" a="1"/>
  <c r="W144" i="22" s="1"/>
  <c r="X144" i="22" a="1"/>
  <c r="X144" i="22" s="1"/>
  <c r="K145" i="22" a="1"/>
  <c r="K145" i="22" s="1"/>
  <c r="L145" i="22" a="1"/>
  <c r="L145" i="22" s="1"/>
  <c r="M145" i="22" a="1"/>
  <c r="M145" i="22" s="1"/>
  <c r="N145" i="22" a="1"/>
  <c r="N145" i="22" s="1"/>
  <c r="O145" i="22" a="1"/>
  <c r="O145" i="22" s="1"/>
  <c r="P145" i="22" a="1"/>
  <c r="P145" i="22" s="1"/>
  <c r="Q145" i="22" a="1"/>
  <c r="Q145" i="22" s="1"/>
  <c r="R145" i="22" a="1"/>
  <c r="R145" i="22" s="1"/>
  <c r="U145" i="22" a="1"/>
  <c r="U145" i="22" s="1"/>
  <c r="V145" i="22" a="1"/>
  <c r="V145" i="22" s="1"/>
  <c r="W145" i="22" a="1"/>
  <c r="W145" i="22" s="1"/>
  <c r="X145" i="22" a="1"/>
  <c r="X145" i="22" s="1"/>
  <c r="K146" i="22" a="1"/>
  <c r="K146" i="22" s="1"/>
  <c r="L146" i="22" a="1"/>
  <c r="L146" i="22" s="1"/>
  <c r="M146" i="22" a="1"/>
  <c r="M146" i="22" s="1"/>
  <c r="N146" i="22" a="1"/>
  <c r="N146" i="22" s="1"/>
  <c r="O146" i="22" a="1"/>
  <c r="O146" i="22" s="1"/>
  <c r="P146" i="22" a="1"/>
  <c r="P146" i="22" s="1"/>
  <c r="Q146" i="22" a="1"/>
  <c r="Q146" i="22" s="1"/>
  <c r="R146" i="22" a="1"/>
  <c r="R146" i="22" s="1"/>
  <c r="U146" i="22" a="1"/>
  <c r="U146" i="22" s="1"/>
  <c r="V146" i="22" a="1"/>
  <c r="V146" i="22" s="1"/>
  <c r="W146" i="22" a="1"/>
  <c r="W146" i="22" s="1"/>
  <c r="X146" i="22" a="1"/>
  <c r="X146" i="22" s="1"/>
  <c r="K147" i="22" a="1"/>
  <c r="K147" i="22" s="1"/>
  <c r="L147" i="22" a="1"/>
  <c r="L147" i="22" s="1"/>
  <c r="M147" i="22" a="1"/>
  <c r="M147" i="22" s="1"/>
  <c r="N147" i="22" a="1"/>
  <c r="N147" i="22" s="1"/>
  <c r="O147" i="22" a="1"/>
  <c r="O147" i="22" s="1"/>
  <c r="P147" i="22" a="1"/>
  <c r="P147" i="22" s="1"/>
  <c r="Q147" i="22" a="1"/>
  <c r="Q147" i="22" s="1"/>
  <c r="R147" i="22" a="1"/>
  <c r="R147" i="22" s="1"/>
  <c r="U147" i="22" a="1"/>
  <c r="U147" i="22" s="1"/>
  <c r="V147" i="22" a="1"/>
  <c r="V147" i="22" s="1"/>
  <c r="W147" i="22" a="1"/>
  <c r="W147" i="22" s="1"/>
  <c r="X147" i="22" a="1"/>
  <c r="X147" i="22" s="1"/>
  <c r="K148" i="22" a="1"/>
  <c r="K148" i="22" s="1"/>
  <c r="L148" i="22" a="1"/>
  <c r="L148" i="22" s="1"/>
  <c r="M148" i="22" a="1"/>
  <c r="M148" i="22" s="1"/>
  <c r="N148" i="22" a="1"/>
  <c r="N148" i="22" s="1"/>
  <c r="O148" i="22" a="1"/>
  <c r="O148" i="22" s="1"/>
  <c r="P148" i="22" a="1"/>
  <c r="P148" i="22" s="1"/>
  <c r="Q148" i="22" a="1"/>
  <c r="Q148" i="22" s="1"/>
  <c r="R148" i="22" a="1"/>
  <c r="R148" i="22" s="1"/>
  <c r="U148" i="22" a="1"/>
  <c r="U148" i="22" s="1"/>
  <c r="V148" i="22" a="1"/>
  <c r="V148" i="22" s="1"/>
  <c r="W148" i="22" a="1"/>
  <c r="W148" i="22" s="1"/>
  <c r="X148" i="22" a="1"/>
  <c r="X148" i="22" s="1"/>
  <c r="K149" i="22" a="1"/>
  <c r="K149" i="22" s="1"/>
  <c r="L149" i="22" a="1"/>
  <c r="L149" i="22" s="1"/>
  <c r="M149" i="22" a="1"/>
  <c r="M149" i="22" s="1"/>
  <c r="N149" i="22" a="1"/>
  <c r="N149" i="22" s="1"/>
  <c r="O149" i="22" a="1"/>
  <c r="O149" i="22" s="1"/>
  <c r="P149" i="22" a="1"/>
  <c r="P149" i="22" s="1"/>
  <c r="Q149" i="22" a="1"/>
  <c r="Q149" i="22" s="1"/>
  <c r="R149" i="22" a="1"/>
  <c r="R149" i="22" s="1"/>
  <c r="U149" i="22" a="1"/>
  <c r="U149" i="22" s="1"/>
  <c r="V149" i="22" a="1"/>
  <c r="V149" i="22" s="1"/>
  <c r="W149" i="22" a="1"/>
  <c r="W149" i="22" s="1"/>
  <c r="X149" i="22" a="1"/>
  <c r="X149" i="22" s="1"/>
  <c r="K150" i="22" a="1"/>
  <c r="K150" i="22" s="1"/>
  <c r="L150" i="22" a="1"/>
  <c r="L150" i="22" s="1"/>
  <c r="M150" i="22" a="1"/>
  <c r="M150" i="22" s="1"/>
  <c r="N150" i="22" a="1"/>
  <c r="N150" i="22" s="1"/>
  <c r="O150" i="22" a="1"/>
  <c r="O150" i="22" s="1"/>
  <c r="P150" i="22" a="1"/>
  <c r="P150" i="22" s="1"/>
  <c r="Q150" i="22" a="1"/>
  <c r="Q150" i="22" s="1"/>
  <c r="R150" i="22" a="1"/>
  <c r="R150" i="22" s="1"/>
  <c r="U150" i="22" a="1"/>
  <c r="U150" i="22" s="1"/>
  <c r="V150" i="22" a="1"/>
  <c r="V150" i="22" s="1"/>
  <c r="W150" i="22" a="1"/>
  <c r="W150" i="22" s="1"/>
  <c r="X150" i="22" a="1"/>
  <c r="X150" i="22" s="1"/>
  <c r="K151" i="22" a="1"/>
  <c r="K151" i="22" s="1"/>
  <c r="L151" i="22" a="1"/>
  <c r="L151" i="22" s="1"/>
  <c r="M151" i="22" a="1"/>
  <c r="M151" i="22" s="1"/>
  <c r="N151" i="22" a="1"/>
  <c r="N151" i="22" s="1"/>
  <c r="O151" i="22" a="1"/>
  <c r="O151" i="22" s="1"/>
  <c r="P151" i="22" a="1"/>
  <c r="P151" i="22" s="1"/>
  <c r="Q151" i="22" a="1"/>
  <c r="Q151" i="22" s="1"/>
  <c r="R151" i="22" a="1"/>
  <c r="R151" i="22" s="1"/>
  <c r="U151" i="22" a="1"/>
  <c r="U151" i="22" s="1"/>
  <c r="V151" i="22" a="1"/>
  <c r="V151" i="22" s="1"/>
  <c r="W151" i="22" a="1"/>
  <c r="W151" i="22" s="1"/>
  <c r="X151" i="22" a="1"/>
  <c r="X151" i="22" s="1"/>
  <c r="K152" i="22" a="1"/>
  <c r="K152" i="22" s="1"/>
  <c r="L152" i="22" a="1"/>
  <c r="L152" i="22" s="1"/>
  <c r="M152" i="22" a="1"/>
  <c r="M152" i="22" s="1"/>
  <c r="N152" i="22" a="1"/>
  <c r="N152" i="22" s="1"/>
  <c r="O152" i="22" a="1"/>
  <c r="O152" i="22" s="1"/>
  <c r="P152" i="22" a="1"/>
  <c r="P152" i="22" s="1"/>
  <c r="Q152" i="22" a="1"/>
  <c r="Q152" i="22" s="1"/>
  <c r="R152" i="22" a="1"/>
  <c r="R152" i="22" s="1"/>
  <c r="U152" i="22" a="1"/>
  <c r="U152" i="22" s="1"/>
  <c r="V152" i="22" a="1"/>
  <c r="V152" i="22" s="1"/>
  <c r="W152" i="22" a="1"/>
  <c r="W152" i="22" s="1"/>
  <c r="X152" i="22" a="1"/>
  <c r="X152" i="22" s="1"/>
  <c r="K153" i="22" a="1"/>
  <c r="K153" i="22" s="1"/>
  <c r="L153" i="22" a="1"/>
  <c r="L153" i="22" s="1"/>
  <c r="M153" i="22" a="1"/>
  <c r="M153" i="22" s="1"/>
  <c r="N153" i="22" a="1"/>
  <c r="N153" i="22" s="1"/>
  <c r="O153" i="22" a="1"/>
  <c r="O153" i="22" s="1"/>
  <c r="P153" i="22" a="1"/>
  <c r="P153" i="22" s="1"/>
  <c r="Q153" i="22" a="1"/>
  <c r="Q153" i="22" s="1"/>
  <c r="R153" i="22" a="1"/>
  <c r="R153" i="22" s="1"/>
  <c r="U153" i="22" a="1"/>
  <c r="U153" i="22" s="1"/>
  <c r="V153" i="22" a="1"/>
  <c r="V153" i="22" s="1"/>
  <c r="W153" i="22" a="1"/>
  <c r="W153" i="22" s="1"/>
  <c r="X153" i="22" a="1"/>
  <c r="X153" i="22" s="1"/>
  <c r="K154" i="22" a="1"/>
  <c r="K154" i="22" s="1"/>
  <c r="L154" i="22" a="1"/>
  <c r="L154" i="22" s="1"/>
  <c r="M154" i="22" a="1"/>
  <c r="M154" i="22" s="1"/>
  <c r="N154" i="22" a="1"/>
  <c r="N154" i="22" s="1"/>
  <c r="O154" i="22" a="1"/>
  <c r="O154" i="22" s="1"/>
  <c r="P154" i="22" a="1"/>
  <c r="P154" i="22" s="1"/>
  <c r="Q154" i="22" a="1"/>
  <c r="Q154" i="22" s="1"/>
  <c r="R154" i="22" a="1"/>
  <c r="R154" i="22" s="1"/>
  <c r="U154" i="22" a="1"/>
  <c r="U154" i="22" s="1"/>
  <c r="V154" i="22" a="1"/>
  <c r="V154" i="22" s="1"/>
  <c r="W154" i="22" a="1"/>
  <c r="W154" i="22" s="1"/>
  <c r="X154" i="22" a="1"/>
  <c r="X154" i="22" s="1"/>
  <c r="K155" i="22" a="1"/>
  <c r="K155" i="22" s="1"/>
  <c r="L155" i="22" a="1"/>
  <c r="L155" i="22" s="1"/>
  <c r="M155" i="22" a="1"/>
  <c r="M155" i="22" s="1"/>
  <c r="N155" i="22" a="1"/>
  <c r="N155" i="22" s="1"/>
  <c r="O155" i="22" a="1"/>
  <c r="O155" i="22" s="1"/>
  <c r="P155" i="22" a="1"/>
  <c r="P155" i="22" s="1"/>
  <c r="Q155" i="22" a="1"/>
  <c r="Q155" i="22" s="1"/>
  <c r="R155" i="22" a="1"/>
  <c r="R155" i="22" s="1"/>
  <c r="U155" i="22" a="1"/>
  <c r="U155" i="22" s="1"/>
  <c r="V155" i="22" a="1"/>
  <c r="V155" i="22" s="1"/>
  <c r="W155" i="22" a="1"/>
  <c r="W155" i="22" s="1"/>
  <c r="X155" i="22" a="1"/>
  <c r="X155" i="22" s="1"/>
  <c r="K156" i="22" a="1"/>
  <c r="K156" i="22" s="1"/>
  <c r="L156" i="22" a="1"/>
  <c r="L156" i="22" s="1"/>
  <c r="M156" i="22" a="1"/>
  <c r="M156" i="22" s="1"/>
  <c r="N156" i="22" a="1"/>
  <c r="N156" i="22" s="1"/>
  <c r="O156" i="22" a="1"/>
  <c r="O156" i="22" s="1"/>
  <c r="P156" i="22" a="1"/>
  <c r="P156" i="22" s="1"/>
  <c r="Q156" i="22" a="1"/>
  <c r="Q156" i="22" s="1"/>
  <c r="R156" i="22" a="1"/>
  <c r="R156" i="22" s="1"/>
  <c r="U156" i="22" a="1"/>
  <c r="U156" i="22" s="1"/>
  <c r="V156" i="22" a="1"/>
  <c r="V156" i="22" s="1"/>
  <c r="W156" i="22" a="1"/>
  <c r="W156" i="22" s="1"/>
  <c r="X156" i="22" a="1"/>
  <c r="X156" i="22" s="1"/>
  <c r="K157" i="22" a="1"/>
  <c r="K157" i="22" s="1"/>
  <c r="L157" i="22" a="1"/>
  <c r="L157" i="22" s="1"/>
  <c r="M157" i="22" a="1"/>
  <c r="M157" i="22" s="1"/>
  <c r="N157" i="22" a="1"/>
  <c r="N157" i="22" s="1"/>
  <c r="O157" i="22" a="1"/>
  <c r="O157" i="22" s="1"/>
  <c r="P157" i="22" a="1"/>
  <c r="P157" i="22" s="1"/>
  <c r="Q157" i="22" a="1"/>
  <c r="Q157" i="22" s="1"/>
  <c r="R157" i="22" a="1"/>
  <c r="R157" i="22" s="1"/>
  <c r="U157" i="22" a="1"/>
  <c r="U157" i="22" s="1"/>
  <c r="V157" i="22" a="1"/>
  <c r="V157" i="22" s="1"/>
  <c r="W157" i="22" a="1"/>
  <c r="W157" i="22" s="1"/>
  <c r="X157" i="22" a="1"/>
  <c r="X157" i="22" s="1"/>
  <c r="K158" i="22" a="1"/>
  <c r="K158" i="22" s="1"/>
  <c r="L158" i="22" a="1"/>
  <c r="L158" i="22" s="1"/>
  <c r="M158" i="22" a="1"/>
  <c r="M158" i="22" s="1"/>
  <c r="N158" i="22" a="1"/>
  <c r="N158" i="22" s="1"/>
  <c r="O158" i="22" a="1"/>
  <c r="O158" i="22" s="1"/>
  <c r="P158" i="22" a="1"/>
  <c r="P158" i="22" s="1"/>
  <c r="Q158" i="22" a="1"/>
  <c r="Q158" i="22" s="1"/>
  <c r="R158" i="22" a="1"/>
  <c r="R158" i="22" s="1"/>
  <c r="U158" i="22" a="1"/>
  <c r="U158" i="22" s="1"/>
  <c r="V158" i="22" a="1"/>
  <c r="V158" i="22" s="1"/>
  <c r="W158" i="22" a="1"/>
  <c r="W158" i="22" s="1"/>
  <c r="X158" i="22" a="1"/>
  <c r="X158" i="22" s="1"/>
  <c r="K159" i="22" a="1"/>
  <c r="K159" i="22" s="1"/>
  <c r="L159" i="22" a="1"/>
  <c r="L159" i="22" s="1"/>
  <c r="M159" i="22" a="1"/>
  <c r="M159" i="22" s="1"/>
  <c r="N159" i="22" a="1"/>
  <c r="N159" i="22" s="1"/>
  <c r="O159" i="22" a="1"/>
  <c r="O159" i="22" s="1"/>
  <c r="P159" i="22" a="1"/>
  <c r="P159" i="22" s="1"/>
  <c r="Q159" i="22" a="1"/>
  <c r="Q159" i="22" s="1"/>
  <c r="R159" i="22" a="1"/>
  <c r="R159" i="22" s="1"/>
  <c r="U159" i="22" a="1"/>
  <c r="U159" i="22" s="1"/>
  <c r="V159" i="22" a="1"/>
  <c r="V159" i="22" s="1"/>
  <c r="W159" i="22" a="1"/>
  <c r="W159" i="22" s="1"/>
  <c r="X159" i="22" a="1"/>
  <c r="X159" i="22" s="1"/>
  <c r="K160" i="22" a="1"/>
  <c r="K160" i="22" s="1"/>
  <c r="L160" i="22" a="1"/>
  <c r="L160" i="22" s="1"/>
  <c r="M160" i="22" a="1"/>
  <c r="M160" i="22" s="1"/>
  <c r="N160" i="22" a="1"/>
  <c r="N160" i="22" s="1"/>
  <c r="O160" i="22" a="1"/>
  <c r="O160" i="22" s="1"/>
  <c r="P160" i="22" a="1"/>
  <c r="P160" i="22" s="1"/>
  <c r="Q160" i="22" a="1"/>
  <c r="Q160" i="22" s="1"/>
  <c r="R160" i="22" a="1"/>
  <c r="R160" i="22" s="1"/>
  <c r="U160" i="22" a="1"/>
  <c r="U160" i="22" s="1"/>
  <c r="V160" i="22" a="1"/>
  <c r="V160" i="22" s="1"/>
  <c r="W160" i="22" a="1"/>
  <c r="W160" i="22" s="1"/>
  <c r="X160" i="22" a="1"/>
  <c r="X160" i="22" s="1"/>
  <c r="K161" i="22" a="1"/>
  <c r="K161" i="22" s="1"/>
  <c r="L161" i="22" a="1"/>
  <c r="L161" i="22" s="1"/>
  <c r="M161" i="22" a="1"/>
  <c r="M161" i="22" s="1"/>
  <c r="N161" i="22" a="1"/>
  <c r="N161" i="22" s="1"/>
  <c r="O161" i="22" a="1"/>
  <c r="O161" i="22" s="1"/>
  <c r="P161" i="22" a="1"/>
  <c r="P161" i="22" s="1"/>
  <c r="Q161" i="22" a="1"/>
  <c r="Q161" i="22" s="1"/>
  <c r="R161" i="22" a="1"/>
  <c r="R161" i="22" s="1"/>
  <c r="U161" i="22" a="1"/>
  <c r="U161" i="22" s="1"/>
  <c r="V161" i="22" a="1"/>
  <c r="V161" i="22" s="1"/>
  <c r="W161" i="22" a="1"/>
  <c r="W161" i="22" s="1"/>
  <c r="X161" i="22" a="1"/>
  <c r="X161" i="22" s="1"/>
  <c r="K162" i="22" a="1"/>
  <c r="K162" i="22" s="1"/>
  <c r="L162" i="22" a="1"/>
  <c r="L162" i="22" s="1"/>
  <c r="M162" i="22" a="1"/>
  <c r="M162" i="22" s="1"/>
  <c r="N162" i="22" a="1"/>
  <c r="N162" i="22" s="1"/>
  <c r="O162" i="22" a="1"/>
  <c r="O162" i="22" s="1"/>
  <c r="P162" i="22" a="1"/>
  <c r="P162" i="22" s="1"/>
  <c r="Q162" i="22" a="1"/>
  <c r="Q162" i="22" s="1"/>
  <c r="R162" i="22" a="1"/>
  <c r="R162" i="22" s="1"/>
  <c r="U162" i="22" a="1"/>
  <c r="U162" i="22" s="1"/>
  <c r="V162" i="22" a="1"/>
  <c r="V162" i="22" s="1"/>
  <c r="W162" i="22" a="1"/>
  <c r="W162" i="22" s="1"/>
  <c r="X162" i="22" a="1"/>
  <c r="X162" i="22" s="1"/>
  <c r="K163" i="22" a="1"/>
  <c r="K163" i="22" s="1"/>
  <c r="L163" i="22" a="1"/>
  <c r="L163" i="22" s="1"/>
  <c r="M163" i="22" a="1"/>
  <c r="M163" i="22" s="1"/>
  <c r="N163" i="22" a="1"/>
  <c r="N163" i="22" s="1"/>
  <c r="O163" i="22" a="1"/>
  <c r="O163" i="22" s="1"/>
  <c r="P163" i="22" a="1"/>
  <c r="P163" i="22" s="1"/>
  <c r="Q163" i="22" a="1"/>
  <c r="Q163" i="22" s="1"/>
  <c r="R163" i="22" a="1"/>
  <c r="R163" i="22" s="1"/>
  <c r="U163" i="22" a="1"/>
  <c r="U163" i="22" s="1"/>
  <c r="V163" i="22" a="1"/>
  <c r="V163" i="22" s="1"/>
  <c r="W163" i="22" a="1"/>
  <c r="W163" i="22" s="1"/>
  <c r="X163" i="22" a="1"/>
  <c r="X163" i="22" s="1"/>
  <c r="K164" i="22" a="1"/>
  <c r="K164" i="22" s="1"/>
  <c r="L164" i="22" a="1"/>
  <c r="L164" i="22" s="1"/>
  <c r="M164" i="22" a="1"/>
  <c r="M164" i="22" s="1"/>
  <c r="N164" i="22" a="1"/>
  <c r="N164" i="22" s="1"/>
  <c r="O164" i="22" a="1"/>
  <c r="O164" i="22" s="1"/>
  <c r="P164" i="22" a="1"/>
  <c r="P164" i="22" s="1"/>
  <c r="Q164" i="22" a="1"/>
  <c r="Q164" i="22" s="1"/>
  <c r="R164" i="22" a="1"/>
  <c r="R164" i="22" s="1"/>
  <c r="U164" i="22" a="1"/>
  <c r="U164" i="22" s="1"/>
  <c r="V164" i="22" a="1"/>
  <c r="V164" i="22" s="1"/>
  <c r="W164" i="22" a="1"/>
  <c r="W164" i="22" s="1"/>
  <c r="X164" i="22" a="1"/>
  <c r="X164" i="22" s="1"/>
  <c r="K165" i="22" a="1"/>
  <c r="K165" i="22" s="1"/>
  <c r="L165" i="22" a="1"/>
  <c r="L165" i="22" s="1"/>
  <c r="M165" i="22" a="1"/>
  <c r="M165" i="22" s="1"/>
  <c r="N165" i="22" a="1"/>
  <c r="N165" i="22" s="1"/>
  <c r="O165" i="22" a="1"/>
  <c r="O165" i="22" s="1"/>
  <c r="P165" i="22" a="1"/>
  <c r="P165" i="22" s="1"/>
  <c r="Q165" i="22" a="1"/>
  <c r="Q165" i="22" s="1"/>
  <c r="R165" i="22" a="1"/>
  <c r="R165" i="22" s="1"/>
  <c r="U165" i="22" a="1"/>
  <c r="U165" i="22" s="1"/>
  <c r="V165" i="22" a="1"/>
  <c r="V165" i="22" s="1"/>
  <c r="W165" i="22" a="1"/>
  <c r="W165" i="22" s="1"/>
  <c r="X165" i="22" a="1"/>
  <c r="X165" i="22" s="1"/>
  <c r="K166" i="22" a="1"/>
  <c r="K166" i="22" s="1"/>
  <c r="L166" i="22" a="1"/>
  <c r="L166" i="22" s="1"/>
  <c r="M166" i="22" a="1"/>
  <c r="M166" i="22" s="1"/>
  <c r="N166" i="22" a="1"/>
  <c r="N166" i="22" s="1"/>
  <c r="O166" i="22" a="1"/>
  <c r="O166" i="22" s="1"/>
  <c r="P166" i="22" a="1"/>
  <c r="P166" i="22" s="1"/>
  <c r="Q166" i="22" a="1"/>
  <c r="Q166" i="22" s="1"/>
  <c r="R166" i="22" a="1"/>
  <c r="R166" i="22" s="1"/>
  <c r="U166" i="22" a="1"/>
  <c r="U166" i="22" s="1"/>
  <c r="V166" i="22" a="1"/>
  <c r="V166" i="22" s="1"/>
  <c r="W166" i="22" a="1"/>
  <c r="W166" i="22" s="1"/>
  <c r="X166" i="22" a="1"/>
  <c r="X166" i="22" s="1"/>
  <c r="K167" i="22" a="1"/>
  <c r="K167" i="22" s="1"/>
  <c r="L167" i="22" a="1"/>
  <c r="L167" i="22" s="1"/>
  <c r="M167" i="22" a="1"/>
  <c r="M167" i="22" s="1"/>
  <c r="N167" i="22" a="1"/>
  <c r="N167" i="22" s="1"/>
  <c r="O167" i="22" a="1"/>
  <c r="O167" i="22" s="1"/>
  <c r="P167" i="22" a="1"/>
  <c r="P167" i="22" s="1"/>
  <c r="Q167" i="22" a="1"/>
  <c r="Q167" i="22" s="1"/>
  <c r="R167" i="22" a="1"/>
  <c r="R167" i="22" s="1"/>
  <c r="U167" i="22" a="1"/>
  <c r="U167" i="22" s="1"/>
  <c r="V167" i="22" a="1"/>
  <c r="V167" i="22" s="1"/>
  <c r="W167" i="22" a="1"/>
  <c r="W167" i="22" s="1"/>
  <c r="X167" i="22" a="1"/>
  <c r="X167" i="22" s="1"/>
  <c r="K168" i="22" a="1"/>
  <c r="K168" i="22" s="1"/>
  <c r="L168" i="22" a="1"/>
  <c r="L168" i="22" s="1"/>
  <c r="M168" i="22" a="1"/>
  <c r="M168" i="22" s="1"/>
  <c r="N168" i="22" a="1"/>
  <c r="N168" i="22" s="1"/>
  <c r="O168" i="22" a="1"/>
  <c r="O168" i="22" s="1"/>
  <c r="P168" i="22" a="1"/>
  <c r="P168" i="22" s="1"/>
  <c r="Q168" i="22" a="1"/>
  <c r="Q168" i="22" s="1"/>
  <c r="R168" i="22" a="1"/>
  <c r="R168" i="22" s="1"/>
  <c r="U168" i="22" a="1"/>
  <c r="U168" i="22" s="1"/>
  <c r="V168" i="22" a="1"/>
  <c r="V168" i="22" s="1"/>
  <c r="W168" i="22" a="1"/>
  <c r="W168" i="22" s="1"/>
  <c r="X168" i="22" a="1"/>
  <c r="X168" i="22" s="1"/>
  <c r="K169" i="22" a="1"/>
  <c r="K169" i="22" s="1"/>
  <c r="L169" i="22" a="1"/>
  <c r="L169" i="22" s="1"/>
  <c r="M169" i="22" a="1"/>
  <c r="M169" i="22" s="1"/>
  <c r="N169" i="22" a="1"/>
  <c r="N169" i="22" s="1"/>
  <c r="O169" i="22" a="1"/>
  <c r="O169" i="22" s="1"/>
  <c r="P169" i="22" a="1"/>
  <c r="P169" i="22" s="1"/>
  <c r="Q169" i="22" a="1"/>
  <c r="Q169" i="22" s="1"/>
  <c r="R169" i="22" a="1"/>
  <c r="R169" i="22" s="1"/>
  <c r="U169" i="22" a="1"/>
  <c r="U169" i="22" s="1"/>
  <c r="V169" i="22" a="1"/>
  <c r="V169" i="22" s="1"/>
  <c r="W169" i="22" a="1"/>
  <c r="W169" i="22" s="1"/>
  <c r="X169" i="22" a="1"/>
  <c r="X169" i="22" s="1"/>
  <c r="K170" i="22" a="1"/>
  <c r="K170" i="22" s="1"/>
  <c r="L170" i="22" a="1"/>
  <c r="L170" i="22" s="1"/>
  <c r="M170" i="22" a="1"/>
  <c r="M170" i="22" s="1"/>
  <c r="N170" i="22" a="1"/>
  <c r="N170" i="22" s="1"/>
  <c r="O170" i="22" a="1"/>
  <c r="O170" i="22" s="1"/>
  <c r="P170" i="22" a="1"/>
  <c r="P170" i="22" s="1"/>
  <c r="Q170" i="22" a="1"/>
  <c r="Q170" i="22" s="1"/>
  <c r="R170" i="22" a="1"/>
  <c r="R170" i="22" s="1"/>
  <c r="U170" i="22" a="1"/>
  <c r="U170" i="22" s="1"/>
  <c r="V170" i="22" a="1"/>
  <c r="V170" i="22" s="1"/>
  <c r="W170" i="22" a="1"/>
  <c r="W170" i="22" s="1"/>
  <c r="X170" i="22" a="1"/>
  <c r="X170" i="22" s="1"/>
  <c r="K171" i="22" a="1"/>
  <c r="K171" i="22" s="1"/>
  <c r="L171" i="22" a="1"/>
  <c r="L171" i="22" s="1"/>
  <c r="M171" i="22" a="1"/>
  <c r="M171" i="22" s="1"/>
  <c r="N171" i="22" a="1"/>
  <c r="N171" i="22" s="1"/>
  <c r="O171" i="22" a="1"/>
  <c r="O171" i="22" s="1"/>
  <c r="P171" i="22" a="1"/>
  <c r="P171" i="22" s="1"/>
  <c r="Q171" i="22" a="1"/>
  <c r="Q171" i="22" s="1"/>
  <c r="R171" i="22" a="1"/>
  <c r="R171" i="22" s="1"/>
  <c r="U171" i="22" a="1"/>
  <c r="U171" i="22" s="1"/>
  <c r="V171" i="22" a="1"/>
  <c r="V171" i="22" s="1"/>
  <c r="W171" i="22" a="1"/>
  <c r="W171" i="22" s="1"/>
  <c r="X171" i="22" a="1"/>
  <c r="X171" i="22" s="1"/>
  <c r="K172" i="22" a="1"/>
  <c r="K172" i="22" s="1"/>
  <c r="L172" i="22" a="1"/>
  <c r="L172" i="22" s="1"/>
  <c r="M172" i="22" a="1"/>
  <c r="M172" i="22" s="1"/>
  <c r="N172" i="22" a="1"/>
  <c r="N172" i="22" s="1"/>
  <c r="O172" i="22" a="1"/>
  <c r="O172" i="22" s="1"/>
  <c r="P172" i="22" a="1"/>
  <c r="P172" i="22" s="1"/>
  <c r="Q172" i="22" a="1"/>
  <c r="Q172" i="22" s="1"/>
  <c r="R172" i="22" a="1"/>
  <c r="R172" i="22" s="1"/>
  <c r="U172" i="22" a="1"/>
  <c r="U172" i="22" s="1"/>
  <c r="V172" i="22" a="1"/>
  <c r="V172" i="22" s="1"/>
  <c r="W172" i="22" a="1"/>
  <c r="W172" i="22" s="1"/>
  <c r="X172" i="22" a="1"/>
  <c r="X172" i="22" s="1"/>
  <c r="K173" i="22" a="1"/>
  <c r="K173" i="22" s="1"/>
  <c r="L173" i="22" a="1"/>
  <c r="L173" i="22" s="1"/>
  <c r="M173" i="22" a="1"/>
  <c r="M173" i="22" s="1"/>
  <c r="N173" i="22" a="1"/>
  <c r="N173" i="22" s="1"/>
  <c r="O173" i="22" a="1"/>
  <c r="O173" i="22" s="1"/>
  <c r="P173" i="22" a="1"/>
  <c r="P173" i="22" s="1"/>
  <c r="Q173" i="22" a="1"/>
  <c r="Q173" i="22" s="1"/>
  <c r="R173" i="22" a="1"/>
  <c r="R173" i="22" s="1"/>
  <c r="U173" i="22" a="1"/>
  <c r="U173" i="22" s="1"/>
  <c r="V173" i="22" a="1"/>
  <c r="V173" i="22" s="1"/>
  <c r="W173" i="22" a="1"/>
  <c r="W173" i="22" s="1"/>
  <c r="X173" i="22" a="1"/>
  <c r="X173" i="22" s="1"/>
  <c r="K174" i="22" a="1"/>
  <c r="K174" i="22" s="1"/>
  <c r="L174" i="22" a="1"/>
  <c r="L174" i="22" s="1"/>
  <c r="M174" i="22" a="1"/>
  <c r="M174" i="22" s="1"/>
  <c r="N174" i="22" a="1"/>
  <c r="N174" i="22" s="1"/>
  <c r="O174" i="22" a="1"/>
  <c r="O174" i="22" s="1"/>
  <c r="P174" i="22" a="1"/>
  <c r="P174" i="22" s="1"/>
  <c r="Q174" i="22" a="1"/>
  <c r="Q174" i="22" s="1"/>
  <c r="R174" i="22" a="1"/>
  <c r="R174" i="22" s="1"/>
  <c r="U174" i="22" a="1"/>
  <c r="U174" i="22" s="1"/>
  <c r="V174" i="22" a="1"/>
  <c r="V174" i="22" s="1"/>
  <c r="W174" i="22" a="1"/>
  <c r="W174" i="22" s="1"/>
  <c r="X174" i="22" a="1"/>
  <c r="X174" i="22" s="1"/>
  <c r="K175" i="22" a="1"/>
  <c r="K175" i="22" s="1"/>
  <c r="L175" i="22" a="1"/>
  <c r="L175" i="22" s="1"/>
  <c r="M175" i="22" a="1"/>
  <c r="M175" i="22" s="1"/>
  <c r="N175" i="22" a="1"/>
  <c r="N175" i="22" s="1"/>
  <c r="O175" i="22" a="1"/>
  <c r="O175" i="22" s="1"/>
  <c r="P175" i="22" a="1"/>
  <c r="P175" i="22" s="1"/>
  <c r="Q175" i="22" a="1"/>
  <c r="Q175" i="22" s="1"/>
  <c r="R175" i="22" a="1"/>
  <c r="R175" i="22" s="1"/>
  <c r="U175" i="22" a="1"/>
  <c r="U175" i="22" s="1"/>
  <c r="V175" i="22" a="1"/>
  <c r="V175" i="22" s="1"/>
  <c r="W175" i="22" a="1"/>
  <c r="W175" i="22" s="1"/>
  <c r="X175" i="22" a="1"/>
  <c r="X175" i="22" s="1"/>
  <c r="K176" i="22" a="1"/>
  <c r="K176" i="22" s="1"/>
  <c r="L176" i="22" a="1"/>
  <c r="L176" i="22" s="1"/>
  <c r="M176" i="22" a="1"/>
  <c r="M176" i="22" s="1"/>
  <c r="N176" i="22" a="1"/>
  <c r="N176" i="22" s="1"/>
  <c r="O176" i="22" a="1"/>
  <c r="O176" i="22" s="1"/>
  <c r="P176" i="22" a="1"/>
  <c r="P176" i="22" s="1"/>
  <c r="Q176" i="22" a="1"/>
  <c r="Q176" i="22" s="1"/>
  <c r="R176" i="22" a="1"/>
  <c r="R176" i="22" s="1"/>
  <c r="U176" i="22" a="1"/>
  <c r="U176" i="22" s="1"/>
  <c r="V176" i="22" a="1"/>
  <c r="V176" i="22" s="1"/>
  <c r="W176" i="22" a="1"/>
  <c r="W176" i="22" s="1"/>
  <c r="X176" i="22" a="1"/>
  <c r="X176" i="22" s="1"/>
  <c r="K177" i="22" a="1"/>
  <c r="K177" i="22" s="1"/>
  <c r="L177" i="22" a="1"/>
  <c r="L177" i="22" s="1"/>
  <c r="M177" i="22" a="1"/>
  <c r="M177" i="22" s="1"/>
  <c r="N177" i="22" a="1"/>
  <c r="N177" i="22" s="1"/>
  <c r="O177" i="22" a="1"/>
  <c r="O177" i="22" s="1"/>
  <c r="P177" i="22" a="1"/>
  <c r="P177" i="22" s="1"/>
  <c r="Q177" i="22" a="1"/>
  <c r="Q177" i="22" s="1"/>
  <c r="R177" i="22" a="1"/>
  <c r="R177" i="22" s="1"/>
  <c r="U177" i="22" a="1"/>
  <c r="U177" i="22" s="1"/>
  <c r="V177" i="22" a="1"/>
  <c r="V177" i="22" s="1"/>
  <c r="W177" i="22" a="1"/>
  <c r="W177" i="22" s="1"/>
  <c r="X177" i="22" a="1"/>
  <c r="X177" i="22" s="1"/>
  <c r="K178" i="22" a="1"/>
  <c r="K178" i="22" s="1"/>
  <c r="L178" i="22" a="1"/>
  <c r="L178" i="22" s="1"/>
  <c r="M178" i="22" a="1"/>
  <c r="M178" i="22" s="1"/>
  <c r="N178" i="22" a="1"/>
  <c r="N178" i="22" s="1"/>
  <c r="O178" i="22" a="1"/>
  <c r="O178" i="22" s="1"/>
  <c r="P178" i="22" a="1"/>
  <c r="P178" i="22" s="1"/>
  <c r="Q178" i="22" a="1"/>
  <c r="Q178" i="22" s="1"/>
  <c r="R178" i="22" a="1"/>
  <c r="R178" i="22" s="1"/>
  <c r="U178" i="22" a="1"/>
  <c r="U178" i="22" s="1"/>
  <c r="V178" i="22" a="1"/>
  <c r="V178" i="22" s="1"/>
  <c r="W178" i="22" a="1"/>
  <c r="W178" i="22" s="1"/>
  <c r="X178" i="22" a="1"/>
  <c r="X178" i="22" s="1"/>
  <c r="K179" i="22" a="1"/>
  <c r="K179" i="22" s="1"/>
  <c r="L179" i="22" a="1"/>
  <c r="L179" i="22" s="1"/>
  <c r="M179" i="22" a="1"/>
  <c r="M179" i="22" s="1"/>
  <c r="N179" i="22" a="1"/>
  <c r="N179" i="22" s="1"/>
  <c r="O179" i="22" a="1"/>
  <c r="O179" i="22" s="1"/>
  <c r="P179" i="22" a="1"/>
  <c r="P179" i="22" s="1"/>
  <c r="Q179" i="22" a="1"/>
  <c r="Q179" i="22" s="1"/>
  <c r="R179" i="22" a="1"/>
  <c r="R179" i="22" s="1"/>
  <c r="U179" i="22" a="1"/>
  <c r="U179" i="22" s="1"/>
  <c r="V179" i="22" a="1"/>
  <c r="V179" i="22" s="1"/>
  <c r="W179" i="22" a="1"/>
  <c r="W179" i="22" s="1"/>
  <c r="X179" i="22" a="1"/>
  <c r="X179" i="22" s="1"/>
  <c r="K180" i="22" a="1"/>
  <c r="K180" i="22" s="1"/>
  <c r="L180" i="22" a="1"/>
  <c r="L180" i="22" s="1"/>
  <c r="M180" i="22" a="1"/>
  <c r="M180" i="22" s="1"/>
  <c r="N180" i="22" a="1"/>
  <c r="N180" i="22" s="1"/>
  <c r="O180" i="22" a="1"/>
  <c r="O180" i="22" s="1"/>
  <c r="P180" i="22" a="1"/>
  <c r="P180" i="22" s="1"/>
  <c r="Q180" i="22" a="1"/>
  <c r="Q180" i="22" s="1"/>
  <c r="R180" i="22" a="1"/>
  <c r="R180" i="22" s="1"/>
  <c r="U180" i="22" a="1"/>
  <c r="U180" i="22" s="1"/>
  <c r="V180" i="22" a="1"/>
  <c r="V180" i="22" s="1"/>
  <c r="W180" i="22" a="1"/>
  <c r="W180" i="22" s="1"/>
  <c r="X180" i="22" a="1"/>
  <c r="X180" i="22" s="1"/>
  <c r="K181" i="22" a="1"/>
  <c r="K181" i="22" s="1"/>
  <c r="L181" i="22" a="1"/>
  <c r="L181" i="22" s="1"/>
  <c r="M181" i="22" a="1"/>
  <c r="M181" i="22" s="1"/>
  <c r="N181" i="22" a="1"/>
  <c r="N181" i="22" s="1"/>
  <c r="O181" i="22" a="1"/>
  <c r="O181" i="22" s="1"/>
  <c r="P181" i="22" a="1"/>
  <c r="P181" i="22" s="1"/>
  <c r="Q181" i="22" a="1"/>
  <c r="Q181" i="22" s="1"/>
  <c r="R181" i="22" a="1"/>
  <c r="R181" i="22" s="1"/>
  <c r="U181" i="22" a="1"/>
  <c r="U181" i="22" s="1"/>
  <c r="V181" i="22" a="1"/>
  <c r="V181" i="22" s="1"/>
  <c r="W181" i="22" a="1"/>
  <c r="W181" i="22" s="1"/>
  <c r="X181" i="22" a="1"/>
  <c r="X181" i="22" s="1"/>
  <c r="K182" i="22" a="1"/>
  <c r="K182" i="22" s="1"/>
  <c r="L182" i="22" a="1"/>
  <c r="L182" i="22" s="1"/>
  <c r="M182" i="22" a="1"/>
  <c r="M182" i="22" s="1"/>
  <c r="N182" i="22" a="1"/>
  <c r="N182" i="22" s="1"/>
  <c r="O182" i="22" a="1"/>
  <c r="O182" i="22" s="1"/>
  <c r="P182" i="22" a="1"/>
  <c r="P182" i="22" s="1"/>
  <c r="Q182" i="22" a="1"/>
  <c r="Q182" i="22" s="1"/>
  <c r="R182" i="22" a="1"/>
  <c r="R182" i="22" s="1"/>
  <c r="U182" i="22" a="1"/>
  <c r="U182" i="22" s="1"/>
  <c r="V182" i="22" a="1"/>
  <c r="V182" i="22" s="1"/>
  <c r="W182" i="22" a="1"/>
  <c r="W182" i="22" s="1"/>
  <c r="X182" i="22" a="1"/>
  <c r="X182" i="22" s="1"/>
  <c r="K183" i="22" a="1"/>
  <c r="K183" i="22" s="1"/>
  <c r="L183" i="22" a="1"/>
  <c r="L183" i="22" s="1"/>
  <c r="M183" i="22" a="1"/>
  <c r="M183" i="22" s="1"/>
  <c r="N183" i="22" a="1"/>
  <c r="N183" i="22" s="1"/>
  <c r="O183" i="22" a="1"/>
  <c r="O183" i="22" s="1"/>
  <c r="P183" i="22" a="1"/>
  <c r="P183" i="22" s="1"/>
  <c r="Q183" i="22" a="1"/>
  <c r="Q183" i="22" s="1"/>
  <c r="R183" i="22" a="1"/>
  <c r="R183" i="22" s="1"/>
  <c r="U183" i="22" a="1"/>
  <c r="U183" i="22" s="1"/>
  <c r="V183" i="22" a="1"/>
  <c r="V183" i="22" s="1"/>
  <c r="W183" i="22" a="1"/>
  <c r="W183" i="22" s="1"/>
  <c r="X183" i="22" a="1"/>
  <c r="X183" i="22" s="1"/>
  <c r="K3" i="23" a="1"/>
  <c r="K3" i="23" s="1"/>
  <c r="L3" i="23" a="1"/>
  <c r="L3" i="23" s="1"/>
  <c r="M3" i="23" a="1"/>
  <c r="M3" i="23" s="1"/>
  <c r="N3" i="23" a="1"/>
  <c r="N3" i="23" s="1"/>
  <c r="O3" i="23" a="1"/>
  <c r="O3" i="23" s="1"/>
  <c r="P3" i="23" a="1"/>
  <c r="P3" i="23" s="1"/>
  <c r="Q3" i="23" a="1"/>
  <c r="Q3" i="23" s="1"/>
  <c r="R3" i="23" a="1"/>
  <c r="R3" i="23" s="1"/>
  <c r="U3" i="23" a="1"/>
  <c r="U3" i="23" s="1"/>
  <c r="V3" i="23" a="1"/>
  <c r="V3" i="23" s="1"/>
  <c r="W3" i="23" a="1"/>
  <c r="W3" i="23" s="1"/>
  <c r="X3" i="23" a="1"/>
  <c r="X3" i="23" s="1"/>
  <c r="K4" i="23" a="1"/>
  <c r="K4" i="23" s="1"/>
  <c r="L4" i="23" a="1"/>
  <c r="L4" i="23" s="1"/>
  <c r="M4" i="23" a="1"/>
  <c r="M4" i="23" s="1"/>
  <c r="N4" i="23" a="1"/>
  <c r="N4" i="23" s="1"/>
  <c r="O4" i="23" a="1"/>
  <c r="O4" i="23" s="1"/>
  <c r="P4" i="23" a="1"/>
  <c r="P4" i="23" s="1"/>
  <c r="Q4" i="23" a="1"/>
  <c r="Q4" i="23" s="1"/>
  <c r="R4" i="23" a="1"/>
  <c r="R4" i="23" s="1"/>
  <c r="U4" i="23" a="1"/>
  <c r="U4" i="23" s="1"/>
  <c r="V4" i="23" a="1"/>
  <c r="V4" i="23" s="1"/>
  <c r="W4" i="23" a="1"/>
  <c r="W4" i="23" s="1"/>
  <c r="X4" i="23" a="1"/>
  <c r="X4" i="23" s="1"/>
  <c r="K5" i="23" a="1"/>
  <c r="K5" i="23" s="1"/>
  <c r="L5" i="23" a="1"/>
  <c r="L5" i="23" s="1"/>
  <c r="M5" i="23" a="1"/>
  <c r="M5" i="23" s="1"/>
  <c r="N5" i="23" a="1"/>
  <c r="N5" i="23" s="1"/>
  <c r="O5" i="23" a="1"/>
  <c r="O5" i="23" s="1"/>
  <c r="P5" i="23" a="1"/>
  <c r="P5" i="23" s="1"/>
  <c r="Q5" i="23" a="1"/>
  <c r="Q5" i="23" s="1"/>
  <c r="R5" i="23" a="1"/>
  <c r="R5" i="23" s="1"/>
  <c r="U5" i="23" a="1"/>
  <c r="U5" i="23" s="1"/>
  <c r="V5" i="23" a="1"/>
  <c r="V5" i="23" s="1"/>
  <c r="W5" i="23" a="1"/>
  <c r="W5" i="23" s="1"/>
  <c r="X5" i="23" a="1"/>
  <c r="X5" i="23" s="1"/>
  <c r="K6" i="23" a="1"/>
  <c r="K6" i="23" s="1"/>
  <c r="L6" i="23" a="1"/>
  <c r="L6" i="23" s="1"/>
  <c r="M6" i="23" a="1"/>
  <c r="M6" i="23" s="1"/>
  <c r="N6" i="23" a="1"/>
  <c r="N6" i="23" s="1"/>
  <c r="O6" i="23" a="1"/>
  <c r="O6" i="23" s="1"/>
  <c r="P6" i="23" a="1"/>
  <c r="P6" i="23" s="1"/>
  <c r="Q6" i="23" a="1"/>
  <c r="Q6" i="23" s="1"/>
  <c r="R6" i="23" a="1"/>
  <c r="R6" i="23" s="1"/>
  <c r="U6" i="23" a="1"/>
  <c r="U6" i="23" s="1"/>
  <c r="V6" i="23" a="1"/>
  <c r="V6" i="23" s="1"/>
  <c r="W6" i="23" a="1"/>
  <c r="W6" i="23" s="1"/>
  <c r="X6" i="23" a="1"/>
  <c r="X6" i="23" s="1"/>
  <c r="K7" i="23" a="1"/>
  <c r="K7" i="23" s="1"/>
  <c r="L7" i="23" a="1"/>
  <c r="L7" i="23" s="1"/>
  <c r="M7" i="23" a="1"/>
  <c r="M7" i="23" s="1"/>
  <c r="N7" i="23" a="1"/>
  <c r="N7" i="23" s="1"/>
  <c r="O7" i="23" a="1"/>
  <c r="O7" i="23" s="1"/>
  <c r="P7" i="23" a="1"/>
  <c r="P7" i="23" s="1"/>
  <c r="Q7" i="23" a="1"/>
  <c r="Q7" i="23" s="1"/>
  <c r="R7" i="23" a="1"/>
  <c r="R7" i="23" s="1"/>
  <c r="U7" i="23" a="1"/>
  <c r="U7" i="23" s="1"/>
  <c r="V7" i="23" a="1"/>
  <c r="V7" i="23" s="1"/>
  <c r="W7" i="23" a="1"/>
  <c r="W7" i="23" s="1"/>
  <c r="X7" i="23" a="1"/>
  <c r="X7" i="23" s="1"/>
  <c r="K8" i="23" a="1"/>
  <c r="K8" i="23" s="1"/>
  <c r="L8" i="23" a="1"/>
  <c r="L8" i="23" s="1"/>
  <c r="M8" i="23" a="1"/>
  <c r="M8" i="23" s="1"/>
  <c r="N8" i="23" a="1"/>
  <c r="N8" i="23" s="1"/>
  <c r="O8" i="23" a="1"/>
  <c r="O8" i="23" s="1"/>
  <c r="P8" i="23" a="1"/>
  <c r="P8" i="23" s="1"/>
  <c r="Q8" i="23" a="1"/>
  <c r="Q8" i="23" s="1"/>
  <c r="R8" i="23" a="1"/>
  <c r="R8" i="23" s="1"/>
  <c r="U8" i="23" a="1"/>
  <c r="U8" i="23" s="1"/>
  <c r="V8" i="23" a="1"/>
  <c r="V8" i="23" s="1"/>
  <c r="W8" i="23" a="1"/>
  <c r="W8" i="23" s="1"/>
  <c r="X8" i="23" a="1"/>
  <c r="X8" i="23" s="1"/>
  <c r="K9" i="23" a="1"/>
  <c r="K9" i="23" s="1"/>
  <c r="L9" i="23" a="1"/>
  <c r="L9" i="23" s="1"/>
  <c r="M9" i="23" a="1"/>
  <c r="M9" i="23" s="1"/>
  <c r="N9" i="23" a="1"/>
  <c r="N9" i="23" s="1"/>
  <c r="O9" i="23" a="1"/>
  <c r="O9" i="23" s="1"/>
  <c r="P9" i="23" a="1"/>
  <c r="P9" i="23" s="1"/>
  <c r="Q9" i="23" a="1"/>
  <c r="Q9" i="23" s="1"/>
  <c r="R9" i="23" a="1"/>
  <c r="R9" i="23" s="1"/>
  <c r="U9" i="23" a="1"/>
  <c r="U9" i="23" s="1"/>
  <c r="V9" i="23" a="1"/>
  <c r="V9" i="23" s="1"/>
  <c r="W9" i="23" a="1"/>
  <c r="W9" i="23" s="1"/>
  <c r="X9" i="23" a="1"/>
  <c r="X9" i="23" s="1"/>
  <c r="K10" i="23" a="1"/>
  <c r="K10" i="23" s="1"/>
  <c r="L10" i="23" a="1"/>
  <c r="L10" i="23" s="1"/>
  <c r="M10" i="23" a="1"/>
  <c r="M10" i="23" s="1"/>
  <c r="N10" i="23" a="1"/>
  <c r="N10" i="23" s="1"/>
  <c r="O10" i="23" a="1"/>
  <c r="O10" i="23" s="1"/>
  <c r="P10" i="23" a="1"/>
  <c r="P10" i="23" s="1"/>
  <c r="Q10" i="23" a="1"/>
  <c r="Q10" i="23" s="1"/>
  <c r="R10" i="23" a="1"/>
  <c r="R10" i="23" s="1"/>
  <c r="U10" i="23" a="1"/>
  <c r="U10" i="23" s="1"/>
  <c r="V10" i="23" a="1"/>
  <c r="V10" i="23" s="1"/>
  <c r="W10" i="23" a="1"/>
  <c r="W10" i="23" s="1"/>
  <c r="X10" i="23" a="1"/>
  <c r="X10" i="23" s="1"/>
  <c r="K11" i="23" a="1"/>
  <c r="K11" i="23" s="1"/>
  <c r="L11" i="23" a="1"/>
  <c r="L11" i="23" s="1"/>
  <c r="M11" i="23" a="1"/>
  <c r="M11" i="23" s="1"/>
  <c r="N11" i="23" a="1"/>
  <c r="N11" i="23" s="1"/>
  <c r="O11" i="23" a="1"/>
  <c r="O11" i="23" s="1"/>
  <c r="P11" i="23" a="1"/>
  <c r="P11" i="23" s="1"/>
  <c r="Q11" i="23" a="1"/>
  <c r="Q11" i="23" s="1"/>
  <c r="R11" i="23" a="1"/>
  <c r="R11" i="23" s="1"/>
  <c r="U11" i="23" a="1"/>
  <c r="U11" i="23" s="1"/>
  <c r="V11" i="23" a="1"/>
  <c r="V11" i="23" s="1"/>
  <c r="W11" i="23" a="1"/>
  <c r="W11" i="23" s="1"/>
  <c r="X11" i="23" a="1"/>
  <c r="X11" i="23" s="1"/>
  <c r="K12" i="23" a="1"/>
  <c r="K12" i="23" s="1"/>
  <c r="L12" i="23" a="1"/>
  <c r="L12" i="23" s="1"/>
  <c r="M12" i="23" a="1"/>
  <c r="M12" i="23" s="1"/>
  <c r="N12" i="23" a="1"/>
  <c r="N12" i="23" s="1"/>
  <c r="O12" i="23" a="1"/>
  <c r="O12" i="23" s="1"/>
  <c r="P12" i="23" a="1"/>
  <c r="P12" i="23" s="1"/>
  <c r="Q12" i="23" a="1"/>
  <c r="Q12" i="23" s="1"/>
  <c r="R12" i="23" a="1"/>
  <c r="R12" i="23" s="1"/>
  <c r="U12" i="23" a="1"/>
  <c r="U12" i="23" s="1"/>
  <c r="V12" i="23" a="1"/>
  <c r="V12" i="23" s="1"/>
  <c r="W12" i="23" a="1"/>
  <c r="W12" i="23" s="1"/>
  <c r="X12" i="23" a="1"/>
  <c r="X12" i="23" s="1"/>
  <c r="K13" i="23" a="1"/>
  <c r="K13" i="23" s="1"/>
  <c r="L13" i="23" a="1"/>
  <c r="L13" i="23" s="1"/>
  <c r="M13" i="23" a="1"/>
  <c r="M13" i="23" s="1"/>
  <c r="N13" i="23" a="1"/>
  <c r="N13" i="23" s="1"/>
  <c r="O13" i="23" a="1"/>
  <c r="O13" i="23" s="1"/>
  <c r="P13" i="23" a="1"/>
  <c r="P13" i="23" s="1"/>
  <c r="Q13" i="23" a="1"/>
  <c r="Q13" i="23" s="1"/>
  <c r="R13" i="23" a="1"/>
  <c r="R13" i="23" s="1"/>
  <c r="U13" i="23" a="1"/>
  <c r="U13" i="23" s="1"/>
  <c r="V13" i="23" a="1"/>
  <c r="V13" i="23" s="1"/>
  <c r="W13" i="23" a="1"/>
  <c r="W13" i="23" s="1"/>
  <c r="X13" i="23" a="1"/>
  <c r="X13" i="23" s="1"/>
  <c r="K14" i="23" a="1"/>
  <c r="K14" i="23" s="1"/>
  <c r="L14" i="23" a="1"/>
  <c r="L14" i="23" s="1"/>
  <c r="M14" i="23" a="1"/>
  <c r="M14" i="23" s="1"/>
  <c r="N14" i="23" a="1"/>
  <c r="N14" i="23" s="1"/>
  <c r="O14" i="23" a="1"/>
  <c r="O14" i="23" s="1"/>
  <c r="P14" i="23" a="1"/>
  <c r="P14" i="23" s="1"/>
  <c r="Q14" i="23" a="1"/>
  <c r="Q14" i="23" s="1"/>
  <c r="R14" i="23" a="1"/>
  <c r="R14" i="23" s="1"/>
  <c r="U14" i="23" a="1"/>
  <c r="U14" i="23" s="1"/>
  <c r="V14" i="23" a="1"/>
  <c r="V14" i="23" s="1"/>
  <c r="W14" i="23" a="1"/>
  <c r="W14" i="23" s="1"/>
  <c r="X14" i="23" a="1"/>
  <c r="X14" i="23" s="1"/>
  <c r="K15" i="23" a="1"/>
  <c r="K15" i="23" s="1"/>
  <c r="L15" i="23" a="1"/>
  <c r="L15" i="23" s="1"/>
  <c r="M15" i="23" a="1"/>
  <c r="M15" i="23" s="1"/>
  <c r="N15" i="23" a="1"/>
  <c r="N15" i="23" s="1"/>
  <c r="O15" i="23" a="1"/>
  <c r="O15" i="23" s="1"/>
  <c r="P15" i="23" a="1"/>
  <c r="P15" i="23" s="1"/>
  <c r="Q15" i="23" a="1"/>
  <c r="Q15" i="23" s="1"/>
  <c r="R15" i="23" a="1"/>
  <c r="R15" i="23" s="1"/>
  <c r="U15" i="23" a="1"/>
  <c r="U15" i="23" s="1"/>
  <c r="V15" i="23" a="1"/>
  <c r="V15" i="23" s="1"/>
  <c r="W15" i="23" a="1"/>
  <c r="W15" i="23" s="1"/>
  <c r="X15" i="23" a="1"/>
  <c r="X15" i="23" s="1"/>
  <c r="K16" i="23" a="1"/>
  <c r="K16" i="23" s="1"/>
  <c r="L16" i="23" a="1"/>
  <c r="L16" i="23" s="1"/>
  <c r="M16" i="23" a="1"/>
  <c r="M16" i="23" s="1"/>
  <c r="N16" i="23" a="1"/>
  <c r="N16" i="23" s="1"/>
  <c r="O16" i="23" a="1"/>
  <c r="O16" i="23" s="1"/>
  <c r="P16" i="23" a="1"/>
  <c r="P16" i="23" s="1"/>
  <c r="Q16" i="23" a="1"/>
  <c r="Q16" i="23" s="1"/>
  <c r="R16" i="23" a="1"/>
  <c r="R16" i="23" s="1"/>
  <c r="U16" i="23" a="1"/>
  <c r="U16" i="23" s="1"/>
  <c r="V16" i="23" a="1"/>
  <c r="V16" i="23" s="1"/>
  <c r="W16" i="23" a="1"/>
  <c r="W16" i="23" s="1"/>
  <c r="X16" i="23" a="1"/>
  <c r="X16" i="23" s="1"/>
  <c r="K17" i="23" a="1"/>
  <c r="K17" i="23" s="1"/>
  <c r="L17" i="23" a="1"/>
  <c r="L17" i="23" s="1"/>
  <c r="M17" i="23" a="1"/>
  <c r="M17" i="23" s="1"/>
  <c r="N17" i="23" a="1"/>
  <c r="N17" i="23" s="1"/>
  <c r="O17" i="23" a="1"/>
  <c r="O17" i="23" s="1"/>
  <c r="P17" i="23" a="1"/>
  <c r="P17" i="23" s="1"/>
  <c r="Q17" i="23" a="1"/>
  <c r="Q17" i="23" s="1"/>
  <c r="R17" i="23" a="1"/>
  <c r="R17" i="23" s="1"/>
  <c r="U17" i="23" a="1"/>
  <c r="U17" i="23" s="1"/>
  <c r="V17" i="23" a="1"/>
  <c r="V17" i="23" s="1"/>
  <c r="W17" i="23" a="1"/>
  <c r="W17" i="23" s="1"/>
  <c r="X17" i="23" a="1"/>
  <c r="X17" i="23" s="1"/>
  <c r="K18" i="23" a="1"/>
  <c r="K18" i="23" s="1"/>
  <c r="L18" i="23" a="1"/>
  <c r="L18" i="23" s="1"/>
  <c r="M18" i="23" a="1"/>
  <c r="M18" i="23" s="1"/>
  <c r="N18" i="23" a="1"/>
  <c r="N18" i="23" s="1"/>
  <c r="O18" i="23" a="1"/>
  <c r="O18" i="23" s="1"/>
  <c r="P18" i="23" a="1"/>
  <c r="P18" i="23" s="1"/>
  <c r="Q18" i="23" a="1"/>
  <c r="Q18" i="23" s="1"/>
  <c r="R18" i="23" a="1"/>
  <c r="R18" i="23" s="1"/>
  <c r="U18" i="23" a="1"/>
  <c r="U18" i="23" s="1"/>
  <c r="V18" i="23" a="1"/>
  <c r="V18" i="23" s="1"/>
  <c r="W18" i="23" a="1"/>
  <c r="W18" i="23" s="1"/>
  <c r="X18" i="23" a="1"/>
  <c r="X18" i="23" s="1"/>
  <c r="K19" i="23" a="1"/>
  <c r="K19" i="23" s="1"/>
  <c r="L19" i="23" a="1"/>
  <c r="L19" i="23" s="1"/>
  <c r="M19" i="23" a="1"/>
  <c r="M19" i="23" s="1"/>
  <c r="N19" i="23" a="1"/>
  <c r="N19" i="23" s="1"/>
  <c r="O19" i="23" a="1"/>
  <c r="O19" i="23" s="1"/>
  <c r="P19" i="23" a="1"/>
  <c r="P19" i="23" s="1"/>
  <c r="Q19" i="23" a="1"/>
  <c r="Q19" i="23" s="1"/>
  <c r="R19" i="23" a="1"/>
  <c r="R19" i="23" s="1"/>
  <c r="U19" i="23" a="1"/>
  <c r="U19" i="23" s="1"/>
  <c r="V19" i="23" a="1"/>
  <c r="V19" i="23" s="1"/>
  <c r="W19" i="23" a="1"/>
  <c r="W19" i="23" s="1"/>
  <c r="X19" i="23" a="1"/>
  <c r="X19" i="23" s="1"/>
  <c r="K20" i="23" a="1"/>
  <c r="K20" i="23" s="1"/>
  <c r="L20" i="23" a="1"/>
  <c r="L20" i="23" s="1"/>
  <c r="M20" i="23" a="1"/>
  <c r="M20" i="23" s="1"/>
  <c r="N20" i="23" a="1"/>
  <c r="N20" i="23" s="1"/>
  <c r="O20" i="23" a="1"/>
  <c r="O20" i="23" s="1"/>
  <c r="P20" i="23" a="1"/>
  <c r="P20" i="23" s="1"/>
  <c r="Q20" i="23" a="1"/>
  <c r="Q20" i="23" s="1"/>
  <c r="R20" i="23" a="1"/>
  <c r="R20" i="23" s="1"/>
  <c r="U20" i="23" a="1"/>
  <c r="U20" i="23" s="1"/>
  <c r="V20" i="23" a="1"/>
  <c r="V20" i="23" s="1"/>
  <c r="W20" i="23" a="1"/>
  <c r="W20" i="23" s="1"/>
  <c r="X20" i="23" a="1"/>
  <c r="X20" i="23" s="1"/>
  <c r="K21" i="23" a="1"/>
  <c r="K21" i="23" s="1"/>
  <c r="L21" i="23" a="1"/>
  <c r="L21" i="23" s="1"/>
  <c r="M21" i="23" a="1"/>
  <c r="M21" i="23" s="1"/>
  <c r="N21" i="23" a="1"/>
  <c r="N21" i="23" s="1"/>
  <c r="O21" i="23" a="1"/>
  <c r="O21" i="23" s="1"/>
  <c r="P21" i="23" a="1"/>
  <c r="P21" i="23" s="1"/>
  <c r="Q21" i="23" a="1"/>
  <c r="Q21" i="23" s="1"/>
  <c r="R21" i="23" a="1"/>
  <c r="R21" i="23" s="1"/>
  <c r="U21" i="23" a="1"/>
  <c r="U21" i="23" s="1"/>
  <c r="V21" i="23" a="1"/>
  <c r="V21" i="23" s="1"/>
  <c r="W21" i="23" a="1"/>
  <c r="W21" i="23" s="1"/>
  <c r="X21" i="23" a="1"/>
  <c r="X21" i="23" s="1"/>
  <c r="K22" i="23" a="1"/>
  <c r="K22" i="23" s="1"/>
  <c r="L22" i="23" a="1"/>
  <c r="L22" i="23" s="1"/>
  <c r="M22" i="23" a="1"/>
  <c r="M22" i="23" s="1"/>
  <c r="N22" i="23" a="1"/>
  <c r="N22" i="23" s="1"/>
  <c r="O22" i="23" a="1"/>
  <c r="O22" i="23" s="1"/>
  <c r="P22" i="23" a="1"/>
  <c r="P22" i="23" s="1"/>
  <c r="Q22" i="23" a="1"/>
  <c r="Q22" i="23" s="1"/>
  <c r="R22" i="23" a="1"/>
  <c r="R22" i="23" s="1"/>
  <c r="U22" i="23" a="1"/>
  <c r="U22" i="23" s="1"/>
  <c r="V22" i="23" a="1"/>
  <c r="V22" i="23" s="1"/>
  <c r="W22" i="23" a="1"/>
  <c r="W22" i="23" s="1"/>
  <c r="X22" i="23" a="1"/>
  <c r="X22" i="23" s="1"/>
  <c r="K23" i="23" a="1"/>
  <c r="K23" i="23" s="1"/>
  <c r="L23" i="23" a="1"/>
  <c r="L23" i="23" s="1"/>
  <c r="M23" i="23" a="1"/>
  <c r="M23" i="23" s="1"/>
  <c r="N23" i="23" a="1"/>
  <c r="N23" i="23" s="1"/>
  <c r="O23" i="23" a="1"/>
  <c r="O23" i="23" s="1"/>
  <c r="P23" i="23" a="1"/>
  <c r="P23" i="23" s="1"/>
  <c r="Q23" i="23" a="1"/>
  <c r="Q23" i="23" s="1"/>
  <c r="R23" i="23" a="1"/>
  <c r="R23" i="23" s="1"/>
  <c r="U23" i="23" a="1"/>
  <c r="U23" i="23" s="1"/>
  <c r="V23" i="23" a="1"/>
  <c r="V23" i="23" s="1"/>
  <c r="W23" i="23" a="1"/>
  <c r="W23" i="23" s="1"/>
  <c r="X23" i="23" a="1"/>
  <c r="X23" i="23" s="1"/>
  <c r="K24" i="23" a="1"/>
  <c r="K24" i="23" s="1"/>
  <c r="L24" i="23" a="1"/>
  <c r="L24" i="23" s="1"/>
  <c r="M24" i="23" a="1"/>
  <c r="M24" i="23" s="1"/>
  <c r="N24" i="23" a="1"/>
  <c r="N24" i="23" s="1"/>
  <c r="O24" i="23" a="1"/>
  <c r="O24" i="23" s="1"/>
  <c r="P24" i="23" a="1"/>
  <c r="P24" i="23" s="1"/>
  <c r="Q24" i="23" a="1"/>
  <c r="Q24" i="23" s="1"/>
  <c r="R24" i="23" a="1"/>
  <c r="R24" i="23" s="1"/>
  <c r="U24" i="23" a="1"/>
  <c r="U24" i="23" s="1"/>
  <c r="V24" i="23" a="1"/>
  <c r="V24" i="23" s="1"/>
  <c r="W24" i="23" a="1"/>
  <c r="W24" i="23" s="1"/>
  <c r="X24" i="23" a="1"/>
  <c r="X24" i="23" s="1"/>
  <c r="K25" i="23" a="1"/>
  <c r="K25" i="23" s="1"/>
  <c r="L25" i="23" a="1"/>
  <c r="L25" i="23" s="1"/>
  <c r="M25" i="23" a="1"/>
  <c r="M25" i="23" s="1"/>
  <c r="N25" i="23" a="1"/>
  <c r="N25" i="23" s="1"/>
  <c r="O25" i="23" a="1"/>
  <c r="O25" i="23" s="1"/>
  <c r="P25" i="23" a="1"/>
  <c r="P25" i="23" s="1"/>
  <c r="Q25" i="23" a="1"/>
  <c r="Q25" i="23" s="1"/>
  <c r="R25" i="23" a="1"/>
  <c r="R25" i="23" s="1"/>
  <c r="U25" i="23" a="1"/>
  <c r="U25" i="23" s="1"/>
  <c r="V25" i="23" a="1"/>
  <c r="V25" i="23" s="1"/>
  <c r="W25" i="23" a="1"/>
  <c r="W25" i="23" s="1"/>
  <c r="X25" i="23" a="1"/>
  <c r="X25" i="23" s="1"/>
  <c r="K26" i="23" a="1"/>
  <c r="K26" i="23" s="1"/>
  <c r="L26" i="23" a="1"/>
  <c r="L26" i="23" s="1"/>
  <c r="M26" i="23" a="1"/>
  <c r="M26" i="23" s="1"/>
  <c r="N26" i="23" a="1"/>
  <c r="N26" i="23" s="1"/>
  <c r="O26" i="23" a="1"/>
  <c r="O26" i="23" s="1"/>
  <c r="P26" i="23" a="1"/>
  <c r="P26" i="23" s="1"/>
  <c r="Q26" i="23" a="1"/>
  <c r="Q26" i="23" s="1"/>
  <c r="R26" i="23" a="1"/>
  <c r="R26" i="23" s="1"/>
  <c r="U26" i="23" a="1"/>
  <c r="U26" i="23" s="1"/>
  <c r="V26" i="23" a="1"/>
  <c r="V26" i="23" s="1"/>
  <c r="W26" i="23" a="1"/>
  <c r="W26" i="23" s="1"/>
  <c r="X26" i="23" a="1"/>
  <c r="X26" i="23" s="1"/>
  <c r="K27" i="23" a="1"/>
  <c r="K27" i="23" s="1"/>
  <c r="L27" i="23" a="1"/>
  <c r="L27" i="23" s="1"/>
  <c r="M27" i="23" a="1"/>
  <c r="M27" i="23" s="1"/>
  <c r="N27" i="23" a="1"/>
  <c r="N27" i="23" s="1"/>
  <c r="O27" i="23" a="1"/>
  <c r="O27" i="23" s="1"/>
  <c r="P27" i="23" a="1"/>
  <c r="P27" i="23" s="1"/>
  <c r="Q27" i="23" a="1"/>
  <c r="Q27" i="23" s="1"/>
  <c r="R27" i="23" a="1"/>
  <c r="R27" i="23" s="1"/>
  <c r="U27" i="23" a="1"/>
  <c r="U27" i="23" s="1"/>
  <c r="V27" i="23" a="1"/>
  <c r="V27" i="23" s="1"/>
  <c r="W27" i="23" a="1"/>
  <c r="W27" i="23" s="1"/>
  <c r="X27" i="23" a="1"/>
  <c r="X27" i="23" s="1"/>
  <c r="K28" i="23" a="1"/>
  <c r="K28" i="23" s="1"/>
  <c r="L28" i="23" a="1"/>
  <c r="L28" i="23" s="1"/>
  <c r="M28" i="23" a="1"/>
  <c r="M28" i="23" s="1"/>
  <c r="N28" i="23" a="1"/>
  <c r="N28" i="23" s="1"/>
  <c r="O28" i="23" a="1"/>
  <c r="O28" i="23" s="1"/>
  <c r="P28" i="23" a="1"/>
  <c r="P28" i="23" s="1"/>
  <c r="Q28" i="23" a="1"/>
  <c r="Q28" i="23" s="1"/>
  <c r="R28" i="23" a="1"/>
  <c r="R28" i="23" s="1"/>
  <c r="U28" i="23" a="1"/>
  <c r="U28" i="23" s="1"/>
  <c r="V28" i="23" a="1"/>
  <c r="V28" i="23" s="1"/>
  <c r="W28" i="23" a="1"/>
  <c r="W28" i="23" s="1"/>
  <c r="X28" i="23" a="1"/>
  <c r="X28" i="23" s="1"/>
  <c r="K29" i="23" a="1"/>
  <c r="K29" i="23" s="1"/>
  <c r="L29" i="23" a="1"/>
  <c r="L29" i="23" s="1"/>
  <c r="M29" i="23" a="1"/>
  <c r="M29" i="23" s="1"/>
  <c r="N29" i="23" a="1"/>
  <c r="N29" i="23" s="1"/>
  <c r="O29" i="23" a="1"/>
  <c r="O29" i="23" s="1"/>
  <c r="P29" i="23" a="1"/>
  <c r="P29" i="23" s="1"/>
  <c r="Q29" i="23" a="1"/>
  <c r="Q29" i="23" s="1"/>
  <c r="R29" i="23" a="1"/>
  <c r="R29" i="23" s="1"/>
  <c r="U29" i="23" a="1"/>
  <c r="U29" i="23" s="1"/>
  <c r="V29" i="23" a="1"/>
  <c r="V29" i="23" s="1"/>
  <c r="W29" i="23" a="1"/>
  <c r="W29" i="23" s="1"/>
  <c r="X29" i="23" a="1"/>
  <c r="X29" i="23" s="1"/>
  <c r="K30" i="23" a="1"/>
  <c r="K30" i="23" s="1"/>
  <c r="L30" i="23" a="1"/>
  <c r="L30" i="23" s="1"/>
  <c r="M30" i="23" a="1"/>
  <c r="M30" i="23" s="1"/>
  <c r="N30" i="23" a="1"/>
  <c r="N30" i="23" s="1"/>
  <c r="O30" i="23" a="1"/>
  <c r="O30" i="23" s="1"/>
  <c r="P30" i="23" a="1"/>
  <c r="P30" i="23" s="1"/>
  <c r="Q30" i="23" a="1"/>
  <c r="Q30" i="23" s="1"/>
  <c r="R30" i="23" a="1"/>
  <c r="R30" i="23" s="1"/>
  <c r="U30" i="23" a="1"/>
  <c r="U30" i="23" s="1"/>
  <c r="V30" i="23" a="1"/>
  <c r="V30" i="23" s="1"/>
  <c r="W30" i="23" a="1"/>
  <c r="W30" i="23" s="1"/>
  <c r="X30" i="23" a="1"/>
  <c r="X30" i="23" s="1"/>
  <c r="K31" i="23" a="1"/>
  <c r="K31" i="23" s="1"/>
  <c r="L31" i="23" a="1"/>
  <c r="L31" i="23" s="1"/>
  <c r="M31" i="23" a="1"/>
  <c r="M31" i="23" s="1"/>
  <c r="N31" i="23" a="1"/>
  <c r="N31" i="23" s="1"/>
  <c r="O31" i="23" a="1"/>
  <c r="O31" i="23" s="1"/>
  <c r="P31" i="23" a="1"/>
  <c r="P31" i="23" s="1"/>
  <c r="Q31" i="23" a="1"/>
  <c r="Q31" i="23" s="1"/>
  <c r="R31" i="23" a="1"/>
  <c r="R31" i="23" s="1"/>
  <c r="U31" i="23" a="1"/>
  <c r="U31" i="23" s="1"/>
  <c r="V31" i="23" a="1"/>
  <c r="V31" i="23" s="1"/>
  <c r="W31" i="23" a="1"/>
  <c r="W31" i="23" s="1"/>
  <c r="X31" i="23" a="1"/>
  <c r="X31" i="23" s="1"/>
  <c r="K32" i="23" a="1"/>
  <c r="K32" i="23" s="1"/>
  <c r="L32" i="23" a="1"/>
  <c r="L32" i="23" s="1"/>
  <c r="M32" i="23" a="1"/>
  <c r="M32" i="23" s="1"/>
  <c r="N32" i="23" a="1"/>
  <c r="N32" i="23" s="1"/>
  <c r="O32" i="23" a="1"/>
  <c r="O32" i="23" s="1"/>
  <c r="P32" i="23" a="1"/>
  <c r="P32" i="23" s="1"/>
  <c r="Q32" i="23" a="1"/>
  <c r="Q32" i="23" s="1"/>
  <c r="R32" i="23" a="1"/>
  <c r="R32" i="23" s="1"/>
  <c r="U32" i="23" a="1"/>
  <c r="U32" i="23" s="1"/>
  <c r="V32" i="23" a="1"/>
  <c r="V32" i="23" s="1"/>
  <c r="W32" i="23" a="1"/>
  <c r="W32" i="23" s="1"/>
  <c r="X32" i="23" a="1"/>
  <c r="X32" i="23" s="1"/>
  <c r="K33" i="23" a="1"/>
  <c r="K33" i="23" s="1"/>
  <c r="L33" i="23" a="1"/>
  <c r="L33" i="23" s="1"/>
  <c r="M33" i="23" a="1"/>
  <c r="M33" i="23" s="1"/>
  <c r="N33" i="23" a="1"/>
  <c r="N33" i="23" s="1"/>
  <c r="O33" i="23" a="1"/>
  <c r="O33" i="23" s="1"/>
  <c r="P33" i="23" a="1"/>
  <c r="P33" i="23" s="1"/>
  <c r="Q33" i="23" a="1"/>
  <c r="Q33" i="23" s="1"/>
  <c r="R33" i="23" a="1"/>
  <c r="R33" i="23" s="1"/>
  <c r="U33" i="23" a="1"/>
  <c r="U33" i="23" s="1"/>
  <c r="V33" i="23" a="1"/>
  <c r="V33" i="23" s="1"/>
  <c r="W33" i="23" a="1"/>
  <c r="W33" i="23" s="1"/>
  <c r="X33" i="23" a="1"/>
  <c r="X33" i="23" s="1"/>
  <c r="K34" i="23" a="1"/>
  <c r="K34" i="23" s="1"/>
  <c r="L34" i="23" a="1"/>
  <c r="L34" i="23" s="1"/>
  <c r="M34" i="23" a="1"/>
  <c r="M34" i="23" s="1"/>
  <c r="N34" i="23" a="1"/>
  <c r="N34" i="23" s="1"/>
  <c r="O34" i="23" a="1"/>
  <c r="O34" i="23" s="1"/>
  <c r="P34" i="23" a="1"/>
  <c r="P34" i="23" s="1"/>
  <c r="Q34" i="23" a="1"/>
  <c r="Q34" i="23" s="1"/>
  <c r="R34" i="23" a="1"/>
  <c r="R34" i="23" s="1"/>
  <c r="U34" i="23" a="1"/>
  <c r="U34" i="23" s="1"/>
  <c r="V34" i="23" a="1"/>
  <c r="V34" i="23" s="1"/>
  <c r="W34" i="23" a="1"/>
  <c r="W34" i="23" s="1"/>
  <c r="X34" i="23" a="1"/>
  <c r="X34" i="23" s="1"/>
  <c r="K35" i="23" a="1"/>
  <c r="K35" i="23" s="1"/>
  <c r="L35" i="23" a="1"/>
  <c r="L35" i="23" s="1"/>
  <c r="M35" i="23" a="1"/>
  <c r="M35" i="23" s="1"/>
  <c r="N35" i="23" a="1"/>
  <c r="N35" i="23" s="1"/>
  <c r="O35" i="23" a="1"/>
  <c r="O35" i="23" s="1"/>
  <c r="P35" i="23" a="1"/>
  <c r="P35" i="23" s="1"/>
  <c r="Q35" i="23" a="1"/>
  <c r="Q35" i="23" s="1"/>
  <c r="R35" i="23" a="1"/>
  <c r="R35" i="23" s="1"/>
  <c r="U35" i="23" a="1"/>
  <c r="U35" i="23" s="1"/>
  <c r="V35" i="23" a="1"/>
  <c r="V35" i="23" s="1"/>
  <c r="W35" i="23" a="1"/>
  <c r="W35" i="23" s="1"/>
  <c r="X35" i="23" a="1"/>
  <c r="X35" i="23" s="1"/>
  <c r="K36" i="23" a="1"/>
  <c r="K36" i="23" s="1"/>
  <c r="L36" i="23" a="1"/>
  <c r="L36" i="23" s="1"/>
  <c r="M36" i="23" a="1"/>
  <c r="M36" i="23" s="1"/>
  <c r="N36" i="23" a="1"/>
  <c r="N36" i="23" s="1"/>
  <c r="O36" i="23" a="1"/>
  <c r="O36" i="23" s="1"/>
  <c r="P36" i="23" a="1"/>
  <c r="P36" i="23" s="1"/>
  <c r="Q36" i="23" a="1"/>
  <c r="Q36" i="23" s="1"/>
  <c r="R36" i="23" a="1"/>
  <c r="R36" i="23" s="1"/>
  <c r="U36" i="23" a="1"/>
  <c r="U36" i="23" s="1"/>
  <c r="V36" i="23" a="1"/>
  <c r="V36" i="23" s="1"/>
  <c r="W36" i="23" a="1"/>
  <c r="W36" i="23" s="1"/>
  <c r="X36" i="23" a="1"/>
  <c r="X36" i="23" s="1"/>
  <c r="K37" i="23" a="1"/>
  <c r="K37" i="23" s="1"/>
  <c r="L37" i="23" a="1"/>
  <c r="L37" i="23" s="1"/>
  <c r="M37" i="23" a="1"/>
  <c r="M37" i="23" s="1"/>
  <c r="N37" i="23" a="1"/>
  <c r="N37" i="23" s="1"/>
  <c r="O37" i="23" a="1"/>
  <c r="O37" i="23" s="1"/>
  <c r="P37" i="23" a="1"/>
  <c r="P37" i="23" s="1"/>
  <c r="Q37" i="23" a="1"/>
  <c r="Q37" i="23" s="1"/>
  <c r="R37" i="23" a="1"/>
  <c r="R37" i="23" s="1"/>
  <c r="U37" i="23" a="1"/>
  <c r="U37" i="23" s="1"/>
  <c r="V37" i="23" a="1"/>
  <c r="V37" i="23" s="1"/>
  <c r="W37" i="23" a="1"/>
  <c r="W37" i="23" s="1"/>
  <c r="X37" i="23" a="1"/>
  <c r="X37" i="23" s="1"/>
  <c r="K38" i="23" a="1"/>
  <c r="K38" i="23" s="1"/>
  <c r="L38" i="23" a="1"/>
  <c r="L38" i="23" s="1"/>
  <c r="M38" i="23" a="1"/>
  <c r="M38" i="23" s="1"/>
  <c r="N38" i="23" a="1"/>
  <c r="N38" i="23" s="1"/>
  <c r="O38" i="23" a="1"/>
  <c r="O38" i="23" s="1"/>
  <c r="P38" i="23" a="1"/>
  <c r="P38" i="23" s="1"/>
  <c r="Q38" i="23" a="1"/>
  <c r="Q38" i="23" s="1"/>
  <c r="R38" i="23" a="1"/>
  <c r="R38" i="23" s="1"/>
  <c r="U38" i="23" a="1"/>
  <c r="U38" i="23" s="1"/>
  <c r="V38" i="23" a="1"/>
  <c r="V38" i="23" s="1"/>
  <c r="W38" i="23" a="1"/>
  <c r="W38" i="23" s="1"/>
  <c r="X38" i="23" a="1"/>
  <c r="X38" i="23" s="1"/>
  <c r="K39" i="23" a="1"/>
  <c r="K39" i="23" s="1"/>
  <c r="L39" i="23" a="1"/>
  <c r="L39" i="23" s="1"/>
  <c r="M39" i="23" a="1"/>
  <c r="M39" i="23" s="1"/>
  <c r="N39" i="23" a="1"/>
  <c r="N39" i="23" s="1"/>
  <c r="O39" i="23" a="1"/>
  <c r="O39" i="23" s="1"/>
  <c r="P39" i="23" a="1"/>
  <c r="P39" i="23" s="1"/>
  <c r="Q39" i="23" a="1"/>
  <c r="Q39" i="23" s="1"/>
  <c r="R39" i="23" a="1"/>
  <c r="R39" i="23" s="1"/>
  <c r="U39" i="23" a="1"/>
  <c r="U39" i="23" s="1"/>
  <c r="V39" i="23" a="1"/>
  <c r="V39" i="23" s="1"/>
  <c r="W39" i="23" a="1"/>
  <c r="W39" i="23" s="1"/>
  <c r="X39" i="23" a="1"/>
  <c r="X39" i="23" s="1"/>
  <c r="K40" i="23" a="1"/>
  <c r="K40" i="23" s="1"/>
  <c r="L40" i="23" a="1"/>
  <c r="L40" i="23" s="1"/>
  <c r="M40" i="23" a="1"/>
  <c r="M40" i="23" s="1"/>
  <c r="N40" i="23" a="1"/>
  <c r="N40" i="23" s="1"/>
  <c r="O40" i="23" a="1"/>
  <c r="O40" i="23" s="1"/>
  <c r="P40" i="23" a="1"/>
  <c r="P40" i="23" s="1"/>
  <c r="Q40" i="23" a="1"/>
  <c r="Q40" i="23" s="1"/>
  <c r="R40" i="23" a="1"/>
  <c r="R40" i="23" s="1"/>
  <c r="U40" i="23" a="1"/>
  <c r="U40" i="23" s="1"/>
  <c r="V40" i="23" a="1"/>
  <c r="V40" i="23" s="1"/>
  <c r="W40" i="23" a="1"/>
  <c r="W40" i="23" s="1"/>
  <c r="X40" i="23" a="1"/>
  <c r="X40" i="23" s="1"/>
  <c r="K41" i="23" a="1"/>
  <c r="K41" i="23" s="1"/>
  <c r="L41" i="23" a="1"/>
  <c r="L41" i="23" s="1"/>
  <c r="M41" i="23" a="1"/>
  <c r="M41" i="23" s="1"/>
  <c r="N41" i="23" a="1"/>
  <c r="N41" i="23" s="1"/>
  <c r="O41" i="23" a="1"/>
  <c r="O41" i="23" s="1"/>
  <c r="P41" i="23" a="1"/>
  <c r="P41" i="23" s="1"/>
  <c r="Q41" i="23" a="1"/>
  <c r="Q41" i="23" s="1"/>
  <c r="R41" i="23" a="1"/>
  <c r="R41" i="23" s="1"/>
  <c r="U41" i="23" a="1"/>
  <c r="U41" i="23" s="1"/>
  <c r="V41" i="23" a="1"/>
  <c r="V41" i="23" s="1"/>
  <c r="W41" i="23" a="1"/>
  <c r="W41" i="23" s="1"/>
  <c r="X41" i="23" a="1"/>
  <c r="X41" i="23" s="1"/>
  <c r="K42" i="23" a="1"/>
  <c r="K42" i="23" s="1"/>
  <c r="L42" i="23" a="1"/>
  <c r="L42" i="23" s="1"/>
  <c r="M42" i="23" a="1"/>
  <c r="M42" i="23" s="1"/>
  <c r="N42" i="23" a="1"/>
  <c r="N42" i="23" s="1"/>
  <c r="O42" i="23" a="1"/>
  <c r="O42" i="23" s="1"/>
  <c r="P42" i="23" a="1"/>
  <c r="P42" i="23" s="1"/>
  <c r="Q42" i="23" a="1"/>
  <c r="Q42" i="23" s="1"/>
  <c r="R42" i="23" a="1"/>
  <c r="R42" i="23" s="1"/>
  <c r="U42" i="23" a="1"/>
  <c r="U42" i="23" s="1"/>
  <c r="V42" i="23" a="1"/>
  <c r="V42" i="23" s="1"/>
  <c r="W42" i="23" a="1"/>
  <c r="W42" i="23" s="1"/>
  <c r="X42" i="23" a="1"/>
  <c r="X42" i="23" s="1"/>
  <c r="K43" i="23" a="1"/>
  <c r="K43" i="23" s="1"/>
  <c r="L43" i="23" a="1"/>
  <c r="L43" i="23" s="1"/>
  <c r="M43" i="23" a="1"/>
  <c r="M43" i="23" s="1"/>
  <c r="N43" i="23" a="1"/>
  <c r="N43" i="23" s="1"/>
  <c r="O43" i="23" a="1"/>
  <c r="O43" i="23" s="1"/>
  <c r="P43" i="23" a="1"/>
  <c r="P43" i="23" s="1"/>
  <c r="Q43" i="23" a="1"/>
  <c r="Q43" i="23" s="1"/>
  <c r="R43" i="23" a="1"/>
  <c r="R43" i="23" s="1"/>
  <c r="U43" i="23" a="1"/>
  <c r="U43" i="23" s="1"/>
  <c r="V43" i="23" a="1"/>
  <c r="V43" i="23" s="1"/>
  <c r="W43" i="23" a="1"/>
  <c r="W43" i="23" s="1"/>
  <c r="X43" i="23" a="1"/>
  <c r="X43" i="23" s="1"/>
  <c r="K44" i="23" a="1"/>
  <c r="K44" i="23" s="1"/>
  <c r="L44" i="23" a="1"/>
  <c r="L44" i="23" s="1"/>
  <c r="M44" i="23" a="1"/>
  <c r="M44" i="23" s="1"/>
  <c r="N44" i="23" a="1"/>
  <c r="N44" i="23" s="1"/>
  <c r="O44" i="23" a="1"/>
  <c r="O44" i="23" s="1"/>
  <c r="P44" i="23" a="1"/>
  <c r="P44" i="23" s="1"/>
  <c r="Q44" i="23" a="1"/>
  <c r="Q44" i="23" s="1"/>
  <c r="R44" i="23" a="1"/>
  <c r="R44" i="23" s="1"/>
  <c r="U44" i="23" a="1"/>
  <c r="U44" i="23" s="1"/>
  <c r="V44" i="23" a="1"/>
  <c r="V44" i="23" s="1"/>
  <c r="W44" i="23" a="1"/>
  <c r="W44" i="23" s="1"/>
  <c r="X44" i="23" a="1"/>
  <c r="X44" i="23" s="1"/>
  <c r="K45" i="23" a="1"/>
  <c r="K45" i="23" s="1"/>
  <c r="L45" i="23" a="1"/>
  <c r="L45" i="23" s="1"/>
  <c r="M45" i="23" a="1"/>
  <c r="M45" i="23" s="1"/>
  <c r="N45" i="23" a="1"/>
  <c r="N45" i="23" s="1"/>
  <c r="O45" i="23" a="1"/>
  <c r="O45" i="23" s="1"/>
  <c r="P45" i="23" a="1"/>
  <c r="P45" i="23" s="1"/>
  <c r="Q45" i="23" a="1"/>
  <c r="Q45" i="23" s="1"/>
  <c r="R45" i="23" a="1"/>
  <c r="R45" i="23" s="1"/>
  <c r="U45" i="23" a="1"/>
  <c r="U45" i="23" s="1"/>
  <c r="V45" i="23" a="1"/>
  <c r="V45" i="23" s="1"/>
  <c r="W45" i="23" a="1"/>
  <c r="W45" i="23" s="1"/>
  <c r="X45" i="23" a="1"/>
  <c r="X45" i="23" s="1"/>
  <c r="K46" i="23" a="1"/>
  <c r="K46" i="23" s="1"/>
  <c r="L46" i="23" a="1"/>
  <c r="L46" i="23" s="1"/>
  <c r="M46" i="23" a="1"/>
  <c r="M46" i="23" s="1"/>
  <c r="N46" i="23" a="1"/>
  <c r="N46" i="23" s="1"/>
  <c r="O46" i="23" a="1"/>
  <c r="O46" i="23" s="1"/>
  <c r="P46" i="23" a="1"/>
  <c r="P46" i="23" s="1"/>
  <c r="Q46" i="23" a="1"/>
  <c r="Q46" i="23" s="1"/>
  <c r="R46" i="23" a="1"/>
  <c r="R46" i="23" s="1"/>
  <c r="U46" i="23" a="1"/>
  <c r="U46" i="23" s="1"/>
  <c r="V46" i="23" a="1"/>
  <c r="V46" i="23" s="1"/>
  <c r="W46" i="23" a="1"/>
  <c r="W46" i="23" s="1"/>
  <c r="X46" i="23" a="1"/>
  <c r="X46" i="23" s="1"/>
  <c r="K47" i="23" a="1"/>
  <c r="K47" i="23" s="1"/>
  <c r="L47" i="23" a="1"/>
  <c r="L47" i="23" s="1"/>
  <c r="M47" i="23" a="1"/>
  <c r="M47" i="23" s="1"/>
  <c r="N47" i="23" a="1"/>
  <c r="N47" i="23" s="1"/>
  <c r="O47" i="23" a="1"/>
  <c r="O47" i="23" s="1"/>
  <c r="P47" i="23" a="1"/>
  <c r="P47" i="23" s="1"/>
  <c r="Q47" i="23" a="1"/>
  <c r="Q47" i="23" s="1"/>
  <c r="R47" i="23" a="1"/>
  <c r="R47" i="23" s="1"/>
  <c r="U47" i="23" a="1"/>
  <c r="U47" i="23" s="1"/>
  <c r="V47" i="23" a="1"/>
  <c r="V47" i="23" s="1"/>
  <c r="W47" i="23" a="1"/>
  <c r="W47" i="23" s="1"/>
  <c r="X47" i="23" a="1"/>
  <c r="X47" i="23" s="1"/>
  <c r="K48" i="23" a="1"/>
  <c r="K48" i="23" s="1"/>
  <c r="L48" i="23" a="1"/>
  <c r="L48" i="23" s="1"/>
  <c r="M48" i="23" a="1"/>
  <c r="M48" i="23" s="1"/>
  <c r="N48" i="23" a="1"/>
  <c r="N48" i="23" s="1"/>
  <c r="O48" i="23" a="1"/>
  <c r="O48" i="23" s="1"/>
  <c r="P48" i="23" a="1"/>
  <c r="P48" i="23" s="1"/>
  <c r="Q48" i="23" a="1"/>
  <c r="Q48" i="23" s="1"/>
  <c r="R48" i="23" a="1"/>
  <c r="R48" i="23" s="1"/>
  <c r="U48" i="23" a="1"/>
  <c r="U48" i="23" s="1"/>
  <c r="V48" i="23" a="1"/>
  <c r="V48" i="23" s="1"/>
  <c r="W48" i="23" a="1"/>
  <c r="W48" i="23" s="1"/>
  <c r="X48" i="23" a="1"/>
  <c r="X48" i="23" s="1"/>
  <c r="K49" i="23" a="1"/>
  <c r="K49" i="23" s="1"/>
  <c r="L49" i="23" a="1"/>
  <c r="L49" i="23" s="1"/>
  <c r="M49" i="23" a="1"/>
  <c r="M49" i="23" s="1"/>
  <c r="N49" i="23" a="1"/>
  <c r="N49" i="23" s="1"/>
  <c r="O49" i="23" a="1"/>
  <c r="O49" i="23" s="1"/>
  <c r="P49" i="23" a="1"/>
  <c r="P49" i="23" s="1"/>
  <c r="Q49" i="23" a="1"/>
  <c r="Q49" i="23" s="1"/>
  <c r="R49" i="23" a="1"/>
  <c r="R49" i="23" s="1"/>
  <c r="U49" i="23" a="1"/>
  <c r="U49" i="23" s="1"/>
  <c r="V49" i="23" a="1"/>
  <c r="V49" i="23" s="1"/>
  <c r="W49" i="23" a="1"/>
  <c r="W49" i="23" s="1"/>
  <c r="X49" i="23" a="1"/>
  <c r="X49" i="23" s="1"/>
  <c r="K50" i="23" a="1"/>
  <c r="K50" i="23" s="1"/>
  <c r="L50" i="23" a="1"/>
  <c r="L50" i="23" s="1"/>
  <c r="M50" i="23" a="1"/>
  <c r="M50" i="23" s="1"/>
  <c r="N50" i="23" a="1"/>
  <c r="N50" i="23" s="1"/>
  <c r="O50" i="23" a="1"/>
  <c r="O50" i="23" s="1"/>
  <c r="P50" i="23" a="1"/>
  <c r="P50" i="23" s="1"/>
  <c r="Q50" i="23" a="1"/>
  <c r="Q50" i="23" s="1"/>
  <c r="R50" i="23" a="1"/>
  <c r="R50" i="23" s="1"/>
  <c r="U50" i="23" a="1"/>
  <c r="U50" i="23" s="1"/>
  <c r="V50" i="23" a="1"/>
  <c r="V50" i="23" s="1"/>
  <c r="W50" i="23" a="1"/>
  <c r="W50" i="23" s="1"/>
  <c r="X50" i="23" a="1"/>
  <c r="X50" i="23" s="1"/>
  <c r="K51" i="23" a="1"/>
  <c r="K51" i="23" s="1"/>
  <c r="L51" i="23" a="1"/>
  <c r="L51" i="23" s="1"/>
  <c r="M51" i="23" a="1"/>
  <c r="M51" i="23" s="1"/>
  <c r="N51" i="23" a="1"/>
  <c r="N51" i="23" s="1"/>
  <c r="O51" i="23" a="1"/>
  <c r="O51" i="23" s="1"/>
  <c r="P51" i="23" a="1"/>
  <c r="P51" i="23" s="1"/>
  <c r="Q51" i="23" a="1"/>
  <c r="Q51" i="23" s="1"/>
  <c r="R51" i="23" a="1"/>
  <c r="R51" i="23" s="1"/>
  <c r="U51" i="23" a="1"/>
  <c r="U51" i="23" s="1"/>
  <c r="V51" i="23" a="1"/>
  <c r="V51" i="23" s="1"/>
  <c r="W51" i="23" a="1"/>
  <c r="W51" i="23" s="1"/>
  <c r="X51" i="23" a="1"/>
  <c r="X51" i="23" s="1"/>
  <c r="K52" i="23" a="1"/>
  <c r="K52" i="23" s="1"/>
  <c r="L52" i="23" a="1"/>
  <c r="L52" i="23" s="1"/>
  <c r="M52" i="23" a="1"/>
  <c r="M52" i="23" s="1"/>
  <c r="N52" i="23" a="1"/>
  <c r="N52" i="23" s="1"/>
  <c r="O52" i="23" a="1"/>
  <c r="O52" i="23" s="1"/>
  <c r="P52" i="23" a="1"/>
  <c r="P52" i="23" s="1"/>
  <c r="Q52" i="23" a="1"/>
  <c r="Q52" i="23" s="1"/>
  <c r="R52" i="23" a="1"/>
  <c r="R52" i="23" s="1"/>
  <c r="U52" i="23" a="1"/>
  <c r="U52" i="23" s="1"/>
  <c r="V52" i="23" a="1"/>
  <c r="V52" i="23" s="1"/>
  <c r="W52" i="23" a="1"/>
  <c r="W52" i="23" s="1"/>
  <c r="X52" i="23" a="1"/>
  <c r="X52" i="23" s="1"/>
  <c r="K53" i="23" a="1"/>
  <c r="K53" i="23" s="1"/>
  <c r="L53" i="23" a="1"/>
  <c r="L53" i="23" s="1"/>
  <c r="M53" i="23" a="1"/>
  <c r="M53" i="23" s="1"/>
  <c r="N53" i="23" a="1"/>
  <c r="N53" i="23" s="1"/>
  <c r="O53" i="23" a="1"/>
  <c r="O53" i="23" s="1"/>
  <c r="P53" i="23" a="1"/>
  <c r="P53" i="23" s="1"/>
  <c r="Q53" i="23" a="1"/>
  <c r="Q53" i="23" s="1"/>
  <c r="R53" i="23" a="1"/>
  <c r="R53" i="23" s="1"/>
  <c r="U53" i="23" a="1"/>
  <c r="U53" i="23" s="1"/>
  <c r="V53" i="23" a="1"/>
  <c r="V53" i="23" s="1"/>
  <c r="W53" i="23" a="1"/>
  <c r="W53" i="23" s="1"/>
  <c r="X53" i="23" a="1"/>
  <c r="X53" i="23" s="1"/>
  <c r="K54" i="23" a="1"/>
  <c r="K54" i="23" s="1"/>
  <c r="L54" i="23" a="1"/>
  <c r="L54" i="23" s="1"/>
  <c r="M54" i="23" a="1"/>
  <c r="M54" i="23" s="1"/>
  <c r="N54" i="23" a="1"/>
  <c r="N54" i="23" s="1"/>
  <c r="O54" i="23" a="1"/>
  <c r="O54" i="23" s="1"/>
  <c r="P54" i="23" a="1"/>
  <c r="P54" i="23" s="1"/>
  <c r="Q54" i="23" a="1"/>
  <c r="Q54" i="23" s="1"/>
  <c r="R54" i="23" a="1"/>
  <c r="R54" i="23" s="1"/>
  <c r="U54" i="23" a="1"/>
  <c r="U54" i="23" s="1"/>
  <c r="V54" i="23" a="1"/>
  <c r="V54" i="23" s="1"/>
  <c r="W54" i="23" a="1"/>
  <c r="W54" i="23" s="1"/>
  <c r="X54" i="23" a="1"/>
  <c r="X54" i="23" s="1"/>
  <c r="K55" i="23" a="1"/>
  <c r="K55" i="23" s="1"/>
  <c r="L55" i="23" a="1"/>
  <c r="L55" i="23" s="1"/>
  <c r="M55" i="23" a="1"/>
  <c r="M55" i="23" s="1"/>
  <c r="N55" i="23" a="1"/>
  <c r="N55" i="23" s="1"/>
  <c r="O55" i="23" a="1"/>
  <c r="O55" i="23" s="1"/>
  <c r="P55" i="23" a="1"/>
  <c r="P55" i="23" s="1"/>
  <c r="Q55" i="23" a="1"/>
  <c r="Q55" i="23" s="1"/>
  <c r="R55" i="23" a="1"/>
  <c r="R55" i="23" s="1"/>
  <c r="U55" i="23" a="1"/>
  <c r="U55" i="23" s="1"/>
  <c r="V55" i="23" a="1"/>
  <c r="V55" i="23" s="1"/>
  <c r="W55" i="23" a="1"/>
  <c r="W55" i="23" s="1"/>
  <c r="X55" i="23" a="1"/>
  <c r="X55" i="23" s="1"/>
  <c r="K56" i="23" a="1"/>
  <c r="K56" i="23" s="1"/>
  <c r="L56" i="23" a="1"/>
  <c r="L56" i="23" s="1"/>
  <c r="M56" i="23" a="1"/>
  <c r="M56" i="23" s="1"/>
  <c r="N56" i="23" a="1"/>
  <c r="N56" i="23" s="1"/>
  <c r="O56" i="23" a="1"/>
  <c r="O56" i="23" s="1"/>
  <c r="P56" i="23" a="1"/>
  <c r="P56" i="23" s="1"/>
  <c r="Q56" i="23" a="1"/>
  <c r="Q56" i="23" s="1"/>
  <c r="R56" i="23" a="1"/>
  <c r="R56" i="23" s="1"/>
  <c r="U56" i="23" a="1"/>
  <c r="U56" i="23" s="1"/>
  <c r="V56" i="23" a="1"/>
  <c r="V56" i="23" s="1"/>
  <c r="W56" i="23" a="1"/>
  <c r="W56" i="23" s="1"/>
  <c r="X56" i="23" a="1"/>
  <c r="X56" i="23" s="1"/>
  <c r="K57" i="23" a="1"/>
  <c r="K57" i="23" s="1"/>
  <c r="L57" i="23" a="1"/>
  <c r="L57" i="23" s="1"/>
  <c r="M57" i="23" a="1"/>
  <c r="M57" i="23" s="1"/>
  <c r="N57" i="23" a="1"/>
  <c r="N57" i="23" s="1"/>
  <c r="O57" i="23" a="1"/>
  <c r="O57" i="23" s="1"/>
  <c r="P57" i="23" a="1"/>
  <c r="P57" i="23" s="1"/>
  <c r="Q57" i="23" a="1"/>
  <c r="Q57" i="23" s="1"/>
  <c r="R57" i="23" a="1"/>
  <c r="R57" i="23" s="1"/>
  <c r="U57" i="23" a="1"/>
  <c r="U57" i="23" s="1"/>
  <c r="V57" i="23" a="1"/>
  <c r="V57" i="23" s="1"/>
  <c r="W57" i="23" a="1"/>
  <c r="W57" i="23" s="1"/>
  <c r="X57" i="23" a="1"/>
  <c r="X57" i="23" s="1"/>
  <c r="K58" i="23" a="1"/>
  <c r="K58" i="23" s="1"/>
  <c r="L58" i="23" a="1"/>
  <c r="L58" i="23" s="1"/>
  <c r="M58" i="23" a="1"/>
  <c r="M58" i="23" s="1"/>
  <c r="N58" i="23" a="1"/>
  <c r="N58" i="23" s="1"/>
  <c r="O58" i="23" a="1"/>
  <c r="O58" i="23" s="1"/>
  <c r="P58" i="23" a="1"/>
  <c r="P58" i="23" s="1"/>
  <c r="Q58" i="23" a="1"/>
  <c r="Q58" i="23" s="1"/>
  <c r="R58" i="23" a="1"/>
  <c r="R58" i="23" s="1"/>
  <c r="U58" i="23" a="1"/>
  <c r="U58" i="23" s="1"/>
  <c r="V58" i="23" a="1"/>
  <c r="V58" i="23" s="1"/>
  <c r="W58" i="23" a="1"/>
  <c r="W58" i="23" s="1"/>
  <c r="X58" i="23" a="1"/>
  <c r="X58" i="23" s="1"/>
  <c r="K59" i="23" a="1"/>
  <c r="K59" i="23" s="1"/>
  <c r="L59" i="23" a="1"/>
  <c r="L59" i="23" s="1"/>
  <c r="M59" i="23" a="1"/>
  <c r="M59" i="23" s="1"/>
  <c r="N59" i="23" a="1"/>
  <c r="N59" i="23" s="1"/>
  <c r="O59" i="23" a="1"/>
  <c r="O59" i="23" s="1"/>
  <c r="P59" i="23" a="1"/>
  <c r="P59" i="23" s="1"/>
  <c r="Q59" i="23" a="1"/>
  <c r="Q59" i="23" s="1"/>
  <c r="R59" i="23" a="1"/>
  <c r="R59" i="23" s="1"/>
  <c r="U59" i="23" a="1"/>
  <c r="U59" i="23" s="1"/>
  <c r="V59" i="23" a="1"/>
  <c r="V59" i="23" s="1"/>
  <c r="W59" i="23" a="1"/>
  <c r="W59" i="23" s="1"/>
  <c r="X59" i="23" a="1"/>
  <c r="X59" i="23" s="1"/>
  <c r="K60" i="23" a="1"/>
  <c r="K60" i="23" s="1"/>
  <c r="L60" i="23" a="1"/>
  <c r="L60" i="23" s="1"/>
  <c r="M60" i="23" a="1"/>
  <c r="M60" i="23" s="1"/>
  <c r="N60" i="23" a="1"/>
  <c r="N60" i="23" s="1"/>
  <c r="O60" i="23" a="1"/>
  <c r="O60" i="23" s="1"/>
  <c r="P60" i="23" a="1"/>
  <c r="P60" i="23" s="1"/>
  <c r="Q60" i="23" a="1"/>
  <c r="Q60" i="23" s="1"/>
  <c r="R60" i="23" a="1"/>
  <c r="R60" i="23" s="1"/>
  <c r="U60" i="23" a="1"/>
  <c r="U60" i="23" s="1"/>
  <c r="V60" i="23" a="1"/>
  <c r="V60" i="23" s="1"/>
  <c r="W60" i="23" a="1"/>
  <c r="W60" i="23" s="1"/>
  <c r="X60" i="23" a="1"/>
  <c r="X60" i="23" s="1"/>
  <c r="K61" i="23" a="1"/>
  <c r="K61" i="23" s="1"/>
  <c r="L61" i="23" a="1"/>
  <c r="L61" i="23" s="1"/>
  <c r="M61" i="23" a="1"/>
  <c r="M61" i="23" s="1"/>
  <c r="N61" i="23" a="1"/>
  <c r="N61" i="23" s="1"/>
  <c r="O61" i="23" a="1"/>
  <c r="O61" i="23" s="1"/>
  <c r="P61" i="23" a="1"/>
  <c r="P61" i="23" s="1"/>
  <c r="Q61" i="23" a="1"/>
  <c r="Q61" i="23" s="1"/>
  <c r="R61" i="23" a="1"/>
  <c r="R61" i="23" s="1"/>
  <c r="U61" i="23" a="1"/>
  <c r="U61" i="23" s="1"/>
  <c r="V61" i="23" a="1"/>
  <c r="V61" i="23" s="1"/>
  <c r="W61" i="23" a="1"/>
  <c r="W61" i="23" s="1"/>
  <c r="X61" i="23" a="1"/>
  <c r="X61" i="23" s="1"/>
  <c r="K62" i="23" a="1"/>
  <c r="K62" i="23" s="1"/>
  <c r="L62" i="23" a="1"/>
  <c r="L62" i="23" s="1"/>
  <c r="M62" i="23" a="1"/>
  <c r="M62" i="23" s="1"/>
  <c r="N62" i="23" a="1"/>
  <c r="N62" i="23" s="1"/>
  <c r="O62" i="23" a="1"/>
  <c r="O62" i="23" s="1"/>
  <c r="P62" i="23" a="1"/>
  <c r="P62" i="23" s="1"/>
  <c r="Q62" i="23" a="1"/>
  <c r="Q62" i="23" s="1"/>
  <c r="R62" i="23" a="1"/>
  <c r="R62" i="23" s="1"/>
  <c r="U62" i="23" a="1"/>
  <c r="U62" i="23" s="1"/>
  <c r="V62" i="23" a="1"/>
  <c r="V62" i="23" s="1"/>
  <c r="W62" i="23" a="1"/>
  <c r="W62" i="23" s="1"/>
  <c r="X62" i="23" a="1"/>
  <c r="X62" i="23" s="1"/>
  <c r="K63" i="23" a="1"/>
  <c r="K63" i="23" s="1"/>
  <c r="L63" i="23" a="1"/>
  <c r="L63" i="23" s="1"/>
  <c r="M63" i="23" a="1"/>
  <c r="M63" i="23" s="1"/>
  <c r="N63" i="23" a="1"/>
  <c r="N63" i="23" s="1"/>
  <c r="O63" i="23" a="1"/>
  <c r="O63" i="23" s="1"/>
  <c r="P63" i="23" a="1"/>
  <c r="P63" i="23" s="1"/>
  <c r="Q63" i="23" a="1"/>
  <c r="Q63" i="23" s="1"/>
  <c r="R63" i="23" a="1"/>
  <c r="R63" i="23" s="1"/>
  <c r="U63" i="23" a="1"/>
  <c r="U63" i="23" s="1"/>
  <c r="V63" i="23" a="1"/>
  <c r="V63" i="23" s="1"/>
  <c r="W63" i="23" a="1"/>
  <c r="W63" i="23" s="1"/>
  <c r="X63" i="23" a="1"/>
  <c r="X63" i="23" s="1"/>
  <c r="K64" i="23" a="1"/>
  <c r="K64" i="23" s="1"/>
  <c r="L64" i="23" a="1"/>
  <c r="L64" i="23" s="1"/>
  <c r="M64" i="23" a="1"/>
  <c r="M64" i="23" s="1"/>
  <c r="N64" i="23" a="1"/>
  <c r="N64" i="23" s="1"/>
  <c r="O64" i="23" a="1"/>
  <c r="O64" i="23" s="1"/>
  <c r="P64" i="23" a="1"/>
  <c r="P64" i="23" s="1"/>
  <c r="Q64" i="23" a="1"/>
  <c r="Q64" i="23" s="1"/>
  <c r="R64" i="23" a="1"/>
  <c r="R64" i="23" s="1"/>
  <c r="U64" i="23" a="1"/>
  <c r="U64" i="23" s="1"/>
  <c r="V64" i="23" a="1"/>
  <c r="V64" i="23" s="1"/>
  <c r="W64" i="23" a="1"/>
  <c r="W64" i="23" s="1"/>
  <c r="X64" i="23" a="1"/>
  <c r="X64" i="23" s="1"/>
  <c r="K65" i="23" a="1"/>
  <c r="K65" i="23" s="1"/>
  <c r="L65" i="23" a="1"/>
  <c r="L65" i="23" s="1"/>
  <c r="M65" i="23" a="1"/>
  <c r="M65" i="23" s="1"/>
  <c r="N65" i="23" a="1"/>
  <c r="N65" i="23" s="1"/>
  <c r="O65" i="23" a="1"/>
  <c r="O65" i="23" s="1"/>
  <c r="P65" i="23" a="1"/>
  <c r="P65" i="23" s="1"/>
  <c r="Q65" i="23" a="1"/>
  <c r="Q65" i="23" s="1"/>
  <c r="R65" i="23" a="1"/>
  <c r="R65" i="23" s="1"/>
  <c r="U65" i="23" a="1"/>
  <c r="U65" i="23" s="1"/>
  <c r="V65" i="23" a="1"/>
  <c r="V65" i="23" s="1"/>
  <c r="W65" i="23" a="1"/>
  <c r="W65" i="23" s="1"/>
  <c r="X65" i="23" a="1"/>
  <c r="X65" i="23" s="1"/>
  <c r="K66" i="23" a="1"/>
  <c r="K66" i="23" s="1"/>
  <c r="L66" i="23" a="1"/>
  <c r="L66" i="23" s="1"/>
  <c r="M66" i="23" a="1"/>
  <c r="M66" i="23" s="1"/>
  <c r="N66" i="23" a="1"/>
  <c r="N66" i="23" s="1"/>
  <c r="O66" i="23" a="1"/>
  <c r="O66" i="23" s="1"/>
  <c r="P66" i="23" a="1"/>
  <c r="P66" i="23" s="1"/>
  <c r="Q66" i="23" a="1"/>
  <c r="Q66" i="23" s="1"/>
  <c r="R66" i="23" a="1"/>
  <c r="R66" i="23" s="1"/>
  <c r="U66" i="23" a="1"/>
  <c r="U66" i="23" s="1"/>
  <c r="V66" i="23" a="1"/>
  <c r="V66" i="23" s="1"/>
  <c r="W66" i="23" a="1"/>
  <c r="W66" i="23" s="1"/>
  <c r="X66" i="23" a="1"/>
  <c r="X66" i="23" s="1"/>
  <c r="K67" i="23" a="1"/>
  <c r="K67" i="23" s="1"/>
  <c r="L67" i="23" a="1"/>
  <c r="L67" i="23" s="1"/>
  <c r="M67" i="23" a="1"/>
  <c r="M67" i="23" s="1"/>
  <c r="N67" i="23" a="1"/>
  <c r="N67" i="23" s="1"/>
  <c r="O67" i="23" a="1"/>
  <c r="O67" i="23" s="1"/>
  <c r="P67" i="23" a="1"/>
  <c r="P67" i="23" s="1"/>
  <c r="Q67" i="23" a="1"/>
  <c r="Q67" i="23" s="1"/>
  <c r="R67" i="23" a="1"/>
  <c r="R67" i="23" s="1"/>
  <c r="U67" i="23" a="1"/>
  <c r="U67" i="23" s="1"/>
  <c r="V67" i="23" a="1"/>
  <c r="V67" i="23" s="1"/>
  <c r="W67" i="23" a="1"/>
  <c r="W67" i="23" s="1"/>
  <c r="X67" i="23" a="1"/>
  <c r="X67" i="23" s="1"/>
  <c r="K68" i="23" a="1"/>
  <c r="K68" i="23" s="1"/>
  <c r="L68" i="23" a="1"/>
  <c r="L68" i="23" s="1"/>
  <c r="M68" i="23" a="1"/>
  <c r="M68" i="23" s="1"/>
  <c r="N68" i="23" a="1"/>
  <c r="N68" i="23" s="1"/>
  <c r="O68" i="23" a="1"/>
  <c r="O68" i="23" s="1"/>
  <c r="P68" i="23" a="1"/>
  <c r="P68" i="23" s="1"/>
  <c r="Q68" i="23" a="1"/>
  <c r="Q68" i="23" s="1"/>
  <c r="R68" i="23" a="1"/>
  <c r="R68" i="23" s="1"/>
  <c r="U68" i="23" a="1"/>
  <c r="U68" i="23" s="1"/>
  <c r="V68" i="23" a="1"/>
  <c r="V68" i="23" s="1"/>
  <c r="W68" i="23" a="1"/>
  <c r="W68" i="23" s="1"/>
  <c r="X68" i="23" a="1"/>
  <c r="X68" i="23" s="1"/>
  <c r="K69" i="23" a="1"/>
  <c r="K69" i="23" s="1"/>
  <c r="L69" i="23" a="1"/>
  <c r="L69" i="23" s="1"/>
  <c r="M69" i="23" a="1"/>
  <c r="M69" i="23" s="1"/>
  <c r="N69" i="23" a="1"/>
  <c r="N69" i="23" s="1"/>
  <c r="O69" i="23" a="1"/>
  <c r="O69" i="23" s="1"/>
  <c r="P69" i="23" a="1"/>
  <c r="P69" i="23" s="1"/>
  <c r="Q69" i="23" a="1"/>
  <c r="Q69" i="23" s="1"/>
  <c r="R69" i="23" a="1"/>
  <c r="R69" i="23" s="1"/>
  <c r="U69" i="23" a="1"/>
  <c r="U69" i="23" s="1"/>
  <c r="V69" i="23" a="1"/>
  <c r="V69" i="23" s="1"/>
  <c r="W69" i="23" a="1"/>
  <c r="W69" i="23" s="1"/>
  <c r="X69" i="23" a="1"/>
  <c r="X69" i="23" s="1"/>
  <c r="K70" i="23" a="1"/>
  <c r="K70" i="23" s="1"/>
  <c r="L70" i="23" a="1"/>
  <c r="L70" i="23" s="1"/>
  <c r="M70" i="23" a="1"/>
  <c r="M70" i="23" s="1"/>
  <c r="N70" i="23" a="1"/>
  <c r="N70" i="23" s="1"/>
  <c r="O70" i="23" a="1"/>
  <c r="O70" i="23" s="1"/>
  <c r="P70" i="23" a="1"/>
  <c r="P70" i="23" s="1"/>
  <c r="Q70" i="23" a="1"/>
  <c r="Q70" i="23" s="1"/>
  <c r="R70" i="23" a="1"/>
  <c r="R70" i="23" s="1"/>
  <c r="U70" i="23" a="1"/>
  <c r="U70" i="23" s="1"/>
  <c r="V70" i="23" a="1"/>
  <c r="V70" i="23" s="1"/>
  <c r="W70" i="23" a="1"/>
  <c r="W70" i="23" s="1"/>
  <c r="X70" i="23" a="1"/>
  <c r="X70" i="23" s="1"/>
  <c r="K71" i="23" a="1"/>
  <c r="K71" i="23" s="1"/>
  <c r="L71" i="23" a="1"/>
  <c r="L71" i="23" s="1"/>
  <c r="M71" i="23" a="1"/>
  <c r="M71" i="23" s="1"/>
  <c r="N71" i="23" a="1"/>
  <c r="N71" i="23" s="1"/>
  <c r="O71" i="23" a="1"/>
  <c r="O71" i="23" s="1"/>
  <c r="P71" i="23" a="1"/>
  <c r="P71" i="23" s="1"/>
  <c r="Q71" i="23" a="1"/>
  <c r="Q71" i="23" s="1"/>
  <c r="R71" i="23" a="1"/>
  <c r="R71" i="23" s="1"/>
  <c r="U71" i="23" a="1"/>
  <c r="U71" i="23" s="1"/>
  <c r="V71" i="23" a="1"/>
  <c r="V71" i="23" s="1"/>
  <c r="W71" i="23" a="1"/>
  <c r="W71" i="23" s="1"/>
  <c r="X71" i="23" a="1"/>
  <c r="X71" i="23" s="1"/>
  <c r="K72" i="23" a="1"/>
  <c r="K72" i="23" s="1"/>
  <c r="L72" i="23" a="1"/>
  <c r="L72" i="23" s="1"/>
  <c r="M72" i="23" a="1"/>
  <c r="M72" i="23" s="1"/>
  <c r="N72" i="23" a="1"/>
  <c r="N72" i="23" s="1"/>
  <c r="O72" i="23" a="1"/>
  <c r="O72" i="23" s="1"/>
  <c r="P72" i="23" a="1"/>
  <c r="P72" i="23" s="1"/>
  <c r="Q72" i="23" a="1"/>
  <c r="Q72" i="23" s="1"/>
  <c r="R72" i="23" a="1"/>
  <c r="R72" i="23" s="1"/>
  <c r="U72" i="23" a="1"/>
  <c r="U72" i="23" s="1"/>
  <c r="V72" i="23" a="1"/>
  <c r="V72" i="23" s="1"/>
  <c r="W72" i="23" a="1"/>
  <c r="W72" i="23" s="1"/>
  <c r="X72" i="23" a="1"/>
  <c r="X72" i="23" s="1"/>
  <c r="K73" i="23" a="1"/>
  <c r="K73" i="23" s="1"/>
  <c r="L73" i="23" a="1"/>
  <c r="L73" i="23" s="1"/>
  <c r="M73" i="23" a="1"/>
  <c r="M73" i="23" s="1"/>
  <c r="N73" i="23" a="1"/>
  <c r="N73" i="23" s="1"/>
  <c r="O73" i="23" a="1"/>
  <c r="O73" i="23" s="1"/>
  <c r="P73" i="23" a="1"/>
  <c r="P73" i="23" s="1"/>
  <c r="Q73" i="23" a="1"/>
  <c r="Q73" i="23" s="1"/>
  <c r="R73" i="23" a="1"/>
  <c r="R73" i="23" s="1"/>
  <c r="U73" i="23" a="1"/>
  <c r="U73" i="23" s="1"/>
  <c r="V73" i="23" a="1"/>
  <c r="V73" i="23" s="1"/>
  <c r="W73" i="23" a="1"/>
  <c r="W73" i="23" s="1"/>
  <c r="X73" i="23" a="1"/>
  <c r="X73" i="23" s="1"/>
  <c r="K74" i="23" a="1"/>
  <c r="K74" i="23" s="1"/>
  <c r="L74" i="23" a="1"/>
  <c r="L74" i="23" s="1"/>
  <c r="M74" i="23" a="1"/>
  <c r="M74" i="23" s="1"/>
  <c r="N74" i="23" a="1"/>
  <c r="N74" i="23" s="1"/>
  <c r="O74" i="23" a="1"/>
  <c r="O74" i="23" s="1"/>
  <c r="P74" i="23" a="1"/>
  <c r="P74" i="23" s="1"/>
  <c r="Q74" i="23" a="1"/>
  <c r="Q74" i="23" s="1"/>
  <c r="R74" i="23" a="1"/>
  <c r="R74" i="23" s="1"/>
  <c r="U74" i="23" a="1"/>
  <c r="U74" i="23" s="1"/>
  <c r="V74" i="23" a="1"/>
  <c r="V74" i="23" s="1"/>
  <c r="W74" i="23" a="1"/>
  <c r="W74" i="23" s="1"/>
  <c r="X74" i="23" a="1"/>
  <c r="X74" i="23" s="1"/>
  <c r="K75" i="23" a="1"/>
  <c r="K75" i="23" s="1"/>
  <c r="L75" i="23" a="1"/>
  <c r="L75" i="23" s="1"/>
  <c r="M75" i="23" a="1"/>
  <c r="M75" i="23" s="1"/>
  <c r="N75" i="23" a="1"/>
  <c r="N75" i="23" s="1"/>
  <c r="O75" i="23" a="1"/>
  <c r="O75" i="23" s="1"/>
  <c r="P75" i="23" a="1"/>
  <c r="P75" i="23" s="1"/>
  <c r="Q75" i="23" a="1"/>
  <c r="Q75" i="23" s="1"/>
  <c r="R75" i="23" a="1"/>
  <c r="R75" i="23" s="1"/>
  <c r="U75" i="23" a="1"/>
  <c r="U75" i="23" s="1"/>
  <c r="V75" i="23" a="1"/>
  <c r="V75" i="23" s="1"/>
  <c r="W75" i="23" a="1"/>
  <c r="W75" i="23" s="1"/>
  <c r="X75" i="23" a="1"/>
  <c r="X75" i="23" s="1"/>
  <c r="K76" i="23" a="1"/>
  <c r="K76" i="23" s="1"/>
  <c r="L76" i="23" a="1"/>
  <c r="L76" i="23" s="1"/>
  <c r="M76" i="23" a="1"/>
  <c r="M76" i="23" s="1"/>
  <c r="N76" i="23" a="1"/>
  <c r="N76" i="23" s="1"/>
  <c r="O76" i="23" a="1"/>
  <c r="O76" i="23" s="1"/>
  <c r="P76" i="23" a="1"/>
  <c r="P76" i="23" s="1"/>
  <c r="Q76" i="23" a="1"/>
  <c r="Q76" i="23" s="1"/>
  <c r="R76" i="23" a="1"/>
  <c r="R76" i="23" s="1"/>
  <c r="U76" i="23" a="1"/>
  <c r="U76" i="23" s="1"/>
  <c r="V76" i="23" a="1"/>
  <c r="V76" i="23" s="1"/>
  <c r="W76" i="23" a="1"/>
  <c r="W76" i="23" s="1"/>
  <c r="X76" i="23" a="1"/>
  <c r="X76" i="23" s="1"/>
  <c r="K77" i="23" a="1"/>
  <c r="K77" i="23" s="1"/>
  <c r="L77" i="23" a="1"/>
  <c r="L77" i="23" s="1"/>
  <c r="M77" i="23" a="1"/>
  <c r="M77" i="23" s="1"/>
  <c r="N77" i="23" a="1"/>
  <c r="N77" i="23" s="1"/>
  <c r="O77" i="23" a="1"/>
  <c r="O77" i="23" s="1"/>
  <c r="P77" i="23" a="1"/>
  <c r="P77" i="23" s="1"/>
  <c r="Q77" i="23" a="1"/>
  <c r="Q77" i="23" s="1"/>
  <c r="R77" i="23" a="1"/>
  <c r="R77" i="23" s="1"/>
  <c r="U77" i="23" a="1"/>
  <c r="U77" i="23" s="1"/>
  <c r="V77" i="23" a="1"/>
  <c r="V77" i="23" s="1"/>
  <c r="W77" i="23" a="1"/>
  <c r="W77" i="23" s="1"/>
  <c r="X77" i="23" a="1"/>
  <c r="X77" i="23" s="1"/>
  <c r="K78" i="23" a="1"/>
  <c r="K78" i="23" s="1"/>
  <c r="L78" i="23" a="1"/>
  <c r="L78" i="23" s="1"/>
  <c r="M78" i="23" a="1"/>
  <c r="M78" i="23" s="1"/>
  <c r="N78" i="23" a="1"/>
  <c r="N78" i="23" s="1"/>
  <c r="O78" i="23" a="1"/>
  <c r="O78" i="23" s="1"/>
  <c r="P78" i="23" a="1"/>
  <c r="P78" i="23" s="1"/>
  <c r="Q78" i="23" a="1"/>
  <c r="Q78" i="23" s="1"/>
  <c r="R78" i="23" a="1"/>
  <c r="R78" i="23" s="1"/>
  <c r="U78" i="23" a="1"/>
  <c r="U78" i="23" s="1"/>
  <c r="V78" i="23" a="1"/>
  <c r="V78" i="23" s="1"/>
  <c r="W78" i="23" a="1"/>
  <c r="W78" i="23" s="1"/>
  <c r="X78" i="23" a="1"/>
  <c r="X78" i="23" s="1"/>
  <c r="K79" i="23" a="1"/>
  <c r="K79" i="23" s="1"/>
  <c r="L79" i="23" a="1"/>
  <c r="L79" i="23" s="1"/>
  <c r="M79" i="23" a="1"/>
  <c r="M79" i="23" s="1"/>
  <c r="N79" i="23" a="1"/>
  <c r="N79" i="23" s="1"/>
  <c r="O79" i="23" a="1"/>
  <c r="O79" i="23" s="1"/>
  <c r="P79" i="23" a="1"/>
  <c r="P79" i="23" s="1"/>
  <c r="Q79" i="23" a="1"/>
  <c r="Q79" i="23" s="1"/>
  <c r="R79" i="23" a="1"/>
  <c r="R79" i="23" s="1"/>
  <c r="U79" i="23" a="1"/>
  <c r="U79" i="23" s="1"/>
  <c r="V79" i="23" a="1"/>
  <c r="V79" i="23" s="1"/>
  <c r="W79" i="23" a="1"/>
  <c r="W79" i="23" s="1"/>
  <c r="X79" i="23" a="1"/>
  <c r="X79" i="23" s="1"/>
  <c r="K80" i="23" a="1"/>
  <c r="K80" i="23" s="1"/>
  <c r="L80" i="23" a="1"/>
  <c r="L80" i="23" s="1"/>
  <c r="M80" i="23" a="1"/>
  <c r="M80" i="23" s="1"/>
  <c r="N80" i="23" a="1"/>
  <c r="N80" i="23" s="1"/>
  <c r="O80" i="23" a="1"/>
  <c r="O80" i="23" s="1"/>
  <c r="P80" i="23" a="1"/>
  <c r="P80" i="23" s="1"/>
  <c r="Q80" i="23" a="1"/>
  <c r="Q80" i="23" s="1"/>
  <c r="R80" i="23" a="1"/>
  <c r="R80" i="23" s="1"/>
  <c r="U80" i="23" a="1"/>
  <c r="U80" i="23" s="1"/>
  <c r="V80" i="23" a="1"/>
  <c r="V80" i="23" s="1"/>
  <c r="W80" i="23" a="1"/>
  <c r="W80" i="23" s="1"/>
  <c r="X80" i="23" a="1"/>
  <c r="X80" i="23" s="1"/>
  <c r="K81" i="23" a="1"/>
  <c r="K81" i="23" s="1"/>
  <c r="L81" i="23" a="1"/>
  <c r="L81" i="23" s="1"/>
  <c r="M81" i="23" a="1"/>
  <c r="M81" i="23" s="1"/>
  <c r="N81" i="23" a="1"/>
  <c r="N81" i="23" s="1"/>
  <c r="O81" i="23" a="1"/>
  <c r="O81" i="23" s="1"/>
  <c r="P81" i="23" a="1"/>
  <c r="P81" i="23" s="1"/>
  <c r="Q81" i="23" a="1"/>
  <c r="Q81" i="23" s="1"/>
  <c r="R81" i="23" a="1"/>
  <c r="R81" i="23" s="1"/>
  <c r="U81" i="23" a="1"/>
  <c r="U81" i="23" s="1"/>
  <c r="V81" i="23" a="1"/>
  <c r="V81" i="23" s="1"/>
  <c r="W81" i="23" a="1"/>
  <c r="W81" i="23" s="1"/>
  <c r="X81" i="23" a="1"/>
  <c r="X81" i="23" s="1"/>
  <c r="K82" i="23" a="1"/>
  <c r="K82" i="23" s="1"/>
  <c r="L82" i="23" a="1"/>
  <c r="L82" i="23" s="1"/>
  <c r="M82" i="23" a="1"/>
  <c r="M82" i="23" s="1"/>
  <c r="N82" i="23" a="1"/>
  <c r="N82" i="23" s="1"/>
  <c r="O82" i="23" a="1"/>
  <c r="O82" i="23" s="1"/>
  <c r="P82" i="23" a="1"/>
  <c r="P82" i="23" s="1"/>
  <c r="Q82" i="23" a="1"/>
  <c r="Q82" i="23" s="1"/>
  <c r="R82" i="23" a="1"/>
  <c r="R82" i="23" s="1"/>
  <c r="U82" i="23" a="1"/>
  <c r="U82" i="23" s="1"/>
  <c r="V82" i="23" a="1"/>
  <c r="V82" i="23" s="1"/>
  <c r="W82" i="23" a="1"/>
  <c r="W82" i="23" s="1"/>
  <c r="X82" i="23" a="1"/>
  <c r="X82" i="23" s="1"/>
  <c r="K83" i="23" a="1"/>
  <c r="K83" i="23" s="1"/>
  <c r="L83" i="23" a="1"/>
  <c r="L83" i="23" s="1"/>
  <c r="M83" i="23" a="1"/>
  <c r="M83" i="23" s="1"/>
  <c r="N83" i="23" a="1"/>
  <c r="N83" i="23" s="1"/>
  <c r="O83" i="23" a="1"/>
  <c r="O83" i="23" s="1"/>
  <c r="P83" i="23" a="1"/>
  <c r="P83" i="23" s="1"/>
  <c r="Q83" i="23" a="1"/>
  <c r="Q83" i="23" s="1"/>
  <c r="R83" i="23" a="1"/>
  <c r="R83" i="23" s="1"/>
  <c r="U83" i="23" a="1"/>
  <c r="U83" i="23" s="1"/>
  <c r="V83" i="23" a="1"/>
  <c r="V83" i="23" s="1"/>
  <c r="W83" i="23" a="1"/>
  <c r="W83" i="23" s="1"/>
  <c r="X83" i="23" a="1"/>
  <c r="X83" i="23" s="1"/>
  <c r="K84" i="23" a="1"/>
  <c r="K84" i="23" s="1"/>
  <c r="L84" i="23" a="1"/>
  <c r="L84" i="23" s="1"/>
  <c r="M84" i="23" a="1"/>
  <c r="M84" i="23" s="1"/>
  <c r="N84" i="23" a="1"/>
  <c r="N84" i="23" s="1"/>
  <c r="O84" i="23" a="1"/>
  <c r="O84" i="23" s="1"/>
  <c r="P84" i="23" a="1"/>
  <c r="P84" i="23" s="1"/>
  <c r="Q84" i="23" a="1"/>
  <c r="Q84" i="23" s="1"/>
  <c r="R84" i="23" a="1"/>
  <c r="R84" i="23" s="1"/>
  <c r="U84" i="23" a="1"/>
  <c r="U84" i="23" s="1"/>
  <c r="V84" i="23" a="1"/>
  <c r="V84" i="23" s="1"/>
  <c r="W84" i="23" a="1"/>
  <c r="W84" i="23" s="1"/>
  <c r="X84" i="23" a="1"/>
  <c r="X84" i="23" s="1"/>
  <c r="K85" i="23" a="1"/>
  <c r="K85" i="23" s="1"/>
  <c r="L85" i="23" a="1"/>
  <c r="L85" i="23" s="1"/>
  <c r="M85" i="23" a="1"/>
  <c r="M85" i="23" s="1"/>
  <c r="N85" i="23" a="1"/>
  <c r="N85" i="23" s="1"/>
  <c r="O85" i="23" a="1"/>
  <c r="O85" i="23" s="1"/>
  <c r="P85" i="23" a="1"/>
  <c r="P85" i="23" s="1"/>
  <c r="Q85" i="23" a="1"/>
  <c r="Q85" i="23" s="1"/>
  <c r="R85" i="23" a="1"/>
  <c r="R85" i="23" s="1"/>
  <c r="U85" i="23" a="1"/>
  <c r="U85" i="23" s="1"/>
  <c r="V85" i="23" a="1"/>
  <c r="V85" i="23" s="1"/>
  <c r="W85" i="23" a="1"/>
  <c r="W85" i="23" s="1"/>
  <c r="X85" i="23" a="1"/>
  <c r="X85" i="23" s="1"/>
  <c r="K86" i="23" a="1"/>
  <c r="K86" i="23" s="1"/>
  <c r="L86" i="23" a="1"/>
  <c r="L86" i="23" s="1"/>
  <c r="M86" i="23" a="1"/>
  <c r="M86" i="23" s="1"/>
  <c r="N86" i="23" a="1"/>
  <c r="N86" i="23" s="1"/>
  <c r="O86" i="23" a="1"/>
  <c r="O86" i="23" s="1"/>
  <c r="P86" i="23" a="1"/>
  <c r="P86" i="23" s="1"/>
  <c r="Q86" i="23" a="1"/>
  <c r="Q86" i="23" s="1"/>
  <c r="R86" i="23" a="1"/>
  <c r="R86" i="23" s="1"/>
  <c r="U86" i="23" a="1"/>
  <c r="U86" i="23" s="1"/>
  <c r="V86" i="23" a="1"/>
  <c r="V86" i="23" s="1"/>
  <c r="W86" i="23" a="1"/>
  <c r="W86" i="23" s="1"/>
  <c r="X86" i="23" a="1"/>
  <c r="X86" i="23" s="1"/>
  <c r="K87" i="23" a="1"/>
  <c r="K87" i="23" s="1"/>
  <c r="L87" i="23" a="1"/>
  <c r="L87" i="23" s="1"/>
  <c r="M87" i="23" a="1"/>
  <c r="M87" i="23" s="1"/>
  <c r="N87" i="23" a="1"/>
  <c r="N87" i="23" s="1"/>
  <c r="O87" i="23" a="1"/>
  <c r="O87" i="23" s="1"/>
  <c r="P87" i="23" a="1"/>
  <c r="P87" i="23" s="1"/>
  <c r="Q87" i="23" a="1"/>
  <c r="Q87" i="23" s="1"/>
  <c r="R87" i="23" a="1"/>
  <c r="R87" i="23" s="1"/>
  <c r="U87" i="23" a="1"/>
  <c r="U87" i="23" s="1"/>
  <c r="V87" i="23" a="1"/>
  <c r="V87" i="23" s="1"/>
  <c r="W87" i="23" a="1"/>
  <c r="W87" i="23" s="1"/>
  <c r="X87" i="23" a="1"/>
  <c r="X87" i="23" s="1"/>
  <c r="K88" i="23" a="1"/>
  <c r="K88" i="23" s="1"/>
  <c r="L88" i="23" a="1"/>
  <c r="L88" i="23" s="1"/>
  <c r="M88" i="23" a="1"/>
  <c r="M88" i="23" s="1"/>
  <c r="N88" i="23" a="1"/>
  <c r="N88" i="23" s="1"/>
  <c r="O88" i="23" a="1"/>
  <c r="O88" i="23" s="1"/>
  <c r="P88" i="23" a="1"/>
  <c r="P88" i="23" s="1"/>
  <c r="Q88" i="23" a="1"/>
  <c r="Q88" i="23" s="1"/>
  <c r="R88" i="23" a="1"/>
  <c r="R88" i="23" s="1"/>
  <c r="U88" i="23" a="1"/>
  <c r="U88" i="23" s="1"/>
  <c r="V88" i="23" a="1"/>
  <c r="V88" i="23" s="1"/>
  <c r="W88" i="23" a="1"/>
  <c r="W88" i="23" s="1"/>
  <c r="X88" i="23" a="1"/>
  <c r="X88" i="23" s="1"/>
  <c r="K89" i="23" a="1"/>
  <c r="K89" i="23" s="1"/>
  <c r="L89" i="23" a="1"/>
  <c r="L89" i="23" s="1"/>
  <c r="M89" i="23" a="1"/>
  <c r="M89" i="23" s="1"/>
  <c r="N89" i="23" a="1"/>
  <c r="N89" i="23" s="1"/>
  <c r="O89" i="23" a="1"/>
  <c r="O89" i="23" s="1"/>
  <c r="P89" i="23" a="1"/>
  <c r="P89" i="23" s="1"/>
  <c r="Q89" i="23" a="1"/>
  <c r="Q89" i="23" s="1"/>
  <c r="R89" i="23" a="1"/>
  <c r="R89" i="23" s="1"/>
  <c r="U89" i="23" a="1"/>
  <c r="U89" i="23" s="1"/>
  <c r="V89" i="23" a="1"/>
  <c r="V89" i="23" s="1"/>
  <c r="W89" i="23" a="1"/>
  <c r="W89" i="23" s="1"/>
  <c r="X89" i="23" a="1"/>
  <c r="X89" i="23" s="1"/>
  <c r="K90" i="23" a="1"/>
  <c r="K90" i="23" s="1"/>
  <c r="L90" i="23" a="1"/>
  <c r="L90" i="23" s="1"/>
  <c r="M90" i="23" a="1"/>
  <c r="M90" i="23" s="1"/>
  <c r="N90" i="23" a="1"/>
  <c r="N90" i="23" s="1"/>
  <c r="O90" i="23" a="1"/>
  <c r="O90" i="23" s="1"/>
  <c r="P90" i="23" a="1"/>
  <c r="P90" i="23" s="1"/>
  <c r="Q90" i="23" a="1"/>
  <c r="Q90" i="23" s="1"/>
  <c r="R90" i="23" a="1"/>
  <c r="R90" i="23" s="1"/>
  <c r="U90" i="23" a="1"/>
  <c r="U90" i="23" s="1"/>
  <c r="V90" i="23" a="1"/>
  <c r="V90" i="23" s="1"/>
  <c r="W90" i="23" a="1"/>
  <c r="W90" i="23" s="1"/>
  <c r="X90" i="23" a="1"/>
  <c r="X90" i="23" s="1"/>
  <c r="K91" i="23" a="1"/>
  <c r="K91" i="23" s="1"/>
  <c r="L91" i="23" a="1"/>
  <c r="L91" i="23" s="1"/>
  <c r="M91" i="23" a="1"/>
  <c r="M91" i="23" s="1"/>
  <c r="N91" i="23" a="1"/>
  <c r="N91" i="23" s="1"/>
  <c r="O91" i="23" a="1"/>
  <c r="O91" i="23" s="1"/>
  <c r="P91" i="23" a="1"/>
  <c r="P91" i="23" s="1"/>
  <c r="Q91" i="23" a="1"/>
  <c r="Q91" i="23" s="1"/>
  <c r="R91" i="23" a="1"/>
  <c r="R91" i="23" s="1"/>
  <c r="U91" i="23" a="1"/>
  <c r="U91" i="23" s="1"/>
  <c r="V91" i="23" a="1"/>
  <c r="V91" i="23" s="1"/>
  <c r="W91" i="23" a="1"/>
  <c r="W91" i="23" s="1"/>
  <c r="X91" i="23" a="1"/>
  <c r="X91" i="23" s="1"/>
  <c r="K92" i="23" a="1"/>
  <c r="K92" i="23" s="1"/>
  <c r="L92" i="23" a="1"/>
  <c r="L92" i="23" s="1"/>
  <c r="M92" i="23" a="1"/>
  <c r="M92" i="23" s="1"/>
  <c r="N92" i="23" a="1"/>
  <c r="N92" i="23" s="1"/>
  <c r="O92" i="23" a="1"/>
  <c r="O92" i="23" s="1"/>
  <c r="P92" i="23" a="1"/>
  <c r="P92" i="23" s="1"/>
  <c r="Q92" i="23" a="1"/>
  <c r="Q92" i="23" s="1"/>
  <c r="R92" i="23" a="1"/>
  <c r="R92" i="23" s="1"/>
  <c r="U92" i="23" a="1"/>
  <c r="U92" i="23" s="1"/>
  <c r="V92" i="23" a="1"/>
  <c r="V92" i="23" s="1"/>
  <c r="W92" i="23" a="1"/>
  <c r="W92" i="23" s="1"/>
  <c r="X92" i="23" a="1"/>
  <c r="X92" i="23" s="1"/>
  <c r="K93" i="23" a="1"/>
  <c r="K93" i="23" s="1"/>
  <c r="L93" i="23" a="1"/>
  <c r="L93" i="23" s="1"/>
  <c r="M93" i="23" a="1"/>
  <c r="M93" i="23" s="1"/>
  <c r="N93" i="23" a="1"/>
  <c r="N93" i="23" s="1"/>
  <c r="O93" i="23" a="1"/>
  <c r="O93" i="23" s="1"/>
  <c r="P93" i="23" a="1"/>
  <c r="P93" i="23" s="1"/>
  <c r="Q93" i="23" a="1"/>
  <c r="Q93" i="23" s="1"/>
  <c r="R93" i="23" a="1"/>
  <c r="R93" i="23" s="1"/>
  <c r="U93" i="23" a="1"/>
  <c r="U93" i="23" s="1"/>
  <c r="V93" i="23" a="1"/>
  <c r="V93" i="23" s="1"/>
  <c r="W93" i="23" a="1"/>
  <c r="W93" i="23" s="1"/>
  <c r="X93" i="23" a="1"/>
  <c r="X93" i="23" s="1"/>
  <c r="K94" i="23" a="1"/>
  <c r="K94" i="23" s="1"/>
  <c r="L94" i="23" a="1"/>
  <c r="L94" i="23" s="1"/>
  <c r="M94" i="23" a="1"/>
  <c r="M94" i="23" s="1"/>
  <c r="N94" i="23" a="1"/>
  <c r="N94" i="23" s="1"/>
  <c r="O94" i="23" a="1"/>
  <c r="O94" i="23" s="1"/>
  <c r="P94" i="23" a="1"/>
  <c r="P94" i="23" s="1"/>
  <c r="Q94" i="23" a="1"/>
  <c r="Q94" i="23" s="1"/>
  <c r="R94" i="23" a="1"/>
  <c r="R94" i="23" s="1"/>
  <c r="U94" i="23" a="1"/>
  <c r="U94" i="23" s="1"/>
  <c r="V94" i="23" a="1"/>
  <c r="V94" i="23" s="1"/>
  <c r="W94" i="23" a="1"/>
  <c r="W94" i="23" s="1"/>
  <c r="X94" i="23" a="1"/>
  <c r="X94" i="23" s="1"/>
  <c r="K95" i="23" a="1"/>
  <c r="K95" i="23" s="1"/>
  <c r="L95" i="23" a="1"/>
  <c r="L95" i="23" s="1"/>
  <c r="M95" i="23" a="1"/>
  <c r="M95" i="23" s="1"/>
  <c r="N95" i="23" a="1"/>
  <c r="N95" i="23" s="1"/>
  <c r="O95" i="23" a="1"/>
  <c r="O95" i="23" s="1"/>
  <c r="P95" i="23" a="1"/>
  <c r="P95" i="23" s="1"/>
  <c r="Q95" i="23" a="1"/>
  <c r="Q95" i="23" s="1"/>
  <c r="R95" i="23" a="1"/>
  <c r="R95" i="23" s="1"/>
  <c r="U95" i="23" a="1"/>
  <c r="U95" i="23" s="1"/>
  <c r="V95" i="23" a="1"/>
  <c r="V95" i="23" s="1"/>
  <c r="W95" i="23" a="1"/>
  <c r="W95" i="23" s="1"/>
  <c r="X95" i="23" a="1"/>
  <c r="X95" i="23" s="1"/>
  <c r="K96" i="23" a="1"/>
  <c r="K96" i="23" s="1"/>
  <c r="L96" i="23" a="1"/>
  <c r="L96" i="23" s="1"/>
  <c r="M96" i="23" a="1"/>
  <c r="M96" i="23" s="1"/>
  <c r="N96" i="23" a="1"/>
  <c r="N96" i="23" s="1"/>
  <c r="O96" i="23" a="1"/>
  <c r="O96" i="23" s="1"/>
  <c r="P96" i="23" a="1"/>
  <c r="P96" i="23" s="1"/>
  <c r="Q96" i="23" a="1"/>
  <c r="Q96" i="23" s="1"/>
  <c r="R96" i="23" a="1"/>
  <c r="R96" i="23" s="1"/>
  <c r="U96" i="23" a="1"/>
  <c r="U96" i="23" s="1"/>
  <c r="V96" i="23" a="1"/>
  <c r="V96" i="23" s="1"/>
  <c r="W96" i="23" a="1"/>
  <c r="W96" i="23" s="1"/>
  <c r="X96" i="23" a="1"/>
  <c r="X96" i="23" s="1"/>
  <c r="K97" i="23" a="1"/>
  <c r="K97" i="23" s="1"/>
  <c r="L97" i="23" a="1"/>
  <c r="L97" i="23" s="1"/>
  <c r="M97" i="23" a="1"/>
  <c r="M97" i="23" s="1"/>
  <c r="N97" i="23" a="1"/>
  <c r="N97" i="23" s="1"/>
  <c r="O97" i="23" a="1"/>
  <c r="O97" i="23" s="1"/>
  <c r="P97" i="23" a="1"/>
  <c r="P97" i="23" s="1"/>
  <c r="Q97" i="23" a="1"/>
  <c r="Q97" i="23" s="1"/>
  <c r="R97" i="23" a="1"/>
  <c r="R97" i="23" s="1"/>
  <c r="U97" i="23" a="1"/>
  <c r="U97" i="23" s="1"/>
  <c r="V97" i="23" a="1"/>
  <c r="V97" i="23" s="1"/>
  <c r="W97" i="23" a="1"/>
  <c r="W97" i="23" s="1"/>
  <c r="X97" i="23" a="1"/>
  <c r="X97" i="23" s="1"/>
  <c r="K98" i="23" a="1"/>
  <c r="K98" i="23" s="1"/>
  <c r="L98" i="23" a="1"/>
  <c r="L98" i="23" s="1"/>
  <c r="M98" i="23" a="1"/>
  <c r="M98" i="23" s="1"/>
  <c r="N98" i="23" a="1"/>
  <c r="N98" i="23" s="1"/>
  <c r="O98" i="23" a="1"/>
  <c r="O98" i="23" s="1"/>
  <c r="P98" i="23" a="1"/>
  <c r="P98" i="23" s="1"/>
  <c r="Q98" i="23" a="1"/>
  <c r="Q98" i="23" s="1"/>
  <c r="R98" i="23" a="1"/>
  <c r="R98" i="23" s="1"/>
  <c r="U98" i="23" a="1"/>
  <c r="U98" i="23" s="1"/>
  <c r="V98" i="23" a="1"/>
  <c r="V98" i="23" s="1"/>
  <c r="W98" i="23" a="1"/>
  <c r="W98" i="23" s="1"/>
  <c r="X98" i="23" a="1"/>
  <c r="X98" i="23" s="1"/>
  <c r="K99" i="23" a="1"/>
  <c r="K99" i="23" s="1"/>
  <c r="L99" i="23" a="1"/>
  <c r="L99" i="23" s="1"/>
  <c r="M99" i="23" a="1"/>
  <c r="M99" i="23" s="1"/>
  <c r="N99" i="23" a="1"/>
  <c r="N99" i="23" s="1"/>
  <c r="O99" i="23" a="1"/>
  <c r="O99" i="23" s="1"/>
  <c r="P99" i="23" a="1"/>
  <c r="P99" i="23" s="1"/>
  <c r="Q99" i="23" a="1"/>
  <c r="Q99" i="23" s="1"/>
  <c r="R99" i="23" a="1"/>
  <c r="R99" i="23" s="1"/>
  <c r="U99" i="23" a="1"/>
  <c r="U99" i="23" s="1"/>
  <c r="V99" i="23" a="1"/>
  <c r="V99" i="23" s="1"/>
  <c r="W99" i="23" a="1"/>
  <c r="W99" i="23" s="1"/>
  <c r="X99" i="23" a="1"/>
  <c r="X99" i="23" s="1"/>
  <c r="K100" i="23" a="1"/>
  <c r="K100" i="23" s="1"/>
  <c r="L100" i="23" a="1"/>
  <c r="L100" i="23" s="1"/>
  <c r="M100" i="23" a="1"/>
  <c r="M100" i="23" s="1"/>
  <c r="N100" i="23" a="1"/>
  <c r="N100" i="23" s="1"/>
  <c r="O100" i="23" a="1"/>
  <c r="O100" i="23" s="1"/>
  <c r="P100" i="23" a="1"/>
  <c r="P100" i="23" s="1"/>
  <c r="Q100" i="23" a="1"/>
  <c r="Q100" i="23" s="1"/>
  <c r="R100" i="23" a="1"/>
  <c r="R100" i="23" s="1"/>
  <c r="U100" i="23" a="1"/>
  <c r="U100" i="23" s="1"/>
  <c r="V100" i="23" a="1"/>
  <c r="V100" i="23" s="1"/>
  <c r="W100" i="23" a="1"/>
  <c r="W100" i="23" s="1"/>
  <c r="X100" i="23" a="1"/>
  <c r="X100" i="23" s="1"/>
  <c r="K101" i="23" a="1"/>
  <c r="K101" i="23" s="1"/>
  <c r="L101" i="23" a="1"/>
  <c r="L101" i="23" s="1"/>
  <c r="M101" i="23" a="1"/>
  <c r="M101" i="23" s="1"/>
  <c r="N101" i="23" a="1"/>
  <c r="N101" i="23" s="1"/>
  <c r="O101" i="23" a="1"/>
  <c r="O101" i="23" s="1"/>
  <c r="P101" i="23" a="1"/>
  <c r="P101" i="23" s="1"/>
  <c r="Q101" i="23" a="1"/>
  <c r="Q101" i="23" s="1"/>
  <c r="R101" i="23" a="1"/>
  <c r="R101" i="23" s="1"/>
  <c r="U101" i="23" a="1"/>
  <c r="U101" i="23" s="1"/>
  <c r="V101" i="23" a="1"/>
  <c r="V101" i="23" s="1"/>
  <c r="W101" i="23" a="1"/>
  <c r="W101" i="23" s="1"/>
  <c r="X101" i="23" a="1"/>
  <c r="X101" i="23" s="1"/>
  <c r="K102" i="23" a="1"/>
  <c r="K102" i="23" s="1"/>
  <c r="L102" i="23" a="1"/>
  <c r="L102" i="23" s="1"/>
  <c r="M102" i="23" a="1"/>
  <c r="M102" i="23" s="1"/>
  <c r="N102" i="23" a="1"/>
  <c r="N102" i="23" s="1"/>
  <c r="O102" i="23" a="1"/>
  <c r="O102" i="23" s="1"/>
  <c r="P102" i="23" a="1"/>
  <c r="P102" i="23" s="1"/>
  <c r="Q102" i="23" a="1"/>
  <c r="Q102" i="23" s="1"/>
  <c r="R102" i="23" a="1"/>
  <c r="R102" i="23" s="1"/>
  <c r="U102" i="23" a="1"/>
  <c r="U102" i="23" s="1"/>
  <c r="V102" i="23" a="1"/>
  <c r="V102" i="23" s="1"/>
  <c r="W102" i="23" a="1"/>
  <c r="W102" i="23" s="1"/>
  <c r="X102" i="23" a="1"/>
  <c r="X102" i="23" s="1"/>
  <c r="K103" i="23" a="1"/>
  <c r="K103" i="23" s="1"/>
  <c r="L103" i="23" a="1"/>
  <c r="L103" i="23" s="1"/>
  <c r="M103" i="23" a="1"/>
  <c r="M103" i="23" s="1"/>
  <c r="N103" i="23" a="1"/>
  <c r="N103" i="23" s="1"/>
  <c r="O103" i="23" a="1"/>
  <c r="O103" i="23" s="1"/>
  <c r="P103" i="23" a="1"/>
  <c r="P103" i="23" s="1"/>
  <c r="Q103" i="23" a="1"/>
  <c r="Q103" i="23" s="1"/>
  <c r="R103" i="23" a="1"/>
  <c r="R103" i="23" s="1"/>
  <c r="U103" i="23" a="1"/>
  <c r="U103" i="23" s="1"/>
  <c r="V103" i="23" a="1"/>
  <c r="V103" i="23" s="1"/>
  <c r="W103" i="23" a="1"/>
  <c r="W103" i="23" s="1"/>
  <c r="X103" i="23" a="1"/>
  <c r="X103" i="23" s="1"/>
  <c r="K104" i="23" a="1"/>
  <c r="K104" i="23" s="1"/>
  <c r="L104" i="23" a="1"/>
  <c r="L104" i="23" s="1"/>
  <c r="M104" i="23" a="1"/>
  <c r="M104" i="23" s="1"/>
  <c r="N104" i="23" a="1"/>
  <c r="N104" i="23" s="1"/>
  <c r="O104" i="23" a="1"/>
  <c r="O104" i="23" s="1"/>
  <c r="P104" i="23" a="1"/>
  <c r="P104" i="23" s="1"/>
  <c r="Q104" i="23" a="1"/>
  <c r="Q104" i="23" s="1"/>
  <c r="R104" i="23" a="1"/>
  <c r="R104" i="23" s="1"/>
  <c r="U104" i="23" a="1"/>
  <c r="U104" i="23" s="1"/>
  <c r="V104" i="23" a="1"/>
  <c r="V104" i="23" s="1"/>
  <c r="W104" i="23" a="1"/>
  <c r="W104" i="23" s="1"/>
  <c r="X104" i="23" a="1"/>
  <c r="X104" i="23" s="1"/>
  <c r="K105" i="23" a="1"/>
  <c r="K105" i="23" s="1"/>
  <c r="L105" i="23" a="1"/>
  <c r="L105" i="23" s="1"/>
  <c r="M105" i="23" a="1"/>
  <c r="M105" i="23" s="1"/>
  <c r="N105" i="23" a="1"/>
  <c r="N105" i="23" s="1"/>
  <c r="O105" i="23" a="1"/>
  <c r="O105" i="23" s="1"/>
  <c r="P105" i="23" a="1"/>
  <c r="P105" i="23" s="1"/>
  <c r="Q105" i="23" a="1"/>
  <c r="Q105" i="23" s="1"/>
  <c r="R105" i="23" a="1"/>
  <c r="R105" i="23" s="1"/>
  <c r="U105" i="23" a="1"/>
  <c r="U105" i="23" s="1"/>
  <c r="V105" i="23" a="1"/>
  <c r="V105" i="23" s="1"/>
  <c r="W105" i="23" a="1"/>
  <c r="W105" i="23" s="1"/>
  <c r="X105" i="23" a="1"/>
  <c r="X105" i="23" s="1"/>
  <c r="K106" i="23" a="1"/>
  <c r="K106" i="23" s="1"/>
  <c r="L106" i="23" a="1"/>
  <c r="L106" i="23" s="1"/>
  <c r="M106" i="23" a="1"/>
  <c r="M106" i="23" s="1"/>
  <c r="N106" i="23" a="1"/>
  <c r="N106" i="23" s="1"/>
  <c r="O106" i="23" a="1"/>
  <c r="O106" i="23" s="1"/>
  <c r="P106" i="23" a="1"/>
  <c r="P106" i="23" s="1"/>
  <c r="Q106" i="23" a="1"/>
  <c r="Q106" i="23" s="1"/>
  <c r="R106" i="23" a="1"/>
  <c r="R106" i="23" s="1"/>
  <c r="U106" i="23" a="1"/>
  <c r="U106" i="23" s="1"/>
  <c r="V106" i="23" a="1"/>
  <c r="V106" i="23" s="1"/>
  <c r="W106" i="23" a="1"/>
  <c r="W106" i="23" s="1"/>
  <c r="X106" i="23" a="1"/>
  <c r="X106" i="23" s="1"/>
  <c r="K107" i="23" a="1"/>
  <c r="K107" i="23" s="1"/>
  <c r="L107" i="23" a="1"/>
  <c r="L107" i="23" s="1"/>
  <c r="M107" i="23" a="1"/>
  <c r="M107" i="23" s="1"/>
  <c r="N107" i="23" a="1"/>
  <c r="N107" i="23" s="1"/>
  <c r="O107" i="23" a="1"/>
  <c r="O107" i="23" s="1"/>
  <c r="P107" i="23" a="1"/>
  <c r="P107" i="23" s="1"/>
  <c r="Q107" i="23" a="1"/>
  <c r="Q107" i="23" s="1"/>
  <c r="R107" i="23" a="1"/>
  <c r="R107" i="23" s="1"/>
  <c r="U107" i="23" a="1"/>
  <c r="U107" i="23" s="1"/>
  <c r="V107" i="23" a="1"/>
  <c r="V107" i="23" s="1"/>
  <c r="W107" i="23" a="1"/>
  <c r="W107" i="23" s="1"/>
  <c r="X107" i="23" a="1"/>
  <c r="X107" i="23" s="1"/>
  <c r="K108" i="23" a="1"/>
  <c r="K108" i="23" s="1"/>
  <c r="L108" i="23" a="1"/>
  <c r="L108" i="23" s="1"/>
  <c r="M108" i="23" a="1"/>
  <c r="M108" i="23" s="1"/>
  <c r="N108" i="23" a="1"/>
  <c r="N108" i="23" s="1"/>
  <c r="O108" i="23" a="1"/>
  <c r="O108" i="23" s="1"/>
  <c r="P108" i="23" a="1"/>
  <c r="P108" i="23" s="1"/>
  <c r="Q108" i="23" a="1"/>
  <c r="Q108" i="23" s="1"/>
  <c r="R108" i="23" a="1"/>
  <c r="R108" i="23" s="1"/>
  <c r="U108" i="23" a="1"/>
  <c r="U108" i="23" s="1"/>
  <c r="V108" i="23" a="1"/>
  <c r="V108" i="23" s="1"/>
  <c r="W108" i="23" a="1"/>
  <c r="W108" i="23" s="1"/>
  <c r="X108" i="23" a="1"/>
  <c r="X108" i="23" s="1"/>
  <c r="K109" i="23" a="1"/>
  <c r="K109" i="23" s="1"/>
  <c r="L109" i="23" a="1"/>
  <c r="L109" i="23" s="1"/>
  <c r="M109" i="23" a="1"/>
  <c r="M109" i="23" s="1"/>
  <c r="N109" i="23" a="1"/>
  <c r="N109" i="23" s="1"/>
  <c r="O109" i="23" a="1"/>
  <c r="O109" i="23" s="1"/>
  <c r="P109" i="23" a="1"/>
  <c r="P109" i="23" s="1"/>
  <c r="Q109" i="23" a="1"/>
  <c r="Q109" i="23" s="1"/>
  <c r="R109" i="23" a="1"/>
  <c r="R109" i="23" s="1"/>
  <c r="U109" i="23" a="1"/>
  <c r="U109" i="23" s="1"/>
  <c r="V109" i="23" a="1"/>
  <c r="V109" i="23" s="1"/>
  <c r="W109" i="23" a="1"/>
  <c r="W109" i="23" s="1"/>
  <c r="X109" i="23" a="1"/>
  <c r="X109" i="23" s="1"/>
  <c r="K110" i="23" a="1"/>
  <c r="K110" i="23" s="1"/>
  <c r="L110" i="23" a="1"/>
  <c r="L110" i="23" s="1"/>
  <c r="M110" i="23" a="1"/>
  <c r="M110" i="23" s="1"/>
  <c r="N110" i="23" a="1"/>
  <c r="N110" i="23" s="1"/>
  <c r="O110" i="23" a="1"/>
  <c r="O110" i="23" s="1"/>
  <c r="P110" i="23" a="1"/>
  <c r="P110" i="23" s="1"/>
  <c r="Q110" i="23" a="1"/>
  <c r="Q110" i="23" s="1"/>
  <c r="R110" i="23" a="1"/>
  <c r="R110" i="23" s="1"/>
  <c r="U110" i="23" a="1"/>
  <c r="U110" i="23" s="1"/>
  <c r="V110" i="23" a="1"/>
  <c r="V110" i="23" s="1"/>
  <c r="W110" i="23" a="1"/>
  <c r="W110" i="23" s="1"/>
  <c r="X110" i="23" a="1"/>
  <c r="X110" i="23" s="1"/>
  <c r="K111" i="23" a="1"/>
  <c r="K111" i="23" s="1"/>
  <c r="L111" i="23" a="1"/>
  <c r="L111" i="23" s="1"/>
  <c r="M111" i="23" a="1"/>
  <c r="M111" i="23" s="1"/>
  <c r="N111" i="23" a="1"/>
  <c r="N111" i="23" s="1"/>
  <c r="O111" i="23" a="1"/>
  <c r="O111" i="23" s="1"/>
  <c r="P111" i="23" a="1"/>
  <c r="P111" i="23" s="1"/>
  <c r="Q111" i="23" a="1"/>
  <c r="Q111" i="23" s="1"/>
  <c r="R111" i="23" a="1"/>
  <c r="R111" i="23" s="1"/>
  <c r="U111" i="23" a="1"/>
  <c r="U111" i="23" s="1"/>
  <c r="V111" i="23" a="1"/>
  <c r="V111" i="23" s="1"/>
  <c r="W111" i="23" a="1"/>
  <c r="W111" i="23" s="1"/>
  <c r="X111" i="23" a="1"/>
  <c r="X111" i="23" s="1"/>
  <c r="K112" i="23" a="1"/>
  <c r="K112" i="23" s="1"/>
  <c r="L112" i="23" a="1"/>
  <c r="L112" i="23" s="1"/>
  <c r="M112" i="23" a="1"/>
  <c r="M112" i="23" s="1"/>
  <c r="N112" i="23" a="1"/>
  <c r="N112" i="23" s="1"/>
  <c r="O112" i="23" a="1"/>
  <c r="O112" i="23" s="1"/>
  <c r="P112" i="23" a="1"/>
  <c r="P112" i="23" s="1"/>
  <c r="Q112" i="23" a="1"/>
  <c r="Q112" i="23" s="1"/>
  <c r="R112" i="23" a="1"/>
  <c r="R112" i="23" s="1"/>
  <c r="U112" i="23" a="1"/>
  <c r="U112" i="23" s="1"/>
  <c r="V112" i="23" a="1"/>
  <c r="V112" i="23" s="1"/>
  <c r="W112" i="23" a="1"/>
  <c r="W112" i="23" s="1"/>
  <c r="X112" i="23" a="1"/>
  <c r="X112" i="23" s="1"/>
  <c r="K113" i="23" a="1"/>
  <c r="K113" i="23" s="1"/>
  <c r="L113" i="23" a="1"/>
  <c r="L113" i="23" s="1"/>
  <c r="M113" i="23" a="1"/>
  <c r="M113" i="23" s="1"/>
  <c r="N113" i="23" a="1"/>
  <c r="N113" i="23" s="1"/>
  <c r="O113" i="23" a="1"/>
  <c r="O113" i="23" s="1"/>
  <c r="P113" i="23" a="1"/>
  <c r="P113" i="23" s="1"/>
  <c r="Q113" i="23" a="1"/>
  <c r="Q113" i="23" s="1"/>
  <c r="R113" i="23" a="1"/>
  <c r="R113" i="23" s="1"/>
  <c r="U113" i="23" a="1"/>
  <c r="U113" i="23" s="1"/>
  <c r="V113" i="23" a="1"/>
  <c r="V113" i="23" s="1"/>
  <c r="W113" i="23" a="1"/>
  <c r="W113" i="23" s="1"/>
  <c r="X113" i="23" a="1"/>
  <c r="X113" i="23" s="1"/>
  <c r="K114" i="23" a="1"/>
  <c r="K114" i="23" s="1"/>
  <c r="L114" i="23" a="1"/>
  <c r="L114" i="23" s="1"/>
  <c r="M114" i="23" a="1"/>
  <c r="M114" i="23" s="1"/>
  <c r="N114" i="23" a="1"/>
  <c r="N114" i="23" s="1"/>
  <c r="O114" i="23" a="1"/>
  <c r="O114" i="23" s="1"/>
  <c r="P114" i="23" a="1"/>
  <c r="P114" i="23" s="1"/>
  <c r="Q114" i="23" a="1"/>
  <c r="Q114" i="23" s="1"/>
  <c r="R114" i="23" a="1"/>
  <c r="R114" i="23" s="1"/>
  <c r="U114" i="23" a="1"/>
  <c r="U114" i="23" s="1"/>
  <c r="V114" i="23" a="1"/>
  <c r="V114" i="23" s="1"/>
  <c r="W114" i="23" a="1"/>
  <c r="W114" i="23" s="1"/>
  <c r="X114" i="23" a="1"/>
  <c r="X114" i="23" s="1"/>
  <c r="K115" i="23" a="1"/>
  <c r="K115" i="23" s="1"/>
  <c r="L115" i="23" a="1"/>
  <c r="L115" i="23" s="1"/>
  <c r="M115" i="23" a="1"/>
  <c r="M115" i="23" s="1"/>
  <c r="N115" i="23" a="1"/>
  <c r="N115" i="23" s="1"/>
  <c r="O115" i="23" a="1"/>
  <c r="O115" i="23" s="1"/>
  <c r="P115" i="23" a="1"/>
  <c r="P115" i="23" s="1"/>
  <c r="Q115" i="23" a="1"/>
  <c r="Q115" i="23" s="1"/>
  <c r="R115" i="23" a="1"/>
  <c r="R115" i="23" s="1"/>
  <c r="U115" i="23" a="1"/>
  <c r="U115" i="23" s="1"/>
  <c r="V115" i="23" a="1"/>
  <c r="V115" i="23" s="1"/>
  <c r="W115" i="23" a="1"/>
  <c r="W115" i="23" s="1"/>
  <c r="X115" i="23" a="1"/>
  <c r="X115" i="23" s="1"/>
  <c r="K116" i="23" a="1"/>
  <c r="K116" i="23" s="1"/>
  <c r="L116" i="23" a="1"/>
  <c r="L116" i="23" s="1"/>
  <c r="M116" i="23" a="1"/>
  <c r="M116" i="23" s="1"/>
  <c r="N116" i="23" a="1"/>
  <c r="N116" i="23" s="1"/>
  <c r="O116" i="23" a="1"/>
  <c r="O116" i="23" s="1"/>
  <c r="P116" i="23" a="1"/>
  <c r="P116" i="23" s="1"/>
  <c r="Q116" i="23" a="1"/>
  <c r="Q116" i="23" s="1"/>
  <c r="R116" i="23" a="1"/>
  <c r="R116" i="23" s="1"/>
  <c r="U116" i="23" a="1"/>
  <c r="U116" i="23" s="1"/>
  <c r="V116" i="23" a="1"/>
  <c r="V116" i="23" s="1"/>
  <c r="W116" i="23" a="1"/>
  <c r="W116" i="23" s="1"/>
  <c r="X116" i="23" a="1"/>
  <c r="X116" i="23" s="1"/>
  <c r="K117" i="23" a="1"/>
  <c r="K117" i="23" s="1"/>
  <c r="L117" i="23" a="1"/>
  <c r="L117" i="23" s="1"/>
  <c r="M117" i="23" a="1"/>
  <c r="M117" i="23" s="1"/>
  <c r="N117" i="23" a="1"/>
  <c r="N117" i="23" s="1"/>
  <c r="O117" i="23" a="1"/>
  <c r="O117" i="23" s="1"/>
  <c r="P117" i="23" a="1"/>
  <c r="P117" i="23" s="1"/>
  <c r="Q117" i="23" a="1"/>
  <c r="Q117" i="23" s="1"/>
  <c r="R117" i="23" a="1"/>
  <c r="R117" i="23" s="1"/>
  <c r="U117" i="23" a="1"/>
  <c r="U117" i="23" s="1"/>
  <c r="V117" i="23" a="1"/>
  <c r="V117" i="23" s="1"/>
  <c r="W117" i="23" a="1"/>
  <c r="W117" i="23" s="1"/>
  <c r="X117" i="23" a="1"/>
  <c r="X117" i="23" s="1"/>
  <c r="K118" i="23" a="1"/>
  <c r="K118" i="23" s="1"/>
  <c r="L118" i="23" a="1"/>
  <c r="L118" i="23" s="1"/>
  <c r="M118" i="23" a="1"/>
  <c r="M118" i="23" s="1"/>
  <c r="N118" i="23" a="1"/>
  <c r="N118" i="23" s="1"/>
  <c r="O118" i="23" a="1"/>
  <c r="O118" i="23" s="1"/>
  <c r="P118" i="23" a="1"/>
  <c r="P118" i="23" s="1"/>
  <c r="Q118" i="23" a="1"/>
  <c r="Q118" i="23" s="1"/>
  <c r="R118" i="23" a="1"/>
  <c r="R118" i="23" s="1"/>
  <c r="U118" i="23" a="1"/>
  <c r="U118" i="23" s="1"/>
  <c r="V118" i="23" a="1"/>
  <c r="V118" i="23" s="1"/>
  <c r="W118" i="23" a="1"/>
  <c r="W118" i="23" s="1"/>
  <c r="X118" i="23" a="1"/>
  <c r="X118" i="23" s="1"/>
  <c r="K119" i="23" a="1"/>
  <c r="K119" i="23" s="1"/>
  <c r="L119" i="23" a="1"/>
  <c r="L119" i="23" s="1"/>
  <c r="M119" i="23" a="1"/>
  <c r="M119" i="23" s="1"/>
  <c r="N119" i="23" a="1"/>
  <c r="N119" i="23" s="1"/>
  <c r="O119" i="23" a="1"/>
  <c r="O119" i="23" s="1"/>
  <c r="P119" i="23" a="1"/>
  <c r="P119" i="23" s="1"/>
  <c r="Q119" i="23" a="1"/>
  <c r="Q119" i="23" s="1"/>
  <c r="R119" i="23" a="1"/>
  <c r="R119" i="23" s="1"/>
  <c r="U119" i="23" a="1"/>
  <c r="U119" i="23" s="1"/>
  <c r="V119" i="23" a="1"/>
  <c r="V119" i="23" s="1"/>
  <c r="W119" i="23" a="1"/>
  <c r="W119" i="23" s="1"/>
  <c r="X119" i="23" a="1"/>
  <c r="X119" i="23" s="1"/>
  <c r="K120" i="23" a="1"/>
  <c r="K120" i="23" s="1"/>
  <c r="L120" i="23" a="1"/>
  <c r="L120" i="23" s="1"/>
  <c r="M120" i="23" a="1"/>
  <c r="M120" i="23" s="1"/>
  <c r="N120" i="23" a="1"/>
  <c r="N120" i="23" s="1"/>
  <c r="O120" i="23" a="1"/>
  <c r="O120" i="23" s="1"/>
  <c r="P120" i="23" a="1"/>
  <c r="P120" i="23" s="1"/>
  <c r="Q120" i="23" a="1"/>
  <c r="Q120" i="23" s="1"/>
  <c r="R120" i="23" a="1"/>
  <c r="R120" i="23" s="1"/>
  <c r="U120" i="23" a="1"/>
  <c r="U120" i="23" s="1"/>
  <c r="V120" i="23" a="1"/>
  <c r="V120" i="23" s="1"/>
  <c r="W120" i="23" a="1"/>
  <c r="W120" i="23" s="1"/>
  <c r="X120" i="23" a="1"/>
  <c r="X120" i="23" s="1"/>
  <c r="K121" i="23" a="1"/>
  <c r="K121" i="23" s="1"/>
  <c r="L121" i="23" a="1"/>
  <c r="L121" i="23" s="1"/>
  <c r="M121" i="23" a="1"/>
  <c r="M121" i="23" s="1"/>
  <c r="N121" i="23" a="1"/>
  <c r="N121" i="23" s="1"/>
  <c r="O121" i="23" a="1"/>
  <c r="O121" i="23" s="1"/>
  <c r="P121" i="23" a="1"/>
  <c r="P121" i="23" s="1"/>
  <c r="Q121" i="23" a="1"/>
  <c r="Q121" i="23" s="1"/>
  <c r="R121" i="23" a="1"/>
  <c r="R121" i="23" s="1"/>
  <c r="U121" i="23" a="1"/>
  <c r="U121" i="23" s="1"/>
  <c r="V121" i="23" a="1"/>
  <c r="V121" i="23" s="1"/>
  <c r="W121" i="23" a="1"/>
  <c r="W121" i="23" s="1"/>
  <c r="X121" i="23" a="1"/>
  <c r="X121" i="23" s="1"/>
  <c r="K122" i="23" a="1"/>
  <c r="K122" i="23" s="1"/>
  <c r="L122" i="23" a="1"/>
  <c r="L122" i="23" s="1"/>
  <c r="M122" i="23" a="1"/>
  <c r="M122" i="23" s="1"/>
  <c r="N122" i="23" a="1"/>
  <c r="N122" i="23" s="1"/>
  <c r="O122" i="23" a="1"/>
  <c r="O122" i="23" s="1"/>
  <c r="P122" i="23" a="1"/>
  <c r="P122" i="23" s="1"/>
  <c r="Q122" i="23" a="1"/>
  <c r="Q122" i="23" s="1"/>
  <c r="R122" i="23" a="1"/>
  <c r="R122" i="23" s="1"/>
  <c r="U122" i="23" a="1"/>
  <c r="U122" i="23" s="1"/>
  <c r="V122" i="23" a="1"/>
  <c r="V122" i="23" s="1"/>
  <c r="W122" i="23" a="1"/>
  <c r="W122" i="23" s="1"/>
  <c r="X122" i="23" a="1"/>
  <c r="X122" i="23" s="1"/>
  <c r="K123" i="23" a="1"/>
  <c r="K123" i="23" s="1"/>
  <c r="L123" i="23" a="1"/>
  <c r="L123" i="23" s="1"/>
  <c r="M123" i="23" a="1"/>
  <c r="M123" i="23" s="1"/>
  <c r="N123" i="23" a="1"/>
  <c r="N123" i="23" s="1"/>
  <c r="O123" i="23" a="1"/>
  <c r="O123" i="23" s="1"/>
  <c r="P123" i="23" a="1"/>
  <c r="P123" i="23" s="1"/>
  <c r="Q123" i="23" a="1"/>
  <c r="Q123" i="23" s="1"/>
  <c r="R123" i="23" a="1"/>
  <c r="R123" i="23" s="1"/>
  <c r="U123" i="23" a="1"/>
  <c r="U123" i="23" s="1"/>
  <c r="V123" i="23" a="1"/>
  <c r="V123" i="23" s="1"/>
  <c r="W123" i="23" a="1"/>
  <c r="W123" i="23" s="1"/>
  <c r="X123" i="23" a="1"/>
  <c r="X123" i="23" s="1"/>
  <c r="K124" i="23" a="1"/>
  <c r="K124" i="23" s="1"/>
  <c r="L124" i="23" a="1"/>
  <c r="L124" i="23" s="1"/>
  <c r="M124" i="23" a="1"/>
  <c r="M124" i="23" s="1"/>
  <c r="N124" i="23" a="1"/>
  <c r="N124" i="23" s="1"/>
  <c r="O124" i="23" a="1"/>
  <c r="O124" i="23" s="1"/>
  <c r="P124" i="23" a="1"/>
  <c r="P124" i="23" s="1"/>
  <c r="Q124" i="23" a="1"/>
  <c r="Q124" i="23" s="1"/>
  <c r="R124" i="23" a="1"/>
  <c r="R124" i="23" s="1"/>
  <c r="U124" i="23" a="1"/>
  <c r="U124" i="23" s="1"/>
  <c r="V124" i="23" a="1"/>
  <c r="V124" i="23" s="1"/>
  <c r="W124" i="23" a="1"/>
  <c r="W124" i="23" s="1"/>
  <c r="X124" i="23" a="1"/>
  <c r="X124" i="23" s="1"/>
  <c r="K125" i="23" a="1"/>
  <c r="K125" i="23" s="1"/>
  <c r="L125" i="23" a="1"/>
  <c r="L125" i="23" s="1"/>
  <c r="M125" i="23" a="1"/>
  <c r="M125" i="23" s="1"/>
  <c r="N125" i="23" a="1"/>
  <c r="N125" i="23" s="1"/>
  <c r="O125" i="23" a="1"/>
  <c r="O125" i="23" s="1"/>
  <c r="P125" i="23" a="1"/>
  <c r="P125" i="23" s="1"/>
  <c r="Q125" i="23" a="1"/>
  <c r="Q125" i="23" s="1"/>
  <c r="R125" i="23" a="1"/>
  <c r="R125" i="23" s="1"/>
  <c r="U125" i="23" a="1"/>
  <c r="U125" i="23" s="1"/>
  <c r="V125" i="23" a="1"/>
  <c r="V125" i="23" s="1"/>
  <c r="W125" i="23" a="1"/>
  <c r="W125" i="23" s="1"/>
  <c r="X125" i="23" a="1"/>
  <c r="X125" i="23" s="1"/>
  <c r="K126" i="23" a="1"/>
  <c r="K126" i="23" s="1"/>
  <c r="L126" i="23" a="1"/>
  <c r="L126" i="23" s="1"/>
  <c r="M126" i="23" a="1"/>
  <c r="M126" i="23" s="1"/>
  <c r="N126" i="23" a="1"/>
  <c r="N126" i="23" s="1"/>
  <c r="O126" i="23" a="1"/>
  <c r="O126" i="23" s="1"/>
  <c r="P126" i="23" a="1"/>
  <c r="P126" i="23" s="1"/>
  <c r="Q126" i="23" a="1"/>
  <c r="Q126" i="23" s="1"/>
  <c r="R126" i="23" a="1"/>
  <c r="R126" i="23" s="1"/>
  <c r="U126" i="23" a="1"/>
  <c r="U126" i="23" s="1"/>
  <c r="V126" i="23" a="1"/>
  <c r="V126" i="23" s="1"/>
  <c r="W126" i="23" a="1"/>
  <c r="W126" i="23" s="1"/>
  <c r="X126" i="23" a="1"/>
  <c r="X126" i="23" s="1"/>
  <c r="K127" i="23" a="1"/>
  <c r="K127" i="23" s="1"/>
  <c r="L127" i="23" a="1"/>
  <c r="L127" i="23" s="1"/>
  <c r="M127" i="23" a="1"/>
  <c r="M127" i="23" s="1"/>
  <c r="N127" i="23" a="1"/>
  <c r="N127" i="23" s="1"/>
  <c r="O127" i="23" a="1"/>
  <c r="O127" i="23" s="1"/>
  <c r="P127" i="23" a="1"/>
  <c r="P127" i="23" s="1"/>
  <c r="Q127" i="23" a="1"/>
  <c r="Q127" i="23" s="1"/>
  <c r="R127" i="23" a="1"/>
  <c r="R127" i="23" s="1"/>
  <c r="U127" i="23" a="1"/>
  <c r="U127" i="23" s="1"/>
  <c r="V127" i="23" a="1"/>
  <c r="V127" i="23" s="1"/>
  <c r="W127" i="23" a="1"/>
  <c r="W127" i="23" s="1"/>
  <c r="X127" i="23" a="1"/>
  <c r="X127" i="23" s="1"/>
  <c r="K128" i="23" a="1"/>
  <c r="K128" i="23" s="1"/>
  <c r="L128" i="23" a="1"/>
  <c r="L128" i="23" s="1"/>
  <c r="M128" i="23" a="1"/>
  <c r="M128" i="23" s="1"/>
  <c r="N128" i="23" a="1"/>
  <c r="N128" i="23" s="1"/>
  <c r="O128" i="23" a="1"/>
  <c r="O128" i="23" s="1"/>
  <c r="P128" i="23" a="1"/>
  <c r="P128" i="23" s="1"/>
  <c r="Q128" i="23" a="1"/>
  <c r="Q128" i="23" s="1"/>
  <c r="R128" i="23" a="1"/>
  <c r="R128" i="23" s="1"/>
  <c r="U128" i="23" a="1"/>
  <c r="U128" i="23" s="1"/>
  <c r="V128" i="23" a="1"/>
  <c r="V128" i="23" s="1"/>
  <c r="W128" i="23" a="1"/>
  <c r="W128" i="23" s="1"/>
  <c r="X128" i="23" a="1"/>
  <c r="X128" i="23" s="1"/>
  <c r="K129" i="23" a="1"/>
  <c r="K129" i="23" s="1"/>
  <c r="L129" i="23" a="1"/>
  <c r="L129" i="23" s="1"/>
  <c r="M129" i="23" a="1"/>
  <c r="M129" i="23" s="1"/>
  <c r="N129" i="23" a="1"/>
  <c r="N129" i="23" s="1"/>
  <c r="O129" i="23" a="1"/>
  <c r="O129" i="23" s="1"/>
  <c r="P129" i="23" a="1"/>
  <c r="P129" i="23" s="1"/>
  <c r="Q129" i="23" a="1"/>
  <c r="Q129" i="23" s="1"/>
  <c r="R129" i="23" a="1"/>
  <c r="R129" i="23" s="1"/>
  <c r="U129" i="23" a="1"/>
  <c r="U129" i="23" s="1"/>
  <c r="V129" i="23" a="1"/>
  <c r="V129" i="23" s="1"/>
  <c r="W129" i="23" a="1"/>
  <c r="W129" i="23" s="1"/>
  <c r="X129" i="23" a="1"/>
  <c r="X129" i="23" s="1"/>
  <c r="K130" i="23" a="1"/>
  <c r="K130" i="23" s="1"/>
  <c r="L130" i="23" a="1"/>
  <c r="L130" i="23" s="1"/>
  <c r="M130" i="23" a="1"/>
  <c r="M130" i="23" s="1"/>
  <c r="N130" i="23" a="1"/>
  <c r="N130" i="23" s="1"/>
  <c r="O130" i="23" a="1"/>
  <c r="O130" i="23" s="1"/>
  <c r="P130" i="23" a="1"/>
  <c r="P130" i="23" s="1"/>
  <c r="Q130" i="23" a="1"/>
  <c r="Q130" i="23" s="1"/>
  <c r="R130" i="23" a="1"/>
  <c r="R130" i="23" s="1"/>
  <c r="U130" i="23" a="1"/>
  <c r="U130" i="23" s="1"/>
  <c r="V130" i="23" a="1"/>
  <c r="V130" i="23" s="1"/>
  <c r="W130" i="23" a="1"/>
  <c r="W130" i="23" s="1"/>
  <c r="X130" i="23" a="1"/>
  <c r="X130" i="23" s="1"/>
  <c r="K131" i="23" a="1"/>
  <c r="K131" i="23" s="1"/>
  <c r="L131" i="23" a="1"/>
  <c r="L131" i="23" s="1"/>
  <c r="M131" i="23" a="1"/>
  <c r="M131" i="23" s="1"/>
  <c r="N131" i="23" a="1"/>
  <c r="N131" i="23" s="1"/>
  <c r="O131" i="23" a="1"/>
  <c r="O131" i="23" s="1"/>
  <c r="P131" i="23" a="1"/>
  <c r="P131" i="23" s="1"/>
  <c r="Q131" i="23" a="1"/>
  <c r="Q131" i="23" s="1"/>
  <c r="R131" i="23" a="1"/>
  <c r="R131" i="23" s="1"/>
  <c r="U131" i="23" a="1"/>
  <c r="U131" i="23" s="1"/>
  <c r="V131" i="23" a="1"/>
  <c r="V131" i="23" s="1"/>
  <c r="W131" i="23" a="1"/>
  <c r="W131" i="23" s="1"/>
  <c r="X131" i="23" a="1"/>
  <c r="X131" i="23" s="1"/>
  <c r="K132" i="23" a="1"/>
  <c r="K132" i="23" s="1"/>
  <c r="L132" i="23" a="1"/>
  <c r="L132" i="23" s="1"/>
  <c r="M132" i="23" a="1"/>
  <c r="M132" i="23" s="1"/>
  <c r="N132" i="23" a="1"/>
  <c r="N132" i="23" s="1"/>
  <c r="O132" i="23" a="1"/>
  <c r="O132" i="23" s="1"/>
  <c r="P132" i="23" a="1"/>
  <c r="P132" i="23" s="1"/>
  <c r="Q132" i="23" a="1"/>
  <c r="Q132" i="23" s="1"/>
  <c r="R132" i="23" a="1"/>
  <c r="R132" i="23" s="1"/>
  <c r="U132" i="23" a="1"/>
  <c r="U132" i="23" s="1"/>
  <c r="V132" i="23" a="1"/>
  <c r="V132" i="23" s="1"/>
  <c r="W132" i="23" a="1"/>
  <c r="W132" i="23" s="1"/>
  <c r="X132" i="23" a="1"/>
  <c r="X132" i="23" s="1"/>
  <c r="K133" i="23" a="1"/>
  <c r="K133" i="23" s="1"/>
  <c r="L133" i="23" a="1"/>
  <c r="L133" i="23" s="1"/>
  <c r="M133" i="23" a="1"/>
  <c r="M133" i="23" s="1"/>
  <c r="N133" i="23" a="1"/>
  <c r="N133" i="23" s="1"/>
  <c r="O133" i="23" a="1"/>
  <c r="O133" i="23" s="1"/>
  <c r="P133" i="23" a="1"/>
  <c r="P133" i="23" s="1"/>
  <c r="Q133" i="23" a="1"/>
  <c r="Q133" i="23" s="1"/>
  <c r="R133" i="23" a="1"/>
  <c r="R133" i="23" s="1"/>
  <c r="U133" i="23" a="1"/>
  <c r="U133" i="23" s="1"/>
  <c r="V133" i="23" a="1"/>
  <c r="V133" i="23" s="1"/>
  <c r="W133" i="23" a="1"/>
  <c r="W133" i="23" s="1"/>
  <c r="X133" i="23" a="1"/>
  <c r="X133" i="23" s="1"/>
  <c r="K134" i="23" a="1"/>
  <c r="K134" i="23" s="1"/>
  <c r="L134" i="23" a="1"/>
  <c r="L134" i="23" s="1"/>
  <c r="M134" i="23" a="1"/>
  <c r="M134" i="23" s="1"/>
  <c r="N134" i="23" a="1"/>
  <c r="N134" i="23" s="1"/>
  <c r="O134" i="23" a="1"/>
  <c r="O134" i="23" s="1"/>
  <c r="P134" i="23" a="1"/>
  <c r="P134" i="23" s="1"/>
  <c r="Q134" i="23" a="1"/>
  <c r="Q134" i="23" s="1"/>
  <c r="R134" i="23" a="1"/>
  <c r="R134" i="23" s="1"/>
  <c r="U134" i="23" a="1"/>
  <c r="U134" i="23" s="1"/>
  <c r="V134" i="23" a="1"/>
  <c r="V134" i="23" s="1"/>
  <c r="W134" i="23" a="1"/>
  <c r="W134" i="23" s="1"/>
  <c r="X134" i="23" a="1"/>
  <c r="X134" i="23" s="1"/>
  <c r="K135" i="23" a="1"/>
  <c r="K135" i="23" s="1"/>
  <c r="L135" i="23" a="1"/>
  <c r="L135" i="23" s="1"/>
  <c r="M135" i="23" a="1"/>
  <c r="M135" i="23" s="1"/>
  <c r="N135" i="23" a="1"/>
  <c r="N135" i="23" s="1"/>
  <c r="O135" i="23" a="1"/>
  <c r="O135" i="23" s="1"/>
  <c r="P135" i="23" a="1"/>
  <c r="P135" i="23" s="1"/>
  <c r="Q135" i="23" a="1"/>
  <c r="Q135" i="23" s="1"/>
  <c r="R135" i="23" a="1"/>
  <c r="R135" i="23" s="1"/>
  <c r="U135" i="23" a="1"/>
  <c r="U135" i="23" s="1"/>
  <c r="V135" i="23" a="1"/>
  <c r="V135" i="23" s="1"/>
  <c r="W135" i="23" a="1"/>
  <c r="W135" i="23" s="1"/>
  <c r="X135" i="23" a="1"/>
  <c r="X135" i="23" s="1"/>
  <c r="K136" i="23" a="1"/>
  <c r="K136" i="23" s="1"/>
  <c r="L136" i="23" a="1"/>
  <c r="L136" i="23" s="1"/>
  <c r="M136" i="23" a="1"/>
  <c r="M136" i="23" s="1"/>
  <c r="N136" i="23" a="1"/>
  <c r="N136" i="23" s="1"/>
  <c r="O136" i="23" a="1"/>
  <c r="O136" i="23" s="1"/>
  <c r="P136" i="23" a="1"/>
  <c r="P136" i="23" s="1"/>
  <c r="Q136" i="23" a="1"/>
  <c r="Q136" i="23" s="1"/>
  <c r="R136" i="23" a="1"/>
  <c r="R136" i="23" s="1"/>
  <c r="U136" i="23" a="1"/>
  <c r="U136" i="23" s="1"/>
  <c r="V136" i="23" a="1"/>
  <c r="V136" i="23" s="1"/>
  <c r="W136" i="23" a="1"/>
  <c r="W136" i="23" s="1"/>
  <c r="X136" i="23" a="1"/>
  <c r="X136" i="23" s="1"/>
  <c r="AC244" i="30"/>
  <c r="K3" i="30" a="1"/>
  <c r="K3" i="30" s="1"/>
  <c r="L3" i="30" a="1"/>
  <c r="L3" i="30" s="1"/>
  <c r="M3" i="30" a="1"/>
  <c r="M3" i="30" s="1"/>
  <c r="N3" i="30" a="1"/>
  <c r="N3" i="30" s="1"/>
  <c r="O3" i="30" a="1"/>
  <c r="O3" i="30" s="1"/>
  <c r="P3" i="30" a="1"/>
  <c r="P3" i="30" s="1"/>
  <c r="Q3" i="30" a="1"/>
  <c r="Q3" i="30" s="1"/>
  <c r="R3" i="30" a="1"/>
  <c r="R3" i="30" s="1"/>
  <c r="U3" i="30" a="1"/>
  <c r="U3" i="30" s="1"/>
  <c r="V3" i="30" a="1"/>
  <c r="V3" i="30" s="1"/>
  <c r="W3" i="30" a="1"/>
  <c r="W3" i="30" s="1"/>
  <c r="X3" i="30" a="1"/>
  <c r="X3" i="30" s="1"/>
  <c r="K4" i="30" a="1"/>
  <c r="K4" i="30" s="1"/>
  <c r="L4" i="30" a="1"/>
  <c r="L4" i="30" s="1"/>
  <c r="M4" i="30" a="1"/>
  <c r="M4" i="30" s="1"/>
  <c r="N4" i="30" a="1"/>
  <c r="N4" i="30" s="1"/>
  <c r="O4" i="30" a="1"/>
  <c r="O4" i="30" s="1"/>
  <c r="P4" i="30" a="1"/>
  <c r="P4" i="30" s="1"/>
  <c r="Q4" i="30" a="1"/>
  <c r="Q4" i="30" s="1"/>
  <c r="R4" i="30" a="1"/>
  <c r="R4" i="30" s="1"/>
  <c r="U4" i="30" a="1"/>
  <c r="U4" i="30" s="1"/>
  <c r="V4" i="30" a="1"/>
  <c r="V4" i="30" s="1"/>
  <c r="W4" i="30" a="1"/>
  <c r="W4" i="30" s="1"/>
  <c r="X4" i="30" a="1"/>
  <c r="X4" i="30" s="1"/>
  <c r="K5" i="30" a="1"/>
  <c r="K5" i="30" s="1"/>
  <c r="L5" i="30" a="1"/>
  <c r="L5" i="30" s="1"/>
  <c r="M5" i="30" a="1"/>
  <c r="M5" i="30" s="1"/>
  <c r="N5" i="30" a="1"/>
  <c r="N5" i="30" s="1"/>
  <c r="O5" i="30" a="1"/>
  <c r="O5" i="30" s="1"/>
  <c r="P5" i="30" a="1"/>
  <c r="P5" i="30" s="1"/>
  <c r="Q5" i="30" a="1"/>
  <c r="Q5" i="30" s="1"/>
  <c r="R5" i="30" a="1"/>
  <c r="R5" i="30" s="1"/>
  <c r="U5" i="30" a="1"/>
  <c r="U5" i="30" s="1"/>
  <c r="V5" i="30" a="1"/>
  <c r="V5" i="30" s="1"/>
  <c r="W5" i="30" a="1"/>
  <c r="W5" i="30" s="1"/>
  <c r="X5" i="30" a="1"/>
  <c r="X5" i="30" s="1"/>
  <c r="K6" i="30" a="1"/>
  <c r="K6" i="30" s="1"/>
  <c r="L6" i="30" a="1"/>
  <c r="L6" i="30" s="1"/>
  <c r="M6" i="30" a="1"/>
  <c r="M6" i="30" s="1"/>
  <c r="N6" i="30" a="1"/>
  <c r="N6" i="30" s="1"/>
  <c r="O6" i="30" a="1"/>
  <c r="O6" i="30" s="1"/>
  <c r="P6" i="30" a="1"/>
  <c r="P6" i="30" s="1"/>
  <c r="Q6" i="30" a="1"/>
  <c r="Q6" i="30" s="1"/>
  <c r="R6" i="30" a="1"/>
  <c r="R6" i="30" s="1"/>
  <c r="U6" i="30" a="1"/>
  <c r="U6" i="30" s="1"/>
  <c r="V6" i="30" a="1"/>
  <c r="V6" i="30" s="1"/>
  <c r="W6" i="30" a="1"/>
  <c r="W6" i="30" s="1"/>
  <c r="X6" i="30" a="1"/>
  <c r="X6" i="30" s="1"/>
  <c r="K7" i="30" a="1"/>
  <c r="K7" i="30" s="1"/>
  <c r="L7" i="30" a="1"/>
  <c r="L7" i="30" s="1"/>
  <c r="M7" i="30" a="1"/>
  <c r="M7" i="30" s="1"/>
  <c r="N7" i="30" a="1"/>
  <c r="N7" i="30" s="1"/>
  <c r="O7" i="30" a="1"/>
  <c r="O7" i="30" s="1"/>
  <c r="P7" i="30" a="1"/>
  <c r="P7" i="30" s="1"/>
  <c r="Q7" i="30" a="1"/>
  <c r="Q7" i="30" s="1"/>
  <c r="R7" i="30" a="1"/>
  <c r="R7" i="30" s="1"/>
  <c r="U7" i="30" a="1"/>
  <c r="U7" i="30" s="1"/>
  <c r="V7" i="30" a="1"/>
  <c r="V7" i="30" s="1"/>
  <c r="W7" i="30" a="1"/>
  <c r="W7" i="30" s="1"/>
  <c r="X7" i="30" a="1"/>
  <c r="X7" i="30" s="1"/>
  <c r="K8" i="30" a="1"/>
  <c r="K8" i="30" s="1"/>
  <c r="L8" i="30" a="1"/>
  <c r="L8" i="30" s="1"/>
  <c r="M8" i="30" a="1"/>
  <c r="M8" i="30" s="1"/>
  <c r="N8" i="30" a="1"/>
  <c r="N8" i="30" s="1"/>
  <c r="O8" i="30" a="1"/>
  <c r="O8" i="30" s="1"/>
  <c r="P8" i="30" a="1"/>
  <c r="P8" i="30" s="1"/>
  <c r="Q8" i="30" a="1"/>
  <c r="Q8" i="30" s="1"/>
  <c r="R8" i="30" a="1"/>
  <c r="R8" i="30" s="1"/>
  <c r="U8" i="30" a="1"/>
  <c r="U8" i="30" s="1"/>
  <c r="V8" i="30" a="1"/>
  <c r="V8" i="30" s="1"/>
  <c r="W8" i="30" a="1"/>
  <c r="W8" i="30" s="1"/>
  <c r="X8" i="30" a="1"/>
  <c r="X8" i="30" s="1"/>
  <c r="K9" i="30" a="1"/>
  <c r="K9" i="30" s="1"/>
  <c r="L9" i="30" a="1"/>
  <c r="L9" i="30" s="1"/>
  <c r="M9" i="30" a="1"/>
  <c r="M9" i="30" s="1"/>
  <c r="N9" i="30" a="1"/>
  <c r="N9" i="30" s="1"/>
  <c r="O9" i="30" a="1"/>
  <c r="O9" i="30" s="1"/>
  <c r="P9" i="30" a="1"/>
  <c r="P9" i="30" s="1"/>
  <c r="Q9" i="30" a="1"/>
  <c r="Q9" i="30" s="1"/>
  <c r="R9" i="30" a="1"/>
  <c r="R9" i="30" s="1"/>
  <c r="U9" i="30" a="1"/>
  <c r="U9" i="30" s="1"/>
  <c r="V9" i="30" a="1"/>
  <c r="V9" i="30" s="1"/>
  <c r="W9" i="30" a="1"/>
  <c r="W9" i="30" s="1"/>
  <c r="X9" i="30" a="1"/>
  <c r="X9" i="30" s="1"/>
  <c r="K10" i="30" a="1"/>
  <c r="K10" i="30" s="1"/>
  <c r="L10" i="30" a="1"/>
  <c r="L10" i="30" s="1"/>
  <c r="M10" i="30" a="1"/>
  <c r="M10" i="30" s="1"/>
  <c r="N10" i="30" a="1"/>
  <c r="N10" i="30" s="1"/>
  <c r="O10" i="30" a="1"/>
  <c r="O10" i="30" s="1"/>
  <c r="P10" i="30" a="1"/>
  <c r="P10" i="30" s="1"/>
  <c r="Q10" i="30" a="1"/>
  <c r="Q10" i="30" s="1"/>
  <c r="R10" i="30" a="1"/>
  <c r="R10" i="30" s="1"/>
  <c r="U10" i="30" a="1"/>
  <c r="U10" i="30" s="1"/>
  <c r="V10" i="30" a="1"/>
  <c r="V10" i="30" s="1"/>
  <c r="W10" i="30" a="1"/>
  <c r="W10" i="30" s="1"/>
  <c r="X10" i="30" a="1"/>
  <c r="X10" i="30" s="1"/>
  <c r="K11" i="30" a="1"/>
  <c r="K11" i="30" s="1"/>
  <c r="L11" i="30" a="1"/>
  <c r="L11" i="30" s="1"/>
  <c r="M11" i="30" a="1"/>
  <c r="M11" i="30" s="1"/>
  <c r="N11" i="30" a="1"/>
  <c r="N11" i="30" s="1"/>
  <c r="O11" i="30" a="1"/>
  <c r="O11" i="30" s="1"/>
  <c r="P11" i="30" a="1"/>
  <c r="P11" i="30" s="1"/>
  <c r="Q11" i="30" a="1"/>
  <c r="Q11" i="30" s="1"/>
  <c r="R11" i="30" a="1"/>
  <c r="R11" i="30" s="1"/>
  <c r="U11" i="30" a="1"/>
  <c r="U11" i="30" s="1"/>
  <c r="V11" i="30" a="1"/>
  <c r="V11" i="30" s="1"/>
  <c r="W11" i="30" a="1"/>
  <c r="W11" i="30" s="1"/>
  <c r="X11" i="30" a="1"/>
  <c r="X11" i="30" s="1"/>
  <c r="K12" i="30" a="1"/>
  <c r="K12" i="30" s="1"/>
  <c r="L12" i="30" a="1"/>
  <c r="L12" i="30" s="1"/>
  <c r="M12" i="30" a="1"/>
  <c r="M12" i="30" s="1"/>
  <c r="N12" i="30" a="1"/>
  <c r="N12" i="30" s="1"/>
  <c r="O12" i="30" a="1"/>
  <c r="O12" i="30" s="1"/>
  <c r="P12" i="30" a="1"/>
  <c r="P12" i="30" s="1"/>
  <c r="Q12" i="30" a="1"/>
  <c r="Q12" i="30" s="1"/>
  <c r="R12" i="30" a="1"/>
  <c r="R12" i="30" s="1"/>
  <c r="U12" i="30" a="1"/>
  <c r="U12" i="30" s="1"/>
  <c r="V12" i="30" a="1"/>
  <c r="V12" i="30" s="1"/>
  <c r="W12" i="30" a="1"/>
  <c r="W12" i="30" s="1"/>
  <c r="X12" i="30" a="1"/>
  <c r="X12" i="30" s="1"/>
  <c r="K13" i="30" a="1"/>
  <c r="K13" i="30" s="1"/>
  <c r="L13" i="30" a="1"/>
  <c r="L13" i="30" s="1"/>
  <c r="M13" i="30" a="1"/>
  <c r="M13" i="30" s="1"/>
  <c r="N13" i="30" a="1"/>
  <c r="N13" i="30" s="1"/>
  <c r="O13" i="30" a="1"/>
  <c r="O13" i="30" s="1"/>
  <c r="P13" i="30" a="1"/>
  <c r="P13" i="30" s="1"/>
  <c r="Q13" i="30" a="1"/>
  <c r="Q13" i="30" s="1"/>
  <c r="R13" i="30" a="1"/>
  <c r="R13" i="30" s="1"/>
  <c r="U13" i="30" a="1"/>
  <c r="U13" i="30" s="1"/>
  <c r="V13" i="30" a="1"/>
  <c r="V13" i="30" s="1"/>
  <c r="W13" i="30" a="1"/>
  <c r="W13" i="30" s="1"/>
  <c r="X13" i="30" a="1"/>
  <c r="X13" i="30" s="1"/>
  <c r="K14" i="30" a="1"/>
  <c r="K14" i="30" s="1"/>
  <c r="L14" i="30" a="1"/>
  <c r="L14" i="30" s="1"/>
  <c r="M14" i="30" a="1"/>
  <c r="M14" i="30" s="1"/>
  <c r="N14" i="30" a="1"/>
  <c r="N14" i="30" s="1"/>
  <c r="O14" i="30" a="1"/>
  <c r="O14" i="30" s="1"/>
  <c r="P14" i="30" a="1"/>
  <c r="P14" i="30" s="1"/>
  <c r="Q14" i="30" a="1"/>
  <c r="Q14" i="30" s="1"/>
  <c r="R14" i="30" a="1"/>
  <c r="R14" i="30" s="1"/>
  <c r="U14" i="30" a="1"/>
  <c r="U14" i="30" s="1"/>
  <c r="V14" i="30" a="1"/>
  <c r="V14" i="30" s="1"/>
  <c r="W14" i="30" a="1"/>
  <c r="W14" i="30" s="1"/>
  <c r="X14" i="30" a="1"/>
  <c r="X14" i="30" s="1"/>
  <c r="K15" i="30" a="1"/>
  <c r="K15" i="30" s="1"/>
  <c r="L15" i="30" a="1"/>
  <c r="L15" i="30" s="1"/>
  <c r="M15" i="30" a="1"/>
  <c r="M15" i="30" s="1"/>
  <c r="N15" i="30" a="1"/>
  <c r="N15" i="30" s="1"/>
  <c r="O15" i="30" a="1"/>
  <c r="O15" i="30" s="1"/>
  <c r="P15" i="30" a="1"/>
  <c r="P15" i="30" s="1"/>
  <c r="Q15" i="30" a="1"/>
  <c r="Q15" i="30" s="1"/>
  <c r="R15" i="30" a="1"/>
  <c r="R15" i="30" s="1"/>
  <c r="U15" i="30" a="1"/>
  <c r="U15" i="30" s="1"/>
  <c r="V15" i="30" a="1"/>
  <c r="V15" i="30" s="1"/>
  <c r="W15" i="30" a="1"/>
  <c r="W15" i="30" s="1"/>
  <c r="X15" i="30" a="1"/>
  <c r="X15" i="30" s="1"/>
  <c r="K16" i="30" a="1"/>
  <c r="K16" i="30" s="1"/>
  <c r="L16" i="30" a="1"/>
  <c r="L16" i="30" s="1"/>
  <c r="M16" i="30" a="1"/>
  <c r="M16" i="30" s="1"/>
  <c r="N16" i="30" a="1"/>
  <c r="N16" i="30" s="1"/>
  <c r="O16" i="30" a="1"/>
  <c r="O16" i="30" s="1"/>
  <c r="P16" i="30" a="1"/>
  <c r="P16" i="30" s="1"/>
  <c r="Q16" i="30" a="1"/>
  <c r="Q16" i="30" s="1"/>
  <c r="R16" i="30" a="1"/>
  <c r="R16" i="30" s="1"/>
  <c r="U16" i="30" a="1"/>
  <c r="U16" i="30" s="1"/>
  <c r="V16" i="30" a="1"/>
  <c r="V16" i="30" s="1"/>
  <c r="W16" i="30" a="1"/>
  <c r="W16" i="30" s="1"/>
  <c r="X16" i="30" a="1"/>
  <c r="X16" i="30" s="1"/>
  <c r="K17" i="30" a="1"/>
  <c r="K17" i="30" s="1"/>
  <c r="L17" i="30" a="1"/>
  <c r="L17" i="30" s="1"/>
  <c r="M17" i="30" a="1"/>
  <c r="M17" i="30" s="1"/>
  <c r="N17" i="30" a="1"/>
  <c r="N17" i="30" s="1"/>
  <c r="O17" i="30" a="1"/>
  <c r="O17" i="30" s="1"/>
  <c r="P17" i="30" a="1"/>
  <c r="P17" i="30" s="1"/>
  <c r="Q17" i="30" a="1"/>
  <c r="Q17" i="30" s="1"/>
  <c r="R17" i="30" a="1"/>
  <c r="R17" i="30" s="1"/>
  <c r="U17" i="30" a="1"/>
  <c r="U17" i="30" s="1"/>
  <c r="V17" i="30" a="1"/>
  <c r="V17" i="30" s="1"/>
  <c r="W17" i="30" a="1"/>
  <c r="W17" i="30" s="1"/>
  <c r="X17" i="30" a="1"/>
  <c r="X17" i="30" s="1"/>
  <c r="K18" i="30" a="1"/>
  <c r="K18" i="30" s="1"/>
  <c r="L18" i="30" a="1"/>
  <c r="L18" i="30" s="1"/>
  <c r="M18" i="30" a="1"/>
  <c r="M18" i="30" s="1"/>
  <c r="N18" i="30" a="1"/>
  <c r="N18" i="30" s="1"/>
  <c r="O18" i="30" a="1"/>
  <c r="O18" i="30" s="1"/>
  <c r="P18" i="30" a="1"/>
  <c r="P18" i="30" s="1"/>
  <c r="Q18" i="30" a="1"/>
  <c r="Q18" i="30" s="1"/>
  <c r="R18" i="30" a="1"/>
  <c r="R18" i="30" s="1"/>
  <c r="U18" i="30" a="1"/>
  <c r="U18" i="30" s="1"/>
  <c r="V18" i="30" a="1"/>
  <c r="V18" i="30" s="1"/>
  <c r="W18" i="30" a="1"/>
  <c r="W18" i="30" s="1"/>
  <c r="X18" i="30" a="1"/>
  <c r="X18" i="30" s="1"/>
  <c r="K19" i="30" a="1"/>
  <c r="K19" i="30" s="1"/>
  <c r="L19" i="30" a="1"/>
  <c r="L19" i="30" s="1"/>
  <c r="M19" i="30" a="1"/>
  <c r="M19" i="30" s="1"/>
  <c r="N19" i="30" a="1"/>
  <c r="N19" i="30" s="1"/>
  <c r="O19" i="30" a="1"/>
  <c r="O19" i="30" s="1"/>
  <c r="P19" i="30" a="1"/>
  <c r="P19" i="30" s="1"/>
  <c r="Q19" i="30" a="1"/>
  <c r="Q19" i="30" s="1"/>
  <c r="R19" i="30" a="1"/>
  <c r="R19" i="30" s="1"/>
  <c r="U19" i="30" a="1"/>
  <c r="U19" i="30" s="1"/>
  <c r="V19" i="30" a="1"/>
  <c r="V19" i="30" s="1"/>
  <c r="W19" i="30" a="1"/>
  <c r="W19" i="30" s="1"/>
  <c r="X19" i="30" a="1"/>
  <c r="X19" i="30" s="1"/>
  <c r="K20" i="30" a="1"/>
  <c r="K20" i="30" s="1"/>
  <c r="L20" i="30" a="1"/>
  <c r="L20" i="30" s="1"/>
  <c r="M20" i="30" a="1"/>
  <c r="M20" i="30" s="1"/>
  <c r="N20" i="30" a="1"/>
  <c r="N20" i="30" s="1"/>
  <c r="O20" i="30" a="1"/>
  <c r="O20" i="30" s="1"/>
  <c r="P20" i="30" a="1"/>
  <c r="P20" i="30" s="1"/>
  <c r="Q20" i="30" a="1"/>
  <c r="Q20" i="30" s="1"/>
  <c r="R20" i="30" a="1"/>
  <c r="R20" i="30" s="1"/>
  <c r="U20" i="30" a="1"/>
  <c r="U20" i="30" s="1"/>
  <c r="V20" i="30" a="1"/>
  <c r="V20" i="30" s="1"/>
  <c r="W20" i="30" a="1"/>
  <c r="W20" i="30" s="1"/>
  <c r="X20" i="30" a="1"/>
  <c r="X20" i="30" s="1"/>
  <c r="K21" i="30" a="1"/>
  <c r="K21" i="30" s="1"/>
  <c r="L21" i="30" a="1"/>
  <c r="L21" i="30" s="1"/>
  <c r="M21" i="30" a="1"/>
  <c r="M21" i="30" s="1"/>
  <c r="N21" i="30" a="1"/>
  <c r="N21" i="30" s="1"/>
  <c r="O21" i="30" a="1"/>
  <c r="O21" i="30" s="1"/>
  <c r="P21" i="30" a="1"/>
  <c r="P21" i="30" s="1"/>
  <c r="Q21" i="30" a="1"/>
  <c r="Q21" i="30" s="1"/>
  <c r="R21" i="30" a="1"/>
  <c r="R21" i="30" s="1"/>
  <c r="U21" i="30" a="1"/>
  <c r="U21" i="30" s="1"/>
  <c r="V21" i="30" a="1"/>
  <c r="V21" i="30" s="1"/>
  <c r="W21" i="30" a="1"/>
  <c r="W21" i="30" s="1"/>
  <c r="X21" i="30" a="1"/>
  <c r="X21" i="30" s="1"/>
  <c r="K22" i="30" a="1"/>
  <c r="K22" i="30" s="1"/>
  <c r="L22" i="30" a="1"/>
  <c r="L22" i="30" s="1"/>
  <c r="M22" i="30" a="1"/>
  <c r="M22" i="30" s="1"/>
  <c r="N22" i="30" a="1"/>
  <c r="N22" i="30" s="1"/>
  <c r="O22" i="30" a="1"/>
  <c r="O22" i="30" s="1"/>
  <c r="P22" i="30" a="1"/>
  <c r="P22" i="30" s="1"/>
  <c r="Q22" i="30" a="1"/>
  <c r="Q22" i="30" s="1"/>
  <c r="R22" i="30" a="1"/>
  <c r="R22" i="30" s="1"/>
  <c r="U22" i="30" a="1"/>
  <c r="U22" i="30" s="1"/>
  <c r="V22" i="30" a="1"/>
  <c r="V22" i="30" s="1"/>
  <c r="W22" i="30" a="1"/>
  <c r="W22" i="30" s="1"/>
  <c r="X22" i="30" a="1"/>
  <c r="X22" i="30" s="1"/>
  <c r="K23" i="30" a="1"/>
  <c r="K23" i="30" s="1"/>
  <c r="L23" i="30" a="1"/>
  <c r="L23" i="30" s="1"/>
  <c r="M23" i="30" a="1"/>
  <c r="M23" i="30" s="1"/>
  <c r="N23" i="30" a="1"/>
  <c r="N23" i="30" s="1"/>
  <c r="O23" i="30" a="1"/>
  <c r="O23" i="30" s="1"/>
  <c r="P23" i="30" a="1"/>
  <c r="P23" i="30" s="1"/>
  <c r="Q23" i="30" a="1"/>
  <c r="Q23" i="30" s="1"/>
  <c r="R23" i="30" a="1"/>
  <c r="R23" i="30" s="1"/>
  <c r="U23" i="30" a="1"/>
  <c r="U23" i="30" s="1"/>
  <c r="V23" i="30" a="1"/>
  <c r="V23" i="30" s="1"/>
  <c r="W23" i="30" a="1"/>
  <c r="W23" i="30" s="1"/>
  <c r="X23" i="30" a="1"/>
  <c r="X23" i="30" s="1"/>
  <c r="K24" i="30" a="1"/>
  <c r="K24" i="30" s="1"/>
  <c r="L24" i="30" a="1"/>
  <c r="L24" i="30" s="1"/>
  <c r="M24" i="30" a="1"/>
  <c r="M24" i="30" s="1"/>
  <c r="N24" i="30" a="1"/>
  <c r="N24" i="30" s="1"/>
  <c r="O24" i="30" a="1"/>
  <c r="O24" i="30" s="1"/>
  <c r="P24" i="30" a="1"/>
  <c r="P24" i="30" s="1"/>
  <c r="Q24" i="30" a="1"/>
  <c r="Q24" i="30" s="1"/>
  <c r="R24" i="30" a="1"/>
  <c r="R24" i="30" s="1"/>
  <c r="U24" i="30" a="1"/>
  <c r="U24" i="30" s="1"/>
  <c r="V24" i="30" a="1"/>
  <c r="V24" i="30" s="1"/>
  <c r="W24" i="30" a="1"/>
  <c r="W24" i="30" s="1"/>
  <c r="X24" i="30" a="1"/>
  <c r="X24" i="30" s="1"/>
  <c r="K25" i="30" a="1"/>
  <c r="K25" i="30" s="1"/>
  <c r="L25" i="30" a="1"/>
  <c r="L25" i="30" s="1"/>
  <c r="M25" i="30" a="1"/>
  <c r="M25" i="30" s="1"/>
  <c r="N25" i="30" a="1"/>
  <c r="N25" i="30" s="1"/>
  <c r="O25" i="30" a="1"/>
  <c r="O25" i="30" s="1"/>
  <c r="P25" i="30" a="1"/>
  <c r="P25" i="30" s="1"/>
  <c r="Q25" i="30" a="1"/>
  <c r="Q25" i="30" s="1"/>
  <c r="R25" i="30" a="1"/>
  <c r="R25" i="30" s="1"/>
  <c r="U25" i="30" a="1"/>
  <c r="U25" i="30" s="1"/>
  <c r="V25" i="30" a="1"/>
  <c r="V25" i="30" s="1"/>
  <c r="W25" i="30" a="1"/>
  <c r="W25" i="30" s="1"/>
  <c r="X25" i="30" a="1"/>
  <c r="X25" i="30" s="1"/>
  <c r="K26" i="30" a="1"/>
  <c r="K26" i="30" s="1"/>
  <c r="L26" i="30" a="1"/>
  <c r="L26" i="30" s="1"/>
  <c r="M26" i="30" a="1"/>
  <c r="M26" i="30" s="1"/>
  <c r="N26" i="30" a="1"/>
  <c r="N26" i="30" s="1"/>
  <c r="O26" i="30" a="1"/>
  <c r="O26" i="30" s="1"/>
  <c r="P26" i="30" a="1"/>
  <c r="P26" i="30" s="1"/>
  <c r="Q26" i="30" a="1"/>
  <c r="Q26" i="30" s="1"/>
  <c r="R26" i="30" a="1"/>
  <c r="R26" i="30" s="1"/>
  <c r="U26" i="30" a="1"/>
  <c r="U26" i="30" s="1"/>
  <c r="V26" i="30" a="1"/>
  <c r="V26" i="30" s="1"/>
  <c r="W26" i="30" a="1"/>
  <c r="W26" i="30" s="1"/>
  <c r="X26" i="30" a="1"/>
  <c r="X26" i="30" s="1"/>
  <c r="K27" i="30" a="1"/>
  <c r="K27" i="30" s="1"/>
  <c r="L27" i="30" a="1"/>
  <c r="L27" i="30" s="1"/>
  <c r="M27" i="30" a="1"/>
  <c r="M27" i="30" s="1"/>
  <c r="N27" i="30" a="1"/>
  <c r="N27" i="30" s="1"/>
  <c r="O27" i="30" a="1"/>
  <c r="O27" i="30" s="1"/>
  <c r="P27" i="30" a="1"/>
  <c r="P27" i="30" s="1"/>
  <c r="Q27" i="30" a="1"/>
  <c r="Q27" i="30" s="1"/>
  <c r="R27" i="30" a="1"/>
  <c r="R27" i="30" s="1"/>
  <c r="U27" i="30" a="1"/>
  <c r="U27" i="30" s="1"/>
  <c r="V27" i="30" a="1"/>
  <c r="V27" i="30" s="1"/>
  <c r="W27" i="30" a="1"/>
  <c r="W27" i="30" s="1"/>
  <c r="X27" i="30" a="1"/>
  <c r="X27" i="30" s="1"/>
  <c r="K28" i="30" a="1"/>
  <c r="K28" i="30" s="1"/>
  <c r="L28" i="30" a="1"/>
  <c r="L28" i="30" s="1"/>
  <c r="M28" i="30" a="1"/>
  <c r="M28" i="30" s="1"/>
  <c r="N28" i="30" a="1"/>
  <c r="N28" i="30" s="1"/>
  <c r="O28" i="30" a="1"/>
  <c r="O28" i="30" s="1"/>
  <c r="P28" i="30" a="1"/>
  <c r="P28" i="30" s="1"/>
  <c r="Q28" i="30" a="1"/>
  <c r="Q28" i="30" s="1"/>
  <c r="R28" i="30" a="1"/>
  <c r="R28" i="30" s="1"/>
  <c r="U28" i="30" a="1"/>
  <c r="U28" i="30" s="1"/>
  <c r="V28" i="30" a="1"/>
  <c r="V28" i="30" s="1"/>
  <c r="W28" i="30" a="1"/>
  <c r="W28" i="30" s="1"/>
  <c r="X28" i="30" a="1"/>
  <c r="X28" i="30" s="1"/>
  <c r="K29" i="30" a="1"/>
  <c r="K29" i="30" s="1"/>
  <c r="L29" i="30" a="1"/>
  <c r="L29" i="30" s="1"/>
  <c r="M29" i="30" a="1"/>
  <c r="M29" i="30" s="1"/>
  <c r="N29" i="30" a="1"/>
  <c r="N29" i="30" s="1"/>
  <c r="O29" i="30" a="1"/>
  <c r="O29" i="30" s="1"/>
  <c r="P29" i="30" a="1"/>
  <c r="P29" i="30" s="1"/>
  <c r="Q29" i="30" a="1"/>
  <c r="Q29" i="30" s="1"/>
  <c r="R29" i="30" a="1"/>
  <c r="R29" i="30" s="1"/>
  <c r="U29" i="30" a="1"/>
  <c r="U29" i="30" s="1"/>
  <c r="V29" i="30" a="1"/>
  <c r="V29" i="30" s="1"/>
  <c r="W29" i="30" a="1"/>
  <c r="W29" i="30" s="1"/>
  <c r="X29" i="30" a="1"/>
  <c r="X29" i="30" s="1"/>
  <c r="K30" i="30" a="1"/>
  <c r="K30" i="30" s="1"/>
  <c r="L30" i="30" a="1"/>
  <c r="L30" i="30" s="1"/>
  <c r="M30" i="30" a="1"/>
  <c r="M30" i="30" s="1"/>
  <c r="N30" i="30" a="1"/>
  <c r="N30" i="30" s="1"/>
  <c r="O30" i="30" a="1"/>
  <c r="O30" i="30" s="1"/>
  <c r="P30" i="30" a="1"/>
  <c r="P30" i="30" s="1"/>
  <c r="Q30" i="30" a="1"/>
  <c r="Q30" i="30" s="1"/>
  <c r="R30" i="30" a="1"/>
  <c r="R30" i="30" s="1"/>
  <c r="U30" i="30" a="1"/>
  <c r="U30" i="30" s="1"/>
  <c r="V30" i="30" a="1"/>
  <c r="V30" i="30" s="1"/>
  <c r="W30" i="30" a="1"/>
  <c r="W30" i="30" s="1"/>
  <c r="X30" i="30" a="1"/>
  <c r="X30" i="30" s="1"/>
  <c r="K31" i="30" a="1"/>
  <c r="K31" i="30" s="1"/>
  <c r="L31" i="30" a="1"/>
  <c r="L31" i="30" s="1"/>
  <c r="M31" i="30" a="1"/>
  <c r="M31" i="30" s="1"/>
  <c r="N31" i="30" a="1"/>
  <c r="N31" i="30" s="1"/>
  <c r="O31" i="30" a="1"/>
  <c r="O31" i="30" s="1"/>
  <c r="P31" i="30" a="1"/>
  <c r="P31" i="30" s="1"/>
  <c r="Q31" i="30" a="1"/>
  <c r="Q31" i="30" s="1"/>
  <c r="R31" i="30" a="1"/>
  <c r="R31" i="30" s="1"/>
  <c r="U31" i="30" a="1"/>
  <c r="U31" i="30" s="1"/>
  <c r="V31" i="30" a="1"/>
  <c r="V31" i="30" s="1"/>
  <c r="W31" i="30" a="1"/>
  <c r="W31" i="30" s="1"/>
  <c r="X31" i="30" a="1"/>
  <c r="X31" i="30" s="1"/>
  <c r="K32" i="30" a="1"/>
  <c r="K32" i="30" s="1"/>
  <c r="L32" i="30" a="1"/>
  <c r="L32" i="30" s="1"/>
  <c r="M32" i="30" a="1"/>
  <c r="M32" i="30" s="1"/>
  <c r="N32" i="30" a="1"/>
  <c r="N32" i="30" s="1"/>
  <c r="O32" i="30" a="1"/>
  <c r="O32" i="30" s="1"/>
  <c r="P32" i="30" a="1"/>
  <c r="P32" i="30" s="1"/>
  <c r="Q32" i="30" a="1"/>
  <c r="Q32" i="30" s="1"/>
  <c r="R32" i="30" a="1"/>
  <c r="R32" i="30" s="1"/>
  <c r="U32" i="30" a="1"/>
  <c r="U32" i="30" s="1"/>
  <c r="V32" i="30" a="1"/>
  <c r="V32" i="30" s="1"/>
  <c r="W32" i="30" a="1"/>
  <c r="W32" i="30" s="1"/>
  <c r="X32" i="30" a="1"/>
  <c r="X32" i="30" s="1"/>
  <c r="K33" i="30" a="1"/>
  <c r="K33" i="30" s="1"/>
  <c r="L33" i="30" a="1"/>
  <c r="L33" i="30" s="1"/>
  <c r="M33" i="30" a="1"/>
  <c r="M33" i="30" s="1"/>
  <c r="N33" i="30" a="1"/>
  <c r="N33" i="30" s="1"/>
  <c r="O33" i="30" a="1"/>
  <c r="O33" i="30" s="1"/>
  <c r="P33" i="30" a="1"/>
  <c r="P33" i="30" s="1"/>
  <c r="Q33" i="30" a="1"/>
  <c r="Q33" i="30" s="1"/>
  <c r="R33" i="30" a="1"/>
  <c r="R33" i="30" s="1"/>
  <c r="U33" i="30" a="1"/>
  <c r="U33" i="30" s="1"/>
  <c r="V33" i="30" a="1"/>
  <c r="V33" i="30" s="1"/>
  <c r="W33" i="30" a="1"/>
  <c r="W33" i="30" s="1"/>
  <c r="X33" i="30" a="1"/>
  <c r="X33" i="30" s="1"/>
  <c r="K34" i="30" a="1"/>
  <c r="K34" i="30" s="1"/>
  <c r="L34" i="30" a="1"/>
  <c r="L34" i="30" s="1"/>
  <c r="M34" i="30" a="1"/>
  <c r="M34" i="30" s="1"/>
  <c r="N34" i="30" a="1"/>
  <c r="N34" i="30" s="1"/>
  <c r="O34" i="30" a="1"/>
  <c r="O34" i="30" s="1"/>
  <c r="P34" i="30" a="1"/>
  <c r="P34" i="30" s="1"/>
  <c r="Q34" i="30" a="1"/>
  <c r="Q34" i="30" s="1"/>
  <c r="R34" i="30" a="1"/>
  <c r="R34" i="30" s="1"/>
  <c r="U34" i="30" a="1"/>
  <c r="U34" i="30" s="1"/>
  <c r="V34" i="30" a="1"/>
  <c r="V34" i="30" s="1"/>
  <c r="W34" i="30" a="1"/>
  <c r="W34" i="30" s="1"/>
  <c r="X34" i="30" a="1"/>
  <c r="X34" i="30" s="1"/>
  <c r="K35" i="30" a="1"/>
  <c r="K35" i="30" s="1"/>
  <c r="L35" i="30" a="1"/>
  <c r="L35" i="30" s="1"/>
  <c r="M35" i="30" a="1"/>
  <c r="M35" i="30" s="1"/>
  <c r="N35" i="30" a="1"/>
  <c r="N35" i="30" s="1"/>
  <c r="O35" i="30" a="1"/>
  <c r="O35" i="30" s="1"/>
  <c r="P35" i="30" a="1"/>
  <c r="P35" i="30" s="1"/>
  <c r="Q35" i="30" a="1"/>
  <c r="Q35" i="30" s="1"/>
  <c r="R35" i="30" a="1"/>
  <c r="R35" i="30" s="1"/>
  <c r="U35" i="30" a="1"/>
  <c r="U35" i="30" s="1"/>
  <c r="V35" i="30" a="1"/>
  <c r="V35" i="30" s="1"/>
  <c r="W35" i="30" a="1"/>
  <c r="W35" i="30" s="1"/>
  <c r="X35" i="30" a="1"/>
  <c r="X35" i="30" s="1"/>
  <c r="K36" i="30" a="1"/>
  <c r="K36" i="30" s="1"/>
  <c r="L36" i="30" a="1"/>
  <c r="L36" i="30" s="1"/>
  <c r="M36" i="30" a="1"/>
  <c r="M36" i="30" s="1"/>
  <c r="N36" i="30" a="1"/>
  <c r="N36" i="30" s="1"/>
  <c r="O36" i="30" a="1"/>
  <c r="O36" i="30" s="1"/>
  <c r="P36" i="30" a="1"/>
  <c r="P36" i="30" s="1"/>
  <c r="Q36" i="30" a="1"/>
  <c r="Q36" i="30" s="1"/>
  <c r="R36" i="30" a="1"/>
  <c r="R36" i="30" s="1"/>
  <c r="U36" i="30" a="1"/>
  <c r="U36" i="30" s="1"/>
  <c r="V36" i="30" a="1"/>
  <c r="V36" i="30" s="1"/>
  <c r="W36" i="30" a="1"/>
  <c r="W36" i="30" s="1"/>
  <c r="X36" i="30" a="1"/>
  <c r="X36" i="30" s="1"/>
  <c r="K37" i="30" a="1"/>
  <c r="K37" i="30" s="1"/>
  <c r="L37" i="30" a="1"/>
  <c r="L37" i="30" s="1"/>
  <c r="M37" i="30" a="1"/>
  <c r="M37" i="30" s="1"/>
  <c r="N37" i="30" a="1"/>
  <c r="N37" i="30" s="1"/>
  <c r="O37" i="30" a="1"/>
  <c r="O37" i="30" s="1"/>
  <c r="P37" i="30" a="1"/>
  <c r="P37" i="30" s="1"/>
  <c r="Q37" i="30" a="1"/>
  <c r="Q37" i="30" s="1"/>
  <c r="R37" i="30" a="1"/>
  <c r="R37" i="30" s="1"/>
  <c r="U37" i="30" a="1"/>
  <c r="U37" i="30" s="1"/>
  <c r="V37" i="30" a="1"/>
  <c r="V37" i="30" s="1"/>
  <c r="W37" i="30" a="1"/>
  <c r="W37" i="30" s="1"/>
  <c r="X37" i="30" a="1"/>
  <c r="X37" i="30" s="1"/>
  <c r="K38" i="30" a="1"/>
  <c r="K38" i="30" s="1"/>
  <c r="L38" i="30" a="1"/>
  <c r="L38" i="30" s="1"/>
  <c r="M38" i="30" a="1"/>
  <c r="M38" i="30" s="1"/>
  <c r="N38" i="30" a="1"/>
  <c r="N38" i="30" s="1"/>
  <c r="O38" i="30" a="1"/>
  <c r="O38" i="30" s="1"/>
  <c r="P38" i="30" a="1"/>
  <c r="P38" i="30" s="1"/>
  <c r="Q38" i="30" a="1"/>
  <c r="Q38" i="30" s="1"/>
  <c r="R38" i="30" a="1"/>
  <c r="R38" i="30" s="1"/>
  <c r="U38" i="30" a="1"/>
  <c r="U38" i="30" s="1"/>
  <c r="V38" i="30" a="1"/>
  <c r="V38" i="30" s="1"/>
  <c r="W38" i="30" a="1"/>
  <c r="W38" i="30" s="1"/>
  <c r="X38" i="30" a="1"/>
  <c r="X38" i="30" s="1"/>
  <c r="K39" i="30" a="1"/>
  <c r="K39" i="30" s="1"/>
  <c r="L39" i="30" a="1"/>
  <c r="L39" i="30" s="1"/>
  <c r="M39" i="30" a="1"/>
  <c r="M39" i="30" s="1"/>
  <c r="N39" i="30" a="1"/>
  <c r="N39" i="30" s="1"/>
  <c r="O39" i="30" a="1"/>
  <c r="O39" i="30" s="1"/>
  <c r="P39" i="30" a="1"/>
  <c r="P39" i="30" s="1"/>
  <c r="Q39" i="30" a="1"/>
  <c r="Q39" i="30" s="1"/>
  <c r="R39" i="30" a="1"/>
  <c r="R39" i="30" s="1"/>
  <c r="U39" i="30" a="1"/>
  <c r="U39" i="30" s="1"/>
  <c r="V39" i="30" a="1"/>
  <c r="V39" i="30" s="1"/>
  <c r="W39" i="30" a="1"/>
  <c r="W39" i="30" s="1"/>
  <c r="X39" i="30" a="1"/>
  <c r="X39" i="30" s="1"/>
  <c r="K40" i="30" a="1"/>
  <c r="K40" i="30" s="1"/>
  <c r="L40" i="30" a="1"/>
  <c r="L40" i="30" s="1"/>
  <c r="M40" i="30" a="1"/>
  <c r="M40" i="30" s="1"/>
  <c r="N40" i="30" a="1"/>
  <c r="N40" i="30" s="1"/>
  <c r="O40" i="30" a="1"/>
  <c r="O40" i="30" s="1"/>
  <c r="P40" i="30" a="1"/>
  <c r="P40" i="30" s="1"/>
  <c r="Q40" i="30" a="1"/>
  <c r="Q40" i="30" s="1"/>
  <c r="R40" i="30" a="1"/>
  <c r="R40" i="30" s="1"/>
  <c r="U40" i="30" a="1"/>
  <c r="U40" i="30" s="1"/>
  <c r="V40" i="30" a="1"/>
  <c r="V40" i="30" s="1"/>
  <c r="W40" i="30" a="1"/>
  <c r="W40" i="30" s="1"/>
  <c r="X40" i="30" a="1"/>
  <c r="X40" i="30" s="1"/>
  <c r="K41" i="30" a="1"/>
  <c r="K41" i="30" s="1"/>
  <c r="L41" i="30" a="1"/>
  <c r="L41" i="30" s="1"/>
  <c r="M41" i="30" a="1"/>
  <c r="M41" i="30" s="1"/>
  <c r="N41" i="30" a="1"/>
  <c r="N41" i="30" s="1"/>
  <c r="O41" i="30" a="1"/>
  <c r="O41" i="30" s="1"/>
  <c r="P41" i="30" a="1"/>
  <c r="P41" i="30" s="1"/>
  <c r="Q41" i="30" a="1"/>
  <c r="Q41" i="30" s="1"/>
  <c r="R41" i="30" a="1"/>
  <c r="R41" i="30" s="1"/>
  <c r="U41" i="30" a="1"/>
  <c r="U41" i="30" s="1"/>
  <c r="V41" i="30" a="1"/>
  <c r="V41" i="30" s="1"/>
  <c r="W41" i="30" a="1"/>
  <c r="W41" i="30" s="1"/>
  <c r="X41" i="30" a="1"/>
  <c r="X41" i="30" s="1"/>
  <c r="K42" i="30" a="1"/>
  <c r="K42" i="30" s="1"/>
  <c r="L42" i="30" a="1"/>
  <c r="L42" i="30" s="1"/>
  <c r="M42" i="30" a="1"/>
  <c r="M42" i="30" s="1"/>
  <c r="N42" i="30" a="1"/>
  <c r="N42" i="30" s="1"/>
  <c r="O42" i="30" a="1"/>
  <c r="O42" i="30" s="1"/>
  <c r="P42" i="30" a="1"/>
  <c r="P42" i="30" s="1"/>
  <c r="Q42" i="30" a="1"/>
  <c r="Q42" i="30" s="1"/>
  <c r="R42" i="30" a="1"/>
  <c r="R42" i="30" s="1"/>
  <c r="U42" i="30" a="1"/>
  <c r="U42" i="30" s="1"/>
  <c r="V42" i="30" a="1"/>
  <c r="V42" i="30" s="1"/>
  <c r="W42" i="30" a="1"/>
  <c r="W42" i="30" s="1"/>
  <c r="X42" i="30" a="1"/>
  <c r="X42" i="30" s="1"/>
  <c r="K43" i="30" a="1"/>
  <c r="K43" i="30" s="1"/>
  <c r="L43" i="30" a="1"/>
  <c r="L43" i="30" s="1"/>
  <c r="M43" i="30" a="1"/>
  <c r="M43" i="30" s="1"/>
  <c r="N43" i="30" a="1"/>
  <c r="N43" i="30" s="1"/>
  <c r="O43" i="30" a="1"/>
  <c r="O43" i="30" s="1"/>
  <c r="P43" i="30" a="1"/>
  <c r="P43" i="30" s="1"/>
  <c r="Q43" i="30" a="1"/>
  <c r="Q43" i="30" s="1"/>
  <c r="R43" i="30" a="1"/>
  <c r="R43" i="30" s="1"/>
  <c r="U43" i="30" a="1"/>
  <c r="U43" i="30" s="1"/>
  <c r="V43" i="30" a="1"/>
  <c r="V43" i="30" s="1"/>
  <c r="W43" i="30" a="1"/>
  <c r="W43" i="30" s="1"/>
  <c r="X43" i="30" a="1"/>
  <c r="X43" i="30" s="1"/>
  <c r="K44" i="30" a="1"/>
  <c r="K44" i="30" s="1"/>
  <c r="L44" i="30" a="1"/>
  <c r="L44" i="30" s="1"/>
  <c r="M44" i="30" a="1"/>
  <c r="M44" i="30" s="1"/>
  <c r="N44" i="30" a="1"/>
  <c r="N44" i="30" s="1"/>
  <c r="O44" i="30" a="1"/>
  <c r="O44" i="30" s="1"/>
  <c r="P44" i="30" a="1"/>
  <c r="P44" i="30" s="1"/>
  <c r="Q44" i="30" a="1"/>
  <c r="Q44" i="30" s="1"/>
  <c r="R44" i="30" a="1"/>
  <c r="R44" i="30" s="1"/>
  <c r="U44" i="30" a="1"/>
  <c r="U44" i="30" s="1"/>
  <c r="V44" i="30" a="1"/>
  <c r="V44" i="30" s="1"/>
  <c r="W44" i="30" a="1"/>
  <c r="W44" i="30" s="1"/>
  <c r="X44" i="30" a="1"/>
  <c r="X44" i="30" s="1"/>
  <c r="K45" i="30" a="1"/>
  <c r="K45" i="30" s="1"/>
  <c r="L45" i="30" a="1"/>
  <c r="L45" i="30" s="1"/>
  <c r="M45" i="30" a="1"/>
  <c r="M45" i="30" s="1"/>
  <c r="N45" i="30" a="1"/>
  <c r="N45" i="30" s="1"/>
  <c r="O45" i="30" a="1"/>
  <c r="O45" i="30" s="1"/>
  <c r="P45" i="30" a="1"/>
  <c r="P45" i="30" s="1"/>
  <c r="Q45" i="30" a="1"/>
  <c r="Q45" i="30" s="1"/>
  <c r="R45" i="30" a="1"/>
  <c r="R45" i="30" s="1"/>
  <c r="U45" i="30" a="1"/>
  <c r="U45" i="30" s="1"/>
  <c r="V45" i="30" a="1"/>
  <c r="V45" i="30" s="1"/>
  <c r="W45" i="30" a="1"/>
  <c r="W45" i="30" s="1"/>
  <c r="X45" i="30" a="1"/>
  <c r="X45" i="30" s="1"/>
  <c r="K46" i="30" a="1"/>
  <c r="K46" i="30" s="1"/>
  <c r="L46" i="30" a="1"/>
  <c r="L46" i="30" s="1"/>
  <c r="M46" i="30" a="1"/>
  <c r="M46" i="30" s="1"/>
  <c r="N46" i="30" a="1"/>
  <c r="N46" i="30" s="1"/>
  <c r="O46" i="30" a="1"/>
  <c r="O46" i="30" s="1"/>
  <c r="P46" i="30" a="1"/>
  <c r="P46" i="30" s="1"/>
  <c r="Q46" i="30" a="1"/>
  <c r="Q46" i="30" s="1"/>
  <c r="R46" i="30" a="1"/>
  <c r="R46" i="30" s="1"/>
  <c r="U46" i="30" a="1"/>
  <c r="U46" i="30" s="1"/>
  <c r="V46" i="30" a="1"/>
  <c r="V46" i="30" s="1"/>
  <c r="W46" i="30" a="1"/>
  <c r="W46" i="30" s="1"/>
  <c r="X46" i="30" a="1"/>
  <c r="X46" i="30" s="1"/>
  <c r="K47" i="30" a="1"/>
  <c r="K47" i="30" s="1"/>
  <c r="L47" i="30" a="1"/>
  <c r="L47" i="30" s="1"/>
  <c r="M47" i="30" a="1"/>
  <c r="M47" i="30" s="1"/>
  <c r="N47" i="30" a="1"/>
  <c r="N47" i="30" s="1"/>
  <c r="O47" i="30" a="1"/>
  <c r="O47" i="30" s="1"/>
  <c r="P47" i="30" a="1"/>
  <c r="P47" i="30" s="1"/>
  <c r="Q47" i="30" a="1"/>
  <c r="Q47" i="30" s="1"/>
  <c r="R47" i="30" a="1"/>
  <c r="R47" i="30" s="1"/>
  <c r="U47" i="30" a="1"/>
  <c r="U47" i="30" s="1"/>
  <c r="V47" i="30" a="1"/>
  <c r="V47" i="30" s="1"/>
  <c r="W47" i="30" a="1"/>
  <c r="W47" i="30" s="1"/>
  <c r="X47" i="30" a="1"/>
  <c r="X47" i="30" s="1"/>
  <c r="K48" i="30" a="1"/>
  <c r="K48" i="30" s="1"/>
  <c r="L48" i="30" a="1"/>
  <c r="L48" i="30" s="1"/>
  <c r="M48" i="30" a="1"/>
  <c r="M48" i="30" s="1"/>
  <c r="N48" i="30" a="1"/>
  <c r="N48" i="30" s="1"/>
  <c r="O48" i="30" a="1"/>
  <c r="O48" i="30" s="1"/>
  <c r="P48" i="30" a="1"/>
  <c r="P48" i="30" s="1"/>
  <c r="Q48" i="30" a="1"/>
  <c r="Q48" i="30" s="1"/>
  <c r="R48" i="30" a="1"/>
  <c r="R48" i="30" s="1"/>
  <c r="U48" i="30" a="1"/>
  <c r="U48" i="30" s="1"/>
  <c r="V48" i="30" a="1"/>
  <c r="V48" i="30" s="1"/>
  <c r="W48" i="30" a="1"/>
  <c r="W48" i="30" s="1"/>
  <c r="X48" i="30" a="1"/>
  <c r="X48" i="30" s="1"/>
  <c r="K49" i="30" a="1"/>
  <c r="K49" i="30" s="1"/>
  <c r="L49" i="30" a="1"/>
  <c r="L49" i="30" s="1"/>
  <c r="M49" i="30" a="1"/>
  <c r="M49" i="30" s="1"/>
  <c r="N49" i="30" a="1"/>
  <c r="N49" i="30" s="1"/>
  <c r="O49" i="30" a="1"/>
  <c r="O49" i="30" s="1"/>
  <c r="P49" i="30" a="1"/>
  <c r="P49" i="30" s="1"/>
  <c r="Q49" i="30" a="1"/>
  <c r="Q49" i="30" s="1"/>
  <c r="R49" i="30" a="1"/>
  <c r="R49" i="30" s="1"/>
  <c r="U49" i="30" a="1"/>
  <c r="U49" i="30" s="1"/>
  <c r="V49" i="30" a="1"/>
  <c r="V49" i="30" s="1"/>
  <c r="W49" i="30" a="1"/>
  <c r="W49" i="30" s="1"/>
  <c r="X49" i="30" a="1"/>
  <c r="X49" i="30" s="1"/>
  <c r="K50" i="30" a="1"/>
  <c r="K50" i="30" s="1"/>
  <c r="L50" i="30" a="1"/>
  <c r="L50" i="30" s="1"/>
  <c r="M50" i="30" a="1"/>
  <c r="M50" i="30" s="1"/>
  <c r="N50" i="30" a="1"/>
  <c r="N50" i="30" s="1"/>
  <c r="O50" i="30" a="1"/>
  <c r="O50" i="30" s="1"/>
  <c r="P50" i="30" a="1"/>
  <c r="P50" i="30" s="1"/>
  <c r="Q50" i="30" a="1"/>
  <c r="Q50" i="30" s="1"/>
  <c r="R50" i="30" a="1"/>
  <c r="R50" i="30" s="1"/>
  <c r="U50" i="30" a="1"/>
  <c r="U50" i="30" s="1"/>
  <c r="V50" i="30" a="1"/>
  <c r="V50" i="30" s="1"/>
  <c r="W50" i="30" a="1"/>
  <c r="W50" i="30" s="1"/>
  <c r="X50" i="30" a="1"/>
  <c r="X50" i="30" s="1"/>
  <c r="K51" i="30" a="1"/>
  <c r="K51" i="30" s="1"/>
  <c r="L51" i="30" a="1"/>
  <c r="L51" i="30" s="1"/>
  <c r="M51" i="30" a="1"/>
  <c r="M51" i="30" s="1"/>
  <c r="N51" i="30" a="1"/>
  <c r="N51" i="30" s="1"/>
  <c r="O51" i="30" a="1"/>
  <c r="O51" i="30" s="1"/>
  <c r="P51" i="30" a="1"/>
  <c r="P51" i="30" s="1"/>
  <c r="Q51" i="30" a="1"/>
  <c r="Q51" i="30" s="1"/>
  <c r="R51" i="30" a="1"/>
  <c r="R51" i="30" s="1"/>
  <c r="U51" i="30" a="1"/>
  <c r="U51" i="30" s="1"/>
  <c r="V51" i="30" a="1"/>
  <c r="V51" i="30" s="1"/>
  <c r="W51" i="30" a="1"/>
  <c r="W51" i="30" s="1"/>
  <c r="X51" i="30" a="1"/>
  <c r="X51" i="30" s="1"/>
  <c r="K52" i="30" a="1"/>
  <c r="K52" i="30" s="1"/>
  <c r="L52" i="30" a="1"/>
  <c r="L52" i="30" s="1"/>
  <c r="M52" i="30" a="1"/>
  <c r="M52" i="30" s="1"/>
  <c r="N52" i="30" a="1"/>
  <c r="N52" i="30" s="1"/>
  <c r="O52" i="30" a="1"/>
  <c r="O52" i="30" s="1"/>
  <c r="P52" i="30" a="1"/>
  <c r="P52" i="30" s="1"/>
  <c r="Q52" i="30" a="1"/>
  <c r="Q52" i="30" s="1"/>
  <c r="R52" i="30" a="1"/>
  <c r="R52" i="30" s="1"/>
  <c r="U52" i="30" a="1"/>
  <c r="U52" i="30" s="1"/>
  <c r="V52" i="30" a="1"/>
  <c r="V52" i="30" s="1"/>
  <c r="W52" i="30" a="1"/>
  <c r="W52" i="30" s="1"/>
  <c r="X52" i="30" a="1"/>
  <c r="X52" i="30" s="1"/>
  <c r="K53" i="30" a="1"/>
  <c r="K53" i="30" s="1"/>
  <c r="L53" i="30" a="1"/>
  <c r="L53" i="30" s="1"/>
  <c r="M53" i="30" a="1"/>
  <c r="M53" i="30" s="1"/>
  <c r="N53" i="30" a="1"/>
  <c r="N53" i="30" s="1"/>
  <c r="O53" i="30" a="1"/>
  <c r="O53" i="30" s="1"/>
  <c r="P53" i="30" a="1"/>
  <c r="P53" i="30" s="1"/>
  <c r="Q53" i="30" a="1"/>
  <c r="Q53" i="30" s="1"/>
  <c r="R53" i="30" a="1"/>
  <c r="R53" i="30" s="1"/>
  <c r="U53" i="30" a="1"/>
  <c r="U53" i="30" s="1"/>
  <c r="V53" i="30" a="1"/>
  <c r="V53" i="30" s="1"/>
  <c r="W53" i="30" a="1"/>
  <c r="W53" i="30" s="1"/>
  <c r="X53" i="30" a="1"/>
  <c r="X53" i="30" s="1"/>
  <c r="K54" i="30" a="1"/>
  <c r="K54" i="30" s="1"/>
  <c r="L54" i="30" a="1"/>
  <c r="L54" i="30" s="1"/>
  <c r="M54" i="30" a="1"/>
  <c r="M54" i="30" s="1"/>
  <c r="N54" i="30" a="1"/>
  <c r="N54" i="30" s="1"/>
  <c r="O54" i="30" a="1"/>
  <c r="O54" i="30" s="1"/>
  <c r="P54" i="30" a="1"/>
  <c r="P54" i="30" s="1"/>
  <c r="Q54" i="30" a="1"/>
  <c r="Q54" i="30" s="1"/>
  <c r="R54" i="30" a="1"/>
  <c r="R54" i="30" s="1"/>
  <c r="U54" i="30" a="1"/>
  <c r="U54" i="30" s="1"/>
  <c r="V54" i="30" a="1"/>
  <c r="V54" i="30" s="1"/>
  <c r="W54" i="30" a="1"/>
  <c r="W54" i="30" s="1"/>
  <c r="X54" i="30" a="1"/>
  <c r="X54" i="30" s="1"/>
  <c r="K55" i="30" a="1"/>
  <c r="K55" i="30" s="1"/>
  <c r="L55" i="30" a="1"/>
  <c r="L55" i="30" s="1"/>
  <c r="M55" i="30" a="1"/>
  <c r="M55" i="30" s="1"/>
  <c r="N55" i="30" a="1"/>
  <c r="N55" i="30" s="1"/>
  <c r="O55" i="30" a="1"/>
  <c r="O55" i="30" s="1"/>
  <c r="P55" i="30" a="1"/>
  <c r="P55" i="30" s="1"/>
  <c r="Q55" i="30" a="1"/>
  <c r="Q55" i="30" s="1"/>
  <c r="R55" i="30" a="1"/>
  <c r="R55" i="30" s="1"/>
  <c r="U55" i="30" a="1"/>
  <c r="U55" i="30" s="1"/>
  <c r="V55" i="30" a="1"/>
  <c r="V55" i="30" s="1"/>
  <c r="W55" i="30" a="1"/>
  <c r="W55" i="30" s="1"/>
  <c r="X55" i="30" a="1"/>
  <c r="X55" i="30" s="1"/>
  <c r="K56" i="30" a="1"/>
  <c r="K56" i="30" s="1"/>
  <c r="L56" i="30" a="1"/>
  <c r="L56" i="30" s="1"/>
  <c r="M56" i="30" a="1"/>
  <c r="M56" i="30" s="1"/>
  <c r="N56" i="30" a="1"/>
  <c r="N56" i="30" s="1"/>
  <c r="O56" i="30" a="1"/>
  <c r="O56" i="30" s="1"/>
  <c r="P56" i="30" a="1"/>
  <c r="P56" i="30" s="1"/>
  <c r="Q56" i="30" a="1"/>
  <c r="Q56" i="30" s="1"/>
  <c r="R56" i="30" a="1"/>
  <c r="R56" i="30" s="1"/>
  <c r="U56" i="30" a="1"/>
  <c r="U56" i="30" s="1"/>
  <c r="V56" i="30" a="1"/>
  <c r="V56" i="30" s="1"/>
  <c r="W56" i="30" a="1"/>
  <c r="W56" i="30" s="1"/>
  <c r="X56" i="30" a="1"/>
  <c r="X56" i="30" s="1"/>
  <c r="K57" i="30" a="1"/>
  <c r="K57" i="30" s="1"/>
  <c r="L57" i="30" a="1"/>
  <c r="L57" i="30" s="1"/>
  <c r="M57" i="30" a="1"/>
  <c r="M57" i="30" s="1"/>
  <c r="N57" i="30" a="1"/>
  <c r="N57" i="30" s="1"/>
  <c r="O57" i="30" a="1"/>
  <c r="O57" i="30" s="1"/>
  <c r="P57" i="30" a="1"/>
  <c r="P57" i="30" s="1"/>
  <c r="Q57" i="30" a="1"/>
  <c r="Q57" i="30" s="1"/>
  <c r="R57" i="30" a="1"/>
  <c r="R57" i="30" s="1"/>
  <c r="U57" i="30" a="1"/>
  <c r="U57" i="30" s="1"/>
  <c r="V57" i="30" a="1"/>
  <c r="V57" i="30" s="1"/>
  <c r="W57" i="30" a="1"/>
  <c r="W57" i="30" s="1"/>
  <c r="X57" i="30" a="1"/>
  <c r="X57" i="30" s="1"/>
  <c r="K58" i="30" a="1"/>
  <c r="K58" i="30" s="1"/>
  <c r="L58" i="30" a="1"/>
  <c r="L58" i="30" s="1"/>
  <c r="M58" i="30" a="1"/>
  <c r="M58" i="30" s="1"/>
  <c r="N58" i="30" a="1"/>
  <c r="N58" i="30" s="1"/>
  <c r="O58" i="30" a="1"/>
  <c r="O58" i="30" s="1"/>
  <c r="P58" i="30" a="1"/>
  <c r="P58" i="30" s="1"/>
  <c r="Q58" i="30" a="1"/>
  <c r="Q58" i="30" s="1"/>
  <c r="R58" i="30" a="1"/>
  <c r="R58" i="30" s="1"/>
  <c r="U58" i="30" a="1"/>
  <c r="U58" i="30" s="1"/>
  <c r="V58" i="30" a="1"/>
  <c r="V58" i="30" s="1"/>
  <c r="W58" i="30" a="1"/>
  <c r="W58" i="30" s="1"/>
  <c r="X58" i="30" a="1"/>
  <c r="X58" i="30" s="1"/>
  <c r="K59" i="30" a="1"/>
  <c r="K59" i="30" s="1"/>
  <c r="L59" i="30" a="1"/>
  <c r="L59" i="30" s="1"/>
  <c r="M59" i="30" a="1"/>
  <c r="M59" i="30" s="1"/>
  <c r="N59" i="30" a="1"/>
  <c r="N59" i="30" s="1"/>
  <c r="O59" i="30" a="1"/>
  <c r="O59" i="30" s="1"/>
  <c r="P59" i="30" a="1"/>
  <c r="P59" i="30" s="1"/>
  <c r="Q59" i="30" a="1"/>
  <c r="Q59" i="30" s="1"/>
  <c r="R59" i="30" a="1"/>
  <c r="R59" i="30" s="1"/>
  <c r="U59" i="30" a="1"/>
  <c r="U59" i="30" s="1"/>
  <c r="V59" i="30" a="1"/>
  <c r="V59" i="30" s="1"/>
  <c r="W59" i="30" a="1"/>
  <c r="W59" i="30" s="1"/>
  <c r="X59" i="30" a="1"/>
  <c r="X59" i="30" s="1"/>
  <c r="K60" i="30" a="1"/>
  <c r="K60" i="30" s="1"/>
  <c r="L60" i="30" a="1"/>
  <c r="L60" i="30" s="1"/>
  <c r="M60" i="30" a="1"/>
  <c r="M60" i="30" s="1"/>
  <c r="N60" i="30" a="1"/>
  <c r="N60" i="30" s="1"/>
  <c r="O60" i="30" a="1"/>
  <c r="O60" i="30" s="1"/>
  <c r="P60" i="30" a="1"/>
  <c r="P60" i="30" s="1"/>
  <c r="Q60" i="30" a="1"/>
  <c r="Q60" i="30" s="1"/>
  <c r="R60" i="30" a="1"/>
  <c r="R60" i="30" s="1"/>
  <c r="U60" i="30" a="1"/>
  <c r="U60" i="30" s="1"/>
  <c r="V60" i="30" a="1"/>
  <c r="V60" i="30" s="1"/>
  <c r="W60" i="30" a="1"/>
  <c r="W60" i="30" s="1"/>
  <c r="X60" i="30" a="1"/>
  <c r="X60" i="30" s="1"/>
  <c r="K61" i="30" a="1"/>
  <c r="K61" i="30" s="1"/>
  <c r="L61" i="30" a="1"/>
  <c r="L61" i="30" s="1"/>
  <c r="M61" i="30" a="1"/>
  <c r="M61" i="30" s="1"/>
  <c r="N61" i="30" a="1"/>
  <c r="N61" i="30" s="1"/>
  <c r="O61" i="30" a="1"/>
  <c r="O61" i="30" s="1"/>
  <c r="P61" i="30" a="1"/>
  <c r="P61" i="30" s="1"/>
  <c r="Q61" i="30" a="1"/>
  <c r="Q61" i="30" s="1"/>
  <c r="R61" i="30" a="1"/>
  <c r="R61" i="30" s="1"/>
  <c r="U61" i="30" a="1"/>
  <c r="U61" i="30" s="1"/>
  <c r="V61" i="30" a="1"/>
  <c r="V61" i="30" s="1"/>
  <c r="W61" i="30" a="1"/>
  <c r="W61" i="30" s="1"/>
  <c r="X61" i="30" a="1"/>
  <c r="X61" i="30" s="1"/>
  <c r="K62" i="30" a="1"/>
  <c r="K62" i="30" s="1"/>
  <c r="L62" i="30" a="1"/>
  <c r="L62" i="30" s="1"/>
  <c r="M62" i="30" a="1"/>
  <c r="M62" i="30" s="1"/>
  <c r="N62" i="30" a="1"/>
  <c r="N62" i="30" s="1"/>
  <c r="O62" i="30" a="1"/>
  <c r="O62" i="30" s="1"/>
  <c r="P62" i="30" a="1"/>
  <c r="P62" i="30" s="1"/>
  <c r="Q62" i="30" a="1"/>
  <c r="Q62" i="30" s="1"/>
  <c r="R62" i="30" a="1"/>
  <c r="R62" i="30" s="1"/>
  <c r="U62" i="30" a="1"/>
  <c r="U62" i="30" s="1"/>
  <c r="V62" i="30" a="1"/>
  <c r="V62" i="30" s="1"/>
  <c r="W62" i="30" a="1"/>
  <c r="W62" i="30" s="1"/>
  <c r="X62" i="30" a="1"/>
  <c r="X62" i="30" s="1"/>
  <c r="K63" i="30" a="1"/>
  <c r="K63" i="30" s="1"/>
  <c r="L63" i="30" a="1"/>
  <c r="L63" i="30" s="1"/>
  <c r="M63" i="30" a="1"/>
  <c r="M63" i="30" s="1"/>
  <c r="N63" i="30" a="1"/>
  <c r="N63" i="30" s="1"/>
  <c r="O63" i="30" a="1"/>
  <c r="O63" i="30" s="1"/>
  <c r="P63" i="30" a="1"/>
  <c r="P63" i="30" s="1"/>
  <c r="Q63" i="30" a="1"/>
  <c r="Q63" i="30" s="1"/>
  <c r="R63" i="30" a="1"/>
  <c r="R63" i="30" s="1"/>
  <c r="U63" i="30" a="1"/>
  <c r="U63" i="30" s="1"/>
  <c r="V63" i="30" a="1"/>
  <c r="V63" i="30" s="1"/>
  <c r="W63" i="30" a="1"/>
  <c r="W63" i="30" s="1"/>
  <c r="X63" i="30" a="1"/>
  <c r="X63" i="30" s="1"/>
  <c r="K64" i="30" a="1"/>
  <c r="K64" i="30" s="1"/>
  <c r="L64" i="30" a="1"/>
  <c r="L64" i="30" s="1"/>
  <c r="M64" i="30" a="1"/>
  <c r="M64" i="30" s="1"/>
  <c r="N64" i="30" a="1"/>
  <c r="N64" i="30" s="1"/>
  <c r="O64" i="30" a="1"/>
  <c r="O64" i="30" s="1"/>
  <c r="P64" i="30" a="1"/>
  <c r="P64" i="30" s="1"/>
  <c r="Q64" i="30" a="1"/>
  <c r="Q64" i="30" s="1"/>
  <c r="R64" i="30" a="1"/>
  <c r="R64" i="30" s="1"/>
  <c r="U64" i="30" a="1"/>
  <c r="U64" i="30" s="1"/>
  <c r="V64" i="30" a="1"/>
  <c r="V64" i="30" s="1"/>
  <c r="W64" i="30" a="1"/>
  <c r="W64" i="30" s="1"/>
  <c r="X64" i="30" a="1"/>
  <c r="X64" i="30" s="1"/>
  <c r="K65" i="30" a="1"/>
  <c r="K65" i="30" s="1"/>
  <c r="L65" i="30" a="1"/>
  <c r="L65" i="30" s="1"/>
  <c r="M65" i="30" a="1"/>
  <c r="M65" i="30" s="1"/>
  <c r="N65" i="30" a="1"/>
  <c r="N65" i="30" s="1"/>
  <c r="O65" i="30" a="1"/>
  <c r="O65" i="30" s="1"/>
  <c r="P65" i="30" a="1"/>
  <c r="P65" i="30" s="1"/>
  <c r="Q65" i="30" a="1"/>
  <c r="Q65" i="30" s="1"/>
  <c r="R65" i="30" a="1"/>
  <c r="R65" i="30" s="1"/>
  <c r="U65" i="30" a="1"/>
  <c r="U65" i="30" s="1"/>
  <c r="V65" i="30" a="1"/>
  <c r="V65" i="30" s="1"/>
  <c r="W65" i="30" a="1"/>
  <c r="W65" i="30" s="1"/>
  <c r="X65" i="30" a="1"/>
  <c r="X65" i="30" s="1"/>
  <c r="K66" i="30" a="1"/>
  <c r="K66" i="30" s="1"/>
  <c r="L66" i="30" a="1"/>
  <c r="L66" i="30" s="1"/>
  <c r="M66" i="30" a="1"/>
  <c r="M66" i="30" s="1"/>
  <c r="N66" i="30" a="1"/>
  <c r="N66" i="30" s="1"/>
  <c r="O66" i="30" a="1"/>
  <c r="O66" i="30" s="1"/>
  <c r="P66" i="30" a="1"/>
  <c r="P66" i="30" s="1"/>
  <c r="Q66" i="30" a="1"/>
  <c r="Q66" i="30" s="1"/>
  <c r="R66" i="30" a="1"/>
  <c r="R66" i="30" s="1"/>
  <c r="U66" i="30" a="1"/>
  <c r="U66" i="30" s="1"/>
  <c r="V66" i="30" a="1"/>
  <c r="V66" i="30" s="1"/>
  <c r="W66" i="30" a="1"/>
  <c r="W66" i="30" s="1"/>
  <c r="X66" i="30" a="1"/>
  <c r="X66" i="30" s="1"/>
  <c r="K67" i="30" a="1"/>
  <c r="K67" i="30" s="1"/>
  <c r="L67" i="30" a="1"/>
  <c r="L67" i="30" s="1"/>
  <c r="M67" i="30" a="1"/>
  <c r="M67" i="30" s="1"/>
  <c r="N67" i="30" a="1"/>
  <c r="N67" i="30" s="1"/>
  <c r="O67" i="30" a="1"/>
  <c r="O67" i="30" s="1"/>
  <c r="P67" i="30" a="1"/>
  <c r="P67" i="30" s="1"/>
  <c r="Q67" i="30" a="1"/>
  <c r="Q67" i="30" s="1"/>
  <c r="R67" i="30" a="1"/>
  <c r="R67" i="30" s="1"/>
  <c r="U67" i="30" a="1"/>
  <c r="U67" i="30" s="1"/>
  <c r="V67" i="30" a="1"/>
  <c r="V67" i="30" s="1"/>
  <c r="W67" i="30" a="1"/>
  <c r="W67" i="30" s="1"/>
  <c r="X67" i="30" a="1"/>
  <c r="X67" i="30" s="1"/>
  <c r="K68" i="30" a="1"/>
  <c r="K68" i="30" s="1"/>
  <c r="L68" i="30" a="1"/>
  <c r="L68" i="30" s="1"/>
  <c r="M68" i="30" a="1"/>
  <c r="M68" i="30" s="1"/>
  <c r="N68" i="30" a="1"/>
  <c r="N68" i="30" s="1"/>
  <c r="O68" i="30" a="1"/>
  <c r="O68" i="30" s="1"/>
  <c r="P68" i="30" a="1"/>
  <c r="P68" i="30" s="1"/>
  <c r="Q68" i="30" a="1"/>
  <c r="Q68" i="30" s="1"/>
  <c r="R68" i="30" a="1"/>
  <c r="R68" i="30" s="1"/>
  <c r="U68" i="30" a="1"/>
  <c r="U68" i="30" s="1"/>
  <c r="V68" i="30" a="1"/>
  <c r="V68" i="30" s="1"/>
  <c r="W68" i="30" a="1"/>
  <c r="W68" i="30" s="1"/>
  <c r="X68" i="30" a="1"/>
  <c r="X68" i="30" s="1"/>
  <c r="K69" i="30" a="1"/>
  <c r="K69" i="30" s="1"/>
  <c r="L69" i="30" a="1"/>
  <c r="L69" i="30" s="1"/>
  <c r="M69" i="30" a="1"/>
  <c r="M69" i="30" s="1"/>
  <c r="N69" i="30" a="1"/>
  <c r="N69" i="30" s="1"/>
  <c r="O69" i="30" a="1"/>
  <c r="O69" i="30" s="1"/>
  <c r="P69" i="30" a="1"/>
  <c r="P69" i="30" s="1"/>
  <c r="Q69" i="30" a="1"/>
  <c r="Q69" i="30" s="1"/>
  <c r="R69" i="30" a="1"/>
  <c r="R69" i="30" s="1"/>
  <c r="U69" i="30" a="1"/>
  <c r="U69" i="30" s="1"/>
  <c r="V69" i="30" a="1"/>
  <c r="V69" i="30" s="1"/>
  <c r="W69" i="30" a="1"/>
  <c r="W69" i="30" s="1"/>
  <c r="X69" i="30" a="1"/>
  <c r="X69" i="30" s="1"/>
  <c r="K70" i="30" a="1"/>
  <c r="K70" i="30" s="1"/>
  <c r="L70" i="30" a="1"/>
  <c r="L70" i="30" s="1"/>
  <c r="M70" i="30" a="1"/>
  <c r="M70" i="30" s="1"/>
  <c r="N70" i="30" a="1"/>
  <c r="N70" i="30" s="1"/>
  <c r="O70" i="30" a="1"/>
  <c r="O70" i="30" s="1"/>
  <c r="P70" i="30" a="1"/>
  <c r="P70" i="30" s="1"/>
  <c r="Q70" i="30" a="1"/>
  <c r="Q70" i="30" s="1"/>
  <c r="R70" i="30" a="1"/>
  <c r="R70" i="30" s="1"/>
  <c r="U70" i="30" a="1"/>
  <c r="U70" i="30" s="1"/>
  <c r="V70" i="30" a="1"/>
  <c r="V70" i="30" s="1"/>
  <c r="W70" i="30" a="1"/>
  <c r="W70" i="30" s="1"/>
  <c r="X70" i="30" a="1"/>
  <c r="X70" i="30" s="1"/>
  <c r="K71" i="30" a="1"/>
  <c r="K71" i="30" s="1"/>
  <c r="L71" i="30" a="1"/>
  <c r="L71" i="30" s="1"/>
  <c r="M71" i="30" a="1"/>
  <c r="M71" i="30" s="1"/>
  <c r="N71" i="30" a="1"/>
  <c r="N71" i="30" s="1"/>
  <c r="O71" i="30" a="1"/>
  <c r="O71" i="30" s="1"/>
  <c r="P71" i="30" a="1"/>
  <c r="P71" i="30" s="1"/>
  <c r="Q71" i="30" a="1"/>
  <c r="Q71" i="30" s="1"/>
  <c r="R71" i="30" a="1"/>
  <c r="R71" i="30" s="1"/>
  <c r="U71" i="30" a="1"/>
  <c r="U71" i="30" s="1"/>
  <c r="V71" i="30" a="1"/>
  <c r="V71" i="30" s="1"/>
  <c r="W71" i="30" a="1"/>
  <c r="W71" i="30" s="1"/>
  <c r="X71" i="30" a="1"/>
  <c r="X71" i="30" s="1"/>
  <c r="K72" i="30" a="1"/>
  <c r="K72" i="30" s="1"/>
  <c r="L72" i="30" a="1"/>
  <c r="L72" i="30" s="1"/>
  <c r="M72" i="30" a="1"/>
  <c r="M72" i="30" s="1"/>
  <c r="N72" i="30" a="1"/>
  <c r="N72" i="30" s="1"/>
  <c r="O72" i="30" a="1"/>
  <c r="O72" i="30" s="1"/>
  <c r="P72" i="30" a="1"/>
  <c r="P72" i="30" s="1"/>
  <c r="Q72" i="30" a="1"/>
  <c r="Q72" i="30" s="1"/>
  <c r="R72" i="30" a="1"/>
  <c r="R72" i="30" s="1"/>
  <c r="U72" i="30" a="1"/>
  <c r="U72" i="30" s="1"/>
  <c r="V72" i="30" a="1"/>
  <c r="V72" i="30" s="1"/>
  <c r="W72" i="30" a="1"/>
  <c r="W72" i="30" s="1"/>
  <c r="X72" i="30" a="1"/>
  <c r="X72" i="30" s="1"/>
  <c r="K73" i="30" a="1"/>
  <c r="K73" i="30" s="1"/>
  <c r="L73" i="30" a="1"/>
  <c r="L73" i="30" s="1"/>
  <c r="M73" i="30" a="1"/>
  <c r="M73" i="30" s="1"/>
  <c r="N73" i="30" a="1"/>
  <c r="N73" i="30" s="1"/>
  <c r="O73" i="30" a="1"/>
  <c r="O73" i="30" s="1"/>
  <c r="P73" i="30" a="1"/>
  <c r="P73" i="30" s="1"/>
  <c r="Q73" i="30" a="1"/>
  <c r="Q73" i="30" s="1"/>
  <c r="R73" i="30" a="1"/>
  <c r="R73" i="30" s="1"/>
  <c r="U73" i="30" a="1"/>
  <c r="U73" i="30" s="1"/>
  <c r="V73" i="30" a="1"/>
  <c r="V73" i="30" s="1"/>
  <c r="W73" i="30" a="1"/>
  <c r="W73" i="30" s="1"/>
  <c r="X73" i="30" a="1"/>
  <c r="X73" i="30" s="1"/>
  <c r="K74" i="30" a="1"/>
  <c r="K74" i="30" s="1"/>
  <c r="L74" i="30" a="1"/>
  <c r="L74" i="30" s="1"/>
  <c r="M74" i="30" a="1"/>
  <c r="M74" i="30" s="1"/>
  <c r="N74" i="30" a="1"/>
  <c r="N74" i="30" s="1"/>
  <c r="O74" i="30" a="1"/>
  <c r="O74" i="30" s="1"/>
  <c r="P74" i="30" a="1"/>
  <c r="P74" i="30" s="1"/>
  <c r="Q74" i="30" a="1"/>
  <c r="Q74" i="30" s="1"/>
  <c r="R74" i="30" a="1"/>
  <c r="R74" i="30" s="1"/>
  <c r="U74" i="30" a="1"/>
  <c r="U74" i="30" s="1"/>
  <c r="V74" i="30" a="1"/>
  <c r="V74" i="30" s="1"/>
  <c r="W74" i="30" a="1"/>
  <c r="W74" i="30" s="1"/>
  <c r="X74" i="30" a="1"/>
  <c r="X74" i="30" s="1"/>
  <c r="K75" i="30" a="1"/>
  <c r="K75" i="30" s="1"/>
  <c r="L75" i="30" a="1"/>
  <c r="L75" i="30" s="1"/>
  <c r="M75" i="30" a="1"/>
  <c r="M75" i="30" s="1"/>
  <c r="N75" i="30" a="1"/>
  <c r="N75" i="30" s="1"/>
  <c r="O75" i="30" a="1"/>
  <c r="O75" i="30" s="1"/>
  <c r="P75" i="30" a="1"/>
  <c r="P75" i="30" s="1"/>
  <c r="Q75" i="30" a="1"/>
  <c r="Q75" i="30" s="1"/>
  <c r="R75" i="30" a="1"/>
  <c r="R75" i="30" s="1"/>
  <c r="U75" i="30" a="1"/>
  <c r="U75" i="30" s="1"/>
  <c r="V75" i="30" a="1"/>
  <c r="V75" i="30" s="1"/>
  <c r="W75" i="30" a="1"/>
  <c r="W75" i="30" s="1"/>
  <c r="X75" i="30" a="1"/>
  <c r="X75" i="30" s="1"/>
  <c r="K76" i="30" a="1"/>
  <c r="K76" i="30" s="1"/>
  <c r="L76" i="30" a="1"/>
  <c r="L76" i="30" s="1"/>
  <c r="M76" i="30" a="1"/>
  <c r="M76" i="30" s="1"/>
  <c r="N76" i="30" a="1"/>
  <c r="N76" i="30" s="1"/>
  <c r="O76" i="30" a="1"/>
  <c r="O76" i="30" s="1"/>
  <c r="P76" i="30" a="1"/>
  <c r="P76" i="30" s="1"/>
  <c r="Q76" i="30" a="1"/>
  <c r="Q76" i="30" s="1"/>
  <c r="R76" i="30" a="1"/>
  <c r="R76" i="30" s="1"/>
  <c r="U76" i="30" a="1"/>
  <c r="U76" i="30" s="1"/>
  <c r="V76" i="30" a="1"/>
  <c r="V76" i="30" s="1"/>
  <c r="W76" i="30" a="1"/>
  <c r="W76" i="30" s="1"/>
  <c r="X76" i="30" a="1"/>
  <c r="X76" i="30" s="1"/>
  <c r="K77" i="30" a="1"/>
  <c r="K77" i="30" s="1"/>
  <c r="L77" i="30" a="1"/>
  <c r="L77" i="30" s="1"/>
  <c r="M77" i="30" a="1"/>
  <c r="M77" i="30" s="1"/>
  <c r="N77" i="30" a="1"/>
  <c r="N77" i="30" s="1"/>
  <c r="O77" i="30" a="1"/>
  <c r="O77" i="30" s="1"/>
  <c r="P77" i="30" a="1"/>
  <c r="P77" i="30" s="1"/>
  <c r="Q77" i="30" a="1"/>
  <c r="Q77" i="30" s="1"/>
  <c r="R77" i="30" a="1"/>
  <c r="R77" i="30" s="1"/>
  <c r="U77" i="30" a="1"/>
  <c r="U77" i="30" s="1"/>
  <c r="V77" i="30" a="1"/>
  <c r="V77" i="30" s="1"/>
  <c r="W77" i="30" a="1"/>
  <c r="W77" i="30" s="1"/>
  <c r="X77" i="30" a="1"/>
  <c r="X77" i="30" s="1"/>
  <c r="K78" i="30" a="1"/>
  <c r="K78" i="30" s="1"/>
  <c r="L78" i="30" a="1"/>
  <c r="L78" i="30" s="1"/>
  <c r="M78" i="30" a="1"/>
  <c r="M78" i="30" s="1"/>
  <c r="N78" i="30" a="1"/>
  <c r="N78" i="30" s="1"/>
  <c r="O78" i="30" a="1"/>
  <c r="O78" i="30" s="1"/>
  <c r="P78" i="30" a="1"/>
  <c r="P78" i="30" s="1"/>
  <c r="Q78" i="30" a="1"/>
  <c r="Q78" i="30" s="1"/>
  <c r="R78" i="30" a="1"/>
  <c r="R78" i="30" s="1"/>
  <c r="U78" i="30" a="1"/>
  <c r="U78" i="30" s="1"/>
  <c r="V78" i="30" a="1"/>
  <c r="V78" i="30" s="1"/>
  <c r="W78" i="30" a="1"/>
  <c r="W78" i="30" s="1"/>
  <c r="X78" i="30" a="1"/>
  <c r="X78" i="30" s="1"/>
  <c r="K79" i="30" a="1"/>
  <c r="K79" i="30" s="1"/>
  <c r="L79" i="30" a="1"/>
  <c r="L79" i="30" s="1"/>
  <c r="M79" i="30" a="1"/>
  <c r="M79" i="30" s="1"/>
  <c r="N79" i="30" a="1"/>
  <c r="N79" i="30" s="1"/>
  <c r="O79" i="30" a="1"/>
  <c r="O79" i="30" s="1"/>
  <c r="P79" i="30" a="1"/>
  <c r="P79" i="30" s="1"/>
  <c r="Q79" i="30" a="1"/>
  <c r="Q79" i="30" s="1"/>
  <c r="R79" i="30" a="1"/>
  <c r="R79" i="30" s="1"/>
  <c r="U79" i="30" a="1"/>
  <c r="U79" i="30" s="1"/>
  <c r="V79" i="30" a="1"/>
  <c r="V79" i="30" s="1"/>
  <c r="W79" i="30" a="1"/>
  <c r="W79" i="30" s="1"/>
  <c r="X79" i="30" a="1"/>
  <c r="X79" i="30" s="1"/>
  <c r="K80" i="30" a="1"/>
  <c r="K80" i="30" s="1"/>
  <c r="L80" i="30" a="1"/>
  <c r="L80" i="30" s="1"/>
  <c r="M80" i="30" a="1"/>
  <c r="M80" i="30" s="1"/>
  <c r="N80" i="30" a="1"/>
  <c r="N80" i="30" s="1"/>
  <c r="O80" i="30" a="1"/>
  <c r="O80" i="30" s="1"/>
  <c r="P80" i="30" a="1"/>
  <c r="P80" i="30" s="1"/>
  <c r="Q80" i="30" a="1"/>
  <c r="Q80" i="30" s="1"/>
  <c r="R80" i="30" a="1"/>
  <c r="R80" i="30" s="1"/>
  <c r="U80" i="30" a="1"/>
  <c r="U80" i="30" s="1"/>
  <c r="V80" i="30" a="1"/>
  <c r="V80" i="30" s="1"/>
  <c r="W80" i="30" a="1"/>
  <c r="W80" i="30" s="1"/>
  <c r="X80" i="30" a="1"/>
  <c r="X80" i="30" s="1"/>
  <c r="K81" i="30" a="1"/>
  <c r="K81" i="30" s="1"/>
  <c r="L81" i="30" a="1"/>
  <c r="L81" i="30" s="1"/>
  <c r="M81" i="30" a="1"/>
  <c r="M81" i="30" s="1"/>
  <c r="N81" i="30" a="1"/>
  <c r="N81" i="30" s="1"/>
  <c r="O81" i="30" a="1"/>
  <c r="O81" i="30" s="1"/>
  <c r="P81" i="30" a="1"/>
  <c r="P81" i="30" s="1"/>
  <c r="Q81" i="30" a="1"/>
  <c r="Q81" i="30" s="1"/>
  <c r="R81" i="30" a="1"/>
  <c r="R81" i="30" s="1"/>
  <c r="U81" i="30" a="1"/>
  <c r="U81" i="30" s="1"/>
  <c r="V81" i="30" a="1"/>
  <c r="V81" i="30" s="1"/>
  <c r="W81" i="30" a="1"/>
  <c r="W81" i="30" s="1"/>
  <c r="X81" i="30" a="1"/>
  <c r="X81" i="30" s="1"/>
  <c r="K82" i="30" a="1"/>
  <c r="K82" i="30" s="1"/>
  <c r="L82" i="30" a="1"/>
  <c r="L82" i="30" s="1"/>
  <c r="M82" i="30" a="1"/>
  <c r="M82" i="30" s="1"/>
  <c r="N82" i="30" a="1"/>
  <c r="N82" i="30" s="1"/>
  <c r="O82" i="30" a="1"/>
  <c r="O82" i="30" s="1"/>
  <c r="P82" i="30" a="1"/>
  <c r="P82" i="30" s="1"/>
  <c r="Q82" i="30" a="1"/>
  <c r="Q82" i="30" s="1"/>
  <c r="R82" i="30" a="1"/>
  <c r="R82" i="30" s="1"/>
  <c r="U82" i="30" a="1"/>
  <c r="U82" i="30" s="1"/>
  <c r="V82" i="30" a="1"/>
  <c r="V82" i="30" s="1"/>
  <c r="W82" i="30" a="1"/>
  <c r="W82" i="30" s="1"/>
  <c r="X82" i="30" a="1"/>
  <c r="X82" i="30" s="1"/>
  <c r="K83" i="30" a="1"/>
  <c r="K83" i="30" s="1"/>
  <c r="L83" i="30" a="1"/>
  <c r="L83" i="30" s="1"/>
  <c r="M83" i="30" a="1"/>
  <c r="M83" i="30" s="1"/>
  <c r="N83" i="30" a="1"/>
  <c r="N83" i="30" s="1"/>
  <c r="O83" i="30" a="1"/>
  <c r="O83" i="30" s="1"/>
  <c r="P83" i="30" a="1"/>
  <c r="P83" i="30" s="1"/>
  <c r="Q83" i="30" a="1"/>
  <c r="Q83" i="30" s="1"/>
  <c r="R83" i="30" a="1"/>
  <c r="R83" i="30" s="1"/>
  <c r="U83" i="30" a="1"/>
  <c r="U83" i="30" s="1"/>
  <c r="V83" i="30" a="1"/>
  <c r="V83" i="30" s="1"/>
  <c r="W83" i="30" a="1"/>
  <c r="W83" i="30" s="1"/>
  <c r="X83" i="30" a="1"/>
  <c r="X83" i="30" s="1"/>
  <c r="K84" i="30" a="1"/>
  <c r="K84" i="30" s="1"/>
  <c r="L84" i="30" a="1"/>
  <c r="L84" i="30" s="1"/>
  <c r="M84" i="30" a="1"/>
  <c r="M84" i="30" s="1"/>
  <c r="N84" i="30" a="1"/>
  <c r="N84" i="30" s="1"/>
  <c r="O84" i="30" a="1"/>
  <c r="O84" i="30" s="1"/>
  <c r="P84" i="30" a="1"/>
  <c r="P84" i="30" s="1"/>
  <c r="Q84" i="30" a="1"/>
  <c r="Q84" i="30" s="1"/>
  <c r="R84" i="30" a="1"/>
  <c r="R84" i="30" s="1"/>
  <c r="U84" i="30" a="1"/>
  <c r="U84" i="30" s="1"/>
  <c r="V84" i="30" a="1"/>
  <c r="V84" i="30" s="1"/>
  <c r="W84" i="30" a="1"/>
  <c r="W84" i="30" s="1"/>
  <c r="X84" i="30" a="1"/>
  <c r="X84" i="30" s="1"/>
  <c r="K85" i="30" a="1"/>
  <c r="K85" i="30" s="1"/>
  <c r="L85" i="30" a="1"/>
  <c r="L85" i="30" s="1"/>
  <c r="M85" i="30" a="1"/>
  <c r="M85" i="30" s="1"/>
  <c r="N85" i="30" a="1"/>
  <c r="N85" i="30" s="1"/>
  <c r="O85" i="30" a="1"/>
  <c r="O85" i="30" s="1"/>
  <c r="P85" i="30" a="1"/>
  <c r="P85" i="30" s="1"/>
  <c r="Q85" i="30" a="1"/>
  <c r="Q85" i="30" s="1"/>
  <c r="R85" i="30" a="1"/>
  <c r="R85" i="30" s="1"/>
  <c r="U85" i="30" a="1"/>
  <c r="U85" i="30" s="1"/>
  <c r="V85" i="30" a="1"/>
  <c r="V85" i="30" s="1"/>
  <c r="W85" i="30" a="1"/>
  <c r="W85" i="30" s="1"/>
  <c r="X85" i="30" a="1"/>
  <c r="X85" i="30" s="1"/>
  <c r="K86" i="30" a="1"/>
  <c r="K86" i="30" s="1"/>
  <c r="L86" i="30" a="1"/>
  <c r="L86" i="30" s="1"/>
  <c r="M86" i="30" a="1"/>
  <c r="M86" i="30" s="1"/>
  <c r="N86" i="30" a="1"/>
  <c r="N86" i="30" s="1"/>
  <c r="O86" i="30" a="1"/>
  <c r="O86" i="30" s="1"/>
  <c r="P86" i="30" a="1"/>
  <c r="P86" i="30" s="1"/>
  <c r="Q86" i="30" a="1"/>
  <c r="Q86" i="30" s="1"/>
  <c r="R86" i="30" a="1"/>
  <c r="R86" i="30" s="1"/>
  <c r="U86" i="30" a="1"/>
  <c r="U86" i="30" s="1"/>
  <c r="V86" i="30" a="1"/>
  <c r="V86" i="30" s="1"/>
  <c r="W86" i="30" a="1"/>
  <c r="W86" i="30" s="1"/>
  <c r="X86" i="30" a="1"/>
  <c r="X86" i="30" s="1"/>
  <c r="K87" i="30" a="1"/>
  <c r="K87" i="30" s="1"/>
  <c r="L87" i="30" a="1"/>
  <c r="L87" i="30" s="1"/>
  <c r="M87" i="30" a="1"/>
  <c r="M87" i="30" s="1"/>
  <c r="N87" i="30" a="1"/>
  <c r="N87" i="30" s="1"/>
  <c r="O87" i="30" a="1"/>
  <c r="O87" i="30" s="1"/>
  <c r="P87" i="30" a="1"/>
  <c r="P87" i="30" s="1"/>
  <c r="Q87" i="30" a="1"/>
  <c r="Q87" i="30" s="1"/>
  <c r="R87" i="30" a="1"/>
  <c r="R87" i="30" s="1"/>
  <c r="U87" i="30" a="1"/>
  <c r="U87" i="30" s="1"/>
  <c r="V87" i="30" a="1"/>
  <c r="V87" i="30" s="1"/>
  <c r="W87" i="30" a="1"/>
  <c r="W87" i="30" s="1"/>
  <c r="X87" i="30" a="1"/>
  <c r="X87" i="30" s="1"/>
  <c r="K88" i="30" a="1"/>
  <c r="K88" i="30" s="1"/>
  <c r="L88" i="30" a="1"/>
  <c r="L88" i="30" s="1"/>
  <c r="M88" i="30" a="1"/>
  <c r="M88" i="30" s="1"/>
  <c r="N88" i="30" a="1"/>
  <c r="N88" i="30" s="1"/>
  <c r="O88" i="30" a="1"/>
  <c r="O88" i="30" s="1"/>
  <c r="P88" i="30" a="1"/>
  <c r="P88" i="30" s="1"/>
  <c r="Q88" i="30" a="1"/>
  <c r="Q88" i="30" s="1"/>
  <c r="R88" i="30" a="1"/>
  <c r="R88" i="30" s="1"/>
  <c r="U88" i="30" a="1"/>
  <c r="U88" i="30" s="1"/>
  <c r="V88" i="30" a="1"/>
  <c r="V88" i="30" s="1"/>
  <c r="W88" i="30" a="1"/>
  <c r="W88" i="30" s="1"/>
  <c r="X88" i="30" a="1"/>
  <c r="X88" i="30" s="1"/>
  <c r="K89" i="30" a="1"/>
  <c r="K89" i="30" s="1"/>
  <c r="L89" i="30" a="1"/>
  <c r="L89" i="30" s="1"/>
  <c r="M89" i="30" a="1"/>
  <c r="M89" i="30" s="1"/>
  <c r="N89" i="30" a="1"/>
  <c r="N89" i="30" s="1"/>
  <c r="O89" i="30" a="1"/>
  <c r="O89" i="30" s="1"/>
  <c r="P89" i="30" a="1"/>
  <c r="P89" i="30" s="1"/>
  <c r="Q89" i="30" a="1"/>
  <c r="Q89" i="30" s="1"/>
  <c r="R89" i="30" a="1"/>
  <c r="R89" i="30" s="1"/>
  <c r="U89" i="30" a="1"/>
  <c r="U89" i="30" s="1"/>
  <c r="V89" i="30" a="1"/>
  <c r="V89" i="30" s="1"/>
  <c r="W89" i="30" a="1"/>
  <c r="W89" i="30" s="1"/>
  <c r="X89" i="30" a="1"/>
  <c r="X89" i="30" s="1"/>
  <c r="K90" i="30" a="1"/>
  <c r="K90" i="30" s="1"/>
  <c r="L90" i="30" a="1"/>
  <c r="L90" i="30" s="1"/>
  <c r="M90" i="30" a="1"/>
  <c r="M90" i="30" s="1"/>
  <c r="N90" i="30" a="1"/>
  <c r="N90" i="30" s="1"/>
  <c r="O90" i="30" a="1"/>
  <c r="O90" i="30" s="1"/>
  <c r="P90" i="30" a="1"/>
  <c r="P90" i="30" s="1"/>
  <c r="Q90" i="30" a="1"/>
  <c r="Q90" i="30" s="1"/>
  <c r="R90" i="30" a="1"/>
  <c r="R90" i="30" s="1"/>
  <c r="U90" i="30" a="1"/>
  <c r="U90" i="30" s="1"/>
  <c r="V90" i="30" a="1"/>
  <c r="V90" i="30" s="1"/>
  <c r="W90" i="30" a="1"/>
  <c r="W90" i="30" s="1"/>
  <c r="X90" i="30" a="1"/>
  <c r="X90" i="30" s="1"/>
  <c r="K91" i="30" a="1"/>
  <c r="K91" i="30" s="1"/>
  <c r="L91" i="30" a="1"/>
  <c r="L91" i="30" s="1"/>
  <c r="M91" i="30" a="1"/>
  <c r="M91" i="30" s="1"/>
  <c r="N91" i="30" a="1"/>
  <c r="N91" i="30" s="1"/>
  <c r="O91" i="30" a="1"/>
  <c r="O91" i="30" s="1"/>
  <c r="P91" i="30" a="1"/>
  <c r="P91" i="30" s="1"/>
  <c r="Q91" i="30" a="1"/>
  <c r="Q91" i="30" s="1"/>
  <c r="R91" i="30" a="1"/>
  <c r="R91" i="30" s="1"/>
  <c r="U91" i="30" a="1"/>
  <c r="U91" i="30" s="1"/>
  <c r="V91" i="30" a="1"/>
  <c r="V91" i="30" s="1"/>
  <c r="W91" i="30" a="1"/>
  <c r="W91" i="30" s="1"/>
  <c r="X91" i="30" a="1"/>
  <c r="X91" i="30" s="1"/>
  <c r="K92" i="30" a="1"/>
  <c r="K92" i="30" s="1"/>
  <c r="L92" i="30" a="1"/>
  <c r="L92" i="30" s="1"/>
  <c r="M92" i="30" a="1"/>
  <c r="M92" i="30" s="1"/>
  <c r="N92" i="30" a="1"/>
  <c r="N92" i="30" s="1"/>
  <c r="O92" i="30" a="1"/>
  <c r="O92" i="30" s="1"/>
  <c r="P92" i="30" a="1"/>
  <c r="P92" i="30" s="1"/>
  <c r="Q92" i="30" a="1"/>
  <c r="Q92" i="30" s="1"/>
  <c r="R92" i="30" a="1"/>
  <c r="R92" i="30" s="1"/>
  <c r="U92" i="30" a="1"/>
  <c r="U92" i="30" s="1"/>
  <c r="V92" i="30" a="1"/>
  <c r="V92" i="30" s="1"/>
  <c r="W92" i="30" a="1"/>
  <c r="W92" i="30" s="1"/>
  <c r="X92" i="30" a="1"/>
  <c r="X92" i="30" s="1"/>
  <c r="K93" i="30" a="1"/>
  <c r="K93" i="30" s="1"/>
  <c r="L93" i="30" a="1"/>
  <c r="L93" i="30" s="1"/>
  <c r="M93" i="30" a="1"/>
  <c r="M93" i="30" s="1"/>
  <c r="N93" i="30" a="1"/>
  <c r="N93" i="30" s="1"/>
  <c r="O93" i="30" a="1"/>
  <c r="O93" i="30" s="1"/>
  <c r="P93" i="30" a="1"/>
  <c r="P93" i="30" s="1"/>
  <c r="Q93" i="30" a="1"/>
  <c r="Q93" i="30" s="1"/>
  <c r="R93" i="30" a="1"/>
  <c r="R93" i="30" s="1"/>
  <c r="U93" i="30" a="1"/>
  <c r="U93" i="30" s="1"/>
  <c r="V93" i="30" a="1"/>
  <c r="V93" i="30" s="1"/>
  <c r="W93" i="30" a="1"/>
  <c r="W93" i="30" s="1"/>
  <c r="X93" i="30" a="1"/>
  <c r="X93" i="30" s="1"/>
  <c r="K94" i="30" a="1"/>
  <c r="K94" i="30" s="1"/>
  <c r="L94" i="30" a="1"/>
  <c r="L94" i="30" s="1"/>
  <c r="M94" i="30" a="1"/>
  <c r="M94" i="30" s="1"/>
  <c r="N94" i="30" a="1"/>
  <c r="N94" i="30" s="1"/>
  <c r="O94" i="30" a="1"/>
  <c r="O94" i="30" s="1"/>
  <c r="P94" i="30" a="1"/>
  <c r="P94" i="30" s="1"/>
  <c r="Q94" i="30" a="1"/>
  <c r="Q94" i="30" s="1"/>
  <c r="R94" i="30" a="1"/>
  <c r="R94" i="30" s="1"/>
  <c r="U94" i="30" a="1"/>
  <c r="U94" i="30" s="1"/>
  <c r="V94" i="30" a="1"/>
  <c r="V94" i="30" s="1"/>
  <c r="W94" i="30" a="1"/>
  <c r="W94" i="30" s="1"/>
  <c r="X94" i="30" a="1"/>
  <c r="X94" i="30" s="1"/>
  <c r="K95" i="30" a="1"/>
  <c r="K95" i="30" s="1"/>
  <c r="L95" i="30" a="1"/>
  <c r="L95" i="30" s="1"/>
  <c r="M95" i="30" a="1"/>
  <c r="M95" i="30" s="1"/>
  <c r="N95" i="30" a="1"/>
  <c r="N95" i="30" s="1"/>
  <c r="O95" i="30" a="1"/>
  <c r="O95" i="30" s="1"/>
  <c r="P95" i="30" a="1"/>
  <c r="P95" i="30" s="1"/>
  <c r="Q95" i="30" a="1"/>
  <c r="Q95" i="30" s="1"/>
  <c r="R95" i="30" a="1"/>
  <c r="R95" i="30" s="1"/>
  <c r="U95" i="30" a="1"/>
  <c r="U95" i="30" s="1"/>
  <c r="V95" i="30" a="1"/>
  <c r="V95" i="30" s="1"/>
  <c r="W95" i="30" a="1"/>
  <c r="W95" i="30" s="1"/>
  <c r="X95" i="30" a="1"/>
  <c r="X95" i="30" s="1"/>
  <c r="K96" i="30" a="1"/>
  <c r="K96" i="30" s="1"/>
  <c r="L96" i="30" a="1"/>
  <c r="L96" i="30" s="1"/>
  <c r="M96" i="30" a="1"/>
  <c r="M96" i="30" s="1"/>
  <c r="N96" i="30" a="1"/>
  <c r="N96" i="30" s="1"/>
  <c r="O96" i="30" a="1"/>
  <c r="O96" i="30" s="1"/>
  <c r="P96" i="30" a="1"/>
  <c r="P96" i="30" s="1"/>
  <c r="Q96" i="30" a="1"/>
  <c r="Q96" i="30" s="1"/>
  <c r="R96" i="30" a="1"/>
  <c r="R96" i="30" s="1"/>
  <c r="U96" i="30" a="1"/>
  <c r="U96" i="30" s="1"/>
  <c r="V96" i="30" a="1"/>
  <c r="V96" i="30" s="1"/>
  <c r="W96" i="30" a="1"/>
  <c r="W96" i="30" s="1"/>
  <c r="X96" i="30" a="1"/>
  <c r="X96" i="30" s="1"/>
  <c r="K97" i="30" a="1"/>
  <c r="K97" i="30" s="1"/>
  <c r="L97" i="30" a="1"/>
  <c r="L97" i="30" s="1"/>
  <c r="M97" i="30" a="1"/>
  <c r="M97" i="30" s="1"/>
  <c r="N97" i="30" a="1"/>
  <c r="N97" i="30" s="1"/>
  <c r="O97" i="30" a="1"/>
  <c r="O97" i="30" s="1"/>
  <c r="P97" i="30" a="1"/>
  <c r="P97" i="30" s="1"/>
  <c r="Q97" i="30" a="1"/>
  <c r="Q97" i="30" s="1"/>
  <c r="R97" i="30" a="1"/>
  <c r="R97" i="30" s="1"/>
  <c r="U97" i="30" a="1"/>
  <c r="U97" i="30" s="1"/>
  <c r="V97" i="30" a="1"/>
  <c r="V97" i="30" s="1"/>
  <c r="W97" i="30" a="1"/>
  <c r="W97" i="30" s="1"/>
  <c r="X97" i="30" a="1"/>
  <c r="X97" i="30" s="1"/>
  <c r="K98" i="30" a="1"/>
  <c r="K98" i="30" s="1"/>
  <c r="L98" i="30" a="1"/>
  <c r="L98" i="30" s="1"/>
  <c r="M98" i="30" a="1"/>
  <c r="M98" i="30" s="1"/>
  <c r="N98" i="30" a="1"/>
  <c r="N98" i="30" s="1"/>
  <c r="O98" i="30" a="1"/>
  <c r="O98" i="30" s="1"/>
  <c r="P98" i="30" a="1"/>
  <c r="P98" i="30" s="1"/>
  <c r="Q98" i="30" a="1"/>
  <c r="Q98" i="30" s="1"/>
  <c r="R98" i="30" a="1"/>
  <c r="R98" i="30" s="1"/>
  <c r="U98" i="30" a="1"/>
  <c r="U98" i="30" s="1"/>
  <c r="V98" i="30" a="1"/>
  <c r="V98" i="30" s="1"/>
  <c r="W98" i="30" a="1"/>
  <c r="W98" i="30" s="1"/>
  <c r="X98" i="30" a="1"/>
  <c r="X98" i="30" s="1"/>
  <c r="K99" i="30" a="1"/>
  <c r="K99" i="30" s="1"/>
  <c r="L99" i="30" a="1"/>
  <c r="L99" i="30" s="1"/>
  <c r="M99" i="30" a="1"/>
  <c r="M99" i="30" s="1"/>
  <c r="N99" i="30" a="1"/>
  <c r="N99" i="30" s="1"/>
  <c r="O99" i="30" a="1"/>
  <c r="O99" i="30" s="1"/>
  <c r="P99" i="30" a="1"/>
  <c r="P99" i="30" s="1"/>
  <c r="Q99" i="30" a="1"/>
  <c r="Q99" i="30" s="1"/>
  <c r="R99" i="30" a="1"/>
  <c r="R99" i="30" s="1"/>
  <c r="U99" i="30" a="1"/>
  <c r="U99" i="30" s="1"/>
  <c r="V99" i="30" a="1"/>
  <c r="V99" i="30" s="1"/>
  <c r="W99" i="30" a="1"/>
  <c r="W99" i="30" s="1"/>
  <c r="X99" i="30" a="1"/>
  <c r="X99" i="30" s="1"/>
  <c r="K100" i="30" a="1"/>
  <c r="K100" i="30" s="1"/>
  <c r="L100" i="30" a="1"/>
  <c r="L100" i="30" s="1"/>
  <c r="M100" i="30" a="1"/>
  <c r="M100" i="30" s="1"/>
  <c r="N100" i="30" a="1"/>
  <c r="N100" i="30" s="1"/>
  <c r="O100" i="30" a="1"/>
  <c r="O100" i="30" s="1"/>
  <c r="P100" i="30" a="1"/>
  <c r="P100" i="30" s="1"/>
  <c r="Q100" i="30" a="1"/>
  <c r="Q100" i="30" s="1"/>
  <c r="R100" i="30" a="1"/>
  <c r="R100" i="30" s="1"/>
  <c r="U100" i="30" a="1"/>
  <c r="U100" i="30" s="1"/>
  <c r="V100" i="30" a="1"/>
  <c r="V100" i="30" s="1"/>
  <c r="W100" i="30" a="1"/>
  <c r="W100" i="30" s="1"/>
  <c r="X100" i="30" a="1"/>
  <c r="X100" i="30" s="1"/>
  <c r="K101" i="30" a="1"/>
  <c r="K101" i="30" s="1"/>
  <c r="L101" i="30" a="1"/>
  <c r="L101" i="30" s="1"/>
  <c r="M101" i="30" a="1"/>
  <c r="M101" i="30" s="1"/>
  <c r="N101" i="30" a="1"/>
  <c r="N101" i="30" s="1"/>
  <c r="O101" i="30" a="1"/>
  <c r="O101" i="30" s="1"/>
  <c r="P101" i="30" a="1"/>
  <c r="P101" i="30" s="1"/>
  <c r="Q101" i="30" a="1"/>
  <c r="Q101" i="30" s="1"/>
  <c r="R101" i="30" a="1"/>
  <c r="R101" i="30" s="1"/>
  <c r="U101" i="30" a="1"/>
  <c r="U101" i="30" s="1"/>
  <c r="V101" i="30" a="1"/>
  <c r="V101" i="30" s="1"/>
  <c r="W101" i="30" a="1"/>
  <c r="W101" i="30" s="1"/>
  <c r="X101" i="30" a="1"/>
  <c r="X101" i="30" s="1"/>
  <c r="K102" i="30" a="1"/>
  <c r="K102" i="30" s="1"/>
  <c r="L102" i="30" a="1"/>
  <c r="L102" i="30" s="1"/>
  <c r="M102" i="30" a="1"/>
  <c r="M102" i="30" s="1"/>
  <c r="N102" i="30" a="1"/>
  <c r="N102" i="30" s="1"/>
  <c r="O102" i="30" a="1"/>
  <c r="O102" i="30" s="1"/>
  <c r="P102" i="30" a="1"/>
  <c r="P102" i="30" s="1"/>
  <c r="Q102" i="30" a="1"/>
  <c r="Q102" i="30" s="1"/>
  <c r="R102" i="30" a="1"/>
  <c r="R102" i="30" s="1"/>
  <c r="U102" i="30" a="1"/>
  <c r="U102" i="30" s="1"/>
  <c r="V102" i="30" a="1"/>
  <c r="V102" i="30" s="1"/>
  <c r="W102" i="30" a="1"/>
  <c r="W102" i="30" s="1"/>
  <c r="X102" i="30" a="1"/>
  <c r="X102" i="30" s="1"/>
  <c r="K103" i="30" a="1"/>
  <c r="K103" i="30" s="1"/>
  <c r="L103" i="30" a="1"/>
  <c r="L103" i="30" s="1"/>
  <c r="M103" i="30" a="1"/>
  <c r="M103" i="30" s="1"/>
  <c r="N103" i="30" a="1"/>
  <c r="N103" i="30" s="1"/>
  <c r="O103" i="30" a="1"/>
  <c r="O103" i="30" s="1"/>
  <c r="P103" i="30" a="1"/>
  <c r="P103" i="30" s="1"/>
  <c r="Q103" i="30" a="1"/>
  <c r="Q103" i="30" s="1"/>
  <c r="R103" i="30" a="1"/>
  <c r="R103" i="30" s="1"/>
  <c r="U103" i="30" a="1"/>
  <c r="U103" i="30" s="1"/>
  <c r="V103" i="30" a="1"/>
  <c r="V103" i="30" s="1"/>
  <c r="W103" i="30" a="1"/>
  <c r="W103" i="30" s="1"/>
  <c r="X103" i="30" a="1"/>
  <c r="X103" i="30" s="1"/>
  <c r="K104" i="30" a="1"/>
  <c r="K104" i="30" s="1"/>
  <c r="L104" i="30" a="1"/>
  <c r="L104" i="30" s="1"/>
  <c r="M104" i="30" a="1"/>
  <c r="M104" i="30" s="1"/>
  <c r="N104" i="30" a="1"/>
  <c r="N104" i="30" s="1"/>
  <c r="O104" i="30" a="1"/>
  <c r="O104" i="30" s="1"/>
  <c r="P104" i="30" a="1"/>
  <c r="P104" i="30" s="1"/>
  <c r="Q104" i="30" a="1"/>
  <c r="Q104" i="30" s="1"/>
  <c r="R104" i="30" a="1"/>
  <c r="R104" i="30" s="1"/>
  <c r="U104" i="30" a="1"/>
  <c r="U104" i="30" s="1"/>
  <c r="V104" i="30" a="1"/>
  <c r="V104" i="30" s="1"/>
  <c r="W104" i="30" a="1"/>
  <c r="W104" i="30" s="1"/>
  <c r="X104" i="30" a="1"/>
  <c r="X104" i="30" s="1"/>
  <c r="K105" i="30" a="1"/>
  <c r="K105" i="30" s="1"/>
  <c r="L105" i="30" a="1"/>
  <c r="L105" i="30" s="1"/>
  <c r="M105" i="30" a="1"/>
  <c r="M105" i="30" s="1"/>
  <c r="N105" i="30" a="1"/>
  <c r="N105" i="30" s="1"/>
  <c r="O105" i="30" a="1"/>
  <c r="O105" i="30" s="1"/>
  <c r="P105" i="30" a="1"/>
  <c r="P105" i="30" s="1"/>
  <c r="Q105" i="30" a="1"/>
  <c r="Q105" i="30" s="1"/>
  <c r="R105" i="30" a="1"/>
  <c r="R105" i="30" s="1"/>
  <c r="U105" i="30" a="1"/>
  <c r="U105" i="30" s="1"/>
  <c r="V105" i="30" a="1"/>
  <c r="V105" i="30" s="1"/>
  <c r="W105" i="30" a="1"/>
  <c r="W105" i="30" s="1"/>
  <c r="X105" i="30" a="1"/>
  <c r="X105" i="30" s="1"/>
  <c r="K106" i="30" a="1"/>
  <c r="K106" i="30" s="1"/>
  <c r="L106" i="30" a="1"/>
  <c r="L106" i="30" s="1"/>
  <c r="M106" i="30" a="1"/>
  <c r="M106" i="30" s="1"/>
  <c r="N106" i="30" a="1"/>
  <c r="N106" i="30" s="1"/>
  <c r="O106" i="30" a="1"/>
  <c r="O106" i="30" s="1"/>
  <c r="P106" i="30" a="1"/>
  <c r="P106" i="30" s="1"/>
  <c r="Q106" i="30" a="1"/>
  <c r="Q106" i="30" s="1"/>
  <c r="R106" i="30" a="1"/>
  <c r="R106" i="30" s="1"/>
  <c r="U106" i="30" a="1"/>
  <c r="U106" i="30" s="1"/>
  <c r="V106" i="30" a="1"/>
  <c r="V106" i="30" s="1"/>
  <c r="W106" i="30" a="1"/>
  <c r="W106" i="30" s="1"/>
  <c r="X106" i="30" a="1"/>
  <c r="X106" i="30" s="1"/>
  <c r="K107" i="30" a="1"/>
  <c r="K107" i="30" s="1"/>
  <c r="L107" i="30" a="1"/>
  <c r="L107" i="30" s="1"/>
  <c r="M107" i="30" a="1"/>
  <c r="M107" i="30" s="1"/>
  <c r="N107" i="30" a="1"/>
  <c r="N107" i="30" s="1"/>
  <c r="O107" i="30" a="1"/>
  <c r="O107" i="30" s="1"/>
  <c r="P107" i="30" a="1"/>
  <c r="P107" i="30" s="1"/>
  <c r="Q107" i="30" a="1"/>
  <c r="Q107" i="30" s="1"/>
  <c r="R107" i="30" a="1"/>
  <c r="R107" i="30" s="1"/>
  <c r="U107" i="30" a="1"/>
  <c r="U107" i="30" s="1"/>
  <c r="V107" i="30" a="1"/>
  <c r="V107" i="30" s="1"/>
  <c r="W107" i="30" a="1"/>
  <c r="W107" i="30" s="1"/>
  <c r="X107" i="30" a="1"/>
  <c r="X107" i="30" s="1"/>
  <c r="K108" i="30" a="1"/>
  <c r="K108" i="30" s="1"/>
  <c r="L108" i="30" a="1"/>
  <c r="L108" i="30" s="1"/>
  <c r="M108" i="30" a="1"/>
  <c r="M108" i="30" s="1"/>
  <c r="N108" i="30" a="1"/>
  <c r="N108" i="30" s="1"/>
  <c r="O108" i="30" a="1"/>
  <c r="O108" i="30" s="1"/>
  <c r="P108" i="30" a="1"/>
  <c r="P108" i="30" s="1"/>
  <c r="Q108" i="30" a="1"/>
  <c r="Q108" i="30" s="1"/>
  <c r="R108" i="30" a="1"/>
  <c r="R108" i="30" s="1"/>
  <c r="U108" i="30" a="1"/>
  <c r="U108" i="30" s="1"/>
  <c r="V108" i="30" a="1"/>
  <c r="V108" i="30" s="1"/>
  <c r="W108" i="30" a="1"/>
  <c r="W108" i="30" s="1"/>
  <c r="X108" i="30" a="1"/>
  <c r="X108" i="30" s="1"/>
  <c r="K109" i="30" a="1"/>
  <c r="K109" i="30" s="1"/>
  <c r="L109" i="30" a="1"/>
  <c r="L109" i="30" s="1"/>
  <c r="M109" i="30" a="1"/>
  <c r="M109" i="30" s="1"/>
  <c r="N109" i="30" a="1"/>
  <c r="N109" i="30" s="1"/>
  <c r="O109" i="30" a="1"/>
  <c r="O109" i="30" s="1"/>
  <c r="P109" i="30" a="1"/>
  <c r="P109" i="30" s="1"/>
  <c r="Q109" i="30" a="1"/>
  <c r="Q109" i="30" s="1"/>
  <c r="R109" i="30" a="1"/>
  <c r="R109" i="30" s="1"/>
  <c r="U109" i="30" a="1"/>
  <c r="U109" i="30" s="1"/>
  <c r="V109" i="30" a="1"/>
  <c r="V109" i="30" s="1"/>
  <c r="W109" i="30" a="1"/>
  <c r="W109" i="30" s="1"/>
  <c r="X109" i="30" a="1"/>
  <c r="X109" i="30" s="1"/>
  <c r="K110" i="30" a="1"/>
  <c r="K110" i="30" s="1"/>
  <c r="L110" i="30" a="1"/>
  <c r="L110" i="30" s="1"/>
  <c r="M110" i="30" a="1"/>
  <c r="M110" i="30" s="1"/>
  <c r="N110" i="30" a="1"/>
  <c r="N110" i="30" s="1"/>
  <c r="O110" i="30" a="1"/>
  <c r="O110" i="30" s="1"/>
  <c r="P110" i="30" a="1"/>
  <c r="P110" i="30" s="1"/>
  <c r="Q110" i="30" a="1"/>
  <c r="Q110" i="30" s="1"/>
  <c r="R110" i="30" a="1"/>
  <c r="R110" i="30" s="1"/>
  <c r="U110" i="30" a="1"/>
  <c r="U110" i="30" s="1"/>
  <c r="V110" i="30" a="1"/>
  <c r="V110" i="30" s="1"/>
  <c r="W110" i="30" a="1"/>
  <c r="W110" i="30" s="1"/>
  <c r="X110" i="30" a="1"/>
  <c r="X110" i="30" s="1"/>
  <c r="K111" i="30" a="1"/>
  <c r="K111" i="30" s="1"/>
  <c r="L111" i="30" a="1"/>
  <c r="L111" i="30" s="1"/>
  <c r="M111" i="30" a="1"/>
  <c r="M111" i="30" s="1"/>
  <c r="N111" i="30" a="1"/>
  <c r="N111" i="30" s="1"/>
  <c r="O111" i="30" a="1"/>
  <c r="O111" i="30" s="1"/>
  <c r="P111" i="30" a="1"/>
  <c r="P111" i="30" s="1"/>
  <c r="Q111" i="30" a="1"/>
  <c r="Q111" i="30" s="1"/>
  <c r="R111" i="30" a="1"/>
  <c r="R111" i="30" s="1"/>
  <c r="U111" i="30" a="1"/>
  <c r="U111" i="30" s="1"/>
  <c r="V111" i="30" a="1"/>
  <c r="V111" i="30" s="1"/>
  <c r="W111" i="30" a="1"/>
  <c r="W111" i="30" s="1"/>
  <c r="X111" i="30" a="1"/>
  <c r="X111" i="30" s="1"/>
  <c r="K112" i="30" a="1"/>
  <c r="K112" i="30" s="1"/>
  <c r="L112" i="30" a="1"/>
  <c r="L112" i="30" s="1"/>
  <c r="M112" i="30" a="1"/>
  <c r="M112" i="30" s="1"/>
  <c r="N112" i="30" a="1"/>
  <c r="N112" i="30" s="1"/>
  <c r="O112" i="30" a="1"/>
  <c r="O112" i="30" s="1"/>
  <c r="P112" i="30" a="1"/>
  <c r="P112" i="30" s="1"/>
  <c r="Q112" i="30" a="1"/>
  <c r="Q112" i="30" s="1"/>
  <c r="R112" i="30" a="1"/>
  <c r="R112" i="30" s="1"/>
  <c r="U112" i="30" a="1"/>
  <c r="U112" i="30" s="1"/>
  <c r="V112" i="30" a="1"/>
  <c r="V112" i="30" s="1"/>
  <c r="W112" i="30" a="1"/>
  <c r="W112" i="30" s="1"/>
  <c r="X112" i="30" a="1"/>
  <c r="X112" i="30" s="1"/>
  <c r="K113" i="30" a="1"/>
  <c r="K113" i="30" s="1"/>
  <c r="L113" i="30" a="1"/>
  <c r="L113" i="30" s="1"/>
  <c r="M113" i="30" a="1"/>
  <c r="M113" i="30" s="1"/>
  <c r="N113" i="30" a="1"/>
  <c r="N113" i="30" s="1"/>
  <c r="O113" i="30" a="1"/>
  <c r="O113" i="30" s="1"/>
  <c r="P113" i="30" a="1"/>
  <c r="P113" i="30" s="1"/>
  <c r="Q113" i="30" a="1"/>
  <c r="Q113" i="30" s="1"/>
  <c r="R113" i="30" a="1"/>
  <c r="R113" i="30" s="1"/>
  <c r="U113" i="30" a="1"/>
  <c r="U113" i="30" s="1"/>
  <c r="V113" i="30" a="1"/>
  <c r="V113" i="30" s="1"/>
  <c r="W113" i="30" a="1"/>
  <c r="W113" i="30" s="1"/>
  <c r="X113" i="30" a="1"/>
  <c r="X113" i="30" s="1"/>
  <c r="K114" i="30" a="1"/>
  <c r="K114" i="30" s="1"/>
  <c r="L114" i="30" a="1"/>
  <c r="L114" i="30" s="1"/>
  <c r="M114" i="30" a="1"/>
  <c r="M114" i="30" s="1"/>
  <c r="N114" i="30" a="1"/>
  <c r="N114" i="30" s="1"/>
  <c r="O114" i="30" a="1"/>
  <c r="O114" i="30" s="1"/>
  <c r="P114" i="30" a="1"/>
  <c r="P114" i="30" s="1"/>
  <c r="Q114" i="30" a="1"/>
  <c r="Q114" i="30" s="1"/>
  <c r="R114" i="30" a="1"/>
  <c r="R114" i="30" s="1"/>
  <c r="U114" i="30" a="1"/>
  <c r="U114" i="30" s="1"/>
  <c r="V114" i="30" a="1"/>
  <c r="V114" i="30" s="1"/>
  <c r="W114" i="30" a="1"/>
  <c r="W114" i="30" s="1"/>
  <c r="X114" i="30" a="1"/>
  <c r="X114" i="30" s="1"/>
  <c r="K115" i="30" a="1"/>
  <c r="K115" i="30" s="1"/>
  <c r="L115" i="30" a="1"/>
  <c r="L115" i="30" s="1"/>
  <c r="M115" i="30" a="1"/>
  <c r="M115" i="30" s="1"/>
  <c r="N115" i="30" a="1"/>
  <c r="N115" i="30" s="1"/>
  <c r="O115" i="30" a="1"/>
  <c r="O115" i="30" s="1"/>
  <c r="P115" i="30" a="1"/>
  <c r="P115" i="30" s="1"/>
  <c r="Q115" i="30" a="1"/>
  <c r="Q115" i="30" s="1"/>
  <c r="R115" i="30" a="1"/>
  <c r="R115" i="30" s="1"/>
  <c r="U115" i="30" a="1"/>
  <c r="U115" i="30" s="1"/>
  <c r="V115" i="30" a="1"/>
  <c r="V115" i="30" s="1"/>
  <c r="W115" i="30" a="1"/>
  <c r="W115" i="30" s="1"/>
  <c r="X115" i="30" a="1"/>
  <c r="X115" i="30" s="1"/>
  <c r="K116" i="30" a="1"/>
  <c r="K116" i="30" s="1"/>
  <c r="L116" i="30" a="1"/>
  <c r="L116" i="30" s="1"/>
  <c r="M116" i="30" a="1"/>
  <c r="M116" i="30" s="1"/>
  <c r="N116" i="30" a="1"/>
  <c r="N116" i="30" s="1"/>
  <c r="O116" i="30" a="1"/>
  <c r="O116" i="30" s="1"/>
  <c r="P116" i="30" a="1"/>
  <c r="P116" i="30" s="1"/>
  <c r="Q116" i="30" a="1"/>
  <c r="Q116" i="30" s="1"/>
  <c r="R116" i="30" a="1"/>
  <c r="R116" i="30" s="1"/>
  <c r="U116" i="30" a="1"/>
  <c r="U116" i="30" s="1"/>
  <c r="V116" i="30" a="1"/>
  <c r="V116" i="30" s="1"/>
  <c r="W116" i="30" a="1"/>
  <c r="W116" i="30" s="1"/>
  <c r="X116" i="30" a="1"/>
  <c r="X116" i="30" s="1"/>
  <c r="K117" i="30" a="1"/>
  <c r="K117" i="30" s="1"/>
  <c r="L117" i="30" a="1"/>
  <c r="L117" i="30" s="1"/>
  <c r="M117" i="30" a="1"/>
  <c r="M117" i="30" s="1"/>
  <c r="N117" i="30" a="1"/>
  <c r="N117" i="30" s="1"/>
  <c r="O117" i="30" a="1"/>
  <c r="O117" i="30" s="1"/>
  <c r="P117" i="30" a="1"/>
  <c r="P117" i="30" s="1"/>
  <c r="Q117" i="30" a="1"/>
  <c r="Q117" i="30" s="1"/>
  <c r="R117" i="30" a="1"/>
  <c r="R117" i="30" s="1"/>
  <c r="U117" i="30" a="1"/>
  <c r="U117" i="30" s="1"/>
  <c r="V117" i="30" a="1"/>
  <c r="V117" i="30" s="1"/>
  <c r="W117" i="30" a="1"/>
  <c r="W117" i="30" s="1"/>
  <c r="X117" i="30" a="1"/>
  <c r="X117" i="30" s="1"/>
  <c r="K118" i="30" a="1"/>
  <c r="K118" i="30" s="1"/>
  <c r="L118" i="30" a="1"/>
  <c r="L118" i="30" s="1"/>
  <c r="M118" i="30" a="1"/>
  <c r="M118" i="30" s="1"/>
  <c r="N118" i="30" a="1"/>
  <c r="N118" i="30" s="1"/>
  <c r="O118" i="30" a="1"/>
  <c r="O118" i="30" s="1"/>
  <c r="P118" i="30" a="1"/>
  <c r="P118" i="30" s="1"/>
  <c r="Q118" i="30" a="1"/>
  <c r="Q118" i="30" s="1"/>
  <c r="R118" i="30" a="1"/>
  <c r="R118" i="30" s="1"/>
  <c r="U118" i="30" a="1"/>
  <c r="U118" i="30" s="1"/>
  <c r="V118" i="30" a="1"/>
  <c r="V118" i="30" s="1"/>
  <c r="W118" i="30" a="1"/>
  <c r="W118" i="30" s="1"/>
  <c r="X118" i="30" a="1"/>
  <c r="X118" i="30" s="1"/>
  <c r="K119" i="30" a="1"/>
  <c r="K119" i="30" s="1"/>
  <c r="L119" i="30" a="1"/>
  <c r="L119" i="30" s="1"/>
  <c r="M119" i="30" a="1"/>
  <c r="M119" i="30" s="1"/>
  <c r="N119" i="30" a="1"/>
  <c r="N119" i="30" s="1"/>
  <c r="O119" i="30" a="1"/>
  <c r="O119" i="30" s="1"/>
  <c r="P119" i="30" a="1"/>
  <c r="P119" i="30" s="1"/>
  <c r="Q119" i="30" a="1"/>
  <c r="Q119" i="30" s="1"/>
  <c r="R119" i="30" a="1"/>
  <c r="R119" i="30" s="1"/>
  <c r="U119" i="30" a="1"/>
  <c r="U119" i="30" s="1"/>
  <c r="V119" i="30" a="1"/>
  <c r="V119" i="30" s="1"/>
  <c r="W119" i="30" a="1"/>
  <c r="W119" i="30" s="1"/>
  <c r="X119" i="30" a="1"/>
  <c r="X119" i="30" s="1"/>
  <c r="K120" i="30" a="1"/>
  <c r="K120" i="30" s="1"/>
  <c r="L120" i="30" a="1"/>
  <c r="L120" i="30" s="1"/>
  <c r="M120" i="30" a="1"/>
  <c r="M120" i="30" s="1"/>
  <c r="N120" i="30" a="1"/>
  <c r="N120" i="30" s="1"/>
  <c r="O120" i="30" a="1"/>
  <c r="O120" i="30" s="1"/>
  <c r="P120" i="30" a="1"/>
  <c r="P120" i="30" s="1"/>
  <c r="Q120" i="30" a="1"/>
  <c r="Q120" i="30" s="1"/>
  <c r="R120" i="30" a="1"/>
  <c r="R120" i="30" s="1"/>
  <c r="U120" i="30" a="1"/>
  <c r="U120" i="30" s="1"/>
  <c r="V120" i="30" a="1"/>
  <c r="V120" i="30" s="1"/>
  <c r="W120" i="30" a="1"/>
  <c r="W120" i="30" s="1"/>
  <c r="X120" i="30" a="1"/>
  <c r="X120" i="30" s="1"/>
  <c r="K121" i="30" a="1"/>
  <c r="K121" i="30" s="1"/>
  <c r="L121" i="30" a="1"/>
  <c r="L121" i="30" s="1"/>
  <c r="M121" i="30" a="1"/>
  <c r="M121" i="30" s="1"/>
  <c r="N121" i="30" a="1"/>
  <c r="N121" i="30" s="1"/>
  <c r="O121" i="30" a="1"/>
  <c r="O121" i="30" s="1"/>
  <c r="P121" i="30" a="1"/>
  <c r="P121" i="30" s="1"/>
  <c r="Q121" i="30" a="1"/>
  <c r="Q121" i="30" s="1"/>
  <c r="R121" i="30" a="1"/>
  <c r="R121" i="30" s="1"/>
  <c r="U121" i="30" a="1"/>
  <c r="U121" i="30" s="1"/>
  <c r="V121" i="30" a="1"/>
  <c r="V121" i="30" s="1"/>
  <c r="W121" i="30" a="1"/>
  <c r="W121" i="30" s="1"/>
  <c r="X121" i="30" a="1"/>
  <c r="X121" i="30" s="1"/>
  <c r="K122" i="30" a="1"/>
  <c r="K122" i="30" s="1"/>
  <c r="L122" i="30" a="1"/>
  <c r="L122" i="30" s="1"/>
  <c r="M122" i="30" a="1"/>
  <c r="M122" i="30" s="1"/>
  <c r="N122" i="30" a="1"/>
  <c r="N122" i="30" s="1"/>
  <c r="O122" i="30" a="1"/>
  <c r="O122" i="30" s="1"/>
  <c r="P122" i="30" a="1"/>
  <c r="P122" i="30" s="1"/>
  <c r="Q122" i="30" a="1"/>
  <c r="Q122" i="30" s="1"/>
  <c r="R122" i="30" a="1"/>
  <c r="R122" i="30" s="1"/>
  <c r="U122" i="30" a="1"/>
  <c r="U122" i="30" s="1"/>
  <c r="V122" i="30" a="1"/>
  <c r="V122" i="30" s="1"/>
  <c r="W122" i="30" a="1"/>
  <c r="W122" i="30" s="1"/>
  <c r="X122" i="30" a="1"/>
  <c r="X122" i="30" s="1"/>
  <c r="K123" i="30" a="1"/>
  <c r="K123" i="30" s="1"/>
  <c r="L123" i="30" a="1"/>
  <c r="L123" i="30" s="1"/>
  <c r="M123" i="30" a="1"/>
  <c r="M123" i="30" s="1"/>
  <c r="N123" i="30" a="1"/>
  <c r="N123" i="30" s="1"/>
  <c r="O123" i="30" a="1"/>
  <c r="O123" i="30" s="1"/>
  <c r="P123" i="30" a="1"/>
  <c r="P123" i="30" s="1"/>
  <c r="Q123" i="30" a="1"/>
  <c r="Q123" i="30" s="1"/>
  <c r="R123" i="30" a="1"/>
  <c r="R123" i="30" s="1"/>
  <c r="U123" i="30" a="1"/>
  <c r="U123" i="30" s="1"/>
  <c r="V123" i="30" a="1"/>
  <c r="V123" i="30" s="1"/>
  <c r="W123" i="30" a="1"/>
  <c r="W123" i="30" s="1"/>
  <c r="X123" i="30" a="1"/>
  <c r="X123" i="30" s="1"/>
  <c r="K124" i="30" a="1"/>
  <c r="K124" i="30" s="1"/>
  <c r="L124" i="30" a="1"/>
  <c r="L124" i="30" s="1"/>
  <c r="M124" i="30" a="1"/>
  <c r="M124" i="30" s="1"/>
  <c r="N124" i="30" a="1"/>
  <c r="N124" i="30" s="1"/>
  <c r="O124" i="30" a="1"/>
  <c r="O124" i="30" s="1"/>
  <c r="P124" i="30" a="1"/>
  <c r="P124" i="30" s="1"/>
  <c r="Q124" i="30" a="1"/>
  <c r="Q124" i="30" s="1"/>
  <c r="R124" i="30" a="1"/>
  <c r="R124" i="30" s="1"/>
  <c r="U124" i="30" a="1"/>
  <c r="U124" i="30" s="1"/>
  <c r="V124" i="30" a="1"/>
  <c r="V124" i="30" s="1"/>
  <c r="W124" i="30" a="1"/>
  <c r="W124" i="30" s="1"/>
  <c r="X124" i="30" a="1"/>
  <c r="X124" i="30" s="1"/>
  <c r="K125" i="30" a="1"/>
  <c r="K125" i="30" s="1"/>
  <c r="L125" i="30" a="1"/>
  <c r="L125" i="30" s="1"/>
  <c r="M125" i="30" a="1"/>
  <c r="M125" i="30" s="1"/>
  <c r="N125" i="30" a="1"/>
  <c r="N125" i="30" s="1"/>
  <c r="O125" i="30" a="1"/>
  <c r="O125" i="30" s="1"/>
  <c r="P125" i="30" a="1"/>
  <c r="P125" i="30" s="1"/>
  <c r="Q125" i="30" a="1"/>
  <c r="Q125" i="30" s="1"/>
  <c r="R125" i="30" a="1"/>
  <c r="R125" i="30" s="1"/>
  <c r="U125" i="30" a="1"/>
  <c r="U125" i="30" s="1"/>
  <c r="V125" i="30" a="1"/>
  <c r="V125" i="30" s="1"/>
  <c r="W125" i="30" a="1"/>
  <c r="W125" i="30" s="1"/>
  <c r="X125" i="30" a="1"/>
  <c r="X125" i="30" s="1"/>
  <c r="K126" i="30" a="1"/>
  <c r="K126" i="30" s="1"/>
  <c r="L126" i="30" a="1"/>
  <c r="L126" i="30" s="1"/>
  <c r="M126" i="30" a="1"/>
  <c r="M126" i="30" s="1"/>
  <c r="N126" i="30" a="1"/>
  <c r="N126" i="30" s="1"/>
  <c r="O126" i="30" a="1"/>
  <c r="O126" i="30" s="1"/>
  <c r="P126" i="30" a="1"/>
  <c r="P126" i="30" s="1"/>
  <c r="Q126" i="30" a="1"/>
  <c r="Q126" i="30" s="1"/>
  <c r="R126" i="30" a="1"/>
  <c r="R126" i="30" s="1"/>
  <c r="U126" i="30" a="1"/>
  <c r="U126" i="30" s="1"/>
  <c r="V126" i="30" a="1"/>
  <c r="V126" i="30" s="1"/>
  <c r="W126" i="30" a="1"/>
  <c r="W126" i="30" s="1"/>
  <c r="X126" i="30" a="1"/>
  <c r="X126" i="30" s="1"/>
  <c r="K127" i="30" a="1"/>
  <c r="K127" i="30" s="1"/>
  <c r="L127" i="30" a="1"/>
  <c r="L127" i="30" s="1"/>
  <c r="M127" i="30" a="1"/>
  <c r="M127" i="30" s="1"/>
  <c r="N127" i="30" a="1"/>
  <c r="N127" i="30" s="1"/>
  <c r="O127" i="30" a="1"/>
  <c r="O127" i="30" s="1"/>
  <c r="P127" i="30" a="1"/>
  <c r="P127" i="30" s="1"/>
  <c r="Q127" i="30" a="1"/>
  <c r="Q127" i="30" s="1"/>
  <c r="R127" i="30" a="1"/>
  <c r="R127" i="30" s="1"/>
  <c r="U127" i="30" a="1"/>
  <c r="U127" i="30" s="1"/>
  <c r="V127" i="30" a="1"/>
  <c r="V127" i="30" s="1"/>
  <c r="W127" i="30" a="1"/>
  <c r="W127" i="30" s="1"/>
  <c r="X127" i="30" a="1"/>
  <c r="X127" i="30" s="1"/>
  <c r="K128" i="30" a="1"/>
  <c r="K128" i="30" s="1"/>
  <c r="L128" i="30" a="1"/>
  <c r="L128" i="30" s="1"/>
  <c r="M128" i="30" a="1"/>
  <c r="M128" i="30" s="1"/>
  <c r="N128" i="30" a="1"/>
  <c r="N128" i="30" s="1"/>
  <c r="O128" i="30" a="1"/>
  <c r="O128" i="30" s="1"/>
  <c r="P128" i="30" a="1"/>
  <c r="P128" i="30" s="1"/>
  <c r="Q128" i="30" a="1"/>
  <c r="Q128" i="30" s="1"/>
  <c r="R128" i="30" a="1"/>
  <c r="R128" i="30" s="1"/>
  <c r="U128" i="30" a="1"/>
  <c r="U128" i="30" s="1"/>
  <c r="V128" i="30" a="1"/>
  <c r="V128" i="30" s="1"/>
  <c r="W128" i="30" a="1"/>
  <c r="W128" i="30" s="1"/>
  <c r="X128" i="30" a="1"/>
  <c r="X128" i="30" s="1"/>
  <c r="K129" i="30" a="1"/>
  <c r="K129" i="30" s="1"/>
  <c r="L129" i="30" a="1"/>
  <c r="L129" i="30" s="1"/>
  <c r="M129" i="30" a="1"/>
  <c r="M129" i="30" s="1"/>
  <c r="N129" i="30" a="1"/>
  <c r="N129" i="30" s="1"/>
  <c r="O129" i="30" a="1"/>
  <c r="O129" i="30" s="1"/>
  <c r="P129" i="30" a="1"/>
  <c r="P129" i="30" s="1"/>
  <c r="Q129" i="30" a="1"/>
  <c r="Q129" i="30" s="1"/>
  <c r="R129" i="30" a="1"/>
  <c r="R129" i="30" s="1"/>
  <c r="U129" i="30" a="1"/>
  <c r="U129" i="30" s="1"/>
  <c r="V129" i="30" a="1"/>
  <c r="V129" i="30" s="1"/>
  <c r="W129" i="30" a="1"/>
  <c r="W129" i="30" s="1"/>
  <c r="X129" i="30" a="1"/>
  <c r="X129" i="30" s="1"/>
  <c r="K130" i="30" a="1"/>
  <c r="K130" i="30" s="1"/>
  <c r="L130" i="30" a="1"/>
  <c r="L130" i="30" s="1"/>
  <c r="M130" i="30" a="1"/>
  <c r="M130" i="30" s="1"/>
  <c r="N130" i="30" a="1"/>
  <c r="N130" i="30" s="1"/>
  <c r="O130" i="30" a="1"/>
  <c r="O130" i="30" s="1"/>
  <c r="P130" i="30" a="1"/>
  <c r="P130" i="30" s="1"/>
  <c r="Q130" i="30" a="1"/>
  <c r="Q130" i="30" s="1"/>
  <c r="R130" i="30" a="1"/>
  <c r="R130" i="30" s="1"/>
  <c r="U130" i="30" a="1"/>
  <c r="U130" i="30" s="1"/>
  <c r="V130" i="30" a="1"/>
  <c r="V130" i="30" s="1"/>
  <c r="W130" i="30" a="1"/>
  <c r="W130" i="30" s="1"/>
  <c r="X130" i="30" a="1"/>
  <c r="X130" i="30" s="1"/>
  <c r="K131" i="30" a="1"/>
  <c r="K131" i="30" s="1"/>
  <c r="L131" i="30" a="1"/>
  <c r="L131" i="30" s="1"/>
  <c r="M131" i="30" a="1"/>
  <c r="M131" i="30" s="1"/>
  <c r="N131" i="30" a="1"/>
  <c r="N131" i="30" s="1"/>
  <c r="O131" i="30" a="1"/>
  <c r="O131" i="30" s="1"/>
  <c r="P131" i="30" a="1"/>
  <c r="P131" i="30" s="1"/>
  <c r="Q131" i="30" a="1"/>
  <c r="Q131" i="30" s="1"/>
  <c r="R131" i="30" a="1"/>
  <c r="R131" i="30" s="1"/>
  <c r="U131" i="30" a="1"/>
  <c r="U131" i="30" s="1"/>
  <c r="V131" i="30" a="1"/>
  <c r="V131" i="30" s="1"/>
  <c r="W131" i="30" a="1"/>
  <c r="W131" i="30" s="1"/>
  <c r="X131" i="30" a="1"/>
  <c r="X131" i="30" s="1"/>
  <c r="K132" i="30" a="1"/>
  <c r="K132" i="30" s="1"/>
  <c r="L132" i="30" a="1"/>
  <c r="L132" i="30" s="1"/>
  <c r="M132" i="30" a="1"/>
  <c r="M132" i="30" s="1"/>
  <c r="N132" i="30" a="1"/>
  <c r="N132" i="30" s="1"/>
  <c r="O132" i="30" a="1"/>
  <c r="O132" i="30" s="1"/>
  <c r="P132" i="30" a="1"/>
  <c r="P132" i="30" s="1"/>
  <c r="Q132" i="30" a="1"/>
  <c r="Q132" i="30" s="1"/>
  <c r="R132" i="30" a="1"/>
  <c r="R132" i="30" s="1"/>
  <c r="U132" i="30" a="1"/>
  <c r="U132" i="30" s="1"/>
  <c r="V132" i="30" a="1"/>
  <c r="V132" i="30" s="1"/>
  <c r="W132" i="30" a="1"/>
  <c r="W132" i="30" s="1"/>
  <c r="X132" i="30" a="1"/>
  <c r="X132" i="30" s="1"/>
  <c r="K133" i="30" a="1"/>
  <c r="K133" i="30" s="1"/>
  <c r="L133" i="30" a="1"/>
  <c r="L133" i="30" s="1"/>
  <c r="M133" i="30" a="1"/>
  <c r="M133" i="30" s="1"/>
  <c r="N133" i="30" a="1"/>
  <c r="N133" i="30" s="1"/>
  <c r="O133" i="30" a="1"/>
  <c r="O133" i="30" s="1"/>
  <c r="P133" i="30" a="1"/>
  <c r="P133" i="30" s="1"/>
  <c r="Q133" i="30" a="1"/>
  <c r="Q133" i="30" s="1"/>
  <c r="R133" i="30" a="1"/>
  <c r="R133" i="30" s="1"/>
  <c r="U133" i="30" a="1"/>
  <c r="U133" i="30" s="1"/>
  <c r="V133" i="30" a="1"/>
  <c r="V133" i="30" s="1"/>
  <c r="W133" i="30" a="1"/>
  <c r="W133" i="30" s="1"/>
  <c r="X133" i="30" a="1"/>
  <c r="X133" i="30" s="1"/>
  <c r="K134" i="30" a="1"/>
  <c r="K134" i="30" s="1"/>
  <c r="L134" i="30" a="1"/>
  <c r="L134" i="30" s="1"/>
  <c r="M134" i="30" a="1"/>
  <c r="M134" i="30" s="1"/>
  <c r="N134" i="30" a="1"/>
  <c r="N134" i="30" s="1"/>
  <c r="O134" i="30" a="1"/>
  <c r="O134" i="30" s="1"/>
  <c r="P134" i="30" a="1"/>
  <c r="P134" i="30" s="1"/>
  <c r="Q134" i="30" a="1"/>
  <c r="Q134" i="30" s="1"/>
  <c r="R134" i="30" a="1"/>
  <c r="R134" i="30" s="1"/>
  <c r="U134" i="30" a="1"/>
  <c r="U134" i="30" s="1"/>
  <c r="V134" i="30" a="1"/>
  <c r="V134" i="30" s="1"/>
  <c r="W134" i="30" a="1"/>
  <c r="W134" i="30" s="1"/>
  <c r="X134" i="30" a="1"/>
  <c r="X134" i="30" s="1"/>
  <c r="K135" i="30" a="1"/>
  <c r="K135" i="30" s="1"/>
  <c r="L135" i="30" a="1"/>
  <c r="L135" i="30" s="1"/>
  <c r="M135" i="30" a="1"/>
  <c r="M135" i="30" s="1"/>
  <c r="N135" i="30" a="1"/>
  <c r="N135" i="30" s="1"/>
  <c r="O135" i="30" a="1"/>
  <c r="O135" i="30" s="1"/>
  <c r="P135" i="30" a="1"/>
  <c r="P135" i="30" s="1"/>
  <c r="Q135" i="30" a="1"/>
  <c r="Q135" i="30" s="1"/>
  <c r="R135" i="30" a="1"/>
  <c r="R135" i="30" s="1"/>
  <c r="U135" i="30" a="1"/>
  <c r="U135" i="30" s="1"/>
  <c r="V135" i="30" a="1"/>
  <c r="V135" i="30" s="1"/>
  <c r="W135" i="30" a="1"/>
  <c r="W135" i="30" s="1"/>
  <c r="X135" i="30" a="1"/>
  <c r="X135" i="30" s="1"/>
  <c r="K136" i="30" a="1"/>
  <c r="K136" i="30" s="1"/>
  <c r="L136" i="30" a="1"/>
  <c r="L136" i="30" s="1"/>
  <c r="M136" i="30" a="1"/>
  <c r="M136" i="30" s="1"/>
  <c r="N136" i="30" a="1"/>
  <c r="N136" i="30" s="1"/>
  <c r="O136" i="30" a="1"/>
  <c r="O136" i="30" s="1"/>
  <c r="P136" i="30" a="1"/>
  <c r="P136" i="30" s="1"/>
  <c r="Q136" i="30" a="1"/>
  <c r="Q136" i="30" s="1"/>
  <c r="R136" i="30" a="1"/>
  <c r="R136" i="30" s="1"/>
  <c r="U136" i="30" a="1"/>
  <c r="U136" i="30" s="1"/>
  <c r="V136" i="30" a="1"/>
  <c r="V136" i="30" s="1"/>
  <c r="W136" i="30" a="1"/>
  <c r="W136" i="30" s="1"/>
  <c r="X136" i="30" a="1"/>
  <c r="X136" i="30" s="1"/>
  <c r="K137" i="30" a="1"/>
  <c r="K137" i="30" s="1"/>
  <c r="L137" i="30" a="1"/>
  <c r="L137" i="30" s="1"/>
  <c r="M137" i="30" a="1"/>
  <c r="M137" i="30" s="1"/>
  <c r="N137" i="30" a="1"/>
  <c r="N137" i="30" s="1"/>
  <c r="O137" i="30" a="1"/>
  <c r="O137" i="30" s="1"/>
  <c r="P137" i="30" a="1"/>
  <c r="P137" i="30" s="1"/>
  <c r="Q137" i="30" a="1"/>
  <c r="Q137" i="30" s="1"/>
  <c r="R137" i="30" a="1"/>
  <c r="R137" i="30" s="1"/>
  <c r="U137" i="30" a="1"/>
  <c r="U137" i="30" s="1"/>
  <c r="V137" i="30" a="1"/>
  <c r="V137" i="30" s="1"/>
  <c r="W137" i="30" a="1"/>
  <c r="W137" i="30" s="1"/>
  <c r="X137" i="30" a="1"/>
  <c r="X137" i="30" s="1"/>
  <c r="K138" i="30" a="1"/>
  <c r="K138" i="30" s="1"/>
  <c r="L138" i="30" a="1"/>
  <c r="L138" i="30" s="1"/>
  <c r="M138" i="30" a="1"/>
  <c r="M138" i="30" s="1"/>
  <c r="N138" i="30" a="1"/>
  <c r="N138" i="30" s="1"/>
  <c r="O138" i="30" a="1"/>
  <c r="O138" i="30" s="1"/>
  <c r="P138" i="30" a="1"/>
  <c r="P138" i="30" s="1"/>
  <c r="Q138" i="30" a="1"/>
  <c r="Q138" i="30" s="1"/>
  <c r="R138" i="30" a="1"/>
  <c r="R138" i="30" s="1"/>
  <c r="U138" i="30" a="1"/>
  <c r="U138" i="30" s="1"/>
  <c r="V138" i="30" a="1"/>
  <c r="V138" i="30" s="1"/>
  <c r="W138" i="30" a="1"/>
  <c r="W138" i="30" s="1"/>
  <c r="X138" i="30" a="1"/>
  <c r="X138" i="30" s="1"/>
  <c r="K139" i="30" a="1"/>
  <c r="K139" i="30" s="1"/>
  <c r="L139" i="30" a="1"/>
  <c r="L139" i="30" s="1"/>
  <c r="M139" i="30" a="1"/>
  <c r="M139" i="30" s="1"/>
  <c r="N139" i="30" a="1"/>
  <c r="N139" i="30" s="1"/>
  <c r="O139" i="30" a="1"/>
  <c r="O139" i="30" s="1"/>
  <c r="P139" i="30" a="1"/>
  <c r="P139" i="30" s="1"/>
  <c r="Q139" i="30" a="1"/>
  <c r="Q139" i="30" s="1"/>
  <c r="R139" i="30" a="1"/>
  <c r="R139" i="30" s="1"/>
  <c r="U139" i="30" a="1"/>
  <c r="U139" i="30" s="1"/>
  <c r="V139" i="30" a="1"/>
  <c r="V139" i="30" s="1"/>
  <c r="W139" i="30" a="1"/>
  <c r="W139" i="30" s="1"/>
  <c r="X139" i="30" a="1"/>
  <c r="X139" i="30" s="1"/>
  <c r="K140" i="30" a="1"/>
  <c r="K140" i="30" s="1"/>
  <c r="L140" i="30" a="1"/>
  <c r="L140" i="30" s="1"/>
  <c r="M140" i="30" a="1"/>
  <c r="M140" i="30" s="1"/>
  <c r="N140" i="30" a="1"/>
  <c r="N140" i="30" s="1"/>
  <c r="O140" i="30" a="1"/>
  <c r="O140" i="30" s="1"/>
  <c r="P140" i="30" a="1"/>
  <c r="P140" i="30" s="1"/>
  <c r="Q140" i="30" a="1"/>
  <c r="Q140" i="30" s="1"/>
  <c r="R140" i="30" a="1"/>
  <c r="R140" i="30" s="1"/>
  <c r="U140" i="30" a="1"/>
  <c r="U140" i="30" s="1"/>
  <c r="V140" i="30" a="1"/>
  <c r="V140" i="30" s="1"/>
  <c r="W140" i="30" a="1"/>
  <c r="W140" i="30" s="1"/>
  <c r="X140" i="30" a="1"/>
  <c r="X140" i="30" s="1"/>
  <c r="K141" i="30" a="1"/>
  <c r="K141" i="30" s="1"/>
  <c r="L141" i="30" a="1"/>
  <c r="L141" i="30" s="1"/>
  <c r="M141" i="30" a="1"/>
  <c r="M141" i="30" s="1"/>
  <c r="N141" i="30" a="1"/>
  <c r="N141" i="30" s="1"/>
  <c r="O141" i="30" a="1"/>
  <c r="O141" i="30" s="1"/>
  <c r="P141" i="30" a="1"/>
  <c r="P141" i="30" s="1"/>
  <c r="Q141" i="30" a="1"/>
  <c r="Q141" i="30" s="1"/>
  <c r="R141" i="30" a="1"/>
  <c r="R141" i="30" s="1"/>
  <c r="U141" i="30" a="1"/>
  <c r="U141" i="30" s="1"/>
  <c r="V141" i="30" a="1"/>
  <c r="V141" i="30" s="1"/>
  <c r="W141" i="30" a="1"/>
  <c r="W141" i="30" s="1"/>
  <c r="X141" i="30" a="1"/>
  <c r="X141" i="30" s="1"/>
  <c r="K142" i="30" a="1"/>
  <c r="K142" i="30" s="1"/>
  <c r="L142" i="30" a="1"/>
  <c r="L142" i="30" s="1"/>
  <c r="M142" i="30" a="1"/>
  <c r="M142" i="30" s="1"/>
  <c r="N142" i="30" a="1"/>
  <c r="N142" i="30" s="1"/>
  <c r="O142" i="30" a="1"/>
  <c r="O142" i="30" s="1"/>
  <c r="P142" i="30" a="1"/>
  <c r="P142" i="30" s="1"/>
  <c r="Q142" i="30" a="1"/>
  <c r="Q142" i="30" s="1"/>
  <c r="R142" i="30" a="1"/>
  <c r="R142" i="30" s="1"/>
  <c r="U142" i="30" a="1"/>
  <c r="U142" i="30" s="1"/>
  <c r="V142" i="30" a="1"/>
  <c r="V142" i="30" s="1"/>
  <c r="W142" i="30" a="1"/>
  <c r="W142" i="30" s="1"/>
  <c r="X142" i="30" a="1"/>
  <c r="X142" i="30" s="1"/>
  <c r="K143" i="30" a="1"/>
  <c r="K143" i="30" s="1"/>
  <c r="L143" i="30" a="1"/>
  <c r="L143" i="30" s="1"/>
  <c r="M143" i="30" a="1"/>
  <c r="M143" i="30" s="1"/>
  <c r="N143" i="30" a="1"/>
  <c r="N143" i="30" s="1"/>
  <c r="O143" i="30" a="1"/>
  <c r="O143" i="30" s="1"/>
  <c r="P143" i="30" a="1"/>
  <c r="P143" i="30" s="1"/>
  <c r="Q143" i="30" a="1"/>
  <c r="Q143" i="30" s="1"/>
  <c r="R143" i="30" a="1"/>
  <c r="R143" i="30" s="1"/>
  <c r="U143" i="30" a="1"/>
  <c r="U143" i="30" s="1"/>
  <c r="V143" i="30" a="1"/>
  <c r="V143" i="30" s="1"/>
  <c r="W143" i="30" a="1"/>
  <c r="W143" i="30" s="1"/>
  <c r="X143" i="30" a="1"/>
  <c r="X143" i="30" s="1"/>
  <c r="K144" i="30" a="1"/>
  <c r="K144" i="30" s="1"/>
  <c r="L144" i="30" a="1"/>
  <c r="L144" i="30" s="1"/>
  <c r="M144" i="30" a="1"/>
  <c r="M144" i="30" s="1"/>
  <c r="N144" i="30" a="1"/>
  <c r="N144" i="30" s="1"/>
  <c r="O144" i="30" a="1"/>
  <c r="O144" i="30" s="1"/>
  <c r="P144" i="30" a="1"/>
  <c r="P144" i="30" s="1"/>
  <c r="Q144" i="30" a="1"/>
  <c r="Q144" i="30" s="1"/>
  <c r="R144" i="30" a="1"/>
  <c r="R144" i="30" s="1"/>
  <c r="U144" i="30" a="1"/>
  <c r="U144" i="30" s="1"/>
  <c r="V144" i="30" a="1"/>
  <c r="V144" i="30" s="1"/>
  <c r="W144" i="30" a="1"/>
  <c r="W144" i="30" s="1"/>
  <c r="X144" i="30" a="1"/>
  <c r="X144" i="30" s="1"/>
  <c r="K145" i="30" a="1"/>
  <c r="K145" i="30" s="1"/>
  <c r="L145" i="30" a="1"/>
  <c r="L145" i="30" s="1"/>
  <c r="M145" i="30" a="1"/>
  <c r="M145" i="30" s="1"/>
  <c r="N145" i="30" a="1"/>
  <c r="N145" i="30" s="1"/>
  <c r="O145" i="30" a="1"/>
  <c r="O145" i="30" s="1"/>
  <c r="P145" i="30" a="1"/>
  <c r="P145" i="30" s="1"/>
  <c r="Q145" i="30" a="1"/>
  <c r="Q145" i="30" s="1"/>
  <c r="R145" i="30" a="1"/>
  <c r="R145" i="30" s="1"/>
  <c r="U145" i="30" a="1"/>
  <c r="U145" i="30" s="1"/>
  <c r="V145" i="30" a="1"/>
  <c r="V145" i="30" s="1"/>
  <c r="W145" i="30" a="1"/>
  <c r="W145" i="30" s="1"/>
  <c r="X145" i="30" a="1"/>
  <c r="X145" i="30" s="1"/>
  <c r="K146" i="30" a="1"/>
  <c r="K146" i="30" s="1"/>
  <c r="L146" i="30" a="1"/>
  <c r="L146" i="30" s="1"/>
  <c r="M146" i="30" a="1"/>
  <c r="M146" i="30" s="1"/>
  <c r="N146" i="30" a="1"/>
  <c r="N146" i="30" s="1"/>
  <c r="O146" i="30" a="1"/>
  <c r="O146" i="30" s="1"/>
  <c r="P146" i="30" a="1"/>
  <c r="P146" i="30" s="1"/>
  <c r="Q146" i="30" a="1"/>
  <c r="Q146" i="30" s="1"/>
  <c r="R146" i="30" a="1"/>
  <c r="R146" i="30" s="1"/>
  <c r="U146" i="30" a="1"/>
  <c r="U146" i="30" s="1"/>
  <c r="V146" i="30" a="1"/>
  <c r="V146" i="30" s="1"/>
  <c r="W146" i="30" a="1"/>
  <c r="W146" i="30" s="1"/>
  <c r="X146" i="30" a="1"/>
  <c r="X146" i="30" s="1"/>
  <c r="K147" i="30" a="1"/>
  <c r="K147" i="30" s="1"/>
  <c r="L147" i="30" a="1"/>
  <c r="L147" i="30" s="1"/>
  <c r="M147" i="30" a="1"/>
  <c r="M147" i="30" s="1"/>
  <c r="N147" i="30" a="1"/>
  <c r="N147" i="30" s="1"/>
  <c r="O147" i="30" a="1"/>
  <c r="O147" i="30" s="1"/>
  <c r="P147" i="30" a="1"/>
  <c r="P147" i="30" s="1"/>
  <c r="Q147" i="30" a="1"/>
  <c r="Q147" i="30" s="1"/>
  <c r="R147" i="30" a="1"/>
  <c r="R147" i="30" s="1"/>
  <c r="U147" i="30" a="1"/>
  <c r="U147" i="30" s="1"/>
  <c r="V147" i="30" a="1"/>
  <c r="V147" i="30" s="1"/>
  <c r="W147" i="30" a="1"/>
  <c r="W147" i="30" s="1"/>
  <c r="X147" i="30" a="1"/>
  <c r="X147" i="30" s="1"/>
  <c r="K148" i="30" a="1"/>
  <c r="K148" i="30" s="1"/>
  <c r="L148" i="30" a="1"/>
  <c r="L148" i="30" s="1"/>
  <c r="M148" i="30" a="1"/>
  <c r="M148" i="30" s="1"/>
  <c r="N148" i="30" a="1"/>
  <c r="N148" i="30" s="1"/>
  <c r="O148" i="30" a="1"/>
  <c r="O148" i="30" s="1"/>
  <c r="P148" i="30" a="1"/>
  <c r="P148" i="30" s="1"/>
  <c r="Q148" i="30" a="1"/>
  <c r="Q148" i="30" s="1"/>
  <c r="R148" i="30" a="1"/>
  <c r="R148" i="30" s="1"/>
  <c r="U148" i="30" a="1"/>
  <c r="U148" i="30" s="1"/>
  <c r="V148" i="30" a="1"/>
  <c r="V148" i="30" s="1"/>
  <c r="W148" i="30" a="1"/>
  <c r="W148" i="30" s="1"/>
  <c r="X148" i="30" a="1"/>
  <c r="X148" i="30" s="1"/>
  <c r="K149" i="30" a="1"/>
  <c r="K149" i="30" s="1"/>
  <c r="L149" i="30" a="1"/>
  <c r="L149" i="30" s="1"/>
  <c r="M149" i="30" a="1"/>
  <c r="M149" i="30" s="1"/>
  <c r="N149" i="30" a="1"/>
  <c r="N149" i="30" s="1"/>
  <c r="O149" i="30" a="1"/>
  <c r="O149" i="30" s="1"/>
  <c r="P149" i="30" a="1"/>
  <c r="P149" i="30" s="1"/>
  <c r="Q149" i="30" a="1"/>
  <c r="Q149" i="30" s="1"/>
  <c r="R149" i="30" a="1"/>
  <c r="R149" i="30" s="1"/>
  <c r="U149" i="30" a="1"/>
  <c r="U149" i="30" s="1"/>
  <c r="V149" i="30" a="1"/>
  <c r="V149" i="30" s="1"/>
  <c r="W149" i="30" a="1"/>
  <c r="W149" i="30" s="1"/>
  <c r="X149" i="30" a="1"/>
  <c r="X149" i="30" s="1"/>
  <c r="K150" i="30" a="1"/>
  <c r="K150" i="30" s="1"/>
  <c r="L150" i="30" a="1"/>
  <c r="L150" i="30" s="1"/>
  <c r="M150" i="30" a="1"/>
  <c r="M150" i="30" s="1"/>
  <c r="N150" i="30" a="1"/>
  <c r="N150" i="30" s="1"/>
  <c r="O150" i="30" a="1"/>
  <c r="O150" i="30" s="1"/>
  <c r="P150" i="30" a="1"/>
  <c r="P150" i="30" s="1"/>
  <c r="Q150" i="30" a="1"/>
  <c r="Q150" i="30" s="1"/>
  <c r="R150" i="30" a="1"/>
  <c r="R150" i="30" s="1"/>
  <c r="U150" i="30" a="1"/>
  <c r="U150" i="30" s="1"/>
  <c r="V150" i="30" a="1"/>
  <c r="V150" i="30" s="1"/>
  <c r="W150" i="30" a="1"/>
  <c r="W150" i="30" s="1"/>
  <c r="X150" i="30" a="1"/>
  <c r="X150" i="30" s="1"/>
  <c r="K151" i="30" a="1"/>
  <c r="K151" i="30" s="1"/>
  <c r="L151" i="30" a="1"/>
  <c r="L151" i="30" s="1"/>
  <c r="M151" i="30" a="1"/>
  <c r="M151" i="30" s="1"/>
  <c r="N151" i="30" a="1"/>
  <c r="N151" i="30" s="1"/>
  <c r="O151" i="30" a="1"/>
  <c r="O151" i="30" s="1"/>
  <c r="P151" i="30" a="1"/>
  <c r="P151" i="30" s="1"/>
  <c r="Q151" i="30" a="1"/>
  <c r="Q151" i="30" s="1"/>
  <c r="R151" i="30" a="1"/>
  <c r="R151" i="30" s="1"/>
  <c r="U151" i="30" a="1"/>
  <c r="U151" i="30" s="1"/>
  <c r="V151" i="30" a="1"/>
  <c r="V151" i="30" s="1"/>
  <c r="W151" i="30" a="1"/>
  <c r="W151" i="30" s="1"/>
  <c r="X151" i="30" a="1"/>
  <c r="X151" i="30" s="1"/>
  <c r="K152" i="30" a="1"/>
  <c r="K152" i="30" s="1"/>
  <c r="L152" i="30" a="1"/>
  <c r="L152" i="30" s="1"/>
  <c r="M152" i="30" a="1"/>
  <c r="M152" i="30" s="1"/>
  <c r="N152" i="30" a="1"/>
  <c r="N152" i="30" s="1"/>
  <c r="O152" i="30" a="1"/>
  <c r="O152" i="30" s="1"/>
  <c r="P152" i="30" a="1"/>
  <c r="P152" i="30" s="1"/>
  <c r="Q152" i="30" a="1"/>
  <c r="Q152" i="30" s="1"/>
  <c r="R152" i="30" a="1"/>
  <c r="R152" i="30" s="1"/>
  <c r="U152" i="30" a="1"/>
  <c r="U152" i="30" s="1"/>
  <c r="V152" i="30" a="1"/>
  <c r="V152" i="30" s="1"/>
  <c r="W152" i="30" a="1"/>
  <c r="W152" i="30" s="1"/>
  <c r="X152" i="30" a="1"/>
  <c r="X152" i="30" s="1"/>
  <c r="K153" i="30" a="1"/>
  <c r="K153" i="30" s="1"/>
  <c r="L153" i="30" a="1"/>
  <c r="L153" i="30" s="1"/>
  <c r="M153" i="30" a="1"/>
  <c r="M153" i="30" s="1"/>
  <c r="N153" i="30" a="1"/>
  <c r="N153" i="30" s="1"/>
  <c r="O153" i="30" a="1"/>
  <c r="O153" i="30" s="1"/>
  <c r="P153" i="30" a="1"/>
  <c r="P153" i="30" s="1"/>
  <c r="Q153" i="30" a="1"/>
  <c r="Q153" i="30" s="1"/>
  <c r="R153" i="30" a="1"/>
  <c r="R153" i="30" s="1"/>
  <c r="U153" i="30" a="1"/>
  <c r="U153" i="30" s="1"/>
  <c r="V153" i="30" a="1"/>
  <c r="V153" i="30" s="1"/>
  <c r="W153" i="30" a="1"/>
  <c r="W153" i="30" s="1"/>
  <c r="X153" i="30" a="1"/>
  <c r="X153" i="30" s="1"/>
  <c r="K154" i="30" a="1"/>
  <c r="K154" i="30" s="1"/>
  <c r="L154" i="30" a="1"/>
  <c r="L154" i="30" s="1"/>
  <c r="M154" i="30" a="1"/>
  <c r="M154" i="30" s="1"/>
  <c r="N154" i="30" a="1"/>
  <c r="N154" i="30" s="1"/>
  <c r="O154" i="30" a="1"/>
  <c r="O154" i="30" s="1"/>
  <c r="P154" i="30" a="1"/>
  <c r="P154" i="30" s="1"/>
  <c r="Q154" i="30" a="1"/>
  <c r="Q154" i="30" s="1"/>
  <c r="R154" i="30" a="1"/>
  <c r="R154" i="30" s="1"/>
  <c r="U154" i="30" a="1"/>
  <c r="U154" i="30" s="1"/>
  <c r="V154" i="30" a="1"/>
  <c r="V154" i="30" s="1"/>
  <c r="W154" i="30" a="1"/>
  <c r="W154" i="30" s="1"/>
  <c r="X154" i="30" a="1"/>
  <c r="X154" i="30" s="1"/>
  <c r="K155" i="30" a="1"/>
  <c r="K155" i="30" s="1"/>
  <c r="L155" i="30" a="1"/>
  <c r="L155" i="30" s="1"/>
  <c r="M155" i="30" a="1"/>
  <c r="M155" i="30" s="1"/>
  <c r="N155" i="30" a="1"/>
  <c r="N155" i="30" s="1"/>
  <c r="O155" i="30" a="1"/>
  <c r="O155" i="30" s="1"/>
  <c r="P155" i="30" a="1"/>
  <c r="P155" i="30" s="1"/>
  <c r="Q155" i="30" a="1"/>
  <c r="Q155" i="30" s="1"/>
  <c r="R155" i="30" a="1"/>
  <c r="R155" i="30" s="1"/>
  <c r="U155" i="30" a="1"/>
  <c r="U155" i="30" s="1"/>
  <c r="V155" i="30" a="1"/>
  <c r="V155" i="30" s="1"/>
  <c r="W155" i="30" a="1"/>
  <c r="W155" i="30" s="1"/>
  <c r="X155" i="30" a="1"/>
  <c r="X155" i="30" s="1"/>
  <c r="K156" i="30" a="1"/>
  <c r="K156" i="30" s="1"/>
  <c r="L156" i="30" a="1"/>
  <c r="L156" i="30" s="1"/>
  <c r="M156" i="30" a="1"/>
  <c r="M156" i="30" s="1"/>
  <c r="N156" i="30" a="1"/>
  <c r="N156" i="30" s="1"/>
  <c r="O156" i="30" a="1"/>
  <c r="O156" i="30" s="1"/>
  <c r="P156" i="30" a="1"/>
  <c r="P156" i="30" s="1"/>
  <c r="Q156" i="30" a="1"/>
  <c r="Q156" i="30" s="1"/>
  <c r="R156" i="30" a="1"/>
  <c r="R156" i="30" s="1"/>
  <c r="U156" i="30" a="1"/>
  <c r="U156" i="30" s="1"/>
  <c r="V156" i="30" a="1"/>
  <c r="V156" i="30" s="1"/>
  <c r="W156" i="30" a="1"/>
  <c r="W156" i="30" s="1"/>
  <c r="X156" i="30" a="1"/>
  <c r="X156" i="30" s="1"/>
  <c r="K157" i="30" a="1"/>
  <c r="K157" i="30" s="1"/>
  <c r="L157" i="30" a="1"/>
  <c r="L157" i="30" s="1"/>
  <c r="M157" i="30" a="1"/>
  <c r="M157" i="30" s="1"/>
  <c r="N157" i="30" a="1"/>
  <c r="N157" i="30" s="1"/>
  <c r="O157" i="30" a="1"/>
  <c r="O157" i="30" s="1"/>
  <c r="P157" i="30" a="1"/>
  <c r="P157" i="30" s="1"/>
  <c r="Q157" i="30" a="1"/>
  <c r="Q157" i="30" s="1"/>
  <c r="R157" i="30" a="1"/>
  <c r="R157" i="30" s="1"/>
  <c r="U157" i="30" a="1"/>
  <c r="U157" i="30" s="1"/>
  <c r="V157" i="30" a="1"/>
  <c r="V157" i="30" s="1"/>
  <c r="W157" i="30" a="1"/>
  <c r="W157" i="30" s="1"/>
  <c r="X157" i="30" a="1"/>
  <c r="X157" i="30" s="1"/>
  <c r="K158" i="30" a="1"/>
  <c r="K158" i="30" s="1"/>
  <c r="L158" i="30" a="1"/>
  <c r="L158" i="30" s="1"/>
  <c r="M158" i="30" a="1"/>
  <c r="M158" i="30" s="1"/>
  <c r="N158" i="30" a="1"/>
  <c r="N158" i="30" s="1"/>
  <c r="O158" i="30" a="1"/>
  <c r="O158" i="30" s="1"/>
  <c r="P158" i="30" a="1"/>
  <c r="P158" i="30" s="1"/>
  <c r="Q158" i="30" a="1"/>
  <c r="Q158" i="30" s="1"/>
  <c r="R158" i="30" a="1"/>
  <c r="R158" i="30" s="1"/>
  <c r="U158" i="30" a="1"/>
  <c r="U158" i="30" s="1"/>
  <c r="V158" i="30" a="1"/>
  <c r="V158" i="30" s="1"/>
  <c r="W158" i="30" a="1"/>
  <c r="W158" i="30" s="1"/>
  <c r="X158" i="30" a="1"/>
  <c r="X158" i="30" s="1"/>
  <c r="K159" i="30" a="1"/>
  <c r="K159" i="30" s="1"/>
  <c r="L159" i="30" a="1"/>
  <c r="L159" i="30" s="1"/>
  <c r="M159" i="30" a="1"/>
  <c r="M159" i="30" s="1"/>
  <c r="N159" i="30" a="1"/>
  <c r="N159" i="30" s="1"/>
  <c r="O159" i="30" a="1"/>
  <c r="O159" i="30" s="1"/>
  <c r="P159" i="30" a="1"/>
  <c r="P159" i="30" s="1"/>
  <c r="Q159" i="30" a="1"/>
  <c r="Q159" i="30" s="1"/>
  <c r="R159" i="30" a="1"/>
  <c r="R159" i="30" s="1"/>
  <c r="U159" i="30" a="1"/>
  <c r="U159" i="30" s="1"/>
  <c r="V159" i="30" a="1"/>
  <c r="V159" i="30" s="1"/>
  <c r="W159" i="30" a="1"/>
  <c r="W159" i="30" s="1"/>
  <c r="X159" i="30" a="1"/>
  <c r="X159" i="30" s="1"/>
  <c r="K160" i="30" a="1"/>
  <c r="K160" i="30" s="1"/>
  <c r="L160" i="30" a="1"/>
  <c r="L160" i="30" s="1"/>
  <c r="M160" i="30" a="1"/>
  <c r="M160" i="30" s="1"/>
  <c r="N160" i="30" a="1"/>
  <c r="N160" i="30" s="1"/>
  <c r="O160" i="30" a="1"/>
  <c r="O160" i="30" s="1"/>
  <c r="P160" i="30" a="1"/>
  <c r="P160" i="30" s="1"/>
  <c r="Q160" i="30" a="1"/>
  <c r="Q160" i="30" s="1"/>
  <c r="R160" i="30" a="1"/>
  <c r="R160" i="30" s="1"/>
  <c r="U160" i="30" a="1"/>
  <c r="U160" i="30" s="1"/>
  <c r="V160" i="30" a="1"/>
  <c r="V160" i="30" s="1"/>
  <c r="W160" i="30" a="1"/>
  <c r="W160" i="30" s="1"/>
  <c r="X160" i="30" a="1"/>
  <c r="X160" i="30" s="1"/>
  <c r="K161" i="30" a="1"/>
  <c r="K161" i="30" s="1"/>
  <c r="L161" i="30" a="1"/>
  <c r="L161" i="30" s="1"/>
  <c r="M161" i="30" a="1"/>
  <c r="M161" i="30" s="1"/>
  <c r="N161" i="30" a="1"/>
  <c r="N161" i="30" s="1"/>
  <c r="O161" i="30" a="1"/>
  <c r="O161" i="30" s="1"/>
  <c r="P161" i="30" a="1"/>
  <c r="P161" i="30" s="1"/>
  <c r="Q161" i="30" a="1"/>
  <c r="Q161" i="30" s="1"/>
  <c r="R161" i="30" a="1"/>
  <c r="R161" i="30" s="1"/>
  <c r="U161" i="30" a="1"/>
  <c r="U161" i="30" s="1"/>
  <c r="V161" i="30" a="1"/>
  <c r="V161" i="30" s="1"/>
  <c r="W161" i="30" a="1"/>
  <c r="W161" i="30" s="1"/>
  <c r="X161" i="30" a="1"/>
  <c r="X161" i="30" s="1"/>
  <c r="K162" i="30" a="1"/>
  <c r="K162" i="30" s="1"/>
  <c r="L162" i="30" a="1"/>
  <c r="L162" i="30" s="1"/>
  <c r="M162" i="30" a="1"/>
  <c r="M162" i="30" s="1"/>
  <c r="N162" i="30" a="1"/>
  <c r="N162" i="30" s="1"/>
  <c r="O162" i="30" a="1"/>
  <c r="O162" i="30" s="1"/>
  <c r="P162" i="30" a="1"/>
  <c r="P162" i="30" s="1"/>
  <c r="Q162" i="30" a="1"/>
  <c r="Q162" i="30" s="1"/>
  <c r="R162" i="30" a="1"/>
  <c r="R162" i="30" s="1"/>
  <c r="U162" i="30" a="1"/>
  <c r="U162" i="30" s="1"/>
  <c r="V162" i="30" a="1"/>
  <c r="V162" i="30" s="1"/>
  <c r="W162" i="30" a="1"/>
  <c r="W162" i="30" s="1"/>
  <c r="X162" i="30" a="1"/>
  <c r="X162" i="30" s="1"/>
  <c r="K163" i="30" a="1"/>
  <c r="K163" i="30" s="1"/>
  <c r="L163" i="30" a="1"/>
  <c r="L163" i="30" s="1"/>
  <c r="M163" i="30" a="1"/>
  <c r="M163" i="30" s="1"/>
  <c r="N163" i="30" a="1"/>
  <c r="N163" i="30" s="1"/>
  <c r="O163" i="30" a="1"/>
  <c r="O163" i="30" s="1"/>
  <c r="P163" i="30" a="1"/>
  <c r="P163" i="30" s="1"/>
  <c r="Q163" i="30" a="1"/>
  <c r="Q163" i="30" s="1"/>
  <c r="R163" i="30" a="1"/>
  <c r="R163" i="30" s="1"/>
  <c r="U163" i="30" a="1"/>
  <c r="U163" i="30" s="1"/>
  <c r="V163" i="30" a="1"/>
  <c r="V163" i="30" s="1"/>
  <c r="W163" i="30" a="1"/>
  <c r="W163" i="30" s="1"/>
  <c r="X163" i="30" a="1"/>
  <c r="X163" i="30" s="1"/>
  <c r="K164" i="30" a="1"/>
  <c r="K164" i="30" s="1"/>
  <c r="L164" i="30" a="1"/>
  <c r="L164" i="30" s="1"/>
  <c r="M164" i="30" a="1"/>
  <c r="M164" i="30" s="1"/>
  <c r="N164" i="30" a="1"/>
  <c r="N164" i="30" s="1"/>
  <c r="O164" i="30" a="1"/>
  <c r="O164" i="30" s="1"/>
  <c r="P164" i="30" a="1"/>
  <c r="P164" i="30" s="1"/>
  <c r="Q164" i="30" a="1"/>
  <c r="Q164" i="30" s="1"/>
  <c r="R164" i="30" a="1"/>
  <c r="R164" i="30" s="1"/>
  <c r="U164" i="30" a="1"/>
  <c r="U164" i="30" s="1"/>
  <c r="V164" i="30" a="1"/>
  <c r="V164" i="30" s="1"/>
  <c r="W164" i="30" a="1"/>
  <c r="W164" i="30" s="1"/>
  <c r="X164" i="30" a="1"/>
  <c r="X164" i="30" s="1"/>
  <c r="K165" i="30" a="1"/>
  <c r="K165" i="30" s="1"/>
  <c r="L165" i="30" a="1"/>
  <c r="L165" i="30" s="1"/>
  <c r="M165" i="30" a="1"/>
  <c r="M165" i="30" s="1"/>
  <c r="N165" i="30" a="1"/>
  <c r="N165" i="30" s="1"/>
  <c r="O165" i="30" a="1"/>
  <c r="O165" i="30" s="1"/>
  <c r="P165" i="30" a="1"/>
  <c r="P165" i="30" s="1"/>
  <c r="Q165" i="30" a="1"/>
  <c r="Q165" i="30" s="1"/>
  <c r="R165" i="30" a="1"/>
  <c r="R165" i="30" s="1"/>
  <c r="U165" i="30" a="1"/>
  <c r="U165" i="30" s="1"/>
  <c r="V165" i="30" a="1"/>
  <c r="V165" i="30" s="1"/>
  <c r="W165" i="30" a="1"/>
  <c r="W165" i="30" s="1"/>
  <c r="X165" i="30" a="1"/>
  <c r="X165" i="30" s="1"/>
  <c r="K166" i="30" a="1"/>
  <c r="K166" i="30" s="1"/>
  <c r="L166" i="30" a="1"/>
  <c r="L166" i="30" s="1"/>
  <c r="M166" i="30" a="1"/>
  <c r="M166" i="30" s="1"/>
  <c r="N166" i="30" a="1"/>
  <c r="N166" i="30" s="1"/>
  <c r="O166" i="30" a="1"/>
  <c r="O166" i="30" s="1"/>
  <c r="P166" i="30" a="1"/>
  <c r="P166" i="30" s="1"/>
  <c r="Q166" i="30" a="1"/>
  <c r="Q166" i="30" s="1"/>
  <c r="R166" i="30" a="1"/>
  <c r="R166" i="30" s="1"/>
  <c r="U166" i="30" a="1"/>
  <c r="U166" i="30" s="1"/>
  <c r="V166" i="30" a="1"/>
  <c r="V166" i="30" s="1"/>
  <c r="W166" i="30" a="1"/>
  <c r="W166" i="30" s="1"/>
  <c r="X166" i="30" a="1"/>
  <c r="X166" i="30" s="1"/>
  <c r="K167" i="30" a="1"/>
  <c r="K167" i="30" s="1"/>
  <c r="L167" i="30" a="1"/>
  <c r="L167" i="30" s="1"/>
  <c r="M167" i="30" a="1"/>
  <c r="M167" i="30" s="1"/>
  <c r="N167" i="30" a="1"/>
  <c r="N167" i="30" s="1"/>
  <c r="O167" i="30" a="1"/>
  <c r="O167" i="30" s="1"/>
  <c r="P167" i="30" a="1"/>
  <c r="P167" i="30" s="1"/>
  <c r="Q167" i="30" a="1"/>
  <c r="Q167" i="30" s="1"/>
  <c r="R167" i="30" a="1"/>
  <c r="R167" i="30" s="1"/>
  <c r="U167" i="30" a="1"/>
  <c r="U167" i="30" s="1"/>
  <c r="V167" i="30" a="1"/>
  <c r="V167" i="30" s="1"/>
  <c r="W167" i="30" a="1"/>
  <c r="W167" i="30" s="1"/>
  <c r="X167" i="30" a="1"/>
  <c r="X167" i="30" s="1"/>
  <c r="K168" i="30" a="1"/>
  <c r="K168" i="30" s="1"/>
  <c r="L168" i="30" a="1"/>
  <c r="L168" i="30" s="1"/>
  <c r="M168" i="30" a="1"/>
  <c r="M168" i="30" s="1"/>
  <c r="N168" i="30" a="1"/>
  <c r="N168" i="30" s="1"/>
  <c r="O168" i="30" a="1"/>
  <c r="O168" i="30" s="1"/>
  <c r="P168" i="30" a="1"/>
  <c r="P168" i="30" s="1"/>
  <c r="Q168" i="30" a="1"/>
  <c r="Q168" i="30" s="1"/>
  <c r="R168" i="30" a="1"/>
  <c r="R168" i="30" s="1"/>
  <c r="U168" i="30" a="1"/>
  <c r="U168" i="30" s="1"/>
  <c r="V168" i="30" a="1"/>
  <c r="V168" i="30" s="1"/>
  <c r="W168" i="30" a="1"/>
  <c r="W168" i="30" s="1"/>
  <c r="X168" i="30" a="1"/>
  <c r="X168" i="30" s="1"/>
  <c r="K169" i="30" a="1"/>
  <c r="K169" i="30" s="1"/>
  <c r="L169" i="30" a="1"/>
  <c r="L169" i="30" s="1"/>
  <c r="M169" i="30" a="1"/>
  <c r="M169" i="30" s="1"/>
  <c r="N169" i="30" a="1"/>
  <c r="N169" i="30" s="1"/>
  <c r="O169" i="30" a="1"/>
  <c r="O169" i="30" s="1"/>
  <c r="P169" i="30" a="1"/>
  <c r="P169" i="30" s="1"/>
  <c r="Q169" i="30" a="1"/>
  <c r="Q169" i="30" s="1"/>
  <c r="R169" i="30" a="1"/>
  <c r="R169" i="30" s="1"/>
  <c r="U169" i="30" a="1"/>
  <c r="U169" i="30" s="1"/>
  <c r="V169" i="30" a="1"/>
  <c r="V169" i="30" s="1"/>
  <c r="W169" i="30" a="1"/>
  <c r="W169" i="30" s="1"/>
  <c r="X169" i="30" a="1"/>
  <c r="X169" i="30" s="1"/>
  <c r="K170" i="30" a="1"/>
  <c r="K170" i="30" s="1"/>
  <c r="L170" i="30" a="1"/>
  <c r="L170" i="30" s="1"/>
  <c r="M170" i="30" a="1"/>
  <c r="M170" i="30" s="1"/>
  <c r="N170" i="30" a="1"/>
  <c r="N170" i="30" s="1"/>
  <c r="O170" i="30" a="1"/>
  <c r="O170" i="30" s="1"/>
  <c r="P170" i="30" a="1"/>
  <c r="P170" i="30" s="1"/>
  <c r="Q170" i="30" a="1"/>
  <c r="Q170" i="30" s="1"/>
  <c r="R170" i="30" a="1"/>
  <c r="R170" i="30" s="1"/>
  <c r="U170" i="30" a="1"/>
  <c r="U170" i="30" s="1"/>
  <c r="V170" i="30" a="1"/>
  <c r="V170" i="30" s="1"/>
  <c r="W170" i="30" a="1"/>
  <c r="W170" i="30" s="1"/>
  <c r="X170" i="30" a="1"/>
  <c r="X170" i="30" s="1"/>
  <c r="K171" i="30" a="1"/>
  <c r="K171" i="30" s="1"/>
  <c r="L171" i="30" a="1"/>
  <c r="L171" i="30" s="1"/>
  <c r="M171" i="30" a="1"/>
  <c r="M171" i="30" s="1"/>
  <c r="N171" i="30" a="1"/>
  <c r="N171" i="30" s="1"/>
  <c r="O171" i="30" a="1"/>
  <c r="O171" i="30" s="1"/>
  <c r="P171" i="30" a="1"/>
  <c r="P171" i="30" s="1"/>
  <c r="Q171" i="30" a="1"/>
  <c r="Q171" i="30" s="1"/>
  <c r="R171" i="30" a="1"/>
  <c r="R171" i="30" s="1"/>
  <c r="U171" i="30" a="1"/>
  <c r="U171" i="30" s="1"/>
  <c r="V171" i="30" a="1"/>
  <c r="V171" i="30" s="1"/>
  <c r="W171" i="30" a="1"/>
  <c r="W171" i="30" s="1"/>
  <c r="X171" i="30" a="1"/>
  <c r="X171" i="30" s="1"/>
  <c r="K172" i="30" a="1"/>
  <c r="K172" i="30" s="1"/>
  <c r="L172" i="30" a="1"/>
  <c r="L172" i="30" s="1"/>
  <c r="M172" i="30" a="1"/>
  <c r="M172" i="30" s="1"/>
  <c r="N172" i="30" a="1"/>
  <c r="N172" i="30" s="1"/>
  <c r="O172" i="30" a="1"/>
  <c r="O172" i="30" s="1"/>
  <c r="P172" i="30" a="1"/>
  <c r="P172" i="30" s="1"/>
  <c r="Q172" i="30" a="1"/>
  <c r="Q172" i="30" s="1"/>
  <c r="R172" i="30" a="1"/>
  <c r="R172" i="30" s="1"/>
  <c r="U172" i="30" a="1"/>
  <c r="U172" i="30" s="1"/>
  <c r="V172" i="30" a="1"/>
  <c r="V172" i="30" s="1"/>
  <c r="W172" i="30" a="1"/>
  <c r="W172" i="30" s="1"/>
  <c r="X172" i="30" a="1"/>
  <c r="X172" i="30" s="1"/>
  <c r="K173" i="30" a="1"/>
  <c r="K173" i="30" s="1"/>
  <c r="L173" i="30" a="1"/>
  <c r="L173" i="30" s="1"/>
  <c r="M173" i="30" a="1"/>
  <c r="M173" i="30" s="1"/>
  <c r="N173" i="30" a="1"/>
  <c r="N173" i="30" s="1"/>
  <c r="O173" i="30" a="1"/>
  <c r="O173" i="30" s="1"/>
  <c r="P173" i="30" a="1"/>
  <c r="P173" i="30" s="1"/>
  <c r="Q173" i="30" a="1"/>
  <c r="Q173" i="30" s="1"/>
  <c r="R173" i="30" a="1"/>
  <c r="R173" i="30" s="1"/>
  <c r="U173" i="30" a="1"/>
  <c r="U173" i="30" s="1"/>
  <c r="V173" i="30" a="1"/>
  <c r="V173" i="30" s="1"/>
  <c r="W173" i="30" a="1"/>
  <c r="W173" i="30" s="1"/>
  <c r="X173" i="30" a="1"/>
  <c r="X173" i="30" s="1"/>
  <c r="K174" i="30" a="1"/>
  <c r="K174" i="30" s="1"/>
  <c r="L174" i="30" a="1"/>
  <c r="L174" i="30" s="1"/>
  <c r="M174" i="30" a="1"/>
  <c r="M174" i="30" s="1"/>
  <c r="N174" i="30" a="1"/>
  <c r="N174" i="30" s="1"/>
  <c r="O174" i="30" a="1"/>
  <c r="O174" i="30" s="1"/>
  <c r="P174" i="30" a="1"/>
  <c r="P174" i="30" s="1"/>
  <c r="Q174" i="30" a="1"/>
  <c r="Q174" i="30" s="1"/>
  <c r="R174" i="30" a="1"/>
  <c r="R174" i="30" s="1"/>
  <c r="U174" i="30" a="1"/>
  <c r="U174" i="30" s="1"/>
  <c r="V174" i="30" a="1"/>
  <c r="V174" i="30" s="1"/>
  <c r="W174" i="30" a="1"/>
  <c r="W174" i="30" s="1"/>
  <c r="X174" i="30" a="1"/>
  <c r="X174" i="30" s="1"/>
  <c r="K175" i="30" a="1"/>
  <c r="K175" i="30" s="1"/>
  <c r="L175" i="30" a="1"/>
  <c r="L175" i="30" s="1"/>
  <c r="M175" i="30" a="1"/>
  <c r="M175" i="30" s="1"/>
  <c r="N175" i="30" a="1"/>
  <c r="N175" i="30" s="1"/>
  <c r="O175" i="30" a="1"/>
  <c r="O175" i="30" s="1"/>
  <c r="P175" i="30" a="1"/>
  <c r="P175" i="30" s="1"/>
  <c r="Q175" i="30" a="1"/>
  <c r="Q175" i="30" s="1"/>
  <c r="R175" i="30" a="1"/>
  <c r="R175" i="30" s="1"/>
  <c r="U175" i="30" a="1"/>
  <c r="U175" i="30" s="1"/>
  <c r="V175" i="30" a="1"/>
  <c r="V175" i="30" s="1"/>
  <c r="W175" i="30" a="1"/>
  <c r="W175" i="30" s="1"/>
  <c r="X175" i="30" a="1"/>
  <c r="X175" i="30" s="1"/>
  <c r="K176" i="30" a="1"/>
  <c r="K176" i="30" s="1"/>
  <c r="L176" i="30" a="1"/>
  <c r="L176" i="30" s="1"/>
  <c r="M176" i="30" a="1"/>
  <c r="M176" i="30" s="1"/>
  <c r="N176" i="30" a="1"/>
  <c r="N176" i="30" s="1"/>
  <c r="O176" i="30" a="1"/>
  <c r="O176" i="30" s="1"/>
  <c r="P176" i="30" a="1"/>
  <c r="P176" i="30" s="1"/>
  <c r="Q176" i="30" a="1"/>
  <c r="Q176" i="30" s="1"/>
  <c r="R176" i="30" a="1"/>
  <c r="R176" i="30" s="1"/>
  <c r="U176" i="30" a="1"/>
  <c r="U176" i="30" s="1"/>
  <c r="V176" i="30" a="1"/>
  <c r="V176" i="30" s="1"/>
  <c r="W176" i="30" a="1"/>
  <c r="W176" i="30" s="1"/>
  <c r="X176" i="30" a="1"/>
  <c r="X176" i="30" s="1"/>
  <c r="K177" i="30" a="1"/>
  <c r="K177" i="30" s="1"/>
  <c r="L177" i="30" a="1"/>
  <c r="L177" i="30" s="1"/>
  <c r="M177" i="30" a="1"/>
  <c r="M177" i="30" s="1"/>
  <c r="N177" i="30" a="1"/>
  <c r="N177" i="30" s="1"/>
  <c r="O177" i="30" a="1"/>
  <c r="O177" i="30" s="1"/>
  <c r="P177" i="30" a="1"/>
  <c r="P177" i="30" s="1"/>
  <c r="Q177" i="30" a="1"/>
  <c r="Q177" i="30" s="1"/>
  <c r="R177" i="30" a="1"/>
  <c r="R177" i="30" s="1"/>
  <c r="U177" i="30" a="1"/>
  <c r="U177" i="30" s="1"/>
  <c r="V177" i="30" a="1"/>
  <c r="V177" i="30" s="1"/>
  <c r="W177" i="30" a="1"/>
  <c r="W177" i="30" s="1"/>
  <c r="X177" i="30" a="1"/>
  <c r="X177" i="30" s="1"/>
  <c r="K178" i="30" a="1"/>
  <c r="K178" i="30" s="1"/>
  <c r="L178" i="30" a="1"/>
  <c r="L178" i="30" s="1"/>
  <c r="M178" i="30" a="1"/>
  <c r="M178" i="30" s="1"/>
  <c r="N178" i="30" a="1"/>
  <c r="N178" i="30" s="1"/>
  <c r="O178" i="30" a="1"/>
  <c r="O178" i="30" s="1"/>
  <c r="P178" i="30" a="1"/>
  <c r="P178" i="30" s="1"/>
  <c r="Q178" i="30" a="1"/>
  <c r="Q178" i="30" s="1"/>
  <c r="R178" i="30" a="1"/>
  <c r="R178" i="30" s="1"/>
  <c r="U178" i="30" a="1"/>
  <c r="U178" i="30" s="1"/>
  <c r="V178" i="30" a="1"/>
  <c r="V178" i="30" s="1"/>
  <c r="W178" i="30" a="1"/>
  <c r="W178" i="30" s="1"/>
  <c r="X178" i="30" a="1"/>
  <c r="X178" i="30" s="1"/>
  <c r="K179" i="30" a="1"/>
  <c r="K179" i="30" s="1"/>
  <c r="L179" i="30" a="1"/>
  <c r="L179" i="30" s="1"/>
  <c r="M179" i="30" a="1"/>
  <c r="M179" i="30" s="1"/>
  <c r="N179" i="30" a="1"/>
  <c r="N179" i="30" s="1"/>
  <c r="O179" i="30" a="1"/>
  <c r="O179" i="30" s="1"/>
  <c r="P179" i="30" a="1"/>
  <c r="P179" i="30" s="1"/>
  <c r="Q179" i="30" a="1"/>
  <c r="Q179" i="30" s="1"/>
  <c r="R179" i="30" a="1"/>
  <c r="R179" i="30" s="1"/>
  <c r="U179" i="30" a="1"/>
  <c r="U179" i="30" s="1"/>
  <c r="V179" i="30" a="1"/>
  <c r="V179" i="30" s="1"/>
  <c r="W179" i="30" a="1"/>
  <c r="W179" i="30" s="1"/>
  <c r="X179" i="30" a="1"/>
  <c r="X179" i="30" s="1"/>
  <c r="K180" i="30" a="1"/>
  <c r="K180" i="30" s="1"/>
  <c r="L180" i="30" a="1"/>
  <c r="L180" i="30" s="1"/>
  <c r="M180" i="30" a="1"/>
  <c r="M180" i="30" s="1"/>
  <c r="N180" i="30" a="1"/>
  <c r="N180" i="30" s="1"/>
  <c r="O180" i="30" a="1"/>
  <c r="O180" i="30" s="1"/>
  <c r="P180" i="30" a="1"/>
  <c r="P180" i="30" s="1"/>
  <c r="Q180" i="30" a="1"/>
  <c r="Q180" i="30" s="1"/>
  <c r="R180" i="30" a="1"/>
  <c r="R180" i="30" s="1"/>
  <c r="U180" i="30" a="1"/>
  <c r="U180" i="30" s="1"/>
  <c r="V180" i="30" a="1"/>
  <c r="V180" i="30" s="1"/>
  <c r="W180" i="30" a="1"/>
  <c r="W180" i="30" s="1"/>
  <c r="X180" i="30" a="1"/>
  <c r="X180" i="30" s="1"/>
  <c r="K181" i="30" a="1"/>
  <c r="K181" i="30" s="1"/>
  <c r="L181" i="30" a="1"/>
  <c r="L181" i="30" s="1"/>
  <c r="M181" i="30" a="1"/>
  <c r="M181" i="30" s="1"/>
  <c r="N181" i="30" a="1"/>
  <c r="N181" i="30" s="1"/>
  <c r="O181" i="30" a="1"/>
  <c r="O181" i="30" s="1"/>
  <c r="P181" i="30" a="1"/>
  <c r="P181" i="30" s="1"/>
  <c r="Q181" i="30" a="1"/>
  <c r="Q181" i="30" s="1"/>
  <c r="R181" i="30" a="1"/>
  <c r="R181" i="30" s="1"/>
  <c r="U181" i="30" a="1"/>
  <c r="U181" i="30" s="1"/>
  <c r="V181" i="30" a="1"/>
  <c r="V181" i="30" s="1"/>
  <c r="W181" i="30" a="1"/>
  <c r="W181" i="30" s="1"/>
  <c r="X181" i="30" a="1"/>
  <c r="X181" i="30" s="1"/>
  <c r="K182" i="30" a="1"/>
  <c r="K182" i="30" s="1"/>
  <c r="L182" i="30" a="1"/>
  <c r="L182" i="30" s="1"/>
  <c r="M182" i="30" a="1"/>
  <c r="M182" i="30" s="1"/>
  <c r="N182" i="30" a="1"/>
  <c r="N182" i="30" s="1"/>
  <c r="O182" i="30" a="1"/>
  <c r="O182" i="30" s="1"/>
  <c r="P182" i="30" a="1"/>
  <c r="P182" i="30" s="1"/>
  <c r="Q182" i="30" a="1"/>
  <c r="Q182" i="30" s="1"/>
  <c r="R182" i="30" a="1"/>
  <c r="R182" i="30" s="1"/>
  <c r="U182" i="30" a="1"/>
  <c r="U182" i="30" s="1"/>
  <c r="V182" i="30" a="1"/>
  <c r="V182" i="30" s="1"/>
  <c r="W182" i="30" a="1"/>
  <c r="W182" i="30" s="1"/>
  <c r="X182" i="30" a="1"/>
  <c r="X182" i="30" s="1"/>
  <c r="K183" i="30" a="1"/>
  <c r="K183" i="30" s="1"/>
  <c r="L183" i="30" a="1"/>
  <c r="L183" i="30" s="1"/>
  <c r="M183" i="30" a="1"/>
  <c r="M183" i="30" s="1"/>
  <c r="N183" i="30" a="1"/>
  <c r="N183" i="30" s="1"/>
  <c r="O183" i="30" a="1"/>
  <c r="O183" i="30" s="1"/>
  <c r="P183" i="30" a="1"/>
  <c r="P183" i="30" s="1"/>
  <c r="Q183" i="30" a="1"/>
  <c r="Q183" i="30" s="1"/>
  <c r="R183" i="30" a="1"/>
  <c r="R183" i="30" s="1"/>
  <c r="U183" i="30" a="1"/>
  <c r="U183" i="30" s="1"/>
  <c r="V183" i="30" a="1"/>
  <c r="V183" i="30" s="1"/>
  <c r="W183" i="30" a="1"/>
  <c r="W183" i="30" s="1"/>
  <c r="X183" i="30" a="1"/>
  <c r="X183" i="30" s="1"/>
  <c r="K184" i="30" a="1"/>
  <c r="K184" i="30" s="1"/>
  <c r="L184" i="30" a="1"/>
  <c r="L184" i="30" s="1"/>
  <c r="M184" i="30" a="1"/>
  <c r="M184" i="30" s="1"/>
  <c r="N184" i="30" a="1"/>
  <c r="N184" i="30" s="1"/>
  <c r="O184" i="30" a="1"/>
  <c r="O184" i="30" s="1"/>
  <c r="P184" i="30" a="1"/>
  <c r="P184" i="30" s="1"/>
  <c r="Q184" i="30" a="1"/>
  <c r="Q184" i="30" s="1"/>
  <c r="R184" i="30" a="1"/>
  <c r="R184" i="30" s="1"/>
  <c r="U184" i="30" a="1"/>
  <c r="U184" i="30" s="1"/>
  <c r="V184" i="30" a="1"/>
  <c r="V184" i="30" s="1"/>
  <c r="W184" i="30" a="1"/>
  <c r="W184" i="30" s="1"/>
  <c r="X184" i="30" a="1"/>
  <c r="X184" i="30" s="1"/>
  <c r="K185" i="30" a="1"/>
  <c r="K185" i="30" s="1"/>
  <c r="L185" i="30" a="1"/>
  <c r="L185" i="30" s="1"/>
  <c r="M185" i="30" a="1"/>
  <c r="M185" i="30" s="1"/>
  <c r="N185" i="30" a="1"/>
  <c r="N185" i="30" s="1"/>
  <c r="O185" i="30" a="1"/>
  <c r="O185" i="30" s="1"/>
  <c r="P185" i="30" a="1"/>
  <c r="P185" i="30" s="1"/>
  <c r="Q185" i="30" a="1"/>
  <c r="Q185" i="30" s="1"/>
  <c r="R185" i="30" a="1"/>
  <c r="R185" i="30" s="1"/>
  <c r="U185" i="30" a="1"/>
  <c r="U185" i="30" s="1"/>
  <c r="V185" i="30" a="1"/>
  <c r="V185" i="30" s="1"/>
  <c r="W185" i="30" a="1"/>
  <c r="W185" i="30" s="1"/>
  <c r="X185" i="30" a="1"/>
  <c r="X185" i="30" s="1"/>
  <c r="K186" i="30" a="1"/>
  <c r="K186" i="30" s="1"/>
  <c r="L186" i="30" a="1"/>
  <c r="L186" i="30" s="1"/>
  <c r="M186" i="30" a="1"/>
  <c r="M186" i="30" s="1"/>
  <c r="N186" i="30" a="1"/>
  <c r="N186" i="30" s="1"/>
  <c r="O186" i="30" a="1"/>
  <c r="O186" i="30" s="1"/>
  <c r="P186" i="30" a="1"/>
  <c r="P186" i="30" s="1"/>
  <c r="Q186" i="30" a="1"/>
  <c r="Q186" i="30" s="1"/>
  <c r="R186" i="30" a="1"/>
  <c r="R186" i="30" s="1"/>
  <c r="U186" i="30" a="1"/>
  <c r="U186" i="30" s="1"/>
  <c r="V186" i="30" a="1"/>
  <c r="V186" i="30" s="1"/>
  <c r="W186" i="30" a="1"/>
  <c r="W186" i="30" s="1"/>
  <c r="X186" i="30" a="1"/>
  <c r="X186" i="30" s="1"/>
  <c r="K187" i="30" a="1"/>
  <c r="K187" i="30" s="1"/>
  <c r="L187" i="30" a="1"/>
  <c r="L187" i="30" s="1"/>
  <c r="M187" i="30" a="1"/>
  <c r="M187" i="30" s="1"/>
  <c r="N187" i="30" a="1"/>
  <c r="N187" i="30" s="1"/>
  <c r="O187" i="30" a="1"/>
  <c r="O187" i="30" s="1"/>
  <c r="P187" i="30" a="1"/>
  <c r="P187" i="30" s="1"/>
  <c r="Q187" i="30" a="1"/>
  <c r="Q187" i="30" s="1"/>
  <c r="R187" i="30" a="1"/>
  <c r="R187" i="30" s="1"/>
  <c r="U187" i="30" a="1"/>
  <c r="U187" i="30" s="1"/>
  <c r="V187" i="30" a="1"/>
  <c r="V187" i="30" s="1"/>
  <c r="W187" i="30" a="1"/>
  <c r="W187" i="30" s="1"/>
  <c r="X187" i="30" a="1"/>
  <c r="X187" i="30" s="1"/>
  <c r="K188" i="30" a="1"/>
  <c r="K188" i="30" s="1"/>
  <c r="L188" i="30" a="1"/>
  <c r="L188" i="30" s="1"/>
  <c r="M188" i="30" a="1"/>
  <c r="M188" i="30" s="1"/>
  <c r="N188" i="30" a="1"/>
  <c r="N188" i="30" s="1"/>
  <c r="O188" i="30" a="1"/>
  <c r="O188" i="30" s="1"/>
  <c r="P188" i="30" a="1"/>
  <c r="P188" i="30" s="1"/>
  <c r="Q188" i="30" a="1"/>
  <c r="Q188" i="30" s="1"/>
  <c r="R188" i="30" a="1"/>
  <c r="R188" i="30" s="1"/>
  <c r="U188" i="30" a="1"/>
  <c r="U188" i="30" s="1"/>
  <c r="V188" i="30" a="1"/>
  <c r="V188" i="30" s="1"/>
  <c r="W188" i="30" a="1"/>
  <c r="W188" i="30" s="1"/>
  <c r="X188" i="30" a="1"/>
  <c r="X188" i="30" s="1"/>
  <c r="K189" i="30" a="1"/>
  <c r="K189" i="30" s="1"/>
  <c r="L189" i="30" a="1"/>
  <c r="L189" i="30" s="1"/>
  <c r="M189" i="30" a="1"/>
  <c r="M189" i="30" s="1"/>
  <c r="N189" i="30" a="1"/>
  <c r="N189" i="30" s="1"/>
  <c r="O189" i="30" a="1"/>
  <c r="O189" i="30" s="1"/>
  <c r="P189" i="30" a="1"/>
  <c r="P189" i="30" s="1"/>
  <c r="Q189" i="30" a="1"/>
  <c r="Q189" i="30" s="1"/>
  <c r="R189" i="30" a="1"/>
  <c r="R189" i="30" s="1"/>
  <c r="U189" i="30" a="1"/>
  <c r="U189" i="30" s="1"/>
  <c r="V189" i="30" a="1"/>
  <c r="V189" i="30" s="1"/>
  <c r="W189" i="30" a="1"/>
  <c r="W189" i="30" s="1"/>
  <c r="X189" i="30" a="1"/>
  <c r="X189" i="30" s="1"/>
  <c r="K190" i="30" a="1"/>
  <c r="K190" i="30" s="1"/>
  <c r="L190" i="30" a="1"/>
  <c r="L190" i="30" s="1"/>
  <c r="M190" i="30" a="1"/>
  <c r="M190" i="30" s="1"/>
  <c r="N190" i="30" a="1"/>
  <c r="N190" i="30" s="1"/>
  <c r="O190" i="30" a="1"/>
  <c r="O190" i="30" s="1"/>
  <c r="P190" i="30" a="1"/>
  <c r="P190" i="30" s="1"/>
  <c r="Q190" i="30" a="1"/>
  <c r="Q190" i="30" s="1"/>
  <c r="R190" i="30" a="1"/>
  <c r="R190" i="30" s="1"/>
  <c r="U190" i="30" a="1"/>
  <c r="U190" i="30" s="1"/>
  <c r="V190" i="30" a="1"/>
  <c r="V190" i="30" s="1"/>
  <c r="W190" i="30" a="1"/>
  <c r="W190" i="30" s="1"/>
  <c r="X190" i="30" a="1"/>
  <c r="X190" i="30" s="1"/>
  <c r="K191" i="30" a="1"/>
  <c r="K191" i="30" s="1"/>
  <c r="L191" i="30" a="1"/>
  <c r="L191" i="30" s="1"/>
  <c r="M191" i="30" a="1"/>
  <c r="M191" i="30" s="1"/>
  <c r="N191" i="30" a="1"/>
  <c r="N191" i="30" s="1"/>
  <c r="O191" i="30" a="1"/>
  <c r="O191" i="30" s="1"/>
  <c r="P191" i="30" a="1"/>
  <c r="P191" i="30" s="1"/>
  <c r="Q191" i="30" a="1"/>
  <c r="Q191" i="30" s="1"/>
  <c r="R191" i="30" a="1"/>
  <c r="R191" i="30" s="1"/>
  <c r="U191" i="30" a="1"/>
  <c r="U191" i="30" s="1"/>
  <c r="V191" i="30" a="1"/>
  <c r="V191" i="30" s="1"/>
  <c r="W191" i="30" a="1"/>
  <c r="W191" i="30" s="1"/>
  <c r="X191" i="30" a="1"/>
  <c r="X191" i="30" s="1"/>
  <c r="K192" i="30" a="1"/>
  <c r="K192" i="30" s="1"/>
  <c r="L192" i="30" a="1"/>
  <c r="L192" i="30" s="1"/>
  <c r="M192" i="30" a="1"/>
  <c r="M192" i="30" s="1"/>
  <c r="N192" i="30" a="1"/>
  <c r="N192" i="30" s="1"/>
  <c r="O192" i="30" a="1"/>
  <c r="O192" i="30" s="1"/>
  <c r="P192" i="30" a="1"/>
  <c r="P192" i="30" s="1"/>
  <c r="Q192" i="30" a="1"/>
  <c r="Q192" i="30" s="1"/>
  <c r="R192" i="30" a="1"/>
  <c r="R192" i="30" s="1"/>
  <c r="U192" i="30" a="1"/>
  <c r="U192" i="30" s="1"/>
  <c r="V192" i="30" a="1"/>
  <c r="V192" i="30" s="1"/>
  <c r="W192" i="30" a="1"/>
  <c r="W192" i="30" s="1"/>
  <c r="X192" i="30" a="1"/>
  <c r="X192" i="30" s="1"/>
  <c r="K193" i="30" a="1"/>
  <c r="K193" i="30" s="1"/>
  <c r="L193" i="30" a="1"/>
  <c r="L193" i="30" s="1"/>
  <c r="M193" i="30" a="1"/>
  <c r="M193" i="30" s="1"/>
  <c r="N193" i="30" a="1"/>
  <c r="N193" i="30" s="1"/>
  <c r="O193" i="30" a="1"/>
  <c r="O193" i="30" s="1"/>
  <c r="P193" i="30" a="1"/>
  <c r="P193" i="30" s="1"/>
  <c r="Q193" i="30" a="1"/>
  <c r="Q193" i="30" s="1"/>
  <c r="R193" i="30" a="1"/>
  <c r="R193" i="30" s="1"/>
  <c r="U193" i="30" a="1"/>
  <c r="U193" i="30" s="1"/>
  <c r="V193" i="30" a="1"/>
  <c r="V193" i="30" s="1"/>
  <c r="W193" i="30" a="1"/>
  <c r="W193" i="30" s="1"/>
  <c r="X193" i="30" a="1"/>
  <c r="X193" i="30" s="1"/>
  <c r="K194" i="30" a="1"/>
  <c r="K194" i="30" s="1"/>
  <c r="L194" i="30" a="1"/>
  <c r="L194" i="30" s="1"/>
  <c r="M194" i="30" a="1"/>
  <c r="M194" i="30" s="1"/>
  <c r="N194" i="30" a="1"/>
  <c r="N194" i="30" s="1"/>
  <c r="O194" i="30" a="1"/>
  <c r="O194" i="30" s="1"/>
  <c r="P194" i="30" a="1"/>
  <c r="P194" i="30" s="1"/>
  <c r="Q194" i="30" a="1"/>
  <c r="Q194" i="30" s="1"/>
  <c r="R194" i="30" a="1"/>
  <c r="R194" i="30" s="1"/>
  <c r="U194" i="30" a="1"/>
  <c r="U194" i="30" s="1"/>
  <c r="V194" i="30" a="1"/>
  <c r="V194" i="30" s="1"/>
  <c r="W194" i="30" a="1"/>
  <c r="W194" i="30" s="1"/>
  <c r="X194" i="30" a="1"/>
  <c r="X194" i="30" s="1"/>
  <c r="K195" i="30" a="1"/>
  <c r="K195" i="30" s="1"/>
  <c r="L195" i="30" a="1"/>
  <c r="L195" i="30" s="1"/>
  <c r="M195" i="30" a="1"/>
  <c r="M195" i="30" s="1"/>
  <c r="N195" i="30" a="1"/>
  <c r="N195" i="30" s="1"/>
  <c r="O195" i="30" a="1"/>
  <c r="O195" i="30" s="1"/>
  <c r="P195" i="30" a="1"/>
  <c r="P195" i="30" s="1"/>
  <c r="Q195" i="30" a="1"/>
  <c r="Q195" i="30" s="1"/>
  <c r="R195" i="30" a="1"/>
  <c r="R195" i="30" s="1"/>
  <c r="U195" i="30" a="1"/>
  <c r="U195" i="30" s="1"/>
  <c r="V195" i="30" a="1"/>
  <c r="V195" i="30" s="1"/>
  <c r="W195" i="30" a="1"/>
  <c r="W195" i="30" s="1"/>
  <c r="X195" i="30" a="1"/>
  <c r="X195" i="30" s="1"/>
  <c r="K196" i="30" a="1"/>
  <c r="K196" i="30" s="1"/>
  <c r="L196" i="30" a="1"/>
  <c r="L196" i="30" s="1"/>
  <c r="M196" i="30" a="1"/>
  <c r="M196" i="30" s="1"/>
  <c r="N196" i="30" a="1"/>
  <c r="N196" i="30" s="1"/>
  <c r="O196" i="30" a="1"/>
  <c r="O196" i="30" s="1"/>
  <c r="P196" i="30" a="1"/>
  <c r="P196" i="30" s="1"/>
  <c r="Q196" i="30" a="1"/>
  <c r="Q196" i="30" s="1"/>
  <c r="R196" i="30" a="1"/>
  <c r="R196" i="30" s="1"/>
  <c r="U196" i="30" a="1"/>
  <c r="U196" i="30" s="1"/>
  <c r="V196" i="30" a="1"/>
  <c r="V196" i="30" s="1"/>
  <c r="W196" i="30" a="1"/>
  <c r="W196" i="30" s="1"/>
  <c r="X196" i="30" a="1"/>
  <c r="X196" i="30" s="1"/>
  <c r="K197" i="30" a="1"/>
  <c r="K197" i="30" s="1"/>
  <c r="L197" i="30" a="1"/>
  <c r="L197" i="30" s="1"/>
  <c r="M197" i="30" a="1"/>
  <c r="M197" i="30" s="1"/>
  <c r="N197" i="30" a="1"/>
  <c r="N197" i="30" s="1"/>
  <c r="O197" i="30" a="1"/>
  <c r="O197" i="30" s="1"/>
  <c r="P197" i="30" a="1"/>
  <c r="P197" i="30" s="1"/>
  <c r="Q197" i="30" a="1"/>
  <c r="Q197" i="30" s="1"/>
  <c r="R197" i="30" a="1"/>
  <c r="R197" i="30" s="1"/>
  <c r="U197" i="30" a="1"/>
  <c r="U197" i="30" s="1"/>
  <c r="V197" i="30" a="1"/>
  <c r="V197" i="30" s="1"/>
  <c r="W197" i="30" a="1"/>
  <c r="W197" i="30" s="1"/>
  <c r="X197" i="30" a="1"/>
  <c r="X197" i="30" s="1"/>
  <c r="K198" i="30" a="1"/>
  <c r="K198" i="30" s="1"/>
  <c r="L198" i="30" a="1"/>
  <c r="L198" i="30" s="1"/>
  <c r="M198" i="30" a="1"/>
  <c r="M198" i="30" s="1"/>
  <c r="N198" i="30" a="1"/>
  <c r="N198" i="30" s="1"/>
  <c r="O198" i="30" a="1"/>
  <c r="O198" i="30" s="1"/>
  <c r="P198" i="30" a="1"/>
  <c r="P198" i="30" s="1"/>
  <c r="Q198" i="30" a="1"/>
  <c r="Q198" i="30" s="1"/>
  <c r="R198" i="30" a="1"/>
  <c r="R198" i="30" s="1"/>
  <c r="U198" i="30" a="1"/>
  <c r="U198" i="30" s="1"/>
  <c r="V198" i="30" a="1"/>
  <c r="V198" i="30" s="1"/>
  <c r="W198" i="30" a="1"/>
  <c r="W198" i="30" s="1"/>
  <c r="X198" i="30" a="1"/>
  <c r="X198" i="30" s="1"/>
  <c r="K199" i="30" a="1"/>
  <c r="K199" i="30" s="1"/>
  <c r="L199" i="30" a="1"/>
  <c r="L199" i="30" s="1"/>
  <c r="M199" i="30" a="1"/>
  <c r="M199" i="30" s="1"/>
  <c r="N199" i="30" a="1"/>
  <c r="N199" i="30" s="1"/>
  <c r="O199" i="30" a="1"/>
  <c r="O199" i="30" s="1"/>
  <c r="P199" i="30" a="1"/>
  <c r="P199" i="30" s="1"/>
  <c r="Q199" i="30" a="1"/>
  <c r="Q199" i="30" s="1"/>
  <c r="R199" i="30" a="1"/>
  <c r="R199" i="30" s="1"/>
  <c r="U199" i="30" a="1"/>
  <c r="U199" i="30" s="1"/>
  <c r="V199" i="30" a="1"/>
  <c r="V199" i="30" s="1"/>
  <c r="W199" i="30" a="1"/>
  <c r="W199" i="30" s="1"/>
  <c r="X199" i="30" a="1"/>
  <c r="X199" i="30" s="1"/>
  <c r="K200" i="30" a="1"/>
  <c r="K200" i="30" s="1"/>
  <c r="L200" i="30" a="1"/>
  <c r="L200" i="30" s="1"/>
  <c r="M200" i="30" a="1"/>
  <c r="M200" i="30" s="1"/>
  <c r="N200" i="30" a="1"/>
  <c r="N200" i="30" s="1"/>
  <c r="O200" i="30" a="1"/>
  <c r="O200" i="30" s="1"/>
  <c r="P200" i="30" a="1"/>
  <c r="P200" i="30" s="1"/>
  <c r="Q200" i="30" a="1"/>
  <c r="Q200" i="30" s="1"/>
  <c r="R200" i="30" a="1"/>
  <c r="R200" i="30" s="1"/>
  <c r="U200" i="30" a="1"/>
  <c r="U200" i="30" s="1"/>
  <c r="V200" i="30" a="1"/>
  <c r="V200" i="30" s="1"/>
  <c r="W200" i="30" a="1"/>
  <c r="W200" i="30" s="1"/>
  <c r="X200" i="30" a="1"/>
  <c r="X200" i="30" s="1"/>
  <c r="K201" i="30" a="1"/>
  <c r="K201" i="30" s="1"/>
  <c r="L201" i="30" a="1"/>
  <c r="L201" i="30" s="1"/>
  <c r="M201" i="30" a="1"/>
  <c r="M201" i="30" s="1"/>
  <c r="N201" i="30" a="1"/>
  <c r="N201" i="30" s="1"/>
  <c r="O201" i="30" a="1"/>
  <c r="O201" i="30" s="1"/>
  <c r="P201" i="30" a="1"/>
  <c r="P201" i="30" s="1"/>
  <c r="Q201" i="30" a="1"/>
  <c r="Q201" i="30" s="1"/>
  <c r="R201" i="30" a="1"/>
  <c r="R201" i="30" s="1"/>
  <c r="U201" i="30" a="1"/>
  <c r="U201" i="30" s="1"/>
  <c r="V201" i="30" a="1"/>
  <c r="V201" i="30" s="1"/>
  <c r="W201" i="30" a="1"/>
  <c r="W201" i="30" s="1"/>
  <c r="X201" i="30" a="1"/>
  <c r="X201" i="30" s="1"/>
  <c r="K202" i="30" a="1"/>
  <c r="K202" i="30" s="1"/>
  <c r="L202" i="30" a="1"/>
  <c r="L202" i="30" s="1"/>
  <c r="M202" i="30" a="1"/>
  <c r="M202" i="30" s="1"/>
  <c r="N202" i="30" a="1"/>
  <c r="N202" i="30" s="1"/>
  <c r="O202" i="30" a="1"/>
  <c r="O202" i="30" s="1"/>
  <c r="P202" i="30" a="1"/>
  <c r="P202" i="30" s="1"/>
  <c r="Q202" i="30" a="1"/>
  <c r="Q202" i="30" s="1"/>
  <c r="R202" i="30" a="1"/>
  <c r="R202" i="30" s="1"/>
  <c r="U202" i="30" a="1"/>
  <c r="U202" i="30" s="1"/>
  <c r="V202" i="30" a="1"/>
  <c r="V202" i="30" s="1"/>
  <c r="W202" i="30" a="1"/>
  <c r="W202" i="30" s="1"/>
  <c r="X202" i="30" a="1"/>
  <c r="X202" i="30" s="1"/>
  <c r="K203" i="30" a="1"/>
  <c r="K203" i="30" s="1"/>
  <c r="L203" i="30" a="1"/>
  <c r="L203" i="30" s="1"/>
  <c r="M203" i="30" a="1"/>
  <c r="M203" i="30" s="1"/>
  <c r="N203" i="30" a="1"/>
  <c r="N203" i="30" s="1"/>
  <c r="O203" i="30" a="1"/>
  <c r="O203" i="30" s="1"/>
  <c r="P203" i="30" a="1"/>
  <c r="P203" i="30" s="1"/>
  <c r="Q203" i="30" a="1"/>
  <c r="Q203" i="30" s="1"/>
  <c r="R203" i="30" a="1"/>
  <c r="R203" i="30" s="1"/>
  <c r="U203" i="30" a="1"/>
  <c r="U203" i="30" s="1"/>
  <c r="V203" i="30" a="1"/>
  <c r="V203" i="30" s="1"/>
  <c r="W203" i="30" a="1"/>
  <c r="W203" i="30" s="1"/>
  <c r="X203" i="30" a="1"/>
  <c r="X203" i="30" s="1"/>
  <c r="K204" i="30" a="1"/>
  <c r="K204" i="30" s="1"/>
  <c r="L204" i="30" a="1"/>
  <c r="L204" i="30" s="1"/>
  <c r="M204" i="30" a="1"/>
  <c r="M204" i="30" s="1"/>
  <c r="N204" i="30" a="1"/>
  <c r="N204" i="30" s="1"/>
  <c r="O204" i="30" a="1"/>
  <c r="O204" i="30" s="1"/>
  <c r="P204" i="30" a="1"/>
  <c r="P204" i="30" s="1"/>
  <c r="Q204" i="30" a="1"/>
  <c r="Q204" i="30" s="1"/>
  <c r="R204" i="30" a="1"/>
  <c r="R204" i="30" s="1"/>
  <c r="U204" i="30" a="1"/>
  <c r="U204" i="30" s="1"/>
  <c r="V204" i="30" a="1"/>
  <c r="V204" i="30" s="1"/>
  <c r="W204" i="30" a="1"/>
  <c r="W204" i="30" s="1"/>
  <c r="X204" i="30" a="1"/>
  <c r="X204" i="30" s="1"/>
  <c r="K205" i="30" a="1"/>
  <c r="K205" i="30" s="1"/>
  <c r="L205" i="30" a="1"/>
  <c r="L205" i="30" s="1"/>
  <c r="M205" i="30" a="1"/>
  <c r="M205" i="30" s="1"/>
  <c r="N205" i="30" a="1"/>
  <c r="N205" i="30" s="1"/>
  <c r="O205" i="30" a="1"/>
  <c r="O205" i="30" s="1"/>
  <c r="P205" i="30" a="1"/>
  <c r="P205" i="30" s="1"/>
  <c r="Q205" i="30" a="1"/>
  <c r="Q205" i="30" s="1"/>
  <c r="R205" i="30" a="1"/>
  <c r="R205" i="30" s="1"/>
  <c r="U205" i="30" a="1"/>
  <c r="U205" i="30" s="1"/>
  <c r="V205" i="30" a="1"/>
  <c r="V205" i="30" s="1"/>
  <c r="W205" i="30" a="1"/>
  <c r="W205" i="30" s="1"/>
  <c r="X205" i="30" a="1"/>
  <c r="X205" i="30" s="1"/>
  <c r="K206" i="30" a="1"/>
  <c r="K206" i="30" s="1"/>
  <c r="L206" i="30" a="1"/>
  <c r="L206" i="30" s="1"/>
  <c r="M206" i="30" a="1"/>
  <c r="M206" i="30" s="1"/>
  <c r="N206" i="30" a="1"/>
  <c r="N206" i="30" s="1"/>
  <c r="O206" i="30" a="1"/>
  <c r="O206" i="30" s="1"/>
  <c r="P206" i="30" a="1"/>
  <c r="P206" i="30" s="1"/>
  <c r="Q206" i="30" a="1"/>
  <c r="Q206" i="30" s="1"/>
  <c r="R206" i="30" a="1"/>
  <c r="R206" i="30" s="1"/>
  <c r="U206" i="30" a="1"/>
  <c r="U206" i="30" s="1"/>
  <c r="V206" i="30" a="1"/>
  <c r="V206" i="30" s="1"/>
  <c r="W206" i="30" a="1"/>
  <c r="W206" i="30" s="1"/>
  <c r="X206" i="30" a="1"/>
  <c r="X206" i="30" s="1"/>
  <c r="K207" i="30" a="1"/>
  <c r="K207" i="30" s="1"/>
  <c r="L207" i="30" a="1"/>
  <c r="L207" i="30" s="1"/>
  <c r="M207" i="30" a="1"/>
  <c r="M207" i="30" s="1"/>
  <c r="N207" i="30" a="1"/>
  <c r="N207" i="30" s="1"/>
  <c r="O207" i="30" a="1"/>
  <c r="O207" i="30" s="1"/>
  <c r="P207" i="30" a="1"/>
  <c r="P207" i="30" s="1"/>
  <c r="Q207" i="30" a="1"/>
  <c r="Q207" i="30" s="1"/>
  <c r="R207" i="30" a="1"/>
  <c r="R207" i="30" s="1"/>
  <c r="U207" i="30" a="1"/>
  <c r="U207" i="30" s="1"/>
  <c r="V207" i="30" a="1"/>
  <c r="V207" i="30" s="1"/>
  <c r="W207" i="30" a="1"/>
  <c r="W207" i="30" s="1"/>
  <c r="X207" i="30" a="1"/>
  <c r="X207" i="30" s="1"/>
  <c r="K208" i="30" a="1"/>
  <c r="K208" i="30" s="1"/>
  <c r="L208" i="30" a="1"/>
  <c r="L208" i="30" s="1"/>
  <c r="M208" i="30" a="1"/>
  <c r="M208" i="30" s="1"/>
  <c r="N208" i="30" a="1"/>
  <c r="N208" i="30" s="1"/>
  <c r="O208" i="30" a="1"/>
  <c r="O208" i="30" s="1"/>
  <c r="P208" i="30" a="1"/>
  <c r="P208" i="30" s="1"/>
  <c r="Q208" i="30" a="1"/>
  <c r="Q208" i="30" s="1"/>
  <c r="R208" i="30" a="1"/>
  <c r="R208" i="30" s="1"/>
  <c r="U208" i="30" a="1"/>
  <c r="U208" i="30" s="1"/>
  <c r="V208" i="30" a="1"/>
  <c r="V208" i="30" s="1"/>
  <c r="W208" i="30" a="1"/>
  <c r="W208" i="30" s="1"/>
  <c r="X208" i="30" a="1"/>
  <c r="X208" i="30" s="1"/>
  <c r="K209" i="30" a="1"/>
  <c r="K209" i="30" s="1"/>
  <c r="L209" i="30" a="1"/>
  <c r="L209" i="30" s="1"/>
  <c r="M209" i="30" a="1"/>
  <c r="M209" i="30" s="1"/>
  <c r="N209" i="30" a="1"/>
  <c r="N209" i="30" s="1"/>
  <c r="O209" i="30" a="1"/>
  <c r="O209" i="30" s="1"/>
  <c r="P209" i="30" a="1"/>
  <c r="P209" i="30" s="1"/>
  <c r="Q209" i="30" a="1"/>
  <c r="Q209" i="30" s="1"/>
  <c r="R209" i="30" a="1"/>
  <c r="R209" i="30" s="1"/>
  <c r="U209" i="30" a="1"/>
  <c r="U209" i="30" s="1"/>
  <c r="V209" i="30" a="1"/>
  <c r="V209" i="30" s="1"/>
  <c r="W209" i="30" a="1"/>
  <c r="W209" i="30" s="1"/>
  <c r="X209" i="30" a="1"/>
  <c r="X209" i="30" s="1"/>
  <c r="K210" i="30" a="1"/>
  <c r="K210" i="30" s="1"/>
  <c r="L210" i="30" a="1"/>
  <c r="L210" i="30" s="1"/>
  <c r="M210" i="30" a="1"/>
  <c r="M210" i="30" s="1"/>
  <c r="N210" i="30" a="1"/>
  <c r="N210" i="30" s="1"/>
  <c r="O210" i="30" a="1"/>
  <c r="O210" i="30" s="1"/>
  <c r="P210" i="30" a="1"/>
  <c r="P210" i="30" s="1"/>
  <c r="Q210" i="30" a="1"/>
  <c r="Q210" i="30" s="1"/>
  <c r="R210" i="30" a="1"/>
  <c r="R210" i="30" s="1"/>
  <c r="U210" i="30" a="1"/>
  <c r="U210" i="30" s="1"/>
  <c r="V210" i="30" a="1"/>
  <c r="V210" i="30" s="1"/>
  <c r="W210" i="30" a="1"/>
  <c r="W210" i="30" s="1"/>
  <c r="X210" i="30" a="1"/>
  <c r="X210" i="30" s="1"/>
  <c r="K211" i="30" a="1"/>
  <c r="K211" i="30" s="1"/>
  <c r="L211" i="30" a="1"/>
  <c r="L211" i="30" s="1"/>
  <c r="M211" i="30" a="1"/>
  <c r="M211" i="30" s="1"/>
  <c r="N211" i="30" a="1"/>
  <c r="N211" i="30" s="1"/>
  <c r="O211" i="30" a="1"/>
  <c r="O211" i="30" s="1"/>
  <c r="P211" i="30" a="1"/>
  <c r="P211" i="30" s="1"/>
  <c r="Q211" i="30" a="1"/>
  <c r="Q211" i="30" s="1"/>
  <c r="R211" i="30" a="1"/>
  <c r="R211" i="30" s="1"/>
  <c r="U211" i="30" a="1"/>
  <c r="U211" i="30" s="1"/>
  <c r="V211" i="30" a="1"/>
  <c r="V211" i="30" s="1"/>
  <c r="W211" i="30" a="1"/>
  <c r="W211" i="30" s="1"/>
  <c r="X211" i="30" a="1"/>
  <c r="X211" i="30" s="1"/>
  <c r="K212" i="30" a="1"/>
  <c r="K212" i="30" s="1"/>
  <c r="L212" i="30" a="1"/>
  <c r="L212" i="30" s="1"/>
  <c r="M212" i="30" a="1"/>
  <c r="M212" i="30" s="1"/>
  <c r="N212" i="30" a="1"/>
  <c r="N212" i="30" s="1"/>
  <c r="O212" i="30" a="1"/>
  <c r="O212" i="30" s="1"/>
  <c r="P212" i="30" a="1"/>
  <c r="P212" i="30" s="1"/>
  <c r="Q212" i="30" a="1"/>
  <c r="Q212" i="30" s="1"/>
  <c r="R212" i="30" a="1"/>
  <c r="R212" i="30" s="1"/>
  <c r="U212" i="30" a="1"/>
  <c r="U212" i="30" s="1"/>
  <c r="V212" i="30" a="1"/>
  <c r="V212" i="30" s="1"/>
  <c r="W212" i="30" a="1"/>
  <c r="W212" i="30" s="1"/>
  <c r="X212" i="30" a="1"/>
  <c r="X212" i="30" s="1"/>
  <c r="K213" i="30" a="1"/>
  <c r="K213" i="30" s="1"/>
  <c r="L213" i="30" a="1"/>
  <c r="L213" i="30" s="1"/>
  <c r="M213" i="30" a="1"/>
  <c r="M213" i="30" s="1"/>
  <c r="N213" i="30" a="1"/>
  <c r="N213" i="30" s="1"/>
  <c r="O213" i="30" a="1"/>
  <c r="O213" i="30" s="1"/>
  <c r="P213" i="30" a="1"/>
  <c r="P213" i="30" s="1"/>
  <c r="Q213" i="30" a="1"/>
  <c r="Q213" i="30" s="1"/>
  <c r="R213" i="30" a="1"/>
  <c r="R213" i="30" s="1"/>
  <c r="U213" i="30" a="1"/>
  <c r="U213" i="30" s="1"/>
  <c r="V213" i="30" a="1"/>
  <c r="V213" i="30" s="1"/>
  <c r="W213" i="30" a="1"/>
  <c r="W213" i="30" s="1"/>
  <c r="X213" i="30" a="1"/>
  <c r="X213" i="30" s="1"/>
  <c r="K214" i="30" a="1"/>
  <c r="K214" i="30" s="1"/>
  <c r="L214" i="30" a="1"/>
  <c r="L214" i="30" s="1"/>
  <c r="M214" i="30" a="1"/>
  <c r="M214" i="30" s="1"/>
  <c r="N214" i="30" a="1"/>
  <c r="N214" i="30" s="1"/>
  <c r="O214" i="30" a="1"/>
  <c r="O214" i="30" s="1"/>
  <c r="P214" i="30" a="1"/>
  <c r="P214" i="30" s="1"/>
  <c r="Q214" i="30" a="1"/>
  <c r="Q214" i="30" s="1"/>
  <c r="R214" i="30" a="1"/>
  <c r="R214" i="30" s="1"/>
  <c r="U214" i="30" a="1"/>
  <c r="U214" i="30" s="1"/>
  <c r="V214" i="30" a="1"/>
  <c r="V214" i="30" s="1"/>
  <c r="W214" i="30" a="1"/>
  <c r="W214" i="30" s="1"/>
  <c r="X214" i="30" a="1"/>
  <c r="X214" i="30" s="1"/>
  <c r="K215" i="30" a="1"/>
  <c r="K215" i="30" s="1"/>
  <c r="L215" i="30" a="1"/>
  <c r="L215" i="30" s="1"/>
  <c r="M215" i="30" a="1"/>
  <c r="M215" i="30" s="1"/>
  <c r="N215" i="30" a="1"/>
  <c r="N215" i="30" s="1"/>
  <c r="O215" i="30" a="1"/>
  <c r="O215" i="30" s="1"/>
  <c r="P215" i="30" a="1"/>
  <c r="P215" i="30" s="1"/>
  <c r="Q215" i="30" a="1"/>
  <c r="Q215" i="30" s="1"/>
  <c r="R215" i="30" a="1"/>
  <c r="R215" i="30" s="1"/>
  <c r="U215" i="30" a="1"/>
  <c r="U215" i="30" s="1"/>
  <c r="V215" i="30" a="1"/>
  <c r="V215" i="30" s="1"/>
  <c r="W215" i="30" a="1"/>
  <c r="W215" i="30" s="1"/>
  <c r="X215" i="30" a="1"/>
  <c r="X215" i="30" s="1"/>
  <c r="K216" i="30" a="1"/>
  <c r="K216" i="30" s="1"/>
  <c r="L216" i="30" a="1"/>
  <c r="L216" i="30" s="1"/>
  <c r="M216" i="30" a="1"/>
  <c r="M216" i="30" s="1"/>
  <c r="N216" i="30" a="1"/>
  <c r="N216" i="30" s="1"/>
  <c r="O216" i="30" a="1"/>
  <c r="O216" i="30" s="1"/>
  <c r="P216" i="30" a="1"/>
  <c r="P216" i="30" s="1"/>
  <c r="Q216" i="30" a="1"/>
  <c r="Q216" i="30" s="1"/>
  <c r="R216" i="30" a="1"/>
  <c r="R216" i="30" s="1"/>
  <c r="U216" i="30" a="1"/>
  <c r="U216" i="30" s="1"/>
  <c r="V216" i="30" a="1"/>
  <c r="V216" i="30" s="1"/>
  <c r="W216" i="30" a="1"/>
  <c r="W216" i="30" s="1"/>
  <c r="X216" i="30" a="1"/>
  <c r="X216" i="30" s="1"/>
  <c r="K217" i="30" a="1"/>
  <c r="K217" i="30" s="1"/>
  <c r="L217" i="30" a="1"/>
  <c r="L217" i="30" s="1"/>
  <c r="M217" i="30" a="1"/>
  <c r="M217" i="30" s="1"/>
  <c r="N217" i="30" a="1"/>
  <c r="N217" i="30" s="1"/>
  <c r="O217" i="30" a="1"/>
  <c r="O217" i="30" s="1"/>
  <c r="P217" i="30" a="1"/>
  <c r="P217" i="30" s="1"/>
  <c r="Q217" i="30" a="1"/>
  <c r="Q217" i="30" s="1"/>
  <c r="R217" i="30" a="1"/>
  <c r="R217" i="30" s="1"/>
  <c r="U217" i="30" a="1"/>
  <c r="U217" i="30" s="1"/>
  <c r="V217" i="30" a="1"/>
  <c r="V217" i="30" s="1"/>
  <c r="W217" i="30" a="1"/>
  <c r="W217" i="30" s="1"/>
  <c r="X217" i="30" a="1"/>
  <c r="X217" i="30" s="1"/>
  <c r="K218" i="30" a="1"/>
  <c r="K218" i="30" s="1"/>
  <c r="L218" i="30" a="1"/>
  <c r="L218" i="30" s="1"/>
  <c r="M218" i="30" a="1"/>
  <c r="M218" i="30" s="1"/>
  <c r="N218" i="30" a="1"/>
  <c r="N218" i="30" s="1"/>
  <c r="O218" i="30" a="1"/>
  <c r="O218" i="30" s="1"/>
  <c r="P218" i="30" a="1"/>
  <c r="P218" i="30" s="1"/>
  <c r="Q218" i="30" a="1"/>
  <c r="Q218" i="30" s="1"/>
  <c r="R218" i="30" a="1"/>
  <c r="R218" i="30" s="1"/>
  <c r="U218" i="30" a="1"/>
  <c r="U218" i="30" s="1"/>
  <c r="V218" i="30" a="1"/>
  <c r="V218" i="30" s="1"/>
  <c r="W218" i="30" a="1"/>
  <c r="W218" i="30" s="1"/>
  <c r="X218" i="30" a="1"/>
  <c r="X218" i="30" s="1"/>
  <c r="K219" i="30" a="1"/>
  <c r="K219" i="30" s="1"/>
  <c r="L219" i="30" a="1"/>
  <c r="L219" i="30" s="1"/>
  <c r="M219" i="30" a="1"/>
  <c r="M219" i="30" s="1"/>
  <c r="N219" i="30" a="1"/>
  <c r="N219" i="30" s="1"/>
  <c r="O219" i="30" a="1"/>
  <c r="O219" i="30" s="1"/>
  <c r="P219" i="30" a="1"/>
  <c r="P219" i="30" s="1"/>
  <c r="Q219" i="30" a="1"/>
  <c r="Q219" i="30" s="1"/>
  <c r="R219" i="30" a="1"/>
  <c r="R219" i="30" s="1"/>
  <c r="U219" i="30" a="1"/>
  <c r="U219" i="30" s="1"/>
  <c r="V219" i="30" a="1"/>
  <c r="V219" i="30" s="1"/>
  <c r="W219" i="30" a="1"/>
  <c r="W219" i="30" s="1"/>
  <c r="X219" i="30" a="1"/>
  <c r="X219" i="30" s="1"/>
  <c r="K220" i="30" a="1"/>
  <c r="K220" i="30" s="1"/>
  <c r="L220" i="30" a="1"/>
  <c r="L220" i="30" s="1"/>
  <c r="M220" i="30" a="1"/>
  <c r="M220" i="30" s="1"/>
  <c r="N220" i="30" a="1"/>
  <c r="N220" i="30" s="1"/>
  <c r="O220" i="30" a="1"/>
  <c r="O220" i="30" s="1"/>
  <c r="P220" i="30" a="1"/>
  <c r="P220" i="30" s="1"/>
  <c r="Q220" i="30" a="1"/>
  <c r="Q220" i="30" s="1"/>
  <c r="R220" i="30" a="1"/>
  <c r="R220" i="30" s="1"/>
  <c r="U220" i="30" a="1"/>
  <c r="U220" i="30" s="1"/>
  <c r="V220" i="30" a="1"/>
  <c r="V220" i="30" s="1"/>
  <c r="W220" i="30" a="1"/>
  <c r="W220" i="30" s="1"/>
  <c r="X220" i="30" a="1"/>
  <c r="X220" i="30" s="1"/>
  <c r="K221" i="30" a="1"/>
  <c r="K221" i="30" s="1"/>
  <c r="L221" i="30" a="1"/>
  <c r="L221" i="30" s="1"/>
  <c r="M221" i="30" a="1"/>
  <c r="M221" i="30" s="1"/>
  <c r="N221" i="30" a="1"/>
  <c r="N221" i="30" s="1"/>
  <c r="O221" i="30" a="1"/>
  <c r="O221" i="30" s="1"/>
  <c r="P221" i="30" a="1"/>
  <c r="P221" i="30" s="1"/>
  <c r="Q221" i="30" a="1"/>
  <c r="Q221" i="30" s="1"/>
  <c r="R221" i="30" a="1"/>
  <c r="R221" i="30" s="1"/>
  <c r="U221" i="30" a="1"/>
  <c r="U221" i="30" s="1"/>
  <c r="V221" i="30" a="1"/>
  <c r="V221" i="30" s="1"/>
  <c r="W221" i="30" a="1"/>
  <c r="W221" i="30" s="1"/>
  <c r="X221" i="30" a="1"/>
  <c r="X221" i="30" s="1"/>
  <c r="K222" i="30" a="1"/>
  <c r="K222" i="30" s="1"/>
  <c r="L222" i="30" a="1"/>
  <c r="L222" i="30" s="1"/>
  <c r="M222" i="30" a="1"/>
  <c r="M222" i="30" s="1"/>
  <c r="N222" i="30" a="1"/>
  <c r="N222" i="30" s="1"/>
  <c r="O222" i="30" a="1"/>
  <c r="O222" i="30" s="1"/>
  <c r="P222" i="30" a="1"/>
  <c r="P222" i="30" s="1"/>
  <c r="Q222" i="30" a="1"/>
  <c r="Q222" i="30" s="1"/>
  <c r="R222" i="30" a="1"/>
  <c r="R222" i="30" s="1"/>
  <c r="U222" i="30" a="1"/>
  <c r="U222" i="30" s="1"/>
  <c r="V222" i="30" a="1"/>
  <c r="V222" i="30" s="1"/>
  <c r="W222" i="30" a="1"/>
  <c r="W222" i="30" s="1"/>
  <c r="X222" i="30" a="1"/>
  <c r="X222" i="30" s="1"/>
  <c r="K223" i="30" a="1"/>
  <c r="K223" i="30" s="1"/>
  <c r="L223" i="30" a="1"/>
  <c r="L223" i="30" s="1"/>
  <c r="M223" i="30" a="1"/>
  <c r="M223" i="30" s="1"/>
  <c r="N223" i="30" a="1"/>
  <c r="N223" i="30" s="1"/>
  <c r="O223" i="30" a="1"/>
  <c r="O223" i="30" s="1"/>
  <c r="P223" i="30" a="1"/>
  <c r="P223" i="30" s="1"/>
  <c r="Q223" i="30" a="1"/>
  <c r="Q223" i="30" s="1"/>
  <c r="R223" i="30" a="1"/>
  <c r="R223" i="30" s="1"/>
  <c r="U223" i="30" a="1"/>
  <c r="U223" i="30" s="1"/>
  <c r="V223" i="30" a="1"/>
  <c r="V223" i="30" s="1"/>
  <c r="W223" i="30" a="1"/>
  <c r="W223" i="30" s="1"/>
  <c r="X223" i="30" a="1"/>
  <c r="X223" i="30" s="1"/>
  <c r="K224" i="30" a="1"/>
  <c r="K224" i="30" s="1"/>
  <c r="L224" i="30" a="1"/>
  <c r="L224" i="30" s="1"/>
  <c r="M224" i="30" a="1"/>
  <c r="M224" i="30" s="1"/>
  <c r="N224" i="30" a="1"/>
  <c r="N224" i="30" s="1"/>
  <c r="O224" i="30" a="1"/>
  <c r="O224" i="30" s="1"/>
  <c r="P224" i="30" a="1"/>
  <c r="P224" i="30" s="1"/>
  <c r="Q224" i="30" a="1"/>
  <c r="Q224" i="30" s="1"/>
  <c r="R224" i="30" a="1"/>
  <c r="R224" i="30" s="1"/>
  <c r="U224" i="30" a="1"/>
  <c r="U224" i="30" s="1"/>
  <c r="V224" i="30" a="1"/>
  <c r="V224" i="30" s="1"/>
  <c r="W224" i="30" a="1"/>
  <c r="W224" i="30" s="1"/>
  <c r="X224" i="30" a="1"/>
  <c r="X224" i="30" s="1"/>
  <c r="K225" i="30" a="1"/>
  <c r="K225" i="30" s="1"/>
  <c r="L225" i="30" a="1"/>
  <c r="L225" i="30" s="1"/>
  <c r="M225" i="30" a="1"/>
  <c r="M225" i="30" s="1"/>
  <c r="N225" i="30" a="1"/>
  <c r="N225" i="30" s="1"/>
  <c r="O225" i="30" a="1"/>
  <c r="O225" i="30" s="1"/>
  <c r="P225" i="30" a="1"/>
  <c r="P225" i="30" s="1"/>
  <c r="Q225" i="30" a="1"/>
  <c r="Q225" i="30" s="1"/>
  <c r="R225" i="30" a="1"/>
  <c r="R225" i="30" s="1"/>
  <c r="U225" i="30" a="1"/>
  <c r="U225" i="30" s="1"/>
  <c r="V225" i="30" a="1"/>
  <c r="V225" i="30" s="1"/>
  <c r="W225" i="30" a="1"/>
  <c r="W225" i="30" s="1"/>
  <c r="X225" i="30" a="1"/>
  <c r="X225" i="30" s="1"/>
  <c r="K226" i="30" a="1"/>
  <c r="K226" i="30" s="1"/>
  <c r="L226" i="30" a="1"/>
  <c r="L226" i="30" s="1"/>
  <c r="M226" i="30" a="1"/>
  <c r="M226" i="30" s="1"/>
  <c r="N226" i="30" a="1"/>
  <c r="N226" i="30" s="1"/>
  <c r="O226" i="30" a="1"/>
  <c r="O226" i="30" s="1"/>
  <c r="P226" i="30" a="1"/>
  <c r="P226" i="30" s="1"/>
  <c r="Q226" i="30" a="1"/>
  <c r="Q226" i="30" s="1"/>
  <c r="R226" i="30" a="1"/>
  <c r="R226" i="30" s="1"/>
  <c r="U226" i="30" a="1"/>
  <c r="U226" i="30" s="1"/>
  <c r="V226" i="30" a="1"/>
  <c r="V226" i="30" s="1"/>
  <c r="W226" i="30" a="1"/>
  <c r="W226" i="30" s="1"/>
  <c r="X226" i="30" a="1"/>
  <c r="X226" i="30" s="1"/>
  <c r="K227" i="30" a="1"/>
  <c r="K227" i="30" s="1"/>
  <c r="L227" i="30" a="1"/>
  <c r="L227" i="30" s="1"/>
  <c r="M227" i="30" a="1"/>
  <c r="M227" i="30" s="1"/>
  <c r="N227" i="30" a="1"/>
  <c r="N227" i="30" s="1"/>
  <c r="O227" i="30" a="1"/>
  <c r="O227" i="30" s="1"/>
  <c r="P227" i="30" a="1"/>
  <c r="P227" i="30" s="1"/>
  <c r="Q227" i="30" a="1"/>
  <c r="Q227" i="30" s="1"/>
  <c r="R227" i="30" a="1"/>
  <c r="R227" i="30" s="1"/>
  <c r="U227" i="30" a="1"/>
  <c r="U227" i="30" s="1"/>
  <c r="V227" i="30" a="1"/>
  <c r="V227" i="30" s="1"/>
  <c r="W227" i="30" a="1"/>
  <c r="W227" i="30" s="1"/>
  <c r="X227" i="30" a="1"/>
  <c r="X227" i="30" s="1"/>
  <c r="K228" i="30" a="1"/>
  <c r="K228" i="30" s="1"/>
  <c r="L228" i="30" a="1"/>
  <c r="L228" i="30" s="1"/>
  <c r="M228" i="30" a="1"/>
  <c r="M228" i="30" s="1"/>
  <c r="N228" i="30" a="1"/>
  <c r="N228" i="30" s="1"/>
  <c r="O228" i="30" a="1"/>
  <c r="O228" i="30" s="1"/>
  <c r="P228" i="30" a="1"/>
  <c r="P228" i="30" s="1"/>
  <c r="Q228" i="30" a="1"/>
  <c r="Q228" i="30" s="1"/>
  <c r="R228" i="30" a="1"/>
  <c r="R228" i="30" s="1"/>
  <c r="U228" i="30" a="1"/>
  <c r="U228" i="30" s="1"/>
  <c r="V228" i="30" a="1"/>
  <c r="V228" i="30" s="1"/>
  <c r="W228" i="30" a="1"/>
  <c r="W228" i="30" s="1"/>
  <c r="X228" i="30" a="1"/>
  <c r="X228" i="30" s="1"/>
  <c r="K229" i="30" a="1"/>
  <c r="K229" i="30" s="1"/>
  <c r="L229" i="30" a="1"/>
  <c r="L229" i="30" s="1"/>
  <c r="M229" i="30" a="1"/>
  <c r="M229" i="30" s="1"/>
  <c r="N229" i="30" a="1"/>
  <c r="N229" i="30" s="1"/>
  <c r="O229" i="30" a="1"/>
  <c r="O229" i="30" s="1"/>
  <c r="P229" i="30" a="1"/>
  <c r="P229" i="30" s="1"/>
  <c r="Q229" i="30" a="1"/>
  <c r="Q229" i="30" s="1"/>
  <c r="R229" i="30" a="1"/>
  <c r="R229" i="30" s="1"/>
  <c r="U229" i="30" a="1"/>
  <c r="U229" i="30" s="1"/>
  <c r="V229" i="30" a="1"/>
  <c r="V229" i="30" s="1"/>
  <c r="W229" i="30" a="1"/>
  <c r="W229" i="30" s="1"/>
  <c r="X229" i="30" a="1"/>
  <c r="X229" i="30" s="1"/>
  <c r="K230" i="30" a="1"/>
  <c r="K230" i="30" s="1"/>
  <c r="L230" i="30" a="1"/>
  <c r="L230" i="30" s="1"/>
  <c r="M230" i="30" a="1"/>
  <c r="M230" i="30" s="1"/>
  <c r="N230" i="30" a="1"/>
  <c r="N230" i="30" s="1"/>
  <c r="O230" i="30" a="1"/>
  <c r="O230" i="30" s="1"/>
  <c r="P230" i="30" a="1"/>
  <c r="P230" i="30" s="1"/>
  <c r="Q230" i="30" a="1"/>
  <c r="Q230" i="30" s="1"/>
  <c r="R230" i="30" a="1"/>
  <c r="R230" i="30" s="1"/>
  <c r="U230" i="30" a="1"/>
  <c r="U230" i="30" s="1"/>
  <c r="V230" i="30" a="1"/>
  <c r="V230" i="30" s="1"/>
  <c r="W230" i="30" a="1"/>
  <c r="W230" i="30" s="1"/>
  <c r="X230" i="30" a="1"/>
  <c r="X230" i="30" s="1"/>
  <c r="K231" i="30" a="1"/>
  <c r="K231" i="30" s="1"/>
  <c r="L231" i="30" a="1"/>
  <c r="L231" i="30" s="1"/>
  <c r="M231" i="30" a="1"/>
  <c r="M231" i="30" s="1"/>
  <c r="N231" i="30" a="1"/>
  <c r="N231" i="30" s="1"/>
  <c r="O231" i="30" a="1"/>
  <c r="O231" i="30" s="1"/>
  <c r="P231" i="30" a="1"/>
  <c r="P231" i="30" s="1"/>
  <c r="Q231" i="30" a="1"/>
  <c r="Q231" i="30" s="1"/>
  <c r="R231" i="30" a="1"/>
  <c r="R231" i="30" s="1"/>
  <c r="U231" i="30" a="1"/>
  <c r="U231" i="30" s="1"/>
  <c r="V231" i="30" a="1"/>
  <c r="V231" i="30" s="1"/>
  <c r="W231" i="30" a="1"/>
  <c r="W231" i="30" s="1"/>
  <c r="X231" i="30" a="1"/>
  <c r="X231" i="30" s="1"/>
  <c r="K232" i="30" a="1"/>
  <c r="K232" i="30" s="1"/>
  <c r="L232" i="30" a="1"/>
  <c r="L232" i="30" s="1"/>
  <c r="M232" i="30" a="1"/>
  <c r="M232" i="30" s="1"/>
  <c r="N232" i="30" a="1"/>
  <c r="N232" i="30" s="1"/>
  <c r="O232" i="30" a="1"/>
  <c r="O232" i="30" s="1"/>
  <c r="P232" i="30" a="1"/>
  <c r="P232" i="30" s="1"/>
  <c r="Q232" i="30" a="1"/>
  <c r="Q232" i="30" s="1"/>
  <c r="R232" i="30" a="1"/>
  <c r="R232" i="30" s="1"/>
  <c r="U232" i="30" a="1"/>
  <c r="U232" i="30" s="1"/>
  <c r="V232" i="30" a="1"/>
  <c r="V232" i="30" s="1"/>
  <c r="W232" i="30" a="1"/>
  <c r="W232" i="30" s="1"/>
  <c r="X232" i="30" a="1"/>
  <c r="X232" i="30" s="1"/>
  <c r="K233" i="30" a="1"/>
  <c r="K233" i="30" s="1"/>
  <c r="L233" i="30" a="1"/>
  <c r="L233" i="30" s="1"/>
  <c r="M233" i="30" a="1"/>
  <c r="M233" i="30" s="1"/>
  <c r="N233" i="30" a="1"/>
  <c r="N233" i="30" s="1"/>
  <c r="O233" i="30" a="1"/>
  <c r="O233" i="30" s="1"/>
  <c r="P233" i="30" a="1"/>
  <c r="P233" i="30" s="1"/>
  <c r="Q233" i="30" a="1"/>
  <c r="Q233" i="30" s="1"/>
  <c r="R233" i="30" a="1"/>
  <c r="R233" i="30" s="1"/>
  <c r="U233" i="30" a="1"/>
  <c r="U233" i="30" s="1"/>
  <c r="V233" i="30" a="1"/>
  <c r="V233" i="30" s="1"/>
  <c r="W233" i="30" a="1"/>
  <c r="W233" i="30" s="1"/>
  <c r="X233" i="30" a="1"/>
  <c r="X233" i="30" s="1"/>
  <c r="K234" i="30" a="1"/>
  <c r="K234" i="30" s="1"/>
  <c r="L234" i="30" a="1"/>
  <c r="L234" i="30" s="1"/>
  <c r="M234" i="30" a="1"/>
  <c r="M234" i="30" s="1"/>
  <c r="N234" i="30" a="1"/>
  <c r="N234" i="30" s="1"/>
  <c r="O234" i="30" a="1"/>
  <c r="O234" i="30" s="1"/>
  <c r="P234" i="30" a="1"/>
  <c r="P234" i="30" s="1"/>
  <c r="Q234" i="30" a="1"/>
  <c r="Q234" i="30" s="1"/>
  <c r="R234" i="30" a="1"/>
  <c r="R234" i="30" s="1"/>
  <c r="U234" i="30" a="1"/>
  <c r="U234" i="30" s="1"/>
  <c r="V234" i="30" a="1"/>
  <c r="V234" i="30" s="1"/>
  <c r="W234" i="30" a="1"/>
  <c r="W234" i="30" s="1"/>
  <c r="X234" i="30" a="1"/>
  <c r="X234" i="30" s="1"/>
  <c r="K235" i="30" a="1"/>
  <c r="K235" i="30" s="1"/>
  <c r="L235" i="30" a="1"/>
  <c r="L235" i="30" s="1"/>
  <c r="M235" i="30" a="1"/>
  <c r="M235" i="30" s="1"/>
  <c r="N235" i="30" a="1"/>
  <c r="N235" i="30" s="1"/>
  <c r="O235" i="30" a="1"/>
  <c r="O235" i="30" s="1"/>
  <c r="P235" i="30" a="1"/>
  <c r="P235" i="30" s="1"/>
  <c r="Q235" i="30" a="1"/>
  <c r="Q235" i="30" s="1"/>
  <c r="R235" i="30" a="1"/>
  <c r="R235" i="30" s="1"/>
  <c r="U235" i="30" a="1"/>
  <c r="U235" i="30" s="1"/>
  <c r="V235" i="30" a="1"/>
  <c r="V235" i="30" s="1"/>
  <c r="W235" i="30" a="1"/>
  <c r="W235" i="30" s="1"/>
  <c r="X235" i="30" a="1"/>
  <c r="X235" i="30" s="1"/>
  <c r="K236" i="30" a="1"/>
  <c r="K236" i="30" s="1"/>
  <c r="L236" i="30" a="1"/>
  <c r="L236" i="30" s="1"/>
  <c r="M236" i="30" a="1"/>
  <c r="M236" i="30" s="1"/>
  <c r="N236" i="30" a="1"/>
  <c r="N236" i="30" s="1"/>
  <c r="O236" i="30" a="1"/>
  <c r="O236" i="30" s="1"/>
  <c r="P236" i="30" a="1"/>
  <c r="P236" i="30" s="1"/>
  <c r="Q236" i="30" a="1"/>
  <c r="Q236" i="30" s="1"/>
  <c r="R236" i="30" a="1"/>
  <c r="R236" i="30" s="1"/>
  <c r="U236" i="30" a="1"/>
  <c r="U236" i="30" s="1"/>
  <c r="V236" i="30" a="1"/>
  <c r="V236" i="30" s="1"/>
  <c r="W236" i="30" a="1"/>
  <c r="W236" i="30" s="1"/>
  <c r="X236" i="30" a="1"/>
  <c r="X236" i="30" s="1"/>
  <c r="K237" i="30" a="1"/>
  <c r="K237" i="30" s="1"/>
  <c r="L237" i="30" a="1"/>
  <c r="L237" i="30" s="1"/>
  <c r="M237" i="30" a="1"/>
  <c r="M237" i="30" s="1"/>
  <c r="N237" i="30" a="1"/>
  <c r="N237" i="30" s="1"/>
  <c r="O237" i="30" a="1"/>
  <c r="O237" i="30" s="1"/>
  <c r="P237" i="30" a="1"/>
  <c r="P237" i="30" s="1"/>
  <c r="Q237" i="30" a="1"/>
  <c r="Q237" i="30" s="1"/>
  <c r="R237" i="30" a="1"/>
  <c r="R237" i="30" s="1"/>
  <c r="U237" i="30" a="1"/>
  <c r="U237" i="30" s="1"/>
  <c r="V237" i="30" a="1"/>
  <c r="V237" i="30" s="1"/>
  <c r="W237" i="30" a="1"/>
  <c r="W237" i="30" s="1"/>
  <c r="X237" i="30" a="1"/>
  <c r="X237" i="30" s="1"/>
  <c r="K238" i="30" a="1"/>
  <c r="K238" i="30" s="1"/>
  <c r="L238" i="30" a="1"/>
  <c r="L238" i="30" s="1"/>
  <c r="M238" i="30" a="1"/>
  <c r="M238" i="30" s="1"/>
  <c r="N238" i="30" a="1"/>
  <c r="N238" i="30" s="1"/>
  <c r="O238" i="30" a="1"/>
  <c r="O238" i="30" s="1"/>
  <c r="P238" i="30" a="1"/>
  <c r="P238" i="30" s="1"/>
  <c r="Q238" i="30" a="1"/>
  <c r="Q238" i="30" s="1"/>
  <c r="R238" i="30" a="1"/>
  <c r="R238" i="30" s="1"/>
  <c r="U238" i="30" a="1"/>
  <c r="U238" i="30" s="1"/>
  <c r="V238" i="30" a="1"/>
  <c r="V238" i="30" s="1"/>
  <c r="W238" i="30" a="1"/>
  <c r="W238" i="30" s="1"/>
  <c r="X238" i="30" a="1"/>
  <c r="X238" i="30" s="1"/>
  <c r="K239" i="30" a="1"/>
  <c r="K239" i="30" s="1"/>
  <c r="L239" i="30" a="1"/>
  <c r="L239" i="30" s="1"/>
  <c r="M239" i="30" a="1"/>
  <c r="M239" i="30" s="1"/>
  <c r="N239" i="30" a="1"/>
  <c r="N239" i="30" s="1"/>
  <c r="O239" i="30" a="1"/>
  <c r="O239" i="30" s="1"/>
  <c r="P239" i="30" a="1"/>
  <c r="P239" i="30" s="1"/>
  <c r="Q239" i="30" a="1"/>
  <c r="Q239" i="30" s="1"/>
  <c r="R239" i="30" a="1"/>
  <c r="R239" i="30" s="1"/>
  <c r="U239" i="30" a="1"/>
  <c r="U239" i="30" s="1"/>
  <c r="V239" i="30" a="1"/>
  <c r="V239" i="30" s="1"/>
  <c r="W239" i="30" a="1"/>
  <c r="W239" i="30" s="1"/>
  <c r="X239" i="30" a="1"/>
  <c r="X239" i="30" s="1"/>
  <c r="K240" i="30" a="1"/>
  <c r="K240" i="30" s="1"/>
  <c r="L240" i="30" a="1"/>
  <c r="L240" i="30" s="1"/>
  <c r="M240" i="30" a="1"/>
  <c r="M240" i="30" s="1"/>
  <c r="N240" i="30" a="1"/>
  <c r="N240" i="30" s="1"/>
  <c r="O240" i="30" a="1"/>
  <c r="O240" i="30" s="1"/>
  <c r="P240" i="30" a="1"/>
  <c r="P240" i="30" s="1"/>
  <c r="Q240" i="30" a="1"/>
  <c r="Q240" i="30" s="1"/>
  <c r="R240" i="30" a="1"/>
  <c r="R240" i="30" s="1"/>
  <c r="U240" i="30" a="1"/>
  <c r="U240" i="30" s="1"/>
  <c r="V240" i="30" a="1"/>
  <c r="V240" i="30" s="1"/>
  <c r="W240" i="30" a="1"/>
  <c r="W240" i="30" s="1"/>
  <c r="X240" i="30" a="1"/>
  <c r="X240" i="30" s="1"/>
  <c r="K241" i="30" a="1"/>
  <c r="K241" i="30" s="1"/>
  <c r="L241" i="30" a="1"/>
  <c r="L241" i="30" s="1"/>
  <c r="M241" i="30" a="1"/>
  <c r="M241" i="30" s="1"/>
  <c r="N241" i="30" a="1"/>
  <c r="N241" i="30" s="1"/>
  <c r="O241" i="30" a="1"/>
  <c r="O241" i="30" s="1"/>
  <c r="P241" i="30" a="1"/>
  <c r="P241" i="30" s="1"/>
  <c r="Q241" i="30" a="1"/>
  <c r="Q241" i="30" s="1"/>
  <c r="R241" i="30" a="1"/>
  <c r="R241" i="30" s="1"/>
  <c r="U241" i="30" a="1"/>
  <c r="U241" i="30" s="1"/>
  <c r="V241" i="30" a="1"/>
  <c r="V241" i="30" s="1"/>
  <c r="W241" i="30" a="1"/>
  <c r="W241" i="30" s="1"/>
  <c r="X241" i="30" a="1"/>
  <c r="X241" i="30" s="1"/>
  <c r="K242" i="30" a="1"/>
  <c r="K242" i="30" s="1"/>
  <c r="L242" i="30" a="1"/>
  <c r="L242" i="30" s="1"/>
  <c r="M242" i="30" a="1"/>
  <c r="M242" i="30" s="1"/>
  <c r="N242" i="30" a="1"/>
  <c r="N242" i="30" s="1"/>
  <c r="O242" i="30" a="1"/>
  <c r="O242" i="30" s="1"/>
  <c r="P242" i="30" a="1"/>
  <c r="P242" i="30" s="1"/>
  <c r="Q242" i="30" a="1"/>
  <c r="Q242" i="30" s="1"/>
  <c r="R242" i="30" a="1"/>
  <c r="R242" i="30" s="1"/>
  <c r="U242" i="30" a="1"/>
  <c r="U242" i="30" s="1"/>
  <c r="V242" i="30" a="1"/>
  <c r="V242" i="30" s="1"/>
  <c r="W242" i="30" a="1"/>
  <c r="W242" i="30" s="1"/>
  <c r="X242" i="30" a="1"/>
  <c r="X242" i="30" s="1"/>
  <c r="K243" i="30" a="1"/>
  <c r="K243" i="30" s="1"/>
  <c r="L243" i="30" a="1"/>
  <c r="L243" i="30" s="1"/>
  <c r="M243" i="30" a="1"/>
  <c r="M243" i="30" s="1"/>
  <c r="N243" i="30" a="1"/>
  <c r="N243" i="30" s="1"/>
  <c r="O243" i="30" a="1"/>
  <c r="O243" i="30" s="1"/>
  <c r="P243" i="30" a="1"/>
  <c r="P243" i="30" s="1"/>
  <c r="Q243" i="30" a="1"/>
  <c r="Q243" i="30" s="1"/>
  <c r="R243" i="30" a="1"/>
  <c r="R243" i="30" s="1"/>
  <c r="U243" i="30" a="1"/>
  <c r="U243" i="30" s="1"/>
  <c r="V243" i="30" a="1"/>
  <c r="V243" i="30" s="1"/>
  <c r="W243" i="30" a="1"/>
  <c r="W243" i="30" s="1"/>
  <c r="X243" i="30" a="1"/>
  <c r="X243" i="30" s="1"/>
  <c r="K3" i="16" a="1"/>
  <c r="K3" i="16" s="1"/>
  <c r="L3" i="16" a="1"/>
  <c r="L3" i="16" s="1"/>
  <c r="M3" i="16" a="1"/>
  <c r="M3" i="16" s="1"/>
  <c r="N3" i="16" a="1"/>
  <c r="N3" i="16" s="1"/>
  <c r="O3" i="16" a="1"/>
  <c r="O3" i="16" s="1"/>
  <c r="P3" i="16" a="1"/>
  <c r="P3" i="16" s="1"/>
  <c r="Q3" i="16" a="1"/>
  <c r="Q3" i="16" s="1"/>
  <c r="R3" i="16" a="1"/>
  <c r="R3" i="16" s="1"/>
  <c r="U3" i="16" a="1"/>
  <c r="U3" i="16" s="1"/>
  <c r="V3" i="16" a="1"/>
  <c r="V3" i="16" s="1"/>
  <c r="W3" i="16" a="1"/>
  <c r="W3" i="16" s="1"/>
  <c r="X3" i="16" a="1"/>
  <c r="X3" i="16" s="1"/>
  <c r="K4" i="16" a="1"/>
  <c r="K4" i="16" s="1"/>
  <c r="L4" i="16" a="1"/>
  <c r="L4" i="16" s="1"/>
  <c r="M4" i="16" a="1"/>
  <c r="M4" i="16" s="1"/>
  <c r="N4" i="16" a="1"/>
  <c r="N4" i="16" s="1"/>
  <c r="O4" i="16" a="1"/>
  <c r="O4" i="16" s="1"/>
  <c r="P4" i="16" a="1"/>
  <c r="P4" i="16" s="1"/>
  <c r="Q4" i="16" a="1"/>
  <c r="Q4" i="16" s="1"/>
  <c r="R4" i="16" a="1"/>
  <c r="R4" i="16" s="1"/>
  <c r="U4" i="16" a="1"/>
  <c r="U4" i="16" s="1"/>
  <c r="V4" i="16" a="1"/>
  <c r="V4" i="16" s="1"/>
  <c r="W4" i="16" a="1"/>
  <c r="W4" i="16" s="1"/>
  <c r="X4" i="16" a="1"/>
  <c r="X4" i="16" s="1"/>
  <c r="K5" i="16" a="1"/>
  <c r="K5" i="16" s="1"/>
  <c r="L5" i="16" a="1"/>
  <c r="L5" i="16" s="1"/>
  <c r="M5" i="16" a="1"/>
  <c r="M5" i="16" s="1"/>
  <c r="N5" i="16" a="1"/>
  <c r="N5" i="16" s="1"/>
  <c r="O5" i="16" a="1"/>
  <c r="O5" i="16" s="1"/>
  <c r="P5" i="16" a="1"/>
  <c r="P5" i="16" s="1"/>
  <c r="Q5" i="16" a="1"/>
  <c r="Q5" i="16" s="1"/>
  <c r="R5" i="16" a="1"/>
  <c r="R5" i="16" s="1"/>
  <c r="U5" i="16" a="1"/>
  <c r="U5" i="16" s="1"/>
  <c r="V5" i="16" a="1"/>
  <c r="V5" i="16" s="1"/>
  <c r="W5" i="16" a="1"/>
  <c r="W5" i="16" s="1"/>
  <c r="X5" i="16" a="1"/>
  <c r="X5" i="16" s="1"/>
  <c r="K6" i="16" a="1"/>
  <c r="K6" i="16" s="1"/>
  <c r="L6" i="16" a="1"/>
  <c r="L6" i="16" s="1"/>
  <c r="M6" i="16" a="1"/>
  <c r="M6" i="16" s="1"/>
  <c r="N6" i="16" a="1"/>
  <c r="N6" i="16" s="1"/>
  <c r="O6" i="16" a="1"/>
  <c r="O6" i="16" s="1"/>
  <c r="P6" i="16" a="1"/>
  <c r="P6" i="16" s="1"/>
  <c r="Q6" i="16" a="1"/>
  <c r="Q6" i="16" s="1"/>
  <c r="R6" i="16" a="1"/>
  <c r="R6" i="16" s="1"/>
  <c r="U6" i="16" a="1"/>
  <c r="U6" i="16" s="1"/>
  <c r="V6" i="16" a="1"/>
  <c r="V6" i="16" s="1"/>
  <c r="W6" i="16" a="1"/>
  <c r="W6" i="16" s="1"/>
  <c r="X6" i="16" a="1"/>
  <c r="X6" i="16" s="1"/>
  <c r="K7" i="16" a="1"/>
  <c r="K7" i="16" s="1"/>
  <c r="L7" i="16" a="1"/>
  <c r="L7" i="16" s="1"/>
  <c r="M7" i="16" a="1"/>
  <c r="M7" i="16" s="1"/>
  <c r="N7" i="16" a="1"/>
  <c r="N7" i="16" s="1"/>
  <c r="O7" i="16" a="1"/>
  <c r="O7" i="16" s="1"/>
  <c r="P7" i="16" a="1"/>
  <c r="P7" i="16" s="1"/>
  <c r="Q7" i="16" a="1"/>
  <c r="Q7" i="16" s="1"/>
  <c r="R7" i="16" a="1"/>
  <c r="R7" i="16" s="1"/>
  <c r="U7" i="16" a="1"/>
  <c r="U7" i="16" s="1"/>
  <c r="V7" i="16" a="1"/>
  <c r="V7" i="16" s="1"/>
  <c r="W7" i="16" a="1"/>
  <c r="W7" i="16" s="1"/>
  <c r="X7" i="16" a="1"/>
  <c r="X7" i="16" s="1"/>
  <c r="K8" i="16" a="1"/>
  <c r="K8" i="16" s="1"/>
  <c r="L8" i="16" a="1"/>
  <c r="L8" i="16" s="1"/>
  <c r="M8" i="16" a="1"/>
  <c r="M8" i="16" s="1"/>
  <c r="N8" i="16" a="1"/>
  <c r="N8" i="16" s="1"/>
  <c r="O8" i="16" a="1"/>
  <c r="O8" i="16" s="1"/>
  <c r="P8" i="16" a="1"/>
  <c r="P8" i="16" s="1"/>
  <c r="Q8" i="16" a="1"/>
  <c r="Q8" i="16" s="1"/>
  <c r="R8" i="16" a="1"/>
  <c r="R8" i="16" s="1"/>
  <c r="U8" i="16" a="1"/>
  <c r="U8" i="16" s="1"/>
  <c r="V8" i="16" a="1"/>
  <c r="V8" i="16" s="1"/>
  <c r="W8" i="16" a="1"/>
  <c r="W8" i="16" s="1"/>
  <c r="X8" i="16" a="1"/>
  <c r="X8" i="16" s="1"/>
  <c r="K9" i="16" a="1"/>
  <c r="K9" i="16" s="1"/>
  <c r="L9" i="16" a="1"/>
  <c r="L9" i="16" s="1"/>
  <c r="M9" i="16" a="1"/>
  <c r="M9" i="16" s="1"/>
  <c r="N9" i="16" a="1"/>
  <c r="N9" i="16" s="1"/>
  <c r="O9" i="16" a="1"/>
  <c r="O9" i="16" s="1"/>
  <c r="P9" i="16" a="1"/>
  <c r="P9" i="16" s="1"/>
  <c r="Q9" i="16" a="1"/>
  <c r="Q9" i="16" s="1"/>
  <c r="R9" i="16" a="1"/>
  <c r="R9" i="16" s="1"/>
  <c r="U9" i="16" a="1"/>
  <c r="U9" i="16" s="1"/>
  <c r="V9" i="16" a="1"/>
  <c r="V9" i="16" s="1"/>
  <c r="W9" i="16" a="1"/>
  <c r="W9" i="16" s="1"/>
  <c r="X9" i="16" a="1"/>
  <c r="X9" i="16" s="1"/>
  <c r="K10" i="16" a="1"/>
  <c r="K10" i="16" s="1"/>
  <c r="L10" i="16" a="1"/>
  <c r="L10" i="16" s="1"/>
  <c r="M10" i="16" a="1"/>
  <c r="M10" i="16" s="1"/>
  <c r="N10" i="16" a="1"/>
  <c r="N10" i="16" s="1"/>
  <c r="O10" i="16" a="1"/>
  <c r="O10" i="16" s="1"/>
  <c r="P10" i="16" a="1"/>
  <c r="P10" i="16" s="1"/>
  <c r="Q10" i="16" a="1"/>
  <c r="Q10" i="16" s="1"/>
  <c r="R10" i="16" a="1"/>
  <c r="R10" i="16" s="1"/>
  <c r="U10" i="16" a="1"/>
  <c r="U10" i="16" s="1"/>
  <c r="V10" i="16" a="1"/>
  <c r="V10" i="16" s="1"/>
  <c r="W10" i="16" a="1"/>
  <c r="W10" i="16" s="1"/>
  <c r="X10" i="16" a="1"/>
  <c r="X10" i="16" s="1"/>
  <c r="K11" i="16" a="1"/>
  <c r="K11" i="16" s="1"/>
  <c r="L11" i="16" a="1"/>
  <c r="L11" i="16" s="1"/>
  <c r="M11" i="16" a="1"/>
  <c r="M11" i="16" s="1"/>
  <c r="N11" i="16" a="1"/>
  <c r="N11" i="16" s="1"/>
  <c r="O11" i="16" a="1"/>
  <c r="O11" i="16" s="1"/>
  <c r="P11" i="16" a="1"/>
  <c r="P11" i="16" s="1"/>
  <c r="Q11" i="16" a="1"/>
  <c r="Q11" i="16" s="1"/>
  <c r="R11" i="16" a="1"/>
  <c r="R11" i="16" s="1"/>
  <c r="U11" i="16" a="1"/>
  <c r="U11" i="16" s="1"/>
  <c r="V11" i="16" a="1"/>
  <c r="V11" i="16" s="1"/>
  <c r="W11" i="16" a="1"/>
  <c r="W11" i="16" s="1"/>
  <c r="X11" i="16" a="1"/>
  <c r="X11" i="16" s="1"/>
  <c r="K12" i="16" a="1"/>
  <c r="K12" i="16" s="1"/>
  <c r="L12" i="16" a="1"/>
  <c r="L12" i="16" s="1"/>
  <c r="M12" i="16" a="1"/>
  <c r="M12" i="16" s="1"/>
  <c r="N12" i="16" a="1"/>
  <c r="N12" i="16" s="1"/>
  <c r="O12" i="16" a="1"/>
  <c r="O12" i="16" s="1"/>
  <c r="P12" i="16" a="1"/>
  <c r="P12" i="16" s="1"/>
  <c r="Q12" i="16" a="1"/>
  <c r="Q12" i="16" s="1"/>
  <c r="R12" i="16" a="1"/>
  <c r="R12" i="16" s="1"/>
  <c r="U12" i="16" a="1"/>
  <c r="U12" i="16" s="1"/>
  <c r="V12" i="16" a="1"/>
  <c r="V12" i="16" s="1"/>
  <c r="W12" i="16" a="1"/>
  <c r="W12" i="16" s="1"/>
  <c r="X12" i="16" a="1"/>
  <c r="X12" i="16" s="1"/>
  <c r="K13" i="16" a="1"/>
  <c r="K13" i="16" s="1"/>
  <c r="L13" i="16" a="1"/>
  <c r="L13" i="16" s="1"/>
  <c r="M13" i="16" a="1"/>
  <c r="M13" i="16" s="1"/>
  <c r="N13" i="16" a="1"/>
  <c r="N13" i="16" s="1"/>
  <c r="O13" i="16" a="1"/>
  <c r="O13" i="16" s="1"/>
  <c r="P13" i="16" a="1"/>
  <c r="P13" i="16" s="1"/>
  <c r="Q13" i="16" a="1"/>
  <c r="Q13" i="16" s="1"/>
  <c r="R13" i="16" a="1"/>
  <c r="R13" i="16" s="1"/>
  <c r="U13" i="16" a="1"/>
  <c r="U13" i="16" s="1"/>
  <c r="V13" i="16" a="1"/>
  <c r="V13" i="16" s="1"/>
  <c r="W13" i="16" a="1"/>
  <c r="W13" i="16" s="1"/>
  <c r="X13" i="16" a="1"/>
  <c r="X13" i="16" s="1"/>
  <c r="K14" i="16" a="1"/>
  <c r="K14" i="16" s="1"/>
  <c r="L14" i="16" a="1"/>
  <c r="L14" i="16" s="1"/>
  <c r="M14" i="16" a="1"/>
  <c r="M14" i="16" s="1"/>
  <c r="N14" i="16" a="1"/>
  <c r="N14" i="16" s="1"/>
  <c r="O14" i="16" a="1"/>
  <c r="O14" i="16" s="1"/>
  <c r="P14" i="16" a="1"/>
  <c r="P14" i="16" s="1"/>
  <c r="Q14" i="16" a="1"/>
  <c r="Q14" i="16" s="1"/>
  <c r="R14" i="16" a="1"/>
  <c r="R14" i="16" s="1"/>
  <c r="U14" i="16" a="1"/>
  <c r="U14" i="16" s="1"/>
  <c r="V14" i="16" a="1"/>
  <c r="V14" i="16" s="1"/>
  <c r="W14" i="16" a="1"/>
  <c r="W14" i="16" s="1"/>
  <c r="X14" i="16" a="1"/>
  <c r="X14" i="16" s="1"/>
  <c r="K15" i="16" a="1"/>
  <c r="K15" i="16" s="1"/>
  <c r="L15" i="16" a="1"/>
  <c r="L15" i="16" s="1"/>
  <c r="M15" i="16" a="1"/>
  <c r="M15" i="16" s="1"/>
  <c r="N15" i="16" a="1"/>
  <c r="N15" i="16" s="1"/>
  <c r="O15" i="16" a="1"/>
  <c r="O15" i="16" s="1"/>
  <c r="P15" i="16" a="1"/>
  <c r="P15" i="16" s="1"/>
  <c r="Q15" i="16" a="1"/>
  <c r="Q15" i="16" s="1"/>
  <c r="R15" i="16" a="1"/>
  <c r="R15" i="16" s="1"/>
  <c r="U15" i="16" a="1"/>
  <c r="U15" i="16" s="1"/>
  <c r="V15" i="16" a="1"/>
  <c r="V15" i="16" s="1"/>
  <c r="W15" i="16" a="1"/>
  <c r="W15" i="16" s="1"/>
  <c r="X15" i="16" a="1"/>
  <c r="X15" i="16" s="1"/>
  <c r="K16" i="16" a="1"/>
  <c r="K16" i="16" s="1"/>
  <c r="L16" i="16" a="1"/>
  <c r="L16" i="16" s="1"/>
  <c r="M16" i="16" a="1"/>
  <c r="M16" i="16" s="1"/>
  <c r="N16" i="16" a="1"/>
  <c r="N16" i="16" s="1"/>
  <c r="O16" i="16" a="1"/>
  <c r="O16" i="16" s="1"/>
  <c r="P16" i="16" a="1"/>
  <c r="P16" i="16" s="1"/>
  <c r="Q16" i="16" a="1"/>
  <c r="Q16" i="16" s="1"/>
  <c r="R16" i="16" a="1"/>
  <c r="R16" i="16" s="1"/>
  <c r="U16" i="16" a="1"/>
  <c r="U16" i="16" s="1"/>
  <c r="V16" i="16" a="1"/>
  <c r="V16" i="16" s="1"/>
  <c r="W16" i="16" a="1"/>
  <c r="W16" i="16" s="1"/>
  <c r="X16" i="16" a="1"/>
  <c r="X16" i="16" s="1"/>
  <c r="K17" i="16" a="1"/>
  <c r="K17" i="16" s="1"/>
  <c r="L17" i="16" a="1"/>
  <c r="L17" i="16" s="1"/>
  <c r="M17" i="16" a="1"/>
  <c r="M17" i="16" s="1"/>
  <c r="N17" i="16" a="1"/>
  <c r="N17" i="16" s="1"/>
  <c r="O17" i="16" a="1"/>
  <c r="O17" i="16" s="1"/>
  <c r="P17" i="16" a="1"/>
  <c r="P17" i="16" s="1"/>
  <c r="Q17" i="16" a="1"/>
  <c r="Q17" i="16" s="1"/>
  <c r="R17" i="16" a="1"/>
  <c r="R17" i="16" s="1"/>
  <c r="U17" i="16" a="1"/>
  <c r="U17" i="16" s="1"/>
  <c r="V17" i="16" a="1"/>
  <c r="V17" i="16" s="1"/>
  <c r="W17" i="16" a="1"/>
  <c r="W17" i="16" s="1"/>
  <c r="X17" i="16" a="1"/>
  <c r="X17" i="16" s="1"/>
  <c r="K18" i="16" a="1"/>
  <c r="K18" i="16" s="1"/>
  <c r="L18" i="16" a="1"/>
  <c r="L18" i="16" s="1"/>
  <c r="M18" i="16" a="1"/>
  <c r="M18" i="16" s="1"/>
  <c r="N18" i="16" a="1"/>
  <c r="N18" i="16" s="1"/>
  <c r="O18" i="16" a="1"/>
  <c r="O18" i="16" s="1"/>
  <c r="P18" i="16" a="1"/>
  <c r="P18" i="16" s="1"/>
  <c r="Q18" i="16" a="1"/>
  <c r="Q18" i="16" s="1"/>
  <c r="R18" i="16" a="1"/>
  <c r="R18" i="16" s="1"/>
  <c r="U18" i="16" a="1"/>
  <c r="U18" i="16" s="1"/>
  <c r="V18" i="16" a="1"/>
  <c r="V18" i="16" s="1"/>
  <c r="W18" i="16" a="1"/>
  <c r="W18" i="16" s="1"/>
  <c r="X18" i="16" a="1"/>
  <c r="X18" i="16" s="1"/>
  <c r="K19" i="16" a="1"/>
  <c r="K19" i="16" s="1"/>
  <c r="L19" i="16" a="1"/>
  <c r="L19" i="16" s="1"/>
  <c r="M19" i="16" a="1"/>
  <c r="M19" i="16" s="1"/>
  <c r="N19" i="16" a="1"/>
  <c r="N19" i="16" s="1"/>
  <c r="O19" i="16" a="1"/>
  <c r="O19" i="16" s="1"/>
  <c r="P19" i="16" a="1"/>
  <c r="P19" i="16" s="1"/>
  <c r="Q19" i="16" a="1"/>
  <c r="Q19" i="16" s="1"/>
  <c r="R19" i="16" a="1"/>
  <c r="R19" i="16" s="1"/>
  <c r="U19" i="16" a="1"/>
  <c r="U19" i="16" s="1"/>
  <c r="V19" i="16" a="1"/>
  <c r="V19" i="16" s="1"/>
  <c r="W19" i="16" a="1"/>
  <c r="W19" i="16" s="1"/>
  <c r="X19" i="16" a="1"/>
  <c r="X19" i="16" s="1"/>
  <c r="K20" i="16" a="1"/>
  <c r="K20" i="16" s="1"/>
  <c r="L20" i="16" a="1"/>
  <c r="L20" i="16" s="1"/>
  <c r="M20" i="16" a="1"/>
  <c r="M20" i="16" s="1"/>
  <c r="N20" i="16" a="1"/>
  <c r="N20" i="16" s="1"/>
  <c r="O20" i="16" a="1"/>
  <c r="O20" i="16" s="1"/>
  <c r="P20" i="16" a="1"/>
  <c r="P20" i="16" s="1"/>
  <c r="Q20" i="16" a="1"/>
  <c r="Q20" i="16" s="1"/>
  <c r="R20" i="16" a="1"/>
  <c r="R20" i="16" s="1"/>
  <c r="U20" i="16" a="1"/>
  <c r="U20" i="16" s="1"/>
  <c r="V20" i="16" a="1"/>
  <c r="V20" i="16" s="1"/>
  <c r="W20" i="16" a="1"/>
  <c r="W20" i="16" s="1"/>
  <c r="X20" i="16" a="1"/>
  <c r="X20" i="16" s="1"/>
  <c r="K21" i="16" a="1"/>
  <c r="K21" i="16" s="1"/>
  <c r="L21" i="16" a="1"/>
  <c r="L21" i="16" s="1"/>
  <c r="M21" i="16" a="1"/>
  <c r="M21" i="16" s="1"/>
  <c r="N21" i="16" a="1"/>
  <c r="N21" i="16" s="1"/>
  <c r="O21" i="16" a="1"/>
  <c r="O21" i="16" s="1"/>
  <c r="P21" i="16" a="1"/>
  <c r="P21" i="16" s="1"/>
  <c r="Q21" i="16" a="1"/>
  <c r="Q21" i="16" s="1"/>
  <c r="R21" i="16" a="1"/>
  <c r="R21" i="16" s="1"/>
  <c r="U21" i="16" a="1"/>
  <c r="U21" i="16" s="1"/>
  <c r="V21" i="16" a="1"/>
  <c r="V21" i="16" s="1"/>
  <c r="W21" i="16" a="1"/>
  <c r="W21" i="16" s="1"/>
  <c r="X21" i="16" a="1"/>
  <c r="X21" i="16" s="1"/>
  <c r="K22" i="16" a="1"/>
  <c r="K22" i="16" s="1"/>
  <c r="L22" i="16" a="1"/>
  <c r="L22" i="16" s="1"/>
  <c r="M22" i="16" a="1"/>
  <c r="M22" i="16" s="1"/>
  <c r="N22" i="16" a="1"/>
  <c r="N22" i="16" s="1"/>
  <c r="O22" i="16" a="1"/>
  <c r="O22" i="16" s="1"/>
  <c r="P22" i="16" a="1"/>
  <c r="P22" i="16" s="1"/>
  <c r="Q22" i="16" a="1"/>
  <c r="Q22" i="16" s="1"/>
  <c r="R22" i="16" a="1"/>
  <c r="R22" i="16" s="1"/>
  <c r="U22" i="16" a="1"/>
  <c r="U22" i="16" s="1"/>
  <c r="V22" i="16" a="1"/>
  <c r="V22" i="16" s="1"/>
  <c r="W22" i="16" a="1"/>
  <c r="W22" i="16" s="1"/>
  <c r="X22" i="16" a="1"/>
  <c r="X22" i="16" s="1"/>
  <c r="K23" i="16" a="1"/>
  <c r="K23" i="16" s="1"/>
  <c r="L23" i="16" a="1"/>
  <c r="L23" i="16" s="1"/>
  <c r="M23" i="16" a="1"/>
  <c r="M23" i="16" s="1"/>
  <c r="N23" i="16" a="1"/>
  <c r="N23" i="16" s="1"/>
  <c r="O23" i="16" a="1"/>
  <c r="O23" i="16" s="1"/>
  <c r="P23" i="16" a="1"/>
  <c r="P23" i="16" s="1"/>
  <c r="Q23" i="16" a="1"/>
  <c r="Q23" i="16" s="1"/>
  <c r="R23" i="16" a="1"/>
  <c r="R23" i="16" s="1"/>
  <c r="U23" i="16" a="1"/>
  <c r="U23" i="16" s="1"/>
  <c r="V23" i="16" a="1"/>
  <c r="V23" i="16" s="1"/>
  <c r="W23" i="16" a="1"/>
  <c r="W23" i="16" s="1"/>
  <c r="X23" i="16" a="1"/>
  <c r="X23" i="16" s="1"/>
  <c r="K24" i="16" a="1"/>
  <c r="K24" i="16" s="1"/>
  <c r="L24" i="16" a="1"/>
  <c r="L24" i="16" s="1"/>
  <c r="M24" i="16" a="1"/>
  <c r="M24" i="16" s="1"/>
  <c r="N24" i="16" a="1"/>
  <c r="N24" i="16" s="1"/>
  <c r="O24" i="16" a="1"/>
  <c r="O24" i="16" s="1"/>
  <c r="P24" i="16" a="1"/>
  <c r="P24" i="16" s="1"/>
  <c r="Q24" i="16" a="1"/>
  <c r="Q24" i="16" s="1"/>
  <c r="R24" i="16" a="1"/>
  <c r="R24" i="16" s="1"/>
  <c r="U24" i="16" a="1"/>
  <c r="U24" i="16" s="1"/>
  <c r="V24" i="16" a="1"/>
  <c r="V24" i="16" s="1"/>
  <c r="W24" i="16" a="1"/>
  <c r="W24" i="16" s="1"/>
  <c r="X24" i="16" a="1"/>
  <c r="X24" i="16" s="1"/>
  <c r="K25" i="16" a="1"/>
  <c r="K25" i="16" s="1"/>
  <c r="L25" i="16" a="1"/>
  <c r="L25" i="16" s="1"/>
  <c r="M25" i="16" a="1"/>
  <c r="M25" i="16" s="1"/>
  <c r="N25" i="16" a="1"/>
  <c r="N25" i="16" s="1"/>
  <c r="O25" i="16" a="1"/>
  <c r="O25" i="16" s="1"/>
  <c r="P25" i="16" a="1"/>
  <c r="P25" i="16" s="1"/>
  <c r="Q25" i="16" a="1"/>
  <c r="Q25" i="16" s="1"/>
  <c r="R25" i="16" a="1"/>
  <c r="R25" i="16" s="1"/>
  <c r="U25" i="16" a="1"/>
  <c r="U25" i="16" s="1"/>
  <c r="V25" i="16" a="1"/>
  <c r="V25" i="16" s="1"/>
  <c r="W25" i="16" a="1"/>
  <c r="W25" i="16" s="1"/>
  <c r="X25" i="16" a="1"/>
  <c r="X25" i="16" s="1"/>
  <c r="K26" i="16" a="1"/>
  <c r="K26" i="16" s="1"/>
  <c r="L26" i="16" a="1"/>
  <c r="L26" i="16" s="1"/>
  <c r="M26" i="16" a="1"/>
  <c r="M26" i="16" s="1"/>
  <c r="N26" i="16" a="1"/>
  <c r="N26" i="16" s="1"/>
  <c r="O26" i="16" a="1"/>
  <c r="O26" i="16" s="1"/>
  <c r="P26" i="16" a="1"/>
  <c r="P26" i="16" s="1"/>
  <c r="Q26" i="16" a="1"/>
  <c r="Q26" i="16" s="1"/>
  <c r="R26" i="16" a="1"/>
  <c r="R26" i="16" s="1"/>
  <c r="U26" i="16" a="1"/>
  <c r="U26" i="16" s="1"/>
  <c r="V26" i="16" a="1"/>
  <c r="V26" i="16" s="1"/>
  <c r="W26" i="16" a="1"/>
  <c r="W26" i="16" s="1"/>
  <c r="X26" i="16" a="1"/>
  <c r="X26" i="16" s="1"/>
  <c r="K27" i="16" a="1"/>
  <c r="K27" i="16" s="1"/>
  <c r="L27" i="16" a="1"/>
  <c r="L27" i="16" s="1"/>
  <c r="M27" i="16" a="1"/>
  <c r="M27" i="16" s="1"/>
  <c r="N27" i="16" a="1"/>
  <c r="N27" i="16" s="1"/>
  <c r="O27" i="16" a="1"/>
  <c r="O27" i="16" s="1"/>
  <c r="P27" i="16" a="1"/>
  <c r="P27" i="16" s="1"/>
  <c r="Q27" i="16" a="1"/>
  <c r="Q27" i="16" s="1"/>
  <c r="R27" i="16" a="1"/>
  <c r="R27" i="16" s="1"/>
  <c r="U27" i="16" a="1"/>
  <c r="U27" i="16" s="1"/>
  <c r="V27" i="16" a="1"/>
  <c r="V27" i="16" s="1"/>
  <c r="W27" i="16" a="1"/>
  <c r="W27" i="16" s="1"/>
  <c r="X27" i="16" a="1"/>
  <c r="X27" i="16" s="1"/>
  <c r="K28" i="16" a="1"/>
  <c r="K28" i="16" s="1"/>
  <c r="L28" i="16" a="1"/>
  <c r="L28" i="16" s="1"/>
  <c r="M28" i="16" a="1"/>
  <c r="M28" i="16" s="1"/>
  <c r="N28" i="16" a="1"/>
  <c r="N28" i="16" s="1"/>
  <c r="O28" i="16" a="1"/>
  <c r="O28" i="16" s="1"/>
  <c r="P28" i="16" a="1"/>
  <c r="P28" i="16" s="1"/>
  <c r="Q28" i="16" a="1"/>
  <c r="Q28" i="16" s="1"/>
  <c r="R28" i="16" a="1"/>
  <c r="R28" i="16" s="1"/>
  <c r="U28" i="16" a="1"/>
  <c r="U28" i="16" s="1"/>
  <c r="V28" i="16" a="1"/>
  <c r="V28" i="16" s="1"/>
  <c r="W28" i="16" a="1"/>
  <c r="W28" i="16" s="1"/>
  <c r="X28" i="16" a="1"/>
  <c r="X28" i="16" s="1"/>
  <c r="K29" i="16" a="1"/>
  <c r="K29" i="16" s="1"/>
  <c r="L29" i="16" a="1"/>
  <c r="L29" i="16" s="1"/>
  <c r="M29" i="16" a="1"/>
  <c r="M29" i="16" s="1"/>
  <c r="N29" i="16" a="1"/>
  <c r="N29" i="16" s="1"/>
  <c r="O29" i="16" a="1"/>
  <c r="O29" i="16" s="1"/>
  <c r="P29" i="16" a="1"/>
  <c r="P29" i="16" s="1"/>
  <c r="Q29" i="16" a="1"/>
  <c r="Q29" i="16" s="1"/>
  <c r="R29" i="16" a="1"/>
  <c r="R29" i="16" s="1"/>
  <c r="U29" i="16" a="1"/>
  <c r="U29" i="16" s="1"/>
  <c r="V29" i="16" a="1"/>
  <c r="V29" i="16" s="1"/>
  <c r="W29" i="16" a="1"/>
  <c r="W29" i="16" s="1"/>
  <c r="X29" i="16" a="1"/>
  <c r="X29" i="16" s="1"/>
  <c r="K30" i="16" a="1"/>
  <c r="K30" i="16" s="1"/>
  <c r="L30" i="16" a="1"/>
  <c r="L30" i="16" s="1"/>
  <c r="M30" i="16" a="1"/>
  <c r="M30" i="16" s="1"/>
  <c r="N30" i="16" a="1"/>
  <c r="N30" i="16" s="1"/>
  <c r="O30" i="16" a="1"/>
  <c r="O30" i="16" s="1"/>
  <c r="P30" i="16" a="1"/>
  <c r="P30" i="16" s="1"/>
  <c r="Q30" i="16" a="1"/>
  <c r="Q30" i="16" s="1"/>
  <c r="R30" i="16" a="1"/>
  <c r="R30" i="16" s="1"/>
  <c r="U30" i="16" a="1"/>
  <c r="U30" i="16" s="1"/>
  <c r="V30" i="16" a="1"/>
  <c r="V30" i="16" s="1"/>
  <c r="W30" i="16" a="1"/>
  <c r="W30" i="16" s="1"/>
  <c r="X30" i="16" a="1"/>
  <c r="X30" i="16" s="1"/>
  <c r="K31" i="16" a="1"/>
  <c r="K31" i="16" s="1"/>
  <c r="L31" i="16" a="1"/>
  <c r="L31" i="16" s="1"/>
  <c r="M31" i="16" a="1"/>
  <c r="M31" i="16" s="1"/>
  <c r="N31" i="16" a="1"/>
  <c r="N31" i="16" s="1"/>
  <c r="O31" i="16" a="1"/>
  <c r="O31" i="16" s="1"/>
  <c r="P31" i="16" a="1"/>
  <c r="P31" i="16" s="1"/>
  <c r="Q31" i="16" a="1"/>
  <c r="Q31" i="16" s="1"/>
  <c r="R31" i="16" a="1"/>
  <c r="R31" i="16" s="1"/>
  <c r="U31" i="16" a="1"/>
  <c r="U31" i="16" s="1"/>
  <c r="V31" i="16" a="1"/>
  <c r="V31" i="16" s="1"/>
  <c r="W31" i="16" a="1"/>
  <c r="W31" i="16" s="1"/>
  <c r="X31" i="16" a="1"/>
  <c r="X31" i="16" s="1"/>
  <c r="K32" i="16" a="1"/>
  <c r="K32" i="16" s="1"/>
  <c r="L32" i="16" a="1"/>
  <c r="L32" i="16" s="1"/>
  <c r="M32" i="16" a="1"/>
  <c r="M32" i="16" s="1"/>
  <c r="N32" i="16" a="1"/>
  <c r="N32" i="16" s="1"/>
  <c r="O32" i="16" a="1"/>
  <c r="O32" i="16" s="1"/>
  <c r="P32" i="16" a="1"/>
  <c r="P32" i="16" s="1"/>
  <c r="Q32" i="16" a="1"/>
  <c r="Q32" i="16" s="1"/>
  <c r="R32" i="16" a="1"/>
  <c r="R32" i="16" s="1"/>
  <c r="U32" i="16" a="1"/>
  <c r="U32" i="16" s="1"/>
  <c r="V32" i="16" a="1"/>
  <c r="V32" i="16" s="1"/>
  <c r="W32" i="16" a="1"/>
  <c r="W32" i="16" s="1"/>
  <c r="X32" i="16" a="1"/>
  <c r="X32" i="16" s="1"/>
  <c r="K33" i="16" a="1"/>
  <c r="K33" i="16" s="1"/>
  <c r="L33" i="16" a="1"/>
  <c r="L33" i="16" s="1"/>
  <c r="M33" i="16" a="1"/>
  <c r="M33" i="16" s="1"/>
  <c r="N33" i="16" a="1"/>
  <c r="N33" i="16" s="1"/>
  <c r="O33" i="16" a="1"/>
  <c r="O33" i="16" s="1"/>
  <c r="P33" i="16" a="1"/>
  <c r="P33" i="16" s="1"/>
  <c r="Q33" i="16" a="1"/>
  <c r="Q33" i="16" s="1"/>
  <c r="R33" i="16" a="1"/>
  <c r="R33" i="16" s="1"/>
  <c r="U33" i="16" a="1"/>
  <c r="U33" i="16" s="1"/>
  <c r="V33" i="16" a="1"/>
  <c r="V33" i="16" s="1"/>
  <c r="W33" i="16" a="1"/>
  <c r="W33" i="16" s="1"/>
  <c r="X33" i="16" a="1"/>
  <c r="X33" i="16" s="1"/>
  <c r="K34" i="16" a="1"/>
  <c r="K34" i="16" s="1"/>
  <c r="L34" i="16" a="1"/>
  <c r="L34" i="16" s="1"/>
  <c r="M34" i="16" a="1"/>
  <c r="M34" i="16" s="1"/>
  <c r="N34" i="16" a="1"/>
  <c r="N34" i="16" s="1"/>
  <c r="O34" i="16" a="1"/>
  <c r="O34" i="16" s="1"/>
  <c r="P34" i="16" a="1"/>
  <c r="P34" i="16" s="1"/>
  <c r="Q34" i="16" a="1"/>
  <c r="Q34" i="16" s="1"/>
  <c r="R34" i="16" a="1"/>
  <c r="R34" i="16" s="1"/>
  <c r="U34" i="16" a="1"/>
  <c r="U34" i="16" s="1"/>
  <c r="V34" i="16" a="1"/>
  <c r="V34" i="16" s="1"/>
  <c r="W34" i="16" a="1"/>
  <c r="W34" i="16" s="1"/>
  <c r="X34" i="16" a="1"/>
  <c r="X34" i="16" s="1"/>
  <c r="K35" i="16" a="1"/>
  <c r="K35" i="16" s="1"/>
  <c r="L35" i="16" a="1"/>
  <c r="L35" i="16" s="1"/>
  <c r="M35" i="16" a="1"/>
  <c r="M35" i="16" s="1"/>
  <c r="N35" i="16" a="1"/>
  <c r="N35" i="16" s="1"/>
  <c r="O35" i="16" a="1"/>
  <c r="O35" i="16" s="1"/>
  <c r="P35" i="16" a="1"/>
  <c r="P35" i="16" s="1"/>
  <c r="Q35" i="16" a="1"/>
  <c r="Q35" i="16" s="1"/>
  <c r="R35" i="16" a="1"/>
  <c r="R35" i="16" s="1"/>
  <c r="U35" i="16" a="1"/>
  <c r="U35" i="16" s="1"/>
  <c r="V35" i="16" a="1"/>
  <c r="V35" i="16" s="1"/>
  <c r="W35" i="16" a="1"/>
  <c r="W35" i="16" s="1"/>
  <c r="X35" i="16" a="1"/>
  <c r="X35" i="16" s="1"/>
  <c r="K36" i="16" a="1"/>
  <c r="K36" i="16" s="1"/>
  <c r="L36" i="16" a="1"/>
  <c r="L36" i="16" s="1"/>
  <c r="M36" i="16" a="1"/>
  <c r="M36" i="16" s="1"/>
  <c r="N36" i="16" a="1"/>
  <c r="N36" i="16" s="1"/>
  <c r="O36" i="16" a="1"/>
  <c r="O36" i="16" s="1"/>
  <c r="P36" i="16" a="1"/>
  <c r="P36" i="16" s="1"/>
  <c r="Q36" i="16" a="1"/>
  <c r="Q36" i="16" s="1"/>
  <c r="R36" i="16" a="1"/>
  <c r="R36" i="16" s="1"/>
  <c r="U36" i="16" a="1"/>
  <c r="U36" i="16" s="1"/>
  <c r="V36" i="16" a="1"/>
  <c r="V36" i="16" s="1"/>
  <c r="W36" i="16" a="1"/>
  <c r="W36" i="16" s="1"/>
  <c r="X36" i="16" a="1"/>
  <c r="X36" i="16" s="1"/>
  <c r="K37" i="16" a="1"/>
  <c r="K37" i="16" s="1"/>
  <c r="L37" i="16" a="1"/>
  <c r="L37" i="16" s="1"/>
  <c r="M37" i="16" a="1"/>
  <c r="M37" i="16" s="1"/>
  <c r="N37" i="16" a="1"/>
  <c r="N37" i="16" s="1"/>
  <c r="O37" i="16" a="1"/>
  <c r="O37" i="16" s="1"/>
  <c r="P37" i="16" a="1"/>
  <c r="P37" i="16" s="1"/>
  <c r="Q37" i="16" a="1"/>
  <c r="Q37" i="16" s="1"/>
  <c r="R37" i="16" a="1"/>
  <c r="R37" i="16" s="1"/>
  <c r="U37" i="16" a="1"/>
  <c r="U37" i="16" s="1"/>
  <c r="V37" i="16" a="1"/>
  <c r="V37" i="16" s="1"/>
  <c r="W37" i="16" a="1"/>
  <c r="W37" i="16" s="1"/>
  <c r="X37" i="16" a="1"/>
  <c r="X37" i="16" s="1"/>
  <c r="K38" i="16" a="1"/>
  <c r="K38" i="16" s="1"/>
  <c r="L38" i="16" a="1"/>
  <c r="L38" i="16" s="1"/>
  <c r="M38" i="16" a="1"/>
  <c r="M38" i="16" s="1"/>
  <c r="N38" i="16" a="1"/>
  <c r="N38" i="16" s="1"/>
  <c r="O38" i="16" a="1"/>
  <c r="O38" i="16" s="1"/>
  <c r="P38" i="16" a="1"/>
  <c r="P38" i="16" s="1"/>
  <c r="Q38" i="16" a="1"/>
  <c r="Q38" i="16" s="1"/>
  <c r="R38" i="16" a="1"/>
  <c r="R38" i="16" s="1"/>
  <c r="U38" i="16" a="1"/>
  <c r="U38" i="16" s="1"/>
  <c r="V38" i="16" a="1"/>
  <c r="V38" i="16" s="1"/>
  <c r="W38" i="16" a="1"/>
  <c r="W38" i="16" s="1"/>
  <c r="X38" i="16" a="1"/>
  <c r="X38" i="16" s="1"/>
  <c r="K39" i="16" a="1"/>
  <c r="K39" i="16" s="1"/>
  <c r="L39" i="16" a="1"/>
  <c r="L39" i="16" s="1"/>
  <c r="M39" i="16" a="1"/>
  <c r="M39" i="16" s="1"/>
  <c r="N39" i="16" a="1"/>
  <c r="N39" i="16" s="1"/>
  <c r="O39" i="16" a="1"/>
  <c r="O39" i="16" s="1"/>
  <c r="P39" i="16" a="1"/>
  <c r="P39" i="16" s="1"/>
  <c r="Q39" i="16" a="1"/>
  <c r="Q39" i="16" s="1"/>
  <c r="R39" i="16" a="1"/>
  <c r="R39" i="16" s="1"/>
  <c r="U39" i="16" a="1"/>
  <c r="U39" i="16" s="1"/>
  <c r="V39" i="16" a="1"/>
  <c r="V39" i="16" s="1"/>
  <c r="W39" i="16" a="1"/>
  <c r="W39" i="16" s="1"/>
  <c r="X39" i="16" a="1"/>
  <c r="X39" i="16" s="1"/>
  <c r="K40" i="16" a="1"/>
  <c r="K40" i="16" s="1"/>
  <c r="L40" i="16" a="1"/>
  <c r="L40" i="16" s="1"/>
  <c r="M40" i="16" a="1"/>
  <c r="M40" i="16" s="1"/>
  <c r="N40" i="16" a="1"/>
  <c r="N40" i="16" s="1"/>
  <c r="O40" i="16" a="1"/>
  <c r="O40" i="16" s="1"/>
  <c r="P40" i="16" a="1"/>
  <c r="P40" i="16" s="1"/>
  <c r="Q40" i="16" a="1"/>
  <c r="Q40" i="16" s="1"/>
  <c r="R40" i="16" a="1"/>
  <c r="R40" i="16" s="1"/>
  <c r="U40" i="16" a="1"/>
  <c r="U40" i="16" s="1"/>
  <c r="V40" i="16" a="1"/>
  <c r="V40" i="16" s="1"/>
  <c r="W40" i="16" a="1"/>
  <c r="W40" i="16" s="1"/>
  <c r="X40" i="16" a="1"/>
  <c r="X40" i="16" s="1"/>
  <c r="K41" i="16" a="1"/>
  <c r="K41" i="16" s="1"/>
  <c r="L41" i="16" a="1"/>
  <c r="L41" i="16" s="1"/>
  <c r="M41" i="16" a="1"/>
  <c r="M41" i="16" s="1"/>
  <c r="N41" i="16" a="1"/>
  <c r="N41" i="16" s="1"/>
  <c r="O41" i="16" a="1"/>
  <c r="O41" i="16" s="1"/>
  <c r="P41" i="16" a="1"/>
  <c r="P41" i="16" s="1"/>
  <c r="Q41" i="16" a="1"/>
  <c r="Q41" i="16" s="1"/>
  <c r="R41" i="16" a="1"/>
  <c r="R41" i="16" s="1"/>
  <c r="U41" i="16" a="1"/>
  <c r="U41" i="16" s="1"/>
  <c r="V41" i="16" a="1"/>
  <c r="V41" i="16" s="1"/>
  <c r="W41" i="16" a="1"/>
  <c r="W41" i="16" s="1"/>
  <c r="X41" i="16" a="1"/>
  <c r="X41" i="16" s="1"/>
  <c r="K42" i="16" a="1"/>
  <c r="K42" i="16" s="1"/>
  <c r="L42" i="16" a="1"/>
  <c r="L42" i="16" s="1"/>
  <c r="M42" i="16" a="1"/>
  <c r="M42" i="16" s="1"/>
  <c r="N42" i="16" a="1"/>
  <c r="N42" i="16" s="1"/>
  <c r="O42" i="16" a="1"/>
  <c r="O42" i="16" s="1"/>
  <c r="P42" i="16" a="1"/>
  <c r="P42" i="16" s="1"/>
  <c r="Q42" i="16" a="1"/>
  <c r="Q42" i="16" s="1"/>
  <c r="R42" i="16" a="1"/>
  <c r="R42" i="16" s="1"/>
  <c r="U42" i="16" a="1"/>
  <c r="U42" i="16" s="1"/>
  <c r="V42" i="16" a="1"/>
  <c r="V42" i="16" s="1"/>
  <c r="W42" i="16" a="1"/>
  <c r="W42" i="16" s="1"/>
  <c r="X42" i="16" a="1"/>
  <c r="X42" i="16" s="1"/>
  <c r="K43" i="16" a="1"/>
  <c r="K43" i="16" s="1"/>
  <c r="L43" i="16" a="1"/>
  <c r="L43" i="16" s="1"/>
  <c r="M43" i="16" a="1"/>
  <c r="M43" i="16" s="1"/>
  <c r="N43" i="16" a="1"/>
  <c r="N43" i="16" s="1"/>
  <c r="O43" i="16" a="1"/>
  <c r="O43" i="16" s="1"/>
  <c r="P43" i="16" a="1"/>
  <c r="P43" i="16" s="1"/>
  <c r="Q43" i="16" a="1"/>
  <c r="Q43" i="16" s="1"/>
  <c r="R43" i="16" a="1"/>
  <c r="R43" i="16" s="1"/>
  <c r="U43" i="16" a="1"/>
  <c r="U43" i="16" s="1"/>
  <c r="V43" i="16" a="1"/>
  <c r="V43" i="16" s="1"/>
  <c r="W43" i="16" a="1"/>
  <c r="W43" i="16" s="1"/>
  <c r="X43" i="16" a="1"/>
  <c r="X43" i="16" s="1"/>
  <c r="K44" i="16" a="1"/>
  <c r="K44" i="16" s="1"/>
  <c r="L44" i="16" a="1"/>
  <c r="L44" i="16" s="1"/>
  <c r="M44" i="16" a="1"/>
  <c r="M44" i="16" s="1"/>
  <c r="N44" i="16" a="1"/>
  <c r="N44" i="16" s="1"/>
  <c r="O44" i="16" a="1"/>
  <c r="O44" i="16" s="1"/>
  <c r="P44" i="16" a="1"/>
  <c r="P44" i="16" s="1"/>
  <c r="Q44" i="16" a="1"/>
  <c r="Q44" i="16" s="1"/>
  <c r="R44" i="16" a="1"/>
  <c r="R44" i="16" s="1"/>
  <c r="U44" i="16" a="1"/>
  <c r="U44" i="16" s="1"/>
  <c r="V44" i="16" a="1"/>
  <c r="V44" i="16" s="1"/>
  <c r="W44" i="16" a="1"/>
  <c r="W44" i="16" s="1"/>
  <c r="X44" i="16" a="1"/>
  <c r="X44" i="16" s="1"/>
  <c r="K45" i="16" a="1"/>
  <c r="K45" i="16" s="1"/>
  <c r="L45" i="16" a="1"/>
  <c r="L45" i="16" s="1"/>
  <c r="M45" i="16" a="1"/>
  <c r="M45" i="16" s="1"/>
  <c r="N45" i="16" a="1"/>
  <c r="N45" i="16" s="1"/>
  <c r="O45" i="16" a="1"/>
  <c r="O45" i="16" s="1"/>
  <c r="P45" i="16" a="1"/>
  <c r="P45" i="16" s="1"/>
  <c r="Q45" i="16" a="1"/>
  <c r="Q45" i="16" s="1"/>
  <c r="R45" i="16" a="1"/>
  <c r="R45" i="16" s="1"/>
  <c r="U45" i="16" a="1"/>
  <c r="U45" i="16" s="1"/>
  <c r="V45" i="16" a="1"/>
  <c r="V45" i="16" s="1"/>
  <c r="W45" i="16" a="1"/>
  <c r="W45" i="16" s="1"/>
  <c r="X45" i="16" a="1"/>
  <c r="X45" i="16" s="1"/>
  <c r="K46" i="16" a="1"/>
  <c r="K46" i="16" s="1"/>
  <c r="L46" i="16" a="1"/>
  <c r="L46" i="16" s="1"/>
  <c r="M46" i="16" a="1"/>
  <c r="M46" i="16" s="1"/>
  <c r="N46" i="16" a="1"/>
  <c r="N46" i="16" s="1"/>
  <c r="O46" i="16" a="1"/>
  <c r="O46" i="16" s="1"/>
  <c r="P46" i="16" a="1"/>
  <c r="P46" i="16" s="1"/>
  <c r="Q46" i="16" a="1"/>
  <c r="Q46" i="16" s="1"/>
  <c r="R46" i="16" a="1"/>
  <c r="R46" i="16" s="1"/>
  <c r="U46" i="16" a="1"/>
  <c r="U46" i="16" s="1"/>
  <c r="V46" i="16" a="1"/>
  <c r="V46" i="16" s="1"/>
  <c r="W46" i="16" a="1"/>
  <c r="W46" i="16" s="1"/>
  <c r="X46" i="16" a="1"/>
  <c r="X46" i="16" s="1"/>
  <c r="K47" i="16" a="1"/>
  <c r="K47" i="16" s="1"/>
  <c r="L47" i="16" a="1"/>
  <c r="L47" i="16" s="1"/>
  <c r="M47" i="16" a="1"/>
  <c r="M47" i="16" s="1"/>
  <c r="N47" i="16" a="1"/>
  <c r="N47" i="16" s="1"/>
  <c r="O47" i="16" a="1"/>
  <c r="O47" i="16" s="1"/>
  <c r="P47" i="16" a="1"/>
  <c r="P47" i="16" s="1"/>
  <c r="Q47" i="16" a="1"/>
  <c r="Q47" i="16" s="1"/>
  <c r="R47" i="16" a="1"/>
  <c r="R47" i="16" s="1"/>
  <c r="U47" i="16" a="1"/>
  <c r="U47" i="16" s="1"/>
  <c r="V47" i="16" a="1"/>
  <c r="V47" i="16" s="1"/>
  <c r="W47" i="16" a="1"/>
  <c r="W47" i="16" s="1"/>
  <c r="X47" i="16" a="1"/>
  <c r="X47" i="16" s="1"/>
  <c r="K48" i="16" a="1"/>
  <c r="K48" i="16" s="1"/>
  <c r="L48" i="16" a="1"/>
  <c r="L48" i="16" s="1"/>
  <c r="M48" i="16" a="1"/>
  <c r="M48" i="16" s="1"/>
  <c r="N48" i="16" a="1"/>
  <c r="N48" i="16" s="1"/>
  <c r="O48" i="16" a="1"/>
  <c r="O48" i="16" s="1"/>
  <c r="P48" i="16" a="1"/>
  <c r="P48" i="16" s="1"/>
  <c r="Q48" i="16" a="1"/>
  <c r="Q48" i="16" s="1"/>
  <c r="R48" i="16" a="1"/>
  <c r="R48" i="16" s="1"/>
  <c r="U48" i="16" a="1"/>
  <c r="U48" i="16" s="1"/>
  <c r="V48" i="16" a="1"/>
  <c r="V48" i="16" s="1"/>
  <c r="W48" i="16" a="1"/>
  <c r="W48" i="16" s="1"/>
  <c r="X48" i="16" a="1"/>
  <c r="X48" i="16" s="1"/>
  <c r="K49" i="16" a="1"/>
  <c r="K49" i="16" s="1"/>
  <c r="L49" i="16" a="1"/>
  <c r="L49" i="16" s="1"/>
  <c r="M49" i="16" a="1"/>
  <c r="M49" i="16" s="1"/>
  <c r="N49" i="16" a="1"/>
  <c r="N49" i="16" s="1"/>
  <c r="O49" i="16" a="1"/>
  <c r="O49" i="16" s="1"/>
  <c r="P49" i="16" a="1"/>
  <c r="P49" i="16" s="1"/>
  <c r="Q49" i="16" a="1"/>
  <c r="Q49" i="16" s="1"/>
  <c r="R49" i="16" a="1"/>
  <c r="R49" i="16" s="1"/>
  <c r="U49" i="16" a="1"/>
  <c r="U49" i="16" s="1"/>
  <c r="V49" i="16" a="1"/>
  <c r="V49" i="16" s="1"/>
  <c r="W49" i="16" a="1"/>
  <c r="W49" i="16" s="1"/>
  <c r="X49" i="16" a="1"/>
  <c r="X49" i="16" s="1"/>
  <c r="K50" i="16" a="1"/>
  <c r="K50" i="16" s="1"/>
  <c r="L50" i="16" a="1"/>
  <c r="L50" i="16" s="1"/>
  <c r="M50" i="16" a="1"/>
  <c r="M50" i="16" s="1"/>
  <c r="N50" i="16" a="1"/>
  <c r="N50" i="16" s="1"/>
  <c r="O50" i="16" a="1"/>
  <c r="O50" i="16" s="1"/>
  <c r="P50" i="16" a="1"/>
  <c r="P50" i="16" s="1"/>
  <c r="Q50" i="16" a="1"/>
  <c r="Q50" i="16" s="1"/>
  <c r="R50" i="16" a="1"/>
  <c r="R50" i="16" s="1"/>
  <c r="U50" i="16" a="1"/>
  <c r="U50" i="16" s="1"/>
  <c r="V50" i="16" a="1"/>
  <c r="V50" i="16" s="1"/>
  <c r="W50" i="16" a="1"/>
  <c r="W50" i="16" s="1"/>
  <c r="X50" i="16" a="1"/>
  <c r="X50" i="16" s="1"/>
  <c r="K51" i="16" a="1"/>
  <c r="K51" i="16" s="1"/>
  <c r="L51" i="16" a="1"/>
  <c r="L51" i="16" s="1"/>
  <c r="M51" i="16" a="1"/>
  <c r="M51" i="16" s="1"/>
  <c r="N51" i="16" a="1"/>
  <c r="N51" i="16" s="1"/>
  <c r="O51" i="16" a="1"/>
  <c r="O51" i="16" s="1"/>
  <c r="P51" i="16" a="1"/>
  <c r="P51" i="16" s="1"/>
  <c r="Q51" i="16" a="1"/>
  <c r="Q51" i="16" s="1"/>
  <c r="R51" i="16" a="1"/>
  <c r="R51" i="16" s="1"/>
  <c r="U51" i="16" a="1"/>
  <c r="U51" i="16" s="1"/>
  <c r="V51" i="16" a="1"/>
  <c r="V51" i="16" s="1"/>
  <c r="W51" i="16" a="1"/>
  <c r="W51" i="16" s="1"/>
  <c r="X51" i="16" a="1"/>
  <c r="X51" i="16" s="1"/>
  <c r="K52" i="16" a="1"/>
  <c r="K52" i="16" s="1"/>
  <c r="L52" i="16" a="1"/>
  <c r="L52" i="16" s="1"/>
  <c r="M52" i="16" a="1"/>
  <c r="M52" i="16" s="1"/>
  <c r="N52" i="16" a="1"/>
  <c r="N52" i="16" s="1"/>
  <c r="O52" i="16" a="1"/>
  <c r="O52" i="16" s="1"/>
  <c r="P52" i="16" a="1"/>
  <c r="P52" i="16" s="1"/>
  <c r="Q52" i="16" a="1"/>
  <c r="Q52" i="16" s="1"/>
  <c r="R52" i="16" a="1"/>
  <c r="R52" i="16" s="1"/>
  <c r="U52" i="16" a="1"/>
  <c r="U52" i="16" s="1"/>
  <c r="V52" i="16" a="1"/>
  <c r="V52" i="16" s="1"/>
  <c r="W52" i="16" a="1"/>
  <c r="W52" i="16" s="1"/>
  <c r="X52" i="16" a="1"/>
  <c r="X52" i="16" s="1"/>
  <c r="K53" i="16" a="1"/>
  <c r="K53" i="16" s="1"/>
  <c r="L53" i="16" a="1"/>
  <c r="L53" i="16" s="1"/>
  <c r="M53" i="16" a="1"/>
  <c r="M53" i="16" s="1"/>
  <c r="N53" i="16" a="1"/>
  <c r="N53" i="16" s="1"/>
  <c r="O53" i="16" a="1"/>
  <c r="O53" i="16" s="1"/>
  <c r="P53" i="16" a="1"/>
  <c r="P53" i="16" s="1"/>
  <c r="Q53" i="16" a="1"/>
  <c r="Q53" i="16" s="1"/>
  <c r="R53" i="16" a="1"/>
  <c r="R53" i="16" s="1"/>
  <c r="U53" i="16" a="1"/>
  <c r="U53" i="16" s="1"/>
  <c r="V53" i="16" a="1"/>
  <c r="V53" i="16" s="1"/>
  <c r="W53" i="16" a="1"/>
  <c r="W53" i="16" s="1"/>
  <c r="X53" i="16" a="1"/>
  <c r="X53" i="16" s="1"/>
  <c r="K54" i="16" a="1"/>
  <c r="K54" i="16" s="1"/>
  <c r="L54" i="16" a="1"/>
  <c r="L54" i="16" s="1"/>
  <c r="M54" i="16" a="1"/>
  <c r="M54" i="16" s="1"/>
  <c r="N54" i="16" a="1"/>
  <c r="N54" i="16" s="1"/>
  <c r="O54" i="16" a="1"/>
  <c r="O54" i="16" s="1"/>
  <c r="P54" i="16" a="1"/>
  <c r="P54" i="16" s="1"/>
  <c r="Q54" i="16" a="1"/>
  <c r="Q54" i="16" s="1"/>
  <c r="R54" i="16" a="1"/>
  <c r="R54" i="16" s="1"/>
  <c r="U54" i="16" a="1"/>
  <c r="U54" i="16" s="1"/>
  <c r="V54" i="16" a="1"/>
  <c r="V54" i="16" s="1"/>
  <c r="W54" i="16" a="1"/>
  <c r="W54" i="16" s="1"/>
  <c r="X54" i="16" a="1"/>
  <c r="X54" i="16" s="1"/>
  <c r="K55" i="16" a="1"/>
  <c r="K55" i="16" s="1"/>
  <c r="L55" i="16" a="1"/>
  <c r="L55" i="16" s="1"/>
  <c r="M55" i="16" a="1"/>
  <c r="M55" i="16" s="1"/>
  <c r="N55" i="16" a="1"/>
  <c r="N55" i="16" s="1"/>
  <c r="O55" i="16" a="1"/>
  <c r="O55" i="16" s="1"/>
  <c r="P55" i="16" a="1"/>
  <c r="P55" i="16" s="1"/>
  <c r="Q55" i="16" a="1"/>
  <c r="Q55" i="16" s="1"/>
  <c r="R55" i="16" a="1"/>
  <c r="R55" i="16" s="1"/>
  <c r="U55" i="16" a="1"/>
  <c r="U55" i="16" s="1"/>
  <c r="V55" i="16" a="1"/>
  <c r="V55" i="16" s="1"/>
  <c r="W55" i="16" a="1"/>
  <c r="W55" i="16" s="1"/>
  <c r="X55" i="16" a="1"/>
  <c r="X55" i="16" s="1"/>
  <c r="K56" i="16" a="1"/>
  <c r="K56" i="16" s="1"/>
  <c r="L56" i="16" a="1"/>
  <c r="L56" i="16" s="1"/>
  <c r="M56" i="16" a="1"/>
  <c r="M56" i="16" s="1"/>
  <c r="N56" i="16" a="1"/>
  <c r="N56" i="16" s="1"/>
  <c r="O56" i="16" a="1"/>
  <c r="O56" i="16" s="1"/>
  <c r="P56" i="16" a="1"/>
  <c r="P56" i="16" s="1"/>
  <c r="Q56" i="16" a="1"/>
  <c r="Q56" i="16" s="1"/>
  <c r="R56" i="16" a="1"/>
  <c r="R56" i="16" s="1"/>
  <c r="U56" i="16" a="1"/>
  <c r="U56" i="16" s="1"/>
  <c r="V56" i="16" a="1"/>
  <c r="V56" i="16" s="1"/>
  <c r="W56" i="16" a="1"/>
  <c r="W56" i="16" s="1"/>
  <c r="X56" i="16" a="1"/>
  <c r="X56" i="16" s="1"/>
  <c r="K57" i="16" a="1"/>
  <c r="K57" i="16" s="1"/>
  <c r="L57" i="16" a="1"/>
  <c r="L57" i="16" s="1"/>
  <c r="M57" i="16" a="1"/>
  <c r="M57" i="16" s="1"/>
  <c r="N57" i="16" a="1"/>
  <c r="N57" i="16" s="1"/>
  <c r="O57" i="16" a="1"/>
  <c r="O57" i="16" s="1"/>
  <c r="P57" i="16" a="1"/>
  <c r="P57" i="16" s="1"/>
  <c r="Q57" i="16" a="1"/>
  <c r="Q57" i="16" s="1"/>
  <c r="R57" i="16" a="1"/>
  <c r="R57" i="16" s="1"/>
  <c r="U57" i="16" a="1"/>
  <c r="U57" i="16" s="1"/>
  <c r="V57" i="16" a="1"/>
  <c r="V57" i="16" s="1"/>
  <c r="W57" i="16" a="1"/>
  <c r="W57" i="16" s="1"/>
  <c r="X57" i="16" a="1"/>
  <c r="X57" i="16" s="1"/>
  <c r="K58" i="16" a="1"/>
  <c r="K58" i="16" s="1"/>
  <c r="L58" i="16" a="1"/>
  <c r="L58" i="16" s="1"/>
  <c r="M58" i="16" a="1"/>
  <c r="M58" i="16" s="1"/>
  <c r="N58" i="16" a="1"/>
  <c r="N58" i="16" s="1"/>
  <c r="O58" i="16" a="1"/>
  <c r="O58" i="16" s="1"/>
  <c r="P58" i="16" a="1"/>
  <c r="P58" i="16" s="1"/>
  <c r="Q58" i="16" a="1"/>
  <c r="Q58" i="16" s="1"/>
  <c r="R58" i="16" a="1"/>
  <c r="R58" i="16" s="1"/>
  <c r="U58" i="16" a="1"/>
  <c r="U58" i="16" s="1"/>
  <c r="V58" i="16" a="1"/>
  <c r="V58" i="16" s="1"/>
  <c r="W58" i="16" a="1"/>
  <c r="W58" i="16" s="1"/>
  <c r="X58" i="16" a="1"/>
  <c r="X58" i="16" s="1"/>
  <c r="K59" i="16" a="1"/>
  <c r="K59" i="16" s="1"/>
  <c r="L59" i="16" a="1"/>
  <c r="L59" i="16" s="1"/>
  <c r="M59" i="16" a="1"/>
  <c r="M59" i="16" s="1"/>
  <c r="N59" i="16" a="1"/>
  <c r="N59" i="16" s="1"/>
  <c r="O59" i="16" a="1"/>
  <c r="O59" i="16" s="1"/>
  <c r="P59" i="16" a="1"/>
  <c r="P59" i="16" s="1"/>
  <c r="Q59" i="16" a="1"/>
  <c r="Q59" i="16" s="1"/>
  <c r="R59" i="16" a="1"/>
  <c r="R59" i="16" s="1"/>
  <c r="U59" i="16" a="1"/>
  <c r="U59" i="16" s="1"/>
  <c r="V59" i="16" a="1"/>
  <c r="V59" i="16" s="1"/>
  <c r="W59" i="16" a="1"/>
  <c r="W59" i="16" s="1"/>
  <c r="X59" i="16" a="1"/>
  <c r="X59" i="16" s="1"/>
  <c r="K60" i="16" a="1"/>
  <c r="K60" i="16" s="1"/>
  <c r="L60" i="16" a="1"/>
  <c r="L60" i="16" s="1"/>
  <c r="M60" i="16" a="1"/>
  <c r="M60" i="16" s="1"/>
  <c r="N60" i="16" a="1"/>
  <c r="N60" i="16" s="1"/>
  <c r="O60" i="16" a="1"/>
  <c r="O60" i="16" s="1"/>
  <c r="P60" i="16" a="1"/>
  <c r="P60" i="16" s="1"/>
  <c r="Q60" i="16" a="1"/>
  <c r="Q60" i="16" s="1"/>
  <c r="R60" i="16" a="1"/>
  <c r="R60" i="16" s="1"/>
  <c r="U60" i="16" a="1"/>
  <c r="U60" i="16" s="1"/>
  <c r="V60" i="16" a="1"/>
  <c r="V60" i="16" s="1"/>
  <c r="W60" i="16" a="1"/>
  <c r="W60" i="16" s="1"/>
  <c r="X60" i="16" a="1"/>
  <c r="X60" i="16" s="1"/>
  <c r="K61" i="16" a="1"/>
  <c r="K61" i="16" s="1"/>
  <c r="L61" i="16" a="1"/>
  <c r="L61" i="16" s="1"/>
  <c r="M61" i="16" a="1"/>
  <c r="M61" i="16" s="1"/>
  <c r="N61" i="16" a="1"/>
  <c r="N61" i="16" s="1"/>
  <c r="O61" i="16" a="1"/>
  <c r="O61" i="16" s="1"/>
  <c r="P61" i="16" a="1"/>
  <c r="P61" i="16" s="1"/>
  <c r="Q61" i="16" a="1"/>
  <c r="Q61" i="16" s="1"/>
  <c r="R61" i="16" a="1"/>
  <c r="R61" i="16" s="1"/>
  <c r="U61" i="16" a="1"/>
  <c r="U61" i="16" s="1"/>
  <c r="V61" i="16" a="1"/>
  <c r="V61" i="16" s="1"/>
  <c r="W61" i="16" a="1"/>
  <c r="W61" i="16" s="1"/>
  <c r="X61" i="16" a="1"/>
  <c r="X61" i="16" s="1"/>
  <c r="K62" i="16" a="1"/>
  <c r="K62" i="16" s="1"/>
  <c r="L62" i="16" a="1"/>
  <c r="L62" i="16" s="1"/>
  <c r="M62" i="16" a="1"/>
  <c r="M62" i="16" s="1"/>
  <c r="N62" i="16" a="1"/>
  <c r="N62" i="16" s="1"/>
  <c r="O62" i="16" a="1"/>
  <c r="O62" i="16" s="1"/>
  <c r="P62" i="16" a="1"/>
  <c r="P62" i="16" s="1"/>
  <c r="Q62" i="16" a="1"/>
  <c r="Q62" i="16" s="1"/>
  <c r="R62" i="16" a="1"/>
  <c r="R62" i="16" s="1"/>
  <c r="U62" i="16" a="1"/>
  <c r="U62" i="16" s="1"/>
  <c r="V62" i="16" a="1"/>
  <c r="V62" i="16" s="1"/>
  <c r="W62" i="16" a="1"/>
  <c r="W62" i="16" s="1"/>
  <c r="X62" i="16" a="1"/>
  <c r="X62" i="16" s="1"/>
  <c r="K63" i="16" a="1"/>
  <c r="K63" i="16" s="1"/>
  <c r="L63" i="16" a="1"/>
  <c r="L63" i="16" s="1"/>
  <c r="M63" i="16" a="1"/>
  <c r="M63" i="16" s="1"/>
  <c r="N63" i="16" a="1"/>
  <c r="N63" i="16" s="1"/>
  <c r="O63" i="16" a="1"/>
  <c r="O63" i="16" s="1"/>
  <c r="P63" i="16" a="1"/>
  <c r="P63" i="16" s="1"/>
  <c r="Q63" i="16" a="1"/>
  <c r="Q63" i="16" s="1"/>
  <c r="R63" i="16" a="1"/>
  <c r="R63" i="16" s="1"/>
  <c r="U63" i="16" a="1"/>
  <c r="U63" i="16" s="1"/>
  <c r="V63" i="16" a="1"/>
  <c r="V63" i="16" s="1"/>
  <c r="W63" i="16" a="1"/>
  <c r="W63" i="16" s="1"/>
  <c r="X63" i="16" a="1"/>
  <c r="X63" i="16" s="1"/>
  <c r="K64" i="16" a="1"/>
  <c r="K64" i="16" s="1"/>
  <c r="L64" i="16" a="1"/>
  <c r="L64" i="16" s="1"/>
  <c r="M64" i="16" a="1"/>
  <c r="M64" i="16" s="1"/>
  <c r="N64" i="16" a="1"/>
  <c r="N64" i="16" s="1"/>
  <c r="O64" i="16" a="1"/>
  <c r="O64" i="16" s="1"/>
  <c r="P64" i="16" a="1"/>
  <c r="P64" i="16" s="1"/>
  <c r="Q64" i="16" a="1"/>
  <c r="Q64" i="16" s="1"/>
  <c r="R64" i="16" a="1"/>
  <c r="R64" i="16" s="1"/>
  <c r="U64" i="16" a="1"/>
  <c r="U64" i="16" s="1"/>
  <c r="V64" i="16" a="1"/>
  <c r="V64" i="16" s="1"/>
  <c r="W64" i="16" a="1"/>
  <c r="W64" i="16" s="1"/>
  <c r="X64" i="16" a="1"/>
  <c r="X64" i="16" s="1"/>
  <c r="K65" i="16" a="1"/>
  <c r="K65" i="16" s="1"/>
  <c r="L65" i="16" a="1"/>
  <c r="L65" i="16" s="1"/>
  <c r="M65" i="16" a="1"/>
  <c r="M65" i="16" s="1"/>
  <c r="N65" i="16" a="1"/>
  <c r="N65" i="16" s="1"/>
  <c r="O65" i="16" a="1"/>
  <c r="O65" i="16" s="1"/>
  <c r="P65" i="16" a="1"/>
  <c r="P65" i="16" s="1"/>
  <c r="Q65" i="16" a="1"/>
  <c r="Q65" i="16" s="1"/>
  <c r="R65" i="16" a="1"/>
  <c r="R65" i="16" s="1"/>
  <c r="U65" i="16" a="1"/>
  <c r="U65" i="16" s="1"/>
  <c r="V65" i="16" a="1"/>
  <c r="V65" i="16" s="1"/>
  <c r="W65" i="16" a="1"/>
  <c r="W65" i="16" s="1"/>
  <c r="X65" i="16" a="1"/>
  <c r="X65" i="16" s="1"/>
  <c r="K66" i="16" a="1"/>
  <c r="K66" i="16" s="1"/>
  <c r="L66" i="16" a="1"/>
  <c r="L66" i="16" s="1"/>
  <c r="M66" i="16" a="1"/>
  <c r="M66" i="16" s="1"/>
  <c r="N66" i="16" a="1"/>
  <c r="N66" i="16" s="1"/>
  <c r="O66" i="16" a="1"/>
  <c r="O66" i="16" s="1"/>
  <c r="P66" i="16" a="1"/>
  <c r="P66" i="16" s="1"/>
  <c r="Q66" i="16" a="1"/>
  <c r="Q66" i="16" s="1"/>
  <c r="R66" i="16" a="1"/>
  <c r="R66" i="16" s="1"/>
  <c r="U66" i="16" a="1"/>
  <c r="U66" i="16" s="1"/>
  <c r="V66" i="16" a="1"/>
  <c r="V66" i="16" s="1"/>
  <c r="W66" i="16" a="1"/>
  <c r="W66" i="16" s="1"/>
  <c r="X66" i="16" a="1"/>
  <c r="X66" i="16" s="1"/>
  <c r="K67" i="16" a="1"/>
  <c r="K67" i="16" s="1"/>
  <c r="L67" i="16" a="1"/>
  <c r="L67" i="16" s="1"/>
  <c r="M67" i="16" a="1"/>
  <c r="M67" i="16" s="1"/>
  <c r="N67" i="16" a="1"/>
  <c r="N67" i="16" s="1"/>
  <c r="O67" i="16" a="1"/>
  <c r="O67" i="16" s="1"/>
  <c r="P67" i="16" a="1"/>
  <c r="P67" i="16" s="1"/>
  <c r="Q67" i="16" a="1"/>
  <c r="Q67" i="16" s="1"/>
  <c r="R67" i="16" a="1"/>
  <c r="R67" i="16" s="1"/>
  <c r="U67" i="16" a="1"/>
  <c r="U67" i="16" s="1"/>
  <c r="V67" i="16" a="1"/>
  <c r="V67" i="16" s="1"/>
  <c r="W67" i="16" a="1"/>
  <c r="W67" i="16" s="1"/>
  <c r="X67" i="16" a="1"/>
  <c r="X67" i="16" s="1"/>
  <c r="K68" i="16" a="1"/>
  <c r="K68" i="16" s="1"/>
  <c r="L68" i="16" a="1"/>
  <c r="L68" i="16" s="1"/>
  <c r="M68" i="16" a="1"/>
  <c r="M68" i="16" s="1"/>
  <c r="N68" i="16" a="1"/>
  <c r="N68" i="16" s="1"/>
  <c r="O68" i="16" a="1"/>
  <c r="O68" i="16" s="1"/>
  <c r="P68" i="16" a="1"/>
  <c r="P68" i="16" s="1"/>
  <c r="Q68" i="16" a="1"/>
  <c r="Q68" i="16" s="1"/>
  <c r="R68" i="16" a="1"/>
  <c r="R68" i="16" s="1"/>
  <c r="U68" i="16" a="1"/>
  <c r="U68" i="16" s="1"/>
  <c r="V68" i="16" a="1"/>
  <c r="V68" i="16" s="1"/>
  <c r="W68" i="16" a="1"/>
  <c r="W68" i="16" s="1"/>
  <c r="X68" i="16" a="1"/>
  <c r="X68" i="16" s="1"/>
  <c r="K69" i="16" a="1"/>
  <c r="K69" i="16" s="1"/>
  <c r="L69" i="16" a="1"/>
  <c r="L69" i="16" s="1"/>
  <c r="M69" i="16" a="1"/>
  <c r="M69" i="16" s="1"/>
  <c r="N69" i="16" a="1"/>
  <c r="N69" i="16" s="1"/>
  <c r="O69" i="16" a="1"/>
  <c r="O69" i="16" s="1"/>
  <c r="P69" i="16" a="1"/>
  <c r="P69" i="16" s="1"/>
  <c r="Q69" i="16" a="1"/>
  <c r="Q69" i="16" s="1"/>
  <c r="R69" i="16" a="1"/>
  <c r="R69" i="16" s="1"/>
  <c r="U69" i="16" a="1"/>
  <c r="U69" i="16" s="1"/>
  <c r="V69" i="16" a="1"/>
  <c r="V69" i="16" s="1"/>
  <c r="W69" i="16" a="1"/>
  <c r="W69" i="16" s="1"/>
  <c r="X69" i="16" a="1"/>
  <c r="X69" i="16" s="1"/>
  <c r="K70" i="16" a="1"/>
  <c r="K70" i="16" s="1"/>
  <c r="L70" i="16" a="1"/>
  <c r="L70" i="16" s="1"/>
  <c r="M70" i="16" a="1"/>
  <c r="M70" i="16" s="1"/>
  <c r="N70" i="16" a="1"/>
  <c r="N70" i="16" s="1"/>
  <c r="O70" i="16" a="1"/>
  <c r="O70" i="16" s="1"/>
  <c r="P70" i="16" a="1"/>
  <c r="P70" i="16" s="1"/>
  <c r="Q70" i="16" a="1"/>
  <c r="Q70" i="16" s="1"/>
  <c r="R70" i="16" a="1"/>
  <c r="R70" i="16" s="1"/>
  <c r="U70" i="16" a="1"/>
  <c r="U70" i="16" s="1"/>
  <c r="V70" i="16" a="1"/>
  <c r="V70" i="16" s="1"/>
  <c r="W70" i="16" a="1"/>
  <c r="W70" i="16" s="1"/>
  <c r="X70" i="16" a="1"/>
  <c r="X70" i="16" s="1"/>
  <c r="K71" i="16" a="1"/>
  <c r="K71" i="16" s="1"/>
  <c r="L71" i="16" a="1"/>
  <c r="L71" i="16" s="1"/>
  <c r="M71" i="16" a="1"/>
  <c r="M71" i="16" s="1"/>
  <c r="N71" i="16" a="1"/>
  <c r="N71" i="16" s="1"/>
  <c r="O71" i="16" a="1"/>
  <c r="O71" i="16" s="1"/>
  <c r="P71" i="16" a="1"/>
  <c r="P71" i="16" s="1"/>
  <c r="Q71" i="16" a="1"/>
  <c r="Q71" i="16" s="1"/>
  <c r="R71" i="16" a="1"/>
  <c r="R71" i="16" s="1"/>
  <c r="U71" i="16" a="1"/>
  <c r="U71" i="16" s="1"/>
  <c r="V71" i="16" a="1"/>
  <c r="V71" i="16" s="1"/>
  <c r="W71" i="16" a="1"/>
  <c r="W71" i="16" s="1"/>
  <c r="X71" i="16" a="1"/>
  <c r="X71" i="16" s="1"/>
  <c r="K72" i="16" a="1"/>
  <c r="K72" i="16" s="1"/>
  <c r="L72" i="16" a="1"/>
  <c r="L72" i="16" s="1"/>
  <c r="M72" i="16" a="1"/>
  <c r="M72" i="16" s="1"/>
  <c r="N72" i="16" a="1"/>
  <c r="N72" i="16" s="1"/>
  <c r="O72" i="16" a="1"/>
  <c r="O72" i="16" s="1"/>
  <c r="P72" i="16" a="1"/>
  <c r="P72" i="16" s="1"/>
  <c r="Q72" i="16" a="1"/>
  <c r="Q72" i="16" s="1"/>
  <c r="R72" i="16" a="1"/>
  <c r="R72" i="16" s="1"/>
  <c r="U72" i="16" a="1"/>
  <c r="U72" i="16" s="1"/>
  <c r="V72" i="16" a="1"/>
  <c r="V72" i="16" s="1"/>
  <c r="W72" i="16" a="1"/>
  <c r="W72" i="16" s="1"/>
  <c r="X72" i="16" a="1"/>
  <c r="X72" i="16" s="1"/>
  <c r="K73" i="16" a="1"/>
  <c r="K73" i="16" s="1"/>
  <c r="L73" i="16" a="1"/>
  <c r="L73" i="16" s="1"/>
  <c r="M73" i="16" a="1"/>
  <c r="M73" i="16" s="1"/>
  <c r="N73" i="16" a="1"/>
  <c r="N73" i="16" s="1"/>
  <c r="O73" i="16" a="1"/>
  <c r="O73" i="16" s="1"/>
  <c r="P73" i="16" a="1"/>
  <c r="P73" i="16" s="1"/>
  <c r="Q73" i="16" a="1"/>
  <c r="Q73" i="16" s="1"/>
  <c r="R73" i="16" a="1"/>
  <c r="R73" i="16" s="1"/>
  <c r="U73" i="16" a="1"/>
  <c r="U73" i="16" s="1"/>
  <c r="V73" i="16" a="1"/>
  <c r="V73" i="16" s="1"/>
  <c r="W73" i="16" a="1"/>
  <c r="W73" i="16" s="1"/>
  <c r="X73" i="16" a="1"/>
  <c r="X73" i="16" s="1"/>
  <c r="K74" i="16" a="1"/>
  <c r="K74" i="16" s="1"/>
  <c r="L74" i="16" a="1"/>
  <c r="L74" i="16" s="1"/>
  <c r="M74" i="16" a="1"/>
  <c r="M74" i="16" s="1"/>
  <c r="N74" i="16" a="1"/>
  <c r="N74" i="16" s="1"/>
  <c r="O74" i="16" a="1"/>
  <c r="O74" i="16" s="1"/>
  <c r="P74" i="16" a="1"/>
  <c r="P74" i="16" s="1"/>
  <c r="Q74" i="16" a="1"/>
  <c r="Q74" i="16" s="1"/>
  <c r="R74" i="16" a="1"/>
  <c r="R74" i="16" s="1"/>
  <c r="U74" i="16" a="1"/>
  <c r="U74" i="16" s="1"/>
  <c r="V74" i="16" a="1"/>
  <c r="V74" i="16" s="1"/>
  <c r="W74" i="16" a="1"/>
  <c r="W74" i="16" s="1"/>
  <c r="X74" i="16" a="1"/>
  <c r="X74" i="16" s="1"/>
  <c r="K75" i="16" a="1"/>
  <c r="K75" i="16" s="1"/>
  <c r="L75" i="16" a="1"/>
  <c r="L75" i="16" s="1"/>
  <c r="M75" i="16" a="1"/>
  <c r="M75" i="16" s="1"/>
  <c r="N75" i="16" a="1"/>
  <c r="N75" i="16" s="1"/>
  <c r="O75" i="16" a="1"/>
  <c r="O75" i="16" s="1"/>
  <c r="P75" i="16" a="1"/>
  <c r="P75" i="16" s="1"/>
  <c r="Q75" i="16" a="1"/>
  <c r="Q75" i="16" s="1"/>
  <c r="R75" i="16" a="1"/>
  <c r="R75" i="16" s="1"/>
  <c r="U75" i="16" a="1"/>
  <c r="U75" i="16" s="1"/>
  <c r="V75" i="16" a="1"/>
  <c r="V75" i="16" s="1"/>
  <c r="W75" i="16" a="1"/>
  <c r="W75" i="16" s="1"/>
  <c r="X75" i="16" a="1"/>
  <c r="X75" i="16" s="1"/>
  <c r="K76" i="16" a="1"/>
  <c r="K76" i="16" s="1"/>
  <c r="L76" i="16" a="1"/>
  <c r="L76" i="16" s="1"/>
  <c r="M76" i="16" a="1"/>
  <c r="M76" i="16" s="1"/>
  <c r="N76" i="16" a="1"/>
  <c r="N76" i="16" s="1"/>
  <c r="O76" i="16" a="1"/>
  <c r="O76" i="16" s="1"/>
  <c r="P76" i="16" a="1"/>
  <c r="P76" i="16" s="1"/>
  <c r="Q76" i="16" a="1"/>
  <c r="Q76" i="16" s="1"/>
  <c r="R76" i="16" a="1"/>
  <c r="R76" i="16" s="1"/>
  <c r="U76" i="16" a="1"/>
  <c r="U76" i="16" s="1"/>
  <c r="V76" i="16" a="1"/>
  <c r="V76" i="16" s="1"/>
  <c r="W76" i="16" a="1"/>
  <c r="W76" i="16" s="1"/>
  <c r="X76" i="16" a="1"/>
  <c r="X76" i="16" s="1"/>
  <c r="K77" i="16" a="1"/>
  <c r="K77" i="16" s="1"/>
  <c r="L77" i="16" a="1"/>
  <c r="L77" i="16" s="1"/>
  <c r="M77" i="16" a="1"/>
  <c r="M77" i="16" s="1"/>
  <c r="N77" i="16" a="1"/>
  <c r="N77" i="16" s="1"/>
  <c r="O77" i="16" a="1"/>
  <c r="O77" i="16" s="1"/>
  <c r="P77" i="16" a="1"/>
  <c r="P77" i="16" s="1"/>
  <c r="Q77" i="16" a="1"/>
  <c r="Q77" i="16" s="1"/>
  <c r="R77" i="16" a="1"/>
  <c r="R77" i="16" s="1"/>
  <c r="U77" i="16" a="1"/>
  <c r="U77" i="16" s="1"/>
  <c r="V77" i="16" a="1"/>
  <c r="V77" i="16" s="1"/>
  <c r="W77" i="16" a="1"/>
  <c r="W77" i="16" s="1"/>
  <c r="X77" i="16" a="1"/>
  <c r="X77" i="16" s="1"/>
  <c r="K78" i="16" a="1"/>
  <c r="K78" i="16" s="1"/>
  <c r="L78" i="16" a="1"/>
  <c r="L78" i="16" s="1"/>
  <c r="M78" i="16" a="1"/>
  <c r="M78" i="16" s="1"/>
  <c r="N78" i="16" a="1"/>
  <c r="N78" i="16" s="1"/>
  <c r="O78" i="16" a="1"/>
  <c r="O78" i="16" s="1"/>
  <c r="P78" i="16" a="1"/>
  <c r="P78" i="16" s="1"/>
  <c r="Q78" i="16" a="1"/>
  <c r="Q78" i="16" s="1"/>
  <c r="R78" i="16" a="1"/>
  <c r="R78" i="16" s="1"/>
  <c r="U78" i="16" a="1"/>
  <c r="U78" i="16" s="1"/>
  <c r="V78" i="16" a="1"/>
  <c r="V78" i="16" s="1"/>
  <c r="W78" i="16" a="1"/>
  <c r="W78" i="16" s="1"/>
  <c r="X78" i="16" a="1"/>
  <c r="X78" i="16" s="1"/>
  <c r="K79" i="16" a="1"/>
  <c r="K79" i="16" s="1"/>
  <c r="L79" i="16" a="1"/>
  <c r="L79" i="16" s="1"/>
  <c r="M79" i="16" a="1"/>
  <c r="M79" i="16" s="1"/>
  <c r="N79" i="16" a="1"/>
  <c r="N79" i="16" s="1"/>
  <c r="O79" i="16" a="1"/>
  <c r="O79" i="16" s="1"/>
  <c r="P79" i="16" a="1"/>
  <c r="P79" i="16" s="1"/>
  <c r="Q79" i="16" a="1"/>
  <c r="Q79" i="16" s="1"/>
  <c r="R79" i="16" a="1"/>
  <c r="R79" i="16" s="1"/>
  <c r="U79" i="16" a="1"/>
  <c r="U79" i="16" s="1"/>
  <c r="V79" i="16" a="1"/>
  <c r="V79" i="16" s="1"/>
  <c r="W79" i="16" a="1"/>
  <c r="W79" i="16" s="1"/>
  <c r="X79" i="16" a="1"/>
  <c r="X79" i="16" s="1"/>
  <c r="K80" i="16" a="1"/>
  <c r="K80" i="16" s="1"/>
  <c r="L80" i="16" a="1"/>
  <c r="L80" i="16" s="1"/>
  <c r="M80" i="16" a="1"/>
  <c r="M80" i="16" s="1"/>
  <c r="N80" i="16" a="1"/>
  <c r="N80" i="16" s="1"/>
  <c r="O80" i="16" a="1"/>
  <c r="O80" i="16" s="1"/>
  <c r="P80" i="16" a="1"/>
  <c r="P80" i="16" s="1"/>
  <c r="Q80" i="16" a="1"/>
  <c r="Q80" i="16" s="1"/>
  <c r="R80" i="16" a="1"/>
  <c r="R80" i="16" s="1"/>
  <c r="U80" i="16" a="1"/>
  <c r="U80" i="16" s="1"/>
  <c r="V80" i="16" a="1"/>
  <c r="V80" i="16" s="1"/>
  <c r="W80" i="16" a="1"/>
  <c r="W80" i="16" s="1"/>
  <c r="X80" i="16" a="1"/>
  <c r="X80" i="16" s="1"/>
  <c r="K81" i="16" a="1"/>
  <c r="K81" i="16" s="1"/>
  <c r="L81" i="16" a="1"/>
  <c r="L81" i="16" s="1"/>
  <c r="M81" i="16" a="1"/>
  <c r="M81" i="16" s="1"/>
  <c r="N81" i="16" a="1"/>
  <c r="N81" i="16" s="1"/>
  <c r="O81" i="16" a="1"/>
  <c r="O81" i="16" s="1"/>
  <c r="P81" i="16" a="1"/>
  <c r="P81" i="16" s="1"/>
  <c r="Q81" i="16" a="1"/>
  <c r="Q81" i="16" s="1"/>
  <c r="R81" i="16" a="1"/>
  <c r="R81" i="16" s="1"/>
  <c r="U81" i="16" a="1"/>
  <c r="U81" i="16" s="1"/>
  <c r="V81" i="16" a="1"/>
  <c r="V81" i="16" s="1"/>
  <c r="W81" i="16" a="1"/>
  <c r="W81" i="16" s="1"/>
  <c r="X81" i="16" a="1"/>
  <c r="X81" i="16" s="1"/>
  <c r="K82" i="16" a="1"/>
  <c r="K82" i="16" s="1"/>
  <c r="L82" i="16" a="1"/>
  <c r="L82" i="16" s="1"/>
  <c r="M82" i="16" a="1"/>
  <c r="M82" i="16" s="1"/>
  <c r="N82" i="16" a="1"/>
  <c r="N82" i="16" s="1"/>
  <c r="O82" i="16" a="1"/>
  <c r="O82" i="16" s="1"/>
  <c r="P82" i="16" a="1"/>
  <c r="P82" i="16" s="1"/>
  <c r="Q82" i="16" a="1"/>
  <c r="Q82" i="16" s="1"/>
  <c r="R82" i="16" a="1"/>
  <c r="R82" i="16" s="1"/>
  <c r="U82" i="16" a="1"/>
  <c r="U82" i="16" s="1"/>
  <c r="V82" i="16" a="1"/>
  <c r="V82" i="16" s="1"/>
  <c r="W82" i="16" a="1"/>
  <c r="W82" i="16" s="1"/>
  <c r="X82" i="16" a="1"/>
  <c r="X82" i="16" s="1"/>
  <c r="K83" i="16" a="1"/>
  <c r="K83" i="16" s="1"/>
  <c r="L83" i="16" a="1"/>
  <c r="L83" i="16" s="1"/>
  <c r="M83" i="16" a="1"/>
  <c r="M83" i="16" s="1"/>
  <c r="N83" i="16" a="1"/>
  <c r="N83" i="16" s="1"/>
  <c r="O83" i="16" a="1"/>
  <c r="O83" i="16" s="1"/>
  <c r="P83" i="16" a="1"/>
  <c r="P83" i="16" s="1"/>
  <c r="Q83" i="16" a="1"/>
  <c r="Q83" i="16" s="1"/>
  <c r="R83" i="16" a="1"/>
  <c r="R83" i="16" s="1"/>
  <c r="U83" i="16" a="1"/>
  <c r="U83" i="16" s="1"/>
  <c r="V83" i="16" a="1"/>
  <c r="V83" i="16" s="1"/>
  <c r="W83" i="16" a="1"/>
  <c r="W83" i="16" s="1"/>
  <c r="X83" i="16" a="1"/>
  <c r="X83" i="16" s="1"/>
  <c r="K84" i="16" a="1"/>
  <c r="K84" i="16" s="1"/>
  <c r="L84" i="16" a="1"/>
  <c r="L84" i="16" s="1"/>
  <c r="M84" i="16" a="1"/>
  <c r="M84" i="16" s="1"/>
  <c r="N84" i="16" a="1"/>
  <c r="N84" i="16" s="1"/>
  <c r="O84" i="16" a="1"/>
  <c r="O84" i="16" s="1"/>
  <c r="P84" i="16" a="1"/>
  <c r="P84" i="16" s="1"/>
  <c r="Q84" i="16" a="1"/>
  <c r="Q84" i="16" s="1"/>
  <c r="R84" i="16" a="1"/>
  <c r="R84" i="16" s="1"/>
  <c r="U84" i="16" a="1"/>
  <c r="U84" i="16" s="1"/>
  <c r="V84" i="16" a="1"/>
  <c r="V84" i="16" s="1"/>
  <c r="W84" i="16" a="1"/>
  <c r="W84" i="16" s="1"/>
  <c r="X84" i="16" a="1"/>
  <c r="X84" i="16" s="1"/>
  <c r="K85" i="16" a="1"/>
  <c r="K85" i="16" s="1"/>
  <c r="L85" i="16" a="1"/>
  <c r="L85" i="16" s="1"/>
  <c r="M85" i="16" a="1"/>
  <c r="M85" i="16" s="1"/>
  <c r="N85" i="16" a="1"/>
  <c r="N85" i="16" s="1"/>
  <c r="O85" i="16" a="1"/>
  <c r="O85" i="16" s="1"/>
  <c r="P85" i="16" a="1"/>
  <c r="P85" i="16" s="1"/>
  <c r="Q85" i="16" a="1"/>
  <c r="Q85" i="16" s="1"/>
  <c r="R85" i="16" a="1"/>
  <c r="R85" i="16" s="1"/>
  <c r="U85" i="16" a="1"/>
  <c r="U85" i="16" s="1"/>
  <c r="V85" i="16" a="1"/>
  <c r="V85" i="16" s="1"/>
  <c r="W85" i="16" a="1"/>
  <c r="W85" i="16" s="1"/>
  <c r="X85" i="16" a="1"/>
  <c r="X85" i="16" s="1"/>
  <c r="K86" i="16" a="1"/>
  <c r="K86" i="16" s="1"/>
  <c r="L86" i="16" a="1"/>
  <c r="L86" i="16" s="1"/>
  <c r="M86" i="16" a="1"/>
  <c r="M86" i="16" s="1"/>
  <c r="N86" i="16" a="1"/>
  <c r="N86" i="16" s="1"/>
  <c r="O86" i="16" a="1"/>
  <c r="O86" i="16" s="1"/>
  <c r="P86" i="16" a="1"/>
  <c r="P86" i="16" s="1"/>
  <c r="Q86" i="16" a="1"/>
  <c r="Q86" i="16" s="1"/>
  <c r="R86" i="16" a="1"/>
  <c r="R86" i="16" s="1"/>
  <c r="U86" i="16" a="1"/>
  <c r="U86" i="16" s="1"/>
  <c r="V86" i="16" a="1"/>
  <c r="V86" i="16" s="1"/>
  <c r="W86" i="16" a="1"/>
  <c r="W86" i="16" s="1"/>
  <c r="X86" i="16" a="1"/>
  <c r="X86" i="16" s="1"/>
  <c r="K87" i="16" a="1"/>
  <c r="K87" i="16" s="1"/>
  <c r="L87" i="16" a="1"/>
  <c r="L87" i="16" s="1"/>
  <c r="M87" i="16" a="1"/>
  <c r="M87" i="16" s="1"/>
  <c r="N87" i="16" a="1"/>
  <c r="N87" i="16" s="1"/>
  <c r="O87" i="16" a="1"/>
  <c r="O87" i="16" s="1"/>
  <c r="P87" i="16" a="1"/>
  <c r="P87" i="16" s="1"/>
  <c r="Q87" i="16" a="1"/>
  <c r="Q87" i="16" s="1"/>
  <c r="R87" i="16" a="1"/>
  <c r="R87" i="16" s="1"/>
  <c r="U87" i="16" a="1"/>
  <c r="U87" i="16" s="1"/>
  <c r="V87" i="16" a="1"/>
  <c r="V87" i="16" s="1"/>
  <c r="W87" i="16" a="1"/>
  <c r="W87" i="16" s="1"/>
  <c r="X87" i="16" a="1"/>
  <c r="X87" i="16" s="1"/>
  <c r="K88" i="16" a="1"/>
  <c r="K88" i="16" s="1"/>
  <c r="L88" i="16" a="1"/>
  <c r="L88" i="16" s="1"/>
  <c r="M88" i="16" a="1"/>
  <c r="M88" i="16" s="1"/>
  <c r="N88" i="16" a="1"/>
  <c r="N88" i="16" s="1"/>
  <c r="O88" i="16" a="1"/>
  <c r="O88" i="16" s="1"/>
  <c r="P88" i="16" a="1"/>
  <c r="P88" i="16" s="1"/>
  <c r="Q88" i="16" a="1"/>
  <c r="Q88" i="16" s="1"/>
  <c r="R88" i="16" a="1"/>
  <c r="R88" i="16" s="1"/>
  <c r="U88" i="16" a="1"/>
  <c r="U88" i="16" s="1"/>
  <c r="V88" i="16" a="1"/>
  <c r="V88" i="16" s="1"/>
  <c r="W88" i="16" a="1"/>
  <c r="W88" i="16" s="1"/>
  <c r="X88" i="16" a="1"/>
  <c r="X88" i="16" s="1"/>
  <c r="K89" i="16" a="1"/>
  <c r="K89" i="16" s="1"/>
  <c r="L89" i="16" a="1"/>
  <c r="L89" i="16" s="1"/>
  <c r="M89" i="16" a="1"/>
  <c r="M89" i="16" s="1"/>
  <c r="N89" i="16" a="1"/>
  <c r="N89" i="16" s="1"/>
  <c r="O89" i="16" a="1"/>
  <c r="O89" i="16" s="1"/>
  <c r="P89" i="16" a="1"/>
  <c r="P89" i="16" s="1"/>
  <c r="Q89" i="16" a="1"/>
  <c r="Q89" i="16" s="1"/>
  <c r="R89" i="16" a="1"/>
  <c r="R89" i="16" s="1"/>
  <c r="U89" i="16" a="1"/>
  <c r="U89" i="16" s="1"/>
  <c r="V89" i="16" a="1"/>
  <c r="V89" i="16" s="1"/>
  <c r="W89" i="16" a="1"/>
  <c r="W89" i="16" s="1"/>
  <c r="X89" i="16" a="1"/>
  <c r="X89" i="16" s="1"/>
  <c r="K90" i="16" a="1"/>
  <c r="K90" i="16" s="1"/>
  <c r="L90" i="16" a="1"/>
  <c r="L90" i="16" s="1"/>
  <c r="M90" i="16" a="1"/>
  <c r="M90" i="16" s="1"/>
  <c r="N90" i="16" a="1"/>
  <c r="N90" i="16" s="1"/>
  <c r="O90" i="16" a="1"/>
  <c r="O90" i="16" s="1"/>
  <c r="P90" i="16" a="1"/>
  <c r="P90" i="16" s="1"/>
  <c r="Q90" i="16" a="1"/>
  <c r="Q90" i="16" s="1"/>
  <c r="R90" i="16" a="1"/>
  <c r="R90" i="16" s="1"/>
  <c r="U90" i="16" a="1"/>
  <c r="U90" i="16" s="1"/>
  <c r="V90" i="16" a="1"/>
  <c r="V90" i="16" s="1"/>
  <c r="W90" i="16" a="1"/>
  <c r="W90" i="16" s="1"/>
  <c r="X90" i="16" a="1"/>
  <c r="X90" i="16" s="1"/>
  <c r="K91" i="16" a="1"/>
  <c r="K91" i="16" s="1"/>
  <c r="L91" i="16" a="1"/>
  <c r="L91" i="16" s="1"/>
  <c r="M91" i="16" a="1"/>
  <c r="M91" i="16" s="1"/>
  <c r="N91" i="16" a="1"/>
  <c r="N91" i="16" s="1"/>
  <c r="O91" i="16" a="1"/>
  <c r="O91" i="16" s="1"/>
  <c r="P91" i="16" a="1"/>
  <c r="P91" i="16" s="1"/>
  <c r="Q91" i="16" a="1"/>
  <c r="Q91" i="16" s="1"/>
  <c r="R91" i="16" a="1"/>
  <c r="R91" i="16" s="1"/>
  <c r="U91" i="16" a="1"/>
  <c r="U91" i="16" s="1"/>
  <c r="V91" i="16" a="1"/>
  <c r="V91" i="16" s="1"/>
  <c r="W91" i="16" a="1"/>
  <c r="W91" i="16" s="1"/>
  <c r="X91" i="16" a="1"/>
  <c r="X91" i="16" s="1"/>
  <c r="K92" i="16" a="1"/>
  <c r="K92" i="16" s="1"/>
  <c r="L92" i="16" a="1"/>
  <c r="L92" i="16" s="1"/>
  <c r="M92" i="16" a="1"/>
  <c r="M92" i="16" s="1"/>
  <c r="N92" i="16" a="1"/>
  <c r="N92" i="16" s="1"/>
  <c r="O92" i="16" a="1"/>
  <c r="O92" i="16" s="1"/>
  <c r="P92" i="16" a="1"/>
  <c r="P92" i="16" s="1"/>
  <c r="Q92" i="16" a="1"/>
  <c r="Q92" i="16" s="1"/>
  <c r="R92" i="16" a="1"/>
  <c r="R92" i="16" s="1"/>
  <c r="U92" i="16" a="1"/>
  <c r="U92" i="16" s="1"/>
  <c r="V92" i="16" a="1"/>
  <c r="V92" i="16" s="1"/>
  <c r="W92" i="16" a="1"/>
  <c r="W92" i="16" s="1"/>
  <c r="X92" i="16" a="1"/>
  <c r="X92" i="16" s="1"/>
  <c r="K93" i="16" a="1"/>
  <c r="K93" i="16" s="1"/>
  <c r="L93" i="16" a="1"/>
  <c r="L93" i="16" s="1"/>
  <c r="M93" i="16" a="1"/>
  <c r="M93" i="16" s="1"/>
  <c r="N93" i="16" a="1"/>
  <c r="N93" i="16" s="1"/>
  <c r="O93" i="16" a="1"/>
  <c r="O93" i="16" s="1"/>
  <c r="P93" i="16" a="1"/>
  <c r="P93" i="16" s="1"/>
  <c r="Q93" i="16" a="1"/>
  <c r="Q93" i="16" s="1"/>
  <c r="R93" i="16" a="1"/>
  <c r="R93" i="16" s="1"/>
  <c r="U93" i="16" a="1"/>
  <c r="U93" i="16" s="1"/>
  <c r="V93" i="16" a="1"/>
  <c r="V93" i="16" s="1"/>
  <c r="W93" i="16" a="1"/>
  <c r="W93" i="16" s="1"/>
  <c r="X93" i="16" a="1"/>
  <c r="X93" i="16" s="1"/>
  <c r="K94" i="16" a="1"/>
  <c r="K94" i="16" s="1"/>
  <c r="L94" i="16" a="1"/>
  <c r="L94" i="16" s="1"/>
  <c r="M94" i="16" a="1"/>
  <c r="M94" i="16" s="1"/>
  <c r="N94" i="16" a="1"/>
  <c r="N94" i="16" s="1"/>
  <c r="O94" i="16" a="1"/>
  <c r="O94" i="16" s="1"/>
  <c r="P94" i="16" a="1"/>
  <c r="P94" i="16" s="1"/>
  <c r="Q94" i="16" a="1"/>
  <c r="Q94" i="16" s="1"/>
  <c r="R94" i="16" a="1"/>
  <c r="R94" i="16" s="1"/>
  <c r="U94" i="16" a="1"/>
  <c r="U94" i="16" s="1"/>
  <c r="V94" i="16" a="1"/>
  <c r="V94" i="16" s="1"/>
  <c r="W94" i="16" a="1"/>
  <c r="W94" i="16" s="1"/>
  <c r="X94" i="16" a="1"/>
  <c r="X94" i="16" s="1"/>
  <c r="K95" i="16" a="1"/>
  <c r="K95" i="16" s="1"/>
  <c r="L95" i="16" a="1"/>
  <c r="L95" i="16" s="1"/>
  <c r="M95" i="16" a="1"/>
  <c r="M95" i="16" s="1"/>
  <c r="N95" i="16" a="1"/>
  <c r="N95" i="16" s="1"/>
  <c r="O95" i="16" a="1"/>
  <c r="O95" i="16" s="1"/>
  <c r="P95" i="16" a="1"/>
  <c r="P95" i="16" s="1"/>
  <c r="Q95" i="16" a="1"/>
  <c r="Q95" i="16" s="1"/>
  <c r="R95" i="16" a="1"/>
  <c r="R95" i="16" s="1"/>
  <c r="U95" i="16" a="1"/>
  <c r="U95" i="16" s="1"/>
  <c r="V95" i="16" a="1"/>
  <c r="V95" i="16" s="1"/>
  <c r="W95" i="16" a="1"/>
  <c r="W95" i="16" s="1"/>
  <c r="X95" i="16" a="1"/>
  <c r="X95" i="16" s="1"/>
  <c r="K96" i="16" a="1"/>
  <c r="K96" i="16" s="1"/>
  <c r="L96" i="16" a="1"/>
  <c r="L96" i="16" s="1"/>
  <c r="M96" i="16" a="1"/>
  <c r="M96" i="16" s="1"/>
  <c r="N96" i="16" a="1"/>
  <c r="N96" i="16" s="1"/>
  <c r="O96" i="16" a="1"/>
  <c r="O96" i="16" s="1"/>
  <c r="P96" i="16" a="1"/>
  <c r="P96" i="16" s="1"/>
  <c r="Q96" i="16" a="1"/>
  <c r="Q96" i="16" s="1"/>
  <c r="R96" i="16" a="1"/>
  <c r="R96" i="16" s="1"/>
  <c r="U96" i="16" a="1"/>
  <c r="U96" i="16" s="1"/>
  <c r="V96" i="16" a="1"/>
  <c r="V96" i="16" s="1"/>
  <c r="W96" i="16" a="1"/>
  <c r="W96" i="16" s="1"/>
  <c r="X96" i="16" a="1"/>
  <c r="X96" i="16" s="1"/>
  <c r="K97" i="16" a="1"/>
  <c r="K97" i="16" s="1"/>
  <c r="L97" i="16" a="1"/>
  <c r="L97" i="16" s="1"/>
  <c r="M97" i="16" a="1"/>
  <c r="M97" i="16" s="1"/>
  <c r="N97" i="16" a="1"/>
  <c r="N97" i="16" s="1"/>
  <c r="O97" i="16" a="1"/>
  <c r="O97" i="16" s="1"/>
  <c r="P97" i="16" a="1"/>
  <c r="P97" i="16" s="1"/>
  <c r="Q97" i="16" a="1"/>
  <c r="Q97" i="16" s="1"/>
  <c r="R97" i="16" a="1"/>
  <c r="R97" i="16" s="1"/>
  <c r="U97" i="16" a="1"/>
  <c r="U97" i="16" s="1"/>
  <c r="V97" i="16" a="1"/>
  <c r="V97" i="16" s="1"/>
  <c r="W97" i="16" a="1"/>
  <c r="W97" i="16" s="1"/>
  <c r="X97" i="16" a="1"/>
  <c r="X97" i="16" s="1"/>
  <c r="K98" i="16" a="1"/>
  <c r="K98" i="16" s="1"/>
  <c r="L98" i="16" a="1"/>
  <c r="L98" i="16" s="1"/>
  <c r="M98" i="16" a="1"/>
  <c r="M98" i="16" s="1"/>
  <c r="N98" i="16" a="1"/>
  <c r="N98" i="16" s="1"/>
  <c r="O98" i="16" a="1"/>
  <c r="O98" i="16" s="1"/>
  <c r="P98" i="16" a="1"/>
  <c r="P98" i="16" s="1"/>
  <c r="Q98" i="16" a="1"/>
  <c r="Q98" i="16" s="1"/>
  <c r="R98" i="16" a="1"/>
  <c r="R98" i="16" s="1"/>
  <c r="U98" i="16" a="1"/>
  <c r="U98" i="16" s="1"/>
  <c r="V98" i="16" a="1"/>
  <c r="V98" i="16" s="1"/>
  <c r="W98" i="16" a="1"/>
  <c r="W98" i="16" s="1"/>
  <c r="X98" i="16" a="1"/>
  <c r="X98" i="16" s="1"/>
  <c r="K99" i="16" a="1"/>
  <c r="K99" i="16" s="1"/>
  <c r="L99" i="16" a="1"/>
  <c r="L99" i="16" s="1"/>
  <c r="M99" i="16" a="1"/>
  <c r="M99" i="16" s="1"/>
  <c r="N99" i="16" a="1"/>
  <c r="N99" i="16" s="1"/>
  <c r="O99" i="16" a="1"/>
  <c r="O99" i="16" s="1"/>
  <c r="P99" i="16" a="1"/>
  <c r="P99" i="16" s="1"/>
  <c r="Q99" i="16" a="1"/>
  <c r="Q99" i="16" s="1"/>
  <c r="R99" i="16" a="1"/>
  <c r="R99" i="16" s="1"/>
  <c r="U99" i="16" a="1"/>
  <c r="U99" i="16" s="1"/>
  <c r="V99" i="16" a="1"/>
  <c r="V99" i="16" s="1"/>
  <c r="W99" i="16" a="1"/>
  <c r="W99" i="16" s="1"/>
  <c r="X99" i="16" a="1"/>
  <c r="X99" i="16" s="1"/>
  <c r="K100" i="16" a="1"/>
  <c r="K100" i="16" s="1"/>
  <c r="L100" i="16" a="1"/>
  <c r="L100" i="16" s="1"/>
  <c r="M100" i="16" a="1"/>
  <c r="M100" i="16" s="1"/>
  <c r="N100" i="16" a="1"/>
  <c r="N100" i="16" s="1"/>
  <c r="O100" i="16" a="1"/>
  <c r="O100" i="16" s="1"/>
  <c r="P100" i="16" a="1"/>
  <c r="P100" i="16" s="1"/>
  <c r="Q100" i="16" a="1"/>
  <c r="Q100" i="16" s="1"/>
  <c r="R100" i="16" a="1"/>
  <c r="R100" i="16" s="1"/>
  <c r="U100" i="16" a="1"/>
  <c r="U100" i="16" s="1"/>
  <c r="V100" i="16" a="1"/>
  <c r="V100" i="16" s="1"/>
  <c r="W100" i="16" a="1"/>
  <c r="W100" i="16" s="1"/>
  <c r="X100" i="16" a="1"/>
  <c r="X100" i="16" s="1"/>
  <c r="K101" i="16" a="1"/>
  <c r="K101" i="16" s="1"/>
  <c r="L101" i="16" a="1"/>
  <c r="L101" i="16" s="1"/>
  <c r="M101" i="16" a="1"/>
  <c r="M101" i="16" s="1"/>
  <c r="N101" i="16" a="1"/>
  <c r="N101" i="16" s="1"/>
  <c r="O101" i="16" a="1"/>
  <c r="O101" i="16" s="1"/>
  <c r="P101" i="16" a="1"/>
  <c r="P101" i="16" s="1"/>
  <c r="Q101" i="16" a="1"/>
  <c r="Q101" i="16" s="1"/>
  <c r="R101" i="16" a="1"/>
  <c r="R101" i="16" s="1"/>
  <c r="U101" i="16" a="1"/>
  <c r="U101" i="16" s="1"/>
  <c r="V101" i="16" a="1"/>
  <c r="V101" i="16" s="1"/>
  <c r="W101" i="16" a="1"/>
  <c r="W101" i="16" s="1"/>
  <c r="X101" i="16" a="1"/>
  <c r="X101" i="16" s="1"/>
  <c r="K102" i="16" a="1"/>
  <c r="K102" i="16" s="1"/>
  <c r="L102" i="16" a="1"/>
  <c r="L102" i="16" s="1"/>
  <c r="M102" i="16" a="1"/>
  <c r="M102" i="16" s="1"/>
  <c r="N102" i="16" a="1"/>
  <c r="N102" i="16" s="1"/>
  <c r="O102" i="16" a="1"/>
  <c r="O102" i="16" s="1"/>
  <c r="P102" i="16" a="1"/>
  <c r="P102" i="16" s="1"/>
  <c r="Q102" i="16" a="1"/>
  <c r="Q102" i="16" s="1"/>
  <c r="R102" i="16" a="1"/>
  <c r="R102" i="16" s="1"/>
  <c r="U102" i="16" a="1"/>
  <c r="U102" i="16" s="1"/>
  <c r="V102" i="16" a="1"/>
  <c r="V102" i="16" s="1"/>
  <c r="W102" i="16" a="1"/>
  <c r="W102" i="16" s="1"/>
  <c r="X102" i="16" a="1"/>
  <c r="X102" i="16" s="1"/>
  <c r="K103" i="16" a="1"/>
  <c r="K103" i="16" s="1"/>
  <c r="L103" i="16" a="1"/>
  <c r="L103" i="16" s="1"/>
  <c r="M103" i="16" a="1"/>
  <c r="M103" i="16" s="1"/>
  <c r="N103" i="16" a="1"/>
  <c r="N103" i="16" s="1"/>
  <c r="O103" i="16" a="1"/>
  <c r="O103" i="16" s="1"/>
  <c r="P103" i="16" a="1"/>
  <c r="P103" i="16" s="1"/>
  <c r="Q103" i="16" a="1"/>
  <c r="Q103" i="16" s="1"/>
  <c r="R103" i="16" a="1"/>
  <c r="R103" i="16" s="1"/>
  <c r="U103" i="16" a="1"/>
  <c r="U103" i="16" s="1"/>
  <c r="V103" i="16" a="1"/>
  <c r="V103" i="16" s="1"/>
  <c r="W103" i="16" a="1"/>
  <c r="W103" i="16" s="1"/>
  <c r="X103" i="16" a="1"/>
  <c r="X103" i="16" s="1"/>
  <c r="K104" i="16" a="1"/>
  <c r="K104" i="16" s="1"/>
  <c r="L104" i="16" a="1"/>
  <c r="L104" i="16" s="1"/>
  <c r="M104" i="16" a="1"/>
  <c r="M104" i="16" s="1"/>
  <c r="N104" i="16" a="1"/>
  <c r="N104" i="16" s="1"/>
  <c r="O104" i="16" a="1"/>
  <c r="O104" i="16" s="1"/>
  <c r="P104" i="16" a="1"/>
  <c r="P104" i="16" s="1"/>
  <c r="Q104" i="16" a="1"/>
  <c r="Q104" i="16" s="1"/>
  <c r="R104" i="16" a="1"/>
  <c r="R104" i="16" s="1"/>
  <c r="U104" i="16" a="1"/>
  <c r="U104" i="16" s="1"/>
  <c r="V104" i="16" a="1"/>
  <c r="V104" i="16" s="1"/>
  <c r="W104" i="16" a="1"/>
  <c r="W104" i="16" s="1"/>
  <c r="X104" i="16" a="1"/>
  <c r="X104" i="16" s="1"/>
  <c r="K105" i="16" a="1"/>
  <c r="K105" i="16" s="1"/>
  <c r="L105" i="16" a="1"/>
  <c r="L105" i="16" s="1"/>
  <c r="M105" i="16" a="1"/>
  <c r="M105" i="16" s="1"/>
  <c r="N105" i="16" a="1"/>
  <c r="N105" i="16" s="1"/>
  <c r="O105" i="16" a="1"/>
  <c r="O105" i="16" s="1"/>
  <c r="P105" i="16" a="1"/>
  <c r="P105" i="16" s="1"/>
  <c r="Q105" i="16" a="1"/>
  <c r="Q105" i="16" s="1"/>
  <c r="R105" i="16" a="1"/>
  <c r="R105" i="16" s="1"/>
  <c r="U105" i="16" a="1"/>
  <c r="U105" i="16" s="1"/>
  <c r="V105" i="16" a="1"/>
  <c r="V105" i="16" s="1"/>
  <c r="W105" i="16" a="1"/>
  <c r="W105" i="16" s="1"/>
  <c r="X105" i="16" a="1"/>
  <c r="X105" i="16" s="1"/>
  <c r="K106" i="16" a="1"/>
  <c r="K106" i="16" s="1"/>
  <c r="L106" i="16" a="1"/>
  <c r="L106" i="16" s="1"/>
  <c r="M106" i="16" a="1"/>
  <c r="M106" i="16" s="1"/>
  <c r="N106" i="16" a="1"/>
  <c r="N106" i="16" s="1"/>
  <c r="O106" i="16" a="1"/>
  <c r="O106" i="16" s="1"/>
  <c r="P106" i="16" a="1"/>
  <c r="P106" i="16" s="1"/>
  <c r="Q106" i="16" a="1"/>
  <c r="Q106" i="16" s="1"/>
  <c r="R106" i="16" a="1"/>
  <c r="R106" i="16" s="1"/>
  <c r="U106" i="16" a="1"/>
  <c r="U106" i="16" s="1"/>
  <c r="V106" i="16" a="1"/>
  <c r="V106" i="16" s="1"/>
  <c r="W106" i="16" a="1"/>
  <c r="W106" i="16" s="1"/>
  <c r="X106" i="16" a="1"/>
  <c r="X106" i="16" s="1"/>
  <c r="K107" i="16" a="1"/>
  <c r="K107" i="16" s="1"/>
  <c r="L107" i="16" a="1"/>
  <c r="L107" i="16" s="1"/>
  <c r="M107" i="16" a="1"/>
  <c r="M107" i="16" s="1"/>
  <c r="N107" i="16" a="1"/>
  <c r="N107" i="16" s="1"/>
  <c r="O107" i="16" a="1"/>
  <c r="O107" i="16" s="1"/>
  <c r="P107" i="16" a="1"/>
  <c r="P107" i="16" s="1"/>
  <c r="Q107" i="16" a="1"/>
  <c r="Q107" i="16" s="1"/>
  <c r="R107" i="16" a="1"/>
  <c r="R107" i="16" s="1"/>
  <c r="U107" i="16" a="1"/>
  <c r="U107" i="16" s="1"/>
  <c r="V107" i="16" a="1"/>
  <c r="V107" i="16" s="1"/>
  <c r="W107" i="16" a="1"/>
  <c r="W107" i="16" s="1"/>
  <c r="X107" i="16" a="1"/>
  <c r="X107" i="16" s="1"/>
  <c r="K108" i="16" a="1"/>
  <c r="K108" i="16" s="1"/>
  <c r="L108" i="16" a="1"/>
  <c r="L108" i="16" s="1"/>
  <c r="M108" i="16" a="1"/>
  <c r="M108" i="16" s="1"/>
  <c r="N108" i="16" a="1"/>
  <c r="N108" i="16" s="1"/>
  <c r="O108" i="16" a="1"/>
  <c r="O108" i="16" s="1"/>
  <c r="P108" i="16" a="1"/>
  <c r="P108" i="16" s="1"/>
  <c r="Q108" i="16" a="1"/>
  <c r="Q108" i="16" s="1"/>
  <c r="R108" i="16" a="1"/>
  <c r="R108" i="16" s="1"/>
  <c r="U108" i="16" a="1"/>
  <c r="U108" i="16" s="1"/>
  <c r="V108" i="16" a="1"/>
  <c r="V108" i="16" s="1"/>
  <c r="W108" i="16" a="1"/>
  <c r="W108" i="16" s="1"/>
  <c r="X108" i="16" a="1"/>
  <c r="X108" i="16" s="1"/>
  <c r="K109" i="16" a="1"/>
  <c r="K109" i="16" s="1"/>
  <c r="L109" i="16" a="1"/>
  <c r="L109" i="16" s="1"/>
  <c r="M109" i="16" a="1"/>
  <c r="M109" i="16" s="1"/>
  <c r="N109" i="16" a="1"/>
  <c r="N109" i="16" s="1"/>
  <c r="O109" i="16" a="1"/>
  <c r="O109" i="16" s="1"/>
  <c r="P109" i="16" a="1"/>
  <c r="P109" i="16" s="1"/>
  <c r="Q109" i="16" a="1"/>
  <c r="Q109" i="16" s="1"/>
  <c r="R109" i="16" a="1"/>
  <c r="R109" i="16" s="1"/>
  <c r="U109" i="16" a="1"/>
  <c r="U109" i="16" s="1"/>
  <c r="V109" i="16" a="1"/>
  <c r="V109" i="16" s="1"/>
  <c r="W109" i="16" a="1"/>
  <c r="W109" i="16" s="1"/>
  <c r="X109" i="16" a="1"/>
  <c r="X109" i="16" s="1"/>
  <c r="K110" i="16" a="1"/>
  <c r="K110" i="16" s="1"/>
  <c r="L110" i="16" a="1"/>
  <c r="L110" i="16" s="1"/>
  <c r="M110" i="16" a="1"/>
  <c r="M110" i="16" s="1"/>
  <c r="N110" i="16" a="1"/>
  <c r="N110" i="16" s="1"/>
  <c r="O110" i="16" a="1"/>
  <c r="O110" i="16" s="1"/>
  <c r="P110" i="16" a="1"/>
  <c r="P110" i="16" s="1"/>
  <c r="Q110" i="16" a="1"/>
  <c r="Q110" i="16" s="1"/>
  <c r="R110" i="16" a="1"/>
  <c r="R110" i="16" s="1"/>
  <c r="U110" i="16" a="1"/>
  <c r="U110" i="16" s="1"/>
  <c r="V110" i="16" a="1"/>
  <c r="V110" i="16" s="1"/>
  <c r="W110" i="16" a="1"/>
  <c r="W110" i="16" s="1"/>
  <c r="X110" i="16" a="1"/>
  <c r="X110" i="16" s="1"/>
  <c r="K111" i="16" a="1"/>
  <c r="K111" i="16" s="1"/>
  <c r="L111" i="16" a="1"/>
  <c r="L111" i="16" s="1"/>
  <c r="M111" i="16" a="1"/>
  <c r="M111" i="16" s="1"/>
  <c r="N111" i="16" a="1"/>
  <c r="N111" i="16" s="1"/>
  <c r="O111" i="16" a="1"/>
  <c r="O111" i="16" s="1"/>
  <c r="P111" i="16" a="1"/>
  <c r="P111" i="16" s="1"/>
  <c r="Q111" i="16" a="1"/>
  <c r="Q111" i="16" s="1"/>
  <c r="R111" i="16" a="1"/>
  <c r="R111" i="16" s="1"/>
  <c r="U111" i="16" a="1"/>
  <c r="U111" i="16" s="1"/>
  <c r="V111" i="16" a="1"/>
  <c r="V111" i="16" s="1"/>
  <c r="W111" i="16" a="1"/>
  <c r="W111" i="16" s="1"/>
  <c r="X111" i="16" a="1"/>
  <c r="X111" i="16" s="1"/>
  <c r="K112" i="16" a="1"/>
  <c r="K112" i="16" s="1"/>
  <c r="L112" i="16" a="1"/>
  <c r="L112" i="16" s="1"/>
  <c r="M112" i="16" a="1"/>
  <c r="M112" i="16" s="1"/>
  <c r="N112" i="16" a="1"/>
  <c r="N112" i="16" s="1"/>
  <c r="O112" i="16" a="1"/>
  <c r="O112" i="16" s="1"/>
  <c r="P112" i="16" a="1"/>
  <c r="P112" i="16" s="1"/>
  <c r="Q112" i="16" a="1"/>
  <c r="Q112" i="16" s="1"/>
  <c r="R112" i="16" a="1"/>
  <c r="R112" i="16" s="1"/>
  <c r="U112" i="16" a="1"/>
  <c r="U112" i="16" s="1"/>
  <c r="V112" i="16" a="1"/>
  <c r="V112" i="16" s="1"/>
  <c r="W112" i="16" a="1"/>
  <c r="W112" i="16" s="1"/>
  <c r="X112" i="16" a="1"/>
  <c r="X112" i="16" s="1"/>
  <c r="K113" i="16" a="1"/>
  <c r="K113" i="16" s="1"/>
  <c r="L113" i="16" a="1"/>
  <c r="L113" i="16" s="1"/>
  <c r="M113" i="16" a="1"/>
  <c r="M113" i="16" s="1"/>
  <c r="N113" i="16" a="1"/>
  <c r="N113" i="16" s="1"/>
  <c r="O113" i="16" a="1"/>
  <c r="O113" i="16" s="1"/>
  <c r="P113" i="16" a="1"/>
  <c r="P113" i="16" s="1"/>
  <c r="Q113" i="16" a="1"/>
  <c r="Q113" i="16" s="1"/>
  <c r="R113" i="16" a="1"/>
  <c r="R113" i="16" s="1"/>
  <c r="U113" i="16" a="1"/>
  <c r="U113" i="16" s="1"/>
  <c r="V113" i="16" a="1"/>
  <c r="V113" i="16" s="1"/>
  <c r="W113" i="16" a="1"/>
  <c r="W113" i="16" s="1"/>
  <c r="X113" i="16" a="1"/>
  <c r="X113" i="16" s="1"/>
  <c r="K114" i="16" a="1"/>
  <c r="K114" i="16" s="1"/>
  <c r="L114" i="16" a="1"/>
  <c r="L114" i="16" s="1"/>
  <c r="M114" i="16" a="1"/>
  <c r="M114" i="16" s="1"/>
  <c r="N114" i="16" a="1"/>
  <c r="N114" i="16" s="1"/>
  <c r="O114" i="16" a="1"/>
  <c r="O114" i="16" s="1"/>
  <c r="P114" i="16" a="1"/>
  <c r="P114" i="16" s="1"/>
  <c r="Q114" i="16" a="1"/>
  <c r="Q114" i="16" s="1"/>
  <c r="R114" i="16" a="1"/>
  <c r="R114" i="16" s="1"/>
  <c r="U114" i="16" a="1"/>
  <c r="U114" i="16" s="1"/>
  <c r="V114" i="16" a="1"/>
  <c r="V114" i="16" s="1"/>
  <c r="W114" i="16" a="1"/>
  <c r="W114" i="16" s="1"/>
  <c r="X114" i="16" a="1"/>
  <c r="X114" i="16" s="1"/>
  <c r="K115" i="16" a="1"/>
  <c r="K115" i="16" s="1"/>
  <c r="L115" i="16" a="1"/>
  <c r="L115" i="16" s="1"/>
  <c r="M115" i="16" a="1"/>
  <c r="M115" i="16" s="1"/>
  <c r="N115" i="16" a="1"/>
  <c r="N115" i="16" s="1"/>
  <c r="O115" i="16" a="1"/>
  <c r="O115" i="16" s="1"/>
  <c r="P115" i="16" a="1"/>
  <c r="P115" i="16" s="1"/>
  <c r="Q115" i="16" a="1"/>
  <c r="Q115" i="16" s="1"/>
  <c r="R115" i="16" a="1"/>
  <c r="R115" i="16" s="1"/>
  <c r="U115" i="16" a="1"/>
  <c r="U115" i="16" s="1"/>
  <c r="V115" i="16" a="1"/>
  <c r="V115" i="16" s="1"/>
  <c r="W115" i="16" a="1"/>
  <c r="W115" i="16" s="1"/>
  <c r="X115" i="16" a="1"/>
  <c r="X115" i="16" s="1"/>
  <c r="K116" i="16" a="1"/>
  <c r="K116" i="16" s="1"/>
  <c r="L116" i="16" a="1"/>
  <c r="L116" i="16" s="1"/>
  <c r="M116" i="16" a="1"/>
  <c r="M116" i="16" s="1"/>
  <c r="N116" i="16" a="1"/>
  <c r="N116" i="16" s="1"/>
  <c r="O116" i="16" a="1"/>
  <c r="O116" i="16" s="1"/>
  <c r="P116" i="16" a="1"/>
  <c r="P116" i="16" s="1"/>
  <c r="Q116" i="16" a="1"/>
  <c r="Q116" i="16" s="1"/>
  <c r="R116" i="16" a="1"/>
  <c r="R116" i="16" s="1"/>
  <c r="U116" i="16" a="1"/>
  <c r="U116" i="16" s="1"/>
  <c r="V116" i="16" a="1"/>
  <c r="V116" i="16" s="1"/>
  <c r="W116" i="16" a="1"/>
  <c r="W116" i="16" s="1"/>
  <c r="X116" i="16" a="1"/>
  <c r="X116" i="16" s="1"/>
  <c r="K117" i="16" a="1"/>
  <c r="K117" i="16" s="1"/>
  <c r="L117" i="16" a="1"/>
  <c r="L117" i="16" s="1"/>
  <c r="M117" i="16" a="1"/>
  <c r="M117" i="16" s="1"/>
  <c r="N117" i="16" a="1"/>
  <c r="N117" i="16" s="1"/>
  <c r="O117" i="16" a="1"/>
  <c r="O117" i="16" s="1"/>
  <c r="P117" i="16" a="1"/>
  <c r="P117" i="16" s="1"/>
  <c r="Q117" i="16" a="1"/>
  <c r="Q117" i="16" s="1"/>
  <c r="R117" i="16" a="1"/>
  <c r="R117" i="16" s="1"/>
  <c r="U117" i="16" a="1"/>
  <c r="U117" i="16" s="1"/>
  <c r="V117" i="16" a="1"/>
  <c r="V117" i="16" s="1"/>
  <c r="W117" i="16" a="1"/>
  <c r="W117" i="16" s="1"/>
  <c r="X117" i="16" a="1"/>
  <c r="X117" i="16" s="1"/>
  <c r="K118" i="16" a="1"/>
  <c r="K118" i="16" s="1"/>
  <c r="L118" i="16" a="1"/>
  <c r="L118" i="16" s="1"/>
  <c r="M118" i="16" a="1"/>
  <c r="M118" i="16" s="1"/>
  <c r="N118" i="16" a="1"/>
  <c r="N118" i="16" s="1"/>
  <c r="O118" i="16" a="1"/>
  <c r="O118" i="16" s="1"/>
  <c r="P118" i="16" a="1"/>
  <c r="P118" i="16" s="1"/>
  <c r="Q118" i="16" a="1"/>
  <c r="Q118" i="16" s="1"/>
  <c r="R118" i="16" a="1"/>
  <c r="R118" i="16" s="1"/>
  <c r="U118" i="16" a="1"/>
  <c r="U118" i="16" s="1"/>
  <c r="V118" i="16" a="1"/>
  <c r="V118" i="16" s="1"/>
  <c r="W118" i="16" a="1"/>
  <c r="W118" i="16" s="1"/>
  <c r="X118" i="16" a="1"/>
  <c r="X118" i="16" s="1"/>
  <c r="K119" i="16" a="1"/>
  <c r="K119" i="16" s="1"/>
  <c r="L119" i="16" a="1"/>
  <c r="L119" i="16" s="1"/>
  <c r="M119" i="16" a="1"/>
  <c r="M119" i="16" s="1"/>
  <c r="N119" i="16" a="1"/>
  <c r="N119" i="16" s="1"/>
  <c r="O119" i="16" a="1"/>
  <c r="O119" i="16" s="1"/>
  <c r="P119" i="16" a="1"/>
  <c r="P119" i="16" s="1"/>
  <c r="Q119" i="16" a="1"/>
  <c r="Q119" i="16" s="1"/>
  <c r="R119" i="16" a="1"/>
  <c r="R119" i="16" s="1"/>
  <c r="U119" i="16" a="1"/>
  <c r="U119" i="16" s="1"/>
  <c r="V119" i="16" a="1"/>
  <c r="V119" i="16" s="1"/>
  <c r="W119" i="16" a="1"/>
  <c r="W119" i="16" s="1"/>
  <c r="X119" i="16" a="1"/>
  <c r="X119" i="16" s="1"/>
  <c r="K120" i="16" a="1"/>
  <c r="K120" i="16" s="1"/>
  <c r="L120" i="16" a="1"/>
  <c r="L120" i="16" s="1"/>
  <c r="M120" i="16" a="1"/>
  <c r="M120" i="16" s="1"/>
  <c r="N120" i="16" a="1"/>
  <c r="N120" i="16" s="1"/>
  <c r="O120" i="16" a="1"/>
  <c r="O120" i="16" s="1"/>
  <c r="P120" i="16" a="1"/>
  <c r="P120" i="16" s="1"/>
  <c r="Q120" i="16" a="1"/>
  <c r="Q120" i="16" s="1"/>
  <c r="R120" i="16" a="1"/>
  <c r="R120" i="16" s="1"/>
  <c r="U120" i="16" a="1"/>
  <c r="U120" i="16" s="1"/>
  <c r="V120" i="16" a="1"/>
  <c r="V120" i="16" s="1"/>
  <c r="W120" i="16" a="1"/>
  <c r="W120" i="16" s="1"/>
  <c r="X120" i="16" a="1"/>
  <c r="X120" i="16" s="1"/>
  <c r="K121" i="16" a="1"/>
  <c r="K121" i="16" s="1"/>
  <c r="L121" i="16" a="1"/>
  <c r="L121" i="16" s="1"/>
  <c r="M121" i="16" a="1"/>
  <c r="M121" i="16" s="1"/>
  <c r="N121" i="16" a="1"/>
  <c r="N121" i="16" s="1"/>
  <c r="O121" i="16" a="1"/>
  <c r="O121" i="16" s="1"/>
  <c r="P121" i="16" a="1"/>
  <c r="P121" i="16" s="1"/>
  <c r="Q121" i="16" a="1"/>
  <c r="Q121" i="16" s="1"/>
  <c r="R121" i="16" a="1"/>
  <c r="R121" i="16" s="1"/>
  <c r="U121" i="16" a="1"/>
  <c r="U121" i="16" s="1"/>
  <c r="V121" i="16" a="1"/>
  <c r="V121" i="16" s="1"/>
  <c r="W121" i="16" a="1"/>
  <c r="W121" i="16" s="1"/>
  <c r="X121" i="16" a="1"/>
  <c r="X121" i="16" s="1"/>
  <c r="K122" i="16" a="1"/>
  <c r="K122" i="16" s="1"/>
  <c r="L122" i="16" a="1"/>
  <c r="L122" i="16" s="1"/>
  <c r="M122" i="16" a="1"/>
  <c r="M122" i="16" s="1"/>
  <c r="N122" i="16" a="1"/>
  <c r="N122" i="16" s="1"/>
  <c r="O122" i="16" a="1"/>
  <c r="O122" i="16" s="1"/>
  <c r="P122" i="16" a="1"/>
  <c r="P122" i="16" s="1"/>
  <c r="Q122" i="16" a="1"/>
  <c r="Q122" i="16" s="1"/>
  <c r="R122" i="16" a="1"/>
  <c r="R122" i="16" s="1"/>
  <c r="U122" i="16" a="1"/>
  <c r="U122" i="16" s="1"/>
  <c r="V122" i="16" a="1"/>
  <c r="V122" i="16" s="1"/>
  <c r="W122" i="16" a="1"/>
  <c r="W122" i="16" s="1"/>
  <c r="X122" i="16" a="1"/>
  <c r="X122" i="16" s="1"/>
  <c r="K123" i="16" a="1"/>
  <c r="K123" i="16" s="1"/>
  <c r="L123" i="16" a="1"/>
  <c r="L123" i="16" s="1"/>
  <c r="M123" i="16" a="1"/>
  <c r="M123" i="16" s="1"/>
  <c r="N123" i="16" a="1"/>
  <c r="N123" i="16" s="1"/>
  <c r="O123" i="16" a="1"/>
  <c r="O123" i="16" s="1"/>
  <c r="P123" i="16" a="1"/>
  <c r="P123" i="16" s="1"/>
  <c r="Q123" i="16" a="1"/>
  <c r="Q123" i="16" s="1"/>
  <c r="R123" i="16" a="1"/>
  <c r="R123" i="16" s="1"/>
  <c r="U123" i="16" a="1"/>
  <c r="U123" i="16" s="1"/>
  <c r="V123" i="16" a="1"/>
  <c r="V123" i="16" s="1"/>
  <c r="W123" i="16" a="1"/>
  <c r="W123" i="16" s="1"/>
  <c r="X123" i="16" a="1"/>
  <c r="X123" i="16" s="1"/>
  <c r="K124" i="16" a="1"/>
  <c r="K124" i="16" s="1"/>
  <c r="L124" i="16" a="1"/>
  <c r="L124" i="16" s="1"/>
  <c r="M124" i="16" a="1"/>
  <c r="M124" i="16" s="1"/>
  <c r="N124" i="16" a="1"/>
  <c r="N124" i="16" s="1"/>
  <c r="O124" i="16" a="1"/>
  <c r="O124" i="16" s="1"/>
  <c r="P124" i="16" a="1"/>
  <c r="P124" i="16" s="1"/>
  <c r="Q124" i="16" a="1"/>
  <c r="Q124" i="16" s="1"/>
  <c r="R124" i="16" a="1"/>
  <c r="R124" i="16" s="1"/>
  <c r="U124" i="16" a="1"/>
  <c r="U124" i="16" s="1"/>
  <c r="V124" i="16" a="1"/>
  <c r="V124" i="16" s="1"/>
  <c r="W124" i="16" a="1"/>
  <c r="W124" i="16" s="1"/>
  <c r="X124" i="16" a="1"/>
  <c r="X124" i="16" s="1"/>
  <c r="K125" i="16" a="1"/>
  <c r="K125" i="16" s="1"/>
  <c r="L125" i="16" a="1"/>
  <c r="L125" i="16" s="1"/>
  <c r="M125" i="16" a="1"/>
  <c r="M125" i="16" s="1"/>
  <c r="N125" i="16" a="1"/>
  <c r="N125" i="16" s="1"/>
  <c r="O125" i="16" a="1"/>
  <c r="O125" i="16" s="1"/>
  <c r="P125" i="16" a="1"/>
  <c r="P125" i="16" s="1"/>
  <c r="Q125" i="16" a="1"/>
  <c r="Q125" i="16" s="1"/>
  <c r="R125" i="16" a="1"/>
  <c r="R125" i="16" s="1"/>
  <c r="U125" i="16" a="1"/>
  <c r="U125" i="16" s="1"/>
  <c r="V125" i="16" a="1"/>
  <c r="V125" i="16" s="1"/>
  <c r="W125" i="16" a="1"/>
  <c r="W125" i="16" s="1"/>
  <c r="X125" i="16" a="1"/>
  <c r="X125" i="16" s="1"/>
  <c r="K126" i="16" a="1"/>
  <c r="K126" i="16" s="1"/>
  <c r="L126" i="16" a="1"/>
  <c r="L126" i="16" s="1"/>
  <c r="M126" i="16" a="1"/>
  <c r="M126" i="16" s="1"/>
  <c r="N126" i="16" a="1"/>
  <c r="N126" i="16" s="1"/>
  <c r="O126" i="16" a="1"/>
  <c r="O126" i="16" s="1"/>
  <c r="P126" i="16" a="1"/>
  <c r="P126" i="16" s="1"/>
  <c r="Q126" i="16" a="1"/>
  <c r="Q126" i="16" s="1"/>
  <c r="R126" i="16" a="1"/>
  <c r="R126" i="16" s="1"/>
  <c r="U126" i="16" a="1"/>
  <c r="U126" i="16" s="1"/>
  <c r="V126" i="16" a="1"/>
  <c r="V126" i="16" s="1"/>
  <c r="W126" i="16" a="1"/>
  <c r="W126" i="16" s="1"/>
  <c r="X126" i="16" a="1"/>
  <c r="X126" i="16" s="1"/>
  <c r="K127" i="16" a="1"/>
  <c r="K127" i="16" s="1"/>
  <c r="L127" i="16" a="1"/>
  <c r="L127" i="16" s="1"/>
  <c r="M127" i="16" a="1"/>
  <c r="M127" i="16" s="1"/>
  <c r="N127" i="16" a="1"/>
  <c r="N127" i="16" s="1"/>
  <c r="O127" i="16" a="1"/>
  <c r="O127" i="16" s="1"/>
  <c r="P127" i="16" a="1"/>
  <c r="P127" i="16" s="1"/>
  <c r="Q127" i="16" a="1"/>
  <c r="Q127" i="16" s="1"/>
  <c r="R127" i="16" a="1"/>
  <c r="R127" i="16" s="1"/>
  <c r="U127" i="16" a="1"/>
  <c r="U127" i="16" s="1"/>
  <c r="V127" i="16" a="1"/>
  <c r="V127" i="16" s="1"/>
  <c r="W127" i="16" a="1"/>
  <c r="W127" i="16" s="1"/>
  <c r="X127" i="16" a="1"/>
  <c r="X127" i="16" s="1"/>
  <c r="K128" i="16" a="1"/>
  <c r="K128" i="16" s="1"/>
  <c r="L128" i="16" a="1"/>
  <c r="L128" i="16" s="1"/>
  <c r="M128" i="16" a="1"/>
  <c r="M128" i="16" s="1"/>
  <c r="N128" i="16" a="1"/>
  <c r="N128" i="16" s="1"/>
  <c r="O128" i="16" a="1"/>
  <c r="O128" i="16" s="1"/>
  <c r="P128" i="16" a="1"/>
  <c r="P128" i="16" s="1"/>
  <c r="Q128" i="16" a="1"/>
  <c r="Q128" i="16" s="1"/>
  <c r="R128" i="16" a="1"/>
  <c r="R128" i="16" s="1"/>
  <c r="U128" i="16" a="1"/>
  <c r="U128" i="16" s="1"/>
  <c r="V128" i="16" a="1"/>
  <c r="V128" i="16" s="1"/>
  <c r="W128" i="16" a="1"/>
  <c r="W128" i="16" s="1"/>
  <c r="X128" i="16" a="1"/>
  <c r="X128" i="16" s="1"/>
  <c r="K129" i="16" a="1"/>
  <c r="K129" i="16" s="1"/>
  <c r="L129" i="16" a="1"/>
  <c r="L129" i="16" s="1"/>
  <c r="M129" i="16" a="1"/>
  <c r="M129" i="16" s="1"/>
  <c r="N129" i="16" a="1"/>
  <c r="N129" i="16" s="1"/>
  <c r="O129" i="16" a="1"/>
  <c r="O129" i="16" s="1"/>
  <c r="P129" i="16" a="1"/>
  <c r="P129" i="16" s="1"/>
  <c r="Q129" i="16" a="1"/>
  <c r="Q129" i="16" s="1"/>
  <c r="R129" i="16" a="1"/>
  <c r="R129" i="16" s="1"/>
  <c r="U129" i="16" a="1"/>
  <c r="U129" i="16" s="1"/>
  <c r="V129" i="16" a="1"/>
  <c r="V129" i="16" s="1"/>
  <c r="W129" i="16" a="1"/>
  <c r="W129" i="16" s="1"/>
  <c r="X129" i="16" a="1"/>
  <c r="X129" i="16" s="1"/>
  <c r="K130" i="16" a="1"/>
  <c r="K130" i="16" s="1"/>
  <c r="L130" i="16" a="1"/>
  <c r="L130" i="16" s="1"/>
  <c r="M130" i="16" a="1"/>
  <c r="M130" i="16" s="1"/>
  <c r="N130" i="16" a="1"/>
  <c r="N130" i="16" s="1"/>
  <c r="O130" i="16" a="1"/>
  <c r="O130" i="16" s="1"/>
  <c r="P130" i="16" a="1"/>
  <c r="P130" i="16" s="1"/>
  <c r="Q130" i="16" a="1"/>
  <c r="Q130" i="16" s="1"/>
  <c r="R130" i="16" a="1"/>
  <c r="R130" i="16" s="1"/>
  <c r="U130" i="16" a="1"/>
  <c r="U130" i="16" s="1"/>
  <c r="V130" i="16" a="1"/>
  <c r="V130" i="16" s="1"/>
  <c r="W130" i="16" a="1"/>
  <c r="W130" i="16" s="1"/>
  <c r="X130" i="16" a="1"/>
  <c r="X130" i="16" s="1"/>
  <c r="K131" i="16" a="1"/>
  <c r="K131" i="16" s="1"/>
  <c r="L131" i="16" a="1"/>
  <c r="L131" i="16" s="1"/>
  <c r="M131" i="16" a="1"/>
  <c r="M131" i="16" s="1"/>
  <c r="N131" i="16" a="1"/>
  <c r="N131" i="16" s="1"/>
  <c r="O131" i="16" a="1"/>
  <c r="O131" i="16" s="1"/>
  <c r="P131" i="16" a="1"/>
  <c r="P131" i="16" s="1"/>
  <c r="Q131" i="16" a="1"/>
  <c r="Q131" i="16" s="1"/>
  <c r="R131" i="16" a="1"/>
  <c r="R131" i="16" s="1"/>
  <c r="U131" i="16" a="1"/>
  <c r="U131" i="16" s="1"/>
  <c r="V131" i="16" a="1"/>
  <c r="V131" i="16" s="1"/>
  <c r="W131" i="16" a="1"/>
  <c r="W131" i="16" s="1"/>
  <c r="X131" i="16" a="1"/>
  <c r="X131" i="16" s="1"/>
  <c r="K132" i="16" a="1"/>
  <c r="K132" i="16" s="1"/>
  <c r="L132" i="16" a="1"/>
  <c r="L132" i="16" s="1"/>
  <c r="M132" i="16" a="1"/>
  <c r="M132" i="16" s="1"/>
  <c r="N132" i="16" a="1"/>
  <c r="N132" i="16" s="1"/>
  <c r="O132" i="16" a="1"/>
  <c r="O132" i="16" s="1"/>
  <c r="P132" i="16" a="1"/>
  <c r="P132" i="16" s="1"/>
  <c r="Q132" i="16" a="1"/>
  <c r="Q132" i="16" s="1"/>
  <c r="R132" i="16" a="1"/>
  <c r="R132" i="16" s="1"/>
  <c r="U132" i="16" a="1"/>
  <c r="U132" i="16" s="1"/>
  <c r="V132" i="16" a="1"/>
  <c r="V132" i="16" s="1"/>
  <c r="W132" i="16" a="1"/>
  <c r="W132" i="16" s="1"/>
  <c r="X132" i="16" a="1"/>
  <c r="X132" i="16" s="1"/>
  <c r="K133" i="16" a="1"/>
  <c r="K133" i="16" s="1"/>
  <c r="L133" i="16" a="1"/>
  <c r="L133" i="16" s="1"/>
  <c r="M133" i="16" a="1"/>
  <c r="M133" i="16" s="1"/>
  <c r="N133" i="16" a="1"/>
  <c r="N133" i="16" s="1"/>
  <c r="O133" i="16" a="1"/>
  <c r="O133" i="16" s="1"/>
  <c r="P133" i="16" a="1"/>
  <c r="P133" i="16" s="1"/>
  <c r="Q133" i="16" a="1"/>
  <c r="Q133" i="16" s="1"/>
  <c r="R133" i="16" a="1"/>
  <c r="R133" i="16" s="1"/>
  <c r="U133" i="16" a="1"/>
  <c r="U133" i="16" s="1"/>
  <c r="V133" i="16" a="1"/>
  <c r="V133" i="16" s="1"/>
  <c r="W133" i="16" a="1"/>
  <c r="W133" i="16" s="1"/>
  <c r="X133" i="16" a="1"/>
  <c r="X133" i="16" s="1"/>
  <c r="K134" i="16" a="1"/>
  <c r="K134" i="16" s="1"/>
  <c r="L134" i="16" a="1"/>
  <c r="L134" i="16" s="1"/>
  <c r="M134" i="16" a="1"/>
  <c r="M134" i="16" s="1"/>
  <c r="N134" i="16" a="1"/>
  <c r="N134" i="16" s="1"/>
  <c r="O134" i="16" a="1"/>
  <c r="O134" i="16" s="1"/>
  <c r="P134" i="16" a="1"/>
  <c r="P134" i="16" s="1"/>
  <c r="Q134" i="16" a="1"/>
  <c r="Q134" i="16" s="1"/>
  <c r="R134" i="16" a="1"/>
  <c r="R134" i="16" s="1"/>
  <c r="U134" i="16" a="1"/>
  <c r="U134" i="16" s="1"/>
  <c r="V134" i="16" a="1"/>
  <c r="V134" i="16" s="1"/>
  <c r="W134" i="16" a="1"/>
  <c r="W134" i="16" s="1"/>
  <c r="X134" i="16" a="1"/>
  <c r="X134" i="16" s="1"/>
  <c r="K135" i="16" a="1"/>
  <c r="K135" i="16" s="1"/>
  <c r="L135" i="16" a="1"/>
  <c r="L135" i="16" s="1"/>
  <c r="M135" i="16" a="1"/>
  <c r="M135" i="16" s="1"/>
  <c r="N135" i="16" a="1"/>
  <c r="N135" i="16" s="1"/>
  <c r="O135" i="16" a="1"/>
  <c r="O135" i="16" s="1"/>
  <c r="P135" i="16" a="1"/>
  <c r="P135" i="16" s="1"/>
  <c r="Q135" i="16" a="1"/>
  <c r="Q135" i="16" s="1"/>
  <c r="R135" i="16" a="1"/>
  <c r="R135" i="16" s="1"/>
  <c r="U135" i="16" a="1"/>
  <c r="U135" i="16" s="1"/>
  <c r="V135" i="16" a="1"/>
  <c r="V135" i="16" s="1"/>
  <c r="W135" i="16" a="1"/>
  <c r="W135" i="16" s="1"/>
  <c r="X135" i="16" a="1"/>
  <c r="X135" i="16" s="1"/>
  <c r="K136" i="16" a="1"/>
  <c r="K136" i="16" s="1"/>
  <c r="L136" i="16" a="1"/>
  <c r="L136" i="16" s="1"/>
  <c r="M136" i="16" a="1"/>
  <c r="M136" i="16" s="1"/>
  <c r="N136" i="16" a="1"/>
  <c r="N136" i="16" s="1"/>
  <c r="O136" i="16" a="1"/>
  <c r="O136" i="16" s="1"/>
  <c r="P136" i="16" a="1"/>
  <c r="P136" i="16" s="1"/>
  <c r="Q136" i="16" a="1"/>
  <c r="Q136" i="16" s="1"/>
  <c r="R136" i="16" a="1"/>
  <c r="R136" i="16" s="1"/>
  <c r="U136" i="16" a="1"/>
  <c r="U136" i="16" s="1"/>
  <c r="V136" i="16" a="1"/>
  <c r="V136" i="16" s="1"/>
  <c r="W136" i="16" a="1"/>
  <c r="W136" i="16" s="1"/>
  <c r="X136" i="16" a="1"/>
  <c r="X136" i="16" s="1"/>
  <c r="K137" i="16" a="1"/>
  <c r="K137" i="16" s="1"/>
  <c r="L137" i="16" a="1"/>
  <c r="L137" i="16" s="1"/>
  <c r="M137" i="16" a="1"/>
  <c r="M137" i="16" s="1"/>
  <c r="N137" i="16" a="1"/>
  <c r="N137" i="16" s="1"/>
  <c r="O137" i="16" a="1"/>
  <c r="O137" i="16" s="1"/>
  <c r="P137" i="16" a="1"/>
  <c r="P137" i="16" s="1"/>
  <c r="Q137" i="16" a="1"/>
  <c r="Q137" i="16" s="1"/>
  <c r="R137" i="16" a="1"/>
  <c r="R137" i="16" s="1"/>
  <c r="U137" i="16" a="1"/>
  <c r="U137" i="16" s="1"/>
  <c r="V137" i="16" a="1"/>
  <c r="V137" i="16" s="1"/>
  <c r="W137" i="16" a="1"/>
  <c r="W137" i="16" s="1"/>
  <c r="X137" i="16" a="1"/>
  <c r="X137" i="16" s="1"/>
  <c r="K138" i="16" a="1"/>
  <c r="K138" i="16" s="1"/>
  <c r="L138" i="16" a="1"/>
  <c r="L138" i="16" s="1"/>
  <c r="M138" i="16" a="1"/>
  <c r="M138" i="16" s="1"/>
  <c r="N138" i="16" a="1"/>
  <c r="N138" i="16" s="1"/>
  <c r="O138" i="16" a="1"/>
  <c r="O138" i="16" s="1"/>
  <c r="P138" i="16" a="1"/>
  <c r="P138" i="16" s="1"/>
  <c r="Q138" i="16" a="1"/>
  <c r="Q138" i="16" s="1"/>
  <c r="R138" i="16" a="1"/>
  <c r="R138" i="16" s="1"/>
  <c r="U138" i="16" a="1"/>
  <c r="U138" i="16" s="1"/>
  <c r="V138" i="16" a="1"/>
  <c r="V138" i="16" s="1"/>
  <c r="W138" i="16" a="1"/>
  <c r="W138" i="16" s="1"/>
  <c r="X138" i="16" a="1"/>
  <c r="X138" i="16" s="1"/>
  <c r="K139" i="16" a="1"/>
  <c r="K139" i="16" s="1"/>
  <c r="L139" i="16" a="1"/>
  <c r="L139" i="16" s="1"/>
  <c r="M139" i="16" a="1"/>
  <c r="M139" i="16" s="1"/>
  <c r="N139" i="16" a="1"/>
  <c r="N139" i="16" s="1"/>
  <c r="O139" i="16" a="1"/>
  <c r="O139" i="16" s="1"/>
  <c r="P139" i="16" a="1"/>
  <c r="P139" i="16" s="1"/>
  <c r="Q139" i="16" a="1"/>
  <c r="Q139" i="16" s="1"/>
  <c r="R139" i="16" a="1"/>
  <c r="R139" i="16" s="1"/>
  <c r="U139" i="16" a="1"/>
  <c r="U139" i="16" s="1"/>
  <c r="V139" i="16" a="1"/>
  <c r="V139" i="16" s="1"/>
  <c r="W139" i="16" a="1"/>
  <c r="W139" i="16" s="1"/>
  <c r="X139" i="16" a="1"/>
  <c r="X139" i="16" s="1"/>
  <c r="K140" i="16" a="1"/>
  <c r="K140" i="16" s="1"/>
  <c r="L140" i="16" a="1"/>
  <c r="L140" i="16" s="1"/>
  <c r="M140" i="16" a="1"/>
  <c r="M140" i="16" s="1"/>
  <c r="N140" i="16" a="1"/>
  <c r="N140" i="16" s="1"/>
  <c r="O140" i="16" a="1"/>
  <c r="O140" i="16" s="1"/>
  <c r="P140" i="16" a="1"/>
  <c r="P140" i="16" s="1"/>
  <c r="Q140" i="16" a="1"/>
  <c r="Q140" i="16" s="1"/>
  <c r="R140" i="16" a="1"/>
  <c r="R140" i="16" s="1"/>
  <c r="U140" i="16" a="1"/>
  <c r="U140" i="16" s="1"/>
  <c r="V140" i="16" a="1"/>
  <c r="V140" i="16" s="1"/>
  <c r="W140" i="16" a="1"/>
  <c r="W140" i="16" s="1"/>
  <c r="X140" i="16" a="1"/>
  <c r="X140" i="16" s="1"/>
  <c r="K141" i="16" a="1"/>
  <c r="K141" i="16" s="1"/>
  <c r="L141" i="16" a="1"/>
  <c r="L141" i="16" s="1"/>
  <c r="M141" i="16" a="1"/>
  <c r="M141" i="16" s="1"/>
  <c r="N141" i="16" a="1"/>
  <c r="N141" i="16" s="1"/>
  <c r="O141" i="16" a="1"/>
  <c r="O141" i="16" s="1"/>
  <c r="P141" i="16" a="1"/>
  <c r="P141" i="16" s="1"/>
  <c r="Q141" i="16" a="1"/>
  <c r="Q141" i="16" s="1"/>
  <c r="R141" i="16" a="1"/>
  <c r="R141" i="16" s="1"/>
  <c r="U141" i="16" a="1"/>
  <c r="U141" i="16" s="1"/>
  <c r="V141" i="16" a="1"/>
  <c r="V141" i="16" s="1"/>
  <c r="W141" i="16" a="1"/>
  <c r="W141" i="16" s="1"/>
  <c r="X141" i="16" a="1"/>
  <c r="X141" i="16" s="1"/>
  <c r="K142" i="16" a="1"/>
  <c r="K142" i="16" s="1"/>
  <c r="L142" i="16" a="1"/>
  <c r="L142" i="16" s="1"/>
  <c r="M142" i="16" a="1"/>
  <c r="M142" i="16" s="1"/>
  <c r="N142" i="16" a="1"/>
  <c r="N142" i="16" s="1"/>
  <c r="O142" i="16" a="1"/>
  <c r="O142" i="16" s="1"/>
  <c r="P142" i="16" a="1"/>
  <c r="P142" i="16" s="1"/>
  <c r="Q142" i="16" a="1"/>
  <c r="Q142" i="16" s="1"/>
  <c r="R142" i="16" a="1"/>
  <c r="R142" i="16" s="1"/>
  <c r="U142" i="16" a="1"/>
  <c r="U142" i="16" s="1"/>
  <c r="V142" i="16" a="1"/>
  <c r="V142" i="16" s="1"/>
  <c r="W142" i="16" a="1"/>
  <c r="W142" i="16" s="1"/>
  <c r="X142" i="16" a="1"/>
  <c r="X142" i="16" s="1"/>
  <c r="K143" i="16" a="1"/>
  <c r="K143" i="16" s="1"/>
  <c r="L143" i="16" a="1"/>
  <c r="L143" i="16" s="1"/>
  <c r="M143" i="16" a="1"/>
  <c r="M143" i="16" s="1"/>
  <c r="N143" i="16" a="1"/>
  <c r="N143" i="16" s="1"/>
  <c r="O143" i="16" a="1"/>
  <c r="O143" i="16" s="1"/>
  <c r="P143" i="16" a="1"/>
  <c r="P143" i="16" s="1"/>
  <c r="Q143" i="16" a="1"/>
  <c r="Q143" i="16" s="1"/>
  <c r="R143" i="16" a="1"/>
  <c r="R143" i="16" s="1"/>
  <c r="U143" i="16" a="1"/>
  <c r="U143" i="16" s="1"/>
  <c r="V143" i="16" a="1"/>
  <c r="V143" i="16" s="1"/>
  <c r="W143" i="16" a="1"/>
  <c r="W143" i="16" s="1"/>
  <c r="X143" i="16" a="1"/>
  <c r="X143" i="16" s="1"/>
  <c r="K144" i="16" a="1"/>
  <c r="K144" i="16" s="1"/>
  <c r="L144" i="16" a="1"/>
  <c r="L144" i="16" s="1"/>
  <c r="M144" i="16" a="1"/>
  <c r="M144" i="16" s="1"/>
  <c r="N144" i="16" a="1"/>
  <c r="N144" i="16" s="1"/>
  <c r="O144" i="16" a="1"/>
  <c r="O144" i="16" s="1"/>
  <c r="P144" i="16" a="1"/>
  <c r="P144" i="16" s="1"/>
  <c r="Q144" i="16" a="1"/>
  <c r="Q144" i="16" s="1"/>
  <c r="R144" i="16" a="1"/>
  <c r="R144" i="16" s="1"/>
  <c r="U144" i="16" a="1"/>
  <c r="U144" i="16" s="1"/>
  <c r="V144" i="16" a="1"/>
  <c r="V144" i="16" s="1"/>
  <c r="W144" i="16" a="1"/>
  <c r="W144" i="16" s="1"/>
  <c r="X144" i="16" a="1"/>
  <c r="X144" i="16" s="1"/>
  <c r="K145" i="16" a="1"/>
  <c r="K145" i="16" s="1"/>
  <c r="L145" i="16" a="1"/>
  <c r="L145" i="16" s="1"/>
  <c r="M145" i="16" a="1"/>
  <c r="M145" i="16" s="1"/>
  <c r="N145" i="16" a="1"/>
  <c r="N145" i="16" s="1"/>
  <c r="O145" i="16" a="1"/>
  <c r="O145" i="16" s="1"/>
  <c r="P145" i="16" a="1"/>
  <c r="P145" i="16" s="1"/>
  <c r="Q145" i="16" a="1"/>
  <c r="Q145" i="16" s="1"/>
  <c r="R145" i="16" a="1"/>
  <c r="R145" i="16" s="1"/>
  <c r="U145" i="16" a="1"/>
  <c r="U145" i="16" s="1"/>
  <c r="V145" i="16" a="1"/>
  <c r="V145" i="16" s="1"/>
  <c r="W145" i="16" a="1"/>
  <c r="W145" i="16" s="1"/>
  <c r="X145" i="16" a="1"/>
  <c r="X145" i="16" s="1"/>
  <c r="K146" i="16" a="1"/>
  <c r="K146" i="16" s="1"/>
  <c r="L146" i="16" a="1"/>
  <c r="L146" i="16" s="1"/>
  <c r="M146" i="16" a="1"/>
  <c r="M146" i="16" s="1"/>
  <c r="N146" i="16" a="1"/>
  <c r="N146" i="16" s="1"/>
  <c r="O146" i="16" a="1"/>
  <c r="O146" i="16" s="1"/>
  <c r="P146" i="16" a="1"/>
  <c r="P146" i="16" s="1"/>
  <c r="Q146" i="16" a="1"/>
  <c r="Q146" i="16" s="1"/>
  <c r="R146" i="16" a="1"/>
  <c r="R146" i="16" s="1"/>
  <c r="U146" i="16" a="1"/>
  <c r="U146" i="16" s="1"/>
  <c r="V146" i="16" a="1"/>
  <c r="V146" i="16" s="1"/>
  <c r="W146" i="16" a="1"/>
  <c r="W146" i="16" s="1"/>
  <c r="X146" i="16" a="1"/>
  <c r="X146" i="16" s="1"/>
  <c r="K147" i="16" a="1"/>
  <c r="K147" i="16" s="1"/>
  <c r="L147" i="16" a="1"/>
  <c r="L147" i="16" s="1"/>
  <c r="M147" i="16" a="1"/>
  <c r="M147" i="16" s="1"/>
  <c r="N147" i="16" a="1"/>
  <c r="N147" i="16" s="1"/>
  <c r="O147" i="16" a="1"/>
  <c r="O147" i="16" s="1"/>
  <c r="P147" i="16" a="1"/>
  <c r="P147" i="16" s="1"/>
  <c r="Q147" i="16" a="1"/>
  <c r="Q147" i="16" s="1"/>
  <c r="R147" i="16" a="1"/>
  <c r="R147" i="16" s="1"/>
  <c r="U147" i="16" a="1"/>
  <c r="U147" i="16" s="1"/>
  <c r="V147" i="16" a="1"/>
  <c r="V147" i="16" s="1"/>
  <c r="W147" i="16" a="1"/>
  <c r="W147" i="16" s="1"/>
  <c r="X147" i="16" a="1"/>
  <c r="X147" i="16" s="1"/>
  <c r="K148" i="16" a="1"/>
  <c r="K148" i="16" s="1"/>
  <c r="L148" i="16" a="1"/>
  <c r="L148" i="16" s="1"/>
  <c r="M148" i="16" a="1"/>
  <c r="M148" i="16" s="1"/>
  <c r="N148" i="16" a="1"/>
  <c r="N148" i="16" s="1"/>
  <c r="O148" i="16" a="1"/>
  <c r="O148" i="16" s="1"/>
  <c r="P148" i="16" a="1"/>
  <c r="P148" i="16" s="1"/>
  <c r="Q148" i="16" a="1"/>
  <c r="Q148" i="16" s="1"/>
  <c r="R148" i="16" a="1"/>
  <c r="R148" i="16" s="1"/>
  <c r="U148" i="16" a="1"/>
  <c r="U148" i="16" s="1"/>
  <c r="V148" i="16" a="1"/>
  <c r="V148" i="16" s="1"/>
  <c r="W148" i="16" a="1"/>
  <c r="W148" i="16" s="1"/>
  <c r="X148" i="16" a="1"/>
  <c r="X148" i="16" s="1"/>
  <c r="K149" i="16" a="1"/>
  <c r="K149" i="16" s="1"/>
  <c r="L149" i="16" a="1"/>
  <c r="L149" i="16" s="1"/>
  <c r="M149" i="16" a="1"/>
  <c r="M149" i="16" s="1"/>
  <c r="N149" i="16" a="1"/>
  <c r="N149" i="16" s="1"/>
  <c r="O149" i="16" a="1"/>
  <c r="O149" i="16" s="1"/>
  <c r="P149" i="16" a="1"/>
  <c r="P149" i="16" s="1"/>
  <c r="Q149" i="16" a="1"/>
  <c r="Q149" i="16" s="1"/>
  <c r="R149" i="16" a="1"/>
  <c r="R149" i="16" s="1"/>
  <c r="U149" i="16" a="1"/>
  <c r="U149" i="16" s="1"/>
  <c r="V149" i="16" a="1"/>
  <c r="V149" i="16" s="1"/>
  <c r="W149" i="16" a="1"/>
  <c r="W149" i="16" s="1"/>
  <c r="X149" i="16" a="1"/>
  <c r="X149" i="16" s="1"/>
  <c r="K150" i="16" a="1"/>
  <c r="K150" i="16" s="1"/>
  <c r="L150" i="16" a="1"/>
  <c r="L150" i="16" s="1"/>
  <c r="M150" i="16" a="1"/>
  <c r="M150" i="16" s="1"/>
  <c r="N150" i="16" a="1"/>
  <c r="N150" i="16" s="1"/>
  <c r="O150" i="16" a="1"/>
  <c r="O150" i="16" s="1"/>
  <c r="P150" i="16" a="1"/>
  <c r="P150" i="16" s="1"/>
  <c r="Q150" i="16" a="1"/>
  <c r="Q150" i="16" s="1"/>
  <c r="R150" i="16" a="1"/>
  <c r="R150" i="16" s="1"/>
  <c r="U150" i="16" a="1"/>
  <c r="U150" i="16" s="1"/>
  <c r="V150" i="16" a="1"/>
  <c r="V150" i="16" s="1"/>
  <c r="W150" i="16" a="1"/>
  <c r="W150" i="16" s="1"/>
  <c r="X150" i="16" a="1"/>
  <c r="X150" i="16" s="1"/>
  <c r="K151" i="16" a="1"/>
  <c r="K151" i="16" s="1"/>
  <c r="L151" i="16" a="1"/>
  <c r="L151" i="16" s="1"/>
  <c r="M151" i="16" a="1"/>
  <c r="M151" i="16" s="1"/>
  <c r="N151" i="16" a="1"/>
  <c r="N151" i="16" s="1"/>
  <c r="O151" i="16" a="1"/>
  <c r="O151" i="16" s="1"/>
  <c r="P151" i="16" a="1"/>
  <c r="P151" i="16" s="1"/>
  <c r="Q151" i="16" a="1"/>
  <c r="Q151" i="16" s="1"/>
  <c r="R151" i="16" a="1"/>
  <c r="R151" i="16" s="1"/>
  <c r="U151" i="16" a="1"/>
  <c r="U151" i="16" s="1"/>
  <c r="V151" i="16" a="1"/>
  <c r="V151" i="16" s="1"/>
  <c r="W151" i="16" a="1"/>
  <c r="W151" i="16" s="1"/>
  <c r="X151" i="16" a="1"/>
  <c r="X151" i="16" s="1"/>
  <c r="K152" i="16" a="1"/>
  <c r="K152" i="16" s="1"/>
  <c r="L152" i="16" a="1"/>
  <c r="L152" i="16" s="1"/>
  <c r="M152" i="16" a="1"/>
  <c r="M152" i="16" s="1"/>
  <c r="N152" i="16" a="1"/>
  <c r="N152" i="16" s="1"/>
  <c r="O152" i="16" a="1"/>
  <c r="O152" i="16" s="1"/>
  <c r="P152" i="16" a="1"/>
  <c r="P152" i="16" s="1"/>
  <c r="Q152" i="16" a="1"/>
  <c r="Q152" i="16" s="1"/>
  <c r="R152" i="16" a="1"/>
  <c r="R152" i="16" s="1"/>
  <c r="U152" i="16" a="1"/>
  <c r="U152" i="16" s="1"/>
  <c r="V152" i="16" a="1"/>
  <c r="V152" i="16" s="1"/>
  <c r="W152" i="16" a="1"/>
  <c r="W152" i="16" s="1"/>
  <c r="X152" i="16" a="1"/>
  <c r="X152" i="16" s="1"/>
  <c r="K153" i="16" a="1"/>
  <c r="K153" i="16" s="1"/>
  <c r="L153" i="16" a="1"/>
  <c r="L153" i="16" s="1"/>
  <c r="M153" i="16" a="1"/>
  <c r="M153" i="16" s="1"/>
  <c r="N153" i="16" a="1"/>
  <c r="N153" i="16" s="1"/>
  <c r="O153" i="16" a="1"/>
  <c r="O153" i="16" s="1"/>
  <c r="P153" i="16" a="1"/>
  <c r="P153" i="16" s="1"/>
  <c r="Q153" i="16" a="1"/>
  <c r="Q153" i="16" s="1"/>
  <c r="R153" i="16" a="1"/>
  <c r="R153" i="16" s="1"/>
  <c r="U153" i="16" a="1"/>
  <c r="U153" i="16" s="1"/>
  <c r="V153" i="16" a="1"/>
  <c r="V153" i="16" s="1"/>
  <c r="W153" i="16" a="1"/>
  <c r="W153" i="16" s="1"/>
  <c r="X153" i="16" a="1"/>
  <c r="X153" i="16" s="1"/>
  <c r="K154" i="16" a="1"/>
  <c r="K154" i="16" s="1"/>
  <c r="L154" i="16" a="1"/>
  <c r="L154" i="16" s="1"/>
  <c r="M154" i="16" a="1"/>
  <c r="M154" i="16" s="1"/>
  <c r="N154" i="16" a="1"/>
  <c r="N154" i="16" s="1"/>
  <c r="O154" i="16" a="1"/>
  <c r="O154" i="16" s="1"/>
  <c r="P154" i="16" a="1"/>
  <c r="P154" i="16" s="1"/>
  <c r="Q154" i="16" a="1"/>
  <c r="Q154" i="16" s="1"/>
  <c r="R154" i="16" a="1"/>
  <c r="R154" i="16" s="1"/>
  <c r="U154" i="16" a="1"/>
  <c r="U154" i="16" s="1"/>
  <c r="V154" i="16" a="1"/>
  <c r="V154" i="16" s="1"/>
  <c r="W154" i="16" a="1"/>
  <c r="W154" i="16" s="1"/>
  <c r="X154" i="16" a="1"/>
  <c r="X154" i="16" s="1"/>
  <c r="K155" i="16" a="1"/>
  <c r="K155" i="16" s="1"/>
  <c r="L155" i="16" a="1"/>
  <c r="L155" i="16" s="1"/>
  <c r="M155" i="16" a="1"/>
  <c r="M155" i="16" s="1"/>
  <c r="N155" i="16" a="1"/>
  <c r="N155" i="16" s="1"/>
  <c r="O155" i="16" a="1"/>
  <c r="O155" i="16" s="1"/>
  <c r="P155" i="16" a="1"/>
  <c r="P155" i="16" s="1"/>
  <c r="Q155" i="16" a="1"/>
  <c r="Q155" i="16" s="1"/>
  <c r="R155" i="16" a="1"/>
  <c r="R155" i="16" s="1"/>
  <c r="U155" i="16" a="1"/>
  <c r="U155" i="16" s="1"/>
  <c r="V155" i="16" a="1"/>
  <c r="V155" i="16" s="1"/>
  <c r="W155" i="16" a="1"/>
  <c r="W155" i="16" s="1"/>
  <c r="X155" i="16" a="1"/>
  <c r="X155" i="16" s="1"/>
  <c r="K156" i="16" a="1"/>
  <c r="K156" i="16" s="1"/>
  <c r="L156" i="16" a="1"/>
  <c r="L156" i="16" s="1"/>
  <c r="M156" i="16" a="1"/>
  <c r="M156" i="16" s="1"/>
  <c r="N156" i="16" a="1"/>
  <c r="N156" i="16" s="1"/>
  <c r="O156" i="16" a="1"/>
  <c r="O156" i="16" s="1"/>
  <c r="P156" i="16" a="1"/>
  <c r="P156" i="16" s="1"/>
  <c r="Q156" i="16" a="1"/>
  <c r="Q156" i="16" s="1"/>
  <c r="R156" i="16" a="1"/>
  <c r="R156" i="16" s="1"/>
  <c r="U156" i="16" a="1"/>
  <c r="U156" i="16" s="1"/>
  <c r="V156" i="16" a="1"/>
  <c r="V156" i="16" s="1"/>
  <c r="W156" i="16" a="1"/>
  <c r="W156" i="16" s="1"/>
  <c r="X156" i="16" a="1"/>
  <c r="X156" i="16" s="1"/>
  <c r="K157" i="16" a="1"/>
  <c r="K157" i="16" s="1"/>
  <c r="L157" i="16" a="1"/>
  <c r="L157" i="16" s="1"/>
  <c r="M157" i="16" a="1"/>
  <c r="M157" i="16" s="1"/>
  <c r="N157" i="16" a="1"/>
  <c r="N157" i="16" s="1"/>
  <c r="O157" i="16" a="1"/>
  <c r="O157" i="16" s="1"/>
  <c r="P157" i="16" a="1"/>
  <c r="P157" i="16" s="1"/>
  <c r="Q157" i="16" a="1"/>
  <c r="Q157" i="16" s="1"/>
  <c r="R157" i="16" a="1"/>
  <c r="R157" i="16" s="1"/>
  <c r="U157" i="16" a="1"/>
  <c r="U157" i="16" s="1"/>
  <c r="V157" i="16" a="1"/>
  <c r="V157" i="16" s="1"/>
  <c r="W157" i="16" a="1"/>
  <c r="W157" i="16" s="1"/>
  <c r="X157" i="16" a="1"/>
  <c r="X157" i="16" s="1"/>
  <c r="K158" i="16" a="1"/>
  <c r="K158" i="16" s="1"/>
  <c r="L158" i="16" a="1"/>
  <c r="L158" i="16" s="1"/>
  <c r="M158" i="16" a="1"/>
  <c r="M158" i="16" s="1"/>
  <c r="N158" i="16" a="1"/>
  <c r="N158" i="16" s="1"/>
  <c r="O158" i="16" a="1"/>
  <c r="O158" i="16" s="1"/>
  <c r="P158" i="16" a="1"/>
  <c r="P158" i="16" s="1"/>
  <c r="Q158" i="16" a="1"/>
  <c r="Q158" i="16" s="1"/>
  <c r="R158" i="16" a="1"/>
  <c r="R158" i="16" s="1"/>
  <c r="U158" i="16" a="1"/>
  <c r="U158" i="16" s="1"/>
  <c r="V158" i="16" a="1"/>
  <c r="V158" i="16" s="1"/>
  <c r="W158" i="16" a="1"/>
  <c r="W158" i="16" s="1"/>
  <c r="X158" i="16" a="1"/>
  <c r="X158" i="16" s="1"/>
  <c r="K159" i="16" a="1"/>
  <c r="K159" i="16" s="1"/>
  <c r="L159" i="16" a="1"/>
  <c r="L159" i="16" s="1"/>
  <c r="M159" i="16" a="1"/>
  <c r="M159" i="16" s="1"/>
  <c r="N159" i="16" a="1"/>
  <c r="N159" i="16" s="1"/>
  <c r="O159" i="16" a="1"/>
  <c r="O159" i="16" s="1"/>
  <c r="P159" i="16" a="1"/>
  <c r="P159" i="16" s="1"/>
  <c r="Q159" i="16" a="1"/>
  <c r="Q159" i="16" s="1"/>
  <c r="R159" i="16" a="1"/>
  <c r="R159" i="16" s="1"/>
  <c r="U159" i="16" a="1"/>
  <c r="U159" i="16" s="1"/>
  <c r="V159" i="16" a="1"/>
  <c r="V159" i="16" s="1"/>
  <c r="W159" i="16" a="1"/>
  <c r="W159" i="16" s="1"/>
  <c r="X159" i="16" a="1"/>
  <c r="X159" i="16" s="1"/>
  <c r="K160" i="16" a="1"/>
  <c r="K160" i="16" s="1"/>
  <c r="L160" i="16" a="1"/>
  <c r="L160" i="16" s="1"/>
  <c r="M160" i="16" a="1"/>
  <c r="M160" i="16" s="1"/>
  <c r="N160" i="16" a="1"/>
  <c r="N160" i="16" s="1"/>
  <c r="O160" i="16" a="1"/>
  <c r="O160" i="16" s="1"/>
  <c r="P160" i="16" a="1"/>
  <c r="P160" i="16" s="1"/>
  <c r="Q160" i="16" a="1"/>
  <c r="Q160" i="16" s="1"/>
  <c r="R160" i="16" a="1"/>
  <c r="R160" i="16" s="1"/>
  <c r="U160" i="16" a="1"/>
  <c r="U160" i="16" s="1"/>
  <c r="V160" i="16" a="1"/>
  <c r="V160" i="16" s="1"/>
  <c r="W160" i="16" a="1"/>
  <c r="W160" i="16" s="1"/>
  <c r="X160" i="16" a="1"/>
  <c r="X160" i="16" s="1"/>
  <c r="K161" i="16" a="1"/>
  <c r="K161" i="16" s="1"/>
  <c r="L161" i="16" a="1"/>
  <c r="L161" i="16" s="1"/>
  <c r="M161" i="16" a="1"/>
  <c r="M161" i="16" s="1"/>
  <c r="N161" i="16" a="1"/>
  <c r="N161" i="16" s="1"/>
  <c r="O161" i="16" a="1"/>
  <c r="O161" i="16" s="1"/>
  <c r="P161" i="16" a="1"/>
  <c r="P161" i="16" s="1"/>
  <c r="Q161" i="16" a="1"/>
  <c r="Q161" i="16" s="1"/>
  <c r="R161" i="16" a="1"/>
  <c r="R161" i="16" s="1"/>
  <c r="U161" i="16" a="1"/>
  <c r="U161" i="16" s="1"/>
  <c r="V161" i="16" a="1"/>
  <c r="V161" i="16" s="1"/>
  <c r="W161" i="16" a="1"/>
  <c r="W161" i="16" s="1"/>
  <c r="X161" i="16" a="1"/>
  <c r="X161" i="16" s="1"/>
  <c r="K162" i="16" a="1"/>
  <c r="K162" i="16" s="1"/>
  <c r="L162" i="16" a="1"/>
  <c r="L162" i="16" s="1"/>
  <c r="M162" i="16" a="1"/>
  <c r="M162" i="16" s="1"/>
  <c r="N162" i="16" a="1"/>
  <c r="N162" i="16" s="1"/>
  <c r="O162" i="16" a="1"/>
  <c r="O162" i="16" s="1"/>
  <c r="P162" i="16" a="1"/>
  <c r="P162" i="16" s="1"/>
  <c r="Q162" i="16" a="1"/>
  <c r="Q162" i="16" s="1"/>
  <c r="R162" i="16" a="1"/>
  <c r="R162" i="16" s="1"/>
  <c r="U162" i="16" a="1"/>
  <c r="U162" i="16" s="1"/>
  <c r="V162" i="16" a="1"/>
  <c r="V162" i="16" s="1"/>
  <c r="W162" i="16" a="1"/>
  <c r="W162" i="16" s="1"/>
  <c r="X162" i="16" a="1"/>
  <c r="X162" i="16" s="1"/>
  <c r="K163" i="16" a="1"/>
  <c r="K163" i="16" s="1"/>
  <c r="L163" i="16" a="1"/>
  <c r="L163" i="16" s="1"/>
  <c r="M163" i="16" a="1"/>
  <c r="M163" i="16" s="1"/>
  <c r="N163" i="16" a="1"/>
  <c r="N163" i="16" s="1"/>
  <c r="O163" i="16" a="1"/>
  <c r="O163" i="16" s="1"/>
  <c r="P163" i="16" a="1"/>
  <c r="P163" i="16" s="1"/>
  <c r="Q163" i="16" a="1"/>
  <c r="Q163" i="16" s="1"/>
  <c r="R163" i="16" a="1"/>
  <c r="R163" i="16" s="1"/>
  <c r="U163" i="16" a="1"/>
  <c r="U163" i="16" s="1"/>
  <c r="V163" i="16" a="1"/>
  <c r="V163" i="16" s="1"/>
  <c r="W163" i="16" a="1"/>
  <c r="W163" i="16" s="1"/>
  <c r="X163" i="16" a="1"/>
  <c r="X163" i="16" s="1"/>
  <c r="K164" i="16" a="1"/>
  <c r="K164" i="16" s="1"/>
  <c r="L164" i="16" a="1"/>
  <c r="L164" i="16" s="1"/>
  <c r="M164" i="16" a="1"/>
  <c r="M164" i="16" s="1"/>
  <c r="N164" i="16" a="1"/>
  <c r="N164" i="16" s="1"/>
  <c r="O164" i="16" a="1"/>
  <c r="O164" i="16" s="1"/>
  <c r="P164" i="16" a="1"/>
  <c r="P164" i="16" s="1"/>
  <c r="Q164" i="16" a="1"/>
  <c r="Q164" i="16" s="1"/>
  <c r="R164" i="16" a="1"/>
  <c r="R164" i="16" s="1"/>
  <c r="U164" i="16" a="1"/>
  <c r="U164" i="16" s="1"/>
  <c r="V164" i="16" a="1"/>
  <c r="V164" i="16" s="1"/>
  <c r="W164" i="16" a="1"/>
  <c r="W164" i="16" s="1"/>
  <c r="X164" i="16" a="1"/>
  <c r="X164" i="16" s="1"/>
  <c r="K165" i="16" a="1"/>
  <c r="K165" i="16" s="1"/>
  <c r="L165" i="16" a="1"/>
  <c r="L165" i="16" s="1"/>
  <c r="M165" i="16" a="1"/>
  <c r="M165" i="16" s="1"/>
  <c r="N165" i="16" a="1"/>
  <c r="N165" i="16" s="1"/>
  <c r="O165" i="16" a="1"/>
  <c r="O165" i="16" s="1"/>
  <c r="P165" i="16" a="1"/>
  <c r="P165" i="16" s="1"/>
  <c r="Q165" i="16" a="1"/>
  <c r="Q165" i="16" s="1"/>
  <c r="R165" i="16" a="1"/>
  <c r="R165" i="16" s="1"/>
  <c r="U165" i="16" a="1"/>
  <c r="U165" i="16" s="1"/>
  <c r="V165" i="16" a="1"/>
  <c r="V165" i="16" s="1"/>
  <c r="W165" i="16" a="1"/>
  <c r="W165" i="16" s="1"/>
  <c r="X165" i="16" a="1"/>
  <c r="X165" i="16" s="1"/>
  <c r="K166" i="16" a="1"/>
  <c r="K166" i="16" s="1"/>
  <c r="L166" i="16" a="1"/>
  <c r="L166" i="16" s="1"/>
  <c r="M166" i="16" a="1"/>
  <c r="M166" i="16" s="1"/>
  <c r="N166" i="16" a="1"/>
  <c r="N166" i="16" s="1"/>
  <c r="O166" i="16" a="1"/>
  <c r="O166" i="16" s="1"/>
  <c r="P166" i="16" a="1"/>
  <c r="P166" i="16" s="1"/>
  <c r="Q166" i="16" a="1"/>
  <c r="Q166" i="16" s="1"/>
  <c r="R166" i="16" a="1"/>
  <c r="R166" i="16" s="1"/>
  <c r="U166" i="16" a="1"/>
  <c r="U166" i="16" s="1"/>
  <c r="V166" i="16" a="1"/>
  <c r="V166" i="16" s="1"/>
  <c r="W166" i="16" a="1"/>
  <c r="W166" i="16" s="1"/>
  <c r="X166" i="16" a="1"/>
  <c r="X166" i="16" s="1"/>
  <c r="K167" i="16" a="1"/>
  <c r="K167" i="16" s="1"/>
  <c r="L167" i="16" a="1"/>
  <c r="L167" i="16" s="1"/>
  <c r="M167" i="16" a="1"/>
  <c r="M167" i="16" s="1"/>
  <c r="N167" i="16" a="1"/>
  <c r="N167" i="16" s="1"/>
  <c r="O167" i="16" a="1"/>
  <c r="O167" i="16" s="1"/>
  <c r="P167" i="16" a="1"/>
  <c r="P167" i="16" s="1"/>
  <c r="Q167" i="16" a="1"/>
  <c r="Q167" i="16" s="1"/>
  <c r="R167" i="16" a="1"/>
  <c r="R167" i="16" s="1"/>
  <c r="U167" i="16" a="1"/>
  <c r="U167" i="16" s="1"/>
  <c r="V167" i="16" a="1"/>
  <c r="V167" i="16" s="1"/>
  <c r="W167" i="16" a="1"/>
  <c r="W167" i="16" s="1"/>
  <c r="X167" i="16" a="1"/>
  <c r="X167" i="16" s="1"/>
  <c r="K168" i="16" a="1"/>
  <c r="K168" i="16" s="1"/>
  <c r="L168" i="16" a="1"/>
  <c r="L168" i="16" s="1"/>
  <c r="M168" i="16" a="1"/>
  <c r="M168" i="16" s="1"/>
  <c r="N168" i="16" a="1"/>
  <c r="N168" i="16" s="1"/>
  <c r="O168" i="16" a="1"/>
  <c r="O168" i="16" s="1"/>
  <c r="P168" i="16" a="1"/>
  <c r="P168" i="16" s="1"/>
  <c r="Q168" i="16" a="1"/>
  <c r="Q168" i="16" s="1"/>
  <c r="R168" i="16" a="1"/>
  <c r="R168" i="16" s="1"/>
  <c r="U168" i="16" a="1"/>
  <c r="U168" i="16" s="1"/>
  <c r="V168" i="16" a="1"/>
  <c r="V168" i="16" s="1"/>
  <c r="W168" i="16" a="1"/>
  <c r="W168" i="16" s="1"/>
  <c r="X168" i="16" a="1"/>
  <c r="X168" i="16" s="1"/>
  <c r="K169" i="16" a="1"/>
  <c r="K169" i="16" s="1"/>
  <c r="L169" i="16" a="1"/>
  <c r="L169" i="16" s="1"/>
  <c r="M169" i="16" a="1"/>
  <c r="M169" i="16" s="1"/>
  <c r="N169" i="16" a="1"/>
  <c r="N169" i="16" s="1"/>
  <c r="O169" i="16" a="1"/>
  <c r="O169" i="16" s="1"/>
  <c r="P169" i="16" a="1"/>
  <c r="P169" i="16" s="1"/>
  <c r="Q169" i="16" a="1"/>
  <c r="Q169" i="16" s="1"/>
  <c r="R169" i="16" a="1"/>
  <c r="R169" i="16" s="1"/>
  <c r="U169" i="16" a="1"/>
  <c r="U169" i="16" s="1"/>
  <c r="V169" i="16" a="1"/>
  <c r="V169" i="16" s="1"/>
  <c r="W169" i="16" a="1"/>
  <c r="W169" i="16" s="1"/>
  <c r="X169" i="16" a="1"/>
  <c r="X169" i="16" s="1"/>
  <c r="K170" i="16" a="1"/>
  <c r="K170" i="16" s="1"/>
  <c r="L170" i="16" a="1"/>
  <c r="L170" i="16" s="1"/>
  <c r="M170" i="16" a="1"/>
  <c r="M170" i="16" s="1"/>
  <c r="N170" i="16" a="1"/>
  <c r="N170" i="16" s="1"/>
  <c r="O170" i="16" a="1"/>
  <c r="O170" i="16" s="1"/>
  <c r="P170" i="16" a="1"/>
  <c r="P170" i="16" s="1"/>
  <c r="Q170" i="16" a="1"/>
  <c r="Q170" i="16" s="1"/>
  <c r="R170" i="16" a="1"/>
  <c r="R170" i="16" s="1"/>
  <c r="U170" i="16" a="1"/>
  <c r="U170" i="16" s="1"/>
  <c r="V170" i="16" a="1"/>
  <c r="V170" i="16" s="1"/>
  <c r="W170" i="16" a="1"/>
  <c r="W170" i="16" s="1"/>
  <c r="X170" i="16" a="1"/>
  <c r="X170" i="16" s="1"/>
  <c r="K171" i="16" a="1"/>
  <c r="K171" i="16" s="1"/>
  <c r="L171" i="16" a="1"/>
  <c r="L171" i="16" s="1"/>
  <c r="M171" i="16" a="1"/>
  <c r="M171" i="16" s="1"/>
  <c r="N171" i="16" a="1"/>
  <c r="N171" i="16" s="1"/>
  <c r="O171" i="16" a="1"/>
  <c r="O171" i="16" s="1"/>
  <c r="P171" i="16" a="1"/>
  <c r="P171" i="16" s="1"/>
  <c r="Q171" i="16" a="1"/>
  <c r="Q171" i="16" s="1"/>
  <c r="R171" i="16" a="1"/>
  <c r="R171" i="16" s="1"/>
  <c r="U171" i="16" a="1"/>
  <c r="U171" i="16" s="1"/>
  <c r="V171" i="16" a="1"/>
  <c r="V171" i="16" s="1"/>
  <c r="W171" i="16" a="1"/>
  <c r="W171" i="16" s="1"/>
  <c r="X171" i="16" a="1"/>
  <c r="X171" i="16" s="1"/>
  <c r="K172" i="16" a="1"/>
  <c r="K172" i="16" s="1"/>
  <c r="L172" i="16" a="1"/>
  <c r="L172" i="16" s="1"/>
  <c r="M172" i="16" a="1"/>
  <c r="M172" i="16" s="1"/>
  <c r="N172" i="16" a="1"/>
  <c r="N172" i="16" s="1"/>
  <c r="O172" i="16" a="1"/>
  <c r="O172" i="16" s="1"/>
  <c r="P172" i="16" a="1"/>
  <c r="P172" i="16" s="1"/>
  <c r="Q172" i="16" a="1"/>
  <c r="Q172" i="16" s="1"/>
  <c r="R172" i="16" a="1"/>
  <c r="R172" i="16" s="1"/>
  <c r="U172" i="16" a="1"/>
  <c r="U172" i="16" s="1"/>
  <c r="V172" i="16" a="1"/>
  <c r="V172" i="16" s="1"/>
  <c r="W172" i="16" a="1"/>
  <c r="W172" i="16" s="1"/>
  <c r="X172" i="16" a="1"/>
  <c r="X172" i="16" s="1"/>
  <c r="K173" i="16" a="1"/>
  <c r="K173" i="16" s="1"/>
  <c r="L173" i="16" a="1"/>
  <c r="L173" i="16" s="1"/>
  <c r="M173" i="16" a="1"/>
  <c r="M173" i="16" s="1"/>
  <c r="N173" i="16" a="1"/>
  <c r="N173" i="16" s="1"/>
  <c r="O173" i="16" a="1"/>
  <c r="O173" i="16" s="1"/>
  <c r="P173" i="16" a="1"/>
  <c r="P173" i="16" s="1"/>
  <c r="Q173" i="16" a="1"/>
  <c r="Q173" i="16" s="1"/>
  <c r="R173" i="16" a="1"/>
  <c r="R173" i="16" s="1"/>
  <c r="U173" i="16" a="1"/>
  <c r="U173" i="16" s="1"/>
  <c r="V173" i="16" a="1"/>
  <c r="V173" i="16" s="1"/>
  <c r="W173" i="16" a="1"/>
  <c r="W173" i="16" s="1"/>
  <c r="X173" i="16" a="1"/>
  <c r="X173" i="16" s="1"/>
  <c r="K174" i="16" a="1"/>
  <c r="K174" i="16" s="1"/>
  <c r="L174" i="16" a="1"/>
  <c r="L174" i="16" s="1"/>
  <c r="M174" i="16" a="1"/>
  <c r="M174" i="16" s="1"/>
  <c r="N174" i="16" a="1"/>
  <c r="N174" i="16" s="1"/>
  <c r="O174" i="16" a="1"/>
  <c r="O174" i="16" s="1"/>
  <c r="P174" i="16" a="1"/>
  <c r="P174" i="16" s="1"/>
  <c r="Q174" i="16" a="1"/>
  <c r="Q174" i="16" s="1"/>
  <c r="R174" i="16" a="1"/>
  <c r="R174" i="16" s="1"/>
  <c r="U174" i="16" a="1"/>
  <c r="U174" i="16" s="1"/>
  <c r="V174" i="16" a="1"/>
  <c r="V174" i="16" s="1"/>
  <c r="W174" i="16" a="1"/>
  <c r="W174" i="16" s="1"/>
  <c r="X174" i="16" a="1"/>
  <c r="X174" i="16" s="1"/>
  <c r="K175" i="16" a="1"/>
  <c r="K175" i="16" s="1"/>
  <c r="L175" i="16" a="1"/>
  <c r="L175" i="16" s="1"/>
  <c r="M175" i="16" a="1"/>
  <c r="M175" i="16" s="1"/>
  <c r="N175" i="16" a="1"/>
  <c r="N175" i="16" s="1"/>
  <c r="O175" i="16" a="1"/>
  <c r="O175" i="16" s="1"/>
  <c r="P175" i="16" a="1"/>
  <c r="P175" i="16" s="1"/>
  <c r="Q175" i="16" a="1"/>
  <c r="Q175" i="16" s="1"/>
  <c r="R175" i="16" a="1"/>
  <c r="R175" i="16" s="1"/>
  <c r="U175" i="16" a="1"/>
  <c r="U175" i="16" s="1"/>
  <c r="V175" i="16" a="1"/>
  <c r="V175" i="16" s="1"/>
  <c r="W175" i="16" a="1"/>
  <c r="W175" i="16" s="1"/>
  <c r="X175" i="16" a="1"/>
  <c r="X175" i="16" s="1"/>
  <c r="K176" i="16" a="1"/>
  <c r="K176" i="16" s="1"/>
  <c r="L176" i="16" a="1"/>
  <c r="L176" i="16" s="1"/>
  <c r="M176" i="16" a="1"/>
  <c r="M176" i="16" s="1"/>
  <c r="N176" i="16" a="1"/>
  <c r="N176" i="16" s="1"/>
  <c r="O176" i="16" a="1"/>
  <c r="O176" i="16" s="1"/>
  <c r="P176" i="16" a="1"/>
  <c r="P176" i="16" s="1"/>
  <c r="Q176" i="16" a="1"/>
  <c r="Q176" i="16" s="1"/>
  <c r="R176" i="16" a="1"/>
  <c r="R176" i="16" s="1"/>
  <c r="U176" i="16" a="1"/>
  <c r="U176" i="16" s="1"/>
  <c r="V176" i="16" a="1"/>
  <c r="V176" i="16" s="1"/>
  <c r="W176" i="16" a="1"/>
  <c r="W176" i="16" s="1"/>
  <c r="X176" i="16" a="1"/>
  <c r="X176" i="16" s="1"/>
  <c r="K177" i="16" a="1"/>
  <c r="K177" i="16" s="1"/>
  <c r="L177" i="16" a="1"/>
  <c r="L177" i="16" s="1"/>
  <c r="M177" i="16" a="1"/>
  <c r="M177" i="16" s="1"/>
  <c r="N177" i="16" a="1"/>
  <c r="N177" i="16" s="1"/>
  <c r="O177" i="16" a="1"/>
  <c r="O177" i="16" s="1"/>
  <c r="P177" i="16" a="1"/>
  <c r="P177" i="16" s="1"/>
  <c r="Q177" i="16" a="1"/>
  <c r="Q177" i="16" s="1"/>
  <c r="R177" i="16" a="1"/>
  <c r="R177" i="16" s="1"/>
  <c r="U177" i="16" a="1"/>
  <c r="U177" i="16" s="1"/>
  <c r="V177" i="16" a="1"/>
  <c r="V177" i="16" s="1"/>
  <c r="W177" i="16" a="1"/>
  <c r="W177" i="16" s="1"/>
  <c r="X177" i="16" a="1"/>
  <c r="X177" i="16" s="1"/>
  <c r="K178" i="16" a="1"/>
  <c r="K178" i="16" s="1"/>
  <c r="L178" i="16" a="1"/>
  <c r="L178" i="16" s="1"/>
  <c r="M178" i="16" a="1"/>
  <c r="M178" i="16" s="1"/>
  <c r="N178" i="16" a="1"/>
  <c r="N178" i="16" s="1"/>
  <c r="O178" i="16" a="1"/>
  <c r="O178" i="16" s="1"/>
  <c r="P178" i="16" a="1"/>
  <c r="P178" i="16" s="1"/>
  <c r="Q178" i="16" a="1"/>
  <c r="Q178" i="16" s="1"/>
  <c r="R178" i="16" a="1"/>
  <c r="R178" i="16" s="1"/>
  <c r="U178" i="16" a="1"/>
  <c r="U178" i="16" s="1"/>
  <c r="V178" i="16" a="1"/>
  <c r="V178" i="16" s="1"/>
  <c r="W178" i="16" a="1"/>
  <c r="W178" i="16" s="1"/>
  <c r="X178" i="16" a="1"/>
  <c r="X178" i="16" s="1"/>
  <c r="K179" i="16" a="1"/>
  <c r="K179" i="16" s="1"/>
  <c r="L179" i="16" a="1"/>
  <c r="L179" i="16" s="1"/>
  <c r="M179" i="16" a="1"/>
  <c r="M179" i="16" s="1"/>
  <c r="N179" i="16" a="1"/>
  <c r="N179" i="16" s="1"/>
  <c r="O179" i="16" a="1"/>
  <c r="O179" i="16" s="1"/>
  <c r="P179" i="16" a="1"/>
  <c r="P179" i="16" s="1"/>
  <c r="Q179" i="16" a="1"/>
  <c r="Q179" i="16" s="1"/>
  <c r="R179" i="16" a="1"/>
  <c r="R179" i="16" s="1"/>
  <c r="U179" i="16" a="1"/>
  <c r="U179" i="16" s="1"/>
  <c r="V179" i="16" a="1"/>
  <c r="V179" i="16" s="1"/>
  <c r="W179" i="16" a="1"/>
  <c r="W179" i="16" s="1"/>
  <c r="X179" i="16" a="1"/>
  <c r="X179" i="16" s="1"/>
  <c r="K180" i="16" a="1"/>
  <c r="K180" i="16" s="1"/>
  <c r="L180" i="16" a="1"/>
  <c r="L180" i="16" s="1"/>
  <c r="M180" i="16" a="1"/>
  <c r="M180" i="16" s="1"/>
  <c r="N180" i="16" a="1"/>
  <c r="N180" i="16" s="1"/>
  <c r="O180" i="16" a="1"/>
  <c r="O180" i="16" s="1"/>
  <c r="P180" i="16" a="1"/>
  <c r="P180" i="16" s="1"/>
  <c r="Q180" i="16" a="1"/>
  <c r="Q180" i="16" s="1"/>
  <c r="R180" i="16" a="1"/>
  <c r="R180" i="16" s="1"/>
  <c r="U180" i="16" a="1"/>
  <c r="U180" i="16" s="1"/>
  <c r="V180" i="16" a="1"/>
  <c r="V180" i="16" s="1"/>
  <c r="W180" i="16" a="1"/>
  <c r="W180" i="16" s="1"/>
  <c r="X180" i="16" a="1"/>
  <c r="X180" i="16" s="1"/>
  <c r="K181" i="16" a="1"/>
  <c r="K181" i="16" s="1"/>
  <c r="L181" i="16" a="1"/>
  <c r="L181" i="16" s="1"/>
  <c r="M181" i="16" a="1"/>
  <c r="M181" i="16" s="1"/>
  <c r="N181" i="16" a="1"/>
  <c r="N181" i="16" s="1"/>
  <c r="O181" i="16" a="1"/>
  <c r="O181" i="16" s="1"/>
  <c r="P181" i="16" a="1"/>
  <c r="P181" i="16" s="1"/>
  <c r="Q181" i="16" a="1"/>
  <c r="Q181" i="16" s="1"/>
  <c r="R181" i="16" a="1"/>
  <c r="R181" i="16" s="1"/>
  <c r="U181" i="16" a="1"/>
  <c r="U181" i="16" s="1"/>
  <c r="V181" i="16" a="1"/>
  <c r="V181" i="16" s="1"/>
  <c r="W181" i="16" a="1"/>
  <c r="W181" i="16" s="1"/>
  <c r="X181" i="16" a="1"/>
  <c r="X181" i="16" s="1"/>
  <c r="K182" i="16" a="1"/>
  <c r="K182" i="16" s="1"/>
  <c r="L182" i="16" a="1"/>
  <c r="L182" i="16" s="1"/>
  <c r="M182" i="16" a="1"/>
  <c r="M182" i="16" s="1"/>
  <c r="N182" i="16" a="1"/>
  <c r="N182" i="16" s="1"/>
  <c r="O182" i="16" a="1"/>
  <c r="O182" i="16" s="1"/>
  <c r="P182" i="16" a="1"/>
  <c r="P182" i="16" s="1"/>
  <c r="Q182" i="16" a="1"/>
  <c r="Q182" i="16" s="1"/>
  <c r="R182" i="16" a="1"/>
  <c r="R182" i="16" s="1"/>
  <c r="U182" i="16" a="1"/>
  <c r="U182" i="16" s="1"/>
  <c r="V182" i="16" a="1"/>
  <c r="V182" i="16" s="1"/>
  <c r="W182" i="16" a="1"/>
  <c r="W182" i="16" s="1"/>
  <c r="X182" i="16" a="1"/>
  <c r="X182" i="16" s="1"/>
  <c r="K183" i="16" a="1"/>
  <c r="K183" i="16" s="1"/>
  <c r="L183" i="16" a="1"/>
  <c r="L183" i="16" s="1"/>
  <c r="M183" i="16" a="1"/>
  <c r="M183" i="16" s="1"/>
  <c r="N183" i="16" a="1"/>
  <c r="N183" i="16" s="1"/>
  <c r="O183" i="16" a="1"/>
  <c r="O183" i="16" s="1"/>
  <c r="P183" i="16" a="1"/>
  <c r="P183" i="16" s="1"/>
  <c r="Q183" i="16" a="1"/>
  <c r="Q183" i="16" s="1"/>
  <c r="R183" i="16" a="1"/>
  <c r="R183" i="16" s="1"/>
  <c r="U183" i="16" a="1"/>
  <c r="U183" i="16" s="1"/>
  <c r="V183" i="16" a="1"/>
  <c r="V183" i="16" s="1"/>
  <c r="W183" i="16" a="1"/>
  <c r="W183" i="16" s="1"/>
  <c r="X183" i="16" a="1"/>
  <c r="X183" i="16" s="1"/>
  <c r="K184" i="16" a="1"/>
  <c r="K184" i="16" s="1"/>
  <c r="L184" i="16" a="1"/>
  <c r="L184" i="16" s="1"/>
  <c r="M184" i="16" a="1"/>
  <c r="M184" i="16" s="1"/>
  <c r="N184" i="16" a="1"/>
  <c r="N184" i="16" s="1"/>
  <c r="O184" i="16" a="1"/>
  <c r="O184" i="16" s="1"/>
  <c r="P184" i="16" a="1"/>
  <c r="P184" i="16" s="1"/>
  <c r="Q184" i="16" a="1"/>
  <c r="Q184" i="16" s="1"/>
  <c r="R184" i="16" a="1"/>
  <c r="R184" i="16" s="1"/>
  <c r="U184" i="16" a="1"/>
  <c r="U184" i="16" s="1"/>
  <c r="V184" i="16" a="1"/>
  <c r="V184" i="16" s="1"/>
  <c r="W184" i="16" a="1"/>
  <c r="W184" i="16" s="1"/>
  <c r="X184" i="16" a="1"/>
  <c r="X184" i="16" s="1"/>
  <c r="K185" i="16" a="1"/>
  <c r="K185" i="16" s="1"/>
  <c r="L185" i="16" a="1"/>
  <c r="L185" i="16" s="1"/>
  <c r="M185" i="16" a="1"/>
  <c r="M185" i="16" s="1"/>
  <c r="N185" i="16" a="1"/>
  <c r="N185" i="16" s="1"/>
  <c r="O185" i="16" a="1"/>
  <c r="O185" i="16" s="1"/>
  <c r="P185" i="16" a="1"/>
  <c r="P185" i="16" s="1"/>
  <c r="Q185" i="16" a="1"/>
  <c r="Q185" i="16" s="1"/>
  <c r="R185" i="16" a="1"/>
  <c r="R185" i="16" s="1"/>
  <c r="U185" i="16" a="1"/>
  <c r="U185" i="16" s="1"/>
  <c r="V185" i="16" a="1"/>
  <c r="V185" i="16" s="1"/>
  <c r="W185" i="16" a="1"/>
  <c r="W185" i="16" s="1"/>
  <c r="X185" i="16" a="1"/>
  <c r="X185" i="16" s="1"/>
  <c r="K186" i="16" a="1"/>
  <c r="K186" i="16" s="1"/>
  <c r="L186" i="16" a="1"/>
  <c r="L186" i="16" s="1"/>
  <c r="M186" i="16" a="1"/>
  <c r="M186" i="16" s="1"/>
  <c r="N186" i="16" a="1"/>
  <c r="N186" i="16" s="1"/>
  <c r="O186" i="16" a="1"/>
  <c r="O186" i="16" s="1"/>
  <c r="P186" i="16" a="1"/>
  <c r="P186" i="16" s="1"/>
  <c r="Q186" i="16" a="1"/>
  <c r="Q186" i="16" s="1"/>
  <c r="R186" i="16" a="1"/>
  <c r="R186" i="16" s="1"/>
  <c r="U186" i="16" a="1"/>
  <c r="U186" i="16" s="1"/>
  <c r="V186" i="16" a="1"/>
  <c r="V186" i="16" s="1"/>
  <c r="W186" i="16" a="1"/>
  <c r="W186" i="16" s="1"/>
  <c r="X186" i="16" a="1"/>
  <c r="X186" i="16" s="1"/>
  <c r="K187" i="16" a="1"/>
  <c r="K187" i="16" s="1"/>
  <c r="L187" i="16" a="1"/>
  <c r="L187" i="16" s="1"/>
  <c r="M187" i="16" a="1"/>
  <c r="M187" i="16" s="1"/>
  <c r="N187" i="16" a="1"/>
  <c r="N187" i="16" s="1"/>
  <c r="O187" i="16" a="1"/>
  <c r="O187" i="16" s="1"/>
  <c r="P187" i="16" a="1"/>
  <c r="P187" i="16" s="1"/>
  <c r="Q187" i="16" a="1"/>
  <c r="Q187" i="16" s="1"/>
  <c r="R187" i="16" a="1"/>
  <c r="R187" i="16" s="1"/>
  <c r="U187" i="16" a="1"/>
  <c r="U187" i="16" s="1"/>
  <c r="V187" i="16" a="1"/>
  <c r="V187" i="16" s="1"/>
  <c r="W187" i="16" a="1"/>
  <c r="W187" i="16" s="1"/>
  <c r="X187" i="16" a="1"/>
  <c r="X187" i="16" s="1"/>
  <c r="K188" i="16" a="1"/>
  <c r="K188" i="16" s="1"/>
  <c r="L188" i="16" a="1"/>
  <c r="L188" i="16" s="1"/>
  <c r="M188" i="16" a="1"/>
  <c r="M188" i="16" s="1"/>
  <c r="N188" i="16" a="1"/>
  <c r="N188" i="16" s="1"/>
  <c r="O188" i="16" a="1"/>
  <c r="O188" i="16" s="1"/>
  <c r="P188" i="16" a="1"/>
  <c r="P188" i="16" s="1"/>
  <c r="Q188" i="16" a="1"/>
  <c r="Q188" i="16" s="1"/>
  <c r="R188" i="16" a="1"/>
  <c r="R188" i="16" s="1"/>
  <c r="U188" i="16" a="1"/>
  <c r="U188" i="16" s="1"/>
  <c r="V188" i="16" a="1"/>
  <c r="V188" i="16" s="1"/>
  <c r="W188" i="16" a="1"/>
  <c r="W188" i="16" s="1"/>
  <c r="X188" i="16" a="1"/>
  <c r="X188" i="16" s="1"/>
  <c r="K189" i="16" a="1"/>
  <c r="K189" i="16" s="1"/>
  <c r="L189" i="16" a="1"/>
  <c r="L189" i="16" s="1"/>
  <c r="M189" i="16" a="1"/>
  <c r="M189" i="16" s="1"/>
  <c r="N189" i="16" a="1"/>
  <c r="N189" i="16" s="1"/>
  <c r="O189" i="16" a="1"/>
  <c r="O189" i="16" s="1"/>
  <c r="P189" i="16" a="1"/>
  <c r="P189" i="16" s="1"/>
  <c r="Q189" i="16" a="1"/>
  <c r="Q189" i="16" s="1"/>
  <c r="R189" i="16" a="1"/>
  <c r="R189" i="16" s="1"/>
  <c r="U189" i="16" a="1"/>
  <c r="U189" i="16" s="1"/>
  <c r="V189" i="16" a="1"/>
  <c r="V189" i="16" s="1"/>
  <c r="W189" i="16" a="1"/>
  <c r="W189" i="16" s="1"/>
  <c r="X189" i="16" a="1"/>
  <c r="X189" i="16" s="1"/>
  <c r="K190" i="16" a="1"/>
  <c r="K190" i="16" s="1"/>
  <c r="L190" i="16" a="1"/>
  <c r="L190" i="16" s="1"/>
  <c r="M190" i="16" a="1"/>
  <c r="M190" i="16" s="1"/>
  <c r="N190" i="16" a="1"/>
  <c r="N190" i="16" s="1"/>
  <c r="O190" i="16" a="1"/>
  <c r="O190" i="16" s="1"/>
  <c r="P190" i="16" a="1"/>
  <c r="P190" i="16" s="1"/>
  <c r="Q190" i="16" a="1"/>
  <c r="Q190" i="16" s="1"/>
  <c r="R190" i="16" a="1"/>
  <c r="R190" i="16" s="1"/>
  <c r="U190" i="16" a="1"/>
  <c r="U190" i="16" s="1"/>
  <c r="V190" i="16" a="1"/>
  <c r="V190" i="16" s="1"/>
  <c r="W190" i="16" a="1"/>
  <c r="W190" i="16" s="1"/>
  <c r="X190" i="16" a="1"/>
  <c r="X190" i="16" s="1"/>
  <c r="K191" i="16" a="1"/>
  <c r="K191" i="16" s="1"/>
  <c r="L191" i="16" a="1"/>
  <c r="L191" i="16" s="1"/>
  <c r="M191" i="16" a="1"/>
  <c r="M191" i="16" s="1"/>
  <c r="N191" i="16" a="1"/>
  <c r="N191" i="16" s="1"/>
  <c r="O191" i="16" a="1"/>
  <c r="O191" i="16" s="1"/>
  <c r="P191" i="16" a="1"/>
  <c r="P191" i="16" s="1"/>
  <c r="Q191" i="16" a="1"/>
  <c r="Q191" i="16" s="1"/>
  <c r="R191" i="16" a="1"/>
  <c r="R191" i="16" s="1"/>
  <c r="U191" i="16" a="1"/>
  <c r="U191" i="16" s="1"/>
  <c r="V191" i="16" a="1"/>
  <c r="V191" i="16" s="1"/>
  <c r="W191" i="16" a="1"/>
  <c r="W191" i="16" s="1"/>
  <c r="X191" i="16" a="1"/>
  <c r="X191" i="16" s="1"/>
  <c r="K192" i="16" a="1"/>
  <c r="K192" i="16" s="1"/>
  <c r="L192" i="16" a="1"/>
  <c r="L192" i="16" s="1"/>
  <c r="M192" i="16" a="1"/>
  <c r="M192" i="16" s="1"/>
  <c r="N192" i="16" a="1"/>
  <c r="N192" i="16" s="1"/>
  <c r="O192" i="16" a="1"/>
  <c r="O192" i="16" s="1"/>
  <c r="P192" i="16" a="1"/>
  <c r="P192" i="16" s="1"/>
  <c r="Q192" i="16" a="1"/>
  <c r="Q192" i="16" s="1"/>
  <c r="R192" i="16" a="1"/>
  <c r="R192" i="16" s="1"/>
  <c r="U192" i="16" a="1"/>
  <c r="U192" i="16" s="1"/>
  <c r="V192" i="16" a="1"/>
  <c r="V192" i="16" s="1"/>
  <c r="W192" i="16" a="1"/>
  <c r="W192" i="16" s="1"/>
  <c r="X192" i="16" a="1"/>
  <c r="X192" i="16" s="1"/>
  <c r="K193" i="16" a="1"/>
  <c r="K193" i="16" s="1"/>
  <c r="L193" i="16" a="1"/>
  <c r="L193" i="16" s="1"/>
  <c r="M193" i="16" a="1"/>
  <c r="M193" i="16" s="1"/>
  <c r="N193" i="16" a="1"/>
  <c r="N193" i="16" s="1"/>
  <c r="O193" i="16" a="1"/>
  <c r="O193" i="16" s="1"/>
  <c r="P193" i="16" a="1"/>
  <c r="P193" i="16" s="1"/>
  <c r="Q193" i="16" a="1"/>
  <c r="Q193" i="16" s="1"/>
  <c r="R193" i="16" a="1"/>
  <c r="R193" i="16" s="1"/>
  <c r="U193" i="16" a="1"/>
  <c r="U193" i="16" s="1"/>
  <c r="V193" i="16" a="1"/>
  <c r="V193" i="16" s="1"/>
  <c r="W193" i="16" a="1"/>
  <c r="W193" i="16" s="1"/>
  <c r="X193" i="16" a="1"/>
  <c r="X193" i="16" s="1"/>
  <c r="K194" i="16" a="1"/>
  <c r="K194" i="16" s="1"/>
  <c r="L194" i="16" a="1"/>
  <c r="L194" i="16" s="1"/>
  <c r="M194" i="16" a="1"/>
  <c r="M194" i="16" s="1"/>
  <c r="N194" i="16" a="1"/>
  <c r="N194" i="16" s="1"/>
  <c r="O194" i="16" a="1"/>
  <c r="O194" i="16" s="1"/>
  <c r="P194" i="16" a="1"/>
  <c r="P194" i="16" s="1"/>
  <c r="Q194" i="16" a="1"/>
  <c r="Q194" i="16" s="1"/>
  <c r="R194" i="16" a="1"/>
  <c r="R194" i="16" s="1"/>
  <c r="U194" i="16" a="1"/>
  <c r="U194" i="16" s="1"/>
  <c r="V194" i="16" a="1"/>
  <c r="V194" i="16" s="1"/>
  <c r="W194" i="16" a="1"/>
  <c r="W194" i="16" s="1"/>
  <c r="X194" i="16" a="1"/>
  <c r="X194" i="16" s="1"/>
  <c r="K195" i="16" a="1"/>
  <c r="K195" i="16" s="1"/>
  <c r="L195" i="16" a="1"/>
  <c r="L195" i="16" s="1"/>
  <c r="M195" i="16" a="1"/>
  <c r="M195" i="16" s="1"/>
  <c r="N195" i="16" a="1"/>
  <c r="N195" i="16" s="1"/>
  <c r="O195" i="16" a="1"/>
  <c r="O195" i="16" s="1"/>
  <c r="P195" i="16" a="1"/>
  <c r="P195" i="16" s="1"/>
  <c r="Q195" i="16" a="1"/>
  <c r="Q195" i="16" s="1"/>
  <c r="R195" i="16" a="1"/>
  <c r="R195" i="16" s="1"/>
  <c r="U195" i="16" a="1"/>
  <c r="U195" i="16" s="1"/>
  <c r="V195" i="16" a="1"/>
  <c r="V195" i="16" s="1"/>
  <c r="W195" i="16" a="1"/>
  <c r="W195" i="16" s="1"/>
  <c r="X195" i="16" a="1"/>
  <c r="X195" i="16" s="1"/>
  <c r="K196" i="16" a="1"/>
  <c r="K196" i="16" s="1"/>
  <c r="L196" i="16" a="1"/>
  <c r="L196" i="16" s="1"/>
  <c r="M196" i="16" a="1"/>
  <c r="M196" i="16" s="1"/>
  <c r="N196" i="16" a="1"/>
  <c r="N196" i="16" s="1"/>
  <c r="O196" i="16" a="1"/>
  <c r="O196" i="16" s="1"/>
  <c r="P196" i="16" a="1"/>
  <c r="P196" i="16" s="1"/>
  <c r="Q196" i="16" a="1"/>
  <c r="Q196" i="16" s="1"/>
  <c r="R196" i="16" a="1"/>
  <c r="R196" i="16" s="1"/>
  <c r="U196" i="16" a="1"/>
  <c r="U196" i="16" s="1"/>
  <c r="V196" i="16" a="1"/>
  <c r="V196" i="16" s="1"/>
  <c r="W196" i="16" a="1"/>
  <c r="W196" i="16" s="1"/>
  <c r="X196" i="16" a="1"/>
  <c r="X196" i="16" s="1"/>
  <c r="K197" i="16" a="1"/>
  <c r="K197" i="16" s="1"/>
  <c r="L197" i="16" a="1"/>
  <c r="L197" i="16" s="1"/>
  <c r="M197" i="16" a="1"/>
  <c r="M197" i="16" s="1"/>
  <c r="N197" i="16" a="1"/>
  <c r="N197" i="16" s="1"/>
  <c r="O197" i="16" a="1"/>
  <c r="O197" i="16" s="1"/>
  <c r="P197" i="16" a="1"/>
  <c r="P197" i="16" s="1"/>
  <c r="Q197" i="16" a="1"/>
  <c r="Q197" i="16" s="1"/>
  <c r="R197" i="16" a="1"/>
  <c r="R197" i="16" s="1"/>
  <c r="U197" i="16" a="1"/>
  <c r="U197" i="16" s="1"/>
  <c r="V197" i="16" a="1"/>
  <c r="V197" i="16" s="1"/>
  <c r="W197" i="16" a="1"/>
  <c r="W197" i="16" s="1"/>
  <c r="X197" i="16" a="1"/>
  <c r="X197" i="16" s="1"/>
  <c r="K198" i="16" a="1"/>
  <c r="K198" i="16" s="1"/>
  <c r="L198" i="16" a="1"/>
  <c r="L198" i="16" s="1"/>
  <c r="M198" i="16" a="1"/>
  <c r="M198" i="16" s="1"/>
  <c r="N198" i="16" a="1"/>
  <c r="N198" i="16" s="1"/>
  <c r="O198" i="16" a="1"/>
  <c r="O198" i="16" s="1"/>
  <c r="P198" i="16" a="1"/>
  <c r="P198" i="16" s="1"/>
  <c r="Q198" i="16" a="1"/>
  <c r="Q198" i="16" s="1"/>
  <c r="R198" i="16" a="1"/>
  <c r="R198" i="16" s="1"/>
  <c r="U198" i="16" a="1"/>
  <c r="U198" i="16" s="1"/>
  <c r="V198" i="16" a="1"/>
  <c r="V198" i="16" s="1"/>
  <c r="W198" i="16" a="1"/>
  <c r="W198" i="16" s="1"/>
  <c r="X198" i="16" a="1"/>
  <c r="X198" i="16" s="1"/>
  <c r="K199" i="16" a="1"/>
  <c r="K199" i="16" s="1"/>
  <c r="L199" i="16" a="1"/>
  <c r="L199" i="16" s="1"/>
  <c r="M199" i="16" a="1"/>
  <c r="M199" i="16" s="1"/>
  <c r="N199" i="16" a="1"/>
  <c r="N199" i="16" s="1"/>
  <c r="O199" i="16" a="1"/>
  <c r="O199" i="16" s="1"/>
  <c r="P199" i="16" a="1"/>
  <c r="P199" i="16" s="1"/>
  <c r="Q199" i="16" a="1"/>
  <c r="Q199" i="16" s="1"/>
  <c r="R199" i="16" a="1"/>
  <c r="R199" i="16" s="1"/>
  <c r="U199" i="16" a="1"/>
  <c r="U199" i="16" s="1"/>
  <c r="V199" i="16" a="1"/>
  <c r="V199" i="16" s="1"/>
  <c r="W199" i="16" a="1"/>
  <c r="W199" i="16" s="1"/>
  <c r="X199" i="16" a="1"/>
  <c r="X199" i="16" s="1"/>
  <c r="K200" i="16" a="1"/>
  <c r="K200" i="16" s="1"/>
  <c r="L200" i="16" a="1"/>
  <c r="L200" i="16" s="1"/>
  <c r="M200" i="16" a="1"/>
  <c r="M200" i="16" s="1"/>
  <c r="N200" i="16" a="1"/>
  <c r="N200" i="16" s="1"/>
  <c r="O200" i="16" a="1"/>
  <c r="O200" i="16" s="1"/>
  <c r="P200" i="16" a="1"/>
  <c r="P200" i="16" s="1"/>
  <c r="Q200" i="16" a="1"/>
  <c r="Q200" i="16" s="1"/>
  <c r="R200" i="16" a="1"/>
  <c r="R200" i="16" s="1"/>
  <c r="U200" i="16" a="1"/>
  <c r="U200" i="16" s="1"/>
  <c r="V200" i="16" a="1"/>
  <c r="V200" i="16" s="1"/>
  <c r="W200" i="16" a="1"/>
  <c r="W200" i="16" s="1"/>
  <c r="X200" i="16" a="1"/>
  <c r="X200" i="16" s="1"/>
  <c r="K201" i="16" a="1"/>
  <c r="K201" i="16" s="1"/>
  <c r="L201" i="16" a="1"/>
  <c r="L201" i="16" s="1"/>
  <c r="M201" i="16" a="1"/>
  <c r="M201" i="16" s="1"/>
  <c r="N201" i="16" a="1"/>
  <c r="N201" i="16" s="1"/>
  <c r="O201" i="16" a="1"/>
  <c r="O201" i="16" s="1"/>
  <c r="P201" i="16" a="1"/>
  <c r="P201" i="16" s="1"/>
  <c r="Q201" i="16" a="1"/>
  <c r="Q201" i="16" s="1"/>
  <c r="R201" i="16" a="1"/>
  <c r="R201" i="16" s="1"/>
  <c r="U201" i="16" a="1"/>
  <c r="U201" i="16" s="1"/>
  <c r="V201" i="16" a="1"/>
  <c r="V201" i="16" s="1"/>
  <c r="W201" i="16" a="1"/>
  <c r="W201" i="16" s="1"/>
  <c r="X201" i="16" a="1"/>
  <c r="X201" i="16" s="1"/>
  <c r="K202" i="16" a="1"/>
  <c r="K202" i="16" s="1"/>
  <c r="L202" i="16" a="1"/>
  <c r="L202" i="16" s="1"/>
  <c r="M202" i="16" a="1"/>
  <c r="M202" i="16" s="1"/>
  <c r="N202" i="16" a="1"/>
  <c r="N202" i="16" s="1"/>
  <c r="O202" i="16" a="1"/>
  <c r="O202" i="16" s="1"/>
  <c r="P202" i="16" a="1"/>
  <c r="P202" i="16" s="1"/>
  <c r="Q202" i="16" a="1"/>
  <c r="Q202" i="16" s="1"/>
  <c r="R202" i="16" a="1"/>
  <c r="R202" i="16" s="1"/>
  <c r="U202" i="16" a="1"/>
  <c r="U202" i="16" s="1"/>
  <c r="V202" i="16" a="1"/>
  <c r="V202" i="16" s="1"/>
  <c r="W202" i="16" a="1"/>
  <c r="W202" i="16" s="1"/>
  <c r="X202" i="16" a="1"/>
  <c r="X202" i="16" s="1"/>
  <c r="K203" i="16" a="1"/>
  <c r="K203" i="16" s="1"/>
  <c r="L203" i="16" a="1"/>
  <c r="L203" i="16" s="1"/>
  <c r="M203" i="16" a="1"/>
  <c r="M203" i="16" s="1"/>
  <c r="N203" i="16" a="1"/>
  <c r="N203" i="16" s="1"/>
  <c r="O203" i="16" a="1"/>
  <c r="O203" i="16" s="1"/>
  <c r="P203" i="16" a="1"/>
  <c r="P203" i="16" s="1"/>
  <c r="Q203" i="16" a="1"/>
  <c r="Q203" i="16" s="1"/>
  <c r="R203" i="16" a="1"/>
  <c r="R203" i="16" s="1"/>
  <c r="U203" i="16" a="1"/>
  <c r="U203" i="16" s="1"/>
  <c r="V203" i="16" a="1"/>
  <c r="V203" i="16" s="1"/>
  <c r="W203" i="16" a="1"/>
  <c r="W203" i="16" s="1"/>
  <c r="X203" i="16" a="1"/>
  <c r="X203" i="16" s="1"/>
  <c r="K204" i="16" a="1"/>
  <c r="K204" i="16" s="1"/>
  <c r="L204" i="16" a="1"/>
  <c r="L204" i="16" s="1"/>
  <c r="M204" i="16" a="1"/>
  <c r="M204" i="16" s="1"/>
  <c r="N204" i="16" a="1"/>
  <c r="N204" i="16" s="1"/>
  <c r="O204" i="16" a="1"/>
  <c r="O204" i="16" s="1"/>
  <c r="P204" i="16" a="1"/>
  <c r="P204" i="16" s="1"/>
  <c r="Q204" i="16" a="1"/>
  <c r="Q204" i="16" s="1"/>
  <c r="R204" i="16" a="1"/>
  <c r="R204" i="16" s="1"/>
  <c r="U204" i="16" a="1"/>
  <c r="U204" i="16" s="1"/>
  <c r="V204" i="16" a="1"/>
  <c r="V204" i="16" s="1"/>
  <c r="W204" i="16" a="1"/>
  <c r="W204" i="16" s="1"/>
  <c r="X204" i="16" a="1"/>
  <c r="X204" i="16" s="1"/>
  <c r="K205" i="16" a="1"/>
  <c r="K205" i="16" s="1"/>
  <c r="L205" i="16" a="1"/>
  <c r="L205" i="16" s="1"/>
  <c r="M205" i="16" a="1"/>
  <c r="M205" i="16" s="1"/>
  <c r="N205" i="16" a="1"/>
  <c r="N205" i="16" s="1"/>
  <c r="O205" i="16" a="1"/>
  <c r="O205" i="16" s="1"/>
  <c r="P205" i="16" a="1"/>
  <c r="P205" i="16" s="1"/>
  <c r="Q205" i="16" a="1"/>
  <c r="Q205" i="16" s="1"/>
  <c r="R205" i="16" a="1"/>
  <c r="R205" i="16" s="1"/>
  <c r="U205" i="16" a="1"/>
  <c r="U205" i="16" s="1"/>
  <c r="V205" i="16" a="1"/>
  <c r="V205" i="16" s="1"/>
  <c r="W205" i="16" a="1"/>
  <c r="W205" i="16" s="1"/>
  <c r="X205" i="16" a="1"/>
  <c r="X205" i="16" s="1"/>
  <c r="K206" i="16" a="1"/>
  <c r="K206" i="16" s="1"/>
  <c r="L206" i="16" a="1"/>
  <c r="L206" i="16" s="1"/>
  <c r="M206" i="16" a="1"/>
  <c r="M206" i="16" s="1"/>
  <c r="N206" i="16" a="1"/>
  <c r="N206" i="16" s="1"/>
  <c r="O206" i="16" a="1"/>
  <c r="O206" i="16" s="1"/>
  <c r="P206" i="16" a="1"/>
  <c r="P206" i="16" s="1"/>
  <c r="Q206" i="16" a="1"/>
  <c r="Q206" i="16" s="1"/>
  <c r="R206" i="16" a="1"/>
  <c r="R206" i="16" s="1"/>
  <c r="U206" i="16" a="1"/>
  <c r="U206" i="16" s="1"/>
  <c r="V206" i="16" a="1"/>
  <c r="V206" i="16" s="1"/>
  <c r="W206" i="16" a="1"/>
  <c r="W206" i="16" s="1"/>
  <c r="X206" i="16" a="1"/>
  <c r="X206" i="16" s="1"/>
  <c r="K207" i="16" a="1"/>
  <c r="K207" i="16" s="1"/>
  <c r="L207" i="16" a="1"/>
  <c r="L207" i="16" s="1"/>
  <c r="M207" i="16" a="1"/>
  <c r="M207" i="16" s="1"/>
  <c r="N207" i="16" a="1"/>
  <c r="N207" i="16" s="1"/>
  <c r="O207" i="16" a="1"/>
  <c r="O207" i="16" s="1"/>
  <c r="P207" i="16" a="1"/>
  <c r="P207" i="16" s="1"/>
  <c r="Q207" i="16" a="1"/>
  <c r="Q207" i="16" s="1"/>
  <c r="R207" i="16" a="1"/>
  <c r="R207" i="16" s="1"/>
  <c r="U207" i="16" a="1"/>
  <c r="U207" i="16" s="1"/>
  <c r="V207" i="16" a="1"/>
  <c r="V207" i="16" s="1"/>
  <c r="W207" i="16" a="1"/>
  <c r="W207" i="16" s="1"/>
  <c r="X207" i="16" a="1"/>
  <c r="X207" i="16" s="1"/>
  <c r="K208" i="16" a="1"/>
  <c r="K208" i="16" s="1"/>
  <c r="L208" i="16" a="1"/>
  <c r="L208" i="16" s="1"/>
  <c r="M208" i="16" a="1"/>
  <c r="M208" i="16" s="1"/>
  <c r="N208" i="16" a="1"/>
  <c r="N208" i="16" s="1"/>
  <c r="O208" i="16" a="1"/>
  <c r="O208" i="16" s="1"/>
  <c r="P208" i="16" a="1"/>
  <c r="P208" i="16" s="1"/>
  <c r="Q208" i="16" a="1"/>
  <c r="Q208" i="16" s="1"/>
  <c r="R208" i="16" a="1"/>
  <c r="R208" i="16" s="1"/>
  <c r="U208" i="16" a="1"/>
  <c r="U208" i="16" s="1"/>
  <c r="V208" i="16" a="1"/>
  <c r="V208" i="16" s="1"/>
  <c r="W208" i="16" a="1"/>
  <c r="W208" i="16" s="1"/>
  <c r="X208" i="16" a="1"/>
  <c r="X208" i="16" s="1"/>
  <c r="K209" i="16" a="1"/>
  <c r="K209" i="16" s="1"/>
  <c r="L209" i="16" a="1"/>
  <c r="L209" i="16" s="1"/>
  <c r="M209" i="16" a="1"/>
  <c r="M209" i="16" s="1"/>
  <c r="N209" i="16" a="1"/>
  <c r="N209" i="16" s="1"/>
  <c r="O209" i="16" a="1"/>
  <c r="O209" i="16" s="1"/>
  <c r="P209" i="16" a="1"/>
  <c r="P209" i="16" s="1"/>
  <c r="Q209" i="16" a="1"/>
  <c r="Q209" i="16" s="1"/>
  <c r="R209" i="16" a="1"/>
  <c r="R209" i="16" s="1"/>
  <c r="U209" i="16" a="1"/>
  <c r="U209" i="16" s="1"/>
  <c r="V209" i="16" a="1"/>
  <c r="V209" i="16" s="1"/>
  <c r="W209" i="16" a="1"/>
  <c r="W209" i="16" s="1"/>
  <c r="X209" i="16" a="1"/>
  <c r="X209" i="16" s="1"/>
  <c r="K210" i="16" a="1"/>
  <c r="K210" i="16" s="1"/>
  <c r="L210" i="16" a="1"/>
  <c r="L210" i="16" s="1"/>
  <c r="M210" i="16" a="1"/>
  <c r="M210" i="16" s="1"/>
  <c r="N210" i="16" a="1"/>
  <c r="N210" i="16" s="1"/>
  <c r="O210" i="16" a="1"/>
  <c r="O210" i="16" s="1"/>
  <c r="P210" i="16" a="1"/>
  <c r="P210" i="16" s="1"/>
  <c r="Q210" i="16" a="1"/>
  <c r="Q210" i="16" s="1"/>
  <c r="R210" i="16" a="1"/>
  <c r="R210" i="16" s="1"/>
  <c r="U210" i="16" a="1"/>
  <c r="U210" i="16" s="1"/>
  <c r="V210" i="16" a="1"/>
  <c r="V210" i="16" s="1"/>
  <c r="W210" i="16" a="1"/>
  <c r="W210" i="16" s="1"/>
  <c r="X210" i="16" a="1"/>
  <c r="X210" i="16" s="1"/>
  <c r="K211" i="16" a="1"/>
  <c r="K211" i="16" s="1"/>
  <c r="L211" i="16" a="1"/>
  <c r="L211" i="16" s="1"/>
  <c r="M211" i="16" a="1"/>
  <c r="M211" i="16" s="1"/>
  <c r="N211" i="16" a="1"/>
  <c r="N211" i="16" s="1"/>
  <c r="O211" i="16" a="1"/>
  <c r="O211" i="16" s="1"/>
  <c r="P211" i="16" a="1"/>
  <c r="P211" i="16" s="1"/>
  <c r="Q211" i="16" a="1"/>
  <c r="Q211" i="16" s="1"/>
  <c r="R211" i="16" a="1"/>
  <c r="R211" i="16" s="1"/>
  <c r="U211" i="16" a="1"/>
  <c r="U211" i="16" s="1"/>
  <c r="V211" i="16" a="1"/>
  <c r="V211" i="16" s="1"/>
  <c r="W211" i="16" a="1"/>
  <c r="W211" i="16" s="1"/>
  <c r="X211" i="16" a="1"/>
  <c r="X211" i="16" s="1"/>
  <c r="K212" i="16" a="1"/>
  <c r="K212" i="16" s="1"/>
  <c r="L212" i="16" a="1"/>
  <c r="L212" i="16" s="1"/>
  <c r="M212" i="16" a="1"/>
  <c r="M212" i="16" s="1"/>
  <c r="N212" i="16" a="1"/>
  <c r="N212" i="16" s="1"/>
  <c r="O212" i="16" a="1"/>
  <c r="O212" i="16" s="1"/>
  <c r="P212" i="16" a="1"/>
  <c r="P212" i="16" s="1"/>
  <c r="Q212" i="16" a="1"/>
  <c r="Q212" i="16" s="1"/>
  <c r="R212" i="16" a="1"/>
  <c r="R212" i="16" s="1"/>
  <c r="U212" i="16" a="1"/>
  <c r="U212" i="16" s="1"/>
  <c r="V212" i="16" a="1"/>
  <c r="V212" i="16" s="1"/>
  <c r="W212" i="16" a="1"/>
  <c r="W212" i="16" s="1"/>
  <c r="X212" i="16" a="1"/>
  <c r="X212" i="16" s="1"/>
  <c r="K213" i="16" a="1"/>
  <c r="K213" i="16" s="1"/>
  <c r="L213" i="16" a="1"/>
  <c r="L213" i="16" s="1"/>
  <c r="M213" i="16" a="1"/>
  <c r="M213" i="16" s="1"/>
  <c r="N213" i="16" a="1"/>
  <c r="N213" i="16" s="1"/>
  <c r="O213" i="16" a="1"/>
  <c r="O213" i="16" s="1"/>
  <c r="P213" i="16" a="1"/>
  <c r="P213" i="16" s="1"/>
  <c r="Q213" i="16" a="1"/>
  <c r="Q213" i="16" s="1"/>
  <c r="R213" i="16" a="1"/>
  <c r="R213" i="16" s="1"/>
  <c r="U213" i="16" a="1"/>
  <c r="U213" i="16" s="1"/>
  <c r="V213" i="16" a="1"/>
  <c r="V213" i="16" s="1"/>
  <c r="W213" i="16" a="1"/>
  <c r="W213" i="16" s="1"/>
  <c r="X213" i="16" a="1"/>
  <c r="X213" i="16" s="1"/>
  <c r="K214" i="16" a="1"/>
  <c r="K214" i="16" s="1"/>
  <c r="L214" i="16" a="1"/>
  <c r="L214" i="16" s="1"/>
  <c r="M214" i="16" a="1"/>
  <c r="M214" i="16" s="1"/>
  <c r="N214" i="16" a="1"/>
  <c r="N214" i="16" s="1"/>
  <c r="O214" i="16" a="1"/>
  <c r="O214" i="16" s="1"/>
  <c r="P214" i="16" a="1"/>
  <c r="P214" i="16" s="1"/>
  <c r="Q214" i="16" a="1"/>
  <c r="Q214" i="16" s="1"/>
  <c r="R214" i="16" a="1"/>
  <c r="R214" i="16" s="1"/>
  <c r="U214" i="16" a="1"/>
  <c r="U214" i="16" s="1"/>
  <c r="V214" i="16" a="1"/>
  <c r="V214" i="16" s="1"/>
  <c r="W214" i="16" a="1"/>
  <c r="W214" i="16" s="1"/>
  <c r="X214" i="16" a="1"/>
  <c r="X214" i="16" s="1"/>
  <c r="K215" i="16" a="1"/>
  <c r="K215" i="16" s="1"/>
  <c r="L215" i="16" a="1"/>
  <c r="L215" i="16" s="1"/>
  <c r="M215" i="16" a="1"/>
  <c r="M215" i="16" s="1"/>
  <c r="N215" i="16" a="1"/>
  <c r="N215" i="16" s="1"/>
  <c r="O215" i="16" a="1"/>
  <c r="O215" i="16" s="1"/>
  <c r="P215" i="16" a="1"/>
  <c r="P215" i="16" s="1"/>
  <c r="Q215" i="16" a="1"/>
  <c r="Q215" i="16" s="1"/>
  <c r="R215" i="16" a="1"/>
  <c r="R215" i="16" s="1"/>
  <c r="U215" i="16" a="1"/>
  <c r="U215" i="16" s="1"/>
  <c r="V215" i="16" a="1"/>
  <c r="V215" i="16" s="1"/>
  <c r="W215" i="16" a="1"/>
  <c r="W215" i="16" s="1"/>
  <c r="X215" i="16" a="1"/>
  <c r="X215" i="16" s="1"/>
  <c r="K216" i="16" a="1"/>
  <c r="K216" i="16" s="1"/>
  <c r="L216" i="16" a="1"/>
  <c r="L216" i="16" s="1"/>
  <c r="M216" i="16" a="1"/>
  <c r="M216" i="16" s="1"/>
  <c r="N216" i="16" a="1"/>
  <c r="N216" i="16" s="1"/>
  <c r="O216" i="16" a="1"/>
  <c r="O216" i="16" s="1"/>
  <c r="P216" i="16" a="1"/>
  <c r="P216" i="16" s="1"/>
  <c r="Q216" i="16" a="1"/>
  <c r="Q216" i="16" s="1"/>
  <c r="R216" i="16" a="1"/>
  <c r="R216" i="16" s="1"/>
  <c r="U216" i="16" a="1"/>
  <c r="U216" i="16" s="1"/>
  <c r="V216" i="16" a="1"/>
  <c r="V216" i="16" s="1"/>
  <c r="W216" i="16" a="1"/>
  <c r="W216" i="16" s="1"/>
  <c r="X216" i="16" a="1"/>
  <c r="X216" i="16" s="1"/>
  <c r="K217" i="16" a="1"/>
  <c r="K217" i="16" s="1"/>
  <c r="L217" i="16" a="1"/>
  <c r="L217" i="16" s="1"/>
  <c r="M217" i="16" a="1"/>
  <c r="M217" i="16" s="1"/>
  <c r="N217" i="16" a="1"/>
  <c r="N217" i="16" s="1"/>
  <c r="O217" i="16" a="1"/>
  <c r="O217" i="16" s="1"/>
  <c r="P217" i="16" a="1"/>
  <c r="P217" i="16" s="1"/>
  <c r="Q217" i="16" a="1"/>
  <c r="Q217" i="16" s="1"/>
  <c r="R217" i="16" a="1"/>
  <c r="R217" i="16" s="1"/>
  <c r="U217" i="16" a="1"/>
  <c r="U217" i="16" s="1"/>
  <c r="V217" i="16" a="1"/>
  <c r="V217" i="16" s="1"/>
  <c r="W217" i="16" a="1"/>
  <c r="W217" i="16" s="1"/>
  <c r="X217" i="16" a="1"/>
  <c r="X217" i="16" s="1"/>
  <c r="K218" i="16" a="1"/>
  <c r="K218" i="16" s="1"/>
  <c r="L218" i="16" a="1"/>
  <c r="L218" i="16" s="1"/>
  <c r="M218" i="16" a="1"/>
  <c r="M218" i="16" s="1"/>
  <c r="N218" i="16" a="1"/>
  <c r="N218" i="16" s="1"/>
  <c r="O218" i="16" a="1"/>
  <c r="O218" i="16" s="1"/>
  <c r="P218" i="16" a="1"/>
  <c r="P218" i="16" s="1"/>
  <c r="Q218" i="16" a="1"/>
  <c r="Q218" i="16" s="1"/>
  <c r="R218" i="16" a="1"/>
  <c r="R218" i="16" s="1"/>
  <c r="U218" i="16" a="1"/>
  <c r="U218" i="16" s="1"/>
  <c r="V218" i="16" a="1"/>
  <c r="V218" i="16" s="1"/>
  <c r="W218" i="16" a="1"/>
  <c r="W218" i="16" s="1"/>
  <c r="X218" i="16" a="1"/>
  <c r="X218" i="16" s="1"/>
  <c r="K219" i="16" a="1"/>
  <c r="K219" i="16" s="1"/>
  <c r="L219" i="16" a="1"/>
  <c r="L219" i="16" s="1"/>
  <c r="M219" i="16" a="1"/>
  <c r="M219" i="16" s="1"/>
  <c r="N219" i="16" a="1"/>
  <c r="N219" i="16" s="1"/>
  <c r="O219" i="16" a="1"/>
  <c r="O219" i="16" s="1"/>
  <c r="P219" i="16" a="1"/>
  <c r="P219" i="16" s="1"/>
  <c r="Q219" i="16" a="1"/>
  <c r="Q219" i="16" s="1"/>
  <c r="R219" i="16" a="1"/>
  <c r="R219" i="16" s="1"/>
  <c r="U219" i="16" a="1"/>
  <c r="U219" i="16" s="1"/>
  <c r="V219" i="16" a="1"/>
  <c r="V219" i="16" s="1"/>
  <c r="W219" i="16" a="1"/>
  <c r="W219" i="16" s="1"/>
  <c r="X219" i="16" a="1"/>
  <c r="X219" i="16" s="1"/>
  <c r="K220" i="16" a="1"/>
  <c r="K220" i="16" s="1"/>
  <c r="L220" i="16" a="1"/>
  <c r="L220" i="16" s="1"/>
  <c r="M220" i="16" a="1"/>
  <c r="M220" i="16" s="1"/>
  <c r="N220" i="16" a="1"/>
  <c r="N220" i="16" s="1"/>
  <c r="O220" i="16" a="1"/>
  <c r="O220" i="16" s="1"/>
  <c r="P220" i="16" a="1"/>
  <c r="P220" i="16" s="1"/>
  <c r="Q220" i="16" a="1"/>
  <c r="Q220" i="16" s="1"/>
  <c r="R220" i="16" a="1"/>
  <c r="R220" i="16" s="1"/>
  <c r="U220" i="16" a="1"/>
  <c r="U220" i="16" s="1"/>
  <c r="V220" i="16" a="1"/>
  <c r="V220" i="16" s="1"/>
  <c r="W220" i="16" a="1"/>
  <c r="W220" i="16" s="1"/>
  <c r="X220" i="16" a="1"/>
  <c r="X220" i="16" s="1"/>
  <c r="K221" i="16" a="1"/>
  <c r="K221" i="16" s="1"/>
  <c r="L221" i="16" a="1"/>
  <c r="L221" i="16" s="1"/>
  <c r="M221" i="16" a="1"/>
  <c r="M221" i="16" s="1"/>
  <c r="N221" i="16" a="1"/>
  <c r="N221" i="16" s="1"/>
  <c r="O221" i="16" a="1"/>
  <c r="O221" i="16" s="1"/>
  <c r="P221" i="16" a="1"/>
  <c r="P221" i="16" s="1"/>
  <c r="Q221" i="16" a="1"/>
  <c r="Q221" i="16" s="1"/>
  <c r="R221" i="16" a="1"/>
  <c r="R221" i="16" s="1"/>
  <c r="U221" i="16" a="1"/>
  <c r="U221" i="16" s="1"/>
  <c r="V221" i="16" a="1"/>
  <c r="V221" i="16" s="1"/>
  <c r="W221" i="16" a="1"/>
  <c r="W221" i="16" s="1"/>
  <c r="X221" i="16" a="1"/>
  <c r="X221" i="16" s="1"/>
  <c r="K222" i="16" a="1"/>
  <c r="K222" i="16" s="1"/>
  <c r="L222" i="16" a="1"/>
  <c r="L222" i="16" s="1"/>
  <c r="M222" i="16" a="1"/>
  <c r="M222" i="16" s="1"/>
  <c r="N222" i="16" a="1"/>
  <c r="N222" i="16" s="1"/>
  <c r="O222" i="16" a="1"/>
  <c r="O222" i="16" s="1"/>
  <c r="P222" i="16" a="1"/>
  <c r="P222" i="16" s="1"/>
  <c r="Q222" i="16" a="1"/>
  <c r="Q222" i="16" s="1"/>
  <c r="R222" i="16" a="1"/>
  <c r="R222" i="16" s="1"/>
  <c r="U222" i="16" a="1"/>
  <c r="U222" i="16" s="1"/>
  <c r="V222" i="16" a="1"/>
  <c r="V222" i="16" s="1"/>
  <c r="W222" i="16" a="1"/>
  <c r="W222" i="16" s="1"/>
  <c r="X222" i="16" a="1"/>
  <c r="X222" i="16" s="1"/>
  <c r="K223" i="16" a="1"/>
  <c r="K223" i="16" s="1"/>
  <c r="L223" i="16" a="1"/>
  <c r="L223" i="16" s="1"/>
  <c r="M223" i="16" a="1"/>
  <c r="M223" i="16" s="1"/>
  <c r="N223" i="16" a="1"/>
  <c r="N223" i="16" s="1"/>
  <c r="O223" i="16" a="1"/>
  <c r="O223" i="16" s="1"/>
  <c r="P223" i="16" a="1"/>
  <c r="P223" i="16" s="1"/>
  <c r="Q223" i="16" a="1"/>
  <c r="Q223" i="16" s="1"/>
  <c r="R223" i="16" a="1"/>
  <c r="R223" i="16" s="1"/>
  <c r="U223" i="16" a="1"/>
  <c r="U223" i="16" s="1"/>
  <c r="V223" i="16" a="1"/>
  <c r="V223" i="16" s="1"/>
  <c r="W223" i="16" a="1"/>
  <c r="W223" i="16" s="1"/>
  <c r="X223" i="16" a="1"/>
  <c r="X223" i="16" s="1"/>
  <c r="K224" i="16" a="1"/>
  <c r="K224" i="16" s="1"/>
  <c r="L224" i="16" a="1"/>
  <c r="L224" i="16" s="1"/>
  <c r="M224" i="16" a="1"/>
  <c r="M224" i="16" s="1"/>
  <c r="N224" i="16" a="1"/>
  <c r="N224" i="16" s="1"/>
  <c r="O224" i="16" a="1"/>
  <c r="O224" i="16" s="1"/>
  <c r="P224" i="16" a="1"/>
  <c r="P224" i="16" s="1"/>
  <c r="Q224" i="16" a="1"/>
  <c r="Q224" i="16" s="1"/>
  <c r="R224" i="16" a="1"/>
  <c r="R224" i="16" s="1"/>
  <c r="U224" i="16" a="1"/>
  <c r="U224" i="16" s="1"/>
  <c r="V224" i="16" a="1"/>
  <c r="V224" i="16" s="1"/>
  <c r="W224" i="16" a="1"/>
  <c r="W224" i="16" s="1"/>
  <c r="X224" i="16" a="1"/>
  <c r="X224" i="16" s="1"/>
  <c r="K225" i="16" a="1"/>
  <c r="K225" i="16" s="1"/>
  <c r="L225" i="16" a="1"/>
  <c r="L225" i="16" s="1"/>
  <c r="M225" i="16" a="1"/>
  <c r="M225" i="16" s="1"/>
  <c r="N225" i="16" a="1"/>
  <c r="N225" i="16" s="1"/>
  <c r="O225" i="16" a="1"/>
  <c r="O225" i="16" s="1"/>
  <c r="P225" i="16" a="1"/>
  <c r="P225" i="16" s="1"/>
  <c r="Q225" i="16" a="1"/>
  <c r="Q225" i="16" s="1"/>
  <c r="R225" i="16" a="1"/>
  <c r="R225" i="16" s="1"/>
  <c r="U225" i="16" a="1"/>
  <c r="U225" i="16" s="1"/>
  <c r="V225" i="16" a="1"/>
  <c r="V225" i="16" s="1"/>
  <c r="W225" i="16" a="1"/>
  <c r="W225" i="16" s="1"/>
  <c r="X225" i="16" a="1"/>
  <c r="X225" i="16" s="1"/>
  <c r="K226" i="16" a="1"/>
  <c r="K226" i="16" s="1"/>
  <c r="L226" i="16" a="1"/>
  <c r="L226" i="16" s="1"/>
  <c r="M226" i="16" a="1"/>
  <c r="M226" i="16" s="1"/>
  <c r="N226" i="16" a="1"/>
  <c r="N226" i="16" s="1"/>
  <c r="O226" i="16" a="1"/>
  <c r="O226" i="16" s="1"/>
  <c r="P226" i="16" a="1"/>
  <c r="P226" i="16" s="1"/>
  <c r="Q226" i="16" a="1"/>
  <c r="Q226" i="16" s="1"/>
  <c r="R226" i="16" a="1"/>
  <c r="R226" i="16" s="1"/>
  <c r="U226" i="16" a="1"/>
  <c r="U226" i="16" s="1"/>
  <c r="V226" i="16" a="1"/>
  <c r="V226" i="16" s="1"/>
  <c r="W226" i="16" a="1"/>
  <c r="W226" i="16" s="1"/>
  <c r="X226" i="16" a="1"/>
  <c r="X226" i="16" s="1"/>
  <c r="K227" i="16" a="1"/>
  <c r="K227" i="16" s="1"/>
  <c r="L227" i="16" a="1"/>
  <c r="L227" i="16" s="1"/>
  <c r="M227" i="16" a="1"/>
  <c r="M227" i="16" s="1"/>
  <c r="N227" i="16" a="1"/>
  <c r="N227" i="16" s="1"/>
  <c r="O227" i="16" a="1"/>
  <c r="O227" i="16" s="1"/>
  <c r="P227" i="16" a="1"/>
  <c r="P227" i="16" s="1"/>
  <c r="Q227" i="16" a="1"/>
  <c r="Q227" i="16" s="1"/>
  <c r="R227" i="16" a="1"/>
  <c r="R227" i="16" s="1"/>
  <c r="U227" i="16" a="1"/>
  <c r="U227" i="16" s="1"/>
  <c r="V227" i="16" a="1"/>
  <c r="V227" i="16" s="1"/>
  <c r="W227" i="16" a="1"/>
  <c r="W227" i="16" s="1"/>
  <c r="X227" i="16" a="1"/>
  <c r="X227" i="16" s="1"/>
  <c r="K228" i="16" a="1"/>
  <c r="K228" i="16" s="1"/>
  <c r="L228" i="16" a="1"/>
  <c r="L228" i="16" s="1"/>
  <c r="M228" i="16" a="1"/>
  <c r="M228" i="16" s="1"/>
  <c r="N228" i="16" a="1"/>
  <c r="N228" i="16" s="1"/>
  <c r="O228" i="16" a="1"/>
  <c r="O228" i="16" s="1"/>
  <c r="P228" i="16" a="1"/>
  <c r="P228" i="16" s="1"/>
  <c r="Q228" i="16" a="1"/>
  <c r="Q228" i="16" s="1"/>
  <c r="R228" i="16" a="1"/>
  <c r="R228" i="16" s="1"/>
  <c r="U228" i="16" a="1"/>
  <c r="U228" i="16" s="1"/>
  <c r="V228" i="16" a="1"/>
  <c r="V228" i="16" s="1"/>
  <c r="W228" i="16" a="1"/>
  <c r="W228" i="16" s="1"/>
  <c r="X228" i="16" a="1"/>
  <c r="X228" i="16" s="1"/>
  <c r="K229" i="16" a="1"/>
  <c r="K229" i="16" s="1"/>
  <c r="L229" i="16" a="1"/>
  <c r="L229" i="16" s="1"/>
  <c r="M229" i="16" a="1"/>
  <c r="M229" i="16" s="1"/>
  <c r="N229" i="16" a="1"/>
  <c r="N229" i="16" s="1"/>
  <c r="O229" i="16" a="1"/>
  <c r="O229" i="16" s="1"/>
  <c r="P229" i="16" a="1"/>
  <c r="P229" i="16" s="1"/>
  <c r="Q229" i="16" a="1"/>
  <c r="Q229" i="16" s="1"/>
  <c r="R229" i="16" a="1"/>
  <c r="R229" i="16" s="1"/>
  <c r="U229" i="16" a="1"/>
  <c r="U229" i="16" s="1"/>
  <c r="V229" i="16" a="1"/>
  <c r="V229" i="16" s="1"/>
  <c r="W229" i="16" a="1"/>
  <c r="W229" i="16" s="1"/>
  <c r="X229" i="16" a="1"/>
  <c r="X229" i="16" s="1"/>
  <c r="K230" i="16" a="1"/>
  <c r="K230" i="16" s="1"/>
  <c r="L230" i="16" a="1"/>
  <c r="L230" i="16" s="1"/>
  <c r="M230" i="16" a="1"/>
  <c r="M230" i="16" s="1"/>
  <c r="N230" i="16" a="1"/>
  <c r="N230" i="16" s="1"/>
  <c r="O230" i="16" a="1"/>
  <c r="O230" i="16" s="1"/>
  <c r="P230" i="16" a="1"/>
  <c r="P230" i="16" s="1"/>
  <c r="Q230" i="16" a="1"/>
  <c r="Q230" i="16" s="1"/>
  <c r="R230" i="16" a="1"/>
  <c r="R230" i="16" s="1"/>
  <c r="U230" i="16" a="1"/>
  <c r="U230" i="16" s="1"/>
  <c r="V230" i="16" a="1"/>
  <c r="V230" i="16" s="1"/>
  <c r="W230" i="16" a="1"/>
  <c r="W230" i="16" s="1"/>
  <c r="X230" i="16" a="1"/>
  <c r="X230" i="16" s="1"/>
  <c r="K231" i="16" a="1"/>
  <c r="K231" i="16" s="1"/>
  <c r="L231" i="16" a="1"/>
  <c r="L231" i="16" s="1"/>
  <c r="M231" i="16" a="1"/>
  <c r="M231" i="16" s="1"/>
  <c r="N231" i="16" a="1"/>
  <c r="N231" i="16" s="1"/>
  <c r="O231" i="16" a="1"/>
  <c r="O231" i="16" s="1"/>
  <c r="P231" i="16" a="1"/>
  <c r="P231" i="16" s="1"/>
  <c r="Q231" i="16" a="1"/>
  <c r="Q231" i="16" s="1"/>
  <c r="R231" i="16" a="1"/>
  <c r="R231" i="16" s="1"/>
  <c r="U231" i="16" a="1"/>
  <c r="U231" i="16" s="1"/>
  <c r="V231" i="16" a="1"/>
  <c r="V231" i="16" s="1"/>
  <c r="W231" i="16" a="1"/>
  <c r="W231" i="16" s="1"/>
  <c r="X231" i="16" a="1"/>
  <c r="X231" i="16" s="1"/>
  <c r="K232" i="16" a="1"/>
  <c r="K232" i="16" s="1"/>
  <c r="L232" i="16" a="1"/>
  <c r="L232" i="16" s="1"/>
  <c r="M232" i="16" a="1"/>
  <c r="M232" i="16" s="1"/>
  <c r="N232" i="16" a="1"/>
  <c r="N232" i="16" s="1"/>
  <c r="O232" i="16" a="1"/>
  <c r="O232" i="16" s="1"/>
  <c r="P232" i="16" a="1"/>
  <c r="P232" i="16" s="1"/>
  <c r="Q232" i="16" a="1"/>
  <c r="Q232" i="16" s="1"/>
  <c r="R232" i="16" a="1"/>
  <c r="R232" i="16" s="1"/>
  <c r="U232" i="16" a="1"/>
  <c r="U232" i="16" s="1"/>
  <c r="V232" i="16" a="1"/>
  <c r="V232" i="16" s="1"/>
  <c r="W232" i="16" a="1"/>
  <c r="W232" i="16" s="1"/>
  <c r="X232" i="16" a="1"/>
  <c r="X232" i="16" s="1"/>
  <c r="K233" i="16" a="1"/>
  <c r="K233" i="16" s="1"/>
  <c r="L233" i="16" a="1"/>
  <c r="L233" i="16" s="1"/>
  <c r="M233" i="16" a="1"/>
  <c r="M233" i="16" s="1"/>
  <c r="N233" i="16" a="1"/>
  <c r="N233" i="16" s="1"/>
  <c r="O233" i="16" a="1"/>
  <c r="O233" i="16" s="1"/>
  <c r="P233" i="16" a="1"/>
  <c r="P233" i="16" s="1"/>
  <c r="Q233" i="16" a="1"/>
  <c r="Q233" i="16" s="1"/>
  <c r="R233" i="16" a="1"/>
  <c r="R233" i="16" s="1"/>
  <c r="U233" i="16" a="1"/>
  <c r="U233" i="16" s="1"/>
  <c r="V233" i="16" a="1"/>
  <c r="V233" i="16" s="1"/>
  <c r="W233" i="16" a="1"/>
  <c r="W233" i="16" s="1"/>
  <c r="X233" i="16" a="1"/>
  <c r="X233" i="16" s="1"/>
  <c r="K234" i="16" a="1"/>
  <c r="K234" i="16" s="1"/>
  <c r="L234" i="16" a="1"/>
  <c r="L234" i="16" s="1"/>
  <c r="M234" i="16" a="1"/>
  <c r="M234" i="16" s="1"/>
  <c r="N234" i="16" a="1"/>
  <c r="N234" i="16" s="1"/>
  <c r="O234" i="16" a="1"/>
  <c r="O234" i="16" s="1"/>
  <c r="P234" i="16" a="1"/>
  <c r="P234" i="16" s="1"/>
  <c r="Q234" i="16" a="1"/>
  <c r="Q234" i="16" s="1"/>
  <c r="R234" i="16" a="1"/>
  <c r="R234" i="16" s="1"/>
  <c r="U234" i="16" a="1"/>
  <c r="U234" i="16" s="1"/>
  <c r="V234" i="16" a="1"/>
  <c r="V234" i="16" s="1"/>
  <c r="W234" i="16" a="1"/>
  <c r="W234" i="16" s="1"/>
  <c r="X234" i="16" a="1"/>
  <c r="X234" i="16" s="1"/>
  <c r="K235" i="16" a="1"/>
  <c r="K235" i="16" s="1"/>
  <c r="L235" i="16" a="1"/>
  <c r="L235" i="16" s="1"/>
  <c r="M235" i="16" a="1"/>
  <c r="M235" i="16" s="1"/>
  <c r="N235" i="16" a="1"/>
  <c r="N235" i="16" s="1"/>
  <c r="O235" i="16" a="1"/>
  <c r="O235" i="16" s="1"/>
  <c r="P235" i="16" a="1"/>
  <c r="P235" i="16" s="1"/>
  <c r="Q235" i="16" a="1"/>
  <c r="Q235" i="16" s="1"/>
  <c r="R235" i="16" a="1"/>
  <c r="R235" i="16" s="1"/>
  <c r="U235" i="16" a="1"/>
  <c r="U235" i="16" s="1"/>
  <c r="V235" i="16" a="1"/>
  <c r="V235" i="16" s="1"/>
  <c r="W235" i="16" a="1"/>
  <c r="W235" i="16" s="1"/>
  <c r="X235" i="16" a="1"/>
  <c r="X235" i="16" s="1"/>
  <c r="K236" i="16" a="1"/>
  <c r="K236" i="16" s="1"/>
  <c r="L236" i="16" a="1"/>
  <c r="L236" i="16" s="1"/>
  <c r="M236" i="16" a="1"/>
  <c r="M236" i="16" s="1"/>
  <c r="N236" i="16" a="1"/>
  <c r="N236" i="16" s="1"/>
  <c r="O236" i="16" a="1"/>
  <c r="O236" i="16" s="1"/>
  <c r="P236" i="16" a="1"/>
  <c r="P236" i="16" s="1"/>
  <c r="Q236" i="16" a="1"/>
  <c r="Q236" i="16" s="1"/>
  <c r="R236" i="16" a="1"/>
  <c r="R236" i="16" s="1"/>
  <c r="U236" i="16" a="1"/>
  <c r="U236" i="16" s="1"/>
  <c r="V236" i="16" a="1"/>
  <c r="V236" i="16" s="1"/>
  <c r="W236" i="16" a="1"/>
  <c r="W236" i="16" s="1"/>
  <c r="X236" i="16" a="1"/>
  <c r="X236" i="16" s="1"/>
  <c r="K237" i="16" a="1"/>
  <c r="K237" i="16" s="1"/>
  <c r="L237" i="16" a="1"/>
  <c r="L237" i="16" s="1"/>
  <c r="M237" i="16" a="1"/>
  <c r="M237" i="16" s="1"/>
  <c r="N237" i="16" a="1"/>
  <c r="N237" i="16" s="1"/>
  <c r="O237" i="16" a="1"/>
  <c r="O237" i="16" s="1"/>
  <c r="P237" i="16" a="1"/>
  <c r="P237" i="16" s="1"/>
  <c r="Q237" i="16" a="1"/>
  <c r="Q237" i="16" s="1"/>
  <c r="R237" i="16" a="1"/>
  <c r="R237" i="16" s="1"/>
  <c r="U237" i="16" a="1"/>
  <c r="U237" i="16" s="1"/>
  <c r="V237" i="16" a="1"/>
  <c r="V237" i="16" s="1"/>
  <c r="W237" i="16" a="1"/>
  <c r="W237" i="16" s="1"/>
  <c r="X237" i="16" a="1"/>
  <c r="X237" i="16" s="1"/>
  <c r="K238" i="16" a="1"/>
  <c r="K238" i="16" s="1"/>
  <c r="L238" i="16" a="1"/>
  <c r="L238" i="16" s="1"/>
  <c r="M238" i="16" a="1"/>
  <c r="M238" i="16" s="1"/>
  <c r="N238" i="16" a="1"/>
  <c r="N238" i="16" s="1"/>
  <c r="O238" i="16" a="1"/>
  <c r="O238" i="16" s="1"/>
  <c r="P238" i="16" a="1"/>
  <c r="P238" i="16" s="1"/>
  <c r="Q238" i="16" a="1"/>
  <c r="Q238" i="16" s="1"/>
  <c r="R238" i="16" a="1"/>
  <c r="R238" i="16" s="1"/>
  <c r="U238" i="16" a="1"/>
  <c r="U238" i="16" s="1"/>
  <c r="V238" i="16" a="1"/>
  <c r="V238" i="16" s="1"/>
  <c r="W238" i="16" a="1"/>
  <c r="W238" i="16" s="1"/>
  <c r="X238" i="16" a="1"/>
  <c r="X238" i="16" s="1"/>
  <c r="K239" i="16" a="1"/>
  <c r="K239" i="16" s="1"/>
  <c r="L239" i="16" a="1"/>
  <c r="L239" i="16" s="1"/>
  <c r="M239" i="16" a="1"/>
  <c r="M239" i="16" s="1"/>
  <c r="N239" i="16" a="1"/>
  <c r="N239" i="16" s="1"/>
  <c r="O239" i="16" a="1"/>
  <c r="O239" i="16" s="1"/>
  <c r="P239" i="16" a="1"/>
  <c r="P239" i="16" s="1"/>
  <c r="Q239" i="16" a="1"/>
  <c r="Q239" i="16" s="1"/>
  <c r="R239" i="16" a="1"/>
  <c r="R239" i="16" s="1"/>
  <c r="U239" i="16" a="1"/>
  <c r="U239" i="16" s="1"/>
  <c r="V239" i="16" a="1"/>
  <c r="V239" i="16" s="1"/>
  <c r="W239" i="16" a="1"/>
  <c r="W239" i="16" s="1"/>
  <c r="X239" i="16" a="1"/>
  <c r="X239" i="16" s="1"/>
  <c r="K240" i="16" a="1"/>
  <c r="K240" i="16" s="1"/>
  <c r="L240" i="16" a="1"/>
  <c r="L240" i="16" s="1"/>
  <c r="M240" i="16" a="1"/>
  <c r="M240" i="16" s="1"/>
  <c r="N240" i="16" a="1"/>
  <c r="N240" i="16" s="1"/>
  <c r="O240" i="16" a="1"/>
  <c r="O240" i="16" s="1"/>
  <c r="P240" i="16" a="1"/>
  <c r="P240" i="16" s="1"/>
  <c r="Q240" i="16" a="1"/>
  <c r="Q240" i="16" s="1"/>
  <c r="R240" i="16" a="1"/>
  <c r="R240" i="16" s="1"/>
  <c r="U240" i="16" a="1"/>
  <c r="U240" i="16" s="1"/>
  <c r="V240" i="16" a="1"/>
  <c r="V240" i="16" s="1"/>
  <c r="W240" i="16" a="1"/>
  <c r="W240" i="16" s="1"/>
  <c r="X240" i="16" a="1"/>
  <c r="X240" i="16" s="1"/>
  <c r="K241" i="16" a="1"/>
  <c r="K241" i="16" s="1"/>
  <c r="L241" i="16" a="1"/>
  <c r="L241" i="16" s="1"/>
  <c r="M241" i="16" a="1"/>
  <c r="M241" i="16" s="1"/>
  <c r="N241" i="16" a="1"/>
  <c r="N241" i="16" s="1"/>
  <c r="O241" i="16" a="1"/>
  <c r="O241" i="16" s="1"/>
  <c r="P241" i="16" a="1"/>
  <c r="P241" i="16" s="1"/>
  <c r="Q241" i="16" a="1"/>
  <c r="Q241" i="16" s="1"/>
  <c r="R241" i="16" a="1"/>
  <c r="R241" i="16" s="1"/>
  <c r="U241" i="16" a="1"/>
  <c r="U241" i="16" s="1"/>
  <c r="V241" i="16" a="1"/>
  <c r="V241" i="16" s="1"/>
  <c r="W241" i="16" a="1"/>
  <c r="W241" i="16" s="1"/>
  <c r="X241" i="16" a="1"/>
  <c r="X241" i="16" s="1"/>
  <c r="K242" i="16" a="1"/>
  <c r="K242" i="16" s="1"/>
  <c r="L242" i="16" a="1"/>
  <c r="L242" i="16" s="1"/>
  <c r="M242" i="16" a="1"/>
  <c r="M242" i="16" s="1"/>
  <c r="N242" i="16" a="1"/>
  <c r="N242" i="16" s="1"/>
  <c r="O242" i="16" a="1"/>
  <c r="O242" i="16" s="1"/>
  <c r="P242" i="16" a="1"/>
  <c r="P242" i="16" s="1"/>
  <c r="Q242" i="16" a="1"/>
  <c r="Q242" i="16" s="1"/>
  <c r="R242" i="16" a="1"/>
  <c r="R242" i="16" s="1"/>
  <c r="U242" i="16" a="1"/>
  <c r="U242" i="16" s="1"/>
  <c r="V242" i="16" a="1"/>
  <c r="V242" i="16" s="1"/>
  <c r="W242" i="16" a="1"/>
  <c r="W242" i="16" s="1"/>
  <c r="X242" i="16" a="1"/>
  <c r="X242" i="16" s="1"/>
  <c r="K243" i="16" a="1"/>
  <c r="K243" i="16" s="1"/>
  <c r="L243" i="16" a="1"/>
  <c r="L243" i="16" s="1"/>
  <c r="M243" i="16" a="1"/>
  <c r="M243" i="16" s="1"/>
  <c r="N243" i="16" a="1"/>
  <c r="N243" i="16" s="1"/>
  <c r="O243" i="16" a="1"/>
  <c r="O243" i="16" s="1"/>
  <c r="P243" i="16" a="1"/>
  <c r="P243" i="16" s="1"/>
  <c r="Q243" i="16" a="1"/>
  <c r="Q243" i="16" s="1"/>
  <c r="R243" i="16" a="1"/>
  <c r="R243" i="16" s="1"/>
  <c r="U243" i="16" a="1"/>
  <c r="U243" i="16" s="1"/>
  <c r="V243" i="16" a="1"/>
  <c r="V243" i="16" s="1"/>
  <c r="W243" i="16" a="1"/>
  <c r="W243" i="16" s="1"/>
  <c r="X243" i="16" a="1"/>
  <c r="X243" i="16" s="1"/>
  <c r="K244" i="16" a="1"/>
  <c r="K244" i="16" s="1"/>
  <c r="L244" i="16" a="1"/>
  <c r="L244" i="16" s="1"/>
  <c r="M244" i="16" a="1"/>
  <c r="M244" i="16" s="1"/>
  <c r="N244" i="16" a="1"/>
  <c r="N244" i="16" s="1"/>
  <c r="O244" i="16" a="1"/>
  <c r="O244" i="16" s="1"/>
  <c r="P244" i="16" a="1"/>
  <c r="P244" i="16" s="1"/>
  <c r="Q244" i="16" a="1"/>
  <c r="Q244" i="16" s="1"/>
  <c r="R244" i="16" a="1"/>
  <c r="R244" i="16" s="1"/>
  <c r="U244" i="16" a="1"/>
  <c r="U244" i="16" s="1"/>
  <c r="V244" i="16" a="1"/>
  <c r="V244" i="16" s="1"/>
  <c r="W244" i="16" a="1"/>
  <c r="W244" i="16" s="1"/>
  <c r="X244" i="16" a="1"/>
  <c r="X244" i="16" s="1"/>
  <c r="K245" i="16" a="1"/>
  <c r="K245" i="16" s="1"/>
  <c r="L245" i="16" a="1"/>
  <c r="L245" i="16" s="1"/>
  <c r="M245" i="16" a="1"/>
  <c r="M245" i="16" s="1"/>
  <c r="N245" i="16" a="1"/>
  <c r="N245" i="16" s="1"/>
  <c r="O245" i="16" a="1"/>
  <c r="O245" i="16" s="1"/>
  <c r="P245" i="16" a="1"/>
  <c r="P245" i="16" s="1"/>
  <c r="Q245" i="16" a="1"/>
  <c r="Q245" i="16" s="1"/>
  <c r="R245" i="16" a="1"/>
  <c r="R245" i="16" s="1"/>
  <c r="U245" i="16" a="1"/>
  <c r="U245" i="16" s="1"/>
  <c r="V245" i="16" a="1"/>
  <c r="V245" i="16" s="1"/>
  <c r="W245" i="16" a="1"/>
  <c r="W245" i="16" s="1"/>
  <c r="X245" i="16" a="1"/>
  <c r="X245" i="16" s="1"/>
  <c r="K246" i="16" a="1"/>
  <c r="K246" i="16" s="1"/>
  <c r="L246" i="16" a="1"/>
  <c r="L246" i="16" s="1"/>
  <c r="M246" i="16" a="1"/>
  <c r="M246" i="16" s="1"/>
  <c r="N246" i="16" a="1"/>
  <c r="N246" i="16" s="1"/>
  <c r="O246" i="16" a="1"/>
  <c r="O246" i="16" s="1"/>
  <c r="P246" i="16" a="1"/>
  <c r="P246" i="16" s="1"/>
  <c r="Q246" i="16" a="1"/>
  <c r="Q246" i="16" s="1"/>
  <c r="R246" i="16" a="1"/>
  <c r="R246" i="16" s="1"/>
  <c r="U246" i="16" a="1"/>
  <c r="U246" i="16" s="1"/>
  <c r="V246" i="16" a="1"/>
  <c r="V246" i="16" s="1"/>
  <c r="W246" i="16" a="1"/>
  <c r="W246" i="16" s="1"/>
  <c r="X246" i="16" a="1"/>
  <c r="X246" i="16" s="1"/>
  <c r="K247" i="16" a="1"/>
  <c r="K247" i="16" s="1"/>
  <c r="L247" i="16" a="1"/>
  <c r="L247" i="16" s="1"/>
  <c r="M247" i="16" a="1"/>
  <c r="M247" i="16" s="1"/>
  <c r="N247" i="16" a="1"/>
  <c r="N247" i="16" s="1"/>
  <c r="O247" i="16" a="1"/>
  <c r="O247" i="16" s="1"/>
  <c r="P247" i="16" a="1"/>
  <c r="P247" i="16" s="1"/>
  <c r="Q247" i="16" a="1"/>
  <c r="Q247" i="16" s="1"/>
  <c r="R247" i="16" a="1"/>
  <c r="R247" i="16" s="1"/>
  <c r="U247" i="16" a="1"/>
  <c r="U247" i="16" s="1"/>
  <c r="V247" i="16" a="1"/>
  <c r="V247" i="16" s="1"/>
  <c r="W247" i="16" a="1"/>
  <c r="W247" i="16" s="1"/>
  <c r="X247" i="16" a="1"/>
  <c r="X247" i="16" s="1"/>
  <c r="K248" i="16" a="1"/>
  <c r="K248" i="16" s="1"/>
  <c r="L248" i="16" a="1"/>
  <c r="L248" i="16" s="1"/>
  <c r="M248" i="16" a="1"/>
  <c r="M248" i="16" s="1"/>
  <c r="N248" i="16" a="1"/>
  <c r="N248" i="16" s="1"/>
  <c r="O248" i="16" a="1"/>
  <c r="O248" i="16" s="1"/>
  <c r="P248" i="16" a="1"/>
  <c r="P248" i="16" s="1"/>
  <c r="Q248" i="16" a="1"/>
  <c r="Q248" i="16" s="1"/>
  <c r="R248" i="16" a="1"/>
  <c r="R248" i="16" s="1"/>
  <c r="U248" i="16" a="1"/>
  <c r="U248" i="16" s="1"/>
  <c r="V248" i="16" a="1"/>
  <c r="V248" i="16" s="1"/>
  <c r="W248" i="16" a="1"/>
  <c r="W248" i="16" s="1"/>
  <c r="X248" i="16" a="1"/>
  <c r="X248" i="16" s="1"/>
  <c r="K249" i="16" a="1"/>
  <c r="K249" i="16" s="1"/>
  <c r="L249" i="16" a="1"/>
  <c r="L249" i="16" s="1"/>
  <c r="M249" i="16" a="1"/>
  <c r="M249" i="16" s="1"/>
  <c r="N249" i="16" a="1"/>
  <c r="N249" i="16" s="1"/>
  <c r="O249" i="16" a="1"/>
  <c r="O249" i="16" s="1"/>
  <c r="P249" i="16" a="1"/>
  <c r="P249" i="16" s="1"/>
  <c r="Q249" i="16" a="1"/>
  <c r="Q249" i="16" s="1"/>
  <c r="R249" i="16" a="1"/>
  <c r="R249" i="16" s="1"/>
  <c r="U249" i="16" a="1"/>
  <c r="U249" i="16" s="1"/>
  <c r="V249" i="16" a="1"/>
  <c r="V249" i="16" s="1"/>
  <c r="W249" i="16" a="1"/>
  <c r="W249" i="16" s="1"/>
  <c r="X249" i="16" a="1"/>
  <c r="X249" i="16" s="1"/>
  <c r="K250" i="16" a="1"/>
  <c r="K250" i="16" s="1"/>
  <c r="L250" i="16" a="1"/>
  <c r="L250" i="16" s="1"/>
  <c r="M250" i="16" a="1"/>
  <c r="M250" i="16" s="1"/>
  <c r="N250" i="16" a="1"/>
  <c r="N250" i="16" s="1"/>
  <c r="O250" i="16" a="1"/>
  <c r="O250" i="16" s="1"/>
  <c r="P250" i="16" a="1"/>
  <c r="P250" i="16" s="1"/>
  <c r="Q250" i="16" a="1"/>
  <c r="Q250" i="16" s="1"/>
  <c r="R250" i="16" a="1"/>
  <c r="R250" i="16" s="1"/>
  <c r="U250" i="16" a="1"/>
  <c r="U250" i="16" s="1"/>
  <c r="V250" i="16" a="1"/>
  <c r="V250" i="16" s="1"/>
  <c r="W250" i="16" a="1"/>
  <c r="W250" i="16" s="1"/>
  <c r="X250" i="16" a="1"/>
  <c r="X250" i="16" s="1"/>
  <c r="K251" i="16" a="1"/>
  <c r="K251" i="16" s="1"/>
  <c r="L251" i="16" a="1"/>
  <c r="L251" i="16" s="1"/>
  <c r="M251" i="16" a="1"/>
  <c r="M251" i="16" s="1"/>
  <c r="N251" i="16" a="1"/>
  <c r="N251" i="16" s="1"/>
  <c r="O251" i="16" a="1"/>
  <c r="O251" i="16" s="1"/>
  <c r="P251" i="16" a="1"/>
  <c r="P251" i="16" s="1"/>
  <c r="Q251" i="16" a="1"/>
  <c r="Q251" i="16" s="1"/>
  <c r="R251" i="16" a="1"/>
  <c r="R251" i="16" s="1"/>
  <c r="U251" i="16" a="1"/>
  <c r="U251" i="16" s="1"/>
  <c r="V251" i="16" a="1"/>
  <c r="V251" i="16" s="1"/>
  <c r="W251" i="16" a="1"/>
  <c r="W251" i="16" s="1"/>
  <c r="X251" i="16" a="1"/>
  <c r="X251" i="16" s="1"/>
  <c r="K252" i="16" a="1"/>
  <c r="K252" i="16" s="1"/>
  <c r="L252" i="16" a="1"/>
  <c r="L252" i="16" s="1"/>
  <c r="M252" i="16" a="1"/>
  <c r="M252" i="16" s="1"/>
  <c r="N252" i="16" a="1"/>
  <c r="N252" i="16" s="1"/>
  <c r="O252" i="16" a="1"/>
  <c r="O252" i="16" s="1"/>
  <c r="P252" i="16" a="1"/>
  <c r="P252" i="16" s="1"/>
  <c r="Q252" i="16" a="1"/>
  <c r="Q252" i="16" s="1"/>
  <c r="R252" i="16" a="1"/>
  <c r="R252" i="16" s="1"/>
  <c r="U252" i="16" a="1"/>
  <c r="U252" i="16" s="1"/>
  <c r="V252" i="16" a="1"/>
  <c r="V252" i="16" s="1"/>
  <c r="W252" i="16" a="1"/>
  <c r="W252" i="16" s="1"/>
  <c r="X252" i="16" a="1"/>
  <c r="X252" i="16" s="1"/>
  <c r="K253" i="16" a="1"/>
  <c r="K253" i="16" s="1"/>
  <c r="L253" i="16" a="1"/>
  <c r="L253" i="16" s="1"/>
  <c r="M253" i="16" a="1"/>
  <c r="M253" i="16" s="1"/>
  <c r="N253" i="16" a="1"/>
  <c r="N253" i="16" s="1"/>
  <c r="O253" i="16" a="1"/>
  <c r="O253" i="16" s="1"/>
  <c r="P253" i="16" a="1"/>
  <c r="P253" i="16" s="1"/>
  <c r="Q253" i="16" a="1"/>
  <c r="Q253" i="16" s="1"/>
  <c r="R253" i="16" a="1"/>
  <c r="R253" i="16" s="1"/>
  <c r="U253" i="16" a="1"/>
  <c r="U253" i="16" s="1"/>
  <c r="V253" i="16" a="1"/>
  <c r="V253" i="16" s="1"/>
  <c r="W253" i="16" a="1"/>
  <c r="W253" i="16" s="1"/>
  <c r="X253" i="16" a="1"/>
  <c r="X253" i="16" s="1"/>
  <c r="K254" i="16" a="1"/>
  <c r="K254" i="16" s="1"/>
  <c r="L254" i="16" a="1"/>
  <c r="L254" i="16" s="1"/>
  <c r="M254" i="16" a="1"/>
  <c r="M254" i="16" s="1"/>
  <c r="N254" i="16" a="1"/>
  <c r="N254" i="16" s="1"/>
  <c r="O254" i="16" a="1"/>
  <c r="O254" i="16" s="1"/>
  <c r="P254" i="16" a="1"/>
  <c r="P254" i="16" s="1"/>
  <c r="Q254" i="16" a="1"/>
  <c r="Q254" i="16" s="1"/>
  <c r="R254" i="16" a="1"/>
  <c r="R254" i="16" s="1"/>
  <c r="U254" i="16" a="1"/>
  <c r="U254" i="16" s="1"/>
  <c r="V254" i="16" a="1"/>
  <c r="V254" i="16" s="1"/>
  <c r="W254" i="16" a="1"/>
  <c r="W254" i="16" s="1"/>
  <c r="X254" i="16" a="1"/>
  <c r="X254" i="16" s="1"/>
  <c r="K255" i="16" a="1"/>
  <c r="K255" i="16" s="1"/>
  <c r="L255" i="16" a="1"/>
  <c r="L255" i="16" s="1"/>
  <c r="M255" i="16" a="1"/>
  <c r="M255" i="16" s="1"/>
  <c r="N255" i="16" a="1"/>
  <c r="N255" i="16" s="1"/>
  <c r="O255" i="16" a="1"/>
  <c r="O255" i="16" s="1"/>
  <c r="P255" i="16" a="1"/>
  <c r="P255" i="16" s="1"/>
  <c r="Q255" i="16" a="1"/>
  <c r="Q255" i="16" s="1"/>
  <c r="R255" i="16" a="1"/>
  <c r="R255" i="16" s="1"/>
  <c r="U255" i="16" a="1"/>
  <c r="U255" i="16" s="1"/>
  <c r="V255" i="16" a="1"/>
  <c r="V255" i="16" s="1"/>
  <c r="W255" i="16" a="1"/>
  <c r="W255" i="16" s="1"/>
  <c r="X255" i="16" a="1"/>
  <c r="X255" i="16" s="1"/>
  <c r="K256" i="16" a="1"/>
  <c r="K256" i="16" s="1"/>
  <c r="L256" i="16" a="1"/>
  <c r="L256" i="16" s="1"/>
  <c r="M256" i="16" a="1"/>
  <c r="M256" i="16" s="1"/>
  <c r="N256" i="16" a="1"/>
  <c r="N256" i="16" s="1"/>
  <c r="O256" i="16" a="1"/>
  <c r="O256" i="16" s="1"/>
  <c r="P256" i="16" a="1"/>
  <c r="P256" i="16" s="1"/>
  <c r="Q256" i="16" a="1"/>
  <c r="Q256" i="16" s="1"/>
  <c r="R256" i="16" a="1"/>
  <c r="R256" i="16" s="1"/>
  <c r="U256" i="16" a="1"/>
  <c r="U256" i="16" s="1"/>
  <c r="V256" i="16" a="1"/>
  <c r="V256" i="16" s="1"/>
  <c r="W256" i="16" a="1"/>
  <c r="W256" i="16" s="1"/>
  <c r="X256" i="16" a="1"/>
  <c r="X256" i="16" s="1"/>
  <c r="K257" i="16" a="1"/>
  <c r="K257" i="16" s="1"/>
  <c r="L257" i="16" a="1"/>
  <c r="L257" i="16" s="1"/>
  <c r="M257" i="16" a="1"/>
  <c r="M257" i="16" s="1"/>
  <c r="N257" i="16" a="1"/>
  <c r="N257" i="16" s="1"/>
  <c r="O257" i="16" a="1"/>
  <c r="O257" i="16" s="1"/>
  <c r="P257" i="16" a="1"/>
  <c r="P257" i="16" s="1"/>
  <c r="Q257" i="16" a="1"/>
  <c r="Q257" i="16" s="1"/>
  <c r="R257" i="16" a="1"/>
  <c r="R257" i="16" s="1"/>
  <c r="U257" i="16" a="1"/>
  <c r="U257" i="16" s="1"/>
  <c r="V257" i="16" a="1"/>
  <c r="V257" i="16" s="1"/>
  <c r="W257" i="16" a="1"/>
  <c r="W257" i="16" s="1"/>
  <c r="X257" i="16" a="1"/>
  <c r="X257" i="16" s="1"/>
  <c r="K258" i="16" a="1"/>
  <c r="K258" i="16" s="1"/>
  <c r="L258" i="16" a="1"/>
  <c r="L258" i="16" s="1"/>
  <c r="M258" i="16" a="1"/>
  <c r="M258" i="16" s="1"/>
  <c r="N258" i="16" a="1"/>
  <c r="N258" i="16" s="1"/>
  <c r="O258" i="16" a="1"/>
  <c r="O258" i="16" s="1"/>
  <c r="P258" i="16" a="1"/>
  <c r="P258" i="16" s="1"/>
  <c r="Q258" i="16" a="1"/>
  <c r="Q258" i="16" s="1"/>
  <c r="R258" i="16" a="1"/>
  <c r="R258" i="16" s="1"/>
  <c r="U258" i="16" a="1"/>
  <c r="U258" i="16" s="1"/>
  <c r="V258" i="16" a="1"/>
  <c r="V258" i="16" s="1"/>
  <c r="W258" i="16" a="1"/>
  <c r="W258" i="16" s="1"/>
  <c r="X258" i="16" a="1"/>
  <c r="X258" i="16" s="1"/>
  <c r="K259" i="16" a="1"/>
  <c r="K259" i="16" s="1"/>
  <c r="L259" i="16" a="1"/>
  <c r="L259" i="16" s="1"/>
  <c r="M259" i="16" a="1"/>
  <c r="M259" i="16" s="1"/>
  <c r="N259" i="16" a="1"/>
  <c r="N259" i="16" s="1"/>
  <c r="O259" i="16" a="1"/>
  <c r="O259" i="16" s="1"/>
  <c r="P259" i="16" a="1"/>
  <c r="P259" i="16" s="1"/>
  <c r="Q259" i="16" a="1"/>
  <c r="Q259" i="16" s="1"/>
  <c r="R259" i="16" a="1"/>
  <c r="R259" i="16" s="1"/>
  <c r="U259" i="16" a="1"/>
  <c r="U259" i="16" s="1"/>
  <c r="V259" i="16" a="1"/>
  <c r="V259" i="16" s="1"/>
  <c r="W259" i="16" a="1"/>
  <c r="W259" i="16" s="1"/>
  <c r="X259" i="16" a="1"/>
  <c r="X259" i="16" s="1"/>
  <c r="K260" i="16" a="1"/>
  <c r="K260" i="16" s="1"/>
  <c r="L260" i="16" a="1"/>
  <c r="L260" i="16" s="1"/>
  <c r="M260" i="16" a="1"/>
  <c r="M260" i="16" s="1"/>
  <c r="N260" i="16" a="1"/>
  <c r="N260" i="16" s="1"/>
  <c r="O260" i="16" a="1"/>
  <c r="O260" i="16" s="1"/>
  <c r="P260" i="16" a="1"/>
  <c r="P260" i="16" s="1"/>
  <c r="Q260" i="16" a="1"/>
  <c r="Q260" i="16" s="1"/>
  <c r="R260" i="16" a="1"/>
  <c r="R260" i="16" s="1"/>
  <c r="U260" i="16" a="1"/>
  <c r="U260" i="16" s="1"/>
  <c r="V260" i="16" a="1"/>
  <c r="V260" i="16" s="1"/>
  <c r="W260" i="16" a="1"/>
  <c r="W260" i="16" s="1"/>
  <c r="X260" i="16" a="1"/>
  <c r="X260" i="16" s="1"/>
  <c r="K261" i="16" a="1"/>
  <c r="K261" i="16" s="1"/>
  <c r="L261" i="16" a="1"/>
  <c r="L261" i="16" s="1"/>
  <c r="M261" i="16" a="1"/>
  <c r="M261" i="16" s="1"/>
  <c r="N261" i="16" a="1"/>
  <c r="N261" i="16" s="1"/>
  <c r="O261" i="16" a="1"/>
  <c r="O261" i="16" s="1"/>
  <c r="P261" i="16" a="1"/>
  <c r="P261" i="16" s="1"/>
  <c r="Q261" i="16" a="1"/>
  <c r="Q261" i="16" s="1"/>
  <c r="R261" i="16" a="1"/>
  <c r="R261" i="16" s="1"/>
  <c r="U261" i="16" a="1"/>
  <c r="U261" i="16" s="1"/>
  <c r="V261" i="16" a="1"/>
  <c r="V261" i="16" s="1"/>
  <c r="W261" i="16" a="1"/>
  <c r="W261" i="16" s="1"/>
  <c r="X261" i="16" a="1"/>
  <c r="X261" i="16" s="1"/>
  <c r="K262" i="16" a="1"/>
  <c r="K262" i="16" s="1"/>
  <c r="L262" i="16" a="1"/>
  <c r="L262" i="16" s="1"/>
  <c r="M262" i="16" a="1"/>
  <c r="M262" i="16" s="1"/>
  <c r="N262" i="16" a="1"/>
  <c r="N262" i="16" s="1"/>
  <c r="O262" i="16" a="1"/>
  <c r="O262" i="16" s="1"/>
  <c r="P262" i="16" a="1"/>
  <c r="P262" i="16" s="1"/>
  <c r="Q262" i="16" a="1"/>
  <c r="Q262" i="16" s="1"/>
  <c r="R262" i="16" a="1"/>
  <c r="R262" i="16" s="1"/>
  <c r="U262" i="16" a="1"/>
  <c r="U262" i="16" s="1"/>
  <c r="V262" i="16" a="1"/>
  <c r="V262" i="16" s="1"/>
  <c r="W262" i="16" a="1"/>
  <c r="W262" i="16" s="1"/>
  <c r="X262" i="16" a="1"/>
  <c r="X262" i="16" s="1"/>
  <c r="K263" i="16" a="1"/>
  <c r="K263" i="16" s="1"/>
  <c r="L263" i="16" a="1"/>
  <c r="L263" i="16" s="1"/>
  <c r="M263" i="16" a="1"/>
  <c r="M263" i="16" s="1"/>
  <c r="N263" i="16" a="1"/>
  <c r="N263" i="16" s="1"/>
  <c r="O263" i="16" a="1"/>
  <c r="O263" i="16" s="1"/>
  <c r="P263" i="16" a="1"/>
  <c r="P263" i="16" s="1"/>
  <c r="Q263" i="16" a="1"/>
  <c r="Q263" i="16" s="1"/>
  <c r="R263" i="16" a="1"/>
  <c r="R263" i="16" s="1"/>
  <c r="U263" i="16" a="1"/>
  <c r="U263" i="16" s="1"/>
  <c r="V263" i="16" a="1"/>
  <c r="V263" i="16" s="1"/>
  <c r="W263" i="16" a="1"/>
  <c r="W263" i="16" s="1"/>
  <c r="X263" i="16" a="1"/>
  <c r="X263" i="16" s="1"/>
  <c r="K264" i="16" a="1"/>
  <c r="K264" i="16" s="1"/>
  <c r="L264" i="16" a="1"/>
  <c r="L264" i="16" s="1"/>
  <c r="M264" i="16" a="1"/>
  <c r="M264" i="16" s="1"/>
  <c r="N264" i="16" a="1"/>
  <c r="N264" i="16" s="1"/>
  <c r="O264" i="16" a="1"/>
  <c r="O264" i="16" s="1"/>
  <c r="P264" i="16" a="1"/>
  <c r="P264" i="16" s="1"/>
  <c r="Q264" i="16" a="1"/>
  <c r="Q264" i="16" s="1"/>
  <c r="R264" i="16" a="1"/>
  <c r="R264" i="16" s="1"/>
  <c r="U264" i="16" a="1"/>
  <c r="U264" i="16" s="1"/>
  <c r="V264" i="16" a="1"/>
  <c r="V264" i="16" s="1"/>
  <c r="W264" i="16" a="1"/>
  <c r="W264" i="16" s="1"/>
  <c r="X264" i="16" a="1"/>
  <c r="X264" i="16" s="1"/>
  <c r="K265" i="16" a="1"/>
  <c r="K265" i="16" s="1"/>
  <c r="L265" i="16" a="1"/>
  <c r="L265" i="16" s="1"/>
  <c r="M265" i="16" a="1"/>
  <c r="M265" i="16" s="1"/>
  <c r="N265" i="16" a="1"/>
  <c r="N265" i="16" s="1"/>
  <c r="O265" i="16" a="1"/>
  <c r="O265" i="16" s="1"/>
  <c r="P265" i="16" a="1"/>
  <c r="P265" i="16" s="1"/>
  <c r="Q265" i="16" a="1"/>
  <c r="Q265" i="16" s="1"/>
  <c r="R265" i="16" a="1"/>
  <c r="R265" i="16" s="1"/>
  <c r="U265" i="16" a="1"/>
  <c r="U265" i="16" s="1"/>
  <c r="V265" i="16" a="1"/>
  <c r="V265" i="16" s="1"/>
  <c r="W265" i="16" a="1"/>
  <c r="W265" i="16" s="1"/>
  <c r="X265" i="16" a="1"/>
  <c r="X265" i="16" s="1"/>
  <c r="K266" i="16" a="1"/>
  <c r="K266" i="16" s="1"/>
  <c r="L266" i="16" a="1"/>
  <c r="L266" i="16" s="1"/>
  <c r="M266" i="16" a="1"/>
  <c r="M266" i="16" s="1"/>
  <c r="N266" i="16" a="1"/>
  <c r="N266" i="16" s="1"/>
  <c r="O266" i="16" a="1"/>
  <c r="O266" i="16" s="1"/>
  <c r="P266" i="16" a="1"/>
  <c r="P266" i="16" s="1"/>
  <c r="Q266" i="16" a="1"/>
  <c r="Q266" i="16" s="1"/>
  <c r="R266" i="16" a="1"/>
  <c r="R266" i="16" s="1"/>
  <c r="U266" i="16" a="1"/>
  <c r="U266" i="16" s="1"/>
  <c r="V266" i="16" a="1"/>
  <c r="V266" i="16" s="1"/>
  <c r="W266" i="16" a="1"/>
  <c r="W266" i="16" s="1"/>
  <c r="X266" i="16" a="1"/>
  <c r="X266" i="16" s="1"/>
  <c r="K267" i="16" a="1"/>
  <c r="K267" i="16" s="1"/>
  <c r="L267" i="16" a="1"/>
  <c r="L267" i="16" s="1"/>
  <c r="M267" i="16" a="1"/>
  <c r="M267" i="16" s="1"/>
  <c r="N267" i="16" a="1"/>
  <c r="N267" i="16" s="1"/>
  <c r="O267" i="16" a="1"/>
  <c r="O267" i="16" s="1"/>
  <c r="P267" i="16" a="1"/>
  <c r="P267" i="16" s="1"/>
  <c r="Q267" i="16" a="1"/>
  <c r="Q267" i="16" s="1"/>
  <c r="R267" i="16" a="1"/>
  <c r="R267" i="16" s="1"/>
  <c r="U267" i="16" a="1"/>
  <c r="U267" i="16" s="1"/>
  <c r="V267" i="16" a="1"/>
  <c r="V267" i="16" s="1"/>
  <c r="W267" i="16" a="1"/>
  <c r="W267" i="16" s="1"/>
  <c r="X267" i="16" a="1"/>
  <c r="X267" i="16" s="1"/>
  <c r="K268" i="16" a="1"/>
  <c r="K268" i="16" s="1"/>
  <c r="L268" i="16" a="1"/>
  <c r="L268" i="16" s="1"/>
  <c r="M268" i="16" a="1"/>
  <c r="M268" i="16" s="1"/>
  <c r="N268" i="16" a="1"/>
  <c r="N268" i="16" s="1"/>
  <c r="O268" i="16" a="1"/>
  <c r="O268" i="16" s="1"/>
  <c r="P268" i="16" a="1"/>
  <c r="P268" i="16" s="1"/>
  <c r="Q268" i="16" a="1"/>
  <c r="Q268" i="16" s="1"/>
  <c r="R268" i="16" a="1"/>
  <c r="R268" i="16" s="1"/>
  <c r="U268" i="16" a="1"/>
  <c r="U268" i="16" s="1"/>
  <c r="V268" i="16" a="1"/>
  <c r="V268" i="16" s="1"/>
  <c r="W268" i="16" a="1"/>
  <c r="W268" i="16" s="1"/>
  <c r="X268" i="16" a="1"/>
  <c r="X268" i="16" s="1"/>
  <c r="K269" i="16" a="1"/>
  <c r="K269" i="16" s="1"/>
  <c r="L269" i="16" a="1"/>
  <c r="L269" i="16" s="1"/>
  <c r="M269" i="16" a="1"/>
  <c r="M269" i="16" s="1"/>
  <c r="N269" i="16" a="1"/>
  <c r="N269" i="16" s="1"/>
  <c r="O269" i="16" a="1"/>
  <c r="O269" i="16" s="1"/>
  <c r="P269" i="16" a="1"/>
  <c r="P269" i="16" s="1"/>
  <c r="Q269" i="16" a="1"/>
  <c r="Q269" i="16" s="1"/>
  <c r="R269" i="16" a="1"/>
  <c r="R269" i="16" s="1"/>
  <c r="U269" i="16" a="1"/>
  <c r="U269" i="16" s="1"/>
  <c r="V269" i="16" a="1"/>
  <c r="V269" i="16" s="1"/>
  <c r="W269" i="16" a="1"/>
  <c r="W269" i="16" s="1"/>
  <c r="X269" i="16" a="1"/>
  <c r="X269" i="16" s="1"/>
  <c r="K270" i="16" a="1"/>
  <c r="K270" i="16" s="1"/>
  <c r="L270" i="16" a="1"/>
  <c r="L270" i="16" s="1"/>
  <c r="M270" i="16" a="1"/>
  <c r="M270" i="16" s="1"/>
  <c r="N270" i="16" a="1"/>
  <c r="N270" i="16" s="1"/>
  <c r="O270" i="16" a="1"/>
  <c r="O270" i="16" s="1"/>
  <c r="P270" i="16" a="1"/>
  <c r="P270" i="16" s="1"/>
  <c r="Q270" i="16" a="1"/>
  <c r="Q270" i="16" s="1"/>
  <c r="R270" i="16" a="1"/>
  <c r="R270" i="16" s="1"/>
  <c r="U270" i="16" a="1"/>
  <c r="U270" i="16" s="1"/>
  <c r="V270" i="16" a="1"/>
  <c r="V270" i="16" s="1"/>
  <c r="W270" i="16" a="1"/>
  <c r="W270" i="16" s="1"/>
  <c r="X270" i="16" a="1"/>
  <c r="X270" i="16" s="1"/>
  <c r="K271" i="16" a="1"/>
  <c r="K271" i="16" s="1"/>
  <c r="L271" i="16" a="1"/>
  <c r="L271" i="16" s="1"/>
  <c r="M271" i="16" a="1"/>
  <c r="M271" i="16" s="1"/>
  <c r="N271" i="16" a="1"/>
  <c r="N271" i="16" s="1"/>
  <c r="O271" i="16" a="1"/>
  <c r="O271" i="16" s="1"/>
  <c r="P271" i="16" a="1"/>
  <c r="P271" i="16" s="1"/>
  <c r="Q271" i="16" a="1"/>
  <c r="Q271" i="16" s="1"/>
  <c r="R271" i="16" a="1"/>
  <c r="R271" i="16" s="1"/>
  <c r="U271" i="16" a="1"/>
  <c r="U271" i="16" s="1"/>
  <c r="V271" i="16" a="1"/>
  <c r="V271" i="16" s="1"/>
  <c r="W271" i="16" a="1"/>
  <c r="W271" i="16" s="1"/>
  <c r="X271" i="16" a="1"/>
  <c r="X271" i="16" s="1"/>
  <c r="K272" i="16" a="1"/>
  <c r="K272" i="16" s="1"/>
  <c r="L272" i="16" a="1"/>
  <c r="L272" i="16" s="1"/>
  <c r="M272" i="16" a="1"/>
  <c r="M272" i="16" s="1"/>
  <c r="N272" i="16" a="1"/>
  <c r="N272" i="16" s="1"/>
  <c r="O272" i="16" a="1"/>
  <c r="O272" i="16" s="1"/>
  <c r="P272" i="16" a="1"/>
  <c r="P272" i="16" s="1"/>
  <c r="Q272" i="16" a="1"/>
  <c r="Q272" i="16" s="1"/>
  <c r="R272" i="16" a="1"/>
  <c r="R272" i="16" s="1"/>
  <c r="U272" i="16" a="1"/>
  <c r="U272" i="16" s="1"/>
  <c r="V272" i="16" a="1"/>
  <c r="V272" i="16" s="1"/>
  <c r="W272" i="16" a="1"/>
  <c r="W272" i="16" s="1"/>
  <c r="X272" i="16" a="1"/>
  <c r="X272" i="16" s="1"/>
  <c r="K273" i="16" a="1"/>
  <c r="K273" i="16" s="1"/>
  <c r="L273" i="16" a="1"/>
  <c r="L273" i="16" s="1"/>
  <c r="M273" i="16" a="1"/>
  <c r="M273" i="16" s="1"/>
  <c r="N273" i="16" a="1"/>
  <c r="N273" i="16" s="1"/>
  <c r="O273" i="16" a="1"/>
  <c r="O273" i="16" s="1"/>
  <c r="P273" i="16" a="1"/>
  <c r="P273" i="16" s="1"/>
  <c r="Q273" i="16" a="1"/>
  <c r="Q273" i="16" s="1"/>
  <c r="R273" i="16" a="1"/>
  <c r="R273" i="16" s="1"/>
  <c r="U273" i="16" a="1"/>
  <c r="U273" i="16" s="1"/>
  <c r="V273" i="16" a="1"/>
  <c r="V273" i="16" s="1"/>
  <c r="W273" i="16" a="1"/>
  <c r="W273" i="16" s="1"/>
  <c r="X273" i="16" a="1"/>
  <c r="X273" i="16" s="1"/>
  <c r="K274" i="16" a="1"/>
  <c r="K274" i="16" s="1"/>
  <c r="L274" i="16" a="1"/>
  <c r="L274" i="16" s="1"/>
  <c r="M274" i="16" a="1"/>
  <c r="M274" i="16" s="1"/>
  <c r="N274" i="16" a="1"/>
  <c r="N274" i="16" s="1"/>
  <c r="O274" i="16" a="1"/>
  <c r="O274" i="16" s="1"/>
  <c r="P274" i="16" a="1"/>
  <c r="P274" i="16" s="1"/>
  <c r="Q274" i="16" a="1"/>
  <c r="Q274" i="16" s="1"/>
  <c r="R274" i="16" a="1"/>
  <c r="R274" i="16" s="1"/>
  <c r="U274" i="16" a="1"/>
  <c r="U274" i="16" s="1"/>
  <c r="V274" i="16" a="1"/>
  <c r="V274" i="16" s="1"/>
  <c r="W274" i="16" a="1"/>
  <c r="W274" i="16" s="1"/>
  <c r="X274" i="16" a="1"/>
  <c r="X274" i="16" s="1"/>
  <c r="K275" i="16" a="1"/>
  <c r="K275" i="16" s="1"/>
  <c r="L275" i="16" a="1"/>
  <c r="L275" i="16" s="1"/>
  <c r="M275" i="16" a="1"/>
  <c r="M275" i="16" s="1"/>
  <c r="N275" i="16" a="1"/>
  <c r="N275" i="16" s="1"/>
  <c r="O275" i="16" a="1"/>
  <c r="O275" i="16" s="1"/>
  <c r="P275" i="16" a="1"/>
  <c r="P275" i="16" s="1"/>
  <c r="Q275" i="16" a="1"/>
  <c r="Q275" i="16" s="1"/>
  <c r="R275" i="16" a="1"/>
  <c r="R275" i="16" s="1"/>
  <c r="U275" i="16" a="1"/>
  <c r="U275" i="16" s="1"/>
  <c r="V275" i="16" a="1"/>
  <c r="V275" i="16" s="1"/>
  <c r="W275" i="16" a="1"/>
  <c r="W275" i="16" s="1"/>
  <c r="X275" i="16" a="1"/>
  <c r="X275" i="16" s="1"/>
  <c r="K276" i="16" a="1"/>
  <c r="K276" i="16" s="1"/>
  <c r="L276" i="16" a="1"/>
  <c r="L276" i="16" s="1"/>
  <c r="M276" i="16" a="1"/>
  <c r="M276" i="16" s="1"/>
  <c r="N276" i="16" a="1"/>
  <c r="N276" i="16" s="1"/>
  <c r="O276" i="16" a="1"/>
  <c r="O276" i="16" s="1"/>
  <c r="P276" i="16" a="1"/>
  <c r="P276" i="16" s="1"/>
  <c r="Q276" i="16" a="1"/>
  <c r="Q276" i="16" s="1"/>
  <c r="R276" i="16" a="1"/>
  <c r="R276" i="16" s="1"/>
  <c r="U276" i="16" a="1"/>
  <c r="U276" i="16" s="1"/>
  <c r="V276" i="16" a="1"/>
  <c r="V276" i="16" s="1"/>
  <c r="W276" i="16" a="1"/>
  <c r="W276" i="16" s="1"/>
  <c r="X276" i="16" a="1"/>
  <c r="X276" i="16" s="1"/>
  <c r="K277" i="16" a="1"/>
  <c r="K277" i="16" s="1"/>
  <c r="L277" i="16" a="1"/>
  <c r="L277" i="16" s="1"/>
  <c r="M277" i="16" a="1"/>
  <c r="M277" i="16" s="1"/>
  <c r="N277" i="16" a="1"/>
  <c r="N277" i="16" s="1"/>
  <c r="O277" i="16" a="1"/>
  <c r="O277" i="16" s="1"/>
  <c r="P277" i="16" a="1"/>
  <c r="P277" i="16" s="1"/>
  <c r="Q277" i="16" a="1"/>
  <c r="Q277" i="16" s="1"/>
  <c r="R277" i="16" a="1"/>
  <c r="R277" i="16" s="1"/>
  <c r="U277" i="16" a="1"/>
  <c r="U277" i="16" s="1"/>
  <c r="V277" i="16" a="1"/>
  <c r="V277" i="16" s="1"/>
  <c r="W277" i="16" a="1"/>
  <c r="W277" i="16" s="1"/>
  <c r="X277" i="16" a="1"/>
  <c r="X277" i="16" s="1"/>
  <c r="K278" i="16" a="1"/>
  <c r="K278" i="16" s="1"/>
  <c r="L278" i="16" a="1"/>
  <c r="L278" i="16" s="1"/>
  <c r="M278" i="16" a="1"/>
  <c r="M278" i="16" s="1"/>
  <c r="N278" i="16" a="1"/>
  <c r="N278" i="16" s="1"/>
  <c r="O278" i="16" a="1"/>
  <c r="O278" i="16" s="1"/>
  <c r="P278" i="16" a="1"/>
  <c r="P278" i="16" s="1"/>
  <c r="Q278" i="16" a="1"/>
  <c r="Q278" i="16" s="1"/>
  <c r="R278" i="16" a="1"/>
  <c r="R278" i="16" s="1"/>
  <c r="U278" i="16" a="1"/>
  <c r="U278" i="16" s="1"/>
  <c r="V278" i="16" a="1"/>
  <c r="V278" i="16" s="1"/>
  <c r="W278" i="16" a="1"/>
  <c r="W278" i="16" s="1"/>
  <c r="X278" i="16" a="1"/>
  <c r="X278" i="16" s="1"/>
  <c r="K279" i="16" a="1"/>
  <c r="K279" i="16" s="1"/>
  <c r="L279" i="16" a="1"/>
  <c r="L279" i="16" s="1"/>
  <c r="M279" i="16" a="1"/>
  <c r="M279" i="16" s="1"/>
  <c r="N279" i="16" a="1"/>
  <c r="N279" i="16" s="1"/>
  <c r="O279" i="16" a="1"/>
  <c r="O279" i="16" s="1"/>
  <c r="P279" i="16" a="1"/>
  <c r="P279" i="16" s="1"/>
  <c r="Q279" i="16" a="1"/>
  <c r="Q279" i="16" s="1"/>
  <c r="R279" i="16" a="1"/>
  <c r="R279" i="16" s="1"/>
  <c r="U279" i="16" a="1"/>
  <c r="U279" i="16" s="1"/>
  <c r="V279" i="16" a="1"/>
  <c r="V279" i="16" s="1"/>
  <c r="W279" i="16" a="1"/>
  <c r="W279" i="16" s="1"/>
  <c r="X279" i="16" a="1"/>
  <c r="X279" i="16" s="1"/>
  <c r="K280" i="16" a="1"/>
  <c r="K280" i="16" s="1"/>
  <c r="L280" i="16" a="1"/>
  <c r="L280" i="16" s="1"/>
  <c r="M280" i="16" a="1"/>
  <c r="M280" i="16" s="1"/>
  <c r="N280" i="16" a="1"/>
  <c r="N280" i="16" s="1"/>
  <c r="O280" i="16" a="1"/>
  <c r="O280" i="16" s="1"/>
  <c r="P280" i="16" a="1"/>
  <c r="P280" i="16" s="1"/>
  <c r="Q280" i="16" a="1"/>
  <c r="Q280" i="16" s="1"/>
  <c r="R280" i="16" a="1"/>
  <c r="R280" i="16" s="1"/>
  <c r="U280" i="16" a="1"/>
  <c r="U280" i="16" s="1"/>
  <c r="V280" i="16" a="1"/>
  <c r="V280" i="16" s="1"/>
  <c r="W280" i="16" a="1"/>
  <c r="W280" i="16" s="1"/>
  <c r="X280" i="16" a="1"/>
  <c r="X280" i="16" s="1"/>
  <c r="K281" i="16" a="1"/>
  <c r="K281" i="16" s="1"/>
  <c r="L281" i="16" a="1"/>
  <c r="L281" i="16" s="1"/>
  <c r="M281" i="16" a="1"/>
  <c r="M281" i="16" s="1"/>
  <c r="N281" i="16" a="1"/>
  <c r="N281" i="16" s="1"/>
  <c r="O281" i="16" a="1"/>
  <c r="O281" i="16" s="1"/>
  <c r="P281" i="16" a="1"/>
  <c r="P281" i="16" s="1"/>
  <c r="Q281" i="16" a="1"/>
  <c r="Q281" i="16" s="1"/>
  <c r="R281" i="16" a="1"/>
  <c r="R281" i="16" s="1"/>
  <c r="U281" i="16" a="1"/>
  <c r="U281" i="16" s="1"/>
  <c r="V281" i="16" a="1"/>
  <c r="V281" i="16" s="1"/>
  <c r="W281" i="16" a="1"/>
  <c r="W281" i="16" s="1"/>
  <c r="X281" i="16" a="1"/>
  <c r="X281" i="16" s="1"/>
  <c r="K282" i="16" a="1"/>
  <c r="K282" i="16" s="1"/>
  <c r="L282" i="16" a="1"/>
  <c r="L282" i="16" s="1"/>
  <c r="M282" i="16" a="1"/>
  <c r="M282" i="16" s="1"/>
  <c r="N282" i="16" a="1"/>
  <c r="N282" i="16" s="1"/>
  <c r="O282" i="16" a="1"/>
  <c r="O282" i="16" s="1"/>
  <c r="P282" i="16" a="1"/>
  <c r="P282" i="16" s="1"/>
  <c r="Q282" i="16" a="1"/>
  <c r="Q282" i="16" s="1"/>
  <c r="R282" i="16" a="1"/>
  <c r="R282" i="16" s="1"/>
  <c r="U282" i="16" a="1"/>
  <c r="U282" i="16" s="1"/>
  <c r="V282" i="16" a="1"/>
  <c r="V282" i="16" s="1"/>
  <c r="W282" i="16" a="1"/>
  <c r="W282" i="16" s="1"/>
  <c r="X282" i="16" a="1"/>
  <c r="X282" i="16" s="1"/>
  <c r="K283" i="16" a="1"/>
  <c r="K283" i="16" s="1"/>
  <c r="L283" i="16" a="1"/>
  <c r="L283" i="16" s="1"/>
  <c r="M283" i="16" a="1"/>
  <c r="M283" i="16" s="1"/>
  <c r="N283" i="16" a="1"/>
  <c r="N283" i="16" s="1"/>
  <c r="O283" i="16" a="1"/>
  <c r="O283" i="16" s="1"/>
  <c r="P283" i="16" a="1"/>
  <c r="P283" i="16" s="1"/>
  <c r="Q283" i="16" a="1"/>
  <c r="Q283" i="16" s="1"/>
  <c r="R283" i="16" a="1"/>
  <c r="R283" i="16" s="1"/>
  <c r="U283" i="16" a="1"/>
  <c r="U283" i="16" s="1"/>
  <c r="V283" i="16" a="1"/>
  <c r="V283" i="16" s="1"/>
  <c r="W283" i="16" a="1"/>
  <c r="W283" i="16" s="1"/>
  <c r="X283" i="16" a="1"/>
  <c r="X283" i="16" s="1"/>
  <c r="K284" i="16" a="1"/>
  <c r="K284" i="16" s="1"/>
  <c r="L284" i="16" a="1"/>
  <c r="L284" i="16" s="1"/>
  <c r="M284" i="16" a="1"/>
  <c r="M284" i="16" s="1"/>
  <c r="N284" i="16" a="1"/>
  <c r="N284" i="16" s="1"/>
  <c r="O284" i="16" a="1"/>
  <c r="O284" i="16" s="1"/>
  <c r="P284" i="16" a="1"/>
  <c r="P284" i="16" s="1"/>
  <c r="Q284" i="16" a="1"/>
  <c r="Q284" i="16" s="1"/>
  <c r="R284" i="16" a="1"/>
  <c r="R284" i="16" s="1"/>
  <c r="U284" i="16" a="1"/>
  <c r="U284" i="16" s="1"/>
  <c r="V284" i="16" a="1"/>
  <c r="V284" i="16" s="1"/>
  <c r="W284" i="16" a="1"/>
  <c r="W284" i="16" s="1"/>
  <c r="X284" i="16" a="1"/>
  <c r="X284" i="16" s="1"/>
  <c r="K285" i="16" a="1"/>
  <c r="K285" i="16" s="1"/>
  <c r="L285" i="16" a="1"/>
  <c r="L285" i="16" s="1"/>
  <c r="M285" i="16" a="1"/>
  <c r="M285" i="16" s="1"/>
  <c r="N285" i="16" a="1"/>
  <c r="N285" i="16" s="1"/>
  <c r="O285" i="16" a="1"/>
  <c r="O285" i="16" s="1"/>
  <c r="P285" i="16" a="1"/>
  <c r="P285" i="16" s="1"/>
  <c r="Q285" i="16" a="1"/>
  <c r="Q285" i="16" s="1"/>
  <c r="R285" i="16" a="1"/>
  <c r="R285" i="16" s="1"/>
  <c r="U285" i="16" a="1"/>
  <c r="U285" i="16" s="1"/>
  <c r="V285" i="16" a="1"/>
  <c r="V285" i="16" s="1"/>
  <c r="W285" i="16" a="1"/>
  <c r="W285" i="16" s="1"/>
  <c r="X285" i="16" a="1"/>
  <c r="X285" i="16" s="1"/>
  <c r="K286" i="16" a="1"/>
  <c r="K286" i="16" s="1"/>
  <c r="L286" i="16" a="1"/>
  <c r="L286" i="16" s="1"/>
  <c r="M286" i="16" a="1"/>
  <c r="M286" i="16" s="1"/>
  <c r="N286" i="16" a="1"/>
  <c r="N286" i="16" s="1"/>
  <c r="O286" i="16" a="1"/>
  <c r="O286" i="16" s="1"/>
  <c r="P286" i="16" a="1"/>
  <c r="P286" i="16" s="1"/>
  <c r="Q286" i="16" a="1"/>
  <c r="Q286" i="16" s="1"/>
  <c r="R286" i="16" a="1"/>
  <c r="R286" i="16" s="1"/>
  <c r="U286" i="16" a="1"/>
  <c r="U286" i="16" s="1"/>
  <c r="V286" i="16" a="1"/>
  <c r="V286" i="16" s="1"/>
  <c r="W286" i="16" a="1"/>
  <c r="W286" i="16" s="1"/>
  <c r="X286" i="16" a="1"/>
  <c r="X286" i="16" s="1"/>
  <c r="K287" i="16" a="1"/>
  <c r="K287" i="16" s="1"/>
  <c r="L287" i="16" a="1"/>
  <c r="L287" i="16" s="1"/>
  <c r="M287" i="16" a="1"/>
  <c r="M287" i="16" s="1"/>
  <c r="N287" i="16" a="1"/>
  <c r="N287" i="16" s="1"/>
  <c r="O287" i="16" a="1"/>
  <c r="O287" i="16" s="1"/>
  <c r="P287" i="16" a="1"/>
  <c r="P287" i="16" s="1"/>
  <c r="Q287" i="16" a="1"/>
  <c r="Q287" i="16" s="1"/>
  <c r="R287" i="16" a="1"/>
  <c r="R287" i="16" s="1"/>
  <c r="U287" i="16" a="1"/>
  <c r="U287" i="16" s="1"/>
  <c r="V287" i="16" a="1"/>
  <c r="V287" i="16" s="1"/>
  <c r="W287" i="16" a="1"/>
  <c r="W287" i="16" s="1"/>
  <c r="X287" i="16" a="1"/>
  <c r="X287" i="16" s="1"/>
  <c r="K288" i="16" a="1"/>
  <c r="K288" i="16" s="1"/>
  <c r="L288" i="16" a="1"/>
  <c r="L288" i="16" s="1"/>
  <c r="M288" i="16" a="1"/>
  <c r="M288" i="16" s="1"/>
  <c r="N288" i="16" a="1"/>
  <c r="N288" i="16" s="1"/>
  <c r="O288" i="16" a="1"/>
  <c r="O288" i="16" s="1"/>
  <c r="P288" i="16" a="1"/>
  <c r="P288" i="16" s="1"/>
  <c r="Q288" i="16" a="1"/>
  <c r="Q288" i="16" s="1"/>
  <c r="R288" i="16" a="1"/>
  <c r="R288" i="16" s="1"/>
  <c r="U288" i="16" a="1"/>
  <c r="U288" i="16" s="1"/>
  <c r="V288" i="16" a="1"/>
  <c r="V288" i="16" s="1"/>
  <c r="W288" i="16" a="1"/>
  <c r="W288" i="16" s="1"/>
  <c r="X288" i="16" a="1"/>
  <c r="X288" i="16" s="1"/>
  <c r="K289" i="16" a="1"/>
  <c r="K289" i="16" s="1"/>
  <c r="L289" i="16" a="1"/>
  <c r="L289" i="16" s="1"/>
  <c r="M289" i="16" a="1"/>
  <c r="M289" i="16" s="1"/>
  <c r="N289" i="16" a="1"/>
  <c r="N289" i="16" s="1"/>
  <c r="O289" i="16" a="1"/>
  <c r="O289" i="16" s="1"/>
  <c r="P289" i="16" a="1"/>
  <c r="P289" i="16" s="1"/>
  <c r="Q289" i="16" a="1"/>
  <c r="Q289" i="16" s="1"/>
  <c r="R289" i="16" a="1"/>
  <c r="R289" i="16" s="1"/>
  <c r="U289" i="16" a="1"/>
  <c r="U289" i="16" s="1"/>
  <c r="V289" i="16" a="1"/>
  <c r="V289" i="16" s="1"/>
  <c r="W289" i="16" a="1"/>
  <c r="W289" i="16" s="1"/>
  <c r="X289" i="16" a="1"/>
  <c r="X289" i="16" s="1"/>
  <c r="K290" i="16" a="1"/>
  <c r="K290" i="16" s="1"/>
  <c r="L290" i="16" a="1"/>
  <c r="L290" i="16" s="1"/>
  <c r="M290" i="16" a="1"/>
  <c r="M290" i="16" s="1"/>
  <c r="N290" i="16" a="1"/>
  <c r="N290" i="16" s="1"/>
  <c r="O290" i="16" a="1"/>
  <c r="O290" i="16" s="1"/>
  <c r="P290" i="16" a="1"/>
  <c r="P290" i="16" s="1"/>
  <c r="Q290" i="16" a="1"/>
  <c r="Q290" i="16" s="1"/>
  <c r="R290" i="16" a="1"/>
  <c r="R290" i="16" s="1"/>
  <c r="U290" i="16" a="1"/>
  <c r="U290" i="16" s="1"/>
  <c r="V290" i="16" a="1"/>
  <c r="V290" i="16" s="1"/>
  <c r="W290" i="16" a="1"/>
  <c r="W290" i="16" s="1"/>
  <c r="X290" i="16" a="1"/>
  <c r="X290" i="16" s="1"/>
  <c r="K291" i="16" a="1"/>
  <c r="K291" i="16" s="1"/>
  <c r="L291" i="16" a="1"/>
  <c r="L291" i="16" s="1"/>
  <c r="M291" i="16" a="1"/>
  <c r="M291" i="16" s="1"/>
  <c r="N291" i="16" a="1"/>
  <c r="N291" i="16" s="1"/>
  <c r="O291" i="16" a="1"/>
  <c r="O291" i="16" s="1"/>
  <c r="P291" i="16" a="1"/>
  <c r="P291" i="16" s="1"/>
  <c r="Q291" i="16" a="1"/>
  <c r="Q291" i="16" s="1"/>
  <c r="R291" i="16" a="1"/>
  <c r="R291" i="16" s="1"/>
  <c r="U291" i="16" a="1"/>
  <c r="U291" i="16" s="1"/>
  <c r="V291" i="16" a="1"/>
  <c r="V291" i="16" s="1"/>
  <c r="W291" i="16" a="1"/>
  <c r="W291" i="16" s="1"/>
  <c r="X291" i="16" a="1"/>
  <c r="X291" i="16" s="1"/>
  <c r="K292" i="16" a="1"/>
  <c r="K292" i="16" s="1"/>
  <c r="L292" i="16" a="1"/>
  <c r="L292" i="16" s="1"/>
  <c r="M292" i="16" a="1"/>
  <c r="M292" i="16" s="1"/>
  <c r="N292" i="16" a="1"/>
  <c r="N292" i="16" s="1"/>
  <c r="O292" i="16" a="1"/>
  <c r="O292" i="16" s="1"/>
  <c r="P292" i="16" a="1"/>
  <c r="P292" i="16" s="1"/>
  <c r="Q292" i="16" a="1"/>
  <c r="Q292" i="16" s="1"/>
  <c r="R292" i="16" a="1"/>
  <c r="R292" i="16" s="1"/>
  <c r="U292" i="16" a="1"/>
  <c r="U292" i="16" s="1"/>
  <c r="V292" i="16" a="1"/>
  <c r="V292" i="16" s="1"/>
  <c r="W292" i="16" a="1"/>
  <c r="W292" i="16" s="1"/>
  <c r="X292" i="16" a="1"/>
  <c r="X292" i="16" s="1"/>
  <c r="K293" i="16" a="1"/>
  <c r="K293" i="16" s="1"/>
  <c r="L293" i="16" a="1"/>
  <c r="L293" i="16" s="1"/>
  <c r="M293" i="16" a="1"/>
  <c r="M293" i="16" s="1"/>
  <c r="N293" i="16" a="1"/>
  <c r="N293" i="16" s="1"/>
  <c r="O293" i="16" a="1"/>
  <c r="O293" i="16" s="1"/>
  <c r="P293" i="16" a="1"/>
  <c r="P293" i="16" s="1"/>
  <c r="Q293" i="16" a="1"/>
  <c r="Q293" i="16" s="1"/>
  <c r="R293" i="16" a="1"/>
  <c r="R293" i="16" s="1"/>
  <c r="U293" i="16" a="1"/>
  <c r="U293" i="16" s="1"/>
  <c r="V293" i="16" a="1"/>
  <c r="V293" i="16" s="1"/>
  <c r="W293" i="16" a="1"/>
  <c r="W293" i="16" s="1"/>
  <c r="X293" i="16" a="1"/>
  <c r="X293" i="16" s="1"/>
  <c r="K294" i="16" a="1"/>
  <c r="K294" i="16" s="1"/>
  <c r="L294" i="16" a="1"/>
  <c r="L294" i="16" s="1"/>
  <c r="M294" i="16" a="1"/>
  <c r="M294" i="16" s="1"/>
  <c r="N294" i="16" a="1"/>
  <c r="N294" i="16" s="1"/>
  <c r="O294" i="16" a="1"/>
  <c r="O294" i="16" s="1"/>
  <c r="P294" i="16" a="1"/>
  <c r="P294" i="16" s="1"/>
  <c r="Q294" i="16" a="1"/>
  <c r="Q294" i="16" s="1"/>
  <c r="R294" i="16" a="1"/>
  <c r="R294" i="16" s="1"/>
  <c r="U294" i="16" a="1"/>
  <c r="U294" i="16" s="1"/>
  <c r="V294" i="16" a="1"/>
  <c r="V294" i="16" s="1"/>
  <c r="W294" i="16" a="1"/>
  <c r="W294" i="16" s="1"/>
  <c r="X294" i="16" a="1"/>
  <c r="X294" i="16" s="1"/>
  <c r="K295" i="16" a="1"/>
  <c r="K295" i="16" s="1"/>
  <c r="L295" i="16" a="1"/>
  <c r="L295" i="16" s="1"/>
  <c r="M295" i="16" a="1"/>
  <c r="M295" i="16" s="1"/>
  <c r="N295" i="16" a="1"/>
  <c r="N295" i="16" s="1"/>
  <c r="O295" i="16" a="1"/>
  <c r="O295" i="16" s="1"/>
  <c r="P295" i="16" a="1"/>
  <c r="P295" i="16" s="1"/>
  <c r="Q295" i="16" a="1"/>
  <c r="Q295" i="16" s="1"/>
  <c r="R295" i="16" a="1"/>
  <c r="R295" i="16" s="1"/>
  <c r="U295" i="16" a="1"/>
  <c r="U295" i="16" s="1"/>
  <c r="V295" i="16" a="1"/>
  <c r="V295" i="16" s="1"/>
  <c r="W295" i="16" a="1"/>
  <c r="W295" i="16" s="1"/>
  <c r="X295" i="16" a="1"/>
  <c r="X295" i="16" s="1"/>
  <c r="K296" i="16" a="1"/>
  <c r="K296" i="16" s="1"/>
  <c r="L296" i="16" a="1"/>
  <c r="L296" i="16" s="1"/>
  <c r="M296" i="16" a="1"/>
  <c r="M296" i="16" s="1"/>
  <c r="N296" i="16" a="1"/>
  <c r="N296" i="16" s="1"/>
  <c r="O296" i="16" a="1"/>
  <c r="O296" i="16" s="1"/>
  <c r="P296" i="16" a="1"/>
  <c r="P296" i="16" s="1"/>
  <c r="Q296" i="16" a="1"/>
  <c r="Q296" i="16" s="1"/>
  <c r="R296" i="16" a="1"/>
  <c r="R296" i="16" s="1"/>
  <c r="U296" i="16" a="1"/>
  <c r="U296" i="16" s="1"/>
  <c r="V296" i="16" a="1"/>
  <c r="V296" i="16" s="1"/>
  <c r="W296" i="16" a="1"/>
  <c r="W296" i="16" s="1"/>
  <c r="X296" i="16" a="1"/>
  <c r="X296" i="16" s="1"/>
  <c r="K297" i="16" a="1"/>
  <c r="K297" i="16" s="1"/>
  <c r="L297" i="16" a="1"/>
  <c r="L297" i="16" s="1"/>
  <c r="M297" i="16" a="1"/>
  <c r="M297" i="16" s="1"/>
  <c r="N297" i="16" a="1"/>
  <c r="N297" i="16" s="1"/>
  <c r="O297" i="16" a="1"/>
  <c r="O297" i="16" s="1"/>
  <c r="P297" i="16" a="1"/>
  <c r="P297" i="16" s="1"/>
  <c r="Q297" i="16" a="1"/>
  <c r="Q297" i="16" s="1"/>
  <c r="R297" i="16" a="1"/>
  <c r="R297" i="16" s="1"/>
  <c r="U297" i="16" a="1"/>
  <c r="U297" i="16" s="1"/>
  <c r="V297" i="16" a="1"/>
  <c r="V297" i="16" s="1"/>
  <c r="W297" i="16" a="1"/>
  <c r="W297" i="16" s="1"/>
  <c r="X297" i="16" a="1"/>
  <c r="X297" i="16" s="1"/>
  <c r="K298" i="16" a="1"/>
  <c r="K298" i="16" s="1"/>
  <c r="L298" i="16" a="1"/>
  <c r="L298" i="16" s="1"/>
  <c r="M298" i="16" a="1"/>
  <c r="M298" i="16" s="1"/>
  <c r="N298" i="16" a="1"/>
  <c r="N298" i="16" s="1"/>
  <c r="O298" i="16" a="1"/>
  <c r="O298" i="16" s="1"/>
  <c r="P298" i="16" a="1"/>
  <c r="P298" i="16" s="1"/>
  <c r="Q298" i="16" a="1"/>
  <c r="Q298" i="16" s="1"/>
  <c r="R298" i="16" a="1"/>
  <c r="R298" i="16" s="1"/>
  <c r="U298" i="16" a="1"/>
  <c r="U298" i="16" s="1"/>
  <c r="V298" i="16" a="1"/>
  <c r="V298" i="16" s="1"/>
  <c r="W298" i="16" a="1"/>
  <c r="W298" i="16" s="1"/>
  <c r="X298" i="16" a="1"/>
  <c r="X298" i="16" s="1"/>
  <c r="K299" i="16" a="1"/>
  <c r="K299" i="16" s="1"/>
  <c r="L299" i="16" a="1"/>
  <c r="L299" i="16" s="1"/>
  <c r="M299" i="16" a="1"/>
  <c r="M299" i="16" s="1"/>
  <c r="N299" i="16" a="1"/>
  <c r="N299" i="16" s="1"/>
  <c r="O299" i="16" a="1"/>
  <c r="O299" i="16" s="1"/>
  <c r="P299" i="16" a="1"/>
  <c r="P299" i="16" s="1"/>
  <c r="Q299" i="16" a="1"/>
  <c r="Q299" i="16" s="1"/>
  <c r="R299" i="16" a="1"/>
  <c r="R299" i="16" s="1"/>
  <c r="U299" i="16" a="1"/>
  <c r="U299" i="16" s="1"/>
  <c r="V299" i="16" a="1"/>
  <c r="V299" i="16" s="1"/>
  <c r="W299" i="16" a="1"/>
  <c r="W299" i="16" s="1"/>
  <c r="X299" i="16" a="1"/>
  <c r="X299" i="16" s="1"/>
  <c r="K300" i="16" a="1"/>
  <c r="K300" i="16" s="1"/>
  <c r="L300" i="16" a="1"/>
  <c r="L300" i="16" s="1"/>
  <c r="M300" i="16" a="1"/>
  <c r="M300" i="16" s="1"/>
  <c r="N300" i="16" a="1"/>
  <c r="N300" i="16" s="1"/>
  <c r="O300" i="16" a="1"/>
  <c r="O300" i="16" s="1"/>
  <c r="P300" i="16" a="1"/>
  <c r="P300" i="16" s="1"/>
  <c r="Q300" i="16" a="1"/>
  <c r="Q300" i="16" s="1"/>
  <c r="R300" i="16" a="1"/>
  <c r="R300" i="16" s="1"/>
  <c r="U300" i="16" a="1"/>
  <c r="U300" i="16" s="1"/>
  <c r="V300" i="16" a="1"/>
  <c r="V300" i="16" s="1"/>
  <c r="W300" i="16" a="1"/>
  <c r="W300" i="16" s="1"/>
  <c r="X300" i="16" a="1"/>
  <c r="X300" i="16" s="1"/>
  <c r="K301" i="16" a="1"/>
  <c r="K301" i="16" s="1"/>
  <c r="L301" i="16" a="1"/>
  <c r="L301" i="16" s="1"/>
  <c r="M301" i="16" a="1"/>
  <c r="M301" i="16" s="1"/>
  <c r="N301" i="16" a="1"/>
  <c r="N301" i="16" s="1"/>
  <c r="O301" i="16" a="1"/>
  <c r="O301" i="16" s="1"/>
  <c r="P301" i="16" a="1"/>
  <c r="P301" i="16" s="1"/>
  <c r="Q301" i="16" a="1"/>
  <c r="Q301" i="16" s="1"/>
  <c r="R301" i="16" a="1"/>
  <c r="R301" i="16" s="1"/>
  <c r="U301" i="16" a="1"/>
  <c r="U301" i="16" s="1"/>
  <c r="V301" i="16" a="1"/>
  <c r="V301" i="16" s="1"/>
  <c r="W301" i="16" a="1"/>
  <c r="W301" i="16" s="1"/>
  <c r="X301" i="16" a="1"/>
  <c r="X301" i="16" s="1"/>
  <c r="K302" i="16" a="1"/>
  <c r="K302" i="16" s="1"/>
  <c r="L302" i="16" a="1"/>
  <c r="L302" i="16" s="1"/>
  <c r="M302" i="16" a="1"/>
  <c r="M302" i="16" s="1"/>
  <c r="N302" i="16" a="1"/>
  <c r="N302" i="16" s="1"/>
  <c r="O302" i="16" a="1"/>
  <c r="O302" i="16" s="1"/>
  <c r="P302" i="16" a="1"/>
  <c r="P302" i="16" s="1"/>
  <c r="Q302" i="16" a="1"/>
  <c r="Q302" i="16" s="1"/>
  <c r="R302" i="16" a="1"/>
  <c r="R302" i="16" s="1"/>
  <c r="U302" i="16" a="1"/>
  <c r="U302" i="16" s="1"/>
  <c r="V302" i="16" a="1"/>
  <c r="V302" i="16" s="1"/>
  <c r="W302" i="16" a="1"/>
  <c r="W302" i="16" s="1"/>
  <c r="X302" i="16" a="1"/>
  <c r="X302" i="16" s="1"/>
  <c r="K303" i="16" a="1"/>
  <c r="K303" i="16" s="1"/>
  <c r="L303" i="16" a="1"/>
  <c r="L303" i="16" s="1"/>
  <c r="M303" i="16" a="1"/>
  <c r="M303" i="16" s="1"/>
  <c r="N303" i="16" a="1"/>
  <c r="N303" i="16" s="1"/>
  <c r="O303" i="16" a="1"/>
  <c r="O303" i="16" s="1"/>
  <c r="P303" i="16" a="1"/>
  <c r="P303" i="16" s="1"/>
  <c r="Q303" i="16" a="1"/>
  <c r="Q303" i="16" s="1"/>
  <c r="R303" i="16" a="1"/>
  <c r="R303" i="16" s="1"/>
  <c r="U303" i="16" a="1"/>
  <c r="U303" i="16" s="1"/>
  <c r="V303" i="16" a="1"/>
  <c r="V303" i="16" s="1"/>
  <c r="W303" i="16" a="1"/>
  <c r="W303" i="16" s="1"/>
  <c r="X303" i="16" a="1"/>
  <c r="X303" i="16" s="1"/>
  <c r="K304" i="16" a="1"/>
  <c r="K304" i="16" s="1"/>
  <c r="L304" i="16" a="1"/>
  <c r="L304" i="16" s="1"/>
  <c r="M304" i="16" a="1"/>
  <c r="M304" i="16" s="1"/>
  <c r="N304" i="16" a="1"/>
  <c r="N304" i="16" s="1"/>
  <c r="O304" i="16" a="1"/>
  <c r="O304" i="16" s="1"/>
  <c r="P304" i="16" a="1"/>
  <c r="P304" i="16" s="1"/>
  <c r="Q304" i="16" a="1"/>
  <c r="Q304" i="16" s="1"/>
  <c r="R304" i="16" a="1"/>
  <c r="R304" i="16" s="1"/>
  <c r="U304" i="16" a="1"/>
  <c r="U304" i="16" s="1"/>
  <c r="V304" i="16" a="1"/>
  <c r="V304" i="16" s="1"/>
  <c r="W304" i="16" a="1"/>
  <c r="W304" i="16" s="1"/>
  <c r="X304" i="16" a="1"/>
  <c r="X304" i="16" s="1"/>
  <c r="K305" i="16" a="1"/>
  <c r="K305" i="16" s="1"/>
  <c r="L305" i="16" a="1"/>
  <c r="L305" i="16" s="1"/>
  <c r="M305" i="16" a="1"/>
  <c r="M305" i="16" s="1"/>
  <c r="N305" i="16" a="1"/>
  <c r="N305" i="16" s="1"/>
  <c r="O305" i="16" a="1"/>
  <c r="O305" i="16" s="1"/>
  <c r="P305" i="16" a="1"/>
  <c r="P305" i="16" s="1"/>
  <c r="Q305" i="16" a="1"/>
  <c r="Q305" i="16" s="1"/>
  <c r="R305" i="16" a="1"/>
  <c r="R305" i="16" s="1"/>
  <c r="U305" i="16" a="1"/>
  <c r="U305" i="16" s="1"/>
  <c r="V305" i="16" a="1"/>
  <c r="V305" i="16" s="1"/>
  <c r="W305" i="16" a="1"/>
  <c r="W305" i="16" s="1"/>
  <c r="X305" i="16" a="1"/>
  <c r="X305" i="16" s="1"/>
  <c r="K306" i="16" a="1"/>
  <c r="K306" i="16" s="1"/>
  <c r="L306" i="16" a="1"/>
  <c r="L306" i="16" s="1"/>
  <c r="M306" i="16" a="1"/>
  <c r="M306" i="16" s="1"/>
  <c r="N306" i="16" a="1"/>
  <c r="N306" i="16" s="1"/>
  <c r="O306" i="16" a="1"/>
  <c r="O306" i="16" s="1"/>
  <c r="P306" i="16" a="1"/>
  <c r="P306" i="16" s="1"/>
  <c r="Q306" i="16" a="1"/>
  <c r="Q306" i="16" s="1"/>
  <c r="R306" i="16" a="1"/>
  <c r="R306" i="16" s="1"/>
  <c r="U306" i="16" a="1"/>
  <c r="U306" i="16" s="1"/>
  <c r="V306" i="16" a="1"/>
  <c r="V306" i="16" s="1"/>
  <c r="W306" i="16" a="1"/>
  <c r="W306" i="16" s="1"/>
  <c r="X306" i="16" a="1"/>
  <c r="X306" i="16" s="1"/>
  <c r="K307" i="16" a="1"/>
  <c r="K307" i="16" s="1"/>
  <c r="L307" i="16" a="1"/>
  <c r="L307" i="16" s="1"/>
  <c r="M307" i="16" a="1"/>
  <c r="M307" i="16" s="1"/>
  <c r="N307" i="16" a="1"/>
  <c r="N307" i="16" s="1"/>
  <c r="O307" i="16" a="1"/>
  <c r="O307" i="16" s="1"/>
  <c r="P307" i="16" a="1"/>
  <c r="P307" i="16" s="1"/>
  <c r="Q307" i="16" a="1"/>
  <c r="Q307" i="16" s="1"/>
  <c r="R307" i="16" a="1"/>
  <c r="R307" i="16" s="1"/>
  <c r="U307" i="16" a="1"/>
  <c r="U307" i="16" s="1"/>
  <c r="V307" i="16" a="1"/>
  <c r="V307" i="16" s="1"/>
  <c r="W307" i="16" a="1"/>
  <c r="W307" i="16" s="1"/>
  <c r="X307" i="16" a="1"/>
  <c r="X307" i="16" s="1"/>
  <c r="K308" i="16" a="1"/>
  <c r="K308" i="16" s="1"/>
  <c r="L308" i="16" a="1"/>
  <c r="L308" i="16" s="1"/>
  <c r="M308" i="16" a="1"/>
  <c r="M308" i="16" s="1"/>
  <c r="N308" i="16" a="1"/>
  <c r="N308" i="16" s="1"/>
  <c r="O308" i="16" a="1"/>
  <c r="O308" i="16" s="1"/>
  <c r="P308" i="16" a="1"/>
  <c r="P308" i="16" s="1"/>
  <c r="Q308" i="16" a="1"/>
  <c r="Q308" i="16" s="1"/>
  <c r="R308" i="16" a="1"/>
  <c r="R308" i="16" s="1"/>
  <c r="U308" i="16" a="1"/>
  <c r="U308" i="16" s="1"/>
  <c r="V308" i="16" a="1"/>
  <c r="V308" i="16" s="1"/>
  <c r="W308" i="16" a="1"/>
  <c r="W308" i="16" s="1"/>
  <c r="X308" i="16" a="1"/>
  <c r="X308" i="16" s="1"/>
  <c r="K309" i="16" a="1"/>
  <c r="K309" i="16" s="1"/>
  <c r="L309" i="16" a="1"/>
  <c r="L309" i="16" s="1"/>
  <c r="M309" i="16" a="1"/>
  <c r="M309" i="16" s="1"/>
  <c r="N309" i="16" a="1"/>
  <c r="N309" i="16" s="1"/>
  <c r="O309" i="16" a="1"/>
  <c r="O309" i="16" s="1"/>
  <c r="P309" i="16" a="1"/>
  <c r="P309" i="16" s="1"/>
  <c r="Q309" i="16" a="1"/>
  <c r="Q309" i="16" s="1"/>
  <c r="R309" i="16" a="1"/>
  <c r="R309" i="16" s="1"/>
  <c r="U309" i="16" a="1"/>
  <c r="U309" i="16" s="1"/>
  <c r="V309" i="16" a="1"/>
  <c r="V309" i="16" s="1"/>
  <c r="W309" i="16" a="1"/>
  <c r="W309" i="16" s="1"/>
  <c r="X309" i="16" a="1"/>
  <c r="X309" i="16" s="1"/>
  <c r="K310" i="16" a="1"/>
  <c r="K310" i="16" s="1"/>
  <c r="L310" i="16" a="1"/>
  <c r="L310" i="16" s="1"/>
  <c r="M310" i="16" a="1"/>
  <c r="M310" i="16" s="1"/>
  <c r="N310" i="16" a="1"/>
  <c r="N310" i="16" s="1"/>
  <c r="O310" i="16" a="1"/>
  <c r="O310" i="16" s="1"/>
  <c r="P310" i="16" a="1"/>
  <c r="P310" i="16" s="1"/>
  <c r="Q310" i="16" a="1"/>
  <c r="Q310" i="16" s="1"/>
  <c r="R310" i="16" a="1"/>
  <c r="R310" i="16" s="1"/>
  <c r="U310" i="16" a="1"/>
  <c r="U310" i="16" s="1"/>
  <c r="V310" i="16" a="1"/>
  <c r="V310" i="16" s="1"/>
  <c r="W310" i="16" a="1"/>
  <c r="W310" i="16" s="1"/>
  <c r="X310" i="16" a="1"/>
  <c r="X310" i="16" s="1"/>
  <c r="K311" i="16" a="1"/>
  <c r="K311" i="16" s="1"/>
  <c r="L311" i="16" a="1"/>
  <c r="L311" i="16" s="1"/>
  <c r="M311" i="16" a="1"/>
  <c r="M311" i="16" s="1"/>
  <c r="N311" i="16" a="1"/>
  <c r="N311" i="16" s="1"/>
  <c r="O311" i="16" a="1"/>
  <c r="O311" i="16" s="1"/>
  <c r="P311" i="16" a="1"/>
  <c r="P311" i="16" s="1"/>
  <c r="Q311" i="16" a="1"/>
  <c r="Q311" i="16" s="1"/>
  <c r="R311" i="16" a="1"/>
  <c r="R311" i="16" s="1"/>
  <c r="U311" i="16" a="1"/>
  <c r="U311" i="16" s="1"/>
  <c r="V311" i="16" a="1"/>
  <c r="V311" i="16" s="1"/>
  <c r="W311" i="16" a="1"/>
  <c r="W311" i="16" s="1"/>
  <c r="X311" i="16" a="1"/>
  <c r="X311" i="16" s="1"/>
  <c r="K312" i="16" a="1"/>
  <c r="K312" i="16" s="1"/>
  <c r="L312" i="16" a="1"/>
  <c r="L312" i="16" s="1"/>
  <c r="M312" i="16" a="1"/>
  <c r="M312" i="16" s="1"/>
  <c r="N312" i="16" a="1"/>
  <c r="N312" i="16" s="1"/>
  <c r="O312" i="16" a="1"/>
  <c r="O312" i="16" s="1"/>
  <c r="P312" i="16" a="1"/>
  <c r="P312" i="16" s="1"/>
  <c r="Q312" i="16" a="1"/>
  <c r="Q312" i="16" s="1"/>
  <c r="R312" i="16" a="1"/>
  <c r="R312" i="16" s="1"/>
  <c r="U312" i="16" a="1"/>
  <c r="U312" i="16" s="1"/>
  <c r="V312" i="16" a="1"/>
  <c r="V312" i="16" s="1"/>
  <c r="W312" i="16" a="1"/>
  <c r="W312" i="16" s="1"/>
  <c r="X312" i="16" a="1"/>
  <c r="X312" i="16" s="1"/>
  <c r="K313" i="16" a="1"/>
  <c r="K313" i="16" s="1"/>
  <c r="L313" i="16" a="1"/>
  <c r="L313" i="16" s="1"/>
  <c r="M313" i="16" a="1"/>
  <c r="M313" i="16" s="1"/>
  <c r="N313" i="16" a="1"/>
  <c r="N313" i="16" s="1"/>
  <c r="O313" i="16" a="1"/>
  <c r="O313" i="16" s="1"/>
  <c r="P313" i="16" a="1"/>
  <c r="P313" i="16" s="1"/>
  <c r="Q313" i="16" a="1"/>
  <c r="Q313" i="16" s="1"/>
  <c r="R313" i="16" a="1"/>
  <c r="R313" i="16" s="1"/>
  <c r="U313" i="16" a="1"/>
  <c r="U313" i="16" s="1"/>
  <c r="V313" i="16" a="1"/>
  <c r="V313" i="16" s="1"/>
  <c r="W313" i="16" a="1"/>
  <c r="W313" i="16" s="1"/>
  <c r="X313" i="16" a="1"/>
  <c r="X313" i="16" s="1"/>
  <c r="K314" i="16" a="1"/>
  <c r="K314" i="16" s="1"/>
  <c r="L314" i="16" a="1"/>
  <c r="L314" i="16" s="1"/>
  <c r="M314" i="16" a="1"/>
  <c r="M314" i="16" s="1"/>
  <c r="N314" i="16" a="1"/>
  <c r="N314" i="16" s="1"/>
  <c r="O314" i="16" a="1"/>
  <c r="O314" i="16" s="1"/>
  <c r="P314" i="16" a="1"/>
  <c r="P314" i="16" s="1"/>
  <c r="Q314" i="16" a="1"/>
  <c r="Q314" i="16" s="1"/>
  <c r="R314" i="16" a="1"/>
  <c r="R314" i="16" s="1"/>
  <c r="U314" i="16" a="1"/>
  <c r="U314" i="16" s="1"/>
  <c r="V314" i="16" a="1"/>
  <c r="V314" i="16" s="1"/>
  <c r="W314" i="16" a="1"/>
  <c r="W314" i="16" s="1"/>
  <c r="X314" i="16" a="1"/>
  <c r="X314" i="16" s="1"/>
  <c r="K315" i="16" a="1"/>
  <c r="K315" i="16" s="1"/>
  <c r="L315" i="16" a="1"/>
  <c r="L315" i="16" s="1"/>
  <c r="M315" i="16" a="1"/>
  <c r="M315" i="16" s="1"/>
  <c r="N315" i="16" a="1"/>
  <c r="N315" i="16" s="1"/>
  <c r="O315" i="16" a="1"/>
  <c r="O315" i="16" s="1"/>
  <c r="P315" i="16" a="1"/>
  <c r="P315" i="16" s="1"/>
  <c r="Q315" i="16" a="1"/>
  <c r="Q315" i="16" s="1"/>
  <c r="R315" i="16" a="1"/>
  <c r="R315" i="16" s="1"/>
  <c r="U315" i="16" a="1"/>
  <c r="U315" i="16" s="1"/>
  <c r="V315" i="16" a="1"/>
  <c r="V315" i="16" s="1"/>
  <c r="W315" i="16" a="1"/>
  <c r="W315" i="16" s="1"/>
  <c r="X315" i="16" a="1"/>
  <c r="X315" i="16" s="1"/>
  <c r="K316" i="16" a="1"/>
  <c r="K316" i="16" s="1"/>
  <c r="L316" i="16" a="1"/>
  <c r="L316" i="16" s="1"/>
  <c r="M316" i="16" a="1"/>
  <c r="M316" i="16" s="1"/>
  <c r="N316" i="16" a="1"/>
  <c r="N316" i="16" s="1"/>
  <c r="O316" i="16" a="1"/>
  <c r="O316" i="16" s="1"/>
  <c r="P316" i="16" a="1"/>
  <c r="P316" i="16" s="1"/>
  <c r="Q316" i="16" a="1"/>
  <c r="Q316" i="16" s="1"/>
  <c r="R316" i="16" a="1"/>
  <c r="R316" i="16" s="1"/>
  <c r="U316" i="16" a="1"/>
  <c r="U316" i="16" s="1"/>
  <c r="V316" i="16" a="1"/>
  <c r="V316" i="16" s="1"/>
  <c r="W316" i="16" a="1"/>
  <c r="W316" i="16" s="1"/>
  <c r="X316" i="16" a="1"/>
  <c r="X316" i="16" s="1"/>
  <c r="K317" i="16" a="1"/>
  <c r="K317" i="16" s="1"/>
  <c r="L317" i="16" a="1"/>
  <c r="L317" i="16" s="1"/>
  <c r="M317" i="16" a="1"/>
  <c r="M317" i="16" s="1"/>
  <c r="N317" i="16" a="1"/>
  <c r="N317" i="16" s="1"/>
  <c r="O317" i="16" a="1"/>
  <c r="O317" i="16" s="1"/>
  <c r="P317" i="16" a="1"/>
  <c r="P317" i="16" s="1"/>
  <c r="Q317" i="16" a="1"/>
  <c r="Q317" i="16" s="1"/>
  <c r="R317" i="16" a="1"/>
  <c r="R317" i="16" s="1"/>
  <c r="U317" i="16" a="1"/>
  <c r="U317" i="16" s="1"/>
  <c r="V317" i="16" a="1"/>
  <c r="V317" i="16" s="1"/>
  <c r="W317" i="16" a="1"/>
  <c r="W317" i="16" s="1"/>
  <c r="X317" i="16" a="1"/>
  <c r="X317" i="16" s="1"/>
  <c r="K318" i="16" a="1"/>
  <c r="K318" i="16" s="1"/>
  <c r="L318" i="16" a="1"/>
  <c r="L318" i="16" s="1"/>
  <c r="M318" i="16" a="1"/>
  <c r="M318" i="16" s="1"/>
  <c r="N318" i="16" a="1"/>
  <c r="N318" i="16" s="1"/>
  <c r="O318" i="16" a="1"/>
  <c r="O318" i="16" s="1"/>
  <c r="P318" i="16" a="1"/>
  <c r="P318" i="16" s="1"/>
  <c r="Q318" i="16" a="1"/>
  <c r="Q318" i="16" s="1"/>
  <c r="R318" i="16" a="1"/>
  <c r="R318" i="16" s="1"/>
  <c r="U318" i="16" a="1"/>
  <c r="U318" i="16" s="1"/>
  <c r="V318" i="16" a="1"/>
  <c r="V318" i="16" s="1"/>
  <c r="W318" i="16" a="1"/>
  <c r="W318" i="16" s="1"/>
  <c r="X318" i="16" a="1"/>
  <c r="X318" i="16" s="1"/>
  <c r="K319" i="16" a="1"/>
  <c r="K319" i="16" s="1"/>
  <c r="L319" i="16" a="1"/>
  <c r="L319" i="16" s="1"/>
  <c r="M319" i="16" a="1"/>
  <c r="M319" i="16" s="1"/>
  <c r="N319" i="16" a="1"/>
  <c r="N319" i="16" s="1"/>
  <c r="O319" i="16" a="1"/>
  <c r="O319" i="16" s="1"/>
  <c r="P319" i="16" a="1"/>
  <c r="P319" i="16" s="1"/>
  <c r="Q319" i="16" a="1"/>
  <c r="Q319" i="16" s="1"/>
  <c r="R319" i="16" a="1"/>
  <c r="R319" i="16" s="1"/>
  <c r="U319" i="16" a="1"/>
  <c r="U319" i="16" s="1"/>
  <c r="V319" i="16" a="1"/>
  <c r="V319" i="16" s="1"/>
  <c r="W319" i="16" a="1"/>
  <c r="W319" i="16" s="1"/>
  <c r="X319" i="16" a="1"/>
  <c r="X319" i="16" s="1"/>
  <c r="K320" i="16" a="1"/>
  <c r="K320" i="16" s="1"/>
  <c r="L320" i="16" a="1"/>
  <c r="L320" i="16" s="1"/>
  <c r="M320" i="16" a="1"/>
  <c r="M320" i="16" s="1"/>
  <c r="N320" i="16" a="1"/>
  <c r="N320" i="16" s="1"/>
  <c r="O320" i="16" a="1"/>
  <c r="O320" i="16" s="1"/>
  <c r="P320" i="16" a="1"/>
  <c r="P320" i="16" s="1"/>
  <c r="Q320" i="16" a="1"/>
  <c r="Q320" i="16" s="1"/>
  <c r="R320" i="16" a="1"/>
  <c r="R320" i="16" s="1"/>
  <c r="U320" i="16" a="1"/>
  <c r="U320" i="16" s="1"/>
  <c r="V320" i="16" a="1"/>
  <c r="V320" i="16" s="1"/>
  <c r="W320" i="16" a="1"/>
  <c r="W320" i="16" s="1"/>
  <c r="X320" i="16" a="1"/>
  <c r="X320" i="16" s="1"/>
  <c r="K321" i="16" a="1"/>
  <c r="K321" i="16" s="1"/>
  <c r="L321" i="16" a="1"/>
  <c r="L321" i="16" s="1"/>
  <c r="M321" i="16" a="1"/>
  <c r="M321" i="16" s="1"/>
  <c r="N321" i="16" a="1"/>
  <c r="N321" i="16" s="1"/>
  <c r="O321" i="16" a="1"/>
  <c r="O321" i="16" s="1"/>
  <c r="P321" i="16" a="1"/>
  <c r="P321" i="16" s="1"/>
  <c r="Q321" i="16" a="1"/>
  <c r="Q321" i="16" s="1"/>
  <c r="R321" i="16" a="1"/>
  <c r="R321" i="16" s="1"/>
  <c r="U321" i="16" a="1"/>
  <c r="U321" i="16" s="1"/>
  <c r="V321" i="16" a="1"/>
  <c r="V321" i="16" s="1"/>
  <c r="W321" i="16" a="1"/>
  <c r="W321" i="16" s="1"/>
  <c r="X321" i="16" a="1"/>
  <c r="X321" i="16" s="1"/>
  <c r="K322" i="16" a="1"/>
  <c r="K322" i="16" s="1"/>
  <c r="L322" i="16" a="1"/>
  <c r="L322" i="16" s="1"/>
  <c r="M322" i="16" a="1"/>
  <c r="M322" i="16" s="1"/>
  <c r="N322" i="16" a="1"/>
  <c r="N322" i="16" s="1"/>
  <c r="O322" i="16" a="1"/>
  <c r="O322" i="16" s="1"/>
  <c r="P322" i="16" a="1"/>
  <c r="P322" i="16" s="1"/>
  <c r="Q322" i="16" a="1"/>
  <c r="Q322" i="16" s="1"/>
  <c r="R322" i="16" a="1"/>
  <c r="R322" i="16" s="1"/>
  <c r="U322" i="16" a="1"/>
  <c r="U322" i="16" s="1"/>
  <c r="V322" i="16" a="1"/>
  <c r="V322" i="16" s="1"/>
  <c r="W322" i="16" a="1"/>
  <c r="W322" i="16" s="1"/>
  <c r="X322" i="16" a="1"/>
  <c r="X322" i="16" s="1"/>
  <c r="K323" i="16" a="1"/>
  <c r="K323" i="16" s="1"/>
  <c r="L323" i="16" a="1"/>
  <c r="L323" i="16" s="1"/>
  <c r="M323" i="16" a="1"/>
  <c r="M323" i="16" s="1"/>
  <c r="N323" i="16" a="1"/>
  <c r="N323" i="16" s="1"/>
  <c r="O323" i="16" a="1"/>
  <c r="O323" i="16" s="1"/>
  <c r="P323" i="16" a="1"/>
  <c r="P323" i="16" s="1"/>
  <c r="Q323" i="16" a="1"/>
  <c r="Q323" i="16" s="1"/>
  <c r="R323" i="16" a="1"/>
  <c r="R323" i="16" s="1"/>
  <c r="U323" i="16" a="1"/>
  <c r="U323" i="16" s="1"/>
  <c r="V323" i="16" a="1"/>
  <c r="V323" i="16" s="1"/>
  <c r="W323" i="16" a="1"/>
  <c r="W323" i="16" s="1"/>
  <c r="X323" i="16" a="1"/>
  <c r="X323" i="16" s="1"/>
  <c r="K324" i="16" a="1"/>
  <c r="K324" i="16" s="1"/>
  <c r="L324" i="16" a="1"/>
  <c r="L324" i="16" s="1"/>
  <c r="M324" i="16" a="1"/>
  <c r="M324" i="16" s="1"/>
  <c r="N324" i="16" a="1"/>
  <c r="N324" i="16" s="1"/>
  <c r="O324" i="16" a="1"/>
  <c r="O324" i="16" s="1"/>
  <c r="P324" i="16" a="1"/>
  <c r="P324" i="16" s="1"/>
  <c r="Q324" i="16" a="1"/>
  <c r="Q324" i="16" s="1"/>
  <c r="R324" i="16" a="1"/>
  <c r="R324" i="16" s="1"/>
  <c r="U324" i="16" a="1"/>
  <c r="U324" i="16" s="1"/>
  <c r="V324" i="16" a="1"/>
  <c r="V324" i="16" s="1"/>
  <c r="W324" i="16" a="1"/>
  <c r="W324" i="16" s="1"/>
  <c r="X324" i="16" a="1"/>
  <c r="X324" i="16" s="1"/>
  <c r="K325" i="16" a="1"/>
  <c r="K325" i="16" s="1"/>
  <c r="L325" i="16" a="1"/>
  <c r="L325" i="16" s="1"/>
  <c r="M325" i="16" a="1"/>
  <c r="M325" i="16" s="1"/>
  <c r="N325" i="16" a="1"/>
  <c r="N325" i="16" s="1"/>
  <c r="O325" i="16" a="1"/>
  <c r="O325" i="16" s="1"/>
  <c r="P325" i="16" a="1"/>
  <c r="P325" i="16" s="1"/>
  <c r="Q325" i="16" a="1"/>
  <c r="Q325" i="16" s="1"/>
  <c r="R325" i="16" a="1"/>
  <c r="R325" i="16" s="1"/>
  <c r="U325" i="16" a="1"/>
  <c r="U325" i="16" s="1"/>
  <c r="V325" i="16" a="1"/>
  <c r="V325" i="16" s="1"/>
  <c r="W325" i="16" a="1"/>
  <c r="W325" i="16" s="1"/>
  <c r="X325" i="16" a="1"/>
  <c r="X325" i="16" s="1"/>
  <c r="K326" i="16" a="1"/>
  <c r="K326" i="16" s="1"/>
  <c r="L326" i="16" a="1"/>
  <c r="L326" i="16" s="1"/>
  <c r="M326" i="16" a="1"/>
  <c r="M326" i="16" s="1"/>
  <c r="N326" i="16" a="1"/>
  <c r="N326" i="16" s="1"/>
  <c r="O326" i="16" a="1"/>
  <c r="O326" i="16" s="1"/>
  <c r="P326" i="16" a="1"/>
  <c r="P326" i="16" s="1"/>
  <c r="Q326" i="16" a="1"/>
  <c r="Q326" i="16" s="1"/>
  <c r="R326" i="16" a="1"/>
  <c r="R326" i="16" s="1"/>
  <c r="U326" i="16" a="1"/>
  <c r="U326" i="16" s="1"/>
  <c r="V326" i="16" a="1"/>
  <c r="V326" i="16" s="1"/>
  <c r="W326" i="16" a="1"/>
  <c r="W326" i="16" s="1"/>
  <c r="X326" i="16" a="1"/>
  <c r="X326" i="16" s="1"/>
  <c r="K327" i="16" a="1"/>
  <c r="K327" i="16" s="1"/>
  <c r="L327" i="16" a="1"/>
  <c r="L327" i="16" s="1"/>
  <c r="M327" i="16" a="1"/>
  <c r="M327" i="16" s="1"/>
  <c r="N327" i="16" a="1"/>
  <c r="N327" i="16" s="1"/>
  <c r="O327" i="16" a="1"/>
  <c r="O327" i="16" s="1"/>
  <c r="P327" i="16" a="1"/>
  <c r="P327" i="16" s="1"/>
  <c r="Q327" i="16" a="1"/>
  <c r="Q327" i="16" s="1"/>
  <c r="R327" i="16" a="1"/>
  <c r="R327" i="16" s="1"/>
  <c r="U327" i="16" a="1"/>
  <c r="U327" i="16" s="1"/>
  <c r="V327" i="16" a="1"/>
  <c r="V327" i="16" s="1"/>
  <c r="W327" i="16" a="1"/>
  <c r="W327" i="16" s="1"/>
  <c r="X327" i="16" a="1"/>
  <c r="X327" i="16" s="1"/>
  <c r="K328" i="16" a="1"/>
  <c r="K328" i="16" s="1"/>
  <c r="L328" i="16" a="1"/>
  <c r="L328" i="16" s="1"/>
  <c r="M328" i="16" a="1"/>
  <c r="M328" i="16" s="1"/>
  <c r="N328" i="16" a="1"/>
  <c r="N328" i="16" s="1"/>
  <c r="O328" i="16" a="1"/>
  <c r="O328" i="16" s="1"/>
  <c r="P328" i="16" a="1"/>
  <c r="P328" i="16" s="1"/>
  <c r="Q328" i="16" a="1"/>
  <c r="Q328" i="16" s="1"/>
  <c r="R328" i="16" a="1"/>
  <c r="R328" i="16" s="1"/>
  <c r="U328" i="16" a="1"/>
  <c r="U328" i="16" s="1"/>
  <c r="V328" i="16" a="1"/>
  <c r="V328" i="16" s="1"/>
  <c r="W328" i="16" a="1"/>
  <c r="W328" i="16" s="1"/>
  <c r="X328" i="16" a="1"/>
  <c r="X328" i="16" s="1"/>
  <c r="K329" i="16" a="1"/>
  <c r="K329" i="16" s="1"/>
  <c r="L329" i="16" a="1"/>
  <c r="L329" i="16" s="1"/>
  <c r="M329" i="16" a="1"/>
  <c r="M329" i="16" s="1"/>
  <c r="N329" i="16" a="1"/>
  <c r="N329" i="16" s="1"/>
  <c r="O329" i="16" a="1"/>
  <c r="O329" i="16" s="1"/>
  <c r="P329" i="16" a="1"/>
  <c r="P329" i="16" s="1"/>
  <c r="Q329" i="16" a="1"/>
  <c r="Q329" i="16" s="1"/>
  <c r="R329" i="16" a="1"/>
  <c r="R329" i="16" s="1"/>
  <c r="U329" i="16" a="1"/>
  <c r="U329" i="16" s="1"/>
  <c r="V329" i="16" a="1"/>
  <c r="V329" i="16" s="1"/>
  <c r="W329" i="16" a="1"/>
  <c r="W329" i="16" s="1"/>
  <c r="X329" i="16" a="1"/>
  <c r="X329" i="16" s="1"/>
  <c r="K330" i="16" a="1"/>
  <c r="K330" i="16" s="1"/>
  <c r="L330" i="16" a="1"/>
  <c r="L330" i="16" s="1"/>
  <c r="M330" i="16" a="1"/>
  <c r="M330" i="16" s="1"/>
  <c r="N330" i="16" a="1"/>
  <c r="N330" i="16" s="1"/>
  <c r="O330" i="16" a="1"/>
  <c r="O330" i="16" s="1"/>
  <c r="P330" i="16" a="1"/>
  <c r="P330" i="16" s="1"/>
  <c r="Q330" i="16" a="1"/>
  <c r="Q330" i="16" s="1"/>
  <c r="R330" i="16" a="1"/>
  <c r="R330" i="16" s="1"/>
  <c r="U330" i="16" a="1"/>
  <c r="U330" i="16" s="1"/>
  <c r="V330" i="16" a="1"/>
  <c r="V330" i="16" s="1"/>
  <c r="W330" i="16" a="1"/>
  <c r="W330" i="16" s="1"/>
  <c r="X330" i="16" a="1"/>
  <c r="X330" i="16" s="1"/>
  <c r="K331" i="16" a="1"/>
  <c r="K331" i="16" s="1"/>
  <c r="L331" i="16" a="1"/>
  <c r="L331" i="16" s="1"/>
  <c r="M331" i="16" a="1"/>
  <c r="M331" i="16" s="1"/>
  <c r="N331" i="16" a="1"/>
  <c r="N331" i="16" s="1"/>
  <c r="O331" i="16" a="1"/>
  <c r="O331" i="16" s="1"/>
  <c r="P331" i="16" a="1"/>
  <c r="P331" i="16" s="1"/>
  <c r="Q331" i="16" a="1"/>
  <c r="Q331" i="16" s="1"/>
  <c r="R331" i="16" a="1"/>
  <c r="R331" i="16" s="1"/>
  <c r="U331" i="16" a="1"/>
  <c r="U331" i="16" s="1"/>
  <c r="V331" i="16" a="1"/>
  <c r="V331" i="16" s="1"/>
  <c r="W331" i="16" a="1"/>
  <c r="W331" i="16" s="1"/>
  <c r="X331" i="16" a="1"/>
  <c r="X331" i="16" s="1"/>
  <c r="K332" i="16" a="1"/>
  <c r="K332" i="16" s="1"/>
  <c r="L332" i="16" a="1"/>
  <c r="L332" i="16" s="1"/>
  <c r="M332" i="16" a="1"/>
  <c r="M332" i="16" s="1"/>
  <c r="N332" i="16" a="1"/>
  <c r="N332" i="16" s="1"/>
  <c r="O332" i="16" a="1"/>
  <c r="O332" i="16" s="1"/>
  <c r="P332" i="16" a="1"/>
  <c r="P332" i="16" s="1"/>
  <c r="Q332" i="16" a="1"/>
  <c r="Q332" i="16" s="1"/>
  <c r="R332" i="16" a="1"/>
  <c r="R332" i="16" s="1"/>
  <c r="U332" i="16" a="1"/>
  <c r="U332" i="16" s="1"/>
  <c r="V332" i="16" a="1"/>
  <c r="V332" i="16" s="1"/>
  <c r="W332" i="16" a="1"/>
  <c r="W332" i="16" s="1"/>
  <c r="X332" i="16" a="1"/>
  <c r="X332" i="16" s="1"/>
  <c r="K333" i="16" a="1"/>
  <c r="K333" i="16" s="1"/>
  <c r="L333" i="16" a="1"/>
  <c r="L333" i="16" s="1"/>
  <c r="M333" i="16" a="1"/>
  <c r="M333" i="16" s="1"/>
  <c r="N333" i="16" a="1"/>
  <c r="N333" i="16" s="1"/>
  <c r="O333" i="16" a="1"/>
  <c r="O333" i="16" s="1"/>
  <c r="P333" i="16" a="1"/>
  <c r="P333" i="16" s="1"/>
  <c r="Q333" i="16" a="1"/>
  <c r="Q333" i="16" s="1"/>
  <c r="R333" i="16" a="1"/>
  <c r="R333" i="16" s="1"/>
  <c r="U333" i="16" a="1"/>
  <c r="U333" i="16" s="1"/>
  <c r="V333" i="16" a="1"/>
  <c r="V333" i="16" s="1"/>
  <c r="W333" i="16" a="1"/>
  <c r="W333" i="16" s="1"/>
  <c r="X333" i="16" a="1"/>
  <c r="X333" i="16" s="1"/>
  <c r="K334" i="16" a="1"/>
  <c r="K334" i="16" s="1"/>
  <c r="L334" i="16" a="1"/>
  <c r="L334" i="16" s="1"/>
  <c r="M334" i="16" a="1"/>
  <c r="M334" i="16" s="1"/>
  <c r="N334" i="16" a="1"/>
  <c r="N334" i="16" s="1"/>
  <c r="O334" i="16" a="1"/>
  <c r="O334" i="16" s="1"/>
  <c r="P334" i="16" a="1"/>
  <c r="P334" i="16" s="1"/>
  <c r="Q334" i="16" a="1"/>
  <c r="Q334" i="16" s="1"/>
  <c r="R334" i="16" a="1"/>
  <c r="R334" i="16" s="1"/>
  <c r="U334" i="16" a="1"/>
  <c r="U334" i="16" s="1"/>
  <c r="V334" i="16" a="1"/>
  <c r="V334" i="16" s="1"/>
  <c r="W334" i="16" a="1"/>
  <c r="W334" i="16" s="1"/>
  <c r="X334" i="16" a="1"/>
  <c r="X334" i="16" s="1"/>
  <c r="K335" i="16" a="1"/>
  <c r="K335" i="16" s="1"/>
  <c r="L335" i="16" a="1"/>
  <c r="L335" i="16" s="1"/>
  <c r="M335" i="16" a="1"/>
  <c r="M335" i="16" s="1"/>
  <c r="N335" i="16" a="1"/>
  <c r="N335" i="16" s="1"/>
  <c r="O335" i="16" a="1"/>
  <c r="O335" i="16" s="1"/>
  <c r="P335" i="16" a="1"/>
  <c r="P335" i="16" s="1"/>
  <c r="Q335" i="16" a="1"/>
  <c r="Q335" i="16" s="1"/>
  <c r="R335" i="16" a="1"/>
  <c r="R335" i="16" s="1"/>
  <c r="U335" i="16" a="1"/>
  <c r="U335" i="16" s="1"/>
  <c r="V335" i="16" a="1"/>
  <c r="V335" i="16" s="1"/>
  <c r="W335" i="16" a="1"/>
  <c r="W335" i="16" s="1"/>
  <c r="X335" i="16" a="1"/>
  <c r="X335" i="16" s="1"/>
  <c r="K336" i="16" a="1"/>
  <c r="K336" i="16" s="1"/>
  <c r="L336" i="16" a="1"/>
  <c r="L336" i="16" s="1"/>
  <c r="M336" i="16" a="1"/>
  <c r="M336" i="16" s="1"/>
  <c r="N336" i="16" a="1"/>
  <c r="N336" i="16" s="1"/>
  <c r="O336" i="16" a="1"/>
  <c r="O336" i="16" s="1"/>
  <c r="P336" i="16" a="1"/>
  <c r="P336" i="16" s="1"/>
  <c r="Q336" i="16" a="1"/>
  <c r="Q336" i="16" s="1"/>
  <c r="R336" i="16" a="1"/>
  <c r="R336" i="16" s="1"/>
  <c r="U336" i="16" a="1"/>
  <c r="U336" i="16" s="1"/>
  <c r="V336" i="16" a="1"/>
  <c r="V336" i="16" s="1"/>
  <c r="W336" i="16" a="1"/>
  <c r="W336" i="16" s="1"/>
  <c r="X336" i="16" a="1"/>
  <c r="X336" i="16" s="1"/>
  <c r="K337" i="16" a="1"/>
  <c r="K337" i="16" s="1"/>
  <c r="L337" i="16" a="1"/>
  <c r="L337" i="16" s="1"/>
  <c r="M337" i="16" a="1"/>
  <c r="M337" i="16" s="1"/>
  <c r="N337" i="16" a="1"/>
  <c r="N337" i="16" s="1"/>
  <c r="O337" i="16" a="1"/>
  <c r="O337" i="16" s="1"/>
  <c r="P337" i="16" a="1"/>
  <c r="P337" i="16" s="1"/>
  <c r="Q337" i="16" a="1"/>
  <c r="Q337" i="16" s="1"/>
  <c r="R337" i="16" a="1"/>
  <c r="R337" i="16" s="1"/>
  <c r="U337" i="16" a="1"/>
  <c r="U337" i="16" s="1"/>
  <c r="V337" i="16" a="1"/>
  <c r="V337" i="16" s="1"/>
  <c r="W337" i="16" a="1"/>
  <c r="W337" i="16" s="1"/>
  <c r="X337" i="16" a="1"/>
  <c r="X337" i="16" s="1"/>
  <c r="K338" i="16" a="1"/>
  <c r="K338" i="16" s="1"/>
  <c r="L338" i="16" a="1"/>
  <c r="L338" i="16" s="1"/>
  <c r="M338" i="16" a="1"/>
  <c r="M338" i="16" s="1"/>
  <c r="N338" i="16" a="1"/>
  <c r="N338" i="16" s="1"/>
  <c r="O338" i="16" a="1"/>
  <c r="O338" i="16" s="1"/>
  <c r="P338" i="16" a="1"/>
  <c r="P338" i="16" s="1"/>
  <c r="Q338" i="16" a="1"/>
  <c r="Q338" i="16" s="1"/>
  <c r="R338" i="16" a="1"/>
  <c r="R338" i="16" s="1"/>
  <c r="U338" i="16" a="1"/>
  <c r="U338" i="16" s="1"/>
  <c r="V338" i="16" a="1"/>
  <c r="V338" i="16" s="1"/>
  <c r="W338" i="16" a="1"/>
  <c r="W338" i="16" s="1"/>
  <c r="X338" i="16" a="1"/>
  <c r="X338" i="16" s="1"/>
  <c r="K339" i="16" a="1"/>
  <c r="K339" i="16" s="1"/>
  <c r="L339" i="16" a="1"/>
  <c r="L339" i="16" s="1"/>
  <c r="M339" i="16" a="1"/>
  <c r="M339" i="16" s="1"/>
  <c r="N339" i="16" a="1"/>
  <c r="N339" i="16" s="1"/>
  <c r="O339" i="16" a="1"/>
  <c r="O339" i="16" s="1"/>
  <c r="P339" i="16" a="1"/>
  <c r="P339" i="16" s="1"/>
  <c r="Q339" i="16" a="1"/>
  <c r="Q339" i="16" s="1"/>
  <c r="R339" i="16" a="1"/>
  <c r="R339" i="16" s="1"/>
  <c r="U339" i="16" a="1"/>
  <c r="U339" i="16" s="1"/>
  <c r="V339" i="16" a="1"/>
  <c r="V339" i="16" s="1"/>
  <c r="W339" i="16" a="1"/>
  <c r="W339" i="16" s="1"/>
  <c r="X339" i="16" a="1"/>
  <c r="X339" i="16" s="1"/>
  <c r="K340" i="16" a="1"/>
  <c r="K340" i="16" s="1"/>
  <c r="L340" i="16" a="1"/>
  <c r="L340" i="16" s="1"/>
  <c r="M340" i="16" a="1"/>
  <c r="M340" i="16" s="1"/>
  <c r="N340" i="16" a="1"/>
  <c r="N340" i="16" s="1"/>
  <c r="O340" i="16" a="1"/>
  <c r="O340" i="16" s="1"/>
  <c r="P340" i="16" a="1"/>
  <c r="P340" i="16" s="1"/>
  <c r="Q340" i="16" a="1"/>
  <c r="Q340" i="16" s="1"/>
  <c r="R340" i="16" a="1"/>
  <c r="R340" i="16" s="1"/>
  <c r="U340" i="16" a="1"/>
  <c r="U340" i="16" s="1"/>
  <c r="V340" i="16" a="1"/>
  <c r="V340" i="16" s="1"/>
  <c r="W340" i="16" a="1"/>
  <c r="W340" i="16" s="1"/>
  <c r="X340" i="16" a="1"/>
  <c r="X340" i="16" s="1"/>
  <c r="K341" i="16" a="1"/>
  <c r="K341" i="16" s="1"/>
  <c r="L341" i="16" a="1"/>
  <c r="L341" i="16" s="1"/>
  <c r="M341" i="16" a="1"/>
  <c r="M341" i="16" s="1"/>
  <c r="N341" i="16" a="1"/>
  <c r="N341" i="16" s="1"/>
  <c r="O341" i="16" a="1"/>
  <c r="O341" i="16" s="1"/>
  <c r="P341" i="16" a="1"/>
  <c r="P341" i="16" s="1"/>
  <c r="Q341" i="16" a="1"/>
  <c r="Q341" i="16" s="1"/>
  <c r="R341" i="16" a="1"/>
  <c r="R341" i="16" s="1"/>
  <c r="U341" i="16" a="1"/>
  <c r="U341" i="16" s="1"/>
  <c r="V341" i="16" a="1"/>
  <c r="V341" i="16" s="1"/>
  <c r="W341" i="16" a="1"/>
  <c r="W341" i="16" s="1"/>
  <c r="X341" i="16" a="1"/>
  <c r="X341" i="16" s="1"/>
  <c r="K342" i="16" a="1"/>
  <c r="K342" i="16" s="1"/>
  <c r="L342" i="16" a="1"/>
  <c r="L342" i="16" s="1"/>
  <c r="M342" i="16" a="1"/>
  <c r="M342" i="16" s="1"/>
  <c r="N342" i="16" a="1"/>
  <c r="N342" i="16" s="1"/>
  <c r="O342" i="16" a="1"/>
  <c r="O342" i="16" s="1"/>
  <c r="P342" i="16" a="1"/>
  <c r="P342" i="16" s="1"/>
  <c r="Q342" i="16" a="1"/>
  <c r="Q342" i="16" s="1"/>
  <c r="R342" i="16" a="1"/>
  <c r="R342" i="16" s="1"/>
  <c r="U342" i="16" a="1"/>
  <c r="U342" i="16" s="1"/>
  <c r="V342" i="16" a="1"/>
  <c r="V342" i="16" s="1"/>
  <c r="W342" i="16" a="1"/>
  <c r="W342" i="16" s="1"/>
  <c r="X342" i="16" a="1"/>
  <c r="X342" i="16" s="1"/>
  <c r="K343" i="16" a="1"/>
  <c r="K343" i="16" s="1"/>
  <c r="L343" i="16" a="1"/>
  <c r="L343" i="16" s="1"/>
  <c r="M343" i="16" a="1"/>
  <c r="M343" i="16" s="1"/>
  <c r="N343" i="16" a="1"/>
  <c r="N343" i="16" s="1"/>
  <c r="O343" i="16" a="1"/>
  <c r="O343" i="16" s="1"/>
  <c r="P343" i="16" a="1"/>
  <c r="P343" i="16" s="1"/>
  <c r="Q343" i="16" a="1"/>
  <c r="Q343" i="16" s="1"/>
  <c r="R343" i="16" a="1"/>
  <c r="R343" i="16" s="1"/>
  <c r="U343" i="16" a="1"/>
  <c r="U343" i="16" s="1"/>
  <c r="V343" i="16" a="1"/>
  <c r="V343" i="16" s="1"/>
  <c r="W343" i="16" a="1"/>
  <c r="W343" i="16" s="1"/>
  <c r="X343" i="16" a="1"/>
  <c r="X343" i="16" s="1"/>
  <c r="K344" i="16" a="1"/>
  <c r="K344" i="16" s="1"/>
  <c r="L344" i="16" a="1"/>
  <c r="L344" i="16" s="1"/>
  <c r="M344" i="16" a="1"/>
  <c r="M344" i="16" s="1"/>
  <c r="N344" i="16" a="1"/>
  <c r="N344" i="16" s="1"/>
  <c r="O344" i="16" a="1"/>
  <c r="O344" i="16" s="1"/>
  <c r="P344" i="16" a="1"/>
  <c r="P344" i="16" s="1"/>
  <c r="Q344" i="16" a="1"/>
  <c r="Q344" i="16" s="1"/>
  <c r="R344" i="16" a="1"/>
  <c r="R344" i="16" s="1"/>
  <c r="U344" i="16" a="1"/>
  <c r="U344" i="16" s="1"/>
  <c r="V344" i="16" a="1"/>
  <c r="V344" i="16" s="1"/>
  <c r="W344" i="16" a="1"/>
  <c r="W344" i="16" s="1"/>
  <c r="X344" i="16" a="1"/>
  <c r="X344" i="16" s="1"/>
  <c r="K345" i="16" a="1"/>
  <c r="K345" i="16" s="1"/>
  <c r="L345" i="16" a="1"/>
  <c r="L345" i="16" s="1"/>
  <c r="M345" i="16" a="1"/>
  <c r="M345" i="16" s="1"/>
  <c r="N345" i="16" a="1"/>
  <c r="N345" i="16" s="1"/>
  <c r="O345" i="16" a="1"/>
  <c r="O345" i="16" s="1"/>
  <c r="P345" i="16" a="1"/>
  <c r="P345" i="16" s="1"/>
  <c r="Q345" i="16" a="1"/>
  <c r="Q345" i="16" s="1"/>
  <c r="R345" i="16" a="1"/>
  <c r="R345" i="16" s="1"/>
  <c r="U345" i="16" a="1"/>
  <c r="U345" i="16" s="1"/>
  <c r="V345" i="16" a="1"/>
  <c r="V345" i="16" s="1"/>
  <c r="W345" i="16" a="1"/>
  <c r="W345" i="16" s="1"/>
  <c r="X345" i="16" a="1"/>
  <c r="X345" i="16" s="1"/>
  <c r="K346" i="16" a="1"/>
  <c r="K346" i="16" s="1"/>
  <c r="L346" i="16" a="1"/>
  <c r="L346" i="16" s="1"/>
  <c r="M346" i="16" a="1"/>
  <c r="M346" i="16" s="1"/>
  <c r="N346" i="16" a="1"/>
  <c r="N346" i="16" s="1"/>
  <c r="O346" i="16" a="1"/>
  <c r="O346" i="16" s="1"/>
  <c r="P346" i="16" a="1"/>
  <c r="P346" i="16" s="1"/>
  <c r="Q346" i="16" a="1"/>
  <c r="Q346" i="16" s="1"/>
  <c r="R346" i="16" a="1"/>
  <c r="R346" i="16" s="1"/>
  <c r="U346" i="16" a="1"/>
  <c r="U346" i="16" s="1"/>
  <c r="V346" i="16" a="1"/>
  <c r="V346" i="16" s="1"/>
  <c r="W346" i="16" a="1"/>
  <c r="W346" i="16" s="1"/>
  <c r="X346" i="16" a="1"/>
  <c r="X346" i="16" s="1"/>
  <c r="K347" i="16" a="1"/>
  <c r="K347" i="16" s="1"/>
  <c r="L347" i="16" a="1"/>
  <c r="L347" i="16" s="1"/>
  <c r="M347" i="16" a="1"/>
  <c r="M347" i="16" s="1"/>
  <c r="N347" i="16" a="1"/>
  <c r="N347" i="16" s="1"/>
  <c r="O347" i="16" a="1"/>
  <c r="O347" i="16" s="1"/>
  <c r="P347" i="16" a="1"/>
  <c r="P347" i="16" s="1"/>
  <c r="Q347" i="16" a="1"/>
  <c r="Q347" i="16" s="1"/>
  <c r="R347" i="16" a="1"/>
  <c r="R347" i="16" s="1"/>
  <c r="U347" i="16" a="1"/>
  <c r="U347" i="16" s="1"/>
  <c r="V347" i="16" a="1"/>
  <c r="V347" i="16" s="1"/>
  <c r="W347" i="16" a="1"/>
  <c r="W347" i="16" s="1"/>
  <c r="X347" i="16" a="1"/>
  <c r="X347" i="16" s="1"/>
  <c r="K348" i="16" a="1"/>
  <c r="K348" i="16" s="1"/>
  <c r="L348" i="16" a="1"/>
  <c r="L348" i="16" s="1"/>
  <c r="M348" i="16" a="1"/>
  <c r="M348" i="16" s="1"/>
  <c r="N348" i="16" a="1"/>
  <c r="N348" i="16" s="1"/>
  <c r="O348" i="16" a="1"/>
  <c r="O348" i="16" s="1"/>
  <c r="P348" i="16" a="1"/>
  <c r="P348" i="16" s="1"/>
  <c r="Q348" i="16" a="1"/>
  <c r="Q348" i="16" s="1"/>
  <c r="R348" i="16" a="1"/>
  <c r="R348" i="16" s="1"/>
  <c r="U348" i="16" a="1"/>
  <c r="U348" i="16" s="1"/>
  <c r="V348" i="16" a="1"/>
  <c r="V348" i="16" s="1"/>
  <c r="W348" i="16" a="1"/>
  <c r="W348" i="16" s="1"/>
  <c r="X348" i="16" a="1"/>
  <c r="X348" i="16" s="1"/>
  <c r="K349" i="16" a="1"/>
  <c r="K349" i="16" s="1"/>
  <c r="L349" i="16" a="1"/>
  <c r="L349" i="16" s="1"/>
  <c r="M349" i="16" a="1"/>
  <c r="M349" i="16" s="1"/>
  <c r="N349" i="16" a="1"/>
  <c r="N349" i="16" s="1"/>
  <c r="O349" i="16" a="1"/>
  <c r="O349" i="16" s="1"/>
  <c r="P349" i="16" a="1"/>
  <c r="P349" i="16" s="1"/>
  <c r="Q349" i="16" a="1"/>
  <c r="Q349" i="16" s="1"/>
  <c r="R349" i="16" a="1"/>
  <c r="R349" i="16" s="1"/>
  <c r="U349" i="16" a="1"/>
  <c r="U349" i="16" s="1"/>
  <c r="V349" i="16" a="1"/>
  <c r="V349" i="16" s="1"/>
  <c r="W349" i="16" a="1"/>
  <c r="W349" i="16" s="1"/>
  <c r="X349" i="16" a="1"/>
  <c r="X349" i="16" s="1"/>
  <c r="K350" i="16" a="1"/>
  <c r="K350" i="16" s="1"/>
  <c r="L350" i="16" a="1"/>
  <c r="L350" i="16" s="1"/>
  <c r="M350" i="16" a="1"/>
  <c r="M350" i="16" s="1"/>
  <c r="N350" i="16" a="1"/>
  <c r="N350" i="16" s="1"/>
  <c r="O350" i="16" a="1"/>
  <c r="O350" i="16" s="1"/>
  <c r="P350" i="16" a="1"/>
  <c r="P350" i="16" s="1"/>
  <c r="Q350" i="16" a="1"/>
  <c r="Q350" i="16" s="1"/>
  <c r="R350" i="16" a="1"/>
  <c r="R350" i="16" s="1"/>
  <c r="U350" i="16" a="1"/>
  <c r="U350" i="16" s="1"/>
  <c r="V350" i="16" a="1"/>
  <c r="V350" i="16" s="1"/>
  <c r="W350" i="16" a="1"/>
  <c r="W350" i="16" s="1"/>
  <c r="X350" i="16" a="1"/>
  <c r="X350" i="16" s="1"/>
  <c r="K351" i="16" a="1"/>
  <c r="K351" i="16" s="1"/>
  <c r="L351" i="16" a="1"/>
  <c r="L351" i="16" s="1"/>
  <c r="M351" i="16" a="1"/>
  <c r="M351" i="16" s="1"/>
  <c r="N351" i="16" a="1"/>
  <c r="N351" i="16" s="1"/>
  <c r="O351" i="16" a="1"/>
  <c r="O351" i="16" s="1"/>
  <c r="P351" i="16" a="1"/>
  <c r="P351" i="16" s="1"/>
  <c r="Q351" i="16" a="1"/>
  <c r="Q351" i="16" s="1"/>
  <c r="R351" i="16" a="1"/>
  <c r="R351" i="16" s="1"/>
  <c r="U351" i="16" a="1"/>
  <c r="U351" i="16" s="1"/>
  <c r="V351" i="16" a="1"/>
  <c r="V351" i="16" s="1"/>
  <c r="W351" i="16" a="1"/>
  <c r="W351" i="16" s="1"/>
  <c r="X351" i="16" a="1"/>
  <c r="X351" i="16" s="1"/>
  <c r="K352" i="16" a="1"/>
  <c r="K352" i="16" s="1"/>
  <c r="L352" i="16" a="1"/>
  <c r="L352" i="16" s="1"/>
  <c r="M352" i="16" a="1"/>
  <c r="M352" i="16" s="1"/>
  <c r="N352" i="16" a="1"/>
  <c r="N352" i="16" s="1"/>
  <c r="O352" i="16" a="1"/>
  <c r="O352" i="16" s="1"/>
  <c r="P352" i="16" a="1"/>
  <c r="P352" i="16" s="1"/>
  <c r="Q352" i="16" a="1"/>
  <c r="Q352" i="16" s="1"/>
  <c r="R352" i="16" a="1"/>
  <c r="R352" i="16" s="1"/>
  <c r="U352" i="16" a="1"/>
  <c r="U352" i="16" s="1"/>
  <c r="V352" i="16" a="1"/>
  <c r="V352" i="16" s="1"/>
  <c r="W352" i="16" a="1"/>
  <c r="W352" i="16" s="1"/>
  <c r="X352" i="16" a="1"/>
  <c r="X352" i="16" s="1"/>
  <c r="K353" i="16" a="1"/>
  <c r="K353" i="16" s="1"/>
  <c r="L353" i="16" a="1"/>
  <c r="L353" i="16" s="1"/>
  <c r="M353" i="16" a="1"/>
  <c r="M353" i="16" s="1"/>
  <c r="N353" i="16" a="1"/>
  <c r="N353" i="16" s="1"/>
  <c r="O353" i="16" a="1"/>
  <c r="O353" i="16" s="1"/>
  <c r="P353" i="16" a="1"/>
  <c r="P353" i="16" s="1"/>
  <c r="Q353" i="16" a="1"/>
  <c r="Q353" i="16" s="1"/>
  <c r="R353" i="16" a="1"/>
  <c r="R353" i="16" s="1"/>
  <c r="U353" i="16" a="1"/>
  <c r="U353" i="16" s="1"/>
  <c r="V353" i="16" a="1"/>
  <c r="V353" i="16" s="1"/>
  <c r="W353" i="16" a="1"/>
  <c r="W353" i="16" s="1"/>
  <c r="X353" i="16" a="1"/>
  <c r="X353" i="16" s="1"/>
  <c r="K354" i="16" a="1"/>
  <c r="K354" i="16" s="1"/>
  <c r="L354" i="16" a="1"/>
  <c r="L354" i="16" s="1"/>
  <c r="M354" i="16" a="1"/>
  <c r="M354" i="16" s="1"/>
  <c r="N354" i="16" a="1"/>
  <c r="N354" i="16" s="1"/>
  <c r="O354" i="16" a="1"/>
  <c r="O354" i="16" s="1"/>
  <c r="P354" i="16" a="1"/>
  <c r="P354" i="16" s="1"/>
  <c r="Q354" i="16" a="1"/>
  <c r="Q354" i="16" s="1"/>
  <c r="R354" i="16" a="1"/>
  <c r="R354" i="16" s="1"/>
  <c r="U354" i="16" a="1"/>
  <c r="U354" i="16" s="1"/>
  <c r="V354" i="16" a="1"/>
  <c r="V354" i="16" s="1"/>
  <c r="W354" i="16" a="1"/>
  <c r="W354" i="16" s="1"/>
  <c r="X354" i="16" a="1"/>
  <c r="X354" i="16" s="1"/>
  <c r="K355" i="16" a="1"/>
  <c r="K355" i="16" s="1"/>
  <c r="L355" i="16" a="1"/>
  <c r="L355" i="16" s="1"/>
  <c r="M355" i="16" a="1"/>
  <c r="M355" i="16" s="1"/>
  <c r="N355" i="16" a="1"/>
  <c r="N355" i="16" s="1"/>
  <c r="O355" i="16" a="1"/>
  <c r="O355" i="16" s="1"/>
  <c r="P355" i="16" a="1"/>
  <c r="P355" i="16" s="1"/>
  <c r="Q355" i="16" a="1"/>
  <c r="Q355" i="16" s="1"/>
  <c r="R355" i="16" a="1"/>
  <c r="R355" i="16" s="1"/>
  <c r="U355" i="16" a="1"/>
  <c r="U355" i="16" s="1"/>
  <c r="V355" i="16" a="1"/>
  <c r="V355" i="16" s="1"/>
  <c r="W355" i="16" a="1"/>
  <c r="W355" i="16" s="1"/>
  <c r="X355" i="16" a="1"/>
  <c r="X355" i="16" s="1"/>
  <c r="K356" i="16" a="1"/>
  <c r="K356" i="16" s="1"/>
  <c r="L356" i="16" a="1"/>
  <c r="L356" i="16" s="1"/>
  <c r="M356" i="16" a="1"/>
  <c r="M356" i="16" s="1"/>
  <c r="N356" i="16" a="1"/>
  <c r="N356" i="16" s="1"/>
  <c r="O356" i="16" a="1"/>
  <c r="O356" i="16" s="1"/>
  <c r="P356" i="16" a="1"/>
  <c r="P356" i="16" s="1"/>
  <c r="Q356" i="16" a="1"/>
  <c r="Q356" i="16" s="1"/>
  <c r="R356" i="16" a="1"/>
  <c r="R356" i="16" s="1"/>
  <c r="U356" i="16" a="1"/>
  <c r="U356" i="16" s="1"/>
  <c r="V356" i="16" a="1"/>
  <c r="V356" i="16" s="1"/>
  <c r="W356" i="16" a="1"/>
  <c r="W356" i="16" s="1"/>
  <c r="X356" i="16" a="1"/>
  <c r="X356" i="16" s="1"/>
  <c r="K357" i="16" a="1"/>
  <c r="K357" i="16" s="1"/>
  <c r="L357" i="16" a="1"/>
  <c r="L357" i="16" s="1"/>
  <c r="M357" i="16" a="1"/>
  <c r="M357" i="16" s="1"/>
  <c r="N357" i="16" a="1"/>
  <c r="N357" i="16" s="1"/>
  <c r="O357" i="16" a="1"/>
  <c r="O357" i="16" s="1"/>
  <c r="P357" i="16" a="1"/>
  <c r="P357" i="16" s="1"/>
  <c r="Q357" i="16" a="1"/>
  <c r="Q357" i="16" s="1"/>
  <c r="R357" i="16" a="1"/>
  <c r="R357" i="16" s="1"/>
  <c r="U357" i="16" a="1"/>
  <c r="U357" i="16" s="1"/>
  <c r="V357" i="16" a="1"/>
  <c r="V357" i="16" s="1"/>
  <c r="W357" i="16" a="1"/>
  <c r="W357" i="16" s="1"/>
  <c r="X357" i="16" a="1"/>
  <c r="X357" i="16" s="1"/>
  <c r="K358" i="16" a="1"/>
  <c r="K358" i="16" s="1"/>
  <c r="L358" i="16" a="1"/>
  <c r="L358" i="16" s="1"/>
  <c r="M358" i="16" a="1"/>
  <c r="M358" i="16" s="1"/>
  <c r="N358" i="16" a="1"/>
  <c r="N358" i="16" s="1"/>
  <c r="O358" i="16" a="1"/>
  <c r="O358" i="16" s="1"/>
  <c r="P358" i="16" a="1"/>
  <c r="P358" i="16" s="1"/>
  <c r="Q358" i="16" a="1"/>
  <c r="Q358" i="16" s="1"/>
  <c r="R358" i="16" a="1"/>
  <c r="R358" i="16" s="1"/>
  <c r="U358" i="16" a="1"/>
  <c r="U358" i="16" s="1"/>
  <c r="V358" i="16" a="1"/>
  <c r="V358" i="16" s="1"/>
  <c r="W358" i="16" a="1"/>
  <c r="W358" i="16" s="1"/>
  <c r="X358" i="16" a="1"/>
  <c r="X358" i="16" s="1"/>
  <c r="K359" i="16" a="1"/>
  <c r="K359" i="16" s="1"/>
  <c r="L359" i="16" a="1"/>
  <c r="L359" i="16" s="1"/>
  <c r="M359" i="16" a="1"/>
  <c r="M359" i="16" s="1"/>
  <c r="N359" i="16" a="1"/>
  <c r="N359" i="16" s="1"/>
  <c r="O359" i="16" a="1"/>
  <c r="O359" i="16" s="1"/>
  <c r="P359" i="16" a="1"/>
  <c r="P359" i="16" s="1"/>
  <c r="Q359" i="16" a="1"/>
  <c r="Q359" i="16" s="1"/>
  <c r="R359" i="16" a="1"/>
  <c r="R359" i="16" s="1"/>
  <c r="U359" i="16" a="1"/>
  <c r="U359" i="16" s="1"/>
  <c r="V359" i="16" a="1"/>
  <c r="V359" i="16" s="1"/>
  <c r="W359" i="16" a="1"/>
  <c r="W359" i="16" s="1"/>
  <c r="X359" i="16" a="1"/>
  <c r="X359" i="16" s="1"/>
  <c r="K360" i="16" a="1"/>
  <c r="K360" i="16" s="1"/>
  <c r="L360" i="16" a="1"/>
  <c r="L360" i="16" s="1"/>
  <c r="M360" i="16" a="1"/>
  <c r="M360" i="16" s="1"/>
  <c r="N360" i="16" a="1"/>
  <c r="N360" i="16" s="1"/>
  <c r="O360" i="16" a="1"/>
  <c r="O360" i="16" s="1"/>
  <c r="P360" i="16" a="1"/>
  <c r="P360" i="16" s="1"/>
  <c r="Q360" i="16" a="1"/>
  <c r="Q360" i="16" s="1"/>
  <c r="R360" i="16" a="1"/>
  <c r="R360" i="16" s="1"/>
  <c r="U360" i="16" a="1"/>
  <c r="U360" i="16" s="1"/>
  <c r="V360" i="16" a="1"/>
  <c r="V360" i="16" s="1"/>
  <c r="W360" i="16" a="1"/>
  <c r="W360" i="16" s="1"/>
  <c r="X360" i="16" a="1"/>
  <c r="X360" i="16" s="1"/>
  <c r="K361" i="16" a="1"/>
  <c r="K361" i="16" s="1"/>
  <c r="L361" i="16" a="1"/>
  <c r="L361" i="16" s="1"/>
  <c r="M361" i="16" a="1"/>
  <c r="M361" i="16" s="1"/>
  <c r="N361" i="16" a="1"/>
  <c r="N361" i="16" s="1"/>
  <c r="O361" i="16" a="1"/>
  <c r="O361" i="16" s="1"/>
  <c r="P361" i="16" a="1"/>
  <c r="P361" i="16" s="1"/>
  <c r="Q361" i="16" a="1"/>
  <c r="Q361" i="16" s="1"/>
  <c r="R361" i="16" a="1"/>
  <c r="R361" i="16" s="1"/>
  <c r="U361" i="16" a="1"/>
  <c r="U361" i="16" s="1"/>
  <c r="V361" i="16" a="1"/>
  <c r="V361" i="16" s="1"/>
  <c r="W361" i="16" a="1"/>
  <c r="W361" i="16" s="1"/>
  <c r="X361" i="16" a="1"/>
  <c r="X361" i="16" s="1"/>
  <c r="K362" i="16" a="1"/>
  <c r="K362" i="16" s="1"/>
  <c r="L362" i="16" a="1"/>
  <c r="L362" i="16" s="1"/>
  <c r="M362" i="16" a="1"/>
  <c r="M362" i="16" s="1"/>
  <c r="N362" i="16" a="1"/>
  <c r="N362" i="16" s="1"/>
  <c r="O362" i="16" a="1"/>
  <c r="O362" i="16" s="1"/>
  <c r="P362" i="16" a="1"/>
  <c r="P362" i="16" s="1"/>
  <c r="Q362" i="16" a="1"/>
  <c r="Q362" i="16" s="1"/>
  <c r="R362" i="16" a="1"/>
  <c r="R362" i="16" s="1"/>
  <c r="U362" i="16" a="1"/>
  <c r="U362" i="16" s="1"/>
  <c r="V362" i="16" a="1"/>
  <c r="V362" i="16" s="1"/>
  <c r="W362" i="16" a="1"/>
  <c r="W362" i="16" s="1"/>
  <c r="X362" i="16" a="1"/>
  <c r="X362" i="16" s="1"/>
  <c r="K363" i="16" a="1"/>
  <c r="K363" i="16" s="1"/>
  <c r="L363" i="16" a="1"/>
  <c r="L363" i="16" s="1"/>
  <c r="M363" i="16" a="1"/>
  <c r="M363" i="16" s="1"/>
  <c r="N363" i="16" a="1"/>
  <c r="N363" i="16" s="1"/>
  <c r="O363" i="16" a="1"/>
  <c r="O363" i="16" s="1"/>
  <c r="P363" i="16" a="1"/>
  <c r="P363" i="16" s="1"/>
  <c r="Q363" i="16" a="1"/>
  <c r="Q363" i="16" s="1"/>
  <c r="R363" i="16" a="1"/>
  <c r="R363" i="16" s="1"/>
  <c r="U363" i="16" a="1"/>
  <c r="U363" i="16" s="1"/>
  <c r="V363" i="16" a="1"/>
  <c r="V363" i="16" s="1"/>
  <c r="W363" i="16" a="1"/>
  <c r="W363" i="16" s="1"/>
  <c r="X363" i="16" a="1"/>
  <c r="X363" i="16" s="1"/>
  <c r="K364" i="16" a="1"/>
  <c r="K364" i="16" s="1"/>
  <c r="L364" i="16" a="1"/>
  <c r="L364" i="16" s="1"/>
  <c r="M364" i="16" a="1"/>
  <c r="M364" i="16" s="1"/>
  <c r="N364" i="16" a="1"/>
  <c r="N364" i="16" s="1"/>
  <c r="O364" i="16" a="1"/>
  <c r="O364" i="16" s="1"/>
  <c r="P364" i="16" a="1"/>
  <c r="P364" i="16" s="1"/>
  <c r="Q364" i="16" a="1"/>
  <c r="Q364" i="16" s="1"/>
  <c r="R364" i="16" a="1"/>
  <c r="R364" i="16" s="1"/>
  <c r="U364" i="16" a="1"/>
  <c r="U364" i="16" s="1"/>
  <c r="V364" i="16" a="1"/>
  <c r="V364" i="16" s="1"/>
  <c r="W364" i="16" a="1"/>
  <c r="W364" i="16" s="1"/>
  <c r="X364" i="16" a="1"/>
  <c r="X364" i="16" s="1"/>
  <c r="K365" i="16" a="1"/>
  <c r="K365" i="16" s="1"/>
  <c r="L365" i="16" a="1"/>
  <c r="L365" i="16" s="1"/>
  <c r="M365" i="16" a="1"/>
  <c r="M365" i="16" s="1"/>
  <c r="N365" i="16" a="1"/>
  <c r="N365" i="16" s="1"/>
  <c r="O365" i="16" a="1"/>
  <c r="O365" i="16" s="1"/>
  <c r="P365" i="16" a="1"/>
  <c r="P365" i="16" s="1"/>
  <c r="Q365" i="16" a="1"/>
  <c r="Q365" i="16" s="1"/>
  <c r="R365" i="16" a="1"/>
  <c r="R365" i="16" s="1"/>
  <c r="U365" i="16" a="1"/>
  <c r="U365" i="16" s="1"/>
  <c r="V365" i="16" a="1"/>
  <c r="V365" i="16" s="1"/>
  <c r="W365" i="16" a="1"/>
  <c r="W365" i="16" s="1"/>
  <c r="X365" i="16" a="1"/>
  <c r="X365" i="16" s="1"/>
  <c r="K366" i="16" a="1"/>
  <c r="K366" i="16" s="1"/>
  <c r="L366" i="16" a="1"/>
  <c r="L366" i="16" s="1"/>
  <c r="M366" i="16" a="1"/>
  <c r="M366" i="16" s="1"/>
  <c r="N366" i="16" a="1"/>
  <c r="N366" i="16" s="1"/>
  <c r="O366" i="16" a="1"/>
  <c r="O366" i="16" s="1"/>
  <c r="P366" i="16" a="1"/>
  <c r="P366" i="16" s="1"/>
  <c r="Q366" i="16" a="1"/>
  <c r="Q366" i="16" s="1"/>
  <c r="R366" i="16" a="1"/>
  <c r="R366" i="16" s="1"/>
  <c r="U366" i="16" a="1"/>
  <c r="U366" i="16" s="1"/>
  <c r="V366" i="16" a="1"/>
  <c r="V366" i="16" s="1"/>
  <c r="W366" i="16" a="1"/>
  <c r="W366" i="16" s="1"/>
  <c r="X366" i="16" a="1"/>
  <c r="X366" i="16" s="1"/>
  <c r="K367" i="16" a="1"/>
  <c r="K367" i="16" s="1"/>
  <c r="L367" i="16" a="1"/>
  <c r="L367" i="16" s="1"/>
  <c r="M367" i="16" a="1"/>
  <c r="M367" i="16" s="1"/>
  <c r="N367" i="16" a="1"/>
  <c r="N367" i="16" s="1"/>
  <c r="O367" i="16" a="1"/>
  <c r="O367" i="16" s="1"/>
  <c r="P367" i="16" a="1"/>
  <c r="P367" i="16" s="1"/>
  <c r="Q367" i="16" a="1"/>
  <c r="Q367" i="16" s="1"/>
  <c r="R367" i="16" a="1"/>
  <c r="R367" i="16" s="1"/>
  <c r="U367" i="16" a="1"/>
  <c r="U367" i="16" s="1"/>
  <c r="V367" i="16" a="1"/>
  <c r="V367" i="16" s="1"/>
  <c r="W367" i="16" a="1"/>
  <c r="W367" i="16" s="1"/>
  <c r="X367" i="16" a="1"/>
  <c r="X367" i="16" s="1"/>
  <c r="K368" i="16" a="1"/>
  <c r="K368" i="16" s="1"/>
  <c r="L368" i="16" a="1"/>
  <c r="L368" i="16" s="1"/>
  <c r="M368" i="16" a="1"/>
  <c r="M368" i="16" s="1"/>
  <c r="N368" i="16" a="1"/>
  <c r="N368" i="16" s="1"/>
  <c r="O368" i="16" a="1"/>
  <c r="O368" i="16" s="1"/>
  <c r="P368" i="16" a="1"/>
  <c r="P368" i="16" s="1"/>
  <c r="Q368" i="16" a="1"/>
  <c r="Q368" i="16" s="1"/>
  <c r="R368" i="16" a="1"/>
  <c r="R368" i="16" s="1"/>
  <c r="U368" i="16" a="1"/>
  <c r="U368" i="16" s="1"/>
  <c r="V368" i="16" a="1"/>
  <c r="V368" i="16" s="1"/>
  <c r="W368" i="16" a="1"/>
  <c r="W368" i="16" s="1"/>
  <c r="X368" i="16" a="1"/>
  <c r="X368" i="16" s="1"/>
  <c r="K369" i="16" a="1"/>
  <c r="K369" i="16" s="1"/>
  <c r="L369" i="16" a="1"/>
  <c r="L369" i="16" s="1"/>
  <c r="M369" i="16" a="1"/>
  <c r="M369" i="16" s="1"/>
  <c r="N369" i="16" a="1"/>
  <c r="N369" i="16" s="1"/>
  <c r="O369" i="16" a="1"/>
  <c r="O369" i="16" s="1"/>
  <c r="P369" i="16" a="1"/>
  <c r="P369" i="16" s="1"/>
  <c r="Q369" i="16" a="1"/>
  <c r="Q369" i="16" s="1"/>
  <c r="R369" i="16" a="1"/>
  <c r="R369" i="16" s="1"/>
  <c r="U369" i="16" a="1"/>
  <c r="U369" i="16" s="1"/>
  <c r="V369" i="16" a="1"/>
  <c r="V369" i="16" s="1"/>
  <c r="W369" i="16" a="1"/>
  <c r="W369" i="16" s="1"/>
  <c r="X369" i="16" a="1"/>
  <c r="X369" i="16" s="1"/>
  <c r="K370" i="16" a="1"/>
  <c r="K370" i="16" s="1"/>
  <c r="L370" i="16" a="1"/>
  <c r="L370" i="16" s="1"/>
  <c r="M370" i="16" a="1"/>
  <c r="M370" i="16" s="1"/>
  <c r="N370" i="16" a="1"/>
  <c r="N370" i="16" s="1"/>
  <c r="O370" i="16" a="1"/>
  <c r="O370" i="16" s="1"/>
  <c r="P370" i="16" a="1"/>
  <c r="P370" i="16" s="1"/>
  <c r="Q370" i="16" a="1"/>
  <c r="Q370" i="16" s="1"/>
  <c r="R370" i="16" a="1"/>
  <c r="R370" i="16" s="1"/>
  <c r="U370" i="16" a="1"/>
  <c r="U370" i="16" s="1"/>
  <c r="V370" i="16" a="1"/>
  <c r="V370" i="16" s="1"/>
  <c r="W370" i="16" a="1"/>
  <c r="W370" i="16" s="1"/>
  <c r="X370" i="16" a="1"/>
  <c r="X370" i="16" s="1"/>
  <c r="K371" i="16" a="1"/>
  <c r="K371" i="16" s="1"/>
  <c r="L371" i="16" a="1"/>
  <c r="L371" i="16" s="1"/>
  <c r="M371" i="16" a="1"/>
  <c r="M371" i="16" s="1"/>
  <c r="N371" i="16" a="1"/>
  <c r="N371" i="16" s="1"/>
  <c r="O371" i="16" a="1"/>
  <c r="O371" i="16" s="1"/>
  <c r="P371" i="16" a="1"/>
  <c r="P371" i="16" s="1"/>
  <c r="Q371" i="16" a="1"/>
  <c r="Q371" i="16" s="1"/>
  <c r="R371" i="16" a="1"/>
  <c r="R371" i="16" s="1"/>
  <c r="U371" i="16" a="1"/>
  <c r="U371" i="16" s="1"/>
  <c r="V371" i="16" a="1"/>
  <c r="V371" i="16" s="1"/>
  <c r="W371" i="16" a="1"/>
  <c r="W371" i="16" s="1"/>
  <c r="X371" i="16" a="1"/>
  <c r="X371" i="16" s="1"/>
  <c r="K372" i="16" a="1"/>
  <c r="K372" i="16" s="1"/>
  <c r="L372" i="16" a="1"/>
  <c r="L372" i="16" s="1"/>
  <c r="M372" i="16" a="1"/>
  <c r="M372" i="16" s="1"/>
  <c r="N372" i="16" a="1"/>
  <c r="N372" i="16" s="1"/>
  <c r="O372" i="16" a="1"/>
  <c r="O372" i="16" s="1"/>
  <c r="P372" i="16" a="1"/>
  <c r="P372" i="16" s="1"/>
  <c r="Q372" i="16" a="1"/>
  <c r="Q372" i="16" s="1"/>
  <c r="R372" i="16" a="1"/>
  <c r="R372" i="16" s="1"/>
  <c r="U372" i="16" a="1"/>
  <c r="U372" i="16" s="1"/>
  <c r="V372" i="16" a="1"/>
  <c r="V372" i="16" s="1"/>
  <c r="W372" i="16" a="1"/>
  <c r="W372" i="16" s="1"/>
  <c r="X372" i="16" a="1"/>
  <c r="X372" i="16" s="1"/>
  <c r="K373" i="16" a="1"/>
  <c r="K373" i="16" s="1"/>
  <c r="L373" i="16" a="1"/>
  <c r="L373" i="16" s="1"/>
  <c r="M373" i="16" a="1"/>
  <c r="M373" i="16" s="1"/>
  <c r="N373" i="16" a="1"/>
  <c r="N373" i="16" s="1"/>
  <c r="O373" i="16" a="1"/>
  <c r="O373" i="16" s="1"/>
  <c r="P373" i="16" a="1"/>
  <c r="P373" i="16" s="1"/>
  <c r="Q373" i="16" a="1"/>
  <c r="Q373" i="16" s="1"/>
  <c r="R373" i="16" a="1"/>
  <c r="R373" i="16" s="1"/>
  <c r="U373" i="16" a="1"/>
  <c r="U373" i="16" s="1"/>
  <c r="V373" i="16" a="1"/>
  <c r="V373" i="16" s="1"/>
  <c r="W373" i="16" a="1"/>
  <c r="W373" i="16" s="1"/>
  <c r="X373" i="16" a="1"/>
  <c r="X373" i="16" s="1"/>
  <c r="K374" i="16" a="1"/>
  <c r="K374" i="16" s="1"/>
  <c r="L374" i="16" a="1"/>
  <c r="L374" i="16" s="1"/>
  <c r="M374" i="16" a="1"/>
  <c r="M374" i="16" s="1"/>
  <c r="N374" i="16" a="1"/>
  <c r="N374" i="16" s="1"/>
  <c r="O374" i="16" a="1"/>
  <c r="O374" i="16" s="1"/>
  <c r="P374" i="16" a="1"/>
  <c r="P374" i="16" s="1"/>
  <c r="Q374" i="16" a="1"/>
  <c r="Q374" i="16" s="1"/>
  <c r="R374" i="16" a="1"/>
  <c r="R374" i="16" s="1"/>
  <c r="U374" i="16" a="1"/>
  <c r="U374" i="16" s="1"/>
  <c r="V374" i="16" a="1"/>
  <c r="V374" i="16" s="1"/>
  <c r="W374" i="16" a="1"/>
  <c r="W374" i="16" s="1"/>
  <c r="X374" i="16" a="1"/>
  <c r="X374" i="16" s="1"/>
  <c r="K375" i="16" a="1"/>
  <c r="K375" i="16" s="1"/>
  <c r="L375" i="16" a="1"/>
  <c r="L375" i="16" s="1"/>
  <c r="M375" i="16" a="1"/>
  <c r="M375" i="16" s="1"/>
  <c r="N375" i="16" a="1"/>
  <c r="N375" i="16" s="1"/>
  <c r="O375" i="16" a="1"/>
  <c r="O375" i="16" s="1"/>
  <c r="P375" i="16" a="1"/>
  <c r="P375" i="16" s="1"/>
  <c r="Q375" i="16" a="1"/>
  <c r="Q375" i="16" s="1"/>
  <c r="R375" i="16" a="1"/>
  <c r="R375" i="16" s="1"/>
  <c r="U375" i="16" a="1"/>
  <c r="U375" i="16" s="1"/>
  <c r="V375" i="16" a="1"/>
  <c r="V375" i="16" s="1"/>
  <c r="W375" i="16" a="1"/>
  <c r="W375" i="16" s="1"/>
  <c r="X375" i="16" a="1"/>
  <c r="X375" i="16" s="1"/>
  <c r="K376" i="16" a="1"/>
  <c r="K376" i="16" s="1"/>
  <c r="L376" i="16" a="1"/>
  <c r="L376" i="16" s="1"/>
  <c r="M376" i="16" a="1"/>
  <c r="M376" i="16" s="1"/>
  <c r="N376" i="16" a="1"/>
  <c r="N376" i="16" s="1"/>
  <c r="O376" i="16" a="1"/>
  <c r="O376" i="16" s="1"/>
  <c r="P376" i="16" a="1"/>
  <c r="P376" i="16" s="1"/>
  <c r="Q376" i="16" a="1"/>
  <c r="Q376" i="16" s="1"/>
  <c r="R376" i="16" a="1"/>
  <c r="R376" i="16" s="1"/>
  <c r="U376" i="16" a="1"/>
  <c r="U376" i="16" s="1"/>
  <c r="V376" i="16" a="1"/>
  <c r="V376" i="16" s="1"/>
  <c r="W376" i="16" a="1"/>
  <c r="W376" i="16" s="1"/>
  <c r="X376" i="16" a="1"/>
  <c r="X376" i="16" s="1"/>
  <c r="K377" i="16" a="1"/>
  <c r="K377" i="16" s="1"/>
  <c r="L377" i="16" a="1"/>
  <c r="L377" i="16" s="1"/>
  <c r="M377" i="16" a="1"/>
  <c r="M377" i="16" s="1"/>
  <c r="N377" i="16" a="1"/>
  <c r="N377" i="16" s="1"/>
  <c r="O377" i="16" a="1"/>
  <c r="O377" i="16" s="1"/>
  <c r="P377" i="16" a="1"/>
  <c r="P377" i="16" s="1"/>
  <c r="Q377" i="16" a="1"/>
  <c r="Q377" i="16" s="1"/>
  <c r="R377" i="16" a="1"/>
  <c r="R377" i="16" s="1"/>
  <c r="U377" i="16" a="1"/>
  <c r="U377" i="16" s="1"/>
  <c r="V377" i="16" a="1"/>
  <c r="V377" i="16" s="1"/>
  <c r="W377" i="16" a="1"/>
  <c r="W377" i="16" s="1"/>
  <c r="X377" i="16" a="1"/>
  <c r="X377" i="16" s="1"/>
  <c r="K378" i="16" a="1"/>
  <c r="K378" i="16" s="1"/>
  <c r="L378" i="16" a="1"/>
  <c r="L378" i="16" s="1"/>
  <c r="M378" i="16" a="1"/>
  <c r="M378" i="16" s="1"/>
  <c r="N378" i="16" a="1"/>
  <c r="N378" i="16" s="1"/>
  <c r="O378" i="16" a="1"/>
  <c r="O378" i="16" s="1"/>
  <c r="P378" i="16" a="1"/>
  <c r="P378" i="16" s="1"/>
  <c r="Q378" i="16" a="1"/>
  <c r="Q378" i="16" s="1"/>
  <c r="R378" i="16" a="1"/>
  <c r="R378" i="16" s="1"/>
  <c r="U378" i="16" a="1"/>
  <c r="U378" i="16" s="1"/>
  <c r="V378" i="16" a="1"/>
  <c r="V378" i="16" s="1"/>
  <c r="W378" i="16" a="1"/>
  <c r="W378" i="16" s="1"/>
  <c r="X378" i="16" a="1"/>
  <c r="X378" i="16" s="1"/>
  <c r="K379" i="16" a="1"/>
  <c r="K379" i="16" s="1"/>
  <c r="L379" i="16" a="1"/>
  <c r="L379" i="16" s="1"/>
  <c r="M379" i="16" a="1"/>
  <c r="M379" i="16" s="1"/>
  <c r="N379" i="16" a="1"/>
  <c r="N379" i="16" s="1"/>
  <c r="O379" i="16" a="1"/>
  <c r="O379" i="16" s="1"/>
  <c r="P379" i="16" a="1"/>
  <c r="P379" i="16" s="1"/>
  <c r="Q379" i="16" a="1"/>
  <c r="Q379" i="16" s="1"/>
  <c r="R379" i="16" a="1"/>
  <c r="R379" i="16" s="1"/>
  <c r="U379" i="16" a="1"/>
  <c r="U379" i="16" s="1"/>
  <c r="V379" i="16" a="1"/>
  <c r="V379" i="16" s="1"/>
  <c r="W379" i="16" a="1"/>
  <c r="W379" i="16" s="1"/>
  <c r="X379" i="16" a="1"/>
  <c r="X379" i="16" s="1"/>
  <c r="K380" i="16" a="1"/>
  <c r="K380" i="16" s="1"/>
  <c r="L380" i="16" a="1"/>
  <c r="L380" i="16" s="1"/>
  <c r="M380" i="16" a="1"/>
  <c r="M380" i="16" s="1"/>
  <c r="N380" i="16" a="1"/>
  <c r="N380" i="16" s="1"/>
  <c r="O380" i="16" a="1"/>
  <c r="O380" i="16" s="1"/>
  <c r="P380" i="16" a="1"/>
  <c r="P380" i="16" s="1"/>
  <c r="Q380" i="16" a="1"/>
  <c r="Q380" i="16" s="1"/>
  <c r="R380" i="16" a="1"/>
  <c r="R380" i="16" s="1"/>
  <c r="U380" i="16" a="1"/>
  <c r="U380" i="16" s="1"/>
  <c r="V380" i="16" a="1"/>
  <c r="V380" i="16" s="1"/>
  <c r="W380" i="16" a="1"/>
  <c r="W380" i="16" s="1"/>
  <c r="X380" i="16" a="1"/>
  <c r="X380" i="16" s="1"/>
  <c r="K381" i="16" a="1"/>
  <c r="K381" i="16" s="1"/>
  <c r="L381" i="16" a="1"/>
  <c r="L381" i="16" s="1"/>
  <c r="M381" i="16" a="1"/>
  <c r="M381" i="16" s="1"/>
  <c r="N381" i="16" a="1"/>
  <c r="N381" i="16" s="1"/>
  <c r="O381" i="16" a="1"/>
  <c r="O381" i="16" s="1"/>
  <c r="P381" i="16" a="1"/>
  <c r="P381" i="16" s="1"/>
  <c r="Q381" i="16" a="1"/>
  <c r="Q381" i="16" s="1"/>
  <c r="R381" i="16" a="1"/>
  <c r="R381" i="16" s="1"/>
  <c r="U381" i="16" a="1"/>
  <c r="U381" i="16" s="1"/>
  <c r="V381" i="16" a="1"/>
  <c r="V381" i="16" s="1"/>
  <c r="W381" i="16" a="1"/>
  <c r="W381" i="16" s="1"/>
  <c r="X381" i="16" a="1"/>
  <c r="X381" i="16" s="1"/>
  <c r="K382" i="16" a="1"/>
  <c r="K382" i="16" s="1"/>
  <c r="L382" i="16" a="1"/>
  <c r="L382" i="16" s="1"/>
  <c r="M382" i="16" a="1"/>
  <c r="M382" i="16" s="1"/>
  <c r="N382" i="16" a="1"/>
  <c r="N382" i="16" s="1"/>
  <c r="O382" i="16" a="1"/>
  <c r="O382" i="16" s="1"/>
  <c r="P382" i="16" a="1"/>
  <c r="P382" i="16" s="1"/>
  <c r="Q382" i="16" a="1"/>
  <c r="Q382" i="16" s="1"/>
  <c r="R382" i="16" a="1"/>
  <c r="R382" i="16" s="1"/>
  <c r="U382" i="16" a="1"/>
  <c r="U382" i="16" s="1"/>
  <c r="V382" i="16" a="1"/>
  <c r="V382" i="16" s="1"/>
  <c r="W382" i="16" a="1"/>
  <c r="W382" i="16" s="1"/>
  <c r="X382" i="16" a="1"/>
  <c r="X382" i="16" s="1"/>
  <c r="K383" i="16" a="1"/>
  <c r="K383" i="16" s="1"/>
  <c r="L383" i="16" a="1"/>
  <c r="L383" i="16" s="1"/>
  <c r="M383" i="16" a="1"/>
  <c r="M383" i="16" s="1"/>
  <c r="N383" i="16" a="1"/>
  <c r="N383" i="16" s="1"/>
  <c r="O383" i="16" a="1"/>
  <c r="O383" i="16" s="1"/>
  <c r="P383" i="16" a="1"/>
  <c r="P383" i="16" s="1"/>
  <c r="Q383" i="16" a="1"/>
  <c r="Q383" i="16" s="1"/>
  <c r="R383" i="16" a="1"/>
  <c r="R383" i="16" s="1"/>
  <c r="U383" i="16" a="1"/>
  <c r="U383" i="16" s="1"/>
  <c r="V383" i="16" a="1"/>
  <c r="V383" i="16" s="1"/>
  <c r="W383" i="16" a="1"/>
  <c r="W383" i="16" s="1"/>
  <c r="X383" i="16" a="1"/>
  <c r="X383" i="16" s="1"/>
  <c r="K384" i="16" a="1"/>
  <c r="K384" i="16" s="1"/>
  <c r="L384" i="16" a="1"/>
  <c r="L384" i="16" s="1"/>
  <c r="M384" i="16" a="1"/>
  <c r="M384" i="16" s="1"/>
  <c r="N384" i="16" a="1"/>
  <c r="N384" i="16" s="1"/>
  <c r="O384" i="16" a="1"/>
  <c r="O384" i="16" s="1"/>
  <c r="P384" i="16" a="1"/>
  <c r="P384" i="16" s="1"/>
  <c r="Q384" i="16" a="1"/>
  <c r="Q384" i="16" s="1"/>
  <c r="R384" i="16" a="1"/>
  <c r="R384" i="16" s="1"/>
  <c r="U384" i="16" a="1"/>
  <c r="U384" i="16" s="1"/>
  <c r="V384" i="16" a="1"/>
  <c r="V384" i="16" s="1"/>
  <c r="W384" i="16" a="1"/>
  <c r="W384" i="16" s="1"/>
  <c r="X384" i="16" a="1"/>
  <c r="X384" i="16" s="1"/>
  <c r="K385" i="16" a="1"/>
  <c r="K385" i="16" s="1"/>
  <c r="L385" i="16" a="1"/>
  <c r="L385" i="16" s="1"/>
  <c r="M385" i="16" a="1"/>
  <c r="M385" i="16" s="1"/>
  <c r="N385" i="16" a="1"/>
  <c r="N385" i="16" s="1"/>
  <c r="O385" i="16" a="1"/>
  <c r="O385" i="16" s="1"/>
  <c r="P385" i="16" a="1"/>
  <c r="P385" i="16" s="1"/>
  <c r="Q385" i="16" a="1"/>
  <c r="Q385" i="16" s="1"/>
  <c r="R385" i="16" a="1"/>
  <c r="R385" i="16" s="1"/>
  <c r="U385" i="16" a="1"/>
  <c r="U385" i="16" s="1"/>
  <c r="V385" i="16" a="1"/>
  <c r="V385" i="16" s="1"/>
  <c r="W385" i="16" a="1"/>
  <c r="W385" i="16" s="1"/>
  <c r="X385" i="16" a="1"/>
  <c r="X385" i="16" s="1"/>
  <c r="K386" i="16" a="1"/>
  <c r="K386" i="16" s="1"/>
  <c r="L386" i="16" a="1"/>
  <c r="L386" i="16" s="1"/>
  <c r="M386" i="16" a="1"/>
  <c r="M386" i="16" s="1"/>
  <c r="N386" i="16" a="1"/>
  <c r="N386" i="16" s="1"/>
  <c r="O386" i="16" a="1"/>
  <c r="O386" i="16" s="1"/>
  <c r="P386" i="16" a="1"/>
  <c r="P386" i="16" s="1"/>
  <c r="Q386" i="16" a="1"/>
  <c r="Q386" i="16" s="1"/>
  <c r="R386" i="16" a="1"/>
  <c r="R386" i="16" s="1"/>
  <c r="U386" i="16" a="1"/>
  <c r="U386" i="16" s="1"/>
  <c r="V386" i="16" a="1"/>
  <c r="V386" i="16" s="1"/>
  <c r="W386" i="16" a="1"/>
  <c r="W386" i="16" s="1"/>
  <c r="X386" i="16" a="1"/>
  <c r="X386" i="16" s="1"/>
  <c r="K387" i="16" a="1"/>
  <c r="K387" i="16" s="1"/>
  <c r="L387" i="16" a="1"/>
  <c r="L387" i="16" s="1"/>
  <c r="M387" i="16" a="1"/>
  <c r="M387" i="16" s="1"/>
  <c r="N387" i="16" a="1"/>
  <c r="N387" i="16" s="1"/>
  <c r="O387" i="16" a="1"/>
  <c r="O387" i="16" s="1"/>
  <c r="P387" i="16" a="1"/>
  <c r="P387" i="16" s="1"/>
  <c r="Q387" i="16" a="1"/>
  <c r="Q387" i="16" s="1"/>
  <c r="R387" i="16" a="1"/>
  <c r="R387" i="16" s="1"/>
  <c r="U387" i="16" a="1"/>
  <c r="U387" i="16" s="1"/>
  <c r="V387" i="16" a="1"/>
  <c r="V387" i="16" s="1"/>
  <c r="W387" i="16" a="1"/>
  <c r="W387" i="16" s="1"/>
  <c r="X387" i="16" a="1"/>
  <c r="X387" i="16" s="1"/>
  <c r="K388" i="16" a="1"/>
  <c r="K388" i="16" s="1"/>
  <c r="L388" i="16" a="1"/>
  <c r="L388" i="16" s="1"/>
  <c r="M388" i="16" a="1"/>
  <c r="M388" i="16" s="1"/>
  <c r="N388" i="16" a="1"/>
  <c r="N388" i="16" s="1"/>
  <c r="O388" i="16" a="1"/>
  <c r="O388" i="16" s="1"/>
  <c r="P388" i="16" a="1"/>
  <c r="P388" i="16" s="1"/>
  <c r="Q388" i="16" a="1"/>
  <c r="Q388" i="16" s="1"/>
  <c r="R388" i="16" a="1"/>
  <c r="R388" i="16" s="1"/>
  <c r="U388" i="16" a="1"/>
  <c r="U388" i="16" s="1"/>
  <c r="V388" i="16" a="1"/>
  <c r="V388" i="16" s="1"/>
  <c r="W388" i="16" a="1"/>
  <c r="W388" i="16" s="1"/>
  <c r="X388" i="16" a="1"/>
  <c r="X388" i="16" s="1"/>
  <c r="K389" i="16" a="1"/>
  <c r="K389" i="16" s="1"/>
  <c r="L389" i="16" a="1"/>
  <c r="L389" i="16" s="1"/>
  <c r="M389" i="16" a="1"/>
  <c r="M389" i="16" s="1"/>
  <c r="N389" i="16" a="1"/>
  <c r="N389" i="16" s="1"/>
  <c r="O389" i="16" a="1"/>
  <c r="O389" i="16" s="1"/>
  <c r="P389" i="16" a="1"/>
  <c r="P389" i="16" s="1"/>
  <c r="Q389" i="16" a="1"/>
  <c r="Q389" i="16" s="1"/>
  <c r="R389" i="16" a="1"/>
  <c r="R389" i="16" s="1"/>
  <c r="U389" i="16" a="1"/>
  <c r="U389" i="16" s="1"/>
  <c r="V389" i="16" a="1"/>
  <c r="V389" i="16" s="1"/>
  <c r="W389" i="16" a="1"/>
  <c r="W389" i="16" s="1"/>
  <c r="X389" i="16" a="1"/>
  <c r="X389" i="16" s="1"/>
  <c r="K390" i="16" a="1"/>
  <c r="K390" i="16" s="1"/>
  <c r="L390" i="16" a="1"/>
  <c r="L390" i="16" s="1"/>
  <c r="M390" i="16" a="1"/>
  <c r="M390" i="16" s="1"/>
  <c r="N390" i="16" a="1"/>
  <c r="N390" i="16" s="1"/>
  <c r="O390" i="16" a="1"/>
  <c r="O390" i="16" s="1"/>
  <c r="P390" i="16" a="1"/>
  <c r="P390" i="16" s="1"/>
  <c r="Q390" i="16" a="1"/>
  <c r="Q390" i="16" s="1"/>
  <c r="R390" i="16" a="1"/>
  <c r="R390" i="16" s="1"/>
  <c r="U390" i="16" a="1"/>
  <c r="U390" i="16" s="1"/>
  <c r="V390" i="16" a="1"/>
  <c r="V390" i="16" s="1"/>
  <c r="W390" i="16" a="1"/>
  <c r="W390" i="16" s="1"/>
  <c r="X390" i="16" a="1"/>
  <c r="X390" i="16" s="1"/>
  <c r="K391" i="16" a="1"/>
  <c r="K391" i="16" s="1"/>
  <c r="L391" i="16" a="1"/>
  <c r="L391" i="16" s="1"/>
  <c r="M391" i="16" a="1"/>
  <c r="M391" i="16" s="1"/>
  <c r="N391" i="16" a="1"/>
  <c r="N391" i="16" s="1"/>
  <c r="O391" i="16" a="1"/>
  <c r="O391" i="16" s="1"/>
  <c r="P391" i="16" a="1"/>
  <c r="P391" i="16" s="1"/>
  <c r="Q391" i="16" a="1"/>
  <c r="Q391" i="16" s="1"/>
  <c r="R391" i="16" a="1"/>
  <c r="R391" i="16" s="1"/>
  <c r="U391" i="16" a="1"/>
  <c r="U391" i="16" s="1"/>
  <c r="V391" i="16" a="1"/>
  <c r="V391" i="16" s="1"/>
  <c r="W391" i="16" a="1"/>
  <c r="W391" i="16" s="1"/>
  <c r="X391" i="16" a="1"/>
  <c r="X391" i="16" s="1"/>
  <c r="K392" i="16" a="1"/>
  <c r="K392" i="16" s="1"/>
  <c r="L392" i="16" a="1"/>
  <c r="L392" i="16" s="1"/>
  <c r="M392" i="16" a="1"/>
  <c r="M392" i="16" s="1"/>
  <c r="N392" i="16" a="1"/>
  <c r="N392" i="16" s="1"/>
  <c r="O392" i="16" a="1"/>
  <c r="O392" i="16" s="1"/>
  <c r="P392" i="16" a="1"/>
  <c r="P392" i="16" s="1"/>
  <c r="Q392" i="16" a="1"/>
  <c r="Q392" i="16" s="1"/>
  <c r="R392" i="16" a="1"/>
  <c r="R392" i="16" s="1"/>
  <c r="U392" i="16" a="1"/>
  <c r="U392" i="16" s="1"/>
  <c r="V392" i="16" a="1"/>
  <c r="V392" i="16" s="1"/>
  <c r="W392" i="16" a="1"/>
  <c r="W392" i="16" s="1"/>
  <c r="X392" i="16" a="1"/>
  <c r="X392" i="16" s="1"/>
  <c r="K393" i="16" a="1"/>
  <c r="K393" i="16" s="1"/>
  <c r="L393" i="16" a="1"/>
  <c r="L393" i="16" s="1"/>
  <c r="M393" i="16" a="1"/>
  <c r="M393" i="16" s="1"/>
  <c r="N393" i="16" a="1"/>
  <c r="N393" i="16" s="1"/>
  <c r="O393" i="16" a="1"/>
  <c r="O393" i="16" s="1"/>
  <c r="P393" i="16" a="1"/>
  <c r="P393" i="16" s="1"/>
  <c r="Q393" i="16" a="1"/>
  <c r="Q393" i="16" s="1"/>
  <c r="R393" i="16" a="1"/>
  <c r="R393" i="16" s="1"/>
  <c r="U393" i="16" a="1"/>
  <c r="U393" i="16" s="1"/>
  <c r="V393" i="16" a="1"/>
  <c r="V393" i="16" s="1"/>
  <c r="W393" i="16" a="1"/>
  <c r="W393" i="16" s="1"/>
  <c r="X393" i="16" a="1"/>
  <c r="X393" i="16" s="1"/>
  <c r="K394" i="16" a="1"/>
  <c r="K394" i="16" s="1"/>
  <c r="L394" i="16" a="1"/>
  <c r="L394" i="16" s="1"/>
  <c r="M394" i="16" a="1"/>
  <c r="M394" i="16" s="1"/>
  <c r="N394" i="16" a="1"/>
  <c r="N394" i="16" s="1"/>
  <c r="O394" i="16" a="1"/>
  <c r="O394" i="16" s="1"/>
  <c r="P394" i="16" a="1"/>
  <c r="P394" i="16" s="1"/>
  <c r="Q394" i="16" a="1"/>
  <c r="Q394" i="16" s="1"/>
  <c r="R394" i="16" a="1"/>
  <c r="R394" i="16" s="1"/>
  <c r="U394" i="16" a="1"/>
  <c r="U394" i="16" s="1"/>
  <c r="V394" i="16" a="1"/>
  <c r="V394" i="16" s="1"/>
  <c r="W394" i="16" a="1"/>
  <c r="W394" i="16" s="1"/>
  <c r="X394" i="16" a="1"/>
  <c r="X394" i="16" s="1"/>
  <c r="K3" i="15" a="1"/>
  <c r="K3" i="15" s="1"/>
  <c r="L3" i="15" a="1"/>
  <c r="L3" i="15" s="1"/>
  <c r="M3" i="15" a="1"/>
  <c r="M3" i="15" s="1"/>
  <c r="N3" i="15" a="1"/>
  <c r="N3" i="15" s="1"/>
  <c r="O3" i="15" a="1"/>
  <c r="O3" i="15" s="1"/>
  <c r="P3" i="15" a="1"/>
  <c r="P3" i="15" s="1"/>
  <c r="Q3" i="15" a="1"/>
  <c r="Q3" i="15" s="1"/>
  <c r="R3" i="15" a="1"/>
  <c r="R3" i="15" s="1"/>
  <c r="U3" i="15" a="1"/>
  <c r="U3" i="15" s="1"/>
  <c r="V3" i="15" a="1"/>
  <c r="V3" i="15" s="1"/>
  <c r="W3" i="15" a="1"/>
  <c r="W3" i="15" s="1"/>
  <c r="X3" i="15" a="1"/>
  <c r="X3" i="15" s="1"/>
  <c r="K4" i="15" a="1"/>
  <c r="K4" i="15" s="1"/>
  <c r="L4" i="15" a="1"/>
  <c r="L4" i="15" s="1"/>
  <c r="M4" i="15" a="1"/>
  <c r="M4" i="15" s="1"/>
  <c r="N4" i="15" a="1"/>
  <c r="N4" i="15" s="1"/>
  <c r="O4" i="15" a="1"/>
  <c r="O4" i="15" s="1"/>
  <c r="P4" i="15" a="1"/>
  <c r="P4" i="15" s="1"/>
  <c r="Q4" i="15" a="1"/>
  <c r="Q4" i="15" s="1"/>
  <c r="R4" i="15" a="1"/>
  <c r="R4" i="15" s="1"/>
  <c r="U4" i="15" a="1"/>
  <c r="U4" i="15" s="1"/>
  <c r="V4" i="15" a="1"/>
  <c r="V4" i="15" s="1"/>
  <c r="W4" i="15" a="1"/>
  <c r="W4" i="15" s="1"/>
  <c r="X4" i="15" a="1"/>
  <c r="X4" i="15" s="1"/>
  <c r="K5" i="15" a="1"/>
  <c r="K5" i="15" s="1"/>
  <c r="L5" i="15" a="1"/>
  <c r="L5" i="15" s="1"/>
  <c r="M5" i="15" a="1"/>
  <c r="M5" i="15" s="1"/>
  <c r="N5" i="15" a="1"/>
  <c r="N5" i="15" s="1"/>
  <c r="O5" i="15" a="1"/>
  <c r="O5" i="15" s="1"/>
  <c r="P5" i="15" a="1"/>
  <c r="P5" i="15" s="1"/>
  <c r="Q5" i="15" a="1"/>
  <c r="Q5" i="15" s="1"/>
  <c r="R5" i="15" a="1"/>
  <c r="R5" i="15" s="1"/>
  <c r="U5" i="15" a="1"/>
  <c r="U5" i="15" s="1"/>
  <c r="V5" i="15" a="1"/>
  <c r="V5" i="15" s="1"/>
  <c r="W5" i="15" a="1"/>
  <c r="W5" i="15" s="1"/>
  <c r="X5" i="15" a="1"/>
  <c r="X5" i="15" s="1"/>
  <c r="K6" i="15" a="1"/>
  <c r="K6" i="15" s="1"/>
  <c r="L6" i="15" a="1"/>
  <c r="L6" i="15" s="1"/>
  <c r="M6" i="15" a="1"/>
  <c r="M6" i="15" s="1"/>
  <c r="N6" i="15" a="1"/>
  <c r="N6" i="15" s="1"/>
  <c r="O6" i="15" a="1"/>
  <c r="O6" i="15" s="1"/>
  <c r="P6" i="15" a="1"/>
  <c r="P6" i="15" s="1"/>
  <c r="Q6" i="15" a="1"/>
  <c r="Q6" i="15" s="1"/>
  <c r="R6" i="15" a="1"/>
  <c r="R6" i="15" s="1"/>
  <c r="U6" i="15" a="1"/>
  <c r="U6" i="15" s="1"/>
  <c r="V6" i="15" a="1"/>
  <c r="V6" i="15" s="1"/>
  <c r="W6" i="15" a="1"/>
  <c r="W6" i="15" s="1"/>
  <c r="X6" i="15" a="1"/>
  <c r="X6" i="15" s="1"/>
  <c r="K7" i="15" a="1"/>
  <c r="K7" i="15" s="1"/>
  <c r="L7" i="15" a="1"/>
  <c r="L7" i="15" s="1"/>
  <c r="M7" i="15" a="1"/>
  <c r="M7" i="15" s="1"/>
  <c r="N7" i="15" a="1"/>
  <c r="N7" i="15" s="1"/>
  <c r="O7" i="15" a="1"/>
  <c r="O7" i="15" s="1"/>
  <c r="P7" i="15" a="1"/>
  <c r="P7" i="15" s="1"/>
  <c r="Q7" i="15" a="1"/>
  <c r="Q7" i="15" s="1"/>
  <c r="R7" i="15" a="1"/>
  <c r="R7" i="15" s="1"/>
  <c r="U7" i="15" a="1"/>
  <c r="U7" i="15" s="1"/>
  <c r="V7" i="15" a="1"/>
  <c r="V7" i="15" s="1"/>
  <c r="W7" i="15" a="1"/>
  <c r="W7" i="15" s="1"/>
  <c r="X7" i="15" a="1"/>
  <c r="X7" i="15" s="1"/>
  <c r="K8" i="15" a="1"/>
  <c r="K8" i="15" s="1"/>
  <c r="L8" i="15" a="1"/>
  <c r="L8" i="15" s="1"/>
  <c r="M8" i="15" a="1"/>
  <c r="M8" i="15" s="1"/>
  <c r="N8" i="15" a="1"/>
  <c r="N8" i="15" s="1"/>
  <c r="O8" i="15" a="1"/>
  <c r="O8" i="15" s="1"/>
  <c r="P8" i="15" a="1"/>
  <c r="P8" i="15" s="1"/>
  <c r="Q8" i="15" a="1"/>
  <c r="Q8" i="15" s="1"/>
  <c r="R8" i="15" a="1"/>
  <c r="R8" i="15" s="1"/>
  <c r="U8" i="15" a="1"/>
  <c r="U8" i="15" s="1"/>
  <c r="V8" i="15" a="1"/>
  <c r="V8" i="15" s="1"/>
  <c r="W8" i="15" a="1"/>
  <c r="W8" i="15" s="1"/>
  <c r="X8" i="15" a="1"/>
  <c r="X8" i="15" s="1"/>
  <c r="K9" i="15" a="1"/>
  <c r="K9" i="15" s="1"/>
  <c r="L9" i="15" a="1"/>
  <c r="L9" i="15" s="1"/>
  <c r="M9" i="15" a="1"/>
  <c r="M9" i="15" s="1"/>
  <c r="N9" i="15" a="1"/>
  <c r="N9" i="15" s="1"/>
  <c r="O9" i="15" a="1"/>
  <c r="O9" i="15" s="1"/>
  <c r="P9" i="15" a="1"/>
  <c r="P9" i="15" s="1"/>
  <c r="Q9" i="15" a="1"/>
  <c r="Q9" i="15" s="1"/>
  <c r="R9" i="15" a="1"/>
  <c r="R9" i="15" s="1"/>
  <c r="U9" i="15" a="1"/>
  <c r="U9" i="15" s="1"/>
  <c r="V9" i="15" a="1"/>
  <c r="V9" i="15" s="1"/>
  <c r="W9" i="15" a="1"/>
  <c r="W9" i="15" s="1"/>
  <c r="X9" i="15" a="1"/>
  <c r="X9" i="15" s="1"/>
  <c r="K10" i="15" a="1"/>
  <c r="K10" i="15" s="1"/>
  <c r="L10" i="15" a="1"/>
  <c r="L10" i="15" s="1"/>
  <c r="M10" i="15" a="1"/>
  <c r="M10" i="15" s="1"/>
  <c r="N10" i="15" a="1"/>
  <c r="N10" i="15" s="1"/>
  <c r="O10" i="15" a="1"/>
  <c r="O10" i="15" s="1"/>
  <c r="P10" i="15" a="1"/>
  <c r="P10" i="15" s="1"/>
  <c r="Q10" i="15" a="1"/>
  <c r="Q10" i="15" s="1"/>
  <c r="R10" i="15" a="1"/>
  <c r="R10" i="15" s="1"/>
  <c r="U10" i="15" a="1"/>
  <c r="U10" i="15" s="1"/>
  <c r="V10" i="15" a="1"/>
  <c r="V10" i="15" s="1"/>
  <c r="W10" i="15" a="1"/>
  <c r="W10" i="15" s="1"/>
  <c r="X10" i="15" a="1"/>
  <c r="X10" i="15" s="1"/>
  <c r="K11" i="15" a="1"/>
  <c r="K11" i="15" s="1"/>
  <c r="L11" i="15" a="1"/>
  <c r="L11" i="15" s="1"/>
  <c r="M11" i="15" a="1"/>
  <c r="M11" i="15" s="1"/>
  <c r="N11" i="15" a="1"/>
  <c r="N11" i="15" s="1"/>
  <c r="O11" i="15" a="1"/>
  <c r="O11" i="15" s="1"/>
  <c r="P11" i="15" a="1"/>
  <c r="P11" i="15" s="1"/>
  <c r="Q11" i="15" a="1"/>
  <c r="Q11" i="15" s="1"/>
  <c r="R11" i="15" a="1"/>
  <c r="R11" i="15" s="1"/>
  <c r="U11" i="15" a="1"/>
  <c r="U11" i="15" s="1"/>
  <c r="V11" i="15" a="1"/>
  <c r="V11" i="15" s="1"/>
  <c r="W11" i="15" a="1"/>
  <c r="W11" i="15" s="1"/>
  <c r="X11" i="15" a="1"/>
  <c r="X11" i="15" s="1"/>
  <c r="K12" i="15" a="1"/>
  <c r="K12" i="15" s="1"/>
  <c r="L12" i="15" a="1"/>
  <c r="L12" i="15" s="1"/>
  <c r="M12" i="15" a="1"/>
  <c r="M12" i="15" s="1"/>
  <c r="N12" i="15" a="1"/>
  <c r="N12" i="15" s="1"/>
  <c r="O12" i="15" a="1"/>
  <c r="O12" i="15" s="1"/>
  <c r="P12" i="15" a="1"/>
  <c r="P12" i="15" s="1"/>
  <c r="Q12" i="15" a="1"/>
  <c r="Q12" i="15" s="1"/>
  <c r="R12" i="15" a="1"/>
  <c r="R12" i="15" s="1"/>
  <c r="U12" i="15" a="1"/>
  <c r="U12" i="15" s="1"/>
  <c r="V12" i="15" a="1"/>
  <c r="V12" i="15" s="1"/>
  <c r="W12" i="15" a="1"/>
  <c r="W12" i="15" s="1"/>
  <c r="X12" i="15" a="1"/>
  <c r="X12" i="15" s="1"/>
  <c r="K13" i="15" a="1"/>
  <c r="K13" i="15" s="1"/>
  <c r="L13" i="15" a="1"/>
  <c r="L13" i="15" s="1"/>
  <c r="M13" i="15" a="1"/>
  <c r="M13" i="15" s="1"/>
  <c r="N13" i="15" a="1"/>
  <c r="N13" i="15" s="1"/>
  <c r="O13" i="15" a="1"/>
  <c r="O13" i="15" s="1"/>
  <c r="P13" i="15" a="1"/>
  <c r="P13" i="15" s="1"/>
  <c r="Q13" i="15" a="1"/>
  <c r="Q13" i="15" s="1"/>
  <c r="R13" i="15" a="1"/>
  <c r="R13" i="15" s="1"/>
  <c r="U13" i="15" a="1"/>
  <c r="U13" i="15" s="1"/>
  <c r="V13" i="15" a="1"/>
  <c r="V13" i="15" s="1"/>
  <c r="W13" i="15" a="1"/>
  <c r="W13" i="15" s="1"/>
  <c r="X13" i="15" a="1"/>
  <c r="X13" i="15" s="1"/>
  <c r="K14" i="15" a="1"/>
  <c r="K14" i="15" s="1"/>
  <c r="L14" i="15" a="1"/>
  <c r="L14" i="15" s="1"/>
  <c r="M14" i="15" a="1"/>
  <c r="M14" i="15" s="1"/>
  <c r="N14" i="15" a="1"/>
  <c r="N14" i="15" s="1"/>
  <c r="O14" i="15" a="1"/>
  <c r="O14" i="15" s="1"/>
  <c r="P14" i="15" a="1"/>
  <c r="P14" i="15" s="1"/>
  <c r="Q14" i="15" a="1"/>
  <c r="Q14" i="15" s="1"/>
  <c r="R14" i="15" a="1"/>
  <c r="R14" i="15" s="1"/>
  <c r="U14" i="15" a="1"/>
  <c r="U14" i="15" s="1"/>
  <c r="V14" i="15" a="1"/>
  <c r="V14" i="15" s="1"/>
  <c r="W14" i="15" a="1"/>
  <c r="W14" i="15" s="1"/>
  <c r="X14" i="15" a="1"/>
  <c r="X14" i="15" s="1"/>
  <c r="K15" i="15" a="1"/>
  <c r="K15" i="15" s="1"/>
  <c r="L15" i="15" a="1"/>
  <c r="L15" i="15" s="1"/>
  <c r="M15" i="15" a="1"/>
  <c r="M15" i="15" s="1"/>
  <c r="N15" i="15" a="1"/>
  <c r="N15" i="15" s="1"/>
  <c r="O15" i="15" a="1"/>
  <c r="O15" i="15" s="1"/>
  <c r="P15" i="15" a="1"/>
  <c r="P15" i="15" s="1"/>
  <c r="Q15" i="15" a="1"/>
  <c r="Q15" i="15" s="1"/>
  <c r="R15" i="15" a="1"/>
  <c r="R15" i="15" s="1"/>
  <c r="U15" i="15" a="1"/>
  <c r="U15" i="15" s="1"/>
  <c r="V15" i="15" a="1"/>
  <c r="V15" i="15" s="1"/>
  <c r="W15" i="15" a="1"/>
  <c r="W15" i="15" s="1"/>
  <c r="X15" i="15" a="1"/>
  <c r="X15" i="15" s="1"/>
  <c r="K16" i="15" a="1"/>
  <c r="K16" i="15" s="1"/>
  <c r="L16" i="15" a="1"/>
  <c r="L16" i="15" s="1"/>
  <c r="M16" i="15" a="1"/>
  <c r="M16" i="15" s="1"/>
  <c r="N16" i="15" a="1"/>
  <c r="N16" i="15" s="1"/>
  <c r="O16" i="15" a="1"/>
  <c r="O16" i="15" s="1"/>
  <c r="P16" i="15" a="1"/>
  <c r="P16" i="15" s="1"/>
  <c r="Q16" i="15" a="1"/>
  <c r="Q16" i="15" s="1"/>
  <c r="R16" i="15" a="1"/>
  <c r="R16" i="15" s="1"/>
  <c r="U16" i="15" a="1"/>
  <c r="U16" i="15" s="1"/>
  <c r="V16" i="15" a="1"/>
  <c r="V16" i="15" s="1"/>
  <c r="W16" i="15" a="1"/>
  <c r="W16" i="15" s="1"/>
  <c r="X16" i="15" a="1"/>
  <c r="X16" i="15" s="1"/>
  <c r="K17" i="15" a="1"/>
  <c r="K17" i="15" s="1"/>
  <c r="L17" i="15" a="1"/>
  <c r="L17" i="15" s="1"/>
  <c r="M17" i="15" a="1"/>
  <c r="M17" i="15" s="1"/>
  <c r="N17" i="15" a="1"/>
  <c r="N17" i="15" s="1"/>
  <c r="O17" i="15" a="1"/>
  <c r="O17" i="15" s="1"/>
  <c r="P17" i="15" a="1"/>
  <c r="P17" i="15" s="1"/>
  <c r="Q17" i="15" a="1"/>
  <c r="Q17" i="15" s="1"/>
  <c r="R17" i="15" a="1"/>
  <c r="R17" i="15" s="1"/>
  <c r="U17" i="15" a="1"/>
  <c r="U17" i="15" s="1"/>
  <c r="V17" i="15" a="1"/>
  <c r="V17" i="15" s="1"/>
  <c r="W17" i="15" a="1"/>
  <c r="W17" i="15" s="1"/>
  <c r="X17" i="15" a="1"/>
  <c r="X17" i="15" s="1"/>
  <c r="K18" i="15" a="1"/>
  <c r="K18" i="15" s="1"/>
  <c r="L18" i="15" a="1"/>
  <c r="L18" i="15" s="1"/>
  <c r="M18" i="15" a="1"/>
  <c r="M18" i="15" s="1"/>
  <c r="N18" i="15" a="1"/>
  <c r="N18" i="15" s="1"/>
  <c r="O18" i="15" a="1"/>
  <c r="O18" i="15" s="1"/>
  <c r="P18" i="15" a="1"/>
  <c r="P18" i="15" s="1"/>
  <c r="Q18" i="15" a="1"/>
  <c r="Q18" i="15" s="1"/>
  <c r="R18" i="15" a="1"/>
  <c r="R18" i="15" s="1"/>
  <c r="U18" i="15" a="1"/>
  <c r="U18" i="15" s="1"/>
  <c r="V18" i="15" a="1"/>
  <c r="V18" i="15" s="1"/>
  <c r="W18" i="15" a="1"/>
  <c r="W18" i="15" s="1"/>
  <c r="X18" i="15" a="1"/>
  <c r="X18" i="15" s="1"/>
  <c r="K19" i="15" a="1"/>
  <c r="K19" i="15" s="1"/>
  <c r="L19" i="15" a="1"/>
  <c r="L19" i="15" s="1"/>
  <c r="M19" i="15" a="1"/>
  <c r="M19" i="15" s="1"/>
  <c r="N19" i="15" a="1"/>
  <c r="N19" i="15" s="1"/>
  <c r="O19" i="15" a="1"/>
  <c r="O19" i="15" s="1"/>
  <c r="P19" i="15" a="1"/>
  <c r="P19" i="15" s="1"/>
  <c r="Q19" i="15" a="1"/>
  <c r="Q19" i="15" s="1"/>
  <c r="R19" i="15" a="1"/>
  <c r="R19" i="15" s="1"/>
  <c r="U19" i="15" a="1"/>
  <c r="U19" i="15" s="1"/>
  <c r="V19" i="15" a="1"/>
  <c r="V19" i="15" s="1"/>
  <c r="W19" i="15" a="1"/>
  <c r="W19" i="15" s="1"/>
  <c r="X19" i="15" a="1"/>
  <c r="X19" i="15" s="1"/>
  <c r="K20" i="15" a="1"/>
  <c r="K20" i="15" s="1"/>
  <c r="L20" i="15" a="1"/>
  <c r="L20" i="15" s="1"/>
  <c r="M20" i="15" a="1"/>
  <c r="M20" i="15" s="1"/>
  <c r="N20" i="15" a="1"/>
  <c r="N20" i="15" s="1"/>
  <c r="O20" i="15" a="1"/>
  <c r="O20" i="15" s="1"/>
  <c r="P20" i="15" a="1"/>
  <c r="P20" i="15" s="1"/>
  <c r="Q20" i="15" a="1"/>
  <c r="Q20" i="15" s="1"/>
  <c r="R20" i="15" a="1"/>
  <c r="R20" i="15" s="1"/>
  <c r="U20" i="15" a="1"/>
  <c r="U20" i="15" s="1"/>
  <c r="V20" i="15" a="1"/>
  <c r="V20" i="15" s="1"/>
  <c r="W20" i="15" a="1"/>
  <c r="W20" i="15" s="1"/>
  <c r="X20" i="15" a="1"/>
  <c r="X20" i="15" s="1"/>
  <c r="K21" i="15" a="1"/>
  <c r="K21" i="15" s="1"/>
  <c r="L21" i="15" a="1"/>
  <c r="L21" i="15" s="1"/>
  <c r="M21" i="15" a="1"/>
  <c r="M21" i="15" s="1"/>
  <c r="N21" i="15" a="1"/>
  <c r="N21" i="15" s="1"/>
  <c r="O21" i="15" a="1"/>
  <c r="O21" i="15" s="1"/>
  <c r="P21" i="15" a="1"/>
  <c r="P21" i="15" s="1"/>
  <c r="Q21" i="15" a="1"/>
  <c r="Q21" i="15" s="1"/>
  <c r="R21" i="15" a="1"/>
  <c r="R21" i="15" s="1"/>
  <c r="U21" i="15" a="1"/>
  <c r="U21" i="15" s="1"/>
  <c r="V21" i="15" a="1"/>
  <c r="V21" i="15" s="1"/>
  <c r="W21" i="15" a="1"/>
  <c r="W21" i="15" s="1"/>
  <c r="X21" i="15" a="1"/>
  <c r="X21" i="15" s="1"/>
  <c r="K22" i="15" a="1"/>
  <c r="K22" i="15" s="1"/>
  <c r="L22" i="15" a="1"/>
  <c r="L22" i="15" s="1"/>
  <c r="M22" i="15" a="1"/>
  <c r="M22" i="15" s="1"/>
  <c r="N22" i="15" a="1"/>
  <c r="N22" i="15" s="1"/>
  <c r="O22" i="15" a="1"/>
  <c r="O22" i="15" s="1"/>
  <c r="P22" i="15" a="1"/>
  <c r="P22" i="15" s="1"/>
  <c r="Q22" i="15" a="1"/>
  <c r="Q22" i="15" s="1"/>
  <c r="R22" i="15" a="1"/>
  <c r="R22" i="15" s="1"/>
  <c r="U22" i="15" a="1"/>
  <c r="U22" i="15" s="1"/>
  <c r="V22" i="15" a="1"/>
  <c r="V22" i="15" s="1"/>
  <c r="W22" i="15" a="1"/>
  <c r="W22" i="15" s="1"/>
  <c r="X22" i="15" a="1"/>
  <c r="X22" i="15" s="1"/>
  <c r="K23" i="15" a="1"/>
  <c r="K23" i="15" s="1"/>
  <c r="L23" i="15" a="1"/>
  <c r="L23" i="15" s="1"/>
  <c r="M23" i="15" a="1"/>
  <c r="M23" i="15" s="1"/>
  <c r="N23" i="15" a="1"/>
  <c r="N23" i="15" s="1"/>
  <c r="O23" i="15" a="1"/>
  <c r="O23" i="15" s="1"/>
  <c r="P23" i="15" a="1"/>
  <c r="P23" i="15" s="1"/>
  <c r="Q23" i="15" a="1"/>
  <c r="Q23" i="15" s="1"/>
  <c r="R23" i="15" a="1"/>
  <c r="R23" i="15" s="1"/>
  <c r="U23" i="15" a="1"/>
  <c r="U23" i="15" s="1"/>
  <c r="V23" i="15" a="1"/>
  <c r="V23" i="15" s="1"/>
  <c r="W23" i="15" a="1"/>
  <c r="W23" i="15" s="1"/>
  <c r="X23" i="15" a="1"/>
  <c r="X23" i="15" s="1"/>
  <c r="K24" i="15" a="1"/>
  <c r="K24" i="15" s="1"/>
  <c r="L24" i="15" a="1"/>
  <c r="L24" i="15" s="1"/>
  <c r="M24" i="15" a="1"/>
  <c r="M24" i="15" s="1"/>
  <c r="N24" i="15" a="1"/>
  <c r="N24" i="15" s="1"/>
  <c r="O24" i="15" a="1"/>
  <c r="O24" i="15" s="1"/>
  <c r="P24" i="15" a="1"/>
  <c r="P24" i="15" s="1"/>
  <c r="Q24" i="15" a="1"/>
  <c r="Q24" i="15" s="1"/>
  <c r="R24" i="15" a="1"/>
  <c r="R24" i="15" s="1"/>
  <c r="U24" i="15" a="1"/>
  <c r="U24" i="15" s="1"/>
  <c r="V24" i="15" a="1"/>
  <c r="V24" i="15" s="1"/>
  <c r="W24" i="15" a="1"/>
  <c r="W24" i="15" s="1"/>
  <c r="X24" i="15" a="1"/>
  <c r="X24" i="15" s="1"/>
  <c r="K25" i="15" a="1"/>
  <c r="K25" i="15" s="1"/>
  <c r="L25" i="15" a="1"/>
  <c r="L25" i="15" s="1"/>
  <c r="M25" i="15" a="1"/>
  <c r="M25" i="15" s="1"/>
  <c r="N25" i="15" a="1"/>
  <c r="N25" i="15" s="1"/>
  <c r="O25" i="15" a="1"/>
  <c r="O25" i="15" s="1"/>
  <c r="P25" i="15" a="1"/>
  <c r="P25" i="15" s="1"/>
  <c r="Q25" i="15" a="1"/>
  <c r="Q25" i="15" s="1"/>
  <c r="R25" i="15" a="1"/>
  <c r="R25" i="15" s="1"/>
  <c r="U25" i="15" a="1"/>
  <c r="U25" i="15" s="1"/>
  <c r="V25" i="15" a="1"/>
  <c r="V25" i="15" s="1"/>
  <c r="W25" i="15" a="1"/>
  <c r="W25" i="15" s="1"/>
  <c r="X25" i="15" a="1"/>
  <c r="X25" i="15" s="1"/>
  <c r="K26" i="15" a="1"/>
  <c r="K26" i="15" s="1"/>
  <c r="L26" i="15" a="1"/>
  <c r="L26" i="15" s="1"/>
  <c r="M26" i="15" a="1"/>
  <c r="M26" i="15" s="1"/>
  <c r="N26" i="15" a="1"/>
  <c r="N26" i="15" s="1"/>
  <c r="O26" i="15" a="1"/>
  <c r="O26" i="15" s="1"/>
  <c r="P26" i="15" a="1"/>
  <c r="P26" i="15" s="1"/>
  <c r="Q26" i="15" a="1"/>
  <c r="Q26" i="15" s="1"/>
  <c r="R26" i="15" a="1"/>
  <c r="R26" i="15" s="1"/>
  <c r="U26" i="15" a="1"/>
  <c r="U26" i="15" s="1"/>
  <c r="V26" i="15" a="1"/>
  <c r="V26" i="15" s="1"/>
  <c r="W26" i="15" a="1"/>
  <c r="W26" i="15" s="1"/>
  <c r="X26" i="15" a="1"/>
  <c r="X26" i="15" s="1"/>
  <c r="K27" i="15" a="1"/>
  <c r="K27" i="15" s="1"/>
  <c r="L27" i="15" a="1"/>
  <c r="L27" i="15" s="1"/>
  <c r="M27" i="15" a="1"/>
  <c r="M27" i="15" s="1"/>
  <c r="N27" i="15" a="1"/>
  <c r="N27" i="15" s="1"/>
  <c r="O27" i="15" a="1"/>
  <c r="O27" i="15" s="1"/>
  <c r="P27" i="15" a="1"/>
  <c r="P27" i="15" s="1"/>
  <c r="Q27" i="15" a="1"/>
  <c r="Q27" i="15" s="1"/>
  <c r="R27" i="15" a="1"/>
  <c r="R27" i="15" s="1"/>
  <c r="U27" i="15" a="1"/>
  <c r="U27" i="15" s="1"/>
  <c r="V27" i="15" a="1"/>
  <c r="V27" i="15" s="1"/>
  <c r="W27" i="15" a="1"/>
  <c r="W27" i="15" s="1"/>
  <c r="X27" i="15" a="1"/>
  <c r="X27" i="15" s="1"/>
  <c r="K28" i="15" a="1"/>
  <c r="K28" i="15" s="1"/>
  <c r="L28" i="15" a="1"/>
  <c r="L28" i="15" s="1"/>
  <c r="M28" i="15" a="1"/>
  <c r="M28" i="15" s="1"/>
  <c r="N28" i="15" a="1"/>
  <c r="N28" i="15" s="1"/>
  <c r="O28" i="15" a="1"/>
  <c r="O28" i="15" s="1"/>
  <c r="P28" i="15" a="1"/>
  <c r="P28" i="15" s="1"/>
  <c r="Q28" i="15" a="1"/>
  <c r="Q28" i="15" s="1"/>
  <c r="R28" i="15" a="1"/>
  <c r="R28" i="15" s="1"/>
  <c r="U28" i="15" a="1"/>
  <c r="U28" i="15" s="1"/>
  <c r="V28" i="15" a="1"/>
  <c r="V28" i="15" s="1"/>
  <c r="W28" i="15" a="1"/>
  <c r="W28" i="15" s="1"/>
  <c r="X28" i="15" a="1"/>
  <c r="X28" i="15" s="1"/>
  <c r="K29" i="15" a="1"/>
  <c r="K29" i="15" s="1"/>
  <c r="L29" i="15" a="1"/>
  <c r="L29" i="15" s="1"/>
  <c r="M29" i="15" a="1"/>
  <c r="M29" i="15" s="1"/>
  <c r="N29" i="15" a="1"/>
  <c r="N29" i="15" s="1"/>
  <c r="O29" i="15" a="1"/>
  <c r="O29" i="15" s="1"/>
  <c r="P29" i="15" a="1"/>
  <c r="P29" i="15" s="1"/>
  <c r="Q29" i="15" a="1"/>
  <c r="Q29" i="15" s="1"/>
  <c r="R29" i="15" a="1"/>
  <c r="R29" i="15" s="1"/>
  <c r="U29" i="15" a="1"/>
  <c r="U29" i="15" s="1"/>
  <c r="V29" i="15" a="1"/>
  <c r="V29" i="15" s="1"/>
  <c r="W29" i="15" a="1"/>
  <c r="W29" i="15" s="1"/>
  <c r="X29" i="15" a="1"/>
  <c r="X29" i="15" s="1"/>
  <c r="K30" i="15" a="1"/>
  <c r="K30" i="15" s="1"/>
  <c r="L30" i="15" a="1"/>
  <c r="L30" i="15" s="1"/>
  <c r="M30" i="15" a="1"/>
  <c r="M30" i="15" s="1"/>
  <c r="N30" i="15" a="1"/>
  <c r="N30" i="15" s="1"/>
  <c r="O30" i="15" a="1"/>
  <c r="O30" i="15" s="1"/>
  <c r="P30" i="15" a="1"/>
  <c r="P30" i="15" s="1"/>
  <c r="Q30" i="15" a="1"/>
  <c r="Q30" i="15" s="1"/>
  <c r="R30" i="15" a="1"/>
  <c r="R30" i="15" s="1"/>
  <c r="U30" i="15" a="1"/>
  <c r="U30" i="15" s="1"/>
  <c r="V30" i="15" a="1"/>
  <c r="V30" i="15" s="1"/>
  <c r="W30" i="15" a="1"/>
  <c r="W30" i="15" s="1"/>
  <c r="X30" i="15" a="1"/>
  <c r="X30" i="15" s="1"/>
  <c r="K31" i="15" a="1"/>
  <c r="K31" i="15" s="1"/>
  <c r="L31" i="15" a="1"/>
  <c r="L31" i="15" s="1"/>
  <c r="M31" i="15" a="1"/>
  <c r="M31" i="15" s="1"/>
  <c r="N31" i="15" a="1"/>
  <c r="N31" i="15" s="1"/>
  <c r="O31" i="15" a="1"/>
  <c r="O31" i="15" s="1"/>
  <c r="P31" i="15" a="1"/>
  <c r="P31" i="15" s="1"/>
  <c r="Q31" i="15" a="1"/>
  <c r="Q31" i="15" s="1"/>
  <c r="R31" i="15" a="1"/>
  <c r="R31" i="15" s="1"/>
  <c r="U31" i="15" a="1"/>
  <c r="U31" i="15" s="1"/>
  <c r="V31" i="15" a="1"/>
  <c r="V31" i="15" s="1"/>
  <c r="W31" i="15" a="1"/>
  <c r="W31" i="15" s="1"/>
  <c r="X31" i="15" a="1"/>
  <c r="X31" i="15" s="1"/>
  <c r="K32" i="15" a="1"/>
  <c r="K32" i="15" s="1"/>
  <c r="L32" i="15" a="1"/>
  <c r="L32" i="15" s="1"/>
  <c r="M32" i="15" a="1"/>
  <c r="M32" i="15" s="1"/>
  <c r="N32" i="15" a="1"/>
  <c r="N32" i="15" s="1"/>
  <c r="O32" i="15" a="1"/>
  <c r="O32" i="15" s="1"/>
  <c r="P32" i="15" a="1"/>
  <c r="P32" i="15" s="1"/>
  <c r="Q32" i="15" a="1"/>
  <c r="Q32" i="15" s="1"/>
  <c r="R32" i="15" a="1"/>
  <c r="R32" i="15" s="1"/>
  <c r="U32" i="15" a="1"/>
  <c r="U32" i="15" s="1"/>
  <c r="V32" i="15" a="1"/>
  <c r="V32" i="15" s="1"/>
  <c r="W32" i="15" a="1"/>
  <c r="W32" i="15" s="1"/>
  <c r="X32" i="15" a="1"/>
  <c r="X32" i="15" s="1"/>
  <c r="K33" i="15" a="1"/>
  <c r="K33" i="15" s="1"/>
  <c r="L33" i="15" a="1"/>
  <c r="L33" i="15" s="1"/>
  <c r="M33" i="15" a="1"/>
  <c r="M33" i="15" s="1"/>
  <c r="N33" i="15" a="1"/>
  <c r="N33" i="15" s="1"/>
  <c r="O33" i="15" a="1"/>
  <c r="O33" i="15" s="1"/>
  <c r="P33" i="15" a="1"/>
  <c r="P33" i="15" s="1"/>
  <c r="Q33" i="15" a="1"/>
  <c r="Q33" i="15" s="1"/>
  <c r="R33" i="15" a="1"/>
  <c r="R33" i="15" s="1"/>
  <c r="U33" i="15" a="1"/>
  <c r="U33" i="15" s="1"/>
  <c r="V33" i="15" a="1"/>
  <c r="V33" i="15" s="1"/>
  <c r="W33" i="15" a="1"/>
  <c r="W33" i="15" s="1"/>
  <c r="X33" i="15" a="1"/>
  <c r="X33" i="15" s="1"/>
  <c r="K34" i="15" a="1"/>
  <c r="K34" i="15" s="1"/>
  <c r="L34" i="15" a="1"/>
  <c r="L34" i="15" s="1"/>
  <c r="M34" i="15" a="1"/>
  <c r="M34" i="15" s="1"/>
  <c r="N34" i="15" a="1"/>
  <c r="N34" i="15" s="1"/>
  <c r="O34" i="15" a="1"/>
  <c r="O34" i="15" s="1"/>
  <c r="P34" i="15" a="1"/>
  <c r="P34" i="15" s="1"/>
  <c r="Q34" i="15" a="1"/>
  <c r="Q34" i="15" s="1"/>
  <c r="R34" i="15" a="1"/>
  <c r="R34" i="15" s="1"/>
  <c r="U34" i="15" a="1"/>
  <c r="U34" i="15" s="1"/>
  <c r="V34" i="15" a="1"/>
  <c r="V34" i="15" s="1"/>
  <c r="W34" i="15" a="1"/>
  <c r="W34" i="15" s="1"/>
  <c r="X34" i="15" a="1"/>
  <c r="X34" i="15" s="1"/>
  <c r="K35" i="15" a="1"/>
  <c r="K35" i="15" s="1"/>
  <c r="L35" i="15" a="1"/>
  <c r="L35" i="15" s="1"/>
  <c r="M35" i="15" a="1"/>
  <c r="M35" i="15" s="1"/>
  <c r="N35" i="15" a="1"/>
  <c r="N35" i="15" s="1"/>
  <c r="O35" i="15" a="1"/>
  <c r="O35" i="15" s="1"/>
  <c r="P35" i="15" a="1"/>
  <c r="P35" i="15" s="1"/>
  <c r="Q35" i="15" a="1"/>
  <c r="Q35" i="15" s="1"/>
  <c r="R35" i="15" a="1"/>
  <c r="R35" i="15" s="1"/>
  <c r="U35" i="15" a="1"/>
  <c r="U35" i="15" s="1"/>
  <c r="V35" i="15" a="1"/>
  <c r="V35" i="15" s="1"/>
  <c r="W35" i="15" a="1"/>
  <c r="W35" i="15" s="1"/>
  <c r="X35" i="15" a="1"/>
  <c r="X35" i="15" s="1"/>
  <c r="K36" i="15" a="1"/>
  <c r="K36" i="15" s="1"/>
  <c r="L36" i="15" a="1"/>
  <c r="L36" i="15" s="1"/>
  <c r="M36" i="15" a="1"/>
  <c r="M36" i="15" s="1"/>
  <c r="N36" i="15" a="1"/>
  <c r="N36" i="15" s="1"/>
  <c r="O36" i="15" a="1"/>
  <c r="O36" i="15" s="1"/>
  <c r="P36" i="15" a="1"/>
  <c r="P36" i="15" s="1"/>
  <c r="Q36" i="15" a="1"/>
  <c r="Q36" i="15" s="1"/>
  <c r="R36" i="15" a="1"/>
  <c r="R36" i="15" s="1"/>
  <c r="U36" i="15" a="1"/>
  <c r="U36" i="15" s="1"/>
  <c r="V36" i="15" a="1"/>
  <c r="V36" i="15" s="1"/>
  <c r="W36" i="15" a="1"/>
  <c r="W36" i="15" s="1"/>
  <c r="X36" i="15" a="1"/>
  <c r="X36" i="15" s="1"/>
  <c r="K37" i="15" a="1"/>
  <c r="K37" i="15" s="1"/>
  <c r="L37" i="15" a="1"/>
  <c r="L37" i="15" s="1"/>
  <c r="M37" i="15" a="1"/>
  <c r="M37" i="15" s="1"/>
  <c r="N37" i="15" a="1"/>
  <c r="N37" i="15" s="1"/>
  <c r="O37" i="15" a="1"/>
  <c r="O37" i="15" s="1"/>
  <c r="P37" i="15" a="1"/>
  <c r="P37" i="15" s="1"/>
  <c r="Q37" i="15" a="1"/>
  <c r="Q37" i="15" s="1"/>
  <c r="R37" i="15" a="1"/>
  <c r="R37" i="15" s="1"/>
  <c r="U37" i="15" a="1"/>
  <c r="U37" i="15" s="1"/>
  <c r="V37" i="15" a="1"/>
  <c r="V37" i="15" s="1"/>
  <c r="W37" i="15" a="1"/>
  <c r="W37" i="15" s="1"/>
  <c r="X37" i="15" a="1"/>
  <c r="X37" i="15" s="1"/>
  <c r="K38" i="15" a="1"/>
  <c r="K38" i="15" s="1"/>
  <c r="L38" i="15" a="1"/>
  <c r="L38" i="15" s="1"/>
  <c r="M38" i="15" a="1"/>
  <c r="M38" i="15" s="1"/>
  <c r="N38" i="15" a="1"/>
  <c r="N38" i="15" s="1"/>
  <c r="O38" i="15" a="1"/>
  <c r="O38" i="15" s="1"/>
  <c r="P38" i="15" a="1"/>
  <c r="P38" i="15" s="1"/>
  <c r="Q38" i="15" a="1"/>
  <c r="Q38" i="15" s="1"/>
  <c r="R38" i="15" a="1"/>
  <c r="R38" i="15" s="1"/>
  <c r="U38" i="15" a="1"/>
  <c r="U38" i="15" s="1"/>
  <c r="V38" i="15" a="1"/>
  <c r="V38" i="15" s="1"/>
  <c r="W38" i="15" a="1"/>
  <c r="W38" i="15" s="1"/>
  <c r="X38" i="15" a="1"/>
  <c r="X38" i="15" s="1"/>
  <c r="K39" i="15" a="1"/>
  <c r="K39" i="15" s="1"/>
  <c r="L39" i="15" a="1"/>
  <c r="L39" i="15" s="1"/>
  <c r="M39" i="15" a="1"/>
  <c r="M39" i="15" s="1"/>
  <c r="N39" i="15" a="1"/>
  <c r="N39" i="15" s="1"/>
  <c r="O39" i="15" a="1"/>
  <c r="O39" i="15" s="1"/>
  <c r="P39" i="15" a="1"/>
  <c r="P39" i="15" s="1"/>
  <c r="Q39" i="15" a="1"/>
  <c r="Q39" i="15" s="1"/>
  <c r="R39" i="15" a="1"/>
  <c r="R39" i="15" s="1"/>
  <c r="U39" i="15" a="1"/>
  <c r="U39" i="15" s="1"/>
  <c r="V39" i="15" a="1"/>
  <c r="V39" i="15" s="1"/>
  <c r="W39" i="15" a="1"/>
  <c r="W39" i="15" s="1"/>
  <c r="X39" i="15" a="1"/>
  <c r="X39" i="15" s="1"/>
  <c r="K40" i="15" a="1"/>
  <c r="K40" i="15" s="1"/>
  <c r="L40" i="15" a="1"/>
  <c r="L40" i="15" s="1"/>
  <c r="M40" i="15" a="1"/>
  <c r="M40" i="15" s="1"/>
  <c r="N40" i="15" a="1"/>
  <c r="N40" i="15" s="1"/>
  <c r="O40" i="15" a="1"/>
  <c r="O40" i="15" s="1"/>
  <c r="P40" i="15" a="1"/>
  <c r="P40" i="15" s="1"/>
  <c r="Q40" i="15" a="1"/>
  <c r="Q40" i="15" s="1"/>
  <c r="R40" i="15" a="1"/>
  <c r="R40" i="15" s="1"/>
  <c r="U40" i="15" a="1"/>
  <c r="U40" i="15" s="1"/>
  <c r="V40" i="15" a="1"/>
  <c r="V40" i="15" s="1"/>
  <c r="W40" i="15" a="1"/>
  <c r="W40" i="15" s="1"/>
  <c r="X40" i="15" a="1"/>
  <c r="X40" i="15" s="1"/>
  <c r="K41" i="15" a="1"/>
  <c r="K41" i="15" s="1"/>
  <c r="L41" i="15" a="1"/>
  <c r="L41" i="15" s="1"/>
  <c r="M41" i="15" a="1"/>
  <c r="M41" i="15" s="1"/>
  <c r="N41" i="15" a="1"/>
  <c r="N41" i="15" s="1"/>
  <c r="O41" i="15" a="1"/>
  <c r="O41" i="15" s="1"/>
  <c r="P41" i="15" a="1"/>
  <c r="P41" i="15" s="1"/>
  <c r="Q41" i="15" a="1"/>
  <c r="Q41" i="15" s="1"/>
  <c r="R41" i="15" a="1"/>
  <c r="R41" i="15" s="1"/>
  <c r="U41" i="15" a="1"/>
  <c r="U41" i="15" s="1"/>
  <c r="V41" i="15" a="1"/>
  <c r="V41" i="15" s="1"/>
  <c r="W41" i="15" a="1"/>
  <c r="W41" i="15" s="1"/>
  <c r="X41" i="15" a="1"/>
  <c r="X41" i="15" s="1"/>
  <c r="K42" i="15" a="1"/>
  <c r="K42" i="15" s="1"/>
  <c r="L42" i="15" a="1"/>
  <c r="L42" i="15" s="1"/>
  <c r="M42" i="15" a="1"/>
  <c r="M42" i="15" s="1"/>
  <c r="N42" i="15" a="1"/>
  <c r="N42" i="15" s="1"/>
  <c r="O42" i="15" a="1"/>
  <c r="O42" i="15" s="1"/>
  <c r="P42" i="15" a="1"/>
  <c r="P42" i="15" s="1"/>
  <c r="Q42" i="15" a="1"/>
  <c r="Q42" i="15" s="1"/>
  <c r="R42" i="15" a="1"/>
  <c r="R42" i="15" s="1"/>
  <c r="U42" i="15" a="1"/>
  <c r="U42" i="15" s="1"/>
  <c r="V42" i="15" a="1"/>
  <c r="V42" i="15" s="1"/>
  <c r="W42" i="15" a="1"/>
  <c r="W42" i="15" s="1"/>
  <c r="X42" i="15" a="1"/>
  <c r="X42" i="15" s="1"/>
  <c r="K43" i="15" a="1"/>
  <c r="K43" i="15" s="1"/>
  <c r="L43" i="15" a="1"/>
  <c r="L43" i="15" s="1"/>
  <c r="M43" i="15" a="1"/>
  <c r="M43" i="15" s="1"/>
  <c r="N43" i="15" a="1"/>
  <c r="N43" i="15" s="1"/>
  <c r="O43" i="15" a="1"/>
  <c r="O43" i="15" s="1"/>
  <c r="P43" i="15" a="1"/>
  <c r="P43" i="15" s="1"/>
  <c r="Q43" i="15" a="1"/>
  <c r="Q43" i="15" s="1"/>
  <c r="R43" i="15" a="1"/>
  <c r="R43" i="15" s="1"/>
  <c r="U43" i="15" a="1"/>
  <c r="U43" i="15" s="1"/>
  <c r="V43" i="15" a="1"/>
  <c r="V43" i="15" s="1"/>
  <c r="W43" i="15" a="1"/>
  <c r="W43" i="15" s="1"/>
  <c r="X43" i="15" a="1"/>
  <c r="X43" i="15" s="1"/>
  <c r="K44" i="15" a="1"/>
  <c r="K44" i="15" s="1"/>
  <c r="L44" i="15" a="1"/>
  <c r="L44" i="15" s="1"/>
  <c r="M44" i="15" a="1"/>
  <c r="M44" i="15" s="1"/>
  <c r="N44" i="15" a="1"/>
  <c r="N44" i="15" s="1"/>
  <c r="O44" i="15" a="1"/>
  <c r="O44" i="15" s="1"/>
  <c r="P44" i="15" a="1"/>
  <c r="P44" i="15" s="1"/>
  <c r="Q44" i="15" a="1"/>
  <c r="Q44" i="15" s="1"/>
  <c r="R44" i="15" a="1"/>
  <c r="R44" i="15" s="1"/>
  <c r="U44" i="15" a="1"/>
  <c r="U44" i="15" s="1"/>
  <c r="V44" i="15" a="1"/>
  <c r="V44" i="15" s="1"/>
  <c r="W44" i="15" a="1"/>
  <c r="W44" i="15" s="1"/>
  <c r="X44" i="15" a="1"/>
  <c r="X44" i="15" s="1"/>
  <c r="K45" i="15" a="1"/>
  <c r="K45" i="15" s="1"/>
  <c r="L45" i="15" a="1"/>
  <c r="L45" i="15" s="1"/>
  <c r="M45" i="15" a="1"/>
  <c r="M45" i="15" s="1"/>
  <c r="N45" i="15" a="1"/>
  <c r="N45" i="15" s="1"/>
  <c r="O45" i="15" a="1"/>
  <c r="O45" i="15" s="1"/>
  <c r="P45" i="15" a="1"/>
  <c r="P45" i="15" s="1"/>
  <c r="Q45" i="15" a="1"/>
  <c r="Q45" i="15" s="1"/>
  <c r="R45" i="15" a="1"/>
  <c r="R45" i="15" s="1"/>
  <c r="U45" i="15" a="1"/>
  <c r="U45" i="15" s="1"/>
  <c r="V45" i="15" a="1"/>
  <c r="V45" i="15" s="1"/>
  <c r="W45" i="15" a="1"/>
  <c r="W45" i="15" s="1"/>
  <c r="X45" i="15" a="1"/>
  <c r="X45" i="15" s="1"/>
  <c r="K46" i="15" a="1"/>
  <c r="K46" i="15" s="1"/>
  <c r="L46" i="15" a="1"/>
  <c r="L46" i="15" s="1"/>
  <c r="M46" i="15" a="1"/>
  <c r="M46" i="15" s="1"/>
  <c r="N46" i="15" a="1"/>
  <c r="N46" i="15" s="1"/>
  <c r="O46" i="15" a="1"/>
  <c r="O46" i="15" s="1"/>
  <c r="P46" i="15" a="1"/>
  <c r="P46" i="15" s="1"/>
  <c r="Q46" i="15" a="1"/>
  <c r="Q46" i="15" s="1"/>
  <c r="R46" i="15" a="1"/>
  <c r="R46" i="15" s="1"/>
  <c r="U46" i="15" a="1"/>
  <c r="U46" i="15" s="1"/>
  <c r="V46" i="15" a="1"/>
  <c r="V46" i="15" s="1"/>
  <c r="W46" i="15" a="1"/>
  <c r="W46" i="15" s="1"/>
  <c r="X46" i="15" a="1"/>
  <c r="X46" i="15" s="1"/>
  <c r="K47" i="15" a="1"/>
  <c r="K47" i="15" s="1"/>
  <c r="L47" i="15" a="1"/>
  <c r="L47" i="15" s="1"/>
  <c r="M47" i="15" a="1"/>
  <c r="M47" i="15" s="1"/>
  <c r="N47" i="15" a="1"/>
  <c r="N47" i="15" s="1"/>
  <c r="O47" i="15" a="1"/>
  <c r="O47" i="15" s="1"/>
  <c r="P47" i="15" a="1"/>
  <c r="P47" i="15" s="1"/>
  <c r="Q47" i="15" a="1"/>
  <c r="Q47" i="15" s="1"/>
  <c r="R47" i="15" a="1"/>
  <c r="R47" i="15" s="1"/>
  <c r="U47" i="15" a="1"/>
  <c r="U47" i="15" s="1"/>
  <c r="V47" i="15" a="1"/>
  <c r="V47" i="15" s="1"/>
  <c r="W47" i="15" a="1"/>
  <c r="W47" i="15" s="1"/>
  <c r="X47" i="15" a="1"/>
  <c r="X47" i="15" s="1"/>
  <c r="K48" i="15" a="1"/>
  <c r="K48" i="15" s="1"/>
  <c r="L48" i="15" a="1"/>
  <c r="L48" i="15" s="1"/>
  <c r="M48" i="15" a="1"/>
  <c r="M48" i="15" s="1"/>
  <c r="N48" i="15" a="1"/>
  <c r="N48" i="15" s="1"/>
  <c r="O48" i="15" a="1"/>
  <c r="O48" i="15" s="1"/>
  <c r="P48" i="15" a="1"/>
  <c r="P48" i="15" s="1"/>
  <c r="Q48" i="15" a="1"/>
  <c r="Q48" i="15" s="1"/>
  <c r="R48" i="15" a="1"/>
  <c r="R48" i="15" s="1"/>
  <c r="U48" i="15" a="1"/>
  <c r="U48" i="15" s="1"/>
  <c r="V48" i="15" a="1"/>
  <c r="V48" i="15" s="1"/>
  <c r="W48" i="15" a="1"/>
  <c r="W48" i="15" s="1"/>
  <c r="X48" i="15" a="1"/>
  <c r="X48" i="15" s="1"/>
  <c r="K49" i="15" a="1"/>
  <c r="K49" i="15" s="1"/>
  <c r="L49" i="15" a="1"/>
  <c r="L49" i="15" s="1"/>
  <c r="M49" i="15" a="1"/>
  <c r="M49" i="15" s="1"/>
  <c r="N49" i="15" a="1"/>
  <c r="N49" i="15" s="1"/>
  <c r="O49" i="15" a="1"/>
  <c r="O49" i="15" s="1"/>
  <c r="P49" i="15" a="1"/>
  <c r="P49" i="15" s="1"/>
  <c r="Q49" i="15" a="1"/>
  <c r="Q49" i="15" s="1"/>
  <c r="R49" i="15" a="1"/>
  <c r="R49" i="15" s="1"/>
  <c r="U49" i="15" a="1"/>
  <c r="U49" i="15" s="1"/>
  <c r="V49" i="15" a="1"/>
  <c r="V49" i="15" s="1"/>
  <c r="W49" i="15" a="1"/>
  <c r="W49" i="15" s="1"/>
  <c r="X49" i="15" a="1"/>
  <c r="X49" i="15" s="1"/>
  <c r="K50" i="15" a="1"/>
  <c r="K50" i="15" s="1"/>
  <c r="L50" i="15" a="1"/>
  <c r="L50" i="15" s="1"/>
  <c r="M50" i="15" a="1"/>
  <c r="M50" i="15" s="1"/>
  <c r="N50" i="15" a="1"/>
  <c r="N50" i="15" s="1"/>
  <c r="O50" i="15" a="1"/>
  <c r="O50" i="15" s="1"/>
  <c r="P50" i="15" a="1"/>
  <c r="P50" i="15" s="1"/>
  <c r="Q50" i="15" a="1"/>
  <c r="Q50" i="15" s="1"/>
  <c r="R50" i="15" a="1"/>
  <c r="R50" i="15" s="1"/>
  <c r="U50" i="15" a="1"/>
  <c r="U50" i="15" s="1"/>
  <c r="V50" i="15" a="1"/>
  <c r="V50" i="15" s="1"/>
  <c r="W50" i="15" a="1"/>
  <c r="W50" i="15" s="1"/>
  <c r="X50" i="15" a="1"/>
  <c r="X50" i="15" s="1"/>
  <c r="K51" i="15" a="1"/>
  <c r="K51" i="15" s="1"/>
  <c r="L51" i="15" a="1"/>
  <c r="L51" i="15" s="1"/>
  <c r="M51" i="15" a="1"/>
  <c r="M51" i="15" s="1"/>
  <c r="N51" i="15" a="1"/>
  <c r="N51" i="15" s="1"/>
  <c r="O51" i="15" a="1"/>
  <c r="O51" i="15" s="1"/>
  <c r="P51" i="15" a="1"/>
  <c r="P51" i="15" s="1"/>
  <c r="Q51" i="15" a="1"/>
  <c r="Q51" i="15" s="1"/>
  <c r="R51" i="15" a="1"/>
  <c r="R51" i="15" s="1"/>
  <c r="U51" i="15" a="1"/>
  <c r="U51" i="15" s="1"/>
  <c r="V51" i="15" a="1"/>
  <c r="V51" i="15" s="1"/>
  <c r="W51" i="15" a="1"/>
  <c r="W51" i="15" s="1"/>
  <c r="X51" i="15" a="1"/>
  <c r="X51" i="15" s="1"/>
  <c r="K52" i="15" a="1"/>
  <c r="K52" i="15" s="1"/>
  <c r="L52" i="15" a="1"/>
  <c r="L52" i="15" s="1"/>
  <c r="M52" i="15" a="1"/>
  <c r="M52" i="15" s="1"/>
  <c r="N52" i="15" a="1"/>
  <c r="N52" i="15" s="1"/>
  <c r="O52" i="15" a="1"/>
  <c r="O52" i="15" s="1"/>
  <c r="P52" i="15" a="1"/>
  <c r="P52" i="15" s="1"/>
  <c r="Q52" i="15" a="1"/>
  <c r="Q52" i="15" s="1"/>
  <c r="R52" i="15" a="1"/>
  <c r="R52" i="15" s="1"/>
  <c r="U52" i="15" a="1"/>
  <c r="U52" i="15" s="1"/>
  <c r="V52" i="15" a="1"/>
  <c r="V52" i="15" s="1"/>
  <c r="W52" i="15" a="1"/>
  <c r="W52" i="15" s="1"/>
  <c r="X52" i="15" a="1"/>
  <c r="X52" i="15" s="1"/>
  <c r="K53" i="15" a="1"/>
  <c r="K53" i="15" s="1"/>
  <c r="L53" i="15" a="1"/>
  <c r="L53" i="15" s="1"/>
  <c r="M53" i="15" a="1"/>
  <c r="M53" i="15" s="1"/>
  <c r="N53" i="15" a="1"/>
  <c r="N53" i="15" s="1"/>
  <c r="O53" i="15" a="1"/>
  <c r="O53" i="15" s="1"/>
  <c r="P53" i="15" a="1"/>
  <c r="P53" i="15" s="1"/>
  <c r="Q53" i="15" a="1"/>
  <c r="Q53" i="15" s="1"/>
  <c r="R53" i="15" a="1"/>
  <c r="R53" i="15" s="1"/>
  <c r="U53" i="15" a="1"/>
  <c r="U53" i="15" s="1"/>
  <c r="V53" i="15" a="1"/>
  <c r="V53" i="15" s="1"/>
  <c r="W53" i="15" a="1"/>
  <c r="W53" i="15" s="1"/>
  <c r="X53" i="15" a="1"/>
  <c r="X53" i="15" s="1"/>
  <c r="K54" i="15" a="1"/>
  <c r="K54" i="15" s="1"/>
  <c r="L54" i="15" a="1"/>
  <c r="L54" i="15" s="1"/>
  <c r="M54" i="15" a="1"/>
  <c r="M54" i="15" s="1"/>
  <c r="N54" i="15" a="1"/>
  <c r="N54" i="15" s="1"/>
  <c r="O54" i="15" a="1"/>
  <c r="O54" i="15" s="1"/>
  <c r="P54" i="15" a="1"/>
  <c r="P54" i="15" s="1"/>
  <c r="Q54" i="15" a="1"/>
  <c r="Q54" i="15" s="1"/>
  <c r="R54" i="15" a="1"/>
  <c r="R54" i="15" s="1"/>
  <c r="U54" i="15" a="1"/>
  <c r="U54" i="15" s="1"/>
  <c r="V54" i="15" a="1"/>
  <c r="V54" i="15" s="1"/>
  <c r="W54" i="15" a="1"/>
  <c r="W54" i="15" s="1"/>
  <c r="X54" i="15" a="1"/>
  <c r="X54" i="15" s="1"/>
  <c r="K55" i="15" a="1"/>
  <c r="K55" i="15" s="1"/>
  <c r="L55" i="15" a="1"/>
  <c r="L55" i="15" s="1"/>
  <c r="M55" i="15" a="1"/>
  <c r="M55" i="15" s="1"/>
  <c r="N55" i="15" a="1"/>
  <c r="N55" i="15" s="1"/>
  <c r="O55" i="15" a="1"/>
  <c r="O55" i="15" s="1"/>
  <c r="P55" i="15" a="1"/>
  <c r="P55" i="15" s="1"/>
  <c r="Q55" i="15" a="1"/>
  <c r="Q55" i="15" s="1"/>
  <c r="R55" i="15" a="1"/>
  <c r="R55" i="15" s="1"/>
  <c r="U55" i="15" a="1"/>
  <c r="U55" i="15" s="1"/>
  <c r="V55" i="15" a="1"/>
  <c r="V55" i="15" s="1"/>
  <c r="W55" i="15" a="1"/>
  <c r="W55" i="15" s="1"/>
  <c r="X55" i="15" a="1"/>
  <c r="X55" i="15" s="1"/>
  <c r="K56" i="15" a="1"/>
  <c r="K56" i="15" s="1"/>
  <c r="L56" i="15" a="1"/>
  <c r="L56" i="15" s="1"/>
  <c r="M56" i="15" a="1"/>
  <c r="M56" i="15" s="1"/>
  <c r="N56" i="15" a="1"/>
  <c r="N56" i="15" s="1"/>
  <c r="O56" i="15" a="1"/>
  <c r="O56" i="15" s="1"/>
  <c r="P56" i="15" a="1"/>
  <c r="P56" i="15" s="1"/>
  <c r="Q56" i="15" a="1"/>
  <c r="Q56" i="15" s="1"/>
  <c r="R56" i="15" a="1"/>
  <c r="R56" i="15" s="1"/>
  <c r="U56" i="15" a="1"/>
  <c r="U56" i="15" s="1"/>
  <c r="V56" i="15" a="1"/>
  <c r="V56" i="15" s="1"/>
  <c r="W56" i="15" a="1"/>
  <c r="W56" i="15" s="1"/>
  <c r="X56" i="15" a="1"/>
  <c r="X56" i="15" s="1"/>
  <c r="K57" i="15" a="1"/>
  <c r="K57" i="15" s="1"/>
  <c r="L57" i="15" a="1"/>
  <c r="L57" i="15" s="1"/>
  <c r="M57" i="15" a="1"/>
  <c r="M57" i="15" s="1"/>
  <c r="N57" i="15" a="1"/>
  <c r="N57" i="15" s="1"/>
  <c r="O57" i="15" a="1"/>
  <c r="O57" i="15" s="1"/>
  <c r="P57" i="15" a="1"/>
  <c r="P57" i="15" s="1"/>
  <c r="Q57" i="15" a="1"/>
  <c r="Q57" i="15" s="1"/>
  <c r="R57" i="15" a="1"/>
  <c r="R57" i="15" s="1"/>
  <c r="U57" i="15" a="1"/>
  <c r="U57" i="15" s="1"/>
  <c r="V57" i="15" a="1"/>
  <c r="V57" i="15" s="1"/>
  <c r="W57" i="15" a="1"/>
  <c r="W57" i="15" s="1"/>
  <c r="X57" i="15" a="1"/>
  <c r="X57" i="15" s="1"/>
  <c r="K58" i="15" a="1"/>
  <c r="K58" i="15" s="1"/>
  <c r="L58" i="15" a="1"/>
  <c r="L58" i="15" s="1"/>
  <c r="M58" i="15" a="1"/>
  <c r="M58" i="15" s="1"/>
  <c r="N58" i="15" a="1"/>
  <c r="N58" i="15" s="1"/>
  <c r="O58" i="15" a="1"/>
  <c r="O58" i="15" s="1"/>
  <c r="P58" i="15" a="1"/>
  <c r="P58" i="15" s="1"/>
  <c r="Q58" i="15" a="1"/>
  <c r="Q58" i="15" s="1"/>
  <c r="R58" i="15" a="1"/>
  <c r="R58" i="15" s="1"/>
  <c r="U58" i="15" a="1"/>
  <c r="U58" i="15" s="1"/>
  <c r="V58" i="15" a="1"/>
  <c r="V58" i="15" s="1"/>
  <c r="W58" i="15" a="1"/>
  <c r="W58" i="15" s="1"/>
  <c r="X58" i="15" a="1"/>
  <c r="X58" i="15" s="1"/>
  <c r="K59" i="15" a="1"/>
  <c r="K59" i="15" s="1"/>
  <c r="L59" i="15" a="1"/>
  <c r="L59" i="15" s="1"/>
  <c r="M59" i="15" a="1"/>
  <c r="M59" i="15" s="1"/>
  <c r="N59" i="15" a="1"/>
  <c r="N59" i="15" s="1"/>
  <c r="O59" i="15" a="1"/>
  <c r="O59" i="15" s="1"/>
  <c r="P59" i="15" a="1"/>
  <c r="P59" i="15" s="1"/>
  <c r="Q59" i="15" a="1"/>
  <c r="Q59" i="15" s="1"/>
  <c r="R59" i="15" a="1"/>
  <c r="R59" i="15" s="1"/>
  <c r="U59" i="15" a="1"/>
  <c r="U59" i="15" s="1"/>
  <c r="V59" i="15" a="1"/>
  <c r="V59" i="15" s="1"/>
  <c r="W59" i="15" a="1"/>
  <c r="W59" i="15" s="1"/>
  <c r="X59" i="15" a="1"/>
  <c r="X59" i="15" s="1"/>
  <c r="K60" i="15" a="1"/>
  <c r="K60" i="15" s="1"/>
  <c r="L60" i="15" a="1"/>
  <c r="L60" i="15" s="1"/>
  <c r="M60" i="15" a="1"/>
  <c r="M60" i="15" s="1"/>
  <c r="N60" i="15" a="1"/>
  <c r="N60" i="15" s="1"/>
  <c r="O60" i="15" a="1"/>
  <c r="O60" i="15" s="1"/>
  <c r="P60" i="15" a="1"/>
  <c r="P60" i="15" s="1"/>
  <c r="Q60" i="15" a="1"/>
  <c r="Q60" i="15" s="1"/>
  <c r="R60" i="15" a="1"/>
  <c r="R60" i="15" s="1"/>
  <c r="U60" i="15" a="1"/>
  <c r="U60" i="15" s="1"/>
  <c r="V60" i="15" a="1"/>
  <c r="V60" i="15" s="1"/>
  <c r="W60" i="15" a="1"/>
  <c r="W60" i="15" s="1"/>
  <c r="X60" i="15" a="1"/>
  <c r="X60" i="15" s="1"/>
  <c r="K61" i="15" a="1"/>
  <c r="K61" i="15" s="1"/>
  <c r="L61" i="15" a="1"/>
  <c r="L61" i="15" s="1"/>
  <c r="M61" i="15" a="1"/>
  <c r="M61" i="15" s="1"/>
  <c r="N61" i="15" a="1"/>
  <c r="N61" i="15" s="1"/>
  <c r="O61" i="15" a="1"/>
  <c r="O61" i="15" s="1"/>
  <c r="P61" i="15" a="1"/>
  <c r="P61" i="15" s="1"/>
  <c r="Q61" i="15" a="1"/>
  <c r="Q61" i="15" s="1"/>
  <c r="R61" i="15" a="1"/>
  <c r="R61" i="15" s="1"/>
  <c r="U61" i="15" a="1"/>
  <c r="U61" i="15" s="1"/>
  <c r="V61" i="15" a="1"/>
  <c r="V61" i="15" s="1"/>
  <c r="W61" i="15" a="1"/>
  <c r="W61" i="15" s="1"/>
  <c r="X61" i="15" a="1"/>
  <c r="X61" i="15" s="1"/>
  <c r="K62" i="15" a="1"/>
  <c r="K62" i="15" s="1"/>
  <c r="L62" i="15" a="1"/>
  <c r="L62" i="15" s="1"/>
  <c r="M62" i="15" a="1"/>
  <c r="M62" i="15" s="1"/>
  <c r="N62" i="15" a="1"/>
  <c r="N62" i="15" s="1"/>
  <c r="O62" i="15" a="1"/>
  <c r="O62" i="15" s="1"/>
  <c r="P62" i="15" a="1"/>
  <c r="P62" i="15" s="1"/>
  <c r="Q62" i="15" a="1"/>
  <c r="Q62" i="15" s="1"/>
  <c r="R62" i="15" a="1"/>
  <c r="R62" i="15" s="1"/>
  <c r="U62" i="15" a="1"/>
  <c r="U62" i="15" s="1"/>
  <c r="V62" i="15" a="1"/>
  <c r="V62" i="15" s="1"/>
  <c r="W62" i="15" a="1"/>
  <c r="W62" i="15" s="1"/>
  <c r="X62" i="15" a="1"/>
  <c r="X62" i="15" s="1"/>
  <c r="K63" i="15" a="1"/>
  <c r="K63" i="15" s="1"/>
  <c r="L63" i="15" a="1"/>
  <c r="L63" i="15" s="1"/>
  <c r="M63" i="15" a="1"/>
  <c r="M63" i="15" s="1"/>
  <c r="N63" i="15" a="1"/>
  <c r="N63" i="15" s="1"/>
  <c r="O63" i="15" a="1"/>
  <c r="O63" i="15" s="1"/>
  <c r="P63" i="15" a="1"/>
  <c r="P63" i="15" s="1"/>
  <c r="Q63" i="15" a="1"/>
  <c r="Q63" i="15" s="1"/>
  <c r="R63" i="15" a="1"/>
  <c r="R63" i="15" s="1"/>
  <c r="U63" i="15" a="1"/>
  <c r="U63" i="15" s="1"/>
  <c r="V63" i="15" a="1"/>
  <c r="V63" i="15" s="1"/>
  <c r="W63" i="15" a="1"/>
  <c r="W63" i="15" s="1"/>
  <c r="X63" i="15" a="1"/>
  <c r="X63" i="15" s="1"/>
  <c r="K64" i="15" a="1"/>
  <c r="K64" i="15" s="1"/>
  <c r="L64" i="15" a="1"/>
  <c r="L64" i="15" s="1"/>
  <c r="M64" i="15" a="1"/>
  <c r="M64" i="15" s="1"/>
  <c r="N64" i="15" a="1"/>
  <c r="N64" i="15" s="1"/>
  <c r="O64" i="15" a="1"/>
  <c r="O64" i="15" s="1"/>
  <c r="P64" i="15" a="1"/>
  <c r="P64" i="15" s="1"/>
  <c r="Q64" i="15" a="1"/>
  <c r="Q64" i="15" s="1"/>
  <c r="R64" i="15" a="1"/>
  <c r="R64" i="15" s="1"/>
  <c r="U64" i="15" a="1"/>
  <c r="U64" i="15" s="1"/>
  <c r="V64" i="15" a="1"/>
  <c r="V64" i="15" s="1"/>
  <c r="W64" i="15" a="1"/>
  <c r="W64" i="15" s="1"/>
  <c r="X64" i="15" a="1"/>
  <c r="X64" i="15" s="1"/>
  <c r="K65" i="15" a="1"/>
  <c r="K65" i="15" s="1"/>
  <c r="L65" i="15" a="1"/>
  <c r="L65" i="15" s="1"/>
  <c r="M65" i="15" a="1"/>
  <c r="M65" i="15" s="1"/>
  <c r="N65" i="15" a="1"/>
  <c r="N65" i="15" s="1"/>
  <c r="O65" i="15" a="1"/>
  <c r="O65" i="15" s="1"/>
  <c r="P65" i="15" a="1"/>
  <c r="P65" i="15" s="1"/>
  <c r="Q65" i="15" a="1"/>
  <c r="Q65" i="15" s="1"/>
  <c r="R65" i="15" a="1"/>
  <c r="R65" i="15" s="1"/>
  <c r="U65" i="15" a="1"/>
  <c r="U65" i="15" s="1"/>
  <c r="V65" i="15" a="1"/>
  <c r="V65" i="15" s="1"/>
  <c r="W65" i="15" a="1"/>
  <c r="W65" i="15" s="1"/>
  <c r="X65" i="15" a="1"/>
  <c r="X65" i="15" s="1"/>
  <c r="K66" i="15" a="1"/>
  <c r="K66" i="15" s="1"/>
  <c r="L66" i="15" a="1"/>
  <c r="L66" i="15" s="1"/>
  <c r="M66" i="15" a="1"/>
  <c r="M66" i="15" s="1"/>
  <c r="N66" i="15" a="1"/>
  <c r="N66" i="15" s="1"/>
  <c r="O66" i="15" a="1"/>
  <c r="O66" i="15" s="1"/>
  <c r="P66" i="15" a="1"/>
  <c r="P66" i="15" s="1"/>
  <c r="Q66" i="15" a="1"/>
  <c r="Q66" i="15" s="1"/>
  <c r="R66" i="15" a="1"/>
  <c r="R66" i="15" s="1"/>
  <c r="U66" i="15" a="1"/>
  <c r="U66" i="15" s="1"/>
  <c r="V66" i="15" a="1"/>
  <c r="V66" i="15" s="1"/>
  <c r="W66" i="15" a="1"/>
  <c r="W66" i="15" s="1"/>
  <c r="X66" i="15" a="1"/>
  <c r="X66" i="15" s="1"/>
  <c r="K67" i="15" a="1"/>
  <c r="K67" i="15" s="1"/>
  <c r="L67" i="15" a="1"/>
  <c r="L67" i="15" s="1"/>
  <c r="M67" i="15" a="1"/>
  <c r="M67" i="15" s="1"/>
  <c r="N67" i="15" a="1"/>
  <c r="N67" i="15" s="1"/>
  <c r="O67" i="15" a="1"/>
  <c r="O67" i="15" s="1"/>
  <c r="P67" i="15" a="1"/>
  <c r="P67" i="15" s="1"/>
  <c r="Q67" i="15" a="1"/>
  <c r="Q67" i="15" s="1"/>
  <c r="R67" i="15" a="1"/>
  <c r="R67" i="15" s="1"/>
  <c r="U67" i="15" a="1"/>
  <c r="U67" i="15" s="1"/>
  <c r="V67" i="15" a="1"/>
  <c r="V67" i="15" s="1"/>
  <c r="W67" i="15" a="1"/>
  <c r="W67" i="15" s="1"/>
  <c r="X67" i="15" a="1"/>
  <c r="X67" i="15" s="1"/>
  <c r="K68" i="15" a="1"/>
  <c r="K68" i="15" s="1"/>
  <c r="L68" i="15" a="1"/>
  <c r="L68" i="15" s="1"/>
  <c r="M68" i="15" a="1"/>
  <c r="M68" i="15" s="1"/>
  <c r="N68" i="15" a="1"/>
  <c r="N68" i="15" s="1"/>
  <c r="O68" i="15" a="1"/>
  <c r="O68" i="15" s="1"/>
  <c r="P68" i="15" a="1"/>
  <c r="P68" i="15" s="1"/>
  <c r="Q68" i="15" a="1"/>
  <c r="Q68" i="15" s="1"/>
  <c r="R68" i="15" a="1"/>
  <c r="R68" i="15" s="1"/>
  <c r="U68" i="15" a="1"/>
  <c r="U68" i="15" s="1"/>
  <c r="V68" i="15" a="1"/>
  <c r="V68" i="15" s="1"/>
  <c r="W68" i="15" a="1"/>
  <c r="W68" i="15" s="1"/>
  <c r="X68" i="15" a="1"/>
  <c r="X68" i="15" s="1"/>
  <c r="K69" i="15" a="1"/>
  <c r="K69" i="15" s="1"/>
  <c r="L69" i="15" a="1"/>
  <c r="L69" i="15" s="1"/>
  <c r="M69" i="15" a="1"/>
  <c r="M69" i="15" s="1"/>
  <c r="N69" i="15" a="1"/>
  <c r="N69" i="15" s="1"/>
  <c r="O69" i="15" a="1"/>
  <c r="O69" i="15" s="1"/>
  <c r="P69" i="15" a="1"/>
  <c r="P69" i="15" s="1"/>
  <c r="Q69" i="15" a="1"/>
  <c r="Q69" i="15" s="1"/>
  <c r="R69" i="15" a="1"/>
  <c r="R69" i="15" s="1"/>
  <c r="U69" i="15" a="1"/>
  <c r="U69" i="15" s="1"/>
  <c r="V69" i="15" a="1"/>
  <c r="V69" i="15" s="1"/>
  <c r="W69" i="15" a="1"/>
  <c r="W69" i="15" s="1"/>
  <c r="X69" i="15" a="1"/>
  <c r="X69" i="15" s="1"/>
  <c r="K70" i="15" a="1"/>
  <c r="K70" i="15" s="1"/>
  <c r="L70" i="15" a="1"/>
  <c r="L70" i="15" s="1"/>
  <c r="M70" i="15" a="1"/>
  <c r="M70" i="15" s="1"/>
  <c r="N70" i="15" a="1"/>
  <c r="N70" i="15" s="1"/>
  <c r="O70" i="15" a="1"/>
  <c r="O70" i="15" s="1"/>
  <c r="P70" i="15" a="1"/>
  <c r="P70" i="15" s="1"/>
  <c r="Q70" i="15" a="1"/>
  <c r="Q70" i="15" s="1"/>
  <c r="R70" i="15" a="1"/>
  <c r="R70" i="15" s="1"/>
  <c r="U70" i="15" a="1"/>
  <c r="U70" i="15" s="1"/>
  <c r="V70" i="15" a="1"/>
  <c r="V70" i="15" s="1"/>
  <c r="W70" i="15" a="1"/>
  <c r="W70" i="15" s="1"/>
  <c r="X70" i="15" a="1"/>
  <c r="X70" i="15" s="1"/>
  <c r="K71" i="15" a="1"/>
  <c r="K71" i="15" s="1"/>
  <c r="L71" i="15" a="1"/>
  <c r="L71" i="15" s="1"/>
  <c r="M71" i="15" a="1"/>
  <c r="M71" i="15" s="1"/>
  <c r="N71" i="15" a="1"/>
  <c r="N71" i="15" s="1"/>
  <c r="O71" i="15" a="1"/>
  <c r="O71" i="15" s="1"/>
  <c r="P71" i="15" a="1"/>
  <c r="P71" i="15" s="1"/>
  <c r="Q71" i="15" a="1"/>
  <c r="Q71" i="15" s="1"/>
  <c r="R71" i="15" a="1"/>
  <c r="R71" i="15" s="1"/>
  <c r="U71" i="15" a="1"/>
  <c r="U71" i="15" s="1"/>
  <c r="V71" i="15" a="1"/>
  <c r="V71" i="15" s="1"/>
  <c r="W71" i="15" a="1"/>
  <c r="W71" i="15" s="1"/>
  <c r="X71" i="15" a="1"/>
  <c r="X71" i="15" s="1"/>
  <c r="K72" i="15" a="1"/>
  <c r="K72" i="15" s="1"/>
  <c r="L72" i="15" a="1"/>
  <c r="L72" i="15" s="1"/>
  <c r="M72" i="15" a="1"/>
  <c r="M72" i="15" s="1"/>
  <c r="N72" i="15" a="1"/>
  <c r="N72" i="15" s="1"/>
  <c r="O72" i="15" a="1"/>
  <c r="O72" i="15" s="1"/>
  <c r="P72" i="15" a="1"/>
  <c r="P72" i="15" s="1"/>
  <c r="Q72" i="15" a="1"/>
  <c r="Q72" i="15" s="1"/>
  <c r="R72" i="15" a="1"/>
  <c r="R72" i="15" s="1"/>
  <c r="U72" i="15" a="1"/>
  <c r="U72" i="15" s="1"/>
  <c r="V72" i="15" a="1"/>
  <c r="V72" i="15" s="1"/>
  <c r="W72" i="15" a="1"/>
  <c r="W72" i="15" s="1"/>
  <c r="X72" i="15" a="1"/>
  <c r="X72" i="15" s="1"/>
  <c r="K73" i="15" a="1"/>
  <c r="K73" i="15" s="1"/>
  <c r="L73" i="15" a="1"/>
  <c r="L73" i="15" s="1"/>
  <c r="M73" i="15" a="1"/>
  <c r="M73" i="15" s="1"/>
  <c r="N73" i="15" a="1"/>
  <c r="N73" i="15" s="1"/>
  <c r="O73" i="15" a="1"/>
  <c r="O73" i="15" s="1"/>
  <c r="P73" i="15" a="1"/>
  <c r="P73" i="15" s="1"/>
  <c r="Q73" i="15" a="1"/>
  <c r="Q73" i="15" s="1"/>
  <c r="R73" i="15" a="1"/>
  <c r="R73" i="15" s="1"/>
  <c r="U73" i="15" a="1"/>
  <c r="U73" i="15" s="1"/>
  <c r="V73" i="15" a="1"/>
  <c r="V73" i="15" s="1"/>
  <c r="W73" i="15" a="1"/>
  <c r="W73" i="15" s="1"/>
  <c r="X73" i="15" a="1"/>
  <c r="X73" i="15" s="1"/>
  <c r="K74" i="15" a="1"/>
  <c r="K74" i="15" s="1"/>
  <c r="L74" i="15" a="1"/>
  <c r="L74" i="15" s="1"/>
  <c r="M74" i="15" a="1"/>
  <c r="M74" i="15" s="1"/>
  <c r="N74" i="15" a="1"/>
  <c r="N74" i="15" s="1"/>
  <c r="O74" i="15" a="1"/>
  <c r="O74" i="15" s="1"/>
  <c r="P74" i="15" a="1"/>
  <c r="P74" i="15" s="1"/>
  <c r="Q74" i="15" a="1"/>
  <c r="Q74" i="15" s="1"/>
  <c r="R74" i="15" a="1"/>
  <c r="R74" i="15" s="1"/>
  <c r="U74" i="15" a="1"/>
  <c r="U74" i="15" s="1"/>
  <c r="V74" i="15" a="1"/>
  <c r="V74" i="15" s="1"/>
  <c r="W74" i="15" a="1"/>
  <c r="W74" i="15" s="1"/>
  <c r="X74" i="15" a="1"/>
  <c r="X74" i="15" s="1"/>
  <c r="K75" i="15" a="1"/>
  <c r="K75" i="15" s="1"/>
  <c r="L75" i="15" a="1"/>
  <c r="L75" i="15" s="1"/>
  <c r="M75" i="15" a="1"/>
  <c r="M75" i="15" s="1"/>
  <c r="N75" i="15" a="1"/>
  <c r="N75" i="15" s="1"/>
  <c r="O75" i="15" a="1"/>
  <c r="O75" i="15" s="1"/>
  <c r="P75" i="15" a="1"/>
  <c r="P75" i="15" s="1"/>
  <c r="Q75" i="15" a="1"/>
  <c r="Q75" i="15" s="1"/>
  <c r="R75" i="15" a="1"/>
  <c r="R75" i="15" s="1"/>
  <c r="U75" i="15" a="1"/>
  <c r="U75" i="15" s="1"/>
  <c r="V75" i="15" a="1"/>
  <c r="V75" i="15" s="1"/>
  <c r="W75" i="15" a="1"/>
  <c r="W75" i="15" s="1"/>
  <c r="X75" i="15" a="1"/>
  <c r="X75" i="15" s="1"/>
  <c r="K76" i="15" a="1"/>
  <c r="K76" i="15" s="1"/>
  <c r="L76" i="15" a="1"/>
  <c r="L76" i="15" s="1"/>
  <c r="M76" i="15" a="1"/>
  <c r="M76" i="15" s="1"/>
  <c r="N76" i="15" a="1"/>
  <c r="N76" i="15" s="1"/>
  <c r="O76" i="15" a="1"/>
  <c r="O76" i="15" s="1"/>
  <c r="P76" i="15" a="1"/>
  <c r="P76" i="15" s="1"/>
  <c r="Q76" i="15" a="1"/>
  <c r="Q76" i="15" s="1"/>
  <c r="R76" i="15" a="1"/>
  <c r="R76" i="15" s="1"/>
  <c r="U76" i="15" a="1"/>
  <c r="U76" i="15" s="1"/>
  <c r="V76" i="15" a="1"/>
  <c r="V76" i="15" s="1"/>
  <c r="W76" i="15" a="1"/>
  <c r="W76" i="15" s="1"/>
  <c r="X76" i="15" a="1"/>
  <c r="X76" i="15" s="1"/>
  <c r="K77" i="15" a="1"/>
  <c r="K77" i="15" s="1"/>
  <c r="L77" i="15" a="1"/>
  <c r="L77" i="15" s="1"/>
  <c r="M77" i="15" a="1"/>
  <c r="M77" i="15" s="1"/>
  <c r="N77" i="15" a="1"/>
  <c r="N77" i="15" s="1"/>
  <c r="O77" i="15" a="1"/>
  <c r="O77" i="15" s="1"/>
  <c r="P77" i="15" a="1"/>
  <c r="P77" i="15" s="1"/>
  <c r="Q77" i="15" a="1"/>
  <c r="Q77" i="15" s="1"/>
  <c r="R77" i="15" a="1"/>
  <c r="R77" i="15" s="1"/>
  <c r="U77" i="15" a="1"/>
  <c r="U77" i="15" s="1"/>
  <c r="V77" i="15" a="1"/>
  <c r="V77" i="15" s="1"/>
  <c r="W77" i="15" a="1"/>
  <c r="W77" i="15" s="1"/>
  <c r="X77" i="15" a="1"/>
  <c r="X77" i="15" s="1"/>
  <c r="K78" i="15" a="1"/>
  <c r="K78" i="15" s="1"/>
  <c r="L78" i="15" a="1"/>
  <c r="L78" i="15" s="1"/>
  <c r="M78" i="15" a="1"/>
  <c r="M78" i="15" s="1"/>
  <c r="N78" i="15" a="1"/>
  <c r="N78" i="15" s="1"/>
  <c r="O78" i="15" a="1"/>
  <c r="O78" i="15" s="1"/>
  <c r="P78" i="15" a="1"/>
  <c r="P78" i="15" s="1"/>
  <c r="Q78" i="15" a="1"/>
  <c r="Q78" i="15" s="1"/>
  <c r="R78" i="15" a="1"/>
  <c r="R78" i="15" s="1"/>
  <c r="U78" i="15" a="1"/>
  <c r="U78" i="15" s="1"/>
  <c r="V78" i="15" a="1"/>
  <c r="V78" i="15" s="1"/>
  <c r="W78" i="15" a="1"/>
  <c r="W78" i="15" s="1"/>
  <c r="X78" i="15" a="1"/>
  <c r="X78" i="15" s="1"/>
  <c r="K79" i="15" a="1"/>
  <c r="K79" i="15" s="1"/>
  <c r="L79" i="15" a="1"/>
  <c r="L79" i="15" s="1"/>
  <c r="M79" i="15" a="1"/>
  <c r="M79" i="15" s="1"/>
  <c r="N79" i="15" a="1"/>
  <c r="N79" i="15" s="1"/>
  <c r="O79" i="15" a="1"/>
  <c r="O79" i="15" s="1"/>
  <c r="P79" i="15" a="1"/>
  <c r="P79" i="15" s="1"/>
  <c r="Q79" i="15" a="1"/>
  <c r="Q79" i="15" s="1"/>
  <c r="R79" i="15" a="1"/>
  <c r="R79" i="15" s="1"/>
  <c r="U79" i="15" a="1"/>
  <c r="U79" i="15" s="1"/>
  <c r="V79" i="15" a="1"/>
  <c r="V79" i="15" s="1"/>
  <c r="W79" i="15" a="1"/>
  <c r="W79" i="15" s="1"/>
  <c r="X79" i="15" a="1"/>
  <c r="X79" i="15" s="1"/>
  <c r="K80" i="15" a="1"/>
  <c r="K80" i="15" s="1"/>
  <c r="L80" i="15" a="1"/>
  <c r="L80" i="15" s="1"/>
  <c r="M80" i="15" a="1"/>
  <c r="M80" i="15" s="1"/>
  <c r="N80" i="15" a="1"/>
  <c r="N80" i="15" s="1"/>
  <c r="O80" i="15" a="1"/>
  <c r="O80" i="15" s="1"/>
  <c r="P80" i="15" a="1"/>
  <c r="P80" i="15" s="1"/>
  <c r="Q80" i="15" a="1"/>
  <c r="Q80" i="15" s="1"/>
  <c r="R80" i="15" a="1"/>
  <c r="R80" i="15" s="1"/>
  <c r="U80" i="15" a="1"/>
  <c r="U80" i="15" s="1"/>
  <c r="V80" i="15" a="1"/>
  <c r="V80" i="15" s="1"/>
  <c r="W80" i="15" a="1"/>
  <c r="W80" i="15" s="1"/>
  <c r="X80" i="15" a="1"/>
  <c r="X80" i="15" s="1"/>
  <c r="K81" i="15" a="1"/>
  <c r="K81" i="15" s="1"/>
  <c r="L81" i="15" a="1"/>
  <c r="L81" i="15" s="1"/>
  <c r="M81" i="15" a="1"/>
  <c r="M81" i="15" s="1"/>
  <c r="N81" i="15" a="1"/>
  <c r="N81" i="15" s="1"/>
  <c r="O81" i="15" a="1"/>
  <c r="O81" i="15" s="1"/>
  <c r="P81" i="15" a="1"/>
  <c r="P81" i="15" s="1"/>
  <c r="Q81" i="15" a="1"/>
  <c r="Q81" i="15" s="1"/>
  <c r="R81" i="15" a="1"/>
  <c r="R81" i="15" s="1"/>
  <c r="U81" i="15" a="1"/>
  <c r="U81" i="15" s="1"/>
  <c r="V81" i="15" a="1"/>
  <c r="V81" i="15" s="1"/>
  <c r="W81" i="15" a="1"/>
  <c r="W81" i="15" s="1"/>
  <c r="X81" i="15" a="1"/>
  <c r="X81" i="15" s="1"/>
  <c r="K82" i="15" a="1"/>
  <c r="K82" i="15" s="1"/>
  <c r="L82" i="15" a="1"/>
  <c r="L82" i="15" s="1"/>
  <c r="M82" i="15" a="1"/>
  <c r="M82" i="15" s="1"/>
  <c r="N82" i="15" a="1"/>
  <c r="N82" i="15" s="1"/>
  <c r="O82" i="15" a="1"/>
  <c r="O82" i="15" s="1"/>
  <c r="P82" i="15" a="1"/>
  <c r="P82" i="15" s="1"/>
  <c r="Q82" i="15" a="1"/>
  <c r="Q82" i="15" s="1"/>
  <c r="R82" i="15" a="1"/>
  <c r="R82" i="15" s="1"/>
  <c r="U82" i="15" a="1"/>
  <c r="U82" i="15" s="1"/>
  <c r="V82" i="15" a="1"/>
  <c r="V82" i="15" s="1"/>
  <c r="W82" i="15" a="1"/>
  <c r="W82" i="15" s="1"/>
  <c r="X82" i="15" a="1"/>
  <c r="X82" i="15" s="1"/>
  <c r="K83" i="15" a="1"/>
  <c r="K83" i="15" s="1"/>
  <c r="L83" i="15" a="1"/>
  <c r="L83" i="15" s="1"/>
  <c r="M83" i="15" a="1"/>
  <c r="M83" i="15" s="1"/>
  <c r="N83" i="15" a="1"/>
  <c r="N83" i="15" s="1"/>
  <c r="O83" i="15" a="1"/>
  <c r="O83" i="15" s="1"/>
  <c r="P83" i="15" a="1"/>
  <c r="P83" i="15" s="1"/>
  <c r="Q83" i="15" a="1"/>
  <c r="Q83" i="15" s="1"/>
  <c r="R83" i="15" a="1"/>
  <c r="R83" i="15" s="1"/>
  <c r="U83" i="15" a="1"/>
  <c r="U83" i="15" s="1"/>
  <c r="V83" i="15" a="1"/>
  <c r="V83" i="15" s="1"/>
  <c r="W83" i="15" a="1"/>
  <c r="W83" i="15" s="1"/>
  <c r="X83" i="15" a="1"/>
  <c r="X83" i="15" s="1"/>
  <c r="K84" i="15" a="1"/>
  <c r="K84" i="15" s="1"/>
  <c r="L84" i="15" a="1"/>
  <c r="L84" i="15" s="1"/>
  <c r="M84" i="15" a="1"/>
  <c r="M84" i="15" s="1"/>
  <c r="N84" i="15" a="1"/>
  <c r="N84" i="15" s="1"/>
  <c r="O84" i="15" a="1"/>
  <c r="O84" i="15" s="1"/>
  <c r="P84" i="15" a="1"/>
  <c r="P84" i="15" s="1"/>
  <c r="Q84" i="15" a="1"/>
  <c r="Q84" i="15" s="1"/>
  <c r="R84" i="15" a="1"/>
  <c r="R84" i="15" s="1"/>
  <c r="U84" i="15" a="1"/>
  <c r="U84" i="15" s="1"/>
  <c r="V84" i="15" a="1"/>
  <c r="V84" i="15" s="1"/>
  <c r="W84" i="15" a="1"/>
  <c r="W84" i="15" s="1"/>
  <c r="X84" i="15" a="1"/>
  <c r="X84" i="15" s="1"/>
  <c r="K85" i="15" a="1"/>
  <c r="K85" i="15" s="1"/>
  <c r="L85" i="15" a="1"/>
  <c r="L85" i="15" s="1"/>
  <c r="M85" i="15" a="1"/>
  <c r="M85" i="15" s="1"/>
  <c r="N85" i="15" a="1"/>
  <c r="N85" i="15" s="1"/>
  <c r="O85" i="15" a="1"/>
  <c r="O85" i="15" s="1"/>
  <c r="P85" i="15" a="1"/>
  <c r="P85" i="15" s="1"/>
  <c r="Q85" i="15" a="1"/>
  <c r="Q85" i="15" s="1"/>
  <c r="R85" i="15" a="1"/>
  <c r="R85" i="15" s="1"/>
  <c r="U85" i="15" a="1"/>
  <c r="U85" i="15" s="1"/>
  <c r="V85" i="15" a="1"/>
  <c r="V85" i="15" s="1"/>
  <c r="W85" i="15" a="1"/>
  <c r="W85" i="15" s="1"/>
  <c r="X85" i="15" a="1"/>
  <c r="X85" i="15" s="1"/>
  <c r="K86" i="15" a="1"/>
  <c r="K86" i="15" s="1"/>
  <c r="L86" i="15" a="1"/>
  <c r="L86" i="15" s="1"/>
  <c r="M86" i="15" a="1"/>
  <c r="M86" i="15" s="1"/>
  <c r="N86" i="15" a="1"/>
  <c r="N86" i="15" s="1"/>
  <c r="O86" i="15" a="1"/>
  <c r="O86" i="15" s="1"/>
  <c r="P86" i="15" a="1"/>
  <c r="P86" i="15" s="1"/>
  <c r="Q86" i="15" a="1"/>
  <c r="Q86" i="15" s="1"/>
  <c r="R86" i="15" a="1"/>
  <c r="R86" i="15" s="1"/>
  <c r="U86" i="15" a="1"/>
  <c r="U86" i="15" s="1"/>
  <c r="V86" i="15" a="1"/>
  <c r="V86" i="15" s="1"/>
  <c r="W86" i="15" a="1"/>
  <c r="W86" i="15" s="1"/>
  <c r="X86" i="15" a="1"/>
  <c r="X86" i="15" s="1"/>
  <c r="K87" i="15" a="1"/>
  <c r="K87" i="15" s="1"/>
  <c r="L87" i="15" a="1"/>
  <c r="L87" i="15" s="1"/>
  <c r="M87" i="15" a="1"/>
  <c r="M87" i="15" s="1"/>
  <c r="N87" i="15" a="1"/>
  <c r="N87" i="15" s="1"/>
  <c r="O87" i="15" a="1"/>
  <c r="O87" i="15" s="1"/>
  <c r="P87" i="15" a="1"/>
  <c r="P87" i="15" s="1"/>
  <c r="Q87" i="15" a="1"/>
  <c r="Q87" i="15" s="1"/>
  <c r="R87" i="15" a="1"/>
  <c r="R87" i="15" s="1"/>
  <c r="U87" i="15" a="1"/>
  <c r="U87" i="15" s="1"/>
  <c r="V87" i="15" a="1"/>
  <c r="V87" i="15" s="1"/>
  <c r="W87" i="15" a="1"/>
  <c r="W87" i="15" s="1"/>
  <c r="X87" i="15" a="1"/>
  <c r="X87" i="15" s="1"/>
  <c r="K88" i="15" a="1"/>
  <c r="K88" i="15" s="1"/>
  <c r="L88" i="15" a="1"/>
  <c r="L88" i="15" s="1"/>
  <c r="M88" i="15" a="1"/>
  <c r="M88" i="15" s="1"/>
  <c r="N88" i="15" a="1"/>
  <c r="N88" i="15" s="1"/>
  <c r="O88" i="15" a="1"/>
  <c r="O88" i="15" s="1"/>
  <c r="P88" i="15" a="1"/>
  <c r="P88" i="15" s="1"/>
  <c r="Q88" i="15" a="1"/>
  <c r="Q88" i="15" s="1"/>
  <c r="R88" i="15" a="1"/>
  <c r="R88" i="15" s="1"/>
  <c r="U88" i="15" a="1"/>
  <c r="U88" i="15" s="1"/>
  <c r="V88" i="15" a="1"/>
  <c r="V88" i="15" s="1"/>
  <c r="W88" i="15" a="1"/>
  <c r="W88" i="15" s="1"/>
  <c r="X88" i="15" a="1"/>
  <c r="X88" i="15" s="1"/>
  <c r="K89" i="15" a="1"/>
  <c r="K89" i="15" s="1"/>
  <c r="L89" i="15" a="1"/>
  <c r="L89" i="15" s="1"/>
  <c r="M89" i="15" a="1"/>
  <c r="M89" i="15" s="1"/>
  <c r="N89" i="15" a="1"/>
  <c r="N89" i="15" s="1"/>
  <c r="O89" i="15" a="1"/>
  <c r="O89" i="15" s="1"/>
  <c r="P89" i="15" a="1"/>
  <c r="P89" i="15" s="1"/>
  <c r="Q89" i="15" a="1"/>
  <c r="Q89" i="15" s="1"/>
  <c r="R89" i="15" a="1"/>
  <c r="R89" i="15" s="1"/>
  <c r="U89" i="15" a="1"/>
  <c r="U89" i="15" s="1"/>
  <c r="V89" i="15" a="1"/>
  <c r="V89" i="15" s="1"/>
  <c r="W89" i="15" a="1"/>
  <c r="W89" i="15" s="1"/>
  <c r="X89" i="15" a="1"/>
  <c r="X89" i="15" s="1"/>
  <c r="K90" i="15" a="1"/>
  <c r="K90" i="15" s="1"/>
  <c r="L90" i="15" a="1"/>
  <c r="L90" i="15" s="1"/>
  <c r="M90" i="15" a="1"/>
  <c r="M90" i="15" s="1"/>
  <c r="N90" i="15" a="1"/>
  <c r="N90" i="15" s="1"/>
  <c r="O90" i="15" a="1"/>
  <c r="O90" i="15" s="1"/>
  <c r="P90" i="15" a="1"/>
  <c r="P90" i="15" s="1"/>
  <c r="Q90" i="15" a="1"/>
  <c r="Q90" i="15" s="1"/>
  <c r="R90" i="15" a="1"/>
  <c r="R90" i="15" s="1"/>
  <c r="U90" i="15" a="1"/>
  <c r="U90" i="15" s="1"/>
  <c r="V90" i="15" a="1"/>
  <c r="V90" i="15" s="1"/>
  <c r="W90" i="15" a="1"/>
  <c r="W90" i="15" s="1"/>
  <c r="X90" i="15" a="1"/>
  <c r="X90" i="15" s="1"/>
  <c r="K91" i="15" a="1"/>
  <c r="K91" i="15" s="1"/>
  <c r="L91" i="15" a="1"/>
  <c r="L91" i="15" s="1"/>
  <c r="M91" i="15" a="1"/>
  <c r="M91" i="15" s="1"/>
  <c r="N91" i="15" a="1"/>
  <c r="N91" i="15" s="1"/>
  <c r="O91" i="15" a="1"/>
  <c r="O91" i="15" s="1"/>
  <c r="P91" i="15" a="1"/>
  <c r="P91" i="15" s="1"/>
  <c r="Q91" i="15" a="1"/>
  <c r="Q91" i="15" s="1"/>
  <c r="R91" i="15" a="1"/>
  <c r="R91" i="15" s="1"/>
  <c r="U91" i="15" a="1"/>
  <c r="U91" i="15" s="1"/>
  <c r="V91" i="15" a="1"/>
  <c r="V91" i="15" s="1"/>
  <c r="W91" i="15" a="1"/>
  <c r="W91" i="15" s="1"/>
  <c r="X91" i="15" a="1"/>
  <c r="X91" i="15" s="1"/>
  <c r="K92" i="15" a="1"/>
  <c r="K92" i="15" s="1"/>
  <c r="L92" i="15" a="1"/>
  <c r="L92" i="15" s="1"/>
  <c r="M92" i="15" a="1"/>
  <c r="M92" i="15" s="1"/>
  <c r="N92" i="15" a="1"/>
  <c r="N92" i="15" s="1"/>
  <c r="O92" i="15" a="1"/>
  <c r="O92" i="15" s="1"/>
  <c r="P92" i="15" a="1"/>
  <c r="P92" i="15" s="1"/>
  <c r="Q92" i="15" a="1"/>
  <c r="Q92" i="15" s="1"/>
  <c r="R92" i="15" a="1"/>
  <c r="R92" i="15" s="1"/>
  <c r="U92" i="15" a="1"/>
  <c r="U92" i="15" s="1"/>
  <c r="V92" i="15" a="1"/>
  <c r="V92" i="15" s="1"/>
  <c r="W92" i="15" a="1"/>
  <c r="W92" i="15" s="1"/>
  <c r="X92" i="15" a="1"/>
  <c r="X92" i="15" s="1"/>
  <c r="K93" i="15" a="1"/>
  <c r="K93" i="15" s="1"/>
  <c r="L93" i="15" a="1"/>
  <c r="L93" i="15" s="1"/>
  <c r="M93" i="15" a="1"/>
  <c r="M93" i="15" s="1"/>
  <c r="N93" i="15" a="1"/>
  <c r="N93" i="15" s="1"/>
  <c r="O93" i="15" a="1"/>
  <c r="O93" i="15" s="1"/>
  <c r="P93" i="15" a="1"/>
  <c r="P93" i="15" s="1"/>
  <c r="Q93" i="15" a="1"/>
  <c r="Q93" i="15" s="1"/>
  <c r="R93" i="15" a="1"/>
  <c r="R93" i="15" s="1"/>
  <c r="U93" i="15" a="1"/>
  <c r="U93" i="15" s="1"/>
  <c r="V93" i="15" a="1"/>
  <c r="V93" i="15" s="1"/>
  <c r="W93" i="15" a="1"/>
  <c r="W93" i="15" s="1"/>
  <c r="X93" i="15" a="1"/>
  <c r="X93" i="15" s="1"/>
  <c r="K94" i="15" a="1"/>
  <c r="K94" i="15" s="1"/>
  <c r="L94" i="15" a="1"/>
  <c r="L94" i="15" s="1"/>
  <c r="M94" i="15" a="1"/>
  <c r="M94" i="15" s="1"/>
  <c r="N94" i="15" a="1"/>
  <c r="N94" i="15" s="1"/>
  <c r="O94" i="15" a="1"/>
  <c r="O94" i="15" s="1"/>
  <c r="P94" i="15" a="1"/>
  <c r="P94" i="15" s="1"/>
  <c r="Q94" i="15" a="1"/>
  <c r="Q94" i="15" s="1"/>
  <c r="R94" i="15" a="1"/>
  <c r="R94" i="15" s="1"/>
  <c r="U94" i="15" a="1"/>
  <c r="U94" i="15" s="1"/>
  <c r="V94" i="15" a="1"/>
  <c r="V94" i="15" s="1"/>
  <c r="W94" i="15" a="1"/>
  <c r="W94" i="15" s="1"/>
  <c r="X94" i="15" a="1"/>
  <c r="X94" i="15" s="1"/>
  <c r="K95" i="15" a="1"/>
  <c r="K95" i="15" s="1"/>
  <c r="L95" i="15" a="1"/>
  <c r="L95" i="15" s="1"/>
  <c r="M95" i="15" a="1"/>
  <c r="M95" i="15" s="1"/>
  <c r="N95" i="15" a="1"/>
  <c r="N95" i="15" s="1"/>
  <c r="O95" i="15" a="1"/>
  <c r="O95" i="15" s="1"/>
  <c r="P95" i="15" a="1"/>
  <c r="P95" i="15" s="1"/>
  <c r="Q95" i="15" a="1"/>
  <c r="Q95" i="15" s="1"/>
  <c r="R95" i="15" a="1"/>
  <c r="R95" i="15" s="1"/>
  <c r="U95" i="15" a="1"/>
  <c r="U95" i="15" s="1"/>
  <c r="V95" i="15" a="1"/>
  <c r="V95" i="15" s="1"/>
  <c r="W95" i="15" a="1"/>
  <c r="W95" i="15" s="1"/>
  <c r="X95" i="15" a="1"/>
  <c r="X95" i="15" s="1"/>
  <c r="K96" i="15" a="1"/>
  <c r="K96" i="15" s="1"/>
  <c r="L96" i="15" a="1"/>
  <c r="L96" i="15" s="1"/>
  <c r="M96" i="15" a="1"/>
  <c r="M96" i="15" s="1"/>
  <c r="N96" i="15" a="1"/>
  <c r="N96" i="15" s="1"/>
  <c r="O96" i="15" a="1"/>
  <c r="O96" i="15" s="1"/>
  <c r="P96" i="15" a="1"/>
  <c r="P96" i="15" s="1"/>
  <c r="Q96" i="15" a="1"/>
  <c r="Q96" i="15" s="1"/>
  <c r="R96" i="15" a="1"/>
  <c r="R96" i="15" s="1"/>
  <c r="U96" i="15" a="1"/>
  <c r="U96" i="15" s="1"/>
  <c r="V96" i="15" a="1"/>
  <c r="V96" i="15" s="1"/>
  <c r="W96" i="15" a="1"/>
  <c r="W96" i="15" s="1"/>
  <c r="X96" i="15" a="1"/>
  <c r="X96" i="15" s="1"/>
  <c r="K97" i="15" a="1"/>
  <c r="K97" i="15" s="1"/>
  <c r="L97" i="15" a="1"/>
  <c r="L97" i="15" s="1"/>
  <c r="M97" i="15" a="1"/>
  <c r="M97" i="15" s="1"/>
  <c r="N97" i="15" a="1"/>
  <c r="N97" i="15" s="1"/>
  <c r="O97" i="15" a="1"/>
  <c r="O97" i="15" s="1"/>
  <c r="P97" i="15" a="1"/>
  <c r="P97" i="15" s="1"/>
  <c r="Q97" i="15" a="1"/>
  <c r="Q97" i="15" s="1"/>
  <c r="R97" i="15" a="1"/>
  <c r="R97" i="15" s="1"/>
  <c r="U97" i="15" a="1"/>
  <c r="U97" i="15" s="1"/>
  <c r="V97" i="15" a="1"/>
  <c r="V97" i="15" s="1"/>
  <c r="W97" i="15" a="1"/>
  <c r="W97" i="15" s="1"/>
  <c r="X97" i="15" a="1"/>
  <c r="X97" i="15" s="1"/>
  <c r="K98" i="15" a="1"/>
  <c r="K98" i="15" s="1"/>
  <c r="L98" i="15" a="1"/>
  <c r="L98" i="15" s="1"/>
  <c r="M98" i="15" a="1"/>
  <c r="M98" i="15" s="1"/>
  <c r="N98" i="15" a="1"/>
  <c r="N98" i="15" s="1"/>
  <c r="O98" i="15" a="1"/>
  <c r="O98" i="15" s="1"/>
  <c r="P98" i="15" a="1"/>
  <c r="P98" i="15" s="1"/>
  <c r="Q98" i="15" a="1"/>
  <c r="Q98" i="15" s="1"/>
  <c r="R98" i="15" a="1"/>
  <c r="R98" i="15" s="1"/>
  <c r="U98" i="15" a="1"/>
  <c r="U98" i="15" s="1"/>
  <c r="V98" i="15" a="1"/>
  <c r="V98" i="15" s="1"/>
  <c r="W98" i="15" a="1"/>
  <c r="W98" i="15" s="1"/>
  <c r="X98" i="15" a="1"/>
  <c r="X98" i="15" s="1"/>
  <c r="K99" i="15" a="1"/>
  <c r="K99" i="15" s="1"/>
  <c r="L99" i="15" a="1"/>
  <c r="L99" i="15" s="1"/>
  <c r="M99" i="15" a="1"/>
  <c r="M99" i="15" s="1"/>
  <c r="N99" i="15" a="1"/>
  <c r="N99" i="15" s="1"/>
  <c r="O99" i="15" a="1"/>
  <c r="O99" i="15" s="1"/>
  <c r="P99" i="15" a="1"/>
  <c r="P99" i="15" s="1"/>
  <c r="Q99" i="15" a="1"/>
  <c r="Q99" i="15" s="1"/>
  <c r="R99" i="15" a="1"/>
  <c r="R99" i="15" s="1"/>
  <c r="U99" i="15" a="1"/>
  <c r="U99" i="15" s="1"/>
  <c r="V99" i="15" a="1"/>
  <c r="V99" i="15" s="1"/>
  <c r="W99" i="15" a="1"/>
  <c r="W99" i="15" s="1"/>
  <c r="X99" i="15" a="1"/>
  <c r="X99" i="15" s="1"/>
  <c r="K100" i="15" a="1"/>
  <c r="K100" i="15" s="1"/>
  <c r="L100" i="15" a="1"/>
  <c r="L100" i="15" s="1"/>
  <c r="M100" i="15" a="1"/>
  <c r="M100" i="15" s="1"/>
  <c r="N100" i="15" a="1"/>
  <c r="N100" i="15" s="1"/>
  <c r="O100" i="15" a="1"/>
  <c r="O100" i="15" s="1"/>
  <c r="P100" i="15" a="1"/>
  <c r="P100" i="15" s="1"/>
  <c r="Q100" i="15" a="1"/>
  <c r="Q100" i="15" s="1"/>
  <c r="R100" i="15" a="1"/>
  <c r="R100" i="15" s="1"/>
  <c r="U100" i="15" a="1"/>
  <c r="U100" i="15" s="1"/>
  <c r="V100" i="15" a="1"/>
  <c r="V100" i="15" s="1"/>
  <c r="W100" i="15" a="1"/>
  <c r="W100" i="15" s="1"/>
  <c r="X100" i="15" a="1"/>
  <c r="X100" i="15" s="1"/>
  <c r="K101" i="15" a="1"/>
  <c r="K101" i="15" s="1"/>
  <c r="L101" i="15" a="1"/>
  <c r="L101" i="15" s="1"/>
  <c r="M101" i="15" a="1"/>
  <c r="M101" i="15" s="1"/>
  <c r="N101" i="15" a="1"/>
  <c r="N101" i="15" s="1"/>
  <c r="O101" i="15" a="1"/>
  <c r="O101" i="15" s="1"/>
  <c r="P101" i="15" a="1"/>
  <c r="P101" i="15" s="1"/>
  <c r="Q101" i="15" a="1"/>
  <c r="Q101" i="15" s="1"/>
  <c r="R101" i="15" a="1"/>
  <c r="R101" i="15" s="1"/>
  <c r="U101" i="15" a="1"/>
  <c r="U101" i="15" s="1"/>
  <c r="V101" i="15" a="1"/>
  <c r="V101" i="15" s="1"/>
  <c r="W101" i="15" a="1"/>
  <c r="W101" i="15" s="1"/>
  <c r="X101" i="15" a="1"/>
  <c r="X101" i="15" s="1"/>
  <c r="K102" i="15" a="1"/>
  <c r="K102" i="15" s="1"/>
  <c r="L102" i="15" a="1"/>
  <c r="L102" i="15" s="1"/>
  <c r="M102" i="15" a="1"/>
  <c r="M102" i="15" s="1"/>
  <c r="N102" i="15" a="1"/>
  <c r="N102" i="15" s="1"/>
  <c r="O102" i="15" a="1"/>
  <c r="O102" i="15" s="1"/>
  <c r="P102" i="15" a="1"/>
  <c r="P102" i="15" s="1"/>
  <c r="Q102" i="15" a="1"/>
  <c r="Q102" i="15" s="1"/>
  <c r="R102" i="15" a="1"/>
  <c r="R102" i="15" s="1"/>
  <c r="U102" i="15" a="1"/>
  <c r="U102" i="15" s="1"/>
  <c r="V102" i="15" a="1"/>
  <c r="V102" i="15" s="1"/>
  <c r="W102" i="15" a="1"/>
  <c r="W102" i="15" s="1"/>
  <c r="X102" i="15" a="1"/>
  <c r="X102" i="15" s="1"/>
  <c r="K103" i="15" a="1"/>
  <c r="K103" i="15" s="1"/>
  <c r="L103" i="15" a="1"/>
  <c r="L103" i="15" s="1"/>
  <c r="M103" i="15" a="1"/>
  <c r="M103" i="15" s="1"/>
  <c r="N103" i="15" a="1"/>
  <c r="N103" i="15" s="1"/>
  <c r="O103" i="15" a="1"/>
  <c r="O103" i="15" s="1"/>
  <c r="P103" i="15" a="1"/>
  <c r="P103" i="15" s="1"/>
  <c r="Q103" i="15" a="1"/>
  <c r="Q103" i="15" s="1"/>
  <c r="R103" i="15" a="1"/>
  <c r="R103" i="15" s="1"/>
  <c r="U103" i="15" a="1"/>
  <c r="U103" i="15" s="1"/>
  <c r="V103" i="15" a="1"/>
  <c r="V103" i="15" s="1"/>
  <c r="W103" i="15" a="1"/>
  <c r="W103" i="15" s="1"/>
  <c r="X103" i="15" a="1"/>
  <c r="X103" i="15" s="1"/>
  <c r="K104" i="15" a="1"/>
  <c r="K104" i="15" s="1"/>
  <c r="L104" i="15" a="1"/>
  <c r="L104" i="15" s="1"/>
  <c r="M104" i="15" a="1"/>
  <c r="M104" i="15" s="1"/>
  <c r="N104" i="15" a="1"/>
  <c r="N104" i="15" s="1"/>
  <c r="O104" i="15" a="1"/>
  <c r="O104" i="15" s="1"/>
  <c r="P104" i="15" a="1"/>
  <c r="P104" i="15" s="1"/>
  <c r="Q104" i="15" a="1"/>
  <c r="Q104" i="15" s="1"/>
  <c r="R104" i="15" a="1"/>
  <c r="R104" i="15" s="1"/>
  <c r="U104" i="15" a="1"/>
  <c r="U104" i="15" s="1"/>
  <c r="V104" i="15" a="1"/>
  <c r="V104" i="15" s="1"/>
  <c r="W104" i="15" a="1"/>
  <c r="W104" i="15" s="1"/>
  <c r="X104" i="15" a="1"/>
  <c r="X104" i="15" s="1"/>
  <c r="K105" i="15" a="1"/>
  <c r="K105" i="15" s="1"/>
  <c r="L105" i="15" a="1"/>
  <c r="L105" i="15" s="1"/>
  <c r="M105" i="15" a="1"/>
  <c r="M105" i="15" s="1"/>
  <c r="N105" i="15" a="1"/>
  <c r="N105" i="15" s="1"/>
  <c r="O105" i="15" a="1"/>
  <c r="O105" i="15" s="1"/>
  <c r="P105" i="15" a="1"/>
  <c r="P105" i="15" s="1"/>
  <c r="Q105" i="15" a="1"/>
  <c r="Q105" i="15" s="1"/>
  <c r="R105" i="15" a="1"/>
  <c r="R105" i="15" s="1"/>
  <c r="U105" i="15" a="1"/>
  <c r="U105" i="15" s="1"/>
  <c r="V105" i="15" a="1"/>
  <c r="V105" i="15" s="1"/>
  <c r="W105" i="15" a="1"/>
  <c r="W105" i="15" s="1"/>
  <c r="X105" i="15" a="1"/>
  <c r="X105" i="15" s="1"/>
  <c r="K106" i="15" a="1"/>
  <c r="K106" i="15" s="1"/>
  <c r="L106" i="15" a="1"/>
  <c r="L106" i="15" s="1"/>
  <c r="M106" i="15" a="1"/>
  <c r="M106" i="15" s="1"/>
  <c r="N106" i="15" a="1"/>
  <c r="N106" i="15" s="1"/>
  <c r="O106" i="15" a="1"/>
  <c r="O106" i="15" s="1"/>
  <c r="P106" i="15" a="1"/>
  <c r="P106" i="15" s="1"/>
  <c r="Q106" i="15" a="1"/>
  <c r="Q106" i="15" s="1"/>
  <c r="R106" i="15" a="1"/>
  <c r="R106" i="15" s="1"/>
  <c r="U106" i="15" a="1"/>
  <c r="U106" i="15" s="1"/>
  <c r="V106" i="15" a="1"/>
  <c r="V106" i="15" s="1"/>
  <c r="W106" i="15" a="1"/>
  <c r="W106" i="15" s="1"/>
  <c r="X106" i="15" a="1"/>
  <c r="X106" i="15" s="1"/>
  <c r="K107" i="15" a="1"/>
  <c r="K107" i="15" s="1"/>
  <c r="L107" i="15" a="1"/>
  <c r="L107" i="15" s="1"/>
  <c r="M107" i="15" a="1"/>
  <c r="M107" i="15" s="1"/>
  <c r="N107" i="15" a="1"/>
  <c r="N107" i="15" s="1"/>
  <c r="O107" i="15" a="1"/>
  <c r="O107" i="15" s="1"/>
  <c r="P107" i="15" a="1"/>
  <c r="P107" i="15" s="1"/>
  <c r="Q107" i="15" a="1"/>
  <c r="Q107" i="15" s="1"/>
  <c r="R107" i="15" a="1"/>
  <c r="R107" i="15" s="1"/>
  <c r="U107" i="15" a="1"/>
  <c r="U107" i="15" s="1"/>
  <c r="V107" i="15" a="1"/>
  <c r="V107" i="15" s="1"/>
  <c r="W107" i="15" a="1"/>
  <c r="W107" i="15" s="1"/>
  <c r="X107" i="15" a="1"/>
  <c r="X107" i="15" s="1"/>
  <c r="K108" i="15" a="1"/>
  <c r="K108" i="15" s="1"/>
  <c r="L108" i="15" a="1"/>
  <c r="L108" i="15" s="1"/>
  <c r="M108" i="15" a="1"/>
  <c r="M108" i="15" s="1"/>
  <c r="N108" i="15" a="1"/>
  <c r="N108" i="15" s="1"/>
  <c r="O108" i="15" a="1"/>
  <c r="O108" i="15" s="1"/>
  <c r="P108" i="15" a="1"/>
  <c r="P108" i="15" s="1"/>
  <c r="Q108" i="15" a="1"/>
  <c r="Q108" i="15" s="1"/>
  <c r="R108" i="15" a="1"/>
  <c r="R108" i="15" s="1"/>
  <c r="U108" i="15" a="1"/>
  <c r="U108" i="15" s="1"/>
  <c r="V108" i="15" a="1"/>
  <c r="V108" i="15" s="1"/>
  <c r="W108" i="15" a="1"/>
  <c r="W108" i="15" s="1"/>
  <c r="X108" i="15" a="1"/>
  <c r="X108" i="15" s="1"/>
  <c r="K109" i="15" a="1"/>
  <c r="K109" i="15" s="1"/>
  <c r="L109" i="15" a="1"/>
  <c r="L109" i="15" s="1"/>
  <c r="M109" i="15" a="1"/>
  <c r="M109" i="15" s="1"/>
  <c r="N109" i="15" a="1"/>
  <c r="N109" i="15" s="1"/>
  <c r="O109" i="15" a="1"/>
  <c r="O109" i="15" s="1"/>
  <c r="P109" i="15" a="1"/>
  <c r="P109" i="15" s="1"/>
  <c r="Q109" i="15" a="1"/>
  <c r="Q109" i="15" s="1"/>
  <c r="R109" i="15" a="1"/>
  <c r="R109" i="15" s="1"/>
  <c r="U109" i="15" a="1"/>
  <c r="U109" i="15" s="1"/>
  <c r="V109" i="15" a="1"/>
  <c r="V109" i="15" s="1"/>
  <c r="W109" i="15" a="1"/>
  <c r="W109" i="15" s="1"/>
  <c r="X109" i="15" a="1"/>
  <c r="X109" i="15" s="1"/>
  <c r="K110" i="15" a="1"/>
  <c r="K110" i="15" s="1"/>
  <c r="L110" i="15" a="1"/>
  <c r="L110" i="15" s="1"/>
  <c r="M110" i="15" a="1"/>
  <c r="M110" i="15" s="1"/>
  <c r="N110" i="15" a="1"/>
  <c r="N110" i="15" s="1"/>
  <c r="O110" i="15" a="1"/>
  <c r="O110" i="15" s="1"/>
  <c r="P110" i="15" a="1"/>
  <c r="P110" i="15" s="1"/>
  <c r="Q110" i="15" a="1"/>
  <c r="Q110" i="15" s="1"/>
  <c r="R110" i="15" a="1"/>
  <c r="R110" i="15" s="1"/>
  <c r="U110" i="15" a="1"/>
  <c r="U110" i="15" s="1"/>
  <c r="V110" i="15" a="1"/>
  <c r="V110" i="15" s="1"/>
  <c r="W110" i="15" a="1"/>
  <c r="W110" i="15" s="1"/>
  <c r="X110" i="15" a="1"/>
  <c r="X110" i="15" s="1"/>
  <c r="K111" i="15" a="1"/>
  <c r="K111" i="15" s="1"/>
  <c r="L111" i="15" a="1"/>
  <c r="L111" i="15" s="1"/>
  <c r="M111" i="15" a="1"/>
  <c r="M111" i="15" s="1"/>
  <c r="N111" i="15" a="1"/>
  <c r="N111" i="15" s="1"/>
  <c r="O111" i="15" a="1"/>
  <c r="O111" i="15" s="1"/>
  <c r="P111" i="15" a="1"/>
  <c r="P111" i="15" s="1"/>
  <c r="Q111" i="15" a="1"/>
  <c r="Q111" i="15" s="1"/>
  <c r="R111" i="15" a="1"/>
  <c r="R111" i="15" s="1"/>
  <c r="U111" i="15" a="1"/>
  <c r="U111" i="15" s="1"/>
  <c r="V111" i="15" a="1"/>
  <c r="V111" i="15" s="1"/>
  <c r="W111" i="15" a="1"/>
  <c r="W111" i="15" s="1"/>
  <c r="X111" i="15" a="1"/>
  <c r="X111" i="15" s="1"/>
  <c r="K112" i="15" a="1"/>
  <c r="K112" i="15" s="1"/>
  <c r="L112" i="15" a="1"/>
  <c r="L112" i="15" s="1"/>
  <c r="M112" i="15" a="1"/>
  <c r="M112" i="15" s="1"/>
  <c r="N112" i="15" a="1"/>
  <c r="N112" i="15" s="1"/>
  <c r="O112" i="15" a="1"/>
  <c r="O112" i="15" s="1"/>
  <c r="P112" i="15" a="1"/>
  <c r="P112" i="15" s="1"/>
  <c r="Q112" i="15" a="1"/>
  <c r="Q112" i="15" s="1"/>
  <c r="R112" i="15" a="1"/>
  <c r="R112" i="15" s="1"/>
  <c r="U112" i="15" a="1"/>
  <c r="U112" i="15" s="1"/>
  <c r="V112" i="15" a="1"/>
  <c r="V112" i="15" s="1"/>
  <c r="W112" i="15" a="1"/>
  <c r="W112" i="15" s="1"/>
  <c r="X112" i="15" a="1"/>
  <c r="X112" i="15" s="1"/>
  <c r="K113" i="15" a="1"/>
  <c r="K113" i="15" s="1"/>
  <c r="L113" i="15" a="1"/>
  <c r="L113" i="15" s="1"/>
  <c r="M113" i="15" a="1"/>
  <c r="M113" i="15" s="1"/>
  <c r="N113" i="15" a="1"/>
  <c r="N113" i="15" s="1"/>
  <c r="O113" i="15" a="1"/>
  <c r="O113" i="15" s="1"/>
  <c r="P113" i="15" a="1"/>
  <c r="P113" i="15" s="1"/>
  <c r="Q113" i="15" a="1"/>
  <c r="Q113" i="15" s="1"/>
  <c r="R113" i="15" a="1"/>
  <c r="R113" i="15" s="1"/>
  <c r="U113" i="15" a="1"/>
  <c r="U113" i="15" s="1"/>
  <c r="V113" i="15" a="1"/>
  <c r="V113" i="15" s="1"/>
  <c r="W113" i="15" a="1"/>
  <c r="W113" i="15" s="1"/>
  <c r="X113" i="15" a="1"/>
  <c r="X113" i="15" s="1"/>
  <c r="K114" i="15" a="1"/>
  <c r="K114" i="15" s="1"/>
  <c r="L114" i="15" a="1"/>
  <c r="L114" i="15" s="1"/>
  <c r="M114" i="15" a="1"/>
  <c r="M114" i="15" s="1"/>
  <c r="N114" i="15" a="1"/>
  <c r="N114" i="15" s="1"/>
  <c r="O114" i="15" a="1"/>
  <c r="O114" i="15" s="1"/>
  <c r="P114" i="15" a="1"/>
  <c r="P114" i="15" s="1"/>
  <c r="Q114" i="15" a="1"/>
  <c r="Q114" i="15" s="1"/>
  <c r="R114" i="15" a="1"/>
  <c r="R114" i="15" s="1"/>
  <c r="U114" i="15" a="1"/>
  <c r="U114" i="15" s="1"/>
  <c r="V114" i="15" a="1"/>
  <c r="V114" i="15" s="1"/>
  <c r="W114" i="15" a="1"/>
  <c r="W114" i="15" s="1"/>
  <c r="X114" i="15" a="1"/>
  <c r="X114" i="15" s="1"/>
  <c r="K115" i="15" a="1"/>
  <c r="K115" i="15" s="1"/>
  <c r="L115" i="15" a="1"/>
  <c r="L115" i="15" s="1"/>
  <c r="M115" i="15" a="1"/>
  <c r="M115" i="15" s="1"/>
  <c r="N115" i="15" a="1"/>
  <c r="N115" i="15" s="1"/>
  <c r="O115" i="15" a="1"/>
  <c r="O115" i="15" s="1"/>
  <c r="P115" i="15" a="1"/>
  <c r="P115" i="15" s="1"/>
  <c r="Q115" i="15" a="1"/>
  <c r="Q115" i="15" s="1"/>
  <c r="R115" i="15" a="1"/>
  <c r="R115" i="15" s="1"/>
  <c r="U115" i="15" a="1"/>
  <c r="U115" i="15" s="1"/>
  <c r="V115" i="15" a="1"/>
  <c r="V115" i="15" s="1"/>
  <c r="W115" i="15" a="1"/>
  <c r="W115" i="15" s="1"/>
  <c r="X115" i="15" a="1"/>
  <c r="X115" i="15" s="1"/>
  <c r="K116" i="15" a="1"/>
  <c r="K116" i="15" s="1"/>
  <c r="L116" i="15" a="1"/>
  <c r="L116" i="15" s="1"/>
  <c r="M116" i="15" a="1"/>
  <c r="M116" i="15" s="1"/>
  <c r="N116" i="15" a="1"/>
  <c r="N116" i="15" s="1"/>
  <c r="O116" i="15" a="1"/>
  <c r="O116" i="15" s="1"/>
  <c r="P116" i="15" a="1"/>
  <c r="P116" i="15" s="1"/>
  <c r="Q116" i="15" a="1"/>
  <c r="Q116" i="15" s="1"/>
  <c r="R116" i="15" a="1"/>
  <c r="R116" i="15" s="1"/>
  <c r="U116" i="15" a="1"/>
  <c r="U116" i="15" s="1"/>
  <c r="V116" i="15" a="1"/>
  <c r="V116" i="15" s="1"/>
  <c r="W116" i="15" a="1"/>
  <c r="W116" i="15" s="1"/>
  <c r="X116" i="15" a="1"/>
  <c r="X116" i="15" s="1"/>
  <c r="K117" i="15" a="1"/>
  <c r="K117" i="15" s="1"/>
  <c r="L117" i="15" a="1"/>
  <c r="L117" i="15" s="1"/>
  <c r="M117" i="15" a="1"/>
  <c r="M117" i="15" s="1"/>
  <c r="N117" i="15" a="1"/>
  <c r="N117" i="15" s="1"/>
  <c r="O117" i="15" a="1"/>
  <c r="O117" i="15" s="1"/>
  <c r="P117" i="15" a="1"/>
  <c r="P117" i="15" s="1"/>
  <c r="Q117" i="15" a="1"/>
  <c r="Q117" i="15" s="1"/>
  <c r="R117" i="15" a="1"/>
  <c r="R117" i="15" s="1"/>
  <c r="U117" i="15" a="1"/>
  <c r="U117" i="15" s="1"/>
  <c r="V117" i="15" a="1"/>
  <c r="V117" i="15" s="1"/>
  <c r="W117" i="15" a="1"/>
  <c r="W117" i="15" s="1"/>
  <c r="X117" i="15" a="1"/>
  <c r="X117" i="15" s="1"/>
  <c r="K118" i="15" a="1"/>
  <c r="K118" i="15" s="1"/>
  <c r="L118" i="15" a="1"/>
  <c r="L118" i="15" s="1"/>
  <c r="M118" i="15" a="1"/>
  <c r="M118" i="15" s="1"/>
  <c r="N118" i="15" a="1"/>
  <c r="N118" i="15" s="1"/>
  <c r="O118" i="15" a="1"/>
  <c r="O118" i="15" s="1"/>
  <c r="P118" i="15" a="1"/>
  <c r="P118" i="15" s="1"/>
  <c r="Q118" i="15" a="1"/>
  <c r="Q118" i="15" s="1"/>
  <c r="R118" i="15" a="1"/>
  <c r="R118" i="15" s="1"/>
  <c r="U118" i="15" a="1"/>
  <c r="U118" i="15" s="1"/>
  <c r="V118" i="15" a="1"/>
  <c r="V118" i="15" s="1"/>
  <c r="W118" i="15" a="1"/>
  <c r="W118" i="15" s="1"/>
  <c r="X118" i="15" a="1"/>
  <c r="X118" i="15" s="1"/>
  <c r="K119" i="15" a="1"/>
  <c r="K119" i="15" s="1"/>
  <c r="L119" i="15" a="1"/>
  <c r="L119" i="15" s="1"/>
  <c r="M119" i="15" a="1"/>
  <c r="M119" i="15" s="1"/>
  <c r="N119" i="15" a="1"/>
  <c r="N119" i="15" s="1"/>
  <c r="O119" i="15" a="1"/>
  <c r="O119" i="15" s="1"/>
  <c r="P119" i="15" a="1"/>
  <c r="P119" i="15" s="1"/>
  <c r="Q119" i="15" a="1"/>
  <c r="Q119" i="15" s="1"/>
  <c r="R119" i="15" a="1"/>
  <c r="R119" i="15" s="1"/>
  <c r="U119" i="15" a="1"/>
  <c r="U119" i="15" s="1"/>
  <c r="V119" i="15" a="1"/>
  <c r="V119" i="15" s="1"/>
  <c r="W119" i="15" a="1"/>
  <c r="W119" i="15" s="1"/>
  <c r="X119" i="15" a="1"/>
  <c r="X119" i="15" s="1"/>
  <c r="K120" i="15" a="1"/>
  <c r="K120" i="15" s="1"/>
  <c r="L120" i="15" a="1"/>
  <c r="L120" i="15" s="1"/>
  <c r="M120" i="15" a="1"/>
  <c r="M120" i="15" s="1"/>
  <c r="N120" i="15" a="1"/>
  <c r="N120" i="15" s="1"/>
  <c r="O120" i="15" a="1"/>
  <c r="O120" i="15" s="1"/>
  <c r="P120" i="15" a="1"/>
  <c r="P120" i="15" s="1"/>
  <c r="Q120" i="15" a="1"/>
  <c r="Q120" i="15" s="1"/>
  <c r="R120" i="15" a="1"/>
  <c r="R120" i="15" s="1"/>
  <c r="U120" i="15" a="1"/>
  <c r="U120" i="15" s="1"/>
  <c r="V120" i="15" a="1"/>
  <c r="V120" i="15" s="1"/>
  <c r="W120" i="15" a="1"/>
  <c r="W120" i="15" s="1"/>
  <c r="X120" i="15" a="1"/>
  <c r="X120" i="15" s="1"/>
  <c r="K121" i="15" a="1"/>
  <c r="K121" i="15" s="1"/>
  <c r="L121" i="15" a="1"/>
  <c r="L121" i="15" s="1"/>
  <c r="M121" i="15" a="1"/>
  <c r="M121" i="15" s="1"/>
  <c r="N121" i="15" a="1"/>
  <c r="N121" i="15" s="1"/>
  <c r="O121" i="15" a="1"/>
  <c r="O121" i="15" s="1"/>
  <c r="P121" i="15" a="1"/>
  <c r="P121" i="15" s="1"/>
  <c r="Q121" i="15" a="1"/>
  <c r="Q121" i="15" s="1"/>
  <c r="R121" i="15" a="1"/>
  <c r="R121" i="15" s="1"/>
  <c r="U121" i="15" a="1"/>
  <c r="U121" i="15" s="1"/>
  <c r="V121" i="15" a="1"/>
  <c r="V121" i="15" s="1"/>
  <c r="W121" i="15" a="1"/>
  <c r="W121" i="15" s="1"/>
  <c r="X121" i="15" a="1"/>
  <c r="X121" i="15" s="1"/>
  <c r="K122" i="15" a="1"/>
  <c r="K122" i="15" s="1"/>
  <c r="L122" i="15" a="1"/>
  <c r="L122" i="15" s="1"/>
  <c r="M122" i="15" a="1"/>
  <c r="M122" i="15" s="1"/>
  <c r="N122" i="15" a="1"/>
  <c r="N122" i="15" s="1"/>
  <c r="O122" i="15" a="1"/>
  <c r="O122" i="15" s="1"/>
  <c r="P122" i="15" a="1"/>
  <c r="P122" i="15" s="1"/>
  <c r="Q122" i="15" a="1"/>
  <c r="Q122" i="15" s="1"/>
  <c r="R122" i="15" a="1"/>
  <c r="R122" i="15" s="1"/>
  <c r="U122" i="15" a="1"/>
  <c r="U122" i="15" s="1"/>
  <c r="V122" i="15" a="1"/>
  <c r="V122" i="15" s="1"/>
  <c r="W122" i="15" a="1"/>
  <c r="W122" i="15" s="1"/>
  <c r="X122" i="15" a="1"/>
  <c r="X122" i="15" s="1"/>
  <c r="K123" i="15" a="1"/>
  <c r="K123" i="15" s="1"/>
  <c r="L123" i="15" a="1"/>
  <c r="L123" i="15" s="1"/>
  <c r="M123" i="15" a="1"/>
  <c r="M123" i="15" s="1"/>
  <c r="N123" i="15" a="1"/>
  <c r="N123" i="15" s="1"/>
  <c r="O123" i="15" a="1"/>
  <c r="O123" i="15" s="1"/>
  <c r="P123" i="15" a="1"/>
  <c r="P123" i="15" s="1"/>
  <c r="Q123" i="15" a="1"/>
  <c r="Q123" i="15" s="1"/>
  <c r="R123" i="15" a="1"/>
  <c r="R123" i="15" s="1"/>
  <c r="U123" i="15" a="1"/>
  <c r="U123" i="15" s="1"/>
  <c r="V123" i="15" a="1"/>
  <c r="V123" i="15" s="1"/>
  <c r="W123" i="15" a="1"/>
  <c r="W123" i="15" s="1"/>
  <c r="X123" i="15" a="1"/>
  <c r="X123" i="15" s="1"/>
  <c r="K124" i="15" a="1"/>
  <c r="K124" i="15" s="1"/>
  <c r="L124" i="15" a="1"/>
  <c r="L124" i="15" s="1"/>
  <c r="M124" i="15" a="1"/>
  <c r="M124" i="15" s="1"/>
  <c r="N124" i="15" a="1"/>
  <c r="N124" i="15" s="1"/>
  <c r="O124" i="15" a="1"/>
  <c r="O124" i="15" s="1"/>
  <c r="P124" i="15" a="1"/>
  <c r="P124" i="15" s="1"/>
  <c r="Q124" i="15" a="1"/>
  <c r="Q124" i="15" s="1"/>
  <c r="R124" i="15" a="1"/>
  <c r="R124" i="15" s="1"/>
  <c r="U124" i="15" a="1"/>
  <c r="U124" i="15" s="1"/>
  <c r="V124" i="15" a="1"/>
  <c r="V124" i="15" s="1"/>
  <c r="W124" i="15" a="1"/>
  <c r="W124" i="15" s="1"/>
  <c r="X124" i="15" a="1"/>
  <c r="X124" i="15" s="1"/>
  <c r="K125" i="15" a="1"/>
  <c r="K125" i="15" s="1"/>
  <c r="L125" i="15" a="1"/>
  <c r="L125" i="15" s="1"/>
  <c r="M125" i="15" a="1"/>
  <c r="M125" i="15" s="1"/>
  <c r="N125" i="15" a="1"/>
  <c r="N125" i="15" s="1"/>
  <c r="O125" i="15" a="1"/>
  <c r="O125" i="15" s="1"/>
  <c r="P125" i="15" a="1"/>
  <c r="P125" i="15" s="1"/>
  <c r="Q125" i="15" a="1"/>
  <c r="Q125" i="15" s="1"/>
  <c r="R125" i="15" a="1"/>
  <c r="R125" i="15" s="1"/>
  <c r="U125" i="15" a="1"/>
  <c r="U125" i="15" s="1"/>
  <c r="V125" i="15" a="1"/>
  <c r="V125" i="15" s="1"/>
  <c r="W125" i="15" a="1"/>
  <c r="W125" i="15" s="1"/>
  <c r="X125" i="15" a="1"/>
  <c r="X125" i="15" s="1"/>
  <c r="K126" i="15" a="1"/>
  <c r="K126" i="15" s="1"/>
  <c r="L126" i="15" a="1"/>
  <c r="L126" i="15" s="1"/>
  <c r="M126" i="15" a="1"/>
  <c r="M126" i="15" s="1"/>
  <c r="N126" i="15" a="1"/>
  <c r="N126" i="15" s="1"/>
  <c r="O126" i="15" a="1"/>
  <c r="O126" i="15" s="1"/>
  <c r="P126" i="15" a="1"/>
  <c r="P126" i="15" s="1"/>
  <c r="Q126" i="15" a="1"/>
  <c r="Q126" i="15" s="1"/>
  <c r="R126" i="15" a="1"/>
  <c r="R126" i="15" s="1"/>
  <c r="U126" i="15" a="1"/>
  <c r="U126" i="15" s="1"/>
  <c r="V126" i="15" a="1"/>
  <c r="V126" i="15" s="1"/>
  <c r="W126" i="15" a="1"/>
  <c r="W126" i="15" s="1"/>
  <c r="X126" i="15" a="1"/>
  <c r="X126" i="15" s="1"/>
  <c r="K127" i="15" a="1"/>
  <c r="K127" i="15" s="1"/>
  <c r="L127" i="15" a="1"/>
  <c r="L127" i="15" s="1"/>
  <c r="M127" i="15" a="1"/>
  <c r="M127" i="15" s="1"/>
  <c r="N127" i="15" a="1"/>
  <c r="N127" i="15" s="1"/>
  <c r="O127" i="15" a="1"/>
  <c r="O127" i="15" s="1"/>
  <c r="P127" i="15" a="1"/>
  <c r="P127" i="15" s="1"/>
  <c r="Q127" i="15" a="1"/>
  <c r="Q127" i="15" s="1"/>
  <c r="R127" i="15" a="1"/>
  <c r="R127" i="15" s="1"/>
  <c r="U127" i="15" a="1"/>
  <c r="U127" i="15" s="1"/>
  <c r="V127" i="15" a="1"/>
  <c r="V127" i="15" s="1"/>
  <c r="W127" i="15" a="1"/>
  <c r="W127" i="15" s="1"/>
  <c r="X127" i="15" a="1"/>
  <c r="X127" i="15" s="1"/>
  <c r="K128" i="15" a="1"/>
  <c r="K128" i="15" s="1"/>
  <c r="L128" i="15" a="1"/>
  <c r="L128" i="15" s="1"/>
  <c r="M128" i="15" a="1"/>
  <c r="M128" i="15" s="1"/>
  <c r="N128" i="15" a="1"/>
  <c r="N128" i="15" s="1"/>
  <c r="O128" i="15" a="1"/>
  <c r="O128" i="15" s="1"/>
  <c r="P128" i="15" a="1"/>
  <c r="P128" i="15" s="1"/>
  <c r="Q128" i="15" a="1"/>
  <c r="Q128" i="15" s="1"/>
  <c r="R128" i="15" a="1"/>
  <c r="R128" i="15" s="1"/>
  <c r="U128" i="15" a="1"/>
  <c r="U128" i="15" s="1"/>
  <c r="V128" i="15" a="1"/>
  <c r="V128" i="15" s="1"/>
  <c r="W128" i="15" a="1"/>
  <c r="W128" i="15" s="1"/>
  <c r="X128" i="15" a="1"/>
  <c r="X128" i="15" s="1"/>
  <c r="K129" i="15" a="1"/>
  <c r="K129" i="15" s="1"/>
  <c r="L129" i="15" a="1"/>
  <c r="L129" i="15" s="1"/>
  <c r="M129" i="15" a="1"/>
  <c r="M129" i="15" s="1"/>
  <c r="N129" i="15" a="1"/>
  <c r="N129" i="15" s="1"/>
  <c r="O129" i="15" a="1"/>
  <c r="O129" i="15" s="1"/>
  <c r="P129" i="15" a="1"/>
  <c r="P129" i="15" s="1"/>
  <c r="Q129" i="15" a="1"/>
  <c r="Q129" i="15" s="1"/>
  <c r="R129" i="15" a="1"/>
  <c r="R129" i="15" s="1"/>
  <c r="U129" i="15" a="1"/>
  <c r="U129" i="15" s="1"/>
  <c r="V129" i="15" a="1"/>
  <c r="V129" i="15" s="1"/>
  <c r="W129" i="15" a="1"/>
  <c r="W129" i="15" s="1"/>
  <c r="X129" i="15" a="1"/>
  <c r="X129" i="15" s="1"/>
  <c r="K130" i="15" a="1"/>
  <c r="K130" i="15" s="1"/>
  <c r="L130" i="15" a="1"/>
  <c r="L130" i="15" s="1"/>
  <c r="M130" i="15" a="1"/>
  <c r="M130" i="15" s="1"/>
  <c r="N130" i="15" a="1"/>
  <c r="N130" i="15" s="1"/>
  <c r="O130" i="15" a="1"/>
  <c r="O130" i="15" s="1"/>
  <c r="P130" i="15" a="1"/>
  <c r="P130" i="15" s="1"/>
  <c r="Q130" i="15" a="1"/>
  <c r="Q130" i="15" s="1"/>
  <c r="R130" i="15" a="1"/>
  <c r="R130" i="15" s="1"/>
  <c r="U130" i="15" a="1"/>
  <c r="U130" i="15" s="1"/>
  <c r="V130" i="15" a="1"/>
  <c r="V130" i="15" s="1"/>
  <c r="W130" i="15" a="1"/>
  <c r="W130" i="15" s="1"/>
  <c r="X130" i="15" a="1"/>
  <c r="X130" i="15" s="1"/>
  <c r="K131" i="15" a="1"/>
  <c r="K131" i="15" s="1"/>
  <c r="L131" i="15" a="1"/>
  <c r="L131" i="15" s="1"/>
  <c r="M131" i="15" a="1"/>
  <c r="M131" i="15" s="1"/>
  <c r="N131" i="15" a="1"/>
  <c r="N131" i="15" s="1"/>
  <c r="O131" i="15" a="1"/>
  <c r="O131" i="15" s="1"/>
  <c r="P131" i="15" a="1"/>
  <c r="P131" i="15" s="1"/>
  <c r="Q131" i="15" a="1"/>
  <c r="Q131" i="15" s="1"/>
  <c r="R131" i="15" a="1"/>
  <c r="R131" i="15" s="1"/>
  <c r="U131" i="15" a="1"/>
  <c r="U131" i="15" s="1"/>
  <c r="V131" i="15" a="1"/>
  <c r="V131" i="15" s="1"/>
  <c r="W131" i="15" a="1"/>
  <c r="W131" i="15" s="1"/>
  <c r="X131" i="15" a="1"/>
  <c r="X131" i="15" s="1"/>
  <c r="K132" i="15" a="1"/>
  <c r="K132" i="15" s="1"/>
  <c r="L132" i="15" a="1"/>
  <c r="L132" i="15" s="1"/>
  <c r="M132" i="15" a="1"/>
  <c r="M132" i="15" s="1"/>
  <c r="N132" i="15" a="1"/>
  <c r="N132" i="15" s="1"/>
  <c r="O132" i="15" a="1"/>
  <c r="O132" i="15" s="1"/>
  <c r="P132" i="15" a="1"/>
  <c r="P132" i="15" s="1"/>
  <c r="Q132" i="15" a="1"/>
  <c r="Q132" i="15" s="1"/>
  <c r="R132" i="15" a="1"/>
  <c r="R132" i="15" s="1"/>
  <c r="U132" i="15" a="1"/>
  <c r="U132" i="15" s="1"/>
  <c r="V132" i="15" a="1"/>
  <c r="V132" i="15" s="1"/>
  <c r="W132" i="15" a="1"/>
  <c r="W132" i="15" s="1"/>
  <c r="X132" i="15" a="1"/>
  <c r="X132" i="15" s="1"/>
  <c r="K133" i="15" a="1"/>
  <c r="K133" i="15" s="1"/>
  <c r="L133" i="15" a="1"/>
  <c r="L133" i="15" s="1"/>
  <c r="M133" i="15" a="1"/>
  <c r="M133" i="15" s="1"/>
  <c r="N133" i="15" a="1"/>
  <c r="N133" i="15" s="1"/>
  <c r="O133" i="15" a="1"/>
  <c r="O133" i="15" s="1"/>
  <c r="P133" i="15" a="1"/>
  <c r="P133" i="15" s="1"/>
  <c r="Q133" i="15" a="1"/>
  <c r="Q133" i="15" s="1"/>
  <c r="R133" i="15" a="1"/>
  <c r="R133" i="15" s="1"/>
  <c r="U133" i="15" a="1"/>
  <c r="U133" i="15" s="1"/>
  <c r="V133" i="15" a="1"/>
  <c r="V133" i="15" s="1"/>
  <c r="W133" i="15" a="1"/>
  <c r="W133" i="15" s="1"/>
  <c r="X133" i="15" a="1"/>
  <c r="X133" i="15" s="1"/>
  <c r="K134" i="15" a="1"/>
  <c r="K134" i="15" s="1"/>
  <c r="L134" i="15" a="1"/>
  <c r="L134" i="15" s="1"/>
  <c r="M134" i="15" a="1"/>
  <c r="M134" i="15" s="1"/>
  <c r="N134" i="15" a="1"/>
  <c r="N134" i="15" s="1"/>
  <c r="O134" i="15" a="1"/>
  <c r="O134" i="15" s="1"/>
  <c r="P134" i="15" a="1"/>
  <c r="P134" i="15" s="1"/>
  <c r="Q134" i="15" a="1"/>
  <c r="Q134" i="15" s="1"/>
  <c r="R134" i="15" a="1"/>
  <c r="R134" i="15" s="1"/>
  <c r="U134" i="15" a="1"/>
  <c r="U134" i="15" s="1"/>
  <c r="V134" i="15" a="1"/>
  <c r="V134" i="15" s="1"/>
  <c r="W134" i="15" a="1"/>
  <c r="W134" i="15" s="1"/>
  <c r="X134" i="15" a="1"/>
  <c r="X134" i="15" s="1"/>
  <c r="K135" i="15" a="1"/>
  <c r="K135" i="15" s="1"/>
  <c r="L135" i="15" a="1"/>
  <c r="L135" i="15" s="1"/>
  <c r="M135" i="15" a="1"/>
  <c r="M135" i="15" s="1"/>
  <c r="N135" i="15" a="1"/>
  <c r="N135" i="15" s="1"/>
  <c r="O135" i="15" a="1"/>
  <c r="O135" i="15" s="1"/>
  <c r="P135" i="15" a="1"/>
  <c r="P135" i="15" s="1"/>
  <c r="Q135" i="15" a="1"/>
  <c r="Q135" i="15" s="1"/>
  <c r="R135" i="15" a="1"/>
  <c r="R135" i="15" s="1"/>
  <c r="U135" i="15" a="1"/>
  <c r="U135" i="15" s="1"/>
  <c r="V135" i="15" a="1"/>
  <c r="V135" i="15" s="1"/>
  <c r="W135" i="15" a="1"/>
  <c r="W135" i="15" s="1"/>
  <c r="X135" i="15" a="1"/>
  <c r="X135" i="15" s="1"/>
  <c r="K136" i="15" a="1"/>
  <c r="K136" i="15" s="1"/>
  <c r="L136" i="15" a="1"/>
  <c r="L136" i="15" s="1"/>
  <c r="M136" i="15" a="1"/>
  <c r="M136" i="15" s="1"/>
  <c r="N136" i="15" a="1"/>
  <c r="N136" i="15" s="1"/>
  <c r="O136" i="15" a="1"/>
  <c r="O136" i="15" s="1"/>
  <c r="P136" i="15" a="1"/>
  <c r="P136" i="15" s="1"/>
  <c r="Q136" i="15" a="1"/>
  <c r="Q136" i="15" s="1"/>
  <c r="R136" i="15" a="1"/>
  <c r="R136" i="15" s="1"/>
  <c r="U136" i="15" a="1"/>
  <c r="U136" i="15" s="1"/>
  <c r="V136" i="15" a="1"/>
  <c r="V136" i="15" s="1"/>
  <c r="W136" i="15" a="1"/>
  <c r="W136" i="15" s="1"/>
  <c r="X136" i="15" a="1"/>
  <c r="X136" i="15" s="1"/>
  <c r="K137" i="15" a="1"/>
  <c r="K137" i="15" s="1"/>
  <c r="L137" i="15" a="1"/>
  <c r="L137" i="15" s="1"/>
  <c r="M137" i="15" a="1"/>
  <c r="M137" i="15" s="1"/>
  <c r="N137" i="15" a="1"/>
  <c r="N137" i="15" s="1"/>
  <c r="O137" i="15" a="1"/>
  <c r="O137" i="15" s="1"/>
  <c r="P137" i="15" a="1"/>
  <c r="P137" i="15" s="1"/>
  <c r="Q137" i="15" a="1"/>
  <c r="Q137" i="15" s="1"/>
  <c r="R137" i="15" a="1"/>
  <c r="R137" i="15" s="1"/>
  <c r="U137" i="15" a="1"/>
  <c r="U137" i="15" s="1"/>
  <c r="V137" i="15" a="1"/>
  <c r="V137" i="15" s="1"/>
  <c r="W137" i="15" a="1"/>
  <c r="W137" i="15" s="1"/>
  <c r="X137" i="15" a="1"/>
  <c r="X137" i="15" s="1"/>
  <c r="K138" i="15" a="1"/>
  <c r="K138" i="15" s="1"/>
  <c r="L138" i="15" a="1"/>
  <c r="L138" i="15" s="1"/>
  <c r="M138" i="15" a="1"/>
  <c r="M138" i="15" s="1"/>
  <c r="N138" i="15" a="1"/>
  <c r="N138" i="15" s="1"/>
  <c r="O138" i="15" a="1"/>
  <c r="O138" i="15" s="1"/>
  <c r="P138" i="15" a="1"/>
  <c r="P138" i="15" s="1"/>
  <c r="Q138" i="15" a="1"/>
  <c r="Q138" i="15" s="1"/>
  <c r="R138" i="15" a="1"/>
  <c r="R138" i="15" s="1"/>
  <c r="U138" i="15" a="1"/>
  <c r="U138" i="15" s="1"/>
  <c r="V138" i="15" a="1"/>
  <c r="V138" i="15" s="1"/>
  <c r="W138" i="15" a="1"/>
  <c r="W138" i="15" s="1"/>
  <c r="X138" i="15" a="1"/>
  <c r="X138" i="15" s="1"/>
  <c r="K139" i="15" a="1"/>
  <c r="K139" i="15" s="1"/>
  <c r="L139" i="15" a="1"/>
  <c r="L139" i="15" s="1"/>
  <c r="M139" i="15" a="1"/>
  <c r="M139" i="15" s="1"/>
  <c r="N139" i="15" a="1"/>
  <c r="N139" i="15" s="1"/>
  <c r="O139" i="15" a="1"/>
  <c r="O139" i="15" s="1"/>
  <c r="P139" i="15" a="1"/>
  <c r="P139" i="15" s="1"/>
  <c r="Q139" i="15" a="1"/>
  <c r="Q139" i="15" s="1"/>
  <c r="R139" i="15" a="1"/>
  <c r="R139" i="15" s="1"/>
  <c r="U139" i="15" a="1"/>
  <c r="U139" i="15" s="1"/>
  <c r="V139" i="15" a="1"/>
  <c r="V139" i="15" s="1"/>
  <c r="W139" i="15" a="1"/>
  <c r="W139" i="15" s="1"/>
  <c r="X139" i="15" a="1"/>
  <c r="X139" i="15" s="1"/>
  <c r="K140" i="15" a="1"/>
  <c r="K140" i="15" s="1"/>
  <c r="L140" i="15" a="1"/>
  <c r="L140" i="15" s="1"/>
  <c r="M140" i="15" a="1"/>
  <c r="M140" i="15" s="1"/>
  <c r="N140" i="15" a="1"/>
  <c r="N140" i="15" s="1"/>
  <c r="O140" i="15" a="1"/>
  <c r="O140" i="15" s="1"/>
  <c r="P140" i="15" a="1"/>
  <c r="P140" i="15" s="1"/>
  <c r="Q140" i="15" a="1"/>
  <c r="Q140" i="15" s="1"/>
  <c r="R140" i="15" a="1"/>
  <c r="R140" i="15" s="1"/>
  <c r="U140" i="15" a="1"/>
  <c r="U140" i="15" s="1"/>
  <c r="V140" i="15" a="1"/>
  <c r="V140" i="15" s="1"/>
  <c r="W140" i="15" a="1"/>
  <c r="W140" i="15" s="1"/>
  <c r="X140" i="15" a="1"/>
  <c r="X140" i="15" s="1"/>
  <c r="K141" i="15" a="1"/>
  <c r="K141" i="15" s="1"/>
  <c r="L141" i="15" a="1"/>
  <c r="L141" i="15" s="1"/>
  <c r="M141" i="15" a="1"/>
  <c r="M141" i="15" s="1"/>
  <c r="N141" i="15" a="1"/>
  <c r="N141" i="15" s="1"/>
  <c r="O141" i="15" a="1"/>
  <c r="O141" i="15" s="1"/>
  <c r="P141" i="15" a="1"/>
  <c r="P141" i="15" s="1"/>
  <c r="Q141" i="15" a="1"/>
  <c r="Q141" i="15" s="1"/>
  <c r="R141" i="15" a="1"/>
  <c r="R141" i="15" s="1"/>
  <c r="U141" i="15" a="1"/>
  <c r="U141" i="15" s="1"/>
  <c r="V141" i="15" a="1"/>
  <c r="V141" i="15" s="1"/>
  <c r="W141" i="15" a="1"/>
  <c r="W141" i="15" s="1"/>
  <c r="X141" i="15" a="1"/>
  <c r="X141" i="15" s="1"/>
  <c r="K142" i="15" a="1"/>
  <c r="K142" i="15" s="1"/>
  <c r="L142" i="15" a="1"/>
  <c r="L142" i="15" s="1"/>
  <c r="M142" i="15" a="1"/>
  <c r="M142" i="15" s="1"/>
  <c r="N142" i="15" a="1"/>
  <c r="N142" i="15" s="1"/>
  <c r="O142" i="15" a="1"/>
  <c r="O142" i="15" s="1"/>
  <c r="P142" i="15" a="1"/>
  <c r="P142" i="15" s="1"/>
  <c r="Q142" i="15" a="1"/>
  <c r="Q142" i="15" s="1"/>
  <c r="R142" i="15" a="1"/>
  <c r="R142" i="15" s="1"/>
  <c r="U142" i="15" a="1"/>
  <c r="U142" i="15" s="1"/>
  <c r="V142" i="15" a="1"/>
  <c r="V142" i="15" s="1"/>
  <c r="W142" i="15" a="1"/>
  <c r="W142" i="15" s="1"/>
  <c r="X142" i="15" a="1"/>
  <c r="X142" i="15" s="1"/>
  <c r="K143" i="15" a="1"/>
  <c r="K143" i="15" s="1"/>
  <c r="L143" i="15" a="1"/>
  <c r="L143" i="15" s="1"/>
  <c r="M143" i="15" a="1"/>
  <c r="M143" i="15" s="1"/>
  <c r="N143" i="15" a="1"/>
  <c r="N143" i="15" s="1"/>
  <c r="O143" i="15" a="1"/>
  <c r="O143" i="15" s="1"/>
  <c r="P143" i="15" a="1"/>
  <c r="P143" i="15" s="1"/>
  <c r="Q143" i="15" a="1"/>
  <c r="Q143" i="15" s="1"/>
  <c r="R143" i="15" a="1"/>
  <c r="R143" i="15" s="1"/>
  <c r="U143" i="15" a="1"/>
  <c r="U143" i="15" s="1"/>
  <c r="V143" i="15" a="1"/>
  <c r="V143" i="15" s="1"/>
  <c r="W143" i="15" a="1"/>
  <c r="W143" i="15" s="1"/>
  <c r="X143" i="15" a="1"/>
  <c r="X143" i="15" s="1"/>
  <c r="K144" i="15" a="1"/>
  <c r="K144" i="15" s="1"/>
  <c r="L144" i="15" a="1"/>
  <c r="L144" i="15" s="1"/>
  <c r="M144" i="15" a="1"/>
  <c r="M144" i="15" s="1"/>
  <c r="N144" i="15" a="1"/>
  <c r="N144" i="15" s="1"/>
  <c r="O144" i="15" a="1"/>
  <c r="O144" i="15" s="1"/>
  <c r="P144" i="15" a="1"/>
  <c r="P144" i="15" s="1"/>
  <c r="Q144" i="15" a="1"/>
  <c r="Q144" i="15" s="1"/>
  <c r="R144" i="15" a="1"/>
  <c r="R144" i="15" s="1"/>
  <c r="U144" i="15" a="1"/>
  <c r="U144" i="15" s="1"/>
  <c r="V144" i="15" a="1"/>
  <c r="V144" i="15" s="1"/>
  <c r="W144" i="15" a="1"/>
  <c r="W144" i="15" s="1"/>
  <c r="X144" i="15" a="1"/>
  <c r="X144" i="15" s="1"/>
  <c r="K145" i="15" a="1"/>
  <c r="K145" i="15" s="1"/>
  <c r="L145" i="15" a="1"/>
  <c r="L145" i="15" s="1"/>
  <c r="M145" i="15" a="1"/>
  <c r="M145" i="15" s="1"/>
  <c r="N145" i="15" a="1"/>
  <c r="N145" i="15" s="1"/>
  <c r="O145" i="15" a="1"/>
  <c r="O145" i="15" s="1"/>
  <c r="P145" i="15" a="1"/>
  <c r="P145" i="15" s="1"/>
  <c r="Q145" i="15" a="1"/>
  <c r="Q145" i="15" s="1"/>
  <c r="R145" i="15" a="1"/>
  <c r="R145" i="15" s="1"/>
  <c r="U145" i="15" a="1"/>
  <c r="U145" i="15" s="1"/>
  <c r="V145" i="15" a="1"/>
  <c r="V145" i="15" s="1"/>
  <c r="W145" i="15" a="1"/>
  <c r="W145" i="15" s="1"/>
  <c r="X145" i="15" a="1"/>
  <c r="X145" i="15" s="1"/>
  <c r="K146" i="15" a="1"/>
  <c r="K146" i="15" s="1"/>
  <c r="L146" i="15" a="1"/>
  <c r="L146" i="15" s="1"/>
  <c r="M146" i="15" a="1"/>
  <c r="M146" i="15" s="1"/>
  <c r="N146" i="15" a="1"/>
  <c r="N146" i="15" s="1"/>
  <c r="O146" i="15" a="1"/>
  <c r="O146" i="15" s="1"/>
  <c r="P146" i="15" a="1"/>
  <c r="P146" i="15" s="1"/>
  <c r="Q146" i="15" a="1"/>
  <c r="Q146" i="15" s="1"/>
  <c r="R146" i="15" a="1"/>
  <c r="R146" i="15" s="1"/>
  <c r="U146" i="15" a="1"/>
  <c r="U146" i="15" s="1"/>
  <c r="V146" i="15" a="1"/>
  <c r="V146" i="15" s="1"/>
  <c r="W146" i="15" a="1"/>
  <c r="W146" i="15" s="1"/>
  <c r="X146" i="15" a="1"/>
  <c r="X146" i="15" s="1"/>
  <c r="K147" i="15" a="1"/>
  <c r="K147" i="15" s="1"/>
  <c r="L147" i="15" a="1"/>
  <c r="L147" i="15" s="1"/>
  <c r="M147" i="15" a="1"/>
  <c r="M147" i="15" s="1"/>
  <c r="N147" i="15" a="1"/>
  <c r="N147" i="15" s="1"/>
  <c r="O147" i="15" a="1"/>
  <c r="O147" i="15" s="1"/>
  <c r="P147" i="15" a="1"/>
  <c r="P147" i="15" s="1"/>
  <c r="Q147" i="15" a="1"/>
  <c r="Q147" i="15" s="1"/>
  <c r="R147" i="15" a="1"/>
  <c r="R147" i="15" s="1"/>
  <c r="U147" i="15" a="1"/>
  <c r="U147" i="15" s="1"/>
  <c r="V147" i="15" a="1"/>
  <c r="V147" i="15" s="1"/>
  <c r="W147" i="15" a="1"/>
  <c r="W147" i="15" s="1"/>
  <c r="X147" i="15" a="1"/>
  <c r="X147" i="15" s="1"/>
  <c r="K148" i="15" a="1"/>
  <c r="K148" i="15" s="1"/>
  <c r="L148" i="15" a="1"/>
  <c r="L148" i="15" s="1"/>
  <c r="M148" i="15" a="1"/>
  <c r="M148" i="15" s="1"/>
  <c r="N148" i="15" a="1"/>
  <c r="N148" i="15" s="1"/>
  <c r="O148" i="15" a="1"/>
  <c r="O148" i="15" s="1"/>
  <c r="P148" i="15" a="1"/>
  <c r="P148" i="15" s="1"/>
  <c r="Q148" i="15" a="1"/>
  <c r="Q148" i="15" s="1"/>
  <c r="R148" i="15" a="1"/>
  <c r="R148" i="15" s="1"/>
  <c r="U148" i="15" a="1"/>
  <c r="U148" i="15" s="1"/>
  <c r="V148" i="15" a="1"/>
  <c r="V148" i="15" s="1"/>
  <c r="W148" i="15" a="1"/>
  <c r="W148" i="15" s="1"/>
  <c r="X148" i="15" a="1"/>
  <c r="X148" i="15" s="1"/>
  <c r="K149" i="15" a="1"/>
  <c r="K149" i="15" s="1"/>
  <c r="L149" i="15" a="1"/>
  <c r="L149" i="15" s="1"/>
  <c r="M149" i="15" a="1"/>
  <c r="M149" i="15" s="1"/>
  <c r="N149" i="15" a="1"/>
  <c r="N149" i="15" s="1"/>
  <c r="O149" i="15" a="1"/>
  <c r="O149" i="15" s="1"/>
  <c r="P149" i="15" a="1"/>
  <c r="P149" i="15" s="1"/>
  <c r="Q149" i="15" a="1"/>
  <c r="Q149" i="15" s="1"/>
  <c r="R149" i="15" a="1"/>
  <c r="R149" i="15" s="1"/>
  <c r="U149" i="15" a="1"/>
  <c r="U149" i="15" s="1"/>
  <c r="V149" i="15" a="1"/>
  <c r="V149" i="15" s="1"/>
  <c r="W149" i="15" a="1"/>
  <c r="W149" i="15" s="1"/>
  <c r="X149" i="15" a="1"/>
  <c r="X149" i="15" s="1"/>
  <c r="K150" i="15" a="1"/>
  <c r="K150" i="15" s="1"/>
  <c r="L150" i="15" a="1"/>
  <c r="L150" i="15" s="1"/>
  <c r="M150" i="15" a="1"/>
  <c r="M150" i="15" s="1"/>
  <c r="N150" i="15" a="1"/>
  <c r="N150" i="15" s="1"/>
  <c r="O150" i="15" a="1"/>
  <c r="O150" i="15" s="1"/>
  <c r="P150" i="15" a="1"/>
  <c r="P150" i="15" s="1"/>
  <c r="Q150" i="15" a="1"/>
  <c r="Q150" i="15" s="1"/>
  <c r="R150" i="15" a="1"/>
  <c r="R150" i="15" s="1"/>
  <c r="U150" i="15" a="1"/>
  <c r="U150" i="15" s="1"/>
  <c r="V150" i="15" a="1"/>
  <c r="V150" i="15" s="1"/>
  <c r="W150" i="15" a="1"/>
  <c r="W150" i="15" s="1"/>
  <c r="X150" i="15" a="1"/>
  <c r="X150" i="15" s="1"/>
  <c r="K151" i="15" a="1"/>
  <c r="K151" i="15" s="1"/>
  <c r="L151" i="15" a="1"/>
  <c r="L151" i="15" s="1"/>
  <c r="M151" i="15" a="1"/>
  <c r="M151" i="15" s="1"/>
  <c r="N151" i="15" a="1"/>
  <c r="N151" i="15" s="1"/>
  <c r="O151" i="15" a="1"/>
  <c r="O151" i="15" s="1"/>
  <c r="P151" i="15" a="1"/>
  <c r="P151" i="15" s="1"/>
  <c r="Q151" i="15" a="1"/>
  <c r="Q151" i="15" s="1"/>
  <c r="R151" i="15" a="1"/>
  <c r="R151" i="15" s="1"/>
  <c r="U151" i="15" a="1"/>
  <c r="U151" i="15" s="1"/>
  <c r="V151" i="15" a="1"/>
  <c r="V151" i="15" s="1"/>
  <c r="W151" i="15" a="1"/>
  <c r="W151" i="15" s="1"/>
  <c r="X151" i="15" a="1"/>
  <c r="X151" i="15" s="1"/>
  <c r="K152" i="15" a="1"/>
  <c r="K152" i="15" s="1"/>
  <c r="L152" i="15" a="1"/>
  <c r="L152" i="15" s="1"/>
  <c r="M152" i="15" a="1"/>
  <c r="M152" i="15" s="1"/>
  <c r="N152" i="15" a="1"/>
  <c r="N152" i="15" s="1"/>
  <c r="O152" i="15" a="1"/>
  <c r="O152" i="15" s="1"/>
  <c r="P152" i="15" a="1"/>
  <c r="P152" i="15" s="1"/>
  <c r="Q152" i="15" a="1"/>
  <c r="Q152" i="15" s="1"/>
  <c r="R152" i="15" a="1"/>
  <c r="R152" i="15" s="1"/>
  <c r="U152" i="15" a="1"/>
  <c r="U152" i="15" s="1"/>
  <c r="V152" i="15" a="1"/>
  <c r="V152" i="15" s="1"/>
  <c r="W152" i="15" a="1"/>
  <c r="W152" i="15" s="1"/>
  <c r="X152" i="15" a="1"/>
  <c r="X152" i="15" s="1"/>
  <c r="K153" i="15" a="1"/>
  <c r="K153" i="15" s="1"/>
  <c r="L153" i="15" a="1"/>
  <c r="L153" i="15" s="1"/>
  <c r="M153" i="15" a="1"/>
  <c r="M153" i="15" s="1"/>
  <c r="N153" i="15" a="1"/>
  <c r="N153" i="15" s="1"/>
  <c r="O153" i="15" a="1"/>
  <c r="O153" i="15" s="1"/>
  <c r="P153" i="15" a="1"/>
  <c r="P153" i="15" s="1"/>
  <c r="Q153" i="15" a="1"/>
  <c r="Q153" i="15" s="1"/>
  <c r="R153" i="15" a="1"/>
  <c r="R153" i="15" s="1"/>
  <c r="U153" i="15" a="1"/>
  <c r="U153" i="15" s="1"/>
  <c r="V153" i="15" a="1"/>
  <c r="V153" i="15" s="1"/>
  <c r="W153" i="15" a="1"/>
  <c r="W153" i="15" s="1"/>
  <c r="X153" i="15" a="1"/>
  <c r="X153" i="15" s="1"/>
  <c r="K154" i="15" a="1"/>
  <c r="K154" i="15" s="1"/>
  <c r="L154" i="15" a="1"/>
  <c r="L154" i="15" s="1"/>
  <c r="M154" i="15" a="1"/>
  <c r="M154" i="15" s="1"/>
  <c r="N154" i="15" a="1"/>
  <c r="N154" i="15" s="1"/>
  <c r="O154" i="15" a="1"/>
  <c r="O154" i="15" s="1"/>
  <c r="P154" i="15" a="1"/>
  <c r="P154" i="15" s="1"/>
  <c r="Q154" i="15" a="1"/>
  <c r="Q154" i="15" s="1"/>
  <c r="R154" i="15" a="1"/>
  <c r="R154" i="15" s="1"/>
  <c r="U154" i="15" a="1"/>
  <c r="U154" i="15" s="1"/>
  <c r="V154" i="15" a="1"/>
  <c r="V154" i="15" s="1"/>
  <c r="W154" i="15" a="1"/>
  <c r="W154" i="15" s="1"/>
  <c r="X154" i="15" a="1"/>
  <c r="X154" i="15" s="1"/>
  <c r="K155" i="15" a="1"/>
  <c r="K155" i="15" s="1"/>
  <c r="L155" i="15" a="1"/>
  <c r="L155" i="15" s="1"/>
  <c r="M155" i="15" a="1"/>
  <c r="M155" i="15" s="1"/>
  <c r="N155" i="15" a="1"/>
  <c r="N155" i="15" s="1"/>
  <c r="O155" i="15" a="1"/>
  <c r="O155" i="15" s="1"/>
  <c r="P155" i="15" a="1"/>
  <c r="P155" i="15" s="1"/>
  <c r="Q155" i="15" a="1"/>
  <c r="Q155" i="15" s="1"/>
  <c r="R155" i="15" a="1"/>
  <c r="R155" i="15" s="1"/>
  <c r="U155" i="15" a="1"/>
  <c r="U155" i="15" s="1"/>
  <c r="V155" i="15" a="1"/>
  <c r="V155" i="15" s="1"/>
  <c r="W155" i="15" a="1"/>
  <c r="W155" i="15" s="1"/>
  <c r="X155" i="15" a="1"/>
  <c r="X155" i="15" s="1"/>
  <c r="K156" i="15" a="1"/>
  <c r="K156" i="15" s="1"/>
  <c r="L156" i="15" a="1"/>
  <c r="L156" i="15" s="1"/>
  <c r="M156" i="15" a="1"/>
  <c r="M156" i="15" s="1"/>
  <c r="N156" i="15" a="1"/>
  <c r="N156" i="15" s="1"/>
  <c r="O156" i="15" a="1"/>
  <c r="O156" i="15" s="1"/>
  <c r="P156" i="15" a="1"/>
  <c r="P156" i="15" s="1"/>
  <c r="Q156" i="15" a="1"/>
  <c r="Q156" i="15" s="1"/>
  <c r="R156" i="15" a="1"/>
  <c r="R156" i="15" s="1"/>
  <c r="U156" i="15" a="1"/>
  <c r="U156" i="15" s="1"/>
  <c r="V156" i="15" a="1"/>
  <c r="V156" i="15" s="1"/>
  <c r="W156" i="15" a="1"/>
  <c r="W156" i="15" s="1"/>
  <c r="X156" i="15" a="1"/>
  <c r="X156" i="15" s="1"/>
  <c r="K157" i="15" a="1"/>
  <c r="K157" i="15" s="1"/>
  <c r="L157" i="15" a="1"/>
  <c r="L157" i="15" s="1"/>
  <c r="M157" i="15" a="1"/>
  <c r="M157" i="15" s="1"/>
  <c r="N157" i="15" a="1"/>
  <c r="N157" i="15" s="1"/>
  <c r="O157" i="15" a="1"/>
  <c r="O157" i="15" s="1"/>
  <c r="P157" i="15" a="1"/>
  <c r="P157" i="15" s="1"/>
  <c r="Q157" i="15" a="1"/>
  <c r="Q157" i="15" s="1"/>
  <c r="R157" i="15" a="1"/>
  <c r="R157" i="15" s="1"/>
  <c r="U157" i="15" a="1"/>
  <c r="U157" i="15" s="1"/>
  <c r="V157" i="15" a="1"/>
  <c r="V157" i="15" s="1"/>
  <c r="W157" i="15" a="1"/>
  <c r="W157" i="15" s="1"/>
  <c r="X157" i="15" a="1"/>
  <c r="X157" i="15" s="1"/>
  <c r="K158" i="15" a="1"/>
  <c r="K158" i="15" s="1"/>
  <c r="L158" i="15" a="1"/>
  <c r="L158" i="15" s="1"/>
  <c r="M158" i="15" a="1"/>
  <c r="M158" i="15" s="1"/>
  <c r="N158" i="15" a="1"/>
  <c r="N158" i="15" s="1"/>
  <c r="O158" i="15" a="1"/>
  <c r="O158" i="15" s="1"/>
  <c r="P158" i="15" a="1"/>
  <c r="P158" i="15" s="1"/>
  <c r="Q158" i="15" a="1"/>
  <c r="Q158" i="15" s="1"/>
  <c r="R158" i="15" a="1"/>
  <c r="R158" i="15" s="1"/>
  <c r="U158" i="15" a="1"/>
  <c r="U158" i="15" s="1"/>
  <c r="V158" i="15" a="1"/>
  <c r="V158" i="15" s="1"/>
  <c r="W158" i="15" a="1"/>
  <c r="W158" i="15" s="1"/>
  <c r="X158" i="15" a="1"/>
  <c r="X158" i="15" s="1"/>
  <c r="K159" i="15" a="1"/>
  <c r="K159" i="15" s="1"/>
  <c r="L159" i="15" a="1"/>
  <c r="L159" i="15" s="1"/>
  <c r="M159" i="15" a="1"/>
  <c r="M159" i="15" s="1"/>
  <c r="N159" i="15" a="1"/>
  <c r="N159" i="15" s="1"/>
  <c r="O159" i="15" a="1"/>
  <c r="O159" i="15" s="1"/>
  <c r="P159" i="15" a="1"/>
  <c r="P159" i="15" s="1"/>
  <c r="Q159" i="15" a="1"/>
  <c r="Q159" i="15" s="1"/>
  <c r="R159" i="15" a="1"/>
  <c r="R159" i="15" s="1"/>
  <c r="U159" i="15" a="1"/>
  <c r="U159" i="15" s="1"/>
  <c r="V159" i="15" a="1"/>
  <c r="V159" i="15" s="1"/>
  <c r="W159" i="15" a="1"/>
  <c r="W159" i="15" s="1"/>
  <c r="X159" i="15" a="1"/>
  <c r="X159" i="15" s="1"/>
  <c r="K160" i="15" a="1"/>
  <c r="K160" i="15" s="1"/>
  <c r="L160" i="15" a="1"/>
  <c r="L160" i="15" s="1"/>
  <c r="M160" i="15" a="1"/>
  <c r="M160" i="15" s="1"/>
  <c r="N160" i="15" a="1"/>
  <c r="N160" i="15" s="1"/>
  <c r="O160" i="15" a="1"/>
  <c r="O160" i="15" s="1"/>
  <c r="P160" i="15" a="1"/>
  <c r="P160" i="15" s="1"/>
  <c r="Q160" i="15" a="1"/>
  <c r="Q160" i="15" s="1"/>
  <c r="R160" i="15" a="1"/>
  <c r="R160" i="15" s="1"/>
  <c r="U160" i="15" a="1"/>
  <c r="U160" i="15" s="1"/>
  <c r="V160" i="15" a="1"/>
  <c r="V160" i="15" s="1"/>
  <c r="W160" i="15" a="1"/>
  <c r="W160" i="15" s="1"/>
  <c r="X160" i="15" a="1"/>
  <c r="X160" i="15" s="1"/>
  <c r="K161" i="15" a="1"/>
  <c r="K161" i="15" s="1"/>
  <c r="L161" i="15" a="1"/>
  <c r="L161" i="15" s="1"/>
  <c r="M161" i="15" a="1"/>
  <c r="M161" i="15" s="1"/>
  <c r="N161" i="15" a="1"/>
  <c r="N161" i="15" s="1"/>
  <c r="O161" i="15" a="1"/>
  <c r="O161" i="15" s="1"/>
  <c r="P161" i="15" a="1"/>
  <c r="P161" i="15" s="1"/>
  <c r="Q161" i="15" a="1"/>
  <c r="Q161" i="15" s="1"/>
  <c r="R161" i="15" a="1"/>
  <c r="R161" i="15" s="1"/>
  <c r="U161" i="15" a="1"/>
  <c r="U161" i="15" s="1"/>
  <c r="V161" i="15" a="1"/>
  <c r="V161" i="15" s="1"/>
  <c r="W161" i="15" a="1"/>
  <c r="W161" i="15" s="1"/>
  <c r="X161" i="15" a="1"/>
  <c r="X161" i="15" s="1"/>
  <c r="K162" i="15" a="1"/>
  <c r="K162" i="15" s="1"/>
  <c r="L162" i="15" a="1"/>
  <c r="L162" i="15" s="1"/>
  <c r="M162" i="15" a="1"/>
  <c r="M162" i="15" s="1"/>
  <c r="N162" i="15" a="1"/>
  <c r="N162" i="15" s="1"/>
  <c r="O162" i="15" a="1"/>
  <c r="O162" i="15" s="1"/>
  <c r="P162" i="15" a="1"/>
  <c r="P162" i="15" s="1"/>
  <c r="Q162" i="15" a="1"/>
  <c r="Q162" i="15" s="1"/>
  <c r="R162" i="15" a="1"/>
  <c r="R162" i="15" s="1"/>
  <c r="U162" i="15" a="1"/>
  <c r="U162" i="15" s="1"/>
  <c r="V162" i="15" a="1"/>
  <c r="V162" i="15" s="1"/>
  <c r="W162" i="15" a="1"/>
  <c r="W162" i="15" s="1"/>
  <c r="X162" i="15" a="1"/>
  <c r="X162" i="15" s="1"/>
  <c r="K163" i="15" a="1"/>
  <c r="K163" i="15" s="1"/>
  <c r="L163" i="15" a="1"/>
  <c r="L163" i="15" s="1"/>
  <c r="M163" i="15" a="1"/>
  <c r="M163" i="15" s="1"/>
  <c r="N163" i="15" a="1"/>
  <c r="N163" i="15" s="1"/>
  <c r="O163" i="15" a="1"/>
  <c r="O163" i="15" s="1"/>
  <c r="P163" i="15" a="1"/>
  <c r="P163" i="15" s="1"/>
  <c r="Q163" i="15" a="1"/>
  <c r="Q163" i="15" s="1"/>
  <c r="R163" i="15" a="1"/>
  <c r="R163" i="15" s="1"/>
  <c r="U163" i="15" a="1"/>
  <c r="U163" i="15" s="1"/>
  <c r="V163" i="15" a="1"/>
  <c r="V163" i="15" s="1"/>
  <c r="W163" i="15" a="1"/>
  <c r="W163" i="15" s="1"/>
  <c r="X163" i="15" a="1"/>
  <c r="X163" i="15" s="1"/>
  <c r="K164" i="15" a="1"/>
  <c r="K164" i="15" s="1"/>
  <c r="L164" i="15" a="1"/>
  <c r="L164" i="15" s="1"/>
  <c r="M164" i="15" a="1"/>
  <c r="M164" i="15" s="1"/>
  <c r="N164" i="15" a="1"/>
  <c r="N164" i="15" s="1"/>
  <c r="O164" i="15" a="1"/>
  <c r="O164" i="15" s="1"/>
  <c r="P164" i="15" a="1"/>
  <c r="P164" i="15" s="1"/>
  <c r="Q164" i="15" a="1"/>
  <c r="Q164" i="15" s="1"/>
  <c r="R164" i="15" a="1"/>
  <c r="R164" i="15" s="1"/>
  <c r="U164" i="15" a="1"/>
  <c r="U164" i="15" s="1"/>
  <c r="V164" i="15" a="1"/>
  <c r="V164" i="15" s="1"/>
  <c r="W164" i="15" a="1"/>
  <c r="W164" i="15" s="1"/>
  <c r="X164" i="15" a="1"/>
  <c r="X164" i="15" s="1"/>
  <c r="K165" i="15" a="1"/>
  <c r="K165" i="15" s="1"/>
  <c r="L165" i="15" a="1"/>
  <c r="L165" i="15" s="1"/>
  <c r="M165" i="15" a="1"/>
  <c r="M165" i="15" s="1"/>
  <c r="N165" i="15" a="1"/>
  <c r="N165" i="15" s="1"/>
  <c r="O165" i="15" a="1"/>
  <c r="O165" i="15" s="1"/>
  <c r="P165" i="15" a="1"/>
  <c r="P165" i="15" s="1"/>
  <c r="Q165" i="15" a="1"/>
  <c r="Q165" i="15" s="1"/>
  <c r="R165" i="15" a="1"/>
  <c r="R165" i="15" s="1"/>
  <c r="U165" i="15" a="1"/>
  <c r="U165" i="15" s="1"/>
  <c r="V165" i="15" a="1"/>
  <c r="V165" i="15" s="1"/>
  <c r="W165" i="15" a="1"/>
  <c r="W165" i="15" s="1"/>
  <c r="X165" i="15" a="1"/>
  <c r="X165" i="15" s="1"/>
  <c r="K166" i="15" a="1"/>
  <c r="K166" i="15" s="1"/>
  <c r="L166" i="15" a="1"/>
  <c r="L166" i="15" s="1"/>
  <c r="M166" i="15" a="1"/>
  <c r="M166" i="15" s="1"/>
  <c r="N166" i="15" a="1"/>
  <c r="N166" i="15" s="1"/>
  <c r="O166" i="15" a="1"/>
  <c r="O166" i="15" s="1"/>
  <c r="P166" i="15" a="1"/>
  <c r="P166" i="15" s="1"/>
  <c r="Q166" i="15" a="1"/>
  <c r="Q166" i="15" s="1"/>
  <c r="R166" i="15" a="1"/>
  <c r="R166" i="15" s="1"/>
  <c r="U166" i="15" a="1"/>
  <c r="U166" i="15" s="1"/>
  <c r="V166" i="15" a="1"/>
  <c r="V166" i="15" s="1"/>
  <c r="W166" i="15" a="1"/>
  <c r="W166" i="15" s="1"/>
  <c r="X166" i="15" a="1"/>
  <c r="X166" i="15" s="1"/>
  <c r="K167" i="15" a="1"/>
  <c r="K167" i="15" s="1"/>
  <c r="L167" i="15" a="1"/>
  <c r="L167" i="15" s="1"/>
  <c r="M167" i="15" a="1"/>
  <c r="M167" i="15" s="1"/>
  <c r="N167" i="15" a="1"/>
  <c r="N167" i="15" s="1"/>
  <c r="O167" i="15" a="1"/>
  <c r="O167" i="15" s="1"/>
  <c r="P167" i="15" a="1"/>
  <c r="P167" i="15" s="1"/>
  <c r="Q167" i="15" a="1"/>
  <c r="Q167" i="15" s="1"/>
  <c r="R167" i="15" a="1"/>
  <c r="R167" i="15" s="1"/>
  <c r="U167" i="15" a="1"/>
  <c r="U167" i="15" s="1"/>
  <c r="V167" i="15" a="1"/>
  <c r="V167" i="15" s="1"/>
  <c r="W167" i="15" a="1"/>
  <c r="W167" i="15" s="1"/>
  <c r="X167" i="15" a="1"/>
  <c r="X167" i="15" s="1"/>
  <c r="K168" i="15" a="1"/>
  <c r="K168" i="15" s="1"/>
  <c r="L168" i="15" a="1"/>
  <c r="L168" i="15" s="1"/>
  <c r="M168" i="15" a="1"/>
  <c r="M168" i="15" s="1"/>
  <c r="N168" i="15" a="1"/>
  <c r="N168" i="15" s="1"/>
  <c r="O168" i="15" a="1"/>
  <c r="O168" i="15" s="1"/>
  <c r="P168" i="15" a="1"/>
  <c r="P168" i="15" s="1"/>
  <c r="Q168" i="15" a="1"/>
  <c r="Q168" i="15" s="1"/>
  <c r="R168" i="15" a="1"/>
  <c r="R168" i="15" s="1"/>
  <c r="U168" i="15" a="1"/>
  <c r="U168" i="15" s="1"/>
  <c r="V168" i="15" a="1"/>
  <c r="V168" i="15" s="1"/>
  <c r="W168" i="15" a="1"/>
  <c r="W168" i="15" s="1"/>
  <c r="X168" i="15" a="1"/>
  <c r="X168" i="15" s="1"/>
  <c r="K169" i="15" a="1"/>
  <c r="K169" i="15" s="1"/>
  <c r="L169" i="15" a="1"/>
  <c r="L169" i="15" s="1"/>
  <c r="M169" i="15" a="1"/>
  <c r="M169" i="15" s="1"/>
  <c r="N169" i="15" a="1"/>
  <c r="N169" i="15" s="1"/>
  <c r="O169" i="15" a="1"/>
  <c r="O169" i="15" s="1"/>
  <c r="P169" i="15" a="1"/>
  <c r="P169" i="15" s="1"/>
  <c r="Q169" i="15" a="1"/>
  <c r="Q169" i="15" s="1"/>
  <c r="R169" i="15" a="1"/>
  <c r="R169" i="15" s="1"/>
  <c r="U169" i="15" a="1"/>
  <c r="U169" i="15" s="1"/>
  <c r="V169" i="15" a="1"/>
  <c r="V169" i="15" s="1"/>
  <c r="W169" i="15" a="1"/>
  <c r="W169" i="15" s="1"/>
  <c r="X169" i="15" a="1"/>
  <c r="X169" i="15" s="1"/>
  <c r="K170" i="15" a="1"/>
  <c r="K170" i="15" s="1"/>
  <c r="L170" i="15" a="1"/>
  <c r="L170" i="15" s="1"/>
  <c r="M170" i="15" a="1"/>
  <c r="M170" i="15" s="1"/>
  <c r="N170" i="15" a="1"/>
  <c r="N170" i="15" s="1"/>
  <c r="O170" i="15" a="1"/>
  <c r="O170" i="15" s="1"/>
  <c r="P170" i="15" a="1"/>
  <c r="P170" i="15" s="1"/>
  <c r="Q170" i="15" a="1"/>
  <c r="Q170" i="15" s="1"/>
  <c r="R170" i="15" a="1"/>
  <c r="R170" i="15" s="1"/>
  <c r="U170" i="15" a="1"/>
  <c r="U170" i="15" s="1"/>
  <c r="V170" i="15" a="1"/>
  <c r="V170" i="15" s="1"/>
  <c r="W170" i="15" a="1"/>
  <c r="W170" i="15" s="1"/>
  <c r="X170" i="15" a="1"/>
  <c r="X170" i="15" s="1"/>
  <c r="K171" i="15" a="1"/>
  <c r="K171" i="15" s="1"/>
  <c r="L171" i="15" a="1"/>
  <c r="L171" i="15" s="1"/>
  <c r="M171" i="15" a="1"/>
  <c r="M171" i="15" s="1"/>
  <c r="N171" i="15" a="1"/>
  <c r="N171" i="15" s="1"/>
  <c r="O171" i="15" a="1"/>
  <c r="O171" i="15" s="1"/>
  <c r="P171" i="15" a="1"/>
  <c r="P171" i="15" s="1"/>
  <c r="Q171" i="15" a="1"/>
  <c r="Q171" i="15" s="1"/>
  <c r="R171" i="15" a="1"/>
  <c r="R171" i="15" s="1"/>
  <c r="U171" i="15" a="1"/>
  <c r="U171" i="15" s="1"/>
  <c r="V171" i="15" a="1"/>
  <c r="V171" i="15" s="1"/>
  <c r="W171" i="15" a="1"/>
  <c r="W171" i="15" s="1"/>
  <c r="X171" i="15" a="1"/>
  <c r="X171" i="15" s="1"/>
  <c r="K172" i="15" a="1"/>
  <c r="K172" i="15" s="1"/>
  <c r="L172" i="15" a="1"/>
  <c r="L172" i="15" s="1"/>
  <c r="M172" i="15" a="1"/>
  <c r="M172" i="15" s="1"/>
  <c r="N172" i="15" a="1"/>
  <c r="N172" i="15" s="1"/>
  <c r="O172" i="15" a="1"/>
  <c r="O172" i="15" s="1"/>
  <c r="P172" i="15" a="1"/>
  <c r="P172" i="15" s="1"/>
  <c r="Q172" i="15" a="1"/>
  <c r="Q172" i="15" s="1"/>
  <c r="R172" i="15" a="1"/>
  <c r="R172" i="15" s="1"/>
  <c r="U172" i="15" a="1"/>
  <c r="U172" i="15" s="1"/>
  <c r="V172" i="15" a="1"/>
  <c r="V172" i="15" s="1"/>
  <c r="W172" i="15" a="1"/>
  <c r="W172" i="15" s="1"/>
  <c r="X172" i="15" a="1"/>
  <c r="X172" i="15" s="1"/>
  <c r="K173" i="15" a="1"/>
  <c r="K173" i="15" s="1"/>
  <c r="L173" i="15" a="1"/>
  <c r="L173" i="15" s="1"/>
  <c r="M173" i="15" a="1"/>
  <c r="M173" i="15" s="1"/>
  <c r="N173" i="15" a="1"/>
  <c r="N173" i="15" s="1"/>
  <c r="O173" i="15" a="1"/>
  <c r="O173" i="15" s="1"/>
  <c r="P173" i="15" a="1"/>
  <c r="P173" i="15" s="1"/>
  <c r="Q173" i="15" a="1"/>
  <c r="Q173" i="15" s="1"/>
  <c r="R173" i="15" a="1"/>
  <c r="R173" i="15" s="1"/>
  <c r="U173" i="15" a="1"/>
  <c r="U173" i="15" s="1"/>
  <c r="V173" i="15" a="1"/>
  <c r="V173" i="15" s="1"/>
  <c r="W173" i="15" a="1"/>
  <c r="W173" i="15" s="1"/>
  <c r="X173" i="15" a="1"/>
  <c r="X173" i="15" s="1"/>
  <c r="K174" i="15" a="1"/>
  <c r="K174" i="15" s="1"/>
  <c r="L174" i="15" a="1"/>
  <c r="L174" i="15" s="1"/>
  <c r="M174" i="15" a="1"/>
  <c r="M174" i="15" s="1"/>
  <c r="N174" i="15" a="1"/>
  <c r="N174" i="15" s="1"/>
  <c r="O174" i="15" a="1"/>
  <c r="O174" i="15" s="1"/>
  <c r="P174" i="15" a="1"/>
  <c r="P174" i="15" s="1"/>
  <c r="Q174" i="15" a="1"/>
  <c r="Q174" i="15" s="1"/>
  <c r="R174" i="15" a="1"/>
  <c r="R174" i="15" s="1"/>
  <c r="U174" i="15" a="1"/>
  <c r="U174" i="15" s="1"/>
  <c r="V174" i="15" a="1"/>
  <c r="V174" i="15" s="1"/>
  <c r="W174" i="15" a="1"/>
  <c r="W174" i="15" s="1"/>
  <c r="X174" i="15" a="1"/>
  <c r="X174" i="15" s="1"/>
  <c r="K175" i="15" a="1"/>
  <c r="K175" i="15" s="1"/>
  <c r="L175" i="15" a="1"/>
  <c r="L175" i="15" s="1"/>
  <c r="M175" i="15" a="1"/>
  <c r="M175" i="15" s="1"/>
  <c r="N175" i="15" a="1"/>
  <c r="N175" i="15" s="1"/>
  <c r="O175" i="15" a="1"/>
  <c r="O175" i="15" s="1"/>
  <c r="P175" i="15" a="1"/>
  <c r="P175" i="15" s="1"/>
  <c r="Q175" i="15" a="1"/>
  <c r="Q175" i="15" s="1"/>
  <c r="R175" i="15" a="1"/>
  <c r="R175" i="15" s="1"/>
  <c r="U175" i="15" a="1"/>
  <c r="U175" i="15" s="1"/>
  <c r="V175" i="15" a="1"/>
  <c r="V175" i="15" s="1"/>
  <c r="W175" i="15" a="1"/>
  <c r="W175" i="15" s="1"/>
  <c r="X175" i="15" a="1"/>
  <c r="X175" i="15" s="1"/>
  <c r="K176" i="15" a="1"/>
  <c r="K176" i="15" s="1"/>
  <c r="L176" i="15" a="1"/>
  <c r="L176" i="15" s="1"/>
  <c r="M176" i="15" a="1"/>
  <c r="M176" i="15" s="1"/>
  <c r="N176" i="15" a="1"/>
  <c r="N176" i="15" s="1"/>
  <c r="O176" i="15" a="1"/>
  <c r="O176" i="15" s="1"/>
  <c r="P176" i="15" a="1"/>
  <c r="P176" i="15" s="1"/>
  <c r="Q176" i="15" a="1"/>
  <c r="Q176" i="15" s="1"/>
  <c r="R176" i="15" a="1"/>
  <c r="R176" i="15" s="1"/>
  <c r="U176" i="15" a="1"/>
  <c r="U176" i="15" s="1"/>
  <c r="V176" i="15" a="1"/>
  <c r="V176" i="15" s="1"/>
  <c r="W176" i="15" a="1"/>
  <c r="W176" i="15" s="1"/>
  <c r="X176" i="15" a="1"/>
  <c r="X176" i="15" s="1"/>
  <c r="K177" i="15" a="1"/>
  <c r="K177" i="15" s="1"/>
  <c r="L177" i="15" a="1"/>
  <c r="L177" i="15" s="1"/>
  <c r="M177" i="15" a="1"/>
  <c r="M177" i="15" s="1"/>
  <c r="N177" i="15" a="1"/>
  <c r="N177" i="15" s="1"/>
  <c r="O177" i="15" a="1"/>
  <c r="O177" i="15" s="1"/>
  <c r="P177" i="15" a="1"/>
  <c r="P177" i="15" s="1"/>
  <c r="Q177" i="15" a="1"/>
  <c r="Q177" i="15" s="1"/>
  <c r="R177" i="15" a="1"/>
  <c r="R177" i="15" s="1"/>
  <c r="U177" i="15" a="1"/>
  <c r="U177" i="15" s="1"/>
  <c r="V177" i="15" a="1"/>
  <c r="V177" i="15" s="1"/>
  <c r="W177" i="15" a="1"/>
  <c r="W177" i="15" s="1"/>
  <c r="X177" i="15" a="1"/>
  <c r="X177" i="15" s="1"/>
  <c r="K178" i="15" a="1"/>
  <c r="K178" i="15" s="1"/>
  <c r="L178" i="15" a="1"/>
  <c r="L178" i="15" s="1"/>
  <c r="M178" i="15" a="1"/>
  <c r="M178" i="15" s="1"/>
  <c r="N178" i="15" a="1"/>
  <c r="N178" i="15" s="1"/>
  <c r="O178" i="15" a="1"/>
  <c r="O178" i="15" s="1"/>
  <c r="P178" i="15" a="1"/>
  <c r="P178" i="15" s="1"/>
  <c r="Q178" i="15" a="1"/>
  <c r="Q178" i="15" s="1"/>
  <c r="R178" i="15" a="1"/>
  <c r="R178" i="15" s="1"/>
  <c r="U178" i="15" a="1"/>
  <c r="U178" i="15" s="1"/>
  <c r="V178" i="15" a="1"/>
  <c r="V178" i="15" s="1"/>
  <c r="W178" i="15" a="1"/>
  <c r="W178" i="15" s="1"/>
  <c r="X178" i="15" a="1"/>
  <c r="X178" i="15" s="1"/>
  <c r="K179" i="15" a="1"/>
  <c r="K179" i="15" s="1"/>
  <c r="L179" i="15" a="1"/>
  <c r="L179" i="15" s="1"/>
  <c r="M179" i="15" a="1"/>
  <c r="M179" i="15" s="1"/>
  <c r="N179" i="15" a="1"/>
  <c r="N179" i="15" s="1"/>
  <c r="O179" i="15" a="1"/>
  <c r="O179" i="15" s="1"/>
  <c r="P179" i="15" a="1"/>
  <c r="P179" i="15" s="1"/>
  <c r="Q179" i="15" a="1"/>
  <c r="Q179" i="15" s="1"/>
  <c r="R179" i="15" a="1"/>
  <c r="R179" i="15" s="1"/>
  <c r="U179" i="15" a="1"/>
  <c r="U179" i="15" s="1"/>
  <c r="V179" i="15" a="1"/>
  <c r="V179" i="15" s="1"/>
  <c r="W179" i="15" a="1"/>
  <c r="W179" i="15" s="1"/>
  <c r="X179" i="15" a="1"/>
  <c r="X179" i="15" s="1"/>
  <c r="K180" i="15" a="1"/>
  <c r="K180" i="15" s="1"/>
  <c r="L180" i="15" a="1"/>
  <c r="L180" i="15" s="1"/>
  <c r="M180" i="15" a="1"/>
  <c r="M180" i="15" s="1"/>
  <c r="N180" i="15" a="1"/>
  <c r="N180" i="15" s="1"/>
  <c r="O180" i="15" a="1"/>
  <c r="O180" i="15" s="1"/>
  <c r="P180" i="15" a="1"/>
  <c r="P180" i="15" s="1"/>
  <c r="Q180" i="15" a="1"/>
  <c r="Q180" i="15" s="1"/>
  <c r="R180" i="15" a="1"/>
  <c r="R180" i="15" s="1"/>
  <c r="U180" i="15" a="1"/>
  <c r="U180" i="15" s="1"/>
  <c r="V180" i="15" a="1"/>
  <c r="V180" i="15" s="1"/>
  <c r="W180" i="15" a="1"/>
  <c r="W180" i="15" s="1"/>
  <c r="X180" i="15" a="1"/>
  <c r="X180" i="15" s="1"/>
  <c r="K181" i="15" a="1"/>
  <c r="K181" i="15" s="1"/>
  <c r="L181" i="15" a="1"/>
  <c r="L181" i="15" s="1"/>
  <c r="M181" i="15" a="1"/>
  <c r="M181" i="15" s="1"/>
  <c r="N181" i="15" a="1"/>
  <c r="N181" i="15" s="1"/>
  <c r="O181" i="15" a="1"/>
  <c r="O181" i="15" s="1"/>
  <c r="P181" i="15" a="1"/>
  <c r="P181" i="15" s="1"/>
  <c r="Q181" i="15" a="1"/>
  <c r="Q181" i="15" s="1"/>
  <c r="R181" i="15" a="1"/>
  <c r="R181" i="15" s="1"/>
  <c r="U181" i="15" a="1"/>
  <c r="U181" i="15" s="1"/>
  <c r="V181" i="15" a="1"/>
  <c r="V181" i="15" s="1"/>
  <c r="W181" i="15" a="1"/>
  <c r="W181" i="15" s="1"/>
  <c r="X181" i="15" a="1"/>
  <c r="X181" i="15" s="1"/>
  <c r="K182" i="15" a="1"/>
  <c r="K182" i="15" s="1"/>
  <c r="L182" i="15" a="1"/>
  <c r="L182" i="15" s="1"/>
  <c r="M182" i="15" a="1"/>
  <c r="M182" i="15" s="1"/>
  <c r="N182" i="15" a="1"/>
  <c r="N182" i="15" s="1"/>
  <c r="O182" i="15" a="1"/>
  <c r="O182" i="15" s="1"/>
  <c r="P182" i="15" a="1"/>
  <c r="P182" i="15" s="1"/>
  <c r="Q182" i="15" a="1"/>
  <c r="Q182" i="15" s="1"/>
  <c r="R182" i="15" a="1"/>
  <c r="R182" i="15" s="1"/>
  <c r="U182" i="15" a="1"/>
  <c r="U182" i="15" s="1"/>
  <c r="V182" i="15" a="1"/>
  <c r="V182" i="15" s="1"/>
  <c r="W182" i="15" a="1"/>
  <c r="W182" i="15" s="1"/>
  <c r="X182" i="15" a="1"/>
  <c r="X182" i="15" s="1"/>
  <c r="K183" i="15" a="1"/>
  <c r="K183" i="15" s="1"/>
  <c r="L183" i="15" a="1"/>
  <c r="L183" i="15" s="1"/>
  <c r="M183" i="15" a="1"/>
  <c r="M183" i="15" s="1"/>
  <c r="N183" i="15" a="1"/>
  <c r="N183" i="15" s="1"/>
  <c r="O183" i="15" a="1"/>
  <c r="O183" i="15" s="1"/>
  <c r="P183" i="15" a="1"/>
  <c r="P183" i="15" s="1"/>
  <c r="Q183" i="15" a="1"/>
  <c r="Q183" i="15" s="1"/>
  <c r="R183" i="15" a="1"/>
  <c r="R183" i="15" s="1"/>
  <c r="U183" i="15" a="1"/>
  <c r="U183" i="15" s="1"/>
  <c r="V183" i="15" a="1"/>
  <c r="V183" i="15" s="1"/>
  <c r="W183" i="15" a="1"/>
  <c r="W183" i="15" s="1"/>
  <c r="X183" i="15" a="1"/>
  <c r="X183" i="15" s="1"/>
  <c r="K184" i="15" a="1"/>
  <c r="K184" i="15" s="1"/>
  <c r="L184" i="15" a="1"/>
  <c r="L184" i="15" s="1"/>
  <c r="M184" i="15" a="1"/>
  <c r="M184" i="15" s="1"/>
  <c r="N184" i="15" a="1"/>
  <c r="N184" i="15" s="1"/>
  <c r="O184" i="15" a="1"/>
  <c r="O184" i="15" s="1"/>
  <c r="P184" i="15" a="1"/>
  <c r="P184" i="15" s="1"/>
  <c r="Q184" i="15" a="1"/>
  <c r="Q184" i="15" s="1"/>
  <c r="R184" i="15" a="1"/>
  <c r="R184" i="15" s="1"/>
  <c r="U184" i="15" a="1"/>
  <c r="U184" i="15" s="1"/>
  <c r="V184" i="15" a="1"/>
  <c r="V184" i="15" s="1"/>
  <c r="W184" i="15" a="1"/>
  <c r="W184" i="15" s="1"/>
  <c r="X184" i="15" a="1"/>
  <c r="X184" i="15" s="1"/>
  <c r="K185" i="15" a="1"/>
  <c r="K185" i="15" s="1"/>
  <c r="L185" i="15" a="1"/>
  <c r="L185" i="15" s="1"/>
  <c r="M185" i="15" a="1"/>
  <c r="M185" i="15" s="1"/>
  <c r="N185" i="15" a="1"/>
  <c r="N185" i="15" s="1"/>
  <c r="O185" i="15" a="1"/>
  <c r="O185" i="15" s="1"/>
  <c r="P185" i="15" a="1"/>
  <c r="P185" i="15" s="1"/>
  <c r="Q185" i="15" a="1"/>
  <c r="Q185" i="15" s="1"/>
  <c r="R185" i="15" a="1"/>
  <c r="R185" i="15" s="1"/>
  <c r="U185" i="15" a="1"/>
  <c r="U185" i="15" s="1"/>
  <c r="V185" i="15" a="1"/>
  <c r="V185" i="15" s="1"/>
  <c r="W185" i="15" a="1"/>
  <c r="W185" i="15" s="1"/>
  <c r="X185" i="15" a="1"/>
  <c r="X185" i="15" s="1"/>
  <c r="K186" i="15" a="1"/>
  <c r="K186" i="15" s="1"/>
  <c r="L186" i="15" a="1"/>
  <c r="L186" i="15" s="1"/>
  <c r="M186" i="15" a="1"/>
  <c r="M186" i="15" s="1"/>
  <c r="N186" i="15" a="1"/>
  <c r="N186" i="15" s="1"/>
  <c r="O186" i="15" a="1"/>
  <c r="O186" i="15" s="1"/>
  <c r="P186" i="15" a="1"/>
  <c r="P186" i="15" s="1"/>
  <c r="Q186" i="15" a="1"/>
  <c r="Q186" i="15" s="1"/>
  <c r="R186" i="15" a="1"/>
  <c r="R186" i="15" s="1"/>
  <c r="U186" i="15" a="1"/>
  <c r="U186" i="15" s="1"/>
  <c r="V186" i="15" a="1"/>
  <c r="V186" i="15" s="1"/>
  <c r="W186" i="15" a="1"/>
  <c r="W186" i="15" s="1"/>
  <c r="X186" i="15" a="1"/>
  <c r="X186" i="15" s="1"/>
  <c r="K187" i="15" a="1"/>
  <c r="K187" i="15" s="1"/>
  <c r="L187" i="15" a="1"/>
  <c r="L187" i="15" s="1"/>
  <c r="M187" i="15" a="1"/>
  <c r="M187" i="15" s="1"/>
  <c r="N187" i="15" a="1"/>
  <c r="N187" i="15" s="1"/>
  <c r="O187" i="15" a="1"/>
  <c r="O187" i="15" s="1"/>
  <c r="P187" i="15" a="1"/>
  <c r="P187" i="15" s="1"/>
  <c r="Q187" i="15" a="1"/>
  <c r="Q187" i="15" s="1"/>
  <c r="R187" i="15" a="1"/>
  <c r="R187" i="15" s="1"/>
  <c r="U187" i="15" a="1"/>
  <c r="U187" i="15" s="1"/>
  <c r="V187" i="15" a="1"/>
  <c r="V187" i="15" s="1"/>
  <c r="W187" i="15" a="1"/>
  <c r="W187" i="15" s="1"/>
  <c r="X187" i="15" a="1"/>
  <c r="X187" i="15" s="1"/>
  <c r="K188" i="15" a="1"/>
  <c r="K188" i="15" s="1"/>
  <c r="L188" i="15" a="1"/>
  <c r="L188" i="15" s="1"/>
  <c r="M188" i="15" a="1"/>
  <c r="M188" i="15" s="1"/>
  <c r="N188" i="15" a="1"/>
  <c r="N188" i="15" s="1"/>
  <c r="O188" i="15" a="1"/>
  <c r="O188" i="15" s="1"/>
  <c r="P188" i="15" a="1"/>
  <c r="P188" i="15" s="1"/>
  <c r="Q188" i="15" a="1"/>
  <c r="Q188" i="15" s="1"/>
  <c r="R188" i="15" a="1"/>
  <c r="R188" i="15" s="1"/>
  <c r="U188" i="15" a="1"/>
  <c r="U188" i="15" s="1"/>
  <c r="V188" i="15" a="1"/>
  <c r="V188" i="15" s="1"/>
  <c r="W188" i="15" a="1"/>
  <c r="W188" i="15" s="1"/>
  <c r="X188" i="15" a="1"/>
  <c r="X188" i="15" s="1"/>
  <c r="K189" i="15" a="1"/>
  <c r="K189" i="15" s="1"/>
  <c r="L189" i="15" a="1"/>
  <c r="L189" i="15" s="1"/>
  <c r="M189" i="15" a="1"/>
  <c r="M189" i="15" s="1"/>
  <c r="N189" i="15" a="1"/>
  <c r="N189" i="15" s="1"/>
  <c r="O189" i="15" a="1"/>
  <c r="O189" i="15" s="1"/>
  <c r="P189" i="15" a="1"/>
  <c r="P189" i="15" s="1"/>
  <c r="Q189" i="15" a="1"/>
  <c r="Q189" i="15" s="1"/>
  <c r="R189" i="15" a="1"/>
  <c r="R189" i="15" s="1"/>
  <c r="U189" i="15" a="1"/>
  <c r="U189" i="15" s="1"/>
  <c r="V189" i="15" a="1"/>
  <c r="V189" i="15" s="1"/>
  <c r="W189" i="15" a="1"/>
  <c r="W189" i="15" s="1"/>
  <c r="X189" i="15" a="1"/>
  <c r="X189" i="15" s="1"/>
  <c r="K190" i="15" a="1"/>
  <c r="K190" i="15" s="1"/>
  <c r="L190" i="15" a="1"/>
  <c r="L190" i="15" s="1"/>
  <c r="M190" i="15" a="1"/>
  <c r="M190" i="15" s="1"/>
  <c r="N190" i="15" a="1"/>
  <c r="N190" i="15" s="1"/>
  <c r="O190" i="15" a="1"/>
  <c r="O190" i="15" s="1"/>
  <c r="P190" i="15" a="1"/>
  <c r="P190" i="15" s="1"/>
  <c r="Q190" i="15" a="1"/>
  <c r="Q190" i="15" s="1"/>
  <c r="R190" i="15" a="1"/>
  <c r="R190" i="15" s="1"/>
  <c r="U190" i="15" a="1"/>
  <c r="U190" i="15" s="1"/>
  <c r="V190" i="15" a="1"/>
  <c r="V190" i="15" s="1"/>
  <c r="W190" i="15" a="1"/>
  <c r="W190" i="15" s="1"/>
  <c r="X190" i="15" a="1"/>
  <c r="X190" i="15" s="1"/>
  <c r="K191" i="15" a="1"/>
  <c r="K191" i="15" s="1"/>
  <c r="L191" i="15" a="1"/>
  <c r="L191" i="15" s="1"/>
  <c r="M191" i="15" a="1"/>
  <c r="M191" i="15" s="1"/>
  <c r="N191" i="15" a="1"/>
  <c r="N191" i="15" s="1"/>
  <c r="O191" i="15" a="1"/>
  <c r="O191" i="15" s="1"/>
  <c r="P191" i="15" a="1"/>
  <c r="P191" i="15" s="1"/>
  <c r="Q191" i="15" a="1"/>
  <c r="Q191" i="15" s="1"/>
  <c r="R191" i="15" a="1"/>
  <c r="R191" i="15" s="1"/>
  <c r="U191" i="15" a="1"/>
  <c r="U191" i="15" s="1"/>
  <c r="V191" i="15" a="1"/>
  <c r="V191" i="15" s="1"/>
  <c r="W191" i="15" a="1"/>
  <c r="W191" i="15" s="1"/>
  <c r="X191" i="15" a="1"/>
  <c r="X191" i="15" s="1"/>
  <c r="K192" i="15" a="1"/>
  <c r="K192" i="15" s="1"/>
  <c r="L192" i="15" a="1"/>
  <c r="L192" i="15" s="1"/>
  <c r="M192" i="15" a="1"/>
  <c r="M192" i="15" s="1"/>
  <c r="N192" i="15" a="1"/>
  <c r="N192" i="15" s="1"/>
  <c r="O192" i="15" a="1"/>
  <c r="O192" i="15" s="1"/>
  <c r="P192" i="15" a="1"/>
  <c r="P192" i="15" s="1"/>
  <c r="Q192" i="15" a="1"/>
  <c r="Q192" i="15" s="1"/>
  <c r="R192" i="15" a="1"/>
  <c r="R192" i="15" s="1"/>
  <c r="U192" i="15" a="1"/>
  <c r="U192" i="15" s="1"/>
  <c r="V192" i="15" a="1"/>
  <c r="V192" i="15" s="1"/>
  <c r="W192" i="15" a="1"/>
  <c r="W192" i="15" s="1"/>
  <c r="X192" i="15" a="1"/>
  <c r="X192" i="15" s="1"/>
  <c r="K193" i="15" a="1"/>
  <c r="K193" i="15" s="1"/>
  <c r="L193" i="15" a="1"/>
  <c r="L193" i="15" s="1"/>
  <c r="M193" i="15" a="1"/>
  <c r="M193" i="15" s="1"/>
  <c r="N193" i="15" a="1"/>
  <c r="N193" i="15" s="1"/>
  <c r="O193" i="15" a="1"/>
  <c r="O193" i="15" s="1"/>
  <c r="P193" i="15" a="1"/>
  <c r="P193" i="15" s="1"/>
  <c r="Q193" i="15" a="1"/>
  <c r="Q193" i="15" s="1"/>
  <c r="R193" i="15" a="1"/>
  <c r="R193" i="15" s="1"/>
  <c r="U193" i="15" a="1"/>
  <c r="U193" i="15" s="1"/>
  <c r="V193" i="15" a="1"/>
  <c r="V193" i="15" s="1"/>
  <c r="W193" i="15" a="1"/>
  <c r="W193" i="15" s="1"/>
  <c r="X193" i="15" a="1"/>
  <c r="X193" i="15" s="1"/>
  <c r="K194" i="15" a="1"/>
  <c r="K194" i="15" s="1"/>
  <c r="L194" i="15" a="1"/>
  <c r="L194" i="15" s="1"/>
  <c r="M194" i="15" a="1"/>
  <c r="M194" i="15" s="1"/>
  <c r="N194" i="15" a="1"/>
  <c r="N194" i="15" s="1"/>
  <c r="O194" i="15" a="1"/>
  <c r="O194" i="15" s="1"/>
  <c r="P194" i="15" a="1"/>
  <c r="P194" i="15" s="1"/>
  <c r="Q194" i="15" a="1"/>
  <c r="Q194" i="15" s="1"/>
  <c r="R194" i="15" a="1"/>
  <c r="R194" i="15" s="1"/>
  <c r="U194" i="15" a="1"/>
  <c r="U194" i="15" s="1"/>
  <c r="V194" i="15" a="1"/>
  <c r="V194" i="15" s="1"/>
  <c r="W194" i="15" a="1"/>
  <c r="W194" i="15" s="1"/>
  <c r="X194" i="15" a="1"/>
  <c r="X194" i="15" s="1"/>
  <c r="K195" i="15" a="1"/>
  <c r="K195" i="15" s="1"/>
  <c r="L195" i="15" a="1"/>
  <c r="L195" i="15" s="1"/>
  <c r="M195" i="15" a="1"/>
  <c r="M195" i="15" s="1"/>
  <c r="N195" i="15" a="1"/>
  <c r="N195" i="15" s="1"/>
  <c r="O195" i="15" a="1"/>
  <c r="O195" i="15" s="1"/>
  <c r="P195" i="15" a="1"/>
  <c r="P195" i="15" s="1"/>
  <c r="Q195" i="15" a="1"/>
  <c r="Q195" i="15" s="1"/>
  <c r="R195" i="15" a="1"/>
  <c r="R195" i="15" s="1"/>
  <c r="U195" i="15" a="1"/>
  <c r="U195" i="15" s="1"/>
  <c r="V195" i="15" a="1"/>
  <c r="V195" i="15" s="1"/>
  <c r="W195" i="15" a="1"/>
  <c r="W195" i="15" s="1"/>
  <c r="X195" i="15" a="1"/>
  <c r="X195" i="15" s="1"/>
  <c r="K196" i="15" a="1"/>
  <c r="K196" i="15" s="1"/>
  <c r="L196" i="15" a="1"/>
  <c r="L196" i="15" s="1"/>
  <c r="M196" i="15" a="1"/>
  <c r="M196" i="15" s="1"/>
  <c r="N196" i="15" a="1"/>
  <c r="N196" i="15" s="1"/>
  <c r="O196" i="15" a="1"/>
  <c r="O196" i="15" s="1"/>
  <c r="P196" i="15" a="1"/>
  <c r="P196" i="15" s="1"/>
  <c r="Q196" i="15" a="1"/>
  <c r="Q196" i="15" s="1"/>
  <c r="R196" i="15" a="1"/>
  <c r="R196" i="15" s="1"/>
  <c r="U196" i="15" a="1"/>
  <c r="U196" i="15" s="1"/>
  <c r="V196" i="15" a="1"/>
  <c r="V196" i="15" s="1"/>
  <c r="W196" i="15" a="1"/>
  <c r="W196" i="15" s="1"/>
  <c r="X196" i="15" a="1"/>
  <c r="X196" i="15" s="1"/>
  <c r="K197" i="15" a="1"/>
  <c r="K197" i="15" s="1"/>
  <c r="L197" i="15" a="1"/>
  <c r="L197" i="15" s="1"/>
  <c r="M197" i="15" a="1"/>
  <c r="M197" i="15" s="1"/>
  <c r="N197" i="15" a="1"/>
  <c r="N197" i="15" s="1"/>
  <c r="O197" i="15" a="1"/>
  <c r="O197" i="15" s="1"/>
  <c r="P197" i="15" a="1"/>
  <c r="P197" i="15" s="1"/>
  <c r="Q197" i="15" a="1"/>
  <c r="Q197" i="15" s="1"/>
  <c r="R197" i="15" a="1"/>
  <c r="R197" i="15" s="1"/>
  <c r="U197" i="15" a="1"/>
  <c r="U197" i="15" s="1"/>
  <c r="V197" i="15" a="1"/>
  <c r="V197" i="15" s="1"/>
  <c r="W197" i="15" a="1"/>
  <c r="W197" i="15" s="1"/>
  <c r="X197" i="15" a="1"/>
  <c r="X197" i="15" s="1"/>
  <c r="K198" i="15" a="1"/>
  <c r="K198" i="15" s="1"/>
  <c r="L198" i="15" a="1"/>
  <c r="L198" i="15" s="1"/>
  <c r="M198" i="15" a="1"/>
  <c r="M198" i="15" s="1"/>
  <c r="N198" i="15" a="1"/>
  <c r="N198" i="15" s="1"/>
  <c r="O198" i="15" a="1"/>
  <c r="O198" i="15" s="1"/>
  <c r="P198" i="15" a="1"/>
  <c r="P198" i="15" s="1"/>
  <c r="Q198" i="15" a="1"/>
  <c r="Q198" i="15" s="1"/>
  <c r="R198" i="15" a="1"/>
  <c r="R198" i="15" s="1"/>
  <c r="U198" i="15" a="1"/>
  <c r="U198" i="15" s="1"/>
  <c r="V198" i="15" a="1"/>
  <c r="V198" i="15" s="1"/>
  <c r="W198" i="15" a="1"/>
  <c r="W198" i="15" s="1"/>
  <c r="X198" i="15" a="1"/>
  <c r="X198" i="15" s="1"/>
  <c r="K199" i="15" a="1"/>
  <c r="K199" i="15" s="1"/>
  <c r="L199" i="15" a="1"/>
  <c r="L199" i="15" s="1"/>
  <c r="M199" i="15" a="1"/>
  <c r="M199" i="15" s="1"/>
  <c r="N199" i="15" a="1"/>
  <c r="N199" i="15" s="1"/>
  <c r="O199" i="15" a="1"/>
  <c r="O199" i="15" s="1"/>
  <c r="P199" i="15" a="1"/>
  <c r="P199" i="15" s="1"/>
  <c r="Q199" i="15" a="1"/>
  <c r="Q199" i="15" s="1"/>
  <c r="R199" i="15" a="1"/>
  <c r="R199" i="15" s="1"/>
  <c r="U199" i="15" a="1"/>
  <c r="U199" i="15" s="1"/>
  <c r="V199" i="15" a="1"/>
  <c r="V199" i="15" s="1"/>
  <c r="W199" i="15" a="1"/>
  <c r="W199" i="15" s="1"/>
  <c r="X199" i="15" a="1"/>
  <c r="X199" i="15" s="1"/>
  <c r="K200" i="15" a="1"/>
  <c r="K200" i="15" s="1"/>
  <c r="L200" i="15" a="1"/>
  <c r="L200" i="15" s="1"/>
  <c r="M200" i="15" a="1"/>
  <c r="M200" i="15" s="1"/>
  <c r="N200" i="15" a="1"/>
  <c r="N200" i="15" s="1"/>
  <c r="O200" i="15" a="1"/>
  <c r="O200" i="15" s="1"/>
  <c r="P200" i="15" a="1"/>
  <c r="P200" i="15" s="1"/>
  <c r="Q200" i="15" a="1"/>
  <c r="Q200" i="15" s="1"/>
  <c r="R200" i="15" a="1"/>
  <c r="R200" i="15" s="1"/>
  <c r="U200" i="15" a="1"/>
  <c r="U200" i="15" s="1"/>
  <c r="V200" i="15" a="1"/>
  <c r="V200" i="15" s="1"/>
  <c r="W200" i="15" a="1"/>
  <c r="W200" i="15" s="1"/>
  <c r="X200" i="15" a="1"/>
  <c r="X200" i="15" s="1"/>
  <c r="K201" i="15" a="1"/>
  <c r="K201" i="15" s="1"/>
  <c r="L201" i="15" a="1"/>
  <c r="L201" i="15" s="1"/>
  <c r="M201" i="15" a="1"/>
  <c r="M201" i="15" s="1"/>
  <c r="N201" i="15" a="1"/>
  <c r="N201" i="15" s="1"/>
  <c r="O201" i="15" a="1"/>
  <c r="O201" i="15" s="1"/>
  <c r="P201" i="15" a="1"/>
  <c r="P201" i="15" s="1"/>
  <c r="Q201" i="15" a="1"/>
  <c r="Q201" i="15" s="1"/>
  <c r="R201" i="15" a="1"/>
  <c r="R201" i="15" s="1"/>
  <c r="U201" i="15" a="1"/>
  <c r="U201" i="15" s="1"/>
  <c r="V201" i="15" a="1"/>
  <c r="V201" i="15" s="1"/>
  <c r="W201" i="15" a="1"/>
  <c r="W201" i="15" s="1"/>
  <c r="X201" i="15" a="1"/>
  <c r="X201" i="15" s="1"/>
  <c r="K202" i="15" a="1"/>
  <c r="K202" i="15" s="1"/>
  <c r="L202" i="15" a="1"/>
  <c r="L202" i="15" s="1"/>
  <c r="M202" i="15" a="1"/>
  <c r="M202" i="15" s="1"/>
  <c r="N202" i="15" a="1"/>
  <c r="N202" i="15" s="1"/>
  <c r="O202" i="15" a="1"/>
  <c r="O202" i="15" s="1"/>
  <c r="P202" i="15" a="1"/>
  <c r="P202" i="15" s="1"/>
  <c r="Q202" i="15" a="1"/>
  <c r="Q202" i="15" s="1"/>
  <c r="R202" i="15" a="1"/>
  <c r="R202" i="15" s="1"/>
  <c r="U202" i="15" a="1"/>
  <c r="U202" i="15" s="1"/>
  <c r="V202" i="15" a="1"/>
  <c r="V202" i="15" s="1"/>
  <c r="W202" i="15" a="1"/>
  <c r="W202" i="15" s="1"/>
  <c r="X202" i="15" a="1"/>
  <c r="X202" i="15" s="1"/>
  <c r="K203" i="15" a="1"/>
  <c r="K203" i="15" s="1"/>
  <c r="L203" i="15" a="1"/>
  <c r="L203" i="15" s="1"/>
  <c r="M203" i="15" a="1"/>
  <c r="M203" i="15" s="1"/>
  <c r="N203" i="15" a="1"/>
  <c r="N203" i="15" s="1"/>
  <c r="O203" i="15" a="1"/>
  <c r="O203" i="15" s="1"/>
  <c r="P203" i="15" a="1"/>
  <c r="P203" i="15" s="1"/>
  <c r="Q203" i="15" a="1"/>
  <c r="Q203" i="15" s="1"/>
  <c r="R203" i="15" a="1"/>
  <c r="R203" i="15" s="1"/>
  <c r="U203" i="15" a="1"/>
  <c r="U203" i="15" s="1"/>
  <c r="V203" i="15" a="1"/>
  <c r="V203" i="15" s="1"/>
  <c r="W203" i="15" a="1"/>
  <c r="W203" i="15" s="1"/>
  <c r="X203" i="15" a="1"/>
  <c r="X203" i="15" s="1"/>
  <c r="K204" i="15" a="1"/>
  <c r="K204" i="15" s="1"/>
  <c r="L204" i="15" a="1"/>
  <c r="L204" i="15" s="1"/>
  <c r="M204" i="15" a="1"/>
  <c r="M204" i="15" s="1"/>
  <c r="N204" i="15" a="1"/>
  <c r="N204" i="15" s="1"/>
  <c r="O204" i="15" a="1"/>
  <c r="O204" i="15" s="1"/>
  <c r="P204" i="15" a="1"/>
  <c r="P204" i="15" s="1"/>
  <c r="Q204" i="15" a="1"/>
  <c r="Q204" i="15" s="1"/>
  <c r="R204" i="15" a="1"/>
  <c r="R204" i="15" s="1"/>
  <c r="U204" i="15" a="1"/>
  <c r="U204" i="15" s="1"/>
  <c r="V204" i="15" a="1"/>
  <c r="V204" i="15" s="1"/>
  <c r="W204" i="15" a="1"/>
  <c r="W204" i="15" s="1"/>
  <c r="X204" i="15" a="1"/>
  <c r="X204" i="15" s="1"/>
  <c r="K205" i="15" a="1"/>
  <c r="K205" i="15" s="1"/>
  <c r="L205" i="15" a="1"/>
  <c r="L205" i="15" s="1"/>
  <c r="M205" i="15" a="1"/>
  <c r="M205" i="15" s="1"/>
  <c r="N205" i="15" a="1"/>
  <c r="N205" i="15" s="1"/>
  <c r="O205" i="15" a="1"/>
  <c r="O205" i="15" s="1"/>
  <c r="P205" i="15" a="1"/>
  <c r="P205" i="15" s="1"/>
  <c r="Q205" i="15" a="1"/>
  <c r="Q205" i="15" s="1"/>
  <c r="R205" i="15" a="1"/>
  <c r="R205" i="15" s="1"/>
  <c r="U205" i="15" a="1"/>
  <c r="U205" i="15" s="1"/>
  <c r="V205" i="15" a="1"/>
  <c r="V205" i="15" s="1"/>
  <c r="W205" i="15" a="1"/>
  <c r="W205" i="15" s="1"/>
  <c r="X205" i="15" a="1"/>
  <c r="X205" i="15" s="1"/>
  <c r="K206" i="15" a="1"/>
  <c r="K206" i="15" s="1"/>
  <c r="L206" i="15" a="1"/>
  <c r="L206" i="15" s="1"/>
  <c r="M206" i="15" a="1"/>
  <c r="M206" i="15" s="1"/>
  <c r="N206" i="15" a="1"/>
  <c r="N206" i="15" s="1"/>
  <c r="O206" i="15" a="1"/>
  <c r="O206" i="15" s="1"/>
  <c r="P206" i="15" a="1"/>
  <c r="P206" i="15" s="1"/>
  <c r="Q206" i="15" a="1"/>
  <c r="Q206" i="15" s="1"/>
  <c r="R206" i="15" a="1"/>
  <c r="R206" i="15" s="1"/>
  <c r="U206" i="15" a="1"/>
  <c r="U206" i="15" s="1"/>
  <c r="V206" i="15" a="1"/>
  <c r="V206" i="15" s="1"/>
  <c r="W206" i="15" a="1"/>
  <c r="W206" i="15" s="1"/>
  <c r="X206" i="15" a="1"/>
  <c r="X206" i="15" s="1"/>
  <c r="K207" i="15" a="1"/>
  <c r="K207" i="15" s="1"/>
  <c r="L207" i="15" a="1"/>
  <c r="L207" i="15" s="1"/>
  <c r="M207" i="15" a="1"/>
  <c r="M207" i="15" s="1"/>
  <c r="N207" i="15" a="1"/>
  <c r="N207" i="15" s="1"/>
  <c r="O207" i="15" a="1"/>
  <c r="O207" i="15" s="1"/>
  <c r="P207" i="15" a="1"/>
  <c r="P207" i="15" s="1"/>
  <c r="Q207" i="15" a="1"/>
  <c r="Q207" i="15" s="1"/>
  <c r="R207" i="15" a="1"/>
  <c r="R207" i="15" s="1"/>
  <c r="U207" i="15" a="1"/>
  <c r="U207" i="15" s="1"/>
  <c r="V207" i="15" a="1"/>
  <c r="V207" i="15" s="1"/>
  <c r="W207" i="15" a="1"/>
  <c r="W207" i="15" s="1"/>
  <c r="X207" i="15" a="1"/>
  <c r="X207" i="15" s="1"/>
  <c r="K208" i="15" a="1"/>
  <c r="K208" i="15" s="1"/>
  <c r="L208" i="15" a="1"/>
  <c r="L208" i="15" s="1"/>
  <c r="M208" i="15" a="1"/>
  <c r="M208" i="15" s="1"/>
  <c r="N208" i="15" a="1"/>
  <c r="N208" i="15" s="1"/>
  <c r="O208" i="15" a="1"/>
  <c r="O208" i="15" s="1"/>
  <c r="P208" i="15" a="1"/>
  <c r="P208" i="15" s="1"/>
  <c r="Q208" i="15" a="1"/>
  <c r="Q208" i="15" s="1"/>
  <c r="R208" i="15" a="1"/>
  <c r="R208" i="15" s="1"/>
  <c r="U208" i="15" a="1"/>
  <c r="U208" i="15" s="1"/>
  <c r="V208" i="15" a="1"/>
  <c r="V208" i="15" s="1"/>
  <c r="W208" i="15" a="1"/>
  <c r="W208" i="15" s="1"/>
  <c r="X208" i="15" a="1"/>
  <c r="X208" i="15" s="1"/>
  <c r="K209" i="15" a="1"/>
  <c r="K209" i="15" s="1"/>
  <c r="L209" i="15" a="1"/>
  <c r="L209" i="15" s="1"/>
  <c r="M209" i="15" a="1"/>
  <c r="M209" i="15" s="1"/>
  <c r="N209" i="15" a="1"/>
  <c r="N209" i="15" s="1"/>
  <c r="O209" i="15" a="1"/>
  <c r="O209" i="15" s="1"/>
  <c r="P209" i="15" a="1"/>
  <c r="P209" i="15" s="1"/>
  <c r="Q209" i="15" a="1"/>
  <c r="Q209" i="15" s="1"/>
  <c r="R209" i="15" a="1"/>
  <c r="R209" i="15" s="1"/>
  <c r="U209" i="15" a="1"/>
  <c r="U209" i="15" s="1"/>
  <c r="V209" i="15" a="1"/>
  <c r="V209" i="15" s="1"/>
  <c r="W209" i="15" a="1"/>
  <c r="W209" i="15" s="1"/>
  <c r="X209" i="15" a="1"/>
  <c r="X209" i="15" s="1"/>
  <c r="K210" i="15" a="1"/>
  <c r="K210" i="15" s="1"/>
  <c r="L210" i="15" a="1"/>
  <c r="L210" i="15" s="1"/>
  <c r="M210" i="15" a="1"/>
  <c r="M210" i="15" s="1"/>
  <c r="N210" i="15" a="1"/>
  <c r="N210" i="15" s="1"/>
  <c r="O210" i="15" a="1"/>
  <c r="O210" i="15" s="1"/>
  <c r="P210" i="15" a="1"/>
  <c r="P210" i="15" s="1"/>
  <c r="Q210" i="15" a="1"/>
  <c r="Q210" i="15" s="1"/>
  <c r="R210" i="15" a="1"/>
  <c r="R210" i="15" s="1"/>
  <c r="U210" i="15" a="1"/>
  <c r="U210" i="15" s="1"/>
  <c r="V210" i="15" a="1"/>
  <c r="V210" i="15" s="1"/>
  <c r="W210" i="15" a="1"/>
  <c r="W210" i="15" s="1"/>
  <c r="X210" i="15" a="1"/>
  <c r="X210" i="15" s="1"/>
  <c r="K211" i="15" a="1"/>
  <c r="K211" i="15" s="1"/>
  <c r="L211" i="15" a="1"/>
  <c r="L211" i="15" s="1"/>
  <c r="M211" i="15" a="1"/>
  <c r="M211" i="15" s="1"/>
  <c r="N211" i="15" a="1"/>
  <c r="N211" i="15" s="1"/>
  <c r="O211" i="15" a="1"/>
  <c r="O211" i="15" s="1"/>
  <c r="P211" i="15" a="1"/>
  <c r="P211" i="15" s="1"/>
  <c r="Q211" i="15" a="1"/>
  <c r="Q211" i="15" s="1"/>
  <c r="R211" i="15" a="1"/>
  <c r="R211" i="15" s="1"/>
  <c r="U211" i="15" a="1"/>
  <c r="U211" i="15" s="1"/>
  <c r="V211" i="15" a="1"/>
  <c r="V211" i="15" s="1"/>
  <c r="W211" i="15" a="1"/>
  <c r="W211" i="15" s="1"/>
  <c r="X211" i="15" a="1"/>
  <c r="X211" i="15" s="1"/>
  <c r="K212" i="15" a="1"/>
  <c r="K212" i="15" s="1"/>
  <c r="L212" i="15" a="1"/>
  <c r="L212" i="15" s="1"/>
  <c r="M212" i="15" a="1"/>
  <c r="M212" i="15" s="1"/>
  <c r="N212" i="15" a="1"/>
  <c r="N212" i="15" s="1"/>
  <c r="O212" i="15" a="1"/>
  <c r="O212" i="15" s="1"/>
  <c r="P212" i="15" a="1"/>
  <c r="P212" i="15" s="1"/>
  <c r="Q212" i="15" a="1"/>
  <c r="Q212" i="15" s="1"/>
  <c r="R212" i="15" a="1"/>
  <c r="R212" i="15" s="1"/>
  <c r="U212" i="15" a="1"/>
  <c r="U212" i="15" s="1"/>
  <c r="V212" i="15" a="1"/>
  <c r="V212" i="15" s="1"/>
  <c r="W212" i="15" a="1"/>
  <c r="W212" i="15" s="1"/>
  <c r="X212" i="15" a="1"/>
  <c r="X212" i="15" s="1"/>
  <c r="K213" i="15" a="1"/>
  <c r="K213" i="15" s="1"/>
  <c r="L213" i="15" a="1"/>
  <c r="L213" i="15" s="1"/>
  <c r="M213" i="15" a="1"/>
  <c r="M213" i="15" s="1"/>
  <c r="N213" i="15" a="1"/>
  <c r="N213" i="15" s="1"/>
  <c r="O213" i="15" a="1"/>
  <c r="O213" i="15" s="1"/>
  <c r="P213" i="15" a="1"/>
  <c r="P213" i="15" s="1"/>
  <c r="Q213" i="15" a="1"/>
  <c r="Q213" i="15" s="1"/>
  <c r="R213" i="15" a="1"/>
  <c r="R213" i="15" s="1"/>
  <c r="U213" i="15" a="1"/>
  <c r="U213" i="15" s="1"/>
  <c r="V213" i="15" a="1"/>
  <c r="V213" i="15" s="1"/>
  <c r="W213" i="15" a="1"/>
  <c r="W213" i="15" s="1"/>
  <c r="X213" i="15" a="1"/>
  <c r="X213" i="15" s="1"/>
  <c r="K214" i="15" a="1"/>
  <c r="K214" i="15" s="1"/>
  <c r="L214" i="15" a="1"/>
  <c r="L214" i="15" s="1"/>
  <c r="M214" i="15" a="1"/>
  <c r="M214" i="15" s="1"/>
  <c r="N214" i="15" a="1"/>
  <c r="N214" i="15" s="1"/>
  <c r="O214" i="15" a="1"/>
  <c r="O214" i="15" s="1"/>
  <c r="P214" i="15" a="1"/>
  <c r="P214" i="15" s="1"/>
  <c r="Q214" i="15" a="1"/>
  <c r="Q214" i="15" s="1"/>
  <c r="R214" i="15" a="1"/>
  <c r="R214" i="15" s="1"/>
  <c r="U214" i="15" a="1"/>
  <c r="U214" i="15" s="1"/>
  <c r="V214" i="15" a="1"/>
  <c r="V214" i="15" s="1"/>
  <c r="W214" i="15" a="1"/>
  <c r="W214" i="15" s="1"/>
  <c r="X214" i="15" a="1"/>
  <c r="X214" i="15" s="1"/>
  <c r="K215" i="15" a="1"/>
  <c r="K215" i="15" s="1"/>
  <c r="L215" i="15" a="1"/>
  <c r="L215" i="15" s="1"/>
  <c r="M215" i="15" a="1"/>
  <c r="M215" i="15" s="1"/>
  <c r="N215" i="15" a="1"/>
  <c r="N215" i="15" s="1"/>
  <c r="O215" i="15" a="1"/>
  <c r="O215" i="15" s="1"/>
  <c r="P215" i="15" a="1"/>
  <c r="P215" i="15" s="1"/>
  <c r="Q215" i="15" a="1"/>
  <c r="Q215" i="15" s="1"/>
  <c r="R215" i="15" a="1"/>
  <c r="R215" i="15" s="1"/>
  <c r="U215" i="15" a="1"/>
  <c r="U215" i="15" s="1"/>
  <c r="V215" i="15" a="1"/>
  <c r="V215" i="15" s="1"/>
  <c r="W215" i="15" a="1"/>
  <c r="W215" i="15" s="1"/>
  <c r="X215" i="15" a="1"/>
  <c r="X215" i="15" s="1"/>
  <c r="K216" i="15" a="1"/>
  <c r="K216" i="15" s="1"/>
  <c r="L216" i="15" a="1"/>
  <c r="L216" i="15" s="1"/>
  <c r="M216" i="15" a="1"/>
  <c r="M216" i="15" s="1"/>
  <c r="N216" i="15" a="1"/>
  <c r="N216" i="15" s="1"/>
  <c r="O216" i="15" a="1"/>
  <c r="O216" i="15" s="1"/>
  <c r="P216" i="15" a="1"/>
  <c r="P216" i="15" s="1"/>
  <c r="Q216" i="15" a="1"/>
  <c r="Q216" i="15" s="1"/>
  <c r="R216" i="15" a="1"/>
  <c r="R216" i="15" s="1"/>
  <c r="U216" i="15" a="1"/>
  <c r="U216" i="15" s="1"/>
  <c r="V216" i="15" a="1"/>
  <c r="V216" i="15" s="1"/>
  <c r="W216" i="15" a="1"/>
  <c r="W216" i="15" s="1"/>
  <c r="X216" i="15" a="1"/>
  <c r="X216" i="15" s="1"/>
  <c r="K217" i="15" a="1"/>
  <c r="K217" i="15" s="1"/>
  <c r="L217" i="15" a="1"/>
  <c r="L217" i="15" s="1"/>
  <c r="M217" i="15" a="1"/>
  <c r="M217" i="15" s="1"/>
  <c r="N217" i="15" a="1"/>
  <c r="N217" i="15" s="1"/>
  <c r="O217" i="15" a="1"/>
  <c r="O217" i="15" s="1"/>
  <c r="P217" i="15" a="1"/>
  <c r="P217" i="15" s="1"/>
  <c r="Q217" i="15" a="1"/>
  <c r="Q217" i="15" s="1"/>
  <c r="R217" i="15" a="1"/>
  <c r="R217" i="15" s="1"/>
  <c r="U217" i="15" a="1"/>
  <c r="U217" i="15" s="1"/>
  <c r="V217" i="15" a="1"/>
  <c r="V217" i="15" s="1"/>
  <c r="W217" i="15" a="1"/>
  <c r="W217" i="15" s="1"/>
  <c r="X217" i="15" a="1"/>
  <c r="X217" i="15" s="1"/>
  <c r="K218" i="15" a="1"/>
  <c r="K218" i="15" s="1"/>
  <c r="L218" i="15" a="1"/>
  <c r="L218" i="15" s="1"/>
  <c r="M218" i="15" a="1"/>
  <c r="M218" i="15" s="1"/>
  <c r="N218" i="15" a="1"/>
  <c r="N218" i="15" s="1"/>
  <c r="O218" i="15" a="1"/>
  <c r="O218" i="15" s="1"/>
  <c r="P218" i="15" a="1"/>
  <c r="P218" i="15" s="1"/>
  <c r="Q218" i="15" a="1"/>
  <c r="Q218" i="15" s="1"/>
  <c r="R218" i="15" a="1"/>
  <c r="R218" i="15" s="1"/>
  <c r="U218" i="15" a="1"/>
  <c r="U218" i="15" s="1"/>
  <c r="V218" i="15" a="1"/>
  <c r="V218" i="15" s="1"/>
  <c r="W218" i="15" a="1"/>
  <c r="W218" i="15" s="1"/>
  <c r="X218" i="15" a="1"/>
  <c r="X218" i="15" s="1"/>
  <c r="K219" i="15" a="1"/>
  <c r="K219" i="15" s="1"/>
  <c r="L219" i="15" a="1"/>
  <c r="L219" i="15" s="1"/>
  <c r="M219" i="15" a="1"/>
  <c r="M219" i="15" s="1"/>
  <c r="N219" i="15" a="1"/>
  <c r="N219" i="15" s="1"/>
  <c r="O219" i="15" a="1"/>
  <c r="O219" i="15" s="1"/>
  <c r="P219" i="15" a="1"/>
  <c r="P219" i="15" s="1"/>
  <c r="Q219" i="15" a="1"/>
  <c r="Q219" i="15" s="1"/>
  <c r="R219" i="15" a="1"/>
  <c r="R219" i="15" s="1"/>
  <c r="U219" i="15" a="1"/>
  <c r="U219" i="15" s="1"/>
  <c r="V219" i="15" a="1"/>
  <c r="V219" i="15" s="1"/>
  <c r="W219" i="15" a="1"/>
  <c r="W219" i="15" s="1"/>
  <c r="X219" i="15" a="1"/>
  <c r="X219" i="15" s="1"/>
  <c r="K220" i="15" a="1"/>
  <c r="K220" i="15" s="1"/>
  <c r="L220" i="15" a="1"/>
  <c r="L220" i="15" s="1"/>
  <c r="M220" i="15" a="1"/>
  <c r="M220" i="15" s="1"/>
  <c r="N220" i="15" a="1"/>
  <c r="N220" i="15" s="1"/>
  <c r="O220" i="15" a="1"/>
  <c r="O220" i="15" s="1"/>
  <c r="P220" i="15" a="1"/>
  <c r="P220" i="15" s="1"/>
  <c r="Q220" i="15" a="1"/>
  <c r="Q220" i="15" s="1"/>
  <c r="R220" i="15" a="1"/>
  <c r="R220" i="15" s="1"/>
  <c r="U220" i="15" a="1"/>
  <c r="U220" i="15" s="1"/>
  <c r="V220" i="15" a="1"/>
  <c r="V220" i="15" s="1"/>
  <c r="W220" i="15" a="1"/>
  <c r="W220" i="15" s="1"/>
  <c r="X220" i="15" a="1"/>
  <c r="X220" i="15" s="1"/>
  <c r="K221" i="15" a="1"/>
  <c r="K221" i="15" s="1"/>
  <c r="L221" i="15" a="1"/>
  <c r="L221" i="15" s="1"/>
  <c r="M221" i="15" a="1"/>
  <c r="M221" i="15" s="1"/>
  <c r="N221" i="15" a="1"/>
  <c r="N221" i="15" s="1"/>
  <c r="O221" i="15" a="1"/>
  <c r="O221" i="15" s="1"/>
  <c r="P221" i="15" a="1"/>
  <c r="P221" i="15" s="1"/>
  <c r="Q221" i="15" a="1"/>
  <c r="Q221" i="15" s="1"/>
  <c r="R221" i="15" a="1"/>
  <c r="R221" i="15" s="1"/>
  <c r="U221" i="15" a="1"/>
  <c r="U221" i="15" s="1"/>
  <c r="V221" i="15" a="1"/>
  <c r="V221" i="15" s="1"/>
  <c r="W221" i="15" a="1"/>
  <c r="W221" i="15" s="1"/>
  <c r="X221" i="15" a="1"/>
  <c r="X221" i="15" s="1"/>
  <c r="K222" i="15" a="1"/>
  <c r="K222" i="15" s="1"/>
  <c r="L222" i="15" a="1"/>
  <c r="L222" i="15" s="1"/>
  <c r="M222" i="15" a="1"/>
  <c r="M222" i="15" s="1"/>
  <c r="N222" i="15" a="1"/>
  <c r="N222" i="15" s="1"/>
  <c r="O222" i="15" a="1"/>
  <c r="O222" i="15" s="1"/>
  <c r="P222" i="15" a="1"/>
  <c r="P222" i="15" s="1"/>
  <c r="Q222" i="15" a="1"/>
  <c r="Q222" i="15" s="1"/>
  <c r="R222" i="15" a="1"/>
  <c r="R222" i="15" s="1"/>
  <c r="U222" i="15" a="1"/>
  <c r="U222" i="15" s="1"/>
  <c r="V222" i="15" a="1"/>
  <c r="V222" i="15" s="1"/>
  <c r="W222" i="15" a="1"/>
  <c r="W222" i="15" s="1"/>
  <c r="X222" i="15" a="1"/>
  <c r="X222" i="15" s="1"/>
  <c r="K223" i="15" a="1"/>
  <c r="K223" i="15" s="1"/>
  <c r="L223" i="15" a="1"/>
  <c r="L223" i="15" s="1"/>
  <c r="M223" i="15" a="1"/>
  <c r="M223" i="15" s="1"/>
  <c r="N223" i="15" a="1"/>
  <c r="N223" i="15" s="1"/>
  <c r="O223" i="15" a="1"/>
  <c r="O223" i="15" s="1"/>
  <c r="P223" i="15" a="1"/>
  <c r="P223" i="15" s="1"/>
  <c r="Q223" i="15" a="1"/>
  <c r="Q223" i="15" s="1"/>
  <c r="R223" i="15" a="1"/>
  <c r="R223" i="15" s="1"/>
  <c r="U223" i="15" a="1"/>
  <c r="U223" i="15" s="1"/>
  <c r="V223" i="15" a="1"/>
  <c r="V223" i="15" s="1"/>
  <c r="W223" i="15" a="1"/>
  <c r="W223" i="15" s="1"/>
  <c r="X223" i="15" a="1"/>
  <c r="X223" i="15" s="1"/>
  <c r="K224" i="15" a="1"/>
  <c r="K224" i="15" s="1"/>
  <c r="L224" i="15" a="1"/>
  <c r="L224" i="15" s="1"/>
  <c r="M224" i="15" a="1"/>
  <c r="M224" i="15" s="1"/>
  <c r="N224" i="15" a="1"/>
  <c r="N224" i="15" s="1"/>
  <c r="O224" i="15" a="1"/>
  <c r="O224" i="15" s="1"/>
  <c r="P224" i="15" a="1"/>
  <c r="P224" i="15" s="1"/>
  <c r="Q224" i="15" a="1"/>
  <c r="Q224" i="15" s="1"/>
  <c r="R224" i="15" a="1"/>
  <c r="R224" i="15" s="1"/>
  <c r="U224" i="15" a="1"/>
  <c r="U224" i="15" s="1"/>
  <c r="V224" i="15" a="1"/>
  <c r="V224" i="15" s="1"/>
  <c r="W224" i="15" a="1"/>
  <c r="W224" i="15" s="1"/>
  <c r="X224" i="15" a="1"/>
  <c r="X224" i="15" s="1"/>
  <c r="K225" i="15" a="1"/>
  <c r="K225" i="15" s="1"/>
  <c r="L225" i="15" a="1"/>
  <c r="L225" i="15" s="1"/>
  <c r="M225" i="15" a="1"/>
  <c r="M225" i="15" s="1"/>
  <c r="N225" i="15" a="1"/>
  <c r="N225" i="15" s="1"/>
  <c r="O225" i="15" a="1"/>
  <c r="O225" i="15" s="1"/>
  <c r="P225" i="15" a="1"/>
  <c r="P225" i="15" s="1"/>
  <c r="Q225" i="15" a="1"/>
  <c r="Q225" i="15" s="1"/>
  <c r="R225" i="15" a="1"/>
  <c r="R225" i="15" s="1"/>
  <c r="U225" i="15" a="1"/>
  <c r="U225" i="15" s="1"/>
  <c r="V225" i="15" a="1"/>
  <c r="V225" i="15" s="1"/>
  <c r="W225" i="15" a="1"/>
  <c r="W225" i="15" s="1"/>
  <c r="X225" i="15" a="1"/>
  <c r="X225" i="15" s="1"/>
  <c r="K226" i="15" a="1"/>
  <c r="K226" i="15" s="1"/>
  <c r="L226" i="15" a="1"/>
  <c r="L226" i="15" s="1"/>
  <c r="M226" i="15" a="1"/>
  <c r="M226" i="15" s="1"/>
  <c r="N226" i="15" a="1"/>
  <c r="N226" i="15" s="1"/>
  <c r="O226" i="15" a="1"/>
  <c r="O226" i="15" s="1"/>
  <c r="P226" i="15" a="1"/>
  <c r="P226" i="15" s="1"/>
  <c r="Q226" i="15" a="1"/>
  <c r="Q226" i="15" s="1"/>
  <c r="R226" i="15" a="1"/>
  <c r="R226" i="15" s="1"/>
  <c r="U226" i="15" a="1"/>
  <c r="U226" i="15" s="1"/>
  <c r="V226" i="15" a="1"/>
  <c r="V226" i="15" s="1"/>
  <c r="W226" i="15" a="1"/>
  <c r="W226" i="15" s="1"/>
  <c r="X226" i="15" a="1"/>
  <c r="X226" i="15" s="1"/>
  <c r="K227" i="15" a="1"/>
  <c r="K227" i="15" s="1"/>
  <c r="L227" i="15" a="1"/>
  <c r="L227" i="15" s="1"/>
  <c r="M227" i="15" a="1"/>
  <c r="M227" i="15" s="1"/>
  <c r="N227" i="15" a="1"/>
  <c r="N227" i="15" s="1"/>
  <c r="O227" i="15" a="1"/>
  <c r="O227" i="15" s="1"/>
  <c r="P227" i="15" a="1"/>
  <c r="P227" i="15" s="1"/>
  <c r="Q227" i="15" a="1"/>
  <c r="Q227" i="15" s="1"/>
  <c r="R227" i="15" a="1"/>
  <c r="R227" i="15" s="1"/>
  <c r="U227" i="15" a="1"/>
  <c r="U227" i="15" s="1"/>
  <c r="V227" i="15" a="1"/>
  <c r="V227" i="15" s="1"/>
  <c r="W227" i="15" a="1"/>
  <c r="W227" i="15" s="1"/>
  <c r="X227" i="15" a="1"/>
  <c r="X227" i="15" s="1"/>
  <c r="K228" i="15" a="1"/>
  <c r="K228" i="15" s="1"/>
  <c r="L228" i="15" a="1"/>
  <c r="L228" i="15" s="1"/>
  <c r="M228" i="15" a="1"/>
  <c r="M228" i="15" s="1"/>
  <c r="N228" i="15" a="1"/>
  <c r="N228" i="15" s="1"/>
  <c r="O228" i="15" a="1"/>
  <c r="O228" i="15" s="1"/>
  <c r="P228" i="15" a="1"/>
  <c r="P228" i="15" s="1"/>
  <c r="Q228" i="15" a="1"/>
  <c r="Q228" i="15" s="1"/>
  <c r="R228" i="15" a="1"/>
  <c r="R228" i="15" s="1"/>
  <c r="U228" i="15" a="1"/>
  <c r="U228" i="15" s="1"/>
  <c r="V228" i="15" a="1"/>
  <c r="V228" i="15" s="1"/>
  <c r="W228" i="15" a="1"/>
  <c r="W228" i="15" s="1"/>
  <c r="X228" i="15" a="1"/>
  <c r="X228" i="15" s="1"/>
  <c r="K229" i="15" a="1"/>
  <c r="K229" i="15" s="1"/>
  <c r="L229" i="15" a="1"/>
  <c r="L229" i="15" s="1"/>
  <c r="M229" i="15" a="1"/>
  <c r="M229" i="15" s="1"/>
  <c r="N229" i="15" a="1"/>
  <c r="N229" i="15" s="1"/>
  <c r="O229" i="15" a="1"/>
  <c r="O229" i="15" s="1"/>
  <c r="P229" i="15" a="1"/>
  <c r="P229" i="15" s="1"/>
  <c r="Q229" i="15" a="1"/>
  <c r="Q229" i="15" s="1"/>
  <c r="R229" i="15" a="1"/>
  <c r="R229" i="15" s="1"/>
  <c r="U229" i="15" a="1"/>
  <c r="U229" i="15" s="1"/>
  <c r="V229" i="15" a="1"/>
  <c r="V229" i="15" s="1"/>
  <c r="W229" i="15" a="1"/>
  <c r="W229" i="15" s="1"/>
  <c r="X229" i="15" a="1"/>
  <c r="X229" i="15" s="1"/>
  <c r="K230" i="15" a="1"/>
  <c r="K230" i="15" s="1"/>
  <c r="L230" i="15" a="1"/>
  <c r="L230" i="15" s="1"/>
  <c r="M230" i="15" a="1"/>
  <c r="M230" i="15" s="1"/>
  <c r="N230" i="15" a="1"/>
  <c r="N230" i="15" s="1"/>
  <c r="O230" i="15" a="1"/>
  <c r="O230" i="15" s="1"/>
  <c r="P230" i="15" a="1"/>
  <c r="P230" i="15" s="1"/>
  <c r="Q230" i="15" a="1"/>
  <c r="Q230" i="15" s="1"/>
  <c r="R230" i="15" a="1"/>
  <c r="R230" i="15" s="1"/>
  <c r="U230" i="15" a="1"/>
  <c r="U230" i="15" s="1"/>
  <c r="V230" i="15" a="1"/>
  <c r="V230" i="15" s="1"/>
  <c r="W230" i="15" a="1"/>
  <c r="W230" i="15" s="1"/>
  <c r="X230" i="15" a="1"/>
  <c r="X230" i="15" s="1"/>
  <c r="K231" i="15" a="1"/>
  <c r="K231" i="15" s="1"/>
  <c r="L231" i="15" a="1"/>
  <c r="L231" i="15" s="1"/>
  <c r="M231" i="15" a="1"/>
  <c r="M231" i="15" s="1"/>
  <c r="N231" i="15" a="1"/>
  <c r="N231" i="15" s="1"/>
  <c r="O231" i="15" a="1"/>
  <c r="O231" i="15" s="1"/>
  <c r="P231" i="15" a="1"/>
  <c r="P231" i="15" s="1"/>
  <c r="Q231" i="15" a="1"/>
  <c r="Q231" i="15" s="1"/>
  <c r="R231" i="15" a="1"/>
  <c r="R231" i="15" s="1"/>
  <c r="U231" i="15" a="1"/>
  <c r="U231" i="15" s="1"/>
  <c r="V231" i="15" a="1"/>
  <c r="V231" i="15" s="1"/>
  <c r="W231" i="15" a="1"/>
  <c r="W231" i="15" s="1"/>
  <c r="X231" i="15" a="1"/>
  <c r="X231" i="15" s="1"/>
  <c r="K232" i="15" a="1"/>
  <c r="K232" i="15" s="1"/>
  <c r="L232" i="15" a="1"/>
  <c r="L232" i="15" s="1"/>
  <c r="M232" i="15" a="1"/>
  <c r="M232" i="15" s="1"/>
  <c r="N232" i="15" a="1"/>
  <c r="N232" i="15" s="1"/>
  <c r="O232" i="15" a="1"/>
  <c r="O232" i="15" s="1"/>
  <c r="P232" i="15" a="1"/>
  <c r="P232" i="15" s="1"/>
  <c r="Q232" i="15" a="1"/>
  <c r="Q232" i="15" s="1"/>
  <c r="R232" i="15" a="1"/>
  <c r="R232" i="15" s="1"/>
  <c r="U232" i="15" a="1"/>
  <c r="U232" i="15" s="1"/>
  <c r="V232" i="15" a="1"/>
  <c r="V232" i="15" s="1"/>
  <c r="W232" i="15" a="1"/>
  <c r="W232" i="15" s="1"/>
  <c r="X232" i="15" a="1"/>
  <c r="X232" i="15" s="1"/>
  <c r="K233" i="15" a="1"/>
  <c r="K233" i="15" s="1"/>
  <c r="L233" i="15" a="1"/>
  <c r="L233" i="15" s="1"/>
  <c r="M233" i="15" a="1"/>
  <c r="M233" i="15" s="1"/>
  <c r="N233" i="15" a="1"/>
  <c r="N233" i="15" s="1"/>
  <c r="O233" i="15" a="1"/>
  <c r="O233" i="15" s="1"/>
  <c r="P233" i="15" a="1"/>
  <c r="P233" i="15" s="1"/>
  <c r="Q233" i="15" a="1"/>
  <c r="Q233" i="15" s="1"/>
  <c r="R233" i="15" a="1"/>
  <c r="R233" i="15" s="1"/>
  <c r="U233" i="15" a="1"/>
  <c r="U233" i="15" s="1"/>
  <c r="V233" i="15" a="1"/>
  <c r="V233" i="15" s="1"/>
  <c r="W233" i="15" a="1"/>
  <c r="W233" i="15" s="1"/>
  <c r="X233" i="15" a="1"/>
  <c r="X233" i="15" s="1"/>
  <c r="K234" i="15" a="1"/>
  <c r="K234" i="15" s="1"/>
  <c r="L234" i="15" a="1"/>
  <c r="L234" i="15" s="1"/>
  <c r="M234" i="15" a="1"/>
  <c r="M234" i="15" s="1"/>
  <c r="N234" i="15" a="1"/>
  <c r="N234" i="15" s="1"/>
  <c r="O234" i="15" a="1"/>
  <c r="O234" i="15" s="1"/>
  <c r="P234" i="15" a="1"/>
  <c r="P234" i="15" s="1"/>
  <c r="Q234" i="15" a="1"/>
  <c r="Q234" i="15" s="1"/>
  <c r="R234" i="15" a="1"/>
  <c r="R234" i="15" s="1"/>
  <c r="U234" i="15" a="1"/>
  <c r="U234" i="15" s="1"/>
  <c r="V234" i="15" a="1"/>
  <c r="V234" i="15" s="1"/>
  <c r="W234" i="15" a="1"/>
  <c r="W234" i="15" s="1"/>
  <c r="X234" i="15" a="1"/>
  <c r="X234" i="15" s="1"/>
  <c r="K235" i="15" a="1"/>
  <c r="K235" i="15" s="1"/>
  <c r="L235" i="15" a="1"/>
  <c r="L235" i="15" s="1"/>
  <c r="M235" i="15" a="1"/>
  <c r="M235" i="15" s="1"/>
  <c r="N235" i="15" a="1"/>
  <c r="N235" i="15" s="1"/>
  <c r="O235" i="15" a="1"/>
  <c r="O235" i="15" s="1"/>
  <c r="P235" i="15" a="1"/>
  <c r="P235" i="15" s="1"/>
  <c r="Q235" i="15" a="1"/>
  <c r="Q235" i="15" s="1"/>
  <c r="R235" i="15" a="1"/>
  <c r="R235" i="15" s="1"/>
  <c r="U235" i="15" a="1"/>
  <c r="U235" i="15" s="1"/>
  <c r="V235" i="15" a="1"/>
  <c r="V235" i="15" s="1"/>
  <c r="W235" i="15" a="1"/>
  <c r="W235" i="15" s="1"/>
  <c r="X235" i="15" a="1"/>
  <c r="X235" i="15" s="1"/>
  <c r="K236" i="15" a="1"/>
  <c r="K236" i="15" s="1"/>
  <c r="L236" i="15" a="1"/>
  <c r="L236" i="15" s="1"/>
  <c r="M236" i="15" a="1"/>
  <c r="M236" i="15" s="1"/>
  <c r="N236" i="15" a="1"/>
  <c r="N236" i="15" s="1"/>
  <c r="O236" i="15" a="1"/>
  <c r="O236" i="15" s="1"/>
  <c r="P236" i="15" a="1"/>
  <c r="P236" i="15" s="1"/>
  <c r="Q236" i="15" a="1"/>
  <c r="Q236" i="15" s="1"/>
  <c r="R236" i="15" a="1"/>
  <c r="R236" i="15" s="1"/>
  <c r="U236" i="15" a="1"/>
  <c r="U236" i="15" s="1"/>
  <c r="V236" i="15" a="1"/>
  <c r="V236" i="15" s="1"/>
  <c r="W236" i="15" a="1"/>
  <c r="W236" i="15" s="1"/>
  <c r="X236" i="15" a="1"/>
  <c r="X236" i="15" s="1"/>
  <c r="K237" i="15" a="1"/>
  <c r="K237" i="15" s="1"/>
  <c r="L237" i="15" a="1"/>
  <c r="L237" i="15" s="1"/>
  <c r="M237" i="15" a="1"/>
  <c r="M237" i="15" s="1"/>
  <c r="N237" i="15" a="1"/>
  <c r="N237" i="15" s="1"/>
  <c r="O237" i="15" a="1"/>
  <c r="O237" i="15" s="1"/>
  <c r="P237" i="15" a="1"/>
  <c r="P237" i="15" s="1"/>
  <c r="Q237" i="15" a="1"/>
  <c r="Q237" i="15" s="1"/>
  <c r="R237" i="15" a="1"/>
  <c r="R237" i="15" s="1"/>
  <c r="U237" i="15" a="1"/>
  <c r="U237" i="15" s="1"/>
  <c r="V237" i="15" a="1"/>
  <c r="V237" i="15" s="1"/>
  <c r="W237" i="15" a="1"/>
  <c r="W237" i="15" s="1"/>
  <c r="X237" i="15" a="1"/>
  <c r="X237" i="15" s="1"/>
  <c r="K238" i="15" a="1"/>
  <c r="K238" i="15" s="1"/>
  <c r="L238" i="15" a="1"/>
  <c r="L238" i="15" s="1"/>
  <c r="M238" i="15" a="1"/>
  <c r="M238" i="15" s="1"/>
  <c r="N238" i="15" a="1"/>
  <c r="N238" i="15" s="1"/>
  <c r="O238" i="15" a="1"/>
  <c r="O238" i="15" s="1"/>
  <c r="P238" i="15" a="1"/>
  <c r="P238" i="15" s="1"/>
  <c r="Q238" i="15" a="1"/>
  <c r="Q238" i="15" s="1"/>
  <c r="R238" i="15" a="1"/>
  <c r="R238" i="15" s="1"/>
  <c r="U238" i="15" a="1"/>
  <c r="U238" i="15" s="1"/>
  <c r="V238" i="15" a="1"/>
  <c r="V238" i="15" s="1"/>
  <c r="W238" i="15" a="1"/>
  <c r="W238" i="15" s="1"/>
  <c r="X238" i="15" a="1"/>
  <c r="X238" i="15" s="1"/>
  <c r="K239" i="15" a="1"/>
  <c r="K239" i="15" s="1"/>
  <c r="L239" i="15" a="1"/>
  <c r="L239" i="15" s="1"/>
  <c r="M239" i="15" a="1"/>
  <c r="M239" i="15" s="1"/>
  <c r="N239" i="15" a="1"/>
  <c r="N239" i="15" s="1"/>
  <c r="O239" i="15" a="1"/>
  <c r="O239" i="15" s="1"/>
  <c r="P239" i="15" a="1"/>
  <c r="P239" i="15" s="1"/>
  <c r="Q239" i="15" a="1"/>
  <c r="Q239" i="15" s="1"/>
  <c r="R239" i="15" a="1"/>
  <c r="R239" i="15" s="1"/>
  <c r="U239" i="15" a="1"/>
  <c r="U239" i="15" s="1"/>
  <c r="V239" i="15" a="1"/>
  <c r="V239" i="15" s="1"/>
  <c r="W239" i="15" a="1"/>
  <c r="W239" i="15" s="1"/>
  <c r="X239" i="15" a="1"/>
  <c r="X239" i="15" s="1"/>
  <c r="K240" i="15" a="1"/>
  <c r="K240" i="15" s="1"/>
  <c r="L240" i="15" a="1"/>
  <c r="L240" i="15" s="1"/>
  <c r="M240" i="15" a="1"/>
  <c r="M240" i="15" s="1"/>
  <c r="N240" i="15" a="1"/>
  <c r="N240" i="15" s="1"/>
  <c r="O240" i="15" a="1"/>
  <c r="O240" i="15" s="1"/>
  <c r="P240" i="15" a="1"/>
  <c r="P240" i="15" s="1"/>
  <c r="Q240" i="15" a="1"/>
  <c r="Q240" i="15" s="1"/>
  <c r="R240" i="15" a="1"/>
  <c r="R240" i="15" s="1"/>
  <c r="U240" i="15" a="1"/>
  <c r="U240" i="15" s="1"/>
  <c r="V240" i="15" a="1"/>
  <c r="V240" i="15" s="1"/>
  <c r="W240" i="15" a="1"/>
  <c r="W240" i="15" s="1"/>
  <c r="X240" i="15" a="1"/>
  <c r="X240" i="15" s="1"/>
  <c r="K241" i="15" a="1"/>
  <c r="K241" i="15" s="1"/>
  <c r="L241" i="15" a="1"/>
  <c r="L241" i="15" s="1"/>
  <c r="M241" i="15" a="1"/>
  <c r="M241" i="15" s="1"/>
  <c r="N241" i="15" a="1"/>
  <c r="N241" i="15" s="1"/>
  <c r="O241" i="15" a="1"/>
  <c r="O241" i="15" s="1"/>
  <c r="P241" i="15" a="1"/>
  <c r="P241" i="15" s="1"/>
  <c r="Q241" i="15" a="1"/>
  <c r="Q241" i="15" s="1"/>
  <c r="R241" i="15" a="1"/>
  <c r="R241" i="15" s="1"/>
  <c r="U241" i="15" a="1"/>
  <c r="U241" i="15" s="1"/>
  <c r="V241" i="15" a="1"/>
  <c r="V241" i="15" s="1"/>
  <c r="W241" i="15" a="1"/>
  <c r="W241" i="15" s="1"/>
  <c r="X241" i="15" a="1"/>
  <c r="X241" i="15" s="1"/>
  <c r="K242" i="15" a="1"/>
  <c r="K242" i="15" s="1"/>
  <c r="L242" i="15" a="1"/>
  <c r="L242" i="15" s="1"/>
  <c r="M242" i="15" a="1"/>
  <c r="M242" i="15" s="1"/>
  <c r="N242" i="15" a="1"/>
  <c r="N242" i="15" s="1"/>
  <c r="O242" i="15" a="1"/>
  <c r="O242" i="15" s="1"/>
  <c r="P242" i="15" a="1"/>
  <c r="P242" i="15" s="1"/>
  <c r="Q242" i="15" a="1"/>
  <c r="Q242" i="15" s="1"/>
  <c r="R242" i="15" a="1"/>
  <c r="R242" i="15" s="1"/>
  <c r="U242" i="15" a="1"/>
  <c r="U242" i="15" s="1"/>
  <c r="V242" i="15" a="1"/>
  <c r="V242" i="15" s="1"/>
  <c r="W242" i="15" a="1"/>
  <c r="W242" i="15" s="1"/>
  <c r="X242" i="15" a="1"/>
  <c r="X242" i="15" s="1"/>
  <c r="K243" i="15" a="1"/>
  <c r="K243" i="15" s="1"/>
  <c r="L243" i="15" a="1"/>
  <c r="L243" i="15" s="1"/>
  <c r="M243" i="15" a="1"/>
  <c r="M243" i="15" s="1"/>
  <c r="N243" i="15" a="1"/>
  <c r="N243" i="15" s="1"/>
  <c r="O243" i="15" a="1"/>
  <c r="O243" i="15" s="1"/>
  <c r="P243" i="15" a="1"/>
  <c r="P243" i="15" s="1"/>
  <c r="Q243" i="15" a="1"/>
  <c r="Q243" i="15" s="1"/>
  <c r="R243" i="15" a="1"/>
  <c r="R243" i="15" s="1"/>
  <c r="U243" i="15" a="1"/>
  <c r="U243" i="15" s="1"/>
  <c r="V243" i="15" a="1"/>
  <c r="V243" i="15" s="1"/>
  <c r="W243" i="15" a="1"/>
  <c r="W243" i="15" s="1"/>
  <c r="X243" i="15" a="1"/>
  <c r="X243" i="15" s="1"/>
  <c r="K244" i="15" a="1"/>
  <c r="K244" i="15" s="1"/>
  <c r="L244" i="15" a="1"/>
  <c r="L244" i="15" s="1"/>
  <c r="M244" i="15" a="1"/>
  <c r="M244" i="15" s="1"/>
  <c r="N244" i="15" a="1"/>
  <c r="N244" i="15" s="1"/>
  <c r="O244" i="15" a="1"/>
  <c r="O244" i="15" s="1"/>
  <c r="P244" i="15" a="1"/>
  <c r="P244" i="15" s="1"/>
  <c r="Q244" i="15" a="1"/>
  <c r="Q244" i="15" s="1"/>
  <c r="R244" i="15" a="1"/>
  <c r="R244" i="15" s="1"/>
  <c r="U244" i="15" a="1"/>
  <c r="U244" i="15" s="1"/>
  <c r="V244" i="15" a="1"/>
  <c r="V244" i="15" s="1"/>
  <c r="W244" i="15" a="1"/>
  <c r="W244" i="15" s="1"/>
  <c r="X244" i="15" a="1"/>
  <c r="X244" i="15" s="1"/>
  <c r="K245" i="15" a="1"/>
  <c r="K245" i="15" s="1"/>
  <c r="L245" i="15" a="1"/>
  <c r="L245" i="15" s="1"/>
  <c r="M245" i="15" a="1"/>
  <c r="M245" i="15" s="1"/>
  <c r="N245" i="15" a="1"/>
  <c r="N245" i="15" s="1"/>
  <c r="O245" i="15" a="1"/>
  <c r="O245" i="15" s="1"/>
  <c r="P245" i="15" a="1"/>
  <c r="P245" i="15" s="1"/>
  <c r="Q245" i="15" a="1"/>
  <c r="Q245" i="15" s="1"/>
  <c r="R245" i="15" a="1"/>
  <c r="R245" i="15" s="1"/>
  <c r="U245" i="15" a="1"/>
  <c r="U245" i="15" s="1"/>
  <c r="V245" i="15" a="1"/>
  <c r="V245" i="15" s="1"/>
  <c r="W245" i="15" a="1"/>
  <c r="W245" i="15" s="1"/>
  <c r="X245" i="15" a="1"/>
  <c r="X245" i="15" s="1"/>
  <c r="K246" i="15" a="1"/>
  <c r="K246" i="15" s="1"/>
  <c r="L246" i="15" a="1"/>
  <c r="L246" i="15" s="1"/>
  <c r="M246" i="15" a="1"/>
  <c r="M246" i="15" s="1"/>
  <c r="N246" i="15" a="1"/>
  <c r="N246" i="15" s="1"/>
  <c r="O246" i="15" a="1"/>
  <c r="O246" i="15" s="1"/>
  <c r="P246" i="15" a="1"/>
  <c r="P246" i="15" s="1"/>
  <c r="Q246" i="15" a="1"/>
  <c r="Q246" i="15" s="1"/>
  <c r="R246" i="15" a="1"/>
  <c r="R246" i="15" s="1"/>
  <c r="U246" i="15" a="1"/>
  <c r="U246" i="15" s="1"/>
  <c r="V246" i="15" a="1"/>
  <c r="V246" i="15" s="1"/>
  <c r="W246" i="15" a="1"/>
  <c r="W246" i="15" s="1"/>
  <c r="X246" i="15" a="1"/>
  <c r="X246" i="15" s="1"/>
  <c r="K247" i="15" a="1"/>
  <c r="K247" i="15" s="1"/>
  <c r="L247" i="15" a="1"/>
  <c r="L247" i="15" s="1"/>
  <c r="M247" i="15" a="1"/>
  <c r="M247" i="15" s="1"/>
  <c r="N247" i="15" a="1"/>
  <c r="N247" i="15" s="1"/>
  <c r="O247" i="15" a="1"/>
  <c r="O247" i="15" s="1"/>
  <c r="P247" i="15" a="1"/>
  <c r="P247" i="15" s="1"/>
  <c r="Q247" i="15" a="1"/>
  <c r="Q247" i="15" s="1"/>
  <c r="R247" i="15" a="1"/>
  <c r="R247" i="15" s="1"/>
  <c r="U247" i="15" a="1"/>
  <c r="U247" i="15" s="1"/>
  <c r="V247" i="15" a="1"/>
  <c r="V247" i="15" s="1"/>
  <c r="W247" i="15" a="1"/>
  <c r="W247" i="15" s="1"/>
  <c r="X247" i="15" a="1"/>
  <c r="X247" i="15" s="1"/>
  <c r="K248" i="15" a="1"/>
  <c r="K248" i="15" s="1"/>
  <c r="L248" i="15" a="1"/>
  <c r="L248" i="15" s="1"/>
  <c r="M248" i="15" a="1"/>
  <c r="M248" i="15" s="1"/>
  <c r="N248" i="15" a="1"/>
  <c r="N248" i="15" s="1"/>
  <c r="O248" i="15" a="1"/>
  <c r="O248" i="15" s="1"/>
  <c r="P248" i="15" a="1"/>
  <c r="P248" i="15" s="1"/>
  <c r="Q248" i="15" a="1"/>
  <c r="Q248" i="15" s="1"/>
  <c r="R248" i="15" a="1"/>
  <c r="R248" i="15" s="1"/>
  <c r="U248" i="15" a="1"/>
  <c r="U248" i="15" s="1"/>
  <c r="V248" i="15" a="1"/>
  <c r="V248" i="15" s="1"/>
  <c r="W248" i="15" a="1"/>
  <c r="W248" i="15" s="1"/>
  <c r="X248" i="15" a="1"/>
  <c r="X248" i="15" s="1"/>
  <c r="K249" i="15" a="1"/>
  <c r="K249" i="15" s="1"/>
  <c r="L249" i="15" a="1"/>
  <c r="L249" i="15" s="1"/>
  <c r="M249" i="15" a="1"/>
  <c r="M249" i="15" s="1"/>
  <c r="N249" i="15" a="1"/>
  <c r="N249" i="15" s="1"/>
  <c r="O249" i="15" a="1"/>
  <c r="O249" i="15" s="1"/>
  <c r="P249" i="15" a="1"/>
  <c r="P249" i="15" s="1"/>
  <c r="Q249" i="15" a="1"/>
  <c r="Q249" i="15" s="1"/>
  <c r="R249" i="15" a="1"/>
  <c r="R249" i="15" s="1"/>
  <c r="U249" i="15" a="1"/>
  <c r="U249" i="15" s="1"/>
  <c r="V249" i="15" a="1"/>
  <c r="V249" i="15" s="1"/>
  <c r="W249" i="15" a="1"/>
  <c r="W249" i="15" s="1"/>
  <c r="X249" i="15" a="1"/>
  <c r="X249" i="15" s="1"/>
  <c r="K250" i="15" a="1"/>
  <c r="K250" i="15" s="1"/>
  <c r="L250" i="15" a="1"/>
  <c r="L250" i="15" s="1"/>
  <c r="M250" i="15" a="1"/>
  <c r="M250" i="15" s="1"/>
  <c r="N250" i="15" a="1"/>
  <c r="N250" i="15" s="1"/>
  <c r="O250" i="15" a="1"/>
  <c r="O250" i="15" s="1"/>
  <c r="P250" i="15" a="1"/>
  <c r="P250" i="15" s="1"/>
  <c r="Q250" i="15" a="1"/>
  <c r="Q250" i="15" s="1"/>
  <c r="R250" i="15" a="1"/>
  <c r="R250" i="15" s="1"/>
  <c r="U250" i="15" a="1"/>
  <c r="U250" i="15" s="1"/>
  <c r="V250" i="15" a="1"/>
  <c r="V250" i="15" s="1"/>
  <c r="W250" i="15" a="1"/>
  <c r="W250" i="15" s="1"/>
  <c r="X250" i="15" a="1"/>
  <c r="X250" i="15" s="1"/>
  <c r="K251" i="15" a="1"/>
  <c r="K251" i="15" s="1"/>
  <c r="L251" i="15" a="1"/>
  <c r="L251" i="15" s="1"/>
  <c r="M251" i="15" a="1"/>
  <c r="M251" i="15" s="1"/>
  <c r="N251" i="15" a="1"/>
  <c r="N251" i="15" s="1"/>
  <c r="O251" i="15" a="1"/>
  <c r="O251" i="15" s="1"/>
  <c r="P251" i="15" a="1"/>
  <c r="P251" i="15" s="1"/>
  <c r="Q251" i="15" a="1"/>
  <c r="Q251" i="15" s="1"/>
  <c r="R251" i="15" a="1"/>
  <c r="R251" i="15" s="1"/>
  <c r="U251" i="15" a="1"/>
  <c r="U251" i="15" s="1"/>
  <c r="V251" i="15" a="1"/>
  <c r="V251" i="15" s="1"/>
  <c r="W251" i="15" a="1"/>
  <c r="W251" i="15" s="1"/>
  <c r="X251" i="15" a="1"/>
  <c r="X251" i="15" s="1"/>
  <c r="K252" i="15" a="1"/>
  <c r="K252" i="15" s="1"/>
  <c r="L252" i="15" a="1"/>
  <c r="L252" i="15" s="1"/>
  <c r="M252" i="15" a="1"/>
  <c r="M252" i="15" s="1"/>
  <c r="N252" i="15" a="1"/>
  <c r="N252" i="15" s="1"/>
  <c r="O252" i="15" a="1"/>
  <c r="O252" i="15" s="1"/>
  <c r="P252" i="15" a="1"/>
  <c r="P252" i="15" s="1"/>
  <c r="Q252" i="15" a="1"/>
  <c r="Q252" i="15" s="1"/>
  <c r="R252" i="15" a="1"/>
  <c r="R252" i="15" s="1"/>
  <c r="U252" i="15" a="1"/>
  <c r="U252" i="15" s="1"/>
  <c r="V252" i="15" a="1"/>
  <c r="V252" i="15" s="1"/>
  <c r="W252" i="15" a="1"/>
  <c r="W252" i="15" s="1"/>
  <c r="X252" i="15" a="1"/>
  <c r="X252" i="15" s="1"/>
  <c r="K253" i="15" a="1"/>
  <c r="K253" i="15" s="1"/>
  <c r="L253" i="15" a="1"/>
  <c r="L253" i="15" s="1"/>
  <c r="M253" i="15" a="1"/>
  <c r="M253" i="15" s="1"/>
  <c r="N253" i="15" a="1"/>
  <c r="N253" i="15" s="1"/>
  <c r="O253" i="15" a="1"/>
  <c r="O253" i="15" s="1"/>
  <c r="P253" i="15" a="1"/>
  <c r="P253" i="15" s="1"/>
  <c r="Q253" i="15" a="1"/>
  <c r="Q253" i="15" s="1"/>
  <c r="R253" i="15" a="1"/>
  <c r="R253" i="15" s="1"/>
  <c r="U253" i="15" a="1"/>
  <c r="U253" i="15" s="1"/>
  <c r="V253" i="15" a="1"/>
  <c r="V253" i="15" s="1"/>
  <c r="W253" i="15" a="1"/>
  <c r="W253" i="15" s="1"/>
  <c r="X253" i="15" a="1"/>
  <c r="X253" i="15" s="1"/>
  <c r="K254" i="15" a="1"/>
  <c r="K254" i="15" s="1"/>
  <c r="L254" i="15" a="1"/>
  <c r="L254" i="15" s="1"/>
  <c r="M254" i="15" a="1"/>
  <c r="M254" i="15" s="1"/>
  <c r="N254" i="15" a="1"/>
  <c r="N254" i="15" s="1"/>
  <c r="O254" i="15" a="1"/>
  <c r="O254" i="15" s="1"/>
  <c r="P254" i="15" a="1"/>
  <c r="P254" i="15" s="1"/>
  <c r="Q254" i="15" a="1"/>
  <c r="Q254" i="15" s="1"/>
  <c r="R254" i="15" a="1"/>
  <c r="R254" i="15" s="1"/>
  <c r="U254" i="15" a="1"/>
  <c r="U254" i="15" s="1"/>
  <c r="V254" i="15" a="1"/>
  <c r="V254" i="15" s="1"/>
  <c r="W254" i="15" a="1"/>
  <c r="W254" i="15" s="1"/>
  <c r="X254" i="15" a="1"/>
  <c r="X254" i="15" s="1"/>
  <c r="K255" i="15" a="1"/>
  <c r="K255" i="15" s="1"/>
  <c r="L255" i="15" a="1"/>
  <c r="L255" i="15" s="1"/>
  <c r="M255" i="15" a="1"/>
  <c r="M255" i="15" s="1"/>
  <c r="N255" i="15" a="1"/>
  <c r="N255" i="15" s="1"/>
  <c r="O255" i="15" a="1"/>
  <c r="O255" i="15" s="1"/>
  <c r="P255" i="15" a="1"/>
  <c r="P255" i="15" s="1"/>
  <c r="Q255" i="15" a="1"/>
  <c r="Q255" i="15" s="1"/>
  <c r="R255" i="15" a="1"/>
  <c r="R255" i="15" s="1"/>
  <c r="U255" i="15" a="1"/>
  <c r="U255" i="15" s="1"/>
  <c r="V255" i="15" a="1"/>
  <c r="V255" i="15" s="1"/>
  <c r="W255" i="15" a="1"/>
  <c r="W255" i="15" s="1"/>
  <c r="X255" i="15" a="1"/>
  <c r="X255" i="15" s="1"/>
  <c r="K256" i="15" a="1"/>
  <c r="K256" i="15" s="1"/>
  <c r="L256" i="15" a="1"/>
  <c r="L256" i="15" s="1"/>
  <c r="M256" i="15" a="1"/>
  <c r="M256" i="15" s="1"/>
  <c r="N256" i="15" a="1"/>
  <c r="N256" i="15" s="1"/>
  <c r="O256" i="15" a="1"/>
  <c r="O256" i="15" s="1"/>
  <c r="P256" i="15" a="1"/>
  <c r="P256" i="15" s="1"/>
  <c r="Q256" i="15" a="1"/>
  <c r="Q256" i="15" s="1"/>
  <c r="R256" i="15" a="1"/>
  <c r="R256" i="15" s="1"/>
  <c r="U256" i="15" a="1"/>
  <c r="U256" i="15" s="1"/>
  <c r="V256" i="15" a="1"/>
  <c r="V256" i="15" s="1"/>
  <c r="W256" i="15" a="1"/>
  <c r="W256" i="15" s="1"/>
  <c r="X256" i="15" a="1"/>
  <c r="X256" i="15" s="1"/>
  <c r="K257" i="15" a="1"/>
  <c r="K257" i="15" s="1"/>
  <c r="L257" i="15" a="1"/>
  <c r="L257" i="15" s="1"/>
  <c r="M257" i="15" a="1"/>
  <c r="M257" i="15" s="1"/>
  <c r="N257" i="15" a="1"/>
  <c r="N257" i="15" s="1"/>
  <c r="O257" i="15" a="1"/>
  <c r="O257" i="15" s="1"/>
  <c r="P257" i="15" a="1"/>
  <c r="P257" i="15" s="1"/>
  <c r="Q257" i="15" a="1"/>
  <c r="Q257" i="15" s="1"/>
  <c r="R257" i="15" a="1"/>
  <c r="R257" i="15" s="1"/>
  <c r="U257" i="15" a="1"/>
  <c r="U257" i="15" s="1"/>
  <c r="V257" i="15" a="1"/>
  <c r="V257" i="15" s="1"/>
  <c r="W257" i="15" a="1"/>
  <c r="W257" i="15" s="1"/>
  <c r="X257" i="15" a="1"/>
  <c r="X257" i="15" s="1"/>
  <c r="K3" i="14" a="1"/>
  <c r="K3" i="14" s="1"/>
  <c r="L3" i="14" a="1"/>
  <c r="L3" i="14" s="1"/>
  <c r="M3" i="14" a="1"/>
  <c r="M3" i="14" s="1"/>
  <c r="N3" i="14" a="1"/>
  <c r="N3" i="14" s="1"/>
  <c r="O3" i="14" a="1"/>
  <c r="O3" i="14" s="1"/>
  <c r="P3" i="14" a="1"/>
  <c r="P3" i="14" s="1"/>
  <c r="Q3" i="14" a="1"/>
  <c r="Q3" i="14" s="1"/>
  <c r="R3" i="14" a="1"/>
  <c r="R3" i="14" s="1"/>
  <c r="U3" i="14" a="1"/>
  <c r="U3" i="14" s="1"/>
  <c r="V3" i="14" a="1"/>
  <c r="V3" i="14" s="1"/>
  <c r="W3" i="14" a="1"/>
  <c r="W3" i="14" s="1"/>
  <c r="X3" i="14" a="1"/>
  <c r="X3" i="14" s="1"/>
  <c r="K4" i="14" a="1"/>
  <c r="K4" i="14" s="1"/>
  <c r="L4" i="14" a="1"/>
  <c r="L4" i="14" s="1"/>
  <c r="M4" i="14" a="1"/>
  <c r="M4" i="14" s="1"/>
  <c r="N4" i="14" a="1"/>
  <c r="N4" i="14" s="1"/>
  <c r="O4" i="14" a="1"/>
  <c r="O4" i="14" s="1"/>
  <c r="P4" i="14" a="1"/>
  <c r="P4" i="14" s="1"/>
  <c r="Q4" i="14" a="1"/>
  <c r="Q4" i="14" s="1"/>
  <c r="R4" i="14" a="1"/>
  <c r="R4" i="14" s="1"/>
  <c r="U4" i="14" a="1"/>
  <c r="U4" i="14" s="1"/>
  <c r="V4" i="14" a="1"/>
  <c r="V4" i="14" s="1"/>
  <c r="W4" i="14" a="1"/>
  <c r="W4" i="14" s="1"/>
  <c r="X4" i="14" a="1"/>
  <c r="X4" i="14" s="1"/>
  <c r="K5" i="14" a="1"/>
  <c r="K5" i="14" s="1"/>
  <c r="L5" i="14" a="1"/>
  <c r="L5" i="14" s="1"/>
  <c r="M5" i="14" a="1"/>
  <c r="M5" i="14" s="1"/>
  <c r="N5" i="14" a="1"/>
  <c r="N5" i="14" s="1"/>
  <c r="O5" i="14" a="1"/>
  <c r="O5" i="14" s="1"/>
  <c r="P5" i="14" a="1"/>
  <c r="P5" i="14" s="1"/>
  <c r="Q5" i="14" a="1"/>
  <c r="Q5" i="14" s="1"/>
  <c r="R5" i="14" a="1"/>
  <c r="R5" i="14" s="1"/>
  <c r="U5" i="14" a="1"/>
  <c r="U5" i="14" s="1"/>
  <c r="V5" i="14" a="1"/>
  <c r="V5" i="14" s="1"/>
  <c r="W5" i="14" a="1"/>
  <c r="W5" i="14" s="1"/>
  <c r="X5" i="14" a="1"/>
  <c r="X5" i="14" s="1"/>
  <c r="K6" i="14" a="1"/>
  <c r="K6" i="14" s="1"/>
  <c r="L6" i="14" a="1"/>
  <c r="L6" i="14" s="1"/>
  <c r="M6" i="14" a="1"/>
  <c r="M6" i="14" s="1"/>
  <c r="N6" i="14" a="1"/>
  <c r="N6" i="14" s="1"/>
  <c r="O6" i="14" a="1"/>
  <c r="O6" i="14" s="1"/>
  <c r="P6" i="14" a="1"/>
  <c r="P6" i="14" s="1"/>
  <c r="Q6" i="14" a="1"/>
  <c r="Q6" i="14" s="1"/>
  <c r="R6" i="14" a="1"/>
  <c r="R6" i="14" s="1"/>
  <c r="U6" i="14" a="1"/>
  <c r="U6" i="14" s="1"/>
  <c r="V6" i="14" a="1"/>
  <c r="V6" i="14" s="1"/>
  <c r="W6" i="14" a="1"/>
  <c r="W6" i="14" s="1"/>
  <c r="X6" i="14" a="1"/>
  <c r="X6" i="14" s="1"/>
  <c r="K7" i="14" a="1"/>
  <c r="K7" i="14" s="1"/>
  <c r="L7" i="14" a="1"/>
  <c r="L7" i="14" s="1"/>
  <c r="M7" i="14" a="1"/>
  <c r="M7" i="14" s="1"/>
  <c r="N7" i="14" a="1"/>
  <c r="N7" i="14" s="1"/>
  <c r="O7" i="14" a="1"/>
  <c r="O7" i="14" s="1"/>
  <c r="P7" i="14" a="1"/>
  <c r="P7" i="14" s="1"/>
  <c r="Q7" i="14" a="1"/>
  <c r="Q7" i="14" s="1"/>
  <c r="R7" i="14" a="1"/>
  <c r="R7" i="14" s="1"/>
  <c r="U7" i="14" a="1"/>
  <c r="U7" i="14" s="1"/>
  <c r="V7" i="14" a="1"/>
  <c r="V7" i="14" s="1"/>
  <c r="W7" i="14" a="1"/>
  <c r="W7" i="14" s="1"/>
  <c r="X7" i="14" a="1"/>
  <c r="X7" i="14" s="1"/>
  <c r="K8" i="14" a="1"/>
  <c r="K8" i="14" s="1"/>
  <c r="L8" i="14" a="1"/>
  <c r="L8" i="14" s="1"/>
  <c r="M8" i="14" a="1"/>
  <c r="M8" i="14" s="1"/>
  <c r="N8" i="14" a="1"/>
  <c r="N8" i="14" s="1"/>
  <c r="O8" i="14" a="1"/>
  <c r="O8" i="14" s="1"/>
  <c r="P8" i="14" a="1"/>
  <c r="P8" i="14" s="1"/>
  <c r="Q8" i="14" a="1"/>
  <c r="Q8" i="14" s="1"/>
  <c r="R8" i="14" a="1"/>
  <c r="R8" i="14" s="1"/>
  <c r="U8" i="14" a="1"/>
  <c r="U8" i="14" s="1"/>
  <c r="V8" i="14" a="1"/>
  <c r="V8" i="14" s="1"/>
  <c r="W8" i="14" a="1"/>
  <c r="W8" i="14" s="1"/>
  <c r="X8" i="14" a="1"/>
  <c r="X8" i="14" s="1"/>
  <c r="K9" i="14" a="1"/>
  <c r="K9" i="14" s="1"/>
  <c r="L9" i="14" a="1"/>
  <c r="L9" i="14" s="1"/>
  <c r="M9" i="14" a="1"/>
  <c r="M9" i="14" s="1"/>
  <c r="N9" i="14" a="1"/>
  <c r="N9" i="14" s="1"/>
  <c r="O9" i="14" a="1"/>
  <c r="O9" i="14" s="1"/>
  <c r="P9" i="14" a="1"/>
  <c r="P9" i="14" s="1"/>
  <c r="Q9" i="14" a="1"/>
  <c r="Q9" i="14" s="1"/>
  <c r="R9" i="14" a="1"/>
  <c r="R9" i="14" s="1"/>
  <c r="U9" i="14" a="1"/>
  <c r="U9" i="14" s="1"/>
  <c r="V9" i="14" a="1"/>
  <c r="V9" i="14" s="1"/>
  <c r="W9" i="14" a="1"/>
  <c r="W9" i="14" s="1"/>
  <c r="X9" i="14" a="1"/>
  <c r="X9" i="14" s="1"/>
  <c r="K10" i="14" a="1"/>
  <c r="K10" i="14" s="1"/>
  <c r="L10" i="14" a="1"/>
  <c r="L10" i="14" s="1"/>
  <c r="M10" i="14" a="1"/>
  <c r="M10" i="14" s="1"/>
  <c r="N10" i="14" a="1"/>
  <c r="N10" i="14" s="1"/>
  <c r="O10" i="14" a="1"/>
  <c r="O10" i="14" s="1"/>
  <c r="P10" i="14" a="1"/>
  <c r="P10" i="14" s="1"/>
  <c r="Q10" i="14" a="1"/>
  <c r="Q10" i="14" s="1"/>
  <c r="R10" i="14" a="1"/>
  <c r="R10" i="14" s="1"/>
  <c r="U10" i="14" a="1"/>
  <c r="U10" i="14" s="1"/>
  <c r="V10" i="14" a="1"/>
  <c r="V10" i="14" s="1"/>
  <c r="W10" i="14" a="1"/>
  <c r="W10" i="14" s="1"/>
  <c r="X10" i="14" a="1"/>
  <c r="X10" i="14" s="1"/>
  <c r="K11" i="14" a="1"/>
  <c r="K11" i="14" s="1"/>
  <c r="L11" i="14" a="1"/>
  <c r="L11" i="14" s="1"/>
  <c r="M11" i="14" a="1"/>
  <c r="M11" i="14" s="1"/>
  <c r="N11" i="14" a="1"/>
  <c r="N11" i="14" s="1"/>
  <c r="O11" i="14" a="1"/>
  <c r="O11" i="14" s="1"/>
  <c r="P11" i="14" a="1"/>
  <c r="P11" i="14" s="1"/>
  <c r="Q11" i="14" a="1"/>
  <c r="Q11" i="14" s="1"/>
  <c r="R11" i="14" a="1"/>
  <c r="R11" i="14" s="1"/>
  <c r="U11" i="14" a="1"/>
  <c r="U11" i="14" s="1"/>
  <c r="V11" i="14" a="1"/>
  <c r="V11" i="14" s="1"/>
  <c r="W11" i="14" a="1"/>
  <c r="W11" i="14" s="1"/>
  <c r="X11" i="14" a="1"/>
  <c r="X11" i="14" s="1"/>
  <c r="K12" i="14" a="1"/>
  <c r="K12" i="14" s="1"/>
  <c r="L12" i="14" a="1"/>
  <c r="L12" i="14" s="1"/>
  <c r="M12" i="14" a="1"/>
  <c r="M12" i="14" s="1"/>
  <c r="N12" i="14" a="1"/>
  <c r="N12" i="14" s="1"/>
  <c r="O12" i="14" a="1"/>
  <c r="O12" i="14" s="1"/>
  <c r="P12" i="14" a="1"/>
  <c r="P12" i="14" s="1"/>
  <c r="Q12" i="14" a="1"/>
  <c r="Q12" i="14" s="1"/>
  <c r="R12" i="14" a="1"/>
  <c r="R12" i="14" s="1"/>
  <c r="U12" i="14" a="1"/>
  <c r="U12" i="14" s="1"/>
  <c r="V12" i="14" a="1"/>
  <c r="V12" i="14" s="1"/>
  <c r="W12" i="14" a="1"/>
  <c r="W12" i="14" s="1"/>
  <c r="X12" i="14" a="1"/>
  <c r="X12" i="14" s="1"/>
  <c r="K13" i="14" a="1"/>
  <c r="K13" i="14" s="1"/>
  <c r="L13" i="14" a="1"/>
  <c r="L13" i="14" s="1"/>
  <c r="M13" i="14" a="1"/>
  <c r="M13" i="14" s="1"/>
  <c r="N13" i="14" a="1"/>
  <c r="N13" i="14" s="1"/>
  <c r="O13" i="14" a="1"/>
  <c r="O13" i="14" s="1"/>
  <c r="P13" i="14" a="1"/>
  <c r="P13" i="14" s="1"/>
  <c r="Q13" i="14" a="1"/>
  <c r="Q13" i="14" s="1"/>
  <c r="R13" i="14" a="1"/>
  <c r="R13" i="14" s="1"/>
  <c r="U13" i="14" a="1"/>
  <c r="U13" i="14" s="1"/>
  <c r="V13" i="14" a="1"/>
  <c r="V13" i="14" s="1"/>
  <c r="W13" i="14" a="1"/>
  <c r="W13" i="14" s="1"/>
  <c r="X13" i="14" a="1"/>
  <c r="X13" i="14" s="1"/>
  <c r="K14" i="14" a="1"/>
  <c r="K14" i="14" s="1"/>
  <c r="L14" i="14" a="1"/>
  <c r="L14" i="14" s="1"/>
  <c r="M14" i="14" a="1"/>
  <c r="M14" i="14" s="1"/>
  <c r="N14" i="14" a="1"/>
  <c r="N14" i="14" s="1"/>
  <c r="O14" i="14" a="1"/>
  <c r="O14" i="14" s="1"/>
  <c r="P14" i="14" a="1"/>
  <c r="P14" i="14" s="1"/>
  <c r="Q14" i="14" a="1"/>
  <c r="Q14" i="14" s="1"/>
  <c r="R14" i="14" a="1"/>
  <c r="R14" i="14" s="1"/>
  <c r="U14" i="14" a="1"/>
  <c r="U14" i="14" s="1"/>
  <c r="V14" i="14" a="1"/>
  <c r="V14" i="14" s="1"/>
  <c r="W14" i="14" a="1"/>
  <c r="W14" i="14" s="1"/>
  <c r="X14" i="14" a="1"/>
  <c r="X14" i="14" s="1"/>
  <c r="K15" i="14" a="1"/>
  <c r="K15" i="14" s="1"/>
  <c r="L15" i="14" a="1"/>
  <c r="L15" i="14" s="1"/>
  <c r="M15" i="14" a="1"/>
  <c r="M15" i="14" s="1"/>
  <c r="N15" i="14" a="1"/>
  <c r="N15" i="14" s="1"/>
  <c r="O15" i="14" a="1"/>
  <c r="O15" i="14" s="1"/>
  <c r="P15" i="14" a="1"/>
  <c r="P15" i="14" s="1"/>
  <c r="Q15" i="14" a="1"/>
  <c r="Q15" i="14" s="1"/>
  <c r="R15" i="14" a="1"/>
  <c r="R15" i="14" s="1"/>
  <c r="U15" i="14" a="1"/>
  <c r="U15" i="14" s="1"/>
  <c r="V15" i="14" a="1"/>
  <c r="V15" i="14" s="1"/>
  <c r="W15" i="14" a="1"/>
  <c r="W15" i="14" s="1"/>
  <c r="X15" i="14" a="1"/>
  <c r="X15" i="14" s="1"/>
  <c r="K16" i="14" a="1"/>
  <c r="K16" i="14" s="1"/>
  <c r="L16" i="14" a="1"/>
  <c r="L16" i="14" s="1"/>
  <c r="M16" i="14" a="1"/>
  <c r="M16" i="14" s="1"/>
  <c r="N16" i="14" a="1"/>
  <c r="N16" i="14" s="1"/>
  <c r="O16" i="14" a="1"/>
  <c r="O16" i="14" s="1"/>
  <c r="P16" i="14" a="1"/>
  <c r="P16" i="14" s="1"/>
  <c r="Q16" i="14" a="1"/>
  <c r="Q16" i="14" s="1"/>
  <c r="R16" i="14" a="1"/>
  <c r="R16" i="14" s="1"/>
  <c r="U16" i="14" a="1"/>
  <c r="U16" i="14" s="1"/>
  <c r="V16" i="14" a="1"/>
  <c r="V16" i="14" s="1"/>
  <c r="W16" i="14" a="1"/>
  <c r="W16" i="14" s="1"/>
  <c r="X16" i="14" a="1"/>
  <c r="X16" i="14" s="1"/>
  <c r="K17" i="14" a="1"/>
  <c r="K17" i="14" s="1"/>
  <c r="L17" i="14" a="1"/>
  <c r="L17" i="14" s="1"/>
  <c r="M17" i="14" a="1"/>
  <c r="M17" i="14" s="1"/>
  <c r="N17" i="14" a="1"/>
  <c r="N17" i="14" s="1"/>
  <c r="O17" i="14" a="1"/>
  <c r="O17" i="14" s="1"/>
  <c r="P17" i="14" a="1"/>
  <c r="P17" i="14" s="1"/>
  <c r="Q17" i="14" a="1"/>
  <c r="Q17" i="14" s="1"/>
  <c r="R17" i="14" a="1"/>
  <c r="R17" i="14" s="1"/>
  <c r="U17" i="14" a="1"/>
  <c r="U17" i="14" s="1"/>
  <c r="V17" i="14" a="1"/>
  <c r="V17" i="14" s="1"/>
  <c r="W17" i="14" a="1"/>
  <c r="W17" i="14" s="1"/>
  <c r="X17" i="14" a="1"/>
  <c r="X17" i="14" s="1"/>
  <c r="K18" i="14" a="1"/>
  <c r="K18" i="14" s="1"/>
  <c r="L18" i="14" a="1"/>
  <c r="L18" i="14" s="1"/>
  <c r="M18" i="14" a="1"/>
  <c r="M18" i="14" s="1"/>
  <c r="N18" i="14" a="1"/>
  <c r="N18" i="14" s="1"/>
  <c r="O18" i="14" a="1"/>
  <c r="O18" i="14" s="1"/>
  <c r="P18" i="14" a="1"/>
  <c r="P18" i="14" s="1"/>
  <c r="Q18" i="14" a="1"/>
  <c r="Q18" i="14" s="1"/>
  <c r="R18" i="14" a="1"/>
  <c r="R18" i="14" s="1"/>
  <c r="U18" i="14" a="1"/>
  <c r="U18" i="14" s="1"/>
  <c r="V18" i="14" a="1"/>
  <c r="V18" i="14" s="1"/>
  <c r="W18" i="14" a="1"/>
  <c r="W18" i="14" s="1"/>
  <c r="X18" i="14" a="1"/>
  <c r="X18" i="14" s="1"/>
  <c r="K19" i="14" a="1"/>
  <c r="K19" i="14" s="1"/>
  <c r="L19" i="14" a="1"/>
  <c r="L19" i="14" s="1"/>
  <c r="M19" i="14" a="1"/>
  <c r="M19" i="14" s="1"/>
  <c r="N19" i="14" a="1"/>
  <c r="N19" i="14" s="1"/>
  <c r="O19" i="14" a="1"/>
  <c r="O19" i="14" s="1"/>
  <c r="P19" i="14" a="1"/>
  <c r="P19" i="14" s="1"/>
  <c r="Q19" i="14" a="1"/>
  <c r="Q19" i="14" s="1"/>
  <c r="R19" i="14" a="1"/>
  <c r="R19" i="14" s="1"/>
  <c r="U19" i="14" a="1"/>
  <c r="U19" i="14" s="1"/>
  <c r="V19" i="14" a="1"/>
  <c r="V19" i="14" s="1"/>
  <c r="W19" i="14" a="1"/>
  <c r="W19" i="14" s="1"/>
  <c r="X19" i="14" a="1"/>
  <c r="X19" i="14" s="1"/>
  <c r="K20" i="14" a="1"/>
  <c r="K20" i="14" s="1"/>
  <c r="L20" i="14" a="1"/>
  <c r="L20" i="14" s="1"/>
  <c r="M20" i="14" a="1"/>
  <c r="M20" i="14" s="1"/>
  <c r="N20" i="14" a="1"/>
  <c r="N20" i="14" s="1"/>
  <c r="O20" i="14" a="1"/>
  <c r="O20" i="14" s="1"/>
  <c r="P20" i="14" a="1"/>
  <c r="P20" i="14" s="1"/>
  <c r="Q20" i="14" a="1"/>
  <c r="Q20" i="14" s="1"/>
  <c r="R20" i="14" a="1"/>
  <c r="R20" i="14" s="1"/>
  <c r="U20" i="14" a="1"/>
  <c r="U20" i="14" s="1"/>
  <c r="V20" i="14" a="1"/>
  <c r="V20" i="14" s="1"/>
  <c r="W20" i="14" a="1"/>
  <c r="W20" i="14" s="1"/>
  <c r="X20" i="14" a="1"/>
  <c r="X20" i="14" s="1"/>
  <c r="K21" i="14" a="1"/>
  <c r="K21" i="14" s="1"/>
  <c r="L21" i="14" a="1"/>
  <c r="L21" i="14" s="1"/>
  <c r="M21" i="14" a="1"/>
  <c r="M21" i="14" s="1"/>
  <c r="N21" i="14" a="1"/>
  <c r="N21" i="14" s="1"/>
  <c r="O21" i="14" a="1"/>
  <c r="O21" i="14" s="1"/>
  <c r="P21" i="14" a="1"/>
  <c r="P21" i="14" s="1"/>
  <c r="Q21" i="14" a="1"/>
  <c r="Q21" i="14" s="1"/>
  <c r="R21" i="14" a="1"/>
  <c r="R21" i="14" s="1"/>
  <c r="U21" i="14" a="1"/>
  <c r="U21" i="14" s="1"/>
  <c r="V21" i="14" a="1"/>
  <c r="V21" i="14" s="1"/>
  <c r="W21" i="14" a="1"/>
  <c r="W21" i="14" s="1"/>
  <c r="X21" i="14" a="1"/>
  <c r="X21" i="14" s="1"/>
  <c r="K22" i="14" a="1"/>
  <c r="K22" i="14" s="1"/>
  <c r="L22" i="14" a="1"/>
  <c r="L22" i="14" s="1"/>
  <c r="M22" i="14" a="1"/>
  <c r="M22" i="14" s="1"/>
  <c r="N22" i="14" a="1"/>
  <c r="N22" i="14" s="1"/>
  <c r="O22" i="14" a="1"/>
  <c r="O22" i="14" s="1"/>
  <c r="P22" i="14" a="1"/>
  <c r="P22" i="14" s="1"/>
  <c r="Q22" i="14" a="1"/>
  <c r="Q22" i="14" s="1"/>
  <c r="R22" i="14" a="1"/>
  <c r="R22" i="14" s="1"/>
  <c r="U22" i="14" a="1"/>
  <c r="U22" i="14" s="1"/>
  <c r="V22" i="14" a="1"/>
  <c r="V22" i="14" s="1"/>
  <c r="W22" i="14" a="1"/>
  <c r="W22" i="14" s="1"/>
  <c r="X22" i="14" a="1"/>
  <c r="X22" i="14" s="1"/>
  <c r="K23" i="14" a="1"/>
  <c r="K23" i="14" s="1"/>
  <c r="L23" i="14" a="1"/>
  <c r="L23" i="14" s="1"/>
  <c r="M23" i="14" a="1"/>
  <c r="M23" i="14" s="1"/>
  <c r="N23" i="14" a="1"/>
  <c r="N23" i="14" s="1"/>
  <c r="O23" i="14" a="1"/>
  <c r="O23" i="14" s="1"/>
  <c r="P23" i="14" a="1"/>
  <c r="P23" i="14" s="1"/>
  <c r="Q23" i="14" a="1"/>
  <c r="Q23" i="14" s="1"/>
  <c r="R23" i="14" a="1"/>
  <c r="R23" i="14" s="1"/>
  <c r="U23" i="14" a="1"/>
  <c r="U23" i="14" s="1"/>
  <c r="V23" i="14" a="1"/>
  <c r="V23" i="14" s="1"/>
  <c r="W23" i="14" a="1"/>
  <c r="W23" i="14" s="1"/>
  <c r="X23" i="14" a="1"/>
  <c r="X23" i="14" s="1"/>
  <c r="K24" i="14" a="1"/>
  <c r="K24" i="14" s="1"/>
  <c r="L24" i="14" a="1"/>
  <c r="L24" i="14" s="1"/>
  <c r="M24" i="14" a="1"/>
  <c r="M24" i="14" s="1"/>
  <c r="N24" i="14" a="1"/>
  <c r="N24" i="14" s="1"/>
  <c r="O24" i="14" a="1"/>
  <c r="O24" i="14" s="1"/>
  <c r="P24" i="14" a="1"/>
  <c r="P24" i="14" s="1"/>
  <c r="Q24" i="14" a="1"/>
  <c r="Q24" i="14" s="1"/>
  <c r="R24" i="14" a="1"/>
  <c r="R24" i="14" s="1"/>
  <c r="U24" i="14" a="1"/>
  <c r="U24" i="14" s="1"/>
  <c r="V24" i="14" a="1"/>
  <c r="V24" i="14" s="1"/>
  <c r="W24" i="14" a="1"/>
  <c r="W24" i="14" s="1"/>
  <c r="X24" i="14" a="1"/>
  <c r="X24" i="14" s="1"/>
  <c r="K25" i="14" a="1"/>
  <c r="K25" i="14" s="1"/>
  <c r="L25" i="14" a="1"/>
  <c r="L25" i="14" s="1"/>
  <c r="M25" i="14" a="1"/>
  <c r="M25" i="14" s="1"/>
  <c r="N25" i="14" a="1"/>
  <c r="N25" i="14" s="1"/>
  <c r="O25" i="14" a="1"/>
  <c r="O25" i="14" s="1"/>
  <c r="P25" i="14" a="1"/>
  <c r="P25" i="14" s="1"/>
  <c r="Q25" i="14" a="1"/>
  <c r="Q25" i="14" s="1"/>
  <c r="R25" i="14" a="1"/>
  <c r="R25" i="14" s="1"/>
  <c r="U25" i="14" a="1"/>
  <c r="U25" i="14" s="1"/>
  <c r="V25" i="14" a="1"/>
  <c r="V25" i="14" s="1"/>
  <c r="W25" i="14" a="1"/>
  <c r="W25" i="14" s="1"/>
  <c r="X25" i="14" a="1"/>
  <c r="X25" i="14" s="1"/>
  <c r="K26" i="14" a="1"/>
  <c r="K26" i="14" s="1"/>
  <c r="L26" i="14" a="1"/>
  <c r="L26" i="14" s="1"/>
  <c r="M26" i="14" a="1"/>
  <c r="M26" i="14" s="1"/>
  <c r="N26" i="14" a="1"/>
  <c r="N26" i="14" s="1"/>
  <c r="O26" i="14" a="1"/>
  <c r="O26" i="14" s="1"/>
  <c r="P26" i="14" a="1"/>
  <c r="P26" i="14" s="1"/>
  <c r="Q26" i="14" a="1"/>
  <c r="Q26" i="14" s="1"/>
  <c r="R26" i="14" a="1"/>
  <c r="R26" i="14" s="1"/>
  <c r="U26" i="14" a="1"/>
  <c r="U26" i="14" s="1"/>
  <c r="V26" i="14" a="1"/>
  <c r="V26" i="14" s="1"/>
  <c r="W26" i="14" a="1"/>
  <c r="W26" i="14" s="1"/>
  <c r="X26" i="14" a="1"/>
  <c r="X26" i="14" s="1"/>
  <c r="K27" i="14" a="1"/>
  <c r="K27" i="14" s="1"/>
  <c r="L27" i="14" a="1"/>
  <c r="L27" i="14" s="1"/>
  <c r="M27" i="14" a="1"/>
  <c r="M27" i="14" s="1"/>
  <c r="N27" i="14" a="1"/>
  <c r="N27" i="14" s="1"/>
  <c r="O27" i="14" a="1"/>
  <c r="O27" i="14" s="1"/>
  <c r="P27" i="14" a="1"/>
  <c r="P27" i="14" s="1"/>
  <c r="Q27" i="14" a="1"/>
  <c r="Q27" i="14" s="1"/>
  <c r="R27" i="14" a="1"/>
  <c r="R27" i="14" s="1"/>
  <c r="U27" i="14" a="1"/>
  <c r="U27" i="14" s="1"/>
  <c r="V27" i="14" a="1"/>
  <c r="V27" i="14" s="1"/>
  <c r="W27" i="14" a="1"/>
  <c r="W27" i="14" s="1"/>
  <c r="X27" i="14" a="1"/>
  <c r="X27" i="14" s="1"/>
  <c r="K28" i="14" a="1"/>
  <c r="K28" i="14" s="1"/>
  <c r="L28" i="14" a="1"/>
  <c r="L28" i="14" s="1"/>
  <c r="M28" i="14" a="1"/>
  <c r="M28" i="14" s="1"/>
  <c r="N28" i="14" a="1"/>
  <c r="N28" i="14" s="1"/>
  <c r="O28" i="14" a="1"/>
  <c r="O28" i="14" s="1"/>
  <c r="P28" i="14" a="1"/>
  <c r="P28" i="14" s="1"/>
  <c r="Q28" i="14" a="1"/>
  <c r="Q28" i="14" s="1"/>
  <c r="R28" i="14" a="1"/>
  <c r="R28" i="14" s="1"/>
  <c r="U28" i="14" a="1"/>
  <c r="U28" i="14" s="1"/>
  <c r="V28" i="14" a="1"/>
  <c r="V28" i="14" s="1"/>
  <c r="W28" i="14" a="1"/>
  <c r="W28" i="14" s="1"/>
  <c r="X28" i="14" a="1"/>
  <c r="X28" i="14" s="1"/>
  <c r="K29" i="14" a="1"/>
  <c r="K29" i="14" s="1"/>
  <c r="L29" i="14" a="1"/>
  <c r="L29" i="14" s="1"/>
  <c r="M29" i="14" a="1"/>
  <c r="M29" i="14" s="1"/>
  <c r="N29" i="14" a="1"/>
  <c r="N29" i="14" s="1"/>
  <c r="O29" i="14" a="1"/>
  <c r="O29" i="14" s="1"/>
  <c r="P29" i="14" a="1"/>
  <c r="P29" i="14" s="1"/>
  <c r="Q29" i="14" a="1"/>
  <c r="Q29" i="14" s="1"/>
  <c r="R29" i="14" a="1"/>
  <c r="R29" i="14" s="1"/>
  <c r="U29" i="14" a="1"/>
  <c r="U29" i="14" s="1"/>
  <c r="V29" i="14" a="1"/>
  <c r="V29" i="14" s="1"/>
  <c r="W29" i="14" a="1"/>
  <c r="W29" i="14" s="1"/>
  <c r="X29" i="14" a="1"/>
  <c r="X29" i="14" s="1"/>
  <c r="K30" i="14" a="1"/>
  <c r="K30" i="14" s="1"/>
  <c r="L30" i="14" a="1"/>
  <c r="L30" i="14" s="1"/>
  <c r="M30" i="14" a="1"/>
  <c r="M30" i="14" s="1"/>
  <c r="N30" i="14" a="1"/>
  <c r="N30" i="14" s="1"/>
  <c r="O30" i="14" a="1"/>
  <c r="O30" i="14" s="1"/>
  <c r="P30" i="14" a="1"/>
  <c r="P30" i="14" s="1"/>
  <c r="Q30" i="14" a="1"/>
  <c r="Q30" i="14" s="1"/>
  <c r="R30" i="14" a="1"/>
  <c r="R30" i="14" s="1"/>
  <c r="U30" i="14" a="1"/>
  <c r="U30" i="14" s="1"/>
  <c r="V30" i="14" a="1"/>
  <c r="V30" i="14" s="1"/>
  <c r="W30" i="14" a="1"/>
  <c r="W30" i="14" s="1"/>
  <c r="X30" i="14" a="1"/>
  <c r="X30" i="14" s="1"/>
  <c r="K31" i="14" a="1"/>
  <c r="K31" i="14" s="1"/>
  <c r="L31" i="14" a="1"/>
  <c r="L31" i="14" s="1"/>
  <c r="M31" i="14" a="1"/>
  <c r="M31" i="14" s="1"/>
  <c r="N31" i="14" a="1"/>
  <c r="N31" i="14" s="1"/>
  <c r="O31" i="14" a="1"/>
  <c r="O31" i="14" s="1"/>
  <c r="P31" i="14" a="1"/>
  <c r="P31" i="14" s="1"/>
  <c r="Q31" i="14" a="1"/>
  <c r="Q31" i="14" s="1"/>
  <c r="R31" i="14" a="1"/>
  <c r="R31" i="14" s="1"/>
  <c r="U31" i="14" a="1"/>
  <c r="U31" i="14" s="1"/>
  <c r="V31" i="14" a="1"/>
  <c r="V31" i="14" s="1"/>
  <c r="W31" i="14" a="1"/>
  <c r="W31" i="14" s="1"/>
  <c r="X31" i="14" a="1"/>
  <c r="X31" i="14" s="1"/>
  <c r="K32" i="14" a="1"/>
  <c r="K32" i="14" s="1"/>
  <c r="L32" i="14" a="1"/>
  <c r="L32" i="14" s="1"/>
  <c r="M32" i="14" a="1"/>
  <c r="M32" i="14" s="1"/>
  <c r="N32" i="14" a="1"/>
  <c r="N32" i="14" s="1"/>
  <c r="O32" i="14" a="1"/>
  <c r="O32" i="14" s="1"/>
  <c r="P32" i="14" a="1"/>
  <c r="P32" i="14" s="1"/>
  <c r="Q32" i="14" a="1"/>
  <c r="Q32" i="14" s="1"/>
  <c r="R32" i="14" a="1"/>
  <c r="R32" i="14" s="1"/>
  <c r="U32" i="14" a="1"/>
  <c r="U32" i="14" s="1"/>
  <c r="V32" i="14" a="1"/>
  <c r="V32" i="14" s="1"/>
  <c r="W32" i="14" a="1"/>
  <c r="W32" i="14" s="1"/>
  <c r="X32" i="14" a="1"/>
  <c r="X32" i="14" s="1"/>
  <c r="K33" i="14" a="1"/>
  <c r="K33" i="14" s="1"/>
  <c r="L33" i="14" a="1"/>
  <c r="L33" i="14" s="1"/>
  <c r="M33" i="14" a="1"/>
  <c r="M33" i="14" s="1"/>
  <c r="N33" i="14" a="1"/>
  <c r="N33" i="14" s="1"/>
  <c r="O33" i="14" a="1"/>
  <c r="O33" i="14" s="1"/>
  <c r="P33" i="14" a="1"/>
  <c r="P33" i="14" s="1"/>
  <c r="Q33" i="14" a="1"/>
  <c r="Q33" i="14" s="1"/>
  <c r="R33" i="14" a="1"/>
  <c r="R33" i="14" s="1"/>
  <c r="U33" i="14" a="1"/>
  <c r="U33" i="14" s="1"/>
  <c r="V33" i="14" a="1"/>
  <c r="V33" i="14" s="1"/>
  <c r="W33" i="14" a="1"/>
  <c r="W33" i="14" s="1"/>
  <c r="X33" i="14" a="1"/>
  <c r="X33" i="14" s="1"/>
  <c r="K34" i="14" a="1"/>
  <c r="K34" i="14" s="1"/>
  <c r="L34" i="14" a="1"/>
  <c r="L34" i="14" s="1"/>
  <c r="M34" i="14" a="1"/>
  <c r="M34" i="14" s="1"/>
  <c r="N34" i="14" a="1"/>
  <c r="N34" i="14" s="1"/>
  <c r="O34" i="14" a="1"/>
  <c r="O34" i="14" s="1"/>
  <c r="P34" i="14" a="1"/>
  <c r="P34" i="14" s="1"/>
  <c r="Q34" i="14" a="1"/>
  <c r="Q34" i="14" s="1"/>
  <c r="R34" i="14" a="1"/>
  <c r="R34" i="14" s="1"/>
  <c r="U34" i="14" a="1"/>
  <c r="U34" i="14" s="1"/>
  <c r="V34" i="14" a="1"/>
  <c r="V34" i="14" s="1"/>
  <c r="W34" i="14" a="1"/>
  <c r="W34" i="14" s="1"/>
  <c r="X34" i="14" a="1"/>
  <c r="X34" i="14" s="1"/>
  <c r="K35" i="14" a="1"/>
  <c r="K35" i="14" s="1"/>
  <c r="L35" i="14" a="1"/>
  <c r="L35" i="14" s="1"/>
  <c r="M35" i="14" a="1"/>
  <c r="M35" i="14" s="1"/>
  <c r="N35" i="14" a="1"/>
  <c r="N35" i="14" s="1"/>
  <c r="O35" i="14" a="1"/>
  <c r="O35" i="14" s="1"/>
  <c r="P35" i="14" a="1"/>
  <c r="P35" i="14" s="1"/>
  <c r="Q35" i="14" a="1"/>
  <c r="Q35" i="14" s="1"/>
  <c r="R35" i="14" a="1"/>
  <c r="R35" i="14" s="1"/>
  <c r="U35" i="14" a="1"/>
  <c r="U35" i="14" s="1"/>
  <c r="V35" i="14" a="1"/>
  <c r="V35" i="14" s="1"/>
  <c r="W35" i="14" a="1"/>
  <c r="W35" i="14" s="1"/>
  <c r="X35" i="14" a="1"/>
  <c r="X35" i="14" s="1"/>
  <c r="K36" i="14" a="1"/>
  <c r="K36" i="14" s="1"/>
  <c r="L36" i="14" a="1"/>
  <c r="L36" i="14" s="1"/>
  <c r="M36" i="14" a="1"/>
  <c r="M36" i="14" s="1"/>
  <c r="N36" i="14" a="1"/>
  <c r="N36" i="14" s="1"/>
  <c r="O36" i="14" a="1"/>
  <c r="O36" i="14" s="1"/>
  <c r="P36" i="14" a="1"/>
  <c r="P36" i="14" s="1"/>
  <c r="Q36" i="14" a="1"/>
  <c r="Q36" i="14" s="1"/>
  <c r="R36" i="14" a="1"/>
  <c r="R36" i="14" s="1"/>
  <c r="U36" i="14" a="1"/>
  <c r="U36" i="14" s="1"/>
  <c r="V36" i="14" a="1"/>
  <c r="V36" i="14" s="1"/>
  <c r="W36" i="14" a="1"/>
  <c r="W36" i="14" s="1"/>
  <c r="X36" i="14" a="1"/>
  <c r="X36" i="14" s="1"/>
  <c r="K37" i="14" a="1"/>
  <c r="K37" i="14" s="1"/>
  <c r="L37" i="14" a="1"/>
  <c r="L37" i="14" s="1"/>
  <c r="M37" i="14" a="1"/>
  <c r="M37" i="14" s="1"/>
  <c r="N37" i="14" a="1"/>
  <c r="N37" i="14" s="1"/>
  <c r="O37" i="14" a="1"/>
  <c r="O37" i="14" s="1"/>
  <c r="P37" i="14" a="1"/>
  <c r="P37" i="14" s="1"/>
  <c r="Q37" i="14" a="1"/>
  <c r="Q37" i="14" s="1"/>
  <c r="R37" i="14" a="1"/>
  <c r="R37" i="14" s="1"/>
  <c r="U37" i="14" a="1"/>
  <c r="U37" i="14" s="1"/>
  <c r="V37" i="14" a="1"/>
  <c r="V37" i="14" s="1"/>
  <c r="W37" i="14" a="1"/>
  <c r="W37" i="14" s="1"/>
  <c r="X37" i="14" a="1"/>
  <c r="X37" i="14" s="1"/>
  <c r="K38" i="14" a="1"/>
  <c r="K38" i="14" s="1"/>
  <c r="L38" i="14" a="1"/>
  <c r="L38" i="14" s="1"/>
  <c r="M38" i="14" a="1"/>
  <c r="M38" i="14" s="1"/>
  <c r="N38" i="14" a="1"/>
  <c r="N38" i="14" s="1"/>
  <c r="O38" i="14" a="1"/>
  <c r="O38" i="14" s="1"/>
  <c r="P38" i="14" a="1"/>
  <c r="P38" i="14" s="1"/>
  <c r="Q38" i="14" a="1"/>
  <c r="Q38" i="14" s="1"/>
  <c r="R38" i="14" a="1"/>
  <c r="R38" i="14" s="1"/>
  <c r="U38" i="14" a="1"/>
  <c r="U38" i="14" s="1"/>
  <c r="V38" i="14" a="1"/>
  <c r="V38" i="14" s="1"/>
  <c r="W38" i="14" a="1"/>
  <c r="W38" i="14" s="1"/>
  <c r="X38" i="14" a="1"/>
  <c r="X38" i="14" s="1"/>
  <c r="K39" i="14" a="1"/>
  <c r="K39" i="14" s="1"/>
  <c r="L39" i="14" a="1"/>
  <c r="L39" i="14" s="1"/>
  <c r="M39" i="14" a="1"/>
  <c r="M39" i="14" s="1"/>
  <c r="N39" i="14" a="1"/>
  <c r="N39" i="14" s="1"/>
  <c r="O39" i="14" a="1"/>
  <c r="O39" i="14" s="1"/>
  <c r="P39" i="14" a="1"/>
  <c r="P39" i="14" s="1"/>
  <c r="Q39" i="14" a="1"/>
  <c r="Q39" i="14" s="1"/>
  <c r="R39" i="14" a="1"/>
  <c r="R39" i="14" s="1"/>
  <c r="U39" i="14" a="1"/>
  <c r="U39" i="14" s="1"/>
  <c r="V39" i="14" a="1"/>
  <c r="V39" i="14" s="1"/>
  <c r="W39" i="14" a="1"/>
  <c r="W39" i="14" s="1"/>
  <c r="X39" i="14" a="1"/>
  <c r="X39" i="14" s="1"/>
  <c r="K40" i="14" a="1"/>
  <c r="K40" i="14" s="1"/>
  <c r="L40" i="14" a="1"/>
  <c r="L40" i="14" s="1"/>
  <c r="M40" i="14" a="1"/>
  <c r="M40" i="14" s="1"/>
  <c r="N40" i="14" a="1"/>
  <c r="N40" i="14" s="1"/>
  <c r="O40" i="14" a="1"/>
  <c r="O40" i="14" s="1"/>
  <c r="P40" i="14" a="1"/>
  <c r="P40" i="14" s="1"/>
  <c r="Q40" i="14" a="1"/>
  <c r="Q40" i="14" s="1"/>
  <c r="R40" i="14" a="1"/>
  <c r="R40" i="14" s="1"/>
  <c r="U40" i="14" a="1"/>
  <c r="U40" i="14" s="1"/>
  <c r="V40" i="14" a="1"/>
  <c r="V40" i="14" s="1"/>
  <c r="W40" i="14" a="1"/>
  <c r="W40" i="14" s="1"/>
  <c r="X40" i="14" a="1"/>
  <c r="X40" i="14" s="1"/>
  <c r="K41" i="14" a="1"/>
  <c r="K41" i="14" s="1"/>
  <c r="L41" i="14" a="1"/>
  <c r="L41" i="14" s="1"/>
  <c r="M41" i="14" a="1"/>
  <c r="M41" i="14" s="1"/>
  <c r="N41" i="14" a="1"/>
  <c r="N41" i="14" s="1"/>
  <c r="O41" i="14" a="1"/>
  <c r="O41" i="14" s="1"/>
  <c r="P41" i="14" a="1"/>
  <c r="P41" i="14" s="1"/>
  <c r="Q41" i="14" a="1"/>
  <c r="Q41" i="14" s="1"/>
  <c r="R41" i="14" a="1"/>
  <c r="R41" i="14" s="1"/>
  <c r="U41" i="14" a="1"/>
  <c r="U41" i="14" s="1"/>
  <c r="V41" i="14" a="1"/>
  <c r="V41" i="14" s="1"/>
  <c r="W41" i="14" a="1"/>
  <c r="W41" i="14" s="1"/>
  <c r="X41" i="14" a="1"/>
  <c r="X41" i="14" s="1"/>
  <c r="K42" i="14" a="1"/>
  <c r="K42" i="14" s="1"/>
  <c r="L42" i="14" a="1"/>
  <c r="L42" i="14" s="1"/>
  <c r="M42" i="14" a="1"/>
  <c r="M42" i="14" s="1"/>
  <c r="N42" i="14" a="1"/>
  <c r="N42" i="14" s="1"/>
  <c r="O42" i="14" a="1"/>
  <c r="O42" i="14" s="1"/>
  <c r="P42" i="14" a="1"/>
  <c r="P42" i="14" s="1"/>
  <c r="Q42" i="14" a="1"/>
  <c r="Q42" i="14" s="1"/>
  <c r="R42" i="14" a="1"/>
  <c r="R42" i="14" s="1"/>
  <c r="U42" i="14" a="1"/>
  <c r="U42" i="14" s="1"/>
  <c r="V42" i="14" a="1"/>
  <c r="V42" i="14" s="1"/>
  <c r="W42" i="14" a="1"/>
  <c r="W42" i="14" s="1"/>
  <c r="X42" i="14" a="1"/>
  <c r="X42" i="14" s="1"/>
  <c r="K43" i="14" a="1"/>
  <c r="K43" i="14" s="1"/>
  <c r="L43" i="14" a="1"/>
  <c r="L43" i="14" s="1"/>
  <c r="M43" i="14" a="1"/>
  <c r="M43" i="14" s="1"/>
  <c r="N43" i="14" a="1"/>
  <c r="N43" i="14" s="1"/>
  <c r="O43" i="14" a="1"/>
  <c r="O43" i="14" s="1"/>
  <c r="P43" i="14" a="1"/>
  <c r="P43" i="14" s="1"/>
  <c r="Q43" i="14" a="1"/>
  <c r="Q43" i="14" s="1"/>
  <c r="R43" i="14" a="1"/>
  <c r="R43" i="14" s="1"/>
  <c r="U43" i="14" a="1"/>
  <c r="U43" i="14" s="1"/>
  <c r="V43" i="14" a="1"/>
  <c r="V43" i="14" s="1"/>
  <c r="W43" i="14" a="1"/>
  <c r="W43" i="14" s="1"/>
  <c r="X43" i="14" a="1"/>
  <c r="X43" i="14" s="1"/>
  <c r="K44" i="14" a="1"/>
  <c r="K44" i="14" s="1"/>
  <c r="L44" i="14" a="1"/>
  <c r="L44" i="14" s="1"/>
  <c r="M44" i="14" a="1"/>
  <c r="M44" i="14" s="1"/>
  <c r="N44" i="14" a="1"/>
  <c r="N44" i="14" s="1"/>
  <c r="O44" i="14" a="1"/>
  <c r="O44" i="14" s="1"/>
  <c r="P44" i="14" a="1"/>
  <c r="P44" i="14" s="1"/>
  <c r="Q44" i="14" a="1"/>
  <c r="Q44" i="14" s="1"/>
  <c r="R44" i="14" a="1"/>
  <c r="R44" i="14" s="1"/>
  <c r="U44" i="14" a="1"/>
  <c r="U44" i="14" s="1"/>
  <c r="V44" i="14" a="1"/>
  <c r="V44" i="14" s="1"/>
  <c r="W44" i="14" a="1"/>
  <c r="W44" i="14" s="1"/>
  <c r="X44" i="14" a="1"/>
  <c r="X44" i="14" s="1"/>
  <c r="K45" i="14" a="1"/>
  <c r="K45" i="14" s="1"/>
  <c r="L45" i="14" a="1"/>
  <c r="L45" i="14" s="1"/>
  <c r="M45" i="14" a="1"/>
  <c r="M45" i="14" s="1"/>
  <c r="N45" i="14" a="1"/>
  <c r="N45" i="14" s="1"/>
  <c r="O45" i="14" a="1"/>
  <c r="O45" i="14" s="1"/>
  <c r="P45" i="14" a="1"/>
  <c r="P45" i="14" s="1"/>
  <c r="Q45" i="14" a="1"/>
  <c r="Q45" i="14" s="1"/>
  <c r="R45" i="14" a="1"/>
  <c r="R45" i="14" s="1"/>
  <c r="U45" i="14" a="1"/>
  <c r="U45" i="14" s="1"/>
  <c r="V45" i="14" a="1"/>
  <c r="V45" i="14" s="1"/>
  <c r="W45" i="14" a="1"/>
  <c r="W45" i="14" s="1"/>
  <c r="X45" i="14" a="1"/>
  <c r="X45" i="14" s="1"/>
  <c r="K46" i="14" a="1"/>
  <c r="K46" i="14" s="1"/>
  <c r="L46" i="14" a="1"/>
  <c r="L46" i="14" s="1"/>
  <c r="M46" i="14" a="1"/>
  <c r="M46" i="14" s="1"/>
  <c r="N46" i="14" a="1"/>
  <c r="N46" i="14" s="1"/>
  <c r="O46" i="14" a="1"/>
  <c r="O46" i="14" s="1"/>
  <c r="P46" i="14" a="1"/>
  <c r="P46" i="14" s="1"/>
  <c r="Q46" i="14" a="1"/>
  <c r="Q46" i="14" s="1"/>
  <c r="R46" i="14" a="1"/>
  <c r="R46" i="14" s="1"/>
  <c r="U46" i="14" a="1"/>
  <c r="U46" i="14" s="1"/>
  <c r="V46" i="14" a="1"/>
  <c r="V46" i="14" s="1"/>
  <c r="W46" i="14" a="1"/>
  <c r="W46" i="14" s="1"/>
  <c r="X46" i="14" a="1"/>
  <c r="X46" i="14" s="1"/>
  <c r="K47" i="14" a="1"/>
  <c r="K47" i="14" s="1"/>
  <c r="L47" i="14" a="1"/>
  <c r="L47" i="14" s="1"/>
  <c r="M47" i="14" a="1"/>
  <c r="M47" i="14" s="1"/>
  <c r="N47" i="14" a="1"/>
  <c r="N47" i="14" s="1"/>
  <c r="O47" i="14" a="1"/>
  <c r="O47" i="14" s="1"/>
  <c r="P47" i="14" a="1"/>
  <c r="P47" i="14" s="1"/>
  <c r="Q47" i="14" a="1"/>
  <c r="Q47" i="14" s="1"/>
  <c r="R47" i="14" a="1"/>
  <c r="R47" i="14" s="1"/>
  <c r="U47" i="14" a="1"/>
  <c r="U47" i="14" s="1"/>
  <c r="V47" i="14" a="1"/>
  <c r="V47" i="14" s="1"/>
  <c r="W47" i="14" a="1"/>
  <c r="W47" i="14" s="1"/>
  <c r="X47" i="14" a="1"/>
  <c r="X47" i="14" s="1"/>
  <c r="K48" i="14" a="1"/>
  <c r="K48" i="14" s="1"/>
  <c r="L48" i="14" a="1"/>
  <c r="L48" i="14" s="1"/>
  <c r="M48" i="14" a="1"/>
  <c r="M48" i="14" s="1"/>
  <c r="N48" i="14" a="1"/>
  <c r="N48" i="14" s="1"/>
  <c r="O48" i="14" a="1"/>
  <c r="O48" i="14" s="1"/>
  <c r="P48" i="14" a="1"/>
  <c r="P48" i="14" s="1"/>
  <c r="Q48" i="14" a="1"/>
  <c r="Q48" i="14" s="1"/>
  <c r="R48" i="14" a="1"/>
  <c r="R48" i="14" s="1"/>
  <c r="U48" i="14" a="1"/>
  <c r="U48" i="14" s="1"/>
  <c r="V48" i="14" a="1"/>
  <c r="V48" i="14" s="1"/>
  <c r="W48" i="14" a="1"/>
  <c r="W48" i="14" s="1"/>
  <c r="X48" i="14" a="1"/>
  <c r="X48" i="14" s="1"/>
  <c r="K49" i="14" a="1"/>
  <c r="K49" i="14" s="1"/>
  <c r="L49" i="14" a="1"/>
  <c r="L49" i="14" s="1"/>
  <c r="M49" i="14" a="1"/>
  <c r="M49" i="14" s="1"/>
  <c r="N49" i="14" a="1"/>
  <c r="N49" i="14" s="1"/>
  <c r="O49" i="14" a="1"/>
  <c r="O49" i="14" s="1"/>
  <c r="P49" i="14" a="1"/>
  <c r="P49" i="14" s="1"/>
  <c r="Q49" i="14" a="1"/>
  <c r="Q49" i="14" s="1"/>
  <c r="R49" i="14" a="1"/>
  <c r="R49" i="14" s="1"/>
  <c r="U49" i="14" a="1"/>
  <c r="U49" i="14" s="1"/>
  <c r="V49" i="14" a="1"/>
  <c r="V49" i="14" s="1"/>
  <c r="W49" i="14" a="1"/>
  <c r="W49" i="14" s="1"/>
  <c r="X49" i="14" a="1"/>
  <c r="X49" i="14" s="1"/>
  <c r="K50" i="14" a="1"/>
  <c r="K50" i="14" s="1"/>
  <c r="L50" i="14" a="1"/>
  <c r="L50" i="14" s="1"/>
  <c r="M50" i="14" a="1"/>
  <c r="M50" i="14" s="1"/>
  <c r="N50" i="14" a="1"/>
  <c r="N50" i="14" s="1"/>
  <c r="O50" i="14" a="1"/>
  <c r="O50" i="14" s="1"/>
  <c r="P50" i="14" a="1"/>
  <c r="P50" i="14" s="1"/>
  <c r="Q50" i="14" a="1"/>
  <c r="Q50" i="14" s="1"/>
  <c r="R50" i="14" a="1"/>
  <c r="R50" i="14" s="1"/>
  <c r="U50" i="14" a="1"/>
  <c r="U50" i="14" s="1"/>
  <c r="V50" i="14" a="1"/>
  <c r="V50" i="14" s="1"/>
  <c r="W50" i="14" a="1"/>
  <c r="W50" i="14" s="1"/>
  <c r="X50" i="14" a="1"/>
  <c r="X50" i="14" s="1"/>
  <c r="K51" i="14" a="1"/>
  <c r="K51" i="14" s="1"/>
  <c r="L51" i="14" a="1"/>
  <c r="L51" i="14" s="1"/>
  <c r="M51" i="14" a="1"/>
  <c r="M51" i="14" s="1"/>
  <c r="N51" i="14" a="1"/>
  <c r="N51" i="14" s="1"/>
  <c r="O51" i="14" a="1"/>
  <c r="O51" i="14" s="1"/>
  <c r="P51" i="14" a="1"/>
  <c r="P51" i="14" s="1"/>
  <c r="Q51" i="14" a="1"/>
  <c r="Q51" i="14" s="1"/>
  <c r="R51" i="14" a="1"/>
  <c r="R51" i="14" s="1"/>
  <c r="U51" i="14" a="1"/>
  <c r="U51" i="14" s="1"/>
  <c r="V51" i="14" a="1"/>
  <c r="V51" i="14" s="1"/>
  <c r="W51" i="14" a="1"/>
  <c r="W51" i="14" s="1"/>
  <c r="X51" i="14" a="1"/>
  <c r="X51" i="14" s="1"/>
  <c r="K52" i="14" a="1"/>
  <c r="K52" i="14" s="1"/>
  <c r="L52" i="14" a="1"/>
  <c r="L52" i="14" s="1"/>
  <c r="M52" i="14" a="1"/>
  <c r="M52" i="14" s="1"/>
  <c r="N52" i="14" a="1"/>
  <c r="N52" i="14" s="1"/>
  <c r="O52" i="14" a="1"/>
  <c r="O52" i="14" s="1"/>
  <c r="P52" i="14" a="1"/>
  <c r="P52" i="14" s="1"/>
  <c r="Q52" i="14" a="1"/>
  <c r="Q52" i="14" s="1"/>
  <c r="R52" i="14" a="1"/>
  <c r="R52" i="14" s="1"/>
  <c r="U52" i="14" a="1"/>
  <c r="U52" i="14" s="1"/>
  <c r="V52" i="14" a="1"/>
  <c r="V52" i="14" s="1"/>
  <c r="W52" i="14" a="1"/>
  <c r="W52" i="14" s="1"/>
  <c r="X52" i="14" a="1"/>
  <c r="X52" i="14" s="1"/>
  <c r="K53" i="14" a="1"/>
  <c r="K53" i="14" s="1"/>
  <c r="L53" i="14" a="1"/>
  <c r="L53" i="14" s="1"/>
  <c r="M53" i="14" a="1"/>
  <c r="M53" i="14" s="1"/>
  <c r="N53" i="14" a="1"/>
  <c r="N53" i="14" s="1"/>
  <c r="O53" i="14" a="1"/>
  <c r="O53" i="14" s="1"/>
  <c r="P53" i="14" a="1"/>
  <c r="P53" i="14" s="1"/>
  <c r="Q53" i="14" a="1"/>
  <c r="Q53" i="14" s="1"/>
  <c r="R53" i="14" a="1"/>
  <c r="R53" i="14" s="1"/>
  <c r="U53" i="14" a="1"/>
  <c r="U53" i="14" s="1"/>
  <c r="V53" i="14" a="1"/>
  <c r="V53" i="14" s="1"/>
  <c r="W53" i="14" a="1"/>
  <c r="W53" i="14" s="1"/>
  <c r="X53" i="14" a="1"/>
  <c r="X53" i="14" s="1"/>
  <c r="K54" i="14" a="1"/>
  <c r="K54" i="14" s="1"/>
  <c r="L54" i="14" a="1"/>
  <c r="L54" i="14" s="1"/>
  <c r="M54" i="14" a="1"/>
  <c r="M54" i="14" s="1"/>
  <c r="N54" i="14" a="1"/>
  <c r="N54" i="14" s="1"/>
  <c r="O54" i="14" a="1"/>
  <c r="O54" i="14" s="1"/>
  <c r="P54" i="14" a="1"/>
  <c r="P54" i="14" s="1"/>
  <c r="Q54" i="14" a="1"/>
  <c r="Q54" i="14" s="1"/>
  <c r="R54" i="14" a="1"/>
  <c r="R54" i="14" s="1"/>
  <c r="U54" i="14" a="1"/>
  <c r="U54" i="14" s="1"/>
  <c r="V54" i="14" a="1"/>
  <c r="V54" i="14" s="1"/>
  <c r="W54" i="14" a="1"/>
  <c r="W54" i="14" s="1"/>
  <c r="X54" i="14" a="1"/>
  <c r="X54" i="14" s="1"/>
  <c r="K55" i="14" a="1"/>
  <c r="K55" i="14" s="1"/>
  <c r="L55" i="14" a="1"/>
  <c r="L55" i="14" s="1"/>
  <c r="M55" i="14" a="1"/>
  <c r="M55" i="14" s="1"/>
  <c r="N55" i="14" a="1"/>
  <c r="N55" i="14" s="1"/>
  <c r="O55" i="14" a="1"/>
  <c r="O55" i="14" s="1"/>
  <c r="P55" i="14" a="1"/>
  <c r="P55" i="14" s="1"/>
  <c r="Q55" i="14" a="1"/>
  <c r="Q55" i="14" s="1"/>
  <c r="R55" i="14" a="1"/>
  <c r="R55" i="14" s="1"/>
  <c r="U55" i="14" a="1"/>
  <c r="U55" i="14" s="1"/>
  <c r="V55" i="14" a="1"/>
  <c r="V55" i="14" s="1"/>
  <c r="W55" i="14" a="1"/>
  <c r="W55" i="14" s="1"/>
  <c r="X55" i="14" a="1"/>
  <c r="X55" i="14" s="1"/>
  <c r="K56" i="14" a="1"/>
  <c r="K56" i="14" s="1"/>
  <c r="L56" i="14" a="1"/>
  <c r="L56" i="14" s="1"/>
  <c r="M56" i="14" a="1"/>
  <c r="M56" i="14" s="1"/>
  <c r="N56" i="14" a="1"/>
  <c r="N56" i="14" s="1"/>
  <c r="O56" i="14" a="1"/>
  <c r="O56" i="14" s="1"/>
  <c r="P56" i="14" a="1"/>
  <c r="P56" i="14" s="1"/>
  <c r="Q56" i="14" a="1"/>
  <c r="Q56" i="14" s="1"/>
  <c r="R56" i="14" a="1"/>
  <c r="R56" i="14" s="1"/>
  <c r="U56" i="14" a="1"/>
  <c r="U56" i="14" s="1"/>
  <c r="V56" i="14" a="1"/>
  <c r="V56" i="14" s="1"/>
  <c r="W56" i="14" a="1"/>
  <c r="W56" i="14" s="1"/>
  <c r="X56" i="14" a="1"/>
  <c r="X56" i="14" s="1"/>
  <c r="K57" i="14" a="1"/>
  <c r="K57" i="14" s="1"/>
  <c r="L57" i="14" a="1"/>
  <c r="L57" i="14" s="1"/>
  <c r="M57" i="14" a="1"/>
  <c r="M57" i="14" s="1"/>
  <c r="N57" i="14" a="1"/>
  <c r="N57" i="14" s="1"/>
  <c r="O57" i="14" a="1"/>
  <c r="O57" i="14" s="1"/>
  <c r="P57" i="14" a="1"/>
  <c r="P57" i="14" s="1"/>
  <c r="Q57" i="14" a="1"/>
  <c r="Q57" i="14" s="1"/>
  <c r="R57" i="14" a="1"/>
  <c r="R57" i="14" s="1"/>
  <c r="U57" i="14" a="1"/>
  <c r="U57" i="14" s="1"/>
  <c r="V57" i="14" a="1"/>
  <c r="V57" i="14" s="1"/>
  <c r="W57" i="14" a="1"/>
  <c r="W57" i="14" s="1"/>
  <c r="X57" i="14" a="1"/>
  <c r="X57" i="14" s="1"/>
  <c r="K58" i="14" a="1"/>
  <c r="K58" i="14" s="1"/>
  <c r="L58" i="14" a="1"/>
  <c r="L58" i="14" s="1"/>
  <c r="M58" i="14" a="1"/>
  <c r="M58" i="14" s="1"/>
  <c r="N58" i="14" a="1"/>
  <c r="N58" i="14" s="1"/>
  <c r="O58" i="14" a="1"/>
  <c r="O58" i="14" s="1"/>
  <c r="P58" i="14" a="1"/>
  <c r="P58" i="14" s="1"/>
  <c r="Q58" i="14" a="1"/>
  <c r="Q58" i="14" s="1"/>
  <c r="R58" i="14" a="1"/>
  <c r="R58" i="14" s="1"/>
  <c r="U58" i="14" a="1"/>
  <c r="U58" i="14" s="1"/>
  <c r="V58" i="14" a="1"/>
  <c r="V58" i="14" s="1"/>
  <c r="W58" i="14" a="1"/>
  <c r="W58" i="14" s="1"/>
  <c r="X58" i="14" a="1"/>
  <c r="X58" i="14" s="1"/>
  <c r="K59" i="14" a="1"/>
  <c r="K59" i="14" s="1"/>
  <c r="L59" i="14" a="1"/>
  <c r="L59" i="14" s="1"/>
  <c r="M59" i="14" a="1"/>
  <c r="M59" i="14" s="1"/>
  <c r="N59" i="14" a="1"/>
  <c r="N59" i="14" s="1"/>
  <c r="O59" i="14" a="1"/>
  <c r="O59" i="14" s="1"/>
  <c r="P59" i="14" a="1"/>
  <c r="P59" i="14" s="1"/>
  <c r="Q59" i="14" a="1"/>
  <c r="Q59" i="14" s="1"/>
  <c r="R59" i="14" a="1"/>
  <c r="R59" i="14" s="1"/>
  <c r="U59" i="14" a="1"/>
  <c r="U59" i="14" s="1"/>
  <c r="V59" i="14" a="1"/>
  <c r="V59" i="14" s="1"/>
  <c r="W59" i="14" a="1"/>
  <c r="W59" i="14" s="1"/>
  <c r="X59" i="14" a="1"/>
  <c r="X59" i="14" s="1"/>
  <c r="K60" i="14" a="1"/>
  <c r="K60" i="14" s="1"/>
  <c r="L60" i="14" a="1"/>
  <c r="L60" i="14" s="1"/>
  <c r="M60" i="14" a="1"/>
  <c r="M60" i="14" s="1"/>
  <c r="N60" i="14" a="1"/>
  <c r="N60" i="14" s="1"/>
  <c r="O60" i="14" a="1"/>
  <c r="O60" i="14" s="1"/>
  <c r="P60" i="14" a="1"/>
  <c r="P60" i="14" s="1"/>
  <c r="Q60" i="14" a="1"/>
  <c r="Q60" i="14" s="1"/>
  <c r="R60" i="14" a="1"/>
  <c r="R60" i="14" s="1"/>
  <c r="U60" i="14" a="1"/>
  <c r="U60" i="14" s="1"/>
  <c r="V60" i="14" a="1"/>
  <c r="V60" i="14" s="1"/>
  <c r="W60" i="14" a="1"/>
  <c r="W60" i="14" s="1"/>
  <c r="X60" i="14" a="1"/>
  <c r="X60" i="14" s="1"/>
  <c r="K61" i="14" a="1"/>
  <c r="K61" i="14" s="1"/>
  <c r="L61" i="14" a="1"/>
  <c r="L61" i="14" s="1"/>
  <c r="M61" i="14" a="1"/>
  <c r="M61" i="14" s="1"/>
  <c r="N61" i="14" a="1"/>
  <c r="N61" i="14" s="1"/>
  <c r="O61" i="14" a="1"/>
  <c r="O61" i="14" s="1"/>
  <c r="P61" i="14" a="1"/>
  <c r="P61" i="14" s="1"/>
  <c r="Q61" i="14" a="1"/>
  <c r="Q61" i="14" s="1"/>
  <c r="R61" i="14" a="1"/>
  <c r="R61" i="14" s="1"/>
  <c r="U61" i="14" a="1"/>
  <c r="U61" i="14" s="1"/>
  <c r="V61" i="14" a="1"/>
  <c r="V61" i="14" s="1"/>
  <c r="W61" i="14" a="1"/>
  <c r="W61" i="14" s="1"/>
  <c r="X61" i="14" a="1"/>
  <c r="X61" i="14" s="1"/>
  <c r="K62" i="14" a="1"/>
  <c r="K62" i="14" s="1"/>
  <c r="L62" i="14" a="1"/>
  <c r="L62" i="14" s="1"/>
  <c r="M62" i="14" a="1"/>
  <c r="M62" i="14" s="1"/>
  <c r="N62" i="14" a="1"/>
  <c r="N62" i="14" s="1"/>
  <c r="O62" i="14" a="1"/>
  <c r="O62" i="14" s="1"/>
  <c r="P62" i="14" a="1"/>
  <c r="P62" i="14" s="1"/>
  <c r="Q62" i="14" a="1"/>
  <c r="Q62" i="14" s="1"/>
  <c r="R62" i="14" a="1"/>
  <c r="R62" i="14" s="1"/>
  <c r="U62" i="14" a="1"/>
  <c r="U62" i="14" s="1"/>
  <c r="V62" i="14" a="1"/>
  <c r="V62" i="14" s="1"/>
  <c r="W62" i="14" a="1"/>
  <c r="W62" i="14" s="1"/>
  <c r="X62" i="14" a="1"/>
  <c r="X62" i="14" s="1"/>
  <c r="K63" i="14" a="1"/>
  <c r="K63" i="14" s="1"/>
  <c r="L63" i="14" a="1"/>
  <c r="L63" i="14" s="1"/>
  <c r="M63" i="14" a="1"/>
  <c r="M63" i="14" s="1"/>
  <c r="N63" i="14" a="1"/>
  <c r="N63" i="14" s="1"/>
  <c r="O63" i="14" a="1"/>
  <c r="O63" i="14" s="1"/>
  <c r="P63" i="14" a="1"/>
  <c r="P63" i="14" s="1"/>
  <c r="Q63" i="14" a="1"/>
  <c r="Q63" i="14" s="1"/>
  <c r="R63" i="14" a="1"/>
  <c r="R63" i="14" s="1"/>
  <c r="U63" i="14" a="1"/>
  <c r="U63" i="14" s="1"/>
  <c r="V63" i="14" a="1"/>
  <c r="V63" i="14" s="1"/>
  <c r="W63" i="14" a="1"/>
  <c r="W63" i="14" s="1"/>
  <c r="X63" i="14" a="1"/>
  <c r="X63" i="14" s="1"/>
  <c r="K64" i="14" a="1"/>
  <c r="K64" i="14" s="1"/>
  <c r="L64" i="14" a="1"/>
  <c r="L64" i="14" s="1"/>
  <c r="M64" i="14" a="1"/>
  <c r="M64" i="14" s="1"/>
  <c r="N64" i="14" a="1"/>
  <c r="N64" i="14" s="1"/>
  <c r="O64" i="14" a="1"/>
  <c r="O64" i="14" s="1"/>
  <c r="P64" i="14" a="1"/>
  <c r="P64" i="14" s="1"/>
  <c r="Q64" i="14" a="1"/>
  <c r="Q64" i="14" s="1"/>
  <c r="R64" i="14" a="1"/>
  <c r="R64" i="14" s="1"/>
  <c r="U64" i="14" a="1"/>
  <c r="U64" i="14" s="1"/>
  <c r="V64" i="14" a="1"/>
  <c r="V64" i="14" s="1"/>
  <c r="W64" i="14" a="1"/>
  <c r="W64" i="14" s="1"/>
  <c r="X64" i="14" a="1"/>
  <c r="X64" i="14" s="1"/>
  <c r="K65" i="14" a="1"/>
  <c r="K65" i="14" s="1"/>
  <c r="L65" i="14" a="1"/>
  <c r="L65" i="14" s="1"/>
  <c r="M65" i="14" a="1"/>
  <c r="M65" i="14" s="1"/>
  <c r="N65" i="14" a="1"/>
  <c r="N65" i="14" s="1"/>
  <c r="O65" i="14" a="1"/>
  <c r="O65" i="14" s="1"/>
  <c r="P65" i="14" a="1"/>
  <c r="P65" i="14" s="1"/>
  <c r="Q65" i="14" a="1"/>
  <c r="Q65" i="14" s="1"/>
  <c r="R65" i="14" a="1"/>
  <c r="R65" i="14" s="1"/>
  <c r="U65" i="14" a="1"/>
  <c r="U65" i="14" s="1"/>
  <c r="V65" i="14" a="1"/>
  <c r="V65" i="14" s="1"/>
  <c r="W65" i="14" a="1"/>
  <c r="W65" i="14" s="1"/>
  <c r="X65" i="14" a="1"/>
  <c r="X65" i="14" s="1"/>
  <c r="K66" i="14" a="1"/>
  <c r="K66" i="14" s="1"/>
  <c r="L66" i="14" a="1"/>
  <c r="L66" i="14" s="1"/>
  <c r="M66" i="14" a="1"/>
  <c r="M66" i="14" s="1"/>
  <c r="N66" i="14" a="1"/>
  <c r="N66" i="14" s="1"/>
  <c r="O66" i="14" a="1"/>
  <c r="O66" i="14" s="1"/>
  <c r="P66" i="14" a="1"/>
  <c r="P66" i="14" s="1"/>
  <c r="Q66" i="14" a="1"/>
  <c r="Q66" i="14" s="1"/>
  <c r="R66" i="14" a="1"/>
  <c r="R66" i="14" s="1"/>
  <c r="U66" i="14" a="1"/>
  <c r="U66" i="14" s="1"/>
  <c r="V66" i="14" a="1"/>
  <c r="V66" i="14" s="1"/>
  <c r="W66" i="14" a="1"/>
  <c r="W66" i="14" s="1"/>
  <c r="X66" i="14" a="1"/>
  <c r="X66" i="14" s="1"/>
  <c r="K67" i="14" a="1"/>
  <c r="K67" i="14" s="1"/>
  <c r="L67" i="14" a="1"/>
  <c r="L67" i="14" s="1"/>
  <c r="M67" i="14" a="1"/>
  <c r="M67" i="14" s="1"/>
  <c r="N67" i="14" a="1"/>
  <c r="N67" i="14" s="1"/>
  <c r="O67" i="14" a="1"/>
  <c r="O67" i="14" s="1"/>
  <c r="P67" i="14" a="1"/>
  <c r="P67" i="14" s="1"/>
  <c r="Q67" i="14" a="1"/>
  <c r="Q67" i="14" s="1"/>
  <c r="R67" i="14" a="1"/>
  <c r="R67" i="14" s="1"/>
  <c r="U67" i="14" a="1"/>
  <c r="U67" i="14" s="1"/>
  <c r="V67" i="14" a="1"/>
  <c r="V67" i="14" s="1"/>
  <c r="W67" i="14" a="1"/>
  <c r="W67" i="14" s="1"/>
  <c r="X67" i="14" a="1"/>
  <c r="X67" i="14" s="1"/>
  <c r="K68" i="14" a="1"/>
  <c r="K68" i="14" s="1"/>
  <c r="L68" i="14" a="1"/>
  <c r="L68" i="14" s="1"/>
  <c r="M68" i="14" a="1"/>
  <c r="M68" i="14" s="1"/>
  <c r="N68" i="14" a="1"/>
  <c r="N68" i="14" s="1"/>
  <c r="O68" i="14" a="1"/>
  <c r="O68" i="14" s="1"/>
  <c r="P68" i="14" a="1"/>
  <c r="P68" i="14" s="1"/>
  <c r="Q68" i="14" a="1"/>
  <c r="Q68" i="14" s="1"/>
  <c r="R68" i="14" a="1"/>
  <c r="R68" i="14" s="1"/>
  <c r="U68" i="14" a="1"/>
  <c r="U68" i="14" s="1"/>
  <c r="V68" i="14" a="1"/>
  <c r="V68" i="14" s="1"/>
  <c r="W68" i="14" a="1"/>
  <c r="W68" i="14" s="1"/>
  <c r="X68" i="14" a="1"/>
  <c r="X68" i="14" s="1"/>
  <c r="K69" i="14" a="1"/>
  <c r="K69" i="14" s="1"/>
  <c r="L69" i="14" a="1"/>
  <c r="L69" i="14" s="1"/>
  <c r="M69" i="14" a="1"/>
  <c r="M69" i="14" s="1"/>
  <c r="N69" i="14" a="1"/>
  <c r="N69" i="14" s="1"/>
  <c r="O69" i="14" a="1"/>
  <c r="O69" i="14" s="1"/>
  <c r="P69" i="14" a="1"/>
  <c r="P69" i="14" s="1"/>
  <c r="Q69" i="14" a="1"/>
  <c r="Q69" i="14" s="1"/>
  <c r="R69" i="14" a="1"/>
  <c r="R69" i="14" s="1"/>
  <c r="U69" i="14" a="1"/>
  <c r="U69" i="14" s="1"/>
  <c r="V69" i="14" a="1"/>
  <c r="V69" i="14" s="1"/>
  <c r="W69" i="14" a="1"/>
  <c r="W69" i="14" s="1"/>
  <c r="X69" i="14" a="1"/>
  <c r="X69" i="14" s="1"/>
  <c r="K70" i="14" a="1"/>
  <c r="K70" i="14" s="1"/>
  <c r="L70" i="14" a="1"/>
  <c r="L70" i="14" s="1"/>
  <c r="M70" i="14" a="1"/>
  <c r="M70" i="14" s="1"/>
  <c r="N70" i="14" a="1"/>
  <c r="N70" i="14" s="1"/>
  <c r="O70" i="14" a="1"/>
  <c r="O70" i="14" s="1"/>
  <c r="P70" i="14" a="1"/>
  <c r="P70" i="14" s="1"/>
  <c r="Q70" i="14" a="1"/>
  <c r="Q70" i="14" s="1"/>
  <c r="R70" i="14" a="1"/>
  <c r="R70" i="14" s="1"/>
  <c r="U70" i="14" a="1"/>
  <c r="U70" i="14" s="1"/>
  <c r="V70" i="14" a="1"/>
  <c r="V70" i="14" s="1"/>
  <c r="W70" i="14" a="1"/>
  <c r="W70" i="14" s="1"/>
  <c r="X70" i="14" a="1"/>
  <c r="X70" i="14" s="1"/>
  <c r="K71" i="14" a="1"/>
  <c r="K71" i="14" s="1"/>
  <c r="L71" i="14" a="1"/>
  <c r="L71" i="14" s="1"/>
  <c r="M71" i="14" a="1"/>
  <c r="M71" i="14" s="1"/>
  <c r="N71" i="14" a="1"/>
  <c r="N71" i="14" s="1"/>
  <c r="O71" i="14" a="1"/>
  <c r="O71" i="14" s="1"/>
  <c r="P71" i="14" a="1"/>
  <c r="P71" i="14" s="1"/>
  <c r="Q71" i="14" a="1"/>
  <c r="Q71" i="14" s="1"/>
  <c r="R71" i="14" a="1"/>
  <c r="R71" i="14" s="1"/>
  <c r="U71" i="14" a="1"/>
  <c r="U71" i="14" s="1"/>
  <c r="V71" i="14" a="1"/>
  <c r="V71" i="14" s="1"/>
  <c r="W71" i="14" a="1"/>
  <c r="W71" i="14" s="1"/>
  <c r="X71" i="14" a="1"/>
  <c r="X71" i="14" s="1"/>
  <c r="K72" i="14" a="1"/>
  <c r="K72" i="14" s="1"/>
  <c r="L72" i="14" a="1"/>
  <c r="L72" i="14" s="1"/>
  <c r="M72" i="14" a="1"/>
  <c r="M72" i="14" s="1"/>
  <c r="N72" i="14" a="1"/>
  <c r="N72" i="14" s="1"/>
  <c r="O72" i="14" a="1"/>
  <c r="O72" i="14" s="1"/>
  <c r="P72" i="14" a="1"/>
  <c r="P72" i="14" s="1"/>
  <c r="Q72" i="14" a="1"/>
  <c r="Q72" i="14" s="1"/>
  <c r="R72" i="14" a="1"/>
  <c r="R72" i="14" s="1"/>
  <c r="U72" i="14" a="1"/>
  <c r="U72" i="14" s="1"/>
  <c r="V72" i="14" a="1"/>
  <c r="V72" i="14" s="1"/>
  <c r="W72" i="14" a="1"/>
  <c r="W72" i="14" s="1"/>
  <c r="X72" i="14" a="1"/>
  <c r="X72" i="14" s="1"/>
  <c r="K73" i="14" a="1"/>
  <c r="K73" i="14" s="1"/>
  <c r="L73" i="14" a="1"/>
  <c r="L73" i="14" s="1"/>
  <c r="M73" i="14" a="1"/>
  <c r="M73" i="14" s="1"/>
  <c r="N73" i="14" a="1"/>
  <c r="N73" i="14" s="1"/>
  <c r="O73" i="14" a="1"/>
  <c r="O73" i="14" s="1"/>
  <c r="P73" i="14" a="1"/>
  <c r="P73" i="14" s="1"/>
  <c r="Q73" i="14" a="1"/>
  <c r="Q73" i="14" s="1"/>
  <c r="R73" i="14" a="1"/>
  <c r="R73" i="14" s="1"/>
  <c r="U73" i="14" a="1"/>
  <c r="U73" i="14" s="1"/>
  <c r="V73" i="14" a="1"/>
  <c r="V73" i="14" s="1"/>
  <c r="W73" i="14" a="1"/>
  <c r="W73" i="14" s="1"/>
  <c r="X73" i="14" a="1"/>
  <c r="X73" i="14" s="1"/>
  <c r="K74" i="14" a="1"/>
  <c r="K74" i="14" s="1"/>
  <c r="L74" i="14" a="1"/>
  <c r="L74" i="14" s="1"/>
  <c r="M74" i="14" a="1"/>
  <c r="M74" i="14" s="1"/>
  <c r="N74" i="14" a="1"/>
  <c r="N74" i="14" s="1"/>
  <c r="O74" i="14" a="1"/>
  <c r="O74" i="14" s="1"/>
  <c r="P74" i="14" a="1"/>
  <c r="P74" i="14" s="1"/>
  <c r="Q74" i="14" a="1"/>
  <c r="Q74" i="14" s="1"/>
  <c r="R74" i="14" a="1"/>
  <c r="R74" i="14" s="1"/>
  <c r="U74" i="14" a="1"/>
  <c r="U74" i="14" s="1"/>
  <c r="V74" i="14" a="1"/>
  <c r="V74" i="14" s="1"/>
  <c r="W74" i="14" a="1"/>
  <c r="W74" i="14" s="1"/>
  <c r="X74" i="14" a="1"/>
  <c r="X74" i="14" s="1"/>
  <c r="K75" i="14" a="1"/>
  <c r="K75" i="14" s="1"/>
  <c r="L75" i="14" a="1"/>
  <c r="L75" i="14" s="1"/>
  <c r="M75" i="14" a="1"/>
  <c r="M75" i="14" s="1"/>
  <c r="N75" i="14" a="1"/>
  <c r="N75" i="14" s="1"/>
  <c r="O75" i="14" a="1"/>
  <c r="O75" i="14" s="1"/>
  <c r="P75" i="14" a="1"/>
  <c r="P75" i="14" s="1"/>
  <c r="Q75" i="14" a="1"/>
  <c r="Q75" i="14" s="1"/>
  <c r="R75" i="14" a="1"/>
  <c r="R75" i="14" s="1"/>
  <c r="U75" i="14" a="1"/>
  <c r="U75" i="14" s="1"/>
  <c r="V75" i="14" a="1"/>
  <c r="V75" i="14" s="1"/>
  <c r="W75" i="14" a="1"/>
  <c r="W75" i="14" s="1"/>
  <c r="X75" i="14" a="1"/>
  <c r="X75" i="14" s="1"/>
  <c r="K76" i="14" a="1"/>
  <c r="K76" i="14" s="1"/>
  <c r="L76" i="14" a="1"/>
  <c r="L76" i="14" s="1"/>
  <c r="M76" i="14" a="1"/>
  <c r="M76" i="14" s="1"/>
  <c r="N76" i="14" a="1"/>
  <c r="N76" i="14" s="1"/>
  <c r="O76" i="14" a="1"/>
  <c r="O76" i="14" s="1"/>
  <c r="P76" i="14" a="1"/>
  <c r="P76" i="14" s="1"/>
  <c r="Q76" i="14" a="1"/>
  <c r="Q76" i="14" s="1"/>
  <c r="R76" i="14" a="1"/>
  <c r="R76" i="14" s="1"/>
  <c r="U76" i="14" a="1"/>
  <c r="U76" i="14" s="1"/>
  <c r="V76" i="14" a="1"/>
  <c r="V76" i="14" s="1"/>
  <c r="W76" i="14" a="1"/>
  <c r="W76" i="14" s="1"/>
  <c r="X76" i="14" a="1"/>
  <c r="X76" i="14" s="1"/>
  <c r="K77" i="14" a="1"/>
  <c r="K77" i="14" s="1"/>
  <c r="L77" i="14" a="1"/>
  <c r="L77" i="14" s="1"/>
  <c r="M77" i="14" a="1"/>
  <c r="M77" i="14" s="1"/>
  <c r="N77" i="14" a="1"/>
  <c r="N77" i="14" s="1"/>
  <c r="O77" i="14" a="1"/>
  <c r="O77" i="14" s="1"/>
  <c r="P77" i="14" a="1"/>
  <c r="P77" i="14" s="1"/>
  <c r="Q77" i="14" a="1"/>
  <c r="Q77" i="14" s="1"/>
  <c r="R77" i="14" a="1"/>
  <c r="R77" i="14" s="1"/>
  <c r="U77" i="14" a="1"/>
  <c r="U77" i="14" s="1"/>
  <c r="V77" i="14" a="1"/>
  <c r="V77" i="14" s="1"/>
  <c r="W77" i="14" a="1"/>
  <c r="W77" i="14" s="1"/>
  <c r="X77" i="14" a="1"/>
  <c r="X77" i="14" s="1"/>
  <c r="K78" i="14" a="1"/>
  <c r="K78" i="14" s="1"/>
  <c r="L78" i="14" a="1"/>
  <c r="L78" i="14" s="1"/>
  <c r="M78" i="14" a="1"/>
  <c r="M78" i="14" s="1"/>
  <c r="N78" i="14" a="1"/>
  <c r="N78" i="14" s="1"/>
  <c r="O78" i="14" a="1"/>
  <c r="O78" i="14" s="1"/>
  <c r="P78" i="14" a="1"/>
  <c r="P78" i="14" s="1"/>
  <c r="Q78" i="14" a="1"/>
  <c r="Q78" i="14" s="1"/>
  <c r="R78" i="14" a="1"/>
  <c r="R78" i="14" s="1"/>
  <c r="U78" i="14" a="1"/>
  <c r="U78" i="14" s="1"/>
  <c r="V78" i="14" a="1"/>
  <c r="V78" i="14" s="1"/>
  <c r="W78" i="14" a="1"/>
  <c r="W78" i="14" s="1"/>
  <c r="X78" i="14" a="1"/>
  <c r="X78" i="14" s="1"/>
  <c r="K79" i="14" a="1"/>
  <c r="K79" i="14" s="1"/>
  <c r="L79" i="14" a="1"/>
  <c r="L79" i="14" s="1"/>
  <c r="M79" i="14" a="1"/>
  <c r="M79" i="14" s="1"/>
  <c r="N79" i="14" a="1"/>
  <c r="N79" i="14" s="1"/>
  <c r="O79" i="14" a="1"/>
  <c r="O79" i="14" s="1"/>
  <c r="P79" i="14" a="1"/>
  <c r="P79" i="14" s="1"/>
  <c r="Q79" i="14" a="1"/>
  <c r="Q79" i="14" s="1"/>
  <c r="R79" i="14" a="1"/>
  <c r="R79" i="14" s="1"/>
  <c r="U79" i="14" a="1"/>
  <c r="U79" i="14" s="1"/>
  <c r="V79" i="14" a="1"/>
  <c r="V79" i="14" s="1"/>
  <c r="W79" i="14" a="1"/>
  <c r="W79" i="14" s="1"/>
  <c r="X79" i="14" a="1"/>
  <c r="X79" i="14" s="1"/>
  <c r="K80" i="14" a="1"/>
  <c r="K80" i="14" s="1"/>
  <c r="L80" i="14" a="1"/>
  <c r="L80" i="14" s="1"/>
  <c r="M80" i="14" a="1"/>
  <c r="M80" i="14" s="1"/>
  <c r="N80" i="14" a="1"/>
  <c r="N80" i="14" s="1"/>
  <c r="O80" i="14" a="1"/>
  <c r="O80" i="14" s="1"/>
  <c r="P80" i="14" a="1"/>
  <c r="P80" i="14" s="1"/>
  <c r="Q80" i="14" a="1"/>
  <c r="Q80" i="14" s="1"/>
  <c r="R80" i="14" a="1"/>
  <c r="R80" i="14" s="1"/>
  <c r="U80" i="14" a="1"/>
  <c r="U80" i="14" s="1"/>
  <c r="V80" i="14" a="1"/>
  <c r="V80" i="14" s="1"/>
  <c r="W80" i="14" a="1"/>
  <c r="W80" i="14" s="1"/>
  <c r="X80" i="14" a="1"/>
  <c r="X80" i="14" s="1"/>
  <c r="K81" i="14" a="1"/>
  <c r="K81" i="14" s="1"/>
  <c r="L81" i="14" a="1"/>
  <c r="L81" i="14" s="1"/>
  <c r="M81" i="14" a="1"/>
  <c r="M81" i="14" s="1"/>
  <c r="N81" i="14" a="1"/>
  <c r="N81" i="14" s="1"/>
  <c r="O81" i="14" a="1"/>
  <c r="O81" i="14" s="1"/>
  <c r="P81" i="14" a="1"/>
  <c r="P81" i="14" s="1"/>
  <c r="Q81" i="14" a="1"/>
  <c r="Q81" i="14" s="1"/>
  <c r="R81" i="14" a="1"/>
  <c r="R81" i="14" s="1"/>
  <c r="U81" i="14" a="1"/>
  <c r="U81" i="14" s="1"/>
  <c r="V81" i="14" a="1"/>
  <c r="V81" i="14" s="1"/>
  <c r="W81" i="14" a="1"/>
  <c r="W81" i="14" s="1"/>
  <c r="X81" i="14" a="1"/>
  <c r="X81" i="14" s="1"/>
  <c r="K82" i="14" a="1"/>
  <c r="K82" i="14" s="1"/>
  <c r="L82" i="14" a="1"/>
  <c r="L82" i="14" s="1"/>
  <c r="M82" i="14" a="1"/>
  <c r="M82" i="14" s="1"/>
  <c r="N82" i="14" a="1"/>
  <c r="N82" i="14" s="1"/>
  <c r="O82" i="14" a="1"/>
  <c r="O82" i="14" s="1"/>
  <c r="P82" i="14" a="1"/>
  <c r="P82" i="14" s="1"/>
  <c r="Q82" i="14" a="1"/>
  <c r="Q82" i="14" s="1"/>
  <c r="R82" i="14" a="1"/>
  <c r="R82" i="14" s="1"/>
  <c r="U82" i="14" a="1"/>
  <c r="U82" i="14" s="1"/>
  <c r="V82" i="14" a="1"/>
  <c r="V82" i="14" s="1"/>
  <c r="W82" i="14" a="1"/>
  <c r="W82" i="14" s="1"/>
  <c r="X82" i="14" a="1"/>
  <c r="X82" i="14" s="1"/>
  <c r="K83" i="14" a="1"/>
  <c r="K83" i="14" s="1"/>
  <c r="L83" i="14" a="1"/>
  <c r="L83" i="14" s="1"/>
  <c r="M83" i="14" a="1"/>
  <c r="M83" i="14" s="1"/>
  <c r="N83" i="14" a="1"/>
  <c r="N83" i="14" s="1"/>
  <c r="O83" i="14" a="1"/>
  <c r="O83" i="14" s="1"/>
  <c r="P83" i="14" a="1"/>
  <c r="P83" i="14" s="1"/>
  <c r="Q83" i="14" a="1"/>
  <c r="Q83" i="14" s="1"/>
  <c r="R83" i="14" a="1"/>
  <c r="R83" i="14" s="1"/>
  <c r="U83" i="14" a="1"/>
  <c r="U83" i="14" s="1"/>
  <c r="V83" i="14" a="1"/>
  <c r="V83" i="14" s="1"/>
  <c r="W83" i="14" a="1"/>
  <c r="W83" i="14" s="1"/>
  <c r="X83" i="14" a="1"/>
  <c r="X83" i="14" s="1"/>
  <c r="K84" i="14" a="1"/>
  <c r="K84" i="14" s="1"/>
  <c r="L84" i="14" a="1"/>
  <c r="L84" i="14" s="1"/>
  <c r="M84" i="14" a="1"/>
  <c r="M84" i="14" s="1"/>
  <c r="N84" i="14" a="1"/>
  <c r="N84" i="14" s="1"/>
  <c r="O84" i="14" a="1"/>
  <c r="O84" i="14" s="1"/>
  <c r="P84" i="14" a="1"/>
  <c r="P84" i="14" s="1"/>
  <c r="Q84" i="14" a="1"/>
  <c r="Q84" i="14" s="1"/>
  <c r="R84" i="14" a="1"/>
  <c r="R84" i="14" s="1"/>
  <c r="U84" i="14" a="1"/>
  <c r="U84" i="14" s="1"/>
  <c r="V84" i="14" a="1"/>
  <c r="V84" i="14" s="1"/>
  <c r="W84" i="14" a="1"/>
  <c r="W84" i="14" s="1"/>
  <c r="X84" i="14" a="1"/>
  <c r="X84" i="14" s="1"/>
  <c r="K85" i="14" a="1"/>
  <c r="K85" i="14" s="1"/>
  <c r="L85" i="14" a="1"/>
  <c r="L85" i="14" s="1"/>
  <c r="M85" i="14" a="1"/>
  <c r="M85" i="14" s="1"/>
  <c r="N85" i="14" a="1"/>
  <c r="N85" i="14" s="1"/>
  <c r="O85" i="14" a="1"/>
  <c r="O85" i="14" s="1"/>
  <c r="P85" i="14" a="1"/>
  <c r="P85" i="14" s="1"/>
  <c r="Q85" i="14" a="1"/>
  <c r="Q85" i="14" s="1"/>
  <c r="R85" i="14" a="1"/>
  <c r="R85" i="14" s="1"/>
  <c r="U85" i="14" a="1"/>
  <c r="U85" i="14" s="1"/>
  <c r="V85" i="14" a="1"/>
  <c r="V85" i="14" s="1"/>
  <c r="W85" i="14" a="1"/>
  <c r="W85" i="14" s="1"/>
  <c r="X85" i="14" a="1"/>
  <c r="X85" i="14" s="1"/>
  <c r="K86" i="14" a="1"/>
  <c r="K86" i="14" s="1"/>
  <c r="L86" i="14" a="1"/>
  <c r="L86" i="14" s="1"/>
  <c r="M86" i="14" a="1"/>
  <c r="M86" i="14" s="1"/>
  <c r="N86" i="14" a="1"/>
  <c r="N86" i="14" s="1"/>
  <c r="O86" i="14" a="1"/>
  <c r="O86" i="14" s="1"/>
  <c r="P86" i="14" a="1"/>
  <c r="P86" i="14" s="1"/>
  <c r="Q86" i="14" a="1"/>
  <c r="Q86" i="14" s="1"/>
  <c r="R86" i="14" a="1"/>
  <c r="R86" i="14" s="1"/>
  <c r="U86" i="14" a="1"/>
  <c r="U86" i="14" s="1"/>
  <c r="V86" i="14" a="1"/>
  <c r="V86" i="14" s="1"/>
  <c r="W86" i="14" a="1"/>
  <c r="W86" i="14" s="1"/>
  <c r="X86" i="14" a="1"/>
  <c r="X86" i="14" s="1"/>
  <c r="K87" i="14" a="1"/>
  <c r="K87" i="14" s="1"/>
  <c r="L87" i="14" a="1"/>
  <c r="L87" i="14" s="1"/>
  <c r="M87" i="14" a="1"/>
  <c r="M87" i="14" s="1"/>
  <c r="N87" i="14" a="1"/>
  <c r="N87" i="14" s="1"/>
  <c r="O87" i="14" a="1"/>
  <c r="O87" i="14" s="1"/>
  <c r="P87" i="14" a="1"/>
  <c r="P87" i="14" s="1"/>
  <c r="Q87" i="14" a="1"/>
  <c r="Q87" i="14" s="1"/>
  <c r="R87" i="14" a="1"/>
  <c r="R87" i="14" s="1"/>
  <c r="U87" i="14" a="1"/>
  <c r="U87" i="14" s="1"/>
  <c r="V87" i="14" a="1"/>
  <c r="V87" i="14" s="1"/>
  <c r="W87" i="14" a="1"/>
  <c r="W87" i="14" s="1"/>
  <c r="X87" i="14" a="1"/>
  <c r="X87" i="14" s="1"/>
  <c r="K88" i="14" a="1"/>
  <c r="K88" i="14" s="1"/>
  <c r="L88" i="14" a="1"/>
  <c r="L88" i="14" s="1"/>
  <c r="M88" i="14" a="1"/>
  <c r="M88" i="14" s="1"/>
  <c r="N88" i="14" a="1"/>
  <c r="N88" i="14" s="1"/>
  <c r="O88" i="14" a="1"/>
  <c r="O88" i="14" s="1"/>
  <c r="P88" i="14" a="1"/>
  <c r="P88" i="14" s="1"/>
  <c r="Q88" i="14" a="1"/>
  <c r="Q88" i="14" s="1"/>
  <c r="R88" i="14" a="1"/>
  <c r="R88" i="14" s="1"/>
  <c r="U88" i="14" a="1"/>
  <c r="U88" i="14" s="1"/>
  <c r="V88" i="14" a="1"/>
  <c r="V88" i="14" s="1"/>
  <c r="W88" i="14" a="1"/>
  <c r="W88" i="14" s="1"/>
  <c r="X88" i="14" a="1"/>
  <c r="X88" i="14" s="1"/>
  <c r="K89" i="14" a="1"/>
  <c r="K89" i="14" s="1"/>
  <c r="L89" i="14" a="1"/>
  <c r="L89" i="14" s="1"/>
  <c r="M89" i="14" a="1"/>
  <c r="M89" i="14" s="1"/>
  <c r="N89" i="14" a="1"/>
  <c r="N89" i="14" s="1"/>
  <c r="O89" i="14" a="1"/>
  <c r="O89" i="14" s="1"/>
  <c r="P89" i="14" a="1"/>
  <c r="P89" i="14" s="1"/>
  <c r="Q89" i="14" a="1"/>
  <c r="Q89" i="14" s="1"/>
  <c r="R89" i="14" a="1"/>
  <c r="R89" i="14" s="1"/>
  <c r="U89" i="14" a="1"/>
  <c r="U89" i="14" s="1"/>
  <c r="V89" i="14" a="1"/>
  <c r="V89" i="14" s="1"/>
  <c r="W89" i="14" a="1"/>
  <c r="W89" i="14" s="1"/>
  <c r="X89" i="14" a="1"/>
  <c r="X89" i="14" s="1"/>
  <c r="K90" i="14" a="1"/>
  <c r="K90" i="14" s="1"/>
  <c r="L90" i="14" a="1"/>
  <c r="L90" i="14" s="1"/>
  <c r="M90" i="14" a="1"/>
  <c r="M90" i="14" s="1"/>
  <c r="N90" i="14" a="1"/>
  <c r="N90" i="14" s="1"/>
  <c r="O90" i="14" a="1"/>
  <c r="O90" i="14" s="1"/>
  <c r="P90" i="14" a="1"/>
  <c r="P90" i="14" s="1"/>
  <c r="Q90" i="14" a="1"/>
  <c r="Q90" i="14" s="1"/>
  <c r="R90" i="14" a="1"/>
  <c r="R90" i="14" s="1"/>
  <c r="U90" i="14" a="1"/>
  <c r="U90" i="14" s="1"/>
  <c r="V90" i="14" a="1"/>
  <c r="V90" i="14" s="1"/>
  <c r="W90" i="14" a="1"/>
  <c r="W90" i="14" s="1"/>
  <c r="X90" i="14" a="1"/>
  <c r="X90" i="14" s="1"/>
  <c r="K91" i="14" a="1"/>
  <c r="K91" i="14" s="1"/>
  <c r="L91" i="14" a="1"/>
  <c r="L91" i="14" s="1"/>
  <c r="M91" i="14" a="1"/>
  <c r="M91" i="14" s="1"/>
  <c r="N91" i="14" a="1"/>
  <c r="N91" i="14" s="1"/>
  <c r="O91" i="14" a="1"/>
  <c r="O91" i="14" s="1"/>
  <c r="P91" i="14" a="1"/>
  <c r="P91" i="14" s="1"/>
  <c r="Q91" i="14" a="1"/>
  <c r="Q91" i="14" s="1"/>
  <c r="R91" i="14" a="1"/>
  <c r="R91" i="14" s="1"/>
  <c r="U91" i="14" a="1"/>
  <c r="U91" i="14" s="1"/>
  <c r="V91" i="14" a="1"/>
  <c r="V91" i="14" s="1"/>
  <c r="W91" i="14" a="1"/>
  <c r="W91" i="14" s="1"/>
  <c r="X91" i="14" a="1"/>
  <c r="X91" i="14" s="1"/>
  <c r="K92" i="14" a="1"/>
  <c r="K92" i="14" s="1"/>
  <c r="L92" i="14" a="1"/>
  <c r="L92" i="14" s="1"/>
  <c r="M92" i="14" a="1"/>
  <c r="M92" i="14" s="1"/>
  <c r="N92" i="14" a="1"/>
  <c r="N92" i="14" s="1"/>
  <c r="O92" i="14" a="1"/>
  <c r="O92" i="14" s="1"/>
  <c r="P92" i="14" a="1"/>
  <c r="P92" i="14" s="1"/>
  <c r="Q92" i="14" a="1"/>
  <c r="Q92" i="14" s="1"/>
  <c r="R92" i="14" a="1"/>
  <c r="R92" i="14" s="1"/>
  <c r="U92" i="14" a="1"/>
  <c r="U92" i="14" s="1"/>
  <c r="V92" i="14" a="1"/>
  <c r="V92" i="14" s="1"/>
  <c r="W92" i="14" a="1"/>
  <c r="W92" i="14" s="1"/>
  <c r="X92" i="14" a="1"/>
  <c r="X92" i="14" s="1"/>
  <c r="K93" i="14" a="1"/>
  <c r="K93" i="14" s="1"/>
  <c r="L93" i="14" a="1"/>
  <c r="L93" i="14" s="1"/>
  <c r="M93" i="14" a="1"/>
  <c r="M93" i="14" s="1"/>
  <c r="N93" i="14" a="1"/>
  <c r="N93" i="14" s="1"/>
  <c r="O93" i="14" a="1"/>
  <c r="O93" i="14" s="1"/>
  <c r="P93" i="14" a="1"/>
  <c r="P93" i="14" s="1"/>
  <c r="Q93" i="14" a="1"/>
  <c r="Q93" i="14" s="1"/>
  <c r="R93" i="14" a="1"/>
  <c r="R93" i="14" s="1"/>
  <c r="U93" i="14" a="1"/>
  <c r="U93" i="14" s="1"/>
  <c r="V93" i="14" a="1"/>
  <c r="V93" i="14" s="1"/>
  <c r="W93" i="14" a="1"/>
  <c r="W93" i="14" s="1"/>
  <c r="X93" i="14" a="1"/>
  <c r="X93" i="14" s="1"/>
  <c r="K94" i="14" a="1"/>
  <c r="K94" i="14" s="1"/>
  <c r="L94" i="14" a="1"/>
  <c r="L94" i="14" s="1"/>
  <c r="M94" i="14" a="1"/>
  <c r="M94" i="14" s="1"/>
  <c r="N94" i="14" a="1"/>
  <c r="N94" i="14" s="1"/>
  <c r="O94" i="14" a="1"/>
  <c r="O94" i="14" s="1"/>
  <c r="P94" i="14" a="1"/>
  <c r="P94" i="14" s="1"/>
  <c r="Q94" i="14" a="1"/>
  <c r="Q94" i="14" s="1"/>
  <c r="R94" i="14" a="1"/>
  <c r="R94" i="14" s="1"/>
  <c r="U94" i="14" a="1"/>
  <c r="U94" i="14" s="1"/>
  <c r="V94" i="14" a="1"/>
  <c r="V94" i="14" s="1"/>
  <c r="W94" i="14" a="1"/>
  <c r="W94" i="14" s="1"/>
  <c r="X94" i="14" a="1"/>
  <c r="X94" i="14" s="1"/>
  <c r="K95" i="14" a="1"/>
  <c r="K95" i="14" s="1"/>
  <c r="L95" i="14" a="1"/>
  <c r="L95" i="14" s="1"/>
  <c r="M95" i="14" a="1"/>
  <c r="M95" i="14" s="1"/>
  <c r="N95" i="14" a="1"/>
  <c r="N95" i="14" s="1"/>
  <c r="O95" i="14" a="1"/>
  <c r="O95" i="14" s="1"/>
  <c r="P95" i="14" a="1"/>
  <c r="P95" i="14" s="1"/>
  <c r="Q95" i="14" a="1"/>
  <c r="Q95" i="14" s="1"/>
  <c r="R95" i="14" a="1"/>
  <c r="R95" i="14" s="1"/>
  <c r="U95" i="14" a="1"/>
  <c r="U95" i="14" s="1"/>
  <c r="V95" i="14" a="1"/>
  <c r="V95" i="14" s="1"/>
  <c r="W95" i="14" a="1"/>
  <c r="W95" i="14" s="1"/>
  <c r="X95" i="14" a="1"/>
  <c r="X95" i="14" s="1"/>
  <c r="K96" i="14" a="1"/>
  <c r="K96" i="14" s="1"/>
  <c r="L96" i="14" a="1"/>
  <c r="L96" i="14" s="1"/>
  <c r="M96" i="14" a="1"/>
  <c r="M96" i="14" s="1"/>
  <c r="N96" i="14" a="1"/>
  <c r="N96" i="14" s="1"/>
  <c r="O96" i="14" a="1"/>
  <c r="O96" i="14" s="1"/>
  <c r="P96" i="14" a="1"/>
  <c r="P96" i="14" s="1"/>
  <c r="Q96" i="14" a="1"/>
  <c r="Q96" i="14" s="1"/>
  <c r="R96" i="14" a="1"/>
  <c r="R96" i="14" s="1"/>
  <c r="U96" i="14" a="1"/>
  <c r="U96" i="14" s="1"/>
  <c r="V96" i="14" a="1"/>
  <c r="V96" i="14" s="1"/>
  <c r="W96" i="14" a="1"/>
  <c r="W96" i="14" s="1"/>
  <c r="X96" i="14" a="1"/>
  <c r="X96" i="14" s="1"/>
  <c r="K97" i="14" a="1"/>
  <c r="K97" i="14" s="1"/>
  <c r="L97" i="14" a="1"/>
  <c r="L97" i="14" s="1"/>
  <c r="M97" i="14" a="1"/>
  <c r="M97" i="14" s="1"/>
  <c r="N97" i="14" a="1"/>
  <c r="N97" i="14" s="1"/>
  <c r="O97" i="14" a="1"/>
  <c r="O97" i="14" s="1"/>
  <c r="P97" i="14" a="1"/>
  <c r="P97" i="14" s="1"/>
  <c r="Q97" i="14" a="1"/>
  <c r="Q97" i="14" s="1"/>
  <c r="R97" i="14" a="1"/>
  <c r="R97" i="14" s="1"/>
  <c r="U97" i="14" a="1"/>
  <c r="U97" i="14" s="1"/>
  <c r="V97" i="14" a="1"/>
  <c r="V97" i="14" s="1"/>
  <c r="W97" i="14" a="1"/>
  <c r="W97" i="14" s="1"/>
  <c r="X97" i="14" a="1"/>
  <c r="X97" i="14" s="1"/>
  <c r="K98" i="14" a="1"/>
  <c r="K98" i="14" s="1"/>
  <c r="L98" i="14" a="1"/>
  <c r="L98" i="14" s="1"/>
  <c r="M98" i="14" a="1"/>
  <c r="M98" i="14" s="1"/>
  <c r="N98" i="14" a="1"/>
  <c r="N98" i="14" s="1"/>
  <c r="O98" i="14" a="1"/>
  <c r="O98" i="14" s="1"/>
  <c r="P98" i="14" a="1"/>
  <c r="P98" i="14" s="1"/>
  <c r="Q98" i="14" a="1"/>
  <c r="Q98" i="14" s="1"/>
  <c r="R98" i="14" a="1"/>
  <c r="R98" i="14" s="1"/>
  <c r="U98" i="14" a="1"/>
  <c r="U98" i="14" s="1"/>
  <c r="V98" i="14" a="1"/>
  <c r="V98" i="14" s="1"/>
  <c r="W98" i="14" a="1"/>
  <c r="W98" i="14" s="1"/>
  <c r="X98" i="14" a="1"/>
  <c r="X98" i="14" s="1"/>
  <c r="K99" i="14" a="1"/>
  <c r="K99" i="14" s="1"/>
  <c r="L99" i="14" a="1"/>
  <c r="L99" i="14" s="1"/>
  <c r="M99" i="14" a="1"/>
  <c r="M99" i="14" s="1"/>
  <c r="N99" i="14" a="1"/>
  <c r="N99" i="14" s="1"/>
  <c r="O99" i="14" a="1"/>
  <c r="O99" i="14" s="1"/>
  <c r="P99" i="14" a="1"/>
  <c r="P99" i="14" s="1"/>
  <c r="Q99" i="14" a="1"/>
  <c r="Q99" i="14" s="1"/>
  <c r="R99" i="14" a="1"/>
  <c r="R99" i="14" s="1"/>
  <c r="U99" i="14" a="1"/>
  <c r="U99" i="14" s="1"/>
  <c r="V99" i="14" a="1"/>
  <c r="V99" i="14" s="1"/>
  <c r="W99" i="14" a="1"/>
  <c r="W99" i="14" s="1"/>
  <c r="X99" i="14" a="1"/>
  <c r="X99" i="14" s="1"/>
  <c r="K100" i="14" a="1"/>
  <c r="K100" i="14" s="1"/>
  <c r="L100" i="14" a="1"/>
  <c r="L100" i="14" s="1"/>
  <c r="M100" i="14" a="1"/>
  <c r="M100" i="14" s="1"/>
  <c r="N100" i="14" a="1"/>
  <c r="N100" i="14" s="1"/>
  <c r="O100" i="14" a="1"/>
  <c r="O100" i="14" s="1"/>
  <c r="P100" i="14" a="1"/>
  <c r="P100" i="14" s="1"/>
  <c r="Q100" i="14" a="1"/>
  <c r="Q100" i="14" s="1"/>
  <c r="R100" i="14" a="1"/>
  <c r="R100" i="14" s="1"/>
  <c r="U100" i="14" a="1"/>
  <c r="U100" i="14" s="1"/>
  <c r="V100" i="14" a="1"/>
  <c r="V100" i="14" s="1"/>
  <c r="W100" i="14" a="1"/>
  <c r="W100" i="14" s="1"/>
  <c r="X100" i="14" a="1"/>
  <c r="X100" i="14" s="1"/>
  <c r="K101" i="14" a="1"/>
  <c r="K101" i="14" s="1"/>
  <c r="L101" i="14" a="1"/>
  <c r="L101" i="14" s="1"/>
  <c r="M101" i="14" a="1"/>
  <c r="M101" i="14" s="1"/>
  <c r="N101" i="14" a="1"/>
  <c r="N101" i="14" s="1"/>
  <c r="O101" i="14" a="1"/>
  <c r="O101" i="14" s="1"/>
  <c r="P101" i="14" a="1"/>
  <c r="P101" i="14" s="1"/>
  <c r="Q101" i="14" a="1"/>
  <c r="Q101" i="14" s="1"/>
  <c r="R101" i="14" a="1"/>
  <c r="R101" i="14" s="1"/>
  <c r="U101" i="14" a="1"/>
  <c r="U101" i="14" s="1"/>
  <c r="V101" i="14" a="1"/>
  <c r="V101" i="14" s="1"/>
  <c r="W101" i="14" a="1"/>
  <c r="W101" i="14" s="1"/>
  <c r="X101" i="14" a="1"/>
  <c r="X101" i="14" s="1"/>
  <c r="K102" i="14" a="1"/>
  <c r="K102" i="14" s="1"/>
  <c r="L102" i="14" a="1"/>
  <c r="L102" i="14" s="1"/>
  <c r="M102" i="14" a="1"/>
  <c r="M102" i="14" s="1"/>
  <c r="N102" i="14" a="1"/>
  <c r="N102" i="14" s="1"/>
  <c r="O102" i="14" a="1"/>
  <c r="O102" i="14" s="1"/>
  <c r="P102" i="14" a="1"/>
  <c r="P102" i="14" s="1"/>
  <c r="Q102" i="14" a="1"/>
  <c r="Q102" i="14" s="1"/>
  <c r="R102" i="14" a="1"/>
  <c r="R102" i="14" s="1"/>
  <c r="U102" i="14" a="1"/>
  <c r="U102" i="14" s="1"/>
  <c r="V102" i="14" a="1"/>
  <c r="V102" i="14" s="1"/>
  <c r="W102" i="14" a="1"/>
  <c r="W102" i="14" s="1"/>
  <c r="X102" i="14" a="1"/>
  <c r="X102" i="14" s="1"/>
  <c r="K103" i="14" a="1"/>
  <c r="K103" i="14" s="1"/>
  <c r="L103" i="14" a="1"/>
  <c r="L103" i="14" s="1"/>
  <c r="M103" i="14" a="1"/>
  <c r="M103" i="14" s="1"/>
  <c r="N103" i="14" a="1"/>
  <c r="N103" i="14" s="1"/>
  <c r="O103" i="14" a="1"/>
  <c r="O103" i="14" s="1"/>
  <c r="P103" i="14" a="1"/>
  <c r="P103" i="14" s="1"/>
  <c r="Q103" i="14" a="1"/>
  <c r="Q103" i="14" s="1"/>
  <c r="R103" i="14" a="1"/>
  <c r="R103" i="14" s="1"/>
  <c r="U103" i="14" a="1"/>
  <c r="U103" i="14" s="1"/>
  <c r="V103" i="14" a="1"/>
  <c r="V103" i="14" s="1"/>
  <c r="W103" i="14" a="1"/>
  <c r="W103" i="14" s="1"/>
  <c r="X103" i="14" a="1"/>
  <c r="X103" i="14" s="1"/>
  <c r="K104" i="14" a="1"/>
  <c r="K104" i="14" s="1"/>
  <c r="L104" i="14" a="1"/>
  <c r="L104" i="14" s="1"/>
  <c r="M104" i="14" a="1"/>
  <c r="M104" i="14" s="1"/>
  <c r="N104" i="14" a="1"/>
  <c r="N104" i="14" s="1"/>
  <c r="O104" i="14" a="1"/>
  <c r="O104" i="14" s="1"/>
  <c r="P104" i="14" a="1"/>
  <c r="P104" i="14" s="1"/>
  <c r="Q104" i="14" a="1"/>
  <c r="Q104" i="14" s="1"/>
  <c r="R104" i="14" a="1"/>
  <c r="R104" i="14" s="1"/>
  <c r="U104" i="14" a="1"/>
  <c r="U104" i="14" s="1"/>
  <c r="V104" i="14" a="1"/>
  <c r="V104" i="14" s="1"/>
  <c r="W104" i="14" a="1"/>
  <c r="W104" i="14" s="1"/>
  <c r="X104" i="14" a="1"/>
  <c r="X104" i="14" s="1"/>
  <c r="K105" i="14" a="1"/>
  <c r="K105" i="14" s="1"/>
  <c r="L105" i="14" a="1"/>
  <c r="L105" i="14" s="1"/>
  <c r="M105" i="14" a="1"/>
  <c r="M105" i="14" s="1"/>
  <c r="N105" i="14" a="1"/>
  <c r="N105" i="14" s="1"/>
  <c r="O105" i="14" a="1"/>
  <c r="O105" i="14" s="1"/>
  <c r="P105" i="14" a="1"/>
  <c r="P105" i="14" s="1"/>
  <c r="Q105" i="14" a="1"/>
  <c r="Q105" i="14" s="1"/>
  <c r="R105" i="14" a="1"/>
  <c r="R105" i="14" s="1"/>
  <c r="U105" i="14" a="1"/>
  <c r="U105" i="14" s="1"/>
  <c r="V105" i="14" a="1"/>
  <c r="V105" i="14" s="1"/>
  <c r="W105" i="14" a="1"/>
  <c r="W105" i="14" s="1"/>
  <c r="X105" i="14" a="1"/>
  <c r="X105" i="14" s="1"/>
  <c r="K106" i="14" a="1"/>
  <c r="K106" i="14" s="1"/>
  <c r="L106" i="14" a="1"/>
  <c r="L106" i="14" s="1"/>
  <c r="M106" i="14" a="1"/>
  <c r="M106" i="14" s="1"/>
  <c r="N106" i="14" a="1"/>
  <c r="N106" i="14" s="1"/>
  <c r="O106" i="14" a="1"/>
  <c r="O106" i="14" s="1"/>
  <c r="P106" i="14" a="1"/>
  <c r="P106" i="14" s="1"/>
  <c r="Q106" i="14" a="1"/>
  <c r="Q106" i="14" s="1"/>
  <c r="R106" i="14" a="1"/>
  <c r="R106" i="14" s="1"/>
  <c r="U106" i="14" a="1"/>
  <c r="U106" i="14" s="1"/>
  <c r="V106" i="14" a="1"/>
  <c r="V106" i="14" s="1"/>
  <c r="W106" i="14" a="1"/>
  <c r="W106" i="14" s="1"/>
  <c r="X106" i="14" a="1"/>
  <c r="X106" i="14" s="1"/>
  <c r="K107" i="14" a="1"/>
  <c r="K107" i="14" s="1"/>
  <c r="L107" i="14" a="1"/>
  <c r="L107" i="14" s="1"/>
  <c r="M107" i="14" a="1"/>
  <c r="M107" i="14" s="1"/>
  <c r="N107" i="14" a="1"/>
  <c r="N107" i="14" s="1"/>
  <c r="O107" i="14" a="1"/>
  <c r="O107" i="14" s="1"/>
  <c r="P107" i="14" a="1"/>
  <c r="P107" i="14" s="1"/>
  <c r="Q107" i="14" a="1"/>
  <c r="Q107" i="14" s="1"/>
  <c r="R107" i="14" a="1"/>
  <c r="R107" i="14" s="1"/>
  <c r="U107" i="14" a="1"/>
  <c r="U107" i="14" s="1"/>
  <c r="V107" i="14" a="1"/>
  <c r="V107" i="14" s="1"/>
  <c r="W107" i="14" a="1"/>
  <c r="W107" i="14" s="1"/>
  <c r="X107" i="14" a="1"/>
  <c r="X107" i="14" s="1"/>
  <c r="K108" i="14" a="1"/>
  <c r="K108" i="14" s="1"/>
  <c r="L108" i="14" a="1"/>
  <c r="L108" i="14" s="1"/>
  <c r="M108" i="14" a="1"/>
  <c r="M108" i="14" s="1"/>
  <c r="N108" i="14" a="1"/>
  <c r="N108" i="14" s="1"/>
  <c r="O108" i="14" a="1"/>
  <c r="O108" i="14" s="1"/>
  <c r="P108" i="14" a="1"/>
  <c r="P108" i="14" s="1"/>
  <c r="Q108" i="14" a="1"/>
  <c r="Q108" i="14" s="1"/>
  <c r="R108" i="14" a="1"/>
  <c r="R108" i="14" s="1"/>
  <c r="U108" i="14" a="1"/>
  <c r="U108" i="14" s="1"/>
  <c r="V108" i="14" a="1"/>
  <c r="V108" i="14" s="1"/>
  <c r="W108" i="14" a="1"/>
  <c r="W108" i="14" s="1"/>
  <c r="X108" i="14" a="1"/>
  <c r="X108" i="14" s="1"/>
  <c r="K109" i="14" a="1"/>
  <c r="K109" i="14" s="1"/>
  <c r="L109" i="14" a="1"/>
  <c r="L109" i="14" s="1"/>
  <c r="M109" i="14" a="1"/>
  <c r="M109" i="14" s="1"/>
  <c r="N109" i="14" a="1"/>
  <c r="N109" i="14" s="1"/>
  <c r="O109" i="14" a="1"/>
  <c r="O109" i="14" s="1"/>
  <c r="P109" i="14" a="1"/>
  <c r="P109" i="14" s="1"/>
  <c r="Q109" i="14" a="1"/>
  <c r="Q109" i="14" s="1"/>
  <c r="R109" i="14" a="1"/>
  <c r="R109" i="14" s="1"/>
  <c r="U109" i="14" a="1"/>
  <c r="U109" i="14" s="1"/>
  <c r="V109" i="14" a="1"/>
  <c r="V109" i="14" s="1"/>
  <c r="W109" i="14" a="1"/>
  <c r="W109" i="14" s="1"/>
  <c r="X109" i="14" a="1"/>
  <c r="X109" i="14" s="1"/>
  <c r="K110" i="14" a="1"/>
  <c r="K110" i="14" s="1"/>
  <c r="L110" i="14" a="1"/>
  <c r="L110" i="14" s="1"/>
  <c r="M110" i="14" a="1"/>
  <c r="M110" i="14" s="1"/>
  <c r="N110" i="14" a="1"/>
  <c r="N110" i="14" s="1"/>
  <c r="O110" i="14" a="1"/>
  <c r="O110" i="14" s="1"/>
  <c r="P110" i="14" a="1"/>
  <c r="P110" i="14" s="1"/>
  <c r="Q110" i="14" a="1"/>
  <c r="Q110" i="14" s="1"/>
  <c r="R110" i="14" a="1"/>
  <c r="R110" i="14" s="1"/>
  <c r="U110" i="14" a="1"/>
  <c r="U110" i="14" s="1"/>
  <c r="V110" i="14" a="1"/>
  <c r="V110" i="14" s="1"/>
  <c r="W110" i="14" a="1"/>
  <c r="W110" i="14" s="1"/>
  <c r="X110" i="14" a="1"/>
  <c r="X110" i="14" s="1"/>
  <c r="K111" i="14" a="1"/>
  <c r="K111" i="14" s="1"/>
  <c r="L111" i="14" a="1"/>
  <c r="L111" i="14" s="1"/>
  <c r="M111" i="14" a="1"/>
  <c r="M111" i="14" s="1"/>
  <c r="N111" i="14" a="1"/>
  <c r="N111" i="14" s="1"/>
  <c r="O111" i="14" a="1"/>
  <c r="O111" i="14" s="1"/>
  <c r="P111" i="14" a="1"/>
  <c r="P111" i="14" s="1"/>
  <c r="Q111" i="14" a="1"/>
  <c r="Q111" i="14" s="1"/>
  <c r="R111" i="14" a="1"/>
  <c r="R111" i="14" s="1"/>
  <c r="U111" i="14" a="1"/>
  <c r="U111" i="14" s="1"/>
  <c r="V111" i="14" a="1"/>
  <c r="V111" i="14" s="1"/>
  <c r="W111" i="14" a="1"/>
  <c r="W111" i="14" s="1"/>
  <c r="X111" i="14" a="1"/>
  <c r="X111" i="14" s="1"/>
  <c r="K112" i="14" a="1"/>
  <c r="K112" i="14" s="1"/>
  <c r="L112" i="14" a="1"/>
  <c r="L112" i="14" s="1"/>
  <c r="M112" i="14" a="1"/>
  <c r="M112" i="14" s="1"/>
  <c r="N112" i="14" a="1"/>
  <c r="N112" i="14" s="1"/>
  <c r="O112" i="14" a="1"/>
  <c r="O112" i="14" s="1"/>
  <c r="P112" i="14" a="1"/>
  <c r="P112" i="14" s="1"/>
  <c r="Q112" i="14" a="1"/>
  <c r="Q112" i="14" s="1"/>
  <c r="R112" i="14" a="1"/>
  <c r="R112" i="14" s="1"/>
  <c r="U112" i="14" a="1"/>
  <c r="U112" i="14" s="1"/>
  <c r="V112" i="14" a="1"/>
  <c r="V112" i="14" s="1"/>
  <c r="W112" i="14" a="1"/>
  <c r="W112" i="14" s="1"/>
  <c r="X112" i="14" a="1"/>
  <c r="X112" i="14" s="1"/>
  <c r="K113" i="14" a="1"/>
  <c r="K113" i="14" s="1"/>
  <c r="L113" i="14" a="1"/>
  <c r="L113" i="14" s="1"/>
  <c r="M113" i="14" a="1"/>
  <c r="M113" i="14" s="1"/>
  <c r="N113" i="14" a="1"/>
  <c r="N113" i="14" s="1"/>
  <c r="O113" i="14" a="1"/>
  <c r="O113" i="14" s="1"/>
  <c r="P113" i="14" a="1"/>
  <c r="P113" i="14" s="1"/>
  <c r="Q113" i="14" a="1"/>
  <c r="Q113" i="14" s="1"/>
  <c r="R113" i="14" a="1"/>
  <c r="R113" i="14" s="1"/>
  <c r="U113" i="14" a="1"/>
  <c r="U113" i="14" s="1"/>
  <c r="V113" i="14" a="1"/>
  <c r="V113" i="14" s="1"/>
  <c r="W113" i="14" a="1"/>
  <c r="W113" i="14" s="1"/>
  <c r="X113" i="14" a="1"/>
  <c r="X113" i="14" s="1"/>
  <c r="K114" i="14" a="1"/>
  <c r="K114" i="14" s="1"/>
  <c r="L114" i="14" a="1"/>
  <c r="L114" i="14" s="1"/>
  <c r="M114" i="14" a="1"/>
  <c r="M114" i="14" s="1"/>
  <c r="N114" i="14" a="1"/>
  <c r="N114" i="14" s="1"/>
  <c r="O114" i="14" a="1"/>
  <c r="O114" i="14" s="1"/>
  <c r="P114" i="14" a="1"/>
  <c r="P114" i="14" s="1"/>
  <c r="Q114" i="14" a="1"/>
  <c r="Q114" i="14" s="1"/>
  <c r="R114" i="14" a="1"/>
  <c r="R114" i="14" s="1"/>
  <c r="U114" i="14" a="1"/>
  <c r="U114" i="14" s="1"/>
  <c r="V114" i="14" a="1"/>
  <c r="V114" i="14" s="1"/>
  <c r="W114" i="14" a="1"/>
  <c r="W114" i="14" s="1"/>
  <c r="X114" i="14" a="1"/>
  <c r="X114" i="14" s="1"/>
  <c r="K115" i="14" a="1"/>
  <c r="K115" i="14" s="1"/>
  <c r="L115" i="14" a="1"/>
  <c r="L115" i="14" s="1"/>
  <c r="M115" i="14" a="1"/>
  <c r="M115" i="14" s="1"/>
  <c r="N115" i="14" a="1"/>
  <c r="N115" i="14" s="1"/>
  <c r="O115" i="14" a="1"/>
  <c r="O115" i="14" s="1"/>
  <c r="P115" i="14" a="1"/>
  <c r="P115" i="14" s="1"/>
  <c r="Q115" i="14" a="1"/>
  <c r="Q115" i="14" s="1"/>
  <c r="R115" i="14" a="1"/>
  <c r="R115" i="14" s="1"/>
  <c r="U115" i="14" a="1"/>
  <c r="U115" i="14" s="1"/>
  <c r="V115" i="14" a="1"/>
  <c r="V115" i="14" s="1"/>
  <c r="W115" i="14" a="1"/>
  <c r="W115" i="14" s="1"/>
  <c r="X115" i="14" a="1"/>
  <c r="X115" i="14" s="1"/>
  <c r="K116" i="14" a="1"/>
  <c r="K116" i="14" s="1"/>
  <c r="L116" i="14" a="1"/>
  <c r="L116" i="14" s="1"/>
  <c r="M116" i="14" a="1"/>
  <c r="M116" i="14" s="1"/>
  <c r="N116" i="14" a="1"/>
  <c r="N116" i="14" s="1"/>
  <c r="O116" i="14" a="1"/>
  <c r="O116" i="14" s="1"/>
  <c r="P116" i="14" a="1"/>
  <c r="P116" i="14" s="1"/>
  <c r="Q116" i="14" a="1"/>
  <c r="Q116" i="14" s="1"/>
  <c r="R116" i="14" a="1"/>
  <c r="R116" i="14" s="1"/>
  <c r="U116" i="14" a="1"/>
  <c r="U116" i="14" s="1"/>
  <c r="V116" i="14" a="1"/>
  <c r="V116" i="14" s="1"/>
  <c r="W116" i="14" a="1"/>
  <c r="W116" i="14" s="1"/>
  <c r="X116" i="14" a="1"/>
  <c r="X116" i="14" s="1"/>
  <c r="K117" i="14" a="1"/>
  <c r="K117" i="14" s="1"/>
  <c r="L117" i="14" a="1"/>
  <c r="L117" i="14" s="1"/>
  <c r="M117" i="14" a="1"/>
  <c r="M117" i="14" s="1"/>
  <c r="N117" i="14" a="1"/>
  <c r="N117" i="14" s="1"/>
  <c r="O117" i="14" a="1"/>
  <c r="O117" i="14" s="1"/>
  <c r="P117" i="14" a="1"/>
  <c r="P117" i="14" s="1"/>
  <c r="Q117" i="14" a="1"/>
  <c r="Q117" i="14" s="1"/>
  <c r="R117" i="14" a="1"/>
  <c r="R117" i="14" s="1"/>
  <c r="U117" i="14" a="1"/>
  <c r="U117" i="14" s="1"/>
  <c r="V117" i="14" a="1"/>
  <c r="V117" i="14" s="1"/>
  <c r="W117" i="14" a="1"/>
  <c r="W117" i="14" s="1"/>
  <c r="X117" i="14" a="1"/>
  <c r="X117" i="14" s="1"/>
  <c r="K118" i="14" a="1"/>
  <c r="K118" i="14" s="1"/>
  <c r="L118" i="14" a="1"/>
  <c r="L118" i="14" s="1"/>
  <c r="M118" i="14" a="1"/>
  <c r="M118" i="14" s="1"/>
  <c r="N118" i="14" a="1"/>
  <c r="N118" i="14" s="1"/>
  <c r="O118" i="14" a="1"/>
  <c r="O118" i="14" s="1"/>
  <c r="P118" i="14" a="1"/>
  <c r="P118" i="14" s="1"/>
  <c r="Q118" i="14" a="1"/>
  <c r="Q118" i="14" s="1"/>
  <c r="R118" i="14" a="1"/>
  <c r="R118" i="14" s="1"/>
  <c r="U118" i="14" a="1"/>
  <c r="U118" i="14" s="1"/>
  <c r="V118" i="14" a="1"/>
  <c r="V118" i="14" s="1"/>
  <c r="W118" i="14" a="1"/>
  <c r="W118" i="14" s="1"/>
  <c r="X118" i="14" a="1"/>
  <c r="X118" i="14" s="1"/>
  <c r="K119" i="14" a="1"/>
  <c r="K119" i="14" s="1"/>
  <c r="L119" i="14" a="1"/>
  <c r="L119" i="14" s="1"/>
  <c r="M119" i="14" a="1"/>
  <c r="M119" i="14" s="1"/>
  <c r="N119" i="14" a="1"/>
  <c r="N119" i="14" s="1"/>
  <c r="O119" i="14" a="1"/>
  <c r="O119" i="14" s="1"/>
  <c r="P119" i="14" a="1"/>
  <c r="P119" i="14" s="1"/>
  <c r="Q119" i="14" a="1"/>
  <c r="Q119" i="14" s="1"/>
  <c r="R119" i="14" a="1"/>
  <c r="R119" i="14" s="1"/>
  <c r="U119" i="14" a="1"/>
  <c r="U119" i="14" s="1"/>
  <c r="V119" i="14" a="1"/>
  <c r="V119" i="14" s="1"/>
  <c r="W119" i="14" a="1"/>
  <c r="W119" i="14" s="1"/>
  <c r="X119" i="14" a="1"/>
  <c r="X119" i="14" s="1"/>
  <c r="K120" i="14" a="1"/>
  <c r="K120" i="14" s="1"/>
  <c r="L120" i="14" a="1"/>
  <c r="L120" i="14" s="1"/>
  <c r="M120" i="14" a="1"/>
  <c r="M120" i="14" s="1"/>
  <c r="N120" i="14" a="1"/>
  <c r="N120" i="14" s="1"/>
  <c r="O120" i="14" a="1"/>
  <c r="O120" i="14" s="1"/>
  <c r="P120" i="14" a="1"/>
  <c r="P120" i="14" s="1"/>
  <c r="Q120" i="14" a="1"/>
  <c r="Q120" i="14" s="1"/>
  <c r="R120" i="14" a="1"/>
  <c r="R120" i="14" s="1"/>
  <c r="U120" i="14" a="1"/>
  <c r="U120" i="14" s="1"/>
  <c r="V120" i="14" a="1"/>
  <c r="V120" i="14" s="1"/>
  <c r="W120" i="14" a="1"/>
  <c r="W120" i="14" s="1"/>
  <c r="X120" i="14" a="1"/>
  <c r="X120" i="14" s="1"/>
  <c r="K121" i="14" a="1"/>
  <c r="K121" i="14" s="1"/>
  <c r="L121" i="14" a="1"/>
  <c r="L121" i="14" s="1"/>
  <c r="M121" i="14" a="1"/>
  <c r="M121" i="14" s="1"/>
  <c r="N121" i="14" a="1"/>
  <c r="N121" i="14" s="1"/>
  <c r="O121" i="14" a="1"/>
  <c r="O121" i="14" s="1"/>
  <c r="P121" i="14" a="1"/>
  <c r="P121" i="14" s="1"/>
  <c r="Q121" i="14" a="1"/>
  <c r="Q121" i="14" s="1"/>
  <c r="R121" i="14" a="1"/>
  <c r="R121" i="14" s="1"/>
  <c r="U121" i="14" a="1"/>
  <c r="U121" i="14" s="1"/>
  <c r="V121" i="14" a="1"/>
  <c r="V121" i="14" s="1"/>
  <c r="W121" i="14" a="1"/>
  <c r="W121" i="14" s="1"/>
  <c r="X121" i="14" a="1"/>
  <c r="X121" i="14" s="1"/>
  <c r="K122" i="14" a="1"/>
  <c r="K122" i="14" s="1"/>
  <c r="L122" i="14" a="1"/>
  <c r="L122" i="14" s="1"/>
  <c r="M122" i="14" a="1"/>
  <c r="M122" i="14" s="1"/>
  <c r="N122" i="14" a="1"/>
  <c r="N122" i="14" s="1"/>
  <c r="O122" i="14" a="1"/>
  <c r="O122" i="14" s="1"/>
  <c r="P122" i="14" a="1"/>
  <c r="P122" i="14" s="1"/>
  <c r="Q122" i="14" a="1"/>
  <c r="Q122" i="14" s="1"/>
  <c r="R122" i="14" a="1"/>
  <c r="R122" i="14" s="1"/>
  <c r="U122" i="14" a="1"/>
  <c r="U122" i="14" s="1"/>
  <c r="V122" i="14" a="1"/>
  <c r="V122" i="14" s="1"/>
  <c r="W122" i="14" a="1"/>
  <c r="W122" i="14" s="1"/>
  <c r="X122" i="14" a="1"/>
  <c r="X122" i="14" s="1"/>
  <c r="K123" i="14" a="1"/>
  <c r="K123" i="14" s="1"/>
  <c r="L123" i="14" a="1"/>
  <c r="L123" i="14" s="1"/>
  <c r="M123" i="14" a="1"/>
  <c r="M123" i="14" s="1"/>
  <c r="N123" i="14" a="1"/>
  <c r="N123" i="14" s="1"/>
  <c r="O123" i="14" a="1"/>
  <c r="O123" i="14" s="1"/>
  <c r="P123" i="14" a="1"/>
  <c r="P123" i="14" s="1"/>
  <c r="Q123" i="14" a="1"/>
  <c r="Q123" i="14" s="1"/>
  <c r="R123" i="14" a="1"/>
  <c r="R123" i="14" s="1"/>
  <c r="U123" i="14" a="1"/>
  <c r="U123" i="14" s="1"/>
  <c r="V123" i="14" a="1"/>
  <c r="V123" i="14" s="1"/>
  <c r="W123" i="14" a="1"/>
  <c r="W123" i="14" s="1"/>
  <c r="X123" i="14" a="1"/>
  <c r="X123" i="14" s="1"/>
  <c r="K124" i="14" a="1"/>
  <c r="K124" i="14" s="1"/>
  <c r="L124" i="14" a="1"/>
  <c r="L124" i="14" s="1"/>
  <c r="M124" i="14" a="1"/>
  <c r="M124" i="14" s="1"/>
  <c r="N124" i="14" a="1"/>
  <c r="N124" i="14" s="1"/>
  <c r="O124" i="14" a="1"/>
  <c r="O124" i="14" s="1"/>
  <c r="P124" i="14" a="1"/>
  <c r="P124" i="14" s="1"/>
  <c r="Q124" i="14" a="1"/>
  <c r="Q124" i="14" s="1"/>
  <c r="R124" i="14" a="1"/>
  <c r="R124" i="14" s="1"/>
  <c r="U124" i="14" a="1"/>
  <c r="U124" i="14" s="1"/>
  <c r="V124" i="14" a="1"/>
  <c r="V124" i="14" s="1"/>
  <c r="W124" i="14" a="1"/>
  <c r="W124" i="14" s="1"/>
  <c r="X124" i="14" a="1"/>
  <c r="X124" i="14" s="1"/>
  <c r="K125" i="14" a="1"/>
  <c r="K125" i="14" s="1"/>
  <c r="L125" i="14" a="1"/>
  <c r="L125" i="14" s="1"/>
  <c r="M125" i="14" a="1"/>
  <c r="M125" i="14" s="1"/>
  <c r="N125" i="14" a="1"/>
  <c r="N125" i="14" s="1"/>
  <c r="O125" i="14" a="1"/>
  <c r="O125" i="14" s="1"/>
  <c r="P125" i="14" a="1"/>
  <c r="P125" i="14" s="1"/>
  <c r="Q125" i="14" a="1"/>
  <c r="Q125" i="14" s="1"/>
  <c r="R125" i="14" a="1"/>
  <c r="R125" i="14" s="1"/>
  <c r="U125" i="14" a="1"/>
  <c r="U125" i="14" s="1"/>
  <c r="V125" i="14" a="1"/>
  <c r="V125" i="14" s="1"/>
  <c r="W125" i="14" a="1"/>
  <c r="W125" i="14" s="1"/>
  <c r="X125" i="14" a="1"/>
  <c r="X125" i="14" s="1"/>
  <c r="K126" i="14" a="1"/>
  <c r="K126" i="14" s="1"/>
  <c r="L126" i="14" a="1"/>
  <c r="L126" i="14" s="1"/>
  <c r="M126" i="14" a="1"/>
  <c r="M126" i="14" s="1"/>
  <c r="N126" i="14" a="1"/>
  <c r="N126" i="14" s="1"/>
  <c r="O126" i="14" a="1"/>
  <c r="O126" i="14" s="1"/>
  <c r="P126" i="14" a="1"/>
  <c r="P126" i="14" s="1"/>
  <c r="Q126" i="14" a="1"/>
  <c r="Q126" i="14" s="1"/>
  <c r="R126" i="14" a="1"/>
  <c r="R126" i="14" s="1"/>
  <c r="U126" i="14" a="1"/>
  <c r="U126" i="14" s="1"/>
  <c r="V126" i="14" a="1"/>
  <c r="V126" i="14" s="1"/>
  <c r="W126" i="14" a="1"/>
  <c r="W126" i="14" s="1"/>
  <c r="X126" i="14" a="1"/>
  <c r="X126" i="14" s="1"/>
  <c r="K127" i="14" a="1"/>
  <c r="K127" i="14" s="1"/>
  <c r="L127" i="14" a="1"/>
  <c r="L127" i="14" s="1"/>
  <c r="M127" i="14" a="1"/>
  <c r="M127" i="14" s="1"/>
  <c r="N127" i="14" a="1"/>
  <c r="N127" i="14" s="1"/>
  <c r="O127" i="14" a="1"/>
  <c r="O127" i="14" s="1"/>
  <c r="P127" i="14" a="1"/>
  <c r="P127" i="14" s="1"/>
  <c r="Q127" i="14" a="1"/>
  <c r="Q127" i="14" s="1"/>
  <c r="R127" i="14" a="1"/>
  <c r="R127" i="14" s="1"/>
  <c r="U127" i="14" a="1"/>
  <c r="U127" i="14" s="1"/>
  <c r="V127" i="14" a="1"/>
  <c r="V127" i="14" s="1"/>
  <c r="W127" i="14" a="1"/>
  <c r="W127" i="14" s="1"/>
  <c r="X127" i="14" a="1"/>
  <c r="X127" i="14" s="1"/>
  <c r="K128" i="14" a="1"/>
  <c r="K128" i="14" s="1"/>
  <c r="L128" i="14" a="1"/>
  <c r="L128" i="14" s="1"/>
  <c r="M128" i="14" a="1"/>
  <c r="M128" i="14" s="1"/>
  <c r="N128" i="14" a="1"/>
  <c r="N128" i="14" s="1"/>
  <c r="O128" i="14" a="1"/>
  <c r="O128" i="14" s="1"/>
  <c r="P128" i="14" a="1"/>
  <c r="P128" i="14" s="1"/>
  <c r="Q128" i="14" a="1"/>
  <c r="Q128" i="14" s="1"/>
  <c r="R128" i="14" a="1"/>
  <c r="R128" i="14" s="1"/>
  <c r="U128" i="14" a="1"/>
  <c r="U128" i="14" s="1"/>
  <c r="V128" i="14" a="1"/>
  <c r="V128" i="14" s="1"/>
  <c r="W128" i="14" a="1"/>
  <c r="W128" i="14" s="1"/>
  <c r="X128" i="14" a="1"/>
  <c r="X128" i="14" s="1"/>
  <c r="K129" i="14" a="1"/>
  <c r="K129" i="14" s="1"/>
  <c r="L129" i="14" a="1"/>
  <c r="L129" i="14" s="1"/>
  <c r="M129" i="14" a="1"/>
  <c r="M129" i="14" s="1"/>
  <c r="N129" i="14" a="1"/>
  <c r="N129" i="14" s="1"/>
  <c r="O129" i="14" a="1"/>
  <c r="O129" i="14" s="1"/>
  <c r="P129" i="14" a="1"/>
  <c r="P129" i="14" s="1"/>
  <c r="Q129" i="14" a="1"/>
  <c r="Q129" i="14" s="1"/>
  <c r="R129" i="14" a="1"/>
  <c r="R129" i="14" s="1"/>
  <c r="U129" i="14" a="1"/>
  <c r="U129" i="14" s="1"/>
  <c r="V129" i="14" a="1"/>
  <c r="V129" i="14" s="1"/>
  <c r="W129" i="14" a="1"/>
  <c r="W129" i="14" s="1"/>
  <c r="X129" i="14" a="1"/>
  <c r="X129" i="14" s="1"/>
  <c r="K130" i="14" a="1"/>
  <c r="K130" i="14" s="1"/>
  <c r="L130" i="14" a="1"/>
  <c r="L130" i="14" s="1"/>
  <c r="M130" i="14" a="1"/>
  <c r="M130" i="14" s="1"/>
  <c r="N130" i="14" a="1"/>
  <c r="N130" i="14" s="1"/>
  <c r="O130" i="14" a="1"/>
  <c r="O130" i="14" s="1"/>
  <c r="P130" i="14" a="1"/>
  <c r="P130" i="14" s="1"/>
  <c r="Q130" i="14" a="1"/>
  <c r="Q130" i="14" s="1"/>
  <c r="R130" i="14" a="1"/>
  <c r="R130" i="14" s="1"/>
  <c r="U130" i="14" a="1"/>
  <c r="U130" i="14" s="1"/>
  <c r="V130" i="14" a="1"/>
  <c r="V130" i="14" s="1"/>
  <c r="W130" i="14" a="1"/>
  <c r="W130" i="14" s="1"/>
  <c r="X130" i="14" a="1"/>
  <c r="X130" i="14" s="1"/>
  <c r="K131" i="14" a="1"/>
  <c r="K131" i="14" s="1"/>
  <c r="L131" i="14" a="1"/>
  <c r="L131" i="14" s="1"/>
  <c r="M131" i="14" a="1"/>
  <c r="M131" i="14" s="1"/>
  <c r="N131" i="14" a="1"/>
  <c r="N131" i="14" s="1"/>
  <c r="O131" i="14" a="1"/>
  <c r="O131" i="14" s="1"/>
  <c r="P131" i="14" a="1"/>
  <c r="P131" i="14" s="1"/>
  <c r="Q131" i="14" a="1"/>
  <c r="Q131" i="14" s="1"/>
  <c r="R131" i="14" a="1"/>
  <c r="R131" i="14" s="1"/>
  <c r="U131" i="14" a="1"/>
  <c r="U131" i="14" s="1"/>
  <c r="V131" i="14" a="1"/>
  <c r="V131" i="14" s="1"/>
  <c r="W131" i="14" a="1"/>
  <c r="W131" i="14" s="1"/>
  <c r="X131" i="14" a="1"/>
  <c r="X131" i="14" s="1"/>
  <c r="K132" i="14" a="1"/>
  <c r="K132" i="14" s="1"/>
  <c r="L132" i="14" a="1"/>
  <c r="L132" i="14" s="1"/>
  <c r="M132" i="14" a="1"/>
  <c r="M132" i="14" s="1"/>
  <c r="N132" i="14" a="1"/>
  <c r="N132" i="14" s="1"/>
  <c r="O132" i="14" a="1"/>
  <c r="O132" i="14" s="1"/>
  <c r="P132" i="14" a="1"/>
  <c r="P132" i="14" s="1"/>
  <c r="Q132" i="14" a="1"/>
  <c r="Q132" i="14" s="1"/>
  <c r="R132" i="14" a="1"/>
  <c r="R132" i="14" s="1"/>
  <c r="U132" i="14" a="1"/>
  <c r="U132" i="14" s="1"/>
  <c r="V132" i="14" a="1"/>
  <c r="V132" i="14" s="1"/>
  <c r="W132" i="14" a="1"/>
  <c r="W132" i="14" s="1"/>
  <c r="X132" i="14" a="1"/>
  <c r="X132" i="14" s="1"/>
  <c r="K133" i="14" a="1"/>
  <c r="K133" i="14" s="1"/>
  <c r="L133" i="14" a="1"/>
  <c r="L133" i="14" s="1"/>
  <c r="M133" i="14" a="1"/>
  <c r="M133" i="14" s="1"/>
  <c r="N133" i="14" a="1"/>
  <c r="N133" i="14" s="1"/>
  <c r="O133" i="14" a="1"/>
  <c r="O133" i="14" s="1"/>
  <c r="P133" i="14" a="1"/>
  <c r="P133" i="14" s="1"/>
  <c r="Q133" i="14" a="1"/>
  <c r="Q133" i="14" s="1"/>
  <c r="R133" i="14" a="1"/>
  <c r="R133" i="14" s="1"/>
  <c r="U133" i="14" a="1"/>
  <c r="U133" i="14" s="1"/>
  <c r="V133" i="14" a="1"/>
  <c r="V133" i="14" s="1"/>
  <c r="W133" i="14" a="1"/>
  <c r="W133" i="14" s="1"/>
  <c r="X133" i="14" a="1"/>
  <c r="X133" i="14" s="1"/>
  <c r="K134" i="14" a="1"/>
  <c r="K134" i="14" s="1"/>
  <c r="L134" i="14" a="1"/>
  <c r="L134" i="14" s="1"/>
  <c r="M134" i="14" a="1"/>
  <c r="M134" i="14" s="1"/>
  <c r="N134" i="14" a="1"/>
  <c r="N134" i="14" s="1"/>
  <c r="O134" i="14" a="1"/>
  <c r="O134" i="14" s="1"/>
  <c r="P134" i="14" a="1"/>
  <c r="P134" i="14" s="1"/>
  <c r="Q134" i="14" a="1"/>
  <c r="Q134" i="14" s="1"/>
  <c r="R134" i="14" a="1"/>
  <c r="R134" i="14" s="1"/>
  <c r="U134" i="14" a="1"/>
  <c r="U134" i="14" s="1"/>
  <c r="V134" i="14" a="1"/>
  <c r="V134" i="14" s="1"/>
  <c r="W134" i="14" a="1"/>
  <c r="W134" i="14" s="1"/>
  <c r="X134" i="14" a="1"/>
  <c r="X134" i="14" s="1"/>
  <c r="K135" i="14" a="1"/>
  <c r="K135" i="14" s="1"/>
  <c r="L135" i="14" a="1"/>
  <c r="L135" i="14" s="1"/>
  <c r="M135" i="14" a="1"/>
  <c r="M135" i="14" s="1"/>
  <c r="N135" i="14" a="1"/>
  <c r="N135" i="14" s="1"/>
  <c r="O135" i="14" a="1"/>
  <c r="O135" i="14" s="1"/>
  <c r="P135" i="14" a="1"/>
  <c r="P135" i="14" s="1"/>
  <c r="Q135" i="14" a="1"/>
  <c r="Q135" i="14" s="1"/>
  <c r="R135" i="14" a="1"/>
  <c r="R135" i="14" s="1"/>
  <c r="U135" i="14" a="1"/>
  <c r="U135" i="14" s="1"/>
  <c r="V135" i="14" a="1"/>
  <c r="V135" i="14" s="1"/>
  <c r="W135" i="14" a="1"/>
  <c r="W135" i="14" s="1"/>
  <c r="X135" i="14" a="1"/>
  <c r="X135" i="14" s="1"/>
  <c r="K136" i="14" a="1"/>
  <c r="K136" i="14" s="1"/>
  <c r="L136" i="14" a="1"/>
  <c r="L136" i="14" s="1"/>
  <c r="M136" i="14" a="1"/>
  <c r="M136" i="14" s="1"/>
  <c r="N136" i="14" a="1"/>
  <c r="N136" i="14" s="1"/>
  <c r="O136" i="14" a="1"/>
  <c r="O136" i="14" s="1"/>
  <c r="P136" i="14" a="1"/>
  <c r="P136" i="14" s="1"/>
  <c r="Q136" i="14" a="1"/>
  <c r="Q136" i="14" s="1"/>
  <c r="R136" i="14" a="1"/>
  <c r="R136" i="14" s="1"/>
  <c r="U136" i="14" a="1"/>
  <c r="U136" i="14" s="1"/>
  <c r="V136" i="14" a="1"/>
  <c r="V136" i="14" s="1"/>
  <c r="W136" i="14" a="1"/>
  <c r="W136" i="14" s="1"/>
  <c r="X136" i="14" a="1"/>
  <c r="X136" i="14" s="1"/>
  <c r="K137" i="14" a="1"/>
  <c r="K137" i="14" s="1"/>
  <c r="L137" i="14" a="1"/>
  <c r="L137" i="14" s="1"/>
  <c r="M137" i="14" a="1"/>
  <c r="M137" i="14" s="1"/>
  <c r="N137" i="14" a="1"/>
  <c r="N137" i="14" s="1"/>
  <c r="O137" i="14" a="1"/>
  <c r="O137" i="14" s="1"/>
  <c r="P137" i="14" a="1"/>
  <c r="P137" i="14" s="1"/>
  <c r="Q137" i="14" a="1"/>
  <c r="Q137" i="14" s="1"/>
  <c r="R137" i="14" a="1"/>
  <c r="R137" i="14" s="1"/>
  <c r="U137" i="14" a="1"/>
  <c r="U137" i="14" s="1"/>
  <c r="V137" i="14" a="1"/>
  <c r="V137" i="14" s="1"/>
  <c r="W137" i="14" a="1"/>
  <c r="W137" i="14" s="1"/>
  <c r="X137" i="14" a="1"/>
  <c r="X137" i="14" s="1"/>
  <c r="K138" i="14" a="1"/>
  <c r="K138" i="14" s="1"/>
  <c r="L138" i="14" a="1"/>
  <c r="L138" i="14" s="1"/>
  <c r="M138" i="14" a="1"/>
  <c r="M138" i="14" s="1"/>
  <c r="N138" i="14" a="1"/>
  <c r="N138" i="14" s="1"/>
  <c r="O138" i="14" a="1"/>
  <c r="O138" i="14" s="1"/>
  <c r="P138" i="14" a="1"/>
  <c r="P138" i="14" s="1"/>
  <c r="Q138" i="14" a="1"/>
  <c r="Q138" i="14" s="1"/>
  <c r="R138" i="14" a="1"/>
  <c r="R138" i="14" s="1"/>
  <c r="U138" i="14" a="1"/>
  <c r="U138" i="14" s="1"/>
  <c r="V138" i="14" a="1"/>
  <c r="V138" i="14" s="1"/>
  <c r="W138" i="14" a="1"/>
  <c r="W138" i="14" s="1"/>
  <c r="X138" i="14" a="1"/>
  <c r="X138" i="14" s="1"/>
  <c r="K139" i="14" a="1"/>
  <c r="K139" i="14" s="1"/>
  <c r="L139" i="14" a="1"/>
  <c r="L139" i="14" s="1"/>
  <c r="M139" i="14" a="1"/>
  <c r="M139" i="14" s="1"/>
  <c r="N139" i="14" a="1"/>
  <c r="N139" i="14" s="1"/>
  <c r="O139" i="14" a="1"/>
  <c r="O139" i="14" s="1"/>
  <c r="P139" i="14" a="1"/>
  <c r="P139" i="14" s="1"/>
  <c r="Q139" i="14" a="1"/>
  <c r="Q139" i="14" s="1"/>
  <c r="R139" i="14" a="1"/>
  <c r="R139" i="14" s="1"/>
  <c r="U139" i="14" a="1"/>
  <c r="U139" i="14" s="1"/>
  <c r="V139" i="14" a="1"/>
  <c r="V139" i="14" s="1"/>
  <c r="W139" i="14" a="1"/>
  <c r="W139" i="14" s="1"/>
  <c r="X139" i="14" a="1"/>
  <c r="X139" i="14" s="1"/>
  <c r="K140" i="14" a="1"/>
  <c r="K140" i="14" s="1"/>
  <c r="L140" i="14" a="1"/>
  <c r="L140" i="14" s="1"/>
  <c r="M140" i="14" a="1"/>
  <c r="M140" i="14" s="1"/>
  <c r="N140" i="14" a="1"/>
  <c r="N140" i="14" s="1"/>
  <c r="O140" i="14" a="1"/>
  <c r="O140" i="14" s="1"/>
  <c r="P140" i="14" a="1"/>
  <c r="P140" i="14" s="1"/>
  <c r="Q140" i="14" a="1"/>
  <c r="Q140" i="14" s="1"/>
  <c r="R140" i="14" a="1"/>
  <c r="R140" i="14" s="1"/>
  <c r="U140" i="14" a="1"/>
  <c r="U140" i="14" s="1"/>
  <c r="V140" i="14" a="1"/>
  <c r="V140" i="14" s="1"/>
  <c r="W140" i="14" a="1"/>
  <c r="W140" i="14" s="1"/>
  <c r="X140" i="14" a="1"/>
  <c r="X140" i="14" s="1"/>
  <c r="K141" i="14" a="1"/>
  <c r="K141" i="14" s="1"/>
  <c r="L141" i="14" a="1"/>
  <c r="L141" i="14" s="1"/>
  <c r="M141" i="14" a="1"/>
  <c r="M141" i="14" s="1"/>
  <c r="N141" i="14" a="1"/>
  <c r="N141" i="14" s="1"/>
  <c r="O141" i="14" a="1"/>
  <c r="O141" i="14" s="1"/>
  <c r="P141" i="14" a="1"/>
  <c r="P141" i="14" s="1"/>
  <c r="Q141" i="14" a="1"/>
  <c r="Q141" i="14" s="1"/>
  <c r="R141" i="14" a="1"/>
  <c r="R141" i="14" s="1"/>
  <c r="U141" i="14" a="1"/>
  <c r="U141" i="14" s="1"/>
  <c r="V141" i="14" a="1"/>
  <c r="V141" i="14" s="1"/>
  <c r="W141" i="14" a="1"/>
  <c r="W141" i="14" s="1"/>
  <c r="X141" i="14" a="1"/>
  <c r="X141" i="14" s="1"/>
  <c r="K142" i="14" a="1"/>
  <c r="K142" i="14" s="1"/>
  <c r="L142" i="14" a="1"/>
  <c r="L142" i="14" s="1"/>
  <c r="M142" i="14" a="1"/>
  <c r="M142" i="14" s="1"/>
  <c r="N142" i="14" a="1"/>
  <c r="N142" i="14" s="1"/>
  <c r="O142" i="14" a="1"/>
  <c r="O142" i="14" s="1"/>
  <c r="P142" i="14" a="1"/>
  <c r="P142" i="14" s="1"/>
  <c r="Q142" i="14" a="1"/>
  <c r="Q142" i="14" s="1"/>
  <c r="R142" i="14" a="1"/>
  <c r="R142" i="14" s="1"/>
  <c r="U142" i="14" a="1"/>
  <c r="U142" i="14" s="1"/>
  <c r="V142" i="14" a="1"/>
  <c r="V142" i="14" s="1"/>
  <c r="W142" i="14" a="1"/>
  <c r="W142" i="14" s="1"/>
  <c r="X142" i="14" a="1"/>
  <c r="X142" i="14" s="1"/>
  <c r="K143" i="14" a="1"/>
  <c r="K143" i="14" s="1"/>
  <c r="L143" i="14" a="1"/>
  <c r="L143" i="14" s="1"/>
  <c r="M143" i="14" a="1"/>
  <c r="M143" i="14" s="1"/>
  <c r="N143" i="14" a="1"/>
  <c r="N143" i="14" s="1"/>
  <c r="O143" i="14" a="1"/>
  <c r="O143" i="14" s="1"/>
  <c r="P143" i="14" a="1"/>
  <c r="P143" i="14" s="1"/>
  <c r="Q143" i="14" a="1"/>
  <c r="Q143" i="14" s="1"/>
  <c r="R143" i="14" a="1"/>
  <c r="R143" i="14" s="1"/>
  <c r="U143" i="14" a="1"/>
  <c r="U143" i="14" s="1"/>
  <c r="V143" i="14" a="1"/>
  <c r="V143" i="14" s="1"/>
  <c r="W143" i="14" a="1"/>
  <c r="W143" i="14" s="1"/>
  <c r="X143" i="14" a="1"/>
  <c r="X143" i="14" s="1"/>
  <c r="K144" i="14" a="1"/>
  <c r="K144" i="14" s="1"/>
  <c r="L144" i="14" a="1"/>
  <c r="L144" i="14" s="1"/>
  <c r="M144" i="14" a="1"/>
  <c r="M144" i="14" s="1"/>
  <c r="N144" i="14" a="1"/>
  <c r="N144" i="14" s="1"/>
  <c r="O144" i="14" a="1"/>
  <c r="O144" i="14" s="1"/>
  <c r="P144" i="14" a="1"/>
  <c r="P144" i="14" s="1"/>
  <c r="Q144" i="14" a="1"/>
  <c r="Q144" i="14" s="1"/>
  <c r="R144" i="14" a="1"/>
  <c r="R144" i="14" s="1"/>
  <c r="U144" i="14" a="1"/>
  <c r="U144" i="14" s="1"/>
  <c r="V144" i="14" a="1"/>
  <c r="V144" i="14" s="1"/>
  <c r="W144" i="14" a="1"/>
  <c r="W144" i="14" s="1"/>
  <c r="X144" i="14" a="1"/>
  <c r="X144" i="14" s="1"/>
  <c r="K145" i="14" a="1"/>
  <c r="K145" i="14" s="1"/>
  <c r="L145" i="14" a="1"/>
  <c r="L145" i="14" s="1"/>
  <c r="M145" i="14" a="1"/>
  <c r="M145" i="14" s="1"/>
  <c r="N145" i="14" a="1"/>
  <c r="N145" i="14" s="1"/>
  <c r="O145" i="14" a="1"/>
  <c r="O145" i="14" s="1"/>
  <c r="P145" i="14" a="1"/>
  <c r="P145" i="14" s="1"/>
  <c r="Q145" i="14" a="1"/>
  <c r="Q145" i="14" s="1"/>
  <c r="R145" i="14" a="1"/>
  <c r="R145" i="14" s="1"/>
  <c r="U145" i="14" a="1"/>
  <c r="U145" i="14" s="1"/>
  <c r="V145" i="14" a="1"/>
  <c r="V145" i="14" s="1"/>
  <c r="W145" i="14" a="1"/>
  <c r="W145" i="14" s="1"/>
  <c r="X145" i="14" a="1"/>
  <c r="X145" i="14" s="1"/>
  <c r="K146" i="14" a="1"/>
  <c r="K146" i="14" s="1"/>
  <c r="L146" i="14" a="1"/>
  <c r="L146" i="14" s="1"/>
  <c r="M146" i="14" a="1"/>
  <c r="M146" i="14" s="1"/>
  <c r="N146" i="14" a="1"/>
  <c r="N146" i="14" s="1"/>
  <c r="O146" i="14" a="1"/>
  <c r="O146" i="14" s="1"/>
  <c r="P146" i="14" a="1"/>
  <c r="P146" i="14" s="1"/>
  <c r="Q146" i="14" a="1"/>
  <c r="Q146" i="14" s="1"/>
  <c r="R146" i="14" a="1"/>
  <c r="R146" i="14" s="1"/>
  <c r="U146" i="14" a="1"/>
  <c r="U146" i="14" s="1"/>
  <c r="V146" i="14" a="1"/>
  <c r="V146" i="14" s="1"/>
  <c r="W146" i="14" a="1"/>
  <c r="W146" i="14" s="1"/>
  <c r="X146" i="14" a="1"/>
  <c r="X146" i="14" s="1"/>
  <c r="K147" i="14" a="1"/>
  <c r="K147" i="14" s="1"/>
  <c r="L147" i="14" a="1"/>
  <c r="L147" i="14" s="1"/>
  <c r="M147" i="14" a="1"/>
  <c r="M147" i="14" s="1"/>
  <c r="N147" i="14" a="1"/>
  <c r="N147" i="14" s="1"/>
  <c r="O147" i="14" a="1"/>
  <c r="O147" i="14" s="1"/>
  <c r="P147" i="14" a="1"/>
  <c r="P147" i="14" s="1"/>
  <c r="Q147" i="14" a="1"/>
  <c r="Q147" i="14" s="1"/>
  <c r="R147" i="14" a="1"/>
  <c r="R147" i="14" s="1"/>
  <c r="U147" i="14" a="1"/>
  <c r="U147" i="14" s="1"/>
  <c r="V147" i="14" a="1"/>
  <c r="V147" i="14" s="1"/>
  <c r="W147" i="14" a="1"/>
  <c r="W147" i="14" s="1"/>
  <c r="X147" i="14" a="1"/>
  <c r="X147" i="14" s="1"/>
  <c r="K148" i="14" a="1"/>
  <c r="K148" i="14" s="1"/>
  <c r="L148" i="14" a="1"/>
  <c r="L148" i="14" s="1"/>
  <c r="M148" i="14" a="1"/>
  <c r="M148" i="14" s="1"/>
  <c r="N148" i="14" a="1"/>
  <c r="N148" i="14" s="1"/>
  <c r="O148" i="14" a="1"/>
  <c r="O148" i="14" s="1"/>
  <c r="P148" i="14" a="1"/>
  <c r="P148" i="14" s="1"/>
  <c r="Q148" i="14" a="1"/>
  <c r="Q148" i="14" s="1"/>
  <c r="R148" i="14" a="1"/>
  <c r="R148" i="14" s="1"/>
  <c r="U148" i="14" a="1"/>
  <c r="U148" i="14" s="1"/>
  <c r="V148" i="14" a="1"/>
  <c r="V148" i="14" s="1"/>
  <c r="W148" i="14" a="1"/>
  <c r="W148" i="14" s="1"/>
  <c r="X148" i="14" a="1"/>
  <c r="X148" i="14" s="1"/>
  <c r="K149" i="14" a="1"/>
  <c r="K149" i="14" s="1"/>
  <c r="L149" i="14" a="1"/>
  <c r="L149" i="14" s="1"/>
  <c r="M149" i="14" a="1"/>
  <c r="M149" i="14" s="1"/>
  <c r="N149" i="14" a="1"/>
  <c r="N149" i="14" s="1"/>
  <c r="O149" i="14" a="1"/>
  <c r="O149" i="14" s="1"/>
  <c r="P149" i="14" a="1"/>
  <c r="P149" i="14" s="1"/>
  <c r="Q149" i="14" a="1"/>
  <c r="Q149" i="14" s="1"/>
  <c r="R149" i="14" a="1"/>
  <c r="R149" i="14" s="1"/>
  <c r="U149" i="14" a="1"/>
  <c r="U149" i="14" s="1"/>
  <c r="V149" i="14" a="1"/>
  <c r="V149" i="14" s="1"/>
  <c r="W149" i="14" a="1"/>
  <c r="W149" i="14" s="1"/>
  <c r="X149" i="14" a="1"/>
  <c r="X149" i="14" s="1"/>
  <c r="K150" i="14" a="1"/>
  <c r="K150" i="14" s="1"/>
  <c r="L150" i="14" a="1"/>
  <c r="L150" i="14" s="1"/>
  <c r="M150" i="14" a="1"/>
  <c r="M150" i="14" s="1"/>
  <c r="N150" i="14" a="1"/>
  <c r="N150" i="14" s="1"/>
  <c r="O150" i="14" a="1"/>
  <c r="O150" i="14" s="1"/>
  <c r="P150" i="14" a="1"/>
  <c r="P150" i="14" s="1"/>
  <c r="Q150" i="14" a="1"/>
  <c r="Q150" i="14" s="1"/>
  <c r="R150" i="14" a="1"/>
  <c r="R150" i="14" s="1"/>
  <c r="U150" i="14" a="1"/>
  <c r="U150" i="14" s="1"/>
  <c r="V150" i="14" a="1"/>
  <c r="V150" i="14" s="1"/>
  <c r="W150" i="14" a="1"/>
  <c r="W150" i="14" s="1"/>
  <c r="X150" i="14" a="1"/>
  <c r="X150" i="14" s="1"/>
  <c r="K151" i="14" a="1"/>
  <c r="K151" i="14" s="1"/>
  <c r="L151" i="14" a="1"/>
  <c r="L151" i="14" s="1"/>
  <c r="M151" i="14" a="1"/>
  <c r="M151" i="14" s="1"/>
  <c r="N151" i="14" a="1"/>
  <c r="N151" i="14" s="1"/>
  <c r="O151" i="14" a="1"/>
  <c r="O151" i="14" s="1"/>
  <c r="P151" i="14" a="1"/>
  <c r="P151" i="14" s="1"/>
  <c r="Q151" i="14" a="1"/>
  <c r="Q151" i="14" s="1"/>
  <c r="R151" i="14" a="1"/>
  <c r="R151" i="14" s="1"/>
  <c r="U151" i="14" a="1"/>
  <c r="U151" i="14" s="1"/>
  <c r="V151" i="14" a="1"/>
  <c r="V151" i="14" s="1"/>
  <c r="W151" i="14" a="1"/>
  <c r="W151" i="14" s="1"/>
  <c r="X151" i="14" a="1"/>
  <c r="X151" i="14" s="1"/>
  <c r="K152" i="14" a="1"/>
  <c r="K152" i="14" s="1"/>
  <c r="L152" i="14" a="1"/>
  <c r="L152" i="14" s="1"/>
  <c r="M152" i="14" a="1"/>
  <c r="M152" i="14" s="1"/>
  <c r="N152" i="14" a="1"/>
  <c r="N152" i="14" s="1"/>
  <c r="O152" i="14" a="1"/>
  <c r="O152" i="14" s="1"/>
  <c r="P152" i="14" a="1"/>
  <c r="P152" i="14" s="1"/>
  <c r="Q152" i="14" a="1"/>
  <c r="Q152" i="14" s="1"/>
  <c r="R152" i="14" a="1"/>
  <c r="R152" i="14" s="1"/>
  <c r="U152" i="14" a="1"/>
  <c r="U152" i="14" s="1"/>
  <c r="V152" i="14" a="1"/>
  <c r="V152" i="14" s="1"/>
  <c r="W152" i="14" a="1"/>
  <c r="W152" i="14" s="1"/>
  <c r="X152" i="14" a="1"/>
  <c r="X152" i="14" s="1"/>
  <c r="K153" i="14" a="1"/>
  <c r="K153" i="14" s="1"/>
  <c r="L153" i="14" a="1"/>
  <c r="L153" i="14" s="1"/>
  <c r="M153" i="14" a="1"/>
  <c r="M153" i="14" s="1"/>
  <c r="N153" i="14" a="1"/>
  <c r="N153" i="14" s="1"/>
  <c r="O153" i="14" a="1"/>
  <c r="O153" i="14" s="1"/>
  <c r="P153" i="14" a="1"/>
  <c r="P153" i="14" s="1"/>
  <c r="Q153" i="14" a="1"/>
  <c r="Q153" i="14" s="1"/>
  <c r="R153" i="14" a="1"/>
  <c r="R153" i="14" s="1"/>
  <c r="U153" i="14" a="1"/>
  <c r="U153" i="14" s="1"/>
  <c r="V153" i="14" a="1"/>
  <c r="V153" i="14" s="1"/>
  <c r="W153" i="14" a="1"/>
  <c r="W153" i="14" s="1"/>
  <c r="X153" i="14" a="1"/>
  <c r="X153" i="14" s="1"/>
  <c r="K154" i="14" a="1"/>
  <c r="K154" i="14" s="1"/>
  <c r="L154" i="14" a="1"/>
  <c r="L154" i="14" s="1"/>
  <c r="M154" i="14" a="1"/>
  <c r="M154" i="14" s="1"/>
  <c r="N154" i="14" a="1"/>
  <c r="N154" i="14" s="1"/>
  <c r="O154" i="14" a="1"/>
  <c r="O154" i="14" s="1"/>
  <c r="P154" i="14" a="1"/>
  <c r="P154" i="14" s="1"/>
  <c r="Q154" i="14" a="1"/>
  <c r="Q154" i="14" s="1"/>
  <c r="R154" i="14" a="1"/>
  <c r="R154" i="14" s="1"/>
  <c r="U154" i="14" a="1"/>
  <c r="U154" i="14" s="1"/>
  <c r="V154" i="14" a="1"/>
  <c r="V154" i="14" s="1"/>
  <c r="W154" i="14" a="1"/>
  <c r="W154" i="14" s="1"/>
  <c r="X154" i="14" a="1"/>
  <c r="X154" i="14" s="1"/>
  <c r="K155" i="14" a="1"/>
  <c r="K155" i="14" s="1"/>
  <c r="L155" i="14" a="1"/>
  <c r="L155" i="14" s="1"/>
  <c r="M155" i="14" a="1"/>
  <c r="M155" i="14" s="1"/>
  <c r="N155" i="14" a="1"/>
  <c r="N155" i="14" s="1"/>
  <c r="O155" i="14" a="1"/>
  <c r="O155" i="14" s="1"/>
  <c r="P155" i="14" a="1"/>
  <c r="P155" i="14" s="1"/>
  <c r="Q155" i="14" a="1"/>
  <c r="Q155" i="14" s="1"/>
  <c r="R155" i="14" a="1"/>
  <c r="R155" i="14" s="1"/>
  <c r="U155" i="14" a="1"/>
  <c r="U155" i="14" s="1"/>
  <c r="V155" i="14" a="1"/>
  <c r="V155" i="14" s="1"/>
  <c r="W155" i="14" a="1"/>
  <c r="W155" i="14" s="1"/>
  <c r="X155" i="14" a="1"/>
  <c r="X155" i="14" s="1"/>
  <c r="K156" i="14" a="1"/>
  <c r="K156" i="14" s="1"/>
  <c r="L156" i="14" a="1"/>
  <c r="L156" i="14" s="1"/>
  <c r="M156" i="14" a="1"/>
  <c r="M156" i="14" s="1"/>
  <c r="N156" i="14" a="1"/>
  <c r="N156" i="14" s="1"/>
  <c r="O156" i="14" a="1"/>
  <c r="O156" i="14" s="1"/>
  <c r="P156" i="14" a="1"/>
  <c r="P156" i="14" s="1"/>
  <c r="Q156" i="14" a="1"/>
  <c r="Q156" i="14" s="1"/>
  <c r="R156" i="14" a="1"/>
  <c r="R156" i="14" s="1"/>
  <c r="U156" i="14" a="1"/>
  <c r="U156" i="14" s="1"/>
  <c r="V156" i="14" a="1"/>
  <c r="V156" i="14" s="1"/>
  <c r="W156" i="14" a="1"/>
  <c r="W156" i="14" s="1"/>
  <c r="X156" i="14" a="1"/>
  <c r="X156" i="14" s="1"/>
  <c r="K157" i="14" a="1"/>
  <c r="K157" i="14" s="1"/>
  <c r="L157" i="14" a="1"/>
  <c r="L157" i="14" s="1"/>
  <c r="M157" i="14" a="1"/>
  <c r="M157" i="14" s="1"/>
  <c r="N157" i="14" a="1"/>
  <c r="N157" i="14" s="1"/>
  <c r="O157" i="14" a="1"/>
  <c r="O157" i="14" s="1"/>
  <c r="P157" i="14" a="1"/>
  <c r="P157" i="14" s="1"/>
  <c r="Q157" i="14" a="1"/>
  <c r="Q157" i="14" s="1"/>
  <c r="R157" i="14" a="1"/>
  <c r="R157" i="14" s="1"/>
  <c r="U157" i="14" a="1"/>
  <c r="U157" i="14" s="1"/>
  <c r="V157" i="14" a="1"/>
  <c r="V157" i="14" s="1"/>
  <c r="W157" i="14" a="1"/>
  <c r="W157" i="14" s="1"/>
  <c r="X157" i="14" a="1"/>
  <c r="X157" i="14" s="1"/>
  <c r="K158" i="14" a="1"/>
  <c r="K158" i="14" s="1"/>
  <c r="L158" i="14" a="1"/>
  <c r="L158" i="14" s="1"/>
  <c r="M158" i="14" a="1"/>
  <c r="M158" i="14" s="1"/>
  <c r="N158" i="14" a="1"/>
  <c r="N158" i="14" s="1"/>
  <c r="O158" i="14" a="1"/>
  <c r="O158" i="14" s="1"/>
  <c r="P158" i="14" a="1"/>
  <c r="P158" i="14" s="1"/>
  <c r="Q158" i="14" a="1"/>
  <c r="Q158" i="14" s="1"/>
  <c r="R158" i="14" a="1"/>
  <c r="R158" i="14" s="1"/>
  <c r="U158" i="14" a="1"/>
  <c r="U158" i="14" s="1"/>
  <c r="V158" i="14" a="1"/>
  <c r="V158" i="14" s="1"/>
  <c r="W158" i="14" a="1"/>
  <c r="W158" i="14" s="1"/>
  <c r="X158" i="14" a="1"/>
  <c r="X158" i="14" s="1"/>
  <c r="K159" i="14" a="1"/>
  <c r="K159" i="14" s="1"/>
  <c r="L159" i="14" a="1"/>
  <c r="L159" i="14" s="1"/>
  <c r="M159" i="14" a="1"/>
  <c r="M159" i="14" s="1"/>
  <c r="N159" i="14" a="1"/>
  <c r="N159" i="14" s="1"/>
  <c r="O159" i="14" a="1"/>
  <c r="O159" i="14" s="1"/>
  <c r="P159" i="14" a="1"/>
  <c r="P159" i="14" s="1"/>
  <c r="Q159" i="14" a="1"/>
  <c r="Q159" i="14" s="1"/>
  <c r="R159" i="14" a="1"/>
  <c r="R159" i="14" s="1"/>
  <c r="U159" i="14" a="1"/>
  <c r="U159" i="14" s="1"/>
  <c r="V159" i="14" a="1"/>
  <c r="V159" i="14" s="1"/>
  <c r="W159" i="14" a="1"/>
  <c r="W159" i="14" s="1"/>
  <c r="X159" i="14" a="1"/>
  <c r="X159" i="14" s="1"/>
  <c r="K160" i="14" a="1"/>
  <c r="K160" i="14" s="1"/>
  <c r="L160" i="14" a="1"/>
  <c r="L160" i="14" s="1"/>
  <c r="M160" i="14" a="1"/>
  <c r="M160" i="14" s="1"/>
  <c r="N160" i="14" a="1"/>
  <c r="N160" i="14" s="1"/>
  <c r="O160" i="14" a="1"/>
  <c r="O160" i="14" s="1"/>
  <c r="P160" i="14" a="1"/>
  <c r="P160" i="14" s="1"/>
  <c r="Q160" i="14" a="1"/>
  <c r="Q160" i="14" s="1"/>
  <c r="R160" i="14" a="1"/>
  <c r="R160" i="14" s="1"/>
  <c r="U160" i="14" a="1"/>
  <c r="U160" i="14" s="1"/>
  <c r="V160" i="14" a="1"/>
  <c r="V160" i="14" s="1"/>
  <c r="W160" i="14" a="1"/>
  <c r="W160" i="14" s="1"/>
  <c r="X160" i="14" a="1"/>
  <c r="X160" i="14" s="1"/>
  <c r="K161" i="14" a="1"/>
  <c r="K161" i="14" s="1"/>
  <c r="L161" i="14" a="1"/>
  <c r="L161" i="14" s="1"/>
  <c r="M161" i="14" a="1"/>
  <c r="M161" i="14" s="1"/>
  <c r="N161" i="14" a="1"/>
  <c r="N161" i="14" s="1"/>
  <c r="O161" i="14" a="1"/>
  <c r="O161" i="14" s="1"/>
  <c r="P161" i="14" a="1"/>
  <c r="P161" i="14" s="1"/>
  <c r="Q161" i="14" a="1"/>
  <c r="Q161" i="14" s="1"/>
  <c r="R161" i="14" a="1"/>
  <c r="R161" i="14" s="1"/>
  <c r="U161" i="14" a="1"/>
  <c r="U161" i="14" s="1"/>
  <c r="V161" i="14" a="1"/>
  <c r="V161" i="14" s="1"/>
  <c r="W161" i="14" a="1"/>
  <c r="W161" i="14" s="1"/>
  <c r="X161" i="14" a="1"/>
  <c r="X161" i="14" s="1"/>
  <c r="K162" i="14" a="1"/>
  <c r="K162" i="14" s="1"/>
  <c r="L162" i="14" a="1"/>
  <c r="L162" i="14" s="1"/>
  <c r="M162" i="14" a="1"/>
  <c r="M162" i="14" s="1"/>
  <c r="N162" i="14" a="1"/>
  <c r="N162" i="14" s="1"/>
  <c r="O162" i="14" a="1"/>
  <c r="O162" i="14" s="1"/>
  <c r="P162" i="14" a="1"/>
  <c r="P162" i="14" s="1"/>
  <c r="Q162" i="14" a="1"/>
  <c r="Q162" i="14" s="1"/>
  <c r="R162" i="14" a="1"/>
  <c r="R162" i="14" s="1"/>
  <c r="U162" i="14" a="1"/>
  <c r="U162" i="14" s="1"/>
  <c r="V162" i="14" a="1"/>
  <c r="V162" i="14" s="1"/>
  <c r="W162" i="14" a="1"/>
  <c r="W162" i="14" s="1"/>
  <c r="X162" i="14" a="1"/>
  <c r="X162" i="14" s="1"/>
  <c r="K163" i="14" a="1"/>
  <c r="K163" i="14" s="1"/>
  <c r="L163" i="14" a="1"/>
  <c r="L163" i="14" s="1"/>
  <c r="M163" i="14" a="1"/>
  <c r="M163" i="14" s="1"/>
  <c r="N163" i="14" a="1"/>
  <c r="N163" i="14" s="1"/>
  <c r="O163" i="14" a="1"/>
  <c r="O163" i="14" s="1"/>
  <c r="P163" i="14" a="1"/>
  <c r="P163" i="14" s="1"/>
  <c r="Q163" i="14" a="1"/>
  <c r="Q163" i="14" s="1"/>
  <c r="R163" i="14" a="1"/>
  <c r="R163" i="14" s="1"/>
  <c r="U163" i="14" a="1"/>
  <c r="U163" i="14" s="1"/>
  <c r="V163" i="14" a="1"/>
  <c r="V163" i="14" s="1"/>
  <c r="W163" i="14" a="1"/>
  <c r="W163" i="14" s="1"/>
  <c r="X163" i="14" a="1"/>
  <c r="X163" i="14" s="1"/>
  <c r="K164" i="14" a="1"/>
  <c r="K164" i="14" s="1"/>
  <c r="L164" i="14" a="1"/>
  <c r="L164" i="14" s="1"/>
  <c r="M164" i="14" a="1"/>
  <c r="M164" i="14" s="1"/>
  <c r="N164" i="14" a="1"/>
  <c r="N164" i="14" s="1"/>
  <c r="O164" i="14" a="1"/>
  <c r="O164" i="14" s="1"/>
  <c r="P164" i="14" a="1"/>
  <c r="P164" i="14" s="1"/>
  <c r="Q164" i="14" a="1"/>
  <c r="Q164" i="14" s="1"/>
  <c r="R164" i="14" a="1"/>
  <c r="R164" i="14" s="1"/>
  <c r="U164" i="14" a="1"/>
  <c r="U164" i="14" s="1"/>
  <c r="V164" i="14" a="1"/>
  <c r="V164" i="14" s="1"/>
  <c r="W164" i="14" a="1"/>
  <c r="W164" i="14" s="1"/>
  <c r="X164" i="14" a="1"/>
  <c r="X164" i="14" s="1"/>
  <c r="K165" i="14" a="1"/>
  <c r="K165" i="14" s="1"/>
  <c r="L165" i="14" a="1"/>
  <c r="L165" i="14" s="1"/>
  <c r="M165" i="14" a="1"/>
  <c r="M165" i="14" s="1"/>
  <c r="N165" i="14" a="1"/>
  <c r="N165" i="14" s="1"/>
  <c r="O165" i="14" a="1"/>
  <c r="O165" i="14" s="1"/>
  <c r="P165" i="14" a="1"/>
  <c r="P165" i="14" s="1"/>
  <c r="Q165" i="14" a="1"/>
  <c r="Q165" i="14" s="1"/>
  <c r="R165" i="14" a="1"/>
  <c r="R165" i="14" s="1"/>
  <c r="U165" i="14" a="1"/>
  <c r="U165" i="14" s="1"/>
  <c r="V165" i="14" a="1"/>
  <c r="V165" i="14" s="1"/>
  <c r="W165" i="14" a="1"/>
  <c r="W165" i="14" s="1"/>
  <c r="X165" i="14" a="1"/>
  <c r="X165" i="14" s="1"/>
  <c r="K166" i="14" a="1"/>
  <c r="K166" i="14" s="1"/>
  <c r="L166" i="14" a="1"/>
  <c r="L166" i="14" s="1"/>
  <c r="M166" i="14" a="1"/>
  <c r="M166" i="14" s="1"/>
  <c r="N166" i="14" a="1"/>
  <c r="N166" i="14" s="1"/>
  <c r="O166" i="14" a="1"/>
  <c r="O166" i="14" s="1"/>
  <c r="P166" i="14" a="1"/>
  <c r="P166" i="14" s="1"/>
  <c r="Q166" i="14" a="1"/>
  <c r="Q166" i="14" s="1"/>
  <c r="R166" i="14" a="1"/>
  <c r="R166" i="14" s="1"/>
  <c r="U166" i="14" a="1"/>
  <c r="U166" i="14" s="1"/>
  <c r="V166" i="14" a="1"/>
  <c r="V166" i="14" s="1"/>
  <c r="W166" i="14" a="1"/>
  <c r="W166" i="14" s="1"/>
  <c r="X166" i="14" a="1"/>
  <c r="X166" i="14" s="1"/>
  <c r="K167" i="14" a="1"/>
  <c r="K167" i="14" s="1"/>
  <c r="L167" i="14" a="1"/>
  <c r="L167" i="14" s="1"/>
  <c r="M167" i="14" a="1"/>
  <c r="M167" i="14" s="1"/>
  <c r="N167" i="14" a="1"/>
  <c r="N167" i="14" s="1"/>
  <c r="O167" i="14" a="1"/>
  <c r="O167" i="14" s="1"/>
  <c r="P167" i="14" a="1"/>
  <c r="P167" i="14" s="1"/>
  <c r="Q167" i="14" a="1"/>
  <c r="Q167" i="14" s="1"/>
  <c r="R167" i="14" a="1"/>
  <c r="R167" i="14" s="1"/>
  <c r="U167" i="14" a="1"/>
  <c r="U167" i="14" s="1"/>
  <c r="V167" i="14" a="1"/>
  <c r="V167" i="14" s="1"/>
  <c r="W167" i="14" a="1"/>
  <c r="W167" i="14" s="1"/>
  <c r="X167" i="14" a="1"/>
  <c r="X167" i="14" s="1"/>
  <c r="K168" i="14" a="1"/>
  <c r="K168" i="14" s="1"/>
  <c r="L168" i="14" a="1"/>
  <c r="L168" i="14" s="1"/>
  <c r="M168" i="14" a="1"/>
  <c r="M168" i="14" s="1"/>
  <c r="N168" i="14" a="1"/>
  <c r="N168" i="14" s="1"/>
  <c r="O168" i="14" a="1"/>
  <c r="O168" i="14" s="1"/>
  <c r="P168" i="14" a="1"/>
  <c r="P168" i="14" s="1"/>
  <c r="Q168" i="14" a="1"/>
  <c r="Q168" i="14" s="1"/>
  <c r="R168" i="14" a="1"/>
  <c r="R168" i="14" s="1"/>
  <c r="U168" i="14" a="1"/>
  <c r="U168" i="14" s="1"/>
  <c r="V168" i="14" a="1"/>
  <c r="V168" i="14" s="1"/>
  <c r="W168" i="14" a="1"/>
  <c r="W168" i="14" s="1"/>
  <c r="X168" i="14" a="1"/>
  <c r="X168" i="14" s="1"/>
  <c r="K169" i="14" a="1"/>
  <c r="K169" i="14" s="1"/>
  <c r="L169" i="14" a="1"/>
  <c r="L169" i="14" s="1"/>
  <c r="M169" i="14" a="1"/>
  <c r="M169" i="14" s="1"/>
  <c r="N169" i="14" a="1"/>
  <c r="N169" i="14" s="1"/>
  <c r="O169" i="14" a="1"/>
  <c r="O169" i="14" s="1"/>
  <c r="P169" i="14" a="1"/>
  <c r="P169" i="14" s="1"/>
  <c r="Q169" i="14" a="1"/>
  <c r="Q169" i="14" s="1"/>
  <c r="R169" i="14" a="1"/>
  <c r="R169" i="14" s="1"/>
  <c r="U169" i="14" a="1"/>
  <c r="U169" i="14" s="1"/>
  <c r="V169" i="14" a="1"/>
  <c r="V169" i="14" s="1"/>
  <c r="W169" i="14" a="1"/>
  <c r="W169" i="14" s="1"/>
  <c r="X169" i="14" a="1"/>
  <c r="X169" i="14" s="1"/>
  <c r="K170" i="14" a="1"/>
  <c r="K170" i="14" s="1"/>
  <c r="L170" i="14" a="1"/>
  <c r="L170" i="14" s="1"/>
  <c r="M170" i="14" a="1"/>
  <c r="M170" i="14" s="1"/>
  <c r="N170" i="14" a="1"/>
  <c r="N170" i="14" s="1"/>
  <c r="O170" i="14" a="1"/>
  <c r="O170" i="14" s="1"/>
  <c r="P170" i="14" a="1"/>
  <c r="P170" i="14" s="1"/>
  <c r="Q170" i="14" a="1"/>
  <c r="Q170" i="14" s="1"/>
  <c r="R170" i="14" a="1"/>
  <c r="R170" i="14" s="1"/>
  <c r="U170" i="14" a="1"/>
  <c r="U170" i="14" s="1"/>
  <c r="V170" i="14" a="1"/>
  <c r="V170" i="14" s="1"/>
  <c r="W170" i="14" a="1"/>
  <c r="W170" i="14" s="1"/>
  <c r="X170" i="14" a="1"/>
  <c r="X170" i="14" s="1"/>
  <c r="K171" i="14" a="1"/>
  <c r="K171" i="14" s="1"/>
  <c r="L171" i="14" a="1"/>
  <c r="L171" i="14" s="1"/>
  <c r="M171" i="14" a="1"/>
  <c r="M171" i="14" s="1"/>
  <c r="N171" i="14" a="1"/>
  <c r="N171" i="14" s="1"/>
  <c r="O171" i="14" a="1"/>
  <c r="O171" i="14" s="1"/>
  <c r="P171" i="14" a="1"/>
  <c r="P171" i="14" s="1"/>
  <c r="Q171" i="14" a="1"/>
  <c r="Q171" i="14" s="1"/>
  <c r="R171" i="14" a="1"/>
  <c r="R171" i="14" s="1"/>
  <c r="U171" i="14" a="1"/>
  <c r="U171" i="14" s="1"/>
  <c r="V171" i="14" a="1"/>
  <c r="V171" i="14" s="1"/>
  <c r="W171" i="14" a="1"/>
  <c r="W171" i="14" s="1"/>
  <c r="X171" i="14" a="1"/>
  <c r="X171" i="14" s="1"/>
  <c r="K172" i="14" a="1"/>
  <c r="K172" i="14" s="1"/>
  <c r="L172" i="14" a="1"/>
  <c r="L172" i="14" s="1"/>
  <c r="M172" i="14" a="1"/>
  <c r="M172" i="14" s="1"/>
  <c r="N172" i="14" a="1"/>
  <c r="N172" i="14" s="1"/>
  <c r="O172" i="14" a="1"/>
  <c r="O172" i="14" s="1"/>
  <c r="P172" i="14" a="1"/>
  <c r="P172" i="14" s="1"/>
  <c r="Q172" i="14" a="1"/>
  <c r="Q172" i="14" s="1"/>
  <c r="R172" i="14" a="1"/>
  <c r="R172" i="14" s="1"/>
  <c r="U172" i="14" a="1"/>
  <c r="U172" i="14" s="1"/>
  <c r="V172" i="14" a="1"/>
  <c r="V172" i="14" s="1"/>
  <c r="W172" i="14" a="1"/>
  <c r="W172" i="14" s="1"/>
  <c r="X172" i="14" a="1"/>
  <c r="X172" i="14" s="1"/>
  <c r="K173" i="14" a="1"/>
  <c r="K173" i="14" s="1"/>
  <c r="L173" i="14" a="1"/>
  <c r="L173" i="14" s="1"/>
  <c r="M173" i="14" a="1"/>
  <c r="M173" i="14" s="1"/>
  <c r="N173" i="14" a="1"/>
  <c r="N173" i="14" s="1"/>
  <c r="O173" i="14" a="1"/>
  <c r="O173" i="14" s="1"/>
  <c r="P173" i="14" a="1"/>
  <c r="P173" i="14" s="1"/>
  <c r="Q173" i="14" a="1"/>
  <c r="Q173" i="14" s="1"/>
  <c r="R173" i="14" a="1"/>
  <c r="R173" i="14" s="1"/>
  <c r="U173" i="14" a="1"/>
  <c r="U173" i="14" s="1"/>
  <c r="V173" i="14" a="1"/>
  <c r="V173" i="14" s="1"/>
  <c r="W173" i="14" a="1"/>
  <c r="W173" i="14" s="1"/>
  <c r="X173" i="14" a="1"/>
  <c r="X173" i="14" s="1"/>
  <c r="K174" i="14" a="1"/>
  <c r="K174" i="14" s="1"/>
  <c r="L174" i="14" a="1"/>
  <c r="L174" i="14" s="1"/>
  <c r="M174" i="14" a="1"/>
  <c r="M174" i="14" s="1"/>
  <c r="N174" i="14" a="1"/>
  <c r="N174" i="14" s="1"/>
  <c r="O174" i="14" a="1"/>
  <c r="O174" i="14" s="1"/>
  <c r="P174" i="14" a="1"/>
  <c r="P174" i="14" s="1"/>
  <c r="Q174" i="14" a="1"/>
  <c r="Q174" i="14" s="1"/>
  <c r="R174" i="14" a="1"/>
  <c r="R174" i="14" s="1"/>
  <c r="U174" i="14" a="1"/>
  <c r="U174" i="14" s="1"/>
  <c r="V174" i="14" a="1"/>
  <c r="V174" i="14" s="1"/>
  <c r="W174" i="14" a="1"/>
  <c r="W174" i="14" s="1"/>
  <c r="X174" i="14" a="1"/>
  <c r="X174" i="14" s="1"/>
  <c r="K175" i="14" a="1"/>
  <c r="K175" i="14" s="1"/>
  <c r="L175" i="14" a="1"/>
  <c r="L175" i="14" s="1"/>
  <c r="M175" i="14" a="1"/>
  <c r="M175" i="14" s="1"/>
  <c r="N175" i="14" a="1"/>
  <c r="N175" i="14" s="1"/>
  <c r="O175" i="14" a="1"/>
  <c r="O175" i="14" s="1"/>
  <c r="P175" i="14" a="1"/>
  <c r="P175" i="14" s="1"/>
  <c r="Q175" i="14" a="1"/>
  <c r="Q175" i="14" s="1"/>
  <c r="R175" i="14" a="1"/>
  <c r="R175" i="14" s="1"/>
  <c r="U175" i="14" a="1"/>
  <c r="U175" i="14" s="1"/>
  <c r="V175" i="14" a="1"/>
  <c r="V175" i="14" s="1"/>
  <c r="W175" i="14" a="1"/>
  <c r="W175" i="14" s="1"/>
  <c r="X175" i="14" a="1"/>
  <c r="X175" i="14" s="1"/>
  <c r="K176" i="14" a="1"/>
  <c r="K176" i="14" s="1"/>
  <c r="L176" i="14" a="1"/>
  <c r="L176" i="14" s="1"/>
  <c r="M176" i="14" a="1"/>
  <c r="M176" i="14" s="1"/>
  <c r="N176" i="14" a="1"/>
  <c r="N176" i="14" s="1"/>
  <c r="O176" i="14" a="1"/>
  <c r="O176" i="14" s="1"/>
  <c r="P176" i="14" a="1"/>
  <c r="P176" i="14" s="1"/>
  <c r="Q176" i="14" a="1"/>
  <c r="Q176" i="14" s="1"/>
  <c r="R176" i="14" a="1"/>
  <c r="R176" i="14" s="1"/>
  <c r="U176" i="14" a="1"/>
  <c r="U176" i="14" s="1"/>
  <c r="V176" i="14" a="1"/>
  <c r="V176" i="14" s="1"/>
  <c r="W176" i="14" a="1"/>
  <c r="W176" i="14" s="1"/>
  <c r="X176" i="14" a="1"/>
  <c r="X176" i="14" s="1"/>
  <c r="K177" i="14" a="1"/>
  <c r="K177" i="14" s="1"/>
  <c r="L177" i="14" a="1"/>
  <c r="L177" i="14" s="1"/>
  <c r="M177" i="14" a="1"/>
  <c r="M177" i="14" s="1"/>
  <c r="N177" i="14" a="1"/>
  <c r="N177" i="14" s="1"/>
  <c r="O177" i="14" a="1"/>
  <c r="O177" i="14" s="1"/>
  <c r="P177" i="14" a="1"/>
  <c r="P177" i="14" s="1"/>
  <c r="Q177" i="14" a="1"/>
  <c r="Q177" i="14" s="1"/>
  <c r="R177" i="14" a="1"/>
  <c r="R177" i="14" s="1"/>
  <c r="U177" i="14" a="1"/>
  <c r="U177" i="14" s="1"/>
  <c r="V177" i="14" a="1"/>
  <c r="V177" i="14" s="1"/>
  <c r="W177" i="14" a="1"/>
  <c r="W177" i="14" s="1"/>
  <c r="X177" i="14" a="1"/>
  <c r="X177" i="14" s="1"/>
  <c r="K178" i="14" a="1"/>
  <c r="K178" i="14" s="1"/>
  <c r="L178" i="14" a="1"/>
  <c r="L178" i="14" s="1"/>
  <c r="M178" i="14" a="1"/>
  <c r="M178" i="14" s="1"/>
  <c r="N178" i="14" a="1"/>
  <c r="N178" i="14" s="1"/>
  <c r="O178" i="14" a="1"/>
  <c r="O178" i="14" s="1"/>
  <c r="P178" i="14" a="1"/>
  <c r="P178" i="14" s="1"/>
  <c r="Q178" i="14" a="1"/>
  <c r="Q178" i="14" s="1"/>
  <c r="R178" i="14" a="1"/>
  <c r="R178" i="14" s="1"/>
  <c r="U178" i="14" a="1"/>
  <c r="U178" i="14" s="1"/>
  <c r="V178" i="14" a="1"/>
  <c r="V178" i="14" s="1"/>
  <c r="W178" i="14" a="1"/>
  <c r="W178" i="14" s="1"/>
  <c r="X178" i="14" a="1"/>
  <c r="X178" i="14" s="1"/>
  <c r="K179" i="14" a="1"/>
  <c r="K179" i="14" s="1"/>
  <c r="L179" i="14" a="1"/>
  <c r="L179" i="14" s="1"/>
  <c r="M179" i="14" a="1"/>
  <c r="M179" i="14" s="1"/>
  <c r="N179" i="14" a="1"/>
  <c r="N179" i="14" s="1"/>
  <c r="O179" i="14" a="1"/>
  <c r="O179" i="14" s="1"/>
  <c r="P179" i="14" a="1"/>
  <c r="P179" i="14" s="1"/>
  <c r="Q179" i="14" a="1"/>
  <c r="Q179" i="14" s="1"/>
  <c r="R179" i="14" a="1"/>
  <c r="R179" i="14" s="1"/>
  <c r="U179" i="14" a="1"/>
  <c r="U179" i="14" s="1"/>
  <c r="V179" i="14" a="1"/>
  <c r="V179" i="14" s="1"/>
  <c r="W179" i="14" a="1"/>
  <c r="W179" i="14" s="1"/>
  <c r="X179" i="14" a="1"/>
  <c r="X179" i="14" s="1"/>
  <c r="K180" i="14" a="1"/>
  <c r="K180" i="14" s="1"/>
  <c r="L180" i="14" a="1"/>
  <c r="L180" i="14" s="1"/>
  <c r="M180" i="14" a="1"/>
  <c r="M180" i="14" s="1"/>
  <c r="N180" i="14" a="1"/>
  <c r="N180" i="14" s="1"/>
  <c r="O180" i="14" a="1"/>
  <c r="O180" i="14" s="1"/>
  <c r="P180" i="14" a="1"/>
  <c r="P180" i="14" s="1"/>
  <c r="Q180" i="14" a="1"/>
  <c r="Q180" i="14" s="1"/>
  <c r="R180" i="14" a="1"/>
  <c r="R180" i="14" s="1"/>
  <c r="U180" i="14" a="1"/>
  <c r="U180" i="14" s="1"/>
  <c r="V180" i="14" a="1"/>
  <c r="V180" i="14" s="1"/>
  <c r="W180" i="14" a="1"/>
  <c r="W180" i="14" s="1"/>
  <c r="X180" i="14" a="1"/>
  <c r="X180" i="14" s="1"/>
  <c r="K181" i="14" a="1"/>
  <c r="K181" i="14" s="1"/>
  <c r="L181" i="14" a="1"/>
  <c r="L181" i="14" s="1"/>
  <c r="M181" i="14" a="1"/>
  <c r="M181" i="14" s="1"/>
  <c r="N181" i="14" a="1"/>
  <c r="N181" i="14" s="1"/>
  <c r="O181" i="14" a="1"/>
  <c r="O181" i="14" s="1"/>
  <c r="P181" i="14" a="1"/>
  <c r="P181" i="14" s="1"/>
  <c r="Q181" i="14" a="1"/>
  <c r="Q181" i="14" s="1"/>
  <c r="R181" i="14" a="1"/>
  <c r="R181" i="14" s="1"/>
  <c r="U181" i="14" a="1"/>
  <c r="U181" i="14" s="1"/>
  <c r="V181" i="14" a="1"/>
  <c r="V181" i="14" s="1"/>
  <c r="W181" i="14" a="1"/>
  <c r="W181" i="14" s="1"/>
  <c r="X181" i="14" a="1"/>
  <c r="X181" i="14" s="1"/>
  <c r="K182" i="14" a="1"/>
  <c r="K182" i="14" s="1"/>
  <c r="L182" i="14" a="1"/>
  <c r="L182" i="14" s="1"/>
  <c r="M182" i="14" a="1"/>
  <c r="M182" i="14" s="1"/>
  <c r="N182" i="14" a="1"/>
  <c r="N182" i="14" s="1"/>
  <c r="O182" i="14" a="1"/>
  <c r="O182" i="14" s="1"/>
  <c r="P182" i="14" a="1"/>
  <c r="P182" i="14" s="1"/>
  <c r="Q182" i="14" a="1"/>
  <c r="Q182" i="14" s="1"/>
  <c r="R182" i="14" a="1"/>
  <c r="R182" i="14" s="1"/>
  <c r="U182" i="14" a="1"/>
  <c r="U182" i="14" s="1"/>
  <c r="V182" i="14" a="1"/>
  <c r="V182" i="14" s="1"/>
  <c r="W182" i="14" a="1"/>
  <c r="W182" i="14" s="1"/>
  <c r="X182" i="14" a="1"/>
  <c r="X182" i="14" s="1"/>
  <c r="K183" i="14" a="1"/>
  <c r="K183" i="14" s="1"/>
  <c r="L183" i="14" a="1"/>
  <c r="L183" i="14" s="1"/>
  <c r="M183" i="14" a="1"/>
  <c r="M183" i="14" s="1"/>
  <c r="N183" i="14" a="1"/>
  <c r="N183" i="14" s="1"/>
  <c r="O183" i="14" a="1"/>
  <c r="O183" i="14" s="1"/>
  <c r="P183" i="14" a="1"/>
  <c r="P183" i="14" s="1"/>
  <c r="Q183" i="14" a="1"/>
  <c r="Q183" i="14" s="1"/>
  <c r="R183" i="14" a="1"/>
  <c r="R183" i="14" s="1"/>
  <c r="U183" i="14" a="1"/>
  <c r="U183" i="14" s="1"/>
  <c r="V183" i="14" a="1"/>
  <c r="V183" i="14" s="1"/>
  <c r="W183" i="14" a="1"/>
  <c r="W183" i="14" s="1"/>
  <c r="X183" i="14" a="1"/>
  <c r="X183" i="14" s="1"/>
  <c r="K184" i="14" a="1"/>
  <c r="K184" i="14" s="1"/>
  <c r="L184" i="14" a="1"/>
  <c r="L184" i="14" s="1"/>
  <c r="M184" i="14" a="1"/>
  <c r="M184" i="14" s="1"/>
  <c r="N184" i="14" a="1"/>
  <c r="N184" i="14" s="1"/>
  <c r="O184" i="14" a="1"/>
  <c r="O184" i="14" s="1"/>
  <c r="P184" i="14" a="1"/>
  <c r="P184" i="14" s="1"/>
  <c r="Q184" i="14" a="1"/>
  <c r="Q184" i="14" s="1"/>
  <c r="R184" i="14" a="1"/>
  <c r="R184" i="14" s="1"/>
  <c r="U184" i="14" a="1"/>
  <c r="U184" i="14" s="1"/>
  <c r="V184" i="14" a="1"/>
  <c r="V184" i="14" s="1"/>
  <c r="W184" i="14" a="1"/>
  <c r="W184" i="14" s="1"/>
  <c r="X184" i="14" a="1"/>
  <c r="X184" i="14" s="1"/>
  <c r="K185" i="14" a="1"/>
  <c r="K185" i="14" s="1"/>
  <c r="L185" i="14" a="1"/>
  <c r="L185" i="14" s="1"/>
  <c r="M185" i="14" a="1"/>
  <c r="M185" i="14" s="1"/>
  <c r="N185" i="14" a="1"/>
  <c r="N185" i="14" s="1"/>
  <c r="O185" i="14" a="1"/>
  <c r="O185" i="14" s="1"/>
  <c r="P185" i="14" a="1"/>
  <c r="P185" i="14" s="1"/>
  <c r="Q185" i="14" a="1"/>
  <c r="Q185" i="14" s="1"/>
  <c r="R185" i="14" a="1"/>
  <c r="R185" i="14" s="1"/>
  <c r="U185" i="14" a="1"/>
  <c r="U185" i="14" s="1"/>
  <c r="V185" i="14" a="1"/>
  <c r="V185" i="14" s="1"/>
  <c r="W185" i="14" a="1"/>
  <c r="W185" i="14" s="1"/>
  <c r="X185" i="14" a="1"/>
  <c r="X185" i="14" s="1"/>
  <c r="K186" i="14" a="1"/>
  <c r="K186" i="14" s="1"/>
  <c r="L186" i="14" a="1"/>
  <c r="L186" i="14" s="1"/>
  <c r="M186" i="14" a="1"/>
  <c r="M186" i="14" s="1"/>
  <c r="N186" i="14" a="1"/>
  <c r="N186" i="14" s="1"/>
  <c r="O186" i="14" a="1"/>
  <c r="O186" i="14" s="1"/>
  <c r="P186" i="14" a="1"/>
  <c r="P186" i="14" s="1"/>
  <c r="Q186" i="14" a="1"/>
  <c r="Q186" i="14" s="1"/>
  <c r="R186" i="14" a="1"/>
  <c r="R186" i="14" s="1"/>
  <c r="U186" i="14" a="1"/>
  <c r="U186" i="14" s="1"/>
  <c r="V186" i="14" a="1"/>
  <c r="V186" i="14" s="1"/>
  <c r="W186" i="14" a="1"/>
  <c r="W186" i="14" s="1"/>
  <c r="X186" i="14" a="1"/>
  <c r="X186" i="14" s="1"/>
  <c r="K187" i="14" a="1"/>
  <c r="K187" i="14" s="1"/>
  <c r="L187" i="14" a="1"/>
  <c r="L187" i="14" s="1"/>
  <c r="M187" i="14" a="1"/>
  <c r="M187" i="14" s="1"/>
  <c r="N187" i="14" a="1"/>
  <c r="N187" i="14" s="1"/>
  <c r="O187" i="14" a="1"/>
  <c r="O187" i="14" s="1"/>
  <c r="P187" i="14" a="1"/>
  <c r="P187" i="14" s="1"/>
  <c r="Q187" i="14" a="1"/>
  <c r="Q187" i="14" s="1"/>
  <c r="R187" i="14" a="1"/>
  <c r="R187" i="14" s="1"/>
  <c r="U187" i="14" a="1"/>
  <c r="U187" i="14" s="1"/>
  <c r="V187" i="14" a="1"/>
  <c r="V187" i="14" s="1"/>
  <c r="W187" i="14" a="1"/>
  <c r="W187" i="14" s="1"/>
  <c r="X187" i="14" a="1"/>
  <c r="X187" i="14" s="1"/>
  <c r="K188" i="14" a="1"/>
  <c r="K188" i="14" s="1"/>
  <c r="L188" i="14" a="1"/>
  <c r="L188" i="14" s="1"/>
  <c r="M188" i="14" a="1"/>
  <c r="M188" i="14" s="1"/>
  <c r="N188" i="14" a="1"/>
  <c r="N188" i="14" s="1"/>
  <c r="O188" i="14" a="1"/>
  <c r="O188" i="14" s="1"/>
  <c r="P188" i="14" a="1"/>
  <c r="P188" i="14" s="1"/>
  <c r="Q188" i="14" a="1"/>
  <c r="Q188" i="14" s="1"/>
  <c r="R188" i="14" a="1"/>
  <c r="R188" i="14" s="1"/>
  <c r="U188" i="14" a="1"/>
  <c r="U188" i="14" s="1"/>
  <c r="V188" i="14" a="1"/>
  <c r="V188" i="14" s="1"/>
  <c r="W188" i="14" a="1"/>
  <c r="W188" i="14" s="1"/>
  <c r="X188" i="14" a="1"/>
  <c r="X188" i="14" s="1"/>
  <c r="K189" i="14" a="1"/>
  <c r="K189" i="14" s="1"/>
  <c r="L189" i="14" a="1"/>
  <c r="L189" i="14" s="1"/>
  <c r="M189" i="14" a="1"/>
  <c r="M189" i="14" s="1"/>
  <c r="N189" i="14" a="1"/>
  <c r="N189" i="14" s="1"/>
  <c r="O189" i="14" a="1"/>
  <c r="O189" i="14" s="1"/>
  <c r="P189" i="14" a="1"/>
  <c r="P189" i="14" s="1"/>
  <c r="Q189" i="14" a="1"/>
  <c r="Q189" i="14" s="1"/>
  <c r="R189" i="14" a="1"/>
  <c r="R189" i="14" s="1"/>
  <c r="U189" i="14" a="1"/>
  <c r="U189" i="14" s="1"/>
  <c r="V189" i="14" a="1"/>
  <c r="V189" i="14" s="1"/>
  <c r="W189" i="14" a="1"/>
  <c r="W189" i="14" s="1"/>
  <c r="X189" i="14" a="1"/>
  <c r="X189" i="14" s="1"/>
  <c r="K190" i="14" a="1"/>
  <c r="K190" i="14" s="1"/>
  <c r="L190" i="14" a="1"/>
  <c r="L190" i="14" s="1"/>
  <c r="M190" i="14" a="1"/>
  <c r="M190" i="14" s="1"/>
  <c r="N190" i="14" a="1"/>
  <c r="N190" i="14" s="1"/>
  <c r="O190" i="14" a="1"/>
  <c r="O190" i="14" s="1"/>
  <c r="P190" i="14" a="1"/>
  <c r="P190" i="14" s="1"/>
  <c r="Q190" i="14" a="1"/>
  <c r="Q190" i="14" s="1"/>
  <c r="R190" i="14" a="1"/>
  <c r="R190" i="14" s="1"/>
  <c r="U190" i="14" a="1"/>
  <c r="U190" i="14" s="1"/>
  <c r="V190" i="14" a="1"/>
  <c r="V190" i="14" s="1"/>
  <c r="W190" i="14" a="1"/>
  <c r="W190" i="14" s="1"/>
  <c r="X190" i="14" a="1"/>
  <c r="X190" i="14" s="1"/>
  <c r="K191" i="14" a="1"/>
  <c r="K191" i="14" s="1"/>
  <c r="L191" i="14" a="1"/>
  <c r="L191" i="14" s="1"/>
  <c r="M191" i="14" a="1"/>
  <c r="M191" i="14" s="1"/>
  <c r="N191" i="14" a="1"/>
  <c r="N191" i="14" s="1"/>
  <c r="O191" i="14" a="1"/>
  <c r="O191" i="14" s="1"/>
  <c r="P191" i="14" a="1"/>
  <c r="P191" i="14" s="1"/>
  <c r="Q191" i="14" a="1"/>
  <c r="Q191" i="14" s="1"/>
  <c r="R191" i="14" a="1"/>
  <c r="R191" i="14" s="1"/>
  <c r="U191" i="14" a="1"/>
  <c r="U191" i="14" s="1"/>
  <c r="V191" i="14" a="1"/>
  <c r="V191" i="14" s="1"/>
  <c r="W191" i="14" a="1"/>
  <c r="W191" i="14" s="1"/>
  <c r="X191" i="14" a="1"/>
  <c r="X191" i="14" s="1"/>
  <c r="K192" i="14" a="1"/>
  <c r="K192" i="14" s="1"/>
  <c r="L192" i="14" a="1"/>
  <c r="L192" i="14" s="1"/>
  <c r="M192" i="14" a="1"/>
  <c r="M192" i="14" s="1"/>
  <c r="N192" i="14" a="1"/>
  <c r="N192" i="14" s="1"/>
  <c r="O192" i="14" a="1"/>
  <c r="O192" i="14" s="1"/>
  <c r="P192" i="14" a="1"/>
  <c r="P192" i="14" s="1"/>
  <c r="Q192" i="14" a="1"/>
  <c r="Q192" i="14" s="1"/>
  <c r="R192" i="14" a="1"/>
  <c r="R192" i="14" s="1"/>
  <c r="U192" i="14" a="1"/>
  <c r="U192" i="14" s="1"/>
  <c r="V192" i="14" a="1"/>
  <c r="V192" i="14" s="1"/>
  <c r="W192" i="14" a="1"/>
  <c r="W192" i="14" s="1"/>
  <c r="X192" i="14" a="1"/>
  <c r="X192" i="14" s="1"/>
  <c r="K193" i="14" a="1"/>
  <c r="K193" i="14" s="1"/>
  <c r="L193" i="14" a="1"/>
  <c r="L193" i="14" s="1"/>
  <c r="M193" i="14" a="1"/>
  <c r="M193" i="14" s="1"/>
  <c r="N193" i="14" a="1"/>
  <c r="N193" i="14" s="1"/>
  <c r="O193" i="14" a="1"/>
  <c r="O193" i="14" s="1"/>
  <c r="P193" i="14" a="1"/>
  <c r="P193" i="14" s="1"/>
  <c r="Q193" i="14" a="1"/>
  <c r="Q193" i="14" s="1"/>
  <c r="R193" i="14" a="1"/>
  <c r="R193" i="14" s="1"/>
  <c r="U193" i="14" a="1"/>
  <c r="U193" i="14" s="1"/>
  <c r="V193" i="14" a="1"/>
  <c r="V193" i="14" s="1"/>
  <c r="W193" i="14" a="1"/>
  <c r="W193" i="14" s="1"/>
  <c r="X193" i="14" a="1"/>
  <c r="X193" i="14" s="1"/>
  <c r="K194" i="14" a="1"/>
  <c r="K194" i="14" s="1"/>
  <c r="L194" i="14" a="1"/>
  <c r="L194" i="14" s="1"/>
  <c r="M194" i="14" a="1"/>
  <c r="M194" i="14" s="1"/>
  <c r="N194" i="14" a="1"/>
  <c r="N194" i="14" s="1"/>
  <c r="O194" i="14" a="1"/>
  <c r="O194" i="14" s="1"/>
  <c r="P194" i="14" a="1"/>
  <c r="P194" i="14" s="1"/>
  <c r="Q194" i="14" a="1"/>
  <c r="Q194" i="14" s="1"/>
  <c r="R194" i="14" a="1"/>
  <c r="R194" i="14" s="1"/>
  <c r="U194" i="14" a="1"/>
  <c r="U194" i="14" s="1"/>
  <c r="V194" i="14" a="1"/>
  <c r="V194" i="14" s="1"/>
  <c r="W194" i="14" a="1"/>
  <c r="W194" i="14" s="1"/>
  <c r="X194" i="14" a="1"/>
  <c r="X194" i="14" s="1"/>
  <c r="K195" i="14" a="1"/>
  <c r="K195" i="14" s="1"/>
  <c r="L195" i="14" a="1"/>
  <c r="L195" i="14" s="1"/>
  <c r="M195" i="14" a="1"/>
  <c r="M195" i="14" s="1"/>
  <c r="N195" i="14" a="1"/>
  <c r="N195" i="14" s="1"/>
  <c r="O195" i="14" a="1"/>
  <c r="O195" i="14" s="1"/>
  <c r="P195" i="14" a="1"/>
  <c r="P195" i="14" s="1"/>
  <c r="Q195" i="14" a="1"/>
  <c r="Q195" i="14" s="1"/>
  <c r="R195" i="14" a="1"/>
  <c r="R195" i="14" s="1"/>
  <c r="U195" i="14" a="1"/>
  <c r="U195" i="14" s="1"/>
  <c r="V195" i="14" a="1"/>
  <c r="V195" i="14" s="1"/>
  <c r="W195" i="14" a="1"/>
  <c r="W195" i="14" s="1"/>
  <c r="X195" i="14" a="1"/>
  <c r="X195" i="14" s="1"/>
  <c r="K196" i="14" a="1"/>
  <c r="K196" i="14" s="1"/>
  <c r="L196" i="14" a="1"/>
  <c r="L196" i="14" s="1"/>
  <c r="M196" i="14" a="1"/>
  <c r="M196" i="14" s="1"/>
  <c r="N196" i="14" a="1"/>
  <c r="N196" i="14" s="1"/>
  <c r="O196" i="14" a="1"/>
  <c r="O196" i="14" s="1"/>
  <c r="P196" i="14" a="1"/>
  <c r="P196" i="14" s="1"/>
  <c r="Q196" i="14" a="1"/>
  <c r="Q196" i="14" s="1"/>
  <c r="R196" i="14" a="1"/>
  <c r="R196" i="14" s="1"/>
  <c r="U196" i="14" a="1"/>
  <c r="U196" i="14" s="1"/>
  <c r="V196" i="14" a="1"/>
  <c r="V196" i="14" s="1"/>
  <c r="W196" i="14" a="1"/>
  <c r="W196" i="14" s="1"/>
  <c r="X196" i="14" a="1"/>
  <c r="X196" i="14" s="1"/>
  <c r="K197" i="14" a="1"/>
  <c r="K197" i="14" s="1"/>
  <c r="L197" i="14" a="1"/>
  <c r="L197" i="14" s="1"/>
  <c r="M197" i="14" a="1"/>
  <c r="M197" i="14" s="1"/>
  <c r="N197" i="14" a="1"/>
  <c r="N197" i="14" s="1"/>
  <c r="O197" i="14" a="1"/>
  <c r="O197" i="14" s="1"/>
  <c r="P197" i="14" a="1"/>
  <c r="P197" i="14" s="1"/>
  <c r="Q197" i="14" a="1"/>
  <c r="Q197" i="14" s="1"/>
  <c r="R197" i="14" a="1"/>
  <c r="R197" i="14" s="1"/>
  <c r="U197" i="14" a="1"/>
  <c r="U197" i="14" s="1"/>
  <c r="V197" i="14" a="1"/>
  <c r="V197" i="14" s="1"/>
  <c r="W197" i="14" a="1"/>
  <c r="W197" i="14" s="1"/>
  <c r="X197" i="14" a="1"/>
  <c r="X197" i="14" s="1"/>
  <c r="K198" i="14" a="1"/>
  <c r="K198" i="14" s="1"/>
  <c r="L198" i="14" a="1"/>
  <c r="L198" i="14" s="1"/>
  <c r="M198" i="14" a="1"/>
  <c r="M198" i="14" s="1"/>
  <c r="N198" i="14" a="1"/>
  <c r="N198" i="14" s="1"/>
  <c r="O198" i="14" a="1"/>
  <c r="O198" i="14" s="1"/>
  <c r="P198" i="14" a="1"/>
  <c r="P198" i="14" s="1"/>
  <c r="Q198" i="14" a="1"/>
  <c r="Q198" i="14" s="1"/>
  <c r="R198" i="14" a="1"/>
  <c r="R198" i="14" s="1"/>
  <c r="U198" i="14" a="1"/>
  <c r="U198" i="14" s="1"/>
  <c r="V198" i="14" a="1"/>
  <c r="V198" i="14" s="1"/>
  <c r="W198" i="14" a="1"/>
  <c r="W198" i="14" s="1"/>
  <c r="X198" i="14" a="1"/>
  <c r="X198" i="14" s="1"/>
  <c r="K199" i="14" a="1"/>
  <c r="K199" i="14" s="1"/>
  <c r="L199" i="14" a="1"/>
  <c r="L199" i="14" s="1"/>
  <c r="M199" i="14" a="1"/>
  <c r="M199" i="14" s="1"/>
  <c r="N199" i="14" a="1"/>
  <c r="N199" i="14" s="1"/>
  <c r="O199" i="14" a="1"/>
  <c r="O199" i="14" s="1"/>
  <c r="P199" i="14" a="1"/>
  <c r="P199" i="14" s="1"/>
  <c r="Q199" i="14" a="1"/>
  <c r="Q199" i="14" s="1"/>
  <c r="R199" i="14" a="1"/>
  <c r="R199" i="14" s="1"/>
  <c r="U199" i="14" a="1"/>
  <c r="U199" i="14" s="1"/>
  <c r="V199" i="14" a="1"/>
  <c r="V199" i="14" s="1"/>
  <c r="W199" i="14" a="1"/>
  <c r="W199" i="14" s="1"/>
  <c r="X199" i="14" a="1"/>
  <c r="X199" i="14" s="1"/>
  <c r="K200" i="14" a="1"/>
  <c r="K200" i="14" s="1"/>
  <c r="L200" i="14" a="1"/>
  <c r="L200" i="14" s="1"/>
  <c r="M200" i="14" a="1"/>
  <c r="M200" i="14" s="1"/>
  <c r="N200" i="14" a="1"/>
  <c r="N200" i="14" s="1"/>
  <c r="O200" i="14" a="1"/>
  <c r="O200" i="14" s="1"/>
  <c r="P200" i="14" a="1"/>
  <c r="P200" i="14" s="1"/>
  <c r="Q200" i="14" a="1"/>
  <c r="Q200" i="14" s="1"/>
  <c r="R200" i="14" a="1"/>
  <c r="R200" i="14" s="1"/>
  <c r="U200" i="14" a="1"/>
  <c r="U200" i="14" s="1"/>
  <c r="V200" i="14" a="1"/>
  <c r="V200" i="14" s="1"/>
  <c r="W200" i="14" a="1"/>
  <c r="W200" i="14" s="1"/>
  <c r="X200" i="14" a="1"/>
  <c r="X200" i="14" s="1"/>
  <c r="K201" i="14" a="1"/>
  <c r="K201" i="14" s="1"/>
  <c r="L201" i="14" a="1"/>
  <c r="L201" i="14" s="1"/>
  <c r="M201" i="14" a="1"/>
  <c r="M201" i="14" s="1"/>
  <c r="N201" i="14" a="1"/>
  <c r="N201" i="14" s="1"/>
  <c r="O201" i="14" a="1"/>
  <c r="O201" i="14" s="1"/>
  <c r="P201" i="14" a="1"/>
  <c r="P201" i="14" s="1"/>
  <c r="Q201" i="14" a="1"/>
  <c r="Q201" i="14" s="1"/>
  <c r="R201" i="14" a="1"/>
  <c r="R201" i="14" s="1"/>
  <c r="U201" i="14" a="1"/>
  <c r="U201" i="14" s="1"/>
  <c r="V201" i="14" a="1"/>
  <c r="V201" i="14" s="1"/>
  <c r="W201" i="14" a="1"/>
  <c r="W201" i="14" s="1"/>
  <c r="X201" i="14" a="1"/>
  <c r="X201" i="14" s="1"/>
  <c r="K202" i="14" a="1"/>
  <c r="K202" i="14" s="1"/>
  <c r="L202" i="14" a="1"/>
  <c r="L202" i="14" s="1"/>
  <c r="M202" i="14" a="1"/>
  <c r="M202" i="14" s="1"/>
  <c r="N202" i="14" a="1"/>
  <c r="N202" i="14" s="1"/>
  <c r="O202" i="14" a="1"/>
  <c r="O202" i="14" s="1"/>
  <c r="P202" i="14" a="1"/>
  <c r="P202" i="14" s="1"/>
  <c r="Q202" i="14" a="1"/>
  <c r="Q202" i="14" s="1"/>
  <c r="R202" i="14" a="1"/>
  <c r="R202" i="14" s="1"/>
  <c r="U202" i="14" a="1"/>
  <c r="U202" i="14" s="1"/>
  <c r="V202" i="14" a="1"/>
  <c r="V202" i="14" s="1"/>
  <c r="W202" i="14" a="1"/>
  <c r="W202" i="14" s="1"/>
  <c r="X202" i="14" a="1"/>
  <c r="X202" i="14" s="1"/>
  <c r="K203" i="14" a="1"/>
  <c r="K203" i="14" s="1"/>
  <c r="L203" i="14" a="1"/>
  <c r="L203" i="14" s="1"/>
  <c r="M203" i="14" a="1"/>
  <c r="M203" i="14" s="1"/>
  <c r="N203" i="14" a="1"/>
  <c r="N203" i="14" s="1"/>
  <c r="O203" i="14" a="1"/>
  <c r="O203" i="14" s="1"/>
  <c r="P203" i="14" a="1"/>
  <c r="P203" i="14" s="1"/>
  <c r="Q203" i="14" a="1"/>
  <c r="Q203" i="14" s="1"/>
  <c r="R203" i="14" a="1"/>
  <c r="R203" i="14" s="1"/>
  <c r="U203" i="14" a="1"/>
  <c r="U203" i="14" s="1"/>
  <c r="V203" i="14" a="1"/>
  <c r="V203" i="14" s="1"/>
  <c r="W203" i="14" a="1"/>
  <c r="W203" i="14" s="1"/>
  <c r="X203" i="14" a="1"/>
  <c r="X203" i="14" s="1"/>
  <c r="K204" i="14" a="1"/>
  <c r="K204" i="14" s="1"/>
  <c r="L204" i="14" a="1"/>
  <c r="L204" i="14" s="1"/>
  <c r="M204" i="14" a="1"/>
  <c r="M204" i="14" s="1"/>
  <c r="N204" i="14" a="1"/>
  <c r="N204" i="14" s="1"/>
  <c r="O204" i="14" a="1"/>
  <c r="O204" i="14" s="1"/>
  <c r="P204" i="14" a="1"/>
  <c r="P204" i="14" s="1"/>
  <c r="Q204" i="14" a="1"/>
  <c r="Q204" i="14" s="1"/>
  <c r="R204" i="14" a="1"/>
  <c r="R204" i="14" s="1"/>
  <c r="U204" i="14" a="1"/>
  <c r="U204" i="14" s="1"/>
  <c r="V204" i="14" a="1"/>
  <c r="V204" i="14" s="1"/>
  <c r="W204" i="14" a="1"/>
  <c r="W204" i="14" s="1"/>
  <c r="X204" i="14" a="1"/>
  <c r="X204" i="14" s="1"/>
  <c r="K205" i="14" a="1"/>
  <c r="K205" i="14" s="1"/>
  <c r="L205" i="14" a="1"/>
  <c r="L205" i="14" s="1"/>
  <c r="M205" i="14" a="1"/>
  <c r="M205" i="14" s="1"/>
  <c r="N205" i="14" a="1"/>
  <c r="N205" i="14" s="1"/>
  <c r="O205" i="14" a="1"/>
  <c r="O205" i="14" s="1"/>
  <c r="P205" i="14" a="1"/>
  <c r="P205" i="14" s="1"/>
  <c r="Q205" i="14" a="1"/>
  <c r="Q205" i="14" s="1"/>
  <c r="R205" i="14" a="1"/>
  <c r="R205" i="14" s="1"/>
  <c r="U205" i="14" a="1"/>
  <c r="U205" i="14" s="1"/>
  <c r="V205" i="14" a="1"/>
  <c r="V205" i="14" s="1"/>
  <c r="W205" i="14" a="1"/>
  <c r="W205" i="14" s="1"/>
  <c r="X205" i="14" a="1"/>
  <c r="X205" i="14" s="1"/>
  <c r="K206" i="14" a="1"/>
  <c r="K206" i="14" s="1"/>
  <c r="L206" i="14" a="1"/>
  <c r="L206" i="14" s="1"/>
  <c r="M206" i="14" a="1"/>
  <c r="M206" i="14" s="1"/>
  <c r="N206" i="14" a="1"/>
  <c r="N206" i="14" s="1"/>
  <c r="O206" i="14" a="1"/>
  <c r="O206" i="14" s="1"/>
  <c r="P206" i="14" a="1"/>
  <c r="P206" i="14" s="1"/>
  <c r="Q206" i="14" a="1"/>
  <c r="Q206" i="14" s="1"/>
  <c r="R206" i="14" a="1"/>
  <c r="R206" i="14" s="1"/>
  <c r="U206" i="14" a="1"/>
  <c r="U206" i="14" s="1"/>
  <c r="V206" i="14" a="1"/>
  <c r="V206" i="14" s="1"/>
  <c r="W206" i="14" a="1"/>
  <c r="W206" i="14" s="1"/>
  <c r="X206" i="14" a="1"/>
  <c r="X206" i="14" s="1"/>
  <c r="K207" i="14" a="1"/>
  <c r="K207" i="14" s="1"/>
  <c r="L207" i="14" a="1"/>
  <c r="L207" i="14" s="1"/>
  <c r="M207" i="14" a="1"/>
  <c r="M207" i="14" s="1"/>
  <c r="N207" i="14" a="1"/>
  <c r="N207" i="14" s="1"/>
  <c r="O207" i="14" a="1"/>
  <c r="O207" i="14" s="1"/>
  <c r="P207" i="14" a="1"/>
  <c r="P207" i="14" s="1"/>
  <c r="Q207" i="14" a="1"/>
  <c r="Q207" i="14" s="1"/>
  <c r="R207" i="14" a="1"/>
  <c r="R207" i="14" s="1"/>
  <c r="U207" i="14" a="1"/>
  <c r="U207" i="14" s="1"/>
  <c r="V207" i="14" a="1"/>
  <c r="V207" i="14" s="1"/>
  <c r="W207" i="14" a="1"/>
  <c r="W207" i="14" s="1"/>
  <c r="X207" i="14" a="1"/>
  <c r="X207" i="14" s="1"/>
  <c r="K208" i="14" a="1"/>
  <c r="K208" i="14" s="1"/>
  <c r="L208" i="14" a="1"/>
  <c r="L208" i="14" s="1"/>
  <c r="M208" i="14" a="1"/>
  <c r="M208" i="14" s="1"/>
  <c r="N208" i="14" a="1"/>
  <c r="N208" i="14" s="1"/>
  <c r="O208" i="14" a="1"/>
  <c r="O208" i="14" s="1"/>
  <c r="P208" i="14" a="1"/>
  <c r="P208" i="14" s="1"/>
  <c r="Q208" i="14" a="1"/>
  <c r="Q208" i="14" s="1"/>
  <c r="R208" i="14" a="1"/>
  <c r="R208" i="14" s="1"/>
  <c r="U208" i="14" a="1"/>
  <c r="U208" i="14" s="1"/>
  <c r="V208" i="14" a="1"/>
  <c r="V208" i="14" s="1"/>
  <c r="W208" i="14" a="1"/>
  <c r="W208" i="14" s="1"/>
  <c r="X208" i="14" a="1"/>
  <c r="X208" i="14" s="1"/>
  <c r="K209" i="14" a="1"/>
  <c r="K209" i="14" s="1"/>
  <c r="L209" i="14" a="1"/>
  <c r="L209" i="14" s="1"/>
  <c r="M209" i="14" a="1"/>
  <c r="M209" i="14" s="1"/>
  <c r="N209" i="14" a="1"/>
  <c r="N209" i="14" s="1"/>
  <c r="O209" i="14" a="1"/>
  <c r="O209" i="14" s="1"/>
  <c r="P209" i="14" a="1"/>
  <c r="P209" i="14" s="1"/>
  <c r="Q209" i="14" a="1"/>
  <c r="Q209" i="14" s="1"/>
  <c r="R209" i="14" a="1"/>
  <c r="R209" i="14" s="1"/>
  <c r="U209" i="14" a="1"/>
  <c r="U209" i="14" s="1"/>
  <c r="V209" i="14" a="1"/>
  <c r="V209" i="14" s="1"/>
  <c r="W209" i="14" a="1"/>
  <c r="W209" i="14" s="1"/>
  <c r="X209" i="14" a="1"/>
  <c r="X209" i="14" s="1"/>
  <c r="K210" i="14" a="1"/>
  <c r="K210" i="14" s="1"/>
  <c r="L210" i="14" a="1"/>
  <c r="L210" i="14" s="1"/>
  <c r="M210" i="14" a="1"/>
  <c r="M210" i="14" s="1"/>
  <c r="N210" i="14" a="1"/>
  <c r="N210" i="14" s="1"/>
  <c r="O210" i="14" a="1"/>
  <c r="O210" i="14" s="1"/>
  <c r="P210" i="14" a="1"/>
  <c r="P210" i="14" s="1"/>
  <c r="Q210" i="14" a="1"/>
  <c r="Q210" i="14" s="1"/>
  <c r="R210" i="14" a="1"/>
  <c r="R210" i="14" s="1"/>
  <c r="U210" i="14" a="1"/>
  <c r="U210" i="14" s="1"/>
  <c r="V210" i="14" a="1"/>
  <c r="V210" i="14" s="1"/>
  <c r="W210" i="14" a="1"/>
  <c r="W210" i="14" s="1"/>
  <c r="X210" i="14" a="1"/>
  <c r="X210" i="14" s="1"/>
  <c r="K211" i="14" a="1"/>
  <c r="K211" i="14" s="1"/>
  <c r="L211" i="14" a="1"/>
  <c r="L211" i="14" s="1"/>
  <c r="M211" i="14" a="1"/>
  <c r="M211" i="14" s="1"/>
  <c r="N211" i="14" a="1"/>
  <c r="N211" i="14" s="1"/>
  <c r="O211" i="14" a="1"/>
  <c r="O211" i="14" s="1"/>
  <c r="P211" i="14" a="1"/>
  <c r="P211" i="14" s="1"/>
  <c r="Q211" i="14" a="1"/>
  <c r="Q211" i="14" s="1"/>
  <c r="R211" i="14" a="1"/>
  <c r="R211" i="14" s="1"/>
  <c r="U211" i="14" a="1"/>
  <c r="U211" i="14" s="1"/>
  <c r="V211" i="14" a="1"/>
  <c r="V211" i="14" s="1"/>
  <c r="W211" i="14" a="1"/>
  <c r="W211" i="14" s="1"/>
  <c r="X211" i="14" a="1"/>
  <c r="X211" i="14" s="1"/>
  <c r="K212" i="14" a="1"/>
  <c r="K212" i="14" s="1"/>
  <c r="L212" i="14" a="1"/>
  <c r="L212" i="14" s="1"/>
  <c r="M212" i="14" a="1"/>
  <c r="M212" i="14" s="1"/>
  <c r="N212" i="14" a="1"/>
  <c r="N212" i="14" s="1"/>
  <c r="O212" i="14" a="1"/>
  <c r="O212" i="14" s="1"/>
  <c r="P212" i="14" a="1"/>
  <c r="P212" i="14" s="1"/>
  <c r="Q212" i="14" a="1"/>
  <c r="Q212" i="14" s="1"/>
  <c r="R212" i="14" a="1"/>
  <c r="R212" i="14" s="1"/>
  <c r="U212" i="14" a="1"/>
  <c r="U212" i="14" s="1"/>
  <c r="V212" i="14" a="1"/>
  <c r="V212" i="14" s="1"/>
  <c r="W212" i="14" a="1"/>
  <c r="W212" i="14" s="1"/>
  <c r="X212" i="14" a="1"/>
  <c r="X212" i="14" s="1"/>
  <c r="K213" i="14" a="1"/>
  <c r="K213" i="14" s="1"/>
  <c r="L213" i="14" a="1"/>
  <c r="L213" i="14" s="1"/>
  <c r="M213" i="14" a="1"/>
  <c r="M213" i="14" s="1"/>
  <c r="N213" i="14" a="1"/>
  <c r="N213" i="14" s="1"/>
  <c r="O213" i="14" a="1"/>
  <c r="O213" i="14" s="1"/>
  <c r="P213" i="14" a="1"/>
  <c r="P213" i="14" s="1"/>
  <c r="Q213" i="14" a="1"/>
  <c r="Q213" i="14" s="1"/>
  <c r="R213" i="14" a="1"/>
  <c r="R213" i="14" s="1"/>
  <c r="U213" i="14" a="1"/>
  <c r="U213" i="14" s="1"/>
  <c r="V213" i="14" a="1"/>
  <c r="V213" i="14" s="1"/>
  <c r="W213" i="14" a="1"/>
  <c r="W213" i="14" s="1"/>
  <c r="X213" i="14" a="1"/>
  <c r="X213" i="14" s="1"/>
  <c r="K214" i="14" a="1"/>
  <c r="K214" i="14" s="1"/>
  <c r="L214" i="14" a="1"/>
  <c r="L214" i="14" s="1"/>
  <c r="M214" i="14" a="1"/>
  <c r="M214" i="14" s="1"/>
  <c r="N214" i="14" a="1"/>
  <c r="N214" i="14" s="1"/>
  <c r="O214" i="14" a="1"/>
  <c r="O214" i="14" s="1"/>
  <c r="P214" i="14" a="1"/>
  <c r="P214" i="14" s="1"/>
  <c r="Q214" i="14" a="1"/>
  <c r="Q214" i="14" s="1"/>
  <c r="R214" i="14" a="1"/>
  <c r="R214" i="14" s="1"/>
  <c r="U214" i="14" a="1"/>
  <c r="U214" i="14" s="1"/>
  <c r="V214" i="14" a="1"/>
  <c r="V214" i="14" s="1"/>
  <c r="W214" i="14" a="1"/>
  <c r="W214" i="14" s="1"/>
  <c r="X214" i="14" a="1"/>
  <c r="X214" i="14" s="1"/>
  <c r="K215" i="14" a="1"/>
  <c r="K215" i="14" s="1"/>
  <c r="L215" i="14" a="1"/>
  <c r="L215" i="14" s="1"/>
  <c r="M215" i="14" a="1"/>
  <c r="M215" i="14" s="1"/>
  <c r="N215" i="14" a="1"/>
  <c r="N215" i="14" s="1"/>
  <c r="O215" i="14" a="1"/>
  <c r="O215" i="14" s="1"/>
  <c r="P215" i="14" a="1"/>
  <c r="P215" i="14" s="1"/>
  <c r="Q215" i="14" a="1"/>
  <c r="Q215" i="14" s="1"/>
  <c r="R215" i="14" a="1"/>
  <c r="R215" i="14" s="1"/>
  <c r="U215" i="14" a="1"/>
  <c r="U215" i="14" s="1"/>
  <c r="V215" i="14" a="1"/>
  <c r="V215" i="14" s="1"/>
  <c r="W215" i="14" a="1"/>
  <c r="W215" i="14" s="1"/>
  <c r="X215" i="14" a="1"/>
  <c r="X215" i="14" s="1"/>
  <c r="K216" i="14" a="1"/>
  <c r="K216" i="14" s="1"/>
  <c r="L216" i="14" a="1"/>
  <c r="L216" i="14" s="1"/>
  <c r="M216" i="14" a="1"/>
  <c r="M216" i="14" s="1"/>
  <c r="N216" i="14" a="1"/>
  <c r="N216" i="14" s="1"/>
  <c r="O216" i="14" a="1"/>
  <c r="O216" i="14" s="1"/>
  <c r="P216" i="14" a="1"/>
  <c r="P216" i="14" s="1"/>
  <c r="Q216" i="14" a="1"/>
  <c r="Q216" i="14" s="1"/>
  <c r="R216" i="14" a="1"/>
  <c r="R216" i="14" s="1"/>
  <c r="U216" i="14" a="1"/>
  <c r="U216" i="14" s="1"/>
  <c r="V216" i="14" a="1"/>
  <c r="V216" i="14" s="1"/>
  <c r="W216" i="14" a="1"/>
  <c r="W216" i="14" s="1"/>
  <c r="X216" i="14" a="1"/>
  <c r="X216" i="14" s="1"/>
  <c r="K217" i="14" a="1"/>
  <c r="K217" i="14" s="1"/>
  <c r="L217" i="14" a="1"/>
  <c r="L217" i="14" s="1"/>
  <c r="M217" i="14" a="1"/>
  <c r="M217" i="14" s="1"/>
  <c r="N217" i="14" a="1"/>
  <c r="N217" i="14" s="1"/>
  <c r="O217" i="14" a="1"/>
  <c r="O217" i="14" s="1"/>
  <c r="P217" i="14" a="1"/>
  <c r="P217" i="14" s="1"/>
  <c r="Q217" i="14" a="1"/>
  <c r="Q217" i="14" s="1"/>
  <c r="R217" i="14" a="1"/>
  <c r="R217" i="14" s="1"/>
  <c r="U217" i="14" a="1"/>
  <c r="U217" i="14" s="1"/>
  <c r="V217" i="14" a="1"/>
  <c r="V217" i="14" s="1"/>
  <c r="W217" i="14" a="1"/>
  <c r="W217" i="14" s="1"/>
  <c r="X217" i="14" a="1"/>
  <c r="X217" i="14" s="1"/>
  <c r="K218" i="14" a="1"/>
  <c r="K218" i="14" s="1"/>
  <c r="L218" i="14" a="1"/>
  <c r="L218" i="14" s="1"/>
  <c r="M218" i="14" a="1"/>
  <c r="M218" i="14" s="1"/>
  <c r="N218" i="14" a="1"/>
  <c r="N218" i="14" s="1"/>
  <c r="O218" i="14" a="1"/>
  <c r="O218" i="14" s="1"/>
  <c r="P218" i="14" a="1"/>
  <c r="P218" i="14" s="1"/>
  <c r="Q218" i="14" a="1"/>
  <c r="Q218" i="14" s="1"/>
  <c r="R218" i="14" a="1"/>
  <c r="R218" i="14" s="1"/>
  <c r="U218" i="14" a="1"/>
  <c r="U218" i="14" s="1"/>
  <c r="V218" i="14" a="1"/>
  <c r="V218" i="14" s="1"/>
  <c r="W218" i="14" a="1"/>
  <c r="W218" i="14" s="1"/>
  <c r="X218" i="14" a="1"/>
  <c r="X218" i="14" s="1"/>
  <c r="K219" i="14" a="1"/>
  <c r="K219" i="14" s="1"/>
  <c r="L219" i="14" a="1"/>
  <c r="L219" i="14" s="1"/>
  <c r="M219" i="14" a="1"/>
  <c r="M219" i="14" s="1"/>
  <c r="N219" i="14" a="1"/>
  <c r="N219" i="14" s="1"/>
  <c r="O219" i="14" a="1"/>
  <c r="O219" i="14" s="1"/>
  <c r="P219" i="14" a="1"/>
  <c r="P219" i="14" s="1"/>
  <c r="Q219" i="14" a="1"/>
  <c r="Q219" i="14" s="1"/>
  <c r="R219" i="14" a="1"/>
  <c r="R219" i="14" s="1"/>
  <c r="U219" i="14" a="1"/>
  <c r="U219" i="14" s="1"/>
  <c r="V219" i="14" a="1"/>
  <c r="V219" i="14" s="1"/>
  <c r="W219" i="14" a="1"/>
  <c r="W219" i="14" s="1"/>
  <c r="X219" i="14" a="1"/>
  <c r="X219" i="14" s="1"/>
  <c r="K220" i="14" a="1"/>
  <c r="K220" i="14" s="1"/>
  <c r="L220" i="14" a="1"/>
  <c r="L220" i="14" s="1"/>
  <c r="M220" i="14" a="1"/>
  <c r="M220" i="14" s="1"/>
  <c r="N220" i="14" a="1"/>
  <c r="N220" i="14" s="1"/>
  <c r="O220" i="14" a="1"/>
  <c r="O220" i="14" s="1"/>
  <c r="P220" i="14" a="1"/>
  <c r="P220" i="14" s="1"/>
  <c r="Q220" i="14" a="1"/>
  <c r="Q220" i="14" s="1"/>
  <c r="R220" i="14" a="1"/>
  <c r="R220" i="14" s="1"/>
  <c r="U220" i="14" a="1"/>
  <c r="U220" i="14" s="1"/>
  <c r="V220" i="14" a="1"/>
  <c r="V220" i="14" s="1"/>
  <c r="W220" i="14" a="1"/>
  <c r="W220" i="14" s="1"/>
  <c r="X220" i="14" a="1"/>
  <c r="X220" i="14" s="1"/>
  <c r="K221" i="14" a="1"/>
  <c r="K221" i="14" s="1"/>
  <c r="L221" i="14" a="1"/>
  <c r="L221" i="14" s="1"/>
  <c r="M221" i="14" a="1"/>
  <c r="M221" i="14" s="1"/>
  <c r="N221" i="14" a="1"/>
  <c r="N221" i="14" s="1"/>
  <c r="O221" i="14" a="1"/>
  <c r="O221" i="14" s="1"/>
  <c r="P221" i="14" a="1"/>
  <c r="P221" i="14" s="1"/>
  <c r="Q221" i="14" a="1"/>
  <c r="Q221" i="14" s="1"/>
  <c r="R221" i="14" a="1"/>
  <c r="R221" i="14" s="1"/>
  <c r="U221" i="14" a="1"/>
  <c r="U221" i="14" s="1"/>
  <c r="V221" i="14" a="1"/>
  <c r="V221" i="14" s="1"/>
  <c r="W221" i="14" a="1"/>
  <c r="W221" i="14" s="1"/>
  <c r="X221" i="14" a="1"/>
  <c r="X221" i="14" s="1"/>
  <c r="K222" i="14" a="1"/>
  <c r="K222" i="14" s="1"/>
  <c r="L222" i="14" a="1"/>
  <c r="L222" i="14" s="1"/>
  <c r="M222" i="14" a="1"/>
  <c r="M222" i="14" s="1"/>
  <c r="N222" i="14" a="1"/>
  <c r="N222" i="14" s="1"/>
  <c r="O222" i="14" a="1"/>
  <c r="O222" i="14" s="1"/>
  <c r="P222" i="14" a="1"/>
  <c r="P222" i="14" s="1"/>
  <c r="Q222" i="14" a="1"/>
  <c r="Q222" i="14" s="1"/>
  <c r="R222" i="14" a="1"/>
  <c r="R222" i="14" s="1"/>
  <c r="U222" i="14" a="1"/>
  <c r="U222" i="14" s="1"/>
  <c r="V222" i="14" a="1"/>
  <c r="V222" i="14" s="1"/>
  <c r="W222" i="14" a="1"/>
  <c r="W222" i="14" s="1"/>
  <c r="X222" i="14" a="1"/>
  <c r="X222" i="14" s="1"/>
  <c r="K223" i="14" a="1"/>
  <c r="K223" i="14" s="1"/>
  <c r="L223" i="14" a="1"/>
  <c r="L223" i="14" s="1"/>
  <c r="M223" i="14" a="1"/>
  <c r="M223" i="14" s="1"/>
  <c r="N223" i="14" a="1"/>
  <c r="N223" i="14" s="1"/>
  <c r="O223" i="14" a="1"/>
  <c r="O223" i="14" s="1"/>
  <c r="P223" i="14" a="1"/>
  <c r="P223" i="14" s="1"/>
  <c r="Q223" i="14" a="1"/>
  <c r="Q223" i="14" s="1"/>
  <c r="R223" i="14" a="1"/>
  <c r="R223" i="14" s="1"/>
  <c r="U223" i="14" a="1"/>
  <c r="U223" i="14" s="1"/>
  <c r="V223" i="14" a="1"/>
  <c r="V223" i="14" s="1"/>
  <c r="W223" i="14" a="1"/>
  <c r="W223" i="14" s="1"/>
  <c r="X223" i="14" a="1"/>
  <c r="X223" i="14" s="1"/>
  <c r="X2" i="27" a="1"/>
  <c r="X2" i="27" s="1"/>
  <c r="W2" i="27" a="1"/>
  <c r="W2" i="27" s="1"/>
  <c r="V2" i="27" a="1"/>
  <c r="V2" i="27" s="1"/>
  <c r="U2" i="27" a="1"/>
  <c r="U2" i="27" s="1"/>
  <c r="R2" i="27" a="1"/>
  <c r="R2" i="27" s="1"/>
  <c r="Q2" i="27" a="1"/>
  <c r="Q2" i="27" s="1"/>
  <c r="P2" i="27" a="1"/>
  <c r="P2" i="27" s="1"/>
  <c r="O2" i="27" a="1"/>
  <c r="O2" i="27" s="1"/>
  <c r="N2" i="27" a="1"/>
  <c r="N2" i="27" s="1"/>
  <c r="M2" i="27" a="1"/>
  <c r="M2" i="27" s="1"/>
  <c r="L2" i="27" a="1"/>
  <c r="L2" i="27" s="1"/>
  <c r="K2" i="27" a="1"/>
  <c r="K2" i="27" s="1"/>
  <c r="X2" i="26" a="1"/>
  <c r="X2" i="26" s="1"/>
  <c r="W2" i="26" a="1"/>
  <c r="W2" i="26" s="1"/>
  <c r="V2" i="26" a="1"/>
  <c r="V2" i="26" s="1"/>
  <c r="U2" i="26" a="1"/>
  <c r="U2" i="26" s="1"/>
  <c r="R2" i="26" a="1"/>
  <c r="R2" i="26" s="1"/>
  <c r="Q2" i="26" a="1"/>
  <c r="Q2" i="26" s="1"/>
  <c r="P2" i="26" a="1"/>
  <c r="P2" i="26" s="1"/>
  <c r="O2" i="26" a="1"/>
  <c r="O2" i="26" s="1"/>
  <c r="N2" i="26" a="1"/>
  <c r="N2" i="26" s="1"/>
  <c r="M2" i="26" a="1"/>
  <c r="M2" i="26" s="1"/>
  <c r="L2" i="26" a="1"/>
  <c r="L2" i="26" s="1"/>
  <c r="K2" i="26" a="1"/>
  <c r="K2" i="26" s="1"/>
  <c r="X2" i="25" a="1"/>
  <c r="X2" i="25" s="1"/>
  <c r="W2" i="25" a="1"/>
  <c r="W2" i="25" s="1"/>
  <c r="V2" i="25" a="1"/>
  <c r="V2" i="25" s="1"/>
  <c r="U2" i="25" a="1"/>
  <c r="U2" i="25" s="1"/>
  <c r="R2" i="25" a="1"/>
  <c r="R2" i="25" s="1"/>
  <c r="Q2" i="25" a="1"/>
  <c r="Q2" i="25" s="1"/>
  <c r="P2" i="25" a="1"/>
  <c r="P2" i="25" s="1"/>
  <c r="O2" i="25" a="1"/>
  <c r="O2" i="25" s="1"/>
  <c r="M2" i="25" a="1"/>
  <c r="M2" i="25" s="1"/>
  <c r="L2" i="25" a="1"/>
  <c r="L2" i="25" s="1"/>
  <c r="K2" i="25" a="1"/>
  <c r="K2" i="25" s="1"/>
  <c r="X2" i="24" a="1"/>
  <c r="X2" i="24" s="1"/>
  <c r="W2" i="24" a="1"/>
  <c r="W2" i="24" s="1"/>
  <c r="V2" i="24" a="1"/>
  <c r="V2" i="24" s="1"/>
  <c r="U2" i="24" a="1"/>
  <c r="U2" i="24" s="1"/>
  <c r="R2" i="24" a="1"/>
  <c r="R2" i="24" s="1"/>
  <c r="Q2" i="24" a="1"/>
  <c r="Q2" i="24" s="1"/>
  <c r="P2" i="24" a="1"/>
  <c r="P2" i="24" s="1"/>
  <c r="O2" i="24" a="1"/>
  <c r="O2" i="24" s="1"/>
  <c r="N2" i="24" a="1"/>
  <c r="N2" i="24" s="1"/>
  <c r="M2" i="24" a="1"/>
  <c r="M2" i="24" s="1"/>
  <c r="L2" i="24" a="1"/>
  <c r="L2" i="24" s="1"/>
  <c r="K2" i="24" a="1"/>
  <c r="K2" i="24" s="1"/>
  <c r="X2" i="23" a="1"/>
  <c r="X2" i="23" s="1"/>
  <c r="W2" i="23" a="1"/>
  <c r="W2" i="23" s="1"/>
  <c r="V2" i="23" a="1"/>
  <c r="V2" i="23" s="1"/>
  <c r="U2" i="23" a="1"/>
  <c r="U2" i="23" s="1"/>
  <c r="R2" i="23" a="1"/>
  <c r="R2" i="23" s="1"/>
  <c r="Q2" i="23" a="1"/>
  <c r="Q2" i="23" s="1"/>
  <c r="P2" i="23" a="1"/>
  <c r="P2" i="23" s="1"/>
  <c r="O2" i="23" a="1"/>
  <c r="O2" i="23" s="1"/>
  <c r="N2" i="23" a="1"/>
  <c r="N2" i="23" s="1"/>
  <c r="M2" i="23" a="1"/>
  <c r="M2" i="23" s="1"/>
  <c r="L2" i="23" a="1"/>
  <c r="L2" i="23" s="1"/>
  <c r="K2" i="23" a="1"/>
  <c r="K2" i="23" s="1"/>
  <c r="X2" i="22" a="1"/>
  <c r="X2" i="22" s="1"/>
  <c r="W2" i="22" a="1"/>
  <c r="W2" i="22" s="1"/>
  <c r="V2" i="22" a="1"/>
  <c r="V2" i="22" s="1"/>
  <c r="U2" i="22" a="1"/>
  <c r="U2" i="22" s="1"/>
  <c r="R2" i="22" a="1"/>
  <c r="R2" i="22" s="1"/>
  <c r="Q2" i="22" a="1"/>
  <c r="Q2" i="22" s="1"/>
  <c r="P2" i="22" a="1"/>
  <c r="P2" i="22" s="1"/>
  <c r="O2" i="22" a="1"/>
  <c r="O2" i="22" s="1"/>
  <c r="N2" i="22" a="1"/>
  <c r="N2" i="22" s="1"/>
  <c r="M2" i="22" a="1"/>
  <c r="M2" i="22" s="1"/>
  <c r="L2" i="22" a="1"/>
  <c r="L2" i="22" s="1"/>
  <c r="K2" i="22" a="1"/>
  <c r="K2" i="22" s="1"/>
  <c r="K3" i="21" a="1"/>
  <c r="K3" i="21" s="1"/>
  <c r="L3" i="21" a="1"/>
  <c r="L3" i="21" s="1"/>
  <c r="M3" i="21" a="1"/>
  <c r="M3" i="21" s="1"/>
  <c r="N3" i="21" a="1"/>
  <c r="N3" i="21" s="1"/>
  <c r="O3" i="21" a="1"/>
  <c r="O3" i="21" s="1"/>
  <c r="P3" i="21" a="1"/>
  <c r="P3" i="21" s="1"/>
  <c r="Q3" i="21" a="1"/>
  <c r="Q3" i="21" s="1"/>
  <c r="R3" i="21" a="1"/>
  <c r="R3" i="21" s="1"/>
  <c r="U3" i="21" a="1"/>
  <c r="U3" i="21" s="1"/>
  <c r="V3" i="21" a="1"/>
  <c r="V3" i="21" s="1"/>
  <c r="W3" i="21" a="1"/>
  <c r="W3" i="21" s="1"/>
  <c r="X3" i="21" a="1"/>
  <c r="X3" i="21" s="1"/>
  <c r="K4" i="21" a="1"/>
  <c r="K4" i="21" s="1"/>
  <c r="L4" i="21" a="1"/>
  <c r="L4" i="21" s="1"/>
  <c r="M4" i="21" a="1"/>
  <c r="M4" i="21" s="1"/>
  <c r="N4" i="21" a="1"/>
  <c r="N4" i="21" s="1"/>
  <c r="O4" i="21" a="1"/>
  <c r="O4" i="21" s="1"/>
  <c r="P4" i="21" a="1"/>
  <c r="P4" i="21" s="1"/>
  <c r="Q4" i="21" a="1"/>
  <c r="Q4" i="21" s="1"/>
  <c r="R4" i="21" a="1"/>
  <c r="R4" i="21" s="1"/>
  <c r="U4" i="21" a="1"/>
  <c r="U4" i="21" s="1"/>
  <c r="V4" i="21" a="1"/>
  <c r="V4" i="21" s="1"/>
  <c r="W4" i="21" a="1"/>
  <c r="W4" i="21" s="1"/>
  <c r="X4" i="21" a="1"/>
  <c r="X4" i="21" s="1"/>
  <c r="K5" i="21" a="1"/>
  <c r="K5" i="21" s="1"/>
  <c r="L5" i="21" a="1"/>
  <c r="L5" i="21" s="1"/>
  <c r="M5" i="21" a="1"/>
  <c r="M5" i="21" s="1"/>
  <c r="N5" i="21" a="1"/>
  <c r="N5" i="21" s="1"/>
  <c r="O5" i="21" a="1"/>
  <c r="O5" i="21" s="1"/>
  <c r="P5" i="21" a="1"/>
  <c r="P5" i="21" s="1"/>
  <c r="Q5" i="21" a="1"/>
  <c r="Q5" i="21" s="1"/>
  <c r="R5" i="21" a="1"/>
  <c r="R5" i="21" s="1"/>
  <c r="U5" i="21" a="1"/>
  <c r="U5" i="21" s="1"/>
  <c r="V5" i="21" a="1"/>
  <c r="V5" i="21" s="1"/>
  <c r="W5" i="21" a="1"/>
  <c r="W5" i="21" s="1"/>
  <c r="X5" i="21" a="1"/>
  <c r="X5" i="21" s="1"/>
  <c r="K6" i="21" a="1"/>
  <c r="K6" i="21" s="1"/>
  <c r="L6" i="21" a="1"/>
  <c r="L6" i="21" s="1"/>
  <c r="M6" i="21" a="1"/>
  <c r="M6" i="21" s="1"/>
  <c r="N6" i="21" a="1"/>
  <c r="N6" i="21" s="1"/>
  <c r="O6" i="21" a="1"/>
  <c r="O6" i="21" s="1"/>
  <c r="P6" i="21" a="1"/>
  <c r="P6" i="21" s="1"/>
  <c r="Q6" i="21" a="1"/>
  <c r="Q6" i="21" s="1"/>
  <c r="R6" i="21" a="1"/>
  <c r="R6" i="21" s="1"/>
  <c r="U6" i="21" a="1"/>
  <c r="U6" i="21" s="1"/>
  <c r="V6" i="21" a="1"/>
  <c r="V6" i="21" s="1"/>
  <c r="W6" i="21" a="1"/>
  <c r="W6" i="21" s="1"/>
  <c r="X6" i="21" a="1"/>
  <c r="X6" i="21" s="1"/>
  <c r="K7" i="21" a="1"/>
  <c r="K7" i="21" s="1"/>
  <c r="L7" i="21" a="1"/>
  <c r="L7" i="21" s="1"/>
  <c r="M7" i="21" a="1"/>
  <c r="M7" i="21" s="1"/>
  <c r="N7" i="21" a="1"/>
  <c r="N7" i="21" s="1"/>
  <c r="O7" i="21" a="1"/>
  <c r="O7" i="21" s="1"/>
  <c r="P7" i="21" a="1"/>
  <c r="P7" i="21" s="1"/>
  <c r="Q7" i="21" a="1"/>
  <c r="Q7" i="21" s="1"/>
  <c r="R7" i="21" a="1"/>
  <c r="R7" i="21" s="1"/>
  <c r="U7" i="21" a="1"/>
  <c r="U7" i="21" s="1"/>
  <c r="V7" i="21" a="1"/>
  <c r="V7" i="21" s="1"/>
  <c r="W7" i="21" a="1"/>
  <c r="W7" i="21" s="1"/>
  <c r="X7" i="21" a="1"/>
  <c r="X7" i="21" s="1"/>
  <c r="K8" i="21" a="1"/>
  <c r="K8" i="21" s="1"/>
  <c r="L8" i="21" a="1"/>
  <c r="L8" i="21" s="1"/>
  <c r="M8" i="21" a="1"/>
  <c r="M8" i="21" s="1"/>
  <c r="N8" i="21" a="1"/>
  <c r="N8" i="21" s="1"/>
  <c r="O8" i="21" a="1"/>
  <c r="O8" i="21" s="1"/>
  <c r="P8" i="21" a="1"/>
  <c r="P8" i="21" s="1"/>
  <c r="Q8" i="21" a="1"/>
  <c r="Q8" i="21" s="1"/>
  <c r="R8" i="21" a="1"/>
  <c r="R8" i="21" s="1"/>
  <c r="U8" i="21" a="1"/>
  <c r="U8" i="21" s="1"/>
  <c r="V8" i="21" a="1"/>
  <c r="V8" i="21" s="1"/>
  <c r="W8" i="21" a="1"/>
  <c r="W8" i="21" s="1"/>
  <c r="X8" i="21" a="1"/>
  <c r="X8" i="21" s="1"/>
  <c r="K9" i="21" a="1"/>
  <c r="K9" i="21" s="1"/>
  <c r="L9" i="21" a="1"/>
  <c r="L9" i="21" s="1"/>
  <c r="M9" i="21" a="1"/>
  <c r="M9" i="21" s="1"/>
  <c r="N9" i="21" a="1"/>
  <c r="N9" i="21" s="1"/>
  <c r="O9" i="21" a="1"/>
  <c r="O9" i="21" s="1"/>
  <c r="P9" i="21" a="1"/>
  <c r="P9" i="21" s="1"/>
  <c r="Q9" i="21" a="1"/>
  <c r="Q9" i="21" s="1"/>
  <c r="R9" i="21" a="1"/>
  <c r="R9" i="21" s="1"/>
  <c r="U9" i="21" a="1"/>
  <c r="U9" i="21" s="1"/>
  <c r="V9" i="21" a="1"/>
  <c r="V9" i="21" s="1"/>
  <c r="W9" i="21" a="1"/>
  <c r="W9" i="21" s="1"/>
  <c r="X9" i="21" a="1"/>
  <c r="X9" i="21" s="1"/>
  <c r="K10" i="21" a="1"/>
  <c r="K10" i="21" s="1"/>
  <c r="L10" i="21" a="1"/>
  <c r="L10" i="21" s="1"/>
  <c r="M10" i="21" a="1"/>
  <c r="M10" i="21" s="1"/>
  <c r="N10" i="21" a="1"/>
  <c r="N10" i="21" s="1"/>
  <c r="O10" i="21" a="1"/>
  <c r="O10" i="21" s="1"/>
  <c r="P10" i="21" a="1"/>
  <c r="P10" i="21" s="1"/>
  <c r="Q10" i="21" a="1"/>
  <c r="Q10" i="21" s="1"/>
  <c r="R10" i="21" a="1"/>
  <c r="R10" i="21" s="1"/>
  <c r="U10" i="21" a="1"/>
  <c r="U10" i="21" s="1"/>
  <c r="V10" i="21" a="1"/>
  <c r="V10" i="21" s="1"/>
  <c r="W10" i="21" a="1"/>
  <c r="W10" i="21" s="1"/>
  <c r="X10" i="21" a="1"/>
  <c r="X10" i="21" s="1"/>
  <c r="K11" i="21" a="1"/>
  <c r="K11" i="21" s="1"/>
  <c r="L11" i="21" a="1"/>
  <c r="L11" i="21" s="1"/>
  <c r="M11" i="21" a="1"/>
  <c r="M11" i="21" s="1"/>
  <c r="N11" i="21" a="1"/>
  <c r="N11" i="21" s="1"/>
  <c r="O11" i="21" a="1"/>
  <c r="O11" i="21" s="1"/>
  <c r="P11" i="21" a="1"/>
  <c r="P11" i="21" s="1"/>
  <c r="Q11" i="21" a="1"/>
  <c r="Q11" i="21" s="1"/>
  <c r="R11" i="21" a="1"/>
  <c r="R11" i="21" s="1"/>
  <c r="U11" i="21" a="1"/>
  <c r="U11" i="21" s="1"/>
  <c r="V11" i="21" a="1"/>
  <c r="V11" i="21" s="1"/>
  <c r="W11" i="21" a="1"/>
  <c r="W11" i="21" s="1"/>
  <c r="X11" i="21" a="1"/>
  <c r="X11" i="21" s="1"/>
  <c r="K12" i="21" a="1"/>
  <c r="K12" i="21" s="1"/>
  <c r="L12" i="21" a="1"/>
  <c r="L12" i="21" s="1"/>
  <c r="M12" i="21" a="1"/>
  <c r="M12" i="21" s="1"/>
  <c r="N12" i="21" a="1"/>
  <c r="N12" i="21" s="1"/>
  <c r="O12" i="21" a="1"/>
  <c r="O12" i="21" s="1"/>
  <c r="P12" i="21" a="1"/>
  <c r="P12" i="21" s="1"/>
  <c r="Q12" i="21" a="1"/>
  <c r="Q12" i="21" s="1"/>
  <c r="R12" i="21" a="1"/>
  <c r="R12" i="21" s="1"/>
  <c r="U12" i="21" a="1"/>
  <c r="U12" i="21" s="1"/>
  <c r="V12" i="21" a="1"/>
  <c r="V12" i="21" s="1"/>
  <c r="W12" i="21" a="1"/>
  <c r="W12" i="21" s="1"/>
  <c r="X12" i="21" a="1"/>
  <c r="X12" i="21" s="1"/>
  <c r="K13" i="21" a="1"/>
  <c r="K13" i="21" s="1"/>
  <c r="L13" i="21" a="1"/>
  <c r="L13" i="21" s="1"/>
  <c r="M13" i="21" a="1"/>
  <c r="M13" i="21" s="1"/>
  <c r="N13" i="21" a="1"/>
  <c r="N13" i="21" s="1"/>
  <c r="O13" i="21" a="1"/>
  <c r="O13" i="21" s="1"/>
  <c r="P13" i="21" a="1"/>
  <c r="P13" i="21" s="1"/>
  <c r="Q13" i="21" a="1"/>
  <c r="Q13" i="21" s="1"/>
  <c r="R13" i="21" a="1"/>
  <c r="R13" i="21" s="1"/>
  <c r="U13" i="21" a="1"/>
  <c r="U13" i="21" s="1"/>
  <c r="V13" i="21" a="1"/>
  <c r="V13" i="21" s="1"/>
  <c r="W13" i="21" a="1"/>
  <c r="W13" i="21" s="1"/>
  <c r="X13" i="21" a="1"/>
  <c r="X13" i="21" s="1"/>
  <c r="K14" i="21" a="1"/>
  <c r="K14" i="21" s="1"/>
  <c r="L14" i="21" a="1"/>
  <c r="L14" i="21" s="1"/>
  <c r="M14" i="21" a="1"/>
  <c r="M14" i="21" s="1"/>
  <c r="N14" i="21" a="1"/>
  <c r="N14" i="21" s="1"/>
  <c r="O14" i="21" a="1"/>
  <c r="O14" i="21" s="1"/>
  <c r="P14" i="21" a="1"/>
  <c r="P14" i="21" s="1"/>
  <c r="Q14" i="21" a="1"/>
  <c r="Q14" i="21" s="1"/>
  <c r="R14" i="21" a="1"/>
  <c r="R14" i="21" s="1"/>
  <c r="U14" i="21" a="1"/>
  <c r="U14" i="21" s="1"/>
  <c r="V14" i="21" a="1"/>
  <c r="V14" i="21" s="1"/>
  <c r="W14" i="21" a="1"/>
  <c r="W14" i="21" s="1"/>
  <c r="X14" i="21" a="1"/>
  <c r="X14" i="21" s="1"/>
  <c r="K15" i="21" a="1"/>
  <c r="K15" i="21" s="1"/>
  <c r="L15" i="21" a="1"/>
  <c r="L15" i="21" s="1"/>
  <c r="M15" i="21" a="1"/>
  <c r="M15" i="21" s="1"/>
  <c r="N15" i="21" a="1"/>
  <c r="N15" i="21" s="1"/>
  <c r="O15" i="21" a="1"/>
  <c r="O15" i="21" s="1"/>
  <c r="P15" i="21" a="1"/>
  <c r="P15" i="21" s="1"/>
  <c r="Q15" i="21" a="1"/>
  <c r="Q15" i="21" s="1"/>
  <c r="R15" i="21" a="1"/>
  <c r="R15" i="21" s="1"/>
  <c r="U15" i="21" a="1"/>
  <c r="U15" i="21" s="1"/>
  <c r="V15" i="21" a="1"/>
  <c r="V15" i="21" s="1"/>
  <c r="W15" i="21" a="1"/>
  <c r="W15" i="21" s="1"/>
  <c r="X15" i="21" a="1"/>
  <c r="X15" i="21" s="1"/>
  <c r="K16" i="21" a="1"/>
  <c r="K16" i="21" s="1"/>
  <c r="L16" i="21" a="1"/>
  <c r="L16" i="21" s="1"/>
  <c r="M16" i="21" a="1"/>
  <c r="M16" i="21" s="1"/>
  <c r="N16" i="21" a="1"/>
  <c r="N16" i="21" s="1"/>
  <c r="O16" i="21" a="1"/>
  <c r="O16" i="21" s="1"/>
  <c r="P16" i="21" a="1"/>
  <c r="P16" i="21" s="1"/>
  <c r="Q16" i="21" a="1"/>
  <c r="Q16" i="21" s="1"/>
  <c r="R16" i="21" a="1"/>
  <c r="R16" i="21" s="1"/>
  <c r="U16" i="21" a="1"/>
  <c r="U16" i="21" s="1"/>
  <c r="V16" i="21" a="1"/>
  <c r="V16" i="21" s="1"/>
  <c r="W16" i="21" a="1"/>
  <c r="W16" i="21" s="1"/>
  <c r="X16" i="21" a="1"/>
  <c r="X16" i="21" s="1"/>
  <c r="K17" i="21" a="1"/>
  <c r="K17" i="21" s="1"/>
  <c r="L17" i="21" a="1"/>
  <c r="L17" i="21" s="1"/>
  <c r="M17" i="21" a="1"/>
  <c r="M17" i="21" s="1"/>
  <c r="N17" i="21" a="1"/>
  <c r="N17" i="21" s="1"/>
  <c r="O17" i="21" a="1"/>
  <c r="O17" i="21" s="1"/>
  <c r="P17" i="21" a="1"/>
  <c r="P17" i="21" s="1"/>
  <c r="Q17" i="21" a="1"/>
  <c r="Q17" i="21" s="1"/>
  <c r="R17" i="21" a="1"/>
  <c r="R17" i="21" s="1"/>
  <c r="U17" i="21" a="1"/>
  <c r="U17" i="21" s="1"/>
  <c r="V17" i="21" a="1"/>
  <c r="V17" i="21" s="1"/>
  <c r="W17" i="21" a="1"/>
  <c r="W17" i="21" s="1"/>
  <c r="X17" i="21" a="1"/>
  <c r="X17" i="21" s="1"/>
  <c r="K18" i="21" a="1"/>
  <c r="K18" i="21" s="1"/>
  <c r="L18" i="21" a="1"/>
  <c r="L18" i="21" s="1"/>
  <c r="M18" i="21" a="1"/>
  <c r="M18" i="21" s="1"/>
  <c r="N18" i="21" a="1"/>
  <c r="N18" i="21" s="1"/>
  <c r="O18" i="21" a="1"/>
  <c r="O18" i="21" s="1"/>
  <c r="P18" i="21" a="1"/>
  <c r="P18" i="21" s="1"/>
  <c r="Q18" i="21" a="1"/>
  <c r="Q18" i="21" s="1"/>
  <c r="R18" i="21" a="1"/>
  <c r="R18" i="21" s="1"/>
  <c r="U18" i="21" a="1"/>
  <c r="U18" i="21" s="1"/>
  <c r="V18" i="21" a="1"/>
  <c r="V18" i="21" s="1"/>
  <c r="W18" i="21" a="1"/>
  <c r="W18" i="21" s="1"/>
  <c r="X18" i="21" a="1"/>
  <c r="X18" i="21" s="1"/>
  <c r="K19" i="21" a="1"/>
  <c r="K19" i="21" s="1"/>
  <c r="L19" i="21" a="1"/>
  <c r="L19" i="21" s="1"/>
  <c r="M19" i="21" a="1"/>
  <c r="M19" i="21" s="1"/>
  <c r="N19" i="21" a="1"/>
  <c r="N19" i="21" s="1"/>
  <c r="O19" i="21" a="1"/>
  <c r="O19" i="21" s="1"/>
  <c r="P19" i="21" a="1"/>
  <c r="P19" i="21" s="1"/>
  <c r="Q19" i="21" a="1"/>
  <c r="Q19" i="21" s="1"/>
  <c r="R19" i="21" a="1"/>
  <c r="R19" i="21" s="1"/>
  <c r="U19" i="21" a="1"/>
  <c r="U19" i="21" s="1"/>
  <c r="V19" i="21" a="1"/>
  <c r="V19" i="21" s="1"/>
  <c r="W19" i="21" a="1"/>
  <c r="W19" i="21" s="1"/>
  <c r="X19" i="21" a="1"/>
  <c r="X19" i="21" s="1"/>
  <c r="K20" i="21" a="1"/>
  <c r="K20" i="21" s="1"/>
  <c r="L20" i="21" a="1"/>
  <c r="L20" i="21" s="1"/>
  <c r="M20" i="21" a="1"/>
  <c r="M20" i="21" s="1"/>
  <c r="N20" i="21" a="1"/>
  <c r="N20" i="21" s="1"/>
  <c r="O20" i="21" a="1"/>
  <c r="O20" i="21" s="1"/>
  <c r="P20" i="21" a="1"/>
  <c r="P20" i="21" s="1"/>
  <c r="Q20" i="21" a="1"/>
  <c r="Q20" i="21" s="1"/>
  <c r="R20" i="21" a="1"/>
  <c r="R20" i="21" s="1"/>
  <c r="U20" i="21" a="1"/>
  <c r="U20" i="21" s="1"/>
  <c r="V20" i="21" a="1"/>
  <c r="V20" i="21" s="1"/>
  <c r="W20" i="21" a="1"/>
  <c r="W20" i="21" s="1"/>
  <c r="X20" i="21" a="1"/>
  <c r="X20" i="21" s="1"/>
  <c r="K21" i="21" a="1"/>
  <c r="K21" i="21" s="1"/>
  <c r="L21" i="21" a="1"/>
  <c r="L21" i="21" s="1"/>
  <c r="M21" i="21" a="1"/>
  <c r="M21" i="21" s="1"/>
  <c r="N21" i="21" a="1"/>
  <c r="N21" i="21" s="1"/>
  <c r="O21" i="21" a="1"/>
  <c r="O21" i="21" s="1"/>
  <c r="P21" i="21" a="1"/>
  <c r="P21" i="21" s="1"/>
  <c r="Q21" i="21" a="1"/>
  <c r="Q21" i="21" s="1"/>
  <c r="R21" i="21" a="1"/>
  <c r="R21" i="21" s="1"/>
  <c r="U21" i="21" a="1"/>
  <c r="U21" i="21" s="1"/>
  <c r="V21" i="21" a="1"/>
  <c r="V21" i="21" s="1"/>
  <c r="W21" i="21" a="1"/>
  <c r="W21" i="21" s="1"/>
  <c r="X21" i="21" a="1"/>
  <c r="X21" i="21" s="1"/>
  <c r="K22" i="21" a="1"/>
  <c r="K22" i="21" s="1"/>
  <c r="L22" i="21" a="1"/>
  <c r="L22" i="21" s="1"/>
  <c r="M22" i="21" a="1"/>
  <c r="M22" i="21" s="1"/>
  <c r="N22" i="21" a="1"/>
  <c r="N22" i="21" s="1"/>
  <c r="O22" i="21" a="1"/>
  <c r="O22" i="21" s="1"/>
  <c r="P22" i="21" a="1"/>
  <c r="P22" i="21" s="1"/>
  <c r="Q22" i="21" a="1"/>
  <c r="Q22" i="21" s="1"/>
  <c r="R22" i="21" a="1"/>
  <c r="R22" i="21" s="1"/>
  <c r="U22" i="21" a="1"/>
  <c r="U22" i="21" s="1"/>
  <c r="V22" i="21" a="1"/>
  <c r="V22" i="21" s="1"/>
  <c r="W22" i="21" a="1"/>
  <c r="W22" i="21" s="1"/>
  <c r="X22" i="21" a="1"/>
  <c r="X22" i="21" s="1"/>
  <c r="K23" i="21" a="1"/>
  <c r="K23" i="21" s="1"/>
  <c r="L23" i="21" a="1"/>
  <c r="L23" i="21" s="1"/>
  <c r="M23" i="21" a="1"/>
  <c r="M23" i="21" s="1"/>
  <c r="N23" i="21" a="1"/>
  <c r="N23" i="21" s="1"/>
  <c r="O23" i="21" a="1"/>
  <c r="O23" i="21" s="1"/>
  <c r="P23" i="21" a="1"/>
  <c r="P23" i="21" s="1"/>
  <c r="Q23" i="21" a="1"/>
  <c r="Q23" i="21" s="1"/>
  <c r="R23" i="21" a="1"/>
  <c r="R23" i="21" s="1"/>
  <c r="U23" i="21" a="1"/>
  <c r="U23" i="21" s="1"/>
  <c r="V23" i="21" a="1"/>
  <c r="V23" i="21" s="1"/>
  <c r="W23" i="21" a="1"/>
  <c r="W23" i="21" s="1"/>
  <c r="X23" i="21" a="1"/>
  <c r="X23" i="21" s="1"/>
  <c r="K24" i="21" a="1"/>
  <c r="K24" i="21" s="1"/>
  <c r="L24" i="21" a="1"/>
  <c r="L24" i="21" s="1"/>
  <c r="M24" i="21" a="1"/>
  <c r="M24" i="21" s="1"/>
  <c r="N24" i="21" a="1"/>
  <c r="N24" i="21" s="1"/>
  <c r="O24" i="21" a="1"/>
  <c r="O24" i="21" s="1"/>
  <c r="P24" i="21" a="1"/>
  <c r="P24" i="21" s="1"/>
  <c r="Q24" i="21" a="1"/>
  <c r="Q24" i="21" s="1"/>
  <c r="R24" i="21" a="1"/>
  <c r="R24" i="21" s="1"/>
  <c r="U24" i="21" a="1"/>
  <c r="U24" i="21" s="1"/>
  <c r="V24" i="21" a="1"/>
  <c r="V24" i="21" s="1"/>
  <c r="W24" i="21" a="1"/>
  <c r="W24" i="21" s="1"/>
  <c r="X24" i="21" a="1"/>
  <c r="X24" i="21" s="1"/>
  <c r="K25" i="21" a="1"/>
  <c r="K25" i="21" s="1"/>
  <c r="L25" i="21" a="1"/>
  <c r="L25" i="21" s="1"/>
  <c r="M25" i="21" a="1"/>
  <c r="M25" i="21" s="1"/>
  <c r="N25" i="21" a="1"/>
  <c r="N25" i="21" s="1"/>
  <c r="O25" i="21" a="1"/>
  <c r="O25" i="21" s="1"/>
  <c r="P25" i="21" a="1"/>
  <c r="P25" i="21" s="1"/>
  <c r="Q25" i="21" a="1"/>
  <c r="Q25" i="21" s="1"/>
  <c r="R25" i="21" a="1"/>
  <c r="R25" i="21" s="1"/>
  <c r="U25" i="21" a="1"/>
  <c r="U25" i="21" s="1"/>
  <c r="V25" i="21" a="1"/>
  <c r="V25" i="21" s="1"/>
  <c r="W25" i="21" a="1"/>
  <c r="W25" i="21" s="1"/>
  <c r="X25" i="21" a="1"/>
  <c r="X25" i="21" s="1"/>
  <c r="K26" i="21" a="1"/>
  <c r="K26" i="21" s="1"/>
  <c r="L26" i="21" a="1"/>
  <c r="L26" i="21" s="1"/>
  <c r="M26" i="21" a="1"/>
  <c r="M26" i="21" s="1"/>
  <c r="N26" i="21" a="1"/>
  <c r="N26" i="21" s="1"/>
  <c r="O26" i="21" a="1"/>
  <c r="O26" i="21" s="1"/>
  <c r="P26" i="21" a="1"/>
  <c r="P26" i="21" s="1"/>
  <c r="Q26" i="21" a="1"/>
  <c r="Q26" i="21" s="1"/>
  <c r="R26" i="21" a="1"/>
  <c r="R26" i="21" s="1"/>
  <c r="U26" i="21" a="1"/>
  <c r="U26" i="21" s="1"/>
  <c r="V26" i="21" a="1"/>
  <c r="V26" i="21" s="1"/>
  <c r="W26" i="21" a="1"/>
  <c r="W26" i="21" s="1"/>
  <c r="X26" i="21" a="1"/>
  <c r="X26" i="21" s="1"/>
  <c r="K27" i="21" a="1"/>
  <c r="K27" i="21" s="1"/>
  <c r="L27" i="21" a="1"/>
  <c r="L27" i="21" s="1"/>
  <c r="M27" i="21" a="1"/>
  <c r="M27" i="21" s="1"/>
  <c r="N27" i="21" a="1"/>
  <c r="N27" i="21" s="1"/>
  <c r="O27" i="21" a="1"/>
  <c r="O27" i="21" s="1"/>
  <c r="P27" i="21" a="1"/>
  <c r="P27" i="21" s="1"/>
  <c r="Q27" i="21" a="1"/>
  <c r="Q27" i="21" s="1"/>
  <c r="R27" i="21" a="1"/>
  <c r="R27" i="21" s="1"/>
  <c r="U27" i="21" a="1"/>
  <c r="U27" i="21" s="1"/>
  <c r="V27" i="21" a="1"/>
  <c r="V27" i="21" s="1"/>
  <c r="W27" i="21" a="1"/>
  <c r="W27" i="21" s="1"/>
  <c r="X27" i="21" a="1"/>
  <c r="X27" i="21" s="1"/>
  <c r="K28" i="21" a="1"/>
  <c r="K28" i="21" s="1"/>
  <c r="L28" i="21" a="1"/>
  <c r="L28" i="21" s="1"/>
  <c r="M28" i="21" a="1"/>
  <c r="M28" i="21" s="1"/>
  <c r="N28" i="21" a="1"/>
  <c r="N28" i="21" s="1"/>
  <c r="O28" i="21" a="1"/>
  <c r="O28" i="21" s="1"/>
  <c r="P28" i="21" a="1"/>
  <c r="P28" i="21" s="1"/>
  <c r="Q28" i="21" a="1"/>
  <c r="Q28" i="21" s="1"/>
  <c r="R28" i="21" a="1"/>
  <c r="R28" i="21" s="1"/>
  <c r="U28" i="21" a="1"/>
  <c r="U28" i="21" s="1"/>
  <c r="V28" i="21" a="1"/>
  <c r="V28" i="21" s="1"/>
  <c r="W28" i="21" a="1"/>
  <c r="W28" i="21" s="1"/>
  <c r="X28" i="21" a="1"/>
  <c r="X28" i="21" s="1"/>
  <c r="K29" i="21" a="1"/>
  <c r="K29" i="21" s="1"/>
  <c r="L29" i="21" a="1"/>
  <c r="L29" i="21" s="1"/>
  <c r="M29" i="21" a="1"/>
  <c r="M29" i="21" s="1"/>
  <c r="N29" i="21" a="1"/>
  <c r="N29" i="21" s="1"/>
  <c r="O29" i="21" a="1"/>
  <c r="O29" i="21" s="1"/>
  <c r="P29" i="21" a="1"/>
  <c r="P29" i="21" s="1"/>
  <c r="Q29" i="21" a="1"/>
  <c r="Q29" i="21" s="1"/>
  <c r="R29" i="21" a="1"/>
  <c r="R29" i="21" s="1"/>
  <c r="U29" i="21" a="1"/>
  <c r="U29" i="21" s="1"/>
  <c r="V29" i="21" a="1"/>
  <c r="V29" i="21" s="1"/>
  <c r="W29" i="21" a="1"/>
  <c r="W29" i="21" s="1"/>
  <c r="X29" i="21" a="1"/>
  <c r="X29" i="21" s="1"/>
  <c r="K30" i="21" a="1"/>
  <c r="K30" i="21" s="1"/>
  <c r="L30" i="21" a="1"/>
  <c r="L30" i="21" s="1"/>
  <c r="M30" i="21" a="1"/>
  <c r="M30" i="21" s="1"/>
  <c r="N30" i="21" a="1"/>
  <c r="N30" i="21" s="1"/>
  <c r="O30" i="21" a="1"/>
  <c r="O30" i="21" s="1"/>
  <c r="P30" i="21" a="1"/>
  <c r="P30" i="21" s="1"/>
  <c r="Q30" i="21" a="1"/>
  <c r="Q30" i="21" s="1"/>
  <c r="R30" i="21" a="1"/>
  <c r="R30" i="21" s="1"/>
  <c r="U30" i="21" a="1"/>
  <c r="U30" i="21" s="1"/>
  <c r="V30" i="21" a="1"/>
  <c r="V30" i="21" s="1"/>
  <c r="W30" i="21" a="1"/>
  <c r="W30" i="21" s="1"/>
  <c r="X30" i="21" a="1"/>
  <c r="X30" i="21" s="1"/>
  <c r="K31" i="21" a="1"/>
  <c r="K31" i="21" s="1"/>
  <c r="L31" i="21" a="1"/>
  <c r="L31" i="21" s="1"/>
  <c r="M31" i="21" a="1"/>
  <c r="M31" i="21" s="1"/>
  <c r="N31" i="21" a="1"/>
  <c r="N31" i="21" s="1"/>
  <c r="O31" i="21" a="1"/>
  <c r="O31" i="21" s="1"/>
  <c r="P31" i="21" a="1"/>
  <c r="P31" i="21" s="1"/>
  <c r="Q31" i="21" a="1"/>
  <c r="Q31" i="21" s="1"/>
  <c r="R31" i="21" a="1"/>
  <c r="R31" i="21" s="1"/>
  <c r="U31" i="21" a="1"/>
  <c r="U31" i="21" s="1"/>
  <c r="V31" i="21" a="1"/>
  <c r="V31" i="21" s="1"/>
  <c r="W31" i="21" a="1"/>
  <c r="W31" i="21" s="1"/>
  <c r="X31" i="21" a="1"/>
  <c r="X31" i="21" s="1"/>
  <c r="K32" i="21" a="1"/>
  <c r="K32" i="21" s="1"/>
  <c r="L32" i="21" a="1"/>
  <c r="L32" i="21" s="1"/>
  <c r="M32" i="21" a="1"/>
  <c r="M32" i="21" s="1"/>
  <c r="N32" i="21" a="1"/>
  <c r="N32" i="21" s="1"/>
  <c r="O32" i="21" a="1"/>
  <c r="O32" i="21" s="1"/>
  <c r="P32" i="21" a="1"/>
  <c r="P32" i="21" s="1"/>
  <c r="Q32" i="21" a="1"/>
  <c r="Q32" i="21" s="1"/>
  <c r="R32" i="21" a="1"/>
  <c r="R32" i="21" s="1"/>
  <c r="U32" i="21" a="1"/>
  <c r="U32" i="21" s="1"/>
  <c r="V32" i="21" a="1"/>
  <c r="V32" i="21" s="1"/>
  <c r="W32" i="21" a="1"/>
  <c r="W32" i="21" s="1"/>
  <c r="X32" i="21" a="1"/>
  <c r="X32" i="21" s="1"/>
  <c r="K33" i="21" a="1"/>
  <c r="K33" i="21" s="1"/>
  <c r="L33" i="21" a="1"/>
  <c r="L33" i="21" s="1"/>
  <c r="M33" i="21" a="1"/>
  <c r="M33" i="21" s="1"/>
  <c r="N33" i="21" a="1"/>
  <c r="N33" i="21" s="1"/>
  <c r="O33" i="21" a="1"/>
  <c r="O33" i="21" s="1"/>
  <c r="P33" i="21" a="1"/>
  <c r="P33" i="21" s="1"/>
  <c r="Q33" i="21" a="1"/>
  <c r="Q33" i="21" s="1"/>
  <c r="R33" i="21" a="1"/>
  <c r="R33" i="21" s="1"/>
  <c r="U33" i="21" a="1"/>
  <c r="U33" i="21" s="1"/>
  <c r="V33" i="21" a="1"/>
  <c r="V33" i="21" s="1"/>
  <c r="W33" i="21" a="1"/>
  <c r="W33" i="21" s="1"/>
  <c r="X33" i="21" a="1"/>
  <c r="X33" i="21" s="1"/>
  <c r="K34" i="21" a="1"/>
  <c r="K34" i="21" s="1"/>
  <c r="L34" i="21" a="1"/>
  <c r="L34" i="21" s="1"/>
  <c r="M34" i="21" a="1"/>
  <c r="M34" i="21" s="1"/>
  <c r="N34" i="21" a="1"/>
  <c r="N34" i="21" s="1"/>
  <c r="O34" i="21" a="1"/>
  <c r="O34" i="21" s="1"/>
  <c r="P34" i="21" a="1"/>
  <c r="P34" i="21" s="1"/>
  <c r="Q34" i="21" a="1"/>
  <c r="Q34" i="21" s="1"/>
  <c r="R34" i="21" a="1"/>
  <c r="R34" i="21" s="1"/>
  <c r="U34" i="21" a="1"/>
  <c r="U34" i="21" s="1"/>
  <c r="V34" i="21" a="1"/>
  <c r="V34" i="21" s="1"/>
  <c r="W34" i="21" a="1"/>
  <c r="W34" i="21" s="1"/>
  <c r="X34" i="21" a="1"/>
  <c r="X34" i="21" s="1"/>
  <c r="K35" i="21" a="1"/>
  <c r="K35" i="21" s="1"/>
  <c r="L35" i="21" a="1"/>
  <c r="L35" i="21" s="1"/>
  <c r="M35" i="21" a="1"/>
  <c r="M35" i="21" s="1"/>
  <c r="N35" i="21" a="1"/>
  <c r="N35" i="21" s="1"/>
  <c r="O35" i="21" a="1"/>
  <c r="O35" i="21" s="1"/>
  <c r="P35" i="21" a="1"/>
  <c r="P35" i="21" s="1"/>
  <c r="Q35" i="21" a="1"/>
  <c r="Q35" i="21" s="1"/>
  <c r="R35" i="21" a="1"/>
  <c r="R35" i="21" s="1"/>
  <c r="U35" i="21" a="1"/>
  <c r="U35" i="21" s="1"/>
  <c r="V35" i="21" a="1"/>
  <c r="V35" i="21" s="1"/>
  <c r="W35" i="21" a="1"/>
  <c r="W35" i="21" s="1"/>
  <c r="X35" i="21" a="1"/>
  <c r="X35" i="21" s="1"/>
  <c r="K36" i="21" a="1"/>
  <c r="K36" i="21" s="1"/>
  <c r="L36" i="21" a="1"/>
  <c r="L36" i="21" s="1"/>
  <c r="M36" i="21" a="1"/>
  <c r="M36" i="21" s="1"/>
  <c r="N36" i="21" a="1"/>
  <c r="N36" i="21" s="1"/>
  <c r="O36" i="21" a="1"/>
  <c r="O36" i="21" s="1"/>
  <c r="P36" i="21" a="1"/>
  <c r="P36" i="21" s="1"/>
  <c r="Q36" i="21" a="1"/>
  <c r="Q36" i="21" s="1"/>
  <c r="R36" i="21" a="1"/>
  <c r="R36" i="21" s="1"/>
  <c r="U36" i="21" a="1"/>
  <c r="U36" i="21" s="1"/>
  <c r="V36" i="21" a="1"/>
  <c r="V36" i="21" s="1"/>
  <c r="W36" i="21" a="1"/>
  <c r="W36" i="21" s="1"/>
  <c r="X36" i="21" a="1"/>
  <c r="X36" i="21" s="1"/>
  <c r="K37" i="21" a="1"/>
  <c r="K37" i="21" s="1"/>
  <c r="L37" i="21" a="1"/>
  <c r="L37" i="21" s="1"/>
  <c r="M37" i="21" a="1"/>
  <c r="M37" i="21" s="1"/>
  <c r="N37" i="21" a="1"/>
  <c r="N37" i="21" s="1"/>
  <c r="O37" i="21" a="1"/>
  <c r="O37" i="21" s="1"/>
  <c r="P37" i="21" a="1"/>
  <c r="P37" i="21" s="1"/>
  <c r="Q37" i="21" a="1"/>
  <c r="Q37" i="21" s="1"/>
  <c r="R37" i="21" a="1"/>
  <c r="R37" i="21" s="1"/>
  <c r="U37" i="21" a="1"/>
  <c r="U37" i="21" s="1"/>
  <c r="V37" i="21" a="1"/>
  <c r="V37" i="21" s="1"/>
  <c r="W37" i="21" a="1"/>
  <c r="W37" i="21" s="1"/>
  <c r="X37" i="21" a="1"/>
  <c r="X37" i="21" s="1"/>
  <c r="K38" i="21" a="1"/>
  <c r="K38" i="21" s="1"/>
  <c r="L38" i="21" a="1"/>
  <c r="L38" i="21" s="1"/>
  <c r="M38" i="21" a="1"/>
  <c r="M38" i="21" s="1"/>
  <c r="N38" i="21" a="1"/>
  <c r="N38" i="21" s="1"/>
  <c r="O38" i="21" a="1"/>
  <c r="O38" i="21" s="1"/>
  <c r="P38" i="21" a="1"/>
  <c r="P38" i="21" s="1"/>
  <c r="Q38" i="21" a="1"/>
  <c r="Q38" i="21" s="1"/>
  <c r="R38" i="21" a="1"/>
  <c r="R38" i="21" s="1"/>
  <c r="U38" i="21" a="1"/>
  <c r="U38" i="21" s="1"/>
  <c r="V38" i="21" a="1"/>
  <c r="V38" i="21" s="1"/>
  <c r="W38" i="21" a="1"/>
  <c r="W38" i="21" s="1"/>
  <c r="X38" i="21" a="1"/>
  <c r="X38" i="21" s="1"/>
  <c r="K39" i="21" a="1"/>
  <c r="K39" i="21" s="1"/>
  <c r="L39" i="21" a="1"/>
  <c r="L39" i="21" s="1"/>
  <c r="M39" i="21" a="1"/>
  <c r="M39" i="21" s="1"/>
  <c r="N39" i="21" a="1"/>
  <c r="N39" i="21" s="1"/>
  <c r="O39" i="21" a="1"/>
  <c r="O39" i="21" s="1"/>
  <c r="P39" i="21" a="1"/>
  <c r="P39" i="21" s="1"/>
  <c r="Q39" i="21" a="1"/>
  <c r="Q39" i="21" s="1"/>
  <c r="R39" i="21" a="1"/>
  <c r="R39" i="21" s="1"/>
  <c r="U39" i="21" a="1"/>
  <c r="U39" i="21" s="1"/>
  <c r="V39" i="21" a="1"/>
  <c r="V39" i="21" s="1"/>
  <c r="W39" i="21" a="1"/>
  <c r="W39" i="21" s="1"/>
  <c r="X39" i="21" a="1"/>
  <c r="X39" i="21" s="1"/>
  <c r="K40" i="21" a="1"/>
  <c r="K40" i="21" s="1"/>
  <c r="L40" i="21" a="1"/>
  <c r="L40" i="21" s="1"/>
  <c r="M40" i="21" a="1"/>
  <c r="M40" i="21" s="1"/>
  <c r="N40" i="21" a="1"/>
  <c r="N40" i="21" s="1"/>
  <c r="O40" i="21" a="1"/>
  <c r="O40" i="21" s="1"/>
  <c r="P40" i="21" a="1"/>
  <c r="P40" i="21" s="1"/>
  <c r="Q40" i="21" a="1"/>
  <c r="Q40" i="21" s="1"/>
  <c r="R40" i="21" a="1"/>
  <c r="R40" i="21" s="1"/>
  <c r="U40" i="21" a="1"/>
  <c r="U40" i="21" s="1"/>
  <c r="V40" i="21" a="1"/>
  <c r="V40" i="21" s="1"/>
  <c r="W40" i="21" a="1"/>
  <c r="W40" i="21" s="1"/>
  <c r="X40" i="21" a="1"/>
  <c r="X40" i="21" s="1"/>
  <c r="K41" i="21" a="1"/>
  <c r="K41" i="21" s="1"/>
  <c r="L41" i="21" a="1"/>
  <c r="L41" i="21" s="1"/>
  <c r="M41" i="21" a="1"/>
  <c r="M41" i="21" s="1"/>
  <c r="N41" i="21" a="1"/>
  <c r="N41" i="21" s="1"/>
  <c r="O41" i="21" a="1"/>
  <c r="O41" i="21" s="1"/>
  <c r="P41" i="21" a="1"/>
  <c r="P41" i="21" s="1"/>
  <c r="Q41" i="21" a="1"/>
  <c r="Q41" i="21" s="1"/>
  <c r="R41" i="21" a="1"/>
  <c r="R41" i="21" s="1"/>
  <c r="U41" i="21" a="1"/>
  <c r="U41" i="21" s="1"/>
  <c r="V41" i="21" a="1"/>
  <c r="V41" i="21" s="1"/>
  <c r="W41" i="21" a="1"/>
  <c r="W41" i="21" s="1"/>
  <c r="X41" i="21" a="1"/>
  <c r="X41" i="21" s="1"/>
  <c r="K42" i="21" a="1"/>
  <c r="K42" i="21" s="1"/>
  <c r="L42" i="21" a="1"/>
  <c r="L42" i="21" s="1"/>
  <c r="M42" i="21" a="1"/>
  <c r="M42" i="21" s="1"/>
  <c r="N42" i="21" a="1"/>
  <c r="N42" i="21" s="1"/>
  <c r="O42" i="21" a="1"/>
  <c r="O42" i="21" s="1"/>
  <c r="P42" i="21" a="1"/>
  <c r="P42" i="21" s="1"/>
  <c r="Q42" i="21" a="1"/>
  <c r="Q42" i="21" s="1"/>
  <c r="R42" i="21" a="1"/>
  <c r="R42" i="21" s="1"/>
  <c r="U42" i="21" a="1"/>
  <c r="U42" i="21" s="1"/>
  <c r="V42" i="21" a="1"/>
  <c r="V42" i="21" s="1"/>
  <c r="W42" i="21" a="1"/>
  <c r="W42" i="21" s="1"/>
  <c r="X42" i="21" a="1"/>
  <c r="X42" i="21" s="1"/>
  <c r="K43" i="21" a="1"/>
  <c r="K43" i="21" s="1"/>
  <c r="L43" i="21" a="1"/>
  <c r="L43" i="21" s="1"/>
  <c r="M43" i="21" a="1"/>
  <c r="M43" i="21" s="1"/>
  <c r="N43" i="21" a="1"/>
  <c r="N43" i="21" s="1"/>
  <c r="O43" i="21" a="1"/>
  <c r="O43" i="21" s="1"/>
  <c r="P43" i="21" a="1"/>
  <c r="P43" i="21" s="1"/>
  <c r="Q43" i="21" a="1"/>
  <c r="Q43" i="21" s="1"/>
  <c r="R43" i="21" a="1"/>
  <c r="R43" i="21" s="1"/>
  <c r="U43" i="21" a="1"/>
  <c r="U43" i="21" s="1"/>
  <c r="V43" i="21" a="1"/>
  <c r="V43" i="21" s="1"/>
  <c r="W43" i="21" a="1"/>
  <c r="W43" i="21" s="1"/>
  <c r="X43" i="21" a="1"/>
  <c r="X43" i="21" s="1"/>
  <c r="K44" i="21" a="1"/>
  <c r="K44" i="21" s="1"/>
  <c r="L44" i="21" a="1"/>
  <c r="L44" i="21" s="1"/>
  <c r="M44" i="21" a="1"/>
  <c r="M44" i="21" s="1"/>
  <c r="N44" i="21" a="1"/>
  <c r="N44" i="21" s="1"/>
  <c r="O44" i="21" a="1"/>
  <c r="O44" i="21" s="1"/>
  <c r="P44" i="21" a="1"/>
  <c r="P44" i="21" s="1"/>
  <c r="Q44" i="21" a="1"/>
  <c r="Q44" i="21" s="1"/>
  <c r="R44" i="21" a="1"/>
  <c r="R44" i="21" s="1"/>
  <c r="U44" i="21" a="1"/>
  <c r="U44" i="21" s="1"/>
  <c r="V44" i="21" a="1"/>
  <c r="V44" i="21" s="1"/>
  <c r="W44" i="21" a="1"/>
  <c r="W44" i="21" s="1"/>
  <c r="X44" i="21" a="1"/>
  <c r="X44" i="21" s="1"/>
  <c r="K45" i="21" a="1"/>
  <c r="K45" i="21" s="1"/>
  <c r="L45" i="21" a="1"/>
  <c r="L45" i="21" s="1"/>
  <c r="M45" i="21" a="1"/>
  <c r="M45" i="21" s="1"/>
  <c r="N45" i="21" a="1"/>
  <c r="N45" i="21" s="1"/>
  <c r="O45" i="21" a="1"/>
  <c r="O45" i="21" s="1"/>
  <c r="P45" i="21" a="1"/>
  <c r="P45" i="21" s="1"/>
  <c r="Q45" i="21" a="1"/>
  <c r="Q45" i="21" s="1"/>
  <c r="R45" i="21" a="1"/>
  <c r="R45" i="21" s="1"/>
  <c r="U45" i="21" a="1"/>
  <c r="U45" i="21" s="1"/>
  <c r="V45" i="21" a="1"/>
  <c r="V45" i="21" s="1"/>
  <c r="W45" i="21" a="1"/>
  <c r="W45" i="21" s="1"/>
  <c r="X45" i="21" a="1"/>
  <c r="X45" i="21" s="1"/>
  <c r="K46" i="21" a="1"/>
  <c r="K46" i="21" s="1"/>
  <c r="L46" i="21" a="1"/>
  <c r="L46" i="21" s="1"/>
  <c r="M46" i="21" a="1"/>
  <c r="M46" i="21" s="1"/>
  <c r="N46" i="21" a="1"/>
  <c r="N46" i="21" s="1"/>
  <c r="O46" i="21" a="1"/>
  <c r="O46" i="21" s="1"/>
  <c r="P46" i="21" a="1"/>
  <c r="P46" i="21" s="1"/>
  <c r="Q46" i="21" a="1"/>
  <c r="Q46" i="21" s="1"/>
  <c r="R46" i="21" a="1"/>
  <c r="R46" i="21" s="1"/>
  <c r="U46" i="21" a="1"/>
  <c r="U46" i="21" s="1"/>
  <c r="V46" i="21" a="1"/>
  <c r="V46" i="21" s="1"/>
  <c r="W46" i="21" a="1"/>
  <c r="W46" i="21" s="1"/>
  <c r="X46" i="21" a="1"/>
  <c r="X46" i="21" s="1"/>
  <c r="K47" i="21" a="1"/>
  <c r="K47" i="21" s="1"/>
  <c r="L47" i="21" a="1"/>
  <c r="L47" i="21" s="1"/>
  <c r="M47" i="21" a="1"/>
  <c r="M47" i="21" s="1"/>
  <c r="N47" i="21" a="1"/>
  <c r="N47" i="21" s="1"/>
  <c r="O47" i="21" a="1"/>
  <c r="O47" i="21" s="1"/>
  <c r="P47" i="21" a="1"/>
  <c r="P47" i="21" s="1"/>
  <c r="Q47" i="21" a="1"/>
  <c r="Q47" i="21" s="1"/>
  <c r="R47" i="21" a="1"/>
  <c r="R47" i="21" s="1"/>
  <c r="U47" i="21" a="1"/>
  <c r="U47" i="21" s="1"/>
  <c r="V47" i="21" a="1"/>
  <c r="V47" i="21" s="1"/>
  <c r="W47" i="21" a="1"/>
  <c r="W47" i="21" s="1"/>
  <c r="X47" i="21" a="1"/>
  <c r="X47" i="21" s="1"/>
  <c r="K48" i="21" a="1"/>
  <c r="K48" i="21" s="1"/>
  <c r="L48" i="21" a="1"/>
  <c r="L48" i="21" s="1"/>
  <c r="M48" i="21" a="1"/>
  <c r="M48" i="21" s="1"/>
  <c r="N48" i="21" a="1"/>
  <c r="N48" i="21" s="1"/>
  <c r="O48" i="21" a="1"/>
  <c r="O48" i="21" s="1"/>
  <c r="P48" i="21" a="1"/>
  <c r="P48" i="21" s="1"/>
  <c r="Q48" i="21" a="1"/>
  <c r="Q48" i="21" s="1"/>
  <c r="R48" i="21" a="1"/>
  <c r="R48" i="21" s="1"/>
  <c r="U48" i="21" a="1"/>
  <c r="U48" i="21" s="1"/>
  <c r="V48" i="21" a="1"/>
  <c r="V48" i="21" s="1"/>
  <c r="W48" i="21" a="1"/>
  <c r="W48" i="21" s="1"/>
  <c r="X48" i="21" a="1"/>
  <c r="X48" i="21" s="1"/>
  <c r="K49" i="21" a="1"/>
  <c r="K49" i="21" s="1"/>
  <c r="L49" i="21" a="1"/>
  <c r="L49" i="21" s="1"/>
  <c r="M49" i="21" a="1"/>
  <c r="M49" i="21" s="1"/>
  <c r="N49" i="21" a="1"/>
  <c r="N49" i="21" s="1"/>
  <c r="O49" i="21" a="1"/>
  <c r="O49" i="21" s="1"/>
  <c r="P49" i="21" a="1"/>
  <c r="P49" i="21" s="1"/>
  <c r="Q49" i="21" a="1"/>
  <c r="Q49" i="21" s="1"/>
  <c r="R49" i="21" a="1"/>
  <c r="R49" i="21" s="1"/>
  <c r="U49" i="21" a="1"/>
  <c r="U49" i="21" s="1"/>
  <c r="V49" i="21" a="1"/>
  <c r="V49" i="21" s="1"/>
  <c r="W49" i="21" a="1"/>
  <c r="W49" i="21" s="1"/>
  <c r="X49" i="21" a="1"/>
  <c r="X49" i="21" s="1"/>
  <c r="K50" i="21" a="1"/>
  <c r="K50" i="21" s="1"/>
  <c r="L50" i="21" a="1"/>
  <c r="L50" i="21" s="1"/>
  <c r="M50" i="21" a="1"/>
  <c r="M50" i="21" s="1"/>
  <c r="N50" i="21" a="1"/>
  <c r="N50" i="21" s="1"/>
  <c r="O50" i="21" a="1"/>
  <c r="O50" i="21" s="1"/>
  <c r="P50" i="21" a="1"/>
  <c r="P50" i="21" s="1"/>
  <c r="Q50" i="21" a="1"/>
  <c r="Q50" i="21" s="1"/>
  <c r="R50" i="21" a="1"/>
  <c r="R50" i="21" s="1"/>
  <c r="U50" i="21" a="1"/>
  <c r="U50" i="21" s="1"/>
  <c r="V50" i="21" a="1"/>
  <c r="V50" i="21" s="1"/>
  <c r="W50" i="21" a="1"/>
  <c r="W50" i="21" s="1"/>
  <c r="X50" i="21" a="1"/>
  <c r="X50" i="21" s="1"/>
  <c r="K51" i="21" a="1"/>
  <c r="K51" i="21" s="1"/>
  <c r="L51" i="21" a="1"/>
  <c r="L51" i="21" s="1"/>
  <c r="M51" i="21" a="1"/>
  <c r="M51" i="21" s="1"/>
  <c r="N51" i="21" a="1"/>
  <c r="N51" i="21" s="1"/>
  <c r="O51" i="21" a="1"/>
  <c r="O51" i="21" s="1"/>
  <c r="P51" i="21" a="1"/>
  <c r="P51" i="21" s="1"/>
  <c r="Q51" i="21" a="1"/>
  <c r="Q51" i="21" s="1"/>
  <c r="R51" i="21" a="1"/>
  <c r="R51" i="21" s="1"/>
  <c r="U51" i="21" a="1"/>
  <c r="U51" i="21" s="1"/>
  <c r="V51" i="21" a="1"/>
  <c r="V51" i="21" s="1"/>
  <c r="W51" i="21" a="1"/>
  <c r="W51" i="21" s="1"/>
  <c r="X51" i="21" a="1"/>
  <c r="X51" i="21" s="1"/>
  <c r="K52" i="21" a="1"/>
  <c r="K52" i="21" s="1"/>
  <c r="L52" i="21" a="1"/>
  <c r="L52" i="21" s="1"/>
  <c r="M52" i="21" a="1"/>
  <c r="M52" i="21" s="1"/>
  <c r="N52" i="21" a="1"/>
  <c r="N52" i="21" s="1"/>
  <c r="O52" i="21" a="1"/>
  <c r="O52" i="21" s="1"/>
  <c r="P52" i="21" a="1"/>
  <c r="P52" i="21" s="1"/>
  <c r="Q52" i="21" a="1"/>
  <c r="Q52" i="21" s="1"/>
  <c r="R52" i="21" a="1"/>
  <c r="R52" i="21" s="1"/>
  <c r="U52" i="21" a="1"/>
  <c r="U52" i="21" s="1"/>
  <c r="V52" i="21" a="1"/>
  <c r="V52" i="21" s="1"/>
  <c r="W52" i="21" a="1"/>
  <c r="W52" i="21" s="1"/>
  <c r="X52" i="21" a="1"/>
  <c r="X52" i="21" s="1"/>
  <c r="K53" i="21" a="1"/>
  <c r="K53" i="21" s="1"/>
  <c r="L53" i="21" a="1"/>
  <c r="L53" i="21" s="1"/>
  <c r="M53" i="21" a="1"/>
  <c r="M53" i="21" s="1"/>
  <c r="N53" i="21" a="1"/>
  <c r="N53" i="21" s="1"/>
  <c r="O53" i="21" a="1"/>
  <c r="O53" i="21" s="1"/>
  <c r="P53" i="21" a="1"/>
  <c r="P53" i="21" s="1"/>
  <c r="Q53" i="21" a="1"/>
  <c r="Q53" i="21" s="1"/>
  <c r="R53" i="21" a="1"/>
  <c r="R53" i="21" s="1"/>
  <c r="U53" i="21" a="1"/>
  <c r="U53" i="21" s="1"/>
  <c r="V53" i="21" a="1"/>
  <c r="V53" i="21" s="1"/>
  <c r="W53" i="21" a="1"/>
  <c r="W53" i="21" s="1"/>
  <c r="X53" i="21" a="1"/>
  <c r="X53" i="21" s="1"/>
  <c r="K54" i="21" a="1"/>
  <c r="K54" i="21" s="1"/>
  <c r="L54" i="21" a="1"/>
  <c r="L54" i="21" s="1"/>
  <c r="M54" i="21" a="1"/>
  <c r="M54" i="21" s="1"/>
  <c r="N54" i="21" a="1"/>
  <c r="N54" i="21" s="1"/>
  <c r="O54" i="21" a="1"/>
  <c r="O54" i="21" s="1"/>
  <c r="P54" i="21" a="1"/>
  <c r="P54" i="21" s="1"/>
  <c r="Q54" i="21" a="1"/>
  <c r="Q54" i="21" s="1"/>
  <c r="R54" i="21" a="1"/>
  <c r="R54" i="21" s="1"/>
  <c r="U54" i="21" a="1"/>
  <c r="U54" i="21" s="1"/>
  <c r="V54" i="21" a="1"/>
  <c r="V54" i="21" s="1"/>
  <c r="W54" i="21" a="1"/>
  <c r="W54" i="21" s="1"/>
  <c r="X54" i="21" a="1"/>
  <c r="X54" i="21" s="1"/>
  <c r="K55" i="21" a="1"/>
  <c r="K55" i="21" s="1"/>
  <c r="L55" i="21" a="1"/>
  <c r="L55" i="21" s="1"/>
  <c r="M55" i="21" a="1"/>
  <c r="M55" i="21" s="1"/>
  <c r="N55" i="21" a="1"/>
  <c r="N55" i="21" s="1"/>
  <c r="O55" i="21" a="1"/>
  <c r="O55" i="21" s="1"/>
  <c r="P55" i="21" a="1"/>
  <c r="P55" i="21" s="1"/>
  <c r="Q55" i="21" a="1"/>
  <c r="Q55" i="21" s="1"/>
  <c r="R55" i="21" a="1"/>
  <c r="R55" i="21" s="1"/>
  <c r="U55" i="21" a="1"/>
  <c r="U55" i="21" s="1"/>
  <c r="V55" i="21" a="1"/>
  <c r="V55" i="21" s="1"/>
  <c r="W55" i="21" a="1"/>
  <c r="W55" i="21" s="1"/>
  <c r="X55" i="21" a="1"/>
  <c r="X55" i="21" s="1"/>
  <c r="K56" i="21" a="1"/>
  <c r="K56" i="21" s="1"/>
  <c r="L56" i="21" a="1"/>
  <c r="L56" i="21" s="1"/>
  <c r="M56" i="21" a="1"/>
  <c r="M56" i="21" s="1"/>
  <c r="N56" i="21" a="1"/>
  <c r="N56" i="21" s="1"/>
  <c r="O56" i="21" a="1"/>
  <c r="O56" i="21" s="1"/>
  <c r="P56" i="21" a="1"/>
  <c r="P56" i="21" s="1"/>
  <c r="Q56" i="21" a="1"/>
  <c r="Q56" i="21" s="1"/>
  <c r="R56" i="21" a="1"/>
  <c r="R56" i="21" s="1"/>
  <c r="U56" i="21" a="1"/>
  <c r="U56" i="21" s="1"/>
  <c r="V56" i="21" a="1"/>
  <c r="V56" i="21" s="1"/>
  <c r="W56" i="21" a="1"/>
  <c r="W56" i="21" s="1"/>
  <c r="X56" i="21" a="1"/>
  <c r="X56" i="21" s="1"/>
  <c r="K57" i="21" a="1"/>
  <c r="K57" i="21" s="1"/>
  <c r="L57" i="21" a="1"/>
  <c r="L57" i="21" s="1"/>
  <c r="M57" i="21" a="1"/>
  <c r="M57" i="21" s="1"/>
  <c r="N57" i="21" a="1"/>
  <c r="N57" i="21" s="1"/>
  <c r="O57" i="21" a="1"/>
  <c r="O57" i="21" s="1"/>
  <c r="P57" i="21" a="1"/>
  <c r="P57" i="21" s="1"/>
  <c r="Q57" i="21" a="1"/>
  <c r="Q57" i="21" s="1"/>
  <c r="R57" i="21" a="1"/>
  <c r="R57" i="21" s="1"/>
  <c r="U57" i="21" a="1"/>
  <c r="U57" i="21" s="1"/>
  <c r="V57" i="21" a="1"/>
  <c r="V57" i="21" s="1"/>
  <c r="W57" i="21" a="1"/>
  <c r="W57" i="21" s="1"/>
  <c r="X57" i="21" a="1"/>
  <c r="X57" i="21" s="1"/>
  <c r="K58" i="21" a="1"/>
  <c r="K58" i="21" s="1"/>
  <c r="L58" i="21" a="1"/>
  <c r="L58" i="21" s="1"/>
  <c r="M58" i="21" a="1"/>
  <c r="M58" i="21" s="1"/>
  <c r="N58" i="21" a="1"/>
  <c r="N58" i="21" s="1"/>
  <c r="O58" i="21" a="1"/>
  <c r="O58" i="21" s="1"/>
  <c r="P58" i="21" a="1"/>
  <c r="P58" i="21" s="1"/>
  <c r="Q58" i="21" a="1"/>
  <c r="Q58" i="21" s="1"/>
  <c r="R58" i="21" a="1"/>
  <c r="R58" i="21" s="1"/>
  <c r="U58" i="21" a="1"/>
  <c r="U58" i="21" s="1"/>
  <c r="V58" i="21" a="1"/>
  <c r="V58" i="21" s="1"/>
  <c r="W58" i="21" a="1"/>
  <c r="W58" i="21" s="1"/>
  <c r="X58" i="21" a="1"/>
  <c r="X58" i="21" s="1"/>
  <c r="K59" i="21" a="1"/>
  <c r="K59" i="21" s="1"/>
  <c r="L59" i="21" a="1"/>
  <c r="L59" i="21" s="1"/>
  <c r="M59" i="21" a="1"/>
  <c r="M59" i="21" s="1"/>
  <c r="N59" i="21" a="1"/>
  <c r="N59" i="21" s="1"/>
  <c r="O59" i="21" a="1"/>
  <c r="O59" i="21" s="1"/>
  <c r="P59" i="21" a="1"/>
  <c r="P59" i="21" s="1"/>
  <c r="Q59" i="21" a="1"/>
  <c r="Q59" i="21" s="1"/>
  <c r="R59" i="21" a="1"/>
  <c r="R59" i="21" s="1"/>
  <c r="U59" i="21" a="1"/>
  <c r="U59" i="21" s="1"/>
  <c r="V59" i="21" a="1"/>
  <c r="V59" i="21" s="1"/>
  <c r="W59" i="21" a="1"/>
  <c r="W59" i="21" s="1"/>
  <c r="X59" i="21" a="1"/>
  <c r="X59" i="21" s="1"/>
  <c r="K60" i="21" a="1"/>
  <c r="K60" i="21" s="1"/>
  <c r="L60" i="21" a="1"/>
  <c r="L60" i="21" s="1"/>
  <c r="M60" i="21" a="1"/>
  <c r="M60" i="21" s="1"/>
  <c r="N60" i="21" a="1"/>
  <c r="N60" i="21" s="1"/>
  <c r="O60" i="21" a="1"/>
  <c r="O60" i="21" s="1"/>
  <c r="P60" i="21" a="1"/>
  <c r="P60" i="21" s="1"/>
  <c r="Q60" i="21" a="1"/>
  <c r="Q60" i="21" s="1"/>
  <c r="R60" i="21" a="1"/>
  <c r="R60" i="21" s="1"/>
  <c r="U60" i="21" a="1"/>
  <c r="U60" i="21" s="1"/>
  <c r="V60" i="21" a="1"/>
  <c r="V60" i="21" s="1"/>
  <c r="W60" i="21" a="1"/>
  <c r="W60" i="21" s="1"/>
  <c r="X60" i="21" a="1"/>
  <c r="X60" i="21" s="1"/>
  <c r="K61" i="21" a="1"/>
  <c r="K61" i="21" s="1"/>
  <c r="L61" i="21" a="1"/>
  <c r="L61" i="21" s="1"/>
  <c r="M61" i="21" a="1"/>
  <c r="M61" i="21" s="1"/>
  <c r="N61" i="21" a="1"/>
  <c r="N61" i="21" s="1"/>
  <c r="O61" i="21" a="1"/>
  <c r="O61" i="21" s="1"/>
  <c r="P61" i="21" a="1"/>
  <c r="P61" i="21" s="1"/>
  <c r="Q61" i="21" a="1"/>
  <c r="Q61" i="21" s="1"/>
  <c r="R61" i="21" a="1"/>
  <c r="R61" i="21" s="1"/>
  <c r="U61" i="21" a="1"/>
  <c r="U61" i="21" s="1"/>
  <c r="V61" i="21" a="1"/>
  <c r="V61" i="21" s="1"/>
  <c r="W61" i="21" a="1"/>
  <c r="W61" i="21" s="1"/>
  <c r="X61" i="21" a="1"/>
  <c r="X61" i="21" s="1"/>
  <c r="K62" i="21" a="1"/>
  <c r="K62" i="21" s="1"/>
  <c r="L62" i="21" a="1"/>
  <c r="L62" i="21" s="1"/>
  <c r="M62" i="21" a="1"/>
  <c r="M62" i="21" s="1"/>
  <c r="N62" i="21" a="1"/>
  <c r="N62" i="21" s="1"/>
  <c r="O62" i="21" a="1"/>
  <c r="O62" i="21" s="1"/>
  <c r="P62" i="21" a="1"/>
  <c r="P62" i="21" s="1"/>
  <c r="Q62" i="21" a="1"/>
  <c r="Q62" i="21" s="1"/>
  <c r="R62" i="21" a="1"/>
  <c r="R62" i="21" s="1"/>
  <c r="U62" i="21" a="1"/>
  <c r="U62" i="21" s="1"/>
  <c r="V62" i="21" a="1"/>
  <c r="V62" i="21" s="1"/>
  <c r="W62" i="21" a="1"/>
  <c r="W62" i="21" s="1"/>
  <c r="X62" i="21" a="1"/>
  <c r="X62" i="21" s="1"/>
  <c r="K63" i="21" a="1"/>
  <c r="K63" i="21" s="1"/>
  <c r="L63" i="21" a="1"/>
  <c r="L63" i="21" s="1"/>
  <c r="M63" i="21" a="1"/>
  <c r="M63" i="21" s="1"/>
  <c r="N63" i="21" a="1"/>
  <c r="N63" i="21" s="1"/>
  <c r="O63" i="21" a="1"/>
  <c r="O63" i="21" s="1"/>
  <c r="P63" i="21" a="1"/>
  <c r="P63" i="21" s="1"/>
  <c r="Q63" i="21" a="1"/>
  <c r="Q63" i="21" s="1"/>
  <c r="R63" i="21" a="1"/>
  <c r="R63" i="21" s="1"/>
  <c r="U63" i="21" a="1"/>
  <c r="U63" i="21" s="1"/>
  <c r="V63" i="21" a="1"/>
  <c r="V63" i="21" s="1"/>
  <c r="W63" i="21" a="1"/>
  <c r="W63" i="21" s="1"/>
  <c r="X63" i="21" a="1"/>
  <c r="X63" i="21" s="1"/>
  <c r="K64" i="21" a="1"/>
  <c r="K64" i="21" s="1"/>
  <c r="L64" i="21" a="1"/>
  <c r="L64" i="21" s="1"/>
  <c r="M64" i="21" a="1"/>
  <c r="M64" i="21" s="1"/>
  <c r="N64" i="21" a="1"/>
  <c r="N64" i="21" s="1"/>
  <c r="O64" i="21" a="1"/>
  <c r="O64" i="21" s="1"/>
  <c r="P64" i="21" a="1"/>
  <c r="P64" i="21" s="1"/>
  <c r="Q64" i="21" a="1"/>
  <c r="Q64" i="21" s="1"/>
  <c r="R64" i="21" a="1"/>
  <c r="R64" i="21" s="1"/>
  <c r="U64" i="21" a="1"/>
  <c r="U64" i="21" s="1"/>
  <c r="V64" i="21" a="1"/>
  <c r="V64" i="21" s="1"/>
  <c r="W64" i="21" a="1"/>
  <c r="W64" i="21" s="1"/>
  <c r="X64" i="21" a="1"/>
  <c r="X64" i="21" s="1"/>
  <c r="K65" i="21" a="1"/>
  <c r="K65" i="21" s="1"/>
  <c r="L65" i="21" a="1"/>
  <c r="L65" i="21" s="1"/>
  <c r="M65" i="21" a="1"/>
  <c r="M65" i="21" s="1"/>
  <c r="N65" i="21" a="1"/>
  <c r="N65" i="21" s="1"/>
  <c r="O65" i="21" a="1"/>
  <c r="O65" i="21" s="1"/>
  <c r="P65" i="21" a="1"/>
  <c r="P65" i="21" s="1"/>
  <c r="Q65" i="21" a="1"/>
  <c r="Q65" i="21" s="1"/>
  <c r="R65" i="21" a="1"/>
  <c r="R65" i="21" s="1"/>
  <c r="U65" i="21" a="1"/>
  <c r="U65" i="21" s="1"/>
  <c r="V65" i="21" a="1"/>
  <c r="V65" i="21" s="1"/>
  <c r="W65" i="21" a="1"/>
  <c r="W65" i="21" s="1"/>
  <c r="X65" i="21" a="1"/>
  <c r="X65" i="21" s="1"/>
  <c r="K66" i="21" a="1"/>
  <c r="K66" i="21" s="1"/>
  <c r="L66" i="21" a="1"/>
  <c r="L66" i="21" s="1"/>
  <c r="M66" i="21" a="1"/>
  <c r="M66" i="21" s="1"/>
  <c r="N66" i="21" a="1"/>
  <c r="N66" i="21" s="1"/>
  <c r="O66" i="21" a="1"/>
  <c r="O66" i="21" s="1"/>
  <c r="P66" i="21" a="1"/>
  <c r="P66" i="21" s="1"/>
  <c r="Q66" i="21" a="1"/>
  <c r="Q66" i="21" s="1"/>
  <c r="R66" i="21" a="1"/>
  <c r="R66" i="21" s="1"/>
  <c r="U66" i="21" a="1"/>
  <c r="U66" i="21" s="1"/>
  <c r="V66" i="21" a="1"/>
  <c r="V66" i="21" s="1"/>
  <c r="W66" i="21" a="1"/>
  <c r="W66" i="21" s="1"/>
  <c r="X66" i="21" a="1"/>
  <c r="X66" i="21" s="1"/>
  <c r="K67" i="21" a="1"/>
  <c r="K67" i="21" s="1"/>
  <c r="L67" i="21" a="1"/>
  <c r="L67" i="21" s="1"/>
  <c r="M67" i="21" a="1"/>
  <c r="M67" i="21" s="1"/>
  <c r="N67" i="21" a="1"/>
  <c r="N67" i="21" s="1"/>
  <c r="O67" i="21" a="1"/>
  <c r="O67" i="21" s="1"/>
  <c r="P67" i="21" a="1"/>
  <c r="P67" i="21" s="1"/>
  <c r="Q67" i="21" a="1"/>
  <c r="Q67" i="21" s="1"/>
  <c r="R67" i="21" a="1"/>
  <c r="R67" i="21" s="1"/>
  <c r="U67" i="21" a="1"/>
  <c r="U67" i="21" s="1"/>
  <c r="V67" i="21" a="1"/>
  <c r="V67" i="21" s="1"/>
  <c r="W67" i="21" a="1"/>
  <c r="W67" i="21" s="1"/>
  <c r="X67" i="21" a="1"/>
  <c r="X67" i="21" s="1"/>
  <c r="K68" i="21" a="1"/>
  <c r="K68" i="21" s="1"/>
  <c r="L68" i="21" a="1"/>
  <c r="L68" i="21" s="1"/>
  <c r="M68" i="21" a="1"/>
  <c r="M68" i="21" s="1"/>
  <c r="N68" i="21" a="1"/>
  <c r="N68" i="21" s="1"/>
  <c r="O68" i="21" a="1"/>
  <c r="O68" i="21" s="1"/>
  <c r="P68" i="21" a="1"/>
  <c r="P68" i="21" s="1"/>
  <c r="Q68" i="21" a="1"/>
  <c r="Q68" i="21" s="1"/>
  <c r="R68" i="21" a="1"/>
  <c r="R68" i="21" s="1"/>
  <c r="U68" i="21" a="1"/>
  <c r="U68" i="21" s="1"/>
  <c r="V68" i="21" a="1"/>
  <c r="V68" i="21" s="1"/>
  <c r="W68" i="21" a="1"/>
  <c r="W68" i="21" s="1"/>
  <c r="X68" i="21" a="1"/>
  <c r="X68" i="21" s="1"/>
  <c r="K69" i="21" a="1"/>
  <c r="K69" i="21" s="1"/>
  <c r="L69" i="21" a="1"/>
  <c r="L69" i="21" s="1"/>
  <c r="M69" i="21" a="1"/>
  <c r="M69" i="21" s="1"/>
  <c r="N69" i="21" a="1"/>
  <c r="N69" i="21" s="1"/>
  <c r="O69" i="21" a="1"/>
  <c r="O69" i="21" s="1"/>
  <c r="P69" i="21" a="1"/>
  <c r="P69" i="21" s="1"/>
  <c r="Q69" i="21" a="1"/>
  <c r="Q69" i="21" s="1"/>
  <c r="R69" i="21" a="1"/>
  <c r="R69" i="21" s="1"/>
  <c r="U69" i="21" a="1"/>
  <c r="U69" i="21" s="1"/>
  <c r="V69" i="21" a="1"/>
  <c r="V69" i="21" s="1"/>
  <c r="W69" i="21" a="1"/>
  <c r="W69" i="21" s="1"/>
  <c r="X69" i="21" a="1"/>
  <c r="X69" i="21" s="1"/>
  <c r="K70" i="21" a="1"/>
  <c r="K70" i="21" s="1"/>
  <c r="L70" i="21" a="1"/>
  <c r="L70" i="21" s="1"/>
  <c r="M70" i="21" a="1"/>
  <c r="M70" i="21" s="1"/>
  <c r="N70" i="21" a="1"/>
  <c r="N70" i="21" s="1"/>
  <c r="O70" i="21" a="1"/>
  <c r="O70" i="21" s="1"/>
  <c r="P70" i="21" a="1"/>
  <c r="P70" i="21" s="1"/>
  <c r="Q70" i="21" a="1"/>
  <c r="Q70" i="21" s="1"/>
  <c r="R70" i="21" a="1"/>
  <c r="R70" i="21" s="1"/>
  <c r="U70" i="21" a="1"/>
  <c r="U70" i="21" s="1"/>
  <c r="V70" i="21" a="1"/>
  <c r="V70" i="21" s="1"/>
  <c r="W70" i="21" a="1"/>
  <c r="W70" i="21" s="1"/>
  <c r="X70" i="21" a="1"/>
  <c r="X70" i="21" s="1"/>
  <c r="K71" i="21" a="1"/>
  <c r="K71" i="21" s="1"/>
  <c r="L71" i="21" a="1"/>
  <c r="L71" i="21" s="1"/>
  <c r="M71" i="21" a="1"/>
  <c r="M71" i="21" s="1"/>
  <c r="N71" i="21" a="1"/>
  <c r="N71" i="21" s="1"/>
  <c r="O71" i="21" a="1"/>
  <c r="O71" i="21" s="1"/>
  <c r="P71" i="21" a="1"/>
  <c r="P71" i="21" s="1"/>
  <c r="Q71" i="21" a="1"/>
  <c r="Q71" i="21" s="1"/>
  <c r="R71" i="21" a="1"/>
  <c r="R71" i="21" s="1"/>
  <c r="U71" i="21" a="1"/>
  <c r="U71" i="21" s="1"/>
  <c r="V71" i="21" a="1"/>
  <c r="V71" i="21" s="1"/>
  <c r="W71" i="21" a="1"/>
  <c r="W71" i="21" s="1"/>
  <c r="X71" i="21" a="1"/>
  <c r="X71" i="21" s="1"/>
  <c r="K72" i="21" a="1"/>
  <c r="K72" i="21" s="1"/>
  <c r="L72" i="21" a="1"/>
  <c r="L72" i="21" s="1"/>
  <c r="M72" i="21" a="1"/>
  <c r="M72" i="21" s="1"/>
  <c r="N72" i="21" a="1"/>
  <c r="N72" i="21" s="1"/>
  <c r="O72" i="21" a="1"/>
  <c r="O72" i="21" s="1"/>
  <c r="P72" i="21" a="1"/>
  <c r="P72" i="21" s="1"/>
  <c r="Q72" i="21" a="1"/>
  <c r="Q72" i="21" s="1"/>
  <c r="R72" i="21" a="1"/>
  <c r="R72" i="21" s="1"/>
  <c r="U72" i="21" a="1"/>
  <c r="U72" i="21" s="1"/>
  <c r="V72" i="21" a="1"/>
  <c r="V72" i="21" s="1"/>
  <c r="W72" i="21" a="1"/>
  <c r="W72" i="21" s="1"/>
  <c r="X72" i="21" a="1"/>
  <c r="X72" i="21" s="1"/>
  <c r="K73" i="21" a="1"/>
  <c r="K73" i="21" s="1"/>
  <c r="L73" i="21" a="1"/>
  <c r="L73" i="21" s="1"/>
  <c r="M73" i="21" a="1"/>
  <c r="M73" i="21" s="1"/>
  <c r="N73" i="21" a="1"/>
  <c r="N73" i="21" s="1"/>
  <c r="O73" i="21" a="1"/>
  <c r="O73" i="21" s="1"/>
  <c r="P73" i="21" a="1"/>
  <c r="P73" i="21" s="1"/>
  <c r="Q73" i="21" a="1"/>
  <c r="Q73" i="21" s="1"/>
  <c r="R73" i="21" a="1"/>
  <c r="R73" i="21" s="1"/>
  <c r="U73" i="21" a="1"/>
  <c r="U73" i="21" s="1"/>
  <c r="V73" i="21" a="1"/>
  <c r="V73" i="21" s="1"/>
  <c r="W73" i="21" a="1"/>
  <c r="W73" i="21" s="1"/>
  <c r="X73" i="21" a="1"/>
  <c r="X73" i="21" s="1"/>
  <c r="K74" i="21" a="1"/>
  <c r="K74" i="21" s="1"/>
  <c r="L74" i="21" a="1"/>
  <c r="L74" i="21" s="1"/>
  <c r="M74" i="21" a="1"/>
  <c r="M74" i="21" s="1"/>
  <c r="N74" i="21" a="1"/>
  <c r="N74" i="21" s="1"/>
  <c r="O74" i="21" a="1"/>
  <c r="O74" i="21" s="1"/>
  <c r="P74" i="21" a="1"/>
  <c r="P74" i="21" s="1"/>
  <c r="Q74" i="21" a="1"/>
  <c r="Q74" i="21" s="1"/>
  <c r="R74" i="21" a="1"/>
  <c r="R74" i="21" s="1"/>
  <c r="U74" i="21" a="1"/>
  <c r="U74" i="21" s="1"/>
  <c r="V74" i="21" a="1"/>
  <c r="V74" i="21" s="1"/>
  <c r="W74" i="21" a="1"/>
  <c r="W74" i="21" s="1"/>
  <c r="X74" i="21" a="1"/>
  <c r="X74" i="21" s="1"/>
  <c r="K75" i="21" a="1"/>
  <c r="K75" i="21" s="1"/>
  <c r="L75" i="21" a="1"/>
  <c r="L75" i="21" s="1"/>
  <c r="M75" i="21" a="1"/>
  <c r="M75" i="21" s="1"/>
  <c r="N75" i="21" a="1"/>
  <c r="N75" i="21" s="1"/>
  <c r="O75" i="21" a="1"/>
  <c r="O75" i="21" s="1"/>
  <c r="P75" i="21" a="1"/>
  <c r="P75" i="21" s="1"/>
  <c r="Q75" i="21" a="1"/>
  <c r="Q75" i="21" s="1"/>
  <c r="R75" i="21" a="1"/>
  <c r="R75" i="21" s="1"/>
  <c r="U75" i="21" a="1"/>
  <c r="U75" i="21" s="1"/>
  <c r="V75" i="21" a="1"/>
  <c r="V75" i="21" s="1"/>
  <c r="W75" i="21" a="1"/>
  <c r="W75" i="21" s="1"/>
  <c r="X75" i="21" a="1"/>
  <c r="X75" i="21" s="1"/>
  <c r="K76" i="21" a="1"/>
  <c r="K76" i="21" s="1"/>
  <c r="L76" i="21" a="1"/>
  <c r="L76" i="21" s="1"/>
  <c r="M76" i="21" a="1"/>
  <c r="M76" i="21" s="1"/>
  <c r="N76" i="21" a="1"/>
  <c r="N76" i="21" s="1"/>
  <c r="O76" i="21" a="1"/>
  <c r="O76" i="21" s="1"/>
  <c r="P76" i="21" a="1"/>
  <c r="P76" i="21" s="1"/>
  <c r="Q76" i="21" a="1"/>
  <c r="Q76" i="21" s="1"/>
  <c r="R76" i="21" a="1"/>
  <c r="R76" i="21" s="1"/>
  <c r="U76" i="21" a="1"/>
  <c r="U76" i="21" s="1"/>
  <c r="V76" i="21" a="1"/>
  <c r="V76" i="21" s="1"/>
  <c r="W76" i="21" a="1"/>
  <c r="W76" i="21" s="1"/>
  <c r="X76" i="21" a="1"/>
  <c r="X76" i="21" s="1"/>
  <c r="K77" i="21" a="1"/>
  <c r="K77" i="21" s="1"/>
  <c r="L77" i="21" a="1"/>
  <c r="L77" i="21" s="1"/>
  <c r="M77" i="21" a="1"/>
  <c r="M77" i="21" s="1"/>
  <c r="N77" i="21" a="1"/>
  <c r="N77" i="21" s="1"/>
  <c r="O77" i="21" a="1"/>
  <c r="O77" i="21" s="1"/>
  <c r="P77" i="21" a="1"/>
  <c r="P77" i="21" s="1"/>
  <c r="Q77" i="21" a="1"/>
  <c r="Q77" i="21" s="1"/>
  <c r="R77" i="21" a="1"/>
  <c r="R77" i="21" s="1"/>
  <c r="U77" i="21" a="1"/>
  <c r="U77" i="21" s="1"/>
  <c r="V77" i="21" a="1"/>
  <c r="V77" i="21" s="1"/>
  <c r="W77" i="21" a="1"/>
  <c r="W77" i="21" s="1"/>
  <c r="X77" i="21" a="1"/>
  <c r="X77" i="21" s="1"/>
  <c r="K78" i="21" a="1"/>
  <c r="K78" i="21" s="1"/>
  <c r="L78" i="21" a="1"/>
  <c r="L78" i="21" s="1"/>
  <c r="M78" i="21" a="1"/>
  <c r="M78" i="21" s="1"/>
  <c r="N78" i="21" a="1"/>
  <c r="N78" i="21" s="1"/>
  <c r="O78" i="21" a="1"/>
  <c r="O78" i="21" s="1"/>
  <c r="P78" i="21" a="1"/>
  <c r="P78" i="21" s="1"/>
  <c r="Q78" i="21" a="1"/>
  <c r="Q78" i="21" s="1"/>
  <c r="R78" i="21" a="1"/>
  <c r="R78" i="21" s="1"/>
  <c r="U78" i="21" a="1"/>
  <c r="U78" i="21" s="1"/>
  <c r="V78" i="21" a="1"/>
  <c r="V78" i="21" s="1"/>
  <c r="W78" i="21" a="1"/>
  <c r="W78" i="21" s="1"/>
  <c r="X78" i="21" a="1"/>
  <c r="X78" i="21" s="1"/>
  <c r="K79" i="21" a="1"/>
  <c r="K79" i="21" s="1"/>
  <c r="L79" i="21" a="1"/>
  <c r="L79" i="21" s="1"/>
  <c r="M79" i="21" a="1"/>
  <c r="M79" i="21" s="1"/>
  <c r="N79" i="21" a="1"/>
  <c r="N79" i="21" s="1"/>
  <c r="O79" i="21" a="1"/>
  <c r="O79" i="21" s="1"/>
  <c r="P79" i="21" a="1"/>
  <c r="P79" i="21" s="1"/>
  <c r="Q79" i="21" a="1"/>
  <c r="Q79" i="21" s="1"/>
  <c r="R79" i="21" a="1"/>
  <c r="R79" i="21" s="1"/>
  <c r="U79" i="21" a="1"/>
  <c r="U79" i="21" s="1"/>
  <c r="V79" i="21" a="1"/>
  <c r="V79" i="21" s="1"/>
  <c r="W79" i="21" a="1"/>
  <c r="W79" i="21" s="1"/>
  <c r="X79" i="21" a="1"/>
  <c r="X79" i="21" s="1"/>
  <c r="K80" i="21" a="1"/>
  <c r="K80" i="21" s="1"/>
  <c r="L80" i="21" a="1"/>
  <c r="L80" i="21" s="1"/>
  <c r="M80" i="21" a="1"/>
  <c r="M80" i="21" s="1"/>
  <c r="N80" i="21" a="1"/>
  <c r="N80" i="21" s="1"/>
  <c r="O80" i="21" a="1"/>
  <c r="O80" i="21" s="1"/>
  <c r="P80" i="21" a="1"/>
  <c r="P80" i="21" s="1"/>
  <c r="Q80" i="21" a="1"/>
  <c r="Q80" i="21" s="1"/>
  <c r="R80" i="21" a="1"/>
  <c r="R80" i="21" s="1"/>
  <c r="U80" i="21" a="1"/>
  <c r="U80" i="21" s="1"/>
  <c r="V80" i="21" a="1"/>
  <c r="V80" i="21" s="1"/>
  <c r="W80" i="21" a="1"/>
  <c r="W80" i="21" s="1"/>
  <c r="X80" i="21" a="1"/>
  <c r="X80" i="21" s="1"/>
  <c r="K81" i="21" a="1"/>
  <c r="K81" i="21" s="1"/>
  <c r="L81" i="21" a="1"/>
  <c r="L81" i="21" s="1"/>
  <c r="M81" i="21" a="1"/>
  <c r="M81" i="21" s="1"/>
  <c r="N81" i="21" a="1"/>
  <c r="N81" i="21" s="1"/>
  <c r="O81" i="21" a="1"/>
  <c r="O81" i="21" s="1"/>
  <c r="P81" i="21" a="1"/>
  <c r="P81" i="21" s="1"/>
  <c r="Q81" i="21" a="1"/>
  <c r="Q81" i="21" s="1"/>
  <c r="R81" i="21" a="1"/>
  <c r="R81" i="21" s="1"/>
  <c r="U81" i="21" a="1"/>
  <c r="U81" i="21" s="1"/>
  <c r="V81" i="21" a="1"/>
  <c r="V81" i="21" s="1"/>
  <c r="W81" i="21" a="1"/>
  <c r="W81" i="21" s="1"/>
  <c r="X81" i="21" a="1"/>
  <c r="X81" i="21" s="1"/>
  <c r="K82" i="21" a="1"/>
  <c r="K82" i="21" s="1"/>
  <c r="L82" i="21" a="1"/>
  <c r="L82" i="21" s="1"/>
  <c r="M82" i="21" a="1"/>
  <c r="M82" i="21" s="1"/>
  <c r="N82" i="21" a="1"/>
  <c r="N82" i="21" s="1"/>
  <c r="O82" i="21" a="1"/>
  <c r="O82" i="21" s="1"/>
  <c r="P82" i="21" a="1"/>
  <c r="P82" i="21" s="1"/>
  <c r="Q82" i="21" a="1"/>
  <c r="Q82" i="21" s="1"/>
  <c r="R82" i="21" a="1"/>
  <c r="R82" i="21" s="1"/>
  <c r="U82" i="21" a="1"/>
  <c r="U82" i="21" s="1"/>
  <c r="V82" i="21" a="1"/>
  <c r="V82" i="21" s="1"/>
  <c r="W82" i="21" a="1"/>
  <c r="W82" i="21" s="1"/>
  <c r="X82" i="21" a="1"/>
  <c r="X82" i="21" s="1"/>
  <c r="K83" i="21" a="1"/>
  <c r="K83" i="21" s="1"/>
  <c r="L83" i="21" a="1"/>
  <c r="L83" i="21" s="1"/>
  <c r="M83" i="21" a="1"/>
  <c r="M83" i="21" s="1"/>
  <c r="N83" i="21" a="1"/>
  <c r="N83" i="21" s="1"/>
  <c r="O83" i="21" a="1"/>
  <c r="O83" i="21" s="1"/>
  <c r="P83" i="21" a="1"/>
  <c r="P83" i="21" s="1"/>
  <c r="Q83" i="21" a="1"/>
  <c r="Q83" i="21" s="1"/>
  <c r="R83" i="21" a="1"/>
  <c r="R83" i="21" s="1"/>
  <c r="U83" i="21" a="1"/>
  <c r="U83" i="21" s="1"/>
  <c r="V83" i="21" a="1"/>
  <c r="V83" i="21" s="1"/>
  <c r="W83" i="21" a="1"/>
  <c r="W83" i="21" s="1"/>
  <c r="X83" i="21" a="1"/>
  <c r="X83" i="21" s="1"/>
  <c r="K84" i="21" a="1"/>
  <c r="K84" i="21" s="1"/>
  <c r="L84" i="21" a="1"/>
  <c r="L84" i="21" s="1"/>
  <c r="M84" i="21" a="1"/>
  <c r="M84" i="21" s="1"/>
  <c r="N84" i="21" a="1"/>
  <c r="N84" i="21" s="1"/>
  <c r="O84" i="21" a="1"/>
  <c r="O84" i="21" s="1"/>
  <c r="P84" i="21" a="1"/>
  <c r="P84" i="21" s="1"/>
  <c r="Q84" i="21" a="1"/>
  <c r="Q84" i="21" s="1"/>
  <c r="R84" i="21" a="1"/>
  <c r="R84" i="21" s="1"/>
  <c r="U84" i="21" a="1"/>
  <c r="U84" i="21" s="1"/>
  <c r="V84" i="21" a="1"/>
  <c r="V84" i="21" s="1"/>
  <c r="W84" i="21" a="1"/>
  <c r="W84" i="21" s="1"/>
  <c r="X84" i="21" a="1"/>
  <c r="X84" i="21" s="1"/>
  <c r="K85" i="21" a="1"/>
  <c r="K85" i="21" s="1"/>
  <c r="L85" i="21" a="1"/>
  <c r="L85" i="21" s="1"/>
  <c r="M85" i="21" a="1"/>
  <c r="M85" i="21" s="1"/>
  <c r="N85" i="21" a="1"/>
  <c r="N85" i="21" s="1"/>
  <c r="O85" i="21" a="1"/>
  <c r="O85" i="21" s="1"/>
  <c r="P85" i="21" a="1"/>
  <c r="P85" i="21" s="1"/>
  <c r="Q85" i="21" a="1"/>
  <c r="Q85" i="21" s="1"/>
  <c r="R85" i="21" a="1"/>
  <c r="R85" i="21" s="1"/>
  <c r="U85" i="21" a="1"/>
  <c r="U85" i="21" s="1"/>
  <c r="V85" i="21" a="1"/>
  <c r="V85" i="21" s="1"/>
  <c r="W85" i="21" a="1"/>
  <c r="W85" i="21" s="1"/>
  <c r="X85" i="21" a="1"/>
  <c r="X85" i="21" s="1"/>
  <c r="K86" i="21" a="1"/>
  <c r="K86" i="21" s="1"/>
  <c r="L86" i="21" a="1"/>
  <c r="L86" i="21" s="1"/>
  <c r="M86" i="21" a="1"/>
  <c r="M86" i="21" s="1"/>
  <c r="N86" i="21" a="1"/>
  <c r="N86" i="21" s="1"/>
  <c r="O86" i="21" a="1"/>
  <c r="O86" i="21" s="1"/>
  <c r="P86" i="21" a="1"/>
  <c r="P86" i="21" s="1"/>
  <c r="Q86" i="21" a="1"/>
  <c r="Q86" i="21" s="1"/>
  <c r="R86" i="21" a="1"/>
  <c r="R86" i="21" s="1"/>
  <c r="U86" i="21" a="1"/>
  <c r="U86" i="21" s="1"/>
  <c r="V86" i="21" a="1"/>
  <c r="V86" i="21" s="1"/>
  <c r="W86" i="21" a="1"/>
  <c r="W86" i="21" s="1"/>
  <c r="X86" i="21" a="1"/>
  <c r="X86" i="21" s="1"/>
  <c r="K87" i="21" a="1"/>
  <c r="K87" i="21" s="1"/>
  <c r="L87" i="21" a="1"/>
  <c r="L87" i="21" s="1"/>
  <c r="M87" i="21" a="1"/>
  <c r="M87" i="21" s="1"/>
  <c r="N87" i="21" a="1"/>
  <c r="N87" i="21" s="1"/>
  <c r="O87" i="21" a="1"/>
  <c r="O87" i="21" s="1"/>
  <c r="P87" i="21" a="1"/>
  <c r="P87" i="21" s="1"/>
  <c r="Q87" i="21" a="1"/>
  <c r="Q87" i="21" s="1"/>
  <c r="R87" i="21" a="1"/>
  <c r="R87" i="21" s="1"/>
  <c r="U87" i="21" a="1"/>
  <c r="U87" i="21" s="1"/>
  <c r="V87" i="21" a="1"/>
  <c r="V87" i="21" s="1"/>
  <c r="W87" i="21" a="1"/>
  <c r="W87" i="21" s="1"/>
  <c r="X87" i="21" a="1"/>
  <c r="X87" i="21" s="1"/>
  <c r="K88" i="21" a="1"/>
  <c r="K88" i="21" s="1"/>
  <c r="L88" i="21" a="1"/>
  <c r="L88" i="21" s="1"/>
  <c r="M88" i="21" a="1"/>
  <c r="M88" i="21" s="1"/>
  <c r="N88" i="21" a="1"/>
  <c r="N88" i="21" s="1"/>
  <c r="O88" i="21" a="1"/>
  <c r="O88" i="21" s="1"/>
  <c r="P88" i="21" a="1"/>
  <c r="P88" i="21" s="1"/>
  <c r="Q88" i="21" a="1"/>
  <c r="Q88" i="21" s="1"/>
  <c r="R88" i="21" a="1"/>
  <c r="R88" i="21" s="1"/>
  <c r="U88" i="21" a="1"/>
  <c r="U88" i="21" s="1"/>
  <c r="V88" i="21" a="1"/>
  <c r="V88" i="21" s="1"/>
  <c r="W88" i="21" a="1"/>
  <c r="W88" i="21" s="1"/>
  <c r="X88" i="21" a="1"/>
  <c r="X88" i="21" s="1"/>
  <c r="K89" i="21" a="1"/>
  <c r="K89" i="21" s="1"/>
  <c r="L89" i="21" a="1"/>
  <c r="L89" i="21" s="1"/>
  <c r="M89" i="21" a="1"/>
  <c r="M89" i="21" s="1"/>
  <c r="N89" i="21" a="1"/>
  <c r="N89" i="21" s="1"/>
  <c r="O89" i="21" a="1"/>
  <c r="O89" i="21" s="1"/>
  <c r="P89" i="21" a="1"/>
  <c r="P89" i="21" s="1"/>
  <c r="Q89" i="21" a="1"/>
  <c r="Q89" i="21" s="1"/>
  <c r="R89" i="21" a="1"/>
  <c r="R89" i="21" s="1"/>
  <c r="U89" i="21" a="1"/>
  <c r="U89" i="21" s="1"/>
  <c r="V89" i="21" a="1"/>
  <c r="V89" i="21" s="1"/>
  <c r="W89" i="21" a="1"/>
  <c r="W89" i="21" s="1"/>
  <c r="X89" i="21" a="1"/>
  <c r="X89" i="21" s="1"/>
  <c r="K90" i="21" a="1"/>
  <c r="K90" i="21" s="1"/>
  <c r="L90" i="21" a="1"/>
  <c r="L90" i="21" s="1"/>
  <c r="M90" i="21" a="1"/>
  <c r="M90" i="21" s="1"/>
  <c r="N90" i="21" a="1"/>
  <c r="N90" i="21" s="1"/>
  <c r="O90" i="21" a="1"/>
  <c r="O90" i="21" s="1"/>
  <c r="P90" i="21" a="1"/>
  <c r="P90" i="21" s="1"/>
  <c r="Q90" i="21" a="1"/>
  <c r="Q90" i="21" s="1"/>
  <c r="R90" i="21" a="1"/>
  <c r="R90" i="21" s="1"/>
  <c r="U90" i="21" a="1"/>
  <c r="U90" i="21" s="1"/>
  <c r="V90" i="21" a="1"/>
  <c r="V90" i="21" s="1"/>
  <c r="W90" i="21" a="1"/>
  <c r="W90" i="21" s="1"/>
  <c r="X90" i="21" a="1"/>
  <c r="X90" i="21" s="1"/>
  <c r="K91" i="21" a="1"/>
  <c r="K91" i="21" s="1"/>
  <c r="L91" i="21" a="1"/>
  <c r="L91" i="21" s="1"/>
  <c r="M91" i="21" a="1"/>
  <c r="M91" i="21" s="1"/>
  <c r="N91" i="21" a="1"/>
  <c r="N91" i="21" s="1"/>
  <c r="O91" i="21" a="1"/>
  <c r="O91" i="21" s="1"/>
  <c r="P91" i="21" a="1"/>
  <c r="P91" i="21" s="1"/>
  <c r="Q91" i="21" a="1"/>
  <c r="Q91" i="21" s="1"/>
  <c r="R91" i="21" a="1"/>
  <c r="R91" i="21" s="1"/>
  <c r="U91" i="21" a="1"/>
  <c r="U91" i="21" s="1"/>
  <c r="V91" i="21" a="1"/>
  <c r="V91" i="21" s="1"/>
  <c r="W91" i="21" a="1"/>
  <c r="W91" i="21" s="1"/>
  <c r="X91" i="21" a="1"/>
  <c r="X91" i="21" s="1"/>
  <c r="K92" i="21" a="1"/>
  <c r="K92" i="21" s="1"/>
  <c r="L92" i="21" a="1"/>
  <c r="L92" i="21" s="1"/>
  <c r="M92" i="21" a="1"/>
  <c r="M92" i="21" s="1"/>
  <c r="N92" i="21" a="1"/>
  <c r="N92" i="21" s="1"/>
  <c r="O92" i="21" a="1"/>
  <c r="O92" i="21" s="1"/>
  <c r="P92" i="21" a="1"/>
  <c r="P92" i="21" s="1"/>
  <c r="Q92" i="21" a="1"/>
  <c r="Q92" i="21" s="1"/>
  <c r="R92" i="21" a="1"/>
  <c r="R92" i="21" s="1"/>
  <c r="U92" i="21" a="1"/>
  <c r="U92" i="21" s="1"/>
  <c r="V92" i="21" a="1"/>
  <c r="V92" i="21" s="1"/>
  <c r="W92" i="21" a="1"/>
  <c r="W92" i="21" s="1"/>
  <c r="X92" i="21" a="1"/>
  <c r="X92" i="21" s="1"/>
  <c r="K93" i="21" a="1"/>
  <c r="K93" i="21" s="1"/>
  <c r="L93" i="21" a="1"/>
  <c r="L93" i="21" s="1"/>
  <c r="M93" i="21" a="1"/>
  <c r="M93" i="21" s="1"/>
  <c r="N93" i="21" a="1"/>
  <c r="N93" i="21" s="1"/>
  <c r="O93" i="21" a="1"/>
  <c r="O93" i="21" s="1"/>
  <c r="P93" i="21" a="1"/>
  <c r="P93" i="21" s="1"/>
  <c r="Q93" i="21" a="1"/>
  <c r="Q93" i="21" s="1"/>
  <c r="R93" i="21" a="1"/>
  <c r="R93" i="21" s="1"/>
  <c r="U93" i="21" a="1"/>
  <c r="U93" i="21" s="1"/>
  <c r="V93" i="21" a="1"/>
  <c r="V93" i="21" s="1"/>
  <c r="W93" i="21" a="1"/>
  <c r="W93" i="21" s="1"/>
  <c r="X93" i="21" a="1"/>
  <c r="X93" i="21" s="1"/>
  <c r="K94" i="21" a="1"/>
  <c r="K94" i="21" s="1"/>
  <c r="L94" i="21" a="1"/>
  <c r="L94" i="21" s="1"/>
  <c r="M94" i="21" a="1"/>
  <c r="M94" i="21" s="1"/>
  <c r="N94" i="21" a="1"/>
  <c r="N94" i="21" s="1"/>
  <c r="O94" i="21" a="1"/>
  <c r="O94" i="21" s="1"/>
  <c r="P94" i="21" a="1"/>
  <c r="P94" i="21" s="1"/>
  <c r="Q94" i="21" a="1"/>
  <c r="Q94" i="21" s="1"/>
  <c r="R94" i="21" a="1"/>
  <c r="R94" i="21" s="1"/>
  <c r="U94" i="21" a="1"/>
  <c r="U94" i="21" s="1"/>
  <c r="V94" i="21" a="1"/>
  <c r="V94" i="21" s="1"/>
  <c r="W94" i="21" a="1"/>
  <c r="W94" i="21" s="1"/>
  <c r="X94" i="21" a="1"/>
  <c r="X94" i="21" s="1"/>
  <c r="K95" i="21" a="1"/>
  <c r="K95" i="21" s="1"/>
  <c r="L95" i="21" a="1"/>
  <c r="L95" i="21" s="1"/>
  <c r="M95" i="21" a="1"/>
  <c r="M95" i="21" s="1"/>
  <c r="N95" i="21" a="1"/>
  <c r="N95" i="21" s="1"/>
  <c r="O95" i="21" a="1"/>
  <c r="O95" i="21" s="1"/>
  <c r="P95" i="21" a="1"/>
  <c r="P95" i="21" s="1"/>
  <c r="Q95" i="21" a="1"/>
  <c r="Q95" i="21" s="1"/>
  <c r="R95" i="21" a="1"/>
  <c r="R95" i="21" s="1"/>
  <c r="U95" i="21" a="1"/>
  <c r="U95" i="21" s="1"/>
  <c r="V95" i="21" a="1"/>
  <c r="V95" i="21" s="1"/>
  <c r="W95" i="21" a="1"/>
  <c r="W95" i="21" s="1"/>
  <c r="X95" i="21" a="1"/>
  <c r="X95" i="21" s="1"/>
  <c r="K96" i="21" a="1"/>
  <c r="K96" i="21" s="1"/>
  <c r="L96" i="21" a="1"/>
  <c r="L96" i="21" s="1"/>
  <c r="M96" i="21" a="1"/>
  <c r="M96" i="21" s="1"/>
  <c r="N96" i="21" a="1"/>
  <c r="N96" i="21" s="1"/>
  <c r="O96" i="21" a="1"/>
  <c r="O96" i="21" s="1"/>
  <c r="P96" i="21" a="1"/>
  <c r="P96" i="21" s="1"/>
  <c r="Q96" i="21" a="1"/>
  <c r="Q96" i="21" s="1"/>
  <c r="R96" i="21" a="1"/>
  <c r="R96" i="21" s="1"/>
  <c r="U96" i="21" a="1"/>
  <c r="U96" i="21" s="1"/>
  <c r="V96" i="21" a="1"/>
  <c r="V96" i="21" s="1"/>
  <c r="W96" i="21" a="1"/>
  <c r="W96" i="21" s="1"/>
  <c r="X96" i="21" a="1"/>
  <c r="X96" i="21" s="1"/>
  <c r="K97" i="21" a="1"/>
  <c r="K97" i="21" s="1"/>
  <c r="L97" i="21" a="1"/>
  <c r="L97" i="21" s="1"/>
  <c r="M97" i="21" a="1"/>
  <c r="M97" i="21" s="1"/>
  <c r="N97" i="21" a="1"/>
  <c r="N97" i="21" s="1"/>
  <c r="O97" i="21" a="1"/>
  <c r="O97" i="21" s="1"/>
  <c r="P97" i="21" a="1"/>
  <c r="P97" i="21" s="1"/>
  <c r="Q97" i="21" a="1"/>
  <c r="Q97" i="21" s="1"/>
  <c r="R97" i="21" a="1"/>
  <c r="R97" i="21" s="1"/>
  <c r="U97" i="21" a="1"/>
  <c r="U97" i="21" s="1"/>
  <c r="V97" i="21" a="1"/>
  <c r="V97" i="21" s="1"/>
  <c r="W97" i="21" a="1"/>
  <c r="W97" i="21" s="1"/>
  <c r="X97" i="21" a="1"/>
  <c r="X97" i="21" s="1"/>
  <c r="K98" i="21" a="1"/>
  <c r="K98" i="21" s="1"/>
  <c r="L98" i="21" a="1"/>
  <c r="L98" i="21" s="1"/>
  <c r="M98" i="21" a="1"/>
  <c r="M98" i="21" s="1"/>
  <c r="N98" i="21" a="1"/>
  <c r="N98" i="21" s="1"/>
  <c r="O98" i="21" a="1"/>
  <c r="O98" i="21" s="1"/>
  <c r="P98" i="21" a="1"/>
  <c r="P98" i="21" s="1"/>
  <c r="Q98" i="21" a="1"/>
  <c r="Q98" i="21" s="1"/>
  <c r="R98" i="21" a="1"/>
  <c r="R98" i="21" s="1"/>
  <c r="U98" i="21" a="1"/>
  <c r="U98" i="21" s="1"/>
  <c r="V98" i="21" a="1"/>
  <c r="V98" i="21" s="1"/>
  <c r="W98" i="21" a="1"/>
  <c r="W98" i="21" s="1"/>
  <c r="X98" i="21" a="1"/>
  <c r="X98" i="21" s="1"/>
  <c r="K99" i="21" a="1"/>
  <c r="K99" i="21" s="1"/>
  <c r="L99" i="21" a="1"/>
  <c r="L99" i="21" s="1"/>
  <c r="M99" i="21" a="1"/>
  <c r="M99" i="21" s="1"/>
  <c r="N99" i="21" a="1"/>
  <c r="N99" i="21" s="1"/>
  <c r="O99" i="21" a="1"/>
  <c r="O99" i="21" s="1"/>
  <c r="P99" i="21" a="1"/>
  <c r="P99" i="21" s="1"/>
  <c r="Q99" i="21" a="1"/>
  <c r="Q99" i="21" s="1"/>
  <c r="R99" i="21" a="1"/>
  <c r="R99" i="21" s="1"/>
  <c r="U99" i="21" a="1"/>
  <c r="U99" i="21" s="1"/>
  <c r="V99" i="21" a="1"/>
  <c r="V99" i="21" s="1"/>
  <c r="W99" i="21" a="1"/>
  <c r="W99" i="21" s="1"/>
  <c r="X99" i="21" a="1"/>
  <c r="X99" i="21" s="1"/>
  <c r="K100" i="21" a="1"/>
  <c r="K100" i="21" s="1"/>
  <c r="L100" i="21" a="1"/>
  <c r="L100" i="21" s="1"/>
  <c r="M100" i="21" a="1"/>
  <c r="M100" i="21" s="1"/>
  <c r="N100" i="21" a="1"/>
  <c r="N100" i="21" s="1"/>
  <c r="O100" i="21" a="1"/>
  <c r="O100" i="21" s="1"/>
  <c r="P100" i="21" a="1"/>
  <c r="P100" i="21" s="1"/>
  <c r="Q100" i="21" a="1"/>
  <c r="Q100" i="21" s="1"/>
  <c r="R100" i="21" a="1"/>
  <c r="R100" i="21" s="1"/>
  <c r="U100" i="21" a="1"/>
  <c r="U100" i="21" s="1"/>
  <c r="V100" i="21" a="1"/>
  <c r="V100" i="21" s="1"/>
  <c r="W100" i="21" a="1"/>
  <c r="W100" i="21" s="1"/>
  <c r="X100" i="21" a="1"/>
  <c r="X100" i="21" s="1"/>
  <c r="K101" i="21" a="1"/>
  <c r="K101" i="21" s="1"/>
  <c r="L101" i="21" a="1"/>
  <c r="L101" i="21" s="1"/>
  <c r="M101" i="21" a="1"/>
  <c r="M101" i="21" s="1"/>
  <c r="N101" i="21" a="1"/>
  <c r="N101" i="21" s="1"/>
  <c r="O101" i="21" a="1"/>
  <c r="O101" i="21" s="1"/>
  <c r="P101" i="21" a="1"/>
  <c r="P101" i="21" s="1"/>
  <c r="Q101" i="21" a="1"/>
  <c r="Q101" i="21" s="1"/>
  <c r="R101" i="21" a="1"/>
  <c r="R101" i="21" s="1"/>
  <c r="U101" i="21" a="1"/>
  <c r="U101" i="21" s="1"/>
  <c r="V101" i="21" a="1"/>
  <c r="V101" i="21" s="1"/>
  <c r="W101" i="21" a="1"/>
  <c r="W101" i="21" s="1"/>
  <c r="X101" i="21" a="1"/>
  <c r="X101" i="21" s="1"/>
  <c r="K102" i="21" a="1"/>
  <c r="K102" i="21" s="1"/>
  <c r="L102" i="21" a="1"/>
  <c r="L102" i="21" s="1"/>
  <c r="M102" i="21" a="1"/>
  <c r="M102" i="21" s="1"/>
  <c r="N102" i="21" a="1"/>
  <c r="N102" i="21" s="1"/>
  <c r="O102" i="21" a="1"/>
  <c r="O102" i="21" s="1"/>
  <c r="P102" i="21" a="1"/>
  <c r="P102" i="21" s="1"/>
  <c r="Q102" i="21" a="1"/>
  <c r="Q102" i="21" s="1"/>
  <c r="R102" i="21" a="1"/>
  <c r="R102" i="21" s="1"/>
  <c r="U102" i="21" a="1"/>
  <c r="U102" i="21" s="1"/>
  <c r="V102" i="21" a="1"/>
  <c r="V102" i="21" s="1"/>
  <c r="W102" i="21" a="1"/>
  <c r="W102" i="21" s="1"/>
  <c r="X102" i="21" a="1"/>
  <c r="X102" i="21" s="1"/>
  <c r="K103" i="21" a="1"/>
  <c r="K103" i="21" s="1"/>
  <c r="L103" i="21" a="1"/>
  <c r="L103" i="21" s="1"/>
  <c r="M103" i="21" a="1"/>
  <c r="M103" i="21" s="1"/>
  <c r="N103" i="21" a="1"/>
  <c r="N103" i="21" s="1"/>
  <c r="O103" i="21" a="1"/>
  <c r="O103" i="21" s="1"/>
  <c r="P103" i="21" a="1"/>
  <c r="P103" i="21" s="1"/>
  <c r="Q103" i="21" a="1"/>
  <c r="Q103" i="21" s="1"/>
  <c r="R103" i="21" a="1"/>
  <c r="R103" i="21" s="1"/>
  <c r="U103" i="21" a="1"/>
  <c r="U103" i="21" s="1"/>
  <c r="V103" i="21" a="1"/>
  <c r="V103" i="21" s="1"/>
  <c r="W103" i="21" a="1"/>
  <c r="W103" i="21" s="1"/>
  <c r="X103" i="21" a="1"/>
  <c r="X103" i="21" s="1"/>
  <c r="K104" i="21" a="1"/>
  <c r="K104" i="21" s="1"/>
  <c r="L104" i="21" a="1"/>
  <c r="L104" i="21" s="1"/>
  <c r="M104" i="21" a="1"/>
  <c r="M104" i="21" s="1"/>
  <c r="N104" i="21" a="1"/>
  <c r="N104" i="21" s="1"/>
  <c r="O104" i="21" a="1"/>
  <c r="O104" i="21" s="1"/>
  <c r="P104" i="21" a="1"/>
  <c r="P104" i="21" s="1"/>
  <c r="Q104" i="21" a="1"/>
  <c r="Q104" i="21" s="1"/>
  <c r="R104" i="21" a="1"/>
  <c r="R104" i="21" s="1"/>
  <c r="U104" i="21" a="1"/>
  <c r="U104" i="21" s="1"/>
  <c r="V104" i="21" a="1"/>
  <c r="V104" i="21" s="1"/>
  <c r="W104" i="21" a="1"/>
  <c r="W104" i="21" s="1"/>
  <c r="X104" i="21" a="1"/>
  <c r="X104" i="21" s="1"/>
  <c r="K105" i="21" a="1"/>
  <c r="K105" i="21" s="1"/>
  <c r="L105" i="21" a="1"/>
  <c r="L105" i="21" s="1"/>
  <c r="M105" i="21" a="1"/>
  <c r="M105" i="21" s="1"/>
  <c r="N105" i="21" a="1"/>
  <c r="N105" i="21" s="1"/>
  <c r="O105" i="21" a="1"/>
  <c r="O105" i="21" s="1"/>
  <c r="P105" i="21" a="1"/>
  <c r="P105" i="21" s="1"/>
  <c r="Q105" i="21" a="1"/>
  <c r="Q105" i="21" s="1"/>
  <c r="R105" i="21" a="1"/>
  <c r="R105" i="21" s="1"/>
  <c r="U105" i="21" a="1"/>
  <c r="U105" i="21" s="1"/>
  <c r="V105" i="21" a="1"/>
  <c r="V105" i="21" s="1"/>
  <c r="W105" i="21" a="1"/>
  <c r="W105" i="21" s="1"/>
  <c r="X105" i="21" a="1"/>
  <c r="X105" i="21" s="1"/>
  <c r="K106" i="21" a="1"/>
  <c r="K106" i="21" s="1"/>
  <c r="L106" i="21" a="1"/>
  <c r="L106" i="21" s="1"/>
  <c r="M106" i="21" a="1"/>
  <c r="M106" i="21" s="1"/>
  <c r="N106" i="21" a="1"/>
  <c r="N106" i="21" s="1"/>
  <c r="O106" i="21" a="1"/>
  <c r="O106" i="21" s="1"/>
  <c r="P106" i="21" a="1"/>
  <c r="P106" i="21" s="1"/>
  <c r="Q106" i="21" a="1"/>
  <c r="Q106" i="21" s="1"/>
  <c r="R106" i="21" a="1"/>
  <c r="R106" i="21" s="1"/>
  <c r="U106" i="21" a="1"/>
  <c r="U106" i="21" s="1"/>
  <c r="V106" i="21" a="1"/>
  <c r="V106" i="21" s="1"/>
  <c r="W106" i="21" a="1"/>
  <c r="W106" i="21" s="1"/>
  <c r="X106" i="21" a="1"/>
  <c r="X106" i="21" s="1"/>
  <c r="K107" i="21" a="1"/>
  <c r="K107" i="21" s="1"/>
  <c r="L107" i="21" a="1"/>
  <c r="L107" i="21" s="1"/>
  <c r="M107" i="21" a="1"/>
  <c r="M107" i="21" s="1"/>
  <c r="N107" i="21" a="1"/>
  <c r="N107" i="21" s="1"/>
  <c r="O107" i="21" a="1"/>
  <c r="O107" i="21" s="1"/>
  <c r="P107" i="21" a="1"/>
  <c r="P107" i="21" s="1"/>
  <c r="Q107" i="21" a="1"/>
  <c r="Q107" i="21" s="1"/>
  <c r="R107" i="21" a="1"/>
  <c r="R107" i="21" s="1"/>
  <c r="U107" i="21" a="1"/>
  <c r="U107" i="21" s="1"/>
  <c r="V107" i="21" a="1"/>
  <c r="V107" i="21" s="1"/>
  <c r="W107" i="21" a="1"/>
  <c r="W107" i="21" s="1"/>
  <c r="X107" i="21" a="1"/>
  <c r="X107" i="21" s="1"/>
  <c r="K108" i="21" a="1"/>
  <c r="K108" i="21" s="1"/>
  <c r="L108" i="21" a="1"/>
  <c r="L108" i="21" s="1"/>
  <c r="M108" i="21" a="1"/>
  <c r="M108" i="21" s="1"/>
  <c r="N108" i="21" a="1"/>
  <c r="N108" i="21" s="1"/>
  <c r="O108" i="21" a="1"/>
  <c r="O108" i="21" s="1"/>
  <c r="P108" i="21" a="1"/>
  <c r="P108" i="21" s="1"/>
  <c r="Q108" i="21" a="1"/>
  <c r="Q108" i="21" s="1"/>
  <c r="R108" i="21" a="1"/>
  <c r="R108" i="21" s="1"/>
  <c r="U108" i="21" a="1"/>
  <c r="U108" i="21" s="1"/>
  <c r="V108" i="21" a="1"/>
  <c r="V108" i="21" s="1"/>
  <c r="W108" i="21" a="1"/>
  <c r="W108" i="21" s="1"/>
  <c r="X108" i="21" a="1"/>
  <c r="X108" i="21" s="1"/>
  <c r="K109" i="21" a="1"/>
  <c r="K109" i="21" s="1"/>
  <c r="L109" i="21" a="1"/>
  <c r="L109" i="21" s="1"/>
  <c r="M109" i="21" a="1"/>
  <c r="M109" i="21" s="1"/>
  <c r="N109" i="21" a="1"/>
  <c r="N109" i="21" s="1"/>
  <c r="O109" i="21" a="1"/>
  <c r="O109" i="21" s="1"/>
  <c r="P109" i="21" a="1"/>
  <c r="P109" i="21" s="1"/>
  <c r="Q109" i="21" a="1"/>
  <c r="Q109" i="21" s="1"/>
  <c r="R109" i="21" a="1"/>
  <c r="R109" i="21" s="1"/>
  <c r="U109" i="21" a="1"/>
  <c r="U109" i="21" s="1"/>
  <c r="V109" i="21" a="1"/>
  <c r="V109" i="21" s="1"/>
  <c r="W109" i="21" a="1"/>
  <c r="W109" i="21" s="1"/>
  <c r="X109" i="21" a="1"/>
  <c r="X109" i="21" s="1"/>
  <c r="K110" i="21" a="1"/>
  <c r="K110" i="21" s="1"/>
  <c r="L110" i="21" a="1"/>
  <c r="L110" i="21" s="1"/>
  <c r="M110" i="21" a="1"/>
  <c r="M110" i="21" s="1"/>
  <c r="N110" i="21" a="1"/>
  <c r="N110" i="21" s="1"/>
  <c r="O110" i="21" a="1"/>
  <c r="O110" i="21" s="1"/>
  <c r="P110" i="21" a="1"/>
  <c r="P110" i="21" s="1"/>
  <c r="Q110" i="21" a="1"/>
  <c r="Q110" i="21" s="1"/>
  <c r="R110" i="21" a="1"/>
  <c r="R110" i="21" s="1"/>
  <c r="U110" i="21" a="1"/>
  <c r="U110" i="21" s="1"/>
  <c r="V110" i="21" a="1"/>
  <c r="V110" i="21" s="1"/>
  <c r="W110" i="21" a="1"/>
  <c r="W110" i="21" s="1"/>
  <c r="X110" i="21" a="1"/>
  <c r="X110" i="21" s="1"/>
  <c r="K111" i="21" a="1"/>
  <c r="K111" i="21" s="1"/>
  <c r="L111" i="21" a="1"/>
  <c r="L111" i="21" s="1"/>
  <c r="M111" i="21" a="1"/>
  <c r="M111" i="21" s="1"/>
  <c r="N111" i="21" a="1"/>
  <c r="N111" i="21" s="1"/>
  <c r="O111" i="21" a="1"/>
  <c r="O111" i="21" s="1"/>
  <c r="P111" i="21" a="1"/>
  <c r="P111" i="21" s="1"/>
  <c r="Q111" i="21" a="1"/>
  <c r="Q111" i="21" s="1"/>
  <c r="R111" i="21" a="1"/>
  <c r="R111" i="21" s="1"/>
  <c r="U111" i="21" a="1"/>
  <c r="U111" i="21" s="1"/>
  <c r="V111" i="21" a="1"/>
  <c r="V111" i="21" s="1"/>
  <c r="W111" i="21" a="1"/>
  <c r="W111" i="21" s="1"/>
  <c r="X111" i="21" a="1"/>
  <c r="X111" i="21" s="1"/>
  <c r="K112" i="21" a="1"/>
  <c r="K112" i="21" s="1"/>
  <c r="L112" i="21" a="1"/>
  <c r="L112" i="21" s="1"/>
  <c r="M112" i="21" a="1"/>
  <c r="M112" i="21" s="1"/>
  <c r="N112" i="21" a="1"/>
  <c r="N112" i="21" s="1"/>
  <c r="O112" i="21" a="1"/>
  <c r="O112" i="21" s="1"/>
  <c r="P112" i="21" a="1"/>
  <c r="P112" i="21" s="1"/>
  <c r="Q112" i="21" a="1"/>
  <c r="Q112" i="21" s="1"/>
  <c r="R112" i="21" a="1"/>
  <c r="R112" i="21" s="1"/>
  <c r="U112" i="21" a="1"/>
  <c r="U112" i="21" s="1"/>
  <c r="V112" i="21" a="1"/>
  <c r="V112" i="21" s="1"/>
  <c r="W112" i="21" a="1"/>
  <c r="W112" i="21" s="1"/>
  <c r="X112" i="21" a="1"/>
  <c r="X112" i="21" s="1"/>
  <c r="K113" i="21" a="1"/>
  <c r="K113" i="21" s="1"/>
  <c r="L113" i="21" a="1"/>
  <c r="L113" i="21" s="1"/>
  <c r="M113" i="21" a="1"/>
  <c r="M113" i="21" s="1"/>
  <c r="N113" i="21" a="1"/>
  <c r="N113" i="21" s="1"/>
  <c r="O113" i="21" a="1"/>
  <c r="O113" i="21" s="1"/>
  <c r="P113" i="21" a="1"/>
  <c r="P113" i="21" s="1"/>
  <c r="Q113" i="21" a="1"/>
  <c r="Q113" i="21" s="1"/>
  <c r="R113" i="21" a="1"/>
  <c r="R113" i="21" s="1"/>
  <c r="U113" i="21" a="1"/>
  <c r="U113" i="21" s="1"/>
  <c r="V113" i="21" a="1"/>
  <c r="V113" i="21" s="1"/>
  <c r="W113" i="21" a="1"/>
  <c r="W113" i="21" s="1"/>
  <c r="X113" i="21" a="1"/>
  <c r="X113" i="21" s="1"/>
  <c r="K114" i="21" a="1"/>
  <c r="K114" i="21" s="1"/>
  <c r="L114" i="21" a="1"/>
  <c r="L114" i="21" s="1"/>
  <c r="M114" i="21" a="1"/>
  <c r="M114" i="21" s="1"/>
  <c r="N114" i="21" a="1"/>
  <c r="N114" i="21" s="1"/>
  <c r="O114" i="21" a="1"/>
  <c r="O114" i="21" s="1"/>
  <c r="P114" i="21" a="1"/>
  <c r="P114" i="21" s="1"/>
  <c r="Q114" i="21" a="1"/>
  <c r="Q114" i="21" s="1"/>
  <c r="R114" i="21" a="1"/>
  <c r="R114" i="21" s="1"/>
  <c r="U114" i="21" a="1"/>
  <c r="U114" i="21" s="1"/>
  <c r="V114" i="21" a="1"/>
  <c r="V114" i="21" s="1"/>
  <c r="W114" i="21" a="1"/>
  <c r="W114" i="21" s="1"/>
  <c r="X114" i="21" a="1"/>
  <c r="X114" i="21" s="1"/>
  <c r="K115" i="21" a="1"/>
  <c r="K115" i="21" s="1"/>
  <c r="L115" i="21" a="1"/>
  <c r="L115" i="21" s="1"/>
  <c r="M115" i="21" a="1"/>
  <c r="M115" i="21" s="1"/>
  <c r="N115" i="21" a="1"/>
  <c r="N115" i="21" s="1"/>
  <c r="O115" i="21" a="1"/>
  <c r="O115" i="21" s="1"/>
  <c r="P115" i="21" a="1"/>
  <c r="P115" i="21" s="1"/>
  <c r="Q115" i="21" a="1"/>
  <c r="Q115" i="21" s="1"/>
  <c r="R115" i="21" a="1"/>
  <c r="R115" i="21" s="1"/>
  <c r="U115" i="21" a="1"/>
  <c r="U115" i="21" s="1"/>
  <c r="V115" i="21" a="1"/>
  <c r="V115" i="21" s="1"/>
  <c r="W115" i="21" a="1"/>
  <c r="W115" i="21" s="1"/>
  <c r="X115" i="21" a="1"/>
  <c r="X115" i="21" s="1"/>
  <c r="K116" i="21" a="1"/>
  <c r="K116" i="21" s="1"/>
  <c r="L116" i="21" a="1"/>
  <c r="L116" i="21" s="1"/>
  <c r="M116" i="21" a="1"/>
  <c r="M116" i="21" s="1"/>
  <c r="N116" i="21" a="1"/>
  <c r="N116" i="21" s="1"/>
  <c r="O116" i="21" a="1"/>
  <c r="O116" i="21" s="1"/>
  <c r="P116" i="21" a="1"/>
  <c r="P116" i="21" s="1"/>
  <c r="Q116" i="21" a="1"/>
  <c r="Q116" i="21" s="1"/>
  <c r="R116" i="21" a="1"/>
  <c r="R116" i="21" s="1"/>
  <c r="U116" i="21" a="1"/>
  <c r="U116" i="21" s="1"/>
  <c r="V116" i="21" a="1"/>
  <c r="V116" i="21" s="1"/>
  <c r="W116" i="21" a="1"/>
  <c r="W116" i="21" s="1"/>
  <c r="X116" i="21" a="1"/>
  <c r="X116" i="21" s="1"/>
  <c r="K117" i="21" a="1"/>
  <c r="K117" i="21" s="1"/>
  <c r="L117" i="21" a="1"/>
  <c r="L117" i="21" s="1"/>
  <c r="M117" i="21" a="1"/>
  <c r="M117" i="21" s="1"/>
  <c r="N117" i="21" a="1"/>
  <c r="N117" i="21" s="1"/>
  <c r="O117" i="21" a="1"/>
  <c r="O117" i="21" s="1"/>
  <c r="P117" i="21" a="1"/>
  <c r="P117" i="21" s="1"/>
  <c r="Q117" i="21" a="1"/>
  <c r="Q117" i="21" s="1"/>
  <c r="R117" i="21" a="1"/>
  <c r="R117" i="21" s="1"/>
  <c r="U117" i="21" a="1"/>
  <c r="U117" i="21" s="1"/>
  <c r="V117" i="21" a="1"/>
  <c r="V117" i="21" s="1"/>
  <c r="W117" i="21" a="1"/>
  <c r="W117" i="21" s="1"/>
  <c r="X117" i="21" a="1"/>
  <c r="X117" i="21" s="1"/>
  <c r="K118" i="21" a="1"/>
  <c r="K118" i="21" s="1"/>
  <c r="L118" i="21" a="1"/>
  <c r="L118" i="21" s="1"/>
  <c r="M118" i="21" a="1"/>
  <c r="M118" i="21" s="1"/>
  <c r="N118" i="21" a="1"/>
  <c r="N118" i="21" s="1"/>
  <c r="O118" i="21" a="1"/>
  <c r="O118" i="21" s="1"/>
  <c r="P118" i="21" a="1"/>
  <c r="P118" i="21" s="1"/>
  <c r="Q118" i="21" a="1"/>
  <c r="Q118" i="21" s="1"/>
  <c r="R118" i="21" a="1"/>
  <c r="R118" i="21" s="1"/>
  <c r="U118" i="21" a="1"/>
  <c r="U118" i="21" s="1"/>
  <c r="V118" i="21" a="1"/>
  <c r="V118" i="21" s="1"/>
  <c r="W118" i="21" a="1"/>
  <c r="W118" i="21" s="1"/>
  <c r="X118" i="21" a="1"/>
  <c r="X118" i="21" s="1"/>
  <c r="K119" i="21" a="1"/>
  <c r="K119" i="21" s="1"/>
  <c r="L119" i="21" a="1"/>
  <c r="L119" i="21" s="1"/>
  <c r="M119" i="21" a="1"/>
  <c r="M119" i="21" s="1"/>
  <c r="N119" i="21" a="1"/>
  <c r="N119" i="21" s="1"/>
  <c r="O119" i="21" a="1"/>
  <c r="O119" i="21" s="1"/>
  <c r="P119" i="21" a="1"/>
  <c r="P119" i="21" s="1"/>
  <c r="Q119" i="21" a="1"/>
  <c r="Q119" i="21" s="1"/>
  <c r="R119" i="21" a="1"/>
  <c r="R119" i="21" s="1"/>
  <c r="U119" i="21" a="1"/>
  <c r="U119" i="21" s="1"/>
  <c r="V119" i="21" a="1"/>
  <c r="V119" i="21" s="1"/>
  <c r="W119" i="21" a="1"/>
  <c r="W119" i="21" s="1"/>
  <c r="X119" i="21" a="1"/>
  <c r="X119" i="21" s="1"/>
  <c r="K120" i="21" a="1"/>
  <c r="K120" i="21" s="1"/>
  <c r="L120" i="21" a="1"/>
  <c r="L120" i="21" s="1"/>
  <c r="M120" i="21" a="1"/>
  <c r="M120" i="21" s="1"/>
  <c r="N120" i="21" a="1"/>
  <c r="N120" i="21" s="1"/>
  <c r="O120" i="21" a="1"/>
  <c r="O120" i="21" s="1"/>
  <c r="P120" i="21" a="1"/>
  <c r="P120" i="21" s="1"/>
  <c r="Q120" i="21" a="1"/>
  <c r="Q120" i="21" s="1"/>
  <c r="R120" i="21" a="1"/>
  <c r="R120" i="21" s="1"/>
  <c r="U120" i="21" a="1"/>
  <c r="U120" i="21" s="1"/>
  <c r="V120" i="21" a="1"/>
  <c r="V120" i="21" s="1"/>
  <c r="W120" i="21" a="1"/>
  <c r="W120" i="21" s="1"/>
  <c r="X120" i="21" a="1"/>
  <c r="X120" i="21" s="1"/>
  <c r="K121" i="21" a="1"/>
  <c r="K121" i="21" s="1"/>
  <c r="L121" i="21" a="1"/>
  <c r="L121" i="21" s="1"/>
  <c r="M121" i="21" a="1"/>
  <c r="M121" i="21" s="1"/>
  <c r="N121" i="21" a="1"/>
  <c r="N121" i="21" s="1"/>
  <c r="O121" i="21" a="1"/>
  <c r="O121" i="21" s="1"/>
  <c r="P121" i="21" a="1"/>
  <c r="P121" i="21" s="1"/>
  <c r="Q121" i="21" a="1"/>
  <c r="Q121" i="21" s="1"/>
  <c r="R121" i="21" a="1"/>
  <c r="R121" i="21" s="1"/>
  <c r="U121" i="21" a="1"/>
  <c r="U121" i="21" s="1"/>
  <c r="V121" i="21" a="1"/>
  <c r="V121" i="21" s="1"/>
  <c r="W121" i="21" a="1"/>
  <c r="W121" i="21" s="1"/>
  <c r="X121" i="21" a="1"/>
  <c r="X121" i="21" s="1"/>
  <c r="K122" i="21" a="1"/>
  <c r="K122" i="21" s="1"/>
  <c r="L122" i="21" a="1"/>
  <c r="L122" i="21" s="1"/>
  <c r="M122" i="21" a="1"/>
  <c r="M122" i="21" s="1"/>
  <c r="N122" i="21" a="1"/>
  <c r="N122" i="21" s="1"/>
  <c r="O122" i="21" a="1"/>
  <c r="O122" i="21" s="1"/>
  <c r="P122" i="21" a="1"/>
  <c r="P122" i="21" s="1"/>
  <c r="Q122" i="21" a="1"/>
  <c r="Q122" i="21" s="1"/>
  <c r="R122" i="21" a="1"/>
  <c r="R122" i="21" s="1"/>
  <c r="U122" i="21" a="1"/>
  <c r="U122" i="21" s="1"/>
  <c r="V122" i="21" a="1"/>
  <c r="V122" i="21" s="1"/>
  <c r="W122" i="21" a="1"/>
  <c r="W122" i="21" s="1"/>
  <c r="X122" i="21" a="1"/>
  <c r="X122" i="21" s="1"/>
  <c r="K123" i="21" a="1"/>
  <c r="K123" i="21" s="1"/>
  <c r="L123" i="21" a="1"/>
  <c r="L123" i="21" s="1"/>
  <c r="M123" i="21" a="1"/>
  <c r="M123" i="21" s="1"/>
  <c r="N123" i="21" a="1"/>
  <c r="N123" i="21" s="1"/>
  <c r="O123" i="21" a="1"/>
  <c r="O123" i="21" s="1"/>
  <c r="P123" i="21" a="1"/>
  <c r="P123" i="21" s="1"/>
  <c r="Q123" i="21" a="1"/>
  <c r="Q123" i="21" s="1"/>
  <c r="R123" i="21" a="1"/>
  <c r="R123" i="21" s="1"/>
  <c r="U123" i="21" a="1"/>
  <c r="U123" i="21" s="1"/>
  <c r="V123" i="21" a="1"/>
  <c r="V123" i="21" s="1"/>
  <c r="W123" i="21" a="1"/>
  <c r="W123" i="21" s="1"/>
  <c r="X123" i="21" a="1"/>
  <c r="X123" i="21" s="1"/>
  <c r="K124" i="21" a="1"/>
  <c r="K124" i="21" s="1"/>
  <c r="L124" i="21" a="1"/>
  <c r="L124" i="21" s="1"/>
  <c r="M124" i="21" a="1"/>
  <c r="M124" i="21" s="1"/>
  <c r="N124" i="21" a="1"/>
  <c r="N124" i="21" s="1"/>
  <c r="O124" i="21" a="1"/>
  <c r="O124" i="21" s="1"/>
  <c r="P124" i="21" a="1"/>
  <c r="P124" i="21" s="1"/>
  <c r="Q124" i="21" a="1"/>
  <c r="Q124" i="21" s="1"/>
  <c r="R124" i="21" a="1"/>
  <c r="R124" i="21" s="1"/>
  <c r="U124" i="21" a="1"/>
  <c r="U124" i="21" s="1"/>
  <c r="V124" i="21" a="1"/>
  <c r="V124" i="21" s="1"/>
  <c r="W124" i="21" a="1"/>
  <c r="W124" i="21" s="1"/>
  <c r="X124" i="21" a="1"/>
  <c r="X124" i="21" s="1"/>
  <c r="K125" i="21" a="1"/>
  <c r="K125" i="21" s="1"/>
  <c r="L125" i="21" a="1"/>
  <c r="L125" i="21" s="1"/>
  <c r="M125" i="21" a="1"/>
  <c r="M125" i="21" s="1"/>
  <c r="N125" i="21" a="1"/>
  <c r="N125" i="21" s="1"/>
  <c r="O125" i="21" a="1"/>
  <c r="O125" i="21" s="1"/>
  <c r="P125" i="21" a="1"/>
  <c r="P125" i="21" s="1"/>
  <c r="Q125" i="21" a="1"/>
  <c r="Q125" i="21" s="1"/>
  <c r="R125" i="21" a="1"/>
  <c r="R125" i="21" s="1"/>
  <c r="U125" i="21" a="1"/>
  <c r="U125" i="21" s="1"/>
  <c r="V125" i="21" a="1"/>
  <c r="V125" i="21" s="1"/>
  <c r="W125" i="21" a="1"/>
  <c r="W125" i="21" s="1"/>
  <c r="X125" i="21" a="1"/>
  <c r="X125" i="21" s="1"/>
  <c r="K126" i="21" a="1"/>
  <c r="K126" i="21" s="1"/>
  <c r="L126" i="21" a="1"/>
  <c r="L126" i="21" s="1"/>
  <c r="M126" i="21" a="1"/>
  <c r="M126" i="21" s="1"/>
  <c r="N126" i="21" a="1"/>
  <c r="N126" i="21" s="1"/>
  <c r="O126" i="21" a="1"/>
  <c r="O126" i="21" s="1"/>
  <c r="P126" i="21" a="1"/>
  <c r="P126" i="21" s="1"/>
  <c r="Q126" i="21" a="1"/>
  <c r="Q126" i="21" s="1"/>
  <c r="R126" i="21" a="1"/>
  <c r="R126" i="21" s="1"/>
  <c r="U126" i="21" a="1"/>
  <c r="U126" i="21" s="1"/>
  <c r="V126" i="21" a="1"/>
  <c r="V126" i="21" s="1"/>
  <c r="W126" i="21" a="1"/>
  <c r="W126" i="21" s="1"/>
  <c r="X126" i="21" a="1"/>
  <c r="X126" i="21" s="1"/>
  <c r="K127" i="21" a="1"/>
  <c r="K127" i="21" s="1"/>
  <c r="L127" i="21" a="1"/>
  <c r="L127" i="21" s="1"/>
  <c r="M127" i="21" a="1"/>
  <c r="M127" i="21" s="1"/>
  <c r="N127" i="21" a="1"/>
  <c r="N127" i="21" s="1"/>
  <c r="O127" i="21" a="1"/>
  <c r="O127" i="21" s="1"/>
  <c r="P127" i="21" a="1"/>
  <c r="P127" i="21" s="1"/>
  <c r="Q127" i="21" a="1"/>
  <c r="Q127" i="21" s="1"/>
  <c r="R127" i="21" a="1"/>
  <c r="R127" i="21" s="1"/>
  <c r="U127" i="21" a="1"/>
  <c r="U127" i="21" s="1"/>
  <c r="V127" i="21" a="1"/>
  <c r="V127" i="21" s="1"/>
  <c r="W127" i="21" a="1"/>
  <c r="W127" i="21" s="1"/>
  <c r="X127" i="21" a="1"/>
  <c r="X127" i="21" s="1"/>
  <c r="K128" i="21" a="1"/>
  <c r="K128" i="21" s="1"/>
  <c r="L128" i="21" a="1"/>
  <c r="L128" i="21" s="1"/>
  <c r="M128" i="21" a="1"/>
  <c r="M128" i="21" s="1"/>
  <c r="N128" i="21" a="1"/>
  <c r="N128" i="21" s="1"/>
  <c r="O128" i="21" a="1"/>
  <c r="O128" i="21" s="1"/>
  <c r="P128" i="21" a="1"/>
  <c r="P128" i="21" s="1"/>
  <c r="Q128" i="21" a="1"/>
  <c r="Q128" i="21" s="1"/>
  <c r="R128" i="21" a="1"/>
  <c r="R128" i="21" s="1"/>
  <c r="U128" i="21" a="1"/>
  <c r="U128" i="21" s="1"/>
  <c r="V128" i="21" a="1"/>
  <c r="V128" i="21" s="1"/>
  <c r="W128" i="21" a="1"/>
  <c r="W128" i="21" s="1"/>
  <c r="X128" i="21" a="1"/>
  <c r="X128" i="21" s="1"/>
  <c r="K129" i="21" a="1"/>
  <c r="K129" i="21" s="1"/>
  <c r="L129" i="21" a="1"/>
  <c r="L129" i="21" s="1"/>
  <c r="M129" i="21" a="1"/>
  <c r="M129" i="21" s="1"/>
  <c r="N129" i="21" a="1"/>
  <c r="N129" i="21" s="1"/>
  <c r="O129" i="21" a="1"/>
  <c r="O129" i="21" s="1"/>
  <c r="P129" i="21" a="1"/>
  <c r="P129" i="21" s="1"/>
  <c r="Q129" i="21" a="1"/>
  <c r="Q129" i="21" s="1"/>
  <c r="R129" i="21" a="1"/>
  <c r="R129" i="21" s="1"/>
  <c r="U129" i="21" a="1"/>
  <c r="U129" i="21" s="1"/>
  <c r="V129" i="21" a="1"/>
  <c r="V129" i="21" s="1"/>
  <c r="W129" i="21" a="1"/>
  <c r="W129" i="21" s="1"/>
  <c r="X129" i="21" a="1"/>
  <c r="X129" i="21" s="1"/>
  <c r="K130" i="21" a="1"/>
  <c r="K130" i="21" s="1"/>
  <c r="L130" i="21" a="1"/>
  <c r="L130" i="21" s="1"/>
  <c r="M130" i="21" a="1"/>
  <c r="M130" i="21" s="1"/>
  <c r="N130" i="21" a="1"/>
  <c r="N130" i="21" s="1"/>
  <c r="O130" i="21" a="1"/>
  <c r="O130" i="21" s="1"/>
  <c r="P130" i="21" a="1"/>
  <c r="P130" i="21" s="1"/>
  <c r="Q130" i="21" a="1"/>
  <c r="Q130" i="21" s="1"/>
  <c r="R130" i="21" a="1"/>
  <c r="R130" i="21" s="1"/>
  <c r="U130" i="21" a="1"/>
  <c r="U130" i="21" s="1"/>
  <c r="V130" i="21" a="1"/>
  <c r="V130" i="21" s="1"/>
  <c r="W130" i="21" a="1"/>
  <c r="W130" i="21" s="1"/>
  <c r="X130" i="21" a="1"/>
  <c r="X130" i="21" s="1"/>
  <c r="K131" i="21" a="1"/>
  <c r="K131" i="21" s="1"/>
  <c r="L131" i="21" a="1"/>
  <c r="L131" i="21" s="1"/>
  <c r="M131" i="21" a="1"/>
  <c r="M131" i="21" s="1"/>
  <c r="N131" i="21" a="1"/>
  <c r="N131" i="21" s="1"/>
  <c r="O131" i="21" a="1"/>
  <c r="O131" i="21" s="1"/>
  <c r="P131" i="21" a="1"/>
  <c r="P131" i="21" s="1"/>
  <c r="Q131" i="21" a="1"/>
  <c r="Q131" i="21" s="1"/>
  <c r="R131" i="21" a="1"/>
  <c r="R131" i="21" s="1"/>
  <c r="U131" i="21" a="1"/>
  <c r="U131" i="21" s="1"/>
  <c r="V131" i="21" a="1"/>
  <c r="V131" i="21" s="1"/>
  <c r="W131" i="21" a="1"/>
  <c r="W131" i="21" s="1"/>
  <c r="X131" i="21" a="1"/>
  <c r="X131" i="21" s="1"/>
  <c r="K132" i="21" a="1"/>
  <c r="K132" i="21" s="1"/>
  <c r="L132" i="21" a="1"/>
  <c r="L132" i="21" s="1"/>
  <c r="M132" i="21" a="1"/>
  <c r="M132" i="21" s="1"/>
  <c r="N132" i="21" a="1"/>
  <c r="N132" i="21" s="1"/>
  <c r="O132" i="21" a="1"/>
  <c r="O132" i="21" s="1"/>
  <c r="P132" i="21" a="1"/>
  <c r="P132" i="21" s="1"/>
  <c r="Q132" i="21" a="1"/>
  <c r="Q132" i="21" s="1"/>
  <c r="R132" i="21" a="1"/>
  <c r="R132" i="21" s="1"/>
  <c r="U132" i="21" a="1"/>
  <c r="U132" i="21" s="1"/>
  <c r="V132" i="21" a="1"/>
  <c r="V132" i="21" s="1"/>
  <c r="W132" i="21" a="1"/>
  <c r="W132" i="21" s="1"/>
  <c r="X132" i="21" a="1"/>
  <c r="X132" i="21" s="1"/>
  <c r="K133" i="21" a="1"/>
  <c r="K133" i="21" s="1"/>
  <c r="L133" i="21" a="1"/>
  <c r="L133" i="21" s="1"/>
  <c r="M133" i="21" a="1"/>
  <c r="M133" i="21" s="1"/>
  <c r="N133" i="21" a="1"/>
  <c r="N133" i="21" s="1"/>
  <c r="O133" i="21" a="1"/>
  <c r="O133" i="21" s="1"/>
  <c r="P133" i="21" a="1"/>
  <c r="P133" i="21" s="1"/>
  <c r="Q133" i="21" a="1"/>
  <c r="Q133" i="21" s="1"/>
  <c r="R133" i="21" a="1"/>
  <c r="R133" i="21" s="1"/>
  <c r="U133" i="21" a="1"/>
  <c r="U133" i="21" s="1"/>
  <c r="V133" i="21" a="1"/>
  <c r="V133" i="21" s="1"/>
  <c r="W133" i="21" a="1"/>
  <c r="W133" i="21" s="1"/>
  <c r="X133" i="21" a="1"/>
  <c r="X133" i="21" s="1"/>
  <c r="K134" i="21" a="1"/>
  <c r="K134" i="21" s="1"/>
  <c r="L134" i="21" a="1"/>
  <c r="L134" i="21" s="1"/>
  <c r="M134" i="21" a="1"/>
  <c r="M134" i="21" s="1"/>
  <c r="N134" i="21" a="1"/>
  <c r="N134" i="21" s="1"/>
  <c r="O134" i="21" a="1"/>
  <c r="O134" i="21" s="1"/>
  <c r="P134" i="21" a="1"/>
  <c r="P134" i="21" s="1"/>
  <c r="Q134" i="21" a="1"/>
  <c r="Q134" i="21" s="1"/>
  <c r="R134" i="21" a="1"/>
  <c r="R134" i="21" s="1"/>
  <c r="U134" i="21" a="1"/>
  <c r="U134" i="21" s="1"/>
  <c r="V134" i="21" a="1"/>
  <c r="V134" i="21" s="1"/>
  <c r="W134" i="21" a="1"/>
  <c r="W134" i="21" s="1"/>
  <c r="X134" i="21" a="1"/>
  <c r="X134" i="21" s="1"/>
  <c r="K135" i="21" a="1"/>
  <c r="K135" i="21" s="1"/>
  <c r="L135" i="21" a="1"/>
  <c r="L135" i="21" s="1"/>
  <c r="M135" i="21" a="1"/>
  <c r="M135" i="21" s="1"/>
  <c r="N135" i="21" a="1"/>
  <c r="N135" i="21" s="1"/>
  <c r="O135" i="21" a="1"/>
  <c r="O135" i="21" s="1"/>
  <c r="P135" i="21" a="1"/>
  <c r="P135" i="21" s="1"/>
  <c r="Q135" i="21" a="1"/>
  <c r="Q135" i="21" s="1"/>
  <c r="R135" i="21" a="1"/>
  <c r="R135" i="21" s="1"/>
  <c r="U135" i="21" a="1"/>
  <c r="U135" i="21" s="1"/>
  <c r="V135" i="21" a="1"/>
  <c r="V135" i="21" s="1"/>
  <c r="W135" i="21" a="1"/>
  <c r="W135" i="21" s="1"/>
  <c r="X135" i="21" a="1"/>
  <c r="X135" i="21" s="1"/>
  <c r="K136" i="21" a="1"/>
  <c r="K136" i="21" s="1"/>
  <c r="L136" i="21" a="1"/>
  <c r="L136" i="21" s="1"/>
  <c r="M136" i="21" a="1"/>
  <c r="M136" i="21" s="1"/>
  <c r="N136" i="21" a="1"/>
  <c r="N136" i="21" s="1"/>
  <c r="O136" i="21" a="1"/>
  <c r="O136" i="21" s="1"/>
  <c r="P136" i="21" a="1"/>
  <c r="P136" i="21" s="1"/>
  <c r="Q136" i="21" a="1"/>
  <c r="Q136" i="21" s="1"/>
  <c r="R136" i="21" a="1"/>
  <c r="R136" i="21" s="1"/>
  <c r="U136" i="21" a="1"/>
  <c r="U136" i="21" s="1"/>
  <c r="V136" i="21" a="1"/>
  <c r="V136" i="21" s="1"/>
  <c r="W136" i="21" a="1"/>
  <c r="W136" i="21" s="1"/>
  <c r="X136" i="21" a="1"/>
  <c r="X136" i="21" s="1"/>
  <c r="K137" i="21" a="1"/>
  <c r="K137" i="21" s="1"/>
  <c r="L137" i="21" a="1"/>
  <c r="L137" i="21" s="1"/>
  <c r="M137" i="21" a="1"/>
  <c r="M137" i="21" s="1"/>
  <c r="N137" i="21" a="1"/>
  <c r="N137" i="21" s="1"/>
  <c r="O137" i="21" a="1"/>
  <c r="O137" i="21" s="1"/>
  <c r="P137" i="21" a="1"/>
  <c r="P137" i="21" s="1"/>
  <c r="Q137" i="21" a="1"/>
  <c r="Q137" i="21" s="1"/>
  <c r="R137" i="21" a="1"/>
  <c r="R137" i="21" s="1"/>
  <c r="U137" i="21" a="1"/>
  <c r="U137" i="21" s="1"/>
  <c r="V137" i="21" a="1"/>
  <c r="V137" i="21" s="1"/>
  <c r="W137" i="21" a="1"/>
  <c r="W137" i="21" s="1"/>
  <c r="X137" i="21" a="1"/>
  <c r="X137" i="21" s="1"/>
  <c r="K138" i="21" a="1"/>
  <c r="K138" i="21" s="1"/>
  <c r="L138" i="21" a="1"/>
  <c r="L138" i="21" s="1"/>
  <c r="M138" i="21" a="1"/>
  <c r="M138" i="21" s="1"/>
  <c r="N138" i="21" a="1"/>
  <c r="N138" i="21" s="1"/>
  <c r="O138" i="21" a="1"/>
  <c r="O138" i="21" s="1"/>
  <c r="P138" i="21" a="1"/>
  <c r="P138" i="21" s="1"/>
  <c r="Q138" i="21" a="1"/>
  <c r="Q138" i="21" s="1"/>
  <c r="R138" i="21" a="1"/>
  <c r="R138" i="21" s="1"/>
  <c r="U138" i="21" a="1"/>
  <c r="U138" i="21" s="1"/>
  <c r="V138" i="21" a="1"/>
  <c r="V138" i="21" s="1"/>
  <c r="W138" i="21" a="1"/>
  <c r="W138" i="21" s="1"/>
  <c r="X138" i="21" a="1"/>
  <c r="X138" i="21" s="1"/>
  <c r="K139" i="21" a="1"/>
  <c r="K139" i="21" s="1"/>
  <c r="L139" i="21" a="1"/>
  <c r="L139" i="21" s="1"/>
  <c r="M139" i="21" a="1"/>
  <c r="M139" i="21" s="1"/>
  <c r="N139" i="21" a="1"/>
  <c r="N139" i="21" s="1"/>
  <c r="O139" i="21" a="1"/>
  <c r="O139" i="21" s="1"/>
  <c r="P139" i="21" a="1"/>
  <c r="P139" i="21" s="1"/>
  <c r="Q139" i="21" a="1"/>
  <c r="Q139" i="21" s="1"/>
  <c r="R139" i="21" a="1"/>
  <c r="R139" i="21" s="1"/>
  <c r="U139" i="21" a="1"/>
  <c r="U139" i="21" s="1"/>
  <c r="V139" i="21" a="1"/>
  <c r="V139" i="21" s="1"/>
  <c r="W139" i="21" a="1"/>
  <c r="W139" i="21" s="1"/>
  <c r="X139" i="21" a="1"/>
  <c r="X139" i="21" s="1"/>
  <c r="K140" i="21" a="1"/>
  <c r="K140" i="21" s="1"/>
  <c r="L140" i="21" a="1"/>
  <c r="L140" i="21" s="1"/>
  <c r="M140" i="21" a="1"/>
  <c r="M140" i="21" s="1"/>
  <c r="N140" i="21" a="1"/>
  <c r="N140" i="21" s="1"/>
  <c r="O140" i="21" a="1"/>
  <c r="O140" i="21" s="1"/>
  <c r="P140" i="21" a="1"/>
  <c r="P140" i="21" s="1"/>
  <c r="Q140" i="21" a="1"/>
  <c r="Q140" i="21" s="1"/>
  <c r="R140" i="21" a="1"/>
  <c r="R140" i="21" s="1"/>
  <c r="U140" i="21" a="1"/>
  <c r="U140" i="21" s="1"/>
  <c r="V140" i="21" a="1"/>
  <c r="V140" i="21" s="1"/>
  <c r="W140" i="21" a="1"/>
  <c r="W140" i="21" s="1"/>
  <c r="X140" i="21" a="1"/>
  <c r="X140" i="21" s="1"/>
  <c r="K141" i="21" a="1"/>
  <c r="K141" i="21" s="1"/>
  <c r="L141" i="21" a="1"/>
  <c r="L141" i="21" s="1"/>
  <c r="M141" i="21" a="1"/>
  <c r="M141" i="21" s="1"/>
  <c r="N141" i="21" a="1"/>
  <c r="N141" i="21" s="1"/>
  <c r="O141" i="21" a="1"/>
  <c r="O141" i="21" s="1"/>
  <c r="P141" i="21" a="1"/>
  <c r="P141" i="21" s="1"/>
  <c r="Q141" i="21" a="1"/>
  <c r="Q141" i="21" s="1"/>
  <c r="R141" i="21" a="1"/>
  <c r="R141" i="21" s="1"/>
  <c r="U141" i="21" a="1"/>
  <c r="U141" i="21" s="1"/>
  <c r="V141" i="21" a="1"/>
  <c r="V141" i="21" s="1"/>
  <c r="W141" i="21" a="1"/>
  <c r="W141" i="21" s="1"/>
  <c r="X141" i="21" a="1"/>
  <c r="X141" i="21" s="1"/>
  <c r="K142" i="21" a="1"/>
  <c r="K142" i="21" s="1"/>
  <c r="L142" i="21" a="1"/>
  <c r="L142" i="21" s="1"/>
  <c r="M142" i="21" a="1"/>
  <c r="M142" i="21" s="1"/>
  <c r="N142" i="21" a="1"/>
  <c r="N142" i="21" s="1"/>
  <c r="O142" i="21" a="1"/>
  <c r="O142" i="21" s="1"/>
  <c r="P142" i="21" a="1"/>
  <c r="P142" i="21" s="1"/>
  <c r="Q142" i="21" a="1"/>
  <c r="Q142" i="21" s="1"/>
  <c r="R142" i="21" a="1"/>
  <c r="R142" i="21" s="1"/>
  <c r="U142" i="21" a="1"/>
  <c r="U142" i="21" s="1"/>
  <c r="V142" i="21" a="1"/>
  <c r="V142" i="21" s="1"/>
  <c r="W142" i="21" a="1"/>
  <c r="W142" i="21" s="1"/>
  <c r="X142" i="21" a="1"/>
  <c r="X142" i="21" s="1"/>
  <c r="K143" i="21" a="1"/>
  <c r="K143" i="21" s="1"/>
  <c r="L143" i="21" a="1"/>
  <c r="L143" i="21" s="1"/>
  <c r="M143" i="21" a="1"/>
  <c r="M143" i="21" s="1"/>
  <c r="N143" i="21" a="1"/>
  <c r="N143" i="21" s="1"/>
  <c r="O143" i="21" a="1"/>
  <c r="O143" i="21" s="1"/>
  <c r="P143" i="21" a="1"/>
  <c r="P143" i="21" s="1"/>
  <c r="Q143" i="21" a="1"/>
  <c r="Q143" i="21" s="1"/>
  <c r="R143" i="21" a="1"/>
  <c r="R143" i="21" s="1"/>
  <c r="U143" i="21" a="1"/>
  <c r="U143" i="21" s="1"/>
  <c r="V143" i="21" a="1"/>
  <c r="V143" i="21" s="1"/>
  <c r="W143" i="21" a="1"/>
  <c r="W143" i="21" s="1"/>
  <c r="X143" i="21" a="1"/>
  <c r="X143" i="21" s="1"/>
  <c r="K144" i="21" a="1"/>
  <c r="K144" i="21" s="1"/>
  <c r="L144" i="21" a="1"/>
  <c r="L144" i="21" s="1"/>
  <c r="M144" i="21" a="1"/>
  <c r="M144" i="21" s="1"/>
  <c r="N144" i="21" a="1"/>
  <c r="N144" i="21" s="1"/>
  <c r="O144" i="21" a="1"/>
  <c r="O144" i="21" s="1"/>
  <c r="P144" i="21" a="1"/>
  <c r="P144" i="21" s="1"/>
  <c r="Q144" i="21" a="1"/>
  <c r="Q144" i="21" s="1"/>
  <c r="R144" i="21" a="1"/>
  <c r="R144" i="21" s="1"/>
  <c r="U144" i="21" a="1"/>
  <c r="U144" i="21" s="1"/>
  <c r="V144" i="21" a="1"/>
  <c r="V144" i="21" s="1"/>
  <c r="W144" i="21" a="1"/>
  <c r="W144" i="21" s="1"/>
  <c r="X144" i="21" a="1"/>
  <c r="X144" i="21" s="1"/>
  <c r="K145" i="21" a="1"/>
  <c r="K145" i="21" s="1"/>
  <c r="L145" i="21" a="1"/>
  <c r="L145" i="21" s="1"/>
  <c r="M145" i="21" a="1"/>
  <c r="M145" i="21" s="1"/>
  <c r="N145" i="21" a="1"/>
  <c r="N145" i="21" s="1"/>
  <c r="O145" i="21" a="1"/>
  <c r="O145" i="21" s="1"/>
  <c r="P145" i="21" a="1"/>
  <c r="P145" i="21" s="1"/>
  <c r="Q145" i="21" a="1"/>
  <c r="Q145" i="21" s="1"/>
  <c r="R145" i="21" a="1"/>
  <c r="R145" i="21" s="1"/>
  <c r="U145" i="21" a="1"/>
  <c r="U145" i="21" s="1"/>
  <c r="V145" i="21" a="1"/>
  <c r="V145" i="21" s="1"/>
  <c r="W145" i="21" a="1"/>
  <c r="W145" i="21" s="1"/>
  <c r="X145" i="21" a="1"/>
  <c r="X145" i="21" s="1"/>
  <c r="K146" i="21" a="1"/>
  <c r="K146" i="21" s="1"/>
  <c r="L146" i="21" a="1"/>
  <c r="L146" i="21" s="1"/>
  <c r="M146" i="21" a="1"/>
  <c r="M146" i="21" s="1"/>
  <c r="N146" i="21" a="1"/>
  <c r="N146" i="21" s="1"/>
  <c r="O146" i="21" a="1"/>
  <c r="O146" i="21" s="1"/>
  <c r="P146" i="21" a="1"/>
  <c r="P146" i="21" s="1"/>
  <c r="Q146" i="21" a="1"/>
  <c r="Q146" i="21" s="1"/>
  <c r="R146" i="21" a="1"/>
  <c r="R146" i="21" s="1"/>
  <c r="U146" i="21" a="1"/>
  <c r="U146" i="21" s="1"/>
  <c r="V146" i="21" a="1"/>
  <c r="V146" i="21" s="1"/>
  <c r="W146" i="21" a="1"/>
  <c r="W146" i="21" s="1"/>
  <c r="X146" i="21" a="1"/>
  <c r="X146" i="21" s="1"/>
  <c r="K147" i="21" a="1"/>
  <c r="K147" i="21" s="1"/>
  <c r="L147" i="21" a="1"/>
  <c r="L147" i="21" s="1"/>
  <c r="M147" i="21" a="1"/>
  <c r="M147" i="21" s="1"/>
  <c r="N147" i="21" a="1"/>
  <c r="N147" i="21" s="1"/>
  <c r="O147" i="21" a="1"/>
  <c r="O147" i="21" s="1"/>
  <c r="P147" i="21" a="1"/>
  <c r="P147" i="21" s="1"/>
  <c r="Q147" i="21" a="1"/>
  <c r="Q147" i="21" s="1"/>
  <c r="R147" i="21" a="1"/>
  <c r="R147" i="21" s="1"/>
  <c r="U147" i="21" a="1"/>
  <c r="U147" i="21" s="1"/>
  <c r="V147" i="21" a="1"/>
  <c r="V147" i="21" s="1"/>
  <c r="W147" i="21" a="1"/>
  <c r="W147" i="21" s="1"/>
  <c r="X147" i="21" a="1"/>
  <c r="X147" i="21" s="1"/>
  <c r="K148" i="21" a="1"/>
  <c r="K148" i="21" s="1"/>
  <c r="L148" i="21" a="1"/>
  <c r="L148" i="21" s="1"/>
  <c r="M148" i="21" a="1"/>
  <c r="M148" i="21" s="1"/>
  <c r="N148" i="21" a="1"/>
  <c r="N148" i="21" s="1"/>
  <c r="O148" i="21" a="1"/>
  <c r="O148" i="21" s="1"/>
  <c r="P148" i="21" a="1"/>
  <c r="P148" i="21" s="1"/>
  <c r="Q148" i="21" a="1"/>
  <c r="Q148" i="21" s="1"/>
  <c r="R148" i="21" a="1"/>
  <c r="R148" i="21" s="1"/>
  <c r="U148" i="21" a="1"/>
  <c r="U148" i="21" s="1"/>
  <c r="V148" i="21" a="1"/>
  <c r="V148" i="21" s="1"/>
  <c r="W148" i="21" a="1"/>
  <c r="W148" i="21" s="1"/>
  <c r="X148" i="21" a="1"/>
  <c r="X148" i="21" s="1"/>
  <c r="K149" i="21" a="1"/>
  <c r="K149" i="21" s="1"/>
  <c r="L149" i="21" a="1"/>
  <c r="L149" i="21" s="1"/>
  <c r="M149" i="21" a="1"/>
  <c r="M149" i="21" s="1"/>
  <c r="N149" i="21" a="1"/>
  <c r="N149" i="21" s="1"/>
  <c r="O149" i="21" a="1"/>
  <c r="O149" i="21" s="1"/>
  <c r="P149" i="21" a="1"/>
  <c r="P149" i="21" s="1"/>
  <c r="Q149" i="21" a="1"/>
  <c r="Q149" i="21" s="1"/>
  <c r="R149" i="21" a="1"/>
  <c r="R149" i="21" s="1"/>
  <c r="U149" i="21" a="1"/>
  <c r="U149" i="21" s="1"/>
  <c r="V149" i="21" a="1"/>
  <c r="V149" i="21" s="1"/>
  <c r="W149" i="21" a="1"/>
  <c r="W149" i="21" s="1"/>
  <c r="X149" i="21" a="1"/>
  <c r="X149" i="21" s="1"/>
  <c r="K150" i="21" a="1"/>
  <c r="K150" i="21" s="1"/>
  <c r="L150" i="21" a="1"/>
  <c r="L150" i="21" s="1"/>
  <c r="M150" i="21" a="1"/>
  <c r="M150" i="21" s="1"/>
  <c r="N150" i="21" a="1"/>
  <c r="N150" i="21" s="1"/>
  <c r="O150" i="21" a="1"/>
  <c r="O150" i="21" s="1"/>
  <c r="P150" i="21" a="1"/>
  <c r="P150" i="21" s="1"/>
  <c r="Q150" i="21" a="1"/>
  <c r="Q150" i="21" s="1"/>
  <c r="R150" i="21" a="1"/>
  <c r="R150" i="21" s="1"/>
  <c r="U150" i="21" a="1"/>
  <c r="U150" i="21" s="1"/>
  <c r="V150" i="21" a="1"/>
  <c r="V150" i="21" s="1"/>
  <c r="W150" i="21" a="1"/>
  <c r="W150" i="21" s="1"/>
  <c r="X150" i="21" a="1"/>
  <c r="X150" i="21" s="1"/>
  <c r="K151" i="21" a="1"/>
  <c r="K151" i="21" s="1"/>
  <c r="L151" i="21" a="1"/>
  <c r="L151" i="21" s="1"/>
  <c r="M151" i="21" a="1"/>
  <c r="M151" i="21" s="1"/>
  <c r="N151" i="21" a="1"/>
  <c r="N151" i="21" s="1"/>
  <c r="O151" i="21" a="1"/>
  <c r="O151" i="21" s="1"/>
  <c r="P151" i="21" a="1"/>
  <c r="P151" i="21" s="1"/>
  <c r="Q151" i="21" a="1"/>
  <c r="Q151" i="21" s="1"/>
  <c r="R151" i="21" a="1"/>
  <c r="R151" i="21" s="1"/>
  <c r="U151" i="21" a="1"/>
  <c r="U151" i="21" s="1"/>
  <c r="V151" i="21" a="1"/>
  <c r="V151" i="21" s="1"/>
  <c r="W151" i="21" a="1"/>
  <c r="W151" i="21" s="1"/>
  <c r="X151" i="21" a="1"/>
  <c r="X151" i="21" s="1"/>
  <c r="K152" i="21" a="1"/>
  <c r="K152" i="21" s="1"/>
  <c r="L152" i="21" a="1"/>
  <c r="L152" i="21" s="1"/>
  <c r="M152" i="21" a="1"/>
  <c r="M152" i="21" s="1"/>
  <c r="N152" i="21" a="1"/>
  <c r="N152" i="21" s="1"/>
  <c r="O152" i="21" a="1"/>
  <c r="O152" i="21" s="1"/>
  <c r="P152" i="21" a="1"/>
  <c r="P152" i="21" s="1"/>
  <c r="Q152" i="21" a="1"/>
  <c r="Q152" i="21" s="1"/>
  <c r="R152" i="21" a="1"/>
  <c r="R152" i="21" s="1"/>
  <c r="U152" i="21" a="1"/>
  <c r="U152" i="21" s="1"/>
  <c r="V152" i="21" a="1"/>
  <c r="V152" i="21" s="1"/>
  <c r="W152" i="21" a="1"/>
  <c r="W152" i="21" s="1"/>
  <c r="X152" i="21" a="1"/>
  <c r="X152" i="21" s="1"/>
  <c r="K153" i="21" a="1"/>
  <c r="K153" i="21" s="1"/>
  <c r="L153" i="21" a="1"/>
  <c r="L153" i="21" s="1"/>
  <c r="M153" i="21" a="1"/>
  <c r="M153" i="21" s="1"/>
  <c r="N153" i="21" a="1"/>
  <c r="N153" i="21" s="1"/>
  <c r="O153" i="21" a="1"/>
  <c r="O153" i="21" s="1"/>
  <c r="P153" i="21" a="1"/>
  <c r="P153" i="21" s="1"/>
  <c r="Q153" i="21" a="1"/>
  <c r="Q153" i="21" s="1"/>
  <c r="R153" i="21" a="1"/>
  <c r="R153" i="21" s="1"/>
  <c r="U153" i="21" a="1"/>
  <c r="U153" i="21" s="1"/>
  <c r="V153" i="21" a="1"/>
  <c r="V153" i="21" s="1"/>
  <c r="W153" i="21" a="1"/>
  <c r="W153" i="21" s="1"/>
  <c r="X153" i="21" a="1"/>
  <c r="X153" i="21" s="1"/>
  <c r="K154" i="21" a="1"/>
  <c r="K154" i="21" s="1"/>
  <c r="L154" i="21" a="1"/>
  <c r="L154" i="21" s="1"/>
  <c r="M154" i="21" a="1"/>
  <c r="M154" i="21" s="1"/>
  <c r="N154" i="21" a="1"/>
  <c r="N154" i="21" s="1"/>
  <c r="O154" i="21" a="1"/>
  <c r="O154" i="21" s="1"/>
  <c r="P154" i="21" a="1"/>
  <c r="P154" i="21" s="1"/>
  <c r="Q154" i="21" a="1"/>
  <c r="Q154" i="21" s="1"/>
  <c r="R154" i="21" a="1"/>
  <c r="R154" i="21" s="1"/>
  <c r="U154" i="21" a="1"/>
  <c r="U154" i="21" s="1"/>
  <c r="V154" i="21" a="1"/>
  <c r="V154" i="21" s="1"/>
  <c r="W154" i="21" a="1"/>
  <c r="W154" i="21" s="1"/>
  <c r="X154" i="21" a="1"/>
  <c r="X154" i="21" s="1"/>
  <c r="K155" i="21" a="1"/>
  <c r="K155" i="21" s="1"/>
  <c r="L155" i="21" a="1"/>
  <c r="L155" i="21" s="1"/>
  <c r="M155" i="21" a="1"/>
  <c r="M155" i="21" s="1"/>
  <c r="N155" i="21" a="1"/>
  <c r="N155" i="21" s="1"/>
  <c r="O155" i="21" a="1"/>
  <c r="O155" i="21" s="1"/>
  <c r="P155" i="21" a="1"/>
  <c r="P155" i="21" s="1"/>
  <c r="Q155" i="21" a="1"/>
  <c r="Q155" i="21" s="1"/>
  <c r="R155" i="21" a="1"/>
  <c r="R155" i="21" s="1"/>
  <c r="U155" i="21" a="1"/>
  <c r="U155" i="21" s="1"/>
  <c r="V155" i="21" a="1"/>
  <c r="V155" i="21" s="1"/>
  <c r="W155" i="21" a="1"/>
  <c r="W155" i="21" s="1"/>
  <c r="X155" i="21" a="1"/>
  <c r="X155" i="21" s="1"/>
  <c r="K156" i="21" a="1"/>
  <c r="K156" i="21" s="1"/>
  <c r="L156" i="21" a="1"/>
  <c r="L156" i="21" s="1"/>
  <c r="M156" i="21" a="1"/>
  <c r="M156" i="21" s="1"/>
  <c r="N156" i="21" a="1"/>
  <c r="N156" i="21" s="1"/>
  <c r="O156" i="21" a="1"/>
  <c r="O156" i="21" s="1"/>
  <c r="P156" i="21" a="1"/>
  <c r="P156" i="21" s="1"/>
  <c r="Q156" i="21" a="1"/>
  <c r="Q156" i="21" s="1"/>
  <c r="R156" i="21" a="1"/>
  <c r="R156" i="21" s="1"/>
  <c r="U156" i="21" a="1"/>
  <c r="U156" i="21" s="1"/>
  <c r="V156" i="21" a="1"/>
  <c r="V156" i="21" s="1"/>
  <c r="W156" i="21" a="1"/>
  <c r="W156" i="21" s="1"/>
  <c r="X156" i="21" a="1"/>
  <c r="X156" i="21" s="1"/>
  <c r="K157" i="21" a="1"/>
  <c r="K157" i="21" s="1"/>
  <c r="L157" i="21" a="1"/>
  <c r="L157" i="21" s="1"/>
  <c r="M157" i="21" a="1"/>
  <c r="M157" i="21" s="1"/>
  <c r="N157" i="21" a="1"/>
  <c r="N157" i="21" s="1"/>
  <c r="O157" i="21" a="1"/>
  <c r="O157" i="21" s="1"/>
  <c r="P157" i="21" a="1"/>
  <c r="P157" i="21" s="1"/>
  <c r="Q157" i="21" a="1"/>
  <c r="Q157" i="21" s="1"/>
  <c r="R157" i="21" a="1"/>
  <c r="R157" i="21" s="1"/>
  <c r="U157" i="21" a="1"/>
  <c r="U157" i="21" s="1"/>
  <c r="V157" i="21" a="1"/>
  <c r="V157" i="21" s="1"/>
  <c r="W157" i="21" a="1"/>
  <c r="W157" i="21" s="1"/>
  <c r="X157" i="21" a="1"/>
  <c r="X157" i="21" s="1"/>
  <c r="K158" i="21" a="1"/>
  <c r="K158" i="21" s="1"/>
  <c r="L158" i="21" a="1"/>
  <c r="L158" i="21" s="1"/>
  <c r="M158" i="21" a="1"/>
  <c r="M158" i="21" s="1"/>
  <c r="N158" i="21" a="1"/>
  <c r="N158" i="21" s="1"/>
  <c r="O158" i="21" a="1"/>
  <c r="O158" i="21" s="1"/>
  <c r="P158" i="21" a="1"/>
  <c r="P158" i="21" s="1"/>
  <c r="Q158" i="21" a="1"/>
  <c r="Q158" i="21" s="1"/>
  <c r="R158" i="21" a="1"/>
  <c r="R158" i="21" s="1"/>
  <c r="U158" i="21" a="1"/>
  <c r="U158" i="21" s="1"/>
  <c r="V158" i="21" a="1"/>
  <c r="V158" i="21" s="1"/>
  <c r="W158" i="21" a="1"/>
  <c r="W158" i="21" s="1"/>
  <c r="X158" i="21" a="1"/>
  <c r="X158" i="21" s="1"/>
  <c r="K159" i="21" a="1"/>
  <c r="K159" i="21" s="1"/>
  <c r="L159" i="21" a="1"/>
  <c r="L159" i="21" s="1"/>
  <c r="M159" i="21" a="1"/>
  <c r="M159" i="21" s="1"/>
  <c r="N159" i="21" a="1"/>
  <c r="N159" i="21" s="1"/>
  <c r="O159" i="21" a="1"/>
  <c r="O159" i="21" s="1"/>
  <c r="P159" i="21" a="1"/>
  <c r="P159" i="21" s="1"/>
  <c r="Q159" i="21" a="1"/>
  <c r="Q159" i="21" s="1"/>
  <c r="R159" i="21" a="1"/>
  <c r="R159" i="21" s="1"/>
  <c r="U159" i="21" a="1"/>
  <c r="U159" i="21" s="1"/>
  <c r="V159" i="21" a="1"/>
  <c r="V159" i="21" s="1"/>
  <c r="W159" i="21" a="1"/>
  <c r="W159" i="21" s="1"/>
  <c r="X159" i="21" a="1"/>
  <c r="X159" i="21" s="1"/>
  <c r="K160" i="21" a="1"/>
  <c r="K160" i="21" s="1"/>
  <c r="L160" i="21" a="1"/>
  <c r="L160" i="21" s="1"/>
  <c r="M160" i="21" a="1"/>
  <c r="M160" i="21" s="1"/>
  <c r="N160" i="21" a="1"/>
  <c r="N160" i="21" s="1"/>
  <c r="O160" i="21" a="1"/>
  <c r="O160" i="21" s="1"/>
  <c r="P160" i="21" a="1"/>
  <c r="P160" i="21" s="1"/>
  <c r="Q160" i="21" a="1"/>
  <c r="Q160" i="21" s="1"/>
  <c r="R160" i="21" a="1"/>
  <c r="R160" i="21" s="1"/>
  <c r="U160" i="21" a="1"/>
  <c r="U160" i="21" s="1"/>
  <c r="V160" i="21" a="1"/>
  <c r="V160" i="21" s="1"/>
  <c r="W160" i="21" a="1"/>
  <c r="W160" i="21" s="1"/>
  <c r="X160" i="21" a="1"/>
  <c r="X160" i="21" s="1"/>
  <c r="K161" i="21" a="1"/>
  <c r="K161" i="21" s="1"/>
  <c r="L161" i="21" a="1"/>
  <c r="L161" i="21" s="1"/>
  <c r="M161" i="21" a="1"/>
  <c r="M161" i="21" s="1"/>
  <c r="N161" i="21" a="1"/>
  <c r="N161" i="21" s="1"/>
  <c r="O161" i="21" a="1"/>
  <c r="O161" i="21" s="1"/>
  <c r="P161" i="21" a="1"/>
  <c r="P161" i="21" s="1"/>
  <c r="Q161" i="21" a="1"/>
  <c r="Q161" i="21" s="1"/>
  <c r="R161" i="21" a="1"/>
  <c r="R161" i="21" s="1"/>
  <c r="U161" i="21" a="1"/>
  <c r="U161" i="21" s="1"/>
  <c r="V161" i="21" a="1"/>
  <c r="V161" i="21" s="1"/>
  <c r="W161" i="21" a="1"/>
  <c r="W161" i="21" s="1"/>
  <c r="X161" i="21" a="1"/>
  <c r="X161" i="21" s="1"/>
  <c r="K162" i="21" a="1"/>
  <c r="K162" i="21" s="1"/>
  <c r="L162" i="21" a="1"/>
  <c r="L162" i="21" s="1"/>
  <c r="M162" i="21" a="1"/>
  <c r="M162" i="21" s="1"/>
  <c r="N162" i="21" a="1"/>
  <c r="N162" i="21" s="1"/>
  <c r="O162" i="21" a="1"/>
  <c r="O162" i="21" s="1"/>
  <c r="P162" i="21" a="1"/>
  <c r="P162" i="21" s="1"/>
  <c r="Q162" i="21" a="1"/>
  <c r="Q162" i="21" s="1"/>
  <c r="R162" i="21" a="1"/>
  <c r="R162" i="21" s="1"/>
  <c r="U162" i="21" a="1"/>
  <c r="U162" i="21" s="1"/>
  <c r="V162" i="21" a="1"/>
  <c r="V162" i="21" s="1"/>
  <c r="W162" i="21" a="1"/>
  <c r="W162" i="21" s="1"/>
  <c r="X162" i="21" a="1"/>
  <c r="X162" i="21" s="1"/>
  <c r="K163" i="21" a="1"/>
  <c r="K163" i="21" s="1"/>
  <c r="L163" i="21" a="1"/>
  <c r="L163" i="21" s="1"/>
  <c r="M163" i="21" a="1"/>
  <c r="M163" i="21" s="1"/>
  <c r="N163" i="21" a="1"/>
  <c r="N163" i="21" s="1"/>
  <c r="O163" i="21" a="1"/>
  <c r="O163" i="21" s="1"/>
  <c r="P163" i="21" a="1"/>
  <c r="P163" i="21" s="1"/>
  <c r="Q163" i="21" a="1"/>
  <c r="Q163" i="21" s="1"/>
  <c r="R163" i="21" a="1"/>
  <c r="R163" i="21" s="1"/>
  <c r="U163" i="21" a="1"/>
  <c r="U163" i="21" s="1"/>
  <c r="V163" i="21" a="1"/>
  <c r="V163" i="21" s="1"/>
  <c r="W163" i="21" a="1"/>
  <c r="W163" i="21" s="1"/>
  <c r="X163" i="21" a="1"/>
  <c r="X163" i="21" s="1"/>
  <c r="K164" i="21" a="1"/>
  <c r="K164" i="21" s="1"/>
  <c r="L164" i="21" a="1"/>
  <c r="L164" i="21" s="1"/>
  <c r="M164" i="21" a="1"/>
  <c r="M164" i="21" s="1"/>
  <c r="N164" i="21" a="1"/>
  <c r="N164" i="21" s="1"/>
  <c r="O164" i="21" a="1"/>
  <c r="O164" i="21" s="1"/>
  <c r="P164" i="21" a="1"/>
  <c r="P164" i="21" s="1"/>
  <c r="Q164" i="21" a="1"/>
  <c r="Q164" i="21" s="1"/>
  <c r="R164" i="21" a="1"/>
  <c r="R164" i="21" s="1"/>
  <c r="U164" i="21" a="1"/>
  <c r="U164" i="21" s="1"/>
  <c r="V164" i="21" a="1"/>
  <c r="V164" i="21" s="1"/>
  <c r="W164" i="21" a="1"/>
  <c r="W164" i="21" s="1"/>
  <c r="X164" i="21" a="1"/>
  <c r="X164" i="21" s="1"/>
  <c r="K165" i="21" a="1"/>
  <c r="K165" i="21" s="1"/>
  <c r="L165" i="21" a="1"/>
  <c r="L165" i="21" s="1"/>
  <c r="M165" i="21" a="1"/>
  <c r="M165" i="21" s="1"/>
  <c r="N165" i="21" a="1"/>
  <c r="N165" i="21" s="1"/>
  <c r="O165" i="21" a="1"/>
  <c r="O165" i="21" s="1"/>
  <c r="P165" i="21" a="1"/>
  <c r="P165" i="21" s="1"/>
  <c r="Q165" i="21" a="1"/>
  <c r="Q165" i="21" s="1"/>
  <c r="R165" i="21" a="1"/>
  <c r="R165" i="21" s="1"/>
  <c r="U165" i="21" a="1"/>
  <c r="U165" i="21" s="1"/>
  <c r="V165" i="21" a="1"/>
  <c r="V165" i="21" s="1"/>
  <c r="W165" i="21" a="1"/>
  <c r="W165" i="21" s="1"/>
  <c r="X165" i="21" a="1"/>
  <c r="X165" i="21" s="1"/>
  <c r="K166" i="21" a="1"/>
  <c r="K166" i="21" s="1"/>
  <c r="L166" i="21" a="1"/>
  <c r="L166" i="21" s="1"/>
  <c r="M166" i="21" a="1"/>
  <c r="M166" i="21" s="1"/>
  <c r="N166" i="21" a="1"/>
  <c r="N166" i="21" s="1"/>
  <c r="O166" i="21" a="1"/>
  <c r="O166" i="21" s="1"/>
  <c r="P166" i="21" a="1"/>
  <c r="P166" i="21" s="1"/>
  <c r="Q166" i="21" a="1"/>
  <c r="Q166" i="21" s="1"/>
  <c r="R166" i="21" a="1"/>
  <c r="R166" i="21" s="1"/>
  <c r="U166" i="21" a="1"/>
  <c r="U166" i="21" s="1"/>
  <c r="V166" i="21" a="1"/>
  <c r="V166" i="21" s="1"/>
  <c r="W166" i="21" a="1"/>
  <c r="W166" i="21" s="1"/>
  <c r="X166" i="21" a="1"/>
  <c r="X166" i="21" s="1"/>
  <c r="K167" i="21" a="1"/>
  <c r="K167" i="21" s="1"/>
  <c r="L167" i="21" a="1"/>
  <c r="L167" i="21" s="1"/>
  <c r="M167" i="21" a="1"/>
  <c r="M167" i="21" s="1"/>
  <c r="N167" i="21" a="1"/>
  <c r="N167" i="21" s="1"/>
  <c r="O167" i="21" a="1"/>
  <c r="O167" i="21" s="1"/>
  <c r="P167" i="21" a="1"/>
  <c r="P167" i="21" s="1"/>
  <c r="Q167" i="21" a="1"/>
  <c r="Q167" i="21" s="1"/>
  <c r="R167" i="21" a="1"/>
  <c r="R167" i="21" s="1"/>
  <c r="U167" i="21" a="1"/>
  <c r="U167" i="21" s="1"/>
  <c r="V167" i="21" a="1"/>
  <c r="V167" i="21" s="1"/>
  <c r="W167" i="21" a="1"/>
  <c r="W167" i="21" s="1"/>
  <c r="X167" i="21" a="1"/>
  <c r="X167" i="21" s="1"/>
  <c r="K168" i="21" a="1"/>
  <c r="K168" i="21" s="1"/>
  <c r="L168" i="21" a="1"/>
  <c r="L168" i="21" s="1"/>
  <c r="M168" i="21" a="1"/>
  <c r="M168" i="21" s="1"/>
  <c r="N168" i="21" a="1"/>
  <c r="N168" i="21" s="1"/>
  <c r="O168" i="21" a="1"/>
  <c r="O168" i="21" s="1"/>
  <c r="P168" i="21" a="1"/>
  <c r="P168" i="21" s="1"/>
  <c r="Q168" i="21" a="1"/>
  <c r="Q168" i="21" s="1"/>
  <c r="R168" i="21" a="1"/>
  <c r="R168" i="21" s="1"/>
  <c r="U168" i="21" a="1"/>
  <c r="U168" i="21" s="1"/>
  <c r="V168" i="21" a="1"/>
  <c r="V168" i="21" s="1"/>
  <c r="W168" i="21" a="1"/>
  <c r="W168" i="21" s="1"/>
  <c r="X168" i="21" a="1"/>
  <c r="X168" i="21" s="1"/>
  <c r="K169" i="21" a="1"/>
  <c r="K169" i="21" s="1"/>
  <c r="L169" i="21" a="1"/>
  <c r="L169" i="21" s="1"/>
  <c r="M169" i="21" a="1"/>
  <c r="M169" i="21" s="1"/>
  <c r="N169" i="21" a="1"/>
  <c r="N169" i="21" s="1"/>
  <c r="O169" i="21" a="1"/>
  <c r="O169" i="21" s="1"/>
  <c r="P169" i="21" a="1"/>
  <c r="P169" i="21" s="1"/>
  <c r="Q169" i="21" a="1"/>
  <c r="Q169" i="21" s="1"/>
  <c r="R169" i="21" a="1"/>
  <c r="R169" i="21" s="1"/>
  <c r="U169" i="21" a="1"/>
  <c r="U169" i="21" s="1"/>
  <c r="V169" i="21" a="1"/>
  <c r="V169" i="21" s="1"/>
  <c r="W169" i="21" a="1"/>
  <c r="W169" i="21" s="1"/>
  <c r="X169" i="21" a="1"/>
  <c r="X169" i="21" s="1"/>
  <c r="K170" i="21" a="1"/>
  <c r="K170" i="21" s="1"/>
  <c r="L170" i="21" a="1"/>
  <c r="L170" i="21" s="1"/>
  <c r="M170" i="21" a="1"/>
  <c r="M170" i="21" s="1"/>
  <c r="N170" i="21" a="1"/>
  <c r="N170" i="21" s="1"/>
  <c r="O170" i="21" a="1"/>
  <c r="O170" i="21" s="1"/>
  <c r="P170" i="21" a="1"/>
  <c r="P170" i="21" s="1"/>
  <c r="Q170" i="21" a="1"/>
  <c r="Q170" i="21" s="1"/>
  <c r="R170" i="21" a="1"/>
  <c r="R170" i="21" s="1"/>
  <c r="U170" i="21" a="1"/>
  <c r="U170" i="21" s="1"/>
  <c r="V170" i="21" a="1"/>
  <c r="V170" i="21" s="1"/>
  <c r="W170" i="21" a="1"/>
  <c r="W170" i="21" s="1"/>
  <c r="X170" i="21" a="1"/>
  <c r="X170" i="21" s="1"/>
  <c r="K171" i="21" a="1"/>
  <c r="K171" i="21" s="1"/>
  <c r="L171" i="21" a="1"/>
  <c r="L171" i="21" s="1"/>
  <c r="M171" i="21" a="1"/>
  <c r="M171" i="21" s="1"/>
  <c r="N171" i="21" a="1"/>
  <c r="N171" i="21" s="1"/>
  <c r="O171" i="21" a="1"/>
  <c r="O171" i="21" s="1"/>
  <c r="P171" i="21" a="1"/>
  <c r="P171" i="21" s="1"/>
  <c r="Q171" i="21" a="1"/>
  <c r="Q171" i="21" s="1"/>
  <c r="R171" i="21" a="1"/>
  <c r="R171" i="21" s="1"/>
  <c r="U171" i="21" a="1"/>
  <c r="U171" i="21" s="1"/>
  <c r="V171" i="21" a="1"/>
  <c r="V171" i="21" s="1"/>
  <c r="W171" i="21" a="1"/>
  <c r="W171" i="21" s="1"/>
  <c r="X171" i="21" a="1"/>
  <c r="X171" i="21" s="1"/>
  <c r="K172" i="21" a="1"/>
  <c r="K172" i="21" s="1"/>
  <c r="L172" i="21" a="1"/>
  <c r="L172" i="21" s="1"/>
  <c r="M172" i="21" a="1"/>
  <c r="M172" i="21" s="1"/>
  <c r="N172" i="21" a="1"/>
  <c r="N172" i="21" s="1"/>
  <c r="O172" i="21" a="1"/>
  <c r="O172" i="21" s="1"/>
  <c r="P172" i="21" a="1"/>
  <c r="P172" i="21" s="1"/>
  <c r="Q172" i="21" a="1"/>
  <c r="Q172" i="21" s="1"/>
  <c r="R172" i="21" a="1"/>
  <c r="R172" i="21" s="1"/>
  <c r="U172" i="21" a="1"/>
  <c r="U172" i="21" s="1"/>
  <c r="V172" i="21" a="1"/>
  <c r="V172" i="21" s="1"/>
  <c r="W172" i="21" a="1"/>
  <c r="W172" i="21" s="1"/>
  <c r="X172" i="21" a="1"/>
  <c r="X172" i="21" s="1"/>
  <c r="K173" i="21" a="1"/>
  <c r="K173" i="21" s="1"/>
  <c r="L173" i="21" a="1"/>
  <c r="L173" i="21" s="1"/>
  <c r="M173" i="21" a="1"/>
  <c r="M173" i="21" s="1"/>
  <c r="N173" i="21" a="1"/>
  <c r="N173" i="21" s="1"/>
  <c r="O173" i="21" a="1"/>
  <c r="O173" i="21" s="1"/>
  <c r="P173" i="21" a="1"/>
  <c r="P173" i="21" s="1"/>
  <c r="Q173" i="21" a="1"/>
  <c r="Q173" i="21" s="1"/>
  <c r="R173" i="21" a="1"/>
  <c r="R173" i="21" s="1"/>
  <c r="U173" i="21" a="1"/>
  <c r="U173" i="21" s="1"/>
  <c r="V173" i="21" a="1"/>
  <c r="V173" i="21" s="1"/>
  <c r="W173" i="21" a="1"/>
  <c r="W173" i="21" s="1"/>
  <c r="X173" i="21" a="1"/>
  <c r="X173" i="21" s="1"/>
  <c r="K174" i="21" a="1"/>
  <c r="K174" i="21" s="1"/>
  <c r="L174" i="21" a="1"/>
  <c r="L174" i="21" s="1"/>
  <c r="M174" i="21" a="1"/>
  <c r="M174" i="21" s="1"/>
  <c r="N174" i="21" a="1"/>
  <c r="N174" i="21" s="1"/>
  <c r="O174" i="21" a="1"/>
  <c r="O174" i="21" s="1"/>
  <c r="P174" i="21" a="1"/>
  <c r="P174" i="21" s="1"/>
  <c r="Q174" i="21" a="1"/>
  <c r="Q174" i="21" s="1"/>
  <c r="R174" i="21" a="1"/>
  <c r="R174" i="21" s="1"/>
  <c r="U174" i="21" a="1"/>
  <c r="U174" i="21" s="1"/>
  <c r="V174" i="21" a="1"/>
  <c r="V174" i="21" s="1"/>
  <c r="W174" i="21" a="1"/>
  <c r="W174" i="21" s="1"/>
  <c r="X174" i="21" a="1"/>
  <c r="X174" i="21" s="1"/>
  <c r="K175" i="21" a="1"/>
  <c r="K175" i="21" s="1"/>
  <c r="L175" i="21" a="1"/>
  <c r="L175" i="21" s="1"/>
  <c r="M175" i="21" a="1"/>
  <c r="M175" i="21" s="1"/>
  <c r="N175" i="21" a="1"/>
  <c r="N175" i="21" s="1"/>
  <c r="O175" i="21" a="1"/>
  <c r="O175" i="21" s="1"/>
  <c r="P175" i="21" a="1"/>
  <c r="P175" i="21" s="1"/>
  <c r="Q175" i="21" a="1"/>
  <c r="Q175" i="21" s="1"/>
  <c r="R175" i="21" a="1"/>
  <c r="R175" i="21" s="1"/>
  <c r="U175" i="21" a="1"/>
  <c r="U175" i="21" s="1"/>
  <c r="V175" i="21" a="1"/>
  <c r="V175" i="21" s="1"/>
  <c r="W175" i="21" a="1"/>
  <c r="W175" i="21" s="1"/>
  <c r="X175" i="21" a="1"/>
  <c r="X175" i="21" s="1"/>
  <c r="K176" i="21" a="1"/>
  <c r="K176" i="21" s="1"/>
  <c r="L176" i="21" a="1"/>
  <c r="L176" i="21" s="1"/>
  <c r="M176" i="21" a="1"/>
  <c r="M176" i="21" s="1"/>
  <c r="N176" i="21" a="1"/>
  <c r="N176" i="21" s="1"/>
  <c r="O176" i="21" a="1"/>
  <c r="O176" i="21" s="1"/>
  <c r="P176" i="21" a="1"/>
  <c r="P176" i="21" s="1"/>
  <c r="Q176" i="21" a="1"/>
  <c r="Q176" i="21" s="1"/>
  <c r="R176" i="21" a="1"/>
  <c r="R176" i="21" s="1"/>
  <c r="U176" i="21" a="1"/>
  <c r="U176" i="21" s="1"/>
  <c r="V176" i="21" a="1"/>
  <c r="V176" i="21" s="1"/>
  <c r="W176" i="21" a="1"/>
  <c r="W176" i="21" s="1"/>
  <c r="X176" i="21" a="1"/>
  <c r="X176" i="21" s="1"/>
  <c r="K177" i="21" a="1"/>
  <c r="K177" i="21" s="1"/>
  <c r="L177" i="21" a="1"/>
  <c r="L177" i="21" s="1"/>
  <c r="M177" i="21" a="1"/>
  <c r="M177" i="21" s="1"/>
  <c r="N177" i="21" a="1"/>
  <c r="N177" i="21" s="1"/>
  <c r="O177" i="21" a="1"/>
  <c r="O177" i="21" s="1"/>
  <c r="P177" i="21" a="1"/>
  <c r="P177" i="21" s="1"/>
  <c r="Q177" i="21" a="1"/>
  <c r="Q177" i="21" s="1"/>
  <c r="R177" i="21" a="1"/>
  <c r="R177" i="21" s="1"/>
  <c r="U177" i="21" a="1"/>
  <c r="U177" i="21" s="1"/>
  <c r="V177" i="21" a="1"/>
  <c r="V177" i="21" s="1"/>
  <c r="W177" i="21" a="1"/>
  <c r="W177" i="21" s="1"/>
  <c r="X177" i="21" a="1"/>
  <c r="X177" i="21" s="1"/>
  <c r="K178" i="21" a="1"/>
  <c r="K178" i="21" s="1"/>
  <c r="L178" i="21" a="1"/>
  <c r="L178" i="21" s="1"/>
  <c r="M178" i="21" a="1"/>
  <c r="M178" i="21" s="1"/>
  <c r="N178" i="21" a="1"/>
  <c r="N178" i="21" s="1"/>
  <c r="O178" i="21" a="1"/>
  <c r="O178" i="21" s="1"/>
  <c r="P178" i="21" a="1"/>
  <c r="P178" i="21" s="1"/>
  <c r="Q178" i="21" a="1"/>
  <c r="Q178" i="21" s="1"/>
  <c r="R178" i="21" a="1"/>
  <c r="R178" i="21" s="1"/>
  <c r="U178" i="21" a="1"/>
  <c r="U178" i="21" s="1"/>
  <c r="V178" i="21" a="1"/>
  <c r="V178" i="21" s="1"/>
  <c r="W178" i="21" a="1"/>
  <c r="W178" i="21" s="1"/>
  <c r="X178" i="21" a="1"/>
  <c r="X178" i="21" s="1"/>
  <c r="K179" i="21" a="1"/>
  <c r="K179" i="21" s="1"/>
  <c r="L179" i="21" a="1"/>
  <c r="L179" i="21" s="1"/>
  <c r="M179" i="21" a="1"/>
  <c r="M179" i="21" s="1"/>
  <c r="N179" i="21" a="1"/>
  <c r="N179" i="21" s="1"/>
  <c r="O179" i="21" a="1"/>
  <c r="O179" i="21" s="1"/>
  <c r="P179" i="21" a="1"/>
  <c r="P179" i="21" s="1"/>
  <c r="Q179" i="21" a="1"/>
  <c r="Q179" i="21" s="1"/>
  <c r="R179" i="21" a="1"/>
  <c r="R179" i="21" s="1"/>
  <c r="U179" i="21" a="1"/>
  <c r="U179" i="21" s="1"/>
  <c r="V179" i="21" a="1"/>
  <c r="V179" i="21" s="1"/>
  <c r="W179" i="21" a="1"/>
  <c r="W179" i="21" s="1"/>
  <c r="X179" i="21" a="1"/>
  <c r="X179" i="21" s="1"/>
  <c r="K180" i="21" a="1"/>
  <c r="K180" i="21" s="1"/>
  <c r="L180" i="21" a="1"/>
  <c r="L180" i="21" s="1"/>
  <c r="M180" i="21" a="1"/>
  <c r="M180" i="21" s="1"/>
  <c r="N180" i="21" a="1"/>
  <c r="N180" i="21" s="1"/>
  <c r="O180" i="21" a="1"/>
  <c r="O180" i="21" s="1"/>
  <c r="P180" i="21" a="1"/>
  <c r="P180" i="21" s="1"/>
  <c r="Q180" i="21" a="1"/>
  <c r="Q180" i="21" s="1"/>
  <c r="R180" i="21" a="1"/>
  <c r="R180" i="21" s="1"/>
  <c r="U180" i="21" a="1"/>
  <c r="U180" i="21" s="1"/>
  <c r="V180" i="21" a="1"/>
  <c r="V180" i="21" s="1"/>
  <c r="W180" i="21" a="1"/>
  <c r="W180" i="21" s="1"/>
  <c r="X180" i="21" a="1"/>
  <c r="X180" i="21" s="1"/>
  <c r="K181" i="21" a="1"/>
  <c r="K181" i="21" s="1"/>
  <c r="L181" i="21" a="1"/>
  <c r="L181" i="21" s="1"/>
  <c r="M181" i="21" a="1"/>
  <c r="M181" i="21" s="1"/>
  <c r="N181" i="21" a="1"/>
  <c r="N181" i="21" s="1"/>
  <c r="O181" i="21" a="1"/>
  <c r="O181" i="21" s="1"/>
  <c r="P181" i="21" a="1"/>
  <c r="P181" i="21" s="1"/>
  <c r="Q181" i="21" a="1"/>
  <c r="Q181" i="21" s="1"/>
  <c r="R181" i="21" a="1"/>
  <c r="R181" i="21" s="1"/>
  <c r="U181" i="21" a="1"/>
  <c r="U181" i="21" s="1"/>
  <c r="V181" i="21" a="1"/>
  <c r="V181" i="21" s="1"/>
  <c r="W181" i="21" a="1"/>
  <c r="W181" i="21" s="1"/>
  <c r="X181" i="21" a="1"/>
  <c r="X181" i="21" s="1"/>
  <c r="K182" i="21" a="1"/>
  <c r="K182" i="21" s="1"/>
  <c r="L182" i="21" a="1"/>
  <c r="L182" i="21" s="1"/>
  <c r="M182" i="21" a="1"/>
  <c r="M182" i="21" s="1"/>
  <c r="N182" i="21" a="1"/>
  <c r="N182" i="21" s="1"/>
  <c r="O182" i="21" a="1"/>
  <c r="O182" i="21" s="1"/>
  <c r="P182" i="21" a="1"/>
  <c r="P182" i="21" s="1"/>
  <c r="Q182" i="21" a="1"/>
  <c r="Q182" i="21" s="1"/>
  <c r="R182" i="21" a="1"/>
  <c r="R182" i="21" s="1"/>
  <c r="U182" i="21" a="1"/>
  <c r="U182" i="21" s="1"/>
  <c r="V182" i="21" a="1"/>
  <c r="V182" i="21" s="1"/>
  <c r="W182" i="21" a="1"/>
  <c r="W182" i="21" s="1"/>
  <c r="X182" i="21" a="1"/>
  <c r="X182" i="21" s="1"/>
  <c r="K183" i="21" a="1"/>
  <c r="K183" i="21" s="1"/>
  <c r="L183" i="21" a="1"/>
  <c r="L183" i="21" s="1"/>
  <c r="M183" i="21" a="1"/>
  <c r="M183" i="21" s="1"/>
  <c r="N183" i="21" a="1"/>
  <c r="N183" i="21" s="1"/>
  <c r="O183" i="21" a="1"/>
  <c r="O183" i="21" s="1"/>
  <c r="P183" i="21" a="1"/>
  <c r="P183" i="21" s="1"/>
  <c r="Q183" i="21" a="1"/>
  <c r="Q183" i="21" s="1"/>
  <c r="R183" i="21" a="1"/>
  <c r="R183" i="21" s="1"/>
  <c r="U183" i="21" a="1"/>
  <c r="U183" i="21" s="1"/>
  <c r="V183" i="21" a="1"/>
  <c r="V183" i="21" s="1"/>
  <c r="W183" i="21" a="1"/>
  <c r="W183" i="21" s="1"/>
  <c r="X183" i="21" a="1"/>
  <c r="X183" i="21" s="1"/>
  <c r="K184" i="21" a="1"/>
  <c r="K184" i="21" s="1"/>
  <c r="L184" i="21" a="1"/>
  <c r="L184" i="21" s="1"/>
  <c r="M184" i="21" a="1"/>
  <c r="M184" i="21" s="1"/>
  <c r="N184" i="21" a="1"/>
  <c r="N184" i="21" s="1"/>
  <c r="O184" i="21" a="1"/>
  <c r="O184" i="21" s="1"/>
  <c r="P184" i="21" a="1"/>
  <c r="P184" i="21" s="1"/>
  <c r="Q184" i="21" a="1"/>
  <c r="Q184" i="21" s="1"/>
  <c r="R184" i="21" a="1"/>
  <c r="R184" i="21" s="1"/>
  <c r="U184" i="21" a="1"/>
  <c r="U184" i="21" s="1"/>
  <c r="V184" i="21" a="1"/>
  <c r="V184" i="21" s="1"/>
  <c r="W184" i="21" a="1"/>
  <c r="W184" i="21" s="1"/>
  <c r="X184" i="21" a="1"/>
  <c r="X184" i="21" s="1"/>
  <c r="K185" i="21" a="1"/>
  <c r="K185" i="21" s="1"/>
  <c r="L185" i="21" a="1"/>
  <c r="L185" i="21" s="1"/>
  <c r="M185" i="21" a="1"/>
  <c r="M185" i="21" s="1"/>
  <c r="N185" i="21" a="1"/>
  <c r="N185" i="21" s="1"/>
  <c r="O185" i="21" a="1"/>
  <c r="O185" i="21" s="1"/>
  <c r="P185" i="21" a="1"/>
  <c r="P185" i="21" s="1"/>
  <c r="Q185" i="21" a="1"/>
  <c r="Q185" i="21" s="1"/>
  <c r="R185" i="21" a="1"/>
  <c r="R185" i="21" s="1"/>
  <c r="U185" i="21" a="1"/>
  <c r="U185" i="21" s="1"/>
  <c r="V185" i="21" a="1"/>
  <c r="V185" i="21" s="1"/>
  <c r="W185" i="21" a="1"/>
  <c r="W185" i="21" s="1"/>
  <c r="X185" i="21" a="1"/>
  <c r="X185" i="21" s="1"/>
  <c r="K186" i="21" a="1"/>
  <c r="K186" i="21" s="1"/>
  <c r="L186" i="21" a="1"/>
  <c r="L186" i="21" s="1"/>
  <c r="M186" i="21" a="1"/>
  <c r="M186" i="21" s="1"/>
  <c r="N186" i="21" a="1"/>
  <c r="N186" i="21" s="1"/>
  <c r="O186" i="21" a="1"/>
  <c r="O186" i="21" s="1"/>
  <c r="P186" i="21" a="1"/>
  <c r="P186" i="21" s="1"/>
  <c r="Q186" i="21" a="1"/>
  <c r="Q186" i="21" s="1"/>
  <c r="R186" i="21" a="1"/>
  <c r="R186" i="21" s="1"/>
  <c r="U186" i="21" a="1"/>
  <c r="U186" i="21" s="1"/>
  <c r="V186" i="21" a="1"/>
  <c r="V186" i="21" s="1"/>
  <c r="W186" i="21" a="1"/>
  <c r="W186" i="21" s="1"/>
  <c r="X186" i="21" a="1"/>
  <c r="X186" i="21" s="1"/>
  <c r="K187" i="21" a="1"/>
  <c r="K187" i="21" s="1"/>
  <c r="L187" i="21" a="1"/>
  <c r="L187" i="21" s="1"/>
  <c r="M187" i="21" a="1"/>
  <c r="M187" i="21" s="1"/>
  <c r="N187" i="21" a="1"/>
  <c r="N187" i="21" s="1"/>
  <c r="O187" i="21" a="1"/>
  <c r="O187" i="21" s="1"/>
  <c r="P187" i="21" a="1"/>
  <c r="P187" i="21" s="1"/>
  <c r="Q187" i="21" a="1"/>
  <c r="Q187" i="21" s="1"/>
  <c r="R187" i="21" a="1"/>
  <c r="R187" i="21" s="1"/>
  <c r="U187" i="21" a="1"/>
  <c r="U187" i="21" s="1"/>
  <c r="V187" i="21" a="1"/>
  <c r="V187" i="21" s="1"/>
  <c r="W187" i="21" a="1"/>
  <c r="W187" i="21" s="1"/>
  <c r="X187" i="21" a="1"/>
  <c r="X187" i="21" s="1"/>
  <c r="K188" i="21" a="1"/>
  <c r="K188" i="21" s="1"/>
  <c r="L188" i="21" a="1"/>
  <c r="L188" i="21" s="1"/>
  <c r="M188" i="21" a="1"/>
  <c r="M188" i="21" s="1"/>
  <c r="N188" i="21" a="1"/>
  <c r="N188" i="21" s="1"/>
  <c r="O188" i="21" a="1"/>
  <c r="O188" i="21" s="1"/>
  <c r="P188" i="21" a="1"/>
  <c r="P188" i="21" s="1"/>
  <c r="Q188" i="21" a="1"/>
  <c r="Q188" i="21" s="1"/>
  <c r="R188" i="21" a="1"/>
  <c r="R188" i="21" s="1"/>
  <c r="U188" i="21" a="1"/>
  <c r="U188" i="21" s="1"/>
  <c r="V188" i="21" a="1"/>
  <c r="V188" i="21" s="1"/>
  <c r="W188" i="21" a="1"/>
  <c r="W188" i="21" s="1"/>
  <c r="X188" i="21" a="1"/>
  <c r="X188" i="21" s="1"/>
  <c r="K189" i="21" a="1"/>
  <c r="K189" i="21" s="1"/>
  <c r="L189" i="21" a="1"/>
  <c r="L189" i="21" s="1"/>
  <c r="M189" i="21" a="1"/>
  <c r="M189" i="21" s="1"/>
  <c r="N189" i="21" a="1"/>
  <c r="N189" i="21" s="1"/>
  <c r="O189" i="21" a="1"/>
  <c r="O189" i="21" s="1"/>
  <c r="P189" i="21" a="1"/>
  <c r="P189" i="21" s="1"/>
  <c r="Q189" i="21" a="1"/>
  <c r="Q189" i="21" s="1"/>
  <c r="R189" i="21" a="1"/>
  <c r="R189" i="21" s="1"/>
  <c r="U189" i="21" a="1"/>
  <c r="U189" i="21" s="1"/>
  <c r="V189" i="21" a="1"/>
  <c r="V189" i="21" s="1"/>
  <c r="W189" i="21" a="1"/>
  <c r="W189" i="21" s="1"/>
  <c r="X189" i="21" a="1"/>
  <c r="X189" i="21" s="1"/>
  <c r="K190" i="21" a="1"/>
  <c r="K190" i="21" s="1"/>
  <c r="L190" i="21" a="1"/>
  <c r="L190" i="21" s="1"/>
  <c r="M190" i="21" a="1"/>
  <c r="M190" i="21" s="1"/>
  <c r="N190" i="21" a="1"/>
  <c r="N190" i="21" s="1"/>
  <c r="O190" i="21" a="1"/>
  <c r="O190" i="21" s="1"/>
  <c r="P190" i="21" a="1"/>
  <c r="P190" i="21" s="1"/>
  <c r="Q190" i="21" a="1"/>
  <c r="Q190" i="21" s="1"/>
  <c r="R190" i="21" a="1"/>
  <c r="R190" i="21" s="1"/>
  <c r="U190" i="21" a="1"/>
  <c r="U190" i="21" s="1"/>
  <c r="V190" i="21" a="1"/>
  <c r="V190" i="21" s="1"/>
  <c r="W190" i="21" a="1"/>
  <c r="W190" i="21" s="1"/>
  <c r="X190" i="21" a="1"/>
  <c r="X190" i="21" s="1"/>
  <c r="K191" i="21" a="1"/>
  <c r="K191" i="21" s="1"/>
  <c r="L191" i="21" a="1"/>
  <c r="L191" i="21" s="1"/>
  <c r="M191" i="21" a="1"/>
  <c r="M191" i="21" s="1"/>
  <c r="N191" i="21" a="1"/>
  <c r="N191" i="21" s="1"/>
  <c r="O191" i="21" a="1"/>
  <c r="O191" i="21" s="1"/>
  <c r="P191" i="21" a="1"/>
  <c r="P191" i="21" s="1"/>
  <c r="Q191" i="21" a="1"/>
  <c r="Q191" i="21" s="1"/>
  <c r="R191" i="21" a="1"/>
  <c r="R191" i="21" s="1"/>
  <c r="U191" i="21" a="1"/>
  <c r="U191" i="21" s="1"/>
  <c r="V191" i="21" a="1"/>
  <c r="V191" i="21" s="1"/>
  <c r="W191" i="21" a="1"/>
  <c r="W191" i="21" s="1"/>
  <c r="X191" i="21" a="1"/>
  <c r="X191" i="21" s="1"/>
  <c r="K192" i="21" a="1"/>
  <c r="K192" i="21" s="1"/>
  <c r="L192" i="21" a="1"/>
  <c r="L192" i="21" s="1"/>
  <c r="M192" i="21" a="1"/>
  <c r="M192" i="21" s="1"/>
  <c r="N192" i="21" a="1"/>
  <c r="N192" i="21" s="1"/>
  <c r="O192" i="21" a="1"/>
  <c r="O192" i="21" s="1"/>
  <c r="P192" i="21" a="1"/>
  <c r="P192" i="21" s="1"/>
  <c r="Q192" i="21" a="1"/>
  <c r="Q192" i="21" s="1"/>
  <c r="R192" i="21" a="1"/>
  <c r="R192" i="21" s="1"/>
  <c r="U192" i="21" a="1"/>
  <c r="U192" i="21" s="1"/>
  <c r="V192" i="21" a="1"/>
  <c r="V192" i="21" s="1"/>
  <c r="W192" i="21" a="1"/>
  <c r="W192" i="21" s="1"/>
  <c r="X192" i="21" a="1"/>
  <c r="X192" i="21" s="1"/>
  <c r="K193" i="21" a="1"/>
  <c r="K193" i="21" s="1"/>
  <c r="L193" i="21" a="1"/>
  <c r="L193" i="21" s="1"/>
  <c r="M193" i="21" a="1"/>
  <c r="M193" i="21" s="1"/>
  <c r="N193" i="21" a="1"/>
  <c r="N193" i="21" s="1"/>
  <c r="O193" i="21" a="1"/>
  <c r="O193" i="21" s="1"/>
  <c r="P193" i="21" a="1"/>
  <c r="P193" i="21" s="1"/>
  <c r="Q193" i="21" a="1"/>
  <c r="Q193" i="21" s="1"/>
  <c r="R193" i="21" a="1"/>
  <c r="R193" i="21" s="1"/>
  <c r="U193" i="21" a="1"/>
  <c r="U193" i="21" s="1"/>
  <c r="V193" i="21" a="1"/>
  <c r="V193" i="21" s="1"/>
  <c r="W193" i="21" a="1"/>
  <c r="W193" i="21" s="1"/>
  <c r="X193" i="21" a="1"/>
  <c r="X193" i="21" s="1"/>
  <c r="K194" i="21" a="1"/>
  <c r="K194" i="21" s="1"/>
  <c r="L194" i="21" a="1"/>
  <c r="L194" i="21" s="1"/>
  <c r="M194" i="21" a="1"/>
  <c r="M194" i="21" s="1"/>
  <c r="N194" i="21" a="1"/>
  <c r="N194" i="21" s="1"/>
  <c r="O194" i="21" a="1"/>
  <c r="O194" i="21" s="1"/>
  <c r="P194" i="21" a="1"/>
  <c r="P194" i="21" s="1"/>
  <c r="Q194" i="21" a="1"/>
  <c r="Q194" i="21" s="1"/>
  <c r="R194" i="21" a="1"/>
  <c r="R194" i="21" s="1"/>
  <c r="U194" i="21" a="1"/>
  <c r="U194" i="21" s="1"/>
  <c r="V194" i="21" a="1"/>
  <c r="V194" i="21" s="1"/>
  <c r="W194" i="21" a="1"/>
  <c r="W194" i="21" s="1"/>
  <c r="X194" i="21" a="1"/>
  <c r="X194" i="21" s="1"/>
  <c r="K195" i="21" a="1"/>
  <c r="K195" i="21" s="1"/>
  <c r="L195" i="21" a="1"/>
  <c r="L195" i="21" s="1"/>
  <c r="M195" i="21" a="1"/>
  <c r="M195" i="21" s="1"/>
  <c r="N195" i="21" a="1"/>
  <c r="N195" i="21" s="1"/>
  <c r="O195" i="21" a="1"/>
  <c r="O195" i="21" s="1"/>
  <c r="P195" i="21" a="1"/>
  <c r="P195" i="21" s="1"/>
  <c r="Q195" i="21" a="1"/>
  <c r="Q195" i="21" s="1"/>
  <c r="R195" i="21" a="1"/>
  <c r="R195" i="21" s="1"/>
  <c r="U195" i="21" a="1"/>
  <c r="U195" i="21" s="1"/>
  <c r="V195" i="21" a="1"/>
  <c r="V195" i="21" s="1"/>
  <c r="W195" i="21" a="1"/>
  <c r="W195" i="21" s="1"/>
  <c r="X195" i="21" a="1"/>
  <c r="X195" i="21" s="1"/>
  <c r="K196" i="21" a="1"/>
  <c r="K196" i="21" s="1"/>
  <c r="L196" i="21" a="1"/>
  <c r="L196" i="21" s="1"/>
  <c r="M196" i="21" a="1"/>
  <c r="M196" i="21" s="1"/>
  <c r="N196" i="21" a="1"/>
  <c r="N196" i="21" s="1"/>
  <c r="O196" i="21" a="1"/>
  <c r="O196" i="21" s="1"/>
  <c r="P196" i="21" a="1"/>
  <c r="P196" i="21" s="1"/>
  <c r="Q196" i="21" a="1"/>
  <c r="Q196" i="21" s="1"/>
  <c r="R196" i="21" a="1"/>
  <c r="R196" i="21" s="1"/>
  <c r="U196" i="21" a="1"/>
  <c r="U196" i="21" s="1"/>
  <c r="V196" i="21" a="1"/>
  <c r="V196" i="21" s="1"/>
  <c r="W196" i="21" a="1"/>
  <c r="W196" i="21" s="1"/>
  <c r="X196" i="21" a="1"/>
  <c r="X196" i="21" s="1"/>
  <c r="K197" i="21" a="1"/>
  <c r="K197" i="21" s="1"/>
  <c r="L197" i="21" a="1"/>
  <c r="L197" i="21" s="1"/>
  <c r="M197" i="21" a="1"/>
  <c r="M197" i="21" s="1"/>
  <c r="N197" i="21" a="1"/>
  <c r="N197" i="21" s="1"/>
  <c r="O197" i="21" a="1"/>
  <c r="O197" i="21" s="1"/>
  <c r="P197" i="21" a="1"/>
  <c r="P197" i="21" s="1"/>
  <c r="Q197" i="21" a="1"/>
  <c r="Q197" i="21" s="1"/>
  <c r="R197" i="21" a="1"/>
  <c r="R197" i="21" s="1"/>
  <c r="U197" i="21" a="1"/>
  <c r="U197" i="21" s="1"/>
  <c r="V197" i="21" a="1"/>
  <c r="V197" i="21" s="1"/>
  <c r="W197" i="21" a="1"/>
  <c r="W197" i="21" s="1"/>
  <c r="X197" i="21" a="1"/>
  <c r="X197" i="21" s="1"/>
  <c r="K198" i="21" a="1"/>
  <c r="K198" i="21" s="1"/>
  <c r="L198" i="21" a="1"/>
  <c r="L198" i="21" s="1"/>
  <c r="M198" i="21" a="1"/>
  <c r="M198" i="21" s="1"/>
  <c r="N198" i="21" a="1"/>
  <c r="N198" i="21" s="1"/>
  <c r="O198" i="21" a="1"/>
  <c r="O198" i="21" s="1"/>
  <c r="P198" i="21" a="1"/>
  <c r="P198" i="21" s="1"/>
  <c r="Q198" i="21" a="1"/>
  <c r="Q198" i="21" s="1"/>
  <c r="R198" i="21" a="1"/>
  <c r="R198" i="21" s="1"/>
  <c r="U198" i="21" a="1"/>
  <c r="U198" i="21" s="1"/>
  <c r="V198" i="21" a="1"/>
  <c r="V198" i="21" s="1"/>
  <c r="W198" i="21" a="1"/>
  <c r="W198" i="21" s="1"/>
  <c r="X198" i="21" a="1"/>
  <c r="X198" i="21" s="1"/>
  <c r="K199" i="21" a="1"/>
  <c r="K199" i="21" s="1"/>
  <c r="L199" i="21" a="1"/>
  <c r="L199" i="21" s="1"/>
  <c r="M199" i="21" a="1"/>
  <c r="M199" i="21" s="1"/>
  <c r="N199" i="21" a="1"/>
  <c r="N199" i="21" s="1"/>
  <c r="O199" i="21" a="1"/>
  <c r="O199" i="21" s="1"/>
  <c r="P199" i="21" a="1"/>
  <c r="P199" i="21" s="1"/>
  <c r="Q199" i="21" a="1"/>
  <c r="Q199" i="21" s="1"/>
  <c r="R199" i="21" a="1"/>
  <c r="R199" i="21" s="1"/>
  <c r="U199" i="21" a="1"/>
  <c r="U199" i="21" s="1"/>
  <c r="V199" i="21" a="1"/>
  <c r="V199" i="21" s="1"/>
  <c r="W199" i="21" a="1"/>
  <c r="W199" i="21" s="1"/>
  <c r="X199" i="21" a="1"/>
  <c r="X199" i="21" s="1"/>
  <c r="K200" i="21" a="1"/>
  <c r="K200" i="21" s="1"/>
  <c r="L200" i="21" a="1"/>
  <c r="L200" i="21" s="1"/>
  <c r="M200" i="21" a="1"/>
  <c r="M200" i="21" s="1"/>
  <c r="N200" i="21" a="1"/>
  <c r="N200" i="21" s="1"/>
  <c r="O200" i="21" a="1"/>
  <c r="O200" i="21" s="1"/>
  <c r="P200" i="21" a="1"/>
  <c r="P200" i="21" s="1"/>
  <c r="Q200" i="21" a="1"/>
  <c r="Q200" i="21" s="1"/>
  <c r="R200" i="21" a="1"/>
  <c r="R200" i="21" s="1"/>
  <c r="U200" i="21" a="1"/>
  <c r="U200" i="21" s="1"/>
  <c r="V200" i="21" a="1"/>
  <c r="V200" i="21" s="1"/>
  <c r="W200" i="21" a="1"/>
  <c r="W200" i="21" s="1"/>
  <c r="X200" i="21" a="1"/>
  <c r="X200" i="21" s="1"/>
  <c r="K201" i="21" a="1"/>
  <c r="K201" i="21" s="1"/>
  <c r="L201" i="21" a="1"/>
  <c r="L201" i="21" s="1"/>
  <c r="M201" i="21" a="1"/>
  <c r="M201" i="21" s="1"/>
  <c r="N201" i="21" a="1"/>
  <c r="N201" i="21" s="1"/>
  <c r="O201" i="21" a="1"/>
  <c r="O201" i="21" s="1"/>
  <c r="P201" i="21" a="1"/>
  <c r="P201" i="21" s="1"/>
  <c r="Q201" i="21" a="1"/>
  <c r="Q201" i="21" s="1"/>
  <c r="R201" i="21" a="1"/>
  <c r="R201" i="21" s="1"/>
  <c r="U201" i="21" a="1"/>
  <c r="U201" i="21" s="1"/>
  <c r="V201" i="21" a="1"/>
  <c r="V201" i="21" s="1"/>
  <c r="W201" i="21" a="1"/>
  <c r="W201" i="21" s="1"/>
  <c r="X201" i="21" a="1"/>
  <c r="X201" i="21" s="1"/>
  <c r="K202" i="21" a="1"/>
  <c r="K202" i="21" s="1"/>
  <c r="L202" i="21" a="1"/>
  <c r="L202" i="21" s="1"/>
  <c r="M202" i="21" a="1"/>
  <c r="M202" i="21" s="1"/>
  <c r="N202" i="21" a="1"/>
  <c r="N202" i="21" s="1"/>
  <c r="O202" i="21" a="1"/>
  <c r="O202" i="21" s="1"/>
  <c r="P202" i="21" a="1"/>
  <c r="P202" i="21" s="1"/>
  <c r="Q202" i="21" a="1"/>
  <c r="Q202" i="21" s="1"/>
  <c r="R202" i="21" a="1"/>
  <c r="R202" i="21" s="1"/>
  <c r="U202" i="21" a="1"/>
  <c r="U202" i="21" s="1"/>
  <c r="V202" i="21" a="1"/>
  <c r="V202" i="21" s="1"/>
  <c r="W202" i="21" a="1"/>
  <c r="W202" i="21" s="1"/>
  <c r="X202" i="21" a="1"/>
  <c r="X202" i="21" s="1"/>
  <c r="K203" i="21" a="1"/>
  <c r="K203" i="21" s="1"/>
  <c r="L203" i="21" a="1"/>
  <c r="L203" i="21" s="1"/>
  <c r="M203" i="21" a="1"/>
  <c r="M203" i="21" s="1"/>
  <c r="N203" i="21" a="1"/>
  <c r="N203" i="21" s="1"/>
  <c r="O203" i="21" a="1"/>
  <c r="O203" i="21" s="1"/>
  <c r="P203" i="21" a="1"/>
  <c r="P203" i="21" s="1"/>
  <c r="Q203" i="21" a="1"/>
  <c r="Q203" i="21" s="1"/>
  <c r="R203" i="21" a="1"/>
  <c r="R203" i="21" s="1"/>
  <c r="U203" i="21" a="1"/>
  <c r="U203" i="21" s="1"/>
  <c r="V203" i="21" a="1"/>
  <c r="V203" i="21" s="1"/>
  <c r="W203" i="21" a="1"/>
  <c r="W203" i="21" s="1"/>
  <c r="X203" i="21" a="1"/>
  <c r="X203" i="21" s="1"/>
  <c r="K204" i="21" a="1"/>
  <c r="K204" i="21" s="1"/>
  <c r="L204" i="21" a="1"/>
  <c r="L204" i="21" s="1"/>
  <c r="M204" i="21" a="1"/>
  <c r="M204" i="21" s="1"/>
  <c r="N204" i="21" a="1"/>
  <c r="N204" i="21" s="1"/>
  <c r="O204" i="21" a="1"/>
  <c r="O204" i="21" s="1"/>
  <c r="P204" i="21" a="1"/>
  <c r="P204" i="21" s="1"/>
  <c r="Q204" i="21" a="1"/>
  <c r="Q204" i="21" s="1"/>
  <c r="R204" i="21" a="1"/>
  <c r="R204" i="21" s="1"/>
  <c r="U204" i="21" a="1"/>
  <c r="U204" i="21" s="1"/>
  <c r="V204" i="21" a="1"/>
  <c r="V204" i="21" s="1"/>
  <c r="W204" i="21" a="1"/>
  <c r="W204" i="21" s="1"/>
  <c r="X204" i="21" a="1"/>
  <c r="X204" i="21" s="1"/>
  <c r="K205" i="21" a="1"/>
  <c r="K205" i="21" s="1"/>
  <c r="L205" i="21" a="1"/>
  <c r="L205" i="21" s="1"/>
  <c r="M205" i="21" a="1"/>
  <c r="M205" i="21" s="1"/>
  <c r="N205" i="21" a="1"/>
  <c r="N205" i="21" s="1"/>
  <c r="O205" i="21" a="1"/>
  <c r="O205" i="21" s="1"/>
  <c r="P205" i="21" a="1"/>
  <c r="P205" i="21" s="1"/>
  <c r="Q205" i="21" a="1"/>
  <c r="Q205" i="21" s="1"/>
  <c r="R205" i="21" a="1"/>
  <c r="R205" i="21" s="1"/>
  <c r="U205" i="21" a="1"/>
  <c r="U205" i="21" s="1"/>
  <c r="V205" i="21" a="1"/>
  <c r="V205" i="21" s="1"/>
  <c r="W205" i="21" a="1"/>
  <c r="W205" i="21" s="1"/>
  <c r="X205" i="21" a="1"/>
  <c r="X205" i="21" s="1"/>
  <c r="K206" i="21" a="1"/>
  <c r="K206" i="21" s="1"/>
  <c r="L206" i="21" a="1"/>
  <c r="L206" i="21" s="1"/>
  <c r="M206" i="21" a="1"/>
  <c r="M206" i="21" s="1"/>
  <c r="N206" i="21" a="1"/>
  <c r="N206" i="21" s="1"/>
  <c r="O206" i="21" a="1"/>
  <c r="O206" i="21" s="1"/>
  <c r="P206" i="21" a="1"/>
  <c r="P206" i="21" s="1"/>
  <c r="Q206" i="21" a="1"/>
  <c r="Q206" i="21" s="1"/>
  <c r="R206" i="21" a="1"/>
  <c r="R206" i="21" s="1"/>
  <c r="U206" i="21" a="1"/>
  <c r="U206" i="21" s="1"/>
  <c r="V206" i="21" a="1"/>
  <c r="V206" i="21" s="1"/>
  <c r="W206" i="21" a="1"/>
  <c r="W206" i="21" s="1"/>
  <c r="X206" i="21" a="1"/>
  <c r="X206" i="21" s="1"/>
  <c r="K207" i="21" a="1"/>
  <c r="K207" i="21" s="1"/>
  <c r="L207" i="21" a="1"/>
  <c r="L207" i="21" s="1"/>
  <c r="M207" i="21" a="1"/>
  <c r="M207" i="21" s="1"/>
  <c r="N207" i="21" a="1"/>
  <c r="N207" i="21" s="1"/>
  <c r="O207" i="21" a="1"/>
  <c r="O207" i="21" s="1"/>
  <c r="P207" i="21" a="1"/>
  <c r="P207" i="21" s="1"/>
  <c r="Q207" i="21" a="1"/>
  <c r="Q207" i="21" s="1"/>
  <c r="R207" i="21" a="1"/>
  <c r="R207" i="21" s="1"/>
  <c r="U207" i="21" a="1"/>
  <c r="U207" i="21" s="1"/>
  <c r="V207" i="21" a="1"/>
  <c r="V207" i="21" s="1"/>
  <c r="W207" i="21" a="1"/>
  <c r="W207" i="21" s="1"/>
  <c r="X207" i="21" a="1"/>
  <c r="X207" i="21" s="1"/>
  <c r="K208" i="21" a="1"/>
  <c r="K208" i="21" s="1"/>
  <c r="L208" i="21" a="1"/>
  <c r="L208" i="21" s="1"/>
  <c r="M208" i="21" a="1"/>
  <c r="M208" i="21" s="1"/>
  <c r="N208" i="21" a="1"/>
  <c r="N208" i="21" s="1"/>
  <c r="O208" i="21" a="1"/>
  <c r="O208" i="21" s="1"/>
  <c r="P208" i="21" a="1"/>
  <c r="P208" i="21" s="1"/>
  <c r="Q208" i="21" a="1"/>
  <c r="Q208" i="21" s="1"/>
  <c r="R208" i="21" a="1"/>
  <c r="R208" i="21" s="1"/>
  <c r="U208" i="21" a="1"/>
  <c r="U208" i="21" s="1"/>
  <c r="V208" i="21" a="1"/>
  <c r="V208" i="21" s="1"/>
  <c r="W208" i="21" a="1"/>
  <c r="W208" i="21" s="1"/>
  <c r="X208" i="21" a="1"/>
  <c r="X208" i="21" s="1"/>
  <c r="K209" i="21" a="1"/>
  <c r="K209" i="21" s="1"/>
  <c r="L209" i="21" a="1"/>
  <c r="L209" i="21" s="1"/>
  <c r="M209" i="21" a="1"/>
  <c r="M209" i="21" s="1"/>
  <c r="N209" i="21" a="1"/>
  <c r="N209" i="21" s="1"/>
  <c r="O209" i="21" a="1"/>
  <c r="O209" i="21" s="1"/>
  <c r="P209" i="21" a="1"/>
  <c r="P209" i="21" s="1"/>
  <c r="Q209" i="21" a="1"/>
  <c r="Q209" i="21" s="1"/>
  <c r="R209" i="21" a="1"/>
  <c r="R209" i="21" s="1"/>
  <c r="U209" i="21" a="1"/>
  <c r="U209" i="21" s="1"/>
  <c r="V209" i="21" a="1"/>
  <c r="V209" i="21" s="1"/>
  <c r="W209" i="21" a="1"/>
  <c r="W209" i="21" s="1"/>
  <c r="X209" i="21" a="1"/>
  <c r="X209" i="21" s="1"/>
  <c r="K210" i="21" a="1"/>
  <c r="K210" i="21" s="1"/>
  <c r="L210" i="21" a="1"/>
  <c r="L210" i="21" s="1"/>
  <c r="M210" i="21" a="1"/>
  <c r="M210" i="21" s="1"/>
  <c r="N210" i="21" a="1"/>
  <c r="N210" i="21" s="1"/>
  <c r="O210" i="21" a="1"/>
  <c r="O210" i="21" s="1"/>
  <c r="P210" i="21" a="1"/>
  <c r="P210" i="21" s="1"/>
  <c r="Q210" i="21" a="1"/>
  <c r="Q210" i="21" s="1"/>
  <c r="R210" i="21" a="1"/>
  <c r="R210" i="21" s="1"/>
  <c r="U210" i="21" a="1"/>
  <c r="U210" i="21" s="1"/>
  <c r="V210" i="21" a="1"/>
  <c r="V210" i="21" s="1"/>
  <c r="W210" i="21" a="1"/>
  <c r="W210" i="21" s="1"/>
  <c r="X210" i="21" a="1"/>
  <c r="X210" i="21" s="1"/>
  <c r="K211" i="21" a="1"/>
  <c r="K211" i="21" s="1"/>
  <c r="L211" i="21" a="1"/>
  <c r="L211" i="21" s="1"/>
  <c r="M211" i="21" a="1"/>
  <c r="M211" i="21" s="1"/>
  <c r="N211" i="21" a="1"/>
  <c r="N211" i="21" s="1"/>
  <c r="O211" i="21" a="1"/>
  <c r="O211" i="21" s="1"/>
  <c r="P211" i="21" a="1"/>
  <c r="P211" i="21" s="1"/>
  <c r="Q211" i="21" a="1"/>
  <c r="Q211" i="21" s="1"/>
  <c r="R211" i="21" a="1"/>
  <c r="R211" i="21" s="1"/>
  <c r="U211" i="21" a="1"/>
  <c r="U211" i="21" s="1"/>
  <c r="V211" i="21" a="1"/>
  <c r="V211" i="21" s="1"/>
  <c r="W211" i="21" a="1"/>
  <c r="W211" i="21" s="1"/>
  <c r="X211" i="21" a="1"/>
  <c r="X211" i="21" s="1"/>
  <c r="K212" i="21" a="1"/>
  <c r="K212" i="21" s="1"/>
  <c r="L212" i="21" a="1"/>
  <c r="L212" i="21" s="1"/>
  <c r="M212" i="21" a="1"/>
  <c r="M212" i="21" s="1"/>
  <c r="N212" i="21" a="1"/>
  <c r="N212" i="21" s="1"/>
  <c r="O212" i="21" a="1"/>
  <c r="O212" i="21" s="1"/>
  <c r="P212" i="21" a="1"/>
  <c r="P212" i="21" s="1"/>
  <c r="Q212" i="21" a="1"/>
  <c r="Q212" i="21" s="1"/>
  <c r="R212" i="21" a="1"/>
  <c r="R212" i="21" s="1"/>
  <c r="U212" i="21" a="1"/>
  <c r="U212" i="21" s="1"/>
  <c r="V212" i="21" a="1"/>
  <c r="V212" i="21" s="1"/>
  <c r="W212" i="21" a="1"/>
  <c r="W212" i="21" s="1"/>
  <c r="X212" i="21" a="1"/>
  <c r="X212" i="21" s="1"/>
  <c r="K213" i="21" a="1"/>
  <c r="K213" i="21" s="1"/>
  <c r="L213" i="21" a="1"/>
  <c r="L213" i="21" s="1"/>
  <c r="M213" i="21" a="1"/>
  <c r="M213" i="21" s="1"/>
  <c r="N213" i="21" a="1"/>
  <c r="N213" i="21" s="1"/>
  <c r="O213" i="21" a="1"/>
  <c r="O213" i="21" s="1"/>
  <c r="P213" i="21" a="1"/>
  <c r="P213" i="21" s="1"/>
  <c r="Q213" i="21" a="1"/>
  <c r="Q213" i="21" s="1"/>
  <c r="R213" i="21" a="1"/>
  <c r="R213" i="21" s="1"/>
  <c r="U213" i="21" a="1"/>
  <c r="U213" i="21" s="1"/>
  <c r="V213" i="21" a="1"/>
  <c r="V213" i="21" s="1"/>
  <c r="W213" i="21" a="1"/>
  <c r="W213" i="21" s="1"/>
  <c r="X213" i="21" a="1"/>
  <c r="X213" i="21" s="1"/>
  <c r="K214" i="21" a="1"/>
  <c r="K214" i="21" s="1"/>
  <c r="L214" i="21" a="1"/>
  <c r="L214" i="21" s="1"/>
  <c r="M214" i="21" a="1"/>
  <c r="M214" i="21" s="1"/>
  <c r="N214" i="21" a="1"/>
  <c r="N214" i="21" s="1"/>
  <c r="O214" i="21" a="1"/>
  <c r="O214" i="21" s="1"/>
  <c r="P214" i="21" a="1"/>
  <c r="P214" i="21" s="1"/>
  <c r="Q214" i="21" a="1"/>
  <c r="Q214" i="21" s="1"/>
  <c r="R214" i="21" a="1"/>
  <c r="R214" i="21" s="1"/>
  <c r="U214" i="21" a="1"/>
  <c r="U214" i="21" s="1"/>
  <c r="V214" i="21" a="1"/>
  <c r="V214" i="21" s="1"/>
  <c r="W214" i="21" a="1"/>
  <c r="W214" i="21" s="1"/>
  <c r="X214" i="21" a="1"/>
  <c r="X214" i="21" s="1"/>
  <c r="K215" i="21" a="1"/>
  <c r="K215" i="21" s="1"/>
  <c r="L215" i="21" a="1"/>
  <c r="L215" i="21" s="1"/>
  <c r="M215" i="21" a="1"/>
  <c r="M215" i="21" s="1"/>
  <c r="N215" i="21" a="1"/>
  <c r="N215" i="21" s="1"/>
  <c r="O215" i="21" a="1"/>
  <c r="O215" i="21" s="1"/>
  <c r="P215" i="21" a="1"/>
  <c r="P215" i="21" s="1"/>
  <c r="Q215" i="21" a="1"/>
  <c r="Q215" i="21" s="1"/>
  <c r="R215" i="21" a="1"/>
  <c r="R215" i="21" s="1"/>
  <c r="U215" i="21" a="1"/>
  <c r="U215" i="21" s="1"/>
  <c r="V215" i="21" a="1"/>
  <c r="V215" i="21" s="1"/>
  <c r="W215" i="21" a="1"/>
  <c r="W215" i="21" s="1"/>
  <c r="X215" i="21" a="1"/>
  <c r="X215" i="21" s="1"/>
  <c r="K216" i="21" a="1"/>
  <c r="K216" i="21" s="1"/>
  <c r="L216" i="21" a="1"/>
  <c r="L216" i="21" s="1"/>
  <c r="M216" i="21" a="1"/>
  <c r="M216" i="21" s="1"/>
  <c r="N216" i="21" a="1"/>
  <c r="N216" i="21" s="1"/>
  <c r="O216" i="21" a="1"/>
  <c r="O216" i="21" s="1"/>
  <c r="P216" i="21" a="1"/>
  <c r="P216" i="21" s="1"/>
  <c r="Q216" i="21" a="1"/>
  <c r="Q216" i="21" s="1"/>
  <c r="R216" i="21" a="1"/>
  <c r="R216" i="21" s="1"/>
  <c r="U216" i="21" a="1"/>
  <c r="U216" i="21" s="1"/>
  <c r="V216" i="21" a="1"/>
  <c r="V216" i="21" s="1"/>
  <c r="W216" i="21" a="1"/>
  <c r="W216" i="21" s="1"/>
  <c r="X216" i="21" a="1"/>
  <c r="X216" i="21" s="1"/>
  <c r="K217" i="21" a="1"/>
  <c r="K217" i="21" s="1"/>
  <c r="L217" i="21" a="1"/>
  <c r="L217" i="21" s="1"/>
  <c r="M217" i="21" a="1"/>
  <c r="M217" i="21" s="1"/>
  <c r="N217" i="21" a="1"/>
  <c r="N217" i="21" s="1"/>
  <c r="O217" i="21" a="1"/>
  <c r="O217" i="21" s="1"/>
  <c r="P217" i="21" a="1"/>
  <c r="P217" i="21" s="1"/>
  <c r="Q217" i="21" a="1"/>
  <c r="Q217" i="21" s="1"/>
  <c r="R217" i="21" a="1"/>
  <c r="R217" i="21" s="1"/>
  <c r="U217" i="21" a="1"/>
  <c r="U217" i="21" s="1"/>
  <c r="V217" i="21" a="1"/>
  <c r="V217" i="21" s="1"/>
  <c r="W217" i="21" a="1"/>
  <c r="W217" i="21" s="1"/>
  <c r="X217" i="21" a="1"/>
  <c r="X217" i="21" s="1"/>
  <c r="K218" i="21" a="1"/>
  <c r="K218" i="21" s="1"/>
  <c r="L218" i="21" a="1"/>
  <c r="L218" i="21" s="1"/>
  <c r="M218" i="21" a="1"/>
  <c r="M218" i="21" s="1"/>
  <c r="N218" i="21" a="1"/>
  <c r="N218" i="21" s="1"/>
  <c r="O218" i="21" a="1"/>
  <c r="O218" i="21" s="1"/>
  <c r="P218" i="21" a="1"/>
  <c r="P218" i="21" s="1"/>
  <c r="Q218" i="21" a="1"/>
  <c r="Q218" i="21" s="1"/>
  <c r="R218" i="21" a="1"/>
  <c r="R218" i="21" s="1"/>
  <c r="U218" i="21" a="1"/>
  <c r="U218" i="21" s="1"/>
  <c r="V218" i="21" a="1"/>
  <c r="V218" i="21" s="1"/>
  <c r="W218" i="21" a="1"/>
  <c r="W218" i="21" s="1"/>
  <c r="X218" i="21" a="1"/>
  <c r="X218" i="21" s="1"/>
  <c r="K219" i="21" a="1"/>
  <c r="K219" i="21" s="1"/>
  <c r="L219" i="21" a="1"/>
  <c r="L219" i="21" s="1"/>
  <c r="M219" i="21" a="1"/>
  <c r="M219" i="21" s="1"/>
  <c r="N219" i="21" a="1"/>
  <c r="N219" i="21" s="1"/>
  <c r="O219" i="21" a="1"/>
  <c r="O219" i="21" s="1"/>
  <c r="P219" i="21" a="1"/>
  <c r="P219" i="21" s="1"/>
  <c r="Q219" i="21" a="1"/>
  <c r="Q219" i="21" s="1"/>
  <c r="R219" i="21" a="1"/>
  <c r="R219" i="21" s="1"/>
  <c r="U219" i="21" a="1"/>
  <c r="U219" i="21" s="1"/>
  <c r="V219" i="21" a="1"/>
  <c r="V219" i="21" s="1"/>
  <c r="W219" i="21" a="1"/>
  <c r="W219" i="21" s="1"/>
  <c r="X219" i="21" a="1"/>
  <c r="X219" i="21" s="1"/>
  <c r="K220" i="21" a="1"/>
  <c r="K220" i="21" s="1"/>
  <c r="L220" i="21" a="1"/>
  <c r="L220" i="21" s="1"/>
  <c r="M220" i="21" a="1"/>
  <c r="M220" i="21" s="1"/>
  <c r="N220" i="21" a="1"/>
  <c r="N220" i="21" s="1"/>
  <c r="O220" i="21" a="1"/>
  <c r="O220" i="21" s="1"/>
  <c r="P220" i="21" a="1"/>
  <c r="P220" i="21" s="1"/>
  <c r="Q220" i="21" a="1"/>
  <c r="Q220" i="21" s="1"/>
  <c r="R220" i="21" a="1"/>
  <c r="R220" i="21" s="1"/>
  <c r="U220" i="21" a="1"/>
  <c r="U220" i="21" s="1"/>
  <c r="V220" i="21" a="1"/>
  <c r="V220" i="21" s="1"/>
  <c r="W220" i="21" a="1"/>
  <c r="W220" i="21" s="1"/>
  <c r="X220" i="21" a="1"/>
  <c r="X220" i="21" s="1"/>
  <c r="K221" i="21" a="1"/>
  <c r="K221" i="21" s="1"/>
  <c r="L221" i="21" a="1"/>
  <c r="L221" i="21" s="1"/>
  <c r="M221" i="21" a="1"/>
  <c r="M221" i="21" s="1"/>
  <c r="N221" i="21" a="1"/>
  <c r="N221" i="21" s="1"/>
  <c r="O221" i="21" a="1"/>
  <c r="O221" i="21" s="1"/>
  <c r="P221" i="21" a="1"/>
  <c r="P221" i="21" s="1"/>
  <c r="Q221" i="21" a="1"/>
  <c r="Q221" i="21" s="1"/>
  <c r="R221" i="21" a="1"/>
  <c r="R221" i="21" s="1"/>
  <c r="U221" i="21" a="1"/>
  <c r="U221" i="21" s="1"/>
  <c r="V221" i="21" a="1"/>
  <c r="V221" i="21" s="1"/>
  <c r="W221" i="21" a="1"/>
  <c r="W221" i="21" s="1"/>
  <c r="X221" i="21" a="1"/>
  <c r="X221" i="21" s="1"/>
  <c r="K222" i="21" a="1"/>
  <c r="K222" i="21" s="1"/>
  <c r="L222" i="21" a="1"/>
  <c r="L222" i="21" s="1"/>
  <c r="M222" i="21" a="1"/>
  <c r="M222" i="21" s="1"/>
  <c r="N222" i="21" a="1"/>
  <c r="N222" i="21" s="1"/>
  <c r="O222" i="21" a="1"/>
  <c r="O222" i="21" s="1"/>
  <c r="P222" i="21" a="1"/>
  <c r="P222" i="21" s="1"/>
  <c r="Q222" i="21" a="1"/>
  <c r="Q222" i="21" s="1"/>
  <c r="R222" i="21" a="1"/>
  <c r="R222" i="21" s="1"/>
  <c r="U222" i="21" a="1"/>
  <c r="U222" i="21" s="1"/>
  <c r="V222" i="21" a="1"/>
  <c r="V222" i="21" s="1"/>
  <c r="W222" i="21" a="1"/>
  <c r="W222" i="21" s="1"/>
  <c r="X222" i="21" a="1"/>
  <c r="X222" i="21" s="1"/>
  <c r="K223" i="21" a="1"/>
  <c r="K223" i="21" s="1"/>
  <c r="L223" i="21" a="1"/>
  <c r="L223" i="21" s="1"/>
  <c r="M223" i="21" a="1"/>
  <c r="M223" i="21" s="1"/>
  <c r="N223" i="21" a="1"/>
  <c r="N223" i="21" s="1"/>
  <c r="O223" i="21" a="1"/>
  <c r="O223" i="21" s="1"/>
  <c r="P223" i="21" a="1"/>
  <c r="P223" i="21" s="1"/>
  <c r="Q223" i="21" a="1"/>
  <c r="Q223" i="21" s="1"/>
  <c r="R223" i="21" a="1"/>
  <c r="R223" i="21" s="1"/>
  <c r="U223" i="21" a="1"/>
  <c r="U223" i="21" s="1"/>
  <c r="V223" i="21" a="1"/>
  <c r="V223" i="21" s="1"/>
  <c r="W223" i="21" a="1"/>
  <c r="W223" i="21" s="1"/>
  <c r="X223" i="21" a="1"/>
  <c r="X223" i="21" s="1"/>
  <c r="K224" i="21" a="1"/>
  <c r="K224" i="21" s="1"/>
  <c r="L224" i="21" a="1"/>
  <c r="L224" i="21" s="1"/>
  <c r="M224" i="21" a="1"/>
  <c r="M224" i="21" s="1"/>
  <c r="N224" i="21" a="1"/>
  <c r="N224" i="21" s="1"/>
  <c r="O224" i="21" a="1"/>
  <c r="O224" i="21" s="1"/>
  <c r="P224" i="21" a="1"/>
  <c r="P224" i="21" s="1"/>
  <c r="Q224" i="21" a="1"/>
  <c r="Q224" i="21" s="1"/>
  <c r="R224" i="21" a="1"/>
  <c r="R224" i="21" s="1"/>
  <c r="U224" i="21" a="1"/>
  <c r="U224" i="21" s="1"/>
  <c r="V224" i="21" a="1"/>
  <c r="V224" i="21" s="1"/>
  <c r="W224" i="21" a="1"/>
  <c r="W224" i="21" s="1"/>
  <c r="X224" i="21" a="1"/>
  <c r="X224" i="21" s="1"/>
  <c r="K225" i="21" a="1"/>
  <c r="K225" i="21" s="1"/>
  <c r="L225" i="21" a="1"/>
  <c r="L225" i="21" s="1"/>
  <c r="M225" i="21" a="1"/>
  <c r="M225" i="21" s="1"/>
  <c r="N225" i="21" a="1"/>
  <c r="N225" i="21" s="1"/>
  <c r="O225" i="21" a="1"/>
  <c r="O225" i="21" s="1"/>
  <c r="P225" i="21" a="1"/>
  <c r="P225" i="21" s="1"/>
  <c r="Q225" i="21" a="1"/>
  <c r="Q225" i="21" s="1"/>
  <c r="R225" i="21" a="1"/>
  <c r="R225" i="21" s="1"/>
  <c r="U225" i="21" a="1"/>
  <c r="U225" i="21" s="1"/>
  <c r="V225" i="21" a="1"/>
  <c r="V225" i="21" s="1"/>
  <c r="W225" i="21" a="1"/>
  <c r="W225" i="21" s="1"/>
  <c r="X225" i="21" a="1"/>
  <c r="X225" i="21" s="1"/>
  <c r="K226" i="21" a="1"/>
  <c r="K226" i="21" s="1"/>
  <c r="L226" i="21" a="1"/>
  <c r="L226" i="21" s="1"/>
  <c r="M226" i="21" a="1"/>
  <c r="M226" i="21" s="1"/>
  <c r="N226" i="21" a="1"/>
  <c r="N226" i="21" s="1"/>
  <c r="O226" i="21" a="1"/>
  <c r="O226" i="21" s="1"/>
  <c r="P226" i="21" a="1"/>
  <c r="P226" i="21" s="1"/>
  <c r="Q226" i="21" a="1"/>
  <c r="Q226" i="21" s="1"/>
  <c r="R226" i="21" a="1"/>
  <c r="R226" i="21" s="1"/>
  <c r="U226" i="21" a="1"/>
  <c r="U226" i="21" s="1"/>
  <c r="V226" i="21" a="1"/>
  <c r="V226" i="21" s="1"/>
  <c r="W226" i="21" a="1"/>
  <c r="W226" i="21" s="1"/>
  <c r="X226" i="21" a="1"/>
  <c r="X226" i="21" s="1"/>
  <c r="K227" i="21" a="1"/>
  <c r="K227" i="21" s="1"/>
  <c r="L227" i="21" a="1"/>
  <c r="L227" i="21" s="1"/>
  <c r="M227" i="21" a="1"/>
  <c r="M227" i="21" s="1"/>
  <c r="N227" i="21" a="1"/>
  <c r="N227" i="21" s="1"/>
  <c r="O227" i="21" a="1"/>
  <c r="O227" i="21" s="1"/>
  <c r="P227" i="21" a="1"/>
  <c r="P227" i="21" s="1"/>
  <c r="Q227" i="21" a="1"/>
  <c r="Q227" i="21" s="1"/>
  <c r="R227" i="21" a="1"/>
  <c r="R227" i="21" s="1"/>
  <c r="U227" i="21" a="1"/>
  <c r="U227" i="21" s="1"/>
  <c r="V227" i="21" a="1"/>
  <c r="V227" i="21" s="1"/>
  <c r="W227" i="21" a="1"/>
  <c r="W227" i="21" s="1"/>
  <c r="X227" i="21" a="1"/>
  <c r="X227" i="21" s="1"/>
  <c r="K228" i="21" a="1"/>
  <c r="K228" i="21" s="1"/>
  <c r="L228" i="21" a="1"/>
  <c r="L228" i="21" s="1"/>
  <c r="M228" i="21" a="1"/>
  <c r="M228" i="21" s="1"/>
  <c r="N228" i="21" a="1"/>
  <c r="N228" i="21" s="1"/>
  <c r="O228" i="21" a="1"/>
  <c r="O228" i="21" s="1"/>
  <c r="P228" i="21" a="1"/>
  <c r="P228" i="21" s="1"/>
  <c r="Q228" i="21" a="1"/>
  <c r="Q228" i="21" s="1"/>
  <c r="R228" i="21" a="1"/>
  <c r="R228" i="21" s="1"/>
  <c r="U228" i="21" a="1"/>
  <c r="U228" i="21" s="1"/>
  <c r="V228" i="21" a="1"/>
  <c r="V228" i="21" s="1"/>
  <c r="W228" i="21" a="1"/>
  <c r="W228" i="21" s="1"/>
  <c r="X228" i="21" a="1"/>
  <c r="X228" i="21" s="1"/>
  <c r="K229" i="21" a="1"/>
  <c r="K229" i="21" s="1"/>
  <c r="L229" i="21" a="1"/>
  <c r="L229" i="21" s="1"/>
  <c r="M229" i="21" a="1"/>
  <c r="M229" i="21" s="1"/>
  <c r="N229" i="21" a="1"/>
  <c r="N229" i="21" s="1"/>
  <c r="O229" i="21" a="1"/>
  <c r="O229" i="21" s="1"/>
  <c r="P229" i="21" a="1"/>
  <c r="P229" i="21" s="1"/>
  <c r="Q229" i="21" a="1"/>
  <c r="Q229" i="21" s="1"/>
  <c r="R229" i="21" a="1"/>
  <c r="R229" i="21" s="1"/>
  <c r="U229" i="21" a="1"/>
  <c r="U229" i="21" s="1"/>
  <c r="V229" i="21" a="1"/>
  <c r="V229" i="21" s="1"/>
  <c r="W229" i="21" a="1"/>
  <c r="W229" i="21" s="1"/>
  <c r="X229" i="21" a="1"/>
  <c r="X229" i="21" s="1"/>
  <c r="K230" i="21" a="1"/>
  <c r="K230" i="21" s="1"/>
  <c r="L230" i="21" a="1"/>
  <c r="L230" i="21" s="1"/>
  <c r="M230" i="21" a="1"/>
  <c r="M230" i="21" s="1"/>
  <c r="N230" i="21" a="1"/>
  <c r="N230" i="21" s="1"/>
  <c r="O230" i="21" a="1"/>
  <c r="O230" i="21" s="1"/>
  <c r="P230" i="21" a="1"/>
  <c r="P230" i="21" s="1"/>
  <c r="Q230" i="21" a="1"/>
  <c r="Q230" i="21" s="1"/>
  <c r="R230" i="21" a="1"/>
  <c r="R230" i="21" s="1"/>
  <c r="U230" i="21" a="1"/>
  <c r="U230" i="21" s="1"/>
  <c r="V230" i="21" a="1"/>
  <c r="V230" i="21" s="1"/>
  <c r="W230" i="21" a="1"/>
  <c r="W230" i="21" s="1"/>
  <c r="X230" i="21" a="1"/>
  <c r="X230" i="21" s="1"/>
  <c r="K231" i="21" a="1"/>
  <c r="K231" i="21" s="1"/>
  <c r="L231" i="21" a="1"/>
  <c r="L231" i="21" s="1"/>
  <c r="M231" i="21" a="1"/>
  <c r="M231" i="21" s="1"/>
  <c r="N231" i="21" a="1"/>
  <c r="N231" i="21" s="1"/>
  <c r="O231" i="21" a="1"/>
  <c r="O231" i="21" s="1"/>
  <c r="P231" i="21" a="1"/>
  <c r="P231" i="21" s="1"/>
  <c r="Q231" i="21" a="1"/>
  <c r="Q231" i="21" s="1"/>
  <c r="R231" i="21" a="1"/>
  <c r="R231" i="21" s="1"/>
  <c r="U231" i="21" a="1"/>
  <c r="U231" i="21" s="1"/>
  <c r="V231" i="21" a="1"/>
  <c r="V231" i="21" s="1"/>
  <c r="W231" i="21" a="1"/>
  <c r="W231" i="21" s="1"/>
  <c r="X231" i="21" a="1"/>
  <c r="X231" i="21" s="1"/>
  <c r="K232" i="21" a="1"/>
  <c r="K232" i="21" s="1"/>
  <c r="L232" i="21" a="1"/>
  <c r="L232" i="21" s="1"/>
  <c r="M232" i="21" a="1"/>
  <c r="M232" i="21" s="1"/>
  <c r="N232" i="21" a="1"/>
  <c r="N232" i="21" s="1"/>
  <c r="O232" i="21" a="1"/>
  <c r="O232" i="21" s="1"/>
  <c r="P232" i="21" a="1"/>
  <c r="P232" i="21" s="1"/>
  <c r="Q232" i="21" a="1"/>
  <c r="Q232" i="21" s="1"/>
  <c r="R232" i="21" a="1"/>
  <c r="R232" i="21" s="1"/>
  <c r="U232" i="21" a="1"/>
  <c r="U232" i="21" s="1"/>
  <c r="V232" i="21" a="1"/>
  <c r="V232" i="21" s="1"/>
  <c r="W232" i="21" a="1"/>
  <c r="W232" i="21" s="1"/>
  <c r="X232" i="21" a="1"/>
  <c r="X232" i="21" s="1"/>
  <c r="K233" i="21" a="1"/>
  <c r="K233" i="21" s="1"/>
  <c r="L233" i="21" a="1"/>
  <c r="L233" i="21" s="1"/>
  <c r="M233" i="21" a="1"/>
  <c r="M233" i="21" s="1"/>
  <c r="N233" i="21" a="1"/>
  <c r="N233" i="21" s="1"/>
  <c r="O233" i="21" a="1"/>
  <c r="O233" i="21" s="1"/>
  <c r="P233" i="21" a="1"/>
  <c r="P233" i="21" s="1"/>
  <c r="Q233" i="21" a="1"/>
  <c r="Q233" i="21" s="1"/>
  <c r="R233" i="21" a="1"/>
  <c r="R233" i="21" s="1"/>
  <c r="U233" i="21" a="1"/>
  <c r="U233" i="21" s="1"/>
  <c r="V233" i="21" a="1"/>
  <c r="V233" i="21" s="1"/>
  <c r="W233" i="21" a="1"/>
  <c r="W233" i="21" s="1"/>
  <c r="X233" i="21" a="1"/>
  <c r="X233" i="21" s="1"/>
  <c r="K234" i="21" a="1"/>
  <c r="K234" i="21" s="1"/>
  <c r="L234" i="21" a="1"/>
  <c r="L234" i="21" s="1"/>
  <c r="M234" i="21" a="1"/>
  <c r="M234" i="21" s="1"/>
  <c r="N234" i="21" a="1"/>
  <c r="N234" i="21" s="1"/>
  <c r="O234" i="21" a="1"/>
  <c r="O234" i="21" s="1"/>
  <c r="P234" i="21" a="1"/>
  <c r="P234" i="21" s="1"/>
  <c r="Q234" i="21" a="1"/>
  <c r="Q234" i="21" s="1"/>
  <c r="R234" i="21" a="1"/>
  <c r="R234" i="21" s="1"/>
  <c r="U234" i="21" a="1"/>
  <c r="U234" i="21" s="1"/>
  <c r="V234" i="21" a="1"/>
  <c r="V234" i="21" s="1"/>
  <c r="W234" i="21" a="1"/>
  <c r="W234" i="21" s="1"/>
  <c r="X234" i="21" a="1"/>
  <c r="X234" i="21" s="1"/>
  <c r="K235" i="21" a="1"/>
  <c r="K235" i="21" s="1"/>
  <c r="L235" i="21" a="1"/>
  <c r="L235" i="21" s="1"/>
  <c r="M235" i="21" a="1"/>
  <c r="M235" i="21" s="1"/>
  <c r="N235" i="21" a="1"/>
  <c r="N235" i="21" s="1"/>
  <c r="O235" i="21" a="1"/>
  <c r="O235" i="21" s="1"/>
  <c r="P235" i="21" a="1"/>
  <c r="P235" i="21" s="1"/>
  <c r="Q235" i="21" a="1"/>
  <c r="Q235" i="21" s="1"/>
  <c r="R235" i="21" a="1"/>
  <c r="R235" i="21" s="1"/>
  <c r="U235" i="21" a="1"/>
  <c r="U235" i="21" s="1"/>
  <c r="V235" i="21" a="1"/>
  <c r="V235" i="21" s="1"/>
  <c r="W235" i="21" a="1"/>
  <c r="W235" i="21" s="1"/>
  <c r="X235" i="21" a="1"/>
  <c r="X235" i="21" s="1"/>
  <c r="K236" i="21" a="1"/>
  <c r="K236" i="21" s="1"/>
  <c r="L236" i="21" a="1"/>
  <c r="L236" i="21" s="1"/>
  <c r="M236" i="21" a="1"/>
  <c r="M236" i="21" s="1"/>
  <c r="N236" i="21" a="1"/>
  <c r="N236" i="21" s="1"/>
  <c r="O236" i="21" a="1"/>
  <c r="O236" i="21" s="1"/>
  <c r="P236" i="21" a="1"/>
  <c r="P236" i="21" s="1"/>
  <c r="Q236" i="21" a="1"/>
  <c r="Q236" i="21" s="1"/>
  <c r="R236" i="21" a="1"/>
  <c r="R236" i="21" s="1"/>
  <c r="U236" i="21" a="1"/>
  <c r="U236" i="21" s="1"/>
  <c r="V236" i="21" a="1"/>
  <c r="V236" i="21" s="1"/>
  <c r="W236" i="21" a="1"/>
  <c r="W236" i="21" s="1"/>
  <c r="X236" i="21" a="1"/>
  <c r="X236" i="21" s="1"/>
  <c r="K237" i="21" a="1"/>
  <c r="K237" i="21" s="1"/>
  <c r="L237" i="21" a="1"/>
  <c r="L237" i="21" s="1"/>
  <c r="M237" i="21" a="1"/>
  <c r="M237" i="21" s="1"/>
  <c r="N237" i="21" a="1"/>
  <c r="N237" i="21" s="1"/>
  <c r="O237" i="21" a="1"/>
  <c r="O237" i="21" s="1"/>
  <c r="P237" i="21" a="1"/>
  <c r="P237" i="21" s="1"/>
  <c r="Q237" i="21" a="1"/>
  <c r="Q237" i="21" s="1"/>
  <c r="R237" i="21" a="1"/>
  <c r="R237" i="21" s="1"/>
  <c r="U237" i="21" a="1"/>
  <c r="U237" i="21" s="1"/>
  <c r="V237" i="21" a="1"/>
  <c r="V237" i="21" s="1"/>
  <c r="W237" i="21" a="1"/>
  <c r="W237" i="21" s="1"/>
  <c r="X237" i="21" a="1"/>
  <c r="X237" i="21" s="1"/>
  <c r="K238" i="21" a="1"/>
  <c r="K238" i="21" s="1"/>
  <c r="L238" i="21" a="1"/>
  <c r="L238" i="21" s="1"/>
  <c r="M238" i="21" a="1"/>
  <c r="M238" i="21" s="1"/>
  <c r="N238" i="21" a="1"/>
  <c r="N238" i="21" s="1"/>
  <c r="O238" i="21" a="1"/>
  <c r="O238" i="21" s="1"/>
  <c r="P238" i="21" a="1"/>
  <c r="P238" i="21" s="1"/>
  <c r="Q238" i="21" a="1"/>
  <c r="Q238" i="21" s="1"/>
  <c r="R238" i="21" a="1"/>
  <c r="R238" i="21" s="1"/>
  <c r="U238" i="21" a="1"/>
  <c r="U238" i="21" s="1"/>
  <c r="V238" i="21" a="1"/>
  <c r="V238" i="21" s="1"/>
  <c r="W238" i="21" a="1"/>
  <c r="W238" i="21" s="1"/>
  <c r="X238" i="21" a="1"/>
  <c r="X238" i="21" s="1"/>
  <c r="K239" i="21" a="1"/>
  <c r="K239" i="21" s="1"/>
  <c r="L239" i="21" a="1"/>
  <c r="L239" i="21" s="1"/>
  <c r="M239" i="21" a="1"/>
  <c r="M239" i="21" s="1"/>
  <c r="N239" i="21" a="1"/>
  <c r="N239" i="21" s="1"/>
  <c r="O239" i="21" a="1"/>
  <c r="O239" i="21" s="1"/>
  <c r="P239" i="21" a="1"/>
  <c r="P239" i="21" s="1"/>
  <c r="Q239" i="21" a="1"/>
  <c r="Q239" i="21" s="1"/>
  <c r="R239" i="21" a="1"/>
  <c r="R239" i="21" s="1"/>
  <c r="U239" i="21" a="1"/>
  <c r="U239" i="21" s="1"/>
  <c r="V239" i="21" a="1"/>
  <c r="V239" i="21" s="1"/>
  <c r="W239" i="21" a="1"/>
  <c r="W239" i="21" s="1"/>
  <c r="X239" i="21" a="1"/>
  <c r="X239" i="21" s="1"/>
  <c r="K240" i="21" a="1"/>
  <c r="K240" i="21" s="1"/>
  <c r="L240" i="21" a="1"/>
  <c r="L240" i="21" s="1"/>
  <c r="M240" i="21" a="1"/>
  <c r="M240" i="21" s="1"/>
  <c r="N240" i="21" a="1"/>
  <c r="N240" i="21" s="1"/>
  <c r="O240" i="21" a="1"/>
  <c r="O240" i="21" s="1"/>
  <c r="P240" i="21" a="1"/>
  <c r="P240" i="21" s="1"/>
  <c r="Q240" i="21" a="1"/>
  <c r="Q240" i="21" s="1"/>
  <c r="R240" i="21" a="1"/>
  <c r="R240" i="21" s="1"/>
  <c r="U240" i="21" a="1"/>
  <c r="U240" i="21" s="1"/>
  <c r="V240" i="21" a="1"/>
  <c r="V240" i="21" s="1"/>
  <c r="W240" i="21" a="1"/>
  <c r="W240" i="21" s="1"/>
  <c r="X240" i="21" a="1"/>
  <c r="X240" i="21" s="1"/>
  <c r="K241" i="21" a="1"/>
  <c r="K241" i="21" s="1"/>
  <c r="L241" i="21" a="1"/>
  <c r="L241" i="21" s="1"/>
  <c r="M241" i="21" a="1"/>
  <c r="M241" i="21" s="1"/>
  <c r="N241" i="21" a="1"/>
  <c r="N241" i="21" s="1"/>
  <c r="O241" i="21" a="1"/>
  <c r="O241" i="21" s="1"/>
  <c r="P241" i="21" a="1"/>
  <c r="P241" i="21" s="1"/>
  <c r="Q241" i="21" a="1"/>
  <c r="Q241" i="21" s="1"/>
  <c r="R241" i="21" a="1"/>
  <c r="R241" i="21" s="1"/>
  <c r="U241" i="21" a="1"/>
  <c r="U241" i="21" s="1"/>
  <c r="V241" i="21" a="1"/>
  <c r="V241" i="21" s="1"/>
  <c r="W241" i="21" a="1"/>
  <c r="W241" i="21" s="1"/>
  <c r="X241" i="21" a="1"/>
  <c r="X241" i="21" s="1"/>
  <c r="K242" i="21" a="1"/>
  <c r="K242" i="21" s="1"/>
  <c r="L242" i="21" a="1"/>
  <c r="L242" i="21" s="1"/>
  <c r="M242" i="21" a="1"/>
  <c r="M242" i="21" s="1"/>
  <c r="N242" i="21" a="1"/>
  <c r="N242" i="21" s="1"/>
  <c r="O242" i="21" a="1"/>
  <c r="O242" i="21" s="1"/>
  <c r="P242" i="21" a="1"/>
  <c r="P242" i="21" s="1"/>
  <c r="Q242" i="21" a="1"/>
  <c r="Q242" i="21" s="1"/>
  <c r="R242" i="21" a="1"/>
  <c r="R242" i="21" s="1"/>
  <c r="U242" i="21" a="1"/>
  <c r="U242" i="21" s="1"/>
  <c r="V242" i="21" a="1"/>
  <c r="V242" i="21" s="1"/>
  <c r="W242" i="21" a="1"/>
  <c r="W242" i="21" s="1"/>
  <c r="X242" i="21" a="1"/>
  <c r="X242" i="21" s="1"/>
  <c r="K243" i="21" a="1"/>
  <c r="K243" i="21" s="1"/>
  <c r="L243" i="21" a="1"/>
  <c r="L243" i="21" s="1"/>
  <c r="M243" i="21" a="1"/>
  <c r="M243" i="21" s="1"/>
  <c r="N243" i="21" a="1"/>
  <c r="N243" i="21" s="1"/>
  <c r="O243" i="21" a="1"/>
  <c r="O243" i="21" s="1"/>
  <c r="P243" i="21" a="1"/>
  <c r="P243" i="21" s="1"/>
  <c r="Q243" i="21" a="1"/>
  <c r="Q243" i="21" s="1"/>
  <c r="R243" i="21" a="1"/>
  <c r="R243" i="21" s="1"/>
  <c r="U243" i="21" a="1"/>
  <c r="U243" i="21" s="1"/>
  <c r="V243" i="21" a="1"/>
  <c r="V243" i="21" s="1"/>
  <c r="W243" i="21" a="1"/>
  <c r="W243" i="21" s="1"/>
  <c r="X243" i="21" a="1"/>
  <c r="X243" i="21" s="1"/>
  <c r="K244" i="21" a="1"/>
  <c r="K244" i="21" s="1"/>
  <c r="L244" i="21" a="1"/>
  <c r="L244" i="21" s="1"/>
  <c r="M244" i="21" a="1"/>
  <c r="M244" i="21" s="1"/>
  <c r="N244" i="21" a="1"/>
  <c r="N244" i="21" s="1"/>
  <c r="O244" i="21" a="1"/>
  <c r="O244" i="21" s="1"/>
  <c r="P244" i="21" a="1"/>
  <c r="P244" i="21" s="1"/>
  <c r="Q244" i="21" a="1"/>
  <c r="Q244" i="21" s="1"/>
  <c r="R244" i="21" a="1"/>
  <c r="R244" i="21" s="1"/>
  <c r="U244" i="21" a="1"/>
  <c r="U244" i="21" s="1"/>
  <c r="V244" i="21" a="1"/>
  <c r="V244" i="21" s="1"/>
  <c r="W244" i="21" a="1"/>
  <c r="W244" i="21" s="1"/>
  <c r="X244" i="21" a="1"/>
  <c r="X244" i="21" s="1"/>
  <c r="K245" i="21" a="1"/>
  <c r="K245" i="21" s="1"/>
  <c r="L245" i="21" a="1"/>
  <c r="L245" i="21" s="1"/>
  <c r="M245" i="21" a="1"/>
  <c r="M245" i="21" s="1"/>
  <c r="N245" i="21" a="1"/>
  <c r="N245" i="21" s="1"/>
  <c r="O245" i="21" a="1"/>
  <c r="O245" i="21" s="1"/>
  <c r="P245" i="21" a="1"/>
  <c r="P245" i="21" s="1"/>
  <c r="Q245" i="21" a="1"/>
  <c r="Q245" i="21" s="1"/>
  <c r="R245" i="21" a="1"/>
  <c r="R245" i="21" s="1"/>
  <c r="U245" i="21" a="1"/>
  <c r="U245" i="21" s="1"/>
  <c r="V245" i="21" a="1"/>
  <c r="V245" i="21" s="1"/>
  <c r="W245" i="21" a="1"/>
  <c r="W245" i="21" s="1"/>
  <c r="X245" i="21" a="1"/>
  <c r="X245" i="21" s="1"/>
  <c r="K246" i="21" a="1"/>
  <c r="K246" i="21" s="1"/>
  <c r="L246" i="21" a="1"/>
  <c r="L246" i="21" s="1"/>
  <c r="M246" i="21" a="1"/>
  <c r="M246" i="21" s="1"/>
  <c r="N246" i="21" a="1"/>
  <c r="N246" i="21" s="1"/>
  <c r="O246" i="21" a="1"/>
  <c r="O246" i="21" s="1"/>
  <c r="P246" i="21" a="1"/>
  <c r="P246" i="21" s="1"/>
  <c r="Q246" i="21" a="1"/>
  <c r="Q246" i="21" s="1"/>
  <c r="R246" i="21" a="1"/>
  <c r="R246" i="21" s="1"/>
  <c r="U246" i="21" a="1"/>
  <c r="U246" i="21" s="1"/>
  <c r="V246" i="21" a="1"/>
  <c r="V246" i="21" s="1"/>
  <c r="W246" i="21" a="1"/>
  <c r="W246" i="21" s="1"/>
  <c r="X246" i="21" a="1"/>
  <c r="X246" i="21" s="1"/>
  <c r="K247" i="21" a="1"/>
  <c r="K247" i="21" s="1"/>
  <c r="L247" i="21" a="1"/>
  <c r="L247" i="21" s="1"/>
  <c r="M247" i="21" a="1"/>
  <c r="M247" i="21" s="1"/>
  <c r="N247" i="21" a="1"/>
  <c r="N247" i="21" s="1"/>
  <c r="O247" i="21" a="1"/>
  <c r="O247" i="21" s="1"/>
  <c r="P247" i="21" a="1"/>
  <c r="P247" i="21" s="1"/>
  <c r="Q247" i="21" a="1"/>
  <c r="Q247" i="21" s="1"/>
  <c r="R247" i="21" a="1"/>
  <c r="R247" i="21" s="1"/>
  <c r="U247" i="21" a="1"/>
  <c r="U247" i="21" s="1"/>
  <c r="V247" i="21" a="1"/>
  <c r="V247" i="21" s="1"/>
  <c r="W247" i="21" a="1"/>
  <c r="W247" i="21" s="1"/>
  <c r="X247" i="21" a="1"/>
  <c r="X247" i="21" s="1"/>
  <c r="K248" i="21" a="1"/>
  <c r="K248" i="21" s="1"/>
  <c r="L248" i="21" a="1"/>
  <c r="L248" i="21" s="1"/>
  <c r="M248" i="21" a="1"/>
  <c r="M248" i="21" s="1"/>
  <c r="N248" i="21" a="1"/>
  <c r="N248" i="21" s="1"/>
  <c r="O248" i="21" a="1"/>
  <c r="O248" i="21" s="1"/>
  <c r="P248" i="21" a="1"/>
  <c r="P248" i="21" s="1"/>
  <c r="Q248" i="21" a="1"/>
  <c r="Q248" i="21" s="1"/>
  <c r="R248" i="21" a="1"/>
  <c r="R248" i="21" s="1"/>
  <c r="U248" i="21" a="1"/>
  <c r="U248" i="21" s="1"/>
  <c r="V248" i="21" a="1"/>
  <c r="V248" i="21" s="1"/>
  <c r="W248" i="21" a="1"/>
  <c r="W248" i="21" s="1"/>
  <c r="X248" i="21" a="1"/>
  <c r="X248" i="21" s="1"/>
  <c r="K249" i="21" a="1"/>
  <c r="K249" i="21" s="1"/>
  <c r="L249" i="21" a="1"/>
  <c r="L249" i="21" s="1"/>
  <c r="M249" i="21" a="1"/>
  <c r="M249" i="21" s="1"/>
  <c r="N249" i="21" a="1"/>
  <c r="N249" i="21" s="1"/>
  <c r="O249" i="21" a="1"/>
  <c r="O249" i="21" s="1"/>
  <c r="P249" i="21" a="1"/>
  <c r="P249" i="21" s="1"/>
  <c r="Q249" i="21" a="1"/>
  <c r="Q249" i="21" s="1"/>
  <c r="R249" i="21" a="1"/>
  <c r="R249" i="21" s="1"/>
  <c r="U249" i="21" a="1"/>
  <c r="U249" i="21" s="1"/>
  <c r="V249" i="21" a="1"/>
  <c r="V249" i="21" s="1"/>
  <c r="W249" i="21" a="1"/>
  <c r="W249" i="21" s="1"/>
  <c r="X249" i="21" a="1"/>
  <c r="X249" i="21" s="1"/>
  <c r="K250" i="21" a="1"/>
  <c r="K250" i="21" s="1"/>
  <c r="L250" i="21" a="1"/>
  <c r="L250" i="21" s="1"/>
  <c r="M250" i="21" a="1"/>
  <c r="M250" i="21" s="1"/>
  <c r="N250" i="21" a="1"/>
  <c r="N250" i="21" s="1"/>
  <c r="O250" i="21" a="1"/>
  <c r="O250" i="21" s="1"/>
  <c r="P250" i="21" a="1"/>
  <c r="P250" i="21" s="1"/>
  <c r="Q250" i="21" a="1"/>
  <c r="Q250" i="21" s="1"/>
  <c r="R250" i="21" a="1"/>
  <c r="R250" i="21" s="1"/>
  <c r="U250" i="21" a="1"/>
  <c r="U250" i="21" s="1"/>
  <c r="V250" i="21" a="1"/>
  <c r="V250" i="21" s="1"/>
  <c r="W250" i="21" a="1"/>
  <c r="W250" i="21" s="1"/>
  <c r="X250" i="21" a="1"/>
  <c r="X250" i="21" s="1"/>
  <c r="K251" i="21" a="1"/>
  <c r="K251" i="21" s="1"/>
  <c r="L251" i="21" a="1"/>
  <c r="L251" i="21" s="1"/>
  <c r="M251" i="21" a="1"/>
  <c r="M251" i="21" s="1"/>
  <c r="N251" i="21" a="1"/>
  <c r="N251" i="21" s="1"/>
  <c r="O251" i="21" a="1"/>
  <c r="O251" i="21" s="1"/>
  <c r="P251" i="21" a="1"/>
  <c r="P251" i="21" s="1"/>
  <c r="Q251" i="21" a="1"/>
  <c r="Q251" i="21" s="1"/>
  <c r="R251" i="21" a="1"/>
  <c r="R251" i="21" s="1"/>
  <c r="U251" i="21" a="1"/>
  <c r="U251" i="21" s="1"/>
  <c r="V251" i="21" a="1"/>
  <c r="V251" i="21" s="1"/>
  <c r="W251" i="21" a="1"/>
  <c r="W251" i="21" s="1"/>
  <c r="X251" i="21" a="1"/>
  <c r="X251" i="21" s="1"/>
  <c r="K252" i="21" a="1"/>
  <c r="K252" i="21" s="1"/>
  <c r="L252" i="21" a="1"/>
  <c r="L252" i="21" s="1"/>
  <c r="M252" i="21" a="1"/>
  <c r="M252" i="21" s="1"/>
  <c r="N252" i="21" a="1"/>
  <c r="N252" i="21" s="1"/>
  <c r="O252" i="21" a="1"/>
  <c r="O252" i="21" s="1"/>
  <c r="P252" i="21" a="1"/>
  <c r="P252" i="21" s="1"/>
  <c r="Q252" i="21" a="1"/>
  <c r="Q252" i="21" s="1"/>
  <c r="R252" i="21" a="1"/>
  <c r="R252" i="21" s="1"/>
  <c r="U252" i="21" a="1"/>
  <c r="U252" i="21" s="1"/>
  <c r="V252" i="21" a="1"/>
  <c r="V252" i="21" s="1"/>
  <c r="W252" i="21" a="1"/>
  <c r="W252" i="21" s="1"/>
  <c r="X252" i="21" a="1"/>
  <c r="X252" i="21" s="1"/>
  <c r="K253" i="21" a="1"/>
  <c r="K253" i="21" s="1"/>
  <c r="L253" i="21" a="1"/>
  <c r="L253" i="21" s="1"/>
  <c r="M253" i="21" a="1"/>
  <c r="M253" i="21" s="1"/>
  <c r="N253" i="21" a="1"/>
  <c r="N253" i="21" s="1"/>
  <c r="O253" i="21" a="1"/>
  <c r="O253" i="21" s="1"/>
  <c r="P253" i="21" a="1"/>
  <c r="P253" i="21" s="1"/>
  <c r="Q253" i="21" a="1"/>
  <c r="Q253" i="21" s="1"/>
  <c r="R253" i="21" a="1"/>
  <c r="R253" i="21" s="1"/>
  <c r="U253" i="21" a="1"/>
  <c r="U253" i="21" s="1"/>
  <c r="V253" i="21" a="1"/>
  <c r="V253" i="21" s="1"/>
  <c r="W253" i="21" a="1"/>
  <c r="W253" i="21" s="1"/>
  <c r="X253" i="21" a="1"/>
  <c r="X253" i="21" s="1"/>
  <c r="K254" i="21" a="1"/>
  <c r="K254" i="21" s="1"/>
  <c r="L254" i="21" a="1"/>
  <c r="L254" i="21" s="1"/>
  <c r="M254" i="21" a="1"/>
  <c r="M254" i="21" s="1"/>
  <c r="N254" i="21" a="1"/>
  <c r="N254" i="21" s="1"/>
  <c r="O254" i="21" a="1"/>
  <c r="O254" i="21" s="1"/>
  <c r="P254" i="21" a="1"/>
  <c r="P254" i="21" s="1"/>
  <c r="Q254" i="21" a="1"/>
  <c r="Q254" i="21" s="1"/>
  <c r="R254" i="21" a="1"/>
  <c r="R254" i="21" s="1"/>
  <c r="U254" i="21" a="1"/>
  <c r="U254" i="21" s="1"/>
  <c r="V254" i="21" a="1"/>
  <c r="V254" i="21" s="1"/>
  <c r="W254" i="21" a="1"/>
  <c r="W254" i="21" s="1"/>
  <c r="X254" i="21" a="1"/>
  <c r="X254" i="21" s="1"/>
  <c r="K255" i="21" a="1"/>
  <c r="K255" i="21" s="1"/>
  <c r="L255" i="21" a="1"/>
  <c r="L255" i="21" s="1"/>
  <c r="M255" i="21" a="1"/>
  <c r="M255" i="21" s="1"/>
  <c r="N255" i="21" a="1"/>
  <c r="N255" i="21" s="1"/>
  <c r="O255" i="21" a="1"/>
  <c r="O255" i="21" s="1"/>
  <c r="P255" i="21" a="1"/>
  <c r="P255" i="21" s="1"/>
  <c r="Q255" i="21" a="1"/>
  <c r="Q255" i="21" s="1"/>
  <c r="R255" i="21" a="1"/>
  <c r="R255" i="21" s="1"/>
  <c r="U255" i="21" a="1"/>
  <c r="U255" i="21" s="1"/>
  <c r="V255" i="21" a="1"/>
  <c r="V255" i="21" s="1"/>
  <c r="W255" i="21" a="1"/>
  <c r="W255" i="21" s="1"/>
  <c r="X255" i="21" a="1"/>
  <c r="X255" i="21" s="1"/>
  <c r="K256" i="21" a="1"/>
  <c r="K256" i="21" s="1"/>
  <c r="L256" i="21" a="1"/>
  <c r="L256" i="21" s="1"/>
  <c r="M256" i="21" a="1"/>
  <c r="M256" i="21" s="1"/>
  <c r="N256" i="21" a="1"/>
  <c r="N256" i="21" s="1"/>
  <c r="O256" i="21" a="1"/>
  <c r="O256" i="21" s="1"/>
  <c r="P256" i="21" a="1"/>
  <c r="P256" i="21" s="1"/>
  <c r="Q256" i="21" a="1"/>
  <c r="Q256" i="21" s="1"/>
  <c r="R256" i="21" a="1"/>
  <c r="R256" i="21" s="1"/>
  <c r="U256" i="21" a="1"/>
  <c r="U256" i="21" s="1"/>
  <c r="V256" i="21" a="1"/>
  <c r="V256" i="21" s="1"/>
  <c r="W256" i="21" a="1"/>
  <c r="W256" i="21" s="1"/>
  <c r="X256" i="21" a="1"/>
  <c r="X256" i="21" s="1"/>
  <c r="K257" i="21" a="1"/>
  <c r="K257" i="21" s="1"/>
  <c r="L257" i="21" a="1"/>
  <c r="L257" i="21" s="1"/>
  <c r="M257" i="21" a="1"/>
  <c r="M257" i="21" s="1"/>
  <c r="N257" i="21" a="1"/>
  <c r="N257" i="21" s="1"/>
  <c r="O257" i="21" a="1"/>
  <c r="O257" i="21" s="1"/>
  <c r="P257" i="21" a="1"/>
  <c r="P257" i="21" s="1"/>
  <c r="Q257" i="21" a="1"/>
  <c r="Q257" i="21" s="1"/>
  <c r="R257" i="21" a="1"/>
  <c r="R257" i="21" s="1"/>
  <c r="U257" i="21" a="1"/>
  <c r="U257" i="21" s="1"/>
  <c r="V257" i="21" a="1"/>
  <c r="V257" i="21" s="1"/>
  <c r="W257" i="21" a="1"/>
  <c r="W257" i="21" s="1"/>
  <c r="X257" i="21" a="1"/>
  <c r="X257" i="21" s="1"/>
  <c r="X2" i="21" a="1"/>
  <c r="X2" i="21" s="1"/>
  <c r="W2" i="21" a="1"/>
  <c r="W2" i="21" s="1"/>
  <c r="V2" i="21" a="1"/>
  <c r="V2" i="21" s="1"/>
  <c r="U2" i="21" a="1"/>
  <c r="U2" i="21" s="1"/>
  <c r="R2" i="21" a="1"/>
  <c r="R2" i="21" s="1"/>
  <c r="Q2" i="21" a="1"/>
  <c r="Q2" i="21" s="1"/>
  <c r="P2" i="21" a="1"/>
  <c r="P2" i="21" s="1"/>
  <c r="O2" i="21" a="1"/>
  <c r="O2" i="21" s="1"/>
  <c r="N2" i="21" a="1"/>
  <c r="N2" i="21" s="1"/>
  <c r="M2" i="21" a="1"/>
  <c r="M2" i="21" s="1"/>
  <c r="L2" i="21" a="1"/>
  <c r="L2" i="21" s="1"/>
  <c r="K2" i="21" a="1"/>
  <c r="K2" i="21" s="1"/>
  <c r="K3" i="20" a="1"/>
  <c r="K3" i="20" s="1"/>
  <c r="L3" i="20" a="1"/>
  <c r="L3" i="20" s="1"/>
  <c r="M3" i="20" a="1"/>
  <c r="M3" i="20" s="1"/>
  <c r="N3" i="20" a="1"/>
  <c r="N3" i="20" s="1"/>
  <c r="O3" i="20" a="1"/>
  <c r="O3" i="20" s="1"/>
  <c r="P3" i="20" a="1"/>
  <c r="P3" i="20" s="1"/>
  <c r="Q3" i="20" a="1"/>
  <c r="Q3" i="20" s="1"/>
  <c r="R3" i="20" a="1"/>
  <c r="R3" i="20" s="1"/>
  <c r="U3" i="20" a="1"/>
  <c r="U3" i="20" s="1"/>
  <c r="V3" i="20" a="1"/>
  <c r="V3" i="20" s="1"/>
  <c r="W3" i="20" a="1"/>
  <c r="W3" i="20" s="1"/>
  <c r="X3" i="20" a="1"/>
  <c r="X3" i="20" s="1"/>
  <c r="K4" i="20" a="1"/>
  <c r="K4" i="20" s="1"/>
  <c r="L4" i="20" a="1"/>
  <c r="L4" i="20" s="1"/>
  <c r="M4" i="20" a="1"/>
  <c r="M4" i="20" s="1"/>
  <c r="N4" i="20" a="1"/>
  <c r="N4" i="20" s="1"/>
  <c r="O4" i="20" a="1"/>
  <c r="O4" i="20" s="1"/>
  <c r="P4" i="20" a="1"/>
  <c r="P4" i="20" s="1"/>
  <c r="Q4" i="20" a="1"/>
  <c r="Q4" i="20" s="1"/>
  <c r="R4" i="20" a="1"/>
  <c r="R4" i="20" s="1"/>
  <c r="U4" i="20" a="1"/>
  <c r="U4" i="20" s="1"/>
  <c r="V4" i="20" a="1"/>
  <c r="V4" i="20" s="1"/>
  <c r="W4" i="20" a="1"/>
  <c r="W4" i="20" s="1"/>
  <c r="X4" i="20" a="1"/>
  <c r="X4" i="20" s="1"/>
  <c r="K5" i="20" a="1"/>
  <c r="K5" i="20" s="1"/>
  <c r="L5" i="20" a="1"/>
  <c r="L5" i="20" s="1"/>
  <c r="M5" i="20" a="1"/>
  <c r="M5" i="20" s="1"/>
  <c r="N5" i="20" a="1"/>
  <c r="N5" i="20" s="1"/>
  <c r="O5" i="20" a="1"/>
  <c r="O5" i="20" s="1"/>
  <c r="P5" i="20" a="1"/>
  <c r="P5" i="20" s="1"/>
  <c r="Q5" i="20" a="1"/>
  <c r="Q5" i="20" s="1"/>
  <c r="R5" i="20" a="1"/>
  <c r="R5" i="20" s="1"/>
  <c r="U5" i="20" a="1"/>
  <c r="U5" i="20" s="1"/>
  <c r="V5" i="20" a="1"/>
  <c r="V5" i="20" s="1"/>
  <c r="W5" i="20" a="1"/>
  <c r="W5" i="20" s="1"/>
  <c r="X5" i="20" a="1"/>
  <c r="X5" i="20" s="1"/>
  <c r="K6" i="20" a="1"/>
  <c r="K6" i="20" s="1"/>
  <c r="L6" i="20" a="1"/>
  <c r="L6" i="20" s="1"/>
  <c r="M6" i="20" a="1"/>
  <c r="M6" i="20" s="1"/>
  <c r="N6" i="20" a="1"/>
  <c r="N6" i="20" s="1"/>
  <c r="O6" i="20" a="1"/>
  <c r="O6" i="20" s="1"/>
  <c r="P6" i="20" a="1"/>
  <c r="P6" i="20" s="1"/>
  <c r="Q6" i="20" a="1"/>
  <c r="Q6" i="20" s="1"/>
  <c r="R6" i="20" a="1"/>
  <c r="R6" i="20" s="1"/>
  <c r="U6" i="20" a="1"/>
  <c r="U6" i="20" s="1"/>
  <c r="V6" i="20" a="1"/>
  <c r="V6" i="20" s="1"/>
  <c r="W6" i="20" a="1"/>
  <c r="W6" i="20" s="1"/>
  <c r="X6" i="20" a="1"/>
  <c r="X6" i="20" s="1"/>
  <c r="K7" i="20" a="1"/>
  <c r="K7" i="20" s="1"/>
  <c r="L7" i="20" a="1"/>
  <c r="L7" i="20" s="1"/>
  <c r="M7" i="20" a="1"/>
  <c r="M7" i="20" s="1"/>
  <c r="N7" i="20" a="1"/>
  <c r="N7" i="20" s="1"/>
  <c r="O7" i="20" a="1"/>
  <c r="O7" i="20" s="1"/>
  <c r="P7" i="20" a="1"/>
  <c r="P7" i="20" s="1"/>
  <c r="Q7" i="20" a="1"/>
  <c r="Q7" i="20" s="1"/>
  <c r="R7" i="20" a="1"/>
  <c r="R7" i="20" s="1"/>
  <c r="U7" i="20" a="1"/>
  <c r="U7" i="20" s="1"/>
  <c r="V7" i="20" a="1"/>
  <c r="V7" i="20" s="1"/>
  <c r="W7" i="20" a="1"/>
  <c r="W7" i="20" s="1"/>
  <c r="X7" i="20" a="1"/>
  <c r="X7" i="20" s="1"/>
  <c r="K8" i="20" a="1"/>
  <c r="K8" i="20" s="1"/>
  <c r="L8" i="20" a="1"/>
  <c r="L8" i="20" s="1"/>
  <c r="M8" i="20" a="1"/>
  <c r="M8" i="20" s="1"/>
  <c r="N8" i="20" a="1"/>
  <c r="N8" i="20" s="1"/>
  <c r="O8" i="20" a="1"/>
  <c r="O8" i="20" s="1"/>
  <c r="P8" i="20" a="1"/>
  <c r="P8" i="20" s="1"/>
  <c r="Q8" i="20" a="1"/>
  <c r="Q8" i="20" s="1"/>
  <c r="R8" i="20" a="1"/>
  <c r="R8" i="20" s="1"/>
  <c r="U8" i="20" a="1"/>
  <c r="U8" i="20" s="1"/>
  <c r="V8" i="20" a="1"/>
  <c r="V8" i="20" s="1"/>
  <c r="W8" i="20" a="1"/>
  <c r="W8" i="20" s="1"/>
  <c r="X8" i="20" a="1"/>
  <c r="X8" i="20" s="1"/>
  <c r="K9" i="20" a="1"/>
  <c r="K9" i="20" s="1"/>
  <c r="L9" i="20" a="1"/>
  <c r="L9" i="20" s="1"/>
  <c r="M9" i="20" a="1"/>
  <c r="M9" i="20" s="1"/>
  <c r="N9" i="20" a="1"/>
  <c r="N9" i="20" s="1"/>
  <c r="O9" i="20" a="1"/>
  <c r="O9" i="20" s="1"/>
  <c r="P9" i="20" a="1"/>
  <c r="P9" i="20" s="1"/>
  <c r="Q9" i="20" a="1"/>
  <c r="Q9" i="20" s="1"/>
  <c r="R9" i="20" a="1"/>
  <c r="R9" i="20" s="1"/>
  <c r="U9" i="20" a="1"/>
  <c r="U9" i="20" s="1"/>
  <c r="V9" i="20" a="1"/>
  <c r="V9" i="20" s="1"/>
  <c r="W9" i="20" a="1"/>
  <c r="W9" i="20" s="1"/>
  <c r="X9" i="20" a="1"/>
  <c r="X9" i="20" s="1"/>
  <c r="K10" i="20" a="1"/>
  <c r="K10" i="20" s="1"/>
  <c r="L10" i="20" a="1"/>
  <c r="L10" i="20" s="1"/>
  <c r="M10" i="20" a="1"/>
  <c r="M10" i="20" s="1"/>
  <c r="N10" i="20" a="1"/>
  <c r="N10" i="20" s="1"/>
  <c r="O10" i="20" a="1"/>
  <c r="O10" i="20" s="1"/>
  <c r="P10" i="20" a="1"/>
  <c r="P10" i="20" s="1"/>
  <c r="Q10" i="20" a="1"/>
  <c r="Q10" i="20" s="1"/>
  <c r="R10" i="20" a="1"/>
  <c r="R10" i="20" s="1"/>
  <c r="U10" i="20" a="1"/>
  <c r="U10" i="20" s="1"/>
  <c r="V10" i="20" a="1"/>
  <c r="V10" i="20" s="1"/>
  <c r="W10" i="20" a="1"/>
  <c r="W10" i="20" s="1"/>
  <c r="X10" i="20" a="1"/>
  <c r="X10" i="20" s="1"/>
  <c r="K11" i="20" a="1"/>
  <c r="K11" i="20" s="1"/>
  <c r="L11" i="20" a="1"/>
  <c r="L11" i="20" s="1"/>
  <c r="M11" i="20" a="1"/>
  <c r="M11" i="20" s="1"/>
  <c r="N11" i="20" a="1"/>
  <c r="N11" i="20" s="1"/>
  <c r="O11" i="20" a="1"/>
  <c r="O11" i="20" s="1"/>
  <c r="P11" i="20" a="1"/>
  <c r="P11" i="20" s="1"/>
  <c r="Q11" i="20" a="1"/>
  <c r="Q11" i="20" s="1"/>
  <c r="R11" i="20" a="1"/>
  <c r="R11" i="20" s="1"/>
  <c r="U11" i="20" a="1"/>
  <c r="U11" i="20" s="1"/>
  <c r="V11" i="20" a="1"/>
  <c r="V11" i="20" s="1"/>
  <c r="W11" i="20" a="1"/>
  <c r="W11" i="20" s="1"/>
  <c r="X11" i="20" a="1"/>
  <c r="X11" i="20" s="1"/>
  <c r="K12" i="20" a="1"/>
  <c r="K12" i="20" s="1"/>
  <c r="L12" i="20" a="1"/>
  <c r="L12" i="20" s="1"/>
  <c r="M12" i="20" a="1"/>
  <c r="M12" i="20" s="1"/>
  <c r="N12" i="20" a="1"/>
  <c r="N12" i="20" s="1"/>
  <c r="O12" i="20" a="1"/>
  <c r="O12" i="20" s="1"/>
  <c r="P12" i="20" a="1"/>
  <c r="P12" i="20" s="1"/>
  <c r="Q12" i="20" a="1"/>
  <c r="Q12" i="20" s="1"/>
  <c r="R12" i="20" a="1"/>
  <c r="R12" i="20" s="1"/>
  <c r="U12" i="20" a="1"/>
  <c r="U12" i="20" s="1"/>
  <c r="V12" i="20" a="1"/>
  <c r="V12" i="20" s="1"/>
  <c r="W12" i="20" a="1"/>
  <c r="W12" i="20" s="1"/>
  <c r="X12" i="20" a="1"/>
  <c r="X12" i="20" s="1"/>
  <c r="K13" i="20" a="1"/>
  <c r="K13" i="20" s="1"/>
  <c r="L13" i="20" a="1"/>
  <c r="L13" i="20" s="1"/>
  <c r="M13" i="20" a="1"/>
  <c r="M13" i="20" s="1"/>
  <c r="N13" i="20" a="1"/>
  <c r="N13" i="20" s="1"/>
  <c r="O13" i="20" a="1"/>
  <c r="O13" i="20" s="1"/>
  <c r="P13" i="20" a="1"/>
  <c r="P13" i="20" s="1"/>
  <c r="Q13" i="20" a="1"/>
  <c r="Q13" i="20" s="1"/>
  <c r="R13" i="20" a="1"/>
  <c r="R13" i="20" s="1"/>
  <c r="U13" i="20" a="1"/>
  <c r="U13" i="20" s="1"/>
  <c r="V13" i="20" a="1"/>
  <c r="V13" i="20" s="1"/>
  <c r="W13" i="20" a="1"/>
  <c r="W13" i="20" s="1"/>
  <c r="X13" i="20" a="1"/>
  <c r="X13" i="20" s="1"/>
  <c r="K14" i="20" a="1"/>
  <c r="K14" i="20" s="1"/>
  <c r="L14" i="20" a="1"/>
  <c r="L14" i="20" s="1"/>
  <c r="M14" i="20" a="1"/>
  <c r="M14" i="20" s="1"/>
  <c r="N14" i="20" a="1"/>
  <c r="N14" i="20" s="1"/>
  <c r="O14" i="20" a="1"/>
  <c r="O14" i="20" s="1"/>
  <c r="P14" i="20" a="1"/>
  <c r="P14" i="20" s="1"/>
  <c r="Q14" i="20" a="1"/>
  <c r="Q14" i="20" s="1"/>
  <c r="R14" i="20" a="1"/>
  <c r="R14" i="20" s="1"/>
  <c r="U14" i="20" a="1"/>
  <c r="U14" i="20" s="1"/>
  <c r="V14" i="20" a="1"/>
  <c r="V14" i="20" s="1"/>
  <c r="W14" i="20" a="1"/>
  <c r="W14" i="20" s="1"/>
  <c r="X14" i="20" a="1"/>
  <c r="X14" i="20" s="1"/>
  <c r="K15" i="20" a="1"/>
  <c r="K15" i="20" s="1"/>
  <c r="L15" i="20" a="1"/>
  <c r="L15" i="20" s="1"/>
  <c r="M15" i="20" a="1"/>
  <c r="M15" i="20" s="1"/>
  <c r="N15" i="20" a="1"/>
  <c r="N15" i="20" s="1"/>
  <c r="O15" i="20" a="1"/>
  <c r="O15" i="20" s="1"/>
  <c r="P15" i="20" a="1"/>
  <c r="P15" i="20" s="1"/>
  <c r="Q15" i="20" a="1"/>
  <c r="Q15" i="20" s="1"/>
  <c r="R15" i="20" a="1"/>
  <c r="R15" i="20" s="1"/>
  <c r="U15" i="20" a="1"/>
  <c r="U15" i="20" s="1"/>
  <c r="V15" i="20" a="1"/>
  <c r="V15" i="20" s="1"/>
  <c r="W15" i="20" a="1"/>
  <c r="W15" i="20" s="1"/>
  <c r="X15" i="20" a="1"/>
  <c r="X15" i="20" s="1"/>
  <c r="K16" i="20" a="1"/>
  <c r="K16" i="20" s="1"/>
  <c r="L16" i="20" a="1"/>
  <c r="L16" i="20" s="1"/>
  <c r="M16" i="20" a="1"/>
  <c r="M16" i="20" s="1"/>
  <c r="N16" i="20" a="1"/>
  <c r="N16" i="20" s="1"/>
  <c r="O16" i="20" a="1"/>
  <c r="O16" i="20" s="1"/>
  <c r="P16" i="20" a="1"/>
  <c r="P16" i="20" s="1"/>
  <c r="Q16" i="20" a="1"/>
  <c r="Q16" i="20" s="1"/>
  <c r="R16" i="20" a="1"/>
  <c r="R16" i="20" s="1"/>
  <c r="U16" i="20" a="1"/>
  <c r="U16" i="20" s="1"/>
  <c r="V16" i="20" a="1"/>
  <c r="V16" i="20" s="1"/>
  <c r="W16" i="20" a="1"/>
  <c r="W16" i="20" s="1"/>
  <c r="X16" i="20" a="1"/>
  <c r="X16" i="20" s="1"/>
  <c r="K17" i="20" a="1"/>
  <c r="K17" i="20" s="1"/>
  <c r="L17" i="20" a="1"/>
  <c r="L17" i="20" s="1"/>
  <c r="M17" i="20" a="1"/>
  <c r="M17" i="20" s="1"/>
  <c r="N17" i="20" a="1"/>
  <c r="N17" i="20" s="1"/>
  <c r="O17" i="20" a="1"/>
  <c r="O17" i="20" s="1"/>
  <c r="P17" i="20" a="1"/>
  <c r="P17" i="20" s="1"/>
  <c r="Q17" i="20" a="1"/>
  <c r="Q17" i="20" s="1"/>
  <c r="R17" i="20" a="1"/>
  <c r="R17" i="20" s="1"/>
  <c r="U17" i="20" a="1"/>
  <c r="U17" i="20" s="1"/>
  <c r="V17" i="20" a="1"/>
  <c r="V17" i="20" s="1"/>
  <c r="W17" i="20" a="1"/>
  <c r="W17" i="20" s="1"/>
  <c r="X17" i="20" a="1"/>
  <c r="X17" i="20" s="1"/>
  <c r="K18" i="20" a="1"/>
  <c r="K18" i="20" s="1"/>
  <c r="L18" i="20" a="1"/>
  <c r="L18" i="20" s="1"/>
  <c r="M18" i="20" a="1"/>
  <c r="M18" i="20" s="1"/>
  <c r="N18" i="20" a="1"/>
  <c r="N18" i="20" s="1"/>
  <c r="O18" i="20" a="1"/>
  <c r="O18" i="20" s="1"/>
  <c r="P18" i="20" a="1"/>
  <c r="P18" i="20" s="1"/>
  <c r="Q18" i="20" a="1"/>
  <c r="Q18" i="20" s="1"/>
  <c r="R18" i="20" a="1"/>
  <c r="R18" i="20" s="1"/>
  <c r="U18" i="20" a="1"/>
  <c r="U18" i="20" s="1"/>
  <c r="V18" i="20" a="1"/>
  <c r="V18" i="20" s="1"/>
  <c r="W18" i="20" a="1"/>
  <c r="W18" i="20" s="1"/>
  <c r="X18" i="20" a="1"/>
  <c r="X18" i="20" s="1"/>
  <c r="K19" i="20" a="1"/>
  <c r="K19" i="20" s="1"/>
  <c r="L19" i="20" a="1"/>
  <c r="L19" i="20" s="1"/>
  <c r="M19" i="20" a="1"/>
  <c r="M19" i="20" s="1"/>
  <c r="N19" i="20" a="1"/>
  <c r="N19" i="20" s="1"/>
  <c r="O19" i="20" a="1"/>
  <c r="O19" i="20" s="1"/>
  <c r="P19" i="20" a="1"/>
  <c r="P19" i="20" s="1"/>
  <c r="Q19" i="20" a="1"/>
  <c r="Q19" i="20" s="1"/>
  <c r="R19" i="20" a="1"/>
  <c r="R19" i="20" s="1"/>
  <c r="U19" i="20" a="1"/>
  <c r="U19" i="20" s="1"/>
  <c r="V19" i="20" a="1"/>
  <c r="V19" i="20" s="1"/>
  <c r="W19" i="20" a="1"/>
  <c r="W19" i="20" s="1"/>
  <c r="X19" i="20" a="1"/>
  <c r="X19" i="20" s="1"/>
  <c r="K20" i="20" a="1"/>
  <c r="K20" i="20" s="1"/>
  <c r="L20" i="20" a="1"/>
  <c r="L20" i="20" s="1"/>
  <c r="M20" i="20" a="1"/>
  <c r="M20" i="20" s="1"/>
  <c r="N20" i="20" a="1"/>
  <c r="N20" i="20" s="1"/>
  <c r="O20" i="20" a="1"/>
  <c r="O20" i="20" s="1"/>
  <c r="P20" i="20" a="1"/>
  <c r="P20" i="20" s="1"/>
  <c r="Q20" i="20" a="1"/>
  <c r="Q20" i="20" s="1"/>
  <c r="R20" i="20" a="1"/>
  <c r="R20" i="20" s="1"/>
  <c r="U20" i="20" a="1"/>
  <c r="U20" i="20" s="1"/>
  <c r="V20" i="20" a="1"/>
  <c r="V20" i="20" s="1"/>
  <c r="W20" i="20" a="1"/>
  <c r="W20" i="20" s="1"/>
  <c r="X20" i="20" a="1"/>
  <c r="X20" i="20" s="1"/>
  <c r="K21" i="20" a="1"/>
  <c r="K21" i="20" s="1"/>
  <c r="L21" i="20" a="1"/>
  <c r="L21" i="20" s="1"/>
  <c r="M21" i="20" a="1"/>
  <c r="M21" i="20" s="1"/>
  <c r="N21" i="20" a="1"/>
  <c r="N21" i="20" s="1"/>
  <c r="O21" i="20" a="1"/>
  <c r="O21" i="20" s="1"/>
  <c r="P21" i="20" a="1"/>
  <c r="P21" i="20" s="1"/>
  <c r="Q21" i="20" a="1"/>
  <c r="Q21" i="20" s="1"/>
  <c r="R21" i="20" a="1"/>
  <c r="R21" i="20" s="1"/>
  <c r="U21" i="20" a="1"/>
  <c r="U21" i="20" s="1"/>
  <c r="V21" i="20" a="1"/>
  <c r="V21" i="20" s="1"/>
  <c r="W21" i="20" a="1"/>
  <c r="W21" i="20" s="1"/>
  <c r="X21" i="20" a="1"/>
  <c r="X21" i="20" s="1"/>
  <c r="K22" i="20" a="1"/>
  <c r="K22" i="20" s="1"/>
  <c r="L22" i="20" a="1"/>
  <c r="L22" i="20" s="1"/>
  <c r="M22" i="20" a="1"/>
  <c r="M22" i="20" s="1"/>
  <c r="N22" i="20" a="1"/>
  <c r="N22" i="20" s="1"/>
  <c r="O22" i="20" a="1"/>
  <c r="O22" i="20" s="1"/>
  <c r="P22" i="20" a="1"/>
  <c r="P22" i="20" s="1"/>
  <c r="Q22" i="20" a="1"/>
  <c r="Q22" i="20" s="1"/>
  <c r="R22" i="20" a="1"/>
  <c r="R22" i="20" s="1"/>
  <c r="U22" i="20" a="1"/>
  <c r="U22" i="20" s="1"/>
  <c r="V22" i="20" a="1"/>
  <c r="V22" i="20" s="1"/>
  <c r="W22" i="20" a="1"/>
  <c r="W22" i="20" s="1"/>
  <c r="X22" i="20" a="1"/>
  <c r="X22" i="20" s="1"/>
  <c r="K23" i="20" a="1"/>
  <c r="K23" i="20" s="1"/>
  <c r="L23" i="20" a="1"/>
  <c r="L23" i="20" s="1"/>
  <c r="M23" i="20" a="1"/>
  <c r="M23" i="20" s="1"/>
  <c r="N23" i="20" a="1"/>
  <c r="N23" i="20" s="1"/>
  <c r="O23" i="20" a="1"/>
  <c r="O23" i="20" s="1"/>
  <c r="P23" i="20" a="1"/>
  <c r="P23" i="20" s="1"/>
  <c r="Q23" i="20" a="1"/>
  <c r="Q23" i="20" s="1"/>
  <c r="R23" i="20" a="1"/>
  <c r="R23" i="20" s="1"/>
  <c r="U23" i="20" a="1"/>
  <c r="U23" i="20" s="1"/>
  <c r="V23" i="20" a="1"/>
  <c r="V23" i="20" s="1"/>
  <c r="W23" i="20" a="1"/>
  <c r="W23" i="20" s="1"/>
  <c r="X23" i="20" a="1"/>
  <c r="X23" i="20" s="1"/>
  <c r="K24" i="20" a="1"/>
  <c r="K24" i="20" s="1"/>
  <c r="L24" i="20" a="1"/>
  <c r="L24" i="20" s="1"/>
  <c r="M24" i="20" a="1"/>
  <c r="M24" i="20" s="1"/>
  <c r="N24" i="20" a="1"/>
  <c r="N24" i="20" s="1"/>
  <c r="O24" i="20" a="1"/>
  <c r="O24" i="20" s="1"/>
  <c r="P24" i="20" a="1"/>
  <c r="P24" i="20" s="1"/>
  <c r="Q24" i="20" a="1"/>
  <c r="Q24" i="20" s="1"/>
  <c r="R24" i="20" a="1"/>
  <c r="R24" i="20" s="1"/>
  <c r="U24" i="20" a="1"/>
  <c r="U24" i="20" s="1"/>
  <c r="V24" i="20" a="1"/>
  <c r="V24" i="20" s="1"/>
  <c r="W24" i="20" a="1"/>
  <c r="W24" i="20" s="1"/>
  <c r="X24" i="20" a="1"/>
  <c r="X24" i="20" s="1"/>
  <c r="K25" i="20" a="1"/>
  <c r="K25" i="20" s="1"/>
  <c r="L25" i="20" a="1"/>
  <c r="L25" i="20" s="1"/>
  <c r="M25" i="20" a="1"/>
  <c r="M25" i="20" s="1"/>
  <c r="N25" i="20" a="1"/>
  <c r="N25" i="20" s="1"/>
  <c r="O25" i="20" a="1"/>
  <c r="O25" i="20" s="1"/>
  <c r="P25" i="20" a="1"/>
  <c r="P25" i="20" s="1"/>
  <c r="Q25" i="20" a="1"/>
  <c r="Q25" i="20" s="1"/>
  <c r="R25" i="20" a="1"/>
  <c r="R25" i="20" s="1"/>
  <c r="U25" i="20" a="1"/>
  <c r="U25" i="20" s="1"/>
  <c r="V25" i="20" a="1"/>
  <c r="V25" i="20" s="1"/>
  <c r="W25" i="20" a="1"/>
  <c r="W25" i="20" s="1"/>
  <c r="X25" i="20" a="1"/>
  <c r="X25" i="20" s="1"/>
  <c r="K26" i="20" a="1"/>
  <c r="K26" i="20" s="1"/>
  <c r="L26" i="20" a="1"/>
  <c r="L26" i="20" s="1"/>
  <c r="M26" i="20" a="1"/>
  <c r="M26" i="20" s="1"/>
  <c r="N26" i="20" a="1"/>
  <c r="N26" i="20" s="1"/>
  <c r="O26" i="20" a="1"/>
  <c r="O26" i="20" s="1"/>
  <c r="P26" i="20" a="1"/>
  <c r="P26" i="20" s="1"/>
  <c r="Q26" i="20" a="1"/>
  <c r="Q26" i="20" s="1"/>
  <c r="R26" i="20" a="1"/>
  <c r="R26" i="20" s="1"/>
  <c r="U26" i="20" a="1"/>
  <c r="U26" i="20" s="1"/>
  <c r="V26" i="20" a="1"/>
  <c r="V26" i="20" s="1"/>
  <c r="W26" i="20" a="1"/>
  <c r="W26" i="20" s="1"/>
  <c r="X26" i="20" a="1"/>
  <c r="X26" i="20" s="1"/>
  <c r="K27" i="20" a="1"/>
  <c r="K27" i="20" s="1"/>
  <c r="L27" i="20" a="1"/>
  <c r="L27" i="20" s="1"/>
  <c r="M27" i="20" a="1"/>
  <c r="M27" i="20" s="1"/>
  <c r="N27" i="20" a="1"/>
  <c r="N27" i="20" s="1"/>
  <c r="O27" i="20" a="1"/>
  <c r="O27" i="20" s="1"/>
  <c r="P27" i="20" a="1"/>
  <c r="P27" i="20" s="1"/>
  <c r="Q27" i="20" a="1"/>
  <c r="Q27" i="20" s="1"/>
  <c r="R27" i="20" a="1"/>
  <c r="R27" i="20" s="1"/>
  <c r="U27" i="20" a="1"/>
  <c r="U27" i="20" s="1"/>
  <c r="V27" i="20" a="1"/>
  <c r="V27" i="20" s="1"/>
  <c r="W27" i="20" a="1"/>
  <c r="W27" i="20" s="1"/>
  <c r="X27" i="20" a="1"/>
  <c r="X27" i="20" s="1"/>
  <c r="K28" i="20" a="1"/>
  <c r="K28" i="20" s="1"/>
  <c r="L28" i="20" a="1"/>
  <c r="L28" i="20" s="1"/>
  <c r="M28" i="20" a="1"/>
  <c r="M28" i="20" s="1"/>
  <c r="N28" i="20" a="1"/>
  <c r="N28" i="20" s="1"/>
  <c r="O28" i="20" a="1"/>
  <c r="O28" i="20" s="1"/>
  <c r="P28" i="20" a="1"/>
  <c r="P28" i="20" s="1"/>
  <c r="Q28" i="20" a="1"/>
  <c r="Q28" i="20" s="1"/>
  <c r="R28" i="20" a="1"/>
  <c r="R28" i="20" s="1"/>
  <c r="U28" i="20" a="1"/>
  <c r="U28" i="20" s="1"/>
  <c r="V28" i="20" a="1"/>
  <c r="V28" i="20" s="1"/>
  <c r="W28" i="20" a="1"/>
  <c r="W28" i="20" s="1"/>
  <c r="X28" i="20" a="1"/>
  <c r="X28" i="20" s="1"/>
  <c r="K29" i="20" a="1"/>
  <c r="K29" i="20" s="1"/>
  <c r="L29" i="20" a="1"/>
  <c r="L29" i="20" s="1"/>
  <c r="M29" i="20" a="1"/>
  <c r="M29" i="20" s="1"/>
  <c r="N29" i="20" a="1"/>
  <c r="N29" i="20" s="1"/>
  <c r="O29" i="20" a="1"/>
  <c r="O29" i="20" s="1"/>
  <c r="P29" i="20" a="1"/>
  <c r="P29" i="20" s="1"/>
  <c r="Q29" i="20" a="1"/>
  <c r="Q29" i="20" s="1"/>
  <c r="R29" i="20" a="1"/>
  <c r="R29" i="20" s="1"/>
  <c r="U29" i="20" a="1"/>
  <c r="U29" i="20" s="1"/>
  <c r="V29" i="20" a="1"/>
  <c r="V29" i="20" s="1"/>
  <c r="W29" i="20" a="1"/>
  <c r="W29" i="20" s="1"/>
  <c r="X29" i="20" a="1"/>
  <c r="X29" i="20" s="1"/>
  <c r="K30" i="20" a="1"/>
  <c r="K30" i="20" s="1"/>
  <c r="L30" i="20" a="1"/>
  <c r="L30" i="20" s="1"/>
  <c r="M30" i="20" a="1"/>
  <c r="M30" i="20" s="1"/>
  <c r="N30" i="20" a="1"/>
  <c r="N30" i="20" s="1"/>
  <c r="O30" i="20" a="1"/>
  <c r="O30" i="20" s="1"/>
  <c r="P30" i="20" a="1"/>
  <c r="P30" i="20" s="1"/>
  <c r="Q30" i="20" a="1"/>
  <c r="Q30" i="20" s="1"/>
  <c r="R30" i="20" a="1"/>
  <c r="R30" i="20" s="1"/>
  <c r="U30" i="20" a="1"/>
  <c r="U30" i="20" s="1"/>
  <c r="V30" i="20" a="1"/>
  <c r="V30" i="20" s="1"/>
  <c r="W30" i="20" a="1"/>
  <c r="W30" i="20" s="1"/>
  <c r="X30" i="20" a="1"/>
  <c r="X30" i="20" s="1"/>
  <c r="K31" i="20" a="1"/>
  <c r="K31" i="20" s="1"/>
  <c r="L31" i="20" a="1"/>
  <c r="L31" i="20" s="1"/>
  <c r="M31" i="20" a="1"/>
  <c r="M31" i="20" s="1"/>
  <c r="N31" i="20" a="1"/>
  <c r="N31" i="20" s="1"/>
  <c r="O31" i="20" a="1"/>
  <c r="O31" i="20" s="1"/>
  <c r="P31" i="20" a="1"/>
  <c r="P31" i="20" s="1"/>
  <c r="Q31" i="20" a="1"/>
  <c r="Q31" i="20" s="1"/>
  <c r="R31" i="20" a="1"/>
  <c r="R31" i="20" s="1"/>
  <c r="U31" i="20" a="1"/>
  <c r="U31" i="20" s="1"/>
  <c r="V31" i="20" a="1"/>
  <c r="V31" i="20" s="1"/>
  <c r="W31" i="20" a="1"/>
  <c r="W31" i="20" s="1"/>
  <c r="X31" i="20" a="1"/>
  <c r="X31" i="20" s="1"/>
  <c r="K32" i="20" a="1"/>
  <c r="K32" i="20" s="1"/>
  <c r="L32" i="20" a="1"/>
  <c r="L32" i="20" s="1"/>
  <c r="M32" i="20" a="1"/>
  <c r="M32" i="20" s="1"/>
  <c r="N32" i="20" a="1"/>
  <c r="N32" i="20" s="1"/>
  <c r="O32" i="20" a="1"/>
  <c r="O32" i="20" s="1"/>
  <c r="P32" i="20" a="1"/>
  <c r="P32" i="20" s="1"/>
  <c r="Q32" i="20" a="1"/>
  <c r="Q32" i="20" s="1"/>
  <c r="R32" i="20" a="1"/>
  <c r="R32" i="20" s="1"/>
  <c r="U32" i="20" a="1"/>
  <c r="U32" i="20" s="1"/>
  <c r="V32" i="20" a="1"/>
  <c r="V32" i="20" s="1"/>
  <c r="W32" i="20" a="1"/>
  <c r="W32" i="20" s="1"/>
  <c r="X32" i="20" a="1"/>
  <c r="X32" i="20" s="1"/>
  <c r="K33" i="20" a="1"/>
  <c r="K33" i="20" s="1"/>
  <c r="L33" i="20" a="1"/>
  <c r="L33" i="20" s="1"/>
  <c r="M33" i="20" a="1"/>
  <c r="M33" i="20" s="1"/>
  <c r="N33" i="20" a="1"/>
  <c r="N33" i="20" s="1"/>
  <c r="O33" i="20" a="1"/>
  <c r="O33" i="20" s="1"/>
  <c r="P33" i="20" a="1"/>
  <c r="P33" i="20" s="1"/>
  <c r="Q33" i="20" a="1"/>
  <c r="Q33" i="20" s="1"/>
  <c r="R33" i="20" a="1"/>
  <c r="R33" i="20" s="1"/>
  <c r="U33" i="20" a="1"/>
  <c r="U33" i="20" s="1"/>
  <c r="V33" i="20" a="1"/>
  <c r="V33" i="20" s="1"/>
  <c r="W33" i="20" a="1"/>
  <c r="W33" i="20" s="1"/>
  <c r="X33" i="20" a="1"/>
  <c r="X33" i="20" s="1"/>
  <c r="K34" i="20" a="1"/>
  <c r="K34" i="20" s="1"/>
  <c r="L34" i="20" a="1"/>
  <c r="L34" i="20" s="1"/>
  <c r="M34" i="20" a="1"/>
  <c r="M34" i="20" s="1"/>
  <c r="N34" i="20" a="1"/>
  <c r="N34" i="20" s="1"/>
  <c r="O34" i="20" a="1"/>
  <c r="O34" i="20" s="1"/>
  <c r="P34" i="20" a="1"/>
  <c r="P34" i="20" s="1"/>
  <c r="Q34" i="20" a="1"/>
  <c r="Q34" i="20" s="1"/>
  <c r="R34" i="20" a="1"/>
  <c r="R34" i="20" s="1"/>
  <c r="U34" i="20" a="1"/>
  <c r="U34" i="20" s="1"/>
  <c r="V34" i="20" a="1"/>
  <c r="V34" i="20" s="1"/>
  <c r="W34" i="20" a="1"/>
  <c r="W34" i="20" s="1"/>
  <c r="X34" i="20" a="1"/>
  <c r="X34" i="20" s="1"/>
  <c r="K35" i="20" a="1"/>
  <c r="K35" i="20" s="1"/>
  <c r="L35" i="20" a="1"/>
  <c r="L35" i="20" s="1"/>
  <c r="M35" i="20" a="1"/>
  <c r="M35" i="20" s="1"/>
  <c r="N35" i="20" a="1"/>
  <c r="N35" i="20" s="1"/>
  <c r="O35" i="20" a="1"/>
  <c r="O35" i="20" s="1"/>
  <c r="P35" i="20" a="1"/>
  <c r="P35" i="20" s="1"/>
  <c r="Q35" i="20" a="1"/>
  <c r="Q35" i="20" s="1"/>
  <c r="R35" i="20" a="1"/>
  <c r="R35" i="20" s="1"/>
  <c r="U35" i="20" a="1"/>
  <c r="U35" i="20" s="1"/>
  <c r="V35" i="20" a="1"/>
  <c r="V35" i="20" s="1"/>
  <c r="W35" i="20" a="1"/>
  <c r="W35" i="20" s="1"/>
  <c r="X35" i="20" a="1"/>
  <c r="X35" i="20" s="1"/>
  <c r="K36" i="20" a="1"/>
  <c r="K36" i="20" s="1"/>
  <c r="L36" i="20" a="1"/>
  <c r="L36" i="20" s="1"/>
  <c r="M36" i="20" a="1"/>
  <c r="M36" i="20" s="1"/>
  <c r="N36" i="20" a="1"/>
  <c r="N36" i="20" s="1"/>
  <c r="O36" i="20" a="1"/>
  <c r="O36" i="20" s="1"/>
  <c r="P36" i="20" a="1"/>
  <c r="P36" i="20" s="1"/>
  <c r="Q36" i="20" a="1"/>
  <c r="Q36" i="20" s="1"/>
  <c r="R36" i="20" a="1"/>
  <c r="R36" i="20" s="1"/>
  <c r="U36" i="20" a="1"/>
  <c r="U36" i="20" s="1"/>
  <c r="V36" i="20" a="1"/>
  <c r="V36" i="20" s="1"/>
  <c r="W36" i="20" a="1"/>
  <c r="W36" i="20" s="1"/>
  <c r="X36" i="20" a="1"/>
  <c r="X36" i="20" s="1"/>
  <c r="K37" i="20" a="1"/>
  <c r="K37" i="20" s="1"/>
  <c r="L37" i="20" a="1"/>
  <c r="L37" i="20" s="1"/>
  <c r="M37" i="20" a="1"/>
  <c r="M37" i="20" s="1"/>
  <c r="N37" i="20" a="1"/>
  <c r="N37" i="20" s="1"/>
  <c r="O37" i="20" a="1"/>
  <c r="O37" i="20" s="1"/>
  <c r="P37" i="20" a="1"/>
  <c r="P37" i="20" s="1"/>
  <c r="Q37" i="20" a="1"/>
  <c r="Q37" i="20" s="1"/>
  <c r="R37" i="20" a="1"/>
  <c r="R37" i="20" s="1"/>
  <c r="U37" i="20" a="1"/>
  <c r="U37" i="20" s="1"/>
  <c r="V37" i="20" a="1"/>
  <c r="V37" i="20" s="1"/>
  <c r="W37" i="20" a="1"/>
  <c r="W37" i="20" s="1"/>
  <c r="X37" i="20" a="1"/>
  <c r="X37" i="20" s="1"/>
  <c r="K38" i="20" a="1"/>
  <c r="K38" i="20" s="1"/>
  <c r="L38" i="20" a="1"/>
  <c r="L38" i="20" s="1"/>
  <c r="M38" i="20" a="1"/>
  <c r="M38" i="20" s="1"/>
  <c r="N38" i="20" a="1"/>
  <c r="N38" i="20" s="1"/>
  <c r="O38" i="20" a="1"/>
  <c r="O38" i="20" s="1"/>
  <c r="P38" i="20" a="1"/>
  <c r="P38" i="20" s="1"/>
  <c r="Q38" i="20" a="1"/>
  <c r="Q38" i="20" s="1"/>
  <c r="R38" i="20" a="1"/>
  <c r="R38" i="20" s="1"/>
  <c r="U38" i="20" a="1"/>
  <c r="U38" i="20" s="1"/>
  <c r="V38" i="20" a="1"/>
  <c r="V38" i="20" s="1"/>
  <c r="W38" i="20" a="1"/>
  <c r="W38" i="20" s="1"/>
  <c r="X38" i="20" a="1"/>
  <c r="X38" i="20" s="1"/>
  <c r="K39" i="20" a="1"/>
  <c r="K39" i="20" s="1"/>
  <c r="L39" i="20" a="1"/>
  <c r="L39" i="20" s="1"/>
  <c r="M39" i="20" a="1"/>
  <c r="M39" i="20" s="1"/>
  <c r="N39" i="20" a="1"/>
  <c r="N39" i="20" s="1"/>
  <c r="O39" i="20" a="1"/>
  <c r="O39" i="20" s="1"/>
  <c r="P39" i="20" a="1"/>
  <c r="P39" i="20" s="1"/>
  <c r="Q39" i="20" a="1"/>
  <c r="Q39" i="20" s="1"/>
  <c r="R39" i="20" a="1"/>
  <c r="R39" i="20" s="1"/>
  <c r="U39" i="20" a="1"/>
  <c r="U39" i="20" s="1"/>
  <c r="V39" i="20" a="1"/>
  <c r="V39" i="20" s="1"/>
  <c r="W39" i="20" a="1"/>
  <c r="W39" i="20" s="1"/>
  <c r="X39" i="20" a="1"/>
  <c r="X39" i="20" s="1"/>
  <c r="K40" i="20" a="1"/>
  <c r="K40" i="20" s="1"/>
  <c r="L40" i="20" a="1"/>
  <c r="L40" i="20" s="1"/>
  <c r="M40" i="20" a="1"/>
  <c r="M40" i="20" s="1"/>
  <c r="N40" i="20" a="1"/>
  <c r="N40" i="20" s="1"/>
  <c r="O40" i="20" a="1"/>
  <c r="O40" i="20" s="1"/>
  <c r="P40" i="20" a="1"/>
  <c r="P40" i="20" s="1"/>
  <c r="Q40" i="20" a="1"/>
  <c r="Q40" i="20" s="1"/>
  <c r="R40" i="20" a="1"/>
  <c r="R40" i="20" s="1"/>
  <c r="U40" i="20" a="1"/>
  <c r="U40" i="20" s="1"/>
  <c r="V40" i="20" a="1"/>
  <c r="V40" i="20" s="1"/>
  <c r="W40" i="20" a="1"/>
  <c r="W40" i="20" s="1"/>
  <c r="X40" i="20" a="1"/>
  <c r="X40" i="20" s="1"/>
  <c r="K41" i="20" a="1"/>
  <c r="K41" i="20" s="1"/>
  <c r="L41" i="20" a="1"/>
  <c r="L41" i="20" s="1"/>
  <c r="M41" i="20" a="1"/>
  <c r="M41" i="20" s="1"/>
  <c r="N41" i="20" a="1"/>
  <c r="N41" i="20" s="1"/>
  <c r="O41" i="20" a="1"/>
  <c r="O41" i="20" s="1"/>
  <c r="P41" i="20" a="1"/>
  <c r="P41" i="20" s="1"/>
  <c r="Q41" i="20" a="1"/>
  <c r="Q41" i="20" s="1"/>
  <c r="R41" i="20" a="1"/>
  <c r="R41" i="20" s="1"/>
  <c r="U41" i="20" a="1"/>
  <c r="U41" i="20" s="1"/>
  <c r="V41" i="20" a="1"/>
  <c r="V41" i="20" s="1"/>
  <c r="W41" i="20" a="1"/>
  <c r="W41" i="20" s="1"/>
  <c r="X41" i="20" a="1"/>
  <c r="X41" i="20" s="1"/>
  <c r="K42" i="20" a="1"/>
  <c r="K42" i="20" s="1"/>
  <c r="L42" i="20" a="1"/>
  <c r="L42" i="20" s="1"/>
  <c r="M42" i="20" a="1"/>
  <c r="M42" i="20" s="1"/>
  <c r="N42" i="20" a="1"/>
  <c r="N42" i="20" s="1"/>
  <c r="O42" i="20" a="1"/>
  <c r="O42" i="20" s="1"/>
  <c r="P42" i="20" a="1"/>
  <c r="P42" i="20" s="1"/>
  <c r="Q42" i="20" a="1"/>
  <c r="Q42" i="20" s="1"/>
  <c r="R42" i="20" a="1"/>
  <c r="R42" i="20" s="1"/>
  <c r="U42" i="20" a="1"/>
  <c r="U42" i="20" s="1"/>
  <c r="V42" i="20" a="1"/>
  <c r="V42" i="20" s="1"/>
  <c r="W42" i="20" a="1"/>
  <c r="W42" i="20" s="1"/>
  <c r="X42" i="20" a="1"/>
  <c r="X42" i="20" s="1"/>
  <c r="K43" i="20" a="1"/>
  <c r="K43" i="20" s="1"/>
  <c r="L43" i="20" a="1"/>
  <c r="L43" i="20" s="1"/>
  <c r="M43" i="20" a="1"/>
  <c r="M43" i="20" s="1"/>
  <c r="N43" i="20" a="1"/>
  <c r="N43" i="20" s="1"/>
  <c r="O43" i="20" a="1"/>
  <c r="O43" i="20" s="1"/>
  <c r="P43" i="20" a="1"/>
  <c r="P43" i="20" s="1"/>
  <c r="Q43" i="20" a="1"/>
  <c r="Q43" i="20" s="1"/>
  <c r="R43" i="20" a="1"/>
  <c r="R43" i="20" s="1"/>
  <c r="U43" i="20" a="1"/>
  <c r="U43" i="20" s="1"/>
  <c r="V43" i="20" a="1"/>
  <c r="V43" i="20" s="1"/>
  <c r="W43" i="20" a="1"/>
  <c r="W43" i="20" s="1"/>
  <c r="X43" i="20" a="1"/>
  <c r="X43" i="20" s="1"/>
  <c r="K44" i="20" a="1"/>
  <c r="K44" i="20" s="1"/>
  <c r="L44" i="20" a="1"/>
  <c r="L44" i="20" s="1"/>
  <c r="M44" i="20" a="1"/>
  <c r="M44" i="20" s="1"/>
  <c r="N44" i="20" a="1"/>
  <c r="N44" i="20" s="1"/>
  <c r="O44" i="20" a="1"/>
  <c r="O44" i="20" s="1"/>
  <c r="P44" i="20" a="1"/>
  <c r="P44" i="20" s="1"/>
  <c r="Q44" i="20" a="1"/>
  <c r="Q44" i="20" s="1"/>
  <c r="R44" i="20" a="1"/>
  <c r="R44" i="20" s="1"/>
  <c r="U44" i="20" a="1"/>
  <c r="U44" i="20" s="1"/>
  <c r="V44" i="20" a="1"/>
  <c r="V44" i="20" s="1"/>
  <c r="W44" i="20" a="1"/>
  <c r="W44" i="20" s="1"/>
  <c r="X44" i="20" a="1"/>
  <c r="X44" i="20" s="1"/>
  <c r="K45" i="20" a="1"/>
  <c r="K45" i="20" s="1"/>
  <c r="L45" i="20" a="1"/>
  <c r="L45" i="20" s="1"/>
  <c r="M45" i="20" a="1"/>
  <c r="M45" i="20" s="1"/>
  <c r="N45" i="20" a="1"/>
  <c r="N45" i="20" s="1"/>
  <c r="O45" i="20" a="1"/>
  <c r="O45" i="20" s="1"/>
  <c r="P45" i="20" a="1"/>
  <c r="P45" i="20" s="1"/>
  <c r="Q45" i="20" a="1"/>
  <c r="Q45" i="20" s="1"/>
  <c r="R45" i="20" a="1"/>
  <c r="R45" i="20" s="1"/>
  <c r="U45" i="20" a="1"/>
  <c r="U45" i="20" s="1"/>
  <c r="V45" i="20" a="1"/>
  <c r="V45" i="20" s="1"/>
  <c r="W45" i="20" a="1"/>
  <c r="W45" i="20" s="1"/>
  <c r="X45" i="20" a="1"/>
  <c r="X45" i="20" s="1"/>
  <c r="K46" i="20" a="1"/>
  <c r="K46" i="20" s="1"/>
  <c r="L46" i="20" a="1"/>
  <c r="L46" i="20" s="1"/>
  <c r="M46" i="20" a="1"/>
  <c r="M46" i="20" s="1"/>
  <c r="N46" i="20" a="1"/>
  <c r="N46" i="20" s="1"/>
  <c r="O46" i="20" a="1"/>
  <c r="O46" i="20" s="1"/>
  <c r="P46" i="20" a="1"/>
  <c r="P46" i="20" s="1"/>
  <c r="Q46" i="20" a="1"/>
  <c r="Q46" i="20" s="1"/>
  <c r="R46" i="20" a="1"/>
  <c r="R46" i="20" s="1"/>
  <c r="U46" i="20" a="1"/>
  <c r="U46" i="20" s="1"/>
  <c r="V46" i="20" a="1"/>
  <c r="V46" i="20" s="1"/>
  <c r="W46" i="20" a="1"/>
  <c r="W46" i="20" s="1"/>
  <c r="X46" i="20" a="1"/>
  <c r="X46" i="20" s="1"/>
  <c r="K47" i="20" a="1"/>
  <c r="K47" i="20" s="1"/>
  <c r="L47" i="20" a="1"/>
  <c r="L47" i="20" s="1"/>
  <c r="M47" i="20" a="1"/>
  <c r="M47" i="20" s="1"/>
  <c r="N47" i="20" a="1"/>
  <c r="N47" i="20" s="1"/>
  <c r="O47" i="20" a="1"/>
  <c r="O47" i="20" s="1"/>
  <c r="P47" i="20" a="1"/>
  <c r="P47" i="20" s="1"/>
  <c r="Q47" i="20" a="1"/>
  <c r="Q47" i="20" s="1"/>
  <c r="R47" i="20" a="1"/>
  <c r="R47" i="20" s="1"/>
  <c r="U47" i="20" a="1"/>
  <c r="U47" i="20" s="1"/>
  <c r="V47" i="20" a="1"/>
  <c r="V47" i="20" s="1"/>
  <c r="W47" i="20" a="1"/>
  <c r="W47" i="20" s="1"/>
  <c r="X47" i="20" a="1"/>
  <c r="X47" i="20" s="1"/>
  <c r="K48" i="20" a="1"/>
  <c r="K48" i="20" s="1"/>
  <c r="L48" i="20" a="1"/>
  <c r="L48" i="20" s="1"/>
  <c r="M48" i="20" a="1"/>
  <c r="M48" i="20" s="1"/>
  <c r="N48" i="20" a="1"/>
  <c r="N48" i="20" s="1"/>
  <c r="O48" i="20" a="1"/>
  <c r="O48" i="20" s="1"/>
  <c r="P48" i="20" a="1"/>
  <c r="P48" i="20" s="1"/>
  <c r="Q48" i="20" a="1"/>
  <c r="Q48" i="20" s="1"/>
  <c r="R48" i="20" a="1"/>
  <c r="R48" i="20" s="1"/>
  <c r="U48" i="20" a="1"/>
  <c r="U48" i="20" s="1"/>
  <c r="V48" i="20" a="1"/>
  <c r="V48" i="20" s="1"/>
  <c r="W48" i="20" a="1"/>
  <c r="W48" i="20" s="1"/>
  <c r="X48" i="20" a="1"/>
  <c r="X48" i="20" s="1"/>
  <c r="K49" i="20" a="1"/>
  <c r="K49" i="20" s="1"/>
  <c r="L49" i="20" a="1"/>
  <c r="L49" i="20" s="1"/>
  <c r="M49" i="20" a="1"/>
  <c r="M49" i="20" s="1"/>
  <c r="N49" i="20" a="1"/>
  <c r="N49" i="20" s="1"/>
  <c r="O49" i="20" a="1"/>
  <c r="O49" i="20" s="1"/>
  <c r="P49" i="20" a="1"/>
  <c r="P49" i="20" s="1"/>
  <c r="Q49" i="20" a="1"/>
  <c r="Q49" i="20" s="1"/>
  <c r="R49" i="20" a="1"/>
  <c r="R49" i="20" s="1"/>
  <c r="U49" i="20" a="1"/>
  <c r="U49" i="20" s="1"/>
  <c r="V49" i="20" a="1"/>
  <c r="V49" i="20" s="1"/>
  <c r="W49" i="20" a="1"/>
  <c r="W49" i="20" s="1"/>
  <c r="X49" i="20" a="1"/>
  <c r="X49" i="20" s="1"/>
  <c r="K50" i="20" a="1"/>
  <c r="K50" i="20" s="1"/>
  <c r="L50" i="20" a="1"/>
  <c r="L50" i="20" s="1"/>
  <c r="M50" i="20" a="1"/>
  <c r="M50" i="20" s="1"/>
  <c r="N50" i="20" a="1"/>
  <c r="N50" i="20" s="1"/>
  <c r="O50" i="20" a="1"/>
  <c r="O50" i="20" s="1"/>
  <c r="P50" i="20" a="1"/>
  <c r="P50" i="20" s="1"/>
  <c r="Q50" i="20" a="1"/>
  <c r="Q50" i="20" s="1"/>
  <c r="R50" i="20" a="1"/>
  <c r="R50" i="20" s="1"/>
  <c r="U50" i="20" a="1"/>
  <c r="U50" i="20" s="1"/>
  <c r="V50" i="20" a="1"/>
  <c r="V50" i="20" s="1"/>
  <c r="W50" i="20" a="1"/>
  <c r="W50" i="20" s="1"/>
  <c r="X50" i="20" a="1"/>
  <c r="X50" i="20" s="1"/>
  <c r="K51" i="20" a="1"/>
  <c r="K51" i="20" s="1"/>
  <c r="L51" i="20" a="1"/>
  <c r="L51" i="20" s="1"/>
  <c r="M51" i="20" a="1"/>
  <c r="M51" i="20" s="1"/>
  <c r="N51" i="20" a="1"/>
  <c r="N51" i="20" s="1"/>
  <c r="O51" i="20" a="1"/>
  <c r="O51" i="20" s="1"/>
  <c r="P51" i="20" a="1"/>
  <c r="P51" i="20" s="1"/>
  <c r="Q51" i="20" a="1"/>
  <c r="Q51" i="20" s="1"/>
  <c r="R51" i="20" a="1"/>
  <c r="R51" i="20" s="1"/>
  <c r="U51" i="20" a="1"/>
  <c r="U51" i="20" s="1"/>
  <c r="V51" i="20" a="1"/>
  <c r="V51" i="20" s="1"/>
  <c r="W51" i="20" a="1"/>
  <c r="W51" i="20" s="1"/>
  <c r="X51" i="20" a="1"/>
  <c r="X51" i="20" s="1"/>
  <c r="K52" i="20" a="1"/>
  <c r="K52" i="20" s="1"/>
  <c r="L52" i="20" a="1"/>
  <c r="L52" i="20" s="1"/>
  <c r="M52" i="20" a="1"/>
  <c r="M52" i="20" s="1"/>
  <c r="N52" i="20" a="1"/>
  <c r="N52" i="20" s="1"/>
  <c r="O52" i="20" a="1"/>
  <c r="O52" i="20" s="1"/>
  <c r="P52" i="20" a="1"/>
  <c r="P52" i="20" s="1"/>
  <c r="Q52" i="20" a="1"/>
  <c r="Q52" i="20" s="1"/>
  <c r="R52" i="20" a="1"/>
  <c r="R52" i="20" s="1"/>
  <c r="U52" i="20" a="1"/>
  <c r="U52" i="20" s="1"/>
  <c r="V52" i="20" a="1"/>
  <c r="V52" i="20" s="1"/>
  <c r="W52" i="20" a="1"/>
  <c r="W52" i="20" s="1"/>
  <c r="X52" i="20" a="1"/>
  <c r="X52" i="20" s="1"/>
  <c r="K53" i="20" a="1"/>
  <c r="K53" i="20" s="1"/>
  <c r="L53" i="20" a="1"/>
  <c r="L53" i="20" s="1"/>
  <c r="M53" i="20" a="1"/>
  <c r="M53" i="20" s="1"/>
  <c r="N53" i="20" a="1"/>
  <c r="N53" i="20" s="1"/>
  <c r="O53" i="20" a="1"/>
  <c r="O53" i="20" s="1"/>
  <c r="P53" i="20" a="1"/>
  <c r="P53" i="20" s="1"/>
  <c r="Q53" i="20" a="1"/>
  <c r="Q53" i="20" s="1"/>
  <c r="R53" i="20" a="1"/>
  <c r="R53" i="20" s="1"/>
  <c r="U53" i="20" a="1"/>
  <c r="U53" i="20" s="1"/>
  <c r="V53" i="20" a="1"/>
  <c r="V53" i="20" s="1"/>
  <c r="W53" i="20" a="1"/>
  <c r="W53" i="20" s="1"/>
  <c r="X53" i="20" a="1"/>
  <c r="X53" i="20" s="1"/>
  <c r="K54" i="20" a="1"/>
  <c r="K54" i="20" s="1"/>
  <c r="L54" i="20" a="1"/>
  <c r="L54" i="20" s="1"/>
  <c r="M54" i="20" a="1"/>
  <c r="M54" i="20" s="1"/>
  <c r="N54" i="20" a="1"/>
  <c r="N54" i="20" s="1"/>
  <c r="O54" i="20" a="1"/>
  <c r="O54" i="20" s="1"/>
  <c r="P54" i="20" a="1"/>
  <c r="P54" i="20" s="1"/>
  <c r="Q54" i="20" a="1"/>
  <c r="Q54" i="20" s="1"/>
  <c r="R54" i="20" a="1"/>
  <c r="R54" i="20" s="1"/>
  <c r="U54" i="20" a="1"/>
  <c r="U54" i="20" s="1"/>
  <c r="V54" i="20" a="1"/>
  <c r="V54" i="20" s="1"/>
  <c r="W54" i="20" a="1"/>
  <c r="W54" i="20" s="1"/>
  <c r="X54" i="20" a="1"/>
  <c r="X54" i="20" s="1"/>
  <c r="K55" i="20" a="1"/>
  <c r="K55" i="20" s="1"/>
  <c r="L55" i="20" a="1"/>
  <c r="L55" i="20" s="1"/>
  <c r="M55" i="20" a="1"/>
  <c r="M55" i="20" s="1"/>
  <c r="N55" i="20" a="1"/>
  <c r="N55" i="20" s="1"/>
  <c r="O55" i="20" a="1"/>
  <c r="O55" i="20" s="1"/>
  <c r="P55" i="20" a="1"/>
  <c r="P55" i="20" s="1"/>
  <c r="Q55" i="20" a="1"/>
  <c r="Q55" i="20" s="1"/>
  <c r="R55" i="20" a="1"/>
  <c r="R55" i="20" s="1"/>
  <c r="U55" i="20" a="1"/>
  <c r="U55" i="20" s="1"/>
  <c r="V55" i="20" a="1"/>
  <c r="V55" i="20" s="1"/>
  <c r="W55" i="20" a="1"/>
  <c r="W55" i="20" s="1"/>
  <c r="X55" i="20" a="1"/>
  <c r="X55" i="20" s="1"/>
  <c r="K56" i="20" a="1"/>
  <c r="K56" i="20" s="1"/>
  <c r="L56" i="20" a="1"/>
  <c r="L56" i="20" s="1"/>
  <c r="M56" i="20" a="1"/>
  <c r="M56" i="20" s="1"/>
  <c r="N56" i="20" a="1"/>
  <c r="N56" i="20" s="1"/>
  <c r="O56" i="20" a="1"/>
  <c r="O56" i="20" s="1"/>
  <c r="P56" i="20" a="1"/>
  <c r="P56" i="20" s="1"/>
  <c r="Q56" i="20" a="1"/>
  <c r="Q56" i="20" s="1"/>
  <c r="R56" i="20" a="1"/>
  <c r="R56" i="20" s="1"/>
  <c r="U56" i="20" a="1"/>
  <c r="U56" i="20" s="1"/>
  <c r="V56" i="20" a="1"/>
  <c r="V56" i="20" s="1"/>
  <c r="W56" i="20" a="1"/>
  <c r="W56" i="20" s="1"/>
  <c r="X56" i="20" a="1"/>
  <c r="X56" i="20" s="1"/>
  <c r="K57" i="20" a="1"/>
  <c r="K57" i="20" s="1"/>
  <c r="L57" i="20" a="1"/>
  <c r="L57" i="20" s="1"/>
  <c r="M57" i="20" a="1"/>
  <c r="M57" i="20" s="1"/>
  <c r="N57" i="20" a="1"/>
  <c r="N57" i="20" s="1"/>
  <c r="O57" i="20" a="1"/>
  <c r="O57" i="20" s="1"/>
  <c r="P57" i="20" a="1"/>
  <c r="P57" i="20" s="1"/>
  <c r="Q57" i="20" a="1"/>
  <c r="Q57" i="20" s="1"/>
  <c r="R57" i="20" a="1"/>
  <c r="R57" i="20" s="1"/>
  <c r="U57" i="20" a="1"/>
  <c r="U57" i="20" s="1"/>
  <c r="V57" i="20" a="1"/>
  <c r="V57" i="20" s="1"/>
  <c r="W57" i="20" a="1"/>
  <c r="W57" i="20" s="1"/>
  <c r="X57" i="20" a="1"/>
  <c r="X57" i="20" s="1"/>
  <c r="K58" i="20" a="1"/>
  <c r="K58" i="20" s="1"/>
  <c r="L58" i="20" a="1"/>
  <c r="L58" i="20" s="1"/>
  <c r="M58" i="20" a="1"/>
  <c r="M58" i="20" s="1"/>
  <c r="N58" i="20" a="1"/>
  <c r="N58" i="20" s="1"/>
  <c r="O58" i="20" a="1"/>
  <c r="O58" i="20" s="1"/>
  <c r="P58" i="20" a="1"/>
  <c r="P58" i="20" s="1"/>
  <c r="Q58" i="20" a="1"/>
  <c r="Q58" i="20" s="1"/>
  <c r="R58" i="20" a="1"/>
  <c r="R58" i="20" s="1"/>
  <c r="U58" i="20" a="1"/>
  <c r="U58" i="20" s="1"/>
  <c r="V58" i="20" a="1"/>
  <c r="V58" i="20" s="1"/>
  <c r="W58" i="20" a="1"/>
  <c r="W58" i="20" s="1"/>
  <c r="X58" i="20" a="1"/>
  <c r="X58" i="20" s="1"/>
  <c r="K59" i="20" a="1"/>
  <c r="K59" i="20" s="1"/>
  <c r="L59" i="20" a="1"/>
  <c r="L59" i="20" s="1"/>
  <c r="M59" i="20" a="1"/>
  <c r="M59" i="20" s="1"/>
  <c r="N59" i="20" a="1"/>
  <c r="N59" i="20" s="1"/>
  <c r="O59" i="20" a="1"/>
  <c r="O59" i="20" s="1"/>
  <c r="P59" i="20" a="1"/>
  <c r="P59" i="20" s="1"/>
  <c r="Q59" i="20" a="1"/>
  <c r="Q59" i="20" s="1"/>
  <c r="R59" i="20" a="1"/>
  <c r="R59" i="20" s="1"/>
  <c r="U59" i="20" a="1"/>
  <c r="U59" i="20" s="1"/>
  <c r="V59" i="20" a="1"/>
  <c r="V59" i="20" s="1"/>
  <c r="W59" i="20" a="1"/>
  <c r="W59" i="20" s="1"/>
  <c r="X59" i="20" a="1"/>
  <c r="X59" i="20" s="1"/>
  <c r="K60" i="20" a="1"/>
  <c r="K60" i="20" s="1"/>
  <c r="L60" i="20" a="1"/>
  <c r="L60" i="20" s="1"/>
  <c r="M60" i="20" a="1"/>
  <c r="M60" i="20" s="1"/>
  <c r="N60" i="20" a="1"/>
  <c r="N60" i="20" s="1"/>
  <c r="O60" i="20" a="1"/>
  <c r="O60" i="20" s="1"/>
  <c r="P60" i="20" a="1"/>
  <c r="P60" i="20" s="1"/>
  <c r="Q60" i="20" a="1"/>
  <c r="Q60" i="20" s="1"/>
  <c r="R60" i="20" a="1"/>
  <c r="R60" i="20" s="1"/>
  <c r="U60" i="20" a="1"/>
  <c r="U60" i="20" s="1"/>
  <c r="V60" i="20" a="1"/>
  <c r="V60" i="20" s="1"/>
  <c r="W60" i="20" a="1"/>
  <c r="W60" i="20" s="1"/>
  <c r="X60" i="20" a="1"/>
  <c r="X60" i="20" s="1"/>
  <c r="K61" i="20" a="1"/>
  <c r="K61" i="20" s="1"/>
  <c r="L61" i="20" a="1"/>
  <c r="L61" i="20" s="1"/>
  <c r="M61" i="20" a="1"/>
  <c r="M61" i="20" s="1"/>
  <c r="N61" i="20" a="1"/>
  <c r="N61" i="20" s="1"/>
  <c r="O61" i="20" a="1"/>
  <c r="O61" i="20" s="1"/>
  <c r="P61" i="20" a="1"/>
  <c r="P61" i="20" s="1"/>
  <c r="Q61" i="20" a="1"/>
  <c r="Q61" i="20" s="1"/>
  <c r="R61" i="20" a="1"/>
  <c r="R61" i="20" s="1"/>
  <c r="U61" i="20" a="1"/>
  <c r="U61" i="20" s="1"/>
  <c r="V61" i="20" a="1"/>
  <c r="V61" i="20" s="1"/>
  <c r="W61" i="20" a="1"/>
  <c r="W61" i="20" s="1"/>
  <c r="X61" i="20" a="1"/>
  <c r="X61" i="20" s="1"/>
  <c r="K62" i="20" a="1"/>
  <c r="K62" i="20" s="1"/>
  <c r="L62" i="20" a="1"/>
  <c r="L62" i="20" s="1"/>
  <c r="M62" i="20" a="1"/>
  <c r="M62" i="20" s="1"/>
  <c r="N62" i="20" a="1"/>
  <c r="N62" i="20" s="1"/>
  <c r="O62" i="20" a="1"/>
  <c r="O62" i="20" s="1"/>
  <c r="P62" i="20" a="1"/>
  <c r="P62" i="20" s="1"/>
  <c r="Q62" i="20" a="1"/>
  <c r="Q62" i="20" s="1"/>
  <c r="R62" i="20" a="1"/>
  <c r="R62" i="20" s="1"/>
  <c r="U62" i="20" a="1"/>
  <c r="U62" i="20" s="1"/>
  <c r="V62" i="20" a="1"/>
  <c r="V62" i="20" s="1"/>
  <c r="W62" i="20" a="1"/>
  <c r="W62" i="20" s="1"/>
  <c r="X62" i="20" a="1"/>
  <c r="X62" i="20" s="1"/>
  <c r="K63" i="20" a="1"/>
  <c r="K63" i="20" s="1"/>
  <c r="L63" i="20" a="1"/>
  <c r="L63" i="20" s="1"/>
  <c r="M63" i="20" a="1"/>
  <c r="M63" i="20" s="1"/>
  <c r="N63" i="20" a="1"/>
  <c r="N63" i="20" s="1"/>
  <c r="O63" i="20" a="1"/>
  <c r="O63" i="20" s="1"/>
  <c r="P63" i="20" a="1"/>
  <c r="P63" i="20" s="1"/>
  <c r="Q63" i="20" a="1"/>
  <c r="Q63" i="20" s="1"/>
  <c r="R63" i="20" a="1"/>
  <c r="R63" i="20" s="1"/>
  <c r="U63" i="20" a="1"/>
  <c r="U63" i="20" s="1"/>
  <c r="V63" i="20" a="1"/>
  <c r="V63" i="20" s="1"/>
  <c r="W63" i="20" a="1"/>
  <c r="W63" i="20" s="1"/>
  <c r="X63" i="20" a="1"/>
  <c r="X63" i="20" s="1"/>
  <c r="K64" i="20" a="1"/>
  <c r="K64" i="20" s="1"/>
  <c r="L64" i="20" a="1"/>
  <c r="L64" i="20" s="1"/>
  <c r="M64" i="20" a="1"/>
  <c r="M64" i="20" s="1"/>
  <c r="N64" i="20" a="1"/>
  <c r="N64" i="20" s="1"/>
  <c r="O64" i="20" a="1"/>
  <c r="O64" i="20" s="1"/>
  <c r="P64" i="20" a="1"/>
  <c r="P64" i="20" s="1"/>
  <c r="Q64" i="20" a="1"/>
  <c r="Q64" i="20" s="1"/>
  <c r="R64" i="20" a="1"/>
  <c r="R64" i="20" s="1"/>
  <c r="U64" i="20" a="1"/>
  <c r="U64" i="20" s="1"/>
  <c r="V64" i="20" a="1"/>
  <c r="V64" i="20" s="1"/>
  <c r="W64" i="20" a="1"/>
  <c r="W64" i="20" s="1"/>
  <c r="X64" i="20" a="1"/>
  <c r="X64" i="20" s="1"/>
  <c r="K65" i="20" a="1"/>
  <c r="K65" i="20" s="1"/>
  <c r="L65" i="20" a="1"/>
  <c r="L65" i="20" s="1"/>
  <c r="M65" i="20" a="1"/>
  <c r="M65" i="20" s="1"/>
  <c r="N65" i="20" a="1"/>
  <c r="N65" i="20" s="1"/>
  <c r="O65" i="20" a="1"/>
  <c r="O65" i="20" s="1"/>
  <c r="P65" i="20" a="1"/>
  <c r="P65" i="20" s="1"/>
  <c r="Q65" i="20" a="1"/>
  <c r="Q65" i="20" s="1"/>
  <c r="R65" i="20" a="1"/>
  <c r="R65" i="20" s="1"/>
  <c r="U65" i="20" a="1"/>
  <c r="U65" i="20" s="1"/>
  <c r="V65" i="20" a="1"/>
  <c r="V65" i="20" s="1"/>
  <c r="W65" i="20" a="1"/>
  <c r="W65" i="20" s="1"/>
  <c r="X65" i="20" a="1"/>
  <c r="X65" i="20" s="1"/>
  <c r="K66" i="20" a="1"/>
  <c r="K66" i="20" s="1"/>
  <c r="L66" i="20" a="1"/>
  <c r="L66" i="20" s="1"/>
  <c r="M66" i="20" a="1"/>
  <c r="M66" i="20" s="1"/>
  <c r="N66" i="20" a="1"/>
  <c r="N66" i="20" s="1"/>
  <c r="O66" i="20" a="1"/>
  <c r="O66" i="20" s="1"/>
  <c r="P66" i="20" a="1"/>
  <c r="P66" i="20" s="1"/>
  <c r="Q66" i="20" a="1"/>
  <c r="Q66" i="20" s="1"/>
  <c r="R66" i="20" a="1"/>
  <c r="R66" i="20" s="1"/>
  <c r="U66" i="20" a="1"/>
  <c r="U66" i="20" s="1"/>
  <c r="V66" i="20" a="1"/>
  <c r="V66" i="20" s="1"/>
  <c r="W66" i="20" a="1"/>
  <c r="W66" i="20" s="1"/>
  <c r="X66" i="20" a="1"/>
  <c r="X66" i="20" s="1"/>
  <c r="K67" i="20" a="1"/>
  <c r="K67" i="20" s="1"/>
  <c r="L67" i="20" a="1"/>
  <c r="L67" i="20" s="1"/>
  <c r="M67" i="20" a="1"/>
  <c r="M67" i="20" s="1"/>
  <c r="N67" i="20" a="1"/>
  <c r="N67" i="20" s="1"/>
  <c r="O67" i="20" a="1"/>
  <c r="O67" i="20" s="1"/>
  <c r="P67" i="20" a="1"/>
  <c r="P67" i="20" s="1"/>
  <c r="Q67" i="20" a="1"/>
  <c r="Q67" i="20" s="1"/>
  <c r="R67" i="20" a="1"/>
  <c r="R67" i="20" s="1"/>
  <c r="U67" i="20" a="1"/>
  <c r="U67" i="20" s="1"/>
  <c r="V67" i="20" a="1"/>
  <c r="V67" i="20" s="1"/>
  <c r="W67" i="20" a="1"/>
  <c r="W67" i="20" s="1"/>
  <c r="X67" i="20" a="1"/>
  <c r="X67" i="20" s="1"/>
  <c r="K68" i="20" a="1"/>
  <c r="K68" i="20" s="1"/>
  <c r="L68" i="20" a="1"/>
  <c r="L68" i="20" s="1"/>
  <c r="M68" i="20" a="1"/>
  <c r="M68" i="20" s="1"/>
  <c r="N68" i="20" a="1"/>
  <c r="N68" i="20" s="1"/>
  <c r="O68" i="20" a="1"/>
  <c r="O68" i="20" s="1"/>
  <c r="P68" i="20" a="1"/>
  <c r="P68" i="20" s="1"/>
  <c r="Q68" i="20" a="1"/>
  <c r="Q68" i="20" s="1"/>
  <c r="R68" i="20" a="1"/>
  <c r="R68" i="20" s="1"/>
  <c r="U68" i="20" a="1"/>
  <c r="U68" i="20" s="1"/>
  <c r="V68" i="20" a="1"/>
  <c r="V68" i="20" s="1"/>
  <c r="W68" i="20" a="1"/>
  <c r="W68" i="20" s="1"/>
  <c r="X68" i="20" a="1"/>
  <c r="X68" i="20" s="1"/>
  <c r="K69" i="20" a="1"/>
  <c r="K69" i="20" s="1"/>
  <c r="L69" i="20" a="1"/>
  <c r="L69" i="20" s="1"/>
  <c r="M69" i="20" a="1"/>
  <c r="M69" i="20" s="1"/>
  <c r="N69" i="20" a="1"/>
  <c r="N69" i="20" s="1"/>
  <c r="O69" i="20" a="1"/>
  <c r="O69" i="20" s="1"/>
  <c r="P69" i="20" a="1"/>
  <c r="P69" i="20" s="1"/>
  <c r="Q69" i="20" a="1"/>
  <c r="Q69" i="20" s="1"/>
  <c r="R69" i="20" a="1"/>
  <c r="R69" i="20" s="1"/>
  <c r="U69" i="20" a="1"/>
  <c r="U69" i="20" s="1"/>
  <c r="V69" i="20" a="1"/>
  <c r="V69" i="20" s="1"/>
  <c r="W69" i="20" a="1"/>
  <c r="W69" i="20" s="1"/>
  <c r="X69" i="20" a="1"/>
  <c r="X69" i="20" s="1"/>
  <c r="K70" i="20" a="1"/>
  <c r="K70" i="20" s="1"/>
  <c r="L70" i="20" a="1"/>
  <c r="L70" i="20" s="1"/>
  <c r="M70" i="20" a="1"/>
  <c r="M70" i="20" s="1"/>
  <c r="N70" i="20" a="1"/>
  <c r="N70" i="20" s="1"/>
  <c r="O70" i="20" a="1"/>
  <c r="O70" i="20" s="1"/>
  <c r="P70" i="20" a="1"/>
  <c r="P70" i="20" s="1"/>
  <c r="Q70" i="20" a="1"/>
  <c r="Q70" i="20" s="1"/>
  <c r="R70" i="20" a="1"/>
  <c r="R70" i="20" s="1"/>
  <c r="U70" i="20" a="1"/>
  <c r="U70" i="20" s="1"/>
  <c r="V70" i="20" a="1"/>
  <c r="V70" i="20" s="1"/>
  <c r="W70" i="20" a="1"/>
  <c r="W70" i="20" s="1"/>
  <c r="X70" i="20" a="1"/>
  <c r="X70" i="20" s="1"/>
  <c r="K71" i="20" a="1"/>
  <c r="K71" i="20" s="1"/>
  <c r="L71" i="20" a="1"/>
  <c r="L71" i="20" s="1"/>
  <c r="M71" i="20" a="1"/>
  <c r="M71" i="20" s="1"/>
  <c r="N71" i="20" a="1"/>
  <c r="N71" i="20" s="1"/>
  <c r="O71" i="20" a="1"/>
  <c r="O71" i="20" s="1"/>
  <c r="P71" i="20" a="1"/>
  <c r="P71" i="20" s="1"/>
  <c r="Q71" i="20" a="1"/>
  <c r="Q71" i="20" s="1"/>
  <c r="R71" i="20" a="1"/>
  <c r="R71" i="20" s="1"/>
  <c r="U71" i="20" a="1"/>
  <c r="U71" i="20" s="1"/>
  <c r="V71" i="20" a="1"/>
  <c r="V71" i="20" s="1"/>
  <c r="W71" i="20" a="1"/>
  <c r="W71" i="20" s="1"/>
  <c r="X71" i="20" a="1"/>
  <c r="X71" i="20" s="1"/>
  <c r="K72" i="20" a="1"/>
  <c r="K72" i="20" s="1"/>
  <c r="L72" i="20" a="1"/>
  <c r="L72" i="20" s="1"/>
  <c r="M72" i="20" a="1"/>
  <c r="M72" i="20" s="1"/>
  <c r="N72" i="20" a="1"/>
  <c r="N72" i="20" s="1"/>
  <c r="O72" i="20" a="1"/>
  <c r="O72" i="20" s="1"/>
  <c r="P72" i="20" a="1"/>
  <c r="P72" i="20" s="1"/>
  <c r="Q72" i="20" a="1"/>
  <c r="Q72" i="20" s="1"/>
  <c r="R72" i="20" a="1"/>
  <c r="R72" i="20" s="1"/>
  <c r="U72" i="20" a="1"/>
  <c r="U72" i="20" s="1"/>
  <c r="V72" i="20" a="1"/>
  <c r="V72" i="20" s="1"/>
  <c r="W72" i="20" a="1"/>
  <c r="W72" i="20" s="1"/>
  <c r="X72" i="20" a="1"/>
  <c r="X72" i="20" s="1"/>
  <c r="K73" i="20" a="1"/>
  <c r="K73" i="20" s="1"/>
  <c r="L73" i="20" a="1"/>
  <c r="L73" i="20" s="1"/>
  <c r="M73" i="20" a="1"/>
  <c r="M73" i="20" s="1"/>
  <c r="N73" i="20" a="1"/>
  <c r="N73" i="20" s="1"/>
  <c r="O73" i="20" a="1"/>
  <c r="O73" i="20" s="1"/>
  <c r="P73" i="20" a="1"/>
  <c r="P73" i="20" s="1"/>
  <c r="Q73" i="20" a="1"/>
  <c r="Q73" i="20" s="1"/>
  <c r="R73" i="20" a="1"/>
  <c r="R73" i="20" s="1"/>
  <c r="U73" i="20" a="1"/>
  <c r="U73" i="20" s="1"/>
  <c r="V73" i="20" a="1"/>
  <c r="V73" i="20" s="1"/>
  <c r="W73" i="20" a="1"/>
  <c r="W73" i="20" s="1"/>
  <c r="X73" i="20" a="1"/>
  <c r="X73" i="20" s="1"/>
  <c r="K74" i="20" a="1"/>
  <c r="K74" i="20" s="1"/>
  <c r="L74" i="20" a="1"/>
  <c r="L74" i="20" s="1"/>
  <c r="M74" i="20" a="1"/>
  <c r="M74" i="20" s="1"/>
  <c r="N74" i="20" a="1"/>
  <c r="N74" i="20" s="1"/>
  <c r="O74" i="20" a="1"/>
  <c r="O74" i="20" s="1"/>
  <c r="P74" i="20" a="1"/>
  <c r="P74" i="20" s="1"/>
  <c r="Q74" i="20" a="1"/>
  <c r="Q74" i="20" s="1"/>
  <c r="R74" i="20" a="1"/>
  <c r="R74" i="20" s="1"/>
  <c r="U74" i="20" a="1"/>
  <c r="U74" i="20" s="1"/>
  <c r="V74" i="20" a="1"/>
  <c r="V74" i="20" s="1"/>
  <c r="W74" i="20" a="1"/>
  <c r="W74" i="20" s="1"/>
  <c r="X74" i="20" a="1"/>
  <c r="X74" i="20" s="1"/>
  <c r="K75" i="20" a="1"/>
  <c r="K75" i="20" s="1"/>
  <c r="L75" i="20" a="1"/>
  <c r="L75" i="20" s="1"/>
  <c r="M75" i="20" a="1"/>
  <c r="M75" i="20" s="1"/>
  <c r="N75" i="20" a="1"/>
  <c r="N75" i="20" s="1"/>
  <c r="O75" i="20" a="1"/>
  <c r="O75" i="20" s="1"/>
  <c r="P75" i="20" a="1"/>
  <c r="P75" i="20" s="1"/>
  <c r="Q75" i="20" a="1"/>
  <c r="Q75" i="20" s="1"/>
  <c r="R75" i="20" a="1"/>
  <c r="R75" i="20" s="1"/>
  <c r="U75" i="20" a="1"/>
  <c r="U75" i="20" s="1"/>
  <c r="V75" i="20" a="1"/>
  <c r="V75" i="20" s="1"/>
  <c r="W75" i="20" a="1"/>
  <c r="W75" i="20" s="1"/>
  <c r="X75" i="20" a="1"/>
  <c r="X75" i="20" s="1"/>
  <c r="K76" i="20" a="1"/>
  <c r="K76" i="20" s="1"/>
  <c r="L76" i="20" a="1"/>
  <c r="L76" i="20" s="1"/>
  <c r="M76" i="20" a="1"/>
  <c r="M76" i="20" s="1"/>
  <c r="N76" i="20" a="1"/>
  <c r="N76" i="20" s="1"/>
  <c r="O76" i="20" a="1"/>
  <c r="O76" i="20" s="1"/>
  <c r="P76" i="20" a="1"/>
  <c r="P76" i="20" s="1"/>
  <c r="Q76" i="20" a="1"/>
  <c r="Q76" i="20" s="1"/>
  <c r="R76" i="20" a="1"/>
  <c r="R76" i="20" s="1"/>
  <c r="U76" i="20" a="1"/>
  <c r="U76" i="20" s="1"/>
  <c r="V76" i="20" a="1"/>
  <c r="V76" i="20" s="1"/>
  <c r="W76" i="20" a="1"/>
  <c r="W76" i="20" s="1"/>
  <c r="X76" i="20" a="1"/>
  <c r="X76" i="20" s="1"/>
  <c r="K77" i="20" a="1"/>
  <c r="K77" i="20" s="1"/>
  <c r="L77" i="20" a="1"/>
  <c r="L77" i="20" s="1"/>
  <c r="M77" i="20" a="1"/>
  <c r="M77" i="20" s="1"/>
  <c r="N77" i="20" a="1"/>
  <c r="N77" i="20" s="1"/>
  <c r="O77" i="20" a="1"/>
  <c r="O77" i="20" s="1"/>
  <c r="P77" i="20" a="1"/>
  <c r="P77" i="20" s="1"/>
  <c r="Q77" i="20" a="1"/>
  <c r="Q77" i="20" s="1"/>
  <c r="R77" i="20" a="1"/>
  <c r="R77" i="20" s="1"/>
  <c r="U77" i="20" a="1"/>
  <c r="U77" i="20" s="1"/>
  <c r="V77" i="20" a="1"/>
  <c r="V77" i="20" s="1"/>
  <c r="W77" i="20" a="1"/>
  <c r="W77" i="20" s="1"/>
  <c r="X77" i="20" a="1"/>
  <c r="X77" i="20" s="1"/>
  <c r="K78" i="20" a="1"/>
  <c r="K78" i="20" s="1"/>
  <c r="L78" i="20" a="1"/>
  <c r="L78" i="20" s="1"/>
  <c r="M78" i="20" a="1"/>
  <c r="M78" i="20" s="1"/>
  <c r="N78" i="20" a="1"/>
  <c r="N78" i="20" s="1"/>
  <c r="O78" i="20" a="1"/>
  <c r="O78" i="20" s="1"/>
  <c r="P78" i="20" a="1"/>
  <c r="P78" i="20" s="1"/>
  <c r="Q78" i="20" a="1"/>
  <c r="Q78" i="20" s="1"/>
  <c r="R78" i="20" a="1"/>
  <c r="R78" i="20" s="1"/>
  <c r="U78" i="20" a="1"/>
  <c r="U78" i="20" s="1"/>
  <c r="V78" i="20" a="1"/>
  <c r="V78" i="20" s="1"/>
  <c r="W78" i="20" a="1"/>
  <c r="W78" i="20" s="1"/>
  <c r="X78" i="20" a="1"/>
  <c r="X78" i="20" s="1"/>
  <c r="K79" i="20" a="1"/>
  <c r="K79" i="20" s="1"/>
  <c r="L79" i="20" a="1"/>
  <c r="L79" i="20" s="1"/>
  <c r="M79" i="20" a="1"/>
  <c r="M79" i="20" s="1"/>
  <c r="N79" i="20" a="1"/>
  <c r="N79" i="20" s="1"/>
  <c r="O79" i="20" a="1"/>
  <c r="O79" i="20" s="1"/>
  <c r="P79" i="20" a="1"/>
  <c r="P79" i="20" s="1"/>
  <c r="Q79" i="20" a="1"/>
  <c r="Q79" i="20" s="1"/>
  <c r="R79" i="20" a="1"/>
  <c r="R79" i="20" s="1"/>
  <c r="U79" i="20" a="1"/>
  <c r="U79" i="20" s="1"/>
  <c r="V79" i="20" a="1"/>
  <c r="V79" i="20" s="1"/>
  <c r="W79" i="20" a="1"/>
  <c r="W79" i="20" s="1"/>
  <c r="X79" i="20" a="1"/>
  <c r="X79" i="20" s="1"/>
  <c r="K80" i="20" a="1"/>
  <c r="K80" i="20" s="1"/>
  <c r="L80" i="20" a="1"/>
  <c r="L80" i="20" s="1"/>
  <c r="M80" i="20" a="1"/>
  <c r="M80" i="20" s="1"/>
  <c r="N80" i="20" a="1"/>
  <c r="N80" i="20" s="1"/>
  <c r="O80" i="20" a="1"/>
  <c r="O80" i="20" s="1"/>
  <c r="P80" i="20" a="1"/>
  <c r="P80" i="20" s="1"/>
  <c r="Q80" i="20" a="1"/>
  <c r="Q80" i="20" s="1"/>
  <c r="R80" i="20" a="1"/>
  <c r="R80" i="20" s="1"/>
  <c r="U80" i="20" a="1"/>
  <c r="U80" i="20" s="1"/>
  <c r="V80" i="20" a="1"/>
  <c r="V80" i="20" s="1"/>
  <c r="W80" i="20" a="1"/>
  <c r="W80" i="20" s="1"/>
  <c r="X80" i="20" a="1"/>
  <c r="X80" i="20" s="1"/>
  <c r="K81" i="20" a="1"/>
  <c r="K81" i="20" s="1"/>
  <c r="L81" i="20" a="1"/>
  <c r="L81" i="20" s="1"/>
  <c r="M81" i="20" a="1"/>
  <c r="M81" i="20" s="1"/>
  <c r="N81" i="20" a="1"/>
  <c r="N81" i="20" s="1"/>
  <c r="O81" i="20" a="1"/>
  <c r="O81" i="20" s="1"/>
  <c r="P81" i="20" a="1"/>
  <c r="P81" i="20" s="1"/>
  <c r="Q81" i="20" a="1"/>
  <c r="Q81" i="20" s="1"/>
  <c r="R81" i="20" a="1"/>
  <c r="R81" i="20" s="1"/>
  <c r="U81" i="20" a="1"/>
  <c r="U81" i="20" s="1"/>
  <c r="V81" i="20" a="1"/>
  <c r="V81" i="20" s="1"/>
  <c r="W81" i="20" a="1"/>
  <c r="W81" i="20" s="1"/>
  <c r="X81" i="20" a="1"/>
  <c r="X81" i="20" s="1"/>
  <c r="K82" i="20" a="1"/>
  <c r="K82" i="20" s="1"/>
  <c r="L82" i="20" a="1"/>
  <c r="L82" i="20" s="1"/>
  <c r="M82" i="20" a="1"/>
  <c r="M82" i="20" s="1"/>
  <c r="N82" i="20" a="1"/>
  <c r="N82" i="20" s="1"/>
  <c r="O82" i="20" a="1"/>
  <c r="O82" i="20" s="1"/>
  <c r="P82" i="20" a="1"/>
  <c r="P82" i="20" s="1"/>
  <c r="Q82" i="20" a="1"/>
  <c r="Q82" i="20" s="1"/>
  <c r="R82" i="20" a="1"/>
  <c r="R82" i="20" s="1"/>
  <c r="U82" i="20" a="1"/>
  <c r="U82" i="20" s="1"/>
  <c r="V82" i="20" a="1"/>
  <c r="V82" i="20" s="1"/>
  <c r="W82" i="20" a="1"/>
  <c r="W82" i="20" s="1"/>
  <c r="X82" i="20" a="1"/>
  <c r="X82" i="20" s="1"/>
  <c r="K83" i="20" a="1"/>
  <c r="K83" i="20" s="1"/>
  <c r="L83" i="20" a="1"/>
  <c r="L83" i="20" s="1"/>
  <c r="M83" i="20" a="1"/>
  <c r="M83" i="20" s="1"/>
  <c r="N83" i="20" a="1"/>
  <c r="N83" i="20" s="1"/>
  <c r="O83" i="20" a="1"/>
  <c r="O83" i="20" s="1"/>
  <c r="P83" i="20" a="1"/>
  <c r="P83" i="20" s="1"/>
  <c r="Q83" i="20" a="1"/>
  <c r="Q83" i="20" s="1"/>
  <c r="R83" i="20" a="1"/>
  <c r="R83" i="20" s="1"/>
  <c r="U83" i="20" a="1"/>
  <c r="U83" i="20" s="1"/>
  <c r="V83" i="20" a="1"/>
  <c r="V83" i="20" s="1"/>
  <c r="W83" i="20" a="1"/>
  <c r="W83" i="20" s="1"/>
  <c r="X83" i="20" a="1"/>
  <c r="X83" i="20" s="1"/>
  <c r="K84" i="20" a="1"/>
  <c r="K84" i="20" s="1"/>
  <c r="L84" i="20" a="1"/>
  <c r="L84" i="20" s="1"/>
  <c r="M84" i="20" a="1"/>
  <c r="M84" i="20" s="1"/>
  <c r="N84" i="20" a="1"/>
  <c r="N84" i="20" s="1"/>
  <c r="O84" i="20" a="1"/>
  <c r="O84" i="20" s="1"/>
  <c r="P84" i="20" a="1"/>
  <c r="P84" i="20" s="1"/>
  <c r="Q84" i="20" a="1"/>
  <c r="Q84" i="20" s="1"/>
  <c r="R84" i="20" a="1"/>
  <c r="R84" i="20" s="1"/>
  <c r="U84" i="20" a="1"/>
  <c r="U84" i="20" s="1"/>
  <c r="V84" i="20" a="1"/>
  <c r="V84" i="20" s="1"/>
  <c r="W84" i="20" a="1"/>
  <c r="W84" i="20" s="1"/>
  <c r="X84" i="20" a="1"/>
  <c r="X84" i="20" s="1"/>
  <c r="K85" i="20" a="1"/>
  <c r="K85" i="20" s="1"/>
  <c r="L85" i="20" a="1"/>
  <c r="L85" i="20" s="1"/>
  <c r="M85" i="20" a="1"/>
  <c r="M85" i="20" s="1"/>
  <c r="N85" i="20" a="1"/>
  <c r="N85" i="20" s="1"/>
  <c r="O85" i="20" a="1"/>
  <c r="O85" i="20" s="1"/>
  <c r="P85" i="20" a="1"/>
  <c r="P85" i="20" s="1"/>
  <c r="Q85" i="20" a="1"/>
  <c r="Q85" i="20" s="1"/>
  <c r="R85" i="20" a="1"/>
  <c r="R85" i="20" s="1"/>
  <c r="U85" i="20" a="1"/>
  <c r="U85" i="20" s="1"/>
  <c r="V85" i="20" a="1"/>
  <c r="V85" i="20" s="1"/>
  <c r="W85" i="20" a="1"/>
  <c r="W85" i="20" s="1"/>
  <c r="X85" i="20" a="1"/>
  <c r="X85" i="20" s="1"/>
  <c r="K86" i="20" a="1"/>
  <c r="K86" i="20" s="1"/>
  <c r="L86" i="20" a="1"/>
  <c r="L86" i="20" s="1"/>
  <c r="M86" i="20" a="1"/>
  <c r="M86" i="20" s="1"/>
  <c r="N86" i="20" a="1"/>
  <c r="N86" i="20" s="1"/>
  <c r="O86" i="20" a="1"/>
  <c r="O86" i="20" s="1"/>
  <c r="P86" i="20" a="1"/>
  <c r="P86" i="20" s="1"/>
  <c r="Q86" i="20" a="1"/>
  <c r="Q86" i="20" s="1"/>
  <c r="R86" i="20" a="1"/>
  <c r="R86" i="20" s="1"/>
  <c r="U86" i="20" a="1"/>
  <c r="U86" i="20" s="1"/>
  <c r="V86" i="20" a="1"/>
  <c r="V86" i="20" s="1"/>
  <c r="W86" i="20" a="1"/>
  <c r="W86" i="20" s="1"/>
  <c r="X86" i="20" a="1"/>
  <c r="X86" i="20" s="1"/>
  <c r="K87" i="20" a="1"/>
  <c r="K87" i="20" s="1"/>
  <c r="L87" i="20" a="1"/>
  <c r="L87" i="20" s="1"/>
  <c r="M87" i="20" a="1"/>
  <c r="M87" i="20" s="1"/>
  <c r="N87" i="20" a="1"/>
  <c r="N87" i="20" s="1"/>
  <c r="O87" i="20" a="1"/>
  <c r="O87" i="20" s="1"/>
  <c r="P87" i="20" a="1"/>
  <c r="P87" i="20" s="1"/>
  <c r="Q87" i="20" a="1"/>
  <c r="Q87" i="20" s="1"/>
  <c r="R87" i="20" a="1"/>
  <c r="R87" i="20" s="1"/>
  <c r="U87" i="20" a="1"/>
  <c r="U87" i="20" s="1"/>
  <c r="V87" i="20" a="1"/>
  <c r="V87" i="20" s="1"/>
  <c r="W87" i="20" a="1"/>
  <c r="W87" i="20" s="1"/>
  <c r="X87" i="20" a="1"/>
  <c r="X87" i="20" s="1"/>
  <c r="K88" i="20" a="1"/>
  <c r="K88" i="20" s="1"/>
  <c r="L88" i="20" a="1"/>
  <c r="L88" i="20" s="1"/>
  <c r="M88" i="20" a="1"/>
  <c r="M88" i="20" s="1"/>
  <c r="N88" i="20" a="1"/>
  <c r="N88" i="20" s="1"/>
  <c r="O88" i="20" a="1"/>
  <c r="O88" i="20" s="1"/>
  <c r="P88" i="20" a="1"/>
  <c r="P88" i="20" s="1"/>
  <c r="Q88" i="20" a="1"/>
  <c r="Q88" i="20" s="1"/>
  <c r="R88" i="20" a="1"/>
  <c r="R88" i="20" s="1"/>
  <c r="U88" i="20" a="1"/>
  <c r="U88" i="20" s="1"/>
  <c r="V88" i="20" a="1"/>
  <c r="V88" i="20" s="1"/>
  <c r="W88" i="20" a="1"/>
  <c r="W88" i="20" s="1"/>
  <c r="X88" i="20" a="1"/>
  <c r="X88" i="20" s="1"/>
  <c r="K89" i="20" a="1"/>
  <c r="K89" i="20" s="1"/>
  <c r="L89" i="20" a="1"/>
  <c r="L89" i="20" s="1"/>
  <c r="M89" i="20" a="1"/>
  <c r="M89" i="20" s="1"/>
  <c r="N89" i="20" a="1"/>
  <c r="N89" i="20" s="1"/>
  <c r="O89" i="20" a="1"/>
  <c r="O89" i="20" s="1"/>
  <c r="P89" i="20" a="1"/>
  <c r="P89" i="20" s="1"/>
  <c r="Q89" i="20" a="1"/>
  <c r="Q89" i="20" s="1"/>
  <c r="R89" i="20" a="1"/>
  <c r="R89" i="20" s="1"/>
  <c r="U89" i="20" a="1"/>
  <c r="U89" i="20" s="1"/>
  <c r="V89" i="20" a="1"/>
  <c r="V89" i="20" s="1"/>
  <c r="W89" i="20" a="1"/>
  <c r="W89" i="20" s="1"/>
  <c r="X89" i="20" a="1"/>
  <c r="X89" i="20" s="1"/>
  <c r="K90" i="20" a="1"/>
  <c r="K90" i="20" s="1"/>
  <c r="L90" i="20" a="1"/>
  <c r="L90" i="20" s="1"/>
  <c r="M90" i="20" a="1"/>
  <c r="M90" i="20" s="1"/>
  <c r="N90" i="20" a="1"/>
  <c r="N90" i="20" s="1"/>
  <c r="O90" i="20" a="1"/>
  <c r="O90" i="20" s="1"/>
  <c r="P90" i="20" a="1"/>
  <c r="P90" i="20" s="1"/>
  <c r="Q90" i="20" a="1"/>
  <c r="Q90" i="20" s="1"/>
  <c r="R90" i="20" a="1"/>
  <c r="R90" i="20" s="1"/>
  <c r="U90" i="20" a="1"/>
  <c r="U90" i="20" s="1"/>
  <c r="V90" i="20" a="1"/>
  <c r="V90" i="20" s="1"/>
  <c r="W90" i="20" a="1"/>
  <c r="W90" i="20" s="1"/>
  <c r="X90" i="20" a="1"/>
  <c r="X90" i="20" s="1"/>
  <c r="K91" i="20" a="1"/>
  <c r="K91" i="20" s="1"/>
  <c r="L91" i="20" a="1"/>
  <c r="L91" i="20" s="1"/>
  <c r="M91" i="20" a="1"/>
  <c r="M91" i="20" s="1"/>
  <c r="N91" i="20" a="1"/>
  <c r="N91" i="20" s="1"/>
  <c r="O91" i="20" a="1"/>
  <c r="O91" i="20" s="1"/>
  <c r="P91" i="20" a="1"/>
  <c r="P91" i="20" s="1"/>
  <c r="Q91" i="20" a="1"/>
  <c r="Q91" i="20" s="1"/>
  <c r="R91" i="20" a="1"/>
  <c r="R91" i="20" s="1"/>
  <c r="U91" i="20" a="1"/>
  <c r="U91" i="20" s="1"/>
  <c r="V91" i="20" a="1"/>
  <c r="V91" i="20" s="1"/>
  <c r="W91" i="20" a="1"/>
  <c r="W91" i="20" s="1"/>
  <c r="X91" i="20" a="1"/>
  <c r="X91" i="20" s="1"/>
  <c r="K92" i="20" a="1"/>
  <c r="K92" i="20" s="1"/>
  <c r="L92" i="20" a="1"/>
  <c r="L92" i="20" s="1"/>
  <c r="M92" i="20" a="1"/>
  <c r="M92" i="20" s="1"/>
  <c r="N92" i="20" a="1"/>
  <c r="N92" i="20" s="1"/>
  <c r="O92" i="20" a="1"/>
  <c r="O92" i="20" s="1"/>
  <c r="P92" i="20" a="1"/>
  <c r="P92" i="20" s="1"/>
  <c r="Q92" i="20" a="1"/>
  <c r="Q92" i="20" s="1"/>
  <c r="R92" i="20" a="1"/>
  <c r="R92" i="20" s="1"/>
  <c r="U92" i="20" a="1"/>
  <c r="U92" i="20" s="1"/>
  <c r="V92" i="20" a="1"/>
  <c r="V92" i="20" s="1"/>
  <c r="W92" i="20" a="1"/>
  <c r="W92" i="20" s="1"/>
  <c r="X92" i="20" a="1"/>
  <c r="X92" i="20" s="1"/>
  <c r="K93" i="20" a="1"/>
  <c r="K93" i="20" s="1"/>
  <c r="L93" i="20" a="1"/>
  <c r="L93" i="20" s="1"/>
  <c r="M93" i="20" a="1"/>
  <c r="M93" i="20" s="1"/>
  <c r="N93" i="20" a="1"/>
  <c r="N93" i="20" s="1"/>
  <c r="O93" i="20" a="1"/>
  <c r="O93" i="20" s="1"/>
  <c r="P93" i="20" a="1"/>
  <c r="P93" i="20" s="1"/>
  <c r="Q93" i="20" a="1"/>
  <c r="Q93" i="20" s="1"/>
  <c r="R93" i="20" a="1"/>
  <c r="R93" i="20" s="1"/>
  <c r="U93" i="20" a="1"/>
  <c r="U93" i="20" s="1"/>
  <c r="V93" i="20" a="1"/>
  <c r="V93" i="20" s="1"/>
  <c r="W93" i="20" a="1"/>
  <c r="W93" i="20" s="1"/>
  <c r="X93" i="20" a="1"/>
  <c r="X93" i="20" s="1"/>
  <c r="K94" i="20" a="1"/>
  <c r="K94" i="20" s="1"/>
  <c r="L94" i="20" a="1"/>
  <c r="L94" i="20" s="1"/>
  <c r="M94" i="20" a="1"/>
  <c r="M94" i="20" s="1"/>
  <c r="N94" i="20" a="1"/>
  <c r="N94" i="20" s="1"/>
  <c r="O94" i="20" a="1"/>
  <c r="O94" i="20" s="1"/>
  <c r="P94" i="20" a="1"/>
  <c r="P94" i="20" s="1"/>
  <c r="Q94" i="20" a="1"/>
  <c r="Q94" i="20" s="1"/>
  <c r="R94" i="20" a="1"/>
  <c r="R94" i="20" s="1"/>
  <c r="U94" i="20" a="1"/>
  <c r="U94" i="20" s="1"/>
  <c r="V94" i="20" a="1"/>
  <c r="V94" i="20" s="1"/>
  <c r="W94" i="20" a="1"/>
  <c r="W94" i="20" s="1"/>
  <c r="X94" i="20" a="1"/>
  <c r="X94" i="20" s="1"/>
  <c r="K95" i="20" a="1"/>
  <c r="K95" i="20" s="1"/>
  <c r="L95" i="20" a="1"/>
  <c r="L95" i="20" s="1"/>
  <c r="M95" i="20" a="1"/>
  <c r="M95" i="20" s="1"/>
  <c r="N95" i="20" a="1"/>
  <c r="N95" i="20" s="1"/>
  <c r="O95" i="20" a="1"/>
  <c r="O95" i="20" s="1"/>
  <c r="P95" i="20" a="1"/>
  <c r="P95" i="20" s="1"/>
  <c r="Q95" i="20" a="1"/>
  <c r="Q95" i="20" s="1"/>
  <c r="R95" i="20" a="1"/>
  <c r="R95" i="20" s="1"/>
  <c r="U95" i="20" a="1"/>
  <c r="U95" i="20" s="1"/>
  <c r="V95" i="20" a="1"/>
  <c r="V95" i="20" s="1"/>
  <c r="W95" i="20" a="1"/>
  <c r="W95" i="20" s="1"/>
  <c r="X95" i="20" a="1"/>
  <c r="X95" i="20" s="1"/>
  <c r="K96" i="20" a="1"/>
  <c r="K96" i="20" s="1"/>
  <c r="L96" i="20" a="1"/>
  <c r="L96" i="20" s="1"/>
  <c r="M96" i="20" a="1"/>
  <c r="M96" i="20" s="1"/>
  <c r="N96" i="20" a="1"/>
  <c r="N96" i="20" s="1"/>
  <c r="O96" i="20" a="1"/>
  <c r="O96" i="20" s="1"/>
  <c r="P96" i="20" a="1"/>
  <c r="P96" i="20" s="1"/>
  <c r="Q96" i="20" a="1"/>
  <c r="Q96" i="20" s="1"/>
  <c r="R96" i="20" a="1"/>
  <c r="R96" i="20" s="1"/>
  <c r="U96" i="20" a="1"/>
  <c r="U96" i="20" s="1"/>
  <c r="V96" i="20" a="1"/>
  <c r="V96" i="20" s="1"/>
  <c r="W96" i="20" a="1"/>
  <c r="W96" i="20" s="1"/>
  <c r="X96" i="20" a="1"/>
  <c r="X96" i="20" s="1"/>
  <c r="K97" i="20" a="1"/>
  <c r="K97" i="20" s="1"/>
  <c r="L97" i="20" a="1"/>
  <c r="L97" i="20" s="1"/>
  <c r="M97" i="20" a="1"/>
  <c r="M97" i="20" s="1"/>
  <c r="N97" i="20" a="1"/>
  <c r="N97" i="20" s="1"/>
  <c r="O97" i="20" a="1"/>
  <c r="O97" i="20" s="1"/>
  <c r="P97" i="20" a="1"/>
  <c r="P97" i="20" s="1"/>
  <c r="Q97" i="20" a="1"/>
  <c r="Q97" i="20" s="1"/>
  <c r="R97" i="20" a="1"/>
  <c r="R97" i="20" s="1"/>
  <c r="U97" i="20" a="1"/>
  <c r="U97" i="20" s="1"/>
  <c r="V97" i="20" a="1"/>
  <c r="V97" i="20" s="1"/>
  <c r="W97" i="20" a="1"/>
  <c r="W97" i="20" s="1"/>
  <c r="X97" i="20" a="1"/>
  <c r="X97" i="20" s="1"/>
  <c r="K98" i="20" a="1"/>
  <c r="K98" i="20" s="1"/>
  <c r="L98" i="20" a="1"/>
  <c r="L98" i="20" s="1"/>
  <c r="M98" i="20" a="1"/>
  <c r="M98" i="20" s="1"/>
  <c r="N98" i="20" a="1"/>
  <c r="N98" i="20" s="1"/>
  <c r="O98" i="20" a="1"/>
  <c r="O98" i="20" s="1"/>
  <c r="P98" i="20" a="1"/>
  <c r="P98" i="20" s="1"/>
  <c r="Q98" i="20" a="1"/>
  <c r="Q98" i="20" s="1"/>
  <c r="R98" i="20" a="1"/>
  <c r="R98" i="20" s="1"/>
  <c r="U98" i="20" a="1"/>
  <c r="U98" i="20" s="1"/>
  <c r="V98" i="20" a="1"/>
  <c r="V98" i="20" s="1"/>
  <c r="W98" i="20" a="1"/>
  <c r="W98" i="20" s="1"/>
  <c r="X98" i="20" a="1"/>
  <c r="X98" i="20" s="1"/>
  <c r="K99" i="20" a="1"/>
  <c r="K99" i="20" s="1"/>
  <c r="L99" i="20" a="1"/>
  <c r="L99" i="20" s="1"/>
  <c r="M99" i="20" a="1"/>
  <c r="M99" i="20" s="1"/>
  <c r="N99" i="20" a="1"/>
  <c r="N99" i="20" s="1"/>
  <c r="O99" i="20" a="1"/>
  <c r="O99" i="20" s="1"/>
  <c r="P99" i="20" a="1"/>
  <c r="P99" i="20" s="1"/>
  <c r="Q99" i="20" a="1"/>
  <c r="Q99" i="20" s="1"/>
  <c r="R99" i="20" a="1"/>
  <c r="R99" i="20" s="1"/>
  <c r="U99" i="20" a="1"/>
  <c r="U99" i="20" s="1"/>
  <c r="V99" i="20" a="1"/>
  <c r="V99" i="20" s="1"/>
  <c r="W99" i="20" a="1"/>
  <c r="W99" i="20" s="1"/>
  <c r="X99" i="20" a="1"/>
  <c r="X99" i="20" s="1"/>
  <c r="K100" i="20" a="1"/>
  <c r="K100" i="20" s="1"/>
  <c r="L100" i="20" a="1"/>
  <c r="L100" i="20" s="1"/>
  <c r="M100" i="20" a="1"/>
  <c r="M100" i="20" s="1"/>
  <c r="N100" i="20" a="1"/>
  <c r="N100" i="20" s="1"/>
  <c r="O100" i="20" a="1"/>
  <c r="O100" i="20" s="1"/>
  <c r="P100" i="20" a="1"/>
  <c r="P100" i="20" s="1"/>
  <c r="Q100" i="20" a="1"/>
  <c r="Q100" i="20" s="1"/>
  <c r="R100" i="20" a="1"/>
  <c r="R100" i="20" s="1"/>
  <c r="U100" i="20" a="1"/>
  <c r="U100" i="20" s="1"/>
  <c r="V100" i="20" a="1"/>
  <c r="V100" i="20" s="1"/>
  <c r="W100" i="20" a="1"/>
  <c r="W100" i="20" s="1"/>
  <c r="X100" i="20" a="1"/>
  <c r="X100" i="20" s="1"/>
  <c r="K101" i="20" a="1"/>
  <c r="K101" i="20" s="1"/>
  <c r="L101" i="20" a="1"/>
  <c r="L101" i="20" s="1"/>
  <c r="M101" i="20" a="1"/>
  <c r="M101" i="20" s="1"/>
  <c r="N101" i="20" a="1"/>
  <c r="N101" i="20" s="1"/>
  <c r="O101" i="20" a="1"/>
  <c r="O101" i="20" s="1"/>
  <c r="P101" i="20" a="1"/>
  <c r="P101" i="20" s="1"/>
  <c r="Q101" i="20" a="1"/>
  <c r="Q101" i="20" s="1"/>
  <c r="R101" i="20" a="1"/>
  <c r="R101" i="20" s="1"/>
  <c r="U101" i="20" a="1"/>
  <c r="U101" i="20" s="1"/>
  <c r="V101" i="20" a="1"/>
  <c r="V101" i="20" s="1"/>
  <c r="W101" i="20" a="1"/>
  <c r="W101" i="20" s="1"/>
  <c r="X101" i="20" a="1"/>
  <c r="X101" i="20" s="1"/>
  <c r="K102" i="20" a="1"/>
  <c r="K102" i="20" s="1"/>
  <c r="L102" i="20" a="1"/>
  <c r="L102" i="20" s="1"/>
  <c r="M102" i="20" a="1"/>
  <c r="M102" i="20" s="1"/>
  <c r="N102" i="20" a="1"/>
  <c r="N102" i="20" s="1"/>
  <c r="O102" i="20" a="1"/>
  <c r="O102" i="20" s="1"/>
  <c r="P102" i="20" a="1"/>
  <c r="P102" i="20" s="1"/>
  <c r="Q102" i="20" a="1"/>
  <c r="Q102" i="20" s="1"/>
  <c r="R102" i="20" a="1"/>
  <c r="R102" i="20" s="1"/>
  <c r="U102" i="20" a="1"/>
  <c r="U102" i="20" s="1"/>
  <c r="V102" i="20" a="1"/>
  <c r="V102" i="20" s="1"/>
  <c r="W102" i="20" a="1"/>
  <c r="W102" i="20" s="1"/>
  <c r="X102" i="20" a="1"/>
  <c r="X102" i="20" s="1"/>
  <c r="K103" i="20" a="1"/>
  <c r="K103" i="20" s="1"/>
  <c r="L103" i="20" a="1"/>
  <c r="L103" i="20" s="1"/>
  <c r="M103" i="20" a="1"/>
  <c r="M103" i="20" s="1"/>
  <c r="N103" i="20" a="1"/>
  <c r="N103" i="20" s="1"/>
  <c r="O103" i="20" a="1"/>
  <c r="O103" i="20" s="1"/>
  <c r="P103" i="20" a="1"/>
  <c r="P103" i="20" s="1"/>
  <c r="Q103" i="20" a="1"/>
  <c r="Q103" i="20" s="1"/>
  <c r="R103" i="20" a="1"/>
  <c r="R103" i="20" s="1"/>
  <c r="U103" i="20" a="1"/>
  <c r="U103" i="20" s="1"/>
  <c r="V103" i="20" a="1"/>
  <c r="V103" i="20" s="1"/>
  <c r="W103" i="20" a="1"/>
  <c r="W103" i="20" s="1"/>
  <c r="X103" i="20" a="1"/>
  <c r="X103" i="20" s="1"/>
  <c r="K104" i="20" a="1"/>
  <c r="K104" i="20" s="1"/>
  <c r="L104" i="20" a="1"/>
  <c r="L104" i="20" s="1"/>
  <c r="M104" i="20" a="1"/>
  <c r="M104" i="20" s="1"/>
  <c r="N104" i="20" a="1"/>
  <c r="N104" i="20" s="1"/>
  <c r="O104" i="20" a="1"/>
  <c r="O104" i="20" s="1"/>
  <c r="P104" i="20" a="1"/>
  <c r="P104" i="20" s="1"/>
  <c r="Q104" i="20" a="1"/>
  <c r="Q104" i="20" s="1"/>
  <c r="R104" i="20" a="1"/>
  <c r="R104" i="20" s="1"/>
  <c r="U104" i="20" a="1"/>
  <c r="U104" i="20" s="1"/>
  <c r="V104" i="20" a="1"/>
  <c r="V104" i="20" s="1"/>
  <c r="W104" i="20" a="1"/>
  <c r="W104" i="20" s="1"/>
  <c r="X104" i="20" a="1"/>
  <c r="X104" i="20" s="1"/>
  <c r="K105" i="20" a="1"/>
  <c r="K105" i="20" s="1"/>
  <c r="L105" i="20" a="1"/>
  <c r="L105" i="20" s="1"/>
  <c r="M105" i="20" a="1"/>
  <c r="M105" i="20" s="1"/>
  <c r="N105" i="20" a="1"/>
  <c r="N105" i="20" s="1"/>
  <c r="O105" i="20" a="1"/>
  <c r="O105" i="20" s="1"/>
  <c r="P105" i="20" a="1"/>
  <c r="P105" i="20" s="1"/>
  <c r="Q105" i="20" a="1"/>
  <c r="Q105" i="20" s="1"/>
  <c r="R105" i="20" a="1"/>
  <c r="R105" i="20" s="1"/>
  <c r="U105" i="20" a="1"/>
  <c r="U105" i="20" s="1"/>
  <c r="V105" i="20" a="1"/>
  <c r="V105" i="20" s="1"/>
  <c r="W105" i="20" a="1"/>
  <c r="W105" i="20" s="1"/>
  <c r="X105" i="20" a="1"/>
  <c r="X105" i="20" s="1"/>
  <c r="K106" i="20" a="1"/>
  <c r="K106" i="20" s="1"/>
  <c r="L106" i="20" a="1"/>
  <c r="L106" i="20" s="1"/>
  <c r="M106" i="20" a="1"/>
  <c r="M106" i="20" s="1"/>
  <c r="N106" i="20" a="1"/>
  <c r="N106" i="20" s="1"/>
  <c r="O106" i="20" a="1"/>
  <c r="O106" i="20" s="1"/>
  <c r="P106" i="20" a="1"/>
  <c r="P106" i="20" s="1"/>
  <c r="Q106" i="20" a="1"/>
  <c r="Q106" i="20" s="1"/>
  <c r="R106" i="20" a="1"/>
  <c r="R106" i="20" s="1"/>
  <c r="U106" i="20" a="1"/>
  <c r="U106" i="20" s="1"/>
  <c r="V106" i="20" a="1"/>
  <c r="V106" i="20" s="1"/>
  <c r="W106" i="20" a="1"/>
  <c r="W106" i="20" s="1"/>
  <c r="X106" i="20" a="1"/>
  <c r="X106" i="20" s="1"/>
  <c r="K107" i="20" a="1"/>
  <c r="K107" i="20" s="1"/>
  <c r="L107" i="20" a="1"/>
  <c r="L107" i="20" s="1"/>
  <c r="M107" i="20" a="1"/>
  <c r="M107" i="20" s="1"/>
  <c r="N107" i="20" a="1"/>
  <c r="N107" i="20" s="1"/>
  <c r="O107" i="20" a="1"/>
  <c r="O107" i="20" s="1"/>
  <c r="P107" i="20" a="1"/>
  <c r="P107" i="20" s="1"/>
  <c r="Q107" i="20" a="1"/>
  <c r="Q107" i="20" s="1"/>
  <c r="R107" i="20" a="1"/>
  <c r="R107" i="20" s="1"/>
  <c r="U107" i="20" a="1"/>
  <c r="U107" i="20" s="1"/>
  <c r="V107" i="20" a="1"/>
  <c r="V107" i="20" s="1"/>
  <c r="W107" i="20" a="1"/>
  <c r="W107" i="20" s="1"/>
  <c r="X107" i="20" a="1"/>
  <c r="X107" i="20" s="1"/>
  <c r="K108" i="20" a="1"/>
  <c r="K108" i="20" s="1"/>
  <c r="L108" i="20" a="1"/>
  <c r="L108" i="20" s="1"/>
  <c r="M108" i="20" a="1"/>
  <c r="M108" i="20" s="1"/>
  <c r="N108" i="20" a="1"/>
  <c r="N108" i="20" s="1"/>
  <c r="O108" i="20" a="1"/>
  <c r="O108" i="20" s="1"/>
  <c r="P108" i="20" a="1"/>
  <c r="P108" i="20" s="1"/>
  <c r="Q108" i="20" a="1"/>
  <c r="Q108" i="20" s="1"/>
  <c r="R108" i="20" a="1"/>
  <c r="R108" i="20" s="1"/>
  <c r="U108" i="20" a="1"/>
  <c r="U108" i="20" s="1"/>
  <c r="V108" i="20" a="1"/>
  <c r="V108" i="20" s="1"/>
  <c r="W108" i="20" a="1"/>
  <c r="W108" i="20" s="1"/>
  <c r="X108" i="20" a="1"/>
  <c r="X108" i="20" s="1"/>
  <c r="K109" i="20" a="1"/>
  <c r="K109" i="20" s="1"/>
  <c r="L109" i="20" a="1"/>
  <c r="L109" i="20" s="1"/>
  <c r="M109" i="20" a="1"/>
  <c r="M109" i="20" s="1"/>
  <c r="N109" i="20" a="1"/>
  <c r="N109" i="20" s="1"/>
  <c r="O109" i="20" a="1"/>
  <c r="O109" i="20" s="1"/>
  <c r="P109" i="20" a="1"/>
  <c r="P109" i="20" s="1"/>
  <c r="Q109" i="20" a="1"/>
  <c r="Q109" i="20" s="1"/>
  <c r="R109" i="20" a="1"/>
  <c r="R109" i="20" s="1"/>
  <c r="U109" i="20" a="1"/>
  <c r="U109" i="20" s="1"/>
  <c r="V109" i="20" a="1"/>
  <c r="V109" i="20" s="1"/>
  <c r="W109" i="20" a="1"/>
  <c r="W109" i="20" s="1"/>
  <c r="X109" i="20" a="1"/>
  <c r="X109" i="20" s="1"/>
  <c r="K110" i="20" a="1"/>
  <c r="K110" i="20" s="1"/>
  <c r="L110" i="20" a="1"/>
  <c r="L110" i="20" s="1"/>
  <c r="M110" i="20" a="1"/>
  <c r="M110" i="20" s="1"/>
  <c r="N110" i="20" a="1"/>
  <c r="N110" i="20" s="1"/>
  <c r="O110" i="20" a="1"/>
  <c r="O110" i="20" s="1"/>
  <c r="P110" i="20" a="1"/>
  <c r="P110" i="20" s="1"/>
  <c r="Q110" i="20" a="1"/>
  <c r="Q110" i="20" s="1"/>
  <c r="R110" i="20" a="1"/>
  <c r="R110" i="20" s="1"/>
  <c r="U110" i="20" a="1"/>
  <c r="U110" i="20" s="1"/>
  <c r="V110" i="20" a="1"/>
  <c r="V110" i="20" s="1"/>
  <c r="W110" i="20" a="1"/>
  <c r="W110" i="20" s="1"/>
  <c r="X110" i="20" a="1"/>
  <c r="X110" i="20" s="1"/>
  <c r="K111" i="20" a="1"/>
  <c r="K111" i="20" s="1"/>
  <c r="L111" i="20" a="1"/>
  <c r="L111" i="20" s="1"/>
  <c r="M111" i="20" a="1"/>
  <c r="M111" i="20" s="1"/>
  <c r="N111" i="20" a="1"/>
  <c r="N111" i="20" s="1"/>
  <c r="O111" i="20" a="1"/>
  <c r="O111" i="20" s="1"/>
  <c r="P111" i="20" a="1"/>
  <c r="P111" i="20" s="1"/>
  <c r="Q111" i="20" a="1"/>
  <c r="Q111" i="20" s="1"/>
  <c r="R111" i="20" a="1"/>
  <c r="R111" i="20" s="1"/>
  <c r="U111" i="20" a="1"/>
  <c r="U111" i="20" s="1"/>
  <c r="V111" i="20" a="1"/>
  <c r="V111" i="20" s="1"/>
  <c r="W111" i="20" a="1"/>
  <c r="W111" i="20" s="1"/>
  <c r="X111" i="20" a="1"/>
  <c r="X111" i="20" s="1"/>
  <c r="K112" i="20" a="1"/>
  <c r="K112" i="20" s="1"/>
  <c r="L112" i="20" a="1"/>
  <c r="L112" i="20" s="1"/>
  <c r="M112" i="20" a="1"/>
  <c r="M112" i="20" s="1"/>
  <c r="N112" i="20" a="1"/>
  <c r="N112" i="20" s="1"/>
  <c r="O112" i="20" a="1"/>
  <c r="O112" i="20" s="1"/>
  <c r="P112" i="20" a="1"/>
  <c r="P112" i="20" s="1"/>
  <c r="Q112" i="20" a="1"/>
  <c r="Q112" i="20" s="1"/>
  <c r="R112" i="20" a="1"/>
  <c r="R112" i="20" s="1"/>
  <c r="U112" i="20" a="1"/>
  <c r="U112" i="20" s="1"/>
  <c r="V112" i="20" a="1"/>
  <c r="V112" i="20" s="1"/>
  <c r="W112" i="20" a="1"/>
  <c r="W112" i="20" s="1"/>
  <c r="X112" i="20" a="1"/>
  <c r="X112" i="20" s="1"/>
  <c r="K113" i="20" a="1"/>
  <c r="K113" i="20" s="1"/>
  <c r="L113" i="20" a="1"/>
  <c r="L113" i="20" s="1"/>
  <c r="M113" i="20" a="1"/>
  <c r="M113" i="20" s="1"/>
  <c r="N113" i="20" a="1"/>
  <c r="N113" i="20" s="1"/>
  <c r="O113" i="20" a="1"/>
  <c r="O113" i="20" s="1"/>
  <c r="P113" i="20" a="1"/>
  <c r="P113" i="20" s="1"/>
  <c r="Q113" i="20" a="1"/>
  <c r="Q113" i="20" s="1"/>
  <c r="R113" i="20" a="1"/>
  <c r="R113" i="20" s="1"/>
  <c r="U113" i="20" a="1"/>
  <c r="U113" i="20" s="1"/>
  <c r="V113" i="20" a="1"/>
  <c r="V113" i="20" s="1"/>
  <c r="W113" i="20" a="1"/>
  <c r="W113" i="20" s="1"/>
  <c r="X113" i="20" a="1"/>
  <c r="X113" i="20" s="1"/>
  <c r="K114" i="20" a="1"/>
  <c r="K114" i="20" s="1"/>
  <c r="L114" i="20" a="1"/>
  <c r="L114" i="20" s="1"/>
  <c r="M114" i="20" a="1"/>
  <c r="M114" i="20" s="1"/>
  <c r="N114" i="20" a="1"/>
  <c r="N114" i="20" s="1"/>
  <c r="O114" i="20" a="1"/>
  <c r="O114" i="20" s="1"/>
  <c r="P114" i="20" a="1"/>
  <c r="P114" i="20" s="1"/>
  <c r="Q114" i="20" a="1"/>
  <c r="Q114" i="20" s="1"/>
  <c r="R114" i="20" a="1"/>
  <c r="R114" i="20" s="1"/>
  <c r="U114" i="20" a="1"/>
  <c r="U114" i="20" s="1"/>
  <c r="V114" i="20" a="1"/>
  <c r="V114" i="20" s="1"/>
  <c r="W114" i="20" a="1"/>
  <c r="W114" i="20" s="1"/>
  <c r="X114" i="20" a="1"/>
  <c r="X114" i="20" s="1"/>
  <c r="K115" i="20" a="1"/>
  <c r="K115" i="20" s="1"/>
  <c r="L115" i="20" a="1"/>
  <c r="L115" i="20" s="1"/>
  <c r="M115" i="20" a="1"/>
  <c r="M115" i="20" s="1"/>
  <c r="N115" i="20" a="1"/>
  <c r="N115" i="20" s="1"/>
  <c r="O115" i="20" a="1"/>
  <c r="O115" i="20" s="1"/>
  <c r="P115" i="20" a="1"/>
  <c r="P115" i="20" s="1"/>
  <c r="Q115" i="20" a="1"/>
  <c r="Q115" i="20" s="1"/>
  <c r="R115" i="20" a="1"/>
  <c r="R115" i="20" s="1"/>
  <c r="U115" i="20" a="1"/>
  <c r="U115" i="20" s="1"/>
  <c r="V115" i="20" a="1"/>
  <c r="V115" i="20" s="1"/>
  <c r="W115" i="20" a="1"/>
  <c r="W115" i="20" s="1"/>
  <c r="X115" i="20" a="1"/>
  <c r="X115" i="20" s="1"/>
  <c r="K116" i="20" a="1"/>
  <c r="K116" i="20" s="1"/>
  <c r="L116" i="20" a="1"/>
  <c r="L116" i="20" s="1"/>
  <c r="M116" i="20" a="1"/>
  <c r="M116" i="20" s="1"/>
  <c r="N116" i="20" a="1"/>
  <c r="N116" i="20" s="1"/>
  <c r="O116" i="20" a="1"/>
  <c r="O116" i="20" s="1"/>
  <c r="P116" i="20" a="1"/>
  <c r="P116" i="20" s="1"/>
  <c r="Q116" i="20" a="1"/>
  <c r="Q116" i="20" s="1"/>
  <c r="R116" i="20" a="1"/>
  <c r="R116" i="20" s="1"/>
  <c r="U116" i="20" a="1"/>
  <c r="U116" i="20" s="1"/>
  <c r="V116" i="20" a="1"/>
  <c r="V116" i="20" s="1"/>
  <c r="W116" i="20" a="1"/>
  <c r="W116" i="20" s="1"/>
  <c r="X116" i="20" a="1"/>
  <c r="X116" i="20" s="1"/>
  <c r="K117" i="20" a="1"/>
  <c r="K117" i="20" s="1"/>
  <c r="L117" i="20" a="1"/>
  <c r="L117" i="20" s="1"/>
  <c r="M117" i="20" a="1"/>
  <c r="M117" i="20" s="1"/>
  <c r="N117" i="20" a="1"/>
  <c r="N117" i="20" s="1"/>
  <c r="O117" i="20" a="1"/>
  <c r="O117" i="20" s="1"/>
  <c r="P117" i="20" a="1"/>
  <c r="P117" i="20" s="1"/>
  <c r="Q117" i="20" a="1"/>
  <c r="Q117" i="20" s="1"/>
  <c r="R117" i="20" a="1"/>
  <c r="R117" i="20" s="1"/>
  <c r="U117" i="20" a="1"/>
  <c r="U117" i="20" s="1"/>
  <c r="V117" i="20" a="1"/>
  <c r="V117" i="20" s="1"/>
  <c r="W117" i="20" a="1"/>
  <c r="W117" i="20" s="1"/>
  <c r="X117" i="20" a="1"/>
  <c r="X117" i="20" s="1"/>
  <c r="K118" i="20" a="1"/>
  <c r="K118" i="20" s="1"/>
  <c r="L118" i="20" a="1"/>
  <c r="L118" i="20" s="1"/>
  <c r="M118" i="20" a="1"/>
  <c r="M118" i="20" s="1"/>
  <c r="N118" i="20" a="1"/>
  <c r="N118" i="20" s="1"/>
  <c r="O118" i="20" a="1"/>
  <c r="O118" i="20" s="1"/>
  <c r="P118" i="20" a="1"/>
  <c r="P118" i="20" s="1"/>
  <c r="Q118" i="20" a="1"/>
  <c r="Q118" i="20" s="1"/>
  <c r="R118" i="20" a="1"/>
  <c r="R118" i="20" s="1"/>
  <c r="U118" i="20" a="1"/>
  <c r="U118" i="20" s="1"/>
  <c r="V118" i="20" a="1"/>
  <c r="V118" i="20" s="1"/>
  <c r="W118" i="20" a="1"/>
  <c r="W118" i="20" s="1"/>
  <c r="X118" i="20" a="1"/>
  <c r="X118" i="20" s="1"/>
  <c r="K119" i="20" a="1"/>
  <c r="K119" i="20" s="1"/>
  <c r="L119" i="20" a="1"/>
  <c r="L119" i="20" s="1"/>
  <c r="M119" i="20" a="1"/>
  <c r="M119" i="20" s="1"/>
  <c r="N119" i="20" a="1"/>
  <c r="N119" i="20" s="1"/>
  <c r="O119" i="20" a="1"/>
  <c r="O119" i="20" s="1"/>
  <c r="P119" i="20" a="1"/>
  <c r="P119" i="20" s="1"/>
  <c r="Q119" i="20" a="1"/>
  <c r="Q119" i="20" s="1"/>
  <c r="R119" i="20" a="1"/>
  <c r="R119" i="20" s="1"/>
  <c r="U119" i="20" a="1"/>
  <c r="U119" i="20" s="1"/>
  <c r="V119" i="20" a="1"/>
  <c r="V119" i="20" s="1"/>
  <c r="W119" i="20" a="1"/>
  <c r="W119" i="20" s="1"/>
  <c r="X119" i="20" a="1"/>
  <c r="X119" i="20" s="1"/>
  <c r="K120" i="20" a="1"/>
  <c r="K120" i="20" s="1"/>
  <c r="L120" i="20" a="1"/>
  <c r="L120" i="20" s="1"/>
  <c r="M120" i="20" a="1"/>
  <c r="M120" i="20" s="1"/>
  <c r="N120" i="20" a="1"/>
  <c r="N120" i="20" s="1"/>
  <c r="O120" i="20" a="1"/>
  <c r="O120" i="20" s="1"/>
  <c r="P120" i="20" a="1"/>
  <c r="P120" i="20" s="1"/>
  <c r="Q120" i="20" a="1"/>
  <c r="Q120" i="20" s="1"/>
  <c r="R120" i="20" a="1"/>
  <c r="R120" i="20" s="1"/>
  <c r="U120" i="20" a="1"/>
  <c r="U120" i="20" s="1"/>
  <c r="V120" i="20" a="1"/>
  <c r="V120" i="20" s="1"/>
  <c r="W120" i="20" a="1"/>
  <c r="W120" i="20" s="1"/>
  <c r="X120" i="20" a="1"/>
  <c r="X120" i="20" s="1"/>
  <c r="K121" i="20" a="1"/>
  <c r="K121" i="20" s="1"/>
  <c r="L121" i="20" a="1"/>
  <c r="L121" i="20" s="1"/>
  <c r="M121" i="20" a="1"/>
  <c r="M121" i="20" s="1"/>
  <c r="N121" i="20" a="1"/>
  <c r="N121" i="20" s="1"/>
  <c r="O121" i="20" a="1"/>
  <c r="O121" i="20" s="1"/>
  <c r="P121" i="20" a="1"/>
  <c r="P121" i="20" s="1"/>
  <c r="Q121" i="20" a="1"/>
  <c r="Q121" i="20" s="1"/>
  <c r="R121" i="20" a="1"/>
  <c r="R121" i="20" s="1"/>
  <c r="U121" i="20" a="1"/>
  <c r="U121" i="20" s="1"/>
  <c r="V121" i="20" a="1"/>
  <c r="V121" i="20" s="1"/>
  <c r="W121" i="20" a="1"/>
  <c r="W121" i="20" s="1"/>
  <c r="X121" i="20" a="1"/>
  <c r="X121" i="20" s="1"/>
  <c r="K122" i="20" a="1"/>
  <c r="K122" i="20" s="1"/>
  <c r="L122" i="20" a="1"/>
  <c r="L122" i="20" s="1"/>
  <c r="M122" i="20" a="1"/>
  <c r="M122" i="20" s="1"/>
  <c r="N122" i="20" a="1"/>
  <c r="N122" i="20" s="1"/>
  <c r="O122" i="20" a="1"/>
  <c r="O122" i="20" s="1"/>
  <c r="P122" i="20" a="1"/>
  <c r="P122" i="20" s="1"/>
  <c r="Q122" i="20" a="1"/>
  <c r="Q122" i="20" s="1"/>
  <c r="R122" i="20" a="1"/>
  <c r="R122" i="20" s="1"/>
  <c r="U122" i="20" a="1"/>
  <c r="U122" i="20" s="1"/>
  <c r="V122" i="20" a="1"/>
  <c r="V122" i="20" s="1"/>
  <c r="W122" i="20" a="1"/>
  <c r="W122" i="20" s="1"/>
  <c r="X122" i="20" a="1"/>
  <c r="X122" i="20" s="1"/>
  <c r="K123" i="20" a="1"/>
  <c r="K123" i="20" s="1"/>
  <c r="L123" i="20" a="1"/>
  <c r="L123" i="20" s="1"/>
  <c r="M123" i="20" a="1"/>
  <c r="M123" i="20" s="1"/>
  <c r="N123" i="20" a="1"/>
  <c r="N123" i="20" s="1"/>
  <c r="O123" i="20" a="1"/>
  <c r="O123" i="20" s="1"/>
  <c r="P123" i="20" a="1"/>
  <c r="P123" i="20" s="1"/>
  <c r="Q123" i="20" a="1"/>
  <c r="Q123" i="20" s="1"/>
  <c r="R123" i="20" a="1"/>
  <c r="R123" i="20" s="1"/>
  <c r="U123" i="20" a="1"/>
  <c r="U123" i="20" s="1"/>
  <c r="V123" i="20" a="1"/>
  <c r="V123" i="20" s="1"/>
  <c r="W123" i="20" a="1"/>
  <c r="W123" i="20" s="1"/>
  <c r="X123" i="20" a="1"/>
  <c r="X123" i="20" s="1"/>
  <c r="K124" i="20" a="1"/>
  <c r="K124" i="20" s="1"/>
  <c r="L124" i="20" a="1"/>
  <c r="L124" i="20" s="1"/>
  <c r="M124" i="20" a="1"/>
  <c r="M124" i="20" s="1"/>
  <c r="N124" i="20" a="1"/>
  <c r="N124" i="20" s="1"/>
  <c r="O124" i="20" a="1"/>
  <c r="O124" i="20" s="1"/>
  <c r="P124" i="20" a="1"/>
  <c r="P124" i="20" s="1"/>
  <c r="Q124" i="20" a="1"/>
  <c r="Q124" i="20" s="1"/>
  <c r="R124" i="20" a="1"/>
  <c r="R124" i="20" s="1"/>
  <c r="U124" i="20" a="1"/>
  <c r="U124" i="20" s="1"/>
  <c r="V124" i="20" a="1"/>
  <c r="V124" i="20" s="1"/>
  <c r="W124" i="20" a="1"/>
  <c r="W124" i="20" s="1"/>
  <c r="X124" i="20" a="1"/>
  <c r="X124" i="20" s="1"/>
  <c r="K125" i="20" a="1"/>
  <c r="K125" i="20" s="1"/>
  <c r="L125" i="20" a="1"/>
  <c r="L125" i="20" s="1"/>
  <c r="M125" i="20" a="1"/>
  <c r="M125" i="20" s="1"/>
  <c r="N125" i="20" a="1"/>
  <c r="N125" i="20" s="1"/>
  <c r="O125" i="20" a="1"/>
  <c r="O125" i="20" s="1"/>
  <c r="P125" i="20" a="1"/>
  <c r="P125" i="20" s="1"/>
  <c r="Q125" i="20" a="1"/>
  <c r="Q125" i="20" s="1"/>
  <c r="R125" i="20" a="1"/>
  <c r="R125" i="20" s="1"/>
  <c r="U125" i="20" a="1"/>
  <c r="U125" i="20" s="1"/>
  <c r="V125" i="20" a="1"/>
  <c r="V125" i="20" s="1"/>
  <c r="W125" i="20" a="1"/>
  <c r="W125" i="20" s="1"/>
  <c r="X125" i="20" a="1"/>
  <c r="X125" i="20" s="1"/>
  <c r="K126" i="20" a="1"/>
  <c r="K126" i="20" s="1"/>
  <c r="L126" i="20" a="1"/>
  <c r="L126" i="20" s="1"/>
  <c r="M126" i="20" a="1"/>
  <c r="M126" i="20" s="1"/>
  <c r="N126" i="20" a="1"/>
  <c r="N126" i="20" s="1"/>
  <c r="O126" i="20" a="1"/>
  <c r="O126" i="20" s="1"/>
  <c r="P126" i="20" a="1"/>
  <c r="P126" i="20" s="1"/>
  <c r="Q126" i="20" a="1"/>
  <c r="Q126" i="20" s="1"/>
  <c r="R126" i="20" a="1"/>
  <c r="R126" i="20" s="1"/>
  <c r="U126" i="20" a="1"/>
  <c r="U126" i="20" s="1"/>
  <c r="V126" i="20" a="1"/>
  <c r="V126" i="20" s="1"/>
  <c r="W126" i="20" a="1"/>
  <c r="W126" i="20" s="1"/>
  <c r="X126" i="20" a="1"/>
  <c r="X126" i="20" s="1"/>
  <c r="K127" i="20" a="1"/>
  <c r="K127" i="20" s="1"/>
  <c r="L127" i="20" a="1"/>
  <c r="L127" i="20" s="1"/>
  <c r="M127" i="20" a="1"/>
  <c r="M127" i="20" s="1"/>
  <c r="N127" i="20" a="1"/>
  <c r="N127" i="20" s="1"/>
  <c r="O127" i="20" a="1"/>
  <c r="O127" i="20" s="1"/>
  <c r="P127" i="20" a="1"/>
  <c r="P127" i="20" s="1"/>
  <c r="Q127" i="20" a="1"/>
  <c r="Q127" i="20" s="1"/>
  <c r="R127" i="20" a="1"/>
  <c r="R127" i="20" s="1"/>
  <c r="U127" i="20" a="1"/>
  <c r="U127" i="20" s="1"/>
  <c r="V127" i="20" a="1"/>
  <c r="V127" i="20" s="1"/>
  <c r="W127" i="20" a="1"/>
  <c r="W127" i="20" s="1"/>
  <c r="X127" i="20" a="1"/>
  <c r="X127" i="20" s="1"/>
  <c r="K128" i="20" a="1"/>
  <c r="K128" i="20" s="1"/>
  <c r="L128" i="20" a="1"/>
  <c r="L128" i="20" s="1"/>
  <c r="M128" i="20" a="1"/>
  <c r="M128" i="20" s="1"/>
  <c r="N128" i="20" a="1"/>
  <c r="N128" i="20" s="1"/>
  <c r="O128" i="20" a="1"/>
  <c r="O128" i="20" s="1"/>
  <c r="P128" i="20" a="1"/>
  <c r="P128" i="20" s="1"/>
  <c r="Q128" i="20" a="1"/>
  <c r="Q128" i="20" s="1"/>
  <c r="R128" i="20" a="1"/>
  <c r="R128" i="20" s="1"/>
  <c r="U128" i="20" a="1"/>
  <c r="U128" i="20" s="1"/>
  <c r="V128" i="20" a="1"/>
  <c r="V128" i="20" s="1"/>
  <c r="W128" i="20" a="1"/>
  <c r="W128" i="20" s="1"/>
  <c r="X128" i="20" a="1"/>
  <c r="X128" i="20" s="1"/>
  <c r="K129" i="20" a="1"/>
  <c r="K129" i="20" s="1"/>
  <c r="L129" i="20" a="1"/>
  <c r="L129" i="20" s="1"/>
  <c r="M129" i="20" a="1"/>
  <c r="M129" i="20" s="1"/>
  <c r="N129" i="20" a="1"/>
  <c r="N129" i="20" s="1"/>
  <c r="O129" i="20" a="1"/>
  <c r="O129" i="20" s="1"/>
  <c r="P129" i="20" a="1"/>
  <c r="P129" i="20" s="1"/>
  <c r="Q129" i="20" a="1"/>
  <c r="Q129" i="20" s="1"/>
  <c r="R129" i="20" a="1"/>
  <c r="R129" i="20" s="1"/>
  <c r="U129" i="20" a="1"/>
  <c r="U129" i="20" s="1"/>
  <c r="V129" i="20" a="1"/>
  <c r="V129" i="20" s="1"/>
  <c r="W129" i="20" a="1"/>
  <c r="W129" i="20" s="1"/>
  <c r="X129" i="20" a="1"/>
  <c r="X129" i="20" s="1"/>
  <c r="K130" i="20" a="1"/>
  <c r="K130" i="20" s="1"/>
  <c r="L130" i="20" a="1"/>
  <c r="L130" i="20" s="1"/>
  <c r="M130" i="20" a="1"/>
  <c r="M130" i="20" s="1"/>
  <c r="N130" i="20" a="1"/>
  <c r="N130" i="20" s="1"/>
  <c r="O130" i="20" a="1"/>
  <c r="O130" i="20" s="1"/>
  <c r="P130" i="20" a="1"/>
  <c r="P130" i="20" s="1"/>
  <c r="Q130" i="20" a="1"/>
  <c r="Q130" i="20" s="1"/>
  <c r="R130" i="20" a="1"/>
  <c r="R130" i="20" s="1"/>
  <c r="U130" i="20" a="1"/>
  <c r="U130" i="20" s="1"/>
  <c r="V130" i="20" a="1"/>
  <c r="V130" i="20" s="1"/>
  <c r="W130" i="20" a="1"/>
  <c r="W130" i="20" s="1"/>
  <c r="X130" i="20" a="1"/>
  <c r="X130" i="20" s="1"/>
  <c r="K131" i="20" a="1"/>
  <c r="K131" i="20" s="1"/>
  <c r="L131" i="20" a="1"/>
  <c r="L131" i="20" s="1"/>
  <c r="M131" i="20" a="1"/>
  <c r="M131" i="20" s="1"/>
  <c r="N131" i="20" a="1"/>
  <c r="N131" i="20" s="1"/>
  <c r="O131" i="20" a="1"/>
  <c r="O131" i="20" s="1"/>
  <c r="P131" i="20" a="1"/>
  <c r="P131" i="20" s="1"/>
  <c r="Q131" i="20" a="1"/>
  <c r="Q131" i="20" s="1"/>
  <c r="R131" i="20" a="1"/>
  <c r="R131" i="20" s="1"/>
  <c r="U131" i="20" a="1"/>
  <c r="U131" i="20" s="1"/>
  <c r="V131" i="20" a="1"/>
  <c r="V131" i="20" s="1"/>
  <c r="W131" i="20" a="1"/>
  <c r="W131" i="20" s="1"/>
  <c r="X131" i="20" a="1"/>
  <c r="X131" i="20" s="1"/>
  <c r="K132" i="20" a="1"/>
  <c r="K132" i="20" s="1"/>
  <c r="L132" i="20" a="1"/>
  <c r="L132" i="20" s="1"/>
  <c r="M132" i="20" a="1"/>
  <c r="M132" i="20" s="1"/>
  <c r="N132" i="20" a="1"/>
  <c r="N132" i="20" s="1"/>
  <c r="O132" i="20" a="1"/>
  <c r="O132" i="20" s="1"/>
  <c r="P132" i="20" a="1"/>
  <c r="P132" i="20" s="1"/>
  <c r="Q132" i="20" a="1"/>
  <c r="Q132" i="20" s="1"/>
  <c r="R132" i="20" a="1"/>
  <c r="R132" i="20" s="1"/>
  <c r="U132" i="20" a="1"/>
  <c r="U132" i="20" s="1"/>
  <c r="V132" i="20" a="1"/>
  <c r="V132" i="20" s="1"/>
  <c r="W132" i="20" a="1"/>
  <c r="W132" i="20" s="1"/>
  <c r="X132" i="20" a="1"/>
  <c r="X132" i="20" s="1"/>
  <c r="K133" i="20" a="1"/>
  <c r="K133" i="20" s="1"/>
  <c r="L133" i="20" a="1"/>
  <c r="L133" i="20" s="1"/>
  <c r="M133" i="20" a="1"/>
  <c r="M133" i="20" s="1"/>
  <c r="N133" i="20" a="1"/>
  <c r="N133" i="20" s="1"/>
  <c r="O133" i="20" a="1"/>
  <c r="O133" i="20" s="1"/>
  <c r="P133" i="20" a="1"/>
  <c r="P133" i="20" s="1"/>
  <c r="Q133" i="20" a="1"/>
  <c r="Q133" i="20" s="1"/>
  <c r="R133" i="20" a="1"/>
  <c r="R133" i="20" s="1"/>
  <c r="U133" i="20" a="1"/>
  <c r="U133" i="20" s="1"/>
  <c r="V133" i="20" a="1"/>
  <c r="V133" i="20" s="1"/>
  <c r="W133" i="20" a="1"/>
  <c r="W133" i="20" s="1"/>
  <c r="X133" i="20" a="1"/>
  <c r="X133" i="20" s="1"/>
  <c r="K134" i="20" a="1"/>
  <c r="K134" i="20" s="1"/>
  <c r="L134" i="20" a="1"/>
  <c r="L134" i="20" s="1"/>
  <c r="M134" i="20" a="1"/>
  <c r="M134" i="20" s="1"/>
  <c r="N134" i="20" a="1"/>
  <c r="N134" i="20" s="1"/>
  <c r="O134" i="20" a="1"/>
  <c r="O134" i="20" s="1"/>
  <c r="P134" i="20" a="1"/>
  <c r="P134" i="20" s="1"/>
  <c r="Q134" i="20" a="1"/>
  <c r="Q134" i="20" s="1"/>
  <c r="R134" i="20" a="1"/>
  <c r="R134" i="20" s="1"/>
  <c r="U134" i="20" a="1"/>
  <c r="U134" i="20" s="1"/>
  <c r="V134" i="20" a="1"/>
  <c r="V134" i="20" s="1"/>
  <c r="W134" i="20" a="1"/>
  <c r="W134" i="20" s="1"/>
  <c r="X134" i="20" a="1"/>
  <c r="X134" i="20" s="1"/>
  <c r="K135" i="20" a="1"/>
  <c r="K135" i="20" s="1"/>
  <c r="L135" i="20" a="1"/>
  <c r="L135" i="20" s="1"/>
  <c r="M135" i="20" a="1"/>
  <c r="M135" i="20" s="1"/>
  <c r="N135" i="20" a="1"/>
  <c r="N135" i="20" s="1"/>
  <c r="O135" i="20" a="1"/>
  <c r="O135" i="20" s="1"/>
  <c r="P135" i="20" a="1"/>
  <c r="P135" i="20" s="1"/>
  <c r="Q135" i="20" a="1"/>
  <c r="Q135" i="20" s="1"/>
  <c r="R135" i="20" a="1"/>
  <c r="R135" i="20" s="1"/>
  <c r="U135" i="20" a="1"/>
  <c r="U135" i="20" s="1"/>
  <c r="V135" i="20" a="1"/>
  <c r="V135" i="20" s="1"/>
  <c r="W135" i="20" a="1"/>
  <c r="W135" i="20" s="1"/>
  <c r="X135" i="20" a="1"/>
  <c r="X135" i="20" s="1"/>
  <c r="K136" i="20" a="1"/>
  <c r="K136" i="20" s="1"/>
  <c r="L136" i="20" a="1"/>
  <c r="L136" i="20" s="1"/>
  <c r="M136" i="20" a="1"/>
  <c r="M136" i="20" s="1"/>
  <c r="N136" i="20" a="1"/>
  <c r="N136" i="20" s="1"/>
  <c r="O136" i="20" a="1"/>
  <c r="O136" i="20" s="1"/>
  <c r="P136" i="20" a="1"/>
  <c r="P136" i="20" s="1"/>
  <c r="Q136" i="20" a="1"/>
  <c r="Q136" i="20" s="1"/>
  <c r="R136" i="20" a="1"/>
  <c r="R136" i="20" s="1"/>
  <c r="U136" i="20" a="1"/>
  <c r="U136" i="20" s="1"/>
  <c r="V136" i="20" a="1"/>
  <c r="V136" i="20" s="1"/>
  <c r="W136" i="20" a="1"/>
  <c r="W136" i="20" s="1"/>
  <c r="X136" i="20" a="1"/>
  <c r="X136" i="20" s="1"/>
  <c r="K137" i="20" a="1"/>
  <c r="K137" i="20" s="1"/>
  <c r="L137" i="20" a="1"/>
  <c r="L137" i="20" s="1"/>
  <c r="M137" i="20" a="1"/>
  <c r="M137" i="20" s="1"/>
  <c r="N137" i="20" a="1"/>
  <c r="N137" i="20" s="1"/>
  <c r="O137" i="20" a="1"/>
  <c r="O137" i="20" s="1"/>
  <c r="P137" i="20" a="1"/>
  <c r="P137" i="20" s="1"/>
  <c r="Q137" i="20" a="1"/>
  <c r="Q137" i="20" s="1"/>
  <c r="R137" i="20" a="1"/>
  <c r="R137" i="20" s="1"/>
  <c r="U137" i="20" a="1"/>
  <c r="U137" i="20" s="1"/>
  <c r="V137" i="20" a="1"/>
  <c r="V137" i="20" s="1"/>
  <c r="W137" i="20" a="1"/>
  <c r="W137" i="20" s="1"/>
  <c r="X137" i="20" a="1"/>
  <c r="X137" i="20" s="1"/>
  <c r="K138" i="20" a="1"/>
  <c r="K138" i="20" s="1"/>
  <c r="L138" i="20" a="1"/>
  <c r="L138" i="20" s="1"/>
  <c r="M138" i="20" a="1"/>
  <c r="M138" i="20" s="1"/>
  <c r="N138" i="20" a="1"/>
  <c r="N138" i="20" s="1"/>
  <c r="O138" i="20" a="1"/>
  <c r="O138" i="20" s="1"/>
  <c r="P138" i="20" a="1"/>
  <c r="P138" i="20" s="1"/>
  <c r="Q138" i="20" a="1"/>
  <c r="Q138" i="20" s="1"/>
  <c r="R138" i="20" a="1"/>
  <c r="R138" i="20" s="1"/>
  <c r="U138" i="20" a="1"/>
  <c r="U138" i="20" s="1"/>
  <c r="V138" i="20" a="1"/>
  <c r="V138" i="20" s="1"/>
  <c r="W138" i="20" a="1"/>
  <c r="W138" i="20" s="1"/>
  <c r="X138" i="20" a="1"/>
  <c r="X138" i="20" s="1"/>
  <c r="K139" i="20" a="1"/>
  <c r="K139" i="20" s="1"/>
  <c r="L139" i="20" a="1"/>
  <c r="L139" i="20" s="1"/>
  <c r="M139" i="20" a="1"/>
  <c r="M139" i="20" s="1"/>
  <c r="N139" i="20" a="1"/>
  <c r="N139" i="20" s="1"/>
  <c r="O139" i="20" a="1"/>
  <c r="O139" i="20" s="1"/>
  <c r="P139" i="20" a="1"/>
  <c r="P139" i="20" s="1"/>
  <c r="Q139" i="20" a="1"/>
  <c r="Q139" i="20" s="1"/>
  <c r="R139" i="20" a="1"/>
  <c r="R139" i="20" s="1"/>
  <c r="U139" i="20" a="1"/>
  <c r="U139" i="20" s="1"/>
  <c r="V139" i="20" a="1"/>
  <c r="V139" i="20" s="1"/>
  <c r="W139" i="20" a="1"/>
  <c r="W139" i="20" s="1"/>
  <c r="X139" i="20" a="1"/>
  <c r="X139" i="20" s="1"/>
  <c r="K140" i="20" a="1"/>
  <c r="K140" i="20" s="1"/>
  <c r="L140" i="20" a="1"/>
  <c r="L140" i="20" s="1"/>
  <c r="M140" i="20" a="1"/>
  <c r="M140" i="20" s="1"/>
  <c r="N140" i="20" a="1"/>
  <c r="N140" i="20" s="1"/>
  <c r="O140" i="20" a="1"/>
  <c r="O140" i="20" s="1"/>
  <c r="P140" i="20" a="1"/>
  <c r="P140" i="20" s="1"/>
  <c r="Q140" i="20" a="1"/>
  <c r="Q140" i="20" s="1"/>
  <c r="R140" i="20" a="1"/>
  <c r="R140" i="20" s="1"/>
  <c r="U140" i="20" a="1"/>
  <c r="U140" i="20" s="1"/>
  <c r="V140" i="20" a="1"/>
  <c r="V140" i="20" s="1"/>
  <c r="W140" i="20" a="1"/>
  <c r="W140" i="20" s="1"/>
  <c r="X140" i="20" a="1"/>
  <c r="X140" i="20" s="1"/>
  <c r="K141" i="20" a="1"/>
  <c r="K141" i="20" s="1"/>
  <c r="L141" i="20" a="1"/>
  <c r="L141" i="20" s="1"/>
  <c r="M141" i="20" a="1"/>
  <c r="M141" i="20" s="1"/>
  <c r="N141" i="20" a="1"/>
  <c r="N141" i="20" s="1"/>
  <c r="O141" i="20" a="1"/>
  <c r="O141" i="20" s="1"/>
  <c r="P141" i="20" a="1"/>
  <c r="P141" i="20" s="1"/>
  <c r="Q141" i="20" a="1"/>
  <c r="Q141" i="20" s="1"/>
  <c r="R141" i="20" a="1"/>
  <c r="R141" i="20" s="1"/>
  <c r="U141" i="20" a="1"/>
  <c r="U141" i="20" s="1"/>
  <c r="V141" i="20" a="1"/>
  <c r="V141" i="20" s="1"/>
  <c r="W141" i="20" a="1"/>
  <c r="W141" i="20" s="1"/>
  <c r="X141" i="20" a="1"/>
  <c r="X141" i="20" s="1"/>
  <c r="K142" i="20" a="1"/>
  <c r="K142" i="20" s="1"/>
  <c r="L142" i="20" a="1"/>
  <c r="L142" i="20" s="1"/>
  <c r="M142" i="20" a="1"/>
  <c r="M142" i="20" s="1"/>
  <c r="N142" i="20" a="1"/>
  <c r="N142" i="20" s="1"/>
  <c r="O142" i="20" a="1"/>
  <c r="O142" i="20" s="1"/>
  <c r="P142" i="20" a="1"/>
  <c r="P142" i="20" s="1"/>
  <c r="Q142" i="20" a="1"/>
  <c r="Q142" i="20" s="1"/>
  <c r="R142" i="20" a="1"/>
  <c r="R142" i="20" s="1"/>
  <c r="U142" i="20" a="1"/>
  <c r="U142" i="20" s="1"/>
  <c r="V142" i="20" a="1"/>
  <c r="V142" i="20" s="1"/>
  <c r="W142" i="20" a="1"/>
  <c r="W142" i="20" s="1"/>
  <c r="X142" i="20" a="1"/>
  <c r="X142" i="20" s="1"/>
  <c r="K143" i="20" a="1"/>
  <c r="K143" i="20" s="1"/>
  <c r="L143" i="20" a="1"/>
  <c r="L143" i="20" s="1"/>
  <c r="M143" i="20" a="1"/>
  <c r="M143" i="20" s="1"/>
  <c r="N143" i="20" a="1"/>
  <c r="N143" i="20" s="1"/>
  <c r="O143" i="20" a="1"/>
  <c r="O143" i="20" s="1"/>
  <c r="P143" i="20" a="1"/>
  <c r="P143" i="20" s="1"/>
  <c r="Q143" i="20" a="1"/>
  <c r="Q143" i="20" s="1"/>
  <c r="R143" i="20" a="1"/>
  <c r="R143" i="20" s="1"/>
  <c r="U143" i="20" a="1"/>
  <c r="U143" i="20" s="1"/>
  <c r="V143" i="20" a="1"/>
  <c r="V143" i="20" s="1"/>
  <c r="W143" i="20" a="1"/>
  <c r="W143" i="20" s="1"/>
  <c r="X143" i="20" a="1"/>
  <c r="X143" i="20" s="1"/>
  <c r="K144" i="20" a="1"/>
  <c r="K144" i="20" s="1"/>
  <c r="L144" i="20" a="1"/>
  <c r="L144" i="20" s="1"/>
  <c r="M144" i="20" a="1"/>
  <c r="M144" i="20" s="1"/>
  <c r="N144" i="20" a="1"/>
  <c r="N144" i="20" s="1"/>
  <c r="O144" i="20" a="1"/>
  <c r="O144" i="20" s="1"/>
  <c r="P144" i="20" a="1"/>
  <c r="P144" i="20" s="1"/>
  <c r="Q144" i="20" a="1"/>
  <c r="Q144" i="20" s="1"/>
  <c r="R144" i="20" a="1"/>
  <c r="R144" i="20" s="1"/>
  <c r="U144" i="20" a="1"/>
  <c r="U144" i="20" s="1"/>
  <c r="V144" i="20" a="1"/>
  <c r="V144" i="20" s="1"/>
  <c r="W144" i="20" a="1"/>
  <c r="W144" i="20" s="1"/>
  <c r="X144" i="20" a="1"/>
  <c r="X144" i="20" s="1"/>
  <c r="K145" i="20" a="1"/>
  <c r="K145" i="20" s="1"/>
  <c r="L145" i="20" a="1"/>
  <c r="L145" i="20" s="1"/>
  <c r="M145" i="20" a="1"/>
  <c r="M145" i="20" s="1"/>
  <c r="N145" i="20" a="1"/>
  <c r="N145" i="20" s="1"/>
  <c r="O145" i="20" a="1"/>
  <c r="O145" i="20" s="1"/>
  <c r="P145" i="20" a="1"/>
  <c r="P145" i="20" s="1"/>
  <c r="Q145" i="20" a="1"/>
  <c r="Q145" i="20" s="1"/>
  <c r="R145" i="20" a="1"/>
  <c r="R145" i="20" s="1"/>
  <c r="U145" i="20" a="1"/>
  <c r="U145" i="20" s="1"/>
  <c r="V145" i="20" a="1"/>
  <c r="V145" i="20" s="1"/>
  <c r="W145" i="20" a="1"/>
  <c r="W145" i="20" s="1"/>
  <c r="X145" i="20" a="1"/>
  <c r="X145" i="20" s="1"/>
  <c r="K146" i="20" a="1"/>
  <c r="K146" i="20" s="1"/>
  <c r="L146" i="20" a="1"/>
  <c r="L146" i="20" s="1"/>
  <c r="M146" i="20" a="1"/>
  <c r="M146" i="20" s="1"/>
  <c r="N146" i="20" a="1"/>
  <c r="N146" i="20" s="1"/>
  <c r="O146" i="20" a="1"/>
  <c r="O146" i="20" s="1"/>
  <c r="P146" i="20" a="1"/>
  <c r="P146" i="20" s="1"/>
  <c r="Q146" i="20" a="1"/>
  <c r="Q146" i="20" s="1"/>
  <c r="R146" i="20" a="1"/>
  <c r="R146" i="20" s="1"/>
  <c r="U146" i="20" a="1"/>
  <c r="U146" i="20" s="1"/>
  <c r="V146" i="20" a="1"/>
  <c r="V146" i="20" s="1"/>
  <c r="W146" i="20" a="1"/>
  <c r="W146" i="20" s="1"/>
  <c r="X146" i="20" a="1"/>
  <c r="X146" i="20" s="1"/>
  <c r="K147" i="20" a="1"/>
  <c r="K147" i="20" s="1"/>
  <c r="L147" i="20" a="1"/>
  <c r="L147" i="20" s="1"/>
  <c r="M147" i="20" a="1"/>
  <c r="M147" i="20" s="1"/>
  <c r="N147" i="20" a="1"/>
  <c r="N147" i="20" s="1"/>
  <c r="O147" i="20" a="1"/>
  <c r="O147" i="20" s="1"/>
  <c r="P147" i="20" a="1"/>
  <c r="P147" i="20" s="1"/>
  <c r="Q147" i="20" a="1"/>
  <c r="Q147" i="20" s="1"/>
  <c r="R147" i="20" a="1"/>
  <c r="R147" i="20" s="1"/>
  <c r="U147" i="20" a="1"/>
  <c r="U147" i="20" s="1"/>
  <c r="V147" i="20" a="1"/>
  <c r="V147" i="20" s="1"/>
  <c r="W147" i="20" a="1"/>
  <c r="W147" i="20" s="1"/>
  <c r="X147" i="20" a="1"/>
  <c r="X147" i="20" s="1"/>
  <c r="K148" i="20" a="1"/>
  <c r="K148" i="20" s="1"/>
  <c r="L148" i="20" a="1"/>
  <c r="L148" i="20" s="1"/>
  <c r="M148" i="20" a="1"/>
  <c r="M148" i="20" s="1"/>
  <c r="N148" i="20" a="1"/>
  <c r="N148" i="20" s="1"/>
  <c r="O148" i="20" a="1"/>
  <c r="O148" i="20" s="1"/>
  <c r="P148" i="20" a="1"/>
  <c r="P148" i="20" s="1"/>
  <c r="Q148" i="20" a="1"/>
  <c r="Q148" i="20" s="1"/>
  <c r="R148" i="20" a="1"/>
  <c r="R148" i="20" s="1"/>
  <c r="U148" i="20" a="1"/>
  <c r="U148" i="20" s="1"/>
  <c r="V148" i="20" a="1"/>
  <c r="V148" i="20" s="1"/>
  <c r="W148" i="20" a="1"/>
  <c r="W148" i="20" s="1"/>
  <c r="X148" i="20" a="1"/>
  <c r="X148" i="20" s="1"/>
  <c r="K149" i="20" a="1"/>
  <c r="K149" i="20" s="1"/>
  <c r="L149" i="20" a="1"/>
  <c r="L149" i="20" s="1"/>
  <c r="M149" i="20" a="1"/>
  <c r="M149" i="20" s="1"/>
  <c r="N149" i="20" a="1"/>
  <c r="N149" i="20" s="1"/>
  <c r="O149" i="20" a="1"/>
  <c r="O149" i="20" s="1"/>
  <c r="P149" i="20" a="1"/>
  <c r="P149" i="20" s="1"/>
  <c r="Q149" i="20" a="1"/>
  <c r="Q149" i="20" s="1"/>
  <c r="R149" i="20" a="1"/>
  <c r="R149" i="20" s="1"/>
  <c r="U149" i="20" a="1"/>
  <c r="U149" i="20" s="1"/>
  <c r="V149" i="20" a="1"/>
  <c r="V149" i="20" s="1"/>
  <c r="W149" i="20" a="1"/>
  <c r="W149" i="20" s="1"/>
  <c r="X149" i="20" a="1"/>
  <c r="X149" i="20" s="1"/>
  <c r="K150" i="20" a="1"/>
  <c r="K150" i="20" s="1"/>
  <c r="L150" i="20" a="1"/>
  <c r="L150" i="20" s="1"/>
  <c r="M150" i="20" a="1"/>
  <c r="M150" i="20" s="1"/>
  <c r="N150" i="20" a="1"/>
  <c r="N150" i="20" s="1"/>
  <c r="O150" i="20" a="1"/>
  <c r="O150" i="20" s="1"/>
  <c r="P150" i="20" a="1"/>
  <c r="P150" i="20" s="1"/>
  <c r="Q150" i="20" a="1"/>
  <c r="Q150" i="20" s="1"/>
  <c r="R150" i="20" a="1"/>
  <c r="R150" i="20" s="1"/>
  <c r="U150" i="20" a="1"/>
  <c r="U150" i="20" s="1"/>
  <c r="V150" i="20" a="1"/>
  <c r="V150" i="20" s="1"/>
  <c r="W150" i="20" a="1"/>
  <c r="W150" i="20" s="1"/>
  <c r="X150" i="20" a="1"/>
  <c r="X150" i="20" s="1"/>
  <c r="K151" i="20" a="1"/>
  <c r="K151" i="20" s="1"/>
  <c r="L151" i="20" a="1"/>
  <c r="L151" i="20" s="1"/>
  <c r="M151" i="20" a="1"/>
  <c r="M151" i="20" s="1"/>
  <c r="N151" i="20" a="1"/>
  <c r="N151" i="20" s="1"/>
  <c r="O151" i="20" a="1"/>
  <c r="O151" i="20" s="1"/>
  <c r="P151" i="20" a="1"/>
  <c r="P151" i="20" s="1"/>
  <c r="Q151" i="20" a="1"/>
  <c r="Q151" i="20" s="1"/>
  <c r="R151" i="20" a="1"/>
  <c r="R151" i="20" s="1"/>
  <c r="U151" i="20" a="1"/>
  <c r="U151" i="20" s="1"/>
  <c r="V151" i="20" a="1"/>
  <c r="V151" i="20" s="1"/>
  <c r="W151" i="20" a="1"/>
  <c r="W151" i="20" s="1"/>
  <c r="X151" i="20" a="1"/>
  <c r="X151" i="20" s="1"/>
  <c r="K152" i="20" a="1"/>
  <c r="K152" i="20" s="1"/>
  <c r="L152" i="20" a="1"/>
  <c r="L152" i="20" s="1"/>
  <c r="M152" i="20" a="1"/>
  <c r="M152" i="20" s="1"/>
  <c r="N152" i="20" a="1"/>
  <c r="N152" i="20" s="1"/>
  <c r="O152" i="20" a="1"/>
  <c r="O152" i="20" s="1"/>
  <c r="P152" i="20" a="1"/>
  <c r="P152" i="20" s="1"/>
  <c r="Q152" i="20" a="1"/>
  <c r="Q152" i="20" s="1"/>
  <c r="R152" i="20" a="1"/>
  <c r="R152" i="20" s="1"/>
  <c r="U152" i="20" a="1"/>
  <c r="U152" i="20" s="1"/>
  <c r="V152" i="20" a="1"/>
  <c r="V152" i="20" s="1"/>
  <c r="W152" i="20" a="1"/>
  <c r="W152" i="20" s="1"/>
  <c r="X152" i="20" a="1"/>
  <c r="X152" i="20" s="1"/>
  <c r="K153" i="20" a="1"/>
  <c r="K153" i="20" s="1"/>
  <c r="L153" i="20" a="1"/>
  <c r="L153" i="20" s="1"/>
  <c r="M153" i="20" a="1"/>
  <c r="M153" i="20" s="1"/>
  <c r="N153" i="20" a="1"/>
  <c r="N153" i="20" s="1"/>
  <c r="O153" i="20" a="1"/>
  <c r="O153" i="20" s="1"/>
  <c r="P153" i="20" a="1"/>
  <c r="P153" i="20" s="1"/>
  <c r="Q153" i="20" a="1"/>
  <c r="Q153" i="20" s="1"/>
  <c r="R153" i="20" a="1"/>
  <c r="R153" i="20" s="1"/>
  <c r="U153" i="20" a="1"/>
  <c r="U153" i="20" s="1"/>
  <c r="V153" i="20" a="1"/>
  <c r="V153" i="20" s="1"/>
  <c r="W153" i="20" a="1"/>
  <c r="W153" i="20" s="1"/>
  <c r="X153" i="20" a="1"/>
  <c r="X153" i="20" s="1"/>
  <c r="K154" i="20" a="1"/>
  <c r="K154" i="20" s="1"/>
  <c r="L154" i="20" a="1"/>
  <c r="L154" i="20" s="1"/>
  <c r="M154" i="20" a="1"/>
  <c r="M154" i="20" s="1"/>
  <c r="N154" i="20" a="1"/>
  <c r="N154" i="20" s="1"/>
  <c r="O154" i="20" a="1"/>
  <c r="O154" i="20" s="1"/>
  <c r="P154" i="20" a="1"/>
  <c r="P154" i="20" s="1"/>
  <c r="Q154" i="20" a="1"/>
  <c r="Q154" i="20" s="1"/>
  <c r="R154" i="20" a="1"/>
  <c r="R154" i="20" s="1"/>
  <c r="U154" i="20" a="1"/>
  <c r="U154" i="20" s="1"/>
  <c r="V154" i="20" a="1"/>
  <c r="V154" i="20" s="1"/>
  <c r="W154" i="20" a="1"/>
  <c r="W154" i="20" s="1"/>
  <c r="X154" i="20" a="1"/>
  <c r="X154" i="20" s="1"/>
  <c r="K155" i="20" a="1"/>
  <c r="K155" i="20" s="1"/>
  <c r="L155" i="20" a="1"/>
  <c r="L155" i="20" s="1"/>
  <c r="M155" i="20" a="1"/>
  <c r="M155" i="20" s="1"/>
  <c r="N155" i="20" a="1"/>
  <c r="N155" i="20" s="1"/>
  <c r="O155" i="20" a="1"/>
  <c r="O155" i="20" s="1"/>
  <c r="P155" i="20" a="1"/>
  <c r="P155" i="20" s="1"/>
  <c r="Q155" i="20" a="1"/>
  <c r="Q155" i="20" s="1"/>
  <c r="R155" i="20" a="1"/>
  <c r="R155" i="20" s="1"/>
  <c r="U155" i="20" a="1"/>
  <c r="U155" i="20" s="1"/>
  <c r="V155" i="20" a="1"/>
  <c r="V155" i="20" s="1"/>
  <c r="W155" i="20" a="1"/>
  <c r="W155" i="20" s="1"/>
  <c r="X155" i="20" a="1"/>
  <c r="X155" i="20" s="1"/>
  <c r="K156" i="20" a="1"/>
  <c r="K156" i="20" s="1"/>
  <c r="L156" i="20" a="1"/>
  <c r="L156" i="20" s="1"/>
  <c r="M156" i="20" a="1"/>
  <c r="M156" i="20" s="1"/>
  <c r="N156" i="20" a="1"/>
  <c r="N156" i="20" s="1"/>
  <c r="O156" i="20" a="1"/>
  <c r="O156" i="20" s="1"/>
  <c r="P156" i="20" a="1"/>
  <c r="P156" i="20" s="1"/>
  <c r="Q156" i="20" a="1"/>
  <c r="Q156" i="20" s="1"/>
  <c r="R156" i="20" a="1"/>
  <c r="R156" i="20" s="1"/>
  <c r="U156" i="20" a="1"/>
  <c r="U156" i="20" s="1"/>
  <c r="V156" i="20" a="1"/>
  <c r="V156" i="20" s="1"/>
  <c r="W156" i="20" a="1"/>
  <c r="W156" i="20" s="1"/>
  <c r="X156" i="20" a="1"/>
  <c r="X156" i="20" s="1"/>
  <c r="K157" i="20" a="1"/>
  <c r="K157" i="20" s="1"/>
  <c r="L157" i="20" a="1"/>
  <c r="L157" i="20" s="1"/>
  <c r="M157" i="20" a="1"/>
  <c r="M157" i="20" s="1"/>
  <c r="N157" i="20" a="1"/>
  <c r="N157" i="20" s="1"/>
  <c r="O157" i="20" a="1"/>
  <c r="O157" i="20" s="1"/>
  <c r="P157" i="20" a="1"/>
  <c r="P157" i="20" s="1"/>
  <c r="Q157" i="20" a="1"/>
  <c r="Q157" i="20" s="1"/>
  <c r="R157" i="20" a="1"/>
  <c r="R157" i="20" s="1"/>
  <c r="U157" i="20" a="1"/>
  <c r="U157" i="20" s="1"/>
  <c r="V157" i="20" a="1"/>
  <c r="V157" i="20" s="1"/>
  <c r="W157" i="20" a="1"/>
  <c r="W157" i="20" s="1"/>
  <c r="X157" i="20" a="1"/>
  <c r="X157" i="20" s="1"/>
  <c r="K158" i="20" a="1"/>
  <c r="K158" i="20" s="1"/>
  <c r="L158" i="20" a="1"/>
  <c r="L158" i="20" s="1"/>
  <c r="M158" i="20" a="1"/>
  <c r="M158" i="20" s="1"/>
  <c r="N158" i="20" a="1"/>
  <c r="N158" i="20" s="1"/>
  <c r="O158" i="20" a="1"/>
  <c r="O158" i="20" s="1"/>
  <c r="P158" i="20" a="1"/>
  <c r="P158" i="20" s="1"/>
  <c r="Q158" i="20" a="1"/>
  <c r="Q158" i="20" s="1"/>
  <c r="R158" i="20" a="1"/>
  <c r="R158" i="20" s="1"/>
  <c r="U158" i="20" a="1"/>
  <c r="U158" i="20" s="1"/>
  <c r="V158" i="20" a="1"/>
  <c r="V158" i="20" s="1"/>
  <c r="W158" i="20" a="1"/>
  <c r="W158" i="20" s="1"/>
  <c r="X158" i="20" a="1"/>
  <c r="X158" i="20" s="1"/>
  <c r="K159" i="20" a="1"/>
  <c r="K159" i="20" s="1"/>
  <c r="L159" i="20" a="1"/>
  <c r="L159" i="20" s="1"/>
  <c r="M159" i="20" a="1"/>
  <c r="M159" i="20" s="1"/>
  <c r="N159" i="20" a="1"/>
  <c r="N159" i="20" s="1"/>
  <c r="O159" i="20" a="1"/>
  <c r="O159" i="20" s="1"/>
  <c r="P159" i="20" a="1"/>
  <c r="P159" i="20" s="1"/>
  <c r="Q159" i="20" a="1"/>
  <c r="Q159" i="20" s="1"/>
  <c r="R159" i="20" a="1"/>
  <c r="R159" i="20" s="1"/>
  <c r="U159" i="20" a="1"/>
  <c r="U159" i="20" s="1"/>
  <c r="V159" i="20" a="1"/>
  <c r="V159" i="20" s="1"/>
  <c r="W159" i="20" a="1"/>
  <c r="W159" i="20" s="1"/>
  <c r="X159" i="20" a="1"/>
  <c r="X159" i="20" s="1"/>
  <c r="K160" i="20" a="1"/>
  <c r="K160" i="20" s="1"/>
  <c r="L160" i="20" a="1"/>
  <c r="L160" i="20" s="1"/>
  <c r="M160" i="20" a="1"/>
  <c r="M160" i="20" s="1"/>
  <c r="N160" i="20" a="1"/>
  <c r="N160" i="20" s="1"/>
  <c r="O160" i="20" a="1"/>
  <c r="O160" i="20" s="1"/>
  <c r="P160" i="20" a="1"/>
  <c r="P160" i="20" s="1"/>
  <c r="Q160" i="20" a="1"/>
  <c r="Q160" i="20" s="1"/>
  <c r="R160" i="20" a="1"/>
  <c r="R160" i="20" s="1"/>
  <c r="U160" i="20" a="1"/>
  <c r="U160" i="20" s="1"/>
  <c r="V160" i="20" a="1"/>
  <c r="V160" i="20" s="1"/>
  <c r="W160" i="20" a="1"/>
  <c r="W160" i="20" s="1"/>
  <c r="X160" i="20" a="1"/>
  <c r="X160" i="20" s="1"/>
  <c r="K161" i="20" a="1"/>
  <c r="K161" i="20" s="1"/>
  <c r="L161" i="20" a="1"/>
  <c r="L161" i="20" s="1"/>
  <c r="M161" i="20" a="1"/>
  <c r="M161" i="20" s="1"/>
  <c r="N161" i="20" a="1"/>
  <c r="N161" i="20" s="1"/>
  <c r="O161" i="20" a="1"/>
  <c r="O161" i="20" s="1"/>
  <c r="P161" i="20" a="1"/>
  <c r="P161" i="20" s="1"/>
  <c r="Q161" i="20" a="1"/>
  <c r="Q161" i="20" s="1"/>
  <c r="R161" i="20" a="1"/>
  <c r="R161" i="20" s="1"/>
  <c r="U161" i="20" a="1"/>
  <c r="U161" i="20" s="1"/>
  <c r="V161" i="20" a="1"/>
  <c r="V161" i="20" s="1"/>
  <c r="W161" i="20" a="1"/>
  <c r="W161" i="20" s="1"/>
  <c r="X161" i="20" a="1"/>
  <c r="X161" i="20" s="1"/>
  <c r="K162" i="20" a="1"/>
  <c r="K162" i="20" s="1"/>
  <c r="L162" i="20" a="1"/>
  <c r="L162" i="20" s="1"/>
  <c r="M162" i="20" a="1"/>
  <c r="M162" i="20" s="1"/>
  <c r="N162" i="20" a="1"/>
  <c r="N162" i="20" s="1"/>
  <c r="O162" i="20" a="1"/>
  <c r="O162" i="20" s="1"/>
  <c r="P162" i="20" a="1"/>
  <c r="P162" i="20" s="1"/>
  <c r="Q162" i="20" a="1"/>
  <c r="Q162" i="20" s="1"/>
  <c r="R162" i="20" a="1"/>
  <c r="R162" i="20" s="1"/>
  <c r="U162" i="20" a="1"/>
  <c r="U162" i="20" s="1"/>
  <c r="V162" i="20" a="1"/>
  <c r="V162" i="20" s="1"/>
  <c r="W162" i="20" a="1"/>
  <c r="W162" i="20" s="1"/>
  <c r="X162" i="20" a="1"/>
  <c r="X162" i="20" s="1"/>
  <c r="K163" i="20" a="1"/>
  <c r="K163" i="20" s="1"/>
  <c r="L163" i="20" a="1"/>
  <c r="L163" i="20" s="1"/>
  <c r="M163" i="20" a="1"/>
  <c r="M163" i="20" s="1"/>
  <c r="N163" i="20" a="1"/>
  <c r="N163" i="20" s="1"/>
  <c r="O163" i="20" a="1"/>
  <c r="O163" i="20" s="1"/>
  <c r="P163" i="20" a="1"/>
  <c r="P163" i="20" s="1"/>
  <c r="Q163" i="20" a="1"/>
  <c r="Q163" i="20" s="1"/>
  <c r="R163" i="20" a="1"/>
  <c r="R163" i="20" s="1"/>
  <c r="U163" i="20" a="1"/>
  <c r="U163" i="20" s="1"/>
  <c r="V163" i="20" a="1"/>
  <c r="V163" i="20" s="1"/>
  <c r="W163" i="20" a="1"/>
  <c r="W163" i="20" s="1"/>
  <c r="X163" i="20" a="1"/>
  <c r="X163" i="20" s="1"/>
  <c r="K164" i="20" a="1"/>
  <c r="K164" i="20" s="1"/>
  <c r="L164" i="20" a="1"/>
  <c r="L164" i="20" s="1"/>
  <c r="M164" i="20" a="1"/>
  <c r="M164" i="20" s="1"/>
  <c r="N164" i="20" a="1"/>
  <c r="N164" i="20" s="1"/>
  <c r="O164" i="20" a="1"/>
  <c r="O164" i="20" s="1"/>
  <c r="P164" i="20" a="1"/>
  <c r="P164" i="20" s="1"/>
  <c r="Q164" i="20" a="1"/>
  <c r="Q164" i="20" s="1"/>
  <c r="R164" i="20" a="1"/>
  <c r="R164" i="20" s="1"/>
  <c r="U164" i="20" a="1"/>
  <c r="U164" i="20" s="1"/>
  <c r="V164" i="20" a="1"/>
  <c r="V164" i="20" s="1"/>
  <c r="W164" i="20" a="1"/>
  <c r="W164" i="20" s="1"/>
  <c r="X164" i="20" a="1"/>
  <c r="X164" i="20" s="1"/>
  <c r="K165" i="20" a="1"/>
  <c r="K165" i="20" s="1"/>
  <c r="L165" i="20" a="1"/>
  <c r="L165" i="20" s="1"/>
  <c r="M165" i="20" a="1"/>
  <c r="M165" i="20" s="1"/>
  <c r="N165" i="20" a="1"/>
  <c r="N165" i="20" s="1"/>
  <c r="O165" i="20" a="1"/>
  <c r="O165" i="20" s="1"/>
  <c r="P165" i="20" a="1"/>
  <c r="P165" i="20" s="1"/>
  <c r="Q165" i="20" a="1"/>
  <c r="Q165" i="20" s="1"/>
  <c r="R165" i="20" a="1"/>
  <c r="R165" i="20" s="1"/>
  <c r="U165" i="20" a="1"/>
  <c r="U165" i="20" s="1"/>
  <c r="V165" i="20" a="1"/>
  <c r="V165" i="20" s="1"/>
  <c r="W165" i="20" a="1"/>
  <c r="W165" i="20" s="1"/>
  <c r="X165" i="20" a="1"/>
  <c r="X165" i="20" s="1"/>
  <c r="K166" i="20" a="1"/>
  <c r="K166" i="20" s="1"/>
  <c r="L166" i="20" a="1"/>
  <c r="L166" i="20" s="1"/>
  <c r="M166" i="20" a="1"/>
  <c r="M166" i="20" s="1"/>
  <c r="N166" i="20" a="1"/>
  <c r="N166" i="20" s="1"/>
  <c r="O166" i="20" a="1"/>
  <c r="O166" i="20" s="1"/>
  <c r="P166" i="20" a="1"/>
  <c r="P166" i="20" s="1"/>
  <c r="Q166" i="20" a="1"/>
  <c r="Q166" i="20" s="1"/>
  <c r="R166" i="20" a="1"/>
  <c r="R166" i="20" s="1"/>
  <c r="U166" i="20" a="1"/>
  <c r="U166" i="20" s="1"/>
  <c r="V166" i="20" a="1"/>
  <c r="V166" i="20" s="1"/>
  <c r="W166" i="20" a="1"/>
  <c r="W166" i="20" s="1"/>
  <c r="X166" i="20" a="1"/>
  <c r="X166" i="20" s="1"/>
  <c r="K167" i="20" a="1"/>
  <c r="K167" i="20" s="1"/>
  <c r="L167" i="20" a="1"/>
  <c r="L167" i="20" s="1"/>
  <c r="M167" i="20" a="1"/>
  <c r="M167" i="20" s="1"/>
  <c r="N167" i="20" a="1"/>
  <c r="N167" i="20" s="1"/>
  <c r="O167" i="20" a="1"/>
  <c r="O167" i="20" s="1"/>
  <c r="P167" i="20" a="1"/>
  <c r="P167" i="20" s="1"/>
  <c r="Q167" i="20" a="1"/>
  <c r="Q167" i="20" s="1"/>
  <c r="R167" i="20" a="1"/>
  <c r="R167" i="20" s="1"/>
  <c r="U167" i="20" a="1"/>
  <c r="U167" i="20" s="1"/>
  <c r="V167" i="20" a="1"/>
  <c r="V167" i="20" s="1"/>
  <c r="W167" i="20" a="1"/>
  <c r="W167" i="20" s="1"/>
  <c r="X167" i="20" a="1"/>
  <c r="X167" i="20" s="1"/>
  <c r="K168" i="20" a="1"/>
  <c r="K168" i="20" s="1"/>
  <c r="L168" i="20" a="1"/>
  <c r="L168" i="20" s="1"/>
  <c r="M168" i="20" a="1"/>
  <c r="M168" i="20" s="1"/>
  <c r="N168" i="20" a="1"/>
  <c r="N168" i="20" s="1"/>
  <c r="O168" i="20" a="1"/>
  <c r="O168" i="20" s="1"/>
  <c r="P168" i="20" a="1"/>
  <c r="P168" i="20" s="1"/>
  <c r="Q168" i="20" a="1"/>
  <c r="Q168" i="20" s="1"/>
  <c r="R168" i="20" a="1"/>
  <c r="R168" i="20" s="1"/>
  <c r="U168" i="20" a="1"/>
  <c r="U168" i="20" s="1"/>
  <c r="V168" i="20" a="1"/>
  <c r="V168" i="20" s="1"/>
  <c r="W168" i="20" a="1"/>
  <c r="W168" i="20" s="1"/>
  <c r="X168" i="20" a="1"/>
  <c r="X168" i="20" s="1"/>
  <c r="K169" i="20" a="1"/>
  <c r="K169" i="20" s="1"/>
  <c r="L169" i="20" a="1"/>
  <c r="L169" i="20" s="1"/>
  <c r="M169" i="20" a="1"/>
  <c r="M169" i="20" s="1"/>
  <c r="N169" i="20" a="1"/>
  <c r="N169" i="20" s="1"/>
  <c r="O169" i="20" a="1"/>
  <c r="O169" i="20" s="1"/>
  <c r="P169" i="20" a="1"/>
  <c r="P169" i="20" s="1"/>
  <c r="Q169" i="20" a="1"/>
  <c r="Q169" i="20" s="1"/>
  <c r="R169" i="20" a="1"/>
  <c r="R169" i="20" s="1"/>
  <c r="U169" i="20" a="1"/>
  <c r="U169" i="20" s="1"/>
  <c r="V169" i="20" a="1"/>
  <c r="V169" i="20" s="1"/>
  <c r="W169" i="20" a="1"/>
  <c r="W169" i="20" s="1"/>
  <c r="X169" i="20" a="1"/>
  <c r="X169" i="20" s="1"/>
  <c r="K170" i="20" a="1"/>
  <c r="K170" i="20" s="1"/>
  <c r="L170" i="20" a="1"/>
  <c r="L170" i="20" s="1"/>
  <c r="M170" i="20" a="1"/>
  <c r="M170" i="20" s="1"/>
  <c r="N170" i="20" a="1"/>
  <c r="N170" i="20" s="1"/>
  <c r="O170" i="20" a="1"/>
  <c r="O170" i="20" s="1"/>
  <c r="P170" i="20" a="1"/>
  <c r="P170" i="20" s="1"/>
  <c r="Q170" i="20" a="1"/>
  <c r="Q170" i="20" s="1"/>
  <c r="R170" i="20" a="1"/>
  <c r="R170" i="20" s="1"/>
  <c r="U170" i="20" a="1"/>
  <c r="U170" i="20" s="1"/>
  <c r="V170" i="20" a="1"/>
  <c r="V170" i="20" s="1"/>
  <c r="W170" i="20" a="1"/>
  <c r="W170" i="20" s="1"/>
  <c r="X170" i="20" a="1"/>
  <c r="X170" i="20" s="1"/>
  <c r="K171" i="20" a="1"/>
  <c r="K171" i="20" s="1"/>
  <c r="L171" i="20" a="1"/>
  <c r="L171" i="20" s="1"/>
  <c r="M171" i="20" a="1"/>
  <c r="M171" i="20" s="1"/>
  <c r="N171" i="20" a="1"/>
  <c r="N171" i="20" s="1"/>
  <c r="O171" i="20" a="1"/>
  <c r="O171" i="20" s="1"/>
  <c r="P171" i="20" a="1"/>
  <c r="P171" i="20" s="1"/>
  <c r="Q171" i="20" a="1"/>
  <c r="Q171" i="20" s="1"/>
  <c r="R171" i="20" a="1"/>
  <c r="R171" i="20" s="1"/>
  <c r="U171" i="20" a="1"/>
  <c r="U171" i="20" s="1"/>
  <c r="V171" i="20" a="1"/>
  <c r="V171" i="20" s="1"/>
  <c r="W171" i="20" a="1"/>
  <c r="W171" i="20" s="1"/>
  <c r="X171" i="20" a="1"/>
  <c r="X171" i="20" s="1"/>
  <c r="K172" i="20" a="1"/>
  <c r="K172" i="20" s="1"/>
  <c r="L172" i="20" a="1"/>
  <c r="L172" i="20" s="1"/>
  <c r="M172" i="20" a="1"/>
  <c r="M172" i="20" s="1"/>
  <c r="N172" i="20" a="1"/>
  <c r="N172" i="20" s="1"/>
  <c r="O172" i="20" a="1"/>
  <c r="O172" i="20" s="1"/>
  <c r="P172" i="20" a="1"/>
  <c r="P172" i="20" s="1"/>
  <c r="Q172" i="20" a="1"/>
  <c r="Q172" i="20" s="1"/>
  <c r="R172" i="20" a="1"/>
  <c r="R172" i="20" s="1"/>
  <c r="U172" i="20" a="1"/>
  <c r="U172" i="20" s="1"/>
  <c r="V172" i="20" a="1"/>
  <c r="V172" i="20" s="1"/>
  <c r="W172" i="20" a="1"/>
  <c r="W172" i="20" s="1"/>
  <c r="X172" i="20" a="1"/>
  <c r="X172" i="20" s="1"/>
  <c r="K173" i="20" a="1"/>
  <c r="K173" i="20" s="1"/>
  <c r="L173" i="20" a="1"/>
  <c r="L173" i="20" s="1"/>
  <c r="M173" i="20" a="1"/>
  <c r="M173" i="20" s="1"/>
  <c r="N173" i="20" a="1"/>
  <c r="N173" i="20" s="1"/>
  <c r="O173" i="20" a="1"/>
  <c r="O173" i="20" s="1"/>
  <c r="P173" i="20" a="1"/>
  <c r="P173" i="20" s="1"/>
  <c r="Q173" i="20" a="1"/>
  <c r="Q173" i="20" s="1"/>
  <c r="R173" i="20" a="1"/>
  <c r="R173" i="20" s="1"/>
  <c r="U173" i="20" a="1"/>
  <c r="U173" i="20" s="1"/>
  <c r="V173" i="20" a="1"/>
  <c r="V173" i="20" s="1"/>
  <c r="W173" i="20" a="1"/>
  <c r="W173" i="20" s="1"/>
  <c r="X173" i="20" a="1"/>
  <c r="X173" i="20" s="1"/>
  <c r="K174" i="20" a="1"/>
  <c r="K174" i="20" s="1"/>
  <c r="L174" i="20" a="1"/>
  <c r="L174" i="20" s="1"/>
  <c r="M174" i="20" a="1"/>
  <c r="M174" i="20" s="1"/>
  <c r="N174" i="20" a="1"/>
  <c r="N174" i="20" s="1"/>
  <c r="O174" i="20" a="1"/>
  <c r="O174" i="20" s="1"/>
  <c r="P174" i="20" a="1"/>
  <c r="P174" i="20" s="1"/>
  <c r="Q174" i="20" a="1"/>
  <c r="Q174" i="20" s="1"/>
  <c r="R174" i="20" a="1"/>
  <c r="R174" i="20" s="1"/>
  <c r="U174" i="20" a="1"/>
  <c r="U174" i="20" s="1"/>
  <c r="V174" i="20" a="1"/>
  <c r="V174" i="20" s="1"/>
  <c r="W174" i="20" a="1"/>
  <c r="W174" i="20" s="1"/>
  <c r="X174" i="20" a="1"/>
  <c r="X174" i="20" s="1"/>
  <c r="K175" i="20" a="1"/>
  <c r="K175" i="20" s="1"/>
  <c r="L175" i="20" a="1"/>
  <c r="L175" i="20" s="1"/>
  <c r="M175" i="20" a="1"/>
  <c r="M175" i="20" s="1"/>
  <c r="N175" i="20" a="1"/>
  <c r="N175" i="20" s="1"/>
  <c r="O175" i="20" a="1"/>
  <c r="O175" i="20" s="1"/>
  <c r="P175" i="20" a="1"/>
  <c r="P175" i="20" s="1"/>
  <c r="Q175" i="20" a="1"/>
  <c r="Q175" i="20" s="1"/>
  <c r="R175" i="20" a="1"/>
  <c r="R175" i="20" s="1"/>
  <c r="U175" i="20" a="1"/>
  <c r="U175" i="20" s="1"/>
  <c r="V175" i="20" a="1"/>
  <c r="V175" i="20" s="1"/>
  <c r="W175" i="20" a="1"/>
  <c r="W175" i="20" s="1"/>
  <c r="X175" i="20" a="1"/>
  <c r="X175" i="20" s="1"/>
  <c r="K176" i="20" a="1"/>
  <c r="K176" i="20" s="1"/>
  <c r="L176" i="20" a="1"/>
  <c r="L176" i="20" s="1"/>
  <c r="M176" i="20" a="1"/>
  <c r="M176" i="20" s="1"/>
  <c r="N176" i="20" a="1"/>
  <c r="N176" i="20" s="1"/>
  <c r="O176" i="20" a="1"/>
  <c r="O176" i="20" s="1"/>
  <c r="P176" i="20" a="1"/>
  <c r="P176" i="20" s="1"/>
  <c r="Q176" i="20" a="1"/>
  <c r="Q176" i="20" s="1"/>
  <c r="R176" i="20" a="1"/>
  <c r="R176" i="20" s="1"/>
  <c r="U176" i="20" a="1"/>
  <c r="U176" i="20" s="1"/>
  <c r="V176" i="20" a="1"/>
  <c r="V176" i="20" s="1"/>
  <c r="W176" i="20" a="1"/>
  <c r="W176" i="20" s="1"/>
  <c r="X176" i="20" a="1"/>
  <c r="X176" i="20" s="1"/>
  <c r="X2" i="20" a="1"/>
  <c r="X2" i="20" s="1"/>
  <c r="W2" i="20" a="1"/>
  <c r="W2" i="20" s="1"/>
  <c r="V2" i="20" a="1"/>
  <c r="V2" i="20" s="1"/>
  <c r="U2" i="20" a="1"/>
  <c r="U2" i="20" s="1"/>
  <c r="R2" i="20" a="1"/>
  <c r="R2" i="20" s="1"/>
  <c r="Q2" i="20" a="1"/>
  <c r="Q2" i="20" s="1"/>
  <c r="P2" i="20" a="1"/>
  <c r="P2" i="20" s="1"/>
  <c r="O2" i="20" a="1"/>
  <c r="O2" i="20" s="1"/>
  <c r="N2" i="20" a="1"/>
  <c r="N2" i="20" s="1"/>
  <c r="M2" i="20" a="1"/>
  <c r="M2" i="20" s="1"/>
  <c r="L2" i="20" a="1"/>
  <c r="L2" i="20" s="1"/>
  <c r="K2" i="20" a="1"/>
  <c r="K2" i="20" s="1"/>
  <c r="K3" i="19" a="1"/>
  <c r="K3" i="19" s="1"/>
  <c r="L3" i="19" a="1"/>
  <c r="L3" i="19" s="1"/>
  <c r="M3" i="19" a="1"/>
  <c r="M3" i="19" s="1"/>
  <c r="N3" i="19" a="1"/>
  <c r="N3" i="19" s="1"/>
  <c r="O3" i="19" a="1"/>
  <c r="O3" i="19" s="1"/>
  <c r="P3" i="19" a="1"/>
  <c r="P3" i="19" s="1"/>
  <c r="Q3" i="19" a="1"/>
  <c r="Q3" i="19" s="1"/>
  <c r="R3" i="19" a="1"/>
  <c r="R3" i="19" s="1"/>
  <c r="U3" i="19" a="1"/>
  <c r="U3" i="19" s="1"/>
  <c r="V3" i="19" a="1"/>
  <c r="V3" i="19" s="1"/>
  <c r="W3" i="19" a="1"/>
  <c r="W3" i="19" s="1"/>
  <c r="X3" i="19" a="1"/>
  <c r="X3" i="19" s="1"/>
  <c r="K4" i="19" a="1"/>
  <c r="K4" i="19" s="1"/>
  <c r="L4" i="19" a="1"/>
  <c r="L4" i="19" s="1"/>
  <c r="M4" i="19" a="1"/>
  <c r="M4" i="19" s="1"/>
  <c r="N4" i="19" a="1"/>
  <c r="N4" i="19" s="1"/>
  <c r="O4" i="19" a="1"/>
  <c r="O4" i="19" s="1"/>
  <c r="P4" i="19" a="1"/>
  <c r="P4" i="19" s="1"/>
  <c r="Q4" i="19" a="1"/>
  <c r="Q4" i="19" s="1"/>
  <c r="R4" i="19" a="1"/>
  <c r="R4" i="19" s="1"/>
  <c r="U4" i="19" a="1"/>
  <c r="U4" i="19" s="1"/>
  <c r="V4" i="19" a="1"/>
  <c r="V4" i="19" s="1"/>
  <c r="W4" i="19" a="1"/>
  <c r="W4" i="19" s="1"/>
  <c r="X4" i="19" a="1"/>
  <c r="X4" i="19" s="1"/>
  <c r="K5" i="19" a="1"/>
  <c r="K5" i="19" s="1"/>
  <c r="L5" i="19" a="1"/>
  <c r="L5" i="19" s="1"/>
  <c r="M5" i="19" a="1"/>
  <c r="M5" i="19" s="1"/>
  <c r="N5" i="19" a="1"/>
  <c r="N5" i="19" s="1"/>
  <c r="O5" i="19" a="1"/>
  <c r="O5" i="19" s="1"/>
  <c r="P5" i="19" a="1"/>
  <c r="P5" i="19" s="1"/>
  <c r="Q5" i="19" a="1"/>
  <c r="Q5" i="19" s="1"/>
  <c r="R5" i="19" a="1"/>
  <c r="R5" i="19" s="1"/>
  <c r="U5" i="19" a="1"/>
  <c r="U5" i="19" s="1"/>
  <c r="V5" i="19" a="1"/>
  <c r="V5" i="19" s="1"/>
  <c r="W5" i="19" a="1"/>
  <c r="W5" i="19" s="1"/>
  <c r="X5" i="19" a="1"/>
  <c r="X5" i="19" s="1"/>
  <c r="K6" i="19" a="1"/>
  <c r="K6" i="19" s="1"/>
  <c r="L6" i="19" a="1"/>
  <c r="L6" i="19" s="1"/>
  <c r="M6" i="19" a="1"/>
  <c r="M6" i="19" s="1"/>
  <c r="N6" i="19" a="1"/>
  <c r="N6" i="19" s="1"/>
  <c r="O6" i="19" a="1"/>
  <c r="O6" i="19" s="1"/>
  <c r="P6" i="19" a="1"/>
  <c r="P6" i="19" s="1"/>
  <c r="Q6" i="19" a="1"/>
  <c r="Q6" i="19" s="1"/>
  <c r="R6" i="19" a="1"/>
  <c r="R6" i="19" s="1"/>
  <c r="U6" i="19" a="1"/>
  <c r="U6" i="19" s="1"/>
  <c r="V6" i="19" a="1"/>
  <c r="V6" i="19" s="1"/>
  <c r="W6" i="19" a="1"/>
  <c r="W6" i="19" s="1"/>
  <c r="X6" i="19" a="1"/>
  <c r="X6" i="19" s="1"/>
  <c r="K7" i="19" a="1"/>
  <c r="K7" i="19" s="1"/>
  <c r="L7" i="19" a="1"/>
  <c r="L7" i="19" s="1"/>
  <c r="M7" i="19" a="1"/>
  <c r="M7" i="19" s="1"/>
  <c r="N7" i="19" a="1"/>
  <c r="N7" i="19" s="1"/>
  <c r="O7" i="19" a="1"/>
  <c r="O7" i="19" s="1"/>
  <c r="P7" i="19" a="1"/>
  <c r="P7" i="19" s="1"/>
  <c r="Q7" i="19" a="1"/>
  <c r="Q7" i="19" s="1"/>
  <c r="R7" i="19" a="1"/>
  <c r="R7" i="19" s="1"/>
  <c r="U7" i="19" a="1"/>
  <c r="U7" i="19" s="1"/>
  <c r="V7" i="19" a="1"/>
  <c r="V7" i="19" s="1"/>
  <c r="W7" i="19" a="1"/>
  <c r="W7" i="19" s="1"/>
  <c r="X7" i="19" a="1"/>
  <c r="X7" i="19" s="1"/>
  <c r="K8" i="19" a="1"/>
  <c r="K8" i="19" s="1"/>
  <c r="L8" i="19" a="1"/>
  <c r="L8" i="19" s="1"/>
  <c r="M8" i="19" a="1"/>
  <c r="M8" i="19" s="1"/>
  <c r="N8" i="19" a="1"/>
  <c r="N8" i="19" s="1"/>
  <c r="O8" i="19" a="1"/>
  <c r="O8" i="19" s="1"/>
  <c r="P8" i="19" a="1"/>
  <c r="P8" i="19" s="1"/>
  <c r="Q8" i="19" a="1"/>
  <c r="Q8" i="19" s="1"/>
  <c r="R8" i="19" a="1"/>
  <c r="R8" i="19" s="1"/>
  <c r="U8" i="19" a="1"/>
  <c r="U8" i="19" s="1"/>
  <c r="V8" i="19" a="1"/>
  <c r="V8" i="19" s="1"/>
  <c r="W8" i="19" a="1"/>
  <c r="W8" i="19" s="1"/>
  <c r="X8" i="19" a="1"/>
  <c r="X8" i="19" s="1"/>
  <c r="K9" i="19" a="1"/>
  <c r="K9" i="19" s="1"/>
  <c r="L9" i="19" a="1"/>
  <c r="L9" i="19" s="1"/>
  <c r="M9" i="19" a="1"/>
  <c r="M9" i="19" s="1"/>
  <c r="N9" i="19" a="1"/>
  <c r="N9" i="19" s="1"/>
  <c r="O9" i="19" a="1"/>
  <c r="O9" i="19" s="1"/>
  <c r="P9" i="19" a="1"/>
  <c r="P9" i="19" s="1"/>
  <c r="Q9" i="19" a="1"/>
  <c r="Q9" i="19" s="1"/>
  <c r="R9" i="19" a="1"/>
  <c r="R9" i="19" s="1"/>
  <c r="U9" i="19" a="1"/>
  <c r="U9" i="19" s="1"/>
  <c r="V9" i="19" a="1"/>
  <c r="V9" i="19" s="1"/>
  <c r="W9" i="19" a="1"/>
  <c r="W9" i="19" s="1"/>
  <c r="X9" i="19" a="1"/>
  <c r="X9" i="19" s="1"/>
  <c r="K10" i="19" a="1"/>
  <c r="K10" i="19" s="1"/>
  <c r="L10" i="19" a="1"/>
  <c r="L10" i="19" s="1"/>
  <c r="M10" i="19" a="1"/>
  <c r="M10" i="19" s="1"/>
  <c r="N10" i="19" a="1"/>
  <c r="N10" i="19" s="1"/>
  <c r="O10" i="19" a="1"/>
  <c r="O10" i="19" s="1"/>
  <c r="P10" i="19" a="1"/>
  <c r="P10" i="19" s="1"/>
  <c r="Q10" i="19" a="1"/>
  <c r="Q10" i="19" s="1"/>
  <c r="R10" i="19" a="1"/>
  <c r="R10" i="19" s="1"/>
  <c r="U10" i="19" a="1"/>
  <c r="U10" i="19" s="1"/>
  <c r="V10" i="19" a="1"/>
  <c r="V10" i="19" s="1"/>
  <c r="W10" i="19" a="1"/>
  <c r="W10" i="19" s="1"/>
  <c r="X10" i="19" a="1"/>
  <c r="X10" i="19" s="1"/>
  <c r="K11" i="19" a="1"/>
  <c r="K11" i="19" s="1"/>
  <c r="L11" i="19" a="1"/>
  <c r="L11" i="19" s="1"/>
  <c r="M11" i="19" a="1"/>
  <c r="M11" i="19" s="1"/>
  <c r="N11" i="19" a="1"/>
  <c r="N11" i="19" s="1"/>
  <c r="O11" i="19" a="1"/>
  <c r="O11" i="19" s="1"/>
  <c r="P11" i="19" a="1"/>
  <c r="P11" i="19" s="1"/>
  <c r="Q11" i="19" a="1"/>
  <c r="Q11" i="19" s="1"/>
  <c r="R11" i="19" a="1"/>
  <c r="R11" i="19" s="1"/>
  <c r="U11" i="19" a="1"/>
  <c r="U11" i="19" s="1"/>
  <c r="V11" i="19" a="1"/>
  <c r="V11" i="19" s="1"/>
  <c r="W11" i="19" a="1"/>
  <c r="W11" i="19" s="1"/>
  <c r="X11" i="19" a="1"/>
  <c r="X11" i="19" s="1"/>
  <c r="K12" i="19" a="1"/>
  <c r="K12" i="19" s="1"/>
  <c r="L12" i="19" a="1"/>
  <c r="L12" i="19" s="1"/>
  <c r="M12" i="19" a="1"/>
  <c r="M12" i="19" s="1"/>
  <c r="N12" i="19" a="1"/>
  <c r="N12" i="19" s="1"/>
  <c r="O12" i="19" a="1"/>
  <c r="O12" i="19" s="1"/>
  <c r="P12" i="19" a="1"/>
  <c r="P12" i="19" s="1"/>
  <c r="Q12" i="19" a="1"/>
  <c r="Q12" i="19" s="1"/>
  <c r="R12" i="19" a="1"/>
  <c r="R12" i="19" s="1"/>
  <c r="U12" i="19" a="1"/>
  <c r="U12" i="19" s="1"/>
  <c r="V12" i="19" a="1"/>
  <c r="V12" i="19" s="1"/>
  <c r="W12" i="19" a="1"/>
  <c r="W12" i="19" s="1"/>
  <c r="X12" i="19" a="1"/>
  <c r="X12" i="19" s="1"/>
  <c r="K13" i="19" a="1"/>
  <c r="K13" i="19" s="1"/>
  <c r="L13" i="19" a="1"/>
  <c r="L13" i="19" s="1"/>
  <c r="M13" i="19" a="1"/>
  <c r="M13" i="19" s="1"/>
  <c r="N13" i="19" a="1"/>
  <c r="N13" i="19" s="1"/>
  <c r="O13" i="19" a="1"/>
  <c r="O13" i="19" s="1"/>
  <c r="P13" i="19" a="1"/>
  <c r="P13" i="19" s="1"/>
  <c r="Q13" i="19" a="1"/>
  <c r="Q13" i="19" s="1"/>
  <c r="R13" i="19" a="1"/>
  <c r="R13" i="19" s="1"/>
  <c r="U13" i="19" a="1"/>
  <c r="U13" i="19" s="1"/>
  <c r="V13" i="19" a="1"/>
  <c r="V13" i="19" s="1"/>
  <c r="W13" i="19" a="1"/>
  <c r="W13" i="19" s="1"/>
  <c r="X13" i="19" a="1"/>
  <c r="X13" i="19" s="1"/>
  <c r="K14" i="19" a="1"/>
  <c r="K14" i="19" s="1"/>
  <c r="L14" i="19" a="1"/>
  <c r="L14" i="19" s="1"/>
  <c r="M14" i="19" a="1"/>
  <c r="M14" i="19" s="1"/>
  <c r="N14" i="19" a="1"/>
  <c r="N14" i="19" s="1"/>
  <c r="O14" i="19" a="1"/>
  <c r="O14" i="19" s="1"/>
  <c r="P14" i="19" a="1"/>
  <c r="P14" i="19" s="1"/>
  <c r="Q14" i="19" a="1"/>
  <c r="Q14" i="19" s="1"/>
  <c r="R14" i="19" a="1"/>
  <c r="R14" i="19" s="1"/>
  <c r="U14" i="19" a="1"/>
  <c r="U14" i="19" s="1"/>
  <c r="V14" i="19" a="1"/>
  <c r="V14" i="19" s="1"/>
  <c r="W14" i="19" a="1"/>
  <c r="W14" i="19" s="1"/>
  <c r="X14" i="19" a="1"/>
  <c r="X14" i="19" s="1"/>
  <c r="K15" i="19" a="1"/>
  <c r="K15" i="19" s="1"/>
  <c r="L15" i="19" a="1"/>
  <c r="L15" i="19" s="1"/>
  <c r="M15" i="19" a="1"/>
  <c r="M15" i="19" s="1"/>
  <c r="N15" i="19" a="1"/>
  <c r="N15" i="19" s="1"/>
  <c r="O15" i="19" a="1"/>
  <c r="O15" i="19" s="1"/>
  <c r="P15" i="19" a="1"/>
  <c r="P15" i="19" s="1"/>
  <c r="Q15" i="19" a="1"/>
  <c r="Q15" i="19" s="1"/>
  <c r="R15" i="19" a="1"/>
  <c r="R15" i="19" s="1"/>
  <c r="U15" i="19" a="1"/>
  <c r="U15" i="19" s="1"/>
  <c r="V15" i="19" a="1"/>
  <c r="V15" i="19" s="1"/>
  <c r="W15" i="19" a="1"/>
  <c r="W15" i="19" s="1"/>
  <c r="X15" i="19" a="1"/>
  <c r="X15" i="19" s="1"/>
  <c r="K16" i="19" a="1"/>
  <c r="K16" i="19" s="1"/>
  <c r="L16" i="19" a="1"/>
  <c r="L16" i="19" s="1"/>
  <c r="M16" i="19" a="1"/>
  <c r="M16" i="19" s="1"/>
  <c r="N16" i="19" a="1"/>
  <c r="N16" i="19" s="1"/>
  <c r="O16" i="19" a="1"/>
  <c r="O16" i="19" s="1"/>
  <c r="P16" i="19" a="1"/>
  <c r="P16" i="19" s="1"/>
  <c r="Q16" i="19" a="1"/>
  <c r="Q16" i="19" s="1"/>
  <c r="R16" i="19" a="1"/>
  <c r="R16" i="19" s="1"/>
  <c r="U16" i="19" a="1"/>
  <c r="U16" i="19" s="1"/>
  <c r="V16" i="19" a="1"/>
  <c r="V16" i="19" s="1"/>
  <c r="W16" i="19" a="1"/>
  <c r="W16" i="19" s="1"/>
  <c r="X16" i="19" a="1"/>
  <c r="X16" i="19" s="1"/>
  <c r="K17" i="19" a="1"/>
  <c r="K17" i="19" s="1"/>
  <c r="L17" i="19" a="1"/>
  <c r="L17" i="19" s="1"/>
  <c r="M17" i="19" a="1"/>
  <c r="M17" i="19" s="1"/>
  <c r="N17" i="19" a="1"/>
  <c r="N17" i="19" s="1"/>
  <c r="O17" i="19" a="1"/>
  <c r="O17" i="19" s="1"/>
  <c r="P17" i="19" a="1"/>
  <c r="P17" i="19" s="1"/>
  <c r="Q17" i="19" a="1"/>
  <c r="Q17" i="19" s="1"/>
  <c r="R17" i="19" a="1"/>
  <c r="R17" i="19" s="1"/>
  <c r="U17" i="19" a="1"/>
  <c r="U17" i="19" s="1"/>
  <c r="V17" i="19" a="1"/>
  <c r="V17" i="19" s="1"/>
  <c r="W17" i="19" a="1"/>
  <c r="W17" i="19" s="1"/>
  <c r="X17" i="19" a="1"/>
  <c r="X17" i="19" s="1"/>
  <c r="K18" i="19" a="1"/>
  <c r="K18" i="19" s="1"/>
  <c r="L18" i="19" a="1"/>
  <c r="L18" i="19" s="1"/>
  <c r="M18" i="19" a="1"/>
  <c r="M18" i="19" s="1"/>
  <c r="N18" i="19" a="1"/>
  <c r="N18" i="19" s="1"/>
  <c r="O18" i="19" a="1"/>
  <c r="O18" i="19" s="1"/>
  <c r="P18" i="19" a="1"/>
  <c r="P18" i="19" s="1"/>
  <c r="Q18" i="19" a="1"/>
  <c r="Q18" i="19" s="1"/>
  <c r="R18" i="19" a="1"/>
  <c r="R18" i="19" s="1"/>
  <c r="U18" i="19" a="1"/>
  <c r="U18" i="19" s="1"/>
  <c r="V18" i="19" a="1"/>
  <c r="V18" i="19" s="1"/>
  <c r="W18" i="19" a="1"/>
  <c r="W18" i="19" s="1"/>
  <c r="X18" i="19" a="1"/>
  <c r="X18" i="19" s="1"/>
  <c r="K19" i="19" a="1"/>
  <c r="K19" i="19" s="1"/>
  <c r="L19" i="19" a="1"/>
  <c r="L19" i="19" s="1"/>
  <c r="M19" i="19" a="1"/>
  <c r="M19" i="19" s="1"/>
  <c r="N19" i="19" a="1"/>
  <c r="N19" i="19" s="1"/>
  <c r="O19" i="19" a="1"/>
  <c r="O19" i="19" s="1"/>
  <c r="P19" i="19" a="1"/>
  <c r="P19" i="19" s="1"/>
  <c r="Q19" i="19" a="1"/>
  <c r="Q19" i="19" s="1"/>
  <c r="R19" i="19" a="1"/>
  <c r="R19" i="19" s="1"/>
  <c r="U19" i="19" a="1"/>
  <c r="U19" i="19" s="1"/>
  <c r="V19" i="19" a="1"/>
  <c r="V19" i="19" s="1"/>
  <c r="W19" i="19" a="1"/>
  <c r="W19" i="19" s="1"/>
  <c r="X19" i="19" a="1"/>
  <c r="X19" i="19" s="1"/>
  <c r="K20" i="19" a="1"/>
  <c r="K20" i="19" s="1"/>
  <c r="L20" i="19" a="1"/>
  <c r="L20" i="19" s="1"/>
  <c r="M20" i="19" a="1"/>
  <c r="M20" i="19" s="1"/>
  <c r="N20" i="19" a="1"/>
  <c r="N20" i="19" s="1"/>
  <c r="O20" i="19" a="1"/>
  <c r="O20" i="19" s="1"/>
  <c r="P20" i="19" a="1"/>
  <c r="P20" i="19" s="1"/>
  <c r="Q20" i="19" a="1"/>
  <c r="Q20" i="19" s="1"/>
  <c r="R20" i="19" a="1"/>
  <c r="R20" i="19" s="1"/>
  <c r="U20" i="19" a="1"/>
  <c r="U20" i="19" s="1"/>
  <c r="V20" i="19" a="1"/>
  <c r="V20" i="19" s="1"/>
  <c r="W20" i="19" a="1"/>
  <c r="W20" i="19" s="1"/>
  <c r="X20" i="19" a="1"/>
  <c r="X20" i="19" s="1"/>
  <c r="K21" i="19" a="1"/>
  <c r="K21" i="19" s="1"/>
  <c r="L21" i="19" a="1"/>
  <c r="L21" i="19" s="1"/>
  <c r="M21" i="19" a="1"/>
  <c r="M21" i="19" s="1"/>
  <c r="N21" i="19" a="1"/>
  <c r="N21" i="19" s="1"/>
  <c r="O21" i="19" a="1"/>
  <c r="O21" i="19" s="1"/>
  <c r="P21" i="19" a="1"/>
  <c r="P21" i="19" s="1"/>
  <c r="Q21" i="19" a="1"/>
  <c r="Q21" i="19" s="1"/>
  <c r="R21" i="19" a="1"/>
  <c r="R21" i="19" s="1"/>
  <c r="U21" i="19" a="1"/>
  <c r="U21" i="19" s="1"/>
  <c r="V21" i="19" a="1"/>
  <c r="V21" i="19" s="1"/>
  <c r="W21" i="19" a="1"/>
  <c r="W21" i="19" s="1"/>
  <c r="X21" i="19" a="1"/>
  <c r="X21" i="19" s="1"/>
  <c r="K22" i="19" a="1"/>
  <c r="K22" i="19" s="1"/>
  <c r="L22" i="19" a="1"/>
  <c r="L22" i="19" s="1"/>
  <c r="M22" i="19" a="1"/>
  <c r="M22" i="19" s="1"/>
  <c r="N22" i="19" a="1"/>
  <c r="N22" i="19" s="1"/>
  <c r="O22" i="19" a="1"/>
  <c r="O22" i="19" s="1"/>
  <c r="P22" i="19" a="1"/>
  <c r="P22" i="19" s="1"/>
  <c r="Q22" i="19" a="1"/>
  <c r="Q22" i="19" s="1"/>
  <c r="R22" i="19" a="1"/>
  <c r="R22" i="19" s="1"/>
  <c r="U22" i="19" a="1"/>
  <c r="U22" i="19" s="1"/>
  <c r="V22" i="19" a="1"/>
  <c r="V22" i="19" s="1"/>
  <c r="W22" i="19" a="1"/>
  <c r="W22" i="19" s="1"/>
  <c r="X22" i="19" a="1"/>
  <c r="X22" i="19" s="1"/>
  <c r="K23" i="19" a="1"/>
  <c r="K23" i="19" s="1"/>
  <c r="L23" i="19" a="1"/>
  <c r="L23" i="19" s="1"/>
  <c r="M23" i="19" a="1"/>
  <c r="M23" i="19" s="1"/>
  <c r="N23" i="19" a="1"/>
  <c r="N23" i="19" s="1"/>
  <c r="O23" i="19" a="1"/>
  <c r="O23" i="19" s="1"/>
  <c r="P23" i="19" a="1"/>
  <c r="P23" i="19" s="1"/>
  <c r="Q23" i="19" a="1"/>
  <c r="Q23" i="19" s="1"/>
  <c r="R23" i="19" a="1"/>
  <c r="R23" i="19" s="1"/>
  <c r="U23" i="19" a="1"/>
  <c r="U23" i="19" s="1"/>
  <c r="V23" i="19" a="1"/>
  <c r="V23" i="19" s="1"/>
  <c r="W23" i="19" a="1"/>
  <c r="W23" i="19" s="1"/>
  <c r="X23" i="19" a="1"/>
  <c r="X23" i="19" s="1"/>
  <c r="K24" i="19" a="1"/>
  <c r="K24" i="19" s="1"/>
  <c r="L24" i="19" a="1"/>
  <c r="L24" i="19" s="1"/>
  <c r="M24" i="19" a="1"/>
  <c r="M24" i="19" s="1"/>
  <c r="N24" i="19" a="1"/>
  <c r="N24" i="19" s="1"/>
  <c r="O24" i="19" a="1"/>
  <c r="O24" i="19" s="1"/>
  <c r="P24" i="19" a="1"/>
  <c r="P24" i="19" s="1"/>
  <c r="Q24" i="19" a="1"/>
  <c r="Q24" i="19" s="1"/>
  <c r="R24" i="19" a="1"/>
  <c r="R24" i="19" s="1"/>
  <c r="U24" i="19" a="1"/>
  <c r="U24" i="19" s="1"/>
  <c r="V24" i="19" a="1"/>
  <c r="V24" i="19" s="1"/>
  <c r="W24" i="19" a="1"/>
  <c r="W24" i="19" s="1"/>
  <c r="X24" i="19" a="1"/>
  <c r="X24" i="19" s="1"/>
  <c r="K25" i="19" a="1"/>
  <c r="K25" i="19" s="1"/>
  <c r="L25" i="19" a="1"/>
  <c r="L25" i="19" s="1"/>
  <c r="M25" i="19" a="1"/>
  <c r="M25" i="19" s="1"/>
  <c r="N25" i="19" a="1"/>
  <c r="N25" i="19" s="1"/>
  <c r="O25" i="19" a="1"/>
  <c r="O25" i="19" s="1"/>
  <c r="P25" i="19" a="1"/>
  <c r="P25" i="19" s="1"/>
  <c r="Q25" i="19" a="1"/>
  <c r="Q25" i="19" s="1"/>
  <c r="R25" i="19" a="1"/>
  <c r="R25" i="19" s="1"/>
  <c r="U25" i="19" a="1"/>
  <c r="U25" i="19" s="1"/>
  <c r="V25" i="19" a="1"/>
  <c r="V25" i="19" s="1"/>
  <c r="W25" i="19" a="1"/>
  <c r="W25" i="19" s="1"/>
  <c r="X25" i="19" a="1"/>
  <c r="X25" i="19" s="1"/>
  <c r="K26" i="19" a="1"/>
  <c r="K26" i="19" s="1"/>
  <c r="L26" i="19" a="1"/>
  <c r="L26" i="19" s="1"/>
  <c r="M26" i="19" a="1"/>
  <c r="M26" i="19" s="1"/>
  <c r="N26" i="19" a="1"/>
  <c r="N26" i="19" s="1"/>
  <c r="O26" i="19" a="1"/>
  <c r="O26" i="19" s="1"/>
  <c r="P26" i="19" a="1"/>
  <c r="P26" i="19" s="1"/>
  <c r="Q26" i="19" a="1"/>
  <c r="Q26" i="19" s="1"/>
  <c r="R26" i="19" a="1"/>
  <c r="R26" i="19" s="1"/>
  <c r="U26" i="19" a="1"/>
  <c r="U26" i="19" s="1"/>
  <c r="V26" i="19" a="1"/>
  <c r="V26" i="19" s="1"/>
  <c r="W26" i="19" a="1"/>
  <c r="W26" i="19" s="1"/>
  <c r="X26" i="19" a="1"/>
  <c r="X26" i="19" s="1"/>
  <c r="K27" i="19" a="1"/>
  <c r="K27" i="19" s="1"/>
  <c r="L27" i="19" a="1"/>
  <c r="L27" i="19" s="1"/>
  <c r="M27" i="19" a="1"/>
  <c r="M27" i="19" s="1"/>
  <c r="N27" i="19" a="1"/>
  <c r="N27" i="19" s="1"/>
  <c r="O27" i="19" a="1"/>
  <c r="O27" i="19" s="1"/>
  <c r="P27" i="19" a="1"/>
  <c r="P27" i="19" s="1"/>
  <c r="Q27" i="19" a="1"/>
  <c r="Q27" i="19" s="1"/>
  <c r="R27" i="19" a="1"/>
  <c r="R27" i="19" s="1"/>
  <c r="U27" i="19" a="1"/>
  <c r="U27" i="19" s="1"/>
  <c r="V27" i="19" a="1"/>
  <c r="V27" i="19" s="1"/>
  <c r="W27" i="19" a="1"/>
  <c r="W27" i="19" s="1"/>
  <c r="X27" i="19" a="1"/>
  <c r="X27" i="19" s="1"/>
  <c r="K28" i="19" a="1"/>
  <c r="K28" i="19" s="1"/>
  <c r="L28" i="19" a="1"/>
  <c r="L28" i="19" s="1"/>
  <c r="M28" i="19" a="1"/>
  <c r="M28" i="19" s="1"/>
  <c r="N28" i="19" a="1"/>
  <c r="N28" i="19" s="1"/>
  <c r="O28" i="19" a="1"/>
  <c r="O28" i="19" s="1"/>
  <c r="P28" i="19" a="1"/>
  <c r="P28" i="19" s="1"/>
  <c r="Q28" i="19" a="1"/>
  <c r="Q28" i="19" s="1"/>
  <c r="R28" i="19" a="1"/>
  <c r="R28" i="19" s="1"/>
  <c r="U28" i="19" a="1"/>
  <c r="U28" i="19" s="1"/>
  <c r="V28" i="19" a="1"/>
  <c r="V28" i="19" s="1"/>
  <c r="W28" i="19" a="1"/>
  <c r="W28" i="19" s="1"/>
  <c r="X28" i="19" a="1"/>
  <c r="X28" i="19" s="1"/>
  <c r="K29" i="19" a="1"/>
  <c r="K29" i="19" s="1"/>
  <c r="L29" i="19" a="1"/>
  <c r="L29" i="19" s="1"/>
  <c r="M29" i="19" a="1"/>
  <c r="M29" i="19" s="1"/>
  <c r="N29" i="19" a="1"/>
  <c r="N29" i="19" s="1"/>
  <c r="O29" i="19" a="1"/>
  <c r="O29" i="19" s="1"/>
  <c r="P29" i="19" a="1"/>
  <c r="P29" i="19" s="1"/>
  <c r="Q29" i="19" a="1"/>
  <c r="Q29" i="19" s="1"/>
  <c r="R29" i="19" a="1"/>
  <c r="R29" i="19" s="1"/>
  <c r="U29" i="19" a="1"/>
  <c r="U29" i="19" s="1"/>
  <c r="V29" i="19" a="1"/>
  <c r="V29" i="19" s="1"/>
  <c r="W29" i="19" a="1"/>
  <c r="W29" i="19" s="1"/>
  <c r="X29" i="19" a="1"/>
  <c r="X29" i="19" s="1"/>
  <c r="K30" i="19" a="1"/>
  <c r="K30" i="19" s="1"/>
  <c r="L30" i="19" a="1"/>
  <c r="L30" i="19" s="1"/>
  <c r="M30" i="19" a="1"/>
  <c r="M30" i="19" s="1"/>
  <c r="N30" i="19" a="1"/>
  <c r="N30" i="19" s="1"/>
  <c r="O30" i="19" a="1"/>
  <c r="O30" i="19" s="1"/>
  <c r="P30" i="19" a="1"/>
  <c r="P30" i="19" s="1"/>
  <c r="Q30" i="19" a="1"/>
  <c r="Q30" i="19" s="1"/>
  <c r="R30" i="19" a="1"/>
  <c r="R30" i="19" s="1"/>
  <c r="U30" i="19" a="1"/>
  <c r="U30" i="19" s="1"/>
  <c r="V30" i="19" a="1"/>
  <c r="V30" i="19" s="1"/>
  <c r="W30" i="19" a="1"/>
  <c r="W30" i="19" s="1"/>
  <c r="X30" i="19" a="1"/>
  <c r="X30" i="19" s="1"/>
  <c r="K31" i="19" a="1"/>
  <c r="K31" i="19" s="1"/>
  <c r="L31" i="19" a="1"/>
  <c r="L31" i="19" s="1"/>
  <c r="M31" i="19" a="1"/>
  <c r="M31" i="19" s="1"/>
  <c r="N31" i="19" a="1"/>
  <c r="N31" i="19" s="1"/>
  <c r="O31" i="19" a="1"/>
  <c r="O31" i="19" s="1"/>
  <c r="P31" i="19" a="1"/>
  <c r="P31" i="19" s="1"/>
  <c r="Q31" i="19" a="1"/>
  <c r="Q31" i="19" s="1"/>
  <c r="R31" i="19" a="1"/>
  <c r="R31" i="19" s="1"/>
  <c r="U31" i="19" a="1"/>
  <c r="U31" i="19" s="1"/>
  <c r="V31" i="19" a="1"/>
  <c r="V31" i="19" s="1"/>
  <c r="W31" i="19" a="1"/>
  <c r="W31" i="19" s="1"/>
  <c r="X31" i="19" a="1"/>
  <c r="X31" i="19" s="1"/>
  <c r="K32" i="19" a="1"/>
  <c r="K32" i="19" s="1"/>
  <c r="L32" i="19" a="1"/>
  <c r="L32" i="19" s="1"/>
  <c r="M32" i="19" a="1"/>
  <c r="M32" i="19" s="1"/>
  <c r="N32" i="19" a="1"/>
  <c r="N32" i="19" s="1"/>
  <c r="O32" i="19" a="1"/>
  <c r="O32" i="19" s="1"/>
  <c r="P32" i="19" a="1"/>
  <c r="P32" i="19" s="1"/>
  <c r="Q32" i="19" a="1"/>
  <c r="Q32" i="19" s="1"/>
  <c r="R32" i="19" a="1"/>
  <c r="R32" i="19" s="1"/>
  <c r="U32" i="19" a="1"/>
  <c r="U32" i="19" s="1"/>
  <c r="V32" i="19" a="1"/>
  <c r="V32" i="19" s="1"/>
  <c r="W32" i="19" a="1"/>
  <c r="W32" i="19" s="1"/>
  <c r="X32" i="19" a="1"/>
  <c r="X32" i="19" s="1"/>
  <c r="K33" i="19" a="1"/>
  <c r="K33" i="19" s="1"/>
  <c r="L33" i="19" a="1"/>
  <c r="L33" i="19" s="1"/>
  <c r="M33" i="19" a="1"/>
  <c r="M33" i="19" s="1"/>
  <c r="N33" i="19" a="1"/>
  <c r="N33" i="19" s="1"/>
  <c r="O33" i="19" a="1"/>
  <c r="O33" i="19" s="1"/>
  <c r="P33" i="19" a="1"/>
  <c r="P33" i="19" s="1"/>
  <c r="Q33" i="19" a="1"/>
  <c r="Q33" i="19" s="1"/>
  <c r="R33" i="19" a="1"/>
  <c r="R33" i="19" s="1"/>
  <c r="U33" i="19" a="1"/>
  <c r="U33" i="19" s="1"/>
  <c r="V33" i="19" a="1"/>
  <c r="V33" i="19" s="1"/>
  <c r="W33" i="19" a="1"/>
  <c r="W33" i="19" s="1"/>
  <c r="X33" i="19" a="1"/>
  <c r="X33" i="19" s="1"/>
  <c r="K34" i="19" a="1"/>
  <c r="K34" i="19" s="1"/>
  <c r="L34" i="19" a="1"/>
  <c r="L34" i="19" s="1"/>
  <c r="M34" i="19" a="1"/>
  <c r="M34" i="19" s="1"/>
  <c r="N34" i="19" a="1"/>
  <c r="N34" i="19" s="1"/>
  <c r="O34" i="19" a="1"/>
  <c r="O34" i="19" s="1"/>
  <c r="P34" i="19" a="1"/>
  <c r="P34" i="19" s="1"/>
  <c r="Q34" i="19" a="1"/>
  <c r="Q34" i="19" s="1"/>
  <c r="R34" i="19" a="1"/>
  <c r="R34" i="19" s="1"/>
  <c r="U34" i="19" a="1"/>
  <c r="U34" i="19" s="1"/>
  <c r="V34" i="19" a="1"/>
  <c r="V34" i="19" s="1"/>
  <c r="W34" i="19" a="1"/>
  <c r="W34" i="19" s="1"/>
  <c r="X34" i="19" a="1"/>
  <c r="X34" i="19" s="1"/>
  <c r="K35" i="19" a="1"/>
  <c r="K35" i="19" s="1"/>
  <c r="L35" i="19" a="1"/>
  <c r="L35" i="19" s="1"/>
  <c r="M35" i="19" a="1"/>
  <c r="M35" i="19" s="1"/>
  <c r="N35" i="19" a="1"/>
  <c r="N35" i="19" s="1"/>
  <c r="O35" i="19" a="1"/>
  <c r="O35" i="19" s="1"/>
  <c r="P35" i="19" a="1"/>
  <c r="P35" i="19" s="1"/>
  <c r="Q35" i="19" a="1"/>
  <c r="Q35" i="19" s="1"/>
  <c r="R35" i="19" a="1"/>
  <c r="R35" i="19" s="1"/>
  <c r="U35" i="19" a="1"/>
  <c r="U35" i="19" s="1"/>
  <c r="V35" i="19" a="1"/>
  <c r="V35" i="19" s="1"/>
  <c r="W35" i="19" a="1"/>
  <c r="W35" i="19" s="1"/>
  <c r="X35" i="19" a="1"/>
  <c r="X35" i="19" s="1"/>
  <c r="K36" i="19" a="1"/>
  <c r="K36" i="19" s="1"/>
  <c r="L36" i="19" a="1"/>
  <c r="L36" i="19" s="1"/>
  <c r="M36" i="19" a="1"/>
  <c r="M36" i="19" s="1"/>
  <c r="N36" i="19" a="1"/>
  <c r="N36" i="19" s="1"/>
  <c r="O36" i="19" a="1"/>
  <c r="O36" i="19" s="1"/>
  <c r="P36" i="19" a="1"/>
  <c r="P36" i="19" s="1"/>
  <c r="Q36" i="19" a="1"/>
  <c r="Q36" i="19" s="1"/>
  <c r="R36" i="19" a="1"/>
  <c r="R36" i="19" s="1"/>
  <c r="U36" i="19" a="1"/>
  <c r="U36" i="19" s="1"/>
  <c r="V36" i="19" a="1"/>
  <c r="V36" i="19" s="1"/>
  <c r="W36" i="19" a="1"/>
  <c r="W36" i="19" s="1"/>
  <c r="X36" i="19" a="1"/>
  <c r="X36" i="19" s="1"/>
  <c r="K37" i="19" a="1"/>
  <c r="K37" i="19" s="1"/>
  <c r="L37" i="19" a="1"/>
  <c r="L37" i="19" s="1"/>
  <c r="M37" i="19" a="1"/>
  <c r="M37" i="19" s="1"/>
  <c r="N37" i="19" a="1"/>
  <c r="N37" i="19" s="1"/>
  <c r="O37" i="19" a="1"/>
  <c r="O37" i="19" s="1"/>
  <c r="P37" i="19" a="1"/>
  <c r="P37" i="19" s="1"/>
  <c r="Q37" i="19" a="1"/>
  <c r="Q37" i="19" s="1"/>
  <c r="R37" i="19" a="1"/>
  <c r="R37" i="19" s="1"/>
  <c r="U37" i="19" a="1"/>
  <c r="U37" i="19" s="1"/>
  <c r="V37" i="19" a="1"/>
  <c r="V37" i="19" s="1"/>
  <c r="W37" i="19" a="1"/>
  <c r="W37" i="19" s="1"/>
  <c r="X37" i="19" a="1"/>
  <c r="X37" i="19" s="1"/>
  <c r="K38" i="19" a="1"/>
  <c r="K38" i="19" s="1"/>
  <c r="L38" i="19" a="1"/>
  <c r="L38" i="19" s="1"/>
  <c r="M38" i="19" a="1"/>
  <c r="M38" i="19" s="1"/>
  <c r="N38" i="19" a="1"/>
  <c r="N38" i="19" s="1"/>
  <c r="O38" i="19" a="1"/>
  <c r="O38" i="19" s="1"/>
  <c r="P38" i="19" a="1"/>
  <c r="P38" i="19" s="1"/>
  <c r="Q38" i="19" a="1"/>
  <c r="Q38" i="19" s="1"/>
  <c r="R38" i="19" a="1"/>
  <c r="R38" i="19" s="1"/>
  <c r="U38" i="19" a="1"/>
  <c r="U38" i="19" s="1"/>
  <c r="V38" i="19" a="1"/>
  <c r="V38" i="19" s="1"/>
  <c r="W38" i="19" a="1"/>
  <c r="W38" i="19" s="1"/>
  <c r="X38" i="19" a="1"/>
  <c r="X38" i="19" s="1"/>
  <c r="K39" i="19" a="1"/>
  <c r="K39" i="19" s="1"/>
  <c r="L39" i="19" a="1"/>
  <c r="L39" i="19" s="1"/>
  <c r="M39" i="19" a="1"/>
  <c r="M39" i="19" s="1"/>
  <c r="N39" i="19" a="1"/>
  <c r="N39" i="19" s="1"/>
  <c r="O39" i="19" a="1"/>
  <c r="O39" i="19" s="1"/>
  <c r="P39" i="19" a="1"/>
  <c r="P39" i="19" s="1"/>
  <c r="Q39" i="19" a="1"/>
  <c r="Q39" i="19" s="1"/>
  <c r="R39" i="19" a="1"/>
  <c r="R39" i="19" s="1"/>
  <c r="U39" i="19" a="1"/>
  <c r="U39" i="19" s="1"/>
  <c r="V39" i="19" a="1"/>
  <c r="V39" i="19" s="1"/>
  <c r="W39" i="19" a="1"/>
  <c r="W39" i="19" s="1"/>
  <c r="X39" i="19" a="1"/>
  <c r="X39" i="19" s="1"/>
  <c r="K40" i="19" a="1"/>
  <c r="K40" i="19" s="1"/>
  <c r="L40" i="19" a="1"/>
  <c r="L40" i="19" s="1"/>
  <c r="M40" i="19" a="1"/>
  <c r="M40" i="19" s="1"/>
  <c r="N40" i="19" a="1"/>
  <c r="N40" i="19" s="1"/>
  <c r="O40" i="19" a="1"/>
  <c r="O40" i="19" s="1"/>
  <c r="P40" i="19" a="1"/>
  <c r="P40" i="19" s="1"/>
  <c r="Q40" i="19" a="1"/>
  <c r="Q40" i="19" s="1"/>
  <c r="R40" i="19" a="1"/>
  <c r="R40" i="19" s="1"/>
  <c r="U40" i="19" a="1"/>
  <c r="U40" i="19" s="1"/>
  <c r="V40" i="19" a="1"/>
  <c r="V40" i="19" s="1"/>
  <c r="W40" i="19" a="1"/>
  <c r="W40" i="19" s="1"/>
  <c r="X40" i="19" a="1"/>
  <c r="X40" i="19" s="1"/>
  <c r="K41" i="19" a="1"/>
  <c r="K41" i="19" s="1"/>
  <c r="L41" i="19" a="1"/>
  <c r="L41" i="19" s="1"/>
  <c r="M41" i="19" a="1"/>
  <c r="M41" i="19" s="1"/>
  <c r="N41" i="19" a="1"/>
  <c r="N41" i="19" s="1"/>
  <c r="O41" i="19" a="1"/>
  <c r="O41" i="19" s="1"/>
  <c r="P41" i="19" a="1"/>
  <c r="P41" i="19" s="1"/>
  <c r="Q41" i="19" a="1"/>
  <c r="Q41" i="19" s="1"/>
  <c r="R41" i="19" a="1"/>
  <c r="R41" i="19" s="1"/>
  <c r="U41" i="19" a="1"/>
  <c r="U41" i="19" s="1"/>
  <c r="V41" i="19" a="1"/>
  <c r="V41" i="19" s="1"/>
  <c r="W41" i="19" a="1"/>
  <c r="W41" i="19" s="1"/>
  <c r="X41" i="19" a="1"/>
  <c r="X41" i="19" s="1"/>
  <c r="K42" i="19" a="1"/>
  <c r="K42" i="19" s="1"/>
  <c r="L42" i="19" a="1"/>
  <c r="L42" i="19" s="1"/>
  <c r="M42" i="19" a="1"/>
  <c r="M42" i="19" s="1"/>
  <c r="N42" i="19" a="1"/>
  <c r="N42" i="19" s="1"/>
  <c r="O42" i="19" a="1"/>
  <c r="O42" i="19" s="1"/>
  <c r="P42" i="19" a="1"/>
  <c r="P42" i="19" s="1"/>
  <c r="Q42" i="19" a="1"/>
  <c r="Q42" i="19" s="1"/>
  <c r="R42" i="19" a="1"/>
  <c r="R42" i="19" s="1"/>
  <c r="U42" i="19" a="1"/>
  <c r="U42" i="19" s="1"/>
  <c r="V42" i="19" a="1"/>
  <c r="V42" i="19" s="1"/>
  <c r="W42" i="19" a="1"/>
  <c r="W42" i="19" s="1"/>
  <c r="X42" i="19" a="1"/>
  <c r="X42" i="19" s="1"/>
  <c r="K43" i="19" a="1"/>
  <c r="K43" i="19" s="1"/>
  <c r="L43" i="19" a="1"/>
  <c r="L43" i="19" s="1"/>
  <c r="M43" i="19" a="1"/>
  <c r="M43" i="19" s="1"/>
  <c r="N43" i="19" a="1"/>
  <c r="N43" i="19" s="1"/>
  <c r="O43" i="19" a="1"/>
  <c r="O43" i="19" s="1"/>
  <c r="P43" i="19" a="1"/>
  <c r="P43" i="19" s="1"/>
  <c r="Q43" i="19" a="1"/>
  <c r="Q43" i="19" s="1"/>
  <c r="R43" i="19" a="1"/>
  <c r="R43" i="19" s="1"/>
  <c r="U43" i="19" a="1"/>
  <c r="U43" i="19" s="1"/>
  <c r="V43" i="19" a="1"/>
  <c r="V43" i="19" s="1"/>
  <c r="W43" i="19" a="1"/>
  <c r="W43" i="19" s="1"/>
  <c r="X43" i="19" a="1"/>
  <c r="X43" i="19" s="1"/>
  <c r="K44" i="19" a="1"/>
  <c r="K44" i="19" s="1"/>
  <c r="L44" i="19" a="1"/>
  <c r="L44" i="19" s="1"/>
  <c r="M44" i="19" a="1"/>
  <c r="M44" i="19" s="1"/>
  <c r="N44" i="19" a="1"/>
  <c r="N44" i="19" s="1"/>
  <c r="O44" i="19" a="1"/>
  <c r="O44" i="19" s="1"/>
  <c r="P44" i="19" a="1"/>
  <c r="P44" i="19" s="1"/>
  <c r="Q44" i="19" a="1"/>
  <c r="Q44" i="19" s="1"/>
  <c r="R44" i="19" a="1"/>
  <c r="R44" i="19" s="1"/>
  <c r="U44" i="19" a="1"/>
  <c r="U44" i="19" s="1"/>
  <c r="V44" i="19" a="1"/>
  <c r="V44" i="19" s="1"/>
  <c r="W44" i="19" a="1"/>
  <c r="W44" i="19" s="1"/>
  <c r="X44" i="19" a="1"/>
  <c r="X44" i="19" s="1"/>
  <c r="K45" i="19" a="1"/>
  <c r="K45" i="19" s="1"/>
  <c r="L45" i="19" a="1"/>
  <c r="L45" i="19" s="1"/>
  <c r="M45" i="19" a="1"/>
  <c r="M45" i="19" s="1"/>
  <c r="N45" i="19" a="1"/>
  <c r="N45" i="19" s="1"/>
  <c r="O45" i="19" a="1"/>
  <c r="O45" i="19" s="1"/>
  <c r="P45" i="19" a="1"/>
  <c r="P45" i="19" s="1"/>
  <c r="Q45" i="19" a="1"/>
  <c r="Q45" i="19" s="1"/>
  <c r="R45" i="19" a="1"/>
  <c r="R45" i="19" s="1"/>
  <c r="U45" i="19" a="1"/>
  <c r="U45" i="19" s="1"/>
  <c r="V45" i="19" a="1"/>
  <c r="V45" i="19" s="1"/>
  <c r="W45" i="19" a="1"/>
  <c r="W45" i="19" s="1"/>
  <c r="X45" i="19" a="1"/>
  <c r="X45" i="19" s="1"/>
  <c r="K46" i="19" a="1"/>
  <c r="K46" i="19" s="1"/>
  <c r="L46" i="19" a="1"/>
  <c r="L46" i="19" s="1"/>
  <c r="M46" i="19" a="1"/>
  <c r="M46" i="19" s="1"/>
  <c r="N46" i="19" a="1"/>
  <c r="N46" i="19" s="1"/>
  <c r="O46" i="19" a="1"/>
  <c r="O46" i="19" s="1"/>
  <c r="P46" i="19" a="1"/>
  <c r="P46" i="19" s="1"/>
  <c r="Q46" i="19" a="1"/>
  <c r="Q46" i="19" s="1"/>
  <c r="R46" i="19" a="1"/>
  <c r="R46" i="19" s="1"/>
  <c r="U46" i="19" a="1"/>
  <c r="U46" i="19" s="1"/>
  <c r="V46" i="19" a="1"/>
  <c r="V46" i="19" s="1"/>
  <c r="W46" i="19" a="1"/>
  <c r="W46" i="19" s="1"/>
  <c r="X46" i="19" a="1"/>
  <c r="X46" i="19" s="1"/>
  <c r="K47" i="19" a="1"/>
  <c r="K47" i="19" s="1"/>
  <c r="L47" i="19" a="1"/>
  <c r="L47" i="19" s="1"/>
  <c r="M47" i="19" a="1"/>
  <c r="M47" i="19" s="1"/>
  <c r="N47" i="19" a="1"/>
  <c r="N47" i="19" s="1"/>
  <c r="O47" i="19" a="1"/>
  <c r="O47" i="19" s="1"/>
  <c r="P47" i="19" a="1"/>
  <c r="P47" i="19" s="1"/>
  <c r="Q47" i="19" a="1"/>
  <c r="Q47" i="19" s="1"/>
  <c r="R47" i="19" a="1"/>
  <c r="R47" i="19" s="1"/>
  <c r="U47" i="19" a="1"/>
  <c r="U47" i="19" s="1"/>
  <c r="V47" i="19" a="1"/>
  <c r="V47" i="19" s="1"/>
  <c r="W47" i="19" a="1"/>
  <c r="W47" i="19" s="1"/>
  <c r="X47" i="19" a="1"/>
  <c r="X47" i="19" s="1"/>
  <c r="K48" i="19" a="1"/>
  <c r="K48" i="19" s="1"/>
  <c r="L48" i="19" a="1"/>
  <c r="L48" i="19" s="1"/>
  <c r="M48" i="19" a="1"/>
  <c r="M48" i="19" s="1"/>
  <c r="N48" i="19" a="1"/>
  <c r="N48" i="19" s="1"/>
  <c r="O48" i="19" a="1"/>
  <c r="O48" i="19" s="1"/>
  <c r="P48" i="19" a="1"/>
  <c r="P48" i="19" s="1"/>
  <c r="Q48" i="19" a="1"/>
  <c r="Q48" i="19" s="1"/>
  <c r="R48" i="19" a="1"/>
  <c r="R48" i="19" s="1"/>
  <c r="U48" i="19" a="1"/>
  <c r="U48" i="19" s="1"/>
  <c r="V48" i="19" a="1"/>
  <c r="V48" i="19" s="1"/>
  <c r="W48" i="19" a="1"/>
  <c r="W48" i="19" s="1"/>
  <c r="X48" i="19" a="1"/>
  <c r="X48" i="19" s="1"/>
  <c r="K49" i="19" a="1"/>
  <c r="K49" i="19" s="1"/>
  <c r="L49" i="19" a="1"/>
  <c r="L49" i="19" s="1"/>
  <c r="M49" i="19" a="1"/>
  <c r="M49" i="19" s="1"/>
  <c r="N49" i="19" a="1"/>
  <c r="N49" i="19" s="1"/>
  <c r="O49" i="19" a="1"/>
  <c r="O49" i="19" s="1"/>
  <c r="P49" i="19" a="1"/>
  <c r="P49" i="19" s="1"/>
  <c r="Q49" i="19" a="1"/>
  <c r="Q49" i="19" s="1"/>
  <c r="R49" i="19" a="1"/>
  <c r="R49" i="19" s="1"/>
  <c r="U49" i="19" a="1"/>
  <c r="U49" i="19" s="1"/>
  <c r="V49" i="19" a="1"/>
  <c r="V49" i="19" s="1"/>
  <c r="W49" i="19" a="1"/>
  <c r="W49" i="19" s="1"/>
  <c r="X49" i="19" a="1"/>
  <c r="X49" i="19" s="1"/>
  <c r="K50" i="19" a="1"/>
  <c r="K50" i="19" s="1"/>
  <c r="L50" i="19" a="1"/>
  <c r="L50" i="19" s="1"/>
  <c r="M50" i="19" a="1"/>
  <c r="M50" i="19" s="1"/>
  <c r="N50" i="19" a="1"/>
  <c r="N50" i="19" s="1"/>
  <c r="O50" i="19" a="1"/>
  <c r="O50" i="19" s="1"/>
  <c r="P50" i="19" a="1"/>
  <c r="P50" i="19" s="1"/>
  <c r="Q50" i="19" a="1"/>
  <c r="Q50" i="19" s="1"/>
  <c r="R50" i="19" a="1"/>
  <c r="R50" i="19" s="1"/>
  <c r="U50" i="19" a="1"/>
  <c r="U50" i="19" s="1"/>
  <c r="V50" i="19" a="1"/>
  <c r="V50" i="19" s="1"/>
  <c r="W50" i="19" a="1"/>
  <c r="W50" i="19" s="1"/>
  <c r="X50" i="19" a="1"/>
  <c r="X50" i="19" s="1"/>
  <c r="K51" i="19" a="1"/>
  <c r="K51" i="19" s="1"/>
  <c r="L51" i="19" a="1"/>
  <c r="L51" i="19" s="1"/>
  <c r="M51" i="19" a="1"/>
  <c r="M51" i="19" s="1"/>
  <c r="N51" i="19" a="1"/>
  <c r="N51" i="19" s="1"/>
  <c r="O51" i="19" a="1"/>
  <c r="O51" i="19" s="1"/>
  <c r="P51" i="19" a="1"/>
  <c r="P51" i="19" s="1"/>
  <c r="Q51" i="19" a="1"/>
  <c r="Q51" i="19" s="1"/>
  <c r="R51" i="19" a="1"/>
  <c r="R51" i="19" s="1"/>
  <c r="U51" i="19" a="1"/>
  <c r="U51" i="19" s="1"/>
  <c r="V51" i="19" a="1"/>
  <c r="V51" i="19" s="1"/>
  <c r="W51" i="19" a="1"/>
  <c r="W51" i="19" s="1"/>
  <c r="X51" i="19" a="1"/>
  <c r="X51" i="19" s="1"/>
  <c r="K52" i="19" a="1"/>
  <c r="K52" i="19" s="1"/>
  <c r="L52" i="19" a="1"/>
  <c r="L52" i="19" s="1"/>
  <c r="M52" i="19" a="1"/>
  <c r="M52" i="19" s="1"/>
  <c r="N52" i="19" a="1"/>
  <c r="N52" i="19" s="1"/>
  <c r="O52" i="19" a="1"/>
  <c r="O52" i="19" s="1"/>
  <c r="P52" i="19" a="1"/>
  <c r="P52" i="19" s="1"/>
  <c r="Q52" i="19" a="1"/>
  <c r="Q52" i="19" s="1"/>
  <c r="R52" i="19" a="1"/>
  <c r="R52" i="19" s="1"/>
  <c r="U52" i="19" a="1"/>
  <c r="U52" i="19" s="1"/>
  <c r="V52" i="19" a="1"/>
  <c r="V52" i="19" s="1"/>
  <c r="W52" i="19" a="1"/>
  <c r="W52" i="19" s="1"/>
  <c r="X52" i="19" a="1"/>
  <c r="X52" i="19" s="1"/>
  <c r="K53" i="19" a="1"/>
  <c r="K53" i="19" s="1"/>
  <c r="L53" i="19" a="1"/>
  <c r="L53" i="19" s="1"/>
  <c r="M53" i="19" a="1"/>
  <c r="M53" i="19" s="1"/>
  <c r="N53" i="19" a="1"/>
  <c r="N53" i="19" s="1"/>
  <c r="O53" i="19" a="1"/>
  <c r="O53" i="19" s="1"/>
  <c r="P53" i="19" a="1"/>
  <c r="P53" i="19" s="1"/>
  <c r="Q53" i="19" a="1"/>
  <c r="Q53" i="19" s="1"/>
  <c r="R53" i="19" a="1"/>
  <c r="R53" i="19" s="1"/>
  <c r="U53" i="19" a="1"/>
  <c r="U53" i="19" s="1"/>
  <c r="V53" i="19" a="1"/>
  <c r="V53" i="19" s="1"/>
  <c r="W53" i="19" a="1"/>
  <c r="W53" i="19" s="1"/>
  <c r="X53" i="19" a="1"/>
  <c r="X53" i="19" s="1"/>
  <c r="K54" i="19" a="1"/>
  <c r="K54" i="19" s="1"/>
  <c r="L54" i="19" a="1"/>
  <c r="L54" i="19" s="1"/>
  <c r="M54" i="19" a="1"/>
  <c r="M54" i="19" s="1"/>
  <c r="N54" i="19" a="1"/>
  <c r="N54" i="19" s="1"/>
  <c r="O54" i="19" a="1"/>
  <c r="O54" i="19" s="1"/>
  <c r="P54" i="19" a="1"/>
  <c r="P54" i="19" s="1"/>
  <c r="Q54" i="19" a="1"/>
  <c r="Q54" i="19" s="1"/>
  <c r="R54" i="19" a="1"/>
  <c r="R54" i="19" s="1"/>
  <c r="U54" i="19" a="1"/>
  <c r="U54" i="19" s="1"/>
  <c r="V54" i="19" a="1"/>
  <c r="V54" i="19" s="1"/>
  <c r="W54" i="19" a="1"/>
  <c r="W54" i="19" s="1"/>
  <c r="X54" i="19" a="1"/>
  <c r="X54" i="19" s="1"/>
  <c r="K55" i="19" a="1"/>
  <c r="K55" i="19" s="1"/>
  <c r="L55" i="19" a="1"/>
  <c r="L55" i="19" s="1"/>
  <c r="M55" i="19" a="1"/>
  <c r="M55" i="19" s="1"/>
  <c r="N55" i="19" a="1"/>
  <c r="N55" i="19" s="1"/>
  <c r="O55" i="19" a="1"/>
  <c r="O55" i="19" s="1"/>
  <c r="P55" i="19" a="1"/>
  <c r="P55" i="19" s="1"/>
  <c r="Q55" i="19" a="1"/>
  <c r="Q55" i="19" s="1"/>
  <c r="R55" i="19" a="1"/>
  <c r="R55" i="19" s="1"/>
  <c r="U55" i="19" a="1"/>
  <c r="U55" i="19" s="1"/>
  <c r="V55" i="19" a="1"/>
  <c r="V55" i="19" s="1"/>
  <c r="W55" i="19" a="1"/>
  <c r="W55" i="19" s="1"/>
  <c r="X55" i="19" a="1"/>
  <c r="X55" i="19" s="1"/>
  <c r="K56" i="19" a="1"/>
  <c r="K56" i="19" s="1"/>
  <c r="L56" i="19" a="1"/>
  <c r="L56" i="19" s="1"/>
  <c r="M56" i="19" a="1"/>
  <c r="M56" i="19" s="1"/>
  <c r="N56" i="19" a="1"/>
  <c r="N56" i="19" s="1"/>
  <c r="O56" i="19" a="1"/>
  <c r="O56" i="19" s="1"/>
  <c r="P56" i="19" a="1"/>
  <c r="P56" i="19" s="1"/>
  <c r="Q56" i="19" a="1"/>
  <c r="Q56" i="19" s="1"/>
  <c r="R56" i="19" a="1"/>
  <c r="R56" i="19" s="1"/>
  <c r="U56" i="19" a="1"/>
  <c r="U56" i="19" s="1"/>
  <c r="V56" i="19" a="1"/>
  <c r="V56" i="19" s="1"/>
  <c r="W56" i="19" a="1"/>
  <c r="W56" i="19" s="1"/>
  <c r="X56" i="19" a="1"/>
  <c r="X56" i="19" s="1"/>
  <c r="K57" i="19" a="1"/>
  <c r="K57" i="19" s="1"/>
  <c r="L57" i="19" a="1"/>
  <c r="L57" i="19" s="1"/>
  <c r="M57" i="19" a="1"/>
  <c r="M57" i="19" s="1"/>
  <c r="N57" i="19" a="1"/>
  <c r="N57" i="19" s="1"/>
  <c r="O57" i="19" a="1"/>
  <c r="O57" i="19" s="1"/>
  <c r="P57" i="19" a="1"/>
  <c r="P57" i="19" s="1"/>
  <c r="Q57" i="19" a="1"/>
  <c r="Q57" i="19" s="1"/>
  <c r="R57" i="19" a="1"/>
  <c r="R57" i="19" s="1"/>
  <c r="U57" i="19" a="1"/>
  <c r="U57" i="19" s="1"/>
  <c r="V57" i="19" a="1"/>
  <c r="V57" i="19" s="1"/>
  <c r="W57" i="19" a="1"/>
  <c r="W57" i="19" s="1"/>
  <c r="X57" i="19" a="1"/>
  <c r="X57" i="19" s="1"/>
  <c r="K58" i="19" a="1"/>
  <c r="K58" i="19" s="1"/>
  <c r="L58" i="19" a="1"/>
  <c r="L58" i="19" s="1"/>
  <c r="M58" i="19" a="1"/>
  <c r="M58" i="19" s="1"/>
  <c r="N58" i="19" a="1"/>
  <c r="N58" i="19" s="1"/>
  <c r="O58" i="19" a="1"/>
  <c r="O58" i="19" s="1"/>
  <c r="P58" i="19" a="1"/>
  <c r="P58" i="19" s="1"/>
  <c r="Q58" i="19" a="1"/>
  <c r="Q58" i="19" s="1"/>
  <c r="R58" i="19" a="1"/>
  <c r="R58" i="19" s="1"/>
  <c r="U58" i="19" a="1"/>
  <c r="U58" i="19" s="1"/>
  <c r="V58" i="19" a="1"/>
  <c r="V58" i="19" s="1"/>
  <c r="W58" i="19" a="1"/>
  <c r="W58" i="19" s="1"/>
  <c r="X58" i="19" a="1"/>
  <c r="X58" i="19" s="1"/>
  <c r="K59" i="19" a="1"/>
  <c r="K59" i="19" s="1"/>
  <c r="L59" i="19" a="1"/>
  <c r="L59" i="19" s="1"/>
  <c r="M59" i="19" a="1"/>
  <c r="M59" i="19" s="1"/>
  <c r="N59" i="19" a="1"/>
  <c r="N59" i="19" s="1"/>
  <c r="O59" i="19" a="1"/>
  <c r="O59" i="19" s="1"/>
  <c r="P59" i="19" a="1"/>
  <c r="P59" i="19" s="1"/>
  <c r="Q59" i="19" a="1"/>
  <c r="Q59" i="19" s="1"/>
  <c r="R59" i="19" a="1"/>
  <c r="R59" i="19" s="1"/>
  <c r="U59" i="19" a="1"/>
  <c r="U59" i="19" s="1"/>
  <c r="V59" i="19" a="1"/>
  <c r="V59" i="19" s="1"/>
  <c r="W59" i="19" a="1"/>
  <c r="W59" i="19" s="1"/>
  <c r="X59" i="19" a="1"/>
  <c r="X59" i="19" s="1"/>
  <c r="K60" i="19" a="1"/>
  <c r="K60" i="19" s="1"/>
  <c r="L60" i="19" a="1"/>
  <c r="L60" i="19" s="1"/>
  <c r="M60" i="19" a="1"/>
  <c r="M60" i="19" s="1"/>
  <c r="N60" i="19" a="1"/>
  <c r="N60" i="19" s="1"/>
  <c r="O60" i="19" a="1"/>
  <c r="O60" i="19" s="1"/>
  <c r="P60" i="19" a="1"/>
  <c r="P60" i="19" s="1"/>
  <c r="Q60" i="19" a="1"/>
  <c r="Q60" i="19" s="1"/>
  <c r="R60" i="19" a="1"/>
  <c r="R60" i="19" s="1"/>
  <c r="U60" i="19" a="1"/>
  <c r="U60" i="19" s="1"/>
  <c r="V60" i="19" a="1"/>
  <c r="V60" i="19" s="1"/>
  <c r="W60" i="19" a="1"/>
  <c r="W60" i="19" s="1"/>
  <c r="X60" i="19" a="1"/>
  <c r="X60" i="19" s="1"/>
  <c r="K61" i="19" a="1"/>
  <c r="K61" i="19" s="1"/>
  <c r="L61" i="19" a="1"/>
  <c r="L61" i="19" s="1"/>
  <c r="M61" i="19" a="1"/>
  <c r="M61" i="19" s="1"/>
  <c r="N61" i="19" a="1"/>
  <c r="N61" i="19" s="1"/>
  <c r="O61" i="19" a="1"/>
  <c r="O61" i="19" s="1"/>
  <c r="P61" i="19" a="1"/>
  <c r="P61" i="19" s="1"/>
  <c r="Q61" i="19" a="1"/>
  <c r="Q61" i="19" s="1"/>
  <c r="R61" i="19" a="1"/>
  <c r="R61" i="19" s="1"/>
  <c r="U61" i="19" a="1"/>
  <c r="U61" i="19" s="1"/>
  <c r="V61" i="19" a="1"/>
  <c r="V61" i="19" s="1"/>
  <c r="W61" i="19" a="1"/>
  <c r="W61" i="19" s="1"/>
  <c r="X61" i="19" a="1"/>
  <c r="X61" i="19" s="1"/>
  <c r="K62" i="19" a="1"/>
  <c r="K62" i="19" s="1"/>
  <c r="L62" i="19" a="1"/>
  <c r="L62" i="19" s="1"/>
  <c r="M62" i="19" a="1"/>
  <c r="M62" i="19" s="1"/>
  <c r="N62" i="19" a="1"/>
  <c r="N62" i="19" s="1"/>
  <c r="O62" i="19" a="1"/>
  <c r="O62" i="19" s="1"/>
  <c r="P62" i="19" a="1"/>
  <c r="P62" i="19" s="1"/>
  <c r="Q62" i="19" a="1"/>
  <c r="Q62" i="19" s="1"/>
  <c r="R62" i="19" a="1"/>
  <c r="R62" i="19" s="1"/>
  <c r="U62" i="19" a="1"/>
  <c r="U62" i="19" s="1"/>
  <c r="V62" i="19" a="1"/>
  <c r="V62" i="19" s="1"/>
  <c r="W62" i="19" a="1"/>
  <c r="W62" i="19" s="1"/>
  <c r="X62" i="19" a="1"/>
  <c r="X62" i="19" s="1"/>
  <c r="K63" i="19" a="1"/>
  <c r="K63" i="19" s="1"/>
  <c r="L63" i="19" a="1"/>
  <c r="L63" i="19" s="1"/>
  <c r="M63" i="19" a="1"/>
  <c r="M63" i="19" s="1"/>
  <c r="N63" i="19" a="1"/>
  <c r="N63" i="19" s="1"/>
  <c r="O63" i="19" a="1"/>
  <c r="O63" i="19" s="1"/>
  <c r="P63" i="19" a="1"/>
  <c r="P63" i="19" s="1"/>
  <c r="Q63" i="19" a="1"/>
  <c r="Q63" i="19" s="1"/>
  <c r="R63" i="19" a="1"/>
  <c r="R63" i="19" s="1"/>
  <c r="U63" i="19" a="1"/>
  <c r="U63" i="19" s="1"/>
  <c r="V63" i="19" a="1"/>
  <c r="V63" i="19" s="1"/>
  <c r="W63" i="19" a="1"/>
  <c r="W63" i="19" s="1"/>
  <c r="X63" i="19" a="1"/>
  <c r="X63" i="19" s="1"/>
  <c r="K64" i="19" a="1"/>
  <c r="K64" i="19" s="1"/>
  <c r="L64" i="19" a="1"/>
  <c r="L64" i="19" s="1"/>
  <c r="M64" i="19" a="1"/>
  <c r="M64" i="19" s="1"/>
  <c r="N64" i="19" a="1"/>
  <c r="N64" i="19" s="1"/>
  <c r="O64" i="19" a="1"/>
  <c r="O64" i="19" s="1"/>
  <c r="P64" i="19" a="1"/>
  <c r="P64" i="19" s="1"/>
  <c r="Q64" i="19" a="1"/>
  <c r="Q64" i="19" s="1"/>
  <c r="R64" i="19" a="1"/>
  <c r="R64" i="19" s="1"/>
  <c r="U64" i="19" a="1"/>
  <c r="U64" i="19" s="1"/>
  <c r="V64" i="19" a="1"/>
  <c r="V64" i="19" s="1"/>
  <c r="W64" i="19" a="1"/>
  <c r="W64" i="19" s="1"/>
  <c r="X64" i="19" a="1"/>
  <c r="X64" i="19" s="1"/>
  <c r="K65" i="19" a="1"/>
  <c r="K65" i="19" s="1"/>
  <c r="L65" i="19" a="1"/>
  <c r="L65" i="19" s="1"/>
  <c r="M65" i="19" a="1"/>
  <c r="M65" i="19" s="1"/>
  <c r="N65" i="19" a="1"/>
  <c r="N65" i="19" s="1"/>
  <c r="O65" i="19" a="1"/>
  <c r="O65" i="19" s="1"/>
  <c r="P65" i="19" a="1"/>
  <c r="P65" i="19" s="1"/>
  <c r="Q65" i="19" a="1"/>
  <c r="Q65" i="19" s="1"/>
  <c r="R65" i="19" a="1"/>
  <c r="R65" i="19" s="1"/>
  <c r="U65" i="19" a="1"/>
  <c r="U65" i="19" s="1"/>
  <c r="V65" i="19" a="1"/>
  <c r="V65" i="19" s="1"/>
  <c r="W65" i="19" a="1"/>
  <c r="W65" i="19" s="1"/>
  <c r="X65" i="19" a="1"/>
  <c r="X65" i="19" s="1"/>
  <c r="K66" i="19" a="1"/>
  <c r="K66" i="19" s="1"/>
  <c r="L66" i="19" a="1"/>
  <c r="L66" i="19" s="1"/>
  <c r="M66" i="19" a="1"/>
  <c r="M66" i="19" s="1"/>
  <c r="N66" i="19" a="1"/>
  <c r="N66" i="19" s="1"/>
  <c r="O66" i="19" a="1"/>
  <c r="O66" i="19" s="1"/>
  <c r="P66" i="19" a="1"/>
  <c r="P66" i="19" s="1"/>
  <c r="Q66" i="19" a="1"/>
  <c r="Q66" i="19" s="1"/>
  <c r="R66" i="19" a="1"/>
  <c r="R66" i="19" s="1"/>
  <c r="U66" i="19" a="1"/>
  <c r="U66" i="19" s="1"/>
  <c r="V66" i="19" a="1"/>
  <c r="V66" i="19" s="1"/>
  <c r="W66" i="19" a="1"/>
  <c r="W66" i="19" s="1"/>
  <c r="X66" i="19" a="1"/>
  <c r="X66" i="19" s="1"/>
  <c r="K67" i="19" a="1"/>
  <c r="K67" i="19" s="1"/>
  <c r="L67" i="19" a="1"/>
  <c r="L67" i="19" s="1"/>
  <c r="M67" i="19" a="1"/>
  <c r="M67" i="19" s="1"/>
  <c r="N67" i="19" a="1"/>
  <c r="N67" i="19" s="1"/>
  <c r="O67" i="19" a="1"/>
  <c r="O67" i="19" s="1"/>
  <c r="P67" i="19" a="1"/>
  <c r="P67" i="19" s="1"/>
  <c r="Q67" i="19" a="1"/>
  <c r="Q67" i="19" s="1"/>
  <c r="R67" i="19" a="1"/>
  <c r="R67" i="19" s="1"/>
  <c r="U67" i="19" a="1"/>
  <c r="U67" i="19" s="1"/>
  <c r="V67" i="19" a="1"/>
  <c r="V67" i="19" s="1"/>
  <c r="W67" i="19" a="1"/>
  <c r="W67" i="19" s="1"/>
  <c r="X67" i="19" a="1"/>
  <c r="X67" i="19" s="1"/>
  <c r="K68" i="19" a="1"/>
  <c r="K68" i="19" s="1"/>
  <c r="L68" i="19" a="1"/>
  <c r="L68" i="19" s="1"/>
  <c r="M68" i="19" a="1"/>
  <c r="M68" i="19" s="1"/>
  <c r="N68" i="19" a="1"/>
  <c r="N68" i="19" s="1"/>
  <c r="O68" i="19" a="1"/>
  <c r="O68" i="19" s="1"/>
  <c r="P68" i="19" a="1"/>
  <c r="P68" i="19" s="1"/>
  <c r="Q68" i="19" a="1"/>
  <c r="Q68" i="19" s="1"/>
  <c r="R68" i="19" a="1"/>
  <c r="R68" i="19" s="1"/>
  <c r="U68" i="19" a="1"/>
  <c r="U68" i="19" s="1"/>
  <c r="V68" i="19" a="1"/>
  <c r="V68" i="19" s="1"/>
  <c r="W68" i="19" a="1"/>
  <c r="W68" i="19" s="1"/>
  <c r="X68" i="19" a="1"/>
  <c r="X68" i="19" s="1"/>
  <c r="K69" i="19" a="1"/>
  <c r="K69" i="19" s="1"/>
  <c r="L69" i="19" a="1"/>
  <c r="L69" i="19" s="1"/>
  <c r="M69" i="19" a="1"/>
  <c r="M69" i="19" s="1"/>
  <c r="N69" i="19" a="1"/>
  <c r="N69" i="19" s="1"/>
  <c r="O69" i="19" a="1"/>
  <c r="O69" i="19" s="1"/>
  <c r="P69" i="19" a="1"/>
  <c r="P69" i="19" s="1"/>
  <c r="Q69" i="19" a="1"/>
  <c r="Q69" i="19" s="1"/>
  <c r="R69" i="19" a="1"/>
  <c r="R69" i="19" s="1"/>
  <c r="U69" i="19" a="1"/>
  <c r="U69" i="19" s="1"/>
  <c r="V69" i="19" a="1"/>
  <c r="V69" i="19" s="1"/>
  <c r="W69" i="19" a="1"/>
  <c r="W69" i="19" s="1"/>
  <c r="X69" i="19" a="1"/>
  <c r="X69" i="19" s="1"/>
  <c r="K70" i="19" a="1"/>
  <c r="K70" i="19" s="1"/>
  <c r="L70" i="19" a="1"/>
  <c r="L70" i="19" s="1"/>
  <c r="M70" i="19" a="1"/>
  <c r="M70" i="19" s="1"/>
  <c r="N70" i="19" a="1"/>
  <c r="N70" i="19" s="1"/>
  <c r="O70" i="19" a="1"/>
  <c r="O70" i="19" s="1"/>
  <c r="P70" i="19" a="1"/>
  <c r="P70" i="19" s="1"/>
  <c r="Q70" i="19" a="1"/>
  <c r="Q70" i="19" s="1"/>
  <c r="R70" i="19" a="1"/>
  <c r="R70" i="19" s="1"/>
  <c r="U70" i="19" a="1"/>
  <c r="U70" i="19" s="1"/>
  <c r="V70" i="19" a="1"/>
  <c r="V70" i="19" s="1"/>
  <c r="W70" i="19" a="1"/>
  <c r="W70" i="19" s="1"/>
  <c r="X70" i="19" a="1"/>
  <c r="X70" i="19" s="1"/>
  <c r="K71" i="19" a="1"/>
  <c r="K71" i="19" s="1"/>
  <c r="L71" i="19" a="1"/>
  <c r="L71" i="19" s="1"/>
  <c r="M71" i="19" a="1"/>
  <c r="M71" i="19" s="1"/>
  <c r="N71" i="19" a="1"/>
  <c r="N71" i="19" s="1"/>
  <c r="O71" i="19" a="1"/>
  <c r="O71" i="19" s="1"/>
  <c r="P71" i="19" a="1"/>
  <c r="P71" i="19" s="1"/>
  <c r="Q71" i="19" a="1"/>
  <c r="Q71" i="19" s="1"/>
  <c r="R71" i="19" a="1"/>
  <c r="R71" i="19" s="1"/>
  <c r="U71" i="19" a="1"/>
  <c r="U71" i="19" s="1"/>
  <c r="V71" i="19" a="1"/>
  <c r="V71" i="19" s="1"/>
  <c r="W71" i="19" a="1"/>
  <c r="W71" i="19" s="1"/>
  <c r="X71" i="19" a="1"/>
  <c r="X71" i="19" s="1"/>
  <c r="K72" i="19" a="1"/>
  <c r="K72" i="19" s="1"/>
  <c r="L72" i="19" a="1"/>
  <c r="L72" i="19" s="1"/>
  <c r="M72" i="19" a="1"/>
  <c r="M72" i="19" s="1"/>
  <c r="N72" i="19" a="1"/>
  <c r="N72" i="19" s="1"/>
  <c r="O72" i="19" a="1"/>
  <c r="O72" i="19" s="1"/>
  <c r="P72" i="19" a="1"/>
  <c r="P72" i="19" s="1"/>
  <c r="Q72" i="19" a="1"/>
  <c r="Q72" i="19" s="1"/>
  <c r="R72" i="19" a="1"/>
  <c r="R72" i="19" s="1"/>
  <c r="U72" i="19" a="1"/>
  <c r="U72" i="19" s="1"/>
  <c r="V72" i="19" a="1"/>
  <c r="V72" i="19" s="1"/>
  <c r="W72" i="19" a="1"/>
  <c r="W72" i="19" s="1"/>
  <c r="X72" i="19" a="1"/>
  <c r="X72" i="19" s="1"/>
  <c r="K73" i="19" a="1"/>
  <c r="K73" i="19" s="1"/>
  <c r="L73" i="19" a="1"/>
  <c r="L73" i="19" s="1"/>
  <c r="M73" i="19" a="1"/>
  <c r="M73" i="19" s="1"/>
  <c r="N73" i="19" a="1"/>
  <c r="N73" i="19" s="1"/>
  <c r="O73" i="19" a="1"/>
  <c r="O73" i="19" s="1"/>
  <c r="P73" i="19" a="1"/>
  <c r="P73" i="19" s="1"/>
  <c r="Q73" i="19" a="1"/>
  <c r="Q73" i="19" s="1"/>
  <c r="R73" i="19" a="1"/>
  <c r="R73" i="19" s="1"/>
  <c r="U73" i="19" a="1"/>
  <c r="U73" i="19" s="1"/>
  <c r="V73" i="19" a="1"/>
  <c r="V73" i="19" s="1"/>
  <c r="W73" i="19" a="1"/>
  <c r="W73" i="19" s="1"/>
  <c r="X73" i="19" a="1"/>
  <c r="X73" i="19" s="1"/>
  <c r="K74" i="19" a="1"/>
  <c r="K74" i="19" s="1"/>
  <c r="L74" i="19" a="1"/>
  <c r="L74" i="19" s="1"/>
  <c r="M74" i="19" a="1"/>
  <c r="M74" i="19" s="1"/>
  <c r="N74" i="19" a="1"/>
  <c r="N74" i="19" s="1"/>
  <c r="O74" i="19" a="1"/>
  <c r="O74" i="19" s="1"/>
  <c r="P74" i="19" a="1"/>
  <c r="P74" i="19" s="1"/>
  <c r="Q74" i="19" a="1"/>
  <c r="Q74" i="19" s="1"/>
  <c r="R74" i="19" a="1"/>
  <c r="R74" i="19" s="1"/>
  <c r="U74" i="19" a="1"/>
  <c r="U74" i="19" s="1"/>
  <c r="V74" i="19" a="1"/>
  <c r="V74" i="19" s="1"/>
  <c r="W74" i="19" a="1"/>
  <c r="W74" i="19" s="1"/>
  <c r="X74" i="19" a="1"/>
  <c r="X74" i="19" s="1"/>
  <c r="K75" i="19" a="1"/>
  <c r="K75" i="19" s="1"/>
  <c r="L75" i="19" a="1"/>
  <c r="L75" i="19" s="1"/>
  <c r="M75" i="19" a="1"/>
  <c r="M75" i="19" s="1"/>
  <c r="N75" i="19" a="1"/>
  <c r="N75" i="19" s="1"/>
  <c r="O75" i="19" a="1"/>
  <c r="O75" i="19" s="1"/>
  <c r="P75" i="19" a="1"/>
  <c r="P75" i="19" s="1"/>
  <c r="Q75" i="19" a="1"/>
  <c r="Q75" i="19" s="1"/>
  <c r="R75" i="19" a="1"/>
  <c r="R75" i="19" s="1"/>
  <c r="U75" i="19" a="1"/>
  <c r="U75" i="19" s="1"/>
  <c r="V75" i="19" a="1"/>
  <c r="V75" i="19" s="1"/>
  <c r="W75" i="19" a="1"/>
  <c r="W75" i="19" s="1"/>
  <c r="X75" i="19" a="1"/>
  <c r="X75" i="19" s="1"/>
  <c r="K76" i="19" a="1"/>
  <c r="K76" i="19" s="1"/>
  <c r="L76" i="19" a="1"/>
  <c r="L76" i="19" s="1"/>
  <c r="M76" i="19" a="1"/>
  <c r="M76" i="19" s="1"/>
  <c r="N76" i="19" a="1"/>
  <c r="N76" i="19" s="1"/>
  <c r="O76" i="19" a="1"/>
  <c r="O76" i="19" s="1"/>
  <c r="P76" i="19" a="1"/>
  <c r="P76" i="19" s="1"/>
  <c r="Q76" i="19" a="1"/>
  <c r="Q76" i="19" s="1"/>
  <c r="R76" i="19" a="1"/>
  <c r="R76" i="19" s="1"/>
  <c r="U76" i="19" a="1"/>
  <c r="U76" i="19" s="1"/>
  <c r="V76" i="19" a="1"/>
  <c r="V76" i="19" s="1"/>
  <c r="W76" i="19" a="1"/>
  <c r="W76" i="19" s="1"/>
  <c r="X76" i="19" a="1"/>
  <c r="X76" i="19" s="1"/>
  <c r="K77" i="19" a="1"/>
  <c r="K77" i="19" s="1"/>
  <c r="L77" i="19" a="1"/>
  <c r="L77" i="19" s="1"/>
  <c r="M77" i="19" a="1"/>
  <c r="M77" i="19" s="1"/>
  <c r="N77" i="19" a="1"/>
  <c r="N77" i="19" s="1"/>
  <c r="O77" i="19" a="1"/>
  <c r="O77" i="19" s="1"/>
  <c r="P77" i="19" a="1"/>
  <c r="P77" i="19" s="1"/>
  <c r="Q77" i="19" a="1"/>
  <c r="Q77" i="19" s="1"/>
  <c r="R77" i="19" a="1"/>
  <c r="R77" i="19" s="1"/>
  <c r="U77" i="19" a="1"/>
  <c r="U77" i="19" s="1"/>
  <c r="V77" i="19" a="1"/>
  <c r="V77" i="19" s="1"/>
  <c r="W77" i="19" a="1"/>
  <c r="W77" i="19" s="1"/>
  <c r="X77" i="19" a="1"/>
  <c r="X77" i="19" s="1"/>
  <c r="K78" i="19" a="1"/>
  <c r="K78" i="19" s="1"/>
  <c r="L78" i="19" a="1"/>
  <c r="L78" i="19" s="1"/>
  <c r="M78" i="19" a="1"/>
  <c r="M78" i="19" s="1"/>
  <c r="N78" i="19" a="1"/>
  <c r="N78" i="19" s="1"/>
  <c r="O78" i="19" a="1"/>
  <c r="O78" i="19" s="1"/>
  <c r="P78" i="19" a="1"/>
  <c r="P78" i="19" s="1"/>
  <c r="Q78" i="19" a="1"/>
  <c r="Q78" i="19" s="1"/>
  <c r="R78" i="19" a="1"/>
  <c r="R78" i="19" s="1"/>
  <c r="U78" i="19" a="1"/>
  <c r="U78" i="19" s="1"/>
  <c r="V78" i="19" a="1"/>
  <c r="V78" i="19" s="1"/>
  <c r="W78" i="19" a="1"/>
  <c r="W78" i="19" s="1"/>
  <c r="X78" i="19" a="1"/>
  <c r="X78" i="19" s="1"/>
  <c r="K79" i="19" a="1"/>
  <c r="K79" i="19" s="1"/>
  <c r="L79" i="19" a="1"/>
  <c r="L79" i="19" s="1"/>
  <c r="M79" i="19" a="1"/>
  <c r="M79" i="19" s="1"/>
  <c r="N79" i="19" a="1"/>
  <c r="N79" i="19" s="1"/>
  <c r="O79" i="19" a="1"/>
  <c r="O79" i="19" s="1"/>
  <c r="P79" i="19" a="1"/>
  <c r="P79" i="19" s="1"/>
  <c r="Q79" i="19" a="1"/>
  <c r="Q79" i="19" s="1"/>
  <c r="R79" i="19" a="1"/>
  <c r="R79" i="19" s="1"/>
  <c r="U79" i="19" a="1"/>
  <c r="U79" i="19" s="1"/>
  <c r="V79" i="19" a="1"/>
  <c r="V79" i="19" s="1"/>
  <c r="W79" i="19" a="1"/>
  <c r="W79" i="19" s="1"/>
  <c r="X79" i="19" a="1"/>
  <c r="X79" i="19" s="1"/>
  <c r="K80" i="19" a="1"/>
  <c r="K80" i="19" s="1"/>
  <c r="L80" i="19" a="1"/>
  <c r="L80" i="19" s="1"/>
  <c r="M80" i="19" a="1"/>
  <c r="M80" i="19" s="1"/>
  <c r="N80" i="19" a="1"/>
  <c r="N80" i="19" s="1"/>
  <c r="O80" i="19" a="1"/>
  <c r="O80" i="19" s="1"/>
  <c r="P80" i="19" a="1"/>
  <c r="P80" i="19" s="1"/>
  <c r="Q80" i="19" a="1"/>
  <c r="Q80" i="19" s="1"/>
  <c r="R80" i="19" a="1"/>
  <c r="R80" i="19" s="1"/>
  <c r="U80" i="19" a="1"/>
  <c r="U80" i="19" s="1"/>
  <c r="V80" i="19" a="1"/>
  <c r="V80" i="19" s="1"/>
  <c r="W80" i="19" a="1"/>
  <c r="W80" i="19" s="1"/>
  <c r="X80" i="19" a="1"/>
  <c r="X80" i="19" s="1"/>
  <c r="K81" i="19" a="1"/>
  <c r="K81" i="19" s="1"/>
  <c r="L81" i="19" a="1"/>
  <c r="L81" i="19" s="1"/>
  <c r="M81" i="19" a="1"/>
  <c r="M81" i="19" s="1"/>
  <c r="N81" i="19" a="1"/>
  <c r="N81" i="19" s="1"/>
  <c r="O81" i="19" a="1"/>
  <c r="O81" i="19" s="1"/>
  <c r="P81" i="19" a="1"/>
  <c r="P81" i="19" s="1"/>
  <c r="Q81" i="19" a="1"/>
  <c r="Q81" i="19" s="1"/>
  <c r="R81" i="19" a="1"/>
  <c r="R81" i="19" s="1"/>
  <c r="U81" i="19" a="1"/>
  <c r="U81" i="19" s="1"/>
  <c r="V81" i="19" a="1"/>
  <c r="V81" i="19" s="1"/>
  <c r="W81" i="19" a="1"/>
  <c r="W81" i="19" s="1"/>
  <c r="X81" i="19" a="1"/>
  <c r="X81" i="19" s="1"/>
  <c r="K82" i="19" a="1"/>
  <c r="K82" i="19" s="1"/>
  <c r="L82" i="19" a="1"/>
  <c r="L82" i="19" s="1"/>
  <c r="M82" i="19" a="1"/>
  <c r="M82" i="19" s="1"/>
  <c r="N82" i="19" a="1"/>
  <c r="N82" i="19" s="1"/>
  <c r="O82" i="19" a="1"/>
  <c r="O82" i="19" s="1"/>
  <c r="P82" i="19" a="1"/>
  <c r="P82" i="19" s="1"/>
  <c r="Q82" i="19" a="1"/>
  <c r="Q82" i="19" s="1"/>
  <c r="R82" i="19" a="1"/>
  <c r="R82" i="19" s="1"/>
  <c r="U82" i="19" a="1"/>
  <c r="U82" i="19" s="1"/>
  <c r="V82" i="19" a="1"/>
  <c r="V82" i="19" s="1"/>
  <c r="W82" i="19" a="1"/>
  <c r="W82" i="19" s="1"/>
  <c r="X82" i="19" a="1"/>
  <c r="X82" i="19" s="1"/>
  <c r="K83" i="19" a="1"/>
  <c r="K83" i="19" s="1"/>
  <c r="L83" i="19" a="1"/>
  <c r="L83" i="19" s="1"/>
  <c r="M83" i="19" a="1"/>
  <c r="M83" i="19" s="1"/>
  <c r="N83" i="19" a="1"/>
  <c r="N83" i="19" s="1"/>
  <c r="O83" i="19" a="1"/>
  <c r="O83" i="19" s="1"/>
  <c r="P83" i="19" a="1"/>
  <c r="P83" i="19" s="1"/>
  <c r="Q83" i="19" a="1"/>
  <c r="Q83" i="19" s="1"/>
  <c r="R83" i="19" a="1"/>
  <c r="R83" i="19" s="1"/>
  <c r="U83" i="19" a="1"/>
  <c r="U83" i="19" s="1"/>
  <c r="V83" i="19" a="1"/>
  <c r="V83" i="19" s="1"/>
  <c r="W83" i="19" a="1"/>
  <c r="W83" i="19" s="1"/>
  <c r="X83" i="19" a="1"/>
  <c r="X83" i="19" s="1"/>
  <c r="K84" i="19" a="1"/>
  <c r="K84" i="19" s="1"/>
  <c r="L84" i="19" a="1"/>
  <c r="L84" i="19" s="1"/>
  <c r="M84" i="19" a="1"/>
  <c r="M84" i="19" s="1"/>
  <c r="N84" i="19" a="1"/>
  <c r="N84" i="19" s="1"/>
  <c r="O84" i="19" a="1"/>
  <c r="O84" i="19" s="1"/>
  <c r="P84" i="19" a="1"/>
  <c r="P84" i="19" s="1"/>
  <c r="Q84" i="19" a="1"/>
  <c r="Q84" i="19" s="1"/>
  <c r="R84" i="19" a="1"/>
  <c r="R84" i="19" s="1"/>
  <c r="U84" i="19" a="1"/>
  <c r="U84" i="19" s="1"/>
  <c r="V84" i="19" a="1"/>
  <c r="V84" i="19" s="1"/>
  <c r="W84" i="19" a="1"/>
  <c r="W84" i="19" s="1"/>
  <c r="X84" i="19" a="1"/>
  <c r="X84" i="19" s="1"/>
  <c r="K85" i="19" a="1"/>
  <c r="K85" i="19" s="1"/>
  <c r="L85" i="19" a="1"/>
  <c r="L85" i="19" s="1"/>
  <c r="M85" i="19" a="1"/>
  <c r="M85" i="19" s="1"/>
  <c r="N85" i="19" a="1"/>
  <c r="N85" i="19" s="1"/>
  <c r="O85" i="19" a="1"/>
  <c r="O85" i="19" s="1"/>
  <c r="P85" i="19" a="1"/>
  <c r="P85" i="19" s="1"/>
  <c r="Q85" i="19" a="1"/>
  <c r="Q85" i="19" s="1"/>
  <c r="R85" i="19" a="1"/>
  <c r="R85" i="19" s="1"/>
  <c r="U85" i="19" a="1"/>
  <c r="U85" i="19" s="1"/>
  <c r="V85" i="19" a="1"/>
  <c r="V85" i="19" s="1"/>
  <c r="W85" i="19" a="1"/>
  <c r="W85" i="19" s="1"/>
  <c r="X85" i="19" a="1"/>
  <c r="X85" i="19" s="1"/>
  <c r="K86" i="19" a="1"/>
  <c r="K86" i="19" s="1"/>
  <c r="L86" i="19" a="1"/>
  <c r="L86" i="19" s="1"/>
  <c r="M86" i="19" a="1"/>
  <c r="M86" i="19" s="1"/>
  <c r="N86" i="19" a="1"/>
  <c r="N86" i="19" s="1"/>
  <c r="O86" i="19" a="1"/>
  <c r="O86" i="19" s="1"/>
  <c r="P86" i="19" a="1"/>
  <c r="P86" i="19" s="1"/>
  <c r="Q86" i="19" a="1"/>
  <c r="Q86" i="19" s="1"/>
  <c r="R86" i="19" a="1"/>
  <c r="R86" i="19" s="1"/>
  <c r="U86" i="19" a="1"/>
  <c r="U86" i="19" s="1"/>
  <c r="V86" i="19" a="1"/>
  <c r="V86" i="19" s="1"/>
  <c r="W86" i="19" a="1"/>
  <c r="W86" i="19" s="1"/>
  <c r="X86" i="19" a="1"/>
  <c r="X86" i="19" s="1"/>
  <c r="K87" i="19" a="1"/>
  <c r="K87" i="19" s="1"/>
  <c r="L87" i="19" a="1"/>
  <c r="L87" i="19" s="1"/>
  <c r="M87" i="19" a="1"/>
  <c r="M87" i="19" s="1"/>
  <c r="N87" i="19" a="1"/>
  <c r="N87" i="19" s="1"/>
  <c r="O87" i="19" a="1"/>
  <c r="O87" i="19" s="1"/>
  <c r="P87" i="19" a="1"/>
  <c r="P87" i="19" s="1"/>
  <c r="Q87" i="19" a="1"/>
  <c r="Q87" i="19" s="1"/>
  <c r="R87" i="19" a="1"/>
  <c r="R87" i="19" s="1"/>
  <c r="U87" i="19" a="1"/>
  <c r="U87" i="19" s="1"/>
  <c r="V87" i="19" a="1"/>
  <c r="V87" i="19" s="1"/>
  <c r="W87" i="19" a="1"/>
  <c r="W87" i="19" s="1"/>
  <c r="X87" i="19" a="1"/>
  <c r="X87" i="19" s="1"/>
  <c r="K88" i="19" a="1"/>
  <c r="K88" i="19" s="1"/>
  <c r="L88" i="19" a="1"/>
  <c r="L88" i="19" s="1"/>
  <c r="M88" i="19" a="1"/>
  <c r="M88" i="19" s="1"/>
  <c r="N88" i="19" a="1"/>
  <c r="N88" i="19" s="1"/>
  <c r="O88" i="19" a="1"/>
  <c r="O88" i="19" s="1"/>
  <c r="P88" i="19" a="1"/>
  <c r="P88" i="19" s="1"/>
  <c r="Q88" i="19" a="1"/>
  <c r="Q88" i="19" s="1"/>
  <c r="R88" i="19" a="1"/>
  <c r="R88" i="19" s="1"/>
  <c r="U88" i="19" a="1"/>
  <c r="U88" i="19" s="1"/>
  <c r="V88" i="19" a="1"/>
  <c r="V88" i="19" s="1"/>
  <c r="W88" i="19" a="1"/>
  <c r="W88" i="19" s="1"/>
  <c r="X88" i="19" a="1"/>
  <c r="X88" i="19" s="1"/>
  <c r="K89" i="19" a="1"/>
  <c r="K89" i="19" s="1"/>
  <c r="L89" i="19" a="1"/>
  <c r="L89" i="19" s="1"/>
  <c r="M89" i="19" a="1"/>
  <c r="M89" i="19" s="1"/>
  <c r="N89" i="19" a="1"/>
  <c r="N89" i="19" s="1"/>
  <c r="O89" i="19" a="1"/>
  <c r="O89" i="19" s="1"/>
  <c r="P89" i="19" a="1"/>
  <c r="P89" i="19" s="1"/>
  <c r="Q89" i="19" a="1"/>
  <c r="Q89" i="19" s="1"/>
  <c r="R89" i="19" a="1"/>
  <c r="R89" i="19" s="1"/>
  <c r="U89" i="19" a="1"/>
  <c r="U89" i="19" s="1"/>
  <c r="V89" i="19" a="1"/>
  <c r="V89" i="19" s="1"/>
  <c r="W89" i="19" a="1"/>
  <c r="W89" i="19" s="1"/>
  <c r="X89" i="19" a="1"/>
  <c r="X89" i="19" s="1"/>
  <c r="K90" i="19" a="1"/>
  <c r="K90" i="19" s="1"/>
  <c r="L90" i="19" a="1"/>
  <c r="L90" i="19" s="1"/>
  <c r="M90" i="19" a="1"/>
  <c r="M90" i="19" s="1"/>
  <c r="N90" i="19" a="1"/>
  <c r="N90" i="19" s="1"/>
  <c r="O90" i="19" a="1"/>
  <c r="O90" i="19" s="1"/>
  <c r="P90" i="19" a="1"/>
  <c r="P90" i="19" s="1"/>
  <c r="Q90" i="19" a="1"/>
  <c r="Q90" i="19" s="1"/>
  <c r="R90" i="19" a="1"/>
  <c r="R90" i="19" s="1"/>
  <c r="U90" i="19" a="1"/>
  <c r="U90" i="19" s="1"/>
  <c r="V90" i="19" a="1"/>
  <c r="V90" i="19" s="1"/>
  <c r="W90" i="19" a="1"/>
  <c r="W90" i="19" s="1"/>
  <c r="X90" i="19" a="1"/>
  <c r="X90" i="19" s="1"/>
  <c r="K91" i="19" a="1"/>
  <c r="K91" i="19" s="1"/>
  <c r="L91" i="19" a="1"/>
  <c r="L91" i="19" s="1"/>
  <c r="M91" i="19" a="1"/>
  <c r="M91" i="19" s="1"/>
  <c r="N91" i="19" a="1"/>
  <c r="N91" i="19" s="1"/>
  <c r="O91" i="19" a="1"/>
  <c r="O91" i="19" s="1"/>
  <c r="P91" i="19" a="1"/>
  <c r="P91" i="19" s="1"/>
  <c r="Q91" i="19" a="1"/>
  <c r="Q91" i="19" s="1"/>
  <c r="R91" i="19" a="1"/>
  <c r="R91" i="19" s="1"/>
  <c r="U91" i="19" a="1"/>
  <c r="U91" i="19" s="1"/>
  <c r="V91" i="19" a="1"/>
  <c r="V91" i="19" s="1"/>
  <c r="W91" i="19" a="1"/>
  <c r="W91" i="19" s="1"/>
  <c r="X91" i="19" a="1"/>
  <c r="X91" i="19" s="1"/>
  <c r="K92" i="19" a="1"/>
  <c r="K92" i="19" s="1"/>
  <c r="L92" i="19" a="1"/>
  <c r="L92" i="19" s="1"/>
  <c r="M92" i="19" a="1"/>
  <c r="M92" i="19" s="1"/>
  <c r="N92" i="19" a="1"/>
  <c r="N92" i="19" s="1"/>
  <c r="O92" i="19" a="1"/>
  <c r="O92" i="19" s="1"/>
  <c r="P92" i="19" a="1"/>
  <c r="P92" i="19" s="1"/>
  <c r="Q92" i="19" a="1"/>
  <c r="Q92" i="19" s="1"/>
  <c r="R92" i="19" a="1"/>
  <c r="R92" i="19" s="1"/>
  <c r="U92" i="19" a="1"/>
  <c r="U92" i="19" s="1"/>
  <c r="V92" i="19" a="1"/>
  <c r="V92" i="19" s="1"/>
  <c r="W92" i="19" a="1"/>
  <c r="W92" i="19" s="1"/>
  <c r="X92" i="19" a="1"/>
  <c r="X92" i="19" s="1"/>
  <c r="K93" i="19" a="1"/>
  <c r="K93" i="19" s="1"/>
  <c r="L93" i="19" a="1"/>
  <c r="L93" i="19" s="1"/>
  <c r="M93" i="19" a="1"/>
  <c r="M93" i="19" s="1"/>
  <c r="N93" i="19" a="1"/>
  <c r="N93" i="19" s="1"/>
  <c r="O93" i="19" a="1"/>
  <c r="O93" i="19" s="1"/>
  <c r="P93" i="19" a="1"/>
  <c r="P93" i="19" s="1"/>
  <c r="Q93" i="19" a="1"/>
  <c r="Q93" i="19" s="1"/>
  <c r="R93" i="19" a="1"/>
  <c r="R93" i="19" s="1"/>
  <c r="U93" i="19" a="1"/>
  <c r="U93" i="19" s="1"/>
  <c r="V93" i="19" a="1"/>
  <c r="V93" i="19" s="1"/>
  <c r="W93" i="19" a="1"/>
  <c r="W93" i="19" s="1"/>
  <c r="X93" i="19" a="1"/>
  <c r="X93" i="19" s="1"/>
  <c r="K94" i="19" a="1"/>
  <c r="K94" i="19" s="1"/>
  <c r="L94" i="19" a="1"/>
  <c r="L94" i="19" s="1"/>
  <c r="M94" i="19" a="1"/>
  <c r="M94" i="19" s="1"/>
  <c r="N94" i="19" a="1"/>
  <c r="N94" i="19" s="1"/>
  <c r="O94" i="19" a="1"/>
  <c r="O94" i="19" s="1"/>
  <c r="P94" i="19" a="1"/>
  <c r="P94" i="19" s="1"/>
  <c r="Q94" i="19" a="1"/>
  <c r="Q94" i="19" s="1"/>
  <c r="R94" i="19" a="1"/>
  <c r="R94" i="19" s="1"/>
  <c r="U94" i="19" a="1"/>
  <c r="U94" i="19" s="1"/>
  <c r="V94" i="19" a="1"/>
  <c r="V94" i="19" s="1"/>
  <c r="W94" i="19" a="1"/>
  <c r="W94" i="19" s="1"/>
  <c r="X94" i="19" a="1"/>
  <c r="X94" i="19" s="1"/>
  <c r="K95" i="19" a="1"/>
  <c r="K95" i="19" s="1"/>
  <c r="L95" i="19" a="1"/>
  <c r="L95" i="19" s="1"/>
  <c r="M95" i="19" a="1"/>
  <c r="M95" i="19" s="1"/>
  <c r="N95" i="19" a="1"/>
  <c r="N95" i="19" s="1"/>
  <c r="O95" i="19" a="1"/>
  <c r="O95" i="19" s="1"/>
  <c r="P95" i="19" a="1"/>
  <c r="P95" i="19" s="1"/>
  <c r="Q95" i="19" a="1"/>
  <c r="Q95" i="19" s="1"/>
  <c r="R95" i="19" a="1"/>
  <c r="R95" i="19" s="1"/>
  <c r="U95" i="19" a="1"/>
  <c r="U95" i="19" s="1"/>
  <c r="V95" i="19" a="1"/>
  <c r="V95" i="19" s="1"/>
  <c r="W95" i="19" a="1"/>
  <c r="W95" i="19" s="1"/>
  <c r="X95" i="19" a="1"/>
  <c r="X95" i="19" s="1"/>
  <c r="K96" i="19" a="1"/>
  <c r="K96" i="19" s="1"/>
  <c r="L96" i="19" a="1"/>
  <c r="L96" i="19" s="1"/>
  <c r="M96" i="19" a="1"/>
  <c r="M96" i="19" s="1"/>
  <c r="N96" i="19" a="1"/>
  <c r="N96" i="19" s="1"/>
  <c r="O96" i="19" a="1"/>
  <c r="O96" i="19" s="1"/>
  <c r="P96" i="19" a="1"/>
  <c r="P96" i="19" s="1"/>
  <c r="Q96" i="19" a="1"/>
  <c r="Q96" i="19" s="1"/>
  <c r="R96" i="19" a="1"/>
  <c r="R96" i="19" s="1"/>
  <c r="U96" i="19" a="1"/>
  <c r="U96" i="19" s="1"/>
  <c r="V96" i="19" a="1"/>
  <c r="V96" i="19" s="1"/>
  <c r="W96" i="19" a="1"/>
  <c r="W96" i="19" s="1"/>
  <c r="X96" i="19" a="1"/>
  <c r="X96" i="19" s="1"/>
  <c r="K97" i="19" a="1"/>
  <c r="K97" i="19" s="1"/>
  <c r="L97" i="19" a="1"/>
  <c r="L97" i="19" s="1"/>
  <c r="M97" i="19" a="1"/>
  <c r="M97" i="19" s="1"/>
  <c r="N97" i="19" a="1"/>
  <c r="N97" i="19" s="1"/>
  <c r="O97" i="19" a="1"/>
  <c r="O97" i="19" s="1"/>
  <c r="P97" i="19" a="1"/>
  <c r="P97" i="19" s="1"/>
  <c r="Q97" i="19" a="1"/>
  <c r="Q97" i="19" s="1"/>
  <c r="R97" i="19" a="1"/>
  <c r="R97" i="19" s="1"/>
  <c r="U97" i="19" a="1"/>
  <c r="U97" i="19" s="1"/>
  <c r="V97" i="19" a="1"/>
  <c r="V97" i="19" s="1"/>
  <c r="W97" i="19" a="1"/>
  <c r="W97" i="19" s="1"/>
  <c r="X97" i="19" a="1"/>
  <c r="X97" i="19" s="1"/>
  <c r="K98" i="19" a="1"/>
  <c r="K98" i="19" s="1"/>
  <c r="L98" i="19" a="1"/>
  <c r="L98" i="19" s="1"/>
  <c r="M98" i="19" a="1"/>
  <c r="M98" i="19" s="1"/>
  <c r="N98" i="19" a="1"/>
  <c r="N98" i="19" s="1"/>
  <c r="O98" i="19" a="1"/>
  <c r="O98" i="19" s="1"/>
  <c r="P98" i="19" a="1"/>
  <c r="P98" i="19" s="1"/>
  <c r="Q98" i="19" a="1"/>
  <c r="Q98" i="19" s="1"/>
  <c r="R98" i="19" a="1"/>
  <c r="R98" i="19" s="1"/>
  <c r="U98" i="19" a="1"/>
  <c r="U98" i="19" s="1"/>
  <c r="V98" i="19" a="1"/>
  <c r="V98" i="19" s="1"/>
  <c r="W98" i="19" a="1"/>
  <c r="W98" i="19" s="1"/>
  <c r="X98" i="19" a="1"/>
  <c r="X98" i="19" s="1"/>
  <c r="K99" i="19" a="1"/>
  <c r="K99" i="19" s="1"/>
  <c r="L99" i="19" a="1"/>
  <c r="L99" i="19" s="1"/>
  <c r="M99" i="19" a="1"/>
  <c r="M99" i="19" s="1"/>
  <c r="N99" i="19" a="1"/>
  <c r="N99" i="19" s="1"/>
  <c r="O99" i="19" a="1"/>
  <c r="O99" i="19" s="1"/>
  <c r="P99" i="19" a="1"/>
  <c r="P99" i="19" s="1"/>
  <c r="Q99" i="19" a="1"/>
  <c r="Q99" i="19" s="1"/>
  <c r="R99" i="19" a="1"/>
  <c r="R99" i="19" s="1"/>
  <c r="U99" i="19" a="1"/>
  <c r="U99" i="19" s="1"/>
  <c r="V99" i="19" a="1"/>
  <c r="V99" i="19" s="1"/>
  <c r="W99" i="19" a="1"/>
  <c r="W99" i="19" s="1"/>
  <c r="X99" i="19" a="1"/>
  <c r="X99" i="19" s="1"/>
  <c r="K100" i="19" a="1"/>
  <c r="K100" i="19" s="1"/>
  <c r="L100" i="19" a="1"/>
  <c r="L100" i="19" s="1"/>
  <c r="M100" i="19" a="1"/>
  <c r="M100" i="19" s="1"/>
  <c r="N100" i="19" a="1"/>
  <c r="N100" i="19" s="1"/>
  <c r="O100" i="19" a="1"/>
  <c r="O100" i="19" s="1"/>
  <c r="P100" i="19" a="1"/>
  <c r="P100" i="19" s="1"/>
  <c r="Q100" i="19" a="1"/>
  <c r="Q100" i="19" s="1"/>
  <c r="R100" i="19" a="1"/>
  <c r="R100" i="19" s="1"/>
  <c r="U100" i="19" a="1"/>
  <c r="U100" i="19" s="1"/>
  <c r="V100" i="19" a="1"/>
  <c r="V100" i="19" s="1"/>
  <c r="W100" i="19" a="1"/>
  <c r="W100" i="19" s="1"/>
  <c r="X100" i="19" a="1"/>
  <c r="X100" i="19" s="1"/>
  <c r="K101" i="19" a="1"/>
  <c r="K101" i="19" s="1"/>
  <c r="L101" i="19" a="1"/>
  <c r="L101" i="19" s="1"/>
  <c r="M101" i="19" a="1"/>
  <c r="M101" i="19" s="1"/>
  <c r="N101" i="19" a="1"/>
  <c r="N101" i="19" s="1"/>
  <c r="O101" i="19" a="1"/>
  <c r="O101" i="19" s="1"/>
  <c r="P101" i="19" a="1"/>
  <c r="P101" i="19" s="1"/>
  <c r="Q101" i="19" a="1"/>
  <c r="Q101" i="19" s="1"/>
  <c r="R101" i="19" a="1"/>
  <c r="R101" i="19" s="1"/>
  <c r="U101" i="19" a="1"/>
  <c r="U101" i="19" s="1"/>
  <c r="V101" i="19" a="1"/>
  <c r="V101" i="19" s="1"/>
  <c r="W101" i="19" a="1"/>
  <c r="W101" i="19" s="1"/>
  <c r="X101" i="19" a="1"/>
  <c r="X101" i="19" s="1"/>
  <c r="K102" i="19" a="1"/>
  <c r="K102" i="19" s="1"/>
  <c r="L102" i="19" a="1"/>
  <c r="L102" i="19" s="1"/>
  <c r="M102" i="19" a="1"/>
  <c r="M102" i="19" s="1"/>
  <c r="N102" i="19" a="1"/>
  <c r="N102" i="19" s="1"/>
  <c r="O102" i="19" a="1"/>
  <c r="O102" i="19" s="1"/>
  <c r="P102" i="19" a="1"/>
  <c r="P102" i="19" s="1"/>
  <c r="Q102" i="19" a="1"/>
  <c r="Q102" i="19" s="1"/>
  <c r="R102" i="19" a="1"/>
  <c r="R102" i="19" s="1"/>
  <c r="U102" i="19" a="1"/>
  <c r="U102" i="19" s="1"/>
  <c r="V102" i="19" a="1"/>
  <c r="V102" i="19" s="1"/>
  <c r="W102" i="19" a="1"/>
  <c r="W102" i="19" s="1"/>
  <c r="X102" i="19" a="1"/>
  <c r="X102" i="19" s="1"/>
  <c r="K103" i="19" a="1"/>
  <c r="K103" i="19" s="1"/>
  <c r="L103" i="19" a="1"/>
  <c r="L103" i="19" s="1"/>
  <c r="M103" i="19" a="1"/>
  <c r="M103" i="19" s="1"/>
  <c r="N103" i="19" a="1"/>
  <c r="N103" i="19" s="1"/>
  <c r="O103" i="19" a="1"/>
  <c r="O103" i="19" s="1"/>
  <c r="P103" i="19" a="1"/>
  <c r="P103" i="19" s="1"/>
  <c r="Q103" i="19" a="1"/>
  <c r="Q103" i="19" s="1"/>
  <c r="R103" i="19" a="1"/>
  <c r="R103" i="19" s="1"/>
  <c r="U103" i="19" a="1"/>
  <c r="U103" i="19" s="1"/>
  <c r="V103" i="19" a="1"/>
  <c r="V103" i="19" s="1"/>
  <c r="W103" i="19" a="1"/>
  <c r="W103" i="19" s="1"/>
  <c r="X103" i="19" a="1"/>
  <c r="X103" i="19" s="1"/>
  <c r="K104" i="19" a="1"/>
  <c r="K104" i="19" s="1"/>
  <c r="L104" i="19" a="1"/>
  <c r="L104" i="19" s="1"/>
  <c r="M104" i="19" a="1"/>
  <c r="M104" i="19" s="1"/>
  <c r="N104" i="19" a="1"/>
  <c r="N104" i="19" s="1"/>
  <c r="O104" i="19" a="1"/>
  <c r="O104" i="19" s="1"/>
  <c r="P104" i="19" a="1"/>
  <c r="P104" i="19" s="1"/>
  <c r="Q104" i="19" a="1"/>
  <c r="Q104" i="19" s="1"/>
  <c r="R104" i="19" a="1"/>
  <c r="R104" i="19" s="1"/>
  <c r="U104" i="19" a="1"/>
  <c r="U104" i="19" s="1"/>
  <c r="V104" i="19" a="1"/>
  <c r="V104" i="19" s="1"/>
  <c r="W104" i="19" a="1"/>
  <c r="W104" i="19" s="1"/>
  <c r="X104" i="19" a="1"/>
  <c r="X104" i="19" s="1"/>
  <c r="K105" i="19" a="1"/>
  <c r="K105" i="19" s="1"/>
  <c r="L105" i="19" a="1"/>
  <c r="L105" i="19" s="1"/>
  <c r="M105" i="19" a="1"/>
  <c r="M105" i="19" s="1"/>
  <c r="N105" i="19" a="1"/>
  <c r="N105" i="19" s="1"/>
  <c r="O105" i="19" a="1"/>
  <c r="O105" i="19" s="1"/>
  <c r="P105" i="19" a="1"/>
  <c r="P105" i="19" s="1"/>
  <c r="Q105" i="19" a="1"/>
  <c r="Q105" i="19" s="1"/>
  <c r="R105" i="19" a="1"/>
  <c r="R105" i="19" s="1"/>
  <c r="U105" i="19" a="1"/>
  <c r="U105" i="19" s="1"/>
  <c r="V105" i="19" a="1"/>
  <c r="V105" i="19" s="1"/>
  <c r="W105" i="19" a="1"/>
  <c r="W105" i="19" s="1"/>
  <c r="X105" i="19" a="1"/>
  <c r="X105" i="19" s="1"/>
  <c r="K106" i="19" a="1"/>
  <c r="K106" i="19" s="1"/>
  <c r="L106" i="19" a="1"/>
  <c r="L106" i="19" s="1"/>
  <c r="M106" i="19" a="1"/>
  <c r="M106" i="19" s="1"/>
  <c r="N106" i="19" a="1"/>
  <c r="N106" i="19" s="1"/>
  <c r="O106" i="19" a="1"/>
  <c r="O106" i="19" s="1"/>
  <c r="P106" i="19" a="1"/>
  <c r="P106" i="19" s="1"/>
  <c r="Q106" i="19" a="1"/>
  <c r="Q106" i="19" s="1"/>
  <c r="R106" i="19" a="1"/>
  <c r="R106" i="19" s="1"/>
  <c r="U106" i="19" a="1"/>
  <c r="U106" i="19" s="1"/>
  <c r="V106" i="19" a="1"/>
  <c r="V106" i="19" s="1"/>
  <c r="W106" i="19" a="1"/>
  <c r="W106" i="19" s="1"/>
  <c r="X106" i="19" a="1"/>
  <c r="X106" i="19" s="1"/>
  <c r="K107" i="19" a="1"/>
  <c r="K107" i="19" s="1"/>
  <c r="L107" i="19" a="1"/>
  <c r="L107" i="19" s="1"/>
  <c r="M107" i="19" a="1"/>
  <c r="M107" i="19" s="1"/>
  <c r="N107" i="19" a="1"/>
  <c r="N107" i="19" s="1"/>
  <c r="O107" i="19" a="1"/>
  <c r="O107" i="19" s="1"/>
  <c r="P107" i="19" a="1"/>
  <c r="P107" i="19" s="1"/>
  <c r="Q107" i="19" a="1"/>
  <c r="Q107" i="19" s="1"/>
  <c r="R107" i="19" a="1"/>
  <c r="R107" i="19" s="1"/>
  <c r="U107" i="19" a="1"/>
  <c r="U107" i="19" s="1"/>
  <c r="V107" i="19" a="1"/>
  <c r="V107" i="19" s="1"/>
  <c r="W107" i="19" a="1"/>
  <c r="W107" i="19" s="1"/>
  <c r="X107" i="19" a="1"/>
  <c r="X107" i="19" s="1"/>
  <c r="K108" i="19" a="1"/>
  <c r="K108" i="19" s="1"/>
  <c r="L108" i="19" a="1"/>
  <c r="L108" i="19" s="1"/>
  <c r="M108" i="19" a="1"/>
  <c r="M108" i="19" s="1"/>
  <c r="N108" i="19" a="1"/>
  <c r="N108" i="19" s="1"/>
  <c r="O108" i="19" a="1"/>
  <c r="O108" i="19" s="1"/>
  <c r="P108" i="19" a="1"/>
  <c r="P108" i="19" s="1"/>
  <c r="Q108" i="19" a="1"/>
  <c r="Q108" i="19" s="1"/>
  <c r="R108" i="19" a="1"/>
  <c r="R108" i="19" s="1"/>
  <c r="U108" i="19" a="1"/>
  <c r="U108" i="19" s="1"/>
  <c r="V108" i="19" a="1"/>
  <c r="V108" i="19" s="1"/>
  <c r="W108" i="19" a="1"/>
  <c r="W108" i="19" s="1"/>
  <c r="X108" i="19" a="1"/>
  <c r="X108" i="19" s="1"/>
  <c r="K109" i="19" a="1"/>
  <c r="K109" i="19" s="1"/>
  <c r="L109" i="19" a="1"/>
  <c r="L109" i="19" s="1"/>
  <c r="M109" i="19" a="1"/>
  <c r="M109" i="19" s="1"/>
  <c r="N109" i="19" a="1"/>
  <c r="N109" i="19" s="1"/>
  <c r="O109" i="19" a="1"/>
  <c r="O109" i="19" s="1"/>
  <c r="P109" i="19" a="1"/>
  <c r="P109" i="19" s="1"/>
  <c r="Q109" i="19" a="1"/>
  <c r="Q109" i="19" s="1"/>
  <c r="R109" i="19" a="1"/>
  <c r="R109" i="19" s="1"/>
  <c r="U109" i="19" a="1"/>
  <c r="U109" i="19" s="1"/>
  <c r="V109" i="19" a="1"/>
  <c r="V109" i="19" s="1"/>
  <c r="W109" i="19" a="1"/>
  <c r="W109" i="19" s="1"/>
  <c r="X109" i="19" a="1"/>
  <c r="X109" i="19" s="1"/>
  <c r="K110" i="19" a="1"/>
  <c r="K110" i="19" s="1"/>
  <c r="L110" i="19" a="1"/>
  <c r="L110" i="19" s="1"/>
  <c r="M110" i="19" a="1"/>
  <c r="M110" i="19" s="1"/>
  <c r="N110" i="19" a="1"/>
  <c r="N110" i="19" s="1"/>
  <c r="O110" i="19" a="1"/>
  <c r="O110" i="19" s="1"/>
  <c r="P110" i="19" a="1"/>
  <c r="P110" i="19" s="1"/>
  <c r="Q110" i="19" a="1"/>
  <c r="Q110" i="19" s="1"/>
  <c r="R110" i="19" a="1"/>
  <c r="R110" i="19" s="1"/>
  <c r="U110" i="19" a="1"/>
  <c r="U110" i="19" s="1"/>
  <c r="V110" i="19" a="1"/>
  <c r="V110" i="19" s="1"/>
  <c r="W110" i="19" a="1"/>
  <c r="W110" i="19" s="1"/>
  <c r="X110" i="19" a="1"/>
  <c r="X110" i="19" s="1"/>
  <c r="K111" i="19" a="1"/>
  <c r="K111" i="19" s="1"/>
  <c r="L111" i="19" a="1"/>
  <c r="L111" i="19" s="1"/>
  <c r="M111" i="19" a="1"/>
  <c r="M111" i="19" s="1"/>
  <c r="N111" i="19" a="1"/>
  <c r="N111" i="19" s="1"/>
  <c r="O111" i="19" a="1"/>
  <c r="O111" i="19" s="1"/>
  <c r="P111" i="19" a="1"/>
  <c r="P111" i="19" s="1"/>
  <c r="Q111" i="19" a="1"/>
  <c r="Q111" i="19" s="1"/>
  <c r="R111" i="19" a="1"/>
  <c r="R111" i="19" s="1"/>
  <c r="U111" i="19" a="1"/>
  <c r="U111" i="19" s="1"/>
  <c r="V111" i="19" a="1"/>
  <c r="V111" i="19" s="1"/>
  <c r="W111" i="19" a="1"/>
  <c r="W111" i="19" s="1"/>
  <c r="X111" i="19" a="1"/>
  <c r="X111" i="19" s="1"/>
  <c r="K112" i="19" a="1"/>
  <c r="K112" i="19" s="1"/>
  <c r="L112" i="19" a="1"/>
  <c r="L112" i="19" s="1"/>
  <c r="M112" i="19" a="1"/>
  <c r="M112" i="19" s="1"/>
  <c r="N112" i="19" a="1"/>
  <c r="N112" i="19" s="1"/>
  <c r="O112" i="19" a="1"/>
  <c r="O112" i="19" s="1"/>
  <c r="P112" i="19" a="1"/>
  <c r="P112" i="19" s="1"/>
  <c r="Q112" i="19" a="1"/>
  <c r="Q112" i="19" s="1"/>
  <c r="R112" i="19" a="1"/>
  <c r="R112" i="19" s="1"/>
  <c r="U112" i="19" a="1"/>
  <c r="U112" i="19" s="1"/>
  <c r="V112" i="19" a="1"/>
  <c r="V112" i="19" s="1"/>
  <c r="W112" i="19" a="1"/>
  <c r="W112" i="19" s="1"/>
  <c r="X112" i="19" a="1"/>
  <c r="X112" i="19" s="1"/>
  <c r="K113" i="19" a="1"/>
  <c r="K113" i="19" s="1"/>
  <c r="L113" i="19" a="1"/>
  <c r="L113" i="19" s="1"/>
  <c r="M113" i="19" a="1"/>
  <c r="M113" i="19" s="1"/>
  <c r="N113" i="19" a="1"/>
  <c r="N113" i="19" s="1"/>
  <c r="O113" i="19" a="1"/>
  <c r="O113" i="19" s="1"/>
  <c r="P113" i="19" a="1"/>
  <c r="P113" i="19" s="1"/>
  <c r="Q113" i="19" a="1"/>
  <c r="Q113" i="19" s="1"/>
  <c r="R113" i="19" a="1"/>
  <c r="R113" i="19" s="1"/>
  <c r="U113" i="19" a="1"/>
  <c r="U113" i="19" s="1"/>
  <c r="V113" i="19" a="1"/>
  <c r="V113" i="19" s="1"/>
  <c r="W113" i="19" a="1"/>
  <c r="W113" i="19" s="1"/>
  <c r="X113" i="19" a="1"/>
  <c r="X113" i="19" s="1"/>
  <c r="K114" i="19" a="1"/>
  <c r="K114" i="19" s="1"/>
  <c r="L114" i="19" a="1"/>
  <c r="L114" i="19" s="1"/>
  <c r="M114" i="19" a="1"/>
  <c r="M114" i="19" s="1"/>
  <c r="N114" i="19" a="1"/>
  <c r="N114" i="19" s="1"/>
  <c r="O114" i="19" a="1"/>
  <c r="O114" i="19" s="1"/>
  <c r="P114" i="19" a="1"/>
  <c r="P114" i="19" s="1"/>
  <c r="Q114" i="19" a="1"/>
  <c r="Q114" i="19" s="1"/>
  <c r="R114" i="19" a="1"/>
  <c r="R114" i="19" s="1"/>
  <c r="U114" i="19" a="1"/>
  <c r="U114" i="19" s="1"/>
  <c r="V114" i="19" a="1"/>
  <c r="V114" i="19" s="1"/>
  <c r="W114" i="19" a="1"/>
  <c r="W114" i="19" s="1"/>
  <c r="X114" i="19" a="1"/>
  <c r="X114" i="19" s="1"/>
  <c r="K115" i="19" a="1"/>
  <c r="K115" i="19" s="1"/>
  <c r="L115" i="19" a="1"/>
  <c r="L115" i="19" s="1"/>
  <c r="M115" i="19" a="1"/>
  <c r="M115" i="19" s="1"/>
  <c r="N115" i="19" a="1"/>
  <c r="N115" i="19" s="1"/>
  <c r="O115" i="19" a="1"/>
  <c r="O115" i="19" s="1"/>
  <c r="P115" i="19" a="1"/>
  <c r="P115" i="19" s="1"/>
  <c r="Q115" i="19" a="1"/>
  <c r="Q115" i="19" s="1"/>
  <c r="R115" i="19" a="1"/>
  <c r="R115" i="19" s="1"/>
  <c r="U115" i="19" a="1"/>
  <c r="U115" i="19" s="1"/>
  <c r="V115" i="19" a="1"/>
  <c r="V115" i="19" s="1"/>
  <c r="W115" i="19" a="1"/>
  <c r="W115" i="19" s="1"/>
  <c r="X115" i="19" a="1"/>
  <c r="X115" i="19" s="1"/>
  <c r="K116" i="19" a="1"/>
  <c r="K116" i="19" s="1"/>
  <c r="L116" i="19" a="1"/>
  <c r="L116" i="19" s="1"/>
  <c r="M116" i="19" a="1"/>
  <c r="M116" i="19" s="1"/>
  <c r="N116" i="19" a="1"/>
  <c r="N116" i="19" s="1"/>
  <c r="O116" i="19" a="1"/>
  <c r="O116" i="19" s="1"/>
  <c r="P116" i="19" a="1"/>
  <c r="P116" i="19" s="1"/>
  <c r="Q116" i="19" a="1"/>
  <c r="Q116" i="19" s="1"/>
  <c r="R116" i="19" a="1"/>
  <c r="R116" i="19" s="1"/>
  <c r="U116" i="19" a="1"/>
  <c r="U116" i="19" s="1"/>
  <c r="V116" i="19" a="1"/>
  <c r="V116" i="19" s="1"/>
  <c r="W116" i="19" a="1"/>
  <c r="W116" i="19" s="1"/>
  <c r="X116" i="19" a="1"/>
  <c r="X116" i="19" s="1"/>
  <c r="K117" i="19" a="1"/>
  <c r="K117" i="19" s="1"/>
  <c r="L117" i="19" a="1"/>
  <c r="L117" i="19" s="1"/>
  <c r="M117" i="19" a="1"/>
  <c r="M117" i="19" s="1"/>
  <c r="N117" i="19" a="1"/>
  <c r="N117" i="19" s="1"/>
  <c r="O117" i="19" a="1"/>
  <c r="O117" i="19" s="1"/>
  <c r="P117" i="19" a="1"/>
  <c r="P117" i="19" s="1"/>
  <c r="Q117" i="19" a="1"/>
  <c r="Q117" i="19" s="1"/>
  <c r="R117" i="19" a="1"/>
  <c r="R117" i="19" s="1"/>
  <c r="U117" i="19" a="1"/>
  <c r="U117" i="19" s="1"/>
  <c r="V117" i="19" a="1"/>
  <c r="V117" i="19" s="1"/>
  <c r="W117" i="19" a="1"/>
  <c r="W117" i="19" s="1"/>
  <c r="X117" i="19" a="1"/>
  <c r="X117" i="19" s="1"/>
  <c r="K118" i="19" a="1"/>
  <c r="K118" i="19" s="1"/>
  <c r="L118" i="19" a="1"/>
  <c r="L118" i="19" s="1"/>
  <c r="M118" i="19" a="1"/>
  <c r="M118" i="19" s="1"/>
  <c r="N118" i="19" a="1"/>
  <c r="N118" i="19" s="1"/>
  <c r="O118" i="19" a="1"/>
  <c r="O118" i="19" s="1"/>
  <c r="P118" i="19" a="1"/>
  <c r="P118" i="19" s="1"/>
  <c r="Q118" i="19" a="1"/>
  <c r="Q118" i="19" s="1"/>
  <c r="R118" i="19" a="1"/>
  <c r="R118" i="19" s="1"/>
  <c r="U118" i="19" a="1"/>
  <c r="U118" i="19" s="1"/>
  <c r="V118" i="19" a="1"/>
  <c r="V118" i="19" s="1"/>
  <c r="W118" i="19" a="1"/>
  <c r="W118" i="19" s="1"/>
  <c r="X118" i="19" a="1"/>
  <c r="X118" i="19" s="1"/>
  <c r="K119" i="19" a="1"/>
  <c r="K119" i="19" s="1"/>
  <c r="L119" i="19" a="1"/>
  <c r="L119" i="19" s="1"/>
  <c r="M119" i="19" a="1"/>
  <c r="M119" i="19" s="1"/>
  <c r="N119" i="19" a="1"/>
  <c r="N119" i="19" s="1"/>
  <c r="O119" i="19" a="1"/>
  <c r="O119" i="19" s="1"/>
  <c r="P119" i="19" a="1"/>
  <c r="P119" i="19" s="1"/>
  <c r="Q119" i="19" a="1"/>
  <c r="Q119" i="19" s="1"/>
  <c r="R119" i="19" a="1"/>
  <c r="R119" i="19" s="1"/>
  <c r="U119" i="19" a="1"/>
  <c r="U119" i="19" s="1"/>
  <c r="V119" i="19" a="1"/>
  <c r="V119" i="19" s="1"/>
  <c r="W119" i="19" a="1"/>
  <c r="W119" i="19" s="1"/>
  <c r="X119" i="19" a="1"/>
  <c r="X119" i="19" s="1"/>
  <c r="K120" i="19" a="1"/>
  <c r="K120" i="19" s="1"/>
  <c r="L120" i="19" a="1"/>
  <c r="L120" i="19" s="1"/>
  <c r="M120" i="19" a="1"/>
  <c r="M120" i="19" s="1"/>
  <c r="N120" i="19" a="1"/>
  <c r="N120" i="19" s="1"/>
  <c r="O120" i="19" a="1"/>
  <c r="O120" i="19" s="1"/>
  <c r="P120" i="19" a="1"/>
  <c r="P120" i="19" s="1"/>
  <c r="Q120" i="19" a="1"/>
  <c r="Q120" i="19" s="1"/>
  <c r="R120" i="19" a="1"/>
  <c r="R120" i="19" s="1"/>
  <c r="U120" i="19" a="1"/>
  <c r="U120" i="19" s="1"/>
  <c r="V120" i="19" a="1"/>
  <c r="V120" i="19" s="1"/>
  <c r="W120" i="19" a="1"/>
  <c r="W120" i="19" s="1"/>
  <c r="X120" i="19" a="1"/>
  <c r="X120" i="19" s="1"/>
  <c r="K121" i="19" a="1"/>
  <c r="K121" i="19" s="1"/>
  <c r="L121" i="19" a="1"/>
  <c r="L121" i="19" s="1"/>
  <c r="M121" i="19" a="1"/>
  <c r="M121" i="19" s="1"/>
  <c r="N121" i="19" a="1"/>
  <c r="N121" i="19" s="1"/>
  <c r="O121" i="19" a="1"/>
  <c r="O121" i="19" s="1"/>
  <c r="P121" i="19" a="1"/>
  <c r="P121" i="19" s="1"/>
  <c r="Q121" i="19" a="1"/>
  <c r="Q121" i="19" s="1"/>
  <c r="R121" i="19" a="1"/>
  <c r="R121" i="19" s="1"/>
  <c r="U121" i="19" a="1"/>
  <c r="U121" i="19" s="1"/>
  <c r="V121" i="19" a="1"/>
  <c r="V121" i="19" s="1"/>
  <c r="W121" i="19" a="1"/>
  <c r="W121" i="19" s="1"/>
  <c r="X121" i="19" a="1"/>
  <c r="X121" i="19" s="1"/>
  <c r="K122" i="19" a="1"/>
  <c r="K122" i="19" s="1"/>
  <c r="L122" i="19" a="1"/>
  <c r="L122" i="19" s="1"/>
  <c r="M122" i="19" a="1"/>
  <c r="M122" i="19" s="1"/>
  <c r="N122" i="19" a="1"/>
  <c r="N122" i="19" s="1"/>
  <c r="O122" i="19" a="1"/>
  <c r="O122" i="19" s="1"/>
  <c r="P122" i="19" a="1"/>
  <c r="P122" i="19" s="1"/>
  <c r="Q122" i="19" a="1"/>
  <c r="Q122" i="19" s="1"/>
  <c r="R122" i="19" a="1"/>
  <c r="R122" i="19" s="1"/>
  <c r="U122" i="19" a="1"/>
  <c r="U122" i="19" s="1"/>
  <c r="V122" i="19" a="1"/>
  <c r="V122" i="19" s="1"/>
  <c r="W122" i="19" a="1"/>
  <c r="W122" i="19" s="1"/>
  <c r="X122" i="19" a="1"/>
  <c r="X122" i="19" s="1"/>
  <c r="K123" i="19" a="1"/>
  <c r="K123" i="19" s="1"/>
  <c r="L123" i="19" a="1"/>
  <c r="L123" i="19" s="1"/>
  <c r="M123" i="19" a="1"/>
  <c r="M123" i="19" s="1"/>
  <c r="N123" i="19" a="1"/>
  <c r="N123" i="19" s="1"/>
  <c r="O123" i="19" a="1"/>
  <c r="O123" i="19" s="1"/>
  <c r="P123" i="19" a="1"/>
  <c r="P123" i="19" s="1"/>
  <c r="Q123" i="19" a="1"/>
  <c r="Q123" i="19" s="1"/>
  <c r="R123" i="19" a="1"/>
  <c r="R123" i="19" s="1"/>
  <c r="U123" i="19" a="1"/>
  <c r="U123" i="19" s="1"/>
  <c r="V123" i="19" a="1"/>
  <c r="V123" i="19" s="1"/>
  <c r="W123" i="19" a="1"/>
  <c r="W123" i="19" s="1"/>
  <c r="X123" i="19" a="1"/>
  <c r="X123" i="19" s="1"/>
  <c r="K124" i="19" a="1"/>
  <c r="K124" i="19" s="1"/>
  <c r="L124" i="19" a="1"/>
  <c r="L124" i="19" s="1"/>
  <c r="M124" i="19" a="1"/>
  <c r="M124" i="19" s="1"/>
  <c r="N124" i="19" a="1"/>
  <c r="N124" i="19" s="1"/>
  <c r="O124" i="19" a="1"/>
  <c r="O124" i="19" s="1"/>
  <c r="P124" i="19" a="1"/>
  <c r="P124" i="19" s="1"/>
  <c r="Q124" i="19" a="1"/>
  <c r="Q124" i="19" s="1"/>
  <c r="R124" i="19" a="1"/>
  <c r="R124" i="19" s="1"/>
  <c r="U124" i="19" a="1"/>
  <c r="U124" i="19" s="1"/>
  <c r="V124" i="19" a="1"/>
  <c r="V124" i="19" s="1"/>
  <c r="W124" i="19" a="1"/>
  <c r="W124" i="19" s="1"/>
  <c r="X124" i="19" a="1"/>
  <c r="X124" i="19" s="1"/>
  <c r="K125" i="19" a="1"/>
  <c r="K125" i="19" s="1"/>
  <c r="L125" i="19" a="1"/>
  <c r="L125" i="19" s="1"/>
  <c r="M125" i="19" a="1"/>
  <c r="M125" i="19" s="1"/>
  <c r="N125" i="19" a="1"/>
  <c r="N125" i="19" s="1"/>
  <c r="O125" i="19" a="1"/>
  <c r="O125" i="19" s="1"/>
  <c r="P125" i="19" a="1"/>
  <c r="P125" i="19" s="1"/>
  <c r="Q125" i="19" a="1"/>
  <c r="Q125" i="19" s="1"/>
  <c r="R125" i="19" a="1"/>
  <c r="R125" i="19" s="1"/>
  <c r="U125" i="19" a="1"/>
  <c r="U125" i="19" s="1"/>
  <c r="V125" i="19" a="1"/>
  <c r="V125" i="19" s="1"/>
  <c r="W125" i="19" a="1"/>
  <c r="W125" i="19" s="1"/>
  <c r="X125" i="19" a="1"/>
  <c r="X125" i="19" s="1"/>
  <c r="K126" i="19" a="1"/>
  <c r="K126" i="19" s="1"/>
  <c r="L126" i="19" a="1"/>
  <c r="L126" i="19" s="1"/>
  <c r="M126" i="19" a="1"/>
  <c r="M126" i="19" s="1"/>
  <c r="N126" i="19" a="1"/>
  <c r="N126" i="19" s="1"/>
  <c r="O126" i="19" a="1"/>
  <c r="O126" i="19" s="1"/>
  <c r="P126" i="19" a="1"/>
  <c r="P126" i="19" s="1"/>
  <c r="Q126" i="19" a="1"/>
  <c r="Q126" i="19" s="1"/>
  <c r="R126" i="19" a="1"/>
  <c r="R126" i="19" s="1"/>
  <c r="U126" i="19" a="1"/>
  <c r="U126" i="19" s="1"/>
  <c r="V126" i="19" a="1"/>
  <c r="V126" i="19" s="1"/>
  <c r="W126" i="19" a="1"/>
  <c r="W126" i="19" s="1"/>
  <c r="X126" i="19" a="1"/>
  <c r="X126" i="19" s="1"/>
  <c r="K127" i="19" a="1"/>
  <c r="K127" i="19" s="1"/>
  <c r="L127" i="19" a="1"/>
  <c r="L127" i="19" s="1"/>
  <c r="M127" i="19" a="1"/>
  <c r="M127" i="19" s="1"/>
  <c r="N127" i="19" a="1"/>
  <c r="N127" i="19" s="1"/>
  <c r="O127" i="19" a="1"/>
  <c r="O127" i="19" s="1"/>
  <c r="P127" i="19" a="1"/>
  <c r="P127" i="19" s="1"/>
  <c r="Q127" i="19" a="1"/>
  <c r="Q127" i="19" s="1"/>
  <c r="R127" i="19" a="1"/>
  <c r="R127" i="19" s="1"/>
  <c r="U127" i="19" a="1"/>
  <c r="U127" i="19" s="1"/>
  <c r="V127" i="19" a="1"/>
  <c r="V127" i="19" s="1"/>
  <c r="W127" i="19" a="1"/>
  <c r="W127" i="19" s="1"/>
  <c r="X127" i="19" a="1"/>
  <c r="X127" i="19" s="1"/>
  <c r="K128" i="19" a="1"/>
  <c r="K128" i="19" s="1"/>
  <c r="L128" i="19" a="1"/>
  <c r="L128" i="19" s="1"/>
  <c r="M128" i="19" a="1"/>
  <c r="M128" i="19" s="1"/>
  <c r="N128" i="19" a="1"/>
  <c r="N128" i="19" s="1"/>
  <c r="O128" i="19" a="1"/>
  <c r="O128" i="19" s="1"/>
  <c r="P128" i="19" a="1"/>
  <c r="P128" i="19" s="1"/>
  <c r="Q128" i="19" a="1"/>
  <c r="Q128" i="19" s="1"/>
  <c r="R128" i="19" a="1"/>
  <c r="R128" i="19" s="1"/>
  <c r="U128" i="19" a="1"/>
  <c r="U128" i="19" s="1"/>
  <c r="V128" i="19" a="1"/>
  <c r="V128" i="19" s="1"/>
  <c r="W128" i="19" a="1"/>
  <c r="W128" i="19" s="1"/>
  <c r="X128" i="19" a="1"/>
  <c r="X128" i="19" s="1"/>
  <c r="K129" i="19" a="1"/>
  <c r="K129" i="19" s="1"/>
  <c r="L129" i="19" a="1"/>
  <c r="L129" i="19" s="1"/>
  <c r="M129" i="19" a="1"/>
  <c r="M129" i="19" s="1"/>
  <c r="N129" i="19" a="1"/>
  <c r="N129" i="19" s="1"/>
  <c r="O129" i="19" a="1"/>
  <c r="O129" i="19" s="1"/>
  <c r="P129" i="19" a="1"/>
  <c r="P129" i="19" s="1"/>
  <c r="Q129" i="19" a="1"/>
  <c r="Q129" i="19" s="1"/>
  <c r="R129" i="19" a="1"/>
  <c r="R129" i="19" s="1"/>
  <c r="U129" i="19" a="1"/>
  <c r="U129" i="19" s="1"/>
  <c r="V129" i="19" a="1"/>
  <c r="V129" i="19" s="1"/>
  <c r="W129" i="19" a="1"/>
  <c r="W129" i="19" s="1"/>
  <c r="X129" i="19" a="1"/>
  <c r="X129" i="19" s="1"/>
  <c r="K130" i="19" a="1"/>
  <c r="K130" i="19" s="1"/>
  <c r="L130" i="19" a="1"/>
  <c r="L130" i="19" s="1"/>
  <c r="M130" i="19" a="1"/>
  <c r="M130" i="19" s="1"/>
  <c r="N130" i="19" a="1"/>
  <c r="N130" i="19" s="1"/>
  <c r="O130" i="19" a="1"/>
  <c r="O130" i="19" s="1"/>
  <c r="P130" i="19" a="1"/>
  <c r="P130" i="19" s="1"/>
  <c r="Q130" i="19" a="1"/>
  <c r="Q130" i="19" s="1"/>
  <c r="R130" i="19" a="1"/>
  <c r="R130" i="19" s="1"/>
  <c r="U130" i="19" a="1"/>
  <c r="U130" i="19" s="1"/>
  <c r="V130" i="19" a="1"/>
  <c r="V130" i="19" s="1"/>
  <c r="W130" i="19" a="1"/>
  <c r="W130" i="19" s="1"/>
  <c r="X130" i="19" a="1"/>
  <c r="X130" i="19" s="1"/>
  <c r="K131" i="19" a="1"/>
  <c r="K131" i="19" s="1"/>
  <c r="L131" i="19" a="1"/>
  <c r="L131" i="19" s="1"/>
  <c r="M131" i="19" a="1"/>
  <c r="M131" i="19" s="1"/>
  <c r="N131" i="19" a="1"/>
  <c r="N131" i="19" s="1"/>
  <c r="O131" i="19" a="1"/>
  <c r="O131" i="19" s="1"/>
  <c r="P131" i="19" a="1"/>
  <c r="P131" i="19" s="1"/>
  <c r="Q131" i="19" a="1"/>
  <c r="Q131" i="19" s="1"/>
  <c r="R131" i="19" a="1"/>
  <c r="R131" i="19" s="1"/>
  <c r="U131" i="19" a="1"/>
  <c r="U131" i="19" s="1"/>
  <c r="V131" i="19" a="1"/>
  <c r="V131" i="19" s="1"/>
  <c r="W131" i="19" a="1"/>
  <c r="W131" i="19" s="1"/>
  <c r="X131" i="19" a="1"/>
  <c r="X131" i="19" s="1"/>
  <c r="K132" i="19" a="1"/>
  <c r="K132" i="19" s="1"/>
  <c r="L132" i="19" a="1"/>
  <c r="L132" i="19" s="1"/>
  <c r="M132" i="19" a="1"/>
  <c r="M132" i="19" s="1"/>
  <c r="N132" i="19" a="1"/>
  <c r="N132" i="19" s="1"/>
  <c r="O132" i="19" a="1"/>
  <c r="O132" i="19" s="1"/>
  <c r="P132" i="19" a="1"/>
  <c r="P132" i="19" s="1"/>
  <c r="Q132" i="19" a="1"/>
  <c r="Q132" i="19" s="1"/>
  <c r="R132" i="19" a="1"/>
  <c r="R132" i="19" s="1"/>
  <c r="U132" i="19" a="1"/>
  <c r="U132" i="19" s="1"/>
  <c r="V132" i="19" a="1"/>
  <c r="V132" i="19" s="1"/>
  <c r="W132" i="19" a="1"/>
  <c r="W132" i="19" s="1"/>
  <c r="X132" i="19" a="1"/>
  <c r="X132" i="19" s="1"/>
  <c r="K133" i="19" a="1"/>
  <c r="K133" i="19" s="1"/>
  <c r="L133" i="19" a="1"/>
  <c r="L133" i="19" s="1"/>
  <c r="M133" i="19" a="1"/>
  <c r="M133" i="19" s="1"/>
  <c r="N133" i="19" a="1"/>
  <c r="N133" i="19" s="1"/>
  <c r="O133" i="19" a="1"/>
  <c r="O133" i="19" s="1"/>
  <c r="P133" i="19" a="1"/>
  <c r="P133" i="19" s="1"/>
  <c r="Q133" i="19" a="1"/>
  <c r="Q133" i="19" s="1"/>
  <c r="R133" i="19" a="1"/>
  <c r="R133" i="19" s="1"/>
  <c r="U133" i="19" a="1"/>
  <c r="U133" i="19" s="1"/>
  <c r="V133" i="19" a="1"/>
  <c r="V133" i="19" s="1"/>
  <c r="W133" i="19" a="1"/>
  <c r="W133" i="19" s="1"/>
  <c r="X133" i="19" a="1"/>
  <c r="X133" i="19" s="1"/>
  <c r="K134" i="19" a="1"/>
  <c r="K134" i="19" s="1"/>
  <c r="L134" i="19" a="1"/>
  <c r="L134" i="19" s="1"/>
  <c r="M134" i="19" a="1"/>
  <c r="M134" i="19" s="1"/>
  <c r="N134" i="19" a="1"/>
  <c r="N134" i="19" s="1"/>
  <c r="O134" i="19" a="1"/>
  <c r="O134" i="19" s="1"/>
  <c r="P134" i="19" a="1"/>
  <c r="P134" i="19" s="1"/>
  <c r="Q134" i="19" a="1"/>
  <c r="Q134" i="19" s="1"/>
  <c r="R134" i="19" a="1"/>
  <c r="R134" i="19" s="1"/>
  <c r="U134" i="19" a="1"/>
  <c r="U134" i="19" s="1"/>
  <c r="V134" i="19" a="1"/>
  <c r="V134" i="19" s="1"/>
  <c r="W134" i="19" a="1"/>
  <c r="W134" i="19" s="1"/>
  <c r="X134" i="19" a="1"/>
  <c r="X134" i="19" s="1"/>
  <c r="K135" i="19" a="1"/>
  <c r="K135" i="19" s="1"/>
  <c r="L135" i="19" a="1"/>
  <c r="L135" i="19" s="1"/>
  <c r="M135" i="19" a="1"/>
  <c r="M135" i="19" s="1"/>
  <c r="N135" i="19" a="1"/>
  <c r="N135" i="19" s="1"/>
  <c r="O135" i="19" a="1"/>
  <c r="O135" i="19" s="1"/>
  <c r="P135" i="19" a="1"/>
  <c r="P135" i="19" s="1"/>
  <c r="Q135" i="19" a="1"/>
  <c r="Q135" i="19" s="1"/>
  <c r="R135" i="19" a="1"/>
  <c r="R135" i="19" s="1"/>
  <c r="U135" i="19" a="1"/>
  <c r="U135" i="19" s="1"/>
  <c r="V135" i="19" a="1"/>
  <c r="V135" i="19" s="1"/>
  <c r="W135" i="19" a="1"/>
  <c r="W135" i="19" s="1"/>
  <c r="X135" i="19" a="1"/>
  <c r="X135" i="19" s="1"/>
  <c r="K136" i="19" a="1"/>
  <c r="K136" i="19" s="1"/>
  <c r="L136" i="19" a="1"/>
  <c r="L136" i="19" s="1"/>
  <c r="M136" i="19" a="1"/>
  <c r="M136" i="19" s="1"/>
  <c r="N136" i="19" a="1"/>
  <c r="N136" i="19" s="1"/>
  <c r="O136" i="19" a="1"/>
  <c r="O136" i="19" s="1"/>
  <c r="P136" i="19" a="1"/>
  <c r="P136" i="19" s="1"/>
  <c r="Q136" i="19" a="1"/>
  <c r="Q136" i="19" s="1"/>
  <c r="R136" i="19" a="1"/>
  <c r="R136" i="19" s="1"/>
  <c r="U136" i="19" a="1"/>
  <c r="U136" i="19" s="1"/>
  <c r="V136" i="19" a="1"/>
  <c r="V136" i="19" s="1"/>
  <c r="W136" i="19" a="1"/>
  <c r="W136" i="19" s="1"/>
  <c r="X136" i="19" a="1"/>
  <c r="X136" i="19" s="1"/>
  <c r="K137" i="19" a="1"/>
  <c r="K137" i="19" s="1"/>
  <c r="L137" i="19" a="1"/>
  <c r="L137" i="19" s="1"/>
  <c r="M137" i="19" a="1"/>
  <c r="M137" i="19" s="1"/>
  <c r="N137" i="19" a="1"/>
  <c r="N137" i="19" s="1"/>
  <c r="O137" i="19" a="1"/>
  <c r="O137" i="19" s="1"/>
  <c r="P137" i="19" a="1"/>
  <c r="P137" i="19" s="1"/>
  <c r="Q137" i="19" a="1"/>
  <c r="Q137" i="19" s="1"/>
  <c r="R137" i="19" a="1"/>
  <c r="R137" i="19" s="1"/>
  <c r="U137" i="19" a="1"/>
  <c r="U137" i="19" s="1"/>
  <c r="V137" i="19" a="1"/>
  <c r="V137" i="19" s="1"/>
  <c r="W137" i="19" a="1"/>
  <c r="W137" i="19" s="1"/>
  <c r="X137" i="19" a="1"/>
  <c r="X137" i="19" s="1"/>
  <c r="K138" i="19" a="1"/>
  <c r="K138" i="19" s="1"/>
  <c r="L138" i="19" a="1"/>
  <c r="L138" i="19" s="1"/>
  <c r="M138" i="19" a="1"/>
  <c r="M138" i="19" s="1"/>
  <c r="N138" i="19" a="1"/>
  <c r="N138" i="19" s="1"/>
  <c r="O138" i="19" a="1"/>
  <c r="O138" i="19" s="1"/>
  <c r="P138" i="19" a="1"/>
  <c r="P138" i="19" s="1"/>
  <c r="Q138" i="19" a="1"/>
  <c r="Q138" i="19" s="1"/>
  <c r="R138" i="19" a="1"/>
  <c r="R138" i="19" s="1"/>
  <c r="U138" i="19" a="1"/>
  <c r="U138" i="19" s="1"/>
  <c r="V138" i="19" a="1"/>
  <c r="V138" i="19" s="1"/>
  <c r="W138" i="19" a="1"/>
  <c r="W138" i="19" s="1"/>
  <c r="X138" i="19" a="1"/>
  <c r="X138" i="19" s="1"/>
  <c r="K139" i="19" a="1"/>
  <c r="K139" i="19" s="1"/>
  <c r="L139" i="19" a="1"/>
  <c r="L139" i="19" s="1"/>
  <c r="M139" i="19" a="1"/>
  <c r="M139" i="19" s="1"/>
  <c r="N139" i="19" a="1"/>
  <c r="N139" i="19" s="1"/>
  <c r="O139" i="19" a="1"/>
  <c r="O139" i="19" s="1"/>
  <c r="P139" i="19" a="1"/>
  <c r="P139" i="19" s="1"/>
  <c r="Q139" i="19" a="1"/>
  <c r="Q139" i="19" s="1"/>
  <c r="R139" i="19" a="1"/>
  <c r="R139" i="19" s="1"/>
  <c r="U139" i="19" a="1"/>
  <c r="U139" i="19" s="1"/>
  <c r="V139" i="19" a="1"/>
  <c r="V139" i="19" s="1"/>
  <c r="W139" i="19" a="1"/>
  <c r="W139" i="19" s="1"/>
  <c r="X139" i="19" a="1"/>
  <c r="X139" i="19" s="1"/>
  <c r="K140" i="19" a="1"/>
  <c r="K140" i="19" s="1"/>
  <c r="L140" i="19" a="1"/>
  <c r="L140" i="19" s="1"/>
  <c r="M140" i="19" a="1"/>
  <c r="M140" i="19" s="1"/>
  <c r="N140" i="19" a="1"/>
  <c r="N140" i="19" s="1"/>
  <c r="O140" i="19" a="1"/>
  <c r="O140" i="19" s="1"/>
  <c r="P140" i="19" a="1"/>
  <c r="P140" i="19" s="1"/>
  <c r="Q140" i="19" a="1"/>
  <c r="Q140" i="19" s="1"/>
  <c r="R140" i="19" a="1"/>
  <c r="R140" i="19" s="1"/>
  <c r="U140" i="19" a="1"/>
  <c r="U140" i="19" s="1"/>
  <c r="V140" i="19" a="1"/>
  <c r="V140" i="19" s="1"/>
  <c r="W140" i="19" a="1"/>
  <c r="W140" i="19" s="1"/>
  <c r="X140" i="19" a="1"/>
  <c r="X140" i="19" s="1"/>
  <c r="K141" i="19" a="1"/>
  <c r="K141" i="19" s="1"/>
  <c r="L141" i="19" a="1"/>
  <c r="L141" i="19" s="1"/>
  <c r="M141" i="19" a="1"/>
  <c r="M141" i="19" s="1"/>
  <c r="N141" i="19" a="1"/>
  <c r="N141" i="19" s="1"/>
  <c r="O141" i="19" a="1"/>
  <c r="O141" i="19" s="1"/>
  <c r="P141" i="19" a="1"/>
  <c r="P141" i="19" s="1"/>
  <c r="Q141" i="19" a="1"/>
  <c r="Q141" i="19" s="1"/>
  <c r="R141" i="19" a="1"/>
  <c r="R141" i="19" s="1"/>
  <c r="U141" i="19" a="1"/>
  <c r="U141" i="19" s="1"/>
  <c r="V141" i="19" a="1"/>
  <c r="V141" i="19" s="1"/>
  <c r="W141" i="19" a="1"/>
  <c r="W141" i="19" s="1"/>
  <c r="X141" i="19" a="1"/>
  <c r="X141" i="19" s="1"/>
  <c r="K142" i="19" a="1"/>
  <c r="K142" i="19" s="1"/>
  <c r="L142" i="19" a="1"/>
  <c r="L142" i="19" s="1"/>
  <c r="M142" i="19" a="1"/>
  <c r="M142" i="19" s="1"/>
  <c r="N142" i="19" a="1"/>
  <c r="N142" i="19" s="1"/>
  <c r="O142" i="19" a="1"/>
  <c r="O142" i="19" s="1"/>
  <c r="P142" i="19" a="1"/>
  <c r="P142" i="19" s="1"/>
  <c r="Q142" i="19" a="1"/>
  <c r="Q142" i="19" s="1"/>
  <c r="R142" i="19" a="1"/>
  <c r="R142" i="19" s="1"/>
  <c r="U142" i="19" a="1"/>
  <c r="U142" i="19" s="1"/>
  <c r="V142" i="19" a="1"/>
  <c r="V142" i="19" s="1"/>
  <c r="W142" i="19" a="1"/>
  <c r="W142" i="19" s="1"/>
  <c r="X142" i="19" a="1"/>
  <c r="X142" i="19" s="1"/>
  <c r="K143" i="19" a="1"/>
  <c r="K143" i="19" s="1"/>
  <c r="L143" i="19" a="1"/>
  <c r="L143" i="19" s="1"/>
  <c r="M143" i="19" a="1"/>
  <c r="M143" i="19" s="1"/>
  <c r="N143" i="19" a="1"/>
  <c r="N143" i="19" s="1"/>
  <c r="O143" i="19" a="1"/>
  <c r="O143" i="19" s="1"/>
  <c r="P143" i="19" a="1"/>
  <c r="P143" i="19" s="1"/>
  <c r="Q143" i="19" a="1"/>
  <c r="Q143" i="19" s="1"/>
  <c r="R143" i="19" a="1"/>
  <c r="R143" i="19" s="1"/>
  <c r="U143" i="19" a="1"/>
  <c r="U143" i="19" s="1"/>
  <c r="V143" i="19" a="1"/>
  <c r="V143" i="19" s="1"/>
  <c r="W143" i="19" a="1"/>
  <c r="W143" i="19" s="1"/>
  <c r="X143" i="19" a="1"/>
  <c r="X143" i="19" s="1"/>
  <c r="K144" i="19" a="1"/>
  <c r="K144" i="19" s="1"/>
  <c r="L144" i="19" a="1"/>
  <c r="L144" i="19" s="1"/>
  <c r="M144" i="19" a="1"/>
  <c r="M144" i="19" s="1"/>
  <c r="N144" i="19" a="1"/>
  <c r="N144" i="19" s="1"/>
  <c r="O144" i="19" a="1"/>
  <c r="O144" i="19" s="1"/>
  <c r="P144" i="19" a="1"/>
  <c r="P144" i="19" s="1"/>
  <c r="Q144" i="19" a="1"/>
  <c r="Q144" i="19" s="1"/>
  <c r="R144" i="19" a="1"/>
  <c r="R144" i="19" s="1"/>
  <c r="U144" i="19" a="1"/>
  <c r="U144" i="19" s="1"/>
  <c r="V144" i="19" a="1"/>
  <c r="V144" i="19" s="1"/>
  <c r="W144" i="19" a="1"/>
  <c r="W144" i="19" s="1"/>
  <c r="X144" i="19" a="1"/>
  <c r="X144" i="19" s="1"/>
  <c r="K145" i="19" a="1"/>
  <c r="K145" i="19" s="1"/>
  <c r="L145" i="19" a="1"/>
  <c r="L145" i="19" s="1"/>
  <c r="M145" i="19" a="1"/>
  <c r="M145" i="19" s="1"/>
  <c r="N145" i="19" a="1"/>
  <c r="N145" i="19" s="1"/>
  <c r="O145" i="19" a="1"/>
  <c r="O145" i="19" s="1"/>
  <c r="P145" i="19" a="1"/>
  <c r="P145" i="19" s="1"/>
  <c r="Q145" i="19" a="1"/>
  <c r="Q145" i="19" s="1"/>
  <c r="R145" i="19" a="1"/>
  <c r="R145" i="19" s="1"/>
  <c r="U145" i="19" a="1"/>
  <c r="U145" i="19" s="1"/>
  <c r="V145" i="19" a="1"/>
  <c r="V145" i="19" s="1"/>
  <c r="W145" i="19" a="1"/>
  <c r="W145" i="19" s="1"/>
  <c r="X145" i="19" a="1"/>
  <c r="X145" i="19" s="1"/>
  <c r="K146" i="19" a="1"/>
  <c r="K146" i="19" s="1"/>
  <c r="L146" i="19" a="1"/>
  <c r="L146" i="19" s="1"/>
  <c r="M146" i="19" a="1"/>
  <c r="M146" i="19" s="1"/>
  <c r="N146" i="19" a="1"/>
  <c r="N146" i="19" s="1"/>
  <c r="O146" i="19" a="1"/>
  <c r="O146" i="19" s="1"/>
  <c r="P146" i="19" a="1"/>
  <c r="P146" i="19" s="1"/>
  <c r="Q146" i="19" a="1"/>
  <c r="Q146" i="19" s="1"/>
  <c r="R146" i="19" a="1"/>
  <c r="R146" i="19" s="1"/>
  <c r="U146" i="19" a="1"/>
  <c r="U146" i="19" s="1"/>
  <c r="V146" i="19" a="1"/>
  <c r="V146" i="19" s="1"/>
  <c r="W146" i="19" a="1"/>
  <c r="W146" i="19" s="1"/>
  <c r="X146" i="19" a="1"/>
  <c r="X146" i="19" s="1"/>
  <c r="K147" i="19" a="1"/>
  <c r="K147" i="19" s="1"/>
  <c r="L147" i="19" a="1"/>
  <c r="L147" i="19" s="1"/>
  <c r="M147" i="19" a="1"/>
  <c r="M147" i="19" s="1"/>
  <c r="N147" i="19" a="1"/>
  <c r="N147" i="19" s="1"/>
  <c r="O147" i="19" a="1"/>
  <c r="O147" i="19" s="1"/>
  <c r="P147" i="19" a="1"/>
  <c r="P147" i="19" s="1"/>
  <c r="Q147" i="19" a="1"/>
  <c r="Q147" i="19" s="1"/>
  <c r="R147" i="19" a="1"/>
  <c r="R147" i="19" s="1"/>
  <c r="U147" i="19" a="1"/>
  <c r="U147" i="19" s="1"/>
  <c r="V147" i="19" a="1"/>
  <c r="V147" i="19" s="1"/>
  <c r="W147" i="19" a="1"/>
  <c r="W147" i="19" s="1"/>
  <c r="X147" i="19" a="1"/>
  <c r="X147" i="19" s="1"/>
  <c r="K148" i="19" a="1"/>
  <c r="K148" i="19" s="1"/>
  <c r="L148" i="19" a="1"/>
  <c r="L148" i="19" s="1"/>
  <c r="M148" i="19" a="1"/>
  <c r="M148" i="19" s="1"/>
  <c r="N148" i="19" a="1"/>
  <c r="N148" i="19" s="1"/>
  <c r="O148" i="19" a="1"/>
  <c r="O148" i="19" s="1"/>
  <c r="P148" i="19" a="1"/>
  <c r="P148" i="19" s="1"/>
  <c r="Q148" i="19" a="1"/>
  <c r="Q148" i="19" s="1"/>
  <c r="R148" i="19" a="1"/>
  <c r="R148" i="19" s="1"/>
  <c r="U148" i="19" a="1"/>
  <c r="U148" i="19" s="1"/>
  <c r="V148" i="19" a="1"/>
  <c r="V148" i="19" s="1"/>
  <c r="W148" i="19" a="1"/>
  <c r="W148" i="19" s="1"/>
  <c r="X148" i="19" a="1"/>
  <c r="X148" i="19" s="1"/>
  <c r="K149" i="19" a="1"/>
  <c r="K149" i="19" s="1"/>
  <c r="L149" i="19" a="1"/>
  <c r="L149" i="19" s="1"/>
  <c r="M149" i="19" a="1"/>
  <c r="M149" i="19" s="1"/>
  <c r="N149" i="19" a="1"/>
  <c r="N149" i="19" s="1"/>
  <c r="O149" i="19" a="1"/>
  <c r="O149" i="19" s="1"/>
  <c r="P149" i="19" a="1"/>
  <c r="P149" i="19" s="1"/>
  <c r="Q149" i="19" a="1"/>
  <c r="Q149" i="19" s="1"/>
  <c r="R149" i="19" a="1"/>
  <c r="R149" i="19" s="1"/>
  <c r="U149" i="19" a="1"/>
  <c r="U149" i="19" s="1"/>
  <c r="V149" i="19" a="1"/>
  <c r="V149" i="19" s="1"/>
  <c r="W149" i="19" a="1"/>
  <c r="W149" i="19" s="1"/>
  <c r="X149" i="19" a="1"/>
  <c r="X149" i="19" s="1"/>
  <c r="K150" i="19" a="1"/>
  <c r="K150" i="19" s="1"/>
  <c r="L150" i="19" a="1"/>
  <c r="L150" i="19" s="1"/>
  <c r="M150" i="19" a="1"/>
  <c r="M150" i="19" s="1"/>
  <c r="N150" i="19" a="1"/>
  <c r="N150" i="19" s="1"/>
  <c r="O150" i="19" a="1"/>
  <c r="O150" i="19" s="1"/>
  <c r="P150" i="19" a="1"/>
  <c r="P150" i="19" s="1"/>
  <c r="Q150" i="19" a="1"/>
  <c r="Q150" i="19" s="1"/>
  <c r="R150" i="19" a="1"/>
  <c r="R150" i="19" s="1"/>
  <c r="U150" i="19" a="1"/>
  <c r="U150" i="19" s="1"/>
  <c r="V150" i="19" a="1"/>
  <c r="V150" i="19" s="1"/>
  <c r="W150" i="19" a="1"/>
  <c r="W150" i="19" s="1"/>
  <c r="X150" i="19" a="1"/>
  <c r="X150" i="19" s="1"/>
  <c r="K151" i="19" a="1"/>
  <c r="K151" i="19" s="1"/>
  <c r="L151" i="19" a="1"/>
  <c r="L151" i="19" s="1"/>
  <c r="M151" i="19" a="1"/>
  <c r="M151" i="19" s="1"/>
  <c r="N151" i="19" a="1"/>
  <c r="N151" i="19" s="1"/>
  <c r="O151" i="19" a="1"/>
  <c r="O151" i="19" s="1"/>
  <c r="P151" i="19" a="1"/>
  <c r="P151" i="19" s="1"/>
  <c r="Q151" i="19" a="1"/>
  <c r="Q151" i="19" s="1"/>
  <c r="R151" i="19" a="1"/>
  <c r="R151" i="19" s="1"/>
  <c r="U151" i="19" a="1"/>
  <c r="U151" i="19" s="1"/>
  <c r="V151" i="19" a="1"/>
  <c r="V151" i="19" s="1"/>
  <c r="W151" i="19" a="1"/>
  <c r="W151" i="19" s="1"/>
  <c r="X151" i="19" a="1"/>
  <c r="X151" i="19" s="1"/>
  <c r="K152" i="19" a="1"/>
  <c r="K152" i="19" s="1"/>
  <c r="L152" i="19" a="1"/>
  <c r="L152" i="19" s="1"/>
  <c r="M152" i="19" a="1"/>
  <c r="M152" i="19" s="1"/>
  <c r="N152" i="19" a="1"/>
  <c r="N152" i="19" s="1"/>
  <c r="O152" i="19" a="1"/>
  <c r="O152" i="19" s="1"/>
  <c r="P152" i="19" a="1"/>
  <c r="P152" i="19" s="1"/>
  <c r="Q152" i="19" a="1"/>
  <c r="Q152" i="19" s="1"/>
  <c r="R152" i="19" a="1"/>
  <c r="R152" i="19" s="1"/>
  <c r="U152" i="19" a="1"/>
  <c r="U152" i="19" s="1"/>
  <c r="V152" i="19" a="1"/>
  <c r="V152" i="19" s="1"/>
  <c r="W152" i="19" a="1"/>
  <c r="W152" i="19" s="1"/>
  <c r="X152" i="19" a="1"/>
  <c r="X152" i="19" s="1"/>
  <c r="K153" i="19" a="1"/>
  <c r="K153" i="19" s="1"/>
  <c r="L153" i="19" a="1"/>
  <c r="L153" i="19" s="1"/>
  <c r="M153" i="19" a="1"/>
  <c r="M153" i="19" s="1"/>
  <c r="N153" i="19" a="1"/>
  <c r="N153" i="19" s="1"/>
  <c r="O153" i="19" a="1"/>
  <c r="O153" i="19" s="1"/>
  <c r="P153" i="19" a="1"/>
  <c r="P153" i="19" s="1"/>
  <c r="Q153" i="19" a="1"/>
  <c r="Q153" i="19" s="1"/>
  <c r="R153" i="19" a="1"/>
  <c r="R153" i="19" s="1"/>
  <c r="U153" i="19" a="1"/>
  <c r="U153" i="19" s="1"/>
  <c r="V153" i="19" a="1"/>
  <c r="V153" i="19" s="1"/>
  <c r="W153" i="19" a="1"/>
  <c r="W153" i="19" s="1"/>
  <c r="X153" i="19" a="1"/>
  <c r="X153" i="19" s="1"/>
  <c r="K154" i="19" a="1"/>
  <c r="K154" i="19" s="1"/>
  <c r="L154" i="19" a="1"/>
  <c r="L154" i="19" s="1"/>
  <c r="M154" i="19" a="1"/>
  <c r="M154" i="19" s="1"/>
  <c r="N154" i="19" a="1"/>
  <c r="N154" i="19" s="1"/>
  <c r="O154" i="19" a="1"/>
  <c r="O154" i="19" s="1"/>
  <c r="P154" i="19" a="1"/>
  <c r="P154" i="19" s="1"/>
  <c r="Q154" i="19" a="1"/>
  <c r="Q154" i="19" s="1"/>
  <c r="R154" i="19" a="1"/>
  <c r="R154" i="19" s="1"/>
  <c r="U154" i="19" a="1"/>
  <c r="U154" i="19" s="1"/>
  <c r="V154" i="19" a="1"/>
  <c r="V154" i="19" s="1"/>
  <c r="W154" i="19" a="1"/>
  <c r="W154" i="19" s="1"/>
  <c r="X154" i="19" a="1"/>
  <c r="X154" i="19" s="1"/>
  <c r="K155" i="19" a="1"/>
  <c r="K155" i="19" s="1"/>
  <c r="L155" i="19" a="1"/>
  <c r="L155" i="19" s="1"/>
  <c r="M155" i="19" a="1"/>
  <c r="M155" i="19" s="1"/>
  <c r="N155" i="19" a="1"/>
  <c r="N155" i="19" s="1"/>
  <c r="O155" i="19" a="1"/>
  <c r="O155" i="19" s="1"/>
  <c r="P155" i="19" a="1"/>
  <c r="P155" i="19" s="1"/>
  <c r="Q155" i="19" a="1"/>
  <c r="Q155" i="19" s="1"/>
  <c r="R155" i="19" a="1"/>
  <c r="R155" i="19" s="1"/>
  <c r="U155" i="19" a="1"/>
  <c r="U155" i="19" s="1"/>
  <c r="V155" i="19" a="1"/>
  <c r="V155" i="19" s="1"/>
  <c r="W155" i="19" a="1"/>
  <c r="W155" i="19" s="1"/>
  <c r="X155" i="19" a="1"/>
  <c r="X155" i="19" s="1"/>
  <c r="K156" i="19" a="1"/>
  <c r="K156" i="19" s="1"/>
  <c r="L156" i="19" a="1"/>
  <c r="L156" i="19" s="1"/>
  <c r="M156" i="19" a="1"/>
  <c r="M156" i="19" s="1"/>
  <c r="N156" i="19" a="1"/>
  <c r="N156" i="19" s="1"/>
  <c r="O156" i="19" a="1"/>
  <c r="O156" i="19" s="1"/>
  <c r="P156" i="19" a="1"/>
  <c r="P156" i="19" s="1"/>
  <c r="Q156" i="19" a="1"/>
  <c r="Q156" i="19" s="1"/>
  <c r="R156" i="19" a="1"/>
  <c r="R156" i="19" s="1"/>
  <c r="U156" i="19" a="1"/>
  <c r="U156" i="19" s="1"/>
  <c r="V156" i="19" a="1"/>
  <c r="V156" i="19" s="1"/>
  <c r="W156" i="19" a="1"/>
  <c r="W156" i="19" s="1"/>
  <c r="X156" i="19" a="1"/>
  <c r="X156" i="19" s="1"/>
  <c r="K157" i="19" a="1"/>
  <c r="K157" i="19" s="1"/>
  <c r="L157" i="19" a="1"/>
  <c r="L157" i="19" s="1"/>
  <c r="M157" i="19" a="1"/>
  <c r="M157" i="19" s="1"/>
  <c r="N157" i="19" a="1"/>
  <c r="N157" i="19" s="1"/>
  <c r="O157" i="19" a="1"/>
  <c r="O157" i="19" s="1"/>
  <c r="P157" i="19" a="1"/>
  <c r="P157" i="19" s="1"/>
  <c r="Q157" i="19" a="1"/>
  <c r="Q157" i="19" s="1"/>
  <c r="R157" i="19" a="1"/>
  <c r="R157" i="19" s="1"/>
  <c r="U157" i="19" a="1"/>
  <c r="U157" i="19" s="1"/>
  <c r="V157" i="19" a="1"/>
  <c r="V157" i="19" s="1"/>
  <c r="W157" i="19" a="1"/>
  <c r="W157" i="19" s="1"/>
  <c r="X157" i="19" a="1"/>
  <c r="X157" i="19" s="1"/>
  <c r="K158" i="19" a="1"/>
  <c r="K158" i="19" s="1"/>
  <c r="L158" i="19" a="1"/>
  <c r="L158" i="19" s="1"/>
  <c r="M158" i="19" a="1"/>
  <c r="M158" i="19" s="1"/>
  <c r="N158" i="19" a="1"/>
  <c r="N158" i="19" s="1"/>
  <c r="O158" i="19" a="1"/>
  <c r="O158" i="19" s="1"/>
  <c r="P158" i="19" a="1"/>
  <c r="P158" i="19" s="1"/>
  <c r="Q158" i="19" a="1"/>
  <c r="Q158" i="19" s="1"/>
  <c r="R158" i="19" a="1"/>
  <c r="R158" i="19" s="1"/>
  <c r="U158" i="19" a="1"/>
  <c r="U158" i="19" s="1"/>
  <c r="V158" i="19" a="1"/>
  <c r="V158" i="19" s="1"/>
  <c r="W158" i="19" a="1"/>
  <c r="W158" i="19" s="1"/>
  <c r="X158" i="19" a="1"/>
  <c r="X158" i="19" s="1"/>
  <c r="K159" i="19" a="1"/>
  <c r="K159" i="19" s="1"/>
  <c r="L159" i="19" a="1"/>
  <c r="L159" i="19" s="1"/>
  <c r="M159" i="19" a="1"/>
  <c r="M159" i="19" s="1"/>
  <c r="N159" i="19" a="1"/>
  <c r="N159" i="19" s="1"/>
  <c r="O159" i="19" a="1"/>
  <c r="O159" i="19" s="1"/>
  <c r="P159" i="19" a="1"/>
  <c r="P159" i="19" s="1"/>
  <c r="Q159" i="19" a="1"/>
  <c r="Q159" i="19" s="1"/>
  <c r="R159" i="19" a="1"/>
  <c r="R159" i="19" s="1"/>
  <c r="U159" i="19" a="1"/>
  <c r="U159" i="19" s="1"/>
  <c r="V159" i="19" a="1"/>
  <c r="V159" i="19" s="1"/>
  <c r="W159" i="19" a="1"/>
  <c r="W159" i="19" s="1"/>
  <c r="X159" i="19" a="1"/>
  <c r="X159" i="19" s="1"/>
  <c r="K160" i="19" a="1"/>
  <c r="K160" i="19" s="1"/>
  <c r="L160" i="19" a="1"/>
  <c r="L160" i="19" s="1"/>
  <c r="M160" i="19" a="1"/>
  <c r="M160" i="19" s="1"/>
  <c r="N160" i="19" a="1"/>
  <c r="N160" i="19" s="1"/>
  <c r="O160" i="19" a="1"/>
  <c r="O160" i="19" s="1"/>
  <c r="P160" i="19" a="1"/>
  <c r="P160" i="19" s="1"/>
  <c r="Q160" i="19" a="1"/>
  <c r="Q160" i="19" s="1"/>
  <c r="R160" i="19" a="1"/>
  <c r="R160" i="19" s="1"/>
  <c r="U160" i="19" a="1"/>
  <c r="U160" i="19" s="1"/>
  <c r="V160" i="19" a="1"/>
  <c r="V160" i="19" s="1"/>
  <c r="W160" i="19" a="1"/>
  <c r="W160" i="19" s="1"/>
  <c r="X160" i="19" a="1"/>
  <c r="X160" i="19" s="1"/>
  <c r="K161" i="19" a="1"/>
  <c r="K161" i="19" s="1"/>
  <c r="L161" i="19" a="1"/>
  <c r="L161" i="19" s="1"/>
  <c r="M161" i="19" a="1"/>
  <c r="M161" i="19" s="1"/>
  <c r="N161" i="19" a="1"/>
  <c r="N161" i="19" s="1"/>
  <c r="O161" i="19" a="1"/>
  <c r="O161" i="19" s="1"/>
  <c r="P161" i="19" a="1"/>
  <c r="P161" i="19" s="1"/>
  <c r="Q161" i="19" a="1"/>
  <c r="Q161" i="19" s="1"/>
  <c r="R161" i="19" a="1"/>
  <c r="R161" i="19" s="1"/>
  <c r="U161" i="19" a="1"/>
  <c r="U161" i="19" s="1"/>
  <c r="V161" i="19" a="1"/>
  <c r="V161" i="19" s="1"/>
  <c r="W161" i="19" a="1"/>
  <c r="W161" i="19" s="1"/>
  <c r="X161" i="19" a="1"/>
  <c r="X161" i="19" s="1"/>
  <c r="K162" i="19" a="1"/>
  <c r="K162" i="19" s="1"/>
  <c r="L162" i="19" a="1"/>
  <c r="L162" i="19" s="1"/>
  <c r="M162" i="19" a="1"/>
  <c r="M162" i="19" s="1"/>
  <c r="N162" i="19" a="1"/>
  <c r="N162" i="19" s="1"/>
  <c r="O162" i="19" a="1"/>
  <c r="O162" i="19" s="1"/>
  <c r="P162" i="19" a="1"/>
  <c r="P162" i="19" s="1"/>
  <c r="Q162" i="19" a="1"/>
  <c r="Q162" i="19" s="1"/>
  <c r="R162" i="19" a="1"/>
  <c r="R162" i="19" s="1"/>
  <c r="U162" i="19" a="1"/>
  <c r="U162" i="19" s="1"/>
  <c r="V162" i="19" a="1"/>
  <c r="V162" i="19" s="1"/>
  <c r="W162" i="19" a="1"/>
  <c r="W162" i="19" s="1"/>
  <c r="X162" i="19" a="1"/>
  <c r="X162" i="19" s="1"/>
  <c r="K163" i="19" a="1"/>
  <c r="K163" i="19" s="1"/>
  <c r="L163" i="19" a="1"/>
  <c r="L163" i="19" s="1"/>
  <c r="M163" i="19" a="1"/>
  <c r="M163" i="19" s="1"/>
  <c r="N163" i="19" a="1"/>
  <c r="N163" i="19" s="1"/>
  <c r="O163" i="19" a="1"/>
  <c r="O163" i="19" s="1"/>
  <c r="P163" i="19" a="1"/>
  <c r="P163" i="19" s="1"/>
  <c r="Q163" i="19" a="1"/>
  <c r="Q163" i="19" s="1"/>
  <c r="R163" i="19" a="1"/>
  <c r="R163" i="19" s="1"/>
  <c r="U163" i="19" a="1"/>
  <c r="U163" i="19" s="1"/>
  <c r="V163" i="19" a="1"/>
  <c r="V163" i="19" s="1"/>
  <c r="W163" i="19" a="1"/>
  <c r="W163" i="19" s="1"/>
  <c r="X163" i="19" a="1"/>
  <c r="X163" i="19" s="1"/>
  <c r="K164" i="19" a="1"/>
  <c r="K164" i="19" s="1"/>
  <c r="L164" i="19" a="1"/>
  <c r="L164" i="19" s="1"/>
  <c r="M164" i="19" a="1"/>
  <c r="M164" i="19" s="1"/>
  <c r="N164" i="19" a="1"/>
  <c r="N164" i="19" s="1"/>
  <c r="O164" i="19" a="1"/>
  <c r="O164" i="19" s="1"/>
  <c r="P164" i="19" a="1"/>
  <c r="P164" i="19" s="1"/>
  <c r="Q164" i="19" a="1"/>
  <c r="Q164" i="19" s="1"/>
  <c r="R164" i="19" a="1"/>
  <c r="R164" i="19" s="1"/>
  <c r="U164" i="19" a="1"/>
  <c r="U164" i="19" s="1"/>
  <c r="V164" i="19" a="1"/>
  <c r="V164" i="19" s="1"/>
  <c r="W164" i="19" a="1"/>
  <c r="W164" i="19" s="1"/>
  <c r="X164" i="19" a="1"/>
  <c r="X164" i="19" s="1"/>
  <c r="K165" i="19" a="1"/>
  <c r="K165" i="19" s="1"/>
  <c r="L165" i="19" a="1"/>
  <c r="L165" i="19" s="1"/>
  <c r="M165" i="19" a="1"/>
  <c r="M165" i="19" s="1"/>
  <c r="N165" i="19" a="1"/>
  <c r="N165" i="19" s="1"/>
  <c r="O165" i="19" a="1"/>
  <c r="O165" i="19" s="1"/>
  <c r="P165" i="19" a="1"/>
  <c r="P165" i="19" s="1"/>
  <c r="Q165" i="19" a="1"/>
  <c r="Q165" i="19" s="1"/>
  <c r="R165" i="19" a="1"/>
  <c r="R165" i="19" s="1"/>
  <c r="U165" i="19" a="1"/>
  <c r="U165" i="19" s="1"/>
  <c r="V165" i="19" a="1"/>
  <c r="V165" i="19" s="1"/>
  <c r="W165" i="19" a="1"/>
  <c r="W165" i="19" s="1"/>
  <c r="X165" i="19" a="1"/>
  <c r="X165" i="19" s="1"/>
  <c r="K166" i="19" a="1"/>
  <c r="K166" i="19" s="1"/>
  <c r="L166" i="19" a="1"/>
  <c r="L166" i="19" s="1"/>
  <c r="M166" i="19" a="1"/>
  <c r="M166" i="19" s="1"/>
  <c r="N166" i="19" a="1"/>
  <c r="N166" i="19" s="1"/>
  <c r="O166" i="19" a="1"/>
  <c r="O166" i="19" s="1"/>
  <c r="P166" i="19" a="1"/>
  <c r="P166" i="19" s="1"/>
  <c r="Q166" i="19" a="1"/>
  <c r="Q166" i="19" s="1"/>
  <c r="R166" i="19" a="1"/>
  <c r="R166" i="19" s="1"/>
  <c r="U166" i="19" a="1"/>
  <c r="U166" i="19" s="1"/>
  <c r="V166" i="19" a="1"/>
  <c r="V166" i="19" s="1"/>
  <c r="W166" i="19" a="1"/>
  <c r="W166" i="19" s="1"/>
  <c r="X166" i="19" a="1"/>
  <c r="X166" i="19" s="1"/>
  <c r="K167" i="19" a="1"/>
  <c r="K167" i="19" s="1"/>
  <c r="L167" i="19" a="1"/>
  <c r="L167" i="19" s="1"/>
  <c r="M167" i="19" a="1"/>
  <c r="M167" i="19" s="1"/>
  <c r="N167" i="19" a="1"/>
  <c r="N167" i="19" s="1"/>
  <c r="O167" i="19" a="1"/>
  <c r="O167" i="19" s="1"/>
  <c r="P167" i="19" a="1"/>
  <c r="P167" i="19" s="1"/>
  <c r="Q167" i="19" a="1"/>
  <c r="Q167" i="19" s="1"/>
  <c r="R167" i="19" a="1"/>
  <c r="R167" i="19" s="1"/>
  <c r="U167" i="19" a="1"/>
  <c r="U167" i="19" s="1"/>
  <c r="V167" i="19" a="1"/>
  <c r="V167" i="19" s="1"/>
  <c r="W167" i="19" a="1"/>
  <c r="W167" i="19" s="1"/>
  <c r="X167" i="19" a="1"/>
  <c r="X167" i="19" s="1"/>
  <c r="K168" i="19" a="1"/>
  <c r="K168" i="19" s="1"/>
  <c r="L168" i="19" a="1"/>
  <c r="L168" i="19" s="1"/>
  <c r="M168" i="19" a="1"/>
  <c r="M168" i="19" s="1"/>
  <c r="N168" i="19" a="1"/>
  <c r="N168" i="19" s="1"/>
  <c r="O168" i="19" a="1"/>
  <c r="O168" i="19" s="1"/>
  <c r="P168" i="19" a="1"/>
  <c r="P168" i="19" s="1"/>
  <c r="Q168" i="19" a="1"/>
  <c r="Q168" i="19" s="1"/>
  <c r="R168" i="19" a="1"/>
  <c r="R168" i="19" s="1"/>
  <c r="U168" i="19" a="1"/>
  <c r="U168" i="19" s="1"/>
  <c r="V168" i="19" a="1"/>
  <c r="V168" i="19" s="1"/>
  <c r="W168" i="19" a="1"/>
  <c r="W168" i="19" s="1"/>
  <c r="X168" i="19" a="1"/>
  <c r="X168" i="19" s="1"/>
  <c r="K169" i="19" a="1"/>
  <c r="K169" i="19" s="1"/>
  <c r="L169" i="19" a="1"/>
  <c r="L169" i="19" s="1"/>
  <c r="M169" i="19" a="1"/>
  <c r="M169" i="19" s="1"/>
  <c r="N169" i="19" a="1"/>
  <c r="N169" i="19" s="1"/>
  <c r="O169" i="19" a="1"/>
  <c r="O169" i="19" s="1"/>
  <c r="P169" i="19" a="1"/>
  <c r="P169" i="19" s="1"/>
  <c r="Q169" i="19" a="1"/>
  <c r="Q169" i="19" s="1"/>
  <c r="R169" i="19" a="1"/>
  <c r="R169" i="19" s="1"/>
  <c r="U169" i="19" a="1"/>
  <c r="U169" i="19" s="1"/>
  <c r="V169" i="19" a="1"/>
  <c r="V169" i="19" s="1"/>
  <c r="W169" i="19" a="1"/>
  <c r="W169" i="19" s="1"/>
  <c r="X169" i="19" a="1"/>
  <c r="X169" i="19" s="1"/>
  <c r="K170" i="19" a="1"/>
  <c r="K170" i="19" s="1"/>
  <c r="L170" i="19" a="1"/>
  <c r="L170" i="19" s="1"/>
  <c r="M170" i="19" a="1"/>
  <c r="M170" i="19" s="1"/>
  <c r="N170" i="19" a="1"/>
  <c r="N170" i="19" s="1"/>
  <c r="O170" i="19" a="1"/>
  <c r="O170" i="19" s="1"/>
  <c r="P170" i="19" a="1"/>
  <c r="P170" i="19" s="1"/>
  <c r="Q170" i="19" a="1"/>
  <c r="Q170" i="19" s="1"/>
  <c r="R170" i="19" a="1"/>
  <c r="R170" i="19" s="1"/>
  <c r="U170" i="19" a="1"/>
  <c r="U170" i="19" s="1"/>
  <c r="V170" i="19" a="1"/>
  <c r="V170" i="19" s="1"/>
  <c r="W170" i="19" a="1"/>
  <c r="W170" i="19" s="1"/>
  <c r="X170" i="19" a="1"/>
  <c r="X170" i="19" s="1"/>
  <c r="K171" i="19" a="1"/>
  <c r="K171" i="19" s="1"/>
  <c r="L171" i="19" a="1"/>
  <c r="L171" i="19" s="1"/>
  <c r="M171" i="19" a="1"/>
  <c r="M171" i="19" s="1"/>
  <c r="N171" i="19" a="1"/>
  <c r="N171" i="19" s="1"/>
  <c r="O171" i="19" a="1"/>
  <c r="O171" i="19" s="1"/>
  <c r="P171" i="19" a="1"/>
  <c r="P171" i="19" s="1"/>
  <c r="Q171" i="19" a="1"/>
  <c r="Q171" i="19" s="1"/>
  <c r="R171" i="19" a="1"/>
  <c r="R171" i="19" s="1"/>
  <c r="U171" i="19" a="1"/>
  <c r="U171" i="19" s="1"/>
  <c r="V171" i="19" a="1"/>
  <c r="V171" i="19" s="1"/>
  <c r="W171" i="19" a="1"/>
  <c r="W171" i="19" s="1"/>
  <c r="X171" i="19" a="1"/>
  <c r="X171" i="19" s="1"/>
  <c r="K172" i="19" a="1"/>
  <c r="K172" i="19" s="1"/>
  <c r="L172" i="19" a="1"/>
  <c r="L172" i="19" s="1"/>
  <c r="M172" i="19" a="1"/>
  <c r="M172" i="19" s="1"/>
  <c r="N172" i="19" a="1"/>
  <c r="N172" i="19" s="1"/>
  <c r="O172" i="19" a="1"/>
  <c r="O172" i="19" s="1"/>
  <c r="P172" i="19" a="1"/>
  <c r="P172" i="19" s="1"/>
  <c r="Q172" i="19" a="1"/>
  <c r="Q172" i="19" s="1"/>
  <c r="R172" i="19" a="1"/>
  <c r="R172" i="19" s="1"/>
  <c r="U172" i="19" a="1"/>
  <c r="U172" i="19" s="1"/>
  <c r="V172" i="19" a="1"/>
  <c r="V172" i="19" s="1"/>
  <c r="W172" i="19" a="1"/>
  <c r="W172" i="19" s="1"/>
  <c r="X172" i="19" a="1"/>
  <c r="X172" i="19" s="1"/>
  <c r="K173" i="19" a="1"/>
  <c r="K173" i="19" s="1"/>
  <c r="L173" i="19" a="1"/>
  <c r="L173" i="19" s="1"/>
  <c r="M173" i="19" a="1"/>
  <c r="M173" i="19" s="1"/>
  <c r="N173" i="19" a="1"/>
  <c r="N173" i="19" s="1"/>
  <c r="O173" i="19" a="1"/>
  <c r="O173" i="19" s="1"/>
  <c r="P173" i="19" a="1"/>
  <c r="P173" i="19" s="1"/>
  <c r="Q173" i="19" a="1"/>
  <c r="Q173" i="19" s="1"/>
  <c r="R173" i="19" a="1"/>
  <c r="R173" i="19" s="1"/>
  <c r="U173" i="19" a="1"/>
  <c r="U173" i="19" s="1"/>
  <c r="V173" i="19" a="1"/>
  <c r="V173" i="19" s="1"/>
  <c r="W173" i="19" a="1"/>
  <c r="W173" i="19" s="1"/>
  <c r="X173" i="19" a="1"/>
  <c r="X173" i="19" s="1"/>
  <c r="K174" i="19" a="1"/>
  <c r="K174" i="19" s="1"/>
  <c r="L174" i="19" a="1"/>
  <c r="L174" i="19" s="1"/>
  <c r="M174" i="19" a="1"/>
  <c r="M174" i="19" s="1"/>
  <c r="N174" i="19" a="1"/>
  <c r="N174" i="19" s="1"/>
  <c r="O174" i="19" a="1"/>
  <c r="O174" i="19" s="1"/>
  <c r="P174" i="19" a="1"/>
  <c r="P174" i="19" s="1"/>
  <c r="Q174" i="19" a="1"/>
  <c r="Q174" i="19" s="1"/>
  <c r="R174" i="19" a="1"/>
  <c r="R174" i="19" s="1"/>
  <c r="U174" i="19" a="1"/>
  <c r="U174" i="19" s="1"/>
  <c r="V174" i="19" a="1"/>
  <c r="V174" i="19" s="1"/>
  <c r="W174" i="19" a="1"/>
  <c r="W174" i="19" s="1"/>
  <c r="X174" i="19" a="1"/>
  <c r="X174" i="19" s="1"/>
  <c r="K175" i="19" a="1"/>
  <c r="K175" i="19" s="1"/>
  <c r="L175" i="19" a="1"/>
  <c r="L175" i="19" s="1"/>
  <c r="M175" i="19" a="1"/>
  <c r="M175" i="19" s="1"/>
  <c r="N175" i="19" a="1"/>
  <c r="N175" i="19" s="1"/>
  <c r="O175" i="19" a="1"/>
  <c r="O175" i="19" s="1"/>
  <c r="P175" i="19" a="1"/>
  <c r="P175" i="19" s="1"/>
  <c r="Q175" i="19" a="1"/>
  <c r="Q175" i="19" s="1"/>
  <c r="R175" i="19" a="1"/>
  <c r="R175" i="19" s="1"/>
  <c r="U175" i="19" a="1"/>
  <c r="U175" i="19" s="1"/>
  <c r="V175" i="19" a="1"/>
  <c r="V175" i="19" s="1"/>
  <c r="W175" i="19" a="1"/>
  <c r="W175" i="19" s="1"/>
  <c r="X175" i="19" a="1"/>
  <c r="X175" i="19" s="1"/>
  <c r="K176" i="19" a="1"/>
  <c r="K176" i="19" s="1"/>
  <c r="L176" i="19" a="1"/>
  <c r="L176" i="19" s="1"/>
  <c r="M176" i="19" a="1"/>
  <c r="M176" i="19" s="1"/>
  <c r="N176" i="19" a="1"/>
  <c r="N176" i="19" s="1"/>
  <c r="O176" i="19" a="1"/>
  <c r="O176" i="19" s="1"/>
  <c r="P176" i="19" a="1"/>
  <c r="P176" i="19" s="1"/>
  <c r="Q176" i="19" a="1"/>
  <c r="Q176" i="19" s="1"/>
  <c r="R176" i="19" a="1"/>
  <c r="R176" i="19" s="1"/>
  <c r="U176" i="19" a="1"/>
  <c r="U176" i="19" s="1"/>
  <c r="V176" i="19" a="1"/>
  <c r="V176" i="19" s="1"/>
  <c r="W176" i="19" a="1"/>
  <c r="W176" i="19" s="1"/>
  <c r="X176" i="19" a="1"/>
  <c r="X176" i="19" s="1"/>
  <c r="K177" i="19" a="1"/>
  <c r="K177" i="19" s="1"/>
  <c r="L177" i="19" a="1"/>
  <c r="L177" i="19" s="1"/>
  <c r="M177" i="19" a="1"/>
  <c r="M177" i="19" s="1"/>
  <c r="N177" i="19" a="1"/>
  <c r="N177" i="19" s="1"/>
  <c r="O177" i="19" a="1"/>
  <c r="O177" i="19" s="1"/>
  <c r="P177" i="19" a="1"/>
  <c r="P177" i="19" s="1"/>
  <c r="Q177" i="19" a="1"/>
  <c r="Q177" i="19" s="1"/>
  <c r="R177" i="19" a="1"/>
  <c r="R177" i="19" s="1"/>
  <c r="U177" i="19" a="1"/>
  <c r="U177" i="19" s="1"/>
  <c r="V177" i="19" a="1"/>
  <c r="V177" i="19" s="1"/>
  <c r="W177" i="19" a="1"/>
  <c r="W177" i="19" s="1"/>
  <c r="X177" i="19" a="1"/>
  <c r="X177" i="19" s="1"/>
  <c r="K178" i="19" a="1"/>
  <c r="K178" i="19" s="1"/>
  <c r="L178" i="19" a="1"/>
  <c r="L178" i="19" s="1"/>
  <c r="M178" i="19" a="1"/>
  <c r="M178" i="19" s="1"/>
  <c r="N178" i="19" a="1"/>
  <c r="N178" i="19" s="1"/>
  <c r="O178" i="19" a="1"/>
  <c r="O178" i="19" s="1"/>
  <c r="P178" i="19" a="1"/>
  <c r="P178" i="19" s="1"/>
  <c r="Q178" i="19" a="1"/>
  <c r="Q178" i="19" s="1"/>
  <c r="R178" i="19" a="1"/>
  <c r="R178" i="19" s="1"/>
  <c r="U178" i="19" a="1"/>
  <c r="U178" i="19" s="1"/>
  <c r="V178" i="19" a="1"/>
  <c r="V178" i="19" s="1"/>
  <c r="W178" i="19" a="1"/>
  <c r="W178" i="19" s="1"/>
  <c r="X178" i="19" a="1"/>
  <c r="X178" i="19" s="1"/>
  <c r="K179" i="19" a="1"/>
  <c r="K179" i="19" s="1"/>
  <c r="L179" i="19" a="1"/>
  <c r="L179" i="19" s="1"/>
  <c r="M179" i="19" a="1"/>
  <c r="M179" i="19" s="1"/>
  <c r="N179" i="19" a="1"/>
  <c r="N179" i="19" s="1"/>
  <c r="O179" i="19" a="1"/>
  <c r="O179" i="19" s="1"/>
  <c r="P179" i="19" a="1"/>
  <c r="P179" i="19" s="1"/>
  <c r="Q179" i="19" a="1"/>
  <c r="Q179" i="19" s="1"/>
  <c r="R179" i="19" a="1"/>
  <c r="R179" i="19" s="1"/>
  <c r="U179" i="19" a="1"/>
  <c r="U179" i="19" s="1"/>
  <c r="V179" i="19" a="1"/>
  <c r="V179" i="19" s="1"/>
  <c r="W179" i="19" a="1"/>
  <c r="W179" i="19" s="1"/>
  <c r="X179" i="19" a="1"/>
  <c r="X179" i="19" s="1"/>
  <c r="K180" i="19" a="1"/>
  <c r="K180" i="19" s="1"/>
  <c r="L180" i="19" a="1"/>
  <c r="L180" i="19" s="1"/>
  <c r="M180" i="19" a="1"/>
  <c r="M180" i="19" s="1"/>
  <c r="N180" i="19" a="1"/>
  <c r="N180" i="19" s="1"/>
  <c r="O180" i="19" a="1"/>
  <c r="O180" i="19" s="1"/>
  <c r="P180" i="19" a="1"/>
  <c r="P180" i="19" s="1"/>
  <c r="Q180" i="19" a="1"/>
  <c r="Q180" i="19" s="1"/>
  <c r="R180" i="19" a="1"/>
  <c r="R180" i="19" s="1"/>
  <c r="U180" i="19" a="1"/>
  <c r="U180" i="19" s="1"/>
  <c r="V180" i="19" a="1"/>
  <c r="V180" i="19" s="1"/>
  <c r="W180" i="19" a="1"/>
  <c r="W180" i="19" s="1"/>
  <c r="X180" i="19" a="1"/>
  <c r="X180" i="19" s="1"/>
  <c r="K181" i="19" a="1"/>
  <c r="K181" i="19" s="1"/>
  <c r="L181" i="19" a="1"/>
  <c r="L181" i="19" s="1"/>
  <c r="M181" i="19" a="1"/>
  <c r="M181" i="19" s="1"/>
  <c r="N181" i="19" a="1"/>
  <c r="N181" i="19" s="1"/>
  <c r="O181" i="19" a="1"/>
  <c r="O181" i="19" s="1"/>
  <c r="P181" i="19" a="1"/>
  <c r="P181" i="19" s="1"/>
  <c r="Q181" i="19" a="1"/>
  <c r="Q181" i="19" s="1"/>
  <c r="R181" i="19" a="1"/>
  <c r="R181" i="19" s="1"/>
  <c r="U181" i="19" a="1"/>
  <c r="U181" i="19" s="1"/>
  <c r="V181" i="19" a="1"/>
  <c r="V181" i="19" s="1"/>
  <c r="W181" i="19" a="1"/>
  <c r="W181" i="19" s="1"/>
  <c r="X181" i="19" a="1"/>
  <c r="X181" i="19" s="1"/>
  <c r="K182" i="19" a="1"/>
  <c r="K182" i="19" s="1"/>
  <c r="L182" i="19" a="1"/>
  <c r="L182" i="19" s="1"/>
  <c r="M182" i="19" a="1"/>
  <c r="M182" i="19" s="1"/>
  <c r="N182" i="19" a="1"/>
  <c r="N182" i="19" s="1"/>
  <c r="O182" i="19" a="1"/>
  <c r="O182" i="19" s="1"/>
  <c r="P182" i="19" a="1"/>
  <c r="P182" i="19" s="1"/>
  <c r="Q182" i="19" a="1"/>
  <c r="Q182" i="19" s="1"/>
  <c r="R182" i="19" a="1"/>
  <c r="R182" i="19" s="1"/>
  <c r="U182" i="19" a="1"/>
  <c r="U182" i="19" s="1"/>
  <c r="V182" i="19" a="1"/>
  <c r="V182" i="19" s="1"/>
  <c r="W182" i="19" a="1"/>
  <c r="W182" i="19" s="1"/>
  <c r="X182" i="19" a="1"/>
  <c r="X182" i="19" s="1"/>
  <c r="K183" i="19" a="1"/>
  <c r="K183" i="19" s="1"/>
  <c r="L183" i="19" a="1"/>
  <c r="L183" i="19" s="1"/>
  <c r="M183" i="19" a="1"/>
  <c r="M183" i="19" s="1"/>
  <c r="N183" i="19" a="1"/>
  <c r="N183" i="19" s="1"/>
  <c r="O183" i="19" a="1"/>
  <c r="O183" i="19" s="1"/>
  <c r="P183" i="19" a="1"/>
  <c r="P183" i="19" s="1"/>
  <c r="Q183" i="19" a="1"/>
  <c r="Q183" i="19" s="1"/>
  <c r="R183" i="19" a="1"/>
  <c r="R183" i="19" s="1"/>
  <c r="U183" i="19" a="1"/>
  <c r="U183" i="19" s="1"/>
  <c r="V183" i="19" a="1"/>
  <c r="V183" i="19" s="1"/>
  <c r="W183" i="19" a="1"/>
  <c r="W183" i="19" s="1"/>
  <c r="X183" i="19" a="1"/>
  <c r="X183" i="19" s="1"/>
  <c r="K184" i="19" a="1"/>
  <c r="K184" i="19" s="1"/>
  <c r="L184" i="19" a="1"/>
  <c r="L184" i="19" s="1"/>
  <c r="M184" i="19" a="1"/>
  <c r="M184" i="19" s="1"/>
  <c r="N184" i="19" a="1"/>
  <c r="N184" i="19" s="1"/>
  <c r="O184" i="19" a="1"/>
  <c r="O184" i="19" s="1"/>
  <c r="P184" i="19" a="1"/>
  <c r="P184" i="19" s="1"/>
  <c r="Q184" i="19" a="1"/>
  <c r="Q184" i="19" s="1"/>
  <c r="R184" i="19" a="1"/>
  <c r="R184" i="19" s="1"/>
  <c r="U184" i="19" a="1"/>
  <c r="U184" i="19" s="1"/>
  <c r="V184" i="19" a="1"/>
  <c r="V184" i="19" s="1"/>
  <c r="W184" i="19" a="1"/>
  <c r="W184" i="19" s="1"/>
  <c r="X184" i="19" a="1"/>
  <c r="X184" i="19" s="1"/>
  <c r="K185" i="19" a="1"/>
  <c r="K185" i="19" s="1"/>
  <c r="L185" i="19" a="1"/>
  <c r="L185" i="19" s="1"/>
  <c r="M185" i="19" a="1"/>
  <c r="M185" i="19" s="1"/>
  <c r="N185" i="19" a="1"/>
  <c r="N185" i="19" s="1"/>
  <c r="O185" i="19" a="1"/>
  <c r="O185" i="19" s="1"/>
  <c r="P185" i="19" a="1"/>
  <c r="P185" i="19" s="1"/>
  <c r="Q185" i="19" a="1"/>
  <c r="Q185" i="19" s="1"/>
  <c r="R185" i="19" a="1"/>
  <c r="R185" i="19" s="1"/>
  <c r="U185" i="19" a="1"/>
  <c r="U185" i="19" s="1"/>
  <c r="V185" i="19" a="1"/>
  <c r="V185" i="19" s="1"/>
  <c r="W185" i="19" a="1"/>
  <c r="W185" i="19" s="1"/>
  <c r="X185" i="19" a="1"/>
  <c r="X185" i="19" s="1"/>
  <c r="K186" i="19" a="1"/>
  <c r="K186" i="19" s="1"/>
  <c r="L186" i="19" a="1"/>
  <c r="L186" i="19" s="1"/>
  <c r="M186" i="19" a="1"/>
  <c r="M186" i="19" s="1"/>
  <c r="N186" i="19" a="1"/>
  <c r="N186" i="19" s="1"/>
  <c r="O186" i="19" a="1"/>
  <c r="O186" i="19" s="1"/>
  <c r="P186" i="19" a="1"/>
  <c r="P186" i="19" s="1"/>
  <c r="Q186" i="19" a="1"/>
  <c r="Q186" i="19" s="1"/>
  <c r="R186" i="19" a="1"/>
  <c r="R186" i="19" s="1"/>
  <c r="U186" i="19" a="1"/>
  <c r="U186" i="19" s="1"/>
  <c r="V186" i="19" a="1"/>
  <c r="V186" i="19" s="1"/>
  <c r="W186" i="19" a="1"/>
  <c r="W186" i="19" s="1"/>
  <c r="X186" i="19" a="1"/>
  <c r="X186" i="19" s="1"/>
  <c r="K187" i="19" a="1"/>
  <c r="K187" i="19" s="1"/>
  <c r="L187" i="19" a="1"/>
  <c r="L187" i="19" s="1"/>
  <c r="M187" i="19" a="1"/>
  <c r="M187" i="19" s="1"/>
  <c r="N187" i="19" a="1"/>
  <c r="N187" i="19" s="1"/>
  <c r="O187" i="19" a="1"/>
  <c r="O187" i="19" s="1"/>
  <c r="P187" i="19" a="1"/>
  <c r="P187" i="19" s="1"/>
  <c r="Q187" i="19" a="1"/>
  <c r="Q187" i="19" s="1"/>
  <c r="R187" i="19" a="1"/>
  <c r="R187" i="19" s="1"/>
  <c r="U187" i="19" a="1"/>
  <c r="U187" i="19" s="1"/>
  <c r="V187" i="19" a="1"/>
  <c r="V187" i="19" s="1"/>
  <c r="W187" i="19" a="1"/>
  <c r="W187" i="19" s="1"/>
  <c r="X187" i="19" a="1"/>
  <c r="X187" i="19" s="1"/>
  <c r="K188" i="19" a="1"/>
  <c r="K188" i="19" s="1"/>
  <c r="L188" i="19" a="1"/>
  <c r="L188" i="19" s="1"/>
  <c r="M188" i="19" a="1"/>
  <c r="M188" i="19" s="1"/>
  <c r="N188" i="19" a="1"/>
  <c r="N188" i="19" s="1"/>
  <c r="O188" i="19" a="1"/>
  <c r="O188" i="19" s="1"/>
  <c r="P188" i="19" a="1"/>
  <c r="P188" i="19" s="1"/>
  <c r="Q188" i="19" a="1"/>
  <c r="Q188" i="19" s="1"/>
  <c r="R188" i="19" a="1"/>
  <c r="R188" i="19" s="1"/>
  <c r="U188" i="19" a="1"/>
  <c r="U188" i="19" s="1"/>
  <c r="V188" i="19" a="1"/>
  <c r="V188" i="19" s="1"/>
  <c r="W188" i="19" a="1"/>
  <c r="W188" i="19" s="1"/>
  <c r="X188" i="19" a="1"/>
  <c r="X188" i="19" s="1"/>
  <c r="K189" i="19" a="1"/>
  <c r="K189" i="19" s="1"/>
  <c r="L189" i="19" a="1"/>
  <c r="L189" i="19" s="1"/>
  <c r="M189" i="19" a="1"/>
  <c r="M189" i="19" s="1"/>
  <c r="N189" i="19" a="1"/>
  <c r="N189" i="19" s="1"/>
  <c r="O189" i="19" a="1"/>
  <c r="O189" i="19" s="1"/>
  <c r="P189" i="19" a="1"/>
  <c r="P189" i="19" s="1"/>
  <c r="Q189" i="19" a="1"/>
  <c r="Q189" i="19" s="1"/>
  <c r="R189" i="19" a="1"/>
  <c r="R189" i="19" s="1"/>
  <c r="U189" i="19" a="1"/>
  <c r="U189" i="19" s="1"/>
  <c r="V189" i="19" a="1"/>
  <c r="V189" i="19" s="1"/>
  <c r="W189" i="19" a="1"/>
  <c r="W189" i="19" s="1"/>
  <c r="X189" i="19" a="1"/>
  <c r="X189" i="19" s="1"/>
  <c r="K190" i="19" a="1"/>
  <c r="K190" i="19" s="1"/>
  <c r="L190" i="19" a="1"/>
  <c r="L190" i="19" s="1"/>
  <c r="M190" i="19" a="1"/>
  <c r="M190" i="19" s="1"/>
  <c r="N190" i="19" a="1"/>
  <c r="N190" i="19" s="1"/>
  <c r="O190" i="19" a="1"/>
  <c r="O190" i="19" s="1"/>
  <c r="P190" i="19" a="1"/>
  <c r="P190" i="19" s="1"/>
  <c r="Q190" i="19" a="1"/>
  <c r="Q190" i="19" s="1"/>
  <c r="R190" i="19" a="1"/>
  <c r="R190" i="19" s="1"/>
  <c r="U190" i="19" a="1"/>
  <c r="U190" i="19" s="1"/>
  <c r="V190" i="19" a="1"/>
  <c r="V190" i="19" s="1"/>
  <c r="W190" i="19" a="1"/>
  <c r="W190" i="19" s="1"/>
  <c r="X190" i="19" a="1"/>
  <c r="X190" i="19" s="1"/>
  <c r="K191" i="19" a="1"/>
  <c r="K191" i="19" s="1"/>
  <c r="L191" i="19" a="1"/>
  <c r="L191" i="19" s="1"/>
  <c r="M191" i="19" a="1"/>
  <c r="M191" i="19" s="1"/>
  <c r="N191" i="19" a="1"/>
  <c r="N191" i="19" s="1"/>
  <c r="O191" i="19" a="1"/>
  <c r="O191" i="19" s="1"/>
  <c r="P191" i="19" a="1"/>
  <c r="P191" i="19" s="1"/>
  <c r="Q191" i="19" a="1"/>
  <c r="Q191" i="19" s="1"/>
  <c r="R191" i="19" a="1"/>
  <c r="R191" i="19" s="1"/>
  <c r="U191" i="19" a="1"/>
  <c r="U191" i="19" s="1"/>
  <c r="V191" i="19" a="1"/>
  <c r="V191" i="19" s="1"/>
  <c r="W191" i="19" a="1"/>
  <c r="W191" i="19" s="1"/>
  <c r="X191" i="19" a="1"/>
  <c r="X191" i="19" s="1"/>
  <c r="K192" i="19" a="1"/>
  <c r="K192" i="19" s="1"/>
  <c r="L192" i="19" a="1"/>
  <c r="L192" i="19" s="1"/>
  <c r="M192" i="19" a="1"/>
  <c r="M192" i="19" s="1"/>
  <c r="N192" i="19" a="1"/>
  <c r="N192" i="19" s="1"/>
  <c r="O192" i="19" a="1"/>
  <c r="O192" i="19" s="1"/>
  <c r="P192" i="19" a="1"/>
  <c r="P192" i="19" s="1"/>
  <c r="Q192" i="19" a="1"/>
  <c r="Q192" i="19" s="1"/>
  <c r="R192" i="19" a="1"/>
  <c r="R192" i="19" s="1"/>
  <c r="U192" i="19" a="1"/>
  <c r="U192" i="19" s="1"/>
  <c r="V192" i="19" a="1"/>
  <c r="V192" i="19" s="1"/>
  <c r="W192" i="19" a="1"/>
  <c r="W192" i="19" s="1"/>
  <c r="X192" i="19" a="1"/>
  <c r="X192" i="19" s="1"/>
  <c r="K193" i="19" a="1"/>
  <c r="K193" i="19" s="1"/>
  <c r="L193" i="19" a="1"/>
  <c r="L193" i="19" s="1"/>
  <c r="M193" i="19" a="1"/>
  <c r="M193" i="19" s="1"/>
  <c r="N193" i="19" a="1"/>
  <c r="N193" i="19" s="1"/>
  <c r="O193" i="19" a="1"/>
  <c r="O193" i="19" s="1"/>
  <c r="P193" i="19" a="1"/>
  <c r="P193" i="19" s="1"/>
  <c r="Q193" i="19" a="1"/>
  <c r="Q193" i="19" s="1"/>
  <c r="R193" i="19" a="1"/>
  <c r="R193" i="19" s="1"/>
  <c r="U193" i="19" a="1"/>
  <c r="U193" i="19" s="1"/>
  <c r="V193" i="19" a="1"/>
  <c r="V193" i="19" s="1"/>
  <c r="W193" i="19" a="1"/>
  <c r="W193" i="19" s="1"/>
  <c r="X193" i="19" a="1"/>
  <c r="X193" i="19" s="1"/>
  <c r="K194" i="19" a="1"/>
  <c r="K194" i="19" s="1"/>
  <c r="L194" i="19" a="1"/>
  <c r="L194" i="19" s="1"/>
  <c r="M194" i="19" a="1"/>
  <c r="M194" i="19" s="1"/>
  <c r="N194" i="19" a="1"/>
  <c r="N194" i="19" s="1"/>
  <c r="O194" i="19" a="1"/>
  <c r="O194" i="19" s="1"/>
  <c r="P194" i="19" a="1"/>
  <c r="P194" i="19" s="1"/>
  <c r="Q194" i="19" a="1"/>
  <c r="Q194" i="19" s="1"/>
  <c r="R194" i="19" a="1"/>
  <c r="R194" i="19" s="1"/>
  <c r="U194" i="19" a="1"/>
  <c r="U194" i="19" s="1"/>
  <c r="V194" i="19" a="1"/>
  <c r="V194" i="19" s="1"/>
  <c r="W194" i="19" a="1"/>
  <c r="W194" i="19" s="1"/>
  <c r="X194" i="19" a="1"/>
  <c r="X194" i="19" s="1"/>
  <c r="K195" i="19" a="1"/>
  <c r="K195" i="19" s="1"/>
  <c r="L195" i="19" a="1"/>
  <c r="L195" i="19" s="1"/>
  <c r="M195" i="19" a="1"/>
  <c r="M195" i="19" s="1"/>
  <c r="N195" i="19" a="1"/>
  <c r="N195" i="19" s="1"/>
  <c r="O195" i="19" a="1"/>
  <c r="O195" i="19" s="1"/>
  <c r="P195" i="19" a="1"/>
  <c r="P195" i="19" s="1"/>
  <c r="Q195" i="19" a="1"/>
  <c r="Q195" i="19" s="1"/>
  <c r="R195" i="19" a="1"/>
  <c r="R195" i="19" s="1"/>
  <c r="U195" i="19" a="1"/>
  <c r="U195" i="19" s="1"/>
  <c r="V195" i="19" a="1"/>
  <c r="V195" i="19" s="1"/>
  <c r="W195" i="19" a="1"/>
  <c r="W195" i="19" s="1"/>
  <c r="X195" i="19" a="1"/>
  <c r="X195" i="19" s="1"/>
  <c r="K196" i="19" a="1"/>
  <c r="K196" i="19" s="1"/>
  <c r="L196" i="19" a="1"/>
  <c r="L196" i="19" s="1"/>
  <c r="M196" i="19" a="1"/>
  <c r="M196" i="19" s="1"/>
  <c r="N196" i="19" a="1"/>
  <c r="N196" i="19" s="1"/>
  <c r="O196" i="19" a="1"/>
  <c r="O196" i="19" s="1"/>
  <c r="P196" i="19" a="1"/>
  <c r="P196" i="19" s="1"/>
  <c r="Q196" i="19" a="1"/>
  <c r="Q196" i="19" s="1"/>
  <c r="R196" i="19" a="1"/>
  <c r="R196" i="19" s="1"/>
  <c r="U196" i="19" a="1"/>
  <c r="U196" i="19" s="1"/>
  <c r="V196" i="19" a="1"/>
  <c r="V196" i="19" s="1"/>
  <c r="W196" i="19" a="1"/>
  <c r="W196" i="19" s="1"/>
  <c r="X196" i="19" a="1"/>
  <c r="X196" i="19" s="1"/>
  <c r="K197" i="19" a="1"/>
  <c r="K197" i="19" s="1"/>
  <c r="L197" i="19" a="1"/>
  <c r="L197" i="19" s="1"/>
  <c r="M197" i="19" a="1"/>
  <c r="M197" i="19" s="1"/>
  <c r="N197" i="19" a="1"/>
  <c r="N197" i="19" s="1"/>
  <c r="O197" i="19" a="1"/>
  <c r="O197" i="19" s="1"/>
  <c r="P197" i="19" a="1"/>
  <c r="P197" i="19" s="1"/>
  <c r="Q197" i="19" a="1"/>
  <c r="Q197" i="19" s="1"/>
  <c r="R197" i="19" a="1"/>
  <c r="R197" i="19" s="1"/>
  <c r="U197" i="19" a="1"/>
  <c r="U197" i="19" s="1"/>
  <c r="V197" i="19" a="1"/>
  <c r="V197" i="19" s="1"/>
  <c r="W197" i="19" a="1"/>
  <c r="W197" i="19" s="1"/>
  <c r="X197" i="19" a="1"/>
  <c r="X197" i="19" s="1"/>
  <c r="K198" i="19" a="1"/>
  <c r="K198" i="19" s="1"/>
  <c r="L198" i="19" a="1"/>
  <c r="L198" i="19" s="1"/>
  <c r="M198" i="19" a="1"/>
  <c r="M198" i="19" s="1"/>
  <c r="N198" i="19" a="1"/>
  <c r="N198" i="19" s="1"/>
  <c r="O198" i="19" a="1"/>
  <c r="O198" i="19" s="1"/>
  <c r="P198" i="19" a="1"/>
  <c r="P198" i="19" s="1"/>
  <c r="Q198" i="19" a="1"/>
  <c r="Q198" i="19" s="1"/>
  <c r="R198" i="19" a="1"/>
  <c r="R198" i="19" s="1"/>
  <c r="U198" i="19" a="1"/>
  <c r="U198" i="19" s="1"/>
  <c r="V198" i="19" a="1"/>
  <c r="V198" i="19" s="1"/>
  <c r="W198" i="19" a="1"/>
  <c r="W198" i="19" s="1"/>
  <c r="X198" i="19" a="1"/>
  <c r="X198" i="19" s="1"/>
  <c r="K199" i="19" a="1"/>
  <c r="K199" i="19" s="1"/>
  <c r="L199" i="19" a="1"/>
  <c r="L199" i="19" s="1"/>
  <c r="M199" i="19" a="1"/>
  <c r="M199" i="19" s="1"/>
  <c r="N199" i="19" a="1"/>
  <c r="N199" i="19" s="1"/>
  <c r="O199" i="19" a="1"/>
  <c r="O199" i="19" s="1"/>
  <c r="P199" i="19" a="1"/>
  <c r="P199" i="19" s="1"/>
  <c r="Q199" i="19" a="1"/>
  <c r="Q199" i="19" s="1"/>
  <c r="R199" i="19" a="1"/>
  <c r="R199" i="19" s="1"/>
  <c r="U199" i="19" a="1"/>
  <c r="U199" i="19" s="1"/>
  <c r="V199" i="19" a="1"/>
  <c r="V199" i="19" s="1"/>
  <c r="W199" i="19" a="1"/>
  <c r="W199" i="19" s="1"/>
  <c r="X199" i="19" a="1"/>
  <c r="X199" i="19" s="1"/>
  <c r="K200" i="19" a="1"/>
  <c r="K200" i="19" s="1"/>
  <c r="L200" i="19" a="1"/>
  <c r="L200" i="19" s="1"/>
  <c r="M200" i="19" a="1"/>
  <c r="M200" i="19" s="1"/>
  <c r="N200" i="19" a="1"/>
  <c r="N200" i="19" s="1"/>
  <c r="O200" i="19" a="1"/>
  <c r="O200" i="19" s="1"/>
  <c r="P200" i="19" a="1"/>
  <c r="P200" i="19" s="1"/>
  <c r="Q200" i="19" a="1"/>
  <c r="Q200" i="19" s="1"/>
  <c r="R200" i="19" a="1"/>
  <c r="R200" i="19" s="1"/>
  <c r="U200" i="19" a="1"/>
  <c r="U200" i="19" s="1"/>
  <c r="V200" i="19" a="1"/>
  <c r="V200" i="19" s="1"/>
  <c r="W200" i="19" a="1"/>
  <c r="W200" i="19" s="1"/>
  <c r="X200" i="19" a="1"/>
  <c r="X200" i="19" s="1"/>
  <c r="K201" i="19" a="1"/>
  <c r="K201" i="19" s="1"/>
  <c r="L201" i="19" a="1"/>
  <c r="L201" i="19" s="1"/>
  <c r="M201" i="19" a="1"/>
  <c r="M201" i="19" s="1"/>
  <c r="N201" i="19" a="1"/>
  <c r="N201" i="19" s="1"/>
  <c r="O201" i="19" a="1"/>
  <c r="O201" i="19" s="1"/>
  <c r="P201" i="19" a="1"/>
  <c r="P201" i="19" s="1"/>
  <c r="Q201" i="19" a="1"/>
  <c r="Q201" i="19" s="1"/>
  <c r="R201" i="19" a="1"/>
  <c r="R201" i="19" s="1"/>
  <c r="U201" i="19" a="1"/>
  <c r="U201" i="19" s="1"/>
  <c r="V201" i="19" a="1"/>
  <c r="V201" i="19" s="1"/>
  <c r="W201" i="19" a="1"/>
  <c r="W201" i="19" s="1"/>
  <c r="X201" i="19" a="1"/>
  <c r="X201" i="19" s="1"/>
  <c r="K202" i="19" a="1"/>
  <c r="K202" i="19" s="1"/>
  <c r="L202" i="19" a="1"/>
  <c r="L202" i="19" s="1"/>
  <c r="M202" i="19" a="1"/>
  <c r="M202" i="19" s="1"/>
  <c r="N202" i="19" a="1"/>
  <c r="N202" i="19" s="1"/>
  <c r="O202" i="19" a="1"/>
  <c r="O202" i="19" s="1"/>
  <c r="P202" i="19" a="1"/>
  <c r="P202" i="19" s="1"/>
  <c r="Q202" i="19" a="1"/>
  <c r="Q202" i="19" s="1"/>
  <c r="R202" i="19" a="1"/>
  <c r="R202" i="19" s="1"/>
  <c r="U202" i="19" a="1"/>
  <c r="U202" i="19" s="1"/>
  <c r="V202" i="19" a="1"/>
  <c r="V202" i="19" s="1"/>
  <c r="W202" i="19" a="1"/>
  <c r="W202" i="19" s="1"/>
  <c r="X202" i="19" a="1"/>
  <c r="X202" i="19" s="1"/>
  <c r="K203" i="19" a="1"/>
  <c r="K203" i="19" s="1"/>
  <c r="L203" i="19" a="1"/>
  <c r="L203" i="19" s="1"/>
  <c r="M203" i="19" a="1"/>
  <c r="M203" i="19" s="1"/>
  <c r="N203" i="19" a="1"/>
  <c r="N203" i="19" s="1"/>
  <c r="O203" i="19" a="1"/>
  <c r="O203" i="19" s="1"/>
  <c r="P203" i="19" a="1"/>
  <c r="P203" i="19" s="1"/>
  <c r="Q203" i="19" a="1"/>
  <c r="Q203" i="19" s="1"/>
  <c r="R203" i="19" a="1"/>
  <c r="R203" i="19" s="1"/>
  <c r="U203" i="19" a="1"/>
  <c r="U203" i="19" s="1"/>
  <c r="V203" i="19" a="1"/>
  <c r="V203" i="19" s="1"/>
  <c r="W203" i="19" a="1"/>
  <c r="W203" i="19" s="1"/>
  <c r="X203" i="19" a="1"/>
  <c r="X203" i="19" s="1"/>
  <c r="K204" i="19" a="1"/>
  <c r="K204" i="19" s="1"/>
  <c r="L204" i="19" a="1"/>
  <c r="L204" i="19" s="1"/>
  <c r="M204" i="19" a="1"/>
  <c r="M204" i="19" s="1"/>
  <c r="N204" i="19" a="1"/>
  <c r="N204" i="19" s="1"/>
  <c r="O204" i="19" a="1"/>
  <c r="O204" i="19" s="1"/>
  <c r="P204" i="19" a="1"/>
  <c r="P204" i="19" s="1"/>
  <c r="Q204" i="19" a="1"/>
  <c r="Q204" i="19" s="1"/>
  <c r="R204" i="19" a="1"/>
  <c r="R204" i="19" s="1"/>
  <c r="U204" i="19" a="1"/>
  <c r="U204" i="19" s="1"/>
  <c r="V204" i="19" a="1"/>
  <c r="V204" i="19" s="1"/>
  <c r="W204" i="19" a="1"/>
  <c r="W204" i="19" s="1"/>
  <c r="X204" i="19" a="1"/>
  <c r="X204" i="19" s="1"/>
  <c r="K205" i="19" a="1"/>
  <c r="K205" i="19" s="1"/>
  <c r="L205" i="19" a="1"/>
  <c r="L205" i="19" s="1"/>
  <c r="M205" i="19" a="1"/>
  <c r="M205" i="19" s="1"/>
  <c r="N205" i="19" a="1"/>
  <c r="N205" i="19" s="1"/>
  <c r="O205" i="19" a="1"/>
  <c r="O205" i="19" s="1"/>
  <c r="P205" i="19" a="1"/>
  <c r="P205" i="19" s="1"/>
  <c r="Q205" i="19" a="1"/>
  <c r="Q205" i="19" s="1"/>
  <c r="R205" i="19" a="1"/>
  <c r="R205" i="19" s="1"/>
  <c r="U205" i="19" a="1"/>
  <c r="U205" i="19" s="1"/>
  <c r="V205" i="19" a="1"/>
  <c r="V205" i="19" s="1"/>
  <c r="W205" i="19" a="1"/>
  <c r="W205" i="19" s="1"/>
  <c r="X205" i="19" a="1"/>
  <c r="X205" i="19" s="1"/>
  <c r="K206" i="19" a="1"/>
  <c r="K206" i="19" s="1"/>
  <c r="L206" i="19" a="1"/>
  <c r="L206" i="19" s="1"/>
  <c r="M206" i="19" a="1"/>
  <c r="M206" i="19" s="1"/>
  <c r="N206" i="19" a="1"/>
  <c r="N206" i="19" s="1"/>
  <c r="O206" i="19" a="1"/>
  <c r="O206" i="19" s="1"/>
  <c r="P206" i="19" a="1"/>
  <c r="P206" i="19" s="1"/>
  <c r="Q206" i="19" a="1"/>
  <c r="Q206" i="19" s="1"/>
  <c r="R206" i="19" a="1"/>
  <c r="R206" i="19" s="1"/>
  <c r="U206" i="19" a="1"/>
  <c r="U206" i="19" s="1"/>
  <c r="V206" i="19" a="1"/>
  <c r="V206" i="19" s="1"/>
  <c r="W206" i="19" a="1"/>
  <c r="W206" i="19" s="1"/>
  <c r="X206" i="19" a="1"/>
  <c r="X206" i="19" s="1"/>
  <c r="K207" i="19" a="1"/>
  <c r="K207" i="19" s="1"/>
  <c r="L207" i="19" a="1"/>
  <c r="L207" i="19" s="1"/>
  <c r="M207" i="19" a="1"/>
  <c r="M207" i="19" s="1"/>
  <c r="N207" i="19" a="1"/>
  <c r="N207" i="19" s="1"/>
  <c r="O207" i="19" a="1"/>
  <c r="O207" i="19" s="1"/>
  <c r="P207" i="19" a="1"/>
  <c r="P207" i="19" s="1"/>
  <c r="Q207" i="19" a="1"/>
  <c r="Q207" i="19" s="1"/>
  <c r="R207" i="19" a="1"/>
  <c r="R207" i="19" s="1"/>
  <c r="U207" i="19" a="1"/>
  <c r="U207" i="19" s="1"/>
  <c r="V207" i="19" a="1"/>
  <c r="V207" i="19" s="1"/>
  <c r="W207" i="19" a="1"/>
  <c r="W207" i="19" s="1"/>
  <c r="X207" i="19" a="1"/>
  <c r="X207" i="19" s="1"/>
  <c r="K208" i="19" a="1"/>
  <c r="K208" i="19" s="1"/>
  <c r="L208" i="19" a="1"/>
  <c r="L208" i="19" s="1"/>
  <c r="M208" i="19" a="1"/>
  <c r="M208" i="19" s="1"/>
  <c r="N208" i="19" a="1"/>
  <c r="N208" i="19" s="1"/>
  <c r="O208" i="19" a="1"/>
  <c r="O208" i="19" s="1"/>
  <c r="P208" i="19" a="1"/>
  <c r="P208" i="19" s="1"/>
  <c r="Q208" i="19" a="1"/>
  <c r="Q208" i="19" s="1"/>
  <c r="R208" i="19" a="1"/>
  <c r="R208" i="19" s="1"/>
  <c r="U208" i="19" a="1"/>
  <c r="U208" i="19" s="1"/>
  <c r="V208" i="19" a="1"/>
  <c r="V208" i="19" s="1"/>
  <c r="W208" i="19" a="1"/>
  <c r="W208" i="19" s="1"/>
  <c r="X208" i="19" a="1"/>
  <c r="X208" i="19" s="1"/>
  <c r="K209" i="19" a="1"/>
  <c r="K209" i="19" s="1"/>
  <c r="L209" i="19" a="1"/>
  <c r="L209" i="19" s="1"/>
  <c r="M209" i="19" a="1"/>
  <c r="M209" i="19" s="1"/>
  <c r="N209" i="19" a="1"/>
  <c r="N209" i="19" s="1"/>
  <c r="O209" i="19" a="1"/>
  <c r="O209" i="19" s="1"/>
  <c r="P209" i="19" a="1"/>
  <c r="P209" i="19" s="1"/>
  <c r="Q209" i="19" a="1"/>
  <c r="Q209" i="19" s="1"/>
  <c r="R209" i="19" a="1"/>
  <c r="R209" i="19" s="1"/>
  <c r="U209" i="19" a="1"/>
  <c r="U209" i="19" s="1"/>
  <c r="V209" i="19" a="1"/>
  <c r="V209" i="19" s="1"/>
  <c r="W209" i="19" a="1"/>
  <c r="W209" i="19" s="1"/>
  <c r="X209" i="19" a="1"/>
  <c r="X209" i="19" s="1"/>
  <c r="K210" i="19" a="1"/>
  <c r="K210" i="19" s="1"/>
  <c r="L210" i="19" a="1"/>
  <c r="L210" i="19" s="1"/>
  <c r="M210" i="19" a="1"/>
  <c r="M210" i="19" s="1"/>
  <c r="N210" i="19" a="1"/>
  <c r="N210" i="19" s="1"/>
  <c r="O210" i="19" a="1"/>
  <c r="O210" i="19" s="1"/>
  <c r="P210" i="19" a="1"/>
  <c r="P210" i="19" s="1"/>
  <c r="Q210" i="19" a="1"/>
  <c r="Q210" i="19" s="1"/>
  <c r="R210" i="19" a="1"/>
  <c r="R210" i="19" s="1"/>
  <c r="U210" i="19" a="1"/>
  <c r="U210" i="19" s="1"/>
  <c r="V210" i="19" a="1"/>
  <c r="V210" i="19" s="1"/>
  <c r="W210" i="19" a="1"/>
  <c r="W210" i="19" s="1"/>
  <c r="X210" i="19" a="1"/>
  <c r="X210" i="19" s="1"/>
  <c r="K211" i="19" a="1"/>
  <c r="K211" i="19" s="1"/>
  <c r="L211" i="19" a="1"/>
  <c r="L211" i="19" s="1"/>
  <c r="M211" i="19" a="1"/>
  <c r="M211" i="19" s="1"/>
  <c r="N211" i="19" a="1"/>
  <c r="N211" i="19" s="1"/>
  <c r="O211" i="19" a="1"/>
  <c r="O211" i="19" s="1"/>
  <c r="P211" i="19" a="1"/>
  <c r="P211" i="19" s="1"/>
  <c r="Q211" i="19" a="1"/>
  <c r="Q211" i="19" s="1"/>
  <c r="R211" i="19" a="1"/>
  <c r="R211" i="19" s="1"/>
  <c r="U211" i="19" a="1"/>
  <c r="U211" i="19" s="1"/>
  <c r="V211" i="19" a="1"/>
  <c r="V211" i="19" s="1"/>
  <c r="W211" i="19" a="1"/>
  <c r="W211" i="19" s="1"/>
  <c r="X211" i="19" a="1"/>
  <c r="X211" i="19" s="1"/>
  <c r="K212" i="19" a="1"/>
  <c r="K212" i="19" s="1"/>
  <c r="L212" i="19" a="1"/>
  <c r="L212" i="19" s="1"/>
  <c r="M212" i="19" a="1"/>
  <c r="M212" i="19" s="1"/>
  <c r="N212" i="19" a="1"/>
  <c r="N212" i="19" s="1"/>
  <c r="O212" i="19" a="1"/>
  <c r="O212" i="19" s="1"/>
  <c r="P212" i="19" a="1"/>
  <c r="P212" i="19" s="1"/>
  <c r="Q212" i="19" a="1"/>
  <c r="Q212" i="19" s="1"/>
  <c r="R212" i="19" a="1"/>
  <c r="R212" i="19" s="1"/>
  <c r="U212" i="19" a="1"/>
  <c r="U212" i="19" s="1"/>
  <c r="V212" i="19" a="1"/>
  <c r="V212" i="19" s="1"/>
  <c r="W212" i="19" a="1"/>
  <c r="W212" i="19" s="1"/>
  <c r="X212" i="19" a="1"/>
  <c r="X212" i="19" s="1"/>
  <c r="K213" i="19" a="1"/>
  <c r="K213" i="19" s="1"/>
  <c r="L213" i="19" a="1"/>
  <c r="L213" i="19" s="1"/>
  <c r="M213" i="19" a="1"/>
  <c r="M213" i="19" s="1"/>
  <c r="N213" i="19" a="1"/>
  <c r="N213" i="19" s="1"/>
  <c r="O213" i="19" a="1"/>
  <c r="O213" i="19" s="1"/>
  <c r="P213" i="19" a="1"/>
  <c r="P213" i="19" s="1"/>
  <c r="Q213" i="19" a="1"/>
  <c r="Q213" i="19" s="1"/>
  <c r="R213" i="19" a="1"/>
  <c r="R213" i="19" s="1"/>
  <c r="U213" i="19" a="1"/>
  <c r="U213" i="19" s="1"/>
  <c r="V213" i="19" a="1"/>
  <c r="V213" i="19" s="1"/>
  <c r="W213" i="19" a="1"/>
  <c r="W213" i="19" s="1"/>
  <c r="X213" i="19" a="1"/>
  <c r="X213" i="19" s="1"/>
  <c r="K214" i="19" a="1"/>
  <c r="K214" i="19" s="1"/>
  <c r="L214" i="19" a="1"/>
  <c r="L214" i="19" s="1"/>
  <c r="M214" i="19" a="1"/>
  <c r="M214" i="19" s="1"/>
  <c r="N214" i="19" a="1"/>
  <c r="N214" i="19" s="1"/>
  <c r="O214" i="19" a="1"/>
  <c r="O214" i="19" s="1"/>
  <c r="P214" i="19" a="1"/>
  <c r="P214" i="19" s="1"/>
  <c r="Q214" i="19" a="1"/>
  <c r="Q214" i="19" s="1"/>
  <c r="R214" i="19" a="1"/>
  <c r="R214" i="19" s="1"/>
  <c r="U214" i="19" a="1"/>
  <c r="U214" i="19" s="1"/>
  <c r="V214" i="19" a="1"/>
  <c r="V214" i="19" s="1"/>
  <c r="W214" i="19" a="1"/>
  <c r="W214" i="19" s="1"/>
  <c r="X214" i="19" a="1"/>
  <c r="X214" i="19" s="1"/>
  <c r="K215" i="19" a="1"/>
  <c r="K215" i="19" s="1"/>
  <c r="L215" i="19" a="1"/>
  <c r="L215" i="19" s="1"/>
  <c r="M215" i="19" a="1"/>
  <c r="M215" i="19" s="1"/>
  <c r="N215" i="19" a="1"/>
  <c r="N215" i="19" s="1"/>
  <c r="O215" i="19" a="1"/>
  <c r="O215" i="19" s="1"/>
  <c r="P215" i="19" a="1"/>
  <c r="P215" i="19" s="1"/>
  <c r="Q215" i="19" a="1"/>
  <c r="Q215" i="19" s="1"/>
  <c r="R215" i="19" a="1"/>
  <c r="R215" i="19" s="1"/>
  <c r="U215" i="19" a="1"/>
  <c r="U215" i="19" s="1"/>
  <c r="V215" i="19" a="1"/>
  <c r="V215" i="19" s="1"/>
  <c r="W215" i="19" a="1"/>
  <c r="W215" i="19" s="1"/>
  <c r="X215" i="19" a="1"/>
  <c r="X215" i="19" s="1"/>
  <c r="K216" i="19" a="1"/>
  <c r="K216" i="19" s="1"/>
  <c r="L216" i="19" a="1"/>
  <c r="L216" i="19" s="1"/>
  <c r="M216" i="19" a="1"/>
  <c r="M216" i="19" s="1"/>
  <c r="N216" i="19" a="1"/>
  <c r="N216" i="19" s="1"/>
  <c r="O216" i="19" a="1"/>
  <c r="O216" i="19" s="1"/>
  <c r="P216" i="19" a="1"/>
  <c r="P216" i="19" s="1"/>
  <c r="Q216" i="19" a="1"/>
  <c r="Q216" i="19" s="1"/>
  <c r="R216" i="19" a="1"/>
  <c r="R216" i="19" s="1"/>
  <c r="U216" i="19" a="1"/>
  <c r="U216" i="19" s="1"/>
  <c r="V216" i="19" a="1"/>
  <c r="V216" i="19" s="1"/>
  <c r="W216" i="19" a="1"/>
  <c r="W216" i="19" s="1"/>
  <c r="X216" i="19" a="1"/>
  <c r="X216" i="19" s="1"/>
  <c r="K217" i="19" a="1"/>
  <c r="K217" i="19" s="1"/>
  <c r="L217" i="19" a="1"/>
  <c r="L217" i="19" s="1"/>
  <c r="M217" i="19" a="1"/>
  <c r="M217" i="19" s="1"/>
  <c r="N217" i="19" a="1"/>
  <c r="N217" i="19" s="1"/>
  <c r="O217" i="19" a="1"/>
  <c r="O217" i="19" s="1"/>
  <c r="P217" i="19" a="1"/>
  <c r="P217" i="19" s="1"/>
  <c r="Q217" i="19" a="1"/>
  <c r="Q217" i="19" s="1"/>
  <c r="R217" i="19" a="1"/>
  <c r="R217" i="19" s="1"/>
  <c r="U217" i="19" a="1"/>
  <c r="U217" i="19" s="1"/>
  <c r="V217" i="19" a="1"/>
  <c r="V217" i="19" s="1"/>
  <c r="W217" i="19" a="1"/>
  <c r="W217" i="19" s="1"/>
  <c r="X217" i="19" a="1"/>
  <c r="X217" i="19" s="1"/>
  <c r="K218" i="19" a="1"/>
  <c r="K218" i="19" s="1"/>
  <c r="L218" i="19" a="1"/>
  <c r="L218" i="19" s="1"/>
  <c r="M218" i="19" a="1"/>
  <c r="M218" i="19" s="1"/>
  <c r="N218" i="19" a="1"/>
  <c r="N218" i="19" s="1"/>
  <c r="O218" i="19" a="1"/>
  <c r="O218" i="19" s="1"/>
  <c r="P218" i="19" a="1"/>
  <c r="P218" i="19" s="1"/>
  <c r="Q218" i="19" a="1"/>
  <c r="Q218" i="19" s="1"/>
  <c r="R218" i="19" a="1"/>
  <c r="R218" i="19" s="1"/>
  <c r="U218" i="19" a="1"/>
  <c r="U218" i="19" s="1"/>
  <c r="V218" i="19" a="1"/>
  <c r="V218" i="19" s="1"/>
  <c r="W218" i="19" a="1"/>
  <c r="W218" i="19" s="1"/>
  <c r="X218" i="19" a="1"/>
  <c r="X218" i="19" s="1"/>
  <c r="K219" i="19" a="1"/>
  <c r="K219" i="19" s="1"/>
  <c r="L219" i="19" a="1"/>
  <c r="L219" i="19" s="1"/>
  <c r="M219" i="19" a="1"/>
  <c r="M219" i="19" s="1"/>
  <c r="N219" i="19" a="1"/>
  <c r="N219" i="19" s="1"/>
  <c r="O219" i="19" a="1"/>
  <c r="O219" i="19" s="1"/>
  <c r="P219" i="19" a="1"/>
  <c r="P219" i="19" s="1"/>
  <c r="Q219" i="19" a="1"/>
  <c r="Q219" i="19" s="1"/>
  <c r="R219" i="19" a="1"/>
  <c r="R219" i="19" s="1"/>
  <c r="U219" i="19" a="1"/>
  <c r="U219" i="19" s="1"/>
  <c r="V219" i="19" a="1"/>
  <c r="V219" i="19" s="1"/>
  <c r="W219" i="19" a="1"/>
  <c r="W219" i="19" s="1"/>
  <c r="X219" i="19" a="1"/>
  <c r="X219" i="19" s="1"/>
  <c r="K220" i="19" a="1"/>
  <c r="K220" i="19" s="1"/>
  <c r="L220" i="19" a="1"/>
  <c r="L220" i="19" s="1"/>
  <c r="M220" i="19" a="1"/>
  <c r="M220" i="19" s="1"/>
  <c r="N220" i="19" a="1"/>
  <c r="N220" i="19" s="1"/>
  <c r="O220" i="19" a="1"/>
  <c r="O220" i="19" s="1"/>
  <c r="P220" i="19" a="1"/>
  <c r="P220" i="19" s="1"/>
  <c r="Q220" i="19" a="1"/>
  <c r="Q220" i="19" s="1"/>
  <c r="R220" i="19" a="1"/>
  <c r="R220" i="19" s="1"/>
  <c r="U220" i="19" a="1"/>
  <c r="U220" i="19" s="1"/>
  <c r="V220" i="19" a="1"/>
  <c r="V220" i="19" s="1"/>
  <c r="W220" i="19" a="1"/>
  <c r="W220" i="19" s="1"/>
  <c r="X220" i="19" a="1"/>
  <c r="X220" i="19" s="1"/>
  <c r="K221" i="19" a="1"/>
  <c r="K221" i="19" s="1"/>
  <c r="L221" i="19" a="1"/>
  <c r="L221" i="19" s="1"/>
  <c r="M221" i="19" a="1"/>
  <c r="M221" i="19" s="1"/>
  <c r="N221" i="19" a="1"/>
  <c r="N221" i="19" s="1"/>
  <c r="O221" i="19" a="1"/>
  <c r="O221" i="19" s="1"/>
  <c r="P221" i="19" a="1"/>
  <c r="P221" i="19" s="1"/>
  <c r="Q221" i="19" a="1"/>
  <c r="Q221" i="19" s="1"/>
  <c r="R221" i="19" a="1"/>
  <c r="R221" i="19" s="1"/>
  <c r="U221" i="19" a="1"/>
  <c r="U221" i="19" s="1"/>
  <c r="V221" i="19" a="1"/>
  <c r="V221" i="19" s="1"/>
  <c r="W221" i="19" a="1"/>
  <c r="W221" i="19" s="1"/>
  <c r="X221" i="19" a="1"/>
  <c r="X221" i="19" s="1"/>
  <c r="K222" i="19" a="1"/>
  <c r="K222" i="19" s="1"/>
  <c r="L222" i="19" a="1"/>
  <c r="L222" i="19" s="1"/>
  <c r="M222" i="19" a="1"/>
  <c r="M222" i="19" s="1"/>
  <c r="N222" i="19" a="1"/>
  <c r="N222" i="19" s="1"/>
  <c r="O222" i="19" a="1"/>
  <c r="O222" i="19" s="1"/>
  <c r="P222" i="19" a="1"/>
  <c r="P222" i="19" s="1"/>
  <c r="Q222" i="19" a="1"/>
  <c r="Q222" i="19" s="1"/>
  <c r="R222" i="19" a="1"/>
  <c r="R222" i="19" s="1"/>
  <c r="U222" i="19" a="1"/>
  <c r="U222" i="19" s="1"/>
  <c r="V222" i="19" a="1"/>
  <c r="V222" i="19" s="1"/>
  <c r="W222" i="19" a="1"/>
  <c r="W222" i="19" s="1"/>
  <c r="X222" i="19" a="1"/>
  <c r="X222" i="19" s="1"/>
  <c r="K223" i="19" a="1"/>
  <c r="K223" i="19" s="1"/>
  <c r="L223" i="19" a="1"/>
  <c r="L223" i="19" s="1"/>
  <c r="M223" i="19" a="1"/>
  <c r="M223" i="19" s="1"/>
  <c r="N223" i="19" a="1"/>
  <c r="N223" i="19" s="1"/>
  <c r="O223" i="19" a="1"/>
  <c r="O223" i="19" s="1"/>
  <c r="P223" i="19" a="1"/>
  <c r="P223" i="19" s="1"/>
  <c r="Q223" i="19" a="1"/>
  <c r="Q223" i="19" s="1"/>
  <c r="R223" i="19" a="1"/>
  <c r="R223" i="19" s="1"/>
  <c r="U223" i="19" a="1"/>
  <c r="U223" i="19" s="1"/>
  <c r="V223" i="19" a="1"/>
  <c r="V223" i="19" s="1"/>
  <c r="W223" i="19" a="1"/>
  <c r="W223" i="19" s="1"/>
  <c r="X223" i="19" a="1"/>
  <c r="X223" i="19" s="1"/>
  <c r="K224" i="19" a="1"/>
  <c r="K224" i="19" s="1"/>
  <c r="L224" i="19" a="1"/>
  <c r="L224" i="19" s="1"/>
  <c r="M224" i="19" a="1"/>
  <c r="M224" i="19" s="1"/>
  <c r="N224" i="19" a="1"/>
  <c r="N224" i="19" s="1"/>
  <c r="O224" i="19" a="1"/>
  <c r="O224" i="19" s="1"/>
  <c r="P224" i="19" a="1"/>
  <c r="P224" i="19" s="1"/>
  <c r="Q224" i="19" a="1"/>
  <c r="Q224" i="19" s="1"/>
  <c r="R224" i="19" a="1"/>
  <c r="R224" i="19" s="1"/>
  <c r="U224" i="19" a="1"/>
  <c r="U224" i="19" s="1"/>
  <c r="V224" i="19" a="1"/>
  <c r="V224" i="19" s="1"/>
  <c r="W224" i="19" a="1"/>
  <c r="W224" i="19" s="1"/>
  <c r="X224" i="19" a="1"/>
  <c r="X224" i="19" s="1"/>
  <c r="K225" i="19" a="1"/>
  <c r="K225" i="19" s="1"/>
  <c r="L225" i="19" a="1"/>
  <c r="L225" i="19" s="1"/>
  <c r="M225" i="19" a="1"/>
  <c r="M225" i="19" s="1"/>
  <c r="N225" i="19" a="1"/>
  <c r="N225" i="19" s="1"/>
  <c r="O225" i="19" a="1"/>
  <c r="O225" i="19" s="1"/>
  <c r="P225" i="19" a="1"/>
  <c r="P225" i="19" s="1"/>
  <c r="Q225" i="19" a="1"/>
  <c r="Q225" i="19" s="1"/>
  <c r="R225" i="19" a="1"/>
  <c r="R225" i="19" s="1"/>
  <c r="U225" i="19" a="1"/>
  <c r="U225" i="19" s="1"/>
  <c r="V225" i="19" a="1"/>
  <c r="V225" i="19" s="1"/>
  <c r="W225" i="19" a="1"/>
  <c r="W225" i="19" s="1"/>
  <c r="X225" i="19" a="1"/>
  <c r="X225" i="19" s="1"/>
  <c r="K226" i="19" a="1"/>
  <c r="K226" i="19" s="1"/>
  <c r="L226" i="19" a="1"/>
  <c r="L226" i="19" s="1"/>
  <c r="M226" i="19" a="1"/>
  <c r="M226" i="19" s="1"/>
  <c r="N226" i="19" a="1"/>
  <c r="N226" i="19" s="1"/>
  <c r="O226" i="19" a="1"/>
  <c r="O226" i="19" s="1"/>
  <c r="P226" i="19" a="1"/>
  <c r="P226" i="19" s="1"/>
  <c r="Q226" i="19" a="1"/>
  <c r="Q226" i="19" s="1"/>
  <c r="R226" i="19" a="1"/>
  <c r="R226" i="19" s="1"/>
  <c r="U226" i="19" a="1"/>
  <c r="U226" i="19" s="1"/>
  <c r="V226" i="19" a="1"/>
  <c r="V226" i="19" s="1"/>
  <c r="W226" i="19" a="1"/>
  <c r="W226" i="19" s="1"/>
  <c r="X226" i="19" a="1"/>
  <c r="X226" i="19" s="1"/>
  <c r="K227" i="19" a="1"/>
  <c r="K227" i="19" s="1"/>
  <c r="L227" i="19" a="1"/>
  <c r="L227" i="19" s="1"/>
  <c r="M227" i="19" a="1"/>
  <c r="M227" i="19" s="1"/>
  <c r="N227" i="19" a="1"/>
  <c r="N227" i="19" s="1"/>
  <c r="O227" i="19" a="1"/>
  <c r="O227" i="19" s="1"/>
  <c r="P227" i="19" a="1"/>
  <c r="P227" i="19" s="1"/>
  <c r="Q227" i="19" a="1"/>
  <c r="Q227" i="19" s="1"/>
  <c r="R227" i="19" a="1"/>
  <c r="R227" i="19" s="1"/>
  <c r="U227" i="19" a="1"/>
  <c r="U227" i="19" s="1"/>
  <c r="V227" i="19" a="1"/>
  <c r="V227" i="19" s="1"/>
  <c r="W227" i="19" a="1"/>
  <c r="W227" i="19" s="1"/>
  <c r="X227" i="19" a="1"/>
  <c r="X227" i="19" s="1"/>
  <c r="K228" i="19" a="1"/>
  <c r="K228" i="19" s="1"/>
  <c r="L228" i="19" a="1"/>
  <c r="L228" i="19" s="1"/>
  <c r="M228" i="19" a="1"/>
  <c r="M228" i="19" s="1"/>
  <c r="N228" i="19" a="1"/>
  <c r="N228" i="19" s="1"/>
  <c r="O228" i="19" a="1"/>
  <c r="O228" i="19" s="1"/>
  <c r="P228" i="19" a="1"/>
  <c r="P228" i="19" s="1"/>
  <c r="Q228" i="19" a="1"/>
  <c r="Q228" i="19" s="1"/>
  <c r="R228" i="19" a="1"/>
  <c r="R228" i="19" s="1"/>
  <c r="U228" i="19" a="1"/>
  <c r="U228" i="19" s="1"/>
  <c r="V228" i="19" a="1"/>
  <c r="V228" i="19" s="1"/>
  <c r="W228" i="19" a="1"/>
  <c r="W228" i="19" s="1"/>
  <c r="X228" i="19" a="1"/>
  <c r="X228" i="19" s="1"/>
  <c r="K229" i="19" a="1"/>
  <c r="K229" i="19" s="1"/>
  <c r="L229" i="19" a="1"/>
  <c r="L229" i="19" s="1"/>
  <c r="M229" i="19" a="1"/>
  <c r="M229" i="19" s="1"/>
  <c r="N229" i="19" a="1"/>
  <c r="N229" i="19" s="1"/>
  <c r="O229" i="19" a="1"/>
  <c r="O229" i="19" s="1"/>
  <c r="P229" i="19" a="1"/>
  <c r="P229" i="19" s="1"/>
  <c r="Q229" i="19" a="1"/>
  <c r="Q229" i="19" s="1"/>
  <c r="R229" i="19" a="1"/>
  <c r="R229" i="19" s="1"/>
  <c r="U229" i="19" a="1"/>
  <c r="U229" i="19" s="1"/>
  <c r="V229" i="19" a="1"/>
  <c r="V229" i="19" s="1"/>
  <c r="W229" i="19" a="1"/>
  <c r="W229" i="19" s="1"/>
  <c r="X229" i="19" a="1"/>
  <c r="X229" i="19" s="1"/>
  <c r="K230" i="19" a="1"/>
  <c r="K230" i="19" s="1"/>
  <c r="L230" i="19" a="1"/>
  <c r="L230" i="19" s="1"/>
  <c r="M230" i="19" a="1"/>
  <c r="M230" i="19" s="1"/>
  <c r="N230" i="19" a="1"/>
  <c r="N230" i="19" s="1"/>
  <c r="O230" i="19" a="1"/>
  <c r="O230" i="19" s="1"/>
  <c r="P230" i="19" a="1"/>
  <c r="P230" i="19" s="1"/>
  <c r="Q230" i="19" a="1"/>
  <c r="Q230" i="19" s="1"/>
  <c r="R230" i="19" a="1"/>
  <c r="R230" i="19" s="1"/>
  <c r="U230" i="19" a="1"/>
  <c r="U230" i="19" s="1"/>
  <c r="V230" i="19" a="1"/>
  <c r="V230" i="19" s="1"/>
  <c r="W230" i="19" a="1"/>
  <c r="W230" i="19" s="1"/>
  <c r="X230" i="19" a="1"/>
  <c r="X230" i="19" s="1"/>
  <c r="K231" i="19" a="1"/>
  <c r="K231" i="19" s="1"/>
  <c r="L231" i="19" a="1"/>
  <c r="L231" i="19" s="1"/>
  <c r="M231" i="19" a="1"/>
  <c r="M231" i="19" s="1"/>
  <c r="N231" i="19" a="1"/>
  <c r="N231" i="19" s="1"/>
  <c r="O231" i="19" a="1"/>
  <c r="O231" i="19" s="1"/>
  <c r="P231" i="19" a="1"/>
  <c r="P231" i="19" s="1"/>
  <c r="Q231" i="19" a="1"/>
  <c r="Q231" i="19" s="1"/>
  <c r="R231" i="19" a="1"/>
  <c r="R231" i="19" s="1"/>
  <c r="U231" i="19" a="1"/>
  <c r="U231" i="19" s="1"/>
  <c r="V231" i="19" a="1"/>
  <c r="V231" i="19" s="1"/>
  <c r="W231" i="19" a="1"/>
  <c r="W231" i="19" s="1"/>
  <c r="X231" i="19" a="1"/>
  <c r="X231" i="19" s="1"/>
  <c r="K232" i="19" a="1"/>
  <c r="K232" i="19" s="1"/>
  <c r="L232" i="19" a="1"/>
  <c r="L232" i="19" s="1"/>
  <c r="M232" i="19" a="1"/>
  <c r="M232" i="19" s="1"/>
  <c r="N232" i="19" a="1"/>
  <c r="N232" i="19" s="1"/>
  <c r="O232" i="19" a="1"/>
  <c r="O232" i="19" s="1"/>
  <c r="P232" i="19" a="1"/>
  <c r="P232" i="19" s="1"/>
  <c r="Q232" i="19" a="1"/>
  <c r="Q232" i="19" s="1"/>
  <c r="R232" i="19" a="1"/>
  <c r="R232" i="19" s="1"/>
  <c r="U232" i="19" a="1"/>
  <c r="U232" i="19" s="1"/>
  <c r="V232" i="19" a="1"/>
  <c r="V232" i="19" s="1"/>
  <c r="W232" i="19" a="1"/>
  <c r="W232" i="19" s="1"/>
  <c r="X232" i="19" a="1"/>
  <c r="X232" i="19" s="1"/>
  <c r="K233" i="19" a="1"/>
  <c r="K233" i="19" s="1"/>
  <c r="L233" i="19" a="1"/>
  <c r="L233" i="19" s="1"/>
  <c r="M233" i="19" a="1"/>
  <c r="M233" i="19" s="1"/>
  <c r="N233" i="19" a="1"/>
  <c r="N233" i="19" s="1"/>
  <c r="O233" i="19" a="1"/>
  <c r="O233" i="19" s="1"/>
  <c r="P233" i="19" a="1"/>
  <c r="P233" i="19" s="1"/>
  <c r="Q233" i="19" a="1"/>
  <c r="Q233" i="19" s="1"/>
  <c r="R233" i="19" a="1"/>
  <c r="R233" i="19" s="1"/>
  <c r="U233" i="19" a="1"/>
  <c r="U233" i="19" s="1"/>
  <c r="V233" i="19" a="1"/>
  <c r="V233" i="19" s="1"/>
  <c r="W233" i="19" a="1"/>
  <c r="W233" i="19" s="1"/>
  <c r="X233" i="19" a="1"/>
  <c r="X233" i="19" s="1"/>
  <c r="K234" i="19" a="1"/>
  <c r="K234" i="19" s="1"/>
  <c r="L234" i="19" a="1"/>
  <c r="L234" i="19" s="1"/>
  <c r="M234" i="19" a="1"/>
  <c r="M234" i="19" s="1"/>
  <c r="N234" i="19" a="1"/>
  <c r="N234" i="19" s="1"/>
  <c r="O234" i="19" a="1"/>
  <c r="O234" i="19" s="1"/>
  <c r="P234" i="19" a="1"/>
  <c r="P234" i="19" s="1"/>
  <c r="Q234" i="19" a="1"/>
  <c r="Q234" i="19" s="1"/>
  <c r="R234" i="19" a="1"/>
  <c r="R234" i="19" s="1"/>
  <c r="U234" i="19" a="1"/>
  <c r="U234" i="19" s="1"/>
  <c r="V234" i="19" a="1"/>
  <c r="V234" i="19" s="1"/>
  <c r="W234" i="19" a="1"/>
  <c r="W234" i="19" s="1"/>
  <c r="X234" i="19" a="1"/>
  <c r="X234" i="19" s="1"/>
  <c r="K235" i="19" a="1"/>
  <c r="K235" i="19" s="1"/>
  <c r="L235" i="19" a="1"/>
  <c r="L235" i="19" s="1"/>
  <c r="M235" i="19" a="1"/>
  <c r="M235" i="19" s="1"/>
  <c r="N235" i="19" a="1"/>
  <c r="N235" i="19" s="1"/>
  <c r="O235" i="19" a="1"/>
  <c r="O235" i="19" s="1"/>
  <c r="P235" i="19" a="1"/>
  <c r="P235" i="19" s="1"/>
  <c r="Q235" i="19" a="1"/>
  <c r="Q235" i="19" s="1"/>
  <c r="R235" i="19" a="1"/>
  <c r="R235" i="19" s="1"/>
  <c r="U235" i="19" a="1"/>
  <c r="U235" i="19" s="1"/>
  <c r="V235" i="19" a="1"/>
  <c r="V235" i="19" s="1"/>
  <c r="W235" i="19" a="1"/>
  <c r="W235" i="19" s="1"/>
  <c r="X235" i="19" a="1"/>
  <c r="X235" i="19" s="1"/>
  <c r="K236" i="19" a="1"/>
  <c r="K236" i="19" s="1"/>
  <c r="L236" i="19" a="1"/>
  <c r="L236" i="19" s="1"/>
  <c r="M236" i="19" a="1"/>
  <c r="M236" i="19" s="1"/>
  <c r="N236" i="19" a="1"/>
  <c r="N236" i="19" s="1"/>
  <c r="O236" i="19" a="1"/>
  <c r="O236" i="19" s="1"/>
  <c r="P236" i="19" a="1"/>
  <c r="P236" i="19" s="1"/>
  <c r="Q236" i="19" a="1"/>
  <c r="Q236" i="19" s="1"/>
  <c r="R236" i="19" a="1"/>
  <c r="R236" i="19" s="1"/>
  <c r="U236" i="19" a="1"/>
  <c r="U236" i="19" s="1"/>
  <c r="V236" i="19" a="1"/>
  <c r="V236" i="19" s="1"/>
  <c r="W236" i="19" a="1"/>
  <c r="W236" i="19" s="1"/>
  <c r="X236" i="19" a="1"/>
  <c r="X236" i="19" s="1"/>
  <c r="K237" i="19" a="1"/>
  <c r="K237" i="19" s="1"/>
  <c r="L237" i="19" a="1"/>
  <c r="L237" i="19" s="1"/>
  <c r="M237" i="19" a="1"/>
  <c r="M237" i="19" s="1"/>
  <c r="N237" i="19" a="1"/>
  <c r="N237" i="19" s="1"/>
  <c r="O237" i="19" a="1"/>
  <c r="O237" i="19" s="1"/>
  <c r="P237" i="19" a="1"/>
  <c r="P237" i="19" s="1"/>
  <c r="Q237" i="19" a="1"/>
  <c r="Q237" i="19" s="1"/>
  <c r="R237" i="19" a="1"/>
  <c r="R237" i="19" s="1"/>
  <c r="U237" i="19" a="1"/>
  <c r="U237" i="19" s="1"/>
  <c r="V237" i="19" a="1"/>
  <c r="V237" i="19" s="1"/>
  <c r="W237" i="19" a="1"/>
  <c r="W237" i="19" s="1"/>
  <c r="X237" i="19" a="1"/>
  <c r="X237" i="19" s="1"/>
  <c r="K238" i="19" a="1"/>
  <c r="K238" i="19" s="1"/>
  <c r="L238" i="19" a="1"/>
  <c r="L238" i="19" s="1"/>
  <c r="M238" i="19" a="1"/>
  <c r="M238" i="19" s="1"/>
  <c r="N238" i="19" a="1"/>
  <c r="N238" i="19" s="1"/>
  <c r="O238" i="19" a="1"/>
  <c r="O238" i="19" s="1"/>
  <c r="P238" i="19" a="1"/>
  <c r="P238" i="19" s="1"/>
  <c r="Q238" i="19" a="1"/>
  <c r="Q238" i="19" s="1"/>
  <c r="R238" i="19" a="1"/>
  <c r="R238" i="19" s="1"/>
  <c r="U238" i="19" a="1"/>
  <c r="U238" i="19" s="1"/>
  <c r="V238" i="19" a="1"/>
  <c r="V238" i="19" s="1"/>
  <c r="W238" i="19" a="1"/>
  <c r="W238" i="19" s="1"/>
  <c r="X238" i="19" a="1"/>
  <c r="X238" i="19" s="1"/>
  <c r="K239" i="19" a="1"/>
  <c r="K239" i="19" s="1"/>
  <c r="L239" i="19" a="1"/>
  <c r="L239" i="19" s="1"/>
  <c r="M239" i="19" a="1"/>
  <c r="M239" i="19" s="1"/>
  <c r="N239" i="19" a="1"/>
  <c r="N239" i="19" s="1"/>
  <c r="O239" i="19" a="1"/>
  <c r="O239" i="19" s="1"/>
  <c r="P239" i="19" a="1"/>
  <c r="P239" i="19" s="1"/>
  <c r="Q239" i="19" a="1"/>
  <c r="Q239" i="19" s="1"/>
  <c r="R239" i="19" a="1"/>
  <c r="R239" i="19" s="1"/>
  <c r="U239" i="19" a="1"/>
  <c r="U239" i="19" s="1"/>
  <c r="V239" i="19" a="1"/>
  <c r="V239" i="19" s="1"/>
  <c r="W239" i="19" a="1"/>
  <c r="W239" i="19" s="1"/>
  <c r="X239" i="19" a="1"/>
  <c r="X239" i="19" s="1"/>
  <c r="K240" i="19" a="1"/>
  <c r="K240" i="19" s="1"/>
  <c r="L240" i="19" a="1"/>
  <c r="L240" i="19" s="1"/>
  <c r="M240" i="19" a="1"/>
  <c r="M240" i="19" s="1"/>
  <c r="N240" i="19" a="1"/>
  <c r="N240" i="19" s="1"/>
  <c r="O240" i="19" a="1"/>
  <c r="O240" i="19" s="1"/>
  <c r="P240" i="19" a="1"/>
  <c r="P240" i="19" s="1"/>
  <c r="Q240" i="19" a="1"/>
  <c r="Q240" i="19" s="1"/>
  <c r="R240" i="19" a="1"/>
  <c r="R240" i="19" s="1"/>
  <c r="U240" i="19" a="1"/>
  <c r="U240" i="19" s="1"/>
  <c r="V240" i="19" a="1"/>
  <c r="V240" i="19" s="1"/>
  <c r="W240" i="19" a="1"/>
  <c r="W240" i="19" s="1"/>
  <c r="X240" i="19" a="1"/>
  <c r="X240" i="19" s="1"/>
  <c r="K241" i="19" a="1"/>
  <c r="K241" i="19" s="1"/>
  <c r="L241" i="19" a="1"/>
  <c r="L241" i="19" s="1"/>
  <c r="M241" i="19" a="1"/>
  <c r="M241" i="19" s="1"/>
  <c r="N241" i="19" a="1"/>
  <c r="N241" i="19" s="1"/>
  <c r="O241" i="19" a="1"/>
  <c r="O241" i="19" s="1"/>
  <c r="P241" i="19" a="1"/>
  <c r="P241" i="19" s="1"/>
  <c r="Q241" i="19" a="1"/>
  <c r="Q241" i="19" s="1"/>
  <c r="R241" i="19" a="1"/>
  <c r="R241" i="19" s="1"/>
  <c r="U241" i="19" a="1"/>
  <c r="U241" i="19" s="1"/>
  <c r="V241" i="19" a="1"/>
  <c r="V241" i="19" s="1"/>
  <c r="W241" i="19" a="1"/>
  <c r="W241" i="19" s="1"/>
  <c r="X241" i="19" a="1"/>
  <c r="X241" i="19" s="1"/>
  <c r="K242" i="19" a="1"/>
  <c r="K242" i="19" s="1"/>
  <c r="L242" i="19" a="1"/>
  <c r="L242" i="19" s="1"/>
  <c r="M242" i="19" a="1"/>
  <c r="M242" i="19" s="1"/>
  <c r="N242" i="19" a="1"/>
  <c r="N242" i="19" s="1"/>
  <c r="O242" i="19" a="1"/>
  <c r="O242" i="19" s="1"/>
  <c r="P242" i="19" a="1"/>
  <c r="P242" i="19" s="1"/>
  <c r="Q242" i="19" a="1"/>
  <c r="Q242" i="19" s="1"/>
  <c r="R242" i="19" a="1"/>
  <c r="R242" i="19" s="1"/>
  <c r="U242" i="19" a="1"/>
  <c r="U242" i="19" s="1"/>
  <c r="V242" i="19" a="1"/>
  <c r="V242" i="19" s="1"/>
  <c r="W242" i="19" a="1"/>
  <c r="W242" i="19" s="1"/>
  <c r="X242" i="19" a="1"/>
  <c r="X242" i="19" s="1"/>
  <c r="K243" i="19" a="1"/>
  <c r="K243" i="19" s="1"/>
  <c r="L243" i="19" a="1"/>
  <c r="L243" i="19" s="1"/>
  <c r="M243" i="19" a="1"/>
  <c r="M243" i="19" s="1"/>
  <c r="N243" i="19" a="1"/>
  <c r="N243" i="19" s="1"/>
  <c r="O243" i="19" a="1"/>
  <c r="O243" i="19" s="1"/>
  <c r="P243" i="19" a="1"/>
  <c r="P243" i="19" s="1"/>
  <c r="Q243" i="19" a="1"/>
  <c r="Q243" i="19" s="1"/>
  <c r="R243" i="19" a="1"/>
  <c r="R243" i="19" s="1"/>
  <c r="U243" i="19" a="1"/>
  <c r="U243" i="19" s="1"/>
  <c r="V243" i="19" a="1"/>
  <c r="V243" i="19" s="1"/>
  <c r="W243" i="19" a="1"/>
  <c r="W243" i="19" s="1"/>
  <c r="X243" i="19" a="1"/>
  <c r="X243" i="19" s="1"/>
  <c r="K244" i="19" a="1"/>
  <c r="K244" i="19" s="1"/>
  <c r="L244" i="19" a="1"/>
  <c r="L244" i="19" s="1"/>
  <c r="M244" i="19" a="1"/>
  <c r="M244" i="19" s="1"/>
  <c r="N244" i="19" a="1"/>
  <c r="N244" i="19" s="1"/>
  <c r="O244" i="19" a="1"/>
  <c r="O244" i="19" s="1"/>
  <c r="P244" i="19" a="1"/>
  <c r="P244" i="19" s="1"/>
  <c r="Q244" i="19" a="1"/>
  <c r="Q244" i="19" s="1"/>
  <c r="R244" i="19" a="1"/>
  <c r="R244" i="19" s="1"/>
  <c r="U244" i="19" a="1"/>
  <c r="U244" i="19" s="1"/>
  <c r="V244" i="19" a="1"/>
  <c r="V244" i="19" s="1"/>
  <c r="W244" i="19" a="1"/>
  <c r="W244" i="19" s="1"/>
  <c r="X244" i="19" a="1"/>
  <c r="X244" i="19" s="1"/>
  <c r="K245" i="19" a="1"/>
  <c r="K245" i="19" s="1"/>
  <c r="L245" i="19" a="1"/>
  <c r="L245" i="19" s="1"/>
  <c r="M245" i="19" a="1"/>
  <c r="M245" i="19" s="1"/>
  <c r="N245" i="19" a="1"/>
  <c r="N245" i="19" s="1"/>
  <c r="O245" i="19" a="1"/>
  <c r="O245" i="19" s="1"/>
  <c r="P245" i="19" a="1"/>
  <c r="P245" i="19" s="1"/>
  <c r="Q245" i="19" a="1"/>
  <c r="Q245" i="19" s="1"/>
  <c r="R245" i="19" a="1"/>
  <c r="R245" i="19" s="1"/>
  <c r="U245" i="19" a="1"/>
  <c r="U245" i="19" s="1"/>
  <c r="V245" i="19" a="1"/>
  <c r="V245" i="19" s="1"/>
  <c r="W245" i="19" a="1"/>
  <c r="W245" i="19" s="1"/>
  <c r="X245" i="19" a="1"/>
  <c r="X245" i="19" s="1"/>
  <c r="K246" i="19" a="1"/>
  <c r="K246" i="19" s="1"/>
  <c r="L246" i="19" a="1"/>
  <c r="L246" i="19" s="1"/>
  <c r="M246" i="19" a="1"/>
  <c r="M246" i="19" s="1"/>
  <c r="N246" i="19" a="1"/>
  <c r="N246" i="19" s="1"/>
  <c r="O246" i="19" a="1"/>
  <c r="O246" i="19" s="1"/>
  <c r="P246" i="19" a="1"/>
  <c r="P246" i="19" s="1"/>
  <c r="Q246" i="19" a="1"/>
  <c r="Q246" i="19" s="1"/>
  <c r="R246" i="19" a="1"/>
  <c r="R246" i="19" s="1"/>
  <c r="U246" i="19" a="1"/>
  <c r="U246" i="19" s="1"/>
  <c r="V246" i="19" a="1"/>
  <c r="V246" i="19" s="1"/>
  <c r="W246" i="19" a="1"/>
  <c r="W246" i="19" s="1"/>
  <c r="X246" i="19" a="1"/>
  <c r="X246" i="19" s="1"/>
  <c r="K247" i="19" a="1"/>
  <c r="K247" i="19" s="1"/>
  <c r="L247" i="19" a="1"/>
  <c r="L247" i="19" s="1"/>
  <c r="M247" i="19" a="1"/>
  <c r="M247" i="19" s="1"/>
  <c r="N247" i="19" a="1"/>
  <c r="N247" i="19" s="1"/>
  <c r="O247" i="19" a="1"/>
  <c r="O247" i="19" s="1"/>
  <c r="P247" i="19" a="1"/>
  <c r="P247" i="19" s="1"/>
  <c r="Q247" i="19" a="1"/>
  <c r="Q247" i="19" s="1"/>
  <c r="R247" i="19" a="1"/>
  <c r="R247" i="19" s="1"/>
  <c r="U247" i="19" a="1"/>
  <c r="U247" i="19" s="1"/>
  <c r="V247" i="19" a="1"/>
  <c r="V247" i="19" s="1"/>
  <c r="W247" i="19" a="1"/>
  <c r="W247" i="19" s="1"/>
  <c r="X247" i="19" a="1"/>
  <c r="X247" i="19" s="1"/>
  <c r="K248" i="19" a="1"/>
  <c r="K248" i="19" s="1"/>
  <c r="L248" i="19" a="1"/>
  <c r="L248" i="19" s="1"/>
  <c r="M248" i="19" a="1"/>
  <c r="M248" i="19" s="1"/>
  <c r="N248" i="19" a="1"/>
  <c r="N248" i="19" s="1"/>
  <c r="O248" i="19" a="1"/>
  <c r="O248" i="19" s="1"/>
  <c r="P248" i="19" a="1"/>
  <c r="P248" i="19" s="1"/>
  <c r="Q248" i="19" a="1"/>
  <c r="Q248" i="19" s="1"/>
  <c r="R248" i="19" a="1"/>
  <c r="R248" i="19" s="1"/>
  <c r="U248" i="19" a="1"/>
  <c r="U248" i="19" s="1"/>
  <c r="V248" i="19" a="1"/>
  <c r="V248" i="19" s="1"/>
  <c r="W248" i="19" a="1"/>
  <c r="W248" i="19" s="1"/>
  <c r="X248" i="19" a="1"/>
  <c r="X248" i="19" s="1"/>
  <c r="K249" i="19" a="1"/>
  <c r="K249" i="19" s="1"/>
  <c r="L249" i="19" a="1"/>
  <c r="L249" i="19" s="1"/>
  <c r="M249" i="19" a="1"/>
  <c r="M249" i="19" s="1"/>
  <c r="N249" i="19" a="1"/>
  <c r="N249" i="19" s="1"/>
  <c r="O249" i="19" a="1"/>
  <c r="O249" i="19" s="1"/>
  <c r="P249" i="19" a="1"/>
  <c r="P249" i="19" s="1"/>
  <c r="Q249" i="19" a="1"/>
  <c r="Q249" i="19" s="1"/>
  <c r="R249" i="19" a="1"/>
  <c r="R249" i="19" s="1"/>
  <c r="U249" i="19" a="1"/>
  <c r="U249" i="19" s="1"/>
  <c r="V249" i="19" a="1"/>
  <c r="V249" i="19" s="1"/>
  <c r="W249" i="19" a="1"/>
  <c r="W249" i="19" s="1"/>
  <c r="X249" i="19" a="1"/>
  <c r="X249" i="19" s="1"/>
  <c r="K250" i="19" a="1"/>
  <c r="K250" i="19" s="1"/>
  <c r="L250" i="19" a="1"/>
  <c r="L250" i="19" s="1"/>
  <c r="M250" i="19" a="1"/>
  <c r="M250" i="19" s="1"/>
  <c r="N250" i="19" a="1"/>
  <c r="N250" i="19" s="1"/>
  <c r="O250" i="19" a="1"/>
  <c r="O250" i="19" s="1"/>
  <c r="P250" i="19" a="1"/>
  <c r="P250" i="19" s="1"/>
  <c r="Q250" i="19" a="1"/>
  <c r="Q250" i="19" s="1"/>
  <c r="R250" i="19" a="1"/>
  <c r="R250" i="19" s="1"/>
  <c r="U250" i="19" a="1"/>
  <c r="U250" i="19" s="1"/>
  <c r="V250" i="19" a="1"/>
  <c r="V250" i="19" s="1"/>
  <c r="W250" i="19" a="1"/>
  <c r="W250" i="19" s="1"/>
  <c r="X250" i="19" a="1"/>
  <c r="X250" i="19" s="1"/>
  <c r="K251" i="19" a="1"/>
  <c r="K251" i="19" s="1"/>
  <c r="L251" i="19" a="1"/>
  <c r="L251" i="19" s="1"/>
  <c r="M251" i="19" a="1"/>
  <c r="M251" i="19" s="1"/>
  <c r="N251" i="19" a="1"/>
  <c r="N251" i="19" s="1"/>
  <c r="O251" i="19" a="1"/>
  <c r="O251" i="19" s="1"/>
  <c r="P251" i="19" a="1"/>
  <c r="P251" i="19" s="1"/>
  <c r="Q251" i="19" a="1"/>
  <c r="Q251" i="19" s="1"/>
  <c r="R251" i="19" a="1"/>
  <c r="R251" i="19" s="1"/>
  <c r="U251" i="19" a="1"/>
  <c r="U251" i="19" s="1"/>
  <c r="V251" i="19" a="1"/>
  <c r="V251" i="19" s="1"/>
  <c r="W251" i="19" a="1"/>
  <c r="W251" i="19" s="1"/>
  <c r="X251" i="19" a="1"/>
  <c r="X251" i="19" s="1"/>
  <c r="K252" i="19" a="1"/>
  <c r="K252" i="19" s="1"/>
  <c r="L252" i="19" a="1"/>
  <c r="L252" i="19" s="1"/>
  <c r="M252" i="19" a="1"/>
  <c r="M252" i="19" s="1"/>
  <c r="N252" i="19" a="1"/>
  <c r="N252" i="19" s="1"/>
  <c r="O252" i="19" a="1"/>
  <c r="O252" i="19" s="1"/>
  <c r="P252" i="19" a="1"/>
  <c r="P252" i="19" s="1"/>
  <c r="Q252" i="19" a="1"/>
  <c r="Q252" i="19" s="1"/>
  <c r="R252" i="19" a="1"/>
  <c r="R252" i="19" s="1"/>
  <c r="U252" i="19" a="1"/>
  <c r="U252" i="19" s="1"/>
  <c r="V252" i="19" a="1"/>
  <c r="V252" i="19" s="1"/>
  <c r="W252" i="19" a="1"/>
  <c r="W252" i="19" s="1"/>
  <c r="X252" i="19" a="1"/>
  <c r="X252" i="19" s="1"/>
  <c r="K253" i="19" a="1"/>
  <c r="K253" i="19" s="1"/>
  <c r="L253" i="19" a="1"/>
  <c r="L253" i="19" s="1"/>
  <c r="M253" i="19" a="1"/>
  <c r="M253" i="19" s="1"/>
  <c r="N253" i="19" a="1"/>
  <c r="N253" i="19" s="1"/>
  <c r="O253" i="19" a="1"/>
  <c r="O253" i="19" s="1"/>
  <c r="P253" i="19" a="1"/>
  <c r="P253" i="19" s="1"/>
  <c r="Q253" i="19" a="1"/>
  <c r="Q253" i="19" s="1"/>
  <c r="R253" i="19" a="1"/>
  <c r="R253" i="19" s="1"/>
  <c r="U253" i="19" a="1"/>
  <c r="U253" i="19" s="1"/>
  <c r="V253" i="19" a="1"/>
  <c r="V253" i="19" s="1"/>
  <c r="W253" i="19" a="1"/>
  <c r="W253" i="19" s="1"/>
  <c r="X253" i="19" a="1"/>
  <c r="X253" i="19" s="1"/>
  <c r="K254" i="19" a="1"/>
  <c r="K254" i="19" s="1"/>
  <c r="L254" i="19" a="1"/>
  <c r="L254" i="19" s="1"/>
  <c r="M254" i="19" a="1"/>
  <c r="M254" i="19" s="1"/>
  <c r="N254" i="19" a="1"/>
  <c r="N254" i="19" s="1"/>
  <c r="O254" i="19" a="1"/>
  <c r="O254" i="19" s="1"/>
  <c r="P254" i="19" a="1"/>
  <c r="P254" i="19" s="1"/>
  <c r="Q254" i="19" a="1"/>
  <c r="Q254" i="19" s="1"/>
  <c r="R254" i="19" a="1"/>
  <c r="R254" i="19" s="1"/>
  <c r="U254" i="19" a="1"/>
  <c r="U254" i="19" s="1"/>
  <c r="V254" i="19" a="1"/>
  <c r="V254" i="19" s="1"/>
  <c r="W254" i="19" a="1"/>
  <c r="W254" i="19" s="1"/>
  <c r="X254" i="19" a="1"/>
  <c r="X254" i="19" s="1"/>
  <c r="K255" i="19" a="1"/>
  <c r="K255" i="19" s="1"/>
  <c r="L255" i="19" a="1"/>
  <c r="L255" i="19" s="1"/>
  <c r="M255" i="19" a="1"/>
  <c r="M255" i="19" s="1"/>
  <c r="N255" i="19" a="1"/>
  <c r="N255" i="19" s="1"/>
  <c r="O255" i="19" a="1"/>
  <c r="O255" i="19" s="1"/>
  <c r="P255" i="19" a="1"/>
  <c r="P255" i="19" s="1"/>
  <c r="Q255" i="19" a="1"/>
  <c r="Q255" i="19" s="1"/>
  <c r="R255" i="19" a="1"/>
  <c r="R255" i="19" s="1"/>
  <c r="U255" i="19" a="1"/>
  <c r="U255" i="19" s="1"/>
  <c r="V255" i="19" a="1"/>
  <c r="V255" i="19" s="1"/>
  <c r="W255" i="19" a="1"/>
  <c r="W255" i="19" s="1"/>
  <c r="X255" i="19" a="1"/>
  <c r="X255" i="19" s="1"/>
  <c r="K256" i="19" a="1"/>
  <c r="K256" i="19" s="1"/>
  <c r="L256" i="19" a="1"/>
  <c r="L256" i="19" s="1"/>
  <c r="M256" i="19" a="1"/>
  <c r="M256" i="19" s="1"/>
  <c r="N256" i="19" a="1"/>
  <c r="N256" i="19" s="1"/>
  <c r="O256" i="19" a="1"/>
  <c r="O256" i="19" s="1"/>
  <c r="P256" i="19" a="1"/>
  <c r="P256" i="19" s="1"/>
  <c r="Q256" i="19" a="1"/>
  <c r="Q256" i="19" s="1"/>
  <c r="R256" i="19" a="1"/>
  <c r="R256" i="19" s="1"/>
  <c r="U256" i="19" a="1"/>
  <c r="U256" i="19" s="1"/>
  <c r="V256" i="19" a="1"/>
  <c r="V256" i="19" s="1"/>
  <c r="W256" i="19" a="1"/>
  <c r="W256" i="19" s="1"/>
  <c r="X256" i="19" a="1"/>
  <c r="X256" i="19" s="1"/>
  <c r="K257" i="19" a="1"/>
  <c r="K257" i="19" s="1"/>
  <c r="L257" i="19" a="1"/>
  <c r="L257" i="19" s="1"/>
  <c r="M257" i="19" a="1"/>
  <c r="M257" i="19" s="1"/>
  <c r="N257" i="19" a="1"/>
  <c r="N257" i="19" s="1"/>
  <c r="O257" i="19" a="1"/>
  <c r="O257" i="19" s="1"/>
  <c r="P257" i="19" a="1"/>
  <c r="P257" i="19" s="1"/>
  <c r="Q257" i="19" a="1"/>
  <c r="Q257" i="19" s="1"/>
  <c r="R257" i="19" a="1"/>
  <c r="R257" i="19" s="1"/>
  <c r="U257" i="19" a="1"/>
  <c r="U257" i="19" s="1"/>
  <c r="V257" i="19" a="1"/>
  <c r="V257" i="19" s="1"/>
  <c r="W257" i="19" a="1"/>
  <c r="W257" i="19" s="1"/>
  <c r="X257" i="19" a="1"/>
  <c r="X257" i="19" s="1"/>
  <c r="K258" i="19" a="1"/>
  <c r="K258" i="19" s="1"/>
  <c r="L258" i="19" a="1"/>
  <c r="L258" i="19" s="1"/>
  <c r="M258" i="19" a="1"/>
  <c r="M258" i="19" s="1"/>
  <c r="N258" i="19" a="1"/>
  <c r="N258" i="19" s="1"/>
  <c r="O258" i="19" a="1"/>
  <c r="O258" i="19" s="1"/>
  <c r="P258" i="19" a="1"/>
  <c r="P258" i="19" s="1"/>
  <c r="Q258" i="19" a="1"/>
  <c r="Q258" i="19" s="1"/>
  <c r="R258" i="19" a="1"/>
  <c r="R258" i="19" s="1"/>
  <c r="U258" i="19" a="1"/>
  <c r="U258" i="19" s="1"/>
  <c r="V258" i="19" a="1"/>
  <c r="V258" i="19" s="1"/>
  <c r="W258" i="19" a="1"/>
  <c r="W258" i="19" s="1"/>
  <c r="X258" i="19" a="1"/>
  <c r="X258" i="19" s="1"/>
  <c r="K259" i="19" a="1"/>
  <c r="K259" i="19" s="1"/>
  <c r="L259" i="19" a="1"/>
  <c r="L259" i="19" s="1"/>
  <c r="M259" i="19" a="1"/>
  <c r="M259" i="19" s="1"/>
  <c r="N259" i="19" a="1"/>
  <c r="N259" i="19" s="1"/>
  <c r="O259" i="19" a="1"/>
  <c r="O259" i="19" s="1"/>
  <c r="P259" i="19" a="1"/>
  <c r="P259" i="19" s="1"/>
  <c r="Q259" i="19" a="1"/>
  <c r="Q259" i="19" s="1"/>
  <c r="R259" i="19" a="1"/>
  <c r="R259" i="19" s="1"/>
  <c r="U259" i="19" a="1"/>
  <c r="U259" i="19" s="1"/>
  <c r="V259" i="19" a="1"/>
  <c r="V259" i="19" s="1"/>
  <c r="W259" i="19" a="1"/>
  <c r="W259" i="19" s="1"/>
  <c r="X259" i="19" a="1"/>
  <c r="X259" i="19" s="1"/>
  <c r="K260" i="19" a="1"/>
  <c r="K260" i="19" s="1"/>
  <c r="L260" i="19" a="1"/>
  <c r="L260" i="19" s="1"/>
  <c r="M260" i="19" a="1"/>
  <c r="M260" i="19" s="1"/>
  <c r="N260" i="19" a="1"/>
  <c r="N260" i="19" s="1"/>
  <c r="O260" i="19" a="1"/>
  <c r="O260" i="19" s="1"/>
  <c r="P260" i="19" a="1"/>
  <c r="P260" i="19" s="1"/>
  <c r="Q260" i="19" a="1"/>
  <c r="Q260" i="19" s="1"/>
  <c r="R260" i="19" a="1"/>
  <c r="R260" i="19" s="1"/>
  <c r="U260" i="19" a="1"/>
  <c r="U260" i="19" s="1"/>
  <c r="V260" i="19" a="1"/>
  <c r="V260" i="19" s="1"/>
  <c r="W260" i="19" a="1"/>
  <c r="W260" i="19" s="1"/>
  <c r="X260" i="19" a="1"/>
  <c r="X260" i="19" s="1"/>
  <c r="K261" i="19" a="1"/>
  <c r="K261" i="19" s="1"/>
  <c r="L261" i="19" a="1"/>
  <c r="L261" i="19" s="1"/>
  <c r="M261" i="19" a="1"/>
  <c r="M261" i="19" s="1"/>
  <c r="N261" i="19" a="1"/>
  <c r="N261" i="19" s="1"/>
  <c r="O261" i="19" a="1"/>
  <c r="O261" i="19" s="1"/>
  <c r="P261" i="19" a="1"/>
  <c r="P261" i="19" s="1"/>
  <c r="Q261" i="19" a="1"/>
  <c r="Q261" i="19" s="1"/>
  <c r="R261" i="19" a="1"/>
  <c r="R261" i="19" s="1"/>
  <c r="U261" i="19" a="1"/>
  <c r="U261" i="19" s="1"/>
  <c r="V261" i="19" a="1"/>
  <c r="V261" i="19" s="1"/>
  <c r="W261" i="19" a="1"/>
  <c r="W261" i="19" s="1"/>
  <c r="X261" i="19" a="1"/>
  <c r="X261" i="19" s="1"/>
  <c r="K262" i="19" a="1"/>
  <c r="K262" i="19" s="1"/>
  <c r="L262" i="19" a="1"/>
  <c r="L262" i="19" s="1"/>
  <c r="M262" i="19" a="1"/>
  <c r="M262" i="19" s="1"/>
  <c r="N262" i="19" a="1"/>
  <c r="N262" i="19" s="1"/>
  <c r="O262" i="19" a="1"/>
  <c r="O262" i="19" s="1"/>
  <c r="P262" i="19" a="1"/>
  <c r="P262" i="19" s="1"/>
  <c r="Q262" i="19" a="1"/>
  <c r="Q262" i="19" s="1"/>
  <c r="R262" i="19" a="1"/>
  <c r="R262" i="19" s="1"/>
  <c r="U262" i="19" a="1"/>
  <c r="U262" i="19" s="1"/>
  <c r="V262" i="19" a="1"/>
  <c r="V262" i="19" s="1"/>
  <c r="W262" i="19" a="1"/>
  <c r="W262" i="19" s="1"/>
  <c r="X262" i="19" a="1"/>
  <c r="X262" i="19" s="1"/>
  <c r="K263" i="19" a="1"/>
  <c r="K263" i="19" s="1"/>
  <c r="L263" i="19" a="1"/>
  <c r="L263" i="19" s="1"/>
  <c r="M263" i="19" a="1"/>
  <c r="M263" i="19" s="1"/>
  <c r="N263" i="19" a="1"/>
  <c r="N263" i="19" s="1"/>
  <c r="O263" i="19" a="1"/>
  <c r="O263" i="19" s="1"/>
  <c r="P263" i="19" a="1"/>
  <c r="P263" i="19" s="1"/>
  <c r="Q263" i="19" a="1"/>
  <c r="Q263" i="19" s="1"/>
  <c r="R263" i="19" a="1"/>
  <c r="R263" i="19" s="1"/>
  <c r="U263" i="19" a="1"/>
  <c r="U263" i="19" s="1"/>
  <c r="V263" i="19" a="1"/>
  <c r="V263" i="19" s="1"/>
  <c r="W263" i="19" a="1"/>
  <c r="W263" i="19" s="1"/>
  <c r="X263" i="19" a="1"/>
  <c r="X263" i="19" s="1"/>
  <c r="K264" i="19" a="1"/>
  <c r="K264" i="19" s="1"/>
  <c r="L264" i="19" a="1"/>
  <c r="L264" i="19" s="1"/>
  <c r="M264" i="19" a="1"/>
  <c r="M264" i="19" s="1"/>
  <c r="N264" i="19" a="1"/>
  <c r="N264" i="19" s="1"/>
  <c r="O264" i="19" a="1"/>
  <c r="O264" i="19" s="1"/>
  <c r="P264" i="19" a="1"/>
  <c r="P264" i="19" s="1"/>
  <c r="Q264" i="19" a="1"/>
  <c r="Q264" i="19" s="1"/>
  <c r="R264" i="19" a="1"/>
  <c r="R264" i="19" s="1"/>
  <c r="U264" i="19" a="1"/>
  <c r="U264" i="19" s="1"/>
  <c r="V264" i="19" a="1"/>
  <c r="V264" i="19" s="1"/>
  <c r="W264" i="19" a="1"/>
  <c r="W264" i="19" s="1"/>
  <c r="X264" i="19" a="1"/>
  <c r="X264" i="19" s="1"/>
  <c r="K265" i="19" a="1"/>
  <c r="K265" i="19" s="1"/>
  <c r="L265" i="19" a="1"/>
  <c r="L265" i="19" s="1"/>
  <c r="M265" i="19" a="1"/>
  <c r="M265" i="19" s="1"/>
  <c r="N265" i="19" a="1"/>
  <c r="N265" i="19" s="1"/>
  <c r="O265" i="19" a="1"/>
  <c r="O265" i="19" s="1"/>
  <c r="P265" i="19" a="1"/>
  <c r="P265" i="19" s="1"/>
  <c r="Q265" i="19" a="1"/>
  <c r="Q265" i="19" s="1"/>
  <c r="R265" i="19" a="1"/>
  <c r="R265" i="19" s="1"/>
  <c r="U265" i="19" a="1"/>
  <c r="U265" i="19" s="1"/>
  <c r="V265" i="19" a="1"/>
  <c r="V265" i="19" s="1"/>
  <c r="W265" i="19" a="1"/>
  <c r="W265" i="19" s="1"/>
  <c r="X265" i="19" a="1"/>
  <c r="X265" i="19" s="1"/>
  <c r="K266" i="19" a="1"/>
  <c r="K266" i="19" s="1"/>
  <c r="L266" i="19" a="1"/>
  <c r="L266" i="19" s="1"/>
  <c r="M266" i="19" a="1"/>
  <c r="M266" i="19" s="1"/>
  <c r="N266" i="19" a="1"/>
  <c r="N266" i="19" s="1"/>
  <c r="O266" i="19" a="1"/>
  <c r="O266" i="19" s="1"/>
  <c r="P266" i="19" a="1"/>
  <c r="P266" i="19" s="1"/>
  <c r="Q266" i="19" a="1"/>
  <c r="Q266" i="19" s="1"/>
  <c r="R266" i="19" a="1"/>
  <c r="R266" i="19" s="1"/>
  <c r="U266" i="19" a="1"/>
  <c r="U266" i="19" s="1"/>
  <c r="V266" i="19" a="1"/>
  <c r="V266" i="19" s="1"/>
  <c r="W266" i="19" a="1"/>
  <c r="W266" i="19" s="1"/>
  <c r="X266" i="19" a="1"/>
  <c r="X266" i="19" s="1"/>
  <c r="K267" i="19" a="1"/>
  <c r="K267" i="19" s="1"/>
  <c r="L267" i="19" a="1"/>
  <c r="L267" i="19" s="1"/>
  <c r="M267" i="19" a="1"/>
  <c r="M267" i="19" s="1"/>
  <c r="N267" i="19" a="1"/>
  <c r="N267" i="19" s="1"/>
  <c r="O267" i="19" a="1"/>
  <c r="O267" i="19" s="1"/>
  <c r="P267" i="19" a="1"/>
  <c r="P267" i="19" s="1"/>
  <c r="Q267" i="19" a="1"/>
  <c r="Q267" i="19" s="1"/>
  <c r="R267" i="19" a="1"/>
  <c r="R267" i="19" s="1"/>
  <c r="U267" i="19" a="1"/>
  <c r="U267" i="19" s="1"/>
  <c r="V267" i="19" a="1"/>
  <c r="V267" i="19" s="1"/>
  <c r="W267" i="19" a="1"/>
  <c r="W267" i="19" s="1"/>
  <c r="X267" i="19" a="1"/>
  <c r="X267" i="19" s="1"/>
  <c r="K268" i="19" a="1"/>
  <c r="K268" i="19" s="1"/>
  <c r="L268" i="19" a="1"/>
  <c r="L268" i="19" s="1"/>
  <c r="M268" i="19" a="1"/>
  <c r="M268" i="19" s="1"/>
  <c r="N268" i="19" a="1"/>
  <c r="N268" i="19" s="1"/>
  <c r="O268" i="19" a="1"/>
  <c r="O268" i="19" s="1"/>
  <c r="P268" i="19" a="1"/>
  <c r="P268" i="19" s="1"/>
  <c r="Q268" i="19" a="1"/>
  <c r="Q268" i="19" s="1"/>
  <c r="R268" i="19" a="1"/>
  <c r="R268" i="19" s="1"/>
  <c r="U268" i="19" a="1"/>
  <c r="U268" i="19" s="1"/>
  <c r="V268" i="19" a="1"/>
  <c r="V268" i="19" s="1"/>
  <c r="W268" i="19" a="1"/>
  <c r="W268" i="19" s="1"/>
  <c r="X268" i="19" a="1"/>
  <c r="X268" i="19" s="1"/>
  <c r="K269" i="19" a="1"/>
  <c r="K269" i="19" s="1"/>
  <c r="L269" i="19" a="1"/>
  <c r="L269" i="19" s="1"/>
  <c r="M269" i="19" a="1"/>
  <c r="M269" i="19" s="1"/>
  <c r="N269" i="19" a="1"/>
  <c r="N269" i="19" s="1"/>
  <c r="O269" i="19" a="1"/>
  <c r="O269" i="19" s="1"/>
  <c r="P269" i="19" a="1"/>
  <c r="P269" i="19" s="1"/>
  <c r="Q269" i="19" a="1"/>
  <c r="Q269" i="19" s="1"/>
  <c r="R269" i="19" a="1"/>
  <c r="R269" i="19" s="1"/>
  <c r="U269" i="19" a="1"/>
  <c r="U269" i="19" s="1"/>
  <c r="V269" i="19" a="1"/>
  <c r="V269" i="19" s="1"/>
  <c r="W269" i="19" a="1"/>
  <c r="W269" i="19" s="1"/>
  <c r="X269" i="19" a="1"/>
  <c r="X269" i="19" s="1"/>
  <c r="K270" i="19" a="1"/>
  <c r="K270" i="19" s="1"/>
  <c r="L270" i="19" a="1"/>
  <c r="L270" i="19" s="1"/>
  <c r="M270" i="19" a="1"/>
  <c r="M270" i="19" s="1"/>
  <c r="N270" i="19" a="1"/>
  <c r="N270" i="19" s="1"/>
  <c r="O270" i="19" a="1"/>
  <c r="O270" i="19" s="1"/>
  <c r="P270" i="19" a="1"/>
  <c r="P270" i="19" s="1"/>
  <c r="Q270" i="19" a="1"/>
  <c r="Q270" i="19" s="1"/>
  <c r="R270" i="19" a="1"/>
  <c r="R270" i="19" s="1"/>
  <c r="U270" i="19" a="1"/>
  <c r="U270" i="19" s="1"/>
  <c r="V270" i="19" a="1"/>
  <c r="V270" i="19" s="1"/>
  <c r="W270" i="19" a="1"/>
  <c r="W270" i="19" s="1"/>
  <c r="X270" i="19" a="1"/>
  <c r="X270" i="19" s="1"/>
  <c r="K271" i="19" a="1"/>
  <c r="K271" i="19" s="1"/>
  <c r="L271" i="19" a="1"/>
  <c r="L271" i="19" s="1"/>
  <c r="M271" i="19" a="1"/>
  <c r="M271" i="19" s="1"/>
  <c r="N271" i="19" a="1"/>
  <c r="N271" i="19" s="1"/>
  <c r="O271" i="19" a="1"/>
  <c r="O271" i="19" s="1"/>
  <c r="P271" i="19" a="1"/>
  <c r="P271" i="19" s="1"/>
  <c r="Q271" i="19" a="1"/>
  <c r="Q271" i="19" s="1"/>
  <c r="R271" i="19" a="1"/>
  <c r="R271" i="19" s="1"/>
  <c r="U271" i="19" a="1"/>
  <c r="U271" i="19" s="1"/>
  <c r="V271" i="19" a="1"/>
  <c r="V271" i="19" s="1"/>
  <c r="W271" i="19" a="1"/>
  <c r="W271" i="19" s="1"/>
  <c r="X271" i="19" a="1"/>
  <c r="X271" i="19" s="1"/>
  <c r="K272" i="19" a="1"/>
  <c r="K272" i="19" s="1"/>
  <c r="L272" i="19" a="1"/>
  <c r="L272" i="19" s="1"/>
  <c r="M272" i="19" a="1"/>
  <c r="M272" i="19" s="1"/>
  <c r="N272" i="19" a="1"/>
  <c r="N272" i="19" s="1"/>
  <c r="O272" i="19" a="1"/>
  <c r="O272" i="19" s="1"/>
  <c r="P272" i="19" a="1"/>
  <c r="P272" i="19" s="1"/>
  <c r="Q272" i="19" a="1"/>
  <c r="Q272" i="19" s="1"/>
  <c r="R272" i="19" a="1"/>
  <c r="R272" i="19" s="1"/>
  <c r="U272" i="19" a="1"/>
  <c r="U272" i="19" s="1"/>
  <c r="V272" i="19" a="1"/>
  <c r="V272" i="19" s="1"/>
  <c r="W272" i="19" a="1"/>
  <c r="W272" i="19" s="1"/>
  <c r="X272" i="19" a="1"/>
  <c r="X272" i="19" s="1"/>
  <c r="K273" i="19" a="1"/>
  <c r="K273" i="19" s="1"/>
  <c r="L273" i="19" a="1"/>
  <c r="L273" i="19" s="1"/>
  <c r="M273" i="19" a="1"/>
  <c r="M273" i="19" s="1"/>
  <c r="N273" i="19" a="1"/>
  <c r="N273" i="19" s="1"/>
  <c r="O273" i="19" a="1"/>
  <c r="O273" i="19" s="1"/>
  <c r="P273" i="19" a="1"/>
  <c r="P273" i="19" s="1"/>
  <c r="Q273" i="19" a="1"/>
  <c r="Q273" i="19" s="1"/>
  <c r="R273" i="19" a="1"/>
  <c r="R273" i="19" s="1"/>
  <c r="U273" i="19" a="1"/>
  <c r="U273" i="19" s="1"/>
  <c r="V273" i="19" a="1"/>
  <c r="V273" i="19" s="1"/>
  <c r="W273" i="19" a="1"/>
  <c r="W273" i="19" s="1"/>
  <c r="X273" i="19" a="1"/>
  <c r="X273" i="19" s="1"/>
  <c r="K274" i="19" a="1"/>
  <c r="K274" i="19" s="1"/>
  <c r="L274" i="19" a="1"/>
  <c r="L274" i="19" s="1"/>
  <c r="M274" i="19" a="1"/>
  <c r="M274" i="19" s="1"/>
  <c r="N274" i="19" a="1"/>
  <c r="N274" i="19" s="1"/>
  <c r="O274" i="19" a="1"/>
  <c r="O274" i="19" s="1"/>
  <c r="P274" i="19" a="1"/>
  <c r="P274" i="19" s="1"/>
  <c r="Q274" i="19" a="1"/>
  <c r="Q274" i="19" s="1"/>
  <c r="R274" i="19" a="1"/>
  <c r="R274" i="19" s="1"/>
  <c r="U274" i="19" a="1"/>
  <c r="U274" i="19" s="1"/>
  <c r="V274" i="19" a="1"/>
  <c r="V274" i="19" s="1"/>
  <c r="W274" i="19" a="1"/>
  <c r="W274" i="19" s="1"/>
  <c r="X274" i="19" a="1"/>
  <c r="X274" i="19" s="1"/>
  <c r="K275" i="19" a="1"/>
  <c r="K275" i="19" s="1"/>
  <c r="L275" i="19" a="1"/>
  <c r="L275" i="19" s="1"/>
  <c r="M275" i="19" a="1"/>
  <c r="M275" i="19" s="1"/>
  <c r="N275" i="19" a="1"/>
  <c r="N275" i="19" s="1"/>
  <c r="O275" i="19" a="1"/>
  <c r="O275" i="19" s="1"/>
  <c r="P275" i="19" a="1"/>
  <c r="P275" i="19" s="1"/>
  <c r="Q275" i="19" a="1"/>
  <c r="Q275" i="19" s="1"/>
  <c r="R275" i="19" a="1"/>
  <c r="R275" i="19" s="1"/>
  <c r="U275" i="19" a="1"/>
  <c r="U275" i="19" s="1"/>
  <c r="V275" i="19" a="1"/>
  <c r="V275" i="19" s="1"/>
  <c r="W275" i="19" a="1"/>
  <c r="W275" i="19" s="1"/>
  <c r="X275" i="19" a="1"/>
  <c r="X275" i="19" s="1"/>
  <c r="K276" i="19" a="1"/>
  <c r="K276" i="19" s="1"/>
  <c r="L276" i="19" a="1"/>
  <c r="L276" i="19" s="1"/>
  <c r="M276" i="19" a="1"/>
  <c r="M276" i="19" s="1"/>
  <c r="N276" i="19" a="1"/>
  <c r="N276" i="19" s="1"/>
  <c r="O276" i="19" a="1"/>
  <c r="O276" i="19" s="1"/>
  <c r="P276" i="19" a="1"/>
  <c r="P276" i="19" s="1"/>
  <c r="Q276" i="19" a="1"/>
  <c r="Q276" i="19" s="1"/>
  <c r="R276" i="19" a="1"/>
  <c r="R276" i="19" s="1"/>
  <c r="U276" i="19" a="1"/>
  <c r="U276" i="19" s="1"/>
  <c r="V276" i="19" a="1"/>
  <c r="V276" i="19" s="1"/>
  <c r="W276" i="19" a="1"/>
  <c r="W276" i="19" s="1"/>
  <c r="X276" i="19" a="1"/>
  <c r="X276" i="19" s="1"/>
  <c r="K277" i="19" a="1"/>
  <c r="K277" i="19" s="1"/>
  <c r="L277" i="19" a="1"/>
  <c r="L277" i="19" s="1"/>
  <c r="M277" i="19" a="1"/>
  <c r="M277" i="19" s="1"/>
  <c r="N277" i="19" a="1"/>
  <c r="N277" i="19" s="1"/>
  <c r="O277" i="19" a="1"/>
  <c r="O277" i="19" s="1"/>
  <c r="P277" i="19" a="1"/>
  <c r="P277" i="19" s="1"/>
  <c r="Q277" i="19" a="1"/>
  <c r="Q277" i="19" s="1"/>
  <c r="R277" i="19" a="1"/>
  <c r="R277" i="19" s="1"/>
  <c r="U277" i="19" a="1"/>
  <c r="U277" i="19" s="1"/>
  <c r="V277" i="19" a="1"/>
  <c r="V277" i="19" s="1"/>
  <c r="W277" i="19" a="1"/>
  <c r="W277" i="19" s="1"/>
  <c r="X277" i="19" a="1"/>
  <c r="X277" i="19" s="1"/>
  <c r="K278" i="19" a="1"/>
  <c r="K278" i="19" s="1"/>
  <c r="L278" i="19" a="1"/>
  <c r="L278" i="19" s="1"/>
  <c r="M278" i="19" a="1"/>
  <c r="M278" i="19" s="1"/>
  <c r="N278" i="19" a="1"/>
  <c r="N278" i="19" s="1"/>
  <c r="O278" i="19" a="1"/>
  <c r="O278" i="19" s="1"/>
  <c r="P278" i="19" a="1"/>
  <c r="P278" i="19" s="1"/>
  <c r="Q278" i="19" a="1"/>
  <c r="Q278" i="19" s="1"/>
  <c r="R278" i="19" a="1"/>
  <c r="R278" i="19" s="1"/>
  <c r="U278" i="19" a="1"/>
  <c r="U278" i="19" s="1"/>
  <c r="V278" i="19" a="1"/>
  <c r="V278" i="19" s="1"/>
  <c r="W278" i="19" a="1"/>
  <c r="W278" i="19" s="1"/>
  <c r="X278" i="19" a="1"/>
  <c r="X278" i="19" s="1"/>
  <c r="K279" i="19" a="1"/>
  <c r="K279" i="19" s="1"/>
  <c r="L279" i="19" a="1"/>
  <c r="L279" i="19" s="1"/>
  <c r="M279" i="19" a="1"/>
  <c r="M279" i="19" s="1"/>
  <c r="N279" i="19" a="1"/>
  <c r="N279" i="19" s="1"/>
  <c r="O279" i="19" a="1"/>
  <c r="O279" i="19" s="1"/>
  <c r="P279" i="19" a="1"/>
  <c r="P279" i="19" s="1"/>
  <c r="Q279" i="19" a="1"/>
  <c r="Q279" i="19" s="1"/>
  <c r="R279" i="19" a="1"/>
  <c r="R279" i="19" s="1"/>
  <c r="U279" i="19" a="1"/>
  <c r="U279" i="19" s="1"/>
  <c r="V279" i="19" a="1"/>
  <c r="V279" i="19" s="1"/>
  <c r="W279" i="19" a="1"/>
  <c r="W279" i="19" s="1"/>
  <c r="X279" i="19" a="1"/>
  <c r="X279" i="19" s="1"/>
  <c r="K280" i="19" a="1"/>
  <c r="K280" i="19" s="1"/>
  <c r="L280" i="19" a="1"/>
  <c r="L280" i="19" s="1"/>
  <c r="M280" i="19" a="1"/>
  <c r="M280" i="19" s="1"/>
  <c r="N280" i="19" a="1"/>
  <c r="N280" i="19" s="1"/>
  <c r="O280" i="19" a="1"/>
  <c r="O280" i="19" s="1"/>
  <c r="P280" i="19" a="1"/>
  <c r="P280" i="19" s="1"/>
  <c r="Q280" i="19" a="1"/>
  <c r="Q280" i="19" s="1"/>
  <c r="R280" i="19" a="1"/>
  <c r="R280" i="19" s="1"/>
  <c r="U280" i="19" a="1"/>
  <c r="U280" i="19" s="1"/>
  <c r="V280" i="19" a="1"/>
  <c r="V280" i="19" s="1"/>
  <c r="W280" i="19" a="1"/>
  <c r="W280" i="19" s="1"/>
  <c r="X280" i="19" a="1"/>
  <c r="X280" i="19" s="1"/>
  <c r="K281" i="19" a="1"/>
  <c r="K281" i="19" s="1"/>
  <c r="L281" i="19" a="1"/>
  <c r="L281" i="19" s="1"/>
  <c r="M281" i="19" a="1"/>
  <c r="M281" i="19" s="1"/>
  <c r="N281" i="19" a="1"/>
  <c r="N281" i="19" s="1"/>
  <c r="O281" i="19" a="1"/>
  <c r="O281" i="19" s="1"/>
  <c r="P281" i="19" a="1"/>
  <c r="P281" i="19" s="1"/>
  <c r="Q281" i="19" a="1"/>
  <c r="Q281" i="19" s="1"/>
  <c r="R281" i="19" a="1"/>
  <c r="R281" i="19" s="1"/>
  <c r="U281" i="19" a="1"/>
  <c r="U281" i="19" s="1"/>
  <c r="V281" i="19" a="1"/>
  <c r="V281" i="19" s="1"/>
  <c r="W281" i="19" a="1"/>
  <c r="W281" i="19" s="1"/>
  <c r="X281" i="19" a="1"/>
  <c r="X281" i="19" s="1"/>
  <c r="K282" i="19" a="1"/>
  <c r="K282" i="19" s="1"/>
  <c r="L282" i="19" a="1"/>
  <c r="L282" i="19" s="1"/>
  <c r="M282" i="19" a="1"/>
  <c r="M282" i="19" s="1"/>
  <c r="N282" i="19" a="1"/>
  <c r="N282" i="19" s="1"/>
  <c r="O282" i="19" a="1"/>
  <c r="O282" i="19" s="1"/>
  <c r="P282" i="19" a="1"/>
  <c r="P282" i="19" s="1"/>
  <c r="Q282" i="19" a="1"/>
  <c r="Q282" i="19" s="1"/>
  <c r="R282" i="19" a="1"/>
  <c r="R282" i="19" s="1"/>
  <c r="U282" i="19" a="1"/>
  <c r="U282" i="19" s="1"/>
  <c r="V282" i="19" a="1"/>
  <c r="V282" i="19" s="1"/>
  <c r="W282" i="19" a="1"/>
  <c r="W282" i="19" s="1"/>
  <c r="X282" i="19" a="1"/>
  <c r="X282" i="19" s="1"/>
  <c r="K283" i="19" a="1"/>
  <c r="K283" i="19" s="1"/>
  <c r="L283" i="19" a="1"/>
  <c r="L283" i="19" s="1"/>
  <c r="M283" i="19" a="1"/>
  <c r="M283" i="19" s="1"/>
  <c r="N283" i="19" a="1"/>
  <c r="N283" i="19" s="1"/>
  <c r="O283" i="19" a="1"/>
  <c r="O283" i="19" s="1"/>
  <c r="P283" i="19" a="1"/>
  <c r="P283" i="19" s="1"/>
  <c r="Q283" i="19" a="1"/>
  <c r="Q283" i="19" s="1"/>
  <c r="R283" i="19" a="1"/>
  <c r="R283" i="19" s="1"/>
  <c r="U283" i="19" a="1"/>
  <c r="U283" i="19" s="1"/>
  <c r="V283" i="19" a="1"/>
  <c r="V283" i="19" s="1"/>
  <c r="W283" i="19" a="1"/>
  <c r="W283" i="19" s="1"/>
  <c r="X283" i="19" a="1"/>
  <c r="X283" i="19" s="1"/>
  <c r="K284" i="19" a="1"/>
  <c r="K284" i="19" s="1"/>
  <c r="L284" i="19" a="1"/>
  <c r="L284" i="19" s="1"/>
  <c r="M284" i="19" a="1"/>
  <c r="M284" i="19" s="1"/>
  <c r="N284" i="19" a="1"/>
  <c r="N284" i="19" s="1"/>
  <c r="O284" i="19" a="1"/>
  <c r="O284" i="19" s="1"/>
  <c r="P284" i="19" a="1"/>
  <c r="P284" i="19" s="1"/>
  <c r="Q284" i="19" a="1"/>
  <c r="Q284" i="19" s="1"/>
  <c r="R284" i="19" a="1"/>
  <c r="R284" i="19" s="1"/>
  <c r="U284" i="19" a="1"/>
  <c r="U284" i="19" s="1"/>
  <c r="V284" i="19" a="1"/>
  <c r="V284" i="19" s="1"/>
  <c r="W284" i="19" a="1"/>
  <c r="W284" i="19" s="1"/>
  <c r="X284" i="19" a="1"/>
  <c r="X284" i="19" s="1"/>
  <c r="K285" i="19" a="1"/>
  <c r="K285" i="19" s="1"/>
  <c r="L285" i="19" a="1"/>
  <c r="L285" i="19" s="1"/>
  <c r="M285" i="19" a="1"/>
  <c r="M285" i="19" s="1"/>
  <c r="N285" i="19" a="1"/>
  <c r="N285" i="19" s="1"/>
  <c r="O285" i="19" a="1"/>
  <c r="O285" i="19" s="1"/>
  <c r="P285" i="19" a="1"/>
  <c r="P285" i="19" s="1"/>
  <c r="Q285" i="19" a="1"/>
  <c r="Q285" i="19" s="1"/>
  <c r="R285" i="19" a="1"/>
  <c r="R285" i="19" s="1"/>
  <c r="U285" i="19" a="1"/>
  <c r="U285" i="19" s="1"/>
  <c r="V285" i="19" a="1"/>
  <c r="V285" i="19" s="1"/>
  <c r="W285" i="19" a="1"/>
  <c r="W285" i="19" s="1"/>
  <c r="X285" i="19" a="1"/>
  <c r="X285" i="19" s="1"/>
  <c r="K286" i="19" a="1"/>
  <c r="K286" i="19" s="1"/>
  <c r="L286" i="19" a="1"/>
  <c r="L286" i="19" s="1"/>
  <c r="M286" i="19" a="1"/>
  <c r="M286" i="19" s="1"/>
  <c r="N286" i="19" a="1"/>
  <c r="N286" i="19" s="1"/>
  <c r="O286" i="19" a="1"/>
  <c r="O286" i="19" s="1"/>
  <c r="P286" i="19" a="1"/>
  <c r="P286" i="19" s="1"/>
  <c r="Q286" i="19" a="1"/>
  <c r="Q286" i="19" s="1"/>
  <c r="R286" i="19" a="1"/>
  <c r="R286" i="19" s="1"/>
  <c r="U286" i="19" a="1"/>
  <c r="U286" i="19" s="1"/>
  <c r="V286" i="19" a="1"/>
  <c r="V286" i="19" s="1"/>
  <c r="W286" i="19" a="1"/>
  <c r="W286" i="19" s="1"/>
  <c r="X286" i="19" a="1"/>
  <c r="X286" i="19" s="1"/>
  <c r="K287" i="19" a="1"/>
  <c r="K287" i="19" s="1"/>
  <c r="L287" i="19" a="1"/>
  <c r="L287" i="19" s="1"/>
  <c r="M287" i="19" a="1"/>
  <c r="M287" i="19" s="1"/>
  <c r="N287" i="19" a="1"/>
  <c r="N287" i="19" s="1"/>
  <c r="O287" i="19" a="1"/>
  <c r="O287" i="19" s="1"/>
  <c r="P287" i="19" a="1"/>
  <c r="P287" i="19" s="1"/>
  <c r="Q287" i="19" a="1"/>
  <c r="Q287" i="19" s="1"/>
  <c r="R287" i="19" a="1"/>
  <c r="R287" i="19" s="1"/>
  <c r="U287" i="19" a="1"/>
  <c r="U287" i="19" s="1"/>
  <c r="V287" i="19" a="1"/>
  <c r="V287" i="19" s="1"/>
  <c r="W287" i="19" a="1"/>
  <c r="W287" i="19" s="1"/>
  <c r="X287" i="19" a="1"/>
  <c r="X287" i="19" s="1"/>
  <c r="X2" i="19" a="1"/>
  <c r="X2" i="19" s="1"/>
  <c r="W2" i="19" a="1"/>
  <c r="W2" i="19" s="1"/>
  <c r="V2" i="19" a="1"/>
  <c r="V2" i="19" s="1"/>
  <c r="U2" i="19" a="1"/>
  <c r="U2" i="19" s="1"/>
  <c r="R2" i="19" a="1"/>
  <c r="R2" i="19" s="1"/>
  <c r="Q2" i="19" a="1"/>
  <c r="Q2" i="19" s="1"/>
  <c r="P2" i="19" a="1"/>
  <c r="P2" i="19" s="1"/>
  <c r="O2" i="19" a="1"/>
  <c r="O2" i="19" s="1"/>
  <c r="N2" i="19" a="1"/>
  <c r="N2" i="19" s="1"/>
  <c r="M2" i="19" a="1"/>
  <c r="M2" i="19" s="1"/>
  <c r="L2" i="19" a="1"/>
  <c r="L2" i="19" s="1"/>
  <c r="K2" i="19" a="1"/>
  <c r="K2" i="19" s="1"/>
  <c r="K3" i="18" a="1"/>
  <c r="K3" i="18" s="1"/>
  <c r="L3" i="18" a="1"/>
  <c r="L3" i="18" s="1"/>
  <c r="M3" i="18" a="1"/>
  <c r="M3" i="18" s="1"/>
  <c r="N3" i="18" a="1"/>
  <c r="N3" i="18" s="1"/>
  <c r="O3" i="18" a="1"/>
  <c r="O3" i="18" s="1"/>
  <c r="P3" i="18" a="1"/>
  <c r="P3" i="18" s="1"/>
  <c r="Q3" i="18" a="1"/>
  <c r="Q3" i="18" s="1"/>
  <c r="R3" i="18" a="1"/>
  <c r="R3" i="18" s="1"/>
  <c r="U3" i="18" a="1"/>
  <c r="U3" i="18" s="1"/>
  <c r="V3" i="18" a="1"/>
  <c r="V3" i="18" s="1"/>
  <c r="W3" i="18" a="1"/>
  <c r="W3" i="18" s="1"/>
  <c r="X3" i="18" a="1"/>
  <c r="X3" i="18" s="1"/>
  <c r="K4" i="18" a="1"/>
  <c r="K4" i="18" s="1"/>
  <c r="L4" i="18" a="1"/>
  <c r="L4" i="18" s="1"/>
  <c r="M4" i="18" a="1"/>
  <c r="M4" i="18" s="1"/>
  <c r="N4" i="18" a="1"/>
  <c r="N4" i="18" s="1"/>
  <c r="O4" i="18" a="1"/>
  <c r="O4" i="18" s="1"/>
  <c r="P4" i="18" a="1"/>
  <c r="P4" i="18" s="1"/>
  <c r="Q4" i="18" a="1"/>
  <c r="Q4" i="18" s="1"/>
  <c r="R4" i="18" a="1"/>
  <c r="R4" i="18" s="1"/>
  <c r="U4" i="18" a="1"/>
  <c r="U4" i="18" s="1"/>
  <c r="V4" i="18" a="1"/>
  <c r="V4" i="18" s="1"/>
  <c r="W4" i="18" a="1"/>
  <c r="W4" i="18" s="1"/>
  <c r="X4" i="18" a="1"/>
  <c r="X4" i="18" s="1"/>
  <c r="K5" i="18" a="1"/>
  <c r="K5" i="18" s="1"/>
  <c r="L5" i="18" a="1"/>
  <c r="L5" i="18" s="1"/>
  <c r="M5" i="18" a="1"/>
  <c r="M5" i="18" s="1"/>
  <c r="N5" i="18" a="1"/>
  <c r="N5" i="18" s="1"/>
  <c r="O5" i="18" a="1"/>
  <c r="O5" i="18" s="1"/>
  <c r="P5" i="18" a="1"/>
  <c r="P5" i="18" s="1"/>
  <c r="Q5" i="18" a="1"/>
  <c r="Q5" i="18" s="1"/>
  <c r="R5" i="18" a="1"/>
  <c r="R5" i="18" s="1"/>
  <c r="U5" i="18" a="1"/>
  <c r="U5" i="18" s="1"/>
  <c r="V5" i="18" a="1"/>
  <c r="V5" i="18" s="1"/>
  <c r="W5" i="18" a="1"/>
  <c r="W5" i="18" s="1"/>
  <c r="X5" i="18" a="1"/>
  <c r="X5" i="18" s="1"/>
  <c r="K6" i="18" a="1"/>
  <c r="K6" i="18" s="1"/>
  <c r="L6" i="18" a="1"/>
  <c r="L6" i="18" s="1"/>
  <c r="M6" i="18" a="1"/>
  <c r="M6" i="18" s="1"/>
  <c r="N6" i="18" a="1"/>
  <c r="N6" i="18" s="1"/>
  <c r="O6" i="18" a="1"/>
  <c r="O6" i="18" s="1"/>
  <c r="P6" i="18" a="1"/>
  <c r="P6" i="18" s="1"/>
  <c r="Q6" i="18" a="1"/>
  <c r="Q6" i="18" s="1"/>
  <c r="R6" i="18" a="1"/>
  <c r="R6" i="18" s="1"/>
  <c r="U6" i="18" a="1"/>
  <c r="U6" i="18" s="1"/>
  <c r="V6" i="18" a="1"/>
  <c r="V6" i="18" s="1"/>
  <c r="W6" i="18" a="1"/>
  <c r="W6" i="18" s="1"/>
  <c r="X6" i="18" a="1"/>
  <c r="X6" i="18" s="1"/>
  <c r="K7" i="18" a="1"/>
  <c r="K7" i="18" s="1"/>
  <c r="L7" i="18" a="1"/>
  <c r="L7" i="18" s="1"/>
  <c r="M7" i="18" a="1"/>
  <c r="M7" i="18" s="1"/>
  <c r="N7" i="18" a="1"/>
  <c r="N7" i="18" s="1"/>
  <c r="O7" i="18" a="1"/>
  <c r="O7" i="18" s="1"/>
  <c r="P7" i="18" a="1"/>
  <c r="P7" i="18" s="1"/>
  <c r="Q7" i="18" a="1"/>
  <c r="Q7" i="18" s="1"/>
  <c r="R7" i="18" a="1"/>
  <c r="R7" i="18" s="1"/>
  <c r="U7" i="18" a="1"/>
  <c r="U7" i="18" s="1"/>
  <c r="V7" i="18" a="1"/>
  <c r="V7" i="18" s="1"/>
  <c r="W7" i="18" a="1"/>
  <c r="W7" i="18" s="1"/>
  <c r="X7" i="18" a="1"/>
  <c r="X7" i="18" s="1"/>
  <c r="K8" i="18" a="1"/>
  <c r="K8" i="18" s="1"/>
  <c r="L8" i="18" a="1"/>
  <c r="L8" i="18" s="1"/>
  <c r="M8" i="18" a="1"/>
  <c r="M8" i="18" s="1"/>
  <c r="N8" i="18" a="1"/>
  <c r="N8" i="18" s="1"/>
  <c r="O8" i="18" a="1"/>
  <c r="O8" i="18" s="1"/>
  <c r="P8" i="18" a="1"/>
  <c r="P8" i="18" s="1"/>
  <c r="Q8" i="18" a="1"/>
  <c r="Q8" i="18" s="1"/>
  <c r="R8" i="18" a="1"/>
  <c r="R8" i="18" s="1"/>
  <c r="U8" i="18" a="1"/>
  <c r="U8" i="18" s="1"/>
  <c r="V8" i="18" a="1"/>
  <c r="V8" i="18" s="1"/>
  <c r="W8" i="18" a="1"/>
  <c r="W8" i="18" s="1"/>
  <c r="X8" i="18" a="1"/>
  <c r="X8" i="18" s="1"/>
  <c r="K9" i="18" a="1"/>
  <c r="K9" i="18" s="1"/>
  <c r="L9" i="18" a="1"/>
  <c r="L9" i="18" s="1"/>
  <c r="M9" i="18" a="1"/>
  <c r="M9" i="18" s="1"/>
  <c r="N9" i="18" a="1"/>
  <c r="N9" i="18" s="1"/>
  <c r="O9" i="18" a="1"/>
  <c r="O9" i="18" s="1"/>
  <c r="P9" i="18" a="1"/>
  <c r="P9" i="18" s="1"/>
  <c r="Q9" i="18" a="1"/>
  <c r="Q9" i="18" s="1"/>
  <c r="R9" i="18" a="1"/>
  <c r="R9" i="18" s="1"/>
  <c r="U9" i="18" a="1"/>
  <c r="U9" i="18" s="1"/>
  <c r="V9" i="18" a="1"/>
  <c r="V9" i="18" s="1"/>
  <c r="W9" i="18" a="1"/>
  <c r="W9" i="18" s="1"/>
  <c r="X9" i="18" a="1"/>
  <c r="X9" i="18" s="1"/>
  <c r="K10" i="18" a="1"/>
  <c r="K10" i="18" s="1"/>
  <c r="L10" i="18" a="1"/>
  <c r="L10" i="18" s="1"/>
  <c r="M10" i="18" a="1"/>
  <c r="M10" i="18" s="1"/>
  <c r="N10" i="18" a="1"/>
  <c r="N10" i="18" s="1"/>
  <c r="O10" i="18" a="1"/>
  <c r="O10" i="18" s="1"/>
  <c r="P10" i="18" a="1"/>
  <c r="P10" i="18" s="1"/>
  <c r="Q10" i="18" a="1"/>
  <c r="Q10" i="18" s="1"/>
  <c r="R10" i="18" a="1"/>
  <c r="R10" i="18" s="1"/>
  <c r="U10" i="18" a="1"/>
  <c r="U10" i="18" s="1"/>
  <c r="V10" i="18" a="1"/>
  <c r="V10" i="18" s="1"/>
  <c r="W10" i="18" a="1"/>
  <c r="W10" i="18" s="1"/>
  <c r="X10" i="18" a="1"/>
  <c r="X10" i="18" s="1"/>
  <c r="K11" i="18" a="1"/>
  <c r="K11" i="18" s="1"/>
  <c r="L11" i="18" a="1"/>
  <c r="L11" i="18" s="1"/>
  <c r="M11" i="18" a="1"/>
  <c r="M11" i="18" s="1"/>
  <c r="N11" i="18" a="1"/>
  <c r="N11" i="18" s="1"/>
  <c r="O11" i="18" a="1"/>
  <c r="O11" i="18" s="1"/>
  <c r="P11" i="18" a="1"/>
  <c r="P11" i="18" s="1"/>
  <c r="Q11" i="18" a="1"/>
  <c r="Q11" i="18" s="1"/>
  <c r="R11" i="18" a="1"/>
  <c r="R11" i="18" s="1"/>
  <c r="U11" i="18" a="1"/>
  <c r="U11" i="18" s="1"/>
  <c r="V11" i="18" a="1"/>
  <c r="V11" i="18" s="1"/>
  <c r="W11" i="18" a="1"/>
  <c r="W11" i="18" s="1"/>
  <c r="X11" i="18" a="1"/>
  <c r="X11" i="18" s="1"/>
  <c r="K12" i="18" a="1"/>
  <c r="K12" i="18" s="1"/>
  <c r="L12" i="18" a="1"/>
  <c r="L12" i="18" s="1"/>
  <c r="M12" i="18" a="1"/>
  <c r="M12" i="18" s="1"/>
  <c r="N12" i="18" a="1"/>
  <c r="N12" i="18" s="1"/>
  <c r="O12" i="18" a="1"/>
  <c r="O12" i="18" s="1"/>
  <c r="P12" i="18" a="1"/>
  <c r="P12" i="18" s="1"/>
  <c r="Q12" i="18" a="1"/>
  <c r="Q12" i="18" s="1"/>
  <c r="R12" i="18" a="1"/>
  <c r="R12" i="18" s="1"/>
  <c r="U12" i="18" a="1"/>
  <c r="U12" i="18" s="1"/>
  <c r="V12" i="18" a="1"/>
  <c r="V12" i="18" s="1"/>
  <c r="W12" i="18" a="1"/>
  <c r="W12" i="18" s="1"/>
  <c r="X12" i="18" a="1"/>
  <c r="X12" i="18" s="1"/>
  <c r="K13" i="18" a="1"/>
  <c r="K13" i="18" s="1"/>
  <c r="L13" i="18" a="1"/>
  <c r="L13" i="18" s="1"/>
  <c r="M13" i="18" a="1"/>
  <c r="M13" i="18" s="1"/>
  <c r="N13" i="18" a="1"/>
  <c r="N13" i="18" s="1"/>
  <c r="O13" i="18" a="1"/>
  <c r="O13" i="18" s="1"/>
  <c r="P13" i="18" a="1"/>
  <c r="P13" i="18" s="1"/>
  <c r="Q13" i="18" a="1"/>
  <c r="Q13" i="18" s="1"/>
  <c r="R13" i="18" a="1"/>
  <c r="R13" i="18" s="1"/>
  <c r="U13" i="18" a="1"/>
  <c r="U13" i="18" s="1"/>
  <c r="V13" i="18" a="1"/>
  <c r="V13" i="18" s="1"/>
  <c r="W13" i="18" a="1"/>
  <c r="W13" i="18" s="1"/>
  <c r="X13" i="18" a="1"/>
  <c r="X13" i="18" s="1"/>
  <c r="K14" i="18" a="1"/>
  <c r="K14" i="18" s="1"/>
  <c r="L14" i="18" a="1"/>
  <c r="L14" i="18" s="1"/>
  <c r="M14" i="18" a="1"/>
  <c r="M14" i="18" s="1"/>
  <c r="N14" i="18" a="1"/>
  <c r="N14" i="18" s="1"/>
  <c r="O14" i="18" a="1"/>
  <c r="O14" i="18" s="1"/>
  <c r="P14" i="18" a="1"/>
  <c r="P14" i="18" s="1"/>
  <c r="Q14" i="18" a="1"/>
  <c r="Q14" i="18" s="1"/>
  <c r="R14" i="18" a="1"/>
  <c r="R14" i="18" s="1"/>
  <c r="U14" i="18" a="1"/>
  <c r="U14" i="18" s="1"/>
  <c r="V14" i="18" a="1"/>
  <c r="V14" i="18" s="1"/>
  <c r="W14" i="18" a="1"/>
  <c r="W14" i="18" s="1"/>
  <c r="X14" i="18" a="1"/>
  <c r="X14" i="18" s="1"/>
  <c r="K15" i="18" a="1"/>
  <c r="K15" i="18" s="1"/>
  <c r="L15" i="18" a="1"/>
  <c r="L15" i="18" s="1"/>
  <c r="M15" i="18" a="1"/>
  <c r="M15" i="18" s="1"/>
  <c r="N15" i="18" a="1"/>
  <c r="N15" i="18" s="1"/>
  <c r="O15" i="18" a="1"/>
  <c r="O15" i="18" s="1"/>
  <c r="P15" i="18" a="1"/>
  <c r="P15" i="18" s="1"/>
  <c r="Q15" i="18" a="1"/>
  <c r="Q15" i="18" s="1"/>
  <c r="R15" i="18" a="1"/>
  <c r="R15" i="18" s="1"/>
  <c r="U15" i="18" a="1"/>
  <c r="U15" i="18" s="1"/>
  <c r="V15" i="18" a="1"/>
  <c r="V15" i="18" s="1"/>
  <c r="W15" i="18" a="1"/>
  <c r="W15" i="18" s="1"/>
  <c r="X15" i="18" a="1"/>
  <c r="X15" i="18" s="1"/>
  <c r="K16" i="18" a="1"/>
  <c r="K16" i="18" s="1"/>
  <c r="L16" i="18" a="1"/>
  <c r="L16" i="18" s="1"/>
  <c r="M16" i="18" a="1"/>
  <c r="M16" i="18" s="1"/>
  <c r="N16" i="18" a="1"/>
  <c r="N16" i="18" s="1"/>
  <c r="O16" i="18" a="1"/>
  <c r="O16" i="18" s="1"/>
  <c r="P16" i="18" a="1"/>
  <c r="P16" i="18" s="1"/>
  <c r="Q16" i="18" a="1"/>
  <c r="Q16" i="18" s="1"/>
  <c r="R16" i="18" a="1"/>
  <c r="R16" i="18" s="1"/>
  <c r="U16" i="18" a="1"/>
  <c r="U16" i="18" s="1"/>
  <c r="V16" i="18" a="1"/>
  <c r="V16" i="18" s="1"/>
  <c r="W16" i="18" a="1"/>
  <c r="W16" i="18" s="1"/>
  <c r="X16" i="18" a="1"/>
  <c r="X16" i="18" s="1"/>
  <c r="K17" i="18" a="1"/>
  <c r="K17" i="18" s="1"/>
  <c r="L17" i="18" a="1"/>
  <c r="L17" i="18" s="1"/>
  <c r="M17" i="18" a="1"/>
  <c r="M17" i="18" s="1"/>
  <c r="N17" i="18" a="1"/>
  <c r="N17" i="18" s="1"/>
  <c r="O17" i="18" a="1"/>
  <c r="O17" i="18" s="1"/>
  <c r="P17" i="18" a="1"/>
  <c r="P17" i="18" s="1"/>
  <c r="Q17" i="18" a="1"/>
  <c r="Q17" i="18" s="1"/>
  <c r="R17" i="18" a="1"/>
  <c r="R17" i="18" s="1"/>
  <c r="U17" i="18" a="1"/>
  <c r="U17" i="18" s="1"/>
  <c r="V17" i="18" a="1"/>
  <c r="V17" i="18" s="1"/>
  <c r="W17" i="18" a="1"/>
  <c r="W17" i="18" s="1"/>
  <c r="X17" i="18" a="1"/>
  <c r="X17" i="18" s="1"/>
  <c r="K18" i="18" a="1"/>
  <c r="K18" i="18" s="1"/>
  <c r="L18" i="18" a="1"/>
  <c r="L18" i="18" s="1"/>
  <c r="M18" i="18" a="1"/>
  <c r="M18" i="18" s="1"/>
  <c r="N18" i="18" a="1"/>
  <c r="N18" i="18" s="1"/>
  <c r="O18" i="18" a="1"/>
  <c r="O18" i="18" s="1"/>
  <c r="P18" i="18" a="1"/>
  <c r="P18" i="18" s="1"/>
  <c r="Q18" i="18" a="1"/>
  <c r="Q18" i="18" s="1"/>
  <c r="R18" i="18" a="1"/>
  <c r="R18" i="18" s="1"/>
  <c r="U18" i="18" a="1"/>
  <c r="U18" i="18" s="1"/>
  <c r="V18" i="18" a="1"/>
  <c r="V18" i="18" s="1"/>
  <c r="W18" i="18" a="1"/>
  <c r="W18" i="18" s="1"/>
  <c r="X18" i="18" a="1"/>
  <c r="X18" i="18" s="1"/>
  <c r="K19" i="18" a="1"/>
  <c r="K19" i="18" s="1"/>
  <c r="L19" i="18" a="1"/>
  <c r="L19" i="18" s="1"/>
  <c r="M19" i="18" a="1"/>
  <c r="M19" i="18" s="1"/>
  <c r="N19" i="18" a="1"/>
  <c r="N19" i="18" s="1"/>
  <c r="O19" i="18" a="1"/>
  <c r="O19" i="18" s="1"/>
  <c r="P19" i="18" a="1"/>
  <c r="P19" i="18" s="1"/>
  <c r="Q19" i="18" a="1"/>
  <c r="Q19" i="18" s="1"/>
  <c r="R19" i="18" a="1"/>
  <c r="R19" i="18" s="1"/>
  <c r="U19" i="18" a="1"/>
  <c r="U19" i="18" s="1"/>
  <c r="V19" i="18" a="1"/>
  <c r="V19" i="18" s="1"/>
  <c r="W19" i="18" a="1"/>
  <c r="W19" i="18" s="1"/>
  <c r="X19" i="18" a="1"/>
  <c r="X19" i="18" s="1"/>
  <c r="K20" i="18" a="1"/>
  <c r="K20" i="18" s="1"/>
  <c r="L20" i="18" a="1"/>
  <c r="L20" i="18" s="1"/>
  <c r="M20" i="18" a="1"/>
  <c r="M20" i="18" s="1"/>
  <c r="N20" i="18" a="1"/>
  <c r="N20" i="18" s="1"/>
  <c r="O20" i="18" a="1"/>
  <c r="O20" i="18" s="1"/>
  <c r="P20" i="18" a="1"/>
  <c r="P20" i="18" s="1"/>
  <c r="Q20" i="18" a="1"/>
  <c r="Q20" i="18" s="1"/>
  <c r="R20" i="18" a="1"/>
  <c r="R20" i="18" s="1"/>
  <c r="U20" i="18" a="1"/>
  <c r="U20" i="18" s="1"/>
  <c r="V20" i="18" a="1"/>
  <c r="V20" i="18" s="1"/>
  <c r="W20" i="18" a="1"/>
  <c r="W20" i="18" s="1"/>
  <c r="X20" i="18" a="1"/>
  <c r="X20" i="18" s="1"/>
  <c r="K21" i="18" a="1"/>
  <c r="K21" i="18" s="1"/>
  <c r="L21" i="18" a="1"/>
  <c r="L21" i="18" s="1"/>
  <c r="M21" i="18" a="1"/>
  <c r="M21" i="18" s="1"/>
  <c r="N21" i="18" a="1"/>
  <c r="N21" i="18" s="1"/>
  <c r="O21" i="18" a="1"/>
  <c r="O21" i="18" s="1"/>
  <c r="P21" i="18" a="1"/>
  <c r="P21" i="18" s="1"/>
  <c r="Q21" i="18" a="1"/>
  <c r="Q21" i="18" s="1"/>
  <c r="R21" i="18" a="1"/>
  <c r="R21" i="18" s="1"/>
  <c r="U21" i="18" a="1"/>
  <c r="U21" i="18" s="1"/>
  <c r="V21" i="18" a="1"/>
  <c r="V21" i="18" s="1"/>
  <c r="W21" i="18" a="1"/>
  <c r="W21" i="18" s="1"/>
  <c r="X21" i="18" a="1"/>
  <c r="X21" i="18" s="1"/>
  <c r="K22" i="18" a="1"/>
  <c r="K22" i="18" s="1"/>
  <c r="L22" i="18" a="1"/>
  <c r="L22" i="18" s="1"/>
  <c r="M22" i="18" a="1"/>
  <c r="M22" i="18" s="1"/>
  <c r="N22" i="18" a="1"/>
  <c r="N22" i="18" s="1"/>
  <c r="O22" i="18" a="1"/>
  <c r="O22" i="18" s="1"/>
  <c r="P22" i="18" a="1"/>
  <c r="P22" i="18" s="1"/>
  <c r="Q22" i="18" a="1"/>
  <c r="Q22" i="18" s="1"/>
  <c r="R22" i="18" a="1"/>
  <c r="R22" i="18" s="1"/>
  <c r="U22" i="18" a="1"/>
  <c r="U22" i="18" s="1"/>
  <c r="V22" i="18" a="1"/>
  <c r="V22" i="18" s="1"/>
  <c r="W22" i="18" a="1"/>
  <c r="W22" i="18" s="1"/>
  <c r="X22" i="18" a="1"/>
  <c r="X22" i="18" s="1"/>
  <c r="K23" i="18" a="1"/>
  <c r="K23" i="18" s="1"/>
  <c r="L23" i="18" a="1"/>
  <c r="L23" i="18" s="1"/>
  <c r="M23" i="18" a="1"/>
  <c r="M23" i="18" s="1"/>
  <c r="N23" i="18" a="1"/>
  <c r="N23" i="18" s="1"/>
  <c r="O23" i="18" a="1"/>
  <c r="O23" i="18" s="1"/>
  <c r="P23" i="18" a="1"/>
  <c r="P23" i="18" s="1"/>
  <c r="Q23" i="18" a="1"/>
  <c r="Q23" i="18" s="1"/>
  <c r="R23" i="18" a="1"/>
  <c r="R23" i="18" s="1"/>
  <c r="U23" i="18" a="1"/>
  <c r="U23" i="18" s="1"/>
  <c r="V23" i="18" a="1"/>
  <c r="V23" i="18" s="1"/>
  <c r="W23" i="18" a="1"/>
  <c r="W23" i="18" s="1"/>
  <c r="X23" i="18" a="1"/>
  <c r="X23" i="18" s="1"/>
  <c r="K24" i="18" a="1"/>
  <c r="K24" i="18" s="1"/>
  <c r="L24" i="18" a="1"/>
  <c r="L24" i="18" s="1"/>
  <c r="M24" i="18" a="1"/>
  <c r="M24" i="18" s="1"/>
  <c r="N24" i="18" a="1"/>
  <c r="N24" i="18" s="1"/>
  <c r="O24" i="18" a="1"/>
  <c r="O24" i="18" s="1"/>
  <c r="P24" i="18" a="1"/>
  <c r="P24" i="18" s="1"/>
  <c r="Q24" i="18" a="1"/>
  <c r="Q24" i="18" s="1"/>
  <c r="R24" i="18" a="1"/>
  <c r="R24" i="18" s="1"/>
  <c r="U24" i="18" a="1"/>
  <c r="U24" i="18" s="1"/>
  <c r="V24" i="18" a="1"/>
  <c r="V24" i="18" s="1"/>
  <c r="W24" i="18" a="1"/>
  <c r="W24" i="18" s="1"/>
  <c r="X24" i="18" a="1"/>
  <c r="X24" i="18" s="1"/>
  <c r="K25" i="18" a="1"/>
  <c r="K25" i="18" s="1"/>
  <c r="L25" i="18" a="1"/>
  <c r="L25" i="18" s="1"/>
  <c r="M25" i="18" a="1"/>
  <c r="M25" i="18" s="1"/>
  <c r="N25" i="18" a="1"/>
  <c r="N25" i="18" s="1"/>
  <c r="O25" i="18" a="1"/>
  <c r="O25" i="18" s="1"/>
  <c r="P25" i="18" a="1"/>
  <c r="P25" i="18" s="1"/>
  <c r="Q25" i="18" a="1"/>
  <c r="Q25" i="18" s="1"/>
  <c r="R25" i="18" a="1"/>
  <c r="R25" i="18" s="1"/>
  <c r="U25" i="18" a="1"/>
  <c r="U25" i="18" s="1"/>
  <c r="V25" i="18" a="1"/>
  <c r="V25" i="18" s="1"/>
  <c r="W25" i="18" a="1"/>
  <c r="W25" i="18" s="1"/>
  <c r="X25" i="18" a="1"/>
  <c r="X25" i="18" s="1"/>
  <c r="K26" i="18" a="1"/>
  <c r="K26" i="18" s="1"/>
  <c r="L26" i="18" a="1"/>
  <c r="L26" i="18" s="1"/>
  <c r="M26" i="18" a="1"/>
  <c r="M26" i="18" s="1"/>
  <c r="N26" i="18" a="1"/>
  <c r="N26" i="18" s="1"/>
  <c r="O26" i="18" a="1"/>
  <c r="O26" i="18" s="1"/>
  <c r="P26" i="18" a="1"/>
  <c r="P26" i="18" s="1"/>
  <c r="Q26" i="18" a="1"/>
  <c r="Q26" i="18" s="1"/>
  <c r="R26" i="18" a="1"/>
  <c r="R26" i="18" s="1"/>
  <c r="U26" i="18" a="1"/>
  <c r="U26" i="18" s="1"/>
  <c r="V26" i="18" a="1"/>
  <c r="V26" i="18" s="1"/>
  <c r="W26" i="18" a="1"/>
  <c r="W26" i="18" s="1"/>
  <c r="X26" i="18" a="1"/>
  <c r="X26" i="18" s="1"/>
  <c r="K27" i="18" a="1"/>
  <c r="K27" i="18" s="1"/>
  <c r="L27" i="18" a="1"/>
  <c r="L27" i="18" s="1"/>
  <c r="M27" i="18" a="1"/>
  <c r="M27" i="18" s="1"/>
  <c r="N27" i="18" a="1"/>
  <c r="N27" i="18" s="1"/>
  <c r="O27" i="18" a="1"/>
  <c r="O27" i="18" s="1"/>
  <c r="P27" i="18" a="1"/>
  <c r="P27" i="18" s="1"/>
  <c r="Q27" i="18" a="1"/>
  <c r="Q27" i="18" s="1"/>
  <c r="R27" i="18" a="1"/>
  <c r="R27" i="18" s="1"/>
  <c r="U27" i="18" a="1"/>
  <c r="U27" i="18" s="1"/>
  <c r="V27" i="18" a="1"/>
  <c r="V27" i="18" s="1"/>
  <c r="W27" i="18" a="1"/>
  <c r="W27" i="18" s="1"/>
  <c r="X27" i="18" a="1"/>
  <c r="X27" i="18" s="1"/>
  <c r="K28" i="18" a="1"/>
  <c r="K28" i="18" s="1"/>
  <c r="L28" i="18" a="1"/>
  <c r="L28" i="18" s="1"/>
  <c r="M28" i="18" a="1"/>
  <c r="M28" i="18" s="1"/>
  <c r="N28" i="18" a="1"/>
  <c r="N28" i="18" s="1"/>
  <c r="O28" i="18" a="1"/>
  <c r="O28" i="18" s="1"/>
  <c r="P28" i="18" a="1"/>
  <c r="P28" i="18" s="1"/>
  <c r="Q28" i="18" a="1"/>
  <c r="Q28" i="18" s="1"/>
  <c r="R28" i="18" a="1"/>
  <c r="R28" i="18" s="1"/>
  <c r="U28" i="18" a="1"/>
  <c r="U28" i="18" s="1"/>
  <c r="V28" i="18" a="1"/>
  <c r="V28" i="18" s="1"/>
  <c r="W28" i="18" a="1"/>
  <c r="W28" i="18" s="1"/>
  <c r="X28" i="18" a="1"/>
  <c r="X28" i="18" s="1"/>
  <c r="K29" i="18" a="1"/>
  <c r="K29" i="18" s="1"/>
  <c r="L29" i="18" a="1"/>
  <c r="L29" i="18" s="1"/>
  <c r="M29" i="18" a="1"/>
  <c r="M29" i="18" s="1"/>
  <c r="N29" i="18" a="1"/>
  <c r="N29" i="18" s="1"/>
  <c r="O29" i="18" a="1"/>
  <c r="O29" i="18" s="1"/>
  <c r="P29" i="18" a="1"/>
  <c r="P29" i="18" s="1"/>
  <c r="Q29" i="18" a="1"/>
  <c r="Q29" i="18" s="1"/>
  <c r="R29" i="18" a="1"/>
  <c r="R29" i="18" s="1"/>
  <c r="U29" i="18" a="1"/>
  <c r="U29" i="18" s="1"/>
  <c r="V29" i="18" a="1"/>
  <c r="V29" i="18" s="1"/>
  <c r="W29" i="18" a="1"/>
  <c r="W29" i="18" s="1"/>
  <c r="X29" i="18" a="1"/>
  <c r="X29" i="18" s="1"/>
  <c r="K30" i="18" a="1"/>
  <c r="K30" i="18" s="1"/>
  <c r="L30" i="18" a="1"/>
  <c r="L30" i="18" s="1"/>
  <c r="M30" i="18" a="1"/>
  <c r="M30" i="18" s="1"/>
  <c r="N30" i="18" a="1"/>
  <c r="N30" i="18" s="1"/>
  <c r="O30" i="18" a="1"/>
  <c r="O30" i="18" s="1"/>
  <c r="P30" i="18" a="1"/>
  <c r="P30" i="18" s="1"/>
  <c r="Q30" i="18" a="1"/>
  <c r="Q30" i="18" s="1"/>
  <c r="R30" i="18" a="1"/>
  <c r="R30" i="18" s="1"/>
  <c r="U30" i="18" a="1"/>
  <c r="U30" i="18" s="1"/>
  <c r="V30" i="18" a="1"/>
  <c r="V30" i="18" s="1"/>
  <c r="W30" i="18" a="1"/>
  <c r="W30" i="18" s="1"/>
  <c r="X30" i="18" a="1"/>
  <c r="X30" i="18" s="1"/>
  <c r="K31" i="18" a="1"/>
  <c r="K31" i="18" s="1"/>
  <c r="L31" i="18" a="1"/>
  <c r="L31" i="18" s="1"/>
  <c r="M31" i="18" a="1"/>
  <c r="M31" i="18" s="1"/>
  <c r="N31" i="18" a="1"/>
  <c r="N31" i="18" s="1"/>
  <c r="O31" i="18" a="1"/>
  <c r="O31" i="18" s="1"/>
  <c r="P31" i="18" a="1"/>
  <c r="P31" i="18" s="1"/>
  <c r="Q31" i="18" a="1"/>
  <c r="Q31" i="18" s="1"/>
  <c r="R31" i="18" a="1"/>
  <c r="R31" i="18" s="1"/>
  <c r="U31" i="18" a="1"/>
  <c r="U31" i="18" s="1"/>
  <c r="V31" i="18" a="1"/>
  <c r="V31" i="18" s="1"/>
  <c r="W31" i="18" a="1"/>
  <c r="W31" i="18" s="1"/>
  <c r="X31" i="18" a="1"/>
  <c r="X31" i="18" s="1"/>
  <c r="K32" i="18" a="1"/>
  <c r="K32" i="18" s="1"/>
  <c r="L32" i="18" a="1"/>
  <c r="L32" i="18" s="1"/>
  <c r="M32" i="18" a="1"/>
  <c r="M32" i="18" s="1"/>
  <c r="N32" i="18" a="1"/>
  <c r="N32" i="18" s="1"/>
  <c r="O32" i="18" a="1"/>
  <c r="O32" i="18" s="1"/>
  <c r="P32" i="18" a="1"/>
  <c r="P32" i="18" s="1"/>
  <c r="Q32" i="18" a="1"/>
  <c r="Q32" i="18" s="1"/>
  <c r="R32" i="18" a="1"/>
  <c r="R32" i="18" s="1"/>
  <c r="U32" i="18" a="1"/>
  <c r="U32" i="18" s="1"/>
  <c r="V32" i="18" a="1"/>
  <c r="V32" i="18" s="1"/>
  <c r="W32" i="18" a="1"/>
  <c r="W32" i="18" s="1"/>
  <c r="X32" i="18" a="1"/>
  <c r="X32" i="18" s="1"/>
  <c r="K33" i="18" a="1"/>
  <c r="K33" i="18" s="1"/>
  <c r="L33" i="18" a="1"/>
  <c r="L33" i="18" s="1"/>
  <c r="M33" i="18" a="1"/>
  <c r="M33" i="18" s="1"/>
  <c r="N33" i="18" a="1"/>
  <c r="N33" i="18" s="1"/>
  <c r="O33" i="18" a="1"/>
  <c r="O33" i="18" s="1"/>
  <c r="P33" i="18" a="1"/>
  <c r="P33" i="18" s="1"/>
  <c r="Q33" i="18" a="1"/>
  <c r="Q33" i="18" s="1"/>
  <c r="R33" i="18" a="1"/>
  <c r="R33" i="18" s="1"/>
  <c r="U33" i="18" a="1"/>
  <c r="U33" i="18" s="1"/>
  <c r="V33" i="18" a="1"/>
  <c r="V33" i="18" s="1"/>
  <c r="W33" i="18" a="1"/>
  <c r="W33" i="18" s="1"/>
  <c r="X33" i="18" a="1"/>
  <c r="X33" i="18" s="1"/>
  <c r="K34" i="18" a="1"/>
  <c r="K34" i="18" s="1"/>
  <c r="L34" i="18" a="1"/>
  <c r="L34" i="18" s="1"/>
  <c r="M34" i="18" a="1"/>
  <c r="M34" i="18" s="1"/>
  <c r="N34" i="18" a="1"/>
  <c r="N34" i="18" s="1"/>
  <c r="O34" i="18" a="1"/>
  <c r="O34" i="18" s="1"/>
  <c r="P34" i="18" a="1"/>
  <c r="P34" i="18" s="1"/>
  <c r="Q34" i="18" a="1"/>
  <c r="Q34" i="18" s="1"/>
  <c r="R34" i="18" a="1"/>
  <c r="R34" i="18" s="1"/>
  <c r="U34" i="18" a="1"/>
  <c r="U34" i="18" s="1"/>
  <c r="V34" i="18" a="1"/>
  <c r="V34" i="18" s="1"/>
  <c r="W34" i="18" a="1"/>
  <c r="W34" i="18" s="1"/>
  <c r="X34" i="18" a="1"/>
  <c r="X34" i="18" s="1"/>
  <c r="K35" i="18" a="1"/>
  <c r="K35" i="18" s="1"/>
  <c r="L35" i="18" a="1"/>
  <c r="L35" i="18" s="1"/>
  <c r="M35" i="18" a="1"/>
  <c r="M35" i="18" s="1"/>
  <c r="N35" i="18" a="1"/>
  <c r="N35" i="18" s="1"/>
  <c r="O35" i="18" a="1"/>
  <c r="O35" i="18" s="1"/>
  <c r="P35" i="18" a="1"/>
  <c r="P35" i="18" s="1"/>
  <c r="Q35" i="18" a="1"/>
  <c r="Q35" i="18" s="1"/>
  <c r="R35" i="18" a="1"/>
  <c r="R35" i="18" s="1"/>
  <c r="U35" i="18" a="1"/>
  <c r="U35" i="18" s="1"/>
  <c r="V35" i="18" a="1"/>
  <c r="V35" i="18" s="1"/>
  <c r="W35" i="18" a="1"/>
  <c r="W35" i="18" s="1"/>
  <c r="X35" i="18" a="1"/>
  <c r="X35" i="18" s="1"/>
  <c r="K36" i="18" a="1"/>
  <c r="K36" i="18" s="1"/>
  <c r="L36" i="18" a="1"/>
  <c r="L36" i="18" s="1"/>
  <c r="M36" i="18" a="1"/>
  <c r="M36" i="18" s="1"/>
  <c r="N36" i="18" a="1"/>
  <c r="N36" i="18" s="1"/>
  <c r="O36" i="18" a="1"/>
  <c r="O36" i="18" s="1"/>
  <c r="P36" i="18" a="1"/>
  <c r="P36" i="18" s="1"/>
  <c r="Q36" i="18" a="1"/>
  <c r="Q36" i="18" s="1"/>
  <c r="R36" i="18" a="1"/>
  <c r="R36" i="18" s="1"/>
  <c r="U36" i="18" a="1"/>
  <c r="U36" i="18" s="1"/>
  <c r="V36" i="18" a="1"/>
  <c r="V36" i="18" s="1"/>
  <c r="W36" i="18" a="1"/>
  <c r="W36" i="18" s="1"/>
  <c r="X36" i="18" a="1"/>
  <c r="X36" i="18" s="1"/>
  <c r="K37" i="18" a="1"/>
  <c r="K37" i="18" s="1"/>
  <c r="L37" i="18" a="1"/>
  <c r="L37" i="18" s="1"/>
  <c r="M37" i="18" a="1"/>
  <c r="M37" i="18" s="1"/>
  <c r="N37" i="18" a="1"/>
  <c r="N37" i="18" s="1"/>
  <c r="O37" i="18" a="1"/>
  <c r="O37" i="18" s="1"/>
  <c r="P37" i="18" a="1"/>
  <c r="P37" i="18" s="1"/>
  <c r="Q37" i="18" a="1"/>
  <c r="Q37" i="18" s="1"/>
  <c r="R37" i="18" a="1"/>
  <c r="R37" i="18" s="1"/>
  <c r="U37" i="18" a="1"/>
  <c r="U37" i="18" s="1"/>
  <c r="V37" i="18" a="1"/>
  <c r="V37" i="18" s="1"/>
  <c r="W37" i="18" a="1"/>
  <c r="W37" i="18" s="1"/>
  <c r="X37" i="18" a="1"/>
  <c r="X37" i="18" s="1"/>
  <c r="K38" i="18" a="1"/>
  <c r="K38" i="18" s="1"/>
  <c r="L38" i="18" a="1"/>
  <c r="L38" i="18" s="1"/>
  <c r="M38" i="18" a="1"/>
  <c r="M38" i="18" s="1"/>
  <c r="N38" i="18" a="1"/>
  <c r="N38" i="18" s="1"/>
  <c r="O38" i="18" a="1"/>
  <c r="O38" i="18" s="1"/>
  <c r="P38" i="18" a="1"/>
  <c r="P38" i="18" s="1"/>
  <c r="Q38" i="18" a="1"/>
  <c r="Q38" i="18" s="1"/>
  <c r="R38" i="18" a="1"/>
  <c r="R38" i="18" s="1"/>
  <c r="U38" i="18" a="1"/>
  <c r="U38" i="18" s="1"/>
  <c r="V38" i="18" a="1"/>
  <c r="V38" i="18" s="1"/>
  <c r="W38" i="18" a="1"/>
  <c r="W38" i="18" s="1"/>
  <c r="X38" i="18" a="1"/>
  <c r="X38" i="18" s="1"/>
  <c r="K39" i="18" a="1"/>
  <c r="K39" i="18" s="1"/>
  <c r="L39" i="18" a="1"/>
  <c r="L39" i="18" s="1"/>
  <c r="M39" i="18" a="1"/>
  <c r="M39" i="18" s="1"/>
  <c r="N39" i="18" a="1"/>
  <c r="N39" i="18" s="1"/>
  <c r="O39" i="18" a="1"/>
  <c r="O39" i="18" s="1"/>
  <c r="P39" i="18" a="1"/>
  <c r="P39" i="18" s="1"/>
  <c r="Q39" i="18" a="1"/>
  <c r="Q39" i="18" s="1"/>
  <c r="R39" i="18" a="1"/>
  <c r="R39" i="18" s="1"/>
  <c r="U39" i="18" a="1"/>
  <c r="U39" i="18" s="1"/>
  <c r="V39" i="18" a="1"/>
  <c r="V39" i="18" s="1"/>
  <c r="W39" i="18" a="1"/>
  <c r="W39" i="18" s="1"/>
  <c r="X39" i="18" a="1"/>
  <c r="X39" i="18" s="1"/>
  <c r="K40" i="18" a="1"/>
  <c r="K40" i="18" s="1"/>
  <c r="L40" i="18" a="1"/>
  <c r="L40" i="18" s="1"/>
  <c r="M40" i="18" a="1"/>
  <c r="M40" i="18" s="1"/>
  <c r="N40" i="18" a="1"/>
  <c r="N40" i="18" s="1"/>
  <c r="O40" i="18" a="1"/>
  <c r="O40" i="18" s="1"/>
  <c r="P40" i="18" a="1"/>
  <c r="P40" i="18" s="1"/>
  <c r="Q40" i="18" a="1"/>
  <c r="Q40" i="18" s="1"/>
  <c r="R40" i="18" a="1"/>
  <c r="R40" i="18" s="1"/>
  <c r="U40" i="18" a="1"/>
  <c r="U40" i="18" s="1"/>
  <c r="V40" i="18" a="1"/>
  <c r="V40" i="18" s="1"/>
  <c r="W40" i="18" a="1"/>
  <c r="W40" i="18" s="1"/>
  <c r="X40" i="18" a="1"/>
  <c r="X40" i="18" s="1"/>
  <c r="K41" i="18" a="1"/>
  <c r="K41" i="18" s="1"/>
  <c r="L41" i="18" a="1"/>
  <c r="L41" i="18" s="1"/>
  <c r="M41" i="18" a="1"/>
  <c r="M41" i="18" s="1"/>
  <c r="N41" i="18" a="1"/>
  <c r="N41" i="18" s="1"/>
  <c r="O41" i="18" a="1"/>
  <c r="O41" i="18" s="1"/>
  <c r="P41" i="18" a="1"/>
  <c r="P41" i="18" s="1"/>
  <c r="Q41" i="18" a="1"/>
  <c r="Q41" i="18" s="1"/>
  <c r="R41" i="18" a="1"/>
  <c r="R41" i="18" s="1"/>
  <c r="U41" i="18" a="1"/>
  <c r="U41" i="18" s="1"/>
  <c r="V41" i="18" a="1"/>
  <c r="V41" i="18" s="1"/>
  <c r="W41" i="18" a="1"/>
  <c r="W41" i="18" s="1"/>
  <c r="X41" i="18" a="1"/>
  <c r="X41" i="18" s="1"/>
  <c r="K42" i="18" a="1"/>
  <c r="K42" i="18" s="1"/>
  <c r="L42" i="18" a="1"/>
  <c r="L42" i="18" s="1"/>
  <c r="M42" i="18" a="1"/>
  <c r="M42" i="18" s="1"/>
  <c r="N42" i="18" a="1"/>
  <c r="N42" i="18" s="1"/>
  <c r="O42" i="18" a="1"/>
  <c r="O42" i="18" s="1"/>
  <c r="P42" i="18" a="1"/>
  <c r="P42" i="18" s="1"/>
  <c r="Q42" i="18" a="1"/>
  <c r="Q42" i="18" s="1"/>
  <c r="R42" i="18" a="1"/>
  <c r="R42" i="18" s="1"/>
  <c r="U42" i="18" a="1"/>
  <c r="U42" i="18" s="1"/>
  <c r="V42" i="18" a="1"/>
  <c r="V42" i="18" s="1"/>
  <c r="W42" i="18" a="1"/>
  <c r="W42" i="18" s="1"/>
  <c r="X42" i="18" a="1"/>
  <c r="X42" i="18" s="1"/>
  <c r="K43" i="18" a="1"/>
  <c r="K43" i="18" s="1"/>
  <c r="L43" i="18" a="1"/>
  <c r="L43" i="18" s="1"/>
  <c r="M43" i="18" a="1"/>
  <c r="M43" i="18" s="1"/>
  <c r="N43" i="18" a="1"/>
  <c r="N43" i="18" s="1"/>
  <c r="O43" i="18" a="1"/>
  <c r="O43" i="18" s="1"/>
  <c r="P43" i="18" a="1"/>
  <c r="P43" i="18" s="1"/>
  <c r="Q43" i="18" a="1"/>
  <c r="Q43" i="18" s="1"/>
  <c r="R43" i="18" a="1"/>
  <c r="R43" i="18" s="1"/>
  <c r="U43" i="18" a="1"/>
  <c r="U43" i="18" s="1"/>
  <c r="V43" i="18" a="1"/>
  <c r="V43" i="18" s="1"/>
  <c r="W43" i="18" a="1"/>
  <c r="W43" i="18" s="1"/>
  <c r="X43" i="18" a="1"/>
  <c r="X43" i="18" s="1"/>
  <c r="K44" i="18" a="1"/>
  <c r="K44" i="18" s="1"/>
  <c r="L44" i="18" a="1"/>
  <c r="L44" i="18" s="1"/>
  <c r="M44" i="18" a="1"/>
  <c r="M44" i="18" s="1"/>
  <c r="N44" i="18" a="1"/>
  <c r="N44" i="18" s="1"/>
  <c r="O44" i="18" a="1"/>
  <c r="O44" i="18" s="1"/>
  <c r="P44" i="18" a="1"/>
  <c r="P44" i="18" s="1"/>
  <c r="Q44" i="18" a="1"/>
  <c r="Q44" i="18" s="1"/>
  <c r="R44" i="18" a="1"/>
  <c r="R44" i="18" s="1"/>
  <c r="U44" i="18" a="1"/>
  <c r="U44" i="18" s="1"/>
  <c r="V44" i="18" a="1"/>
  <c r="V44" i="18" s="1"/>
  <c r="W44" i="18" a="1"/>
  <c r="W44" i="18" s="1"/>
  <c r="X44" i="18" a="1"/>
  <c r="X44" i="18" s="1"/>
  <c r="K45" i="18" a="1"/>
  <c r="K45" i="18" s="1"/>
  <c r="L45" i="18" a="1"/>
  <c r="L45" i="18" s="1"/>
  <c r="M45" i="18" a="1"/>
  <c r="M45" i="18" s="1"/>
  <c r="N45" i="18" a="1"/>
  <c r="N45" i="18" s="1"/>
  <c r="O45" i="18" a="1"/>
  <c r="O45" i="18" s="1"/>
  <c r="P45" i="18" a="1"/>
  <c r="P45" i="18" s="1"/>
  <c r="Q45" i="18" a="1"/>
  <c r="Q45" i="18" s="1"/>
  <c r="R45" i="18" a="1"/>
  <c r="R45" i="18" s="1"/>
  <c r="U45" i="18" a="1"/>
  <c r="U45" i="18" s="1"/>
  <c r="V45" i="18" a="1"/>
  <c r="V45" i="18" s="1"/>
  <c r="W45" i="18" a="1"/>
  <c r="W45" i="18" s="1"/>
  <c r="X45" i="18" a="1"/>
  <c r="X45" i="18" s="1"/>
  <c r="K46" i="18" a="1"/>
  <c r="K46" i="18" s="1"/>
  <c r="L46" i="18" a="1"/>
  <c r="L46" i="18" s="1"/>
  <c r="M46" i="18" a="1"/>
  <c r="M46" i="18" s="1"/>
  <c r="N46" i="18" a="1"/>
  <c r="N46" i="18" s="1"/>
  <c r="O46" i="18" a="1"/>
  <c r="O46" i="18" s="1"/>
  <c r="P46" i="18" a="1"/>
  <c r="P46" i="18" s="1"/>
  <c r="Q46" i="18" a="1"/>
  <c r="Q46" i="18" s="1"/>
  <c r="R46" i="18" a="1"/>
  <c r="R46" i="18" s="1"/>
  <c r="U46" i="18" a="1"/>
  <c r="U46" i="18" s="1"/>
  <c r="V46" i="18" a="1"/>
  <c r="V46" i="18" s="1"/>
  <c r="W46" i="18" a="1"/>
  <c r="W46" i="18" s="1"/>
  <c r="X46" i="18" a="1"/>
  <c r="X46" i="18" s="1"/>
  <c r="K47" i="18" a="1"/>
  <c r="K47" i="18" s="1"/>
  <c r="L47" i="18" a="1"/>
  <c r="L47" i="18" s="1"/>
  <c r="M47" i="18" a="1"/>
  <c r="M47" i="18" s="1"/>
  <c r="N47" i="18" a="1"/>
  <c r="N47" i="18" s="1"/>
  <c r="O47" i="18" a="1"/>
  <c r="O47" i="18" s="1"/>
  <c r="P47" i="18" a="1"/>
  <c r="P47" i="18" s="1"/>
  <c r="Q47" i="18" a="1"/>
  <c r="Q47" i="18" s="1"/>
  <c r="R47" i="18" a="1"/>
  <c r="R47" i="18" s="1"/>
  <c r="U47" i="18" a="1"/>
  <c r="U47" i="18" s="1"/>
  <c r="V47" i="18" a="1"/>
  <c r="V47" i="18" s="1"/>
  <c r="W47" i="18" a="1"/>
  <c r="W47" i="18" s="1"/>
  <c r="X47" i="18" a="1"/>
  <c r="X47" i="18" s="1"/>
  <c r="K48" i="18" a="1"/>
  <c r="K48" i="18" s="1"/>
  <c r="L48" i="18" a="1"/>
  <c r="L48" i="18" s="1"/>
  <c r="M48" i="18" a="1"/>
  <c r="M48" i="18" s="1"/>
  <c r="N48" i="18" a="1"/>
  <c r="N48" i="18" s="1"/>
  <c r="O48" i="18" a="1"/>
  <c r="O48" i="18" s="1"/>
  <c r="P48" i="18" a="1"/>
  <c r="P48" i="18" s="1"/>
  <c r="Q48" i="18" a="1"/>
  <c r="Q48" i="18" s="1"/>
  <c r="R48" i="18" a="1"/>
  <c r="R48" i="18" s="1"/>
  <c r="U48" i="18" a="1"/>
  <c r="U48" i="18" s="1"/>
  <c r="V48" i="18" a="1"/>
  <c r="V48" i="18" s="1"/>
  <c r="W48" i="18" a="1"/>
  <c r="W48" i="18" s="1"/>
  <c r="X48" i="18" a="1"/>
  <c r="X48" i="18" s="1"/>
  <c r="K49" i="18" a="1"/>
  <c r="K49" i="18" s="1"/>
  <c r="L49" i="18" a="1"/>
  <c r="L49" i="18" s="1"/>
  <c r="M49" i="18" a="1"/>
  <c r="M49" i="18" s="1"/>
  <c r="N49" i="18" a="1"/>
  <c r="N49" i="18" s="1"/>
  <c r="O49" i="18" a="1"/>
  <c r="O49" i="18" s="1"/>
  <c r="P49" i="18" a="1"/>
  <c r="P49" i="18" s="1"/>
  <c r="Q49" i="18" a="1"/>
  <c r="Q49" i="18" s="1"/>
  <c r="R49" i="18" a="1"/>
  <c r="R49" i="18" s="1"/>
  <c r="U49" i="18" a="1"/>
  <c r="U49" i="18" s="1"/>
  <c r="V49" i="18" a="1"/>
  <c r="V49" i="18" s="1"/>
  <c r="W49" i="18" a="1"/>
  <c r="W49" i="18" s="1"/>
  <c r="X49" i="18" a="1"/>
  <c r="X49" i="18" s="1"/>
  <c r="K50" i="18" a="1"/>
  <c r="K50" i="18" s="1"/>
  <c r="L50" i="18" a="1"/>
  <c r="L50" i="18" s="1"/>
  <c r="M50" i="18" a="1"/>
  <c r="M50" i="18" s="1"/>
  <c r="N50" i="18" a="1"/>
  <c r="N50" i="18" s="1"/>
  <c r="O50" i="18" a="1"/>
  <c r="O50" i="18" s="1"/>
  <c r="P50" i="18" a="1"/>
  <c r="P50" i="18" s="1"/>
  <c r="Q50" i="18" a="1"/>
  <c r="Q50" i="18" s="1"/>
  <c r="R50" i="18" a="1"/>
  <c r="R50" i="18" s="1"/>
  <c r="U50" i="18" a="1"/>
  <c r="U50" i="18" s="1"/>
  <c r="V50" i="18" a="1"/>
  <c r="V50" i="18" s="1"/>
  <c r="W50" i="18" a="1"/>
  <c r="W50" i="18" s="1"/>
  <c r="X50" i="18" a="1"/>
  <c r="X50" i="18" s="1"/>
  <c r="K51" i="18" a="1"/>
  <c r="K51" i="18" s="1"/>
  <c r="L51" i="18" a="1"/>
  <c r="L51" i="18" s="1"/>
  <c r="M51" i="18" a="1"/>
  <c r="M51" i="18" s="1"/>
  <c r="N51" i="18" a="1"/>
  <c r="N51" i="18" s="1"/>
  <c r="O51" i="18" a="1"/>
  <c r="O51" i="18" s="1"/>
  <c r="P51" i="18" a="1"/>
  <c r="P51" i="18" s="1"/>
  <c r="Q51" i="18" a="1"/>
  <c r="Q51" i="18" s="1"/>
  <c r="R51" i="18" a="1"/>
  <c r="R51" i="18" s="1"/>
  <c r="U51" i="18" a="1"/>
  <c r="U51" i="18" s="1"/>
  <c r="V51" i="18" a="1"/>
  <c r="V51" i="18" s="1"/>
  <c r="W51" i="18" a="1"/>
  <c r="W51" i="18" s="1"/>
  <c r="X51" i="18" a="1"/>
  <c r="X51" i="18" s="1"/>
  <c r="K52" i="18" a="1"/>
  <c r="K52" i="18" s="1"/>
  <c r="L52" i="18" a="1"/>
  <c r="L52" i="18" s="1"/>
  <c r="M52" i="18" a="1"/>
  <c r="M52" i="18" s="1"/>
  <c r="N52" i="18" a="1"/>
  <c r="N52" i="18" s="1"/>
  <c r="O52" i="18" a="1"/>
  <c r="O52" i="18" s="1"/>
  <c r="P52" i="18" a="1"/>
  <c r="P52" i="18" s="1"/>
  <c r="Q52" i="18" a="1"/>
  <c r="Q52" i="18" s="1"/>
  <c r="R52" i="18" a="1"/>
  <c r="R52" i="18" s="1"/>
  <c r="U52" i="18" a="1"/>
  <c r="U52" i="18" s="1"/>
  <c r="V52" i="18" a="1"/>
  <c r="V52" i="18" s="1"/>
  <c r="W52" i="18" a="1"/>
  <c r="W52" i="18" s="1"/>
  <c r="X52" i="18" a="1"/>
  <c r="X52" i="18" s="1"/>
  <c r="K53" i="18" a="1"/>
  <c r="K53" i="18" s="1"/>
  <c r="L53" i="18" a="1"/>
  <c r="L53" i="18" s="1"/>
  <c r="M53" i="18" a="1"/>
  <c r="M53" i="18" s="1"/>
  <c r="N53" i="18" a="1"/>
  <c r="N53" i="18" s="1"/>
  <c r="O53" i="18" a="1"/>
  <c r="O53" i="18" s="1"/>
  <c r="P53" i="18" a="1"/>
  <c r="P53" i="18" s="1"/>
  <c r="Q53" i="18" a="1"/>
  <c r="Q53" i="18" s="1"/>
  <c r="R53" i="18" a="1"/>
  <c r="R53" i="18" s="1"/>
  <c r="U53" i="18" a="1"/>
  <c r="U53" i="18" s="1"/>
  <c r="V53" i="18" a="1"/>
  <c r="V53" i="18" s="1"/>
  <c r="W53" i="18" a="1"/>
  <c r="W53" i="18" s="1"/>
  <c r="X53" i="18" a="1"/>
  <c r="X53" i="18" s="1"/>
  <c r="K54" i="18" a="1"/>
  <c r="K54" i="18" s="1"/>
  <c r="L54" i="18" a="1"/>
  <c r="L54" i="18" s="1"/>
  <c r="M54" i="18" a="1"/>
  <c r="M54" i="18" s="1"/>
  <c r="N54" i="18" a="1"/>
  <c r="N54" i="18" s="1"/>
  <c r="O54" i="18" a="1"/>
  <c r="O54" i="18" s="1"/>
  <c r="P54" i="18" a="1"/>
  <c r="P54" i="18" s="1"/>
  <c r="Q54" i="18" a="1"/>
  <c r="Q54" i="18" s="1"/>
  <c r="R54" i="18" a="1"/>
  <c r="R54" i="18" s="1"/>
  <c r="U54" i="18" a="1"/>
  <c r="U54" i="18" s="1"/>
  <c r="V54" i="18" a="1"/>
  <c r="V54" i="18" s="1"/>
  <c r="W54" i="18" a="1"/>
  <c r="W54" i="18" s="1"/>
  <c r="X54" i="18" a="1"/>
  <c r="X54" i="18" s="1"/>
  <c r="K55" i="18" a="1"/>
  <c r="K55" i="18" s="1"/>
  <c r="L55" i="18" a="1"/>
  <c r="L55" i="18" s="1"/>
  <c r="M55" i="18" a="1"/>
  <c r="M55" i="18" s="1"/>
  <c r="N55" i="18" a="1"/>
  <c r="N55" i="18" s="1"/>
  <c r="O55" i="18" a="1"/>
  <c r="O55" i="18" s="1"/>
  <c r="P55" i="18" a="1"/>
  <c r="P55" i="18" s="1"/>
  <c r="Q55" i="18" a="1"/>
  <c r="Q55" i="18" s="1"/>
  <c r="R55" i="18" a="1"/>
  <c r="R55" i="18" s="1"/>
  <c r="U55" i="18" a="1"/>
  <c r="U55" i="18" s="1"/>
  <c r="V55" i="18" a="1"/>
  <c r="V55" i="18" s="1"/>
  <c r="W55" i="18" a="1"/>
  <c r="W55" i="18" s="1"/>
  <c r="X55" i="18" a="1"/>
  <c r="X55" i="18" s="1"/>
  <c r="K56" i="18" a="1"/>
  <c r="K56" i="18" s="1"/>
  <c r="L56" i="18" a="1"/>
  <c r="L56" i="18" s="1"/>
  <c r="M56" i="18" a="1"/>
  <c r="M56" i="18" s="1"/>
  <c r="N56" i="18" a="1"/>
  <c r="N56" i="18" s="1"/>
  <c r="O56" i="18" a="1"/>
  <c r="O56" i="18" s="1"/>
  <c r="P56" i="18" a="1"/>
  <c r="P56" i="18" s="1"/>
  <c r="Q56" i="18" a="1"/>
  <c r="Q56" i="18" s="1"/>
  <c r="R56" i="18" a="1"/>
  <c r="R56" i="18" s="1"/>
  <c r="U56" i="18" a="1"/>
  <c r="U56" i="18" s="1"/>
  <c r="V56" i="18" a="1"/>
  <c r="V56" i="18" s="1"/>
  <c r="W56" i="18" a="1"/>
  <c r="W56" i="18" s="1"/>
  <c r="X56" i="18" a="1"/>
  <c r="X56" i="18" s="1"/>
  <c r="K57" i="18" a="1"/>
  <c r="K57" i="18" s="1"/>
  <c r="L57" i="18" a="1"/>
  <c r="L57" i="18" s="1"/>
  <c r="M57" i="18" a="1"/>
  <c r="M57" i="18" s="1"/>
  <c r="N57" i="18" a="1"/>
  <c r="N57" i="18" s="1"/>
  <c r="O57" i="18" a="1"/>
  <c r="O57" i="18" s="1"/>
  <c r="P57" i="18" a="1"/>
  <c r="P57" i="18" s="1"/>
  <c r="Q57" i="18" a="1"/>
  <c r="Q57" i="18" s="1"/>
  <c r="R57" i="18" a="1"/>
  <c r="R57" i="18" s="1"/>
  <c r="U57" i="18" a="1"/>
  <c r="U57" i="18" s="1"/>
  <c r="V57" i="18" a="1"/>
  <c r="V57" i="18" s="1"/>
  <c r="W57" i="18" a="1"/>
  <c r="W57" i="18" s="1"/>
  <c r="X57" i="18" a="1"/>
  <c r="X57" i="18" s="1"/>
  <c r="K58" i="18" a="1"/>
  <c r="K58" i="18" s="1"/>
  <c r="L58" i="18" a="1"/>
  <c r="L58" i="18" s="1"/>
  <c r="M58" i="18" a="1"/>
  <c r="M58" i="18" s="1"/>
  <c r="N58" i="18" a="1"/>
  <c r="N58" i="18" s="1"/>
  <c r="O58" i="18" a="1"/>
  <c r="O58" i="18" s="1"/>
  <c r="P58" i="18" a="1"/>
  <c r="P58" i="18" s="1"/>
  <c r="Q58" i="18" a="1"/>
  <c r="Q58" i="18" s="1"/>
  <c r="R58" i="18" a="1"/>
  <c r="R58" i="18" s="1"/>
  <c r="U58" i="18" a="1"/>
  <c r="U58" i="18" s="1"/>
  <c r="V58" i="18" a="1"/>
  <c r="V58" i="18" s="1"/>
  <c r="W58" i="18" a="1"/>
  <c r="W58" i="18" s="1"/>
  <c r="X58" i="18" a="1"/>
  <c r="X58" i="18" s="1"/>
  <c r="K59" i="18" a="1"/>
  <c r="K59" i="18" s="1"/>
  <c r="L59" i="18" a="1"/>
  <c r="L59" i="18" s="1"/>
  <c r="M59" i="18" a="1"/>
  <c r="M59" i="18" s="1"/>
  <c r="N59" i="18" a="1"/>
  <c r="N59" i="18" s="1"/>
  <c r="O59" i="18" a="1"/>
  <c r="O59" i="18" s="1"/>
  <c r="P59" i="18" a="1"/>
  <c r="P59" i="18" s="1"/>
  <c r="Q59" i="18" a="1"/>
  <c r="Q59" i="18" s="1"/>
  <c r="R59" i="18" a="1"/>
  <c r="R59" i="18" s="1"/>
  <c r="U59" i="18" a="1"/>
  <c r="U59" i="18" s="1"/>
  <c r="V59" i="18" a="1"/>
  <c r="V59" i="18" s="1"/>
  <c r="W59" i="18" a="1"/>
  <c r="W59" i="18" s="1"/>
  <c r="X59" i="18" a="1"/>
  <c r="X59" i="18" s="1"/>
  <c r="K60" i="18" a="1"/>
  <c r="K60" i="18" s="1"/>
  <c r="L60" i="18" a="1"/>
  <c r="L60" i="18" s="1"/>
  <c r="M60" i="18" a="1"/>
  <c r="M60" i="18" s="1"/>
  <c r="N60" i="18" a="1"/>
  <c r="N60" i="18" s="1"/>
  <c r="O60" i="18" a="1"/>
  <c r="O60" i="18" s="1"/>
  <c r="P60" i="18" a="1"/>
  <c r="P60" i="18" s="1"/>
  <c r="Q60" i="18" a="1"/>
  <c r="Q60" i="18" s="1"/>
  <c r="R60" i="18" a="1"/>
  <c r="R60" i="18" s="1"/>
  <c r="U60" i="18" a="1"/>
  <c r="U60" i="18" s="1"/>
  <c r="V60" i="18" a="1"/>
  <c r="V60" i="18" s="1"/>
  <c r="W60" i="18" a="1"/>
  <c r="W60" i="18" s="1"/>
  <c r="X60" i="18" a="1"/>
  <c r="X60" i="18" s="1"/>
  <c r="K61" i="18" a="1"/>
  <c r="K61" i="18" s="1"/>
  <c r="L61" i="18" a="1"/>
  <c r="L61" i="18" s="1"/>
  <c r="M61" i="18" a="1"/>
  <c r="M61" i="18" s="1"/>
  <c r="N61" i="18" a="1"/>
  <c r="N61" i="18" s="1"/>
  <c r="O61" i="18" a="1"/>
  <c r="O61" i="18" s="1"/>
  <c r="P61" i="18" a="1"/>
  <c r="P61" i="18" s="1"/>
  <c r="Q61" i="18" a="1"/>
  <c r="Q61" i="18" s="1"/>
  <c r="R61" i="18" a="1"/>
  <c r="R61" i="18" s="1"/>
  <c r="U61" i="18" a="1"/>
  <c r="U61" i="18" s="1"/>
  <c r="V61" i="18" a="1"/>
  <c r="V61" i="18" s="1"/>
  <c r="W61" i="18" a="1"/>
  <c r="W61" i="18" s="1"/>
  <c r="X61" i="18" a="1"/>
  <c r="X61" i="18" s="1"/>
  <c r="K62" i="18" a="1"/>
  <c r="K62" i="18" s="1"/>
  <c r="L62" i="18" a="1"/>
  <c r="L62" i="18" s="1"/>
  <c r="M62" i="18" a="1"/>
  <c r="M62" i="18" s="1"/>
  <c r="N62" i="18" a="1"/>
  <c r="N62" i="18" s="1"/>
  <c r="O62" i="18" a="1"/>
  <c r="O62" i="18" s="1"/>
  <c r="P62" i="18" a="1"/>
  <c r="P62" i="18" s="1"/>
  <c r="Q62" i="18" a="1"/>
  <c r="Q62" i="18" s="1"/>
  <c r="R62" i="18" a="1"/>
  <c r="R62" i="18" s="1"/>
  <c r="U62" i="18" a="1"/>
  <c r="U62" i="18" s="1"/>
  <c r="V62" i="18" a="1"/>
  <c r="V62" i="18" s="1"/>
  <c r="W62" i="18" a="1"/>
  <c r="W62" i="18" s="1"/>
  <c r="X62" i="18" a="1"/>
  <c r="X62" i="18" s="1"/>
  <c r="K63" i="18" a="1"/>
  <c r="K63" i="18" s="1"/>
  <c r="L63" i="18" a="1"/>
  <c r="L63" i="18" s="1"/>
  <c r="M63" i="18" a="1"/>
  <c r="M63" i="18" s="1"/>
  <c r="N63" i="18" a="1"/>
  <c r="N63" i="18" s="1"/>
  <c r="O63" i="18" a="1"/>
  <c r="O63" i="18" s="1"/>
  <c r="P63" i="18" a="1"/>
  <c r="P63" i="18" s="1"/>
  <c r="Q63" i="18" a="1"/>
  <c r="Q63" i="18" s="1"/>
  <c r="R63" i="18" a="1"/>
  <c r="R63" i="18" s="1"/>
  <c r="U63" i="18" a="1"/>
  <c r="U63" i="18" s="1"/>
  <c r="V63" i="18" a="1"/>
  <c r="V63" i="18" s="1"/>
  <c r="W63" i="18" a="1"/>
  <c r="W63" i="18" s="1"/>
  <c r="X63" i="18" a="1"/>
  <c r="X63" i="18" s="1"/>
  <c r="K64" i="18" a="1"/>
  <c r="K64" i="18" s="1"/>
  <c r="L64" i="18" a="1"/>
  <c r="L64" i="18" s="1"/>
  <c r="M64" i="18" a="1"/>
  <c r="M64" i="18" s="1"/>
  <c r="N64" i="18" a="1"/>
  <c r="N64" i="18" s="1"/>
  <c r="O64" i="18" a="1"/>
  <c r="O64" i="18" s="1"/>
  <c r="P64" i="18" a="1"/>
  <c r="P64" i="18" s="1"/>
  <c r="Q64" i="18" a="1"/>
  <c r="Q64" i="18" s="1"/>
  <c r="R64" i="18" a="1"/>
  <c r="R64" i="18" s="1"/>
  <c r="U64" i="18" a="1"/>
  <c r="U64" i="18" s="1"/>
  <c r="V64" i="18" a="1"/>
  <c r="V64" i="18" s="1"/>
  <c r="W64" i="18" a="1"/>
  <c r="W64" i="18" s="1"/>
  <c r="X64" i="18" a="1"/>
  <c r="X64" i="18" s="1"/>
  <c r="K65" i="18" a="1"/>
  <c r="K65" i="18" s="1"/>
  <c r="L65" i="18" a="1"/>
  <c r="L65" i="18" s="1"/>
  <c r="M65" i="18" a="1"/>
  <c r="M65" i="18" s="1"/>
  <c r="N65" i="18" a="1"/>
  <c r="N65" i="18" s="1"/>
  <c r="O65" i="18" a="1"/>
  <c r="O65" i="18" s="1"/>
  <c r="P65" i="18" a="1"/>
  <c r="P65" i="18" s="1"/>
  <c r="Q65" i="18" a="1"/>
  <c r="Q65" i="18" s="1"/>
  <c r="R65" i="18" a="1"/>
  <c r="R65" i="18" s="1"/>
  <c r="U65" i="18" a="1"/>
  <c r="U65" i="18" s="1"/>
  <c r="V65" i="18" a="1"/>
  <c r="V65" i="18" s="1"/>
  <c r="W65" i="18" a="1"/>
  <c r="W65" i="18" s="1"/>
  <c r="X65" i="18" a="1"/>
  <c r="X65" i="18" s="1"/>
  <c r="K66" i="18" a="1"/>
  <c r="K66" i="18" s="1"/>
  <c r="L66" i="18" a="1"/>
  <c r="L66" i="18" s="1"/>
  <c r="M66" i="18" a="1"/>
  <c r="M66" i="18" s="1"/>
  <c r="N66" i="18" a="1"/>
  <c r="N66" i="18" s="1"/>
  <c r="O66" i="18" a="1"/>
  <c r="O66" i="18" s="1"/>
  <c r="P66" i="18" a="1"/>
  <c r="P66" i="18" s="1"/>
  <c r="Q66" i="18" a="1"/>
  <c r="Q66" i="18" s="1"/>
  <c r="R66" i="18" a="1"/>
  <c r="R66" i="18" s="1"/>
  <c r="U66" i="18" a="1"/>
  <c r="U66" i="18" s="1"/>
  <c r="V66" i="18" a="1"/>
  <c r="V66" i="18" s="1"/>
  <c r="W66" i="18" a="1"/>
  <c r="W66" i="18" s="1"/>
  <c r="X66" i="18" a="1"/>
  <c r="X66" i="18" s="1"/>
  <c r="K67" i="18" a="1"/>
  <c r="K67" i="18" s="1"/>
  <c r="L67" i="18" a="1"/>
  <c r="L67" i="18" s="1"/>
  <c r="M67" i="18" a="1"/>
  <c r="M67" i="18" s="1"/>
  <c r="N67" i="18" a="1"/>
  <c r="N67" i="18" s="1"/>
  <c r="O67" i="18" a="1"/>
  <c r="O67" i="18" s="1"/>
  <c r="P67" i="18" a="1"/>
  <c r="P67" i="18" s="1"/>
  <c r="Q67" i="18" a="1"/>
  <c r="Q67" i="18" s="1"/>
  <c r="R67" i="18" a="1"/>
  <c r="R67" i="18" s="1"/>
  <c r="U67" i="18" a="1"/>
  <c r="U67" i="18" s="1"/>
  <c r="V67" i="18" a="1"/>
  <c r="V67" i="18" s="1"/>
  <c r="W67" i="18" a="1"/>
  <c r="W67" i="18" s="1"/>
  <c r="X67" i="18" a="1"/>
  <c r="X67" i="18" s="1"/>
  <c r="K68" i="18" a="1"/>
  <c r="K68" i="18" s="1"/>
  <c r="L68" i="18" a="1"/>
  <c r="L68" i="18" s="1"/>
  <c r="M68" i="18" a="1"/>
  <c r="M68" i="18" s="1"/>
  <c r="N68" i="18" a="1"/>
  <c r="N68" i="18" s="1"/>
  <c r="O68" i="18" a="1"/>
  <c r="O68" i="18" s="1"/>
  <c r="P68" i="18" a="1"/>
  <c r="P68" i="18" s="1"/>
  <c r="Q68" i="18" a="1"/>
  <c r="Q68" i="18" s="1"/>
  <c r="R68" i="18" a="1"/>
  <c r="R68" i="18" s="1"/>
  <c r="U68" i="18" a="1"/>
  <c r="U68" i="18" s="1"/>
  <c r="V68" i="18" a="1"/>
  <c r="V68" i="18" s="1"/>
  <c r="W68" i="18" a="1"/>
  <c r="W68" i="18" s="1"/>
  <c r="X68" i="18" a="1"/>
  <c r="X68" i="18" s="1"/>
  <c r="K69" i="18" a="1"/>
  <c r="K69" i="18" s="1"/>
  <c r="L69" i="18" a="1"/>
  <c r="L69" i="18" s="1"/>
  <c r="M69" i="18" a="1"/>
  <c r="M69" i="18" s="1"/>
  <c r="N69" i="18" a="1"/>
  <c r="N69" i="18" s="1"/>
  <c r="O69" i="18" a="1"/>
  <c r="O69" i="18" s="1"/>
  <c r="P69" i="18" a="1"/>
  <c r="P69" i="18" s="1"/>
  <c r="Q69" i="18" a="1"/>
  <c r="Q69" i="18" s="1"/>
  <c r="R69" i="18" a="1"/>
  <c r="R69" i="18" s="1"/>
  <c r="U69" i="18" a="1"/>
  <c r="U69" i="18" s="1"/>
  <c r="V69" i="18" a="1"/>
  <c r="V69" i="18" s="1"/>
  <c r="W69" i="18" a="1"/>
  <c r="W69" i="18" s="1"/>
  <c r="X69" i="18" a="1"/>
  <c r="X69" i="18" s="1"/>
  <c r="K70" i="18" a="1"/>
  <c r="K70" i="18" s="1"/>
  <c r="L70" i="18" a="1"/>
  <c r="L70" i="18" s="1"/>
  <c r="M70" i="18" a="1"/>
  <c r="M70" i="18" s="1"/>
  <c r="N70" i="18" a="1"/>
  <c r="N70" i="18" s="1"/>
  <c r="O70" i="18" a="1"/>
  <c r="O70" i="18" s="1"/>
  <c r="P70" i="18" a="1"/>
  <c r="P70" i="18" s="1"/>
  <c r="Q70" i="18" a="1"/>
  <c r="Q70" i="18" s="1"/>
  <c r="R70" i="18" a="1"/>
  <c r="R70" i="18" s="1"/>
  <c r="U70" i="18" a="1"/>
  <c r="U70" i="18" s="1"/>
  <c r="V70" i="18" a="1"/>
  <c r="V70" i="18" s="1"/>
  <c r="W70" i="18" a="1"/>
  <c r="W70" i="18" s="1"/>
  <c r="X70" i="18" a="1"/>
  <c r="X70" i="18" s="1"/>
  <c r="K71" i="18" a="1"/>
  <c r="K71" i="18" s="1"/>
  <c r="L71" i="18" a="1"/>
  <c r="L71" i="18" s="1"/>
  <c r="M71" i="18" a="1"/>
  <c r="M71" i="18" s="1"/>
  <c r="N71" i="18" a="1"/>
  <c r="N71" i="18" s="1"/>
  <c r="O71" i="18" a="1"/>
  <c r="O71" i="18" s="1"/>
  <c r="P71" i="18" a="1"/>
  <c r="P71" i="18" s="1"/>
  <c r="Q71" i="18" a="1"/>
  <c r="Q71" i="18" s="1"/>
  <c r="R71" i="18" a="1"/>
  <c r="R71" i="18" s="1"/>
  <c r="U71" i="18" a="1"/>
  <c r="U71" i="18" s="1"/>
  <c r="V71" i="18" a="1"/>
  <c r="V71" i="18" s="1"/>
  <c r="W71" i="18" a="1"/>
  <c r="W71" i="18" s="1"/>
  <c r="X71" i="18" a="1"/>
  <c r="X71" i="18" s="1"/>
  <c r="K72" i="18" a="1"/>
  <c r="K72" i="18" s="1"/>
  <c r="L72" i="18" a="1"/>
  <c r="L72" i="18" s="1"/>
  <c r="M72" i="18" a="1"/>
  <c r="M72" i="18" s="1"/>
  <c r="N72" i="18" a="1"/>
  <c r="N72" i="18" s="1"/>
  <c r="O72" i="18" a="1"/>
  <c r="O72" i="18" s="1"/>
  <c r="P72" i="18" a="1"/>
  <c r="P72" i="18" s="1"/>
  <c r="Q72" i="18" a="1"/>
  <c r="Q72" i="18" s="1"/>
  <c r="R72" i="18" a="1"/>
  <c r="R72" i="18" s="1"/>
  <c r="U72" i="18" a="1"/>
  <c r="U72" i="18" s="1"/>
  <c r="V72" i="18" a="1"/>
  <c r="V72" i="18" s="1"/>
  <c r="W72" i="18" a="1"/>
  <c r="W72" i="18" s="1"/>
  <c r="X72" i="18" a="1"/>
  <c r="X72" i="18" s="1"/>
  <c r="K73" i="18" a="1"/>
  <c r="K73" i="18" s="1"/>
  <c r="L73" i="18" a="1"/>
  <c r="L73" i="18" s="1"/>
  <c r="M73" i="18" a="1"/>
  <c r="M73" i="18" s="1"/>
  <c r="N73" i="18" a="1"/>
  <c r="N73" i="18" s="1"/>
  <c r="O73" i="18" a="1"/>
  <c r="O73" i="18" s="1"/>
  <c r="P73" i="18" a="1"/>
  <c r="P73" i="18" s="1"/>
  <c r="Q73" i="18" a="1"/>
  <c r="Q73" i="18" s="1"/>
  <c r="R73" i="18" a="1"/>
  <c r="R73" i="18" s="1"/>
  <c r="U73" i="18" a="1"/>
  <c r="U73" i="18" s="1"/>
  <c r="V73" i="18" a="1"/>
  <c r="V73" i="18" s="1"/>
  <c r="W73" i="18" a="1"/>
  <c r="W73" i="18" s="1"/>
  <c r="X73" i="18" a="1"/>
  <c r="X73" i="18" s="1"/>
  <c r="K74" i="18" a="1"/>
  <c r="K74" i="18" s="1"/>
  <c r="L74" i="18" a="1"/>
  <c r="L74" i="18" s="1"/>
  <c r="M74" i="18" a="1"/>
  <c r="M74" i="18" s="1"/>
  <c r="N74" i="18" a="1"/>
  <c r="N74" i="18" s="1"/>
  <c r="O74" i="18" a="1"/>
  <c r="O74" i="18" s="1"/>
  <c r="P74" i="18" a="1"/>
  <c r="P74" i="18" s="1"/>
  <c r="Q74" i="18" a="1"/>
  <c r="Q74" i="18" s="1"/>
  <c r="R74" i="18" a="1"/>
  <c r="R74" i="18" s="1"/>
  <c r="U74" i="18" a="1"/>
  <c r="U74" i="18" s="1"/>
  <c r="V74" i="18" a="1"/>
  <c r="V74" i="18" s="1"/>
  <c r="W74" i="18" a="1"/>
  <c r="W74" i="18" s="1"/>
  <c r="X74" i="18" a="1"/>
  <c r="X74" i="18" s="1"/>
  <c r="K75" i="18" a="1"/>
  <c r="K75" i="18" s="1"/>
  <c r="L75" i="18" a="1"/>
  <c r="L75" i="18" s="1"/>
  <c r="M75" i="18" a="1"/>
  <c r="M75" i="18" s="1"/>
  <c r="N75" i="18" a="1"/>
  <c r="N75" i="18" s="1"/>
  <c r="O75" i="18" a="1"/>
  <c r="O75" i="18" s="1"/>
  <c r="P75" i="18" a="1"/>
  <c r="P75" i="18" s="1"/>
  <c r="Q75" i="18" a="1"/>
  <c r="Q75" i="18" s="1"/>
  <c r="R75" i="18" a="1"/>
  <c r="R75" i="18" s="1"/>
  <c r="U75" i="18" a="1"/>
  <c r="U75" i="18" s="1"/>
  <c r="V75" i="18" a="1"/>
  <c r="V75" i="18" s="1"/>
  <c r="W75" i="18" a="1"/>
  <c r="W75" i="18" s="1"/>
  <c r="X75" i="18" a="1"/>
  <c r="X75" i="18" s="1"/>
  <c r="K76" i="18" a="1"/>
  <c r="K76" i="18" s="1"/>
  <c r="L76" i="18" a="1"/>
  <c r="L76" i="18" s="1"/>
  <c r="M76" i="18" a="1"/>
  <c r="M76" i="18" s="1"/>
  <c r="N76" i="18" a="1"/>
  <c r="N76" i="18" s="1"/>
  <c r="O76" i="18" a="1"/>
  <c r="O76" i="18" s="1"/>
  <c r="P76" i="18" a="1"/>
  <c r="P76" i="18" s="1"/>
  <c r="Q76" i="18" a="1"/>
  <c r="Q76" i="18" s="1"/>
  <c r="R76" i="18" a="1"/>
  <c r="R76" i="18" s="1"/>
  <c r="U76" i="18" a="1"/>
  <c r="U76" i="18" s="1"/>
  <c r="V76" i="18" a="1"/>
  <c r="V76" i="18" s="1"/>
  <c r="W76" i="18" a="1"/>
  <c r="W76" i="18" s="1"/>
  <c r="X76" i="18" a="1"/>
  <c r="X76" i="18" s="1"/>
  <c r="K77" i="18" a="1"/>
  <c r="K77" i="18" s="1"/>
  <c r="L77" i="18" a="1"/>
  <c r="L77" i="18" s="1"/>
  <c r="M77" i="18" a="1"/>
  <c r="M77" i="18" s="1"/>
  <c r="N77" i="18" a="1"/>
  <c r="N77" i="18" s="1"/>
  <c r="O77" i="18" a="1"/>
  <c r="O77" i="18" s="1"/>
  <c r="P77" i="18" a="1"/>
  <c r="P77" i="18" s="1"/>
  <c r="Q77" i="18" a="1"/>
  <c r="Q77" i="18" s="1"/>
  <c r="R77" i="18" a="1"/>
  <c r="R77" i="18" s="1"/>
  <c r="U77" i="18" a="1"/>
  <c r="U77" i="18" s="1"/>
  <c r="V77" i="18" a="1"/>
  <c r="V77" i="18" s="1"/>
  <c r="W77" i="18" a="1"/>
  <c r="W77" i="18" s="1"/>
  <c r="X77" i="18" a="1"/>
  <c r="X77" i="18" s="1"/>
  <c r="K78" i="18" a="1"/>
  <c r="K78" i="18" s="1"/>
  <c r="L78" i="18" a="1"/>
  <c r="L78" i="18" s="1"/>
  <c r="M78" i="18" a="1"/>
  <c r="M78" i="18" s="1"/>
  <c r="N78" i="18" a="1"/>
  <c r="N78" i="18" s="1"/>
  <c r="O78" i="18" a="1"/>
  <c r="O78" i="18" s="1"/>
  <c r="P78" i="18" a="1"/>
  <c r="P78" i="18" s="1"/>
  <c r="Q78" i="18" a="1"/>
  <c r="Q78" i="18" s="1"/>
  <c r="R78" i="18" a="1"/>
  <c r="R78" i="18" s="1"/>
  <c r="U78" i="18" a="1"/>
  <c r="U78" i="18" s="1"/>
  <c r="V78" i="18" a="1"/>
  <c r="V78" i="18" s="1"/>
  <c r="W78" i="18" a="1"/>
  <c r="W78" i="18" s="1"/>
  <c r="X78" i="18" a="1"/>
  <c r="X78" i="18" s="1"/>
  <c r="K79" i="18" a="1"/>
  <c r="K79" i="18" s="1"/>
  <c r="L79" i="18" a="1"/>
  <c r="L79" i="18" s="1"/>
  <c r="M79" i="18" a="1"/>
  <c r="M79" i="18" s="1"/>
  <c r="N79" i="18" a="1"/>
  <c r="N79" i="18" s="1"/>
  <c r="O79" i="18" a="1"/>
  <c r="O79" i="18" s="1"/>
  <c r="P79" i="18" a="1"/>
  <c r="P79" i="18" s="1"/>
  <c r="Q79" i="18" a="1"/>
  <c r="Q79" i="18" s="1"/>
  <c r="R79" i="18" a="1"/>
  <c r="R79" i="18" s="1"/>
  <c r="U79" i="18" a="1"/>
  <c r="U79" i="18" s="1"/>
  <c r="V79" i="18" a="1"/>
  <c r="V79" i="18" s="1"/>
  <c r="W79" i="18" a="1"/>
  <c r="W79" i="18" s="1"/>
  <c r="X79" i="18" a="1"/>
  <c r="X79" i="18" s="1"/>
  <c r="K80" i="18" a="1"/>
  <c r="K80" i="18" s="1"/>
  <c r="L80" i="18" a="1"/>
  <c r="L80" i="18" s="1"/>
  <c r="M80" i="18" a="1"/>
  <c r="M80" i="18" s="1"/>
  <c r="N80" i="18" a="1"/>
  <c r="N80" i="18" s="1"/>
  <c r="O80" i="18" a="1"/>
  <c r="O80" i="18" s="1"/>
  <c r="P80" i="18" a="1"/>
  <c r="P80" i="18" s="1"/>
  <c r="Q80" i="18" a="1"/>
  <c r="Q80" i="18" s="1"/>
  <c r="R80" i="18" a="1"/>
  <c r="R80" i="18" s="1"/>
  <c r="U80" i="18" a="1"/>
  <c r="U80" i="18" s="1"/>
  <c r="V80" i="18" a="1"/>
  <c r="V80" i="18" s="1"/>
  <c r="W80" i="18" a="1"/>
  <c r="W80" i="18" s="1"/>
  <c r="X80" i="18" a="1"/>
  <c r="X80" i="18" s="1"/>
  <c r="K81" i="18" a="1"/>
  <c r="K81" i="18" s="1"/>
  <c r="L81" i="18" a="1"/>
  <c r="L81" i="18" s="1"/>
  <c r="M81" i="18" a="1"/>
  <c r="M81" i="18" s="1"/>
  <c r="N81" i="18" a="1"/>
  <c r="N81" i="18" s="1"/>
  <c r="O81" i="18" a="1"/>
  <c r="O81" i="18" s="1"/>
  <c r="P81" i="18" a="1"/>
  <c r="P81" i="18" s="1"/>
  <c r="Q81" i="18" a="1"/>
  <c r="Q81" i="18" s="1"/>
  <c r="R81" i="18" a="1"/>
  <c r="R81" i="18" s="1"/>
  <c r="U81" i="18" a="1"/>
  <c r="U81" i="18" s="1"/>
  <c r="V81" i="18" a="1"/>
  <c r="V81" i="18" s="1"/>
  <c r="W81" i="18" a="1"/>
  <c r="W81" i="18" s="1"/>
  <c r="X81" i="18" a="1"/>
  <c r="X81" i="18" s="1"/>
  <c r="K82" i="18" a="1"/>
  <c r="K82" i="18" s="1"/>
  <c r="L82" i="18" a="1"/>
  <c r="L82" i="18" s="1"/>
  <c r="M82" i="18" a="1"/>
  <c r="M82" i="18" s="1"/>
  <c r="N82" i="18" a="1"/>
  <c r="N82" i="18" s="1"/>
  <c r="O82" i="18" a="1"/>
  <c r="O82" i="18" s="1"/>
  <c r="P82" i="18" a="1"/>
  <c r="P82" i="18" s="1"/>
  <c r="Q82" i="18" a="1"/>
  <c r="Q82" i="18" s="1"/>
  <c r="R82" i="18" a="1"/>
  <c r="R82" i="18" s="1"/>
  <c r="U82" i="18" a="1"/>
  <c r="U82" i="18" s="1"/>
  <c r="V82" i="18" a="1"/>
  <c r="V82" i="18" s="1"/>
  <c r="W82" i="18" a="1"/>
  <c r="W82" i="18" s="1"/>
  <c r="X82" i="18" a="1"/>
  <c r="X82" i="18" s="1"/>
  <c r="K83" i="18" a="1"/>
  <c r="K83" i="18" s="1"/>
  <c r="L83" i="18" a="1"/>
  <c r="L83" i="18" s="1"/>
  <c r="M83" i="18" a="1"/>
  <c r="M83" i="18" s="1"/>
  <c r="N83" i="18" a="1"/>
  <c r="N83" i="18" s="1"/>
  <c r="O83" i="18" a="1"/>
  <c r="O83" i="18" s="1"/>
  <c r="P83" i="18" a="1"/>
  <c r="P83" i="18" s="1"/>
  <c r="Q83" i="18" a="1"/>
  <c r="Q83" i="18" s="1"/>
  <c r="R83" i="18" a="1"/>
  <c r="R83" i="18" s="1"/>
  <c r="U83" i="18" a="1"/>
  <c r="U83" i="18" s="1"/>
  <c r="V83" i="18" a="1"/>
  <c r="V83" i="18" s="1"/>
  <c r="W83" i="18" a="1"/>
  <c r="W83" i="18" s="1"/>
  <c r="X83" i="18" a="1"/>
  <c r="X83" i="18" s="1"/>
  <c r="K84" i="18" a="1"/>
  <c r="K84" i="18" s="1"/>
  <c r="L84" i="18" a="1"/>
  <c r="L84" i="18" s="1"/>
  <c r="M84" i="18" a="1"/>
  <c r="M84" i="18" s="1"/>
  <c r="N84" i="18" a="1"/>
  <c r="N84" i="18" s="1"/>
  <c r="O84" i="18" a="1"/>
  <c r="O84" i="18" s="1"/>
  <c r="P84" i="18" a="1"/>
  <c r="P84" i="18" s="1"/>
  <c r="Q84" i="18" a="1"/>
  <c r="Q84" i="18" s="1"/>
  <c r="R84" i="18" a="1"/>
  <c r="R84" i="18" s="1"/>
  <c r="U84" i="18" a="1"/>
  <c r="U84" i="18" s="1"/>
  <c r="V84" i="18" a="1"/>
  <c r="V84" i="18" s="1"/>
  <c r="W84" i="18" a="1"/>
  <c r="W84" i="18" s="1"/>
  <c r="X84" i="18" a="1"/>
  <c r="X84" i="18" s="1"/>
  <c r="K85" i="18" a="1"/>
  <c r="K85" i="18" s="1"/>
  <c r="L85" i="18" a="1"/>
  <c r="L85" i="18" s="1"/>
  <c r="M85" i="18" a="1"/>
  <c r="M85" i="18" s="1"/>
  <c r="N85" i="18" a="1"/>
  <c r="N85" i="18" s="1"/>
  <c r="O85" i="18" a="1"/>
  <c r="O85" i="18" s="1"/>
  <c r="P85" i="18" a="1"/>
  <c r="P85" i="18" s="1"/>
  <c r="Q85" i="18" a="1"/>
  <c r="Q85" i="18" s="1"/>
  <c r="R85" i="18" a="1"/>
  <c r="R85" i="18" s="1"/>
  <c r="U85" i="18" a="1"/>
  <c r="U85" i="18" s="1"/>
  <c r="V85" i="18" a="1"/>
  <c r="V85" i="18" s="1"/>
  <c r="W85" i="18" a="1"/>
  <c r="W85" i="18" s="1"/>
  <c r="X85" i="18" a="1"/>
  <c r="X85" i="18" s="1"/>
  <c r="K86" i="18" a="1"/>
  <c r="K86" i="18" s="1"/>
  <c r="L86" i="18" a="1"/>
  <c r="L86" i="18" s="1"/>
  <c r="M86" i="18" a="1"/>
  <c r="M86" i="18" s="1"/>
  <c r="N86" i="18" a="1"/>
  <c r="N86" i="18" s="1"/>
  <c r="O86" i="18" a="1"/>
  <c r="O86" i="18" s="1"/>
  <c r="P86" i="18" a="1"/>
  <c r="P86" i="18" s="1"/>
  <c r="Q86" i="18" a="1"/>
  <c r="Q86" i="18" s="1"/>
  <c r="R86" i="18" a="1"/>
  <c r="R86" i="18" s="1"/>
  <c r="U86" i="18" a="1"/>
  <c r="U86" i="18" s="1"/>
  <c r="V86" i="18" a="1"/>
  <c r="V86" i="18" s="1"/>
  <c r="W86" i="18" a="1"/>
  <c r="W86" i="18" s="1"/>
  <c r="X86" i="18" a="1"/>
  <c r="X86" i="18" s="1"/>
  <c r="K87" i="18" a="1"/>
  <c r="K87" i="18" s="1"/>
  <c r="L87" i="18" a="1"/>
  <c r="L87" i="18" s="1"/>
  <c r="M87" i="18" a="1"/>
  <c r="M87" i="18" s="1"/>
  <c r="N87" i="18" a="1"/>
  <c r="N87" i="18" s="1"/>
  <c r="O87" i="18" a="1"/>
  <c r="O87" i="18" s="1"/>
  <c r="P87" i="18" a="1"/>
  <c r="P87" i="18" s="1"/>
  <c r="Q87" i="18" a="1"/>
  <c r="Q87" i="18" s="1"/>
  <c r="R87" i="18" a="1"/>
  <c r="R87" i="18" s="1"/>
  <c r="U87" i="18" a="1"/>
  <c r="U87" i="18" s="1"/>
  <c r="V87" i="18" a="1"/>
  <c r="V87" i="18" s="1"/>
  <c r="W87" i="18" a="1"/>
  <c r="W87" i="18" s="1"/>
  <c r="X87" i="18" a="1"/>
  <c r="X87" i="18" s="1"/>
  <c r="K88" i="18" a="1"/>
  <c r="K88" i="18" s="1"/>
  <c r="L88" i="18" a="1"/>
  <c r="L88" i="18" s="1"/>
  <c r="M88" i="18" a="1"/>
  <c r="M88" i="18" s="1"/>
  <c r="N88" i="18" a="1"/>
  <c r="N88" i="18" s="1"/>
  <c r="O88" i="18" a="1"/>
  <c r="O88" i="18" s="1"/>
  <c r="P88" i="18" a="1"/>
  <c r="P88" i="18" s="1"/>
  <c r="Q88" i="18" a="1"/>
  <c r="Q88" i="18" s="1"/>
  <c r="R88" i="18" a="1"/>
  <c r="R88" i="18" s="1"/>
  <c r="U88" i="18" a="1"/>
  <c r="U88" i="18" s="1"/>
  <c r="V88" i="18" a="1"/>
  <c r="V88" i="18" s="1"/>
  <c r="W88" i="18" a="1"/>
  <c r="W88" i="18" s="1"/>
  <c r="X88" i="18" a="1"/>
  <c r="X88" i="18" s="1"/>
  <c r="K89" i="18" a="1"/>
  <c r="K89" i="18" s="1"/>
  <c r="L89" i="18" a="1"/>
  <c r="L89" i="18" s="1"/>
  <c r="M89" i="18" a="1"/>
  <c r="M89" i="18" s="1"/>
  <c r="N89" i="18" a="1"/>
  <c r="N89" i="18" s="1"/>
  <c r="O89" i="18" a="1"/>
  <c r="O89" i="18" s="1"/>
  <c r="P89" i="18" a="1"/>
  <c r="P89" i="18" s="1"/>
  <c r="Q89" i="18" a="1"/>
  <c r="Q89" i="18" s="1"/>
  <c r="R89" i="18" a="1"/>
  <c r="R89" i="18" s="1"/>
  <c r="U89" i="18" a="1"/>
  <c r="U89" i="18" s="1"/>
  <c r="V89" i="18" a="1"/>
  <c r="V89" i="18" s="1"/>
  <c r="W89" i="18" a="1"/>
  <c r="W89" i="18" s="1"/>
  <c r="X89" i="18" a="1"/>
  <c r="X89" i="18" s="1"/>
  <c r="K90" i="18" a="1"/>
  <c r="K90" i="18" s="1"/>
  <c r="L90" i="18" a="1"/>
  <c r="L90" i="18" s="1"/>
  <c r="M90" i="18" a="1"/>
  <c r="M90" i="18" s="1"/>
  <c r="N90" i="18" a="1"/>
  <c r="N90" i="18" s="1"/>
  <c r="O90" i="18" a="1"/>
  <c r="O90" i="18" s="1"/>
  <c r="P90" i="18" a="1"/>
  <c r="P90" i="18" s="1"/>
  <c r="Q90" i="18" a="1"/>
  <c r="Q90" i="18" s="1"/>
  <c r="R90" i="18" a="1"/>
  <c r="R90" i="18" s="1"/>
  <c r="U90" i="18" a="1"/>
  <c r="U90" i="18" s="1"/>
  <c r="V90" i="18" a="1"/>
  <c r="V90" i="18" s="1"/>
  <c r="W90" i="18" a="1"/>
  <c r="W90" i="18" s="1"/>
  <c r="X90" i="18" a="1"/>
  <c r="X90" i="18" s="1"/>
  <c r="K91" i="18" a="1"/>
  <c r="K91" i="18" s="1"/>
  <c r="L91" i="18" a="1"/>
  <c r="L91" i="18" s="1"/>
  <c r="M91" i="18" a="1"/>
  <c r="M91" i="18" s="1"/>
  <c r="N91" i="18" a="1"/>
  <c r="N91" i="18" s="1"/>
  <c r="O91" i="18" a="1"/>
  <c r="O91" i="18" s="1"/>
  <c r="P91" i="18" a="1"/>
  <c r="P91" i="18" s="1"/>
  <c r="Q91" i="18" a="1"/>
  <c r="Q91" i="18" s="1"/>
  <c r="R91" i="18" a="1"/>
  <c r="R91" i="18" s="1"/>
  <c r="U91" i="18" a="1"/>
  <c r="U91" i="18" s="1"/>
  <c r="V91" i="18" a="1"/>
  <c r="V91" i="18" s="1"/>
  <c r="W91" i="18" a="1"/>
  <c r="W91" i="18" s="1"/>
  <c r="X91" i="18" a="1"/>
  <c r="X91" i="18" s="1"/>
  <c r="K92" i="18" a="1"/>
  <c r="K92" i="18" s="1"/>
  <c r="L92" i="18" a="1"/>
  <c r="L92" i="18" s="1"/>
  <c r="M92" i="18" a="1"/>
  <c r="M92" i="18" s="1"/>
  <c r="N92" i="18" a="1"/>
  <c r="N92" i="18" s="1"/>
  <c r="O92" i="18" a="1"/>
  <c r="O92" i="18" s="1"/>
  <c r="P92" i="18" a="1"/>
  <c r="P92" i="18" s="1"/>
  <c r="Q92" i="18" a="1"/>
  <c r="Q92" i="18" s="1"/>
  <c r="R92" i="18" a="1"/>
  <c r="R92" i="18" s="1"/>
  <c r="U92" i="18" a="1"/>
  <c r="U92" i="18" s="1"/>
  <c r="V92" i="18" a="1"/>
  <c r="V92" i="18" s="1"/>
  <c r="W92" i="18" a="1"/>
  <c r="W92" i="18" s="1"/>
  <c r="X92" i="18" a="1"/>
  <c r="X92" i="18" s="1"/>
  <c r="K93" i="18" a="1"/>
  <c r="K93" i="18" s="1"/>
  <c r="L93" i="18" a="1"/>
  <c r="L93" i="18" s="1"/>
  <c r="M93" i="18" a="1"/>
  <c r="M93" i="18" s="1"/>
  <c r="N93" i="18" a="1"/>
  <c r="N93" i="18" s="1"/>
  <c r="O93" i="18" a="1"/>
  <c r="O93" i="18" s="1"/>
  <c r="P93" i="18" a="1"/>
  <c r="P93" i="18" s="1"/>
  <c r="Q93" i="18" a="1"/>
  <c r="Q93" i="18" s="1"/>
  <c r="R93" i="18" a="1"/>
  <c r="R93" i="18" s="1"/>
  <c r="U93" i="18" a="1"/>
  <c r="U93" i="18" s="1"/>
  <c r="V93" i="18" a="1"/>
  <c r="V93" i="18" s="1"/>
  <c r="W93" i="18" a="1"/>
  <c r="W93" i="18" s="1"/>
  <c r="X93" i="18" a="1"/>
  <c r="X93" i="18" s="1"/>
  <c r="K94" i="18" a="1"/>
  <c r="K94" i="18" s="1"/>
  <c r="L94" i="18" a="1"/>
  <c r="L94" i="18" s="1"/>
  <c r="M94" i="18" a="1"/>
  <c r="M94" i="18" s="1"/>
  <c r="N94" i="18" a="1"/>
  <c r="N94" i="18" s="1"/>
  <c r="O94" i="18" a="1"/>
  <c r="O94" i="18" s="1"/>
  <c r="P94" i="18" a="1"/>
  <c r="P94" i="18" s="1"/>
  <c r="Q94" i="18" a="1"/>
  <c r="Q94" i="18" s="1"/>
  <c r="R94" i="18" a="1"/>
  <c r="R94" i="18" s="1"/>
  <c r="U94" i="18" a="1"/>
  <c r="U94" i="18" s="1"/>
  <c r="V94" i="18" a="1"/>
  <c r="V94" i="18" s="1"/>
  <c r="W94" i="18" a="1"/>
  <c r="W94" i="18" s="1"/>
  <c r="X94" i="18" a="1"/>
  <c r="X94" i="18" s="1"/>
  <c r="K95" i="18" a="1"/>
  <c r="K95" i="18" s="1"/>
  <c r="L95" i="18" a="1"/>
  <c r="L95" i="18" s="1"/>
  <c r="M95" i="18" a="1"/>
  <c r="M95" i="18" s="1"/>
  <c r="N95" i="18" a="1"/>
  <c r="N95" i="18" s="1"/>
  <c r="O95" i="18" a="1"/>
  <c r="O95" i="18" s="1"/>
  <c r="P95" i="18" a="1"/>
  <c r="P95" i="18" s="1"/>
  <c r="Q95" i="18" a="1"/>
  <c r="Q95" i="18" s="1"/>
  <c r="R95" i="18" a="1"/>
  <c r="R95" i="18" s="1"/>
  <c r="U95" i="18" a="1"/>
  <c r="U95" i="18" s="1"/>
  <c r="V95" i="18" a="1"/>
  <c r="V95" i="18" s="1"/>
  <c r="W95" i="18" a="1"/>
  <c r="W95" i="18" s="1"/>
  <c r="X95" i="18" a="1"/>
  <c r="X95" i="18" s="1"/>
  <c r="K96" i="18" a="1"/>
  <c r="K96" i="18" s="1"/>
  <c r="L96" i="18" a="1"/>
  <c r="L96" i="18" s="1"/>
  <c r="M96" i="18" a="1"/>
  <c r="M96" i="18" s="1"/>
  <c r="N96" i="18" a="1"/>
  <c r="N96" i="18" s="1"/>
  <c r="O96" i="18" a="1"/>
  <c r="O96" i="18" s="1"/>
  <c r="P96" i="18" a="1"/>
  <c r="P96" i="18" s="1"/>
  <c r="Q96" i="18" a="1"/>
  <c r="Q96" i="18" s="1"/>
  <c r="R96" i="18" a="1"/>
  <c r="R96" i="18" s="1"/>
  <c r="U96" i="18" a="1"/>
  <c r="U96" i="18" s="1"/>
  <c r="V96" i="18" a="1"/>
  <c r="V96" i="18" s="1"/>
  <c r="W96" i="18" a="1"/>
  <c r="W96" i="18" s="1"/>
  <c r="X96" i="18" a="1"/>
  <c r="X96" i="18" s="1"/>
  <c r="K97" i="18" a="1"/>
  <c r="K97" i="18" s="1"/>
  <c r="L97" i="18" a="1"/>
  <c r="L97" i="18" s="1"/>
  <c r="M97" i="18" a="1"/>
  <c r="M97" i="18" s="1"/>
  <c r="N97" i="18" a="1"/>
  <c r="N97" i="18" s="1"/>
  <c r="O97" i="18" a="1"/>
  <c r="O97" i="18" s="1"/>
  <c r="P97" i="18" a="1"/>
  <c r="P97" i="18" s="1"/>
  <c r="Q97" i="18" a="1"/>
  <c r="Q97" i="18" s="1"/>
  <c r="R97" i="18" a="1"/>
  <c r="R97" i="18" s="1"/>
  <c r="U97" i="18" a="1"/>
  <c r="U97" i="18" s="1"/>
  <c r="V97" i="18" a="1"/>
  <c r="V97" i="18" s="1"/>
  <c r="W97" i="18" a="1"/>
  <c r="W97" i="18" s="1"/>
  <c r="X97" i="18" a="1"/>
  <c r="X97" i="18" s="1"/>
  <c r="K98" i="18" a="1"/>
  <c r="K98" i="18" s="1"/>
  <c r="L98" i="18" a="1"/>
  <c r="L98" i="18" s="1"/>
  <c r="M98" i="18" a="1"/>
  <c r="M98" i="18" s="1"/>
  <c r="N98" i="18" a="1"/>
  <c r="N98" i="18" s="1"/>
  <c r="O98" i="18" a="1"/>
  <c r="O98" i="18" s="1"/>
  <c r="P98" i="18" a="1"/>
  <c r="P98" i="18" s="1"/>
  <c r="Q98" i="18" a="1"/>
  <c r="Q98" i="18" s="1"/>
  <c r="R98" i="18" a="1"/>
  <c r="R98" i="18" s="1"/>
  <c r="U98" i="18" a="1"/>
  <c r="U98" i="18" s="1"/>
  <c r="V98" i="18" a="1"/>
  <c r="V98" i="18" s="1"/>
  <c r="W98" i="18" a="1"/>
  <c r="W98" i="18" s="1"/>
  <c r="X98" i="18" a="1"/>
  <c r="X98" i="18" s="1"/>
  <c r="K99" i="18" a="1"/>
  <c r="K99" i="18" s="1"/>
  <c r="L99" i="18" a="1"/>
  <c r="L99" i="18" s="1"/>
  <c r="M99" i="18" a="1"/>
  <c r="M99" i="18" s="1"/>
  <c r="N99" i="18" a="1"/>
  <c r="N99" i="18" s="1"/>
  <c r="O99" i="18" a="1"/>
  <c r="O99" i="18" s="1"/>
  <c r="P99" i="18" a="1"/>
  <c r="P99" i="18" s="1"/>
  <c r="Q99" i="18" a="1"/>
  <c r="Q99" i="18" s="1"/>
  <c r="R99" i="18" a="1"/>
  <c r="R99" i="18" s="1"/>
  <c r="U99" i="18" a="1"/>
  <c r="U99" i="18" s="1"/>
  <c r="V99" i="18" a="1"/>
  <c r="V99" i="18" s="1"/>
  <c r="W99" i="18" a="1"/>
  <c r="W99" i="18" s="1"/>
  <c r="X99" i="18" a="1"/>
  <c r="X99" i="18" s="1"/>
  <c r="K100" i="18" a="1"/>
  <c r="K100" i="18" s="1"/>
  <c r="L100" i="18" a="1"/>
  <c r="L100" i="18" s="1"/>
  <c r="M100" i="18" a="1"/>
  <c r="M100" i="18" s="1"/>
  <c r="N100" i="18" a="1"/>
  <c r="N100" i="18" s="1"/>
  <c r="O100" i="18" a="1"/>
  <c r="O100" i="18" s="1"/>
  <c r="P100" i="18" a="1"/>
  <c r="P100" i="18" s="1"/>
  <c r="Q100" i="18" a="1"/>
  <c r="Q100" i="18" s="1"/>
  <c r="R100" i="18" a="1"/>
  <c r="R100" i="18" s="1"/>
  <c r="U100" i="18" a="1"/>
  <c r="U100" i="18" s="1"/>
  <c r="V100" i="18" a="1"/>
  <c r="V100" i="18" s="1"/>
  <c r="W100" i="18" a="1"/>
  <c r="W100" i="18" s="1"/>
  <c r="X100" i="18" a="1"/>
  <c r="X100" i="18" s="1"/>
  <c r="K101" i="18" a="1"/>
  <c r="K101" i="18" s="1"/>
  <c r="L101" i="18" a="1"/>
  <c r="L101" i="18" s="1"/>
  <c r="M101" i="18" a="1"/>
  <c r="M101" i="18" s="1"/>
  <c r="N101" i="18" a="1"/>
  <c r="N101" i="18" s="1"/>
  <c r="O101" i="18" a="1"/>
  <c r="O101" i="18" s="1"/>
  <c r="P101" i="18" a="1"/>
  <c r="P101" i="18" s="1"/>
  <c r="Q101" i="18" a="1"/>
  <c r="Q101" i="18" s="1"/>
  <c r="R101" i="18" a="1"/>
  <c r="R101" i="18" s="1"/>
  <c r="U101" i="18" a="1"/>
  <c r="U101" i="18" s="1"/>
  <c r="V101" i="18" a="1"/>
  <c r="V101" i="18" s="1"/>
  <c r="W101" i="18" a="1"/>
  <c r="W101" i="18" s="1"/>
  <c r="X101" i="18" a="1"/>
  <c r="X101" i="18" s="1"/>
  <c r="K102" i="18" a="1"/>
  <c r="K102" i="18" s="1"/>
  <c r="L102" i="18" a="1"/>
  <c r="L102" i="18" s="1"/>
  <c r="M102" i="18" a="1"/>
  <c r="M102" i="18" s="1"/>
  <c r="N102" i="18" a="1"/>
  <c r="N102" i="18" s="1"/>
  <c r="O102" i="18" a="1"/>
  <c r="O102" i="18" s="1"/>
  <c r="P102" i="18" a="1"/>
  <c r="P102" i="18" s="1"/>
  <c r="Q102" i="18" a="1"/>
  <c r="Q102" i="18" s="1"/>
  <c r="R102" i="18" a="1"/>
  <c r="R102" i="18" s="1"/>
  <c r="U102" i="18" a="1"/>
  <c r="U102" i="18" s="1"/>
  <c r="V102" i="18" a="1"/>
  <c r="V102" i="18" s="1"/>
  <c r="W102" i="18" a="1"/>
  <c r="W102" i="18" s="1"/>
  <c r="X102" i="18" a="1"/>
  <c r="X102" i="18" s="1"/>
  <c r="K103" i="18" a="1"/>
  <c r="K103" i="18" s="1"/>
  <c r="L103" i="18" a="1"/>
  <c r="L103" i="18" s="1"/>
  <c r="M103" i="18" a="1"/>
  <c r="M103" i="18" s="1"/>
  <c r="N103" i="18" a="1"/>
  <c r="N103" i="18" s="1"/>
  <c r="O103" i="18" a="1"/>
  <c r="O103" i="18" s="1"/>
  <c r="P103" i="18" a="1"/>
  <c r="P103" i="18" s="1"/>
  <c r="Q103" i="18" a="1"/>
  <c r="Q103" i="18" s="1"/>
  <c r="R103" i="18" a="1"/>
  <c r="R103" i="18" s="1"/>
  <c r="U103" i="18" a="1"/>
  <c r="U103" i="18" s="1"/>
  <c r="V103" i="18" a="1"/>
  <c r="V103" i="18" s="1"/>
  <c r="W103" i="18" a="1"/>
  <c r="W103" i="18" s="1"/>
  <c r="X103" i="18" a="1"/>
  <c r="X103" i="18" s="1"/>
  <c r="K104" i="18" a="1"/>
  <c r="K104" i="18" s="1"/>
  <c r="L104" i="18" a="1"/>
  <c r="L104" i="18" s="1"/>
  <c r="M104" i="18" a="1"/>
  <c r="M104" i="18" s="1"/>
  <c r="N104" i="18" a="1"/>
  <c r="N104" i="18" s="1"/>
  <c r="O104" i="18" a="1"/>
  <c r="O104" i="18" s="1"/>
  <c r="P104" i="18" a="1"/>
  <c r="P104" i="18" s="1"/>
  <c r="Q104" i="18" a="1"/>
  <c r="Q104" i="18" s="1"/>
  <c r="R104" i="18" a="1"/>
  <c r="R104" i="18" s="1"/>
  <c r="U104" i="18" a="1"/>
  <c r="U104" i="18" s="1"/>
  <c r="V104" i="18" a="1"/>
  <c r="V104" i="18" s="1"/>
  <c r="W104" i="18" a="1"/>
  <c r="W104" i="18" s="1"/>
  <c r="X104" i="18" a="1"/>
  <c r="X104" i="18" s="1"/>
  <c r="K105" i="18" a="1"/>
  <c r="K105" i="18" s="1"/>
  <c r="L105" i="18" a="1"/>
  <c r="L105" i="18" s="1"/>
  <c r="M105" i="18" a="1"/>
  <c r="M105" i="18" s="1"/>
  <c r="N105" i="18" a="1"/>
  <c r="N105" i="18" s="1"/>
  <c r="O105" i="18" a="1"/>
  <c r="O105" i="18" s="1"/>
  <c r="P105" i="18" a="1"/>
  <c r="P105" i="18" s="1"/>
  <c r="Q105" i="18" a="1"/>
  <c r="Q105" i="18" s="1"/>
  <c r="R105" i="18" a="1"/>
  <c r="R105" i="18" s="1"/>
  <c r="U105" i="18" a="1"/>
  <c r="U105" i="18" s="1"/>
  <c r="V105" i="18" a="1"/>
  <c r="V105" i="18" s="1"/>
  <c r="W105" i="18" a="1"/>
  <c r="W105" i="18" s="1"/>
  <c r="X105" i="18" a="1"/>
  <c r="X105" i="18" s="1"/>
  <c r="K106" i="18" a="1"/>
  <c r="K106" i="18" s="1"/>
  <c r="L106" i="18" a="1"/>
  <c r="L106" i="18" s="1"/>
  <c r="M106" i="18" a="1"/>
  <c r="M106" i="18" s="1"/>
  <c r="N106" i="18" a="1"/>
  <c r="N106" i="18" s="1"/>
  <c r="O106" i="18" a="1"/>
  <c r="O106" i="18" s="1"/>
  <c r="P106" i="18" a="1"/>
  <c r="P106" i="18" s="1"/>
  <c r="Q106" i="18" a="1"/>
  <c r="Q106" i="18" s="1"/>
  <c r="R106" i="18" a="1"/>
  <c r="R106" i="18" s="1"/>
  <c r="U106" i="18" a="1"/>
  <c r="U106" i="18" s="1"/>
  <c r="V106" i="18" a="1"/>
  <c r="V106" i="18" s="1"/>
  <c r="W106" i="18" a="1"/>
  <c r="W106" i="18" s="1"/>
  <c r="X106" i="18" a="1"/>
  <c r="X106" i="18" s="1"/>
  <c r="K107" i="18" a="1"/>
  <c r="K107" i="18" s="1"/>
  <c r="L107" i="18" a="1"/>
  <c r="L107" i="18" s="1"/>
  <c r="M107" i="18" a="1"/>
  <c r="M107" i="18" s="1"/>
  <c r="N107" i="18" a="1"/>
  <c r="N107" i="18" s="1"/>
  <c r="O107" i="18" a="1"/>
  <c r="O107" i="18" s="1"/>
  <c r="P107" i="18" a="1"/>
  <c r="P107" i="18" s="1"/>
  <c r="Q107" i="18" a="1"/>
  <c r="Q107" i="18" s="1"/>
  <c r="R107" i="18" a="1"/>
  <c r="R107" i="18" s="1"/>
  <c r="U107" i="18" a="1"/>
  <c r="U107" i="18" s="1"/>
  <c r="V107" i="18" a="1"/>
  <c r="V107" i="18" s="1"/>
  <c r="W107" i="18" a="1"/>
  <c r="W107" i="18" s="1"/>
  <c r="X107" i="18" a="1"/>
  <c r="X107" i="18" s="1"/>
  <c r="K108" i="18" a="1"/>
  <c r="K108" i="18" s="1"/>
  <c r="L108" i="18" a="1"/>
  <c r="L108" i="18" s="1"/>
  <c r="M108" i="18" a="1"/>
  <c r="M108" i="18" s="1"/>
  <c r="N108" i="18" a="1"/>
  <c r="N108" i="18" s="1"/>
  <c r="O108" i="18" a="1"/>
  <c r="O108" i="18" s="1"/>
  <c r="P108" i="18" a="1"/>
  <c r="P108" i="18" s="1"/>
  <c r="Q108" i="18" a="1"/>
  <c r="Q108" i="18" s="1"/>
  <c r="R108" i="18" a="1"/>
  <c r="R108" i="18" s="1"/>
  <c r="U108" i="18" a="1"/>
  <c r="U108" i="18" s="1"/>
  <c r="V108" i="18" a="1"/>
  <c r="V108" i="18" s="1"/>
  <c r="W108" i="18" a="1"/>
  <c r="W108" i="18" s="1"/>
  <c r="X108" i="18" a="1"/>
  <c r="X108" i="18" s="1"/>
  <c r="K109" i="18" a="1"/>
  <c r="K109" i="18" s="1"/>
  <c r="L109" i="18" a="1"/>
  <c r="L109" i="18" s="1"/>
  <c r="M109" i="18" a="1"/>
  <c r="M109" i="18" s="1"/>
  <c r="N109" i="18" a="1"/>
  <c r="N109" i="18" s="1"/>
  <c r="O109" i="18" a="1"/>
  <c r="O109" i="18" s="1"/>
  <c r="P109" i="18" a="1"/>
  <c r="P109" i="18" s="1"/>
  <c r="Q109" i="18" a="1"/>
  <c r="Q109" i="18" s="1"/>
  <c r="R109" i="18" a="1"/>
  <c r="R109" i="18" s="1"/>
  <c r="U109" i="18" a="1"/>
  <c r="U109" i="18" s="1"/>
  <c r="V109" i="18" a="1"/>
  <c r="V109" i="18" s="1"/>
  <c r="W109" i="18" a="1"/>
  <c r="W109" i="18" s="1"/>
  <c r="X109" i="18" a="1"/>
  <c r="X109" i="18" s="1"/>
  <c r="K110" i="18" a="1"/>
  <c r="K110" i="18" s="1"/>
  <c r="L110" i="18" a="1"/>
  <c r="L110" i="18" s="1"/>
  <c r="M110" i="18" a="1"/>
  <c r="M110" i="18" s="1"/>
  <c r="N110" i="18" a="1"/>
  <c r="N110" i="18" s="1"/>
  <c r="O110" i="18" a="1"/>
  <c r="O110" i="18" s="1"/>
  <c r="P110" i="18" a="1"/>
  <c r="P110" i="18" s="1"/>
  <c r="Q110" i="18" a="1"/>
  <c r="Q110" i="18" s="1"/>
  <c r="R110" i="18" a="1"/>
  <c r="R110" i="18" s="1"/>
  <c r="U110" i="18" a="1"/>
  <c r="U110" i="18" s="1"/>
  <c r="V110" i="18" a="1"/>
  <c r="V110" i="18" s="1"/>
  <c r="W110" i="18" a="1"/>
  <c r="W110" i="18" s="1"/>
  <c r="X110" i="18" a="1"/>
  <c r="X110" i="18" s="1"/>
  <c r="K111" i="18" a="1"/>
  <c r="K111" i="18" s="1"/>
  <c r="L111" i="18" a="1"/>
  <c r="L111" i="18" s="1"/>
  <c r="M111" i="18" a="1"/>
  <c r="M111" i="18" s="1"/>
  <c r="N111" i="18" a="1"/>
  <c r="N111" i="18" s="1"/>
  <c r="O111" i="18" a="1"/>
  <c r="O111" i="18" s="1"/>
  <c r="P111" i="18" a="1"/>
  <c r="P111" i="18" s="1"/>
  <c r="Q111" i="18" a="1"/>
  <c r="Q111" i="18" s="1"/>
  <c r="R111" i="18" a="1"/>
  <c r="R111" i="18" s="1"/>
  <c r="U111" i="18" a="1"/>
  <c r="U111" i="18" s="1"/>
  <c r="V111" i="18" a="1"/>
  <c r="V111" i="18" s="1"/>
  <c r="W111" i="18" a="1"/>
  <c r="W111" i="18" s="1"/>
  <c r="X111" i="18" a="1"/>
  <c r="X111" i="18" s="1"/>
  <c r="K112" i="18" a="1"/>
  <c r="K112" i="18" s="1"/>
  <c r="L112" i="18" a="1"/>
  <c r="L112" i="18" s="1"/>
  <c r="M112" i="18" a="1"/>
  <c r="M112" i="18" s="1"/>
  <c r="N112" i="18" a="1"/>
  <c r="N112" i="18" s="1"/>
  <c r="O112" i="18" a="1"/>
  <c r="O112" i="18" s="1"/>
  <c r="P112" i="18" a="1"/>
  <c r="P112" i="18" s="1"/>
  <c r="Q112" i="18" a="1"/>
  <c r="Q112" i="18" s="1"/>
  <c r="R112" i="18" a="1"/>
  <c r="R112" i="18" s="1"/>
  <c r="U112" i="18" a="1"/>
  <c r="U112" i="18" s="1"/>
  <c r="V112" i="18" a="1"/>
  <c r="V112" i="18" s="1"/>
  <c r="W112" i="18" a="1"/>
  <c r="W112" i="18" s="1"/>
  <c r="X112" i="18" a="1"/>
  <c r="X112" i="18" s="1"/>
  <c r="K113" i="18" a="1"/>
  <c r="K113" i="18" s="1"/>
  <c r="L113" i="18" a="1"/>
  <c r="L113" i="18" s="1"/>
  <c r="M113" i="18" a="1"/>
  <c r="M113" i="18" s="1"/>
  <c r="N113" i="18" a="1"/>
  <c r="N113" i="18" s="1"/>
  <c r="O113" i="18" a="1"/>
  <c r="O113" i="18" s="1"/>
  <c r="P113" i="18" a="1"/>
  <c r="P113" i="18" s="1"/>
  <c r="Q113" i="18" a="1"/>
  <c r="Q113" i="18" s="1"/>
  <c r="R113" i="18" a="1"/>
  <c r="R113" i="18" s="1"/>
  <c r="U113" i="18" a="1"/>
  <c r="U113" i="18" s="1"/>
  <c r="V113" i="18" a="1"/>
  <c r="V113" i="18" s="1"/>
  <c r="W113" i="18" a="1"/>
  <c r="W113" i="18" s="1"/>
  <c r="X113" i="18" a="1"/>
  <c r="X113" i="18" s="1"/>
  <c r="K114" i="18" a="1"/>
  <c r="K114" i="18" s="1"/>
  <c r="L114" i="18" a="1"/>
  <c r="L114" i="18" s="1"/>
  <c r="M114" i="18" a="1"/>
  <c r="M114" i="18" s="1"/>
  <c r="N114" i="18" a="1"/>
  <c r="N114" i="18" s="1"/>
  <c r="O114" i="18" a="1"/>
  <c r="O114" i="18" s="1"/>
  <c r="P114" i="18" a="1"/>
  <c r="P114" i="18" s="1"/>
  <c r="Q114" i="18" a="1"/>
  <c r="Q114" i="18" s="1"/>
  <c r="R114" i="18" a="1"/>
  <c r="R114" i="18" s="1"/>
  <c r="U114" i="18" a="1"/>
  <c r="U114" i="18" s="1"/>
  <c r="V114" i="18" a="1"/>
  <c r="V114" i="18" s="1"/>
  <c r="W114" i="18" a="1"/>
  <c r="W114" i="18" s="1"/>
  <c r="X114" i="18" a="1"/>
  <c r="X114" i="18" s="1"/>
  <c r="K115" i="18" a="1"/>
  <c r="K115" i="18" s="1"/>
  <c r="L115" i="18" a="1"/>
  <c r="L115" i="18" s="1"/>
  <c r="M115" i="18" a="1"/>
  <c r="M115" i="18" s="1"/>
  <c r="N115" i="18" a="1"/>
  <c r="N115" i="18" s="1"/>
  <c r="O115" i="18" a="1"/>
  <c r="O115" i="18" s="1"/>
  <c r="P115" i="18" a="1"/>
  <c r="P115" i="18" s="1"/>
  <c r="Q115" i="18" a="1"/>
  <c r="Q115" i="18" s="1"/>
  <c r="R115" i="18" a="1"/>
  <c r="R115" i="18" s="1"/>
  <c r="U115" i="18" a="1"/>
  <c r="U115" i="18" s="1"/>
  <c r="V115" i="18" a="1"/>
  <c r="V115" i="18" s="1"/>
  <c r="W115" i="18" a="1"/>
  <c r="W115" i="18" s="1"/>
  <c r="X115" i="18" a="1"/>
  <c r="X115" i="18" s="1"/>
  <c r="K116" i="18" a="1"/>
  <c r="K116" i="18" s="1"/>
  <c r="L116" i="18" a="1"/>
  <c r="L116" i="18" s="1"/>
  <c r="M116" i="18" a="1"/>
  <c r="M116" i="18" s="1"/>
  <c r="N116" i="18" a="1"/>
  <c r="N116" i="18" s="1"/>
  <c r="O116" i="18" a="1"/>
  <c r="O116" i="18" s="1"/>
  <c r="P116" i="18" a="1"/>
  <c r="P116" i="18" s="1"/>
  <c r="Q116" i="18" a="1"/>
  <c r="Q116" i="18" s="1"/>
  <c r="R116" i="18" a="1"/>
  <c r="R116" i="18" s="1"/>
  <c r="U116" i="18" a="1"/>
  <c r="U116" i="18" s="1"/>
  <c r="V116" i="18" a="1"/>
  <c r="V116" i="18" s="1"/>
  <c r="W116" i="18" a="1"/>
  <c r="W116" i="18" s="1"/>
  <c r="X116" i="18" a="1"/>
  <c r="X116" i="18" s="1"/>
  <c r="K117" i="18" a="1"/>
  <c r="K117" i="18" s="1"/>
  <c r="L117" i="18" a="1"/>
  <c r="L117" i="18" s="1"/>
  <c r="M117" i="18" a="1"/>
  <c r="M117" i="18" s="1"/>
  <c r="N117" i="18" a="1"/>
  <c r="N117" i="18" s="1"/>
  <c r="O117" i="18" a="1"/>
  <c r="O117" i="18" s="1"/>
  <c r="P117" i="18" a="1"/>
  <c r="P117" i="18" s="1"/>
  <c r="Q117" i="18" a="1"/>
  <c r="Q117" i="18" s="1"/>
  <c r="R117" i="18" a="1"/>
  <c r="R117" i="18" s="1"/>
  <c r="U117" i="18" a="1"/>
  <c r="U117" i="18" s="1"/>
  <c r="V117" i="18" a="1"/>
  <c r="V117" i="18" s="1"/>
  <c r="W117" i="18" a="1"/>
  <c r="W117" i="18" s="1"/>
  <c r="X117" i="18" a="1"/>
  <c r="X117" i="18" s="1"/>
  <c r="K118" i="18" a="1"/>
  <c r="K118" i="18" s="1"/>
  <c r="L118" i="18" a="1"/>
  <c r="L118" i="18" s="1"/>
  <c r="M118" i="18" a="1"/>
  <c r="M118" i="18" s="1"/>
  <c r="N118" i="18" a="1"/>
  <c r="N118" i="18" s="1"/>
  <c r="O118" i="18" a="1"/>
  <c r="O118" i="18" s="1"/>
  <c r="P118" i="18" a="1"/>
  <c r="P118" i="18" s="1"/>
  <c r="Q118" i="18" a="1"/>
  <c r="Q118" i="18" s="1"/>
  <c r="R118" i="18" a="1"/>
  <c r="R118" i="18" s="1"/>
  <c r="U118" i="18" a="1"/>
  <c r="U118" i="18" s="1"/>
  <c r="V118" i="18" a="1"/>
  <c r="V118" i="18" s="1"/>
  <c r="W118" i="18" a="1"/>
  <c r="W118" i="18" s="1"/>
  <c r="X118" i="18" a="1"/>
  <c r="X118" i="18" s="1"/>
  <c r="K119" i="18" a="1"/>
  <c r="K119" i="18" s="1"/>
  <c r="L119" i="18" a="1"/>
  <c r="L119" i="18" s="1"/>
  <c r="M119" i="18" a="1"/>
  <c r="M119" i="18" s="1"/>
  <c r="N119" i="18" a="1"/>
  <c r="N119" i="18" s="1"/>
  <c r="O119" i="18" a="1"/>
  <c r="O119" i="18" s="1"/>
  <c r="P119" i="18" a="1"/>
  <c r="P119" i="18" s="1"/>
  <c r="Q119" i="18" a="1"/>
  <c r="Q119" i="18" s="1"/>
  <c r="R119" i="18" a="1"/>
  <c r="R119" i="18" s="1"/>
  <c r="U119" i="18" a="1"/>
  <c r="U119" i="18" s="1"/>
  <c r="V119" i="18" a="1"/>
  <c r="V119" i="18" s="1"/>
  <c r="W119" i="18" a="1"/>
  <c r="W119" i="18" s="1"/>
  <c r="X119" i="18" a="1"/>
  <c r="X119" i="18" s="1"/>
  <c r="K120" i="18" a="1"/>
  <c r="K120" i="18" s="1"/>
  <c r="L120" i="18" a="1"/>
  <c r="L120" i="18" s="1"/>
  <c r="M120" i="18" a="1"/>
  <c r="M120" i="18" s="1"/>
  <c r="N120" i="18" a="1"/>
  <c r="N120" i="18" s="1"/>
  <c r="O120" i="18" a="1"/>
  <c r="O120" i="18" s="1"/>
  <c r="P120" i="18" a="1"/>
  <c r="P120" i="18" s="1"/>
  <c r="Q120" i="18" a="1"/>
  <c r="Q120" i="18" s="1"/>
  <c r="R120" i="18" a="1"/>
  <c r="R120" i="18" s="1"/>
  <c r="U120" i="18" a="1"/>
  <c r="U120" i="18" s="1"/>
  <c r="V120" i="18" a="1"/>
  <c r="V120" i="18" s="1"/>
  <c r="W120" i="18" a="1"/>
  <c r="W120" i="18" s="1"/>
  <c r="X120" i="18" a="1"/>
  <c r="X120" i="18" s="1"/>
  <c r="K121" i="18" a="1"/>
  <c r="K121" i="18" s="1"/>
  <c r="L121" i="18" a="1"/>
  <c r="L121" i="18" s="1"/>
  <c r="M121" i="18" a="1"/>
  <c r="M121" i="18" s="1"/>
  <c r="N121" i="18" a="1"/>
  <c r="N121" i="18" s="1"/>
  <c r="O121" i="18" a="1"/>
  <c r="O121" i="18" s="1"/>
  <c r="P121" i="18" a="1"/>
  <c r="P121" i="18" s="1"/>
  <c r="Q121" i="18" a="1"/>
  <c r="Q121" i="18" s="1"/>
  <c r="R121" i="18" a="1"/>
  <c r="R121" i="18" s="1"/>
  <c r="U121" i="18" a="1"/>
  <c r="U121" i="18" s="1"/>
  <c r="V121" i="18" a="1"/>
  <c r="V121" i="18" s="1"/>
  <c r="W121" i="18" a="1"/>
  <c r="W121" i="18" s="1"/>
  <c r="X121" i="18" a="1"/>
  <c r="X121" i="18" s="1"/>
  <c r="K122" i="18" a="1"/>
  <c r="K122" i="18" s="1"/>
  <c r="L122" i="18" a="1"/>
  <c r="L122" i="18" s="1"/>
  <c r="M122" i="18" a="1"/>
  <c r="M122" i="18" s="1"/>
  <c r="N122" i="18" a="1"/>
  <c r="N122" i="18" s="1"/>
  <c r="O122" i="18" a="1"/>
  <c r="O122" i="18" s="1"/>
  <c r="P122" i="18" a="1"/>
  <c r="P122" i="18" s="1"/>
  <c r="Q122" i="18" a="1"/>
  <c r="Q122" i="18" s="1"/>
  <c r="R122" i="18" a="1"/>
  <c r="R122" i="18" s="1"/>
  <c r="U122" i="18" a="1"/>
  <c r="U122" i="18" s="1"/>
  <c r="V122" i="18" a="1"/>
  <c r="V122" i="18" s="1"/>
  <c r="W122" i="18" a="1"/>
  <c r="W122" i="18" s="1"/>
  <c r="X122" i="18" a="1"/>
  <c r="X122" i="18" s="1"/>
  <c r="K123" i="18" a="1"/>
  <c r="K123" i="18" s="1"/>
  <c r="L123" i="18" a="1"/>
  <c r="L123" i="18" s="1"/>
  <c r="M123" i="18" a="1"/>
  <c r="M123" i="18" s="1"/>
  <c r="N123" i="18" a="1"/>
  <c r="N123" i="18" s="1"/>
  <c r="O123" i="18" a="1"/>
  <c r="O123" i="18" s="1"/>
  <c r="P123" i="18" a="1"/>
  <c r="P123" i="18" s="1"/>
  <c r="Q123" i="18" a="1"/>
  <c r="Q123" i="18" s="1"/>
  <c r="R123" i="18" a="1"/>
  <c r="R123" i="18" s="1"/>
  <c r="U123" i="18" a="1"/>
  <c r="U123" i="18" s="1"/>
  <c r="V123" i="18" a="1"/>
  <c r="V123" i="18" s="1"/>
  <c r="W123" i="18" a="1"/>
  <c r="W123" i="18" s="1"/>
  <c r="X123" i="18" a="1"/>
  <c r="X123" i="18" s="1"/>
  <c r="K124" i="18" a="1"/>
  <c r="K124" i="18" s="1"/>
  <c r="L124" i="18" a="1"/>
  <c r="L124" i="18" s="1"/>
  <c r="M124" i="18" a="1"/>
  <c r="M124" i="18" s="1"/>
  <c r="N124" i="18" a="1"/>
  <c r="N124" i="18" s="1"/>
  <c r="O124" i="18" a="1"/>
  <c r="O124" i="18" s="1"/>
  <c r="P124" i="18" a="1"/>
  <c r="P124" i="18" s="1"/>
  <c r="Q124" i="18" a="1"/>
  <c r="Q124" i="18" s="1"/>
  <c r="R124" i="18" a="1"/>
  <c r="R124" i="18" s="1"/>
  <c r="U124" i="18" a="1"/>
  <c r="U124" i="18" s="1"/>
  <c r="V124" i="18" a="1"/>
  <c r="V124" i="18" s="1"/>
  <c r="W124" i="18" a="1"/>
  <c r="W124" i="18" s="1"/>
  <c r="X124" i="18" a="1"/>
  <c r="X124" i="18" s="1"/>
  <c r="K125" i="18" a="1"/>
  <c r="K125" i="18" s="1"/>
  <c r="L125" i="18" a="1"/>
  <c r="L125" i="18" s="1"/>
  <c r="M125" i="18" a="1"/>
  <c r="M125" i="18" s="1"/>
  <c r="N125" i="18" a="1"/>
  <c r="N125" i="18" s="1"/>
  <c r="O125" i="18" a="1"/>
  <c r="O125" i="18" s="1"/>
  <c r="P125" i="18" a="1"/>
  <c r="P125" i="18" s="1"/>
  <c r="Q125" i="18" a="1"/>
  <c r="Q125" i="18" s="1"/>
  <c r="R125" i="18" a="1"/>
  <c r="R125" i="18" s="1"/>
  <c r="U125" i="18" a="1"/>
  <c r="U125" i="18" s="1"/>
  <c r="V125" i="18" a="1"/>
  <c r="V125" i="18" s="1"/>
  <c r="W125" i="18" a="1"/>
  <c r="W125" i="18" s="1"/>
  <c r="X125" i="18" a="1"/>
  <c r="X125" i="18" s="1"/>
  <c r="K126" i="18" a="1"/>
  <c r="K126" i="18" s="1"/>
  <c r="L126" i="18" a="1"/>
  <c r="L126" i="18" s="1"/>
  <c r="M126" i="18" a="1"/>
  <c r="M126" i="18" s="1"/>
  <c r="N126" i="18" a="1"/>
  <c r="N126" i="18" s="1"/>
  <c r="O126" i="18" a="1"/>
  <c r="O126" i="18" s="1"/>
  <c r="P126" i="18" a="1"/>
  <c r="P126" i="18" s="1"/>
  <c r="Q126" i="18" a="1"/>
  <c r="Q126" i="18" s="1"/>
  <c r="R126" i="18" a="1"/>
  <c r="R126" i="18" s="1"/>
  <c r="U126" i="18" a="1"/>
  <c r="U126" i="18" s="1"/>
  <c r="V126" i="18" a="1"/>
  <c r="V126" i="18" s="1"/>
  <c r="W126" i="18" a="1"/>
  <c r="W126" i="18" s="1"/>
  <c r="X126" i="18" a="1"/>
  <c r="X126" i="18" s="1"/>
  <c r="K127" i="18" a="1"/>
  <c r="K127" i="18" s="1"/>
  <c r="L127" i="18" a="1"/>
  <c r="L127" i="18" s="1"/>
  <c r="M127" i="18" a="1"/>
  <c r="M127" i="18" s="1"/>
  <c r="N127" i="18" a="1"/>
  <c r="N127" i="18" s="1"/>
  <c r="O127" i="18" a="1"/>
  <c r="O127" i="18" s="1"/>
  <c r="P127" i="18" a="1"/>
  <c r="P127" i="18" s="1"/>
  <c r="Q127" i="18" a="1"/>
  <c r="Q127" i="18" s="1"/>
  <c r="R127" i="18" a="1"/>
  <c r="R127" i="18" s="1"/>
  <c r="U127" i="18" a="1"/>
  <c r="U127" i="18" s="1"/>
  <c r="V127" i="18" a="1"/>
  <c r="V127" i="18" s="1"/>
  <c r="W127" i="18" a="1"/>
  <c r="W127" i="18" s="1"/>
  <c r="X127" i="18" a="1"/>
  <c r="X127" i="18" s="1"/>
  <c r="K128" i="18" a="1"/>
  <c r="K128" i="18" s="1"/>
  <c r="L128" i="18" a="1"/>
  <c r="L128" i="18" s="1"/>
  <c r="M128" i="18" a="1"/>
  <c r="M128" i="18" s="1"/>
  <c r="N128" i="18" a="1"/>
  <c r="N128" i="18" s="1"/>
  <c r="O128" i="18" a="1"/>
  <c r="O128" i="18" s="1"/>
  <c r="P128" i="18" a="1"/>
  <c r="P128" i="18" s="1"/>
  <c r="Q128" i="18" a="1"/>
  <c r="Q128" i="18" s="1"/>
  <c r="R128" i="18" a="1"/>
  <c r="R128" i="18" s="1"/>
  <c r="U128" i="18" a="1"/>
  <c r="U128" i="18" s="1"/>
  <c r="V128" i="18" a="1"/>
  <c r="V128" i="18" s="1"/>
  <c r="W128" i="18" a="1"/>
  <c r="W128" i="18" s="1"/>
  <c r="X128" i="18" a="1"/>
  <c r="X128" i="18" s="1"/>
  <c r="K129" i="18" a="1"/>
  <c r="K129" i="18" s="1"/>
  <c r="L129" i="18" a="1"/>
  <c r="L129" i="18" s="1"/>
  <c r="M129" i="18" a="1"/>
  <c r="M129" i="18" s="1"/>
  <c r="N129" i="18" a="1"/>
  <c r="N129" i="18" s="1"/>
  <c r="O129" i="18" a="1"/>
  <c r="O129" i="18" s="1"/>
  <c r="P129" i="18" a="1"/>
  <c r="P129" i="18" s="1"/>
  <c r="Q129" i="18" a="1"/>
  <c r="Q129" i="18" s="1"/>
  <c r="R129" i="18" a="1"/>
  <c r="R129" i="18" s="1"/>
  <c r="U129" i="18" a="1"/>
  <c r="U129" i="18" s="1"/>
  <c r="V129" i="18" a="1"/>
  <c r="V129" i="18" s="1"/>
  <c r="W129" i="18" a="1"/>
  <c r="W129" i="18" s="1"/>
  <c r="X129" i="18" a="1"/>
  <c r="X129" i="18" s="1"/>
  <c r="K130" i="18" a="1"/>
  <c r="K130" i="18" s="1"/>
  <c r="L130" i="18" a="1"/>
  <c r="L130" i="18" s="1"/>
  <c r="M130" i="18" a="1"/>
  <c r="M130" i="18" s="1"/>
  <c r="N130" i="18" a="1"/>
  <c r="N130" i="18" s="1"/>
  <c r="O130" i="18" a="1"/>
  <c r="O130" i="18" s="1"/>
  <c r="P130" i="18" a="1"/>
  <c r="P130" i="18" s="1"/>
  <c r="Q130" i="18" a="1"/>
  <c r="Q130" i="18" s="1"/>
  <c r="R130" i="18" a="1"/>
  <c r="R130" i="18" s="1"/>
  <c r="U130" i="18" a="1"/>
  <c r="U130" i="18" s="1"/>
  <c r="V130" i="18" a="1"/>
  <c r="V130" i="18" s="1"/>
  <c r="W130" i="18" a="1"/>
  <c r="W130" i="18" s="1"/>
  <c r="X130" i="18" a="1"/>
  <c r="X130" i="18" s="1"/>
  <c r="K131" i="18" a="1"/>
  <c r="K131" i="18" s="1"/>
  <c r="L131" i="18" a="1"/>
  <c r="L131" i="18" s="1"/>
  <c r="M131" i="18" a="1"/>
  <c r="M131" i="18" s="1"/>
  <c r="N131" i="18" a="1"/>
  <c r="N131" i="18" s="1"/>
  <c r="O131" i="18" a="1"/>
  <c r="O131" i="18" s="1"/>
  <c r="P131" i="18" a="1"/>
  <c r="P131" i="18" s="1"/>
  <c r="Q131" i="18" a="1"/>
  <c r="Q131" i="18" s="1"/>
  <c r="R131" i="18" a="1"/>
  <c r="R131" i="18" s="1"/>
  <c r="U131" i="18" a="1"/>
  <c r="U131" i="18" s="1"/>
  <c r="V131" i="18" a="1"/>
  <c r="V131" i="18" s="1"/>
  <c r="W131" i="18" a="1"/>
  <c r="W131" i="18" s="1"/>
  <c r="X131" i="18" a="1"/>
  <c r="X131" i="18" s="1"/>
  <c r="K132" i="18" a="1"/>
  <c r="K132" i="18" s="1"/>
  <c r="L132" i="18" a="1"/>
  <c r="L132" i="18" s="1"/>
  <c r="M132" i="18" a="1"/>
  <c r="M132" i="18" s="1"/>
  <c r="N132" i="18" a="1"/>
  <c r="N132" i="18" s="1"/>
  <c r="O132" i="18" a="1"/>
  <c r="O132" i="18" s="1"/>
  <c r="P132" i="18" a="1"/>
  <c r="P132" i="18" s="1"/>
  <c r="Q132" i="18" a="1"/>
  <c r="Q132" i="18" s="1"/>
  <c r="R132" i="18" a="1"/>
  <c r="R132" i="18" s="1"/>
  <c r="U132" i="18" a="1"/>
  <c r="U132" i="18" s="1"/>
  <c r="V132" i="18" a="1"/>
  <c r="V132" i="18" s="1"/>
  <c r="W132" i="18" a="1"/>
  <c r="W132" i="18" s="1"/>
  <c r="X132" i="18" a="1"/>
  <c r="X132" i="18" s="1"/>
  <c r="K133" i="18" a="1"/>
  <c r="K133" i="18" s="1"/>
  <c r="L133" i="18" a="1"/>
  <c r="L133" i="18" s="1"/>
  <c r="M133" i="18" a="1"/>
  <c r="M133" i="18" s="1"/>
  <c r="N133" i="18" a="1"/>
  <c r="N133" i="18" s="1"/>
  <c r="O133" i="18" a="1"/>
  <c r="O133" i="18" s="1"/>
  <c r="P133" i="18" a="1"/>
  <c r="P133" i="18" s="1"/>
  <c r="Q133" i="18" a="1"/>
  <c r="Q133" i="18" s="1"/>
  <c r="R133" i="18" a="1"/>
  <c r="R133" i="18" s="1"/>
  <c r="U133" i="18" a="1"/>
  <c r="U133" i="18" s="1"/>
  <c r="V133" i="18" a="1"/>
  <c r="V133" i="18" s="1"/>
  <c r="W133" i="18" a="1"/>
  <c r="W133" i="18" s="1"/>
  <c r="X133" i="18" a="1"/>
  <c r="X133" i="18" s="1"/>
  <c r="K134" i="18" a="1"/>
  <c r="K134" i="18" s="1"/>
  <c r="L134" i="18" a="1"/>
  <c r="L134" i="18" s="1"/>
  <c r="M134" i="18" a="1"/>
  <c r="M134" i="18" s="1"/>
  <c r="N134" i="18" a="1"/>
  <c r="N134" i="18" s="1"/>
  <c r="O134" i="18" a="1"/>
  <c r="O134" i="18" s="1"/>
  <c r="P134" i="18" a="1"/>
  <c r="P134" i="18" s="1"/>
  <c r="Q134" i="18" a="1"/>
  <c r="Q134" i="18" s="1"/>
  <c r="R134" i="18" a="1"/>
  <c r="R134" i="18" s="1"/>
  <c r="U134" i="18" a="1"/>
  <c r="U134" i="18" s="1"/>
  <c r="V134" i="18" a="1"/>
  <c r="V134" i="18" s="1"/>
  <c r="W134" i="18" a="1"/>
  <c r="W134" i="18" s="1"/>
  <c r="X134" i="18" a="1"/>
  <c r="X134" i="18" s="1"/>
  <c r="K135" i="18" a="1"/>
  <c r="K135" i="18" s="1"/>
  <c r="L135" i="18" a="1"/>
  <c r="L135" i="18" s="1"/>
  <c r="M135" i="18" a="1"/>
  <c r="M135" i="18" s="1"/>
  <c r="N135" i="18" a="1"/>
  <c r="N135" i="18" s="1"/>
  <c r="O135" i="18" a="1"/>
  <c r="O135" i="18" s="1"/>
  <c r="P135" i="18" a="1"/>
  <c r="P135" i="18" s="1"/>
  <c r="Q135" i="18" a="1"/>
  <c r="Q135" i="18" s="1"/>
  <c r="R135" i="18" a="1"/>
  <c r="R135" i="18" s="1"/>
  <c r="U135" i="18" a="1"/>
  <c r="U135" i="18" s="1"/>
  <c r="V135" i="18" a="1"/>
  <c r="V135" i="18" s="1"/>
  <c r="W135" i="18" a="1"/>
  <c r="W135" i="18" s="1"/>
  <c r="X135" i="18" a="1"/>
  <c r="X135" i="18" s="1"/>
  <c r="K136" i="18" a="1"/>
  <c r="K136" i="18" s="1"/>
  <c r="L136" i="18" a="1"/>
  <c r="L136" i="18" s="1"/>
  <c r="M136" i="18" a="1"/>
  <c r="M136" i="18" s="1"/>
  <c r="N136" i="18" a="1"/>
  <c r="N136" i="18" s="1"/>
  <c r="O136" i="18" a="1"/>
  <c r="O136" i="18" s="1"/>
  <c r="P136" i="18" a="1"/>
  <c r="P136" i="18" s="1"/>
  <c r="Q136" i="18" a="1"/>
  <c r="Q136" i="18" s="1"/>
  <c r="R136" i="18" a="1"/>
  <c r="R136" i="18" s="1"/>
  <c r="U136" i="18" a="1"/>
  <c r="U136" i="18" s="1"/>
  <c r="V136" i="18" a="1"/>
  <c r="V136" i="18" s="1"/>
  <c r="W136" i="18" a="1"/>
  <c r="W136" i="18" s="1"/>
  <c r="X136" i="18" a="1"/>
  <c r="X136" i="18" s="1"/>
  <c r="K137" i="18" a="1"/>
  <c r="K137" i="18" s="1"/>
  <c r="L137" i="18" a="1"/>
  <c r="L137" i="18" s="1"/>
  <c r="M137" i="18" a="1"/>
  <c r="M137" i="18" s="1"/>
  <c r="N137" i="18" a="1"/>
  <c r="N137" i="18" s="1"/>
  <c r="O137" i="18" a="1"/>
  <c r="O137" i="18" s="1"/>
  <c r="P137" i="18" a="1"/>
  <c r="P137" i="18" s="1"/>
  <c r="Q137" i="18" a="1"/>
  <c r="Q137" i="18" s="1"/>
  <c r="R137" i="18" a="1"/>
  <c r="R137" i="18" s="1"/>
  <c r="U137" i="18" a="1"/>
  <c r="U137" i="18" s="1"/>
  <c r="V137" i="18" a="1"/>
  <c r="V137" i="18" s="1"/>
  <c r="W137" i="18" a="1"/>
  <c r="W137" i="18" s="1"/>
  <c r="X137" i="18" a="1"/>
  <c r="X137" i="18" s="1"/>
  <c r="K138" i="18" a="1"/>
  <c r="K138" i="18" s="1"/>
  <c r="L138" i="18" a="1"/>
  <c r="L138" i="18" s="1"/>
  <c r="M138" i="18" a="1"/>
  <c r="M138" i="18" s="1"/>
  <c r="N138" i="18" a="1"/>
  <c r="N138" i="18" s="1"/>
  <c r="O138" i="18" a="1"/>
  <c r="O138" i="18" s="1"/>
  <c r="P138" i="18" a="1"/>
  <c r="P138" i="18" s="1"/>
  <c r="Q138" i="18" a="1"/>
  <c r="Q138" i="18" s="1"/>
  <c r="R138" i="18" a="1"/>
  <c r="R138" i="18" s="1"/>
  <c r="U138" i="18" a="1"/>
  <c r="U138" i="18" s="1"/>
  <c r="V138" i="18" a="1"/>
  <c r="V138" i="18" s="1"/>
  <c r="W138" i="18" a="1"/>
  <c r="W138" i="18" s="1"/>
  <c r="X138" i="18" a="1"/>
  <c r="X138" i="18" s="1"/>
  <c r="K139" i="18" a="1"/>
  <c r="K139" i="18" s="1"/>
  <c r="L139" i="18" a="1"/>
  <c r="L139" i="18" s="1"/>
  <c r="M139" i="18" a="1"/>
  <c r="M139" i="18" s="1"/>
  <c r="N139" i="18" a="1"/>
  <c r="N139" i="18" s="1"/>
  <c r="O139" i="18" a="1"/>
  <c r="O139" i="18" s="1"/>
  <c r="P139" i="18" a="1"/>
  <c r="P139" i="18" s="1"/>
  <c r="Q139" i="18" a="1"/>
  <c r="Q139" i="18" s="1"/>
  <c r="R139" i="18" a="1"/>
  <c r="R139" i="18" s="1"/>
  <c r="U139" i="18" a="1"/>
  <c r="U139" i="18" s="1"/>
  <c r="V139" i="18" a="1"/>
  <c r="V139" i="18" s="1"/>
  <c r="W139" i="18" a="1"/>
  <c r="W139" i="18" s="1"/>
  <c r="X139" i="18" a="1"/>
  <c r="X139" i="18" s="1"/>
  <c r="K140" i="18" a="1"/>
  <c r="K140" i="18" s="1"/>
  <c r="L140" i="18" a="1"/>
  <c r="L140" i="18" s="1"/>
  <c r="M140" i="18" a="1"/>
  <c r="M140" i="18" s="1"/>
  <c r="N140" i="18" a="1"/>
  <c r="N140" i="18" s="1"/>
  <c r="O140" i="18" a="1"/>
  <c r="O140" i="18" s="1"/>
  <c r="P140" i="18" a="1"/>
  <c r="P140" i="18" s="1"/>
  <c r="Q140" i="18" a="1"/>
  <c r="Q140" i="18" s="1"/>
  <c r="R140" i="18" a="1"/>
  <c r="R140" i="18" s="1"/>
  <c r="U140" i="18" a="1"/>
  <c r="U140" i="18" s="1"/>
  <c r="V140" i="18" a="1"/>
  <c r="V140" i="18" s="1"/>
  <c r="W140" i="18" a="1"/>
  <c r="W140" i="18" s="1"/>
  <c r="X140" i="18" a="1"/>
  <c r="X140" i="18" s="1"/>
  <c r="K141" i="18" a="1"/>
  <c r="K141" i="18" s="1"/>
  <c r="L141" i="18" a="1"/>
  <c r="L141" i="18" s="1"/>
  <c r="M141" i="18" a="1"/>
  <c r="M141" i="18" s="1"/>
  <c r="N141" i="18" a="1"/>
  <c r="N141" i="18" s="1"/>
  <c r="O141" i="18" a="1"/>
  <c r="O141" i="18" s="1"/>
  <c r="P141" i="18" a="1"/>
  <c r="P141" i="18" s="1"/>
  <c r="Q141" i="18" a="1"/>
  <c r="Q141" i="18" s="1"/>
  <c r="R141" i="18" a="1"/>
  <c r="R141" i="18" s="1"/>
  <c r="U141" i="18" a="1"/>
  <c r="U141" i="18" s="1"/>
  <c r="V141" i="18" a="1"/>
  <c r="V141" i="18" s="1"/>
  <c r="W141" i="18" a="1"/>
  <c r="W141" i="18" s="1"/>
  <c r="X141" i="18" a="1"/>
  <c r="X141" i="18" s="1"/>
  <c r="K142" i="18" a="1"/>
  <c r="K142" i="18" s="1"/>
  <c r="L142" i="18" a="1"/>
  <c r="L142" i="18" s="1"/>
  <c r="M142" i="18" a="1"/>
  <c r="M142" i="18" s="1"/>
  <c r="N142" i="18" a="1"/>
  <c r="N142" i="18" s="1"/>
  <c r="O142" i="18" a="1"/>
  <c r="O142" i="18" s="1"/>
  <c r="P142" i="18" a="1"/>
  <c r="P142" i="18" s="1"/>
  <c r="Q142" i="18" a="1"/>
  <c r="Q142" i="18" s="1"/>
  <c r="R142" i="18" a="1"/>
  <c r="R142" i="18" s="1"/>
  <c r="U142" i="18" a="1"/>
  <c r="U142" i="18" s="1"/>
  <c r="V142" i="18" a="1"/>
  <c r="V142" i="18" s="1"/>
  <c r="W142" i="18" a="1"/>
  <c r="W142" i="18" s="1"/>
  <c r="X142" i="18" a="1"/>
  <c r="X142" i="18" s="1"/>
  <c r="K143" i="18" a="1"/>
  <c r="K143" i="18" s="1"/>
  <c r="L143" i="18" a="1"/>
  <c r="L143" i="18" s="1"/>
  <c r="M143" i="18" a="1"/>
  <c r="M143" i="18" s="1"/>
  <c r="N143" i="18" a="1"/>
  <c r="N143" i="18" s="1"/>
  <c r="O143" i="18" a="1"/>
  <c r="O143" i="18" s="1"/>
  <c r="P143" i="18" a="1"/>
  <c r="P143" i="18" s="1"/>
  <c r="Q143" i="18" a="1"/>
  <c r="Q143" i="18" s="1"/>
  <c r="R143" i="18" a="1"/>
  <c r="R143" i="18" s="1"/>
  <c r="U143" i="18" a="1"/>
  <c r="U143" i="18" s="1"/>
  <c r="V143" i="18" a="1"/>
  <c r="V143" i="18" s="1"/>
  <c r="W143" i="18" a="1"/>
  <c r="W143" i="18" s="1"/>
  <c r="X143" i="18" a="1"/>
  <c r="X143" i="18" s="1"/>
  <c r="K144" i="18" a="1"/>
  <c r="K144" i="18" s="1"/>
  <c r="L144" i="18" a="1"/>
  <c r="L144" i="18" s="1"/>
  <c r="M144" i="18" a="1"/>
  <c r="M144" i="18" s="1"/>
  <c r="N144" i="18" a="1"/>
  <c r="N144" i="18" s="1"/>
  <c r="O144" i="18" a="1"/>
  <c r="O144" i="18" s="1"/>
  <c r="P144" i="18" a="1"/>
  <c r="P144" i="18" s="1"/>
  <c r="Q144" i="18" a="1"/>
  <c r="Q144" i="18" s="1"/>
  <c r="R144" i="18" a="1"/>
  <c r="R144" i="18" s="1"/>
  <c r="U144" i="18" a="1"/>
  <c r="U144" i="18" s="1"/>
  <c r="V144" i="18" a="1"/>
  <c r="V144" i="18" s="1"/>
  <c r="W144" i="18" a="1"/>
  <c r="W144" i="18" s="1"/>
  <c r="X144" i="18" a="1"/>
  <c r="X144" i="18" s="1"/>
  <c r="K145" i="18" a="1"/>
  <c r="K145" i="18" s="1"/>
  <c r="L145" i="18" a="1"/>
  <c r="L145" i="18" s="1"/>
  <c r="M145" i="18" a="1"/>
  <c r="M145" i="18" s="1"/>
  <c r="N145" i="18" a="1"/>
  <c r="N145" i="18" s="1"/>
  <c r="O145" i="18" a="1"/>
  <c r="O145" i="18" s="1"/>
  <c r="P145" i="18" a="1"/>
  <c r="P145" i="18" s="1"/>
  <c r="Q145" i="18" a="1"/>
  <c r="Q145" i="18" s="1"/>
  <c r="R145" i="18" a="1"/>
  <c r="R145" i="18" s="1"/>
  <c r="U145" i="18" a="1"/>
  <c r="U145" i="18" s="1"/>
  <c r="V145" i="18" a="1"/>
  <c r="V145" i="18" s="1"/>
  <c r="W145" i="18" a="1"/>
  <c r="W145" i="18" s="1"/>
  <c r="X145" i="18" a="1"/>
  <c r="X145" i="18" s="1"/>
  <c r="K146" i="18" a="1"/>
  <c r="K146" i="18" s="1"/>
  <c r="L146" i="18" a="1"/>
  <c r="L146" i="18" s="1"/>
  <c r="M146" i="18" a="1"/>
  <c r="M146" i="18" s="1"/>
  <c r="N146" i="18" a="1"/>
  <c r="N146" i="18" s="1"/>
  <c r="O146" i="18" a="1"/>
  <c r="O146" i="18" s="1"/>
  <c r="P146" i="18" a="1"/>
  <c r="P146" i="18" s="1"/>
  <c r="Q146" i="18" a="1"/>
  <c r="Q146" i="18" s="1"/>
  <c r="R146" i="18" a="1"/>
  <c r="R146" i="18" s="1"/>
  <c r="U146" i="18" a="1"/>
  <c r="U146" i="18" s="1"/>
  <c r="V146" i="18" a="1"/>
  <c r="V146" i="18" s="1"/>
  <c r="W146" i="18" a="1"/>
  <c r="W146" i="18" s="1"/>
  <c r="X146" i="18" a="1"/>
  <c r="X146" i="18" s="1"/>
  <c r="K147" i="18" a="1"/>
  <c r="K147" i="18" s="1"/>
  <c r="L147" i="18" a="1"/>
  <c r="L147" i="18" s="1"/>
  <c r="M147" i="18" a="1"/>
  <c r="M147" i="18" s="1"/>
  <c r="N147" i="18" a="1"/>
  <c r="N147" i="18" s="1"/>
  <c r="O147" i="18" a="1"/>
  <c r="O147" i="18" s="1"/>
  <c r="P147" i="18" a="1"/>
  <c r="P147" i="18" s="1"/>
  <c r="Q147" i="18" a="1"/>
  <c r="Q147" i="18" s="1"/>
  <c r="R147" i="18" a="1"/>
  <c r="R147" i="18" s="1"/>
  <c r="U147" i="18" a="1"/>
  <c r="U147" i="18" s="1"/>
  <c r="V147" i="18" a="1"/>
  <c r="V147" i="18" s="1"/>
  <c r="W147" i="18" a="1"/>
  <c r="W147" i="18" s="1"/>
  <c r="X147" i="18" a="1"/>
  <c r="X147" i="18" s="1"/>
  <c r="K148" i="18" a="1"/>
  <c r="K148" i="18" s="1"/>
  <c r="L148" i="18" a="1"/>
  <c r="L148" i="18" s="1"/>
  <c r="M148" i="18" a="1"/>
  <c r="M148" i="18" s="1"/>
  <c r="N148" i="18" a="1"/>
  <c r="N148" i="18" s="1"/>
  <c r="O148" i="18" a="1"/>
  <c r="O148" i="18" s="1"/>
  <c r="P148" i="18" a="1"/>
  <c r="P148" i="18" s="1"/>
  <c r="Q148" i="18" a="1"/>
  <c r="Q148" i="18" s="1"/>
  <c r="R148" i="18" a="1"/>
  <c r="R148" i="18" s="1"/>
  <c r="U148" i="18" a="1"/>
  <c r="U148" i="18" s="1"/>
  <c r="V148" i="18" a="1"/>
  <c r="V148" i="18" s="1"/>
  <c r="W148" i="18" a="1"/>
  <c r="W148" i="18" s="1"/>
  <c r="X148" i="18" a="1"/>
  <c r="X148" i="18" s="1"/>
  <c r="K149" i="18" a="1"/>
  <c r="K149" i="18" s="1"/>
  <c r="L149" i="18" a="1"/>
  <c r="L149" i="18" s="1"/>
  <c r="M149" i="18" a="1"/>
  <c r="M149" i="18" s="1"/>
  <c r="N149" i="18" a="1"/>
  <c r="N149" i="18" s="1"/>
  <c r="O149" i="18" a="1"/>
  <c r="O149" i="18" s="1"/>
  <c r="P149" i="18" a="1"/>
  <c r="P149" i="18" s="1"/>
  <c r="Q149" i="18" a="1"/>
  <c r="Q149" i="18" s="1"/>
  <c r="R149" i="18" a="1"/>
  <c r="R149" i="18" s="1"/>
  <c r="U149" i="18" a="1"/>
  <c r="U149" i="18" s="1"/>
  <c r="V149" i="18" a="1"/>
  <c r="V149" i="18" s="1"/>
  <c r="W149" i="18" a="1"/>
  <c r="W149" i="18" s="1"/>
  <c r="X149" i="18" a="1"/>
  <c r="X149" i="18" s="1"/>
  <c r="K150" i="18" a="1"/>
  <c r="K150" i="18" s="1"/>
  <c r="L150" i="18" a="1"/>
  <c r="L150" i="18" s="1"/>
  <c r="M150" i="18" a="1"/>
  <c r="M150" i="18" s="1"/>
  <c r="N150" i="18" a="1"/>
  <c r="N150" i="18" s="1"/>
  <c r="O150" i="18" a="1"/>
  <c r="O150" i="18" s="1"/>
  <c r="P150" i="18" a="1"/>
  <c r="P150" i="18" s="1"/>
  <c r="Q150" i="18" a="1"/>
  <c r="Q150" i="18" s="1"/>
  <c r="R150" i="18" a="1"/>
  <c r="R150" i="18" s="1"/>
  <c r="U150" i="18" a="1"/>
  <c r="U150" i="18" s="1"/>
  <c r="V150" i="18" a="1"/>
  <c r="V150" i="18" s="1"/>
  <c r="W150" i="18" a="1"/>
  <c r="W150" i="18" s="1"/>
  <c r="X150" i="18" a="1"/>
  <c r="X150" i="18" s="1"/>
  <c r="K151" i="18" a="1"/>
  <c r="K151" i="18" s="1"/>
  <c r="L151" i="18" a="1"/>
  <c r="L151" i="18" s="1"/>
  <c r="M151" i="18" a="1"/>
  <c r="M151" i="18" s="1"/>
  <c r="N151" i="18" a="1"/>
  <c r="N151" i="18" s="1"/>
  <c r="O151" i="18" a="1"/>
  <c r="O151" i="18" s="1"/>
  <c r="P151" i="18" a="1"/>
  <c r="P151" i="18" s="1"/>
  <c r="Q151" i="18" a="1"/>
  <c r="Q151" i="18" s="1"/>
  <c r="R151" i="18" a="1"/>
  <c r="R151" i="18" s="1"/>
  <c r="U151" i="18" a="1"/>
  <c r="U151" i="18" s="1"/>
  <c r="V151" i="18" a="1"/>
  <c r="V151" i="18" s="1"/>
  <c r="W151" i="18" a="1"/>
  <c r="W151" i="18" s="1"/>
  <c r="X151" i="18" a="1"/>
  <c r="X151" i="18" s="1"/>
  <c r="K152" i="18" a="1"/>
  <c r="K152" i="18" s="1"/>
  <c r="L152" i="18" a="1"/>
  <c r="L152" i="18" s="1"/>
  <c r="M152" i="18" a="1"/>
  <c r="M152" i="18" s="1"/>
  <c r="N152" i="18" a="1"/>
  <c r="N152" i="18" s="1"/>
  <c r="O152" i="18" a="1"/>
  <c r="O152" i="18" s="1"/>
  <c r="P152" i="18" a="1"/>
  <c r="P152" i="18" s="1"/>
  <c r="Q152" i="18" a="1"/>
  <c r="Q152" i="18" s="1"/>
  <c r="R152" i="18" a="1"/>
  <c r="R152" i="18" s="1"/>
  <c r="U152" i="18" a="1"/>
  <c r="U152" i="18" s="1"/>
  <c r="V152" i="18" a="1"/>
  <c r="V152" i="18" s="1"/>
  <c r="W152" i="18" a="1"/>
  <c r="W152" i="18" s="1"/>
  <c r="X152" i="18" a="1"/>
  <c r="X152" i="18" s="1"/>
  <c r="K153" i="18" a="1"/>
  <c r="K153" i="18" s="1"/>
  <c r="L153" i="18" a="1"/>
  <c r="L153" i="18" s="1"/>
  <c r="M153" i="18" a="1"/>
  <c r="M153" i="18" s="1"/>
  <c r="N153" i="18" a="1"/>
  <c r="N153" i="18" s="1"/>
  <c r="O153" i="18" a="1"/>
  <c r="O153" i="18" s="1"/>
  <c r="P153" i="18" a="1"/>
  <c r="P153" i="18" s="1"/>
  <c r="Q153" i="18" a="1"/>
  <c r="Q153" i="18" s="1"/>
  <c r="R153" i="18" a="1"/>
  <c r="R153" i="18" s="1"/>
  <c r="U153" i="18" a="1"/>
  <c r="U153" i="18" s="1"/>
  <c r="V153" i="18" a="1"/>
  <c r="V153" i="18" s="1"/>
  <c r="W153" i="18" a="1"/>
  <c r="W153" i="18" s="1"/>
  <c r="X153" i="18" a="1"/>
  <c r="X153" i="18" s="1"/>
  <c r="K154" i="18" a="1"/>
  <c r="K154" i="18" s="1"/>
  <c r="L154" i="18" a="1"/>
  <c r="L154" i="18" s="1"/>
  <c r="M154" i="18" a="1"/>
  <c r="M154" i="18" s="1"/>
  <c r="N154" i="18" a="1"/>
  <c r="N154" i="18" s="1"/>
  <c r="O154" i="18" a="1"/>
  <c r="O154" i="18" s="1"/>
  <c r="P154" i="18" a="1"/>
  <c r="P154" i="18" s="1"/>
  <c r="Q154" i="18" a="1"/>
  <c r="Q154" i="18" s="1"/>
  <c r="R154" i="18" a="1"/>
  <c r="R154" i="18" s="1"/>
  <c r="U154" i="18" a="1"/>
  <c r="U154" i="18" s="1"/>
  <c r="V154" i="18" a="1"/>
  <c r="V154" i="18" s="1"/>
  <c r="W154" i="18" a="1"/>
  <c r="W154" i="18" s="1"/>
  <c r="X154" i="18" a="1"/>
  <c r="X154" i="18" s="1"/>
  <c r="K155" i="18" a="1"/>
  <c r="K155" i="18" s="1"/>
  <c r="L155" i="18" a="1"/>
  <c r="L155" i="18" s="1"/>
  <c r="M155" i="18" a="1"/>
  <c r="M155" i="18" s="1"/>
  <c r="N155" i="18" a="1"/>
  <c r="N155" i="18" s="1"/>
  <c r="O155" i="18" a="1"/>
  <c r="O155" i="18" s="1"/>
  <c r="P155" i="18" a="1"/>
  <c r="P155" i="18" s="1"/>
  <c r="Q155" i="18" a="1"/>
  <c r="Q155" i="18" s="1"/>
  <c r="R155" i="18" a="1"/>
  <c r="R155" i="18" s="1"/>
  <c r="U155" i="18" a="1"/>
  <c r="U155" i="18" s="1"/>
  <c r="V155" i="18" a="1"/>
  <c r="V155" i="18" s="1"/>
  <c r="W155" i="18" a="1"/>
  <c r="W155" i="18" s="1"/>
  <c r="X155" i="18" a="1"/>
  <c r="X155" i="18" s="1"/>
  <c r="K156" i="18" a="1"/>
  <c r="K156" i="18" s="1"/>
  <c r="L156" i="18" a="1"/>
  <c r="L156" i="18" s="1"/>
  <c r="M156" i="18" a="1"/>
  <c r="M156" i="18" s="1"/>
  <c r="N156" i="18" a="1"/>
  <c r="N156" i="18" s="1"/>
  <c r="O156" i="18" a="1"/>
  <c r="O156" i="18" s="1"/>
  <c r="P156" i="18" a="1"/>
  <c r="P156" i="18" s="1"/>
  <c r="Q156" i="18" a="1"/>
  <c r="Q156" i="18" s="1"/>
  <c r="R156" i="18" a="1"/>
  <c r="R156" i="18" s="1"/>
  <c r="U156" i="18" a="1"/>
  <c r="U156" i="18" s="1"/>
  <c r="V156" i="18" a="1"/>
  <c r="V156" i="18" s="1"/>
  <c r="W156" i="18" a="1"/>
  <c r="W156" i="18" s="1"/>
  <c r="X156" i="18" a="1"/>
  <c r="X156" i="18" s="1"/>
  <c r="K157" i="18" a="1"/>
  <c r="K157" i="18" s="1"/>
  <c r="L157" i="18" a="1"/>
  <c r="L157" i="18" s="1"/>
  <c r="M157" i="18" a="1"/>
  <c r="M157" i="18" s="1"/>
  <c r="N157" i="18" a="1"/>
  <c r="N157" i="18" s="1"/>
  <c r="O157" i="18" a="1"/>
  <c r="O157" i="18" s="1"/>
  <c r="P157" i="18" a="1"/>
  <c r="P157" i="18" s="1"/>
  <c r="Q157" i="18" a="1"/>
  <c r="Q157" i="18" s="1"/>
  <c r="R157" i="18" a="1"/>
  <c r="R157" i="18" s="1"/>
  <c r="U157" i="18" a="1"/>
  <c r="U157" i="18" s="1"/>
  <c r="V157" i="18" a="1"/>
  <c r="V157" i="18" s="1"/>
  <c r="W157" i="18" a="1"/>
  <c r="W157" i="18" s="1"/>
  <c r="X157" i="18" a="1"/>
  <c r="X157" i="18" s="1"/>
  <c r="K158" i="18" a="1"/>
  <c r="K158" i="18" s="1"/>
  <c r="L158" i="18" a="1"/>
  <c r="L158" i="18" s="1"/>
  <c r="M158" i="18" a="1"/>
  <c r="M158" i="18" s="1"/>
  <c r="N158" i="18" a="1"/>
  <c r="N158" i="18" s="1"/>
  <c r="O158" i="18" a="1"/>
  <c r="O158" i="18" s="1"/>
  <c r="P158" i="18" a="1"/>
  <c r="P158" i="18" s="1"/>
  <c r="Q158" i="18" a="1"/>
  <c r="Q158" i="18" s="1"/>
  <c r="R158" i="18" a="1"/>
  <c r="R158" i="18" s="1"/>
  <c r="U158" i="18" a="1"/>
  <c r="U158" i="18" s="1"/>
  <c r="V158" i="18" a="1"/>
  <c r="V158" i="18" s="1"/>
  <c r="W158" i="18" a="1"/>
  <c r="W158" i="18" s="1"/>
  <c r="X158" i="18" a="1"/>
  <c r="X158" i="18" s="1"/>
  <c r="K159" i="18" a="1"/>
  <c r="K159" i="18" s="1"/>
  <c r="L159" i="18" a="1"/>
  <c r="L159" i="18" s="1"/>
  <c r="M159" i="18" a="1"/>
  <c r="M159" i="18" s="1"/>
  <c r="N159" i="18" a="1"/>
  <c r="N159" i="18" s="1"/>
  <c r="O159" i="18" a="1"/>
  <c r="O159" i="18" s="1"/>
  <c r="P159" i="18" a="1"/>
  <c r="P159" i="18" s="1"/>
  <c r="Q159" i="18" a="1"/>
  <c r="Q159" i="18" s="1"/>
  <c r="R159" i="18" a="1"/>
  <c r="R159" i="18" s="1"/>
  <c r="U159" i="18" a="1"/>
  <c r="U159" i="18" s="1"/>
  <c r="V159" i="18" a="1"/>
  <c r="V159" i="18" s="1"/>
  <c r="W159" i="18" a="1"/>
  <c r="W159" i="18" s="1"/>
  <c r="X159" i="18" a="1"/>
  <c r="X159" i="18" s="1"/>
  <c r="K160" i="18" a="1"/>
  <c r="K160" i="18" s="1"/>
  <c r="L160" i="18" a="1"/>
  <c r="L160" i="18" s="1"/>
  <c r="M160" i="18" a="1"/>
  <c r="M160" i="18" s="1"/>
  <c r="N160" i="18" a="1"/>
  <c r="N160" i="18" s="1"/>
  <c r="O160" i="18" a="1"/>
  <c r="O160" i="18" s="1"/>
  <c r="P160" i="18" a="1"/>
  <c r="P160" i="18" s="1"/>
  <c r="Q160" i="18" a="1"/>
  <c r="Q160" i="18" s="1"/>
  <c r="R160" i="18" a="1"/>
  <c r="R160" i="18" s="1"/>
  <c r="U160" i="18" a="1"/>
  <c r="U160" i="18" s="1"/>
  <c r="V160" i="18" a="1"/>
  <c r="V160" i="18" s="1"/>
  <c r="W160" i="18" a="1"/>
  <c r="W160" i="18" s="1"/>
  <c r="X160" i="18" a="1"/>
  <c r="X160" i="18" s="1"/>
  <c r="K161" i="18" a="1"/>
  <c r="K161" i="18" s="1"/>
  <c r="L161" i="18" a="1"/>
  <c r="L161" i="18" s="1"/>
  <c r="M161" i="18" a="1"/>
  <c r="M161" i="18" s="1"/>
  <c r="N161" i="18" a="1"/>
  <c r="N161" i="18" s="1"/>
  <c r="O161" i="18" a="1"/>
  <c r="O161" i="18" s="1"/>
  <c r="P161" i="18" a="1"/>
  <c r="P161" i="18" s="1"/>
  <c r="Q161" i="18" a="1"/>
  <c r="Q161" i="18" s="1"/>
  <c r="R161" i="18" a="1"/>
  <c r="R161" i="18" s="1"/>
  <c r="U161" i="18" a="1"/>
  <c r="U161" i="18" s="1"/>
  <c r="V161" i="18" a="1"/>
  <c r="V161" i="18" s="1"/>
  <c r="W161" i="18" a="1"/>
  <c r="W161" i="18" s="1"/>
  <c r="X161" i="18" a="1"/>
  <c r="X161" i="18" s="1"/>
  <c r="K162" i="18" a="1"/>
  <c r="K162" i="18" s="1"/>
  <c r="L162" i="18" a="1"/>
  <c r="L162" i="18" s="1"/>
  <c r="M162" i="18" a="1"/>
  <c r="M162" i="18" s="1"/>
  <c r="N162" i="18" a="1"/>
  <c r="N162" i="18" s="1"/>
  <c r="O162" i="18" a="1"/>
  <c r="O162" i="18" s="1"/>
  <c r="P162" i="18" a="1"/>
  <c r="P162" i="18" s="1"/>
  <c r="Q162" i="18" a="1"/>
  <c r="Q162" i="18" s="1"/>
  <c r="R162" i="18" a="1"/>
  <c r="R162" i="18" s="1"/>
  <c r="U162" i="18" a="1"/>
  <c r="U162" i="18" s="1"/>
  <c r="V162" i="18" a="1"/>
  <c r="V162" i="18" s="1"/>
  <c r="W162" i="18" a="1"/>
  <c r="W162" i="18" s="1"/>
  <c r="X162" i="18" a="1"/>
  <c r="X162" i="18" s="1"/>
  <c r="K163" i="18" a="1"/>
  <c r="K163" i="18" s="1"/>
  <c r="L163" i="18" a="1"/>
  <c r="L163" i="18" s="1"/>
  <c r="M163" i="18" a="1"/>
  <c r="M163" i="18" s="1"/>
  <c r="N163" i="18" a="1"/>
  <c r="N163" i="18" s="1"/>
  <c r="O163" i="18" a="1"/>
  <c r="O163" i="18" s="1"/>
  <c r="P163" i="18" a="1"/>
  <c r="P163" i="18" s="1"/>
  <c r="Q163" i="18" a="1"/>
  <c r="Q163" i="18" s="1"/>
  <c r="R163" i="18" a="1"/>
  <c r="R163" i="18" s="1"/>
  <c r="U163" i="18" a="1"/>
  <c r="U163" i="18" s="1"/>
  <c r="V163" i="18" a="1"/>
  <c r="V163" i="18" s="1"/>
  <c r="W163" i="18" a="1"/>
  <c r="W163" i="18" s="1"/>
  <c r="X163" i="18" a="1"/>
  <c r="X163" i="18" s="1"/>
  <c r="K164" i="18" a="1"/>
  <c r="K164" i="18" s="1"/>
  <c r="L164" i="18" a="1"/>
  <c r="L164" i="18" s="1"/>
  <c r="M164" i="18" a="1"/>
  <c r="M164" i="18" s="1"/>
  <c r="N164" i="18" a="1"/>
  <c r="N164" i="18" s="1"/>
  <c r="O164" i="18" a="1"/>
  <c r="O164" i="18" s="1"/>
  <c r="P164" i="18" a="1"/>
  <c r="P164" i="18" s="1"/>
  <c r="Q164" i="18" a="1"/>
  <c r="Q164" i="18" s="1"/>
  <c r="R164" i="18" a="1"/>
  <c r="R164" i="18" s="1"/>
  <c r="U164" i="18" a="1"/>
  <c r="U164" i="18" s="1"/>
  <c r="V164" i="18" a="1"/>
  <c r="V164" i="18" s="1"/>
  <c r="W164" i="18" a="1"/>
  <c r="W164" i="18" s="1"/>
  <c r="X164" i="18" a="1"/>
  <c r="X164" i="18" s="1"/>
  <c r="K165" i="18" a="1"/>
  <c r="K165" i="18" s="1"/>
  <c r="L165" i="18" a="1"/>
  <c r="L165" i="18" s="1"/>
  <c r="M165" i="18" a="1"/>
  <c r="M165" i="18" s="1"/>
  <c r="N165" i="18" a="1"/>
  <c r="N165" i="18" s="1"/>
  <c r="O165" i="18" a="1"/>
  <c r="O165" i="18" s="1"/>
  <c r="P165" i="18" a="1"/>
  <c r="P165" i="18" s="1"/>
  <c r="Q165" i="18" a="1"/>
  <c r="Q165" i="18" s="1"/>
  <c r="R165" i="18" a="1"/>
  <c r="R165" i="18" s="1"/>
  <c r="U165" i="18" a="1"/>
  <c r="U165" i="18" s="1"/>
  <c r="V165" i="18" a="1"/>
  <c r="V165" i="18" s="1"/>
  <c r="W165" i="18" a="1"/>
  <c r="W165" i="18" s="1"/>
  <c r="X165" i="18" a="1"/>
  <c r="X165" i="18" s="1"/>
  <c r="K166" i="18" a="1"/>
  <c r="K166" i="18" s="1"/>
  <c r="L166" i="18" a="1"/>
  <c r="L166" i="18" s="1"/>
  <c r="M166" i="18" a="1"/>
  <c r="M166" i="18" s="1"/>
  <c r="N166" i="18" a="1"/>
  <c r="N166" i="18" s="1"/>
  <c r="O166" i="18" a="1"/>
  <c r="O166" i="18" s="1"/>
  <c r="P166" i="18" a="1"/>
  <c r="P166" i="18" s="1"/>
  <c r="Q166" i="18" a="1"/>
  <c r="Q166" i="18" s="1"/>
  <c r="R166" i="18" a="1"/>
  <c r="R166" i="18" s="1"/>
  <c r="U166" i="18" a="1"/>
  <c r="U166" i="18" s="1"/>
  <c r="V166" i="18" a="1"/>
  <c r="V166" i="18" s="1"/>
  <c r="W166" i="18" a="1"/>
  <c r="W166" i="18" s="1"/>
  <c r="X166" i="18" a="1"/>
  <c r="X166" i="18" s="1"/>
  <c r="K167" i="18" a="1"/>
  <c r="K167" i="18" s="1"/>
  <c r="L167" i="18" a="1"/>
  <c r="L167" i="18" s="1"/>
  <c r="M167" i="18" a="1"/>
  <c r="M167" i="18" s="1"/>
  <c r="N167" i="18" a="1"/>
  <c r="N167" i="18" s="1"/>
  <c r="O167" i="18" a="1"/>
  <c r="O167" i="18" s="1"/>
  <c r="P167" i="18" a="1"/>
  <c r="P167" i="18" s="1"/>
  <c r="Q167" i="18" a="1"/>
  <c r="Q167" i="18" s="1"/>
  <c r="R167" i="18" a="1"/>
  <c r="R167" i="18" s="1"/>
  <c r="U167" i="18" a="1"/>
  <c r="U167" i="18" s="1"/>
  <c r="V167" i="18" a="1"/>
  <c r="V167" i="18" s="1"/>
  <c r="W167" i="18" a="1"/>
  <c r="W167" i="18" s="1"/>
  <c r="X167" i="18" a="1"/>
  <c r="X167" i="18" s="1"/>
  <c r="K168" i="18" a="1"/>
  <c r="K168" i="18" s="1"/>
  <c r="L168" i="18" a="1"/>
  <c r="L168" i="18" s="1"/>
  <c r="M168" i="18" a="1"/>
  <c r="M168" i="18" s="1"/>
  <c r="N168" i="18" a="1"/>
  <c r="N168" i="18" s="1"/>
  <c r="O168" i="18" a="1"/>
  <c r="O168" i="18" s="1"/>
  <c r="P168" i="18" a="1"/>
  <c r="P168" i="18" s="1"/>
  <c r="Q168" i="18" a="1"/>
  <c r="Q168" i="18" s="1"/>
  <c r="R168" i="18" a="1"/>
  <c r="R168" i="18" s="1"/>
  <c r="U168" i="18" a="1"/>
  <c r="U168" i="18" s="1"/>
  <c r="V168" i="18" a="1"/>
  <c r="V168" i="18" s="1"/>
  <c r="W168" i="18" a="1"/>
  <c r="W168" i="18" s="1"/>
  <c r="X168" i="18" a="1"/>
  <c r="X168" i="18" s="1"/>
  <c r="K169" i="18" a="1"/>
  <c r="K169" i="18" s="1"/>
  <c r="L169" i="18" a="1"/>
  <c r="L169" i="18" s="1"/>
  <c r="M169" i="18" a="1"/>
  <c r="M169" i="18" s="1"/>
  <c r="N169" i="18" a="1"/>
  <c r="N169" i="18" s="1"/>
  <c r="O169" i="18" a="1"/>
  <c r="O169" i="18" s="1"/>
  <c r="P169" i="18" a="1"/>
  <c r="P169" i="18" s="1"/>
  <c r="Q169" i="18" a="1"/>
  <c r="Q169" i="18" s="1"/>
  <c r="R169" i="18" a="1"/>
  <c r="R169" i="18" s="1"/>
  <c r="U169" i="18" a="1"/>
  <c r="U169" i="18" s="1"/>
  <c r="V169" i="18" a="1"/>
  <c r="V169" i="18" s="1"/>
  <c r="W169" i="18" a="1"/>
  <c r="W169" i="18" s="1"/>
  <c r="X169" i="18" a="1"/>
  <c r="X169" i="18" s="1"/>
  <c r="K170" i="18" a="1"/>
  <c r="K170" i="18" s="1"/>
  <c r="L170" i="18" a="1"/>
  <c r="L170" i="18" s="1"/>
  <c r="M170" i="18" a="1"/>
  <c r="M170" i="18" s="1"/>
  <c r="N170" i="18" a="1"/>
  <c r="N170" i="18" s="1"/>
  <c r="O170" i="18" a="1"/>
  <c r="O170" i="18" s="1"/>
  <c r="P170" i="18" a="1"/>
  <c r="P170" i="18" s="1"/>
  <c r="Q170" i="18" a="1"/>
  <c r="Q170" i="18" s="1"/>
  <c r="R170" i="18" a="1"/>
  <c r="R170" i="18" s="1"/>
  <c r="U170" i="18" a="1"/>
  <c r="U170" i="18" s="1"/>
  <c r="V170" i="18" a="1"/>
  <c r="V170" i="18" s="1"/>
  <c r="W170" i="18" a="1"/>
  <c r="W170" i="18" s="1"/>
  <c r="X170" i="18" a="1"/>
  <c r="X170" i="18" s="1"/>
  <c r="K171" i="18" a="1"/>
  <c r="K171" i="18" s="1"/>
  <c r="L171" i="18" a="1"/>
  <c r="L171" i="18" s="1"/>
  <c r="M171" i="18" a="1"/>
  <c r="M171" i="18" s="1"/>
  <c r="N171" i="18" a="1"/>
  <c r="N171" i="18" s="1"/>
  <c r="O171" i="18" a="1"/>
  <c r="O171" i="18" s="1"/>
  <c r="P171" i="18" a="1"/>
  <c r="P171" i="18" s="1"/>
  <c r="Q171" i="18" a="1"/>
  <c r="Q171" i="18" s="1"/>
  <c r="R171" i="18" a="1"/>
  <c r="R171" i="18" s="1"/>
  <c r="U171" i="18" a="1"/>
  <c r="U171" i="18" s="1"/>
  <c r="V171" i="18" a="1"/>
  <c r="V171" i="18" s="1"/>
  <c r="W171" i="18" a="1"/>
  <c r="W171" i="18" s="1"/>
  <c r="X171" i="18" a="1"/>
  <c r="X171" i="18" s="1"/>
  <c r="K172" i="18" a="1"/>
  <c r="K172" i="18" s="1"/>
  <c r="L172" i="18" a="1"/>
  <c r="L172" i="18" s="1"/>
  <c r="M172" i="18" a="1"/>
  <c r="M172" i="18" s="1"/>
  <c r="N172" i="18" a="1"/>
  <c r="N172" i="18" s="1"/>
  <c r="O172" i="18" a="1"/>
  <c r="O172" i="18" s="1"/>
  <c r="P172" i="18" a="1"/>
  <c r="P172" i="18" s="1"/>
  <c r="Q172" i="18" a="1"/>
  <c r="Q172" i="18" s="1"/>
  <c r="R172" i="18" a="1"/>
  <c r="R172" i="18" s="1"/>
  <c r="U172" i="18" a="1"/>
  <c r="U172" i="18" s="1"/>
  <c r="V172" i="18" a="1"/>
  <c r="V172" i="18" s="1"/>
  <c r="W172" i="18" a="1"/>
  <c r="W172" i="18" s="1"/>
  <c r="X172" i="18" a="1"/>
  <c r="X172" i="18" s="1"/>
  <c r="K173" i="18" a="1"/>
  <c r="K173" i="18" s="1"/>
  <c r="L173" i="18" a="1"/>
  <c r="L173" i="18" s="1"/>
  <c r="M173" i="18" a="1"/>
  <c r="M173" i="18" s="1"/>
  <c r="N173" i="18" a="1"/>
  <c r="N173" i="18" s="1"/>
  <c r="O173" i="18" a="1"/>
  <c r="O173" i="18" s="1"/>
  <c r="P173" i="18" a="1"/>
  <c r="P173" i="18" s="1"/>
  <c r="Q173" i="18" a="1"/>
  <c r="Q173" i="18" s="1"/>
  <c r="R173" i="18" a="1"/>
  <c r="R173" i="18" s="1"/>
  <c r="U173" i="18" a="1"/>
  <c r="U173" i="18" s="1"/>
  <c r="V173" i="18" a="1"/>
  <c r="V173" i="18" s="1"/>
  <c r="W173" i="18" a="1"/>
  <c r="W173" i="18" s="1"/>
  <c r="X173" i="18" a="1"/>
  <c r="X173" i="18" s="1"/>
  <c r="K174" i="18" a="1"/>
  <c r="K174" i="18" s="1"/>
  <c r="L174" i="18" a="1"/>
  <c r="L174" i="18" s="1"/>
  <c r="M174" i="18" a="1"/>
  <c r="M174" i="18" s="1"/>
  <c r="N174" i="18" a="1"/>
  <c r="N174" i="18" s="1"/>
  <c r="O174" i="18" a="1"/>
  <c r="O174" i="18" s="1"/>
  <c r="P174" i="18" a="1"/>
  <c r="P174" i="18" s="1"/>
  <c r="Q174" i="18" a="1"/>
  <c r="Q174" i="18" s="1"/>
  <c r="R174" i="18" a="1"/>
  <c r="R174" i="18" s="1"/>
  <c r="U174" i="18" a="1"/>
  <c r="U174" i="18" s="1"/>
  <c r="V174" i="18" a="1"/>
  <c r="V174" i="18" s="1"/>
  <c r="W174" i="18" a="1"/>
  <c r="W174" i="18" s="1"/>
  <c r="X174" i="18" a="1"/>
  <c r="X174" i="18" s="1"/>
  <c r="K175" i="18" a="1"/>
  <c r="K175" i="18" s="1"/>
  <c r="L175" i="18" a="1"/>
  <c r="L175" i="18" s="1"/>
  <c r="M175" i="18" a="1"/>
  <c r="M175" i="18" s="1"/>
  <c r="N175" i="18" a="1"/>
  <c r="N175" i="18" s="1"/>
  <c r="O175" i="18" a="1"/>
  <c r="O175" i="18" s="1"/>
  <c r="P175" i="18" a="1"/>
  <c r="P175" i="18" s="1"/>
  <c r="Q175" i="18" a="1"/>
  <c r="Q175" i="18" s="1"/>
  <c r="R175" i="18" a="1"/>
  <c r="R175" i="18" s="1"/>
  <c r="U175" i="18" a="1"/>
  <c r="U175" i="18" s="1"/>
  <c r="V175" i="18" a="1"/>
  <c r="V175" i="18" s="1"/>
  <c r="W175" i="18" a="1"/>
  <c r="W175" i="18" s="1"/>
  <c r="X175" i="18" a="1"/>
  <c r="X175" i="18" s="1"/>
  <c r="K176" i="18" a="1"/>
  <c r="K176" i="18" s="1"/>
  <c r="L176" i="18" a="1"/>
  <c r="L176" i="18" s="1"/>
  <c r="M176" i="18" a="1"/>
  <c r="M176" i="18" s="1"/>
  <c r="N176" i="18" a="1"/>
  <c r="N176" i="18" s="1"/>
  <c r="O176" i="18" a="1"/>
  <c r="O176" i="18" s="1"/>
  <c r="P176" i="18" a="1"/>
  <c r="P176" i="18" s="1"/>
  <c r="Q176" i="18" a="1"/>
  <c r="Q176" i="18" s="1"/>
  <c r="R176" i="18" a="1"/>
  <c r="R176" i="18" s="1"/>
  <c r="U176" i="18" a="1"/>
  <c r="U176" i="18" s="1"/>
  <c r="V176" i="18" a="1"/>
  <c r="V176" i="18" s="1"/>
  <c r="W176" i="18" a="1"/>
  <c r="W176" i="18" s="1"/>
  <c r="X176" i="18" a="1"/>
  <c r="X176" i="18" s="1"/>
  <c r="K177" i="18" a="1"/>
  <c r="K177" i="18" s="1"/>
  <c r="L177" i="18" a="1"/>
  <c r="L177" i="18" s="1"/>
  <c r="M177" i="18" a="1"/>
  <c r="M177" i="18" s="1"/>
  <c r="N177" i="18" a="1"/>
  <c r="N177" i="18" s="1"/>
  <c r="O177" i="18" a="1"/>
  <c r="O177" i="18" s="1"/>
  <c r="P177" i="18" a="1"/>
  <c r="P177" i="18" s="1"/>
  <c r="Q177" i="18" a="1"/>
  <c r="Q177" i="18" s="1"/>
  <c r="R177" i="18" a="1"/>
  <c r="R177" i="18" s="1"/>
  <c r="U177" i="18" a="1"/>
  <c r="U177" i="18" s="1"/>
  <c r="V177" i="18" a="1"/>
  <c r="V177" i="18" s="1"/>
  <c r="W177" i="18" a="1"/>
  <c r="W177" i="18" s="1"/>
  <c r="X177" i="18" a="1"/>
  <c r="X177" i="18" s="1"/>
  <c r="K178" i="18" a="1"/>
  <c r="K178" i="18" s="1"/>
  <c r="L178" i="18" a="1"/>
  <c r="L178" i="18" s="1"/>
  <c r="M178" i="18" a="1"/>
  <c r="M178" i="18" s="1"/>
  <c r="N178" i="18" a="1"/>
  <c r="N178" i="18" s="1"/>
  <c r="O178" i="18" a="1"/>
  <c r="O178" i="18" s="1"/>
  <c r="P178" i="18" a="1"/>
  <c r="P178" i="18" s="1"/>
  <c r="Q178" i="18" a="1"/>
  <c r="Q178" i="18" s="1"/>
  <c r="R178" i="18" a="1"/>
  <c r="R178" i="18" s="1"/>
  <c r="U178" i="18" a="1"/>
  <c r="U178" i="18" s="1"/>
  <c r="V178" i="18" a="1"/>
  <c r="V178" i="18" s="1"/>
  <c r="W178" i="18" a="1"/>
  <c r="W178" i="18" s="1"/>
  <c r="X178" i="18" a="1"/>
  <c r="X178" i="18" s="1"/>
  <c r="K179" i="18" a="1"/>
  <c r="K179" i="18" s="1"/>
  <c r="L179" i="18" a="1"/>
  <c r="L179" i="18" s="1"/>
  <c r="M179" i="18" a="1"/>
  <c r="M179" i="18" s="1"/>
  <c r="N179" i="18" a="1"/>
  <c r="N179" i="18" s="1"/>
  <c r="O179" i="18" a="1"/>
  <c r="O179" i="18" s="1"/>
  <c r="P179" i="18" a="1"/>
  <c r="P179" i="18" s="1"/>
  <c r="Q179" i="18" a="1"/>
  <c r="Q179" i="18" s="1"/>
  <c r="R179" i="18" a="1"/>
  <c r="R179" i="18" s="1"/>
  <c r="U179" i="18" a="1"/>
  <c r="U179" i="18" s="1"/>
  <c r="V179" i="18" a="1"/>
  <c r="V179" i="18" s="1"/>
  <c r="W179" i="18" a="1"/>
  <c r="W179" i="18" s="1"/>
  <c r="X179" i="18" a="1"/>
  <c r="X179" i="18" s="1"/>
  <c r="K180" i="18" a="1"/>
  <c r="K180" i="18" s="1"/>
  <c r="L180" i="18" a="1"/>
  <c r="L180" i="18" s="1"/>
  <c r="M180" i="18" a="1"/>
  <c r="M180" i="18" s="1"/>
  <c r="N180" i="18" a="1"/>
  <c r="N180" i="18" s="1"/>
  <c r="O180" i="18" a="1"/>
  <c r="O180" i="18" s="1"/>
  <c r="P180" i="18" a="1"/>
  <c r="P180" i="18" s="1"/>
  <c r="Q180" i="18" a="1"/>
  <c r="Q180" i="18" s="1"/>
  <c r="R180" i="18" a="1"/>
  <c r="R180" i="18" s="1"/>
  <c r="U180" i="18" a="1"/>
  <c r="U180" i="18" s="1"/>
  <c r="V180" i="18" a="1"/>
  <c r="V180" i="18" s="1"/>
  <c r="W180" i="18" a="1"/>
  <c r="W180" i="18" s="1"/>
  <c r="X180" i="18" a="1"/>
  <c r="X180" i="18" s="1"/>
  <c r="K181" i="18" a="1"/>
  <c r="K181" i="18" s="1"/>
  <c r="L181" i="18" a="1"/>
  <c r="L181" i="18" s="1"/>
  <c r="M181" i="18" a="1"/>
  <c r="M181" i="18" s="1"/>
  <c r="N181" i="18" a="1"/>
  <c r="N181" i="18" s="1"/>
  <c r="O181" i="18" a="1"/>
  <c r="O181" i="18" s="1"/>
  <c r="P181" i="18" a="1"/>
  <c r="P181" i="18" s="1"/>
  <c r="Q181" i="18" a="1"/>
  <c r="Q181" i="18" s="1"/>
  <c r="R181" i="18" a="1"/>
  <c r="R181" i="18" s="1"/>
  <c r="U181" i="18" a="1"/>
  <c r="U181" i="18" s="1"/>
  <c r="V181" i="18" a="1"/>
  <c r="V181" i="18" s="1"/>
  <c r="W181" i="18" a="1"/>
  <c r="W181" i="18" s="1"/>
  <c r="X181" i="18" a="1"/>
  <c r="X181" i="18" s="1"/>
  <c r="K182" i="18" a="1"/>
  <c r="K182" i="18" s="1"/>
  <c r="L182" i="18" a="1"/>
  <c r="L182" i="18" s="1"/>
  <c r="M182" i="18" a="1"/>
  <c r="M182" i="18" s="1"/>
  <c r="N182" i="18" a="1"/>
  <c r="N182" i="18" s="1"/>
  <c r="O182" i="18" a="1"/>
  <c r="O182" i="18" s="1"/>
  <c r="P182" i="18" a="1"/>
  <c r="P182" i="18" s="1"/>
  <c r="Q182" i="18" a="1"/>
  <c r="Q182" i="18" s="1"/>
  <c r="R182" i="18" a="1"/>
  <c r="R182" i="18" s="1"/>
  <c r="U182" i="18" a="1"/>
  <c r="U182" i="18" s="1"/>
  <c r="V182" i="18" a="1"/>
  <c r="V182" i="18" s="1"/>
  <c r="W182" i="18" a="1"/>
  <c r="W182" i="18" s="1"/>
  <c r="X182" i="18" a="1"/>
  <c r="X182" i="18" s="1"/>
  <c r="K183" i="18" a="1"/>
  <c r="K183" i="18" s="1"/>
  <c r="L183" i="18" a="1"/>
  <c r="L183" i="18" s="1"/>
  <c r="M183" i="18" a="1"/>
  <c r="M183" i="18" s="1"/>
  <c r="N183" i="18" a="1"/>
  <c r="N183" i="18" s="1"/>
  <c r="O183" i="18" a="1"/>
  <c r="O183" i="18" s="1"/>
  <c r="P183" i="18" a="1"/>
  <c r="P183" i="18" s="1"/>
  <c r="Q183" i="18" a="1"/>
  <c r="Q183" i="18" s="1"/>
  <c r="R183" i="18" a="1"/>
  <c r="R183" i="18" s="1"/>
  <c r="U183" i="18" a="1"/>
  <c r="U183" i="18" s="1"/>
  <c r="V183" i="18" a="1"/>
  <c r="V183" i="18" s="1"/>
  <c r="W183" i="18" a="1"/>
  <c r="W183" i="18" s="1"/>
  <c r="X183" i="18" a="1"/>
  <c r="X183" i="18" s="1"/>
  <c r="K184" i="18" a="1"/>
  <c r="K184" i="18" s="1"/>
  <c r="L184" i="18" a="1"/>
  <c r="L184" i="18" s="1"/>
  <c r="M184" i="18" a="1"/>
  <c r="M184" i="18" s="1"/>
  <c r="N184" i="18" a="1"/>
  <c r="N184" i="18" s="1"/>
  <c r="O184" i="18" a="1"/>
  <c r="O184" i="18" s="1"/>
  <c r="P184" i="18" a="1"/>
  <c r="P184" i="18" s="1"/>
  <c r="Q184" i="18" a="1"/>
  <c r="Q184" i="18" s="1"/>
  <c r="R184" i="18" a="1"/>
  <c r="R184" i="18" s="1"/>
  <c r="U184" i="18" a="1"/>
  <c r="U184" i="18" s="1"/>
  <c r="V184" i="18" a="1"/>
  <c r="V184" i="18" s="1"/>
  <c r="W184" i="18" a="1"/>
  <c r="W184" i="18" s="1"/>
  <c r="X184" i="18" a="1"/>
  <c r="X184" i="18" s="1"/>
  <c r="K185" i="18" a="1"/>
  <c r="K185" i="18" s="1"/>
  <c r="L185" i="18" a="1"/>
  <c r="L185" i="18" s="1"/>
  <c r="M185" i="18" a="1"/>
  <c r="M185" i="18" s="1"/>
  <c r="N185" i="18" a="1"/>
  <c r="N185" i="18" s="1"/>
  <c r="O185" i="18" a="1"/>
  <c r="O185" i="18" s="1"/>
  <c r="P185" i="18" a="1"/>
  <c r="P185" i="18" s="1"/>
  <c r="Q185" i="18" a="1"/>
  <c r="Q185" i="18" s="1"/>
  <c r="R185" i="18" a="1"/>
  <c r="R185" i="18" s="1"/>
  <c r="U185" i="18" a="1"/>
  <c r="U185" i="18" s="1"/>
  <c r="V185" i="18" a="1"/>
  <c r="V185" i="18" s="1"/>
  <c r="W185" i="18" a="1"/>
  <c r="W185" i="18" s="1"/>
  <c r="X185" i="18" a="1"/>
  <c r="X185" i="18" s="1"/>
  <c r="K186" i="18" a="1"/>
  <c r="K186" i="18" s="1"/>
  <c r="L186" i="18" a="1"/>
  <c r="L186" i="18" s="1"/>
  <c r="M186" i="18" a="1"/>
  <c r="M186" i="18" s="1"/>
  <c r="N186" i="18" a="1"/>
  <c r="N186" i="18" s="1"/>
  <c r="O186" i="18" a="1"/>
  <c r="O186" i="18" s="1"/>
  <c r="P186" i="18" a="1"/>
  <c r="P186" i="18" s="1"/>
  <c r="Q186" i="18" a="1"/>
  <c r="Q186" i="18" s="1"/>
  <c r="R186" i="18" a="1"/>
  <c r="R186" i="18" s="1"/>
  <c r="U186" i="18" a="1"/>
  <c r="U186" i="18" s="1"/>
  <c r="V186" i="18" a="1"/>
  <c r="V186" i="18" s="1"/>
  <c r="W186" i="18" a="1"/>
  <c r="W186" i="18" s="1"/>
  <c r="X186" i="18" a="1"/>
  <c r="X186" i="18" s="1"/>
  <c r="K187" i="18" a="1"/>
  <c r="K187" i="18" s="1"/>
  <c r="L187" i="18" a="1"/>
  <c r="L187" i="18" s="1"/>
  <c r="M187" i="18" a="1"/>
  <c r="M187" i="18" s="1"/>
  <c r="N187" i="18" a="1"/>
  <c r="N187" i="18" s="1"/>
  <c r="O187" i="18" a="1"/>
  <c r="O187" i="18" s="1"/>
  <c r="P187" i="18" a="1"/>
  <c r="P187" i="18" s="1"/>
  <c r="Q187" i="18" a="1"/>
  <c r="Q187" i="18" s="1"/>
  <c r="R187" i="18" a="1"/>
  <c r="R187" i="18" s="1"/>
  <c r="U187" i="18" a="1"/>
  <c r="U187" i="18" s="1"/>
  <c r="V187" i="18" a="1"/>
  <c r="V187" i="18" s="1"/>
  <c r="W187" i="18" a="1"/>
  <c r="W187" i="18" s="1"/>
  <c r="X187" i="18" a="1"/>
  <c r="X187" i="18" s="1"/>
  <c r="K188" i="18" a="1"/>
  <c r="K188" i="18" s="1"/>
  <c r="L188" i="18" a="1"/>
  <c r="L188" i="18" s="1"/>
  <c r="M188" i="18" a="1"/>
  <c r="M188" i="18" s="1"/>
  <c r="N188" i="18" a="1"/>
  <c r="N188" i="18" s="1"/>
  <c r="O188" i="18" a="1"/>
  <c r="O188" i="18" s="1"/>
  <c r="P188" i="18" a="1"/>
  <c r="P188" i="18" s="1"/>
  <c r="Q188" i="18" a="1"/>
  <c r="Q188" i="18" s="1"/>
  <c r="R188" i="18" a="1"/>
  <c r="R188" i="18" s="1"/>
  <c r="U188" i="18" a="1"/>
  <c r="U188" i="18" s="1"/>
  <c r="V188" i="18" a="1"/>
  <c r="V188" i="18" s="1"/>
  <c r="W188" i="18" a="1"/>
  <c r="W188" i="18" s="1"/>
  <c r="X188" i="18" a="1"/>
  <c r="X188" i="18" s="1"/>
  <c r="K189" i="18" a="1"/>
  <c r="K189" i="18" s="1"/>
  <c r="L189" i="18" a="1"/>
  <c r="L189" i="18" s="1"/>
  <c r="M189" i="18" a="1"/>
  <c r="M189" i="18" s="1"/>
  <c r="N189" i="18" a="1"/>
  <c r="N189" i="18" s="1"/>
  <c r="O189" i="18" a="1"/>
  <c r="O189" i="18" s="1"/>
  <c r="P189" i="18" a="1"/>
  <c r="P189" i="18" s="1"/>
  <c r="Q189" i="18" a="1"/>
  <c r="Q189" i="18" s="1"/>
  <c r="R189" i="18" a="1"/>
  <c r="R189" i="18" s="1"/>
  <c r="U189" i="18" a="1"/>
  <c r="U189" i="18" s="1"/>
  <c r="V189" i="18" a="1"/>
  <c r="V189" i="18" s="1"/>
  <c r="W189" i="18" a="1"/>
  <c r="W189" i="18" s="1"/>
  <c r="X189" i="18" a="1"/>
  <c r="X189" i="18" s="1"/>
  <c r="K190" i="18" a="1"/>
  <c r="K190" i="18" s="1"/>
  <c r="L190" i="18" a="1"/>
  <c r="L190" i="18" s="1"/>
  <c r="M190" i="18" a="1"/>
  <c r="M190" i="18" s="1"/>
  <c r="N190" i="18" a="1"/>
  <c r="N190" i="18" s="1"/>
  <c r="O190" i="18" a="1"/>
  <c r="O190" i="18" s="1"/>
  <c r="P190" i="18" a="1"/>
  <c r="P190" i="18" s="1"/>
  <c r="Q190" i="18" a="1"/>
  <c r="Q190" i="18" s="1"/>
  <c r="R190" i="18" a="1"/>
  <c r="R190" i="18" s="1"/>
  <c r="U190" i="18" a="1"/>
  <c r="U190" i="18" s="1"/>
  <c r="V190" i="18" a="1"/>
  <c r="V190" i="18" s="1"/>
  <c r="W190" i="18" a="1"/>
  <c r="W190" i="18" s="1"/>
  <c r="X190" i="18" a="1"/>
  <c r="X190" i="18" s="1"/>
  <c r="K191" i="18" a="1"/>
  <c r="K191" i="18" s="1"/>
  <c r="L191" i="18" a="1"/>
  <c r="L191" i="18" s="1"/>
  <c r="M191" i="18" a="1"/>
  <c r="M191" i="18" s="1"/>
  <c r="N191" i="18" a="1"/>
  <c r="N191" i="18" s="1"/>
  <c r="O191" i="18" a="1"/>
  <c r="O191" i="18" s="1"/>
  <c r="P191" i="18" a="1"/>
  <c r="P191" i="18" s="1"/>
  <c r="Q191" i="18" a="1"/>
  <c r="Q191" i="18" s="1"/>
  <c r="R191" i="18" a="1"/>
  <c r="R191" i="18" s="1"/>
  <c r="U191" i="18" a="1"/>
  <c r="U191" i="18" s="1"/>
  <c r="V191" i="18" a="1"/>
  <c r="V191" i="18" s="1"/>
  <c r="W191" i="18" a="1"/>
  <c r="W191" i="18" s="1"/>
  <c r="X191" i="18" a="1"/>
  <c r="X191" i="18" s="1"/>
  <c r="K192" i="18" a="1"/>
  <c r="K192" i="18" s="1"/>
  <c r="L192" i="18" a="1"/>
  <c r="L192" i="18" s="1"/>
  <c r="M192" i="18" a="1"/>
  <c r="M192" i="18" s="1"/>
  <c r="N192" i="18" a="1"/>
  <c r="N192" i="18" s="1"/>
  <c r="O192" i="18" a="1"/>
  <c r="O192" i="18" s="1"/>
  <c r="P192" i="18" a="1"/>
  <c r="P192" i="18" s="1"/>
  <c r="Q192" i="18" a="1"/>
  <c r="Q192" i="18" s="1"/>
  <c r="R192" i="18" a="1"/>
  <c r="R192" i="18" s="1"/>
  <c r="U192" i="18" a="1"/>
  <c r="U192" i="18" s="1"/>
  <c r="V192" i="18" a="1"/>
  <c r="V192" i="18" s="1"/>
  <c r="W192" i="18" a="1"/>
  <c r="W192" i="18" s="1"/>
  <c r="X192" i="18" a="1"/>
  <c r="X192" i="18" s="1"/>
  <c r="K193" i="18" a="1"/>
  <c r="K193" i="18" s="1"/>
  <c r="L193" i="18" a="1"/>
  <c r="L193" i="18" s="1"/>
  <c r="M193" i="18" a="1"/>
  <c r="M193" i="18" s="1"/>
  <c r="N193" i="18" a="1"/>
  <c r="N193" i="18" s="1"/>
  <c r="O193" i="18" a="1"/>
  <c r="O193" i="18" s="1"/>
  <c r="P193" i="18" a="1"/>
  <c r="P193" i="18" s="1"/>
  <c r="Q193" i="18" a="1"/>
  <c r="Q193" i="18" s="1"/>
  <c r="R193" i="18" a="1"/>
  <c r="R193" i="18" s="1"/>
  <c r="U193" i="18" a="1"/>
  <c r="U193" i="18" s="1"/>
  <c r="V193" i="18" a="1"/>
  <c r="V193" i="18" s="1"/>
  <c r="W193" i="18" a="1"/>
  <c r="W193" i="18" s="1"/>
  <c r="X193" i="18" a="1"/>
  <c r="X193" i="18" s="1"/>
  <c r="K194" i="18" a="1"/>
  <c r="K194" i="18" s="1"/>
  <c r="L194" i="18" a="1"/>
  <c r="L194" i="18" s="1"/>
  <c r="M194" i="18" a="1"/>
  <c r="M194" i="18" s="1"/>
  <c r="N194" i="18" a="1"/>
  <c r="N194" i="18" s="1"/>
  <c r="O194" i="18" a="1"/>
  <c r="O194" i="18" s="1"/>
  <c r="P194" i="18" a="1"/>
  <c r="P194" i="18" s="1"/>
  <c r="Q194" i="18" a="1"/>
  <c r="Q194" i="18" s="1"/>
  <c r="R194" i="18" a="1"/>
  <c r="R194" i="18" s="1"/>
  <c r="U194" i="18" a="1"/>
  <c r="U194" i="18" s="1"/>
  <c r="V194" i="18" a="1"/>
  <c r="V194" i="18" s="1"/>
  <c r="W194" i="18" a="1"/>
  <c r="W194" i="18" s="1"/>
  <c r="X194" i="18" a="1"/>
  <c r="X194" i="18" s="1"/>
  <c r="K195" i="18" a="1"/>
  <c r="K195" i="18" s="1"/>
  <c r="L195" i="18" a="1"/>
  <c r="L195" i="18" s="1"/>
  <c r="M195" i="18" a="1"/>
  <c r="M195" i="18" s="1"/>
  <c r="N195" i="18" a="1"/>
  <c r="N195" i="18" s="1"/>
  <c r="O195" i="18" a="1"/>
  <c r="O195" i="18" s="1"/>
  <c r="P195" i="18" a="1"/>
  <c r="P195" i="18" s="1"/>
  <c r="Q195" i="18" a="1"/>
  <c r="Q195" i="18" s="1"/>
  <c r="R195" i="18" a="1"/>
  <c r="R195" i="18" s="1"/>
  <c r="U195" i="18" a="1"/>
  <c r="U195" i="18" s="1"/>
  <c r="V195" i="18" a="1"/>
  <c r="V195" i="18" s="1"/>
  <c r="W195" i="18" a="1"/>
  <c r="W195" i="18" s="1"/>
  <c r="X195" i="18" a="1"/>
  <c r="X195" i="18" s="1"/>
  <c r="K196" i="18" a="1"/>
  <c r="K196" i="18" s="1"/>
  <c r="L196" i="18" a="1"/>
  <c r="L196" i="18" s="1"/>
  <c r="M196" i="18" a="1"/>
  <c r="M196" i="18" s="1"/>
  <c r="N196" i="18" a="1"/>
  <c r="N196" i="18" s="1"/>
  <c r="O196" i="18" a="1"/>
  <c r="O196" i="18" s="1"/>
  <c r="P196" i="18" a="1"/>
  <c r="P196" i="18" s="1"/>
  <c r="Q196" i="18" a="1"/>
  <c r="Q196" i="18" s="1"/>
  <c r="R196" i="18" a="1"/>
  <c r="R196" i="18" s="1"/>
  <c r="U196" i="18" a="1"/>
  <c r="U196" i="18" s="1"/>
  <c r="V196" i="18" a="1"/>
  <c r="V196" i="18" s="1"/>
  <c r="W196" i="18" a="1"/>
  <c r="W196" i="18" s="1"/>
  <c r="X196" i="18" a="1"/>
  <c r="X196" i="18" s="1"/>
  <c r="K197" i="18" a="1"/>
  <c r="K197" i="18" s="1"/>
  <c r="L197" i="18" a="1"/>
  <c r="L197" i="18" s="1"/>
  <c r="M197" i="18" a="1"/>
  <c r="M197" i="18" s="1"/>
  <c r="N197" i="18" a="1"/>
  <c r="N197" i="18" s="1"/>
  <c r="O197" i="18" a="1"/>
  <c r="O197" i="18" s="1"/>
  <c r="P197" i="18" a="1"/>
  <c r="P197" i="18" s="1"/>
  <c r="Q197" i="18" a="1"/>
  <c r="Q197" i="18" s="1"/>
  <c r="R197" i="18" a="1"/>
  <c r="R197" i="18" s="1"/>
  <c r="U197" i="18" a="1"/>
  <c r="U197" i="18" s="1"/>
  <c r="V197" i="18" a="1"/>
  <c r="V197" i="18" s="1"/>
  <c r="W197" i="18" a="1"/>
  <c r="W197" i="18" s="1"/>
  <c r="X197" i="18" a="1"/>
  <c r="X197" i="18" s="1"/>
  <c r="K198" i="18" a="1"/>
  <c r="K198" i="18" s="1"/>
  <c r="L198" i="18" a="1"/>
  <c r="L198" i="18" s="1"/>
  <c r="M198" i="18" a="1"/>
  <c r="M198" i="18" s="1"/>
  <c r="N198" i="18" a="1"/>
  <c r="N198" i="18" s="1"/>
  <c r="O198" i="18" a="1"/>
  <c r="O198" i="18" s="1"/>
  <c r="P198" i="18" a="1"/>
  <c r="P198" i="18" s="1"/>
  <c r="Q198" i="18" a="1"/>
  <c r="Q198" i="18" s="1"/>
  <c r="R198" i="18" a="1"/>
  <c r="R198" i="18" s="1"/>
  <c r="U198" i="18" a="1"/>
  <c r="U198" i="18" s="1"/>
  <c r="V198" i="18" a="1"/>
  <c r="V198" i="18" s="1"/>
  <c r="W198" i="18" a="1"/>
  <c r="W198" i="18" s="1"/>
  <c r="X198" i="18" a="1"/>
  <c r="X198" i="18" s="1"/>
  <c r="K199" i="18" a="1"/>
  <c r="K199" i="18" s="1"/>
  <c r="L199" i="18" a="1"/>
  <c r="L199" i="18" s="1"/>
  <c r="M199" i="18" a="1"/>
  <c r="M199" i="18" s="1"/>
  <c r="N199" i="18" a="1"/>
  <c r="N199" i="18" s="1"/>
  <c r="O199" i="18" a="1"/>
  <c r="O199" i="18" s="1"/>
  <c r="P199" i="18" a="1"/>
  <c r="P199" i="18" s="1"/>
  <c r="Q199" i="18" a="1"/>
  <c r="Q199" i="18" s="1"/>
  <c r="R199" i="18" a="1"/>
  <c r="R199" i="18" s="1"/>
  <c r="U199" i="18" a="1"/>
  <c r="U199" i="18" s="1"/>
  <c r="V199" i="18" a="1"/>
  <c r="V199" i="18" s="1"/>
  <c r="W199" i="18" a="1"/>
  <c r="W199" i="18" s="1"/>
  <c r="X199" i="18" a="1"/>
  <c r="X199" i="18" s="1"/>
  <c r="K200" i="18" a="1"/>
  <c r="K200" i="18" s="1"/>
  <c r="L200" i="18" a="1"/>
  <c r="L200" i="18" s="1"/>
  <c r="M200" i="18" a="1"/>
  <c r="M200" i="18" s="1"/>
  <c r="N200" i="18" a="1"/>
  <c r="N200" i="18" s="1"/>
  <c r="O200" i="18" a="1"/>
  <c r="O200" i="18" s="1"/>
  <c r="P200" i="18" a="1"/>
  <c r="P200" i="18" s="1"/>
  <c r="Q200" i="18" a="1"/>
  <c r="Q200" i="18" s="1"/>
  <c r="R200" i="18" a="1"/>
  <c r="R200" i="18" s="1"/>
  <c r="U200" i="18" a="1"/>
  <c r="U200" i="18" s="1"/>
  <c r="V200" i="18" a="1"/>
  <c r="V200" i="18" s="1"/>
  <c r="W200" i="18" a="1"/>
  <c r="W200" i="18" s="1"/>
  <c r="X200" i="18" a="1"/>
  <c r="X200" i="18" s="1"/>
  <c r="K201" i="18" a="1"/>
  <c r="K201" i="18" s="1"/>
  <c r="L201" i="18" a="1"/>
  <c r="L201" i="18" s="1"/>
  <c r="M201" i="18" a="1"/>
  <c r="M201" i="18" s="1"/>
  <c r="N201" i="18" a="1"/>
  <c r="N201" i="18" s="1"/>
  <c r="O201" i="18" a="1"/>
  <c r="O201" i="18" s="1"/>
  <c r="P201" i="18" a="1"/>
  <c r="P201" i="18" s="1"/>
  <c r="Q201" i="18" a="1"/>
  <c r="Q201" i="18" s="1"/>
  <c r="R201" i="18" a="1"/>
  <c r="R201" i="18" s="1"/>
  <c r="U201" i="18" a="1"/>
  <c r="U201" i="18" s="1"/>
  <c r="V201" i="18" a="1"/>
  <c r="V201" i="18" s="1"/>
  <c r="W201" i="18" a="1"/>
  <c r="W201" i="18" s="1"/>
  <c r="X201" i="18" a="1"/>
  <c r="X201" i="18" s="1"/>
  <c r="K202" i="18" a="1"/>
  <c r="K202" i="18" s="1"/>
  <c r="L202" i="18" a="1"/>
  <c r="L202" i="18" s="1"/>
  <c r="M202" i="18" a="1"/>
  <c r="M202" i="18" s="1"/>
  <c r="N202" i="18" a="1"/>
  <c r="N202" i="18" s="1"/>
  <c r="O202" i="18" a="1"/>
  <c r="O202" i="18" s="1"/>
  <c r="P202" i="18" a="1"/>
  <c r="P202" i="18" s="1"/>
  <c r="Q202" i="18" a="1"/>
  <c r="Q202" i="18" s="1"/>
  <c r="R202" i="18" a="1"/>
  <c r="R202" i="18" s="1"/>
  <c r="U202" i="18" a="1"/>
  <c r="U202" i="18" s="1"/>
  <c r="V202" i="18" a="1"/>
  <c r="V202" i="18" s="1"/>
  <c r="W202" i="18" a="1"/>
  <c r="W202" i="18" s="1"/>
  <c r="X202" i="18" a="1"/>
  <c r="X202" i="18" s="1"/>
  <c r="K203" i="18" a="1"/>
  <c r="K203" i="18" s="1"/>
  <c r="L203" i="18" a="1"/>
  <c r="L203" i="18" s="1"/>
  <c r="M203" i="18" a="1"/>
  <c r="M203" i="18" s="1"/>
  <c r="N203" i="18" a="1"/>
  <c r="N203" i="18" s="1"/>
  <c r="O203" i="18" a="1"/>
  <c r="O203" i="18" s="1"/>
  <c r="P203" i="18" a="1"/>
  <c r="P203" i="18" s="1"/>
  <c r="Q203" i="18" a="1"/>
  <c r="Q203" i="18" s="1"/>
  <c r="R203" i="18" a="1"/>
  <c r="R203" i="18" s="1"/>
  <c r="U203" i="18" a="1"/>
  <c r="U203" i="18" s="1"/>
  <c r="V203" i="18" a="1"/>
  <c r="V203" i="18" s="1"/>
  <c r="W203" i="18" a="1"/>
  <c r="W203" i="18" s="1"/>
  <c r="X203" i="18" a="1"/>
  <c r="X203" i="18" s="1"/>
  <c r="K204" i="18" a="1"/>
  <c r="K204" i="18" s="1"/>
  <c r="L204" i="18" a="1"/>
  <c r="L204" i="18" s="1"/>
  <c r="M204" i="18" a="1"/>
  <c r="M204" i="18" s="1"/>
  <c r="N204" i="18" a="1"/>
  <c r="N204" i="18" s="1"/>
  <c r="O204" i="18" a="1"/>
  <c r="O204" i="18" s="1"/>
  <c r="P204" i="18" a="1"/>
  <c r="P204" i="18" s="1"/>
  <c r="Q204" i="18" a="1"/>
  <c r="Q204" i="18" s="1"/>
  <c r="R204" i="18" a="1"/>
  <c r="R204" i="18" s="1"/>
  <c r="U204" i="18" a="1"/>
  <c r="U204" i="18" s="1"/>
  <c r="V204" i="18" a="1"/>
  <c r="V204" i="18" s="1"/>
  <c r="W204" i="18" a="1"/>
  <c r="W204" i="18" s="1"/>
  <c r="X204" i="18" a="1"/>
  <c r="X204" i="18" s="1"/>
  <c r="K205" i="18" a="1"/>
  <c r="K205" i="18" s="1"/>
  <c r="L205" i="18" a="1"/>
  <c r="L205" i="18" s="1"/>
  <c r="M205" i="18" a="1"/>
  <c r="M205" i="18" s="1"/>
  <c r="N205" i="18" a="1"/>
  <c r="N205" i="18" s="1"/>
  <c r="O205" i="18" a="1"/>
  <c r="O205" i="18" s="1"/>
  <c r="P205" i="18" a="1"/>
  <c r="P205" i="18" s="1"/>
  <c r="Q205" i="18" a="1"/>
  <c r="Q205" i="18" s="1"/>
  <c r="R205" i="18" a="1"/>
  <c r="R205" i="18" s="1"/>
  <c r="U205" i="18" a="1"/>
  <c r="U205" i="18" s="1"/>
  <c r="V205" i="18" a="1"/>
  <c r="V205" i="18" s="1"/>
  <c r="W205" i="18" a="1"/>
  <c r="W205" i="18" s="1"/>
  <c r="X205" i="18" a="1"/>
  <c r="X205" i="18" s="1"/>
  <c r="K206" i="18" a="1"/>
  <c r="K206" i="18" s="1"/>
  <c r="L206" i="18" a="1"/>
  <c r="L206" i="18" s="1"/>
  <c r="M206" i="18" a="1"/>
  <c r="M206" i="18" s="1"/>
  <c r="N206" i="18" a="1"/>
  <c r="N206" i="18" s="1"/>
  <c r="O206" i="18" a="1"/>
  <c r="O206" i="18" s="1"/>
  <c r="P206" i="18" a="1"/>
  <c r="P206" i="18" s="1"/>
  <c r="Q206" i="18" a="1"/>
  <c r="Q206" i="18" s="1"/>
  <c r="R206" i="18" a="1"/>
  <c r="R206" i="18" s="1"/>
  <c r="U206" i="18" a="1"/>
  <c r="U206" i="18" s="1"/>
  <c r="V206" i="18" a="1"/>
  <c r="V206" i="18" s="1"/>
  <c r="W206" i="18" a="1"/>
  <c r="W206" i="18" s="1"/>
  <c r="X206" i="18" a="1"/>
  <c r="X206" i="18" s="1"/>
  <c r="K207" i="18" a="1"/>
  <c r="K207" i="18" s="1"/>
  <c r="L207" i="18" a="1"/>
  <c r="L207" i="18" s="1"/>
  <c r="M207" i="18" a="1"/>
  <c r="M207" i="18" s="1"/>
  <c r="N207" i="18" a="1"/>
  <c r="N207" i="18" s="1"/>
  <c r="O207" i="18" a="1"/>
  <c r="O207" i="18" s="1"/>
  <c r="P207" i="18" a="1"/>
  <c r="P207" i="18" s="1"/>
  <c r="Q207" i="18" a="1"/>
  <c r="Q207" i="18" s="1"/>
  <c r="R207" i="18" a="1"/>
  <c r="R207" i="18" s="1"/>
  <c r="U207" i="18" a="1"/>
  <c r="U207" i="18" s="1"/>
  <c r="V207" i="18" a="1"/>
  <c r="V207" i="18" s="1"/>
  <c r="W207" i="18" a="1"/>
  <c r="W207" i="18" s="1"/>
  <c r="X207" i="18" a="1"/>
  <c r="X207" i="18" s="1"/>
  <c r="K208" i="18" a="1"/>
  <c r="K208" i="18" s="1"/>
  <c r="L208" i="18" a="1"/>
  <c r="L208" i="18" s="1"/>
  <c r="M208" i="18" a="1"/>
  <c r="M208" i="18" s="1"/>
  <c r="N208" i="18" a="1"/>
  <c r="N208" i="18" s="1"/>
  <c r="O208" i="18" a="1"/>
  <c r="O208" i="18" s="1"/>
  <c r="P208" i="18" a="1"/>
  <c r="P208" i="18" s="1"/>
  <c r="Q208" i="18" a="1"/>
  <c r="Q208" i="18" s="1"/>
  <c r="R208" i="18" a="1"/>
  <c r="R208" i="18" s="1"/>
  <c r="U208" i="18" a="1"/>
  <c r="U208" i="18" s="1"/>
  <c r="V208" i="18" a="1"/>
  <c r="V208" i="18" s="1"/>
  <c r="W208" i="18" a="1"/>
  <c r="W208" i="18" s="1"/>
  <c r="X208" i="18" a="1"/>
  <c r="X208" i="18" s="1"/>
  <c r="K209" i="18" a="1"/>
  <c r="K209" i="18" s="1"/>
  <c r="L209" i="18" a="1"/>
  <c r="L209" i="18" s="1"/>
  <c r="M209" i="18" a="1"/>
  <c r="M209" i="18" s="1"/>
  <c r="N209" i="18" a="1"/>
  <c r="N209" i="18" s="1"/>
  <c r="O209" i="18" a="1"/>
  <c r="O209" i="18" s="1"/>
  <c r="P209" i="18" a="1"/>
  <c r="P209" i="18" s="1"/>
  <c r="Q209" i="18" a="1"/>
  <c r="Q209" i="18" s="1"/>
  <c r="R209" i="18" a="1"/>
  <c r="R209" i="18" s="1"/>
  <c r="U209" i="18" a="1"/>
  <c r="U209" i="18" s="1"/>
  <c r="V209" i="18" a="1"/>
  <c r="V209" i="18" s="1"/>
  <c r="W209" i="18" a="1"/>
  <c r="W209" i="18" s="1"/>
  <c r="X209" i="18" a="1"/>
  <c r="X209" i="18" s="1"/>
  <c r="K210" i="18" a="1"/>
  <c r="K210" i="18" s="1"/>
  <c r="L210" i="18" a="1"/>
  <c r="L210" i="18" s="1"/>
  <c r="M210" i="18" a="1"/>
  <c r="M210" i="18" s="1"/>
  <c r="N210" i="18" a="1"/>
  <c r="N210" i="18" s="1"/>
  <c r="O210" i="18" a="1"/>
  <c r="O210" i="18" s="1"/>
  <c r="P210" i="18" a="1"/>
  <c r="P210" i="18" s="1"/>
  <c r="Q210" i="18" a="1"/>
  <c r="Q210" i="18" s="1"/>
  <c r="R210" i="18" a="1"/>
  <c r="R210" i="18" s="1"/>
  <c r="U210" i="18" a="1"/>
  <c r="U210" i="18" s="1"/>
  <c r="V210" i="18" a="1"/>
  <c r="V210" i="18" s="1"/>
  <c r="W210" i="18" a="1"/>
  <c r="W210" i="18" s="1"/>
  <c r="X210" i="18" a="1"/>
  <c r="X210" i="18" s="1"/>
  <c r="K211" i="18" a="1"/>
  <c r="K211" i="18" s="1"/>
  <c r="L211" i="18" a="1"/>
  <c r="L211" i="18" s="1"/>
  <c r="M211" i="18" a="1"/>
  <c r="M211" i="18" s="1"/>
  <c r="N211" i="18" a="1"/>
  <c r="N211" i="18" s="1"/>
  <c r="O211" i="18" a="1"/>
  <c r="O211" i="18" s="1"/>
  <c r="P211" i="18" a="1"/>
  <c r="P211" i="18" s="1"/>
  <c r="Q211" i="18" a="1"/>
  <c r="Q211" i="18" s="1"/>
  <c r="R211" i="18" a="1"/>
  <c r="R211" i="18" s="1"/>
  <c r="U211" i="18" a="1"/>
  <c r="U211" i="18" s="1"/>
  <c r="V211" i="18" a="1"/>
  <c r="V211" i="18" s="1"/>
  <c r="W211" i="18" a="1"/>
  <c r="W211" i="18" s="1"/>
  <c r="X211" i="18" a="1"/>
  <c r="X211" i="18" s="1"/>
  <c r="K212" i="18" a="1"/>
  <c r="K212" i="18" s="1"/>
  <c r="L212" i="18" a="1"/>
  <c r="L212" i="18" s="1"/>
  <c r="M212" i="18" a="1"/>
  <c r="M212" i="18" s="1"/>
  <c r="N212" i="18" a="1"/>
  <c r="N212" i="18" s="1"/>
  <c r="O212" i="18" a="1"/>
  <c r="O212" i="18" s="1"/>
  <c r="P212" i="18" a="1"/>
  <c r="P212" i="18" s="1"/>
  <c r="Q212" i="18" a="1"/>
  <c r="Q212" i="18" s="1"/>
  <c r="R212" i="18" a="1"/>
  <c r="R212" i="18" s="1"/>
  <c r="U212" i="18" a="1"/>
  <c r="U212" i="18" s="1"/>
  <c r="V212" i="18" a="1"/>
  <c r="V212" i="18" s="1"/>
  <c r="W212" i="18" a="1"/>
  <c r="W212" i="18" s="1"/>
  <c r="X212" i="18" a="1"/>
  <c r="X212" i="18" s="1"/>
  <c r="K213" i="18" a="1"/>
  <c r="K213" i="18" s="1"/>
  <c r="L213" i="18" a="1"/>
  <c r="L213" i="18" s="1"/>
  <c r="M213" i="18" a="1"/>
  <c r="M213" i="18" s="1"/>
  <c r="N213" i="18" a="1"/>
  <c r="N213" i="18" s="1"/>
  <c r="O213" i="18" a="1"/>
  <c r="O213" i="18" s="1"/>
  <c r="P213" i="18" a="1"/>
  <c r="P213" i="18" s="1"/>
  <c r="Q213" i="18" a="1"/>
  <c r="Q213" i="18" s="1"/>
  <c r="R213" i="18" a="1"/>
  <c r="R213" i="18" s="1"/>
  <c r="U213" i="18" a="1"/>
  <c r="U213" i="18" s="1"/>
  <c r="V213" i="18" a="1"/>
  <c r="V213" i="18" s="1"/>
  <c r="W213" i="18" a="1"/>
  <c r="W213" i="18" s="1"/>
  <c r="X213" i="18" a="1"/>
  <c r="X213" i="18" s="1"/>
  <c r="K214" i="18" a="1"/>
  <c r="K214" i="18" s="1"/>
  <c r="L214" i="18" a="1"/>
  <c r="L214" i="18" s="1"/>
  <c r="M214" i="18" a="1"/>
  <c r="M214" i="18" s="1"/>
  <c r="N214" i="18" a="1"/>
  <c r="N214" i="18" s="1"/>
  <c r="O214" i="18" a="1"/>
  <c r="O214" i="18" s="1"/>
  <c r="P214" i="18" a="1"/>
  <c r="P214" i="18" s="1"/>
  <c r="Q214" i="18" a="1"/>
  <c r="Q214" i="18" s="1"/>
  <c r="R214" i="18" a="1"/>
  <c r="R214" i="18" s="1"/>
  <c r="U214" i="18" a="1"/>
  <c r="U214" i="18" s="1"/>
  <c r="V214" i="18" a="1"/>
  <c r="V214" i="18" s="1"/>
  <c r="W214" i="18" a="1"/>
  <c r="W214" i="18" s="1"/>
  <c r="X214" i="18" a="1"/>
  <c r="X214" i="18" s="1"/>
  <c r="K215" i="18" a="1"/>
  <c r="K215" i="18" s="1"/>
  <c r="L215" i="18" a="1"/>
  <c r="L215" i="18" s="1"/>
  <c r="M215" i="18" a="1"/>
  <c r="M215" i="18" s="1"/>
  <c r="N215" i="18" a="1"/>
  <c r="N215" i="18" s="1"/>
  <c r="O215" i="18" a="1"/>
  <c r="O215" i="18" s="1"/>
  <c r="P215" i="18" a="1"/>
  <c r="P215" i="18" s="1"/>
  <c r="Q215" i="18" a="1"/>
  <c r="Q215" i="18" s="1"/>
  <c r="R215" i="18" a="1"/>
  <c r="R215" i="18" s="1"/>
  <c r="U215" i="18" a="1"/>
  <c r="U215" i="18" s="1"/>
  <c r="V215" i="18" a="1"/>
  <c r="V215" i="18" s="1"/>
  <c r="W215" i="18" a="1"/>
  <c r="W215" i="18" s="1"/>
  <c r="X215" i="18" a="1"/>
  <c r="X215" i="18" s="1"/>
  <c r="K216" i="18" a="1"/>
  <c r="K216" i="18" s="1"/>
  <c r="L216" i="18" a="1"/>
  <c r="L216" i="18" s="1"/>
  <c r="M216" i="18" a="1"/>
  <c r="M216" i="18" s="1"/>
  <c r="N216" i="18" a="1"/>
  <c r="N216" i="18" s="1"/>
  <c r="O216" i="18" a="1"/>
  <c r="O216" i="18" s="1"/>
  <c r="P216" i="18" a="1"/>
  <c r="P216" i="18" s="1"/>
  <c r="Q216" i="18" a="1"/>
  <c r="Q216" i="18" s="1"/>
  <c r="R216" i="18" a="1"/>
  <c r="R216" i="18" s="1"/>
  <c r="U216" i="18" a="1"/>
  <c r="U216" i="18" s="1"/>
  <c r="V216" i="18" a="1"/>
  <c r="V216" i="18" s="1"/>
  <c r="W216" i="18" a="1"/>
  <c r="W216" i="18" s="1"/>
  <c r="X216" i="18" a="1"/>
  <c r="X216" i="18" s="1"/>
  <c r="K217" i="18" a="1"/>
  <c r="K217" i="18" s="1"/>
  <c r="L217" i="18" a="1"/>
  <c r="L217" i="18" s="1"/>
  <c r="M217" i="18" a="1"/>
  <c r="M217" i="18" s="1"/>
  <c r="N217" i="18" a="1"/>
  <c r="N217" i="18" s="1"/>
  <c r="O217" i="18" a="1"/>
  <c r="O217" i="18" s="1"/>
  <c r="P217" i="18" a="1"/>
  <c r="P217" i="18" s="1"/>
  <c r="Q217" i="18" a="1"/>
  <c r="Q217" i="18" s="1"/>
  <c r="R217" i="18" a="1"/>
  <c r="R217" i="18" s="1"/>
  <c r="U217" i="18" a="1"/>
  <c r="U217" i="18" s="1"/>
  <c r="V217" i="18" a="1"/>
  <c r="V217" i="18" s="1"/>
  <c r="W217" i="18" a="1"/>
  <c r="W217" i="18" s="1"/>
  <c r="X217" i="18" a="1"/>
  <c r="X217" i="18" s="1"/>
  <c r="K218" i="18" a="1"/>
  <c r="K218" i="18" s="1"/>
  <c r="L218" i="18" a="1"/>
  <c r="L218" i="18" s="1"/>
  <c r="M218" i="18" a="1"/>
  <c r="M218" i="18" s="1"/>
  <c r="N218" i="18" a="1"/>
  <c r="N218" i="18" s="1"/>
  <c r="O218" i="18" a="1"/>
  <c r="O218" i="18" s="1"/>
  <c r="P218" i="18" a="1"/>
  <c r="P218" i="18" s="1"/>
  <c r="Q218" i="18" a="1"/>
  <c r="Q218" i="18" s="1"/>
  <c r="R218" i="18" a="1"/>
  <c r="R218" i="18" s="1"/>
  <c r="U218" i="18" a="1"/>
  <c r="U218" i="18" s="1"/>
  <c r="V218" i="18" a="1"/>
  <c r="V218" i="18" s="1"/>
  <c r="W218" i="18" a="1"/>
  <c r="W218" i="18" s="1"/>
  <c r="X218" i="18" a="1"/>
  <c r="X218" i="18" s="1"/>
  <c r="K219" i="18" a="1"/>
  <c r="K219" i="18" s="1"/>
  <c r="L219" i="18" a="1"/>
  <c r="L219" i="18" s="1"/>
  <c r="M219" i="18" a="1"/>
  <c r="M219" i="18" s="1"/>
  <c r="N219" i="18" a="1"/>
  <c r="N219" i="18" s="1"/>
  <c r="O219" i="18" a="1"/>
  <c r="O219" i="18" s="1"/>
  <c r="P219" i="18" a="1"/>
  <c r="P219" i="18" s="1"/>
  <c r="Q219" i="18" a="1"/>
  <c r="Q219" i="18" s="1"/>
  <c r="R219" i="18" a="1"/>
  <c r="R219" i="18" s="1"/>
  <c r="U219" i="18" a="1"/>
  <c r="U219" i="18" s="1"/>
  <c r="V219" i="18" a="1"/>
  <c r="V219" i="18" s="1"/>
  <c r="W219" i="18" a="1"/>
  <c r="W219" i="18" s="1"/>
  <c r="X219" i="18" a="1"/>
  <c r="X219" i="18" s="1"/>
  <c r="K220" i="18" a="1"/>
  <c r="K220" i="18" s="1"/>
  <c r="L220" i="18" a="1"/>
  <c r="L220" i="18" s="1"/>
  <c r="M220" i="18" a="1"/>
  <c r="M220" i="18" s="1"/>
  <c r="N220" i="18" a="1"/>
  <c r="N220" i="18" s="1"/>
  <c r="O220" i="18" a="1"/>
  <c r="O220" i="18" s="1"/>
  <c r="P220" i="18" a="1"/>
  <c r="P220" i="18" s="1"/>
  <c r="Q220" i="18" a="1"/>
  <c r="Q220" i="18" s="1"/>
  <c r="R220" i="18" a="1"/>
  <c r="R220" i="18" s="1"/>
  <c r="U220" i="18" a="1"/>
  <c r="U220" i="18" s="1"/>
  <c r="V220" i="18" a="1"/>
  <c r="V220" i="18" s="1"/>
  <c r="W220" i="18" a="1"/>
  <c r="W220" i="18" s="1"/>
  <c r="X220" i="18" a="1"/>
  <c r="X220" i="18" s="1"/>
  <c r="K221" i="18" a="1"/>
  <c r="K221" i="18" s="1"/>
  <c r="L221" i="18" a="1"/>
  <c r="L221" i="18" s="1"/>
  <c r="M221" i="18" a="1"/>
  <c r="M221" i="18" s="1"/>
  <c r="N221" i="18" a="1"/>
  <c r="N221" i="18" s="1"/>
  <c r="O221" i="18" a="1"/>
  <c r="O221" i="18" s="1"/>
  <c r="P221" i="18" a="1"/>
  <c r="P221" i="18" s="1"/>
  <c r="Q221" i="18" a="1"/>
  <c r="Q221" i="18" s="1"/>
  <c r="R221" i="18" a="1"/>
  <c r="R221" i="18" s="1"/>
  <c r="U221" i="18" a="1"/>
  <c r="U221" i="18" s="1"/>
  <c r="V221" i="18" a="1"/>
  <c r="V221" i="18" s="1"/>
  <c r="W221" i="18" a="1"/>
  <c r="W221" i="18" s="1"/>
  <c r="X221" i="18" a="1"/>
  <c r="X221" i="18" s="1"/>
  <c r="K222" i="18" a="1"/>
  <c r="K222" i="18" s="1"/>
  <c r="L222" i="18" a="1"/>
  <c r="L222" i="18" s="1"/>
  <c r="M222" i="18" a="1"/>
  <c r="M222" i="18" s="1"/>
  <c r="N222" i="18" a="1"/>
  <c r="N222" i="18" s="1"/>
  <c r="O222" i="18" a="1"/>
  <c r="O222" i="18" s="1"/>
  <c r="P222" i="18" a="1"/>
  <c r="P222" i="18" s="1"/>
  <c r="Q222" i="18" a="1"/>
  <c r="Q222" i="18" s="1"/>
  <c r="R222" i="18" a="1"/>
  <c r="R222" i="18" s="1"/>
  <c r="U222" i="18" a="1"/>
  <c r="U222" i="18" s="1"/>
  <c r="V222" i="18" a="1"/>
  <c r="V222" i="18" s="1"/>
  <c r="W222" i="18" a="1"/>
  <c r="W222" i="18" s="1"/>
  <c r="X222" i="18" a="1"/>
  <c r="X222" i="18" s="1"/>
  <c r="K223" i="18" a="1"/>
  <c r="K223" i="18" s="1"/>
  <c r="L223" i="18" a="1"/>
  <c r="L223" i="18" s="1"/>
  <c r="M223" i="18" a="1"/>
  <c r="M223" i="18" s="1"/>
  <c r="N223" i="18" a="1"/>
  <c r="N223" i="18" s="1"/>
  <c r="O223" i="18" a="1"/>
  <c r="O223" i="18" s="1"/>
  <c r="P223" i="18" a="1"/>
  <c r="P223" i="18" s="1"/>
  <c r="Q223" i="18" a="1"/>
  <c r="Q223" i="18" s="1"/>
  <c r="R223" i="18" a="1"/>
  <c r="R223" i="18" s="1"/>
  <c r="U223" i="18" a="1"/>
  <c r="U223" i="18" s="1"/>
  <c r="V223" i="18" a="1"/>
  <c r="V223" i="18" s="1"/>
  <c r="W223" i="18" a="1"/>
  <c r="W223" i="18" s="1"/>
  <c r="X223" i="18" a="1"/>
  <c r="X223" i="18" s="1"/>
  <c r="K224" i="18" a="1"/>
  <c r="K224" i="18" s="1"/>
  <c r="L224" i="18" a="1"/>
  <c r="L224" i="18" s="1"/>
  <c r="M224" i="18" a="1"/>
  <c r="M224" i="18" s="1"/>
  <c r="N224" i="18" a="1"/>
  <c r="N224" i="18" s="1"/>
  <c r="O224" i="18" a="1"/>
  <c r="O224" i="18" s="1"/>
  <c r="P224" i="18" a="1"/>
  <c r="P224" i="18" s="1"/>
  <c r="Q224" i="18" a="1"/>
  <c r="Q224" i="18" s="1"/>
  <c r="R224" i="18" a="1"/>
  <c r="R224" i="18" s="1"/>
  <c r="U224" i="18" a="1"/>
  <c r="U224" i="18" s="1"/>
  <c r="V224" i="18" a="1"/>
  <c r="V224" i="18" s="1"/>
  <c r="W224" i="18" a="1"/>
  <c r="W224" i="18" s="1"/>
  <c r="X224" i="18" a="1"/>
  <c r="X224" i="18" s="1"/>
  <c r="K225" i="18" a="1"/>
  <c r="K225" i="18" s="1"/>
  <c r="L225" i="18" a="1"/>
  <c r="L225" i="18" s="1"/>
  <c r="M225" i="18" a="1"/>
  <c r="M225" i="18" s="1"/>
  <c r="N225" i="18" a="1"/>
  <c r="N225" i="18" s="1"/>
  <c r="O225" i="18" a="1"/>
  <c r="O225" i="18" s="1"/>
  <c r="P225" i="18" a="1"/>
  <c r="P225" i="18" s="1"/>
  <c r="Q225" i="18" a="1"/>
  <c r="Q225" i="18" s="1"/>
  <c r="R225" i="18" a="1"/>
  <c r="R225" i="18" s="1"/>
  <c r="U225" i="18" a="1"/>
  <c r="U225" i="18" s="1"/>
  <c r="V225" i="18" a="1"/>
  <c r="V225" i="18" s="1"/>
  <c r="W225" i="18" a="1"/>
  <c r="W225" i="18" s="1"/>
  <c r="X225" i="18" a="1"/>
  <c r="X225" i="18" s="1"/>
  <c r="K226" i="18" a="1"/>
  <c r="K226" i="18" s="1"/>
  <c r="L226" i="18" a="1"/>
  <c r="L226" i="18" s="1"/>
  <c r="M226" i="18" a="1"/>
  <c r="M226" i="18" s="1"/>
  <c r="N226" i="18" a="1"/>
  <c r="N226" i="18" s="1"/>
  <c r="O226" i="18" a="1"/>
  <c r="O226" i="18" s="1"/>
  <c r="P226" i="18" a="1"/>
  <c r="P226" i="18" s="1"/>
  <c r="Q226" i="18" a="1"/>
  <c r="Q226" i="18" s="1"/>
  <c r="R226" i="18" a="1"/>
  <c r="R226" i="18" s="1"/>
  <c r="U226" i="18" a="1"/>
  <c r="U226" i="18" s="1"/>
  <c r="V226" i="18" a="1"/>
  <c r="V226" i="18" s="1"/>
  <c r="W226" i="18" a="1"/>
  <c r="W226" i="18" s="1"/>
  <c r="X226" i="18" a="1"/>
  <c r="X226" i="18" s="1"/>
  <c r="K227" i="18" a="1"/>
  <c r="K227" i="18" s="1"/>
  <c r="L227" i="18" a="1"/>
  <c r="L227" i="18" s="1"/>
  <c r="M227" i="18" a="1"/>
  <c r="M227" i="18" s="1"/>
  <c r="N227" i="18" a="1"/>
  <c r="N227" i="18" s="1"/>
  <c r="O227" i="18" a="1"/>
  <c r="O227" i="18" s="1"/>
  <c r="P227" i="18" a="1"/>
  <c r="P227" i="18" s="1"/>
  <c r="Q227" i="18" a="1"/>
  <c r="Q227" i="18" s="1"/>
  <c r="R227" i="18" a="1"/>
  <c r="R227" i="18" s="1"/>
  <c r="U227" i="18" a="1"/>
  <c r="U227" i="18" s="1"/>
  <c r="V227" i="18" a="1"/>
  <c r="V227" i="18" s="1"/>
  <c r="W227" i="18" a="1"/>
  <c r="W227" i="18" s="1"/>
  <c r="X227" i="18" a="1"/>
  <c r="X227" i="18" s="1"/>
  <c r="K228" i="18" a="1"/>
  <c r="K228" i="18" s="1"/>
  <c r="L228" i="18" a="1"/>
  <c r="L228" i="18" s="1"/>
  <c r="M228" i="18" a="1"/>
  <c r="M228" i="18" s="1"/>
  <c r="N228" i="18" a="1"/>
  <c r="N228" i="18" s="1"/>
  <c r="O228" i="18" a="1"/>
  <c r="O228" i="18" s="1"/>
  <c r="P228" i="18" a="1"/>
  <c r="P228" i="18" s="1"/>
  <c r="Q228" i="18" a="1"/>
  <c r="Q228" i="18" s="1"/>
  <c r="R228" i="18" a="1"/>
  <c r="R228" i="18" s="1"/>
  <c r="U228" i="18" a="1"/>
  <c r="U228" i="18" s="1"/>
  <c r="V228" i="18" a="1"/>
  <c r="V228" i="18" s="1"/>
  <c r="W228" i="18" a="1"/>
  <c r="W228" i="18" s="1"/>
  <c r="X228" i="18" a="1"/>
  <c r="X228" i="18" s="1"/>
  <c r="K229" i="18" a="1"/>
  <c r="K229" i="18" s="1"/>
  <c r="L229" i="18" a="1"/>
  <c r="L229" i="18" s="1"/>
  <c r="M229" i="18" a="1"/>
  <c r="M229" i="18" s="1"/>
  <c r="N229" i="18" a="1"/>
  <c r="N229" i="18" s="1"/>
  <c r="O229" i="18" a="1"/>
  <c r="O229" i="18" s="1"/>
  <c r="P229" i="18" a="1"/>
  <c r="P229" i="18" s="1"/>
  <c r="Q229" i="18" a="1"/>
  <c r="Q229" i="18" s="1"/>
  <c r="R229" i="18" a="1"/>
  <c r="R229" i="18" s="1"/>
  <c r="U229" i="18" a="1"/>
  <c r="U229" i="18" s="1"/>
  <c r="V229" i="18" a="1"/>
  <c r="V229" i="18" s="1"/>
  <c r="W229" i="18" a="1"/>
  <c r="W229" i="18" s="1"/>
  <c r="X229" i="18" a="1"/>
  <c r="X229" i="18" s="1"/>
  <c r="K230" i="18" a="1"/>
  <c r="K230" i="18" s="1"/>
  <c r="L230" i="18" a="1"/>
  <c r="L230" i="18" s="1"/>
  <c r="M230" i="18" a="1"/>
  <c r="M230" i="18" s="1"/>
  <c r="N230" i="18" a="1"/>
  <c r="N230" i="18" s="1"/>
  <c r="O230" i="18" a="1"/>
  <c r="O230" i="18" s="1"/>
  <c r="P230" i="18" a="1"/>
  <c r="P230" i="18" s="1"/>
  <c r="Q230" i="18" a="1"/>
  <c r="Q230" i="18" s="1"/>
  <c r="R230" i="18" a="1"/>
  <c r="R230" i="18" s="1"/>
  <c r="U230" i="18" a="1"/>
  <c r="U230" i="18" s="1"/>
  <c r="V230" i="18" a="1"/>
  <c r="V230" i="18" s="1"/>
  <c r="W230" i="18" a="1"/>
  <c r="W230" i="18" s="1"/>
  <c r="X230" i="18" a="1"/>
  <c r="X230" i="18" s="1"/>
  <c r="K231" i="18" a="1"/>
  <c r="K231" i="18" s="1"/>
  <c r="L231" i="18" a="1"/>
  <c r="L231" i="18" s="1"/>
  <c r="M231" i="18" a="1"/>
  <c r="M231" i="18" s="1"/>
  <c r="N231" i="18" a="1"/>
  <c r="N231" i="18" s="1"/>
  <c r="O231" i="18" a="1"/>
  <c r="O231" i="18" s="1"/>
  <c r="P231" i="18" a="1"/>
  <c r="P231" i="18" s="1"/>
  <c r="Q231" i="18" a="1"/>
  <c r="Q231" i="18" s="1"/>
  <c r="R231" i="18" a="1"/>
  <c r="R231" i="18" s="1"/>
  <c r="U231" i="18" a="1"/>
  <c r="U231" i="18" s="1"/>
  <c r="V231" i="18" a="1"/>
  <c r="V231" i="18" s="1"/>
  <c r="W231" i="18" a="1"/>
  <c r="W231" i="18" s="1"/>
  <c r="X231" i="18" a="1"/>
  <c r="X231" i="18" s="1"/>
  <c r="K232" i="18" a="1"/>
  <c r="K232" i="18" s="1"/>
  <c r="L232" i="18" a="1"/>
  <c r="L232" i="18" s="1"/>
  <c r="M232" i="18" a="1"/>
  <c r="M232" i="18" s="1"/>
  <c r="N232" i="18" a="1"/>
  <c r="N232" i="18" s="1"/>
  <c r="O232" i="18" a="1"/>
  <c r="O232" i="18" s="1"/>
  <c r="P232" i="18" a="1"/>
  <c r="P232" i="18" s="1"/>
  <c r="Q232" i="18" a="1"/>
  <c r="Q232" i="18" s="1"/>
  <c r="R232" i="18" a="1"/>
  <c r="R232" i="18" s="1"/>
  <c r="U232" i="18" a="1"/>
  <c r="U232" i="18" s="1"/>
  <c r="V232" i="18" a="1"/>
  <c r="V232" i="18" s="1"/>
  <c r="W232" i="18" a="1"/>
  <c r="W232" i="18" s="1"/>
  <c r="X232" i="18" a="1"/>
  <c r="X232" i="18" s="1"/>
  <c r="K233" i="18" a="1"/>
  <c r="K233" i="18" s="1"/>
  <c r="L233" i="18" a="1"/>
  <c r="L233" i="18" s="1"/>
  <c r="M233" i="18" a="1"/>
  <c r="M233" i="18" s="1"/>
  <c r="N233" i="18" a="1"/>
  <c r="N233" i="18" s="1"/>
  <c r="O233" i="18" a="1"/>
  <c r="O233" i="18" s="1"/>
  <c r="P233" i="18" a="1"/>
  <c r="P233" i="18" s="1"/>
  <c r="Q233" i="18" a="1"/>
  <c r="Q233" i="18" s="1"/>
  <c r="R233" i="18" a="1"/>
  <c r="R233" i="18" s="1"/>
  <c r="U233" i="18" a="1"/>
  <c r="U233" i="18" s="1"/>
  <c r="V233" i="18" a="1"/>
  <c r="V233" i="18" s="1"/>
  <c r="W233" i="18" a="1"/>
  <c r="W233" i="18" s="1"/>
  <c r="X233" i="18" a="1"/>
  <c r="X233" i="18" s="1"/>
  <c r="K234" i="18" a="1"/>
  <c r="K234" i="18" s="1"/>
  <c r="L234" i="18" a="1"/>
  <c r="L234" i="18" s="1"/>
  <c r="M234" i="18" a="1"/>
  <c r="M234" i="18" s="1"/>
  <c r="N234" i="18" a="1"/>
  <c r="N234" i="18" s="1"/>
  <c r="O234" i="18" a="1"/>
  <c r="O234" i="18" s="1"/>
  <c r="P234" i="18" a="1"/>
  <c r="P234" i="18" s="1"/>
  <c r="Q234" i="18" a="1"/>
  <c r="Q234" i="18" s="1"/>
  <c r="R234" i="18" a="1"/>
  <c r="R234" i="18" s="1"/>
  <c r="U234" i="18" a="1"/>
  <c r="U234" i="18" s="1"/>
  <c r="V234" i="18" a="1"/>
  <c r="V234" i="18" s="1"/>
  <c r="W234" i="18" a="1"/>
  <c r="W234" i="18" s="1"/>
  <c r="X234" i="18" a="1"/>
  <c r="X234" i="18" s="1"/>
  <c r="K235" i="18" a="1"/>
  <c r="K235" i="18" s="1"/>
  <c r="L235" i="18" a="1"/>
  <c r="L235" i="18" s="1"/>
  <c r="M235" i="18" a="1"/>
  <c r="M235" i="18" s="1"/>
  <c r="N235" i="18" a="1"/>
  <c r="N235" i="18" s="1"/>
  <c r="O235" i="18" a="1"/>
  <c r="O235" i="18" s="1"/>
  <c r="P235" i="18" a="1"/>
  <c r="P235" i="18" s="1"/>
  <c r="Q235" i="18" a="1"/>
  <c r="Q235" i="18" s="1"/>
  <c r="R235" i="18" a="1"/>
  <c r="R235" i="18" s="1"/>
  <c r="U235" i="18" a="1"/>
  <c r="U235" i="18" s="1"/>
  <c r="V235" i="18" a="1"/>
  <c r="V235" i="18" s="1"/>
  <c r="W235" i="18" a="1"/>
  <c r="W235" i="18" s="1"/>
  <c r="X235" i="18" a="1"/>
  <c r="X235" i="18" s="1"/>
  <c r="K236" i="18" a="1"/>
  <c r="K236" i="18" s="1"/>
  <c r="L236" i="18" a="1"/>
  <c r="L236" i="18" s="1"/>
  <c r="M236" i="18" a="1"/>
  <c r="M236" i="18" s="1"/>
  <c r="N236" i="18" a="1"/>
  <c r="N236" i="18" s="1"/>
  <c r="O236" i="18" a="1"/>
  <c r="O236" i="18" s="1"/>
  <c r="P236" i="18" a="1"/>
  <c r="P236" i="18" s="1"/>
  <c r="Q236" i="18" a="1"/>
  <c r="Q236" i="18" s="1"/>
  <c r="R236" i="18" a="1"/>
  <c r="R236" i="18" s="1"/>
  <c r="U236" i="18" a="1"/>
  <c r="U236" i="18" s="1"/>
  <c r="V236" i="18" a="1"/>
  <c r="V236" i="18" s="1"/>
  <c r="W236" i="18" a="1"/>
  <c r="W236" i="18" s="1"/>
  <c r="X236" i="18" a="1"/>
  <c r="X236" i="18" s="1"/>
  <c r="K237" i="18" a="1"/>
  <c r="K237" i="18" s="1"/>
  <c r="L237" i="18" a="1"/>
  <c r="L237" i="18" s="1"/>
  <c r="M237" i="18" a="1"/>
  <c r="M237" i="18" s="1"/>
  <c r="N237" i="18" a="1"/>
  <c r="N237" i="18" s="1"/>
  <c r="O237" i="18" a="1"/>
  <c r="O237" i="18" s="1"/>
  <c r="P237" i="18" a="1"/>
  <c r="P237" i="18" s="1"/>
  <c r="Q237" i="18" a="1"/>
  <c r="Q237" i="18" s="1"/>
  <c r="R237" i="18" a="1"/>
  <c r="R237" i="18" s="1"/>
  <c r="U237" i="18" a="1"/>
  <c r="U237" i="18" s="1"/>
  <c r="V237" i="18" a="1"/>
  <c r="V237" i="18" s="1"/>
  <c r="W237" i="18" a="1"/>
  <c r="W237" i="18" s="1"/>
  <c r="X237" i="18" a="1"/>
  <c r="X237" i="18" s="1"/>
  <c r="K238" i="18" a="1"/>
  <c r="K238" i="18" s="1"/>
  <c r="L238" i="18" a="1"/>
  <c r="L238" i="18" s="1"/>
  <c r="M238" i="18" a="1"/>
  <c r="M238" i="18" s="1"/>
  <c r="N238" i="18" a="1"/>
  <c r="N238" i="18" s="1"/>
  <c r="O238" i="18" a="1"/>
  <c r="O238" i="18" s="1"/>
  <c r="P238" i="18" a="1"/>
  <c r="P238" i="18" s="1"/>
  <c r="Q238" i="18" a="1"/>
  <c r="Q238" i="18" s="1"/>
  <c r="R238" i="18" a="1"/>
  <c r="R238" i="18" s="1"/>
  <c r="U238" i="18" a="1"/>
  <c r="U238" i="18" s="1"/>
  <c r="V238" i="18" a="1"/>
  <c r="V238" i="18" s="1"/>
  <c r="W238" i="18" a="1"/>
  <c r="W238" i="18" s="1"/>
  <c r="X238" i="18" a="1"/>
  <c r="X238" i="18" s="1"/>
  <c r="K239" i="18" a="1"/>
  <c r="K239" i="18" s="1"/>
  <c r="L239" i="18" a="1"/>
  <c r="L239" i="18" s="1"/>
  <c r="M239" i="18" a="1"/>
  <c r="M239" i="18" s="1"/>
  <c r="N239" i="18" a="1"/>
  <c r="N239" i="18" s="1"/>
  <c r="O239" i="18" a="1"/>
  <c r="O239" i="18" s="1"/>
  <c r="P239" i="18" a="1"/>
  <c r="P239" i="18" s="1"/>
  <c r="Q239" i="18" a="1"/>
  <c r="Q239" i="18" s="1"/>
  <c r="R239" i="18" a="1"/>
  <c r="R239" i="18" s="1"/>
  <c r="U239" i="18" a="1"/>
  <c r="U239" i="18" s="1"/>
  <c r="V239" i="18" a="1"/>
  <c r="V239" i="18" s="1"/>
  <c r="W239" i="18" a="1"/>
  <c r="W239" i="18" s="1"/>
  <c r="X239" i="18" a="1"/>
  <c r="X239" i="18" s="1"/>
  <c r="K240" i="18" a="1"/>
  <c r="K240" i="18" s="1"/>
  <c r="L240" i="18" a="1"/>
  <c r="L240" i="18" s="1"/>
  <c r="M240" i="18" a="1"/>
  <c r="M240" i="18" s="1"/>
  <c r="N240" i="18" a="1"/>
  <c r="N240" i="18" s="1"/>
  <c r="O240" i="18" a="1"/>
  <c r="O240" i="18" s="1"/>
  <c r="P240" i="18" a="1"/>
  <c r="P240" i="18" s="1"/>
  <c r="Q240" i="18" a="1"/>
  <c r="Q240" i="18" s="1"/>
  <c r="R240" i="18" a="1"/>
  <c r="R240" i="18" s="1"/>
  <c r="U240" i="18" a="1"/>
  <c r="U240" i="18" s="1"/>
  <c r="V240" i="18" a="1"/>
  <c r="V240" i="18" s="1"/>
  <c r="W240" i="18" a="1"/>
  <c r="W240" i="18" s="1"/>
  <c r="X240" i="18" a="1"/>
  <c r="X240" i="18" s="1"/>
  <c r="K241" i="18" a="1"/>
  <c r="K241" i="18" s="1"/>
  <c r="L241" i="18" a="1"/>
  <c r="L241" i="18" s="1"/>
  <c r="M241" i="18" a="1"/>
  <c r="M241" i="18" s="1"/>
  <c r="N241" i="18" a="1"/>
  <c r="N241" i="18" s="1"/>
  <c r="O241" i="18" a="1"/>
  <c r="O241" i="18" s="1"/>
  <c r="P241" i="18" a="1"/>
  <c r="P241" i="18" s="1"/>
  <c r="Q241" i="18" a="1"/>
  <c r="Q241" i="18" s="1"/>
  <c r="R241" i="18" a="1"/>
  <c r="R241" i="18" s="1"/>
  <c r="U241" i="18" a="1"/>
  <c r="U241" i="18" s="1"/>
  <c r="V241" i="18" a="1"/>
  <c r="V241" i="18" s="1"/>
  <c r="W241" i="18" a="1"/>
  <c r="W241" i="18" s="1"/>
  <c r="X241" i="18" a="1"/>
  <c r="X241" i="18" s="1"/>
  <c r="K242" i="18" a="1"/>
  <c r="K242" i="18" s="1"/>
  <c r="L242" i="18" a="1"/>
  <c r="L242" i="18" s="1"/>
  <c r="M242" i="18" a="1"/>
  <c r="M242" i="18" s="1"/>
  <c r="N242" i="18" a="1"/>
  <c r="N242" i="18" s="1"/>
  <c r="O242" i="18" a="1"/>
  <c r="O242" i="18" s="1"/>
  <c r="P242" i="18" a="1"/>
  <c r="P242" i="18" s="1"/>
  <c r="Q242" i="18" a="1"/>
  <c r="Q242" i="18" s="1"/>
  <c r="R242" i="18" a="1"/>
  <c r="R242" i="18" s="1"/>
  <c r="U242" i="18" a="1"/>
  <c r="U242" i="18" s="1"/>
  <c r="V242" i="18" a="1"/>
  <c r="V242" i="18" s="1"/>
  <c r="W242" i="18" a="1"/>
  <c r="W242" i="18" s="1"/>
  <c r="X242" i="18" a="1"/>
  <c r="X242" i="18" s="1"/>
  <c r="K243" i="18" a="1"/>
  <c r="K243" i="18" s="1"/>
  <c r="L243" i="18" a="1"/>
  <c r="L243" i="18" s="1"/>
  <c r="M243" i="18" a="1"/>
  <c r="M243" i="18" s="1"/>
  <c r="N243" i="18" a="1"/>
  <c r="N243" i="18" s="1"/>
  <c r="O243" i="18" a="1"/>
  <c r="O243" i="18" s="1"/>
  <c r="P243" i="18" a="1"/>
  <c r="P243" i="18" s="1"/>
  <c r="Q243" i="18" a="1"/>
  <c r="Q243" i="18" s="1"/>
  <c r="R243" i="18" a="1"/>
  <c r="R243" i="18" s="1"/>
  <c r="U243" i="18" a="1"/>
  <c r="U243" i="18" s="1"/>
  <c r="V243" i="18" a="1"/>
  <c r="V243" i="18" s="1"/>
  <c r="W243" i="18" a="1"/>
  <c r="W243" i="18" s="1"/>
  <c r="X243" i="18" a="1"/>
  <c r="X243" i="18" s="1"/>
  <c r="K244" i="18" a="1"/>
  <c r="K244" i="18" s="1"/>
  <c r="L244" i="18" a="1"/>
  <c r="L244" i="18" s="1"/>
  <c r="M244" i="18" a="1"/>
  <c r="M244" i="18" s="1"/>
  <c r="N244" i="18" a="1"/>
  <c r="N244" i="18" s="1"/>
  <c r="O244" i="18" a="1"/>
  <c r="O244" i="18" s="1"/>
  <c r="P244" i="18" a="1"/>
  <c r="P244" i="18" s="1"/>
  <c r="Q244" i="18" a="1"/>
  <c r="Q244" i="18" s="1"/>
  <c r="R244" i="18" a="1"/>
  <c r="R244" i="18" s="1"/>
  <c r="U244" i="18" a="1"/>
  <c r="U244" i="18" s="1"/>
  <c r="V244" i="18" a="1"/>
  <c r="V244" i="18" s="1"/>
  <c r="W244" i="18" a="1"/>
  <c r="W244" i="18" s="1"/>
  <c r="X244" i="18" a="1"/>
  <c r="X244" i="18" s="1"/>
  <c r="K245" i="18" a="1"/>
  <c r="K245" i="18" s="1"/>
  <c r="L245" i="18" a="1"/>
  <c r="L245" i="18" s="1"/>
  <c r="M245" i="18" a="1"/>
  <c r="M245" i="18" s="1"/>
  <c r="N245" i="18" a="1"/>
  <c r="N245" i="18" s="1"/>
  <c r="O245" i="18" a="1"/>
  <c r="O245" i="18" s="1"/>
  <c r="P245" i="18" a="1"/>
  <c r="P245" i="18" s="1"/>
  <c r="Q245" i="18" a="1"/>
  <c r="Q245" i="18" s="1"/>
  <c r="R245" i="18" a="1"/>
  <c r="R245" i="18" s="1"/>
  <c r="U245" i="18" a="1"/>
  <c r="U245" i="18" s="1"/>
  <c r="V245" i="18" a="1"/>
  <c r="V245" i="18" s="1"/>
  <c r="W245" i="18" a="1"/>
  <c r="W245" i="18" s="1"/>
  <c r="X245" i="18" a="1"/>
  <c r="X245" i="18" s="1"/>
  <c r="K246" i="18" a="1"/>
  <c r="K246" i="18" s="1"/>
  <c r="L246" i="18" a="1"/>
  <c r="L246" i="18" s="1"/>
  <c r="M246" i="18" a="1"/>
  <c r="M246" i="18" s="1"/>
  <c r="N246" i="18" a="1"/>
  <c r="N246" i="18" s="1"/>
  <c r="O246" i="18" a="1"/>
  <c r="O246" i="18" s="1"/>
  <c r="P246" i="18" a="1"/>
  <c r="P246" i="18" s="1"/>
  <c r="Q246" i="18" a="1"/>
  <c r="Q246" i="18" s="1"/>
  <c r="R246" i="18" a="1"/>
  <c r="R246" i="18" s="1"/>
  <c r="U246" i="18" a="1"/>
  <c r="U246" i="18" s="1"/>
  <c r="V246" i="18" a="1"/>
  <c r="V246" i="18" s="1"/>
  <c r="W246" i="18" a="1"/>
  <c r="W246" i="18" s="1"/>
  <c r="X246" i="18" a="1"/>
  <c r="X246" i="18" s="1"/>
  <c r="K247" i="18" a="1"/>
  <c r="K247" i="18" s="1"/>
  <c r="L247" i="18" a="1"/>
  <c r="L247" i="18" s="1"/>
  <c r="M247" i="18" a="1"/>
  <c r="M247" i="18" s="1"/>
  <c r="N247" i="18" a="1"/>
  <c r="N247" i="18" s="1"/>
  <c r="O247" i="18" a="1"/>
  <c r="O247" i="18" s="1"/>
  <c r="P247" i="18" a="1"/>
  <c r="P247" i="18" s="1"/>
  <c r="Q247" i="18" a="1"/>
  <c r="Q247" i="18" s="1"/>
  <c r="R247" i="18" a="1"/>
  <c r="R247" i="18" s="1"/>
  <c r="U247" i="18" a="1"/>
  <c r="U247" i="18" s="1"/>
  <c r="V247" i="18" a="1"/>
  <c r="V247" i="18" s="1"/>
  <c r="W247" i="18" a="1"/>
  <c r="W247" i="18" s="1"/>
  <c r="X247" i="18" a="1"/>
  <c r="X247" i="18" s="1"/>
  <c r="K248" i="18" a="1"/>
  <c r="K248" i="18" s="1"/>
  <c r="L248" i="18" a="1"/>
  <c r="L248" i="18" s="1"/>
  <c r="M248" i="18" a="1"/>
  <c r="M248" i="18" s="1"/>
  <c r="N248" i="18" a="1"/>
  <c r="N248" i="18" s="1"/>
  <c r="O248" i="18" a="1"/>
  <c r="O248" i="18" s="1"/>
  <c r="P248" i="18" a="1"/>
  <c r="P248" i="18" s="1"/>
  <c r="Q248" i="18" a="1"/>
  <c r="Q248" i="18" s="1"/>
  <c r="R248" i="18" a="1"/>
  <c r="R248" i="18" s="1"/>
  <c r="U248" i="18" a="1"/>
  <c r="U248" i="18" s="1"/>
  <c r="V248" i="18" a="1"/>
  <c r="V248" i="18" s="1"/>
  <c r="W248" i="18" a="1"/>
  <c r="W248" i="18" s="1"/>
  <c r="X248" i="18" a="1"/>
  <c r="X248" i="18" s="1"/>
  <c r="K249" i="18" a="1"/>
  <c r="K249" i="18" s="1"/>
  <c r="L249" i="18" a="1"/>
  <c r="L249" i="18" s="1"/>
  <c r="M249" i="18" a="1"/>
  <c r="M249" i="18" s="1"/>
  <c r="N249" i="18" a="1"/>
  <c r="N249" i="18" s="1"/>
  <c r="O249" i="18" a="1"/>
  <c r="O249" i="18" s="1"/>
  <c r="P249" i="18" a="1"/>
  <c r="P249" i="18" s="1"/>
  <c r="Q249" i="18" a="1"/>
  <c r="Q249" i="18" s="1"/>
  <c r="R249" i="18" a="1"/>
  <c r="R249" i="18" s="1"/>
  <c r="U249" i="18" a="1"/>
  <c r="U249" i="18" s="1"/>
  <c r="V249" i="18" a="1"/>
  <c r="V249" i="18" s="1"/>
  <c r="W249" i="18" a="1"/>
  <c r="W249" i="18" s="1"/>
  <c r="X249" i="18" a="1"/>
  <c r="X249" i="18" s="1"/>
  <c r="K250" i="18" a="1"/>
  <c r="K250" i="18" s="1"/>
  <c r="L250" i="18" a="1"/>
  <c r="L250" i="18" s="1"/>
  <c r="M250" i="18" a="1"/>
  <c r="M250" i="18" s="1"/>
  <c r="N250" i="18" a="1"/>
  <c r="N250" i="18" s="1"/>
  <c r="O250" i="18" a="1"/>
  <c r="O250" i="18" s="1"/>
  <c r="P250" i="18" a="1"/>
  <c r="P250" i="18" s="1"/>
  <c r="Q250" i="18" a="1"/>
  <c r="Q250" i="18" s="1"/>
  <c r="R250" i="18" a="1"/>
  <c r="R250" i="18" s="1"/>
  <c r="U250" i="18" a="1"/>
  <c r="U250" i="18" s="1"/>
  <c r="V250" i="18" a="1"/>
  <c r="V250" i="18" s="1"/>
  <c r="W250" i="18" a="1"/>
  <c r="W250" i="18" s="1"/>
  <c r="X250" i="18" a="1"/>
  <c r="X250" i="18" s="1"/>
  <c r="K251" i="18" a="1"/>
  <c r="K251" i="18" s="1"/>
  <c r="L251" i="18" a="1"/>
  <c r="L251" i="18" s="1"/>
  <c r="M251" i="18" a="1"/>
  <c r="M251" i="18" s="1"/>
  <c r="N251" i="18" a="1"/>
  <c r="N251" i="18" s="1"/>
  <c r="O251" i="18" a="1"/>
  <c r="O251" i="18" s="1"/>
  <c r="P251" i="18" a="1"/>
  <c r="P251" i="18" s="1"/>
  <c r="Q251" i="18" a="1"/>
  <c r="Q251" i="18" s="1"/>
  <c r="R251" i="18" a="1"/>
  <c r="R251" i="18" s="1"/>
  <c r="U251" i="18" a="1"/>
  <c r="U251" i="18" s="1"/>
  <c r="V251" i="18" a="1"/>
  <c r="V251" i="18" s="1"/>
  <c r="W251" i="18" a="1"/>
  <c r="W251" i="18" s="1"/>
  <c r="X251" i="18" a="1"/>
  <c r="X251" i="18" s="1"/>
  <c r="K252" i="18" a="1"/>
  <c r="K252" i="18" s="1"/>
  <c r="L252" i="18" a="1"/>
  <c r="L252" i="18" s="1"/>
  <c r="M252" i="18" a="1"/>
  <c r="M252" i="18" s="1"/>
  <c r="N252" i="18" a="1"/>
  <c r="N252" i="18" s="1"/>
  <c r="O252" i="18" a="1"/>
  <c r="O252" i="18" s="1"/>
  <c r="P252" i="18" a="1"/>
  <c r="P252" i="18" s="1"/>
  <c r="Q252" i="18" a="1"/>
  <c r="Q252" i="18" s="1"/>
  <c r="R252" i="18" a="1"/>
  <c r="R252" i="18" s="1"/>
  <c r="U252" i="18" a="1"/>
  <c r="U252" i="18" s="1"/>
  <c r="V252" i="18" a="1"/>
  <c r="V252" i="18" s="1"/>
  <c r="W252" i="18" a="1"/>
  <c r="W252" i="18" s="1"/>
  <c r="X252" i="18" a="1"/>
  <c r="X252" i="18" s="1"/>
  <c r="K253" i="18" a="1"/>
  <c r="K253" i="18" s="1"/>
  <c r="L253" i="18" a="1"/>
  <c r="L253" i="18" s="1"/>
  <c r="M253" i="18" a="1"/>
  <c r="M253" i="18" s="1"/>
  <c r="N253" i="18" a="1"/>
  <c r="N253" i="18" s="1"/>
  <c r="O253" i="18" a="1"/>
  <c r="O253" i="18" s="1"/>
  <c r="P253" i="18" a="1"/>
  <c r="P253" i="18" s="1"/>
  <c r="Q253" i="18" a="1"/>
  <c r="Q253" i="18" s="1"/>
  <c r="R253" i="18" a="1"/>
  <c r="R253" i="18" s="1"/>
  <c r="U253" i="18" a="1"/>
  <c r="U253" i="18" s="1"/>
  <c r="V253" i="18" a="1"/>
  <c r="V253" i="18" s="1"/>
  <c r="W253" i="18" a="1"/>
  <c r="W253" i="18" s="1"/>
  <c r="X253" i="18" a="1"/>
  <c r="X253" i="18" s="1"/>
  <c r="K254" i="18" a="1"/>
  <c r="K254" i="18" s="1"/>
  <c r="L254" i="18" a="1"/>
  <c r="L254" i="18" s="1"/>
  <c r="M254" i="18" a="1"/>
  <c r="M254" i="18" s="1"/>
  <c r="N254" i="18" a="1"/>
  <c r="N254" i="18" s="1"/>
  <c r="O254" i="18" a="1"/>
  <c r="O254" i="18" s="1"/>
  <c r="P254" i="18" a="1"/>
  <c r="P254" i="18" s="1"/>
  <c r="Q254" i="18" a="1"/>
  <c r="Q254" i="18" s="1"/>
  <c r="R254" i="18" a="1"/>
  <c r="R254" i="18" s="1"/>
  <c r="U254" i="18" a="1"/>
  <c r="U254" i="18" s="1"/>
  <c r="V254" i="18" a="1"/>
  <c r="V254" i="18" s="1"/>
  <c r="W254" i="18" a="1"/>
  <c r="W254" i="18" s="1"/>
  <c r="X254" i="18" a="1"/>
  <c r="X254" i="18" s="1"/>
  <c r="K255" i="18" a="1"/>
  <c r="K255" i="18" s="1"/>
  <c r="L255" i="18" a="1"/>
  <c r="L255" i="18" s="1"/>
  <c r="M255" i="18" a="1"/>
  <c r="M255" i="18" s="1"/>
  <c r="N255" i="18" a="1"/>
  <c r="N255" i="18" s="1"/>
  <c r="O255" i="18" a="1"/>
  <c r="O255" i="18" s="1"/>
  <c r="P255" i="18" a="1"/>
  <c r="P255" i="18" s="1"/>
  <c r="Q255" i="18" a="1"/>
  <c r="Q255" i="18" s="1"/>
  <c r="R255" i="18" a="1"/>
  <c r="R255" i="18" s="1"/>
  <c r="U255" i="18" a="1"/>
  <c r="U255" i="18" s="1"/>
  <c r="V255" i="18" a="1"/>
  <c r="V255" i="18" s="1"/>
  <c r="W255" i="18" a="1"/>
  <c r="W255" i="18" s="1"/>
  <c r="X255" i="18" a="1"/>
  <c r="X255" i="18" s="1"/>
  <c r="K256" i="18" a="1"/>
  <c r="K256" i="18" s="1"/>
  <c r="L256" i="18" a="1"/>
  <c r="L256" i="18" s="1"/>
  <c r="M256" i="18" a="1"/>
  <c r="M256" i="18" s="1"/>
  <c r="N256" i="18" a="1"/>
  <c r="N256" i="18" s="1"/>
  <c r="O256" i="18" a="1"/>
  <c r="O256" i="18" s="1"/>
  <c r="P256" i="18" a="1"/>
  <c r="P256" i="18" s="1"/>
  <c r="Q256" i="18" a="1"/>
  <c r="Q256" i="18" s="1"/>
  <c r="R256" i="18" a="1"/>
  <c r="R256" i="18" s="1"/>
  <c r="U256" i="18" a="1"/>
  <c r="U256" i="18" s="1"/>
  <c r="V256" i="18" a="1"/>
  <c r="V256" i="18" s="1"/>
  <c r="W256" i="18" a="1"/>
  <c r="W256" i="18" s="1"/>
  <c r="X256" i="18" a="1"/>
  <c r="X256" i="18" s="1"/>
  <c r="K257" i="18" a="1"/>
  <c r="K257" i="18" s="1"/>
  <c r="L257" i="18" a="1"/>
  <c r="L257" i="18" s="1"/>
  <c r="M257" i="18" a="1"/>
  <c r="M257" i="18" s="1"/>
  <c r="N257" i="18" a="1"/>
  <c r="N257" i="18" s="1"/>
  <c r="O257" i="18" a="1"/>
  <c r="O257" i="18" s="1"/>
  <c r="P257" i="18" a="1"/>
  <c r="P257" i="18" s="1"/>
  <c r="Q257" i="18" a="1"/>
  <c r="Q257" i="18" s="1"/>
  <c r="R257" i="18" a="1"/>
  <c r="R257" i="18" s="1"/>
  <c r="U257" i="18" a="1"/>
  <c r="U257" i="18" s="1"/>
  <c r="V257" i="18" a="1"/>
  <c r="V257" i="18" s="1"/>
  <c r="W257" i="18" a="1"/>
  <c r="W257" i="18" s="1"/>
  <c r="X257" i="18" a="1"/>
  <c r="X257" i="18" s="1"/>
  <c r="K258" i="18" a="1"/>
  <c r="K258" i="18" s="1"/>
  <c r="L258" i="18" a="1"/>
  <c r="L258" i="18" s="1"/>
  <c r="M258" i="18" a="1"/>
  <c r="M258" i="18" s="1"/>
  <c r="N258" i="18" a="1"/>
  <c r="N258" i="18" s="1"/>
  <c r="O258" i="18" a="1"/>
  <c r="O258" i="18" s="1"/>
  <c r="P258" i="18" a="1"/>
  <c r="P258" i="18" s="1"/>
  <c r="Q258" i="18" a="1"/>
  <c r="Q258" i="18" s="1"/>
  <c r="R258" i="18" a="1"/>
  <c r="R258" i="18" s="1"/>
  <c r="U258" i="18" a="1"/>
  <c r="U258" i="18" s="1"/>
  <c r="V258" i="18" a="1"/>
  <c r="V258" i="18" s="1"/>
  <c r="W258" i="18" a="1"/>
  <c r="W258" i="18" s="1"/>
  <c r="X258" i="18" a="1"/>
  <c r="X258" i="18" s="1"/>
  <c r="K259" i="18" a="1"/>
  <c r="K259" i="18" s="1"/>
  <c r="L259" i="18" a="1"/>
  <c r="L259" i="18" s="1"/>
  <c r="M259" i="18" a="1"/>
  <c r="M259" i="18" s="1"/>
  <c r="N259" i="18" a="1"/>
  <c r="N259" i="18" s="1"/>
  <c r="O259" i="18" a="1"/>
  <c r="O259" i="18" s="1"/>
  <c r="P259" i="18" a="1"/>
  <c r="P259" i="18" s="1"/>
  <c r="Q259" i="18" a="1"/>
  <c r="Q259" i="18" s="1"/>
  <c r="R259" i="18" a="1"/>
  <c r="R259" i="18" s="1"/>
  <c r="U259" i="18" a="1"/>
  <c r="U259" i="18" s="1"/>
  <c r="V259" i="18" a="1"/>
  <c r="V259" i="18" s="1"/>
  <c r="W259" i="18" a="1"/>
  <c r="W259" i="18" s="1"/>
  <c r="X259" i="18" a="1"/>
  <c r="X259" i="18" s="1"/>
  <c r="K260" i="18" a="1"/>
  <c r="K260" i="18" s="1"/>
  <c r="L260" i="18" a="1"/>
  <c r="L260" i="18" s="1"/>
  <c r="M260" i="18" a="1"/>
  <c r="M260" i="18" s="1"/>
  <c r="N260" i="18" a="1"/>
  <c r="N260" i="18" s="1"/>
  <c r="O260" i="18" a="1"/>
  <c r="O260" i="18" s="1"/>
  <c r="P260" i="18" a="1"/>
  <c r="P260" i="18" s="1"/>
  <c r="Q260" i="18" a="1"/>
  <c r="Q260" i="18" s="1"/>
  <c r="R260" i="18" a="1"/>
  <c r="R260" i="18" s="1"/>
  <c r="U260" i="18" a="1"/>
  <c r="U260" i="18" s="1"/>
  <c r="V260" i="18" a="1"/>
  <c r="V260" i="18" s="1"/>
  <c r="W260" i="18" a="1"/>
  <c r="W260" i="18" s="1"/>
  <c r="X260" i="18" a="1"/>
  <c r="X260" i="18" s="1"/>
  <c r="K261" i="18" a="1"/>
  <c r="K261" i="18" s="1"/>
  <c r="L261" i="18" a="1"/>
  <c r="L261" i="18" s="1"/>
  <c r="M261" i="18" a="1"/>
  <c r="M261" i="18" s="1"/>
  <c r="N261" i="18" a="1"/>
  <c r="N261" i="18" s="1"/>
  <c r="O261" i="18" a="1"/>
  <c r="O261" i="18" s="1"/>
  <c r="P261" i="18" a="1"/>
  <c r="P261" i="18" s="1"/>
  <c r="Q261" i="18" a="1"/>
  <c r="Q261" i="18" s="1"/>
  <c r="R261" i="18" a="1"/>
  <c r="R261" i="18" s="1"/>
  <c r="U261" i="18" a="1"/>
  <c r="U261" i="18" s="1"/>
  <c r="V261" i="18" a="1"/>
  <c r="V261" i="18" s="1"/>
  <c r="W261" i="18" a="1"/>
  <c r="W261" i="18" s="1"/>
  <c r="X261" i="18" a="1"/>
  <c r="X261" i="18" s="1"/>
  <c r="K262" i="18" a="1"/>
  <c r="K262" i="18" s="1"/>
  <c r="L262" i="18" a="1"/>
  <c r="L262" i="18" s="1"/>
  <c r="M262" i="18" a="1"/>
  <c r="M262" i="18" s="1"/>
  <c r="N262" i="18" a="1"/>
  <c r="N262" i="18" s="1"/>
  <c r="O262" i="18" a="1"/>
  <c r="O262" i="18" s="1"/>
  <c r="P262" i="18" a="1"/>
  <c r="P262" i="18" s="1"/>
  <c r="Q262" i="18" a="1"/>
  <c r="Q262" i="18" s="1"/>
  <c r="R262" i="18" a="1"/>
  <c r="R262" i="18" s="1"/>
  <c r="U262" i="18" a="1"/>
  <c r="U262" i="18" s="1"/>
  <c r="V262" i="18" a="1"/>
  <c r="V262" i="18" s="1"/>
  <c r="W262" i="18" a="1"/>
  <c r="W262" i="18" s="1"/>
  <c r="X262" i="18" a="1"/>
  <c r="X262" i="18" s="1"/>
  <c r="K263" i="18" a="1"/>
  <c r="K263" i="18" s="1"/>
  <c r="L263" i="18" a="1"/>
  <c r="L263" i="18" s="1"/>
  <c r="M263" i="18" a="1"/>
  <c r="M263" i="18" s="1"/>
  <c r="N263" i="18" a="1"/>
  <c r="N263" i="18" s="1"/>
  <c r="O263" i="18" a="1"/>
  <c r="O263" i="18" s="1"/>
  <c r="P263" i="18" a="1"/>
  <c r="P263" i="18" s="1"/>
  <c r="Q263" i="18" a="1"/>
  <c r="Q263" i="18" s="1"/>
  <c r="R263" i="18" a="1"/>
  <c r="R263" i="18" s="1"/>
  <c r="U263" i="18" a="1"/>
  <c r="U263" i="18" s="1"/>
  <c r="V263" i="18" a="1"/>
  <c r="V263" i="18" s="1"/>
  <c r="W263" i="18" a="1"/>
  <c r="W263" i="18" s="1"/>
  <c r="X263" i="18" a="1"/>
  <c r="X263" i="18" s="1"/>
  <c r="K264" i="18" a="1"/>
  <c r="K264" i="18" s="1"/>
  <c r="L264" i="18" a="1"/>
  <c r="L264" i="18" s="1"/>
  <c r="M264" i="18" a="1"/>
  <c r="M264" i="18" s="1"/>
  <c r="N264" i="18" a="1"/>
  <c r="N264" i="18" s="1"/>
  <c r="O264" i="18" a="1"/>
  <c r="O264" i="18" s="1"/>
  <c r="P264" i="18" a="1"/>
  <c r="P264" i="18" s="1"/>
  <c r="Q264" i="18" a="1"/>
  <c r="Q264" i="18" s="1"/>
  <c r="R264" i="18" a="1"/>
  <c r="R264" i="18" s="1"/>
  <c r="U264" i="18" a="1"/>
  <c r="U264" i="18" s="1"/>
  <c r="V264" i="18" a="1"/>
  <c r="V264" i="18" s="1"/>
  <c r="W264" i="18" a="1"/>
  <c r="W264" i="18" s="1"/>
  <c r="X264" i="18" a="1"/>
  <c r="X264" i="18" s="1"/>
  <c r="K265" i="18" a="1"/>
  <c r="K265" i="18" s="1"/>
  <c r="L265" i="18" a="1"/>
  <c r="L265" i="18" s="1"/>
  <c r="M265" i="18" a="1"/>
  <c r="M265" i="18" s="1"/>
  <c r="N265" i="18" a="1"/>
  <c r="N265" i="18" s="1"/>
  <c r="O265" i="18" a="1"/>
  <c r="O265" i="18" s="1"/>
  <c r="P265" i="18" a="1"/>
  <c r="P265" i="18" s="1"/>
  <c r="Q265" i="18" a="1"/>
  <c r="Q265" i="18" s="1"/>
  <c r="R265" i="18" a="1"/>
  <c r="R265" i="18" s="1"/>
  <c r="U265" i="18" a="1"/>
  <c r="U265" i="18" s="1"/>
  <c r="V265" i="18" a="1"/>
  <c r="V265" i="18" s="1"/>
  <c r="W265" i="18" a="1"/>
  <c r="W265" i="18" s="1"/>
  <c r="X265" i="18" a="1"/>
  <c r="X265" i="18" s="1"/>
  <c r="K266" i="18" a="1"/>
  <c r="K266" i="18" s="1"/>
  <c r="L266" i="18" a="1"/>
  <c r="L266" i="18" s="1"/>
  <c r="M266" i="18" a="1"/>
  <c r="M266" i="18" s="1"/>
  <c r="N266" i="18" a="1"/>
  <c r="N266" i="18" s="1"/>
  <c r="O266" i="18" a="1"/>
  <c r="O266" i="18" s="1"/>
  <c r="P266" i="18" a="1"/>
  <c r="P266" i="18" s="1"/>
  <c r="Q266" i="18" a="1"/>
  <c r="Q266" i="18" s="1"/>
  <c r="R266" i="18" a="1"/>
  <c r="R266" i="18" s="1"/>
  <c r="U266" i="18" a="1"/>
  <c r="U266" i="18" s="1"/>
  <c r="V266" i="18" a="1"/>
  <c r="V266" i="18" s="1"/>
  <c r="W266" i="18" a="1"/>
  <c r="W266" i="18" s="1"/>
  <c r="X266" i="18" a="1"/>
  <c r="X266" i="18" s="1"/>
  <c r="K267" i="18" a="1"/>
  <c r="K267" i="18" s="1"/>
  <c r="L267" i="18" a="1"/>
  <c r="L267" i="18" s="1"/>
  <c r="M267" i="18" a="1"/>
  <c r="M267" i="18" s="1"/>
  <c r="N267" i="18" a="1"/>
  <c r="N267" i="18" s="1"/>
  <c r="O267" i="18" a="1"/>
  <c r="O267" i="18" s="1"/>
  <c r="P267" i="18" a="1"/>
  <c r="P267" i="18" s="1"/>
  <c r="Q267" i="18" a="1"/>
  <c r="Q267" i="18" s="1"/>
  <c r="R267" i="18" a="1"/>
  <c r="R267" i="18" s="1"/>
  <c r="U267" i="18" a="1"/>
  <c r="U267" i="18" s="1"/>
  <c r="V267" i="18" a="1"/>
  <c r="V267" i="18" s="1"/>
  <c r="W267" i="18" a="1"/>
  <c r="W267" i="18" s="1"/>
  <c r="X267" i="18" a="1"/>
  <c r="X267" i="18" s="1"/>
  <c r="K268" i="18" a="1"/>
  <c r="K268" i="18" s="1"/>
  <c r="L268" i="18" a="1"/>
  <c r="L268" i="18" s="1"/>
  <c r="M268" i="18" a="1"/>
  <c r="M268" i="18" s="1"/>
  <c r="N268" i="18" a="1"/>
  <c r="N268" i="18" s="1"/>
  <c r="O268" i="18" a="1"/>
  <c r="O268" i="18" s="1"/>
  <c r="P268" i="18" a="1"/>
  <c r="P268" i="18" s="1"/>
  <c r="Q268" i="18" a="1"/>
  <c r="Q268" i="18" s="1"/>
  <c r="R268" i="18" a="1"/>
  <c r="R268" i="18" s="1"/>
  <c r="U268" i="18" a="1"/>
  <c r="U268" i="18" s="1"/>
  <c r="V268" i="18" a="1"/>
  <c r="V268" i="18" s="1"/>
  <c r="W268" i="18" a="1"/>
  <c r="W268" i="18" s="1"/>
  <c r="X268" i="18" a="1"/>
  <c r="X268" i="18" s="1"/>
  <c r="K269" i="18" a="1"/>
  <c r="K269" i="18" s="1"/>
  <c r="L269" i="18" a="1"/>
  <c r="L269" i="18" s="1"/>
  <c r="M269" i="18" a="1"/>
  <c r="M269" i="18" s="1"/>
  <c r="N269" i="18" a="1"/>
  <c r="N269" i="18" s="1"/>
  <c r="O269" i="18" a="1"/>
  <c r="O269" i="18" s="1"/>
  <c r="P269" i="18" a="1"/>
  <c r="P269" i="18" s="1"/>
  <c r="Q269" i="18" a="1"/>
  <c r="Q269" i="18" s="1"/>
  <c r="R269" i="18" a="1"/>
  <c r="R269" i="18" s="1"/>
  <c r="U269" i="18" a="1"/>
  <c r="U269" i="18" s="1"/>
  <c r="V269" i="18" a="1"/>
  <c r="V269" i="18" s="1"/>
  <c r="W269" i="18" a="1"/>
  <c r="W269" i="18" s="1"/>
  <c r="X269" i="18" a="1"/>
  <c r="X269" i="18" s="1"/>
  <c r="K270" i="18" a="1"/>
  <c r="K270" i="18" s="1"/>
  <c r="L270" i="18" a="1"/>
  <c r="L270" i="18" s="1"/>
  <c r="M270" i="18" a="1"/>
  <c r="M270" i="18" s="1"/>
  <c r="N270" i="18" a="1"/>
  <c r="N270" i="18" s="1"/>
  <c r="O270" i="18" a="1"/>
  <c r="O270" i="18" s="1"/>
  <c r="P270" i="18" a="1"/>
  <c r="P270" i="18" s="1"/>
  <c r="Q270" i="18" a="1"/>
  <c r="Q270" i="18" s="1"/>
  <c r="R270" i="18" a="1"/>
  <c r="R270" i="18" s="1"/>
  <c r="U270" i="18" a="1"/>
  <c r="U270" i="18" s="1"/>
  <c r="V270" i="18" a="1"/>
  <c r="V270" i="18" s="1"/>
  <c r="W270" i="18" a="1"/>
  <c r="W270" i="18" s="1"/>
  <c r="X270" i="18" a="1"/>
  <c r="X270" i="18" s="1"/>
  <c r="K271" i="18" a="1"/>
  <c r="K271" i="18" s="1"/>
  <c r="L271" i="18" a="1"/>
  <c r="L271" i="18" s="1"/>
  <c r="M271" i="18" a="1"/>
  <c r="M271" i="18" s="1"/>
  <c r="N271" i="18" a="1"/>
  <c r="N271" i="18" s="1"/>
  <c r="O271" i="18" a="1"/>
  <c r="O271" i="18" s="1"/>
  <c r="P271" i="18" a="1"/>
  <c r="P271" i="18" s="1"/>
  <c r="Q271" i="18" a="1"/>
  <c r="Q271" i="18" s="1"/>
  <c r="R271" i="18" a="1"/>
  <c r="R271" i="18" s="1"/>
  <c r="U271" i="18" a="1"/>
  <c r="U271" i="18" s="1"/>
  <c r="V271" i="18" a="1"/>
  <c r="V271" i="18" s="1"/>
  <c r="W271" i="18" a="1"/>
  <c r="W271" i="18" s="1"/>
  <c r="X271" i="18" a="1"/>
  <c r="X271" i="18" s="1"/>
  <c r="K272" i="18" a="1"/>
  <c r="K272" i="18" s="1"/>
  <c r="L272" i="18" a="1"/>
  <c r="L272" i="18" s="1"/>
  <c r="M272" i="18" a="1"/>
  <c r="M272" i="18" s="1"/>
  <c r="N272" i="18" a="1"/>
  <c r="N272" i="18" s="1"/>
  <c r="O272" i="18" a="1"/>
  <c r="O272" i="18" s="1"/>
  <c r="P272" i="18" a="1"/>
  <c r="P272" i="18" s="1"/>
  <c r="Q272" i="18" a="1"/>
  <c r="Q272" i="18" s="1"/>
  <c r="R272" i="18" a="1"/>
  <c r="R272" i="18" s="1"/>
  <c r="U272" i="18" a="1"/>
  <c r="U272" i="18" s="1"/>
  <c r="V272" i="18" a="1"/>
  <c r="V272" i="18" s="1"/>
  <c r="W272" i="18" a="1"/>
  <c r="W272" i="18" s="1"/>
  <c r="X272" i="18" a="1"/>
  <c r="X272" i="18" s="1"/>
  <c r="K273" i="18" a="1"/>
  <c r="K273" i="18" s="1"/>
  <c r="L273" i="18" a="1"/>
  <c r="L273" i="18" s="1"/>
  <c r="M273" i="18" a="1"/>
  <c r="M273" i="18" s="1"/>
  <c r="N273" i="18" a="1"/>
  <c r="N273" i="18" s="1"/>
  <c r="O273" i="18" a="1"/>
  <c r="O273" i="18" s="1"/>
  <c r="P273" i="18" a="1"/>
  <c r="P273" i="18" s="1"/>
  <c r="Q273" i="18" a="1"/>
  <c r="Q273" i="18" s="1"/>
  <c r="R273" i="18" a="1"/>
  <c r="R273" i="18" s="1"/>
  <c r="U273" i="18" a="1"/>
  <c r="U273" i="18" s="1"/>
  <c r="V273" i="18" a="1"/>
  <c r="V273" i="18" s="1"/>
  <c r="W273" i="18" a="1"/>
  <c r="W273" i="18" s="1"/>
  <c r="X273" i="18" a="1"/>
  <c r="X273" i="18" s="1"/>
  <c r="K274" i="18" a="1"/>
  <c r="K274" i="18" s="1"/>
  <c r="L274" i="18" a="1"/>
  <c r="L274" i="18" s="1"/>
  <c r="M274" i="18" a="1"/>
  <c r="M274" i="18" s="1"/>
  <c r="N274" i="18" a="1"/>
  <c r="N274" i="18" s="1"/>
  <c r="O274" i="18" a="1"/>
  <c r="O274" i="18" s="1"/>
  <c r="P274" i="18" a="1"/>
  <c r="P274" i="18" s="1"/>
  <c r="Q274" i="18" a="1"/>
  <c r="Q274" i="18" s="1"/>
  <c r="R274" i="18" a="1"/>
  <c r="R274" i="18" s="1"/>
  <c r="U274" i="18" a="1"/>
  <c r="U274" i="18" s="1"/>
  <c r="V274" i="18" a="1"/>
  <c r="V274" i="18" s="1"/>
  <c r="W274" i="18" a="1"/>
  <c r="W274" i="18" s="1"/>
  <c r="X274" i="18" a="1"/>
  <c r="X274" i="18" s="1"/>
  <c r="K275" i="18" a="1"/>
  <c r="K275" i="18" s="1"/>
  <c r="L275" i="18" a="1"/>
  <c r="L275" i="18" s="1"/>
  <c r="M275" i="18" a="1"/>
  <c r="M275" i="18" s="1"/>
  <c r="N275" i="18" a="1"/>
  <c r="N275" i="18" s="1"/>
  <c r="O275" i="18" a="1"/>
  <c r="O275" i="18" s="1"/>
  <c r="P275" i="18" a="1"/>
  <c r="P275" i="18" s="1"/>
  <c r="Q275" i="18" a="1"/>
  <c r="Q275" i="18" s="1"/>
  <c r="R275" i="18" a="1"/>
  <c r="R275" i="18" s="1"/>
  <c r="U275" i="18" a="1"/>
  <c r="U275" i="18" s="1"/>
  <c r="V275" i="18" a="1"/>
  <c r="V275" i="18" s="1"/>
  <c r="W275" i="18" a="1"/>
  <c r="W275" i="18" s="1"/>
  <c r="X275" i="18" a="1"/>
  <c r="X275" i="18" s="1"/>
  <c r="K276" i="18" a="1"/>
  <c r="K276" i="18" s="1"/>
  <c r="L276" i="18" a="1"/>
  <c r="L276" i="18" s="1"/>
  <c r="M276" i="18" a="1"/>
  <c r="M276" i="18" s="1"/>
  <c r="N276" i="18" a="1"/>
  <c r="N276" i="18" s="1"/>
  <c r="O276" i="18" a="1"/>
  <c r="O276" i="18" s="1"/>
  <c r="P276" i="18" a="1"/>
  <c r="P276" i="18" s="1"/>
  <c r="Q276" i="18" a="1"/>
  <c r="Q276" i="18" s="1"/>
  <c r="R276" i="18" a="1"/>
  <c r="R276" i="18" s="1"/>
  <c r="U276" i="18" a="1"/>
  <c r="U276" i="18" s="1"/>
  <c r="V276" i="18" a="1"/>
  <c r="V276" i="18" s="1"/>
  <c r="W276" i="18" a="1"/>
  <c r="W276" i="18" s="1"/>
  <c r="X276" i="18" a="1"/>
  <c r="X276" i="18" s="1"/>
  <c r="K277" i="18" a="1"/>
  <c r="K277" i="18" s="1"/>
  <c r="L277" i="18" a="1"/>
  <c r="L277" i="18" s="1"/>
  <c r="M277" i="18" a="1"/>
  <c r="M277" i="18" s="1"/>
  <c r="N277" i="18" a="1"/>
  <c r="N277" i="18" s="1"/>
  <c r="O277" i="18" a="1"/>
  <c r="O277" i="18" s="1"/>
  <c r="P277" i="18" a="1"/>
  <c r="P277" i="18" s="1"/>
  <c r="Q277" i="18" a="1"/>
  <c r="Q277" i="18" s="1"/>
  <c r="R277" i="18" a="1"/>
  <c r="R277" i="18" s="1"/>
  <c r="U277" i="18" a="1"/>
  <c r="U277" i="18" s="1"/>
  <c r="V277" i="18" a="1"/>
  <c r="V277" i="18" s="1"/>
  <c r="W277" i="18" a="1"/>
  <c r="W277" i="18" s="1"/>
  <c r="X277" i="18" a="1"/>
  <c r="X277" i="18" s="1"/>
  <c r="K278" i="18" a="1"/>
  <c r="K278" i="18" s="1"/>
  <c r="L278" i="18" a="1"/>
  <c r="L278" i="18" s="1"/>
  <c r="M278" i="18" a="1"/>
  <c r="M278" i="18" s="1"/>
  <c r="N278" i="18" a="1"/>
  <c r="N278" i="18" s="1"/>
  <c r="O278" i="18" a="1"/>
  <c r="O278" i="18" s="1"/>
  <c r="P278" i="18" a="1"/>
  <c r="P278" i="18" s="1"/>
  <c r="Q278" i="18" a="1"/>
  <c r="Q278" i="18" s="1"/>
  <c r="R278" i="18" a="1"/>
  <c r="R278" i="18" s="1"/>
  <c r="U278" i="18" a="1"/>
  <c r="U278" i="18" s="1"/>
  <c r="V278" i="18" a="1"/>
  <c r="V278" i="18" s="1"/>
  <c r="W278" i="18" a="1"/>
  <c r="W278" i="18" s="1"/>
  <c r="X278" i="18" a="1"/>
  <c r="X278" i="18" s="1"/>
  <c r="K279" i="18" a="1"/>
  <c r="K279" i="18" s="1"/>
  <c r="L279" i="18" a="1"/>
  <c r="L279" i="18" s="1"/>
  <c r="M279" i="18" a="1"/>
  <c r="M279" i="18" s="1"/>
  <c r="N279" i="18" a="1"/>
  <c r="N279" i="18" s="1"/>
  <c r="O279" i="18" a="1"/>
  <c r="O279" i="18" s="1"/>
  <c r="P279" i="18" a="1"/>
  <c r="P279" i="18" s="1"/>
  <c r="Q279" i="18" a="1"/>
  <c r="Q279" i="18" s="1"/>
  <c r="R279" i="18" a="1"/>
  <c r="R279" i="18" s="1"/>
  <c r="U279" i="18" a="1"/>
  <c r="U279" i="18" s="1"/>
  <c r="V279" i="18" a="1"/>
  <c r="V279" i="18" s="1"/>
  <c r="W279" i="18" a="1"/>
  <c r="W279" i="18" s="1"/>
  <c r="X279" i="18" a="1"/>
  <c r="X279" i="18" s="1"/>
  <c r="K280" i="18" a="1"/>
  <c r="K280" i="18" s="1"/>
  <c r="L280" i="18" a="1"/>
  <c r="L280" i="18" s="1"/>
  <c r="M280" i="18" a="1"/>
  <c r="M280" i="18" s="1"/>
  <c r="N280" i="18" a="1"/>
  <c r="N280" i="18" s="1"/>
  <c r="O280" i="18" a="1"/>
  <c r="O280" i="18" s="1"/>
  <c r="P280" i="18" a="1"/>
  <c r="P280" i="18" s="1"/>
  <c r="Q280" i="18" a="1"/>
  <c r="Q280" i="18" s="1"/>
  <c r="R280" i="18" a="1"/>
  <c r="R280" i="18" s="1"/>
  <c r="U280" i="18" a="1"/>
  <c r="U280" i="18" s="1"/>
  <c r="V280" i="18" a="1"/>
  <c r="V280" i="18" s="1"/>
  <c r="W280" i="18" a="1"/>
  <c r="W280" i="18" s="1"/>
  <c r="X280" i="18" a="1"/>
  <c r="X280" i="18" s="1"/>
  <c r="K281" i="18" a="1"/>
  <c r="K281" i="18" s="1"/>
  <c r="L281" i="18" a="1"/>
  <c r="L281" i="18" s="1"/>
  <c r="M281" i="18" a="1"/>
  <c r="M281" i="18" s="1"/>
  <c r="N281" i="18" a="1"/>
  <c r="N281" i="18" s="1"/>
  <c r="O281" i="18" a="1"/>
  <c r="O281" i="18" s="1"/>
  <c r="P281" i="18" a="1"/>
  <c r="P281" i="18" s="1"/>
  <c r="Q281" i="18" a="1"/>
  <c r="Q281" i="18" s="1"/>
  <c r="R281" i="18" a="1"/>
  <c r="R281" i="18" s="1"/>
  <c r="U281" i="18" a="1"/>
  <c r="U281" i="18" s="1"/>
  <c r="V281" i="18" a="1"/>
  <c r="V281" i="18" s="1"/>
  <c r="W281" i="18" a="1"/>
  <c r="W281" i="18" s="1"/>
  <c r="X281" i="18" a="1"/>
  <c r="X281" i="18" s="1"/>
  <c r="K282" i="18" a="1"/>
  <c r="K282" i="18" s="1"/>
  <c r="L282" i="18" a="1"/>
  <c r="L282" i="18" s="1"/>
  <c r="M282" i="18" a="1"/>
  <c r="M282" i="18" s="1"/>
  <c r="N282" i="18" a="1"/>
  <c r="N282" i="18" s="1"/>
  <c r="O282" i="18" a="1"/>
  <c r="O282" i="18" s="1"/>
  <c r="P282" i="18" a="1"/>
  <c r="P282" i="18" s="1"/>
  <c r="Q282" i="18" a="1"/>
  <c r="Q282" i="18" s="1"/>
  <c r="R282" i="18" a="1"/>
  <c r="R282" i="18" s="1"/>
  <c r="U282" i="18" a="1"/>
  <c r="U282" i="18" s="1"/>
  <c r="V282" i="18" a="1"/>
  <c r="V282" i="18" s="1"/>
  <c r="W282" i="18" a="1"/>
  <c r="W282" i="18" s="1"/>
  <c r="X282" i="18" a="1"/>
  <c r="X282" i="18" s="1"/>
  <c r="K283" i="18" a="1"/>
  <c r="K283" i="18" s="1"/>
  <c r="L283" i="18" a="1"/>
  <c r="L283" i="18" s="1"/>
  <c r="M283" i="18" a="1"/>
  <c r="M283" i="18" s="1"/>
  <c r="N283" i="18" a="1"/>
  <c r="N283" i="18" s="1"/>
  <c r="O283" i="18" a="1"/>
  <c r="O283" i="18" s="1"/>
  <c r="P283" i="18" a="1"/>
  <c r="P283" i="18" s="1"/>
  <c r="Q283" i="18" a="1"/>
  <c r="Q283" i="18" s="1"/>
  <c r="R283" i="18" a="1"/>
  <c r="R283" i="18" s="1"/>
  <c r="U283" i="18" a="1"/>
  <c r="U283" i="18" s="1"/>
  <c r="V283" i="18" a="1"/>
  <c r="V283" i="18" s="1"/>
  <c r="W283" i="18" a="1"/>
  <c r="W283" i="18" s="1"/>
  <c r="X283" i="18" a="1"/>
  <c r="X283" i="18" s="1"/>
  <c r="K284" i="18" a="1"/>
  <c r="K284" i="18" s="1"/>
  <c r="L284" i="18" a="1"/>
  <c r="L284" i="18" s="1"/>
  <c r="M284" i="18" a="1"/>
  <c r="M284" i="18" s="1"/>
  <c r="N284" i="18" a="1"/>
  <c r="N284" i="18" s="1"/>
  <c r="O284" i="18" a="1"/>
  <c r="O284" i="18" s="1"/>
  <c r="P284" i="18" a="1"/>
  <c r="P284" i="18" s="1"/>
  <c r="Q284" i="18" a="1"/>
  <c r="Q284" i="18" s="1"/>
  <c r="R284" i="18" a="1"/>
  <c r="R284" i="18" s="1"/>
  <c r="U284" i="18" a="1"/>
  <c r="U284" i="18" s="1"/>
  <c r="V284" i="18" a="1"/>
  <c r="V284" i="18" s="1"/>
  <c r="W284" i="18" a="1"/>
  <c r="W284" i="18" s="1"/>
  <c r="X284" i="18" a="1"/>
  <c r="X284" i="18" s="1"/>
  <c r="K285" i="18" a="1"/>
  <c r="K285" i="18" s="1"/>
  <c r="L285" i="18" a="1"/>
  <c r="L285" i="18" s="1"/>
  <c r="M285" i="18" a="1"/>
  <c r="M285" i="18" s="1"/>
  <c r="N285" i="18" a="1"/>
  <c r="N285" i="18" s="1"/>
  <c r="O285" i="18" a="1"/>
  <c r="O285" i="18" s="1"/>
  <c r="P285" i="18" a="1"/>
  <c r="P285" i="18" s="1"/>
  <c r="Q285" i="18" a="1"/>
  <c r="Q285" i="18" s="1"/>
  <c r="R285" i="18" a="1"/>
  <c r="R285" i="18" s="1"/>
  <c r="U285" i="18" a="1"/>
  <c r="U285" i="18" s="1"/>
  <c r="V285" i="18" a="1"/>
  <c r="V285" i="18" s="1"/>
  <c r="W285" i="18" a="1"/>
  <c r="W285" i="18" s="1"/>
  <c r="X285" i="18" a="1"/>
  <c r="X285" i="18" s="1"/>
  <c r="K286" i="18" a="1"/>
  <c r="K286" i="18" s="1"/>
  <c r="L286" i="18" a="1"/>
  <c r="L286" i="18" s="1"/>
  <c r="M286" i="18" a="1"/>
  <c r="M286" i="18" s="1"/>
  <c r="N286" i="18" a="1"/>
  <c r="N286" i="18" s="1"/>
  <c r="O286" i="18" a="1"/>
  <c r="O286" i="18" s="1"/>
  <c r="P286" i="18" a="1"/>
  <c r="P286" i="18" s="1"/>
  <c r="Q286" i="18" a="1"/>
  <c r="Q286" i="18" s="1"/>
  <c r="R286" i="18" a="1"/>
  <c r="R286" i="18" s="1"/>
  <c r="U286" i="18" a="1"/>
  <c r="U286" i="18" s="1"/>
  <c r="V286" i="18" a="1"/>
  <c r="V286" i="18" s="1"/>
  <c r="W286" i="18" a="1"/>
  <c r="W286" i="18" s="1"/>
  <c r="X286" i="18" a="1"/>
  <c r="X286" i="18" s="1"/>
  <c r="K287" i="18" a="1"/>
  <c r="K287" i="18" s="1"/>
  <c r="L287" i="18" a="1"/>
  <c r="L287" i="18" s="1"/>
  <c r="M287" i="18" a="1"/>
  <c r="M287" i="18" s="1"/>
  <c r="N287" i="18" a="1"/>
  <c r="N287" i="18" s="1"/>
  <c r="O287" i="18" a="1"/>
  <c r="O287" i="18" s="1"/>
  <c r="P287" i="18" a="1"/>
  <c r="P287" i="18" s="1"/>
  <c r="Q287" i="18" a="1"/>
  <c r="Q287" i="18" s="1"/>
  <c r="R287" i="18" a="1"/>
  <c r="R287" i="18" s="1"/>
  <c r="U287" i="18" a="1"/>
  <c r="U287" i="18" s="1"/>
  <c r="V287" i="18" a="1"/>
  <c r="V287" i="18" s="1"/>
  <c r="W287" i="18" a="1"/>
  <c r="W287" i="18" s="1"/>
  <c r="X287" i="18" a="1"/>
  <c r="X287" i="18" s="1"/>
  <c r="K288" i="18" a="1"/>
  <c r="K288" i="18" s="1"/>
  <c r="L288" i="18" a="1"/>
  <c r="L288" i="18" s="1"/>
  <c r="M288" i="18" a="1"/>
  <c r="M288" i="18" s="1"/>
  <c r="N288" i="18" a="1"/>
  <c r="N288" i="18" s="1"/>
  <c r="O288" i="18" a="1"/>
  <c r="O288" i="18" s="1"/>
  <c r="P288" i="18" a="1"/>
  <c r="P288" i="18" s="1"/>
  <c r="Q288" i="18" a="1"/>
  <c r="Q288" i="18" s="1"/>
  <c r="R288" i="18" a="1"/>
  <c r="R288" i="18" s="1"/>
  <c r="U288" i="18" a="1"/>
  <c r="U288" i="18" s="1"/>
  <c r="V288" i="18" a="1"/>
  <c r="V288" i="18" s="1"/>
  <c r="W288" i="18" a="1"/>
  <c r="W288" i="18" s="1"/>
  <c r="X288" i="18" a="1"/>
  <c r="X288" i="18" s="1"/>
  <c r="K289" i="18" a="1"/>
  <c r="K289" i="18" s="1"/>
  <c r="L289" i="18" a="1"/>
  <c r="L289" i="18" s="1"/>
  <c r="M289" i="18" a="1"/>
  <c r="M289" i="18" s="1"/>
  <c r="N289" i="18" a="1"/>
  <c r="N289" i="18" s="1"/>
  <c r="O289" i="18" a="1"/>
  <c r="O289" i="18" s="1"/>
  <c r="P289" i="18" a="1"/>
  <c r="P289" i="18" s="1"/>
  <c r="Q289" i="18" a="1"/>
  <c r="Q289" i="18" s="1"/>
  <c r="R289" i="18" a="1"/>
  <c r="R289" i="18" s="1"/>
  <c r="U289" i="18" a="1"/>
  <c r="U289" i="18" s="1"/>
  <c r="V289" i="18" a="1"/>
  <c r="V289" i="18" s="1"/>
  <c r="W289" i="18" a="1"/>
  <c r="W289" i="18" s="1"/>
  <c r="X289" i="18" a="1"/>
  <c r="X289" i="18" s="1"/>
  <c r="K290" i="18" a="1"/>
  <c r="K290" i="18" s="1"/>
  <c r="L290" i="18" a="1"/>
  <c r="L290" i="18" s="1"/>
  <c r="M290" i="18" a="1"/>
  <c r="M290" i="18" s="1"/>
  <c r="N290" i="18" a="1"/>
  <c r="N290" i="18" s="1"/>
  <c r="O290" i="18" a="1"/>
  <c r="O290" i="18" s="1"/>
  <c r="P290" i="18" a="1"/>
  <c r="P290" i="18" s="1"/>
  <c r="Q290" i="18" a="1"/>
  <c r="Q290" i="18" s="1"/>
  <c r="R290" i="18" a="1"/>
  <c r="R290" i="18" s="1"/>
  <c r="U290" i="18" a="1"/>
  <c r="U290" i="18" s="1"/>
  <c r="V290" i="18" a="1"/>
  <c r="V290" i="18" s="1"/>
  <c r="W290" i="18" a="1"/>
  <c r="W290" i="18" s="1"/>
  <c r="X290" i="18" a="1"/>
  <c r="X290" i="18" s="1"/>
  <c r="K291" i="18" a="1"/>
  <c r="K291" i="18" s="1"/>
  <c r="L291" i="18" a="1"/>
  <c r="L291" i="18" s="1"/>
  <c r="M291" i="18" a="1"/>
  <c r="M291" i="18" s="1"/>
  <c r="N291" i="18" a="1"/>
  <c r="N291" i="18" s="1"/>
  <c r="O291" i="18" a="1"/>
  <c r="O291" i="18" s="1"/>
  <c r="P291" i="18" a="1"/>
  <c r="P291" i="18" s="1"/>
  <c r="Q291" i="18" a="1"/>
  <c r="Q291" i="18" s="1"/>
  <c r="R291" i="18" a="1"/>
  <c r="R291" i="18" s="1"/>
  <c r="U291" i="18" a="1"/>
  <c r="U291" i="18" s="1"/>
  <c r="V291" i="18" a="1"/>
  <c r="V291" i="18" s="1"/>
  <c r="W291" i="18" a="1"/>
  <c r="W291" i="18" s="1"/>
  <c r="X291" i="18" a="1"/>
  <c r="X291" i="18" s="1"/>
  <c r="K292" i="18" a="1"/>
  <c r="K292" i="18" s="1"/>
  <c r="L292" i="18" a="1"/>
  <c r="L292" i="18" s="1"/>
  <c r="M292" i="18" a="1"/>
  <c r="M292" i="18" s="1"/>
  <c r="N292" i="18" a="1"/>
  <c r="N292" i="18" s="1"/>
  <c r="O292" i="18" a="1"/>
  <c r="O292" i="18" s="1"/>
  <c r="P292" i="18" a="1"/>
  <c r="P292" i="18" s="1"/>
  <c r="Q292" i="18" a="1"/>
  <c r="Q292" i="18" s="1"/>
  <c r="R292" i="18" a="1"/>
  <c r="R292" i="18" s="1"/>
  <c r="U292" i="18" a="1"/>
  <c r="U292" i="18" s="1"/>
  <c r="V292" i="18" a="1"/>
  <c r="V292" i="18" s="1"/>
  <c r="W292" i="18" a="1"/>
  <c r="W292" i="18" s="1"/>
  <c r="X292" i="18" a="1"/>
  <c r="X292" i="18" s="1"/>
  <c r="K293" i="18" a="1"/>
  <c r="K293" i="18" s="1"/>
  <c r="L293" i="18" a="1"/>
  <c r="L293" i="18" s="1"/>
  <c r="M293" i="18" a="1"/>
  <c r="M293" i="18" s="1"/>
  <c r="N293" i="18" a="1"/>
  <c r="N293" i="18" s="1"/>
  <c r="O293" i="18" a="1"/>
  <c r="O293" i="18" s="1"/>
  <c r="P293" i="18" a="1"/>
  <c r="P293" i="18" s="1"/>
  <c r="Q293" i="18" a="1"/>
  <c r="Q293" i="18" s="1"/>
  <c r="R293" i="18" a="1"/>
  <c r="R293" i="18" s="1"/>
  <c r="U293" i="18" a="1"/>
  <c r="U293" i="18" s="1"/>
  <c r="V293" i="18" a="1"/>
  <c r="V293" i="18" s="1"/>
  <c r="W293" i="18" a="1"/>
  <c r="W293" i="18" s="1"/>
  <c r="X293" i="18" a="1"/>
  <c r="X293" i="18" s="1"/>
  <c r="K294" i="18" a="1"/>
  <c r="K294" i="18" s="1"/>
  <c r="L294" i="18" a="1"/>
  <c r="L294" i="18" s="1"/>
  <c r="M294" i="18" a="1"/>
  <c r="M294" i="18" s="1"/>
  <c r="N294" i="18" a="1"/>
  <c r="N294" i="18" s="1"/>
  <c r="O294" i="18" a="1"/>
  <c r="O294" i="18" s="1"/>
  <c r="P294" i="18" a="1"/>
  <c r="P294" i="18" s="1"/>
  <c r="Q294" i="18" a="1"/>
  <c r="Q294" i="18" s="1"/>
  <c r="R294" i="18" a="1"/>
  <c r="R294" i="18" s="1"/>
  <c r="U294" i="18" a="1"/>
  <c r="U294" i="18" s="1"/>
  <c r="V294" i="18" a="1"/>
  <c r="V294" i="18" s="1"/>
  <c r="W294" i="18" a="1"/>
  <c r="W294" i="18" s="1"/>
  <c r="X294" i="18" a="1"/>
  <c r="X294" i="18" s="1"/>
  <c r="K295" i="18" a="1"/>
  <c r="K295" i="18" s="1"/>
  <c r="L295" i="18" a="1"/>
  <c r="L295" i="18" s="1"/>
  <c r="M295" i="18" a="1"/>
  <c r="M295" i="18" s="1"/>
  <c r="N295" i="18" a="1"/>
  <c r="N295" i="18" s="1"/>
  <c r="O295" i="18" a="1"/>
  <c r="O295" i="18" s="1"/>
  <c r="P295" i="18" a="1"/>
  <c r="P295" i="18" s="1"/>
  <c r="Q295" i="18" a="1"/>
  <c r="Q295" i="18" s="1"/>
  <c r="R295" i="18" a="1"/>
  <c r="R295" i="18" s="1"/>
  <c r="U295" i="18" a="1"/>
  <c r="U295" i="18" s="1"/>
  <c r="V295" i="18" a="1"/>
  <c r="V295" i="18" s="1"/>
  <c r="W295" i="18" a="1"/>
  <c r="W295" i="18" s="1"/>
  <c r="X295" i="18" a="1"/>
  <c r="X295" i="18" s="1"/>
  <c r="K296" i="18" a="1"/>
  <c r="K296" i="18" s="1"/>
  <c r="L296" i="18" a="1"/>
  <c r="L296" i="18" s="1"/>
  <c r="M296" i="18" a="1"/>
  <c r="M296" i="18" s="1"/>
  <c r="N296" i="18" a="1"/>
  <c r="N296" i="18" s="1"/>
  <c r="O296" i="18" a="1"/>
  <c r="O296" i="18" s="1"/>
  <c r="P296" i="18" a="1"/>
  <c r="P296" i="18" s="1"/>
  <c r="Q296" i="18" a="1"/>
  <c r="Q296" i="18" s="1"/>
  <c r="R296" i="18" a="1"/>
  <c r="R296" i="18" s="1"/>
  <c r="U296" i="18" a="1"/>
  <c r="U296" i="18" s="1"/>
  <c r="V296" i="18" a="1"/>
  <c r="V296" i="18" s="1"/>
  <c r="W296" i="18" a="1"/>
  <c r="W296" i="18" s="1"/>
  <c r="X296" i="18" a="1"/>
  <c r="X296" i="18" s="1"/>
  <c r="K297" i="18" a="1"/>
  <c r="K297" i="18" s="1"/>
  <c r="L297" i="18" a="1"/>
  <c r="L297" i="18" s="1"/>
  <c r="M297" i="18" a="1"/>
  <c r="M297" i="18" s="1"/>
  <c r="N297" i="18" a="1"/>
  <c r="N297" i="18" s="1"/>
  <c r="O297" i="18" a="1"/>
  <c r="O297" i="18" s="1"/>
  <c r="P297" i="18" a="1"/>
  <c r="P297" i="18" s="1"/>
  <c r="Q297" i="18" a="1"/>
  <c r="Q297" i="18" s="1"/>
  <c r="R297" i="18" a="1"/>
  <c r="R297" i="18" s="1"/>
  <c r="U297" i="18" a="1"/>
  <c r="U297" i="18" s="1"/>
  <c r="V297" i="18" a="1"/>
  <c r="V297" i="18" s="1"/>
  <c r="W297" i="18" a="1"/>
  <c r="W297" i="18" s="1"/>
  <c r="X297" i="18" a="1"/>
  <c r="X297" i="18" s="1"/>
  <c r="K298" i="18" a="1"/>
  <c r="K298" i="18" s="1"/>
  <c r="L298" i="18" a="1"/>
  <c r="L298" i="18" s="1"/>
  <c r="M298" i="18" a="1"/>
  <c r="M298" i="18" s="1"/>
  <c r="N298" i="18" a="1"/>
  <c r="N298" i="18" s="1"/>
  <c r="O298" i="18" a="1"/>
  <c r="O298" i="18" s="1"/>
  <c r="P298" i="18" a="1"/>
  <c r="P298" i="18" s="1"/>
  <c r="Q298" i="18" a="1"/>
  <c r="Q298" i="18" s="1"/>
  <c r="R298" i="18" a="1"/>
  <c r="R298" i="18" s="1"/>
  <c r="U298" i="18" a="1"/>
  <c r="U298" i="18" s="1"/>
  <c r="V298" i="18" a="1"/>
  <c r="V298" i="18" s="1"/>
  <c r="W298" i="18" a="1"/>
  <c r="W298" i="18" s="1"/>
  <c r="X298" i="18" a="1"/>
  <c r="X298" i="18" s="1"/>
  <c r="K299" i="18" a="1"/>
  <c r="K299" i="18" s="1"/>
  <c r="L299" i="18" a="1"/>
  <c r="L299" i="18" s="1"/>
  <c r="M299" i="18" a="1"/>
  <c r="M299" i="18" s="1"/>
  <c r="N299" i="18" a="1"/>
  <c r="N299" i="18" s="1"/>
  <c r="O299" i="18" a="1"/>
  <c r="O299" i="18" s="1"/>
  <c r="P299" i="18" a="1"/>
  <c r="P299" i="18" s="1"/>
  <c r="Q299" i="18" a="1"/>
  <c r="Q299" i="18" s="1"/>
  <c r="R299" i="18" a="1"/>
  <c r="R299" i="18" s="1"/>
  <c r="U299" i="18" a="1"/>
  <c r="U299" i="18" s="1"/>
  <c r="V299" i="18" a="1"/>
  <c r="V299" i="18" s="1"/>
  <c r="W299" i="18" a="1"/>
  <c r="W299" i="18" s="1"/>
  <c r="X299" i="18" a="1"/>
  <c r="X299" i="18" s="1"/>
  <c r="K300" i="18" a="1"/>
  <c r="K300" i="18" s="1"/>
  <c r="L300" i="18" a="1"/>
  <c r="L300" i="18" s="1"/>
  <c r="M300" i="18" a="1"/>
  <c r="M300" i="18" s="1"/>
  <c r="N300" i="18" a="1"/>
  <c r="N300" i="18" s="1"/>
  <c r="O300" i="18" a="1"/>
  <c r="O300" i="18" s="1"/>
  <c r="P300" i="18" a="1"/>
  <c r="P300" i="18" s="1"/>
  <c r="Q300" i="18" a="1"/>
  <c r="Q300" i="18" s="1"/>
  <c r="R300" i="18" a="1"/>
  <c r="R300" i="18" s="1"/>
  <c r="U300" i="18" a="1"/>
  <c r="U300" i="18" s="1"/>
  <c r="V300" i="18" a="1"/>
  <c r="V300" i="18" s="1"/>
  <c r="W300" i="18" a="1"/>
  <c r="W300" i="18" s="1"/>
  <c r="X300" i="18" a="1"/>
  <c r="X300" i="18" s="1"/>
  <c r="K301" i="18" a="1"/>
  <c r="K301" i="18" s="1"/>
  <c r="L301" i="18" a="1"/>
  <c r="L301" i="18" s="1"/>
  <c r="M301" i="18" a="1"/>
  <c r="M301" i="18" s="1"/>
  <c r="N301" i="18" a="1"/>
  <c r="N301" i="18" s="1"/>
  <c r="O301" i="18" a="1"/>
  <c r="O301" i="18" s="1"/>
  <c r="P301" i="18" a="1"/>
  <c r="P301" i="18" s="1"/>
  <c r="Q301" i="18" a="1"/>
  <c r="Q301" i="18" s="1"/>
  <c r="R301" i="18" a="1"/>
  <c r="R301" i="18" s="1"/>
  <c r="U301" i="18" a="1"/>
  <c r="U301" i="18" s="1"/>
  <c r="V301" i="18" a="1"/>
  <c r="V301" i="18" s="1"/>
  <c r="W301" i="18" a="1"/>
  <c r="W301" i="18" s="1"/>
  <c r="X301" i="18" a="1"/>
  <c r="X301" i="18" s="1"/>
  <c r="K302" i="18" a="1"/>
  <c r="K302" i="18" s="1"/>
  <c r="L302" i="18" a="1"/>
  <c r="L302" i="18" s="1"/>
  <c r="M302" i="18" a="1"/>
  <c r="M302" i="18" s="1"/>
  <c r="N302" i="18" a="1"/>
  <c r="N302" i="18" s="1"/>
  <c r="O302" i="18" a="1"/>
  <c r="O302" i="18" s="1"/>
  <c r="P302" i="18" a="1"/>
  <c r="P302" i="18" s="1"/>
  <c r="Q302" i="18" a="1"/>
  <c r="Q302" i="18" s="1"/>
  <c r="R302" i="18" a="1"/>
  <c r="R302" i="18" s="1"/>
  <c r="U302" i="18" a="1"/>
  <c r="U302" i="18" s="1"/>
  <c r="V302" i="18" a="1"/>
  <c r="V302" i="18" s="1"/>
  <c r="W302" i="18" a="1"/>
  <c r="W302" i="18" s="1"/>
  <c r="X302" i="18" a="1"/>
  <c r="X302" i="18" s="1"/>
  <c r="K303" i="18" a="1"/>
  <c r="K303" i="18" s="1"/>
  <c r="L303" i="18" a="1"/>
  <c r="L303" i="18" s="1"/>
  <c r="M303" i="18" a="1"/>
  <c r="M303" i="18" s="1"/>
  <c r="N303" i="18" a="1"/>
  <c r="N303" i="18" s="1"/>
  <c r="O303" i="18" a="1"/>
  <c r="O303" i="18" s="1"/>
  <c r="P303" i="18" a="1"/>
  <c r="P303" i="18" s="1"/>
  <c r="Q303" i="18" a="1"/>
  <c r="Q303" i="18" s="1"/>
  <c r="R303" i="18" a="1"/>
  <c r="R303" i="18" s="1"/>
  <c r="U303" i="18" a="1"/>
  <c r="U303" i="18" s="1"/>
  <c r="V303" i="18" a="1"/>
  <c r="V303" i="18" s="1"/>
  <c r="W303" i="18" a="1"/>
  <c r="W303" i="18" s="1"/>
  <c r="X303" i="18" a="1"/>
  <c r="X303" i="18" s="1"/>
  <c r="K304" i="18" a="1"/>
  <c r="K304" i="18" s="1"/>
  <c r="L304" i="18" a="1"/>
  <c r="L304" i="18" s="1"/>
  <c r="M304" i="18" a="1"/>
  <c r="M304" i="18" s="1"/>
  <c r="N304" i="18" a="1"/>
  <c r="N304" i="18" s="1"/>
  <c r="O304" i="18" a="1"/>
  <c r="O304" i="18" s="1"/>
  <c r="P304" i="18" a="1"/>
  <c r="P304" i="18" s="1"/>
  <c r="Q304" i="18" a="1"/>
  <c r="Q304" i="18" s="1"/>
  <c r="R304" i="18" a="1"/>
  <c r="R304" i="18" s="1"/>
  <c r="U304" i="18" a="1"/>
  <c r="U304" i="18" s="1"/>
  <c r="V304" i="18" a="1"/>
  <c r="V304" i="18" s="1"/>
  <c r="W304" i="18" a="1"/>
  <c r="W304" i="18" s="1"/>
  <c r="X304" i="18" a="1"/>
  <c r="X304" i="18" s="1"/>
  <c r="K305" i="18" a="1"/>
  <c r="K305" i="18" s="1"/>
  <c r="L305" i="18" a="1"/>
  <c r="L305" i="18" s="1"/>
  <c r="M305" i="18" a="1"/>
  <c r="M305" i="18" s="1"/>
  <c r="N305" i="18" a="1"/>
  <c r="N305" i="18" s="1"/>
  <c r="O305" i="18" a="1"/>
  <c r="O305" i="18" s="1"/>
  <c r="P305" i="18" a="1"/>
  <c r="P305" i="18" s="1"/>
  <c r="Q305" i="18" a="1"/>
  <c r="Q305" i="18" s="1"/>
  <c r="R305" i="18" a="1"/>
  <c r="R305" i="18" s="1"/>
  <c r="U305" i="18" a="1"/>
  <c r="U305" i="18" s="1"/>
  <c r="V305" i="18" a="1"/>
  <c r="V305" i="18" s="1"/>
  <c r="W305" i="18" a="1"/>
  <c r="W305" i="18" s="1"/>
  <c r="X305" i="18" a="1"/>
  <c r="X305" i="18" s="1"/>
  <c r="K306" i="18" a="1"/>
  <c r="K306" i="18" s="1"/>
  <c r="L306" i="18" a="1"/>
  <c r="L306" i="18" s="1"/>
  <c r="M306" i="18" a="1"/>
  <c r="M306" i="18" s="1"/>
  <c r="N306" i="18" a="1"/>
  <c r="N306" i="18" s="1"/>
  <c r="O306" i="18" a="1"/>
  <c r="O306" i="18" s="1"/>
  <c r="P306" i="18" a="1"/>
  <c r="P306" i="18" s="1"/>
  <c r="Q306" i="18" a="1"/>
  <c r="Q306" i="18" s="1"/>
  <c r="R306" i="18" a="1"/>
  <c r="R306" i="18" s="1"/>
  <c r="U306" i="18" a="1"/>
  <c r="U306" i="18" s="1"/>
  <c r="V306" i="18" a="1"/>
  <c r="V306" i="18" s="1"/>
  <c r="W306" i="18" a="1"/>
  <c r="W306" i="18" s="1"/>
  <c r="X306" i="18" a="1"/>
  <c r="X306" i="18" s="1"/>
  <c r="K307" i="18" a="1"/>
  <c r="K307" i="18" s="1"/>
  <c r="L307" i="18" a="1"/>
  <c r="L307" i="18" s="1"/>
  <c r="M307" i="18" a="1"/>
  <c r="M307" i="18" s="1"/>
  <c r="N307" i="18" a="1"/>
  <c r="N307" i="18" s="1"/>
  <c r="O307" i="18" a="1"/>
  <c r="O307" i="18" s="1"/>
  <c r="P307" i="18" a="1"/>
  <c r="P307" i="18" s="1"/>
  <c r="Q307" i="18" a="1"/>
  <c r="Q307" i="18" s="1"/>
  <c r="R307" i="18" a="1"/>
  <c r="R307" i="18" s="1"/>
  <c r="U307" i="18" a="1"/>
  <c r="U307" i="18" s="1"/>
  <c r="V307" i="18" a="1"/>
  <c r="V307" i="18" s="1"/>
  <c r="W307" i="18" a="1"/>
  <c r="W307" i="18" s="1"/>
  <c r="X307" i="18" a="1"/>
  <c r="X307" i="18" s="1"/>
  <c r="K308" i="18" a="1"/>
  <c r="K308" i="18" s="1"/>
  <c r="L308" i="18" a="1"/>
  <c r="L308" i="18" s="1"/>
  <c r="M308" i="18" a="1"/>
  <c r="M308" i="18" s="1"/>
  <c r="N308" i="18" a="1"/>
  <c r="N308" i="18" s="1"/>
  <c r="O308" i="18" a="1"/>
  <c r="O308" i="18" s="1"/>
  <c r="P308" i="18" a="1"/>
  <c r="P308" i="18" s="1"/>
  <c r="Q308" i="18" a="1"/>
  <c r="Q308" i="18" s="1"/>
  <c r="R308" i="18" a="1"/>
  <c r="R308" i="18" s="1"/>
  <c r="U308" i="18" a="1"/>
  <c r="U308" i="18" s="1"/>
  <c r="V308" i="18" a="1"/>
  <c r="V308" i="18" s="1"/>
  <c r="W308" i="18" a="1"/>
  <c r="W308" i="18" s="1"/>
  <c r="X308" i="18" a="1"/>
  <c r="X308" i="18" s="1"/>
  <c r="K309" i="18" a="1"/>
  <c r="K309" i="18" s="1"/>
  <c r="L309" i="18" a="1"/>
  <c r="L309" i="18" s="1"/>
  <c r="M309" i="18" a="1"/>
  <c r="M309" i="18" s="1"/>
  <c r="N309" i="18" a="1"/>
  <c r="N309" i="18" s="1"/>
  <c r="O309" i="18" a="1"/>
  <c r="O309" i="18" s="1"/>
  <c r="P309" i="18" a="1"/>
  <c r="P309" i="18" s="1"/>
  <c r="Q309" i="18" a="1"/>
  <c r="Q309" i="18" s="1"/>
  <c r="R309" i="18" a="1"/>
  <c r="R309" i="18" s="1"/>
  <c r="U309" i="18" a="1"/>
  <c r="U309" i="18" s="1"/>
  <c r="V309" i="18" a="1"/>
  <c r="V309" i="18" s="1"/>
  <c r="W309" i="18" a="1"/>
  <c r="W309" i="18" s="1"/>
  <c r="X309" i="18" a="1"/>
  <c r="X309" i="18" s="1"/>
  <c r="K310" i="18" a="1"/>
  <c r="K310" i="18" s="1"/>
  <c r="L310" i="18" a="1"/>
  <c r="L310" i="18" s="1"/>
  <c r="M310" i="18" a="1"/>
  <c r="M310" i="18" s="1"/>
  <c r="N310" i="18" a="1"/>
  <c r="N310" i="18" s="1"/>
  <c r="O310" i="18" a="1"/>
  <c r="O310" i="18" s="1"/>
  <c r="P310" i="18" a="1"/>
  <c r="P310" i="18" s="1"/>
  <c r="Q310" i="18" a="1"/>
  <c r="Q310" i="18" s="1"/>
  <c r="R310" i="18" a="1"/>
  <c r="R310" i="18" s="1"/>
  <c r="U310" i="18" a="1"/>
  <c r="U310" i="18" s="1"/>
  <c r="V310" i="18" a="1"/>
  <c r="V310" i="18" s="1"/>
  <c r="W310" i="18" a="1"/>
  <c r="W310" i="18" s="1"/>
  <c r="X310" i="18" a="1"/>
  <c r="X310" i="18" s="1"/>
  <c r="K311" i="18" a="1"/>
  <c r="K311" i="18" s="1"/>
  <c r="L311" i="18" a="1"/>
  <c r="L311" i="18" s="1"/>
  <c r="M311" i="18" a="1"/>
  <c r="M311" i="18" s="1"/>
  <c r="N311" i="18" a="1"/>
  <c r="N311" i="18" s="1"/>
  <c r="O311" i="18" a="1"/>
  <c r="O311" i="18" s="1"/>
  <c r="P311" i="18" a="1"/>
  <c r="P311" i="18" s="1"/>
  <c r="Q311" i="18" a="1"/>
  <c r="Q311" i="18" s="1"/>
  <c r="R311" i="18" a="1"/>
  <c r="R311" i="18" s="1"/>
  <c r="U311" i="18" a="1"/>
  <c r="U311" i="18" s="1"/>
  <c r="V311" i="18" a="1"/>
  <c r="V311" i="18" s="1"/>
  <c r="W311" i="18" a="1"/>
  <c r="W311" i="18" s="1"/>
  <c r="X311" i="18" a="1"/>
  <c r="X311" i="18" s="1"/>
  <c r="K312" i="18" a="1"/>
  <c r="K312" i="18" s="1"/>
  <c r="L312" i="18" a="1"/>
  <c r="L312" i="18" s="1"/>
  <c r="M312" i="18" a="1"/>
  <c r="M312" i="18" s="1"/>
  <c r="N312" i="18" a="1"/>
  <c r="N312" i="18" s="1"/>
  <c r="O312" i="18" a="1"/>
  <c r="O312" i="18" s="1"/>
  <c r="P312" i="18" a="1"/>
  <c r="P312" i="18" s="1"/>
  <c r="Q312" i="18" a="1"/>
  <c r="Q312" i="18" s="1"/>
  <c r="R312" i="18" a="1"/>
  <c r="R312" i="18" s="1"/>
  <c r="U312" i="18" a="1"/>
  <c r="U312" i="18" s="1"/>
  <c r="V312" i="18" a="1"/>
  <c r="V312" i="18" s="1"/>
  <c r="W312" i="18" a="1"/>
  <c r="W312" i="18" s="1"/>
  <c r="X312" i="18" a="1"/>
  <c r="X312" i="18" s="1"/>
  <c r="K313" i="18" a="1"/>
  <c r="K313" i="18" s="1"/>
  <c r="L313" i="18" a="1"/>
  <c r="L313" i="18" s="1"/>
  <c r="M313" i="18" a="1"/>
  <c r="M313" i="18" s="1"/>
  <c r="N313" i="18" a="1"/>
  <c r="N313" i="18" s="1"/>
  <c r="O313" i="18" a="1"/>
  <c r="O313" i="18" s="1"/>
  <c r="P313" i="18" a="1"/>
  <c r="P313" i="18" s="1"/>
  <c r="Q313" i="18" a="1"/>
  <c r="Q313" i="18" s="1"/>
  <c r="R313" i="18" a="1"/>
  <c r="R313" i="18" s="1"/>
  <c r="U313" i="18" a="1"/>
  <c r="U313" i="18" s="1"/>
  <c r="V313" i="18" a="1"/>
  <c r="V313" i="18" s="1"/>
  <c r="W313" i="18" a="1"/>
  <c r="W313" i="18" s="1"/>
  <c r="X313" i="18" a="1"/>
  <c r="X313" i="18" s="1"/>
  <c r="K314" i="18" a="1"/>
  <c r="K314" i="18" s="1"/>
  <c r="L314" i="18" a="1"/>
  <c r="L314" i="18" s="1"/>
  <c r="M314" i="18" a="1"/>
  <c r="M314" i="18" s="1"/>
  <c r="N314" i="18" a="1"/>
  <c r="N314" i="18" s="1"/>
  <c r="O314" i="18" a="1"/>
  <c r="O314" i="18" s="1"/>
  <c r="P314" i="18" a="1"/>
  <c r="P314" i="18" s="1"/>
  <c r="Q314" i="18" a="1"/>
  <c r="Q314" i="18" s="1"/>
  <c r="R314" i="18" a="1"/>
  <c r="R314" i="18" s="1"/>
  <c r="U314" i="18" a="1"/>
  <c r="U314" i="18" s="1"/>
  <c r="V314" i="18" a="1"/>
  <c r="V314" i="18" s="1"/>
  <c r="W314" i="18" a="1"/>
  <c r="W314" i="18" s="1"/>
  <c r="X314" i="18" a="1"/>
  <c r="X314" i="18" s="1"/>
  <c r="K315" i="18" a="1"/>
  <c r="K315" i="18" s="1"/>
  <c r="L315" i="18" a="1"/>
  <c r="L315" i="18" s="1"/>
  <c r="M315" i="18" a="1"/>
  <c r="M315" i="18" s="1"/>
  <c r="N315" i="18" a="1"/>
  <c r="N315" i="18" s="1"/>
  <c r="O315" i="18" a="1"/>
  <c r="O315" i="18" s="1"/>
  <c r="P315" i="18" a="1"/>
  <c r="P315" i="18" s="1"/>
  <c r="Q315" i="18" a="1"/>
  <c r="Q315" i="18" s="1"/>
  <c r="R315" i="18" a="1"/>
  <c r="R315" i="18" s="1"/>
  <c r="U315" i="18" a="1"/>
  <c r="U315" i="18" s="1"/>
  <c r="V315" i="18" a="1"/>
  <c r="V315" i="18" s="1"/>
  <c r="W315" i="18" a="1"/>
  <c r="W315" i="18" s="1"/>
  <c r="X315" i="18" a="1"/>
  <c r="X315" i="18" s="1"/>
  <c r="K316" i="18" a="1"/>
  <c r="K316" i="18" s="1"/>
  <c r="L316" i="18" a="1"/>
  <c r="L316" i="18" s="1"/>
  <c r="M316" i="18" a="1"/>
  <c r="M316" i="18" s="1"/>
  <c r="N316" i="18" a="1"/>
  <c r="N316" i="18" s="1"/>
  <c r="O316" i="18" a="1"/>
  <c r="O316" i="18" s="1"/>
  <c r="P316" i="18" a="1"/>
  <c r="P316" i="18" s="1"/>
  <c r="Q316" i="18" a="1"/>
  <c r="Q316" i="18" s="1"/>
  <c r="R316" i="18" a="1"/>
  <c r="R316" i="18" s="1"/>
  <c r="U316" i="18" a="1"/>
  <c r="U316" i="18" s="1"/>
  <c r="V316" i="18" a="1"/>
  <c r="V316" i="18" s="1"/>
  <c r="W316" i="18" a="1"/>
  <c r="W316" i="18" s="1"/>
  <c r="X316" i="18" a="1"/>
  <c r="X316" i="18" s="1"/>
  <c r="K317" i="18" a="1"/>
  <c r="K317" i="18" s="1"/>
  <c r="L317" i="18" a="1"/>
  <c r="L317" i="18" s="1"/>
  <c r="M317" i="18" a="1"/>
  <c r="M317" i="18" s="1"/>
  <c r="N317" i="18" a="1"/>
  <c r="N317" i="18" s="1"/>
  <c r="O317" i="18" a="1"/>
  <c r="O317" i="18" s="1"/>
  <c r="P317" i="18" a="1"/>
  <c r="P317" i="18" s="1"/>
  <c r="Q317" i="18" a="1"/>
  <c r="Q317" i="18" s="1"/>
  <c r="R317" i="18" a="1"/>
  <c r="R317" i="18" s="1"/>
  <c r="U317" i="18" a="1"/>
  <c r="U317" i="18" s="1"/>
  <c r="V317" i="18" a="1"/>
  <c r="V317" i="18" s="1"/>
  <c r="W317" i="18" a="1"/>
  <c r="W317" i="18" s="1"/>
  <c r="X317" i="18" a="1"/>
  <c r="X317" i="18" s="1"/>
  <c r="K318" i="18" a="1"/>
  <c r="K318" i="18" s="1"/>
  <c r="L318" i="18" a="1"/>
  <c r="L318" i="18" s="1"/>
  <c r="M318" i="18" a="1"/>
  <c r="M318" i="18" s="1"/>
  <c r="N318" i="18" a="1"/>
  <c r="N318" i="18" s="1"/>
  <c r="O318" i="18" a="1"/>
  <c r="O318" i="18" s="1"/>
  <c r="P318" i="18" a="1"/>
  <c r="P318" i="18" s="1"/>
  <c r="Q318" i="18" a="1"/>
  <c r="Q318" i="18" s="1"/>
  <c r="R318" i="18" a="1"/>
  <c r="R318" i="18" s="1"/>
  <c r="U318" i="18" a="1"/>
  <c r="U318" i="18" s="1"/>
  <c r="V318" i="18" a="1"/>
  <c r="V318" i="18" s="1"/>
  <c r="W318" i="18" a="1"/>
  <c r="W318" i="18" s="1"/>
  <c r="X318" i="18" a="1"/>
  <c r="X318" i="18" s="1"/>
  <c r="K319" i="18" a="1"/>
  <c r="K319" i="18" s="1"/>
  <c r="L319" i="18" a="1"/>
  <c r="L319" i="18" s="1"/>
  <c r="M319" i="18" a="1"/>
  <c r="M319" i="18" s="1"/>
  <c r="N319" i="18" a="1"/>
  <c r="N319" i="18" s="1"/>
  <c r="O319" i="18" a="1"/>
  <c r="O319" i="18" s="1"/>
  <c r="P319" i="18" a="1"/>
  <c r="P319" i="18" s="1"/>
  <c r="Q319" i="18" a="1"/>
  <c r="Q319" i="18" s="1"/>
  <c r="R319" i="18" a="1"/>
  <c r="R319" i="18" s="1"/>
  <c r="U319" i="18" a="1"/>
  <c r="U319" i="18" s="1"/>
  <c r="V319" i="18" a="1"/>
  <c r="V319" i="18" s="1"/>
  <c r="W319" i="18" a="1"/>
  <c r="W319" i="18" s="1"/>
  <c r="X319" i="18" a="1"/>
  <c r="X319" i="18" s="1"/>
  <c r="K320" i="18" a="1"/>
  <c r="K320" i="18" s="1"/>
  <c r="L320" i="18" a="1"/>
  <c r="L320" i="18" s="1"/>
  <c r="M320" i="18" a="1"/>
  <c r="M320" i="18" s="1"/>
  <c r="N320" i="18" a="1"/>
  <c r="N320" i="18" s="1"/>
  <c r="O320" i="18" a="1"/>
  <c r="O320" i="18" s="1"/>
  <c r="P320" i="18" a="1"/>
  <c r="P320" i="18" s="1"/>
  <c r="Q320" i="18" a="1"/>
  <c r="Q320" i="18" s="1"/>
  <c r="R320" i="18" a="1"/>
  <c r="R320" i="18" s="1"/>
  <c r="U320" i="18" a="1"/>
  <c r="U320" i="18" s="1"/>
  <c r="V320" i="18" a="1"/>
  <c r="V320" i="18" s="1"/>
  <c r="W320" i="18" a="1"/>
  <c r="W320" i="18" s="1"/>
  <c r="X320" i="18" a="1"/>
  <c r="X320" i="18" s="1"/>
  <c r="K321" i="18" a="1"/>
  <c r="K321" i="18" s="1"/>
  <c r="L321" i="18" a="1"/>
  <c r="L321" i="18" s="1"/>
  <c r="M321" i="18" a="1"/>
  <c r="M321" i="18" s="1"/>
  <c r="N321" i="18" a="1"/>
  <c r="N321" i="18" s="1"/>
  <c r="O321" i="18" a="1"/>
  <c r="O321" i="18" s="1"/>
  <c r="P321" i="18" a="1"/>
  <c r="P321" i="18" s="1"/>
  <c r="Q321" i="18" a="1"/>
  <c r="Q321" i="18" s="1"/>
  <c r="R321" i="18" a="1"/>
  <c r="R321" i="18" s="1"/>
  <c r="U321" i="18" a="1"/>
  <c r="U321" i="18" s="1"/>
  <c r="V321" i="18" a="1"/>
  <c r="V321" i="18" s="1"/>
  <c r="W321" i="18" a="1"/>
  <c r="W321" i="18" s="1"/>
  <c r="X321" i="18" a="1"/>
  <c r="X321" i="18" s="1"/>
  <c r="K322" i="18" a="1"/>
  <c r="K322" i="18" s="1"/>
  <c r="L322" i="18" a="1"/>
  <c r="L322" i="18" s="1"/>
  <c r="M322" i="18" a="1"/>
  <c r="M322" i="18" s="1"/>
  <c r="N322" i="18" a="1"/>
  <c r="N322" i="18" s="1"/>
  <c r="O322" i="18" a="1"/>
  <c r="O322" i="18" s="1"/>
  <c r="P322" i="18" a="1"/>
  <c r="P322" i="18" s="1"/>
  <c r="Q322" i="18" a="1"/>
  <c r="Q322" i="18" s="1"/>
  <c r="R322" i="18" a="1"/>
  <c r="R322" i="18" s="1"/>
  <c r="U322" i="18" a="1"/>
  <c r="U322" i="18" s="1"/>
  <c r="V322" i="18" a="1"/>
  <c r="V322" i="18" s="1"/>
  <c r="W322" i="18" a="1"/>
  <c r="W322" i="18" s="1"/>
  <c r="X322" i="18" a="1"/>
  <c r="X322" i="18" s="1"/>
  <c r="K323" i="18" a="1"/>
  <c r="K323" i="18" s="1"/>
  <c r="L323" i="18" a="1"/>
  <c r="L323" i="18" s="1"/>
  <c r="M323" i="18" a="1"/>
  <c r="M323" i="18" s="1"/>
  <c r="N323" i="18" a="1"/>
  <c r="N323" i="18" s="1"/>
  <c r="O323" i="18" a="1"/>
  <c r="O323" i="18" s="1"/>
  <c r="P323" i="18" a="1"/>
  <c r="P323" i="18" s="1"/>
  <c r="Q323" i="18" a="1"/>
  <c r="Q323" i="18" s="1"/>
  <c r="R323" i="18" a="1"/>
  <c r="R323" i="18" s="1"/>
  <c r="U323" i="18" a="1"/>
  <c r="U323" i="18" s="1"/>
  <c r="V323" i="18" a="1"/>
  <c r="V323" i="18" s="1"/>
  <c r="W323" i="18" a="1"/>
  <c r="W323" i="18" s="1"/>
  <c r="X323" i="18" a="1"/>
  <c r="X323" i="18" s="1"/>
  <c r="K324" i="18" a="1"/>
  <c r="K324" i="18" s="1"/>
  <c r="L324" i="18" a="1"/>
  <c r="L324" i="18" s="1"/>
  <c r="M324" i="18" a="1"/>
  <c r="M324" i="18" s="1"/>
  <c r="N324" i="18" a="1"/>
  <c r="N324" i="18" s="1"/>
  <c r="O324" i="18" a="1"/>
  <c r="O324" i="18" s="1"/>
  <c r="P324" i="18" a="1"/>
  <c r="P324" i="18" s="1"/>
  <c r="Q324" i="18" a="1"/>
  <c r="Q324" i="18" s="1"/>
  <c r="R324" i="18" a="1"/>
  <c r="R324" i="18" s="1"/>
  <c r="U324" i="18" a="1"/>
  <c r="U324" i="18" s="1"/>
  <c r="V324" i="18" a="1"/>
  <c r="V324" i="18" s="1"/>
  <c r="W324" i="18" a="1"/>
  <c r="W324" i="18" s="1"/>
  <c r="X324" i="18" a="1"/>
  <c r="X324" i="18" s="1"/>
  <c r="K325" i="18" a="1"/>
  <c r="K325" i="18" s="1"/>
  <c r="L325" i="18" a="1"/>
  <c r="L325" i="18" s="1"/>
  <c r="M325" i="18" a="1"/>
  <c r="M325" i="18" s="1"/>
  <c r="N325" i="18" a="1"/>
  <c r="N325" i="18" s="1"/>
  <c r="O325" i="18" a="1"/>
  <c r="O325" i="18" s="1"/>
  <c r="P325" i="18" a="1"/>
  <c r="P325" i="18" s="1"/>
  <c r="Q325" i="18" a="1"/>
  <c r="Q325" i="18" s="1"/>
  <c r="R325" i="18" a="1"/>
  <c r="R325" i="18" s="1"/>
  <c r="U325" i="18" a="1"/>
  <c r="U325" i="18" s="1"/>
  <c r="V325" i="18" a="1"/>
  <c r="V325" i="18" s="1"/>
  <c r="W325" i="18" a="1"/>
  <c r="W325" i="18" s="1"/>
  <c r="X325" i="18" a="1"/>
  <c r="X325" i="18" s="1"/>
  <c r="K326" i="18" a="1"/>
  <c r="K326" i="18" s="1"/>
  <c r="L326" i="18" a="1"/>
  <c r="L326" i="18" s="1"/>
  <c r="M326" i="18" a="1"/>
  <c r="M326" i="18" s="1"/>
  <c r="N326" i="18" a="1"/>
  <c r="N326" i="18" s="1"/>
  <c r="O326" i="18" a="1"/>
  <c r="O326" i="18" s="1"/>
  <c r="P326" i="18" a="1"/>
  <c r="P326" i="18" s="1"/>
  <c r="Q326" i="18" a="1"/>
  <c r="Q326" i="18" s="1"/>
  <c r="R326" i="18" a="1"/>
  <c r="R326" i="18" s="1"/>
  <c r="U326" i="18" a="1"/>
  <c r="U326" i="18" s="1"/>
  <c r="V326" i="18" a="1"/>
  <c r="V326" i="18" s="1"/>
  <c r="W326" i="18" a="1"/>
  <c r="W326" i="18" s="1"/>
  <c r="X326" i="18" a="1"/>
  <c r="X326" i="18" s="1"/>
  <c r="K327" i="18" a="1"/>
  <c r="K327" i="18" s="1"/>
  <c r="L327" i="18" a="1"/>
  <c r="L327" i="18" s="1"/>
  <c r="M327" i="18" a="1"/>
  <c r="M327" i="18" s="1"/>
  <c r="N327" i="18" a="1"/>
  <c r="N327" i="18" s="1"/>
  <c r="O327" i="18" a="1"/>
  <c r="O327" i="18" s="1"/>
  <c r="P327" i="18" a="1"/>
  <c r="P327" i="18" s="1"/>
  <c r="Q327" i="18" a="1"/>
  <c r="Q327" i="18" s="1"/>
  <c r="R327" i="18" a="1"/>
  <c r="R327" i="18" s="1"/>
  <c r="U327" i="18" a="1"/>
  <c r="U327" i="18" s="1"/>
  <c r="V327" i="18" a="1"/>
  <c r="V327" i="18" s="1"/>
  <c r="W327" i="18" a="1"/>
  <c r="W327" i="18" s="1"/>
  <c r="X327" i="18" a="1"/>
  <c r="X327" i="18" s="1"/>
  <c r="K328" i="18" a="1"/>
  <c r="K328" i="18" s="1"/>
  <c r="L328" i="18" a="1"/>
  <c r="L328" i="18" s="1"/>
  <c r="M328" i="18" a="1"/>
  <c r="M328" i="18" s="1"/>
  <c r="N328" i="18" a="1"/>
  <c r="N328" i="18" s="1"/>
  <c r="O328" i="18" a="1"/>
  <c r="O328" i="18" s="1"/>
  <c r="P328" i="18" a="1"/>
  <c r="P328" i="18" s="1"/>
  <c r="Q328" i="18" a="1"/>
  <c r="Q328" i="18" s="1"/>
  <c r="R328" i="18" a="1"/>
  <c r="R328" i="18" s="1"/>
  <c r="U328" i="18" a="1"/>
  <c r="U328" i="18" s="1"/>
  <c r="V328" i="18" a="1"/>
  <c r="V328" i="18" s="1"/>
  <c r="W328" i="18" a="1"/>
  <c r="W328" i="18" s="1"/>
  <c r="X328" i="18" a="1"/>
  <c r="X328" i="18" s="1"/>
  <c r="K329" i="18" a="1"/>
  <c r="K329" i="18" s="1"/>
  <c r="L329" i="18" a="1"/>
  <c r="L329" i="18" s="1"/>
  <c r="M329" i="18" a="1"/>
  <c r="M329" i="18" s="1"/>
  <c r="N329" i="18" a="1"/>
  <c r="N329" i="18" s="1"/>
  <c r="O329" i="18" a="1"/>
  <c r="O329" i="18" s="1"/>
  <c r="P329" i="18" a="1"/>
  <c r="P329" i="18" s="1"/>
  <c r="Q329" i="18" a="1"/>
  <c r="Q329" i="18" s="1"/>
  <c r="R329" i="18" a="1"/>
  <c r="R329" i="18" s="1"/>
  <c r="U329" i="18" a="1"/>
  <c r="U329" i="18" s="1"/>
  <c r="V329" i="18" a="1"/>
  <c r="V329" i="18" s="1"/>
  <c r="W329" i="18" a="1"/>
  <c r="W329" i="18" s="1"/>
  <c r="X329" i="18" a="1"/>
  <c r="X329" i="18" s="1"/>
  <c r="K330" i="18" a="1"/>
  <c r="K330" i="18" s="1"/>
  <c r="L330" i="18" a="1"/>
  <c r="L330" i="18" s="1"/>
  <c r="M330" i="18" a="1"/>
  <c r="M330" i="18" s="1"/>
  <c r="N330" i="18" a="1"/>
  <c r="N330" i="18" s="1"/>
  <c r="O330" i="18" a="1"/>
  <c r="O330" i="18" s="1"/>
  <c r="P330" i="18" a="1"/>
  <c r="P330" i="18" s="1"/>
  <c r="Q330" i="18" a="1"/>
  <c r="Q330" i="18" s="1"/>
  <c r="R330" i="18" a="1"/>
  <c r="R330" i="18" s="1"/>
  <c r="U330" i="18" a="1"/>
  <c r="U330" i="18" s="1"/>
  <c r="V330" i="18" a="1"/>
  <c r="V330" i="18" s="1"/>
  <c r="W330" i="18" a="1"/>
  <c r="W330" i="18" s="1"/>
  <c r="X330" i="18" a="1"/>
  <c r="X330" i="18" s="1"/>
  <c r="K331" i="18" a="1"/>
  <c r="K331" i="18" s="1"/>
  <c r="L331" i="18" a="1"/>
  <c r="L331" i="18" s="1"/>
  <c r="M331" i="18" a="1"/>
  <c r="M331" i="18" s="1"/>
  <c r="N331" i="18" a="1"/>
  <c r="N331" i="18" s="1"/>
  <c r="O331" i="18" a="1"/>
  <c r="O331" i="18" s="1"/>
  <c r="P331" i="18" a="1"/>
  <c r="P331" i="18" s="1"/>
  <c r="Q331" i="18" a="1"/>
  <c r="Q331" i="18" s="1"/>
  <c r="R331" i="18" a="1"/>
  <c r="R331" i="18" s="1"/>
  <c r="U331" i="18" a="1"/>
  <c r="U331" i="18" s="1"/>
  <c r="V331" i="18" a="1"/>
  <c r="V331" i="18" s="1"/>
  <c r="W331" i="18" a="1"/>
  <c r="W331" i="18" s="1"/>
  <c r="X331" i="18" a="1"/>
  <c r="X331" i="18" s="1"/>
  <c r="K332" i="18" a="1"/>
  <c r="K332" i="18" s="1"/>
  <c r="L332" i="18" a="1"/>
  <c r="L332" i="18" s="1"/>
  <c r="M332" i="18" a="1"/>
  <c r="M332" i="18" s="1"/>
  <c r="N332" i="18" a="1"/>
  <c r="N332" i="18" s="1"/>
  <c r="O332" i="18" a="1"/>
  <c r="O332" i="18" s="1"/>
  <c r="P332" i="18" a="1"/>
  <c r="P332" i="18" s="1"/>
  <c r="Q332" i="18" a="1"/>
  <c r="Q332" i="18" s="1"/>
  <c r="R332" i="18" a="1"/>
  <c r="R332" i="18" s="1"/>
  <c r="U332" i="18" a="1"/>
  <c r="U332" i="18" s="1"/>
  <c r="V332" i="18" a="1"/>
  <c r="V332" i="18" s="1"/>
  <c r="W332" i="18" a="1"/>
  <c r="W332" i="18" s="1"/>
  <c r="X332" i="18" a="1"/>
  <c r="X332" i="18" s="1"/>
  <c r="K333" i="18" a="1"/>
  <c r="K333" i="18" s="1"/>
  <c r="L333" i="18" a="1"/>
  <c r="L333" i="18" s="1"/>
  <c r="M333" i="18" a="1"/>
  <c r="M333" i="18" s="1"/>
  <c r="N333" i="18" a="1"/>
  <c r="N333" i="18" s="1"/>
  <c r="O333" i="18" a="1"/>
  <c r="O333" i="18" s="1"/>
  <c r="P333" i="18" a="1"/>
  <c r="P333" i="18" s="1"/>
  <c r="Q333" i="18" a="1"/>
  <c r="Q333" i="18" s="1"/>
  <c r="R333" i="18" a="1"/>
  <c r="R333" i="18" s="1"/>
  <c r="U333" i="18" a="1"/>
  <c r="U333" i="18" s="1"/>
  <c r="V333" i="18" a="1"/>
  <c r="V333" i="18" s="1"/>
  <c r="W333" i="18" a="1"/>
  <c r="W333" i="18" s="1"/>
  <c r="X333" i="18" a="1"/>
  <c r="X333" i="18" s="1"/>
  <c r="K334" i="18" a="1"/>
  <c r="K334" i="18" s="1"/>
  <c r="L334" i="18" a="1"/>
  <c r="L334" i="18" s="1"/>
  <c r="M334" i="18" a="1"/>
  <c r="M334" i="18" s="1"/>
  <c r="N334" i="18" a="1"/>
  <c r="N334" i="18" s="1"/>
  <c r="O334" i="18" a="1"/>
  <c r="O334" i="18" s="1"/>
  <c r="P334" i="18" a="1"/>
  <c r="P334" i="18" s="1"/>
  <c r="Q334" i="18" a="1"/>
  <c r="Q334" i="18" s="1"/>
  <c r="R334" i="18" a="1"/>
  <c r="R334" i="18" s="1"/>
  <c r="U334" i="18" a="1"/>
  <c r="U334" i="18" s="1"/>
  <c r="V334" i="18" a="1"/>
  <c r="V334" i="18" s="1"/>
  <c r="W334" i="18" a="1"/>
  <c r="W334" i="18" s="1"/>
  <c r="X334" i="18" a="1"/>
  <c r="X334" i="18" s="1"/>
  <c r="K335" i="18" a="1"/>
  <c r="K335" i="18" s="1"/>
  <c r="L335" i="18" a="1"/>
  <c r="L335" i="18" s="1"/>
  <c r="M335" i="18" a="1"/>
  <c r="M335" i="18" s="1"/>
  <c r="N335" i="18" a="1"/>
  <c r="N335" i="18" s="1"/>
  <c r="O335" i="18" a="1"/>
  <c r="O335" i="18" s="1"/>
  <c r="P335" i="18" a="1"/>
  <c r="P335" i="18" s="1"/>
  <c r="Q335" i="18" a="1"/>
  <c r="Q335" i="18" s="1"/>
  <c r="R335" i="18" a="1"/>
  <c r="R335" i="18" s="1"/>
  <c r="U335" i="18" a="1"/>
  <c r="U335" i="18" s="1"/>
  <c r="V335" i="18" a="1"/>
  <c r="V335" i="18" s="1"/>
  <c r="W335" i="18" a="1"/>
  <c r="W335" i="18" s="1"/>
  <c r="X335" i="18" a="1"/>
  <c r="X335" i="18" s="1"/>
  <c r="K336" i="18" a="1"/>
  <c r="K336" i="18" s="1"/>
  <c r="L336" i="18" a="1"/>
  <c r="L336" i="18" s="1"/>
  <c r="M336" i="18" a="1"/>
  <c r="M336" i="18" s="1"/>
  <c r="N336" i="18" a="1"/>
  <c r="N336" i="18" s="1"/>
  <c r="O336" i="18" a="1"/>
  <c r="O336" i="18" s="1"/>
  <c r="P336" i="18" a="1"/>
  <c r="P336" i="18" s="1"/>
  <c r="Q336" i="18" a="1"/>
  <c r="Q336" i="18" s="1"/>
  <c r="R336" i="18" a="1"/>
  <c r="R336" i="18" s="1"/>
  <c r="U336" i="18" a="1"/>
  <c r="U336" i="18" s="1"/>
  <c r="V336" i="18" a="1"/>
  <c r="V336" i="18" s="1"/>
  <c r="W336" i="18" a="1"/>
  <c r="W336" i="18" s="1"/>
  <c r="X336" i="18" a="1"/>
  <c r="X336" i="18" s="1"/>
  <c r="K337" i="18" a="1"/>
  <c r="K337" i="18" s="1"/>
  <c r="L337" i="18" a="1"/>
  <c r="L337" i="18" s="1"/>
  <c r="M337" i="18" a="1"/>
  <c r="M337" i="18" s="1"/>
  <c r="N337" i="18" a="1"/>
  <c r="N337" i="18" s="1"/>
  <c r="O337" i="18" a="1"/>
  <c r="O337" i="18" s="1"/>
  <c r="P337" i="18" a="1"/>
  <c r="P337" i="18" s="1"/>
  <c r="Q337" i="18" a="1"/>
  <c r="Q337" i="18" s="1"/>
  <c r="R337" i="18" a="1"/>
  <c r="R337" i="18" s="1"/>
  <c r="U337" i="18" a="1"/>
  <c r="U337" i="18" s="1"/>
  <c r="V337" i="18" a="1"/>
  <c r="V337" i="18" s="1"/>
  <c r="W337" i="18" a="1"/>
  <c r="W337" i="18" s="1"/>
  <c r="X337" i="18" a="1"/>
  <c r="X337" i="18" s="1"/>
  <c r="K338" i="18" a="1"/>
  <c r="K338" i="18" s="1"/>
  <c r="L338" i="18" a="1"/>
  <c r="L338" i="18" s="1"/>
  <c r="M338" i="18" a="1"/>
  <c r="M338" i="18" s="1"/>
  <c r="N338" i="18" a="1"/>
  <c r="N338" i="18" s="1"/>
  <c r="O338" i="18" a="1"/>
  <c r="O338" i="18" s="1"/>
  <c r="P338" i="18" a="1"/>
  <c r="P338" i="18" s="1"/>
  <c r="Q338" i="18" a="1"/>
  <c r="Q338" i="18" s="1"/>
  <c r="R338" i="18" a="1"/>
  <c r="R338" i="18" s="1"/>
  <c r="U338" i="18" a="1"/>
  <c r="U338" i="18" s="1"/>
  <c r="V338" i="18" a="1"/>
  <c r="V338" i="18" s="1"/>
  <c r="W338" i="18" a="1"/>
  <c r="W338" i="18" s="1"/>
  <c r="X338" i="18" a="1"/>
  <c r="X338" i="18" s="1"/>
  <c r="K339" i="18" a="1"/>
  <c r="K339" i="18" s="1"/>
  <c r="L339" i="18" a="1"/>
  <c r="L339" i="18" s="1"/>
  <c r="M339" i="18" a="1"/>
  <c r="M339" i="18" s="1"/>
  <c r="N339" i="18" a="1"/>
  <c r="N339" i="18" s="1"/>
  <c r="O339" i="18" a="1"/>
  <c r="O339" i="18" s="1"/>
  <c r="P339" i="18" a="1"/>
  <c r="P339" i="18" s="1"/>
  <c r="Q339" i="18" a="1"/>
  <c r="Q339" i="18" s="1"/>
  <c r="R339" i="18" a="1"/>
  <c r="R339" i="18" s="1"/>
  <c r="U339" i="18" a="1"/>
  <c r="U339" i="18" s="1"/>
  <c r="V339" i="18" a="1"/>
  <c r="V339" i="18" s="1"/>
  <c r="W339" i="18" a="1"/>
  <c r="W339" i="18" s="1"/>
  <c r="X339" i="18" a="1"/>
  <c r="X339" i="18" s="1"/>
  <c r="K340" i="18" a="1"/>
  <c r="K340" i="18" s="1"/>
  <c r="L340" i="18" a="1"/>
  <c r="L340" i="18" s="1"/>
  <c r="M340" i="18" a="1"/>
  <c r="M340" i="18" s="1"/>
  <c r="N340" i="18" a="1"/>
  <c r="N340" i="18" s="1"/>
  <c r="O340" i="18" a="1"/>
  <c r="O340" i="18" s="1"/>
  <c r="P340" i="18" a="1"/>
  <c r="P340" i="18" s="1"/>
  <c r="Q340" i="18" a="1"/>
  <c r="Q340" i="18" s="1"/>
  <c r="R340" i="18" a="1"/>
  <c r="R340" i="18" s="1"/>
  <c r="U340" i="18" a="1"/>
  <c r="U340" i="18" s="1"/>
  <c r="V340" i="18" a="1"/>
  <c r="V340" i="18" s="1"/>
  <c r="W340" i="18" a="1"/>
  <c r="W340" i="18" s="1"/>
  <c r="X340" i="18" a="1"/>
  <c r="X340" i="18" s="1"/>
  <c r="K341" i="18" a="1"/>
  <c r="K341" i="18" s="1"/>
  <c r="L341" i="18" a="1"/>
  <c r="L341" i="18" s="1"/>
  <c r="M341" i="18" a="1"/>
  <c r="M341" i="18" s="1"/>
  <c r="N341" i="18" a="1"/>
  <c r="N341" i="18" s="1"/>
  <c r="O341" i="18" a="1"/>
  <c r="O341" i="18" s="1"/>
  <c r="P341" i="18" a="1"/>
  <c r="P341" i="18" s="1"/>
  <c r="Q341" i="18" a="1"/>
  <c r="Q341" i="18" s="1"/>
  <c r="R341" i="18" a="1"/>
  <c r="R341" i="18" s="1"/>
  <c r="U341" i="18" a="1"/>
  <c r="U341" i="18" s="1"/>
  <c r="V341" i="18" a="1"/>
  <c r="V341" i="18" s="1"/>
  <c r="W341" i="18" a="1"/>
  <c r="W341" i="18" s="1"/>
  <c r="X341" i="18" a="1"/>
  <c r="X341" i="18" s="1"/>
  <c r="K342" i="18" a="1"/>
  <c r="K342" i="18" s="1"/>
  <c r="L342" i="18" a="1"/>
  <c r="L342" i="18" s="1"/>
  <c r="M342" i="18" a="1"/>
  <c r="M342" i="18" s="1"/>
  <c r="N342" i="18" a="1"/>
  <c r="N342" i="18" s="1"/>
  <c r="O342" i="18" a="1"/>
  <c r="O342" i="18" s="1"/>
  <c r="P342" i="18" a="1"/>
  <c r="P342" i="18" s="1"/>
  <c r="Q342" i="18" a="1"/>
  <c r="Q342" i="18" s="1"/>
  <c r="R342" i="18" a="1"/>
  <c r="R342" i="18" s="1"/>
  <c r="U342" i="18" a="1"/>
  <c r="U342" i="18" s="1"/>
  <c r="V342" i="18" a="1"/>
  <c r="V342" i="18" s="1"/>
  <c r="W342" i="18" a="1"/>
  <c r="W342" i="18" s="1"/>
  <c r="X342" i="18" a="1"/>
  <c r="X342" i="18" s="1"/>
  <c r="K343" i="18" a="1"/>
  <c r="K343" i="18" s="1"/>
  <c r="L343" i="18" a="1"/>
  <c r="L343" i="18" s="1"/>
  <c r="M343" i="18" a="1"/>
  <c r="M343" i="18" s="1"/>
  <c r="N343" i="18" a="1"/>
  <c r="N343" i="18" s="1"/>
  <c r="O343" i="18" a="1"/>
  <c r="O343" i="18" s="1"/>
  <c r="P343" i="18" a="1"/>
  <c r="P343" i="18" s="1"/>
  <c r="Q343" i="18" a="1"/>
  <c r="Q343" i="18" s="1"/>
  <c r="R343" i="18" a="1"/>
  <c r="R343" i="18" s="1"/>
  <c r="U343" i="18" a="1"/>
  <c r="U343" i="18" s="1"/>
  <c r="V343" i="18" a="1"/>
  <c r="V343" i="18" s="1"/>
  <c r="W343" i="18" a="1"/>
  <c r="W343" i="18" s="1"/>
  <c r="X343" i="18" a="1"/>
  <c r="X343" i="18" s="1"/>
  <c r="K344" i="18" a="1"/>
  <c r="K344" i="18" s="1"/>
  <c r="L344" i="18" a="1"/>
  <c r="L344" i="18" s="1"/>
  <c r="M344" i="18" a="1"/>
  <c r="M344" i="18" s="1"/>
  <c r="N344" i="18" a="1"/>
  <c r="N344" i="18" s="1"/>
  <c r="O344" i="18" a="1"/>
  <c r="O344" i="18" s="1"/>
  <c r="P344" i="18" a="1"/>
  <c r="P344" i="18" s="1"/>
  <c r="Q344" i="18" a="1"/>
  <c r="Q344" i="18" s="1"/>
  <c r="R344" i="18" a="1"/>
  <c r="R344" i="18" s="1"/>
  <c r="U344" i="18" a="1"/>
  <c r="U344" i="18" s="1"/>
  <c r="V344" i="18" a="1"/>
  <c r="V344" i="18" s="1"/>
  <c r="W344" i="18" a="1"/>
  <c r="W344" i="18" s="1"/>
  <c r="X344" i="18" a="1"/>
  <c r="X344" i="18" s="1"/>
  <c r="K345" i="18" a="1"/>
  <c r="K345" i="18" s="1"/>
  <c r="L345" i="18" a="1"/>
  <c r="L345" i="18" s="1"/>
  <c r="M345" i="18" a="1"/>
  <c r="M345" i="18" s="1"/>
  <c r="N345" i="18" a="1"/>
  <c r="N345" i="18" s="1"/>
  <c r="O345" i="18" a="1"/>
  <c r="O345" i="18" s="1"/>
  <c r="P345" i="18" a="1"/>
  <c r="P345" i="18" s="1"/>
  <c r="Q345" i="18" a="1"/>
  <c r="Q345" i="18" s="1"/>
  <c r="R345" i="18" a="1"/>
  <c r="R345" i="18" s="1"/>
  <c r="U345" i="18" a="1"/>
  <c r="U345" i="18" s="1"/>
  <c r="V345" i="18" a="1"/>
  <c r="V345" i="18" s="1"/>
  <c r="W345" i="18" a="1"/>
  <c r="W345" i="18" s="1"/>
  <c r="X345" i="18" a="1"/>
  <c r="X345" i="18" s="1"/>
  <c r="K346" i="18" a="1"/>
  <c r="K346" i="18" s="1"/>
  <c r="L346" i="18" a="1"/>
  <c r="L346" i="18" s="1"/>
  <c r="M346" i="18" a="1"/>
  <c r="M346" i="18" s="1"/>
  <c r="N346" i="18" a="1"/>
  <c r="N346" i="18" s="1"/>
  <c r="O346" i="18" a="1"/>
  <c r="O346" i="18" s="1"/>
  <c r="P346" i="18" a="1"/>
  <c r="P346" i="18" s="1"/>
  <c r="Q346" i="18" a="1"/>
  <c r="Q346" i="18" s="1"/>
  <c r="R346" i="18" a="1"/>
  <c r="R346" i="18" s="1"/>
  <c r="U346" i="18" a="1"/>
  <c r="U346" i="18" s="1"/>
  <c r="V346" i="18" a="1"/>
  <c r="V346" i="18" s="1"/>
  <c r="W346" i="18" a="1"/>
  <c r="W346" i="18" s="1"/>
  <c r="X346" i="18" a="1"/>
  <c r="X346" i="18" s="1"/>
  <c r="K347" i="18" a="1"/>
  <c r="K347" i="18" s="1"/>
  <c r="L347" i="18" a="1"/>
  <c r="L347" i="18" s="1"/>
  <c r="M347" i="18" a="1"/>
  <c r="M347" i="18" s="1"/>
  <c r="N347" i="18" a="1"/>
  <c r="N347" i="18" s="1"/>
  <c r="O347" i="18" a="1"/>
  <c r="O347" i="18" s="1"/>
  <c r="P347" i="18" a="1"/>
  <c r="P347" i="18" s="1"/>
  <c r="Q347" i="18" a="1"/>
  <c r="Q347" i="18" s="1"/>
  <c r="R347" i="18" a="1"/>
  <c r="R347" i="18" s="1"/>
  <c r="U347" i="18" a="1"/>
  <c r="U347" i="18" s="1"/>
  <c r="V347" i="18" a="1"/>
  <c r="V347" i="18" s="1"/>
  <c r="W347" i="18" a="1"/>
  <c r="W347" i="18" s="1"/>
  <c r="X347" i="18" a="1"/>
  <c r="X347" i="18" s="1"/>
  <c r="K348" i="18" a="1"/>
  <c r="K348" i="18" s="1"/>
  <c r="L348" i="18" a="1"/>
  <c r="L348" i="18" s="1"/>
  <c r="M348" i="18" a="1"/>
  <c r="M348" i="18" s="1"/>
  <c r="N348" i="18" a="1"/>
  <c r="N348" i="18" s="1"/>
  <c r="O348" i="18" a="1"/>
  <c r="O348" i="18" s="1"/>
  <c r="P348" i="18" a="1"/>
  <c r="P348" i="18" s="1"/>
  <c r="Q348" i="18" a="1"/>
  <c r="Q348" i="18" s="1"/>
  <c r="R348" i="18" a="1"/>
  <c r="R348" i="18" s="1"/>
  <c r="U348" i="18" a="1"/>
  <c r="U348" i="18" s="1"/>
  <c r="V348" i="18" a="1"/>
  <c r="V348" i="18" s="1"/>
  <c r="W348" i="18" a="1"/>
  <c r="W348" i="18" s="1"/>
  <c r="X348" i="18" a="1"/>
  <c r="X348" i="18" s="1"/>
  <c r="K349" i="18" a="1"/>
  <c r="K349" i="18" s="1"/>
  <c r="L349" i="18" a="1"/>
  <c r="L349" i="18" s="1"/>
  <c r="M349" i="18" a="1"/>
  <c r="M349" i="18" s="1"/>
  <c r="N349" i="18" a="1"/>
  <c r="N349" i="18" s="1"/>
  <c r="O349" i="18" a="1"/>
  <c r="O349" i="18" s="1"/>
  <c r="P349" i="18" a="1"/>
  <c r="P349" i="18" s="1"/>
  <c r="Q349" i="18" a="1"/>
  <c r="Q349" i="18" s="1"/>
  <c r="R349" i="18" a="1"/>
  <c r="R349" i="18" s="1"/>
  <c r="U349" i="18" a="1"/>
  <c r="U349" i="18" s="1"/>
  <c r="V349" i="18" a="1"/>
  <c r="V349" i="18" s="1"/>
  <c r="W349" i="18" a="1"/>
  <c r="W349" i="18" s="1"/>
  <c r="X349" i="18" a="1"/>
  <c r="X349" i="18" s="1"/>
  <c r="K350" i="18" a="1"/>
  <c r="K350" i="18" s="1"/>
  <c r="L350" i="18" a="1"/>
  <c r="L350" i="18" s="1"/>
  <c r="M350" i="18" a="1"/>
  <c r="M350" i="18" s="1"/>
  <c r="N350" i="18" a="1"/>
  <c r="N350" i="18" s="1"/>
  <c r="O350" i="18" a="1"/>
  <c r="O350" i="18" s="1"/>
  <c r="P350" i="18" a="1"/>
  <c r="P350" i="18" s="1"/>
  <c r="Q350" i="18" a="1"/>
  <c r="Q350" i="18" s="1"/>
  <c r="R350" i="18" a="1"/>
  <c r="R350" i="18" s="1"/>
  <c r="U350" i="18" a="1"/>
  <c r="U350" i="18" s="1"/>
  <c r="V350" i="18" a="1"/>
  <c r="V350" i="18" s="1"/>
  <c r="W350" i="18" a="1"/>
  <c r="W350" i="18" s="1"/>
  <c r="X350" i="18" a="1"/>
  <c r="X350" i="18" s="1"/>
  <c r="K351" i="18" a="1"/>
  <c r="K351" i="18" s="1"/>
  <c r="L351" i="18" a="1"/>
  <c r="L351" i="18" s="1"/>
  <c r="M351" i="18" a="1"/>
  <c r="M351" i="18" s="1"/>
  <c r="N351" i="18" a="1"/>
  <c r="N351" i="18" s="1"/>
  <c r="O351" i="18" a="1"/>
  <c r="O351" i="18" s="1"/>
  <c r="P351" i="18" a="1"/>
  <c r="P351" i="18" s="1"/>
  <c r="Q351" i="18" a="1"/>
  <c r="Q351" i="18" s="1"/>
  <c r="R351" i="18" a="1"/>
  <c r="R351" i="18" s="1"/>
  <c r="U351" i="18" a="1"/>
  <c r="U351" i="18" s="1"/>
  <c r="V351" i="18" a="1"/>
  <c r="V351" i="18" s="1"/>
  <c r="W351" i="18" a="1"/>
  <c r="W351" i="18" s="1"/>
  <c r="X351" i="18" a="1"/>
  <c r="X351" i="18" s="1"/>
  <c r="K352" i="18" a="1"/>
  <c r="K352" i="18" s="1"/>
  <c r="L352" i="18" a="1"/>
  <c r="L352" i="18" s="1"/>
  <c r="M352" i="18" a="1"/>
  <c r="M352" i="18" s="1"/>
  <c r="N352" i="18" a="1"/>
  <c r="N352" i="18" s="1"/>
  <c r="O352" i="18" a="1"/>
  <c r="O352" i="18" s="1"/>
  <c r="P352" i="18" a="1"/>
  <c r="P352" i="18" s="1"/>
  <c r="Q352" i="18" a="1"/>
  <c r="Q352" i="18" s="1"/>
  <c r="R352" i="18" a="1"/>
  <c r="R352" i="18" s="1"/>
  <c r="U352" i="18" a="1"/>
  <c r="U352" i="18" s="1"/>
  <c r="V352" i="18" a="1"/>
  <c r="V352" i="18" s="1"/>
  <c r="W352" i="18" a="1"/>
  <c r="W352" i="18" s="1"/>
  <c r="X352" i="18" a="1"/>
  <c r="X352" i="18" s="1"/>
  <c r="K353" i="18" a="1"/>
  <c r="K353" i="18" s="1"/>
  <c r="L353" i="18" a="1"/>
  <c r="L353" i="18" s="1"/>
  <c r="M353" i="18" a="1"/>
  <c r="M353" i="18" s="1"/>
  <c r="N353" i="18" a="1"/>
  <c r="N353" i="18" s="1"/>
  <c r="O353" i="18" a="1"/>
  <c r="O353" i="18" s="1"/>
  <c r="P353" i="18" a="1"/>
  <c r="P353" i="18" s="1"/>
  <c r="Q353" i="18" a="1"/>
  <c r="Q353" i="18" s="1"/>
  <c r="R353" i="18" a="1"/>
  <c r="R353" i="18" s="1"/>
  <c r="U353" i="18" a="1"/>
  <c r="U353" i="18" s="1"/>
  <c r="V353" i="18" a="1"/>
  <c r="V353" i="18" s="1"/>
  <c r="W353" i="18" a="1"/>
  <c r="W353" i="18" s="1"/>
  <c r="X353" i="18" a="1"/>
  <c r="X353" i="18" s="1"/>
  <c r="K354" i="18" a="1"/>
  <c r="K354" i="18" s="1"/>
  <c r="L354" i="18" a="1"/>
  <c r="L354" i="18" s="1"/>
  <c r="M354" i="18" a="1"/>
  <c r="M354" i="18" s="1"/>
  <c r="N354" i="18" a="1"/>
  <c r="N354" i="18" s="1"/>
  <c r="O354" i="18" a="1"/>
  <c r="O354" i="18" s="1"/>
  <c r="P354" i="18" a="1"/>
  <c r="P354" i="18" s="1"/>
  <c r="Q354" i="18" a="1"/>
  <c r="Q354" i="18" s="1"/>
  <c r="R354" i="18" a="1"/>
  <c r="R354" i="18" s="1"/>
  <c r="U354" i="18" a="1"/>
  <c r="U354" i="18" s="1"/>
  <c r="V354" i="18" a="1"/>
  <c r="V354" i="18" s="1"/>
  <c r="W354" i="18" a="1"/>
  <c r="W354" i="18" s="1"/>
  <c r="X354" i="18" a="1"/>
  <c r="X354" i="18" s="1"/>
  <c r="X2" i="18" a="1"/>
  <c r="X2" i="18" s="1"/>
  <c r="W2" i="18" a="1"/>
  <c r="W2" i="18" s="1"/>
  <c r="V2" i="18" a="1"/>
  <c r="V2" i="18" s="1"/>
  <c r="U2" i="18" a="1"/>
  <c r="U2" i="18" s="1"/>
  <c r="R2" i="18" a="1"/>
  <c r="R2" i="18" s="1"/>
  <c r="Q2" i="18" a="1"/>
  <c r="Q2" i="18" s="1"/>
  <c r="P2" i="18" a="1"/>
  <c r="P2" i="18" s="1"/>
  <c r="O2" i="18" a="1"/>
  <c r="O2" i="18" s="1"/>
  <c r="N2" i="18" a="1"/>
  <c r="N2" i="18" s="1"/>
  <c r="M2" i="18" a="1"/>
  <c r="M2" i="18" s="1"/>
  <c r="L2" i="18" a="1"/>
  <c r="L2" i="18" s="1"/>
  <c r="K2" i="18" a="1"/>
  <c r="K2" i="18" s="1"/>
  <c r="X2" i="30" a="1"/>
  <c r="X2" i="30" s="1"/>
  <c r="W2" i="30" a="1"/>
  <c r="W2" i="30" s="1"/>
  <c r="V2" i="30" a="1"/>
  <c r="V2" i="30" s="1"/>
  <c r="U2" i="30" a="1"/>
  <c r="U2" i="30" s="1"/>
  <c r="R2" i="30" a="1"/>
  <c r="R2" i="30" s="1"/>
  <c r="Q2" i="30" a="1"/>
  <c r="Q2" i="30" s="1"/>
  <c r="P2" i="30" a="1"/>
  <c r="P2" i="30" s="1"/>
  <c r="O2" i="30" a="1"/>
  <c r="O2" i="30" s="1"/>
  <c r="N2" i="30" a="1"/>
  <c r="N2" i="30" s="1"/>
  <c r="M2" i="30" a="1"/>
  <c r="M2" i="30" s="1"/>
  <c r="L2" i="30" a="1"/>
  <c r="L2" i="30" s="1"/>
  <c r="K2" i="30" a="1"/>
  <c r="K2" i="30" s="1"/>
  <c r="X2" i="16" a="1"/>
  <c r="X2" i="16" s="1"/>
  <c r="W2" i="16" a="1"/>
  <c r="W2" i="16" s="1"/>
  <c r="V2" i="16" a="1"/>
  <c r="V2" i="16" s="1"/>
  <c r="U2" i="16" a="1"/>
  <c r="U2" i="16" s="1"/>
  <c r="R2" i="16" a="1"/>
  <c r="R2" i="16" s="1"/>
  <c r="Q2" i="16" a="1"/>
  <c r="Q2" i="16" s="1"/>
  <c r="P2" i="16" a="1"/>
  <c r="P2" i="16" s="1"/>
  <c r="O2" i="16" a="1"/>
  <c r="O2" i="16" s="1"/>
  <c r="N2" i="16" a="1"/>
  <c r="N2" i="16" s="1"/>
  <c r="M2" i="16" a="1"/>
  <c r="M2" i="16" s="1"/>
  <c r="L2" i="16" a="1"/>
  <c r="L2" i="16" s="1"/>
  <c r="K2" i="16" a="1"/>
  <c r="K2" i="16" s="1"/>
  <c r="X2" i="15" a="1"/>
  <c r="X2" i="15" s="1"/>
  <c r="W2" i="15" a="1"/>
  <c r="W2" i="15" s="1"/>
  <c r="V2" i="15" a="1"/>
  <c r="V2" i="15" s="1"/>
  <c r="U2" i="15" a="1"/>
  <c r="U2" i="15" s="1"/>
  <c r="R2" i="15" a="1"/>
  <c r="R2" i="15" s="1"/>
  <c r="Q2" i="15" a="1"/>
  <c r="Q2" i="15" s="1"/>
  <c r="P2" i="15" a="1"/>
  <c r="P2" i="15" s="1"/>
  <c r="O2" i="15" a="1"/>
  <c r="O2" i="15" s="1"/>
  <c r="N2" i="15" a="1"/>
  <c r="N2" i="15" s="1"/>
  <c r="M2" i="15" a="1"/>
  <c r="M2" i="15" s="1"/>
  <c r="L2" i="15" a="1"/>
  <c r="L2" i="15" s="1"/>
  <c r="K2" i="15" a="1"/>
  <c r="K2" i="15" s="1"/>
  <c r="W2" i="14" a="1"/>
  <c r="W2" i="14" s="1"/>
  <c r="V2" i="14" a="1"/>
  <c r="V2" i="14" s="1"/>
  <c r="U2" i="14" a="1"/>
  <c r="U2" i="14" s="1"/>
  <c r="R2" i="14" a="1"/>
  <c r="R2" i="14" s="1"/>
  <c r="R224" i="14" s="1"/>
  <c r="Q2" i="14" a="1"/>
  <c r="Q2" i="14" s="1"/>
  <c r="P2" i="14" a="1"/>
  <c r="P2" i="14" s="1"/>
  <c r="O2" i="14" a="1"/>
  <c r="O2" i="14" s="1"/>
  <c r="N2" i="14" a="1"/>
  <c r="N2" i="14" s="1"/>
  <c r="M2" i="14" a="1"/>
  <c r="M2" i="14" s="1"/>
  <c r="L2" i="14" a="1"/>
  <c r="L2" i="14" s="1"/>
  <c r="K2" i="14" a="1"/>
  <c r="K2" i="14" s="1"/>
  <c r="K3" i="17" a="1"/>
  <c r="K3" i="17" s="1"/>
  <c r="L3" i="17" a="1"/>
  <c r="L3" i="17" s="1"/>
  <c r="M3" i="17" a="1"/>
  <c r="M3" i="17" s="1"/>
  <c r="N3" i="17" a="1"/>
  <c r="N3" i="17" s="1"/>
  <c r="O3" i="17" a="1"/>
  <c r="O3" i="17" s="1"/>
  <c r="P3" i="17" a="1"/>
  <c r="P3" i="17" s="1"/>
  <c r="Q3" i="17" a="1"/>
  <c r="Q3" i="17" s="1"/>
  <c r="R3" i="17" a="1"/>
  <c r="R3" i="17" s="1"/>
  <c r="U3" i="17" a="1"/>
  <c r="U3" i="17" s="1"/>
  <c r="V3" i="17" a="1"/>
  <c r="V3" i="17" s="1"/>
  <c r="W3" i="17" a="1"/>
  <c r="W3" i="17" s="1"/>
  <c r="X3" i="17" a="1"/>
  <c r="X3" i="17" s="1"/>
  <c r="K4" i="17" a="1"/>
  <c r="K4" i="17" s="1"/>
  <c r="L4" i="17" a="1"/>
  <c r="L4" i="17" s="1"/>
  <c r="M4" i="17" a="1"/>
  <c r="M4" i="17" s="1"/>
  <c r="N4" i="17" a="1"/>
  <c r="N4" i="17" s="1"/>
  <c r="O4" i="17" a="1"/>
  <c r="O4" i="17" s="1"/>
  <c r="P4" i="17" a="1"/>
  <c r="P4" i="17" s="1"/>
  <c r="Q4" i="17" a="1"/>
  <c r="Q4" i="17" s="1"/>
  <c r="R4" i="17" a="1"/>
  <c r="R4" i="17" s="1"/>
  <c r="U4" i="17" a="1"/>
  <c r="U4" i="17" s="1"/>
  <c r="V4" i="17" a="1"/>
  <c r="V4" i="17" s="1"/>
  <c r="W4" i="17" a="1"/>
  <c r="W4" i="17" s="1"/>
  <c r="X4" i="17" a="1"/>
  <c r="X4" i="17" s="1"/>
  <c r="K5" i="17" a="1"/>
  <c r="K5" i="17" s="1"/>
  <c r="L5" i="17" a="1"/>
  <c r="L5" i="17" s="1"/>
  <c r="M5" i="17" a="1"/>
  <c r="M5" i="17" s="1"/>
  <c r="N5" i="17" a="1"/>
  <c r="N5" i="17" s="1"/>
  <c r="O5" i="17" a="1"/>
  <c r="O5" i="17" s="1"/>
  <c r="P5" i="17" a="1"/>
  <c r="P5" i="17" s="1"/>
  <c r="Q5" i="17" a="1"/>
  <c r="Q5" i="17" s="1"/>
  <c r="R5" i="17" a="1"/>
  <c r="R5" i="17" s="1"/>
  <c r="U5" i="17" a="1"/>
  <c r="U5" i="17" s="1"/>
  <c r="V5" i="17" a="1"/>
  <c r="V5" i="17" s="1"/>
  <c r="W5" i="17" a="1"/>
  <c r="W5" i="17" s="1"/>
  <c r="X5" i="17" a="1"/>
  <c r="X5" i="17" s="1"/>
  <c r="K6" i="17" a="1"/>
  <c r="K6" i="17" s="1"/>
  <c r="L6" i="17" a="1"/>
  <c r="L6" i="17" s="1"/>
  <c r="M6" i="17" a="1"/>
  <c r="M6" i="17" s="1"/>
  <c r="N6" i="17" a="1"/>
  <c r="N6" i="17" s="1"/>
  <c r="O6" i="17" a="1"/>
  <c r="O6" i="17" s="1"/>
  <c r="P6" i="17" a="1"/>
  <c r="P6" i="17" s="1"/>
  <c r="Q6" i="17" a="1"/>
  <c r="Q6" i="17" s="1"/>
  <c r="R6" i="17" a="1"/>
  <c r="R6" i="17" s="1"/>
  <c r="U6" i="17" a="1"/>
  <c r="U6" i="17" s="1"/>
  <c r="V6" i="17" a="1"/>
  <c r="V6" i="17" s="1"/>
  <c r="W6" i="17" a="1"/>
  <c r="W6" i="17" s="1"/>
  <c r="X6" i="17" a="1"/>
  <c r="X6" i="17" s="1"/>
  <c r="K7" i="17" a="1"/>
  <c r="K7" i="17" s="1"/>
  <c r="L7" i="17" a="1"/>
  <c r="L7" i="17" s="1"/>
  <c r="M7" i="17" a="1"/>
  <c r="M7" i="17" s="1"/>
  <c r="N7" i="17" a="1"/>
  <c r="N7" i="17" s="1"/>
  <c r="O7" i="17" a="1"/>
  <c r="O7" i="17" s="1"/>
  <c r="P7" i="17" a="1"/>
  <c r="P7" i="17" s="1"/>
  <c r="Q7" i="17" a="1"/>
  <c r="Q7" i="17" s="1"/>
  <c r="R7" i="17" a="1"/>
  <c r="R7" i="17" s="1"/>
  <c r="U7" i="17" a="1"/>
  <c r="U7" i="17" s="1"/>
  <c r="V7" i="17" a="1"/>
  <c r="V7" i="17" s="1"/>
  <c r="W7" i="17" a="1"/>
  <c r="W7" i="17" s="1"/>
  <c r="X7" i="17" a="1"/>
  <c r="X7" i="17" s="1"/>
  <c r="K8" i="17" a="1"/>
  <c r="K8" i="17" s="1"/>
  <c r="L8" i="17" a="1"/>
  <c r="L8" i="17" s="1"/>
  <c r="M8" i="17" a="1"/>
  <c r="M8" i="17" s="1"/>
  <c r="N8" i="17" a="1"/>
  <c r="N8" i="17" s="1"/>
  <c r="O8" i="17" a="1"/>
  <c r="O8" i="17" s="1"/>
  <c r="P8" i="17" a="1"/>
  <c r="P8" i="17" s="1"/>
  <c r="Q8" i="17" a="1"/>
  <c r="Q8" i="17" s="1"/>
  <c r="R8" i="17" a="1"/>
  <c r="R8" i="17" s="1"/>
  <c r="U8" i="17" a="1"/>
  <c r="U8" i="17" s="1"/>
  <c r="V8" i="17" a="1"/>
  <c r="V8" i="17" s="1"/>
  <c r="W8" i="17" a="1"/>
  <c r="W8" i="17" s="1"/>
  <c r="X8" i="17" a="1"/>
  <c r="X8" i="17" s="1"/>
  <c r="K9" i="17" a="1"/>
  <c r="K9" i="17" s="1"/>
  <c r="L9" i="17" a="1"/>
  <c r="L9" i="17" s="1"/>
  <c r="M9" i="17" a="1"/>
  <c r="M9" i="17" s="1"/>
  <c r="N9" i="17" a="1"/>
  <c r="N9" i="17" s="1"/>
  <c r="O9" i="17" a="1"/>
  <c r="O9" i="17" s="1"/>
  <c r="P9" i="17" a="1"/>
  <c r="P9" i="17" s="1"/>
  <c r="Q9" i="17" a="1"/>
  <c r="Q9" i="17" s="1"/>
  <c r="R9" i="17" a="1"/>
  <c r="R9" i="17" s="1"/>
  <c r="U9" i="17" a="1"/>
  <c r="U9" i="17" s="1"/>
  <c r="V9" i="17" a="1"/>
  <c r="V9" i="17" s="1"/>
  <c r="W9" i="17" a="1"/>
  <c r="W9" i="17" s="1"/>
  <c r="X9" i="17" a="1"/>
  <c r="X9" i="17" s="1"/>
  <c r="K10" i="17" a="1"/>
  <c r="K10" i="17" s="1"/>
  <c r="L10" i="17" a="1"/>
  <c r="L10" i="17" s="1"/>
  <c r="M10" i="17" a="1"/>
  <c r="M10" i="17" s="1"/>
  <c r="N10" i="17" a="1"/>
  <c r="N10" i="17" s="1"/>
  <c r="O10" i="17" a="1"/>
  <c r="O10" i="17" s="1"/>
  <c r="P10" i="17" a="1"/>
  <c r="P10" i="17" s="1"/>
  <c r="Q10" i="17" a="1"/>
  <c r="Q10" i="17" s="1"/>
  <c r="R10" i="17" a="1"/>
  <c r="R10" i="17" s="1"/>
  <c r="U10" i="17" a="1"/>
  <c r="U10" i="17" s="1"/>
  <c r="V10" i="17" a="1"/>
  <c r="V10" i="17" s="1"/>
  <c r="W10" i="17" a="1"/>
  <c r="W10" i="17" s="1"/>
  <c r="X10" i="17" a="1"/>
  <c r="X10" i="17" s="1"/>
  <c r="K11" i="17" a="1"/>
  <c r="K11" i="17" s="1"/>
  <c r="L11" i="17" a="1"/>
  <c r="L11" i="17" s="1"/>
  <c r="M11" i="17" a="1"/>
  <c r="M11" i="17" s="1"/>
  <c r="N11" i="17" a="1"/>
  <c r="N11" i="17" s="1"/>
  <c r="O11" i="17" a="1"/>
  <c r="O11" i="17" s="1"/>
  <c r="P11" i="17" a="1"/>
  <c r="P11" i="17" s="1"/>
  <c r="Q11" i="17" a="1"/>
  <c r="Q11" i="17" s="1"/>
  <c r="R11" i="17" a="1"/>
  <c r="R11" i="17" s="1"/>
  <c r="U11" i="17" a="1"/>
  <c r="U11" i="17" s="1"/>
  <c r="V11" i="17" a="1"/>
  <c r="V11" i="17" s="1"/>
  <c r="W11" i="17" a="1"/>
  <c r="W11" i="17" s="1"/>
  <c r="X11" i="17" a="1"/>
  <c r="X11" i="17" s="1"/>
  <c r="K12" i="17" a="1"/>
  <c r="K12" i="17" s="1"/>
  <c r="L12" i="17" a="1"/>
  <c r="L12" i="17" s="1"/>
  <c r="M12" i="17" a="1"/>
  <c r="M12" i="17" s="1"/>
  <c r="N12" i="17" a="1"/>
  <c r="N12" i="17" s="1"/>
  <c r="O12" i="17" a="1"/>
  <c r="O12" i="17" s="1"/>
  <c r="P12" i="17" a="1"/>
  <c r="P12" i="17" s="1"/>
  <c r="Q12" i="17" a="1"/>
  <c r="Q12" i="17" s="1"/>
  <c r="R12" i="17" a="1"/>
  <c r="R12" i="17" s="1"/>
  <c r="U12" i="17" a="1"/>
  <c r="U12" i="17" s="1"/>
  <c r="V12" i="17" a="1"/>
  <c r="V12" i="17" s="1"/>
  <c r="W12" i="17" a="1"/>
  <c r="W12" i="17" s="1"/>
  <c r="X12" i="17" a="1"/>
  <c r="X12" i="17" s="1"/>
  <c r="K13" i="17" a="1"/>
  <c r="K13" i="17" s="1"/>
  <c r="L13" i="17" a="1"/>
  <c r="L13" i="17" s="1"/>
  <c r="M13" i="17" a="1"/>
  <c r="M13" i="17" s="1"/>
  <c r="N13" i="17" a="1"/>
  <c r="N13" i="17" s="1"/>
  <c r="O13" i="17" a="1"/>
  <c r="O13" i="17" s="1"/>
  <c r="P13" i="17" a="1"/>
  <c r="P13" i="17" s="1"/>
  <c r="Q13" i="17" a="1"/>
  <c r="Q13" i="17" s="1"/>
  <c r="R13" i="17" a="1"/>
  <c r="R13" i="17" s="1"/>
  <c r="U13" i="17" a="1"/>
  <c r="U13" i="17" s="1"/>
  <c r="V13" i="17" a="1"/>
  <c r="V13" i="17" s="1"/>
  <c r="W13" i="17" a="1"/>
  <c r="W13" i="17" s="1"/>
  <c r="X13" i="17" a="1"/>
  <c r="X13" i="17" s="1"/>
  <c r="K14" i="17" a="1"/>
  <c r="K14" i="17" s="1"/>
  <c r="L14" i="17" a="1"/>
  <c r="L14" i="17" s="1"/>
  <c r="M14" i="17" a="1"/>
  <c r="M14" i="17" s="1"/>
  <c r="N14" i="17" a="1"/>
  <c r="N14" i="17" s="1"/>
  <c r="O14" i="17" a="1"/>
  <c r="O14" i="17" s="1"/>
  <c r="P14" i="17" a="1"/>
  <c r="P14" i="17" s="1"/>
  <c r="Q14" i="17" a="1"/>
  <c r="Q14" i="17" s="1"/>
  <c r="R14" i="17" a="1"/>
  <c r="R14" i="17" s="1"/>
  <c r="U14" i="17" a="1"/>
  <c r="U14" i="17" s="1"/>
  <c r="V14" i="17" a="1"/>
  <c r="V14" i="17" s="1"/>
  <c r="W14" i="17" a="1"/>
  <c r="W14" i="17" s="1"/>
  <c r="X14" i="17" a="1"/>
  <c r="X14" i="17" s="1"/>
  <c r="K15" i="17" a="1"/>
  <c r="K15" i="17" s="1"/>
  <c r="L15" i="17" a="1"/>
  <c r="L15" i="17" s="1"/>
  <c r="M15" i="17" a="1"/>
  <c r="M15" i="17" s="1"/>
  <c r="N15" i="17" a="1"/>
  <c r="N15" i="17" s="1"/>
  <c r="O15" i="17" a="1"/>
  <c r="O15" i="17" s="1"/>
  <c r="P15" i="17" a="1"/>
  <c r="P15" i="17" s="1"/>
  <c r="Q15" i="17" a="1"/>
  <c r="Q15" i="17" s="1"/>
  <c r="R15" i="17" a="1"/>
  <c r="R15" i="17" s="1"/>
  <c r="U15" i="17" a="1"/>
  <c r="U15" i="17" s="1"/>
  <c r="V15" i="17" a="1"/>
  <c r="V15" i="17" s="1"/>
  <c r="W15" i="17" a="1"/>
  <c r="W15" i="17" s="1"/>
  <c r="X15" i="17" a="1"/>
  <c r="X15" i="17" s="1"/>
  <c r="K16" i="17" a="1"/>
  <c r="K16" i="17" s="1"/>
  <c r="L16" i="17" a="1"/>
  <c r="L16" i="17" s="1"/>
  <c r="M16" i="17" a="1"/>
  <c r="M16" i="17" s="1"/>
  <c r="N16" i="17" a="1"/>
  <c r="N16" i="17" s="1"/>
  <c r="O16" i="17" a="1"/>
  <c r="O16" i="17" s="1"/>
  <c r="P16" i="17" a="1"/>
  <c r="P16" i="17" s="1"/>
  <c r="Q16" i="17" a="1"/>
  <c r="Q16" i="17" s="1"/>
  <c r="R16" i="17" a="1"/>
  <c r="R16" i="17" s="1"/>
  <c r="U16" i="17" a="1"/>
  <c r="U16" i="17" s="1"/>
  <c r="V16" i="17" a="1"/>
  <c r="V16" i="17" s="1"/>
  <c r="W16" i="17" a="1"/>
  <c r="W16" i="17" s="1"/>
  <c r="X16" i="17" a="1"/>
  <c r="X16" i="17" s="1"/>
  <c r="K17" i="17" a="1"/>
  <c r="K17" i="17" s="1"/>
  <c r="L17" i="17" a="1"/>
  <c r="L17" i="17" s="1"/>
  <c r="M17" i="17" a="1"/>
  <c r="M17" i="17" s="1"/>
  <c r="N17" i="17" a="1"/>
  <c r="N17" i="17" s="1"/>
  <c r="O17" i="17" a="1"/>
  <c r="O17" i="17" s="1"/>
  <c r="P17" i="17" a="1"/>
  <c r="P17" i="17" s="1"/>
  <c r="Q17" i="17" a="1"/>
  <c r="Q17" i="17" s="1"/>
  <c r="R17" i="17" a="1"/>
  <c r="R17" i="17" s="1"/>
  <c r="U17" i="17" a="1"/>
  <c r="U17" i="17" s="1"/>
  <c r="V17" i="17" a="1"/>
  <c r="V17" i="17" s="1"/>
  <c r="W17" i="17" a="1"/>
  <c r="W17" i="17" s="1"/>
  <c r="X17" i="17" a="1"/>
  <c r="X17" i="17" s="1"/>
  <c r="K18" i="17" a="1"/>
  <c r="K18" i="17" s="1"/>
  <c r="L18" i="17" a="1"/>
  <c r="L18" i="17" s="1"/>
  <c r="M18" i="17" a="1"/>
  <c r="M18" i="17" s="1"/>
  <c r="N18" i="17" a="1"/>
  <c r="N18" i="17" s="1"/>
  <c r="O18" i="17" a="1"/>
  <c r="O18" i="17" s="1"/>
  <c r="P18" i="17" a="1"/>
  <c r="P18" i="17" s="1"/>
  <c r="Q18" i="17" a="1"/>
  <c r="Q18" i="17" s="1"/>
  <c r="R18" i="17" a="1"/>
  <c r="R18" i="17" s="1"/>
  <c r="U18" i="17" a="1"/>
  <c r="U18" i="17" s="1"/>
  <c r="V18" i="17" a="1"/>
  <c r="V18" i="17" s="1"/>
  <c r="W18" i="17" a="1"/>
  <c r="W18" i="17" s="1"/>
  <c r="X18" i="17" a="1"/>
  <c r="X18" i="17" s="1"/>
  <c r="K19" i="17" a="1"/>
  <c r="K19" i="17" s="1"/>
  <c r="L19" i="17" a="1"/>
  <c r="L19" i="17" s="1"/>
  <c r="M19" i="17" a="1"/>
  <c r="M19" i="17" s="1"/>
  <c r="N19" i="17" a="1"/>
  <c r="N19" i="17" s="1"/>
  <c r="O19" i="17" a="1"/>
  <c r="O19" i="17" s="1"/>
  <c r="P19" i="17" a="1"/>
  <c r="P19" i="17" s="1"/>
  <c r="Q19" i="17" a="1"/>
  <c r="Q19" i="17" s="1"/>
  <c r="R19" i="17" a="1"/>
  <c r="R19" i="17" s="1"/>
  <c r="U19" i="17" a="1"/>
  <c r="U19" i="17" s="1"/>
  <c r="V19" i="17" a="1"/>
  <c r="V19" i="17" s="1"/>
  <c r="W19" i="17" a="1"/>
  <c r="W19" i="17" s="1"/>
  <c r="X19" i="17" a="1"/>
  <c r="X19" i="17" s="1"/>
  <c r="K20" i="17" a="1"/>
  <c r="K20" i="17" s="1"/>
  <c r="L20" i="17" a="1"/>
  <c r="L20" i="17" s="1"/>
  <c r="M20" i="17" a="1"/>
  <c r="M20" i="17" s="1"/>
  <c r="N20" i="17" a="1"/>
  <c r="N20" i="17" s="1"/>
  <c r="O20" i="17" a="1"/>
  <c r="O20" i="17" s="1"/>
  <c r="P20" i="17" a="1"/>
  <c r="P20" i="17" s="1"/>
  <c r="Q20" i="17" a="1"/>
  <c r="Q20" i="17" s="1"/>
  <c r="R20" i="17" a="1"/>
  <c r="R20" i="17" s="1"/>
  <c r="U20" i="17" a="1"/>
  <c r="U20" i="17" s="1"/>
  <c r="V20" i="17" a="1"/>
  <c r="V20" i="17" s="1"/>
  <c r="W20" i="17" a="1"/>
  <c r="W20" i="17" s="1"/>
  <c r="X20" i="17" a="1"/>
  <c r="X20" i="17" s="1"/>
  <c r="K21" i="17" a="1"/>
  <c r="K21" i="17" s="1"/>
  <c r="L21" i="17" a="1"/>
  <c r="L21" i="17" s="1"/>
  <c r="M21" i="17" a="1"/>
  <c r="M21" i="17" s="1"/>
  <c r="N21" i="17" a="1"/>
  <c r="N21" i="17" s="1"/>
  <c r="O21" i="17" a="1"/>
  <c r="O21" i="17" s="1"/>
  <c r="P21" i="17" a="1"/>
  <c r="P21" i="17" s="1"/>
  <c r="Q21" i="17" a="1"/>
  <c r="Q21" i="17" s="1"/>
  <c r="R21" i="17" a="1"/>
  <c r="R21" i="17" s="1"/>
  <c r="U21" i="17" a="1"/>
  <c r="U21" i="17" s="1"/>
  <c r="V21" i="17" a="1"/>
  <c r="V21" i="17" s="1"/>
  <c r="W21" i="17" a="1"/>
  <c r="W21" i="17" s="1"/>
  <c r="X21" i="17" a="1"/>
  <c r="X21" i="17" s="1"/>
  <c r="K22" i="17" a="1"/>
  <c r="K22" i="17" s="1"/>
  <c r="L22" i="17" a="1"/>
  <c r="L22" i="17" s="1"/>
  <c r="M22" i="17" a="1"/>
  <c r="M22" i="17" s="1"/>
  <c r="N22" i="17" a="1"/>
  <c r="N22" i="17" s="1"/>
  <c r="O22" i="17" a="1"/>
  <c r="O22" i="17" s="1"/>
  <c r="P22" i="17" a="1"/>
  <c r="P22" i="17" s="1"/>
  <c r="Q22" i="17" a="1"/>
  <c r="Q22" i="17" s="1"/>
  <c r="R22" i="17" a="1"/>
  <c r="R22" i="17" s="1"/>
  <c r="U22" i="17" a="1"/>
  <c r="U22" i="17" s="1"/>
  <c r="V22" i="17" a="1"/>
  <c r="V22" i="17" s="1"/>
  <c r="W22" i="17" a="1"/>
  <c r="W22" i="17" s="1"/>
  <c r="X22" i="17" a="1"/>
  <c r="X22" i="17" s="1"/>
  <c r="K23" i="17" a="1"/>
  <c r="K23" i="17" s="1"/>
  <c r="L23" i="17" a="1"/>
  <c r="L23" i="17" s="1"/>
  <c r="M23" i="17" a="1"/>
  <c r="M23" i="17" s="1"/>
  <c r="N23" i="17" a="1"/>
  <c r="N23" i="17" s="1"/>
  <c r="O23" i="17" a="1"/>
  <c r="O23" i="17" s="1"/>
  <c r="P23" i="17" a="1"/>
  <c r="P23" i="17" s="1"/>
  <c r="Q23" i="17" a="1"/>
  <c r="Q23" i="17" s="1"/>
  <c r="R23" i="17" a="1"/>
  <c r="R23" i="17" s="1"/>
  <c r="U23" i="17" a="1"/>
  <c r="U23" i="17" s="1"/>
  <c r="V23" i="17" a="1"/>
  <c r="V23" i="17" s="1"/>
  <c r="W23" i="17" a="1"/>
  <c r="W23" i="17" s="1"/>
  <c r="X23" i="17" a="1"/>
  <c r="X23" i="17" s="1"/>
  <c r="K24" i="17" a="1"/>
  <c r="K24" i="17" s="1"/>
  <c r="L24" i="17" a="1"/>
  <c r="L24" i="17" s="1"/>
  <c r="M24" i="17" a="1"/>
  <c r="M24" i="17" s="1"/>
  <c r="N24" i="17" a="1"/>
  <c r="N24" i="17" s="1"/>
  <c r="O24" i="17" a="1"/>
  <c r="O24" i="17" s="1"/>
  <c r="P24" i="17" a="1"/>
  <c r="P24" i="17" s="1"/>
  <c r="Q24" i="17" a="1"/>
  <c r="Q24" i="17" s="1"/>
  <c r="R24" i="17" a="1"/>
  <c r="R24" i="17" s="1"/>
  <c r="U24" i="17" a="1"/>
  <c r="U24" i="17" s="1"/>
  <c r="V24" i="17" a="1"/>
  <c r="V24" i="17" s="1"/>
  <c r="W24" i="17" a="1"/>
  <c r="W24" i="17" s="1"/>
  <c r="X24" i="17" a="1"/>
  <c r="X24" i="17" s="1"/>
  <c r="K25" i="17" a="1"/>
  <c r="K25" i="17" s="1"/>
  <c r="L25" i="17" a="1"/>
  <c r="L25" i="17" s="1"/>
  <c r="M25" i="17" a="1"/>
  <c r="M25" i="17" s="1"/>
  <c r="N25" i="17" a="1"/>
  <c r="N25" i="17" s="1"/>
  <c r="O25" i="17" a="1"/>
  <c r="O25" i="17" s="1"/>
  <c r="P25" i="17" a="1"/>
  <c r="P25" i="17" s="1"/>
  <c r="Q25" i="17" a="1"/>
  <c r="Q25" i="17" s="1"/>
  <c r="R25" i="17" a="1"/>
  <c r="R25" i="17" s="1"/>
  <c r="U25" i="17" a="1"/>
  <c r="U25" i="17" s="1"/>
  <c r="V25" i="17" a="1"/>
  <c r="V25" i="17" s="1"/>
  <c r="W25" i="17" a="1"/>
  <c r="W25" i="17" s="1"/>
  <c r="X25" i="17" a="1"/>
  <c r="X25" i="17" s="1"/>
  <c r="K26" i="17" a="1"/>
  <c r="K26" i="17" s="1"/>
  <c r="L26" i="17" a="1"/>
  <c r="L26" i="17" s="1"/>
  <c r="M26" i="17" a="1"/>
  <c r="M26" i="17" s="1"/>
  <c r="N26" i="17" a="1"/>
  <c r="N26" i="17" s="1"/>
  <c r="O26" i="17" a="1"/>
  <c r="O26" i="17" s="1"/>
  <c r="P26" i="17" a="1"/>
  <c r="P26" i="17" s="1"/>
  <c r="Q26" i="17" a="1"/>
  <c r="Q26" i="17" s="1"/>
  <c r="R26" i="17" a="1"/>
  <c r="R26" i="17" s="1"/>
  <c r="U26" i="17" a="1"/>
  <c r="U26" i="17" s="1"/>
  <c r="V26" i="17" a="1"/>
  <c r="V26" i="17" s="1"/>
  <c r="W26" i="17" a="1"/>
  <c r="W26" i="17" s="1"/>
  <c r="X26" i="17" a="1"/>
  <c r="X26" i="17" s="1"/>
  <c r="K27" i="17" a="1"/>
  <c r="K27" i="17" s="1"/>
  <c r="L27" i="17" a="1"/>
  <c r="L27" i="17" s="1"/>
  <c r="M27" i="17" a="1"/>
  <c r="M27" i="17" s="1"/>
  <c r="N27" i="17" a="1"/>
  <c r="N27" i="17" s="1"/>
  <c r="O27" i="17" a="1"/>
  <c r="O27" i="17" s="1"/>
  <c r="P27" i="17" a="1"/>
  <c r="P27" i="17" s="1"/>
  <c r="Q27" i="17" a="1"/>
  <c r="Q27" i="17" s="1"/>
  <c r="R27" i="17" a="1"/>
  <c r="R27" i="17" s="1"/>
  <c r="U27" i="17" a="1"/>
  <c r="U27" i="17" s="1"/>
  <c r="V27" i="17" a="1"/>
  <c r="V27" i="17" s="1"/>
  <c r="W27" i="17" a="1"/>
  <c r="W27" i="17" s="1"/>
  <c r="X27" i="17" a="1"/>
  <c r="X27" i="17" s="1"/>
  <c r="K28" i="17" a="1"/>
  <c r="K28" i="17" s="1"/>
  <c r="L28" i="17" a="1"/>
  <c r="L28" i="17" s="1"/>
  <c r="M28" i="17" a="1"/>
  <c r="M28" i="17" s="1"/>
  <c r="N28" i="17" a="1"/>
  <c r="N28" i="17" s="1"/>
  <c r="O28" i="17" a="1"/>
  <c r="O28" i="17" s="1"/>
  <c r="P28" i="17" a="1"/>
  <c r="P28" i="17" s="1"/>
  <c r="Q28" i="17" a="1"/>
  <c r="Q28" i="17" s="1"/>
  <c r="R28" i="17" a="1"/>
  <c r="R28" i="17" s="1"/>
  <c r="U28" i="17" a="1"/>
  <c r="U28" i="17" s="1"/>
  <c r="V28" i="17" a="1"/>
  <c r="V28" i="17" s="1"/>
  <c r="W28" i="17" a="1"/>
  <c r="W28" i="17" s="1"/>
  <c r="X28" i="17" a="1"/>
  <c r="X28" i="17" s="1"/>
  <c r="K29" i="17" a="1"/>
  <c r="K29" i="17" s="1"/>
  <c r="L29" i="17" a="1"/>
  <c r="L29" i="17" s="1"/>
  <c r="M29" i="17" a="1"/>
  <c r="M29" i="17" s="1"/>
  <c r="N29" i="17" a="1"/>
  <c r="N29" i="17" s="1"/>
  <c r="O29" i="17" a="1"/>
  <c r="O29" i="17" s="1"/>
  <c r="P29" i="17" a="1"/>
  <c r="P29" i="17" s="1"/>
  <c r="Q29" i="17" a="1"/>
  <c r="Q29" i="17" s="1"/>
  <c r="R29" i="17" a="1"/>
  <c r="R29" i="17" s="1"/>
  <c r="U29" i="17" a="1"/>
  <c r="U29" i="17" s="1"/>
  <c r="V29" i="17" a="1"/>
  <c r="V29" i="17" s="1"/>
  <c r="W29" i="17" a="1"/>
  <c r="W29" i="17" s="1"/>
  <c r="X29" i="17" a="1"/>
  <c r="X29" i="17" s="1"/>
  <c r="K30" i="17" a="1"/>
  <c r="K30" i="17" s="1"/>
  <c r="L30" i="17" a="1"/>
  <c r="L30" i="17" s="1"/>
  <c r="M30" i="17" a="1"/>
  <c r="M30" i="17" s="1"/>
  <c r="N30" i="17" a="1"/>
  <c r="N30" i="17" s="1"/>
  <c r="O30" i="17" a="1"/>
  <c r="O30" i="17" s="1"/>
  <c r="P30" i="17" a="1"/>
  <c r="P30" i="17" s="1"/>
  <c r="Q30" i="17" a="1"/>
  <c r="Q30" i="17" s="1"/>
  <c r="R30" i="17" a="1"/>
  <c r="R30" i="17" s="1"/>
  <c r="U30" i="17" a="1"/>
  <c r="U30" i="17" s="1"/>
  <c r="V30" i="17" a="1"/>
  <c r="V30" i="17" s="1"/>
  <c r="W30" i="17" a="1"/>
  <c r="W30" i="17" s="1"/>
  <c r="X30" i="17" a="1"/>
  <c r="X30" i="17" s="1"/>
  <c r="K31" i="17" a="1"/>
  <c r="K31" i="17" s="1"/>
  <c r="L31" i="17" a="1"/>
  <c r="L31" i="17" s="1"/>
  <c r="M31" i="17" a="1"/>
  <c r="M31" i="17" s="1"/>
  <c r="N31" i="17" a="1"/>
  <c r="N31" i="17" s="1"/>
  <c r="O31" i="17" a="1"/>
  <c r="O31" i="17" s="1"/>
  <c r="P31" i="17" a="1"/>
  <c r="P31" i="17" s="1"/>
  <c r="Q31" i="17" a="1"/>
  <c r="Q31" i="17" s="1"/>
  <c r="R31" i="17" a="1"/>
  <c r="R31" i="17" s="1"/>
  <c r="U31" i="17" a="1"/>
  <c r="U31" i="17" s="1"/>
  <c r="V31" i="17" a="1"/>
  <c r="V31" i="17" s="1"/>
  <c r="W31" i="17" a="1"/>
  <c r="W31" i="17" s="1"/>
  <c r="X31" i="17" a="1"/>
  <c r="X31" i="17" s="1"/>
  <c r="K32" i="17" a="1"/>
  <c r="K32" i="17" s="1"/>
  <c r="L32" i="17" a="1"/>
  <c r="L32" i="17" s="1"/>
  <c r="M32" i="17" a="1"/>
  <c r="M32" i="17" s="1"/>
  <c r="N32" i="17" a="1"/>
  <c r="N32" i="17" s="1"/>
  <c r="O32" i="17" a="1"/>
  <c r="O32" i="17" s="1"/>
  <c r="P32" i="17" a="1"/>
  <c r="P32" i="17" s="1"/>
  <c r="Q32" i="17" a="1"/>
  <c r="Q32" i="17" s="1"/>
  <c r="R32" i="17" a="1"/>
  <c r="R32" i="17" s="1"/>
  <c r="U32" i="17" a="1"/>
  <c r="U32" i="17" s="1"/>
  <c r="V32" i="17" a="1"/>
  <c r="V32" i="17" s="1"/>
  <c r="W32" i="17" a="1"/>
  <c r="W32" i="17" s="1"/>
  <c r="X32" i="17" a="1"/>
  <c r="X32" i="17" s="1"/>
  <c r="K33" i="17" a="1"/>
  <c r="K33" i="17" s="1"/>
  <c r="L33" i="17" a="1"/>
  <c r="L33" i="17" s="1"/>
  <c r="M33" i="17" a="1"/>
  <c r="M33" i="17" s="1"/>
  <c r="N33" i="17" a="1"/>
  <c r="N33" i="17" s="1"/>
  <c r="O33" i="17" a="1"/>
  <c r="O33" i="17" s="1"/>
  <c r="P33" i="17" a="1"/>
  <c r="P33" i="17" s="1"/>
  <c r="Q33" i="17" a="1"/>
  <c r="Q33" i="17" s="1"/>
  <c r="R33" i="17" a="1"/>
  <c r="R33" i="17" s="1"/>
  <c r="U33" i="17" a="1"/>
  <c r="U33" i="17" s="1"/>
  <c r="V33" i="17" a="1"/>
  <c r="V33" i="17" s="1"/>
  <c r="W33" i="17" a="1"/>
  <c r="W33" i="17" s="1"/>
  <c r="X33" i="17" a="1"/>
  <c r="X33" i="17" s="1"/>
  <c r="K34" i="17" a="1"/>
  <c r="K34" i="17" s="1"/>
  <c r="L34" i="17" a="1"/>
  <c r="L34" i="17" s="1"/>
  <c r="M34" i="17" a="1"/>
  <c r="M34" i="17" s="1"/>
  <c r="N34" i="17" a="1"/>
  <c r="N34" i="17" s="1"/>
  <c r="O34" i="17" a="1"/>
  <c r="O34" i="17" s="1"/>
  <c r="P34" i="17" a="1"/>
  <c r="P34" i="17" s="1"/>
  <c r="Q34" i="17" a="1"/>
  <c r="Q34" i="17" s="1"/>
  <c r="R34" i="17" a="1"/>
  <c r="R34" i="17" s="1"/>
  <c r="U34" i="17" a="1"/>
  <c r="U34" i="17" s="1"/>
  <c r="V34" i="17" a="1"/>
  <c r="V34" i="17" s="1"/>
  <c r="W34" i="17" a="1"/>
  <c r="W34" i="17" s="1"/>
  <c r="X34" i="17" a="1"/>
  <c r="X34" i="17" s="1"/>
  <c r="K35" i="17" a="1"/>
  <c r="K35" i="17" s="1"/>
  <c r="L35" i="17" a="1"/>
  <c r="L35" i="17" s="1"/>
  <c r="M35" i="17" a="1"/>
  <c r="M35" i="17" s="1"/>
  <c r="N35" i="17" a="1"/>
  <c r="N35" i="17" s="1"/>
  <c r="O35" i="17" a="1"/>
  <c r="O35" i="17" s="1"/>
  <c r="P35" i="17" a="1"/>
  <c r="P35" i="17" s="1"/>
  <c r="Q35" i="17" a="1"/>
  <c r="Q35" i="17" s="1"/>
  <c r="R35" i="17" a="1"/>
  <c r="R35" i="17" s="1"/>
  <c r="U35" i="17" a="1"/>
  <c r="U35" i="17" s="1"/>
  <c r="V35" i="17" a="1"/>
  <c r="V35" i="17" s="1"/>
  <c r="W35" i="17" a="1"/>
  <c r="W35" i="17" s="1"/>
  <c r="X35" i="17" a="1"/>
  <c r="X35" i="17" s="1"/>
  <c r="K36" i="17" a="1"/>
  <c r="K36" i="17" s="1"/>
  <c r="L36" i="17" a="1"/>
  <c r="L36" i="17" s="1"/>
  <c r="M36" i="17" a="1"/>
  <c r="M36" i="17" s="1"/>
  <c r="N36" i="17" a="1"/>
  <c r="N36" i="17" s="1"/>
  <c r="O36" i="17" a="1"/>
  <c r="O36" i="17" s="1"/>
  <c r="P36" i="17" a="1"/>
  <c r="P36" i="17" s="1"/>
  <c r="Q36" i="17" a="1"/>
  <c r="Q36" i="17" s="1"/>
  <c r="R36" i="17" a="1"/>
  <c r="R36" i="17" s="1"/>
  <c r="U36" i="17" a="1"/>
  <c r="U36" i="17" s="1"/>
  <c r="V36" i="17" a="1"/>
  <c r="V36" i="17" s="1"/>
  <c r="W36" i="17" a="1"/>
  <c r="W36" i="17" s="1"/>
  <c r="X36" i="17" a="1"/>
  <c r="X36" i="17" s="1"/>
  <c r="K37" i="17" a="1"/>
  <c r="K37" i="17" s="1"/>
  <c r="L37" i="17" a="1"/>
  <c r="L37" i="17" s="1"/>
  <c r="M37" i="17" a="1"/>
  <c r="M37" i="17" s="1"/>
  <c r="N37" i="17" a="1"/>
  <c r="N37" i="17" s="1"/>
  <c r="O37" i="17" a="1"/>
  <c r="O37" i="17" s="1"/>
  <c r="P37" i="17" a="1"/>
  <c r="P37" i="17" s="1"/>
  <c r="Q37" i="17" a="1"/>
  <c r="Q37" i="17" s="1"/>
  <c r="R37" i="17" a="1"/>
  <c r="R37" i="17" s="1"/>
  <c r="U37" i="17" a="1"/>
  <c r="U37" i="17" s="1"/>
  <c r="V37" i="17" a="1"/>
  <c r="V37" i="17" s="1"/>
  <c r="W37" i="17" a="1"/>
  <c r="W37" i="17" s="1"/>
  <c r="X37" i="17" a="1"/>
  <c r="X37" i="17" s="1"/>
  <c r="K38" i="17" a="1"/>
  <c r="K38" i="17" s="1"/>
  <c r="L38" i="17" a="1"/>
  <c r="L38" i="17" s="1"/>
  <c r="M38" i="17" a="1"/>
  <c r="M38" i="17" s="1"/>
  <c r="N38" i="17" a="1"/>
  <c r="N38" i="17" s="1"/>
  <c r="O38" i="17" a="1"/>
  <c r="O38" i="17" s="1"/>
  <c r="P38" i="17" a="1"/>
  <c r="P38" i="17" s="1"/>
  <c r="Q38" i="17" a="1"/>
  <c r="Q38" i="17" s="1"/>
  <c r="R38" i="17" a="1"/>
  <c r="R38" i="17" s="1"/>
  <c r="U38" i="17" a="1"/>
  <c r="U38" i="17" s="1"/>
  <c r="V38" i="17" a="1"/>
  <c r="V38" i="17" s="1"/>
  <c r="W38" i="17" a="1"/>
  <c r="W38" i="17" s="1"/>
  <c r="X38" i="17" a="1"/>
  <c r="X38" i="17" s="1"/>
  <c r="K39" i="17" a="1"/>
  <c r="K39" i="17" s="1"/>
  <c r="L39" i="17" a="1"/>
  <c r="L39" i="17" s="1"/>
  <c r="M39" i="17" a="1"/>
  <c r="M39" i="17" s="1"/>
  <c r="N39" i="17" a="1"/>
  <c r="N39" i="17" s="1"/>
  <c r="O39" i="17" a="1"/>
  <c r="O39" i="17" s="1"/>
  <c r="P39" i="17" a="1"/>
  <c r="P39" i="17" s="1"/>
  <c r="Q39" i="17" a="1"/>
  <c r="Q39" i="17" s="1"/>
  <c r="R39" i="17" a="1"/>
  <c r="R39" i="17" s="1"/>
  <c r="U39" i="17" a="1"/>
  <c r="U39" i="17" s="1"/>
  <c r="V39" i="17" a="1"/>
  <c r="V39" i="17" s="1"/>
  <c r="W39" i="17" a="1"/>
  <c r="W39" i="17" s="1"/>
  <c r="X39" i="17" a="1"/>
  <c r="X39" i="17" s="1"/>
  <c r="K40" i="17" a="1"/>
  <c r="K40" i="17" s="1"/>
  <c r="L40" i="17" a="1"/>
  <c r="L40" i="17" s="1"/>
  <c r="M40" i="17" a="1"/>
  <c r="M40" i="17" s="1"/>
  <c r="N40" i="17" a="1"/>
  <c r="N40" i="17" s="1"/>
  <c r="O40" i="17" a="1"/>
  <c r="O40" i="17" s="1"/>
  <c r="P40" i="17" a="1"/>
  <c r="P40" i="17" s="1"/>
  <c r="Q40" i="17" a="1"/>
  <c r="Q40" i="17" s="1"/>
  <c r="R40" i="17" a="1"/>
  <c r="R40" i="17" s="1"/>
  <c r="U40" i="17" a="1"/>
  <c r="U40" i="17" s="1"/>
  <c r="V40" i="17" a="1"/>
  <c r="V40" i="17" s="1"/>
  <c r="W40" i="17" a="1"/>
  <c r="W40" i="17" s="1"/>
  <c r="X40" i="17" a="1"/>
  <c r="X40" i="17" s="1"/>
  <c r="K41" i="17" a="1"/>
  <c r="K41" i="17" s="1"/>
  <c r="L41" i="17" a="1"/>
  <c r="L41" i="17" s="1"/>
  <c r="M41" i="17" a="1"/>
  <c r="M41" i="17" s="1"/>
  <c r="N41" i="17" a="1"/>
  <c r="N41" i="17" s="1"/>
  <c r="O41" i="17" a="1"/>
  <c r="O41" i="17" s="1"/>
  <c r="P41" i="17" a="1"/>
  <c r="P41" i="17" s="1"/>
  <c r="Q41" i="17" a="1"/>
  <c r="Q41" i="17" s="1"/>
  <c r="R41" i="17" a="1"/>
  <c r="R41" i="17" s="1"/>
  <c r="U41" i="17" a="1"/>
  <c r="U41" i="17" s="1"/>
  <c r="V41" i="17" a="1"/>
  <c r="V41" i="17" s="1"/>
  <c r="W41" i="17" a="1"/>
  <c r="W41" i="17" s="1"/>
  <c r="X41" i="17" a="1"/>
  <c r="X41" i="17" s="1"/>
  <c r="K42" i="17" a="1"/>
  <c r="K42" i="17" s="1"/>
  <c r="L42" i="17" a="1"/>
  <c r="L42" i="17" s="1"/>
  <c r="M42" i="17" a="1"/>
  <c r="M42" i="17" s="1"/>
  <c r="N42" i="17" a="1"/>
  <c r="N42" i="17" s="1"/>
  <c r="O42" i="17" a="1"/>
  <c r="O42" i="17" s="1"/>
  <c r="P42" i="17" a="1"/>
  <c r="P42" i="17" s="1"/>
  <c r="Q42" i="17" a="1"/>
  <c r="Q42" i="17" s="1"/>
  <c r="R42" i="17" a="1"/>
  <c r="R42" i="17" s="1"/>
  <c r="U42" i="17" a="1"/>
  <c r="U42" i="17" s="1"/>
  <c r="V42" i="17" a="1"/>
  <c r="V42" i="17" s="1"/>
  <c r="W42" i="17" a="1"/>
  <c r="W42" i="17" s="1"/>
  <c r="X42" i="17" a="1"/>
  <c r="X42" i="17" s="1"/>
  <c r="K43" i="17" a="1"/>
  <c r="K43" i="17" s="1"/>
  <c r="L43" i="17" a="1"/>
  <c r="L43" i="17" s="1"/>
  <c r="M43" i="17" a="1"/>
  <c r="M43" i="17" s="1"/>
  <c r="N43" i="17" a="1"/>
  <c r="N43" i="17" s="1"/>
  <c r="O43" i="17" a="1"/>
  <c r="O43" i="17" s="1"/>
  <c r="P43" i="17" a="1"/>
  <c r="P43" i="17" s="1"/>
  <c r="Q43" i="17" a="1"/>
  <c r="Q43" i="17" s="1"/>
  <c r="R43" i="17" a="1"/>
  <c r="R43" i="17" s="1"/>
  <c r="U43" i="17" a="1"/>
  <c r="U43" i="17" s="1"/>
  <c r="V43" i="17" a="1"/>
  <c r="V43" i="17" s="1"/>
  <c r="W43" i="17" a="1"/>
  <c r="W43" i="17" s="1"/>
  <c r="X43" i="17" a="1"/>
  <c r="X43" i="17" s="1"/>
  <c r="K44" i="17" a="1"/>
  <c r="K44" i="17" s="1"/>
  <c r="L44" i="17" a="1"/>
  <c r="L44" i="17" s="1"/>
  <c r="M44" i="17" a="1"/>
  <c r="M44" i="17" s="1"/>
  <c r="N44" i="17" a="1"/>
  <c r="N44" i="17" s="1"/>
  <c r="O44" i="17" a="1"/>
  <c r="O44" i="17" s="1"/>
  <c r="P44" i="17" a="1"/>
  <c r="P44" i="17" s="1"/>
  <c r="Q44" i="17" a="1"/>
  <c r="Q44" i="17" s="1"/>
  <c r="R44" i="17" a="1"/>
  <c r="R44" i="17" s="1"/>
  <c r="U44" i="17" a="1"/>
  <c r="U44" i="17" s="1"/>
  <c r="V44" i="17" a="1"/>
  <c r="V44" i="17" s="1"/>
  <c r="W44" i="17" a="1"/>
  <c r="W44" i="17" s="1"/>
  <c r="X44" i="17" a="1"/>
  <c r="X44" i="17" s="1"/>
  <c r="K45" i="17" a="1"/>
  <c r="K45" i="17" s="1"/>
  <c r="L45" i="17" a="1"/>
  <c r="L45" i="17" s="1"/>
  <c r="M45" i="17" a="1"/>
  <c r="M45" i="17" s="1"/>
  <c r="N45" i="17" a="1"/>
  <c r="N45" i="17" s="1"/>
  <c r="O45" i="17" a="1"/>
  <c r="O45" i="17" s="1"/>
  <c r="P45" i="17" a="1"/>
  <c r="P45" i="17" s="1"/>
  <c r="Q45" i="17" a="1"/>
  <c r="Q45" i="17" s="1"/>
  <c r="R45" i="17" a="1"/>
  <c r="R45" i="17" s="1"/>
  <c r="U45" i="17" a="1"/>
  <c r="U45" i="17" s="1"/>
  <c r="V45" i="17" a="1"/>
  <c r="V45" i="17" s="1"/>
  <c r="W45" i="17" a="1"/>
  <c r="W45" i="17" s="1"/>
  <c r="X45" i="17" a="1"/>
  <c r="X45" i="17" s="1"/>
  <c r="K46" i="17" a="1"/>
  <c r="K46" i="17" s="1"/>
  <c r="L46" i="17" a="1"/>
  <c r="L46" i="17" s="1"/>
  <c r="M46" i="17" a="1"/>
  <c r="M46" i="17" s="1"/>
  <c r="N46" i="17" a="1"/>
  <c r="N46" i="17" s="1"/>
  <c r="O46" i="17" a="1"/>
  <c r="O46" i="17" s="1"/>
  <c r="P46" i="17" a="1"/>
  <c r="P46" i="17" s="1"/>
  <c r="Q46" i="17" a="1"/>
  <c r="Q46" i="17" s="1"/>
  <c r="R46" i="17" a="1"/>
  <c r="R46" i="17" s="1"/>
  <c r="U46" i="17" a="1"/>
  <c r="U46" i="17" s="1"/>
  <c r="V46" i="17" a="1"/>
  <c r="V46" i="17" s="1"/>
  <c r="W46" i="17" a="1"/>
  <c r="W46" i="17" s="1"/>
  <c r="X46" i="17" a="1"/>
  <c r="X46" i="17" s="1"/>
  <c r="K47" i="17" a="1"/>
  <c r="K47" i="17" s="1"/>
  <c r="L47" i="17" a="1"/>
  <c r="L47" i="17" s="1"/>
  <c r="M47" i="17" a="1"/>
  <c r="M47" i="17" s="1"/>
  <c r="N47" i="17" a="1"/>
  <c r="N47" i="17" s="1"/>
  <c r="O47" i="17" a="1"/>
  <c r="O47" i="17" s="1"/>
  <c r="P47" i="17" a="1"/>
  <c r="P47" i="17" s="1"/>
  <c r="Q47" i="17" a="1"/>
  <c r="Q47" i="17" s="1"/>
  <c r="R47" i="17" a="1"/>
  <c r="R47" i="17" s="1"/>
  <c r="U47" i="17" a="1"/>
  <c r="U47" i="17" s="1"/>
  <c r="V47" i="17" a="1"/>
  <c r="V47" i="17" s="1"/>
  <c r="W47" i="17" a="1"/>
  <c r="W47" i="17" s="1"/>
  <c r="X47" i="17" a="1"/>
  <c r="X47" i="17" s="1"/>
  <c r="K48" i="17" a="1"/>
  <c r="K48" i="17" s="1"/>
  <c r="L48" i="17" a="1"/>
  <c r="L48" i="17" s="1"/>
  <c r="M48" i="17" a="1"/>
  <c r="M48" i="17" s="1"/>
  <c r="N48" i="17" a="1"/>
  <c r="N48" i="17" s="1"/>
  <c r="O48" i="17" a="1"/>
  <c r="O48" i="17" s="1"/>
  <c r="P48" i="17" a="1"/>
  <c r="P48" i="17" s="1"/>
  <c r="Q48" i="17" a="1"/>
  <c r="Q48" i="17" s="1"/>
  <c r="R48" i="17" a="1"/>
  <c r="R48" i="17" s="1"/>
  <c r="U48" i="17" a="1"/>
  <c r="U48" i="17" s="1"/>
  <c r="V48" i="17" a="1"/>
  <c r="V48" i="17" s="1"/>
  <c r="W48" i="17" a="1"/>
  <c r="W48" i="17" s="1"/>
  <c r="X48" i="17" a="1"/>
  <c r="X48" i="17" s="1"/>
  <c r="K49" i="17" a="1"/>
  <c r="K49" i="17" s="1"/>
  <c r="L49" i="17" a="1"/>
  <c r="L49" i="17" s="1"/>
  <c r="M49" i="17" a="1"/>
  <c r="M49" i="17" s="1"/>
  <c r="N49" i="17" a="1"/>
  <c r="N49" i="17" s="1"/>
  <c r="O49" i="17" a="1"/>
  <c r="O49" i="17" s="1"/>
  <c r="P49" i="17" a="1"/>
  <c r="P49" i="17" s="1"/>
  <c r="Q49" i="17" a="1"/>
  <c r="Q49" i="17" s="1"/>
  <c r="R49" i="17" a="1"/>
  <c r="R49" i="17" s="1"/>
  <c r="U49" i="17" a="1"/>
  <c r="U49" i="17" s="1"/>
  <c r="V49" i="17" a="1"/>
  <c r="V49" i="17" s="1"/>
  <c r="W49" i="17" a="1"/>
  <c r="W49" i="17" s="1"/>
  <c r="X49" i="17" a="1"/>
  <c r="X49" i="17" s="1"/>
  <c r="K50" i="17" a="1"/>
  <c r="K50" i="17" s="1"/>
  <c r="L50" i="17" a="1"/>
  <c r="L50" i="17" s="1"/>
  <c r="M50" i="17" a="1"/>
  <c r="M50" i="17" s="1"/>
  <c r="N50" i="17" a="1"/>
  <c r="N50" i="17" s="1"/>
  <c r="O50" i="17" a="1"/>
  <c r="O50" i="17" s="1"/>
  <c r="P50" i="17" a="1"/>
  <c r="P50" i="17" s="1"/>
  <c r="Q50" i="17" a="1"/>
  <c r="Q50" i="17" s="1"/>
  <c r="R50" i="17" a="1"/>
  <c r="R50" i="17" s="1"/>
  <c r="U50" i="17" a="1"/>
  <c r="U50" i="17" s="1"/>
  <c r="V50" i="17" a="1"/>
  <c r="V50" i="17" s="1"/>
  <c r="W50" i="17" a="1"/>
  <c r="W50" i="17" s="1"/>
  <c r="X50" i="17" a="1"/>
  <c r="X50" i="17" s="1"/>
  <c r="K51" i="17" a="1"/>
  <c r="K51" i="17" s="1"/>
  <c r="L51" i="17" a="1"/>
  <c r="L51" i="17" s="1"/>
  <c r="M51" i="17" a="1"/>
  <c r="M51" i="17" s="1"/>
  <c r="N51" i="17" a="1"/>
  <c r="N51" i="17" s="1"/>
  <c r="O51" i="17" a="1"/>
  <c r="O51" i="17" s="1"/>
  <c r="P51" i="17" a="1"/>
  <c r="P51" i="17" s="1"/>
  <c r="Q51" i="17" a="1"/>
  <c r="Q51" i="17" s="1"/>
  <c r="R51" i="17" a="1"/>
  <c r="R51" i="17" s="1"/>
  <c r="U51" i="17" a="1"/>
  <c r="U51" i="17" s="1"/>
  <c r="V51" i="17" a="1"/>
  <c r="V51" i="17" s="1"/>
  <c r="W51" i="17" a="1"/>
  <c r="W51" i="17" s="1"/>
  <c r="X51" i="17" a="1"/>
  <c r="X51" i="17" s="1"/>
  <c r="K52" i="17" a="1"/>
  <c r="K52" i="17" s="1"/>
  <c r="L52" i="17" a="1"/>
  <c r="L52" i="17" s="1"/>
  <c r="M52" i="17" a="1"/>
  <c r="M52" i="17" s="1"/>
  <c r="N52" i="17" a="1"/>
  <c r="N52" i="17" s="1"/>
  <c r="O52" i="17" a="1"/>
  <c r="O52" i="17" s="1"/>
  <c r="P52" i="17" a="1"/>
  <c r="P52" i="17" s="1"/>
  <c r="Q52" i="17" a="1"/>
  <c r="Q52" i="17" s="1"/>
  <c r="R52" i="17" a="1"/>
  <c r="R52" i="17" s="1"/>
  <c r="U52" i="17" a="1"/>
  <c r="U52" i="17" s="1"/>
  <c r="V52" i="17" a="1"/>
  <c r="V52" i="17" s="1"/>
  <c r="W52" i="17" a="1"/>
  <c r="W52" i="17" s="1"/>
  <c r="X52" i="17" a="1"/>
  <c r="X52" i="17" s="1"/>
  <c r="K53" i="17" a="1"/>
  <c r="K53" i="17" s="1"/>
  <c r="L53" i="17" a="1"/>
  <c r="L53" i="17" s="1"/>
  <c r="M53" i="17" a="1"/>
  <c r="M53" i="17" s="1"/>
  <c r="N53" i="17" a="1"/>
  <c r="N53" i="17" s="1"/>
  <c r="O53" i="17" a="1"/>
  <c r="O53" i="17" s="1"/>
  <c r="P53" i="17" a="1"/>
  <c r="P53" i="17" s="1"/>
  <c r="Q53" i="17" a="1"/>
  <c r="Q53" i="17" s="1"/>
  <c r="R53" i="17" a="1"/>
  <c r="R53" i="17" s="1"/>
  <c r="U53" i="17" a="1"/>
  <c r="U53" i="17" s="1"/>
  <c r="V53" i="17" a="1"/>
  <c r="V53" i="17" s="1"/>
  <c r="W53" i="17" a="1"/>
  <c r="W53" i="17" s="1"/>
  <c r="X53" i="17" a="1"/>
  <c r="X53" i="17" s="1"/>
  <c r="K54" i="17" a="1"/>
  <c r="K54" i="17" s="1"/>
  <c r="L54" i="17" a="1"/>
  <c r="L54" i="17" s="1"/>
  <c r="M54" i="17" a="1"/>
  <c r="M54" i="17" s="1"/>
  <c r="N54" i="17" a="1"/>
  <c r="N54" i="17" s="1"/>
  <c r="O54" i="17" a="1"/>
  <c r="O54" i="17" s="1"/>
  <c r="P54" i="17" a="1"/>
  <c r="P54" i="17" s="1"/>
  <c r="Q54" i="17" a="1"/>
  <c r="Q54" i="17" s="1"/>
  <c r="R54" i="17" a="1"/>
  <c r="R54" i="17" s="1"/>
  <c r="U54" i="17" a="1"/>
  <c r="U54" i="17" s="1"/>
  <c r="V54" i="17" a="1"/>
  <c r="V54" i="17" s="1"/>
  <c r="W54" i="17" a="1"/>
  <c r="W54" i="17" s="1"/>
  <c r="X54" i="17" a="1"/>
  <c r="X54" i="17" s="1"/>
  <c r="K55" i="17" a="1"/>
  <c r="K55" i="17" s="1"/>
  <c r="L55" i="17" a="1"/>
  <c r="L55" i="17" s="1"/>
  <c r="M55" i="17" a="1"/>
  <c r="M55" i="17" s="1"/>
  <c r="N55" i="17" a="1"/>
  <c r="N55" i="17" s="1"/>
  <c r="O55" i="17" a="1"/>
  <c r="O55" i="17" s="1"/>
  <c r="P55" i="17" a="1"/>
  <c r="P55" i="17" s="1"/>
  <c r="Q55" i="17" a="1"/>
  <c r="Q55" i="17" s="1"/>
  <c r="R55" i="17" a="1"/>
  <c r="R55" i="17" s="1"/>
  <c r="U55" i="17" a="1"/>
  <c r="U55" i="17" s="1"/>
  <c r="V55" i="17" a="1"/>
  <c r="V55" i="17" s="1"/>
  <c r="W55" i="17" a="1"/>
  <c r="W55" i="17" s="1"/>
  <c r="X55" i="17" a="1"/>
  <c r="X55" i="17" s="1"/>
  <c r="K56" i="17" a="1"/>
  <c r="K56" i="17" s="1"/>
  <c r="L56" i="17" a="1"/>
  <c r="L56" i="17" s="1"/>
  <c r="M56" i="17" a="1"/>
  <c r="M56" i="17" s="1"/>
  <c r="N56" i="17" a="1"/>
  <c r="N56" i="17" s="1"/>
  <c r="O56" i="17" a="1"/>
  <c r="O56" i="17" s="1"/>
  <c r="P56" i="17" a="1"/>
  <c r="P56" i="17" s="1"/>
  <c r="Q56" i="17" a="1"/>
  <c r="Q56" i="17" s="1"/>
  <c r="R56" i="17" a="1"/>
  <c r="R56" i="17" s="1"/>
  <c r="U56" i="17" a="1"/>
  <c r="U56" i="17" s="1"/>
  <c r="V56" i="17" a="1"/>
  <c r="V56" i="17" s="1"/>
  <c r="W56" i="17" a="1"/>
  <c r="W56" i="17" s="1"/>
  <c r="X56" i="17" a="1"/>
  <c r="X56" i="17" s="1"/>
  <c r="K57" i="17" a="1"/>
  <c r="K57" i="17" s="1"/>
  <c r="L57" i="17" a="1"/>
  <c r="L57" i="17" s="1"/>
  <c r="M57" i="17" a="1"/>
  <c r="M57" i="17" s="1"/>
  <c r="N57" i="17" a="1"/>
  <c r="N57" i="17" s="1"/>
  <c r="O57" i="17" a="1"/>
  <c r="O57" i="17" s="1"/>
  <c r="P57" i="17" a="1"/>
  <c r="P57" i="17" s="1"/>
  <c r="Q57" i="17" a="1"/>
  <c r="Q57" i="17" s="1"/>
  <c r="R57" i="17" a="1"/>
  <c r="R57" i="17" s="1"/>
  <c r="U57" i="17" a="1"/>
  <c r="U57" i="17" s="1"/>
  <c r="V57" i="17" a="1"/>
  <c r="V57" i="17" s="1"/>
  <c r="W57" i="17" a="1"/>
  <c r="W57" i="17" s="1"/>
  <c r="X57" i="17" a="1"/>
  <c r="X57" i="17" s="1"/>
  <c r="K58" i="17" a="1"/>
  <c r="K58" i="17" s="1"/>
  <c r="L58" i="17" a="1"/>
  <c r="L58" i="17" s="1"/>
  <c r="M58" i="17" a="1"/>
  <c r="M58" i="17" s="1"/>
  <c r="N58" i="17" a="1"/>
  <c r="N58" i="17" s="1"/>
  <c r="O58" i="17" a="1"/>
  <c r="O58" i="17" s="1"/>
  <c r="P58" i="17" a="1"/>
  <c r="P58" i="17" s="1"/>
  <c r="Q58" i="17" a="1"/>
  <c r="Q58" i="17" s="1"/>
  <c r="R58" i="17" a="1"/>
  <c r="R58" i="17" s="1"/>
  <c r="U58" i="17" a="1"/>
  <c r="U58" i="17" s="1"/>
  <c r="V58" i="17" a="1"/>
  <c r="V58" i="17" s="1"/>
  <c r="W58" i="17" a="1"/>
  <c r="W58" i="17" s="1"/>
  <c r="X58" i="17" a="1"/>
  <c r="X58" i="17" s="1"/>
  <c r="K59" i="17" a="1"/>
  <c r="K59" i="17" s="1"/>
  <c r="L59" i="17" a="1"/>
  <c r="L59" i="17" s="1"/>
  <c r="M59" i="17" a="1"/>
  <c r="M59" i="17" s="1"/>
  <c r="N59" i="17" a="1"/>
  <c r="N59" i="17" s="1"/>
  <c r="O59" i="17" a="1"/>
  <c r="O59" i="17" s="1"/>
  <c r="P59" i="17" a="1"/>
  <c r="P59" i="17" s="1"/>
  <c r="Q59" i="17" a="1"/>
  <c r="Q59" i="17" s="1"/>
  <c r="R59" i="17" a="1"/>
  <c r="R59" i="17" s="1"/>
  <c r="U59" i="17" a="1"/>
  <c r="U59" i="17" s="1"/>
  <c r="V59" i="17" a="1"/>
  <c r="V59" i="17" s="1"/>
  <c r="W59" i="17" a="1"/>
  <c r="W59" i="17" s="1"/>
  <c r="X59" i="17" a="1"/>
  <c r="X59" i="17" s="1"/>
  <c r="K60" i="17" a="1"/>
  <c r="K60" i="17" s="1"/>
  <c r="L60" i="17" a="1"/>
  <c r="L60" i="17" s="1"/>
  <c r="M60" i="17" a="1"/>
  <c r="M60" i="17" s="1"/>
  <c r="N60" i="17" a="1"/>
  <c r="N60" i="17" s="1"/>
  <c r="O60" i="17" a="1"/>
  <c r="O60" i="17" s="1"/>
  <c r="P60" i="17" a="1"/>
  <c r="P60" i="17" s="1"/>
  <c r="Q60" i="17" a="1"/>
  <c r="Q60" i="17" s="1"/>
  <c r="R60" i="17" a="1"/>
  <c r="R60" i="17" s="1"/>
  <c r="U60" i="17" a="1"/>
  <c r="U60" i="17" s="1"/>
  <c r="V60" i="17" a="1"/>
  <c r="V60" i="17" s="1"/>
  <c r="W60" i="17" a="1"/>
  <c r="W60" i="17" s="1"/>
  <c r="X60" i="17" a="1"/>
  <c r="X60" i="17" s="1"/>
  <c r="K61" i="17" a="1"/>
  <c r="K61" i="17" s="1"/>
  <c r="L61" i="17" a="1"/>
  <c r="L61" i="17" s="1"/>
  <c r="M61" i="17" a="1"/>
  <c r="M61" i="17" s="1"/>
  <c r="N61" i="17" a="1"/>
  <c r="N61" i="17" s="1"/>
  <c r="O61" i="17" a="1"/>
  <c r="O61" i="17" s="1"/>
  <c r="P61" i="17" a="1"/>
  <c r="P61" i="17" s="1"/>
  <c r="Q61" i="17" a="1"/>
  <c r="Q61" i="17" s="1"/>
  <c r="R61" i="17" a="1"/>
  <c r="R61" i="17" s="1"/>
  <c r="U61" i="17" a="1"/>
  <c r="U61" i="17" s="1"/>
  <c r="V61" i="17" a="1"/>
  <c r="V61" i="17" s="1"/>
  <c r="W61" i="17" a="1"/>
  <c r="W61" i="17" s="1"/>
  <c r="X61" i="17" a="1"/>
  <c r="X61" i="17" s="1"/>
  <c r="K62" i="17" a="1"/>
  <c r="K62" i="17" s="1"/>
  <c r="L62" i="17" a="1"/>
  <c r="L62" i="17" s="1"/>
  <c r="M62" i="17" a="1"/>
  <c r="M62" i="17" s="1"/>
  <c r="N62" i="17" a="1"/>
  <c r="N62" i="17" s="1"/>
  <c r="O62" i="17" a="1"/>
  <c r="O62" i="17" s="1"/>
  <c r="P62" i="17" a="1"/>
  <c r="P62" i="17" s="1"/>
  <c r="Q62" i="17" a="1"/>
  <c r="Q62" i="17" s="1"/>
  <c r="R62" i="17" a="1"/>
  <c r="R62" i="17" s="1"/>
  <c r="U62" i="17" a="1"/>
  <c r="U62" i="17" s="1"/>
  <c r="V62" i="17" a="1"/>
  <c r="V62" i="17" s="1"/>
  <c r="W62" i="17" a="1"/>
  <c r="W62" i="17" s="1"/>
  <c r="X62" i="17" a="1"/>
  <c r="X62" i="17" s="1"/>
  <c r="K63" i="17" a="1"/>
  <c r="K63" i="17" s="1"/>
  <c r="L63" i="17" a="1"/>
  <c r="L63" i="17" s="1"/>
  <c r="M63" i="17" a="1"/>
  <c r="M63" i="17" s="1"/>
  <c r="N63" i="17" a="1"/>
  <c r="N63" i="17" s="1"/>
  <c r="O63" i="17" a="1"/>
  <c r="O63" i="17" s="1"/>
  <c r="P63" i="17" a="1"/>
  <c r="P63" i="17" s="1"/>
  <c r="Q63" i="17" a="1"/>
  <c r="Q63" i="17" s="1"/>
  <c r="R63" i="17" a="1"/>
  <c r="R63" i="17" s="1"/>
  <c r="U63" i="17" a="1"/>
  <c r="U63" i="17" s="1"/>
  <c r="V63" i="17" a="1"/>
  <c r="V63" i="17" s="1"/>
  <c r="W63" i="17" a="1"/>
  <c r="W63" i="17" s="1"/>
  <c r="X63" i="17" a="1"/>
  <c r="X63" i="17" s="1"/>
  <c r="K64" i="17" a="1"/>
  <c r="K64" i="17" s="1"/>
  <c r="L64" i="17" a="1"/>
  <c r="L64" i="17" s="1"/>
  <c r="M64" i="17" a="1"/>
  <c r="M64" i="17" s="1"/>
  <c r="N64" i="17" a="1"/>
  <c r="N64" i="17" s="1"/>
  <c r="O64" i="17" a="1"/>
  <c r="O64" i="17" s="1"/>
  <c r="P64" i="17" a="1"/>
  <c r="P64" i="17" s="1"/>
  <c r="Q64" i="17" a="1"/>
  <c r="Q64" i="17" s="1"/>
  <c r="R64" i="17" a="1"/>
  <c r="R64" i="17" s="1"/>
  <c r="U64" i="17" a="1"/>
  <c r="U64" i="17" s="1"/>
  <c r="V64" i="17" a="1"/>
  <c r="V64" i="17" s="1"/>
  <c r="W64" i="17" a="1"/>
  <c r="W64" i="17" s="1"/>
  <c r="X64" i="17" a="1"/>
  <c r="X64" i="17" s="1"/>
  <c r="K65" i="17" a="1"/>
  <c r="K65" i="17" s="1"/>
  <c r="L65" i="17" a="1"/>
  <c r="L65" i="17" s="1"/>
  <c r="M65" i="17" a="1"/>
  <c r="M65" i="17" s="1"/>
  <c r="N65" i="17" a="1"/>
  <c r="N65" i="17" s="1"/>
  <c r="O65" i="17" a="1"/>
  <c r="O65" i="17" s="1"/>
  <c r="P65" i="17" a="1"/>
  <c r="P65" i="17" s="1"/>
  <c r="Q65" i="17" a="1"/>
  <c r="Q65" i="17" s="1"/>
  <c r="R65" i="17" a="1"/>
  <c r="R65" i="17" s="1"/>
  <c r="U65" i="17" a="1"/>
  <c r="U65" i="17" s="1"/>
  <c r="V65" i="17" a="1"/>
  <c r="V65" i="17" s="1"/>
  <c r="W65" i="17" a="1"/>
  <c r="W65" i="17" s="1"/>
  <c r="X65" i="17" a="1"/>
  <c r="X65" i="17" s="1"/>
  <c r="K66" i="17" a="1"/>
  <c r="K66" i="17" s="1"/>
  <c r="L66" i="17" a="1"/>
  <c r="L66" i="17" s="1"/>
  <c r="M66" i="17" a="1"/>
  <c r="M66" i="17" s="1"/>
  <c r="N66" i="17" a="1"/>
  <c r="N66" i="17" s="1"/>
  <c r="O66" i="17" a="1"/>
  <c r="O66" i="17" s="1"/>
  <c r="P66" i="17" a="1"/>
  <c r="P66" i="17" s="1"/>
  <c r="Q66" i="17" a="1"/>
  <c r="Q66" i="17" s="1"/>
  <c r="R66" i="17" a="1"/>
  <c r="R66" i="17" s="1"/>
  <c r="U66" i="17" a="1"/>
  <c r="U66" i="17" s="1"/>
  <c r="V66" i="17" a="1"/>
  <c r="V66" i="17" s="1"/>
  <c r="W66" i="17" a="1"/>
  <c r="W66" i="17" s="1"/>
  <c r="X66" i="17" a="1"/>
  <c r="X66" i="17" s="1"/>
  <c r="K67" i="17" a="1"/>
  <c r="K67" i="17" s="1"/>
  <c r="L67" i="17" a="1"/>
  <c r="L67" i="17" s="1"/>
  <c r="M67" i="17" a="1"/>
  <c r="M67" i="17" s="1"/>
  <c r="N67" i="17" a="1"/>
  <c r="N67" i="17" s="1"/>
  <c r="O67" i="17" a="1"/>
  <c r="O67" i="17" s="1"/>
  <c r="P67" i="17" a="1"/>
  <c r="P67" i="17" s="1"/>
  <c r="Q67" i="17" a="1"/>
  <c r="Q67" i="17" s="1"/>
  <c r="R67" i="17" a="1"/>
  <c r="R67" i="17" s="1"/>
  <c r="U67" i="17" a="1"/>
  <c r="U67" i="17" s="1"/>
  <c r="V67" i="17" a="1"/>
  <c r="V67" i="17" s="1"/>
  <c r="W67" i="17" a="1"/>
  <c r="W67" i="17" s="1"/>
  <c r="X67" i="17" a="1"/>
  <c r="X67" i="17" s="1"/>
  <c r="K68" i="17" a="1"/>
  <c r="K68" i="17" s="1"/>
  <c r="L68" i="17" a="1"/>
  <c r="L68" i="17" s="1"/>
  <c r="M68" i="17" a="1"/>
  <c r="M68" i="17" s="1"/>
  <c r="N68" i="17" a="1"/>
  <c r="N68" i="17" s="1"/>
  <c r="O68" i="17" a="1"/>
  <c r="O68" i="17" s="1"/>
  <c r="P68" i="17" a="1"/>
  <c r="P68" i="17" s="1"/>
  <c r="Q68" i="17" a="1"/>
  <c r="Q68" i="17" s="1"/>
  <c r="R68" i="17" a="1"/>
  <c r="R68" i="17" s="1"/>
  <c r="U68" i="17" a="1"/>
  <c r="U68" i="17" s="1"/>
  <c r="V68" i="17" a="1"/>
  <c r="V68" i="17" s="1"/>
  <c r="W68" i="17" a="1"/>
  <c r="W68" i="17" s="1"/>
  <c r="X68" i="17" a="1"/>
  <c r="X68" i="17" s="1"/>
  <c r="K69" i="17" a="1"/>
  <c r="K69" i="17" s="1"/>
  <c r="L69" i="17" a="1"/>
  <c r="L69" i="17" s="1"/>
  <c r="M69" i="17" a="1"/>
  <c r="M69" i="17" s="1"/>
  <c r="N69" i="17" a="1"/>
  <c r="N69" i="17" s="1"/>
  <c r="O69" i="17" a="1"/>
  <c r="O69" i="17" s="1"/>
  <c r="P69" i="17" a="1"/>
  <c r="P69" i="17" s="1"/>
  <c r="Q69" i="17" a="1"/>
  <c r="Q69" i="17" s="1"/>
  <c r="R69" i="17" a="1"/>
  <c r="R69" i="17" s="1"/>
  <c r="U69" i="17" a="1"/>
  <c r="U69" i="17" s="1"/>
  <c r="V69" i="17" a="1"/>
  <c r="V69" i="17" s="1"/>
  <c r="W69" i="17" a="1"/>
  <c r="W69" i="17" s="1"/>
  <c r="X69" i="17" a="1"/>
  <c r="X69" i="17" s="1"/>
  <c r="K70" i="17" a="1"/>
  <c r="K70" i="17" s="1"/>
  <c r="L70" i="17" a="1"/>
  <c r="L70" i="17" s="1"/>
  <c r="M70" i="17" a="1"/>
  <c r="M70" i="17" s="1"/>
  <c r="N70" i="17" a="1"/>
  <c r="N70" i="17" s="1"/>
  <c r="O70" i="17" a="1"/>
  <c r="O70" i="17" s="1"/>
  <c r="P70" i="17" a="1"/>
  <c r="P70" i="17" s="1"/>
  <c r="Q70" i="17" a="1"/>
  <c r="Q70" i="17" s="1"/>
  <c r="R70" i="17" a="1"/>
  <c r="R70" i="17" s="1"/>
  <c r="U70" i="17" a="1"/>
  <c r="U70" i="17" s="1"/>
  <c r="V70" i="17" a="1"/>
  <c r="V70" i="17" s="1"/>
  <c r="W70" i="17" a="1"/>
  <c r="W70" i="17" s="1"/>
  <c r="X70" i="17" a="1"/>
  <c r="X70" i="17" s="1"/>
  <c r="K71" i="17" a="1"/>
  <c r="K71" i="17" s="1"/>
  <c r="L71" i="17" a="1"/>
  <c r="L71" i="17" s="1"/>
  <c r="M71" i="17" a="1"/>
  <c r="M71" i="17" s="1"/>
  <c r="N71" i="17" a="1"/>
  <c r="N71" i="17" s="1"/>
  <c r="O71" i="17" a="1"/>
  <c r="O71" i="17" s="1"/>
  <c r="P71" i="17" a="1"/>
  <c r="P71" i="17" s="1"/>
  <c r="Q71" i="17" a="1"/>
  <c r="Q71" i="17" s="1"/>
  <c r="R71" i="17" a="1"/>
  <c r="R71" i="17" s="1"/>
  <c r="U71" i="17" a="1"/>
  <c r="U71" i="17" s="1"/>
  <c r="V71" i="17" a="1"/>
  <c r="V71" i="17" s="1"/>
  <c r="W71" i="17" a="1"/>
  <c r="W71" i="17" s="1"/>
  <c r="X71" i="17" a="1"/>
  <c r="X71" i="17" s="1"/>
  <c r="K72" i="17" a="1"/>
  <c r="K72" i="17" s="1"/>
  <c r="L72" i="17" a="1"/>
  <c r="L72" i="17" s="1"/>
  <c r="M72" i="17" a="1"/>
  <c r="M72" i="17" s="1"/>
  <c r="N72" i="17" a="1"/>
  <c r="N72" i="17" s="1"/>
  <c r="O72" i="17" a="1"/>
  <c r="O72" i="17" s="1"/>
  <c r="P72" i="17" a="1"/>
  <c r="P72" i="17" s="1"/>
  <c r="Q72" i="17" a="1"/>
  <c r="Q72" i="17" s="1"/>
  <c r="R72" i="17" a="1"/>
  <c r="R72" i="17" s="1"/>
  <c r="U72" i="17" a="1"/>
  <c r="U72" i="17" s="1"/>
  <c r="V72" i="17" a="1"/>
  <c r="V72" i="17" s="1"/>
  <c r="W72" i="17" a="1"/>
  <c r="W72" i="17" s="1"/>
  <c r="X72" i="17" a="1"/>
  <c r="X72" i="17" s="1"/>
  <c r="K73" i="17" a="1"/>
  <c r="K73" i="17" s="1"/>
  <c r="L73" i="17" a="1"/>
  <c r="L73" i="17" s="1"/>
  <c r="M73" i="17" a="1"/>
  <c r="M73" i="17" s="1"/>
  <c r="N73" i="17" a="1"/>
  <c r="N73" i="17" s="1"/>
  <c r="O73" i="17" a="1"/>
  <c r="O73" i="17" s="1"/>
  <c r="P73" i="17" a="1"/>
  <c r="P73" i="17" s="1"/>
  <c r="Q73" i="17" a="1"/>
  <c r="Q73" i="17" s="1"/>
  <c r="R73" i="17" a="1"/>
  <c r="R73" i="17" s="1"/>
  <c r="U73" i="17" a="1"/>
  <c r="U73" i="17" s="1"/>
  <c r="V73" i="17" a="1"/>
  <c r="V73" i="17" s="1"/>
  <c r="W73" i="17" a="1"/>
  <c r="W73" i="17" s="1"/>
  <c r="X73" i="17" a="1"/>
  <c r="X73" i="17" s="1"/>
  <c r="K74" i="17" a="1"/>
  <c r="K74" i="17" s="1"/>
  <c r="L74" i="17" a="1"/>
  <c r="L74" i="17" s="1"/>
  <c r="M74" i="17" a="1"/>
  <c r="M74" i="17" s="1"/>
  <c r="N74" i="17" a="1"/>
  <c r="N74" i="17" s="1"/>
  <c r="O74" i="17" a="1"/>
  <c r="O74" i="17" s="1"/>
  <c r="P74" i="17" a="1"/>
  <c r="P74" i="17" s="1"/>
  <c r="Q74" i="17" a="1"/>
  <c r="Q74" i="17" s="1"/>
  <c r="R74" i="17" a="1"/>
  <c r="R74" i="17" s="1"/>
  <c r="U74" i="17" a="1"/>
  <c r="U74" i="17" s="1"/>
  <c r="V74" i="17" a="1"/>
  <c r="V74" i="17" s="1"/>
  <c r="W74" i="17" a="1"/>
  <c r="W74" i="17" s="1"/>
  <c r="X74" i="17" a="1"/>
  <c r="X74" i="17" s="1"/>
  <c r="K75" i="17" a="1"/>
  <c r="K75" i="17" s="1"/>
  <c r="L75" i="17" a="1"/>
  <c r="L75" i="17" s="1"/>
  <c r="M75" i="17" a="1"/>
  <c r="M75" i="17" s="1"/>
  <c r="N75" i="17" a="1"/>
  <c r="N75" i="17" s="1"/>
  <c r="O75" i="17" a="1"/>
  <c r="O75" i="17" s="1"/>
  <c r="P75" i="17" a="1"/>
  <c r="P75" i="17" s="1"/>
  <c r="Q75" i="17" a="1"/>
  <c r="Q75" i="17" s="1"/>
  <c r="R75" i="17" a="1"/>
  <c r="R75" i="17" s="1"/>
  <c r="U75" i="17" a="1"/>
  <c r="U75" i="17" s="1"/>
  <c r="V75" i="17" a="1"/>
  <c r="V75" i="17" s="1"/>
  <c r="W75" i="17" a="1"/>
  <c r="W75" i="17" s="1"/>
  <c r="X75" i="17" a="1"/>
  <c r="X75" i="17" s="1"/>
  <c r="K76" i="17" a="1"/>
  <c r="K76" i="17" s="1"/>
  <c r="L76" i="17" a="1"/>
  <c r="L76" i="17" s="1"/>
  <c r="M76" i="17" a="1"/>
  <c r="M76" i="17" s="1"/>
  <c r="N76" i="17" a="1"/>
  <c r="N76" i="17" s="1"/>
  <c r="O76" i="17" a="1"/>
  <c r="O76" i="17" s="1"/>
  <c r="P76" i="17" a="1"/>
  <c r="P76" i="17" s="1"/>
  <c r="Q76" i="17" a="1"/>
  <c r="Q76" i="17" s="1"/>
  <c r="R76" i="17" a="1"/>
  <c r="R76" i="17" s="1"/>
  <c r="U76" i="17" a="1"/>
  <c r="U76" i="17" s="1"/>
  <c r="V76" i="17" a="1"/>
  <c r="V76" i="17" s="1"/>
  <c r="W76" i="17" a="1"/>
  <c r="W76" i="17" s="1"/>
  <c r="X76" i="17" a="1"/>
  <c r="X76" i="17" s="1"/>
  <c r="K77" i="17" a="1"/>
  <c r="K77" i="17" s="1"/>
  <c r="L77" i="17" a="1"/>
  <c r="L77" i="17" s="1"/>
  <c r="M77" i="17" a="1"/>
  <c r="M77" i="17" s="1"/>
  <c r="N77" i="17" a="1"/>
  <c r="N77" i="17" s="1"/>
  <c r="O77" i="17" a="1"/>
  <c r="O77" i="17" s="1"/>
  <c r="P77" i="17" a="1"/>
  <c r="P77" i="17" s="1"/>
  <c r="Q77" i="17" a="1"/>
  <c r="Q77" i="17" s="1"/>
  <c r="R77" i="17" a="1"/>
  <c r="R77" i="17" s="1"/>
  <c r="U77" i="17" a="1"/>
  <c r="U77" i="17" s="1"/>
  <c r="V77" i="17" a="1"/>
  <c r="V77" i="17" s="1"/>
  <c r="W77" i="17" a="1"/>
  <c r="W77" i="17" s="1"/>
  <c r="X77" i="17" a="1"/>
  <c r="X77" i="17" s="1"/>
  <c r="K78" i="17" a="1"/>
  <c r="K78" i="17" s="1"/>
  <c r="L78" i="17" a="1"/>
  <c r="L78" i="17" s="1"/>
  <c r="M78" i="17" a="1"/>
  <c r="M78" i="17" s="1"/>
  <c r="N78" i="17" a="1"/>
  <c r="N78" i="17" s="1"/>
  <c r="O78" i="17" a="1"/>
  <c r="O78" i="17" s="1"/>
  <c r="P78" i="17" a="1"/>
  <c r="P78" i="17" s="1"/>
  <c r="Q78" i="17" a="1"/>
  <c r="Q78" i="17" s="1"/>
  <c r="R78" i="17" a="1"/>
  <c r="R78" i="17" s="1"/>
  <c r="U78" i="17" a="1"/>
  <c r="U78" i="17" s="1"/>
  <c r="V78" i="17" a="1"/>
  <c r="V78" i="17" s="1"/>
  <c r="W78" i="17" a="1"/>
  <c r="W78" i="17" s="1"/>
  <c r="X78" i="17" a="1"/>
  <c r="X78" i="17" s="1"/>
  <c r="K79" i="17" a="1"/>
  <c r="K79" i="17" s="1"/>
  <c r="L79" i="17" a="1"/>
  <c r="L79" i="17" s="1"/>
  <c r="M79" i="17" a="1"/>
  <c r="M79" i="17" s="1"/>
  <c r="N79" i="17" a="1"/>
  <c r="N79" i="17" s="1"/>
  <c r="O79" i="17" a="1"/>
  <c r="O79" i="17" s="1"/>
  <c r="P79" i="17" a="1"/>
  <c r="P79" i="17" s="1"/>
  <c r="Q79" i="17" a="1"/>
  <c r="Q79" i="17" s="1"/>
  <c r="R79" i="17" a="1"/>
  <c r="R79" i="17" s="1"/>
  <c r="U79" i="17" a="1"/>
  <c r="U79" i="17" s="1"/>
  <c r="V79" i="17" a="1"/>
  <c r="V79" i="17" s="1"/>
  <c r="W79" i="17" a="1"/>
  <c r="W79" i="17" s="1"/>
  <c r="X79" i="17" a="1"/>
  <c r="X79" i="17" s="1"/>
  <c r="K80" i="17" a="1"/>
  <c r="K80" i="17" s="1"/>
  <c r="L80" i="17" a="1"/>
  <c r="L80" i="17" s="1"/>
  <c r="M80" i="17" a="1"/>
  <c r="M80" i="17" s="1"/>
  <c r="N80" i="17" a="1"/>
  <c r="N80" i="17" s="1"/>
  <c r="O80" i="17" a="1"/>
  <c r="O80" i="17" s="1"/>
  <c r="P80" i="17" a="1"/>
  <c r="P80" i="17" s="1"/>
  <c r="Q80" i="17" a="1"/>
  <c r="Q80" i="17" s="1"/>
  <c r="R80" i="17" a="1"/>
  <c r="R80" i="17" s="1"/>
  <c r="U80" i="17" a="1"/>
  <c r="U80" i="17" s="1"/>
  <c r="V80" i="17" a="1"/>
  <c r="V80" i="17" s="1"/>
  <c r="W80" i="17" a="1"/>
  <c r="W80" i="17" s="1"/>
  <c r="X80" i="17" a="1"/>
  <c r="X80" i="17" s="1"/>
  <c r="K81" i="17" a="1"/>
  <c r="K81" i="17" s="1"/>
  <c r="L81" i="17" a="1"/>
  <c r="L81" i="17" s="1"/>
  <c r="M81" i="17" a="1"/>
  <c r="M81" i="17" s="1"/>
  <c r="N81" i="17" a="1"/>
  <c r="N81" i="17" s="1"/>
  <c r="O81" i="17" a="1"/>
  <c r="O81" i="17" s="1"/>
  <c r="P81" i="17" a="1"/>
  <c r="P81" i="17" s="1"/>
  <c r="Q81" i="17" a="1"/>
  <c r="Q81" i="17" s="1"/>
  <c r="R81" i="17" a="1"/>
  <c r="R81" i="17" s="1"/>
  <c r="U81" i="17" a="1"/>
  <c r="U81" i="17" s="1"/>
  <c r="V81" i="17" a="1"/>
  <c r="V81" i="17" s="1"/>
  <c r="W81" i="17" a="1"/>
  <c r="W81" i="17" s="1"/>
  <c r="X81" i="17" a="1"/>
  <c r="X81" i="17" s="1"/>
  <c r="K82" i="17" a="1"/>
  <c r="K82" i="17" s="1"/>
  <c r="L82" i="17" a="1"/>
  <c r="L82" i="17" s="1"/>
  <c r="M82" i="17" a="1"/>
  <c r="M82" i="17" s="1"/>
  <c r="N82" i="17" a="1"/>
  <c r="N82" i="17" s="1"/>
  <c r="O82" i="17" a="1"/>
  <c r="O82" i="17" s="1"/>
  <c r="P82" i="17" a="1"/>
  <c r="P82" i="17" s="1"/>
  <c r="Q82" i="17" a="1"/>
  <c r="Q82" i="17" s="1"/>
  <c r="R82" i="17" a="1"/>
  <c r="R82" i="17" s="1"/>
  <c r="U82" i="17" a="1"/>
  <c r="U82" i="17" s="1"/>
  <c r="V82" i="17" a="1"/>
  <c r="V82" i="17" s="1"/>
  <c r="W82" i="17" a="1"/>
  <c r="W82" i="17" s="1"/>
  <c r="X82" i="17" a="1"/>
  <c r="X82" i="17" s="1"/>
  <c r="K83" i="17" a="1"/>
  <c r="K83" i="17" s="1"/>
  <c r="L83" i="17" a="1"/>
  <c r="L83" i="17" s="1"/>
  <c r="M83" i="17" a="1"/>
  <c r="M83" i="17" s="1"/>
  <c r="N83" i="17" a="1"/>
  <c r="N83" i="17" s="1"/>
  <c r="O83" i="17" a="1"/>
  <c r="O83" i="17" s="1"/>
  <c r="P83" i="17" a="1"/>
  <c r="P83" i="17" s="1"/>
  <c r="Q83" i="17" a="1"/>
  <c r="Q83" i="17" s="1"/>
  <c r="R83" i="17" a="1"/>
  <c r="R83" i="17" s="1"/>
  <c r="U83" i="17" a="1"/>
  <c r="U83" i="17" s="1"/>
  <c r="V83" i="17" a="1"/>
  <c r="V83" i="17" s="1"/>
  <c r="W83" i="17" a="1"/>
  <c r="W83" i="17" s="1"/>
  <c r="X83" i="17" a="1"/>
  <c r="X83" i="17" s="1"/>
  <c r="K84" i="17" a="1"/>
  <c r="K84" i="17" s="1"/>
  <c r="L84" i="17" a="1"/>
  <c r="L84" i="17" s="1"/>
  <c r="M84" i="17" a="1"/>
  <c r="M84" i="17" s="1"/>
  <c r="N84" i="17" a="1"/>
  <c r="N84" i="17" s="1"/>
  <c r="O84" i="17" a="1"/>
  <c r="O84" i="17" s="1"/>
  <c r="P84" i="17" a="1"/>
  <c r="P84" i="17" s="1"/>
  <c r="Q84" i="17" a="1"/>
  <c r="Q84" i="17" s="1"/>
  <c r="R84" i="17" a="1"/>
  <c r="R84" i="17" s="1"/>
  <c r="U84" i="17" a="1"/>
  <c r="U84" i="17" s="1"/>
  <c r="V84" i="17" a="1"/>
  <c r="V84" i="17" s="1"/>
  <c r="W84" i="17" a="1"/>
  <c r="W84" i="17" s="1"/>
  <c r="X84" i="17" a="1"/>
  <c r="X84" i="17" s="1"/>
  <c r="K85" i="17" a="1"/>
  <c r="K85" i="17" s="1"/>
  <c r="L85" i="17" a="1"/>
  <c r="L85" i="17" s="1"/>
  <c r="M85" i="17" a="1"/>
  <c r="M85" i="17" s="1"/>
  <c r="N85" i="17" a="1"/>
  <c r="N85" i="17" s="1"/>
  <c r="O85" i="17" a="1"/>
  <c r="O85" i="17" s="1"/>
  <c r="P85" i="17" a="1"/>
  <c r="P85" i="17" s="1"/>
  <c r="Q85" i="17" a="1"/>
  <c r="Q85" i="17" s="1"/>
  <c r="R85" i="17" a="1"/>
  <c r="R85" i="17" s="1"/>
  <c r="U85" i="17" a="1"/>
  <c r="U85" i="17" s="1"/>
  <c r="V85" i="17" a="1"/>
  <c r="V85" i="17" s="1"/>
  <c r="W85" i="17" a="1"/>
  <c r="W85" i="17" s="1"/>
  <c r="X85" i="17" a="1"/>
  <c r="X85" i="17" s="1"/>
  <c r="K86" i="17" a="1"/>
  <c r="K86" i="17" s="1"/>
  <c r="L86" i="17" a="1"/>
  <c r="L86" i="17" s="1"/>
  <c r="M86" i="17" a="1"/>
  <c r="M86" i="17" s="1"/>
  <c r="N86" i="17" a="1"/>
  <c r="N86" i="17" s="1"/>
  <c r="O86" i="17" a="1"/>
  <c r="O86" i="17" s="1"/>
  <c r="P86" i="17" a="1"/>
  <c r="P86" i="17" s="1"/>
  <c r="Q86" i="17" a="1"/>
  <c r="Q86" i="17" s="1"/>
  <c r="R86" i="17" a="1"/>
  <c r="R86" i="17" s="1"/>
  <c r="U86" i="17" a="1"/>
  <c r="U86" i="17" s="1"/>
  <c r="V86" i="17" a="1"/>
  <c r="V86" i="17" s="1"/>
  <c r="W86" i="17" a="1"/>
  <c r="W86" i="17" s="1"/>
  <c r="X86" i="17" a="1"/>
  <c r="X86" i="17" s="1"/>
  <c r="K87" i="17" a="1"/>
  <c r="K87" i="17" s="1"/>
  <c r="L87" i="17" a="1"/>
  <c r="L87" i="17" s="1"/>
  <c r="M87" i="17" a="1"/>
  <c r="M87" i="17" s="1"/>
  <c r="N87" i="17" a="1"/>
  <c r="N87" i="17" s="1"/>
  <c r="O87" i="17" a="1"/>
  <c r="O87" i="17" s="1"/>
  <c r="P87" i="17" a="1"/>
  <c r="P87" i="17" s="1"/>
  <c r="Q87" i="17" a="1"/>
  <c r="Q87" i="17" s="1"/>
  <c r="R87" i="17" a="1"/>
  <c r="R87" i="17" s="1"/>
  <c r="U87" i="17" a="1"/>
  <c r="U87" i="17" s="1"/>
  <c r="V87" i="17" a="1"/>
  <c r="V87" i="17" s="1"/>
  <c r="W87" i="17" a="1"/>
  <c r="W87" i="17" s="1"/>
  <c r="X87" i="17" a="1"/>
  <c r="X87" i="17" s="1"/>
  <c r="K88" i="17" a="1"/>
  <c r="K88" i="17" s="1"/>
  <c r="L88" i="17" a="1"/>
  <c r="L88" i="17" s="1"/>
  <c r="M88" i="17" a="1"/>
  <c r="M88" i="17" s="1"/>
  <c r="N88" i="17" a="1"/>
  <c r="N88" i="17" s="1"/>
  <c r="O88" i="17" a="1"/>
  <c r="O88" i="17" s="1"/>
  <c r="P88" i="17" a="1"/>
  <c r="P88" i="17" s="1"/>
  <c r="Q88" i="17" a="1"/>
  <c r="Q88" i="17" s="1"/>
  <c r="R88" i="17" a="1"/>
  <c r="R88" i="17" s="1"/>
  <c r="U88" i="17" a="1"/>
  <c r="U88" i="17" s="1"/>
  <c r="V88" i="17" a="1"/>
  <c r="V88" i="17" s="1"/>
  <c r="W88" i="17" a="1"/>
  <c r="W88" i="17" s="1"/>
  <c r="X88" i="17" a="1"/>
  <c r="X88" i="17" s="1"/>
  <c r="K89" i="17" a="1"/>
  <c r="K89" i="17" s="1"/>
  <c r="L89" i="17" a="1"/>
  <c r="L89" i="17" s="1"/>
  <c r="M89" i="17" a="1"/>
  <c r="M89" i="17" s="1"/>
  <c r="N89" i="17" a="1"/>
  <c r="N89" i="17" s="1"/>
  <c r="O89" i="17" a="1"/>
  <c r="O89" i="17" s="1"/>
  <c r="P89" i="17" a="1"/>
  <c r="P89" i="17" s="1"/>
  <c r="Q89" i="17" a="1"/>
  <c r="Q89" i="17" s="1"/>
  <c r="R89" i="17" a="1"/>
  <c r="R89" i="17" s="1"/>
  <c r="U89" i="17" a="1"/>
  <c r="U89" i="17" s="1"/>
  <c r="V89" i="17" a="1"/>
  <c r="V89" i="17" s="1"/>
  <c r="W89" i="17" a="1"/>
  <c r="W89" i="17" s="1"/>
  <c r="X89" i="17" a="1"/>
  <c r="X89" i="17" s="1"/>
  <c r="K90" i="17" a="1"/>
  <c r="K90" i="17" s="1"/>
  <c r="L90" i="17" a="1"/>
  <c r="L90" i="17" s="1"/>
  <c r="M90" i="17" a="1"/>
  <c r="M90" i="17" s="1"/>
  <c r="N90" i="17" a="1"/>
  <c r="N90" i="17" s="1"/>
  <c r="O90" i="17" a="1"/>
  <c r="O90" i="17" s="1"/>
  <c r="P90" i="17" a="1"/>
  <c r="P90" i="17" s="1"/>
  <c r="Q90" i="17" a="1"/>
  <c r="Q90" i="17" s="1"/>
  <c r="R90" i="17" a="1"/>
  <c r="R90" i="17" s="1"/>
  <c r="U90" i="17" a="1"/>
  <c r="U90" i="17" s="1"/>
  <c r="V90" i="17" a="1"/>
  <c r="V90" i="17" s="1"/>
  <c r="W90" i="17" a="1"/>
  <c r="W90" i="17" s="1"/>
  <c r="X90" i="17" a="1"/>
  <c r="X90" i="17" s="1"/>
  <c r="K91" i="17" a="1"/>
  <c r="K91" i="17" s="1"/>
  <c r="L91" i="17" a="1"/>
  <c r="L91" i="17" s="1"/>
  <c r="M91" i="17" a="1"/>
  <c r="M91" i="17" s="1"/>
  <c r="N91" i="17" a="1"/>
  <c r="N91" i="17" s="1"/>
  <c r="O91" i="17" a="1"/>
  <c r="O91" i="17" s="1"/>
  <c r="P91" i="17" a="1"/>
  <c r="P91" i="17" s="1"/>
  <c r="Q91" i="17" a="1"/>
  <c r="Q91" i="17" s="1"/>
  <c r="R91" i="17" a="1"/>
  <c r="R91" i="17" s="1"/>
  <c r="U91" i="17" a="1"/>
  <c r="U91" i="17" s="1"/>
  <c r="V91" i="17" a="1"/>
  <c r="V91" i="17" s="1"/>
  <c r="W91" i="17" a="1"/>
  <c r="W91" i="17" s="1"/>
  <c r="X91" i="17" a="1"/>
  <c r="X91" i="17" s="1"/>
  <c r="K92" i="17" a="1"/>
  <c r="K92" i="17" s="1"/>
  <c r="L92" i="17" a="1"/>
  <c r="L92" i="17" s="1"/>
  <c r="M92" i="17" a="1"/>
  <c r="M92" i="17" s="1"/>
  <c r="N92" i="17" a="1"/>
  <c r="N92" i="17" s="1"/>
  <c r="O92" i="17" a="1"/>
  <c r="O92" i="17" s="1"/>
  <c r="P92" i="17" a="1"/>
  <c r="P92" i="17" s="1"/>
  <c r="Q92" i="17" a="1"/>
  <c r="Q92" i="17" s="1"/>
  <c r="R92" i="17" a="1"/>
  <c r="R92" i="17" s="1"/>
  <c r="U92" i="17" a="1"/>
  <c r="U92" i="17" s="1"/>
  <c r="V92" i="17" a="1"/>
  <c r="V92" i="17" s="1"/>
  <c r="W92" i="17" a="1"/>
  <c r="W92" i="17" s="1"/>
  <c r="X92" i="17" a="1"/>
  <c r="X92" i="17" s="1"/>
  <c r="K93" i="17" a="1"/>
  <c r="K93" i="17" s="1"/>
  <c r="L93" i="17" a="1"/>
  <c r="L93" i="17" s="1"/>
  <c r="M93" i="17" a="1"/>
  <c r="M93" i="17" s="1"/>
  <c r="N93" i="17" a="1"/>
  <c r="N93" i="17" s="1"/>
  <c r="O93" i="17" a="1"/>
  <c r="O93" i="17" s="1"/>
  <c r="P93" i="17" a="1"/>
  <c r="P93" i="17" s="1"/>
  <c r="Q93" i="17" a="1"/>
  <c r="Q93" i="17" s="1"/>
  <c r="R93" i="17" a="1"/>
  <c r="R93" i="17" s="1"/>
  <c r="U93" i="17" a="1"/>
  <c r="U93" i="17" s="1"/>
  <c r="V93" i="17" a="1"/>
  <c r="V93" i="17" s="1"/>
  <c r="W93" i="17" a="1"/>
  <c r="W93" i="17" s="1"/>
  <c r="X93" i="17" a="1"/>
  <c r="X93" i="17" s="1"/>
  <c r="K94" i="17" a="1"/>
  <c r="K94" i="17" s="1"/>
  <c r="L94" i="17" a="1"/>
  <c r="L94" i="17" s="1"/>
  <c r="M94" i="17" a="1"/>
  <c r="M94" i="17" s="1"/>
  <c r="N94" i="17" a="1"/>
  <c r="N94" i="17" s="1"/>
  <c r="O94" i="17" a="1"/>
  <c r="O94" i="17" s="1"/>
  <c r="P94" i="17" a="1"/>
  <c r="P94" i="17" s="1"/>
  <c r="Q94" i="17" a="1"/>
  <c r="Q94" i="17" s="1"/>
  <c r="R94" i="17" a="1"/>
  <c r="R94" i="17" s="1"/>
  <c r="U94" i="17" a="1"/>
  <c r="U94" i="17" s="1"/>
  <c r="V94" i="17" a="1"/>
  <c r="V94" i="17" s="1"/>
  <c r="W94" i="17" a="1"/>
  <c r="W94" i="17" s="1"/>
  <c r="X94" i="17" a="1"/>
  <c r="X94" i="17" s="1"/>
  <c r="K95" i="17" a="1"/>
  <c r="K95" i="17" s="1"/>
  <c r="L95" i="17" a="1"/>
  <c r="L95" i="17" s="1"/>
  <c r="M95" i="17" a="1"/>
  <c r="M95" i="17" s="1"/>
  <c r="N95" i="17" a="1"/>
  <c r="N95" i="17" s="1"/>
  <c r="O95" i="17" a="1"/>
  <c r="O95" i="17" s="1"/>
  <c r="P95" i="17" a="1"/>
  <c r="P95" i="17" s="1"/>
  <c r="Q95" i="17" a="1"/>
  <c r="Q95" i="17" s="1"/>
  <c r="R95" i="17" a="1"/>
  <c r="R95" i="17" s="1"/>
  <c r="U95" i="17" a="1"/>
  <c r="U95" i="17" s="1"/>
  <c r="V95" i="17" a="1"/>
  <c r="V95" i="17" s="1"/>
  <c r="W95" i="17" a="1"/>
  <c r="W95" i="17" s="1"/>
  <c r="X95" i="17" a="1"/>
  <c r="X95" i="17" s="1"/>
  <c r="K96" i="17" a="1"/>
  <c r="K96" i="17" s="1"/>
  <c r="L96" i="17" a="1"/>
  <c r="L96" i="17" s="1"/>
  <c r="M96" i="17" a="1"/>
  <c r="M96" i="17" s="1"/>
  <c r="N96" i="17" a="1"/>
  <c r="N96" i="17" s="1"/>
  <c r="O96" i="17" a="1"/>
  <c r="O96" i="17" s="1"/>
  <c r="P96" i="17" a="1"/>
  <c r="P96" i="17" s="1"/>
  <c r="Q96" i="17" a="1"/>
  <c r="Q96" i="17" s="1"/>
  <c r="R96" i="17" a="1"/>
  <c r="R96" i="17" s="1"/>
  <c r="U96" i="17" a="1"/>
  <c r="U96" i="17" s="1"/>
  <c r="V96" i="17" a="1"/>
  <c r="V96" i="17" s="1"/>
  <c r="W96" i="17" a="1"/>
  <c r="W96" i="17" s="1"/>
  <c r="X96" i="17" a="1"/>
  <c r="X96" i="17" s="1"/>
  <c r="K97" i="17" a="1"/>
  <c r="K97" i="17" s="1"/>
  <c r="L97" i="17" a="1"/>
  <c r="L97" i="17" s="1"/>
  <c r="M97" i="17" a="1"/>
  <c r="M97" i="17" s="1"/>
  <c r="N97" i="17" a="1"/>
  <c r="N97" i="17" s="1"/>
  <c r="O97" i="17" a="1"/>
  <c r="O97" i="17" s="1"/>
  <c r="P97" i="17" a="1"/>
  <c r="P97" i="17" s="1"/>
  <c r="Q97" i="17" a="1"/>
  <c r="Q97" i="17" s="1"/>
  <c r="R97" i="17" a="1"/>
  <c r="R97" i="17" s="1"/>
  <c r="U97" i="17" a="1"/>
  <c r="U97" i="17" s="1"/>
  <c r="V97" i="17" a="1"/>
  <c r="V97" i="17" s="1"/>
  <c r="W97" i="17" a="1"/>
  <c r="W97" i="17" s="1"/>
  <c r="X97" i="17" a="1"/>
  <c r="X97" i="17" s="1"/>
  <c r="K98" i="17" a="1"/>
  <c r="K98" i="17" s="1"/>
  <c r="L98" i="17" a="1"/>
  <c r="L98" i="17" s="1"/>
  <c r="M98" i="17" a="1"/>
  <c r="M98" i="17" s="1"/>
  <c r="N98" i="17" a="1"/>
  <c r="N98" i="17" s="1"/>
  <c r="O98" i="17" a="1"/>
  <c r="O98" i="17" s="1"/>
  <c r="P98" i="17" a="1"/>
  <c r="P98" i="17" s="1"/>
  <c r="Q98" i="17" a="1"/>
  <c r="Q98" i="17" s="1"/>
  <c r="R98" i="17" a="1"/>
  <c r="R98" i="17" s="1"/>
  <c r="U98" i="17" a="1"/>
  <c r="U98" i="17" s="1"/>
  <c r="V98" i="17" a="1"/>
  <c r="V98" i="17" s="1"/>
  <c r="W98" i="17" a="1"/>
  <c r="W98" i="17" s="1"/>
  <c r="X98" i="17" a="1"/>
  <c r="X98" i="17" s="1"/>
  <c r="K99" i="17" a="1"/>
  <c r="K99" i="17" s="1"/>
  <c r="L99" i="17" a="1"/>
  <c r="L99" i="17" s="1"/>
  <c r="M99" i="17" a="1"/>
  <c r="M99" i="17" s="1"/>
  <c r="N99" i="17" a="1"/>
  <c r="N99" i="17" s="1"/>
  <c r="O99" i="17" a="1"/>
  <c r="O99" i="17" s="1"/>
  <c r="P99" i="17" a="1"/>
  <c r="P99" i="17" s="1"/>
  <c r="Q99" i="17" a="1"/>
  <c r="Q99" i="17" s="1"/>
  <c r="R99" i="17" a="1"/>
  <c r="R99" i="17" s="1"/>
  <c r="U99" i="17" a="1"/>
  <c r="U99" i="17" s="1"/>
  <c r="V99" i="17" a="1"/>
  <c r="V99" i="17" s="1"/>
  <c r="W99" i="17" a="1"/>
  <c r="W99" i="17" s="1"/>
  <c r="X99" i="17" a="1"/>
  <c r="X99" i="17" s="1"/>
  <c r="K100" i="17" a="1"/>
  <c r="K100" i="17" s="1"/>
  <c r="L100" i="17" a="1"/>
  <c r="L100" i="17" s="1"/>
  <c r="M100" i="17" a="1"/>
  <c r="M100" i="17" s="1"/>
  <c r="N100" i="17" a="1"/>
  <c r="N100" i="17" s="1"/>
  <c r="O100" i="17" a="1"/>
  <c r="O100" i="17" s="1"/>
  <c r="P100" i="17" a="1"/>
  <c r="P100" i="17" s="1"/>
  <c r="Q100" i="17" a="1"/>
  <c r="Q100" i="17" s="1"/>
  <c r="R100" i="17" a="1"/>
  <c r="R100" i="17" s="1"/>
  <c r="U100" i="17" a="1"/>
  <c r="U100" i="17" s="1"/>
  <c r="V100" i="17" a="1"/>
  <c r="V100" i="17" s="1"/>
  <c r="W100" i="17" a="1"/>
  <c r="W100" i="17" s="1"/>
  <c r="X100" i="17" a="1"/>
  <c r="X100" i="17" s="1"/>
  <c r="K101" i="17" a="1"/>
  <c r="K101" i="17" s="1"/>
  <c r="L101" i="17" a="1"/>
  <c r="L101" i="17" s="1"/>
  <c r="M101" i="17" a="1"/>
  <c r="M101" i="17" s="1"/>
  <c r="N101" i="17" a="1"/>
  <c r="N101" i="17" s="1"/>
  <c r="O101" i="17" a="1"/>
  <c r="O101" i="17" s="1"/>
  <c r="P101" i="17" a="1"/>
  <c r="P101" i="17" s="1"/>
  <c r="Q101" i="17" a="1"/>
  <c r="Q101" i="17" s="1"/>
  <c r="R101" i="17" a="1"/>
  <c r="R101" i="17" s="1"/>
  <c r="U101" i="17" a="1"/>
  <c r="U101" i="17" s="1"/>
  <c r="V101" i="17" a="1"/>
  <c r="V101" i="17" s="1"/>
  <c r="W101" i="17" a="1"/>
  <c r="W101" i="17" s="1"/>
  <c r="X101" i="17" a="1"/>
  <c r="X101" i="17" s="1"/>
  <c r="K102" i="17" a="1"/>
  <c r="K102" i="17" s="1"/>
  <c r="L102" i="17" a="1"/>
  <c r="L102" i="17" s="1"/>
  <c r="M102" i="17" a="1"/>
  <c r="M102" i="17" s="1"/>
  <c r="N102" i="17" a="1"/>
  <c r="N102" i="17" s="1"/>
  <c r="O102" i="17" a="1"/>
  <c r="O102" i="17" s="1"/>
  <c r="P102" i="17" a="1"/>
  <c r="P102" i="17" s="1"/>
  <c r="Q102" i="17" a="1"/>
  <c r="Q102" i="17" s="1"/>
  <c r="R102" i="17" a="1"/>
  <c r="R102" i="17" s="1"/>
  <c r="U102" i="17" a="1"/>
  <c r="U102" i="17" s="1"/>
  <c r="V102" i="17" a="1"/>
  <c r="V102" i="17" s="1"/>
  <c r="W102" i="17" a="1"/>
  <c r="W102" i="17" s="1"/>
  <c r="X102" i="17" a="1"/>
  <c r="X102" i="17" s="1"/>
  <c r="K103" i="17" a="1"/>
  <c r="K103" i="17" s="1"/>
  <c r="L103" i="17" a="1"/>
  <c r="L103" i="17" s="1"/>
  <c r="M103" i="17" a="1"/>
  <c r="M103" i="17" s="1"/>
  <c r="N103" i="17" a="1"/>
  <c r="N103" i="17" s="1"/>
  <c r="O103" i="17" a="1"/>
  <c r="O103" i="17" s="1"/>
  <c r="P103" i="17" a="1"/>
  <c r="P103" i="17" s="1"/>
  <c r="Q103" i="17" a="1"/>
  <c r="Q103" i="17" s="1"/>
  <c r="R103" i="17" a="1"/>
  <c r="R103" i="17" s="1"/>
  <c r="U103" i="17" a="1"/>
  <c r="U103" i="17" s="1"/>
  <c r="V103" i="17" a="1"/>
  <c r="V103" i="17" s="1"/>
  <c r="W103" i="17" a="1"/>
  <c r="W103" i="17" s="1"/>
  <c r="X103" i="17" a="1"/>
  <c r="X103" i="17" s="1"/>
  <c r="K104" i="17" a="1"/>
  <c r="K104" i="17" s="1"/>
  <c r="L104" i="17" a="1"/>
  <c r="L104" i="17" s="1"/>
  <c r="M104" i="17" a="1"/>
  <c r="M104" i="17" s="1"/>
  <c r="N104" i="17" a="1"/>
  <c r="N104" i="17" s="1"/>
  <c r="O104" i="17" a="1"/>
  <c r="O104" i="17" s="1"/>
  <c r="P104" i="17" a="1"/>
  <c r="P104" i="17" s="1"/>
  <c r="Q104" i="17" a="1"/>
  <c r="Q104" i="17" s="1"/>
  <c r="R104" i="17" a="1"/>
  <c r="R104" i="17" s="1"/>
  <c r="U104" i="17" a="1"/>
  <c r="U104" i="17" s="1"/>
  <c r="V104" i="17" a="1"/>
  <c r="V104" i="17" s="1"/>
  <c r="W104" i="17" a="1"/>
  <c r="W104" i="17" s="1"/>
  <c r="X104" i="17" a="1"/>
  <c r="X104" i="17" s="1"/>
  <c r="K105" i="17" a="1"/>
  <c r="K105" i="17" s="1"/>
  <c r="L105" i="17" a="1"/>
  <c r="L105" i="17" s="1"/>
  <c r="M105" i="17" a="1"/>
  <c r="M105" i="17" s="1"/>
  <c r="N105" i="17" a="1"/>
  <c r="N105" i="17" s="1"/>
  <c r="O105" i="17" a="1"/>
  <c r="O105" i="17" s="1"/>
  <c r="P105" i="17" a="1"/>
  <c r="P105" i="17" s="1"/>
  <c r="Q105" i="17" a="1"/>
  <c r="Q105" i="17" s="1"/>
  <c r="R105" i="17" a="1"/>
  <c r="R105" i="17" s="1"/>
  <c r="U105" i="17" a="1"/>
  <c r="U105" i="17" s="1"/>
  <c r="V105" i="17" a="1"/>
  <c r="V105" i="17" s="1"/>
  <c r="W105" i="17" a="1"/>
  <c r="W105" i="17" s="1"/>
  <c r="X105" i="17" a="1"/>
  <c r="X105" i="17" s="1"/>
  <c r="K106" i="17" a="1"/>
  <c r="K106" i="17" s="1"/>
  <c r="L106" i="17" a="1"/>
  <c r="L106" i="17" s="1"/>
  <c r="M106" i="17" a="1"/>
  <c r="M106" i="17" s="1"/>
  <c r="N106" i="17" a="1"/>
  <c r="N106" i="17" s="1"/>
  <c r="O106" i="17" a="1"/>
  <c r="O106" i="17" s="1"/>
  <c r="P106" i="17" a="1"/>
  <c r="P106" i="17" s="1"/>
  <c r="Q106" i="17" a="1"/>
  <c r="Q106" i="17" s="1"/>
  <c r="R106" i="17" a="1"/>
  <c r="R106" i="17" s="1"/>
  <c r="U106" i="17" a="1"/>
  <c r="U106" i="17" s="1"/>
  <c r="V106" i="17" a="1"/>
  <c r="V106" i="17" s="1"/>
  <c r="W106" i="17" a="1"/>
  <c r="W106" i="17" s="1"/>
  <c r="X106" i="17" a="1"/>
  <c r="X106" i="17" s="1"/>
  <c r="K107" i="17" a="1"/>
  <c r="K107" i="17" s="1"/>
  <c r="L107" i="17" a="1"/>
  <c r="L107" i="17" s="1"/>
  <c r="M107" i="17" a="1"/>
  <c r="M107" i="17" s="1"/>
  <c r="N107" i="17" a="1"/>
  <c r="N107" i="17" s="1"/>
  <c r="O107" i="17" a="1"/>
  <c r="O107" i="17" s="1"/>
  <c r="P107" i="17" a="1"/>
  <c r="P107" i="17" s="1"/>
  <c r="Q107" i="17" a="1"/>
  <c r="Q107" i="17" s="1"/>
  <c r="R107" i="17" a="1"/>
  <c r="R107" i="17" s="1"/>
  <c r="U107" i="17" a="1"/>
  <c r="U107" i="17" s="1"/>
  <c r="V107" i="17" a="1"/>
  <c r="V107" i="17" s="1"/>
  <c r="W107" i="17" a="1"/>
  <c r="W107" i="17" s="1"/>
  <c r="X107" i="17" a="1"/>
  <c r="X107" i="17" s="1"/>
  <c r="K108" i="17" a="1"/>
  <c r="K108" i="17" s="1"/>
  <c r="L108" i="17" a="1"/>
  <c r="L108" i="17" s="1"/>
  <c r="M108" i="17" a="1"/>
  <c r="M108" i="17" s="1"/>
  <c r="N108" i="17" a="1"/>
  <c r="N108" i="17" s="1"/>
  <c r="O108" i="17" a="1"/>
  <c r="O108" i="17" s="1"/>
  <c r="P108" i="17" a="1"/>
  <c r="P108" i="17" s="1"/>
  <c r="Q108" i="17" a="1"/>
  <c r="Q108" i="17" s="1"/>
  <c r="R108" i="17" a="1"/>
  <c r="R108" i="17" s="1"/>
  <c r="U108" i="17" a="1"/>
  <c r="U108" i="17" s="1"/>
  <c r="V108" i="17" a="1"/>
  <c r="V108" i="17" s="1"/>
  <c r="W108" i="17" a="1"/>
  <c r="W108" i="17" s="1"/>
  <c r="X108" i="17" a="1"/>
  <c r="X108" i="17" s="1"/>
  <c r="K109" i="17" a="1"/>
  <c r="K109" i="17" s="1"/>
  <c r="L109" i="17" a="1"/>
  <c r="L109" i="17" s="1"/>
  <c r="M109" i="17" a="1"/>
  <c r="M109" i="17" s="1"/>
  <c r="N109" i="17" a="1"/>
  <c r="N109" i="17" s="1"/>
  <c r="O109" i="17" a="1"/>
  <c r="O109" i="17" s="1"/>
  <c r="P109" i="17" a="1"/>
  <c r="P109" i="17" s="1"/>
  <c r="Q109" i="17" a="1"/>
  <c r="Q109" i="17" s="1"/>
  <c r="R109" i="17" a="1"/>
  <c r="R109" i="17" s="1"/>
  <c r="U109" i="17" a="1"/>
  <c r="U109" i="17" s="1"/>
  <c r="V109" i="17" a="1"/>
  <c r="V109" i="17" s="1"/>
  <c r="W109" i="17" a="1"/>
  <c r="W109" i="17" s="1"/>
  <c r="X109" i="17" a="1"/>
  <c r="X109" i="17" s="1"/>
  <c r="K110" i="17" a="1"/>
  <c r="K110" i="17" s="1"/>
  <c r="L110" i="17" a="1"/>
  <c r="L110" i="17" s="1"/>
  <c r="M110" i="17" a="1"/>
  <c r="M110" i="17" s="1"/>
  <c r="N110" i="17" a="1"/>
  <c r="N110" i="17" s="1"/>
  <c r="O110" i="17" a="1"/>
  <c r="O110" i="17" s="1"/>
  <c r="P110" i="17" a="1"/>
  <c r="P110" i="17" s="1"/>
  <c r="Q110" i="17" a="1"/>
  <c r="Q110" i="17" s="1"/>
  <c r="R110" i="17" a="1"/>
  <c r="R110" i="17" s="1"/>
  <c r="U110" i="17" a="1"/>
  <c r="U110" i="17" s="1"/>
  <c r="V110" i="17" a="1"/>
  <c r="V110" i="17" s="1"/>
  <c r="W110" i="17" a="1"/>
  <c r="W110" i="17" s="1"/>
  <c r="X110" i="17" a="1"/>
  <c r="X110" i="17" s="1"/>
  <c r="K111" i="17" a="1"/>
  <c r="K111" i="17" s="1"/>
  <c r="L111" i="17" a="1"/>
  <c r="L111" i="17" s="1"/>
  <c r="M111" i="17" a="1"/>
  <c r="M111" i="17" s="1"/>
  <c r="N111" i="17" a="1"/>
  <c r="N111" i="17" s="1"/>
  <c r="O111" i="17" a="1"/>
  <c r="O111" i="17" s="1"/>
  <c r="P111" i="17" a="1"/>
  <c r="P111" i="17" s="1"/>
  <c r="Q111" i="17" a="1"/>
  <c r="Q111" i="17" s="1"/>
  <c r="R111" i="17" a="1"/>
  <c r="R111" i="17" s="1"/>
  <c r="U111" i="17" a="1"/>
  <c r="U111" i="17" s="1"/>
  <c r="V111" i="17" a="1"/>
  <c r="V111" i="17" s="1"/>
  <c r="W111" i="17" a="1"/>
  <c r="W111" i="17" s="1"/>
  <c r="X111" i="17" a="1"/>
  <c r="X111" i="17" s="1"/>
  <c r="K112" i="17" a="1"/>
  <c r="K112" i="17" s="1"/>
  <c r="L112" i="17" a="1"/>
  <c r="L112" i="17" s="1"/>
  <c r="M112" i="17" a="1"/>
  <c r="M112" i="17" s="1"/>
  <c r="N112" i="17" a="1"/>
  <c r="N112" i="17" s="1"/>
  <c r="O112" i="17" a="1"/>
  <c r="O112" i="17" s="1"/>
  <c r="P112" i="17" a="1"/>
  <c r="P112" i="17" s="1"/>
  <c r="Q112" i="17" a="1"/>
  <c r="Q112" i="17" s="1"/>
  <c r="R112" i="17" a="1"/>
  <c r="R112" i="17" s="1"/>
  <c r="U112" i="17" a="1"/>
  <c r="U112" i="17" s="1"/>
  <c r="V112" i="17" a="1"/>
  <c r="V112" i="17" s="1"/>
  <c r="W112" i="17" a="1"/>
  <c r="W112" i="17" s="1"/>
  <c r="X112" i="17" a="1"/>
  <c r="X112" i="17" s="1"/>
  <c r="K113" i="17" a="1"/>
  <c r="K113" i="17" s="1"/>
  <c r="L113" i="17" a="1"/>
  <c r="L113" i="17" s="1"/>
  <c r="M113" i="17" a="1"/>
  <c r="M113" i="17" s="1"/>
  <c r="N113" i="17" a="1"/>
  <c r="N113" i="17" s="1"/>
  <c r="O113" i="17" a="1"/>
  <c r="O113" i="17" s="1"/>
  <c r="P113" i="17" a="1"/>
  <c r="P113" i="17" s="1"/>
  <c r="Q113" i="17" a="1"/>
  <c r="Q113" i="17" s="1"/>
  <c r="R113" i="17" a="1"/>
  <c r="R113" i="17" s="1"/>
  <c r="U113" i="17" a="1"/>
  <c r="U113" i="17" s="1"/>
  <c r="V113" i="17" a="1"/>
  <c r="V113" i="17" s="1"/>
  <c r="W113" i="17" a="1"/>
  <c r="W113" i="17" s="1"/>
  <c r="X113" i="17" a="1"/>
  <c r="X113" i="17" s="1"/>
  <c r="K114" i="17" a="1"/>
  <c r="K114" i="17" s="1"/>
  <c r="L114" i="17" a="1"/>
  <c r="L114" i="17" s="1"/>
  <c r="M114" i="17" a="1"/>
  <c r="M114" i="17" s="1"/>
  <c r="N114" i="17" a="1"/>
  <c r="N114" i="17" s="1"/>
  <c r="O114" i="17" a="1"/>
  <c r="O114" i="17" s="1"/>
  <c r="P114" i="17" a="1"/>
  <c r="P114" i="17" s="1"/>
  <c r="Q114" i="17" a="1"/>
  <c r="Q114" i="17" s="1"/>
  <c r="R114" i="17" a="1"/>
  <c r="R114" i="17" s="1"/>
  <c r="U114" i="17" a="1"/>
  <c r="U114" i="17" s="1"/>
  <c r="V114" i="17" a="1"/>
  <c r="V114" i="17" s="1"/>
  <c r="W114" i="17" a="1"/>
  <c r="W114" i="17" s="1"/>
  <c r="X114" i="17" a="1"/>
  <c r="X114" i="17" s="1"/>
  <c r="K115" i="17" a="1"/>
  <c r="K115" i="17" s="1"/>
  <c r="L115" i="17" a="1"/>
  <c r="L115" i="17" s="1"/>
  <c r="M115" i="17" a="1"/>
  <c r="M115" i="17" s="1"/>
  <c r="N115" i="17" a="1"/>
  <c r="N115" i="17" s="1"/>
  <c r="O115" i="17" a="1"/>
  <c r="O115" i="17" s="1"/>
  <c r="P115" i="17" a="1"/>
  <c r="P115" i="17" s="1"/>
  <c r="Q115" i="17" a="1"/>
  <c r="Q115" i="17" s="1"/>
  <c r="R115" i="17" a="1"/>
  <c r="R115" i="17" s="1"/>
  <c r="U115" i="17" a="1"/>
  <c r="U115" i="17" s="1"/>
  <c r="V115" i="17" a="1"/>
  <c r="V115" i="17" s="1"/>
  <c r="W115" i="17" a="1"/>
  <c r="W115" i="17" s="1"/>
  <c r="X115" i="17" a="1"/>
  <c r="X115" i="17" s="1"/>
  <c r="K116" i="17" a="1"/>
  <c r="K116" i="17" s="1"/>
  <c r="L116" i="17" a="1"/>
  <c r="L116" i="17" s="1"/>
  <c r="M116" i="17" a="1"/>
  <c r="M116" i="17" s="1"/>
  <c r="N116" i="17" a="1"/>
  <c r="N116" i="17" s="1"/>
  <c r="O116" i="17" a="1"/>
  <c r="O116" i="17" s="1"/>
  <c r="P116" i="17" a="1"/>
  <c r="P116" i="17" s="1"/>
  <c r="Q116" i="17" a="1"/>
  <c r="Q116" i="17" s="1"/>
  <c r="R116" i="17" a="1"/>
  <c r="R116" i="17" s="1"/>
  <c r="U116" i="17" a="1"/>
  <c r="U116" i="17" s="1"/>
  <c r="V116" i="17" a="1"/>
  <c r="V116" i="17" s="1"/>
  <c r="W116" i="17" a="1"/>
  <c r="W116" i="17" s="1"/>
  <c r="X116" i="17" a="1"/>
  <c r="X116" i="17" s="1"/>
  <c r="K117" i="17" a="1"/>
  <c r="K117" i="17" s="1"/>
  <c r="L117" i="17" a="1"/>
  <c r="L117" i="17" s="1"/>
  <c r="M117" i="17" a="1"/>
  <c r="M117" i="17" s="1"/>
  <c r="N117" i="17" a="1"/>
  <c r="N117" i="17" s="1"/>
  <c r="O117" i="17" a="1"/>
  <c r="O117" i="17" s="1"/>
  <c r="P117" i="17" a="1"/>
  <c r="P117" i="17" s="1"/>
  <c r="Q117" i="17" a="1"/>
  <c r="Q117" i="17" s="1"/>
  <c r="R117" i="17" a="1"/>
  <c r="R117" i="17" s="1"/>
  <c r="U117" i="17" a="1"/>
  <c r="U117" i="17" s="1"/>
  <c r="V117" i="17" a="1"/>
  <c r="V117" i="17" s="1"/>
  <c r="W117" i="17" a="1"/>
  <c r="W117" i="17" s="1"/>
  <c r="X117" i="17" a="1"/>
  <c r="X117" i="17" s="1"/>
  <c r="K118" i="17" a="1"/>
  <c r="K118" i="17" s="1"/>
  <c r="L118" i="17" a="1"/>
  <c r="L118" i="17" s="1"/>
  <c r="M118" i="17" a="1"/>
  <c r="M118" i="17" s="1"/>
  <c r="N118" i="17" a="1"/>
  <c r="N118" i="17" s="1"/>
  <c r="O118" i="17" a="1"/>
  <c r="O118" i="17" s="1"/>
  <c r="P118" i="17" a="1"/>
  <c r="P118" i="17" s="1"/>
  <c r="Q118" i="17" a="1"/>
  <c r="Q118" i="17" s="1"/>
  <c r="R118" i="17" a="1"/>
  <c r="R118" i="17" s="1"/>
  <c r="U118" i="17" a="1"/>
  <c r="U118" i="17" s="1"/>
  <c r="V118" i="17" a="1"/>
  <c r="V118" i="17" s="1"/>
  <c r="W118" i="17" a="1"/>
  <c r="W118" i="17" s="1"/>
  <c r="X118" i="17" a="1"/>
  <c r="X118" i="17" s="1"/>
  <c r="K119" i="17" a="1"/>
  <c r="K119" i="17" s="1"/>
  <c r="L119" i="17" a="1"/>
  <c r="L119" i="17" s="1"/>
  <c r="M119" i="17" a="1"/>
  <c r="M119" i="17" s="1"/>
  <c r="N119" i="17" a="1"/>
  <c r="N119" i="17" s="1"/>
  <c r="O119" i="17" a="1"/>
  <c r="O119" i="17" s="1"/>
  <c r="P119" i="17" a="1"/>
  <c r="P119" i="17" s="1"/>
  <c r="Q119" i="17" a="1"/>
  <c r="Q119" i="17" s="1"/>
  <c r="R119" i="17" a="1"/>
  <c r="R119" i="17" s="1"/>
  <c r="U119" i="17" a="1"/>
  <c r="U119" i="17" s="1"/>
  <c r="V119" i="17" a="1"/>
  <c r="V119" i="17" s="1"/>
  <c r="W119" i="17" a="1"/>
  <c r="W119" i="17" s="1"/>
  <c r="X119" i="17" a="1"/>
  <c r="X119" i="17" s="1"/>
  <c r="K120" i="17" a="1"/>
  <c r="K120" i="17" s="1"/>
  <c r="L120" i="17" a="1"/>
  <c r="L120" i="17" s="1"/>
  <c r="M120" i="17" a="1"/>
  <c r="M120" i="17" s="1"/>
  <c r="N120" i="17" a="1"/>
  <c r="N120" i="17" s="1"/>
  <c r="O120" i="17" a="1"/>
  <c r="O120" i="17" s="1"/>
  <c r="P120" i="17" a="1"/>
  <c r="P120" i="17" s="1"/>
  <c r="Q120" i="17" a="1"/>
  <c r="Q120" i="17" s="1"/>
  <c r="R120" i="17" a="1"/>
  <c r="R120" i="17" s="1"/>
  <c r="U120" i="17" a="1"/>
  <c r="U120" i="17" s="1"/>
  <c r="V120" i="17" a="1"/>
  <c r="V120" i="17" s="1"/>
  <c r="W120" i="17" a="1"/>
  <c r="W120" i="17" s="1"/>
  <c r="X120" i="17" a="1"/>
  <c r="X120" i="17" s="1"/>
  <c r="K121" i="17" a="1"/>
  <c r="K121" i="17" s="1"/>
  <c r="L121" i="17" a="1"/>
  <c r="L121" i="17" s="1"/>
  <c r="M121" i="17" a="1"/>
  <c r="M121" i="17" s="1"/>
  <c r="N121" i="17" a="1"/>
  <c r="N121" i="17" s="1"/>
  <c r="O121" i="17" a="1"/>
  <c r="O121" i="17" s="1"/>
  <c r="P121" i="17" a="1"/>
  <c r="P121" i="17" s="1"/>
  <c r="Q121" i="17" a="1"/>
  <c r="Q121" i="17" s="1"/>
  <c r="R121" i="17" a="1"/>
  <c r="R121" i="17" s="1"/>
  <c r="U121" i="17" a="1"/>
  <c r="U121" i="17" s="1"/>
  <c r="V121" i="17" a="1"/>
  <c r="V121" i="17" s="1"/>
  <c r="W121" i="17" a="1"/>
  <c r="W121" i="17" s="1"/>
  <c r="X121" i="17" a="1"/>
  <c r="X121" i="17" s="1"/>
  <c r="K122" i="17" a="1"/>
  <c r="K122" i="17" s="1"/>
  <c r="L122" i="17" a="1"/>
  <c r="L122" i="17" s="1"/>
  <c r="M122" i="17" a="1"/>
  <c r="M122" i="17" s="1"/>
  <c r="N122" i="17" a="1"/>
  <c r="N122" i="17" s="1"/>
  <c r="O122" i="17" a="1"/>
  <c r="O122" i="17" s="1"/>
  <c r="P122" i="17" a="1"/>
  <c r="P122" i="17" s="1"/>
  <c r="Q122" i="17" a="1"/>
  <c r="Q122" i="17" s="1"/>
  <c r="R122" i="17" a="1"/>
  <c r="R122" i="17" s="1"/>
  <c r="U122" i="17" a="1"/>
  <c r="U122" i="17" s="1"/>
  <c r="V122" i="17" a="1"/>
  <c r="V122" i="17" s="1"/>
  <c r="W122" i="17" a="1"/>
  <c r="W122" i="17" s="1"/>
  <c r="X122" i="17" a="1"/>
  <c r="X122" i="17" s="1"/>
  <c r="K123" i="17" a="1"/>
  <c r="K123" i="17" s="1"/>
  <c r="L123" i="17" a="1"/>
  <c r="L123" i="17" s="1"/>
  <c r="M123" i="17" a="1"/>
  <c r="M123" i="17" s="1"/>
  <c r="N123" i="17" a="1"/>
  <c r="N123" i="17" s="1"/>
  <c r="O123" i="17" a="1"/>
  <c r="O123" i="17" s="1"/>
  <c r="P123" i="17" a="1"/>
  <c r="P123" i="17" s="1"/>
  <c r="Q123" i="17" a="1"/>
  <c r="Q123" i="17" s="1"/>
  <c r="R123" i="17" a="1"/>
  <c r="R123" i="17" s="1"/>
  <c r="U123" i="17" a="1"/>
  <c r="U123" i="17" s="1"/>
  <c r="V123" i="17" a="1"/>
  <c r="V123" i="17" s="1"/>
  <c r="W123" i="17" a="1"/>
  <c r="W123" i="17" s="1"/>
  <c r="X123" i="17" a="1"/>
  <c r="X123" i="17" s="1"/>
  <c r="K124" i="17" a="1"/>
  <c r="K124" i="17" s="1"/>
  <c r="L124" i="17" a="1"/>
  <c r="L124" i="17" s="1"/>
  <c r="M124" i="17" a="1"/>
  <c r="M124" i="17" s="1"/>
  <c r="N124" i="17" a="1"/>
  <c r="N124" i="17" s="1"/>
  <c r="O124" i="17" a="1"/>
  <c r="O124" i="17" s="1"/>
  <c r="P124" i="17" a="1"/>
  <c r="P124" i="17" s="1"/>
  <c r="Q124" i="17" a="1"/>
  <c r="Q124" i="17" s="1"/>
  <c r="R124" i="17" a="1"/>
  <c r="R124" i="17" s="1"/>
  <c r="U124" i="17" a="1"/>
  <c r="U124" i="17" s="1"/>
  <c r="V124" i="17" a="1"/>
  <c r="V124" i="17" s="1"/>
  <c r="W124" i="17" a="1"/>
  <c r="W124" i="17" s="1"/>
  <c r="X124" i="17" a="1"/>
  <c r="X124" i="17" s="1"/>
  <c r="K125" i="17" a="1"/>
  <c r="K125" i="17" s="1"/>
  <c r="L125" i="17" a="1"/>
  <c r="L125" i="17" s="1"/>
  <c r="M125" i="17" a="1"/>
  <c r="M125" i="17" s="1"/>
  <c r="N125" i="17" a="1"/>
  <c r="N125" i="17" s="1"/>
  <c r="O125" i="17" a="1"/>
  <c r="O125" i="17" s="1"/>
  <c r="P125" i="17" a="1"/>
  <c r="P125" i="17" s="1"/>
  <c r="Q125" i="17" a="1"/>
  <c r="Q125" i="17" s="1"/>
  <c r="R125" i="17" a="1"/>
  <c r="R125" i="17" s="1"/>
  <c r="U125" i="17" a="1"/>
  <c r="U125" i="17" s="1"/>
  <c r="V125" i="17" a="1"/>
  <c r="V125" i="17" s="1"/>
  <c r="W125" i="17" a="1"/>
  <c r="W125" i="17" s="1"/>
  <c r="X125" i="17" a="1"/>
  <c r="X125" i="17" s="1"/>
  <c r="K126" i="17" a="1"/>
  <c r="K126" i="17" s="1"/>
  <c r="L126" i="17" a="1"/>
  <c r="L126" i="17" s="1"/>
  <c r="M126" i="17" a="1"/>
  <c r="M126" i="17" s="1"/>
  <c r="N126" i="17" a="1"/>
  <c r="N126" i="17" s="1"/>
  <c r="O126" i="17" a="1"/>
  <c r="O126" i="17" s="1"/>
  <c r="P126" i="17" a="1"/>
  <c r="P126" i="17" s="1"/>
  <c r="Q126" i="17" a="1"/>
  <c r="Q126" i="17" s="1"/>
  <c r="R126" i="17" a="1"/>
  <c r="R126" i="17" s="1"/>
  <c r="U126" i="17" a="1"/>
  <c r="U126" i="17" s="1"/>
  <c r="V126" i="17" a="1"/>
  <c r="V126" i="17" s="1"/>
  <c r="W126" i="17" a="1"/>
  <c r="W126" i="17" s="1"/>
  <c r="X126" i="17" a="1"/>
  <c r="X126" i="17" s="1"/>
  <c r="K127" i="17" a="1"/>
  <c r="K127" i="17" s="1"/>
  <c r="L127" i="17" a="1"/>
  <c r="L127" i="17" s="1"/>
  <c r="M127" i="17" a="1"/>
  <c r="M127" i="17" s="1"/>
  <c r="N127" i="17" a="1"/>
  <c r="N127" i="17" s="1"/>
  <c r="O127" i="17" a="1"/>
  <c r="O127" i="17" s="1"/>
  <c r="P127" i="17" a="1"/>
  <c r="P127" i="17" s="1"/>
  <c r="Q127" i="17" a="1"/>
  <c r="Q127" i="17" s="1"/>
  <c r="R127" i="17" a="1"/>
  <c r="R127" i="17" s="1"/>
  <c r="U127" i="17" a="1"/>
  <c r="U127" i="17" s="1"/>
  <c r="V127" i="17" a="1"/>
  <c r="V127" i="17" s="1"/>
  <c r="W127" i="17" a="1"/>
  <c r="W127" i="17" s="1"/>
  <c r="X127" i="17" a="1"/>
  <c r="X127" i="17" s="1"/>
  <c r="K128" i="17" a="1"/>
  <c r="K128" i="17" s="1"/>
  <c r="L128" i="17" a="1"/>
  <c r="L128" i="17" s="1"/>
  <c r="M128" i="17" a="1"/>
  <c r="M128" i="17" s="1"/>
  <c r="N128" i="17" a="1"/>
  <c r="N128" i="17" s="1"/>
  <c r="O128" i="17" a="1"/>
  <c r="O128" i="17" s="1"/>
  <c r="P128" i="17" a="1"/>
  <c r="P128" i="17" s="1"/>
  <c r="Q128" i="17" a="1"/>
  <c r="Q128" i="17" s="1"/>
  <c r="R128" i="17" a="1"/>
  <c r="R128" i="17" s="1"/>
  <c r="U128" i="17" a="1"/>
  <c r="U128" i="17" s="1"/>
  <c r="V128" i="17" a="1"/>
  <c r="V128" i="17" s="1"/>
  <c r="W128" i="17" a="1"/>
  <c r="W128" i="17" s="1"/>
  <c r="X128" i="17" a="1"/>
  <c r="X128" i="17" s="1"/>
  <c r="K129" i="17" a="1"/>
  <c r="K129" i="17" s="1"/>
  <c r="L129" i="17" a="1"/>
  <c r="L129" i="17" s="1"/>
  <c r="M129" i="17" a="1"/>
  <c r="M129" i="17" s="1"/>
  <c r="N129" i="17" a="1"/>
  <c r="N129" i="17" s="1"/>
  <c r="O129" i="17" a="1"/>
  <c r="O129" i="17" s="1"/>
  <c r="P129" i="17" a="1"/>
  <c r="P129" i="17" s="1"/>
  <c r="Q129" i="17" a="1"/>
  <c r="Q129" i="17" s="1"/>
  <c r="R129" i="17" a="1"/>
  <c r="R129" i="17" s="1"/>
  <c r="U129" i="17" a="1"/>
  <c r="U129" i="17" s="1"/>
  <c r="V129" i="17" a="1"/>
  <c r="V129" i="17" s="1"/>
  <c r="W129" i="17" a="1"/>
  <c r="W129" i="17" s="1"/>
  <c r="X129" i="17" a="1"/>
  <c r="X129" i="17" s="1"/>
  <c r="K130" i="17" a="1"/>
  <c r="K130" i="17" s="1"/>
  <c r="L130" i="17" a="1"/>
  <c r="L130" i="17" s="1"/>
  <c r="M130" i="17" a="1"/>
  <c r="M130" i="17" s="1"/>
  <c r="N130" i="17" a="1"/>
  <c r="N130" i="17" s="1"/>
  <c r="O130" i="17" a="1"/>
  <c r="O130" i="17" s="1"/>
  <c r="P130" i="17" a="1"/>
  <c r="P130" i="17" s="1"/>
  <c r="Q130" i="17" a="1"/>
  <c r="Q130" i="17" s="1"/>
  <c r="R130" i="17" a="1"/>
  <c r="R130" i="17" s="1"/>
  <c r="U130" i="17" a="1"/>
  <c r="U130" i="17" s="1"/>
  <c r="V130" i="17" a="1"/>
  <c r="V130" i="17" s="1"/>
  <c r="W130" i="17" a="1"/>
  <c r="W130" i="17" s="1"/>
  <c r="X130" i="17" a="1"/>
  <c r="X130" i="17" s="1"/>
  <c r="K131" i="17" a="1"/>
  <c r="K131" i="17" s="1"/>
  <c r="L131" i="17" a="1"/>
  <c r="L131" i="17" s="1"/>
  <c r="M131" i="17" a="1"/>
  <c r="M131" i="17" s="1"/>
  <c r="N131" i="17" a="1"/>
  <c r="N131" i="17" s="1"/>
  <c r="O131" i="17" a="1"/>
  <c r="O131" i="17" s="1"/>
  <c r="P131" i="17" a="1"/>
  <c r="P131" i="17" s="1"/>
  <c r="Q131" i="17" a="1"/>
  <c r="Q131" i="17" s="1"/>
  <c r="R131" i="17" a="1"/>
  <c r="R131" i="17" s="1"/>
  <c r="U131" i="17" a="1"/>
  <c r="U131" i="17" s="1"/>
  <c r="V131" i="17" a="1"/>
  <c r="V131" i="17" s="1"/>
  <c r="W131" i="17" a="1"/>
  <c r="W131" i="17" s="1"/>
  <c r="X131" i="17" a="1"/>
  <c r="X131" i="17" s="1"/>
  <c r="K132" i="17" a="1"/>
  <c r="K132" i="17" s="1"/>
  <c r="L132" i="17" a="1"/>
  <c r="L132" i="17" s="1"/>
  <c r="M132" i="17" a="1"/>
  <c r="M132" i="17" s="1"/>
  <c r="N132" i="17" a="1"/>
  <c r="N132" i="17" s="1"/>
  <c r="O132" i="17" a="1"/>
  <c r="O132" i="17" s="1"/>
  <c r="P132" i="17" a="1"/>
  <c r="P132" i="17" s="1"/>
  <c r="Q132" i="17" a="1"/>
  <c r="Q132" i="17" s="1"/>
  <c r="R132" i="17" a="1"/>
  <c r="R132" i="17" s="1"/>
  <c r="U132" i="17" a="1"/>
  <c r="U132" i="17" s="1"/>
  <c r="V132" i="17" a="1"/>
  <c r="V132" i="17" s="1"/>
  <c r="W132" i="17" a="1"/>
  <c r="W132" i="17" s="1"/>
  <c r="X132" i="17" a="1"/>
  <c r="X132" i="17" s="1"/>
  <c r="K133" i="17" a="1"/>
  <c r="K133" i="17" s="1"/>
  <c r="L133" i="17" a="1"/>
  <c r="L133" i="17" s="1"/>
  <c r="M133" i="17" a="1"/>
  <c r="M133" i="17" s="1"/>
  <c r="N133" i="17" a="1"/>
  <c r="N133" i="17" s="1"/>
  <c r="O133" i="17" a="1"/>
  <c r="O133" i="17" s="1"/>
  <c r="P133" i="17" a="1"/>
  <c r="P133" i="17" s="1"/>
  <c r="Q133" i="17" a="1"/>
  <c r="Q133" i="17" s="1"/>
  <c r="R133" i="17" a="1"/>
  <c r="R133" i="17" s="1"/>
  <c r="U133" i="17" a="1"/>
  <c r="U133" i="17" s="1"/>
  <c r="V133" i="17" a="1"/>
  <c r="V133" i="17" s="1"/>
  <c r="W133" i="17" a="1"/>
  <c r="W133" i="17" s="1"/>
  <c r="X133" i="17" a="1"/>
  <c r="X133" i="17" s="1"/>
  <c r="K134" i="17" a="1"/>
  <c r="K134" i="17" s="1"/>
  <c r="L134" i="17" a="1"/>
  <c r="L134" i="17" s="1"/>
  <c r="M134" i="17" a="1"/>
  <c r="M134" i="17" s="1"/>
  <c r="N134" i="17" a="1"/>
  <c r="N134" i="17" s="1"/>
  <c r="O134" i="17" a="1"/>
  <c r="O134" i="17" s="1"/>
  <c r="P134" i="17" a="1"/>
  <c r="P134" i="17" s="1"/>
  <c r="Q134" i="17" a="1"/>
  <c r="Q134" i="17" s="1"/>
  <c r="R134" i="17" a="1"/>
  <c r="R134" i="17" s="1"/>
  <c r="U134" i="17" a="1"/>
  <c r="U134" i="17" s="1"/>
  <c r="V134" i="17" a="1"/>
  <c r="V134" i="17" s="1"/>
  <c r="W134" i="17" a="1"/>
  <c r="W134" i="17" s="1"/>
  <c r="X134" i="17" a="1"/>
  <c r="X134" i="17" s="1"/>
  <c r="K135" i="17" a="1"/>
  <c r="K135" i="17" s="1"/>
  <c r="L135" i="17" a="1"/>
  <c r="L135" i="17" s="1"/>
  <c r="M135" i="17" a="1"/>
  <c r="M135" i="17" s="1"/>
  <c r="N135" i="17" a="1"/>
  <c r="N135" i="17" s="1"/>
  <c r="O135" i="17" a="1"/>
  <c r="O135" i="17" s="1"/>
  <c r="P135" i="17" a="1"/>
  <c r="P135" i="17" s="1"/>
  <c r="Q135" i="17" a="1"/>
  <c r="Q135" i="17" s="1"/>
  <c r="R135" i="17" a="1"/>
  <c r="R135" i="17" s="1"/>
  <c r="U135" i="17" a="1"/>
  <c r="U135" i="17" s="1"/>
  <c r="V135" i="17" a="1"/>
  <c r="V135" i="17" s="1"/>
  <c r="W135" i="17" a="1"/>
  <c r="W135" i="17" s="1"/>
  <c r="X135" i="17" a="1"/>
  <c r="X135" i="17" s="1"/>
  <c r="K136" i="17" a="1"/>
  <c r="K136" i="17" s="1"/>
  <c r="L136" i="17" a="1"/>
  <c r="L136" i="17" s="1"/>
  <c r="M136" i="17" a="1"/>
  <c r="M136" i="17" s="1"/>
  <c r="N136" i="17" a="1"/>
  <c r="N136" i="17" s="1"/>
  <c r="O136" i="17" a="1"/>
  <c r="O136" i="17" s="1"/>
  <c r="P136" i="17" a="1"/>
  <c r="P136" i="17" s="1"/>
  <c r="Q136" i="17" a="1"/>
  <c r="Q136" i="17" s="1"/>
  <c r="R136" i="17" a="1"/>
  <c r="R136" i="17" s="1"/>
  <c r="U136" i="17" a="1"/>
  <c r="U136" i="17" s="1"/>
  <c r="V136" i="17" a="1"/>
  <c r="V136" i="17" s="1"/>
  <c r="W136" i="17" a="1"/>
  <c r="W136" i="17" s="1"/>
  <c r="X136" i="17" a="1"/>
  <c r="X136" i="17" s="1"/>
  <c r="K137" i="17" a="1"/>
  <c r="K137" i="17" s="1"/>
  <c r="L137" i="17" a="1"/>
  <c r="L137" i="17" s="1"/>
  <c r="M137" i="17" a="1"/>
  <c r="M137" i="17" s="1"/>
  <c r="N137" i="17" a="1"/>
  <c r="N137" i="17" s="1"/>
  <c r="O137" i="17" a="1"/>
  <c r="O137" i="17" s="1"/>
  <c r="P137" i="17" a="1"/>
  <c r="P137" i="17" s="1"/>
  <c r="Q137" i="17" a="1"/>
  <c r="Q137" i="17" s="1"/>
  <c r="R137" i="17" a="1"/>
  <c r="R137" i="17" s="1"/>
  <c r="U137" i="17" a="1"/>
  <c r="U137" i="17" s="1"/>
  <c r="V137" i="17" a="1"/>
  <c r="V137" i="17" s="1"/>
  <c r="W137" i="17" a="1"/>
  <c r="W137" i="17" s="1"/>
  <c r="X137" i="17" a="1"/>
  <c r="X137" i="17" s="1"/>
  <c r="K138" i="17" a="1"/>
  <c r="K138" i="17" s="1"/>
  <c r="L138" i="17" a="1"/>
  <c r="L138" i="17" s="1"/>
  <c r="M138" i="17" a="1"/>
  <c r="M138" i="17" s="1"/>
  <c r="N138" i="17" a="1"/>
  <c r="N138" i="17" s="1"/>
  <c r="O138" i="17" a="1"/>
  <c r="O138" i="17" s="1"/>
  <c r="P138" i="17" a="1"/>
  <c r="P138" i="17" s="1"/>
  <c r="Q138" i="17" a="1"/>
  <c r="Q138" i="17" s="1"/>
  <c r="R138" i="17" a="1"/>
  <c r="R138" i="17" s="1"/>
  <c r="U138" i="17" a="1"/>
  <c r="U138" i="17" s="1"/>
  <c r="V138" i="17" a="1"/>
  <c r="V138" i="17" s="1"/>
  <c r="W138" i="17" a="1"/>
  <c r="W138" i="17" s="1"/>
  <c r="X138" i="17" a="1"/>
  <c r="X138" i="17" s="1"/>
  <c r="K139" i="17" a="1"/>
  <c r="K139" i="17" s="1"/>
  <c r="L139" i="17" a="1"/>
  <c r="L139" i="17" s="1"/>
  <c r="M139" i="17" a="1"/>
  <c r="M139" i="17" s="1"/>
  <c r="N139" i="17" a="1"/>
  <c r="N139" i="17" s="1"/>
  <c r="O139" i="17" a="1"/>
  <c r="O139" i="17" s="1"/>
  <c r="P139" i="17" a="1"/>
  <c r="P139" i="17" s="1"/>
  <c r="Q139" i="17" a="1"/>
  <c r="Q139" i="17" s="1"/>
  <c r="R139" i="17" a="1"/>
  <c r="R139" i="17" s="1"/>
  <c r="U139" i="17" a="1"/>
  <c r="U139" i="17" s="1"/>
  <c r="V139" i="17" a="1"/>
  <c r="V139" i="17" s="1"/>
  <c r="W139" i="17" a="1"/>
  <c r="W139" i="17" s="1"/>
  <c r="X139" i="17" a="1"/>
  <c r="X139" i="17" s="1"/>
  <c r="K140" i="17" a="1"/>
  <c r="K140" i="17" s="1"/>
  <c r="L140" i="17" a="1"/>
  <c r="L140" i="17" s="1"/>
  <c r="M140" i="17" a="1"/>
  <c r="M140" i="17" s="1"/>
  <c r="N140" i="17" a="1"/>
  <c r="N140" i="17" s="1"/>
  <c r="O140" i="17" a="1"/>
  <c r="O140" i="17" s="1"/>
  <c r="P140" i="17" a="1"/>
  <c r="P140" i="17" s="1"/>
  <c r="Q140" i="17" a="1"/>
  <c r="Q140" i="17" s="1"/>
  <c r="R140" i="17" a="1"/>
  <c r="R140" i="17" s="1"/>
  <c r="U140" i="17" a="1"/>
  <c r="U140" i="17" s="1"/>
  <c r="V140" i="17" a="1"/>
  <c r="V140" i="17" s="1"/>
  <c r="W140" i="17" a="1"/>
  <c r="W140" i="17" s="1"/>
  <c r="X140" i="17" a="1"/>
  <c r="X140" i="17" s="1"/>
  <c r="K141" i="17" a="1"/>
  <c r="K141" i="17" s="1"/>
  <c r="L141" i="17" a="1"/>
  <c r="L141" i="17" s="1"/>
  <c r="M141" i="17" a="1"/>
  <c r="M141" i="17" s="1"/>
  <c r="N141" i="17" a="1"/>
  <c r="N141" i="17" s="1"/>
  <c r="O141" i="17" a="1"/>
  <c r="O141" i="17" s="1"/>
  <c r="P141" i="17" a="1"/>
  <c r="P141" i="17" s="1"/>
  <c r="Q141" i="17" a="1"/>
  <c r="Q141" i="17" s="1"/>
  <c r="R141" i="17" a="1"/>
  <c r="R141" i="17" s="1"/>
  <c r="U141" i="17" a="1"/>
  <c r="U141" i="17" s="1"/>
  <c r="V141" i="17" a="1"/>
  <c r="V141" i="17" s="1"/>
  <c r="W141" i="17" a="1"/>
  <c r="W141" i="17" s="1"/>
  <c r="X141" i="17" a="1"/>
  <c r="X141" i="17" s="1"/>
  <c r="K142" i="17" a="1"/>
  <c r="K142" i="17" s="1"/>
  <c r="L142" i="17" a="1"/>
  <c r="L142" i="17" s="1"/>
  <c r="M142" i="17" a="1"/>
  <c r="M142" i="17" s="1"/>
  <c r="N142" i="17" a="1"/>
  <c r="N142" i="17" s="1"/>
  <c r="O142" i="17" a="1"/>
  <c r="O142" i="17" s="1"/>
  <c r="P142" i="17" a="1"/>
  <c r="P142" i="17" s="1"/>
  <c r="Q142" i="17" a="1"/>
  <c r="Q142" i="17" s="1"/>
  <c r="R142" i="17" a="1"/>
  <c r="R142" i="17" s="1"/>
  <c r="U142" i="17" a="1"/>
  <c r="U142" i="17" s="1"/>
  <c r="V142" i="17" a="1"/>
  <c r="V142" i="17" s="1"/>
  <c r="W142" i="17" a="1"/>
  <c r="W142" i="17" s="1"/>
  <c r="X142" i="17" a="1"/>
  <c r="X142" i="17" s="1"/>
  <c r="K143" i="17" a="1"/>
  <c r="K143" i="17" s="1"/>
  <c r="L143" i="17" a="1"/>
  <c r="L143" i="17" s="1"/>
  <c r="M143" i="17" a="1"/>
  <c r="M143" i="17" s="1"/>
  <c r="N143" i="17" a="1"/>
  <c r="N143" i="17" s="1"/>
  <c r="O143" i="17" a="1"/>
  <c r="O143" i="17" s="1"/>
  <c r="P143" i="17" a="1"/>
  <c r="P143" i="17" s="1"/>
  <c r="Q143" i="17" a="1"/>
  <c r="Q143" i="17" s="1"/>
  <c r="R143" i="17" a="1"/>
  <c r="R143" i="17" s="1"/>
  <c r="U143" i="17" a="1"/>
  <c r="U143" i="17" s="1"/>
  <c r="V143" i="17" a="1"/>
  <c r="V143" i="17" s="1"/>
  <c r="W143" i="17" a="1"/>
  <c r="W143" i="17" s="1"/>
  <c r="X143" i="17" a="1"/>
  <c r="X143" i="17" s="1"/>
  <c r="K144" i="17" a="1"/>
  <c r="K144" i="17" s="1"/>
  <c r="L144" i="17" a="1"/>
  <c r="L144" i="17" s="1"/>
  <c r="M144" i="17" a="1"/>
  <c r="M144" i="17" s="1"/>
  <c r="N144" i="17" a="1"/>
  <c r="N144" i="17" s="1"/>
  <c r="O144" i="17" a="1"/>
  <c r="O144" i="17" s="1"/>
  <c r="P144" i="17" a="1"/>
  <c r="P144" i="17" s="1"/>
  <c r="Q144" i="17" a="1"/>
  <c r="Q144" i="17" s="1"/>
  <c r="R144" i="17" a="1"/>
  <c r="R144" i="17" s="1"/>
  <c r="U144" i="17" a="1"/>
  <c r="U144" i="17" s="1"/>
  <c r="V144" i="17" a="1"/>
  <c r="V144" i="17" s="1"/>
  <c r="W144" i="17" a="1"/>
  <c r="W144" i="17" s="1"/>
  <c r="X144" i="17" a="1"/>
  <c r="X144" i="17" s="1"/>
  <c r="K145" i="17" a="1"/>
  <c r="K145" i="17" s="1"/>
  <c r="L145" i="17" a="1"/>
  <c r="L145" i="17" s="1"/>
  <c r="M145" i="17" a="1"/>
  <c r="M145" i="17" s="1"/>
  <c r="N145" i="17" a="1"/>
  <c r="N145" i="17" s="1"/>
  <c r="O145" i="17" a="1"/>
  <c r="O145" i="17" s="1"/>
  <c r="P145" i="17" a="1"/>
  <c r="P145" i="17" s="1"/>
  <c r="Q145" i="17" a="1"/>
  <c r="Q145" i="17" s="1"/>
  <c r="R145" i="17" a="1"/>
  <c r="R145" i="17" s="1"/>
  <c r="U145" i="17" a="1"/>
  <c r="U145" i="17" s="1"/>
  <c r="V145" i="17" a="1"/>
  <c r="V145" i="17" s="1"/>
  <c r="W145" i="17" a="1"/>
  <c r="W145" i="17" s="1"/>
  <c r="X145" i="17" a="1"/>
  <c r="X145" i="17" s="1"/>
  <c r="K146" i="17" a="1"/>
  <c r="K146" i="17" s="1"/>
  <c r="L146" i="17" a="1"/>
  <c r="L146" i="17" s="1"/>
  <c r="M146" i="17" a="1"/>
  <c r="M146" i="17" s="1"/>
  <c r="N146" i="17" a="1"/>
  <c r="N146" i="17" s="1"/>
  <c r="O146" i="17" a="1"/>
  <c r="O146" i="17" s="1"/>
  <c r="P146" i="17" a="1"/>
  <c r="P146" i="17" s="1"/>
  <c r="Q146" i="17" a="1"/>
  <c r="Q146" i="17" s="1"/>
  <c r="R146" i="17" a="1"/>
  <c r="R146" i="17" s="1"/>
  <c r="U146" i="17" a="1"/>
  <c r="U146" i="17" s="1"/>
  <c r="V146" i="17" a="1"/>
  <c r="V146" i="17" s="1"/>
  <c r="W146" i="17" a="1"/>
  <c r="W146" i="17" s="1"/>
  <c r="X146" i="17" a="1"/>
  <c r="X146" i="17" s="1"/>
  <c r="K147" i="17" a="1"/>
  <c r="K147" i="17" s="1"/>
  <c r="L147" i="17" a="1"/>
  <c r="L147" i="17" s="1"/>
  <c r="M147" i="17" a="1"/>
  <c r="M147" i="17" s="1"/>
  <c r="N147" i="17" a="1"/>
  <c r="N147" i="17" s="1"/>
  <c r="O147" i="17" a="1"/>
  <c r="O147" i="17" s="1"/>
  <c r="P147" i="17" a="1"/>
  <c r="P147" i="17" s="1"/>
  <c r="Q147" i="17" a="1"/>
  <c r="Q147" i="17" s="1"/>
  <c r="R147" i="17" a="1"/>
  <c r="R147" i="17" s="1"/>
  <c r="U147" i="17" a="1"/>
  <c r="U147" i="17" s="1"/>
  <c r="V147" i="17" a="1"/>
  <c r="V147" i="17" s="1"/>
  <c r="W147" i="17" a="1"/>
  <c r="W147" i="17" s="1"/>
  <c r="X147" i="17" a="1"/>
  <c r="X147" i="17" s="1"/>
  <c r="K148" i="17" a="1"/>
  <c r="K148" i="17" s="1"/>
  <c r="L148" i="17" a="1"/>
  <c r="L148" i="17" s="1"/>
  <c r="M148" i="17" a="1"/>
  <c r="M148" i="17" s="1"/>
  <c r="N148" i="17" a="1"/>
  <c r="N148" i="17" s="1"/>
  <c r="O148" i="17" a="1"/>
  <c r="O148" i="17" s="1"/>
  <c r="P148" i="17" a="1"/>
  <c r="P148" i="17" s="1"/>
  <c r="Q148" i="17" a="1"/>
  <c r="Q148" i="17" s="1"/>
  <c r="R148" i="17" a="1"/>
  <c r="R148" i="17" s="1"/>
  <c r="U148" i="17" a="1"/>
  <c r="U148" i="17" s="1"/>
  <c r="V148" i="17" a="1"/>
  <c r="V148" i="17" s="1"/>
  <c r="W148" i="17" a="1"/>
  <c r="W148" i="17" s="1"/>
  <c r="X148" i="17" a="1"/>
  <c r="X148" i="17" s="1"/>
  <c r="K149" i="17" a="1"/>
  <c r="K149" i="17" s="1"/>
  <c r="L149" i="17" a="1"/>
  <c r="L149" i="17" s="1"/>
  <c r="M149" i="17" a="1"/>
  <c r="M149" i="17" s="1"/>
  <c r="N149" i="17" a="1"/>
  <c r="N149" i="17" s="1"/>
  <c r="O149" i="17" a="1"/>
  <c r="O149" i="17" s="1"/>
  <c r="P149" i="17" a="1"/>
  <c r="P149" i="17" s="1"/>
  <c r="Q149" i="17" a="1"/>
  <c r="Q149" i="17" s="1"/>
  <c r="R149" i="17" a="1"/>
  <c r="R149" i="17" s="1"/>
  <c r="U149" i="17" a="1"/>
  <c r="U149" i="17" s="1"/>
  <c r="V149" i="17" a="1"/>
  <c r="V149" i="17" s="1"/>
  <c r="W149" i="17" a="1"/>
  <c r="W149" i="17" s="1"/>
  <c r="X149" i="17" a="1"/>
  <c r="X149" i="17" s="1"/>
  <c r="K150" i="17" a="1"/>
  <c r="K150" i="17" s="1"/>
  <c r="L150" i="17" a="1"/>
  <c r="L150" i="17" s="1"/>
  <c r="M150" i="17" a="1"/>
  <c r="M150" i="17" s="1"/>
  <c r="N150" i="17" a="1"/>
  <c r="N150" i="17" s="1"/>
  <c r="O150" i="17" a="1"/>
  <c r="O150" i="17" s="1"/>
  <c r="P150" i="17" a="1"/>
  <c r="P150" i="17" s="1"/>
  <c r="Q150" i="17" a="1"/>
  <c r="Q150" i="17" s="1"/>
  <c r="R150" i="17" a="1"/>
  <c r="R150" i="17" s="1"/>
  <c r="U150" i="17" a="1"/>
  <c r="U150" i="17" s="1"/>
  <c r="V150" i="17" a="1"/>
  <c r="V150" i="17" s="1"/>
  <c r="W150" i="17" a="1"/>
  <c r="W150" i="17" s="1"/>
  <c r="X150" i="17" a="1"/>
  <c r="X150" i="17" s="1"/>
  <c r="K151" i="17" a="1"/>
  <c r="K151" i="17" s="1"/>
  <c r="L151" i="17" a="1"/>
  <c r="L151" i="17" s="1"/>
  <c r="M151" i="17" a="1"/>
  <c r="M151" i="17" s="1"/>
  <c r="N151" i="17" a="1"/>
  <c r="N151" i="17" s="1"/>
  <c r="O151" i="17" a="1"/>
  <c r="O151" i="17" s="1"/>
  <c r="P151" i="17" a="1"/>
  <c r="P151" i="17" s="1"/>
  <c r="Q151" i="17" a="1"/>
  <c r="Q151" i="17" s="1"/>
  <c r="R151" i="17" a="1"/>
  <c r="R151" i="17" s="1"/>
  <c r="U151" i="17" a="1"/>
  <c r="U151" i="17" s="1"/>
  <c r="V151" i="17" a="1"/>
  <c r="V151" i="17" s="1"/>
  <c r="W151" i="17" a="1"/>
  <c r="W151" i="17" s="1"/>
  <c r="X151" i="17" a="1"/>
  <c r="X151" i="17" s="1"/>
  <c r="K152" i="17" a="1"/>
  <c r="K152" i="17" s="1"/>
  <c r="L152" i="17" a="1"/>
  <c r="L152" i="17" s="1"/>
  <c r="M152" i="17" a="1"/>
  <c r="M152" i="17" s="1"/>
  <c r="N152" i="17" a="1"/>
  <c r="N152" i="17" s="1"/>
  <c r="O152" i="17" a="1"/>
  <c r="O152" i="17" s="1"/>
  <c r="P152" i="17" a="1"/>
  <c r="P152" i="17" s="1"/>
  <c r="Q152" i="17" a="1"/>
  <c r="Q152" i="17" s="1"/>
  <c r="R152" i="17" a="1"/>
  <c r="R152" i="17" s="1"/>
  <c r="U152" i="17" a="1"/>
  <c r="U152" i="17" s="1"/>
  <c r="V152" i="17" a="1"/>
  <c r="V152" i="17" s="1"/>
  <c r="W152" i="17" a="1"/>
  <c r="W152" i="17" s="1"/>
  <c r="X152" i="17" a="1"/>
  <c r="X152" i="17" s="1"/>
  <c r="K153" i="17" a="1"/>
  <c r="K153" i="17" s="1"/>
  <c r="L153" i="17" a="1"/>
  <c r="L153" i="17" s="1"/>
  <c r="M153" i="17" a="1"/>
  <c r="M153" i="17" s="1"/>
  <c r="N153" i="17" a="1"/>
  <c r="N153" i="17" s="1"/>
  <c r="O153" i="17" a="1"/>
  <c r="O153" i="17" s="1"/>
  <c r="P153" i="17" a="1"/>
  <c r="P153" i="17" s="1"/>
  <c r="Q153" i="17" a="1"/>
  <c r="Q153" i="17" s="1"/>
  <c r="R153" i="17" a="1"/>
  <c r="R153" i="17" s="1"/>
  <c r="U153" i="17" a="1"/>
  <c r="U153" i="17" s="1"/>
  <c r="V153" i="17" a="1"/>
  <c r="V153" i="17" s="1"/>
  <c r="W153" i="17" a="1"/>
  <c r="W153" i="17" s="1"/>
  <c r="X153" i="17" a="1"/>
  <c r="X153" i="17" s="1"/>
  <c r="K154" i="17" a="1"/>
  <c r="K154" i="17" s="1"/>
  <c r="L154" i="17" a="1"/>
  <c r="L154" i="17" s="1"/>
  <c r="M154" i="17" a="1"/>
  <c r="M154" i="17" s="1"/>
  <c r="N154" i="17" a="1"/>
  <c r="N154" i="17" s="1"/>
  <c r="O154" i="17" a="1"/>
  <c r="O154" i="17" s="1"/>
  <c r="P154" i="17" a="1"/>
  <c r="P154" i="17" s="1"/>
  <c r="Q154" i="17" a="1"/>
  <c r="Q154" i="17" s="1"/>
  <c r="R154" i="17" a="1"/>
  <c r="R154" i="17" s="1"/>
  <c r="U154" i="17" a="1"/>
  <c r="U154" i="17" s="1"/>
  <c r="V154" i="17" a="1"/>
  <c r="V154" i="17" s="1"/>
  <c r="W154" i="17" a="1"/>
  <c r="W154" i="17" s="1"/>
  <c r="X154" i="17" a="1"/>
  <c r="X154" i="17" s="1"/>
  <c r="K155" i="17" a="1"/>
  <c r="K155" i="17" s="1"/>
  <c r="L155" i="17" a="1"/>
  <c r="L155" i="17" s="1"/>
  <c r="M155" i="17" a="1"/>
  <c r="M155" i="17" s="1"/>
  <c r="N155" i="17" a="1"/>
  <c r="N155" i="17" s="1"/>
  <c r="O155" i="17" a="1"/>
  <c r="O155" i="17" s="1"/>
  <c r="P155" i="17" a="1"/>
  <c r="P155" i="17" s="1"/>
  <c r="Q155" i="17" a="1"/>
  <c r="Q155" i="17" s="1"/>
  <c r="R155" i="17" a="1"/>
  <c r="R155" i="17" s="1"/>
  <c r="U155" i="17" a="1"/>
  <c r="U155" i="17" s="1"/>
  <c r="V155" i="17" a="1"/>
  <c r="V155" i="17" s="1"/>
  <c r="W155" i="17" a="1"/>
  <c r="W155" i="17" s="1"/>
  <c r="X155" i="17" a="1"/>
  <c r="X155" i="17" s="1"/>
  <c r="K156" i="17" a="1"/>
  <c r="K156" i="17" s="1"/>
  <c r="L156" i="17" a="1"/>
  <c r="L156" i="17" s="1"/>
  <c r="M156" i="17" a="1"/>
  <c r="M156" i="17" s="1"/>
  <c r="N156" i="17" a="1"/>
  <c r="N156" i="17" s="1"/>
  <c r="O156" i="17" a="1"/>
  <c r="O156" i="17" s="1"/>
  <c r="P156" i="17" a="1"/>
  <c r="P156" i="17" s="1"/>
  <c r="Q156" i="17" a="1"/>
  <c r="Q156" i="17" s="1"/>
  <c r="R156" i="17" a="1"/>
  <c r="R156" i="17" s="1"/>
  <c r="U156" i="17" a="1"/>
  <c r="U156" i="17" s="1"/>
  <c r="V156" i="17" a="1"/>
  <c r="V156" i="17" s="1"/>
  <c r="W156" i="17" a="1"/>
  <c r="W156" i="17" s="1"/>
  <c r="X156" i="17" a="1"/>
  <c r="X156" i="17" s="1"/>
  <c r="K157" i="17" a="1"/>
  <c r="K157" i="17" s="1"/>
  <c r="L157" i="17" a="1"/>
  <c r="L157" i="17" s="1"/>
  <c r="M157" i="17" a="1"/>
  <c r="M157" i="17" s="1"/>
  <c r="N157" i="17" a="1"/>
  <c r="N157" i="17" s="1"/>
  <c r="O157" i="17" a="1"/>
  <c r="O157" i="17" s="1"/>
  <c r="P157" i="17" a="1"/>
  <c r="P157" i="17" s="1"/>
  <c r="Q157" i="17" a="1"/>
  <c r="Q157" i="17" s="1"/>
  <c r="R157" i="17" a="1"/>
  <c r="R157" i="17" s="1"/>
  <c r="U157" i="17" a="1"/>
  <c r="U157" i="17" s="1"/>
  <c r="V157" i="17" a="1"/>
  <c r="V157" i="17" s="1"/>
  <c r="W157" i="17" a="1"/>
  <c r="W157" i="17" s="1"/>
  <c r="X157" i="17" a="1"/>
  <c r="X157" i="17" s="1"/>
  <c r="K158" i="17" a="1"/>
  <c r="K158" i="17" s="1"/>
  <c r="L158" i="17" a="1"/>
  <c r="L158" i="17" s="1"/>
  <c r="M158" i="17" a="1"/>
  <c r="M158" i="17" s="1"/>
  <c r="N158" i="17" a="1"/>
  <c r="N158" i="17" s="1"/>
  <c r="O158" i="17" a="1"/>
  <c r="O158" i="17" s="1"/>
  <c r="P158" i="17" a="1"/>
  <c r="P158" i="17" s="1"/>
  <c r="Q158" i="17" a="1"/>
  <c r="Q158" i="17" s="1"/>
  <c r="R158" i="17" a="1"/>
  <c r="R158" i="17" s="1"/>
  <c r="U158" i="17" a="1"/>
  <c r="U158" i="17" s="1"/>
  <c r="V158" i="17" a="1"/>
  <c r="V158" i="17" s="1"/>
  <c r="W158" i="17" a="1"/>
  <c r="W158" i="17" s="1"/>
  <c r="X158" i="17" a="1"/>
  <c r="X158" i="17" s="1"/>
  <c r="K159" i="17" a="1"/>
  <c r="K159" i="17" s="1"/>
  <c r="L159" i="17" a="1"/>
  <c r="L159" i="17" s="1"/>
  <c r="M159" i="17" a="1"/>
  <c r="M159" i="17" s="1"/>
  <c r="N159" i="17" a="1"/>
  <c r="N159" i="17" s="1"/>
  <c r="O159" i="17" a="1"/>
  <c r="O159" i="17" s="1"/>
  <c r="P159" i="17" a="1"/>
  <c r="P159" i="17" s="1"/>
  <c r="Q159" i="17" a="1"/>
  <c r="Q159" i="17" s="1"/>
  <c r="R159" i="17" a="1"/>
  <c r="R159" i="17" s="1"/>
  <c r="U159" i="17" a="1"/>
  <c r="U159" i="17" s="1"/>
  <c r="V159" i="17" a="1"/>
  <c r="V159" i="17" s="1"/>
  <c r="W159" i="17" a="1"/>
  <c r="W159" i="17" s="1"/>
  <c r="X159" i="17" a="1"/>
  <c r="X159" i="17" s="1"/>
  <c r="K160" i="17" a="1"/>
  <c r="K160" i="17" s="1"/>
  <c r="L160" i="17" a="1"/>
  <c r="L160" i="17" s="1"/>
  <c r="M160" i="17" a="1"/>
  <c r="M160" i="17" s="1"/>
  <c r="N160" i="17" a="1"/>
  <c r="N160" i="17" s="1"/>
  <c r="O160" i="17" a="1"/>
  <c r="O160" i="17" s="1"/>
  <c r="P160" i="17" a="1"/>
  <c r="P160" i="17" s="1"/>
  <c r="Q160" i="17" a="1"/>
  <c r="Q160" i="17" s="1"/>
  <c r="R160" i="17" a="1"/>
  <c r="R160" i="17" s="1"/>
  <c r="U160" i="17" a="1"/>
  <c r="U160" i="17" s="1"/>
  <c r="V160" i="17" a="1"/>
  <c r="V160" i="17" s="1"/>
  <c r="W160" i="17" a="1"/>
  <c r="W160" i="17" s="1"/>
  <c r="X160" i="17" a="1"/>
  <c r="X160" i="17" s="1"/>
  <c r="K161" i="17" a="1"/>
  <c r="K161" i="17" s="1"/>
  <c r="L161" i="17" a="1"/>
  <c r="L161" i="17" s="1"/>
  <c r="M161" i="17" a="1"/>
  <c r="M161" i="17" s="1"/>
  <c r="N161" i="17" a="1"/>
  <c r="N161" i="17" s="1"/>
  <c r="O161" i="17" a="1"/>
  <c r="O161" i="17" s="1"/>
  <c r="P161" i="17" a="1"/>
  <c r="P161" i="17" s="1"/>
  <c r="Q161" i="17" a="1"/>
  <c r="Q161" i="17" s="1"/>
  <c r="R161" i="17" a="1"/>
  <c r="R161" i="17" s="1"/>
  <c r="U161" i="17" a="1"/>
  <c r="U161" i="17" s="1"/>
  <c r="V161" i="17" a="1"/>
  <c r="V161" i="17" s="1"/>
  <c r="W161" i="17" a="1"/>
  <c r="W161" i="17" s="1"/>
  <c r="X161" i="17" a="1"/>
  <c r="X161" i="17" s="1"/>
  <c r="K162" i="17" a="1"/>
  <c r="K162" i="17" s="1"/>
  <c r="L162" i="17" a="1"/>
  <c r="L162" i="17" s="1"/>
  <c r="M162" i="17" a="1"/>
  <c r="M162" i="17" s="1"/>
  <c r="N162" i="17" a="1"/>
  <c r="N162" i="17" s="1"/>
  <c r="O162" i="17" a="1"/>
  <c r="O162" i="17" s="1"/>
  <c r="P162" i="17" a="1"/>
  <c r="P162" i="17" s="1"/>
  <c r="Q162" i="17" a="1"/>
  <c r="Q162" i="17" s="1"/>
  <c r="R162" i="17" a="1"/>
  <c r="R162" i="17" s="1"/>
  <c r="U162" i="17" a="1"/>
  <c r="U162" i="17" s="1"/>
  <c r="V162" i="17" a="1"/>
  <c r="V162" i="17" s="1"/>
  <c r="W162" i="17" a="1"/>
  <c r="W162" i="17" s="1"/>
  <c r="X162" i="17" a="1"/>
  <c r="X162" i="17" s="1"/>
  <c r="K163" i="17" a="1"/>
  <c r="K163" i="17" s="1"/>
  <c r="L163" i="17" a="1"/>
  <c r="L163" i="17" s="1"/>
  <c r="M163" i="17" a="1"/>
  <c r="M163" i="17" s="1"/>
  <c r="N163" i="17" a="1"/>
  <c r="N163" i="17" s="1"/>
  <c r="O163" i="17" a="1"/>
  <c r="O163" i="17" s="1"/>
  <c r="P163" i="17" a="1"/>
  <c r="P163" i="17" s="1"/>
  <c r="Q163" i="17" a="1"/>
  <c r="Q163" i="17" s="1"/>
  <c r="R163" i="17" a="1"/>
  <c r="R163" i="17" s="1"/>
  <c r="U163" i="17" a="1"/>
  <c r="U163" i="17" s="1"/>
  <c r="V163" i="17" a="1"/>
  <c r="V163" i="17" s="1"/>
  <c r="W163" i="17" a="1"/>
  <c r="W163" i="17" s="1"/>
  <c r="X163" i="17" a="1"/>
  <c r="X163" i="17" s="1"/>
  <c r="K164" i="17" a="1"/>
  <c r="K164" i="17" s="1"/>
  <c r="L164" i="17" a="1"/>
  <c r="L164" i="17" s="1"/>
  <c r="M164" i="17" a="1"/>
  <c r="M164" i="17" s="1"/>
  <c r="N164" i="17" a="1"/>
  <c r="N164" i="17" s="1"/>
  <c r="O164" i="17" a="1"/>
  <c r="O164" i="17" s="1"/>
  <c r="P164" i="17" a="1"/>
  <c r="P164" i="17" s="1"/>
  <c r="Q164" i="17" a="1"/>
  <c r="Q164" i="17" s="1"/>
  <c r="R164" i="17" a="1"/>
  <c r="R164" i="17" s="1"/>
  <c r="U164" i="17" a="1"/>
  <c r="U164" i="17" s="1"/>
  <c r="V164" i="17" a="1"/>
  <c r="V164" i="17" s="1"/>
  <c r="W164" i="17" a="1"/>
  <c r="W164" i="17" s="1"/>
  <c r="X164" i="17" a="1"/>
  <c r="X164" i="17" s="1"/>
  <c r="K165" i="17" a="1"/>
  <c r="K165" i="17" s="1"/>
  <c r="L165" i="17" a="1"/>
  <c r="L165" i="17" s="1"/>
  <c r="M165" i="17" a="1"/>
  <c r="M165" i="17" s="1"/>
  <c r="N165" i="17" a="1"/>
  <c r="N165" i="17" s="1"/>
  <c r="O165" i="17" a="1"/>
  <c r="O165" i="17" s="1"/>
  <c r="P165" i="17" a="1"/>
  <c r="P165" i="17" s="1"/>
  <c r="Q165" i="17" a="1"/>
  <c r="Q165" i="17" s="1"/>
  <c r="R165" i="17" a="1"/>
  <c r="R165" i="17" s="1"/>
  <c r="U165" i="17" a="1"/>
  <c r="U165" i="17" s="1"/>
  <c r="V165" i="17" a="1"/>
  <c r="V165" i="17" s="1"/>
  <c r="W165" i="17" a="1"/>
  <c r="W165" i="17" s="1"/>
  <c r="X165" i="17" a="1"/>
  <c r="X165" i="17" s="1"/>
  <c r="K166" i="17" a="1"/>
  <c r="K166" i="17" s="1"/>
  <c r="L166" i="17" a="1"/>
  <c r="L166" i="17" s="1"/>
  <c r="M166" i="17" a="1"/>
  <c r="M166" i="17" s="1"/>
  <c r="N166" i="17" a="1"/>
  <c r="N166" i="17" s="1"/>
  <c r="O166" i="17" a="1"/>
  <c r="O166" i="17" s="1"/>
  <c r="P166" i="17" a="1"/>
  <c r="P166" i="17" s="1"/>
  <c r="Q166" i="17" a="1"/>
  <c r="Q166" i="17" s="1"/>
  <c r="R166" i="17" a="1"/>
  <c r="R166" i="17" s="1"/>
  <c r="U166" i="17" a="1"/>
  <c r="U166" i="17" s="1"/>
  <c r="V166" i="17" a="1"/>
  <c r="V166" i="17" s="1"/>
  <c r="W166" i="17" a="1"/>
  <c r="W166" i="17" s="1"/>
  <c r="X166" i="17" a="1"/>
  <c r="X166" i="17" s="1"/>
  <c r="K167" i="17" a="1"/>
  <c r="K167" i="17" s="1"/>
  <c r="L167" i="17" a="1"/>
  <c r="L167" i="17" s="1"/>
  <c r="M167" i="17" a="1"/>
  <c r="M167" i="17" s="1"/>
  <c r="N167" i="17" a="1"/>
  <c r="N167" i="17" s="1"/>
  <c r="O167" i="17" a="1"/>
  <c r="O167" i="17" s="1"/>
  <c r="P167" i="17" a="1"/>
  <c r="P167" i="17" s="1"/>
  <c r="Q167" i="17" a="1"/>
  <c r="Q167" i="17" s="1"/>
  <c r="R167" i="17" a="1"/>
  <c r="R167" i="17" s="1"/>
  <c r="U167" i="17" a="1"/>
  <c r="U167" i="17" s="1"/>
  <c r="V167" i="17" a="1"/>
  <c r="V167" i="17" s="1"/>
  <c r="W167" i="17" a="1"/>
  <c r="W167" i="17" s="1"/>
  <c r="X167" i="17" a="1"/>
  <c r="X167" i="17" s="1"/>
  <c r="K168" i="17" a="1"/>
  <c r="K168" i="17" s="1"/>
  <c r="L168" i="17" a="1"/>
  <c r="L168" i="17" s="1"/>
  <c r="M168" i="17" a="1"/>
  <c r="M168" i="17" s="1"/>
  <c r="N168" i="17" a="1"/>
  <c r="N168" i="17" s="1"/>
  <c r="O168" i="17" a="1"/>
  <c r="O168" i="17" s="1"/>
  <c r="P168" i="17" a="1"/>
  <c r="P168" i="17" s="1"/>
  <c r="Q168" i="17" a="1"/>
  <c r="Q168" i="17" s="1"/>
  <c r="R168" i="17" a="1"/>
  <c r="R168" i="17" s="1"/>
  <c r="U168" i="17" a="1"/>
  <c r="U168" i="17" s="1"/>
  <c r="V168" i="17" a="1"/>
  <c r="V168" i="17" s="1"/>
  <c r="W168" i="17" a="1"/>
  <c r="W168" i="17" s="1"/>
  <c r="X168" i="17" a="1"/>
  <c r="X168" i="17" s="1"/>
  <c r="K169" i="17" a="1"/>
  <c r="K169" i="17" s="1"/>
  <c r="L169" i="17" a="1"/>
  <c r="L169" i="17" s="1"/>
  <c r="M169" i="17" a="1"/>
  <c r="M169" i="17" s="1"/>
  <c r="N169" i="17" a="1"/>
  <c r="N169" i="17" s="1"/>
  <c r="O169" i="17" a="1"/>
  <c r="O169" i="17" s="1"/>
  <c r="P169" i="17" a="1"/>
  <c r="P169" i="17" s="1"/>
  <c r="Q169" i="17" a="1"/>
  <c r="Q169" i="17" s="1"/>
  <c r="R169" i="17" a="1"/>
  <c r="R169" i="17" s="1"/>
  <c r="U169" i="17" a="1"/>
  <c r="U169" i="17" s="1"/>
  <c r="V169" i="17" a="1"/>
  <c r="V169" i="17" s="1"/>
  <c r="W169" i="17" a="1"/>
  <c r="W169" i="17" s="1"/>
  <c r="X169" i="17" a="1"/>
  <c r="X169" i="17" s="1"/>
  <c r="K170" i="17" a="1"/>
  <c r="K170" i="17" s="1"/>
  <c r="L170" i="17" a="1"/>
  <c r="L170" i="17" s="1"/>
  <c r="M170" i="17" a="1"/>
  <c r="M170" i="17" s="1"/>
  <c r="N170" i="17" a="1"/>
  <c r="N170" i="17" s="1"/>
  <c r="O170" i="17" a="1"/>
  <c r="O170" i="17" s="1"/>
  <c r="P170" i="17" a="1"/>
  <c r="P170" i="17" s="1"/>
  <c r="Q170" i="17" a="1"/>
  <c r="Q170" i="17" s="1"/>
  <c r="R170" i="17" a="1"/>
  <c r="R170" i="17" s="1"/>
  <c r="U170" i="17" a="1"/>
  <c r="U170" i="17" s="1"/>
  <c r="V170" i="17" a="1"/>
  <c r="V170" i="17" s="1"/>
  <c r="W170" i="17" a="1"/>
  <c r="W170" i="17" s="1"/>
  <c r="X170" i="17" a="1"/>
  <c r="X170" i="17" s="1"/>
  <c r="K171" i="17" a="1"/>
  <c r="K171" i="17" s="1"/>
  <c r="L171" i="17" a="1"/>
  <c r="L171" i="17" s="1"/>
  <c r="M171" i="17" a="1"/>
  <c r="M171" i="17" s="1"/>
  <c r="N171" i="17" a="1"/>
  <c r="N171" i="17" s="1"/>
  <c r="O171" i="17" a="1"/>
  <c r="O171" i="17" s="1"/>
  <c r="P171" i="17" a="1"/>
  <c r="P171" i="17" s="1"/>
  <c r="Q171" i="17" a="1"/>
  <c r="Q171" i="17" s="1"/>
  <c r="R171" i="17" a="1"/>
  <c r="R171" i="17" s="1"/>
  <c r="U171" i="17" a="1"/>
  <c r="U171" i="17" s="1"/>
  <c r="V171" i="17" a="1"/>
  <c r="V171" i="17" s="1"/>
  <c r="W171" i="17" a="1"/>
  <c r="W171" i="17" s="1"/>
  <c r="X171" i="17" a="1"/>
  <c r="X171" i="17" s="1"/>
  <c r="K172" i="17" a="1"/>
  <c r="K172" i="17" s="1"/>
  <c r="L172" i="17" a="1"/>
  <c r="L172" i="17" s="1"/>
  <c r="M172" i="17" a="1"/>
  <c r="M172" i="17" s="1"/>
  <c r="N172" i="17" a="1"/>
  <c r="N172" i="17" s="1"/>
  <c r="O172" i="17" a="1"/>
  <c r="O172" i="17" s="1"/>
  <c r="P172" i="17" a="1"/>
  <c r="P172" i="17" s="1"/>
  <c r="Q172" i="17" a="1"/>
  <c r="Q172" i="17" s="1"/>
  <c r="R172" i="17" a="1"/>
  <c r="R172" i="17" s="1"/>
  <c r="U172" i="17" a="1"/>
  <c r="U172" i="17" s="1"/>
  <c r="V172" i="17" a="1"/>
  <c r="V172" i="17" s="1"/>
  <c r="W172" i="17" a="1"/>
  <c r="W172" i="17" s="1"/>
  <c r="X172" i="17" a="1"/>
  <c r="X172" i="17" s="1"/>
  <c r="K173" i="17" a="1"/>
  <c r="K173" i="17" s="1"/>
  <c r="L173" i="17" a="1"/>
  <c r="L173" i="17" s="1"/>
  <c r="M173" i="17" a="1"/>
  <c r="M173" i="17" s="1"/>
  <c r="N173" i="17" a="1"/>
  <c r="N173" i="17" s="1"/>
  <c r="O173" i="17" a="1"/>
  <c r="O173" i="17" s="1"/>
  <c r="P173" i="17" a="1"/>
  <c r="P173" i="17" s="1"/>
  <c r="Q173" i="17" a="1"/>
  <c r="Q173" i="17" s="1"/>
  <c r="R173" i="17" a="1"/>
  <c r="R173" i="17" s="1"/>
  <c r="U173" i="17" a="1"/>
  <c r="U173" i="17" s="1"/>
  <c r="V173" i="17" a="1"/>
  <c r="V173" i="17" s="1"/>
  <c r="W173" i="17" a="1"/>
  <c r="W173" i="17" s="1"/>
  <c r="X173" i="17" a="1"/>
  <c r="X173" i="17" s="1"/>
  <c r="K174" i="17" a="1"/>
  <c r="K174" i="17" s="1"/>
  <c r="L174" i="17" a="1"/>
  <c r="L174" i="17" s="1"/>
  <c r="M174" i="17" a="1"/>
  <c r="M174" i="17" s="1"/>
  <c r="N174" i="17" a="1"/>
  <c r="N174" i="17" s="1"/>
  <c r="O174" i="17" a="1"/>
  <c r="O174" i="17" s="1"/>
  <c r="P174" i="17" a="1"/>
  <c r="P174" i="17" s="1"/>
  <c r="Q174" i="17" a="1"/>
  <c r="Q174" i="17" s="1"/>
  <c r="R174" i="17" a="1"/>
  <c r="R174" i="17" s="1"/>
  <c r="U174" i="17" a="1"/>
  <c r="U174" i="17" s="1"/>
  <c r="V174" i="17" a="1"/>
  <c r="V174" i="17" s="1"/>
  <c r="W174" i="17" a="1"/>
  <c r="W174" i="17" s="1"/>
  <c r="X174" i="17" a="1"/>
  <c r="X174" i="17" s="1"/>
  <c r="K175" i="17" a="1"/>
  <c r="K175" i="17" s="1"/>
  <c r="L175" i="17" a="1"/>
  <c r="L175" i="17" s="1"/>
  <c r="M175" i="17" a="1"/>
  <c r="M175" i="17" s="1"/>
  <c r="N175" i="17" a="1"/>
  <c r="N175" i="17" s="1"/>
  <c r="O175" i="17" a="1"/>
  <c r="O175" i="17" s="1"/>
  <c r="P175" i="17" a="1"/>
  <c r="P175" i="17" s="1"/>
  <c r="Q175" i="17" a="1"/>
  <c r="Q175" i="17" s="1"/>
  <c r="R175" i="17" a="1"/>
  <c r="R175" i="17" s="1"/>
  <c r="U175" i="17" a="1"/>
  <c r="U175" i="17" s="1"/>
  <c r="V175" i="17" a="1"/>
  <c r="V175" i="17" s="1"/>
  <c r="W175" i="17" a="1"/>
  <c r="W175" i="17" s="1"/>
  <c r="X175" i="17" a="1"/>
  <c r="X175" i="17" s="1"/>
  <c r="K176" i="17" a="1"/>
  <c r="K176" i="17" s="1"/>
  <c r="L176" i="17" a="1"/>
  <c r="L176" i="17" s="1"/>
  <c r="M176" i="17" a="1"/>
  <c r="M176" i="17" s="1"/>
  <c r="N176" i="17" a="1"/>
  <c r="N176" i="17" s="1"/>
  <c r="O176" i="17" a="1"/>
  <c r="O176" i="17" s="1"/>
  <c r="P176" i="17" a="1"/>
  <c r="P176" i="17" s="1"/>
  <c r="Q176" i="17" a="1"/>
  <c r="Q176" i="17" s="1"/>
  <c r="R176" i="17" a="1"/>
  <c r="R176" i="17" s="1"/>
  <c r="U176" i="17" a="1"/>
  <c r="U176" i="17" s="1"/>
  <c r="V176" i="17" a="1"/>
  <c r="V176" i="17" s="1"/>
  <c r="W176" i="17" a="1"/>
  <c r="W176" i="17" s="1"/>
  <c r="X176" i="17" a="1"/>
  <c r="X176" i="17" s="1"/>
  <c r="K177" i="17" a="1"/>
  <c r="K177" i="17" s="1"/>
  <c r="L177" i="17" a="1"/>
  <c r="L177" i="17" s="1"/>
  <c r="M177" i="17" a="1"/>
  <c r="M177" i="17" s="1"/>
  <c r="N177" i="17" a="1"/>
  <c r="N177" i="17" s="1"/>
  <c r="O177" i="17" a="1"/>
  <c r="O177" i="17" s="1"/>
  <c r="P177" i="17" a="1"/>
  <c r="P177" i="17" s="1"/>
  <c r="Q177" i="17" a="1"/>
  <c r="Q177" i="17" s="1"/>
  <c r="R177" i="17" a="1"/>
  <c r="R177" i="17" s="1"/>
  <c r="U177" i="17" a="1"/>
  <c r="U177" i="17" s="1"/>
  <c r="V177" i="17" a="1"/>
  <c r="V177" i="17" s="1"/>
  <c r="W177" i="17" a="1"/>
  <c r="W177" i="17" s="1"/>
  <c r="X177" i="17" a="1"/>
  <c r="X177" i="17" s="1"/>
  <c r="K178" i="17" a="1"/>
  <c r="K178" i="17" s="1"/>
  <c r="L178" i="17" a="1"/>
  <c r="L178" i="17" s="1"/>
  <c r="M178" i="17" a="1"/>
  <c r="M178" i="17" s="1"/>
  <c r="N178" i="17" a="1"/>
  <c r="N178" i="17" s="1"/>
  <c r="O178" i="17" a="1"/>
  <c r="O178" i="17" s="1"/>
  <c r="P178" i="17" a="1"/>
  <c r="P178" i="17" s="1"/>
  <c r="Q178" i="17" a="1"/>
  <c r="Q178" i="17" s="1"/>
  <c r="R178" i="17" a="1"/>
  <c r="R178" i="17" s="1"/>
  <c r="U178" i="17" a="1"/>
  <c r="U178" i="17" s="1"/>
  <c r="V178" i="17" a="1"/>
  <c r="V178" i="17" s="1"/>
  <c r="W178" i="17" a="1"/>
  <c r="W178" i="17" s="1"/>
  <c r="X178" i="17" a="1"/>
  <c r="X178" i="17" s="1"/>
  <c r="K179" i="17" a="1"/>
  <c r="K179" i="17" s="1"/>
  <c r="L179" i="17" a="1"/>
  <c r="L179" i="17" s="1"/>
  <c r="M179" i="17" a="1"/>
  <c r="M179" i="17" s="1"/>
  <c r="N179" i="17" a="1"/>
  <c r="N179" i="17" s="1"/>
  <c r="O179" i="17" a="1"/>
  <c r="O179" i="17" s="1"/>
  <c r="P179" i="17" a="1"/>
  <c r="P179" i="17" s="1"/>
  <c r="Q179" i="17" a="1"/>
  <c r="Q179" i="17" s="1"/>
  <c r="R179" i="17" a="1"/>
  <c r="R179" i="17" s="1"/>
  <c r="U179" i="17" a="1"/>
  <c r="U179" i="17" s="1"/>
  <c r="V179" i="17" a="1"/>
  <c r="V179" i="17" s="1"/>
  <c r="W179" i="17" a="1"/>
  <c r="W179" i="17" s="1"/>
  <c r="X179" i="17" a="1"/>
  <c r="X179" i="17" s="1"/>
  <c r="K180" i="17" a="1"/>
  <c r="K180" i="17" s="1"/>
  <c r="L180" i="17" a="1"/>
  <c r="L180" i="17" s="1"/>
  <c r="M180" i="17" a="1"/>
  <c r="M180" i="17" s="1"/>
  <c r="N180" i="17" a="1"/>
  <c r="N180" i="17" s="1"/>
  <c r="O180" i="17" a="1"/>
  <c r="O180" i="17" s="1"/>
  <c r="P180" i="17" a="1"/>
  <c r="P180" i="17" s="1"/>
  <c r="Q180" i="17" a="1"/>
  <c r="Q180" i="17" s="1"/>
  <c r="R180" i="17" a="1"/>
  <c r="R180" i="17" s="1"/>
  <c r="U180" i="17" a="1"/>
  <c r="U180" i="17" s="1"/>
  <c r="V180" i="17" a="1"/>
  <c r="V180" i="17" s="1"/>
  <c r="W180" i="17" a="1"/>
  <c r="W180" i="17" s="1"/>
  <c r="X180" i="17" a="1"/>
  <c r="X180" i="17" s="1"/>
  <c r="K181" i="17" a="1"/>
  <c r="K181" i="17" s="1"/>
  <c r="L181" i="17" a="1"/>
  <c r="L181" i="17" s="1"/>
  <c r="M181" i="17" a="1"/>
  <c r="M181" i="17" s="1"/>
  <c r="N181" i="17" a="1"/>
  <c r="N181" i="17" s="1"/>
  <c r="O181" i="17" a="1"/>
  <c r="O181" i="17" s="1"/>
  <c r="P181" i="17" a="1"/>
  <c r="P181" i="17" s="1"/>
  <c r="Q181" i="17" a="1"/>
  <c r="Q181" i="17" s="1"/>
  <c r="R181" i="17" a="1"/>
  <c r="R181" i="17" s="1"/>
  <c r="U181" i="17" a="1"/>
  <c r="U181" i="17" s="1"/>
  <c r="V181" i="17" a="1"/>
  <c r="V181" i="17" s="1"/>
  <c r="W181" i="17" a="1"/>
  <c r="W181" i="17" s="1"/>
  <c r="X181" i="17" a="1"/>
  <c r="X181" i="17" s="1"/>
  <c r="K182" i="17" a="1"/>
  <c r="K182" i="17" s="1"/>
  <c r="L182" i="17" a="1"/>
  <c r="L182" i="17" s="1"/>
  <c r="M182" i="17" a="1"/>
  <c r="M182" i="17" s="1"/>
  <c r="N182" i="17" a="1"/>
  <c r="N182" i="17" s="1"/>
  <c r="O182" i="17" a="1"/>
  <c r="O182" i="17" s="1"/>
  <c r="P182" i="17" a="1"/>
  <c r="P182" i="17" s="1"/>
  <c r="Q182" i="17" a="1"/>
  <c r="Q182" i="17" s="1"/>
  <c r="R182" i="17" a="1"/>
  <c r="R182" i="17" s="1"/>
  <c r="U182" i="17" a="1"/>
  <c r="U182" i="17" s="1"/>
  <c r="V182" i="17" a="1"/>
  <c r="V182" i="17" s="1"/>
  <c r="W182" i="17" a="1"/>
  <c r="W182" i="17" s="1"/>
  <c r="X182" i="17" a="1"/>
  <c r="X182" i="17" s="1"/>
  <c r="K183" i="17" a="1"/>
  <c r="K183" i="17" s="1"/>
  <c r="L183" i="17" a="1"/>
  <c r="L183" i="17" s="1"/>
  <c r="M183" i="17" a="1"/>
  <c r="M183" i="17" s="1"/>
  <c r="N183" i="17" a="1"/>
  <c r="N183" i="17" s="1"/>
  <c r="O183" i="17" a="1"/>
  <c r="O183" i="17" s="1"/>
  <c r="P183" i="17" a="1"/>
  <c r="P183" i="17" s="1"/>
  <c r="Q183" i="17" a="1"/>
  <c r="Q183" i="17" s="1"/>
  <c r="R183" i="17" a="1"/>
  <c r="R183" i="17" s="1"/>
  <c r="U183" i="17" a="1"/>
  <c r="U183" i="17" s="1"/>
  <c r="V183" i="17" a="1"/>
  <c r="V183" i="17" s="1"/>
  <c r="W183" i="17" a="1"/>
  <c r="W183" i="17" s="1"/>
  <c r="X183" i="17" a="1"/>
  <c r="X183" i="17" s="1"/>
  <c r="K184" i="17" a="1"/>
  <c r="K184" i="17" s="1"/>
  <c r="L184" i="17" a="1"/>
  <c r="L184" i="17" s="1"/>
  <c r="M184" i="17" a="1"/>
  <c r="M184" i="17" s="1"/>
  <c r="N184" i="17" a="1"/>
  <c r="N184" i="17" s="1"/>
  <c r="O184" i="17" a="1"/>
  <c r="O184" i="17" s="1"/>
  <c r="P184" i="17" a="1"/>
  <c r="P184" i="17" s="1"/>
  <c r="Q184" i="17" a="1"/>
  <c r="Q184" i="17" s="1"/>
  <c r="R184" i="17" a="1"/>
  <c r="R184" i="17" s="1"/>
  <c r="U184" i="17" a="1"/>
  <c r="U184" i="17" s="1"/>
  <c r="V184" i="17" a="1"/>
  <c r="V184" i="17" s="1"/>
  <c r="W184" i="17" a="1"/>
  <c r="W184" i="17" s="1"/>
  <c r="X184" i="17" a="1"/>
  <c r="X184" i="17" s="1"/>
  <c r="K185" i="17" a="1"/>
  <c r="K185" i="17" s="1"/>
  <c r="L185" i="17" a="1"/>
  <c r="L185" i="17" s="1"/>
  <c r="M185" i="17" a="1"/>
  <c r="M185" i="17" s="1"/>
  <c r="N185" i="17" a="1"/>
  <c r="N185" i="17" s="1"/>
  <c r="O185" i="17" a="1"/>
  <c r="O185" i="17" s="1"/>
  <c r="P185" i="17" a="1"/>
  <c r="P185" i="17" s="1"/>
  <c r="Q185" i="17" a="1"/>
  <c r="Q185" i="17" s="1"/>
  <c r="R185" i="17" a="1"/>
  <c r="R185" i="17" s="1"/>
  <c r="U185" i="17" a="1"/>
  <c r="U185" i="17" s="1"/>
  <c r="V185" i="17" a="1"/>
  <c r="V185" i="17" s="1"/>
  <c r="W185" i="17" a="1"/>
  <c r="W185" i="17" s="1"/>
  <c r="X185" i="17" a="1"/>
  <c r="X185" i="17" s="1"/>
  <c r="K186" i="17" a="1"/>
  <c r="K186" i="17" s="1"/>
  <c r="L186" i="17" a="1"/>
  <c r="L186" i="17" s="1"/>
  <c r="M186" i="17" a="1"/>
  <c r="M186" i="17" s="1"/>
  <c r="N186" i="17" a="1"/>
  <c r="N186" i="17" s="1"/>
  <c r="O186" i="17" a="1"/>
  <c r="O186" i="17" s="1"/>
  <c r="P186" i="17" a="1"/>
  <c r="P186" i="17" s="1"/>
  <c r="Q186" i="17" a="1"/>
  <c r="Q186" i="17" s="1"/>
  <c r="R186" i="17" a="1"/>
  <c r="R186" i="17" s="1"/>
  <c r="U186" i="17" a="1"/>
  <c r="U186" i="17" s="1"/>
  <c r="V186" i="17" a="1"/>
  <c r="V186" i="17" s="1"/>
  <c r="W186" i="17" a="1"/>
  <c r="W186" i="17" s="1"/>
  <c r="X186" i="17" a="1"/>
  <c r="X186" i="17" s="1"/>
  <c r="K187" i="17" a="1"/>
  <c r="K187" i="17" s="1"/>
  <c r="L187" i="17" a="1"/>
  <c r="L187" i="17" s="1"/>
  <c r="M187" i="17" a="1"/>
  <c r="M187" i="17" s="1"/>
  <c r="N187" i="17" a="1"/>
  <c r="N187" i="17" s="1"/>
  <c r="O187" i="17" a="1"/>
  <c r="O187" i="17" s="1"/>
  <c r="P187" i="17" a="1"/>
  <c r="P187" i="17" s="1"/>
  <c r="Q187" i="17" a="1"/>
  <c r="Q187" i="17" s="1"/>
  <c r="R187" i="17" a="1"/>
  <c r="R187" i="17" s="1"/>
  <c r="U187" i="17" a="1"/>
  <c r="U187" i="17" s="1"/>
  <c r="V187" i="17" a="1"/>
  <c r="V187" i="17" s="1"/>
  <c r="W187" i="17" a="1"/>
  <c r="W187" i="17" s="1"/>
  <c r="X187" i="17" a="1"/>
  <c r="X187" i="17" s="1"/>
  <c r="K188" i="17" a="1"/>
  <c r="K188" i="17" s="1"/>
  <c r="L188" i="17" a="1"/>
  <c r="L188" i="17" s="1"/>
  <c r="M188" i="17" a="1"/>
  <c r="M188" i="17" s="1"/>
  <c r="N188" i="17" a="1"/>
  <c r="N188" i="17" s="1"/>
  <c r="O188" i="17" a="1"/>
  <c r="O188" i="17" s="1"/>
  <c r="P188" i="17" a="1"/>
  <c r="P188" i="17" s="1"/>
  <c r="Q188" i="17" a="1"/>
  <c r="Q188" i="17" s="1"/>
  <c r="R188" i="17" a="1"/>
  <c r="R188" i="17" s="1"/>
  <c r="U188" i="17" a="1"/>
  <c r="U188" i="17" s="1"/>
  <c r="V188" i="17" a="1"/>
  <c r="V188" i="17" s="1"/>
  <c r="W188" i="17" a="1"/>
  <c r="W188" i="17" s="1"/>
  <c r="X188" i="17" a="1"/>
  <c r="X188" i="17" s="1"/>
  <c r="K189" i="17" a="1"/>
  <c r="K189" i="17" s="1"/>
  <c r="L189" i="17" a="1"/>
  <c r="L189" i="17" s="1"/>
  <c r="M189" i="17" a="1"/>
  <c r="M189" i="17" s="1"/>
  <c r="N189" i="17" a="1"/>
  <c r="N189" i="17" s="1"/>
  <c r="O189" i="17" a="1"/>
  <c r="O189" i="17" s="1"/>
  <c r="P189" i="17" a="1"/>
  <c r="P189" i="17" s="1"/>
  <c r="Q189" i="17" a="1"/>
  <c r="Q189" i="17" s="1"/>
  <c r="R189" i="17" a="1"/>
  <c r="R189" i="17" s="1"/>
  <c r="U189" i="17" a="1"/>
  <c r="U189" i="17" s="1"/>
  <c r="V189" i="17" a="1"/>
  <c r="V189" i="17" s="1"/>
  <c r="W189" i="17" a="1"/>
  <c r="W189" i="17" s="1"/>
  <c r="X189" i="17" a="1"/>
  <c r="X189" i="17" s="1"/>
  <c r="K190" i="17" a="1"/>
  <c r="K190" i="17" s="1"/>
  <c r="L190" i="17" a="1"/>
  <c r="L190" i="17" s="1"/>
  <c r="M190" i="17" a="1"/>
  <c r="M190" i="17" s="1"/>
  <c r="N190" i="17" a="1"/>
  <c r="N190" i="17" s="1"/>
  <c r="O190" i="17" a="1"/>
  <c r="O190" i="17" s="1"/>
  <c r="P190" i="17" a="1"/>
  <c r="P190" i="17" s="1"/>
  <c r="Q190" i="17" a="1"/>
  <c r="Q190" i="17" s="1"/>
  <c r="R190" i="17" a="1"/>
  <c r="R190" i="17" s="1"/>
  <c r="U190" i="17" a="1"/>
  <c r="U190" i="17" s="1"/>
  <c r="V190" i="17" a="1"/>
  <c r="V190" i="17" s="1"/>
  <c r="W190" i="17" a="1"/>
  <c r="W190" i="17" s="1"/>
  <c r="X190" i="17" a="1"/>
  <c r="X190" i="17" s="1"/>
  <c r="K191" i="17" a="1"/>
  <c r="K191" i="17" s="1"/>
  <c r="L191" i="17" a="1"/>
  <c r="L191" i="17" s="1"/>
  <c r="M191" i="17" a="1"/>
  <c r="M191" i="17" s="1"/>
  <c r="N191" i="17" a="1"/>
  <c r="N191" i="17" s="1"/>
  <c r="O191" i="17" a="1"/>
  <c r="O191" i="17" s="1"/>
  <c r="P191" i="17" a="1"/>
  <c r="P191" i="17" s="1"/>
  <c r="Q191" i="17" a="1"/>
  <c r="Q191" i="17" s="1"/>
  <c r="R191" i="17" a="1"/>
  <c r="R191" i="17" s="1"/>
  <c r="U191" i="17" a="1"/>
  <c r="U191" i="17" s="1"/>
  <c r="V191" i="17" a="1"/>
  <c r="V191" i="17" s="1"/>
  <c r="W191" i="17" a="1"/>
  <c r="W191" i="17" s="1"/>
  <c r="X191" i="17" a="1"/>
  <c r="X191" i="17" s="1"/>
  <c r="K192" i="17" a="1"/>
  <c r="K192" i="17" s="1"/>
  <c r="L192" i="17" a="1"/>
  <c r="L192" i="17" s="1"/>
  <c r="M192" i="17" a="1"/>
  <c r="M192" i="17" s="1"/>
  <c r="N192" i="17" a="1"/>
  <c r="N192" i="17" s="1"/>
  <c r="O192" i="17" a="1"/>
  <c r="O192" i="17" s="1"/>
  <c r="P192" i="17" a="1"/>
  <c r="P192" i="17" s="1"/>
  <c r="Q192" i="17" a="1"/>
  <c r="Q192" i="17" s="1"/>
  <c r="R192" i="17" a="1"/>
  <c r="R192" i="17" s="1"/>
  <c r="U192" i="17" a="1"/>
  <c r="U192" i="17" s="1"/>
  <c r="V192" i="17" a="1"/>
  <c r="V192" i="17" s="1"/>
  <c r="W192" i="17" a="1"/>
  <c r="W192" i="17" s="1"/>
  <c r="X192" i="17" a="1"/>
  <c r="X192" i="17" s="1"/>
  <c r="K193" i="17" a="1"/>
  <c r="K193" i="17" s="1"/>
  <c r="L193" i="17" a="1"/>
  <c r="L193" i="17" s="1"/>
  <c r="M193" i="17" a="1"/>
  <c r="M193" i="17" s="1"/>
  <c r="N193" i="17" a="1"/>
  <c r="N193" i="17" s="1"/>
  <c r="O193" i="17" a="1"/>
  <c r="O193" i="17" s="1"/>
  <c r="P193" i="17" a="1"/>
  <c r="P193" i="17" s="1"/>
  <c r="Q193" i="17" a="1"/>
  <c r="Q193" i="17" s="1"/>
  <c r="R193" i="17" a="1"/>
  <c r="R193" i="17" s="1"/>
  <c r="U193" i="17" a="1"/>
  <c r="U193" i="17" s="1"/>
  <c r="V193" i="17" a="1"/>
  <c r="V193" i="17" s="1"/>
  <c r="W193" i="17" a="1"/>
  <c r="W193" i="17" s="1"/>
  <c r="X193" i="17" a="1"/>
  <c r="X193" i="17" s="1"/>
  <c r="K194" i="17" a="1"/>
  <c r="K194" i="17" s="1"/>
  <c r="L194" i="17" a="1"/>
  <c r="L194" i="17" s="1"/>
  <c r="M194" i="17" a="1"/>
  <c r="M194" i="17" s="1"/>
  <c r="N194" i="17" a="1"/>
  <c r="N194" i="17" s="1"/>
  <c r="O194" i="17" a="1"/>
  <c r="O194" i="17" s="1"/>
  <c r="P194" i="17" a="1"/>
  <c r="P194" i="17" s="1"/>
  <c r="Q194" i="17" a="1"/>
  <c r="Q194" i="17" s="1"/>
  <c r="R194" i="17" a="1"/>
  <c r="R194" i="17" s="1"/>
  <c r="U194" i="17" a="1"/>
  <c r="U194" i="17" s="1"/>
  <c r="V194" i="17" a="1"/>
  <c r="V194" i="17" s="1"/>
  <c r="W194" i="17" a="1"/>
  <c r="W194" i="17" s="1"/>
  <c r="X194" i="17" a="1"/>
  <c r="X194" i="17" s="1"/>
  <c r="K195" i="17" a="1"/>
  <c r="K195" i="17" s="1"/>
  <c r="L195" i="17" a="1"/>
  <c r="L195" i="17" s="1"/>
  <c r="M195" i="17" a="1"/>
  <c r="M195" i="17" s="1"/>
  <c r="N195" i="17" a="1"/>
  <c r="N195" i="17" s="1"/>
  <c r="O195" i="17" a="1"/>
  <c r="O195" i="17" s="1"/>
  <c r="P195" i="17" a="1"/>
  <c r="P195" i="17" s="1"/>
  <c r="Q195" i="17" a="1"/>
  <c r="Q195" i="17" s="1"/>
  <c r="R195" i="17" a="1"/>
  <c r="R195" i="17" s="1"/>
  <c r="U195" i="17" a="1"/>
  <c r="U195" i="17" s="1"/>
  <c r="V195" i="17" a="1"/>
  <c r="V195" i="17" s="1"/>
  <c r="W195" i="17" a="1"/>
  <c r="W195" i="17" s="1"/>
  <c r="X195" i="17" a="1"/>
  <c r="X195" i="17" s="1"/>
  <c r="K196" i="17" a="1"/>
  <c r="K196" i="17" s="1"/>
  <c r="L196" i="17" a="1"/>
  <c r="L196" i="17" s="1"/>
  <c r="M196" i="17" a="1"/>
  <c r="M196" i="17" s="1"/>
  <c r="N196" i="17" a="1"/>
  <c r="N196" i="17" s="1"/>
  <c r="O196" i="17" a="1"/>
  <c r="O196" i="17" s="1"/>
  <c r="P196" i="17" a="1"/>
  <c r="P196" i="17" s="1"/>
  <c r="Q196" i="17" a="1"/>
  <c r="Q196" i="17" s="1"/>
  <c r="R196" i="17" a="1"/>
  <c r="R196" i="17" s="1"/>
  <c r="U196" i="17" a="1"/>
  <c r="U196" i="17" s="1"/>
  <c r="V196" i="17" a="1"/>
  <c r="V196" i="17" s="1"/>
  <c r="W196" i="17" a="1"/>
  <c r="W196" i="17" s="1"/>
  <c r="X196" i="17" a="1"/>
  <c r="X196" i="17" s="1"/>
  <c r="K197" i="17" a="1"/>
  <c r="K197" i="17" s="1"/>
  <c r="L197" i="17" a="1"/>
  <c r="L197" i="17" s="1"/>
  <c r="M197" i="17" a="1"/>
  <c r="M197" i="17" s="1"/>
  <c r="N197" i="17" a="1"/>
  <c r="N197" i="17" s="1"/>
  <c r="O197" i="17" a="1"/>
  <c r="O197" i="17" s="1"/>
  <c r="P197" i="17" a="1"/>
  <c r="P197" i="17" s="1"/>
  <c r="Q197" i="17" a="1"/>
  <c r="Q197" i="17" s="1"/>
  <c r="R197" i="17" a="1"/>
  <c r="R197" i="17" s="1"/>
  <c r="U197" i="17" a="1"/>
  <c r="U197" i="17" s="1"/>
  <c r="V197" i="17" a="1"/>
  <c r="V197" i="17" s="1"/>
  <c r="W197" i="17" a="1"/>
  <c r="W197" i="17" s="1"/>
  <c r="X197" i="17" a="1"/>
  <c r="X197" i="17" s="1"/>
  <c r="K198" i="17" a="1"/>
  <c r="K198" i="17" s="1"/>
  <c r="L198" i="17" a="1"/>
  <c r="L198" i="17" s="1"/>
  <c r="M198" i="17" a="1"/>
  <c r="M198" i="17" s="1"/>
  <c r="N198" i="17" a="1"/>
  <c r="N198" i="17" s="1"/>
  <c r="O198" i="17" a="1"/>
  <c r="O198" i="17" s="1"/>
  <c r="P198" i="17" a="1"/>
  <c r="P198" i="17" s="1"/>
  <c r="Q198" i="17" a="1"/>
  <c r="Q198" i="17" s="1"/>
  <c r="R198" i="17" a="1"/>
  <c r="R198" i="17" s="1"/>
  <c r="U198" i="17" a="1"/>
  <c r="U198" i="17" s="1"/>
  <c r="V198" i="17" a="1"/>
  <c r="V198" i="17" s="1"/>
  <c r="W198" i="17" a="1"/>
  <c r="W198" i="17" s="1"/>
  <c r="X198" i="17" a="1"/>
  <c r="X198" i="17" s="1"/>
  <c r="K199" i="17" a="1"/>
  <c r="K199" i="17" s="1"/>
  <c r="L199" i="17" a="1"/>
  <c r="L199" i="17" s="1"/>
  <c r="M199" i="17" a="1"/>
  <c r="M199" i="17" s="1"/>
  <c r="N199" i="17" a="1"/>
  <c r="N199" i="17" s="1"/>
  <c r="O199" i="17" a="1"/>
  <c r="O199" i="17" s="1"/>
  <c r="P199" i="17" a="1"/>
  <c r="P199" i="17" s="1"/>
  <c r="Q199" i="17" a="1"/>
  <c r="Q199" i="17" s="1"/>
  <c r="R199" i="17" a="1"/>
  <c r="R199" i="17" s="1"/>
  <c r="U199" i="17" a="1"/>
  <c r="U199" i="17" s="1"/>
  <c r="V199" i="17" a="1"/>
  <c r="V199" i="17" s="1"/>
  <c r="W199" i="17" a="1"/>
  <c r="W199" i="17" s="1"/>
  <c r="X199" i="17" a="1"/>
  <c r="X199" i="17" s="1"/>
  <c r="K200" i="17" a="1"/>
  <c r="K200" i="17" s="1"/>
  <c r="L200" i="17" a="1"/>
  <c r="L200" i="17" s="1"/>
  <c r="M200" i="17" a="1"/>
  <c r="M200" i="17" s="1"/>
  <c r="N200" i="17" a="1"/>
  <c r="N200" i="17" s="1"/>
  <c r="O200" i="17" a="1"/>
  <c r="O200" i="17" s="1"/>
  <c r="P200" i="17" a="1"/>
  <c r="P200" i="17" s="1"/>
  <c r="Q200" i="17" a="1"/>
  <c r="Q200" i="17" s="1"/>
  <c r="R200" i="17" a="1"/>
  <c r="R200" i="17" s="1"/>
  <c r="U200" i="17" a="1"/>
  <c r="U200" i="17" s="1"/>
  <c r="V200" i="17" a="1"/>
  <c r="V200" i="17" s="1"/>
  <c r="W200" i="17" a="1"/>
  <c r="W200" i="17" s="1"/>
  <c r="X200" i="17" a="1"/>
  <c r="X200" i="17" s="1"/>
  <c r="K201" i="17" a="1"/>
  <c r="K201" i="17" s="1"/>
  <c r="L201" i="17" a="1"/>
  <c r="L201" i="17" s="1"/>
  <c r="M201" i="17" a="1"/>
  <c r="M201" i="17" s="1"/>
  <c r="N201" i="17" a="1"/>
  <c r="N201" i="17" s="1"/>
  <c r="O201" i="17" a="1"/>
  <c r="O201" i="17" s="1"/>
  <c r="P201" i="17" a="1"/>
  <c r="P201" i="17" s="1"/>
  <c r="Q201" i="17" a="1"/>
  <c r="Q201" i="17" s="1"/>
  <c r="R201" i="17" a="1"/>
  <c r="R201" i="17" s="1"/>
  <c r="U201" i="17" a="1"/>
  <c r="U201" i="17" s="1"/>
  <c r="V201" i="17" a="1"/>
  <c r="V201" i="17" s="1"/>
  <c r="W201" i="17" a="1"/>
  <c r="W201" i="17" s="1"/>
  <c r="X201" i="17" a="1"/>
  <c r="X201" i="17" s="1"/>
  <c r="K202" i="17" a="1"/>
  <c r="K202" i="17" s="1"/>
  <c r="L202" i="17" a="1"/>
  <c r="L202" i="17" s="1"/>
  <c r="M202" i="17" a="1"/>
  <c r="M202" i="17" s="1"/>
  <c r="N202" i="17" a="1"/>
  <c r="N202" i="17" s="1"/>
  <c r="O202" i="17" a="1"/>
  <c r="O202" i="17" s="1"/>
  <c r="P202" i="17" a="1"/>
  <c r="P202" i="17" s="1"/>
  <c r="Q202" i="17" a="1"/>
  <c r="Q202" i="17" s="1"/>
  <c r="R202" i="17" a="1"/>
  <c r="R202" i="17" s="1"/>
  <c r="U202" i="17" a="1"/>
  <c r="U202" i="17" s="1"/>
  <c r="V202" i="17" a="1"/>
  <c r="V202" i="17" s="1"/>
  <c r="W202" i="17" a="1"/>
  <c r="W202" i="17" s="1"/>
  <c r="X202" i="17" a="1"/>
  <c r="X202" i="17" s="1"/>
  <c r="K203" i="17" a="1"/>
  <c r="K203" i="17" s="1"/>
  <c r="L203" i="17" a="1"/>
  <c r="L203" i="17" s="1"/>
  <c r="M203" i="17" a="1"/>
  <c r="M203" i="17" s="1"/>
  <c r="N203" i="17" a="1"/>
  <c r="N203" i="17" s="1"/>
  <c r="O203" i="17" a="1"/>
  <c r="O203" i="17" s="1"/>
  <c r="P203" i="17" a="1"/>
  <c r="P203" i="17" s="1"/>
  <c r="Q203" i="17" a="1"/>
  <c r="Q203" i="17" s="1"/>
  <c r="R203" i="17" a="1"/>
  <c r="R203" i="17" s="1"/>
  <c r="U203" i="17" a="1"/>
  <c r="U203" i="17" s="1"/>
  <c r="V203" i="17" a="1"/>
  <c r="V203" i="17" s="1"/>
  <c r="W203" i="17" a="1"/>
  <c r="W203" i="17" s="1"/>
  <c r="X203" i="17" a="1"/>
  <c r="X203" i="17" s="1"/>
  <c r="K204" i="17" a="1"/>
  <c r="K204" i="17" s="1"/>
  <c r="L204" i="17" a="1"/>
  <c r="L204" i="17" s="1"/>
  <c r="M204" i="17" a="1"/>
  <c r="M204" i="17" s="1"/>
  <c r="N204" i="17" a="1"/>
  <c r="N204" i="17" s="1"/>
  <c r="O204" i="17" a="1"/>
  <c r="O204" i="17" s="1"/>
  <c r="P204" i="17" a="1"/>
  <c r="P204" i="17" s="1"/>
  <c r="Q204" i="17" a="1"/>
  <c r="Q204" i="17" s="1"/>
  <c r="R204" i="17" a="1"/>
  <c r="R204" i="17" s="1"/>
  <c r="U204" i="17" a="1"/>
  <c r="U204" i="17" s="1"/>
  <c r="V204" i="17" a="1"/>
  <c r="V204" i="17" s="1"/>
  <c r="W204" i="17" a="1"/>
  <c r="W204" i="17" s="1"/>
  <c r="X204" i="17" a="1"/>
  <c r="X204" i="17" s="1"/>
  <c r="K205" i="17" a="1"/>
  <c r="K205" i="17" s="1"/>
  <c r="L205" i="17" a="1"/>
  <c r="L205" i="17" s="1"/>
  <c r="M205" i="17" a="1"/>
  <c r="M205" i="17" s="1"/>
  <c r="N205" i="17" a="1"/>
  <c r="N205" i="17" s="1"/>
  <c r="O205" i="17" a="1"/>
  <c r="O205" i="17" s="1"/>
  <c r="P205" i="17" a="1"/>
  <c r="P205" i="17" s="1"/>
  <c r="Q205" i="17" a="1"/>
  <c r="Q205" i="17" s="1"/>
  <c r="R205" i="17" a="1"/>
  <c r="R205" i="17" s="1"/>
  <c r="U205" i="17" a="1"/>
  <c r="U205" i="17" s="1"/>
  <c r="V205" i="17" a="1"/>
  <c r="V205" i="17" s="1"/>
  <c r="W205" i="17" a="1"/>
  <c r="W205" i="17" s="1"/>
  <c r="X205" i="17" a="1"/>
  <c r="X205" i="17" s="1"/>
  <c r="K206" i="17" a="1"/>
  <c r="K206" i="17" s="1"/>
  <c r="L206" i="17" a="1"/>
  <c r="L206" i="17" s="1"/>
  <c r="M206" i="17" a="1"/>
  <c r="M206" i="17" s="1"/>
  <c r="N206" i="17" a="1"/>
  <c r="N206" i="17" s="1"/>
  <c r="O206" i="17" a="1"/>
  <c r="O206" i="17" s="1"/>
  <c r="P206" i="17" a="1"/>
  <c r="P206" i="17" s="1"/>
  <c r="Q206" i="17" a="1"/>
  <c r="Q206" i="17" s="1"/>
  <c r="R206" i="17" a="1"/>
  <c r="R206" i="17" s="1"/>
  <c r="U206" i="17" a="1"/>
  <c r="U206" i="17" s="1"/>
  <c r="V206" i="17" a="1"/>
  <c r="V206" i="17" s="1"/>
  <c r="W206" i="17" a="1"/>
  <c r="W206" i="17" s="1"/>
  <c r="X206" i="17" a="1"/>
  <c r="X206" i="17" s="1"/>
  <c r="K207" i="17" a="1"/>
  <c r="K207" i="17" s="1"/>
  <c r="L207" i="17" a="1"/>
  <c r="L207" i="17" s="1"/>
  <c r="M207" i="17" a="1"/>
  <c r="M207" i="17" s="1"/>
  <c r="N207" i="17" a="1"/>
  <c r="N207" i="17" s="1"/>
  <c r="O207" i="17" a="1"/>
  <c r="O207" i="17" s="1"/>
  <c r="P207" i="17" a="1"/>
  <c r="P207" i="17" s="1"/>
  <c r="Q207" i="17" a="1"/>
  <c r="Q207" i="17" s="1"/>
  <c r="R207" i="17" a="1"/>
  <c r="R207" i="17" s="1"/>
  <c r="U207" i="17" a="1"/>
  <c r="U207" i="17" s="1"/>
  <c r="V207" i="17" a="1"/>
  <c r="V207" i="17" s="1"/>
  <c r="W207" i="17" a="1"/>
  <c r="W207" i="17" s="1"/>
  <c r="X207" i="17" a="1"/>
  <c r="X207" i="17" s="1"/>
  <c r="K208" i="17" a="1"/>
  <c r="K208" i="17" s="1"/>
  <c r="L208" i="17" a="1"/>
  <c r="L208" i="17" s="1"/>
  <c r="M208" i="17" a="1"/>
  <c r="M208" i="17" s="1"/>
  <c r="N208" i="17" a="1"/>
  <c r="N208" i="17" s="1"/>
  <c r="O208" i="17" a="1"/>
  <c r="O208" i="17" s="1"/>
  <c r="P208" i="17" a="1"/>
  <c r="P208" i="17" s="1"/>
  <c r="Q208" i="17" a="1"/>
  <c r="Q208" i="17" s="1"/>
  <c r="R208" i="17" a="1"/>
  <c r="R208" i="17" s="1"/>
  <c r="U208" i="17" a="1"/>
  <c r="U208" i="17" s="1"/>
  <c r="V208" i="17" a="1"/>
  <c r="V208" i="17" s="1"/>
  <c r="W208" i="17" a="1"/>
  <c r="W208" i="17" s="1"/>
  <c r="X208" i="17" a="1"/>
  <c r="X208" i="17" s="1"/>
  <c r="K209" i="17" a="1"/>
  <c r="K209" i="17" s="1"/>
  <c r="L209" i="17" a="1"/>
  <c r="L209" i="17" s="1"/>
  <c r="M209" i="17" a="1"/>
  <c r="M209" i="17" s="1"/>
  <c r="N209" i="17" a="1"/>
  <c r="N209" i="17" s="1"/>
  <c r="O209" i="17" a="1"/>
  <c r="O209" i="17" s="1"/>
  <c r="P209" i="17" a="1"/>
  <c r="P209" i="17" s="1"/>
  <c r="Q209" i="17" a="1"/>
  <c r="Q209" i="17" s="1"/>
  <c r="R209" i="17" a="1"/>
  <c r="R209" i="17" s="1"/>
  <c r="U209" i="17" a="1"/>
  <c r="U209" i="17" s="1"/>
  <c r="V209" i="17" a="1"/>
  <c r="V209" i="17" s="1"/>
  <c r="W209" i="17" a="1"/>
  <c r="W209" i="17" s="1"/>
  <c r="X209" i="17" a="1"/>
  <c r="X209" i="17" s="1"/>
  <c r="K210" i="17" a="1"/>
  <c r="K210" i="17" s="1"/>
  <c r="L210" i="17" a="1"/>
  <c r="L210" i="17" s="1"/>
  <c r="M210" i="17" a="1"/>
  <c r="M210" i="17" s="1"/>
  <c r="N210" i="17" a="1"/>
  <c r="N210" i="17" s="1"/>
  <c r="O210" i="17" a="1"/>
  <c r="O210" i="17" s="1"/>
  <c r="P210" i="17" a="1"/>
  <c r="P210" i="17" s="1"/>
  <c r="Q210" i="17" a="1"/>
  <c r="Q210" i="17" s="1"/>
  <c r="R210" i="17" a="1"/>
  <c r="R210" i="17" s="1"/>
  <c r="U210" i="17" a="1"/>
  <c r="U210" i="17" s="1"/>
  <c r="V210" i="17" a="1"/>
  <c r="V210" i="17" s="1"/>
  <c r="W210" i="17" a="1"/>
  <c r="W210" i="17" s="1"/>
  <c r="X210" i="17" a="1"/>
  <c r="X210" i="17" s="1"/>
  <c r="K211" i="17" a="1"/>
  <c r="K211" i="17" s="1"/>
  <c r="L211" i="17" a="1"/>
  <c r="L211" i="17" s="1"/>
  <c r="M211" i="17" a="1"/>
  <c r="M211" i="17" s="1"/>
  <c r="N211" i="17" a="1"/>
  <c r="N211" i="17" s="1"/>
  <c r="O211" i="17" a="1"/>
  <c r="O211" i="17" s="1"/>
  <c r="P211" i="17" a="1"/>
  <c r="P211" i="17" s="1"/>
  <c r="Q211" i="17" a="1"/>
  <c r="Q211" i="17" s="1"/>
  <c r="R211" i="17" a="1"/>
  <c r="R211" i="17" s="1"/>
  <c r="U211" i="17" a="1"/>
  <c r="U211" i="17" s="1"/>
  <c r="V211" i="17" a="1"/>
  <c r="V211" i="17" s="1"/>
  <c r="W211" i="17" a="1"/>
  <c r="W211" i="17" s="1"/>
  <c r="X211" i="17" a="1"/>
  <c r="X211" i="17" s="1"/>
  <c r="K212" i="17" a="1"/>
  <c r="K212" i="17" s="1"/>
  <c r="L212" i="17" a="1"/>
  <c r="L212" i="17" s="1"/>
  <c r="M212" i="17" a="1"/>
  <c r="M212" i="17" s="1"/>
  <c r="N212" i="17" a="1"/>
  <c r="N212" i="17" s="1"/>
  <c r="O212" i="17" a="1"/>
  <c r="O212" i="17" s="1"/>
  <c r="P212" i="17" a="1"/>
  <c r="P212" i="17" s="1"/>
  <c r="Q212" i="17" a="1"/>
  <c r="Q212" i="17" s="1"/>
  <c r="R212" i="17" a="1"/>
  <c r="R212" i="17" s="1"/>
  <c r="U212" i="17" a="1"/>
  <c r="U212" i="17" s="1"/>
  <c r="V212" i="17" a="1"/>
  <c r="V212" i="17" s="1"/>
  <c r="W212" i="17" a="1"/>
  <c r="W212" i="17" s="1"/>
  <c r="X212" i="17" a="1"/>
  <c r="X212" i="17" s="1"/>
  <c r="K213" i="17" a="1"/>
  <c r="K213" i="17" s="1"/>
  <c r="L213" i="17" a="1"/>
  <c r="L213" i="17" s="1"/>
  <c r="M213" i="17" a="1"/>
  <c r="M213" i="17" s="1"/>
  <c r="N213" i="17" a="1"/>
  <c r="N213" i="17" s="1"/>
  <c r="O213" i="17" a="1"/>
  <c r="O213" i="17" s="1"/>
  <c r="P213" i="17" a="1"/>
  <c r="P213" i="17" s="1"/>
  <c r="Q213" i="17" a="1"/>
  <c r="Q213" i="17" s="1"/>
  <c r="R213" i="17" a="1"/>
  <c r="R213" i="17" s="1"/>
  <c r="U213" i="17" a="1"/>
  <c r="U213" i="17" s="1"/>
  <c r="V213" i="17" a="1"/>
  <c r="V213" i="17" s="1"/>
  <c r="W213" i="17" a="1"/>
  <c r="W213" i="17" s="1"/>
  <c r="X213" i="17" a="1"/>
  <c r="X213" i="17" s="1"/>
  <c r="K214" i="17" a="1"/>
  <c r="K214" i="17" s="1"/>
  <c r="L214" i="17" a="1"/>
  <c r="L214" i="17" s="1"/>
  <c r="M214" i="17" a="1"/>
  <c r="M214" i="17" s="1"/>
  <c r="N214" i="17" a="1"/>
  <c r="N214" i="17" s="1"/>
  <c r="O214" i="17" a="1"/>
  <c r="O214" i="17" s="1"/>
  <c r="P214" i="17" a="1"/>
  <c r="P214" i="17" s="1"/>
  <c r="Q214" i="17" a="1"/>
  <c r="Q214" i="17" s="1"/>
  <c r="R214" i="17" a="1"/>
  <c r="R214" i="17" s="1"/>
  <c r="U214" i="17" a="1"/>
  <c r="U214" i="17" s="1"/>
  <c r="V214" i="17" a="1"/>
  <c r="V214" i="17" s="1"/>
  <c r="W214" i="17" a="1"/>
  <c r="W214" i="17" s="1"/>
  <c r="X214" i="17" a="1"/>
  <c r="X214" i="17" s="1"/>
  <c r="K215" i="17" a="1"/>
  <c r="K215" i="17" s="1"/>
  <c r="L215" i="17" a="1"/>
  <c r="L215" i="17" s="1"/>
  <c r="M215" i="17" a="1"/>
  <c r="M215" i="17" s="1"/>
  <c r="N215" i="17" a="1"/>
  <c r="N215" i="17" s="1"/>
  <c r="O215" i="17" a="1"/>
  <c r="O215" i="17" s="1"/>
  <c r="P215" i="17" a="1"/>
  <c r="P215" i="17" s="1"/>
  <c r="Q215" i="17" a="1"/>
  <c r="Q215" i="17" s="1"/>
  <c r="R215" i="17" a="1"/>
  <c r="R215" i="17" s="1"/>
  <c r="U215" i="17" a="1"/>
  <c r="U215" i="17" s="1"/>
  <c r="V215" i="17" a="1"/>
  <c r="V215" i="17" s="1"/>
  <c r="W215" i="17" a="1"/>
  <c r="W215" i="17" s="1"/>
  <c r="X215" i="17" a="1"/>
  <c r="X215" i="17" s="1"/>
  <c r="K216" i="17" a="1"/>
  <c r="K216" i="17" s="1"/>
  <c r="L216" i="17" a="1"/>
  <c r="L216" i="17" s="1"/>
  <c r="M216" i="17" a="1"/>
  <c r="M216" i="17" s="1"/>
  <c r="N216" i="17" a="1"/>
  <c r="N216" i="17" s="1"/>
  <c r="O216" i="17" a="1"/>
  <c r="O216" i="17" s="1"/>
  <c r="P216" i="17" a="1"/>
  <c r="P216" i="17" s="1"/>
  <c r="Q216" i="17" a="1"/>
  <c r="Q216" i="17" s="1"/>
  <c r="R216" i="17" a="1"/>
  <c r="R216" i="17" s="1"/>
  <c r="U216" i="17" a="1"/>
  <c r="U216" i="17" s="1"/>
  <c r="V216" i="17" a="1"/>
  <c r="V216" i="17" s="1"/>
  <c r="W216" i="17" a="1"/>
  <c r="W216" i="17" s="1"/>
  <c r="X216" i="17" a="1"/>
  <c r="X216" i="17" s="1"/>
  <c r="K217" i="17" a="1"/>
  <c r="K217" i="17" s="1"/>
  <c r="L217" i="17" a="1"/>
  <c r="L217" i="17" s="1"/>
  <c r="M217" i="17" a="1"/>
  <c r="M217" i="17" s="1"/>
  <c r="N217" i="17" a="1"/>
  <c r="N217" i="17" s="1"/>
  <c r="O217" i="17" a="1"/>
  <c r="O217" i="17" s="1"/>
  <c r="P217" i="17" a="1"/>
  <c r="P217" i="17" s="1"/>
  <c r="Q217" i="17" a="1"/>
  <c r="Q217" i="17" s="1"/>
  <c r="R217" i="17" a="1"/>
  <c r="R217" i="17" s="1"/>
  <c r="U217" i="17" a="1"/>
  <c r="U217" i="17" s="1"/>
  <c r="V217" i="17" a="1"/>
  <c r="V217" i="17" s="1"/>
  <c r="W217" i="17" a="1"/>
  <c r="W217" i="17" s="1"/>
  <c r="X217" i="17" a="1"/>
  <c r="X217" i="17" s="1"/>
  <c r="K218" i="17" a="1"/>
  <c r="K218" i="17" s="1"/>
  <c r="L218" i="17" a="1"/>
  <c r="L218" i="17" s="1"/>
  <c r="M218" i="17" a="1"/>
  <c r="M218" i="17" s="1"/>
  <c r="N218" i="17" a="1"/>
  <c r="N218" i="17" s="1"/>
  <c r="O218" i="17" a="1"/>
  <c r="O218" i="17" s="1"/>
  <c r="P218" i="17" a="1"/>
  <c r="P218" i="17" s="1"/>
  <c r="Q218" i="17" a="1"/>
  <c r="Q218" i="17" s="1"/>
  <c r="R218" i="17" a="1"/>
  <c r="R218" i="17" s="1"/>
  <c r="U218" i="17" a="1"/>
  <c r="U218" i="17" s="1"/>
  <c r="V218" i="17" a="1"/>
  <c r="V218" i="17" s="1"/>
  <c r="W218" i="17" a="1"/>
  <c r="W218" i="17" s="1"/>
  <c r="X218" i="17" a="1"/>
  <c r="X218" i="17" s="1"/>
  <c r="K219" i="17" a="1"/>
  <c r="K219" i="17" s="1"/>
  <c r="L219" i="17" a="1"/>
  <c r="L219" i="17" s="1"/>
  <c r="M219" i="17" a="1"/>
  <c r="M219" i="17" s="1"/>
  <c r="N219" i="17" a="1"/>
  <c r="N219" i="17" s="1"/>
  <c r="O219" i="17" a="1"/>
  <c r="O219" i="17" s="1"/>
  <c r="P219" i="17" a="1"/>
  <c r="P219" i="17" s="1"/>
  <c r="Q219" i="17" a="1"/>
  <c r="Q219" i="17" s="1"/>
  <c r="R219" i="17" a="1"/>
  <c r="R219" i="17" s="1"/>
  <c r="U219" i="17" a="1"/>
  <c r="U219" i="17" s="1"/>
  <c r="V219" i="17" a="1"/>
  <c r="V219" i="17" s="1"/>
  <c r="W219" i="17" a="1"/>
  <c r="W219" i="17" s="1"/>
  <c r="X219" i="17" a="1"/>
  <c r="X219" i="17" s="1"/>
  <c r="K220" i="17" a="1"/>
  <c r="K220" i="17" s="1"/>
  <c r="L220" i="17" a="1"/>
  <c r="L220" i="17" s="1"/>
  <c r="M220" i="17" a="1"/>
  <c r="M220" i="17" s="1"/>
  <c r="N220" i="17" a="1"/>
  <c r="N220" i="17" s="1"/>
  <c r="O220" i="17" a="1"/>
  <c r="O220" i="17" s="1"/>
  <c r="P220" i="17" a="1"/>
  <c r="P220" i="17" s="1"/>
  <c r="Q220" i="17" a="1"/>
  <c r="Q220" i="17" s="1"/>
  <c r="R220" i="17" a="1"/>
  <c r="R220" i="17" s="1"/>
  <c r="U220" i="17" a="1"/>
  <c r="U220" i="17" s="1"/>
  <c r="V220" i="17" a="1"/>
  <c r="V220" i="17" s="1"/>
  <c r="W220" i="17" a="1"/>
  <c r="W220" i="17" s="1"/>
  <c r="X220" i="17" a="1"/>
  <c r="X220" i="17" s="1"/>
  <c r="K221" i="17" a="1"/>
  <c r="K221" i="17" s="1"/>
  <c r="L221" i="17" a="1"/>
  <c r="L221" i="17" s="1"/>
  <c r="M221" i="17" a="1"/>
  <c r="M221" i="17" s="1"/>
  <c r="N221" i="17" a="1"/>
  <c r="N221" i="17" s="1"/>
  <c r="O221" i="17" a="1"/>
  <c r="O221" i="17" s="1"/>
  <c r="P221" i="17" a="1"/>
  <c r="P221" i="17" s="1"/>
  <c r="Q221" i="17" a="1"/>
  <c r="Q221" i="17" s="1"/>
  <c r="R221" i="17" a="1"/>
  <c r="R221" i="17" s="1"/>
  <c r="U221" i="17" a="1"/>
  <c r="U221" i="17" s="1"/>
  <c r="V221" i="17" a="1"/>
  <c r="V221" i="17" s="1"/>
  <c r="W221" i="17" a="1"/>
  <c r="W221" i="17" s="1"/>
  <c r="X221" i="17" a="1"/>
  <c r="X221" i="17" s="1"/>
  <c r="X2" i="17" a="1"/>
  <c r="X2" i="17" s="1"/>
  <c r="W2" i="17" a="1"/>
  <c r="W2" i="17" s="1"/>
  <c r="V2" i="17" a="1"/>
  <c r="V2" i="17" s="1"/>
  <c r="U2" i="17" a="1"/>
  <c r="U2" i="17" s="1"/>
  <c r="R2" i="17" a="1"/>
  <c r="R2" i="17" s="1"/>
  <c r="Q2" i="17" a="1"/>
  <c r="Q2" i="17" s="1"/>
  <c r="P2" i="17" a="1"/>
  <c r="P2" i="17" s="1"/>
  <c r="O2" i="17" a="1"/>
  <c r="O2" i="17" s="1"/>
  <c r="N2" i="17" a="1"/>
  <c r="N2" i="17" s="1"/>
  <c r="M2" i="17" a="1"/>
  <c r="M2" i="17" s="1"/>
  <c r="L2" i="17" a="1"/>
  <c r="L2" i="17" s="1"/>
  <c r="K2" i="17" a="1"/>
  <c r="K2" i="17" s="1"/>
  <c r="X2" i="13" a="1"/>
  <c r="X2" i="13" s="1"/>
  <c r="X2" i="12" a="1"/>
  <c r="X2" i="12" s="1"/>
  <c r="X2" i="11" a="1"/>
  <c r="X2" i="11" s="1"/>
  <c r="AC257" i="13"/>
  <c r="W6" i="4" s="1"/>
  <c r="K3" i="13" a="1"/>
  <c r="K3" i="13" s="1"/>
  <c r="L3" i="13" a="1"/>
  <c r="L3" i="13" s="1"/>
  <c r="M3" i="13" a="1"/>
  <c r="M3" i="13" s="1"/>
  <c r="N3" i="13" a="1"/>
  <c r="N3" i="13" s="1"/>
  <c r="O3" i="13" a="1"/>
  <c r="O3" i="13" s="1"/>
  <c r="P3" i="13" a="1"/>
  <c r="P3" i="13" s="1"/>
  <c r="Q3" i="13" a="1"/>
  <c r="Q3" i="13" s="1"/>
  <c r="R3" i="13" a="1"/>
  <c r="R3" i="13" s="1"/>
  <c r="U3" i="13" a="1"/>
  <c r="U3" i="13" s="1"/>
  <c r="V3" i="13" a="1"/>
  <c r="V3" i="13" s="1"/>
  <c r="W3" i="13" a="1"/>
  <c r="W3" i="13" s="1"/>
  <c r="X3" i="13" a="1"/>
  <c r="X3" i="13" s="1"/>
  <c r="K4" i="13" a="1"/>
  <c r="K4" i="13" s="1"/>
  <c r="L4" i="13" a="1"/>
  <c r="L4" i="13" s="1"/>
  <c r="M4" i="13" a="1"/>
  <c r="M4" i="13" s="1"/>
  <c r="N4" i="13" a="1"/>
  <c r="N4" i="13" s="1"/>
  <c r="O4" i="13" a="1"/>
  <c r="O4" i="13" s="1"/>
  <c r="P4" i="13" a="1"/>
  <c r="P4" i="13" s="1"/>
  <c r="Q4" i="13" a="1"/>
  <c r="Q4" i="13" s="1"/>
  <c r="R4" i="13" a="1"/>
  <c r="R4" i="13" s="1"/>
  <c r="U4" i="13" a="1"/>
  <c r="U4" i="13" s="1"/>
  <c r="V4" i="13" a="1"/>
  <c r="V4" i="13" s="1"/>
  <c r="W4" i="13" a="1"/>
  <c r="W4" i="13" s="1"/>
  <c r="X4" i="13" a="1"/>
  <c r="X4" i="13" s="1"/>
  <c r="K5" i="13" a="1"/>
  <c r="K5" i="13" s="1"/>
  <c r="L5" i="13" a="1"/>
  <c r="L5" i="13" s="1"/>
  <c r="M5" i="13" a="1"/>
  <c r="M5" i="13" s="1"/>
  <c r="N5" i="13" a="1"/>
  <c r="N5" i="13" s="1"/>
  <c r="O5" i="13" a="1"/>
  <c r="O5" i="13" s="1"/>
  <c r="P5" i="13" a="1"/>
  <c r="P5" i="13" s="1"/>
  <c r="Q5" i="13" a="1"/>
  <c r="Q5" i="13" s="1"/>
  <c r="R5" i="13" a="1"/>
  <c r="R5" i="13" s="1"/>
  <c r="U5" i="13" a="1"/>
  <c r="U5" i="13" s="1"/>
  <c r="V5" i="13" a="1"/>
  <c r="V5" i="13" s="1"/>
  <c r="W5" i="13" a="1"/>
  <c r="W5" i="13" s="1"/>
  <c r="X5" i="13" a="1"/>
  <c r="X5" i="13" s="1"/>
  <c r="K6" i="13" a="1"/>
  <c r="K6" i="13" s="1"/>
  <c r="L6" i="13" a="1"/>
  <c r="L6" i="13" s="1"/>
  <c r="M6" i="13" a="1"/>
  <c r="M6" i="13" s="1"/>
  <c r="N6" i="13" a="1"/>
  <c r="N6" i="13" s="1"/>
  <c r="O6" i="13" a="1"/>
  <c r="O6" i="13" s="1"/>
  <c r="P6" i="13" a="1"/>
  <c r="P6" i="13" s="1"/>
  <c r="Q6" i="13" a="1"/>
  <c r="Q6" i="13" s="1"/>
  <c r="R6" i="13" a="1"/>
  <c r="R6" i="13" s="1"/>
  <c r="U6" i="13" a="1"/>
  <c r="U6" i="13" s="1"/>
  <c r="V6" i="13" a="1"/>
  <c r="V6" i="13" s="1"/>
  <c r="W6" i="13" a="1"/>
  <c r="W6" i="13" s="1"/>
  <c r="X6" i="13" a="1"/>
  <c r="X6" i="13" s="1"/>
  <c r="K7" i="13" a="1"/>
  <c r="K7" i="13" s="1"/>
  <c r="L7" i="13" a="1"/>
  <c r="L7" i="13" s="1"/>
  <c r="M7" i="13" a="1"/>
  <c r="M7" i="13" s="1"/>
  <c r="N7" i="13" a="1"/>
  <c r="N7" i="13" s="1"/>
  <c r="O7" i="13" a="1"/>
  <c r="O7" i="13" s="1"/>
  <c r="P7" i="13" a="1"/>
  <c r="P7" i="13" s="1"/>
  <c r="Q7" i="13" a="1"/>
  <c r="Q7" i="13" s="1"/>
  <c r="R7" i="13" a="1"/>
  <c r="R7" i="13" s="1"/>
  <c r="U7" i="13" a="1"/>
  <c r="U7" i="13" s="1"/>
  <c r="V7" i="13" a="1"/>
  <c r="V7" i="13" s="1"/>
  <c r="W7" i="13" a="1"/>
  <c r="W7" i="13" s="1"/>
  <c r="X7" i="13" a="1"/>
  <c r="X7" i="13" s="1"/>
  <c r="K8" i="13" a="1"/>
  <c r="K8" i="13" s="1"/>
  <c r="L8" i="13" a="1"/>
  <c r="L8" i="13" s="1"/>
  <c r="M8" i="13" a="1"/>
  <c r="M8" i="13" s="1"/>
  <c r="N8" i="13" a="1"/>
  <c r="N8" i="13" s="1"/>
  <c r="O8" i="13" a="1"/>
  <c r="O8" i="13" s="1"/>
  <c r="P8" i="13" a="1"/>
  <c r="P8" i="13" s="1"/>
  <c r="Q8" i="13" a="1"/>
  <c r="Q8" i="13" s="1"/>
  <c r="R8" i="13" a="1"/>
  <c r="R8" i="13" s="1"/>
  <c r="U8" i="13" a="1"/>
  <c r="U8" i="13" s="1"/>
  <c r="V8" i="13" a="1"/>
  <c r="V8" i="13" s="1"/>
  <c r="W8" i="13" a="1"/>
  <c r="W8" i="13" s="1"/>
  <c r="X8" i="13" a="1"/>
  <c r="X8" i="13" s="1"/>
  <c r="K9" i="13" a="1"/>
  <c r="K9" i="13" s="1"/>
  <c r="L9" i="13" a="1"/>
  <c r="L9" i="13" s="1"/>
  <c r="M9" i="13" a="1"/>
  <c r="M9" i="13" s="1"/>
  <c r="N9" i="13" a="1"/>
  <c r="N9" i="13" s="1"/>
  <c r="O9" i="13" a="1"/>
  <c r="O9" i="13" s="1"/>
  <c r="P9" i="13" a="1"/>
  <c r="P9" i="13" s="1"/>
  <c r="Q9" i="13" a="1"/>
  <c r="Q9" i="13" s="1"/>
  <c r="R9" i="13" a="1"/>
  <c r="R9" i="13" s="1"/>
  <c r="U9" i="13" a="1"/>
  <c r="U9" i="13" s="1"/>
  <c r="V9" i="13" a="1"/>
  <c r="V9" i="13" s="1"/>
  <c r="W9" i="13" a="1"/>
  <c r="W9" i="13" s="1"/>
  <c r="X9" i="13" a="1"/>
  <c r="X9" i="13" s="1"/>
  <c r="K10" i="13" a="1"/>
  <c r="K10" i="13" s="1"/>
  <c r="L10" i="13" a="1"/>
  <c r="L10" i="13" s="1"/>
  <c r="M10" i="13" a="1"/>
  <c r="M10" i="13" s="1"/>
  <c r="N10" i="13" a="1"/>
  <c r="N10" i="13" s="1"/>
  <c r="O10" i="13" a="1"/>
  <c r="O10" i="13" s="1"/>
  <c r="P10" i="13" a="1"/>
  <c r="P10" i="13" s="1"/>
  <c r="Q10" i="13" a="1"/>
  <c r="Q10" i="13" s="1"/>
  <c r="R10" i="13" a="1"/>
  <c r="R10" i="13" s="1"/>
  <c r="U10" i="13" a="1"/>
  <c r="U10" i="13" s="1"/>
  <c r="V10" i="13" a="1"/>
  <c r="V10" i="13" s="1"/>
  <c r="W10" i="13" a="1"/>
  <c r="W10" i="13" s="1"/>
  <c r="X10" i="13" a="1"/>
  <c r="X10" i="13" s="1"/>
  <c r="K11" i="13" a="1"/>
  <c r="K11" i="13" s="1"/>
  <c r="L11" i="13" a="1"/>
  <c r="L11" i="13" s="1"/>
  <c r="M11" i="13" a="1"/>
  <c r="M11" i="13" s="1"/>
  <c r="N11" i="13" a="1"/>
  <c r="N11" i="13" s="1"/>
  <c r="O11" i="13" a="1"/>
  <c r="O11" i="13" s="1"/>
  <c r="P11" i="13" a="1"/>
  <c r="P11" i="13" s="1"/>
  <c r="Q11" i="13" a="1"/>
  <c r="Q11" i="13" s="1"/>
  <c r="R11" i="13" a="1"/>
  <c r="R11" i="13" s="1"/>
  <c r="U11" i="13" a="1"/>
  <c r="U11" i="13" s="1"/>
  <c r="V11" i="13" a="1"/>
  <c r="V11" i="13" s="1"/>
  <c r="W11" i="13" a="1"/>
  <c r="W11" i="13" s="1"/>
  <c r="X11" i="13" a="1"/>
  <c r="X11" i="13" s="1"/>
  <c r="K12" i="13" a="1"/>
  <c r="K12" i="13" s="1"/>
  <c r="L12" i="13" a="1"/>
  <c r="L12" i="13" s="1"/>
  <c r="M12" i="13" a="1"/>
  <c r="M12" i="13" s="1"/>
  <c r="N12" i="13" a="1"/>
  <c r="N12" i="13" s="1"/>
  <c r="O12" i="13" a="1"/>
  <c r="O12" i="13" s="1"/>
  <c r="P12" i="13" a="1"/>
  <c r="P12" i="13" s="1"/>
  <c r="Q12" i="13" a="1"/>
  <c r="Q12" i="13" s="1"/>
  <c r="R12" i="13" a="1"/>
  <c r="R12" i="13" s="1"/>
  <c r="U12" i="13" a="1"/>
  <c r="U12" i="13" s="1"/>
  <c r="V12" i="13" a="1"/>
  <c r="V12" i="13" s="1"/>
  <c r="W12" i="13" a="1"/>
  <c r="W12" i="13" s="1"/>
  <c r="X12" i="13" a="1"/>
  <c r="X12" i="13" s="1"/>
  <c r="K13" i="13" a="1"/>
  <c r="K13" i="13" s="1"/>
  <c r="L13" i="13" a="1"/>
  <c r="L13" i="13" s="1"/>
  <c r="M13" i="13" a="1"/>
  <c r="M13" i="13" s="1"/>
  <c r="N13" i="13" a="1"/>
  <c r="N13" i="13" s="1"/>
  <c r="O13" i="13" a="1"/>
  <c r="O13" i="13" s="1"/>
  <c r="P13" i="13" a="1"/>
  <c r="P13" i="13" s="1"/>
  <c r="Q13" i="13" a="1"/>
  <c r="Q13" i="13" s="1"/>
  <c r="R13" i="13" a="1"/>
  <c r="R13" i="13" s="1"/>
  <c r="U13" i="13" a="1"/>
  <c r="U13" i="13" s="1"/>
  <c r="V13" i="13" a="1"/>
  <c r="V13" i="13" s="1"/>
  <c r="W13" i="13" a="1"/>
  <c r="W13" i="13" s="1"/>
  <c r="X13" i="13" a="1"/>
  <c r="X13" i="13" s="1"/>
  <c r="K14" i="13" a="1"/>
  <c r="K14" i="13" s="1"/>
  <c r="L14" i="13" a="1"/>
  <c r="L14" i="13" s="1"/>
  <c r="M14" i="13" a="1"/>
  <c r="M14" i="13" s="1"/>
  <c r="N14" i="13" a="1"/>
  <c r="N14" i="13" s="1"/>
  <c r="O14" i="13" a="1"/>
  <c r="O14" i="13" s="1"/>
  <c r="P14" i="13" a="1"/>
  <c r="P14" i="13" s="1"/>
  <c r="Q14" i="13" a="1"/>
  <c r="Q14" i="13" s="1"/>
  <c r="R14" i="13" a="1"/>
  <c r="R14" i="13" s="1"/>
  <c r="U14" i="13" a="1"/>
  <c r="U14" i="13" s="1"/>
  <c r="V14" i="13" a="1"/>
  <c r="V14" i="13" s="1"/>
  <c r="W14" i="13" a="1"/>
  <c r="W14" i="13" s="1"/>
  <c r="X14" i="13" a="1"/>
  <c r="X14" i="13" s="1"/>
  <c r="K15" i="13" a="1"/>
  <c r="K15" i="13" s="1"/>
  <c r="L15" i="13" a="1"/>
  <c r="L15" i="13" s="1"/>
  <c r="M15" i="13" a="1"/>
  <c r="M15" i="13" s="1"/>
  <c r="N15" i="13" a="1"/>
  <c r="N15" i="13" s="1"/>
  <c r="O15" i="13" a="1"/>
  <c r="O15" i="13" s="1"/>
  <c r="P15" i="13" a="1"/>
  <c r="P15" i="13" s="1"/>
  <c r="Q15" i="13" a="1"/>
  <c r="Q15" i="13" s="1"/>
  <c r="R15" i="13" a="1"/>
  <c r="R15" i="13" s="1"/>
  <c r="U15" i="13" a="1"/>
  <c r="U15" i="13" s="1"/>
  <c r="V15" i="13" a="1"/>
  <c r="V15" i="13" s="1"/>
  <c r="W15" i="13" a="1"/>
  <c r="W15" i="13" s="1"/>
  <c r="X15" i="13" a="1"/>
  <c r="X15" i="13" s="1"/>
  <c r="K16" i="13" a="1"/>
  <c r="K16" i="13" s="1"/>
  <c r="L16" i="13" a="1"/>
  <c r="L16" i="13" s="1"/>
  <c r="M16" i="13" a="1"/>
  <c r="M16" i="13" s="1"/>
  <c r="N16" i="13" a="1"/>
  <c r="N16" i="13" s="1"/>
  <c r="O16" i="13" a="1"/>
  <c r="O16" i="13" s="1"/>
  <c r="P16" i="13" a="1"/>
  <c r="P16" i="13" s="1"/>
  <c r="Q16" i="13" a="1"/>
  <c r="Q16" i="13" s="1"/>
  <c r="R16" i="13" a="1"/>
  <c r="R16" i="13" s="1"/>
  <c r="U16" i="13" a="1"/>
  <c r="U16" i="13" s="1"/>
  <c r="V16" i="13" a="1"/>
  <c r="V16" i="13" s="1"/>
  <c r="W16" i="13" a="1"/>
  <c r="W16" i="13" s="1"/>
  <c r="X16" i="13" a="1"/>
  <c r="X16" i="13" s="1"/>
  <c r="K17" i="13" a="1"/>
  <c r="K17" i="13" s="1"/>
  <c r="L17" i="13" a="1"/>
  <c r="L17" i="13" s="1"/>
  <c r="M17" i="13" a="1"/>
  <c r="M17" i="13" s="1"/>
  <c r="N17" i="13" a="1"/>
  <c r="N17" i="13" s="1"/>
  <c r="O17" i="13" a="1"/>
  <c r="O17" i="13" s="1"/>
  <c r="P17" i="13" a="1"/>
  <c r="P17" i="13" s="1"/>
  <c r="Q17" i="13" a="1"/>
  <c r="Q17" i="13" s="1"/>
  <c r="R17" i="13" a="1"/>
  <c r="R17" i="13" s="1"/>
  <c r="U17" i="13" a="1"/>
  <c r="U17" i="13" s="1"/>
  <c r="V17" i="13" a="1"/>
  <c r="V17" i="13" s="1"/>
  <c r="W17" i="13" a="1"/>
  <c r="W17" i="13" s="1"/>
  <c r="X17" i="13" a="1"/>
  <c r="X17" i="13" s="1"/>
  <c r="K18" i="13" a="1"/>
  <c r="K18" i="13" s="1"/>
  <c r="L18" i="13" a="1"/>
  <c r="L18" i="13" s="1"/>
  <c r="M18" i="13" a="1"/>
  <c r="M18" i="13" s="1"/>
  <c r="N18" i="13" a="1"/>
  <c r="N18" i="13" s="1"/>
  <c r="O18" i="13" a="1"/>
  <c r="O18" i="13" s="1"/>
  <c r="P18" i="13" a="1"/>
  <c r="P18" i="13" s="1"/>
  <c r="Q18" i="13" a="1"/>
  <c r="Q18" i="13" s="1"/>
  <c r="R18" i="13" a="1"/>
  <c r="R18" i="13" s="1"/>
  <c r="U18" i="13" a="1"/>
  <c r="U18" i="13" s="1"/>
  <c r="V18" i="13" a="1"/>
  <c r="V18" i="13" s="1"/>
  <c r="W18" i="13" a="1"/>
  <c r="W18" i="13" s="1"/>
  <c r="X18" i="13" a="1"/>
  <c r="X18" i="13" s="1"/>
  <c r="K19" i="13" a="1"/>
  <c r="K19" i="13" s="1"/>
  <c r="L19" i="13" a="1"/>
  <c r="L19" i="13" s="1"/>
  <c r="M19" i="13" a="1"/>
  <c r="M19" i="13" s="1"/>
  <c r="N19" i="13" a="1"/>
  <c r="N19" i="13" s="1"/>
  <c r="O19" i="13" a="1"/>
  <c r="O19" i="13" s="1"/>
  <c r="P19" i="13" a="1"/>
  <c r="P19" i="13" s="1"/>
  <c r="Q19" i="13" a="1"/>
  <c r="Q19" i="13" s="1"/>
  <c r="R19" i="13" a="1"/>
  <c r="R19" i="13" s="1"/>
  <c r="U19" i="13" a="1"/>
  <c r="U19" i="13" s="1"/>
  <c r="V19" i="13" a="1"/>
  <c r="V19" i="13" s="1"/>
  <c r="W19" i="13" a="1"/>
  <c r="W19" i="13" s="1"/>
  <c r="X19" i="13" a="1"/>
  <c r="X19" i="13" s="1"/>
  <c r="K20" i="13" a="1"/>
  <c r="K20" i="13" s="1"/>
  <c r="L20" i="13" a="1"/>
  <c r="L20" i="13" s="1"/>
  <c r="M20" i="13" a="1"/>
  <c r="M20" i="13" s="1"/>
  <c r="N20" i="13" a="1"/>
  <c r="N20" i="13" s="1"/>
  <c r="O20" i="13" a="1"/>
  <c r="O20" i="13" s="1"/>
  <c r="P20" i="13" a="1"/>
  <c r="P20" i="13" s="1"/>
  <c r="Q20" i="13" a="1"/>
  <c r="Q20" i="13" s="1"/>
  <c r="R20" i="13" a="1"/>
  <c r="R20" i="13" s="1"/>
  <c r="U20" i="13" a="1"/>
  <c r="U20" i="13" s="1"/>
  <c r="V20" i="13" a="1"/>
  <c r="V20" i="13" s="1"/>
  <c r="W20" i="13" a="1"/>
  <c r="W20" i="13" s="1"/>
  <c r="X20" i="13" a="1"/>
  <c r="X20" i="13" s="1"/>
  <c r="K21" i="13" a="1"/>
  <c r="K21" i="13" s="1"/>
  <c r="L21" i="13" a="1"/>
  <c r="L21" i="13" s="1"/>
  <c r="M21" i="13" a="1"/>
  <c r="M21" i="13" s="1"/>
  <c r="N21" i="13" a="1"/>
  <c r="N21" i="13" s="1"/>
  <c r="O21" i="13" a="1"/>
  <c r="O21" i="13" s="1"/>
  <c r="P21" i="13" a="1"/>
  <c r="P21" i="13" s="1"/>
  <c r="Q21" i="13" a="1"/>
  <c r="Q21" i="13" s="1"/>
  <c r="R21" i="13" a="1"/>
  <c r="R21" i="13" s="1"/>
  <c r="U21" i="13" a="1"/>
  <c r="U21" i="13" s="1"/>
  <c r="V21" i="13" a="1"/>
  <c r="V21" i="13" s="1"/>
  <c r="W21" i="13" a="1"/>
  <c r="W21" i="13" s="1"/>
  <c r="X21" i="13" a="1"/>
  <c r="X21" i="13" s="1"/>
  <c r="K22" i="13" a="1"/>
  <c r="K22" i="13" s="1"/>
  <c r="L22" i="13" a="1"/>
  <c r="L22" i="13" s="1"/>
  <c r="M22" i="13" a="1"/>
  <c r="M22" i="13" s="1"/>
  <c r="N22" i="13" a="1"/>
  <c r="N22" i="13" s="1"/>
  <c r="O22" i="13" a="1"/>
  <c r="O22" i="13" s="1"/>
  <c r="P22" i="13" a="1"/>
  <c r="P22" i="13" s="1"/>
  <c r="Q22" i="13" a="1"/>
  <c r="Q22" i="13" s="1"/>
  <c r="R22" i="13" a="1"/>
  <c r="R22" i="13" s="1"/>
  <c r="U22" i="13" a="1"/>
  <c r="U22" i="13" s="1"/>
  <c r="V22" i="13" a="1"/>
  <c r="V22" i="13" s="1"/>
  <c r="W22" i="13" a="1"/>
  <c r="W22" i="13" s="1"/>
  <c r="X22" i="13" a="1"/>
  <c r="X22" i="13" s="1"/>
  <c r="K23" i="13" a="1"/>
  <c r="K23" i="13" s="1"/>
  <c r="L23" i="13" a="1"/>
  <c r="L23" i="13" s="1"/>
  <c r="M23" i="13" a="1"/>
  <c r="M23" i="13" s="1"/>
  <c r="N23" i="13" a="1"/>
  <c r="N23" i="13" s="1"/>
  <c r="O23" i="13" a="1"/>
  <c r="O23" i="13" s="1"/>
  <c r="P23" i="13" a="1"/>
  <c r="P23" i="13" s="1"/>
  <c r="Q23" i="13" a="1"/>
  <c r="Q23" i="13" s="1"/>
  <c r="R23" i="13" a="1"/>
  <c r="R23" i="13" s="1"/>
  <c r="U23" i="13" a="1"/>
  <c r="U23" i="13" s="1"/>
  <c r="V23" i="13" a="1"/>
  <c r="V23" i="13" s="1"/>
  <c r="W23" i="13" a="1"/>
  <c r="W23" i="13" s="1"/>
  <c r="X23" i="13" a="1"/>
  <c r="X23" i="13" s="1"/>
  <c r="K24" i="13" a="1"/>
  <c r="K24" i="13" s="1"/>
  <c r="L24" i="13" a="1"/>
  <c r="L24" i="13" s="1"/>
  <c r="M24" i="13" a="1"/>
  <c r="M24" i="13" s="1"/>
  <c r="N24" i="13" a="1"/>
  <c r="N24" i="13" s="1"/>
  <c r="O24" i="13" a="1"/>
  <c r="O24" i="13" s="1"/>
  <c r="P24" i="13" a="1"/>
  <c r="P24" i="13" s="1"/>
  <c r="Q24" i="13" a="1"/>
  <c r="Q24" i="13" s="1"/>
  <c r="R24" i="13" a="1"/>
  <c r="R24" i="13" s="1"/>
  <c r="U24" i="13" a="1"/>
  <c r="U24" i="13" s="1"/>
  <c r="V24" i="13" a="1"/>
  <c r="V24" i="13" s="1"/>
  <c r="W24" i="13" a="1"/>
  <c r="W24" i="13" s="1"/>
  <c r="X24" i="13" a="1"/>
  <c r="X24" i="13" s="1"/>
  <c r="K25" i="13" a="1"/>
  <c r="K25" i="13" s="1"/>
  <c r="L25" i="13" a="1"/>
  <c r="L25" i="13" s="1"/>
  <c r="M25" i="13" a="1"/>
  <c r="M25" i="13" s="1"/>
  <c r="N25" i="13" a="1"/>
  <c r="N25" i="13" s="1"/>
  <c r="O25" i="13" a="1"/>
  <c r="O25" i="13" s="1"/>
  <c r="P25" i="13" a="1"/>
  <c r="P25" i="13" s="1"/>
  <c r="Q25" i="13" a="1"/>
  <c r="Q25" i="13" s="1"/>
  <c r="R25" i="13" a="1"/>
  <c r="R25" i="13" s="1"/>
  <c r="U25" i="13" a="1"/>
  <c r="U25" i="13" s="1"/>
  <c r="V25" i="13" a="1"/>
  <c r="V25" i="13" s="1"/>
  <c r="W25" i="13" a="1"/>
  <c r="W25" i="13" s="1"/>
  <c r="X25" i="13" a="1"/>
  <c r="X25" i="13" s="1"/>
  <c r="K26" i="13" a="1"/>
  <c r="K26" i="13" s="1"/>
  <c r="L26" i="13" a="1"/>
  <c r="L26" i="13" s="1"/>
  <c r="M26" i="13" a="1"/>
  <c r="M26" i="13" s="1"/>
  <c r="N26" i="13" a="1"/>
  <c r="N26" i="13" s="1"/>
  <c r="O26" i="13" a="1"/>
  <c r="O26" i="13" s="1"/>
  <c r="P26" i="13" a="1"/>
  <c r="P26" i="13" s="1"/>
  <c r="Q26" i="13" a="1"/>
  <c r="Q26" i="13" s="1"/>
  <c r="R26" i="13" a="1"/>
  <c r="R26" i="13" s="1"/>
  <c r="U26" i="13" a="1"/>
  <c r="U26" i="13" s="1"/>
  <c r="V26" i="13" a="1"/>
  <c r="V26" i="13" s="1"/>
  <c r="W26" i="13" a="1"/>
  <c r="W26" i="13" s="1"/>
  <c r="X26" i="13" a="1"/>
  <c r="X26" i="13" s="1"/>
  <c r="K27" i="13" a="1"/>
  <c r="K27" i="13" s="1"/>
  <c r="L27" i="13" a="1"/>
  <c r="L27" i="13" s="1"/>
  <c r="M27" i="13" a="1"/>
  <c r="M27" i="13" s="1"/>
  <c r="N27" i="13" a="1"/>
  <c r="N27" i="13" s="1"/>
  <c r="O27" i="13" a="1"/>
  <c r="O27" i="13" s="1"/>
  <c r="P27" i="13" a="1"/>
  <c r="P27" i="13" s="1"/>
  <c r="Q27" i="13" a="1"/>
  <c r="Q27" i="13" s="1"/>
  <c r="R27" i="13" a="1"/>
  <c r="R27" i="13" s="1"/>
  <c r="U27" i="13" a="1"/>
  <c r="U27" i="13" s="1"/>
  <c r="V27" i="13" a="1"/>
  <c r="V27" i="13" s="1"/>
  <c r="W27" i="13" a="1"/>
  <c r="W27" i="13" s="1"/>
  <c r="X27" i="13" a="1"/>
  <c r="X27" i="13" s="1"/>
  <c r="K28" i="13" a="1"/>
  <c r="K28" i="13" s="1"/>
  <c r="L28" i="13" a="1"/>
  <c r="L28" i="13" s="1"/>
  <c r="M28" i="13" a="1"/>
  <c r="M28" i="13" s="1"/>
  <c r="N28" i="13" a="1"/>
  <c r="N28" i="13" s="1"/>
  <c r="O28" i="13" a="1"/>
  <c r="O28" i="13" s="1"/>
  <c r="P28" i="13" a="1"/>
  <c r="P28" i="13" s="1"/>
  <c r="Q28" i="13" a="1"/>
  <c r="Q28" i="13" s="1"/>
  <c r="R28" i="13" a="1"/>
  <c r="R28" i="13" s="1"/>
  <c r="U28" i="13" a="1"/>
  <c r="U28" i="13" s="1"/>
  <c r="V28" i="13" a="1"/>
  <c r="V28" i="13" s="1"/>
  <c r="W28" i="13" a="1"/>
  <c r="W28" i="13" s="1"/>
  <c r="X28" i="13" a="1"/>
  <c r="X28" i="13" s="1"/>
  <c r="K29" i="13" a="1"/>
  <c r="K29" i="13" s="1"/>
  <c r="L29" i="13" a="1"/>
  <c r="L29" i="13" s="1"/>
  <c r="M29" i="13" a="1"/>
  <c r="M29" i="13" s="1"/>
  <c r="N29" i="13" a="1"/>
  <c r="N29" i="13" s="1"/>
  <c r="O29" i="13" a="1"/>
  <c r="O29" i="13" s="1"/>
  <c r="P29" i="13" a="1"/>
  <c r="P29" i="13" s="1"/>
  <c r="Q29" i="13" a="1"/>
  <c r="Q29" i="13" s="1"/>
  <c r="R29" i="13" a="1"/>
  <c r="R29" i="13" s="1"/>
  <c r="U29" i="13" a="1"/>
  <c r="U29" i="13" s="1"/>
  <c r="V29" i="13" a="1"/>
  <c r="V29" i="13" s="1"/>
  <c r="W29" i="13" a="1"/>
  <c r="W29" i="13" s="1"/>
  <c r="X29" i="13" a="1"/>
  <c r="X29" i="13" s="1"/>
  <c r="K30" i="13" a="1"/>
  <c r="K30" i="13" s="1"/>
  <c r="L30" i="13" a="1"/>
  <c r="L30" i="13" s="1"/>
  <c r="M30" i="13" a="1"/>
  <c r="M30" i="13" s="1"/>
  <c r="N30" i="13" a="1"/>
  <c r="N30" i="13" s="1"/>
  <c r="O30" i="13" a="1"/>
  <c r="O30" i="13" s="1"/>
  <c r="P30" i="13" a="1"/>
  <c r="P30" i="13" s="1"/>
  <c r="Q30" i="13" a="1"/>
  <c r="Q30" i="13" s="1"/>
  <c r="R30" i="13" a="1"/>
  <c r="R30" i="13" s="1"/>
  <c r="U30" i="13" a="1"/>
  <c r="U30" i="13" s="1"/>
  <c r="V30" i="13" a="1"/>
  <c r="V30" i="13" s="1"/>
  <c r="W30" i="13" a="1"/>
  <c r="W30" i="13" s="1"/>
  <c r="X30" i="13" a="1"/>
  <c r="X30" i="13" s="1"/>
  <c r="K31" i="13" a="1"/>
  <c r="K31" i="13" s="1"/>
  <c r="L31" i="13" a="1"/>
  <c r="L31" i="13" s="1"/>
  <c r="M31" i="13" a="1"/>
  <c r="M31" i="13" s="1"/>
  <c r="N31" i="13" a="1"/>
  <c r="N31" i="13" s="1"/>
  <c r="O31" i="13" a="1"/>
  <c r="O31" i="13" s="1"/>
  <c r="P31" i="13" a="1"/>
  <c r="P31" i="13" s="1"/>
  <c r="Q31" i="13" a="1"/>
  <c r="Q31" i="13" s="1"/>
  <c r="R31" i="13" a="1"/>
  <c r="R31" i="13" s="1"/>
  <c r="U31" i="13" a="1"/>
  <c r="U31" i="13" s="1"/>
  <c r="V31" i="13" a="1"/>
  <c r="V31" i="13" s="1"/>
  <c r="W31" i="13" a="1"/>
  <c r="W31" i="13" s="1"/>
  <c r="X31" i="13" a="1"/>
  <c r="X31" i="13" s="1"/>
  <c r="K32" i="13" a="1"/>
  <c r="K32" i="13" s="1"/>
  <c r="L32" i="13" a="1"/>
  <c r="L32" i="13" s="1"/>
  <c r="M32" i="13" a="1"/>
  <c r="M32" i="13" s="1"/>
  <c r="N32" i="13" a="1"/>
  <c r="N32" i="13" s="1"/>
  <c r="O32" i="13" a="1"/>
  <c r="O32" i="13" s="1"/>
  <c r="P32" i="13" a="1"/>
  <c r="P32" i="13" s="1"/>
  <c r="Q32" i="13" a="1"/>
  <c r="Q32" i="13" s="1"/>
  <c r="R32" i="13" a="1"/>
  <c r="R32" i="13" s="1"/>
  <c r="U32" i="13" a="1"/>
  <c r="U32" i="13" s="1"/>
  <c r="V32" i="13" a="1"/>
  <c r="V32" i="13" s="1"/>
  <c r="W32" i="13" a="1"/>
  <c r="W32" i="13" s="1"/>
  <c r="X32" i="13" a="1"/>
  <c r="X32" i="13" s="1"/>
  <c r="K33" i="13" a="1"/>
  <c r="K33" i="13" s="1"/>
  <c r="L33" i="13" a="1"/>
  <c r="L33" i="13" s="1"/>
  <c r="M33" i="13" a="1"/>
  <c r="M33" i="13" s="1"/>
  <c r="N33" i="13" a="1"/>
  <c r="N33" i="13" s="1"/>
  <c r="O33" i="13" a="1"/>
  <c r="O33" i="13" s="1"/>
  <c r="P33" i="13" a="1"/>
  <c r="P33" i="13" s="1"/>
  <c r="Q33" i="13" a="1"/>
  <c r="Q33" i="13" s="1"/>
  <c r="R33" i="13" a="1"/>
  <c r="R33" i="13" s="1"/>
  <c r="U33" i="13" a="1"/>
  <c r="U33" i="13" s="1"/>
  <c r="V33" i="13" a="1"/>
  <c r="V33" i="13" s="1"/>
  <c r="W33" i="13" a="1"/>
  <c r="W33" i="13" s="1"/>
  <c r="X33" i="13" a="1"/>
  <c r="X33" i="13" s="1"/>
  <c r="K34" i="13" a="1"/>
  <c r="K34" i="13" s="1"/>
  <c r="L34" i="13" a="1"/>
  <c r="L34" i="13" s="1"/>
  <c r="M34" i="13" a="1"/>
  <c r="M34" i="13" s="1"/>
  <c r="N34" i="13" a="1"/>
  <c r="N34" i="13" s="1"/>
  <c r="O34" i="13" a="1"/>
  <c r="O34" i="13" s="1"/>
  <c r="P34" i="13" a="1"/>
  <c r="P34" i="13" s="1"/>
  <c r="Q34" i="13" a="1"/>
  <c r="Q34" i="13" s="1"/>
  <c r="R34" i="13" a="1"/>
  <c r="R34" i="13" s="1"/>
  <c r="U34" i="13" a="1"/>
  <c r="U34" i="13" s="1"/>
  <c r="V34" i="13" a="1"/>
  <c r="V34" i="13" s="1"/>
  <c r="W34" i="13" a="1"/>
  <c r="W34" i="13" s="1"/>
  <c r="X34" i="13" a="1"/>
  <c r="X34" i="13" s="1"/>
  <c r="K35" i="13" a="1"/>
  <c r="K35" i="13" s="1"/>
  <c r="L35" i="13" a="1"/>
  <c r="L35" i="13" s="1"/>
  <c r="M35" i="13" a="1"/>
  <c r="M35" i="13" s="1"/>
  <c r="N35" i="13" a="1"/>
  <c r="N35" i="13" s="1"/>
  <c r="O35" i="13" a="1"/>
  <c r="O35" i="13" s="1"/>
  <c r="P35" i="13" a="1"/>
  <c r="P35" i="13" s="1"/>
  <c r="Q35" i="13" a="1"/>
  <c r="Q35" i="13" s="1"/>
  <c r="R35" i="13" a="1"/>
  <c r="R35" i="13" s="1"/>
  <c r="U35" i="13" a="1"/>
  <c r="U35" i="13" s="1"/>
  <c r="V35" i="13" a="1"/>
  <c r="V35" i="13" s="1"/>
  <c r="W35" i="13" a="1"/>
  <c r="W35" i="13" s="1"/>
  <c r="X35" i="13" a="1"/>
  <c r="X35" i="13" s="1"/>
  <c r="K36" i="13" a="1"/>
  <c r="K36" i="13" s="1"/>
  <c r="L36" i="13" a="1"/>
  <c r="L36" i="13" s="1"/>
  <c r="M36" i="13" a="1"/>
  <c r="M36" i="13" s="1"/>
  <c r="N36" i="13" a="1"/>
  <c r="N36" i="13" s="1"/>
  <c r="O36" i="13" a="1"/>
  <c r="O36" i="13" s="1"/>
  <c r="P36" i="13" a="1"/>
  <c r="P36" i="13" s="1"/>
  <c r="Q36" i="13" a="1"/>
  <c r="Q36" i="13" s="1"/>
  <c r="R36" i="13" a="1"/>
  <c r="R36" i="13" s="1"/>
  <c r="U36" i="13" a="1"/>
  <c r="U36" i="13" s="1"/>
  <c r="V36" i="13" a="1"/>
  <c r="V36" i="13" s="1"/>
  <c r="W36" i="13" a="1"/>
  <c r="W36" i="13" s="1"/>
  <c r="X36" i="13" a="1"/>
  <c r="X36" i="13" s="1"/>
  <c r="K37" i="13" a="1"/>
  <c r="K37" i="13" s="1"/>
  <c r="L37" i="13" a="1"/>
  <c r="L37" i="13" s="1"/>
  <c r="M37" i="13" a="1"/>
  <c r="M37" i="13" s="1"/>
  <c r="N37" i="13" a="1"/>
  <c r="N37" i="13" s="1"/>
  <c r="O37" i="13" a="1"/>
  <c r="O37" i="13" s="1"/>
  <c r="P37" i="13" a="1"/>
  <c r="P37" i="13" s="1"/>
  <c r="Q37" i="13" a="1"/>
  <c r="Q37" i="13" s="1"/>
  <c r="R37" i="13" a="1"/>
  <c r="R37" i="13" s="1"/>
  <c r="U37" i="13" a="1"/>
  <c r="U37" i="13" s="1"/>
  <c r="V37" i="13" a="1"/>
  <c r="V37" i="13" s="1"/>
  <c r="W37" i="13" a="1"/>
  <c r="W37" i="13" s="1"/>
  <c r="X37" i="13" a="1"/>
  <c r="X37" i="13" s="1"/>
  <c r="K38" i="13" a="1"/>
  <c r="K38" i="13" s="1"/>
  <c r="L38" i="13" a="1"/>
  <c r="L38" i="13" s="1"/>
  <c r="M38" i="13" a="1"/>
  <c r="M38" i="13" s="1"/>
  <c r="N38" i="13" a="1"/>
  <c r="N38" i="13" s="1"/>
  <c r="O38" i="13" a="1"/>
  <c r="O38" i="13" s="1"/>
  <c r="P38" i="13" a="1"/>
  <c r="P38" i="13" s="1"/>
  <c r="Q38" i="13" a="1"/>
  <c r="Q38" i="13" s="1"/>
  <c r="R38" i="13" a="1"/>
  <c r="R38" i="13" s="1"/>
  <c r="U38" i="13" a="1"/>
  <c r="U38" i="13" s="1"/>
  <c r="V38" i="13" a="1"/>
  <c r="V38" i="13" s="1"/>
  <c r="W38" i="13" a="1"/>
  <c r="W38" i="13" s="1"/>
  <c r="X38" i="13" a="1"/>
  <c r="X38" i="13" s="1"/>
  <c r="K39" i="13" a="1"/>
  <c r="K39" i="13" s="1"/>
  <c r="L39" i="13" a="1"/>
  <c r="L39" i="13" s="1"/>
  <c r="M39" i="13" a="1"/>
  <c r="M39" i="13" s="1"/>
  <c r="N39" i="13" a="1"/>
  <c r="N39" i="13" s="1"/>
  <c r="O39" i="13" a="1"/>
  <c r="O39" i="13" s="1"/>
  <c r="P39" i="13" a="1"/>
  <c r="P39" i="13" s="1"/>
  <c r="Q39" i="13" a="1"/>
  <c r="Q39" i="13" s="1"/>
  <c r="R39" i="13" a="1"/>
  <c r="R39" i="13" s="1"/>
  <c r="U39" i="13" a="1"/>
  <c r="U39" i="13" s="1"/>
  <c r="V39" i="13" a="1"/>
  <c r="V39" i="13" s="1"/>
  <c r="W39" i="13" a="1"/>
  <c r="W39" i="13" s="1"/>
  <c r="X39" i="13" a="1"/>
  <c r="X39" i="13" s="1"/>
  <c r="K40" i="13" a="1"/>
  <c r="K40" i="13" s="1"/>
  <c r="L40" i="13" a="1"/>
  <c r="L40" i="13" s="1"/>
  <c r="M40" i="13" a="1"/>
  <c r="M40" i="13" s="1"/>
  <c r="N40" i="13" a="1"/>
  <c r="N40" i="13" s="1"/>
  <c r="O40" i="13" a="1"/>
  <c r="O40" i="13" s="1"/>
  <c r="P40" i="13" a="1"/>
  <c r="P40" i="13" s="1"/>
  <c r="Q40" i="13" a="1"/>
  <c r="Q40" i="13" s="1"/>
  <c r="R40" i="13" a="1"/>
  <c r="R40" i="13" s="1"/>
  <c r="U40" i="13" a="1"/>
  <c r="U40" i="13" s="1"/>
  <c r="V40" i="13" a="1"/>
  <c r="V40" i="13" s="1"/>
  <c r="W40" i="13" a="1"/>
  <c r="W40" i="13" s="1"/>
  <c r="X40" i="13" a="1"/>
  <c r="X40" i="13" s="1"/>
  <c r="K41" i="13" a="1"/>
  <c r="K41" i="13" s="1"/>
  <c r="L41" i="13" a="1"/>
  <c r="L41" i="13" s="1"/>
  <c r="M41" i="13" a="1"/>
  <c r="M41" i="13" s="1"/>
  <c r="N41" i="13" a="1"/>
  <c r="N41" i="13" s="1"/>
  <c r="O41" i="13" a="1"/>
  <c r="O41" i="13" s="1"/>
  <c r="P41" i="13" a="1"/>
  <c r="P41" i="13" s="1"/>
  <c r="Q41" i="13" a="1"/>
  <c r="Q41" i="13" s="1"/>
  <c r="R41" i="13" a="1"/>
  <c r="R41" i="13" s="1"/>
  <c r="U41" i="13" a="1"/>
  <c r="U41" i="13" s="1"/>
  <c r="V41" i="13" a="1"/>
  <c r="V41" i="13" s="1"/>
  <c r="W41" i="13" a="1"/>
  <c r="W41" i="13" s="1"/>
  <c r="X41" i="13" a="1"/>
  <c r="X41" i="13" s="1"/>
  <c r="K42" i="13" a="1"/>
  <c r="K42" i="13" s="1"/>
  <c r="L42" i="13" a="1"/>
  <c r="L42" i="13" s="1"/>
  <c r="M42" i="13" a="1"/>
  <c r="M42" i="13" s="1"/>
  <c r="N42" i="13" a="1"/>
  <c r="N42" i="13" s="1"/>
  <c r="O42" i="13" a="1"/>
  <c r="O42" i="13" s="1"/>
  <c r="P42" i="13" a="1"/>
  <c r="P42" i="13" s="1"/>
  <c r="Q42" i="13" a="1"/>
  <c r="Q42" i="13" s="1"/>
  <c r="R42" i="13" a="1"/>
  <c r="R42" i="13" s="1"/>
  <c r="U42" i="13" a="1"/>
  <c r="U42" i="13" s="1"/>
  <c r="V42" i="13" a="1"/>
  <c r="V42" i="13" s="1"/>
  <c r="W42" i="13" a="1"/>
  <c r="W42" i="13" s="1"/>
  <c r="X42" i="13" a="1"/>
  <c r="X42" i="13" s="1"/>
  <c r="K43" i="13" a="1"/>
  <c r="K43" i="13" s="1"/>
  <c r="L43" i="13" a="1"/>
  <c r="L43" i="13" s="1"/>
  <c r="M43" i="13" a="1"/>
  <c r="M43" i="13" s="1"/>
  <c r="N43" i="13" a="1"/>
  <c r="N43" i="13" s="1"/>
  <c r="O43" i="13" a="1"/>
  <c r="O43" i="13" s="1"/>
  <c r="P43" i="13" a="1"/>
  <c r="P43" i="13" s="1"/>
  <c r="Q43" i="13" a="1"/>
  <c r="Q43" i="13" s="1"/>
  <c r="R43" i="13" a="1"/>
  <c r="R43" i="13" s="1"/>
  <c r="U43" i="13" a="1"/>
  <c r="U43" i="13" s="1"/>
  <c r="V43" i="13" a="1"/>
  <c r="V43" i="13" s="1"/>
  <c r="W43" i="13" a="1"/>
  <c r="W43" i="13" s="1"/>
  <c r="X43" i="13" a="1"/>
  <c r="X43" i="13" s="1"/>
  <c r="K44" i="13" a="1"/>
  <c r="K44" i="13" s="1"/>
  <c r="L44" i="13" a="1"/>
  <c r="L44" i="13" s="1"/>
  <c r="M44" i="13" a="1"/>
  <c r="M44" i="13" s="1"/>
  <c r="N44" i="13" a="1"/>
  <c r="N44" i="13" s="1"/>
  <c r="O44" i="13" a="1"/>
  <c r="O44" i="13" s="1"/>
  <c r="P44" i="13" a="1"/>
  <c r="P44" i="13" s="1"/>
  <c r="Q44" i="13" a="1"/>
  <c r="Q44" i="13" s="1"/>
  <c r="R44" i="13" a="1"/>
  <c r="R44" i="13" s="1"/>
  <c r="U44" i="13" a="1"/>
  <c r="U44" i="13" s="1"/>
  <c r="V44" i="13" a="1"/>
  <c r="V44" i="13" s="1"/>
  <c r="W44" i="13" a="1"/>
  <c r="W44" i="13" s="1"/>
  <c r="X44" i="13" a="1"/>
  <c r="X44" i="13" s="1"/>
  <c r="K45" i="13" a="1"/>
  <c r="K45" i="13" s="1"/>
  <c r="L45" i="13" a="1"/>
  <c r="L45" i="13" s="1"/>
  <c r="M45" i="13" a="1"/>
  <c r="M45" i="13" s="1"/>
  <c r="N45" i="13" a="1"/>
  <c r="N45" i="13" s="1"/>
  <c r="O45" i="13" a="1"/>
  <c r="O45" i="13" s="1"/>
  <c r="P45" i="13" a="1"/>
  <c r="P45" i="13" s="1"/>
  <c r="Q45" i="13" a="1"/>
  <c r="Q45" i="13" s="1"/>
  <c r="R45" i="13" a="1"/>
  <c r="R45" i="13" s="1"/>
  <c r="U45" i="13" a="1"/>
  <c r="U45" i="13" s="1"/>
  <c r="V45" i="13" a="1"/>
  <c r="V45" i="13" s="1"/>
  <c r="W45" i="13" a="1"/>
  <c r="W45" i="13" s="1"/>
  <c r="X45" i="13" a="1"/>
  <c r="X45" i="13" s="1"/>
  <c r="K46" i="13" a="1"/>
  <c r="K46" i="13" s="1"/>
  <c r="L46" i="13" a="1"/>
  <c r="L46" i="13" s="1"/>
  <c r="M46" i="13" a="1"/>
  <c r="M46" i="13" s="1"/>
  <c r="N46" i="13" a="1"/>
  <c r="N46" i="13" s="1"/>
  <c r="O46" i="13" a="1"/>
  <c r="O46" i="13" s="1"/>
  <c r="P46" i="13" a="1"/>
  <c r="P46" i="13" s="1"/>
  <c r="Q46" i="13" a="1"/>
  <c r="Q46" i="13" s="1"/>
  <c r="R46" i="13" a="1"/>
  <c r="R46" i="13" s="1"/>
  <c r="U46" i="13" a="1"/>
  <c r="U46" i="13" s="1"/>
  <c r="V46" i="13" a="1"/>
  <c r="V46" i="13" s="1"/>
  <c r="W46" i="13" a="1"/>
  <c r="W46" i="13" s="1"/>
  <c r="X46" i="13" a="1"/>
  <c r="X46" i="13" s="1"/>
  <c r="K47" i="13" a="1"/>
  <c r="K47" i="13" s="1"/>
  <c r="L47" i="13" a="1"/>
  <c r="L47" i="13" s="1"/>
  <c r="M47" i="13" a="1"/>
  <c r="M47" i="13" s="1"/>
  <c r="N47" i="13" a="1"/>
  <c r="N47" i="13" s="1"/>
  <c r="O47" i="13" a="1"/>
  <c r="O47" i="13" s="1"/>
  <c r="P47" i="13" a="1"/>
  <c r="P47" i="13" s="1"/>
  <c r="Q47" i="13" a="1"/>
  <c r="Q47" i="13" s="1"/>
  <c r="R47" i="13" a="1"/>
  <c r="R47" i="13" s="1"/>
  <c r="U47" i="13" a="1"/>
  <c r="U47" i="13" s="1"/>
  <c r="V47" i="13" a="1"/>
  <c r="V47" i="13" s="1"/>
  <c r="W47" i="13" a="1"/>
  <c r="W47" i="13" s="1"/>
  <c r="X47" i="13" a="1"/>
  <c r="X47" i="13" s="1"/>
  <c r="K48" i="13" a="1"/>
  <c r="K48" i="13" s="1"/>
  <c r="L48" i="13" a="1"/>
  <c r="L48" i="13" s="1"/>
  <c r="M48" i="13" a="1"/>
  <c r="M48" i="13" s="1"/>
  <c r="N48" i="13" a="1"/>
  <c r="N48" i="13" s="1"/>
  <c r="O48" i="13" a="1"/>
  <c r="O48" i="13" s="1"/>
  <c r="P48" i="13" a="1"/>
  <c r="P48" i="13" s="1"/>
  <c r="Q48" i="13" a="1"/>
  <c r="Q48" i="13" s="1"/>
  <c r="R48" i="13" a="1"/>
  <c r="R48" i="13" s="1"/>
  <c r="U48" i="13" a="1"/>
  <c r="U48" i="13" s="1"/>
  <c r="V48" i="13" a="1"/>
  <c r="V48" i="13" s="1"/>
  <c r="W48" i="13" a="1"/>
  <c r="W48" i="13" s="1"/>
  <c r="X48" i="13" a="1"/>
  <c r="X48" i="13" s="1"/>
  <c r="K49" i="13" a="1"/>
  <c r="K49" i="13" s="1"/>
  <c r="L49" i="13" a="1"/>
  <c r="L49" i="13" s="1"/>
  <c r="M49" i="13" a="1"/>
  <c r="M49" i="13" s="1"/>
  <c r="N49" i="13" a="1"/>
  <c r="N49" i="13" s="1"/>
  <c r="O49" i="13" a="1"/>
  <c r="O49" i="13" s="1"/>
  <c r="P49" i="13" a="1"/>
  <c r="P49" i="13" s="1"/>
  <c r="Q49" i="13" a="1"/>
  <c r="Q49" i="13" s="1"/>
  <c r="R49" i="13" a="1"/>
  <c r="R49" i="13" s="1"/>
  <c r="U49" i="13" a="1"/>
  <c r="U49" i="13" s="1"/>
  <c r="V49" i="13" a="1"/>
  <c r="V49" i="13" s="1"/>
  <c r="W49" i="13" a="1"/>
  <c r="W49" i="13" s="1"/>
  <c r="X49" i="13" a="1"/>
  <c r="X49" i="13" s="1"/>
  <c r="K50" i="13" a="1"/>
  <c r="K50" i="13" s="1"/>
  <c r="L50" i="13" a="1"/>
  <c r="L50" i="13" s="1"/>
  <c r="M50" i="13" a="1"/>
  <c r="M50" i="13" s="1"/>
  <c r="N50" i="13" a="1"/>
  <c r="N50" i="13" s="1"/>
  <c r="O50" i="13" a="1"/>
  <c r="O50" i="13" s="1"/>
  <c r="P50" i="13" a="1"/>
  <c r="P50" i="13" s="1"/>
  <c r="Q50" i="13" a="1"/>
  <c r="Q50" i="13" s="1"/>
  <c r="R50" i="13" a="1"/>
  <c r="R50" i="13" s="1"/>
  <c r="U50" i="13" a="1"/>
  <c r="U50" i="13" s="1"/>
  <c r="V50" i="13" a="1"/>
  <c r="V50" i="13" s="1"/>
  <c r="W50" i="13" a="1"/>
  <c r="W50" i="13" s="1"/>
  <c r="X50" i="13" a="1"/>
  <c r="X50" i="13" s="1"/>
  <c r="K51" i="13" a="1"/>
  <c r="K51" i="13" s="1"/>
  <c r="L51" i="13" a="1"/>
  <c r="L51" i="13" s="1"/>
  <c r="M51" i="13" a="1"/>
  <c r="M51" i="13" s="1"/>
  <c r="N51" i="13" a="1"/>
  <c r="N51" i="13" s="1"/>
  <c r="O51" i="13" a="1"/>
  <c r="O51" i="13" s="1"/>
  <c r="P51" i="13" a="1"/>
  <c r="P51" i="13" s="1"/>
  <c r="Q51" i="13" a="1"/>
  <c r="Q51" i="13" s="1"/>
  <c r="R51" i="13" a="1"/>
  <c r="R51" i="13" s="1"/>
  <c r="U51" i="13" a="1"/>
  <c r="U51" i="13" s="1"/>
  <c r="V51" i="13" a="1"/>
  <c r="V51" i="13" s="1"/>
  <c r="W51" i="13" a="1"/>
  <c r="W51" i="13" s="1"/>
  <c r="X51" i="13" a="1"/>
  <c r="X51" i="13" s="1"/>
  <c r="K52" i="13" a="1"/>
  <c r="K52" i="13" s="1"/>
  <c r="L52" i="13" a="1"/>
  <c r="L52" i="13" s="1"/>
  <c r="M52" i="13" a="1"/>
  <c r="M52" i="13" s="1"/>
  <c r="N52" i="13" a="1"/>
  <c r="N52" i="13" s="1"/>
  <c r="O52" i="13" a="1"/>
  <c r="O52" i="13" s="1"/>
  <c r="P52" i="13" a="1"/>
  <c r="P52" i="13" s="1"/>
  <c r="Q52" i="13" a="1"/>
  <c r="Q52" i="13" s="1"/>
  <c r="R52" i="13" a="1"/>
  <c r="R52" i="13" s="1"/>
  <c r="U52" i="13" a="1"/>
  <c r="U52" i="13" s="1"/>
  <c r="V52" i="13" a="1"/>
  <c r="V52" i="13" s="1"/>
  <c r="W52" i="13" a="1"/>
  <c r="W52" i="13" s="1"/>
  <c r="X52" i="13" a="1"/>
  <c r="X52" i="13" s="1"/>
  <c r="K53" i="13" a="1"/>
  <c r="K53" i="13" s="1"/>
  <c r="L53" i="13" a="1"/>
  <c r="L53" i="13" s="1"/>
  <c r="M53" i="13" a="1"/>
  <c r="M53" i="13" s="1"/>
  <c r="N53" i="13" a="1"/>
  <c r="N53" i="13" s="1"/>
  <c r="O53" i="13" a="1"/>
  <c r="O53" i="13" s="1"/>
  <c r="P53" i="13" a="1"/>
  <c r="P53" i="13" s="1"/>
  <c r="Q53" i="13" a="1"/>
  <c r="Q53" i="13" s="1"/>
  <c r="R53" i="13" a="1"/>
  <c r="R53" i="13" s="1"/>
  <c r="U53" i="13" a="1"/>
  <c r="U53" i="13" s="1"/>
  <c r="V53" i="13" a="1"/>
  <c r="V53" i="13" s="1"/>
  <c r="W53" i="13" a="1"/>
  <c r="W53" i="13" s="1"/>
  <c r="X53" i="13" a="1"/>
  <c r="X53" i="13" s="1"/>
  <c r="K54" i="13" a="1"/>
  <c r="K54" i="13" s="1"/>
  <c r="L54" i="13" a="1"/>
  <c r="L54" i="13" s="1"/>
  <c r="M54" i="13" a="1"/>
  <c r="M54" i="13" s="1"/>
  <c r="N54" i="13" a="1"/>
  <c r="N54" i="13" s="1"/>
  <c r="O54" i="13" a="1"/>
  <c r="O54" i="13" s="1"/>
  <c r="P54" i="13" a="1"/>
  <c r="P54" i="13" s="1"/>
  <c r="Q54" i="13" a="1"/>
  <c r="Q54" i="13" s="1"/>
  <c r="R54" i="13" a="1"/>
  <c r="R54" i="13" s="1"/>
  <c r="U54" i="13" a="1"/>
  <c r="U54" i="13" s="1"/>
  <c r="V54" i="13" a="1"/>
  <c r="V54" i="13" s="1"/>
  <c r="W54" i="13" a="1"/>
  <c r="W54" i="13" s="1"/>
  <c r="X54" i="13" a="1"/>
  <c r="X54" i="13" s="1"/>
  <c r="K55" i="13" a="1"/>
  <c r="K55" i="13" s="1"/>
  <c r="L55" i="13" a="1"/>
  <c r="L55" i="13" s="1"/>
  <c r="M55" i="13" a="1"/>
  <c r="M55" i="13" s="1"/>
  <c r="N55" i="13" a="1"/>
  <c r="N55" i="13" s="1"/>
  <c r="O55" i="13" a="1"/>
  <c r="O55" i="13" s="1"/>
  <c r="P55" i="13" a="1"/>
  <c r="P55" i="13" s="1"/>
  <c r="Q55" i="13" a="1"/>
  <c r="Q55" i="13" s="1"/>
  <c r="R55" i="13" a="1"/>
  <c r="R55" i="13" s="1"/>
  <c r="U55" i="13" a="1"/>
  <c r="U55" i="13" s="1"/>
  <c r="V55" i="13" a="1"/>
  <c r="V55" i="13" s="1"/>
  <c r="W55" i="13" a="1"/>
  <c r="W55" i="13" s="1"/>
  <c r="X55" i="13" a="1"/>
  <c r="X55" i="13" s="1"/>
  <c r="K56" i="13" a="1"/>
  <c r="K56" i="13" s="1"/>
  <c r="L56" i="13" a="1"/>
  <c r="L56" i="13" s="1"/>
  <c r="M56" i="13" a="1"/>
  <c r="M56" i="13" s="1"/>
  <c r="N56" i="13" a="1"/>
  <c r="N56" i="13" s="1"/>
  <c r="O56" i="13" a="1"/>
  <c r="O56" i="13" s="1"/>
  <c r="P56" i="13" a="1"/>
  <c r="P56" i="13" s="1"/>
  <c r="Q56" i="13" a="1"/>
  <c r="Q56" i="13" s="1"/>
  <c r="R56" i="13" a="1"/>
  <c r="R56" i="13" s="1"/>
  <c r="U56" i="13" a="1"/>
  <c r="U56" i="13" s="1"/>
  <c r="V56" i="13" a="1"/>
  <c r="V56" i="13" s="1"/>
  <c r="W56" i="13" a="1"/>
  <c r="W56" i="13" s="1"/>
  <c r="X56" i="13" a="1"/>
  <c r="X56" i="13" s="1"/>
  <c r="K57" i="13" a="1"/>
  <c r="K57" i="13" s="1"/>
  <c r="L57" i="13" a="1"/>
  <c r="L57" i="13" s="1"/>
  <c r="M57" i="13" a="1"/>
  <c r="M57" i="13" s="1"/>
  <c r="N57" i="13" a="1"/>
  <c r="N57" i="13" s="1"/>
  <c r="O57" i="13" a="1"/>
  <c r="O57" i="13" s="1"/>
  <c r="P57" i="13" a="1"/>
  <c r="P57" i="13" s="1"/>
  <c r="Q57" i="13" a="1"/>
  <c r="Q57" i="13" s="1"/>
  <c r="R57" i="13" a="1"/>
  <c r="R57" i="13" s="1"/>
  <c r="U57" i="13" a="1"/>
  <c r="U57" i="13" s="1"/>
  <c r="V57" i="13" a="1"/>
  <c r="V57" i="13" s="1"/>
  <c r="W57" i="13" a="1"/>
  <c r="W57" i="13" s="1"/>
  <c r="X57" i="13" a="1"/>
  <c r="X57" i="13" s="1"/>
  <c r="K58" i="13" a="1"/>
  <c r="K58" i="13" s="1"/>
  <c r="L58" i="13" a="1"/>
  <c r="L58" i="13" s="1"/>
  <c r="M58" i="13" a="1"/>
  <c r="M58" i="13" s="1"/>
  <c r="N58" i="13" a="1"/>
  <c r="N58" i="13" s="1"/>
  <c r="O58" i="13" a="1"/>
  <c r="O58" i="13" s="1"/>
  <c r="P58" i="13" a="1"/>
  <c r="P58" i="13" s="1"/>
  <c r="Q58" i="13" a="1"/>
  <c r="Q58" i="13" s="1"/>
  <c r="R58" i="13" a="1"/>
  <c r="R58" i="13" s="1"/>
  <c r="U58" i="13" a="1"/>
  <c r="U58" i="13" s="1"/>
  <c r="V58" i="13" a="1"/>
  <c r="V58" i="13" s="1"/>
  <c r="W58" i="13" a="1"/>
  <c r="W58" i="13" s="1"/>
  <c r="X58" i="13" a="1"/>
  <c r="X58" i="13" s="1"/>
  <c r="K59" i="13" a="1"/>
  <c r="K59" i="13" s="1"/>
  <c r="L59" i="13" a="1"/>
  <c r="L59" i="13" s="1"/>
  <c r="M59" i="13" a="1"/>
  <c r="M59" i="13" s="1"/>
  <c r="N59" i="13" a="1"/>
  <c r="N59" i="13" s="1"/>
  <c r="O59" i="13" a="1"/>
  <c r="O59" i="13" s="1"/>
  <c r="P59" i="13" a="1"/>
  <c r="P59" i="13" s="1"/>
  <c r="Q59" i="13" a="1"/>
  <c r="Q59" i="13" s="1"/>
  <c r="R59" i="13" a="1"/>
  <c r="R59" i="13" s="1"/>
  <c r="U59" i="13" a="1"/>
  <c r="U59" i="13" s="1"/>
  <c r="V59" i="13" a="1"/>
  <c r="V59" i="13" s="1"/>
  <c r="W59" i="13" a="1"/>
  <c r="W59" i="13" s="1"/>
  <c r="X59" i="13" a="1"/>
  <c r="X59" i="13" s="1"/>
  <c r="K60" i="13" a="1"/>
  <c r="K60" i="13" s="1"/>
  <c r="L60" i="13" a="1"/>
  <c r="L60" i="13" s="1"/>
  <c r="M60" i="13" a="1"/>
  <c r="M60" i="13" s="1"/>
  <c r="N60" i="13" a="1"/>
  <c r="N60" i="13" s="1"/>
  <c r="O60" i="13" a="1"/>
  <c r="O60" i="13" s="1"/>
  <c r="P60" i="13" a="1"/>
  <c r="P60" i="13" s="1"/>
  <c r="Q60" i="13" a="1"/>
  <c r="Q60" i="13" s="1"/>
  <c r="R60" i="13" a="1"/>
  <c r="R60" i="13" s="1"/>
  <c r="U60" i="13" a="1"/>
  <c r="U60" i="13" s="1"/>
  <c r="V60" i="13" a="1"/>
  <c r="V60" i="13" s="1"/>
  <c r="W60" i="13" a="1"/>
  <c r="W60" i="13" s="1"/>
  <c r="X60" i="13" a="1"/>
  <c r="X60" i="13" s="1"/>
  <c r="K61" i="13" a="1"/>
  <c r="K61" i="13" s="1"/>
  <c r="L61" i="13" a="1"/>
  <c r="L61" i="13" s="1"/>
  <c r="M61" i="13" a="1"/>
  <c r="M61" i="13" s="1"/>
  <c r="N61" i="13" a="1"/>
  <c r="N61" i="13" s="1"/>
  <c r="O61" i="13" a="1"/>
  <c r="O61" i="13" s="1"/>
  <c r="P61" i="13" a="1"/>
  <c r="P61" i="13" s="1"/>
  <c r="Q61" i="13" a="1"/>
  <c r="Q61" i="13" s="1"/>
  <c r="R61" i="13" a="1"/>
  <c r="R61" i="13" s="1"/>
  <c r="U61" i="13" a="1"/>
  <c r="U61" i="13" s="1"/>
  <c r="V61" i="13" a="1"/>
  <c r="V61" i="13" s="1"/>
  <c r="W61" i="13" a="1"/>
  <c r="W61" i="13" s="1"/>
  <c r="X61" i="13" a="1"/>
  <c r="X61" i="13" s="1"/>
  <c r="K62" i="13" a="1"/>
  <c r="K62" i="13" s="1"/>
  <c r="L62" i="13" a="1"/>
  <c r="L62" i="13" s="1"/>
  <c r="M62" i="13" a="1"/>
  <c r="M62" i="13" s="1"/>
  <c r="N62" i="13" a="1"/>
  <c r="N62" i="13" s="1"/>
  <c r="O62" i="13" a="1"/>
  <c r="O62" i="13" s="1"/>
  <c r="P62" i="13" a="1"/>
  <c r="P62" i="13" s="1"/>
  <c r="Q62" i="13" a="1"/>
  <c r="Q62" i="13" s="1"/>
  <c r="R62" i="13" a="1"/>
  <c r="R62" i="13" s="1"/>
  <c r="U62" i="13" a="1"/>
  <c r="U62" i="13" s="1"/>
  <c r="V62" i="13" a="1"/>
  <c r="V62" i="13" s="1"/>
  <c r="W62" i="13" a="1"/>
  <c r="W62" i="13" s="1"/>
  <c r="X62" i="13" a="1"/>
  <c r="X62" i="13" s="1"/>
  <c r="K63" i="13" a="1"/>
  <c r="K63" i="13" s="1"/>
  <c r="L63" i="13" a="1"/>
  <c r="L63" i="13" s="1"/>
  <c r="M63" i="13" a="1"/>
  <c r="M63" i="13" s="1"/>
  <c r="N63" i="13" a="1"/>
  <c r="N63" i="13" s="1"/>
  <c r="O63" i="13" a="1"/>
  <c r="O63" i="13" s="1"/>
  <c r="P63" i="13" a="1"/>
  <c r="P63" i="13" s="1"/>
  <c r="Q63" i="13" a="1"/>
  <c r="Q63" i="13" s="1"/>
  <c r="R63" i="13" a="1"/>
  <c r="R63" i="13" s="1"/>
  <c r="U63" i="13" a="1"/>
  <c r="U63" i="13" s="1"/>
  <c r="V63" i="13" a="1"/>
  <c r="V63" i="13" s="1"/>
  <c r="W63" i="13" a="1"/>
  <c r="W63" i="13" s="1"/>
  <c r="X63" i="13" a="1"/>
  <c r="X63" i="13" s="1"/>
  <c r="K64" i="13" a="1"/>
  <c r="K64" i="13" s="1"/>
  <c r="L64" i="13" a="1"/>
  <c r="L64" i="13" s="1"/>
  <c r="M64" i="13" a="1"/>
  <c r="M64" i="13" s="1"/>
  <c r="N64" i="13" a="1"/>
  <c r="N64" i="13" s="1"/>
  <c r="O64" i="13" a="1"/>
  <c r="O64" i="13" s="1"/>
  <c r="P64" i="13" a="1"/>
  <c r="P64" i="13" s="1"/>
  <c r="Q64" i="13" a="1"/>
  <c r="Q64" i="13" s="1"/>
  <c r="R64" i="13" a="1"/>
  <c r="R64" i="13" s="1"/>
  <c r="U64" i="13" a="1"/>
  <c r="U64" i="13" s="1"/>
  <c r="V64" i="13" a="1"/>
  <c r="V64" i="13" s="1"/>
  <c r="W64" i="13" a="1"/>
  <c r="W64" i="13" s="1"/>
  <c r="X64" i="13" a="1"/>
  <c r="X64" i="13" s="1"/>
  <c r="K65" i="13" a="1"/>
  <c r="K65" i="13" s="1"/>
  <c r="L65" i="13" a="1"/>
  <c r="L65" i="13" s="1"/>
  <c r="M65" i="13" a="1"/>
  <c r="M65" i="13" s="1"/>
  <c r="N65" i="13" a="1"/>
  <c r="N65" i="13" s="1"/>
  <c r="O65" i="13" a="1"/>
  <c r="O65" i="13" s="1"/>
  <c r="P65" i="13" a="1"/>
  <c r="P65" i="13" s="1"/>
  <c r="Q65" i="13" a="1"/>
  <c r="Q65" i="13" s="1"/>
  <c r="R65" i="13" a="1"/>
  <c r="R65" i="13" s="1"/>
  <c r="U65" i="13" a="1"/>
  <c r="U65" i="13" s="1"/>
  <c r="V65" i="13" a="1"/>
  <c r="V65" i="13" s="1"/>
  <c r="W65" i="13" a="1"/>
  <c r="W65" i="13" s="1"/>
  <c r="X65" i="13" a="1"/>
  <c r="X65" i="13" s="1"/>
  <c r="K66" i="13" a="1"/>
  <c r="K66" i="13" s="1"/>
  <c r="L66" i="13" a="1"/>
  <c r="L66" i="13" s="1"/>
  <c r="M66" i="13" a="1"/>
  <c r="M66" i="13" s="1"/>
  <c r="N66" i="13" a="1"/>
  <c r="N66" i="13" s="1"/>
  <c r="O66" i="13" a="1"/>
  <c r="O66" i="13" s="1"/>
  <c r="P66" i="13" a="1"/>
  <c r="P66" i="13" s="1"/>
  <c r="Q66" i="13" a="1"/>
  <c r="Q66" i="13" s="1"/>
  <c r="R66" i="13" a="1"/>
  <c r="R66" i="13" s="1"/>
  <c r="U66" i="13" a="1"/>
  <c r="U66" i="13" s="1"/>
  <c r="V66" i="13" a="1"/>
  <c r="V66" i="13" s="1"/>
  <c r="W66" i="13" a="1"/>
  <c r="W66" i="13" s="1"/>
  <c r="X66" i="13" a="1"/>
  <c r="X66" i="13" s="1"/>
  <c r="K67" i="13" a="1"/>
  <c r="K67" i="13" s="1"/>
  <c r="L67" i="13" a="1"/>
  <c r="L67" i="13" s="1"/>
  <c r="M67" i="13" a="1"/>
  <c r="M67" i="13" s="1"/>
  <c r="N67" i="13" a="1"/>
  <c r="N67" i="13" s="1"/>
  <c r="O67" i="13" a="1"/>
  <c r="O67" i="13" s="1"/>
  <c r="P67" i="13" a="1"/>
  <c r="P67" i="13" s="1"/>
  <c r="Q67" i="13" a="1"/>
  <c r="Q67" i="13" s="1"/>
  <c r="R67" i="13" a="1"/>
  <c r="R67" i="13" s="1"/>
  <c r="U67" i="13" a="1"/>
  <c r="U67" i="13" s="1"/>
  <c r="V67" i="13" a="1"/>
  <c r="V67" i="13" s="1"/>
  <c r="W67" i="13" a="1"/>
  <c r="W67" i="13" s="1"/>
  <c r="X67" i="13" a="1"/>
  <c r="X67" i="13" s="1"/>
  <c r="K68" i="13" a="1"/>
  <c r="K68" i="13" s="1"/>
  <c r="L68" i="13" a="1"/>
  <c r="L68" i="13" s="1"/>
  <c r="M68" i="13" a="1"/>
  <c r="M68" i="13" s="1"/>
  <c r="N68" i="13" a="1"/>
  <c r="N68" i="13" s="1"/>
  <c r="O68" i="13" a="1"/>
  <c r="O68" i="13" s="1"/>
  <c r="P68" i="13" a="1"/>
  <c r="P68" i="13" s="1"/>
  <c r="Q68" i="13" a="1"/>
  <c r="Q68" i="13" s="1"/>
  <c r="R68" i="13" a="1"/>
  <c r="R68" i="13" s="1"/>
  <c r="U68" i="13" a="1"/>
  <c r="U68" i="13" s="1"/>
  <c r="V68" i="13" a="1"/>
  <c r="V68" i="13" s="1"/>
  <c r="W68" i="13" a="1"/>
  <c r="W68" i="13" s="1"/>
  <c r="X68" i="13" a="1"/>
  <c r="X68" i="13" s="1"/>
  <c r="K69" i="13" a="1"/>
  <c r="K69" i="13" s="1"/>
  <c r="L69" i="13" a="1"/>
  <c r="L69" i="13" s="1"/>
  <c r="M69" i="13" a="1"/>
  <c r="M69" i="13" s="1"/>
  <c r="N69" i="13" a="1"/>
  <c r="N69" i="13" s="1"/>
  <c r="O69" i="13" a="1"/>
  <c r="O69" i="13" s="1"/>
  <c r="P69" i="13" a="1"/>
  <c r="P69" i="13" s="1"/>
  <c r="Q69" i="13" a="1"/>
  <c r="Q69" i="13" s="1"/>
  <c r="R69" i="13" a="1"/>
  <c r="R69" i="13" s="1"/>
  <c r="U69" i="13" a="1"/>
  <c r="U69" i="13" s="1"/>
  <c r="V69" i="13" a="1"/>
  <c r="V69" i="13" s="1"/>
  <c r="W69" i="13" a="1"/>
  <c r="W69" i="13" s="1"/>
  <c r="X69" i="13" a="1"/>
  <c r="X69" i="13" s="1"/>
  <c r="K70" i="13" a="1"/>
  <c r="K70" i="13" s="1"/>
  <c r="L70" i="13" a="1"/>
  <c r="L70" i="13" s="1"/>
  <c r="M70" i="13" a="1"/>
  <c r="M70" i="13" s="1"/>
  <c r="N70" i="13" a="1"/>
  <c r="N70" i="13" s="1"/>
  <c r="O70" i="13" a="1"/>
  <c r="O70" i="13" s="1"/>
  <c r="P70" i="13" a="1"/>
  <c r="P70" i="13" s="1"/>
  <c r="Q70" i="13" a="1"/>
  <c r="Q70" i="13" s="1"/>
  <c r="R70" i="13" a="1"/>
  <c r="R70" i="13" s="1"/>
  <c r="U70" i="13" a="1"/>
  <c r="U70" i="13" s="1"/>
  <c r="V70" i="13" a="1"/>
  <c r="V70" i="13" s="1"/>
  <c r="W70" i="13" a="1"/>
  <c r="W70" i="13" s="1"/>
  <c r="X70" i="13" a="1"/>
  <c r="X70" i="13" s="1"/>
  <c r="K71" i="13" a="1"/>
  <c r="K71" i="13" s="1"/>
  <c r="L71" i="13" a="1"/>
  <c r="L71" i="13" s="1"/>
  <c r="M71" i="13" a="1"/>
  <c r="M71" i="13" s="1"/>
  <c r="N71" i="13" a="1"/>
  <c r="N71" i="13" s="1"/>
  <c r="O71" i="13" a="1"/>
  <c r="O71" i="13" s="1"/>
  <c r="P71" i="13" a="1"/>
  <c r="P71" i="13" s="1"/>
  <c r="Q71" i="13" a="1"/>
  <c r="Q71" i="13" s="1"/>
  <c r="R71" i="13" a="1"/>
  <c r="R71" i="13" s="1"/>
  <c r="U71" i="13" a="1"/>
  <c r="U71" i="13" s="1"/>
  <c r="V71" i="13" a="1"/>
  <c r="V71" i="13" s="1"/>
  <c r="W71" i="13" a="1"/>
  <c r="W71" i="13" s="1"/>
  <c r="X71" i="13" a="1"/>
  <c r="X71" i="13" s="1"/>
  <c r="K72" i="13" a="1"/>
  <c r="K72" i="13" s="1"/>
  <c r="L72" i="13" a="1"/>
  <c r="L72" i="13" s="1"/>
  <c r="M72" i="13" a="1"/>
  <c r="M72" i="13" s="1"/>
  <c r="N72" i="13" a="1"/>
  <c r="N72" i="13" s="1"/>
  <c r="O72" i="13" a="1"/>
  <c r="O72" i="13" s="1"/>
  <c r="P72" i="13" a="1"/>
  <c r="P72" i="13" s="1"/>
  <c r="Q72" i="13" a="1"/>
  <c r="Q72" i="13" s="1"/>
  <c r="R72" i="13" a="1"/>
  <c r="R72" i="13" s="1"/>
  <c r="U72" i="13" a="1"/>
  <c r="U72" i="13" s="1"/>
  <c r="V72" i="13" a="1"/>
  <c r="V72" i="13" s="1"/>
  <c r="W72" i="13" a="1"/>
  <c r="W72" i="13" s="1"/>
  <c r="X72" i="13" a="1"/>
  <c r="X72" i="13" s="1"/>
  <c r="K73" i="13" a="1"/>
  <c r="K73" i="13" s="1"/>
  <c r="L73" i="13" a="1"/>
  <c r="L73" i="13" s="1"/>
  <c r="M73" i="13" a="1"/>
  <c r="M73" i="13" s="1"/>
  <c r="N73" i="13" a="1"/>
  <c r="N73" i="13" s="1"/>
  <c r="O73" i="13" a="1"/>
  <c r="O73" i="13" s="1"/>
  <c r="P73" i="13" a="1"/>
  <c r="P73" i="13" s="1"/>
  <c r="Q73" i="13" a="1"/>
  <c r="Q73" i="13" s="1"/>
  <c r="R73" i="13" a="1"/>
  <c r="R73" i="13" s="1"/>
  <c r="U73" i="13" a="1"/>
  <c r="U73" i="13" s="1"/>
  <c r="V73" i="13" a="1"/>
  <c r="V73" i="13" s="1"/>
  <c r="W73" i="13" a="1"/>
  <c r="W73" i="13" s="1"/>
  <c r="X73" i="13" a="1"/>
  <c r="X73" i="13" s="1"/>
  <c r="K74" i="13" a="1"/>
  <c r="K74" i="13" s="1"/>
  <c r="L74" i="13" a="1"/>
  <c r="L74" i="13" s="1"/>
  <c r="M74" i="13" a="1"/>
  <c r="M74" i="13" s="1"/>
  <c r="N74" i="13" a="1"/>
  <c r="N74" i="13" s="1"/>
  <c r="O74" i="13" a="1"/>
  <c r="O74" i="13" s="1"/>
  <c r="P74" i="13" a="1"/>
  <c r="P74" i="13" s="1"/>
  <c r="Q74" i="13" a="1"/>
  <c r="Q74" i="13" s="1"/>
  <c r="R74" i="13" a="1"/>
  <c r="R74" i="13" s="1"/>
  <c r="U74" i="13" a="1"/>
  <c r="U74" i="13" s="1"/>
  <c r="V74" i="13" a="1"/>
  <c r="V74" i="13" s="1"/>
  <c r="W74" i="13" a="1"/>
  <c r="W74" i="13" s="1"/>
  <c r="X74" i="13" a="1"/>
  <c r="X74" i="13" s="1"/>
  <c r="K75" i="13" a="1"/>
  <c r="K75" i="13" s="1"/>
  <c r="L75" i="13" a="1"/>
  <c r="L75" i="13" s="1"/>
  <c r="M75" i="13" a="1"/>
  <c r="M75" i="13" s="1"/>
  <c r="N75" i="13" a="1"/>
  <c r="N75" i="13" s="1"/>
  <c r="O75" i="13" a="1"/>
  <c r="O75" i="13" s="1"/>
  <c r="P75" i="13" a="1"/>
  <c r="P75" i="13" s="1"/>
  <c r="Q75" i="13" a="1"/>
  <c r="Q75" i="13" s="1"/>
  <c r="R75" i="13" a="1"/>
  <c r="R75" i="13" s="1"/>
  <c r="U75" i="13" a="1"/>
  <c r="U75" i="13" s="1"/>
  <c r="V75" i="13" a="1"/>
  <c r="V75" i="13" s="1"/>
  <c r="W75" i="13" a="1"/>
  <c r="W75" i="13" s="1"/>
  <c r="X75" i="13" a="1"/>
  <c r="X75" i="13" s="1"/>
  <c r="K76" i="13" a="1"/>
  <c r="K76" i="13" s="1"/>
  <c r="L76" i="13" a="1"/>
  <c r="L76" i="13" s="1"/>
  <c r="M76" i="13" a="1"/>
  <c r="M76" i="13" s="1"/>
  <c r="N76" i="13" a="1"/>
  <c r="N76" i="13" s="1"/>
  <c r="O76" i="13" a="1"/>
  <c r="O76" i="13" s="1"/>
  <c r="P76" i="13" a="1"/>
  <c r="P76" i="13" s="1"/>
  <c r="Q76" i="13" a="1"/>
  <c r="Q76" i="13" s="1"/>
  <c r="R76" i="13" a="1"/>
  <c r="R76" i="13" s="1"/>
  <c r="U76" i="13" a="1"/>
  <c r="U76" i="13" s="1"/>
  <c r="V76" i="13" a="1"/>
  <c r="V76" i="13" s="1"/>
  <c r="W76" i="13" a="1"/>
  <c r="W76" i="13" s="1"/>
  <c r="X76" i="13" a="1"/>
  <c r="X76" i="13" s="1"/>
  <c r="K77" i="13" a="1"/>
  <c r="K77" i="13" s="1"/>
  <c r="L77" i="13" a="1"/>
  <c r="L77" i="13" s="1"/>
  <c r="M77" i="13" a="1"/>
  <c r="M77" i="13" s="1"/>
  <c r="N77" i="13" a="1"/>
  <c r="N77" i="13" s="1"/>
  <c r="O77" i="13" a="1"/>
  <c r="O77" i="13" s="1"/>
  <c r="P77" i="13" a="1"/>
  <c r="P77" i="13" s="1"/>
  <c r="Q77" i="13" a="1"/>
  <c r="Q77" i="13" s="1"/>
  <c r="R77" i="13" a="1"/>
  <c r="R77" i="13" s="1"/>
  <c r="U77" i="13" a="1"/>
  <c r="U77" i="13" s="1"/>
  <c r="V77" i="13" a="1"/>
  <c r="V77" i="13" s="1"/>
  <c r="W77" i="13" a="1"/>
  <c r="W77" i="13" s="1"/>
  <c r="X77" i="13" a="1"/>
  <c r="X77" i="13" s="1"/>
  <c r="K78" i="13" a="1"/>
  <c r="K78" i="13" s="1"/>
  <c r="L78" i="13" a="1"/>
  <c r="L78" i="13" s="1"/>
  <c r="M78" i="13" a="1"/>
  <c r="M78" i="13" s="1"/>
  <c r="N78" i="13" a="1"/>
  <c r="N78" i="13" s="1"/>
  <c r="O78" i="13" a="1"/>
  <c r="O78" i="13" s="1"/>
  <c r="P78" i="13" a="1"/>
  <c r="P78" i="13" s="1"/>
  <c r="Q78" i="13" a="1"/>
  <c r="Q78" i="13" s="1"/>
  <c r="R78" i="13" a="1"/>
  <c r="R78" i="13" s="1"/>
  <c r="U78" i="13" a="1"/>
  <c r="U78" i="13" s="1"/>
  <c r="V78" i="13" a="1"/>
  <c r="V78" i="13" s="1"/>
  <c r="W78" i="13" a="1"/>
  <c r="W78" i="13" s="1"/>
  <c r="X78" i="13" a="1"/>
  <c r="X78" i="13" s="1"/>
  <c r="K79" i="13" a="1"/>
  <c r="K79" i="13" s="1"/>
  <c r="L79" i="13" a="1"/>
  <c r="L79" i="13" s="1"/>
  <c r="M79" i="13" a="1"/>
  <c r="M79" i="13" s="1"/>
  <c r="N79" i="13" a="1"/>
  <c r="N79" i="13" s="1"/>
  <c r="O79" i="13" a="1"/>
  <c r="O79" i="13" s="1"/>
  <c r="P79" i="13" a="1"/>
  <c r="P79" i="13" s="1"/>
  <c r="Q79" i="13" a="1"/>
  <c r="Q79" i="13" s="1"/>
  <c r="R79" i="13" a="1"/>
  <c r="R79" i="13" s="1"/>
  <c r="U79" i="13" a="1"/>
  <c r="U79" i="13" s="1"/>
  <c r="V79" i="13" a="1"/>
  <c r="V79" i="13" s="1"/>
  <c r="W79" i="13" a="1"/>
  <c r="W79" i="13" s="1"/>
  <c r="X79" i="13" a="1"/>
  <c r="X79" i="13" s="1"/>
  <c r="K80" i="13" a="1"/>
  <c r="K80" i="13" s="1"/>
  <c r="L80" i="13" a="1"/>
  <c r="L80" i="13" s="1"/>
  <c r="M80" i="13" a="1"/>
  <c r="M80" i="13" s="1"/>
  <c r="N80" i="13" a="1"/>
  <c r="N80" i="13" s="1"/>
  <c r="O80" i="13" a="1"/>
  <c r="O80" i="13" s="1"/>
  <c r="P80" i="13" a="1"/>
  <c r="P80" i="13" s="1"/>
  <c r="Q80" i="13" a="1"/>
  <c r="Q80" i="13" s="1"/>
  <c r="R80" i="13" a="1"/>
  <c r="R80" i="13" s="1"/>
  <c r="U80" i="13" a="1"/>
  <c r="U80" i="13" s="1"/>
  <c r="V80" i="13" a="1"/>
  <c r="V80" i="13" s="1"/>
  <c r="W80" i="13" a="1"/>
  <c r="W80" i="13" s="1"/>
  <c r="X80" i="13" a="1"/>
  <c r="X80" i="13" s="1"/>
  <c r="K81" i="13" a="1"/>
  <c r="K81" i="13" s="1"/>
  <c r="L81" i="13" a="1"/>
  <c r="L81" i="13" s="1"/>
  <c r="M81" i="13" a="1"/>
  <c r="M81" i="13" s="1"/>
  <c r="N81" i="13" a="1"/>
  <c r="N81" i="13" s="1"/>
  <c r="O81" i="13" a="1"/>
  <c r="O81" i="13" s="1"/>
  <c r="P81" i="13" a="1"/>
  <c r="P81" i="13" s="1"/>
  <c r="Q81" i="13" a="1"/>
  <c r="Q81" i="13" s="1"/>
  <c r="R81" i="13" a="1"/>
  <c r="R81" i="13" s="1"/>
  <c r="U81" i="13" a="1"/>
  <c r="U81" i="13" s="1"/>
  <c r="V81" i="13" a="1"/>
  <c r="V81" i="13" s="1"/>
  <c r="W81" i="13" a="1"/>
  <c r="W81" i="13" s="1"/>
  <c r="X81" i="13" a="1"/>
  <c r="X81" i="13" s="1"/>
  <c r="K82" i="13" a="1"/>
  <c r="K82" i="13" s="1"/>
  <c r="L82" i="13" a="1"/>
  <c r="L82" i="13" s="1"/>
  <c r="M82" i="13" a="1"/>
  <c r="M82" i="13" s="1"/>
  <c r="N82" i="13" a="1"/>
  <c r="N82" i="13" s="1"/>
  <c r="O82" i="13" a="1"/>
  <c r="O82" i="13" s="1"/>
  <c r="P82" i="13" a="1"/>
  <c r="P82" i="13" s="1"/>
  <c r="Q82" i="13" a="1"/>
  <c r="Q82" i="13" s="1"/>
  <c r="R82" i="13" a="1"/>
  <c r="R82" i="13" s="1"/>
  <c r="U82" i="13" a="1"/>
  <c r="U82" i="13" s="1"/>
  <c r="V82" i="13" a="1"/>
  <c r="V82" i="13" s="1"/>
  <c r="W82" i="13" a="1"/>
  <c r="W82" i="13" s="1"/>
  <c r="X82" i="13" a="1"/>
  <c r="X82" i="13" s="1"/>
  <c r="K83" i="13" a="1"/>
  <c r="K83" i="13" s="1"/>
  <c r="L83" i="13" a="1"/>
  <c r="L83" i="13" s="1"/>
  <c r="M83" i="13" a="1"/>
  <c r="M83" i="13" s="1"/>
  <c r="N83" i="13" a="1"/>
  <c r="N83" i="13" s="1"/>
  <c r="O83" i="13" a="1"/>
  <c r="O83" i="13" s="1"/>
  <c r="P83" i="13" a="1"/>
  <c r="P83" i="13" s="1"/>
  <c r="Q83" i="13" a="1"/>
  <c r="Q83" i="13" s="1"/>
  <c r="R83" i="13" a="1"/>
  <c r="R83" i="13" s="1"/>
  <c r="U83" i="13" a="1"/>
  <c r="U83" i="13" s="1"/>
  <c r="V83" i="13" a="1"/>
  <c r="V83" i="13" s="1"/>
  <c r="W83" i="13" a="1"/>
  <c r="W83" i="13" s="1"/>
  <c r="X83" i="13" a="1"/>
  <c r="X83" i="13" s="1"/>
  <c r="K84" i="13" a="1"/>
  <c r="K84" i="13" s="1"/>
  <c r="L84" i="13" a="1"/>
  <c r="L84" i="13" s="1"/>
  <c r="M84" i="13" a="1"/>
  <c r="M84" i="13" s="1"/>
  <c r="N84" i="13" a="1"/>
  <c r="N84" i="13" s="1"/>
  <c r="O84" i="13" a="1"/>
  <c r="O84" i="13" s="1"/>
  <c r="P84" i="13" a="1"/>
  <c r="P84" i="13" s="1"/>
  <c r="Q84" i="13" a="1"/>
  <c r="Q84" i="13" s="1"/>
  <c r="R84" i="13" a="1"/>
  <c r="R84" i="13" s="1"/>
  <c r="U84" i="13" a="1"/>
  <c r="U84" i="13" s="1"/>
  <c r="V84" i="13" a="1"/>
  <c r="V84" i="13" s="1"/>
  <c r="W84" i="13" a="1"/>
  <c r="W84" i="13" s="1"/>
  <c r="X84" i="13" a="1"/>
  <c r="X84" i="13" s="1"/>
  <c r="K85" i="13" a="1"/>
  <c r="K85" i="13" s="1"/>
  <c r="L85" i="13" a="1"/>
  <c r="L85" i="13" s="1"/>
  <c r="M85" i="13" a="1"/>
  <c r="M85" i="13" s="1"/>
  <c r="N85" i="13" a="1"/>
  <c r="N85" i="13" s="1"/>
  <c r="O85" i="13" a="1"/>
  <c r="O85" i="13" s="1"/>
  <c r="P85" i="13" a="1"/>
  <c r="P85" i="13" s="1"/>
  <c r="Q85" i="13" a="1"/>
  <c r="Q85" i="13" s="1"/>
  <c r="R85" i="13" a="1"/>
  <c r="R85" i="13" s="1"/>
  <c r="U85" i="13" a="1"/>
  <c r="U85" i="13" s="1"/>
  <c r="V85" i="13" a="1"/>
  <c r="V85" i="13" s="1"/>
  <c r="W85" i="13" a="1"/>
  <c r="W85" i="13" s="1"/>
  <c r="X85" i="13" a="1"/>
  <c r="X85" i="13" s="1"/>
  <c r="K86" i="13" a="1"/>
  <c r="K86" i="13" s="1"/>
  <c r="L86" i="13" a="1"/>
  <c r="L86" i="13" s="1"/>
  <c r="M86" i="13" a="1"/>
  <c r="M86" i="13" s="1"/>
  <c r="N86" i="13" a="1"/>
  <c r="N86" i="13" s="1"/>
  <c r="O86" i="13" a="1"/>
  <c r="O86" i="13" s="1"/>
  <c r="P86" i="13" a="1"/>
  <c r="P86" i="13" s="1"/>
  <c r="Q86" i="13" a="1"/>
  <c r="Q86" i="13" s="1"/>
  <c r="R86" i="13" a="1"/>
  <c r="R86" i="13" s="1"/>
  <c r="U86" i="13" a="1"/>
  <c r="U86" i="13" s="1"/>
  <c r="V86" i="13" a="1"/>
  <c r="V86" i="13" s="1"/>
  <c r="W86" i="13" a="1"/>
  <c r="W86" i="13" s="1"/>
  <c r="X86" i="13" a="1"/>
  <c r="X86" i="13" s="1"/>
  <c r="K87" i="13" a="1"/>
  <c r="K87" i="13" s="1"/>
  <c r="L87" i="13" a="1"/>
  <c r="L87" i="13" s="1"/>
  <c r="M87" i="13" a="1"/>
  <c r="M87" i="13" s="1"/>
  <c r="N87" i="13" a="1"/>
  <c r="N87" i="13" s="1"/>
  <c r="O87" i="13" a="1"/>
  <c r="O87" i="13" s="1"/>
  <c r="P87" i="13" a="1"/>
  <c r="P87" i="13" s="1"/>
  <c r="Q87" i="13" a="1"/>
  <c r="Q87" i="13" s="1"/>
  <c r="R87" i="13" a="1"/>
  <c r="R87" i="13" s="1"/>
  <c r="U87" i="13" a="1"/>
  <c r="U87" i="13" s="1"/>
  <c r="V87" i="13" a="1"/>
  <c r="V87" i="13" s="1"/>
  <c r="W87" i="13" a="1"/>
  <c r="W87" i="13" s="1"/>
  <c r="X87" i="13" a="1"/>
  <c r="X87" i="13" s="1"/>
  <c r="K88" i="13" a="1"/>
  <c r="K88" i="13" s="1"/>
  <c r="L88" i="13" a="1"/>
  <c r="L88" i="13" s="1"/>
  <c r="M88" i="13" a="1"/>
  <c r="M88" i="13" s="1"/>
  <c r="N88" i="13" a="1"/>
  <c r="N88" i="13" s="1"/>
  <c r="O88" i="13" a="1"/>
  <c r="O88" i="13" s="1"/>
  <c r="P88" i="13" a="1"/>
  <c r="P88" i="13" s="1"/>
  <c r="Q88" i="13" a="1"/>
  <c r="Q88" i="13" s="1"/>
  <c r="R88" i="13" a="1"/>
  <c r="R88" i="13" s="1"/>
  <c r="U88" i="13" a="1"/>
  <c r="U88" i="13" s="1"/>
  <c r="V88" i="13" a="1"/>
  <c r="V88" i="13" s="1"/>
  <c r="W88" i="13" a="1"/>
  <c r="W88" i="13" s="1"/>
  <c r="X88" i="13" a="1"/>
  <c r="X88" i="13" s="1"/>
  <c r="K89" i="13" a="1"/>
  <c r="K89" i="13" s="1"/>
  <c r="L89" i="13" a="1"/>
  <c r="L89" i="13" s="1"/>
  <c r="M89" i="13" a="1"/>
  <c r="M89" i="13" s="1"/>
  <c r="N89" i="13" a="1"/>
  <c r="N89" i="13" s="1"/>
  <c r="O89" i="13" a="1"/>
  <c r="O89" i="13" s="1"/>
  <c r="P89" i="13" a="1"/>
  <c r="P89" i="13" s="1"/>
  <c r="Q89" i="13" a="1"/>
  <c r="Q89" i="13" s="1"/>
  <c r="R89" i="13" a="1"/>
  <c r="R89" i="13" s="1"/>
  <c r="U89" i="13" a="1"/>
  <c r="U89" i="13" s="1"/>
  <c r="V89" i="13" a="1"/>
  <c r="V89" i="13" s="1"/>
  <c r="W89" i="13" a="1"/>
  <c r="W89" i="13" s="1"/>
  <c r="X89" i="13" a="1"/>
  <c r="X89" i="13" s="1"/>
  <c r="K90" i="13" a="1"/>
  <c r="K90" i="13" s="1"/>
  <c r="L90" i="13" a="1"/>
  <c r="L90" i="13" s="1"/>
  <c r="M90" i="13" a="1"/>
  <c r="M90" i="13" s="1"/>
  <c r="N90" i="13" a="1"/>
  <c r="N90" i="13" s="1"/>
  <c r="O90" i="13" a="1"/>
  <c r="O90" i="13" s="1"/>
  <c r="P90" i="13" a="1"/>
  <c r="P90" i="13" s="1"/>
  <c r="Q90" i="13" a="1"/>
  <c r="Q90" i="13" s="1"/>
  <c r="R90" i="13" a="1"/>
  <c r="R90" i="13" s="1"/>
  <c r="U90" i="13" a="1"/>
  <c r="U90" i="13" s="1"/>
  <c r="V90" i="13" a="1"/>
  <c r="V90" i="13" s="1"/>
  <c r="W90" i="13" a="1"/>
  <c r="W90" i="13" s="1"/>
  <c r="X90" i="13" a="1"/>
  <c r="X90" i="13" s="1"/>
  <c r="K91" i="13" a="1"/>
  <c r="K91" i="13" s="1"/>
  <c r="L91" i="13" a="1"/>
  <c r="L91" i="13" s="1"/>
  <c r="M91" i="13" a="1"/>
  <c r="M91" i="13" s="1"/>
  <c r="N91" i="13" a="1"/>
  <c r="N91" i="13" s="1"/>
  <c r="O91" i="13" a="1"/>
  <c r="O91" i="13" s="1"/>
  <c r="P91" i="13" a="1"/>
  <c r="P91" i="13" s="1"/>
  <c r="Q91" i="13" a="1"/>
  <c r="Q91" i="13" s="1"/>
  <c r="R91" i="13" a="1"/>
  <c r="R91" i="13" s="1"/>
  <c r="U91" i="13" a="1"/>
  <c r="U91" i="13" s="1"/>
  <c r="V91" i="13" a="1"/>
  <c r="V91" i="13" s="1"/>
  <c r="W91" i="13" a="1"/>
  <c r="W91" i="13" s="1"/>
  <c r="X91" i="13" a="1"/>
  <c r="X91" i="13" s="1"/>
  <c r="K92" i="13" a="1"/>
  <c r="K92" i="13" s="1"/>
  <c r="L92" i="13" a="1"/>
  <c r="L92" i="13" s="1"/>
  <c r="M92" i="13" a="1"/>
  <c r="M92" i="13" s="1"/>
  <c r="N92" i="13" a="1"/>
  <c r="N92" i="13" s="1"/>
  <c r="O92" i="13" a="1"/>
  <c r="O92" i="13" s="1"/>
  <c r="P92" i="13" a="1"/>
  <c r="P92" i="13" s="1"/>
  <c r="Q92" i="13" a="1"/>
  <c r="Q92" i="13" s="1"/>
  <c r="R92" i="13" a="1"/>
  <c r="R92" i="13" s="1"/>
  <c r="U92" i="13" a="1"/>
  <c r="U92" i="13" s="1"/>
  <c r="V92" i="13" a="1"/>
  <c r="V92" i="13" s="1"/>
  <c r="W92" i="13" a="1"/>
  <c r="W92" i="13" s="1"/>
  <c r="X92" i="13" a="1"/>
  <c r="X92" i="13" s="1"/>
  <c r="K93" i="13" a="1"/>
  <c r="K93" i="13" s="1"/>
  <c r="L93" i="13" a="1"/>
  <c r="L93" i="13" s="1"/>
  <c r="M93" i="13" a="1"/>
  <c r="M93" i="13" s="1"/>
  <c r="N93" i="13" a="1"/>
  <c r="N93" i="13" s="1"/>
  <c r="O93" i="13" a="1"/>
  <c r="O93" i="13" s="1"/>
  <c r="P93" i="13" a="1"/>
  <c r="P93" i="13" s="1"/>
  <c r="Q93" i="13" a="1"/>
  <c r="Q93" i="13" s="1"/>
  <c r="R93" i="13" a="1"/>
  <c r="R93" i="13" s="1"/>
  <c r="U93" i="13" a="1"/>
  <c r="U93" i="13" s="1"/>
  <c r="V93" i="13" a="1"/>
  <c r="V93" i="13" s="1"/>
  <c r="W93" i="13" a="1"/>
  <c r="W93" i="13" s="1"/>
  <c r="X93" i="13" a="1"/>
  <c r="X93" i="13" s="1"/>
  <c r="K94" i="13" a="1"/>
  <c r="K94" i="13" s="1"/>
  <c r="L94" i="13" a="1"/>
  <c r="L94" i="13" s="1"/>
  <c r="M94" i="13" a="1"/>
  <c r="M94" i="13" s="1"/>
  <c r="N94" i="13" a="1"/>
  <c r="N94" i="13" s="1"/>
  <c r="O94" i="13" a="1"/>
  <c r="O94" i="13" s="1"/>
  <c r="P94" i="13" a="1"/>
  <c r="P94" i="13" s="1"/>
  <c r="Q94" i="13" a="1"/>
  <c r="Q94" i="13" s="1"/>
  <c r="R94" i="13" a="1"/>
  <c r="R94" i="13" s="1"/>
  <c r="U94" i="13" a="1"/>
  <c r="U94" i="13" s="1"/>
  <c r="V94" i="13" a="1"/>
  <c r="V94" i="13" s="1"/>
  <c r="W94" i="13" a="1"/>
  <c r="W94" i="13" s="1"/>
  <c r="X94" i="13" a="1"/>
  <c r="X94" i="13" s="1"/>
  <c r="K95" i="13" a="1"/>
  <c r="K95" i="13" s="1"/>
  <c r="L95" i="13" a="1"/>
  <c r="L95" i="13" s="1"/>
  <c r="M95" i="13" a="1"/>
  <c r="M95" i="13" s="1"/>
  <c r="N95" i="13" a="1"/>
  <c r="N95" i="13" s="1"/>
  <c r="O95" i="13" a="1"/>
  <c r="O95" i="13" s="1"/>
  <c r="P95" i="13" a="1"/>
  <c r="P95" i="13" s="1"/>
  <c r="Q95" i="13" a="1"/>
  <c r="Q95" i="13" s="1"/>
  <c r="R95" i="13" a="1"/>
  <c r="R95" i="13" s="1"/>
  <c r="U95" i="13" a="1"/>
  <c r="U95" i="13" s="1"/>
  <c r="V95" i="13" a="1"/>
  <c r="V95" i="13" s="1"/>
  <c r="W95" i="13" a="1"/>
  <c r="W95" i="13" s="1"/>
  <c r="X95" i="13" a="1"/>
  <c r="X95" i="13" s="1"/>
  <c r="K96" i="13" a="1"/>
  <c r="K96" i="13" s="1"/>
  <c r="L96" i="13" a="1"/>
  <c r="L96" i="13" s="1"/>
  <c r="M96" i="13" a="1"/>
  <c r="M96" i="13" s="1"/>
  <c r="N96" i="13" a="1"/>
  <c r="N96" i="13" s="1"/>
  <c r="O96" i="13" a="1"/>
  <c r="O96" i="13" s="1"/>
  <c r="P96" i="13" a="1"/>
  <c r="P96" i="13" s="1"/>
  <c r="Q96" i="13" a="1"/>
  <c r="Q96" i="13" s="1"/>
  <c r="R96" i="13" a="1"/>
  <c r="R96" i="13" s="1"/>
  <c r="U96" i="13" a="1"/>
  <c r="U96" i="13" s="1"/>
  <c r="V96" i="13" a="1"/>
  <c r="V96" i="13" s="1"/>
  <c r="W96" i="13" a="1"/>
  <c r="W96" i="13" s="1"/>
  <c r="X96" i="13" a="1"/>
  <c r="X96" i="13" s="1"/>
  <c r="K97" i="13" a="1"/>
  <c r="K97" i="13" s="1"/>
  <c r="L97" i="13" a="1"/>
  <c r="L97" i="13" s="1"/>
  <c r="M97" i="13" a="1"/>
  <c r="M97" i="13" s="1"/>
  <c r="N97" i="13" a="1"/>
  <c r="N97" i="13" s="1"/>
  <c r="O97" i="13" a="1"/>
  <c r="O97" i="13" s="1"/>
  <c r="P97" i="13" a="1"/>
  <c r="P97" i="13" s="1"/>
  <c r="Q97" i="13" a="1"/>
  <c r="Q97" i="13" s="1"/>
  <c r="R97" i="13" a="1"/>
  <c r="R97" i="13" s="1"/>
  <c r="U97" i="13" a="1"/>
  <c r="U97" i="13" s="1"/>
  <c r="V97" i="13" a="1"/>
  <c r="V97" i="13" s="1"/>
  <c r="W97" i="13" a="1"/>
  <c r="W97" i="13" s="1"/>
  <c r="X97" i="13" a="1"/>
  <c r="X97" i="13" s="1"/>
  <c r="K98" i="13" a="1"/>
  <c r="K98" i="13" s="1"/>
  <c r="L98" i="13" a="1"/>
  <c r="L98" i="13" s="1"/>
  <c r="M98" i="13" a="1"/>
  <c r="M98" i="13" s="1"/>
  <c r="N98" i="13" a="1"/>
  <c r="N98" i="13" s="1"/>
  <c r="O98" i="13" a="1"/>
  <c r="O98" i="13" s="1"/>
  <c r="P98" i="13" a="1"/>
  <c r="P98" i="13" s="1"/>
  <c r="Q98" i="13" a="1"/>
  <c r="Q98" i="13" s="1"/>
  <c r="R98" i="13" a="1"/>
  <c r="R98" i="13" s="1"/>
  <c r="U98" i="13" a="1"/>
  <c r="U98" i="13" s="1"/>
  <c r="V98" i="13" a="1"/>
  <c r="V98" i="13" s="1"/>
  <c r="W98" i="13" a="1"/>
  <c r="W98" i="13" s="1"/>
  <c r="X98" i="13" a="1"/>
  <c r="X98" i="13" s="1"/>
  <c r="K99" i="13" a="1"/>
  <c r="K99" i="13" s="1"/>
  <c r="L99" i="13" a="1"/>
  <c r="L99" i="13" s="1"/>
  <c r="M99" i="13" a="1"/>
  <c r="M99" i="13" s="1"/>
  <c r="N99" i="13" a="1"/>
  <c r="N99" i="13" s="1"/>
  <c r="O99" i="13" a="1"/>
  <c r="O99" i="13" s="1"/>
  <c r="P99" i="13" a="1"/>
  <c r="P99" i="13" s="1"/>
  <c r="Q99" i="13" a="1"/>
  <c r="Q99" i="13" s="1"/>
  <c r="R99" i="13" a="1"/>
  <c r="R99" i="13" s="1"/>
  <c r="U99" i="13" a="1"/>
  <c r="U99" i="13" s="1"/>
  <c r="V99" i="13" a="1"/>
  <c r="V99" i="13" s="1"/>
  <c r="W99" i="13" a="1"/>
  <c r="W99" i="13" s="1"/>
  <c r="X99" i="13" a="1"/>
  <c r="X99" i="13" s="1"/>
  <c r="K100" i="13" a="1"/>
  <c r="K100" i="13" s="1"/>
  <c r="L100" i="13" a="1"/>
  <c r="L100" i="13" s="1"/>
  <c r="M100" i="13" a="1"/>
  <c r="M100" i="13" s="1"/>
  <c r="N100" i="13" a="1"/>
  <c r="N100" i="13" s="1"/>
  <c r="O100" i="13" a="1"/>
  <c r="O100" i="13" s="1"/>
  <c r="P100" i="13" a="1"/>
  <c r="P100" i="13" s="1"/>
  <c r="Q100" i="13" a="1"/>
  <c r="Q100" i="13" s="1"/>
  <c r="R100" i="13" a="1"/>
  <c r="R100" i="13" s="1"/>
  <c r="U100" i="13" a="1"/>
  <c r="U100" i="13" s="1"/>
  <c r="V100" i="13" a="1"/>
  <c r="V100" i="13" s="1"/>
  <c r="W100" i="13" a="1"/>
  <c r="W100" i="13" s="1"/>
  <c r="X100" i="13" a="1"/>
  <c r="X100" i="13" s="1"/>
  <c r="K101" i="13" a="1"/>
  <c r="K101" i="13" s="1"/>
  <c r="L101" i="13" a="1"/>
  <c r="L101" i="13" s="1"/>
  <c r="M101" i="13" a="1"/>
  <c r="M101" i="13" s="1"/>
  <c r="N101" i="13" a="1"/>
  <c r="N101" i="13" s="1"/>
  <c r="O101" i="13" a="1"/>
  <c r="O101" i="13" s="1"/>
  <c r="P101" i="13" a="1"/>
  <c r="P101" i="13" s="1"/>
  <c r="Q101" i="13" a="1"/>
  <c r="Q101" i="13" s="1"/>
  <c r="R101" i="13" a="1"/>
  <c r="R101" i="13" s="1"/>
  <c r="U101" i="13" a="1"/>
  <c r="U101" i="13" s="1"/>
  <c r="V101" i="13" a="1"/>
  <c r="V101" i="13" s="1"/>
  <c r="W101" i="13" a="1"/>
  <c r="W101" i="13" s="1"/>
  <c r="X101" i="13" a="1"/>
  <c r="X101" i="13" s="1"/>
  <c r="K102" i="13" a="1"/>
  <c r="K102" i="13" s="1"/>
  <c r="L102" i="13" a="1"/>
  <c r="L102" i="13" s="1"/>
  <c r="M102" i="13" a="1"/>
  <c r="M102" i="13" s="1"/>
  <c r="N102" i="13" a="1"/>
  <c r="N102" i="13" s="1"/>
  <c r="O102" i="13" a="1"/>
  <c r="O102" i="13" s="1"/>
  <c r="P102" i="13" a="1"/>
  <c r="P102" i="13" s="1"/>
  <c r="Q102" i="13" a="1"/>
  <c r="Q102" i="13" s="1"/>
  <c r="R102" i="13" a="1"/>
  <c r="R102" i="13" s="1"/>
  <c r="U102" i="13" a="1"/>
  <c r="U102" i="13" s="1"/>
  <c r="V102" i="13" a="1"/>
  <c r="V102" i="13" s="1"/>
  <c r="W102" i="13" a="1"/>
  <c r="W102" i="13" s="1"/>
  <c r="X102" i="13" a="1"/>
  <c r="X102" i="13" s="1"/>
  <c r="K103" i="13" a="1"/>
  <c r="K103" i="13" s="1"/>
  <c r="L103" i="13" a="1"/>
  <c r="L103" i="13" s="1"/>
  <c r="M103" i="13" a="1"/>
  <c r="M103" i="13" s="1"/>
  <c r="N103" i="13" a="1"/>
  <c r="N103" i="13" s="1"/>
  <c r="O103" i="13" a="1"/>
  <c r="O103" i="13" s="1"/>
  <c r="P103" i="13" a="1"/>
  <c r="P103" i="13" s="1"/>
  <c r="Q103" i="13" a="1"/>
  <c r="Q103" i="13" s="1"/>
  <c r="R103" i="13" a="1"/>
  <c r="R103" i="13" s="1"/>
  <c r="U103" i="13" a="1"/>
  <c r="U103" i="13" s="1"/>
  <c r="V103" i="13" a="1"/>
  <c r="V103" i="13" s="1"/>
  <c r="W103" i="13" a="1"/>
  <c r="W103" i="13" s="1"/>
  <c r="X103" i="13" a="1"/>
  <c r="X103" i="13" s="1"/>
  <c r="K104" i="13" a="1"/>
  <c r="K104" i="13" s="1"/>
  <c r="L104" i="13" a="1"/>
  <c r="L104" i="13" s="1"/>
  <c r="M104" i="13" a="1"/>
  <c r="M104" i="13" s="1"/>
  <c r="N104" i="13" a="1"/>
  <c r="N104" i="13" s="1"/>
  <c r="O104" i="13" a="1"/>
  <c r="O104" i="13" s="1"/>
  <c r="P104" i="13" a="1"/>
  <c r="P104" i="13" s="1"/>
  <c r="Q104" i="13" a="1"/>
  <c r="Q104" i="13" s="1"/>
  <c r="R104" i="13" a="1"/>
  <c r="R104" i="13" s="1"/>
  <c r="U104" i="13" a="1"/>
  <c r="U104" i="13" s="1"/>
  <c r="V104" i="13" a="1"/>
  <c r="V104" i="13" s="1"/>
  <c r="W104" i="13" a="1"/>
  <c r="W104" i="13" s="1"/>
  <c r="X104" i="13" a="1"/>
  <c r="X104" i="13" s="1"/>
  <c r="K105" i="13" a="1"/>
  <c r="K105" i="13" s="1"/>
  <c r="L105" i="13" a="1"/>
  <c r="L105" i="13" s="1"/>
  <c r="M105" i="13" a="1"/>
  <c r="M105" i="13" s="1"/>
  <c r="N105" i="13" a="1"/>
  <c r="N105" i="13" s="1"/>
  <c r="O105" i="13" a="1"/>
  <c r="O105" i="13" s="1"/>
  <c r="P105" i="13" a="1"/>
  <c r="P105" i="13" s="1"/>
  <c r="Q105" i="13" a="1"/>
  <c r="Q105" i="13" s="1"/>
  <c r="R105" i="13" a="1"/>
  <c r="R105" i="13" s="1"/>
  <c r="U105" i="13" a="1"/>
  <c r="U105" i="13" s="1"/>
  <c r="V105" i="13" a="1"/>
  <c r="V105" i="13" s="1"/>
  <c r="W105" i="13" a="1"/>
  <c r="W105" i="13" s="1"/>
  <c r="X105" i="13" a="1"/>
  <c r="X105" i="13" s="1"/>
  <c r="K106" i="13" a="1"/>
  <c r="K106" i="13" s="1"/>
  <c r="L106" i="13" a="1"/>
  <c r="L106" i="13" s="1"/>
  <c r="M106" i="13" a="1"/>
  <c r="M106" i="13" s="1"/>
  <c r="N106" i="13" a="1"/>
  <c r="N106" i="13" s="1"/>
  <c r="O106" i="13" a="1"/>
  <c r="O106" i="13" s="1"/>
  <c r="P106" i="13" a="1"/>
  <c r="P106" i="13" s="1"/>
  <c r="Q106" i="13" a="1"/>
  <c r="Q106" i="13" s="1"/>
  <c r="R106" i="13" a="1"/>
  <c r="R106" i="13" s="1"/>
  <c r="U106" i="13" a="1"/>
  <c r="U106" i="13" s="1"/>
  <c r="V106" i="13" a="1"/>
  <c r="V106" i="13" s="1"/>
  <c r="W106" i="13" a="1"/>
  <c r="W106" i="13" s="1"/>
  <c r="X106" i="13" a="1"/>
  <c r="X106" i="13" s="1"/>
  <c r="K107" i="13" a="1"/>
  <c r="K107" i="13" s="1"/>
  <c r="L107" i="13" a="1"/>
  <c r="L107" i="13" s="1"/>
  <c r="M107" i="13" a="1"/>
  <c r="M107" i="13" s="1"/>
  <c r="N107" i="13" a="1"/>
  <c r="N107" i="13" s="1"/>
  <c r="O107" i="13" a="1"/>
  <c r="O107" i="13" s="1"/>
  <c r="P107" i="13" a="1"/>
  <c r="P107" i="13" s="1"/>
  <c r="Q107" i="13" a="1"/>
  <c r="Q107" i="13" s="1"/>
  <c r="R107" i="13" a="1"/>
  <c r="R107" i="13" s="1"/>
  <c r="U107" i="13" a="1"/>
  <c r="U107" i="13" s="1"/>
  <c r="V107" i="13" a="1"/>
  <c r="V107" i="13" s="1"/>
  <c r="W107" i="13" a="1"/>
  <c r="W107" i="13" s="1"/>
  <c r="X107" i="13" a="1"/>
  <c r="X107" i="13" s="1"/>
  <c r="K108" i="13" a="1"/>
  <c r="K108" i="13" s="1"/>
  <c r="L108" i="13" a="1"/>
  <c r="L108" i="13" s="1"/>
  <c r="M108" i="13" a="1"/>
  <c r="M108" i="13" s="1"/>
  <c r="N108" i="13" a="1"/>
  <c r="N108" i="13" s="1"/>
  <c r="O108" i="13" a="1"/>
  <c r="O108" i="13" s="1"/>
  <c r="P108" i="13" a="1"/>
  <c r="P108" i="13" s="1"/>
  <c r="Q108" i="13" a="1"/>
  <c r="Q108" i="13" s="1"/>
  <c r="R108" i="13" a="1"/>
  <c r="R108" i="13" s="1"/>
  <c r="U108" i="13" a="1"/>
  <c r="U108" i="13" s="1"/>
  <c r="V108" i="13" a="1"/>
  <c r="V108" i="13" s="1"/>
  <c r="W108" i="13" a="1"/>
  <c r="W108" i="13" s="1"/>
  <c r="X108" i="13" a="1"/>
  <c r="X108" i="13" s="1"/>
  <c r="K109" i="13" a="1"/>
  <c r="K109" i="13" s="1"/>
  <c r="L109" i="13" a="1"/>
  <c r="L109" i="13" s="1"/>
  <c r="M109" i="13" a="1"/>
  <c r="M109" i="13" s="1"/>
  <c r="N109" i="13" a="1"/>
  <c r="N109" i="13" s="1"/>
  <c r="O109" i="13" a="1"/>
  <c r="O109" i="13" s="1"/>
  <c r="P109" i="13" a="1"/>
  <c r="P109" i="13" s="1"/>
  <c r="Q109" i="13" a="1"/>
  <c r="Q109" i="13" s="1"/>
  <c r="R109" i="13" a="1"/>
  <c r="R109" i="13" s="1"/>
  <c r="U109" i="13" a="1"/>
  <c r="U109" i="13" s="1"/>
  <c r="V109" i="13" a="1"/>
  <c r="V109" i="13" s="1"/>
  <c r="W109" i="13" a="1"/>
  <c r="W109" i="13" s="1"/>
  <c r="X109" i="13" a="1"/>
  <c r="X109" i="13" s="1"/>
  <c r="K110" i="13" a="1"/>
  <c r="K110" i="13" s="1"/>
  <c r="L110" i="13" a="1"/>
  <c r="L110" i="13" s="1"/>
  <c r="M110" i="13" a="1"/>
  <c r="M110" i="13" s="1"/>
  <c r="N110" i="13" a="1"/>
  <c r="N110" i="13" s="1"/>
  <c r="O110" i="13" a="1"/>
  <c r="O110" i="13" s="1"/>
  <c r="P110" i="13" a="1"/>
  <c r="P110" i="13" s="1"/>
  <c r="Q110" i="13" a="1"/>
  <c r="Q110" i="13" s="1"/>
  <c r="R110" i="13" a="1"/>
  <c r="R110" i="13" s="1"/>
  <c r="U110" i="13" a="1"/>
  <c r="U110" i="13" s="1"/>
  <c r="V110" i="13" a="1"/>
  <c r="V110" i="13" s="1"/>
  <c r="W110" i="13" a="1"/>
  <c r="W110" i="13" s="1"/>
  <c r="X110" i="13" a="1"/>
  <c r="X110" i="13" s="1"/>
  <c r="K111" i="13" a="1"/>
  <c r="K111" i="13" s="1"/>
  <c r="L111" i="13" a="1"/>
  <c r="L111" i="13" s="1"/>
  <c r="M111" i="13" a="1"/>
  <c r="M111" i="13" s="1"/>
  <c r="N111" i="13" a="1"/>
  <c r="N111" i="13" s="1"/>
  <c r="O111" i="13" a="1"/>
  <c r="O111" i="13" s="1"/>
  <c r="P111" i="13" a="1"/>
  <c r="P111" i="13" s="1"/>
  <c r="Q111" i="13" a="1"/>
  <c r="Q111" i="13" s="1"/>
  <c r="R111" i="13" a="1"/>
  <c r="R111" i="13" s="1"/>
  <c r="U111" i="13" a="1"/>
  <c r="U111" i="13" s="1"/>
  <c r="V111" i="13" a="1"/>
  <c r="V111" i="13" s="1"/>
  <c r="W111" i="13" a="1"/>
  <c r="W111" i="13" s="1"/>
  <c r="X111" i="13" a="1"/>
  <c r="X111" i="13" s="1"/>
  <c r="K112" i="13" a="1"/>
  <c r="K112" i="13" s="1"/>
  <c r="L112" i="13" a="1"/>
  <c r="L112" i="13" s="1"/>
  <c r="M112" i="13" a="1"/>
  <c r="M112" i="13" s="1"/>
  <c r="N112" i="13" a="1"/>
  <c r="N112" i="13" s="1"/>
  <c r="O112" i="13" a="1"/>
  <c r="O112" i="13" s="1"/>
  <c r="P112" i="13" a="1"/>
  <c r="P112" i="13" s="1"/>
  <c r="Q112" i="13" a="1"/>
  <c r="Q112" i="13" s="1"/>
  <c r="R112" i="13" a="1"/>
  <c r="R112" i="13" s="1"/>
  <c r="U112" i="13" a="1"/>
  <c r="U112" i="13" s="1"/>
  <c r="V112" i="13" a="1"/>
  <c r="V112" i="13" s="1"/>
  <c r="W112" i="13" a="1"/>
  <c r="W112" i="13" s="1"/>
  <c r="X112" i="13" a="1"/>
  <c r="X112" i="13" s="1"/>
  <c r="K113" i="13" a="1"/>
  <c r="K113" i="13" s="1"/>
  <c r="L113" i="13" a="1"/>
  <c r="L113" i="13" s="1"/>
  <c r="M113" i="13" a="1"/>
  <c r="M113" i="13" s="1"/>
  <c r="N113" i="13" a="1"/>
  <c r="N113" i="13" s="1"/>
  <c r="O113" i="13" a="1"/>
  <c r="O113" i="13" s="1"/>
  <c r="P113" i="13" a="1"/>
  <c r="P113" i="13" s="1"/>
  <c r="Q113" i="13" a="1"/>
  <c r="Q113" i="13" s="1"/>
  <c r="R113" i="13" a="1"/>
  <c r="R113" i="13" s="1"/>
  <c r="U113" i="13" a="1"/>
  <c r="U113" i="13" s="1"/>
  <c r="V113" i="13" a="1"/>
  <c r="V113" i="13" s="1"/>
  <c r="W113" i="13" a="1"/>
  <c r="W113" i="13" s="1"/>
  <c r="X113" i="13" a="1"/>
  <c r="X113" i="13" s="1"/>
  <c r="K114" i="13" a="1"/>
  <c r="K114" i="13" s="1"/>
  <c r="L114" i="13" a="1"/>
  <c r="L114" i="13" s="1"/>
  <c r="M114" i="13" a="1"/>
  <c r="M114" i="13" s="1"/>
  <c r="N114" i="13" a="1"/>
  <c r="N114" i="13" s="1"/>
  <c r="O114" i="13" a="1"/>
  <c r="O114" i="13" s="1"/>
  <c r="P114" i="13" a="1"/>
  <c r="P114" i="13" s="1"/>
  <c r="Q114" i="13" a="1"/>
  <c r="Q114" i="13" s="1"/>
  <c r="R114" i="13" a="1"/>
  <c r="R114" i="13" s="1"/>
  <c r="U114" i="13" a="1"/>
  <c r="U114" i="13" s="1"/>
  <c r="V114" i="13" a="1"/>
  <c r="V114" i="13" s="1"/>
  <c r="W114" i="13" a="1"/>
  <c r="W114" i="13" s="1"/>
  <c r="X114" i="13" a="1"/>
  <c r="X114" i="13" s="1"/>
  <c r="K115" i="13" a="1"/>
  <c r="K115" i="13" s="1"/>
  <c r="L115" i="13" a="1"/>
  <c r="L115" i="13" s="1"/>
  <c r="M115" i="13" a="1"/>
  <c r="M115" i="13" s="1"/>
  <c r="N115" i="13" a="1"/>
  <c r="N115" i="13" s="1"/>
  <c r="O115" i="13" a="1"/>
  <c r="O115" i="13" s="1"/>
  <c r="P115" i="13" a="1"/>
  <c r="P115" i="13" s="1"/>
  <c r="Q115" i="13" a="1"/>
  <c r="Q115" i="13" s="1"/>
  <c r="R115" i="13" a="1"/>
  <c r="R115" i="13" s="1"/>
  <c r="U115" i="13" a="1"/>
  <c r="U115" i="13" s="1"/>
  <c r="V115" i="13" a="1"/>
  <c r="V115" i="13" s="1"/>
  <c r="W115" i="13" a="1"/>
  <c r="W115" i="13" s="1"/>
  <c r="X115" i="13" a="1"/>
  <c r="X115" i="13" s="1"/>
  <c r="K116" i="13" a="1"/>
  <c r="K116" i="13" s="1"/>
  <c r="L116" i="13" a="1"/>
  <c r="L116" i="13" s="1"/>
  <c r="M116" i="13" a="1"/>
  <c r="M116" i="13" s="1"/>
  <c r="N116" i="13" a="1"/>
  <c r="N116" i="13" s="1"/>
  <c r="O116" i="13" a="1"/>
  <c r="O116" i="13" s="1"/>
  <c r="P116" i="13" a="1"/>
  <c r="P116" i="13" s="1"/>
  <c r="Q116" i="13" a="1"/>
  <c r="Q116" i="13" s="1"/>
  <c r="R116" i="13" a="1"/>
  <c r="R116" i="13" s="1"/>
  <c r="U116" i="13" a="1"/>
  <c r="U116" i="13" s="1"/>
  <c r="V116" i="13" a="1"/>
  <c r="V116" i="13" s="1"/>
  <c r="W116" i="13" a="1"/>
  <c r="W116" i="13" s="1"/>
  <c r="X116" i="13" a="1"/>
  <c r="X116" i="13" s="1"/>
  <c r="K117" i="13" a="1"/>
  <c r="K117" i="13" s="1"/>
  <c r="L117" i="13" a="1"/>
  <c r="L117" i="13" s="1"/>
  <c r="M117" i="13" a="1"/>
  <c r="M117" i="13" s="1"/>
  <c r="N117" i="13" a="1"/>
  <c r="N117" i="13" s="1"/>
  <c r="O117" i="13" a="1"/>
  <c r="O117" i="13" s="1"/>
  <c r="P117" i="13" a="1"/>
  <c r="P117" i="13" s="1"/>
  <c r="Q117" i="13" a="1"/>
  <c r="Q117" i="13" s="1"/>
  <c r="R117" i="13" a="1"/>
  <c r="R117" i="13" s="1"/>
  <c r="U117" i="13" a="1"/>
  <c r="U117" i="13" s="1"/>
  <c r="V117" i="13" a="1"/>
  <c r="V117" i="13" s="1"/>
  <c r="W117" i="13" a="1"/>
  <c r="W117" i="13" s="1"/>
  <c r="X117" i="13" a="1"/>
  <c r="X117" i="13" s="1"/>
  <c r="K118" i="13" a="1"/>
  <c r="K118" i="13" s="1"/>
  <c r="L118" i="13" a="1"/>
  <c r="L118" i="13" s="1"/>
  <c r="M118" i="13" a="1"/>
  <c r="M118" i="13" s="1"/>
  <c r="N118" i="13" a="1"/>
  <c r="N118" i="13" s="1"/>
  <c r="O118" i="13" a="1"/>
  <c r="O118" i="13" s="1"/>
  <c r="P118" i="13" a="1"/>
  <c r="P118" i="13" s="1"/>
  <c r="Q118" i="13" a="1"/>
  <c r="Q118" i="13" s="1"/>
  <c r="R118" i="13" a="1"/>
  <c r="R118" i="13" s="1"/>
  <c r="U118" i="13" a="1"/>
  <c r="U118" i="13" s="1"/>
  <c r="V118" i="13" a="1"/>
  <c r="V118" i="13" s="1"/>
  <c r="W118" i="13" a="1"/>
  <c r="W118" i="13" s="1"/>
  <c r="X118" i="13" a="1"/>
  <c r="X118" i="13" s="1"/>
  <c r="K119" i="13" a="1"/>
  <c r="K119" i="13" s="1"/>
  <c r="L119" i="13" a="1"/>
  <c r="L119" i="13" s="1"/>
  <c r="M119" i="13" a="1"/>
  <c r="M119" i="13" s="1"/>
  <c r="N119" i="13" a="1"/>
  <c r="N119" i="13" s="1"/>
  <c r="O119" i="13" a="1"/>
  <c r="O119" i="13" s="1"/>
  <c r="P119" i="13" a="1"/>
  <c r="P119" i="13" s="1"/>
  <c r="Q119" i="13" a="1"/>
  <c r="Q119" i="13" s="1"/>
  <c r="R119" i="13" a="1"/>
  <c r="R119" i="13" s="1"/>
  <c r="U119" i="13" a="1"/>
  <c r="U119" i="13" s="1"/>
  <c r="V119" i="13" a="1"/>
  <c r="V119" i="13" s="1"/>
  <c r="W119" i="13" a="1"/>
  <c r="W119" i="13" s="1"/>
  <c r="X119" i="13" a="1"/>
  <c r="X119" i="13" s="1"/>
  <c r="K120" i="13" a="1"/>
  <c r="K120" i="13" s="1"/>
  <c r="L120" i="13" a="1"/>
  <c r="L120" i="13" s="1"/>
  <c r="M120" i="13" a="1"/>
  <c r="M120" i="13" s="1"/>
  <c r="N120" i="13" a="1"/>
  <c r="N120" i="13" s="1"/>
  <c r="O120" i="13" a="1"/>
  <c r="O120" i="13" s="1"/>
  <c r="P120" i="13" a="1"/>
  <c r="P120" i="13" s="1"/>
  <c r="Q120" i="13" a="1"/>
  <c r="Q120" i="13" s="1"/>
  <c r="R120" i="13" a="1"/>
  <c r="R120" i="13" s="1"/>
  <c r="U120" i="13" a="1"/>
  <c r="U120" i="13" s="1"/>
  <c r="V120" i="13" a="1"/>
  <c r="V120" i="13" s="1"/>
  <c r="W120" i="13" a="1"/>
  <c r="W120" i="13" s="1"/>
  <c r="X120" i="13" a="1"/>
  <c r="X120" i="13" s="1"/>
  <c r="K121" i="13" a="1"/>
  <c r="K121" i="13" s="1"/>
  <c r="L121" i="13" a="1"/>
  <c r="L121" i="13" s="1"/>
  <c r="M121" i="13" a="1"/>
  <c r="M121" i="13" s="1"/>
  <c r="N121" i="13" a="1"/>
  <c r="N121" i="13" s="1"/>
  <c r="O121" i="13" a="1"/>
  <c r="O121" i="13" s="1"/>
  <c r="P121" i="13" a="1"/>
  <c r="P121" i="13" s="1"/>
  <c r="Q121" i="13" a="1"/>
  <c r="Q121" i="13" s="1"/>
  <c r="R121" i="13" a="1"/>
  <c r="R121" i="13" s="1"/>
  <c r="U121" i="13" a="1"/>
  <c r="U121" i="13" s="1"/>
  <c r="V121" i="13" a="1"/>
  <c r="V121" i="13" s="1"/>
  <c r="W121" i="13" a="1"/>
  <c r="W121" i="13" s="1"/>
  <c r="X121" i="13" a="1"/>
  <c r="X121" i="13" s="1"/>
  <c r="K122" i="13" a="1"/>
  <c r="K122" i="13" s="1"/>
  <c r="L122" i="13" a="1"/>
  <c r="L122" i="13" s="1"/>
  <c r="M122" i="13" a="1"/>
  <c r="M122" i="13" s="1"/>
  <c r="N122" i="13" a="1"/>
  <c r="N122" i="13" s="1"/>
  <c r="O122" i="13" a="1"/>
  <c r="O122" i="13" s="1"/>
  <c r="P122" i="13" a="1"/>
  <c r="P122" i="13" s="1"/>
  <c r="Q122" i="13" a="1"/>
  <c r="Q122" i="13" s="1"/>
  <c r="R122" i="13" a="1"/>
  <c r="R122" i="13" s="1"/>
  <c r="U122" i="13" a="1"/>
  <c r="U122" i="13" s="1"/>
  <c r="V122" i="13" a="1"/>
  <c r="V122" i="13" s="1"/>
  <c r="W122" i="13" a="1"/>
  <c r="W122" i="13" s="1"/>
  <c r="X122" i="13" a="1"/>
  <c r="X122" i="13" s="1"/>
  <c r="K123" i="13" a="1"/>
  <c r="K123" i="13" s="1"/>
  <c r="L123" i="13" a="1"/>
  <c r="L123" i="13" s="1"/>
  <c r="M123" i="13" a="1"/>
  <c r="M123" i="13" s="1"/>
  <c r="N123" i="13" a="1"/>
  <c r="N123" i="13" s="1"/>
  <c r="O123" i="13" a="1"/>
  <c r="O123" i="13" s="1"/>
  <c r="P123" i="13" a="1"/>
  <c r="P123" i="13" s="1"/>
  <c r="Q123" i="13" a="1"/>
  <c r="Q123" i="13" s="1"/>
  <c r="R123" i="13" a="1"/>
  <c r="R123" i="13" s="1"/>
  <c r="U123" i="13" a="1"/>
  <c r="U123" i="13" s="1"/>
  <c r="V123" i="13" a="1"/>
  <c r="V123" i="13" s="1"/>
  <c r="W123" i="13" a="1"/>
  <c r="W123" i="13" s="1"/>
  <c r="X123" i="13" a="1"/>
  <c r="X123" i="13" s="1"/>
  <c r="K124" i="13" a="1"/>
  <c r="K124" i="13" s="1"/>
  <c r="L124" i="13" a="1"/>
  <c r="L124" i="13" s="1"/>
  <c r="M124" i="13" a="1"/>
  <c r="M124" i="13" s="1"/>
  <c r="N124" i="13" a="1"/>
  <c r="N124" i="13" s="1"/>
  <c r="O124" i="13" a="1"/>
  <c r="O124" i="13" s="1"/>
  <c r="P124" i="13" a="1"/>
  <c r="P124" i="13" s="1"/>
  <c r="Q124" i="13" a="1"/>
  <c r="Q124" i="13" s="1"/>
  <c r="R124" i="13" a="1"/>
  <c r="R124" i="13" s="1"/>
  <c r="U124" i="13" a="1"/>
  <c r="U124" i="13" s="1"/>
  <c r="V124" i="13" a="1"/>
  <c r="V124" i="13" s="1"/>
  <c r="W124" i="13" a="1"/>
  <c r="W124" i="13" s="1"/>
  <c r="X124" i="13" a="1"/>
  <c r="X124" i="13" s="1"/>
  <c r="K125" i="13" a="1"/>
  <c r="K125" i="13" s="1"/>
  <c r="L125" i="13" a="1"/>
  <c r="L125" i="13" s="1"/>
  <c r="M125" i="13" a="1"/>
  <c r="M125" i="13" s="1"/>
  <c r="N125" i="13" a="1"/>
  <c r="N125" i="13" s="1"/>
  <c r="O125" i="13" a="1"/>
  <c r="O125" i="13" s="1"/>
  <c r="P125" i="13" a="1"/>
  <c r="P125" i="13" s="1"/>
  <c r="Q125" i="13" a="1"/>
  <c r="Q125" i="13" s="1"/>
  <c r="R125" i="13" a="1"/>
  <c r="R125" i="13" s="1"/>
  <c r="U125" i="13" a="1"/>
  <c r="U125" i="13" s="1"/>
  <c r="V125" i="13" a="1"/>
  <c r="V125" i="13" s="1"/>
  <c r="W125" i="13" a="1"/>
  <c r="W125" i="13" s="1"/>
  <c r="X125" i="13" a="1"/>
  <c r="X125" i="13" s="1"/>
  <c r="K126" i="13" a="1"/>
  <c r="K126" i="13" s="1"/>
  <c r="L126" i="13" a="1"/>
  <c r="L126" i="13" s="1"/>
  <c r="M126" i="13" a="1"/>
  <c r="M126" i="13" s="1"/>
  <c r="N126" i="13" a="1"/>
  <c r="N126" i="13" s="1"/>
  <c r="O126" i="13" a="1"/>
  <c r="O126" i="13" s="1"/>
  <c r="P126" i="13" a="1"/>
  <c r="P126" i="13" s="1"/>
  <c r="Q126" i="13" a="1"/>
  <c r="Q126" i="13" s="1"/>
  <c r="R126" i="13" a="1"/>
  <c r="R126" i="13" s="1"/>
  <c r="U126" i="13" a="1"/>
  <c r="U126" i="13" s="1"/>
  <c r="V126" i="13" a="1"/>
  <c r="V126" i="13" s="1"/>
  <c r="W126" i="13" a="1"/>
  <c r="W126" i="13" s="1"/>
  <c r="X126" i="13" a="1"/>
  <c r="X126" i="13" s="1"/>
  <c r="K127" i="13" a="1"/>
  <c r="K127" i="13" s="1"/>
  <c r="L127" i="13" a="1"/>
  <c r="L127" i="13" s="1"/>
  <c r="M127" i="13" a="1"/>
  <c r="M127" i="13" s="1"/>
  <c r="N127" i="13" a="1"/>
  <c r="N127" i="13" s="1"/>
  <c r="O127" i="13" a="1"/>
  <c r="O127" i="13" s="1"/>
  <c r="P127" i="13" a="1"/>
  <c r="P127" i="13" s="1"/>
  <c r="Q127" i="13" a="1"/>
  <c r="Q127" i="13" s="1"/>
  <c r="R127" i="13" a="1"/>
  <c r="R127" i="13" s="1"/>
  <c r="U127" i="13" a="1"/>
  <c r="U127" i="13" s="1"/>
  <c r="V127" i="13" a="1"/>
  <c r="V127" i="13" s="1"/>
  <c r="W127" i="13" a="1"/>
  <c r="W127" i="13" s="1"/>
  <c r="X127" i="13" a="1"/>
  <c r="X127" i="13" s="1"/>
  <c r="K128" i="13" a="1"/>
  <c r="K128" i="13" s="1"/>
  <c r="L128" i="13" a="1"/>
  <c r="L128" i="13" s="1"/>
  <c r="M128" i="13" a="1"/>
  <c r="M128" i="13" s="1"/>
  <c r="N128" i="13" a="1"/>
  <c r="N128" i="13" s="1"/>
  <c r="O128" i="13" a="1"/>
  <c r="O128" i="13" s="1"/>
  <c r="P128" i="13" a="1"/>
  <c r="P128" i="13" s="1"/>
  <c r="Q128" i="13" a="1"/>
  <c r="Q128" i="13" s="1"/>
  <c r="R128" i="13" a="1"/>
  <c r="R128" i="13" s="1"/>
  <c r="U128" i="13" a="1"/>
  <c r="U128" i="13" s="1"/>
  <c r="V128" i="13" a="1"/>
  <c r="V128" i="13" s="1"/>
  <c r="W128" i="13" a="1"/>
  <c r="W128" i="13" s="1"/>
  <c r="X128" i="13" a="1"/>
  <c r="X128" i="13" s="1"/>
  <c r="K129" i="13" a="1"/>
  <c r="K129" i="13" s="1"/>
  <c r="L129" i="13" a="1"/>
  <c r="L129" i="13" s="1"/>
  <c r="M129" i="13" a="1"/>
  <c r="M129" i="13" s="1"/>
  <c r="N129" i="13" a="1"/>
  <c r="N129" i="13" s="1"/>
  <c r="O129" i="13" a="1"/>
  <c r="O129" i="13" s="1"/>
  <c r="P129" i="13" a="1"/>
  <c r="P129" i="13" s="1"/>
  <c r="Q129" i="13" a="1"/>
  <c r="Q129" i="13" s="1"/>
  <c r="R129" i="13" a="1"/>
  <c r="R129" i="13" s="1"/>
  <c r="U129" i="13" a="1"/>
  <c r="U129" i="13" s="1"/>
  <c r="V129" i="13" a="1"/>
  <c r="V129" i="13" s="1"/>
  <c r="W129" i="13" a="1"/>
  <c r="W129" i="13" s="1"/>
  <c r="X129" i="13" a="1"/>
  <c r="X129" i="13" s="1"/>
  <c r="K130" i="13" a="1"/>
  <c r="K130" i="13" s="1"/>
  <c r="L130" i="13" a="1"/>
  <c r="L130" i="13" s="1"/>
  <c r="M130" i="13" a="1"/>
  <c r="M130" i="13" s="1"/>
  <c r="N130" i="13" a="1"/>
  <c r="N130" i="13" s="1"/>
  <c r="O130" i="13" a="1"/>
  <c r="O130" i="13" s="1"/>
  <c r="P130" i="13" a="1"/>
  <c r="P130" i="13" s="1"/>
  <c r="Q130" i="13" a="1"/>
  <c r="Q130" i="13" s="1"/>
  <c r="R130" i="13" a="1"/>
  <c r="R130" i="13" s="1"/>
  <c r="U130" i="13" a="1"/>
  <c r="U130" i="13" s="1"/>
  <c r="V130" i="13" a="1"/>
  <c r="V130" i="13" s="1"/>
  <c r="W130" i="13" a="1"/>
  <c r="W130" i="13" s="1"/>
  <c r="X130" i="13" a="1"/>
  <c r="X130" i="13" s="1"/>
  <c r="K131" i="13" a="1"/>
  <c r="K131" i="13" s="1"/>
  <c r="L131" i="13" a="1"/>
  <c r="L131" i="13" s="1"/>
  <c r="M131" i="13" a="1"/>
  <c r="M131" i="13" s="1"/>
  <c r="N131" i="13" a="1"/>
  <c r="N131" i="13" s="1"/>
  <c r="O131" i="13" a="1"/>
  <c r="O131" i="13" s="1"/>
  <c r="P131" i="13" a="1"/>
  <c r="P131" i="13" s="1"/>
  <c r="Q131" i="13" a="1"/>
  <c r="Q131" i="13" s="1"/>
  <c r="R131" i="13" a="1"/>
  <c r="R131" i="13" s="1"/>
  <c r="U131" i="13" a="1"/>
  <c r="U131" i="13" s="1"/>
  <c r="V131" i="13" a="1"/>
  <c r="V131" i="13" s="1"/>
  <c r="W131" i="13" a="1"/>
  <c r="W131" i="13" s="1"/>
  <c r="X131" i="13" a="1"/>
  <c r="X131" i="13" s="1"/>
  <c r="K132" i="13" a="1"/>
  <c r="K132" i="13" s="1"/>
  <c r="L132" i="13" a="1"/>
  <c r="L132" i="13" s="1"/>
  <c r="M132" i="13" a="1"/>
  <c r="M132" i="13" s="1"/>
  <c r="N132" i="13" a="1"/>
  <c r="N132" i="13" s="1"/>
  <c r="O132" i="13" a="1"/>
  <c r="O132" i="13" s="1"/>
  <c r="P132" i="13" a="1"/>
  <c r="P132" i="13" s="1"/>
  <c r="Q132" i="13" a="1"/>
  <c r="Q132" i="13" s="1"/>
  <c r="R132" i="13" a="1"/>
  <c r="R132" i="13" s="1"/>
  <c r="U132" i="13" a="1"/>
  <c r="U132" i="13" s="1"/>
  <c r="V132" i="13" a="1"/>
  <c r="V132" i="13" s="1"/>
  <c r="W132" i="13" a="1"/>
  <c r="W132" i="13" s="1"/>
  <c r="X132" i="13" a="1"/>
  <c r="X132" i="13" s="1"/>
  <c r="K133" i="13" a="1"/>
  <c r="K133" i="13" s="1"/>
  <c r="L133" i="13" a="1"/>
  <c r="L133" i="13" s="1"/>
  <c r="M133" i="13" a="1"/>
  <c r="M133" i="13" s="1"/>
  <c r="N133" i="13" a="1"/>
  <c r="N133" i="13" s="1"/>
  <c r="O133" i="13" a="1"/>
  <c r="O133" i="13" s="1"/>
  <c r="P133" i="13" a="1"/>
  <c r="P133" i="13" s="1"/>
  <c r="Q133" i="13" a="1"/>
  <c r="Q133" i="13" s="1"/>
  <c r="R133" i="13" a="1"/>
  <c r="R133" i="13" s="1"/>
  <c r="U133" i="13" a="1"/>
  <c r="U133" i="13" s="1"/>
  <c r="V133" i="13" a="1"/>
  <c r="V133" i="13" s="1"/>
  <c r="W133" i="13" a="1"/>
  <c r="W133" i="13" s="1"/>
  <c r="X133" i="13" a="1"/>
  <c r="X133" i="13" s="1"/>
  <c r="K134" i="13" a="1"/>
  <c r="K134" i="13" s="1"/>
  <c r="L134" i="13" a="1"/>
  <c r="L134" i="13" s="1"/>
  <c r="M134" i="13" a="1"/>
  <c r="M134" i="13" s="1"/>
  <c r="N134" i="13" a="1"/>
  <c r="N134" i="13" s="1"/>
  <c r="O134" i="13" a="1"/>
  <c r="O134" i="13" s="1"/>
  <c r="P134" i="13" a="1"/>
  <c r="P134" i="13" s="1"/>
  <c r="Q134" i="13" a="1"/>
  <c r="Q134" i="13" s="1"/>
  <c r="R134" i="13" a="1"/>
  <c r="R134" i="13" s="1"/>
  <c r="U134" i="13" a="1"/>
  <c r="U134" i="13" s="1"/>
  <c r="V134" i="13" a="1"/>
  <c r="V134" i="13" s="1"/>
  <c r="W134" i="13" a="1"/>
  <c r="W134" i="13" s="1"/>
  <c r="X134" i="13" a="1"/>
  <c r="X134" i="13" s="1"/>
  <c r="K135" i="13" a="1"/>
  <c r="K135" i="13" s="1"/>
  <c r="L135" i="13" a="1"/>
  <c r="L135" i="13" s="1"/>
  <c r="M135" i="13" a="1"/>
  <c r="M135" i="13" s="1"/>
  <c r="N135" i="13" a="1"/>
  <c r="N135" i="13" s="1"/>
  <c r="O135" i="13" a="1"/>
  <c r="O135" i="13" s="1"/>
  <c r="P135" i="13" a="1"/>
  <c r="P135" i="13" s="1"/>
  <c r="Q135" i="13" a="1"/>
  <c r="Q135" i="13" s="1"/>
  <c r="R135" i="13" a="1"/>
  <c r="R135" i="13" s="1"/>
  <c r="U135" i="13" a="1"/>
  <c r="U135" i="13" s="1"/>
  <c r="V135" i="13" a="1"/>
  <c r="V135" i="13" s="1"/>
  <c r="W135" i="13" a="1"/>
  <c r="W135" i="13" s="1"/>
  <c r="X135" i="13" a="1"/>
  <c r="X135" i="13" s="1"/>
  <c r="K136" i="13" a="1"/>
  <c r="K136" i="13" s="1"/>
  <c r="L136" i="13" a="1"/>
  <c r="L136" i="13" s="1"/>
  <c r="M136" i="13" a="1"/>
  <c r="M136" i="13" s="1"/>
  <c r="N136" i="13" a="1"/>
  <c r="N136" i="13" s="1"/>
  <c r="O136" i="13" a="1"/>
  <c r="O136" i="13" s="1"/>
  <c r="P136" i="13" a="1"/>
  <c r="P136" i="13" s="1"/>
  <c r="Q136" i="13" a="1"/>
  <c r="Q136" i="13" s="1"/>
  <c r="R136" i="13" a="1"/>
  <c r="R136" i="13" s="1"/>
  <c r="U136" i="13" a="1"/>
  <c r="U136" i="13" s="1"/>
  <c r="V136" i="13" a="1"/>
  <c r="V136" i="13" s="1"/>
  <c r="W136" i="13" a="1"/>
  <c r="W136" i="13" s="1"/>
  <c r="X136" i="13" a="1"/>
  <c r="X136" i="13" s="1"/>
  <c r="K137" i="13" a="1"/>
  <c r="K137" i="13" s="1"/>
  <c r="L137" i="13" a="1"/>
  <c r="L137" i="13" s="1"/>
  <c r="M137" i="13" a="1"/>
  <c r="M137" i="13" s="1"/>
  <c r="N137" i="13" a="1"/>
  <c r="N137" i="13" s="1"/>
  <c r="O137" i="13" a="1"/>
  <c r="O137" i="13" s="1"/>
  <c r="P137" i="13" a="1"/>
  <c r="P137" i="13" s="1"/>
  <c r="Q137" i="13" a="1"/>
  <c r="Q137" i="13" s="1"/>
  <c r="R137" i="13" a="1"/>
  <c r="R137" i="13" s="1"/>
  <c r="U137" i="13" a="1"/>
  <c r="U137" i="13" s="1"/>
  <c r="V137" i="13" a="1"/>
  <c r="V137" i="13" s="1"/>
  <c r="W137" i="13" a="1"/>
  <c r="W137" i="13" s="1"/>
  <c r="X137" i="13" a="1"/>
  <c r="X137" i="13" s="1"/>
  <c r="K138" i="13" a="1"/>
  <c r="K138" i="13" s="1"/>
  <c r="L138" i="13" a="1"/>
  <c r="L138" i="13" s="1"/>
  <c r="M138" i="13" a="1"/>
  <c r="M138" i="13" s="1"/>
  <c r="N138" i="13" a="1"/>
  <c r="N138" i="13" s="1"/>
  <c r="O138" i="13" a="1"/>
  <c r="O138" i="13" s="1"/>
  <c r="P138" i="13" a="1"/>
  <c r="P138" i="13" s="1"/>
  <c r="Q138" i="13" a="1"/>
  <c r="Q138" i="13" s="1"/>
  <c r="R138" i="13" a="1"/>
  <c r="R138" i="13" s="1"/>
  <c r="U138" i="13" a="1"/>
  <c r="U138" i="13" s="1"/>
  <c r="V138" i="13" a="1"/>
  <c r="V138" i="13" s="1"/>
  <c r="W138" i="13" a="1"/>
  <c r="W138" i="13" s="1"/>
  <c r="X138" i="13" a="1"/>
  <c r="X138" i="13" s="1"/>
  <c r="K139" i="13" a="1"/>
  <c r="K139" i="13" s="1"/>
  <c r="L139" i="13" a="1"/>
  <c r="L139" i="13" s="1"/>
  <c r="M139" i="13" a="1"/>
  <c r="M139" i="13" s="1"/>
  <c r="N139" i="13" a="1"/>
  <c r="N139" i="13" s="1"/>
  <c r="O139" i="13" a="1"/>
  <c r="O139" i="13" s="1"/>
  <c r="P139" i="13" a="1"/>
  <c r="P139" i="13" s="1"/>
  <c r="Q139" i="13" a="1"/>
  <c r="Q139" i="13" s="1"/>
  <c r="R139" i="13" a="1"/>
  <c r="R139" i="13" s="1"/>
  <c r="U139" i="13" a="1"/>
  <c r="U139" i="13" s="1"/>
  <c r="V139" i="13" a="1"/>
  <c r="V139" i="13" s="1"/>
  <c r="W139" i="13" a="1"/>
  <c r="W139" i="13" s="1"/>
  <c r="X139" i="13" a="1"/>
  <c r="X139" i="13" s="1"/>
  <c r="K140" i="13" a="1"/>
  <c r="K140" i="13" s="1"/>
  <c r="L140" i="13" a="1"/>
  <c r="L140" i="13" s="1"/>
  <c r="M140" i="13" a="1"/>
  <c r="M140" i="13" s="1"/>
  <c r="N140" i="13" a="1"/>
  <c r="N140" i="13" s="1"/>
  <c r="O140" i="13" a="1"/>
  <c r="O140" i="13" s="1"/>
  <c r="P140" i="13" a="1"/>
  <c r="P140" i="13" s="1"/>
  <c r="Q140" i="13" a="1"/>
  <c r="Q140" i="13" s="1"/>
  <c r="R140" i="13" a="1"/>
  <c r="R140" i="13" s="1"/>
  <c r="U140" i="13" a="1"/>
  <c r="U140" i="13" s="1"/>
  <c r="V140" i="13" a="1"/>
  <c r="V140" i="13" s="1"/>
  <c r="W140" i="13" a="1"/>
  <c r="W140" i="13" s="1"/>
  <c r="X140" i="13" a="1"/>
  <c r="X140" i="13" s="1"/>
  <c r="K141" i="13" a="1"/>
  <c r="K141" i="13" s="1"/>
  <c r="L141" i="13" a="1"/>
  <c r="L141" i="13" s="1"/>
  <c r="M141" i="13" a="1"/>
  <c r="M141" i="13" s="1"/>
  <c r="N141" i="13" a="1"/>
  <c r="N141" i="13" s="1"/>
  <c r="O141" i="13" a="1"/>
  <c r="O141" i="13" s="1"/>
  <c r="P141" i="13" a="1"/>
  <c r="P141" i="13" s="1"/>
  <c r="Q141" i="13" a="1"/>
  <c r="Q141" i="13" s="1"/>
  <c r="R141" i="13" a="1"/>
  <c r="R141" i="13" s="1"/>
  <c r="U141" i="13" a="1"/>
  <c r="U141" i="13" s="1"/>
  <c r="V141" i="13" a="1"/>
  <c r="V141" i="13" s="1"/>
  <c r="W141" i="13" a="1"/>
  <c r="W141" i="13" s="1"/>
  <c r="X141" i="13" a="1"/>
  <c r="X141" i="13" s="1"/>
  <c r="K142" i="13" a="1"/>
  <c r="K142" i="13" s="1"/>
  <c r="L142" i="13" a="1"/>
  <c r="L142" i="13" s="1"/>
  <c r="M142" i="13" a="1"/>
  <c r="M142" i="13" s="1"/>
  <c r="N142" i="13" a="1"/>
  <c r="N142" i="13" s="1"/>
  <c r="O142" i="13" a="1"/>
  <c r="O142" i="13" s="1"/>
  <c r="P142" i="13" a="1"/>
  <c r="P142" i="13" s="1"/>
  <c r="Q142" i="13" a="1"/>
  <c r="Q142" i="13" s="1"/>
  <c r="R142" i="13" a="1"/>
  <c r="R142" i="13" s="1"/>
  <c r="U142" i="13" a="1"/>
  <c r="U142" i="13" s="1"/>
  <c r="V142" i="13" a="1"/>
  <c r="V142" i="13" s="1"/>
  <c r="W142" i="13" a="1"/>
  <c r="W142" i="13" s="1"/>
  <c r="X142" i="13" a="1"/>
  <c r="X142" i="13" s="1"/>
  <c r="K143" i="13" a="1"/>
  <c r="K143" i="13" s="1"/>
  <c r="L143" i="13" a="1"/>
  <c r="L143" i="13" s="1"/>
  <c r="M143" i="13" a="1"/>
  <c r="M143" i="13" s="1"/>
  <c r="N143" i="13" a="1"/>
  <c r="N143" i="13" s="1"/>
  <c r="O143" i="13" a="1"/>
  <c r="O143" i="13" s="1"/>
  <c r="P143" i="13" a="1"/>
  <c r="P143" i="13" s="1"/>
  <c r="Q143" i="13" a="1"/>
  <c r="Q143" i="13" s="1"/>
  <c r="R143" i="13" a="1"/>
  <c r="R143" i="13" s="1"/>
  <c r="U143" i="13" a="1"/>
  <c r="U143" i="13" s="1"/>
  <c r="V143" i="13" a="1"/>
  <c r="V143" i="13" s="1"/>
  <c r="W143" i="13" a="1"/>
  <c r="W143" i="13" s="1"/>
  <c r="X143" i="13" a="1"/>
  <c r="X143" i="13" s="1"/>
  <c r="K144" i="13" a="1"/>
  <c r="K144" i="13" s="1"/>
  <c r="L144" i="13" a="1"/>
  <c r="L144" i="13" s="1"/>
  <c r="M144" i="13" a="1"/>
  <c r="M144" i="13" s="1"/>
  <c r="N144" i="13" a="1"/>
  <c r="N144" i="13" s="1"/>
  <c r="O144" i="13" a="1"/>
  <c r="O144" i="13" s="1"/>
  <c r="P144" i="13" a="1"/>
  <c r="P144" i="13" s="1"/>
  <c r="Q144" i="13" a="1"/>
  <c r="Q144" i="13" s="1"/>
  <c r="R144" i="13" a="1"/>
  <c r="R144" i="13" s="1"/>
  <c r="U144" i="13" a="1"/>
  <c r="U144" i="13" s="1"/>
  <c r="V144" i="13" a="1"/>
  <c r="V144" i="13" s="1"/>
  <c r="W144" i="13" a="1"/>
  <c r="W144" i="13" s="1"/>
  <c r="X144" i="13" a="1"/>
  <c r="X144" i="13" s="1"/>
  <c r="K145" i="13" a="1"/>
  <c r="K145" i="13" s="1"/>
  <c r="L145" i="13" a="1"/>
  <c r="L145" i="13" s="1"/>
  <c r="M145" i="13" a="1"/>
  <c r="M145" i="13" s="1"/>
  <c r="N145" i="13" a="1"/>
  <c r="N145" i="13" s="1"/>
  <c r="O145" i="13" a="1"/>
  <c r="O145" i="13" s="1"/>
  <c r="P145" i="13" a="1"/>
  <c r="P145" i="13" s="1"/>
  <c r="Q145" i="13" a="1"/>
  <c r="Q145" i="13" s="1"/>
  <c r="R145" i="13" a="1"/>
  <c r="R145" i="13" s="1"/>
  <c r="U145" i="13" a="1"/>
  <c r="U145" i="13" s="1"/>
  <c r="V145" i="13" a="1"/>
  <c r="V145" i="13" s="1"/>
  <c r="W145" i="13" a="1"/>
  <c r="W145" i="13" s="1"/>
  <c r="X145" i="13" a="1"/>
  <c r="X145" i="13" s="1"/>
  <c r="K146" i="13" a="1"/>
  <c r="K146" i="13" s="1"/>
  <c r="L146" i="13" a="1"/>
  <c r="L146" i="13" s="1"/>
  <c r="M146" i="13" a="1"/>
  <c r="M146" i="13" s="1"/>
  <c r="N146" i="13" a="1"/>
  <c r="N146" i="13" s="1"/>
  <c r="O146" i="13" a="1"/>
  <c r="O146" i="13" s="1"/>
  <c r="P146" i="13" a="1"/>
  <c r="P146" i="13" s="1"/>
  <c r="Q146" i="13" a="1"/>
  <c r="Q146" i="13" s="1"/>
  <c r="R146" i="13" a="1"/>
  <c r="R146" i="13" s="1"/>
  <c r="U146" i="13" a="1"/>
  <c r="U146" i="13" s="1"/>
  <c r="V146" i="13" a="1"/>
  <c r="V146" i="13" s="1"/>
  <c r="W146" i="13" a="1"/>
  <c r="W146" i="13" s="1"/>
  <c r="X146" i="13" a="1"/>
  <c r="X146" i="13" s="1"/>
  <c r="K147" i="13" a="1"/>
  <c r="K147" i="13" s="1"/>
  <c r="L147" i="13" a="1"/>
  <c r="L147" i="13" s="1"/>
  <c r="M147" i="13" a="1"/>
  <c r="M147" i="13" s="1"/>
  <c r="N147" i="13" a="1"/>
  <c r="N147" i="13" s="1"/>
  <c r="O147" i="13" a="1"/>
  <c r="O147" i="13" s="1"/>
  <c r="P147" i="13" a="1"/>
  <c r="P147" i="13" s="1"/>
  <c r="Q147" i="13" a="1"/>
  <c r="Q147" i="13" s="1"/>
  <c r="R147" i="13" a="1"/>
  <c r="R147" i="13" s="1"/>
  <c r="U147" i="13" a="1"/>
  <c r="U147" i="13" s="1"/>
  <c r="V147" i="13" a="1"/>
  <c r="V147" i="13" s="1"/>
  <c r="W147" i="13" a="1"/>
  <c r="W147" i="13" s="1"/>
  <c r="X147" i="13" a="1"/>
  <c r="X147" i="13" s="1"/>
  <c r="K148" i="13" a="1"/>
  <c r="K148" i="13" s="1"/>
  <c r="L148" i="13" a="1"/>
  <c r="L148" i="13" s="1"/>
  <c r="M148" i="13" a="1"/>
  <c r="M148" i="13" s="1"/>
  <c r="N148" i="13" a="1"/>
  <c r="N148" i="13" s="1"/>
  <c r="O148" i="13" a="1"/>
  <c r="O148" i="13" s="1"/>
  <c r="P148" i="13" a="1"/>
  <c r="P148" i="13" s="1"/>
  <c r="Q148" i="13" a="1"/>
  <c r="Q148" i="13" s="1"/>
  <c r="R148" i="13" a="1"/>
  <c r="R148" i="13" s="1"/>
  <c r="U148" i="13" a="1"/>
  <c r="U148" i="13" s="1"/>
  <c r="V148" i="13" a="1"/>
  <c r="V148" i="13" s="1"/>
  <c r="W148" i="13" a="1"/>
  <c r="W148" i="13" s="1"/>
  <c r="X148" i="13" a="1"/>
  <c r="X148" i="13" s="1"/>
  <c r="K149" i="13" a="1"/>
  <c r="K149" i="13" s="1"/>
  <c r="L149" i="13" a="1"/>
  <c r="L149" i="13" s="1"/>
  <c r="M149" i="13" a="1"/>
  <c r="M149" i="13" s="1"/>
  <c r="N149" i="13" a="1"/>
  <c r="N149" i="13" s="1"/>
  <c r="O149" i="13" a="1"/>
  <c r="O149" i="13" s="1"/>
  <c r="P149" i="13" a="1"/>
  <c r="P149" i="13" s="1"/>
  <c r="Q149" i="13" a="1"/>
  <c r="Q149" i="13" s="1"/>
  <c r="R149" i="13" a="1"/>
  <c r="R149" i="13" s="1"/>
  <c r="U149" i="13" a="1"/>
  <c r="U149" i="13" s="1"/>
  <c r="V149" i="13" a="1"/>
  <c r="V149" i="13" s="1"/>
  <c r="W149" i="13" a="1"/>
  <c r="W149" i="13" s="1"/>
  <c r="X149" i="13" a="1"/>
  <c r="X149" i="13" s="1"/>
  <c r="K150" i="13" a="1"/>
  <c r="K150" i="13" s="1"/>
  <c r="L150" i="13" a="1"/>
  <c r="L150" i="13" s="1"/>
  <c r="M150" i="13" a="1"/>
  <c r="M150" i="13" s="1"/>
  <c r="N150" i="13" a="1"/>
  <c r="N150" i="13" s="1"/>
  <c r="O150" i="13" a="1"/>
  <c r="O150" i="13" s="1"/>
  <c r="P150" i="13" a="1"/>
  <c r="P150" i="13" s="1"/>
  <c r="Q150" i="13" a="1"/>
  <c r="Q150" i="13" s="1"/>
  <c r="R150" i="13" a="1"/>
  <c r="R150" i="13" s="1"/>
  <c r="U150" i="13" a="1"/>
  <c r="U150" i="13" s="1"/>
  <c r="V150" i="13" a="1"/>
  <c r="V150" i="13" s="1"/>
  <c r="W150" i="13" a="1"/>
  <c r="W150" i="13" s="1"/>
  <c r="X150" i="13" a="1"/>
  <c r="X150" i="13" s="1"/>
  <c r="K151" i="13" a="1"/>
  <c r="K151" i="13" s="1"/>
  <c r="L151" i="13" a="1"/>
  <c r="L151" i="13" s="1"/>
  <c r="M151" i="13" a="1"/>
  <c r="M151" i="13" s="1"/>
  <c r="N151" i="13" a="1"/>
  <c r="N151" i="13" s="1"/>
  <c r="O151" i="13" a="1"/>
  <c r="O151" i="13" s="1"/>
  <c r="P151" i="13" a="1"/>
  <c r="P151" i="13" s="1"/>
  <c r="Q151" i="13" a="1"/>
  <c r="Q151" i="13" s="1"/>
  <c r="R151" i="13" a="1"/>
  <c r="R151" i="13" s="1"/>
  <c r="U151" i="13" a="1"/>
  <c r="U151" i="13" s="1"/>
  <c r="V151" i="13" a="1"/>
  <c r="V151" i="13" s="1"/>
  <c r="W151" i="13" a="1"/>
  <c r="W151" i="13" s="1"/>
  <c r="X151" i="13" a="1"/>
  <c r="X151" i="13" s="1"/>
  <c r="K152" i="13" a="1"/>
  <c r="K152" i="13" s="1"/>
  <c r="L152" i="13" a="1"/>
  <c r="L152" i="13" s="1"/>
  <c r="M152" i="13" a="1"/>
  <c r="M152" i="13" s="1"/>
  <c r="N152" i="13" a="1"/>
  <c r="N152" i="13" s="1"/>
  <c r="O152" i="13" a="1"/>
  <c r="O152" i="13" s="1"/>
  <c r="P152" i="13" a="1"/>
  <c r="P152" i="13" s="1"/>
  <c r="Q152" i="13" a="1"/>
  <c r="Q152" i="13" s="1"/>
  <c r="R152" i="13" a="1"/>
  <c r="R152" i="13" s="1"/>
  <c r="U152" i="13" a="1"/>
  <c r="U152" i="13" s="1"/>
  <c r="V152" i="13" a="1"/>
  <c r="V152" i="13" s="1"/>
  <c r="W152" i="13" a="1"/>
  <c r="W152" i="13" s="1"/>
  <c r="X152" i="13" a="1"/>
  <c r="X152" i="13" s="1"/>
  <c r="K153" i="13" a="1"/>
  <c r="K153" i="13" s="1"/>
  <c r="L153" i="13" a="1"/>
  <c r="L153" i="13" s="1"/>
  <c r="M153" i="13" a="1"/>
  <c r="M153" i="13" s="1"/>
  <c r="N153" i="13" a="1"/>
  <c r="N153" i="13" s="1"/>
  <c r="O153" i="13" a="1"/>
  <c r="O153" i="13" s="1"/>
  <c r="P153" i="13" a="1"/>
  <c r="P153" i="13" s="1"/>
  <c r="Q153" i="13" a="1"/>
  <c r="Q153" i="13" s="1"/>
  <c r="R153" i="13" a="1"/>
  <c r="R153" i="13" s="1"/>
  <c r="U153" i="13" a="1"/>
  <c r="U153" i="13" s="1"/>
  <c r="V153" i="13" a="1"/>
  <c r="V153" i="13" s="1"/>
  <c r="W153" i="13" a="1"/>
  <c r="W153" i="13" s="1"/>
  <c r="X153" i="13" a="1"/>
  <c r="X153" i="13" s="1"/>
  <c r="K154" i="13" a="1"/>
  <c r="K154" i="13" s="1"/>
  <c r="L154" i="13" a="1"/>
  <c r="L154" i="13" s="1"/>
  <c r="M154" i="13" a="1"/>
  <c r="M154" i="13" s="1"/>
  <c r="N154" i="13" a="1"/>
  <c r="N154" i="13" s="1"/>
  <c r="O154" i="13" a="1"/>
  <c r="O154" i="13" s="1"/>
  <c r="P154" i="13" a="1"/>
  <c r="P154" i="13" s="1"/>
  <c r="Q154" i="13" a="1"/>
  <c r="Q154" i="13" s="1"/>
  <c r="R154" i="13" a="1"/>
  <c r="R154" i="13" s="1"/>
  <c r="U154" i="13" a="1"/>
  <c r="U154" i="13" s="1"/>
  <c r="V154" i="13" a="1"/>
  <c r="V154" i="13" s="1"/>
  <c r="W154" i="13" a="1"/>
  <c r="W154" i="13" s="1"/>
  <c r="X154" i="13" a="1"/>
  <c r="X154" i="13" s="1"/>
  <c r="K155" i="13" a="1"/>
  <c r="K155" i="13" s="1"/>
  <c r="L155" i="13" a="1"/>
  <c r="L155" i="13" s="1"/>
  <c r="M155" i="13" a="1"/>
  <c r="M155" i="13" s="1"/>
  <c r="N155" i="13" a="1"/>
  <c r="N155" i="13" s="1"/>
  <c r="O155" i="13" a="1"/>
  <c r="O155" i="13" s="1"/>
  <c r="P155" i="13" a="1"/>
  <c r="P155" i="13" s="1"/>
  <c r="Q155" i="13" a="1"/>
  <c r="Q155" i="13" s="1"/>
  <c r="R155" i="13" a="1"/>
  <c r="R155" i="13" s="1"/>
  <c r="U155" i="13" a="1"/>
  <c r="U155" i="13" s="1"/>
  <c r="V155" i="13" a="1"/>
  <c r="V155" i="13" s="1"/>
  <c r="W155" i="13" a="1"/>
  <c r="W155" i="13" s="1"/>
  <c r="X155" i="13" a="1"/>
  <c r="X155" i="13" s="1"/>
  <c r="K156" i="13" a="1"/>
  <c r="K156" i="13" s="1"/>
  <c r="L156" i="13" a="1"/>
  <c r="L156" i="13" s="1"/>
  <c r="M156" i="13" a="1"/>
  <c r="M156" i="13" s="1"/>
  <c r="N156" i="13" a="1"/>
  <c r="N156" i="13" s="1"/>
  <c r="O156" i="13" a="1"/>
  <c r="O156" i="13" s="1"/>
  <c r="P156" i="13" a="1"/>
  <c r="P156" i="13" s="1"/>
  <c r="Q156" i="13" a="1"/>
  <c r="Q156" i="13" s="1"/>
  <c r="R156" i="13" a="1"/>
  <c r="R156" i="13" s="1"/>
  <c r="U156" i="13" a="1"/>
  <c r="U156" i="13" s="1"/>
  <c r="V156" i="13" a="1"/>
  <c r="V156" i="13" s="1"/>
  <c r="W156" i="13" a="1"/>
  <c r="W156" i="13" s="1"/>
  <c r="X156" i="13" a="1"/>
  <c r="X156" i="13" s="1"/>
  <c r="K157" i="13" a="1"/>
  <c r="K157" i="13" s="1"/>
  <c r="L157" i="13" a="1"/>
  <c r="L157" i="13" s="1"/>
  <c r="M157" i="13" a="1"/>
  <c r="M157" i="13" s="1"/>
  <c r="N157" i="13" a="1"/>
  <c r="N157" i="13" s="1"/>
  <c r="O157" i="13" a="1"/>
  <c r="O157" i="13" s="1"/>
  <c r="P157" i="13" a="1"/>
  <c r="P157" i="13" s="1"/>
  <c r="Q157" i="13" a="1"/>
  <c r="Q157" i="13" s="1"/>
  <c r="R157" i="13" a="1"/>
  <c r="R157" i="13" s="1"/>
  <c r="U157" i="13" a="1"/>
  <c r="U157" i="13" s="1"/>
  <c r="V157" i="13" a="1"/>
  <c r="V157" i="13" s="1"/>
  <c r="W157" i="13" a="1"/>
  <c r="W157" i="13" s="1"/>
  <c r="X157" i="13" a="1"/>
  <c r="X157" i="13" s="1"/>
  <c r="K158" i="13" a="1"/>
  <c r="K158" i="13" s="1"/>
  <c r="L158" i="13" a="1"/>
  <c r="L158" i="13" s="1"/>
  <c r="M158" i="13" a="1"/>
  <c r="M158" i="13" s="1"/>
  <c r="N158" i="13" a="1"/>
  <c r="N158" i="13" s="1"/>
  <c r="O158" i="13" a="1"/>
  <c r="O158" i="13" s="1"/>
  <c r="P158" i="13" a="1"/>
  <c r="P158" i="13" s="1"/>
  <c r="Q158" i="13" a="1"/>
  <c r="Q158" i="13" s="1"/>
  <c r="R158" i="13" a="1"/>
  <c r="R158" i="13" s="1"/>
  <c r="U158" i="13" a="1"/>
  <c r="U158" i="13" s="1"/>
  <c r="V158" i="13" a="1"/>
  <c r="V158" i="13" s="1"/>
  <c r="W158" i="13" a="1"/>
  <c r="W158" i="13" s="1"/>
  <c r="X158" i="13" a="1"/>
  <c r="X158" i="13" s="1"/>
  <c r="K159" i="13" a="1"/>
  <c r="K159" i="13" s="1"/>
  <c r="L159" i="13" a="1"/>
  <c r="L159" i="13" s="1"/>
  <c r="M159" i="13" a="1"/>
  <c r="M159" i="13" s="1"/>
  <c r="N159" i="13" a="1"/>
  <c r="N159" i="13" s="1"/>
  <c r="O159" i="13" a="1"/>
  <c r="O159" i="13" s="1"/>
  <c r="P159" i="13" a="1"/>
  <c r="P159" i="13" s="1"/>
  <c r="Q159" i="13" a="1"/>
  <c r="Q159" i="13" s="1"/>
  <c r="R159" i="13" a="1"/>
  <c r="R159" i="13" s="1"/>
  <c r="U159" i="13" a="1"/>
  <c r="U159" i="13" s="1"/>
  <c r="V159" i="13" a="1"/>
  <c r="V159" i="13" s="1"/>
  <c r="W159" i="13" a="1"/>
  <c r="W159" i="13" s="1"/>
  <c r="X159" i="13" a="1"/>
  <c r="X159" i="13" s="1"/>
  <c r="K160" i="13" a="1"/>
  <c r="K160" i="13" s="1"/>
  <c r="L160" i="13" a="1"/>
  <c r="L160" i="13" s="1"/>
  <c r="M160" i="13" a="1"/>
  <c r="M160" i="13" s="1"/>
  <c r="N160" i="13" a="1"/>
  <c r="N160" i="13" s="1"/>
  <c r="O160" i="13" a="1"/>
  <c r="O160" i="13" s="1"/>
  <c r="P160" i="13" a="1"/>
  <c r="P160" i="13" s="1"/>
  <c r="Q160" i="13" a="1"/>
  <c r="Q160" i="13" s="1"/>
  <c r="R160" i="13" a="1"/>
  <c r="R160" i="13" s="1"/>
  <c r="U160" i="13" a="1"/>
  <c r="U160" i="13" s="1"/>
  <c r="V160" i="13" a="1"/>
  <c r="V160" i="13" s="1"/>
  <c r="W160" i="13" a="1"/>
  <c r="W160" i="13" s="1"/>
  <c r="X160" i="13" a="1"/>
  <c r="X160" i="13" s="1"/>
  <c r="K161" i="13" a="1"/>
  <c r="K161" i="13" s="1"/>
  <c r="L161" i="13" a="1"/>
  <c r="L161" i="13" s="1"/>
  <c r="M161" i="13" a="1"/>
  <c r="M161" i="13" s="1"/>
  <c r="N161" i="13" a="1"/>
  <c r="N161" i="13" s="1"/>
  <c r="O161" i="13" a="1"/>
  <c r="O161" i="13" s="1"/>
  <c r="P161" i="13" a="1"/>
  <c r="P161" i="13" s="1"/>
  <c r="Q161" i="13" a="1"/>
  <c r="Q161" i="13" s="1"/>
  <c r="R161" i="13" a="1"/>
  <c r="R161" i="13" s="1"/>
  <c r="U161" i="13" a="1"/>
  <c r="U161" i="13" s="1"/>
  <c r="V161" i="13" a="1"/>
  <c r="V161" i="13" s="1"/>
  <c r="W161" i="13" a="1"/>
  <c r="W161" i="13" s="1"/>
  <c r="X161" i="13" a="1"/>
  <c r="X161" i="13" s="1"/>
  <c r="K162" i="13" a="1"/>
  <c r="K162" i="13" s="1"/>
  <c r="L162" i="13" a="1"/>
  <c r="L162" i="13" s="1"/>
  <c r="M162" i="13" a="1"/>
  <c r="M162" i="13" s="1"/>
  <c r="N162" i="13" a="1"/>
  <c r="N162" i="13" s="1"/>
  <c r="O162" i="13" a="1"/>
  <c r="O162" i="13" s="1"/>
  <c r="P162" i="13" a="1"/>
  <c r="P162" i="13" s="1"/>
  <c r="Q162" i="13" a="1"/>
  <c r="Q162" i="13" s="1"/>
  <c r="R162" i="13" a="1"/>
  <c r="R162" i="13" s="1"/>
  <c r="U162" i="13" a="1"/>
  <c r="U162" i="13" s="1"/>
  <c r="V162" i="13" a="1"/>
  <c r="V162" i="13" s="1"/>
  <c r="W162" i="13" a="1"/>
  <c r="W162" i="13" s="1"/>
  <c r="X162" i="13" a="1"/>
  <c r="X162" i="13" s="1"/>
  <c r="K163" i="13" a="1"/>
  <c r="K163" i="13" s="1"/>
  <c r="L163" i="13" a="1"/>
  <c r="L163" i="13" s="1"/>
  <c r="M163" i="13" a="1"/>
  <c r="M163" i="13" s="1"/>
  <c r="N163" i="13" a="1"/>
  <c r="N163" i="13" s="1"/>
  <c r="O163" i="13" a="1"/>
  <c r="O163" i="13" s="1"/>
  <c r="P163" i="13" a="1"/>
  <c r="P163" i="13" s="1"/>
  <c r="Q163" i="13" a="1"/>
  <c r="Q163" i="13" s="1"/>
  <c r="R163" i="13" a="1"/>
  <c r="R163" i="13" s="1"/>
  <c r="U163" i="13" a="1"/>
  <c r="U163" i="13" s="1"/>
  <c r="V163" i="13" a="1"/>
  <c r="V163" i="13" s="1"/>
  <c r="W163" i="13" a="1"/>
  <c r="W163" i="13" s="1"/>
  <c r="X163" i="13" a="1"/>
  <c r="X163" i="13" s="1"/>
  <c r="K164" i="13" a="1"/>
  <c r="K164" i="13" s="1"/>
  <c r="L164" i="13" a="1"/>
  <c r="L164" i="13" s="1"/>
  <c r="M164" i="13" a="1"/>
  <c r="M164" i="13" s="1"/>
  <c r="N164" i="13" a="1"/>
  <c r="N164" i="13" s="1"/>
  <c r="O164" i="13" a="1"/>
  <c r="O164" i="13" s="1"/>
  <c r="P164" i="13" a="1"/>
  <c r="P164" i="13" s="1"/>
  <c r="Q164" i="13" a="1"/>
  <c r="Q164" i="13" s="1"/>
  <c r="R164" i="13" a="1"/>
  <c r="R164" i="13" s="1"/>
  <c r="U164" i="13" a="1"/>
  <c r="U164" i="13" s="1"/>
  <c r="V164" i="13" a="1"/>
  <c r="V164" i="13" s="1"/>
  <c r="W164" i="13" a="1"/>
  <c r="W164" i="13" s="1"/>
  <c r="X164" i="13" a="1"/>
  <c r="X164" i="13" s="1"/>
  <c r="K165" i="13" a="1"/>
  <c r="K165" i="13" s="1"/>
  <c r="L165" i="13" a="1"/>
  <c r="L165" i="13" s="1"/>
  <c r="M165" i="13" a="1"/>
  <c r="M165" i="13" s="1"/>
  <c r="N165" i="13" a="1"/>
  <c r="N165" i="13" s="1"/>
  <c r="O165" i="13" a="1"/>
  <c r="O165" i="13" s="1"/>
  <c r="P165" i="13" a="1"/>
  <c r="P165" i="13" s="1"/>
  <c r="Q165" i="13" a="1"/>
  <c r="Q165" i="13" s="1"/>
  <c r="R165" i="13" a="1"/>
  <c r="R165" i="13" s="1"/>
  <c r="U165" i="13" a="1"/>
  <c r="U165" i="13" s="1"/>
  <c r="V165" i="13" a="1"/>
  <c r="V165" i="13" s="1"/>
  <c r="W165" i="13" a="1"/>
  <c r="W165" i="13" s="1"/>
  <c r="X165" i="13" a="1"/>
  <c r="X165" i="13" s="1"/>
  <c r="K166" i="13" a="1"/>
  <c r="K166" i="13" s="1"/>
  <c r="L166" i="13" a="1"/>
  <c r="L166" i="13" s="1"/>
  <c r="M166" i="13" a="1"/>
  <c r="M166" i="13" s="1"/>
  <c r="N166" i="13" a="1"/>
  <c r="N166" i="13" s="1"/>
  <c r="O166" i="13" a="1"/>
  <c r="O166" i="13" s="1"/>
  <c r="P166" i="13" a="1"/>
  <c r="P166" i="13" s="1"/>
  <c r="Q166" i="13" a="1"/>
  <c r="Q166" i="13" s="1"/>
  <c r="R166" i="13" a="1"/>
  <c r="R166" i="13" s="1"/>
  <c r="U166" i="13" a="1"/>
  <c r="U166" i="13" s="1"/>
  <c r="V166" i="13" a="1"/>
  <c r="V166" i="13" s="1"/>
  <c r="W166" i="13" a="1"/>
  <c r="W166" i="13" s="1"/>
  <c r="X166" i="13" a="1"/>
  <c r="X166" i="13" s="1"/>
  <c r="K167" i="13" a="1"/>
  <c r="K167" i="13" s="1"/>
  <c r="L167" i="13" a="1"/>
  <c r="L167" i="13" s="1"/>
  <c r="M167" i="13" a="1"/>
  <c r="M167" i="13" s="1"/>
  <c r="N167" i="13" a="1"/>
  <c r="N167" i="13" s="1"/>
  <c r="O167" i="13" a="1"/>
  <c r="O167" i="13" s="1"/>
  <c r="P167" i="13" a="1"/>
  <c r="P167" i="13" s="1"/>
  <c r="Q167" i="13" a="1"/>
  <c r="Q167" i="13" s="1"/>
  <c r="R167" i="13" a="1"/>
  <c r="R167" i="13" s="1"/>
  <c r="U167" i="13" a="1"/>
  <c r="U167" i="13" s="1"/>
  <c r="V167" i="13" a="1"/>
  <c r="V167" i="13" s="1"/>
  <c r="W167" i="13" a="1"/>
  <c r="W167" i="13" s="1"/>
  <c r="X167" i="13" a="1"/>
  <c r="X167" i="13" s="1"/>
  <c r="K168" i="13" a="1"/>
  <c r="K168" i="13" s="1"/>
  <c r="L168" i="13" a="1"/>
  <c r="L168" i="13" s="1"/>
  <c r="M168" i="13" a="1"/>
  <c r="M168" i="13" s="1"/>
  <c r="N168" i="13" a="1"/>
  <c r="N168" i="13" s="1"/>
  <c r="O168" i="13" a="1"/>
  <c r="O168" i="13" s="1"/>
  <c r="P168" i="13" a="1"/>
  <c r="P168" i="13" s="1"/>
  <c r="Q168" i="13" a="1"/>
  <c r="Q168" i="13" s="1"/>
  <c r="R168" i="13" a="1"/>
  <c r="R168" i="13" s="1"/>
  <c r="U168" i="13" a="1"/>
  <c r="U168" i="13" s="1"/>
  <c r="V168" i="13" a="1"/>
  <c r="V168" i="13" s="1"/>
  <c r="W168" i="13" a="1"/>
  <c r="W168" i="13" s="1"/>
  <c r="X168" i="13" a="1"/>
  <c r="X168" i="13" s="1"/>
  <c r="K169" i="13" a="1"/>
  <c r="K169" i="13" s="1"/>
  <c r="L169" i="13" a="1"/>
  <c r="L169" i="13" s="1"/>
  <c r="M169" i="13" a="1"/>
  <c r="M169" i="13" s="1"/>
  <c r="N169" i="13" a="1"/>
  <c r="N169" i="13" s="1"/>
  <c r="O169" i="13" a="1"/>
  <c r="O169" i="13" s="1"/>
  <c r="P169" i="13" a="1"/>
  <c r="P169" i="13" s="1"/>
  <c r="Q169" i="13" a="1"/>
  <c r="Q169" i="13" s="1"/>
  <c r="R169" i="13" a="1"/>
  <c r="R169" i="13" s="1"/>
  <c r="U169" i="13" a="1"/>
  <c r="U169" i="13" s="1"/>
  <c r="V169" i="13" a="1"/>
  <c r="V169" i="13" s="1"/>
  <c r="W169" i="13" a="1"/>
  <c r="W169" i="13" s="1"/>
  <c r="X169" i="13" a="1"/>
  <c r="X169" i="13" s="1"/>
  <c r="K170" i="13" a="1"/>
  <c r="K170" i="13" s="1"/>
  <c r="L170" i="13" a="1"/>
  <c r="L170" i="13" s="1"/>
  <c r="M170" i="13" a="1"/>
  <c r="M170" i="13" s="1"/>
  <c r="N170" i="13" a="1"/>
  <c r="N170" i="13" s="1"/>
  <c r="O170" i="13" a="1"/>
  <c r="O170" i="13" s="1"/>
  <c r="P170" i="13" a="1"/>
  <c r="P170" i="13" s="1"/>
  <c r="Q170" i="13" a="1"/>
  <c r="Q170" i="13" s="1"/>
  <c r="R170" i="13" a="1"/>
  <c r="R170" i="13" s="1"/>
  <c r="U170" i="13" a="1"/>
  <c r="U170" i="13" s="1"/>
  <c r="V170" i="13" a="1"/>
  <c r="V170" i="13" s="1"/>
  <c r="W170" i="13" a="1"/>
  <c r="W170" i="13" s="1"/>
  <c r="X170" i="13" a="1"/>
  <c r="X170" i="13" s="1"/>
  <c r="K171" i="13" a="1"/>
  <c r="K171" i="13" s="1"/>
  <c r="L171" i="13" a="1"/>
  <c r="L171" i="13" s="1"/>
  <c r="M171" i="13" a="1"/>
  <c r="M171" i="13" s="1"/>
  <c r="N171" i="13" a="1"/>
  <c r="N171" i="13" s="1"/>
  <c r="O171" i="13" a="1"/>
  <c r="O171" i="13" s="1"/>
  <c r="P171" i="13" a="1"/>
  <c r="P171" i="13" s="1"/>
  <c r="Q171" i="13" a="1"/>
  <c r="Q171" i="13" s="1"/>
  <c r="R171" i="13" a="1"/>
  <c r="R171" i="13" s="1"/>
  <c r="U171" i="13" a="1"/>
  <c r="U171" i="13" s="1"/>
  <c r="V171" i="13" a="1"/>
  <c r="V171" i="13" s="1"/>
  <c r="W171" i="13" a="1"/>
  <c r="W171" i="13" s="1"/>
  <c r="X171" i="13" a="1"/>
  <c r="X171" i="13" s="1"/>
  <c r="K172" i="13" a="1"/>
  <c r="K172" i="13" s="1"/>
  <c r="L172" i="13" a="1"/>
  <c r="L172" i="13" s="1"/>
  <c r="M172" i="13" a="1"/>
  <c r="M172" i="13" s="1"/>
  <c r="N172" i="13" a="1"/>
  <c r="N172" i="13" s="1"/>
  <c r="O172" i="13" a="1"/>
  <c r="O172" i="13" s="1"/>
  <c r="P172" i="13" a="1"/>
  <c r="P172" i="13" s="1"/>
  <c r="Q172" i="13" a="1"/>
  <c r="Q172" i="13" s="1"/>
  <c r="R172" i="13" a="1"/>
  <c r="R172" i="13" s="1"/>
  <c r="U172" i="13" a="1"/>
  <c r="U172" i="13" s="1"/>
  <c r="V172" i="13" a="1"/>
  <c r="V172" i="13" s="1"/>
  <c r="W172" i="13" a="1"/>
  <c r="W172" i="13" s="1"/>
  <c r="X172" i="13" a="1"/>
  <c r="X172" i="13" s="1"/>
  <c r="K173" i="13" a="1"/>
  <c r="K173" i="13" s="1"/>
  <c r="L173" i="13" a="1"/>
  <c r="L173" i="13" s="1"/>
  <c r="M173" i="13" a="1"/>
  <c r="M173" i="13" s="1"/>
  <c r="N173" i="13" a="1"/>
  <c r="N173" i="13" s="1"/>
  <c r="O173" i="13" a="1"/>
  <c r="O173" i="13" s="1"/>
  <c r="P173" i="13" a="1"/>
  <c r="P173" i="13" s="1"/>
  <c r="Q173" i="13" a="1"/>
  <c r="Q173" i="13" s="1"/>
  <c r="R173" i="13" a="1"/>
  <c r="R173" i="13" s="1"/>
  <c r="U173" i="13" a="1"/>
  <c r="U173" i="13" s="1"/>
  <c r="V173" i="13" a="1"/>
  <c r="V173" i="13" s="1"/>
  <c r="W173" i="13" a="1"/>
  <c r="W173" i="13" s="1"/>
  <c r="X173" i="13" a="1"/>
  <c r="X173" i="13" s="1"/>
  <c r="K174" i="13" a="1"/>
  <c r="K174" i="13" s="1"/>
  <c r="L174" i="13" a="1"/>
  <c r="L174" i="13" s="1"/>
  <c r="M174" i="13" a="1"/>
  <c r="M174" i="13" s="1"/>
  <c r="N174" i="13" a="1"/>
  <c r="N174" i="13" s="1"/>
  <c r="O174" i="13" a="1"/>
  <c r="O174" i="13" s="1"/>
  <c r="P174" i="13" a="1"/>
  <c r="P174" i="13" s="1"/>
  <c r="Q174" i="13" a="1"/>
  <c r="Q174" i="13" s="1"/>
  <c r="R174" i="13" a="1"/>
  <c r="R174" i="13" s="1"/>
  <c r="U174" i="13" a="1"/>
  <c r="U174" i="13" s="1"/>
  <c r="V174" i="13" a="1"/>
  <c r="V174" i="13" s="1"/>
  <c r="W174" i="13" a="1"/>
  <c r="W174" i="13" s="1"/>
  <c r="X174" i="13" a="1"/>
  <c r="X174" i="13" s="1"/>
  <c r="K175" i="13" a="1"/>
  <c r="K175" i="13" s="1"/>
  <c r="L175" i="13" a="1"/>
  <c r="L175" i="13" s="1"/>
  <c r="M175" i="13" a="1"/>
  <c r="M175" i="13" s="1"/>
  <c r="N175" i="13" a="1"/>
  <c r="N175" i="13" s="1"/>
  <c r="O175" i="13" a="1"/>
  <c r="O175" i="13" s="1"/>
  <c r="P175" i="13" a="1"/>
  <c r="P175" i="13" s="1"/>
  <c r="Q175" i="13" a="1"/>
  <c r="Q175" i="13" s="1"/>
  <c r="R175" i="13" a="1"/>
  <c r="R175" i="13" s="1"/>
  <c r="U175" i="13" a="1"/>
  <c r="U175" i="13" s="1"/>
  <c r="V175" i="13" a="1"/>
  <c r="V175" i="13" s="1"/>
  <c r="W175" i="13" a="1"/>
  <c r="W175" i="13" s="1"/>
  <c r="X175" i="13" a="1"/>
  <c r="X175" i="13" s="1"/>
  <c r="K176" i="13" a="1"/>
  <c r="K176" i="13" s="1"/>
  <c r="L176" i="13" a="1"/>
  <c r="L176" i="13" s="1"/>
  <c r="M176" i="13" a="1"/>
  <c r="M176" i="13" s="1"/>
  <c r="N176" i="13" a="1"/>
  <c r="N176" i="13" s="1"/>
  <c r="O176" i="13" a="1"/>
  <c r="O176" i="13" s="1"/>
  <c r="P176" i="13" a="1"/>
  <c r="P176" i="13" s="1"/>
  <c r="Q176" i="13" a="1"/>
  <c r="Q176" i="13" s="1"/>
  <c r="R176" i="13" a="1"/>
  <c r="R176" i="13" s="1"/>
  <c r="U176" i="13" a="1"/>
  <c r="U176" i="13" s="1"/>
  <c r="V176" i="13" a="1"/>
  <c r="V176" i="13" s="1"/>
  <c r="W176" i="13" a="1"/>
  <c r="W176" i="13" s="1"/>
  <c r="X176" i="13" a="1"/>
  <c r="X176" i="13" s="1"/>
  <c r="K177" i="13" a="1"/>
  <c r="K177" i="13" s="1"/>
  <c r="L177" i="13" a="1"/>
  <c r="L177" i="13" s="1"/>
  <c r="M177" i="13" a="1"/>
  <c r="M177" i="13" s="1"/>
  <c r="N177" i="13" a="1"/>
  <c r="N177" i="13" s="1"/>
  <c r="O177" i="13" a="1"/>
  <c r="O177" i="13" s="1"/>
  <c r="P177" i="13" a="1"/>
  <c r="P177" i="13" s="1"/>
  <c r="Q177" i="13" a="1"/>
  <c r="Q177" i="13" s="1"/>
  <c r="R177" i="13" a="1"/>
  <c r="R177" i="13" s="1"/>
  <c r="U177" i="13" a="1"/>
  <c r="U177" i="13" s="1"/>
  <c r="V177" i="13" a="1"/>
  <c r="V177" i="13" s="1"/>
  <c r="W177" i="13" a="1"/>
  <c r="W177" i="13" s="1"/>
  <c r="X177" i="13" a="1"/>
  <c r="X177" i="13" s="1"/>
  <c r="K178" i="13" a="1"/>
  <c r="K178" i="13" s="1"/>
  <c r="L178" i="13" a="1"/>
  <c r="L178" i="13" s="1"/>
  <c r="M178" i="13" a="1"/>
  <c r="M178" i="13" s="1"/>
  <c r="N178" i="13" a="1"/>
  <c r="N178" i="13" s="1"/>
  <c r="O178" i="13" a="1"/>
  <c r="O178" i="13" s="1"/>
  <c r="P178" i="13" a="1"/>
  <c r="P178" i="13" s="1"/>
  <c r="Q178" i="13" a="1"/>
  <c r="Q178" i="13" s="1"/>
  <c r="R178" i="13" a="1"/>
  <c r="R178" i="13" s="1"/>
  <c r="U178" i="13" a="1"/>
  <c r="U178" i="13" s="1"/>
  <c r="V178" i="13" a="1"/>
  <c r="V178" i="13" s="1"/>
  <c r="W178" i="13" a="1"/>
  <c r="W178" i="13" s="1"/>
  <c r="X178" i="13" a="1"/>
  <c r="X178" i="13" s="1"/>
  <c r="K179" i="13" a="1"/>
  <c r="K179" i="13" s="1"/>
  <c r="L179" i="13" a="1"/>
  <c r="L179" i="13" s="1"/>
  <c r="M179" i="13" a="1"/>
  <c r="M179" i="13" s="1"/>
  <c r="N179" i="13" a="1"/>
  <c r="N179" i="13" s="1"/>
  <c r="O179" i="13" a="1"/>
  <c r="O179" i="13" s="1"/>
  <c r="P179" i="13" a="1"/>
  <c r="P179" i="13" s="1"/>
  <c r="Q179" i="13" a="1"/>
  <c r="Q179" i="13" s="1"/>
  <c r="R179" i="13" a="1"/>
  <c r="R179" i="13" s="1"/>
  <c r="U179" i="13" a="1"/>
  <c r="U179" i="13" s="1"/>
  <c r="V179" i="13" a="1"/>
  <c r="V179" i="13" s="1"/>
  <c r="W179" i="13" a="1"/>
  <c r="W179" i="13" s="1"/>
  <c r="X179" i="13" a="1"/>
  <c r="X179" i="13" s="1"/>
  <c r="K180" i="13" a="1"/>
  <c r="K180" i="13" s="1"/>
  <c r="L180" i="13" a="1"/>
  <c r="L180" i="13" s="1"/>
  <c r="M180" i="13" a="1"/>
  <c r="M180" i="13" s="1"/>
  <c r="N180" i="13" a="1"/>
  <c r="N180" i="13" s="1"/>
  <c r="O180" i="13" a="1"/>
  <c r="O180" i="13" s="1"/>
  <c r="P180" i="13" a="1"/>
  <c r="P180" i="13" s="1"/>
  <c r="Q180" i="13" a="1"/>
  <c r="Q180" i="13" s="1"/>
  <c r="R180" i="13" a="1"/>
  <c r="R180" i="13" s="1"/>
  <c r="U180" i="13" a="1"/>
  <c r="U180" i="13" s="1"/>
  <c r="V180" i="13" a="1"/>
  <c r="V180" i="13" s="1"/>
  <c r="W180" i="13" a="1"/>
  <c r="W180" i="13" s="1"/>
  <c r="X180" i="13" a="1"/>
  <c r="X180" i="13" s="1"/>
  <c r="K181" i="13" a="1"/>
  <c r="K181" i="13" s="1"/>
  <c r="L181" i="13" a="1"/>
  <c r="L181" i="13" s="1"/>
  <c r="M181" i="13" a="1"/>
  <c r="M181" i="13" s="1"/>
  <c r="N181" i="13" a="1"/>
  <c r="N181" i="13" s="1"/>
  <c r="O181" i="13" a="1"/>
  <c r="O181" i="13" s="1"/>
  <c r="P181" i="13" a="1"/>
  <c r="P181" i="13" s="1"/>
  <c r="Q181" i="13" a="1"/>
  <c r="Q181" i="13" s="1"/>
  <c r="R181" i="13" a="1"/>
  <c r="R181" i="13" s="1"/>
  <c r="U181" i="13" a="1"/>
  <c r="U181" i="13" s="1"/>
  <c r="V181" i="13" a="1"/>
  <c r="V181" i="13" s="1"/>
  <c r="W181" i="13" a="1"/>
  <c r="W181" i="13" s="1"/>
  <c r="X181" i="13" a="1"/>
  <c r="X181" i="13" s="1"/>
  <c r="K182" i="13" a="1"/>
  <c r="K182" i="13" s="1"/>
  <c r="L182" i="13" a="1"/>
  <c r="L182" i="13" s="1"/>
  <c r="M182" i="13" a="1"/>
  <c r="M182" i="13" s="1"/>
  <c r="N182" i="13" a="1"/>
  <c r="N182" i="13" s="1"/>
  <c r="O182" i="13" a="1"/>
  <c r="O182" i="13" s="1"/>
  <c r="P182" i="13" a="1"/>
  <c r="P182" i="13" s="1"/>
  <c r="Q182" i="13" a="1"/>
  <c r="Q182" i="13" s="1"/>
  <c r="R182" i="13" a="1"/>
  <c r="R182" i="13" s="1"/>
  <c r="U182" i="13" a="1"/>
  <c r="U182" i="13" s="1"/>
  <c r="V182" i="13" a="1"/>
  <c r="V182" i="13" s="1"/>
  <c r="W182" i="13" a="1"/>
  <c r="W182" i="13" s="1"/>
  <c r="X182" i="13" a="1"/>
  <c r="X182" i="13" s="1"/>
  <c r="K183" i="13" a="1"/>
  <c r="K183" i="13" s="1"/>
  <c r="L183" i="13" a="1"/>
  <c r="L183" i="13" s="1"/>
  <c r="M183" i="13" a="1"/>
  <c r="M183" i="13" s="1"/>
  <c r="N183" i="13" a="1"/>
  <c r="N183" i="13" s="1"/>
  <c r="O183" i="13" a="1"/>
  <c r="O183" i="13" s="1"/>
  <c r="P183" i="13" a="1"/>
  <c r="P183" i="13" s="1"/>
  <c r="Q183" i="13" a="1"/>
  <c r="Q183" i="13" s="1"/>
  <c r="R183" i="13" a="1"/>
  <c r="R183" i="13" s="1"/>
  <c r="U183" i="13" a="1"/>
  <c r="U183" i="13" s="1"/>
  <c r="V183" i="13" a="1"/>
  <c r="V183" i="13" s="1"/>
  <c r="W183" i="13" a="1"/>
  <c r="W183" i="13" s="1"/>
  <c r="X183" i="13" a="1"/>
  <c r="X183" i="13" s="1"/>
  <c r="K184" i="13" a="1"/>
  <c r="K184" i="13" s="1"/>
  <c r="L184" i="13" a="1"/>
  <c r="L184" i="13" s="1"/>
  <c r="M184" i="13" a="1"/>
  <c r="M184" i="13" s="1"/>
  <c r="N184" i="13" a="1"/>
  <c r="N184" i="13" s="1"/>
  <c r="O184" i="13" a="1"/>
  <c r="O184" i="13" s="1"/>
  <c r="P184" i="13" a="1"/>
  <c r="P184" i="13" s="1"/>
  <c r="Q184" i="13" a="1"/>
  <c r="Q184" i="13" s="1"/>
  <c r="R184" i="13" a="1"/>
  <c r="R184" i="13" s="1"/>
  <c r="U184" i="13" a="1"/>
  <c r="U184" i="13" s="1"/>
  <c r="V184" i="13" a="1"/>
  <c r="V184" i="13" s="1"/>
  <c r="W184" i="13" a="1"/>
  <c r="W184" i="13" s="1"/>
  <c r="X184" i="13" a="1"/>
  <c r="X184" i="13" s="1"/>
  <c r="K185" i="13" a="1"/>
  <c r="K185" i="13" s="1"/>
  <c r="L185" i="13" a="1"/>
  <c r="L185" i="13" s="1"/>
  <c r="M185" i="13" a="1"/>
  <c r="M185" i="13" s="1"/>
  <c r="N185" i="13" a="1"/>
  <c r="N185" i="13" s="1"/>
  <c r="O185" i="13" a="1"/>
  <c r="O185" i="13" s="1"/>
  <c r="P185" i="13" a="1"/>
  <c r="P185" i="13" s="1"/>
  <c r="Q185" i="13" a="1"/>
  <c r="Q185" i="13" s="1"/>
  <c r="R185" i="13" a="1"/>
  <c r="R185" i="13" s="1"/>
  <c r="U185" i="13" a="1"/>
  <c r="U185" i="13" s="1"/>
  <c r="V185" i="13" a="1"/>
  <c r="V185" i="13" s="1"/>
  <c r="W185" i="13" a="1"/>
  <c r="W185" i="13" s="1"/>
  <c r="X185" i="13" a="1"/>
  <c r="X185" i="13" s="1"/>
  <c r="K186" i="13" a="1"/>
  <c r="K186" i="13" s="1"/>
  <c r="L186" i="13" a="1"/>
  <c r="L186" i="13" s="1"/>
  <c r="M186" i="13" a="1"/>
  <c r="M186" i="13" s="1"/>
  <c r="N186" i="13" a="1"/>
  <c r="N186" i="13" s="1"/>
  <c r="O186" i="13" a="1"/>
  <c r="O186" i="13" s="1"/>
  <c r="P186" i="13" a="1"/>
  <c r="P186" i="13" s="1"/>
  <c r="Q186" i="13" a="1"/>
  <c r="Q186" i="13" s="1"/>
  <c r="R186" i="13" a="1"/>
  <c r="R186" i="13" s="1"/>
  <c r="U186" i="13" a="1"/>
  <c r="U186" i="13" s="1"/>
  <c r="V186" i="13" a="1"/>
  <c r="V186" i="13" s="1"/>
  <c r="W186" i="13" a="1"/>
  <c r="W186" i="13" s="1"/>
  <c r="X186" i="13" a="1"/>
  <c r="X186" i="13" s="1"/>
  <c r="K187" i="13" a="1"/>
  <c r="K187" i="13" s="1"/>
  <c r="L187" i="13" a="1"/>
  <c r="L187" i="13" s="1"/>
  <c r="M187" i="13" a="1"/>
  <c r="M187" i="13" s="1"/>
  <c r="N187" i="13" a="1"/>
  <c r="N187" i="13" s="1"/>
  <c r="O187" i="13" a="1"/>
  <c r="O187" i="13" s="1"/>
  <c r="P187" i="13" a="1"/>
  <c r="P187" i="13" s="1"/>
  <c r="Q187" i="13" a="1"/>
  <c r="Q187" i="13" s="1"/>
  <c r="R187" i="13" a="1"/>
  <c r="R187" i="13" s="1"/>
  <c r="U187" i="13" a="1"/>
  <c r="U187" i="13" s="1"/>
  <c r="V187" i="13" a="1"/>
  <c r="V187" i="13" s="1"/>
  <c r="W187" i="13" a="1"/>
  <c r="W187" i="13" s="1"/>
  <c r="X187" i="13" a="1"/>
  <c r="X187" i="13" s="1"/>
  <c r="K188" i="13" a="1"/>
  <c r="K188" i="13" s="1"/>
  <c r="L188" i="13" a="1"/>
  <c r="L188" i="13" s="1"/>
  <c r="M188" i="13" a="1"/>
  <c r="M188" i="13" s="1"/>
  <c r="N188" i="13" a="1"/>
  <c r="N188" i="13" s="1"/>
  <c r="O188" i="13" a="1"/>
  <c r="O188" i="13" s="1"/>
  <c r="P188" i="13" a="1"/>
  <c r="P188" i="13" s="1"/>
  <c r="Q188" i="13" a="1"/>
  <c r="Q188" i="13" s="1"/>
  <c r="R188" i="13" a="1"/>
  <c r="R188" i="13" s="1"/>
  <c r="U188" i="13" a="1"/>
  <c r="U188" i="13" s="1"/>
  <c r="V188" i="13" a="1"/>
  <c r="V188" i="13" s="1"/>
  <c r="W188" i="13" a="1"/>
  <c r="W188" i="13" s="1"/>
  <c r="X188" i="13" a="1"/>
  <c r="X188" i="13" s="1"/>
  <c r="K189" i="13" a="1"/>
  <c r="K189" i="13" s="1"/>
  <c r="L189" i="13" a="1"/>
  <c r="L189" i="13" s="1"/>
  <c r="M189" i="13" a="1"/>
  <c r="M189" i="13" s="1"/>
  <c r="N189" i="13" a="1"/>
  <c r="N189" i="13" s="1"/>
  <c r="O189" i="13" a="1"/>
  <c r="O189" i="13" s="1"/>
  <c r="P189" i="13" a="1"/>
  <c r="P189" i="13" s="1"/>
  <c r="Q189" i="13" a="1"/>
  <c r="Q189" i="13" s="1"/>
  <c r="R189" i="13" a="1"/>
  <c r="R189" i="13" s="1"/>
  <c r="U189" i="13" a="1"/>
  <c r="U189" i="13" s="1"/>
  <c r="V189" i="13" a="1"/>
  <c r="V189" i="13" s="1"/>
  <c r="W189" i="13" a="1"/>
  <c r="W189" i="13" s="1"/>
  <c r="X189" i="13" a="1"/>
  <c r="X189" i="13" s="1"/>
  <c r="K190" i="13" a="1"/>
  <c r="K190" i="13" s="1"/>
  <c r="L190" i="13" a="1"/>
  <c r="L190" i="13" s="1"/>
  <c r="M190" i="13" a="1"/>
  <c r="M190" i="13" s="1"/>
  <c r="N190" i="13" a="1"/>
  <c r="N190" i="13" s="1"/>
  <c r="O190" i="13" a="1"/>
  <c r="O190" i="13" s="1"/>
  <c r="P190" i="13" a="1"/>
  <c r="P190" i="13" s="1"/>
  <c r="Q190" i="13" a="1"/>
  <c r="Q190" i="13" s="1"/>
  <c r="R190" i="13" a="1"/>
  <c r="R190" i="13" s="1"/>
  <c r="U190" i="13" a="1"/>
  <c r="U190" i="13" s="1"/>
  <c r="V190" i="13" a="1"/>
  <c r="V190" i="13" s="1"/>
  <c r="W190" i="13" a="1"/>
  <c r="W190" i="13" s="1"/>
  <c r="X190" i="13" a="1"/>
  <c r="X190" i="13" s="1"/>
  <c r="K191" i="13" a="1"/>
  <c r="K191" i="13" s="1"/>
  <c r="L191" i="13" a="1"/>
  <c r="L191" i="13" s="1"/>
  <c r="M191" i="13" a="1"/>
  <c r="M191" i="13" s="1"/>
  <c r="N191" i="13" a="1"/>
  <c r="N191" i="13" s="1"/>
  <c r="O191" i="13" a="1"/>
  <c r="O191" i="13" s="1"/>
  <c r="P191" i="13" a="1"/>
  <c r="P191" i="13" s="1"/>
  <c r="Q191" i="13" a="1"/>
  <c r="Q191" i="13" s="1"/>
  <c r="R191" i="13" a="1"/>
  <c r="R191" i="13" s="1"/>
  <c r="U191" i="13" a="1"/>
  <c r="U191" i="13" s="1"/>
  <c r="V191" i="13" a="1"/>
  <c r="V191" i="13" s="1"/>
  <c r="W191" i="13" a="1"/>
  <c r="W191" i="13" s="1"/>
  <c r="X191" i="13" a="1"/>
  <c r="X191" i="13" s="1"/>
  <c r="K192" i="13" a="1"/>
  <c r="K192" i="13" s="1"/>
  <c r="L192" i="13" a="1"/>
  <c r="L192" i="13" s="1"/>
  <c r="M192" i="13" a="1"/>
  <c r="M192" i="13" s="1"/>
  <c r="N192" i="13" a="1"/>
  <c r="N192" i="13" s="1"/>
  <c r="O192" i="13" a="1"/>
  <c r="O192" i="13" s="1"/>
  <c r="P192" i="13" a="1"/>
  <c r="P192" i="13" s="1"/>
  <c r="Q192" i="13" a="1"/>
  <c r="Q192" i="13" s="1"/>
  <c r="R192" i="13" a="1"/>
  <c r="R192" i="13" s="1"/>
  <c r="U192" i="13" a="1"/>
  <c r="U192" i="13" s="1"/>
  <c r="V192" i="13" a="1"/>
  <c r="V192" i="13" s="1"/>
  <c r="W192" i="13" a="1"/>
  <c r="W192" i="13" s="1"/>
  <c r="X192" i="13" a="1"/>
  <c r="X192" i="13" s="1"/>
  <c r="K193" i="13" a="1"/>
  <c r="K193" i="13" s="1"/>
  <c r="L193" i="13" a="1"/>
  <c r="L193" i="13" s="1"/>
  <c r="M193" i="13" a="1"/>
  <c r="M193" i="13" s="1"/>
  <c r="N193" i="13" a="1"/>
  <c r="N193" i="13" s="1"/>
  <c r="O193" i="13" a="1"/>
  <c r="O193" i="13" s="1"/>
  <c r="P193" i="13" a="1"/>
  <c r="P193" i="13" s="1"/>
  <c r="Q193" i="13" a="1"/>
  <c r="Q193" i="13" s="1"/>
  <c r="R193" i="13" a="1"/>
  <c r="R193" i="13" s="1"/>
  <c r="U193" i="13" a="1"/>
  <c r="U193" i="13" s="1"/>
  <c r="V193" i="13" a="1"/>
  <c r="V193" i="13" s="1"/>
  <c r="W193" i="13" a="1"/>
  <c r="W193" i="13" s="1"/>
  <c r="X193" i="13" a="1"/>
  <c r="X193" i="13" s="1"/>
  <c r="K194" i="13" a="1"/>
  <c r="K194" i="13" s="1"/>
  <c r="L194" i="13" a="1"/>
  <c r="L194" i="13" s="1"/>
  <c r="M194" i="13" a="1"/>
  <c r="M194" i="13" s="1"/>
  <c r="N194" i="13" a="1"/>
  <c r="N194" i="13" s="1"/>
  <c r="O194" i="13" a="1"/>
  <c r="O194" i="13" s="1"/>
  <c r="P194" i="13" a="1"/>
  <c r="P194" i="13" s="1"/>
  <c r="Q194" i="13" a="1"/>
  <c r="Q194" i="13" s="1"/>
  <c r="R194" i="13" a="1"/>
  <c r="R194" i="13" s="1"/>
  <c r="U194" i="13" a="1"/>
  <c r="U194" i="13" s="1"/>
  <c r="V194" i="13" a="1"/>
  <c r="V194" i="13" s="1"/>
  <c r="W194" i="13" a="1"/>
  <c r="W194" i="13" s="1"/>
  <c r="X194" i="13" a="1"/>
  <c r="X194" i="13" s="1"/>
  <c r="K195" i="13" a="1"/>
  <c r="K195" i="13" s="1"/>
  <c r="L195" i="13" a="1"/>
  <c r="L195" i="13" s="1"/>
  <c r="M195" i="13" a="1"/>
  <c r="M195" i="13" s="1"/>
  <c r="N195" i="13" a="1"/>
  <c r="N195" i="13" s="1"/>
  <c r="O195" i="13" a="1"/>
  <c r="O195" i="13" s="1"/>
  <c r="P195" i="13" a="1"/>
  <c r="P195" i="13" s="1"/>
  <c r="Q195" i="13" a="1"/>
  <c r="Q195" i="13" s="1"/>
  <c r="R195" i="13" a="1"/>
  <c r="R195" i="13" s="1"/>
  <c r="U195" i="13" a="1"/>
  <c r="U195" i="13" s="1"/>
  <c r="V195" i="13" a="1"/>
  <c r="V195" i="13" s="1"/>
  <c r="W195" i="13" a="1"/>
  <c r="W195" i="13" s="1"/>
  <c r="X195" i="13" a="1"/>
  <c r="X195" i="13" s="1"/>
  <c r="K196" i="13" a="1"/>
  <c r="K196" i="13" s="1"/>
  <c r="L196" i="13" a="1"/>
  <c r="L196" i="13" s="1"/>
  <c r="M196" i="13" a="1"/>
  <c r="M196" i="13" s="1"/>
  <c r="N196" i="13" a="1"/>
  <c r="N196" i="13" s="1"/>
  <c r="O196" i="13" a="1"/>
  <c r="O196" i="13" s="1"/>
  <c r="P196" i="13" a="1"/>
  <c r="P196" i="13" s="1"/>
  <c r="Q196" i="13" a="1"/>
  <c r="Q196" i="13" s="1"/>
  <c r="R196" i="13" a="1"/>
  <c r="R196" i="13" s="1"/>
  <c r="U196" i="13" a="1"/>
  <c r="U196" i="13" s="1"/>
  <c r="V196" i="13" a="1"/>
  <c r="V196" i="13" s="1"/>
  <c r="W196" i="13" a="1"/>
  <c r="W196" i="13" s="1"/>
  <c r="X196" i="13" a="1"/>
  <c r="X196" i="13" s="1"/>
  <c r="K197" i="13" a="1"/>
  <c r="K197" i="13" s="1"/>
  <c r="L197" i="13" a="1"/>
  <c r="L197" i="13" s="1"/>
  <c r="M197" i="13" a="1"/>
  <c r="M197" i="13" s="1"/>
  <c r="N197" i="13" a="1"/>
  <c r="N197" i="13" s="1"/>
  <c r="O197" i="13" a="1"/>
  <c r="O197" i="13" s="1"/>
  <c r="P197" i="13" a="1"/>
  <c r="P197" i="13" s="1"/>
  <c r="Q197" i="13" a="1"/>
  <c r="Q197" i="13" s="1"/>
  <c r="R197" i="13" a="1"/>
  <c r="R197" i="13" s="1"/>
  <c r="U197" i="13" a="1"/>
  <c r="U197" i="13" s="1"/>
  <c r="V197" i="13" a="1"/>
  <c r="V197" i="13" s="1"/>
  <c r="W197" i="13" a="1"/>
  <c r="W197" i="13" s="1"/>
  <c r="X197" i="13" a="1"/>
  <c r="X197" i="13" s="1"/>
  <c r="K198" i="13" a="1"/>
  <c r="K198" i="13" s="1"/>
  <c r="L198" i="13" a="1"/>
  <c r="L198" i="13" s="1"/>
  <c r="M198" i="13" a="1"/>
  <c r="M198" i="13" s="1"/>
  <c r="N198" i="13" a="1"/>
  <c r="N198" i="13" s="1"/>
  <c r="O198" i="13" a="1"/>
  <c r="O198" i="13" s="1"/>
  <c r="P198" i="13" a="1"/>
  <c r="P198" i="13" s="1"/>
  <c r="Q198" i="13" a="1"/>
  <c r="Q198" i="13" s="1"/>
  <c r="R198" i="13" a="1"/>
  <c r="R198" i="13" s="1"/>
  <c r="U198" i="13" a="1"/>
  <c r="U198" i="13" s="1"/>
  <c r="V198" i="13" a="1"/>
  <c r="V198" i="13" s="1"/>
  <c r="W198" i="13" a="1"/>
  <c r="W198" i="13" s="1"/>
  <c r="X198" i="13" a="1"/>
  <c r="X198" i="13" s="1"/>
  <c r="K199" i="13" a="1"/>
  <c r="K199" i="13" s="1"/>
  <c r="L199" i="13" a="1"/>
  <c r="L199" i="13" s="1"/>
  <c r="M199" i="13" a="1"/>
  <c r="M199" i="13" s="1"/>
  <c r="N199" i="13" a="1"/>
  <c r="N199" i="13" s="1"/>
  <c r="O199" i="13" a="1"/>
  <c r="O199" i="13" s="1"/>
  <c r="P199" i="13" a="1"/>
  <c r="P199" i="13" s="1"/>
  <c r="Q199" i="13" a="1"/>
  <c r="Q199" i="13" s="1"/>
  <c r="R199" i="13" a="1"/>
  <c r="R199" i="13" s="1"/>
  <c r="U199" i="13" a="1"/>
  <c r="U199" i="13" s="1"/>
  <c r="V199" i="13" a="1"/>
  <c r="V199" i="13" s="1"/>
  <c r="W199" i="13" a="1"/>
  <c r="W199" i="13" s="1"/>
  <c r="X199" i="13" a="1"/>
  <c r="X199" i="13" s="1"/>
  <c r="K200" i="13" a="1"/>
  <c r="K200" i="13" s="1"/>
  <c r="L200" i="13" a="1"/>
  <c r="L200" i="13" s="1"/>
  <c r="M200" i="13" a="1"/>
  <c r="M200" i="13" s="1"/>
  <c r="N200" i="13" a="1"/>
  <c r="N200" i="13" s="1"/>
  <c r="O200" i="13" a="1"/>
  <c r="O200" i="13" s="1"/>
  <c r="P200" i="13" a="1"/>
  <c r="P200" i="13" s="1"/>
  <c r="Q200" i="13" a="1"/>
  <c r="Q200" i="13" s="1"/>
  <c r="R200" i="13" a="1"/>
  <c r="R200" i="13" s="1"/>
  <c r="U200" i="13" a="1"/>
  <c r="U200" i="13" s="1"/>
  <c r="V200" i="13" a="1"/>
  <c r="V200" i="13" s="1"/>
  <c r="W200" i="13" a="1"/>
  <c r="W200" i="13" s="1"/>
  <c r="X200" i="13" a="1"/>
  <c r="X200" i="13" s="1"/>
  <c r="K201" i="13" a="1"/>
  <c r="K201" i="13" s="1"/>
  <c r="L201" i="13" a="1"/>
  <c r="L201" i="13" s="1"/>
  <c r="M201" i="13" a="1"/>
  <c r="M201" i="13" s="1"/>
  <c r="N201" i="13" a="1"/>
  <c r="N201" i="13" s="1"/>
  <c r="O201" i="13" a="1"/>
  <c r="O201" i="13" s="1"/>
  <c r="P201" i="13" a="1"/>
  <c r="P201" i="13" s="1"/>
  <c r="Q201" i="13" a="1"/>
  <c r="Q201" i="13" s="1"/>
  <c r="R201" i="13" a="1"/>
  <c r="R201" i="13" s="1"/>
  <c r="U201" i="13" a="1"/>
  <c r="U201" i="13" s="1"/>
  <c r="V201" i="13" a="1"/>
  <c r="V201" i="13" s="1"/>
  <c r="W201" i="13" a="1"/>
  <c r="W201" i="13" s="1"/>
  <c r="X201" i="13" a="1"/>
  <c r="X201" i="13" s="1"/>
  <c r="K202" i="13" a="1"/>
  <c r="K202" i="13" s="1"/>
  <c r="L202" i="13" a="1"/>
  <c r="L202" i="13" s="1"/>
  <c r="M202" i="13" a="1"/>
  <c r="M202" i="13" s="1"/>
  <c r="N202" i="13" a="1"/>
  <c r="N202" i="13" s="1"/>
  <c r="O202" i="13" a="1"/>
  <c r="O202" i="13" s="1"/>
  <c r="P202" i="13" a="1"/>
  <c r="P202" i="13" s="1"/>
  <c r="Q202" i="13" a="1"/>
  <c r="Q202" i="13" s="1"/>
  <c r="R202" i="13" a="1"/>
  <c r="R202" i="13" s="1"/>
  <c r="U202" i="13" a="1"/>
  <c r="U202" i="13" s="1"/>
  <c r="V202" i="13" a="1"/>
  <c r="V202" i="13" s="1"/>
  <c r="W202" i="13" a="1"/>
  <c r="W202" i="13" s="1"/>
  <c r="X202" i="13" a="1"/>
  <c r="X202" i="13" s="1"/>
  <c r="K203" i="13" a="1"/>
  <c r="K203" i="13" s="1"/>
  <c r="L203" i="13" a="1"/>
  <c r="L203" i="13" s="1"/>
  <c r="M203" i="13" a="1"/>
  <c r="M203" i="13" s="1"/>
  <c r="N203" i="13" a="1"/>
  <c r="N203" i="13" s="1"/>
  <c r="O203" i="13" a="1"/>
  <c r="O203" i="13" s="1"/>
  <c r="P203" i="13" a="1"/>
  <c r="P203" i="13" s="1"/>
  <c r="Q203" i="13" a="1"/>
  <c r="Q203" i="13" s="1"/>
  <c r="R203" i="13" a="1"/>
  <c r="R203" i="13" s="1"/>
  <c r="U203" i="13" a="1"/>
  <c r="U203" i="13" s="1"/>
  <c r="V203" i="13" a="1"/>
  <c r="V203" i="13" s="1"/>
  <c r="W203" i="13" a="1"/>
  <c r="W203" i="13" s="1"/>
  <c r="X203" i="13" a="1"/>
  <c r="X203" i="13" s="1"/>
  <c r="K204" i="13" a="1"/>
  <c r="K204" i="13" s="1"/>
  <c r="L204" i="13" a="1"/>
  <c r="L204" i="13" s="1"/>
  <c r="M204" i="13" a="1"/>
  <c r="M204" i="13" s="1"/>
  <c r="N204" i="13" a="1"/>
  <c r="N204" i="13" s="1"/>
  <c r="O204" i="13" a="1"/>
  <c r="O204" i="13" s="1"/>
  <c r="P204" i="13" a="1"/>
  <c r="P204" i="13" s="1"/>
  <c r="Q204" i="13" a="1"/>
  <c r="Q204" i="13" s="1"/>
  <c r="R204" i="13" a="1"/>
  <c r="R204" i="13" s="1"/>
  <c r="U204" i="13" a="1"/>
  <c r="U204" i="13" s="1"/>
  <c r="V204" i="13" a="1"/>
  <c r="V204" i="13" s="1"/>
  <c r="W204" i="13" a="1"/>
  <c r="W204" i="13" s="1"/>
  <c r="X204" i="13" a="1"/>
  <c r="X204" i="13" s="1"/>
  <c r="K205" i="13" a="1"/>
  <c r="K205" i="13" s="1"/>
  <c r="L205" i="13" a="1"/>
  <c r="L205" i="13" s="1"/>
  <c r="M205" i="13" a="1"/>
  <c r="M205" i="13" s="1"/>
  <c r="N205" i="13" a="1"/>
  <c r="N205" i="13" s="1"/>
  <c r="O205" i="13" a="1"/>
  <c r="O205" i="13" s="1"/>
  <c r="P205" i="13" a="1"/>
  <c r="P205" i="13" s="1"/>
  <c r="Q205" i="13" a="1"/>
  <c r="Q205" i="13" s="1"/>
  <c r="R205" i="13" a="1"/>
  <c r="R205" i="13" s="1"/>
  <c r="U205" i="13" a="1"/>
  <c r="U205" i="13" s="1"/>
  <c r="V205" i="13" a="1"/>
  <c r="V205" i="13" s="1"/>
  <c r="W205" i="13" a="1"/>
  <c r="W205" i="13" s="1"/>
  <c r="X205" i="13" a="1"/>
  <c r="X205" i="13" s="1"/>
  <c r="K206" i="13" a="1"/>
  <c r="K206" i="13" s="1"/>
  <c r="L206" i="13" a="1"/>
  <c r="L206" i="13" s="1"/>
  <c r="M206" i="13" a="1"/>
  <c r="M206" i="13" s="1"/>
  <c r="N206" i="13" a="1"/>
  <c r="N206" i="13" s="1"/>
  <c r="O206" i="13" a="1"/>
  <c r="O206" i="13" s="1"/>
  <c r="P206" i="13" a="1"/>
  <c r="P206" i="13" s="1"/>
  <c r="Q206" i="13" a="1"/>
  <c r="Q206" i="13" s="1"/>
  <c r="R206" i="13" a="1"/>
  <c r="R206" i="13" s="1"/>
  <c r="U206" i="13" a="1"/>
  <c r="U206" i="13" s="1"/>
  <c r="V206" i="13" a="1"/>
  <c r="V206" i="13" s="1"/>
  <c r="W206" i="13" a="1"/>
  <c r="W206" i="13" s="1"/>
  <c r="X206" i="13" a="1"/>
  <c r="X206" i="13" s="1"/>
  <c r="K207" i="13" a="1"/>
  <c r="K207" i="13" s="1"/>
  <c r="L207" i="13" a="1"/>
  <c r="L207" i="13" s="1"/>
  <c r="M207" i="13" a="1"/>
  <c r="M207" i="13" s="1"/>
  <c r="N207" i="13" a="1"/>
  <c r="N207" i="13" s="1"/>
  <c r="O207" i="13" a="1"/>
  <c r="O207" i="13" s="1"/>
  <c r="P207" i="13" a="1"/>
  <c r="P207" i="13" s="1"/>
  <c r="Q207" i="13" a="1"/>
  <c r="Q207" i="13" s="1"/>
  <c r="R207" i="13" a="1"/>
  <c r="R207" i="13" s="1"/>
  <c r="U207" i="13" a="1"/>
  <c r="U207" i="13" s="1"/>
  <c r="V207" i="13" a="1"/>
  <c r="V207" i="13" s="1"/>
  <c r="W207" i="13" a="1"/>
  <c r="W207" i="13" s="1"/>
  <c r="X207" i="13" a="1"/>
  <c r="X207" i="13" s="1"/>
  <c r="K208" i="13" a="1"/>
  <c r="K208" i="13" s="1"/>
  <c r="L208" i="13" a="1"/>
  <c r="L208" i="13" s="1"/>
  <c r="M208" i="13" a="1"/>
  <c r="M208" i="13" s="1"/>
  <c r="N208" i="13" a="1"/>
  <c r="N208" i="13" s="1"/>
  <c r="O208" i="13" a="1"/>
  <c r="O208" i="13" s="1"/>
  <c r="P208" i="13" a="1"/>
  <c r="P208" i="13" s="1"/>
  <c r="Q208" i="13" a="1"/>
  <c r="Q208" i="13" s="1"/>
  <c r="R208" i="13" a="1"/>
  <c r="R208" i="13" s="1"/>
  <c r="U208" i="13" a="1"/>
  <c r="U208" i="13" s="1"/>
  <c r="V208" i="13" a="1"/>
  <c r="V208" i="13" s="1"/>
  <c r="W208" i="13" a="1"/>
  <c r="W208" i="13" s="1"/>
  <c r="X208" i="13" a="1"/>
  <c r="X208" i="13" s="1"/>
  <c r="K209" i="13" a="1"/>
  <c r="K209" i="13" s="1"/>
  <c r="L209" i="13" a="1"/>
  <c r="L209" i="13" s="1"/>
  <c r="M209" i="13" a="1"/>
  <c r="M209" i="13" s="1"/>
  <c r="N209" i="13" a="1"/>
  <c r="N209" i="13" s="1"/>
  <c r="O209" i="13" a="1"/>
  <c r="O209" i="13" s="1"/>
  <c r="P209" i="13" a="1"/>
  <c r="P209" i="13" s="1"/>
  <c r="Q209" i="13" a="1"/>
  <c r="Q209" i="13" s="1"/>
  <c r="R209" i="13" a="1"/>
  <c r="R209" i="13" s="1"/>
  <c r="U209" i="13" a="1"/>
  <c r="U209" i="13" s="1"/>
  <c r="V209" i="13" a="1"/>
  <c r="V209" i="13" s="1"/>
  <c r="W209" i="13" a="1"/>
  <c r="W209" i="13" s="1"/>
  <c r="X209" i="13" a="1"/>
  <c r="X209" i="13" s="1"/>
  <c r="K210" i="13" a="1"/>
  <c r="K210" i="13" s="1"/>
  <c r="L210" i="13" a="1"/>
  <c r="L210" i="13" s="1"/>
  <c r="M210" i="13" a="1"/>
  <c r="M210" i="13" s="1"/>
  <c r="N210" i="13" a="1"/>
  <c r="N210" i="13" s="1"/>
  <c r="O210" i="13" a="1"/>
  <c r="O210" i="13" s="1"/>
  <c r="P210" i="13" a="1"/>
  <c r="P210" i="13" s="1"/>
  <c r="Q210" i="13" a="1"/>
  <c r="Q210" i="13" s="1"/>
  <c r="R210" i="13" a="1"/>
  <c r="R210" i="13" s="1"/>
  <c r="U210" i="13" a="1"/>
  <c r="U210" i="13" s="1"/>
  <c r="V210" i="13" a="1"/>
  <c r="V210" i="13" s="1"/>
  <c r="W210" i="13" a="1"/>
  <c r="W210" i="13" s="1"/>
  <c r="X210" i="13" a="1"/>
  <c r="X210" i="13" s="1"/>
  <c r="K211" i="13" a="1"/>
  <c r="K211" i="13" s="1"/>
  <c r="L211" i="13" a="1"/>
  <c r="L211" i="13" s="1"/>
  <c r="M211" i="13" a="1"/>
  <c r="M211" i="13" s="1"/>
  <c r="N211" i="13" a="1"/>
  <c r="N211" i="13" s="1"/>
  <c r="O211" i="13" a="1"/>
  <c r="O211" i="13" s="1"/>
  <c r="P211" i="13" a="1"/>
  <c r="P211" i="13" s="1"/>
  <c r="Q211" i="13" a="1"/>
  <c r="Q211" i="13" s="1"/>
  <c r="R211" i="13" a="1"/>
  <c r="R211" i="13" s="1"/>
  <c r="U211" i="13" a="1"/>
  <c r="U211" i="13" s="1"/>
  <c r="V211" i="13" a="1"/>
  <c r="V211" i="13" s="1"/>
  <c r="W211" i="13" a="1"/>
  <c r="W211" i="13" s="1"/>
  <c r="X211" i="13" a="1"/>
  <c r="X211" i="13" s="1"/>
  <c r="K212" i="13" a="1"/>
  <c r="K212" i="13" s="1"/>
  <c r="L212" i="13" a="1"/>
  <c r="L212" i="13" s="1"/>
  <c r="M212" i="13" a="1"/>
  <c r="M212" i="13" s="1"/>
  <c r="N212" i="13" a="1"/>
  <c r="N212" i="13" s="1"/>
  <c r="O212" i="13" a="1"/>
  <c r="O212" i="13" s="1"/>
  <c r="P212" i="13" a="1"/>
  <c r="P212" i="13" s="1"/>
  <c r="Q212" i="13" a="1"/>
  <c r="Q212" i="13" s="1"/>
  <c r="R212" i="13" a="1"/>
  <c r="R212" i="13" s="1"/>
  <c r="U212" i="13" a="1"/>
  <c r="U212" i="13" s="1"/>
  <c r="V212" i="13" a="1"/>
  <c r="V212" i="13" s="1"/>
  <c r="W212" i="13" a="1"/>
  <c r="W212" i="13" s="1"/>
  <c r="X212" i="13" a="1"/>
  <c r="X212" i="13" s="1"/>
  <c r="K213" i="13" a="1"/>
  <c r="K213" i="13" s="1"/>
  <c r="L213" i="13" a="1"/>
  <c r="L213" i="13" s="1"/>
  <c r="M213" i="13" a="1"/>
  <c r="M213" i="13" s="1"/>
  <c r="N213" i="13" a="1"/>
  <c r="N213" i="13" s="1"/>
  <c r="O213" i="13" a="1"/>
  <c r="O213" i="13" s="1"/>
  <c r="P213" i="13" a="1"/>
  <c r="P213" i="13" s="1"/>
  <c r="Q213" i="13" a="1"/>
  <c r="Q213" i="13" s="1"/>
  <c r="R213" i="13" a="1"/>
  <c r="R213" i="13" s="1"/>
  <c r="U213" i="13" a="1"/>
  <c r="U213" i="13" s="1"/>
  <c r="V213" i="13" a="1"/>
  <c r="V213" i="13" s="1"/>
  <c r="W213" i="13" a="1"/>
  <c r="W213" i="13" s="1"/>
  <c r="X213" i="13" a="1"/>
  <c r="X213" i="13" s="1"/>
  <c r="K214" i="13" a="1"/>
  <c r="K214" i="13" s="1"/>
  <c r="L214" i="13" a="1"/>
  <c r="L214" i="13" s="1"/>
  <c r="M214" i="13" a="1"/>
  <c r="M214" i="13" s="1"/>
  <c r="N214" i="13" a="1"/>
  <c r="N214" i="13" s="1"/>
  <c r="O214" i="13" a="1"/>
  <c r="O214" i="13" s="1"/>
  <c r="P214" i="13" a="1"/>
  <c r="P214" i="13" s="1"/>
  <c r="Q214" i="13" a="1"/>
  <c r="Q214" i="13" s="1"/>
  <c r="R214" i="13" a="1"/>
  <c r="R214" i="13" s="1"/>
  <c r="U214" i="13" a="1"/>
  <c r="U214" i="13" s="1"/>
  <c r="V214" i="13" a="1"/>
  <c r="V214" i="13" s="1"/>
  <c r="W214" i="13" a="1"/>
  <c r="W214" i="13" s="1"/>
  <c r="X214" i="13" a="1"/>
  <c r="X214" i="13" s="1"/>
  <c r="K215" i="13" a="1"/>
  <c r="K215" i="13" s="1"/>
  <c r="L215" i="13" a="1"/>
  <c r="L215" i="13" s="1"/>
  <c r="M215" i="13" a="1"/>
  <c r="M215" i="13" s="1"/>
  <c r="N215" i="13" a="1"/>
  <c r="N215" i="13" s="1"/>
  <c r="O215" i="13" a="1"/>
  <c r="O215" i="13" s="1"/>
  <c r="P215" i="13" a="1"/>
  <c r="P215" i="13" s="1"/>
  <c r="Q215" i="13" a="1"/>
  <c r="Q215" i="13" s="1"/>
  <c r="R215" i="13" a="1"/>
  <c r="R215" i="13" s="1"/>
  <c r="U215" i="13" a="1"/>
  <c r="U215" i="13" s="1"/>
  <c r="V215" i="13" a="1"/>
  <c r="V215" i="13" s="1"/>
  <c r="W215" i="13" a="1"/>
  <c r="W215" i="13" s="1"/>
  <c r="X215" i="13" a="1"/>
  <c r="X215" i="13" s="1"/>
  <c r="K216" i="13" a="1"/>
  <c r="K216" i="13" s="1"/>
  <c r="L216" i="13" a="1"/>
  <c r="L216" i="13" s="1"/>
  <c r="M216" i="13" a="1"/>
  <c r="M216" i="13" s="1"/>
  <c r="N216" i="13" a="1"/>
  <c r="N216" i="13" s="1"/>
  <c r="O216" i="13" a="1"/>
  <c r="O216" i="13" s="1"/>
  <c r="P216" i="13" a="1"/>
  <c r="P216" i="13" s="1"/>
  <c r="Q216" i="13" a="1"/>
  <c r="Q216" i="13" s="1"/>
  <c r="R216" i="13" a="1"/>
  <c r="R216" i="13" s="1"/>
  <c r="U216" i="13" a="1"/>
  <c r="U216" i="13" s="1"/>
  <c r="V216" i="13" a="1"/>
  <c r="V216" i="13" s="1"/>
  <c r="W216" i="13" a="1"/>
  <c r="W216" i="13" s="1"/>
  <c r="X216" i="13" a="1"/>
  <c r="X216" i="13" s="1"/>
  <c r="K217" i="13" a="1"/>
  <c r="K217" i="13" s="1"/>
  <c r="L217" i="13" a="1"/>
  <c r="L217" i="13" s="1"/>
  <c r="M217" i="13" a="1"/>
  <c r="M217" i="13" s="1"/>
  <c r="N217" i="13" a="1"/>
  <c r="N217" i="13" s="1"/>
  <c r="O217" i="13" a="1"/>
  <c r="O217" i="13" s="1"/>
  <c r="P217" i="13" a="1"/>
  <c r="P217" i="13" s="1"/>
  <c r="Q217" i="13" a="1"/>
  <c r="Q217" i="13" s="1"/>
  <c r="R217" i="13" a="1"/>
  <c r="R217" i="13" s="1"/>
  <c r="U217" i="13" a="1"/>
  <c r="U217" i="13" s="1"/>
  <c r="V217" i="13" a="1"/>
  <c r="V217" i="13" s="1"/>
  <c r="W217" i="13" a="1"/>
  <c r="W217" i="13" s="1"/>
  <c r="X217" i="13" a="1"/>
  <c r="X217" i="13" s="1"/>
  <c r="K218" i="13" a="1"/>
  <c r="K218" i="13" s="1"/>
  <c r="L218" i="13" a="1"/>
  <c r="L218" i="13" s="1"/>
  <c r="M218" i="13" a="1"/>
  <c r="M218" i="13" s="1"/>
  <c r="N218" i="13" a="1"/>
  <c r="N218" i="13" s="1"/>
  <c r="O218" i="13" a="1"/>
  <c r="O218" i="13" s="1"/>
  <c r="P218" i="13" a="1"/>
  <c r="P218" i="13" s="1"/>
  <c r="Q218" i="13" a="1"/>
  <c r="Q218" i="13" s="1"/>
  <c r="R218" i="13" a="1"/>
  <c r="R218" i="13" s="1"/>
  <c r="U218" i="13" a="1"/>
  <c r="U218" i="13" s="1"/>
  <c r="V218" i="13" a="1"/>
  <c r="V218" i="13" s="1"/>
  <c r="W218" i="13" a="1"/>
  <c r="W218" i="13" s="1"/>
  <c r="X218" i="13" a="1"/>
  <c r="X218" i="13" s="1"/>
  <c r="K219" i="13" a="1"/>
  <c r="K219" i="13" s="1"/>
  <c r="L219" i="13" a="1"/>
  <c r="L219" i="13" s="1"/>
  <c r="M219" i="13" a="1"/>
  <c r="M219" i="13" s="1"/>
  <c r="N219" i="13" a="1"/>
  <c r="N219" i="13" s="1"/>
  <c r="O219" i="13" a="1"/>
  <c r="O219" i="13" s="1"/>
  <c r="P219" i="13" a="1"/>
  <c r="P219" i="13" s="1"/>
  <c r="Q219" i="13" a="1"/>
  <c r="Q219" i="13" s="1"/>
  <c r="R219" i="13" a="1"/>
  <c r="R219" i="13" s="1"/>
  <c r="U219" i="13" a="1"/>
  <c r="U219" i="13" s="1"/>
  <c r="V219" i="13" a="1"/>
  <c r="V219" i="13" s="1"/>
  <c r="W219" i="13" a="1"/>
  <c r="W219" i="13" s="1"/>
  <c r="X219" i="13" a="1"/>
  <c r="X219" i="13" s="1"/>
  <c r="K220" i="13" a="1"/>
  <c r="K220" i="13" s="1"/>
  <c r="L220" i="13" a="1"/>
  <c r="L220" i="13" s="1"/>
  <c r="M220" i="13" a="1"/>
  <c r="M220" i="13" s="1"/>
  <c r="N220" i="13" a="1"/>
  <c r="N220" i="13" s="1"/>
  <c r="O220" i="13" a="1"/>
  <c r="O220" i="13" s="1"/>
  <c r="P220" i="13" a="1"/>
  <c r="P220" i="13" s="1"/>
  <c r="Q220" i="13" a="1"/>
  <c r="Q220" i="13" s="1"/>
  <c r="R220" i="13" a="1"/>
  <c r="R220" i="13" s="1"/>
  <c r="U220" i="13" a="1"/>
  <c r="U220" i="13" s="1"/>
  <c r="V220" i="13" a="1"/>
  <c r="V220" i="13" s="1"/>
  <c r="W220" i="13" a="1"/>
  <c r="W220" i="13" s="1"/>
  <c r="X220" i="13" a="1"/>
  <c r="X220" i="13" s="1"/>
  <c r="K221" i="13" a="1"/>
  <c r="K221" i="13" s="1"/>
  <c r="L221" i="13" a="1"/>
  <c r="L221" i="13" s="1"/>
  <c r="M221" i="13" a="1"/>
  <c r="M221" i="13" s="1"/>
  <c r="N221" i="13" a="1"/>
  <c r="N221" i="13" s="1"/>
  <c r="O221" i="13" a="1"/>
  <c r="O221" i="13" s="1"/>
  <c r="P221" i="13" a="1"/>
  <c r="P221" i="13" s="1"/>
  <c r="Q221" i="13" a="1"/>
  <c r="Q221" i="13" s="1"/>
  <c r="R221" i="13" a="1"/>
  <c r="R221" i="13" s="1"/>
  <c r="U221" i="13" a="1"/>
  <c r="U221" i="13" s="1"/>
  <c r="V221" i="13" a="1"/>
  <c r="V221" i="13" s="1"/>
  <c r="W221" i="13" a="1"/>
  <c r="W221" i="13" s="1"/>
  <c r="X221" i="13" a="1"/>
  <c r="X221" i="13" s="1"/>
  <c r="K222" i="13" a="1"/>
  <c r="K222" i="13" s="1"/>
  <c r="L222" i="13" a="1"/>
  <c r="L222" i="13" s="1"/>
  <c r="M222" i="13" a="1"/>
  <c r="M222" i="13" s="1"/>
  <c r="N222" i="13" a="1"/>
  <c r="N222" i="13" s="1"/>
  <c r="O222" i="13" a="1"/>
  <c r="O222" i="13" s="1"/>
  <c r="P222" i="13" a="1"/>
  <c r="P222" i="13" s="1"/>
  <c r="Q222" i="13" a="1"/>
  <c r="Q222" i="13" s="1"/>
  <c r="R222" i="13" a="1"/>
  <c r="R222" i="13" s="1"/>
  <c r="U222" i="13" a="1"/>
  <c r="U222" i="13" s="1"/>
  <c r="V222" i="13" a="1"/>
  <c r="V222" i="13" s="1"/>
  <c r="W222" i="13" a="1"/>
  <c r="W222" i="13" s="1"/>
  <c r="X222" i="13" a="1"/>
  <c r="X222" i="13" s="1"/>
  <c r="K223" i="13" a="1"/>
  <c r="K223" i="13" s="1"/>
  <c r="L223" i="13" a="1"/>
  <c r="L223" i="13" s="1"/>
  <c r="M223" i="13" a="1"/>
  <c r="M223" i="13" s="1"/>
  <c r="N223" i="13" a="1"/>
  <c r="N223" i="13" s="1"/>
  <c r="O223" i="13" a="1"/>
  <c r="O223" i="13" s="1"/>
  <c r="P223" i="13" a="1"/>
  <c r="P223" i="13" s="1"/>
  <c r="Q223" i="13" a="1"/>
  <c r="Q223" i="13" s="1"/>
  <c r="R223" i="13" a="1"/>
  <c r="R223" i="13" s="1"/>
  <c r="U223" i="13" a="1"/>
  <c r="U223" i="13" s="1"/>
  <c r="V223" i="13" a="1"/>
  <c r="V223" i="13" s="1"/>
  <c r="W223" i="13" a="1"/>
  <c r="W223" i="13" s="1"/>
  <c r="X223" i="13" a="1"/>
  <c r="X223" i="13" s="1"/>
  <c r="K224" i="13" a="1"/>
  <c r="K224" i="13" s="1"/>
  <c r="L224" i="13" a="1"/>
  <c r="L224" i="13" s="1"/>
  <c r="M224" i="13" a="1"/>
  <c r="M224" i="13" s="1"/>
  <c r="N224" i="13" a="1"/>
  <c r="N224" i="13" s="1"/>
  <c r="O224" i="13" a="1"/>
  <c r="O224" i="13" s="1"/>
  <c r="P224" i="13" a="1"/>
  <c r="P224" i="13" s="1"/>
  <c r="Q224" i="13" a="1"/>
  <c r="Q224" i="13" s="1"/>
  <c r="R224" i="13" a="1"/>
  <c r="R224" i="13" s="1"/>
  <c r="U224" i="13" a="1"/>
  <c r="U224" i="13" s="1"/>
  <c r="V224" i="13" a="1"/>
  <c r="V224" i="13" s="1"/>
  <c r="W224" i="13" a="1"/>
  <c r="W224" i="13" s="1"/>
  <c r="X224" i="13" a="1"/>
  <c r="X224" i="13" s="1"/>
  <c r="K225" i="13" a="1"/>
  <c r="K225" i="13" s="1"/>
  <c r="L225" i="13" a="1"/>
  <c r="L225" i="13" s="1"/>
  <c r="M225" i="13" a="1"/>
  <c r="M225" i="13" s="1"/>
  <c r="N225" i="13" a="1"/>
  <c r="N225" i="13" s="1"/>
  <c r="O225" i="13" a="1"/>
  <c r="O225" i="13" s="1"/>
  <c r="P225" i="13" a="1"/>
  <c r="P225" i="13" s="1"/>
  <c r="Q225" i="13" a="1"/>
  <c r="Q225" i="13" s="1"/>
  <c r="R225" i="13" a="1"/>
  <c r="R225" i="13" s="1"/>
  <c r="U225" i="13" a="1"/>
  <c r="U225" i="13" s="1"/>
  <c r="V225" i="13" a="1"/>
  <c r="V225" i="13" s="1"/>
  <c r="W225" i="13" a="1"/>
  <c r="W225" i="13" s="1"/>
  <c r="X225" i="13" a="1"/>
  <c r="X225" i="13" s="1"/>
  <c r="K226" i="13" a="1"/>
  <c r="K226" i="13" s="1"/>
  <c r="L226" i="13" a="1"/>
  <c r="L226" i="13" s="1"/>
  <c r="M226" i="13" a="1"/>
  <c r="M226" i="13" s="1"/>
  <c r="N226" i="13" a="1"/>
  <c r="N226" i="13" s="1"/>
  <c r="O226" i="13" a="1"/>
  <c r="O226" i="13" s="1"/>
  <c r="P226" i="13" a="1"/>
  <c r="P226" i="13" s="1"/>
  <c r="Q226" i="13" a="1"/>
  <c r="Q226" i="13" s="1"/>
  <c r="R226" i="13" a="1"/>
  <c r="R226" i="13" s="1"/>
  <c r="U226" i="13" a="1"/>
  <c r="U226" i="13" s="1"/>
  <c r="V226" i="13" a="1"/>
  <c r="V226" i="13" s="1"/>
  <c r="W226" i="13" a="1"/>
  <c r="W226" i="13" s="1"/>
  <c r="X226" i="13" a="1"/>
  <c r="X226" i="13" s="1"/>
  <c r="K227" i="13" a="1"/>
  <c r="K227" i="13" s="1"/>
  <c r="L227" i="13" a="1"/>
  <c r="L227" i="13" s="1"/>
  <c r="M227" i="13" a="1"/>
  <c r="M227" i="13" s="1"/>
  <c r="N227" i="13" a="1"/>
  <c r="N227" i="13" s="1"/>
  <c r="O227" i="13" a="1"/>
  <c r="O227" i="13" s="1"/>
  <c r="P227" i="13" a="1"/>
  <c r="P227" i="13" s="1"/>
  <c r="Q227" i="13" a="1"/>
  <c r="Q227" i="13" s="1"/>
  <c r="R227" i="13" a="1"/>
  <c r="R227" i="13" s="1"/>
  <c r="U227" i="13" a="1"/>
  <c r="U227" i="13" s="1"/>
  <c r="V227" i="13" a="1"/>
  <c r="V227" i="13" s="1"/>
  <c r="W227" i="13" a="1"/>
  <c r="W227" i="13" s="1"/>
  <c r="X227" i="13" a="1"/>
  <c r="X227" i="13" s="1"/>
  <c r="K228" i="13" a="1"/>
  <c r="K228" i="13" s="1"/>
  <c r="L228" i="13" a="1"/>
  <c r="L228" i="13" s="1"/>
  <c r="M228" i="13" a="1"/>
  <c r="M228" i="13" s="1"/>
  <c r="N228" i="13" a="1"/>
  <c r="N228" i="13" s="1"/>
  <c r="O228" i="13" a="1"/>
  <c r="O228" i="13" s="1"/>
  <c r="P228" i="13" a="1"/>
  <c r="P228" i="13" s="1"/>
  <c r="Q228" i="13" a="1"/>
  <c r="Q228" i="13" s="1"/>
  <c r="R228" i="13" a="1"/>
  <c r="R228" i="13" s="1"/>
  <c r="U228" i="13" a="1"/>
  <c r="U228" i="13" s="1"/>
  <c r="V228" i="13" a="1"/>
  <c r="V228" i="13" s="1"/>
  <c r="W228" i="13" a="1"/>
  <c r="W228" i="13" s="1"/>
  <c r="X228" i="13" a="1"/>
  <c r="X228" i="13" s="1"/>
  <c r="K229" i="13" a="1"/>
  <c r="K229" i="13" s="1"/>
  <c r="L229" i="13" a="1"/>
  <c r="L229" i="13" s="1"/>
  <c r="M229" i="13" a="1"/>
  <c r="M229" i="13" s="1"/>
  <c r="N229" i="13" a="1"/>
  <c r="N229" i="13" s="1"/>
  <c r="O229" i="13" a="1"/>
  <c r="O229" i="13" s="1"/>
  <c r="P229" i="13" a="1"/>
  <c r="P229" i="13" s="1"/>
  <c r="Q229" i="13" a="1"/>
  <c r="Q229" i="13" s="1"/>
  <c r="R229" i="13" a="1"/>
  <c r="R229" i="13" s="1"/>
  <c r="U229" i="13" a="1"/>
  <c r="U229" i="13" s="1"/>
  <c r="V229" i="13" a="1"/>
  <c r="V229" i="13" s="1"/>
  <c r="W229" i="13" a="1"/>
  <c r="W229" i="13" s="1"/>
  <c r="X229" i="13" a="1"/>
  <c r="X229" i="13" s="1"/>
  <c r="K230" i="13" a="1"/>
  <c r="K230" i="13" s="1"/>
  <c r="L230" i="13" a="1"/>
  <c r="L230" i="13" s="1"/>
  <c r="M230" i="13" a="1"/>
  <c r="M230" i="13" s="1"/>
  <c r="N230" i="13" a="1"/>
  <c r="N230" i="13" s="1"/>
  <c r="O230" i="13" a="1"/>
  <c r="O230" i="13" s="1"/>
  <c r="P230" i="13" a="1"/>
  <c r="P230" i="13" s="1"/>
  <c r="Q230" i="13" a="1"/>
  <c r="Q230" i="13" s="1"/>
  <c r="R230" i="13" a="1"/>
  <c r="R230" i="13" s="1"/>
  <c r="U230" i="13" a="1"/>
  <c r="U230" i="13" s="1"/>
  <c r="V230" i="13" a="1"/>
  <c r="V230" i="13" s="1"/>
  <c r="W230" i="13" a="1"/>
  <c r="W230" i="13" s="1"/>
  <c r="X230" i="13" a="1"/>
  <c r="X230" i="13" s="1"/>
  <c r="K231" i="13" a="1"/>
  <c r="K231" i="13" s="1"/>
  <c r="L231" i="13" a="1"/>
  <c r="L231" i="13" s="1"/>
  <c r="M231" i="13" a="1"/>
  <c r="M231" i="13" s="1"/>
  <c r="N231" i="13" a="1"/>
  <c r="N231" i="13" s="1"/>
  <c r="O231" i="13" a="1"/>
  <c r="O231" i="13" s="1"/>
  <c r="P231" i="13" a="1"/>
  <c r="P231" i="13" s="1"/>
  <c r="Q231" i="13" a="1"/>
  <c r="Q231" i="13" s="1"/>
  <c r="R231" i="13" a="1"/>
  <c r="R231" i="13" s="1"/>
  <c r="U231" i="13" a="1"/>
  <c r="U231" i="13" s="1"/>
  <c r="V231" i="13" a="1"/>
  <c r="V231" i="13" s="1"/>
  <c r="W231" i="13" a="1"/>
  <c r="W231" i="13" s="1"/>
  <c r="X231" i="13" a="1"/>
  <c r="X231" i="13" s="1"/>
  <c r="K232" i="13" a="1"/>
  <c r="K232" i="13" s="1"/>
  <c r="L232" i="13" a="1"/>
  <c r="L232" i="13" s="1"/>
  <c r="M232" i="13" a="1"/>
  <c r="M232" i="13" s="1"/>
  <c r="N232" i="13" a="1"/>
  <c r="N232" i="13" s="1"/>
  <c r="O232" i="13" a="1"/>
  <c r="O232" i="13" s="1"/>
  <c r="P232" i="13" a="1"/>
  <c r="P232" i="13" s="1"/>
  <c r="Q232" i="13" a="1"/>
  <c r="Q232" i="13" s="1"/>
  <c r="R232" i="13" a="1"/>
  <c r="R232" i="13" s="1"/>
  <c r="U232" i="13" a="1"/>
  <c r="U232" i="13" s="1"/>
  <c r="V232" i="13" a="1"/>
  <c r="V232" i="13" s="1"/>
  <c r="W232" i="13" a="1"/>
  <c r="W232" i="13" s="1"/>
  <c r="X232" i="13" a="1"/>
  <c r="X232" i="13" s="1"/>
  <c r="K233" i="13" a="1"/>
  <c r="K233" i="13" s="1"/>
  <c r="L233" i="13" a="1"/>
  <c r="L233" i="13" s="1"/>
  <c r="M233" i="13" a="1"/>
  <c r="M233" i="13" s="1"/>
  <c r="N233" i="13" a="1"/>
  <c r="N233" i="13" s="1"/>
  <c r="O233" i="13" a="1"/>
  <c r="O233" i="13" s="1"/>
  <c r="P233" i="13" a="1"/>
  <c r="P233" i="13" s="1"/>
  <c r="Q233" i="13" a="1"/>
  <c r="Q233" i="13" s="1"/>
  <c r="R233" i="13" a="1"/>
  <c r="R233" i="13" s="1"/>
  <c r="U233" i="13" a="1"/>
  <c r="U233" i="13" s="1"/>
  <c r="V233" i="13" a="1"/>
  <c r="V233" i="13" s="1"/>
  <c r="W233" i="13" a="1"/>
  <c r="W233" i="13" s="1"/>
  <c r="X233" i="13" a="1"/>
  <c r="X233" i="13" s="1"/>
  <c r="K234" i="13" a="1"/>
  <c r="K234" i="13" s="1"/>
  <c r="L234" i="13" a="1"/>
  <c r="L234" i="13" s="1"/>
  <c r="M234" i="13" a="1"/>
  <c r="M234" i="13" s="1"/>
  <c r="N234" i="13" a="1"/>
  <c r="N234" i="13" s="1"/>
  <c r="O234" i="13" a="1"/>
  <c r="O234" i="13" s="1"/>
  <c r="P234" i="13" a="1"/>
  <c r="P234" i="13" s="1"/>
  <c r="Q234" i="13" a="1"/>
  <c r="Q234" i="13" s="1"/>
  <c r="R234" i="13" a="1"/>
  <c r="R234" i="13" s="1"/>
  <c r="U234" i="13" a="1"/>
  <c r="U234" i="13" s="1"/>
  <c r="V234" i="13" a="1"/>
  <c r="V234" i="13" s="1"/>
  <c r="W234" i="13" a="1"/>
  <c r="W234" i="13" s="1"/>
  <c r="X234" i="13" a="1"/>
  <c r="X234" i="13" s="1"/>
  <c r="K235" i="13" a="1"/>
  <c r="K235" i="13" s="1"/>
  <c r="L235" i="13" a="1"/>
  <c r="L235" i="13" s="1"/>
  <c r="M235" i="13" a="1"/>
  <c r="M235" i="13" s="1"/>
  <c r="N235" i="13" a="1"/>
  <c r="N235" i="13" s="1"/>
  <c r="O235" i="13" a="1"/>
  <c r="O235" i="13" s="1"/>
  <c r="P235" i="13" a="1"/>
  <c r="P235" i="13" s="1"/>
  <c r="Q235" i="13" a="1"/>
  <c r="Q235" i="13" s="1"/>
  <c r="R235" i="13" a="1"/>
  <c r="R235" i="13" s="1"/>
  <c r="U235" i="13" a="1"/>
  <c r="U235" i="13" s="1"/>
  <c r="V235" i="13" a="1"/>
  <c r="V235" i="13" s="1"/>
  <c r="W235" i="13" a="1"/>
  <c r="W235" i="13" s="1"/>
  <c r="X235" i="13" a="1"/>
  <c r="X235" i="13" s="1"/>
  <c r="K236" i="13" a="1"/>
  <c r="K236" i="13" s="1"/>
  <c r="L236" i="13" a="1"/>
  <c r="L236" i="13" s="1"/>
  <c r="M236" i="13" a="1"/>
  <c r="M236" i="13" s="1"/>
  <c r="N236" i="13" a="1"/>
  <c r="N236" i="13" s="1"/>
  <c r="O236" i="13" a="1"/>
  <c r="O236" i="13" s="1"/>
  <c r="P236" i="13" a="1"/>
  <c r="P236" i="13" s="1"/>
  <c r="Q236" i="13" a="1"/>
  <c r="Q236" i="13" s="1"/>
  <c r="R236" i="13" a="1"/>
  <c r="R236" i="13" s="1"/>
  <c r="U236" i="13" a="1"/>
  <c r="U236" i="13" s="1"/>
  <c r="V236" i="13" a="1"/>
  <c r="V236" i="13" s="1"/>
  <c r="W236" i="13" a="1"/>
  <c r="W236" i="13" s="1"/>
  <c r="X236" i="13" a="1"/>
  <c r="X236" i="13" s="1"/>
  <c r="K237" i="13" a="1"/>
  <c r="K237" i="13" s="1"/>
  <c r="L237" i="13" a="1"/>
  <c r="L237" i="13" s="1"/>
  <c r="M237" i="13" a="1"/>
  <c r="M237" i="13" s="1"/>
  <c r="N237" i="13" a="1"/>
  <c r="N237" i="13" s="1"/>
  <c r="O237" i="13" a="1"/>
  <c r="O237" i="13" s="1"/>
  <c r="P237" i="13" a="1"/>
  <c r="P237" i="13" s="1"/>
  <c r="Q237" i="13" a="1"/>
  <c r="Q237" i="13" s="1"/>
  <c r="R237" i="13" a="1"/>
  <c r="R237" i="13" s="1"/>
  <c r="U237" i="13" a="1"/>
  <c r="U237" i="13" s="1"/>
  <c r="V237" i="13" a="1"/>
  <c r="V237" i="13" s="1"/>
  <c r="W237" i="13" a="1"/>
  <c r="W237" i="13" s="1"/>
  <c r="X237" i="13" a="1"/>
  <c r="X237" i="13" s="1"/>
  <c r="K238" i="13" a="1"/>
  <c r="K238" i="13" s="1"/>
  <c r="L238" i="13" a="1"/>
  <c r="L238" i="13" s="1"/>
  <c r="M238" i="13" a="1"/>
  <c r="M238" i="13" s="1"/>
  <c r="N238" i="13" a="1"/>
  <c r="N238" i="13" s="1"/>
  <c r="O238" i="13" a="1"/>
  <c r="O238" i="13" s="1"/>
  <c r="P238" i="13" a="1"/>
  <c r="P238" i="13" s="1"/>
  <c r="Q238" i="13" a="1"/>
  <c r="Q238" i="13" s="1"/>
  <c r="R238" i="13" a="1"/>
  <c r="R238" i="13" s="1"/>
  <c r="U238" i="13" a="1"/>
  <c r="U238" i="13" s="1"/>
  <c r="V238" i="13" a="1"/>
  <c r="V238" i="13" s="1"/>
  <c r="W238" i="13" a="1"/>
  <c r="W238" i="13" s="1"/>
  <c r="X238" i="13" a="1"/>
  <c r="X238" i="13" s="1"/>
  <c r="K239" i="13" a="1"/>
  <c r="K239" i="13" s="1"/>
  <c r="L239" i="13" a="1"/>
  <c r="L239" i="13" s="1"/>
  <c r="M239" i="13" a="1"/>
  <c r="M239" i="13" s="1"/>
  <c r="N239" i="13" a="1"/>
  <c r="N239" i="13" s="1"/>
  <c r="O239" i="13" a="1"/>
  <c r="O239" i="13" s="1"/>
  <c r="P239" i="13" a="1"/>
  <c r="P239" i="13" s="1"/>
  <c r="Q239" i="13" a="1"/>
  <c r="Q239" i="13" s="1"/>
  <c r="R239" i="13" a="1"/>
  <c r="R239" i="13" s="1"/>
  <c r="U239" i="13" a="1"/>
  <c r="U239" i="13" s="1"/>
  <c r="V239" i="13" a="1"/>
  <c r="V239" i="13" s="1"/>
  <c r="W239" i="13" a="1"/>
  <c r="W239" i="13" s="1"/>
  <c r="X239" i="13" a="1"/>
  <c r="X239" i="13" s="1"/>
  <c r="K240" i="13" a="1"/>
  <c r="K240" i="13" s="1"/>
  <c r="L240" i="13" a="1"/>
  <c r="L240" i="13" s="1"/>
  <c r="M240" i="13" a="1"/>
  <c r="M240" i="13" s="1"/>
  <c r="N240" i="13" a="1"/>
  <c r="N240" i="13" s="1"/>
  <c r="O240" i="13" a="1"/>
  <c r="O240" i="13" s="1"/>
  <c r="P240" i="13" a="1"/>
  <c r="P240" i="13" s="1"/>
  <c r="Q240" i="13" a="1"/>
  <c r="Q240" i="13" s="1"/>
  <c r="R240" i="13" a="1"/>
  <c r="R240" i="13" s="1"/>
  <c r="U240" i="13" a="1"/>
  <c r="U240" i="13" s="1"/>
  <c r="V240" i="13" a="1"/>
  <c r="V240" i="13" s="1"/>
  <c r="W240" i="13" a="1"/>
  <c r="W240" i="13" s="1"/>
  <c r="X240" i="13" a="1"/>
  <c r="X240" i="13" s="1"/>
  <c r="K241" i="13" a="1"/>
  <c r="K241" i="13" s="1"/>
  <c r="L241" i="13" a="1"/>
  <c r="L241" i="13" s="1"/>
  <c r="M241" i="13" a="1"/>
  <c r="M241" i="13" s="1"/>
  <c r="N241" i="13" a="1"/>
  <c r="N241" i="13" s="1"/>
  <c r="O241" i="13" a="1"/>
  <c r="O241" i="13" s="1"/>
  <c r="P241" i="13" a="1"/>
  <c r="P241" i="13" s="1"/>
  <c r="Q241" i="13" a="1"/>
  <c r="Q241" i="13" s="1"/>
  <c r="R241" i="13" a="1"/>
  <c r="R241" i="13" s="1"/>
  <c r="U241" i="13" a="1"/>
  <c r="U241" i="13" s="1"/>
  <c r="V241" i="13" a="1"/>
  <c r="V241" i="13" s="1"/>
  <c r="W241" i="13" a="1"/>
  <c r="W241" i="13" s="1"/>
  <c r="X241" i="13" a="1"/>
  <c r="X241" i="13" s="1"/>
  <c r="K242" i="13" a="1"/>
  <c r="K242" i="13" s="1"/>
  <c r="L242" i="13" a="1"/>
  <c r="L242" i="13" s="1"/>
  <c r="M242" i="13" a="1"/>
  <c r="M242" i="13" s="1"/>
  <c r="N242" i="13" a="1"/>
  <c r="N242" i="13" s="1"/>
  <c r="O242" i="13" a="1"/>
  <c r="O242" i="13" s="1"/>
  <c r="P242" i="13" a="1"/>
  <c r="P242" i="13" s="1"/>
  <c r="Q242" i="13" a="1"/>
  <c r="Q242" i="13" s="1"/>
  <c r="R242" i="13" a="1"/>
  <c r="R242" i="13" s="1"/>
  <c r="U242" i="13" a="1"/>
  <c r="U242" i="13" s="1"/>
  <c r="V242" i="13" a="1"/>
  <c r="V242" i="13" s="1"/>
  <c r="W242" i="13" a="1"/>
  <c r="W242" i="13" s="1"/>
  <c r="X242" i="13" a="1"/>
  <c r="X242" i="13" s="1"/>
  <c r="K243" i="13" a="1"/>
  <c r="K243" i="13" s="1"/>
  <c r="L243" i="13" a="1"/>
  <c r="L243" i="13" s="1"/>
  <c r="M243" i="13" a="1"/>
  <c r="M243" i="13" s="1"/>
  <c r="N243" i="13" a="1"/>
  <c r="N243" i="13" s="1"/>
  <c r="O243" i="13" a="1"/>
  <c r="O243" i="13" s="1"/>
  <c r="P243" i="13" a="1"/>
  <c r="P243" i="13" s="1"/>
  <c r="Q243" i="13" a="1"/>
  <c r="Q243" i="13" s="1"/>
  <c r="R243" i="13" a="1"/>
  <c r="R243" i="13" s="1"/>
  <c r="U243" i="13" a="1"/>
  <c r="U243" i="13" s="1"/>
  <c r="V243" i="13" a="1"/>
  <c r="V243" i="13" s="1"/>
  <c r="W243" i="13" a="1"/>
  <c r="W243" i="13" s="1"/>
  <c r="X243" i="13" a="1"/>
  <c r="X243" i="13" s="1"/>
  <c r="K244" i="13" a="1"/>
  <c r="K244" i="13" s="1"/>
  <c r="L244" i="13" a="1"/>
  <c r="L244" i="13" s="1"/>
  <c r="M244" i="13" a="1"/>
  <c r="M244" i="13" s="1"/>
  <c r="N244" i="13" a="1"/>
  <c r="N244" i="13" s="1"/>
  <c r="O244" i="13" a="1"/>
  <c r="O244" i="13" s="1"/>
  <c r="P244" i="13" a="1"/>
  <c r="P244" i="13" s="1"/>
  <c r="Q244" i="13" a="1"/>
  <c r="Q244" i="13" s="1"/>
  <c r="R244" i="13" a="1"/>
  <c r="R244" i="13" s="1"/>
  <c r="U244" i="13" a="1"/>
  <c r="U244" i="13" s="1"/>
  <c r="V244" i="13" a="1"/>
  <c r="V244" i="13" s="1"/>
  <c r="W244" i="13" a="1"/>
  <c r="W244" i="13" s="1"/>
  <c r="X244" i="13" a="1"/>
  <c r="X244" i="13" s="1"/>
  <c r="K245" i="13" a="1"/>
  <c r="K245" i="13" s="1"/>
  <c r="L245" i="13" a="1"/>
  <c r="L245" i="13" s="1"/>
  <c r="M245" i="13" a="1"/>
  <c r="M245" i="13" s="1"/>
  <c r="N245" i="13" a="1"/>
  <c r="N245" i="13" s="1"/>
  <c r="O245" i="13" a="1"/>
  <c r="O245" i="13" s="1"/>
  <c r="P245" i="13" a="1"/>
  <c r="P245" i="13" s="1"/>
  <c r="Q245" i="13" a="1"/>
  <c r="Q245" i="13" s="1"/>
  <c r="R245" i="13" a="1"/>
  <c r="R245" i="13" s="1"/>
  <c r="U245" i="13" a="1"/>
  <c r="U245" i="13" s="1"/>
  <c r="V245" i="13" a="1"/>
  <c r="V245" i="13" s="1"/>
  <c r="W245" i="13" a="1"/>
  <c r="W245" i="13" s="1"/>
  <c r="X245" i="13" a="1"/>
  <c r="X245" i="13" s="1"/>
  <c r="K246" i="13" a="1"/>
  <c r="K246" i="13" s="1"/>
  <c r="L246" i="13" a="1"/>
  <c r="L246" i="13" s="1"/>
  <c r="M246" i="13" a="1"/>
  <c r="M246" i="13" s="1"/>
  <c r="N246" i="13" a="1"/>
  <c r="N246" i="13" s="1"/>
  <c r="O246" i="13" a="1"/>
  <c r="O246" i="13" s="1"/>
  <c r="P246" i="13" a="1"/>
  <c r="P246" i="13" s="1"/>
  <c r="Q246" i="13" a="1"/>
  <c r="Q246" i="13" s="1"/>
  <c r="R246" i="13" a="1"/>
  <c r="R246" i="13" s="1"/>
  <c r="U246" i="13" a="1"/>
  <c r="U246" i="13" s="1"/>
  <c r="V246" i="13" a="1"/>
  <c r="V246" i="13" s="1"/>
  <c r="W246" i="13" a="1"/>
  <c r="W246" i="13" s="1"/>
  <c r="X246" i="13" a="1"/>
  <c r="X246" i="13" s="1"/>
  <c r="K247" i="13" a="1"/>
  <c r="K247" i="13" s="1"/>
  <c r="L247" i="13" a="1"/>
  <c r="L247" i="13" s="1"/>
  <c r="M247" i="13" a="1"/>
  <c r="M247" i="13" s="1"/>
  <c r="N247" i="13" a="1"/>
  <c r="N247" i="13" s="1"/>
  <c r="O247" i="13" a="1"/>
  <c r="O247" i="13" s="1"/>
  <c r="P247" i="13" a="1"/>
  <c r="P247" i="13" s="1"/>
  <c r="Q247" i="13" a="1"/>
  <c r="Q247" i="13" s="1"/>
  <c r="R247" i="13" a="1"/>
  <c r="R247" i="13" s="1"/>
  <c r="U247" i="13" a="1"/>
  <c r="U247" i="13" s="1"/>
  <c r="V247" i="13" a="1"/>
  <c r="V247" i="13" s="1"/>
  <c r="W247" i="13" a="1"/>
  <c r="W247" i="13" s="1"/>
  <c r="X247" i="13" a="1"/>
  <c r="X247" i="13" s="1"/>
  <c r="K248" i="13" a="1"/>
  <c r="K248" i="13" s="1"/>
  <c r="L248" i="13" a="1"/>
  <c r="L248" i="13" s="1"/>
  <c r="M248" i="13" a="1"/>
  <c r="M248" i="13" s="1"/>
  <c r="N248" i="13" a="1"/>
  <c r="N248" i="13" s="1"/>
  <c r="O248" i="13" a="1"/>
  <c r="O248" i="13" s="1"/>
  <c r="P248" i="13" a="1"/>
  <c r="P248" i="13" s="1"/>
  <c r="Q248" i="13" a="1"/>
  <c r="Q248" i="13" s="1"/>
  <c r="R248" i="13" a="1"/>
  <c r="R248" i="13" s="1"/>
  <c r="U248" i="13" a="1"/>
  <c r="U248" i="13" s="1"/>
  <c r="V248" i="13" a="1"/>
  <c r="V248" i="13" s="1"/>
  <c r="W248" i="13" a="1"/>
  <c r="W248" i="13" s="1"/>
  <c r="X248" i="13" a="1"/>
  <c r="X248" i="13" s="1"/>
  <c r="K249" i="13" a="1"/>
  <c r="K249" i="13" s="1"/>
  <c r="L249" i="13" a="1"/>
  <c r="L249" i="13" s="1"/>
  <c r="M249" i="13" a="1"/>
  <c r="M249" i="13" s="1"/>
  <c r="N249" i="13" a="1"/>
  <c r="N249" i="13" s="1"/>
  <c r="O249" i="13" a="1"/>
  <c r="O249" i="13" s="1"/>
  <c r="P249" i="13" a="1"/>
  <c r="P249" i="13" s="1"/>
  <c r="Q249" i="13" a="1"/>
  <c r="Q249" i="13" s="1"/>
  <c r="R249" i="13" a="1"/>
  <c r="R249" i="13" s="1"/>
  <c r="U249" i="13" a="1"/>
  <c r="U249" i="13" s="1"/>
  <c r="V249" i="13" a="1"/>
  <c r="V249" i="13" s="1"/>
  <c r="W249" i="13" a="1"/>
  <c r="W249" i="13" s="1"/>
  <c r="X249" i="13" a="1"/>
  <c r="X249" i="13" s="1"/>
  <c r="K250" i="13" a="1"/>
  <c r="K250" i="13" s="1"/>
  <c r="L250" i="13" a="1"/>
  <c r="L250" i="13" s="1"/>
  <c r="M250" i="13" a="1"/>
  <c r="M250" i="13" s="1"/>
  <c r="N250" i="13" a="1"/>
  <c r="N250" i="13" s="1"/>
  <c r="O250" i="13" a="1"/>
  <c r="O250" i="13" s="1"/>
  <c r="P250" i="13" a="1"/>
  <c r="P250" i="13" s="1"/>
  <c r="Q250" i="13" a="1"/>
  <c r="Q250" i="13" s="1"/>
  <c r="R250" i="13" a="1"/>
  <c r="R250" i="13" s="1"/>
  <c r="U250" i="13" a="1"/>
  <c r="U250" i="13" s="1"/>
  <c r="V250" i="13" a="1"/>
  <c r="V250" i="13" s="1"/>
  <c r="W250" i="13" a="1"/>
  <c r="W250" i="13" s="1"/>
  <c r="X250" i="13" a="1"/>
  <c r="X250" i="13" s="1"/>
  <c r="K251" i="13" a="1"/>
  <c r="K251" i="13" s="1"/>
  <c r="L251" i="13" a="1"/>
  <c r="L251" i="13" s="1"/>
  <c r="M251" i="13" a="1"/>
  <c r="M251" i="13" s="1"/>
  <c r="N251" i="13" a="1"/>
  <c r="N251" i="13" s="1"/>
  <c r="O251" i="13" a="1"/>
  <c r="O251" i="13" s="1"/>
  <c r="P251" i="13" a="1"/>
  <c r="P251" i="13" s="1"/>
  <c r="Q251" i="13" a="1"/>
  <c r="Q251" i="13" s="1"/>
  <c r="R251" i="13" a="1"/>
  <c r="R251" i="13" s="1"/>
  <c r="U251" i="13" a="1"/>
  <c r="U251" i="13" s="1"/>
  <c r="V251" i="13" a="1"/>
  <c r="V251" i="13" s="1"/>
  <c r="W251" i="13" a="1"/>
  <c r="W251" i="13" s="1"/>
  <c r="X251" i="13" a="1"/>
  <c r="X251" i="13" s="1"/>
  <c r="K252" i="13" a="1"/>
  <c r="K252" i="13" s="1"/>
  <c r="L252" i="13" a="1"/>
  <c r="L252" i="13" s="1"/>
  <c r="M252" i="13" a="1"/>
  <c r="M252" i="13" s="1"/>
  <c r="N252" i="13" a="1"/>
  <c r="N252" i="13" s="1"/>
  <c r="O252" i="13" a="1"/>
  <c r="O252" i="13" s="1"/>
  <c r="P252" i="13" a="1"/>
  <c r="P252" i="13" s="1"/>
  <c r="Q252" i="13" a="1"/>
  <c r="Q252" i="13" s="1"/>
  <c r="R252" i="13" a="1"/>
  <c r="R252" i="13" s="1"/>
  <c r="U252" i="13" a="1"/>
  <c r="U252" i="13" s="1"/>
  <c r="V252" i="13" a="1"/>
  <c r="V252" i="13" s="1"/>
  <c r="W252" i="13" a="1"/>
  <c r="W252" i="13" s="1"/>
  <c r="X252" i="13" a="1"/>
  <c r="X252" i="13" s="1"/>
  <c r="K253" i="13" a="1"/>
  <c r="K253" i="13" s="1"/>
  <c r="L253" i="13" a="1"/>
  <c r="L253" i="13" s="1"/>
  <c r="M253" i="13" a="1"/>
  <c r="M253" i="13" s="1"/>
  <c r="N253" i="13" a="1"/>
  <c r="N253" i="13" s="1"/>
  <c r="O253" i="13" a="1"/>
  <c r="O253" i="13" s="1"/>
  <c r="P253" i="13" a="1"/>
  <c r="P253" i="13" s="1"/>
  <c r="Q253" i="13" a="1"/>
  <c r="Q253" i="13" s="1"/>
  <c r="R253" i="13" a="1"/>
  <c r="R253" i="13" s="1"/>
  <c r="U253" i="13" a="1"/>
  <c r="U253" i="13" s="1"/>
  <c r="V253" i="13" a="1"/>
  <c r="V253" i="13" s="1"/>
  <c r="W253" i="13" a="1"/>
  <c r="W253" i="13" s="1"/>
  <c r="X253" i="13" a="1"/>
  <c r="X253" i="13" s="1"/>
  <c r="K254" i="13" a="1"/>
  <c r="K254" i="13" s="1"/>
  <c r="L254" i="13" a="1"/>
  <c r="L254" i="13" s="1"/>
  <c r="M254" i="13" a="1"/>
  <c r="M254" i="13" s="1"/>
  <c r="N254" i="13" a="1"/>
  <c r="N254" i="13" s="1"/>
  <c r="O254" i="13" a="1"/>
  <c r="O254" i="13" s="1"/>
  <c r="P254" i="13" a="1"/>
  <c r="P254" i="13" s="1"/>
  <c r="Q254" i="13" a="1"/>
  <c r="Q254" i="13" s="1"/>
  <c r="R254" i="13" a="1"/>
  <c r="R254" i="13" s="1"/>
  <c r="U254" i="13" a="1"/>
  <c r="U254" i="13" s="1"/>
  <c r="V254" i="13" a="1"/>
  <c r="V254" i="13" s="1"/>
  <c r="W254" i="13" a="1"/>
  <c r="W254" i="13" s="1"/>
  <c r="X254" i="13" a="1"/>
  <c r="X254" i="13" s="1"/>
  <c r="K255" i="13" a="1"/>
  <c r="K255" i="13" s="1"/>
  <c r="L255" i="13" a="1"/>
  <c r="L255" i="13" s="1"/>
  <c r="M255" i="13" a="1"/>
  <c r="M255" i="13" s="1"/>
  <c r="N255" i="13" a="1"/>
  <c r="N255" i="13" s="1"/>
  <c r="O255" i="13" a="1"/>
  <c r="O255" i="13" s="1"/>
  <c r="P255" i="13" a="1"/>
  <c r="P255" i="13" s="1"/>
  <c r="Q255" i="13" a="1"/>
  <c r="Q255" i="13" s="1"/>
  <c r="R255" i="13" a="1"/>
  <c r="R255" i="13" s="1"/>
  <c r="U255" i="13" a="1"/>
  <c r="U255" i="13" s="1"/>
  <c r="V255" i="13" a="1"/>
  <c r="V255" i="13" s="1"/>
  <c r="W255" i="13" a="1"/>
  <c r="W255" i="13" s="1"/>
  <c r="X255" i="13" a="1"/>
  <c r="X255" i="13" s="1"/>
  <c r="K256" i="13" a="1"/>
  <c r="K256" i="13" s="1"/>
  <c r="L256" i="13" a="1"/>
  <c r="L256" i="13" s="1"/>
  <c r="M256" i="13" a="1"/>
  <c r="M256" i="13" s="1"/>
  <c r="N256" i="13" a="1"/>
  <c r="N256" i="13" s="1"/>
  <c r="O256" i="13" a="1"/>
  <c r="O256" i="13" s="1"/>
  <c r="P256" i="13" a="1"/>
  <c r="P256" i="13" s="1"/>
  <c r="Q256" i="13" a="1"/>
  <c r="Q256" i="13" s="1"/>
  <c r="R256" i="13" a="1"/>
  <c r="R256" i="13" s="1"/>
  <c r="U256" i="13" a="1"/>
  <c r="U256" i="13" s="1"/>
  <c r="V256" i="13" a="1"/>
  <c r="V256" i="13" s="1"/>
  <c r="W256" i="13" a="1"/>
  <c r="W256" i="13" s="1"/>
  <c r="X256" i="13" a="1"/>
  <c r="X256" i="13" s="1"/>
  <c r="W2" i="13" a="1"/>
  <c r="W2" i="13" s="1"/>
  <c r="V2" i="13" a="1"/>
  <c r="V2" i="13" s="1"/>
  <c r="U2" i="13" a="1"/>
  <c r="U2" i="13" s="1"/>
  <c r="R2" i="13" a="1"/>
  <c r="R2" i="13" s="1"/>
  <c r="Q2" i="13" a="1"/>
  <c r="Q2" i="13" s="1"/>
  <c r="P2" i="13" a="1"/>
  <c r="P2" i="13" s="1"/>
  <c r="O2" i="13" a="1"/>
  <c r="O2" i="13" s="1"/>
  <c r="N2" i="13" a="1"/>
  <c r="N2" i="13" s="1"/>
  <c r="M2" i="13" a="1"/>
  <c r="M2" i="13" s="1"/>
  <c r="L2" i="13" a="1"/>
  <c r="L2" i="13" s="1"/>
  <c r="K2" i="13" a="1"/>
  <c r="K2" i="13" s="1"/>
  <c r="K3" i="12" a="1"/>
  <c r="K3" i="12" s="1"/>
  <c r="L3" i="12" a="1"/>
  <c r="L3" i="12" s="1"/>
  <c r="M3" i="12" a="1"/>
  <c r="M3" i="12" s="1"/>
  <c r="N3" i="12" a="1"/>
  <c r="N3" i="12" s="1"/>
  <c r="O3" i="12" a="1"/>
  <c r="O3" i="12" s="1"/>
  <c r="P3" i="12" a="1"/>
  <c r="P3" i="12" s="1"/>
  <c r="Q3" i="12" a="1"/>
  <c r="Q3" i="12" s="1"/>
  <c r="R3" i="12" a="1"/>
  <c r="R3" i="12" s="1"/>
  <c r="U3" i="12" a="1"/>
  <c r="U3" i="12" s="1"/>
  <c r="V3" i="12" a="1"/>
  <c r="V3" i="12" s="1"/>
  <c r="W3" i="12" a="1"/>
  <c r="W3" i="12" s="1"/>
  <c r="X3" i="12" a="1"/>
  <c r="X3" i="12" s="1"/>
  <c r="K4" i="12" a="1"/>
  <c r="K4" i="12" s="1"/>
  <c r="L4" i="12" a="1"/>
  <c r="L4" i="12" s="1"/>
  <c r="M4" i="12" a="1"/>
  <c r="M4" i="12" s="1"/>
  <c r="N4" i="12" a="1"/>
  <c r="N4" i="12" s="1"/>
  <c r="O4" i="12" a="1"/>
  <c r="O4" i="12" s="1"/>
  <c r="P4" i="12" a="1"/>
  <c r="P4" i="12" s="1"/>
  <c r="Q4" i="12" a="1"/>
  <c r="Q4" i="12" s="1"/>
  <c r="R4" i="12" a="1"/>
  <c r="R4" i="12" s="1"/>
  <c r="U4" i="12" a="1"/>
  <c r="U4" i="12" s="1"/>
  <c r="V4" i="12" a="1"/>
  <c r="V4" i="12" s="1"/>
  <c r="W4" i="12" a="1"/>
  <c r="W4" i="12" s="1"/>
  <c r="X4" i="12" a="1"/>
  <c r="X4" i="12" s="1"/>
  <c r="K5" i="12" a="1"/>
  <c r="K5" i="12" s="1"/>
  <c r="L5" i="12" a="1"/>
  <c r="L5" i="12" s="1"/>
  <c r="M5" i="12" a="1"/>
  <c r="M5" i="12" s="1"/>
  <c r="N5" i="12" a="1"/>
  <c r="N5" i="12" s="1"/>
  <c r="O5" i="12" a="1"/>
  <c r="O5" i="12" s="1"/>
  <c r="P5" i="12" a="1"/>
  <c r="P5" i="12" s="1"/>
  <c r="Q5" i="12" a="1"/>
  <c r="Q5" i="12" s="1"/>
  <c r="R5" i="12" a="1"/>
  <c r="R5" i="12" s="1"/>
  <c r="U5" i="12" a="1"/>
  <c r="U5" i="12" s="1"/>
  <c r="V5" i="12" a="1"/>
  <c r="V5" i="12" s="1"/>
  <c r="W5" i="12" a="1"/>
  <c r="W5" i="12" s="1"/>
  <c r="X5" i="12" a="1"/>
  <c r="X5" i="12" s="1"/>
  <c r="K6" i="12" a="1"/>
  <c r="K6" i="12" s="1"/>
  <c r="L6" i="12" a="1"/>
  <c r="L6" i="12" s="1"/>
  <c r="M6" i="12" a="1"/>
  <c r="M6" i="12" s="1"/>
  <c r="N6" i="12" a="1"/>
  <c r="N6" i="12" s="1"/>
  <c r="O6" i="12" a="1"/>
  <c r="O6" i="12" s="1"/>
  <c r="P6" i="12" a="1"/>
  <c r="P6" i="12" s="1"/>
  <c r="Q6" i="12" a="1"/>
  <c r="Q6" i="12" s="1"/>
  <c r="R6" i="12" a="1"/>
  <c r="R6" i="12" s="1"/>
  <c r="U6" i="12" a="1"/>
  <c r="U6" i="12" s="1"/>
  <c r="V6" i="12" a="1"/>
  <c r="V6" i="12" s="1"/>
  <c r="W6" i="12" a="1"/>
  <c r="W6" i="12" s="1"/>
  <c r="X6" i="12" a="1"/>
  <c r="X6" i="12" s="1"/>
  <c r="K7" i="12" a="1"/>
  <c r="K7" i="12" s="1"/>
  <c r="L7" i="12" a="1"/>
  <c r="L7" i="12" s="1"/>
  <c r="M7" i="12" a="1"/>
  <c r="M7" i="12" s="1"/>
  <c r="N7" i="12" a="1"/>
  <c r="N7" i="12" s="1"/>
  <c r="O7" i="12" a="1"/>
  <c r="O7" i="12" s="1"/>
  <c r="P7" i="12" a="1"/>
  <c r="P7" i="12" s="1"/>
  <c r="Q7" i="12" a="1"/>
  <c r="Q7" i="12" s="1"/>
  <c r="R7" i="12" a="1"/>
  <c r="R7" i="12" s="1"/>
  <c r="U7" i="12" a="1"/>
  <c r="U7" i="12" s="1"/>
  <c r="V7" i="12" a="1"/>
  <c r="V7" i="12" s="1"/>
  <c r="W7" i="12" a="1"/>
  <c r="W7" i="12" s="1"/>
  <c r="X7" i="12" a="1"/>
  <c r="X7" i="12" s="1"/>
  <c r="K8" i="12" a="1"/>
  <c r="K8" i="12" s="1"/>
  <c r="L8" i="12" a="1"/>
  <c r="L8" i="12" s="1"/>
  <c r="M8" i="12" a="1"/>
  <c r="M8" i="12" s="1"/>
  <c r="N8" i="12" a="1"/>
  <c r="N8" i="12" s="1"/>
  <c r="O8" i="12" a="1"/>
  <c r="O8" i="12" s="1"/>
  <c r="P8" i="12" a="1"/>
  <c r="P8" i="12" s="1"/>
  <c r="Q8" i="12" a="1"/>
  <c r="Q8" i="12" s="1"/>
  <c r="R8" i="12" a="1"/>
  <c r="R8" i="12" s="1"/>
  <c r="U8" i="12" a="1"/>
  <c r="U8" i="12" s="1"/>
  <c r="V8" i="12" a="1"/>
  <c r="V8" i="12" s="1"/>
  <c r="W8" i="12" a="1"/>
  <c r="W8" i="12" s="1"/>
  <c r="X8" i="12" a="1"/>
  <c r="X8" i="12" s="1"/>
  <c r="K9" i="12" a="1"/>
  <c r="K9" i="12" s="1"/>
  <c r="L9" i="12" a="1"/>
  <c r="L9" i="12" s="1"/>
  <c r="M9" i="12" a="1"/>
  <c r="M9" i="12" s="1"/>
  <c r="N9" i="12" a="1"/>
  <c r="N9" i="12" s="1"/>
  <c r="O9" i="12" a="1"/>
  <c r="O9" i="12" s="1"/>
  <c r="P9" i="12" a="1"/>
  <c r="P9" i="12" s="1"/>
  <c r="Q9" i="12" a="1"/>
  <c r="Q9" i="12" s="1"/>
  <c r="R9" i="12" a="1"/>
  <c r="R9" i="12" s="1"/>
  <c r="U9" i="12" a="1"/>
  <c r="U9" i="12" s="1"/>
  <c r="V9" i="12" a="1"/>
  <c r="V9" i="12" s="1"/>
  <c r="W9" i="12" a="1"/>
  <c r="W9" i="12" s="1"/>
  <c r="X9" i="12" a="1"/>
  <c r="X9" i="12" s="1"/>
  <c r="K10" i="12" a="1"/>
  <c r="K10" i="12" s="1"/>
  <c r="L10" i="12" a="1"/>
  <c r="L10" i="12" s="1"/>
  <c r="M10" i="12" a="1"/>
  <c r="M10" i="12" s="1"/>
  <c r="N10" i="12" a="1"/>
  <c r="N10" i="12" s="1"/>
  <c r="O10" i="12" a="1"/>
  <c r="O10" i="12" s="1"/>
  <c r="P10" i="12" a="1"/>
  <c r="P10" i="12" s="1"/>
  <c r="Q10" i="12" a="1"/>
  <c r="Q10" i="12" s="1"/>
  <c r="R10" i="12" a="1"/>
  <c r="R10" i="12" s="1"/>
  <c r="U10" i="12" a="1"/>
  <c r="U10" i="12" s="1"/>
  <c r="V10" i="12" a="1"/>
  <c r="V10" i="12" s="1"/>
  <c r="W10" i="12" a="1"/>
  <c r="W10" i="12" s="1"/>
  <c r="X10" i="12" a="1"/>
  <c r="X10" i="12" s="1"/>
  <c r="K11" i="12" a="1"/>
  <c r="K11" i="12" s="1"/>
  <c r="L11" i="12" a="1"/>
  <c r="L11" i="12" s="1"/>
  <c r="M11" i="12" a="1"/>
  <c r="M11" i="12" s="1"/>
  <c r="N11" i="12" a="1"/>
  <c r="N11" i="12" s="1"/>
  <c r="O11" i="12" a="1"/>
  <c r="O11" i="12" s="1"/>
  <c r="P11" i="12" a="1"/>
  <c r="P11" i="12" s="1"/>
  <c r="Q11" i="12" a="1"/>
  <c r="Q11" i="12" s="1"/>
  <c r="R11" i="12" a="1"/>
  <c r="R11" i="12" s="1"/>
  <c r="U11" i="12" a="1"/>
  <c r="U11" i="12" s="1"/>
  <c r="V11" i="12" a="1"/>
  <c r="V11" i="12" s="1"/>
  <c r="W11" i="12" a="1"/>
  <c r="W11" i="12" s="1"/>
  <c r="X11" i="12" a="1"/>
  <c r="X11" i="12" s="1"/>
  <c r="K12" i="12" a="1"/>
  <c r="K12" i="12" s="1"/>
  <c r="L12" i="12" a="1"/>
  <c r="L12" i="12" s="1"/>
  <c r="M12" i="12" a="1"/>
  <c r="M12" i="12" s="1"/>
  <c r="N12" i="12" a="1"/>
  <c r="N12" i="12" s="1"/>
  <c r="O12" i="12" a="1"/>
  <c r="O12" i="12" s="1"/>
  <c r="P12" i="12" a="1"/>
  <c r="P12" i="12" s="1"/>
  <c r="Q12" i="12" a="1"/>
  <c r="Q12" i="12" s="1"/>
  <c r="R12" i="12" a="1"/>
  <c r="R12" i="12" s="1"/>
  <c r="U12" i="12" a="1"/>
  <c r="U12" i="12" s="1"/>
  <c r="V12" i="12" a="1"/>
  <c r="V12" i="12" s="1"/>
  <c r="W12" i="12" a="1"/>
  <c r="W12" i="12" s="1"/>
  <c r="X12" i="12" a="1"/>
  <c r="X12" i="12" s="1"/>
  <c r="K13" i="12" a="1"/>
  <c r="K13" i="12" s="1"/>
  <c r="L13" i="12" a="1"/>
  <c r="L13" i="12" s="1"/>
  <c r="M13" i="12" a="1"/>
  <c r="M13" i="12" s="1"/>
  <c r="N13" i="12" a="1"/>
  <c r="N13" i="12" s="1"/>
  <c r="O13" i="12" a="1"/>
  <c r="O13" i="12" s="1"/>
  <c r="P13" i="12" a="1"/>
  <c r="P13" i="12" s="1"/>
  <c r="Q13" i="12" a="1"/>
  <c r="Q13" i="12" s="1"/>
  <c r="R13" i="12" a="1"/>
  <c r="R13" i="12" s="1"/>
  <c r="U13" i="12" a="1"/>
  <c r="U13" i="12" s="1"/>
  <c r="V13" i="12" a="1"/>
  <c r="V13" i="12" s="1"/>
  <c r="W13" i="12" a="1"/>
  <c r="W13" i="12" s="1"/>
  <c r="X13" i="12" a="1"/>
  <c r="X13" i="12" s="1"/>
  <c r="K14" i="12" a="1"/>
  <c r="K14" i="12" s="1"/>
  <c r="L14" i="12" a="1"/>
  <c r="L14" i="12" s="1"/>
  <c r="M14" i="12" a="1"/>
  <c r="M14" i="12" s="1"/>
  <c r="N14" i="12" a="1"/>
  <c r="N14" i="12" s="1"/>
  <c r="O14" i="12" a="1"/>
  <c r="O14" i="12" s="1"/>
  <c r="P14" i="12" a="1"/>
  <c r="P14" i="12" s="1"/>
  <c r="Q14" i="12" a="1"/>
  <c r="Q14" i="12" s="1"/>
  <c r="R14" i="12" a="1"/>
  <c r="R14" i="12" s="1"/>
  <c r="U14" i="12" a="1"/>
  <c r="U14" i="12" s="1"/>
  <c r="V14" i="12" a="1"/>
  <c r="V14" i="12" s="1"/>
  <c r="W14" i="12" a="1"/>
  <c r="W14" i="12" s="1"/>
  <c r="X14" i="12" a="1"/>
  <c r="X14" i="12" s="1"/>
  <c r="K15" i="12" a="1"/>
  <c r="K15" i="12" s="1"/>
  <c r="L15" i="12" a="1"/>
  <c r="L15" i="12" s="1"/>
  <c r="M15" i="12" a="1"/>
  <c r="M15" i="12" s="1"/>
  <c r="N15" i="12" a="1"/>
  <c r="N15" i="12" s="1"/>
  <c r="O15" i="12" a="1"/>
  <c r="O15" i="12" s="1"/>
  <c r="P15" i="12" a="1"/>
  <c r="P15" i="12" s="1"/>
  <c r="Q15" i="12" a="1"/>
  <c r="Q15" i="12" s="1"/>
  <c r="R15" i="12" a="1"/>
  <c r="R15" i="12" s="1"/>
  <c r="U15" i="12" a="1"/>
  <c r="U15" i="12" s="1"/>
  <c r="V15" i="12" a="1"/>
  <c r="V15" i="12" s="1"/>
  <c r="W15" i="12" a="1"/>
  <c r="W15" i="12" s="1"/>
  <c r="X15" i="12" a="1"/>
  <c r="X15" i="12" s="1"/>
  <c r="K16" i="12" a="1"/>
  <c r="K16" i="12" s="1"/>
  <c r="L16" i="12" a="1"/>
  <c r="L16" i="12" s="1"/>
  <c r="M16" i="12" a="1"/>
  <c r="M16" i="12" s="1"/>
  <c r="N16" i="12" a="1"/>
  <c r="N16" i="12" s="1"/>
  <c r="O16" i="12" a="1"/>
  <c r="O16" i="12" s="1"/>
  <c r="P16" i="12" a="1"/>
  <c r="P16" i="12" s="1"/>
  <c r="Q16" i="12" a="1"/>
  <c r="Q16" i="12" s="1"/>
  <c r="R16" i="12" a="1"/>
  <c r="R16" i="12" s="1"/>
  <c r="U16" i="12" a="1"/>
  <c r="U16" i="12" s="1"/>
  <c r="V16" i="12" a="1"/>
  <c r="V16" i="12" s="1"/>
  <c r="W16" i="12" a="1"/>
  <c r="W16" i="12" s="1"/>
  <c r="X16" i="12" a="1"/>
  <c r="X16" i="12" s="1"/>
  <c r="K17" i="12" a="1"/>
  <c r="K17" i="12" s="1"/>
  <c r="L17" i="12" a="1"/>
  <c r="L17" i="12" s="1"/>
  <c r="M17" i="12" a="1"/>
  <c r="M17" i="12" s="1"/>
  <c r="N17" i="12" a="1"/>
  <c r="N17" i="12" s="1"/>
  <c r="O17" i="12" a="1"/>
  <c r="O17" i="12" s="1"/>
  <c r="P17" i="12" a="1"/>
  <c r="P17" i="12" s="1"/>
  <c r="Q17" i="12" a="1"/>
  <c r="Q17" i="12" s="1"/>
  <c r="R17" i="12" a="1"/>
  <c r="R17" i="12" s="1"/>
  <c r="U17" i="12" a="1"/>
  <c r="U17" i="12" s="1"/>
  <c r="V17" i="12" a="1"/>
  <c r="V17" i="12" s="1"/>
  <c r="W17" i="12" a="1"/>
  <c r="W17" i="12" s="1"/>
  <c r="X17" i="12" a="1"/>
  <c r="X17" i="12" s="1"/>
  <c r="K18" i="12" a="1"/>
  <c r="K18" i="12" s="1"/>
  <c r="L18" i="12" a="1"/>
  <c r="L18" i="12" s="1"/>
  <c r="M18" i="12" a="1"/>
  <c r="M18" i="12" s="1"/>
  <c r="N18" i="12" a="1"/>
  <c r="N18" i="12" s="1"/>
  <c r="O18" i="12" a="1"/>
  <c r="O18" i="12" s="1"/>
  <c r="P18" i="12" a="1"/>
  <c r="P18" i="12" s="1"/>
  <c r="Q18" i="12" a="1"/>
  <c r="Q18" i="12" s="1"/>
  <c r="R18" i="12" a="1"/>
  <c r="R18" i="12" s="1"/>
  <c r="U18" i="12" a="1"/>
  <c r="U18" i="12" s="1"/>
  <c r="V18" i="12" a="1"/>
  <c r="V18" i="12" s="1"/>
  <c r="W18" i="12" a="1"/>
  <c r="W18" i="12" s="1"/>
  <c r="X18" i="12" a="1"/>
  <c r="X18" i="12" s="1"/>
  <c r="K19" i="12" a="1"/>
  <c r="K19" i="12" s="1"/>
  <c r="L19" i="12" a="1"/>
  <c r="L19" i="12" s="1"/>
  <c r="M19" i="12" a="1"/>
  <c r="M19" i="12" s="1"/>
  <c r="N19" i="12" a="1"/>
  <c r="N19" i="12" s="1"/>
  <c r="O19" i="12" a="1"/>
  <c r="O19" i="12" s="1"/>
  <c r="P19" i="12" a="1"/>
  <c r="P19" i="12" s="1"/>
  <c r="Q19" i="12" a="1"/>
  <c r="Q19" i="12" s="1"/>
  <c r="R19" i="12" a="1"/>
  <c r="R19" i="12" s="1"/>
  <c r="U19" i="12" a="1"/>
  <c r="U19" i="12" s="1"/>
  <c r="V19" i="12" a="1"/>
  <c r="V19" i="12" s="1"/>
  <c r="W19" i="12" a="1"/>
  <c r="W19" i="12" s="1"/>
  <c r="X19" i="12" a="1"/>
  <c r="X19" i="12" s="1"/>
  <c r="K20" i="12" a="1"/>
  <c r="K20" i="12" s="1"/>
  <c r="L20" i="12" a="1"/>
  <c r="L20" i="12" s="1"/>
  <c r="M20" i="12" a="1"/>
  <c r="M20" i="12" s="1"/>
  <c r="N20" i="12" a="1"/>
  <c r="N20" i="12" s="1"/>
  <c r="O20" i="12" a="1"/>
  <c r="O20" i="12" s="1"/>
  <c r="P20" i="12" a="1"/>
  <c r="P20" i="12" s="1"/>
  <c r="Q20" i="12" a="1"/>
  <c r="Q20" i="12" s="1"/>
  <c r="R20" i="12" a="1"/>
  <c r="R20" i="12" s="1"/>
  <c r="U20" i="12" a="1"/>
  <c r="U20" i="12" s="1"/>
  <c r="V20" i="12" a="1"/>
  <c r="V20" i="12" s="1"/>
  <c r="W20" i="12" a="1"/>
  <c r="W20" i="12" s="1"/>
  <c r="X20" i="12" a="1"/>
  <c r="X20" i="12" s="1"/>
  <c r="K21" i="12" a="1"/>
  <c r="K21" i="12" s="1"/>
  <c r="L21" i="12" a="1"/>
  <c r="L21" i="12" s="1"/>
  <c r="M21" i="12" a="1"/>
  <c r="M21" i="12" s="1"/>
  <c r="N21" i="12" a="1"/>
  <c r="N21" i="12" s="1"/>
  <c r="O21" i="12" a="1"/>
  <c r="O21" i="12" s="1"/>
  <c r="P21" i="12" a="1"/>
  <c r="P21" i="12" s="1"/>
  <c r="Q21" i="12" a="1"/>
  <c r="Q21" i="12" s="1"/>
  <c r="R21" i="12" a="1"/>
  <c r="R21" i="12" s="1"/>
  <c r="U21" i="12" a="1"/>
  <c r="U21" i="12" s="1"/>
  <c r="V21" i="12" a="1"/>
  <c r="V21" i="12" s="1"/>
  <c r="W21" i="12" a="1"/>
  <c r="W21" i="12" s="1"/>
  <c r="X21" i="12" a="1"/>
  <c r="X21" i="12" s="1"/>
  <c r="K22" i="12" a="1"/>
  <c r="K22" i="12" s="1"/>
  <c r="L22" i="12" a="1"/>
  <c r="L22" i="12" s="1"/>
  <c r="M22" i="12" a="1"/>
  <c r="M22" i="12" s="1"/>
  <c r="N22" i="12" a="1"/>
  <c r="N22" i="12" s="1"/>
  <c r="O22" i="12" a="1"/>
  <c r="O22" i="12" s="1"/>
  <c r="P22" i="12" a="1"/>
  <c r="P22" i="12" s="1"/>
  <c r="Q22" i="12" a="1"/>
  <c r="Q22" i="12" s="1"/>
  <c r="R22" i="12" a="1"/>
  <c r="R22" i="12" s="1"/>
  <c r="U22" i="12" a="1"/>
  <c r="U22" i="12" s="1"/>
  <c r="V22" i="12" a="1"/>
  <c r="V22" i="12" s="1"/>
  <c r="W22" i="12" a="1"/>
  <c r="W22" i="12" s="1"/>
  <c r="X22" i="12" a="1"/>
  <c r="X22" i="12" s="1"/>
  <c r="K23" i="12" a="1"/>
  <c r="K23" i="12" s="1"/>
  <c r="L23" i="12" a="1"/>
  <c r="L23" i="12" s="1"/>
  <c r="M23" i="12" a="1"/>
  <c r="M23" i="12" s="1"/>
  <c r="N23" i="12" a="1"/>
  <c r="N23" i="12" s="1"/>
  <c r="O23" i="12" a="1"/>
  <c r="O23" i="12" s="1"/>
  <c r="P23" i="12" a="1"/>
  <c r="P23" i="12" s="1"/>
  <c r="Q23" i="12" a="1"/>
  <c r="Q23" i="12" s="1"/>
  <c r="R23" i="12" a="1"/>
  <c r="R23" i="12" s="1"/>
  <c r="U23" i="12" a="1"/>
  <c r="U23" i="12" s="1"/>
  <c r="V23" i="12" a="1"/>
  <c r="V23" i="12" s="1"/>
  <c r="W23" i="12" a="1"/>
  <c r="W23" i="12" s="1"/>
  <c r="X23" i="12" a="1"/>
  <c r="X23" i="12" s="1"/>
  <c r="K24" i="12" a="1"/>
  <c r="K24" i="12" s="1"/>
  <c r="L24" i="12" a="1"/>
  <c r="L24" i="12" s="1"/>
  <c r="M24" i="12" a="1"/>
  <c r="M24" i="12" s="1"/>
  <c r="N24" i="12" a="1"/>
  <c r="N24" i="12" s="1"/>
  <c r="O24" i="12" a="1"/>
  <c r="O24" i="12" s="1"/>
  <c r="P24" i="12" a="1"/>
  <c r="P24" i="12" s="1"/>
  <c r="Q24" i="12" a="1"/>
  <c r="Q24" i="12" s="1"/>
  <c r="R24" i="12" a="1"/>
  <c r="R24" i="12" s="1"/>
  <c r="U24" i="12" a="1"/>
  <c r="U24" i="12" s="1"/>
  <c r="V24" i="12" a="1"/>
  <c r="V24" i="12" s="1"/>
  <c r="W24" i="12" a="1"/>
  <c r="W24" i="12" s="1"/>
  <c r="X24" i="12" a="1"/>
  <c r="X24" i="12" s="1"/>
  <c r="K25" i="12" a="1"/>
  <c r="K25" i="12" s="1"/>
  <c r="L25" i="12" a="1"/>
  <c r="L25" i="12" s="1"/>
  <c r="M25" i="12" a="1"/>
  <c r="M25" i="12" s="1"/>
  <c r="N25" i="12" a="1"/>
  <c r="N25" i="12" s="1"/>
  <c r="O25" i="12" a="1"/>
  <c r="O25" i="12" s="1"/>
  <c r="P25" i="12" a="1"/>
  <c r="P25" i="12" s="1"/>
  <c r="Q25" i="12" a="1"/>
  <c r="Q25" i="12" s="1"/>
  <c r="R25" i="12" a="1"/>
  <c r="R25" i="12" s="1"/>
  <c r="U25" i="12" a="1"/>
  <c r="U25" i="12" s="1"/>
  <c r="V25" i="12" a="1"/>
  <c r="V25" i="12" s="1"/>
  <c r="W25" i="12" a="1"/>
  <c r="W25" i="12" s="1"/>
  <c r="X25" i="12" a="1"/>
  <c r="X25" i="12" s="1"/>
  <c r="K26" i="12" a="1"/>
  <c r="K26" i="12" s="1"/>
  <c r="L26" i="12" a="1"/>
  <c r="L26" i="12" s="1"/>
  <c r="M26" i="12" a="1"/>
  <c r="M26" i="12" s="1"/>
  <c r="N26" i="12" a="1"/>
  <c r="N26" i="12" s="1"/>
  <c r="O26" i="12" a="1"/>
  <c r="O26" i="12" s="1"/>
  <c r="P26" i="12" a="1"/>
  <c r="P26" i="12" s="1"/>
  <c r="Q26" i="12" a="1"/>
  <c r="Q26" i="12" s="1"/>
  <c r="R26" i="12" a="1"/>
  <c r="R26" i="12" s="1"/>
  <c r="U26" i="12" a="1"/>
  <c r="U26" i="12" s="1"/>
  <c r="V26" i="12" a="1"/>
  <c r="V26" i="12" s="1"/>
  <c r="W26" i="12" a="1"/>
  <c r="W26" i="12" s="1"/>
  <c r="X26" i="12" a="1"/>
  <c r="X26" i="12" s="1"/>
  <c r="K27" i="12" a="1"/>
  <c r="K27" i="12" s="1"/>
  <c r="L27" i="12" a="1"/>
  <c r="L27" i="12" s="1"/>
  <c r="M27" i="12" a="1"/>
  <c r="M27" i="12" s="1"/>
  <c r="N27" i="12" a="1"/>
  <c r="N27" i="12" s="1"/>
  <c r="O27" i="12" a="1"/>
  <c r="O27" i="12" s="1"/>
  <c r="P27" i="12" a="1"/>
  <c r="P27" i="12" s="1"/>
  <c r="Q27" i="12" a="1"/>
  <c r="Q27" i="12" s="1"/>
  <c r="R27" i="12" a="1"/>
  <c r="R27" i="12" s="1"/>
  <c r="U27" i="12" a="1"/>
  <c r="U27" i="12" s="1"/>
  <c r="V27" i="12" a="1"/>
  <c r="V27" i="12" s="1"/>
  <c r="W27" i="12" a="1"/>
  <c r="W27" i="12" s="1"/>
  <c r="X27" i="12" a="1"/>
  <c r="X27" i="12" s="1"/>
  <c r="K28" i="12" a="1"/>
  <c r="K28" i="12" s="1"/>
  <c r="L28" i="12" a="1"/>
  <c r="L28" i="12" s="1"/>
  <c r="M28" i="12" a="1"/>
  <c r="M28" i="12" s="1"/>
  <c r="N28" i="12" a="1"/>
  <c r="N28" i="12" s="1"/>
  <c r="O28" i="12" a="1"/>
  <c r="O28" i="12" s="1"/>
  <c r="P28" i="12" a="1"/>
  <c r="P28" i="12" s="1"/>
  <c r="Q28" i="12" a="1"/>
  <c r="Q28" i="12" s="1"/>
  <c r="R28" i="12" a="1"/>
  <c r="R28" i="12" s="1"/>
  <c r="U28" i="12" a="1"/>
  <c r="U28" i="12" s="1"/>
  <c r="V28" i="12" a="1"/>
  <c r="V28" i="12" s="1"/>
  <c r="W28" i="12" a="1"/>
  <c r="W28" i="12" s="1"/>
  <c r="X28" i="12" a="1"/>
  <c r="X28" i="12" s="1"/>
  <c r="K29" i="12" a="1"/>
  <c r="K29" i="12" s="1"/>
  <c r="L29" i="12" a="1"/>
  <c r="L29" i="12" s="1"/>
  <c r="M29" i="12" a="1"/>
  <c r="M29" i="12" s="1"/>
  <c r="N29" i="12" a="1"/>
  <c r="N29" i="12" s="1"/>
  <c r="O29" i="12" a="1"/>
  <c r="O29" i="12" s="1"/>
  <c r="P29" i="12" a="1"/>
  <c r="P29" i="12" s="1"/>
  <c r="Q29" i="12" a="1"/>
  <c r="Q29" i="12" s="1"/>
  <c r="R29" i="12" a="1"/>
  <c r="R29" i="12" s="1"/>
  <c r="U29" i="12" a="1"/>
  <c r="U29" i="12" s="1"/>
  <c r="V29" i="12" a="1"/>
  <c r="V29" i="12" s="1"/>
  <c r="W29" i="12" a="1"/>
  <c r="W29" i="12" s="1"/>
  <c r="X29" i="12" a="1"/>
  <c r="X29" i="12" s="1"/>
  <c r="K30" i="12" a="1"/>
  <c r="K30" i="12" s="1"/>
  <c r="L30" i="12" a="1"/>
  <c r="L30" i="12" s="1"/>
  <c r="M30" i="12" a="1"/>
  <c r="M30" i="12" s="1"/>
  <c r="N30" i="12" a="1"/>
  <c r="N30" i="12" s="1"/>
  <c r="O30" i="12" a="1"/>
  <c r="O30" i="12" s="1"/>
  <c r="P30" i="12" a="1"/>
  <c r="P30" i="12" s="1"/>
  <c r="Q30" i="12" a="1"/>
  <c r="Q30" i="12" s="1"/>
  <c r="R30" i="12" a="1"/>
  <c r="R30" i="12" s="1"/>
  <c r="U30" i="12" a="1"/>
  <c r="U30" i="12" s="1"/>
  <c r="V30" i="12" a="1"/>
  <c r="V30" i="12" s="1"/>
  <c r="W30" i="12" a="1"/>
  <c r="W30" i="12" s="1"/>
  <c r="X30" i="12" a="1"/>
  <c r="X30" i="12" s="1"/>
  <c r="K31" i="12" a="1"/>
  <c r="K31" i="12" s="1"/>
  <c r="L31" i="12" a="1"/>
  <c r="L31" i="12" s="1"/>
  <c r="M31" i="12" a="1"/>
  <c r="M31" i="12" s="1"/>
  <c r="N31" i="12" a="1"/>
  <c r="N31" i="12" s="1"/>
  <c r="O31" i="12" a="1"/>
  <c r="O31" i="12" s="1"/>
  <c r="P31" i="12" a="1"/>
  <c r="P31" i="12" s="1"/>
  <c r="Q31" i="12" a="1"/>
  <c r="Q31" i="12" s="1"/>
  <c r="R31" i="12" a="1"/>
  <c r="R31" i="12" s="1"/>
  <c r="U31" i="12" a="1"/>
  <c r="U31" i="12" s="1"/>
  <c r="V31" i="12" a="1"/>
  <c r="V31" i="12" s="1"/>
  <c r="W31" i="12" a="1"/>
  <c r="W31" i="12" s="1"/>
  <c r="X31" i="12" a="1"/>
  <c r="X31" i="12" s="1"/>
  <c r="K32" i="12" a="1"/>
  <c r="K32" i="12" s="1"/>
  <c r="L32" i="12" a="1"/>
  <c r="L32" i="12" s="1"/>
  <c r="M32" i="12" a="1"/>
  <c r="M32" i="12" s="1"/>
  <c r="N32" i="12" a="1"/>
  <c r="N32" i="12" s="1"/>
  <c r="O32" i="12" a="1"/>
  <c r="O32" i="12" s="1"/>
  <c r="P32" i="12" a="1"/>
  <c r="P32" i="12" s="1"/>
  <c r="Q32" i="12" a="1"/>
  <c r="Q32" i="12" s="1"/>
  <c r="R32" i="12" a="1"/>
  <c r="R32" i="12" s="1"/>
  <c r="U32" i="12" a="1"/>
  <c r="U32" i="12" s="1"/>
  <c r="V32" i="12" a="1"/>
  <c r="V32" i="12" s="1"/>
  <c r="W32" i="12" a="1"/>
  <c r="W32" i="12" s="1"/>
  <c r="X32" i="12" a="1"/>
  <c r="X32" i="12" s="1"/>
  <c r="K33" i="12" a="1"/>
  <c r="K33" i="12" s="1"/>
  <c r="L33" i="12" a="1"/>
  <c r="L33" i="12" s="1"/>
  <c r="M33" i="12" a="1"/>
  <c r="M33" i="12" s="1"/>
  <c r="N33" i="12" a="1"/>
  <c r="N33" i="12" s="1"/>
  <c r="O33" i="12" a="1"/>
  <c r="O33" i="12" s="1"/>
  <c r="P33" i="12" a="1"/>
  <c r="P33" i="12" s="1"/>
  <c r="Q33" i="12" a="1"/>
  <c r="Q33" i="12" s="1"/>
  <c r="R33" i="12" a="1"/>
  <c r="R33" i="12" s="1"/>
  <c r="U33" i="12" a="1"/>
  <c r="U33" i="12" s="1"/>
  <c r="V33" i="12" a="1"/>
  <c r="V33" i="12" s="1"/>
  <c r="W33" i="12" a="1"/>
  <c r="W33" i="12" s="1"/>
  <c r="X33" i="12" a="1"/>
  <c r="X33" i="12" s="1"/>
  <c r="K34" i="12" a="1"/>
  <c r="K34" i="12" s="1"/>
  <c r="L34" i="12" a="1"/>
  <c r="L34" i="12" s="1"/>
  <c r="M34" i="12" a="1"/>
  <c r="M34" i="12" s="1"/>
  <c r="N34" i="12" a="1"/>
  <c r="N34" i="12" s="1"/>
  <c r="O34" i="12" a="1"/>
  <c r="O34" i="12" s="1"/>
  <c r="P34" i="12" a="1"/>
  <c r="P34" i="12" s="1"/>
  <c r="Q34" i="12" a="1"/>
  <c r="Q34" i="12" s="1"/>
  <c r="R34" i="12" a="1"/>
  <c r="R34" i="12" s="1"/>
  <c r="U34" i="12" a="1"/>
  <c r="U34" i="12" s="1"/>
  <c r="V34" i="12" a="1"/>
  <c r="V34" i="12" s="1"/>
  <c r="W34" i="12" a="1"/>
  <c r="W34" i="12" s="1"/>
  <c r="X34" i="12" a="1"/>
  <c r="X34" i="12" s="1"/>
  <c r="K35" i="12" a="1"/>
  <c r="K35" i="12" s="1"/>
  <c r="L35" i="12" a="1"/>
  <c r="L35" i="12" s="1"/>
  <c r="M35" i="12" a="1"/>
  <c r="M35" i="12" s="1"/>
  <c r="N35" i="12" a="1"/>
  <c r="N35" i="12" s="1"/>
  <c r="O35" i="12" a="1"/>
  <c r="O35" i="12" s="1"/>
  <c r="P35" i="12" a="1"/>
  <c r="P35" i="12" s="1"/>
  <c r="Q35" i="12" a="1"/>
  <c r="Q35" i="12" s="1"/>
  <c r="R35" i="12" a="1"/>
  <c r="R35" i="12" s="1"/>
  <c r="U35" i="12" a="1"/>
  <c r="U35" i="12" s="1"/>
  <c r="V35" i="12" a="1"/>
  <c r="V35" i="12" s="1"/>
  <c r="W35" i="12" a="1"/>
  <c r="W35" i="12" s="1"/>
  <c r="X35" i="12" a="1"/>
  <c r="X35" i="12" s="1"/>
  <c r="K36" i="12" a="1"/>
  <c r="K36" i="12" s="1"/>
  <c r="L36" i="12" a="1"/>
  <c r="L36" i="12" s="1"/>
  <c r="M36" i="12" a="1"/>
  <c r="M36" i="12" s="1"/>
  <c r="N36" i="12" a="1"/>
  <c r="N36" i="12" s="1"/>
  <c r="O36" i="12" a="1"/>
  <c r="O36" i="12" s="1"/>
  <c r="P36" i="12" a="1"/>
  <c r="P36" i="12" s="1"/>
  <c r="Q36" i="12" a="1"/>
  <c r="Q36" i="12" s="1"/>
  <c r="R36" i="12" a="1"/>
  <c r="R36" i="12" s="1"/>
  <c r="U36" i="12" a="1"/>
  <c r="U36" i="12" s="1"/>
  <c r="V36" i="12" a="1"/>
  <c r="V36" i="12" s="1"/>
  <c r="W36" i="12" a="1"/>
  <c r="W36" i="12" s="1"/>
  <c r="X36" i="12" a="1"/>
  <c r="X36" i="12" s="1"/>
  <c r="K37" i="12" a="1"/>
  <c r="K37" i="12" s="1"/>
  <c r="L37" i="12" a="1"/>
  <c r="L37" i="12" s="1"/>
  <c r="M37" i="12" a="1"/>
  <c r="M37" i="12" s="1"/>
  <c r="N37" i="12" a="1"/>
  <c r="N37" i="12" s="1"/>
  <c r="O37" i="12" a="1"/>
  <c r="O37" i="12" s="1"/>
  <c r="P37" i="12" a="1"/>
  <c r="P37" i="12" s="1"/>
  <c r="Q37" i="12" a="1"/>
  <c r="Q37" i="12" s="1"/>
  <c r="R37" i="12" a="1"/>
  <c r="R37" i="12" s="1"/>
  <c r="U37" i="12" a="1"/>
  <c r="U37" i="12" s="1"/>
  <c r="V37" i="12" a="1"/>
  <c r="V37" i="12" s="1"/>
  <c r="W37" i="12" a="1"/>
  <c r="W37" i="12" s="1"/>
  <c r="X37" i="12" a="1"/>
  <c r="X37" i="12" s="1"/>
  <c r="K38" i="12" a="1"/>
  <c r="K38" i="12" s="1"/>
  <c r="L38" i="12" a="1"/>
  <c r="L38" i="12" s="1"/>
  <c r="M38" i="12" a="1"/>
  <c r="M38" i="12" s="1"/>
  <c r="N38" i="12" a="1"/>
  <c r="N38" i="12" s="1"/>
  <c r="O38" i="12" a="1"/>
  <c r="O38" i="12" s="1"/>
  <c r="P38" i="12" a="1"/>
  <c r="P38" i="12" s="1"/>
  <c r="Q38" i="12" a="1"/>
  <c r="Q38" i="12" s="1"/>
  <c r="R38" i="12" a="1"/>
  <c r="R38" i="12" s="1"/>
  <c r="U38" i="12" a="1"/>
  <c r="U38" i="12" s="1"/>
  <c r="V38" i="12" a="1"/>
  <c r="V38" i="12" s="1"/>
  <c r="W38" i="12" a="1"/>
  <c r="W38" i="12" s="1"/>
  <c r="X38" i="12" a="1"/>
  <c r="X38" i="12" s="1"/>
  <c r="K39" i="12" a="1"/>
  <c r="K39" i="12" s="1"/>
  <c r="L39" i="12" a="1"/>
  <c r="L39" i="12" s="1"/>
  <c r="M39" i="12" a="1"/>
  <c r="M39" i="12" s="1"/>
  <c r="N39" i="12" a="1"/>
  <c r="N39" i="12" s="1"/>
  <c r="O39" i="12" a="1"/>
  <c r="O39" i="12" s="1"/>
  <c r="P39" i="12" a="1"/>
  <c r="P39" i="12" s="1"/>
  <c r="Q39" i="12" a="1"/>
  <c r="Q39" i="12" s="1"/>
  <c r="R39" i="12" a="1"/>
  <c r="R39" i="12" s="1"/>
  <c r="U39" i="12" a="1"/>
  <c r="U39" i="12" s="1"/>
  <c r="V39" i="12" a="1"/>
  <c r="V39" i="12" s="1"/>
  <c r="W39" i="12" a="1"/>
  <c r="W39" i="12" s="1"/>
  <c r="X39" i="12" a="1"/>
  <c r="X39" i="12" s="1"/>
  <c r="K40" i="12" a="1"/>
  <c r="K40" i="12" s="1"/>
  <c r="L40" i="12" a="1"/>
  <c r="L40" i="12" s="1"/>
  <c r="M40" i="12" a="1"/>
  <c r="M40" i="12" s="1"/>
  <c r="N40" i="12" a="1"/>
  <c r="N40" i="12" s="1"/>
  <c r="O40" i="12" a="1"/>
  <c r="O40" i="12" s="1"/>
  <c r="P40" i="12" a="1"/>
  <c r="P40" i="12" s="1"/>
  <c r="Q40" i="12" a="1"/>
  <c r="Q40" i="12" s="1"/>
  <c r="R40" i="12" a="1"/>
  <c r="R40" i="12" s="1"/>
  <c r="U40" i="12" a="1"/>
  <c r="U40" i="12" s="1"/>
  <c r="V40" i="12" a="1"/>
  <c r="V40" i="12" s="1"/>
  <c r="W40" i="12" a="1"/>
  <c r="W40" i="12" s="1"/>
  <c r="X40" i="12" a="1"/>
  <c r="X40" i="12" s="1"/>
  <c r="K41" i="12" a="1"/>
  <c r="K41" i="12" s="1"/>
  <c r="L41" i="12" a="1"/>
  <c r="L41" i="12" s="1"/>
  <c r="M41" i="12" a="1"/>
  <c r="M41" i="12" s="1"/>
  <c r="N41" i="12" a="1"/>
  <c r="N41" i="12" s="1"/>
  <c r="O41" i="12" a="1"/>
  <c r="O41" i="12" s="1"/>
  <c r="P41" i="12" a="1"/>
  <c r="P41" i="12" s="1"/>
  <c r="Q41" i="12" a="1"/>
  <c r="Q41" i="12" s="1"/>
  <c r="R41" i="12" a="1"/>
  <c r="R41" i="12" s="1"/>
  <c r="U41" i="12" a="1"/>
  <c r="U41" i="12" s="1"/>
  <c r="V41" i="12" a="1"/>
  <c r="V41" i="12" s="1"/>
  <c r="W41" i="12" a="1"/>
  <c r="W41" i="12" s="1"/>
  <c r="X41" i="12" a="1"/>
  <c r="X41" i="12" s="1"/>
  <c r="K42" i="12" a="1"/>
  <c r="K42" i="12" s="1"/>
  <c r="L42" i="12" a="1"/>
  <c r="L42" i="12" s="1"/>
  <c r="M42" i="12" a="1"/>
  <c r="M42" i="12" s="1"/>
  <c r="N42" i="12" a="1"/>
  <c r="N42" i="12" s="1"/>
  <c r="O42" i="12" a="1"/>
  <c r="O42" i="12" s="1"/>
  <c r="P42" i="12" a="1"/>
  <c r="P42" i="12" s="1"/>
  <c r="Q42" i="12" a="1"/>
  <c r="Q42" i="12" s="1"/>
  <c r="R42" i="12" a="1"/>
  <c r="R42" i="12" s="1"/>
  <c r="U42" i="12" a="1"/>
  <c r="U42" i="12" s="1"/>
  <c r="V42" i="12" a="1"/>
  <c r="V42" i="12" s="1"/>
  <c r="W42" i="12" a="1"/>
  <c r="W42" i="12" s="1"/>
  <c r="X42" i="12" a="1"/>
  <c r="X42" i="12" s="1"/>
  <c r="K43" i="12" a="1"/>
  <c r="K43" i="12" s="1"/>
  <c r="L43" i="12" a="1"/>
  <c r="L43" i="12" s="1"/>
  <c r="M43" i="12" a="1"/>
  <c r="M43" i="12" s="1"/>
  <c r="N43" i="12" a="1"/>
  <c r="N43" i="12" s="1"/>
  <c r="O43" i="12" a="1"/>
  <c r="O43" i="12" s="1"/>
  <c r="P43" i="12" a="1"/>
  <c r="P43" i="12" s="1"/>
  <c r="Q43" i="12" a="1"/>
  <c r="Q43" i="12" s="1"/>
  <c r="R43" i="12" a="1"/>
  <c r="R43" i="12" s="1"/>
  <c r="U43" i="12" a="1"/>
  <c r="U43" i="12" s="1"/>
  <c r="V43" i="12" a="1"/>
  <c r="V43" i="12" s="1"/>
  <c r="W43" i="12" a="1"/>
  <c r="W43" i="12" s="1"/>
  <c r="X43" i="12" a="1"/>
  <c r="X43" i="12" s="1"/>
  <c r="K44" i="12" a="1"/>
  <c r="K44" i="12" s="1"/>
  <c r="L44" i="12" a="1"/>
  <c r="L44" i="12" s="1"/>
  <c r="M44" i="12" a="1"/>
  <c r="M44" i="12" s="1"/>
  <c r="N44" i="12" a="1"/>
  <c r="N44" i="12" s="1"/>
  <c r="O44" i="12" a="1"/>
  <c r="O44" i="12" s="1"/>
  <c r="P44" i="12" a="1"/>
  <c r="P44" i="12" s="1"/>
  <c r="Q44" i="12" a="1"/>
  <c r="Q44" i="12" s="1"/>
  <c r="R44" i="12" a="1"/>
  <c r="R44" i="12" s="1"/>
  <c r="U44" i="12" a="1"/>
  <c r="U44" i="12" s="1"/>
  <c r="V44" i="12" a="1"/>
  <c r="V44" i="12" s="1"/>
  <c r="W44" i="12" a="1"/>
  <c r="W44" i="12" s="1"/>
  <c r="X44" i="12" a="1"/>
  <c r="X44" i="12" s="1"/>
  <c r="K45" i="12" a="1"/>
  <c r="K45" i="12" s="1"/>
  <c r="L45" i="12" a="1"/>
  <c r="L45" i="12" s="1"/>
  <c r="M45" i="12" a="1"/>
  <c r="M45" i="12" s="1"/>
  <c r="N45" i="12" a="1"/>
  <c r="N45" i="12" s="1"/>
  <c r="O45" i="12" a="1"/>
  <c r="O45" i="12" s="1"/>
  <c r="P45" i="12" a="1"/>
  <c r="P45" i="12" s="1"/>
  <c r="Q45" i="12" a="1"/>
  <c r="Q45" i="12" s="1"/>
  <c r="R45" i="12" a="1"/>
  <c r="R45" i="12" s="1"/>
  <c r="U45" i="12" a="1"/>
  <c r="U45" i="12" s="1"/>
  <c r="V45" i="12" a="1"/>
  <c r="V45" i="12" s="1"/>
  <c r="W45" i="12" a="1"/>
  <c r="W45" i="12" s="1"/>
  <c r="X45" i="12" a="1"/>
  <c r="X45" i="12" s="1"/>
  <c r="K46" i="12" a="1"/>
  <c r="K46" i="12" s="1"/>
  <c r="L46" i="12" a="1"/>
  <c r="L46" i="12" s="1"/>
  <c r="M46" i="12" a="1"/>
  <c r="M46" i="12" s="1"/>
  <c r="N46" i="12" a="1"/>
  <c r="N46" i="12" s="1"/>
  <c r="O46" i="12" a="1"/>
  <c r="O46" i="12" s="1"/>
  <c r="P46" i="12" a="1"/>
  <c r="P46" i="12" s="1"/>
  <c r="Q46" i="12" a="1"/>
  <c r="Q46" i="12" s="1"/>
  <c r="R46" i="12" a="1"/>
  <c r="R46" i="12" s="1"/>
  <c r="U46" i="12" a="1"/>
  <c r="U46" i="12" s="1"/>
  <c r="V46" i="12" a="1"/>
  <c r="V46" i="12" s="1"/>
  <c r="W46" i="12" a="1"/>
  <c r="W46" i="12" s="1"/>
  <c r="X46" i="12" a="1"/>
  <c r="X46" i="12" s="1"/>
  <c r="K47" i="12" a="1"/>
  <c r="K47" i="12" s="1"/>
  <c r="L47" i="12" a="1"/>
  <c r="L47" i="12" s="1"/>
  <c r="M47" i="12" a="1"/>
  <c r="M47" i="12" s="1"/>
  <c r="N47" i="12" a="1"/>
  <c r="N47" i="12" s="1"/>
  <c r="O47" i="12" a="1"/>
  <c r="O47" i="12" s="1"/>
  <c r="P47" i="12" a="1"/>
  <c r="P47" i="12" s="1"/>
  <c r="Q47" i="12" a="1"/>
  <c r="Q47" i="12" s="1"/>
  <c r="R47" i="12" a="1"/>
  <c r="R47" i="12" s="1"/>
  <c r="U47" i="12" a="1"/>
  <c r="U47" i="12" s="1"/>
  <c r="V47" i="12" a="1"/>
  <c r="V47" i="12" s="1"/>
  <c r="W47" i="12" a="1"/>
  <c r="W47" i="12" s="1"/>
  <c r="X47" i="12" a="1"/>
  <c r="X47" i="12" s="1"/>
  <c r="K48" i="12" a="1"/>
  <c r="K48" i="12" s="1"/>
  <c r="L48" i="12" a="1"/>
  <c r="L48" i="12" s="1"/>
  <c r="M48" i="12" a="1"/>
  <c r="M48" i="12" s="1"/>
  <c r="N48" i="12" a="1"/>
  <c r="N48" i="12" s="1"/>
  <c r="O48" i="12" a="1"/>
  <c r="O48" i="12" s="1"/>
  <c r="P48" i="12" a="1"/>
  <c r="P48" i="12" s="1"/>
  <c r="Q48" i="12" a="1"/>
  <c r="Q48" i="12" s="1"/>
  <c r="R48" i="12" a="1"/>
  <c r="R48" i="12" s="1"/>
  <c r="U48" i="12" a="1"/>
  <c r="U48" i="12" s="1"/>
  <c r="V48" i="12" a="1"/>
  <c r="V48" i="12" s="1"/>
  <c r="W48" i="12" a="1"/>
  <c r="W48" i="12" s="1"/>
  <c r="X48" i="12" a="1"/>
  <c r="X48" i="12" s="1"/>
  <c r="K49" i="12" a="1"/>
  <c r="K49" i="12" s="1"/>
  <c r="L49" i="12" a="1"/>
  <c r="L49" i="12" s="1"/>
  <c r="M49" i="12" a="1"/>
  <c r="M49" i="12" s="1"/>
  <c r="N49" i="12" a="1"/>
  <c r="N49" i="12" s="1"/>
  <c r="O49" i="12" a="1"/>
  <c r="O49" i="12" s="1"/>
  <c r="P49" i="12" a="1"/>
  <c r="P49" i="12" s="1"/>
  <c r="Q49" i="12" a="1"/>
  <c r="Q49" i="12" s="1"/>
  <c r="R49" i="12" a="1"/>
  <c r="R49" i="12" s="1"/>
  <c r="U49" i="12" a="1"/>
  <c r="U49" i="12" s="1"/>
  <c r="V49" i="12" a="1"/>
  <c r="V49" i="12" s="1"/>
  <c r="W49" i="12" a="1"/>
  <c r="W49" i="12" s="1"/>
  <c r="X49" i="12" a="1"/>
  <c r="X49" i="12" s="1"/>
  <c r="K50" i="12" a="1"/>
  <c r="K50" i="12" s="1"/>
  <c r="L50" i="12" a="1"/>
  <c r="L50" i="12" s="1"/>
  <c r="M50" i="12" a="1"/>
  <c r="M50" i="12" s="1"/>
  <c r="N50" i="12" a="1"/>
  <c r="N50" i="12" s="1"/>
  <c r="O50" i="12" a="1"/>
  <c r="O50" i="12" s="1"/>
  <c r="P50" i="12" a="1"/>
  <c r="P50" i="12" s="1"/>
  <c r="Q50" i="12" a="1"/>
  <c r="Q50" i="12" s="1"/>
  <c r="R50" i="12" a="1"/>
  <c r="R50" i="12" s="1"/>
  <c r="U50" i="12" a="1"/>
  <c r="U50" i="12" s="1"/>
  <c r="V50" i="12" a="1"/>
  <c r="V50" i="12" s="1"/>
  <c r="W50" i="12" a="1"/>
  <c r="W50" i="12" s="1"/>
  <c r="X50" i="12" a="1"/>
  <c r="X50" i="12" s="1"/>
  <c r="K51" i="12" a="1"/>
  <c r="K51" i="12" s="1"/>
  <c r="L51" i="12" a="1"/>
  <c r="L51" i="12" s="1"/>
  <c r="M51" i="12" a="1"/>
  <c r="M51" i="12" s="1"/>
  <c r="N51" i="12" a="1"/>
  <c r="N51" i="12" s="1"/>
  <c r="O51" i="12" a="1"/>
  <c r="O51" i="12" s="1"/>
  <c r="P51" i="12" a="1"/>
  <c r="P51" i="12" s="1"/>
  <c r="Q51" i="12" a="1"/>
  <c r="Q51" i="12" s="1"/>
  <c r="R51" i="12" a="1"/>
  <c r="R51" i="12" s="1"/>
  <c r="U51" i="12" a="1"/>
  <c r="U51" i="12" s="1"/>
  <c r="V51" i="12" a="1"/>
  <c r="V51" i="12" s="1"/>
  <c r="W51" i="12" a="1"/>
  <c r="W51" i="12" s="1"/>
  <c r="X51" i="12" a="1"/>
  <c r="X51" i="12" s="1"/>
  <c r="K52" i="12" a="1"/>
  <c r="K52" i="12" s="1"/>
  <c r="L52" i="12" a="1"/>
  <c r="L52" i="12" s="1"/>
  <c r="M52" i="12" a="1"/>
  <c r="M52" i="12" s="1"/>
  <c r="N52" i="12" a="1"/>
  <c r="N52" i="12" s="1"/>
  <c r="O52" i="12" a="1"/>
  <c r="O52" i="12" s="1"/>
  <c r="P52" i="12" a="1"/>
  <c r="P52" i="12" s="1"/>
  <c r="Q52" i="12" a="1"/>
  <c r="Q52" i="12" s="1"/>
  <c r="R52" i="12" a="1"/>
  <c r="R52" i="12" s="1"/>
  <c r="U52" i="12" a="1"/>
  <c r="U52" i="12" s="1"/>
  <c r="V52" i="12" a="1"/>
  <c r="V52" i="12" s="1"/>
  <c r="W52" i="12" a="1"/>
  <c r="W52" i="12" s="1"/>
  <c r="X52" i="12" a="1"/>
  <c r="X52" i="12" s="1"/>
  <c r="K53" i="12" a="1"/>
  <c r="K53" i="12" s="1"/>
  <c r="L53" i="12" a="1"/>
  <c r="L53" i="12" s="1"/>
  <c r="M53" i="12" a="1"/>
  <c r="M53" i="12" s="1"/>
  <c r="N53" i="12" a="1"/>
  <c r="N53" i="12" s="1"/>
  <c r="O53" i="12" a="1"/>
  <c r="O53" i="12" s="1"/>
  <c r="P53" i="12" a="1"/>
  <c r="P53" i="12" s="1"/>
  <c r="Q53" i="12" a="1"/>
  <c r="Q53" i="12" s="1"/>
  <c r="R53" i="12" a="1"/>
  <c r="R53" i="12" s="1"/>
  <c r="U53" i="12" a="1"/>
  <c r="U53" i="12" s="1"/>
  <c r="V53" i="12" a="1"/>
  <c r="V53" i="12" s="1"/>
  <c r="W53" i="12" a="1"/>
  <c r="W53" i="12" s="1"/>
  <c r="X53" i="12" a="1"/>
  <c r="X53" i="12" s="1"/>
  <c r="K54" i="12" a="1"/>
  <c r="K54" i="12" s="1"/>
  <c r="L54" i="12" a="1"/>
  <c r="L54" i="12" s="1"/>
  <c r="M54" i="12" a="1"/>
  <c r="M54" i="12" s="1"/>
  <c r="N54" i="12" a="1"/>
  <c r="N54" i="12" s="1"/>
  <c r="O54" i="12" a="1"/>
  <c r="O54" i="12" s="1"/>
  <c r="P54" i="12" a="1"/>
  <c r="P54" i="12" s="1"/>
  <c r="Q54" i="12" a="1"/>
  <c r="Q54" i="12" s="1"/>
  <c r="R54" i="12" a="1"/>
  <c r="R54" i="12" s="1"/>
  <c r="U54" i="12" a="1"/>
  <c r="U54" i="12" s="1"/>
  <c r="V54" i="12" a="1"/>
  <c r="V54" i="12" s="1"/>
  <c r="W54" i="12" a="1"/>
  <c r="W54" i="12" s="1"/>
  <c r="X54" i="12" a="1"/>
  <c r="X54" i="12" s="1"/>
  <c r="K55" i="12" a="1"/>
  <c r="K55" i="12" s="1"/>
  <c r="L55" i="12" a="1"/>
  <c r="L55" i="12" s="1"/>
  <c r="M55" i="12" a="1"/>
  <c r="M55" i="12" s="1"/>
  <c r="N55" i="12" a="1"/>
  <c r="N55" i="12" s="1"/>
  <c r="O55" i="12" a="1"/>
  <c r="O55" i="12" s="1"/>
  <c r="P55" i="12" a="1"/>
  <c r="P55" i="12" s="1"/>
  <c r="Q55" i="12" a="1"/>
  <c r="Q55" i="12" s="1"/>
  <c r="R55" i="12" a="1"/>
  <c r="R55" i="12" s="1"/>
  <c r="U55" i="12" a="1"/>
  <c r="U55" i="12" s="1"/>
  <c r="V55" i="12" a="1"/>
  <c r="V55" i="12" s="1"/>
  <c r="W55" i="12" a="1"/>
  <c r="W55" i="12" s="1"/>
  <c r="X55" i="12" a="1"/>
  <c r="X55" i="12" s="1"/>
  <c r="K56" i="12" a="1"/>
  <c r="K56" i="12" s="1"/>
  <c r="L56" i="12" a="1"/>
  <c r="L56" i="12" s="1"/>
  <c r="M56" i="12" a="1"/>
  <c r="M56" i="12" s="1"/>
  <c r="N56" i="12" a="1"/>
  <c r="N56" i="12" s="1"/>
  <c r="O56" i="12" a="1"/>
  <c r="O56" i="12" s="1"/>
  <c r="P56" i="12" a="1"/>
  <c r="P56" i="12" s="1"/>
  <c r="Q56" i="12" a="1"/>
  <c r="Q56" i="12" s="1"/>
  <c r="R56" i="12" a="1"/>
  <c r="R56" i="12" s="1"/>
  <c r="U56" i="12" a="1"/>
  <c r="U56" i="12" s="1"/>
  <c r="V56" i="12" a="1"/>
  <c r="V56" i="12" s="1"/>
  <c r="W56" i="12" a="1"/>
  <c r="W56" i="12" s="1"/>
  <c r="X56" i="12" a="1"/>
  <c r="X56" i="12" s="1"/>
  <c r="K57" i="12" a="1"/>
  <c r="K57" i="12" s="1"/>
  <c r="L57" i="12" a="1"/>
  <c r="L57" i="12" s="1"/>
  <c r="M57" i="12" a="1"/>
  <c r="M57" i="12" s="1"/>
  <c r="N57" i="12" a="1"/>
  <c r="N57" i="12" s="1"/>
  <c r="O57" i="12" a="1"/>
  <c r="O57" i="12" s="1"/>
  <c r="P57" i="12" a="1"/>
  <c r="P57" i="12" s="1"/>
  <c r="Q57" i="12" a="1"/>
  <c r="Q57" i="12" s="1"/>
  <c r="R57" i="12" a="1"/>
  <c r="R57" i="12" s="1"/>
  <c r="U57" i="12" a="1"/>
  <c r="U57" i="12" s="1"/>
  <c r="V57" i="12" a="1"/>
  <c r="V57" i="12" s="1"/>
  <c r="W57" i="12" a="1"/>
  <c r="W57" i="12" s="1"/>
  <c r="X57" i="12" a="1"/>
  <c r="X57" i="12" s="1"/>
  <c r="K58" i="12" a="1"/>
  <c r="K58" i="12" s="1"/>
  <c r="L58" i="12" a="1"/>
  <c r="L58" i="12" s="1"/>
  <c r="M58" i="12" a="1"/>
  <c r="M58" i="12" s="1"/>
  <c r="N58" i="12" a="1"/>
  <c r="N58" i="12" s="1"/>
  <c r="O58" i="12" a="1"/>
  <c r="O58" i="12" s="1"/>
  <c r="P58" i="12" a="1"/>
  <c r="P58" i="12" s="1"/>
  <c r="Q58" i="12" a="1"/>
  <c r="Q58" i="12" s="1"/>
  <c r="R58" i="12" a="1"/>
  <c r="R58" i="12" s="1"/>
  <c r="U58" i="12" a="1"/>
  <c r="U58" i="12" s="1"/>
  <c r="V58" i="12" a="1"/>
  <c r="V58" i="12" s="1"/>
  <c r="W58" i="12" a="1"/>
  <c r="W58" i="12" s="1"/>
  <c r="X58" i="12" a="1"/>
  <c r="X58" i="12" s="1"/>
  <c r="K59" i="12" a="1"/>
  <c r="K59" i="12" s="1"/>
  <c r="L59" i="12" a="1"/>
  <c r="L59" i="12" s="1"/>
  <c r="M59" i="12" a="1"/>
  <c r="M59" i="12" s="1"/>
  <c r="N59" i="12" a="1"/>
  <c r="N59" i="12" s="1"/>
  <c r="O59" i="12" a="1"/>
  <c r="O59" i="12" s="1"/>
  <c r="P59" i="12" a="1"/>
  <c r="P59" i="12" s="1"/>
  <c r="Q59" i="12" a="1"/>
  <c r="Q59" i="12" s="1"/>
  <c r="R59" i="12" a="1"/>
  <c r="R59" i="12" s="1"/>
  <c r="U59" i="12" a="1"/>
  <c r="U59" i="12" s="1"/>
  <c r="V59" i="12" a="1"/>
  <c r="V59" i="12" s="1"/>
  <c r="W59" i="12" a="1"/>
  <c r="W59" i="12" s="1"/>
  <c r="X59" i="12" a="1"/>
  <c r="X59" i="12" s="1"/>
  <c r="K60" i="12" a="1"/>
  <c r="K60" i="12" s="1"/>
  <c r="L60" i="12" a="1"/>
  <c r="L60" i="12" s="1"/>
  <c r="M60" i="12" a="1"/>
  <c r="M60" i="12" s="1"/>
  <c r="N60" i="12" a="1"/>
  <c r="N60" i="12" s="1"/>
  <c r="O60" i="12" a="1"/>
  <c r="O60" i="12" s="1"/>
  <c r="P60" i="12" a="1"/>
  <c r="P60" i="12" s="1"/>
  <c r="Q60" i="12" a="1"/>
  <c r="Q60" i="12" s="1"/>
  <c r="R60" i="12" a="1"/>
  <c r="R60" i="12" s="1"/>
  <c r="U60" i="12" a="1"/>
  <c r="U60" i="12" s="1"/>
  <c r="V60" i="12" a="1"/>
  <c r="V60" i="12" s="1"/>
  <c r="W60" i="12" a="1"/>
  <c r="W60" i="12" s="1"/>
  <c r="X60" i="12" a="1"/>
  <c r="X60" i="12" s="1"/>
  <c r="K61" i="12" a="1"/>
  <c r="K61" i="12" s="1"/>
  <c r="L61" i="12" a="1"/>
  <c r="L61" i="12" s="1"/>
  <c r="M61" i="12" a="1"/>
  <c r="M61" i="12" s="1"/>
  <c r="N61" i="12" a="1"/>
  <c r="N61" i="12" s="1"/>
  <c r="O61" i="12" a="1"/>
  <c r="O61" i="12" s="1"/>
  <c r="P61" i="12" a="1"/>
  <c r="P61" i="12" s="1"/>
  <c r="Q61" i="12" a="1"/>
  <c r="Q61" i="12" s="1"/>
  <c r="R61" i="12" a="1"/>
  <c r="R61" i="12" s="1"/>
  <c r="U61" i="12" a="1"/>
  <c r="U61" i="12" s="1"/>
  <c r="V61" i="12" a="1"/>
  <c r="V61" i="12" s="1"/>
  <c r="W61" i="12" a="1"/>
  <c r="W61" i="12" s="1"/>
  <c r="X61" i="12" a="1"/>
  <c r="X61" i="12" s="1"/>
  <c r="K62" i="12" a="1"/>
  <c r="K62" i="12" s="1"/>
  <c r="L62" i="12" a="1"/>
  <c r="L62" i="12" s="1"/>
  <c r="M62" i="12" a="1"/>
  <c r="M62" i="12" s="1"/>
  <c r="N62" i="12" a="1"/>
  <c r="N62" i="12" s="1"/>
  <c r="O62" i="12" a="1"/>
  <c r="O62" i="12" s="1"/>
  <c r="P62" i="12" a="1"/>
  <c r="P62" i="12" s="1"/>
  <c r="Q62" i="12" a="1"/>
  <c r="Q62" i="12" s="1"/>
  <c r="R62" i="12" a="1"/>
  <c r="R62" i="12" s="1"/>
  <c r="U62" i="12" a="1"/>
  <c r="U62" i="12" s="1"/>
  <c r="V62" i="12" a="1"/>
  <c r="V62" i="12" s="1"/>
  <c r="W62" i="12" a="1"/>
  <c r="W62" i="12" s="1"/>
  <c r="X62" i="12" a="1"/>
  <c r="X62" i="12" s="1"/>
  <c r="K63" i="12" a="1"/>
  <c r="K63" i="12" s="1"/>
  <c r="L63" i="12" a="1"/>
  <c r="L63" i="12" s="1"/>
  <c r="M63" i="12" a="1"/>
  <c r="M63" i="12" s="1"/>
  <c r="N63" i="12" a="1"/>
  <c r="N63" i="12" s="1"/>
  <c r="O63" i="12" a="1"/>
  <c r="O63" i="12" s="1"/>
  <c r="P63" i="12" a="1"/>
  <c r="P63" i="12" s="1"/>
  <c r="Q63" i="12" a="1"/>
  <c r="Q63" i="12" s="1"/>
  <c r="R63" i="12" a="1"/>
  <c r="R63" i="12" s="1"/>
  <c r="U63" i="12" a="1"/>
  <c r="U63" i="12" s="1"/>
  <c r="V63" i="12" a="1"/>
  <c r="V63" i="12" s="1"/>
  <c r="W63" i="12" a="1"/>
  <c r="W63" i="12" s="1"/>
  <c r="X63" i="12" a="1"/>
  <c r="X63" i="12" s="1"/>
  <c r="K64" i="12" a="1"/>
  <c r="K64" i="12" s="1"/>
  <c r="L64" i="12" a="1"/>
  <c r="L64" i="12" s="1"/>
  <c r="M64" i="12" a="1"/>
  <c r="M64" i="12" s="1"/>
  <c r="N64" i="12" a="1"/>
  <c r="N64" i="12" s="1"/>
  <c r="O64" i="12" a="1"/>
  <c r="O64" i="12" s="1"/>
  <c r="P64" i="12" a="1"/>
  <c r="P64" i="12" s="1"/>
  <c r="Q64" i="12" a="1"/>
  <c r="Q64" i="12" s="1"/>
  <c r="R64" i="12" a="1"/>
  <c r="R64" i="12" s="1"/>
  <c r="U64" i="12" a="1"/>
  <c r="U64" i="12" s="1"/>
  <c r="V64" i="12" a="1"/>
  <c r="V64" i="12" s="1"/>
  <c r="W64" i="12" a="1"/>
  <c r="W64" i="12" s="1"/>
  <c r="X64" i="12" a="1"/>
  <c r="X64" i="12" s="1"/>
  <c r="K65" i="12" a="1"/>
  <c r="K65" i="12" s="1"/>
  <c r="L65" i="12" a="1"/>
  <c r="L65" i="12" s="1"/>
  <c r="M65" i="12" a="1"/>
  <c r="M65" i="12" s="1"/>
  <c r="N65" i="12" a="1"/>
  <c r="N65" i="12" s="1"/>
  <c r="O65" i="12" a="1"/>
  <c r="O65" i="12" s="1"/>
  <c r="P65" i="12" a="1"/>
  <c r="P65" i="12" s="1"/>
  <c r="Q65" i="12" a="1"/>
  <c r="Q65" i="12" s="1"/>
  <c r="R65" i="12" a="1"/>
  <c r="R65" i="12" s="1"/>
  <c r="U65" i="12" a="1"/>
  <c r="U65" i="12" s="1"/>
  <c r="V65" i="12" a="1"/>
  <c r="V65" i="12" s="1"/>
  <c r="W65" i="12" a="1"/>
  <c r="W65" i="12" s="1"/>
  <c r="X65" i="12" a="1"/>
  <c r="X65" i="12" s="1"/>
  <c r="K66" i="12" a="1"/>
  <c r="K66" i="12" s="1"/>
  <c r="L66" i="12" a="1"/>
  <c r="L66" i="12" s="1"/>
  <c r="M66" i="12" a="1"/>
  <c r="M66" i="12" s="1"/>
  <c r="N66" i="12" a="1"/>
  <c r="N66" i="12" s="1"/>
  <c r="O66" i="12" a="1"/>
  <c r="O66" i="12" s="1"/>
  <c r="P66" i="12" a="1"/>
  <c r="P66" i="12" s="1"/>
  <c r="Q66" i="12" a="1"/>
  <c r="Q66" i="12" s="1"/>
  <c r="R66" i="12" a="1"/>
  <c r="R66" i="12" s="1"/>
  <c r="U66" i="12" a="1"/>
  <c r="U66" i="12" s="1"/>
  <c r="V66" i="12" a="1"/>
  <c r="V66" i="12" s="1"/>
  <c r="W66" i="12" a="1"/>
  <c r="W66" i="12" s="1"/>
  <c r="X66" i="12" a="1"/>
  <c r="X66" i="12" s="1"/>
  <c r="K67" i="12" a="1"/>
  <c r="K67" i="12" s="1"/>
  <c r="L67" i="12" a="1"/>
  <c r="L67" i="12" s="1"/>
  <c r="M67" i="12" a="1"/>
  <c r="M67" i="12" s="1"/>
  <c r="N67" i="12" a="1"/>
  <c r="N67" i="12" s="1"/>
  <c r="O67" i="12" a="1"/>
  <c r="O67" i="12" s="1"/>
  <c r="P67" i="12" a="1"/>
  <c r="P67" i="12" s="1"/>
  <c r="Q67" i="12" a="1"/>
  <c r="Q67" i="12" s="1"/>
  <c r="R67" i="12" a="1"/>
  <c r="R67" i="12" s="1"/>
  <c r="U67" i="12" a="1"/>
  <c r="U67" i="12" s="1"/>
  <c r="V67" i="12" a="1"/>
  <c r="V67" i="12" s="1"/>
  <c r="W67" i="12" a="1"/>
  <c r="W67" i="12" s="1"/>
  <c r="X67" i="12" a="1"/>
  <c r="X67" i="12" s="1"/>
  <c r="K68" i="12" a="1"/>
  <c r="K68" i="12" s="1"/>
  <c r="L68" i="12" a="1"/>
  <c r="L68" i="12" s="1"/>
  <c r="M68" i="12" a="1"/>
  <c r="M68" i="12" s="1"/>
  <c r="N68" i="12" a="1"/>
  <c r="N68" i="12" s="1"/>
  <c r="O68" i="12" a="1"/>
  <c r="O68" i="12" s="1"/>
  <c r="P68" i="12" a="1"/>
  <c r="P68" i="12" s="1"/>
  <c r="Q68" i="12" a="1"/>
  <c r="Q68" i="12" s="1"/>
  <c r="R68" i="12" a="1"/>
  <c r="R68" i="12" s="1"/>
  <c r="U68" i="12" a="1"/>
  <c r="U68" i="12" s="1"/>
  <c r="V68" i="12" a="1"/>
  <c r="V68" i="12" s="1"/>
  <c r="W68" i="12" a="1"/>
  <c r="W68" i="12" s="1"/>
  <c r="X68" i="12" a="1"/>
  <c r="X68" i="12" s="1"/>
  <c r="K69" i="12" a="1"/>
  <c r="K69" i="12" s="1"/>
  <c r="L69" i="12" a="1"/>
  <c r="L69" i="12" s="1"/>
  <c r="M69" i="12" a="1"/>
  <c r="M69" i="12" s="1"/>
  <c r="N69" i="12" a="1"/>
  <c r="N69" i="12" s="1"/>
  <c r="O69" i="12" a="1"/>
  <c r="O69" i="12" s="1"/>
  <c r="P69" i="12" a="1"/>
  <c r="P69" i="12" s="1"/>
  <c r="Q69" i="12" a="1"/>
  <c r="Q69" i="12" s="1"/>
  <c r="R69" i="12" a="1"/>
  <c r="R69" i="12" s="1"/>
  <c r="U69" i="12" a="1"/>
  <c r="U69" i="12" s="1"/>
  <c r="V69" i="12" a="1"/>
  <c r="V69" i="12" s="1"/>
  <c r="W69" i="12" a="1"/>
  <c r="W69" i="12" s="1"/>
  <c r="X69" i="12" a="1"/>
  <c r="X69" i="12" s="1"/>
  <c r="K70" i="12" a="1"/>
  <c r="K70" i="12" s="1"/>
  <c r="L70" i="12" a="1"/>
  <c r="L70" i="12" s="1"/>
  <c r="M70" i="12" a="1"/>
  <c r="M70" i="12" s="1"/>
  <c r="N70" i="12" a="1"/>
  <c r="N70" i="12" s="1"/>
  <c r="O70" i="12" a="1"/>
  <c r="O70" i="12" s="1"/>
  <c r="P70" i="12" a="1"/>
  <c r="P70" i="12" s="1"/>
  <c r="Q70" i="12" a="1"/>
  <c r="Q70" i="12" s="1"/>
  <c r="R70" i="12" a="1"/>
  <c r="R70" i="12" s="1"/>
  <c r="U70" i="12" a="1"/>
  <c r="U70" i="12" s="1"/>
  <c r="V70" i="12" a="1"/>
  <c r="V70" i="12" s="1"/>
  <c r="W70" i="12" a="1"/>
  <c r="W70" i="12" s="1"/>
  <c r="X70" i="12" a="1"/>
  <c r="X70" i="12" s="1"/>
  <c r="K71" i="12" a="1"/>
  <c r="K71" i="12" s="1"/>
  <c r="L71" i="12" a="1"/>
  <c r="L71" i="12" s="1"/>
  <c r="M71" i="12" a="1"/>
  <c r="M71" i="12" s="1"/>
  <c r="N71" i="12" a="1"/>
  <c r="N71" i="12" s="1"/>
  <c r="O71" i="12" a="1"/>
  <c r="O71" i="12" s="1"/>
  <c r="P71" i="12" a="1"/>
  <c r="P71" i="12" s="1"/>
  <c r="Q71" i="12" a="1"/>
  <c r="Q71" i="12" s="1"/>
  <c r="R71" i="12" a="1"/>
  <c r="R71" i="12" s="1"/>
  <c r="U71" i="12" a="1"/>
  <c r="U71" i="12" s="1"/>
  <c r="V71" i="12" a="1"/>
  <c r="V71" i="12" s="1"/>
  <c r="W71" i="12" a="1"/>
  <c r="W71" i="12" s="1"/>
  <c r="X71" i="12" a="1"/>
  <c r="X71" i="12" s="1"/>
  <c r="K72" i="12" a="1"/>
  <c r="K72" i="12" s="1"/>
  <c r="L72" i="12" a="1"/>
  <c r="L72" i="12" s="1"/>
  <c r="M72" i="12" a="1"/>
  <c r="M72" i="12" s="1"/>
  <c r="N72" i="12" a="1"/>
  <c r="N72" i="12" s="1"/>
  <c r="O72" i="12" a="1"/>
  <c r="O72" i="12" s="1"/>
  <c r="P72" i="12" a="1"/>
  <c r="P72" i="12" s="1"/>
  <c r="Q72" i="12" a="1"/>
  <c r="Q72" i="12" s="1"/>
  <c r="R72" i="12" a="1"/>
  <c r="R72" i="12" s="1"/>
  <c r="U72" i="12" a="1"/>
  <c r="U72" i="12" s="1"/>
  <c r="V72" i="12" a="1"/>
  <c r="V72" i="12" s="1"/>
  <c r="W72" i="12" a="1"/>
  <c r="W72" i="12" s="1"/>
  <c r="X72" i="12" a="1"/>
  <c r="X72" i="12" s="1"/>
  <c r="K73" i="12" a="1"/>
  <c r="K73" i="12" s="1"/>
  <c r="L73" i="12" a="1"/>
  <c r="L73" i="12" s="1"/>
  <c r="M73" i="12" a="1"/>
  <c r="M73" i="12" s="1"/>
  <c r="N73" i="12" a="1"/>
  <c r="N73" i="12" s="1"/>
  <c r="O73" i="12" a="1"/>
  <c r="O73" i="12" s="1"/>
  <c r="P73" i="12" a="1"/>
  <c r="P73" i="12" s="1"/>
  <c r="Q73" i="12" a="1"/>
  <c r="Q73" i="12" s="1"/>
  <c r="R73" i="12" a="1"/>
  <c r="R73" i="12" s="1"/>
  <c r="U73" i="12" a="1"/>
  <c r="U73" i="12" s="1"/>
  <c r="V73" i="12" a="1"/>
  <c r="V73" i="12" s="1"/>
  <c r="W73" i="12" a="1"/>
  <c r="W73" i="12" s="1"/>
  <c r="X73" i="12" a="1"/>
  <c r="X73" i="12" s="1"/>
  <c r="K74" i="12" a="1"/>
  <c r="K74" i="12" s="1"/>
  <c r="L74" i="12" a="1"/>
  <c r="L74" i="12" s="1"/>
  <c r="M74" i="12" a="1"/>
  <c r="M74" i="12" s="1"/>
  <c r="N74" i="12" a="1"/>
  <c r="N74" i="12" s="1"/>
  <c r="O74" i="12" a="1"/>
  <c r="O74" i="12" s="1"/>
  <c r="P74" i="12" a="1"/>
  <c r="P74" i="12" s="1"/>
  <c r="Q74" i="12" a="1"/>
  <c r="Q74" i="12" s="1"/>
  <c r="R74" i="12" a="1"/>
  <c r="R74" i="12" s="1"/>
  <c r="U74" i="12" a="1"/>
  <c r="U74" i="12" s="1"/>
  <c r="V74" i="12" a="1"/>
  <c r="V74" i="12" s="1"/>
  <c r="W74" i="12" a="1"/>
  <c r="W74" i="12" s="1"/>
  <c r="X74" i="12" a="1"/>
  <c r="X74" i="12" s="1"/>
  <c r="K75" i="12" a="1"/>
  <c r="K75" i="12" s="1"/>
  <c r="L75" i="12" a="1"/>
  <c r="L75" i="12" s="1"/>
  <c r="M75" i="12" a="1"/>
  <c r="M75" i="12" s="1"/>
  <c r="N75" i="12" a="1"/>
  <c r="N75" i="12" s="1"/>
  <c r="O75" i="12" a="1"/>
  <c r="O75" i="12" s="1"/>
  <c r="P75" i="12" a="1"/>
  <c r="P75" i="12" s="1"/>
  <c r="Q75" i="12" a="1"/>
  <c r="Q75" i="12" s="1"/>
  <c r="R75" i="12" a="1"/>
  <c r="R75" i="12" s="1"/>
  <c r="U75" i="12" a="1"/>
  <c r="U75" i="12" s="1"/>
  <c r="V75" i="12" a="1"/>
  <c r="V75" i="12" s="1"/>
  <c r="W75" i="12" a="1"/>
  <c r="W75" i="12" s="1"/>
  <c r="X75" i="12" a="1"/>
  <c r="X75" i="12" s="1"/>
  <c r="K76" i="12" a="1"/>
  <c r="K76" i="12" s="1"/>
  <c r="L76" i="12" a="1"/>
  <c r="L76" i="12" s="1"/>
  <c r="M76" i="12" a="1"/>
  <c r="M76" i="12" s="1"/>
  <c r="N76" i="12" a="1"/>
  <c r="N76" i="12" s="1"/>
  <c r="O76" i="12" a="1"/>
  <c r="O76" i="12" s="1"/>
  <c r="P76" i="12" a="1"/>
  <c r="P76" i="12" s="1"/>
  <c r="Q76" i="12" a="1"/>
  <c r="Q76" i="12" s="1"/>
  <c r="R76" i="12" a="1"/>
  <c r="R76" i="12" s="1"/>
  <c r="U76" i="12" a="1"/>
  <c r="U76" i="12" s="1"/>
  <c r="V76" i="12" a="1"/>
  <c r="V76" i="12" s="1"/>
  <c r="W76" i="12" a="1"/>
  <c r="W76" i="12" s="1"/>
  <c r="X76" i="12" a="1"/>
  <c r="X76" i="12" s="1"/>
  <c r="K77" i="12" a="1"/>
  <c r="K77" i="12" s="1"/>
  <c r="L77" i="12" a="1"/>
  <c r="L77" i="12" s="1"/>
  <c r="M77" i="12" a="1"/>
  <c r="M77" i="12" s="1"/>
  <c r="N77" i="12" a="1"/>
  <c r="N77" i="12" s="1"/>
  <c r="O77" i="12" a="1"/>
  <c r="O77" i="12" s="1"/>
  <c r="P77" i="12" a="1"/>
  <c r="P77" i="12" s="1"/>
  <c r="Q77" i="12" a="1"/>
  <c r="Q77" i="12" s="1"/>
  <c r="R77" i="12" a="1"/>
  <c r="R77" i="12" s="1"/>
  <c r="U77" i="12" a="1"/>
  <c r="U77" i="12" s="1"/>
  <c r="V77" i="12" a="1"/>
  <c r="V77" i="12" s="1"/>
  <c r="W77" i="12" a="1"/>
  <c r="W77" i="12" s="1"/>
  <c r="X77" i="12" a="1"/>
  <c r="X77" i="12" s="1"/>
  <c r="K78" i="12" a="1"/>
  <c r="K78" i="12" s="1"/>
  <c r="L78" i="12" a="1"/>
  <c r="L78" i="12" s="1"/>
  <c r="M78" i="12" a="1"/>
  <c r="M78" i="12" s="1"/>
  <c r="N78" i="12" a="1"/>
  <c r="N78" i="12" s="1"/>
  <c r="O78" i="12" a="1"/>
  <c r="O78" i="12" s="1"/>
  <c r="P78" i="12" a="1"/>
  <c r="P78" i="12" s="1"/>
  <c r="Q78" i="12" a="1"/>
  <c r="Q78" i="12" s="1"/>
  <c r="R78" i="12" a="1"/>
  <c r="R78" i="12" s="1"/>
  <c r="U78" i="12" a="1"/>
  <c r="U78" i="12" s="1"/>
  <c r="V78" i="12" a="1"/>
  <c r="V78" i="12" s="1"/>
  <c r="W78" i="12" a="1"/>
  <c r="W78" i="12" s="1"/>
  <c r="X78" i="12" a="1"/>
  <c r="X78" i="12" s="1"/>
  <c r="K79" i="12" a="1"/>
  <c r="K79" i="12" s="1"/>
  <c r="L79" i="12" a="1"/>
  <c r="L79" i="12" s="1"/>
  <c r="M79" i="12" a="1"/>
  <c r="M79" i="12" s="1"/>
  <c r="N79" i="12" a="1"/>
  <c r="N79" i="12" s="1"/>
  <c r="O79" i="12" a="1"/>
  <c r="O79" i="12" s="1"/>
  <c r="P79" i="12" a="1"/>
  <c r="P79" i="12" s="1"/>
  <c r="Q79" i="12" a="1"/>
  <c r="Q79" i="12" s="1"/>
  <c r="R79" i="12" a="1"/>
  <c r="R79" i="12" s="1"/>
  <c r="U79" i="12" a="1"/>
  <c r="U79" i="12" s="1"/>
  <c r="V79" i="12" a="1"/>
  <c r="V79" i="12" s="1"/>
  <c r="W79" i="12" a="1"/>
  <c r="W79" i="12" s="1"/>
  <c r="X79" i="12" a="1"/>
  <c r="X79" i="12" s="1"/>
  <c r="K80" i="12" a="1"/>
  <c r="K80" i="12" s="1"/>
  <c r="L80" i="12" a="1"/>
  <c r="L80" i="12" s="1"/>
  <c r="M80" i="12" a="1"/>
  <c r="M80" i="12" s="1"/>
  <c r="N80" i="12" a="1"/>
  <c r="N80" i="12" s="1"/>
  <c r="O80" i="12" a="1"/>
  <c r="O80" i="12" s="1"/>
  <c r="P80" i="12" a="1"/>
  <c r="P80" i="12" s="1"/>
  <c r="Q80" i="12" a="1"/>
  <c r="Q80" i="12" s="1"/>
  <c r="R80" i="12" a="1"/>
  <c r="R80" i="12" s="1"/>
  <c r="U80" i="12" a="1"/>
  <c r="U80" i="12" s="1"/>
  <c r="V80" i="12" a="1"/>
  <c r="V80" i="12" s="1"/>
  <c r="W80" i="12" a="1"/>
  <c r="W80" i="12" s="1"/>
  <c r="X80" i="12" a="1"/>
  <c r="X80" i="12" s="1"/>
  <c r="K81" i="12" a="1"/>
  <c r="K81" i="12" s="1"/>
  <c r="L81" i="12" a="1"/>
  <c r="L81" i="12" s="1"/>
  <c r="M81" i="12" a="1"/>
  <c r="M81" i="12" s="1"/>
  <c r="N81" i="12" a="1"/>
  <c r="N81" i="12" s="1"/>
  <c r="O81" i="12" a="1"/>
  <c r="O81" i="12" s="1"/>
  <c r="P81" i="12" a="1"/>
  <c r="P81" i="12" s="1"/>
  <c r="Q81" i="12" a="1"/>
  <c r="Q81" i="12" s="1"/>
  <c r="R81" i="12" a="1"/>
  <c r="R81" i="12" s="1"/>
  <c r="U81" i="12" a="1"/>
  <c r="U81" i="12" s="1"/>
  <c r="V81" i="12" a="1"/>
  <c r="V81" i="12" s="1"/>
  <c r="W81" i="12" a="1"/>
  <c r="W81" i="12" s="1"/>
  <c r="X81" i="12" a="1"/>
  <c r="X81" i="12" s="1"/>
  <c r="K82" i="12" a="1"/>
  <c r="K82" i="12" s="1"/>
  <c r="L82" i="12" a="1"/>
  <c r="L82" i="12" s="1"/>
  <c r="M82" i="12" a="1"/>
  <c r="M82" i="12" s="1"/>
  <c r="N82" i="12" a="1"/>
  <c r="N82" i="12" s="1"/>
  <c r="O82" i="12" a="1"/>
  <c r="O82" i="12" s="1"/>
  <c r="P82" i="12" a="1"/>
  <c r="P82" i="12" s="1"/>
  <c r="Q82" i="12" a="1"/>
  <c r="Q82" i="12" s="1"/>
  <c r="R82" i="12" a="1"/>
  <c r="R82" i="12" s="1"/>
  <c r="U82" i="12" a="1"/>
  <c r="U82" i="12" s="1"/>
  <c r="V82" i="12" a="1"/>
  <c r="V82" i="12" s="1"/>
  <c r="W82" i="12" a="1"/>
  <c r="W82" i="12" s="1"/>
  <c r="X82" i="12" a="1"/>
  <c r="X82" i="12" s="1"/>
  <c r="K83" i="12" a="1"/>
  <c r="K83" i="12" s="1"/>
  <c r="L83" i="12" a="1"/>
  <c r="L83" i="12" s="1"/>
  <c r="M83" i="12" a="1"/>
  <c r="M83" i="12" s="1"/>
  <c r="N83" i="12" a="1"/>
  <c r="N83" i="12" s="1"/>
  <c r="O83" i="12" a="1"/>
  <c r="O83" i="12" s="1"/>
  <c r="P83" i="12" a="1"/>
  <c r="P83" i="12" s="1"/>
  <c r="Q83" i="12" a="1"/>
  <c r="Q83" i="12" s="1"/>
  <c r="R83" i="12" a="1"/>
  <c r="R83" i="12" s="1"/>
  <c r="U83" i="12" a="1"/>
  <c r="U83" i="12" s="1"/>
  <c r="V83" i="12" a="1"/>
  <c r="V83" i="12" s="1"/>
  <c r="W83" i="12" a="1"/>
  <c r="W83" i="12" s="1"/>
  <c r="X83" i="12" a="1"/>
  <c r="X83" i="12" s="1"/>
  <c r="K84" i="12" a="1"/>
  <c r="K84" i="12" s="1"/>
  <c r="L84" i="12" a="1"/>
  <c r="L84" i="12" s="1"/>
  <c r="M84" i="12" a="1"/>
  <c r="M84" i="12" s="1"/>
  <c r="N84" i="12" a="1"/>
  <c r="N84" i="12" s="1"/>
  <c r="O84" i="12" a="1"/>
  <c r="O84" i="12" s="1"/>
  <c r="P84" i="12" a="1"/>
  <c r="P84" i="12" s="1"/>
  <c r="Q84" i="12" a="1"/>
  <c r="Q84" i="12" s="1"/>
  <c r="R84" i="12" a="1"/>
  <c r="R84" i="12" s="1"/>
  <c r="U84" i="12" a="1"/>
  <c r="U84" i="12" s="1"/>
  <c r="V84" i="12" a="1"/>
  <c r="V84" i="12" s="1"/>
  <c r="W84" i="12" a="1"/>
  <c r="W84" i="12" s="1"/>
  <c r="X84" i="12" a="1"/>
  <c r="X84" i="12" s="1"/>
  <c r="K85" i="12" a="1"/>
  <c r="K85" i="12" s="1"/>
  <c r="L85" i="12" a="1"/>
  <c r="L85" i="12" s="1"/>
  <c r="M85" i="12" a="1"/>
  <c r="M85" i="12" s="1"/>
  <c r="N85" i="12" a="1"/>
  <c r="N85" i="12" s="1"/>
  <c r="O85" i="12" a="1"/>
  <c r="O85" i="12" s="1"/>
  <c r="P85" i="12" a="1"/>
  <c r="P85" i="12" s="1"/>
  <c r="Q85" i="12" a="1"/>
  <c r="Q85" i="12" s="1"/>
  <c r="R85" i="12" a="1"/>
  <c r="R85" i="12" s="1"/>
  <c r="U85" i="12" a="1"/>
  <c r="U85" i="12" s="1"/>
  <c r="V85" i="12" a="1"/>
  <c r="V85" i="12" s="1"/>
  <c r="W85" i="12" a="1"/>
  <c r="W85" i="12" s="1"/>
  <c r="X85" i="12" a="1"/>
  <c r="X85" i="12" s="1"/>
  <c r="K86" i="12" a="1"/>
  <c r="K86" i="12" s="1"/>
  <c r="L86" i="12" a="1"/>
  <c r="L86" i="12" s="1"/>
  <c r="M86" i="12" a="1"/>
  <c r="M86" i="12" s="1"/>
  <c r="N86" i="12" a="1"/>
  <c r="N86" i="12" s="1"/>
  <c r="O86" i="12" a="1"/>
  <c r="O86" i="12" s="1"/>
  <c r="P86" i="12" a="1"/>
  <c r="P86" i="12" s="1"/>
  <c r="Q86" i="12" a="1"/>
  <c r="Q86" i="12" s="1"/>
  <c r="R86" i="12" a="1"/>
  <c r="R86" i="12" s="1"/>
  <c r="U86" i="12" a="1"/>
  <c r="U86" i="12" s="1"/>
  <c r="V86" i="12" a="1"/>
  <c r="V86" i="12" s="1"/>
  <c r="W86" i="12" a="1"/>
  <c r="W86" i="12" s="1"/>
  <c r="X86" i="12" a="1"/>
  <c r="X86" i="12" s="1"/>
  <c r="K87" i="12" a="1"/>
  <c r="K87" i="12" s="1"/>
  <c r="L87" i="12" a="1"/>
  <c r="L87" i="12" s="1"/>
  <c r="M87" i="12" a="1"/>
  <c r="M87" i="12" s="1"/>
  <c r="N87" i="12" a="1"/>
  <c r="N87" i="12" s="1"/>
  <c r="O87" i="12" a="1"/>
  <c r="O87" i="12" s="1"/>
  <c r="P87" i="12" a="1"/>
  <c r="P87" i="12" s="1"/>
  <c r="Q87" i="12" a="1"/>
  <c r="Q87" i="12" s="1"/>
  <c r="R87" i="12" a="1"/>
  <c r="R87" i="12" s="1"/>
  <c r="U87" i="12" a="1"/>
  <c r="U87" i="12" s="1"/>
  <c r="V87" i="12" a="1"/>
  <c r="V87" i="12" s="1"/>
  <c r="W87" i="12" a="1"/>
  <c r="W87" i="12" s="1"/>
  <c r="X87" i="12" a="1"/>
  <c r="X87" i="12" s="1"/>
  <c r="K88" i="12" a="1"/>
  <c r="K88" i="12" s="1"/>
  <c r="L88" i="12" a="1"/>
  <c r="L88" i="12" s="1"/>
  <c r="M88" i="12" a="1"/>
  <c r="M88" i="12" s="1"/>
  <c r="N88" i="12" a="1"/>
  <c r="N88" i="12" s="1"/>
  <c r="O88" i="12" a="1"/>
  <c r="O88" i="12" s="1"/>
  <c r="P88" i="12" a="1"/>
  <c r="P88" i="12" s="1"/>
  <c r="Q88" i="12" a="1"/>
  <c r="Q88" i="12" s="1"/>
  <c r="R88" i="12" a="1"/>
  <c r="R88" i="12" s="1"/>
  <c r="U88" i="12" a="1"/>
  <c r="U88" i="12" s="1"/>
  <c r="V88" i="12" a="1"/>
  <c r="V88" i="12" s="1"/>
  <c r="W88" i="12" a="1"/>
  <c r="W88" i="12" s="1"/>
  <c r="X88" i="12" a="1"/>
  <c r="X88" i="12" s="1"/>
  <c r="K89" i="12" a="1"/>
  <c r="K89" i="12" s="1"/>
  <c r="L89" i="12" a="1"/>
  <c r="L89" i="12" s="1"/>
  <c r="M89" i="12" a="1"/>
  <c r="M89" i="12" s="1"/>
  <c r="N89" i="12" a="1"/>
  <c r="N89" i="12" s="1"/>
  <c r="O89" i="12" a="1"/>
  <c r="O89" i="12" s="1"/>
  <c r="P89" i="12" a="1"/>
  <c r="P89" i="12" s="1"/>
  <c r="Q89" i="12" a="1"/>
  <c r="Q89" i="12" s="1"/>
  <c r="R89" i="12" a="1"/>
  <c r="R89" i="12" s="1"/>
  <c r="U89" i="12" a="1"/>
  <c r="U89" i="12" s="1"/>
  <c r="V89" i="12" a="1"/>
  <c r="V89" i="12" s="1"/>
  <c r="W89" i="12" a="1"/>
  <c r="W89" i="12" s="1"/>
  <c r="X89" i="12" a="1"/>
  <c r="X89" i="12" s="1"/>
  <c r="K90" i="12" a="1"/>
  <c r="K90" i="12" s="1"/>
  <c r="L90" i="12" a="1"/>
  <c r="L90" i="12" s="1"/>
  <c r="M90" i="12" a="1"/>
  <c r="M90" i="12" s="1"/>
  <c r="N90" i="12" a="1"/>
  <c r="N90" i="12" s="1"/>
  <c r="O90" i="12" a="1"/>
  <c r="O90" i="12" s="1"/>
  <c r="P90" i="12" a="1"/>
  <c r="P90" i="12" s="1"/>
  <c r="Q90" i="12" a="1"/>
  <c r="Q90" i="12" s="1"/>
  <c r="R90" i="12" a="1"/>
  <c r="R90" i="12" s="1"/>
  <c r="U90" i="12" a="1"/>
  <c r="U90" i="12" s="1"/>
  <c r="V90" i="12" a="1"/>
  <c r="V90" i="12" s="1"/>
  <c r="W90" i="12" a="1"/>
  <c r="W90" i="12" s="1"/>
  <c r="X90" i="12" a="1"/>
  <c r="X90" i="12" s="1"/>
  <c r="K91" i="12" a="1"/>
  <c r="K91" i="12" s="1"/>
  <c r="L91" i="12" a="1"/>
  <c r="L91" i="12" s="1"/>
  <c r="M91" i="12" a="1"/>
  <c r="M91" i="12" s="1"/>
  <c r="N91" i="12" a="1"/>
  <c r="N91" i="12" s="1"/>
  <c r="O91" i="12" a="1"/>
  <c r="O91" i="12" s="1"/>
  <c r="P91" i="12" a="1"/>
  <c r="P91" i="12" s="1"/>
  <c r="Q91" i="12" a="1"/>
  <c r="Q91" i="12" s="1"/>
  <c r="R91" i="12" a="1"/>
  <c r="R91" i="12" s="1"/>
  <c r="U91" i="12" a="1"/>
  <c r="U91" i="12" s="1"/>
  <c r="V91" i="12" a="1"/>
  <c r="V91" i="12" s="1"/>
  <c r="W91" i="12" a="1"/>
  <c r="W91" i="12" s="1"/>
  <c r="X91" i="12" a="1"/>
  <c r="X91" i="12" s="1"/>
  <c r="K92" i="12" a="1"/>
  <c r="K92" i="12" s="1"/>
  <c r="L92" i="12" a="1"/>
  <c r="L92" i="12" s="1"/>
  <c r="M92" i="12" a="1"/>
  <c r="M92" i="12" s="1"/>
  <c r="N92" i="12" a="1"/>
  <c r="N92" i="12" s="1"/>
  <c r="O92" i="12" a="1"/>
  <c r="O92" i="12" s="1"/>
  <c r="P92" i="12" a="1"/>
  <c r="P92" i="12" s="1"/>
  <c r="Q92" i="12" a="1"/>
  <c r="Q92" i="12" s="1"/>
  <c r="R92" i="12" a="1"/>
  <c r="R92" i="12" s="1"/>
  <c r="U92" i="12" a="1"/>
  <c r="U92" i="12" s="1"/>
  <c r="V92" i="12" a="1"/>
  <c r="V92" i="12" s="1"/>
  <c r="W92" i="12" a="1"/>
  <c r="W92" i="12" s="1"/>
  <c r="X92" i="12" a="1"/>
  <c r="X92" i="12" s="1"/>
  <c r="K93" i="12" a="1"/>
  <c r="K93" i="12" s="1"/>
  <c r="L93" i="12" a="1"/>
  <c r="L93" i="12" s="1"/>
  <c r="M93" i="12" a="1"/>
  <c r="M93" i="12" s="1"/>
  <c r="N93" i="12" a="1"/>
  <c r="N93" i="12" s="1"/>
  <c r="O93" i="12" a="1"/>
  <c r="O93" i="12" s="1"/>
  <c r="P93" i="12" a="1"/>
  <c r="P93" i="12" s="1"/>
  <c r="Q93" i="12" a="1"/>
  <c r="Q93" i="12" s="1"/>
  <c r="R93" i="12" a="1"/>
  <c r="R93" i="12" s="1"/>
  <c r="U93" i="12" a="1"/>
  <c r="U93" i="12" s="1"/>
  <c r="V93" i="12" a="1"/>
  <c r="V93" i="12" s="1"/>
  <c r="W93" i="12" a="1"/>
  <c r="W93" i="12" s="1"/>
  <c r="X93" i="12" a="1"/>
  <c r="X93" i="12" s="1"/>
  <c r="K94" i="12" a="1"/>
  <c r="K94" i="12" s="1"/>
  <c r="L94" i="12" a="1"/>
  <c r="L94" i="12" s="1"/>
  <c r="M94" i="12" a="1"/>
  <c r="M94" i="12" s="1"/>
  <c r="N94" i="12" a="1"/>
  <c r="N94" i="12" s="1"/>
  <c r="O94" i="12" a="1"/>
  <c r="O94" i="12" s="1"/>
  <c r="P94" i="12" a="1"/>
  <c r="P94" i="12" s="1"/>
  <c r="Q94" i="12" a="1"/>
  <c r="Q94" i="12" s="1"/>
  <c r="R94" i="12" a="1"/>
  <c r="R94" i="12" s="1"/>
  <c r="U94" i="12" a="1"/>
  <c r="U94" i="12" s="1"/>
  <c r="V94" i="12" a="1"/>
  <c r="V94" i="12" s="1"/>
  <c r="W94" i="12" a="1"/>
  <c r="W94" i="12" s="1"/>
  <c r="X94" i="12" a="1"/>
  <c r="X94" i="12" s="1"/>
  <c r="K95" i="12" a="1"/>
  <c r="K95" i="12" s="1"/>
  <c r="L95" i="12" a="1"/>
  <c r="L95" i="12" s="1"/>
  <c r="M95" i="12" a="1"/>
  <c r="M95" i="12" s="1"/>
  <c r="N95" i="12" a="1"/>
  <c r="N95" i="12" s="1"/>
  <c r="O95" i="12" a="1"/>
  <c r="O95" i="12" s="1"/>
  <c r="P95" i="12" a="1"/>
  <c r="P95" i="12" s="1"/>
  <c r="Q95" i="12" a="1"/>
  <c r="Q95" i="12" s="1"/>
  <c r="R95" i="12" a="1"/>
  <c r="R95" i="12" s="1"/>
  <c r="U95" i="12" a="1"/>
  <c r="U95" i="12" s="1"/>
  <c r="V95" i="12" a="1"/>
  <c r="V95" i="12" s="1"/>
  <c r="W95" i="12" a="1"/>
  <c r="W95" i="12" s="1"/>
  <c r="X95" i="12" a="1"/>
  <c r="X95" i="12" s="1"/>
  <c r="K96" i="12" a="1"/>
  <c r="K96" i="12" s="1"/>
  <c r="L96" i="12" a="1"/>
  <c r="L96" i="12" s="1"/>
  <c r="M96" i="12" a="1"/>
  <c r="M96" i="12" s="1"/>
  <c r="N96" i="12" a="1"/>
  <c r="N96" i="12" s="1"/>
  <c r="O96" i="12" a="1"/>
  <c r="O96" i="12" s="1"/>
  <c r="P96" i="12" a="1"/>
  <c r="P96" i="12" s="1"/>
  <c r="Q96" i="12" a="1"/>
  <c r="Q96" i="12" s="1"/>
  <c r="R96" i="12" a="1"/>
  <c r="R96" i="12" s="1"/>
  <c r="U96" i="12" a="1"/>
  <c r="U96" i="12" s="1"/>
  <c r="V96" i="12" a="1"/>
  <c r="V96" i="12" s="1"/>
  <c r="W96" i="12" a="1"/>
  <c r="W96" i="12" s="1"/>
  <c r="X96" i="12" a="1"/>
  <c r="X96" i="12" s="1"/>
  <c r="K97" i="12" a="1"/>
  <c r="K97" i="12" s="1"/>
  <c r="L97" i="12" a="1"/>
  <c r="L97" i="12" s="1"/>
  <c r="M97" i="12" a="1"/>
  <c r="M97" i="12" s="1"/>
  <c r="N97" i="12" a="1"/>
  <c r="N97" i="12" s="1"/>
  <c r="O97" i="12" a="1"/>
  <c r="O97" i="12" s="1"/>
  <c r="P97" i="12" a="1"/>
  <c r="P97" i="12" s="1"/>
  <c r="Q97" i="12" a="1"/>
  <c r="Q97" i="12" s="1"/>
  <c r="R97" i="12" a="1"/>
  <c r="R97" i="12" s="1"/>
  <c r="U97" i="12" a="1"/>
  <c r="U97" i="12" s="1"/>
  <c r="V97" i="12" a="1"/>
  <c r="V97" i="12" s="1"/>
  <c r="W97" i="12" a="1"/>
  <c r="W97" i="12" s="1"/>
  <c r="X97" i="12" a="1"/>
  <c r="X97" i="12" s="1"/>
  <c r="K98" i="12" a="1"/>
  <c r="K98" i="12" s="1"/>
  <c r="L98" i="12" a="1"/>
  <c r="L98" i="12" s="1"/>
  <c r="M98" i="12" a="1"/>
  <c r="M98" i="12" s="1"/>
  <c r="N98" i="12" a="1"/>
  <c r="N98" i="12" s="1"/>
  <c r="O98" i="12" a="1"/>
  <c r="O98" i="12" s="1"/>
  <c r="P98" i="12" a="1"/>
  <c r="P98" i="12" s="1"/>
  <c r="Q98" i="12" a="1"/>
  <c r="Q98" i="12" s="1"/>
  <c r="R98" i="12" a="1"/>
  <c r="R98" i="12" s="1"/>
  <c r="U98" i="12" a="1"/>
  <c r="U98" i="12" s="1"/>
  <c r="V98" i="12" a="1"/>
  <c r="V98" i="12" s="1"/>
  <c r="W98" i="12" a="1"/>
  <c r="W98" i="12" s="1"/>
  <c r="X98" i="12" a="1"/>
  <c r="X98" i="12" s="1"/>
  <c r="K99" i="12" a="1"/>
  <c r="K99" i="12" s="1"/>
  <c r="L99" i="12" a="1"/>
  <c r="L99" i="12" s="1"/>
  <c r="M99" i="12" a="1"/>
  <c r="M99" i="12" s="1"/>
  <c r="N99" i="12" a="1"/>
  <c r="N99" i="12" s="1"/>
  <c r="O99" i="12" a="1"/>
  <c r="O99" i="12" s="1"/>
  <c r="P99" i="12" a="1"/>
  <c r="P99" i="12" s="1"/>
  <c r="Q99" i="12" a="1"/>
  <c r="Q99" i="12" s="1"/>
  <c r="R99" i="12" a="1"/>
  <c r="R99" i="12" s="1"/>
  <c r="U99" i="12" a="1"/>
  <c r="U99" i="12" s="1"/>
  <c r="V99" i="12" a="1"/>
  <c r="V99" i="12" s="1"/>
  <c r="W99" i="12" a="1"/>
  <c r="W99" i="12" s="1"/>
  <c r="X99" i="12" a="1"/>
  <c r="X99" i="12" s="1"/>
  <c r="K100" i="12" a="1"/>
  <c r="K100" i="12" s="1"/>
  <c r="L100" i="12" a="1"/>
  <c r="L100" i="12" s="1"/>
  <c r="M100" i="12" a="1"/>
  <c r="M100" i="12" s="1"/>
  <c r="N100" i="12" a="1"/>
  <c r="N100" i="12" s="1"/>
  <c r="O100" i="12" a="1"/>
  <c r="O100" i="12" s="1"/>
  <c r="P100" i="12" a="1"/>
  <c r="P100" i="12" s="1"/>
  <c r="Q100" i="12" a="1"/>
  <c r="Q100" i="12" s="1"/>
  <c r="R100" i="12" a="1"/>
  <c r="R100" i="12" s="1"/>
  <c r="U100" i="12" a="1"/>
  <c r="U100" i="12" s="1"/>
  <c r="V100" i="12" a="1"/>
  <c r="V100" i="12" s="1"/>
  <c r="W100" i="12" a="1"/>
  <c r="W100" i="12" s="1"/>
  <c r="X100" i="12" a="1"/>
  <c r="X100" i="12" s="1"/>
  <c r="K101" i="12" a="1"/>
  <c r="K101" i="12" s="1"/>
  <c r="L101" i="12" a="1"/>
  <c r="L101" i="12" s="1"/>
  <c r="M101" i="12" a="1"/>
  <c r="M101" i="12" s="1"/>
  <c r="N101" i="12" a="1"/>
  <c r="N101" i="12" s="1"/>
  <c r="O101" i="12" a="1"/>
  <c r="O101" i="12" s="1"/>
  <c r="P101" i="12" a="1"/>
  <c r="P101" i="12" s="1"/>
  <c r="Q101" i="12" a="1"/>
  <c r="Q101" i="12" s="1"/>
  <c r="R101" i="12" a="1"/>
  <c r="R101" i="12" s="1"/>
  <c r="U101" i="12" a="1"/>
  <c r="U101" i="12" s="1"/>
  <c r="V101" i="12" a="1"/>
  <c r="V101" i="12" s="1"/>
  <c r="W101" i="12" a="1"/>
  <c r="W101" i="12" s="1"/>
  <c r="X101" i="12" a="1"/>
  <c r="X101" i="12" s="1"/>
  <c r="K102" i="12" a="1"/>
  <c r="K102" i="12" s="1"/>
  <c r="L102" i="12" a="1"/>
  <c r="L102" i="12" s="1"/>
  <c r="M102" i="12" a="1"/>
  <c r="M102" i="12" s="1"/>
  <c r="N102" i="12" a="1"/>
  <c r="N102" i="12" s="1"/>
  <c r="O102" i="12" a="1"/>
  <c r="O102" i="12" s="1"/>
  <c r="P102" i="12" a="1"/>
  <c r="P102" i="12" s="1"/>
  <c r="Q102" i="12" a="1"/>
  <c r="Q102" i="12" s="1"/>
  <c r="R102" i="12" a="1"/>
  <c r="R102" i="12" s="1"/>
  <c r="U102" i="12" a="1"/>
  <c r="U102" i="12" s="1"/>
  <c r="V102" i="12" a="1"/>
  <c r="V102" i="12" s="1"/>
  <c r="W102" i="12" a="1"/>
  <c r="W102" i="12" s="1"/>
  <c r="X102" i="12" a="1"/>
  <c r="X102" i="12" s="1"/>
  <c r="K103" i="12" a="1"/>
  <c r="K103" i="12" s="1"/>
  <c r="L103" i="12" a="1"/>
  <c r="L103" i="12" s="1"/>
  <c r="M103" i="12" a="1"/>
  <c r="M103" i="12" s="1"/>
  <c r="N103" i="12" a="1"/>
  <c r="N103" i="12" s="1"/>
  <c r="O103" i="12" a="1"/>
  <c r="O103" i="12" s="1"/>
  <c r="P103" i="12" a="1"/>
  <c r="P103" i="12" s="1"/>
  <c r="Q103" i="12" a="1"/>
  <c r="Q103" i="12" s="1"/>
  <c r="R103" i="12" a="1"/>
  <c r="R103" i="12" s="1"/>
  <c r="U103" i="12" a="1"/>
  <c r="U103" i="12" s="1"/>
  <c r="V103" i="12" a="1"/>
  <c r="V103" i="12" s="1"/>
  <c r="W103" i="12" a="1"/>
  <c r="W103" i="12" s="1"/>
  <c r="X103" i="12" a="1"/>
  <c r="X103" i="12" s="1"/>
  <c r="K104" i="12" a="1"/>
  <c r="K104" i="12" s="1"/>
  <c r="L104" i="12" a="1"/>
  <c r="L104" i="12" s="1"/>
  <c r="M104" i="12" a="1"/>
  <c r="M104" i="12" s="1"/>
  <c r="N104" i="12" a="1"/>
  <c r="N104" i="12" s="1"/>
  <c r="O104" i="12" a="1"/>
  <c r="O104" i="12" s="1"/>
  <c r="P104" i="12" a="1"/>
  <c r="P104" i="12" s="1"/>
  <c r="Q104" i="12" a="1"/>
  <c r="Q104" i="12" s="1"/>
  <c r="R104" i="12" a="1"/>
  <c r="R104" i="12" s="1"/>
  <c r="U104" i="12" a="1"/>
  <c r="U104" i="12" s="1"/>
  <c r="V104" i="12" a="1"/>
  <c r="V104" i="12" s="1"/>
  <c r="W104" i="12" a="1"/>
  <c r="W104" i="12" s="1"/>
  <c r="X104" i="12" a="1"/>
  <c r="X104" i="12" s="1"/>
  <c r="K105" i="12" a="1"/>
  <c r="K105" i="12" s="1"/>
  <c r="L105" i="12" a="1"/>
  <c r="L105" i="12" s="1"/>
  <c r="M105" i="12" a="1"/>
  <c r="M105" i="12" s="1"/>
  <c r="N105" i="12" a="1"/>
  <c r="N105" i="12" s="1"/>
  <c r="O105" i="12" a="1"/>
  <c r="O105" i="12" s="1"/>
  <c r="P105" i="12" a="1"/>
  <c r="P105" i="12" s="1"/>
  <c r="Q105" i="12" a="1"/>
  <c r="Q105" i="12" s="1"/>
  <c r="R105" i="12" a="1"/>
  <c r="R105" i="12" s="1"/>
  <c r="U105" i="12" a="1"/>
  <c r="U105" i="12" s="1"/>
  <c r="V105" i="12" a="1"/>
  <c r="V105" i="12" s="1"/>
  <c r="W105" i="12" a="1"/>
  <c r="W105" i="12" s="1"/>
  <c r="X105" i="12" a="1"/>
  <c r="X105" i="12" s="1"/>
  <c r="K106" i="12" a="1"/>
  <c r="K106" i="12" s="1"/>
  <c r="L106" i="12" a="1"/>
  <c r="L106" i="12" s="1"/>
  <c r="M106" i="12" a="1"/>
  <c r="M106" i="12" s="1"/>
  <c r="N106" i="12" a="1"/>
  <c r="N106" i="12" s="1"/>
  <c r="O106" i="12" a="1"/>
  <c r="O106" i="12" s="1"/>
  <c r="P106" i="12" a="1"/>
  <c r="P106" i="12" s="1"/>
  <c r="Q106" i="12" a="1"/>
  <c r="Q106" i="12" s="1"/>
  <c r="R106" i="12" a="1"/>
  <c r="R106" i="12" s="1"/>
  <c r="U106" i="12" a="1"/>
  <c r="U106" i="12" s="1"/>
  <c r="V106" i="12" a="1"/>
  <c r="V106" i="12" s="1"/>
  <c r="W106" i="12" a="1"/>
  <c r="W106" i="12" s="1"/>
  <c r="X106" i="12" a="1"/>
  <c r="X106" i="12" s="1"/>
  <c r="K107" i="12" a="1"/>
  <c r="K107" i="12" s="1"/>
  <c r="L107" i="12" a="1"/>
  <c r="L107" i="12" s="1"/>
  <c r="M107" i="12" a="1"/>
  <c r="M107" i="12" s="1"/>
  <c r="N107" i="12" a="1"/>
  <c r="N107" i="12" s="1"/>
  <c r="O107" i="12" a="1"/>
  <c r="O107" i="12" s="1"/>
  <c r="P107" i="12" a="1"/>
  <c r="P107" i="12" s="1"/>
  <c r="Q107" i="12" a="1"/>
  <c r="Q107" i="12" s="1"/>
  <c r="R107" i="12" a="1"/>
  <c r="R107" i="12" s="1"/>
  <c r="U107" i="12" a="1"/>
  <c r="U107" i="12" s="1"/>
  <c r="V107" i="12" a="1"/>
  <c r="V107" i="12" s="1"/>
  <c r="W107" i="12" a="1"/>
  <c r="W107" i="12" s="1"/>
  <c r="X107" i="12" a="1"/>
  <c r="X107" i="12" s="1"/>
  <c r="K108" i="12" a="1"/>
  <c r="K108" i="12" s="1"/>
  <c r="L108" i="12" a="1"/>
  <c r="L108" i="12" s="1"/>
  <c r="M108" i="12" a="1"/>
  <c r="M108" i="12" s="1"/>
  <c r="N108" i="12" a="1"/>
  <c r="N108" i="12" s="1"/>
  <c r="O108" i="12" a="1"/>
  <c r="O108" i="12" s="1"/>
  <c r="P108" i="12" a="1"/>
  <c r="P108" i="12" s="1"/>
  <c r="Q108" i="12" a="1"/>
  <c r="Q108" i="12" s="1"/>
  <c r="R108" i="12" a="1"/>
  <c r="R108" i="12" s="1"/>
  <c r="U108" i="12" a="1"/>
  <c r="U108" i="12" s="1"/>
  <c r="V108" i="12" a="1"/>
  <c r="V108" i="12" s="1"/>
  <c r="W108" i="12" a="1"/>
  <c r="W108" i="12" s="1"/>
  <c r="X108" i="12" a="1"/>
  <c r="X108" i="12" s="1"/>
  <c r="K109" i="12" a="1"/>
  <c r="K109" i="12" s="1"/>
  <c r="L109" i="12" a="1"/>
  <c r="L109" i="12" s="1"/>
  <c r="M109" i="12" a="1"/>
  <c r="M109" i="12" s="1"/>
  <c r="N109" i="12" a="1"/>
  <c r="N109" i="12" s="1"/>
  <c r="O109" i="12" a="1"/>
  <c r="O109" i="12" s="1"/>
  <c r="P109" i="12" a="1"/>
  <c r="P109" i="12" s="1"/>
  <c r="Q109" i="12" a="1"/>
  <c r="Q109" i="12" s="1"/>
  <c r="R109" i="12" a="1"/>
  <c r="R109" i="12" s="1"/>
  <c r="U109" i="12" a="1"/>
  <c r="U109" i="12" s="1"/>
  <c r="V109" i="12" a="1"/>
  <c r="V109" i="12" s="1"/>
  <c r="W109" i="12" a="1"/>
  <c r="W109" i="12" s="1"/>
  <c r="X109" i="12" a="1"/>
  <c r="X109" i="12" s="1"/>
  <c r="K110" i="12" a="1"/>
  <c r="K110" i="12" s="1"/>
  <c r="L110" i="12" a="1"/>
  <c r="L110" i="12" s="1"/>
  <c r="M110" i="12" a="1"/>
  <c r="M110" i="12" s="1"/>
  <c r="N110" i="12" a="1"/>
  <c r="N110" i="12" s="1"/>
  <c r="O110" i="12" a="1"/>
  <c r="O110" i="12" s="1"/>
  <c r="P110" i="12" a="1"/>
  <c r="P110" i="12" s="1"/>
  <c r="Q110" i="12" a="1"/>
  <c r="Q110" i="12" s="1"/>
  <c r="R110" i="12" a="1"/>
  <c r="R110" i="12" s="1"/>
  <c r="U110" i="12" a="1"/>
  <c r="U110" i="12" s="1"/>
  <c r="V110" i="12" a="1"/>
  <c r="V110" i="12" s="1"/>
  <c r="W110" i="12" a="1"/>
  <c r="W110" i="12" s="1"/>
  <c r="X110" i="12" a="1"/>
  <c r="X110" i="12" s="1"/>
  <c r="K111" i="12" a="1"/>
  <c r="K111" i="12" s="1"/>
  <c r="L111" i="12" a="1"/>
  <c r="L111" i="12" s="1"/>
  <c r="M111" i="12" a="1"/>
  <c r="M111" i="12" s="1"/>
  <c r="N111" i="12" a="1"/>
  <c r="N111" i="12" s="1"/>
  <c r="O111" i="12" a="1"/>
  <c r="O111" i="12" s="1"/>
  <c r="P111" i="12" a="1"/>
  <c r="P111" i="12" s="1"/>
  <c r="Q111" i="12" a="1"/>
  <c r="Q111" i="12" s="1"/>
  <c r="R111" i="12" a="1"/>
  <c r="R111" i="12" s="1"/>
  <c r="U111" i="12" a="1"/>
  <c r="U111" i="12" s="1"/>
  <c r="V111" i="12" a="1"/>
  <c r="V111" i="12" s="1"/>
  <c r="W111" i="12" a="1"/>
  <c r="W111" i="12" s="1"/>
  <c r="X111" i="12" a="1"/>
  <c r="X111" i="12" s="1"/>
  <c r="K112" i="12" a="1"/>
  <c r="K112" i="12" s="1"/>
  <c r="L112" i="12" a="1"/>
  <c r="L112" i="12" s="1"/>
  <c r="M112" i="12" a="1"/>
  <c r="M112" i="12" s="1"/>
  <c r="N112" i="12" a="1"/>
  <c r="N112" i="12" s="1"/>
  <c r="O112" i="12" a="1"/>
  <c r="O112" i="12" s="1"/>
  <c r="P112" i="12" a="1"/>
  <c r="P112" i="12" s="1"/>
  <c r="Q112" i="12" a="1"/>
  <c r="Q112" i="12" s="1"/>
  <c r="R112" i="12" a="1"/>
  <c r="R112" i="12" s="1"/>
  <c r="U112" i="12" a="1"/>
  <c r="U112" i="12" s="1"/>
  <c r="V112" i="12" a="1"/>
  <c r="V112" i="12" s="1"/>
  <c r="W112" i="12" a="1"/>
  <c r="W112" i="12" s="1"/>
  <c r="X112" i="12" a="1"/>
  <c r="X112" i="12" s="1"/>
  <c r="K113" i="12" a="1"/>
  <c r="K113" i="12" s="1"/>
  <c r="L113" i="12" a="1"/>
  <c r="L113" i="12" s="1"/>
  <c r="M113" i="12" a="1"/>
  <c r="M113" i="12" s="1"/>
  <c r="N113" i="12" a="1"/>
  <c r="N113" i="12" s="1"/>
  <c r="O113" i="12" a="1"/>
  <c r="O113" i="12" s="1"/>
  <c r="P113" i="12" a="1"/>
  <c r="P113" i="12" s="1"/>
  <c r="Q113" i="12" a="1"/>
  <c r="Q113" i="12" s="1"/>
  <c r="R113" i="12" a="1"/>
  <c r="R113" i="12" s="1"/>
  <c r="U113" i="12" a="1"/>
  <c r="U113" i="12" s="1"/>
  <c r="V113" i="12" a="1"/>
  <c r="V113" i="12" s="1"/>
  <c r="W113" i="12" a="1"/>
  <c r="W113" i="12" s="1"/>
  <c r="X113" i="12" a="1"/>
  <c r="X113" i="12" s="1"/>
  <c r="K114" i="12" a="1"/>
  <c r="K114" i="12" s="1"/>
  <c r="L114" i="12" a="1"/>
  <c r="L114" i="12" s="1"/>
  <c r="M114" i="12" a="1"/>
  <c r="M114" i="12" s="1"/>
  <c r="N114" i="12" a="1"/>
  <c r="N114" i="12" s="1"/>
  <c r="O114" i="12" a="1"/>
  <c r="O114" i="12" s="1"/>
  <c r="P114" i="12" a="1"/>
  <c r="P114" i="12" s="1"/>
  <c r="Q114" i="12" a="1"/>
  <c r="Q114" i="12" s="1"/>
  <c r="R114" i="12" a="1"/>
  <c r="R114" i="12" s="1"/>
  <c r="U114" i="12" a="1"/>
  <c r="U114" i="12" s="1"/>
  <c r="V114" i="12" a="1"/>
  <c r="V114" i="12" s="1"/>
  <c r="W114" i="12" a="1"/>
  <c r="W114" i="12" s="1"/>
  <c r="X114" i="12" a="1"/>
  <c r="X114" i="12" s="1"/>
  <c r="K115" i="12" a="1"/>
  <c r="K115" i="12" s="1"/>
  <c r="L115" i="12" a="1"/>
  <c r="L115" i="12" s="1"/>
  <c r="M115" i="12" a="1"/>
  <c r="M115" i="12" s="1"/>
  <c r="N115" i="12" a="1"/>
  <c r="N115" i="12" s="1"/>
  <c r="O115" i="12" a="1"/>
  <c r="O115" i="12" s="1"/>
  <c r="P115" i="12" a="1"/>
  <c r="P115" i="12" s="1"/>
  <c r="Q115" i="12" a="1"/>
  <c r="Q115" i="12" s="1"/>
  <c r="R115" i="12" a="1"/>
  <c r="R115" i="12" s="1"/>
  <c r="U115" i="12" a="1"/>
  <c r="U115" i="12" s="1"/>
  <c r="V115" i="12" a="1"/>
  <c r="V115" i="12" s="1"/>
  <c r="W115" i="12" a="1"/>
  <c r="W115" i="12" s="1"/>
  <c r="X115" i="12" a="1"/>
  <c r="X115" i="12" s="1"/>
  <c r="K116" i="12" a="1"/>
  <c r="K116" i="12" s="1"/>
  <c r="L116" i="12" a="1"/>
  <c r="L116" i="12" s="1"/>
  <c r="M116" i="12" a="1"/>
  <c r="M116" i="12" s="1"/>
  <c r="N116" i="12" a="1"/>
  <c r="N116" i="12" s="1"/>
  <c r="O116" i="12" a="1"/>
  <c r="O116" i="12" s="1"/>
  <c r="P116" i="12" a="1"/>
  <c r="P116" i="12" s="1"/>
  <c r="Q116" i="12" a="1"/>
  <c r="Q116" i="12" s="1"/>
  <c r="R116" i="12" a="1"/>
  <c r="R116" i="12" s="1"/>
  <c r="U116" i="12" a="1"/>
  <c r="U116" i="12" s="1"/>
  <c r="V116" i="12" a="1"/>
  <c r="V116" i="12" s="1"/>
  <c r="W116" i="12" a="1"/>
  <c r="W116" i="12" s="1"/>
  <c r="X116" i="12" a="1"/>
  <c r="X116" i="12" s="1"/>
  <c r="K117" i="12" a="1"/>
  <c r="K117" i="12" s="1"/>
  <c r="L117" i="12" a="1"/>
  <c r="L117" i="12" s="1"/>
  <c r="M117" i="12" a="1"/>
  <c r="M117" i="12" s="1"/>
  <c r="N117" i="12" a="1"/>
  <c r="N117" i="12" s="1"/>
  <c r="O117" i="12" a="1"/>
  <c r="O117" i="12" s="1"/>
  <c r="P117" i="12" a="1"/>
  <c r="P117" i="12" s="1"/>
  <c r="Q117" i="12" a="1"/>
  <c r="Q117" i="12" s="1"/>
  <c r="R117" i="12" a="1"/>
  <c r="R117" i="12" s="1"/>
  <c r="U117" i="12" a="1"/>
  <c r="U117" i="12" s="1"/>
  <c r="V117" i="12" a="1"/>
  <c r="V117" i="12" s="1"/>
  <c r="W117" i="12" a="1"/>
  <c r="W117" i="12" s="1"/>
  <c r="X117" i="12" a="1"/>
  <c r="X117" i="12" s="1"/>
  <c r="K118" i="12" a="1"/>
  <c r="K118" i="12" s="1"/>
  <c r="L118" i="12" a="1"/>
  <c r="L118" i="12" s="1"/>
  <c r="M118" i="12" a="1"/>
  <c r="M118" i="12" s="1"/>
  <c r="N118" i="12" a="1"/>
  <c r="N118" i="12" s="1"/>
  <c r="O118" i="12" a="1"/>
  <c r="O118" i="12" s="1"/>
  <c r="P118" i="12" a="1"/>
  <c r="P118" i="12" s="1"/>
  <c r="Q118" i="12" a="1"/>
  <c r="Q118" i="12" s="1"/>
  <c r="R118" i="12" a="1"/>
  <c r="R118" i="12" s="1"/>
  <c r="U118" i="12" a="1"/>
  <c r="U118" i="12" s="1"/>
  <c r="V118" i="12" a="1"/>
  <c r="V118" i="12" s="1"/>
  <c r="W118" i="12" a="1"/>
  <c r="W118" i="12" s="1"/>
  <c r="X118" i="12" a="1"/>
  <c r="X118" i="12" s="1"/>
  <c r="K119" i="12" a="1"/>
  <c r="K119" i="12" s="1"/>
  <c r="L119" i="12" a="1"/>
  <c r="L119" i="12" s="1"/>
  <c r="M119" i="12" a="1"/>
  <c r="M119" i="12" s="1"/>
  <c r="N119" i="12" a="1"/>
  <c r="N119" i="12" s="1"/>
  <c r="O119" i="12" a="1"/>
  <c r="O119" i="12" s="1"/>
  <c r="P119" i="12" a="1"/>
  <c r="P119" i="12" s="1"/>
  <c r="Q119" i="12" a="1"/>
  <c r="Q119" i="12" s="1"/>
  <c r="R119" i="12" a="1"/>
  <c r="R119" i="12" s="1"/>
  <c r="U119" i="12" a="1"/>
  <c r="U119" i="12" s="1"/>
  <c r="V119" i="12" a="1"/>
  <c r="V119" i="12" s="1"/>
  <c r="W119" i="12" a="1"/>
  <c r="W119" i="12" s="1"/>
  <c r="X119" i="12" a="1"/>
  <c r="X119" i="12" s="1"/>
  <c r="K120" i="12" a="1"/>
  <c r="K120" i="12" s="1"/>
  <c r="L120" i="12" a="1"/>
  <c r="L120" i="12" s="1"/>
  <c r="M120" i="12" a="1"/>
  <c r="M120" i="12" s="1"/>
  <c r="N120" i="12" a="1"/>
  <c r="N120" i="12" s="1"/>
  <c r="O120" i="12" a="1"/>
  <c r="O120" i="12" s="1"/>
  <c r="P120" i="12" a="1"/>
  <c r="P120" i="12" s="1"/>
  <c r="Q120" i="12" a="1"/>
  <c r="Q120" i="12" s="1"/>
  <c r="R120" i="12" a="1"/>
  <c r="R120" i="12" s="1"/>
  <c r="U120" i="12" a="1"/>
  <c r="U120" i="12" s="1"/>
  <c r="V120" i="12" a="1"/>
  <c r="V120" i="12" s="1"/>
  <c r="W120" i="12" a="1"/>
  <c r="W120" i="12" s="1"/>
  <c r="X120" i="12" a="1"/>
  <c r="X120" i="12" s="1"/>
  <c r="K121" i="12" a="1"/>
  <c r="K121" i="12" s="1"/>
  <c r="L121" i="12" a="1"/>
  <c r="L121" i="12" s="1"/>
  <c r="M121" i="12" a="1"/>
  <c r="M121" i="12" s="1"/>
  <c r="N121" i="12" a="1"/>
  <c r="N121" i="12" s="1"/>
  <c r="O121" i="12" a="1"/>
  <c r="O121" i="12" s="1"/>
  <c r="P121" i="12" a="1"/>
  <c r="P121" i="12" s="1"/>
  <c r="Q121" i="12" a="1"/>
  <c r="Q121" i="12" s="1"/>
  <c r="R121" i="12" a="1"/>
  <c r="R121" i="12" s="1"/>
  <c r="U121" i="12" a="1"/>
  <c r="U121" i="12" s="1"/>
  <c r="V121" i="12" a="1"/>
  <c r="V121" i="12" s="1"/>
  <c r="W121" i="12" a="1"/>
  <c r="W121" i="12" s="1"/>
  <c r="X121" i="12" a="1"/>
  <c r="X121" i="12" s="1"/>
  <c r="K122" i="12" a="1"/>
  <c r="K122" i="12" s="1"/>
  <c r="L122" i="12" a="1"/>
  <c r="L122" i="12" s="1"/>
  <c r="M122" i="12" a="1"/>
  <c r="M122" i="12" s="1"/>
  <c r="N122" i="12" a="1"/>
  <c r="N122" i="12" s="1"/>
  <c r="O122" i="12" a="1"/>
  <c r="O122" i="12" s="1"/>
  <c r="P122" i="12" a="1"/>
  <c r="P122" i="12" s="1"/>
  <c r="Q122" i="12" a="1"/>
  <c r="Q122" i="12" s="1"/>
  <c r="R122" i="12" a="1"/>
  <c r="R122" i="12" s="1"/>
  <c r="U122" i="12" a="1"/>
  <c r="U122" i="12" s="1"/>
  <c r="V122" i="12" a="1"/>
  <c r="V122" i="12" s="1"/>
  <c r="W122" i="12" a="1"/>
  <c r="W122" i="12" s="1"/>
  <c r="X122" i="12" a="1"/>
  <c r="X122" i="12" s="1"/>
  <c r="K123" i="12" a="1"/>
  <c r="K123" i="12" s="1"/>
  <c r="L123" i="12" a="1"/>
  <c r="L123" i="12" s="1"/>
  <c r="M123" i="12" a="1"/>
  <c r="M123" i="12" s="1"/>
  <c r="N123" i="12" a="1"/>
  <c r="N123" i="12" s="1"/>
  <c r="O123" i="12" a="1"/>
  <c r="O123" i="12" s="1"/>
  <c r="P123" i="12" a="1"/>
  <c r="P123" i="12" s="1"/>
  <c r="Q123" i="12" a="1"/>
  <c r="Q123" i="12" s="1"/>
  <c r="R123" i="12" a="1"/>
  <c r="R123" i="12" s="1"/>
  <c r="U123" i="12" a="1"/>
  <c r="U123" i="12" s="1"/>
  <c r="V123" i="12" a="1"/>
  <c r="V123" i="12" s="1"/>
  <c r="W123" i="12" a="1"/>
  <c r="W123" i="12" s="1"/>
  <c r="X123" i="12" a="1"/>
  <c r="X123" i="12" s="1"/>
  <c r="K124" i="12" a="1"/>
  <c r="K124" i="12" s="1"/>
  <c r="L124" i="12" a="1"/>
  <c r="L124" i="12" s="1"/>
  <c r="M124" i="12" a="1"/>
  <c r="M124" i="12" s="1"/>
  <c r="N124" i="12" a="1"/>
  <c r="N124" i="12" s="1"/>
  <c r="O124" i="12" a="1"/>
  <c r="O124" i="12" s="1"/>
  <c r="P124" i="12" a="1"/>
  <c r="P124" i="12" s="1"/>
  <c r="Q124" i="12" a="1"/>
  <c r="Q124" i="12" s="1"/>
  <c r="R124" i="12" a="1"/>
  <c r="R124" i="12" s="1"/>
  <c r="U124" i="12" a="1"/>
  <c r="U124" i="12" s="1"/>
  <c r="V124" i="12" a="1"/>
  <c r="V124" i="12" s="1"/>
  <c r="W124" i="12" a="1"/>
  <c r="W124" i="12" s="1"/>
  <c r="X124" i="12" a="1"/>
  <c r="X124" i="12" s="1"/>
  <c r="K125" i="12" a="1"/>
  <c r="K125" i="12" s="1"/>
  <c r="L125" i="12" a="1"/>
  <c r="L125" i="12" s="1"/>
  <c r="M125" i="12" a="1"/>
  <c r="M125" i="12" s="1"/>
  <c r="N125" i="12" a="1"/>
  <c r="N125" i="12" s="1"/>
  <c r="O125" i="12" a="1"/>
  <c r="O125" i="12" s="1"/>
  <c r="P125" i="12" a="1"/>
  <c r="P125" i="12" s="1"/>
  <c r="Q125" i="12" a="1"/>
  <c r="Q125" i="12" s="1"/>
  <c r="R125" i="12" a="1"/>
  <c r="R125" i="12" s="1"/>
  <c r="U125" i="12" a="1"/>
  <c r="U125" i="12" s="1"/>
  <c r="V125" i="12" a="1"/>
  <c r="V125" i="12" s="1"/>
  <c r="W125" i="12" a="1"/>
  <c r="W125" i="12" s="1"/>
  <c r="X125" i="12" a="1"/>
  <c r="X125" i="12" s="1"/>
  <c r="K126" i="12" a="1"/>
  <c r="K126" i="12" s="1"/>
  <c r="L126" i="12" a="1"/>
  <c r="L126" i="12" s="1"/>
  <c r="M126" i="12" a="1"/>
  <c r="M126" i="12" s="1"/>
  <c r="N126" i="12" a="1"/>
  <c r="N126" i="12" s="1"/>
  <c r="O126" i="12" a="1"/>
  <c r="O126" i="12" s="1"/>
  <c r="P126" i="12" a="1"/>
  <c r="P126" i="12" s="1"/>
  <c r="Q126" i="12" a="1"/>
  <c r="Q126" i="12" s="1"/>
  <c r="R126" i="12" a="1"/>
  <c r="R126" i="12" s="1"/>
  <c r="U126" i="12" a="1"/>
  <c r="U126" i="12" s="1"/>
  <c r="V126" i="12" a="1"/>
  <c r="V126" i="12" s="1"/>
  <c r="W126" i="12" a="1"/>
  <c r="W126" i="12" s="1"/>
  <c r="X126" i="12" a="1"/>
  <c r="X126" i="12" s="1"/>
  <c r="K127" i="12" a="1"/>
  <c r="K127" i="12" s="1"/>
  <c r="L127" i="12" a="1"/>
  <c r="L127" i="12" s="1"/>
  <c r="M127" i="12" a="1"/>
  <c r="M127" i="12" s="1"/>
  <c r="N127" i="12" a="1"/>
  <c r="N127" i="12" s="1"/>
  <c r="O127" i="12" a="1"/>
  <c r="O127" i="12" s="1"/>
  <c r="P127" i="12" a="1"/>
  <c r="P127" i="12" s="1"/>
  <c r="Q127" i="12" a="1"/>
  <c r="Q127" i="12" s="1"/>
  <c r="R127" i="12" a="1"/>
  <c r="R127" i="12" s="1"/>
  <c r="U127" i="12" a="1"/>
  <c r="U127" i="12" s="1"/>
  <c r="V127" i="12" a="1"/>
  <c r="V127" i="12" s="1"/>
  <c r="W127" i="12" a="1"/>
  <c r="W127" i="12" s="1"/>
  <c r="X127" i="12" a="1"/>
  <c r="X127" i="12" s="1"/>
  <c r="K128" i="12" a="1"/>
  <c r="K128" i="12" s="1"/>
  <c r="L128" i="12" a="1"/>
  <c r="L128" i="12" s="1"/>
  <c r="M128" i="12" a="1"/>
  <c r="M128" i="12" s="1"/>
  <c r="N128" i="12" a="1"/>
  <c r="N128" i="12" s="1"/>
  <c r="O128" i="12" a="1"/>
  <c r="O128" i="12" s="1"/>
  <c r="P128" i="12" a="1"/>
  <c r="P128" i="12" s="1"/>
  <c r="Q128" i="12" a="1"/>
  <c r="Q128" i="12" s="1"/>
  <c r="R128" i="12" a="1"/>
  <c r="R128" i="12" s="1"/>
  <c r="U128" i="12" a="1"/>
  <c r="U128" i="12" s="1"/>
  <c r="V128" i="12" a="1"/>
  <c r="V128" i="12" s="1"/>
  <c r="W128" i="12" a="1"/>
  <c r="W128" i="12" s="1"/>
  <c r="X128" i="12" a="1"/>
  <c r="X128" i="12" s="1"/>
  <c r="K129" i="12" a="1"/>
  <c r="K129" i="12" s="1"/>
  <c r="L129" i="12" a="1"/>
  <c r="L129" i="12" s="1"/>
  <c r="M129" i="12" a="1"/>
  <c r="M129" i="12" s="1"/>
  <c r="N129" i="12" a="1"/>
  <c r="N129" i="12" s="1"/>
  <c r="O129" i="12" a="1"/>
  <c r="O129" i="12" s="1"/>
  <c r="P129" i="12" a="1"/>
  <c r="P129" i="12" s="1"/>
  <c r="Q129" i="12" a="1"/>
  <c r="Q129" i="12" s="1"/>
  <c r="R129" i="12" a="1"/>
  <c r="R129" i="12" s="1"/>
  <c r="U129" i="12" a="1"/>
  <c r="U129" i="12" s="1"/>
  <c r="V129" i="12" a="1"/>
  <c r="V129" i="12" s="1"/>
  <c r="W129" i="12" a="1"/>
  <c r="W129" i="12" s="1"/>
  <c r="X129" i="12" a="1"/>
  <c r="X129" i="12" s="1"/>
  <c r="K130" i="12" a="1"/>
  <c r="K130" i="12" s="1"/>
  <c r="L130" i="12" a="1"/>
  <c r="L130" i="12" s="1"/>
  <c r="M130" i="12" a="1"/>
  <c r="M130" i="12" s="1"/>
  <c r="N130" i="12" a="1"/>
  <c r="N130" i="12" s="1"/>
  <c r="O130" i="12" a="1"/>
  <c r="O130" i="12" s="1"/>
  <c r="P130" i="12" a="1"/>
  <c r="P130" i="12" s="1"/>
  <c r="Q130" i="12" a="1"/>
  <c r="Q130" i="12" s="1"/>
  <c r="R130" i="12" a="1"/>
  <c r="R130" i="12" s="1"/>
  <c r="U130" i="12" a="1"/>
  <c r="U130" i="12" s="1"/>
  <c r="V130" i="12" a="1"/>
  <c r="V130" i="12" s="1"/>
  <c r="W130" i="12" a="1"/>
  <c r="W130" i="12" s="1"/>
  <c r="X130" i="12" a="1"/>
  <c r="X130" i="12" s="1"/>
  <c r="K131" i="12" a="1"/>
  <c r="K131" i="12" s="1"/>
  <c r="L131" i="12" a="1"/>
  <c r="L131" i="12" s="1"/>
  <c r="M131" i="12" a="1"/>
  <c r="M131" i="12" s="1"/>
  <c r="N131" i="12" a="1"/>
  <c r="N131" i="12" s="1"/>
  <c r="O131" i="12" a="1"/>
  <c r="O131" i="12" s="1"/>
  <c r="P131" i="12" a="1"/>
  <c r="P131" i="12" s="1"/>
  <c r="Q131" i="12" a="1"/>
  <c r="Q131" i="12" s="1"/>
  <c r="R131" i="12" a="1"/>
  <c r="R131" i="12" s="1"/>
  <c r="U131" i="12" a="1"/>
  <c r="U131" i="12" s="1"/>
  <c r="V131" i="12" a="1"/>
  <c r="V131" i="12" s="1"/>
  <c r="W131" i="12" a="1"/>
  <c r="W131" i="12" s="1"/>
  <c r="X131" i="12" a="1"/>
  <c r="X131" i="12" s="1"/>
  <c r="K132" i="12" a="1"/>
  <c r="K132" i="12" s="1"/>
  <c r="L132" i="12" a="1"/>
  <c r="L132" i="12" s="1"/>
  <c r="M132" i="12" a="1"/>
  <c r="M132" i="12" s="1"/>
  <c r="N132" i="12" a="1"/>
  <c r="N132" i="12" s="1"/>
  <c r="O132" i="12" a="1"/>
  <c r="O132" i="12" s="1"/>
  <c r="P132" i="12" a="1"/>
  <c r="P132" i="12" s="1"/>
  <c r="Q132" i="12" a="1"/>
  <c r="Q132" i="12" s="1"/>
  <c r="R132" i="12" a="1"/>
  <c r="R132" i="12" s="1"/>
  <c r="U132" i="12" a="1"/>
  <c r="U132" i="12" s="1"/>
  <c r="V132" i="12" a="1"/>
  <c r="V132" i="12" s="1"/>
  <c r="W132" i="12" a="1"/>
  <c r="W132" i="12" s="1"/>
  <c r="X132" i="12" a="1"/>
  <c r="X132" i="12" s="1"/>
  <c r="K133" i="12" a="1"/>
  <c r="K133" i="12" s="1"/>
  <c r="L133" i="12" a="1"/>
  <c r="L133" i="12" s="1"/>
  <c r="M133" i="12" a="1"/>
  <c r="M133" i="12" s="1"/>
  <c r="N133" i="12" a="1"/>
  <c r="N133" i="12" s="1"/>
  <c r="O133" i="12" a="1"/>
  <c r="O133" i="12" s="1"/>
  <c r="P133" i="12" a="1"/>
  <c r="P133" i="12" s="1"/>
  <c r="Q133" i="12" a="1"/>
  <c r="Q133" i="12" s="1"/>
  <c r="R133" i="12" a="1"/>
  <c r="R133" i="12" s="1"/>
  <c r="U133" i="12" a="1"/>
  <c r="U133" i="12" s="1"/>
  <c r="V133" i="12" a="1"/>
  <c r="V133" i="12" s="1"/>
  <c r="W133" i="12" a="1"/>
  <c r="W133" i="12" s="1"/>
  <c r="X133" i="12" a="1"/>
  <c r="X133" i="12" s="1"/>
  <c r="K134" i="12" a="1"/>
  <c r="K134" i="12" s="1"/>
  <c r="L134" i="12" a="1"/>
  <c r="L134" i="12" s="1"/>
  <c r="M134" i="12" a="1"/>
  <c r="M134" i="12" s="1"/>
  <c r="N134" i="12" a="1"/>
  <c r="N134" i="12" s="1"/>
  <c r="O134" i="12" a="1"/>
  <c r="O134" i="12" s="1"/>
  <c r="P134" i="12" a="1"/>
  <c r="P134" i="12" s="1"/>
  <c r="Q134" i="12" a="1"/>
  <c r="Q134" i="12" s="1"/>
  <c r="R134" i="12" a="1"/>
  <c r="R134" i="12" s="1"/>
  <c r="U134" i="12" a="1"/>
  <c r="U134" i="12" s="1"/>
  <c r="V134" i="12" a="1"/>
  <c r="V134" i="12" s="1"/>
  <c r="W134" i="12" a="1"/>
  <c r="W134" i="12" s="1"/>
  <c r="X134" i="12" a="1"/>
  <c r="X134" i="12" s="1"/>
  <c r="K135" i="12" a="1"/>
  <c r="K135" i="12" s="1"/>
  <c r="L135" i="12" a="1"/>
  <c r="L135" i="12" s="1"/>
  <c r="M135" i="12" a="1"/>
  <c r="M135" i="12" s="1"/>
  <c r="N135" i="12" a="1"/>
  <c r="N135" i="12" s="1"/>
  <c r="O135" i="12" a="1"/>
  <c r="O135" i="12" s="1"/>
  <c r="P135" i="12" a="1"/>
  <c r="P135" i="12" s="1"/>
  <c r="Q135" i="12" a="1"/>
  <c r="Q135" i="12" s="1"/>
  <c r="R135" i="12" a="1"/>
  <c r="R135" i="12" s="1"/>
  <c r="U135" i="12" a="1"/>
  <c r="U135" i="12" s="1"/>
  <c r="V135" i="12" a="1"/>
  <c r="V135" i="12" s="1"/>
  <c r="W135" i="12" a="1"/>
  <c r="W135" i="12" s="1"/>
  <c r="X135" i="12" a="1"/>
  <c r="X135" i="12" s="1"/>
  <c r="K136" i="12" a="1"/>
  <c r="K136" i="12" s="1"/>
  <c r="L136" i="12" a="1"/>
  <c r="L136" i="12" s="1"/>
  <c r="M136" i="12" a="1"/>
  <c r="M136" i="12" s="1"/>
  <c r="N136" i="12" a="1"/>
  <c r="N136" i="12" s="1"/>
  <c r="O136" i="12" a="1"/>
  <c r="O136" i="12" s="1"/>
  <c r="P136" i="12" a="1"/>
  <c r="P136" i="12" s="1"/>
  <c r="Q136" i="12" a="1"/>
  <c r="Q136" i="12" s="1"/>
  <c r="R136" i="12" a="1"/>
  <c r="R136" i="12" s="1"/>
  <c r="U136" i="12" a="1"/>
  <c r="U136" i="12" s="1"/>
  <c r="V136" i="12" a="1"/>
  <c r="V136" i="12" s="1"/>
  <c r="W136" i="12" a="1"/>
  <c r="W136" i="12" s="1"/>
  <c r="X136" i="12" a="1"/>
  <c r="X136" i="12" s="1"/>
  <c r="K137" i="12" a="1"/>
  <c r="K137" i="12" s="1"/>
  <c r="L137" i="12" a="1"/>
  <c r="L137" i="12" s="1"/>
  <c r="M137" i="12" a="1"/>
  <c r="M137" i="12" s="1"/>
  <c r="N137" i="12" a="1"/>
  <c r="N137" i="12" s="1"/>
  <c r="O137" i="12" a="1"/>
  <c r="O137" i="12" s="1"/>
  <c r="P137" i="12" a="1"/>
  <c r="P137" i="12" s="1"/>
  <c r="Q137" i="12" a="1"/>
  <c r="Q137" i="12" s="1"/>
  <c r="R137" i="12" a="1"/>
  <c r="R137" i="12" s="1"/>
  <c r="U137" i="12" a="1"/>
  <c r="U137" i="12" s="1"/>
  <c r="V137" i="12" a="1"/>
  <c r="V137" i="12" s="1"/>
  <c r="W137" i="12" a="1"/>
  <c r="W137" i="12" s="1"/>
  <c r="X137" i="12" a="1"/>
  <c r="X137" i="12" s="1"/>
  <c r="K138" i="12" a="1"/>
  <c r="K138" i="12" s="1"/>
  <c r="L138" i="12" a="1"/>
  <c r="L138" i="12" s="1"/>
  <c r="M138" i="12" a="1"/>
  <c r="M138" i="12" s="1"/>
  <c r="N138" i="12" a="1"/>
  <c r="N138" i="12" s="1"/>
  <c r="O138" i="12" a="1"/>
  <c r="O138" i="12" s="1"/>
  <c r="P138" i="12" a="1"/>
  <c r="P138" i="12" s="1"/>
  <c r="Q138" i="12" a="1"/>
  <c r="Q138" i="12" s="1"/>
  <c r="R138" i="12" a="1"/>
  <c r="R138" i="12" s="1"/>
  <c r="U138" i="12" a="1"/>
  <c r="U138" i="12" s="1"/>
  <c r="V138" i="12" a="1"/>
  <c r="V138" i="12" s="1"/>
  <c r="W138" i="12" a="1"/>
  <c r="W138" i="12" s="1"/>
  <c r="X138" i="12" a="1"/>
  <c r="X138" i="12" s="1"/>
  <c r="K139" i="12" a="1"/>
  <c r="K139" i="12" s="1"/>
  <c r="L139" i="12" a="1"/>
  <c r="L139" i="12" s="1"/>
  <c r="M139" i="12" a="1"/>
  <c r="M139" i="12" s="1"/>
  <c r="N139" i="12" a="1"/>
  <c r="N139" i="12" s="1"/>
  <c r="O139" i="12" a="1"/>
  <c r="O139" i="12" s="1"/>
  <c r="P139" i="12" a="1"/>
  <c r="P139" i="12" s="1"/>
  <c r="Q139" i="12" a="1"/>
  <c r="Q139" i="12" s="1"/>
  <c r="R139" i="12" a="1"/>
  <c r="R139" i="12" s="1"/>
  <c r="U139" i="12" a="1"/>
  <c r="U139" i="12" s="1"/>
  <c r="V139" i="12" a="1"/>
  <c r="V139" i="12" s="1"/>
  <c r="W139" i="12" a="1"/>
  <c r="W139" i="12" s="1"/>
  <c r="X139" i="12" a="1"/>
  <c r="X139" i="12" s="1"/>
  <c r="K140" i="12" a="1"/>
  <c r="K140" i="12" s="1"/>
  <c r="L140" i="12" a="1"/>
  <c r="L140" i="12" s="1"/>
  <c r="M140" i="12" a="1"/>
  <c r="M140" i="12" s="1"/>
  <c r="N140" i="12" a="1"/>
  <c r="N140" i="12" s="1"/>
  <c r="O140" i="12" a="1"/>
  <c r="O140" i="12" s="1"/>
  <c r="P140" i="12" a="1"/>
  <c r="P140" i="12" s="1"/>
  <c r="Q140" i="12" a="1"/>
  <c r="Q140" i="12" s="1"/>
  <c r="R140" i="12" a="1"/>
  <c r="R140" i="12" s="1"/>
  <c r="U140" i="12" a="1"/>
  <c r="U140" i="12" s="1"/>
  <c r="V140" i="12" a="1"/>
  <c r="V140" i="12" s="1"/>
  <c r="W140" i="12" a="1"/>
  <c r="W140" i="12" s="1"/>
  <c r="X140" i="12" a="1"/>
  <c r="X140" i="12" s="1"/>
  <c r="K141" i="12" a="1"/>
  <c r="K141" i="12" s="1"/>
  <c r="L141" i="12" a="1"/>
  <c r="L141" i="12" s="1"/>
  <c r="M141" i="12" a="1"/>
  <c r="M141" i="12" s="1"/>
  <c r="N141" i="12" a="1"/>
  <c r="N141" i="12" s="1"/>
  <c r="O141" i="12" a="1"/>
  <c r="O141" i="12" s="1"/>
  <c r="P141" i="12" a="1"/>
  <c r="P141" i="12" s="1"/>
  <c r="Q141" i="12" a="1"/>
  <c r="Q141" i="12" s="1"/>
  <c r="R141" i="12" a="1"/>
  <c r="R141" i="12" s="1"/>
  <c r="U141" i="12" a="1"/>
  <c r="U141" i="12" s="1"/>
  <c r="V141" i="12" a="1"/>
  <c r="V141" i="12" s="1"/>
  <c r="W141" i="12" a="1"/>
  <c r="W141" i="12" s="1"/>
  <c r="X141" i="12" a="1"/>
  <c r="X141" i="12" s="1"/>
  <c r="K142" i="12" a="1"/>
  <c r="K142" i="12" s="1"/>
  <c r="L142" i="12" a="1"/>
  <c r="L142" i="12" s="1"/>
  <c r="M142" i="12" a="1"/>
  <c r="M142" i="12" s="1"/>
  <c r="N142" i="12" a="1"/>
  <c r="N142" i="12" s="1"/>
  <c r="O142" i="12" a="1"/>
  <c r="O142" i="12" s="1"/>
  <c r="P142" i="12" a="1"/>
  <c r="P142" i="12" s="1"/>
  <c r="Q142" i="12" a="1"/>
  <c r="Q142" i="12" s="1"/>
  <c r="R142" i="12" a="1"/>
  <c r="R142" i="12" s="1"/>
  <c r="U142" i="12" a="1"/>
  <c r="U142" i="12" s="1"/>
  <c r="V142" i="12" a="1"/>
  <c r="V142" i="12" s="1"/>
  <c r="W142" i="12" a="1"/>
  <c r="W142" i="12" s="1"/>
  <c r="X142" i="12" a="1"/>
  <c r="X142" i="12" s="1"/>
  <c r="K143" i="12" a="1"/>
  <c r="K143" i="12" s="1"/>
  <c r="L143" i="12" a="1"/>
  <c r="L143" i="12" s="1"/>
  <c r="M143" i="12" a="1"/>
  <c r="M143" i="12" s="1"/>
  <c r="N143" i="12" a="1"/>
  <c r="N143" i="12" s="1"/>
  <c r="O143" i="12" a="1"/>
  <c r="O143" i="12" s="1"/>
  <c r="P143" i="12" a="1"/>
  <c r="P143" i="12" s="1"/>
  <c r="Q143" i="12" a="1"/>
  <c r="Q143" i="12" s="1"/>
  <c r="R143" i="12" a="1"/>
  <c r="R143" i="12" s="1"/>
  <c r="U143" i="12" a="1"/>
  <c r="U143" i="12" s="1"/>
  <c r="V143" i="12" a="1"/>
  <c r="V143" i="12" s="1"/>
  <c r="W143" i="12" a="1"/>
  <c r="W143" i="12" s="1"/>
  <c r="X143" i="12" a="1"/>
  <c r="X143" i="12" s="1"/>
  <c r="K144" i="12" a="1"/>
  <c r="K144" i="12" s="1"/>
  <c r="L144" i="12" a="1"/>
  <c r="L144" i="12" s="1"/>
  <c r="M144" i="12" a="1"/>
  <c r="M144" i="12" s="1"/>
  <c r="N144" i="12" a="1"/>
  <c r="N144" i="12" s="1"/>
  <c r="O144" i="12" a="1"/>
  <c r="O144" i="12" s="1"/>
  <c r="P144" i="12" a="1"/>
  <c r="P144" i="12" s="1"/>
  <c r="Q144" i="12" a="1"/>
  <c r="Q144" i="12" s="1"/>
  <c r="R144" i="12" a="1"/>
  <c r="R144" i="12" s="1"/>
  <c r="U144" i="12" a="1"/>
  <c r="U144" i="12" s="1"/>
  <c r="V144" i="12" a="1"/>
  <c r="V144" i="12" s="1"/>
  <c r="W144" i="12" a="1"/>
  <c r="W144" i="12" s="1"/>
  <c r="X144" i="12" a="1"/>
  <c r="X144" i="12" s="1"/>
  <c r="K145" i="12" a="1"/>
  <c r="K145" i="12" s="1"/>
  <c r="L145" i="12" a="1"/>
  <c r="L145" i="12" s="1"/>
  <c r="M145" i="12" a="1"/>
  <c r="M145" i="12" s="1"/>
  <c r="N145" i="12" a="1"/>
  <c r="N145" i="12" s="1"/>
  <c r="O145" i="12" a="1"/>
  <c r="O145" i="12" s="1"/>
  <c r="P145" i="12" a="1"/>
  <c r="P145" i="12" s="1"/>
  <c r="Q145" i="12" a="1"/>
  <c r="Q145" i="12" s="1"/>
  <c r="R145" i="12" a="1"/>
  <c r="R145" i="12" s="1"/>
  <c r="U145" i="12" a="1"/>
  <c r="U145" i="12" s="1"/>
  <c r="V145" i="12" a="1"/>
  <c r="V145" i="12" s="1"/>
  <c r="W145" i="12" a="1"/>
  <c r="W145" i="12" s="1"/>
  <c r="X145" i="12" a="1"/>
  <c r="X145" i="12" s="1"/>
  <c r="K146" i="12" a="1"/>
  <c r="K146" i="12" s="1"/>
  <c r="L146" i="12" a="1"/>
  <c r="L146" i="12" s="1"/>
  <c r="M146" i="12" a="1"/>
  <c r="M146" i="12" s="1"/>
  <c r="N146" i="12" a="1"/>
  <c r="N146" i="12" s="1"/>
  <c r="O146" i="12" a="1"/>
  <c r="O146" i="12" s="1"/>
  <c r="P146" i="12" a="1"/>
  <c r="P146" i="12" s="1"/>
  <c r="Q146" i="12" a="1"/>
  <c r="Q146" i="12" s="1"/>
  <c r="R146" i="12" a="1"/>
  <c r="R146" i="12" s="1"/>
  <c r="U146" i="12" a="1"/>
  <c r="U146" i="12" s="1"/>
  <c r="V146" i="12" a="1"/>
  <c r="V146" i="12" s="1"/>
  <c r="W146" i="12" a="1"/>
  <c r="W146" i="12" s="1"/>
  <c r="X146" i="12" a="1"/>
  <c r="X146" i="12" s="1"/>
  <c r="K147" i="12" a="1"/>
  <c r="K147" i="12" s="1"/>
  <c r="L147" i="12" a="1"/>
  <c r="L147" i="12" s="1"/>
  <c r="M147" i="12" a="1"/>
  <c r="M147" i="12" s="1"/>
  <c r="N147" i="12" a="1"/>
  <c r="N147" i="12" s="1"/>
  <c r="O147" i="12" a="1"/>
  <c r="O147" i="12" s="1"/>
  <c r="P147" i="12" a="1"/>
  <c r="P147" i="12" s="1"/>
  <c r="Q147" i="12" a="1"/>
  <c r="Q147" i="12" s="1"/>
  <c r="R147" i="12" a="1"/>
  <c r="R147" i="12" s="1"/>
  <c r="U147" i="12" a="1"/>
  <c r="U147" i="12" s="1"/>
  <c r="V147" i="12" a="1"/>
  <c r="V147" i="12" s="1"/>
  <c r="W147" i="12" a="1"/>
  <c r="W147" i="12" s="1"/>
  <c r="X147" i="12" a="1"/>
  <c r="X147" i="12" s="1"/>
  <c r="K148" i="12" a="1"/>
  <c r="K148" i="12" s="1"/>
  <c r="L148" i="12" a="1"/>
  <c r="L148" i="12" s="1"/>
  <c r="M148" i="12" a="1"/>
  <c r="M148" i="12" s="1"/>
  <c r="N148" i="12" a="1"/>
  <c r="N148" i="12" s="1"/>
  <c r="O148" i="12" a="1"/>
  <c r="O148" i="12" s="1"/>
  <c r="P148" i="12" a="1"/>
  <c r="P148" i="12" s="1"/>
  <c r="Q148" i="12" a="1"/>
  <c r="Q148" i="12" s="1"/>
  <c r="R148" i="12" a="1"/>
  <c r="R148" i="12" s="1"/>
  <c r="U148" i="12" a="1"/>
  <c r="U148" i="12" s="1"/>
  <c r="V148" i="12" a="1"/>
  <c r="V148" i="12" s="1"/>
  <c r="W148" i="12" a="1"/>
  <c r="W148" i="12" s="1"/>
  <c r="X148" i="12" a="1"/>
  <c r="X148" i="12" s="1"/>
  <c r="K149" i="12" a="1"/>
  <c r="K149" i="12" s="1"/>
  <c r="L149" i="12" a="1"/>
  <c r="L149" i="12" s="1"/>
  <c r="M149" i="12" a="1"/>
  <c r="M149" i="12" s="1"/>
  <c r="N149" i="12" a="1"/>
  <c r="N149" i="12" s="1"/>
  <c r="O149" i="12" a="1"/>
  <c r="O149" i="12" s="1"/>
  <c r="P149" i="12" a="1"/>
  <c r="P149" i="12" s="1"/>
  <c r="Q149" i="12" a="1"/>
  <c r="Q149" i="12" s="1"/>
  <c r="R149" i="12" a="1"/>
  <c r="R149" i="12" s="1"/>
  <c r="U149" i="12" a="1"/>
  <c r="U149" i="12" s="1"/>
  <c r="V149" i="12" a="1"/>
  <c r="V149" i="12" s="1"/>
  <c r="W149" i="12" a="1"/>
  <c r="W149" i="12" s="1"/>
  <c r="X149" i="12" a="1"/>
  <c r="X149" i="12" s="1"/>
  <c r="K150" i="12" a="1"/>
  <c r="K150" i="12" s="1"/>
  <c r="L150" i="12" a="1"/>
  <c r="L150" i="12" s="1"/>
  <c r="M150" i="12" a="1"/>
  <c r="M150" i="12" s="1"/>
  <c r="N150" i="12" a="1"/>
  <c r="N150" i="12" s="1"/>
  <c r="O150" i="12" a="1"/>
  <c r="O150" i="12" s="1"/>
  <c r="P150" i="12" a="1"/>
  <c r="P150" i="12" s="1"/>
  <c r="Q150" i="12" a="1"/>
  <c r="Q150" i="12" s="1"/>
  <c r="R150" i="12" a="1"/>
  <c r="R150" i="12" s="1"/>
  <c r="U150" i="12" a="1"/>
  <c r="U150" i="12" s="1"/>
  <c r="V150" i="12" a="1"/>
  <c r="V150" i="12" s="1"/>
  <c r="W150" i="12" a="1"/>
  <c r="W150" i="12" s="1"/>
  <c r="X150" i="12" a="1"/>
  <c r="X150" i="12" s="1"/>
  <c r="K151" i="12" a="1"/>
  <c r="K151" i="12" s="1"/>
  <c r="L151" i="12" a="1"/>
  <c r="L151" i="12" s="1"/>
  <c r="M151" i="12" a="1"/>
  <c r="M151" i="12" s="1"/>
  <c r="N151" i="12" a="1"/>
  <c r="N151" i="12" s="1"/>
  <c r="O151" i="12" a="1"/>
  <c r="O151" i="12" s="1"/>
  <c r="P151" i="12" a="1"/>
  <c r="P151" i="12" s="1"/>
  <c r="Q151" i="12" a="1"/>
  <c r="Q151" i="12" s="1"/>
  <c r="R151" i="12" a="1"/>
  <c r="R151" i="12" s="1"/>
  <c r="U151" i="12" a="1"/>
  <c r="U151" i="12" s="1"/>
  <c r="V151" i="12" a="1"/>
  <c r="V151" i="12" s="1"/>
  <c r="W151" i="12" a="1"/>
  <c r="W151" i="12" s="1"/>
  <c r="X151" i="12" a="1"/>
  <c r="X151" i="12" s="1"/>
  <c r="K152" i="12" a="1"/>
  <c r="K152" i="12" s="1"/>
  <c r="L152" i="12" a="1"/>
  <c r="L152" i="12" s="1"/>
  <c r="M152" i="12" a="1"/>
  <c r="M152" i="12" s="1"/>
  <c r="N152" i="12" a="1"/>
  <c r="N152" i="12" s="1"/>
  <c r="O152" i="12" a="1"/>
  <c r="O152" i="12" s="1"/>
  <c r="P152" i="12" a="1"/>
  <c r="P152" i="12" s="1"/>
  <c r="Q152" i="12" a="1"/>
  <c r="Q152" i="12" s="1"/>
  <c r="R152" i="12" a="1"/>
  <c r="R152" i="12" s="1"/>
  <c r="U152" i="12" a="1"/>
  <c r="U152" i="12" s="1"/>
  <c r="V152" i="12" a="1"/>
  <c r="V152" i="12" s="1"/>
  <c r="W152" i="12" a="1"/>
  <c r="W152" i="12" s="1"/>
  <c r="X152" i="12" a="1"/>
  <c r="X152" i="12" s="1"/>
  <c r="K153" i="12" a="1"/>
  <c r="K153" i="12" s="1"/>
  <c r="L153" i="12" a="1"/>
  <c r="L153" i="12" s="1"/>
  <c r="M153" i="12" a="1"/>
  <c r="M153" i="12" s="1"/>
  <c r="N153" i="12" a="1"/>
  <c r="N153" i="12" s="1"/>
  <c r="O153" i="12" a="1"/>
  <c r="O153" i="12" s="1"/>
  <c r="P153" i="12" a="1"/>
  <c r="P153" i="12" s="1"/>
  <c r="Q153" i="12" a="1"/>
  <c r="Q153" i="12" s="1"/>
  <c r="R153" i="12" a="1"/>
  <c r="R153" i="12" s="1"/>
  <c r="U153" i="12" a="1"/>
  <c r="U153" i="12" s="1"/>
  <c r="V153" i="12" a="1"/>
  <c r="V153" i="12" s="1"/>
  <c r="W153" i="12" a="1"/>
  <c r="W153" i="12" s="1"/>
  <c r="X153" i="12" a="1"/>
  <c r="X153" i="12" s="1"/>
  <c r="K154" i="12" a="1"/>
  <c r="K154" i="12" s="1"/>
  <c r="L154" i="12" a="1"/>
  <c r="L154" i="12" s="1"/>
  <c r="M154" i="12" a="1"/>
  <c r="M154" i="12" s="1"/>
  <c r="N154" i="12" a="1"/>
  <c r="N154" i="12" s="1"/>
  <c r="O154" i="12" a="1"/>
  <c r="O154" i="12" s="1"/>
  <c r="P154" i="12" a="1"/>
  <c r="P154" i="12" s="1"/>
  <c r="Q154" i="12" a="1"/>
  <c r="Q154" i="12" s="1"/>
  <c r="R154" i="12" a="1"/>
  <c r="R154" i="12" s="1"/>
  <c r="U154" i="12" a="1"/>
  <c r="U154" i="12" s="1"/>
  <c r="V154" i="12" a="1"/>
  <c r="V154" i="12" s="1"/>
  <c r="W154" i="12" a="1"/>
  <c r="W154" i="12" s="1"/>
  <c r="X154" i="12" a="1"/>
  <c r="X154" i="12" s="1"/>
  <c r="K155" i="12" a="1"/>
  <c r="K155" i="12" s="1"/>
  <c r="L155" i="12" a="1"/>
  <c r="L155" i="12" s="1"/>
  <c r="M155" i="12" a="1"/>
  <c r="M155" i="12" s="1"/>
  <c r="N155" i="12" a="1"/>
  <c r="N155" i="12" s="1"/>
  <c r="O155" i="12" a="1"/>
  <c r="O155" i="12" s="1"/>
  <c r="P155" i="12" a="1"/>
  <c r="P155" i="12" s="1"/>
  <c r="Q155" i="12" a="1"/>
  <c r="Q155" i="12" s="1"/>
  <c r="R155" i="12" a="1"/>
  <c r="R155" i="12" s="1"/>
  <c r="U155" i="12" a="1"/>
  <c r="U155" i="12" s="1"/>
  <c r="V155" i="12" a="1"/>
  <c r="V155" i="12" s="1"/>
  <c r="W155" i="12" a="1"/>
  <c r="W155" i="12" s="1"/>
  <c r="X155" i="12" a="1"/>
  <c r="X155" i="12" s="1"/>
  <c r="K156" i="12" a="1"/>
  <c r="K156" i="12" s="1"/>
  <c r="L156" i="12" a="1"/>
  <c r="L156" i="12" s="1"/>
  <c r="M156" i="12" a="1"/>
  <c r="M156" i="12" s="1"/>
  <c r="N156" i="12" a="1"/>
  <c r="N156" i="12" s="1"/>
  <c r="O156" i="12" a="1"/>
  <c r="O156" i="12" s="1"/>
  <c r="P156" i="12" a="1"/>
  <c r="P156" i="12" s="1"/>
  <c r="Q156" i="12" a="1"/>
  <c r="Q156" i="12" s="1"/>
  <c r="R156" i="12" a="1"/>
  <c r="R156" i="12" s="1"/>
  <c r="U156" i="12" a="1"/>
  <c r="U156" i="12" s="1"/>
  <c r="V156" i="12" a="1"/>
  <c r="V156" i="12" s="1"/>
  <c r="W156" i="12" a="1"/>
  <c r="W156" i="12" s="1"/>
  <c r="X156" i="12" a="1"/>
  <c r="X156" i="12" s="1"/>
  <c r="K157" i="12" a="1"/>
  <c r="K157" i="12" s="1"/>
  <c r="L157" i="12" a="1"/>
  <c r="L157" i="12" s="1"/>
  <c r="M157" i="12" a="1"/>
  <c r="M157" i="12" s="1"/>
  <c r="N157" i="12" a="1"/>
  <c r="N157" i="12" s="1"/>
  <c r="O157" i="12" a="1"/>
  <c r="O157" i="12" s="1"/>
  <c r="P157" i="12" a="1"/>
  <c r="P157" i="12" s="1"/>
  <c r="Q157" i="12" a="1"/>
  <c r="Q157" i="12" s="1"/>
  <c r="R157" i="12" a="1"/>
  <c r="R157" i="12" s="1"/>
  <c r="U157" i="12" a="1"/>
  <c r="U157" i="12" s="1"/>
  <c r="V157" i="12" a="1"/>
  <c r="V157" i="12" s="1"/>
  <c r="W157" i="12" a="1"/>
  <c r="W157" i="12" s="1"/>
  <c r="X157" i="12" a="1"/>
  <c r="X157" i="12" s="1"/>
  <c r="K158" i="12" a="1"/>
  <c r="K158" i="12" s="1"/>
  <c r="L158" i="12" a="1"/>
  <c r="L158" i="12" s="1"/>
  <c r="M158" i="12" a="1"/>
  <c r="M158" i="12" s="1"/>
  <c r="N158" i="12" a="1"/>
  <c r="N158" i="12" s="1"/>
  <c r="O158" i="12" a="1"/>
  <c r="O158" i="12" s="1"/>
  <c r="P158" i="12" a="1"/>
  <c r="P158" i="12" s="1"/>
  <c r="Q158" i="12" a="1"/>
  <c r="Q158" i="12" s="1"/>
  <c r="R158" i="12" a="1"/>
  <c r="R158" i="12" s="1"/>
  <c r="U158" i="12" a="1"/>
  <c r="U158" i="12" s="1"/>
  <c r="V158" i="12" a="1"/>
  <c r="V158" i="12" s="1"/>
  <c r="W158" i="12" a="1"/>
  <c r="W158" i="12" s="1"/>
  <c r="X158" i="12" a="1"/>
  <c r="X158" i="12" s="1"/>
  <c r="K159" i="12" a="1"/>
  <c r="K159" i="12" s="1"/>
  <c r="L159" i="12" a="1"/>
  <c r="L159" i="12" s="1"/>
  <c r="M159" i="12" a="1"/>
  <c r="M159" i="12" s="1"/>
  <c r="N159" i="12" a="1"/>
  <c r="N159" i="12" s="1"/>
  <c r="O159" i="12" a="1"/>
  <c r="O159" i="12" s="1"/>
  <c r="P159" i="12" a="1"/>
  <c r="P159" i="12" s="1"/>
  <c r="Q159" i="12" a="1"/>
  <c r="Q159" i="12" s="1"/>
  <c r="R159" i="12" a="1"/>
  <c r="R159" i="12" s="1"/>
  <c r="U159" i="12" a="1"/>
  <c r="U159" i="12" s="1"/>
  <c r="V159" i="12" a="1"/>
  <c r="V159" i="12" s="1"/>
  <c r="W159" i="12" a="1"/>
  <c r="W159" i="12" s="1"/>
  <c r="X159" i="12" a="1"/>
  <c r="X159" i="12" s="1"/>
  <c r="K160" i="12" a="1"/>
  <c r="K160" i="12" s="1"/>
  <c r="L160" i="12" a="1"/>
  <c r="L160" i="12" s="1"/>
  <c r="M160" i="12" a="1"/>
  <c r="M160" i="12" s="1"/>
  <c r="N160" i="12" a="1"/>
  <c r="N160" i="12" s="1"/>
  <c r="O160" i="12" a="1"/>
  <c r="O160" i="12" s="1"/>
  <c r="P160" i="12" a="1"/>
  <c r="P160" i="12" s="1"/>
  <c r="Q160" i="12" a="1"/>
  <c r="Q160" i="12" s="1"/>
  <c r="R160" i="12" a="1"/>
  <c r="R160" i="12" s="1"/>
  <c r="U160" i="12" a="1"/>
  <c r="U160" i="12" s="1"/>
  <c r="V160" i="12" a="1"/>
  <c r="V160" i="12" s="1"/>
  <c r="W160" i="12" a="1"/>
  <c r="W160" i="12" s="1"/>
  <c r="X160" i="12" a="1"/>
  <c r="X160" i="12" s="1"/>
  <c r="K161" i="12" a="1"/>
  <c r="K161" i="12" s="1"/>
  <c r="L161" i="12" a="1"/>
  <c r="L161" i="12" s="1"/>
  <c r="M161" i="12" a="1"/>
  <c r="M161" i="12" s="1"/>
  <c r="N161" i="12" a="1"/>
  <c r="N161" i="12" s="1"/>
  <c r="O161" i="12" a="1"/>
  <c r="O161" i="12" s="1"/>
  <c r="P161" i="12" a="1"/>
  <c r="P161" i="12" s="1"/>
  <c r="Q161" i="12" a="1"/>
  <c r="Q161" i="12" s="1"/>
  <c r="R161" i="12" a="1"/>
  <c r="R161" i="12" s="1"/>
  <c r="U161" i="12" a="1"/>
  <c r="U161" i="12" s="1"/>
  <c r="V161" i="12" a="1"/>
  <c r="V161" i="12" s="1"/>
  <c r="W161" i="12" a="1"/>
  <c r="W161" i="12" s="1"/>
  <c r="X161" i="12" a="1"/>
  <c r="X161" i="12" s="1"/>
  <c r="K162" i="12" a="1"/>
  <c r="K162" i="12" s="1"/>
  <c r="L162" i="12" a="1"/>
  <c r="L162" i="12" s="1"/>
  <c r="M162" i="12" a="1"/>
  <c r="M162" i="12" s="1"/>
  <c r="N162" i="12" a="1"/>
  <c r="N162" i="12" s="1"/>
  <c r="O162" i="12" a="1"/>
  <c r="O162" i="12" s="1"/>
  <c r="P162" i="12" a="1"/>
  <c r="P162" i="12" s="1"/>
  <c r="Q162" i="12" a="1"/>
  <c r="Q162" i="12" s="1"/>
  <c r="R162" i="12" a="1"/>
  <c r="R162" i="12" s="1"/>
  <c r="U162" i="12" a="1"/>
  <c r="U162" i="12" s="1"/>
  <c r="V162" i="12" a="1"/>
  <c r="V162" i="12" s="1"/>
  <c r="W162" i="12" a="1"/>
  <c r="W162" i="12" s="1"/>
  <c r="X162" i="12" a="1"/>
  <c r="X162" i="12" s="1"/>
  <c r="K163" i="12" a="1"/>
  <c r="K163" i="12" s="1"/>
  <c r="L163" i="12" a="1"/>
  <c r="L163" i="12" s="1"/>
  <c r="M163" i="12" a="1"/>
  <c r="M163" i="12" s="1"/>
  <c r="N163" i="12" a="1"/>
  <c r="N163" i="12" s="1"/>
  <c r="O163" i="12" a="1"/>
  <c r="O163" i="12" s="1"/>
  <c r="P163" i="12" a="1"/>
  <c r="P163" i="12" s="1"/>
  <c r="Q163" i="12" a="1"/>
  <c r="Q163" i="12" s="1"/>
  <c r="R163" i="12" a="1"/>
  <c r="R163" i="12" s="1"/>
  <c r="U163" i="12" a="1"/>
  <c r="U163" i="12" s="1"/>
  <c r="V163" i="12" a="1"/>
  <c r="V163" i="12" s="1"/>
  <c r="W163" i="12" a="1"/>
  <c r="W163" i="12" s="1"/>
  <c r="X163" i="12" a="1"/>
  <c r="X163" i="12" s="1"/>
  <c r="K164" i="12" a="1"/>
  <c r="K164" i="12" s="1"/>
  <c r="L164" i="12" a="1"/>
  <c r="L164" i="12" s="1"/>
  <c r="M164" i="12" a="1"/>
  <c r="M164" i="12" s="1"/>
  <c r="N164" i="12" a="1"/>
  <c r="N164" i="12" s="1"/>
  <c r="O164" i="12" a="1"/>
  <c r="O164" i="12" s="1"/>
  <c r="P164" i="12" a="1"/>
  <c r="P164" i="12" s="1"/>
  <c r="Q164" i="12" a="1"/>
  <c r="Q164" i="12" s="1"/>
  <c r="R164" i="12" a="1"/>
  <c r="R164" i="12" s="1"/>
  <c r="U164" i="12" a="1"/>
  <c r="U164" i="12" s="1"/>
  <c r="V164" i="12" a="1"/>
  <c r="V164" i="12" s="1"/>
  <c r="W164" i="12" a="1"/>
  <c r="W164" i="12" s="1"/>
  <c r="X164" i="12" a="1"/>
  <c r="X164" i="12" s="1"/>
  <c r="K165" i="12" a="1"/>
  <c r="K165" i="12" s="1"/>
  <c r="L165" i="12" a="1"/>
  <c r="L165" i="12" s="1"/>
  <c r="M165" i="12" a="1"/>
  <c r="M165" i="12" s="1"/>
  <c r="N165" i="12" a="1"/>
  <c r="N165" i="12" s="1"/>
  <c r="O165" i="12" a="1"/>
  <c r="O165" i="12" s="1"/>
  <c r="P165" i="12" a="1"/>
  <c r="P165" i="12" s="1"/>
  <c r="Q165" i="12" a="1"/>
  <c r="Q165" i="12" s="1"/>
  <c r="R165" i="12" a="1"/>
  <c r="R165" i="12" s="1"/>
  <c r="U165" i="12" a="1"/>
  <c r="U165" i="12" s="1"/>
  <c r="V165" i="12" a="1"/>
  <c r="V165" i="12" s="1"/>
  <c r="W165" i="12" a="1"/>
  <c r="W165" i="12" s="1"/>
  <c r="X165" i="12" a="1"/>
  <c r="X165" i="12" s="1"/>
  <c r="K166" i="12" a="1"/>
  <c r="K166" i="12" s="1"/>
  <c r="L166" i="12" a="1"/>
  <c r="L166" i="12" s="1"/>
  <c r="M166" i="12" a="1"/>
  <c r="M166" i="12" s="1"/>
  <c r="N166" i="12" a="1"/>
  <c r="N166" i="12" s="1"/>
  <c r="O166" i="12" a="1"/>
  <c r="O166" i="12" s="1"/>
  <c r="P166" i="12" a="1"/>
  <c r="P166" i="12" s="1"/>
  <c r="Q166" i="12" a="1"/>
  <c r="Q166" i="12" s="1"/>
  <c r="R166" i="12" a="1"/>
  <c r="R166" i="12" s="1"/>
  <c r="U166" i="12" a="1"/>
  <c r="U166" i="12" s="1"/>
  <c r="V166" i="12" a="1"/>
  <c r="V166" i="12" s="1"/>
  <c r="W166" i="12" a="1"/>
  <c r="W166" i="12" s="1"/>
  <c r="X166" i="12" a="1"/>
  <c r="X166" i="12" s="1"/>
  <c r="K167" i="12" a="1"/>
  <c r="K167" i="12" s="1"/>
  <c r="L167" i="12" a="1"/>
  <c r="L167" i="12" s="1"/>
  <c r="M167" i="12" a="1"/>
  <c r="M167" i="12" s="1"/>
  <c r="N167" i="12" a="1"/>
  <c r="N167" i="12" s="1"/>
  <c r="O167" i="12" a="1"/>
  <c r="O167" i="12" s="1"/>
  <c r="P167" i="12" a="1"/>
  <c r="P167" i="12" s="1"/>
  <c r="Q167" i="12" a="1"/>
  <c r="Q167" i="12" s="1"/>
  <c r="R167" i="12" a="1"/>
  <c r="R167" i="12" s="1"/>
  <c r="U167" i="12" a="1"/>
  <c r="U167" i="12" s="1"/>
  <c r="V167" i="12" a="1"/>
  <c r="V167" i="12" s="1"/>
  <c r="W167" i="12" a="1"/>
  <c r="W167" i="12" s="1"/>
  <c r="X167" i="12" a="1"/>
  <c r="X167" i="12" s="1"/>
  <c r="K168" i="12" a="1"/>
  <c r="K168" i="12" s="1"/>
  <c r="L168" i="12" a="1"/>
  <c r="L168" i="12" s="1"/>
  <c r="M168" i="12" a="1"/>
  <c r="M168" i="12" s="1"/>
  <c r="N168" i="12" a="1"/>
  <c r="N168" i="12" s="1"/>
  <c r="O168" i="12" a="1"/>
  <c r="O168" i="12" s="1"/>
  <c r="P168" i="12" a="1"/>
  <c r="P168" i="12" s="1"/>
  <c r="Q168" i="12" a="1"/>
  <c r="Q168" i="12" s="1"/>
  <c r="R168" i="12" a="1"/>
  <c r="R168" i="12" s="1"/>
  <c r="U168" i="12" a="1"/>
  <c r="U168" i="12" s="1"/>
  <c r="V168" i="12" a="1"/>
  <c r="V168" i="12" s="1"/>
  <c r="W168" i="12" a="1"/>
  <c r="W168" i="12" s="1"/>
  <c r="X168" i="12" a="1"/>
  <c r="X168" i="12" s="1"/>
  <c r="K169" i="12" a="1"/>
  <c r="K169" i="12" s="1"/>
  <c r="L169" i="12" a="1"/>
  <c r="L169" i="12" s="1"/>
  <c r="M169" i="12" a="1"/>
  <c r="M169" i="12" s="1"/>
  <c r="N169" i="12" a="1"/>
  <c r="N169" i="12" s="1"/>
  <c r="O169" i="12" a="1"/>
  <c r="O169" i="12" s="1"/>
  <c r="P169" i="12" a="1"/>
  <c r="P169" i="12" s="1"/>
  <c r="Q169" i="12" a="1"/>
  <c r="Q169" i="12" s="1"/>
  <c r="R169" i="12" a="1"/>
  <c r="R169" i="12" s="1"/>
  <c r="U169" i="12" a="1"/>
  <c r="U169" i="12" s="1"/>
  <c r="V169" i="12" a="1"/>
  <c r="V169" i="12" s="1"/>
  <c r="W169" i="12" a="1"/>
  <c r="W169" i="12" s="1"/>
  <c r="X169" i="12" a="1"/>
  <c r="X169" i="12" s="1"/>
  <c r="K170" i="12" a="1"/>
  <c r="K170" i="12" s="1"/>
  <c r="L170" i="12" a="1"/>
  <c r="L170" i="12" s="1"/>
  <c r="M170" i="12" a="1"/>
  <c r="M170" i="12" s="1"/>
  <c r="N170" i="12" a="1"/>
  <c r="N170" i="12" s="1"/>
  <c r="O170" i="12" a="1"/>
  <c r="O170" i="12" s="1"/>
  <c r="P170" i="12" a="1"/>
  <c r="P170" i="12" s="1"/>
  <c r="Q170" i="12" a="1"/>
  <c r="Q170" i="12" s="1"/>
  <c r="R170" i="12" a="1"/>
  <c r="R170" i="12" s="1"/>
  <c r="U170" i="12" a="1"/>
  <c r="U170" i="12" s="1"/>
  <c r="V170" i="12" a="1"/>
  <c r="V170" i="12" s="1"/>
  <c r="W170" i="12" a="1"/>
  <c r="W170" i="12" s="1"/>
  <c r="X170" i="12" a="1"/>
  <c r="X170" i="12" s="1"/>
  <c r="K171" i="12" a="1"/>
  <c r="K171" i="12" s="1"/>
  <c r="L171" i="12" a="1"/>
  <c r="L171" i="12" s="1"/>
  <c r="M171" i="12" a="1"/>
  <c r="M171" i="12" s="1"/>
  <c r="N171" i="12" a="1"/>
  <c r="N171" i="12" s="1"/>
  <c r="O171" i="12" a="1"/>
  <c r="O171" i="12" s="1"/>
  <c r="P171" i="12" a="1"/>
  <c r="P171" i="12" s="1"/>
  <c r="Q171" i="12" a="1"/>
  <c r="Q171" i="12" s="1"/>
  <c r="R171" i="12" a="1"/>
  <c r="R171" i="12" s="1"/>
  <c r="U171" i="12" a="1"/>
  <c r="U171" i="12" s="1"/>
  <c r="V171" i="12" a="1"/>
  <c r="V171" i="12" s="1"/>
  <c r="W171" i="12" a="1"/>
  <c r="W171" i="12" s="1"/>
  <c r="X171" i="12" a="1"/>
  <c r="X171" i="12" s="1"/>
  <c r="K172" i="12" a="1"/>
  <c r="K172" i="12" s="1"/>
  <c r="L172" i="12" a="1"/>
  <c r="L172" i="12" s="1"/>
  <c r="M172" i="12" a="1"/>
  <c r="M172" i="12" s="1"/>
  <c r="N172" i="12" a="1"/>
  <c r="N172" i="12" s="1"/>
  <c r="O172" i="12" a="1"/>
  <c r="O172" i="12" s="1"/>
  <c r="P172" i="12" a="1"/>
  <c r="P172" i="12" s="1"/>
  <c r="Q172" i="12" a="1"/>
  <c r="Q172" i="12" s="1"/>
  <c r="R172" i="12" a="1"/>
  <c r="R172" i="12" s="1"/>
  <c r="U172" i="12" a="1"/>
  <c r="U172" i="12" s="1"/>
  <c r="V172" i="12" a="1"/>
  <c r="V172" i="12" s="1"/>
  <c r="W172" i="12" a="1"/>
  <c r="W172" i="12" s="1"/>
  <c r="X172" i="12" a="1"/>
  <c r="X172" i="12" s="1"/>
  <c r="K173" i="12" a="1"/>
  <c r="K173" i="12" s="1"/>
  <c r="L173" i="12" a="1"/>
  <c r="L173" i="12" s="1"/>
  <c r="M173" i="12" a="1"/>
  <c r="M173" i="12" s="1"/>
  <c r="N173" i="12" a="1"/>
  <c r="N173" i="12" s="1"/>
  <c r="O173" i="12" a="1"/>
  <c r="O173" i="12" s="1"/>
  <c r="P173" i="12" a="1"/>
  <c r="P173" i="12" s="1"/>
  <c r="Q173" i="12" a="1"/>
  <c r="Q173" i="12" s="1"/>
  <c r="R173" i="12" a="1"/>
  <c r="R173" i="12" s="1"/>
  <c r="U173" i="12" a="1"/>
  <c r="U173" i="12" s="1"/>
  <c r="V173" i="12" a="1"/>
  <c r="V173" i="12" s="1"/>
  <c r="W173" i="12" a="1"/>
  <c r="W173" i="12" s="1"/>
  <c r="X173" i="12" a="1"/>
  <c r="X173" i="12" s="1"/>
  <c r="K174" i="12" a="1"/>
  <c r="K174" i="12" s="1"/>
  <c r="L174" i="12" a="1"/>
  <c r="L174" i="12" s="1"/>
  <c r="M174" i="12" a="1"/>
  <c r="M174" i="12" s="1"/>
  <c r="N174" i="12" a="1"/>
  <c r="N174" i="12" s="1"/>
  <c r="O174" i="12" a="1"/>
  <c r="O174" i="12" s="1"/>
  <c r="P174" i="12" a="1"/>
  <c r="P174" i="12" s="1"/>
  <c r="Q174" i="12" a="1"/>
  <c r="Q174" i="12" s="1"/>
  <c r="R174" i="12" a="1"/>
  <c r="R174" i="12" s="1"/>
  <c r="U174" i="12" a="1"/>
  <c r="U174" i="12" s="1"/>
  <c r="V174" i="12" a="1"/>
  <c r="V174" i="12" s="1"/>
  <c r="W174" i="12" a="1"/>
  <c r="W174" i="12" s="1"/>
  <c r="X174" i="12" a="1"/>
  <c r="X174" i="12" s="1"/>
  <c r="K175" i="12" a="1"/>
  <c r="K175" i="12" s="1"/>
  <c r="L175" i="12" a="1"/>
  <c r="L175" i="12" s="1"/>
  <c r="M175" i="12" a="1"/>
  <c r="M175" i="12" s="1"/>
  <c r="N175" i="12" a="1"/>
  <c r="N175" i="12" s="1"/>
  <c r="O175" i="12" a="1"/>
  <c r="O175" i="12" s="1"/>
  <c r="P175" i="12" a="1"/>
  <c r="P175" i="12" s="1"/>
  <c r="Q175" i="12" a="1"/>
  <c r="Q175" i="12" s="1"/>
  <c r="R175" i="12" a="1"/>
  <c r="R175" i="12" s="1"/>
  <c r="U175" i="12" a="1"/>
  <c r="U175" i="12" s="1"/>
  <c r="V175" i="12" a="1"/>
  <c r="V175" i="12" s="1"/>
  <c r="W175" i="12" a="1"/>
  <c r="W175" i="12" s="1"/>
  <c r="X175" i="12" a="1"/>
  <c r="X175" i="12" s="1"/>
  <c r="K176" i="12" a="1"/>
  <c r="K176" i="12" s="1"/>
  <c r="L176" i="12" a="1"/>
  <c r="L176" i="12" s="1"/>
  <c r="M176" i="12" a="1"/>
  <c r="M176" i="12" s="1"/>
  <c r="N176" i="12" a="1"/>
  <c r="N176" i="12" s="1"/>
  <c r="O176" i="12" a="1"/>
  <c r="O176" i="12" s="1"/>
  <c r="P176" i="12" a="1"/>
  <c r="P176" i="12" s="1"/>
  <c r="Q176" i="12" a="1"/>
  <c r="Q176" i="12" s="1"/>
  <c r="R176" i="12" a="1"/>
  <c r="R176" i="12" s="1"/>
  <c r="U176" i="12" a="1"/>
  <c r="U176" i="12" s="1"/>
  <c r="V176" i="12" a="1"/>
  <c r="V176" i="12" s="1"/>
  <c r="W176" i="12" a="1"/>
  <c r="W176" i="12" s="1"/>
  <c r="X176" i="12" a="1"/>
  <c r="X176" i="12" s="1"/>
  <c r="K177" i="12" a="1"/>
  <c r="K177" i="12" s="1"/>
  <c r="L177" i="12" a="1"/>
  <c r="L177" i="12" s="1"/>
  <c r="M177" i="12" a="1"/>
  <c r="M177" i="12" s="1"/>
  <c r="N177" i="12" a="1"/>
  <c r="N177" i="12" s="1"/>
  <c r="O177" i="12" a="1"/>
  <c r="O177" i="12" s="1"/>
  <c r="P177" i="12" a="1"/>
  <c r="P177" i="12" s="1"/>
  <c r="Q177" i="12" a="1"/>
  <c r="Q177" i="12" s="1"/>
  <c r="R177" i="12" a="1"/>
  <c r="R177" i="12" s="1"/>
  <c r="U177" i="12" a="1"/>
  <c r="U177" i="12" s="1"/>
  <c r="V177" i="12" a="1"/>
  <c r="V177" i="12" s="1"/>
  <c r="W177" i="12" a="1"/>
  <c r="W177" i="12" s="1"/>
  <c r="X177" i="12" a="1"/>
  <c r="X177" i="12" s="1"/>
  <c r="K178" i="12" a="1"/>
  <c r="K178" i="12" s="1"/>
  <c r="L178" i="12" a="1"/>
  <c r="L178" i="12" s="1"/>
  <c r="M178" i="12" a="1"/>
  <c r="M178" i="12" s="1"/>
  <c r="N178" i="12" a="1"/>
  <c r="N178" i="12" s="1"/>
  <c r="O178" i="12" a="1"/>
  <c r="O178" i="12" s="1"/>
  <c r="P178" i="12" a="1"/>
  <c r="P178" i="12" s="1"/>
  <c r="Q178" i="12" a="1"/>
  <c r="Q178" i="12" s="1"/>
  <c r="R178" i="12" a="1"/>
  <c r="R178" i="12" s="1"/>
  <c r="U178" i="12" a="1"/>
  <c r="U178" i="12" s="1"/>
  <c r="V178" i="12" a="1"/>
  <c r="V178" i="12" s="1"/>
  <c r="W178" i="12" a="1"/>
  <c r="W178" i="12" s="1"/>
  <c r="X178" i="12" a="1"/>
  <c r="X178" i="12" s="1"/>
  <c r="K179" i="12" a="1"/>
  <c r="K179" i="12" s="1"/>
  <c r="L179" i="12" a="1"/>
  <c r="L179" i="12" s="1"/>
  <c r="M179" i="12" a="1"/>
  <c r="M179" i="12" s="1"/>
  <c r="N179" i="12" a="1"/>
  <c r="N179" i="12" s="1"/>
  <c r="O179" i="12" a="1"/>
  <c r="O179" i="12" s="1"/>
  <c r="P179" i="12" a="1"/>
  <c r="P179" i="12" s="1"/>
  <c r="Q179" i="12" a="1"/>
  <c r="Q179" i="12" s="1"/>
  <c r="R179" i="12" a="1"/>
  <c r="R179" i="12" s="1"/>
  <c r="U179" i="12" a="1"/>
  <c r="U179" i="12" s="1"/>
  <c r="V179" i="12" a="1"/>
  <c r="V179" i="12" s="1"/>
  <c r="W179" i="12" a="1"/>
  <c r="W179" i="12" s="1"/>
  <c r="X179" i="12" a="1"/>
  <c r="X179" i="12" s="1"/>
  <c r="K180" i="12" a="1"/>
  <c r="K180" i="12" s="1"/>
  <c r="L180" i="12" a="1"/>
  <c r="L180" i="12" s="1"/>
  <c r="M180" i="12" a="1"/>
  <c r="M180" i="12" s="1"/>
  <c r="N180" i="12" a="1"/>
  <c r="N180" i="12" s="1"/>
  <c r="O180" i="12" a="1"/>
  <c r="O180" i="12" s="1"/>
  <c r="P180" i="12" a="1"/>
  <c r="P180" i="12" s="1"/>
  <c r="Q180" i="12" a="1"/>
  <c r="Q180" i="12" s="1"/>
  <c r="R180" i="12" a="1"/>
  <c r="R180" i="12" s="1"/>
  <c r="U180" i="12" a="1"/>
  <c r="U180" i="12" s="1"/>
  <c r="V180" i="12" a="1"/>
  <c r="V180" i="12" s="1"/>
  <c r="W180" i="12" a="1"/>
  <c r="W180" i="12" s="1"/>
  <c r="X180" i="12" a="1"/>
  <c r="X180" i="12" s="1"/>
  <c r="K181" i="12" a="1"/>
  <c r="K181" i="12" s="1"/>
  <c r="L181" i="12" a="1"/>
  <c r="L181" i="12" s="1"/>
  <c r="M181" i="12" a="1"/>
  <c r="M181" i="12" s="1"/>
  <c r="N181" i="12" a="1"/>
  <c r="N181" i="12" s="1"/>
  <c r="O181" i="12" a="1"/>
  <c r="O181" i="12" s="1"/>
  <c r="P181" i="12" a="1"/>
  <c r="P181" i="12" s="1"/>
  <c r="Q181" i="12" a="1"/>
  <c r="Q181" i="12" s="1"/>
  <c r="R181" i="12" a="1"/>
  <c r="R181" i="12" s="1"/>
  <c r="U181" i="12" a="1"/>
  <c r="U181" i="12" s="1"/>
  <c r="V181" i="12" a="1"/>
  <c r="V181" i="12" s="1"/>
  <c r="W181" i="12" a="1"/>
  <c r="W181" i="12" s="1"/>
  <c r="X181" i="12" a="1"/>
  <c r="X181" i="12" s="1"/>
  <c r="K182" i="12" a="1"/>
  <c r="K182" i="12" s="1"/>
  <c r="L182" i="12" a="1"/>
  <c r="L182" i="12" s="1"/>
  <c r="M182" i="12" a="1"/>
  <c r="M182" i="12" s="1"/>
  <c r="N182" i="12" a="1"/>
  <c r="N182" i="12" s="1"/>
  <c r="O182" i="12" a="1"/>
  <c r="O182" i="12" s="1"/>
  <c r="P182" i="12" a="1"/>
  <c r="P182" i="12" s="1"/>
  <c r="Q182" i="12" a="1"/>
  <c r="Q182" i="12" s="1"/>
  <c r="R182" i="12" a="1"/>
  <c r="R182" i="12" s="1"/>
  <c r="U182" i="12" a="1"/>
  <c r="U182" i="12" s="1"/>
  <c r="V182" i="12" a="1"/>
  <c r="V182" i="12" s="1"/>
  <c r="W182" i="12" a="1"/>
  <c r="W182" i="12" s="1"/>
  <c r="X182" i="12" a="1"/>
  <c r="X182" i="12" s="1"/>
  <c r="K183" i="12" a="1"/>
  <c r="K183" i="12" s="1"/>
  <c r="L183" i="12" a="1"/>
  <c r="L183" i="12" s="1"/>
  <c r="M183" i="12" a="1"/>
  <c r="M183" i="12" s="1"/>
  <c r="N183" i="12" a="1"/>
  <c r="N183" i="12" s="1"/>
  <c r="O183" i="12" a="1"/>
  <c r="O183" i="12" s="1"/>
  <c r="P183" i="12" a="1"/>
  <c r="P183" i="12" s="1"/>
  <c r="Q183" i="12" a="1"/>
  <c r="Q183" i="12" s="1"/>
  <c r="R183" i="12" a="1"/>
  <c r="R183" i="12" s="1"/>
  <c r="U183" i="12" a="1"/>
  <c r="U183" i="12" s="1"/>
  <c r="V183" i="12" a="1"/>
  <c r="V183" i="12" s="1"/>
  <c r="W183" i="12" a="1"/>
  <c r="W183" i="12" s="1"/>
  <c r="X183" i="12" a="1"/>
  <c r="X183" i="12" s="1"/>
  <c r="K184" i="12" a="1"/>
  <c r="K184" i="12" s="1"/>
  <c r="L184" i="12" a="1"/>
  <c r="L184" i="12" s="1"/>
  <c r="M184" i="12" a="1"/>
  <c r="M184" i="12" s="1"/>
  <c r="N184" i="12" a="1"/>
  <c r="N184" i="12" s="1"/>
  <c r="O184" i="12" a="1"/>
  <c r="O184" i="12" s="1"/>
  <c r="P184" i="12" a="1"/>
  <c r="P184" i="12" s="1"/>
  <c r="Q184" i="12" a="1"/>
  <c r="Q184" i="12" s="1"/>
  <c r="R184" i="12" a="1"/>
  <c r="R184" i="12" s="1"/>
  <c r="U184" i="12" a="1"/>
  <c r="U184" i="12" s="1"/>
  <c r="V184" i="12" a="1"/>
  <c r="V184" i="12" s="1"/>
  <c r="W184" i="12" a="1"/>
  <c r="W184" i="12" s="1"/>
  <c r="X184" i="12" a="1"/>
  <c r="X184" i="12" s="1"/>
  <c r="K185" i="12" a="1"/>
  <c r="K185" i="12" s="1"/>
  <c r="L185" i="12" a="1"/>
  <c r="L185" i="12" s="1"/>
  <c r="M185" i="12" a="1"/>
  <c r="M185" i="12" s="1"/>
  <c r="N185" i="12" a="1"/>
  <c r="N185" i="12" s="1"/>
  <c r="O185" i="12" a="1"/>
  <c r="O185" i="12" s="1"/>
  <c r="P185" i="12" a="1"/>
  <c r="P185" i="12" s="1"/>
  <c r="Q185" i="12" a="1"/>
  <c r="Q185" i="12" s="1"/>
  <c r="R185" i="12" a="1"/>
  <c r="R185" i="12" s="1"/>
  <c r="U185" i="12" a="1"/>
  <c r="U185" i="12" s="1"/>
  <c r="V185" i="12" a="1"/>
  <c r="V185" i="12" s="1"/>
  <c r="W185" i="12" a="1"/>
  <c r="W185" i="12" s="1"/>
  <c r="X185" i="12" a="1"/>
  <c r="X185" i="12" s="1"/>
  <c r="K186" i="12" a="1"/>
  <c r="K186" i="12" s="1"/>
  <c r="L186" i="12" a="1"/>
  <c r="L186" i="12" s="1"/>
  <c r="M186" i="12" a="1"/>
  <c r="M186" i="12" s="1"/>
  <c r="N186" i="12" a="1"/>
  <c r="N186" i="12" s="1"/>
  <c r="O186" i="12" a="1"/>
  <c r="O186" i="12" s="1"/>
  <c r="P186" i="12" a="1"/>
  <c r="P186" i="12" s="1"/>
  <c r="Q186" i="12" a="1"/>
  <c r="Q186" i="12" s="1"/>
  <c r="R186" i="12" a="1"/>
  <c r="R186" i="12" s="1"/>
  <c r="U186" i="12" a="1"/>
  <c r="U186" i="12" s="1"/>
  <c r="V186" i="12" a="1"/>
  <c r="V186" i="12" s="1"/>
  <c r="W186" i="12" a="1"/>
  <c r="W186" i="12" s="1"/>
  <c r="X186" i="12" a="1"/>
  <c r="X186" i="12" s="1"/>
  <c r="K187" i="12" a="1"/>
  <c r="K187" i="12" s="1"/>
  <c r="L187" i="12" a="1"/>
  <c r="L187" i="12" s="1"/>
  <c r="M187" i="12" a="1"/>
  <c r="M187" i="12" s="1"/>
  <c r="N187" i="12" a="1"/>
  <c r="N187" i="12" s="1"/>
  <c r="O187" i="12" a="1"/>
  <c r="O187" i="12" s="1"/>
  <c r="P187" i="12" a="1"/>
  <c r="P187" i="12" s="1"/>
  <c r="Q187" i="12" a="1"/>
  <c r="Q187" i="12" s="1"/>
  <c r="R187" i="12" a="1"/>
  <c r="R187" i="12" s="1"/>
  <c r="U187" i="12" a="1"/>
  <c r="U187" i="12" s="1"/>
  <c r="V187" i="12" a="1"/>
  <c r="V187" i="12" s="1"/>
  <c r="W187" i="12" a="1"/>
  <c r="W187" i="12" s="1"/>
  <c r="X187" i="12" a="1"/>
  <c r="X187" i="12" s="1"/>
  <c r="K188" i="12" a="1"/>
  <c r="K188" i="12" s="1"/>
  <c r="L188" i="12" a="1"/>
  <c r="L188" i="12" s="1"/>
  <c r="M188" i="12" a="1"/>
  <c r="M188" i="12" s="1"/>
  <c r="N188" i="12" a="1"/>
  <c r="N188" i="12" s="1"/>
  <c r="O188" i="12" a="1"/>
  <c r="O188" i="12" s="1"/>
  <c r="P188" i="12" a="1"/>
  <c r="P188" i="12" s="1"/>
  <c r="Q188" i="12" a="1"/>
  <c r="Q188" i="12" s="1"/>
  <c r="R188" i="12" a="1"/>
  <c r="R188" i="12" s="1"/>
  <c r="U188" i="12" a="1"/>
  <c r="U188" i="12" s="1"/>
  <c r="V188" i="12" a="1"/>
  <c r="V188" i="12" s="1"/>
  <c r="W188" i="12" a="1"/>
  <c r="W188" i="12" s="1"/>
  <c r="X188" i="12" a="1"/>
  <c r="X188" i="12" s="1"/>
  <c r="K189" i="12" a="1"/>
  <c r="K189" i="12" s="1"/>
  <c r="L189" i="12" a="1"/>
  <c r="L189" i="12" s="1"/>
  <c r="M189" i="12" a="1"/>
  <c r="M189" i="12" s="1"/>
  <c r="N189" i="12" a="1"/>
  <c r="N189" i="12" s="1"/>
  <c r="O189" i="12" a="1"/>
  <c r="O189" i="12" s="1"/>
  <c r="P189" i="12" a="1"/>
  <c r="P189" i="12" s="1"/>
  <c r="Q189" i="12" a="1"/>
  <c r="Q189" i="12" s="1"/>
  <c r="R189" i="12" a="1"/>
  <c r="R189" i="12" s="1"/>
  <c r="U189" i="12" a="1"/>
  <c r="U189" i="12" s="1"/>
  <c r="V189" i="12" a="1"/>
  <c r="V189" i="12" s="1"/>
  <c r="W189" i="12" a="1"/>
  <c r="W189" i="12" s="1"/>
  <c r="X189" i="12" a="1"/>
  <c r="X189" i="12" s="1"/>
  <c r="K190" i="12" a="1"/>
  <c r="K190" i="12" s="1"/>
  <c r="L190" i="12" a="1"/>
  <c r="L190" i="12" s="1"/>
  <c r="M190" i="12" a="1"/>
  <c r="M190" i="12" s="1"/>
  <c r="N190" i="12" a="1"/>
  <c r="N190" i="12" s="1"/>
  <c r="O190" i="12" a="1"/>
  <c r="O190" i="12" s="1"/>
  <c r="P190" i="12" a="1"/>
  <c r="P190" i="12" s="1"/>
  <c r="Q190" i="12" a="1"/>
  <c r="Q190" i="12" s="1"/>
  <c r="R190" i="12" a="1"/>
  <c r="R190" i="12" s="1"/>
  <c r="U190" i="12" a="1"/>
  <c r="U190" i="12" s="1"/>
  <c r="V190" i="12" a="1"/>
  <c r="V190" i="12" s="1"/>
  <c r="W190" i="12" a="1"/>
  <c r="W190" i="12" s="1"/>
  <c r="X190" i="12" a="1"/>
  <c r="X190" i="12" s="1"/>
  <c r="K191" i="12" a="1"/>
  <c r="K191" i="12" s="1"/>
  <c r="L191" i="12" a="1"/>
  <c r="L191" i="12" s="1"/>
  <c r="M191" i="12" a="1"/>
  <c r="M191" i="12" s="1"/>
  <c r="N191" i="12" a="1"/>
  <c r="N191" i="12" s="1"/>
  <c r="O191" i="12" a="1"/>
  <c r="O191" i="12" s="1"/>
  <c r="P191" i="12" a="1"/>
  <c r="P191" i="12" s="1"/>
  <c r="Q191" i="12" a="1"/>
  <c r="Q191" i="12" s="1"/>
  <c r="R191" i="12" a="1"/>
  <c r="R191" i="12" s="1"/>
  <c r="U191" i="12" a="1"/>
  <c r="U191" i="12" s="1"/>
  <c r="V191" i="12" a="1"/>
  <c r="V191" i="12" s="1"/>
  <c r="W191" i="12" a="1"/>
  <c r="W191" i="12" s="1"/>
  <c r="X191" i="12" a="1"/>
  <c r="X191" i="12" s="1"/>
  <c r="K192" i="12" a="1"/>
  <c r="K192" i="12" s="1"/>
  <c r="L192" i="12" a="1"/>
  <c r="L192" i="12" s="1"/>
  <c r="M192" i="12" a="1"/>
  <c r="M192" i="12" s="1"/>
  <c r="N192" i="12" a="1"/>
  <c r="N192" i="12" s="1"/>
  <c r="O192" i="12" a="1"/>
  <c r="O192" i="12" s="1"/>
  <c r="P192" i="12" a="1"/>
  <c r="P192" i="12" s="1"/>
  <c r="Q192" i="12" a="1"/>
  <c r="Q192" i="12" s="1"/>
  <c r="R192" i="12" a="1"/>
  <c r="R192" i="12" s="1"/>
  <c r="U192" i="12" a="1"/>
  <c r="U192" i="12" s="1"/>
  <c r="V192" i="12" a="1"/>
  <c r="V192" i="12" s="1"/>
  <c r="W192" i="12" a="1"/>
  <c r="W192" i="12" s="1"/>
  <c r="X192" i="12" a="1"/>
  <c r="X192" i="12" s="1"/>
  <c r="K193" i="12" a="1"/>
  <c r="K193" i="12" s="1"/>
  <c r="L193" i="12" a="1"/>
  <c r="L193" i="12" s="1"/>
  <c r="M193" i="12" a="1"/>
  <c r="M193" i="12" s="1"/>
  <c r="N193" i="12" a="1"/>
  <c r="N193" i="12" s="1"/>
  <c r="O193" i="12" a="1"/>
  <c r="O193" i="12" s="1"/>
  <c r="P193" i="12" a="1"/>
  <c r="P193" i="12" s="1"/>
  <c r="Q193" i="12" a="1"/>
  <c r="Q193" i="12" s="1"/>
  <c r="R193" i="12" a="1"/>
  <c r="R193" i="12" s="1"/>
  <c r="U193" i="12" a="1"/>
  <c r="U193" i="12" s="1"/>
  <c r="V193" i="12" a="1"/>
  <c r="V193" i="12" s="1"/>
  <c r="W193" i="12" a="1"/>
  <c r="W193" i="12" s="1"/>
  <c r="X193" i="12" a="1"/>
  <c r="X193" i="12" s="1"/>
  <c r="K194" i="12" a="1"/>
  <c r="K194" i="12" s="1"/>
  <c r="L194" i="12" a="1"/>
  <c r="L194" i="12" s="1"/>
  <c r="M194" i="12" a="1"/>
  <c r="M194" i="12" s="1"/>
  <c r="N194" i="12" a="1"/>
  <c r="N194" i="12" s="1"/>
  <c r="O194" i="12" a="1"/>
  <c r="O194" i="12" s="1"/>
  <c r="P194" i="12" a="1"/>
  <c r="P194" i="12" s="1"/>
  <c r="Q194" i="12" a="1"/>
  <c r="Q194" i="12" s="1"/>
  <c r="R194" i="12" a="1"/>
  <c r="R194" i="12" s="1"/>
  <c r="U194" i="12" a="1"/>
  <c r="U194" i="12" s="1"/>
  <c r="V194" i="12" a="1"/>
  <c r="V194" i="12" s="1"/>
  <c r="W194" i="12" a="1"/>
  <c r="W194" i="12" s="1"/>
  <c r="X194" i="12" a="1"/>
  <c r="X194" i="12" s="1"/>
  <c r="K195" i="12" a="1"/>
  <c r="K195" i="12" s="1"/>
  <c r="L195" i="12" a="1"/>
  <c r="L195" i="12" s="1"/>
  <c r="M195" i="12" a="1"/>
  <c r="M195" i="12" s="1"/>
  <c r="N195" i="12" a="1"/>
  <c r="N195" i="12" s="1"/>
  <c r="O195" i="12" a="1"/>
  <c r="O195" i="12" s="1"/>
  <c r="P195" i="12" a="1"/>
  <c r="P195" i="12" s="1"/>
  <c r="Q195" i="12" a="1"/>
  <c r="Q195" i="12" s="1"/>
  <c r="R195" i="12" a="1"/>
  <c r="R195" i="12" s="1"/>
  <c r="U195" i="12" a="1"/>
  <c r="U195" i="12" s="1"/>
  <c r="V195" i="12" a="1"/>
  <c r="V195" i="12" s="1"/>
  <c r="W195" i="12" a="1"/>
  <c r="W195" i="12" s="1"/>
  <c r="X195" i="12" a="1"/>
  <c r="X195" i="12" s="1"/>
  <c r="W2" i="12" a="1"/>
  <c r="W2" i="12" s="1"/>
  <c r="V2" i="12" a="1"/>
  <c r="V2" i="12" s="1"/>
  <c r="U2" i="12" a="1"/>
  <c r="U2" i="12" s="1"/>
  <c r="R2" i="12" a="1"/>
  <c r="R2" i="12" s="1"/>
  <c r="Q2" i="12" a="1"/>
  <c r="Q2" i="12" s="1"/>
  <c r="P2" i="12" a="1"/>
  <c r="P2" i="12" s="1"/>
  <c r="O2" i="12" a="1"/>
  <c r="O2" i="12" s="1"/>
  <c r="N2" i="12" a="1"/>
  <c r="N2" i="12" s="1"/>
  <c r="M2" i="12" a="1"/>
  <c r="M2" i="12" s="1"/>
  <c r="L2" i="12" a="1"/>
  <c r="L2" i="12" s="1"/>
  <c r="K2" i="12" a="1"/>
  <c r="K2" i="12" s="1"/>
  <c r="AC234" i="11"/>
  <c r="W4" i="4" s="1"/>
  <c r="K3" i="8" a="1"/>
  <c r="K3" i="8" s="1"/>
  <c r="L3" i="8" a="1"/>
  <c r="L3" i="8" s="1"/>
  <c r="M3" i="8" a="1"/>
  <c r="M3" i="8" s="1"/>
  <c r="N3" i="8" a="1"/>
  <c r="N3" i="8" s="1"/>
  <c r="O3" i="8" a="1"/>
  <c r="O3" i="8" s="1"/>
  <c r="P3" i="8" a="1"/>
  <c r="P3" i="8" s="1"/>
  <c r="Q3" i="8" a="1"/>
  <c r="Q3" i="8" s="1"/>
  <c r="R3" i="8" a="1"/>
  <c r="R3" i="8" s="1"/>
  <c r="U3" i="8" a="1"/>
  <c r="U3" i="8" s="1"/>
  <c r="V3" i="8" a="1"/>
  <c r="V3" i="8" s="1"/>
  <c r="W3" i="8" a="1"/>
  <c r="W3" i="8" s="1"/>
  <c r="X3" i="8" a="1"/>
  <c r="X3" i="8" s="1"/>
  <c r="K4" i="8" a="1"/>
  <c r="K4" i="8" s="1"/>
  <c r="L4" i="8" a="1"/>
  <c r="L4" i="8" s="1"/>
  <c r="M4" i="8" a="1"/>
  <c r="M4" i="8" s="1"/>
  <c r="N4" i="8" a="1"/>
  <c r="N4" i="8" s="1"/>
  <c r="O4" i="8" a="1"/>
  <c r="O4" i="8" s="1"/>
  <c r="P4" i="8" a="1"/>
  <c r="P4" i="8" s="1"/>
  <c r="Q4" i="8" a="1"/>
  <c r="Q4" i="8" s="1"/>
  <c r="R4" i="8" a="1"/>
  <c r="R4" i="8" s="1"/>
  <c r="U4" i="8" a="1"/>
  <c r="U4" i="8" s="1"/>
  <c r="V4" i="8" a="1"/>
  <c r="V4" i="8" s="1"/>
  <c r="W4" i="8" a="1"/>
  <c r="W4" i="8" s="1"/>
  <c r="X4" i="8" a="1"/>
  <c r="X4" i="8" s="1"/>
  <c r="K5" i="8" a="1"/>
  <c r="K5" i="8" s="1"/>
  <c r="L5" i="8" a="1"/>
  <c r="L5" i="8" s="1"/>
  <c r="M5" i="8" a="1"/>
  <c r="M5" i="8" s="1"/>
  <c r="N5" i="8" a="1"/>
  <c r="N5" i="8" s="1"/>
  <c r="O5" i="8" a="1"/>
  <c r="O5" i="8" s="1"/>
  <c r="P5" i="8" a="1"/>
  <c r="P5" i="8" s="1"/>
  <c r="Q5" i="8" a="1"/>
  <c r="Q5" i="8" s="1"/>
  <c r="R5" i="8" a="1"/>
  <c r="R5" i="8" s="1"/>
  <c r="U5" i="8" a="1"/>
  <c r="U5" i="8" s="1"/>
  <c r="V5" i="8" a="1"/>
  <c r="V5" i="8" s="1"/>
  <c r="W5" i="8" a="1"/>
  <c r="W5" i="8" s="1"/>
  <c r="X5" i="8" a="1"/>
  <c r="X5" i="8" s="1"/>
  <c r="K6" i="8" a="1"/>
  <c r="K6" i="8" s="1"/>
  <c r="L6" i="8" a="1"/>
  <c r="L6" i="8" s="1"/>
  <c r="M6" i="8" a="1"/>
  <c r="M6" i="8" s="1"/>
  <c r="N6" i="8" a="1"/>
  <c r="N6" i="8" s="1"/>
  <c r="O6" i="8" a="1"/>
  <c r="O6" i="8" s="1"/>
  <c r="P6" i="8" a="1"/>
  <c r="P6" i="8" s="1"/>
  <c r="Q6" i="8" a="1"/>
  <c r="Q6" i="8" s="1"/>
  <c r="R6" i="8" a="1"/>
  <c r="R6" i="8" s="1"/>
  <c r="U6" i="8" a="1"/>
  <c r="U6" i="8" s="1"/>
  <c r="V6" i="8" a="1"/>
  <c r="V6" i="8" s="1"/>
  <c r="W6" i="8" a="1"/>
  <c r="W6" i="8" s="1"/>
  <c r="X6" i="8" a="1"/>
  <c r="X6" i="8" s="1"/>
  <c r="K7" i="8" a="1"/>
  <c r="K7" i="8" s="1"/>
  <c r="L7" i="8" a="1"/>
  <c r="L7" i="8" s="1"/>
  <c r="M7" i="8" a="1"/>
  <c r="M7" i="8" s="1"/>
  <c r="N7" i="8" a="1"/>
  <c r="N7" i="8" s="1"/>
  <c r="O7" i="8" a="1"/>
  <c r="O7" i="8" s="1"/>
  <c r="P7" i="8" a="1"/>
  <c r="P7" i="8" s="1"/>
  <c r="Q7" i="8" a="1"/>
  <c r="Q7" i="8" s="1"/>
  <c r="R7" i="8" a="1"/>
  <c r="R7" i="8" s="1"/>
  <c r="U7" i="8" a="1"/>
  <c r="U7" i="8" s="1"/>
  <c r="V7" i="8" a="1"/>
  <c r="V7" i="8" s="1"/>
  <c r="W7" i="8" a="1"/>
  <c r="W7" i="8" s="1"/>
  <c r="X7" i="8" a="1"/>
  <c r="X7" i="8" s="1"/>
  <c r="K8" i="8" a="1"/>
  <c r="K8" i="8" s="1"/>
  <c r="L8" i="8" a="1"/>
  <c r="L8" i="8" s="1"/>
  <c r="M8" i="8" a="1"/>
  <c r="M8" i="8" s="1"/>
  <c r="N8" i="8" a="1"/>
  <c r="N8" i="8" s="1"/>
  <c r="O8" i="8" a="1"/>
  <c r="O8" i="8" s="1"/>
  <c r="P8" i="8" a="1"/>
  <c r="P8" i="8" s="1"/>
  <c r="Q8" i="8" a="1"/>
  <c r="Q8" i="8" s="1"/>
  <c r="R8" i="8" a="1"/>
  <c r="R8" i="8" s="1"/>
  <c r="U8" i="8" a="1"/>
  <c r="U8" i="8" s="1"/>
  <c r="V8" i="8" a="1"/>
  <c r="V8" i="8" s="1"/>
  <c r="W8" i="8" a="1"/>
  <c r="W8" i="8" s="1"/>
  <c r="X8" i="8" a="1"/>
  <c r="X8" i="8" s="1"/>
  <c r="K9" i="8" a="1"/>
  <c r="K9" i="8" s="1"/>
  <c r="L9" i="8" a="1"/>
  <c r="L9" i="8" s="1"/>
  <c r="M9" i="8" a="1"/>
  <c r="M9" i="8" s="1"/>
  <c r="N9" i="8" a="1"/>
  <c r="N9" i="8" s="1"/>
  <c r="O9" i="8" a="1"/>
  <c r="O9" i="8" s="1"/>
  <c r="P9" i="8" a="1"/>
  <c r="P9" i="8" s="1"/>
  <c r="Q9" i="8" a="1"/>
  <c r="Q9" i="8" s="1"/>
  <c r="R9" i="8" a="1"/>
  <c r="R9" i="8" s="1"/>
  <c r="U9" i="8" a="1"/>
  <c r="U9" i="8" s="1"/>
  <c r="V9" i="8" a="1"/>
  <c r="V9" i="8" s="1"/>
  <c r="W9" i="8" a="1"/>
  <c r="W9" i="8" s="1"/>
  <c r="X9" i="8" a="1"/>
  <c r="X9" i="8" s="1"/>
  <c r="K10" i="8" a="1"/>
  <c r="K10" i="8" s="1"/>
  <c r="L10" i="8" a="1"/>
  <c r="L10" i="8" s="1"/>
  <c r="M10" i="8" a="1"/>
  <c r="M10" i="8" s="1"/>
  <c r="N10" i="8" a="1"/>
  <c r="N10" i="8" s="1"/>
  <c r="O10" i="8" a="1"/>
  <c r="O10" i="8" s="1"/>
  <c r="P10" i="8" a="1"/>
  <c r="P10" i="8" s="1"/>
  <c r="Q10" i="8" a="1"/>
  <c r="Q10" i="8" s="1"/>
  <c r="R10" i="8" a="1"/>
  <c r="R10" i="8" s="1"/>
  <c r="U10" i="8" a="1"/>
  <c r="U10" i="8" s="1"/>
  <c r="V10" i="8" a="1"/>
  <c r="V10" i="8" s="1"/>
  <c r="W10" i="8" a="1"/>
  <c r="W10" i="8" s="1"/>
  <c r="X10" i="8" a="1"/>
  <c r="X10" i="8" s="1"/>
  <c r="K11" i="8" a="1"/>
  <c r="K11" i="8" s="1"/>
  <c r="L11" i="8" a="1"/>
  <c r="L11" i="8" s="1"/>
  <c r="M11" i="8" a="1"/>
  <c r="M11" i="8" s="1"/>
  <c r="N11" i="8" a="1"/>
  <c r="N11" i="8" s="1"/>
  <c r="O11" i="8" a="1"/>
  <c r="O11" i="8" s="1"/>
  <c r="P11" i="8" a="1"/>
  <c r="P11" i="8" s="1"/>
  <c r="Q11" i="8" a="1"/>
  <c r="Q11" i="8" s="1"/>
  <c r="R11" i="8" a="1"/>
  <c r="R11" i="8" s="1"/>
  <c r="U11" i="8" a="1"/>
  <c r="U11" i="8" s="1"/>
  <c r="V11" i="8" a="1"/>
  <c r="V11" i="8" s="1"/>
  <c r="W11" i="8" a="1"/>
  <c r="W11" i="8" s="1"/>
  <c r="X11" i="8" a="1"/>
  <c r="X11" i="8" s="1"/>
  <c r="K12" i="8" a="1"/>
  <c r="K12" i="8" s="1"/>
  <c r="L12" i="8" a="1"/>
  <c r="L12" i="8" s="1"/>
  <c r="M12" i="8" a="1"/>
  <c r="M12" i="8" s="1"/>
  <c r="N12" i="8" a="1"/>
  <c r="N12" i="8" s="1"/>
  <c r="O12" i="8" a="1"/>
  <c r="O12" i="8" s="1"/>
  <c r="P12" i="8" a="1"/>
  <c r="P12" i="8" s="1"/>
  <c r="Q12" i="8" a="1"/>
  <c r="Q12" i="8" s="1"/>
  <c r="R12" i="8" a="1"/>
  <c r="R12" i="8" s="1"/>
  <c r="U12" i="8" a="1"/>
  <c r="U12" i="8" s="1"/>
  <c r="V12" i="8" a="1"/>
  <c r="V12" i="8" s="1"/>
  <c r="W12" i="8" a="1"/>
  <c r="W12" i="8" s="1"/>
  <c r="X12" i="8" a="1"/>
  <c r="X12" i="8" s="1"/>
  <c r="K13" i="8" a="1"/>
  <c r="K13" i="8" s="1"/>
  <c r="L13" i="8" a="1"/>
  <c r="L13" i="8" s="1"/>
  <c r="M13" i="8" a="1"/>
  <c r="M13" i="8" s="1"/>
  <c r="N13" i="8" a="1"/>
  <c r="N13" i="8" s="1"/>
  <c r="O13" i="8" a="1"/>
  <c r="O13" i="8" s="1"/>
  <c r="P13" i="8" a="1"/>
  <c r="P13" i="8" s="1"/>
  <c r="Q13" i="8" a="1"/>
  <c r="Q13" i="8" s="1"/>
  <c r="R13" i="8" a="1"/>
  <c r="R13" i="8" s="1"/>
  <c r="U13" i="8" a="1"/>
  <c r="U13" i="8" s="1"/>
  <c r="V13" i="8" a="1"/>
  <c r="V13" i="8" s="1"/>
  <c r="W13" i="8" a="1"/>
  <c r="W13" i="8" s="1"/>
  <c r="X13" i="8" a="1"/>
  <c r="X13" i="8" s="1"/>
  <c r="K14" i="8" a="1"/>
  <c r="K14" i="8" s="1"/>
  <c r="L14" i="8" a="1"/>
  <c r="L14" i="8" s="1"/>
  <c r="M14" i="8" a="1"/>
  <c r="M14" i="8" s="1"/>
  <c r="N14" i="8" a="1"/>
  <c r="N14" i="8" s="1"/>
  <c r="O14" i="8" a="1"/>
  <c r="O14" i="8" s="1"/>
  <c r="P14" i="8" a="1"/>
  <c r="P14" i="8" s="1"/>
  <c r="Q14" i="8" a="1"/>
  <c r="Q14" i="8" s="1"/>
  <c r="R14" i="8" a="1"/>
  <c r="R14" i="8" s="1"/>
  <c r="U14" i="8" a="1"/>
  <c r="U14" i="8" s="1"/>
  <c r="V14" i="8" a="1"/>
  <c r="V14" i="8" s="1"/>
  <c r="W14" i="8" a="1"/>
  <c r="W14" i="8" s="1"/>
  <c r="X14" i="8" a="1"/>
  <c r="X14" i="8" s="1"/>
  <c r="K15" i="8" a="1"/>
  <c r="K15" i="8" s="1"/>
  <c r="L15" i="8" a="1"/>
  <c r="L15" i="8" s="1"/>
  <c r="M15" i="8" a="1"/>
  <c r="M15" i="8" s="1"/>
  <c r="N15" i="8" a="1"/>
  <c r="N15" i="8" s="1"/>
  <c r="O15" i="8" a="1"/>
  <c r="O15" i="8" s="1"/>
  <c r="P15" i="8" a="1"/>
  <c r="P15" i="8" s="1"/>
  <c r="Q15" i="8" a="1"/>
  <c r="Q15" i="8" s="1"/>
  <c r="R15" i="8" a="1"/>
  <c r="R15" i="8" s="1"/>
  <c r="U15" i="8" a="1"/>
  <c r="U15" i="8" s="1"/>
  <c r="V15" i="8" a="1"/>
  <c r="V15" i="8" s="1"/>
  <c r="W15" i="8" a="1"/>
  <c r="W15" i="8" s="1"/>
  <c r="X15" i="8" a="1"/>
  <c r="X15" i="8" s="1"/>
  <c r="K16" i="8" a="1"/>
  <c r="K16" i="8" s="1"/>
  <c r="L16" i="8" a="1"/>
  <c r="L16" i="8" s="1"/>
  <c r="M16" i="8" a="1"/>
  <c r="M16" i="8" s="1"/>
  <c r="N16" i="8" a="1"/>
  <c r="N16" i="8" s="1"/>
  <c r="O16" i="8" a="1"/>
  <c r="O16" i="8" s="1"/>
  <c r="P16" i="8" a="1"/>
  <c r="P16" i="8" s="1"/>
  <c r="Q16" i="8" a="1"/>
  <c r="Q16" i="8" s="1"/>
  <c r="R16" i="8" a="1"/>
  <c r="R16" i="8" s="1"/>
  <c r="U16" i="8" a="1"/>
  <c r="U16" i="8" s="1"/>
  <c r="V16" i="8" a="1"/>
  <c r="V16" i="8" s="1"/>
  <c r="W16" i="8" a="1"/>
  <c r="W16" i="8" s="1"/>
  <c r="X16" i="8" a="1"/>
  <c r="X16" i="8" s="1"/>
  <c r="K17" i="8" a="1"/>
  <c r="K17" i="8" s="1"/>
  <c r="L17" i="8" a="1"/>
  <c r="L17" i="8" s="1"/>
  <c r="M17" i="8" a="1"/>
  <c r="M17" i="8" s="1"/>
  <c r="N17" i="8" a="1"/>
  <c r="N17" i="8" s="1"/>
  <c r="O17" i="8" a="1"/>
  <c r="O17" i="8" s="1"/>
  <c r="P17" i="8" a="1"/>
  <c r="P17" i="8" s="1"/>
  <c r="Q17" i="8" a="1"/>
  <c r="Q17" i="8" s="1"/>
  <c r="R17" i="8" a="1"/>
  <c r="R17" i="8" s="1"/>
  <c r="U17" i="8" a="1"/>
  <c r="U17" i="8" s="1"/>
  <c r="V17" i="8" a="1"/>
  <c r="V17" i="8" s="1"/>
  <c r="W17" i="8" a="1"/>
  <c r="W17" i="8" s="1"/>
  <c r="X17" i="8" a="1"/>
  <c r="X17" i="8" s="1"/>
  <c r="K18" i="8" a="1"/>
  <c r="K18" i="8" s="1"/>
  <c r="L18" i="8" a="1"/>
  <c r="L18" i="8" s="1"/>
  <c r="M18" i="8" a="1"/>
  <c r="M18" i="8" s="1"/>
  <c r="N18" i="8" a="1"/>
  <c r="N18" i="8" s="1"/>
  <c r="O18" i="8" a="1"/>
  <c r="O18" i="8" s="1"/>
  <c r="P18" i="8" a="1"/>
  <c r="P18" i="8" s="1"/>
  <c r="Q18" i="8" a="1"/>
  <c r="Q18" i="8" s="1"/>
  <c r="R18" i="8" a="1"/>
  <c r="R18" i="8" s="1"/>
  <c r="U18" i="8" a="1"/>
  <c r="U18" i="8" s="1"/>
  <c r="V18" i="8" a="1"/>
  <c r="V18" i="8" s="1"/>
  <c r="W18" i="8" a="1"/>
  <c r="W18" i="8" s="1"/>
  <c r="X18" i="8" a="1"/>
  <c r="X18" i="8" s="1"/>
  <c r="K19" i="8" a="1"/>
  <c r="K19" i="8" s="1"/>
  <c r="L19" i="8" a="1"/>
  <c r="L19" i="8" s="1"/>
  <c r="M19" i="8" a="1"/>
  <c r="M19" i="8" s="1"/>
  <c r="N19" i="8" a="1"/>
  <c r="N19" i="8" s="1"/>
  <c r="O19" i="8" a="1"/>
  <c r="O19" i="8" s="1"/>
  <c r="P19" i="8" a="1"/>
  <c r="P19" i="8" s="1"/>
  <c r="Q19" i="8" a="1"/>
  <c r="Q19" i="8" s="1"/>
  <c r="R19" i="8" a="1"/>
  <c r="R19" i="8" s="1"/>
  <c r="U19" i="8" a="1"/>
  <c r="U19" i="8" s="1"/>
  <c r="V19" i="8" a="1"/>
  <c r="V19" i="8" s="1"/>
  <c r="W19" i="8" a="1"/>
  <c r="W19" i="8" s="1"/>
  <c r="X19" i="8" a="1"/>
  <c r="X19" i="8" s="1"/>
  <c r="K20" i="8" a="1"/>
  <c r="K20" i="8" s="1"/>
  <c r="L20" i="8" a="1"/>
  <c r="L20" i="8" s="1"/>
  <c r="M20" i="8" a="1"/>
  <c r="M20" i="8" s="1"/>
  <c r="N20" i="8" a="1"/>
  <c r="N20" i="8" s="1"/>
  <c r="O20" i="8" a="1"/>
  <c r="O20" i="8" s="1"/>
  <c r="P20" i="8" a="1"/>
  <c r="P20" i="8" s="1"/>
  <c r="Q20" i="8" a="1"/>
  <c r="Q20" i="8" s="1"/>
  <c r="R20" i="8" a="1"/>
  <c r="R20" i="8" s="1"/>
  <c r="U20" i="8" a="1"/>
  <c r="U20" i="8" s="1"/>
  <c r="V20" i="8" a="1"/>
  <c r="V20" i="8" s="1"/>
  <c r="W20" i="8" a="1"/>
  <c r="W20" i="8" s="1"/>
  <c r="X20" i="8" a="1"/>
  <c r="X20" i="8" s="1"/>
  <c r="K22" i="8" a="1"/>
  <c r="K22" i="8" s="1"/>
  <c r="L22" i="8" a="1"/>
  <c r="L22" i="8" s="1"/>
  <c r="M22" i="8" a="1"/>
  <c r="M22" i="8" s="1"/>
  <c r="N22" i="8" a="1"/>
  <c r="N22" i="8" s="1"/>
  <c r="O22" i="8" a="1"/>
  <c r="O22" i="8" s="1"/>
  <c r="P22" i="8" a="1"/>
  <c r="P22" i="8" s="1"/>
  <c r="Q22" i="8" a="1"/>
  <c r="Q22" i="8" s="1"/>
  <c r="R22" i="8" a="1"/>
  <c r="R22" i="8" s="1"/>
  <c r="U22" i="8" a="1"/>
  <c r="U22" i="8" s="1"/>
  <c r="V22" i="8" a="1"/>
  <c r="V22" i="8" s="1"/>
  <c r="W22" i="8" a="1"/>
  <c r="W22" i="8" s="1"/>
  <c r="X22" i="8" a="1"/>
  <c r="X22" i="8" s="1"/>
  <c r="K23" i="8" a="1"/>
  <c r="K23" i="8" s="1"/>
  <c r="L23" i="8" a="1"/>
  <c r="L23" i="8" s="1"/>
  <c r="M23" i="8" a="1"/>
  <c r="M23" i="8" s="1"/>
  <c r="N23" i="8" a="1"/>
  <c r="N23" i="8" s="1"/>
  <c r="O23" i="8" a="1"/>
  <c r="O23" i="8" s="1"/>
  <c r="P23" i="8" a="1"/>
  <c r="P23" i="8" s="1"/>
  <c r="Q23" i="8" a="1"/>
  <c r="Q23" i="8" s="1"/>
  <c r="R23" i="8" a="1"/>
  <c r="R23" i="8" s="1"/>
  <c r="U23" i="8" a="1"/>
  <c r="U23" i="8" s="1"/>
  <c r="V23" i="8" a="1"/>
  <c r="V23" i="8" s="1"/>
  <c r="W23" i="8" a="1"/>
  <c r="W23" i="8" s="1"/>
  <c r="X23" i="8" a="1"/>
  <c r="X23" i="8" s="1"/>
  <c r="K24" i="8" a="1"/>
  <c r="K24" i="8" s="1"/>
  <c r="L24" i="8" a="1"/>
  <c r="L24" i="8" s="1"/>
  <c r="M24" i="8" a="1"/>
  <c r="M24" i="8" s="1"/>
  <c r="N24" i="8" a="1"/>
  <c r="N24" i="8" s="1"/>
  <c r="O24" i="8" a="1"/>
  <c r="O24" i="8" s="1"/>
  <c r="P24" i="8" a="1"/>
  <c r="P24" i="8" s="1"/>
  <c r="Q24" i="8" a="1"/>
  <c r="Q24" i="8" s="1"/>
  <c r="R24" i="8" a="1"/>
  <c r="R24" i="8" s="1"/>
  <c r="U24" i="8" a="1"/>
  <c r="U24" i="8" s="1"/>
  <c r="V24" i="8" a="1"/>
  <c r="V24" i="8" s="1"/>
  <c r="W24" i="8" a="1"/>
  <c r="W24" i="8" s="1"/>
  <c r="X24" i="8" a="1"/>
  <c r="X24" i="8" s="1"/>
  <c r="K26" i="8" a="1"/>
  <c r="K26" i="8" s="1"/>
  <c r="L26" i="8" a="1"/>
  <c r="L26" i="8" s="1"/>
  <c r="M26" i="8" a="1"/>
  <c r="M26" i="8" s="1"/>
  <c r="N26" i="8" a="1"/>
  <c r="N26" i="8" s="1"/>
  <c r="O26" i="8" a="1"/>
  <c r="O26" i="8" s="1"/>
  <c r="P26" i="8" a="1"/>
  <c r="P26" i="8" s="1"/>
  <c r="Q26" i="8" a="1"/>
  <c r="Q26" i="8" s="1"/>
  <c r="R26" i="8" a="1"/>
  <c r="R26" i="8" s="1"/>
  <c r="U26" i="8" a="1"/>
  <c r="U26" i="8" s="1"/>
  <c r="V26" i="8" a="1"/>
  <c r="V26" i="8" s="1"/>
  <c r="W26" i="8" a="1"/>
  <c r="W26" i="8" s="1"/>
  <c r="X26" i="8" a="1"/>
  <c r="X26" i="8" s="1"/>
  <c r="K27" i="8" a="1"/>
  <c r="K27" i="8" s="1"/>
  <c r="L27" i="8" a="1"/>
  <c r="L27" i="8" s="1"/>
  <c r="M27" i="8" a="1"/>
  <c r="M27" i="8" s="1"/>
  <c r="N27" i="8" a="1"/>
  <c r="N27" i="8" s="1"/>
  <c r="O27" i="8" a="1"/>
  <c r="O27" i="8" s="1"/>
  <c r="P27" i="8" a="1"/>
  <c r="P27" i="8" s="1"/>
  <c r="Q27" i="8" a="1"/>
  <c r="Q27" i="8" s="1"/>
  <c r="R27" i="8" a="1"/>
  <c r="R27" i="8" s="1"/>
  <c r="U27" i="8" a="1"/>
  <c r="U27" i="8" s="1"/>
  <c r="V27" i="8" a="1"/>
  <c r="V27" i="8" s="1"/>
  <c r="W27" i="8" a="1"/>
  <c r="W27" i="8" s="1"/>
  <c r="X27" i="8" a="1"/>
  <c r="X27" i="8" s="1"/>
  <c r="K28" i="8" a="1"/>
  <c r="K28" i="8" s="1"/>
  <c r="L28" i="8" a="1"/>
  <c r="L28" i="8" s="1"/>
  <c r="M28" i="8" a="1"/>
  <c r="M28" i="8" s="1"/>
  <c r="N28" i="8" a="1"/>
  <c r="N28" i="8" s="1"/>
  <c r="O28" i="8" a="1"/>
  <c r="O28" i="8" s="1"/>
  <c r="P28" i="8" a="1"/>
  <c r="P28" i="8" s="1"/>
  <c r="Q28" i="8" a="1"/>
  <c r="Q28" i="8" s="1"/>
  <c r="R28" i="8" a="1"/>
  <c r="R28" i="8" s="1"/>
  <c r="U28" i="8" a="1"/>
  <c r="U28" i="8" s="1"/>
  <c r="V28" i="8" a="1"/>
  <c r="V28" i="8" s="1"/>
  <c r="W28" i="8" a="1"/>
  <c r="W28" i="8" s="1"/>
  <c r="X28" i="8" a="1"/>
  <c r="X28" i="8" s="1"/>
  <c r="K29" i="8" a="1"/>
  <c r="K29" i="8" s="1"/>
  <c r="L29" i="8" a="1"/>
  <c r="L29" i="8" s="1"/>
  <c r="M29" i="8" a="1"/>
  <c r="M29" i="8" s="1"/>
  <c r="N29" i="8" a="1"/>
  <c r="N29" i="8" s="1"/>
  <c r="O29" i="8" a="1"/>
  <c r="O29" i="8" s="1"/>
  <c r="P29" i="8" a="1"/>
  <c r="P29" i="8" s="1"/>
  <c r="Q29" i="8" a="1"/>
  <c r="Q29" i="8" s="1"/>
  <c r="R29" i="8" a="1"/>
  <c r="R29" i="8" s="1"/>
  <c r="U29" i="8" a="1"/>
  <c r="U29" i="8" s="1"/>
  <c r="V29" i="8" a="1"/>
  <c r="V29" i="8" s="1"/>
  <c r="W29" i="8" a="1"/>
  <c r="W29" i="8" s="1"/>
  <c r="X29" i="8" a="1"/>
  <c r="X29" i="8" s="1"/>
  <c r="K30" i="8" a="1"/>
  <c r="K30" i="8" s="1"/>
  <c r="L30" i="8" a="1"/>
  <c r="L30" i="8" s="1"/>
  <c r="M30" i="8" a="1"/>
  <c r="M30" i="8" s="1"/>
  <c r="N30" i="8" a="1"/>
  <c r="N30" i="8" s="1"/>
  <c r="O30" i="8" a="1"/>
  <c r="O30" i="8" s="1"/>
  <c r="P30" i="8" a="1"/>
  <c r="P30" i="8" s="1"/>
  <c r="Q30" i="8" a="1"/>
  <c r="Q30" i="8" s="1"/>
  <c r="R30" i="8" a="1"/>
  <c r="R30" i="8" s="1"/>
  <c r="U30" i="8" a="1"/>
  <c r="U30" i="8" s="1"/>
  <c r="V30" i="8" a="1"/>
  <c r="V30" i="8" s="1"/>
  <c r="W30" i="8" a="1"/>
  <c r="W30" i="8" s="1"/>
  <c r="X30" i="8" a="1"/>
  <c r="X30" i="8" s="1"/>
  <c r="K32" i="8" a="1"/>
  <c r="K32" i="8" s="1"/>
  <c r="L32" i="8" a="1"/>
  <c r="L32" i="8" s="1"/>
  <c r="M32" i="8" a="1"/>
  <c r="M32" i="8" s="1"/>
  <c r="N32" i="8" a="1"/>
  <c r="N32" i="8" s="1"/>
  <c r="O32" i="8" a="1"/>
  <c r="O32" i="8" s="1"/>
  <c r="P32" i="8" a="1"/>
  <c r="P32" i="8" s="1"/>
  <c r="Q32" i="8" a="1"/>
  <c r="Q32" i="8" s="1"/>
  <c r="R32" i="8" a="1"/>
  <c r="R32" i="8" s="1"/>
  <c r="U32" i="8" a="1"/>
  <c r="U32" i="8" s="1"/>
  <c r="V32" i="8" a="1"/>
  <c r="V32" i="8" s="1"/>
  <c r="W32" i="8" a="1"/>
  <c r="W32" i="8" s="1"/>
  <c r="X32" i="8" a="1"/>
  <c r="X32" i="8" s="1"/>
  <c r="K33" i="8" a="1"/>
  <c r="K33" i="8" s="1"/>
  <c r="L33" i="8" a="1"/>
  <c r="L33" i="8" s="1"/>
  <c r="M33" i="8" a="1"/>
  <c r="M33" i="8" s="1"/>
  <c r="N33" i="8" a="1"/>
  <c r="N33" i="8" s="1"/>
  <c r="O33" i="8" a="1"/>
  <c r="O33" i="8" s="1"/>
  <c r="P33" i="8" a="1"/>
  <c r="P33" i="8" s="1"/>
  <c r="Q33" i="8" a="1"/>
  <c r="Q33" i="8" s="1"/>
  <c r="R33" i="8" a="1"/>
  <c r="R33" i="8" s="1"/>
  <c r="U33" i="8" a="1"/>
  <c r="U33" i="8" s="1"/>
  <c r="V33" i="8" a="1"/>
  <c r="V33" i="8" s="1"/>
  <c r="W33" i="8" a="1"/>
  <c r="W33" i="8" s="1"/>
  <c r="X33" i="8" a="1"/>
  <c r="X33" i="8" s="1"/>
  <c r="K34" i="8" a="1"/>
  <c r="K34" i="8" s="1"/>
  <c r="L34" i="8" a="1"/>
  <c r="L34" i="8" s="1"/>
  <c r="M34" i="8" a="1"/>
  <c r="M34" i="8" s="1"/>
  <c r="N34" i="8" a="1"/>
  <c r="N34" i="8" s="1"/>
  <c r="O34" i="8" a="1"/>
  <c r="O34" i="8" s="1"/>
  <c r="P34" i="8" a="1"/>
  <c r="P34" i="8" s="1"/>
  <c r="Q34" i="8" a="1"/>
  <c r="Q34" i="8" s="1"/>
  <c r="R34" i="8" a="1"/>
  <c r="R34" i="8" s="1"/>
  <c r="U34" i="8" a="1"/>
  <c r="U34" i="8" s="1"/>
  <c r="V34" i="8" a="1"/>
  <c r="V34" i="8" s="1"/>
  <c r="W34" i="8" a="1"/>
  <c r="W34" i="8" s="1"/>
  <c r="X34" i="8" a="1"/>
  <c r="X34" i="8" s="1"/>
  <c r="K35" i="8" a="1"/>
  <c r="K35" i="8" s="1"/>
  <c r="L35" i="8" a="1"/>
  <c r="L35" i="8" s="1"/>
  <c r="M35" i="8" a="1"/>
  <c r="M35" i="8" s="1"/>
  <c r="N35" i="8" a="1"/>
  <c r="N35" i="8" s="1"/>
  <c r="O35" i="8" a="1"/>
  <c r="O35" i="8" s="1"/>
  <c r="P35" i="8" a="1"/>
  <c r="P35" i="8" s="1"/>
  <c r="Q35" i="8" a="1"/>
  <c r="Q35" i="8" s="1"/>
  <c r="R35" i="8" a="1"/>
  <c r="R35" i="8" s="1"/>
  <c r="U35" i="8" a="1"/>
  <c r="U35" i="8" s="1"/>
  <c r="V35" i="8" a="1"/>
  <c r="V35" i="8" s="1"/>
  <c r="W35" i="8" a="1"/>
  <c r="W35" i="8" s="1"/>
  <c r="X35" i="8" a="1"/>
  <c r="X35" i="8" s="1"/>
  <c r="K36" i="8" a="1"/>
  <c r="K36" i="8" s="1"/>
  <c r="L36" i="8" a="1"/>
  <c r="L36" i="8" s="1"/>
  <c r="M36" i="8" a="1"/>
  <c r="M36" i="8" s="1"/>
  <c r="N36" i="8" a="1"/>
  <c r="N36" i="8" s="1"/>
  <c r="O36" i="8" a="1"/>
  <c r="O36" i="8" s="1"/>
  <c r="P36" i="8" a="1"/>
  <c r="P36" i="8" s="1"/>
  <c r="Q36" i="8" a="1"/>
  <c r="Q36" i="8" s="1"/>
  <c r="R36" i="8" a="1"/>
  <c r="R36" i="8" s="1"/>
  <c r="U36" i="8" a="1"/>
  <c r="U36" i="8" s="1"/>
  <c r="V36" i="8" a="1"/>
  <c r="V36" i="8" s="1"/>
  <c r="W36" i="8" a="1"/>
  <c r="W36" i="8" s="1"/>
  <c r="X36" i="8" a="1"/>
  <c r="X36" i="8" s="1"/>
  <c r="K37" i="8" a="1"/>
  <c r="K37" i="8" s="1"/>
  <c r="L37" i="8" a="1"/>
  <c r="L37" i="8" s="1"/>
  <c r="M37" i="8" a="1"/>
  <c r="M37" i="8" s="1"/>
  <c r="N37" i="8" a="1"/>
  <c r="N37" i="8" s="1"/>
  <c r="O37" i="8" a="1"/>
  <c r="O37" i="8" s="1"/>
  <c r="P37" i="8" a="1"/>
  <c r="P37" i="8" s="1"/>
  <c r="Q37" i="8" a="1"/>
  <c r="Q37" i="8" s="1"/>
  <c r="R37" i="8" a="1"/>
  <c r="R37" i="8" s="1"/>
  <c r="U37" i="8" a="1"/>
  <c r="U37" i="8" s="1"/>
  <c r="V37" i="8" a="1"/>
  <c r="V37" i="8" s="1"/>
  <c r="W37" i="8" a="1"/>
  <c r="W37" i="8" s="1"/>
  <c r="X37" i="8" a="1"/>
  <c r="X37" i="8" s="1"/>
  <c r="K38" i="8" a="1"/>
  <c r="K38" i="8" s="1"/>
  <c r="L38" i="8" a="1"/>
  <c r="L38" i="8" s="1"/>
  <c r="M38" i="8" a="1"/>
  <c r="M38" i="8" s="1"/>
  <c r="N38" i="8" a="1"/>
  <c r="N38" i="8" s="1"/>
  <c r="O38" i="8" a="1"/>
  <c r="O38" i="8" s="1"/>
  <c r="P38" i="8" a="1"/>
  <c r="P38" i="8" s="1"/>
  <c r="Q38" i="8" a="1"/>
  <c r="Q38" i="8" s="1"/>
  <c r="R38" i="8" a="1"/>
  <c r="R38" i="8" s="1"/>
  <c r="U38" i="8" a="1"/>
  <c r="U38" i="8" s="1"/>
  <c r="V38" i="8" a="1"/>
  <c r="V38" i="8" s="1"/>
  <c r="W38" i="8" a="1"/>
  <c r="W38" i="8" s="1"/>
  <c r="X38" i="8" a="1"/>
  <c r="X38" i="8" s="1"/>
  <c r="K40" i="8" a="1"/>
  <c r="K40" i="8" s="1"/>
  <c r="L40" i="8" a="1"/>
  <c r="L40" i="8" s="1"/>
  <c r="M40" i="8" a="1"/>
  <c r="M40" i="8" s="1"/>
  <c r="N40" i="8" a="1"/>
  <c r="N40" i="8" s="1"/>
  <c r="O40" i="8" a="1"/>
  <c r="O40" i="8" s="1"/>
  <c r="P40" i="8" a="1"/>
  <c r="P40" i="8" s="1"/>
  <c r="Q40" i="8" a="1"/>
  <c r="Q40" i="8" s="1"/>
  <c r="R40" i="8" a="1"/>
  <c r="R40" i="8" s="1"/>
  <c r="U40" i="8" a="1"/>
  <c r="U40" i="8" s="1"/>
  <c r="V40" i="8" a="1"/>
  <c r="V40" i="8" s="1"/>
  <c r="W40" i="8" a="1"/>
  <c r="W40" i="8" s="1"/>
  <c r="X40" i="8" a="1"/>
  <c r="X40" i="8" s="1"/>
  <c r="K41" i="8" a="1"/>
  <c r="K41" i="8" s="1"/>
  <c r="L41" i="8" a="1"/>
  <c r="L41" i="8" s="1"/>
  <c r="M41" i="8" a="1"/>
  <c r="M41" i="8" s="1"/>
  <c r="N41" i="8" a="1"/>
  <c r="N41" i="8" s="1"/>
  <c r="O41" i="8" a="1"/>
  <c r="O41" i="8" s="1"/>
  <c r="P41" i="8" a="1"/>
  <c r="P41" i="8" s="1"/>
  <c r="Q41" i="8" a="1"/>
  <c r="Q41" i="8" s="1"/>
  <c r="R41" i="8" a="1"/>
  <c r="R41" i="8" s="1"/>
  <c r="U41" i="8" a="1"/>
  <c r="U41" i="8" s="1"/>
  <c r="V41" i="8" a="1"/>
  <c r="V41" i="8" s="1"/>
  <c r="W41" i="8" a="1"/>
  <c r="W41" i="8" s="1"/>
  <c r="X41" i="8" a="1"/>
  <c r="X41" i="8" s="1"/>
  <c r="K42" i="8" a="1"/>
  <c r="K42" i="8" s="1"/>
  <c r="L42" i="8" a="1"/>
  <c r="L42" i="8" s="1"/>
  <c r="M42" i="8" a="1"/>
  <c r="M42" i="8" s="1"/>
  <c r="N42" i="8" a="1"/>
  <c r="N42" i="8" s="1"/>
  <c r="O42" i="8" a="1"/>
  <c r="O42" i="8" s="1"/>
  <c r="P42" i="8" a="1"/>
  <c r="P42" i="8" s="1"/>
  <c r="Q42" i="8" a="1"/>
  <c r="Q42" i="8" s="1"/>
  <c r="R42" i="8" a="1"/>
  <c r="R42" i="8" s="1"/>
  <c r="U42" i="8" a="1"/>
  <c r="U42" i="8" s="1"/>
  <c r="V42" i="8" a="1"/>
  <c r="V42" i="8" s="1"/>
  <c r="W42" i="8" a="1"/>
  <c r="W42" i="8" s="1"/>
  <c r="X42" i="8" a="1"/>
  <c r="X42" i="8" s="1"/>
  <c r="K43" i="8" a="1"/>
  <c r="K43" i="8" s="1"/>
  <c r="L43" i="8" a="1"/>
  <c r="L43" i="8" s="1"/>
  <c r="M43" i="8" a="1"/>
  <c r="M43" i="8" s="1"/>
  <c r="N43" i="8" a="1"/>
  <c r="N43" i="8" s="1"/>
  <c r="O43" i="8" a="1"/>
  <c r="O43" i="8" s="1"/>
  <c r="P43" i="8" a="1"/>
  <c r="P43" i="8" s="1"/>
  <c r="Q43" i="8" a="1"/>
  <c r="Q43" i="8" s="1"/>
  <c r="R43" i="8" a="1"/>
  <c r="R43" i="8" s="1"/>
  <c r="U43" i="8" a="1"/>
  <c r="U43" i="8" s="1"/>
  <c r="V43" i="8" a="1"/>
  <c r="V43" i="8" s="1"/>
  <c r="W43" i="8" a="1"/>
  <c r="W43" i="8" s="1"/>
  <c r="X43" i="8" a="1"/>
  <c r="X43" i="8" s="1"/>
  <c r="K44" i="8" a="1"/>
  <c r="K44" i="8" s="1"/>
  <c r="L44" i="8" a="1"/>
  <c r="L44" i="8" s="1"/>
  <c r="M44" i="8" a="1"/>
  <c r="M44" i="8" s="1"/>
  <c r="N44" i="8" a="1"/>
  <c r="N44" i="8" s="1"/>
  <c r="O44" i="8" a="1"/>
  <c r="O44" i="8" s="1"/>
  <c r="P44" i="8" a="1"/>
  <c r="P44" i="8" s="1"/>
  <c r="Q44" i="8" a="1"/>
  <c r="Q44" i="8" s="1"/>
  <c r="R44" i="8" a="1"/>
  <c r="R44" i="8" s="1"/>
  <c r="U44" i="8" a="1"/>
  <c r="U44" i="8" s="1"/>
  <c r="V44" i="8" a="1"/>
  <c r="V44" i="8" s="1"/>
  <c r="W44" i="8" a="1"/>
  <c r="W44" i="8" s="1"/>
  <c r="X44" i="8" a="1"/>
  <c r="X44" i="8" s="1"/>
  <c r="K45" i="8" a="1"/>
  <c r="K45" i="8" s="1"/>
  <c r="L45" i="8" a="1"/>
  <c r="L45" i="8" s="1"/>
  <c r="M45" i="8" a="1"/>
  <c r="M45" i="8" s="1"/>
  <c r="N45" i="8" a="1"/>
  <c r="N45" i="8" s="1"/>
  <c r="O45" i="8" a="1"/>
  <c r="O45" i="8" s="1"/>
  <c r="P45" i="8" a="1"/>
  <c r="P45" i="8" s="1"/>
  <c r="Q45" i="8" a="1"/>
  <c r="Q45" i="8" s="1"/>
  <c r="R45" i="8" a="1"/>
  <c r="R45" i="8" s="1"/>
  <c r="U45" i="8" a="1"/>
  <c r="U45" i="8" s="1"/>
  <c r="V45" i="8" a="1"/>
  <c r="V45" i="8" s="1"/>
  <c r="W45" i="8" a="1"/>
  <c r="W45" i="8" s="1"/>
  <c r="X45" i="8" a="1"/>
  <c r="X45" i="8" s="1"/>
  <c r="K46" i="8" a="1"/>
  <c r="K46" i="8" s="1"/>
  <c r="L46" i="8" a="1"/>
  <c r="L46" i="8" s="1"/>
  <c r="M46" i="8" a="1"/>
  <c r="M46" i="8" s="1"/>
  <c r="N46" i="8" a="1"/>
  <c r="N46" i="8" s="1"/>
  <c r="O46" i="8" a="1"/>
  <c r="O46" i="8" s="1"/>
  <c r="P46" i="8" a="1"/>
  <c r="P46" i="8" s="1"/>
  <c r="Q46" i="8" a="1"/>
  <c r="Q46" i="8" s="1"/>
  <c r="R46" i="8" a="1"/>
  <c r="R46" i="8" s="1"/>
  <c r="U46" i="8" a="1"/>
  <c r="U46" i="8" s="1"/>
  <c r="V46" i="8" a="1"/>
  <c r="V46" i="8" s="1"/>
  <c r="W46" i="8" a="1"/>
  <c r="W46" i="8" s="1"/>
  <c r="X46" i="8" a="1"/>
  <c r="X46" i="8" s="1"/>
  <c r="K47" i="8" a="1"/>
  <c r="K47" i="8" s="1"/>
  <c r="L47" i="8" a="1"/>
  <c r="L47" i="8" s="1"/>
  <c r="M47" i="8" a="1"/>
  <c r="M47" i="8" s="1"/>
  <c r="N47" i="8" a="1"/>
  <c r="N47" i="8" s="1"/>
  <c r="O47" i="8" a="1"/>
  <c r="O47" i="8" s="1"/>
  <c r="P47" i="8" a="1"/>
  <c r="P47" i="8" s="1"/>
  <c r="Q47" i="8" a="1"/>
  <c r="Q47" i="8" s="1"/>
  <c r="R47" i="8" a="1"/>
  <c r="R47" i="8" s="1"/>
  <c r="U47" i="8" a="1"/>
  <c r="U47" i="8" s="1"/>
  <c r="V47" i="8" a="1"/>
  <c r="V47" i="8" s="1"/>
  <c r="W47" i="8" a="1"/>
  <c r="W47" i="8" s="1"/>
  <c r="X47" i="8" a="1"/>
  <c r="X47" i="8" s="1"/>
  <c r="K48" i="8" a="1"/>
  <c r="K48" i="8" s="1"/>
  <c r="L48" i="8" a="1"/>
  <c r="L48" i="8" s="1"/>
  <c r="M48" i="8" a="1"/>
  <c r="M48" i="8" s="1"/>
  <c r="N48" i="8" a="1"/>
  <c r="N48" i="8" s="1"/>
  <c r="O48" i="8" a="1"/>
  <c r="O48" i="8" s="1"/>
  <c r="P48" i="8" a="1"/>
  <c r="P48" i="8" s="1"/>
  <c r="Q48" i="8" a="1"/>
  <c r="Q48" i="8" s="1"/>
  <c r="R48" i="8" a="1"/>
  <c r="R48" i="8" s="1"/>
  <c r="U48" i="8" a="1"/>
  <c r="U48" i="8" s="1"/>
  <c r="V48" i="8" a="1"/>
  <c r="V48" i="8" s="1"/>
  <c r="W48" i="8" a="1"/>
  <c r="W48" i="8" s="1"/>
  <c r="X48" i="8" a="1"/>
  <c r="X48" i="8" s="1"/>
  <c r="K49" i="8" a="1"/>
  <c r="K49" i="8" s="1"/>
  <c r="L49" i="8" a="1"/>
  <c r="L49" i="8" s="1"/>
  <c r="M49" i="8" a="1"/>
  <c r="M49" i="8" s="1"/>
  <c r="N49" i="8" a="1"/>
  <c r="N49" i="8" s="1"/>
  <c r="O49" i="8" a="1"/>
  <c r="O49" i="8" s="1"/>
  <c r="P49" i="8" a="1"/>
  <c r="P49" i="8" s="1"/>
  <c r="Q49" i="8" a="1"/>
  <c r="Q49" i="8" s="1"/>
  <c r="R49" i="8" a="1"/>
  <c r="R49" i="8" s="1"/>
  <c r="U49" i="8" a="1"/>
  <c r="U49" i="8" s="1"/>
  <c r="V49" i="8" a="1"/>
  <c r="V49" i="8" s="1"/>
  <c r="W49" i="8" a="1"/>
  <c r="W49" i="8" s="1"/>
  <c r="X49" i="8" a="1"/>
  <c r="X49" i="8" s="1"/>
  <c r="K50" i="8" a="1"/>
  <c r="K50" i="8" s="1"/>
  <c r="L50" i="8" a="1"/>
  <c r="L50" i="8" s="1"/>
  <c r="M50" i="8" a="1"/>
  <c r="M50" i="8" s="1"/>
  <c r="N50" i="8" a="1"/>
  <c r="N50" i="8" s="1"/>
  <c r="O50" i="8" a="1"/>
  <c r="O50" i="8" s="1"/>
  <c r="P50" i="8" a="1"/>
  <c r="P50" i="8" s="1"/>
  <c r="Q50" i="8" a="1"/>
  <c r="Q50" i="8" s="1"/>
  <c r="R50" i="8" a="1"/>
  <c r="R50" i="8" s="1"/>
  <c r="U50" i="8" a="1"/>
  <c r="U50" i="8" s="1"/>
  <c r="V50" i="8" a="1"/>
  <c r="V50" i="8" s="1"/>
  <c r="W50" i="8" a="1"/>
  <c r="W50" i="8" s="1"/>
  <c r="X50" i="8" a="1"/>
  <c r="X50" i="8" s="1"/>
  <c r="K51" i="8" a="1"/>
  <c r="K51" i="8" s="1"/>
  <c r="L51" i="8" a="1"/>
  <c r="L51" i="8" s="1"/>
  <c r="M51" i="8" a="1"/>
  <c r="M51" i="8" s="1"/>
  <c r="N51" i="8" a="1"/>
  <c r="N51" i="8" s="1"/>
  <c r="O51" i="8" a="1"/>
  <c r="O51" i="8" s="1"/>
  <c r="P51" i="8" a="1"/>
  <c r="P51" i="8" s="1"/>
  <c r="Q51" i="8" a="1"/>
  <c r="Q51" i="8" s="1"/>
  <c r="R51" i="8" a="1"/>
  <c r="R51" i="8" s="1"/>
  <c r="U51" i="8" a="1"/>
  <c r="U51" i="8" s="1"/>
  <c r="V51" i="8" a="1"/>
  <c r="V51" i="8" s="1"/>
  <c r="W51" i="8" a="1"/>
  <c r="W51" i="8" s="1"/>
  <c r="X51" i="8" a="1"/>
  <c r="X51" i="8" s="1"/>
  <c r="K52" i="8" a="1"/>
  <c r="K52" i="8" s="1"/>
  <c r="L52" i="8" a="1"/>
  <c r="L52" i="8" s="1"/>
  <c r="M52" i="8" a="1"/>
  <c r="M52" i="8" s="1"/>
  <c r="N52" i="8" a="1"/>
  <c r="N52" i="8" s="1"/>
  <c r="O52" i="8" a="1"/>
  <c r="O52" i="8" s="1"/>
  <c r="P52" i="8" a="1"/>
  <c r="P52" i="8" s="1"/>
  <c r="Q52" i="8" a="1"/>
  <c r="Q52" i="8" s="1"/>
  <c r="R52" i="8" a="1"/>
  <c r="R52" i="8" s="1"/>
  <c r="U52" i="8" a="1"/>
  <c r="U52" i="8" s="1"/>
  <c r="V52" i="8" a="1"/>
  <c r="V52" i="8" s="1"/>
  <c r="W52" i="8" a="1"/>
  <c r="W52" i="8" s="1"/>
  <c r="X52" i="8" a="1"/>
  <c r="X52" i="8" s="1"/>
  <c r="K53" i="8" a="1"/>
  <c r="K53" i="8" s="1"/>
  <c r="L53" i="8" a="1"/>
  <c r="L53" i="8" s="1"/>
  <c r="M53" i="8" a="1"/>
  <c r="M53" i="8" s="1"/>
  <c r="N53" i="8" a="1"/>
  <c r="N53" i="8" s="1"/>
  <c r="O53" i="8" a="1"/>
  <c r="O53" i="8" s="1"/>
  <c r="P53" i="8" a="1"/>
  <c r="P53" i="8" s="1"/>
  <c r="Q53" i="8" a="1"/>
  <c r="Q53" i="8" s="1"/>
  <c r="R53" i="8" a="1"/>
  <c r="R53" i="8" s="1"/>
  <c r="U53" i="8" a="1"/>
  <c r="U53" i="8" s="1"/>
  <c r="V53" i="8" a="1"/>
  <c r="V53" i="8" s="1"/>
  <c r="W53" i="8" a="1"/>
  <c r="W53" i="8" s="1"/>
  <c r="X53" i="8" a="1"/>
  <c r="X53" i="8" s="1"/>
  <c r="K54" i="8" a="1"/>
  <c r="K54" i="8" s="1"/>
  <c r="L54" i="8" a="1"/>
  <c r="L54" i="8" s="1"/>
  <c r="M54" i="8" a="1"/>
  <c r="M54" i="8" s="1"/>
  <c r="N54" i="8" a="1"/>
  <c r="N54" i="8" s="1"/>
  <c r="O54" i="8" a="1"/>
  <c r="O54" i="8" s="1"/>
  <c r="P54" i="8" a="1"/>
  <c r="P54" i="8" s="1"/>
  <c r="Q54" i="8" a="1"/>
  <c r="Q54" i="8" s="1"/>
  <c r="R54" i="8" a="1"/>
  <c r="R54" i="8" s="1"/>
  <c r="U54" i="8" a="1"/>
  <c r="U54" i="8" s="1"/>
  <c r="V54" i="8" a="1"/>
  <c r="V54" i="8" s="1"/>
  <c r="W54" i="8" a="1"/>
  <c r="W54" i="8" s="1"/>
  <c r="X54" i="8" a="1"/>
  <c r="X54" i="8" s="1"/>
  <c r="K55" i="8" a="1"/>
  <c r="K55" i="8" s="1"/>
  <c r="L55" i="8" a="1"/>
  <c r="L55" i="8" s="1"/>
  <c r="M55" i="8" a="1"/>
  <c r="M55" i="8" s="1"/>
  <c r="N55" i="8" a="1"/>
  <c r="N55" i="8" s="1"/>
  <c r="O55" i="8" a="1"/>
  <c r="O55" i="8" s="1"/>
  <c r="P55" i="8" a="1"/>
  <c r="P55" i="8" s="1"/>
  <c r="Q55" i="8" a="1"/>
  <c r="Q55" i="8" s="1"/>
  <c r="R55" i="8" a="1"/>
  <c r="R55" i="8" s="1"/>
  <c r="U55" i="8" a="1"/>
  <c r="U55" i="8" s="1"/>
  <c r="V55" i="8" a="1"/>
  <c r="V55" i="8" s="1"/>
  <c r="W55" i="8" a="1"/>
  <c r="W55" i="8" s="1"/>
  <c r="X55" i="8" a="1"/>
  <c r="X55" i="8" s="1"/>
  <c r="K56" i="8" a="1"/>
  <c r="K56" i="8" s="1"/>
  <c r="L56" i="8" a="1"/>
  <c r="L56" i="8" s="1"/>
  <c r="M56" i="8" a="1"/>
  <c r="M56" i="8" s="1"/>
  <c r="N56" i="8" a="1"/>
  <c r="N56" i="8" s="1"/>
  <c r="O56" i="8" a="1"/>
  <c r="O56" i="8" s="1"/>
  <c r="P56" i="8" a="1"/>
  <c r="P56" i="8" s="1"/>
  <c r="Q56" i="8" a="1"/>
  <c r="Q56" i="8" s="1"/>
  <c r="R56" i="8" a="1"/>
  <c r="R56" i="8" s="1"/>
  <c r="U56" i="8" a="1"/>
  <c r="U56" i="8" s="1"/>
  <c r="V56" i="8" a="1"/>
  <c r="V56" i="8" s="1"/>
  <c r="W56" i="8" a="1"/>
  <c r="W56" i="8" s="1"/>
  <c r="X56" i="8" a="1"/>
  <c r="X56" i="8" s="1"/>
  <c r="K57" i="8" a="1"/>
  <c r="K57" i="8" s="1"/>
  <c r="L57" i="8" a="1"/>
  <c r="L57" i="8" s="1"/>
  <c r="M57" i="8" a="1"/>
  <c r="M57" i="8" s="1"/>
  <c r="N57" i="8" a="1"/>
  <c r="N57" i="8" s="1"/>
  <c r="O57" i="8" a="1"/>
  <c r="O57" i="8" s="1"/>
  <c r="P57" i="8" a="1"/>
  <c r="P57" i="8" s="1"/>
  <c r="Q57" i="8" a="1"/>
  <c r="Q57" i="8" s="1"/>
  <c r="R57" i="8" a="1"/>
  <c r="R57" i="8" s="1"/>
  <c r="U57" i="8" a="1"/>
  <c r="U57" i="8" s="1"/>
  <c r="V57" i="8" a="1"/>
  <c r="V57" i="8" s="1"/>
  <c r="W57" i="8" a="1"/>
  <c r="W57" i="8" s="1"/>
  <c r="X57" i="8" a="1"/>
  <c r="X57" i="8" s="1"/>
  <c r="K58" i="8" a="1"/>
  <c r="K58" i="8" s="1"/>
  <c r="L58" i="8" a="1"/>
  <c r="L58" i="8" s="1"/>
  <c r="M58" i="8" a="1"/>
  <c r="M58" i="8" s="1"/>
  <c r="N58" i="8" a="1"/>
  <c r="N58" i="8" s="1"/>
  <c r="O58" i="8" a="1"/>
  <c r="O58" i="8" s="1"/>
  <c r="P58" i="8" a="1"/>
  <c r="P58" i="8" s="1"/>
  <c r="Q58" i="8" a="1"/>
  <c r="Q58" i="8" s="1"/>
  <c r="R58" i="8" a="1"/>
  <c r="R58" i="8" s="1"/>
  <c r="U58" i="8" a="1"/>
  <c r="U58" i="8" s="1"/>
  <c r="V58" i="8" a="1"/>
  <c r="V58" i="8" s="1"/>
  <c r="W58" i="8" a="1"/>
  <c r="W58" i="8" s="1"/>
  <c r="X58" i="8" a="1"/>
  <c r="X58" i="8" s="1"/>
  <c r="K59" i="8" a="1"/>
  <c r="K59" i="8" s="1"/>
  <c r="L59" i="8" a="1"/>
  <c r="L59" i="8" s="1"/>
  <c r="M59" i="8" a="1"/>
  <c r="M59" i="8" s="1"/>
  <c r="N59" i="8" a="1"/>
  <c r="N59" i="8" s="1"/>
  <c r="O59" i="8" a="1"/>
  <c r="O59" i="8" s="1"/>
  <c r="P59" i="8" a="1"/>
  <c r="P59" i="8" s="1"/>
  <c r="Q59" i="8" a="1"/>
  <c r="Q59" i="8" s="1"/>
  <c r="R59" i="8" a="1"/>
  <c r="R59" i="8" s="1"/>
  <c r="U59" i="8" a="1"/>
  <c r="U59" i="8" s="1"/>
  <c r="V59" i="8" a="1"/>
  <c r="V59" i="8" s="1"/>
  <c r="W59" i="8" a="1"/>
  <c r="W59" i="8" s="1"/>
  <c r="X59" i="8" a="1"/>
  <c r="X59" i="8" s="1"/>
  <c r="K60" i="8" a="1"/>
  <c r="K60" i="8" s="1"/>
  <c r="L60" i="8" a="1"/>
  <c r="L60" i="8" s="1"/>
  <c r="M60" i="8" a="1"/>
  <c r="M60" i="8" s="1"/>
  <c r="N60" i="8" a="1"/>
  <c r="N60" i="8" s="1"/>
  <c r="O60" i="8" a="1"/>
  <c r="O60" i="8" s="1"/>
  <c r="P60" i="8" a="1"/>
  <c r="P60" i="8" s="1"/>
  <c r="Q60" i="8" a="1"/>
  <c r="Q60" i="8" s="1"/>
  <c r="R60" i="8" a="1"/>
  <c r="R60" i="8" s="1"/>
  <c r="U60" i="8" a="1"/>
  <c r="U60" i="8" s="1"/>
  <c r="V60" i="8" a="1"/>
  <c r="V60" i="8" s="1"/>
  <c r="W60" i="8" a="1"/>
  <c r="W60" i="8" s="1"/>
  <c r="X60" i="8" a="1"/>
  <c r="X60" i="8" s="1"/>
  <c r="K61" i="8" a="1"/>
  <c r="K61" i="8" s="1"/>
  <c r="L61" i="8" a="1"/>
  <c r="L61" i="8" s="1"/>
  <c r="M61" i="8" a="1"/>
  <c r="M61" i="8" s="1"/>
  <c r="N61" i="8" a="1"/>
  <c r="N61" i="8" s="1"/>
  <c r="O61" i="8" a="1"/>
  <c r="O61" i="8" s="1"/>
  <c r="P61" i="8" a="1"/>
  <c r="P61" i="8" s="1"/>
  <c r="Q61" i="8" a="1"/>
  <c r="Q61" i="8" s="1"/>
  <c r="R61" i="8" a="1"/>
  <c r="R61" i="8" s="1"/>
  <c r="U61" i="8" a="1"/>
  <c r="U61" i="8" s="1"/>
  <c r="V61" i="8" a="1"/>
  <c r="V61" i="8" s="1"/>
  <c r="W61" i="8" a="1"/>
  <c r="W61" i="8" s="1"/>
  <c r="X61" i="8" a="1"/>
  <c r="X61" i="8" s="1"/>
  <c r="K62" i="8" a="1"/>
  <c r="K62" i="8" s="1"/>
  <c r="L62" i="8" a="1"/>
  <c r="L62" i="8" s="1"/>
  <c r="M62" i="8" a="1"/>
  <c r="M62" i="8" s="1"/>
  <c r="N62" i="8" a="1"/>
  <c r="N62" i="8" s="1"/>
  <c r="O62" i="8" a="1"/>
  <c r="O62" i="8" s="1"/>
  <c r="P62" i="8" a="1"/>
  <c r="P62" i="8" s="1"/>
  <c r="Q62" i="8" a="1"/>
  <c r="Q62" i="8" s="1"/>
  <c r="R62" i="8" a="1"/>
  <c r="R62" i="8" s="1"/>
  <c r="U62" i="8" a="1"/>
  <c r="U62" i="8" s="1"/>
  <c r="V62" i="8" a="1"/>
  <c r="V62" i="8" s="1"/>
  <c r="W62" i="8" a="1"/>
  <c r="W62" i="8" s="1"/>
  <c r="X62" i="8" a="1"/>
  <c r="X62" i="8" s="1"/>
  <c r="K63" i="8" a="1"/>
  <c r="K63" i="8" s="1"/>
  <c r="L63" i="8" a="1"/>
  <c r="L63" i="8" s="1"/>
  <c r="M63" i="8" a="1"/>
  <c r="M63" i="8" s="1"/>
  <c r="N63" i="8" a="1"/>
  <c r="N63" i="8" s="1"/>
  <c r="O63" i="8" a="1"/>
  <c r="O63" i="8" s="1"/>
  <c r="P63" i="8" a="1"/>
  <c r="P63" i="8" s="1"/>
  <c r="Q63" i="8" a="1"/>
  <c r="Q63" i="8" s="1"/>
  <c r="R63" i="8" a="1"/>
  <c r="R63" i="8" s="1"/>
  <c r="U63" i="8" a="1"/>
  <c r="U63" i="8" s="1"/>
  <c r="V63" i="8" a="1"/>
  <c r="V63" i="8" s="1"/>
  <c r="W63" i="8" a="1"/>
  <c r="W63" i="8" s="1"/>
  <c r="X63" i="8" a="1"/>
  <c r="X63" i="8" s="1"/>
  <c r="K64" i="8" a="1"/>
  <c r="K64" i="8" s="1"/>
  <c r="L64" i="8" a="1"/>
  <c r="L64" i="8" s="1"/>
  <c r="M64" i="8" a="1"/>
  <c r="M64" i="8" s="1"/>
  <c r="N64" i="8" a="1"/>
  <c r="N64" i="8" s="1"/>
  <c r="O64" i="8" a="1"/>
  <c r="O64" i="8" s="1"/>
  <c r="P64" i="8" a="1"/>
  <c r="P64" i="8" s="1"/>
  <c r="Q64" i="8" a="1"/>
  <c r="Q64" i="8" s="1"/>
  <c r="R64" i="8" a="1"/>
  <c r="R64" i="8" s="1"/>
  <c r="U64" i="8" a="1"/>
  <c r="U64" i="8" s="1"/>
  <c r="V64" i="8" a="1"/>
  <c r="V64" i="8" s="1"/>
  <c r="W64" i="8" a="1"/>
  <c r="W64" i="8" s="1"/>
  <c r="X64" i="8" a="1"/>
  <c r="X64" i="8" s="1"/>
  <c r="K65" i="8" a="1"/>
  <c r="K65" i="8" s="1"/>
  <c r="L65" i="8" a="1"/>
  <c r="L65" i="8" s="1"/>
  <c r="M65" i="8" a="1"/>
  <c r="M65" i="8" s="1"/>
  <c r="N65" i="8" a="1"/>
  <c r="N65" i="8" s="1"/>
  <c r="O65" i="8" a="1"/>
  <c r="O65" i="8" s="1"/>
  <c r="P65" i="8" a="1"/>
  <c r="P65" i="8" s="1"/>
  <c r="Q65" i="8" a="1"/>
  <c r="Q65" i="8" s="1"/>
  <c r="R65" i="8" a="1"/>
  <c r="R65" i="8" s="1"/>
  <c r="U65" i="8" a="1"/>
  <c r="U65" i="8" s="1"/>
  <c r="V65" i="8" a="1"/>
  <c r="V65" i="8" s="1"/>
  <c r="W65" i="8" a="1"/>
  <c r="W65" i="8" s="1"/>
  <c r="X65" i="8" a="1"/>
  <c r="X65" i="8" s="1"/>
  <c r="K66" i="8" a="1"/>
  <c r="K66" i="8" s="1"/>
  <c r="L66" i="8" a="1"/>
  <c r="L66" i="8" s="1"/>
  <c r="M66" i="8" a="1"/>
  <c r="M66" i="8" s="1"/>
  <c r="N66" i="8" a="1"/>
  <c r="N66" i="8" s="1"/>
  <c r="O66" i="8" a="1"/>
  <c r="O66" i="8" s="1"/>
  <c r="P66" i="8" a="1"/>
  <c r="P66" i="8" s="1"/>
  <c r="Q66" i="8" a="1"/>
  <c r="Q66" i="8" s="1"/>
  <c r="R66" i="8" a="1"/>
  <c r="R66" i="8" s="1"/>
  <c r="U66" i="8" a="1"/>
  <c r="U66" i="8" s="1"/>
  <c r="V66" i="8" a="1"/>
  <c r="V66" i="8" s="1"/>
  <c r="W66" i="8" a="1"/>
  <c r="W66" i="8" s="1"/>
  <c r="X66" i="8" a="1"/>
  <c r="X66" i="8" s="1"/>
  <c r="K67" i="8" a="1"/>
  <c r="K67" i="8" s="1"/>
  <c r="L67" i="8" a="1"/>
  <c r="L67" i="8" s="1"/>
  <c r="M67" i="8" a="1"/>
  <c r="M67" i="8" s="1"/>
  <c r="N67" i="8" a="1"/>
  <c r="N67" i="8" s="1"/>
  <c r="O67" i="8" a="1"/>
  <c r="O67" i="8" s="1"/>
  <c r="P67" i="8" a="1"/>
  <c r="P67" i="8" s="1"/>
  <c r="Q67" i="8" a="1"/>
  <c r="Q67" i="8" s="1"/>
  <c r="R67" i="8" a="1"/>
  <c r="R67" i="8" s="1"/>
  <c r="U67" i="8" a="1"/>
  <c r="U67" i="8" s="1"/>
  <c r="V67" i="8" a="1"/>
  <c r="V67" i="8" s="1"/>
  <c r="W67" i="8" a="1"/>
  <c r="W67" i="8" s="1"/>
  <c r="X67" i="8" a="1"/>
  <c r="X67" i="8" s="1"/>
  <c r="K68" i="8" a="1"/>
  <c r="K68" i="8" s="1"/>
  <c r="L68" i="8" a="1"/>
  <c r="L68" i="8" s="1"/>
  <c r="M68" i="8" a="1"/>
  <c r="M68" i="8" s="1"/>
  <c r="N68" i="8" a="1"/>
  <c r="N68" i="8" s="1"/>
  <c r="O68" i="8" a="1"/>
  <c r="O68" i="8" s="1"/>
  <c r="P68" i="8" a="1"/>
  <c r="P68" i="8" s="1"/>
  <c r="Q68" i="8" a="1"/>
  <c r="Q68" i="8" s="1"/>
  <c r="R68" i="8" a="1"/>
  <c r="R68" i="8" s="1"/>
  <c r="U68" i="8" a="1"/>
  <c r="U68" i="8" s="1"/>
  <c r="V68" i="8" a="1"/>
  <c r="V68" i="8" s="1"/>
  <c r="W68" i="8" a="1"/>
  <c r="W68" i="8" s="1"/>
  <c r="X68" i="8" a="1"/>
  <c r="X68" i="8" s="1"/>
  <c r="K69" i="8" a="1"/>
  <c r="K69" i="8" s="1"/>
  <c r="L69" i="8" a="1"/>
  <c r="L69" i="8" s="1"/>
  <c r="M69" i="8" a="1"/>
  <c r="M69" i="8" s="1"/>
  <c r="N69" i="8" a="1"/>
  <c r="N69" i="8" s="1"/>
  <c r="O69" i="8" a="1"/>
  <c r="O69" i="8" s="1"/>
  <c r="P69" i="8" a="1"/>
  <c r="P69" i="8" s="1"/>
  <c r="Q69" i="8" a="1"/>
  <c r="Q69" i="8" s="1"/>
  <c r="R69" i="8" a="1"/>
  <c r="R69" i="8" s="1"/>
  <c r="U69" i="8" a="1"/>
  <c r="U69" i="8" s="1"/>
  <c r="V69" i="8" a="1"/>
  <c r="V69" i="8" s="1"/>
  <c r="W69" i="8" a="1"/>
  <c r="W69" i="8" s="1"/>
  <c r="X69" i="8" a="1"/>
  <c r="X69" i="8" s="1"/>
  <c r="K70" i="8" a="1"/>
  <c r="K70" i="8" s="1"/>
  <c r="L70" i="8" a="1"/>
  <c r="L70" i="8" s="1"/>
  <c r="M70" i="8" a="1"/>
  <c r="M70" i="8" s="1"/>
  <c r="N70" i="8" a="1"/>
  <c r="N70" i="8" s="1"/>
  <c r="O70" i="8" a="1"/>
  <c r="O70" i="8" s="1"/>
  <c r="P70" i="8" a="1"/>
  <c r="P70" i="8" s="1"/>
  <c r="Q70" i="8" a="1"/>
  <c r="Q70" i="8" s="1"/>
  <c r="R70" i="8" a="1"/>
  <c r="R70" i="8" s="1"/>
  <c r="U70" i="8" a="1"/>
  <c r="U70" i="8" s="1"/>
  <c r="V70" i="8" a="1"/>
  <c r="V70" i="8" s="1"/>
  <c r="W70" i="8" a="1"/>
  <c r="W70" i="8" s="1"/>
  <c r="X70" i="8" a="1"/>
  <c r="X70" i="8" s="1"/>
  <c r="K71" i="8" a="1"/>
  <c r="K71" i="8" s="1"/>
  <c r="L71" i="8" a="1"/>
  <c r="L71" i="8" s="1"/>
  <c r="M71" i="8" a="1"/>
  <c r="M71" i="8" s="1"/>
  <c r="N71" i="8" a="1"/>
  <c r="N71" i="8" s="1"/>
  <c r="O71" i="8" a="1"/>
  <c r="O71" i="8" s="1"/>
  <c r="P71" i="8" a="1"/>
  <c r="P71" i="8" s="1"/>
  <c r="Q71" i="8" a="1"/>
  <c r="Q71" i="8" s="1"/>
  <c r="R71" i="8" a="1"/>
  <c r="R71" i="8" s="1"/>
  <c r="U71" i="8" a="1"/>
  <c r="U71" i="8" s="1"/>
  <c r="V71" i="8" a="1"/>
  <c r="V71" i="8" s="1"/>
  <c r="W71" i="8" a="1"/>
  <c r="W71" i="8" s="1"/>
  <c r="X71" i="8" a="1"/>
  <c r="X71" i="8" s="1"/>
  <c r="K72" i="8" a="1"/>
  <c r="K72" i="8" s="1"/>
  <c r="L72" i="8" a="1"/>
  <c r="L72" i="8" s="1"/>
  <c r="M72" i="8" a="1"/>
  <c r="M72" i="8" s="1"/>
  <c r="N72" i="8" a="1"/>
  <c r="N72" i="8" s="1"/>
  <c r="O72" i="8" a="1"/>
  <c r="O72" i="8" s="1"/>
  <c r="P72" i="8" a="1"/>
  <c r="P72" i="8" s="1"/>
  <c r="Q72" i="8" a="1"/>
  <c r="Q72" i="8" s="1"/>
  <c r="R72" i="8" a="1"/>
  <c r="R72" i="8" s="1"/>
  <c r="U72" i="8" a="1"/>
  <c r="U72" i="8" s="1"/>
  <c r="V72" i="8" a="1"/>
  <c r="V72" i="8" s="1"/>
  <c r="W72" i="8" a="1"/>
  <c r="W72" i="8" s="1"/>
  <c r="X72" i="8" a="1"/>
  <c r="X72" i="8" s="1"/>
  <c r="K73" i="8" a="1"/>
  <c r="K73" i="8" s="1"/>
  <c r="L73" i="8" a="1"/>
  <c r="L73" i="8" s="1"/>
  <c r="M73" i="8" a="1"/>
  <c r="M73" i="8" s="1"/>
  <c r="N73" i="8" a="1"/>
  <c r="N73" i="8" s="1"/>
  <c r="O73" i="8" a="1"/>
  <c r="O73" i="8" s="1"/>
  <c r="P73" i="8" a="1"/>
  <c r="P73" i="8" s="1"/>
  <c r="Q73" i="8" a="1"/>
  <c r="Q73" i="8" s="1"/>
  <c r="R73" i="8" a="1"/>
  <c r="R73" i="8" s="1"/>
  <c r="U73" i="8" a="1"/>
  <c r="U73" i="8" s="1"/>
  <c r="V73" i="8" a="1"/>
  <c r="V73" i="8" s="1"/>
  <c r="W73" i="8" a="1"/>
  <c r="W73" i="8" s="1"/>
  <c r="X73" i="8" a="1"/>
  <c r="X73" i="8" s="1"/>
  <c r="K74" i="8" a="1"/>
  <c r="K74" i="8" s="1"/>
  <c r="L74" i="8" a="1"/>
  <c r="L74" i="8" s="1"/>
  <c r="M74" i="8" a="1"/>
  <c r="M74" i="8" s="1"/>
  <c r="N74" i="8" a="1"/>
  <c r="N74" i="8" s="1"/>
  <c r="O74" i="8" a="1"/>
  <c r="O74" i="8" s="1"/>
  <c r="P74" i="8" a="1"/>
  <c r="P74" i="8" s="1"/>
  <c r="Q74" i="8" a="1"/>
  <c r="Q74" i="8" s="1"/>
  <c r="R74" i="8" a="1"/>
  <c r="R74" i="8" s="1"/>
  <c r="U74" i="8" a="1"/>
  <c r="U74" i="8" s="1"/>
  <c r="V74" i="8" a="1"/>
  <c r="V74" i="8" s="1"/>
  <c r="W74" i="8" a="1"/>
  <c r="W74" i="8" s="1"/>
  <c r="X74" i="8" a="1"/>
  <c r="X74" i="8" s="1"/>
  <c r="K75" i="8" a="1"/>
  <c r="K75" i="8" s="1"/>
  <c r="L75" i="8" a="1"/>
  <c r="L75" i="8" s="1"/>
  <c r="M75" i="8" a="1"/>
  <c r="M75" i="8" s="1"/>
  <c r="N75" i="8" a="1"/>
  <c r="N75" i="8" s="1"/>
  <c r="O75" i="8" a="1"/>
  <c r="O75" i="8" s="1"/>
  <c r="P75" i="8" a="1"/>
  <c r="P75" i="8" s="1"/>
  <c r="Q75" i="8" a="1"/>
  <c r="Q75" i="8" s="1"/>
  <c r="R75" i="8" a="1"/>
  <c r="R75" i="8" s="1"/>
  <c r="U75" i="8" a="1"/>
  <c r="U75" i="8" s="1"/>
  <c r="V75" i="8" a="1"/>
  <c r="V75" i="8" s="1"/>
  <c r="W75" i="8" a="1"/>
  <c r="W75" i="8" s="1"/>
  <c r="X75" i="8" a="1"/>
  <c r="X75" i="8" s="1"/>
  <c r="K76" i="8" a="1"/>
  <c r="K76" i="8" s="1"/>
  <c r="L76" i="8" a="1"/>
  <c r="L76" i="8" s="1"/>
  <c r="M76" i="8" a="1"/>
  <c r="M76" i="8" s="1"/>
  <c r="N76" i="8" a="1"/>
  <c r="N76" i="8" s="1"/>
  <c r="O76" i="8" a="1"/>
  <c r="O76" i="8" s="1"/>
  <c r="P76" i="8" a="1"/>
  <c r="P76" i="8" s="1"/>
  <c r="Q76" i="8" a="1"/>
  <c r="Q76" i="8" s="1"/>
  <c r="R76" i="8" a="1"/>
  <c r="R76" i="8" s="1"/>
  <c r="U76" i="8" a="1"/>
  <c r="U76" i="8" s="1"/>
  <c r="V76" i="8" a="1"/>
  <c r="V76" i="8" s="1"/>
  <c r="W76" i="8" a="1"/>
  <c r="W76" i="8" s="1"/>
  <c r="X76" i="8" a="1"/>
  <c r="X76" i="8" s="1"/>
  <c r="K77" i="8" a="1"/>
  <c r="K77" i="8" s="1"/>
  <c r="L77" i="8" a="1"/>
  <c r="L77" i="8" s="1"/>
  <c r="M77" i="8" a="1"/>
  <c r="M77" i="8" s="1"/>
  <c r="N77" i="8" a="1"/>
  <c r="N77" i="8" s="1"/>
  <c r="O77" i="8" a="1"/>
  <c r="O77" i="8" s="1"/>
  <c r="P77" i="8" a="1"/>
  <c r="P77" i="8" s="1"/>
  <c r="Q77" i="8" a="1"/>
  <c r="Q77" i="8" s="1"/>
  <c r="R77" i="8" a="1"/>
  <c r="R77" i="8" s="1"/>
  <c r="U77" i="8" a="1"/>
  <c r="U77" i="8" s="1"/>
  <c r="V77" i="8" a="1"/>
  <c r="V77" i="8" s="1"/>
  <c r="W77" i="8" a="1"/>
  <c r="W77" i="8" s="1"/>
  <c r="X77" i="8" a="1"/>
  <c r="X77" i="8" s="1"/>
  <c r="K78" i="8" a="1"/>
  <c r="K78" i="8" s="1"/>
  <c r="L78" i="8" a="1"/>
  <c r="L78" i="8" s="1"/>
  <c r="M78" i="8" a="1"/>
  <c r="M78" i="8" s="1"/>
  <c r="N78" i="8" a="1"/>
  <c r="N78" i="8" s="1"/>
  <c r="O78" i="8" a="1"/>
  <c r="O78" i="8" s="1"/>
  <c r="P78" i="8" a="1"/>
  <c r="P78" i="8" s="1"/>
  <c r="Q78" i="8" a="1"/>
  <c r="Q78" i="8" s="1"/>
  <c r="R78" i="8" a="1"/>
  <c r="R78" i="8" s="1"/>
  <c r="U78" i="8" a="1"/>
  <c r="U78" i="8" s="1"/>
  <c r="V78" i="8" a="1"/>
  <c r="V78" i="8" s="1"/>
  <c r="W78" i="8" a="1"/>
  <c r="W78" i="8" s="1"/>
  <c r="X78" i="8" a="1"/>
  <c r="X78" i="8" s="1"/>
  <c r="K79" i="8" a="1"/>
  <c r="K79" i="8" s="1"/>
  <c r="L79" i="8" a="1"/>
  <c r="L79" i="8" s="1"/>
  <c r="M79" i="8" a="1"/>
  <c r="M79" i="8" s="1"/>
  <c r="N79" i="8" a="1"/>
  <c r="N79" i="8" s="1"/>
  <c r="O79" i="8" a="1"/>
  <c r="O79" i="8" s="1"/>
  <c r="P79" i="8" a="1"/>
  <c r="P79" i="8" s="1"/>
  <c r="Q79" i="8" a="1"/>
  <c r="Q79" i="8" s="1"/>
  <c r="R79" i="8" a="1"/>
  <c r="R79" i="8" s="1"/>
  <c r="U79" i="8" a="1"/>
  <c r="U79" i="8" s="1"/>
  <c r="V79" i="8" a="1"/>
  <c r="V79" i="8" s="1"/>
  <c r="W79" i="8" a="1"/>
  <c r="W79" i="8" s="1"/>
  <c r="X79" i="8" a="1"/>
  <c r="X79" i="8" s="1"/>
  <c r="K80" i="8" a="1"/>
  <c r="K80" i="8" s="1"/>
  <c r="L80" i="8" a="1"/>
  <c r="L80" i="8" s="1"/>
  <c r="M80" i="8" a="1"/>
  <c r="M80" i="8" s="1"/>
  <c r="N80" i="8" a="1"/>
  <c r="N80" i="8" s="1"/>
  <c r="O80" i="8" a="1"/>
  <c r="O80" i="8" s="1"/>
  <c r="P80" i="8" a="1"/>
  <c r="P80" i="8" s="1"/>
  <c r="Q80" i="8" a="1"/>
  <c r="Q80" i="8" s="1"/>
  <c r="R80" i="8" a="1"/>
  <c r="R80" i="8" s="1"/>
  <c r="U80" i="8" a="1"/>
  <c r="U80" i="8" s="1"/>
  <c r="V80" i="8" a="1"/>
  <c r="V80" i="8" s="1"/>
  <c r="W80" i="8" a="1"/>
  <c r="W80" i="8" s="1"/>
  <c r="X80" i="8" a="1"/>
  <c r="X80" i="8" s="1"/>
  <c r="K81" i="8" a="1"/>
  <c r="K81" i="8" s="1"/>
  <c r="L81" i="8" a="1"/>
  <c r="L81" i="8" s="1"/>
  <c r="M81" i="8" a="1"/>
  <c r="M81" i="8" s="1"/>
  <c r="N81" i="8" a="1"/>
  <c r="N81" i="8" s="1"/>
  <c r="O81" i="8" a="1"/>
  <c r="O81" i="8" s="1"/>
  <c r="P81" i="8" a="1"/>
  <c r="P81" i="8" s="1"/>
  <c r="Q81" i="8" a="1"/>
  <c r="Q81" i="8" s="1"/>
  <c r="R81" i="8" a="1"/>
  <c r="R81" i="8" s="1"/>
  <c r="U81" i="8" a="1"/>
  <c r="U81" i="8" s="1"/>
  <c r="V81" i="8" a="1"/>
  <c r="V81" i="8" s="1"/>
  <c r="W81" i="8" a="1"/>
  <c r="W81" i="8" s="1"/>
  <c r="X81" i="8" a="1"/>
  <c r="X81" i="8" s="1"/>
  <c r="K82" i="8" a="1"/>
  <c r="K82" i="8" s="1"/>
  <c r="L82" i="8" a="1"/>
  <c r="L82" i="8" s="1"/>
  <c r="M82" i="8" a="1"/>
  <c r="M82" i="8" s="1"/>
  <c r="N82" i="8" a="1"/>
  <c r="N82" i="8" s="1"/>
  <c r="O82" i="8" a="1"/>
  <c r="O82" i="8" s="1"/>
  <c r="P82" i="8" a="1"/>
  <c r="P82" i="8" s="1"/>
  <c r="Q82" i="8" a="1"/>
  <c r="Q82" i="8" s="1"/>
  <c r="R82" i="8" a="1"/>
  <c r="R82" i="8" s="1"/>
  <c r="U82" i="8" a="1"/>
  <c r="U82" i="8" s="1"/>
  <c r="V82" i="8" a="1"/>
  <c r="V82" i="8" s="1"/>
  <c r="W82" i="8" a="1"/>
  <c r="W82" i="8" s="1"/>
  <c r="X82" i="8" a="1"/>
  <c r="X82" i="8" s="1"/>
  <c r="K83" i="8" a="1"/>
  <c r="K83" i="8" s="1"/>
  <c r="L83" i="8" a="1"/>
  <c r="L83" i="8" s="1"/>
  <c r="M83" i="8" a="1"/>
  <c r="M83" i="8" s="1"/>
  <c r="N83" i="8" a="1"/>
  <c r="N83" i="8" s="1"/>
  <c r="O83" i="8" a="1"/>
  <c r="O83" i="8" s="1"/>
  <c r="P83" i="8" a="1"/>
  <c r="P83" i="8" s="1"/>
  <c r="Q83" i="8" a="1"/>
  <c r="Q83" i="8" s="1"/>
  <c r="R83" i="8" a="1"/>
  <c r="R83" i="8" s="1"/>
  <c r="U83" i="8" a="1"/>
  <c r="U83" i="8" s="1"/>
  <c r="V83" i="8" a="1"/>
  <c r="V83" i="8" s="1"/>
  <c r="W83" i="8" a="1"/>
  <c r="W83" i="8" s="1"/>
  <c r="X83" i="8" a="1"/>
  <c r="X83" i="8" s="1"/>
  <c r="K84" i="8" a="1"/>
  <c r="K84" i="8" s="1"/>
  <c r="L84" i="8" a="1"/>
  <c r="L84" i="8" s="1"/>
  <c r="M84" i="8" a="1"/>
  <c r="M84" i="8" s="1"/>
  <c r="N84" i="8" a="1"/>
  <c r="N84" i="8" s="1"/>
  <c r="O84" i="8" a="1"/>
  <c r="O84" i="8" s="1"/>
  <c r="P84" i="8" a="1"/>
  <c r="P84" i="8" s="1"/>
  <c r="Q84" i="8" a="1"/>
  <c r="Q84" i="8" s="1"/>
  <c r="R84" i="8" a="1"/>
  <c r="R84" i="8" s="1"/>
  <c r="U84" i="8" a="1"/>
  <c r="U84" i="8" s="1"/>
  <c r="V84" i="8" a="1"/>
  <c r="V84" i="8" s="1"/>
  <c r="W84" i="8" a="1"/>
  <c r="W84" i="8" s="1"/>
  <c r="X84" i="8" a="1"/>
  <c r="X84" i="8" s="1"/>
  <c r="K85" i="8" a="1"/>
  <c r="K85" i="8" s="1"/>
  <c r="L85" i="8" a="1"/>
  <c r="L85" i="8" s="1"/>
  <c r="M85" i="8" a="1"/>
  <c r="M85" i="8" s="1"/>
  <c r="N85" i="8" a="1"/>
  <c r="N85" i="8" s="1"/>
  <c r="O85" i="8" a="1"/>
  <c r="O85" i="8" s="1"/>
  <c r="P85" i="8" a="1"/>
  <c r="P85" i="8" s="1"/>
  <c r="Q85" i="8" a="1"/>
  <c r="Q85" i="8" s="1"/>
  <c r="R85" i="8" a="1"/>
  <c r="R85" i="8" s="1"/>
  <c r="U85" i="8" a="1"/>
  <c r="U85" i="8" s="1"/>
  <c r="V85" i="8" a="1"/>
  <c r="V85" i="8" s="1"/>
  <c r="W85" i="8" a="1"/>
  <c r="W85" i="8" s="1"/>
  <c r="X85" i="8" a="1"/>
  <c r="X85" i="8" s="1"/>
  <c r="K86" i="8" a="1"/>
  <c r="K86" i="8" s="1"/>
  <c r="L86" i="8" a="1"/>
  <c r="L86" i="8" s="1"/>
  <c r="M86" i="8" a="1"/>
  <c r="M86" i="8" s="1"/>
  <c r="N86" i="8" a="1"/>
  <c r="N86" i="8" s="1"/>
  <c r="O86" i="8" a="1"/>
  <c r="O86" i="8" s="1"/>
  <c r="P86" i="8" a="1"/>
  <c r="P86" i="8" s="1"/>
  <c r="Q86" i="8" a="1"/>
  <c r="Q86" i="8" s="1"/>
  <c r="R86" i="8" a="1"/>
  <c r="R86" i="8" s="1"/>
  <c r="U86" i="8" a="1"/>
  <c r="U86" i="8" s="1"/>
  <c r="V86" i="8" a="1"/>
  <c r="V86" i="8" s="1"/>
  <c r="W86" i="8" a="1"/>
  <c r="W86" i="8" s="1"/>
  <c r="X86" i="8" a="1"/>
  <c r="X86" i="8" s="1"/>
  <c r="K2" i="8" a="1"/>
  <c r="K2" i="8" s="1"/>
  <c r="L2" i="8" a="1"/>
  <c r="L2" i="8" s="1"/>
  <c r="M2" i="8" a="1"/>
  <c r="M2" i="8" s="1"/>
  <c r="N2" i="8" a="1"/>
  <c r="N2" i="8" s="1"/>
  <c r="O2" i="8" a="1"/>
  <c r="O2" i="8" s="1"/>
  <c r="P2" i="8" a="1"/>
  <c r="P2" i="8" s="1"/>
  <c r="Q2" i="8" a="1"/>
  <c r="Q2" i="8" s="1"/>
  <c r="R2" i="8" a="1"/>
  <c r="R2" i="8" s="1"/>
  <c r="U2" i="8" a="1"/>
  <c r="U2" i="8" s="1"/>
  <c r="V2" i="8" a="1"/>
  <c r="V2" i="8" s="1"/>
  <c r="W2" i="8" a="1"/>
  <c r="W2" i="8" s="1"/>
  <c r="X2" i="8" a="1"/>
  <c r="X2" i="8" s="1"/>
  <c r="X3" i="11" a="1"/>
  <c r="X3" i="11" s="1"/>
  <c r="X4" i="11" a="1"/>
  <c r="X4" i="11" s="1"/>
  <c r="X5" i="11" a="1"/>
  <c r="X5" i="11" s="1"/>
  <c r="X6" i="11" a="1"/>
  <c r="X6" i="11" s="1"/>
  <c r="X7" i="11" a="1"/>
  <c r="X7" i="11" s="1"/>
  <c r="X8" i="11" a="1"/>
  <c r="X8" i="11" s="1"/>
  <c r="X9" i="11" a="1"/>
  <c r="X9" i="11" s="1"/>
  <c r="X10" i="11" a="1"/>
  <c r="X10" i="11" s="1"/>
  <c r="X11" i="11" a="1"/>
  <c r="X11" i="11" s="1"/>
  <c r="X12" i="11" a="1"/>
  <c r="X12" i="11" s="1"/>
  <c r="X13" i="11" a="1"/>
  <c r="X13" i="11" s="1"/>
  <c r="X14" i="11" a="1"/>
  <c r="X14" i="11" s="1"/>
  <c r="X15" i="11" a="1"/>
  <c r="X15" i="11" s="1"/>
  <c r="X16" i="11" a="1"/>
  <c r="X16" i="11" s="1"/>
  <c r="X17" i="11" a="1"/>
  <c r="X17" i="11" s="1"/>
  <c r="X18" i="11" a="1"/>
  <c r="X18" i="11" s="1"/>
  <c r="X19" i="11" a="1"/>
  <c r="X19" i="11" s="1"/>
  <c r="X20" i="11" a="1"/>
  <c r="X20" i="11" s="1"/>
  <c r="X21" i="11" a="1"/>
  <c r="X21" i="11" s="1"/>
  <c r="X22" i="11" a="1"/>
  <c r="X22" i="11" s="1"/>
  <c r="X23" i="11" a="1"/>
  <c r="X23" i="11" s="1"/>
  <c r="X24" i="11" a="1"/>
  <c r="X24" i="11" s="1"/>
  <c r="X25" i="11" a="1"/>
  <c r="X25" i="11" s="1"/>
  <c r="X26" i="11" a="1"/>
  <c r="X26" i="11" s="1"/>
  <c r="X27" i="11" a="1"/>
  <c r="X27" i="11" s="1"/>
  <c r="X28" i="11" a="1"/>
  <c r="X28" i="11" s="1"/>
  <c r="X29" i="11" a="1"/>
  <c r="X29" i="11" s="1"/>
  <c r="X30" i="11" a="1"/>
  <c r="X30" i="11" s="1"/>
  <c r="X31" i="11" a="1"/>
  <c r="X31" i="11" s="1"/>
  <c r="X32" i="11" a="1"/>
  <c r="X32" i="11" s="1"/>
  <c r="X33" i="11" a="1"/>
  <c r="X33" i="11" s="1"/>
  <c r="X34" i="11" a="1"/>
  <c r="X34" i="11" s="1"/>
  <c r="X35" i="11" a="1"/>
  <c r="X35" i="11" s="1"/>
  <c r="X36" i="11" a="1"/>
  <c r="X36" i="11" s="1"/>
  <c r="X37" i="11" a="1"/>
  <c r="X37" i="11" s="1"/>
  <c r="X38" i="11" a="1"/>
  <c r="X38" i="11" s="1"/>
  <c r="X39" i="11" a="1"/>
  <c r="X39" i="11" s="1"/>
  <c r="X40" i="11" a="1"/>
  <c r="X40" i="11" s="1"/>
  <c r="X41" i="11" a="1"/>
  <c r="X41" i="11" s="1"/>
  <c r="X42" i="11" a="1"/>
  <c r="X42" i="11" s="1"/>
  <c r="X43" i="11" a="1"/>
  <c r="X43" i="11" s="1"/>
  <c r="X44" i="11" a="1"/>
  <c r="X44" i="11" s="1"/>
  <c r="X45" i="11" a="1"/>
  <c r="X45" i="11" s="1"/>
  <c r="X46" i="11" a="1"/>
  <c r="X46" i="11" s="1"/>
  <c r="X47" i="11" a="1"/>
  <c r="X47" i="11" s="1"/>
  <c r="X48" i="11" a="1"/>
  <c r="X48" i="11" s="1"/>
  <c r="X49" i="11" a="1"/>
  <c r="X49" i="11" s="1"/>
  <c r="X50" i="11" a="1"/>
  <c r="X50" i="11" s="1"/>
  <c r="X51" i="11" a="1"/>
  <c r="X51" i="11" s="1"/>
  <c r="X52" i="11" a="1"/>
  <c r="X52" i="11" s="1"/>
  <c r="X53" i="11" a="1"/>
  <c r="X53" i="11" s="1"/>
  <c r="X54" i="11" a="1"/>
  <c r="X54" i="11" s="1"/>
  <c r="X55" i="11" a="1"/>
  <c r="X55" i="11" s="1"/>
  <c r="X56" i="11" a="1"/>
  <c r="X56" i="11" s="1"/>
  <c r="X57" i="11" a="1"/>
  <c r="X57" i="11" s="1"/>
  <c r="X58" i="11" a="1"/>
  <c r="X58" i="11" s="1"/>
  <c r="X59" i="11" a="1"/>
  <c r="X59" i="11" s="1"/>
  <c r="X60" i="11" a="1"/>
  <c r="X60" i="11" s="1"/>
  <c r="X61" i="11" a="1"/>
  <c r="X61" i="11" s="1"/>
  <c r="X62" i="11" a="1"/>
  <c r="X62" i="11" s="1"/>
  <c r="X63" i="11" a="1"/>
  <c r="X63" i="11" s="1"/>
  <c r="X64" i="11" a="1"/>
  <c r="X64" i="11" s="1"/>
  <c r="X65" i="11" a="1"/>
  <c r="X65" i="11" s="1"/>
  <c r="X66" i="11" a="1"/>
  <c r="X66" i="11" s="1"/>
  <c r="X67" i="11" a="1"/>
  <c r="X67" i="11" s="1"/>
  <c r="X68" i="11" a="1"/>
  <c r="X68" i="11" s="1"/>
  <c r="X69" i="11" a="1"/>
  <c r="X69" i="11" s="1"/>
  <c r="X70" i="11" a="1"/>
  <c r="X70" i="11" s="1"/>
  <c r="X71" i="11" a="1"/>
  <c r="X71" i="11" s="1"/>
  <c r="X72" i="11" a="1"/>
  <c r="X72" i="11" s="1"/>
  <c r="X73" i="11" a="1"/>
  <c r="X73" i="11" s="1"/>
  <c r="X74" i="11" a="1"/>
  <c r="X74" i="11" s="1"/>
  <c r="X75" i="11" a="1"/>
  <c r="X75" i="11" s="1"/>
  <c r="X76" i="11" a="1"/>
  <c r="X76" i="11" s="1"/>
  <c r="X77" i="11" a="1"/>
  <c r="X77" i="11" s="1"/>
  <c r="X78" i="11" a="1"/>
  <c r="X78" i="11" s="1"/>
  <c r="X79" i="11" a="1"/>
  <c r="X79" i="11" s="1"/>
  <c r="X80" i="11" a="1"/>
  <c r="X80" i="11" s="1"/>
  <c r="X81" i="11" a="1"/>
  <c r="X81" i="11" s="1"/>
  <c r="X82" i="11" a="1"/>
  <c r="X82" i="11" s="1"/>
  <c r="X83" i="11" a="1"/>
  <c r="X83" i="11" s="1"/>
  <c r="X84" i="11" a="1"/>
  <c r="X84" i="11" s="1"/>
  <c r="X85" i="11" a="1"/>
  <c r="X85" i="11" s="1"/>
  <c r="X86" i="11" a="1"/>
  <c r="X86" i="11" s="1"/>
  <c r="X87" i="11" a="1"/>
  <c r="X87" i="11" s="1"/>
  <c r="X88" i="11" a="1"/>
  <c r="X88" i="11" s="1"/>
  <c r="X89" i="11" a="1"/>
  <c r="X89" i="11" s="1"/>
  <c r="X90" i="11" a="1"/>
  <c r="X90" i="11" s="1"/>
  <c r="X91" i="11" a="1"/>
  <c r="X91" i="11" s="1"/>
  <c r="X92" i="11" a="1"/>
  <c r="X92" i="11" s="1"/>
  <c r="X93" i="11" a="1"/>
  <c r="X93" i="11" s="1"/>
  <c r="X94" i="11" a="1"/>
  <c r="X94" i="11" s="1"/>
  <c r="X95" i="11" a="1"/>
  <c r="X95" i="11" s="1"/>
  <c r="X96" i="11" a="1"/>
  <c r="X96" i="11" s="1"/>
  <c r="X97" i="11" a="1"/>
  <c r="X97" i="11" s="1"/>
  <c r="X98" i="11" a="1"/>
  <c r="X98" i="11" s="1"/>
  <c r="X99" i="11" a="1"/>
  <c r="X99" i="11" s="1"/>
  <c r="X100" i="11" a="1"/>
  <c r="X100" i="11" s="1"/>
  <c r="X101" i="11" a="1"/>
  <c r="X101" i="11" s="1"/>
  <c r="X102" i="11" a="1"/>
  <c r="X102" i="11" s="1"/>
  <c r="X103" i="11" a="1"/>
  <c r="X103" i="11" s="1"/>
  <c r="X104" i="11" a="1"/>
  <c r="X104" i="11" s="1"/>
  <c r="X105" i="11" a="1"/>
  <c r="X105" i="11" s="1"/>
  <c r="X106" i="11" a="1"/>
  <c r="X106" i="11" s="1"/>
  <c r="X107" i="11" a="1"/>
  <c r="X107" i="11" s="1"/>
  <c r="X108" i="11" a="1"/>
  <c r="X108" i="11" s="1"/>
  <c r="X109" i="11" a="1"/>
  <c r="X109" i="11" s="1"/>
  <c r="X110" i="11" a="1"/>
  <c r="X110" i="11" s="1"/>
  <c r="X111" i="11" a="1"/>
  <c r="X111" i="11" s="1"/>
  <c r="X112" i="11" a="1"/>
  <c r="X112" i="11" s="1"/>
  <c r="X113" i="11" a="1"/>
  <c r="X113" i="11" s="1"/>
  <c r="X114" i="11" a="1"/>
  <c r="X114" i="11" s="1"/>
  <c r="X115" i="11" a="1"/>
  <c r="X115" i="11" s="1"/>
  <c r="X116" i="11" a="1"/>
  <c r="X116" i="11" s="1"/>
  <c r="X117" i="11" a="1"/>
  <c r="X117" i="11" s="1"/>
  <c r="X118" i="11" a="1"/>
  <c r="X118" i="11" s="1"/>
  <c r="X119" i="11" a="1"/>
  <c r="X119" i="11" s="1"/>
  <c r="X120" i="11" a="1"/>
  <c r="X120" i="11" s="1"/>
  <c r="X121" i="11" a="1"/>
  <c r="X121" i="11" s="1"/>
  <c r="X122" i="11" a="1"/>
  <c r="X122" i="11" s="1"/>
  <c r="X123" i="11" a="1"/>
  <c r="X123" i="11" s="1"/>
  <c r="X124" i="11" a="1"/>
  <c r="X124" i="11" s="1"/>
  <c r="X125" i="11" a="1"/>
  <c r="X125" i="11" s="1"/>
  <c r="X126" i="11" a="1"/>
  <c r="X126" i="11" s="1"/>
  <c r="X127" i="11" a="1"/>
  <c r="X127" i="11" s="1"/>
  <c r="X128" i="11" a="1"/>
  <c r="X128" i="11" s="1"/>
  <c r="X129" i="11" a="1"/>
  <c r="X129" i="11" s="1"/>
  <c r="X130" i="11" a="1"/>
  <c r="X130" i="11" s="1"/>
  <c r="X131" i="11" a="1"/>
  <c r="X131" i="11" s="1"/>
  <c r="X132" i="11" a="1"/>
  <c r="X132" i="11" s="1"/>
  <c r="X133" i="11" a="1"/>
  <c r="X133" i="11" s="1"/>
  <c r="X134" i="11" a="1"/>
  <c r="X134" i="11" s="1"/>
  <c r="X135" i="11" a="1"/>
  <c r="X135" i="11" s="1"/>
  <c r="X136" i="11" a="1"/>
  <c r="X136" i="11" s="1"/>
  <c r="X137" i="11" a="1"/>
  <c r="X137" i="11" s="1"/>
  <c r="X138" i="11" a="1"/>
  <c r="X138" i="11" s="1"/>
  <c r="X139" i="11" a="1"/>
  <c r="X139" i="11" s="1"/>
  <c r="X140" i="11" a="1"/>
  <c r="X140" i="11" s="1"/>
  <c r="X141" i="11" a="1"/>
  <c r="X141" i="11" s="1"/>
  <c r="X142" i="11" a="1"/>
  <c r="X142" i="11" s="1"/>
  <c r="X143" i="11" a="1"/>
  <c r="X143" i="11" s="1"/>
  <c r="X144" i="11" a="1"/>
  <c r="X144" i="11" s="1"/>
  <c r="X145" i="11" a="1"/>
  <c r="X145" i="11" s="1"/>
  <c r="X146" i="11" a="1"/>
  <c r="X146" i="11" s="1"/>
  <c r="X147" i="11" a="1"/>
  <c r="X147" i="11" s="1"/>
  <c r="X148" i="11" a="1"/>
  <c r="X148" i="11" s="1"/>
  <c r="X149" i="11" a="1"/>
  <c r="X149" i="11" s="1"/>
  <c r="X150" i="11" a="1"/>
  <c r="X150" i="11" s="1"/>
  <c r="X151" i="11" a="1"/>
  <c r="X151" i="11" s="1"/>
  <c r="X152" i="11" a="1"/>
  <c r="X152" i="11" s="1"/>
  <c r="X153" i="11" a="1"/>
  <c r="X153" i="11" s="1"/>
  <c r="X154" i="11" a="1"/>
  <c r="X154" i="11" s="1"/>
  <c r="X155" i="11" a="1"/>
  <c r="X155" i="11" s="1"/>
  <c r="X156" i="11" a="1"/>
  <c r="X156" i="11" s="1"/>
  <c r="X157" i="11" a="1"/>
  <c r="X157" i="11" s="1"/>
  <c r="X158" i="11" a="1"/>
  <c r="X158" i="11" s="1"/>
  <c r="X159" i="11" a="1"/>
  <c r="X159" i="11" s="1"/>
  <c r="X160" i="11" a="1"/>
  <c r="X160" i="11" s="1"/>
  <c r="X161" i="11" a="1"/>
  <c r="X161" i="11" s="1"/>
  <c r="X162" i="11" a="1"/>
  <c r="X162" i="11" s="1"/>
  <c r="X163" i="11" a="1"/>
  <c r="X163" i="11" s="1"/>
  <c r="X164" i="11" a="1"/>
  <c r="X164" i="11" s="1"/>
  <c r="X165" i="11" a="1"/>
  <c r="X165" i="11" s="1"/>
  <c r="X166" i="11" a="1"/>
  <c r="X166" i="11" s="1"/>
  <c r="X167" i="11" a="1"/>
  <c r="X167" i="11" s="1"/>
  <c r="X168" i="11" a="1"/>
  <c r="X168" i="11" s="1"/>
  <c r="X169" i="11" a="1"/>
  <c r="X169" i="11" s="1"/>
  <c r="X170" i="11" a="1"/>
  <c r="X170" i="11" s="1"/>
  <c r="X171" i="11" a="1"/>
  <c r="X171" i="11" s="1"/>
  <c r="X172" i="11" a="1"/>
  <c r="X172" i="11" s="1"/>
  <c r="X173" i="11" a="1"/>
  <c r="X173" i="11" s="1"/>
  <c r="X174" i="11" a="1"/>
  <c r="X174" i="11" s="1"/>
  <c r="X175" i="11" a="1"/>
  <c r="X175" i="11" s="1"/>
  <c r="X176" i="11" a="1"/>
  <c r="X176" i="11" s="1"/>
  <c r="X177" i="11" a="1"/>
  <c r="X177" i="11" s="1"/>
  <c r="X178" i="11" a="1"/>
  <c r="X178" i="11" s="1"/>
  <c r="X179" i="11" a="1"/>
  <c r="X179" i="11" s="1"/>
  <c r="X180" i="11" a="1"/>
  <c r="X180" i="11" s="1"/>
  <c r="X181" i="11" a="1"/>
  <c r="X181" i="11" s="1"/>
  <c r="X182" i="11" a="1"/>
  <c r="X182" i="11" s="1"/>
  <c r="X183" i="11" a="1"/>
  <c r="X183" i="11" s="1"/>
  <c r="X184" i="11" a="1"/>
  <c r="X184" i="11" s="1"/>
  <c r="X185" i="11" a="1"/>
  <c r="X185" i="11" s="1"/>
  <c r="X186" i="11" a="1"/>
  <c r="X186" i="11" s="1"/>
  <c r="X187" i="11" a="1"/>
  <c r="X187" i="11" s="1"/>
  <c r="X188" i="11" a="1"/>
  <c r="X188" i="11" s="1"/>
  <c r="X189" i="11" a="1"/>
  <c r="X189" i="11" s="1"/>
  <c r="X190" i="11" a="1"/>
  <c r="X190" i="11" s="1"/>
  <c r="X191" i="11" a="1"/>
  <c r="X191" i="11" s="1"/>
  <c r="X192" i="11" a="1"/>
  <c r="X192" i="11" s="1"/>
  <c r="X193" i="11" a="1"/>
  <c r="X193" i="11" s="1"/>
  <c r="X194" i="11" a="1"/>
  <c r="X194" i="11" s="1"/>
  <c r="X195" i="11" a="1"/>
  <c r="X195" i="11" s="1"/>
  <c r="X196" i="11" a="1"/>
  <c r="X196" i="11" s="1"/>
  <c r="X197" i="11" a="1"/>
  <c r="X197" i="11" s="1"/>
  <c r="X198" i="11" a="1"/>
  <c r="X198" i="11" s="1"/>
  <c r="X199" i="11" a="1"/>
  <c r="X199" i="11" s="1"/>
  <c r="X200" i="11" a="1"/>
  <c r="X200" i="11" s="1"/>
  <c r="X201" i="11" a="1"/>
  <c r="X201" i="11" s="1"/>
  <c r="X202" i="11" a="1"/>
  <c r="X202" i="11" s="1"/>
  <c r="X203" i="11" a="1"/>
  <c r="X203" i="11" s="1"/>
  <c r="X204" i="11" a="1"/>
  <c r="X204" i="11" s="1"/>
  <c r="X205" i="11" a="1"/>
  <c r="X205" i="11" s="1"/>
  <c r="X206" i="11" a="1"/>
  <c r="X206" i="11" s="1"/>
  <c r="X207" i="11" a="1"/>
  <c r="X207" i="11" s="1"/>
  <c r="X208" i="11" a="1"/>
  <c r="X208" i="11" s="1"/>
  <c r="X209" i="11" a="1"/>
  <c r="X209" i="11" s="1"/>
  <c r="X210" i="11" a="1"/>
  <c r="X210" i="11" s="1"/>
  <c r="X211" i="11" a="1"/>
  <c r="X211" i="11" s="1"/>
  <c r="X212" i="11" a="1"/>
  <c r="X212" i="11" s="1"/>
  <c r="X213" i="11" a="1"/>
  <c r="X213" i="11" s="1"/>
  <c r="X214" i="11" a="1"/>
  <c r="X214" i="11" s="1"/>
  <c r="X215" i="11" a="1"/>
  <c r="X215" i="11" s="1"/>
  <c r="X216" i="11" a="1"/>
  <c r="X216" i="11" s="1"/>
  <c r="X217" i="11" a="1"/>
  <c r="X217" i="11" s="1"/>
  <c r="X218" i="11" a="1"/>
  <c r="X218" i="11" s="1"/>
  <c r="X219" i="11" a="1"/>
  <c r="X219" i="11" s="1"/>
  <c r="X220" i="11" a="1"/>
  <c r="X220" i="11" s="1"/>
  <c r="X221" i="11" a="1"/>
  <c r="X221" i="11" s="1"/>
  <c r="X222" i="11" a="1"/>
  <c r="X222" i="11" s="1"/>
  <c r="X223" i="11" a="1"/>
  <c r="X223" i="11" s="1"/>
  <c r="X224" i="11" a="1"/>
  <c r="X224" i="11" s="1"/>
  <c r="X225" i="11" a="1"/>
  <c r="X225" i="11" s="1"/>
  <c r="X226" i="11" a="1"/>
  <c r="X226" i="11" s="1"/>
  <c r="X227" i="11" a="1"/>
  <c r="X227" i="11" s="1"/>
  <c r="X228" i="11" a="1"/>
  <c r="X228" i="11" s="1"/>
  <c r="X229" i="11" a="1"/>
  <c r="X229" i="11" s="1"/>
  <c r="X230" i="11" a="1"/>
  <c r="X230" i="11" s="1"/>
  <c r="X231" i="11" a="1"/>
  <c r="X231" i="11" s="1"/>
  <c r="X232" i="11" a="1"/>
  <c r="X232" i="11" s="1"/>
  <c r="X233" i="11" a="1"/>
  <c r="X233" i="11" s="1"/>
  <c r="AB234" i="11"/>
  <c r="AD234" i="11"/>
  <c r="X4" i="4" s="1"/>
  <c r="O3" i="11" a="1"/>
  <c r="O3" i="11" s="1"/>
  <c r="P3" i="11" a="1"/>
  <c r="P3" i="11" s="1"/>
  <c r="Q3" i="11" a="1"/>
  <c r="Q3" i="11" s="1"/>
  <c r="R3" i="11" a="1"/>
  <c r="R3" i="11" s="1"/>
  <c r="U3" i="11" a="1"/>
  <c r="U3" i="11" s="1"/>
  <c r="V3" i="11" a="1"/>
  <c r="V3" i="11" s="1"/>
  <c r="W3" i="11" a="1"/>
  <c r="W3" i="11" s="1"/>
  <c r="O4" i="11" a="1"/>
  <c r="O4" i="11" s="1"/>
  <c r="P4" i="11" a="1"/>
  <c r="P4" i="11" s="1"/>
  <c r="Q4" i="11" a="1"/>
  <c r="Q4" i="11" s="1"/>
  <c r="R4" i="11" a="1"/>
  <c r="R4" i="11" s="1"/>
  <c r="U4" i="11" a="1"/>
  <c r="U4" i="11" s="1"/>
  <c r="V4" i="11" a="1"/>
  <c r="V4" i="11" s="1"/>
  <c r="W4" i="11" a="1"/>
  <c r="W4" i="11" s="1"/>
  <c r="O5" i="11" a="1"/>
  <c r="O5" i="11" s="1"/>
  <c r="P5" i="11" a="1"/>
  <c r="P5" i="11" s="1"/>
  <c r="Q5" i="11" a="1"/>
  <c r="Q5" i="11" s="1"/>
  <c r="R5" i="11" a="1"/>
  <c r="R5" i="11" s="1"/>
  <c r="U5" i="11" a="1"/>
  <c r="U5" i="11" s="1"/>
  <c r="V5" i="11" a="1"/>
  <c r="V5" i="11" s="1"/>
  <c r="W5" i="11" a="1"/>
  <c r="W5" i="11" s="1"/>
  <c r="O6" i="11" a="1"/>
  <c r="O6" i="11" s="1"/>
  <c r="P6" i="11" a="1"/>
  <c r="P6" i="11" s="1"/>
  <c r="Q6" i="11" a="1"/>
  <c r="Q6" i="11" s="1"/>
  <c r="R6" i="11" a="1"/>
  <c r="R6" i="11" s="1"/>
  <c r="U6" i="11" a="1"/>
  <c r="U6" i="11" s="1"/>
  <c r="V6" i="11" a="1"/>
  <c r="V6" i="11" s="1"/>
  <c r="W6" i="11" a="1"/>
  <c r="W6" i="11" s="1"/>
  <c r="O7" i="11" a="1"/>
  <c r="O7" i="11" s="1"/>
  <c r="P7" i="11" a="1"/>
  <c r="P7" i="11" s="1"/>
  <c r="Q7" i="11" a="1"/>
  <c r="Q7" i="11" s="1"/>
  <c r="R7" i="11" a="1"/>
  <c r="R7" i="11" s="1"/>
  <c r="U7" i="11" a="1"/>
  <c r="U7" i="11" s="1"/>
  <c r="V7" i="11" a="1"/>
  <c r="V7" i="11" s="1"/>
  <c r="W7" i="11" a="1"/>
  <c r="W7" i="11" s="1"/>
  <c r="O8" i="11" a="1"/>
  <c r="O8" i="11" s="1"/>
  <c r="P8" i="11" a="1"/>
  <c r="P8" i="11" s="1"/>
  <c r="Q8" i="11" a="1"/>
  <c r="Q8" i="11" s="1"/>
  <c r="R8" i="11" a="1"/>
  <c r="R8" i="11" s="1"/>
  <c r="U8" i="11" a="1"/>
  <c r="U8" i="11" s="1"/>
  <c r="V8" i="11" a="1"/>
  <c r="V8" i="11" s="1"/>
  <c r="W8" i="11" a="1"/>
  <c r="W8" i="11" s="1"/>
  <c r="O9" i="11" a="1"/>
  <c r="O9" i="11" s="1"/>
  <c r="P9" i="11" a="1"/>
  <c r="P9" i="11" s="1"/>
  <c r="Q9" i="11" a="1"/>
  <c r="Q9" i="11" s="1"/>
  <c r="R9" i="11" a="1"/>
  <c r="R9" i="11" s="1"/>
  <c r="U9" i="11" a="1"/>
  <c r="U9" i="11" s="1"/>
  <c r="V9" i="11" a="1"/>
  <c r="V9" i="11" s="1"/>
  <c r="W9" i="11" a="1"/>
  <c r="W9" i="11" s="1"/>
  <c r="O10" i="11" a="1"/>
  <c r="O10" i="11" s="1"/>
  <c r="P10" i="11" a="1"/>
  <c r="P10" i="11" s="1"/>
  <c r="Q10" i="11" a="1"/>
  <c r="Q10" i="11" s="1"/>
  <c r="R10" i="11" a="1"/>
  <c r="R10" i="11" s="1"/>
  <c r="U10" i="11" a="1"/>
  <c r="U10" i="11" s="1"/>
  <c r="V10" i="11" a="1"/>
  <c r="V10" i="11" s="1"/>
  <c r="W10" i="11" a="1"/>
  <c r="W10" i="11" s="1"/>
  <c r="O11" i="11" a="1"/>
  <c r="O11" i="11" s="1"/>
  <c r="P11" i="11" a="1"/>
  <c r="P11" i="11" s="1"/>
  <c r="Q11" i="11" a="1"/>
  <c r="Q11" i="11" s="1"/>
  <c r="R11" i="11" a="1"/>
  <c r="R11" i="11" s="1"/>
  <c r="U11" i="11" a="1"/>
  <c r="U11" i="11" s="1"/>
  <c r="V11" i="11" a="1"/>
  <c r="V11" i="11" s="1"/>
  <c r="W11" i="11" a="1"/>
  <c r="W11" i="11" s="1"/>
  <c r="O12" i="11" a="1"/>
  <c r="O12" i="11" s="1"/>
  <c r="P12" i="11" a="1"/>
  <c r="P12" i="11" s="1"/>
  <c r="Q12" i="11" a="1"/>
  <c r="Q12" i="11" s="1"/>
  <c r="R12" i="11" a="1"/>
  <c r="R12" i="11" s="1"/>
  <c r="U12" i="11" a="1"/>
  <c r="U12" i="11" s="1"/>
  <c r="V12" i="11" a="1"/>
  <c r="V12" i="11" s="1"/>
  <c r="W12" i="11" a="1"/>
  <c r="W12" i="11" s="1"/>
  <c r="O13" i="11" a="1"/>
  <c r="O13" i="11" s="1"/>
  <c r="P13" i="11" a="1"/>
  <c r="P13" i="11" s="1"/>
  <c r="Q13" i="11" a="1"/>
  <c r="Q13" i="11" s="1"/>
  <c r="R13" i="11" a="1"/>
  <c r="R13" i="11" s="1"/>
  <c r="U13" i="11" a="1"/>
  <c r="U13" i="11" s="1"/>
  <c r="V13" i="11" a="1"/>
  <c r="V13" i="11" s="1"/>
  <c r="W13" i="11" a="1"/>
  <c r="W13" i="11" s="1"/>
  <c r="O14" i="11" a="1"/>
  <c r="O14" i="11" s="1"/>
  <c r="P14" i="11" a="1"/>
  <c r="P14" i="11" s="1"/>
  <c r="Q14" i="11" a="1"/>
  <c r="Q14" i="11" s="1"/>
  <c r="R14" i="11" a="1"/>
  <c r="R14" i="11" s="1"/>
  <c r="U14" i="11" a="1"/>
  <c r="U14" i="11" s="1"/>
  <c r="V14" i="11" a="1"/>
  <c r="V14" i="11" s="1"/>
  <c r="W14" i="11" a="1"/>
  <c r="W14" i="11" s="1"/>
  <c r="O15" i="11" a="1"/>
  <c r="O15" i="11" s="1"/>
  <c r="P15" i="11" a="1"/>
  <c r="P15" i="11" s="1"/>
  <c r="Q15" i="11" a="1"/>
  <c r="Q15" i="11" s="1"/>
  <c r="R15" i="11" a="1"/>
  <c r="R15" i="11" s="1"/>
  <c r="U15" i="11" a="1"/>
  <c r="U15" i="11" s="1"/>
  <c r="V15" i="11" a="1"/>
  <c r="V15" i="11" s="1"/>
  <c r="W15" i="11" a="1"/>
  <c r="W15" i="11" s="1"/>
  <c r="O16" i="11" a="1"/>
  <c r="O16" i="11" s="1"/>
  <c r="P16" i="11" a="1"/>
  <c r="P16" i="11" s="1"/>
  <c r="Q16" i="11" a="1"/>
  <c r="Q16" i="11" s="1"/>
  <c r="R16" i="11" a="1"/>
  <c r="R16" i="11" s="1"/>
  <c r="U16" i="11" a="1"/>
  <c r="U16" i="11" s="1"/>
  <c r="V16" i="11" a="1"/>
  <c r="V16" i="11" s="1"/>
  <c r="W16" i="11" a="1"/>
  <c r="W16" i="11" s="1"/>
  <c r="O17" i="11" a="1"/>
  <c r="O17" i="11" s="1"/>
  <c r="P17" i="11" a="1"/>
  <c r="P17" i="11" s="1"/>
  <c r="Q17" i="11" a="1"/>
  <c r="Q17" i="11" s="1"/>
  <c r="R17" i="11" a="1"/>
  <c r="R17" i="11" s="1"/>
  <c r="U17" i="11" a="1"/>
  <c r="U17" i="11" s="1"/>
  <c r="V17" i="11" a="1"/>
  <c r="V17" i="11" s="1"/>
  <c r="W17" i="11" a="1"/>
  <c r="W17" i="11" s="1"/>
  <c r="O18" i="11" a="1"/>
  <c r="O18" i="11" s="1"/>
  <c r="P18" i="11" a="1"/>
  <c r="P18" i="11" s="1"/>
  <c r="Q18" i="11" a="1"/>
  <c r="Q18" i="11" s="1"/>
  <c r="R18" i="11" a="1"/>
  <c r="R18" i="11" s="1"/>
  <c r="U18" i="11" a="1"/>
  <c r="U18" i="11" s="1"/>
  <c r="V18" i="11" a="1"/>
  <c r="V18" i="11" s="1"/>
  <c r="W18" i="11" a="1"/>
  <c r="W18" i="11" s="1"/>
  <c r="O19" i="11" a="1"/>
  <c r="O19" i="11" s="1"/>
  <c r="P19" i="11" a="1"/>
  <c r="P19" i="11" s="1"/>
  <c r="Q19" i="11" a="1"/>
  <c r="Q19" i="11" s="1"/>
  <c r="R19" i="11" a="1"/>
  <c r="R19" i="11" s="1"/>
  <c r="U19" i="11" a="1"/>
  <c r="U19" i="11" s="1"/>
  <c r="V19" i="11" a="1"/>
  <c r="V19" i="11" s="1"/>
  <c r="W19" i="11" a="1"/>
  <c r="W19" i="11" s="1"/>
  <c r="O20" i="11" a="1"/>
  <c r="O20" i="11" s="1"/>
  <c r="P20" i="11" a="1"/>
  <c r="P20" i="11" s="1"/>
  <c r="Q20" i="11" a="1"/>
  <c r="Q20" i="11" s="1"/>
  <c r="R20" i="11" a="1"/>
  <c r="R20" i="11" s="1"/>
  <c r="U20" i="11" a="1"/>
  <c r="U20" i="11" s="1"/>
  <c r="V20" i="11" a="1"/>
  <c r="V20" i="11" s="1"/>
  <c r="W20" i="11" a="1"/>
  <c r="W20" i="11" s="1"/>
  <c r="O21" i="11" a="1"/>
  <c r="O21" i="11" s="1"/>
  <c r="P21" i="11" a="1"/>
  <c r="P21" i="11" s="1"/>
  <c r="Q21" i="11" a="1"/>
  <c r="Q21" i="11" s="1"/>
  <c r="R21" i="11" a="1"/>
  <c r="R21" i="11" s="1"/>
  <c r="U21" i="11" a="1"/>
  <c r="U21" i="11" s="1"/>
  <c r="V21" i="11" a="1"/>
  <c r="V21" i="11" s="1"/>
  <c r="W21" i="11" a="1"/>
  <c r="W21" i="11" s="1"/>
  <c r="O22" i="11" a="1"/>
  <c r="O22" i="11" s="1"/>
  <c r="P22" i="11" a="1"/>
  <c r="P22" i="11" s="1"/>
  <c r="Q22" i="11" a="1"/>
  <c r="Q22" i="11" s="1"/>
  <c r="R22" i="11" a="1"/>
  <c r="R22" i="11" s="1"/>
  <c r="U22" i="11" a="1"/>
  <c r="U22" i="11" s="1"/>
  <c r="V22" i="11" a="1"/>
  <c r="V22" i="11" s="1"/>
  <c r="W22" i="11" a="1"/>
  <c r="W22" i="11" s="1"/>
  <c r="O23" i="11" a="1"/>
  <c r="O23" i="11" s="1"/>
  <c r="P23" i="11" a="1"/>
  <c r="P23" i="11" s="1"/>
  <c r="Q23" i="11" a="1"/>
  <c r="Q23" i="11" s="1"/>
  <c r="R23" i="11" a="1"/>
  <c r="R23" i="11" s="1"/>
  <c r="U23" i="11" a="1"/>
  <c r="U23" i="11" s="1"/>
  <c r="V23" i="11" a="1"/>
  <c r="V23" i="11" s="1"/>
  <c r="W23" i="11" a="1"/>
  <c r="W23" i="11" s="1"/>
  <c r="O24" i="11" a="1"/>
  <c r="O24" i="11" s="1"/>
  <c r="P24" i="11" a="1"/>
  <c r="P24" i="11" s="1"/>
  <c r="Q24" i="11" a="1"/>
  <c r="Q24" i="11" s="1"/>
  <c r="R24" i="11" a="1"/>
  <c r="R24" i="11" s="1"/>
  <c r="U24" i="11" a="1"/>
  <c r="U24" i="11" s="1"/>
  <c r="V24" i="11" a="1"/>
  <c r="V24" i="11" s="1"/>
  <c r="W24" i="11" a="1"/>
  <c r="W24" i="11" s="1"/>
  <c r="O25" i="11" a="1"/>
  <c r="O25" i="11" s="1"/>
  <c r="P25" i="11" a="1"/>
  <c r="P25" i="11" s="1"/>
  <c r="Q25" i="11" a="1"/>
  <c r="Q25" i="11" s="1"/>
  <c r="R25" i="11" a="1"/>
  <c r="R25" i="11" s="1"/>
  <c r="U25" i="11" a="1"/>
  <c r="U25" i="11" s="1"/>
  <c r="V25" i="11" a="1"/>
  <c r="V25" i="11" s="1"/>
  <c r="W25" i="11" a="1"/>
  <c r="W25" i="11" s="1"/>
  <c r="O26" i="11" a="1"/>
  <c r="O26" i="11" s="1"/>
  <c r="P26" i="11" a="1"/>
  <c r="P26" i="11" s="1"/>
  <c r="Q26" i="11" a="1"/>
  <c r="Q26" i="11" s="1"/>
  <c r="R26" i="11" a="1"/>
  <c r="R26" i="11" s="1"/>
  <c r="U26" i="11" a="1"/>
  <c r="U26" i="11" s="1"/>
  <c r="V26" i="11" a="1"/>
  <c r="V26" i="11" s="1"/>
  <c r="W26" i="11" a="1"/>
  <c r="W26" i="11" s="1"/>
  <c r="O27" i="11" a="1"/>
  <c r="O27" i="11" s="1"/>
  <c r="P27" i="11" a="1"/>
  <c r="P27" i="11" s="1"/>
  <c r="Q27" i="11" a="1"/>
  <c r="Q27" i="11" s="1"/>
  <c r="R27" i="11" a="1"/>
  <c r="R27" i="11" s="1"/>
  <c r="U27" i="11" a="1"/>
  <c r="U27" i="11" s="1"/>
  <c r="V27" i="11" a="1"/>
  <c r="V27" i="11" s="1"/>
  <c r="W27" i="11" a="1"/>
  <c r="W27" i="11" s="1"/>
  <c r="O28" i="11" a="1"/>
  <c r="O28" i="11" s="1"/>
  <c r="P28" i="11" a="1"/>
  <c r="P28" i="11" s="1"/>
  <c r="Q28" i="11" a="1"/>
  <c r="Q28" i="11" s="1"/>
  <c r="R28" i="11" a="1"/>
  <c r="R28" i="11" s="1"/>
  <c r="U28" i="11" a="1"/>
  <c r="U28" i="11" s="1"/>
  <c r="V28" i="11" a="1"/>
  <c r="V28" i="11" s="1"/>
  <c r="W28" i="11" a="1"/>
  <c r="W28" i="11" s="1"/>
  <c r="O29" i="11" a="1"/>
  <c r="O29" i="11" s="1"/>
  <c r="P29" i="11" a="1"/>
  <c r="P29" i="11" s="1"/>
  <c r="Q29" i="11" a="1"/>
  <c r="Q29" i="11" s="1"/>
  <c r="R29" i="11" a="1"/>
  <c r="R29" i="11" s="1"/>
  <c r="U29" i="11" a="1"/>
  <c r="U29" i="11" s="1"/>
  <c r="V29" i="11" a="1"/>
  <c r="V29" i="11" s="1"/>
  <c r="W29" i="11" a="1"/>
  <c r="W29" i="11" s="1"/>
  <c r="O30" i="11" a="1"/>
  <c r="O30" i="11" s="1"/>
  <c r="P30" i="11" a="1"/>
  <c r="P30" i="11" s="1"/>
  <c r="Q30" i="11" a="1"/>
  <c r="Q30" i="11" s="1"/>
  <c r="R30" i="11" a="1"/>
  <c r="R30" i="11" s="1"/>
  <c r="U30" i="11" a="1"/>
  <c r="U30" i="11" s="1"/>
  <c r="V30" i="11" a="1"/>
  <c r="V30" i="11" s="1"/>
  <c r="W30" i="11" a="1"/>
  <c r="W30" i="11" s="1"/>
  <c r="O31" i="11" a="1"/>
  <c r="O31" i="11" s="1"/>
  <c r="P31" i="11" a="1"/>
  <c r="P31" i="11" s="1"/>
  <c r="Q31" i="11" a="1"/>
  <c r="Q31" i="11" s="1"/>
  <c r="R31" i="11" a="1"/>
  <c r="R31" i="11" s="1"/>
  <c r="U31" i="11" a="1"/>
  <c r="U31" i="11" s="1"/>
  <c r="V31" i="11" a="1"/>
  <c r="V31" i="11" s="1"/>
  <c r="W31" i="11" a="1"/>
  <c r="W31" i="11" s="1"/>
  <c r="O32" i="11" a="1"/>
  <c r="O32" i="11" s="1"/>
  <c r="P32" i="11" a="1"/>
  <c r="P32" i="11" s="1"/>
  <c r="Q32" i="11" a="1"/>
  <c r="Q32" i="11" s="1"/>
  <c r="R32" i="11" a="1"/>
  <c r="R32" i="11" s="1"/>
  <c r="U32" i="11" a="1"/>
  <c r="U32" i="11" s="1"/>
  <c r="V32" i="11" a="1"/>
  <c r="V32" i="11" s="1"/>
  <c r="W32" i="11" a="1"/>
  <c r="W32" i="11" s="1"/>
  <c r="O33" i="11" a="1"/>
  <c r="O33" i="11" s="1"/>
  <c r="P33" i="11" a="1"/>
  <c r="P33" i="11" s="1"/>
  <c r="Q33" i="11" a="1"/>
  <c r="Q33" i="11" s="1"/>
  <c r="R33" i="11" a="1"/>
  <c r="R33" i="11" s="1"/>
  <c r="U33" i="11" a="1"/>
  <c r="U33" i="11" s="1"/>
  <c r="V33" i="11" a="1"/>
  <c r="V33" i="11" s="1"/>
  <c r="W33" i="11" a="1"/>
  <c r="W33" i="11" s="1"/>
  <c r="O34" i="11" a="1"/>
  <c r="O34" i="11" s="1"/>
  <c r="P34" i="11" a="1"/>
  <c r="P34" i="11" s="1"/>
  <c r="Q34" i="11" a="1"/>
  <c r="Q34" i="11" s="1"/>
  <c r="R34" i="11" a="1"/>
  <c r="R34" i="11" s="1"/>
  <c r="U34" i="11" a="1"/>
  <c r="U34" i="11" s="1"/>
  <c r="V34" i="11" a="1"/>
  <c r="V34" i="11" s="1"/>
  <c r="W34" i="11" a="1"/>
  <c r="W34" i="11" s="1"/>
  <c r="O35" i="11" a="1"/>
  <c r="O35" i="11" s="1"/>
  <c r="P35" i="11" a="1"/>
  <c r="P35" i="11" s="1"/>
  <c r="Q35" i="11" a="1"/>
  <c r="Q35" i="11" s="1"/>
  <c r="R35" i="11" a="1"/>
  <c r="R35" i="11" s="1"/>
  <c r="U35" i="11" a="1"/>
  <c r="U35" i="11" s="1"/>
  <c r="V35" i="11" a="1"/>
  <c r="V35" i="11" s="1"/>
  <c r="W35" i="11" a="1"/>
  <c r="W35" i="11" s="1"/>
  <c r="O36" i="11" a="1"/>
  <c r="O36" i="11" s="1"/>
  <c r="P36" i="11" a="1"/>
  <c r="P36" i="11" s="1"/>
  <c r="Q36" i="11" a="1"/>
  <c r="Q36" i="11" s="1"/>
  <c r="R36" i="11" a="1"/>
  <c r="R36" i="11" s="1"/>
  <c r="U36" i="11" a="1"/>
  <c r="U36" i="11" s="1"/>
  <c r="V36" i="11" a="1"/>
  <c r="V36" i="11" s="1"/>
  <c r="W36" i="11" a="1"/>
  <c r="W36" i="11" s="1"/>
  <c r="O37" i="11" a="1"/>
  <c r="O37" i="11" s="1"/>
  <c r="P37" i="11" a="1"/>
  <c r="P37" i="11" s="1"/>
  <c r="Q37" i="11" a="1"/>
  <c r="Q37" i="11" s="1"/>
  <c r="R37" i="11" a="1"/>
  <c r="R37" i="11" s="1"/>
  <c r="U37" i="11" a="1"/>
  <c r="U37" i="11" s="1"/>
  <c r="V37" i="11" a="1"/>
  <c r="V37" i="11" s="1"/>
  <c r="W37" i="11" a="1"/>
  <c r="W37" i="11" s="1"/>
  <c r="O38" i="11" a="1"/>
  <c r="O38" i="11" s="1"/>
  <c r="P38" i="11" a="1"/>
  <c r="P38" i="11" s="1"/>
  <c r="Q38" i="11" a="1"/>
  <c r="Q38" i="11" s="1"/>
  <c r="R38" i="11" a="1"/>
  <c r="R38" i="11" s="1"/>
  <c r="U38" i="11" a="1"/>
  <c r="U38" i="11" s="1"/>
  <c r="V38" i="11" a="1"/>
  <c r="V38" i="11" s="1"/>
  <c r="W38" i="11" a="1"/>
  <c r="W38" i="11" s="1"/>
  <c r="O39" i="11" a="1"/>
  <c r="O39" i="11" s="1"/>
  <c r="P39" i="11" a="1"/>
  <c r="P39" i="11" s="1"/>
  <c r="Q39" i="11" a="1"/>
  <c r="Q39" i="11" s="1"/>
  <c r="R39" i="11" a="1"/>
  <c r="R39" i="11" s="1"/>
  <c r="U39" i="11" a="1"/>
  <c r="U39" i="11" s="1"/>
  <c r="V39" i="11" a="1"/>
  <c r="V39" i="11" s="1"/>
  <c r="W39" i="11" a="1"/>
  <c r="W39" i="11" s="1"/>
  <c r="O40" i="11" a="1"/>
  <c r="O40" i="11" s="1"/>
  <c r="P40" i="11" a="1"/>
  <c r="P40" i="11" s="1"/>
  <c r="Q40" i="11" a="1"/>
  <c r="Q40" i="11" s="1"/>
  <c r="R40" i="11" a="1"/>
  <c r="R40" i="11" s="1"/>
  <c r="U40" i="11" a="1"/>
  <c r="U40" i="11" s="1"/>
  <c r="V40" i="11" a="1"/>
  <c r="V40" i="11" s="1"/>
  <c r="W40" i="11" a="1"/>
  <c r="W40" i="11" s="1"/>
  <c r="O41" i="11" a="1"/>
  <c r="O41" i="11" s="1"/>
  <c r="P41" i="11" a="1"/>
  <c r="P41" i="11" s="1"/>
  <c r="Q41" i="11" a="1"/>
  <c r="Q41" i="11" s="1"/>
  <c r="R41" i="11" a="1"/>
  <c r="R41" i="11" s="1"/>
  <c r="U41" i="11" a="1"/>
  <c r="U41" i="11" s="1"/>
  <c r="V41" i="11" a="1"/>
  <c r="V41" i="11" s="1"/>
  <c r="W41" i="11" a="1"/>
  <c r="W41" i="11" s="1"/>
  <c r="O42" i="11" a="1"/>
  <c r="O42" i="11" s="1"/>
  <c r="P42" i="11" a="1"/>
  <c r="P42" i="11" s="1"/>
  <c r="Q42" i="11" a="1"/>
  <c r="Q42" i="11" s="1"/>
  <c r="R42" i="11" a="1"/>
  <c r="R42" i="11" s="1"/>
  <c r="U42" i="11" a="1"/>
  <c r="U42" i="11" s="1"/>
  <c r="V42" i="11" a="1"/>
  <c r="V42" i="11" s="1"/>
  <c r="W42" i="11" a="1"/>
  <c r="W42" i="11" s="1"/>
  <c r="O43" i="11" a="1"/>
  <c r="O43" i="11" s="1"/>
  <c r="P43" i="11" a="1"/>
  <c r="P43" i="11" s="1"/>
  <c r="Q43" i="11" a="1"/>
  <c r="Q43" i="11" s="1"/>
  <c r="R43" i="11" a="1"/>
  <c r="R43" i="11" s="1"/>
  <c r="U43" i="11" a="1"/>
  <c r="U43" i="11" s="1"/>
  <c r="V43" i="11" a="1"/>
  <c r="V43" i="11" s="1"/>
  <c r="W43" i="11" a="1"/>
  <c r="W43" i="11" s="1"/>
  <c r="O44" i="11" a="1"/>
  <c r="O44" i="11" s="1"/>
  <c r="P44" i="11" a="1"/>
  <c r="P44" i="11" s="1"/>
  <c r="Q44" i="11" a="1"/>
  <c r="Q44" i="11" s="1"/>
  <c r="R44" i="11" a="1"/>
  <c r="R44" i="11" s="1"/>
  <c r="U44" i="11" a="1"/>
  <c r="U44" i="11" s="1"/>
  <c r="V44" i="11" a="1"/>
  <c r="V44" i="11" s="1"/>
  <c r="W44" i="11" a="1"/>
  <c r="W44" i="11" s="1"/>
  <c r="O45" i="11" a="1"/>
  <c r="O45" i="11" s="1"/>
  <c r="P45" i="11" a="1"/>
  <c r="P45" i="11" s="1"/>
  <c r="Q45" i="11" a="1"/>
  <c r="Q45" i="11" s="1"/>
  <c r="R45" i="11" a="1"/>
  <c r="R45" i="11" s="1"/>
  <c r="U45" i="11" a="1"/>
  <c r="U45" i="11" s="1"/>
  <c r="V45" i="11" a="1"/>
  <c r="V45" i="11" s="1"/>
  <c r="W45" i="11" a="1"/>
  <c r="W45" i="11" s="1"/>
  <c r="O46" i="11" a="1"/>
  <c r="O46" i="11" s="1"/>
  <c r="P46" i="11" a="1"/>
  <c r="P46" i="11" s="1"/>
  <c r="Q46" i="11" a="1"/>
  <c r="Q46" i="11" s="1"/>
  <c r="R46" i="11" a="1"/>
  <c r="R46" i="11" s="1"/>
  <c r="U46" i="11" a="1"/>
  <c r="U46" i="11" s="1"/>
  <c r="V46" i="11" a="1"/>
  <c r="V46" i="11" s="1"/>
  <c r="W46" i="11" a="1"/>
  <c r="W46" i="11" s="1"/>
  <c r="O47" i="11" a="1"/>
  <c r="O47" i="11" s="1"/>
  <c r="P47" i="11" a="1"/>
  <c r="P47" i="11" s="1"/>
  <c r="Q47" i="11" a="1"/>
  <c r="Q47" i="11" s="1"/>
  <c r="R47" i="11" a="1"/>
  <c r="R47" i="11" s="1"/>
  <c r="U47" i="11" a="1"/>
  <c r="U47" i="11" s="1"/>
  <c r="V47" i="11" a="1"/>
  <c r="V47" i="11" s="1"/>
  <c r="W47" i="11" a="1"/>
  <c r="W47" i="11" s="1"/>
  <c r="O48" i="11" a="1"/>
  <c r="O48" i="11" s="1"/>
  <c r="P48" i="11" a="1"/>
  <c r="P48" i="11" s="1"/>
  <c r="Q48" i="11" a="1"/>
  <c r="Q48" i="11" s="1"/>
  <c r="R48" i="11" a="1"/>
  <c r="R48" i="11" s="1"/>
  <c r="U48" i="11" a="1"/>
  <c r="U48" i="11" s="1"/>
  <c r="V48" i="11" a="1"/>
  <c r="V48" i="11" s="1"/>
  <c r="W48" i="11" a="1"/>
  <c r="W48" i="11" s="1"/>
  <c r="O49" i="11" a="1"/>
  <c r="O49" i="11" s="1"/>
  <c r="P49" i="11" a="1"/>
  <c r="P49" i="11" s="1"/>
  <c r="Q49" i="11" a="1"/>
  <c r="Q49" i="11" s="1"/>
  <c r="R49" i="11" a="1"/>
  <c r="R49" i="11" s="1"/>
  <c r="U49" i="11" a="1"/>
  <c r="U49" i="11" s="1"/>
  <c r="V49" i="11" a="1"/>
  <c r="V49" i="11" s="1"/>
  <c r="W49" i="11" a="1"/>
  <c r="W49" i="11" s="1"/>
  <c r="O50" i="11" a="1"/>
  <c r="O50" i="11" s="1"/>
  <c r="P50" i="11" a="1"/>
  <c r="P50" i="11" s="1"/>
  <c r="Q50" i="11" a="1"/>
  <c r="Q50" i="11" s="1"/>
  <c r="R50" i="11" a="1"/>
  <c r="R50" i="11" s="1"/>
  <c r="U50" i="11" a="1"/>
  <c r="U50" i="11" s="1"/>
  <c r="V50" i="11" a="1"/>
  <c r="V50" i="11" s="1"/>
  <c r="W50" i="11" a="1"/>
  <c r="W50" i="11" s="1"/>
  <c r="O51" i="11" a="1"/>
  <c r="O51" i="11" s="1"/>
  <c r="P51" i="11" a="1"/>
  <c r="P51" i="11" s="1"/>
  <c r="Q51" i="11" a="1"/>
  <c r="Q51" i="11" s="1"/>
  <c r="R51" i="11" a="1"/>
  <c r="R51" i="11" s="1"/>
  <c r="U51" i="11" a="1"/>
  <c r="U51" i="11" s="1"/>
  <c r="V51" i="11" a="1"/>
  <c r="V51" i="11" s="1"/>
  <c r="W51" i="11" a="1"/>
  <c r="W51" i="11" s="1"/>
  <c r="O52" i="11" a="1"/>
  <c r="O52" i="11" s="1"/>
  <c r="P52" i="11" a="1"/>
  <c r="P52" i="11" s="1"/>
  <c r="Q52" i="11" a="1"/>
  <c r="Q52" i="11" s="1"/>
  <c r="R52" i="11" a="1"/>
  <c r="R52" i="11" s="1"/>
  <c r="U52" i="11" a="1"/>
  <c r="U52" i="11" s="1"/>
  <c r="V52" i="11" a="1"/>
  <c r="V52" i="11" s="1"/>
  <c r="W52" i="11" a="1"/>
  <c r="W52" i="11" s="1"/>
  <c r="O53" i="11" a="1"/>
  <c r="O53" i="11" s="1"/>
  <c r="P53" i="11" a="1"/>
  <c r="P53" i="11" s="1"/>
  <c r="Q53" i="11" a="1"/>
  <c r="Q53" i="11" s="1"/>
  <c r="R53" i="11" a="1"/>
  <c r="R53" i="11" s="1"/>
  <c r="U53" i="11" a="1"/>
  <c r="U53" i="11" s="1"/>
  <c r="V53" i="11" a="1"/>
  <c r="V53" i="11" s="1"/>
  <c r="W53" i="11" a="1"/>
  <c r="W53" i="11" s="1"/>
  <c r="O54" i="11" a="1"/>
  <c r="O54" i="11" s="1"/>
  <c r="P54" i="11" a="1"/>
  <c r="P54" i="11" s="1"/>
  <c r="Q54" i="11" a="1"/>
  <c r="Q54" i="11" s="1"/>
  <c r="R54" i="11" a="1"/>
  <c r="R54" i="11" s="1"/>
  <c r="U54" i="11" a="1"/>
  <c r="U54" i="11" s="1"/>
  <c r="V54" i="11" a="1"/>
  <c r="V54" i="11" s="1"/>
  <c r="W54" i="11" a="1"/>
  <c r="W54" i="11" s="1"/>
  <c r="O55" i="11" a="1"/>
  <c r="O55" i="11" s="1"/>
  <c r="P55" i="11" a="1"/>
  <c r="P55" i="11" s="1"/>
  <c r="Q55" i="11" a="1"/>
  <c r="Q55" i="11" s="1"/>
  <c r="R55" i="11" a="1"/>
  <c r="R55" i="11" s="1"/>
  <c r="U55" i="11" a="1"/>
  <c r="U55" i="11" s="1"/>
  <c r="V55" i="11" a="1"/>
  <c r="V55" i="11" s="1"/>
  <c r="W55" i="11" a="1"/>
  <c r="W55" i="11" s="1"/>
  <c r="O56" i="11" a="1"/>
  <c r="O56" i="11" s="1"/>
  <c r="P56" i="11" a="1"/>
  <c r="P56" i="11" s="1"/>
  <c r="Q56" i="11" a="1"/>
  <c r="Q56" i="11" s="1"/>
  <c r="R56" i="11" a="1"/>
  <c r="R56" i="11" s="1"/>
  <c r="U56" i="11" a="1"/>
  <c r="U56" i="11" s="1"/>
  <c r="V56" i="11" a="1"/>
  <c r="V56" i="11" s="1"/>
  <c r="W56" i="11" a="1"/>
  <c r="W56" i="11" s="1"/>
  <c r="O57" i="11" a="1"/>
  <c r="O57" i="11" s="1"/>
  <c r="P57" i="11" a="1"/>
  <c r="P57" i="11" s="1"/>
  <c r="Q57" i="11" a="1"/>
  <c r="Q57" i="11" s="1"/>
  <c r="R57" i="11" a="1"/>
  <c r="R57" i="11" s="1"/>
  <c r="U57" i="11" a="1"/>
  <c r="U57" i="11" s="1"/>
  <c r="V57" i="11" a="1"/>
  <c r="V57" i="11" s="1"/>
  <c r="W57" i="11" a="1"/>
  <c r="W57" i="11" s="1"/>
  <c r="O58" i="11" a="1"/>
  <c r="O58" i="11" s="1"/>
  <c r="P58" i="11" a="1"/>
  <c r="P58" i="11" s="1"/>
  <c r="Q58" i="11" a="1"/>
  <c r="Q58" i="11" s="1"/>
  <c r="R58" i="11" a="1"/>
  <c r="R58" i="11" s="1"/>
  <c r="U58" i="11" a="1"/>
  <c r="U58" i="11" s="1"/>
  <c r="V58" i="11" a="1"/>
  <c r="V58" i="11" s="1"/>
  <c r="W58" i="11" a="1"/>
  <c r="W58" i="11" s="1"/>
  <c r="O59" i="11" a="1"/>
  <c r="O59" i="11" s="1"/>
  <c r="P59" i="11" a="1"/>
  <c r="P59" i="11" s="1"/>
  <c r="Q59" i="11" a="1"/>
  <c r="Q59" i="11" s="1"/>
  <c r="R59" i="11" a="1"/>
  <c r="R59" i="11" s="1"/>
  <c r="U59" i="11" a="1"/>
  <c r="U59" i="11" s="1"/>
  <c r="V59" i="11" a="1"/>
  <c r="V59" i="11" s="1"/>
  <c r="W59" i="11" a="1"/>
  <c r="W59" i="11" s="1"/>
  <c r="O60" i="11" a="1"/>
  <c r="O60" i="11" s="1"/>
  <c r="P60" i="11" a="1"/>
  <c r="P60" i="11" s="1"/>
  <c r="Q60" i="11" a="1"/>
  <c r="Q60" i="11" s="1"/>
  <c r="R60" i="11" a="1"/>
  <c r="R60" i="11" s="1"/>
  <c r="U60" i="11" a="1"/>
  <c r="U60" i="11" s="1"/>
  <c r="V60" i="11" a="1"/>
  <c r="V60" i="11" s="1"/>
  <c r="W60" i="11" a="1"/>
  <c r="W60" i="11" s="1"/>
  <c r="O61" i="11" a="1"/>
  <c r="O61" i="11" s="1"/>
  <c r="P61" i="11" a="1"/>
  <c r="P61" i="11" s="1"/>
  <c r="Q61" i="11" a="1"/>
  <c r="Q61" i="11" s="1"/>
  <c r="R61" i="11" a="1"/>
  <c r="R61" i="11" s="1"/>
  <c r="U61" i="11" a="1"/>
  <c r="U61" i="11" s="1"/>
  <c r="V61" i="11" a="1"/>
  <c r="V61" i="11" s="1"/>
  <c r="W61" i="11" a="1"/>
  <c r="W61" i="11" s="1"/>
  <c r="O62" i="11" a="1"/>
  <c r="O62" i="11" s="1"/>
  <c r="P62" i="11" a="1"/>
  <c r="P62" i="11" s="1"/>
  <c r="Q62" i="11" a="1"/>
  <c r="Q62" i="11" s="1"/>
  <c r="R62" i="11" a="1"/>
  <c r="R62" i="11" s="1"/>
  <c r="U62" i="11" a="1"/>
  <c r="U62" i="11" s="1"/>
  <c r="V62" i="11" a="1"/>
  <c r="V62" i="11" s="1"/>
  <c r="W62" i="11" a="1"/>
  <c r="W62" i="11" s="1"/>
  <c r="O63" i="11" a="1"/>
  <c r="O63" i="11" s="1"/>
  <c r="P63" i="11" a="1"/>
  <c r="P63" i="11" s="1"/>
  <c r="Q63" i="11" a="1"/>
  <c r="Q63" i="11" s="1"/>
  <c r="R63" i="11" a="1"/>
  <c r="R63" i="11" s="1"/>
  <c r="U63" i="11" a="1"/>
  <c r="U63" i="11" s="1"/>
  <c r="V63" i="11" a="1"/>
  <c r="V63" i="11" s="1"/>
  <c r="W63" i="11" a="1"/>
  <c r="W63" i="11" s="1"/>
  <c r="O64" i="11" a="1"/>
  <c r="O64" i="11" s="1"/>
  <c r="P64" i="11" a="1"/>
  <c r="P64" i="11" s="1"/>
  <c r="Q64" i="11" a="1"/>
  <c r="Q64" i="11" s="1"/>
  <c r="R64" i="11" a="1"/>
  <c r="R64" i="11" s="1"/>
  <c r="U64" i="11" a="1"/>
  <c r="U64" i="11" s="1"/>
  <c r="V64" i="11" a="1"/>
  <c r="V64" i="11" s="1"/>
  <c r="W64" i="11" a="1"/>
  <c r="W64" i="11" s="1"/>
  <c r="O65" i="11" a="1"/>
  <c r="O65" i="11" s="1"/>
  <c r="P65" i="11" a="1"/>
  <c r="P65" i="11" s="1"/>
  <c r="Q65" i="11" a="1"/>
  <c r="Q65" i="11" s="1"/>
  <c r="R65" i="11" a="1"/>
  <c r="R65" i="11" s="1"/>
  <c r="U65" i="11" a="1"/>
  <c r="U65" i="11" s="1"/>
  <c r="V65" i="11" a="1"/>
  <c r="V65" i="11" s="1"/>
  <c r="W65" i="11" a="1"/>
  <c r="W65" i="11" s="1"/>
  <c r="O66" i="11" a="1"/>
  <c r="O66" i="11" s="1"/>
  <c r="P66" i="11" a="1"/>
  <c r="P66" i="11" s="1"/>
  <c r="Q66" i="11" a="1"/>
  <c r="Q66" i="11" s="1"/>
  <c r="R66" i="11" a="1"/>
  <c r="R66" i="11" s="1"/>
  <c r="U66" i="11" a="1"/>
  <c r="U66" i="11" s="1"/>
  <c r="V66" i="11" a="1"/>
  <c r="V66" i="11" s="1"/>
  <c r="W66" i="11" a="1"/>
  <c r="W66" i="11" s="1"/>
  <c r="O67" i="11" a="1"/>
  <c r="O67" i="11" s="1"/>
  <c r="P67" i="11" a="1"/>
  <c r="P67" i="11" s="1"/>
  <c r="Q67" i="11" a="1"/>
  <c r="Q67" i="11" s="1"/>
  <c r="R67" i="11" a="1"/>
  <c r="R67" i="11" s="1"/>
  <c r="U67" i="11" a="1"/>
  <c r="U67" i="11" s="1"/>
  <c r="V67" i="11" a="1"/>
  <c r="V67" i="11" s="1"/>
  <c r="W67" i="11" a="1"/>
  <c r="W67" i="11" s="1"/>
  <c r="O68" i="11" a="1"/>
  <c r="O68" i="11" s="1"/>
  <c r="P68" i="11" a="1"/>
  <c r="P68" i="11" s="1"/>
  <c r="Q68" i="11" a="1"/>
  <c r="Q68" i="11" s="1"/>
  <c r="R68" i="11" a="1"/>
  <c r="R68" i="11" s="1"/>
  <c r="U68" i="11" a="1"/>
  <c r="U68" i="11" s="1"/>
  <c r="V68" i="11" a="1"/>
  <c r="V68" i="11" s="1"/>
  <c r="W68" i="11" a="1"/>
  <c r="W68" i="11" s="1"/>
  <c r="O69" i="11" a="1"/>
  <c r="O69" i="11" s="1"/>
  <c r="P69" i="11" a="1"/>
  <c r="P69" i="11" s="1"/>
  <c r="Q69" i="11" a="1"/>
  <c r="Q69" i="11" s="1"/>
  <c r="R69" i="11" a="1"/>
  <c r="R69" i="11" s="1"/>
  <c r="U69" i="11" a="1"/>
  <c r="U69" i="11" s="1"/>
  <c r="V69" i="11" a="1"/>
  <c r="V69" i="11" s="1"/>
  <c r="W69" i="11" a="1"/>
  <c r="W69" i="11" s="1"/>
  <c r="O70" i="11" a="1"/>
  <c r="O70" i="11" s="1"/>
  <c r="P70" i="11" a="1"/>
  <c r="P70" i="11" s="1"/>
  <c r="Q70" i="11" a="1"/>
  <c r="Q70" i="11" s="1"/>
  <c r="R70" i="11" a="1"/>
  <c r="R70" i="11" s="1"/>
  <c r="U70" i="11" a="1"/>
  <c r="U70" i="11" s="1"/>
  <c r="V70" i="11" a="1"/>
  <c r="V70" i="11" s="1"/>
  <c r="W70" i="11" a="1"/>
  <c r="W70" i="11" s="1"/>
  <c r="O71" i="11" a="1"/>
  <c r="O71" i="11" s="1"/>
  <c r="P71" i="11" a="1"/>
  <c r="P71" i="11" s="1"/>
  <c r="Q71" i="11" a="1"/>
  <c r="Q71" i="11" s="1"/>
  <c r="R71" i="11" a="1"/>
  <c r="R71" i="11" s="1"/>
  <c r="U71" i="11" a="1"/>
  <c r="U71" i="11" s="1"/>
  <c r="V71" i="11" a="1"/>
  <c r="V71" i="11" s="1"/>
  <c r="W71" i="11" a="1"/>
  <c r="W71" i="11" s="1"/>
  <c r="O72" i="11" a="1"/>
  <c r="O72" i="11" s="1"/>
  <c r="P72" i="11" a="1"/>
  <c r="P72" i="11" s="1"/>
  <c r="Q72" i="11" a="1"/>
  <c r="Q72" i="11" s="1"/>
  <c r="R72" i="11" a="1"/>
  <c r="R72" i="11" s="1"/>
  <c r="U72" i="11" a="1"/>
  <c r="U72" i="11" s="1"/>
  <c r="V72" i="11" a="1"/>
  <c r="V72" i="11" s="1"/>
  <c r="W72" i="11" a="1"/>
  <c r="W72" i="11" s="1"/>
  <c r="O73" i="11" a="1"/>
  <c r="O73" i="11" s="1"/>
  <c r="P73" i="11" a="1"/>
  <c r="P73" i="11" s="1"/>
  <c r="Q73" i="11" a="1"/>
  <c r="Q73" i="11" s="1"/>
  <c r="R73" i="11" a="1"/>
  <c r="R73" i="11" s="1"/>
  <c r="U73" i="11" a="1"/>
  <c r="U73" i="11" s="1"/>
  <c r="V73" i="11" a="1"/>
  <c r="V73" i="11" s="1"/>
  <c r="W73" i="11" a="1"/>
  <c r="W73" i="11" s="1"/>
  <c r="O74" i="11" a="1"/>
  <c r="O74" i="11" s="1"/>
  <c r="P74" i="11" a="1"/>
  <c r="P74" i="11" s="1"/>
  <c r="Q74" i="11" a="1"/>
  <c r="Q74" i="11" s="1"/>
  <c r="R74" i="11" a="1"/>
  <c r="R74" i="11" s="1"/>
  <c r="U74" i="11" a="1"/>
  <c r="U74" i="11" s="1"/>
  <c r="V74" i="11" a="1"/>
  <c r="V74" i="11" s="1"/>
  <c r="W74" i="11" a="1"/>
  <c r="W74" i="11" s="1"/>
  <c r="O75" i="11" a="1"/>
  <c r="O75" i="11" s="1"/>
  <c r="P75" i="11" a="1"/>
  <c r="P75" i="11" s="1"/>
  <c r="Q75" i="11" a="1"/>
  <c r="Q75" i="11" s="1"/>
  <c r="R75" i="11" a="1"/>
  <c r="R75" i="11" s="1"/>
  <c r="U75" i="11" a="1"/>
  <c r="U75" i="11" s="1"/>
  <c r="V75" i="11" a="1"/>
  <c r="V75" i="11" s="1"/>
  <c r="W75" i="11" a="1"/>
  <c r="W75" i="11" s="1"/>
  <c r="O76" i="11" a="1"/>
  <c r="O76" i="11" s="1"/>
  <c r="P76" i="11" a="1"/>
  <c r="P76" i="11" s="1"/>
  <c r="Q76" i="11" a="1"/>
  <c r="Q76" i="11" s="1"/>
  <c r="R76" i="11" a="1"/>
  <c r="R76" i="11" s="1"/>
  <c r="U76" i="11" a="1"/>
  <c r="U76" i="11" s="1"/>
  <c r="V76" i="11" a="1"/>
  <c r="V76" i="11" s="1"/>
  <c r="W76" i="11" a="1"/>
  <c r="W76" i="11" s="1"/>
  <c r="O77" i="11" a="1"/>
  <c r="O77" i="11" s="1"/>
  <c r="P77" i="11" a="1"/>
  <c r="P77" i="11" s="1"/>
  <c r="Q77" i="11" a="1"/>
  <c r="Q77" i="11" s="1"/>
  <c r="R77" i="11" a="1"/>
  <c r="R77" i="11" s="1"/>
  <c r="U77" i="11" a="1"/>
  <c r="U77" i="11" s="1"/>
  <c r="V77" i="11" a="1"/>
  <c r="V77" i="11" s="1"/>
  <c r="W77" i="11" a="1"/>
  <c r="W77" i="11" s="1"/>
  <c r="O78" i="11" a="1"/>
  <c r="O78" i="11" s="1"/>
  <c r="P78" i="11" a="1"/>
  <c r="P78" i="11" s="1"/>
  <c r="Q78" i="11" a="1"/>
  <c r="Q78" i="11" s="1"/>
  <c r="R78" i="11" a="1"/>
  <c r="R78" i="11" s="1"/>
  <c r="U78" i="11" a="1"/>
  <c r="U78" i="11" s="1"/>
  <c r="V78" i="11" a="1"/>
  <c r="V78" i="11" s="1"/>
  <c r="W78" i="11" a="1"/>
  <c r="W78" i="11" s="1"/>
  <c r="O79" i="11" a="1"/>
  <c r="O79" i="11" s="1"/>
  <c r="P79" i="11" a="1"/>
  <c r="P79" i="11" s="1"/>
  <c r="Q79" i="11" a="1"/>
  <c r="Q79" i="11" s="1"/>
  <c r="R79" i="11" a="1"/>
  <c r="R79" i="11" s="1"/>
  <c r="U79" i="11" a="1"/>
  <c r="U79" i="11" s="1"/>
  <c r="V79" i="11" a="1"/>
  <c r="V79" i="11" s="1"/>
  <c r="W79" i="11" a="1"/>
  <c r="W79" i="11" s="1"/>
  <c r="O80" i="11" a="1"/>
  <c r="O80" i="11" s="1"/>
  <c r="P80" i="11" a="1"/>
  <c r="P80" i="11" s="1"/>
  <c r="Q80" i="11" a="1"/>
  <c r="Q80" i="11" s="1"/>
  <c r="R80" i="11" a="1"/>
  <c r="R80" i="11" s="1"/>
  <c r="U80" i="11" a="1"/>
  <c r="U80" i="11" s="1"/>
  <c r="V80" i="11" a="1"/>
  <c r="V80" i="11" s="1"/>
  <c r="W80" i="11" a="1"/>
  <c r="W80" i="11" s="1"/>
  <c r="O81" i="11" a="1"/>
  <c r="O81" i="11" s="1"/>
  <c r="P81" i="11" a="1"/>
  <c r="P81" i="11" s="1"/>
  <c r="Q81" i="11" a="1"/>
  <c r="Q81" i="11" s="1"/>
  <c r="R81" i="11" a="1"/>
  <c r="R81" i="11" s="1"/>
  <c r="U81" i="11" a="1"/>
  <c r="U81" i="11" s="1"/>
  <c r="V81" i="11" a="1"/>
  <c r="V81" i="11" s="1"/>
  <c r="W81" i="11" a="1"/>
  <c r="W81" i="11" s="1"/>
  <c r="O82" i="11" a="1"/>
  <c r="O82" i="11" s="1"/>
  <c r="P82" i="11" a="1"/>
  <c r="P82" i="11" s="1"/>
  <c r="Q82" i="11" a="1"/>
  <c r="Q82" i="11" s="1"/>
  <c r="R82" i="11" a="1"/>
  <c r="R82" i="11" s="1"/>
  <c r="U82" i="11" a="1"/>
  <c r="U82" i="11" s="1"/>
  <c r="V82" i="11" a="1"/>
  <c r="V82" i="11" s="1"/>
  <c r="W82" i="11" a="1"/>
  <c r="W82" i="11" s="1"/>
  <c r="O83" i="11" a="1"/>
  <c r="O83" i="11" s="1"/>
  <c r="P83" i="11" a="1"/>
  <c r="P83" i="11" s="1"/>
  <c r="Q83" i="11" a="1"/>
  <c r="Q83" i="11" s="1"/>
  <c r="R83" i="11" a="1"/>
  <c r="R83" i="11" s="1"/>
  <c r="U83" i="11" a="1"/>
  <c r="U83" i="11" s="1"/>
  <c r="V83" i="11" a="1"/>
  <c r="V83" i="11" s="1"/>
  <c r="W83" i="11" a="1"/>
  <c r="W83" i="11" s="1"/>
  <c r="O84" i="11" a="1"/>
  <c r="O84" i="11" s="1"/>
  <c r="P84" i="11" a="1"/>
  <c r="P84" i="11" s="1"/>
  <c r="Q84" i="11" a="1"/>
  <c r="Q84" i="11" s="1"/>
  <c r="R84" i="11" a="1"/>
  <c r="R84" i="11" s="1"/>
  <c r="U84" i="11" a="1"/>
  <c r="U84" i="11" s="1"/>
  <c r="V84" i="11" a="1"/>
  <c r="V84" i="11" s="1"/>
  <c r="W84" i="11" a="1"/>
  <c r="W84" i="11" s="1"/>
  <c r="O85" i="11" a="1"/>
  <c r="O85" i="11" s="1"/>
  <c r="P85" i="11" a="1"/>
  <c r="P85" i="11" s="1"/>
  <c r="Q85" i="11" a="1"/>
  <c r="Q85" i="11" s="1"/>
  <c r="R85" i="11" a="1"/>
  <c r="R85" i="11" s="1"/>
  <c r="U85" i="11" a="1"/>
  <c r="U85" i="11" s="1"/>
  <c r="V85" i="11" a="1"/>
  <c r="V85" i="11" s="1"/>
  <c r="W85" i="11" a="1"/>
  <c r="W85" i="11" s="1"/>
  <c r="O86" i="11" a="1"/>
  <c r="O86" i="11" s="1"/>
  <c r="P86" i="11" a="1"/>
  <c r="P86" i="11" s="1"/>
  <c r="Q86" i="11" a="1"/>
  <c r="Q86" i="11" s="1"/>
  <c r="R86" i="11" a="1"/>
  <c r="R86" i="11" s="1"/>
  <c r="U86" i="11" a="1"/>
  <c r="U86" i="11" s="1"/>
  <c r="V86" i="11" a="1"/>
  <c r="V86" i="11" s="1"/>
  <c r="W86" i="11" a="1"/>
  <c r="W86" i="11" s="1"/>
  <c r="O87" i="11" a="1"/>
  <c r="O87" i="11" s="1"/>
  <c r="P87" i="11" a="1"/>
  <c r="P87" i="11" s="1"/>
  <c r="Q87" i="11" a="1"/>
  <c r="Q87" i="11" s="1"/>
  <c r="R87" i="11" a="1"/>
  <c r="R87" i="11" s="1"/>
  <c r="U87" i="11" a="1"/>
  <c r="U87" i="11" s="1"/>
  <c r="V87" i="11" a="1"/>
  <c r="V87" i="11" s="1"/>
  <c r="W87" i="11" a="1"/>
  <c r="W87" i="11" s="1"/>
  <c r="O88" i="11" a="1"/>
  <c r="O88" i="11" s="1"/>
  <c r="P88" i="11" a="1"/>
  <c r="P88" i="11" s="1"/>
  <c r="Q88" i="11" a="1"/>
  <c r="Q88" i="11" s="1"/>
  <c r="R88" i="11" a="1"/>
  <c r="R88" i="11" s="1"/>
  <c r="U88" i="11" a="1"/>
  <c r="U88" i="11" s="1"/>
  <c r="V88" i="11" a="1"/>
  <c r="V88" i="11" s="1"/>
  <c r="W88" i="11" a="1"/>
  <c r="W88" i="11" s="1"/>
  <c r="O89" i="11" a="1"/>
  <c r="O89" i="11" s="1"/>
  <c r="P89" i="11" a="1"/>
  <c r="P89" i="11" s="1"/>
  <c r="Q89" i="11" a="1"/>
  <c r="Q89" i="11" s="1"/>
  <c r="R89" i="11" a="1"/>
  <c r="R89" i="11" s="1"/>
  <c r="U89" i="11" a="1"/>
  <c r="U89" i="11" s="1"/>
  <c r="V89" i="11" a="1"/>
  <c r="V89" i="11" s="1"/>
  <c r="W89" i="11" a="1"/>
  <c r="W89" i="11" s="1"/>
  <c r="O90" i="11" a="1"/>
  <c r="O90" i="11" s="1"/>
  <c r="P90" i="11" a="1"/>
  <c r="P90" i="11" s="1"/>
  <c r="Q90" i="11" a="1"/>
  <c r="Q90" i="11" s="1"/>
  <c r="R90" i="11" a="1"/>
  <c r="R90" i="11" s="1"/>
  <c r="U90" i="11" a="1"/>
  <c r="U90" i="11" s="1"/>
  <c r="V90" i="11" a="1"/>
  <c r="V90" i="11" s="1"/>
  <c r="W90" i="11" a="1"/>
  <c r="W90" i="11" s="1"/>
  <c r="O91" i="11" a="1"/>
  <c r="O91" i="11" s="1"/>
  <c r="P91" i="11" a="1"/>
  <c r="P91" i="11" s="1"/>
  <c r="Q91" i="11" a="1"/>
  <c r="Q91" i="11" s="1"/>
  <c r="R91" i="11" a="1"/>
  <c r="R91" i="11" s="1"/>
  <c r="U91" i="11" a="1"/>
  <c r="U91" i="11" s="1"/>
  <c r="V91" i="11" a="1"/>
  <c r="V91" i="11" s="1"/>
  <c r="W91" i="11" a="1"/>
  <c r="W91" i="11" s="1"/>
  <c r="O92" i="11" a="1"/>
  <c r="O92" i="11" s="1"/>
  <c r="P92" i="11" a="1"/>
  <c r="P92" i="11" s="1"/>
  <c r="Q92" i="11" a="1"/>
  <c r="Q92" i="11" s="1"/>
  <c r="R92" i="11" a="1"/>
  <c r="R92" i="11" s="1"/>
  <c r="U92" i="11" a="1"/>
  <c r="U92" i="11" s="1"/>
  <c r="V92" i="11" a="1"/>
  <c r="V92" i="11" s="1"/>
  <c r="W92" i="11" a="1"/>
  <c r="W92" i="11" s="1"/>
  <c r="O93" i="11" a="1"/>
  <c r="O93" i="11" s="1"/>
  <c r="P93" i="11" a="1"/>
  <c r="P93" i="11" s="1"/>
  <c r="Q93" i="11" a="1"/>
  <c r="Q93" i="11" s="1"/>
  <c r="R93" i="11" a="1"/>
  <c r="R93" i="11" s="1"/>
  <c r="U93" i="11" a="1"/>
  <c r="U93" i="11" s="1"/>
  <c r="V93" i="11" a="1"/>
  <c r="V93" i="11" s="1"/>
  <c r="W93" i="11" a="1"/>
  <c r="W93" i="11" s="1"/>
  <c r="O94" i="11" a="1"/>
  <c r="O94" i="11" s="1"/>
  <c r="P94" i="11" a="1"/>
  <c r="P94" i="11" s="1"/>
  <c r="Q94" i="11" a="1"/>
  <c r="Q94" i="11" s="1"/>
  <c r="R94" i="11" a="1"/>
  <c r="R94" i="11" s="1"/>
  <c r="U94" i="11" a="1"/>
  <c r="U94" i="11" s="1"/>
  <c r="V94" i="11" a="1"/>
  <c r="V94" i="11" s="1"/>
  <c r="W94" i="11" a="1"/>
  <c r="W94" i="11" s="1"/>
  <c r="O95" i="11" a="1"/>
  <c r="O95" i="11" s="1"/>
  <c r="P95" i="11" a="1"/>
  <c r="P95" i="11" s="1"/>
  <c r="Q95" i="11" a="1"/>
  <c r="Q95" i="11" s="1"/>
  <c r="R95" i="11" a="1"/>
  <c r="R95" i="11" s="1"/>
  <c r="U95" i="11" a="1"/>
  <c r="U95" i="11" s="1"/>
  <c r="V95" i="11" a="1"/>
  <c r="V95" i="11" s="1"/>
  <c r="W95" i="11" a="1"/>
  <c r="W95" i="11" s="1"/>
  <c r="O96" i="11" a="1"/>
  <c r="O96" i="11" s="1"/>
  <c r="P96" i="11" a="1"/>
  <c r="P96" i="11" s="1"/>
  <c r="Q96" i="11" a="1"/>
  <c r="Q96" i="11" s="1"/>
  <c r="R96" i="11" a="1"/>
  <c r="R96" i="11" s="1"/>
  <c r="U96" i="11" a="1"/>
  <c r="U96" i="11" s="1"/>
  <c r="V96" i="11" a="1"/>
  <c r="V96" i="11" s="1"/>
  <c r="W96" i="11" a="1"/>
  <c r="W96" i="11" s="1"/>
  <c r="O97" i="11" a="1"/>
  <c r="O97" i="11" s="1"/>
  <c r="P97" i="11" a="1"/>
  <c r="P97" i="11" s="1"/>
  <c r="Q97" i="11" a="1"/>
  <c r="Q97" i="11" s="1"/>
  <c r="R97" i="11" a="1"/>
  <c r="R97" i="11" s="1"/>
  <c r="U97" i="11" a="1"/>
  <c r="U97" i="11" s="1"/>
  <c r="V97" i="11" a="1"/>
  <c r="V97" i="11" s="1"/>
  <c r="W97" i="11" a="1"/>
  <c r="W97" i="11" s="1"/>
  <c r="O98" i="11" a="1"/>
  <c r="O98" i="11" s="1"/>
  <c r="P98" i="11" a="1"/>
  <c r="P98" i="11" s="1"/>
  <c r="Q98" i="11" a="1"/>
  <c r="Q98" i="11" s="1"/>
  <c r="R98" i="11" a="1"/>
  <c r="R98" i="11" s="1"/>
  <c r="U98" i="11" a="1"/>
  <c r="U98" i="11" s="1"/>
  <c r="V98" i="11" a="1"/>
  <c r="V98" i="11" s="1"/>
  <c r="W98" i="11" a="1"/>
  <c r="W98" i="11" s="1"/>
  <c r="O99" i="11" a="1"/>
  <c r="O99" i="11" s="1"/>
  <c r="P99" i="11" a="1"/>
  <c r="P99" i="11" s="1"/>
  <c r="Q99" i="11" a="1"/>
  <c r="Q99" i="11" s="1"/>
  <c r="R99" i="11" a="1"/>
  <c r="R99" i="11" s="1"/>
  <c r="U99" i="11" a="1"/>
  <c r="U99" i="11" s="1"/>
  <c r="V99" i="11" a="1"/>
  <c r="V99" i="11" s="1"/>
  <c r="W99" i="11" a="1"/>
  <c r="W99" i="11" s="1"/>
  <c r="O100" i="11" a="1"/>
  <c r="O100" i="11" s="1"/>
  <c r="P100" i="11" a="1"/>
  <c r="P100" i="11" s="1"/>
  <c r="Q100" i="11" a="1"/>
  <c r="Q100" i="11" s="1"/>
  <c r="R100" i="11" a="1"/>
  <c r="R100" i="11" s="1"/>
  <c r="U100" i="11" a="1"/>
  <c r="U100" i="11" s="1"/>
  <c r="V100" i="11" a="1"/>
  <c r="V100" i="11" s="1"/>
  <c r="W100" i="11" a="1"/>
  <c r="W100" i="11" s="1"/>
  <c r="O101" i="11" a="1"/>
  <c r="O101" i="11" s="1"/>
  <c r="P101" i="11" a="1"/>
  <c r="P101" i="11" s="1"/>
  <c r="Q101" i="11" a="1"/>
  <c r="Q101" i="11" s="1"/>
  <c r="R101" i="11" a="1"/>
  <c r="R101" i="11" s="1"/>
  <c r="U101" i="11" a="1"/>
  <c r="U101" i="11" s="1"/>
  <c r="V101" i="11" a="1"/>
  <c r="V101" i="11" s="1"/>
  <c r="W101" i="11" a="1"/>
  <c r="W101" i="11" s="1"/>
  <c r="O102" i="11" a="1"/>
  <c r="O102" i="11" s="1"/>
  <c r="P102" i="11" a="1"/>
  <c r="P102" i="11" s="1"/>
  <c r="Q102" i="11" a="1"/>
  <c r="Q102" i="11" s="1"/>
  <c r="R102" i="11" a="1"/>
  <c r="R102" i="11" s="1"/>
  <c r="U102" i="11" a="1"/>
  <c r="U102" i="11" s="1"/>
  <c r="V102" i="11" a="1"/>
  <c r="V102" i="11" s="1"/>
  <c r="W102" i="11" a="1"/>
  <c r="W102" i="11" s="1"/>
  <c r="O103" i="11" a="1"/>
  <c r="O103" i="11" s="1"/>
  <c r="P103" i="11" a="1"/>
  <c r="P103" i="11" s="1"/>
  <c r="Q103" i="11" a="1"/>
  <c r="Q103" i="11" s="1"/>
  <c r="R103" i="11" a="1"/>
  <c r="R103" i="11" s="1"/>
  <c r="U103" i="11" a="1"/>
  <c r="U103" i="11" s="1"/>
  <c r="V103" i="11" a="1"/>
  <c r="V103" i="11" s="1"/>
  <c r="W103" i="11" a="1"/>
  <c r="W103" i="11" s="1"/>
  <c r="O104" i="11" a="1"/>
  <c r="O104" i="11" s="1"/>
  <c r="P104" i="11" a="1"/>
  <c r="P104" i="11" s="1"/>
  <c r="Q104" i="11" a="1"/>
  <c r="Q104" i="11" s="1"/>
  <c r="R104" i="11" a="1"/>
  <c r="R104" i="11" s="1"/>
  <c r="U104" i="11" a="1"/>
  <c r="U104" i="11" s="1"/>
  <c r="V104" i="11" a="1"/>
  <c r="V104" i="11" s="1"/>
  <c r="W104" i="11" a="1"/>
  <c r="W104" i="11" s="1"/>
  <c r="O105" i="11" a="1"/>
  <c r="O105" i="11" s="1"/>
  <c r="P105" i="11" a="1"/>
  <c r="P105" i="11" s="1"/>
  <c r="Q105" i="11" a="1"/>
  <c r="Q105" i="11" s="1"/>
  <c r="R105" i="11" a="1"/>
  <c r="R105" i="11" s="1"/>
  <c r="U105" i="11" a="1"/>
  <c r="U105" i="11" s="1"/>
  <c r="V105" i="11" a="1"/>
  <c r="V105" i="11" s="1"/>
  <c r="W105" i="11" a="1"/>
  <c r="W105" i="11" s="1"/>
  <c r="O106" i="11" a="1"/>
  <c r="O106" i="11" s="1"/>
  <c r="P106" i="11" a="1"/>
  <c r="P106" i="11" s="1"/>
  <c r="Q106" i="11" a="1"/>
  <c r="Q106" i="11" s="1"/>
  <c r="R106" i="11" a="1"/>
  <c r="R106" i="11" s="1"/>
  <c r="U106" i="11" a="1"/>
  <c r="U106" i="11" s="1"/>
  <c r="V106" i="11" a="1"/>
  <c r="V106" i="11" s="1"/>
  <c r="W106" i="11" a="1"/>
  <c r="W106" i="11" s="1"/>
  <c r="O107" i="11" a="1"/>
  <c r="O107" i="11" s="1"/>
  <c r="P107" i="11" a="1"/>
  <c r="P107" i="11" s="1"/>
  <c r="Q107" i="11" a="1"/>
  <c r="Q107" i="11" s="1"/>
  <c r="R107" i="11" a="1"/>
  <c r="R107" i="11" s="1"/>
  <c r="U107" i="11" a="1"/>
  <c r="U107" i="11" s="1"/>
  <c r="V107" i="11" a="1"/>
  <c r="V107" i="11" s="1"/>
  <c r="W107" i="11" a="1"/>
  <c r="W107" i="11" s="1"/>
  <c r="O108" i="11" a="1"/>
  <c r="O108" i="11" s="1"/>
  <c r="P108" i="11" a="1"/>
  <c r="P108" i="11" s="1"/>
  <c r="Q108" i="11" a="1"/>
  <c r="Q108" i="11" s="1"/>
  <c r="R108" i="11" a="1"/>
  <c r="R108" i="11" s="1"/>
  <c r="U108" i="11" a="1"/>
  <c r="U108" i="11" s="1"/>
  <c r="V108" i="11" a="1"/>
  <c r="V108" i="11" s="1"/>
  <c r="W108" i="11" a="1"/>
  <c r="W108" i="11" s="1"/>
  <c r="O109" i="11" a="1"/>
  <c r="O109" i="11" s="1"/>
  <c r="P109" i="11" a="1"/>
  <c r="P109" i="11" s="1"/>
  <c r="Q109" i="11" a="1"/>
  <c r="Q109" i="11" s="1"/>
  <c r="R109" i="11" a="1"/>
  <c r="R109" i="11" s="1"/>
  <c r="U109" i="11" a="1"/>
  <c r="U109" i="11" s="1"/>
  <c r="V109" i="11" a="1"/>
  <c r="V109" i="11" s="1"/>
  <c r="W109" i="11" a="1"/>
  <c r="W109" i="11" s="1"/>
  <c r="O110" i="11" a="1"/>
  <c r="O110" i="11" s="1"/>
  <c r="P110" i="11" a="1"/>
  <c r="P110" i="11" s="1"/>
  <c r="Q110" i="11" a="1"/>
  <c r="Q110" i="11" s="1"/>
  <c r="R110" i="11" a="1"/>
  <c r="R110" i="11" s="1"/>
  <c r="U110" i="11" a="1"/>
  <c r="U110" i="11" s="1"/>
  <c r="V110" i="11" a="1"/>
  <c r="V110" i="11" s="1"/>
  <c r="W110" i="11" a="1"/>
  <c r="W110" i="11" s="1"/>
  <c r="O111" i="11" a="1"/>
  <c r="O111" i="11" s="1"/>
  <c r="P111" i="11" a="1"/>
  <c r="P111" i="11" s="1"/>
  <c r="Q111" i="11" a="1"/>
  <c r="Q111" i="11" s="1"/>
  <c r="R111" i="11" a="1"/>
  <c r="R111" i="11" s="1"/>
  <c r="U111" i="11" a="1"/>
  <c r="U111" i="11" s="1"/>
  <c r="V111" i="11" a="1"/>
  <c r="V111" i="11" s="1"/>
  <c r="W111" i="11" a="1"/>
  <c r="W111" i="11" s="1"/>
  <c r="O112" i="11" a="1"/>
  <c r="O112" i="11" s="1"/>
  <c r="P112" i="11" a="1"/>
  <c r="P112" i="11" s="1"/>
  <c r="Q112" i="11" a="1"/>
  <c r="Q112" i="11" s="1"/>
  <c r="R112" i="11" a="1"/>
  <c r="R112" i="11" s="1"/>
  <c r="U112" i="11" a="1"/>
  <c r="U112" i="11" s="1"/>
  <c r="V112" i="11" a="1"/>
  <c r="V112" i="11" s="1"/>
  <c r="W112" i="11" a="1"/>
  <c r="W112" i="11" s="1"/>
  <c r="O113" i="11" a="1"/>
  <c r="O113" i="11" s="1"/>
  <c r="P113" i="11" a="1"/>
  <c r="P113" i="11" s="1"/>
  <c r="Q113" i="11" a="1"/>
  <c r="Q113" i="11" s="1"/>
  <c r="R113" i="11" a="1"/>
  <c r="R113" i="11" s="1"/>
  <c r="U113" i="11" a="1"/>
  <c r="U113" i="11" s="1"/>
  <c r="V113" i="11" a="1"/>
  <c r="V113" i="11" s="1"/>
  <c r="W113" i="11" a="1"/>
  <c r="W113" i="11" s="1"/>
  <c r="O114" i="11" a="1"/>
  <c r="O114" i="11" s="1"/>
  <c r="P114" i="11" a="1"/>
  <c r="P114" i="11" s="1"/>
  <c r="Q114" i="11" a="1"/>
  <c r="Q114" i="11" s="1"/>
  <c r="R114" i="11" a="1"/>
  <c r="R114" i="11" s="1"/>
  <c r="U114" i="11" a="1"/>
  <c r="U114" i="11" s="1"/>
  <c r="V114" i="11" a="1"/>
  <c r="V114" i="11" s="1"/>
  <c r="W114" i="11" a="1"/>
  <c r="W114" i="11" s="1"/>
  <c r="O115" i="11" a="1"/>
  <c r="O115" i="11" s="1"/>
  <c r="P115" i="11" a="1"/>
  <c r="P115" i="11" s="1"/>
  <c r="Q115" i="11" a="1"/>
  <c r="Q115" i="11" s="1"/>
  <c r="R115" i="11" a="1"/>
  <c r="R115" i="11" s="1"/>
  <c r="U115" i="11" a="1"/>
  <c r="U115" i="11" s="1"/>
  <c r="V115" i="11" a="1"/>
  <c r="V115" i="11" s="1"/>
  <c r="W115" i="11" a="1"/>
  <c r="W115" i="11" s="1"/>
  <c r="O116" i="11" a="1"/>
  <c r="O116" i="11" s="1"/>
  <c r="P116" i="11" a="1"/>
  <c r="P116" i="11" s="1"/>
  <c r="Q116" i="11" a="1"/>
  <c r="Q116" i="11" s="1"/>
  <c r="R116" i="11" a="1"/>
  <c r="R116" i="11" s="1"/>
  <c r="U116" i="11" a="1"/>
  <c r="U116" i="11" s="1"/>
  <c r="V116" i="11" a="1"/>
  <c r="V116" i="11" s="1"/>
  <c r="W116" i="11" a="1"/>
  <c r="W116" i="11" s="1"/>
  <c r="O117" i="11" a="1"/>
  <c r="O117" i="11" s="1"/>
  <c r="P117" i="11" a="1"/>
  <c r="P117" i="11" s="1"/>
  <c r="Q117" i="11" a="1"/>
  <c r="Q117" i="11" s="1"/>
  <c r="R117" i="11" a="1"/>
  <c r="R117" i="11" s="1"/>
  <c r="U117" i="11" a="1"/>
  <c r="U117" i="11" s="1"/>
  <c r="V117" i="11" a="1"/>
  <c r="V117" i="11" s="1"/>
  <c r="W117" i="11" a="1"/>
  <c r="W117" i="11" s="1"/>
  <c r="O118" i="11" a="1"/>
  <c r="O118" i="11" s="1"/>
  <c r="P118" i="11" a="1"/>
  <c r="P118" i="11" s="1"/>
  <c r="Q118" i="11" a="1"/>
  <c r="Q118" i="11" s="1"/>
  <c r="R118" i="11" a="1"/>
  <c r="R118" i="11" s="1"/>
  <c r="U118" i="11" a="1"/>
  <c r="U118" i="11" s="1"/>
  <c r="V118" i="11" a="1"/>
  <c r="V118" i="11" s="1"/>
  <c r="W118" i="11" a="1"/>
  <c r="W118" i="11" s="1"/>
  <c r="O119" i="11" a="1"/>
  <c r="O119" i="11" s="1"/>
  <c r="P119" i="11" a="1"/>
  <c r="P119" i="11" s="1"/>
  <c r="Q119" i="11" a="1"/>
  <c r="Q119" i="11" s="1"/>
  <c r="R119" i="11" a="1"/>
  <c r="R119" i="11" s="1"/>
  <c r="U119" i="11" a="1"/>
  <c r="U119" i="11" s="1"/>
  <c r="V119" i="11" a="1"/>
  <c r="V119" i="11" s="1"/>
  <c r="W119" i="11" a="1"/>
  <c r="W119" i="11" s="1"/>
  <c r="O120" i="11" a="1"/>
  <c r="O120" i="11" s="1"/>
  <c r="P120" i="11" a="1"/>
  <c r="P120" i="11" s="1"/>
  <c r="Q120" i="11" a="1"/>
  <c r="Q120" i="11" s="1"/>
  <c r="R120" i="11" a="1"/>
  <c r="R120" i="11" s="1"/>
  <c r="U120" i="11" a="1"/>
  <c r="U120" i="11" s="1"/>
  <c r="V120" i="11" a="1"/>
  <c r="V120" i="11" s="1"/>
  <c r="W120" i="11" a="1"/>
  <c r="W120" i="11" s="1"/>
  <c r="O121" i="11" a="1"/>
  <c r="O121" i="11" s="1"/>
  <c r="P121" i="11" a="1"/>
  <c r="P121" i="11" s="1"/>
  <c r="Q121" i="11" a="1"/>
  <c r="Q121" i="11" s="1"/>
  <c r="R121" i="11" a="1"/>
  <c r="R121" i="11" s="1"/>
  <c r="U121" i="11" a="1"/>
  <c r="U121" i="11" s="1"/>
  <c r="V121" i="11" a="1"/>
  <c r="V121" i="11" s="1"/>
  <c r="W121" i="11" a="1"/>
  <c r="W121" i="11" s="1"/>
  <c r="O122" i="11" a="1"/>
  <c r="O122" i="11" s="1"/>
  <c r="P122" i="11" a="1"/>
  <c r="P122" i="11" s="1"/>
  <c r="Q122" i="11" a="1"/>
  <c r="Q122" i="11" s="1"/>
  <c r="R122" i="11" a="1"/>
  <c r="R122" i="11" s="1"/>
  <c r="U122" i="11" a="1"/>
  <c r="U122" i="11" s="1"/>
  <c r="V122" i="11" a="1"/>
  <c r="V122" i="11" s="1"/>
  <c r="W122" i="11" a="1"/>
  <c r="W122" i="11" s="1"/>
  <c r="O123" i="11" a="1"/>
  <c r="O123" i="11" s="1"/>
  <c r="P123" i="11" a="1"/>
  <c r="P123" i="11" s="1"/>
  <c r="Q123" i="11" a="1"/>
  <c r="Q123" i="11" s="1"/>
  <c r="R123" i="11" a="1"/>
  <c r="R123" i="11" s="1"/>
  <c r="U123" i="11" a="1"/>
  <c r="U123" i="11" s="1"/>
  <c r="V123" i="11" a="1"/>
  <c r="V123" i="11" s="1"/>
  <c r="W123" i="11" a="1"/>
  <c r="W123" i="11" s="1"/>
  <c r="O124" i="11" a="1"/>
  <c r="O124" i="11" s="1"/>
  <c r="P124" i="11" a="1"/>
  <c r="P124" i="11" s="1"/>
  <c r="Q124" i="11" a="1"/>
  <c r="Q124" i="11" s="1"/>
  <c r="R124" i="11" a="1"/>
  <c r="R124" i="11" s="1"/>
  <c r="U124" i="11" a="1"/>
  <c r="U124" i="11" s="1"/>
  <c r="V124" i="11" a="1"/>
  <c r="V124" i="11" s="1"/>
  <c r="W124" i="11" a="1"/>
  <c r="W124" i="11" s="1"/>
  <c r="O125" i="11" a="1"/>
  <c r="O125" i="11" s="1"/>
  <c r="P125" i="11" a="1"/>
  <c r="P125" i="11" s="1"/>
  <c r="Q125" i="11" a="1"/>
  <c r="Q125" i="11" s="1"/>
  <c r="R125" i="11" a="1"/>
  <c r="R125" i="11" s="1"/>
  <c r="U125" i="11" a="1"/>
  <c r="U125" i="11" s="1"/>
  <c r="V125" i="11" a="1"/>
  <c r="V125" i="11" s="1"/>
  <c r="W125" i="11" a="1"/>
  <c r="W125" i="11" s="1"/>
  <c r="O126" i="11" a="1"/>
  <c r="O126" i="11" s="1"/>
  <c r="P126" i="11" a="1"/>
  <c r="P126" i="11" s="1"/>
  <c r="Q126" i="11" a="1"/>
  <c r="Q126" i="11" s="1"/>
  <c r="R126" i="11" a="1"/>
  <c r="R126" i="11" s="1"/>
  <c r="U126" i="11" a="1"/>
  <c r="U126" i="11" s="1"/>
  <c r="V126" i="11" a="1"/>
  <c r="V126" i="11" s="1"/>
  <c r="W126" i="11" a="1"/>
  <c r="W126" i="11" s="1"/>
  <c r="O127" i="11" a="1"/>
  <c r="O127" i="11" s="1"/>
  <c r="P127" i="11" a="1"/>
  <c r="P127" i="11" s="1"/>
  <c r="Q127" i="11" a="1"/>
  <c r="Q127" i="11" s="1"/>
  <c r="R127" i="11" a="1"/>
  <c r="R127" i="11" s="1"/>
  <c r="U127" i="11" a="1"/>
  <c r="U127" i="11" s="1"/>
  <c r="V127" i="11" a="1"/>
  <c r="V127" i="11" s="1"/>
  <c r="W127" i="11" a="1"/>
  <c r="W127" i="11" s="1"/>
  <c r="O128" i="11" a="1"/>
  <c r="O128" i="11" s="1"/>
  <c r="P128" i="11" a="1"/>
  <c r="P128" i="11" s="1"/>
  <c r="Q128" i="11" a="1"/>
  <c r="Q128" i="11" s="1"/>
  <c r="R128" i="11" a="1"/>
  <c r="R128" i="11" s="1"/>
  <c r="U128" i="11" a="1"/>
  <c r="U128" i="11" s="1"/>
  <c r="V128" i="11" a="1"/>
  <c r="V128" i="11" s="1"/>
  <c r="W128" i="11" a="1"/>
  <c r="W128" i="11" s="1"/>
  <c r="O129" i="11" a="1"/>
  <c r="O129" i="11" s="1"/>
  <c r="P129" i="11" a="1"/>
  <c r="P129" i="11" s="1"/>
  <c r="Q129" i="11" a="1"/>
  <c r="Q129" i="11" s="1"/>
  <c r="R129" i="11" a="1"/>
  <c r="R129" i="11" s="1"/>
  <c r="U129" i="11" a="1"/>
  <c r="U129" i="11" s="1"/>
  <c r="V129" i="11" a="1"/>
  <c r="V129" i="11" s="1"/>
  <c r="W129" i="11" a="1"/>
  <c r="W129" i="11" s="1"/>
  <c r="O130" i="11" a="1"/>
  <c r="O130" i="11" s="1"/>
  <c r="P130" i="11" a="1"/>
  <c r="P130" i="11" s="1"/>
  <c r="Q130" i="11" a="1"/>
  <c r="Q130" i="11" s="1"/>
  <c r="R130" i="11" a="1"/>
  <c r="R130" i="11" s="1"/>
  <c r="U130" i="11" a="1"/>
  <c r="U130" i="11" s="1"/>
  <c r="V130" i="11" a="1"/>
  <c r="V130" i="11" s="1"/>
  <c r="W130" i="11" a="1"/>
  <c r="W130" i="11" s="1"/>
  <c r="O131" i="11" a="1"/>
  <c r="O131" i="11" s="1"/>
  <c r="P131" i="11" a="1"/>
  <c r="P131" i="11" s="1"/>
  <c r="Q131" i="11" a="1"/>
  <c r="Q131" i="11" s="1"/>
  <c r="R131" i="11" a="1"/>
  <c r="R131" i="11" s="1"/>
  <c r="U131" i="11" a="1"/>
  <c r="U131" i="11" s="1"/>
  <c r="V131" i="11" a="1"/>
  <c r="V131" i="11" s="1"/>
  <c r="W131" i="11" a="1"/>
  <c r="W131" i="11" s="1"/>
  <c r="O132" i="11" a="1"/>
  <c r="O132" i="11" s="1"/>
  <c r="P132" i="11" a="1"/>
  <c r="P132" i="11" s="1"/>
  <c r="Q132" i="11" a="1"/>
  <c r="Q132" i="11" s="1"/>
  <c r="R132" i="11" a="1"/>
  <c r="R132" i="11" s="1"/>
  <c r="U132" i="11" a="1"/>
  <c r="U132" i="11" s="1"/>
  <c r="V132" i="11" a="1"/>
  <c r="V132" i="11" s="1"/>
  <c r="W132" i="11" a="1"/>
  <c r="W132" i="11" s="1"/>
  <c r="O133" i="11" a="1"/>
  <c r="O133" i="11" s="1"/>
  <c r="P133" i="11" a="1"/>
  <c r="P133" i="11" s="1"/>
  <c r="Q133" i="11" a="1"/>
  <c r="Q133" i="11" s="1"/>
  <c r="R133" i="11" a="1"/>
  <c r="R133" i="11" s="1"/>
  <c r="U133" i="11" a="1"/>
  <c r="U133" i="11" s="1"/>
  <c r="V133" i="11" a="1"/>
  <c r="V133" i="11" s="1"/>
  <c r="W133" i="11" a="1"/>
  <c r="W133" i="11" s="1"/>
  <c r="O134" i="11" a="1"/>
  <c r="O134" i="11" s="1"/>
  <c r="P134" i="11" a="1"/>
  <c r="P134" i="11" s="1"/>
  <c r="Q134" i="11" a="1"/>
  <c r="Q134" i="11" s="1"/>
  <c r="R134" i="11" a="1"/>
  <c r="R134" i="11" s="1"/>
  <c r="U134" i="11" a="1"/>
  <c r="U134" i="11" s="1"/>
  <c r="V134" i="11" a="1"/>
  <c r="V134" i="11" s="1"/>
  <c r="W134" i="11" a="1"/>
  <c r="W134" i="11" s="1"/>
  <c r="O135" i="11" a="1"/>
  <c r="O135" i="11" s="1"/>
  <c r="P135" i="11" a="1"/>
  <c r="P135" i="11" s="1"/>
  <c r="Q135" i="11" a="1"/>
  <c r="Q135" i="11" s="1"/>
  <c r="R135" i="11" a="1"/>
  <c r="R135" i="11" s="1"/>
  <c r="U135" i="11" a="1"/>
  <c r="U135" i="11" s="1"/>
  <c r="V135" i="11" a="1"/>
  <c r="V135" i="11" s="1"/>
  <c r="W135" i="11" a="1"/>
  <c r="W135" i="11" s="1"/>
  <c r="O136" i="11" a="1"/>
  <c r="O136" i="11" s="1"/>
  <c r="P136" i="11" a="1"/>
  <c r="P136" i="11" s="1"/>
  <c r="Q136" i="11" a="1"/>
  <c r="Q136" i="11" s="1"/>
  <c r="R136" i="11" a="1"/>
  <c r="R136" i="11" s="1"/>
  <c r="U136" i="11" a="1"/>
  <c r="U136" i="11" s="1"/>
  <c r="V136" i="11" a="1"/>
  <c r="V136" i="11" s="1"/>
  <c r="W136" i="11" a="1"/>
  <c r="W136" i="11" s="1"/>
  <c r="O137" i="11" a="1"/>
  <c r="O137" i="11" s="1"/>
  <c r="P137" i="11" a="1"/>
  <c r="P137" i="11" s="1"/>
  <c r="Q137" i="11" a="1"/>
  <c r="Q137" i="11" s="1"/>
  <c r="R137" i="11" a="1"/>
  <c r="R137" i="11" s="1"/>
  <c r="U137" i="11" a="1"/>
  <c r="U137" i="11" s="1"/>
  <c r="V137" i="11" a="1"/>
  <c r="V137" i="11" s="1"/>
  <c r="W137" i="11" a="1"/>
  <c r="W137" i="11" s="1"/>
  <c r="O138" i="11" a="1"/>
  <c r="O138" i="11" s="1"/>
  <c r="P138" i="11" a="1"/>
  <c r="P138" i="11" s="1"/>
  <c r="Q138" i="11" a="1"/>
  <c r="Q138" i="11" s="1"/>
  <c r="R138" i="11" a="1"/>
  <c r="R138" i="11" s="1"/>
  <c r="U138" i="11" a="1"/>
  <c r="U138" i="11" s="1"/>
  <c r="V138" i="11" a="1"/>
  <c r="V138" i="11" s="1"/>
  <c r="W138" i="11" a="1"/>
  <c r="W138" i="11" s="1"/>
  <c r="O139" i="11" a="1"/>
  <c r="O139" i="11" s="1"/>
  <c r="P139" i="11" a="1"/>
  <c r="P139" i="11" s="1"/>
  <c r="Q139" i="11" a="1"/>
  <c r="Q139" i="11" s="1"/>
  <c r="R139" i="11" a="1"/>
  <c r="R139" i="11" s="1"/>
  <c r="U139" i="11" a="1"/>
  <c r="U139" i="11" s="1"/>
  <c r="V139" i="11" a="1"/>
  <c r="V139" i="11" s="1"/>
  <c r="W139" i="11" a="1"/>
  <c r="W139" i="11" s="1"/>
  <c r="O140" i="11" a="1"/>
  <c r="O140" i="11" s="1"/>
  <c r="P140" i="11" a="1"/>
  <c r="P140" i="11" s="1"/>
  <c r="Q140" i="11" a="1"/>
  <c r="Q140" i="11" s="1"/>
  <c r="R140" i="11" a="1"/>
  <c r="R140" i="11" s="1"/>
  <c r="U140" i="11" a="1"/>
  <c r="U140" i="11" s="1"/>
  <c r="V140" i="11" a="1"/>
  <c r="V140" i="11" s="1"/>
  <c r="W140" i="11" a="1"/>
  <c r="W140" i="11" s="1"/>
  <c r="O141" i="11" a="1"/>
  <c r="O141" i="11" s="1"/>
  <c r="P141" i="11" a="1"/>
  <c r="P141" i="11" s="1"/>
  <c r="Q141" i="11" a="1"/>
  <c r="Q141" i="11" s="1"/>
  <c r="R141" i="11" a="1"/>
  <c r="R141" i="11" s="1"/>
  <c r="U141" i="11" a="1"/>
  <c r="U141" i="11" s="1"/>
  <c r="V141" i="11" a="1"/>
  <c r="V141" i="11" s="1"/>
  <c r="W141" i="11" a="1"/>
  <c r="W141" i="11" s="1"/>
  <c r="O142" i="11" a="1"/>
  <c r="O142" i="11" s="1"/>
  <c r="P142" i="11" a="1"/>
  <c r="P142" i="11" s="1"/>
  <c r="Q142" i="11" a="1"/>
  <c r="Q142" i="11" s="1"/>
  <c r="R142" i="11" a="1"/>
  <c r="R142" i="11" s="1"/>
  <c r="U142" i="11" a="1"/>
  <c r="U142" i="11" s="1"/>
  <c r="V142" i="11" a="1"/>
  <c r="V142" i="11" s="1"/>
  <c r="W142" i="11" a="1"/>
  <c r="W142" i="11" s="1"/>
  <c r="O143" i="11" a="1"/>
  <c r="O143" i="11" s="1"/>
  <c r="P143" i="11" a="1"/>
  <c r="P143" i="11" s="1"/>
  <c r="Q143" i="11" a="1"/>
  <c r="Q143" i="11" s="1"/>
  <c r="R143" i="11" a="1"/>
  <c r="R143" i="11" s="1"/>
  <c r="U143" i="11" a="1"/>
  <c r="U143" i="11" s="1"/>
  <c r="V143" i="11" a="1"/>
  <c r="V143" i="11" s="1"/>
  <c r="W143" i="11" a="1"/>
  <c r="W143" i="11" s="1"/>
  <c r="O144" i="11" a="1"/>
  <c r="O144" i="11" s="1"/>
  <c r="P144" i="11" a="1"/>
  <c r="P144" i="11" s="1"/>
  <c r="Q144" i="11" a="1"/>
  <c r="Q144" i="11" s="1"/>
  <c r="R144" i="11" a="1"/>
  <c r="R144" i="11" s="1"/>
  <c r="U144" i="11" a="1"/>
  <c r="U144" i="11" s="1"/>
  <c r="V144" i="11" a="1"/>
  <c r="V144" i="11" s="1"/>
  <c r="W144" i="11" a="1"/>
  <c r="W144" i="11" s="1"/>
  <c r="O145" i="11" a="1"/>
  <c r="O145" i="11" s="1"/>
  <c r="P145" i="11" a="1"/>
  <c r="P145" i="11" s="1"/>
  <c r="Q145" i="11" a="1"/>
  <c r="Q145" i="11" s="1"/>
  <c r="R145" i="11" a="1"/>
  <c r="R145" i="11" s="1"/>
  <c r="U145" i="11" a="1"/>
  <c r="U145" i="11" s="1"/>
  <c r="V145" i="11" a="1"/>
  <c r="V145" i="11" s="1"/>
  <c r="W145" i="11" a="1"/>
  <c r="W145" i="11" s="1"/>
  <c r="O146" i="11" a="1"/>
  <c r="O146" i="11" s="1"/>
  <c r="P146" i="11" a="1"/>
  <c r="P146" i="11" s="1"/>
  <c r="Q146" i="11" a="1"/>
  <c r="Q146" i="11" s="1"/>
  <c r="R146" i="11" a="1"/>
  <c r="R146" i="11" s="1"/>
  <c r="U146" i="11" a="1"/>
  <c r="U146" i="11" s="1"/>
  <c r="V146" i="11" a="1"/>
  <c r="V146" i="11" s="1"/>
  <c r="W146" i="11" a="1"/>
  <c r="W146" i="11" s="1"/>
  <c r="O147" i="11" a="1"/>
  <c r="O147" i="11" s="1"/>
  <c r="P147" i="11" a="1"/>
  <c r="P147" i="11" s="1"/>
  <c r="Q147" i="11" a="1"/>
  <c r="Q147" i="11" s="1"/>
  <c r="R147" i="11" a="1"/>
  <c r="R147" i="11" s="1"/>
  <c r="U147" i="11" a="1"/>
  <c r="U147" i="11" s="1"/>
  <c r="V147" i="11" a="1"/>
  <c r="V147" i="11" s="1"/>
  <c r="W147" i="11" a="1"/>
  <c r="W147" i="11" s="1"/>
  <c r="O148" i="11" a="1"/>
  <c r="O148" i="11" s="1"/>
  <c r="P148" i="11" a="1"/>
  <c r="P148" i="11" s="1"/>
  <c r="Q148" i="11" a="1"/>
  <c r="Q148" i="11" s="1"/>
  <c r="R148" i="11" a="1"/>
  <c r="R148" i="11" s="1"/>
  <c r="U148" i="11" a="1"/>
  <c r="U148" i="11" s="1"/>
  <c r="V148" i="11" a="1"/>
  <c r="V148" i="11" s="1"/>
  <c r="W148" i="11" a="1"/>
  <c r="W148" i="11" s="1"/>
  <c r="O149" i="11" a="1"/>
  <c r="O149" i="11" s="1"/>
  <c r="P149" i="11" a="1"/>
  <c r="P149" i="11" s="1"/>
  <c r="Q149" i="11" a="1"/>
  <c r="Q149" i="11" s="1"/>
  <c r="R149" i="11" a="1"/>
  <c r="R149" i="11" s="1"/>
  <c r="U149" i="11" a="1"/>
  <c r="U149" i="11" s="1"/>
  <c r="V149" i="11" a="1"/>
  <c r="V149" i="11" s="1"/>
  <c r="W149" i="11" a="1"/>
  <c r="W149" i="11" s="1"/>
  <c r="O150" i="11" a="1"/>
  <c r="O150" i="11" s="1"/>
  <c r="P150" i="11" a="1"/>
  <c r="P150" i="11" s="1"/>
  <c r="Q150" i="11" a="1"/>
  <c r="Q150" i="11" s="1"/>
  <c r="R150" i="11" a="1"/>
  <c r="R150" i="11" s="1"/>
  <c r="U150" i="11" a="1"/>
  <c r="U150" i="11" s="1"/>
  <c r="V150" i="11" a="1"/>
  <c r="V150" i="11" s="1"/>
  <c r="W150" i="11" a="1"/>
  <c r="W150" i="11" s="1"/>
  <c r="O151" i="11" a="1"/>
  <c r="O151" i="11" s="1"/>
  <c r="P151" i="11" a="1"/>
  <c r="P151" i="11" s="1"/>
  <c r="Q151" i="11" a="1"/>
  <c r="Q151" i="11" s="1"/>
  <c r="R151" i="11" a="1"/>
  <c r="R151" i="11" s="1"/>
  <c r="U151" i="11" a="1"/>
  <c r="U151" i="11" s="1"/>
  <c r="V151" i="11" a="1"/>
  <c r="V151" i="11" s="1"/>
  <c r="W151" i="11" a="1"/>
  <c r="W151" i="11" s="1"/>
  <c r="O152" i="11" a="1"/>
  <c r="O152" i="11" s="1"/>
  <c r="P152" i="11" a="1"/>
  <c r="P152" i="11" s="1"/>
  <c r="Q152" i="11" a="1"/>
  <c r="Q152" i="11" s="1"/>
  <c r="R152" i="11" a="1"/>
  <c r="R152" i="11" s="1"/>
  <c r="U152" i="11" a="1"/>
  <c r="U152" i="11" s="1"/>
  <c r="V152" i="11" a="1"/>
  <c r="V152" i="11" s="1"/>
  <c r="W152" i="11" a="1"/>
  <c r="W152" i="11" s="1"/>
  <c r="O153" i="11" a="1"/>
  <c r="O153" i="11" s="1"/>
  <c r="P153" i="11" a="1"/>
  <c r="P153" i="11" s="1"/>
  <c r="Q153" i="11" a="1"/>
  <c r="Q153" i="11" s="1"/>
  <c r="R153" i="11" a="1"/>
  <c r="R153" i="11" s="1"/>
  <c r="U153" i="11" a="1"/>
  <c r="U153" i="11" s="1"/>
  <c r="V153" i="11" a="1"/>
  <c r="V153" i="11" s="1"/>
  <c r="W153" i="11" a="1"/>
  <c r="W153" i="11" s="1"/>
  <c r="O154" i="11" a="1"/>
  <c r="O154" i="11" s="1"/>
  <c r="P154" i="11" a="1"/>
  <c r="P154" i="11" s="1"/>
  <c r="Q154" i="11" a="1"/>
  <c r="Q154" i="11" s="1"/>
  <c r="R154" i="11" a="1"/>
  <c r="R154" i="11" s="1"/>
  <c r="U154" i="11" a="1"/>
  <c r="U154" i="11" s="1"/>
  <c r="V154" i="11" a="1"/>
  <c r="V154" i="11" s="1"/>
  <c r="W154" i="11" a="1"/>
  <c r="W154" i="11" s="1"/>
  <c r="O155" i="11" a="1"/>
  <c r="O155" i="11" s="1"/>
  <c r="P155" i="11" a="1"/>
  <c r="P155" i="11" s="1"/>
  <c r="Q155" i="11" a="1"/>
  <c r="Q155" i="11" s="1"/>
  <c r="R155" i="11" a="1"/>
  <c r="R155" i="11" s="1"/>
  <c r="U155" i="11" a="1"/>
  <c r="U155" i="11" s="1"/>
  <c r="V155" i="11" a="1"/>
  <c r="V155" i="11" s="1"/>
  <c r="W155" i="11" a="1"/>
  <c r="W155" i="11" s="1"/>
  <c r="O156" i="11" a="1"/>
  <c r="O156" i="11" s="1"/>
  <c r="P156" i="11" a="1"/>
  <c r="P156" i="11" s="1"/>
  <c r="Q156" i="11" a="1"/>
  <c r="Q156" i="11" s="1"/>
  <c r="R156" i="11" a="1"/>
  <c r="R156" i="11" s="1"/>
  <c r="U156" i="11" a="1"/>
  <c r="U156" i="11" s="1"/>
  <c r="V156" i="11" a="1"/>
  <c r="V156" i="11" s="1"/>
  <c r="W156" i="11" a="1"/>
  <c r="W156" i="11" s="1"/>
  <c r="O157" i="11" a="1"/>
  <c r="O157" i="11" s="1"/>
  <c r="P157" i="11" a="1"/>
  <c r="P157" i="11" s="1"/>
  <c r="Q157" i="11" a="1"/>
  <c r="Q157" i="11" s="1"/>
  <c r="R157" i="11" a="1"/>
  <c r="R157" i="11" s="1"/>
  <c r="U157" i="11" a="1"/>
  <c r="U157" i="11" s="1"/>
  <c r="V157" i="11" a="1"/>
  <c r="V157" i="11" s="1"/>
  <c r="W157" i="11" a="1"/>
  <c r="W157" i="11" s="1"/>
  <c r="O158" i="11" a="1"/>
  <c r="O158" i="11" s="1"/>
  <c r="P158" i="11" a="1"/>
  <c r="P158" i="11" s="1"/>
  <c r="Q158" i="11" a="1"/>
  <c r="Q158" i="11" s="1"/>
  <c r="R158" i="11" a="1"/>
  <c r="R158" i="11" s="1"/>
  <c r="U158" i="11" a="1"/>
  <c r="U158" i="11" s="1"/>
  <c r="V158" i="11" a="1"/>
  <c r="V158" i="11" s="1"/>
  <c r="W158" i="11" a="1"/>
  <c r="W158" i="11" s="1"/>
  <c r="O159" i="11" a="1"/>
  <c r="O159" i="11" s="1"/>
  <c r="P159" i="11" a="1"/>
  <c r="P159" i="11" s="1"/>
  <c r="Q159" i="11" a="1"/>
  <c r="Q159" i="11" s="1"/>
  <c r="R159" i="11" a="1"/>
  <c r="R159" i="11" s="1"/>
  <c r="U159" i="11" a="1"/>
  <c r="U159" i="11" s="1"/>
  <c r="V159" i="11" a="1"/>
  <c r="V159" i="11" s="1"/>
  <c r="W159" i="11" a="1"/>
  <c r="W159" i="11" s="1"/>
  <c r="O160" i="11" a="1"/>
  <c r="O160" i="11" s="1"/>
  <c r="P160" i="11" a="1"/>
  <c r="P160" i="11" s="1"/>
  <c r="Q160" i="11" a="1"/>
  <c r="Q160" i="11" s="1"/>
  <c r="R160" i="11" a="1"/>
  <c r="R160" i="11" s="1"/>
  <c r="U160" i="11" a="1"/>
  <c r="U160" i="11" s="1"/>
  <c r="V160" i="11" a="1"/>
  <c r="V160" i="11" s="1"/>
  <c r="W160" i="11" a="1"/>
  <c r="W160" i="11" s="1"/>
  <c r="O161" i="11" a="1"/>
  <c r="O161" i="11" s="1"/>
  <c r="P161" i="11" a="1"/>
  <c r="P161" i="11" s="1"/>
  <c r="Q161" i="11" a="1"/>
  <c r="Q161" i="11" s="1"/>
  <c r="R161" i="11" a="1"/>
  <c r="R161" i="11" s="1"/>
  <c r="U161" i="11" a="1"/>
  <c r="U161" i="11" s="1"/>
  <c r="V161" i="11" a="1"/>
  <c r="V161" i="11" s="1"/>
  <c r="W161" i="11" a="1"/>
  <c r="W161" i="11" s="1"/>
  <c r="O162" i="11" a="1"/>
  <c r="O162" i="11" s="1"/>
  <c r="P162" i="11" a="1"/>
  <c r="P162" i="11" s="1"/>
  <c r="Q162" i="11" a="1"/>
  <c r="Q162" i="11" s="1"/>
  <c r="R162" i="11" a="1"/>
  <c r="R162" i="11" s="1"/>
  <c r="U162" i="11" a="1"/>
  <c r="U162" i="11" s="1"/>
  <c r="V162" i="11" a="1"/>
  <c r="V162" i="11" s="1"/>
  <c r="W162" i="11" a="1"/>
  <c r="W162" i="11" s="1"/>
  <c r="O163" i="11" a="1"/>
  <c r="O163" i="11" s="1"/>
  <c r="P163" i="11" a="1"/>
  <c r="P163" i="11" s="1"/>
  <c r="Q163" i="11" a="1"/>
  <c r="Q163" i="11" s="1"/>
  <c r="R163" i="11" a="1"/>
  <c r="R163" i="11" s="1"/>
  <c r="U163" i="11" a="1"/>
  <c r="U163" i="11" s="1"/>
  <c r="V163" i="11" a="1"/>
  <c r="V163" i="11" s="1"/>
  <c r="W163" i="11" a="1"/>
  <c r="W163" i="11" s="1"/>
  <c r="O164" i="11" a="1"/>
  <c r="O164" i="11" s="1"/>
  <c r="P164" i="11" a="1"/>
  <c r="P164" i="11" s="1"/>
  <c r="Q164" i="11" a="1"/>
  <c r="Q164" i="11" s="1"/>
  <c r="R164" i="11" a="1"/>
  <c r="R164" i="11" s="1"/>
  <c r="U164" i="11" a="1"/>
  <c r="U164" i="11" s="1"/>
  <c r="V164" i="11" a="1"/>
  <c r="V164" i="11" s="1"/>
  <c r="W164" i="11" a="1"/>
  <c r="W164" i="11" s="1"/>
  <c r="O165" i="11" a="1"/>
  <c r="O165" i="11" s="1"/>
  <c r="P165" i="11" a="1"/>
  <c r="P165" i="11" s="1"/>
  <c r="Q165" i="11" a="1"/>
  <c r="Q165" i="11" s="1"/>
  <c r="R165" i="11" a="1"/>
  <c r="R165" i="11" s="1"/>
  <c r="U165" i="11" a="1"/>
  <c r="U165" i="11" s="1"/>
  <c r="V165" i="11" a="1"/>
  <c r="V165" i="11" s="1"/>
  <c r="W165" i="11" a="1"/>
  <c r="W165" i="11" s="1"/>
  <c r="O166" i="11" a="1"/>
  <c r="O166" i="11" s="1"/>
  <c r="P166" i="11" a="1"/>
  <c r="P166" i="11" s="1"/>
  <c r="Q166" i="11" a="1"/>
  <c r="Q166" i="11" s="1"/>
  <c r="R166" i="11" a="1"/>
  <c r="R166" i="11" s="1"/>
  <c r="U166" i="11" a="1"/>
  <c r="U166" i="11" s="1"/>
  <c r="V166" i="11" a="1"/>
  <c r="V166" i="11" s="1"/>
  <c r="W166" i="11" a="1"/>
  <c r="W166" i="11" s="1"/>
  <c r="O167" i="11" a="1"/>
  <c r="O167" i="11" s="1"/>
  <c r="P167" i="11" a="1"/>
  <c r="P167" i="11" s="1"/>
  <c r="Q167" i="11" a="1"/>
  <c r="Q167" i="11" s="1"/>
  <c r="R167" i="11" a="1"/>
  <c r="R167" i="11" s="1"/>
  <c r="U167" i="11" a="1"/>
  <c r="U167" i="11" s="1"/>
  <c r="V167" i="11" a="1"/>
  <c r="V167" i="11" s="1"/>
  <c r="W167" i="11" a="1"/>
  <c r="W167" i="11" s="1"/>
  <c r="O168" i="11" a="1"/>
  <c r="O168" i="11" s="1"/>
  <c r="P168" i="11" a="1"/>
  <c r="P168" i="11" s="1"/>
  <c r="Q168" i="11" a="1"/>
  <c r="Q168" i="11" s="1"/>
  <c r="R168" i="11" a="1"/>
  <c r="R168" i="11" s="1"/>
  <c r="U168" i="11" a="1"/>
  <c r="U168" i="11" s="1"/>
  <c r="V168" i="11" a="1"/>
  <c r="V168" i="11" s="1"/>
  <c r="W168" i="11" a="1"/>
  <c r="W168" i="11" s="1"/>
  <c r="O169" i="11" a="1"/>
  <c r="O169" i="11" s="1"/>
  <c r="P169" i="11" a="1"/>
  <c r="P169" i="11" s="1"/>
  <c r="Q169" i="11" a="1"/>
  <c r="Q169" i="11" s="1"/>
  <c r="R169" i="11" a="1"/>
  <c r="R169" i="11" s="1"/>
  <c r="U169" i="11" a="1"/>
  <c r="U169" i="11" s="1"/>
  <c r="V169" i="11" a="1"/>
  <c r="V169" i="11" s="1"/>
  <c r="W169" i="11" a="1"/>
  <c r="W169" i="11" s="1"/>
  <c r="O170" i="11" a="1"/>
  <c r="O170" i="11" s="1"/>
  <c r="P170" i="11" a="1"/>
  <c r="P170" i="11" s="1"/>
  <c r="Q170" i="11" a="1"/>
  <c r="Q170" i="11" s="1"/>
  <c r="R170" i="11" a="1"/>
  <c r="R170" i="11" s="1"/>
  <c r="U170" i="11" a="1"/>
  <c r="U170" i="11" s="1"/>
  <c r="V170" i="11" a="1"/>
  <c r="V170" i="11" s="1"/>
  <c r="W170" i="11" a="1"/>
  <c r="W170" i="11" s="1"/>
  <c r="O171" i="11" a="1"/>
  <c r="O171" i="11" s="1"/>
  <c r="P171" i="11" a="1"/>
  <c r="P171" i="11" s="1"/>
  <c r="Q171" i="11" a="1"/>
  <c r="Q171" i="11" s="1"/>
  <c r="R171" i="11" a="1"/>
  <c r="R171" i="11" s="1"/>
  <c r="U171" i="11" a="1"/>
  <c r="U171" i="11" s="1"/>
  <c r="V171" i="11" a="1"/>
  <c r="V171" i="11" s="1"/>
  <c r="W171" i="11" a="1"/>
  <c r="W171" i="11" s="1"/>
  <c r="O172" i="11" a="1"/>
  <c r="O172" i="11" s="1"/>
  <c r="P172" i="11" a="1"/>
  <c r="P172" i="11" s="1"/>
  <c r="Q172" i="11" a="1"/>
  <c r="Q172" i="11" s="1"/>
  <c r="R172" i="11" a="1"/>
  <c r="R172" i="11" s="1"/>
  <c r="U172" i="11" a="1"/>
  <c r="U172" i="11" s="1"/>
  <c r="V172" i="11" a="1"/>
  <c r="V172" i="11" s="1"/>
  <c r="W172" i="11" a="1"/>
  <c r="W172" i="11" s="1"/>
  <c r="O173" i="11" a="1"/>
  <c r="O173" i="11" s="1"/>
  <c r="P173" i="11" a="1"/>
  <c r="P173" i="11" s="1"/>
  <c r="Q173" i="11" a="1"/>
  <c r="Q173" i="11" s="1"/>
  <c r="R173" i="11" a="1"/>
  <c r="R173" i="11" s="1"/>
  <c r="U173" i="11" a="1"/>
  <c r="U173" i="11" s="1"/>
  <c r="V173" i="11" a="1"/>
  <c r="V173" i="11" s="1"/>
  <c r="W173" i="11" a="1"/>
  <c r="W173" i="11" s="1"/>
  <c r="O174" i="11" a="1"/>
  <c r="O174" i="11" s="1"/>
  <c r="P174" i="11" a="1"/>
  <c r="P174" i="11" s="1"/>
  <c r="Q174" i="11" a="1"/>
  <c r="Q174" i="11" s="1"/>
  <c r="R174" i="11" a="1"/>
  <c r="R174" i="11" s="1"/>
  <c r="U174" i="11" a="1"/>
  <c r="U174" i="11" s="1"/>
  <c r="V174" i="11" a="1"/>
  <c r="V174" i="11" s="1"/>
  <c r="W174" i="11" a="1"/>
  <c r="W174" i="11" s="1"/>
  <c r="O175" i="11" a="1"/>
  <c r="O175" i="11" s="1"/>
  <c r="P175" i="11" a="1"/>
  <c r="P175" i="11" s="1"/>
  <c r="Q175" i="11" a="1"/>
  <c r="Q175" i="11" s="1"/>
  <c r="R175" i="11" a="1"/>
  <c r="R175" i="11" s="1"/>
  <c r="U175" i="11" a="1"/>
  <c r="U175" i="11" s="1"/>
  <c r="V175" i="11" a="1"/>
  <c r="V175" i="11" s="1"/>
  <c r="W175" i="11" a="1"/>
  <c r="W175" i="11" s="1"/>
  <c r="O176" i="11" a="1"/>
  <c r="O176" i="11" s="1"/>
  <c r="P176" i="11" a="1"/>
  <c r="P176" i="11" s="1"/>
  <c r="Q176" i="11" a="1"/>
  <c r="Q176" i="11" s="1"/>
  <c r="R176" i="11" a="1"/>
  <c r="R176" i="11" s="1"/>
  <c r="U176" i="11" a="1"/>
  <c r="U176" i="11" s="1"/>
  <c r="V176" i="11" a="1"/>
  <c r="V176" i="11" s="1"/>
  <c r="W176" i="11" a="1"/>
  <c r="W176" i="11" s="1"/>
  <c r="O177" i="11" a="1"/>
  <c r="O177" i="11" s="1"/>
  <c r="P177" i="11" a="1"/>
  <c r="P177" i="11" s="1"/>
  <c r="Q177" i="11" a="1"/>
  <c r="Q177" i="11" s="1"/>
  <c r="R177" i="11" a="1"/>
  <c r="R177" i="11" s="1"/>
  <c r="U177" i="11" a="1"/>
  <c r="U177" i="11" s="1"/>
  <c r="V177" i="11" a="1"/>
  <c r="V177" i="11" s="1"/>
  <c r="W177" i="11" a="1"/>
  <c r="W177" i="11" s="1"/>
  <c r="O178" i="11" a="1"/>
  <c r="O178" i="11" s="1"/>
  <c r="P178" i="11" a="1"/>
  <c r="P178" i="11" s="1"/>
  <c r="Q178" i="11" a="1"/>
  <c r="Q178" i="11" s="1"/>
  <c r="R178" i="11" a="1"/>
  <c r="R178" i="11" s="1"/>
  <c r="U178" i="11" a="1"/>
  <c r="U178" i="11" s="1"/>
  <c r="V178" i="11" a="1"/>
  <c r="V178" i="11" s="1"/>
  <c r="W178" i="11" a="1"/>
  <c r="W178" i="11" s="1"/>
  <c r="O179" i="11" a="1"/>
  <c r="O179" i="11" s="1"/>
  <c r="P179" i="11" a="1"/>
  <c r="P179" i="11" s="1"/>
  <c r="Q179" i="11" a="1"/>
  <c r="Q179" i="11" s="1"/>
  <c r="R179" i="11" a="1"/>
  <c r="R179" i="11" s="1"/>
  <c r="U179" i="11" a="1"/>
  <c r="U179" i="11" s="1"/>
  <c r="V179" i="11" a="1"/>
  <c r="V179" i="11" s="1"/>
  <c r="W179" i="11" a="1"/>
  <c r="W179" i="11" s="1"/>
  <c r="O180" i="11" a="1"/>
  <c r="O180" i="11" s="1"/>
  <c r="P180" i="11" a="1"/>
  <c r="P180" i="11" s="1"/>
  <c r="Q180" i="11" a="1"/>
  <c r="Q180" i="11" s="1"/>
  <c r="R180" i="11" a="1"/>
  <c r="R180" i="11" s="1"/>
  <c r="U180" i="11" a="1"/>
  <c r="U180" i="11" s="1"/>
  <c r="V180" i="11" a="1"/>
  <c r="V180" i="11" s="1"/>
  <c r="W180" i="11" a="1"/>
  <c r="W180" i="11" s="1"/>
  <c r="O181" i="11" a="1"/>
  <c r="O181" i="11" s="1"/>
  <c r="P181" i="11" a="1"/>
  <c r="P181" i="11" s="1"/>
  <c r="Q181" i="11" a="1"/>
  <c r="Q181" i="11" s="1"/>
  <c r="R181" i="11" a="1"/>
  <c r="R181" i="11" s="1"/>
  <c r="U181" i="11" a="1"/>
  <c r="U181" i="11" s="1"/>
  <c r="V181" i="11" a="1"/>
  <c r="V181" i="11" s="1"/>
  <c r="W181" i="11" a="1"/>
  <c r="W181" i="11" s="1"/>
  <c r="O182" i="11" a="1"/>
  <c r="O182" i="11" s="1"/>
  <c r="P182" i="11" a="1"/>
  <c r="P182" i="11" s="1"/>
  <c r="Q182" i="11" a="1"/>
  <c r="Q182" i="11" s="1"/>
  <c r="R182" i="11" a="1"/>
  <c r="R182" i="11" s="1"/>
  <c r="U182" i="11" a="1"/>
  <c r="U182" i="11" s="1"/>
  <c r="V182" i="11" a="1"/>
  <c r="V182" i="11" s="1"/>
  <c r="W182" i="11" a="1"/>
  <c r="W182" i="11" s="1"/>
  <c r="O183" i="11" a="1"/>
  <c r="O183" i="11" s="1"/>
  <c r="P183" i="11" a="1"/>
  <c r="P183" i="11" s="1"/>
  <c r="Q183" i="11" a="1"/>
  <c r="Q183" i="11" s="1"/>
  <c r="R183" i="11" a="1"/>
  <c r="R183" i="11" s="1"/>
  <c r="U183" i="11" a="1"/>
  <c r="U183" i="11" s="1"/>
  <c r="V183" i="11" a="1"/>
  <c r="V183" i="11" s="1"/>
  <c r="W183" i="11" a="1"/>
  <c r="W183" i="11" s="1"/>
  <c r="O184" i="11" a="1"/>
  <c r="O184" i="11" s="1"/>
  <c r="P184" i="11" a="1"/>
  <c r="P184" i="11" s="1"/>
  <c r="Q184" i="11" a="1"/>
  <c r="Q184" i="11" s="1"/>
  <c r="R184" i="11" a="1"/>
  <c r="R184" i="11" s="1"/>
  <c r="U184" i="11" a="1"/>
  <c r="U184" i="11" s="1"/>
  <c r="V184" i="11" a="1"/>
  <c r="V184" i="11" s="1"/>
  <c r="W184" i="11" a="1"/>
  <c r="W184" i="11" s="1"/>
  <c r="O185" i="11" a="1"/>
  <c r="O185" i="11" s="1"/>
  <c r="P185" i="11" a="1"/>
  <c r="P185" i="11" s="1"/>
  <c r="Q185" i="11" a="1"/>
  <c r="Q185" i="11" s="1"/>
  <c r="R185" i="11" a="1"/>
  <c r="R185" i="11" s="1"/>
  <c r="U185" i="11" a="1"/>
  <c r="U185" i="11" s="1"/>
  <c r="V185" i="11" a="1"/>
  <c r="V185" i="11" s="1"/>
  <c r="W185" i="11" a="1"/>
  <c r="W185" i="11" s="1"/>
  <c r="O186" i="11" a="1"/>
  <c r="O186" i="11" s="1"/>
  <c r="P186" i="11" a="1"/>
  <c r="P186" i="11" s="1"/>
  <c r="Q186" i="11" a="1"/>
  <c r="Q186" i="11" s="1"/>
  <c r="R186" i="11" a="1"/>
  <c r="R186" i="11" s="1"/>
  <c r="U186" i="11" a="1"/>
  <c r="U186" i="11" s="1"/>
  <c r="V186" i="11" a="1"/>
  <c r="V186" i="11" s="1"/>
  <c r="W186" i="11" a="1"/>
  <c r="W186" i="11" s="1"/>
  <c r="O187" i="11" a="1"/>
  <c r="O187" i="11" s="1"/>
  <c r="P187" i="11" a="1"/>
  <c r="P187" i="11" s="1"/>
  <c r="Q187" i="11" a="1"/>
  <c r="Q187" i="11" s="1"/>
  <c r="R187" i="11" a="1"/>
  <c r="R187" i="11" s="1"/>
  <c r="U187" i="11" a="1"/>
  <c r="U187" i="11" s="1"/>
  <c r="V187" i="11" a="1"/>
  <c r="V187" i="11" s="1"/>
  <c r="W187" i="11" a="1"/>
  <c r="W187" i="11" s="1"/>
  <c r="O188" i="11" a="1"/>
  <c r="O188" i="11" s="1"/>
  <c r="P188" i="11" a="1"/>
  <c r="P188" i="11" s="1"/>
  <c r="Q188" i="11" a="1"/>
  <c r="Q188" i="11" s="1"/>
  <c r="R188" i="11" a="1"/>
  <c r="R188" i="11" s="1"/>
  <c r="U188" i="11" a="1"/>
  <c r="U188" i="11" s="1"/>
  <c r="V188" i="11" a="1"/>
  <c r="V188" i="11" s="1"/>
  <c r="W188" i="11" a="1"/>
  <c r="W188" i="11" s="1"/>
  <c r="O189" i="11" a="1"/>
  <c r="O189" i="11" s="1"/>
  <c r="P189" i="11" a="1"/>
  <c r="P189" i="11" s="1"/>
  <c r="Q189" i="11" a="1"/>
  <c r="Q189" i="11" s="1"/>
  <c r="R189" i="11" a="1"/>
  <c r="R189" i="11" s="1"/>
  <c r="U189" i="11" a="1"/>
  <c r="U189" i="11" s="1"/>
  <c r="V189" i="11" a="1"/>
  <c r="V189" i="11" s="1"/>
  <c r="W189" i="11" a="1"/>
  <c r="W189" i="11" s="1"/>
  <c r="O190" i="11" a="1"/>
  <c r="O190" i="11" s="1"/>
  <c r="P190" i="11" a="1"/>
  <c r="P190" i="11" s="1"/>
  <c r="Q190" i="11" a="1"/>
  <c r="Q190" i="11" s="1"/>
  <c r="R190" i="11" a="1"/>
  <c r="R190" i="11" s="1"/>
  <c r="U190" i="11" a="1"/>
  <c r="U190" i="11" s="1"/>
  <c r="V190" i="11" a="1"/>
  <c r="V190" i="11" s="1"/>
  <c r="W190" i="11" a="1"/>
  <c r="W190" i="11" s="1"/>
  <c r="O191" i="11" a="1"/>
  <c r="O191" i="11" s="1"/>
  <c r="P191" i="11" a="1"/>
  <c r="P191" i="11" s="1"/>
  <c r="Q191" i="11" a="1"/>
  <c r="Q191" i="11" s="1"/>
  <c r="R191" i="11" a="1"/>
  <c r="R191" i="11" s="1"/>
  <c r="U191" i="11" a="1"/>
  <c r="U191" i="11" s="1"/>
  <c r="V191" i="11" a="1"/>
  <c r="V191" i="11" s="1"/>
  <c r="W191" i="11" a="1"/>
  <c r="W191" i="11" s="1"/>
  <c r="O192" i="11" a="1"/>
  <c r="O192" i="11" s="1"/>
  <c r="P192" i="11" a="1"/>
  <c r="P192" i="11" s="1"/>
  <c r="Q192" i="11" a="1"/>
  <c r="Q192" i="11" s="1"/>
  <c r="R192" i="11" a="1"/>
  <c r="R192" i="11" s="1"/>
  <c r="U192" i="11" a="1"/>
  <c r="U192" i="11" s="1"/>
  <c r="V192" i="11" a="1"/>
  <c r="V192" i="11" s="1"/>
  <c r="W192" i="11" a="1"/>
  <c r="W192" i="11" s="1"/>
  <c r="O193" i="11" a="1"/>
  <c r="O193" i="11" s="1"/>
  <c r="P193" i="11" a="1"/>
  <c r="P193" i="11" s="1"/>
  <c r="Q193" i="11" a="1"/>
  <c r="Q193" i="11" s="1"/>
  <c r="R193" i="11" a="1"/>
  <c r="R193" i="11" s="1"/>
  <c r="U193" i="11" a="1"/>
  <c r="U193" i="11" s="1"/>
  <c r="V193" i="11" a="1"/>
  <c r="V193" i="11" s="1"/>
  <c r="W193" i="11" a="1"/>
  <c r="W193" i="11" s="1"/>
  <c r="O194" i="11" a="1"/>
  <c r="O194" i="11" s="1"/>
  <c r="P194" i="11" a="1"/>
  <c r="P194" i="11" s="1"/>
  <c r="Q194" i="11" a="1"/>
  <c r="Q194" i="11" s="1"/>
  <c r="R194" i="11" a="1"/>
  <c r="R194" i="11" s="1"/>
  <c r="U194" i="11" a="1"/>
  <c r="U194" i="11" s="1"/>
  <c r="V194" i="11" a="1"/>
  <c r="V194" i="11" s="1"/>
  <c r="W194" i="11" a="1"/>
  <c r="W194" i="11" s="1"/>
  <c r="O195" i="11" a="1"/>
  <c r="O195" i="11" s="1"/>
  <c r="P195" i="11" a="1"/>
  <c r="P195" i="11" s="1"/>
  <c r="Q195" i="11" a="1"/>
  <c r="Q195" i="11" s="1"/>
  <c r="R195" i="11" a="1"/>
  <c r="R195" i="11" s="1"/>
  <c r="U195" i="11" a="1"/>
  <c r="U195" i="11" s="1"/>
  <c r="V195" i="11" a="1"/>
  <c r="V195" i="11" s="1"/>
  <c r="W195" i="11" a="1"/>
  <c r="W195" i="11" s="1"/>
  <c r="O196" i="11" a="1"/>
  <c r="O196" i="11" s="1"/>
  <c r="P196" i="11" a="1"/>
  <c r="P196" i="11" s="1"/>
  <c r="Q196" i="11" a="1"/>
  <c r="Q196" i="11" s="1"/>
  <c r="R196" i="11" a="1"/>
  <c r="R196" i="11" s="1"/>
  <c r="U196" i="11" a="1"/>
  <c r="U196" i="11" s="1"/>
  <c r="V196" i="11" a="1"/>
  <c r="V196" i="11" s="1"/>
  <c r="W196" i="11" a="1"/>
  <c r="W196" i="11" s="1"/>
  <c r="O197" i="11" a="1"/>
  <c r="O197" i="11" s="1"/>
  <c r="P197" i="11" a="1"/>
  <c r="P197" i="11" s="1"/>
  <c r="Q197" i="11" a="1"/>
  <c r="Q197" i="11" s="1"/>
  <c r="R197" i="11" a="1"/>
  <c r="R197" i="11" s="1"/>
  <c r="U197" i="11" a="1"/>
  <c r="U197" i="11" s="1"/>
  <c r="V197" i="11" a="1"/>
  <c r="V197" i="11" s="1"/>
  <c r="W197" i="11" a="1"/>
  <c r="W197" i="11" s="1"/>
  <c r="O198" i="11" a="1"/>
  <c r="O198" i="11" s="1"/>
  <c r="P198" i="11" a="1"/>
  <c r="P198" i="11" s="1"/>
  <c r="Q198" i="11" a="1"/>
  <c r="Q198" i="11" s="1"/>
  <c r="R198" i="11" a="1"/>
  <c r="R198" i="11" s="1"/>
  <c r="U198" i="11" a="1"/>
  <c r="U198" i="11" s="1"/>
  <c r="V198" i="11" a="1"/>
  <c r="V198" i="11" s="1"/>
  <c r="W198" i="11" a="1"/>
  <c r="W198" i="11" s="1"/>
  <c r="O199" i="11" a="1"/>
  <c r="O199" i="11" s="1"/>
  <c r="P199" i="11" a="1"/>
  <c r="P199" i="11" s="1"/>
  <c r="Q199" i="11" a="1"/>
  <c r="Q199" i="11" s="1"/>
  <c r="R199" i="11" a="1"/>
  <c r="R199" i="11" s="1"/>
  <c r="U199" i="11" a="1"/>
  <c r="U199" i="11" s="1"/>
  <c r="V199" i="11" a="1"/>
  <c r="V199" i="11" s="1"/>
  <c r="W199" i="11" a="1"/>
  <c r="W199" i="11" s="1"/>
  <c r="O200" i="11" a="1"/>
  <c r="O200" i="11" s="1"/>
  <c r="P200" i="11" a="1"/>
  <c r="P200" i="11" s="1"/>
  <c r="Q200" i="11" a="1"/>
  <c r="Q200" i="11" s="1"/>
  <c r="R200" i="11" a="1"/>
  <c r="R200" i="11" s="1"/>
  <c r="U200" i="11" a="1"/>
  <c r="U200" i="11" s="1"/>
  <c r="V200" i="11" a="1"/>
  <c r="V200" i="11" s="1"/>
  <c r="W200" i="11" a="1"/>
  <c r="W200" i="11" s="1"/>
  <c r="O201" i="11" a="1"/>
  <c r="O201" i="11" s="1"/>
  <c r="P201" i="11" a="1"/>
  <c r="P201" i="11" s="1"/>
  <c r="Q201" i="11" a="1"/>
  <c r="Q201" i="11" s="1"/>
  <c r="R201" i="11" a="1"/>
  <c r="R201" i="11" s="1"/>
  <c r="U201" i="11" a="1"/>
  <c r="U201" i="11" s="1"/>
  <c r="V201" i="11" a="1"/>
  <c r="V201" i="11" s="1"/>
  <c r="W201" i="11" a="1"/>
  <c r="W201" i="11" s="1"/>
  <c r="O202" i="11" a="1"/>
  <c r="O202" i="11" s="1"/>
  <c r="P202" i="11" a="1"/>
  <c r="P202" i="11" s="1"/>
  <c r="Q202" i="11" a="1"/>
  <c r="Q202" i="11" s="1"/>
  <c r="R202" i="11" a="1"/>
  <c r="R202" i="11" s="1"/>
  <c r="U202" i="11" a="1"/>
  <c r="U202" i="11" s="1"/>
  <c r="V202" i="11" a="1"/>
  <c r="V202" i="11" s="1"/>
  <c r="W202" i="11" a="1"/>
  <c r="W202" i="11" s="1"/>
  <c r="O203" i="11" a="1"/>
  <c r="O203" i="11" s="1"/>
  <c r="P203" i="11" a="1"/>
  <c r="P203" i="11" s="1"/>
  <c r="Q203" i="11" a="1"/>
  <c r="Q203" i="11" s="1"/>
  <c r="R203" i="11" a="1"/>
  <c r="R203" i="11" s="1"/>
  <c r="U203" i="11" a="1"/>
  <c r="U203" i="11" s="1"/>
  <c r="V203" i="11" a="1"/>
  <c r="V203" i="11" s="1"/>
  <c r="W203" i="11" a="1"/>
  <c r="W203" i="11" s="1"/>
  <c r="O204" i="11" a="1"/>
  <c r="O204" i="11" s="1"/>
  <c r="P204" i="11" a="1"/>
  <c r="P204" i="11" s="1"/>
  <c r="Q204" i="11" a="1"/>
  <c r="Q204" i="11" s="1"/>
  <c r="R204" i="11" a="1"/>
  <c r="R204" i="11" s="1"/>
  <c r="U204" i="11" a="1"/>
  <c r="U204" i="11" s="1"/>
  <c r="V204" i="11" a="1"/>
  <c r="V204" i="11" s="1"/>
  <c r="W204" i="11" a="1"/>
  <c r="W204" i="11" s="1"/>
  <c r="O205" i="11" a="1"/>
  <c r="O205" i="11" s="1"/>
  <c r="P205" i="11" a="1"/>
  <c r="P205" i="11" s="1"/>
  <c r="Q205" i="11" a="1"/>
  <c r="Q205" i="11" s="1"/>
  <c r="R205" i="11" a="1"/>
  <c r="R205" i="11" s="1"/>
  <c r="U205" i="11" a="1"/>
  <c r="U205" i="11" s="1"/>
  <c r="V205" i="11" a="1"/>
  <c r="V205" i="11" s="1"/>
  <c r="W205" i="11" a="1"/>
  <c r="W205" i="11" s="1"/>
  <c r="O206" i="11" a="1"/>
  <c r="O206" i="11" s="1"/>
  <c r="P206" i="11" a="1"/>
  <c r="P206" i="11" s="1"/>
  <c r="Q206" i="11" a="1"/>
  <c r="Q206" i="11" s="1"/>
  <c r="R206" i="11" a="1"/>
  <c r="R206" i="11" s="1"/>
  <c r="U206" i="11" a="1"/>
  <c r="U206" i="11" s="1"/>
  <c r="V206" i="11" a="1"/>
  <c r="V206" i="11" s="1"/>
  <c r="W206" i="11" a="1"/>
  <c r="W206" i="11" s="1"/>
  <c r="O207" i="11" a="1"/>
  <c r="O207" i="11" s="1"/>
  <c r="P207" i="11" a="1"/>
  <c r="P207" i="11" s="1"/>
  <c r="Q207" i="11" a="1"/>
  <c r="Q207" i="11" s="1"/>
  <c r="R207" i="11" a="1"/>
  <c r="R207" i="11" s="1"/>
  <c r="U207" i="11" a="1"/>
  <c r="U207" i="11" s="1"/>
  <c r="V207" i="11" a="1"/>
  <c r="V207" i="11" s="1"/>
  <c r="W207" i="11" a="1"/>
  <c r="W207" i="11" s="1"/>
  <c r="O208" i="11" a="1"/>
  <c r="O208" i="11" s="1"/>
  <c r="P208" i="11" a="1"/>
  <c r="P208" i="11" s="1"/>
  <c r="Q208" i="11" a="1"/>
  <c r="Q208" i="11" s="1"/>
  <c r="R208" i="11" a="1"/>
  <c r="R208" i="11" s="1"/>
  <c r="U208" i="11" a="1"/>
  <c r="U208" i="11" s="1"/>
  <c r="V208" i="11" a="1"/>
  <c r="V208" i="11" s="1"/>
  <c r="W208" i="11" a="1"/>
  <c r="W208" i="11" s="1"/>
  <c r="O209" i="11" a="1"/>
  <c r="O209" i="11" s="1"/>
  <c r="P209" i="11" a="1"/>
  <c r="P209" i="11" s="1"/>
  <c r="Q209" i="11" a="1"/>
  <c r="Q209" i="11" s="1"/>
  <c r="R209" i="11" a="1"/>
  <c r="R209" i="11" s="1"/>
  <c r="U209" i="11" a="1"/>
  <c r="U209" i="11" s="1"/>
  <c r="V209" i="11" a="1"/>
  <c r="V209" i="11" s="1"/>
  <c r="W209" i="11" a="1"/>
  <c r="W209" i="11" s="1"/>
  <c r="O210" i="11" a="1"/>
  <c r="O210" i="11" s="1"/>
  <c r="P210" i="11" a="1"/>
  <c r="P210" i="11" s="1"/>
  <c r="Q210" i="11" a="1"/>
  <c r="Q210" i="11" s="1"/>
  <c r="R210" i="11" a="1"/>
  <c r="R210" i="11" s="1"/>
  <c r="U210" i="11" a="1"/>
  <c r="U210" i="11" s="1"/>
  <c r="V210" i="11" a="1"/>
  <c r="V210" i="11" s="1"/>
  <c r="W210" i="11" a="1"/>
  <c r="W210" i="11" s="1"/>
  <c r="O211" i="11" a="1"/>
  <c r="O211" i="11" s="1"/>
  <c r="P211" i="11" a="1"/>
  <c r="P211" i="11" s="1"/>
  <c r="Q211" i="11" a="1"/>
  <c r="Q211" i="11" s="1"/>
  <c r="R211" i="11" a="1"/>
  <c r="R211" i="11" s="1"/>
  <c r="U211" i="11" a="1"/>
  <c r="U211" i="11" s="1"/>
  <c r="V211" i="11" a="1"/>
  <c r="V211" i="11" s="1"/>
  <c r="W211" i="11" a="1"/>
  <c r="W211" i="11" s="1"/>
  <c r="O212" i="11" a="1"/>
  <c r="O212" i="11" s="1"/>
  <c r="P212" i="11" a="1"/>
  <c r="P212" i="11" s="1"/>
  <c r="Q212" i="11" a="1"/>
  <c r="Q212" i="11" s="1"/>
  <c r="R212" i="11" a="1"/>
  <c r="R212" i="11" s="1"/>
  <c r="U212" i="11" a="1"/>
  <c r="U212" i="11" s="1"/>
  <c r="V212" i="11" a="1"/>
  <c r="V212" i="11" s="1"/>
  <c r="W212" i="11" a="1"/>
  <c r="W212" i="11" s="1"/>
  <c r="O213" i="11" a="1"/>
  <c r="O213" i="11" s="1"/>
  <c r="P213" i="11" a="1"/>
  <c r="P213" i="11" s="1"/>
  <c r="Q213" i="11" a="1"/>
  <c r="Q213" i="11" s="1"/>
  <c r="R213" i="11" a="1"/>
  <c r="R213" i="11" s="1"/>
  <c r="U213" i="11" a="1"/>
  <c r="U213" i="11" s="1"/>
  <c r="V213" i="11" a="1"/>
  <c r="V213" i="11" s="1"/>
  <c r="W213" i="11" a="1"/>
  <c r="W213" i="11" s="1"/>
  <c r="O214" i="11" a="1"/>
  <c r="O214" i="11" s="1"/>
  <c r="P214" i="11" a="1"/>
  <c r="P214" i="11" s="1"/>
  <c r="Q214" i="11" a="1"/>
  <c r="Q214" i="11" s="1"/>
  <c r="R214" i="11" a="1"/>
  <c r="R214" i="11" s="1"/>
  <c r="U214" i="11" a="1"/>
  <c r="U214" i="11" s="1"/>
  <c r="V214" i="11" a="1"/>
  <c r="V214" i="11" s="1"/>
  <c r="W214" i="11" a="1"/>
  <c r="W214" i="11" s="1"/>
  <c r="O215" i="11" a="1"/>
  <c r="O215" i="11" s="1"/>
  <c r="P215" i="11" a="1"/>
  <c r="P215" i="11" s="1"/>
  <c r="Q215" i="11" a="1"/>
  <c r="Q215" i="11" s="1"/>
  <c r="R215" i="11" a="1"/>
  <c r="R215" i="11" s="1"/>
  <c r="U215" i="11" a="1"/>
  <c r="U215" i="11" s="1"/>
  <c r="V215" i="11" a="1"/>
  <c r="V215" i="11" s="1"/>
  <c r="W215" i="11" a="1"/>
  <c r="W215" i="11" s="1"/>
  <c r="O216" i="11" a="1"/>
  <c r="O216" i="11" s="1"/>
  <c r="P216" i="11" a="1"/>
  <c r="P216" i="11" s="1"/>
  <c r="Q216" i="11" a="1"/>
  <c r="Q216" i="11" s="1"/>
  <c r="R216" i="11" a="1"/>
  <c r="R216" i="11" s="1"/>
  <c r="U216" i="11" a="1"/>
  <c r="U216" i="11" s="1"/>
  <c r="V216" i="11" a="1"/>
  <c r="V216" i="11" s="1"/>
  <c r="W216" i="11" a="1"/>
  <c r="W216" i="11" s="1"/>
  <c r="O217" i="11" a="1"/>
  <c r="O217" i="11" s="1"/>
  <c r="P217" i="11" a="1"/>
  <c r="P217" i="11" s="1"/>
  <c r="Q217" i="11" a="1"/>
  <c r="Q217" i="11" s="1"/>
  <c r="R217" i="11" a="1"/>
  <c r="R217" i="11" s="1"/>
  <c r="U217" i="11" a="1"/>
  <c r="U217" i="11" s="1"/>
  <c r="V217" i="11" a="1"/>
  <c r="V217" i="11" s="1"/>
  <c r="W217" i="11" a="1"/>
  <c r="W217" i="11" s="1"/>
  <c r="O218" i="11" a="1"/>
  <c r="O218" i="11" s="1"/>
  <c r="P218" i="11" a="1"/>
  <c r="P218" i="11" s="1"/>
  <c r="Q218" i="11" a="1"/>
  <c r="Q218" i="11" s="1"/>
  <c r="R218" i="11" a="1"/>
  <c r="R218" i="11" s="1"/>
  <c r="U218" i="11" a="1"/>
  <c r="U218" i="11" s="1"/>
  <c r="V218" i="11" a="1"/>
  <c r="V218" i="11" s="1"/>
  <c r="W218" i="11" a="1"/>
  <c r="W218" i="11" s="1"/>
  <c r="O219" i="11" a="1"/>
  <c r="O219" i="11" s="1"/>
  <c r="P219" i="11" a="1"/>
  <c r="P219" i="11" s="1"/>
  <c r="Q219" i="11" a="1"/>
  <c r="Q219" i="11" s="1"/>
  <c r="R219" i="11" a="1"/>
  <c r="R219" i="11" s="1"/>
  <c r="U219" i="11" a="1"/>
  <c r="U219" i="11" s="1"/>
  <c r="V219" i="11" a="1"/>
  <c r="V219" i="11" s="1"/>
  <c r="W219" i="11" a="1"/>
  <c r="W219" i="11" s="1"/>
  <c r="O220" i="11" a="1"/>
  <c r="O220" i="11" s="1"/>
  <c r="P220" i="11" a="1"/>
  <c r="P220" i="11" s="1"/>
  <c r="Q220" i="11" a="1"/>
  <c r="Q220" i="11" s="1"/>
  <c r="R220" i="11" a="1"/>
  <c r="R220" i="11" s="1"/>
  <c r="U220" i="11" a="1"/>
  <c r="U220" i="11" s="1"/>
  <c r="V220" i="11" a="1"/>
  <c r="V220" i="11" s="1"/>
  <c r="W220" i="11" a="1"/>
  <c r="W220" i="11" s="1"/>
  <c r="O221" i="11" a="1"/>
  <c r="O221" i="11" s="1"/>
  <c r="P221" i="11" a="1"/>
  <c r="P221" i="11" s="1"/>
  <c r="Q221" i="11" a="1"/>
  <c r="Q221" i="11" s="1"/>
  <c r="R221" i="11" a="1"/>
  <c r="R221" i="11" s="1"/>
  <c r="U221" i="11" a="1"/>
  <c r="U221" i="11" s="1"/>
  <c r="V221" i="11" a="1"/>
  <c r="V221" i="11" s="1"/>
  <c r="W221" i="11" a="1"/>
  <c r="W221" i="11" s="1"/>
  <c r="O222" i="11" a="1"/>
  <c r="O222" i="11" s="1"/>
  <c r="P222" i="11" a="1"/>
  <c r="P222" i="11" s="1"/>
  <c r="Q222" i="11" a="1"/>
  <c r="Q222" i="11" s="1"/>
  <c r="R222" i="11" a="1"/>
  <c r="R222" i="11" s="1"/>
  <c r="U222" i="11" a="1"/>
  <c r="U222" i="11" s="1"/>
  <c r="V222" i="11" a="1"/>
  <c r="V222" i="11" s="1"/>
  <c r="W222" i="11" a="1"/>
  <c r="W222" i="11" s="1"/>
  <c r="O223" i="11" a="1"/>
  <c r="O223" i="11" s="1"/>
  <c r="P223" i="11" a="1"/>
  <c r="P223" i="11" s="1"/>
  <c r="Q223" i="11" a="1"/>
  <c r="Q223" i="11" s="1"/>
  <c r="R223" i="11" a="1"/>
  <c r="R223" i="11" s="1"/>
  <c r="U223" i="11" a="1"/>
  <c r="U223" i="11" s="1"/>
  <c r="V223" i="11" a="1"/>
  <c r="V223" i="11" s="1"/>
  <c r="W223" i="11" a="1"/>
  <c r="W223" i="11" s="1"/>
  <c r="O224" i="11" a="1"/>
  <c r="O224" i="11" s="1"/>
  <c r="P224" i="11" a="1"/>
  <c r="P224" i="11" s="1"/>
  <c r="Q224" i="11" a="1"/>
  <c r="Q224" i="11" s="1"/>
  <c r="R224" i="11" a="1"/>
  <c r="R224" i="11" s="1"/>
  <c r="U224" i="11" a="1"/>
  <c r="U224" i="11" s="1"/>
  <c r="V224" i="11" a="1"/>
  <c r="V224" i="11" s="1"/>
  <c r="W224" i="11" a="1"/>
  <c r="W224" i="11" s="1"/>
  <c r="O225" i="11" a="1"/>
  <c r="O225" i="11" s="1"/>
  <c r="P225" i="11" a="1"/>
  <c r="P225" i="11" s="1"/>
  <c r="Q225" i="11" a="1"/>
  <c r="Q225" i="11" s="1"/>
  <c r="R225" i="11" a="1"/>
  <c r="R225" i="11" s="1"/>
  <c r="U225" i="11" a="1"/>
  <c r="U225" i="11" s="1"/>
  <c r="V225" i="11" a="1"/>
  <c r="V225" i="11" s="1"/>
  <c r="W225" i="11" a="1"/>
  <c r="W225" i="11" s="1"/>
  <c r="O226" i="11" a="1"/>
  <c r="O226" i="11" s="1"/>
  <c r="P226" i="11" a="1"/>
  <c r="P226" i="11" s="1"/>
  <c r="Q226" i="11" a="1"/>
  <c r="Q226" i="11" s="1"/>
  <c r="R226" i="11" a="1"/>
  <c r="R226" i="11" s="1"/>
  <c r="U226" i="11" a="1"/>
  <c r="U226" i="11" s="1"/>
  <c r="V226" i="11" a="1"/>
  <c r="V226" i="11" s="1"/>
  <c r="W226" i="11" a="1"/>
  <c r="W226" i="11" s="1"/>
  <c r="O227" i="11" a="1"/>
  <c r="O227" i="11" s="1"/>
  <c r="P227" i="11" a="1"/>
  <c r="P227" i="11" s="1"/>
  <c r="Q227" i="11" a="1"/>
  <c r="Q227" i="11" s="1"/>
  <c r="R227" i="11" a="1"/>
  <c r="R227" i="11" s="1"/>
  <c r="U227" i="11" a="1"/>
  <c r="U227" i="11" s="1"/>
  <c r="V227" i="11" a="1"/>
  <c r="V227" i="11" s="1"/>
  <c r="W227" i="11" a="1"/>
  <c r="W227" i="11" s="1"/>
  <c r="O228" i="11" a="1"/>
  <c r="O228" i="11" s="1"/>
  <c r="P228" i="11" a="1"/>
  <c r="P228" i="11" s="1"/>
  <c r="Q228" i="11" a="1"/>
  <c r="Q228" i="11" s="1"/>
  <c r="R228" i="11" a="1"/>
  <c r="R228" i="11" s="1"/>
  <c r="U228" i="11" a="1"/>
  <c r="U228" i="11" s="1"/>
  <c r="V228" i="11" a="1"/>
  <c r="V228" i="11" s="1"/>
  <c r="W228" i="11" a="1"/>
  <c r="W228" i="11" s="1"/>
  <c r="O229" i="11" a="1"/>
  <c r="O229" i="11" s="1"/>
  <c r="P229" i="11" a="1"/>
  <c r="P229" i="11" s="1"/>
  <c r="Q229" i="11" a="1"/>
  <c r="Q229" i="11" s="1"/>
  <c r="R229" i="11" a="1"/>
  <c r="R229" i="11" s="1"/>
  <c r="U229" i="11" a="1"/>
  <c r="U229" i="11" s="1"/>
  <c r="V229" i="11" a="1"/>
  <c r="V229" i="11" s="1"/>
  <c r="W229" i="11" a="1"/>
  <c r="W229" i="11" s="1"/>
  <c r="O230" i="11" a="1"/>
  <c r="O230" i="11" s="1"/>
  <c r="P230" i="11" a="1"/>
  <c r="P230" i="11" s="1"/>
  <c r="Q230" i="11" a="1"/>
  <c r="Q230" i="11" s="1"/>
  <c r="R230" i="11" a="1"/>
  <c r="R230" i="11" s="1"/>
  <c r="U230" i="11" a="1"/>
  <c r="U230" i="11" s="1"/>
  <c r="V230" i="11" a="1"/>
  <c r="V230" i="11" s="1"/>
  <c r="W230" i="11" a="1"/>
  <c r="W230" i="11" s="1"/>
  <c r="O231" i="11" a="1"/>
  <c r="O231" i="11" s="1"/>
  <c r="P231" i="11" a="1"/>
  <c r="P231" i="11" s="1"/>
  <c r="Q231" i="11" a="1"/>
  <c r="Q231" i="11" s="1"/>
  <c r="R231" i="11" a="1"/>
  <c r="R231" i="11" s="1"/>
  <c r="U231" i="11" a="1"/>
  <c r="U231" i="11" s="1"/>
  <c r="V231" i="11" a="1"/>
  <c r="V231" i="11" s="1"/>
  <c r="W231" i="11" a="1"/>
  <c r="W231" i="11" s="1"/>
  <c r="O232" i="11" a="1"/>
  <c r="O232" i="11" s="1"/>
  <c r="P232" i="11" a="1"/>
  <c r="P232" i="11" s="1"/>
  <c r="Q232" i="11" a="1"/>
  <c r="Q232" i="11" s="1"/>
  <c r="R232" i="11" a="1"/>
  <c r="R232" i="11" s="1"/>
  <c r="U232" i="11" a="1"/>
  <c r="U232" i="11" s="1"/>
  <c r="V232" i="11" a="1"/>
  <c r="V232" i="11" s="1"/>
  <c r="W232" i="11" a="1"/>
  <c r="W232" i="11" s="1"/>
  <c r="O233" i="11" a="1"/>
  <c r="O233" i="11" s="1"/>
  <c r="P233" i="11" a="1"/>
  <c r="P233" i="11" s="1"/>
  <c r="Q233" i="11" a="1"/>
  <c r="Q233" i="11" s="1"/>
  <c r="R233" i="11" a="1"/>
  <c r="R233" i="11" s="1"/>
  <c r="U233" i="11" a="1"/>
  <c r="U233" i="11" s="1"/>
  <c r="V233" i="11" a="1"/>
  <c r="V233" i="11" s="1"/>
  <c r="W233" i="11" a="1"/>
  <c r="W233" i="11" s="1"/>
  <c r="W2" i="11" a="1"/>
  <c r="W2" i="11" s="1"/>
  <c r="V2" i="11" a="1"/>
  <c r="V2" i="11" s="1"/>
  <c r="U2" i="11" a="1"/>
  <c r="U2" i="11" s="1"/>
  <c r="R2" i="11" a="1"/>
  <c r="R2" i="11" s="1"/>
  <c r="Q2" i="11" a="1"/>
  <c r="Q2" i="11" s="1"/>
  <c r="P2" i="11" a="1"/>
  <c r="P2" i="11" s="1"/>
  <c r="O2" i="11" a="1"/>
  <c r="O2" i="11" s="1"/>
  <c r="K3" i="11" a="1"/>
  <c r="K3" i="11" s="1"/>
  <c r="K4" i="11" a="1"/>
  <c r="K4" i="11" s="1"/>
  <c r="K5" i="11" a="1"/>
  <c r="K5" i="11" s="1"/>
  <c r="K6" i="11" a="1"/>
  <c r="K6" i="11" s="1"/>
  <c r="K7" i="11" a="1"/>
  <c r="K7" i="11" s="1"/>
  <c r="K8" i="11" a="1"/>
  <c r="K8" i="11" s="1"/>
  <c r="K9" i="11" a="1"/>
  <c r="K9" i="11" s="1"/>
  <c r="K10" i="11" a="1"/>
  <c r="K10" i="11" s="1"/>
  <c r="K11" i="11" a="1"/>
  <c r="K11" i="11" s="1"/>
  <c r="K12" i="11" a="1"/>
  <c r="K12" i="11" s="1"/>
  <c r="K13" i="11" a="1"/>
  <c r="K13" i="11" s="1"/>
  <c r="K14" i="11" a="1"/>
  <c r="K14" i="11" s="1"/>
  <c r="K15" i="11" a="1"/>
  <c r="K15" i="11" s="1"/>
  <c r="K16" i="11" a="1"/>
  <c r="K16" i="11" s="1"/>
  <c r="K17" i="11" a="1"/>
  <c r="K17" i="11" s="1"/>
  <c r="K18" i="11" a="1"/>
  <c r="K18" i="11" s="1"/>
  <c r="K19" i="11" a="1"/>
  <c r="K19" i="11" s="1"/>
  <c r="K20" i="11" a="1"/>
  <c r="K20" i="11" s="1"/>
  <c r="K21" i="11" a="1"/>
  <c r="K21" i="11" s="1"/>
  <c r="K22" i="11" a="1"/>
  <c r="K22" i="11" s="1"/>
  <c r="K23" i="11" a="1"/>
  <c r="K23" i="11" s="1"/>
  <c r="K24" i="11" a="1"/>
  <c r="K24" i="11" s="1"/>
  <c r="K25" i="11" a="1"/>
  <c r="K25" i="11" s="1"/>
  <c r="K26" i="11" a="1"/>
  <c r="K26" i="11" s="1"/>
  <c r="K27" i="11" a="1"/>
  <c r="K27" i="11" s="1"/>
  <c r="K28" i="11" a="1"/>
  <c r="K28" i="11" s="1"/>
  <c r="K29" i="11" a="1"/>
  <c r="K29" i="11" s="1"/>
  <c r="K30" i="11" a="1"/>
  <c r="K30" i="11" s="1"/>
  <c r="K31" i="11" a="1"/>
  <c r="K31" i="11" s="1"/>
  <c r="K32" i="11" a="1"/>
  <c r="K32" i="11" s="1"/>
  <c r="K33" i="11" a="1"/>
  <c r="K33" i="11" s="1"/>
  <c r="K34" i="11" a="1"/>
  <c r="K34" i="11" s="1"/>
  <c r="K35" i="11" a="1"/>
  <c r="K35" i="11" s="1"/>
  <c r="K36" i="11" a="1"/>
  <c r="K36" i="11" s="1"/>
  <c r="K37" i="11" a="1"/>
  <c r="K37" i="11" s="1"/>
  <c r="K38" i="11" a="1"/>
  <c r="K38" i="11" s="1"/>
  <c r="K39" i="11" a="1"/>
  <c r="K39" i="11" s="1"/>
  <c r="K40" i="11" a="1"/>
  <c r="K40" i="11" s="1"/>
  <c r="K41" i="11" a="1"/>
  <c r="K41" i="11" s="1"/>
  <c r="K42" i="11" a="1"/>
  <c r="K42" i="11" s="1"/>
  <c r="K43" i="11" a="1"/>
  <c r="K43" i="11" s="1"/>
  <c r="K44" i="11" a="1"/>
  <c r="K44" i="11" s="1"/>
  <c r="K45" i="11" a="1"/>
  <c r="K45" i="11" s="1"/>
  <c r="K46" i="11" a="1"/>
  <c r="K46" i="11" s="1"/>
  <c r="K47" i="11" a="1"/>
  <c r="K47" i="11" s="1"/>
  <c r="K48" i="11" a="1"/>
  <c r="K48" i="11" s="1"/>
  <c r="K49" i="11" a="1"/>
  <c r="K49" i="11" s="1"/>
  <c r="K50" i="11" a="1"/>
  <c r="K50" i="11" s="1"/>
  <c r="K51" i="11" a="1"/>
  <c r="K51" i="11" s="1"/>
  <c r="K52" i="11" a="1"/>
  <c r="K52" i="11" s="1"/>
  <c r="K53" i="11" a="1"/>
  <c r="K53" i="11" s="1"/>
  <c r="K54" i="11" a="1"/>
  <c r="K54" i="11" s="1"/>
  <c r="K55" i="11" a="1"/>
  <c r="K55" i="11" s="1"/>
  <c r="K56" i="11" a="1"/>
  <c r="K56" i="11" s="1"/>
  <c r="K57" i="11" a="1"/>
  <c r="K57" i="11" s="1"/>
  <c r="K58" i="11" a="1"/>
  <c r="K58" i="11" s="1"/>
  <c r="K59" i="11" a="1"/>
  <c r="K59" i="11" s="1"/>
  <c r="K60" i="11" a="1"/>
  <c r="K60" i="11" s="1"/>
  <c r="K61" i="11" a="1"/>
  <c r="K61" i="11" s="1"/>
  <c r="K62" i="11" a="1"/>
  <c r="K62" i="11" s="1"/>
  <c r="K63" i="11" a="1"/>
  <c r="K63" i="11" s="1"/>
  <c r="K64" i="11" a="1"/>
  <c r="K64" i="11" s="1"/>
  <c r="K65" i="11" a="1"/>
  <c r="K65" i="11" s="1"/>
  <c r="K66" i="11" a="1"/>
  <c r="K66" i="11" s="1"/>
  <c r="K67" i="11" a="1"/>
  <c r="K67" i="11" s="1"/>
  <c r="K68" i="11" a="1"/>
  <c r="K68" i="11" s="1"/>
  <c r="K69" i="11" a="1"/>
  <c r="K69" i="11" s="1"/>
  <c r="K70" i="11" a="1"/>
  <c r="K70" i="11" s="1"/>
  <c r="K71" i="11" a="1"/>
  <c r="K71" i="11" s="1"/>
  <c r="K72" i="11" a="1"/>
  <c r="K72" i="11" s="1"/>
  <c r="K73" i="11" a="1"/>
  <c r="K73" i="11" s="1"/>
  <c r="K74" i="11" a="1"/>
  <c r="K74" i="11" s="1"/>
  <c r="K75" i="11" a="1"/>
  <c r="K75" i="11" s="1"/>
  <c r="K76" i="11" a="1"/>
  <c r="K76" i="11" s="1"/>
  <c r="K77" i="11" a="1"/>
  <c r="K77" i="11" s="1"/>
  <c r="K78" i="11" a="1"/>
  <c r="K78" i="11" s="1"/>
  <c r="K79" i="11" a="1"/>
  <c r="K79" i="11" s="1"/>
  <c r="K80" i="11" a="1"/>
  <c r="K80" i="11" s="1"/>
  <c r="K81" i="11" a="1"/>
  <c r="K81" i="11" s="1"/>
  <c r="K82" i="11" a="1"/>
  <c r="K82" i="11" s="1"/>
  <c r="K83" i="11" a="1"/>
  <c r="K83" i="11" s="1"/>
  <c r="K84" i="11" a="1"/>
  <c r="K84" i="11" s="1"/>
  <c r="K85" i="11" a="1"/>
  <c r="K85" i="11" s="1"/>
  <c r="K86" i="11" a="1"/>
  <c r="K86" i="11" s="1"/>
  <c r="K87" i="11" a="1"/>
  <c r="K87" i="11" s="1"/>
  <c r="K88" i="11" a="1"/>
  <c r="K88" i="11" s="1"/>
  <c r="K89" i="11" a="1"/>
  <c r="K89" i="11" s="1"/>
  <c r="K90" i="11" a="1"/>
  <c r="K90" i="11" s="1"/>
  <c r="K91" i="11" a="1"/>
  <c r="K91" i="11" s="1"/>
  <c r="K92" i="11" a="1"/>
  <c r="K92" i="11" s="1"/>
  <c r="K93" i="11" a="1"/>
  <c r="K93" i="11" s="1"/>
  <c r="K94" i="11" a="1"/>
  <c r="K94" i="11" s="1"/>
  <c r="K95" i="11" a="1"/>
  <c r="K95" i="11" s="1"/>
  <c r="K96" i="11" a="1"/>
  <c r="K96" i="11" s="1"/>
  <c r="K97" i="11" a="1"/>
  <c r="K97" i="11" s="1"/>
  <c r="K98" i="11" a="1"/>
  <c r="K98" i="11" s="1"/>
  <c r="K99" i="11" a="1"/>
  <c r="K99" i="11" s="1"/>
  <c r="K100" i="11" a="1"/>
  <c r="K100" i="11" s="1"/>
  <c r="K101" i="11" a="1"/>
  <c r="K101" i="11" s="1"/>
  <c r="K102" i="11" a="1"/>
  <c r="K102" i="11" s="1"/>
  <c r="K103" i="11" a="1"/>
  <c r="K103" i="11" s="1"/>
  <c r="K104" i="11" a="1"/>
  <c r="K104" i="11" s="1"/>
  <c r="K105" i="11" a="1"/>
  <c r="K105" i="11" s="1"/>
  <c r="K106" i="11" a="1"/>
  <c r="K106" i="11" s="1"/>
  <c r="K107" i="11" a="1"/>
  <c r="K107" i="11" s="1"/>
  <c r="K108" i="11" a="1"/>
  <c r="K108" i="11" s="1"/>
  <c r="K109" i="11" a="1"/>
  <c r="K109" i="11" s="1"/>
  <c r="K110" i="11" a="1"/>
  <c r="K110" i="11" s="1"/>
  <c r="K111" i="11" a="1"/>
  <c r="K111" i="11" s="1"/>
  <c r="K112" i="11" a="1"/>
  <c r="K112" i="11" s="1"/>
  <c r="K113" i="11" a="1"/>
  <c r="K113" i="11" s="1"/>
  <c r="K114" i="11" a="1"/>
  <c r="K114" i="11" s="1"/>
  <c r="K115" i="11" a="1"/>
  <c r="K115" i="11" s="1"/>
  <c r="K116" i="11" a="1"/>
  <c r="K116" i="11" s="1"/>
  <c r="K117" i="11" a="1"/>
  <c r="K117" i="11" s="1"/>
  <c r="K118" i="11" a="1"/>
  <c r="K118" i="11" s="1"/>
  <c r="K119" i="11" a="1"/>
  <c r="K119" i="11" s="1"/>
  <c r="K120" i="11" a="1"/>
  <c r="K120" i="11" s="1"/>
  <c r="K121" i="11" a="1"/>
  <c r="K121" i="11" s="1"/>
  <c r="K122" i="11" a="1"/>
  <c r="K122" i="11" s="1"/>
  <c r="K123" i="11" a="1"/>
  <c r="K123" i="11" s="1"/>
  <c r="K124" i="11" a="1"/>
  <c r="K124" i="11" s="1"/>
  <c r="K125" i="11" a="1"/>
  <c r="K125" i="11" s="1"/>
  <c r="K126" i="11" a="1"/>
  <c r="K126" i="11" s="1"/>
  <c r="K127" i="11" a="1"/>
  <c r="K127" i="11" s="1"/>
  <c r="K128" i="11" a="1"/>
  <c r="K128" i="11" s="1"/>
  <c r="K129" i="11" a="1"/>
  <c r="K129" i="11" s="1"/>
  <c r="K130" i="11" a="1"/>
  <c r="K130" i="11" s="1"/>
  <c r="K131" i="11" a="1"/>
  <c r="K131" i="11" s="1"/>
  <c r="K132" i="11" a="1"/>
  <c r="K132" i="11" s="1"/>
  <c r="K133" i="11" a="1"/>
  <c r="K133" i="11" s="1"/>
  <c r="K134" i="11" a="1"/>
  <c r="K134" i="11" s="1"/>
  <c r="K135" i="11" a="1"/>
  <c r="K135" i="11" s="1"/>
  <c r="K136" i="11" a="1"/>
  <c r="K136" i="11" s="1"/>
  <c r="K137" i="11" a="1"/>
  <c r="K137" i="11" s="1"/>
  <c r="K138" i="11" a="1"/>
  <c r="K138" i="11" s="1"/>
  <c r="K139" i="11" a="1"/>
  <c r="K139" i="11" s="1"/>
  <c r="K140" i="11" a="1"/>
  <c r="K140" i="11" s="1"/>
  <c r="K141" i="11" a="1"/>
  <c r="K141" i="11" s="1"/>
  <c r="K142" i="11" a="1"/>
  <c r="K142" i="11" s="1"/>
  <c r="K143" i="11" a="1"/>
  <c r="K143" i="11" s="1"/>
  <c r="K144" i="11" a="1"/>
  <c r="K144" i="11" s="1"/>
  <c r="K145" i="11" a="1"/>
  <c r="K145" i="11" s="1"/>
  <c r="K146" i="11" a="1"/>
  <c r="K146" i="11" s="1"/>
  <c r="K147" i="11" a="1"/>
  <c r="K147" i="11" s="1"/>
  <c r="K148" i="11" a="1"/>
  <c r="K148" i="11" s="1"/>
  <c r="K149" i="11" a="1"/>
  <c r="K149" i="11" s="1"/>
  <c r="K150" i="11" a="1"/>
  <c r="K150" i="11" s="1"/>
  <c r="K151" i="11" a="1"/>
  <c r="K151" i="11" s="1"/>
  <c r="K152" i="11" a="1"/>
  <c r="K152" i="11" s="1"/>
  <c r="K153" i="11" a="1"/>
  <c r="K153" i="11" s="1"/>
  <c r="K154" i="11" a="1"/>
  <c r="K154" i="11" s="1"/>
  <c r="K155" i="11" a="1"/>
  <c r="K155" i="11" s="1"/>
  <c r="K156" i="11" a="1"/>
  <c r="K156" i="11" s="1"/>
  <c r="K157" i="11" a="1"/>
  <c r="K157" i="11" s="1"/>
  <c r="K158" i="11" a="1"/>
  <c r="K158" i="11" s="1"/>
  <c r="K159" i="11" a="1"/>
  <c r="K159" i="11" s="1"/>
  <c r="K160" i="11" a="1"/>
  <c r="K160" i="11" s="1"/>
  <c r="K161" i="11" a="1"/>
  <c r="K161" i="11" s="1"/>
  <c r="K162" i="11" a="1"/>
  <c r="K162" i="11" s="1"/>
  <c r="K163" i="11" a="1"/>
  <c r="K163" i="11" s="1"/>
  <c r="K164" i="11" a="1"/>
  <c r="K164" i="11" s="1"/>
  <c r="K165" i="11" a="1"/>
  <c r="K165" i="11" s="1"/>
  <c r="K166" i="11" a="1"/>
  <c r="K166" i="11" s="1"/>
  <c r="K167" i="11" a="1"/>
  <c r="K167" i="11" s="1"/>
  <c r="K168" i="11" a="1"/>
  <c r="K168" i="11" s="1"/>
  <c r="K169" i="11" a="1"/>
  <c r="K169" i="11" s="1"/>
  <c r="K170" i="11" a="1"/>
  <c r="K170" i="11" s="1"/>
  <c r="K171" i="11" a="1"/>
  <c r="K171" i="11" s="1"/>
  <c r="K172" i="11" a="1"/>
  <c r="K172" i="11" s="1"/>
  <c r="K173" i="11" a="1"/>
  <c r="K173" i="11" s="1"/>
  <c r="K174" i="11" a="1"/>
  <c r="K174" i="11" s="1"/>
  <c r="K175" i="11" a="1"/>
  <c r="K175" i="11" s="1"/>
  <c r="K176" i="11" a="1"/>
  <c r="K176" i="11" s="1"/>
  <c r="K177" i="11" a="1"/>
  <c r="K177" i="11" s="1"/>
  <c r="K178" i="11" a="1"/>
  <c r="K178" i="11" s="1"/>
  <c r="K179" i="11" a="1"/>
  <c r="K179" i="11" s="1"/>
  <c r="K180" i="11" a="1"/>
  <c r="K180" i="11" s="1"/>
  <c r="K181" i="11" a="1"/>
  <c r="K181" i="11" s="1"/>
  <c r="K182" i="11" a="1"/>
  <c r="K182" i="11" s="1"/>
  <c r="K183" i="11" a="1"/>
  <c r="K183" i="11" s="1"/>
  <c r="K184" i="11" a="1"/>
  <c r="K184" i="11" s="1"/>
  <c r="K185" i="11" a="1"/>
  <c r="K185" i="11" s="1"/>
  <c r="K186" i="11" a="1"/>
  <c r="K186" i="11" s="1"/>
  <c r="K187" i="11" a="1"/>
  <c r="K187" i="11" s="1"/>
  <c r="K188" i="11" a="1"/>
  <c r="K188" i="11" s="1"/>
  <c r="K189" i="11" a="1"/>
  <c r="K189" i="11" s="1"/>
  <c r="K190" i="11" a="1"/>
  <c r="K190" i="11" s="1"/>
  <c r="K191" i="11" a="1"/>
  <c r="K191" i="11" s="1"/>
  <c r="K192" i="11" a="1"/>
  <c r="K192" i="11" s="1"/>
  <c r="K193" i="11" a="1"/>
  <c r="K193" i="11" s="1"/>
  <c r="K194" i="11" a="1"/>
  <c r="K194" i="11" s="1"/>
  <c r="K195" i="11" a="1"/>
  <c r="K195" i="11" s="1"/>
  <c r="K196" i="11" a="1"/>
  <c r="K196" i="11" s="1"/>
  <c r="K197" i="11" a="1"/>
  <c r="K197" i="11" s="1"/>
  <c r="K198" i="11" a="1"/>
  <c r="K198" i="11" s="1"/>
  <c r="K199" i="11" a="1"/>
  <c r="K199" i="11" s="1"/>
  <c r="K200" i="11" a="1"/>
  <c r="K200" i="11" s="1"/>
  <c r="K201" i="11" a="1"/>
  <c r="K201" i="11" s="1"/>
  <c r="K202" i="11" a="1"/>
  <c r="K202" i="11" s="1"/>
  <c r="K203" i="11" a="1"/>
  <c r="K203" i="11" s="1"/>
  <c r="K204" i="11" a="1"/>
  <c r="K204" i="11" s="1"/>
  <c r="K205" i="11" a="1"/>
  <c r="K205" i="11" s="1"/>
  <c r="K206" i="11" a="1"/>
  <c r="K206" i="11" s="1"/>
  <c r="K207" i="11" a="1"/>
  <c r="K207" i="11" s="1"/>
  <c r="K208" i="11" a="1"/>
  <c r="K208" i="11" s="1"/>
  <c r="K209" i="11" a="1"/>
  <c r="K209" i="11" s="1"/>
  <c r="K210" i="11" a="1"/>
  <c r="K210" i="11" s="1"/>
  <c r="K211" i="11" a="1"/>
  <c r="K211" i="11" s="1"/>
  <c r="K212" i="11" a="1"/>
  <c r="K212" i="11" s="1"/>
  <c r="K213" i="11" a="1"/>
  <c r="K213" i="11" s="1"/>
  <c r="K214" i="11" a="1"/>
  <c r="K214" i="11" s="1"/>
  <c r="K215" i="11" a="1"/>
  <c r="K215" i="11" s="1"/>
  <c r="K216" i="11" a="1"/>
  <c r="K216" i="11" s="1"/>
  <c r="K217" i="11" a="1"/>
  <c r="K217" i="11" s="1"/>
  <c r="K218" i="11" a="1"/>
  <c r="K218" i="11" s="1"/>
  <c r="K219" i="11" a="1"/>
  <c r="K219" i="11" s="1"/>
  <c r="K220" i="11" a="1"/>
  <c r="K220" i="11" s="1"/>
  <c r="K221" i="11" a="1"/>
  <c r="K221" i="11" s="1"/>
  <c r="K222" i="11" a="1"/>
  <c r="K222" i="11" s="1"/>
  <c r="K223" i="11" a="1"/>
  <c r="K223" i="11" s="1"/>
  <c r="K224" i="11" a="1"/>
  <c r="K224" i="11" s="1"/>
  <c r="K225" i="11" a="1"/>
  <c r="K225" i="11" s="1"/>
  <c r="K226" i="11" a="1"/>
  <c r="K226" i="11" s="1"/>
  <c r="K227" i="11" a="1"/>
  <c r="K227" i="11" s="1"/>
  <c r="K228" i="11" a="1"/>
  <c r="K228" i="11" s="1"/>
  <c r="K229" i="11" a="1"/>
  <c r="K229" i="11" s="1"/>
  <c r="K230" i="11" a="1"/>
  <c r="K230" i="11" s="1"/>
  <c r="K231" i="11" a="1"/>
  <c r="K231" i="11" s="1"/>
  <c r="K232" i="11" a="1"/>
  <c r="K232" i="11" s="1"/>
  <c r="K233" i="11" a="1"/>
  <c r="K233" i="11" s="1"/>
  <c r="K2" i="11" a="1"/>
  <c r="K2" i="11" s="1"/>
  <c r="N3" i="11" a="1"/>
  <c r="N3" i="11" s="1"/>
  <c r="N4" i="11" a="1"/>
  <c r="N4" i="11" s="1"/>
  <c r="N5" i="11" a="1"/>
  <c r="N5" i="11" s="1"/>
  <c r="N6" i="11" a="1"/>
  <c r="N6" i="11" s="1"/>
  <c r="N7" i="11" a="1"/>
  <c r="N7" i="11" s="1"/>
  <c r="N8" i="11" a="1"/>
  <c r="N8" i="11" s="1"/>
  <c r="N9" i="11" a="1"/>
  <c r="N9" i="11" s="1"/>
  <c r="N10" i="11" a="1"/>
  <c r="N10" i="11" s="1"/>
  <c r="N11" i="11" a="1"/>
  <c r="N11" i="11" s="1"/>
  <c r="N12" i="11" a="1"/>
  <c r="N12" i="11" s="1"/>
  <c r="N13" i="11" a="1"/>
  <c r="N13" i="11" s="1"/>
  <c r="N14" i="11" a="1"/>
  <c r="N14" i="11" s="1"/>
  <c r="N15" i="11" a="1"/>
  <c r="N15" i="11" s="1"/>
  <c r="N16" i="11" a="1"/>
  <c r="N16" i="11" s="1"/>
  <c r="N17" i="11" a="1"/>
  <c r="N17" i="11" s="1"/>
  <c r="N18" i="11" a="1"/>
  <c r="N18" i="11" s="1"/>
  <c r="N19" i="11" a="1"/>
  <c r="N19" i="11" s="1"/>
  <c r="N20" i="11" a="1"/>
  <c r="N20" i="11" s="1"/>
  <c r="N21" i="11" a="1"/>
  <c r="N21" i="11" s="1"/>
  <c r="N22" i="11" a="1"/>
  <c r="N22" i="11" s="1"/>
  <c r="N23" i="11" a="1"/>
  <c r="N23" i="11" s="1"/>
  <c r="N24" i="11" a="1"/>
  <c r="N24" i="11" s="1"/>
  <c r="N25" i="11" a="1"/>
  <c r="N25" i="11" s="1"/>
  <c r="N26" i="11" a="1"/>
  <c r="N26" i="11" s="1"/>
  <c r="N27" i="11" a="1"/>
  <c r="N27" i="11" s="1"/>
  <c r="N28" i="11" a="1"/>
  <c r="N28" i="11" s="1"/>
  <c r="N29" i="11" a="1"/>
  <c r="N29" i="11" s="1"/>
  <c r="N30" i="11" a="1"/>
  <c r="N30" i="11" s="1"/>
  <c r="N31" i="11" a="1"/>
  <c r="N31" i="11" s="1"/>
  <c r="N32" i="11" a="1"/>
  <c r="N32" i="11" s="1"/>
  <c r="N33" i="11" a="1"/>
  <c r="N33" i="11" s="1"/>
  <c r="N34" i="11" a="1"/>
  <c r="N34" i="11" s="1"/>
  <c r="N35" i="11" a="1"/>
  <c r="N35" i="11" s="1"/>
  <c r="N36" i="11" a="1"/>
  <c r="N36" i="11" s="1"/>
  <c r="N37" i="11" a="1"/>
  <c r="N37" i="11" s="1"/>
  <c r="N38" i="11" a="1"/>
  <c r="N38" i="11" s="1"/>
  <c r="N39" i="11" a="1"/>
  <c r="N39" i="11" s="1"/>
  <c r="N40" i="11" a="1"/>
  <c r="N40" i="11" s="1"/>
  <c r="N41" i="11" a="1"/>
  <c r="N41" i="11" s="1"/>
  <c r="N42" i="11" a="1"/>
  <c r="N42" i="11" s="1"/>
  <c r="N43" i="11" a="1"/>
  <c r="N43" i="11" s="1"/>
  <c r="N44" i="11" a="1"/>
  <c r="N44" i="11" s="1"/>
  <c r="N45" i="11" a="1"/>
  <c r="N45" i="11" s="1"/>
  <c r="N46" i="11" a="1"/>
  <c r="N46" i="11" s="1"/>
  <c r="N47" i="11" a="1"/>
  <c r="N47" i="11" s="1"/>
  <c r="N48" i="11" a="1"/>
  <c r="N48" i="11" s="1"/>
  <c r="N49" i="11" a="1"/>
  <c r="N49" i="11" s="1"/>
  <c r="N50" i="11" a="1"/>
  <c r="N50" i="11" s="1"/>
  <c r="N51" i="11" a="1"/>
  <c r="N51" i="11" s="1"/>
  <c r="N52" i="11" a="1"/>
  <c r="N52" i="11" s="1"/>
  <c r="N53" i="11" a="1"/>
  <c r="N53" i="11" s="1"/>
  <c r="N54" i="11" a="1"/>
  <c r="N54" i="11" s="1"/>
  <c r="N55" i="11" a="1"/>
  <c r="N55" i="11" s="1"/>
  <c r="N56" i="11" a="1"/>
  <c r="N56" i="11" s="1"/>
  <c r="N57" i="11" a="1"/>
  <c r="N57" i="11" s="1"/>
  <c r="N58" i="11" a="1"/>
  <c r="N58" i="11" s="1"/>
  <c r="N59" i="11" a="1"/>
  <c r="N59" i="11" s="1"/>
  <c r="N60" i="11" a="1"/>
  <c r="N60" i="11" s="1"/>
  <c r="N61" i="11" a="1"/>
  <c r="N61" i="11" s="1"/>
  <c r="N62" i="11" a="1"/>
  <c r="N62" i="11" s="1"/>
  <c r="N63" i="11" a="1"/>
  <c r="N63" i="11" s="1"/>
  <c r="N64" i="11" a="1"/>
  <c r="N64" i="11" s="1"/>
  <c r="N65" i="11" a="1"/>
  <c r="N65" i="11" s="1"/>
  <c r="N66" i="11" a="1"/>
  <c r="N66" i="11" s="1"/>
  <c r="N67" i="11" a="1"/>
  <c r="N67" i="11" s="1"/>
  <c r="N68" i="11" a="1"/>
  <c r="N68" i="11" s="1"/>
  <c r="N69" i="11" a="1"/>
  <c r="N69" i="11" s="1"/>
  <c r="N70" i="11" a="1"/>
  <c r="N70" i="11" s="1"/>
  <c r="N71" i="11" a="1"/>
  <c r="N71" i="11" s="1"/>
  <c r="N72" i="11" a="1"/>
  <c r="N72" i="11" s="1"/>
  <c r="N73" i="11" a="1"/>
  <c r="N73" i="11" s="1"/>
  <c r="N74" i="11" a="1"/>
  <c r="N74" i="11" s="1"/>
  <c r="N75" i="11" a="1"/>
  <c r="N75" i="11" s="1"/>
  <c r="N76" i="11" a="1"/>
  <c r="N76" i="11" s="1"/>
  <c r="N77" i="11" a="1"/>
  <c r="N77" i="11" s="1"/>
  <c r="N78" i="11" a="1"/>
  <c r="N78" i="11" s="1"/>
  <c r="N79" i="11" a="1"/>
  <c r="N79" i="11" s="1"/>
  <c r="N80" i="11" a="1"/>
  <c r="N80" i="11" s="1"/>
  <c r="N81" i="11" a="1"/>
  <c r="N81" i="11" s="1"/>
  <c r="N82" i="11" a="1"/>
  <c r="N82" i="11" s="1"/>
  <c r="N83" i="11" a="1"/>
  <c r="N83" i="11" s="1"/>
  <c r="N84" i="11" a="1"/>
  <c r="N84" i="11" s="1"/>
  <c r="N85" i="11" a="1"/>
  <c r="N85" i="11" s="1"/>
  <c r="N86" i="11" a="1"/>
  <c r="N86" i="11" s="1"/>
  <c r="N87" i="11" a="1"/>
  <c r="N87" i="11" s="1"/>
  <c r="N88" i="11" a="1"/>
  <c r="N88" i="11" s="1"/>
  <c r="N89" i="11" a="1"/>
  <c r="N89" i="11" s="1"/>
  <c r="N90" i="11" a="1"/>
  <c r="N90" i="11" s="1"/>
  <c r="N91" i="11" a="1"/>
  <c r="N91" i="11" s="1"/>
  <c r="N92" i="11" a="1"/>
  <c r="N92" i="11" s="1"/>
  <c r="N93" i="11" a="1"/>
  <c r="N93" i="11" s="1"/>
  <c r="N94" i="11" a="1"/>
  <c r="N94" i="11" s="1"/>
  <c r="N95" i="11" a="1"/>
  <c r="N95" i="11" s="1"/>
  <c r="N96" i="11" a="1"/>
  <c r="N96" i="11" s="1"/>
  <c r="N97" i="11" a="1"/>
  <c r="N97" i="11" s="1"/>
  <c r="N98" i="11" a="1"/>
  <c r="N98" i="11" s="1"/>
  <c r="N99" i="11" a="1"/>
  <c r="N99" i="11" s="1"/>
  <c r="N100" i="11" a="1"/>
  <c r="N100" i="11" s="1"/>
  <c r="N101" i="11" a="1"/>
  <c r="N101" i="11" s="1"/>
  <c r="N102" i="11" a="1"/>
  <c r="N102" i="11" s="1"/>
  <c r="N103" i="11" a="1"/>
  <c r="N103" i="11" s="1"/>
  <c r="N104" i="11" a="1"/>
  <c r="N104" i="11" s="1"/>
  <c r="N105" i="11" a="1"/>
  <c r="N105" i="11" s="1"/>
  <c r="N106" i="11" a="1"/>
  <c r="N106" i="11" s="1"/>
  <c r="N107" i="11" a="1"/>
  <c r="N107" i="11" s="1"/>
  <c r="N108" i="11" a="1"/>
  <c r="N108" i="11" s="1"/>
  <c r="N109" i="11" a="1"/>
  <c r="N109" i="11" s="1"/>
  <c r="N110" i="11" a="1"/>
  <c r="N110" i="11" s="1"/>
  <c r="N111" i="11" a="1"/>
  <c r="N111" i="11" s="1"/>
  <c r="N112" i="11" a="1"/>
  <c r="N112" i="11" s="1"/>
  <c r="N113" i="11" a="1"/>
  <c r="N113" i="11" s="1"/>
  <c r="N114" i="11" a="1"/>
  <c r="N114" i="11" s="1"/>
  <c r="N115" i="11" a="1"/>
  <c r="N115" i="11" s="1"/>
  <c r="N116" i="11" a="1"/>
  <c r="N116" i="11" s="1"/>
  <c r="N117" i="11" a="1"/>
  <c r="N117" i="11" s="1"/>
  <c r="N118" i="11" a="1"/>
  <c r="N118" i="11" s="1"/>
  <c r="N119" i="11" a="1"/>
  <c r="N119" i="11" s="1"/>
  <c r="N120" i="11" a="1"/>
  <c r="N120" i="11" s="1"/>
  <c r="N121" i="11" a="1"/>
  <c r="N121" i="11" s="1"/>
  <c r="N122" i="11" a="1"/>
  <c r="N122" i="11" s="1"/>
  <c r="N123" i="11" a="1"/>
  <c r="N123" i="11" s="1"/>
  <c r="N124" i="11" a="1"/>
  <c r="N124" i="11" s="1"/>
  <c r="N125" i="11" a="1"/>
  <c r="N125" i="11" s="1"/>
  <c r="N126" i="11" a="1"/>
  <c r="N126" i="11" s="1"/>
  <c r="N127" i="11" a="1"/>
  <c r="N127" i="11" s="1"/>
  <c r="N128" i="11" a="1"/>
  <c r="N128" i="11" s="1"/>
  <c r="N129" i="11" a="1"/>
  <c r="N129" i="11" s="1"/>
  <c r="N130" i="11" a="1"/>
  <c r="N130" i="11" s="1"/>
  <c r="N131" i="11" a="1"/>
  <c r="N131" i="11" s="1"/>
  <c r="N132" i="11" a="1"/>
  <c r="N132" i="11" s="1"/>
  <c r="N133" i="11" a="1"/>
  <c r="N133" i="11" s="1"/>
  <c r="N134" i="11" a="1"/>
  <c r="N134" i="11" s="1"/>
  <c r="N135" i="11" a="1"/>
  <c r="N135" i="11" s="1"/>
  <c r="N136" i="11" a="1"/>
  <c r="N136" i="11" s="1"/>
  <c r="N137" i="11" a="1"/>
  <c r="N137" i="11" s="1"/>
  <c r="N138" i="11" a="1"/>
  <c r="N138" i="11" s="1"/>
  <c r="N139" i="11" a="1"/>
  <c r="N139" i="11" s="1"/>
  <c r="N140" i="11" a="1"/>
  <c r="N140" i="11" s="1"/>
  <c r="N141" i="11" a="1"/>
  <c r="N141" i="11" s="1"/>
  <c r="N142" i="11" a="1"/>
  <c r="N142" i="11" s="1"/>
  <c r="N143" i="11" a="1"/>
  <c r="N143" i="11" s="1"/>
  <c r="N144" i="11" a="1"/>
  <c r="N144" i="11" s="1"/>
  <c r="N145" i="11" a="1"/>
  <c r="N145" i="11" s="1"/>
  <c r="N146" i="11" a="1"/>
  <c r="N146" i="11" s="1"/>
  <c r="N147" i="11" a="1"/>
  <c r="N147" i="11" s="1"/>
  <c r="N148" i="11" a="1"/>
  <c r="N148" i="11" s="1"/>
  <c r="N149" i="11" a="1"/>
  <c r="N149" i="11" s="1"/>
  <c r="N150" i="11" a="1"/>
  <c r="N150" i="11" s="1"/>
  <c r="N151" i="11" a="1"/>
  <c r="N151" i="11" s="1"/>
  <c r="N152" i="11" a="1"/>
  <c r="N152" i="11" s="1"/>
  <c r="N153" i="11" a="1"/>
  <c r="N153" i="11" s="1"/>
  <c r="N154" i="11" a="1"/>
  <c r="N154" i="11" s="1"/>
  <c r="N155" i="11" a="1"/>
  <c r="N155" i="11" s="1"/>
  <c r="N156" i="11" a="1"/>
  <c r="N156" i="11" s="1"/>
  <c r="N157" i="11" a="1"/>
  <c r="N157" i="11" s="1"/>
  <c r="N158" i="11" a="1"/>
  <c r="N158" i="11" s="1"/>
  <c r="N159" i="11" a="1"/>
  <c r="N159" i="11" s="1"/>
  <c r="N160" i="11" a="1"/>
  <c r="N160" i="11" s="1"/>
  <c r="N161" i="11" a="1"/>
  <c r="N161" i="11" s="1"/>
  <c r="N162" i="11" a="1"/>
  <c r="N162" i="11" s="1"/>
  <c r="N163" i="11" a="1"/>
  <c r="N163" i="11" s="1"/>
  <c r="N164" i="11" a="1"/>
  <c r="N164" i="11" s="1"/>
  <c r="N165" i="11" a="1"/>
  <c r="N165" i="11" s="1"/>
  <c r="N166" i="11" a="1"/>
  <c r="N166" i="11" s="1"/>
  <c r="N167" i="11" a="1"/>
  <c r="N167" i="11" s="1"/>
  <c r="N168" i="11" a="1"/>
  <c r="N168" i="11" s="1"/>
  <c r="N169" i="11" a="1"/>
  <c r="N169" i="11" s="1"/>
  <c r="N170" i="11" a="1"/>
  <c r="N170" i="11" s="1"/>
  <c r="N171" i="11" a="1"/>
  <c r="N171" i="11" s="1"/>
  <c r="N172" i="11" a="1"/>
  <c r="N172" i="11" s="1"/>
  <c r="N173" i="11" a="1"/>
  <c r="N173" i="11" s="1"/>
  <c r="N174" i="11" a="1"/>
  <c r="N174" i="11" s="1"/>
  <c r="N175" i="11" a="1"/>
  <c r="N175" i="11" s="1"/>
  <c r="N176" i="11" a="1"/>
  <c r="N176" i="11" s="1"/>
  <c r="N177" i="11" a="1"/>
  <c r="N177" i="11" s="1"/>
  <c r="N178" i="11" a="1"/>
  <c r="N178" i="11" s="1"/>
  <c r="N179" i="11" a="1"/>
  <c r="N179" i="11" s="1"/>
  <c r="N180" i="11" a="1"/>
  <c r="N180" i="11" s="1"/>
  <c r="N181" i="11" a="1"/>
  <c r="N181" i="11" s="1"/>
  <c r="N182" i="11" a="1"/>
  <c r="N182" i="11" s="1"/>
  <c r="N183" i="11" a="1"/>
  <c r="N183" i="11" s="1"/>
  <c r="N184" i="11" a="1"/>
  <c r="N184" i="11" s="1"/>
  <c r="N185" i="11" a="1"/>
  <c r="N185" i="11" s="1"/>
  <c r="N186" i="11" a="1"/>
  <c r="N186" i="11" s="1"/>
  <c r="N187" i="11" a="1"/>
  <c r="N187" i="11" s="1"/>
  <c r="N188" i="11" a="1"/>
  <c r="N188" i="11" s="1"/>
  <c r="N189" i="11" a="1"/>
  <c r="N189" i="11" s="1"/>
  <c r="N190" i="11" a="1"/>
  <c r="N190" i="11" s="1"/>
  <c r="N191" i="11" a="1"/>
  <c r="N191" i="11" s="1"/>
  <c r="N192" i="11" a="1"/>
  <c r="N192" i="11" s="1"/>
  <c r="N193" i="11" a="1"/>
  <c r="N193" i="11" s="1"/>
  <c r="N194" i="11" a="1"/>
  <c r="N194" i="11" s="1"/>
  <c r="N195" i="11" a="1"/>
  <c r="N195" i="11" s="1"/>
  <c r="N196" i="11" a="1"/>
  <c r="N196" i="11" s="1"/>
  <c r="N197" i="11" a="1"/>
  <c r="N197" i="11" s="1"/>
  <c r="N198" i="11" a="1"/>
  <c r="N198" i="11" s="1"/>
  <c r="N199" i="11" a="1"/>
  <c r="N199" i="11" s="1"/>
  <c r="N200" i="11" a="1"/>
  <c r="N200" i="11" s="1"/>
  <c r="N201" i="11" a="1"/>
  <c r="N201" i="11" s="1"/>
  <c r="N202" i="11" a="1"/>
  <c r="N202" i="11" s="1"/>
  <c r="N203" i="11" a="1"/>
  <c r="N203" i="11" s="1"/>
  <c r="N204" i="11" a="1"/>
  <c r="N204" i="11" s="1"/>
  <c r="N205" i="11" a="1"/>
  <c r="N205" i="11" s="1"/>
  <c r="N206" i="11" a="1"/>
  <c r="N206" i="11" s="1"/>
  <c r="N207" i="11" a="1"/>
  <c r="N207" i="11" s="1"/>
  <c r="N208" i="11" a="1"/>
  <c r="N208" i="11" s="1"/>
  <c r="N209" i="11" a="1"/>
  <c r="N209" i="11" s="1"/>
  <c r="N210" i="11" a="1"/>
  <c r="N210" i="11" s="1"/>
  <c r="N211" i="11" a="1"/>
  <c r="N211" i="11" s="1"/>
  <c r="N212" i="11" a="1"/>
  <c r="N212" i="11" s="1"/>
  <c r="N213" i="11" a="1"/>
  <c r="N213" i="11" s="1"/>
  <c r="N214" i="11" a="1"/>
  <c r="N214" i="11" s="1"/>
  <c r="N215" i="11" a="1"/>
  <c r="N215" i="11" s="1"/>
  <c r="N216" i="11" a="1"/>
  <c r="N216" i="11" s="1"/>
  <c r="N217" i="11" a="1"/>
  <c r="N217" i="11" s="1"/>
  <c r="N218" i="11" a="1"/>
  <c r="N218" i="11" s="1"/>
  <c r="N219" i="11" a="1"/>
  <c r="N219" i="11" s="1"/>
  <c r="N220" i="11" a="1"/>
  <c r="N220" i="11" s="1"/>
  <c r="N221" i="11" a="1"/>
  <c r="N221" i="11" s="1"/>
  <c r="N222" i="11" a="1"/>
  <c r="N222" i="11" s="1"/>
  <c r="N223" i="11" a="1"/>
  <c r="N223" i="11" s="1"/>
  <c r="N224" i="11" a="1"/>
  <c r="N224" i="11" s="1"/>
  <c r="N225" i="11" a="1"/>
  <c r="N225" i="11" s="1"/>
  <c r="N226" i="11" a="1"/>
  <c r="N226" i="11" s="1"/>
  <c r="N227" i="11" a="1"/>
  <c r="N227" i="11" s="1"/>
  <c r="N228" i="11" a="1"/>
  <c r="N228" i="11" s="1"/>
  <c r="N229" i="11" a="1"/>
  <c r="N229" i="11" s="1"/>
  <c r="N230" i="11" a="1"/>
  <c r="N230" i="11" s="1"/>
  <c r="N231" i="11" a="1"/>
  <c r="N231" i="11" s="1"/>
  <c r="N232" i="11" a="1"/>
  <c r="N232" i="11" s="1"/>
  <c r="N233" i="11" a="1"/>
  <c r="N233" i="11" s="1"/>
  <c r="N2" i="11" a="1"/>
  <c r="N2" i="11" s="1"/>
  <c r="M3" i="11" a="1"/>
  <c r="M3" i="11" s="1"/>
  <c r="M4" i="11" a="1"/>
  <c r="M4" i="11" s="1"/>
  <c r="M5" i="11" a="1"/>
  <c r="M5" i="11" s="1"/>
  <c r="M6" i="11" a="1"/>
  <c r="M6" i="11" s="1"/>
  <c r="M7" i="11" a="1"/>
  <c r="M7" i="11" s="1"/>
  <c r="M8" i="11" a="1"/>
  <c r="M8" i="11" s="1"/>
  <c r="M9" i="11" a="1"/>
  <c r="M9" i="11" s="1"/>
  <c r="M10" i="11" a="1"/>
  <c r="M10" i="11" s="1"/>
  <c r="M11" i="11" a="1"/>
  <c r="M11" i="11" s="1"/>
  <c r="M12" i="11" a="1"/>
  <c r="M12" i="11" s="1"/>
  <c r="M13" i="11" a="1"/>
  <c r="M13" i="11" s="1"/>
  <c r="M14" i="11" a="1"/>
  <c r="M14" i="11" s="1"/>
  <c r="M15" i="11" a="1"/>
  <c r="M15" i="11" s="1"/>
  <c r="M16" i="11" a="1"/>
  <c r="M16" i="11" s="1"/>
  <c r="M17" i="11" a="1"/>
  <c r="M17" i="11" s="1"/>
  <c r="M18" i="11" a="1"/>
  <c r="M18" i="11" s="1"/>
  <c r="M19" i="11" a="1"/>
  <c r="M19" i="11" s="1"/>
  <c r="M20" i="11" a="1"/>
  <c r="M20" i="11" s="1"/>
  <c r="M21" i="11" a="1"/>
  <c r="M21" i="11" s="1"/>
  <c r="M22" i="11" a="1"/>
  <c r="M22" i="11" s="1"/>
  <c r="M23" i="11" a="1"/>
  <c r="M23" i="11" s="1"/>
  <c r="M24" i="11" a="1"/>
  <c r="M24" i="11" s="1"/>
  <c r="M25" i="11" a="1"/>
  <c r="M25" i="11" s="1"/>
  <c r="M26" i="11" a="1"/>
  <c r="M26" i="11" s="1"/>
  <c r="M27" i="11" a="1"/>
  <c r="M27" i="11" s="1"/>
  <c r="M28" i="11" a="1"/>
  <c r="M28" i="11" s="1"/>
  <c r="M29" i="11" a="1"/>
  <c r="M29" i="11" s="1"/>
  <c r="M30" i="11" a="1"/>
  <c r="M30" i="11" s="1"/>
  <c r="M31" i="11" a="1"/>
  <c r="M31" i="11" s="1"/>
  <c r="M32" i="11" a="1"/>
  <c r="M32" i="11" s="1"/>
  <c r="M33" i="11" a="1"/>
  <c r="M33" i="11" s="1"/>
  <c r="M34" i="11" a="1"/>
  <c r="M34" i="11" s="1"/>
  <c r="M35" i="11" a="1"/>
  <c r="M35" i="11" s="1"/>
  <c r="M36" i="11" a="1"/>
  <c r="M36" i="11" s="1"/>
  <c r="M37" i="11" a="1"/>
  <c r="M37" i="11" s="1"/>
  <c r="M38" i="11" a="1"/>
  <c r="M38" i="11" s="1"/>
  <c r="M39" i="11" a="1"/>
  <c r="M39" i="11" s="1"/>
  <c r="M40" i="11" a="1"/>
  <c r="M40" i="11" s="1"/>
  <c r="M41" i="11" a="1"/>
  <c r="M41" i="11" s="1"/>
  <c r="M42" i="11" a="1"/>
  <c r="M42" i="11" s="1"/>
  <c r="M43" i="11" a="1"/>
  <c r="M43" i="11" s="1"/>
  <c r="M44" i="11" a="1"/>
  <c r="M44" i="11" s="1"/>
  <c r="M45" i="11" a="1"/>
  <c r="M45" i="11" s="1"/>
  <c r="M46" i="11" a="1"/>
  <c r="M46" i="11" s="1"/>
  <c r="M47" i="11" a="1"/>
  <c r="M47" i="11" s="1"/>
  <c r="M48" i="11" a="1"/>
  <c r="M48" i="11" s="1"/>
  <c r="M49" i="11" a="1"/>
  <c r="M49" i="11" s="1"/>
  <c r="M50" i="11" a="1"/>
  <c r="M50" i="11" s="1"/>
  <c r="M51" i="11" a="1"/>
  <c r="M51" i="11" s="1"/>
  <c r="M52" i="11" a="1"/>
  <c r="M52" i="11" s="1"/>
  <c r="M53" i="11" a="1"/>
  <c r="M53" i="11" s="1"/>
  <c r="M54" i="11" a="1"/>
  <c r="M54" i="11" s="1"/>
  <c r="M55" i="11" a="1"/>
  <c r="M55" i="11" s="1"/>
  <c r="M56" i="11" a="1"/>
  <c r="M56" i="11" s="1"/>
  <c r="M57" i="11" a="1"/>
  <c r="M57" i="11" s="1"/>
  <c r="M58" i="11" a="1"/>
  <c r="M58" i="11" s="1"/>
  <c r="M59" i="11" a="1"/>
  <c r="M59" i="11" s="1"/>
  <c r="M60" i="11" a="1"/>
  <c r="M60" i="11" s="1"/>
  <c r="M61" i="11" a="1"/>
  <c r="M61" i="11" s="1"/>
  <c r="M62" i="11" a="1"/>
  <c r="M62" i="11" s="1"/>
  <c r="M63" i="11" a="1"/>
  <c r="M63" i="11" s="1"/>
  <c r="M64" i="11" a="1"/>
  <c r="M64" i="11" s="1"/>
  <c r="M65" i="11" a="1"/>
  <c r="M65" i="11" s="1"/>
  <c r="M66" i="11" a="1"/>
  <c r="M66" i="11" s="1"/>
  <c r="M67" i="11" a="1"/>
  <c r="M67" i="11" s="1"/>
  <c r="M68" i="11" a="1"/>
  <c r="M68" i="11" s="1"/>
  <c r="M69" i="11" a="1"/>
  <c r="M69" i="11" s="1"/>
  <c r="M70" i="11" a="1"/>
  <c r="M70" i="11" s="1"/>
  <c r="M71" i="11" a="1"/>
  <c r="M71" i="11" s="1"/>
  <c r="M72" i="11" a="1"/>
  <c r="M72" i="11" s="1"/>
  <c r="M73" i="11" a="1"/>
  <c r="M73" i="11" s="1"/>
  <c r="M74" i="11" a="1"/>
  <c r="M74" i="11" s="1"/>
  <c r="M75" i="11" a="1"/>
  <c r="M75" i="11" s="1"/>
  <c r="M76" i="11" a="1"/>
  <c r="M76" i="11" s="1"/>
  <c r="M77" i="11" a="1"/>
  <c r="M77" i="11" s="1"/>
  <c r="M78" i="11" a="1"/>
  <c r="M78" i="11" s="1"/>
  <c r="M79" i="11" a="1"/>
  <c r="M79" i="11" s="1"/>
  <c r="M80" i="11" a="1"/>
  <c r="M80" i="11" s="1"/>
  <c r="M81" i="11" a="1"/>
  <c r="M81" i="11" s="1"/>
  <c r="M82" i="11" a="1"/>
  <c r="M82" i="11" s="1"/>
  <c r="M83" i="11" a="1"/>
  <c r="M83" i="11" s="1"/>
  <c r="M84" i="11" a="1"/>
  <c r="M84" i="11" s="1"/>
  <c r="M85" i="11" a="1"/>
  <c r="M85" i="11" s="1"/>
  <c r="M86" i="11" a="1"/>
  <c r="M86" i="11" s="1"/>
  <c r="M87" i="11" a="1"/>
  <c r="M87" i="11" s="1"/>
  <c r="M88" i="11" a="1"/>
  <c r="M88" i="11" s="1"/>
  <c r="M89" i="11" a="1"/>
  <c r="M89" i="11" s="1"/>
  <c r="M90" i="11" a="1"/>
  <c r="M90" i="11" s="1"/>
  <c r="M91" i="11" a="1"/>
  <c r="M91" i="11" s="1"/>
  <c r="M92" i="11" a="1"/>
  <c r="M92" i="11" s="1"/>
  <c r="M93" i="11" a="1"/>
  <c r="M93" i="11" s="1"/>
  <c r="M94" i="11" a="1"/>
  <c r="M94" i="11" s="1"/>
  <c r="M95" i="11" a="1"/>
  <c r="M95" i="11" s="1"/>
  <c r="M96" i="11" a="1"/>
  <c r="M96" i="11" s="1"/>
  <c r="M97" i="11" a="1"/>
  <c r="M97" i="11" s="1"/>
  <c r="M98" i="11" a="1"/>
  <c r="M98" i="11" s="1"/>
  <c r="M99" i="11" a="1"/>
  <c r="M99" i="11" s="1"/>
  <c r="M100" i="11" a="1"/>
  <c r="M100" i="11" s="1"/>
  <c r="M101" i="11" a="1"/>
  <c r="M101" i="11" s="1"/>
  <c r="M102" i="11" a="1"/>
  <c r="M102" i="11" s="1"/>
  <c r="M103" i="11" a="1"/>
  <c r="M103" i="11" s="1"/>
  <c r="M104" i="11" a="1"/>
  <c r="M104" i="11" s="1"/>
  <c r="M105" i="11" a="1"/>
  <c r="M105" i="11" s="1"/>
  <c r="M106" i="11" a="1"/>
  <c r="M106" i="11" s="1"/>
  <c r="M107" i="11" a="1"/>
  <c r="M107" i="11" s="1"/>
  <c r="M108" i="11" a="1"/>
  <c r="M108" i="11" s="1"/>
  <c r="M109" i="11" a="1"/>
  <c r="M109" i="11" s="1"/>
  <c r="M110" i="11" a="1"/>
  <c r="M110" i="11" s="1"/>
  <c r="M111" i="11" a="1"/>
  <c r="M111" i="11" s="1"/>
  <c r="M112" i="11" a="1"/>
  <c r="M112" i="11" s="1"/>
  <c r="M113" i="11" a="1"/>
  <c r="M113" i="11" s="1"/>
  <c r="M114" i="11" a="1"/>
  <c r="M114" i="11" s="1"/>
  <c r="M115" i="11" a="1"/>
  <c r="M115" i="11" s="1"/>
  <c r="M116" i="11" a="1"/>
  <c r="M116" i="11" s="1"/>
  <c r="M117" i="11" a="1"/>
  <c r="M117" i="11" s="1"/>
  <c r="M118" i="11" a="1"/>
  <c r="M118" i="11" s="1"/>
  <c r="M119" i="11" a="1"/>
  <c r="M119" i="11" s="1"/>
  <c r="M120" i="11" a="1"/>
  <c r="M120" i="11" s="1"/>
  <c r="M121" i="11" a="1"/>
  <c r="M121" i="11" s="1"/>
  <c r="M122" i="11" a="1"/>
  <c r="M122" i="11" s="1"/>
  <c r="M123" i="11" a="1"/>
  <c r="M123" i="11" s="1"/>
  <c r="M124" i="11" a="1"/>
  <c r="M124" i="11" s="1"/>
  <c r="M125" i="11" a="1"/>
  <c r="M125" i="11" s="1"/>
  <c r="M126" i="11" a="1"/>
  <c r="M126" i="11" s="1"/>
  <c r="M127" i="11" a="1"/>
  <c r="M127" i="11" s="1"/>
  <c r="M128" i="11" a="1"/>
  <c r="M128" i="11" s="1"/>
  <c r="M129" i="11" a="1"/>
  <c r="M129" i="11" s="1"/>
  <c r="M130" i="11" a="1"/>
  <c r="M130" i="11" s="1"/>
  <c r="M131" i="11" a="1"/>
  <c r="M131" i="11" s="1"/>
  <c r="M132" i="11" a="1"/>
  <c r="M132" i="11" s="1"/>
  <c r="M133" i="11" a="1"/>
  <c r="M133" i="11" s="1"/>
  <c r="M134" i="11" a="1"/>
  <c r="M134" i="11" s="1"/>
  <c r="M135" i="11" a="1"/>
  <c r="M135" i="11" s="1"/>
  <c r="M136" i="11" a="1"/>
  <c r="M136" i="11" s="1"/>
  <c r="M137" i="11" a="1"/>
  <c r="M137" i="11" s="1"/>
  <c r="M138" i="11" a="1"/>
  <c r="M138" i="11" s="1"/>
  <c r="M139" i="11" a="1"/>
  <c r="M139" i="11" s="1"/>
  <c r="M140" i="11" a="1"/>
  <c r="M140" i="11" s="1"/>
  <c r="M141" i="11" a="1"/>
  <c r="M141" i="11" s="1"/>
  <c r="M142" i="11" a="1"/>
  <c r="M142" i="11" s="1"/>
  <c r="M143" i="11" a="1"/>
  <c r="M143" i="11" s="1"/>
  <c r="M144" i="11" a="1"/>
  <c r="M144" i="11" s="1"/>
  <c r="M145" i="11" a="1"/>
  <c r="M145" i="11" s="1"/>
  <c r="M146" i="11" a="1"/>
  <c r="M146" i="11" s="1"/>
  <c r="M147" i="11" a="1"/>
  <c r="M147" i="11" s="1"/>
  <c r="M148" i="11" a="1"/>
  <c r="M148" i="11" s="1"/>
  <c r="M149" i="11" a="1"/>
  <c r="M149" i="11" s="1"/>
  <c r="M150" i="11" a="1"/>
  <c r="M150" i="11" s="1"/>
  <c r="M151" i="11" a="1"/>
  <c r="M151" i="11" s="1"/>
  <c r="M152" i="11" a="1"/>
  <c r="M152" i="11" s="1"/>
  <c r="M153" i="11" a="1"/>
  <c r="M153" i="11" s="1"/>
  <c r="M154" i="11" a="1"/>
  <c r="M154" i="11" s="1"/>
  <c r="M155" i="11" a="1"/>
  <c r="M155" i="11" s="1"/>
  <c r="M156" i="11" a="1"/>
  <c r="M156" i="11" s="1"/>
  <c r="M157" i="11" a="1"/>
  <c r="M157" i="11" s="1"/>
  <c r="M158" i="11" a="1"/>
  <c r="M158" i="11" s="1"/>
  <c r="M159" i="11" a="1"/>
  <c r="M159" i="11" s="1"/>
  <c r="M160" i="11" a="1"/>
  <c r="M160" i="11" s="1"/>
  <c r="M161" i="11" a="1"/>
  <c r="M161" i="11" s="1"/>
  <c r="M162" i="11" a="1"/>
  <c r="M162" i="11" s="1"/>
  <c r="M163" i="11" a="1"/>
  <c r="M163" i="11" s="1"/>
  <c r="M164" i="11" a="1"/>
  <c r="M164" i="11" s="1"/>
  <c r="M165" i="11" a="1"/>
  <c r="M165" i="11" s="1"/>
  <c r="M166" i="11" a="1"/>
  <c r="M166" i="11" s="1"/>
  <c r="M167" i="11" a="1"/>
  <c r="M167" i="11" s="1"/>
  <c r="M168" i="11" a="1"/>
  <c r="M168" i="11" s="1"/>
  <c r="M169" i="11" a="1"/>
  <c r="M169" i="11" s="1"/>
  <c r="M170" i="11" a="1"/>
  <c r="M170" i="11" s="1"/>
  <c r="M171" i="11" a="1"/>
  <c r="M171" i="11" s="1"/>
  <c r="M172" i="11" a="1"/>
  <c r="M172" i="11" s="1"/>
  <c r="M173" i="11" a="1"/>
  <c r="M173" i="11" s="1"/>
  <c r="M174" i="11" a="1"/>
  <c r="M174" i="11" s="1"/>
  <c r="M175" i="11" a="1"/>
  <c r="M175" i="11" s="1"/>
  <c r="M176" i="11" a="1"/>
  <c r="M176" i="11" s="1"/>
  <c r="M177" i="11" a="1"/>
  <c r="M177" i="11" s="1"/>
  <c r="M178" i="11" a="1"/>
  <c r="M178" i="11" s="1"/>
  <c r="M179" i="11" a="1"/>
  <c r="M179" i="11" s="1"/>
  <c r="M180" i="11" a="1"/>
  <c r="M180" i="11" s="1"/>
  <c r="M181" i="11" a="1"/>
  <c r="M181" i="11" s="1"/>
  <c r="M182" i="11" a="1"/>
  <c r="M182" i="11" s="1"/>
  <c r="M183" i="11" a="1"/>
  <c r="M183" i="11" s="1"/>
  <c r="M184" i="11" a="1"/>
  <c r="M184" i="11" s="1"/>
  <c r="M185" i="11" a="1"/>
  <c r="M185" i="11" s="1"/>
  <c r="M186" i="11" a="1"/>
  <c r="M186" i="11" s="1"/>
  <c r="M187" i="11" a="1"/>
  <c r="M187" i="11" s="1"/>
  <c r="M188" i="11" a="1"/>
  <c r="M188" i="11" s="1"/>
  <c r="M189" i="11" a="1"/>
  <c r="M189" i="11" s="1"/>
  <c r="M190" i="11" a="1"/>
  <c r="M190" i="11" s="1"/>
  <c r="M191" i="11" a="1"/>
  <c r="M191" i="11" s="1"/>
  <c r="M192" i="11" a="1"/>
  <c r="M192" i="11" s="1"/>
  <c r="M193" i="11" a="1"/>
  <c r="M193" i="11" s="1"/>
  <c r="M194" i="11" a="1"/>
  <c r="M194" i="11" s="1"/>
  <c r="M195" i="11" a="1"/>
  <c r="M195" i="11" s="1"/>
  <c r="M196" i="11" a="1"/>
  <c r="M196" i="11" s="1"/>
  <c r="M197" i="11" a="1"/>
  <c r="M197" i="11" s="1"/>
  <c r="M198" i="11" a="1"/>
  <c r="M198" i="11" s="1"/>
  <c r="M199" i="11" a="1"/>
  <c r="M199" i="11" s="1"/>
  <c r="M200" i="11" a="1"/>
  <c r="M200" i="11" s="1"/>
  <c r="M201" i="11" a="1"/>
  <c r="M201" i="11" s="1"/>
  <c r="M202" i="11" a="1"/>
  <c r="M202" i="11" s="1"/>
  <c r="M203" i="11" a="1"/>
  <c r="M203" i="11" s="1"/>
  <c r="M204" i="11" a="1"/>
  <c r="M204" i="11" s="1"/>
  <c r="M205" i="11" a="1"/>
  <c r="M205" i="11" s="1"/>
  <c r="M206" i="11" a="1"/>
  <c r="M206" i="11" s="1"/>
  <c r="M207" i="11" a="1"/>
  <c r="M207" i="11" s="1"/>
  <c r="M208" i="11" a="1"/>
  <c r="M208" i="11" s="1"/>
  <c r="M209" i="11" a="1"/>
  <c r="M209" i="11" s="1"/>
  <c r="M210" i="11" a="1"/>
  <c r="M210" i="11" s="1"/>
  <c r="M211" i="11" a="1"/>
  <c r="M211" i="11" s="1"/>
  <c r="M212" i="11" a="1"/>
  <c r="M212" i="11" s="1"/>
  <c r="M213" i="11" a="1"/>
  <c r="M213" i="11" s="1"/>
  <c r="M214" i="11" a="1"/>
  <c r="M214" i="11" s="1"/>
  <c r="M215" i="11" a="1"/>
  <c r="M215" i="11" s="1"/>
  <c r="M216" i="11" a="1"/>
  <c r="M216" i="11" s="1"/>
  <c r="M217" i="11" a="1"/>
  <c r="M217" i="11" s="1"/>
  <c r="M218" i="11" a="1"/>
  <c r="M218" i="11" s="1"/>
  <c r="M219" i="11" a="1"/>
  <c r="M219" i="11" s="1"/>
  <c r="M220" i="11" a="1"/>
  <c r="M220" i="11" s="1"/>
  <c r="M221" i="11" a="1"/>
  <c r="M221" i="11" s="1"/>
  <c r="M222" i="11" a="1"/>
  <c r="M222" i="11" s="1"/>
  <c r="M223" i="11" a="1"/>
  <c r="M223" i="11" s="1"/>
  <c r="M224" i="11" a="1"/>
  <c r="M224" i="11" s="1"/>
  <c r="M225" i="11" a="1"/>
  <c r="M225" i="11" s="1"/>
  <c r="M226" i="11" a="1"/>
  <c r="M226" i="11" s="1"/>
  <c r="M227" i="11" a="1"/>
  <c r="M227" i="11" s="1"/>
  <c r="M228" i="11" a="1"/>
  <c r="M228" i="11" s="1"/>
  <c r="M229" i="11" a="1"/>
  <c r="M229" i="11" s="1"/>
  <c r="M230" i="11" a="1"/>
  <c r="M230" i="11" s="1"/>
  <c r="M231" i="11" a="1"/>
  <c r="M231" i="11" s="1"/>
  <c r="M232" i="11" a="1"/>
  <c r="M232" i="11" s="1"/>
  <c r="M233" i="11" a="1"/>
  <c r="M233" i="11" s="1"/>
  <c r="M2" i="11" a="1"/>
  <c r="M2" i="11" s="1"/>
  <c r="L233" i="11" a="1"/>
  <c r="L233" i="11" s="1"/>
  <c r="L21" i="11" a="1"/>
  <c r="L21" i="11" s="1"/>
  <c r="L22" i="11" a="1"/>
  <c r="L22" i="11" s="1"/>
  <c r="L23" i="11" a="1"/>
  <c r="L23" i="11" s="1"/>
  <c r="L24" i="11" a="1"/>
  <c r="L24" i="11" s="1"/>
  <c r="L25" i="11" a="1"/>
  <c r="L25" i="11" s="1"/>
  <c r="L26" i="11" a="1"/>
  <c r="L26" i="11" s="1"/>
  <c r="L27" i="11" a="1"/>
  <c r="L27" i="11" s="1"/>
  <c r="L28" i="11" a="1"/>
  <c r="L28" i="11" s="1"/>
  <c r="L29" i="11" a="1"/>
  <c r="L29" i="11" s="1"/>
  <c r="L30" i="11" a="1"/>
  <c r="L30" i="11" s="1"/>
  <c r="L31" i="11" a="1"/>
  <c r="L31" i="11" s="1"/>
  <c r="L32" i="11" a="1"/>
  <c r="L32" i="11" s="1"/>
  <c r="L33" i="11" a="1"/>
  <c r="L33" i="11" s="1"/>
  <c r="L34" i="11" a="1"/>
  <c r="L34" i="11" s="1"/>
  <c r="L35" i="11" a="1"/>
  <c r="L35" i="11" s="1"/>
  <c r="L36" i="11" a="1"/>
  <c r="L36" i="11" s="1"/>
  <c r="L37" i="11" a="1"/>
  <c r="L37" i="11" s="1"/>
  <c r="L38" i="11" a="1"/>
  <c r="L38" i="11" s="1"/>
  <c r="L39" i="11" a="1"/>
  <c r="L39" i="11" s="1"/>
  <c r="L40" i="11" a="1"/>
  <c r="L40" i="11" s="1"/>
  <c r="L41" i="11" a="1"/>
  <c r="L41" i="11" s="1"/>
  <c r="L42" i="11" a="1"/>
  <c r="L42" i="11" s="1"/>
  <c r="L43" i="11" a="1"/>
  <c r="L43" i="11" s="1"/>
  <c r="L44" i="11" a="1"/>
  <c r="L44" i="11" s="1"/>
  <c r="L45" i="11" a="1"/>
  <c r="L45" i="11" s="1"/>
  <c r="L46" i="11" a="1"/>
  <c r="L46" i="11" s="1"/>
  <c r="L47" i="11" a="1"/>
  <c r="L47" i="11" s="1"/>
  <c r="L48" i="11" a="1"/>
  <c r="L48" i="11" s="1"/>
  <c r="L49" i="11" a="1"/>
  <c r="L49" i="11" s="1"/>
  <c r="L50" i="11" a="1"/>
  <c r="L50" i="11" s="1"/>
  <c r="L51" i="11" a="1"/>
  <c r="L51" i="11" s="1"/>
  <c r="L52" i="11" a="1"/>
  <c r="L52" i="11" s="1"/>
  <c r="L53" i="11" a="1"/>
  <c r="L53" i="11" s="1"/>
  <c r="L54" i="11" a="1"/>
  <c r="L54" i="11" s="1"/>
  <c r="L55" i="11" a="1"/>
  <c r="L55" i="11" s="1"/>
  <c r="L56" i="11" a="1"/>
  <c r="L56" i="11" s="1"/>
  <c r="L57" i="11" a="1"/>
  <c r="L57" i="11" s="1"/>
  <c r="L58" i="11" a="1"/>
  <c r="L58" i="11" s="1"/>
  <c r="L59" i="11" a="1"/>
  <c r="L59" i="11" s="1"/>
  <c r="L60" i="11" a="1"/>
  <c r="L60" i="11" s="1"/>
  <c r="L61" i="11" a="1"/>
  <c r="L61" i="11" s="1"/>
  <c r="L62" i="11" a="1"/>
  <c r="L62" i="11" s="1"/>
  <c r="L63" i="11" a="1"/>
  <c r="L63" i="11" s="1"/>
  <c r="L64" i="11" a="1"/>
  <c r="L64" i="11" s="1"/>
  <c r="L65" i="11" a="1"/>
  <c r="L65" i="11" s="1"/>
  <c r="L66" i="11" a="1"/>
  <c r="L66" i="11" s="1"/>
  <c r="L67" i="11" a="1"/>
  <c r="L67" i="11" s="1"/>
  <c r="L68" i="11" a="1"/>
  <c r="L68" i="11" s="1"/>
  <c r="L69" i="11" a="1"/>
  <c r="L69" i="11" s="1"/>
  <c r="L70" i="11" a="1"/>
  <c r="L70" i="11" s="1"/>
  <c r="L71" i="11" a="1"/>
  <c r="L71" i="11" s="1"/>
  <c r="L72" i="11" a="1"/>
  <c r="L72" i="11" s="1"/>
  <c r="L73" i="11" a="1"/>
  <c r="L73" i="11" s="1"/>
  <c r="L74" i="11" a="1"/>
  <c r="L74" i="11" s="1"/>
  <c r="L75" i="11" a="1"/>
  <c r="L75" i="11" s="1"/>
  <c r="L76" i="11" a="1"/>
  <c r="L76" i="11" s="1"/>
  <c r="L77" i="11" a="1"/>
  <c r="L77" i="11" s="1"/>
  <c r="L78" i="11" a="1"/>
  <c r="L78" i="11" s="1"/>
  <c r="L79" i="11" a="1"/>
  <c r="L79" i="11" s="1"/>
  <c r="L80" i="11" a="1"/>
  <c r="L80" i="11" s="1"/>
  <c r="L81" i="11" a="1"/>
  <c r="L81" i="11" s="1"/>
  <c r="L82" i="11" a="1"/>
  <c r="L82" i="11" s="1"/>
  <c r="L83" i="11" a="1"/>
  <c r="L83" i="11" s="1"/>
  <c r="L84" i="11" a="1"/>
  <c r="L84" i="11" s="1"/>
  <c r="L85" i="11" a="1"/>
  <c r="L85" i="11" s="1"/>
  <c r="L86" i="11" a="1"/>
  <c r="L86" i="11" s="1"/>
  <c r="L87" i="11" a="1"/>
  <c r="L87" i="11" s="1"/>
  <c r="L88" i="11" a="1"/>
  <c r="L88" i="11" s="1"/>
  <c r="L89" i="11" a="1"/>
  <c r="L89" i="11" s="1"/>
  <c r="L90" i="11" a="1"/>
  <c r="L90" i="11" s="1"/>
  <c r="L91" i="11" a="1"/>
  <c r="L91" i="11" s="1"/>
  <c r="L92" i="11" a="1"/>
  <c r="L92" i="11" s="1"/>
  <c r="L93" i="11" a="1"/>
  <c r="L93" i="11" s="1"/>
  <c r="L94" i="11" a="1"/>
  <c r="L94" i="11" s="1"/>
  <c r="L95" i="11" a="1"/>
  <c r="L95" i="11" s="1"/>
  <c r="L96" i="11" a="1"/>
  <c r="L96" i="11" s="1"/>
  <c r="L97" i="11" a="1"/>
  <c r="L97" i="11" s="1"/>
  <c r="L98" i="11" a="1"/>
  <c r="L98" i="11" s="1"/>
  <c r="L99" i="11" a="1"/>
  <c r="L99" i="11" s="1"/>
  <c r="L100" i="11" a="1"/>
  <c r="L100" i="11" s="1"/>
  <c r="L101" i="11" a="1"/>
  <c r="L101" i="11" s="1"/>
  <c r="L102" i="11" a="1"/>
  <c r="L102" i="11" s="1"/>
  <c r="L103" i="11" a="1"/>
  <c r="L103" i="11" s="1"/>
  <c r="L104" i="11" a="1"/>
  <c r="L104" i="11" s="1"/>
  <c r="L105" i="11" a="1"/>
  <c r="L105" i="11" s="1"/>
  <c r="L106" i="11" a="1"/>
  <c r="L106" i="11" s="1"/>
  <c r="L107" i="11" a="1"/>
  <c r="L107" i="11" s="1"/>
  <c r="L108" i="11" a="1"/>
  <c r="L108" i="11" s="1"/>
  <c r="L109" i="11" a="1"/>
  <c r="L109" i="11" s="1"/>
  <c r="L110" i="11" a="1"/>
  <c r="L110" i="11" s="1"/>
  <c r="L111" i="11" a="1"/>
  <c r="L111" i="11" s="1"/>
  <c r="L112" i="11" a="1"/>
  <c r="L112" i="11" s="1"/>
  <c r="L113" i="11" a="1"/>
  <c r="L113" i="11" s="1"/>
  <c r="L114" i="11" a="1"/>
  <c r="L114" i="11" s="1"/>
  <c r="L115" i="11" a="1"/>
  <c r="L115" i="11" s="1"/>
  <c r="L116" i="11" a="1"/>
  <c r="L116" i="11" s="1"/>
  <c r="L117" i="11" a="1"/>
  <c r="L117" i="11" s="1"/>
  <c r="L118" i="11" a="1"/>
  <c r="L118" i="11" s="1"/>
  <c r="L119" i="11" a="1"/>
  <c r="L119" i="11" s="1"/>
  <c r="L120" i="11" a="1"/>
  <c r="L120" i="11" s="1"/>
  <c r="L121" i="11" a="1"/>
  <c r="L121" i="11" s="1"/>
  <c r="L122" i="11" a="1"/>
  <c r="L122" i="11" s="1"/>
  <c r="L123" i="11" a="1"/>
  <c r="L123" i="11" s="1"/>
  <c r="L124" i="11" a="1"/>
  <c r="L124" i="11" s="1"/>
  <c r="L125" i="11" a="1"/>
  <c r="L125" i="11" s="1"/>
  <c r="L126" i="11" a="1"/>
  <c r="L126" i="11" s="1"/>
  <c r="L127" i="11" a="1"/>
  <c r="L127" i="11" s="1"/>
  <c r="L128" i="11" a="1"/>
  <c r="L128" i="11" s="1"/>
  <c r="L129" i="11" a="1"/>
  <c r="L129" i="11" s="1"/>
  <c r="L130" i="11" a="1"/>
  <c r="L130" i="11" s="1"/>
  <c r="L131" i="11" a="1"/>
  <c r="L131" i="11" s="1"/>
  <c r="L132" i="11" a="1"/>
  <c r="L132" i="11" s="1"/>
  <c r="L133" i="11" a="1"/>
  <c r="L133" i="11" s="1"/>
  <c r="L134" i="11" a="1"/>
  <c r="L134" i="11" s="1"/>
  <c r="L135" i="11" a="1"/>
  <c r="L135" i="11" s="1"/>
  <c r="L136" i="11" a="1"/>
  <c r="L136" i="11" s="1"/>
  <c r="L137" i="11" a="1"/>
  <c r="L137" i="11" s="1"/>
  <c r="L138" i="11" a="1"/>
  <c r="L138" i="11" s="1"/>
  <c r="L139" i="11" a="1"/>
  <c r="L139" i="11" s="1"/>
  <c r="L140" i="11" a="1"/>
  <c r="L140" i="11" s="1"/>
  <c r="L141" i="11" a="1"/>
  <c r="L141" i="11" s="1"/>
  <c r="L142" i="11" a="1"/>
  <c r="L142" i="11" s="1"/>
  <c r="L143" i="11" a="1"/>
  <c r="L143" i="11" s="1"/>
  <c r="L144" i="11" a="1"/>
  <c r="L144" i="11" s="1"/>
  <c r="L145" i="11" a="1"/>
  <c r="L145" i="11" s="1"/>
  <c r="L146" i="11" a="1"/>
  <c r="L146" i="11" s="1"/>
  <c r="L147" i="11" a="1"/>
  <c r="L147" i="11" s="1"/>
  <c r="L148" i="11" a="1"/>
  <c r="L148" i="11" s="1"/>
  <c r="L149" i="11" a="1"/>
  <c r="L149" i="11" s="1"/>
  <c r="L150" i="11" a="1"/>
  <c r="L150" i="11" s="1"/>
  <c r="L151" i="11" a="1"/>
  <c r="L151" i="11" s="1"/>
  <c r="L152" i="11" a="1"/>
  <c r="L152" i="11" s="1"/>
  <c r="L153" i="11" a="1"/>
  <c r="L153" i="11" s="1"/>
  <c r="L154" i="11" a="1"/>
  <c r="L154" i="11" s="1"/>
  <c r="L155" i="11" a="1"/>
  <c r="L155" i="11" s="1"/>
  <c r="L156" i="11" a="1"/>
  <c r="L156" i="11" s="1"/>
  <c r="L157" i="11" a="1"/>
  <c r="L157" i="11" s="1"/>
  <c r="L158" i="11" a="1"/>
  <c r="L158" i="11" s="1"/>
  <c r="L159" i="11" a="1"/>
  <c r="L159" i="11" s="1"/>
  <c r="L160" i="11" a="1"/>
  <c r="L160" i="11" s="1"/>
  <c r="L161" i="11" a="1"/>
  <c r="L161" i="11" s="1"/>
  <c r="L162" i="11" a="1"/>
  <c r="L162" i="11" s="1"/>
  <c r="L163" i="11" a="1"/>
  <c r="L163" i="11" s="1"/>
  <c r="L164" i="11" a="1"/>
  <c r="L164" i="11" s="1"/>
  <c r="L165" i="11" a="1"/>
  <c r="L165" i="11" s="1"/>
  <c r="L166" i="11" a="1"/>
  <c r="L166" i="11" s="1"/>
  <c r="L167" i="11" a="1"/>
  <c r="L167" i="11" s="1"/>
  <c r="L168" i="11" a="1"/>
  <c r="L168" i="11" s="1"/>
  <c r="L169" i="11" a="1"/>
  <c r="L169" i="11" s="1"/>
  <c r="L170" i="11" a="1"/>
  <c r="L170" i="11" s="1"/>
  <c r="L171" i="11" a="1"/>
  <c r="L171" i="11" s="1"/>
  <c r="L172" i="11" a="1"/>
  <c r="L172" i="11" s="1"/>
  <c r="L173" i="11" a="1"/>
  <c r="L173" i="11" s="1"/>
  <c r="L174" i="11" a="1"/>
  <c r="L174" i="11" s="1"/>
  <c r="L175" i="11" a="1"/>
  <c r="L175" i="11" s="1"/>
  <c r="L176" i="11" a="1"/>
  <c r="L176" i="11" s="1"/>
  <c r="L177" i="11" a="1"/>
  <c r="L177" i="11" s="1"/>
  <c r="L178" i="11" a="1"/>
  <c r="L178" i="11" s="1"/>
  <c r="L179" i="11" a="1"/>
  <c r="L179" i="11" s="1"/>
  <c r="L180" i="11" a="1"/>
  <c r="L180" i="11" s="1"/>
  <c r="L181" i="11" a="1"/>
  <c r="L181" i="11" s="1"/>
  <c r="L182" i="11" a="1"/>
  <c r="L182" i="11" s="1"/>
  <c r="L183" i="11" a="1"/>
  <c r="L183" i="11" s="1"/>
  <c r="L184" i="11" a="1"/>
  <c r="L184" i="11" s="1"/>
  <c r="L185" i="11" a="1"/>
  <c r="L185" i="11" s="1"/>
  <c r="L186" i="11" a="1"/>
  <c r="L186" i="11" s="1"/>
  <c r="L187" i="11" a="1"/>
  <c r="L187" i="11" s="1"/>
  <c r="L188" i="11" a="1"/>
  <c r="L188" i="11" s="1"/>
  <c r="L189" i="11" a="1"/>
  <c r="L189" i="11" s="1"/>
  <c r="L190" i="11" a="1"/>
  <c r="L190" i="11" s="1"/>
  <c r="L191" i="11" a="1"/>
  <c r="L191" i="11" s="1"/>
  <c r="L192" i="11" a="1"/>
  <c r="L192" i="11" s="1"/>
  <c r="L193" i="11" a="1"/>
  <c r="L193" i="11" s="1"/>
  <c r="L194" i="11" a="1"/>
  <c r="L194" i="11" s="1"/>
  <c r="L195" i="11" a="1"/>
  <c r="L195" i="11" s="1"/>
  <c r="L196" i="11" a="1"/>
  <c r="L196" i="11" s="1"/>
  <c r="L197" i="11" a="1"/>
  <c r="L197" i="11" s="1"/>
  <c r="L198" i="11" a="1"/>
  <c r="L198" i="11" s="1"/>
  <c r="L199" i="11" a="1"/>
  <c r="L199" i="11" s="1"/>
  <c r="L200" i="11" a="1"/>
  <c r="L200" i="11" s="1"/>
  <c r="L201" i="11" a="1"/>
  <c r="L201" i="11" s="1"/>
  <c r="L202" i="11" a="1"/>
  <c r="L202" i="11" s="1"/>
  <c r="L203" i="11" a="1"/>
  <c r="L203" i="11" s="1"/>
  <c r="L204" i="11" a="1"/>
  <c r="L204" i="11" s="1"/>
  <c r="L205" i="11" a="1"/>
  <c r="L205" i="11" s="1"/>
  <c r="L206" i="11" a="1"/>
  <c r="L206" i="11" s="1"/>
  <c r="L207" i="11" a="1"/>
  <c r="L207" i="11" s="1"/>
  <c r="L208" i="11" a="1"/>
  <c r="L208" i="11" s="1"/>
  <c r="L209" i="11" a="1"/>
  <c r="L209" i="11" s="1"/>
  <c r="L210" i="11" a="1"/>
  <c r="L210" i="11" s="1"/>
  <c r="L211" i="11" a="1"/>
  <c r="L211" i="11" s="1"/>
  <c r="L212" i="11" a="1"/>
  <c r="L212" i="11" s="1"/>
  <c r="L213" i="11" a="1"/>
  <c r="L213" i="11" s="1"/>
  <c r="L214" i="11" a="1"/>
  <c r="L214" i="11" s="1"/>
  <c r="L215" i="11" a="1"/>
  <c r="L215" i="11" s="1"/>
  <c r="L216" i="11" a="1"/>
  <c r="L216" i="11" s="1"/>
  <c r="L217" i="11" a="1"/>
  <c r="L217" i="11" s="1"/>
  <c r="L218" i="11" a="1"/>
  <c r="L218" i="11" s="1"/>
  <c r="L219" i="11" a="1"/>
  <c r="L219" i="11" s="1"/>
  <c r="L220" i="11" a="1"/>
  <c r="L220" i="11" s="1"/>
  <c r="L221" i="11" a="1"/>
  <c r="L221" i="11" s="1"/>
  <c r="L222" i="11" a="1"/>
  <c r="L222" i="11" s="1"/>
  <c r="L223" i="11" a="1"/>
  <c r="L223" i="11" s="1"/>
  <c r="L224" i="11" a="1"/>
  <c r="L224" i="11" s="1"/>
  <c r="L225" i="11" a="1"/>
  <c r="L225" i="11" s="1"/>
  <c r="L226" i="11" a="1"/>
  <c r="L226" i="11" s="1"/>
  <c r="L227" i="11" a="1"/>
  <c r="L227" i="11" s="1"/>
  <c r="L228" i="11" a="1"/>
  <c r="L228" i="11" s="1"/>
  <c r="L229" i="11" a="1"/>
  <c r="L229" i="11" s="1"/>
  <c r="L230" i="11" a="1"/>
  <c r="L230" i="11" s="1"/>
  <c r="L231" i="11" a="1"/>
  <c r="L231" i="11" s="1"/>
  <c r="L232" i="11" a="1"/>
  <c r="L232" i="11" s="1"/>
  <c r="L3" i="11" a="1"/>
  <c r="L3" i="11" s="1"/>
  <c r="L4" i="11" a="1"/>
  <c r="L4" i="11" s="1"/>
  <c r="L5" i="11" a="1"/>
  <c r="L5" i="11" s="1"/>
  <c r="L6" i="11" a="1"/>
  <c r="L6" i="11" s="1"/>
  <c r="L7" i="11" a="1"/>
  <c r="L7" i="11" s="1"/>
  <c r="L8" i="11" a="1"/>
  <c r="L8" i="11" s="1"/>
  <c r="L9" i="11" a="1"/>
  <c r="L9" i="11" s="1"/>
  <c r="L10" i="11" a="1"/>
  <c r="L10" i="11" s="1"/>
  <c r="L11" i="11" a="1"/>
  <c r="L11" i="11" s="1"/>
  <c r="L12" i="11" a="1"/>
  <c r="L12" i="11" s="1"/>
  <c r="L13" i="11" a="1"/>
  <c r="L13" i="11" s="1"/>
  <c r="L14" i="11" a="1"/>
  <c r="L14" i="11" s="1"/>
  <c r="L15" i="11" a="1"/>
  <c r="L15" i="11" s="1"/>
  <c r="L16" i="11" a="1"/>
  <c r="L16" i="11" s="1"/>
  <c r="L17" i="11" a="1"/>
  <c r="L17" i="11" s="1"/>
  <c r="L18" i="11" a="1"/>
  <c r="L18" i="11" s="1"/>
  <c r="L19" i="11" a="1"/>
  <c r="L19" i="11" s="1"/>
  <c r="L20" i="11" a="1"/>
  <c r="L20" i="11" s="1"/>
  <c r="L2" i="11" a="1"/>
  <c r="L2" i="11" s="1"/>
  <c r="AC87" i="8"/>
  <c r="W3" i="4" s="1"/>
  <c r="AD87" i="8"/>
  <c r="X3" i="4" s="1"/>
  <c r="Y22" i="4"/>
  <c r="Y21" i="4"/>
  <c r="Y20" i="4"/>
  <c r="Y19" i="4"/>
  <c r="Y18" i="4"/>
  <c r="Y17" i="4"/>
  <c r="Y16" i="4"/>
  <c r="Y15" i="4"/>
  <c r="Y14" i="4"/>
  <c r="Y13" i="4"/>
  <c r="Y12" i="4"/>
  <c r="Y11" i="4"/>
  <c r="Y10" i="4"/>
  <c r="Y9" i="4"/>
  <c r="Y8" i="4"/>
  <c r="Y7" i="4"/>
  <c r="U5" i="33" s="1"/>
  <c r="Y6" i="4"/>
  <c r="Y5" i="4"/>
  <c r="AB184" i="22"/>
  <c r="AC184" i="22"/>
  <c r="W17" i="4" s="1"/>
  <c r="AD184" i="22"/>
  <c r="X17" i="4" s="1"/>
  <c r="Y4" i="4"/>
  <c r="Y3" i="4"/>
  <c r="AB155" i="27"/>
  <c r="AC155" i="27"/>
  <c r="W22" i="4" s="1"/>
  <c r="AD155" i="27"/>
  <c r="X22" i="4" s="1"/>
  <c r="AB127" i="26"/>
  <c r="AC127" i="26"/>
  <c r="W21" i="4" s="1"/>
  <c r="AD127" i="26"/>
  <c r="X21" i="4" s="1"/>
  <c r="AB356" i="25"/>
  <c r="AC356" i="25"/>
  <c r="W20" i="4" s="1"/>
  <c r="AD356" i="25"/>
  <c r="X20" i="4" s="1"/>
  <c r="AB303" i="24"/>
  <c r="AC303" i="24"/>
  <c r="W19" i="4" s="1"/>
  <c r="AD303" i="24"/>
  <c r="X19" i="4" s="1"/>
  <c r="AB137" i="23"/>
  <c r="AC137" i="23"/>
  <c r="W18" i="4" s="1"/>
  <c r="AD137" i="23"/>
  <c r="X18" i="4" s="1"/>
  <c r="AB258" i="21"/>
  <c r="AC258" i="21"/>
  <c r="W16" i="4" s="1"/>
  <c r="AD258" i="21"/>
  <c r="X16" i="4" s="1"/>
  <c r="AB177" i="20"/>
  <c r="AC177" i="20"/>
  <c r="W15" i="4" s="1"/>
  <c r="AD177" i="20"/>
  <c r="X15" i="4" s="1"/>
  <c r="AB288" i="19"/>
  <c r="AC288" i="19"/>
  <c r="W14" i="4" s="1"/>
  <c r="AD288" i="19"/>
  <c r="X14" i="4" s="1"/>
  <c r="AB355" i="18"/>
  <c r="AC355" i="18"/>
  <c r="W13" i="4" s="1"/>
  <c r="AD355" i="18"/>
  <c r="X13" i="4" s="1"/>
  <c r="AB57" i="29"/>
  <c r="AC57" i="29"/>
  <c r="W12" i="4" s="1"/>
  <c r="AD57" i="29"/>
  <c r="X12" i="4" s="1"/>
  <c r="AB244" i="30"/>
  <c r="W11" i="4"/>
  <c r="AD244" i="30"/>
  <c r="X11" i="4" s="1"/>
  <c r="AB395" i="16"/>
  <c r="AC395" i="16"/>
  <c r="W10" i="4" s="1"/>
  <c r="AD395" i="16"/>
  <c r="X10" i="4" s="1"/>
  <c r="AB258" i="15"/>
  <c r="AC258" i="15"/>
  <c r="W9" i="4" s="1"/>
  <c r="AD258" i="15"/>
  <c r="X9" i="4" s="1"/>
  <c r="AB224" i="14"/>
  <c r="AC224" i="14"/>
  <c r="W8" i="4" s="1"/>
  <c r="AD224" i="14"/>
  <c r="X8" i="4" s="1"/>
  <c r="AB222" i="17"/>
  <c r="AC222" i="17"/>
  <c r="W7" i="4" s="1"/>
  <c r="AD222" i="17"/>
  <c r="X7" i="4" s="1"/>
  <c r="AB257" i="13"/>
  <c r="AD257" i="13"/>
  <c r="X6" i="4" s="1"/>
  <c r="AA196" i="12"/>
  <c r="AB196" i="12"/>
  <c r="W5" i="4" s="1"/>
  <c r="AC196" i="12"/>
  <c r="X5" i="4" s="1"/>
  <c r="AB87" i="8"/>
  <c r="C5" i="36" l="1"/>
  <c r="C9" i="36"/>
  <c r="C3" i="36"/>
  <c r="C14" i="36"/>
  <c r="C18" i="36"/>
  <c r="C8" i="36"/>
  <c r="C16" i="36"/>
  <c r="C13" i="36"/>
  <c r="C17" i="36"/>
  <c r="C6" i="36"/>
  <c r="C10" i="36"/>
  <c r="C7" i="36"/>
  <c r="C11" i="36"/>
  <c r="C15" i="36"/>
  <c r="C19" i="36"/>
  <c r="T224" i="14"/>
  <c r="O8" i="4" s="1"/>
  <c r="O8" i="7" s="1"/>
  <c r="T258" i="15"/>
  <c r="O9" i="4" s="1"/>
  <c r="O9" i="7" s="1"/>
  <c r="T303" i="24"/>
  <c r="O19" i="4" s="1"/>
  <c r="O19" i="7" s="1"/>
  <c r="T155" i="27"/>
  <c r="O22" i="4" s="1"/>
  <c r="O22" i="7" s="1"/>
  <c r="T257" i="13"/>
  <c r="O6" i="4" s="1"/>
  <c r="O6" i="7" s="1"/>
  <c r="T222" i="17"/>
  <c r="O7" i="4" s="1"/>
  <c r="T234" i="11"/>
  <c r="O4" i="4" s="1"/>
  <c r="O4" i="7" s="1"/>
  <c r="T57" i="29"/>
  <c r="O12" i="4" s="1"/>
  <c r="O12" i="7" s="1"/>
  <c r="T137" i="23"/>
  <c r="O18" i="4" s="1"/>
  <c r="O18" i="7" s="1"/>
  <c r="T87" i="8"/>
  <c r="O3" i="4" s="1"/>
  <c r="O3" i="7" s="1"/>
  <c r="T244" i="30"/>
  <c r="O11" i="4" s="1"/>
  <c r="O11" i="7" s="1"/>
  <c r="T177" i="20"/>
  <c r="O15" i="4" s="1"/>
  <c r="O15" i="7" s="1"/>
  <c r="T258" i="21"/>
  <c r="O16" i="4" s="1"/>
  <c r="O16" i="7" s="1"/>
  <c r="T288" i="19"/>
  <c r="O14" i="4" s="1"/>
  <c r="O14" i="7" s="1"/>
  <c r="T395" i="16"/>
  <c r="O10" i="4" s="1"/>
  <c r="O10" i="7" s="1"/>
  <c r="T184" i="22"/>
  <c r="O17" i="4" s="1"/>
  <c r="T356" i="25"/>
  <c r="O20" i="4" s="1"/>
  <c r="O20" i="7" s="1"/>
  <c r="T355" i="18"/>
  <c r="O13" i="4" s="1"/>
  <c r="T127" i="26"/>
  <c r="O21" i="4" s="1"/>
  <c r="O21" i="7" s="1"/>
  <c r="T196" i="12"/>
  <c r="O5" i="4" s="1"/>
  <c r="O5" i="7" s="1"/>
  <c r="U356" i="25"/>
  <c r="P20" i="4" s="1"/>
  <c r="L24" i="6"/>
  <c r="C24" i="6"/>
  <c r="Y24" i="4"/>
  <c r="W24" i="4"/>
  <c r="S6" i="33"/>
  <c r="T12" i="33"/>
  <c r="U7" i="33"/>
  <c r="X24" i="4"/>
  <c r="C23" i="6"/>
  <c r="S8" i="33"/>
  <c r="U4" i="33"/>
  <c r="S3" i="33"/>
  <c r="T10" i="33"/>
  <c r="T5" i="33"/>
  <c r="T9" i="33"/>
  <c r="S5" i="33"/>
  <c r="S224" i="14"/>
  <c r="N8" i="4" s="1"/>
  <c r="S12" i="33"/>
  <c r="S10" i="33"/>
  <c r="S9" i="33"/>
  <c r="T11" i="33"/>
  <c r="T8" i="33"/>
  <c r="S11" i="33"/>
  <c r="U8" i="33"/>
  <c r="U12" i="33"/>
  <c r="S303" i="24"/>
  <c r="N19" i="4" s="1"/>
  <c r="N19" i="7" s="1"/>
  <c r="S258" i="15"/>
  <c r="N9" i="4" s="1"/>
  <c r="N9" i="7" s="1"/>
  <c r="S288" i="19"/>
  <c r="N14" i="4" s="1"/>
  <c r="N14" i="7" s="1"/>
  <c r="T7" i="33"/>
  <c r="S7" i="33"/>
  <c r="B3" i="6"/>
  <c r="L3" i="6"/>
  <c r="T4" i="33"/>
  <c r="T6" i="33"/>
  <c r="U6" i="33"/>
  <c r="U10" i="33"/>
  <c r="S4" i="33"/>
  <c r="S177" i="20"/>
  <c r="N15" i="4" s="1"/>
  <c r="N15" i="7" s="1"/>
  <c r="S258" i="21"/>
  <c r="N16" i="4" s="1"/>
  <c r="S222" i="17"/>
  <c r="N7" i="4" s="1"/>
  <c r="S57" i="29"/>
  <c r="N12" i="4" s="1"/>
  <c r="N12" i="7" s="1"/>
  <c r="S244" i="30"/>
  <c r="N11" i="4" s="1"/>
  <c r="S184" i="22"/>
  <c r="N17" i="4" s="1"/>
  <c r="S257" i="13"/>
  <c r="N6" i="4" s="1"/>
  <c r="S355" i="18"/>
  <c r="N13" i="4" s="1"/>
  <c r="N13" i="7" s="1"/>
  <c r="S356" i="25"/>
  <c r="N20" i="4" s="1"/>
  <c r="S137" i="23"/>
  <c r="N18" i="4" s="1"/>
  <c r="N18" i="7" s="1"/>
  <c r="S87" i="8"/>
  <c r="N3" i="4" s="1"/>
  <c r="S127" i="26"/>
  <c r="N21" i="4" s="1"/>
  <c r="S234" i="11"/>
  <c r="N4" i="4" s="1"/>
  <c r="G5" i="6"/>
  <c r="K24" i="6"/>
  <c r="K5" i="6"/>
  <c r="G3" i="6"/>
  <c r="C4" i="6"/>
  <c r="K4" i="6"/>
  <c r="H3" i="6"/>
  <c r="I24" i="6"/>
  <c r="D4" i="6"/>
  <c r="L4" i="6"/>
  <c r="I3" i="6"/>
  <c r="T3" i="33"/>
  <c r="E4" i="6"/>
  <c r="C3" i="6"/>
  <c r="J3" i="6"/>
  <c r="I23" i="6"/>
  <c r="G4" i="6"/>
  <c r="D3" i="6"/>
  <c r="K3" i="6"/>
  <c r="U11" i="33"/>
  <c r="U3" i="33"/>
  <c r="F23" i="6"/>
  <c r="H4" i="6"/>
  <c r="E3" i="6"/>
  <c r="L23" i="6"/>
  <c r="E24" i="6"/>
  <c r="I4" i="6"/>
  <c r="F4" i="6"/>
  <c r="U9" i="33"/>
  <c r="E23" i="6"/>
  <c r="J4" i="6"/>
  <c r="F3" i="6"/>
  <c r="S395" i="16"/>
  <c r="N10" i="4" s="1"/>
  <c r="F24" i="6"/>
  <c r="I5" i="6"/>
  <c r="J5" i="6"/>
  <c r="J23" i="6"/>
  <c r="C5" i="6"/>
  <c r="K23" i="6"/>
  <c r="D5" i="6"/>
  <c r="L5" i="6"/>
  <c r="E5" i="6"/>
  <c r="F5" i="6"/>
  <c r="J24" i="6"/>
  <c r="H5" i="6"/>
  <c r="N57" i="29"/>
  <c r="I12" i="4" s="1"/>
  <c r="U5" i="7"/>
  <c r="S155" i="27"/>
  <c r="N22" i="4" s="1"/>
  <c r="N22" i="7" s="1"/>
  <c r="G24" i="6"/>
  <c r="G23" i="6"/>
  <c r="H24" i="6"/>
  <c r="H23" i="6"/>
  <c r="AA21" i="8"/>
  <c r="Z355" i="18"/>
  <c r="U13" i="4" s="1"/>
  <c r="Z288" i="19"/>
  <c r="U14" i="4" s="1"/>
  <c r="U14" i="7" s="1"/>
  <c r="Z57" i="29"/>
  <c r="U12" i="4" s="1"/>
  <c r="U12" i="7" s="1"/>
  <c r="Z356" i="25"/>
  <c r="U20" i="4" s="1"/>
  <c r="U20" i="7" s="1"/>
  <c r="D23" i="6"/>
  <c r="D24" i="6"/>
  <c r="Z155" i="27"/>
  <c r="U22" i="4" s="1"/>
  <c r="U22" i="7" s="1"/>
  <c r="AA69" i="27"/>
  <c r="AA58" i="27"/>
  <c r="AA139" i="27"/>
  <c r="AA34" i="27"/>
  <c r="AA26" i="27"/>
  <c r="AA18" i="27"/>
  <c r="AA10" i="27"/>
  <c r="AA98" i="27"/>
  <c r="AA72" i="27"/>
  <c r="AA59" i="27"/>
  <c r="AA107" i="27"/>
  <c r="Z127" i="26"/>
  <c r="U21" i="4" s="1"/>
  <c r="AA122" i="26"/>
  <c r="AA114" i="26"/>
  <c r="AA80" i="25"/>
  <c r="AA72" i="25"/>
  <c r="AA56" i="25"/>
  <c r="AA34" i="25"/>
  <c r="AA16" i="25"/>
  <c r="AA10" i="25"/>
  <c r="AA186" i="25"/>
  <c r="AA178" i="25"/>
  <c r="AA170" i="25"/>
  <c r="AA213" i="25"/>
  <c r="Z303" i="24"/>
  <c r="U19" i="4" s="1"/>
  <c r="AA153" i="24"/>
  <c r="AA145" i="24"/>
  <c r="AA129" i="24"/>
  <c r="AA203" i="24"/>
  <c r="AA180" i="24"/>
  <c r="AA121" i="24"/>
  <c r="AA220" i="24"/>
  <c r="AA214" i="24"/>
  <c r="AA198" i="24"/>
  <c r="AA187" i="24"/>
  <c r="AA179" i="24"/>
  <c r="AA171" i="24"/>
  <c r="AA163" i="24"/>
  <c r="Z137" i="23"/>
  <c r="U18" i="4" s="1"/>
  <c r="U18" i="7" s="1"/>
  <c r="AA120" i="23"/>
  <c r="AA80" i="23"/>
  <c r="AA112" i="23"/>
  <c r="AA106" i="23"/>
  <c r="AA98" i="23"/>
  <c r="AA136" i="23"/>
  <c r="AA128" i="23"/>
  <c r="Z184" i="22"/>
  <c r="U17" i="4" s="1"/>
  <c r="AA181" i="22"/>
  <c r="AA173" i="22"/>
  <c r="Z258" i="21"/>
  <c r="U16" i="4" s="1"/>
  <c r="U16" i="7" s="1"/>
  <c r="AA231" i="21"/>
  <c r="AA72" i="21"/>
  <c r="AA226" i="21"/>
  <c r="AA218" i="21"/>
  <c r="AA216" i="21"/>
  <c r="AA208" i="21"/>
  <c r="AA186" i="21"/>
  <c r="Z177" i="20"/>
  <c r="U15" i="4" s="1"/>
  <c r="AA230" i="19"/>
  <c r="AA218" i="19"/>
  <c r="AA210" i="19"/>
  <c r="AA202" i="19"/>
  <c r="AA194" i="19"/>
  <c r="AA114" i="19"/>
  <c r="AA106" i="19"/>
  <c r="AA186" i="19"/>
  <c r="AA178" i="19"/>
  <c r="AA170" i="19"/>
  <c r="AA162" i="19"/>
  <c r="AA154" i="19"/>
  <c r="AA98" i="19"/>
  <c r="AA90" i="19"/>
  <c r="AA82" i="19"/>
  <c r="AA146" i="19"/>
  <c r="AA74" i="19"/>
  <c r="AA66" i="19"/>
  <c r="AA58" i="19"/>
  <c r="AA50" i="19"/>
  <c r="AA42" i="19"/>
  <c r="AA10" i="19"/>
  <c r="AA229" i="19"/>
  <c r="AA223" i="19"/>
  <c r="AA219" i="19"/>
  <c r="AA207" i="19"/>
  <c r="AA138" i="19"/>
  <c r="AA130" i="19"/>
  <c r="AA122" i="19"/>
  <c r="AA146" i="18"/>
  <c r="AA114" i="18"/>
  <c r="AA81" i="18"/>
  <c r="AA73" i="18"/>
  <c r="AA283" i="18"/>
  <c r="AA275" i="18"/>
  <c r="AA267" i="18"/>
  <c r="AA251" i="18"/>
  <c r="AA243" i="18"/>
  <c r="AA225" i="18"/>
  <c r="AA217" i="18"/>
  <c r="AA209" i="18"/>
  <c r="AA98" i="18"/>
  <c r="AA113" i="18"/>
  <c r="AA105" i="18"/>
  <c r="AA186" i="18"/>
  <c r="AA97" i="18"/>
  <c r="AA89" i="18"/>
  <c r="AA34" i="29"/>
  <c r="AA10" i="29"/>
  <c r="AA50" i="29"/>
  <c r="Z244" i="30"/>
  <c r="U11" i="4" s="1"/>
  <c r="AA160" i="30"/>
  <c r="AA229" i="30"/>
  <c r="AA227" i="30"/>
  <c r="AA223" i="30"/>
  <c r="AA221" i="30"/>
  <c r="AA217" i="30"/>
  <c r="AA133" i="30"/>
  <c r="AA129" i="30"/>
  <c r="AA127" i="30"/>
  <c r="AA125" i="30"/>
  <c r="AA112" i="30"/>
  <c r="AA104" i="30"/>
  <c r="AA69" i="30"/>
  <c r="AA65" i="30"/>
  <c r="AA63" i="30"/>
  <c r="AA61" i="30"/>
  <c r="AA57" i="30"/>
  <c r="AA55" i="30"/>
  <c r="AA45" i="30"/>
  <c r="AA43" i="30"/>
  <c r="AA41" i="30"/>
  <c r="AA39" i="30"/>
  <c r="AA35" i="30"/>
  <c r="AA33" i="30"/>
  <c r="AA23" i="30"/>
  <c r="AA21" i="30"/>
  <c r="AA19" i="30"/>
  <c r="AA17" i="30"/>
  <c r="AA15" i="30"/>
  <c r="AA13" i="30"/>
  <c r="AA5" i="30"/>
  <c r="AA213" i="30"/>
  <c r="AA207" i="30"/>
  <c r="AA205" i="30"/>
  <c r="AA121" i="30"/>
  <c r="AA119" i="30"/>
  <c r="AA84" i="30"/>
  <c r="AA152" i="30"/>
  <c r="AA82" i="30"/>
  <c r="AA189" i="30"/>
  <c r="AA144" i="30"/>
  <c r="AA140" i="30"/>
  <c r="AA138" i="30"/>
  <c r="AA115" i="30"/>
  <c r="AA80" i="30"/>
  <c r="AA76" i="30"/>
  <c r="AA224" i="30"/>
  <c r="AA136" i="30"/>
  <c r="AA105" i="30"/>
  <c r="AA99" i="30"/>
  <c r="AA97" i="30"/>
  <c r="AA95" i="30"/>
  <c r="AA89" i="30"/>
  <c r="AA87" i="30"/>
  <c r="AA72" i="30"/>
  <c r="AA66" i="30"/>
  <c r="AA64" i="30"/>
  <c r="AA50" i="30"/>
  <c r="AA48" i="30"/>
  <c r="AA32" i="30"/>
  <c r="AA12" i="30"/>
  <c r="AA8" i="30"/>
  <c r="AA6" i="30"/>
  <c r="AA170" i="30"/>
  <c r="AA202" i="30"/>
  <c r="AA200" i="30"/>
  <c r="AA185" i="30"/>
  <c r="AA183" i="30"/>
  <c r="AA181" i="30"/>
  <c r="AA177" i="30"/>
  <c r="AA175" i="30"/>
  <c r="AA173" i="30"/>
  <c r="AA169" i="30"/>
  <c r="AA167" i="30"/>
  <c r="AA165" i="30"/>
  <c r="AA161" i="30"/>
  <c r="AA159" i="30"/>
  <c r="AA201" i="30"/>
  <c r="AA237" i="30"/>
  <c r="AA231" i="30"/>
  <c r="AA194" i="30"/>
  <c r="AA192" i="30"/>
  <c r="AA141" i="30"/>
  <c r="AA137" i="30"/>
  <c r="AA79" i="30"/>
  <c r="AA77" i="30"/>
  <c r="AA42" i="15"/>
  <c r="AA220" i="15"/>
  <c r="AA162" i="12"/>
  <c r="AA90" i="12"/>
  <c r="AA25" i="8"/>
  <c r="AA31" i="8"/>
  <c r="AA58" i="12"/>
  <c r="AA56" i="12"/>
  <c r="AA50" i="12"/>
  <c r="AA23" i="12"/>
  <c r="AA10" i="12"/>
  <c r="AA228" i="13"/>
  <c r="AA204" i="13"/>
  <c r="AA197" i="13"/>
  <c r="AA165" i="13"/>
  <c r="AA156" i="13"/>
  <c r="AA144" i="13"/>
  <c r="AA128" i="13"/>
  <c r="AA77" i="13"/>
  <c r="AA205" i="17"/>
  <c r="AA199" i="17"/>
  <c r="AA183" i="17"/>
  <c r="AA176" i="17"/>
  <c r="AA120" i="17"/>
  <c r="AA41" i="17"/>
  <c r="AA181" i="14"/>
  <c r="AA130" i="14"/>
  <c r="AA82" i="14"/>
  <c r="AA61" i="14"/>
  <c r="AA51" i="14"/>
  <c r="AA256" i="15"/>
  <c r="AA40" i="15"/>
  <c r="AA379" i="16"/>
  <c r="AA331" i="16"/>
  <c r="AA315" i="16"/>
  <c r="AA300" i="16"/>
  <c r="AA256" i="16"/>
  <c r="AA219" i="16"/>
  <c r="AA124" i="16"/>
  <c r="AA114" i="16"/>
  <c r="AA85" i="16"/>
  <c r="AA65" i="16"/>
  <c r="AA31" i="16"/>
  <c r="AA24" i="16"/>
  <c r="AA42" i="29"/>
  <c r="AA40" i="29"/>
  <c r="AA220" i="19"/>
  <c r="AA85" i="8"/>
  <c r="AA77" i="8"/>
  <c r="AA63" i="8"/>
  <c r="AA56" i="8"/>
  <c r="AA49" i="8"/>
  <c r="AA41" i="8"/>
  <c r="AA26" i="8"/>
  <c r="AA18" i="8"/>
  <c r="AA10" i="8"/>
  <c r="AA187" i="12"/>
  <c r="AA146" i="12"/>
  <c r="AA132" i="12"/>
  <c r="AA213" i="15"/>
  <c r="AA205" i="15"/>
  <c r="AA166" i="15"/>
  <c r="AA157" i="15"/>
  <c r="AA109" i="15"/>
  <c r="AA58" i="15"/>
  <c r="AA50" i="15"/>
  <c r="AA240" i="30"/>
  <c r="AA191" i="30"/>
  <c r="AA168" i="30"/>
  <c r="AA154" i="30"/>
  <c r="AA146" i="30"/>
  <c r="AA36" i="30"/>
  <c r="AA29" i="30"/>
  <c r="AA56" i="29"/>
  <c r="AA71" i="18"/>
  <c r="AA56" i="18"/>
  <c r="AA38" i="18"/>
  <c r="AA35" i="18"/>
  <c r="AA30" i="18"/>
  <c r="AA27" i="18"/>
  <c r="AA16" i="18"/>
  <c r="AA8" i="18"/>
  <c r="AA2" i="19"/>
  <c r="AA285" i="19"/>
  <c r="AA277" i="19"/>
  <c r="AA260" i="19"/>
  <c r="AA257" i="19"/>
  <c r="AA254" i="19"/>
  <c r="AA251" i="19"/>
  <c r="AA248" i="19"/>
  <c r="AA245" i="19"/>
  <c r="AA242" i="19"/>
  <c r="AA236" i="19"/>
  <c r="AA234" i="19"/>
  <c r="AA110" i="19"/>
  <c r="AA99" i="19"/>
  <c r="AA71" i="12"/>
  <c r="AA44" i="12"/>
  <c r="AA224" i="13"/>
  <c r="AA196" i="13"/>
  <c r="AA190" i="13"/>
  <c r="AA159" i="13"/>
  <c r="AA137" i="13"/>
  <c r="AA112" i="13"/>
  <c r="AA109" i="13"/>
  <c r="AA94" i="13"/>
  <c r="AA74" i="13"/>
  <c r="AA216" i="17"/>
  <c r="AA210" i="17"/>
  <c r="AA167" i="17"/>
  <c r="AA152" i="17"/>
  <c r="AA147" i="17"/>
  <c r="AA92" i="17"/>
  <c r="AA64" i="17"/>
  <c r="AA58" i="17"/>
  <c r="AA22" i="17"/>
  <c r="AA205" i="14"/>
  <c r="AA195" i="14"/>
  <c r="AA129" i="14"/>
  <c r="AA41" i="14"/>
  <c r="AA29" i="14"/>
  <c r="AA23" i="14"/>
  <c r="AA245" i="15"/>
  <c r="AA221" i="15"/>
  <c r="AA128" i="19"/>
  <c r="AA120" i="19"/>
  <c r="AA57" i="21"/>
  <c r="AA38" i="21"/>
  <c r="AA35" i="21"/>
  <c r="AA30" i="21"/>
  <c r="AA27" i="21"/>
  <c r="AA22" i="21"/>
  <c r="AA19" i="21"/>
  <c r="AA153" i="22"/>
  <c r="AA121" i="22"/>
  <c r="AA100" i="22"/>
  <c r="AA98" i="22"/>
  <c r="AA92" i="22"/>
  <c r="AA82" i="22"/>
  <c r="AA65" i="22"/>
  <c r="AA38" i="22"/>
  <c r="AA24" i="22"/>
  <c r="AA302" i="24"/>
  <c r="AA294" i="24"/>
  <c r="AA286" i="24"/>
  <c r="AA278" i="24"/>
  <c r="AA270" i="24"/>
  <c r="AA262" i="24"/>
  <c r="AA251" i="24"/>
  <c r="AA243" i="24"/>
  <c r="AA78" i="23"/>
  <c r="AA75" i="23"/>
  <c r="AA70" i="23"/>
  <c r="AA64" i="23"/>
  <c r="AA62" i="23"/>
  <c r="AA50" i="23"/>
  <c r="AA42" i="23"/>
  <c r="AA135" i="27"/>
  <c r="AA129" i="27"/>
  <c r="AA119" i="27"/>
  <c r="AA116" i="27"/>
  <c r="AA108" i="27"/>
  <c r="AA64" i="27"/>
  <c r="AA61" i="27"/>
  <c r="AA24" i="27"/>
  <c r="AA83" i="8"/>
  <c r="AA75" i="8"/>
  <c r="AA68" i="8"/>
  <c r="AA54" i="8"/>
  <c r="AA47" i="8"/>
  <c r="AA38" i="8"/>
  <c r="AA32" i="8"/>
  <c r="AA24" i="8"/>
  <c r="AA16" i="8"/>
  <c r="AA8" i="8"/>
  <c r="AA154" i="12"/>
  <c r="AA137" i="12"/>
  <c r="AA135" i="12"/>
  <c r="AA113" i="12"/>
  <c r="AA196" i="30"/>
  <c r="AA149" i="19"/>
  <c r="AA197" i="21"/>
  <c r="AA194" i="21"/>
  <c r="AA157" i="21"/>
  <c r="AA134" i="21"/>
  <c r="AA131" i="21"/>
  <c r="AA101" i="21"/>
  <c r="AA145" i="18"/>
  <c r="AA143" i="18"/>
  <c r="AA124" i="18"/>
  <c r="AA122" i="18"/>
  <c r="AA117" i="18"/>
  <c r="AA282" i="18"/>
  <c r="AA274" i="18"/>
  <c r="AA192" i="18"/>
  <c r="AA172" i="18"/>
  <c r="AA167" i="18"/>
  <c r="AA161" i="18"/>
  <c r="AA206" i="19"/>
  <c r="AA17" i="15"/>
  <c r="AA15" i="15"/>
  <c r="AA8" i="15"/>
  <c r="AA383" i="16"/>
  <c r="AA204" i="30"/>
  <c r="AA4" i="29"/>
  <c r="AA354" i="18"/>
  <c r="AA342" i="18"/>
  <c r="AA333" i="18"/>
  <c r="AA328" i="18"/>
  <c r="AA322" i="18"/>
  <c r="AA307" i="18"/>
  <c r="AA305" i="18"/>
  <c r="AA292" i="18"/>
  <c r="AA290" i="18"/>
  <c r="AA216" i="19"/>
  <c r="AA211" i="19"/>
  <c r="AA36" i="19"/>
  <c r="AA28" i="19"/>
  <c r="AA14" i="19"/>
  <c r="AA6" i="19"/>
  <c r="AA256" i="21"/>
  <c r="AA248" i="21"/>
  <c r="AA243" i="21"/>
  <c r="AA235" i="21"/>
  <c r="AA232" i="21"/>
  <c r="AA198" i="15"/>
  <c r="AA190" i="15"/>
  <c r="AA181" i="15"/>
  <c r="AA176" i="15"/>
  <c r="AA164" i="15"/>
  <c r="AA125" i="15"/>
  <c r="AA100" i="15"/>
  <c r="AA90" i="15"/>
  <c r="AA87" i="15"/>
  <c r="AA74" i="15"/>
  <c r="AA54" i="15"/>
  <c r="AA30" i="29"/>
  <c r="AA27" i="29"/>
  <c r="AA22" i="29"/>
  <c r="AA14" i="29"/>
  <c r="AA11" i="29"/>
  <c r="AA49" i="19"/>
  <c r="AA47" i="19"/>
  <c r="AA347" i="16"/>
  <c r="AA319" i="16"/>
  <c r="AA272" i="16"/>
  <c r="AA253" i="16"/>
  <c r="AA237" i="16"/>
  <c r="AA194" i="16"/>
  <c r="AA159" i="16"/>
  <c r="AA134" i="16"/>
  <c r="AA128" i="16"/>
  <c r="AA79" i="16"/>
  <c r="AA63" i="16"/>
  <c r="AA59" i="16"/>
  <c r="AA25" i="16"/>
  <c r="AA13" i="16"/>
  <c r="AA242" i="30"/>
  <c r="AA235" i="30"/>
  <c r="AA222" i="30"/>
  <c r="AA214" i="30"/>
  <c r="AA199" i="30"/>
  <c r="AA193" i="30"/>
  <c r="AA111" i="30"/>
  <c r="AA103" i="30"/>
  <c r="AA74" i="30"/>
  <c r="AA38" i="30"/>
  <c r="AA31" i="30"/>
  <c r="AA7" i="30"/>
  <c r="AA54" i="29"/>
  <c r="AA38" i="29"/>
  <c r="AA28" i="29"/>
  <c r="AA260" i="18"/>
  <c r="AA256" i="18"/>
  <c r="AA252" i="18"/>
  <c r="AA248" i="18"/>
  <c r="AA207" i="18"/>
  <c r="AA201" i="18"/>
  <c r="AA214" i="19"/>
  <c r="AA166" i="19"/>
  <c r="AA163" i="19"/>
  <c r="AA134" i="19"/>
  <c r="AA123" i="19"/>
  <c r="AA95" i="19"/>
  <c r="AA89" i="19"/>
  <c r="AA87" i="19"/>
  <c r="AA149" i="21"/>
  <c r="AA137" i="21"/>
  <c r="AA118" i="21"/>
  <c r="AA115" i="21"/>
  <c r="AA110" i="21"/>
  <c r="AA107" i="21"/>
  <c r="AA93" i="21"/>
  <c r="AA87" i="21"/>
  <c r="AA63" i="21"/>
  <c r="AA6" i="21"/>
  <c r="AA173" i="20"/>
  <c r="AA167" i="20"/>
  <c r="AA161" i="20"/>
  <c r="AA142" i="20"/>
  <c r="AA135" i="20"/>
  <c r="AA125" i="20"/>
  <c r="AA93" i="20"/>
  <c r="AA70" i="20"/>
  <c r="AA53" i="20"/>
  <c r="AA21" i="20"/>
  <c r="AA13" i="20"/>
  <c r="AA185" i="24"/>
  <c r="AA178" i="24"/>
  <c r="AA57" i="27"/>
  <c r="AA47" i="27"/>
  <c r="AA41" i="27"/>
  <c r="AA8" i="27"/>
  <c r="AA84" i="8"/>
  <c r="AA76" i="8"/>
  <c r="AA69" i="8"/>
  <c r="AA62" i="8"/>
  <c r="AA55" i="8"/>
  <c r="AA48" i="8"/>
  <c r="AA40" i="8"/>
  <c r="AA33" i="8"/>
  <c r="AA17" i="8"/>
  <c r="AA9" i="8"/>
  <c r="AA2" i="12"/>
  <c r="AA190" i="12"/>
  <c r="AA186" i="12"/>
  <c r="AA177" i="12"/>
  <c r="AA150" i="12"/>
  <c r="AA140" i="12"/>
  <c r="AA111" i="12"/>
  <c r="AA108" i="12"/>
  <c r="AA82" i="12"/>
  <c r="AA35" i="12"/>
  <c r="AA17" i="12"/>
  <c r="AA218" i="13"/>
  <c r="AA178" i="13"/>
  <c r="AA127" i="13"/>
  <c r="AA106" i="13"/>
  <c r="AA64" i="13"/>
  <c r="AA32" i="13"/>
  <c r="AA4" i="13"/>
  <c r="AA179" i="17"/>
  <c r="AA170" i="17"/>
  <c r="AA144" i="17"/>
  <c r="AA128" i="17"/>
  <c r="AA114" i="17"/>
  <c r="AA104" i="17"/>
  <c r="AA102" i="17"/>
  <c r="AA80" i="17"/>
  <c r="AA47" i="17"/>
  <c r="AA153" i="14"/>
  <c r="AA105" i="14"/>
  <c r="AA222" i="15"/>
  <c r="AA206" i="15"/>
  <c r="AA197" i="15"/>
  <c r="AA189" i="15"/>
  <c r="AA68" i="15"/>
  <c r="AA53" i="15"/>
  <c r="AA48" i="15"/>
  <c r="AA37" i="15"/>
  <c r="AA10" i="15"/>
  <c r="AA376" i="16"/>
  <c r="AA291" i="16"/>
  <c r="AA227" i="16"/>
  <c r="AA143" i="16"/>
  <c r="AA48" i="16"/>
  <c r="AA188" i="30"/>
  <c r="AA156" i="30"/>
  <c r="AA108" i="30"/>
  <c r="AA234" i="30"/>
  <c r="AA228" i="30"/>
  <c r="AA184" i="30"/>
  <c r="AA176" i="30"/>
  <c r="AA162" i="30"/>
  <c r="AA126" i="30"/>
  <c r="AA118" i="30"/>
  <c r="AA110" i="30"/>
  <c r="AA96" i="30"/>
  <c r="AA88" i="30"/>
  <c r="AA81" i="30"/>
  <c r="AA73" i="30"/>
  <c r="AA58" i="30"/>
  <c r="AA51" i="30"/>
  <c r="AA37" i="30"/>
  <c r="AA30" i="30"/>
  <c r="AA22" i="30"/>
  <c r="AA14" i="30"/>
  <c r="AA46" i="29"/>
  <c r="AA9" i="29"/>
  <c r="AA7" i="29"/>
  <c r="AA352" i="18"/>
  <c r="AA348" i="18"/>
  <c r="AA339" i="18"/>
  <c r="AA337" i="18"/>
  <c r="AA324" i="18"/>
  <c r="AA320" i="18"/>
  <c r="AA311" i="18"/>
  <c r="AA302" i="18"/>
  <c r="AA293" i="18"/>
  <c r="AA288" i="18"/>
  <c r="AA280" i="18"/>
  <c r="AA276" i="18"/>
  <c r="AA272" i="18"/>
  <c r="AA268" i="18"/>
  <c r="AA264" i="18"/>
  <c r="AA258" i="18"/>
  <c r="AA211" i="18"/>
  <c r="AA184" i="18"/>
  <c r="AA147" i="18"/>
  <c r="AA132" i="18"/>
  <c r="AA130" i="18"/>
  <c r="AA125" i="18"/>
  <c r="AA120" i="18"/>
  <c r="AA110" i="18"/>
  <c r="AA199" i="19"/>
  <c r="AA191" i="19"/>
  <c r="AA144" i="19"/>
  <c r="AA118" i="19"/>
  <c r="AA82" i="8"/>
  <c r="AA74" i="8"/>
  <c r="AA67" i="8"/>
  <c r="AA61" i="8"/>
  <c r="AA53" i="8"/>
  <c r="AA46" i="8"/>
  <c r="AA23" i="8"/>
  <c r="AA15" i="8"/>
  <c r="AA7" i="8"/>
  <c r="AA195" i="12"/>
  <c r="AA170" i="12"/>
  <c r="AA139" i="12"/>
  <c r="AA76" i="12"/>
  <c r="AA73" i="12"/>
  <c r="AA19" i="12"/>
  <c r="AA7" i="12"/>
  <c r="AA4" i="12"/>
  <c r="AA162" i="13"/>
  <c r="AA146" i="13"/>
  <c r="AA121" i="13"/>
  <c r="AA70" i="13"/>
  <c r="AA54" i="13"/>
  <c r="AA35" i="13"/>
  <c r="AA200" i="17"/>
  <c r="AA194" i="17"/>
  <c r="AA184" i="17"/>
  <c r="AA160" i="17"/>
  <c r="AA150" i="17"/>
  <c r="AA97" i="17"/>
  <c r="AA55" i="17"/>
  <c r="AA194" i="14"/>
  <c r="AA122" i="14"/>
  <c r="AA115" i="14"/>
  <c r="AA73" i="14"/>
  <c r="AA44" i="14"/>
  <c r="AA2" i="15"/>
  <c r="AA241" i="15"/>
  <c r="AA230" i="15"/>
  <c r="AA202" i="15"/>
  <c r="AA194" i="15"/>
  <c r="AA165" i="15"/>
  <c r="AA160" i="15"/>
  <c r="AA148" i="15"/>
  <c r="AA133" i="15"/>
  <c r="AA102" i="15"/>
  <c r="AA98" i="15"/>
  <c r="AA82" i="15"/>
  <c r="AA65" i="15"/>
  <c r="AA62" i="15"/>
  <c r="AA44" i="15"/>
  <c r="AA27" i="15"/>
  <c r="AA363" i="16"/>
  <c r="AA339" i="16"/>
  <c r="AA321" i="16"/>
  <c r="AA303" i="16"/>
  <c r="AA296" i="16"/>
  <c r="AA211" i="16"/>
  <c r="AA179" i="16"/>
  <c r="AA91" i="16"/>
  <c r="AA233" i="30"/>
  <c r="AA197" i="30"/>
  <c r="AA153" i="30"/>
  <c r="AA145" i="30"/>
  <c r="AA71" i="30"/>
  <c r="AA42" i="30"/>
  <c r="AA53" i="29"/>
  <c r="AA48" i="29"/>
  <c r="AA37" i="29"/>
  <c r="AA32" i="29"/>
  <c r="AA24" i="29"/>
  <c r="AA19" i="29"/>
  <c r="AA16" i="29"/>
  <c r="AA345" i="18"/>
  <c r="AA332" i="18"/>
  <c r="AA330" i="18"/>
  <c r="AA296" i="18"/>
  <c r="AA241" i="18"/>
  <c r="AA236" i="18"/>
  <c r="AA227" i="18"/>
  <c r="AA194" i="18"/>
  <c r="AA188" i="18"/>
  <c r="AA175" i="18"/>
  <c r="AA169" i="18"/>
  <c r="AA158" i="18"/>
  <c r="AA150" i="18"/>
  <c r="AA137" i="18"/>
  <c r="AA135" i="18"/>
  <c r="AA94" i="18"/>
  <c r="AA90" i="18"/>
  <c r="AA205" i="19"/>
  <c r="AA125" i="19"/>
  <c r="AA112" i="19"/>
  <c r="AA70" i="19"/>
  <c r="AA59" i="19"/>
  <c r="AA202" i="21"/>
  <c r="AA185" i="21"/>
  <c r="AA179" i="21"/>
  <c r="AA159" i="21"/>
  <c r="AA153" i="21"/>
  <c r="AA142" i="21"/>
  <c r="AA139" i="21"/>
  <c r="AA136" i="21"/>
  <c r="AA125" i="21"/>
  <c r="AA122" i="21"/>
  <c r="AA117" i="21"/>
  <c r="AA114" i="21"/>
  <c r="AA109" i="21"/>
  <c r="AA103" i="21"/>
  <c r="AA97" i="21"/>
  <c r="AA78" i="21"/>
  <c r="AA70" i="21"/>
  <c r="AA67" i="21"/>
  <c r="AA62" i="21"/>
  <c r="AA46" i="21"/>
  <c r="AA43" i="21"/>
  <c r="AA40" i="21"/>
  <c r="AA32" i="21"/>
  <c r="AA24" i="21"/>
  <c r="AA81" i="8"/>
  <c r="AA73" i="8"/>
  <c r="AA66" i="8"/>
  <c r="AA60" i="8"/>
  <c r="AA52" i="8"/>
  <c r="AA45" i="8"/>
  <c r="AA37" i="8"/>
  <c r="AA30" i="8"/>
  <c r="AA22" i="8"/>
  <c r="AA14" i="8"/>
  <c r="AA6" i="8"/>
  <c r="AA194" i="12"/>
  <c r="AA160" i="12"/>
  <c r="AA138" i="12"/>
  <c r="AA130" i="12"/>
  <c r="AA115" i="12"/>
  <c r="AA110" i="12"/>
  <c r="AA107" i="12"/>
  <c r="AA98" i="12"/>
  <c r="AA96" i="12"/>
  <c r="AA66" i="12"/>
  <c r="AA64" i="12"/>
  <c r="AA43" i="12"/>
  <c r="AA28" i="12"/>
  <c r="AA18" i="12"/>
  <c r="AA244" i="13"/>
  <c r="AA230" i="13"/>
  <c r="AA152" i="13"/>
  <c r="AA149" i="13"/>
  <c r="AA101" i="13"/>
  <c r="AA73" i="13"/>
  <c r="AA59" i="13"/>
  <c r="AA3" i="13"/>
  <c r="AA191" i="17"/>
  <c r="AA178" i="17"/>
  <c r="AA2" i="14"/>
  <c r="AA204" i="14"/>
  <c r="AA198" i="14"/>
  <c r="AA179" i="14"/>
  <c r="AA149" i="14"/>
  <c r="AA139" i="14"/>
  <c r="AA128" i="14"/>
  <c r="AA97" i="14"/>
  <c r="AA63" i="14"/>
  <c r="AA47" i="14"/>
  <c r="AA28" i="14"/>
  <c r="AA9" i="14"/>
  <c r="AA257" i="15"/>
  <c r="AA249" i="15"/>
  <c r="AA229" i="15"/>
  <c r="AA218" i="15"/>
  <c r="AA210" i="15"/>
  <c r="AA196" i="15"/>
  <c r="AA188" i="15"/>
  <c r="AA142" i="15"/>
  <c r="AA89" i="15"/>
  <c r="AA70" i="15"/>
  <c r="AA47" i="15"/>
  <c r="AA30" i="15"/>
  <c r="AA25" i="15"/>
  <c r="AA18" i="15"/>
  <c r="AA13" i="15"/>
  <c r="AA392" i="16"/>
  <c r="AA389" i="16"/>
  <c r="AA352" i="16"/>
  <c r="AA299" i="16"/>
  <c r="AA258" i="16"/>
  <c r="AA245" i="16"/>
  <c r="AA169" i="16"/>
  <c r="AA50" i="16"/>
  <c r="AA33" i="16"/>
  <c r="AA17" i="16"/>
  <c r="AA212" i="30"/>
  <c r="AA232" i="30"/>
  <c r="AA218" i="30"/>
  <c r="AA208" i="18"/>
  <c r="AA200" i="18"/>
  <c r="AA66" i="18"/>
  <c r="AA62" i="18"/>
  <c r="AA48" i="18"/>
  <c r="AA40" i="18"/>
  <c r="AA32" i="18"/>
  <c r="AA21" i="18"/>
  <c r="AA5" i="18"/>
  <c r="AA284" i="19"/>
  <c r="AA271" i="19"/>
  <c r="AA265" i="19"/>
  <c r="AA253" i="19"/>
  <c r="AA250" i="19"/>
  <c r="AA241" i="19"/>
  <c r="AA233" i="19"/>
  <c r="AA222" i="19"/>
  <c r="AA164" i="19"/>
  <c r="AA140" i="19"/>
  <c r="AA80" i="19"/>
  <c r="AA27" i="19"/>
  <c r="AA22" i="19"/>
  <c r="AA16" i="19"/>
  <c r="AA8" i="19"/>
  <c r="AA237" i="21"/>
  <c r="AA234" i="21"/>
  <c r="AA224" i="21"/>
  <c r="AA80" i="8"/>
  <c r="AA72" i="8"/>
  <c r="AA59" i="8"/>
  <c r="AA51" i="8"/>
  <c r="AA44" i="8"/>
  <c r="AA36" i="8"/>
  <c r="AA29" i="8"/>
  <c r="AA13" i="8"/>
  <c r="AA5" i="8"/>
  <c r="AA188" i="12"/>
  <c r="AA148" i="12"/>
  <c r="AA114" i="12"/>
  <c r="AA106" i="12"/>
  <c r="AA84" i="12"/>
  <c r="AA75" i="12"/>
  <c r="AA42" i="12"/>
  <c r="AA198" i="13"/>
  <c r="AA117" i="13"/>
  <c r="AA96" i="13"/>
  <c r="AA93" i="13"/>
  <c r="AA30" i="13"/>
  <c r="AA175" i="17"/>
  <c r="AA168" i="17"/>
  <c r="AA136" i="17"/>
  <c r="AA72" i="17"/>
  <c r="AA46" i="17"/>
  <c r="AA214" i="14"/>
  <c r="AA165" i="14"/>
  <c r="AA159" i="14"/>
  <c r="AA155" i="14"/>
  <c r="AA121" i="14"/>
  <c r="AA107" i="14"/>
  <c r="AA94" i="14"/>
  <c r="AA83" i="14"/>
  <c r="AA226" i="15"/>
  <c r="AA141" i="15"/>
  <c r="AA66" i="15"/>
  <c r="AA55" i="15"/>
  <c r="AA35" i="15"/>
  <c r="AA2" i="16"/>
  <c r="AA314" i="16"/>
  <c r="AA308" i="16"/>
  <c r="AA283" i="16"/>
  <c r="AA270" i="16"/>
  <c r="AA201" i="16"/>
  <c r="AA178" i="16"/>
  <c r="AA120" i="16"/>
  <c r="AA64" i="16"/>
  <c r="AA236" i="30"/>
  <c r="AA259" i="18"/>
  <c r="AA257" i="18"/>
  <c r="AA230" i="18"/>
  <c r="AA218" i="18"/>
  <c r="AA213" i="18"/>
  <c r="AA210" i="18"/>
  <c r="AA93" i="18"/>
  <c r="AA88" i="18"/>
  <c r="AA82" i="18"/>
  <c r="AA80" i="18"/>
  <c r="AA74" i="18"/>
  <c r="AA70" i="18"/>
  <c r="AA64" i="18"/>
  <c r="AA58" i="18"/>
  <c r="AA50" i="18"/>
  <c r="AA42" i="18"/>
  <c r="AA37" i="18"/>
  <c r="AA34" i="18"/>
  <c r="AA29" i="18"/>
  <c r="AA15" i="18"/>
  <c r="AA12" i="18"/>
  <c r="AA7" i="18"/>
  <c r="AA282" i="19"/>
  <c r="AA262" i="19"/>
  <c r="AA259" i="19"/>
  <c r="AA256" i="19"/>
  <c r="AA247" i="19"/>
  <c r="AA244" i="19"/>
  <c r="AA238" i="19"/>
  <c r="AA227" i="19"/>
  <c r="AA187" i="19"/>
  <c r="AA159" i="19"/>
  <c r="AA153" i="19"/>
  <c r="AA151" i="19"/>
  <c r="AA145" i="19"/>
  <c r="AA143" i="19"/>
  <c r="AA85" i="19"/>
  <c r="AA64" i="19"/>
  <c r="AA56" i="19"/>
  <c r="AA53" i="19"/>
  <c r="AA46" i="19"/>
  <c r="AA24" i="19"/>
  <c r="AA13" i="19"/>
  <c r="AA5" i="19"/>
  <c r="AA255" i="21"/>
  <c r="AA247" i="21"/>
  <c r="AA2" i="8"/>
  <c r="AA79" i="8"/>
  <c r="AA71" i="8"/>
  <c r="AA65" i="8"/>
  <c r="AA58" i="8"/>
  <c r="AA50" i="8"/>
  <c r="AA43" i="8"/>
  <c r="AA35" i="8"/>
  <c r="AA28" i="8"/>
  <c r="AA20" i="8"/>
  <c r="AA12" i="8"/>
  <c r="AA4" i="8"/>
  <c r="AA182" i="12"/>
  <c r="AA178" i="12"/>
  <c r="AA123" i="12"/>
  <c r="AA101" i="12"/>
  <c r="AA74" i="12"/>
  <c r="AA27" i="12"/>
  <c r="AA240" i="13"/>
  <c r="AA120" i="13"/>
  <c r="AA72" i="13"/>
  <c r="AA62" i="13"/>
  <c r="AA53" i="13"/>
  <c r="AA218" i="17"/>
  <c r="AA208" i="17"/>
  <c r="AA171" i="17"/>
  <c r="AA157" i="17"/>
  <c r="AA115" i="17"/>
  <c r="AA112" i="17"/>
  <c r="AA85" i="17"/>
  <c r="AA79" i="17"/>
  <c r="AA66" i="17"/>
  <c r="AA51" i="17"/>
  <c r="AA30" i="17"/>
  <c r="AA197" i="14"/>
  <c r="AA138" i="14"/>
  <c r="AA43" i="14"/>
  <c r="AA21" i="14"/>
  <c r="AA17" i="14"/>
  <c r="AA251" i="15"/>
  <c r="AA231" i="15"/>
  <c r="AA212" i="15"/>
  <c r="AA174" i="15"/>
  <c r="AA79" i="15"/>
  <c r="AA52" i="15"/>
  <c r="AA26" i="15"/>
  <c r="AA355" i="16"/>
  <c r="AA329" i="16"/>
  <c r="AA257" i="16"/>
  <c r="AA225" i="16"/>
  <c r="AA204" i="16"/>
  <c r="AA185" i="16"/>
  <c r="AA126" i="16"/>
  <c r="AA53" i="16"/>
  <c r="AA49" i="16"/>
  <c r="AA148" i="30"/>
  <c r="AA2" i="30"/>
  <c r="AA230" i="30"/>
  <c r="AA216" i="30"/>
  <c r="AA273" i="18"/>
  <c r="AA269" i="18"/>
  <c r="AA238" i="18"/>
  <c r="AA103" i="18"/>
  <c r="AA85" i="18"/>
  <c r="AA72" i="18"/>
  <c r="AA53" i="18"/>
  <c r="AA45" i="18"/>
  <c r="AA23" i="18"/>
  <c r="AA20" i="18"/>
  <c r="AA17" i="18"/>
  <c r="AA9" i="18"/>
  <c r="AA4" i="18"/>
  <c r="AA287" i="19"/>
  <c r="AA279" i="19"/>
  <c r="AA276" i="19"/>
  <c r="AA273" i="19"/>
  <c r="AA270" i="19"/>
  <c r="AA267" i="19"/>
  <c r="AA200" i="19"/>
  <c r="AA179" i="19"/>
  <c r="AA161" i="19"/>
  <c r="AA61" i="19"/>
  <c r="AA86" i="8"/>
  <c r="AA78" i="8"/>
  <c r="AA70" i="8"/>
  <c r="AA64" i="8"/>
  <c r="AA57" i="8"/>
  <c r="AA42" i="8"/>
  <c r="AA34" i="8"/>
  <c r="AA27" i="8"/>
  <c r="AA19" i="8"/>
  <c r="AA11" i="8"/>
  <c r="AA3" i="8"/>
  <c r="AA153" i="12"/>
  <c r="AA122" i="12"/>
  <c r="AA120" i="12"/>
  <c r="AA69" i="12"/>
  <c r="AA54" i="12"/>
  <c r="AA26" i="12"/>
  <c r="AA236" i="13"/>
  <c r="AA166" i="13"/>
  <c r="AA110" i="13"/>
  <c r="AA107" i="13"/>
  <c r="AA78" i="13"/>
  <c r="AA202" i="17"/>
  <c r="AA192" i="17"/>
  <c r="AA186" i="17"/>
  <c r="AA148" i="17"/>
  <c r="AA63" i="17"/>
  <c r="AA54" i="17"/>
  <c r="AA113" i="14"/>
  <c r="AA106" i="14"/>
  <c r="AA75" i="14"/>
  <c r="AA46" i="14"/>
  <c r="AA10" i="14"/>
  <c r="AA8" i="14"/>
  <c r="AA182" i="15"/>
  <c r="AA173" i="15"/>
  <c r="AA170" i="15"/>
  <c r="AA149" i="15"/>
  <c r="AA64" i="15"/>
  <c r="AA45" i="15"/>
  <c r="AA34" i="15"/>
  <c r="AA21" i="15"/>
  <c r="AA337" i="16"/>
  <c r="AA323" i="16"/>
  <c r="AA316" i="16"/>
  <c r="AA301" i="16"/>
  <c r="AA269" i="16"/>
  <c r="AA213" i="16"/>
  <c r="AA177" i="16"/>
  <c r="AA156" i="16"/>
  <c r="AA122" i="16"/>
  <c r="AA115" i="16"/>
  <c r="AA76" i="16"/>
  <c r="AA100" i="30"/>
  <c r="AA243" i="30"/>
  <c r="AA186" i="30"/>
  <c r="AA178" i="30"/>
  <c r="AA157" i="30"/>
  <c r="AA128" i="30"/>
  <c r="AA120" i="30"/>
  <c r="AA90" i="30"/>
  <c r="AA53" i="30"/>
  <c r="AA46" i="30"/>
  <c r="AA16" i="30"/>
  <c r="AA44" i="29"/>
  <c r="AA5" i="29"/>
  <c r="AA346" i="18"/>
  <c r="AA329" i="18"/>
  <c r="AA312" i="18"/>
  <c r="AA261" i="18"/>
  <c r="AA253" i="18"/>
  <c r="AA182" i="18"/>
  <c r="AA178" i="18"/>
  <c r="AA168" i="18"/>
  <c r="AA162" i="18"/>
  <c r="AA136" i="18"/>
  <c r="AA126" i="18"/>
  <c r="AA107" i="18"/>
  <c r="AA99" i="18"/>
  <c r="AA77" i="18"/>
  <c r="AA184" i="19"/>
  <c r="AA181" i="19"/>
  <c r="AA174" i="19"/>
  <c r="AA171" i="19"/>
  <c r="AA113" i="19"/>
  <c r="AA111" i="19"/>
  <c r="AA100" i="19"/>
  <c r="AA76" i="19"/>
  <c r="AA20" i="29"/>
  <c r="AA12" i="29"/>
  <c r="AA316" i="18"/>
  <c r="AA314" i="18"/>
  <c r="AA297" i="18"/>
  <c r="AA284" i="18"/>
  <c r="AA265" i="18"/>
  <c r="AA249" i="18"/>
  <c r="AA239" i="18"/>
  <c r="AA233" i="18"/>
  <c r="AA223" i="18"/>
  <c r="AA203" i="18"/>
  <c r="AA198" i="18"/>
  <c r="AA189" i="18"/>
  <c r="AA176" i="18"/>
  <c r="AA173" i="18"/>
  <c r="AA170" i="18"/>
  <c r="AA159" i="18"/>
  <c r="AA153" i="18"/>
  <c r="AA151" i="18"/>
  <c r="AA140" i="18"/>
  <c r="AA138" i="18"/>
  <c r="AA128" i="18"/>
  <c r="AA118" i="18"/>
  <c r="AA111" i="18"/>
  <c r="AA96" i="18"/>
  <c r="AA86" i="18"/>
  <c r="AA78" i="18"/>
  <c r="AA59" i="18"/>
  <c r="AA54" i="18"/>
  <c r="AA51" i="18"/>
  <c r="AA46" i="18"/>
  <c r="AA43" i="18"/>
  <c r="AA24" i="18"/>
  <c r="AA13" i="18"/>
  <c r="AA263" i="19"/>
  <c r="AA239" i="19"/>
  <c r="AA213" i="19"/>
  <c r="AA204" i="19"/>
  <c r="AA192" i="19"/>
  <c r="AA189" i="19"/>
  <c r="AA182" i="19"/>
  <c r="AA136" i="19"/>
  <c r="AA126" i="19"/>
  <c r="AA103" i="19"/>
  <c r="AA72" i="19"/>
  <c r="AA62" i="19"/>
  <c r="AA54" i="19"/>
  <c r="AA51" i="19"/>
  <c r="AA39" i="19"/>
  <c r="AA31" i="19"/>
  <c r="AA2" i="21"/>
  <c r="AA253" i="21"/>
  <c r="AA245" i="21"/>
  <c r="AA240" i="21"/>
  <c r="AA222" i="21"/>
  <c r="AA214" i="21"/>
  <c r="AA211" i="21"/>
  <c r="AA189" i="21"/>
  <c r="AA183" i="21"/>
  <c r="AA180" i="21"/>
  <c r="AA177" i="21"/>
  <c r="AA171" i="21"/>
  <c r="AA166" i="21"/>
  <c r="AA151" i="21"/>
  <c r="AA145" i="21"/>
  <c r="AA123" i="21"/>
  <c r="AA120" i="21"/>
  <c r="AA112" i="21"/>
  <c r="AA95" i="21"/>
  <c r="AA89" i="21"/>
  <c r="AA84" i="21"/>
  <c r="AA65" i="21"/>
  <c r="AA60" i="21"/>
  <c r="AA55" i="21"/>
  <c r="AA52" i="21"/>
  <c r="AA213" i="24"/>
  <c r="AA16" i="27"/>
  <c r="AA5" i="27"/>
  <c r="AA102" i="19"/>
  <c r="AA79" i="19"/>
  <c r="AA48" i="19"/>
  <c r="AA38" i="19"/>
  <c r="AA35" i="19"/>
  <c r="AA30" i="19"/>
  <c r="AA18" i="19"/>
  <c r="AA249" i="21"/>
  <c r="AA239" i="21"/>
  <c r="AA229" i="21"/>
  <c r="AA210" i="21"/>
  <c r="AA205" i="21"/>
  <c r="AA182" i="21"/>
  <c r="AA176" i="21"/>
  <c r="AA165" i="21"/>
  <c r="AA130" i="21"/>
  <c r="AA119" i="21"/>
  <c r="AA111" i="21"/>
  <c r="AA100" i="21"/>
  <c r="AA91" i="21"/>
  <c r="AA88" i="21"/>
  <c r="AA86" i="21"/>
  <c r="AA83" i="21"/>
  <c r="AA80" i="21"/>
  <c r="AA66" i="21"/>
  <c r="AA59" i="21"/>
  <c r="AA51" i="21"/>
  <c r="AA48" i="21"/>
  <c r="AA31" i="21"/>
  <c r="AA23" i="21"/>
  <c r="AA15" i="21"/>
  <c r="AA10" i="21"/>
  <c r="AA166" i="20"/>
  <c r="AA149" i="20"/>
  <c r="AA123" i="20"/>
  <c r="AA114" i="20"/>
  <c r="AA109" i="20"/>
  <c r="AA105" i="20"/>
  <c r="AA100" i="20"/>
  <c r="AA91" i="20"/>
  <c r="AA79" i="20"/>
  <c r="AA65" i="20"/>
  <c r="AA60" i="20"/>
  <c r="AA51" i="20"/>
  <c r="AA42" i="20"/>
  <c r="AA37" i="20"/>
  <c r="AA33" i="20"/>
  <c r="AA28" i="20"/>
  <c r="AA19" i="20"/>
  <c r="AA11" i="20"/>
  <c r="AA6" i="20"/>
  <c r="AA177" i="24"/>
  <c r="AA105" i="23"/>
  <c r="AA103" i="23"/>
  <c r="AA100" i="23"/>
  <c r="AA210" i="30"/>
  <c r="AA130" i="30"/>
  <c r="AA107" i="30"/>
  <c r="AA56" i="30"/>
  <c r="AA49" i="30"/>
  <c r="AA34" i="30"/>
  <c r="AA27" i="30"/>
  <c r="AA4" i="30"/>
  <c r="AA45" i="29"/>
  <c r="AA6" i="29"/>
  <c r="AA341" i="18"/>
  <c r="AA336" i="18"/>
  <c r="AA327" i="18"/>
  <c r="AA315" i="18"/>
  <c r="AA313" i="18"/>
  <c r="AA300" i="18"/>
  <c r="AA298" i="18"/>
  <c r="AA271" i="18"/>
  <c r="AA266" i="18"/>
  <c r="AA250" i="18"/>
  <c r="AA244" i="18"/>
  <c r="AA231" i="18"/>
  <c r="AA229" i="18"/>
  <c r="AA226" i="18"/>
  <c r="AA221" i="18"/>
  <c r="AA216" i="18"/>
  <c r="AA212" i="18"/>
  <c r="AA204" i="18"/>
  <c r="AA202" i="18"/>
  <c r="AA183" i="18"/>
  <c r="AA177" i="18"/>
  <c r="AA152" i="18"/>
  <c r="AA129" i="18"/>
  <c r="AA127" i="18"/>
  <c r="AA112" i="18"/>
  <c r="AA102" i="18"/>
  <c r="AA95" i="18"/>
  <c r="AA39" i="18"/>
  <c r="AA31" i="18"/>
  <c r="AA25" i="18"/>
  <c r="AA261" i="19"/>
  <c r="AA258" i="19"/>
  <c r="AA252" i="19"/>
  <c r="AA249" i="19"/>
  <c r="AA235" i="19"/>
  <c r="AA215" i="19"/>
  <c r="AA208" i="19"/>
  <c r="AA203" i="19"/>
  <c r="AA198" i="19"/>
  <c r="AA193" i="19"/>
  <c r="AA176" i="19"/>
  <c r="AA173" i="19"/>
  <c r="AA158" i="19"/>
  <c r="AA147" i="19"/>
  <c r="AA137" i="19"/>
  <c r="AA135" i="19"/>
  <c r="AA124" i="19"/>
  <c r="AA109" i="19"/>
  <c r="AA104" i="19"/>
  <c r="AA94" i="19"/>
  <c r="AA83" i="19"/>
  <c r="AA73" i="19"/>
  <c r="AA71" i="19"/>
  <c r="AA60" i="19"/>
  <c r="AA52" i="19"/>
  <c r="AA45" i="19"/>
  <c r="AA40" i="19"/>
  <c r="AA32" i="19"/>
  <c r="AA26" i="19"/>
  <c r="AA21" i="19"/>
  <c r="AA15" i="19"/>
  <c r="AA12" i="19"/>
  <c r="AA7" i="19"/>
  <c r="AA4" i="19"/>
  <c r="AA257" i="21"/>
  <c r="AA244" i="21"/>
  <c r="AA236" i="21"/>
  <c r="AA233" i="21"/>
  <c r="AA223" i="21"/>
  <c r="AA193" i="21"/>
  <c r="AA187" i="21"/>
  <c r="AA125" i="23"/>
  <c r="AA151" i="30"/>
  <c r="AA143" i="30"/>
  <c r="AA122" i="30"/>
  <c r="AA114" i="30"/>
  <c r="AA106" i="30"/>
  <c r="AA62" i="30"/>
  <c r="AA26" i="30"/>
  <c r="AA18" i="30"/>
  <c r="AA10" i="30"/>
  <c r="AA55" i="29"/>
  <c r="AA39" i="29"/>
  <c r="AA29" i="29"/>
  <c r="AA26" i="29"/>
  <c r="AA21" i="29"/>
  <c r="AA18" i="29"/>
  <c r="AA13" i="29"/>
  <c r="AA8" i="29"/>
  <c r="AA340" i="18"/>
  <c r="AA338" i="18"/>
  <c r="AA304" i="18"/>
  <c r="AA255" i="18"/>
  <c r="AA242" i="18"/>
  <c r="AA240" i="18"/>
  <c r="AA234" i="18"/>
  <c r="AA224" i="18"/>
  <c r="AA193" i="18"/>
  <c r="AA185" i="18"/>
  <c r="AA166" i="18"/>
  <c r="AA154" i="18"/>
  <c r="AA142" i="18"/>
  <c r="AA121" i="18"/>
  <c r="AA119" i="18"/>
  <c r="AA106" i="18"/>
  <c r="AA104" i="18"/>
  <c r="AA87" i="18"/>
  <c r="AA79" i="18"/>
  <c r="AA57" i="18"/>
  <c r="AA55" i="18"/>
  <c r="AA49" i="18"/>
  <c r="AA47" i="18"/>
  <c r="AA41" i="18"/>
  <c r="AA33" i="18"/>
  <c r="AA14" i="18"/>
  <c r="AA11" i="18"/>
  <c r="AA281" i="19"/>
  <c r="AA264" i="19"/>
  <c r="AA255" i="19"/>
  <c r="AA243" i="19"/>
  <c r="AA240" i="19"/>
  <c r="AA237" i="19"/>
  <c r="AA221" i="19"/>
  <c r="AA217" i="19"/>
  <c r="AA197" i="19"/>
  <c r="AA195" i="19"/>
  <c r="AA183" i="19"/>
  <c r="AA168" i="19"/>
  <c r="AA150" i="19"/>
  <c r="AA127" i="19"/>
  <c r="AA96" i="19"/>
  <c r="AA86" i="19"/>
  <c r="AA63" i="19"/>
  <c r="AA55" i="19"/>
  <c r="AA254" i="21"/>
  <c r="AA251" i="21"/>
  <c r="AA241" i="21"/>
  <c r="AA228" i="21"/>
  <c r="AA220" i="21"/>
  <c r="AA171" i="22"/>
  <c r="AA141" i="22"/>
  <c r="AA129" i="23"/>
  <c r="AA208" i="30"/>
  <c r="AA135" i="30"/>
  <c r="AA113" i="30"/>
  <c r="AA98" i="30"/>
  <c r="AA54" i="30"/>
  <c r="AA47" i="30"/>
  <c r="AA40" i="30"/>
  <c r="AA25" i="30"/>
  <c r="AA9" i="30"/>
  <c r="AA2" i="29"/>
  <c r="AA52" i="29"/>
  <c r="AA47" i="29"/>
  <c r="AA36" i="29"/>
  <c r="AA31" i="29"/>
  <c r="AA23" i="29"/>
  <c r="AA15" i="29"/>
  <c r="AA2" i="18"/>
  <c r="AA353" i="18"/>
  <c r="AA344" i="18"/>
  <c r="AA335" i="18"/>
  <c r="AA326" i="18"/>
  <c r="AA323" i="18"/>
  <c r="AA321" i="18"/>
  <c r="AA308" i="18"/>
  <c r="AA306" i="18"/>
  <c r="AA291" i="18"/>
  <c r="AA289" i="18"/>
  <c r="AA281" i="18"/>
  <c r="AA270" i="18"/>
  <c r="AA228" i="18"/>
  <c r="AA220" i="18"/>
  <c r="AA190" i="18"/>
  <c r="AA174" i="18"/>
  <c r="AA144" i="18"/>
  <c r="AA134" i="18"/>
  <c r="AA123" i="18"/>
  <c r="AA115" i="18"/>
  <c r="AA101" i="18"/>
  <c r="AA83" i="18"/>
  <c r="AA68" i="18"/>
  <c r="AA65" i="18"/>
  <c r="AA63" i="18"/>
  <c r="AA22" i="18"/>
  <c r="AA19" i="18"/>
  <c r="AA6" i="18"/>
  <c r="AA283" i="19"/>
  <c r="AA275" i="19"/>
  <c r="AA266" i="19"/>
  <c r="AA228" i="19"/>
  <c r="AA226" i="19"/>
  <c r="AA190" i="19"/>
  <c r="AA160" i="19"/>
  <c r="AA157" i="19"/>
  <c r="AA152" i="19"/>
  <c r="AA142" i="19"/>
  <c r="AA131" i="19"/>
  <c r="AA121" i="19"/>
  <c r="AA119" i="19"/>
  <c r="AA108" i="19"/>
  <c r="AA93" i="19"/>
  <c r="AA88" i="19"/>
  <c r="AA78" i="19"/>
  <c r="AA67" i="19"/>
  <c r="AA57" i="19"/>
  <c r="AA44" i="19"/>
  <c r="AA34" i="19"/>
  <c r="AA25" i="19"/>
  <c r="AA23" i="19"/>
  <c r="AA20" i="19"/>
  <c r="AA11" i="19"/>
  <c r="AA3" i="19"/>
  <c r="AA225" i="21"/>
  <c r="AA175" i="22"/>
  <c r="AA215" i="21"/>
  <c r="AA201" i="21"/>
  <c r="AA190" i="21"/>
  <c r="AA173" i="21"/>
  <c r="AA167" i="21"/>
  <c r="AA161" i="21"/>
  <c r="AA150" i="21"/>
  <c r="AA133" i="21"/>
  <c r="AA127" i="21"/>
  <c r="AA105" i="21"/>
  <c r="AA94" i="21"/>
  <c r="AA64" i="21"/>
  <c r="AA42" i="21"/>
  <c r="AA37" i="21"/>
  <c r="AA34" i="21"/>
  <c r="AA29" i="21"/>
  <c r="AA26" i="21"/>
  <c r="AA21" i="21"/>
  <c r="AA18" i="21"/>
  <c r="AA13" i="21"/>
  <c r="AA7" i="21"/>
  <c r="AA4" i="21"/>
  <c r="AA174" i="20"/>
  <c r="AA171" i="20"/>
  <c r="AA157" i="20"/>
  <c r="AA151" i="20"/>
  <c r="AA145" i="20"/>
  <c r="AA126" i="20"/>
  <c r="AA119" i="20"/>
  <c r="AA94" i="20"/>
  <c r="AA87" i="20"/>
  <c r="AA82" i="20"/>
  <c r="AA77" i="20"/>
  <c r="AA54" i="20"/>
  <c r="AA47" i="20"/>
  <c r="AA22" i="20"/>
  <c r="AA16" i="20"/>
  <c r="AA14" i="20"/>
  <c r="AA2" i="22"/>
  <c r="AA174" i="22"/>
  <c r="AA169" i="22"/>
  <c r="AA161" i="22"/>
  <c r="AA142" i="22"/>
  <c r="AA139" i="22"/>
  <c r="AA136" i="22"/>
  <c r="AA134" i="22"/>
  <c r="AA131" i="22"/>
  <c r="AA113" i="22"/>
  <c r="AA95" i="22"/>
  <c r="AA84" i="22"/>
  <c r="AA54" i="22"/>
  <c r="AA51" i="22"/>
  <c r="AA46" i="22"/>
  <c r="AA43" i="22"/>
  <c r="AA32" i="22"/>
  <c r="AA18" i="22"/>
  <c r="AA13" i="22"/>
  <c r="AA9" i="22"/>
  <c r="AA7" i="22"/>
  <c r="AA4" i="22"/>
  <c r="AA299" i="24"/>
  <c r="AA291" i="24"/>
  <c r="AA283" i="24"/>
  <c r="AA275" i="24"/>
  <c r="AA267" i="24"/>
  <c r="AA259" i="24"/>
  <c r="AA226" i="24"/>
  <c r="AA192" i="24"/>
  <c r="AA189" i="24"/>
  <c r="AA144" i="24"/>
  <c r="AA136" i="24"/>
  <c r="AA130" i="24"/>
  <c r="AA126" i="24"/>
  <c r="AA122" i="24"/>
  <c r="AA118" i="24"/>
  <c r="AA107" i="24"/>
  <c r="AA99" i="24"/>
  <c r="AA94" i="24"/>
  <c r="AA90" i="24"/>
  <c r="AA84" i="24"/>
  <c r="AA80" i="24"/>
  <c r="AA69" i="24"/>
  <c r="AA66" i="24"/>
  <c r="AA57" i="24"/>
  <c r="AA38" i="24"/>
  <c r="AA26" i="24"/>
  <c r="AA18" i="24"/>
  <c r="AA217" i="21"/>
  <c r="AA209" i="21"/>
  <c r="AA198" i="21"/>
  <c r="AA195" i="21"/>
  <c r="AA184" i="21"/>
  <c r="AA178" i="21"/>
  <c r="AA164" i="21"/>
  <c r="AA155" i="21"/>
  <c r="AA152" i="21"/>
  <c r="AA146" i="21"/>
  <c r="AA141" i="21"/>
  <c r="AA135" i="21"/>
  <c r="AA124" i="21"/>
  <c r="AA121" i="21"/>
  <c r="AA113" i="21"/>
  <c r="AA99" i="21"/>
  <c r="AA96" i="21"/>
  <c r="AA90" i="21"/>
  <c r="AA82" i="21"/>
  <c r="AA77" i="21"/>
  <c r="AA69" i="21"/>
  <c r="AA61" i="21"/>
  <c r="AA56" i="21"/>
  <c r="AA45" i="21"/>
  <c r="AA39" i="21"/>
  <c r="AA159" i="20"/>
  <c r="AA153" i="20"/>
  <c r="AA148" i="20"/>
  <c r="AA136" i="20"/>
  <c r="AA134" i="20"/>
  <c r="AA122" i="20"/>
  <c r="AA117" i="20"/>
  <c r="AA113" i="20"/>
  <c r="AA85" i="20"/>
  <c r="AA59" i="20"/>
  <c r="AA50" i="20"/>
  <c r="AA45" i="20"/>
  <c r="AA41" i="20"/>
  <c r="AA36" i="20"/>
  <c r="AA24" i="20"/>
  <c r="AA8" i="20"/>
  <c r="AA166" i="22"/>
  <c r="AA158" i="22"/>
  <c r="AA155" i="22"/>
  <c r="AA150" i="22"/>
  <c r="AA147" i="22"/>
  <c r="AA144" i="22"/>
  <c r="AA128" i="22"/>
  <c r="AA126" i="22"/>
  <c r="AA123" i="22"/>
  <c r="AA118" i="22"/>
  <c r="AA115" i="22"/>
  <c r="AA105" i="22"/>
  <c r="AA89" i="22"/>
  <c r="AA81" i="22"/>
  <c r="AA70" i="22"/>
  <c r="AA62" i="22"/>
  <c r="AA34" i="22"/>
  <c r="AA29" i="22"/>
  <c r="AA26" i="22"/>
  <c r="AA21" i="22"/>
  <c r="AA296" i="24"/>
  <c r="AA288" i="24"/>
  <c r="AA280" i="24"/>
  <c r="AA272" i="24"/>
  <c r="AA264" i="24"/>
  <c r="AA253" i="24"/>
  <c r="AA245" i="24"/>
  <c r="AA237" i="24"/>
  <c r="AA234" i="24"/>
  <c r="AA228" i="24"/>
  <c r="AA218" i="24"/>
  <c r="AA210" i="24"/>
  <c r="AA199" i="24"/>
  <c r="AA194" i="24"/>
  <c r="AA182" i="24"/>
  <c r="AA134" i="23"/>
  <c r="AA124" i="23"/>
  <c r="AA9" i="25"/>
  <c r="AA4" i="25"/>
  <c r="AA219" i="21"/>
  <c r="AA203" i="21"/>
  <c r="AA181" i="21"/>
  <c r="AA175" i="21"/>
  <c r="AA169" i="21"/>
  <c r="AA158" i="21"/>
  <c r="AA143" i="21"/>
  <c r="AA129" i="21"/>
  <c r="AA102" i="21"/>
  <c r="AA85" i="21"/>
  <c r="AA79" i="21"/>
  <c r="AA71" i="21"/>
  <c r="AA58" i="21"/>
  <c r="AA53" i="21"/>
  <c r="AA47" i="21"/>
  <c r="AA41" i="21"/>
  <c r="AA36" i="21"/>
  <c r="AA33" i="21"/>
  <c r="AA28" i="21"/>
  <c r="AA25" i="21"/>
  <c r="AA170" i="20"/>
  <c r="AA165" i="20"/>
  <c r="AA156" i="20"/>
  <c r="AA139" i="20"/>
  <c r="AA130" i="20"/>
  <c r="AA127" i="20"/>
  <c r="AA104" i="20"/>
  <c r="AA102" i="20"/>
  <c r="AA95" i="20"/>
  <c r="AA81" i="20"/>
  <c r="AA76" i="20"/>
  <c r="AA67" i="20"/>
  <c r="AA64" i="20"/>
  <c r="AA62" i="20"/>
  <c r="AA55" i="20"/>
  <c r="AA32" i="20"/>
  <c r="AA30" i="20"/>
  <c r="AA23" i="20"/>
  <c r="AA18" i="20"/>
  <c r="AA15" i="20"/>
  <c r="AA10" i="20"/>
  <c r="AA5" i="20"/>
  <c r="AA183" i="22"/>
  <c r="AA179" i="22"/>
  <c r="AA163" i="22"/>
  <c r="AA135" i="22"/>
  <c r="AA110" i="22"/>
  <c r="AA97" i="22"/>
  <c r="AA56" i="22"/>
  <c r="AA48" i="22"/>
  <c r="AA36" i="22"/>
  <c r="AA15" i="22"/>
  <c r="AA301" i="24"/>
  <c r="AA293" i="24"/>
  <c r="AA285" i="24"/>
  <c r="AA277" i="24"/>
  <c r="AA269" i="24"/>
  <c r="AA261" i="24"/>
  <c r="AA258" i="24"/>
  <c r="AA250" i="24"/>
  <c r="AA242" i="24"/>
  <c r="AA231" i="24"/>
  <c r="AA222" i="24"/>
  <c r="AA212" i="24"/>
  <c r="AA202" i="24"/>
  <c r="AA196" i="24"/>
  <c r="AA170" i="24"/>
  <c r="AA125" i="24"/>
  <c r="AA117" i="24"/>
  <c r="AA114" i="24"/>
  <c r="AA112" i="24"/>
  <c r="AA102" i="24"/>
  <c r="AA98" i="24"/>
  <c r="AA93" i="24"/>
  <c r="AA83" i="24"/>
  <c r="AA63" i="24"/>
  <c r="AA60" i="24"/>
  <c r="AA51" i="24"/>
  <c r="AA46" i="24"/>
  <c r="AA37" i="24"/>
  <c r="AA23" i="24"/>
  <c r="AA15" i="24"/>
  <c r="AA12" i="24"/>
  <c r="AA11" i="21"/>
  <c r="AA175" i="20"/>
  <c r="AA150" i="20"/>
  <c r="AA133" i="20"/>
  <c r="AA110" i="20"/>
  <c r="AA103" i="20"/>
  <c r="AA63" i="20"/>
  <c r="AA40" i="20"/>
  <c r="AA38" i="20"/>
  <c r="AA31" i="20"/>
  <c r="AA17" i="20"/>
  <c r="AA7" i="20"/>
  <c r="AA4" i="20"/>
  <c r="AA167" i="22"/>
  <c r="AA165" i="22"/>
  <c r="AA157" i="22"/>
  <c r="AA154" i="22"/>
  <c r="AA149" i="22"/>
  <c r="AA146" i="22"/>
  <c r="AA125" i="22"/>
  <c r="AA122" i="22"/>
  <c r="AA117" i="22"/>
  <c r="AA111" i="22"/>
  <c r="AA88" i="22"/>
  <c r="AA83" i="22"/>
  <c r="AA80" i="22"/>
  <c r="AA69" i="22"/>
  <c r="AA66" i="22"/>
  <c r="AA61" i="22"/>
  <c r="AA58" i="22"/>
  <c r="AA52" i="22"/>
  <c r="AA44" i="22"/>
  <c r="AA39" i="22"/>
  <c r="AA33" i="22"/>
  <c r="AA11" i="22"/>
  <c r="AA8" i="22"/>
  <c r="AA2" i="24"/>
  <c r="AA295" i="24"/>
  <c r="AA287" i="24"/>
  <c r="AA279" i="24"/>
  <c r="AA271" i="24"/>
  <c r="AA263" i="24"/>
  <c r="AA233" i="24"/>
  <c r="AA167" i="24"/>
  <c r="AA164" i="24"/>
  <c r="AA160" i="24"/>
  <c r="AA155" i="24"/>
  <c r="AA137" i="24"/>
  <c r="AA106" i="24"/>
  <c r="AA104" i="24"/>
  <c r="AA13" i="25"/>
  <c r="AA103" i="26"/>
  <c r="AA88" i="26"/>
  <c r="AA82" i="26"/>
  <c r="AA71" i="26"/>
  <c r="AA56" i="26"/>
  <c r="AA45" i="26"/>
  <c r="AA31" i="26"/>
  <c r="AA151" i="27"/>
  <c r="AA14" i="21"/>
  <c r="AA8" i="21"/>
  <c r="AA2" i="20"/>
  <c r="AA172" i="20"/>
  <c r="AA169" i="20"/>
  <c r="AA158" i="20"/>
  <c r="AA146" i="20"/>
  <c r="AA143" i="20"/>
  <c r="AA129" i="20"/>
  <c r="AA124" i="20"/>
  <c r="AA115" i="20"/>
  <c r="AA106" i="20"/>
  <c r="AA101" i="20"/>
  <c r="AA97" i="20"/>
  <c r="AA92" i="20"/>
  <c r="AA83" i="20"/>
  <c r="AA80" i="20"/>
  <c r="AA78" i="20"/>
  <c r="AA71" i="20"/>
  <c r="AA66" i="20"/>
  <c r="AA61" i="20"/>
  <c r="AA57" i="20"/>
  <c r="AA52" i="20"/>
  <c r="AA34" i="20"/>
  <c r="AA29" i="20"/>
  <c r="AA9" i="20"/>
  <c r="AA178" i="22"/>
  <c r="AA162" i="22"/>
  <c r="AA143" i="22"/>
  <c r="AA140" i="22"/>
  <c r="AA137" i="22"/>
  <c r="AA132" i="22"/>
  <c r="AA116" i="22"/>
  <c r="AA114" i="22"/>
  <c r="AA109" i="22"/>
  <c r="AA103" i="22"/>
  <c r="AA96" i="22"/>
  <c r="AA87" i="22"/>
  <c r="AA79" i="22"/>
  <c r="AA77" i="22"/>
  <c r="AA74" i="22"/>
  <c r="AA60" i="22"/>
  <c r="AA55" i="22"/>
  <c r="AA174" i="24"/>
  <c r="AA162" i="24"/>
  <c r="AA157" i="24"/>
  <c r="AA96" i="23"/>
  <c r="AA76" i="23"/>
  <c r="AA73" i="23"/>
  <c r="AA71" i="23"/>
  <c r="AA68" i="23"/>
  <c r="AA60" i="23"/>
  <c r="AA35" i="23"/>
  <c r="AA32" i="23"/>
  <c r="AA18" i="23"/>
  <c r="AA10" i="23"/>
  <c r="AA348" i="25"/>
  <c r="AA346" i="25"/>
  <c r="AA308" i="25"/>
  <c r="AA306" i="25"/>
  <c r="AA300" i="25"/>
  <c r="AA298" i="25"/>
  <c r="AA290" i="25"/>
  <c r="AA284" i="25"/>
  <c r="AA282" i="25"/>
  <c r="AA276" i="25"/>
  <c r="AA274" i="25"/>
  <c r="AA268" i="25"/>
  <c r="AA266" i="25"/>
  <c r="AA260" i="25"/>
  <c r="AA258" i="25"/>
  <c r="AA247" i="25"/>
  <c r="AA239" i="25"/>
  <c r="AA235" i="25"/>
  <c r="AA219" i="25"/>
  <c r="AA216" i="25"/>
  <c r="AA175" i="25"/>
  <c r="AA172" i="25"/>
  <c r="AA31" i="25"/>
  <c r="AA25" i="25"/>
  <c r="AA20" i="25"/>
  <c r="AA17" i="25"/>
  <c r="AA16" i="21"/>
  <c r="AA5" i="21"/>
  <c r="AA141" i="20"/>
  <c r="AA118" i="20"/>
  <c r="AA111" i="20"/>
  <c r="AA86" i="20"/>
  <c r="AA69" i="20"/>
  <c r="AA46" i="20"/>
  <c r="AA39" i="20"/>
  <c r="AA180" i="22"/>
  <c r="AA170" i="22"/>
  <c r="AA164" i="22"/>
  <c r="AA159" i="22"/>
  <c r="AA156" i="22"/>
  <c r="AA151" i="22"/>
  <c r="AA148" i="22"/>
  <c r="AA129" i="22"/>
  <c r="AA124" i="22"/>
  <c r="AA108" i="22"/>
  <c r="AA106" i="22"/>
  <c r="AA101" i="22"/>
  <c r="AA93" i="22"/>
  <c r="AA90" i="22"/>
  <c r="AA85" i="22"/>
  <c r="AA71" i="22"/>
  <c r="AA68" i="22"/>
  <c r="AA63" i="22"/>
  <c r="AA57" i="22"/>
  <c r="AA49" i="22"/>
  <c r="AA41" i="22"/>
  <c r="AA35" i="22"/>
  <c r="AA30" i="22"/>
  <c r="AA27" i="22"/>
  <c r="AA22" i="22"/>
  <c r="AA16" i="22"/>
  <c r="AA10" i="22"/>
  <c r="AA5" i="22"/>
  <c r="AA297" i="24"/>
  <c r="AA289" i="24"/>
  <c r="AA281" i="24"/>
  <c r="AA273" i="24"/>
  <c r="AA190" i="24"/>
  <c r="AA183" i="24"/>
  <c r="AA176" i="24"/>
  <c r="AA169" i="24"/>
  <c r="AA118" i="23"/>
  <c r="AA108" i="23"/>
  <c r="AA101" i="23"/>
  <c r="AA94" i="23"/>
  <c r="AA88" i="23"/>
  <c r="AA25" i="23"/>
  <c r="AA23" i="23"/>
  <c r="AA20" i="23"/>
  <c r="AA17" i="23"/>
  <c r="AA15" i="23"/>
  <c r="AA12" i="23"/>
  <c r="AA9" i="23"/>
  <c r="AA7" i="23"/>
  <c r="AA4" i="23"/>
  <c r="AA345" i="25"/>
  <c r="AA166" i="25"/>
  <c r="AA158" i="25"/>
  <c r="AA150" i="25"/>
  <c r="AA137" i="25"/>
  <c r="AA129" i="25"/>
  <c r="AA121" i="25"/>
  <c r="AA99" i="25"/>
  <c r="AA96" i="25"/>
  <c r="AA94" i="25"/>
  <c r="AA90" i="25"/>
  <c r="AA88" i="25"/>
  <c r="AA70" i="25"/>
  <c r="AA66" i="25"/>
  <c r="AA59" i="25"/>
  <c r="AA52" i="25"/>
  <c r="AA35" i="25"/>
  <c r="AA145" i="27"/>
  <c r="AA103" i="27"/>
  <c r="AA32" i="27"/>
  <c r="AA51" i="23"/>
  <c r="AA43" i="23"/>
  <c r="AA38" i="23"/>
  <c r="AA26" i="23"/>
  <c r="AA21" i="23"/>
  <c r="AA13" i="23"/>
  <c r="AA5" i="23"/>
  <c r="AA355" i="25"/>
  <c r="AA351" i="25"/>
  <c r="AA340" i="25"/>
  <c r="AA169" i="25"/>
  <c r="AA161" i="25"/>
  <c r="AA145" i="25"/>
  <c r="AA143" i="25"/>
  <c r="AA111" i="25"/>
  <c r="AA103" i="25"/>
  <c r="AA60" i="25"/>
  <c r="AA57" i="25"/>
  <c r="AA53" i="25"/>
  <c r="AA47" i="25"/>
  <c r="AA41" i="25"/>
  <c r="AA36" i="25"/>
  <c r="AA33" i="25"/>
  <c r="AA28" i="25"/>
  <c r="AA15" i="25"/>
  <c r="AA5" i="25"/>
  <c r="AA131" i="27"/>
  <c r="AA123" i="27"/>
  <c r="AA113" i="27"/>
  <c r="AA138" i="22"/>
  <c r="AA133" i="22"/>
  <c r="AA130" i="22"/>
  <c r="AA127" i="22"/>
  <c r="AA119" i="22"/>
  <c r="AA102" i="22"/>
  <c r="AA94" i="22"/>
  <c r="AA86" i="22"/>
  <c r="AA72" i="22"/>
  <c r="AA64" i="22"/>
  <c r="AA53" i="22"/>
  <c r="AA50" i="22"/>
  <c r="AA45" i="22"/>
  <c r="AA42" i="22"/>
  <c r="AA31" i="22"/>
  <c r="AA23" i="22"/>
  <c r="AA6" i="22"/>
  <c r="AA255" i="24"/>
  <c r="AA247" i="24"/>
  <c r="AA239" i="24"/>
  <c r="AA204" i="24"/>
  <c r="AA146" i="24"/>
  <c r="AA142" i="24"/>
  <c r="AA139" i="24"/>
  <c r="AA134" i="24"/>
  <c r="AA115" i="24"/>
  <c r="AA105" i="24"/>
  <c r="AA103" i="24"/>
  <c r="AA47" i="24"/>
  <c r="AA44" i="24"/>
  <c r="AA40" i="24"/>
  <c r="AA13" i="24"/>
  <c r="AA10" i="24"/>
  <c r="AA132" i="23"/>
  <c r="AA115" i="23"/>
  <c r="AA91" i="23"/>
  <c r="AA86" i="23"/>
  <c r="AA83" i="23"/>
  <c r="AA67" i="23"/>
  <c r="AA59" i="23"/>
  <c r="AA56" i="23"/>
  <c r="AA54" i="23"/>
  <c r="AA48" i="23"/>
  <c r="AA46" i="23"/>
  <c r="AA40" i="23"/>
  <c r="AA29" i="23"/>
  <c r="AA353" i="25"/>
  <c r="AA347" i="25"/>
  <c r="AA343" i="25"/>
  <c r="AA335" i="25"/>
  <c r="AA327" i="25"/>
  <c r="AA319" i="25"/>
  <c r="AA307" i="25"/>
  <c r="AA299" i="25"/>
  <c r="AA291" i="25"/>
  <c r="AA283" i="25"/>
  <c r="AA275" i="25"/>
  <c r="AA267" i="25"/>
  <c r="AA259" i="25"/>
  <c r="AA249" i="25"/>
  <c r="AA241" i="25"/>
  <c r="AA238" i="25"/>
  <c r="AA230" i="25"/>
  <c r="AA208" i="25"/>
  <c r="AA200" i="25"/>
  <c r="AA198" i="25"/>
  <c r="AA78" i="25"/>
  <c r="AA74" i="25"/>
  <c r="AA67" i="25"/>
  <c r="AA55" i="25"/>
  <c r="AA49" i="25"/>
  <c r="AA44" i="25"/>
  <c r="AA12" i="25"/>
  <c r="AA111" i="26"/>
  <c r="AA96" i="26"/>
  <c r="AA90" i="26"/>
  <c r="AA79" i="26"/>
  <c r="AA64" i="26"/>
  <c r="AA53" i="26"/>
  <c r="AA47" i="26"/>
  <c r="AA22" i="26"/>
  <c r="AA2" i="27"/>
  <c r="AA147" i="27"/>
  <c r="AA158" i="24"/>
  <c r="AA151" i="24"/>
  <c r="AA128" i="24"/>
  <c r="AA120" i="24"/>
  <c r="AA110" i="24"/>
  <c r="AA96" i="24"/>
  <c r="AA78" i="24"/>
  <c r="AA55" i="24"/>
  <c r="AA48" i="24"/>
  <c r="AA7" i="24"/>
  <c r="AA4" i="24"/>
  <c r="AA127" i="23"/>
  <c r="AA122" i="23"/>
  <c r="AA117" i="23"/>
  <c r="AA110" i="23"/>
  <c r="AA71" i="24"/>
  <c r="AA68" i="24"/>
  <c r="AA31" i="24"/>
  <c r="AA20" i="24"/>
  <c r="AA131" i="23"/>
  <c r="AA119" i="23"/>
  <c r="AA114" i="23"/>
  <c r="AA107" i="23"/>
  <c r="AA93" i="23"/>
  <c r="AA72" i="23"/>
  <c r="AA37" i="23"/>
  <c r="AA31" i="23"/>
  <c r="AA337" i="25"/>
  <c r="AA329" i="25"/>
  <c r="AA321" i="25"/>
  <c r="AA313" i="25"/>
  <c r="AA226" i="25"/>
  <c r="AA162" i="25"/>
  <c r="AA152" i="25"/>
  <c r="AA146" i="25"/>
  <c r="AA102" i="25"/>
  <c r="AA30" i="25"/>
  <c r="AA26" i="25"/>
  <c r="AA24" i="25"/>
  <c r="AA56" i="27"/>
  <c r="AA53" i="27"/>
  <c r="AA50" i="27"/>
  <c r="AA40" i="27"/>
  <c r="AA47" i="22"/>
  <c r="AA19" i="22"/>
  <c r="AA14" i="22"/>
  <c r="AA257" i="24"/>
  <c r="AA249" i="24"/>
  <c r="AA241" i="24"/>
  <c r="AA227" i="24"/>
  <c r="AA221" i="24"/>
  <c r="AA209" i="24"/>
  <c r="AA191" i="24"/>
  <c r="AA188" i="24"/>
  <c r="AA166" i="24"/>
  <c r="AA154" i="24"/>
  <c r="AA150" i="24"/>
  <c r="AA147" i="24"/>
  <c r="AA143" i="24"/>
  <c r="AA140" i="24"/>
  <c r="AA135" i="24"/>
  <c r="AA132" i="24"/>
  <c r="AA124" i="24"/>
  <c r="AA116" i="24"/>
  <c r="AA101" i="24"/>
  <c r="AA97" i="24"/>
  <c r="AA92" i="24"/>
  <c r="AA86" i="24"/>
  <c r="AA82" i="24"/>
  <c r="AA73" i="24"/>
  <c r="AA59" i="24"/>
  <c r="AA54" i="24"/>
  <c r="AA50" i="24"/>
  <c r="AA45" i="24"/>
  <c r="AA33" i="24"/>
  <c r="AA28" i="24"/>
  <c r="AA11" i="24"/>
  <c r="AA6" i="24"/>
  <c r="AA104" i="23"/>
  <c r="AA90" i="23"/>
  <c r="AA85" i="23"/>
  <c r="AA53" i="23"/>
  <c r="AA45" i="23"/>
  <c r="AA349" i="25"/>
  <c r="AA176" i="25"/>
  <c r="AA168" i="25"/>
  <c r="AA160" i="25"/>
  <c r="AA154" i="25"/>
  <c r="AA144" i="25"/>
  <c r="AA142" i="25"/>
  <c r="AA134" i="25"/>
  <c r="AA126" i="25"/>
  <c r="AA118" i="25"/>
  <c r="AA114" i="25"/>
  <c r="AA110" i="25"/>
  <c r="AA106" i="25"/>
  <c r="AA98" i="25"/>
  <c r="AA95" i="25"/>
  <c r="AA85" i="25"/>
  <c r="AA51" i="25"/>
  <c r="AA46" i="25"/>
  <c r="AA42" i="25"/>
  <c r="AA40" i="25"/>
  <c r="AA106" i="27"/>
  <c r="AA91" i="27"/>
  <c r="AA83" i="27"/>
  <c r="AA73" i="27"/>
  <c r="AA65" i="27"/>
  <c r="AA48" i="27"/>
  <c r="AA17" i="27"/>
  <c r="AA11" i="27"/>
  <c r="AA265" i="24"/>
  <c r="AA219" i="24"/>
  <c r="AA206" i="24"/>
  <c r="AA195" i="24"/>
  <c r="AA186" i="24"/>
  <c r="AA181" i="24"/>
  <c r="AA159" i="24"/>
  <c r="AA156" i="24"/>
  <c r="AA127" i="24"/>
  <c r="AA119" i="24"/>
  <c r="AA95" i="24"/>
  <c r="AA72" i="24"/>
  <c r="AA62" i="24"/>
  <c r="AA56" i="24"/>
  <c r="AA39" i="24"/>
  <c r="AA36" i="24"/>
  <c r="AA32" i="24"/>
  <c r="AA22" i="24"/>
  <c r="AA14" i="24"/>
  <c r="AA8" i="24"/>
  <c r="AA2" i="23"/>
  <c r="AA133" i="23"/>
  <c r="AA126" i="23"/>
  <c r="AA113" i="23"/>
  <c r="AA109" i="23"/>
  <c r="AA102" i="23"/>
  <c r="AA97" i="23"/>
  <c r="AA95" i="23"/>
  <c r="AA92" i="23"/>
  <c r="AA81" i="23"/>
  <c r="AA77" i="23"/>
  <c r="AA69" i="23"/>
  <c r="AA61" i="23"/>
  <c r="AA57" i="23"/>
  <c r="AA55" i="23"/>
  <c r="AA49" i="23"/>
  <c r="AA47" i="23"/>
  <c r="AA41" i="23"/>
  <c r="AA39" i="23"/>
  <c r="AA36" i="23"/>
  <c r="AA27" i="23"/>
  <c r="AA22" i="23"/>
  <c r="AA14" i="23"/>
  <c r="AA6" i="23"/>
  <c r="AA352" i="25"/>
  <c r="AA341" i="25"/>
  <c r="AA333" i="25"/>
  <c r="AA325" i="25"/>
  <c r="AA234" i="25"/>
  <c r="AA223" i="25"/>
  <c r="AA209" i="25"/>
  <c r="AA201" i="25"/>
  <c r="AA199" i="25"/>
  <c r="AA189" i="25"/>
  <c r="AA183" i="25"/>
  <c r="AA173" i="25"/>
  <c r="AA79" i="25"/>
  <c r="AA112" i="26"/>
  <c r="AA106" i="26"/>
  <c r="AA97" i="26"/>
  <c r="AA95" i="26"/>
  <c r="AA80" i="26"/>
  <c r="AA74" i="26"/>
  <c r="AA69" i="26"/>
  <c r="AA65" i="26"/>
  <c r="AA63" i="26"/>
  <c r="AA48" i="26"/>
  <c r="AA34" i="26"/>
  <c r="AA29" i="26"/>
  <c r="AA12" i="26"/>
  <c r="AA4" i="26"/>
  <c r="AA112" i="27"/>
  <c r="AA104" i="27"/>
  <c r="AA75" i="27"/>
  <c r="AA44" i="27"/>
  <c r="AA25" i="27"/>
  <c r="AA235" i="24"/>
  <c r="AA232" i="24"/>
  <c r="AA229" i="24"/>
  <c r="AA223" i="24"/>
  <c r="AA216" i="24"/>
  <c r="AA211" i="24"/>
  <c r="AA193" i="24"/>
  <c r="AA175" i="24"/>
  <c r="AA161" i="24"/>
  <c r="AA149" i="24"/>
  <c r="AA131" i="24"/>
  <c r="AA123" i="24"/>
  <c r="AA113" i="24"/>
  <c r="AA111" i="24"/>
  <c r="AA100" i="24"/>
  <c r="AA91" i="24"/>
  <c r="AA88" i="24"/>
  <c r="AA85" i="24"/>
  <c r="AA79" i="24"/>
  <c r="AA70" i="24"/>
  <c r="AA64" i="24"/>
  <c r="AA58" i="24"/>
  <c r="AA53" i="24"/>
  <c r="AA49" i="24"/>
  <c r="AA41" i="24"/>
  <c r="AA30" i="24"/>
  <c r="AA27" i="24"/>
  <c r="AA24" i="24"/>
  <c r="AA16" i="24"/>
  <c r="AA5" i="24"/>
  <c r="AA135" i="23"/>
  <c r="AA130" i="23"/>
  <c r="AA123" i="23"/>
  <c r="AA111" i="23"/>
  <c r="AA99" i="23"/>
  <c r="AA87" i="23"/>
  <c r="AA79" i="23"/>
  <c r="AA65" i="23"/>
  <c r="AA63" i="23"/>
  <c r="AA30" i="23"/>
  <c r="AA24" i="23"/>
  <c r="AA16" i="23"/>
  <c r="AA8" i="23"/>
  <c r="AA2" i="25"/>
  <c r="AA354" i="25"/>
  <c r="AA344" i="25"/>
  <c r="AA292" i="25"/>
  <c r="AA250" i="25"/>
  <c r="AA242" i="25"/>
  <c r="AA231" i="25"/>
  <c r="AA228" i="25"/>
  <c r="AA214" i="25"/>
  <c r="AA211" i="25"/>
  <c r="AA193" i="25"/>
  <c r="AA181" i="25"/>
  <c r="AA151" i="25"/>
  <c r="AA136" i="25"/>
  <c r="AA128" i="25"/>
  <c r="AA120" i="25"/>
  <c r="AA101" i="25"/>
  <c r="AA97" i="25"/>
  <c r="AA89" i="25"/>
  <c r="AA87" i="25"/>
  <c r="AA84" i="25"/>
  <c r="AA71" i="25"/>
  <c r="AA8" i="25"/>
  <c r="AA2" i="26"/>
  <c r="AA117" i="26"/>
  <c r="AA86" i="26"/>
  <c r="AA54" i="26"/>
  <c r="AA42" i="26"/>
  <c r="AA37" i="26"/>
  <c r="AA23" i="26"/>
  <c r="AA143" i="27"/>
  <c r="AA127" i="27"/>
  <c r="AA93" i="27"/>
  <c r="AA90" i="27"/>
  <c r="AA85" i="27"/>
  <c r="AA82" i="27"/>
  <c r="AA67" i="27"/>
  <c r="AA33" i="27"/>
  <c r="AA12" i="27"/>
  <c r="AA338" i="25"/>
  <c r="AA332" i="25"/>
  <c r="AA330" i="25"/>
  <c r="AA324" i="25"/>
  <c r="AA322" i="25"/>
  <c r="AA314" i="25"/>
  <c r="AA311" i="25"/>
  <c r="AA303" i="25"/>
  <c r="AA295" i="25"/>
  <c r="AA287" i="25"/>
  <c r="AA279" i="25"/>
  <c r="AA271" i="25"/>
  <c r="AA263" i="25"/>
  <c r="AA255" i="25"/>
  <c r="AA251" i="25"/>
  <c r="AA243" i="25"/>
  <c r="AA233" i="25"/>
  <c r="AA227" i="25"/>
  <c r="AA222" i="25"/>
  <c r="AA218" i="25"/>
  <c r="AA210" i="25"/>
  <c r="AA202" i="25"/>
  <c r="AA185" i="25"/>
  <c r="AA165" i="25"/>
  <c r="AA157" i="25"/>
  <c r="AA149" i="25"/>
  <c r="AA138" i="25"/>
  <c r="AA130" i="25"/>
  <c r="AA122" i="25"/>
  <c r="AA112" i="25"/>
  <c r="AA104" i="25"/>
  <c r="AA93" i="25"/>
  <c r="AA81" i="25"/>
  <c r="AA77" i="25"/>
  <c r="AA64" i="25"/>
  <c r="AA62" i="25"/>
  <c r="AA58" i="25"/>
  <c r="AA43" i="25"/>
  <c r="AA38" i="25"/>
  <c r="AA27" i="25"/>
  <c r="AA22" i="25"/>
  <c r="AA19" i="25"/>
  <c r="AA7" i="25"/>
  <c r="AA123" i="26"/>
  <c r="AA121" i="26"/>
  <c r="AA119" i="26"/>
  <c r="AA108" i="26"/>
  <c r="AA99" i="26"/>
  <c r="AA94" i="26"/>
  <c r="AA85" i="26"/>
  <c r="AA76" i="26"/>
  <c r="AA62" i="26"/>
  <c r="AA41" i="26"/>
  <c r="AA39" i="26"/>
  <c r="AA36" i="26"/>
  <c r="AA19" i="26"/>
  <c r="AA16" i="26"/>
  <c r="AA14" i="26"/>
  <c r="AA8" i="26"/>
  <c r="AA6" i="26"/>
  <c r="AA153" i="27"/>
  <c r="AA142" i="27"/>
  <c r="AA137" i="27"/>
  <c r="AA126" i="27"/>
  <c r="AA121" i="27"/>
  <c r="AA111" i="27"/>
  <c r="AA100" i="27"/>
  <c r="AA96" i="27"/>
  <c r="AA88" i="27"/>
  <c r="AA80" i="27"/>
  <c r="AA77" i="27"/>
  <c r="AA74" i="27"/>
  <c r="AA55" i="27"/>
  <c r="AA52" i="27"/>
  <c r="AA39" i="27"/>
  <c r="AA35" i="27"/>
  <c r="AA31" i="27"/>
  <c r="AA27" i="27"/>
  <c r="AA23" i="27"/>
  <c r="AA19" i="27"/>
  <c r="AA15" i="27"/>
  <c r="AA7" i="27"/>
  <c r="AA4" i="27"/>
  <c r="AA9" i="27"/>
  <c r="AA339" i="25"/>
  <c r="AA323" i="25"/>
  <c r="AA315" i="25"/>
  <c r="AA305" i="25"/>
  <c r="AA297" i="25"/>
  <c r="AA289" i="25"/>
  <c r="AA281" i="25"/>
  <c r="AA273" i="25"/>
  <c r="AA265" i="25"/>
  <c r="AA257" i="25"/>
  <c r="AA246" i="25"/>
  <c r="AA224" i="25"/>
  <c r="AA215" i="25"/>
  <c r="AA194" i="25"/>
  <c r="AA192" i="25"/>
  <c r="AA190" i="25"/>
  <c r="AA177" i="25"/>
  <c r="AA167" i="25"/>
  <c r="AA159" i="25"/>
  <c r="AA153" i="25"/>
  <c r="AA141" i="25"/>
  <c r="AA133" i="25"/>
  <c r="AA125" i="25"/>
  <c r="AA117" i="25"/>
  <c r="AA109" i="25"/>
  <c r="AA73" i="25"/>
  <c r="AA69" i="25"/>
  <c r="AA54" i="25"/>
  <c r="AA48" i="25"/>
  <c r="AA39" i="25"/>
  <c r="AA32" i="25"/>
  <c r="AA14" i="25"/>
  <c r="AA11" i="25"/>
  <c r="AA126" i="26"/>
  <c r="AA115" i="26"/>
  <c r="AA107" i="26"/>
  <c r="AA102" i="26"/>
  <c r="AA93" i="26"/>
  <c r="AA84" i="26"/>
  <c r="AA75" i="26"/>
  <c r="AA70" i="26"/>
  <c r="AA35" i="26"/>
  <c r="AA30" i="26"/>
  <c r="AA24" i="26"/>
  <c r="AA18" i="26"/>
  <c r="AA10" i="26"/>
  <c r="AA146" i="27"/>
  <c r="AA115" i="27"/>
  <c r="AA105" i="27"/>
  <c r="AA54" i="27"/>
  <c r="AA49" i="27"/>
  <c r="AA43" i="27"/>
  <c r="AA3" i="27"/>
  <c r="AA61" i="25"/>
  <c r="AA50" i="25"/>
  <c r="AA37" i="25"/>
  <c r="AA21" i="25"/>
  <c r="AA18" i="25"/>
  <c r="AA3" i="25"/>
  <c r="AA118" i="26"/>
  <c r="AA104" i="26"/>
  <c r="AA98" i="26"/>
  <c r="AA89" i="26"/>
  <c r="AA87" i="26"/>
  <c r="AA72" i="26"/>
  <c r="AA66" i="26"/>
  <c r="AA61" i="26"/>
  <c r="AA57" i="26"/>
  <c r="AA55" i="26"/>
  <c r="AA52" i="26"/>
  <c r="AA38" i="26"/>
  <c r="AA32" i="26"/>
  <c r="AA13" i="26"/>
  <c r="AA5" i="26"/>
  <c r="AA154" i="27"/>
  <c r="AA149" i="27"/>
  <c r="AA144" i="27"/>
  <c r="AA138" i="27"/>
  <c r="AA133" i="27"/>
  <c r="AA128" i="27"/>
  <c r="AA125" i="27"/>
  <c r="AA122" i="27"/>
  <c r="AA102" i="27"/>
  <c r="AA99" i="27"/>
  <c r="AA95" i="27"/>
  <c r="AA87" i="27"/>
  <c r="AA79" i="27"/>
  <c r="AA76" i="27"/>
  <c r="AA51" i="27"/>
  <c r="AA46" i="27"/>
  <c r="AA14" i="27"/>
  <c r="AA6" i="27"/>
  <c r="AA331" i="25"/>
  <c r="AA309" i="25"/>
  <c r="AA301" i="25"/>
  <c r="AA293" i="25"/>
  <c r="AA285" i="25"/>
  <c r="AA277" i="25"/>
  <c r="AA269" i="25"/>
  <c r="AA261" i="25"/>
  <c r="AA253" i="25"/>
  <c r="AA248" i="25"/>
  <c r="AA245" i="25"/>
  <c r="AA240" i="25"/>
  <c r="AA220" i="25"/>
  <c r="AA217" i="25"/>
  <c r="AA212" i="25"/>
  <c r="AA207" i="25"/>
  <c r="AA204" i="25"/>
  <c r="AA197" i="25"/>
  <c r="AA184" i="25"/>
  <c r="AA182" i="25"/>
  <c r="AA135" i="25"/>
  <c r="AA127" i="25"/>
  <c r="AA119" i="25"/>
  <c r="AA113" i="25"/>
  <c r="AA105" i="25"/>
  <c r="AA86" i="25"/>
  <c r="AA82" i="25"/>
  <c r="AA65" i="25"/>
  <c r="AA63" i="25"/>
  <c r="AA45" i="25"/>
  <c r="AA29" i="25"/>
  <c r="AA23" i="25"/>
  <c r="AA6" i="25"/>
  <c r="AA120" i="26"/>
  <c r="AA110" i="26"/>
  <c r="AA78" i="26"/>
  <c r="AA46" i="26"/>
  <c r="AA40" i="26"/>
  <c r="AA26" i="26"/>
  <c r="AA21" i="26"/>
  <c r="AA17" i="26"/>
  <c r="AA15" i="26"/>
  <c r="AA7" i="26"/>
  <c r="AA152" i="27"/>
  <c r="AA136" i="27"/>
  <c r="AA120" i="27"/>
  <c r="AA117" i="27"/>
  <c r="AA114" i="27"/>
  <c r="AA97" i="27"/>
  <c r="AA89" i="27"/>
  <c r="AA81" i="27"/>
  <c r="AA71" i="27"/>
  <c r="AA63" i="27"/>
  <c r="AA42" i="27"/>
  <c r="AA39" i="8"/>
  <c r="AA12" i="11"/>
  <c r="AA6" i="11"/>
  <c r="AA229" i="11"/>
  <c r="AA18" i="11"/>
  <c r="AA10" i="11"/>
  <c r="AA212" i="11"/>
  <c r="AA204" i="11"/>
  <c r="AA196" i="11"/>
  <c r="AA180" i="11"/>
  <c r="AA172" i="11"/>
  <c r="AA132" i="11"/>
  <c r="AA116" i="11"/>
  <c r="AA108" i="11"/>
  <c r="AA100" i="11"/>
  <c r="AA84" i="11"/>
  <c r="AA76" i="11"/>
  <c r="AA68" i="11"/>
  <c r="AA52" i="11"/>
  <c r="AA44" i="11"/>
  <c r="AA36" i="11"/>
  <c r="AA20" i="11"/>
  <c r="AA25" i="11"/>
  <c r="AA17" i="11"/>
  <c r="AA9" i="11"/>
  <c r="AA203" i="11"/>
  <c r="AA195" i="11"/>
  <c r="AA163" i="11"/>
  <c r="AA155" i="11"/>
  <c r="AA147" i="11"/>
  <c r="AA139" i="11"/>
  <c r="AA131" i="11"/>
  <c r="AA123" i="11"/>
  <c r="AA115" i="11"/>
  <c r="AA107" i="11"/>
  <c r="AA99" i="11"/>
  <c r="AA91" i="11"/>
  <c r="AA83" i="11"/>
  <c r="AA75" i="11"/>
  <c r="AA67" i="11"/>
  <c r="AA35" i="11"/>
  <c r="AA11" i="11"/>
  <c r="AA3" i="11"/>
  <c r="AA7" i="11"/>
  <c r="AA184" i="11"/>
  <c r="AA176" i="11"/>
  <c r="AA160" i="11"/>
  <c r="AA152" i="11"/>
  <c r="AA144" i="11"/>
  <c r="AA136" i="11"/>
  <c r="AA104" i="11"/>
  <c r="AA96" i="11"/>
  <c r="AA88" i="11"/>
  <c r="AA80" i="11"/>
  <c r="AA72" i="11"/>
  <c r="AA64" i="11"/>
  <c r="AA56" i="11"/>
  <c r="AA48" i="11"/>
  <c r="AA40" i="11"/>
  <c r="AA32" i="11"/>
  <c r="AA24" i="11"/>
  <c r="AA16" i="11"/>
  <c r="AA8" i="11"/>
  <c r="AA130" i="27"/>
  <c r="AA109" i="27"/>
  <c r="AA68" i="27"/>
  <c r="AA60" i="27"/>
  <c r="AA37" i="27"/>
  <c r="AA29" i="27"/>
  <c r="AA21" i="27"/>
  <c r="AA140" i="27"/>
  <c r="AA101" i="27"/>
  <c r="AA94" i="27"/>
  <c r="AA86" i="27"/>
  <c r="AA78" i="27"/>
  <c r="AA45" i="27"/>
  <c r="AA13" i="27"/>
  <c r="AA148" i="27"/>
  <c r="AA132" i="27"/>
  <c r="AA124" i="27"/>
  <c r="AA70" i="27"/>
  <c r="AA62" i="27"/>
  <c r="AA36" i="27"/>
  <c r="AA28" i="27"/>
  <c r="AA20" i="27"/>
  <c r="AA150" i="27"/>
  <c r="AA134" i="27"/>
  <c r="AA118" i="27"/>
  <c r="AA141" i="27"/>
  <c r="AA110" i="27"/>
  <c r="AA92" i="27"/>
  <c r="AA84" i="27"/>
  <c r="AA66" i="27"/>
  <c r="AA38" i="27"/>
  <c r="AA30" i="27"/>
  <c r="AA22" i="27"/>
  <c r="AA113" i="26"/>
  <c r="AA81" i="26"/>
  <c r="AA67" i="26"/>
  <c r="AA58" i="26"/>
  <c r="AA49" i="26"/>
  <c r="AA44" i="26"/>
  <c r="AA27" i="26"/>
  <c r="AA43" i="26"/>
  <c r="AA125" i="26"/>
  <c r="AA101" i="26"/>
  <c r="AA92" i="26"/>
  <c r="AA83" i="26"/>
  <c r="AA9" i="26"/>
  <c r="AA60" i="26"/>
  <c r="AA51" i="26"/>
  <c r="AA124" i="26"/>
  <c r="AA109" i="26"/>
  <c r="AA100" i="26"/>
  <c r="AA91" i="26"/>
  <c r="AA77" i="26"/>
  <c r="AA25" i="26"/>
  <c r="AA20" i="26"/>
  <c r="AA116" i="26"/>
  <c r="AA105" i="26"/>
  <c r="AA73" i="26"/>
  <c r="AA68" i="26"/>
  <c r="AA59" i="26"/>
  <c r="AA50" i="26"/>
  <c r="AA33" i="26"/>
  <c r="AA28" i="26"/>
  <c r="AA11" i="26"/>
  <c r="AA3" i="26"/>
  <c r="AA317" i="25"/>
  <c r="AA312" i="25"/>
  <c r="AA304" i="25"/>
  <c r="AA296" i="25"/>
  <c r="AA288" i="25"/>
  <c r="AA280" i="25"/>
  <c r="AA272" i="25"/>
  <c r="AA264" i="25"/>
  <c r="AA256" i="25"/>
  <c r="AA336" i="25"/>
  <c r="AA328" i="25"/>
  <c r="AA320" i="25"/>
  <c r="AA236" i="25"/>
  <c r="AA225" i="25"/>
  <c r="AA252" i="25"/>
  <c r="AA244" i="25"/>
  <c r="AA316" i="25"/>
  <c r="AA350" i="25"/>
  <c r="AA310" i="25"/>
  <c r="AA302" i="25"/>
  <c r="AA294" i="25"/>
  <c r="AA286" i="25"/>
  <c r="AA278" i="25"/>
  <c r="AA270" i="25"/>
  <c r="AA262" i="25"/>
  <c r="AA254" i="25"/>
  <c r="AA221" i="25"/>
  <c r="AA342" i="25"/>
  <c r="AA334" i="25"/>
  <c r="AA326" i="25"/>
  <c r="AA318" i="25"/>
  <c r="AA237" i="25"/>
  <c r="AA232" i="25"/>
  <c r="AA229" i="25"/>
  <c r="AA174" i="25"/>
  <c r="AA163" i="25"/>
  <c r="AA155" i="25"/>
  <c r="AA147" i="25"/>
  <c r="AA140" i="25"/>
  <c r="AA132" i="25"/>
  <c r="AA124" i="25"/>
  <c r="AA116" i="25"/>
  <c r="AA108" i="25"/>
  <c r="AA91" i="25"/>
  <c r="AA75" i="25"/>
  <c r="AA68" i="25"/>
  <c r="AA196" i="25"/>
  <c r="AA205" i="25"/>
  <c r="AA191" i="25"/>
  <c r="AA139" i="25"/>
  <c r="AA131" i="25"/>
  <c r="AA123" i="25"/>
  <c r="AA115" i="25"/>
  <c r="AA107" i="25"/>
  <c r="AA195" i="25"/>
  <c r="AA188" i="25"/>
  <c r="AA187" i="25"/>
  <c r="AA180" i="25"/>
  <c r="AA164" i="25"/>
  <c r="AA156" i="25"/>
  <c r="AA148" i="25"/>
  <c r="AA92" i="25"/>
  <c r="AA76" i="25"/>
  <c r="AA206" i="25"/>
  <c r="AA203" i="25"/>
  <c r="AA179" i="25"/>
  <c r="AA171" i="25"/>
  <c r="AA100" i="25"/>
  <c r="AA83" i="25"/>
  <c r="AA89" i="23"/>
  <c r="AA84" i="23"/>
  <c r="AA52" i="23"/>
  <c r="AA44" i="23"/>
  <c r="AA34" i="23"/>
  <c r="AA121" i="23"/>
  <c r="AA82" i="23"/>
  <c r="AA66" i="23"/>
  <c r="AA58" i="23"/>
  <c r="AA33" i="23"/>
  <c r="AA28" i="23"/>
  <c r="AA116" i="23"/>
  <c r="AA74" i="23"/>
  <c r="AA19" i="23"/>
  <c r="AA11" i="23"/>
  <c r="AA3" i="23"/>
  <c r="AA300" i="24"/>
  <c r="AA292" i="24"/>
  <c r="AA284" i="24"/>
  <c r="AA276" i="24"/>
  <c r="AA268" i="24"/>
  <c r="AA260" i="24"/>
  <c r="AA230" i="24"/>
  <c r="AA224" i="24"/>
  <c r="AA254" i="24"/>
  <c r="AA246" i="24"/>
  <c r="AA238" i="24"/>
  <c r="AA256" i="24"/>
  <c r="AA248" i="24"/>
  <c r="AA240" i="24"/>
  <c r="AA298" i="24"/>
  <c r="AA290" i="24"/>
  <c r="AA282" i="24"/>
  <c r="AA274" i="24"/>
  <c r="AA266" i="24"/>
  <c r="AA225" i="24"/>
  <c r="AA252" i="24"/>
  <c r="AA244" i="24"/>
  <c r="AA236" i="24"/>
  <c r="AA217" i="24"/>
  <c r="AA207" i="24"/>
  <c r="AA200" i="24"/>
  <c r="AA172" i="24"/>
  <c r="AA168" i="24"/>
  <c r="AA165" i="24"/>
  <c r="AA152" i="24"/>
  <c r="AA108" i="24"/>
  <c r="AA76" i="24"/>
  <c r="AA67" i="24"/>
  <c r="AA19" i="24"/>
  <c r="AA215" i="24"/>
  <c r="AA197" i="24"/>
  <c r="AA81" i="24"/>
  <c r="AA75" i="24"/>
  <c r="AA61" i="24"/>
  <c r="AA35" i="24"/>
  <c r="AA52" i="24"/>
  <c r="AA21" i="24"/>
  <c r="AA148" i="24"/>
  <c r="AA141" i="24"/>
  <c r="AA138" i="24"/>
  <c r="AA133" i="24"/>
  <c r="AA87" i="24"/>
  <c r="AA74" i="24"/>
  <c r="AA43" i="24"/>
  <c r="AA34" i="24"/>
  <c r="AA29" i="24"/>
  <c r="AA208" i="24"/>
  <c r="AA201" i="24"/>
  <c r="AA173" i="24"/>
  <c r="AA9" i="24"/>
  <c r="AA205" i="24"/>
  <c r="AA184" i="24"/>
  <c r="AA109" i="24"/>
  <c r="AA89" i="24"/>
  <c r="AA77" i="24"/>
  <c r="AA65" i="24"/>
  <c r="AA42" i="24"/>
  <c r="AA25" i="24"/>
  <c r="AA17" i="24"/>
  <c r="AA3" i="24"/>
  <c r="AA168" i="22"/>
  <c r="AA160" i="22"/>
  <c r="AA112" i="22"/>
  <c r="AA99" i="22"/>
  <c r="AA91" i="22"/>
  <c r="AA28" i="22"/>
  <c r="AA25" i="22"/>
  <c r="AA20" i="22"/>
  <c r="AA104" i="22"/>
  <c r="AA145" i="22"/>
  <c r="AA182" i="22"/>
  <c r="AA177" i="22"/>
  <c r="AA172" i="22"/>
  <c r="AA76" i="22"/>
  <c r="AA73" i="22"/>
  <c r="AA67" i="22"/>
  <c r="AA59" i="22"/>
  <c r="AA40" i="22"/>
  <c r="AA37" i="22"/>
  <c r="AA176" i="22"/>
  <c r="AA152" i="22"/>
  <c r="AA120" i="22"/>
  <c r="AA107" i="22"/>
  <c r="AA78" i="22"/>
  <c r="AA75" i="22"/>
  <c r="AA17" i="22"/>
  <c r="AA12" i="22"/>
  <c r="AA3" i="22"/>
  <c r="AA176" i="20"/>
  <c r="AA168" i="20"/>
  <c r="AA162" i="20"/>
  <c r="AA140" i="20"/>
  <c r="AA131" i="20"/>
  <c r="AA128" i="20"/>
  <c r="AA96" i="20"/>
  <c r="AA73" i="20"/>
  <c r="AA68" i="20"/>
  <c r="AA56" i="20"/>
  <c r="AA108" i="20"/>
  <c r="AA99" i="20"/>
  <c r="AA90" i="20"/>
  <c r="AA27" i="20"/>
  <c r="AA147" i="20"/>
  <c r="AA144" i="20"/>
  <c r="AA121" i="20"/>
  <c r="AA116" i="20"/>
  <c r="AA107" i="20"/>
  <c r="AA98" i="20"/>
  <c r="AA89" i="20"/>
  <c r="AA84" i="20"/>
  <c r="AA72" i="20"/>
  <c r="AA58" i="20"/>
  <c r="AA49" i="20"/>
  <c r="AA44" i="20"/>
  <c r="AA35" i="20"/>
  <c r="AA26" i="20"/>
  <c r="AA164" i="20"/>
  <c r="AA155" i="20"/>
  <c r="AA152" i="20"/>
  <c r="AA138" i="20"/>
  <c r="AA112" i="20"/>
  <c r="AA75" i="20"/>
  <c r="AA43" i="20"/>
  <c r="AA25" i="20"/>
  <c r="AA20" i="20"/>
  <c r="AA12" i="20"/>
  <c r="AA163" i="20"/>
  <c r="AA160" i="20"/>
  <c r="AA154" i="20"/>
  <c r="AA137" i="20"/>
  <c r="AA132" i="20"/>
  <c r="AA120" i="20"/>
  <c r="AA88" i="20"/>
  <c r="AA74" i="20"/>
  <c r="AA48" i="20"/>
  <c r="AA3" i="20"/>
  <c r="AA252" i="21"/>
  <c r="AA242" i="21"/>
  <c r="AA246" i="21"/>
  <c r="AA238" i="21"/>
  <c r="AA250" i="21"/>
  <c r="AA230" i="21"/>
  <c r="AA212" i="21"/>
  <c r="AA199" i="21"/>
  <c r="AA196" i="21"/>
  <c r="AA191" i="21"/>
  <c r="AA188" i="21"/>
  <c r="AA174" i="21"/>
  <c r="AA168" i="21"/>
  <c r="AA162" i="21"/>
  <c r="AA148" i="21"/>
  <c r="AA128" i="21"/>
  <c r="AA106" i="21"/>
  <c r="AA92" i="21"/>
  <c r="AA75" i="21"/>
  <c r="AA227" i="21"/>
  <c r="AA207" i="21"/>
  <c r="AA204" i="21"/>
  <c r="AA170" i="21"/>
  <c r="AA156" i="21"/>
  <c r="AA147" i="21"/>
  <c r="AA144" i="21"/>
  <c r="AA74" i="21"/>
  <c r="AA54" i="21"/>
  <c r="AA138" i="21"/>
  <c r="AA116" i="21"/>
  <c r="AA108" i="21"/>
  <c r="AA206" i="21"/>
  <c r="AA73" i="21"/>
  <c r="AA50" i="21"/>
  <c r="AA9" i="21"/>
  <c r="AA200" i="21"/>
  <c r="AA192" i="21"/>
  <c r="AA172" i="21"/>
  <c r="AA132" i="21"/>
  <c r="AA20" i="21"/>
  <c r="AA17" i="21"/>
  <c r="AA12" i="21"/>
  <c r="AA221" i="21"/>
  <c r="AA213" i="21"/>
  <c r="AA163" i="21"/>
  <c r="AA160" i="21"/>
  <c r="AA154" i="21"/>
  <c r="AA140" i="21"/>
  <c r="AA126" i="21"/>
  <c r="AA104" i="21"/>
  <c r="AA98" i="21"/>
  <c r="AA81" i="21"/>
  <c r="AA76" i="21"/>
  <c r="AA68" i="21"/>
  <c r="AA49" i="21"/>
  <c r="AA44" i="21"/>
  <c r="AA3" i="21"/>
  <c r="O184" i="22"/>
  <c r="J17" i="4" s="1"/>
  <c r="J17" i="7" s="1"/>
  <c r="AA280" i="19"/>
  <c r="AA274" i="19"/>
  <c r="AA268" i="19"/>
  <c r="AA246" i="19"/>
  <c r="AA286" i="19"/>
  <c r="AA278" i="19"/>
  <c r="AA269" i="19"/>
  <c r="AA231" i="19"/>
  <c r="AA272" i="19"/>
  <c r="AA209" i="19"/>
  <c r="AA175" i="19"/>
  <c r="AA177" i="19"/>
  <c r="AA167" i="19"/>
  <c r="AA156" i="19"/>
  <c r="AA141" i="19"/>
  <c r="AA115" i="19"/>
  <c r="AA105" i="19"/>
  <c r="AA92" i="19"/>
  <c r="AA77" i="19"/>
  <c r="AA41" i="19"/>
  <c r="AA33" i="19"/>
  <c r="AA19" i="19"/>
  <c r="AA232" i="19"/>
  <c r="AA224" i="19"/>
  <c r="AA196" i="19"/>
  <c r="AA169" i="19"/>
  <c r="AA148" i="19"/>
  <c r="AA133" i="19"/>
  <c r="AA107" i="19"/>
  <c r="AA97" i="19"/>
  <c r="AA84" i="19"/>
  <c r="AA69" i="19"/>
  <c r="AA43" i="19"/>
  <c r="AA201" i="19"/>
  <c r="AA188" i="19"/>
  <c r="AA155" i="19"/>
  <c r="AA132" i="19"/>
  <c r="AA117" i="19"/>
  <c r="AA91" i="19"/>
  <c r="AA81" i="19"/>
  <c r="AA68" i="19"/>
  <c r="AA212" i="19"/>
  <c r="AA225" i="19"/>
  <c r="AA180" i="19"/>
  <c r="AA165" i="19"/>
  <c r="AA139" i="19"/>
  <c r="AA129" i="19"/>
  <c r="AA116" i="19"/>
  <c r="AA101" i="19"/>
  <c r="AA75" i="19"/>
  <c r="AA65" i="19"/>
  <c r="AA37" i="19"/>
  <c r="AA29" i="19"/>
  <c r="AA17" i="19"/>
  <c r="AA9" i="19"/>
  <c r="AA185" i="19"/>
  <c r="AA172" i="19"/>
  <c r="AA349" i="18"/>
  <c r="AA331" i="18"/>
  <c r="AA317" i="18"/>
  <c r="AA303" i="18"/>
  <c r="AA294" i="18"/>
  <c r="AA285" i="18"/>
  <c r="AA277" i="18"/>
  <c r="AA262" i="18"/>
  <c r="AA254" i="18"/>
  <c r="AA246" i="18"/>
  <c r="AA343" i="18"/>
  <c r="AA334" i="18"/>
  <c r="AA325" i="18"/>
  <c r="AA299" i="18"/>
  <c r="AA245" i="18"/>
  <c r="AA351" i="18"/>
  <c r="AA347" i="18"/>
  <c r="AA319" i="18"/>
  <c r="AA310" i="18"/>
  <c r="AA301" i="18"/>
  <c r="AA287" i="18"/>
  <c r="AA279" i="18"/>
  <c r="AA235" i="18"/>
  <c r="AA232" i="18"/>
  <c r="AA350" i="18"/>
  <c r="AA318" i="18"/>
  <c r="AA309" i="18"/>
  <c r="AA295" i="18"/>
  <c r="AA286" i="18"/>
  <c r="AA278" i="18"/>
  <c r="AA263" i="18"/>
  <c r="AA247" i="18"/>
  <c r="AA206" i="18"/>
  <c r="AA237" i="18"/>
  <c r="AA219" i="18"/>
  <c r="AA165" i="18"/>
  <c r="AA156" i="18"/>
  <c r="AA148" i="18"/>
  <c r="AA141" i="18"/>
  <c r="AA108" i="18"/>
  <c r="AA75" i="18"/>
  <c r="AA222" i="18"/>
  <c r="AA215" i="18"/>
  <c r="AA205" i="18"/>
  <c r="AA133" i="18"/>
  <c r="AA100" i="18"/>
  <c r="AA67" i="18"/>
  <c r="AA18" i="18"/>
  <c r="AA10" i="18"/>
  <c r="AA197" i="18"/>
  <c r="AA181" i="18"/>
  <c r="AA164" i="18"/>
  <c r="AA155" i="18"/>
  <c r="AA26" i="18"/>
  <c r="AA214" i="18"/>
  <c r="AA196" i="18"/>
  <c r="AA180" i="18"/>
  <c r="AA163" i="18"/>
  <c r="AA92" i="18"/>
  <c r="AA61" i="18"/>
  <c r="AA191" i="18"/>
  <c r="AA187" i="18"/>
  <c r="AA171" i="18"/>
  <c r="AA139" i="18"/>
  <c r="AA116" i="18"/>
  <c r="AA84" i="18"/>
  <c r="AA69" i="18"/>
  <c r="AA36" i="18"/>
  <c r="AA28" i="18"/>
  <c r="AA199" i="18"/>
  <c r="AA195" i="18"/>
  <c r="AA179" i="18"/>
  <c r="AA160" i="18"/>
  <c r="AA157" i="18"/>
  <c r="AA149" i="18"/>
  <c r="AA131" i="18"/>
  <c r="AA109" i="18"/>
  <c r="AA91" i="18"/>
  <c r="AA76" i="18"/>
  <c r="AA60" i="18"/>
  <c r="AA52" i="18"/>
  <c r="AA44" i="18"/>
  <c r="AA3" i="18"/>
  <c r="AA49" i="29"/>
  <c r="AA33" i="29"/>
  <c r="AA25" i="29"/>
  <c r="AA17" i="29"/>
  <c r="AA51" i="29"/>
  <c r="AA35" i="29"/>
  <c r="AA41" i="29"/>
  <c r="AA43" i="29"/>
  <c r="AA3" i="29"/>
  <c r="AA241" i="30"/>
  <c r="AA239" i="30"/>
  <c r="AA220" i="30"/>
  <c r="AA180" i="30"/>
  <c r="AA92" i="30"/>
  <c r="AA172" i="30"/>
  <c r="AA226" i="30"/>
  <c r="AA164" i="30"/>
  <c r="AA238" i="30"/>
  <c r="AA219" i="30"/>
  <c r="AA215" i="30"/>
  <c r="AA147" i="30"/>
  <c r="AA124" i="30"/>
  <c r="AA117" i="30"/>
  <c r="AA109" i="30"/>
  <c r="AA94" i="30"/>
  <c r="AA83" i="30"/>
  <c r="AA60" i="30"/>
  <c r="AA28" i="30"/>
  <c r="AA209" i="30"/>
  <c r="AA203" i="30"/>
  <c r="AA155" i="30"/>
  <c r="AA150" i="30"/>
  <c r="AA139" i="30"/>
  <c r="AA101" i="30"/>
  <c r="AA86" i="30"/>
  <c r="AA75" i="30"/>
  <c r="AA20" i="30"/>
  <c r="AA211" i="30"/>
  <c r="AA206" i="30"/>
  <c r="AA187" i="30"/>
  <c r="AA182" i="30"/>
  <c r="AA179" i="30"/>
  <c r="AA174" i="30"/>
  <c r="AA171" i="30"/>
  <c r="AA166" i="30"/>
  <c r="AA163" i="30"/>
  <c r="AA158" i="30"/>
  <c r="AA142" i="30"/>
  <c r="AA131" i="30"/>
  <c r="AA116" i="30"/>
  <c r="AA93" i="30"/>
  <c r="AA78" i="30"/>
  <c r="AA67" i="30"/>
  <c r="AA52" i="30"/>
  <c r="AA198" i="30"/>
  <c r="AA195" i="30"/>
  <c r="AA190" i="30"/>
  <c r="AA149" i="30"/>
  <c r="AA134" i="30"/>
  <c r="AA123" i="30"/>
  <c r="AA85" i="30"/>
  <c r="AA70" i="30"/>
  <c r="AA59" i="30"/>
  <c r="AA44" i="30"/>
  <c r="AA24" i="30"/>
  <c r="AA11" i="30"/>
  <c r="AA225" i="30"/>
  <c r="AA132" i="30"/>
  <c r="AA102" i="30"/>
  <c r="AA91" i="30"/>
  <c r="AA68" i="30"/>
  <c r="AA3" i="30"/>
  <c r="AA180" i="12"/>
  <c r="AA173" i="12"/>
  <c r="AA166" i="12"/>
  <c r="AA163" i="12"/>
  <c r="AA161" i="12"/>
  <c r="AA159" i="12"/>
  <c r="AA156" i="12"/>
  <c r="AA141" i="12"/>
  <c r="AA136" i="12"/>
  <c r="AA121" i="12"/>
  <c r="AA119" i="12"/>
  <c r="AA94" i="12"/>
  <c r="AA91" i="12"/>
  <c r="AA77" i="12"/>
  <c r="AA72" i="12"/>
  <c r="AA62" i="12"/>
  <c r="AA51" i="12"/>
  <c r="AA15" i="12"/>
  <c r="AA12" i="12"/>
  <c r="AA256" i="13"/>
  <c r="AA253" i="13"/>
  <c r="AA250" i="13"/>
  <c r="AA247" i="13"/>
  <c r="AA235" i="13"/>
  <c r="AA229" i="13"/>
  <c r="AA208" i="13"/>
  <c r="AA205" i="13"/>
  <c r="AA202" i="13"/>
  <c r="AA182" i="13"/>
  <c r="AA177" i="13"/>
  <c r="AA161" i="13"/>
  <c r="AA134" i="13"/>
  <c r="AA131" i="13"/>
  <c r="AA18" i="13"/>
  <c r="AA214" i="17"/>
  <c r="AA191" i="12"/>
  <c r="AA183" i="12"/>
  <c r="AA168" i="12"/>
  <c r="AA151" i="12"/>
  <c r="AA185" i="13"/>
  <c r="AA169" i="13"/>
  <c r="AA163" i="13"/>
  <c r="AA155" i="13"/>
  <c r="AA125" i="13"/>
  <c r="AA164" i="11"/>
  <c r="AA148" i="11"/>
  <c r="AA140" i="11"/>
  <c r="AA193" i="12"/>
  <c r="AA185" i="12"/>
  <c r="AA175" i="12"/>
  <c r="AA172" i="12"/>
  <c r="AA155" i="12"/>
  <c r="AA145" i="12"/>
  <c r="AA143" i="12"/>
  <c r="AA133" i="12"/>
  <c r="AA126" i="12"/>
  <c r="AA86" i="12"/>
  <c r="AA83" i="12"/>
  <c r="AA81" i="12"/>
  <c r="AA79" i="12"/>
  <c r="AA46" i="12"/>
  <c r="AA38" i="12"/>
  <c r="AA32" i="12"/>
  <c r="AA30" i="12"/>
  <c r="AA24" i="12"/>
  <c r="AA22" i="12"/>
  <c r="AA9" i="12"/>
  <c r="AA252" i="13"/>
  <c r="AA243" i="13"/>
  <c r="AA231" i="13"/>
  <c r="AA225" i="13"/>
  <c r="AA220" i="13"/>
  <c r="AA193" i="13"/>
  <c r="AA187" i="13"/>
  <c r="AA179" i="13"/>
  <c r="AA171" i="13"/>
  <c r="AA139" i="13"/>
  <c r="AA51" i="13"/>
  <c r="AA165" i="12"/>
  <c r="AA158" i="12"/>
  <c r="AA128" i="12"/>
  <c r="AA118" i="12"/>
  <c r="AA103" i="12"/>
  <c r="AA93" i="12"/>
  <c r="AA88" i="12"/>
  <c r="AA61" i="12"/>
  <c r="AA48" i="12"/>
  <c r="AA40" i="12"/>
  <c r="AA14" i="12"/>
  <c r="AA255" i="13"/>
  <c r="AA249" i="13"/>
  <c r="AA237" i="13"/>
  <c r="AA216" i="13"/>
  <c r="AA210" i="13"/>
  <c r="AA201" i="13"/>
  <c r="AA184" i="13"/>
  <c r="AA181" i="13"/>
  <c r="AA176" i="13"/>
  <c r="AA168" i="13"/>
  <c r="AA157" i="13"/>
  <c r="AA142" i="13"/>
  <c r="AA170" i="11"/>
  <c r="AA106" i="11"/>
  <c r="AA53" i="12"/>
  <c r="AA6" i="12"/>
  <c r="AA222" i="13"/>
  <c r="AA213" i="13"/>
  <c r="AA192" i="13"/>
  <c r="AA173" i="13"/>
  <c r="AA154" i="13"/>
  <c r="AA145" i="13"/>
  <c r="AA130" i="13"/>
  <c r="AA66" i="13"/>
  <c r="AA6" i="13"/>
  <c r="AA206" i="17"/>
  <c r="AA192" i="12"/>
  <c r="AA184" i="12"/>
  <c r="AA174" i="12"/>
  <c r="AA169" i="12"/>
  <c r="AA167" i="12"/>
  <c r="AA152" i="12"/>
  <c r="AA142" i="12"/>
  <c r="AA125" i="12"/>
  <c r="AA112" i="12"/>
  <c r="AA95" i="12"/>
  <c r="AA85" i="12"/>
  <c r="AA78" i="12"/>
  <c r="AA65" i="12"/>
  <c r="AA63" i="12"/>
  <c r="AA57" i="12"/>
  <c r="AA55" i="12"/>
  <c r="AA45" i="12"/>
  <c r="AA37" i="12"/>
  <c r="AA29" i="12"/>
  <c r="AA21" i="12"/>
  <c r="AA16" i="12"/>
  <c r="Z257" i="13"/>
  <c r="U6" i="4" s="1"/>
  <c r="AA254" i="13"/>
  <c r="AA251" i="13"/>
  <c r="AA245" i="13"/>
  <c r="AA239" i="13"/>
  <c r="AA233" i="13"/>
  <c r="AA219" i="13"/>
  <c r="AA189" i="13"/>
  <c r="AA2" i="17"/>
  <c r="Z222" i="17"/>
  <c r="U7" i="4" s="1"/>
  <c r="AA232" i="11"/>
  <c r="AA216" i="11"/>
  <c r="AA176" i="12"/>
  <c r="AA157" i="12"/>
  <c r="AA144" i="12"/>
  <c r="AA102" i="12"/>
  <c r="AA80" i="12"/>
  <c r="AA33" i="12"/>
  <c r="AA31" i="12"/>
  <c r="AA13" i="12"/>
  <c r="AA8" i="12"/>
  <c r="AA2" i="13"/>
  <c r="AA215" i="13"/>
  <c r="AA212" i="13"/>
  <c r="AA209" i="13"/>
  <c r="AA186" i="13"/>
  <c r="AA180" i="13"/>
  <c r="AA170" i="13"/>
  <c r="AA164" i="13"/>
  <c r="AA150" i="13"/>
  <c r="AA138" i="13"/>
  <c r="AA129" i="13"/>
  <c r="AA126" i="13"/>
  <c r="AA118" i="13"/>
  <c r="AA65" i="13"/>
  <c r="AA43" i="13"/>
  <c r="AA29" i="13"/>
  <c r="AA19" i="13"/>
  <c r="AA5" i="13"/>
  <c r="AA189" i="12"/>
  <c r="AA149" i="12"/>
  <c r="AA134" i="12"/>
  <c r="AA131" i="12"/>
  <c r="AA129" i="12"/>
  <c r="AA127" i="12"/>
  <c r="AA124" i="12"/>
  <c r="AA116" i="12"/>
  <c r="AA109" i="12"/>
  <c r="AA104" i="12"/>
  <c r="AA89" i="12"/>
  <c r="AA87" i="12"/>
  <c r="AA70" i="12"/>
  <c r="AA59" i="12"/>
  <c r="AA49" i="12"/>
  <c r="AA47" i="12"/>
  <c r="AA41" i="12"/>
  <c r="AA39" i="12"/>
  <c r="AA5" i="12"/>
  <c r="AA241" i="13"/>
  <c r="AA226" i="13"/>
  <c r="AA221" i="13"/>
  <c r="AA194" i="13"/>
  <c r="AA191" i="13"/>
  <c r="AA153" i="13"/>
  <c r="AA123" i="13"/>
  <c r="AA57" i="13"/>
  <c r="AA7" i="13"/>
  <c r="AA158" i="17"/>
  <c r="AA155" i="17"/>
  <c r="AA121" i="17"/>
  <c r="AA111" i="17"/>
  <c r="AA105" i="17"/>
  <c r="AA86" i="17"/>
  <c r="AA83" i="17"/>
  <c r="AA42" i="17"/>
  <c r="AA32" i="17"/>
  <c r="AA24" i="17"/>
  <c r="AA16" i="17"/>
  <c r="AA14" i="17"/>
  <c r="AA8" i="17"/>
  <c r="AA6" i="17"/>
  <c r="AA219" i="14"/>
  <c r="AA201" i="14"/>
  <c r="AA184" i="14"/>
  <c r="AA167" i="14"/>
  <c r="AA157" i="14"/>
  <c r="AA213" i="17"/>
  <c r="AA113" i="17"/>
  <c r="AA108" i="17"/>
  <c r="AA96" i="17"/>
  <c r="AA94" i="17"/>
  <c r="AA91" i="17"/>
  <c r="AA74" i="17"/>
  <c r="AA69" i="17"/>
  <c r="AA37" i="17"/>
  <c r="AA222" i="14"/>
  <c r="AA216" i="14"/>
  <c r="AA207" i="14"/>
  <c r="AA170" i="14"/>
  <c r="AA150" i="14"/>
  <c r="AA147" i="13"/>
  <c r="AA136" i="13"/>
  <c r="AA133" i="13"/>
  <c r="AA122" i="13"/>
  <c r="AA114" i="13"/>
  <c r="AA98" i="13"/>
  <c r="AA90" i="13"/>
  <c r="AA81" i="13"/>
  <c r="AA75" i="13"/>
  <c r="AA67" i="13"/>
  <c r="AA48" i="13"/>
  <c r="AA45" i="13"/>
  <c r="AA37" i="13"/>
  <c r="AA26" i="13"/>
  <c r="AA23" i="13"/>
  <c r="AA15" i="13"/>
  <c r="AA9" i="13"/>
  <c r="AA221" i="17"/>
  <c r="AA215" i="17"/>
  <c r="AA207" i="17"/>
  <c r="AA197" i="17"/>
  <c r="AA189" i="17"/>
  <c r="AA181" i="17"/>
  <c r="AA173" i="17"/>
  <c r="AA165" i="17"/>
  <c r="AA162" i="17"/>
  <c r="AA142" i="17"/>
  <c r="AA139" i="17"/>
  <c r="AA134" i="17"/>
  <c r="AA131" i="17"/>
  <c r="AA126" i="17"/>
  <c r="AA123" i="17"/>
  <c r="AA99" i="17"/>
  <c r="AA82" i="17"/>
  <c r="AA77" i="17"/>
  <c r="AA71" i="17"/>
  <c r="AA61" i="17"/>
  <c r="AA53" i="17"/>
  <c r="AA45" i="17"/>
  <c r="AA39" i="17"/>
  <c r="AA29" i="17"/>
  <c r="AA21" i="17"/>
  <c r="Z224" i="14"/>
  <c r="U8" i="4" s="1"/>
  <c r="AA213" i="14"/>
  <c r="AA209" i="14"/>
  <c r="AA191" i="14"/>
  <c r="AA173" i="14"/>
  <c r="AA166" i="14"/>
  <c r="AA136" i="14"/>
  <c r="AA118" i="17"/>
  <c r="AA13" i="17"/>
  <c r="AA5" i="17"/>
  <c r="AA200" i="14"/>
  <c r="AA176" i="14"/>
  <c r="AA141" i="13"/>
  <c r="AA105" i="13"/>
  <c r="AA102" i="13"/>
  <c r="AA86" i="13"/>
  <c r="AA83" i="13"/>
  <c r="AA80" i="13"/>
  <c r="AA69" i="13"/>
  <c r="AA61" i="13"/>
  <c r="AA50" i="13"/>
  <c r="AA42" i="13"/>
  <c r="AA34" i="13"/>
  <c r="AA28" i="13"/>
  <c r="AA22" i="13"/>
  <c r="AA17" i="13"/>
  <c r="AA11" i="13"/>
  <c r="AA220" i="17"/>
  <c r="AA212" i="17"/>
  <c r="AA204" i="17"/>
  <c r="AA201" i="17"/>
  <c r="AA196" i="17"/>
  <c r="AA193" i="17"/>
  <c r="AA188" i="17"/>
  <c r="AA185" i="17"/>
  <c r="AA180" i="17"/>
  <c r="AA177" i="17"/>
  <c r="AA172" i="17"/>
  <c r="AA169" i="17"/>
  <c r="AA164" i="17"/>
  <c r="AA159" i="17"/>
  <c r="AA149" i="17"/>
  <c r="AA146" i="17"/>
  <c r="AA138" i="17"/>
  <c r="AA130" i="17"/>
  <c r="AA110" i="17"/>
  <c r="AA98" i="17"/>
  <c r="AA93" i="17"/>
  <c r="AA87" i="17"/>
  <c r="AA81" i="17"/>
  <c r="AA76" i="17"/>
  <c r="AA68" i="17"/>
  <c r="AA65" i="17"/>
  <c r="AA60" i="17"/>
  <c r="AA57" i="17"/>
  <c r="AA52" i="17"/>
  <c r="AA49" i="17"/>
  <c r="AA44" i="17"/>
  <c r="AA33" i="17"/>
  <c r="AA31" i="17"/>
  <c r="AA28" i="17"/>
  <c r="AA25" i="17"/>
  <c r="AA23" i="17"/>
  <c r="AA20" i="17"/>
  <c r="AA17" i="17"/>
  <c r="AA15" i="17"/>
  <c r="AA9" i="17"/>
  <c r="AA7" i="17"/>
  <c r="AA221" i="14"/>
  <c r="AA215" i="14"/>
  <c r="AA206" i="14"/>
  <c r="AA113" i="13"/>
  <c r="AA97" i="13"/>
  <c r="AA89" i="13"/>
  <c r="AA58" i="13"/>
  <c r="AA25" i="13"/>
  <c r="AA161" i="17"/>
  <c r="AA151" i="17"/>
  <c r="AA141" i="17"/>
  <c r="AA133" i="17"/>
  <c r="AA125" i="17"/>
  <c r="AA95" i="17"/>
  <c r="AA12" i="17"/>
  <c r="AA4" i="17"/>
  <c r="AA208" i="14"/>
  <c r="AA153" i="17"/>
  <c r="AA143" i="17"/>
  <c r="AA135" i="17"/>
  <c r="AA127" i="17"/>
  <c r="AA117" i="17"/>
  <c r="AA101" i="17"/>
  <c r="AA70" i="17"/>
  <c r="AA43" i="17"/>
  <c r="AA40" i="17"/>
  <c r="AA38" i="17"/>
  <c r="AA35" i="17"/>
  <c r="AA27" i="17"/>
  <c r="AA19" i="17"/>
  <c r="AA223" i="14"/>
  <c r="AA211" i="14"/>
  <c r="AA199" i="14"/>
  <c r="AA192" i="14"/>
  <c r="AA185" i="14"/>
  <c r="AA178" i="14"/>
  <c r="AA175" i="14"/>
  <c r="AA158" i="14"/>
  <c r="AA115" i="13"/>
  <c r="AA104" i="13"/>
  <c r="AA99" i="13"/>
  <c r="AA91" i="13"/>
  <c r="AA88" i="13"/>
  <c r="AA85" i="13"/>
  <c r="AA82" i="13"/>
  <c r="AA49" i="13"/>
  <c r="AA46" i="13"/>
  <c r="AA41" i="13"/>
  <c r="AA38" i="13"/>
  <c r="AA33" i="13"/>
  <c r="AA27" i="13"/>
  <c r="AA21" i="13"/>
  <c r="AA16" i="13"/>
  <c r="AA13" i="13"/>
  <c r="AA10" i="13"/>
  <c r="AA219" i="17"/>
  <c r="AA211" i="17"/>
  <c r="AA203" i="17"/>
  <c r="AA198" i="17"/>
  <c r="AA195" i="17"/>
  <c r="AA190" i="17"/>
  <c r="AA187" i="17"/>
  <c r="AA182" i="17"/>
  <c r="AA174" i="17"/>
  <c r="AA166" i="17"/>
  <c r="AA163" i="17"/>
  <c r="AA145" i="17"/>
  <c r="AA137" i="17"/>
  <c r="AA129" i="17"/>
  <c r="AA119" i="17"/>
  <c r="AA109" i="17"/>
  <c r="AA103" i="17"/>
  <c r="AA78" i="17"/>
  <c r="AA75" i="17"/>
  <c r="AA67" i="17"/>
  <c r="AA62" i="17"/>
  <c r="AA59" i="17"/>
  <c r="AA86" i="14"/>
  <c r="AA80" i="14"/>
  <c r="AA74" i="14"/>
  <c r="AA216" i="15"/>
  <c r="AA139" i="15"/>
  <c r="AA121" i="15"/>
  <c r="AA93" i="15"/>
  <c r="AA88" i="15"/>
  <c r="AA67" i="15"/>
  <c r="AA193" i="14"/>
  <c r="AA187" i="14"/>
  <c r="AA177" i="14"/>
  <c r="AA171" i="14"/>
  <c r="AA168" i="14"/>
  <c r="AA142" i="14"/>
  <c r="AA133" i="14"/>
  <c r="AA127" i="14"/>
  <c r="AA124" i="14"/>
  <c r="AA118" i="14"/>
  <c r="AA109" i="14"/>
  <c r="AA103" i="14"/>
  <c r="AA100" i="14"/>
  <c r="AA91" i="14"/>
  <c r="AA88" i="14"/>
  <c r="AA77" i="14"/>
  <c r="AA71" i="14"/>
  <c r="AA54" i="14"/>
  <c r="AA40" i="14"/>
  <c r="AA16" i="14"/>
  <c r="AA5" i="14"/>
  <c r="AA254" i="15"/>
  <c r="AA236" i="15"/>
  <c r="AA224" i="15"/>
  <c r="AA211" i="15"/>
  <c r="AA200" i="15"/>
  <c r="AA177" i="15"/>
  <c r="AA167" i="15"/>
  <c r="AA162" i="15"/>
  <c r="AA144" i="15"/>
  <c r="AA131" i="15"/>
  <c r="AA123" i="15"/>
  <c r="AA118" i="15"/>
  <c r="AA115" i="15"/>
  <c r="AA110" i="15"/>
  <c r="AA107" i="15"/>
  <c r="AA104" i="15"/>
  <c r="AA85" i="15"/>
  <c r="AA80" i="15"/>
  <c r="AA77" i="15"/>
  <c r="AA51" i="15"/>
  <c r="AA41" i="15"/>
  <c r="AA38" i="15"/>
  <c r="AA386" i="16"/>
  <c r="AA59" i="14"/>
  <c r="AA56" i="14"/>
  <c r="AA48" i="14"/>
  <c r="AA37" i="14"/>
  <c r="AA34" i="14"/>
  <c r="AA13" i="14"/>
  <c r="AA246" i="15"/>
  <c r="AA195" i="15"/>
  <c r="AA193" i="15"/>
  <c r="AA179" i="15"/>
  <c r="AA159" i="15"/>
  <c r="AA154" i="15"/>
  <c r="AA136" i="15"/>
  <c r="AA112" i="15"/>
  <c r="AA101" i="15"/>
  <c r="AA95" i="15"/>
  <c r="AA72" i="15"/>
  <c r="AA69" i="15"/>
  <c r="AA29" i="15"/>
  <c r="AA22" i="15"/>
  <c r="AA372" i="16"/>
  <c r="AA196" i="14"/>
  <c r="AA190" i="14"/>
  <c r="AA183" i="14"/>
  <c r="AA174" i="14"/>
  <c r="AA152" i="14"/>
  <c r="AA144" i="14"/>
  <c r="AA135" i="14"/>
  <c r="AA120" i="14"/>
  <c r="AA111" i="14"/>
  <c r="AA108" i="14"/>
  <c r="AA99" i="14"/>
  <c r="AA96" i="14"/>
  <c r="AA85" i="14"/>
  <c r="AA79" i="14"/>
  <c r="AA67" i="14"/>
  <c r="AA62" i="14"/>
  <c r="AA53" i="14"/>
  <c r="AA50" i="14"/>
  <c r="AA45" i="14"/>
  <c r="AA42" i="14"/>
  <c r="AA31" i="14"/>
  <c r="AA22" i="14"/>
  <c r="AA7" i="14"/>
  <c r="AA4" i="14"/>
  <c r="AA248" i="15"/>
  <c r="AA243" i="15"/>
  <c r="AA238" i="15"/>
  <c r="AA233" i="15"/>
  <c r="AA219" i="15"/>
  <c r="AA186" i="15"/>
  <c r="AA171" i="15"/>
  <c r="AA169" i="15"/>
  <c r="AA156" i="15"/>
  <c r="AA151" i="15"/>
  <c r="AA146" i="15"/>
  <c r="AA138" i="15"/>
  <c r="AA120" i="15"/>
  <c r="AA114" i="15"/>
  <c r="AA106" i="15"/>
  <c r="AA97" i="15"/>
  <c r="AA84" i="15"/>
  <c r="AA76" i="15"/>
  <c r="AA61" i="15"/>
  <c r="AA32" i="15"/>
  <c r="AA146" i="14"/>
  <c r="AA141" i="14"/>
  <c r="AA126" i="14"/>
  <c r="AA117" i="14"/>
  <c r="AA102" i="14"/>
  <c r="AA90" i="14"/>
  <c r="AA70" i="14"/>
  <c r="AA39" i="14"/>
  <c r="AA36" i="14"/>
  <c r="AA33" i="14"/>
  <c r="AA24" i="14"/>
  <c r="AA15" i="14"/>
  <c r="AA253" i="15"/>
  <c r="AA235" i="15"/>
  <c r="AA228" i="15"/>
  <c r="AA199" i="15"/>
  <c r="AA183" i="15"/>
  <c r="AA161" i="15"/>
  <c r="AA143" i="15"/>
  <c r="AA130" i="15"/>
  <c r="AA117" i="15"/>
  <c r="AA103" i="15"/>
  <c r="AA93" i="14"/>
  <c r="AA87" i="14"/>
  <c r="AA72" i="14"/>
  <c r="AA64" i="14"/>
  <c r="AA58" i="14"/>
  <c r="AA255" i="15"/>
  <c r="AA203" i="15"/>
  <c r="AA201" i="15"/>
  <c r="AA163" i="15"/>
  <c r="AA153" i="15"/>
  <c r="AA135" i="15"/>
  <c r="AA127" i="15"/>
  <c r="AA122" i="15"/>
  <c r="AA111" i="15"/>
  <c r="AA91" i="15"/>
  <c r="Z395" i="16"/>
  <c r="U10" i="4" s="1"/>
  <c r="U10" i="7" s="1"/>
  <c r="AA374" i="16"/>
  <c r="AA348" i="16"/>
  <c r="AA182" i="14"/>
  <c r="AA169" i="14"/>
  <c r="AA163" i="14"/>
  <c r="AA143" i="14"/>
  <c r="AA134" i="14"/>
  <c r="AA119" i="14"/>
  <c r="AA110" i="14"/>
  <c r="AA104" i="14"/>
  <c r="AA98" i="14"/>
  <c r="AA78" i="14"/>
  <c r="AA69" i="14"/>
  <c r="AA66" i="14"/>
  <c r="AA55" i="14"/>
  <c r="AA49" i="14"/>
  <c r="AA30" i="14"/>
  <c r="AA6" i="14"/>
  <c r="AA247" i="15"/>
  <c r="AA237" i="15"/>
  <c r="AA232" i="15"/>
  <c r="AA225" i="15"/>
  <c r="AA208" i="15"/>
  <c r="AA192" i="15"/>
  <c r="AA185" i="15"/>
  <c r="AA178" i="15"/>
  <c r="AA155" i="15"/>
  <c r="AA145" i="15"/>
  <c r="AA137" i="15"/>
  <c r="AA119" i="15"/>
  <c r="AA113" i="15"/>
  <c r="AA83" i="15"/>
  <c r="AA57" i="15"/>
  <c r="AA351" i="16"/>
  <c r="AA160" i="14"/>
  <c r="AA151" i="14"/>
  <c r="AA148" i="14"/>
  <c r="AA125" i="14"/>
  <c r="AA112" i="14"/>
  <c r="AA101" i="14"/>
  <c r="AA95" i="14"/>
  <c r="AA60" i="14"/>
  <c r="AA38" i="14"/>
  <c r="AA35" i="14"/>
  <c r="AA32" i="14"/>
  <c r="AA26" i="14"/>
  <c r="AA14" i="14"/>
  <c r="Z258" i="15"/>
  <c r="U9" i="4" s="1"/>
  <c r="AA252" i="15"/>
  <c r="AA239" i="15"/>
  <c r="AA234" i="15"/>
  <c r="AA227" i="15"/>
  <c r="AA187" i="15"/>
  <c r="AA147" i="15"/>
  <c r="AA129" i="15"/>
  <c r="AA96" i="15"/>
  <c r="AA75" i="15"/>
  <c r="AA59" i="15"/>
  <c r="AA33" i="15"/>
  <c r="AA24" i="15"/>
  <c r="AA16" i="15"/>
  <c r="AA6" i="15"/>
  <c r="AA390" i="16"/>
  <c r="AA370" i="16"/>
  <c r="AA367" i="16"/>
  <c r="AA359" i="16"/>
  <c r="AA356" i="16"/>
  <c r="AA343" i="16"/>
  <c r="AA335" i="16"/>
  <c r="AA332" i="16"/>
  <c r="AA324" i="16"/>
  <c r="AA310" i="16"/>
  <c r="AA304" i="16"/>
  <c r="AA274" i="16"/>
  <c r="AA263" i="16"/>
  <c r="AA260" i="16"/>
  <c r="AA230" i="16"/>
  <c r="AA206" i="16"/>
  <c r="AA181" i="16"/>
  <c r="AA102" i="16"/>
  <c r="AA96" i="16"/>
  <c r="AA14" i="16"/>
  <c r="AA8" i="16"/>
  <c r="AA378" i="16"/>
  <c r="AA375" i="16"/>
  <c r="AA364" i="16"/>
  <c r="AA346" i="16"/>
  <c r="AA340" i="16"/>
  <c r="AA318" i="16"/>
  <c r="AA298" i="16"/>
  <c r="AA290" i="16"/>
  <c r="AA282" i="16"/>
  <c r="AA271" i="16"/>
  <c r="AA268" i="16"/>
  <c r="AA224" i="16"/>
  <c r="AA208" i="16"/>
  <c r="AA160" i="16"/>
  <c r="AA149" i="16"/>
  <c r="AA145" i="16"/>
  <c r="AA125" i="16"/>
  <c r="AA119" i="16"/>
  <c r="AA116" i="16"/>
  <c r="AA90" i="16"/>
  <c r="AA81" i="16"/>
  <c r="AA61" i="16"/>
  <c r="AA57" i="16"/>
  <c r="AA51" i="16"/>
  <c r="AA39" i="16"/>
  <c r="AA36" i="16"/>
  <c r="AA30" i="16"/>
  <c r="AA22" i="16"/>
  <c r="AA19" i="16"/>
  <c r="AA10" i="16"/>
  <c r="AA326" i="16"/>
  <c r="AA312" i="16"/>
  <c r="AA295" i="16"/>
  <c r="AA287" i="16"/>
  <c r="AA279" i="16"/>
  <c r="AA276" i="16"/>
  <c r="AA273" i="16"/>
  <c r="AA254" i="16"/>
  <c r="AA246" i="16"/>
  <c r="AA238" i="16"/>
  <c r="AA221" i="16"/>
  <c r="AA217" i="16"/>
  <c r="AA214" i="16"/>
  <c r="AA198" i="16"/>
  <c r="AA192" i="16"/>
  <c r="AA183" i="16"/>
  <c r="AA180" i="16"/>
  <c r="AA171" i="16"/>
  <c r="AA168" i="16"/>
  <c r="AA166" i="16"/>
  <c r="AA157" i="16"/>
  <c r="AA151" i="16"/>
  <c r="AA139" i="16"/>
  <c r="AA136" i="16"/>
  <c r="AA130" i="16"/>
  <c r="AA110" i="16"/>
  <c r="AA104" i="16"/>
  <c r="AA98" i="16"/>
  <c r="AA93" i="16"/>
  <c r="AA87" i="16"/>
  <c r="AA70" i="16"/>
  <c r="AA54" i="16"/>
  <c r="AA45" i="16"/>
  <c r="AA41" i="16"/>
  <c r="AA32" i="16"/>
  <c r="AA16" i="16"/>
  <c r="AA5" i="16"/>
  <c r="AA23" i="15"/>
  <c r="AA5" i="15"/>
  <c r="AA380" i="16"/>
  <c r="AA366" i="16"/>
  <c r="AA358" i="16"/>
  <c r="AA342" i="16"/>
  <c r="AA334" i="16"/>
  <c r="AA320" i="16"/>
  <c r="AA309" i="16"/>
  <c r="AA306" i="16"/>
  <c r="AA292" i="16"/>
  <c r="AA284" i="16"/>
  <c r="AA281" i="16"/>
  <c r="AA262" i="16"/>
  <c r="AA248" i="16"/>
  <c r="AA240" i="16"/>
  <c r="AA229" i="16"/>
  <c r="AA210" i="16"/>
  <c r="AA205" i="16"/>
  <c r="AA202" i="16"/>
  <c r="AA200" i="16"/>
  <c r="AA189" i="16"/>
  <c r="AA176" i="16"/>
  <c r="AA174" i="16"/>
  <c r="AA148" i="16"/>
  <c r="AA142" i="16"/>
  <c r="AA133" i="16"/>
  <c r="AA127" i="16"/>
  <c r="AA101" i="16"/>
  <c r="AA78" i="16"/>
  <c r="AA72" i="16"/>
  <c r="AA7" i="16"/>
  <c r="AA118" i="16"/>
  <c r="AA112" i="16"/>
  <c r="AA106" i="16"/>
  <c r="AA92" i="16"/>
  <c r="AA56" i="16"/>
  <c r="AA44" i="16"/>
  <c r="AA38" i="16"/>
  <c r="AA29" i="16"/>
  <c r="AA21" i="16"/>
  <c r="AA9" i="16"/>
  <c r="AA4" i="16"/>
  <c r="AA71" i="15"/>
  <c r="AA56" i="15"/>
  <c r="AA49" i="15"/>
  <c r="AA19" i="15"/>
  <c r="AA9" i="15"/>
  <c r="AA7" i="15"/>
  <c r="AA4" i="15"/>
  <c r="AA394" i="16"/>
  <c r="AA391" i="16"/>
  <c r="AA388" i="16"/>
  <c r="AA382" i="16"/>
  <c r="AA371" i="16"/>
  <c r="AA368" i="16"/>
  <c r="AA360" i="16"/>
  <c r="AA357" i="16"/>
  <c r="AA354" i="16"/>
  <c r="AA344" i="16"/>
  <c r="AA333" i="16"/>
  <c r="AA311" i="16"/>
  <c r="AA294" i="16"/>
  <c r="AA286" i="16"/>
  <c r="AA278" i="16"/>
  <c r="AA264" i="16"/>
  <c r="AA261" i="16"/>
  <c r="AA250" i="16"/>
  <c r="AA242" i="16"/>
  <c r="AA234" i="16"/>
  <c r="AA231" i="16"/>
  <c r="AA209" i="16"/>
  <c r="AA207" i="16"/>
  <c r="AA197" i="16"/>
  <c r="AA191" i="16"/>
  <c r="AA182" i="16"/>
  <c r="AA165" i="16"/>
  <c r="AA161" i="16"/>
  <c r="AA147" i="16"/>
  <c r="AA144" i="16"/>
  <c r="AA135" i="16"/>
  <c r="AA129" i="16"/>
  <c r="AA123" i="16"/>
  <c r="AA109" i="16"/>
  <c r="AA103" i="16"/>
  <c r="AA97" i="16"/>
  <c r="AA86" i="16"/>
  <c r="AA80" i="16"/>
  <c r="AA69" i="16"/>
  <c r="AA15" i="16"/>
  <c r="AA173" i="16"/>
  <c r="AA167" i="16"/>
  <c r="AA152" i="16"/>
  <c r="AA150" i="16"/>
  <c r="AA141" i="16"/>
  <c r="AA77" i="16"/>
  <c r="AA62" i="16"/>
  <c r="AA43" i="16"/>
  <c r="AA40" i="16"/>
  <c r="AA28" i="16"/>
  <c r="AA23" i="16"/>
  <c r="AA63" i="15"/>
  <c r="AA43" i="15"/>
  <c r="AA39" i="15"/>
  <c r="AA31" i="15"/>
  <c r="AA28" i="15"/>
  <c r="AA14" i="15"/>
  <c r="AA3" i="15"/>
  <c r="AA387" i="16"/>
  <c r="AA384" i="16"/>
  <c r="AA362" i="16"/>
  <c r="AA350" i="16"/>
  <c r="AA338" i="16"/>
  <c r="AA330" i="16"/>
  <c r="AA327" i="16"/>
  <c r="AA322" i="16"/>
  <c r="AA302" i="16"/>
  <c r="AA288" i="16"/>
  <c r="AA280" i="16"/>
  <c r="AA277" i="16"/>
  <c r="AA266" i="16"/>
  <c r="AA255" i="16"/>
  <c r="AA252" i="16"/>
  <c r="AA247" i="16"/>
  <c r="AA244" i="16"/>
  <c r="AA239" i="16"/>
  <c r="AA236" i="16"/>
  <c r="AA233" i="16"/>
  <c r="AA222" i="16"/>
  <c r="AA215" i="16"/>
  <c r="AA193" i="16"/>
  <c r="AA184" i="16"/>
  <c r="AA175" i="16"/>
  <c r="AA158" i="16"/>
  <c r="AA137" i="16"/>
  <c r="AA117" i="16"/>
  <c r="AA108" i="16"/>
  <c r="AA99" i="16"/>
  <c r="AA94" i="16"/>
  <c r="AA82" i="16"/>
  <c r="AA71" i="16"/>
  <c r="AA68" i="16"/>
  <c r="AA55" i="16"/>
  <c r="AA46" i="16"/>
  <c r="AA37" i="16"/>
  <c r="AA11" i="16"/>
  <c r="AA6" i="16"/>
  <c r="AA218" i="11"/>
  <c r="AA210" i="11"/>
  <c r="AA202" i="11"/>
  <c r="AA194" i="11"/>
  <c r="AA187" i="11"/>
  <c r="AA179" i="11"/>
  <c r="AA171" i="11"/>
  <c r="AA156" i="11"/>
  <c r="AA133" i="11"/>
  <c r="AA126" i="11"/>
  <c r="AA118" i="11"/>
  <c r="AA110" i="11"/>
  <c r="AA103" i="11"/>
  <c r="AA95" i="11"/>
  <c r="AA87" i="11"/>
  <c r="AA79" i="11"/>
  <c r="AA71" i="11"/>
  <c r="AA231" i="11"/>
  <c r="AA225" i="11"/>
  <c r="AA217" i="11"/>
  <c r="AA209" i="11"/>
  <c r="AA201" i="11"/>
  <c r="AA186" i="11"/>
  <c r="AA178" i="11"/>
  <c r="AA125" i="11"/>
  <c r="AA117" i="11"/>
  <c r="AA109" i="11"/>
  <c r="AA102" i="11"/>
  <c r="AA94" i="11"/>
  <c r="AA86" i="11"/>
  <c r="AA78" i="11"/>
  <c r="AA70" i="11"/>
  <c r="AA63" i="11"/>
  <c r="AA55" i="11"/>
  <c r="AA47" i="11"/>
  <c r="AA39" i="11"/>
  <c r="AA31" i="11"/>
  <c r="AA23" i="11"/>
  <c r="AA15" i="11"/>
  <c r="AA230" i="11"/>
  <c r="AA224" i="11"/>
  <c r="AA208" i="11"/>
  <c r="AA200" i="11"/>
  <c r="AA193" i="11"/>
  <c r="AA185" i="11"/>
  <c r="AA177" i="11"/>
  <c r="AA162" i="11"/>
  <c r="AA154" i="11"/>
  <c r="AA146" i="11"/>
  <c r="AA138" i="11"/>
  <c r="AA124" i="11"/>
  <c r="AA101" i="11"/>
  <c r="AA93" i="11"/>
  <c r="AA85" i="11"/>
  <c r="AA77" i="11"/>
  <c r="AA69" i="11"/>
  <c r="AA62" i="11"/>
  <c r="AA54" i="11"/>
  <c r="AA46" i="11"/>
  <c r="AA38" i="11"/>
  <c r="AA30" i="11"/>
  <c r="AA22" i="11"/>
  <c r="AA14" i="11"/>
  <c r="AA172" i="13"/>
  <c r="AA223" i="11"/>
  <c r="AA215" i="11"/>
  <c r="AA207" i="11"/>
  <c r="AA199" i="11"/>
  <c r="AA192" i="11"/>
  <c r="AA169" i="11"/>
  <c r="AA161" i="11"/>
  <c r="AA222" i="11"/>
  <c r="AA214" i="11"/>
  <c r="AA206" i="11"/>
  <c r="AA198" i="11"/>
  <c r="AA191" i="11"/>
  <c r="AA183" i="11"/>
  <c r="AA175" i="11"/>
  <c r="AA168" i="11"/>
  <c r="AA122" i="11"/>
  <c r="AA114" i="11"/>
  <c r="AA60" i="11"/>
  <c r="AA28" i="11"/>
  <c r="AA5" i="11"/>
  <c r="AA228" i="11"/>
  <c r="AA221" i="11"/>
  <c r="AA213" i="11"/>
  <c r="AA205" i="11"/>
  <c r="AA197" i="11"/>
  <c r="AA190" i="11"/>
  <c r="AA182" i="11"/>
  <c r="AA174" i="11"/>
  <c r="AA167" i="11"/>
  <c r="AA159" i="11"/>
  <c r="AA151" i="11"/>
  <c r="AA143" i="11"/>
  <c r="AA135" i="11"/>
  <c r="AA129" i="11"/>
  <c r="AA121" i="11"/>
  <c r="AA113" i="11"/>
  <c r="AA98" i="11"/>
  <c r="AA90" i="11"/>
  <c r="AA82" i="11"/>
  <c r="AA74" i="11"/>
  <c r="AA66" i="11"/>
  <c r="AA59" i="11"/>
  <c r="AA51" i="11"/>
  <c r="AA43" i="11"/>
  <c r="AA27" i="11"/>
  <c r="AA19" i="11"/>
  <c r="AA4" i="11"/>
  <c r="AA223" i="13"/>
  <c r="AA143" i="13"/>
  <c r="AA210" i="14"/>
  <c r="AA2" i="11"/>
  <c r="AA227" i="11"/>
  <c r="AA220" i="11"/>
  <c r="AA189" i="11"/>
  <c r="AA181" i="11"/>
  <c r="AA173" i="11"/>
  <c r="AA166" i="11"/>
  <c r="AA158" i="11"/>
  <c r="AA150" i="11"/>
  <c r="AA142" i="11"/>
  <c r="AA134" i="11"/>
  <c r="AA128" i="11"/>
  <c r="AA120" i="11"/>
  <c r="AA112" i="11"/>
  <c r="AA105" i="11"/>
  <c r="AA97" i="11"/>
  <c r="AA89" i="11"/>
  <c r="AA81" i="11"/>
  <c r="AA73" i="11"/>
  <c r="AA58" i="11"/>
  <c r="AA50" i="11"/>
  <c r="AA42" i="11"/>
  <c r="AA34" i="11"/>
  <c r="AA26" i="11"/>
  <c r="AA233" i="11"/>
  <c r="AA226" i="11"/>
  <c r="AA219" i="11"/>
  <c r="AA211" i="11"/>
  <c r="AA188" i="11"/>
  <c r="AA165" i="11"/>
  <c r="AA157" i="11"/>
  <c r="AA149" i="11"/>
  <c r="AA141" i="11"/>
  <c r="AA127" i="11"/>
  <c r="AA119" i="11"/>
  <c r="AA111" i="11"/>
  <c r="AA65" i="11"/>
  <c r="AA57" i="11"/>
  <c r="AA49" i="11"/>
  <c r="AA41" i="11"/>
  <c r="AA33" i="11"/>
  <c r="AA188" i="13"/>
  <c r="AA114" i="14"/>
  <c r="AA305" i="16"/>
  <c r="AA88" i="16"/>
  <c r="AA119" i="13"/>
  <c r="AA18" i="14"/>
  <c r="AA393" i="16"/>
  <c r="AA385" i="16"/>
  <c r="AA297" i="16"/>
  <c r="AA95" i="13"/>
  <c r="AA31" i="13"/>
  <c r="AA202" i="14"/>
  <c r="AA377" i="16"/>
  <c r="AA369" i="16"/>
  <c r="AA289" i="16"/>
  <c r="AA186" i="16"/>
  <c r="AA95" i="16"/>
  <c r="AA154" i="14"/>
  <c r="AA170" i="16"/>
  <c r="AA162" i="16"/>
  <c r="AA153" i="11"/>
  <c r="AA145" i="11"/>
  <c r="AA137" i="11"/>
  <c r="AA130" i="11"/>
  <c r="AA92" i="11"/>
  <c r="AA61" i="11"/>
  <c r="AA53" i="11"/>
  <c r="AA45" i="11"/>
  <c r="AA37" i="11"/>
  <c r="AA29" i="11"/>
  <c r="AA21" i="11"/>
  <c r="AA13" i="11"/>
  <c r="AA206" i="13"/>
  <c r="AA111" i="13"/>
  <c r="AA47" i="13"/>
  <c r="AA218" i="14"/>
  <c r="AA162" i="14"/>
  <c r="AA265" i="16"/>
  <c r="AA249" i="16"/>
  <c r="AA216" i="16"/>
  <c r="AA154" i="16"/>
  <c r="AA74" i="16"/>
  <c r="AA146" i="16"/>
  <c r="AA66" i="16"/>
  <c r="AA42" i="16"/>
  <c r="AA186" i="14"/>
  <c r="AA138" i="16"/>
  <c r="AA111" i="16"/>
  <c r="AA58" i="16"/>
  <c r="AA34" i="16"/>
  <c r="AA313" i="16"/>
  <c r="AA232" i="16"/>
  <c r="AA218" i="16"/>
  <c r="AA47" i="16"/>
  <c r="AA26" i="16"/>
  <c r="AA381" i="16"/>
  <c r="AA373" i="16"/>
  <c r="AA365" i="16"/>
  <c r="AA336" i="16"/>
  <c r="AA293" i="16"/>
  <c r="AA275" i="16"/>
  <c r="AA267" i="16"/>
  <c r="AA259" i="16"/>
  <c r="AA251" i="16"/>
  <c r="AA243" i="16"/>
  <c r="AA235" i="16"/>
  <c r="AA349" i="16"/>
  <c r="AA341" i="16"/>
  <c r="AA328" i="16"/>
  <c r="AA285" i="16"/>
  <c r="AA361" i="16"/>
  <c r="AA325" i="16"/>
  <c r="AA353" i="16"/>
  <c r="AA345" i="16"/>
  <c r="AA317" i="16"/>
  <c r="AA307" i="16"/>
  <c r="AA226" i="16"/>
  <c r="AA223" i="16"/>
  <c r="AA220" i="16"/>
  <c r="AA241" i="16"/>
  <c r="AA187" i="16"/>
  <c r="AA172" i="16"/>
  <c r="AA164" i="16"/>
  <c r="AA153" i="16"/>
  <c r="AA113" i="16"/>
  <c r="AA83" i="16"/>
  <c r="AA73" i="16"/>
  <c r="AA190" i="16"/>
  <c r="AA212" i="16"/>
  <c r="AA163" i="16"/>
  <c r="AA105" i="16"/>
  <c r="AA18" i="16"/>
  <c r="AA203" i="16"/>
  <c r="AA199" i="16"/>
  <c r="AA196" i="16"/>
  <c r="AA155" i="16"/>
  <c r="AA140" i="16"/>
  <c r="AA132" i="16"/>
  <c r="AA107" i="16"/>
  <c r="AA100" i="16"/>
  <c r="AA75" i="16"/>
  <c r="AA60" i="16"/>
  <c r="AA52" i="16"/>
  <c r="AA67" i="16"/>
  <c r="AA228" i="16"/>
  <c r="AA195" i="16"/>
  <c r="AA131" i="16"/>
  <c r="AA35" i="16"/>
  <c r="AA20" i="16"/>
  <c r="AA12" i="16"/>
  <c r="AA188" i="16"/>
  <c r="AA121" i="16"/>
  <c r="AA89" i="16"/>
  <c r="AA84" i="16"/>
  <c r="AA27" i="16"/>
  <c r="AA3" i="16"/>
  <c r="AA244" i="15"/>
  <c r="AA240" i="15"/>
  <c r="AA250" i="15"/>
  <c r="AA242" i="15"/>
  <c r="AA223" i="15"/>
  <c r="AA217" i="15"/>
  <c r="AA152" i="15"/>
  <c r="AA134" i="15"/>
  <c r="AA126" i="15"/>
  <c r="AA214" i="15"/>
  <c r="AA128" i="15"/>
  <c r="AA92" i="15"/>
  <c r="AA20" i="15"/>
  <c r="AA180" i="15"/>
  <c r="AA12" i="15"/>
  <c r="AA168" i="15"/>
  <c r="AA158" i="15"/>
  <c r="AA140" i="15"/>
  <c r="AA105" i="15"/>
  <c r="AA94" i="15"/>
  <c r="AA81" i="15"/>
  <c r="AA207" i="15"/>
  <c r="AA191" i="15"/>
  <c r="AA175" i="15"/>
  <c r="AA150" i="15"/>
  <c r="AA132" i="15"/>
  <c r="AA124" i="15"/>
  <c r="AA116" i="15"/>
  <c r="AA108" i="15"/>
  <c r="AA99" i="15"/>
  <c r="AA86" i="15"/>
  <c r="AA78" i="15"/>
  <c r="AA73" i="15"/>
  <c r="AA60" i="15"/>
  <c r="AA46" i="15"/>
  <c r="AA36" i="15"/>
  <c r="AA11" i="15"/>
  <c r="AA215" i="15"/>
  <c r="AA209" i="15"/>
  <c r="AA204" i="15"/>
  <c r="AA184" i="15"/>
  <c r="AA172" i="15"/>
  <c r="AA220" i="14"/>
  <c r="AA203" i="14"/>
  <c r="AA189" i="14"/>
  <c r="AA180" i="14"/>
  <c r="AA172" i="14"/>
  <c r="AA164" i="14"/>
  <c r="AA147" i="14"/>
  <c r="AA123" i="14"/>
  <c r="AA89" i="14"/>
  <c r="AA84" i="14"/>
  <c r="AA52" i="14"/>
  <c r="AA92" i="14"/>
  <c r="AA57" i="14"/>
  <c r="AA188" i="14"/>
  <c r="AA116" i="14"/>
  <c r="AA12" i="14"/>
  <c r="AA137" i="14"/>
  <c r="AA132" i="14"/>
  <c r="AA68" i="14"/>
  <c r="AA20" i="14"/>
  <c r="AA25" i="14"/>
  <c r="AA11" i="14"/>
  <c r="AA217" i="14"/>
  <c r="AA212" i="14"/>
  <c r="AA161" i="14"/>
  <c r="AA156" i="14"/>
  <c r="AA145" i="14"/>
  <c r="AA140" i="14"/>
  <c r="AA131" i="14"/>
  <c r="AA81" i="14"/>
  <c r="AA76" i="14"/>
  <c r="AA65" i="14"/>
  <c r="AA27" i="14"/>
  <c r="AA19" i="14"/>
  <c r="AA3" i="14"/>
  <c r="AA116" i="17"/>
  <c r="AA100" i="17"/>
  <c r="AA88" i="17"/>
  <c r="AA50" i="17"/>
  <c r="AA34" i="17"/>
  <c r="AA26" i="17"/>
  <c r="AA18" i="17"/>
  <c r="AA10" i="17"/>
  <c r="AA217" i="17"/>
  <c r="AA209" i="17"/>
  <c r="AA154" i="17"/>
  <c r="AA107" i="17"/>
  <c r="AA90" i="17"/>
  <c r="AA73" i="17"/>
  <c r="AA36" i="17"/>
  <c r="AA156" i="17"/>
  <c r="AA122" i="17"/>
  <c r="AA106" i="17"/>
  <c r="AA89" i="17"/>
  <c r="AA84" i="17"/>
  <c r="AA140" i="17"/>
  <c r="AA132" i="17"/>
  <c r="AA124" i="17"/>
  <c r="AA56" i="17"/>
  <c r="AA48" i="17"/>
  <c r="AA11" i="17"/>
  <c r="AA3" i="17"/>
  <c r="AA246" i="13"/>
  <c r="AA232" i="13"/>
  <c r="AA248" i="13"/>
  <c r="AA234" i="13"/>
  <c r="AA242" i="13"/>
  <c r="AA227" i="13"/>
  <c r="AA217" i="13"/>
  <c r="AA214" i="13"/>
  <c r="AA238" i="13"/>
  <c r="AA211" i="13"/>
  <c r="AA199" i="13"/>
  <c r="AA195" i="13"/>
  <c r="AA160" i="13"/>
  <c r="AA151" i="13"/>
  <c r="AA135" i="13"/>
  <c r="AA103" i="13"/>
  <c r="AA87" i="13"/>
  <c r="AA71" i="13"/>
  <c r="AA55" i="13"/>
  <c r="AA39" i="13"/>
  <c r="AA20" i="13"/>
  <c r="AA8" i="13"/>
  <c r="AA207" i="13"/>
  <c r="AA175" i="13"/>
  <c r="AA203" i="13"/>
  <c r="AA148" i="13"/>
  <c r="AA132" i="13"/>
  <c r="AA116" i="13"/>
  <c r="AA100" i="13"/>
  <c r="AA84" i="13"/>
  <c r="AA68" i="13"/>
  <c r="AA52" i="13"/>
  <c r="AA36" i="13"/>
  <c r="AA12" i="13"/>
  <c r="AA14" i="13"/>
  <c r="AA183" i="13"/>
  <c r="AA174" i="13"/>
  <c r="AA79" i="13"/>
  <c r="AA63" i="13"/>
  <c r="AA24" i="13"/>
  <c r="AA200" i="13"/>
  <c r="AA56" i="13"/>
  <c r="AA40" i="13"/>
  <c r="AA167" i="13"/>
  <c r="AA158" i="13"/>
  <c r="AA140" i="13"/>
  <c r="AA124" i="13"/>
  <c r="AA108" i="13"/>
  <c r="AA92" i="13"/>
  <c r="AA76" i="13"/>
  <c r="AA60" i="13"/>
  <c r="AA44" i="13"/>
  <c r="AA171" i="12"/>
  <c r="AA164" i="12"/>
  <c r="AA117" i="12"/>
  <c r="AA97" i="12"/>
  <c r="AA92" i="12"/>
  <c r="AA67" i="12"/>
  <c r="AA60" i="12"/>
  <c r="AA181" i="12"/>
  <c r="AA99" i="12"/>
  <c r="AA52" i="12"/>
  <c r="AA25" i="12"/>
  <c r="AA36" i="12"/>
  <c r="AA20" i="12"/>
  <c r="AA11" i="12"/>
  <c r="AA179" i="12"/>
  <c r="AA147" i="12"/>
  <c r="AA105" i="12"/>
  <c r="AA100" i="12"/>
  <c r="AA68" i="12"/>
  <c r="AA34" i="12"/>
  <c r="AA3" i="12"/>
  <c r="Z87" i="8"/>
  <c r="U3" i="4" s="1"/>
  <c r="Z234" i="11"/>
  <c r="U4" i="4" s="1"/>
  <c r="P184" i="22"/>
  <c r="K17" i="4" s="1"/>
  <c r="K17" i="7" s="1"/>
  <c r="V184" i="22"/>
  <c r="Q17" i="4" s="1"/>
  <c r="V155" i="27"/>
  <c r="Q22" i="4" s="1"/>
  <c r="Q22" i="7" s="1"/>
  <c r="P155" i="27"/>
  <c r="K22" i="4" s="1"/>
  <c r="K22" i="7" s="1"/>
  <c r="L57" i="29"/>
  <c r="G12" i="4" s="1"/>
  <c r="G12" i="7" s="1"/>
  <c r="V57" i="29"/>
  <c r="Q12" i="4" s="1"/>
  <c r="Q12" i="7" s="1"/>
  <c r="M57" i="29"/>
  <c r="H12" i="4" s="1"/>
  <c r="H12" i="7" s="1"/>
  <c r="W57" i="29"/>
  <c r="R12" i="4" s="1"/>
  <c r="R12" i="7" s="1"/>
  <c r="X57" i="29"/>
  <c r="S12" i="4" s="1"/>
  <c r="S12" i="7" s="1"/>
  <c r="P57" i="29"/>
  <c r="K12" i="4" s="1"/>
  <c r="K12" i="7" s="1"/>
  <c r="Q57" i="29"/>
  <c r="L12" i="4" s="1"/>
  <c r="L12" i="7" s="1"/>
  <c r="R57" i="29"/>
  <c r="M12" i="4" s="1"/>
  <c r="M12" i="7" s="1"/>
  <c r="O57" i="29"/>
  <c r="J12" i="4" s="1"/>
  <c r="J12" i="7" s="1"/>
  <c r="Y57" i="29"/>
  <c r="T12" i="4" s="1"/>
  <c r="T12" i="7" s="1"/>
  <c r="U57" i="29"/>
  <c r="P12" i="4" s="1"/>
  <c r="P12" i="7" s="1"/>
  <c r="K57" i="29"/>
  <c r="F12" i="4" s="1"/>
  <c r="F12" i="7" s="1"/>
  <c r="O155" i="27"/>
  <c r="J22" i="4" s="1"/>
  <c r="J22" i="7" s="1"/>
  <c r="Y155" i="27"/>
  <c r="T22" i="4" s="1"/>
  <c r="T22" i="7" s="1"/>
  <c r="N155" i="27"/>
  <c r="I22" i="4" s="1"/>
  <c r="I22" i="7" s="1"/>
  <c r="Q155" i="27"/>
  <c r="L22" i="4" s="1"/>
  <c r="L22" i="7" s="1"/>
  <c r="R155" i="27"/>
  <c r="M22" i="4" s="1"/>
  <c r="M22" i="7" s="1"/>
  <c r="X155" i="27"/>
  <c r="S22" i="4" s="1"/>
  <c r="S22" i="7" s="1"/>
  <c r="U155" i="27"/>
  <c r="P22" i="4" s="1"/>
  <c r="P22" i="7" s="1"/>
  <c r="L155" i="27"/>
  <c r="G22" i="4" s="1"/>
  <c r="G22" i="7" s="1"/>
  <c r="M155" i="27"/>
  <c r="H22" i="4" s="1"/>
  <c r="H22" i="7" s="1"/>
  <c r="W155" i="27"/>
  <c r="R22" i="4" s="1"/>
  <c r="R22" i="7" s="1"/>
  <c r="R127" i="26"/>
  <c r="M21" i="4" s="1"/>
  <c r="U127" i="26"/>
  <c r="P21" i="4" s="1"/>
  <c r="L127" i="26"/>
  <c r="G21" i="4" s="1"/>
  <c r="V127" i="26"/>
  <c r="Q21" i="4" s="1"/>
  <c r="M127" i="26"/>
  <c r="H21" i="4" s="1"/>
  <c r="W127" i="26"/>
  <c r="R21" i="4" s="1"/>
  <c r="N127" i="26"/>
  <c r="I21" i="4" s="1"/>
  <c r="E12" i="33" s="1"/>
  <c r="X127" i="26"/>
  <c r="S21" i="4" s="1"/>
  <c r="O127" i="26"/>
  <c r="J21" i="4" s="1"/>
  <c r="Y127" i="26"/>
  <c r="T21" i="4" s="1"/>
  <c r="P127" i="26"/>
  <c r="K21" i="4" s="1"/>
  <c r="Q127" i="26"/>
  <c r="L21" i="4" s="1"/>
  <c r="L21" i="7" s="1"/>
  <c r="N356" i="25"/>
  <c r="I20" i="4" s="1"/>
  <c r="I20" i="7" s="1"/>
  <c r="X356" i="25"/>
  <c r="S20" i="4" s="1"/>
  <c r="S20" i="7" s="1"/>
  <c r="O356" i="25"/>
  <c r="J20" i="4" s="1"/>
  <c r="J20" i="7" s="1"/>
  <c r="Y356" i="25"/>
  <c r="T20" i="4" s="1"/>
  <c r="T20" i="7" s="1"/>
  <c r="P356" i="25"/>
  <c r="K20" i="4" s="1"/>
  <c r="K20" i="7" s="1"/>
  <c r="Q356" i="25"/>
  <c r="L20" i="4" s="1"/>
  <c r="L20" i="7" s="1"/>
  <c r="R356" i="25"/>
  <c r="M20" i="4" s="1"/>
  <c r="M20" i="7" s="1"/>
  <c r="L356" i="25"/>
  <c r="G20" i="4" s="1"/>
  <c r="G20" i="7" s="1"/>
  <c r="V356" i="25"/>
  <c r="Q20" i="4" s="1"/>
  <c r="Q20" i="7" s="1"/>
  <c r="M356" i="25"/>
  <c r="H20" i="4" s="1"/>
  <c r="H20" i="7" s="1"/>
  <c r="W356" i="25"/>
  <c r="R20" i="4" s="1"/>
  <c r="R20" i="7" s="1"/>
  <c r="P303" i="24"/>
  <c r="K19" i="4" s="1"/>
  <c r="V303" i="24"/>
  <c r="Q19" i="4" s="1"/>
  <c r="N303" i="24"/>
  <c r="I19" i="4" s="1"/>
  <c r="X303" i="24"/>
  <c r="S19" i="4" s="1"/>
  <c r="S19" i="7" s="1"/>
  <c r="O303" i="24"/>
  <c r="J19" i="4" s="1"/>
  <c r="J19" i="7" s="1"/>
  <c r="Y303" i="24"/>
  <c r="T19" i="4" s="1"/>
  <c r="Q303" i="24"/>
  <c r="L19" i="4" s="1"/>
  <c r="L19" i="7" s="1"/>
  <c r="R303" i="24"/>
  <c r="M19" i="4" s="1"/>
  <c r="U303" i="24"/>
  <c r="P19" i="4" s="1"/>
  <c r="L303" i="24"/>
  <c r="G19" i="4" s="1"/>
  <c r="M303" i="24"/>
  <c r="H19" i="4" s="1"/>
  <c r="W303" i="24"/>
  <c r="R19" i="4" s="1"/>
  <c r="Y184" i="22"/>
  <c r="T17" i="4" s="1"/>
  <c r="R184" i="22"/>
  <c r="M17" i="4" s="1"/>
  <c r="U184" i="22"/>
  <c r="P17" i="4" s="1"/>
  <c r="L184" i="22"/>
  <c r="G17" i="4" s="1"/>
  <c r="G17" i="7" s="1"/>
  <c r="M184" i="22"/>
  <c r="H17" i="4" s="1"/>
  <c r="W184" i="22"/>
  <c r="R17" i="4" s="1"/>
  <c r="N184" i="22"/>
  <c r="I17" i="4" s="1"/>
  <c r="X184" i="22"/>
  <c r="S17" i="4" s="1"/>
  <c r="Q184" i="22"/>
  <c r="L17" i="4" s="1"/>
  <c r="L17" i="7" s="1"/>
  <c r="R137" i="23"/>
  <c r="M18" i="4" s="1"/>
  <c r="M18" i="7" s="1"/>
  <c r="U137" i="23"/>
  <c r="P18" i="4" s="1"/>
  <c r="P18" i="7" s="1"/>
  <c r="L137" i="23"/>
  <c r="G18" i="4" s="1"/>
  <c r="G18" i="7" s="1"/>
  <c r="M137" i="23"/>
  <c r="H18" i="4" s="1"/>
  <c r="H18" i="7" s="1"/>
  <c r="V137" i="23"/>
  <c r="Q18" i="4" s="1"/>
  <c r="Q18" i="7" s="1"/>
  <c r="N137" i="23"/>
  <c r="I18" i="4" s="1"/>
  <c r="I18" i="7" s="1"/>
  <c r="W137" i="23"/>
  <c r="R18" i="4" s="1"/>
  <c r="R18" i="7" s="1"/>
  <c r="O137" i="23"/>
  <c r="J18" i="4" s="1"/>
  <c r="J18" i="7" s="1"/>
  <c r="X137" i="23"/>
  <c r="S18" i="4" s="1"/>
  <c r="S18" i="7" s="1"/>
  <c r="P137" i="23"/>
  <c r="K18" i="4" s="1"/>
  <c r="K18" i="7" s="1"/>
  <c r="Y137" i="23"/>
  <c r="T18" i="4" s="1"/>
  <c r="T18" i="7" s="1"/>
  <c r="Q137" i="23"/>
  <c r="L18" i="4" s="1"/>
  <c r="L18" i="7" s="1"/>
  <c r="L244" i="30"/>
  <c r="G11" i="4" s="1"/>
  <c r="N244" i="30"/>
  <c r="I11" i="4" s="1"/>
  <c r="X244" i="30"/>
  <c r="S11" i="4" s="1"/>
  <c r="O244" i="30"/>
  <c r="J11" i="4" s="1"/>
  <c r="Y244" i="30"/>
  <c r="T11" i="4" s="1"/>
  <c r="P244" i="30"/>
  <c r="K11" i="4" s="1"/>
  <c r="Q244" i="30"/>
  <c r="L11" i="4" s="1"/>
  <c r="H7" i="33" s="1"/>
  <c r="R244" i="30"/>
  <c r="M11" i="4" s="1"/>
  <c r="U244" i="30"/>
  <c r="P11" i="4" s="1"/>
  <c r="V244" i="30"/>
  <c r="Q11" i="4" s="1"/>
  <c r="M244" i="30"/>
  <c r="H11" i="4" s="1"/>
  <c r="W244" i="30"/>
  <c r="R11" i="4" s="1"/>
  <c r="R11" i="7" s="1"/>
  <c r="Q395" i="16"/>
  <c r="L10" i="4" s="1"/>
  <c r="L10" i="7" s="1"/>
  <c r="R395" i="16"/>
  <c r="M10" i="4" s="1"/>
  <c r="M10" i="7" s="1"/>
  <c r="L395" i="16"/>
  <c r="G10" i="4" s="1"/>
  <c r="G10" i="7" s="1"/>
  <c r="U395" i="16"/>
  <c r="P10" i="4" s="1"/>
  <c r="P10" i="7" s="1"/>
  <c r="M395" i="16"/>
  <c r="H10" i="4" s="1"/>
  <c r="H10" i="7" s="1"/>
  <c r="V395" i="16"/>
  <c r="Q10" i="4" s="1"/>
  <c r="Q10" i="7" s="1"/>
  <c r="N395" i="16"/>
  <c r="W395" i="16"/>
  <c r="R10" i="4" s="1"/>
  <c r="R10" i="7" s="1"/>
  <c r="O395" i="16"/>
  <c r="J10" i="4" s="1"/>
  <c r="J10" i="7" s="1"/>
  <c r="X395" i="16"/>
  <c r="S10" i="4" s="1"/>
  <c r="S10" i="7" s="1"/>
  <c r="Y395" i="16"/>
  <c r="T10" i="4" s="1"/>
  <c r="T10" i="7" s="1"/>
  <c r="P395" i="16"/>
  <c r="K10" i="4" s="1"/>
  <c r="K10" i="7" s="1"/>
  <c r="P258" i="15"/>
  <c r="K9" i="4" s="1"/>
  <c r="O258" i="15"/>
  <c r="J9" i="4" s="1"/>
  <c r="X258" i="15"/>
  <c r="S9" i="4" s="1"/>
  <c r="Y258" i="15"/>
  <c r="T9" i="4" s="1"/>
  <c r="Q258" i="15"/>
  <c r="L9" i="4" s="1"/>
  <c r="R258" i="15"/>
  <c r="M9" i="4" s="1"/>
  <c r="L258" i="15"/>
  <c r="G9" i="4" s="1"/>
  <c r="U258" i="15"/>
  <c r="P9" i="4" s="1"/>
  <c r="L6" i="33" s="1"/>
  <c r="M258" i="15"/>
  <c r="H9" i="4" s="1"/>
  <c r="D6" i="33" s="1"/>
  <c r="V258" i="15"/>
  <c r="Q9" i="4" s="1"/>
  <c r="N258" i="15"/>
  <c r="I9" i="4" s="1"/>
  <c r="W258" i="15"/>
  <c r="R9" i="4" s="1"/>
  <c r="N6" i="33" s="1"/>
  <c r="M224" i="14"/>
  <c r="H8" i="4" s="1"/>
  <c r="U224" i="14"/>
  <c r="P8" i="4" s="1"/>
  <c r="P8" i="7" s="1"/>
  <c r="N224" i="14"/>
  <c r="I8" i="4" s="1"/>
  <c r="V224" i="14"/>
  <c r="Q8" i="4" s="1"/>
  <c r="O224" i="14"/>
  <c r="J8" i="4" s="1"/>
  <c r="W224" i="14"/>
  <c r="X224" i="14"/>
  <c r="P224" i="14"/>
  <c r="K8" i="4" s="1"/>
  <c r="K8" i="7" s="1"/>
  <c r="Y224" i="14"/>
  <c r="T8" i="4" s="1"/>
  <c r="Q224" i="14"/>
  <c r="L8" i="4" s="1"/>
  <c r="L8" i="7" s="1"/>
  <c r="L224" i="14"/>
  <c r="G8" i="4" s="1"/>
  <c r="M8" i="4"/>
  <c r="V222" i="17"/>
  <c r="Q7" i="4" s="1"/>
  <c r="R222" i="17"/>
  <c r="L222" i="17"/>
  <c r="G7" i="4" s="1"/>
  <c r="P222" i="17"/>
  <c r="K7" i="4" s="1"/>
  <c r="G5" i="33" s="1"/>
  <c r="Q222" i="17"/>
  <c r="L7" i="4" s="1"/>
  <c r="K155" i="27"/>
  <c r="F22" i="4" s="1"/>
  <c r="F22" i="7" s="1"/>
  <c r="K127" i="26"/>
  <c r="F21" i="4" s="1"/>
  <c r="K356" i="25"/>
  <c r="F20" i="4" s="1"/>
  <c r="F20" i="7" s="1"/>
  <c r="K303" i="24"/>
  <c r="F19" i="4" s="1"/>
  <c r="K137" i="23"/>
  <c r="F18" i="4" s="1"/>
  <c r="F18" i="7" s="1"/>
  <c r="K184" i="22"/>
  <c r="F17" i="4" s="1"/>
  <c r="X258" i="21"/>
  <c r="S16" i="4" s="1"/>
  <c r="S16" i="7" s="1"/>
  <c r="V258" i="21"/>
  <c r="Q16" i="4" s="1"/>
  <c r="Q16" i="7" s="1"/>
  <c r="R258" i="21"/>
  <c r="M16" i="4" s="1"/>
  <c r="M16" i="7" s="1"/>
  <c r="N258" i="21"/>
  <c r="I16" i="4" s="1"/>
  <c r="I16" i="7" s="1"/>
  <c r="P258" i="21"/>
  <c r="K16" i="4" s="1"/>
  <c r="K16" i="7" s="1"/>
  <c r="Q258" i="21"/>
  <c r="L16" i="4" s="1"/>
  <c r="L16" i="7" s="1"/>
  <c r="W258" i="21"/>
  <c r="R16" i="4" s="1"/>
  <c r="R16" i="7" s="1"/>
  <c r="Y258" i="21"/>
  <c r="T16" i="4" s="1"/>
  <c r="T16" i="7" s="1"/>
  <c r="L258" i="21"/>
  <c r="G16" i="4" s="1"/>
  <c r="G16" i="7" s="1"/>
  <c r="M258" i="21"/>
  <c r="U258" i="21"/>
  <c r="P16" i="4" s="1"/>
  <c r="P16" i="7" s="1"/>
  <c r="O258" i="21"/>
  <c r="K258" i="21"/>
  <c r="F16" i="4" s="1"/>
  <c r="F16" i="7" s="1"/>
  <c r="V177" i="20"/>
  <c r="L177" i="20"/>
  <c r="G15" i="4" s="1"/>
  <c r="P177" i="20"/>
  <c r="K15" i="4" s="1"/>
  <c r="X177" i="20"/>
  <c r="Y177" i="20"/>
  <c r="T15" i="4" s="1"/>
  <c r="Q177" i="20"/>
  <c r="L15" i="4" s="1"/>
  <c r="R177" i="20"/>
  <c r="M15" i="4" s="1"/>
  <c r="U177" i="20"/>
  <c r="P15" i="4" s="1"/>
  <c r="M177" i="20"/>
  <c r="N177" i="20"/>
  <c r="I15" i="4" s="1"/>
  <c r="O177" i="20"/>
  <c r="J15" i="4" s="1"/>
  <c r="W177" i="20"/>
  <c r="R15" i="4" s="1"/>
  <c r="K177" i="20"/>
  <c r="F15" i="4" s="1"/>
  <c r="P288" i="19"/>
  <c r="K14" i="4" s="1"/>
  <c r="K14" i="7" s="1"/>
  <c r="O288" i="19"/>
  <c r="W288" i="19"/>
  <c r="R14" i="4" s="1"/>
  <c r="R14" i="7" s="1"/>
  <c r="N288" i="19"/>
  <c r="I14" i="4" s="1"/>
  <c r="I14" i="7" s="1"/>
  <c r="X288" i="19"/>
  <c r="S14" i="4" s="1"/>
  <c r="S14" i="7" s="1"/>
  <c r="V288" i="19"/>
  <c r="Y288" i="19"/>
  <c r="T14" i="4" s="1"/>
  <c r="T14" i="7" s="1"/>
  <c r="Q288" i="19"/>
  <c r="L14" i="4" s="1"/>
  <c r="L14" i="7" s="1"/>
  <c r="R288" i="19"/>
  <c r="M14" i="4" s="1"/>
  <c r="M14" i="7" s="1"/>
  <c r="L288" i="19"/>
  <c r="G14" i="4" s="1"/>
  <c r="G14" i="7" s="1"/>
  <c r="U288" i="19"/>
  <c r="P14" i="4" s="1"/>
  <c r="P14" i="7" s="1"/>
  <c r="M288" i="19"/>
  <c r="K288" i="19"/>
  <c r="F14" i="4" s="1"/>
  <c r="F14" i="7" s="1"/>
  <c r="R355" i="18"/>
  <c r="M13" i="4" s="1"/>
  <c r="P355" i="18"/>
  <c r="K13" i="4" s="1"/>
  <c r="K13" i="7" s="1"/>
  <c r="Q355" i="18"/>
  <c r="L13" i="4" s="1"/>
  <c r="H8" i="33" s="1"/>
  <c r="X355" i="18"/>
  <c r="L355" i="18"/>
  <c r="G13" i="4" s="1"/>
  <c r="Y355" i="18"/>
  <c r="M355" i="18"/>
  <c r="H13" i="4" s="1"/>
  <c r="U355" i="18"/>
  <c r="P13" i="4" s="1"/>
  <c r="N355" i="18"/>
  <c r="I13" i="4" s="1"/>
  <c r="O355" i="18"/>
  <c r="J13" i="4" s="1"/>
  <c r="V355" i="18"/>
  <c r="Q13" i="4" s="1"/>
  <c r="W355" i="18"/>
  <c r="K355" i="18"/>
  <c r="F13" i="4" s="1"/>
  <c r="K244" i="30"/>
  <c r="F11" i="4" s="1"/>
  <c r="K395" i="16"/>
  <c r="F10" i="4" s="1"/>
  <c r="F10" i="7" s="1"/>
  <c r="K258" i="15"/>
  <c r="F9" i="4" s="1"/>
  <c r="K224" i="14"/>
  <c r="F8" i="4" s="1"/>
  <c r="M222" i="17"/>
  <c r="H7" i="4" s="1"/>
  <c r="Y222" i="17"/>
  <c r="T7" i="4" s="1"/>
  <c r="P5" i="33" s="1"/>
  <c r="O222" i="17"/>
  <c r="J7" i="4" s="1"/>
  <c r="F5" i="33" s="1"/>
  <c r="U222" i="17"/>
  <c r="P7" i="4" s="1"/>
  <c r="N222" i="17"/>
  <c r="I7" i="4" s="1"/>
  <c r="W222" i="17"/>
  <c r="X222" i="17"/>
  <c r="S7" i="4" s="1"/>
  <c r="K222" i="17"/>
  <c r="F7" i="4" s="1"/>
  <c r="Y257" i="13"/>
  <c r="T6" i="4" s="1"/>
  <c r="X196" i="12"/>
  <c r="T5" i="4" s="1"/>
  <c r="Y87" i="8"/>
  <c r="N87" i="8"/>
  <c r="I3" i="4" s="1"/>
  <c r="P87" i="8"/>
  <c r="Q257" i="13"/>
  <c r="L6" i="4" s="1"/>
  <c r="P257" i="13"/>
  <c r="K6" i="4" s="1"/>
  <c r="R257" i="13"/>
  <c r="M6" i="4" s="1"/>
  <c r="K257" i="13"/>
  <c r="F6" i="4" s="1"/>
  <c r="U257" i="13"/>
  <c r="L257" i="13"/>
  <c r="V257" i="13"/>
  <c r="M257" i="13"/>
  <c r="H6" i="4" s="1"/>
  <c r="W257" i="13"/>
  <c r="R6" i="4" s="1"/>
  <c r="N257" i="13"/>
  <c r="X257" i="13"/>
  <c r="O257" i="13"/>
  <c r="J6" i="4" s="1"/>
  <c r="P196" i="12"/>
  <c r="Q196" i="12"/>
  <c r="L5" i="4" s="1"/>
  <c r="R196" i="12"/>
  <c r="M5" i="4" s="1"/>
  <c r="S196" i="12"/>
  <c r="O196" i="12"/>
  <c r="J5" i="4" s="1"/>
  <c r="L196" i="12"/>
  <c r="U196" i="12"/>
  <c r="M196" i="12"/>
  <c r="H5" i="4" s="1"/>
  <c r="V196" i="12"/>
  <c r="N196" i="12"/>
  <c r="I5" i="4" s="1"/>
  <c r="W196" i="12"/>
  <c r="S5" i="4" s="1"/>
  <c r="K196" i="12"/>
  <c r="F5" i="4" s="1"/>
  <c r="X234" i="11"/>
  <c r="S4" i="4" s="1"/>
  <c r="V87" i="8"/>
  <c r="Q3" i="4" s="1"/>
  <c r="W87" i="8"/>
  <c r="M87" i="8"/>
  <c r="L87" i="8"/>
  <c r="U87" i="8"/>
  <c r="R87" i="8"/>
  <c r="Q87" i="8"/>
  <c r="O87" i="8"/>
  <c r="X87" i="8"/>
  <c r="K87" i="8"/>
  <c r="F3" i="4" s="1"/>
  <c r="N234" i="11"/>
  <c r="K234" i="11"/>
  <c r="F4" i="4" s="1"/>
  <c r="V234" i="11"/>
  <c r="M234" i="11"/>
  <c r="L234" i="11"/>
  <c r="G4" i="4" s="1"/>
  <c r="W234" i="11"/>
  <c r="R4" i="4" s="1"/>
  <c r="U234" i="11"/>
  <c r="P4" i="4" s="1"/>
  <c r="P234" i="11"/>
  <c r="O234" i="11"/>
  <c r="R234" i="11"/>
  <c r="M4" i="4" s="1"/>
  <c r="Q234" i="11"/>
  <c r="I21" i="7"/>
  <c r="W22" i="7"/>
  <c r="X14" i="7"/>
  <c r="W23" i="4"/>
  <c r="X23" i="4"/>
  <c r="X19" i="7"/>
  <c r="W19" i="7"/>
  <c r="X12" i="7"/>
  <c r="W12" i="7"/>
  <c r="W17" i="7"/>
  <c r="X17" i="7"/>
  <c r="X18" i="7"/>
  <c r="R21" i="7"/>
  <c r="W18" i="7"/>
  <c r="I12" i="7"/>
  <c r="X16" i="7"/>
  <c r="X6" i="7"/>
  <c r="W6" i="7"/>
  <c r="X22" i="7"/>
  <c r="W10" i="7"/>
  <c r="X10" i="7"/>
  <c r="W4" i="7"/>
  <c r="X4" i="7"/>
  <c r="W21" i="7"/>
  <c r="X21" i="7"/>
  <c r="W9" i="7"/>
  <c r="X9" i="7"/>
  <c r="W20" i="7"/>
  <c r="X20" i="7"/>
  <c r="W16" i="7"/>
  <c r="W8" i="7"/>
  <c r="X8" i="7"/>
  <c r="P20" i="7"/>
  <c r="W7" i="7"/>
  <c r="W14" i="7"/>
  <c r="X15" i="7"/>
  <c r="X13" i="7"/>
  <c r="W11" i="7"/>
  <c r="X11" i="7"/>
  <c r="X7" i="7"/>
  <c r="W15" i="7"/>
  <c r="W13" i="7"/>
  <c r="G19" i="7"/>
  <c r="R17" i="7"/>
  <c r="D5" i="33" l="1"/>
  <c r="F22" i="5"/>
  <c r="D22" i="5"/>
  <c r="D21" i="5"/>
  <c r="F21" i="5"/>
  <c r="F13" i="5"/>
  <c r="K10" i="33"/>
  <c r="B5" i="33"/>
  <c r="F7" i="33"/>
  <c r="K7" i="33"/>
  <c r="K12" i="33"/>
  <c r="K5" i="33"/>
  <c r="K15" i="6"/>
  <c r="O7" i="7"/>
  <c r="K8" i="33"/>
  <c r="K3" i="33"/>
  <c r="K9" i="33"/>
  <c r="O17" i="7"/>
  <c r="O13" i="7"/>
  <c r="K13" i="5" s="1"/>
  <c r="J11" i="7"/>
  <c r="I15" i="6"/>
  <c r="G15" i="6"/>
  <c r="R9" i="7"/>
  <c r="L13" i="5"/>
  <c r="L5" i="33"/>
  <c r="D15" i="6"/>
  <c r="K4" i="33"/>
  <c r="F15" i="6"/>
  <c r="J15" i="6"/>
  <c r="K11" i="33"/>
  <c r="H5" i="33"/>
  <c r="G8" i="33"/>
  <c r="N7" i="33"/>
  <c r="E15" i="6"/>
  <c r="O11" i="33"/>
  <c r="C15" i="6"/>
  <c r="L15" i="6"/>
  <c r="O23" i="4"/>
  <c r="B15" i="6" s="1"/>
  <c r="K6" i="33"/>
  <c r="H15" i="6"/>
  <c r="O24" i="4"/>
  <c r="N4" i="7"/>
  <c r="K14" i="6"/>
  <c r="G14" i="6"/>
  <c r="M5" i="33"/>
  <c r="N8" i="7"/>
  <c r="L14" i="6"/>
  <c r="J13" i="5"/>
  <c r="H13" i="5"/>
  <c r="P7" i="7"/>
  <c r="F11" i="33"/>
  <c r="L11" i="7"/>
  <c r="E5" i="33"/>
  <c r="N12" i="33"/>
  <c r="J11" i="33"/>
  <c r="H7" i="7"/>
  <c r="Q3" i="33"/>
  <c r="B3" i="33"/>
  <c r="J5" i="33"/>
  <c r="J9" i="33"/>
  <c r="N7" i="7"/>
  <c r="C9" i="6"/>
  <c r="I14" i="6"/>
  <c r="U24" i="4"/>
  <c r="C21" i="6"/>
  <c r="J7" i="33"/>
  <c r="C6" i="6"/>
  <c r="F24" i="4"/>
  <c r="N3" i="7"/>
  <c r="J12" i="33"/>
  <c r="C5" i="33"/>
  <c r="S14" i="33"/>
  <c r="N16" i="7"/>
  <c r="S13" i="33"/>
  <c r="C11" i="33"/>
  <c r="U14" i="33"/>
  <c r="T13" i="33"/>
  <c r="T14" i="33"/>
  <c r="H11" i="33"/>
  <c r="N17" i="7"/>
  <c r="H12" i="33"/>
  <c r="J8" i="33"/>
  <c r="N20" i="7"/>
  <c r="J3" i="33"/>
  <c r="F13" i="7"/>
  <c r="B8" i="33"/>
  <c r="G13" i="7"/>
  <c r="C8" i="33"/>
  <c r="M15" i="7"/>
  <c r="I9" i="33"/>
  <c r="F21" i="7"/>
  <c r="B12" i="33"/>
  <c r="G9" i="7"/>
  <c r="C6" i="33"/>
  <c r="C10" i="33"/>
  <c r="M19" i="7"/>
  <c r="I11" i="33"/>
  <c r="G10" i="33"/>
  <c r="U19" i="7"/>
  <c r="Q11" i="33"/>
  <c r="L15" i="7"/>
  <c r="H9" i="33"/>
  <c r="M9" i="7"/>
  <c r="I6" i="33"/>
  <c r="K11" i="7"/>
  <c r="G7" i="33"/>
  <c r="P17" i="7"/>
  <c r="L10" i="33"/>
  <c r="U13" i="7"/>
  <c r="Q8" i="33"/>
  <c r="U13" i="33"/>
  <c r="Q13" i="7"/>
  <c r="F15" i="7"/>
  <c r="B9" i="33"/>
  <c r="T15" i="7"/>
  <c r="P9" i="33"/>
  <c r="L9" i="7"/>
  <c r="H6" i="33"/>
  <c r="T11" i="7"/>
  <c r="P7" i="33"/>
  <c r="M17" i="7"/>
  <c r="I10" i="33"/>
  <c r="T19" i="7"/>
  <c r="P11" i="33"/>
  <c r="H21" i="7"/>
  <c r="D12" i="33"/>
  <c r="U17" i="7"/>
  <c r="Q10" i="33"/>
  <c r="J6" i="7"/>
  <c r="F4" i="33"/>
  <c r="F6" i="7"/>
  <c r="B4" i="33"/>
  <c r="T6" i="7"/>
  <c r="P4" i="33"/>
  <c r="J13" i="7"/>
  <c r="R15" i="7"/>
  <c r="N9" i="33"/>
  <c r="T9" i="7"/>
  <c r="P6" i="33"/>
  <c r="H10" i="33"/>
  <c r="T17" i="7"/>
  <c r="P10" i="33"/>
  <c r="Q21" i="7"/>
  <c r="M12" i="33"/>
  <c r="F10" i="33"/>
  <c r="N6" i="7"/>
  <c r="M6" i="7"/>
  <c r="I4" i="33"/>
  <c r="I13" i="7"/>
  <c r="E8" i="33"/>
  <c r="M13" i="7"/>
  <c r="I8" i="33"/>
  <c r="J15" i="7"/>
  <c r="K15" i="7"/>
  <c r="G9" i="33"/>
  <c r="F17" i="7"/>
  <c r="B10" i="33"/>
  <c r="I9" i="7"/>
  <c r="S9" i="7"/>
  <c r="O6" i="33"/>
  <c r="H11" i="7"/>
  <c r="D7" i="33"/>
  <c r="S11" i="7"/>
  <c r="O7" i="33"/>
  <c r="S17" i="7"/>
  <c r="O10" i="33"/>
  <c r="R19" i="7"/>
  <c r="N11" i="33"/>
  <c r="K21" i="7"/>
  <c r="G12" i="33"/>
  <c r="G21" i="7"/>
  <c r="C12" i="33"/>
  <c r="U9" i="7"/>
  <c r="Q6" i="33"/>
  <c r="U11" i="7"/>
  <c r="Q7" i="33"/>
  <c r="J6" i="33"/>
  <c r="K6" i="7"/>
  <c r="F9" i="7"/>
  <c r="B6" i="33"/>
  <c r="P13" i="7"/>
  <c r="L8" i="33"/>
  <c r="I15" i="7"/>
  <c r="E9" i="33"/>
  <c r="G15" i="7"/>
  <c r="C9" i="33"/>
  <c r="Q9" i="7"/>
  <c r="M6" i="33"/>
  <c r="J9" i="7"/>
  <c r="F6" i="33"/>
  <c r="Q11" i="7"/>
  <c r="M7" i="33"/>
  <c r="I11" i="7"/>
  <c r="E7" i="33"/>
  <c r="I17" i="7"/>
  <c r="E10" i="33"/>
  <c r="H19" i="7"/>
  <c r="D11" i="33"/>
  <c r="I19" i="7"/>
  <c r="E11" i="33"/>
  <c r="T21" i="7"/>
  <c r="P12" i="33"/>
  <c r="P21" i="7"/>
  <c r="L12" i="33"/>
  <c r="Q5" i="33"/>
  <c r="U21" i="7"/>
  <c r="Q12" i="33"/>
  <c r="J10" i="33"/>
  <c r="R6" i="7"/>
  <c r="L6" i="7"/>
  <c r="H4" i="33"/>
  <c r="H13" i="7"/>
  <c r="F19" i="7"/>
  <c r="B11" i="33"/>
  <c r="K9" i="7"/>
  <c r="G6" i="33"/>
  <c r="P11" i="7"/>
  <c r="L7" i="33"/>
  <c r="G11" i="7"/>
  <c r="C7" i="33"/>
  <c r="N10" i="33"/>
  <c r="Q19" i="7"/>
  <c r="M11" i="33"/>
  <c r="J21" i="7"/>
  <c r="F12" i="33"/>
  <c r="M21" i="7"/>
  <c r="I12" i="33"/>
  <c r="U6" i="7"/>
  <c r="Q4" i="33"/>
  <c r="N21" i="7"/>
  <c r="P5" i="4"/>
  <c r="P5" i="7" s="1"/>
  <c r="N5" i="4"/>
  <c r="N24" i="4" s="1"/>
  <c r="H6" i="7"/>
  <c r="D4" i="33"/>
  <c r="F11" i="7"/>
  <c r="B7" i="33"/>
  <c r="P15" i="7"/>
  <c r="L9" i="33"/>
  <c r="M11" i="7"/>
  <c r="I7" i="33"/>
  <c r="H17" i="7"/>
  <c r="D10" i="33"/>
  <c r="P19" i="7"/>
  <c r="L11" i="33"/>
  <c r="K19" i="7"/>
  <c r="G11" i="33"/>
  <c r="S21" i="7"/>
  <c r="O12" i="33"/>
  <c r="Q17" i="7"/>
  <c r="M10" i="33"/>
  <c r="U15" i="7"/>
  <c r="Q9" i="33"/>
  <c r="N11" i="7"/>
  <c r="D14" i="6"/>
  <c r="N10" i="7"/>
  <c r="F14" i="6"/>
  <c r="B24" i="6"/>
  <c r="D22" i="32" s="1"/>
  <c r="B23" i="6"/>
  <c r="U7" i="7"/>
  <c r="I21" i="6"/>
  <c r="J8" i="7"/>
  <c r="L8" i="5" s="1"/>
  <c r="L10" i="6"/>
  <c r="M8" i="7"/>
  <c r="L11" i="5" s="1"/>
  <c r="L13" i="6"/>
  <c r="I16" i="6"/>
  <c r="U8" i="7"/>
  <c r="L19" i="5" s="1"/>
  <c r="L21" i="6"/>
  <c r="J7" i="7"/>
  <c r="I10" i="6"/>
  <c r="L12" i="6"/>
  <c r="L16" i="6"/>
  <c r="K21" i="6"/>
  <c r="F21" i="6"/>
  <c r="K13" i="6"/>
  <c r="F13" i="6"/>
  <c r="T7" i="7"/>
  <c r="I20" i="6"/>
  <c r="L7" i="7"/>
  <c r="I12" i="6"/>
  <c r="T8" i="7"/>
  <c r="L18" i="5" s="1"/>
  <c r="L20" i="6"/>
  <c r="H8" i="7"/>
  <c r="L6" i="5" s="1"/>
  <c r="L8" i="6"/>
  <c r="J21" i="6"/>
  <c r="E21" i="6"/>
  <c r="I8" i="6"/>
  <c r="K7" i="7"/>
  <c r="I11" i="6"/>
  <c r="L11" i="6"/>
  <c r="Q8" i="7"/>
  <c r="L17" i="6"/>
  <c r="I17" i="6"/>
  <c r="Q7" i="7"/>
  <c r="K6" i="6"/>
  <c r="F6" i="6"/>
  <c r="J6" i="6"/>
  <c r="E6" i="6"/>
  <c r="F7" i="7"/>
  <c r="I6" i="6"/>
  <c r="F8" i="7"/>
  <c r="L4" i="5" s="1"/>
  <c r="L6" i="6"/>
  <c r="L7" i="6"/>
  <c r="G8" i="7"/>
  <c r="L5" i="5" s="1"/>
  <c r="G7" i="7"/>
  <c r="I7" i="6"/>
  <c r="S7" i="7"/>
  <c r="I19" i="6"/>
  <c r="S4" i="7"/>
  <c r="I7" i="7"/>
  <c r="I9" i="6"/>
  <c r="I8" i="7"/>
  <c r="E9" i="6"/>
  <c r="J9" i="6"/>
  <c r="D21" i="6"/>
  <c r="L14" i="5"/>
  <c r="I22" i="5"/>
  <c r="K22" i="5"/>
  <c r="K21" i="5"/>
  <c r="L21" i="5"/>
  <c r="L10" i="5"/>
  <c r="L22" i="5"/>
  <c r="L15" i="5"/>
  <c r="L9" i="5"/>
  <c r="I21" i="5"/>
  <c r="U23" i="4"/>
  <c r="G21" i="6"/>
  <c r="U3" i="7"/>
  <c r="U4" i="7"/>
  <c r="H21" i="6"/>
  <c r="D13" i="6"/>
  <c r="F3" i="7"/>
  <c r="H6" i="6"/>
  <c r="G6" i="6"/>
  <c r="D6" i="6"/>
  <c r="G4" i="7"/>
  <c r="AA356" i="25"/>
  <c r="AA258" i="15"/>
  <c r="AA127" i="26"/>
  <c r="AA303" i="24"/>
  <c r="AA57" i="29"/>
  <c r="AA155" i="27"/>
  <c r="AA184" i="22"/>
  <c r="AA137" i="23"/>
  <c r="P3" i="4"/>
  <c r="S6" i="4"/>
  <c r="J4" i="4"/>
  <c r="I4" i="4"/>
  <c r="E3" i="33" s="1"/>
  <c r="G3" i="4"/>
  <c r="K5" i="4"/>
  <c r="K5" i="7" s="1"/>
  <c r="I6" i="4"/>
  <c r="T3" i="4"/>
  <c r="K4" i="4"/>
  <c r="H3" i="4"/>
  <c r="R5" i="4"/>
  <c r="R5" i="7" s="1"/>
  <c r="R7" i="4"/>
  <c r="S15" i="4"/>
  <c r="R3" i="4"/>
  <c r="K3" i="4"/>
  <c r="H14" i="4"/>
  <c r="D8" i="33" s="1"/>
  <c r="Q14" i="4"/>
  <c r="Q14" i="7" s="1"/>
  <c r="J14" i="4"/>
  <c r="J14" i="7" s="1"/>
  <c r="Q15" i="4"/>
  <c r="J16" i="4"/>
  <c r="J16" i="7" s="1"/>
  <c r="H16" i="4"/>
  <c r="H16" i="7" s="1"/>
  <c r="M7" i="4"/>
  <c r="I5" i="33" s="1"/>
  <c r="S8" i="4"/>
  <c r="O5" i="33" s="1"/>
  <c r="R8" i="4"/>
  <c r="F18" i="6" s="1"/>
  <c r="I10" i="4"/>
  <c r="I10" i="7" s="1"/>
  <c r="S3" i="4"/>
  <c r="Q5" i="4"/>
  <c r="Q5" i="7" s="1"/>
  <c r="P6" i="4"/>
  <c r="H15" i="4"/>
  <c r="I3" i="7"/>
  <c r="J3" i="4"/>
  <c r="G5" i="4"/>
  <c r="G5" i="7" s="1"/>
  <c r="H4" i="4"/>
  <c r="L3" i="4"/>
  <c r="Q6" i="4"/>
  <c r="L4" i="4"/>
  <c r="Q4" i="4"/>
  <c r="M3" i="33" s="1"/>
  <c r="M3" i="4"/>
  <c r="G6" i="4"/>
  <c r="F7" i="6" s="1"/>
  <c r="T13" i="4"/>
  <c r="P8" i="33" s="1"/>
  <c r="S13" i="4"/>
  <c r="R13" i="4"/>
  <c r="G22" i="5"/>
  <c r="G21" i="5"/>
  <c r="AA244" i="30"/>
  <c r="AA395" i="16"/>
  <c r="V10" i="4" s="1"/>
  <c r="AA355" i="18"/>
  <c r="V13" i="4" s="1"/>
  <c r="AA224" i="14"/>
  <c r="V8" i="4" s="1"/>
  <c r="AA258" i="21"/>
  <c r="V16" i="4" s="1"/>
  <c r="AA177" i="20"/>
  <c r="V15" i="4" s="1"/>
  <c r="AA288" i="19"/>
  <c r="V14" i="4" s="1"/>
  <c r="AA222" i="17"/>
  <c r="V7" i="4" s="1"/>
  <c r="AA87" i="8"/>
  <c r="V3" i="4" s="1"/>
  <c r="AA257" i="13"/>
  <c r="V6" i="4" s="1"/>
  <c r="Z196" i="12"/>
  <c r="V5" i="4" s="1"/>
  <c r="F23" i="4"/>
  <c r="M4" i="7"/>
  <c r="P4" i="7"/>
  <c r="F4" i="7"/>
  <c r="L13" i="7"/>
  <c r="H9" i="7"/>
  <c r="P9" i="7"/>
  <c r="L5" i="7"/>
  <c r="H5" i="7"/>
  <c r="W5" i="7"/>
  <c r="T5" i="7"/>
  <c r="X5" i="7"/>
  <c r="I5" i="7"/>
  <c r="S5" i="7"/>
  <c r="F5" i="7"/>
  <c r="J5" i="7"/>
  <c r="M5" i="7"/>
  <c r="X3" i="7"/>
  <c r="Q3" i="7"/>
  <c r="Y23" i="4"/>
  <c r="B3" i="5" s="1"/>
  <c r="W3" i="7"/>
  <c r="C13" i="5" l="1"/>
  <c r="D13" i="5"/>
  <c r="O23" i="7"/>
  <c r="E13" i="5"/>
  <c r="E3" i="5"/>
  <c r="D3" i="5"/>
  <c r="C21" i="5"/>
  <c r="E21" i="5"/>
  <c r="C3" i="5"/>
  <c r="F3" i="5"/>
  <c r="C15" i="5"/>
  <c r="C22" i="5"/>
  <c r="E22" i="5"/>
  <c r="D4" i="5"/>
  <c r="F4" i="5"/>
  <c r="F11" i="5"/>
  <c r="D11" i="5"/>
  <c r="C7" i="5"/>
  <c r="E7" i="5"/>
  <c r="C4" i="5"/>
  <c r="E4" i="5"/>
  <c r="F19" i="5"/>
  <c r="D19" i="5"/>
  <c r="E19" i="5"/>
  <c r="C19" i="5"/>
  <c r="D12" i="5"/>
  <c r="F12" i="5"/>
  <c r="I13" i="5"/>
  <c r="G13" i="5"/>
  <c r="B3" i="32"/>
  <c r="G13" i="32"/>
  <c r="J13" i="32"/>
  <c r="K13" i="32"/>
  <c r="H13" i="32"/>
  <c r="I8" i="5"/>
  <c r="I5" i="5"/>
  <c r="K13" i="33"/>
  <c r="F13" i="32"/>
  <c r="K14" i="33"/>
  <c r="L13" i="32"/>
  <c r="D13" i="32"/>
  <c r="B13" i="32"/>
  <c r="E14" i="6"/>
  <c r="C13" i="32"/>
  <c r="J14" i="6"/>
  <c r="E13" i="32"/>
  <c r="O25" i="4"/>
  <c r="B13" i="5" s="1"/>
  <c r="I13" i="32"/>
  <c r="R8" i="33"/>
  <c r="B4" i="32"/>
  <c r="B19" i="32"/>
  <c r="L12" i="5"/>
  <c r="I10" i="5"/>
  <c r="I12" i="5"/>
  <c r="I14" i="5"/>
  <c r="I6" i="5"/>
  <c r="I3" i="33"/>
  <c r="I14" i="33" s="1"/>
  <c r="M24" i="4"/>
  <c r="C13" i="6"/>
  <c r="N3" i="33"/>
  <c r="C18" i="6"/>
  <c r="R24" i="4"/>
  <c r="C3" i="33"/>
  <c r="H7" i="6"/>
  <c r="C7" i="6"/>
  <c r="G24" i="4"/>
  <c r="L24" i="4"/>
  <c r="C12" i="6"/>
  <c r="O3" i="33"/>
  <c r="C19" i="6"/>
  <c r="S24" i="4"/>
  <c r="C8" i="6"/>
  <c r="H24" i="4"/>
  <c r="R9" i="33"/>
  <c r="H4" i="5"/>
  <c r="I7" i="5"/>
  <c r="I24" i="4"/>
  <c r="K12" i="5"/>
  <c r="I9" i="5"/>
  <c r="I17" i="5"/>
  <c r="I19" i="5"/>
  <c r="B21" i="32"/>
  <c r="H9" i="6"/>
  <c r="D3" i="33"/>
  <c r="G3" i="33"/>
  <c r="L3" i="33"/>
  <c r="C16" i="6"/>
  <c r="P24" i="4"/>
  <c r="B22" i="32"/>
  <c r="C20" i="6"/>
  <c r="C10" i="6"/>
  <c r="J24" i="4"/>
  <c r="K24" i="4"/>
  <c r="C11" i="6"/>
  <c r="C14" i="6"/>
  <c r="Q24" i="4"/>
  <c r="C17" i="6"/>
  <c r="G12" i="5"/>
  <c r="I4" i="5"/>
  <c r="R4" i="33"/>
  <c r="I18" i="5"/>
  <c r="Q14" i="33"/>
  <c r="B14" i="33"/>
  <c r="I15" i="5"/>
  <c r="N5" i="33"/>
  <c r="Q13" i="33"/>
  <c r="B13" i="33"/>
  <c r="R13" i="7"/>
  <c r="N8" i="33"/>
  <c r="S6" i="7"/>
  <c r="O4" i="33"/>
  <c r="H14" i="6"/>
  <c r="N5" i="7"/>
  <c r="J12" i="5" s="1"/>
  <c r="F9" i="33"/>
  <c r="S13" i="7"/>
  <c r="O8" i="33"/>
  <c r="N4" i="33"/>
  <c r="E6" i="33"/>
  <c r="G6" i="7"/>
  <c r="F5" i="5" s="1"/>
  <c r="C4" i="33"/>
  <c r="I6" i="7"/>
  <c r="E4" i="33"/>
  <c r="F8" i="33"/>
  <c r="J4" i="33"/>
  <c r="J13" i="33" s="1"/>
  <c r="R5" i="33"/>
  <c r="G4" i="33"/>
  <c r="M8" i="33"/>
  <c r="H15" i="7"/>
  <c r="D9" i="33"/>
  <c r="S15" i="7"/>
  <c r="O9" i="33"/>
  <c r="H3" i="33"/>
  <c r="P6" i="7"/>
  <c r="F14" i="5" s="1"/>
  <c r="L4" i="33"/>
  <c r="K18" i="6"/>
  <c r="B4" i="6"/>
  <c r="Q6" i="7"/>
  <c r="M4" i="33"/>
  <c r="Q15" i="7"/>
  <c r="E15" i="5" s="1"/>
  <c r="M9" i="33"/>
  <c r="F3" i="33"/>
  <c r="N23" i="4"/>
  <c r="B12" i="32" s="1"/>
  <c r="F22" i="32"/>
  <c r="C21" i="32"/>
  <c r="L21" i="32"/>
  <c r="I21" i="32"/>
  <c r="F21" i="32"/>
  <c r="E21" i="32"/>
  <c r="H21" i="32"/>
  <c r="K21" i="32"/>
  <c r="J21" i="32"/>
  <c r="G21" i="32"/>
  <c r="J22" i="32"/>
  <c r="D21" i="32"/>
  <c r="C22" i="32"/>
  <c r="K22" i="32"/>
  <c r="I22" i="32"/>
  <c r="L22" i="32"/>
  <c r="E22" i="32"/>
  <c r="G22" i="32"/>
  <c r="H22" i="32"/>
  <c r="B21" i="6"/>
  <c r="C19" i="32" s="1"/>
  <c r="B6" i="6"/>
  <c r="C4" i="32" s="1"/>
  <c r="H3" i="7"/>
  <c r="J8" i="6"/>
  <c r="E8" i="6"/>
  <c r="E12" i="6"/>
  <c r="J12" i="6"/>
  <c r="K8" i="6"/>
  <c r="F8" i="6"/>
  <c r="F11" i="6"/>
  <c r="K11" i="6"/>
  <c r="P3" i="7"/>
  <c r="E16" i="6"/>
  <c r="J16" i="6"/>
  <c r="R8" i="7"/>
  <c r="L16" i="5" s="1"/>
  <c r="L18" i="6"/>
  <c r="E11" i="6"/>
  <c r="J11" i="6"/>
  <c r="B5" i="6"/>
  <c r="J13" i="6"/>
  <c r="E13" i="6"/>
  <c r="G13" i="6"/>
  <c r="I13" i="6"/>
  <c r="E18" i="6"/>
  <c r="J18" i="6"/>
  <c r="J20" i="6"/>
  <c r="E20" i="6"/>
  <c r="J10" i="6"/>
  <c r="E10" i="6"/>
  <c r="K12" i="6"/>
  <c r="F12" i="6"/>
  <c r="R7" i="7"/>
  <c r="I16" i="5" s="1"/>
  <c r="I18" i="6"/>
  <c r="K16" i="6"/>
  <c r="K10" i="6"/>
  <c r="F10" i="6"/>
  <c r="F16" i="6"/>
  <c r="J19" i="5"/>
  <c r="E17" i="6"/>
  <c r="F17" i="6"/>
  <c r="K17" i="6"/>
  <c r="J17" i="6"/>
  <c r="J7" i="6"/>
  <c r="E7" i="6"/>
  <c r="K7" i="6"/>
  <c r="J19" i="6"/>
  <c r="E19" i="6"/>
  <c r="F19" i="6"/>
  <c r="K19" i="6"/>
  <c r="S8" i="7"/>
  <c r="L17" i="5" s="1"/>
  <c r="L19" i="6"/>
  <c r="J7" i="5"/>
  <c r="I4" i="7"/>
  <c r="F9" i="6"/>
  <c r="K9" i="6"/>
  <c r="L9" i="6"/>
  <c r="L7" i="5"/>
  <c r="J22" i="5"/>
  <c r="J4" i="5"/>
  <c r="J21" i="5"/>
  <c r="J15" i="5"/>
  <c r="G19" i="5"/>
  <c r="K19" i="5"/>
  <c r="G4" i="5"/>
  <c r="K4" i="5"/>
  <c r="K11" i="5"/>
  <c r="U25" i="4"/>
  <c r="B19" i="5" s="1"/>
  <c r="V19" i="4"/>
  <c r="V21" i="4"/>
  <c r="V9" i="4"/>
  <c r="V18" i="4"/>
  <c r="V18" i="7" s="1"/>
  <c r="V11" i="4"/>
  <c r="V17" i="4"/>
  <c r="H19" i="5"/>
  <c r="U23" i="7"/>
  <c r="V22" i="4"/>
  <c r="V22" i="7" s="1"/>
  <c r="V20" i="4"/>
  <c r="V20" i="7" s="1"/>
  <c r="V12" i="4"/>
  <c r="G7" i="6"/>
  <c r="G12" i="6"/>
  <c r="D12" i="6"/>
  <c r="T3" i="7"/>
  <c r="H20" i="6"/>
  <c r="G18" i="6"/>
  <c r="J3" i="7"/>
  <c r="H10" i="6"/>
  <c r="H11" i="6"/>
  <c r="D18" i="6"/>
  <c r="M3" i="7"/>
  <c r="H13" i="6"/>
  <c r="R3" i="7"/>
  <c r="H18" i="6"/>
  <c r="L4" i="7"/>
  <c r="Q4" i="7"/>
  <c r="G17" i="6"/>
  <c r="D17" i="6"/>
  <c r="G3" i="7"/>
  <c r="D7" i="6"/>
  <c r="D9" i="6"/>
  <c r="G9" i="6"/>
  <c r="J4" i="7"/>
  <c r="D10" i="6"/>
  <c r="G10" i="6"/>
  <c r="H17" i="6"/>
  <c r="K3" i="7"/>
  <c r="H12" i="6"/>
  <c r="S3" i="7"/>
  <c r="H19" i="6"/>
  <c r="H8" i="6"/>
  <c r="G19" i="6"/>
  <c r="D16" i="6"/>
  <c r="H4" i="7"/>
  <c r="D8" i="6"/>
  <c r="G8" i="6"/>
  <c r="D11" i="6"/>
  <c r="G11" i="6"/>
  <c r="H16" i="6"/>
  <c r="D19" i="6"/>
  <c r="G16" i="6"/>
  <c r="H21" i="5"/>
  <c r="W23" i="7"/>
  <c r="K23" i="4"/>
  <c r="B9" i="32" s="1"/>
  <c r="X23" i="7"/>
  <c r="K4" i="7"/>
  <c r="L23" i="4"/>
  <c r="B10" i="32" s="1"/>
  <c r="L3" i="7"/>
  <c r="H22" i="5"/>
  <c r="Q23" i="4"/>
  <c r="B15" i="32" s="1"/>
  <c r="I23" i="4"/>
  <c r="B7" i="32" s="1"/>
  <c r="M23" i="4"/>
  <c r="B11" i="32" s="1"/>
  <c r="M7" i="7"/>
  <c r="G23" i="4"/>
  <c r="B5" i="32" s="1"/>
  <c r="P23" i="4"/>
  <c r="B14" i="32" s="1"/>
  <c r="S23" i="4"/>
  <c r="B17" i="32" s="1"/>
  <c r="H23" i="4"/>
  <c r="B6" i="32" s="1"/>
  <c r="F23" i="7"/>
  <c r="J23" i="4"/>
  <c r="B8" i="32" s="1"/>
  <c r="H14" i="7"/>
  <c r="V5" i="7"/>
  <c r="V16" i="7"/>
  <c r="V6" i="7"/>
  <c r="V8" i="7"/>
  <c r="H7" i="5"/>
  <c r="H15" i="5"/>
  <c r="V3" i="7"/>
  <c r="V10" i="7"/>
  <c r="V7" i="7"/>
  <c r="V14" i="7"/>
  <c r="V15" i="7"/>
  <c r="V13" i="7"/>
  <c r="T13" i="7"/>
  <c r="W25" i="4"/>
  <c r="B21" i="5" s="1"/>
  <c r="F25" i="4"/>
  <c r="B4" i="5" s="1"/>
  <c r="X25" i="4"/>
  <c r="B22" i="5" s="1"/>
  <c r="Y234" i="11"/>
  <c r="T4" i="4" s="1"/>
  <c r="P3" i="33" s="1"/>
  <c r="F17" i="5" l="1"/>
  <c r="D5" i="5"/>
  <c r="D17" i="5"/>
  <c r="E12" i="5"/>
  <c r="D14" i="5"/>
  <c r="C12" i="5"/>
  <c r="C10" i="5"/>
  <c r="E10" i="5"/>
  <c r="D9" i="5"/>
  <c r="F9" i="5"/>
  <c r="F6" i="5"/>
  <c r="D6" i="5"/>
  <c r="C17" i="5"/>
  <c r="E17" i="5"/>
  <c r="C9" i="5"/>
  <c r="E9" i="5"/>
  <c r="D8" i="5"/>
  <c r="F8" i="5"/>
  <c r="C5" i="5"/>
  <c r="E5" i="5"/>
  <c r="D15" i="5"/>
  <c r="F15" i="5"/>
  <c r="D10" i="5"/>
  <c r="F10" i="5"/>
  <c r="E16" i="5"/>
  <c r="C16" i="5"/>
  <c r="E11" i="5"/>
  <c r="C11" i="5"/>
  <c r="E8" i="5"/>
  <c r="C8" i="5"/>
  <c r="C18" i="5"/>
  <c r="E18" i="5"/>
  <c r="D7" i="5"/>
  <c r="F7" i="5"/>
  <c r="C14" i="5"/>
  <c r="E14" i="5"/>
  <c r="C6" i="5"/>
  <c r="E6" i="5"/>
  <c r="N25" i="4"/>
  <c r="B12" i="5" s="1"/>
  <c r="C22" i="6"/>
  <c r="C13" i="33"/>
  <c r="D13" i="33"/>
  <c r="G5" i="5"/>
  <c r="J14" i="5"/>
  <c r="K17" i="5"/>
  <c r="G17" i="5"/>
  <c r="K5" i="5"/>
  <c r="I13" i="33"/>
  <c r="G14" i="5"/>
  <c r="K14" i="5"/>
  <c r="L13" i="33"/>
  <c r="G13" i="33"/>
  <c r="M14" i="33"/>
  <c r="T24" i="4"/>
  <c r="E13" i="33"/>
  <c r="N14" i="33"/>
  <c r="O14" i="33"/>
  <c r="H13" i="33"/>
  <c r="H14" i="33"/>
  <c r="D14" i="33"/>
  <c r="J14" i="33"/>
  <c r="E14" i="33"/>
  <c r="C14" i="33"/>
  <c r="K7" i="5"/>
  <c r="F14" i="33"/>
  <c r="L14" i="33"/>
  <c r="P13" i="33"/>
  <c r="P14" i="33"/>
  <c r="G14" i="33"/>
  <c r="N13" i="33"/>
  <c r="O13" i="33"/>
  <c r="M13" i="33"/>
  <c r="V11" i="7"/>
  <c r="R7" i="33"/>
  <c r="V9" i="7"/>
  <c r="R6" i="33"/>
  <c r="B14" i="6"/>
  <c r="V21" i="7"/>
  <c r="R12" i="33"/>
  <c r="F13" i="33"/>
  <c r="V19" i="7"/>
  <c r="R11" i="33"/>
  <c r="H12" i="5"/>
  <c r="N23" i="7"/>
  <c r="V17" i="7"/>
  <c r="R10" i="33"/>
  <c r="I19" i="32"/>
  <c r="E19" i="32"/>
  <c r="L19" i="32"/>
  <c r="J19" i="32"/>
  <c r="E4" i="32"/>
  <c r="F4" i="32"/>
  <c r="L4" i="32"/>
  <c r="J4" i="32"/>
  <c r="D19" i="32"/>
  <c r="K19" i="32"/>
  <c r="K4" i="32"/>
  <c r="G4" i="32"/>
  <c r="H4" i="32"/>
  <c r="F19" i="32"/>
  <c r="D4" i="32"/>
  <c r="I4" i="32"/>
  <c r="G19" i="32"/>
  <c r="H19" i="32"/>
  <c r="B17" i="6"/>
  <c r="H15" i="32" s="1"/>
  <c r="B11" i="6"/>
  <c r="J9" i="32" s="1"/>
  <c r="E3" i="32"/>
  <c r="K3" i="32"/>
  <c r="C3" i="32"/>
  <c r="J3" i="32"/>
  <c r="I3" i="32"/>
  <c r="G3" i="32"/>
  <c r="H3" i="32"/>
  <c r="L3" i="32"/>
  <c r="D3" i="32"/>
  <c r="F3" i="32"/>
  <c r="B8" i="6"/>
  <c r="J6" i="32" s="1"/>
  <c r="B19" i="6"/>
  <c r="F17" i="32" s="1"/>
  <c r="B9" i="6"/>
  <c r="L7" i="32" s="1"/>
  <c r="B16" i="6"/>
  <c r="F14" i="32" s="1"/>
  <c r="B7" i="6"/>
  <c r="D5" i="32" s="1"/>
  <c r="B10" i="6"/>
  <c r="E8" i="32" s="1"/>
  <c r="B12" i="6"/>
  <c r="J10" i="32" s="1"/>
  <c r="B13" i="6"/>
  <c r="E11" i="32" s="1"/>
  <c r="P23" i="7"/>
  <c r="H14" i="5"/>
  <c r="L3" i="5"/>
  <c r="G3" i="5"/>
  <c r="H3" i="5"/>
  <c r="I3" i="5"/>
  <c r="J3" i="5"/>
  <c r="K3" i="5"/>
  <c r="K20" i="6"/>
  <c r="F20" i="6"/>
  <c r="H8" i="5"/>
  <c r="H10" i="5"/>
  <c r="G6" i="5"/>
  <c r="J11" i="5"/>
  <c r="K15" i="5"/>
  <c r="L22" i="6"/>
  <c r="J22" i="6"/>
  <c r="I23" i="7"/>
  <c r="E22" i="6"/>
  <c r="G7" i="5"/>
  <c r="I22" i="6"/>
  <c r="H17" i="5"/>
  <c r="H22" i="6"/>
  <c r="H9" i="5"/>
  <c r="J9" i="5"/>
  <c r="H18" i="5"/>
  <c r="J18" i="5"/>
  <c r="J16" i="5"/>
  <c r="G23" i="7"/>
  <c r="J5" i="5"/>
  <c r="J8" i="5"/>
  <c r="Q23" i="7"/>
  <c r="G15" i="5"/>
  <c r="J10" i="5"/>
  <c r="S23" i="7"/>
  <c r="J17" i="5"/>
  <c r="H11" i="5"/>
  <c r="H23" i="7"/>
  <c r="J6" i="5"/>
  <c r="L20" i="5"/>
  <c r="G11" i="5"/>
  <c r="I11" i="5"/>
  <c r="G8" i="5"/>
  <c r="K8" i="5"/>
  <c r="K6" i="5"/>
  <c r="G9" i="5"/>
  <c r="K9" i="5"/>
  <c r="G10" i="5"/>
  <c r="K10" i="5"/>
  <c r="H5" i="5"/>
  <c r="M23" i="7"/>
  <c r="V12" i="7"/>
  <c r="H20" i="5" s="1"/>
  <c r="J23" i="7"/>
  <c r="T4" i="7"/>
  <c r="D20" i="6"/>
  <c r="G20" i="6"/>
  <c r="H16" i="5"/>
  <c r="K23" i="7"/>
  <c r="L23" i="7"/>
  <c r="K25" i="4"/>
  <c r="B9" i="5" s="1"/>
  <c r="L25" i="4"/>
  <c r="B10" i="5" s="1"/>
  <c r="Q25" i="4"/>
  <c r="B15" i="5" s="1"/>
  <c r="P25" i="4"/>
  <c r="B14" i="5" s="1"/>
  <c r="G25" i="4"/>
  <c r="B5" i="5" s="1"/>
  <c r="I25" i="4"/>
  <c r="B7" i="5" s="1"/>
  <c r="S25" i="4"/>
  <c r="B17" i="5" s="1"/>
  <c r="M25" i="4"/>
  <c r="B11" i="5" s="1"/>
  <c r="H25" i="4"/>
  <c r="B6" i="5" s="1"/>
  <c r="H6" i="5"/>
  <c r="J25" i="4"/>
  <c r="B8" i="5" s="1"/>
  <c r="T23" i="4"/>
  <c r="B18" i="32" s="1"/>
  <c r="R23" i="4"/>
  <c r="B16" i="32" s="1"/>
  <c r="R4" i="7"/>
  <c r="E20" i="5" l="1"/>
  <c r="C20" i="5"/>
  <c r="D16" i="5"/>
  <c r="F16" i="5"/>
  <c r="D18" i="5"/>
  <c r="F18" i="5"/>
  <c r="I20" i="5"/>
  <c r="K12" i="32"/>
  <c r="D12" i="32"/>
  <c r="J12" i="32"/>
  <c r="H12" i="32"/>
  <c r="C12" i="32"/>
  <c r="L12" i="32"/>
  <c r="I12" i="32"/>
  <c r="F12" i="32"/>
  <c r="G12" i="32"/>
  <c r="K7" i="32"/>
  <c r="G8" i="32"/>
  <c r="E12" i="32"/>
  <c r="E9" i="32"/>
  <c r="E5" i="32"/>
  <c r="E17" i="32"/>
  <c r="K6" i="32"/>
  <c r="D15" i="32"/>
  <c r="F6" i="32"/>
  <c r="G6" i="32"/>
  <c r="H6" i="32"/>
  <c r="G15" i="32"/>
  <c r="H8" i="32"/>
  <c r="K10" i="32"/>
  <c r="D6" i="32"/>
  <c r="E14" i="32"/>
  <c r="I11" i="32"/>
  <c r="C10" i="32"/>
  <c r="I10" i="32"/>
  <c r="L10" i="32"/>
  <c r="C7" i="32"/>
  <c r="J7" i="32"/>
  <c r="E7" i="32"/>
  <c r="I7" i="32"/>
  <c r="C9" i="32"/>
  <c r="L9" i="32"/>
  <c r="I9" i="32"/>
  <c r="F9" i="32"/>
  <c r="H7" i="32"/>
  <c r="K9" i="32"/>
  <c r="D9" i="32"/>
  <c r="G5" i="32"/>
  <c r="H9" i="32"/>
  <c r="D7" i="32"/>
  <c r="C14" i="32"/>
  <c r="I14" i="32"/>
  <c r="L14" i="32"/>
  <c r="C8" i="32"/>
  <c r="I8" i="32"/>
  <c r="L8" i="32"/>
  <c r="C17" i="32"/>
  <c r="I17" i="32"/>
  <c r="C15" i="32"/>
  <c r="I15" i="32"/>
  <c r="L15" i="32"/>
  <c r="D8" i="32"/>
  <c r="G10" i="32"/>
  <c r="G7" i="32"/>
  <c r="F8" i="32"/>
  <c r="J5" i="32"/>
  <c r="C11" i="32"/>
  <c r="L11" i="32"/>
  <c r="F11" i="32"/>
  <c r="K11" i="32"/>
  <c r="D11" i="32"/>
  <c r="H11" i="32"/>
  <c r="K15" i="32"/>
  <c r="J11" i="32"/>
  <c r="J15" i="32"/>
  <c r="J8" i="32"/>
  <c r="H17" i="32"/>
  <c r="H5" i="32"/>
  <c r="E10" i="32"/>
  <c r="E15" i="32"/>
  <c r="D17" i="32"/>
  <c r="D14" i="32"/>
  <c r="C6" i="32"/>
  <c r="I6" i="32"/>
  <c r="L6" i="32"/>
  <c r="K5" i="32"/>
  <c r="J17" i="32"/>
  <c r="D10" i="32"/>
  <c r="G9" i="32"/>
  <c r="J14" i="32"/>
  <c r="F10" i="32"/>
  <c r="F15" i="32"/>
  <c r="G11" i="32"/>
  <c r="C5" i="32"/>
  <c r="L5" i="32"/>
  <c r="F5" i="32"/>
  <c r="I5" i="32"/>
  <c r="H14" i="32"/>
  <c r="F7" i="32"/>
  <c r="L17" i="32"/>
  <c r="K14" i="32"/>
  <c r="K8" i="32"/>
  <c r="E6" i="32"/>
  <c r="K17" i="32"/>
  <c r="G14" i="32"/>
  <c r="G17" i="32"/>
  <c r="H10" i="32"/>
  <c r="J20" i="5"/>
  <c r="T23" i="7"/>
  <c r="K18" i="5"/>
  <c r="R23" i="7"/>
  <c r="K16" i="5"/>
  <c r="G18" i="5"/>
  <c r="B20" i="6"/>
  <c r="T25" i="4"/>
  <c r="B18" i="5" s="1"/>
  <c r="G16" i="5"/>
  <c r="R25" i="4"/>
  <c r="B16" i="5" s="1"/>
  <c r="B18" i="6"/>
  <c r="AA234" i="11"/>
  <c r="V4" i="4" s="1"/>
  <c r="R3" i="33" l="1"/>
  <c r="R13" i="33" s="1"/>
  <c r="V24" i="4"/>
  <c r="C18" i="32"/>
  <c r="I18" i="32"/>
  <c r="L18" i="32"/>
  <c r="J18" i="32"/>
  <c r="H18" i="32"/>
  <c r="E18" i="32"/>
  <c r="F18" i="32"/>
  <c r="C16" i="32"/>
  <c r="F16" i="32"/>
  <c r="K16" i="32"/>
  <c r="G16" i="32"/>
  <c r="J16" i="32"/>
  <c r="H16" i="32"/>
  <c r="D16" i="32"/>
  <c r="I16" i="32"/>
  <c r="E16" i="32"/>
  <c r="L16" i="32"/>
  <c r="D18" i="32"/>
  <c r="G18" i="32"/>
  <c r="K18" i="32"/>
  <c r="F22" i="6"/>
  <c r="K22" i="6"/>
  <c r="D22" i="6"/>
  <c r="G22" i="6"/>
  <c r="V4" i="7"/>
  <c r="V23" i="4"/>
  <c r="B20" i="32" s="1"/>
  <c r="D20" i="5" l="1"/>
  <c r="F20" i="5"/>
  <c r="R14" i="33"/>
  <c r="B22" i="6"/>
  <c r="V23" i="7"/>
  <c r="K20" i="5"/>
  <c r="G20" i="5"/>
  <c r="V25" i="4"/>
  <c r="B20" i="5" s="1"/>
  <c r="C20" i="32" l="1"/>
  <c r="L20" i="32"/>
  <c r="I20" i="32"/>
  <c r="H20" i="32"/>
  <c r="E20" i="32"/>
  <c r="J20" i="32"/>
  <c r="D20" i="32"/>
  <c r="K20" i="32"/>
  <c r="G20" i="32"/>
  <c r="F20" i="3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<sst xmlns="http://schemas.openxmlformats.org/spreadsheetml/2006/main" count="23567" uniqueCount="9494">
  <si>
    <t>Tweet ID</t>
  </si>
  <si>
    <t>Link</t>
  </si>
  <si>
    <t>Plain Text</t>
  </si>
  <si>
    <t>Date</t>
  </si>
  <si>
    <t>Tweet (1), Retweet (2), Reply (3)</t>
  </si>
  <si>
    <t>Likes</t>
  </si>
  <si>
    <t>Retweets</t>
  </si>
  <si>
    <t>Candidate</t>
  </si>
  <si>
    <t>State</t>
  </si>
  <si>
    <t>Party</t>
  </si>
  <si>
    <t>Economy</t>
  </si>
  <si>
    <t>Healthcare</t>
  </si>
  <si>
    <t>Supreme Court appointments</t>
  </si>
  <si>
    <t>COVID-19</t>
  </si>
  <si>
    <t>Violent Crime</t>
  </si>
  <si>
    <t>Foreign policy</t>
  </si>
  <si>
    <t>Gun policy</t>
  </si>
  <si>
    <t>Race and ethnic inequality</t>
  </si>
  <si>
    <t>Climate change</t>
  </si>
  <si>
    <t>Abortion</t>
  </si>
  <si>
    <t>Donald Trump</t>
  </si>
  <si>
    <t>Voting</t>
  </si>
  <si>
    <t>Political harangues</t>
  </si>
  <si>
    <t>Bipartisanship</t>
  </si>
  <si>
    <t>Others</t>
  </si>
  <si>
    <t>Non-topic</t>
  </si>
  <si>
    <t>Photo</t>
  </si>
  <si>
    <t>Video</t>
  </si>
  <si>
    <t>1323664820864864257</t>
  </si>
  <si>
    <t>The polls are open, Arizona! 🇺🇸 Find your polling place and #vote: https://t.co/N8K7iVz8Xz.</t>
  </si>
  <si>
    <t>Tweet</t>
  </si>
  <si>
    <t>R</t>
  </si>
  <si>
    <t>1323445541955538947</t>
  </si>
  <si>
    <t>We're securing our southern border! https://t.co/VvloOpBU3X</t>
  </si>
  <si>
    <t>1323440350921289728</t>
  </si>
  <si>
    <t>We’re restoring our nation’s beautiful public lands!
Just today: @ForestService announced 28 AZ deferred maintenance projects on its priority list for next year. The projects would receive funding through my Great American Outdoors Act →https://t.co/Q78JpMgOwD https://t.co/8MHpo1I7AQ</t>
  </si>
  <si>
    <t>1323431356961972224</t>
  </si>
  <si>
    <t>We’ve greatly increased American energy independence! https://t.co/RAsAA9y5CZ</t>
  </si>
  <si>
    <t>1323377760895553536</t>
  </si>
  <si>
    <t>We’ve rebuilt our nation’s military and given our troops the highest pay raise in a decade! https://t.co/MQnf7SHgCz</t>
  </si>
  <si>
    <t>1323334812187480065</t>
  </si>
  <si>
    <t>Our economy is coming back in a big way!
https://t.co/KHk5QgNVL0</t>
  </si>
  <si>
    <t>1323319378683650049</t>
  </si>
  <si>
    <t>We’re bringing American jobs back from China! https://t.co/1Wzx0eLB64</t>
  </si>
  <si>
    <t>1323287098657435649</t>
  </si>
  <si>
    <t>We’ve now confirmed 220 of @realDonaldTrump's judicial nominees, including Supreme Court Justice Amy Coney Barrett.
https://t.co/B77y5giP9L</t>
  </si>
  <si>
    <t>1322994642191745024</t>
  </si>
  <si>
    <t>President Trump signed a bill I cosponsored to protect athletes from abuse by reforming the U.S. Olympic and Paralympic Committee. More on our work to empower athletes ⬇️
https://t.co/ZljllLu6N1</t>
  </si>
  <si>
    <t>1322575535508058112</t>
  </si>
  <si>
    <t>Thank you to SEAL Team 6! 🇺🇸 
https://t.co/xYNR7cTKDr</t>
  </si>
  <si>
    <t>1322243594204278784</t>
  </si>
  <si>
    <t>My bill to expand mental health treatment options for my fellow veterans was signed into law this month. This crucial initiative will help vets access innovative and potentially life-changing therapies. https://t.co/AAalfJOw8v</t>
  </si>
  <si>
    <t>1321838742034739200</t>
  </si>
  <si>
    <t>Our economy just saw the largest growth ever recorded for a single quarter. We are making a strong comeback!  https://t.co/KHk5Qh5wCy</t>
  </si>
  <si>
    <t>1321603518495559680</t>
  </si>
  <si>
    <t>Grateful for our first responders today and every day! #FirstRespondersDay https://t.co/U8bHDkUu9W</t>
  </si>
  <si>
    <t>1321499217102331905</t>
  </si>
  <si>
    <t>I introduced a bill to speed Arizona’s forest restoration project. We cannot afford any more delays.</t>
  </si>
  <si>
    <t>1321228432617934848</t>
  </si>
  <si>
    <t>It’s #NavyDay! Thank you to all our Navy veterans and those currently serving in our @USNavy! https://t.co/kKLmfVBi2f</t>
  </si>
  <si>
    <t>1321216588750614529</t>
  </si>
  <si>
    <t>Yesterday was an incredible day! As only the fifth woman to serve on our nation’s highest court and the first with school-aged children, Justice Barrett is continuing her trend of shattering barriers for women and girls. https://t.co/hUGWtzEzOa</t>
  </si>
  <si>
    <t>1320909193730113536</t>
  </si>
  <si>
    <t>Justice Barrett will faithfully uphold our laws and Constitution. It was amazing to witness her swearing in. I know she will make our nation proud. https://t.co/lYm8wUFXBm</t>
  </si>
  <si>
    <t>1320894626841071616</t>
  </si>
  <si>
    <t>Honored to be at the White House for Justice Barrett’s historic swearing in! https://t.co/ReR2OllVjW</t>
  </si>
  <si>
    <t>1320888283191128070</t>
  </si>
  <si>
    <t>Congratulations, Justice Barrett! 🇺🇸 https://t.co/BX7Lr1jqyp</t>
  </si>
  <si>
    <t>1320880303007825920</t>
  </si>
  <si>
    <t>My full statement: https://t.co/orNAW4YI5Q</t>
  </si>
  <si>
    <t>Reply</t>
  </si>
  <si>
    <t>1320880127966875653</t>
  </si>
  <si>
    <t>Today I had the honor of casting a historic vote to confirm Judge Amy Coney Barrett to the Supreme Court. She is a brilliant, fair jurist who will bring a stellar judicial temperament to the bench. I look forward to seeing her take her seat on our nation's highest court. https://t.co/y3UKtpMhuv</t>
  </si>
  <si>
    <t>1320782494195699715</t>
  </si>
  <si>
    <t>On National #DayoftheDeployed, we honor all of our military members serving away from their loved ones right now. After serving six deployments to the Middle East and Afghanistan, I know just how hard it can be. Thank YOU for all you sacrifice to defend our nation!</t>
  </si>
  <si>
    <t>1320767220734185472</t>
  </si>
  <si>
    <t>I joined @SteveDaines in urging the Treasury to give tribes more time to use the Coronavirus Relief Fund so they can complete their most significant pandemic response projects, including the construction of health care facilities &amp;amp; improvement of water infrastructure.</t>
  </si>
  <si>
    <t>1320724316812726272</t>
  </si>
  <si>
    <t>What a historic day! https://t.co/OqkSX93Yxq</t>
  </si>
  <si>
    <t>1320433467335692288</t>
  </si>
  <si>
    <t>Tomorrow night, we will vote to put Judge Amy Coney Barrett on the Supreme Court. https://t.co/cTeWiiAAT9</t>
  </si>
  <si>
    <t>1320087183554801664</t>
  </si>
  <si>
    <t>ICYMI: I introduced a constitutional amendment with @SenTedCruz this week to prevent an expansion of the Supreme Court.
https://t.co/UWanohjWMK</t>
  </si>
  <si>
    <t>1320050156394479618</t>
  </si>
  <si>
    <t>TODAY: Protect your loved ones by disposing of your unused prescription medication at a @DEAHQ collection site near you: https://t.co/NBe28sicoM. #TakeBackDay https://t.co/mlpwDtVSg4</t>
  </si>
  <si>
    <t>1320037745927069698</t>
  </si>
  <si>
    <t>Congratulations to @GilbertYourTown, which will become the ceremonial hometown of the new USS Arizona submarine following a recent city council vote. What a wonderful way to honor the 1,177 brave servicemembers who died while serving on the USS Arizona at Pearl Harbor.</t>
  </si>
  <si>
    <t>1319711835348557824</t>
  </si>
  <si>
    <t>Sudan is the third country in recent months to agree to normalize relations with Israel. I applaud @realDonaldTrump’s work to broker these historic agreements that will foster greater peace in the Middle East and beyond. https://t.co/pDR9df9AKQ</t>
  </si>
  <si>
    <t>1319697233005047808</t>
  </si>
  <si>
    <t>One step closer 👩🏼‍⚖️ https://t.co/B2CMJWtOEk</t>
  </si>
  <si>
    <t>1319690260918398977</t>
  </si>
  <si>
    <t>I introduced a bill today to modernize @VAVetBenefits's digital benefits platform so student veterans no longer experience disruptions to their education benefits. As we work to combat the fallout of this virus, this update is more critical than ever.  https://t.co/pzVSVhPRsJ</t>
  </si>
  <si>
    <t>1319663621970874368</t>
  </si>
  <si>
    <t>Calling all veterans! @USPTO is hosting a free, online Veterans Innovation &amp;amp; Entrepreneurship Program on Oct. 27 from 10am-1:30pm AZ. Learn how to register here ⬇️
https://t.co/X4vlLZvH9L</t>
  </si>
  <si>
    <t>1319404258521878528</t>
  </si>
  <si>
    <t>Congratulations to the @uarizona team who led the historic mission to the asteroid Bennu!
https://t.co/XyiV53AK6q</t>
  </si>
  <si>
    <t>1319370875620126720</t>
  </si>
  <si>
    <t>Honored to receive the Guardian of Small Business Award from @NFIB for my strong, pro-small business voting record. I will continue fighting for our Arizona small business owners who power our economy. https://t.co/EvqgbZUuTQ</t>
  </si>
  <si>
    <t>1319284709273161740</t>
  </si>
  <si>
    <t>The Senate Judiciary Committee just advanced Judge Barrett’s Supreme Court nomination out of committee. Early next week, the full Senate will vote to make her Justice Amy Coney Barrett. https://t.co/XIPNxpSVzO</t>
  </si>
  <si>
    <t>1318988171917611008</t>
  </si>
  <si>
    <t>Today, I had the pleasure of sitting down with Judge Amy Coney Barrett, whose grace and incredible command of the law are as evident in person as they were during her confirmation hearings. I look forward to voting in favor of her historic confirmation. https://t.co/m4uheFusM8</t>
  </si>
  <si>
    <t>1318929040913305600</t>
  </si>
  <si>
    <t>It is undeniably clear that Judge Amy Coney Barrett is a principled jurist who will execute the duties of justice faithfully. As a woman who broke barriers and challenged stereotypes myself, I look forward to voting in favor of her confirmation. https://t.co/Ukga5rppT7</t>
  </si>
  <si>
    <t>1318678354468458496</t>
  </si>
  <si>
    <t>Today’s bill would have included my provision to allow small biz to use PPP for PPE. https://t.co/CYIyR2PaA7</t>
  </si>
  <si>
    <t>1318675861520908300</t>
  </si>
  <si>
    <t>It's disappointing that the Senate can't come together to support the backbone of our economy: small biz. The repeated inability to advance an expansion of the PPP for American workers is exactly why Arizonans are frustrated with Washington.</t>
  </si>
  <si>
    <t>1318674499886342145</t>
  </si>
  <si>
    <t>✔️ I'm a strong YES on confirming Judge Barrett to the Supreme Court. https://t.co/n6mL6bUSh4</t>
  </si>
  <si>
    <t>1318584694682759168</t>
  </si>
  <si>
    <t>Unflappable &amp;amp; brilliant, Judge Amy Coney Barrett showed the country last week in her Senate confirmation hearing that she will make an outstanding Supreme Court Justice.
Read my op-ed in @azcentral on why I’m proud to support her historic confirmation ⬇ https://t.co/tOMxldkJ4I</t>
  </si>
  <si>
    <t>1318315158620434432</t>
  </si>
  <si>
    <t>I joined @SenTedCruz today to introduce legislation to thwart the disturbing &amp;amp; dangerous threats by Democrats to pack the Supreme Court &amp;amp; add liberal activist judges. Our proposals will keep the number of justices at nine as it has been for over 150 years. https://t.co/lNMV0m06Kl</t>
  </si>
  <si>
    <t>1318239361503166464</t>
  </si>
  <si>
    <t>Congratulations to @GPEC on being named the top economic development organization in the U.S.!
https://t.co/Tpi8PkhWsc</t>
  </si>
  <si>
    <t>1317913590427492353</t>
  </si>
  <si>
    <t>Check out these AZ businesses!
https://t.co/JtX0JZeCdn</t>
  </si>
  <si>
    <t>1317832304782241792</t>
  </si>
  <si>
    <t>Every veteran is impacted by their service differently. My bill will allow veterans to seek innovative therapies to combat PTSD and other mental health issues.
https://t.co/AYaS3k7L9j</t>
  </si>
  <si>
    <t>1317580143225827328</t>
  </si>
  <si>
    <t>Reminder that there are refundable payroll tax credits available to small and mid-sized businesses to reimburse them, dollar-for-dollar, for the cost of providing employee leave related to the COVID-19 outbreak. https://t.co/IGZgzM6rzK</t>
  </si>
  <si>
    <t>1317464380292956160</t>
  </si>
  <si>
    <t>Our bipartisan bill will help bridge the digital divide in Native American communities by investing in broadband connectivity and improving internet access so that our tribal students and families have greater access to quality education, jobs, and other public resources.</t>
  </si>
  <si>
    <t>1317201397654368256</t>
  </si>
  <si>
    <t>New deadline: AZ non-filers have until Nov. 21 to claim their Economic Impact Payment. Learn more ⬇️ https://t.co/W5wQzzZIdT</t>
  </si>
  <si>
    <t>1317177582467584000</t>
  </si>
  <si>
    <t>My prayers are with the family and friends of former Navajo Nation President Thomas Atcitty, who passed away this week.
https://t.co/dmwQO0d0cf</t>
  </si>
  <si>
    <t>1317121507781414912</t>
  </si>
  <si>
    <t>Sad to see Café Poca Cosa close its doors after 36 wonderful years in Tucson. This Tucson classic will be greatly missed.
https://t.co/6yyULiZ0VQ</t>
  </si>
  <si>
    <t>1316824198518640640</t>
  </si>
  <si>
    <t>Great to see @CityofPhoenixAZ put CARES Act funding toward purchasing a new, larger facility for @usvets_phx. U.S. Vets will be able to continue serving nearly 200 at-risk and homeless veterans, while expanding their operation.
https://t.co/nscL994WSx</t>
  </si>
  <si>
    <t>1316812281347534854</t>
  </si>
  <si>
    <t>Wonderful to join the groundbreaking ceremony for the Airfield Safety Enhancement Program @TucsonAirport this morning. I was pleased to help secure federal funding to add a new runway at TIA, which will allow our airport to operate even more safely and efficiently. https://t.co/7xAyaUajSX</t>
  </si>
  <si>
    <t>1316756949325754368</t>
  </si>
  <si>
    <t>Arizonans living with chronic diseases often face cost barriers in getting the medical care they need. Our bipartisan bill would allow individuals with high deductible health plans to exercise greater flexibility and better manage their health at lower costs.</t>
  </si>
  <si>
    <t>1316468535892291584</t>
  </si>
  <si>
    <t>This is great news! Arizona is the perfect place to host the 2026 @ncaawbb Final Four. 🏀🌵 https://t.co/DykYvgWSKL</t>
  </si>
  <si>
    <t>1316458250749931521</t>
  </si>
  <si>
    <t>Each year, about 200,000 members of our Armed Forces will reenter the workforce or pursue higher education. My bill opens doors so that more veterans can enter the skilled-trade industry, which provides good-paying jobs with unlimited career opportunities. https://t.co/SkDM0bylst</t>
  </si>
  <si>
    <t>1316392074875465734</t>
  </si>
  <si>
    <t>Congratulations to @GoodyearAZGov on being named the best city for business! https://t.co/WtXVp8Rxhy</t>
  </si>
  <si>
    <t>1316391573425401858</t>
  </si>
  <si>
    <t>Americans battling diseases like ALS or cancer do not have time to wait months on end for the approval of potentially life-saving treatments. Our bill safely accelerates the approval process for critical treatments for these conditions. https://t.co/QsUXjrTQL6</t>
  </si>
  <si>
    <t>1316093543367290882</t>
  </si>
  <si>
    <t>When our servicewomen couldn’t access the most effective breast cancer screening option like other Americans could, we took action. Preventative 3D mammography screenings are now covered by Tricare.
https://t.co/n8cInWOFjj</t>
  </si>
  <si>
    <t>1316069220845789184</t>
  </si>
  <si>
    <t>Happy 245th birthday to our @USNavy! Thank you to all the Sailors who've served, and currently serve, our great country.   🇺🇸 https://t.co/22UsacoUoY</t>
  </si>
  <si>
    <t>1315761265571246080</t>
  </si>
  <si>
    <t>Saddened to learn of the passing of Senator John McCain’s mother, Roberta. My prayers are with her family as they mourn her loss. 
https://t.co/M0Ir5gKSn0</t>
  </si>
  <si>
    <t>1315730706715168770</t>
  </si>
  <si>
    <t>I’m urging the @DeptVetAffairs to expand vital telehealth care at VA facilities to support our veterans.</t>
  </si>
  <si>
    <t>1315679797184528385</t>
  </si>
  <si>
    <t>On #NationalFarmersDay, we recognize the Arizonans responsible for putting food on our tables. Thank you for all you do! I’ve fought for relief for our farmers throughout this pandemic and will continue to do so. https://t.co/gIREudOpyI</t>
  </si>
  <si>
    <t>1315412610968293376</t>
  </si>
  <si>
    <t>I’m backing a bipartisan bill to end surprise medical billing. Arizonans deserve transparency, not thousands of dollars in hidden fees.</t>
  </si>
  <si>
    <t>1315362279127281665</t>
  </si>
  <si>
    <t>Congratulations to @GilbertYourTown on being named the second-safest big city in America!
https://t.co/Oyen6A7Ote</t>
  </si>
  <si>
    <t>1315339629952864258</t>
  </si>
  <si>
    <t>Need help with a federal agency? My team is here to help ⬇️</t>
  </si>
  <si>
    <t>1315027322202923010</t>
  </si>
  <si>
    <t>My bipartisan bill will help shorten the time it takes doctors to pinpoint the root cause of rare diseases in children and prescribe treatments.</t>
  </si>
  <si>
    <t>1314949559613886464</t>
  </si>
  <si>
    <t>I am committed to holding Big Pharma accountable and that’s why I’m continuing to push for lower prescription drug costs for Arizona families.
https://t.co/ZrOX1eCiT9</t>
  </si>
  <si>
    <t>1314614854163091456</t>
  </si>
  <si>
    <t>Roughly 700 American women die each year from pregnancy-related complications. This is unacceptable. My bipartisan bill would improve the quality of care for moms during pregnancy and after childbirth.
https://t.co/jCQGnfTG5N</t>
  </si>
  <si>
    <t>1314570508675973122</t>
  </si>
  <si>
    <t>Military families sacrifice daily for our country. Our bill would allow military spouses to get back to work sooner after a move due to a military relocation.
https://t.co/CgJlVy84qB</t>
  </si>
  <si>
    <t>1314327576828149765</t>
  </si>
  <si>
    <t>Today, we honor Kayla Mueller’s extraordinary life spent serving others as a humanitarian in the darkest of places. AZ will always remember her bright light, and owe a debt of gratitude to our U.S. Special Forces who brought justice to the Mueller family last year. https://t.co/dK1dFcE816</t>
  </si>
  <si>
    <t>1314297017036951552</t>
  </si>
  <si>
    <t>Welcome to Arizona @VP and @SecondLady! https://t.co/hZZr6tMHib</t>
  </si>
  <si>
    <t>1314277632154845184</t>
  </si>
  <si>
    <t>All applications for U.S. Service Academy nominations for the Class of 2025 must be completed by 5pm AZ today. https://t.co/PNFwfDR9z2</t>
  </si>
  <si>
    <t>1314262361973370883</t>
  </si>
  <si>
    <t>One of the best steps Congress can take to better protect our seniors right now is to pass my bill to provide increased personal protective equipment and COVID-19 testing to our senior care facilities.</t>
  </si>
  <si>
    <t>1313950476438704131</t>
  </si>
  <si>
    <t>My bill would extend a life-saving program to reduce the prevalence of diabetes in tribal communities. Hopi Chairman Timothy Nuvangyaoma agrees that we need to pass this legislation.
https://t.co/xbIaYebfbD</t>
  </si>
  <si>
    <t>1313939035749003265</t>
  </si>
  <si>
    <t>Tomorrow is the deadline to submit an application to my office for a U.S. Service Academy nomination for the Class of 2025. https://t.co/PNFwfDzyHu</t>
  </si>
  <si>
    <t>1313566949197131776</t>
  </si>
  <si>
    <t>Telehealth has become an increasingly vital to Arizonans during this crisis. Since March, I’ve worked to permanently expand telehealth services so Arizonans can stay connected to their health care providers. https://t.co/EE1CdSbCHV</t>
  </si>
  <si>
    <t>1313545923226669056</t>
  </si>
  <si>
    <t>Our bill would fuel economic growth &amp;amp; create an estimated 800,000 new full-time jobs for Americans. It’s time to pass the CREATE JOBS Act.
https://t.co/4cm81zJfk9</t>
  </si>
  <si>
    <t>1313506630567366662</t>
  </si>
  <si>
    <t>I’m pushing the @forestservice to take action to prevent more wildfires in the West by moving forward on Arizona’s single most important forest fire prevention project.
https://t.co/Cf2e8ZtJOa</t>
  </si>
  <si>
    <t>1313318612552228864</t>
  </si>
  <si>
    <t>My prayers are with Rep. Sierra and his family as they battle this virus. https://t.co/zEs6uYgtco</t>
  </si>
  <si>
    <t>1313200534929788928</t>
  </si>
  <si>
    <t>ICYMI: I introduced a bill to prevent catastrophic wildfires by restoring Arizona’s forest health. My bill incentivizes the removal of dangerous overgrowth and promotes low-carbon biomass energy development. 
https://t.co/r4RRcfkwKx</t>
  </si>
  <si>
    <t>1313175581006139398</t>
  </si>
  <si>
    <t>Happy #WorldTeachersDay to Arizona’s educators! As the daughter of a teacher, I’ve seen firsthand the investment teachers make in our students. Thank you for working to keep our kids engaged in learning during this crisis. 📚🍎 https://t.co/V5PYtelDdj</t>
  </si>
  <si>
    <t>1312850729745350656</t>
  </si>
  <si>
    <t>October is #DomesticViolenceAwarenessMonth. Together, we can connect survivors to critical resources. Visit https://t.co/XdfKtffjUt #EndDVinAZ #ItCanStop https://t.co/P0TSkHQLLw</t>
  </si>
  <si>
    <t>1312793603379322880</t>
  </si>
  <si>
    <t>Arizona cities are helping lead our great American comeback. 🇺🇸
https://t.co/xbCbkgKqG1</t>
  </si>
  <si>
    <t>1312477268912955394</t>
  </si>
  <si>
    <t>One out of every eight women living in the U.S. will fight breast cancer in her lifetime. Learn the warning signs &amp;amp; talk with your doctor about breast cancer screenings. #BreastCancerAwarenessMonth
https://t.co/fLN4mlWohW</t>
  </si>
  <si>
    <t>1312440986929254400</t>
  </si>
  <si>
    <t>ICYMI: I introduced a bill to improve the prevention, treatment, and investigation of child abuse involving Native children. This prevention is critical to the well-being of our tribal communities.
https://t.co/Ojqxg5h6TH</t>
  </si>
  <si>
    <t>Image</t>
  </si>
  <si>
    <t>1323763425420275713</t>
  </si>
  <si>
    <t>I’ve been on quite a few missions, but never with a team this big. I’m proud to be moving #FullSpeedAhead with so many Arizonans. Let’s do this. https://t.co/i8yCeAsg7K</t>
  </si>
  <si>
    <t>D</t>
  </si>
  <si>
    <t>1323747636873109504</t>
  </si>
  <si>
    <t>Have questions about voting? Can’t find your polling location? Reach out to the voter assistance hotline. They are here to help! https://t.co/a6ZODoAaY6</t>
  </si>
  <si>
    <t>1323717903544299520</t>
  </si>
  <si>
    <t>Arizona has a history of independent leaders. Leaders who put Arizonans first and aren’t swayed by partisan politics. In the Senate, I’ll always do what’s right for Arizona.
https://t.co/09EiucV5tA</t>
  </si>
  <si>
    <t>1323702349357985792</t>
  </si>
  <si>
    <t>It’s lunchtime — the perfect time to take a break and head to the polls. Go to https://t.co/20w58Bx9ha to find your nearest polling location and #Vote4AZ! https://t.co/tn5QS8apiX</t>
  </si>
  <si>
    <t>1323673093294886912</t>
  </si>
  <si>
    <t>Whether you were with us on day one of this campaign, or you’re just joining us today, thank you for being a part of our mission. #FullSpeedAhead https://t.co/NpWJwzTBzD</t>
  </si>
  <si>
    <t>1323642068451799040</t>
  </si>
  <si>
    <t>I’ve dedicated my life to serving this country, and now, I’m running to serve Arizona in the Senate. Join our mission. Chip in $3 today.
https://t.co/58Rw85i7rE</t>
  </si>
  <si>
    <t>1323610963619139585</t>
  </si>
  <si>
    <t>Hey, Arizona — polls are officially open! If you haven’t voted yet, today’s the day to get to the polls and make your voice heard. Find your nearest polling location at https://t.co/20w58Bx9ha. #Vote4AZ https://t.co/AFA260EOi4</t>
  </si>
  <si>
    <t>1323596830127529984</t>
  </si>
  <si>
    <t>This is it, Arizona. T minus 14 hours until polls close. Will you join our mission? https://t.co/8tMhOFiYb9</t>
  </si>
  <si>
    <t>1323462678547816448</t>
  </si>
  <si>
    <t>Great getting out in Tucson to see some volunteers before they go get out the vote. Their work is crucial in these final days. I couldn’t do this without them. https://t.co/CuZNeJviyt</t>
  </si>
  <si>
    <t>1323446420540588032</t>
  </si>
  <si>
    <t>We can’t let uranium mining destroy Arizona’s natural treasures. We have to protect the environment for future generations.</t>
  </si>
  <si>
    <t/>
  </si>
  <si>
    <t>1323415062938230785</t>
  </si>
  <si>
    <t>Arizona is home to over 500,000 small businesses, and they’re the backbone of our economy. What’s good for small businesses is good for Arizona. https://t.co/WN86WB2LUG</t>
  </si>
  <si>
    <t>1323403089697677314</t>
  </si>
  <si>
    <t>Twenty years — what an achievement. Proud to be part of it.  
https://t.co/qMBGhy7Djp</t>
  </si>
  <si>
    <t>1323387756718907392</t>
  </si>
  <si>
    <t>This has been a hard year. But when we come together — not as Democrats or Republicans, but as Americans — there’s no problem we can’t solve. Let’s change the direction of this country — together. https://t.co/ECpO2Q1gl1</t>
  </si>
  <si>
    <t>1323363413242769408</t>
  </si>
  <si>
    <t>When I say this is a people-powered campaign, I mean it. We couldn’t do this without the hard work of volunteers reaching out to voters across the state, like the ones I met in Maryvale and Scottsdale this weekend. https://t.co/GbupeCGFYs</t>
  </si>
  <si>
    <t>1323347581775220737</t>
  </si>
  <si>
    <t>As Kat knows, this election is too important to sit out. Every single vote matters, and yours could be the difference. https://t.co/is8jlrB5Wh</t>
  </si>
  <si>
    <t>1323315482825383936</t>
  </si>
  <si>
    <t>This campaign is powered by volunteers and supporters like the ones I met in Phoenix this weekend. Grateful to have you all on this team. #FullSpeedAhead https://t.co/YpAqpPxzu8</t>
  </si>
  <si>
    <t>1323299964248678400</t>
  </si>
  <si>
    <t>Help me restore a reliance on science, data, and facts back to Washington. Can you give $5 today and join our mission?
https://t.co/dg7gTC1bhJ</t>
  </si>
  <si>
    <t>1323277421869608964</t>
  </si>
  <si>
    <t>A lot has changed since the beginning of this campaign, but our mission hasn’t. Affordable health care, good-paying jobs, quality education, protecting Social Security and Medicare —  it’s all at stake. Together, we can change the direction of this country. It’s #FullSpeedAhead. https://t.co/aLrw9dpWZX</t>
  </si>
  <si>
    <t>1323069370235416577</t>
  </si>
  <si>
    <t>I’ve seen firsthand how our health care system works, and I know it can be improved. We need to end surprise billing and drive down the costs of prescription drugs by making cheaper options more available for Arizonans. https://t.co/8jtJ3x3Txt</t>
  </si>
  <si>
    <t>1323038077749653504</t>
  </si>
  <si>
    <t>Where did I go to college? How many times did I go to space? Put your knowledge to the test with our new quiz. ⬇
https://t.co/bmktcHV5sX</t>
  </si>
  <si>
    <t>1323007036607483904</t>
  </si>
  <si>
    <t>This #NativeAmericanHeritageMonth, we need to reaffirm our commitment to the sovereignty of tribal nations in Arizona and across the country. https://t.co/Sxf20TOZte</t>
  </si>
  <si>
    <t>1322989162270617600</t>
  </si>
  <si>
    <t>If everyone reading this makes sure three of their friends vote, I like our chances. And it's easy to do! Just give them a ring, like I did with Julia from Sanders. https://t.co/TtqLV7MEzs</t>
  </si>
  <si>
    <t>1322968977602084864</t>
  </si>
  <si>
    <t>It was great to meet with early voters across Phoenix as they cast their ballots, including some first-time voters! This election is so important, so get out there and make your voice heard, Arizona! #FullSpeedAhead https://t.co/McJpOZovX8</t>
  </si>
  <si>
    <t>1322937332866035713</t>
  </si>
  <si>
    <t>Throwback to the first day of this mission, back in February 2019. A lot has changed since then, but one thing’s for sure — I wouldn’t have wanted anyone else by my side on this journey. https://t.co/07CtAcabDB</t>
  </si>
  <si>
    <t>1322921428841238529</t>
  </si>
  <si>
    <t>Arizonans need an independent voice representing them in Washington. A leader who will rely on science and data to make decisions, not partisan politics. Can you donate $5 to join our mission?
https://t.co/r3z7g4B3GJ</t>
  </si>
  <si>
    <t>1322905658644033537</t>
  </si>
  <si>
    <t>He’s right — I am his biggest fan. I love meeting Arizonans like Julian and Fidelina on the campaign trail. They’re the reason I’m in this fight. https://t.co/6sBhpHS0NP</t>
  </si>
  <si>
    <t>1322726412327907328</t>
  </si>
  <si>
    <t>The pandemic has been hard on all of us, but especially for the elderly and caregivers. It’s important they have the resources and support they need right now.
https://t.co/t1nUk8buYt</t>
  </si>
  <si>
    <t>1322710416330432512</t>
  </si>
  <si>
    <t>I’ve visited small businesses across the state to talk with them about the challenges they face. And things have only gotten tougher during this pandemic. We need to have their backs and help them get through this crisis. https://t.co/5MoNdS2GyV</t>
  </si>
  <si>
    <t>1322682359892750336</t>
  </si>
  <si>
    <t>Happy Halloween, Arizona! I hope this future astronaut I met yesterday remembers me when he’s the first person to walk on Mars one day. https://t.co/uITns9yNph</t>
  </si>
  <si>
    <t>1322664977946210306</t>
  </si>
  <si>
    <t>Speaking with small business owners from Flagstaff, it’s clear that the winter months will determine whether many of Arizona’s small businesses survive. With COVID-19 cases back on the rise, we need to make sure small businesses can stay afloat. https://t.co/E3N9Le8LOW</t>
  </si>
  <si>
    <t>1322648634597404673</t>
  </si>
  <si>
    <t>Still need to make your voting plan for Election Day? Let’s do it together! Take our quiz: https://t.co/67whs8N48s</t>
  </si>
  <si>
    <t>1322631637482442752</t>
  </si>
  <si>
    <t>I’m not taking a dime of corporate PAC money on this campaign. We have to end the influence corporate special interests have on our government.</t>
  </si>
  <si>
    <t>1322614697678393344</t>
  </si>
  <si>
    <t>Arizonans don’t care which party gets the credit. They just want Washington to work for them. In the Senate, I’ll work with anyone to get the job done for Arizona. 
https://t.co/IaGBQ8bn0J</t>
  </si>
  <si>
    <t>1322586783054327809</t>
  </si>
  <si>
    <t>With only three days left until Election Day, now is the time to give everything we’ve got by reaching out to as many Arizona voters as possible. Grateful to see so many Arizonans coming together to do just that with @MissionForAZ. #FullSpeedAhead https://t.co/jvmU8mS2BU</t>
  </si>
  <si>
    <t>1322546681561272321</t>
  </si>
  <si>
    <t>Hey, Arizona. It’s that time — time to make a plan if you’re voting in-person on Election Day. Go to https://t.co/20w58Bx9ha for all the info you need, and follow along to make your plan today. https://t.co/94uRJGlkjn</t>
  </si>
  <si>
    <t>1322374607895097344</t>
  </si>
  <si>
    <t>Small businesses make Arizona communities unique. We have to give them the support they need to succeed.
https://t.co/1nBNw9eC9k</t>
  </si>
  <si>
    <t>1322361642022154246</t>
  </si>
  <si>
    <t>After being born with a heart defect that required dozens of surgeries, Patricia’s son Max had nearly hit the lifetime cap on their insurance at just 6 months old. Health care reform has since eliminated lifetime caps, but it’s still a lifetime fight to get him the care he needs. https://t.co/kX3LpuvgsP</t>
  </si>
  <si>
    <t>1322350132575133701</t>
  </si>
  <si>
    <t>.@MissionForAZ volunteers will make the difference in this election. The work they’re doing is so important, and they’re keeping us moving #FullSpeedAhead. https://t.co/ck9A37W5oc</t>
  </si>
  <si>
    <t>1322330375004119040</t>
  </si>
  <si>
    <t>Arizona necesita liderazgo independiente que se enfoque en resolver los problemas difíciles que enfrentamos. Liderazgo que preste atención a la ciencia, los datos y los hechos, no a la política partidista.
https://t.co/Nm1Qh5m9XU</t>
  </si>
  <si>
    <t>1322315533639798784</t>
  </si>
  <si>
    <t>The fact is a lot of Arizona small businesses either didn’t get the relief they needed or waited too long for it at the beginning of this pandemic. In the Senate, I’ll fight to make sure small business owners like Es get the support they need to keep their businesses afloat. https://t.co/JLfpxNatyI</t>
  </si>
  <si>
    <t>1322297445473083392</t>
  </si>
  <si>
    <t>What kind of tunes does an astronaut listen to? Space jams.
No, really. Check out my GOTV playlist and get ready to move #FullSpeedAhead to Election Day.</t>
  </si>
  <si>
    <t>1322282703459217409</t>
  </si>
  <si>
    <t>Arizona is home to some of the most beautiful places in the world. That’s why we need to protect Arizona’s natural treasures for future generations.
https://t.co/yCRR63LtyL</t>
  </si>
  <si>
    <t>1322240816878817280</t>
  </si>
  <si>
    <t>This mission is fueled by everyday Arizonans working together to solve tough problems. Join us. https://t.co/0lghy9ZRaq</t>
  </si>
  <si>
    <t>1322222085389778944</t>
  </si>
  <si>
    <t>When you’re flying into combat or launching to the ISS, it doesn’t matter if your crew members are Democrats or Republicans. You work together to get the job done. Chip in $3 today to help me bring that approach to the Senate.
https://t.co/Bl03Zb4RcT</t>
  </si>
  <si>
    <t>1322206862347915265</t>
  </si>
  <si>
    <t>.@GabbyGiffords and I loved seeing folks out and about in Tucson this week. We’re moving #FullSpeedAhead to Election Day. https://t.co/34OL29m18E</t>
  </si>
  <si>
    <t>1322034848354062336</t>
  </si>
  <si>
    <t>Hey, Arizona! Gabby and I voted early, and you can too! But tomorrow is the last day to vote early in-person, so there’s no time to waste. Find your nearest early voting location at https://t.co/20w58Bx9ha and make your voice heard today!</t>
  </si>
  <si>
    <t>1322016690431877120</t>
  </si>
  <si>
    <t>Vin may not be old enough to vote, but he isn’t letting that stop him from doing his part in this election. Together with his parents, he’s putting in the work to change Arizona for the better. I’m grateful to have them on this mission with me. https://t.co/xwsbZdclan</t>
  </si>
  <si>
    <t>1321998380994752513</t>
  </si>
  <si>
    <t>Today is #LatinaEqualPayDay. Latinas make $0.55 to every dollar their white male counterparts make. We have to do better — I’m committed to taking steps that achieve equal pay for all Arizonans.</t>
  </si>
  <si>
    <t>1321984222781825030</t>
  </si>
  <si>
    <t>Arizonans are showing up to get out the vote across the state, and I'm inspired by the momentum we’re building here. I’ve been a part of a lot of really great teams, but this might be the best one yet. Together, we’re moving #FullSpeedAhead. https://t.co/buzJI4DMCC</t>
  </si>
  <si>
    <t>1321976620282904579</t>
  </si>
  <si>
    <t>Veterans put themselves at risk to defend our country, and then they come back home and can face obstacles finding good-paying jobs. We need to make sure they get the resources and support they need.
https://t.co/vlDxaaQnQE</t>
  </si>
  <si>
    <t>1321943218699657217</t>
  </si>
  <si>
    <t>Arizonans want independent leadership in the Senate. That’s why I don’t take corporate PAC money and have committed to releasing my Senate schedule to the public.</t>
  </si>
  <si>
    <t>1321928121755398144</t>
  </si>
  <si>
    <t>Arizona’s seniors have given so much to our state and our country, and they deserve to retire with dignity. In the Senate, I’ll protect Social Security and Medicare and make sure our seniors get the benefits they’ve earned.
https://t.co/QiyDO2WmU1</t>
  </si>
  <si>
    <t>1321912797236654080</t>
  </si>
  <si>
    <t>Over 1 million Arizonans rely on Social Security to pay their bills and 1.3 million Arizonans are on Medicare. Cutting either of these programs must be off the table. https://t.co/8nZ4a3lD1O</t>
  </si>
  <si>
    <t>1321893858972635136</t>
  </si>
  <si>
    <t>Arizona needs independent leadership focusing on solving the hard problems we face. Leadership that focuses on science, data, and facts, not partisan politics.
https://t.co/09EiucV5tA</t>
  </si>
  <si>
    <t>1321863980046934016</t>
  </si>
  <si>
    <t>Where would @StationCDRKelly be without his big brother helping him? https://t.co/MrdweSszhA</t>
  </si>
  <si>
    <t>1321847811701313537</t>
  </si>
  <si>
    <t>Water on the moon… again!
https://t.co/RPVxCw4Edr</t>
  </si>
  <si>
    <t>1321806719593295873</t>
  </si>
  <si>
    <t>Everyone should have access to clean drinking water, but the fact is, that’s not the reality for many on the Navajo Nation. Tribal communities must be a part of future relief and infrastructure proposals. https://t.co/WRxBVDkplT</t>
  </si>
  <si>
    <t>1321655434302816256</t>
  </si>
  <si>
    <t>To fight climate change, we need to listen to the experts and follow the science. We can’t let party politics get in the way of protecting the environment. https://t.co/7DF9gg0A26</t>
  </si>
  <si>
    <t>1321641361699860483</t>
  </si>
  <si>
    <t>If my brother, @StationCDRKelly, can vote from space, then you definitely can vote from here on the ground. Make your plan to vote early at https://t.co/20w58Bx9ha.
https://t.co/4CMagOLFfF</t>
  </si>
  <si>
    <t>1321631564850098182</t>
  </si>
  <si>
    <t>Instead of working to help struggling businesses, Washington decided their work was done and went on recess in the middle of this crisis. Washington’s priority should be passing relief to Arizona’s small businesses.
https://t.co/uRtRg5hXGW</t>
  </si>
  <si>
    <t>1321601244301991936</t>
  </si>
  <si>
    <t>COVID-19 has been devastating to Arizonans and Washington made things worse by turning this pandemic into a political issue instead of listening to the experts. We need leaders who believe in science, data, and facts. https://t.co/4vJVAV2EYW</t>
  </si>
  <si>
    <t>1321576727999512576</t>
  </si>
  <si>
    <t>A middle-class family used to be able to live comfortably, but now, the cost of living continues to rise while wages remain stagnant. We have to support working families and make sure everyone has the opportunity to earn a living wage.</t>
  </si>
  <si>
    <t>1321543779447312386</t>
  </si>
  <si>
    <t>The hospital bill from when Scott and I were born was $337. Now, the data tells us that health care spending is 17.7 % of the US economy — triple what it was in February 1964. I’ll work to make health care more affordable for Arizonans in the Senate. https://t.co/HwV1LthllR</t>
  </si>
  <si>
    <t>1321528162816126976</t>
  </si>
  <si>
    <t>Arizona needs an independent voice in the Senate, who won’t get caught up in partisan politics. Can I count on you to chip in $3 today to help us bring independent leadership back to Arizona?
https://t.co/p5kUy9BJiG</t>
  </si>
  <si>
    <t>1321516171384942595</t>
  </si>
  <si>
    <t>Politics shouldn’t be about which party gets the credit. Arizonans want leaders who they know are looking out for them. I’ll be a senator for Arizona.
https://t.co/YxLKE9kBN8</t>
  </si>
  <si>
    <t>1321503043230208000</t>
  </si>
  <si>
    <t>Throwback to my first mission as commander in 2008 with @GabbyGiffords cheering me on. It was my last mission aboard Discovery. https://t.co/VNek5vKTro</t>
  </si>
  <si>
    <t>1321472229826162690</t>
  </si>
  <si>
    <t>I’ve been thinking about my grandparents a lot lately. They wouldn’t have liked Washington playing politics with the benefits they worked so hard to earn. Washington made a promise to seniors, and I’ll make sure they keep it. https://t.co/T5kMF18rVE</t>
  </si>
  <si>
    <t>1321271859388637184</t>
  </si>
  <si>
    <t>When you’re orbiting the Earth at over 17,500 miles per hour and you’ve got a problem, there’s no room for politics – you just work together to solve it. https://t.co/FhSYNver5a</t>
  </si>
  <si>
    <t>1321235734234189824</t>
  </si>
  <si>
    <t>This weekend, @GabbyGiffords and I loved seeing so many Arizonans in Phoenix and Mesa who are ready to elect a senator for Arizona. Honored to have all of you on this mission with us. https://t.co/d7Iq1i7UcF</t>
  </si>
  <si>
    <t>1321203052431302656</t>
  </si>
  <si>
    <t>Growing up the son of two police officers, service always came first. I knew I wanted to serve our country, but I never imagined I’d get to command the space shuttle one day. My hope is that we can reinvent our economy so all Arizonans get the chance to pursue their dreams. https://t.co/Alz4JETGNE</t>
  </si>
  <si>
    <t>1321187926831607809</t>
  </si>
  <si>
    <t>Virtual learning in the pandemic has been a hard transition for many in rural communities, like Eloy. We need to expand high-speed internet access so students and families have access to the tools they need to continue their education at home. https://t.co/IA0QIRcDm7</t>
  </si>
  <si>
    <t>1321169268487016448</t>
  </si>
  <si>
    <t>Arizona needs an independent voice in the Senate who’s willing to work with anyone to get the job done. That’s why I’m proud to have the endorsement of over 100 Republicans from around Arizona. 
https://t.co/eAfYeZOgd2</t>
  </si>
  <si>
    <t>1321153025050693632</t>
  </si>
  <si>
    <t>This election is too important to miss, so it was great to see so many Arizonans fired up and ready to vote early in Phoenix this weekend. Make your plan to vote early at https://t.co/20w58Bx9ha. https://t.co/lt3U6FzWcB</t>
  </si>
  <si>
    <t>1321137777010905090</t>
  </si>
  <si>
    <t>There is no Planet B. So we have to take care of this one.
https://t.co/vxxcYreF8i</t>
  </si>
  <si>
    <t>1321122605122764800</t>
  </si>
  <si>
    <t>Election Day is coming up fast, and we need your help. Can you chip in $3 and help keep this campaign moving #FullSpeedAhead?
https://t.co/w5G7ZdWsfE</t>
  </si>
  <si>
    <t>1321107621114302465</t>
  </si>
  <si>
    <t>Fired up, and ready to go. #FullSpeedAhead https://t.co/EHX7AYSLcA</t>
  </si>
  <si>
    <t>1321099339255607296</t>
  </si>
  <si>
    <t>This is it, Arizona. Today’s the last day recommended by the Secretary of State to send back your mail-in ballot. So what are you waiting for? Put it in your mailbox today! https://t.co/Fq17OIjglk</t>
  </si>
  <si>
    <t>1320925704582656000</t>
  </si>
  <si>
    <t>Thousands of Arizonans have lost their jobs during the pandemic, and Washington has failed to provide our state with the relief folks need to get by. Arizonans need our support — they can’t afford to wait another day.</t>
  </si>
  <si>
    <t>1320909081016594432</t>
  </si>
  <si>
    <t>After coming home from serving our country, too many veterans are struggling to find good-paying jobs. We need to get Arizona veterans the career training resources they need to succeed and support their families.
https://t.co/vlDxaaQnQE</t>
  </si>
  <si>
    <t>1320893931756810242</t>
  </si>
  <si>
    <t>This isn’t just any sandwich. It’s from Baggins — one of more than 550,000 small businesses here in Arizona. In the Senate, I’ll make sure small businesses have the support they need to thrive. https://t.co/51qonkqhEM</t>
  </si>
  <si>
    <t>1320876324919992320</t>
  </si>
  <si>
    <t>This weekend, I spoke with some Arizonans who have battled COVID-19 or lost loved ones to the virus. Their stories are painful, and they also show how the failure of Washington to come up with a coordinated plan cost lives and livelihoods. https://t.co/QdFKfI4H0h</t>
  </si>
  <si>
    <t>1320860435600453632</t>
  </si>
  <si>
    <t>Our small businesses are hurting in the wake of this pandemic, and thousands of Arizonans are out of work. In the Senate, I’ll work to get our economy back on track and reinvent it to work for all Arizonans.
https://t.co/aSnKGpprkw</t>
  </si>
  <si>
    <t>1320845077661380608</t>
  </si>
  <si>
    <t>Partisan politics in Washington have held us back from tackling big issues, like getting COVID-19 relief passed to help Arizonans and our economy. No country is better at tackling tough problems than ours, but we have to work together. https://t.co/XAthwhvn9Z</t>
  </si>
  <si>
    <t>1320824890404958208</t>
  </si>
  <si>
    <t>It was great talking to @SUR_Arizona about the need to push past party politics and restore a reliance on science and data to Washington. https://t.co/waM6GRNY9i</t>
  </si>
  <si>
    <t>1320809077174198272</t>
  </si>
  <si>
    <t>We need to get corporate influence out of Washington, and that starts with electing leaders that represent people — not corporate special interests.</t>
  </si>
  <si>
    <t>1320792841396711424</t>
  </si>
  <si>
    <t>Would I rather fight a hundred duck-sized horses or one horse-sized duck? Take your best guess, and then watch our Fishbowl Q&amp;amp;A to find out if you were right. https://t.co/4DouIy9osb</t>
  </si>
  <si>
    <t>1320760101074923521</t>
  </si>
  <si>
    <t>If Washington is successful in rolling back protections for people with pre-existing conditions, people like Matt could lose more than their health coverage — they could lose their businesses too. https://t.co/FNBOvE5zCJ</t>
  </si>
  <si>
    <t>1320569202223136768</t>
  </si>
  <si>
    <t>Arizonans need quality, affordable health care. I’ve made it a priority in this campaign, and I’ll make it a priority in the Senate. #FullSpeedAhead
https://t.co/5owm6cfCTX</t>
  </si>
  <si>
    <t>1320544041763745792</t>
  </si>
  <si>
    <t>We’re not through this public health crisis yet. Be sure to do your part and #MaskUpAZ.
https://t.co/Pi4pGM8Ssx</t>
  </si>
  <si>
    <t>1320514556142194692</t>
  </si>
  <si>
    <t>It’s crunch time, Arizona. There are only 9 days until Election Day, so pick up the phone, call your family and friends, and make your plan to vote. https://t.co/xAMQ1FxYBS</t>
  </si>
  <si>
    <t>1320457506678820865</t>
  </si>
  <si>
    <t>This pandemic has disproportionately affected women, and women still make less on the dollar than their male counterparts. We have to do better. I was honored to speak to WomanUp AZ with @GabbyGiffords earlier this week. https://t.co/0tl9pdOKv8</t>
  </si>
  <si>
    <t>1320426456514764801</t>
  </si>
  <si>
    <t>No one should face discrimination because of who they are or who they love. In the Senate, I’ll fight for LGBTQ Arizonans, and that starts with passing the Equality Act.
https://t.co/saZZRvRz8P</t>
  </si>
  <si>
    <t>1320187164970266624</t>
  </si>
  <si>
    <t>If you haven’t already voted, there’s no better day to get it done than #VoteEarlyDay.  Whether it’s at the polls or through the mail, don’t miss your chance to make your voice heard in this election. Head to https://t.co/20w58Bx9ha to find your nearest polling location. https://t.co/rs6mu9lvKM</t>
  </si>
  <si>
    <t>1320169374628548608</t>
  </si>
  <si>
    <t>Protections for people with pre-existing conditions aren’t something to play politics with — they’re the difference between whether or not kids like Zoe get the care they need. In the Senate, I’ll fight for Arizonans like Zoe. https://t.co/zTi1ehJKFD</t>
  </si>
  <si>
    <t>1320155771594698752</t>
  </si>
  <si>
    <t>In the middle of a pandemic, we should be expanding access to health care — not undermining it.</t>
  </si>
  <si>
    <t>1320140867751952385</t>
  </si>
  <si>
    <t>As we start to rebuild our economy in the wake of COVID-19, we must go further and reinvent it to make it work for everyone. https://t.co/9bxkDRv5DL</t>
  </si>
  <si>
    <t>1320130048381251584</t>
  </si>
  <si>
    <t>Growing up the son of two police officers, I learned the importance of giving back to your community. They’re why I’ve dedicated my life to public service.
https://t.co/GpFaG2gjYm</t>
  </si>
  <si>
    <t>1320054709739163648</t>
  </si>
  <si>
    <t>Sadly, my snowman-building skills haven't gotten much better living in Arizona. https://t.co/6mOK4O6sJ2</t>
  </si>
  <si>
    <t>1320026321024552960</t>
  </si>
  <si>
    <t>It was great to spend some time traveling across the state and seeing Arizonans fired up and ready for change. We’ve got 10 days to change the direction of this country. And we’re moving #FullSpeedAhead. https://t.co/wKTQWkWWNd</t>
  </si>
  <si>
    <t>1319782284325605376</t>
  </si>
  <si>
    <t>Francisca spends her days fighting to get Latino-owned small businesses in Tucson the support they need. She needs someone in the Senate who will join her in this fight. https://t.co/3woMffLlR3</t>
  </si>
  <si>
    <t>1319762297477238785</t>
  </si>
  <si>
    <t>Today, Patricia fears what life could be like for Max a year from now, with protections for people with pre-existing conditions under threat. In the Senate, I’ll protect Arizonans like Max and make sure they get the care they need.
https://t.co/wZ5MF5uYjq</t>
  </si>
  <si>
    <t>1319747563424157696</t>
  </si>
  <si>
    <t>Arizona, if you’ve still got your mail-in ballot sitting on your coffee table, it’s time to fill it out and send it back! Make sure you get it in the mail by October 27 or drop it in a drop box by Election Day. For more info, go to https://t.co/20w58Bx9ha.</t>
  </si>
  <si>
    <t>1319736198563307520</t>
  </si>
  <si>
    <t>It’s clear — Washington is broken. And Arizonans need an independent voice in the Senate who will look out for them, not corporate interests or party lines. That’s why I’m running.
https://t.co/qNEQzkN59v</t>
  </si>
  <si>
    <t>1319705314925694976</t>
  </si>
  <si>
    <t>Partisan politics made this crisis worse than it should have been, and partisan politicians are not going to lead us out of it. What Arizona needs is independent leadership who will work for them, not corporate interests or party leaders.
https://t.co/THjrCZgjC0</t>
  </si>
  <si>
    <t>1319672211708481538</t>
  </si>
  <si>
    <t>Uranium mining near the Grand Canyon would be harmful to our environment, threaten the Havasupai tribe’s water supply, and jeopardize our economy. I’m proud to say I oppose it.</t>
  </si>
  <si>
    <t>1319656594351816704</t>
  </si>
  <si>
    <t>It was great to talk to @ASU students about the issues most important to young Arizonans. We need to make sure college students have the chance to secure good-paying jobs after graduation. That starts with tackling this public health crisis and rebuilding Arizona’s economy. https://t.co/qNrGB4UTGH</t>
  </si>
  <si>
    <t>1319419555236646913</t>
  </si>
  <si>
    <t>There’s so much on the line this election — lowering the cost of health care, protecting people with pre-existing conditions, and getting our economy back on track. Don’t sit on the sidelines. Make your plan to vote today at https://t.co/20w58Bx9ha. https://t.co/Tvu4Tq4tH4</t>
  </si>
  <si>
    <t>1319418204981055488</t>
  </si>
  <si>
    <t>It’s no secret: Arizona ranks at the bottom of the list for education. I’m the product of public schools. I know how vital they can be to a child’s future. We have to invest in our children and the future of our state. https://t.co/lu1esZxsRX</t>
  </si>
  <si>
    <t>1319417268351057921</t>
  </si>
  <si>
    <t>We’ve got nearly three million Arizonans with pre-existing conditions, Arizonans just like Matt. For many of them, losing their health care coverage means losing their livelihood. That’s not an option.
https://t.co/p6BykHZt1C</t>
  </si>
  <si>
    <t>1319415808217341953</t>
  </si>
  <si>
    <t>There are 28,000 DACA recipients here in Arizona. For many of them, this is the only place they’ve ever called home. Dreamers are just as American as my own two daughters, and they deserve a pathway to citizenship.</t>
  </si>
  <si>
    <t>1319415384106172416</t>
  </si>
  <si>
    <t>As a result of this pandemic, we’ve got thousands of unemployed Arizonans trying to get by on just $240 a week. That’s unacceptable. Washington failed to do its job and come to an agreement, and now, Arizonans are suffering.</t>
  </si>
  <si>
    <t>1319415208176021505</t>
  </si>
  <si>
    <t>When this pandemic started, frontline workers — a large portion of them Latino — kept going to work to provide essential services for our communities. We need to make sure they have the PPE they need to keep themselves and their families safe.</t>
  </si>
  <si>
    <t>1319378009468514304</t>
  </si>
  <si>
    <t>Too many Arizona small businesses still need help, but Washington isn’t taking action. That’s unacceptable. These businesses need our support — now more than ever.</t>
  </si>
  <si>
    <t>1319362848456232960</t>
  </si>
  <si>
    <t>Tuning in to the Univision Forum? Join @RubenGallego and @TucsonRomero for a virtual watch party today at 3:30 PM!
https://t.co/WIemTUTLTw</t>
  </si>
  <si>
    <t>1319341235459457026</t>
  </si>
  <si>
    <t>I spoke with the @AZHCC about the issues I hear about most on the campaign trail, especially for Latino communities. Everyone should have the opportunity to pursue their dream, sometimes that means starting your own business. In the Senate, I’ll support small business owners. https://t.co/IfO5PPNS03</t>
  </si>
  <si>
    <t>1319326020898418693</t>
  </si>
  <si>
    <t>I’m going to need partners in every corner of the state to make sure we’re delivering on the things Arizonans need to thrive. Thankful to have @CesarChavezAZ on this mission.
https://t.co/mbKr4VdNE6</t>
  </si>
  <si>
    <t>1319297707366879233</t>
  </si>
  <si>
    <t>.@GabbyGiffords and I made our plan to vote and got it done early. Have you made your plan yet? Head to https://t.co/20w58BfypC to get it done today. https://t.co/7MNQWyq5q0</t>
  </si>
  <si>
    <t>1319081557835935744</t>
  </si>
  <si>
    <t>I’ve been saying it from the beginning: We need adequate testing to stop the spread of this virus and get Arizonans the care they need.</t>
  </si>
  <si>
    <t>1319065492028493824</t>
  </si>
  <si>
    <t>My mom taught me how to make a plan and accomplish a goal. She spent months training for the fitness test to become one of the first female police officers in our community. I continue to be inspired by her.
https://t.co/CsRCsKXMNV</t>
  </si>
  <si>
    <t>1319046684769304577</t>
  </si>
  <si>
    <t>Want to show that you’re on our mission? Then use one of our new Facebook frames!</t>
  </si>
  <si>
    <t>1318997461591937029</t>
  </si>
  <si>
    <t>Congrats to everyone at @UArizona and @NASA who worked to make this happen. I can’t wait to see what we learn from the samples when OSIRIS-REx makes it back to Earth in 2023.
https://t.co/4MEHaCSumP</t>
  </si>
  <si>
    <t>1318955067253297155</t>
  </si>
  <si>
    <t>From the moment I met @GabbyGiffords, her passion for public service was obvious. She’s taught me so much over the years. Her support on this mission means everything to me. https://t.co/6p5de7j6OE</t>
  </si>
  <si>
    <t>1318937522425266177</t>
  </si>
  <si>
    <t>Arizona — it’s not too late to request a mail-in ballot! It’s a safe and secure way to make sure your vote is counted this year. Submit your request TODAY by going to https://t.co/20w58BfypC.</t>
  </si>
  <si>
    <t>1318738097698336769</t>
  </si>
  <si>
    <t>I always loved having my girls, Claudia and Claire, cheer me on at my space shuttle launches. Proud to have their support on this mission, too. https://t.co/QB3omHTJLt</t>
  </si>
  <si>
    <t>1318698662319386625</t>
  </si>
  <si>
    <t>.@GabbyGiffords and I just voted early and dropped off our mail-in ballots. There’s so much at stake in this election. Make your plan to vote at https://t.co/20w58Bx9ha, and vote early! https://t.co/ewApCBqbfu</t>
  </si>
  <si>
    <t>1318582944202706945</t>
  </si>
  <si>
    <t>While college may not be in everyone’s future, a good-paying job should be. This is our chance to invest in Arizonans by equipping them with the skills they need to get the high-tech jobs of the future. https://t.co/uWzWVWZ3sd</t>
  </si>
  <si>
    <t>1318561980282773506</t>
  </si>
  <si>
    <t>Hey, Arizona. It’s time to vote! You can vote early in-person right now, so there’s no time to wait. Find your nearest early voting location at https://t.co/20w58BfypC.</t>
  </si>
  <si>
    <t>1318537644842848256</t>
  </si>
  <si>
    <t>Arizonans need a leader in the Senate — someone who will listen to them and bring people together. That’s why I’m running. https://t.co/kPMsHxjlYy</t>
  </si>
  <si>
    <t>1318387761351598080</t>
  </si>
  <si>
    <t>1318361639616303104</t>
  </si>
  <si>
    <t>I’m honored to have the support of the @NCPSSM, an organization that has always fought for seniors. In the Senate, I’ll stand up for seniors and defend Social Security and Medicare. https://t.co/DfV5gJMnTX</t>
  </si>
  <si>
    <t>1318330071308906496</t>
  </si>
  <si>
    <t>Every mission I’ve accomplished has been with the help of a team, so we were excited to see so many Arizonans in Phoenix ready to show their support. Together, we’ll elect a senator for Arizona. https://t.co/5tHoaGLyIy</t>
  </si>
  <si>
    <t>1318273016724246528</t>
  </si>
  <si>
    <t>Arizonans don’t care which party gets the credit. They just want a senator who works for them — that's why I’m running. Can I count on you to join our mission and chip in $3 today? 
https://t.co/VKCuKX2xhK</t>
  </si>
  <si>
    <t>1318214391414902786</t>
  </si>
  <si>
    <t>Both of my parents served as police officers in West Orange, New Jersey. They taught me the value of public service, inspiring me to become a combat pilot in the Navy and an astronaut at NASA. https://t.co/od50eum1dn</t>
  </si>
  <si>
    <t>1318024397161025537</t>
  </si>
  <si>
    <t>Forty-eight years ago today, the Clean Water Act was enacted. Water is one of our most precious resources, especially here in Arizona. We have to do more to ensure every Arizonan has access to clean water.</t>
  </si>
  <si>
    <t>1318009241790271489</t>
  </si>
  <si>
    <t>For Arizonans like Sally, Social Security and Medicare are a lifeline. In the Senate, I will stand up and protect these benefits. Seniors have earned them. https://t.co/jYQboPkzlh</t>
  </si>
  <si>
    <t>1317995712668422145</t>
  </si>
  <si>
    <t>Throwback to @GabbyGiffords and I hanging out in Endeavour. She can be my co-pilot any day. https://t.co/a9CrbIKfmE</t>
  </si>
  <si>
    <t>1317964030250713088</t>
  </si>
  <si>
    <t>I’m proud to have the support of over 75 Latino leaders from across Arizona. What’s good for Latino Arizonans is good for all Arizonans — and together, we’ll build an economy that works for everyone. #FullSpeedAhead
https://t.co/b3CsWYclEA</t>
  </si>
  <si>
    <t>1317934507228602368</t>
  </si>
  <si>
    <t>.@GabbyGiffords and I enjoyed seeing so many Arizonans, including @Hiral4Congress, come out to Scottsdale yesterday for some mission gear (aka yard signs). Glad to have them on this mission! #FullSpeedAhead https://t.co/Lfu1XwczJ7</t>
  </si>
  <si>
    <t>1317879388822786051</t>
  </si>
  <si>
    <t>I always enjoy talking with the members of the Arizona Alliance for Retired Americans — proud to have their endorsement on this mission. Our seniors are facing some serious challenges, especially right now, and I’ll fight for them in the Senate. https://t.co/rbJU53o7MF</t>
  </si>
  <si>
    <t>1317850893740576770</t>
  </si>
  <si>
    <t>The issues that face our country right now affect all Arizonans, regardless of political party. And the only way we can solve these problems is by working together. https://t.co/JCaPDzfTD5</t>
  </si>
  <si>
    <t>1317661981290102784</t>
  </si>
  <si>
    <t>Great to stop by Eloy this afternoon to talk with Arizonans about what’s at stake in this election. We need to make sure our small towns and cities, like Eloy, get the support they need to thrive. https://t.co/MllzqQlW77</t>
  </si>
  <si>
    <t>1317634359751397376</t>
  </si>
  <si>
    <t>It’s time for Washington to solve problems, not create more of them. I’ll work to lower the cost of health care and prescription drugs, and I’ll protect coverage for pre-existing conditions. https://t.co/oH98SFEq2D</t>
  </si>
  <si>
    <t>1317604061454061568</t>
  </si>
  <si>
    <t>Imagine having a child who needs life-saving care for the rest of his or her life, constantly worrying that health insurance will no longer cover the care they need. Mothers shouldn’t have to worry about lifetime caps on coverage. That’s why I’m running.
https://t.co/wZ5MF5uYjq</t>
  </si>
  <si>
    <t>1317573509703323648</t>
  </si>
  <si>
    <t>Watching my mom work so hard to become one of the first woman police officers in northern New Jersey really motivated me. I took my public school education to the Merchant Marine Academy, which set me on my path to the Navy and then the astronaut corps. https://t.co/YDo0MfYHmn</t>
  </si>
  <si>
    <t>1317498532580962310</t>
  </si>
  <si>
    <t>Rebuilding our economy starts with making sure we’re doing everything we need to support working Arizonans. Job skills training, affordable education, and creating good-paying jobs — it all has to be a part of the plan. https://t.co/4FIxOu2QHD</t>
  </si>
  <si>
    <t>1317241449671393280</t>
  </si>
  <si>
    <t>Politics should be about people — not money. That’s why I’ve refused to take a dime of corporate PAC money on this campaign. In the Senate, Arizonans will know I’m working for them. https://t.co/PEc187faH3</t>
  </si>
  <si>
    <t>1317215348504981504</t>
  </si>
  <si>
    <t>In the US Navy, I fought for everybody. And that’s exactly what I plan to do in the Senate. I’ll fight to make sure LGBTQ Americans have the same rights and protections as every other American. And that starts with passing the Equality Act. https://t.co/oOkMKDUHlE</t>
  </si>
  <si>
    <t>1317180581512237057</t>
  </si>
  <si>
    <t>Ballots are already appearing in mailboxes across Arizona. If you’re requested a mail-in ballot, check your mailbox today! And if not, there’s still time. Just go to https://t.co/20w58Bx9ha to request yours. https://t.co/lpqKDiA17Y</t>
  </si>
  <si>
    <t>1317138515897901056</t>
  </si>
  <si>
    <t>When I was in the Navy and at NASA, I learned the importance of working together to complete the mission. That’s why I need your help. Chip in $3 today and join our mission.
https://t.co/CfSyxRYt9H</t>
  </si>
  <si>
    <t>1317088715806736387</t>
  </si>
  <si>
    <t>The countdown to launch has started. Are you ready, Arizona?
🔊: @ciara https://t.co/9hU2YYB6oZ</t>
  </si>
  <si>
    <t>1316937129000316929</t>
  </si>
  <si>
    <t>Yesterday, I spoke with Latino small business owners about the struggles they’ve faced during this pandemic. Supporting small businesses, including Arizona’s more than 100,000 Latino-owned small businesses, is critical to rebuilding Arizona’s economy. https://t.co/nbY1pX7uKa</t>
  </si>
  <si>
    <t>1316881922979586050</t>
  </si>
  <si>
    <t>#TBT to my days on the USS Midway, my second favorite naval ship. (My first is obviously the USS Gabrielle Giffords.) https://t.co/ohF7VW8C1Y</t>
  </si>
  <si>
    <t>1316802045395963905</t>
  </si>
  <si>
    <t>Our grocery store workers and pharmacy employees have put themselves on the frontlines of this pandemic. We need to do more to protect them and make sure they’re compensated fairly. https://t.co/dTzvG2KHnX</t>
  </si>
  <si>
    <t>1316560585249546240</t>
  </si>
  <si>
    <t>Our health care system has been failing Latino communities for a long time, and the pandemic has only made things worse. In the Senate, I will always listen to Arizonans to understand the challenges that they face, so I can best serve them in Washington. https://t.co/9b3nY59C0b</t>
  </si>
  <si>
    <t>1316514971400855552</t>
  </si>
  <si>
    <t>The science is clear: masks are helping slow the spread of COVID-19 and save lives. We can’t let up now, so make sure to #MaskUpAZ.
https://t.co/EJZqHnCjpC</t>
  </si>
  <si>
    <t>1316485096145186816</t>
  </si>
  <si>
    <t>Twenty days. One @MissionForAZ. Join us. https://t.co/Vw1TOgh65x</t>
  </si>
  <si>
    <t>1316440010330169360</t>
  </si>
  <si>
    <t>Arizonans don’t care which party gets the credit. They just want a senator who works for them — that's why I’m running. Can I count on you to join our mission and chip in $3 today? 
https://t.co/tsw0jv3Mne</t>
  </si>
  <si>
    <t>1316209976000512000</t>
  </si>
  <si>
    <t>The @USNavy was created 245 years ago today. I was honored to serve alongside so many brave sailors and aviators, united in our mission to defend this country. https://t.co/dWs5TMTR7x</t>
  </si>
  <si>
    <t>1316170698784534530</t>
  </si>
  <si>
    <t>More than 1 million Arizonans receive Social Security. They’ve paid into it. They’ve earned it. Some in Washington are pushing plans that threaten Social Security. That’s something I’ll never do.</t>
  </si>
  <si>
    <t>1316147036140396545</t>
  </si>
  <si>
    <t>Tomorrow, I’ll be having a virtual discussion with Latino leaders from across Arizona to discuss how the pandemic is affecting Latino communities and the resources needed to get through this crisis. Sign up to join me.
https://t.co/Jn0wdq66hh</t>
  </si>
  <si>
    <t>1316048310629617664</t>
  </si>
  <si>
    <t>I’ve refused to take a dime from corporate PACs, because this campaign is about Arizonans — like you. Can I count on you to join our mission and chip in today?
https://t.co/VFNOSgGV8P</t>
  </si>
  <si>
    <t>1316001447847161856</t>
  </si>
  <si>
    <t>I couldn't do this without you. https://t.co/vy2Qulia2e</t>
  </si>
  <si>
    <t>1315822598526181376</t>
  </si>
  <si>
    <t>Arizona families have been hurting for months because of the pandemic, and the Senate still hasn’t come together to pass additional relief. This can’t be put off because of politics — struggling families need support now.
https://t.co/XNnI2A50Zw</t>
  </si>
  <si>
    <t>1315790420912218112</t>
  </si>
  <si>
    <t>Arizona is home to 22 tribal nations, each with its own unique history and traditions. We celebrate them this #IndigenousPeoplesDay. https://t.co/f2LJmCqu7l</t>
  </si>
  <si>
    <t>1315777750330871809</t>
  </si>
  <si>
    <t>.@GabbyGiffords and I were sad to hear the news about Roberta McCain’s passing. What a remarkable life she lived. We’re thinking of her and the entire McCain family today.
https://t.co/IsNyQkpN2S</t>
  </si>
  <si>
    <t>1315734904164937728</t>
  </si>
  <si>
    <t>For me, today is about committing to meeting those obligations to tribal nations through a strong relationship that is grounded in respect for sovereignty. In the Senate, I’ll work to ensure that Indigenous people have equal opportunities to succeed.</t>
  </si>
  <si>
    <t>1315734903388946433</t>
  </si>
  <si>
    <t>While we celebrate this day, it’s important that we also recognize where the federal government has fallen short of its responsibilities and treaties to tribal communities — on everything from education and housing to infrastructure and healthcare.</t>
  </si>
  <si>
    <t>1315734902281707520</t>
  </si>
  <si>
    <t>Today on #IndigenousPeoplesDay, we honor and celebrate the contributions of Indigenous people across Arizona. Our state’s history and culture are forever intertwined with that of the Indigenous peoples who have lived here for centuries. https://t.co/BJU7rQW4iB</t>
  </si>
  <si>
    <t>1315688186350243840</t>
  </si>
  <si>
    <t>There is just too much red tape that stands between veterans and the resources and care they’ve earned. Our veterans have given so much to our country — we have to do better. https://t.co/uO7Eu9kVi5</t>
  </si>
  <si>
    <t>1315486342277722112</t>
  </si>
  <si>
    <t>It’s time to check your mailbox, Arizona. Mail-in ballots are being sent out, and yours could arrive any day now. Make sure to return it as early as possible!</t>
  </si>
  <si>
    <t>1315470379977191424</t>
  </si>
  <si>
    <t>Great to see so many folks come out in Maryvale and get their yard signs! Proud to have so many Arizonans on this mission. We’re moving #FullSpeedAhead for the next 23 days! https://t.co/hFWtMUULxh</t>
  </si>
  <si>
    <t>1315457406470586369</t>
  </si>
  <si>
    <t>It takes a lot of courage to openly be yourself, especially when others might not accept you. Today on #NationalComingOutDay, we recognize that courage and celebrate those who’ve shown it. Together, we can build a more equal and inclusive America.</t>
  </si>
  <si>
    <t>1315435921966280704</t>
  </si>
  <si>
    <t>Last month, I talked with caregivers from around Arizona about the issues they face — everything from the lack of paid family leave to inadequate access to health care in rural areas. We have to do more to support caregivers who are taking care of their loved ones. https://t.co/PbB8g8tDhp</t>
  </si>
  <si>
    <t>1315323374495817729</t>
  </si>
  <si>
    <t>For Patricia and her son Max, who has a congenital heart condition, health care reform was life-changing. But now those reforms are under threat. In the Senate, I’ll defend protections for people with pre-existing conditions, like Max. https://t.co/COgOiP5hUI</t>
  </si>
  <si>
    <t>1315117860352524288</t>
  </si>
  <si>
    <t>So many mothers, like Patricia, have to fight so that their children can get the health care they need. We need to lower the cost of health care for Arizona families — like Patricia’s. If elected to the Senate, I’ll fight for Arizonans like her and Max.
https://t.co/wZ5MF5uYjq</t>
  </si>
  <si>
    <t>1315083075353669632</t>
  </si>
  <si>
    <t>This Halloween will be spooky for another reason. We’ll have a blue moon in Arizona — the first one since 2018!
https://t.co/J793kObj3I</t>
  </si>
  <si>
    <t>1315060999293075457</t>
  </si>
  <si>
    <t>Make sure you cast your vote as early as you can, whether that’s voting early in-person or through the mail. To make your plan to vote early, head to https://t.co/20w58Bx9ha today. https://t.co/IaYppRexJR</t>
  </si>
  <si>
    <t>1315044783518175232</t>
  </si>
  <si>
    <t>On #WorldMentalHealthDay, let’s remember: mental health resources are an essential part of quality, affordable health care. And every Arizonan deserves access to them.</t>
  </si>
  <si>
    <t>1315007395429457920</t>
  </si>
  <si>
    <t>Never before seen: one of my photos from the ISS that proves aliens exist! Click here to see it: https://t.co/GUueAqKhmP</t>
  </si>
  <si>
    <t>1314957361744928768</t>
  </si>
  <si>
    <t>Arizona seniors have been hit hard by coronavirus and their retirement and savings are on the line. Cutting Social Security and Medicare needs to be off the table. https://t.co/E5L8WPyBcL</t>
  </si>
  <si>
    <t>1314703985014579200</t>
  </si>
  <si>
    <t>If you’re looking for the latest news from the campaign, I’ve got just the thing for you. Text MISSION to 98478 to get updates and info on how you can help keep this campaign moving #FullSpeedAhead. https://t.co/829k5QbzDM</t>
  </si>
  <si>
    <t>1314629254773010432</t>
  </si>
  <si>
    <t>We need Washington to work together to solve problems and improve people’s lives. That’s exactly what I want to do for Arizona in the Senate. Can you chip in $3 today to help me get there?
https://t.co/X9nsCuRemY</t>
  </si>
  <si>
    <t>1314602481997893632</t>
  </si>
  <si>
    <t>Nine years ago this week, I retired from NASA. Even though it was one of the best jobs I've ever had, I'm ready for my next mission: serving Arizonans in the Senate. https://t.co/LOpfW15YJr</t>
  </si>
  <si>
    <t>1314385712934862848</t>
  </si>
  <si>
    <t>We need to fight climate change with science, data, and facts.
https://t.co/vxxcYreF8i</t>
  </si>
  <si>
    <t>1314303299806355456</t>
  </si>
  <si>
    <t>With over 5,000 Arizonans lost to COVID-19, it’s important to remember that each and every person had their own story. We need to keep working to slow the spread of this virus.
https://t.co/ZSw3giYkpy</t>
  </si>
  <si>
    <t>1314251154872827904</t>
  </si>
  <si>
    <t>#TBT to my first launch. Walking up the shuttle for the first time was the most intimidating thing I’ve ever done — that is, until I decided to run for the United States Senate. https://t.co/up3l0ft4bb</t>
  </si>
  <si>
    <t>1313993918254518273</t>
  </si>
  <si>
    <t>I'm really honored to have the endorsement of my local paper, the @TucsonStar.
https://t.co/6jGhW7isGd</t>
  </si>
  <si>
    <t>1313968621857587200</t>
  </si>
  <si>
    <t>With Arizonans starting to vote this week, it was great to get on the debate stage and talk about the issues Arizonans care about. If you missed it, check out some of the highlights from last night.
https://t.co/brbQjwOyZA</t>
  </si>
  <si>
    <t>1313932360803524608</t>
  </si>
  <si>
    <t>I’ve heard firsthand from folks across Arizona about the issues they’re dealing with every day. They need an independent voice in the Senate who will fight for them the way they fight for their families. I plan to be that voice.
https://t.co/aMTlMqGGV0</t>
  </si>
  <si>
    <t>1313906509084946432</t>
  </si>
  <si>
    <t>Right now, America is facing a health crisis, an economic crisis, and a crisis of leadership. That's why I'm running for Senate — to restore science, data, and facts back to Congress so we can solve the tough problems Arizonans face every day. https://t.co/VsCDekImM1</t>
  </si>
  <si>
    <t>1313888848682778624</t>
  </si>
  <si>
    <t>Today is the first day of early voting, Arizona. Find out when and where you can vote at https://t.co/20w58Bx9ha. https://t.co/XIb3irrXLD</t>
  </si>
  <si>
    <t>1313828646692425729</t>
  </si>
  <si>
    <t>The journey wasn't mine alone. 
Join me for the final 27 days. https://t.co/cPyEP6e6RI</t>
  </si>
  <si>
    <t>1313702801990656000</t>
  </si>
  <si>
    <t>I just got off the debate stage, and I’m fired up. I’m ready to go to the Senate and fight for everyday Arizonans, but I need your help to get there. Can you chip in $5 and join our mission? Together, we’re moving #FullSpeedAhead!
https://t.co/UxV810SK38 https://t.co/fp2D1WFWg4</t>
  </si>
  <si>
    <t>1313692927697321984</t>
  </si>
  <si>
    <t>Whether you’re an Independent, a Republican, or a Democrat, I’m asking for your vote. Our country is facing serious challenges right now, but I know we can solve them if we work together. https://t.co/S14UmFWx66</t>
  </si>
  <si>
    <t>1313688991804383232</t>
  </si>
  <si>
    <t>There is no Planet B. So we have to do a better job of taking care of this one. https://t.co/Y0SyhqfmTl</t>
  </si>
  <si>
    <t>1313686688992911364</t>
  </si>
  <si>
    <t>At NASA, as commander of two space shuttle missions, I learned how to lead a team of people from all walks of life to complete the mission. I’ll use that experience in the Senate to get things done for Arizonans. 
https://t.co/lJQxgGBnk1</t>
  </si>
  <si>
    <t>1313683222916669440</t>
  </si>
  <si>
    <t>I’m married to a woman who was the victim of gun violence. I know what’s at stake. I’m a gun owner who believes in the Second Amendment. I also believe in commonsense measures, like universal background checks, which will keep our communities safer.</t>
  </si>
  <si>
    <t>1313681734626684930</t>
  </si>
  <si>
    <t>Dreamers are just as American as my own daughters. They deserve leaders who will be honest with them, not someone who promises to support them and then changes their mind when it's no longer politically convenient. https://t.co/1IjIHl6N8t</t>
  </si>
  <si>
    <t>1313681562567753729</t>
  </si>
  <si>
    <t>I’ve heard from too many Arizonans struggling to get by because of the high costs of prescription drugs. No one should have to choose between paying their utility bills or buying the medication they desperately need. https://t.co/0ba4OnXusp</t>
  </si>
  <si>
    <t>1313678742175256579</t>
  </si>
  <si>
    <t>Health care is personal for me. When my wife, @GabbyGiffords, was shot in 2011, we were lucky she had good health insurance to get the care she needed to save her life. And it’s time we make health care affordable for all Arizonans. https://t.co/8H0731Zf4h</t>
  </si>
  <si>
    <t>1313677378950852608</t>
  </si>
  <si>
    <t>The science is clear: Climate change is real, and we’re already seeing the effects of it. We can’t let partisan politics get in the way of fighting it.
https://t.co/vxxcYreF8i</t>
  </si>
  <si>
    <t>1313675299461173253</t>
  </si>
  <si>
    <t>To tens of thousands of DACA recipients here in Arizona, this is the only place that they have ever called home. They are just as American as my own kids, and they deserve a pathway to citizenship.</t>
  </si>
  <si>
    <t>1313673069970567170</t>
  </si>
  <si>
    <t>Arizonans already know they can’t trust Martha McSally. She’s voted time and time again to gut protections for pre-existing conditions. Arizonans need an independent voice in the Senate and that's what I'll be.</t>
  </si>
  <si>
    <t>1313671682503008256</t>
  </si>
  <si>
    <t>Patricia has fought for 19 years to keep her son alive. She deserves a senator who will fight alongside her and defend protections for Arizonans with pre-existing conditions. https://t.co/w1izd9vkTR</t>
  </si>
  <si>
    <t>1313670810595332096</t>
  </si>
  <si>
    <t>Nearly three million Arizonans have a pre-existing condition — and I’ll fight for every single one of them in the Senate. https://t.co/VA7FXUcgOV</t>
  </si>
  <si>
    <t>1313670558265999363</t>
  </si>
  <si>
    <t>Even in the middle of a pandemic, Washington is still pushing to eliminate protections for people with pre-existing conditions. Arizonans deserve leaders who will protect their health care, and that’s exactly what I’ll do. https://t.co/vbkQuIBSIv</t>
  </si>
  <si>
    <t>1313669641265319936</t>
  </si>
  <si>
    <t>In the Senate, I’ll fight for Arizonans like Zoe — not vote to take their protections away. https://t.co/jlPvZtpD3z</t>
  </si>
  <si>
    <t>1313668402838265857</t>
  </si>
  <si>
    <t>You can’t trust Martha McSally to be honest about her record on health care. Text TRUTH to 98478 to learn the truth about her real record. https://t.co/8xtSpJ4WLA</t>
  </si>
  <si>
    <t>1313667906216042497</t>
  </si>
  <si>
    <t>I’ve been saying it from the very beginning: We need independent leadership who will follow the science to combat this virus. Not a senator who will ignore the facts and put Arizonans at risk. https://t.co/Ej6LtrO57F</t>
  </si>
  <si>
    <t>1313667491344728064</t>
  </si>
  <si>
    <t>No one should go bankrupt trying to get the care they need. We need to lower the cost of health care and expand access for Arizonans.
https://t.co/abx3rlUPJI</t>
  </si>
  <si>
    <t>1313665819143016454</t>
  </si>
  <si>
    <t>If elected, I will do what’s in the best interest of Arizonans and our country. Period.</t>
  </si>
  <si>
    <t>1313664065152061441</t>
  </si>
  <si>
    <t>Arizonans can’t trust Senator McSally to protect their access to health care, but don’t take my word for it — just look at her record. She’s voted time and time again to gut protections for people with pre-existing conditions. https://t.co/XtIoiGBMhK</t>
  </si>
  <si>
    <t>1313662047276597249</t>
  </si>
  <si>
    <t>Spending 25 years in the Navy and at NASA, I know what it takes to lead a team to get the job done. That’s what I’ll do in Washington, too.
https://t.co/YxLKE9kBN8</t>
  </si>
  <si>
    <t>1313648855494225921</t>
  </si>
  <si>
    <t>Soon, I’ll be speaking directly to millions of Arizonans about what’s at stake in this election. Tune in. #AZSen</t>
  </si>
  <si>
    <t>1313632438988533760</t>
  </si>
  <si>
    <t>We know Martha McSally is going to try to misrepresent her votes on your health care in tonight's debate. Don’t let her get away with it. Text TRUTH to 98478 to get the truth on her health care record. https://t.co/zKzylSDi7x</t>
  </si>
  <si>
    <t>1313607338591358976</t>
  </si>
  <si>
    <t>In case you missed it, we just launched our Mission Manual. It’s your go-to resource for everything you need to support our mission online.
https://t.co/GFuikIZXRE</t>
  </si>
  <si>
    <t>1313570567954460673</t>
  </si>
  <si>
    <t>I’m running to restore a reliance on science, data, and facts to Congress, but I can’t do it without your help. Can you chip in $3 today?
https://t.co/grk44oQJEj</t>
  </si>
  <si>
    <t>1313548490933374976</t>
  </si>
  <si>
    <t>Tonight, I’ll take the debate stage to talk directly to Arizonans about the issues most important to them this election. Catch all the action by texting DEBATE to 98478. https://t.co/DZhr2XZyue</t>
  </si>
  <si>
    <t>1313524284711550976</t>
  </si>
  <si>
    <t>Arizona deserves an independent voice who can take on and solve big challenges. That's why I’m running for Senate.
https://t.co/fgL03GwcRT</t>
  </si>
  <si>
    <t>1313283286064529408</t>
  </si>
  <si>
    <t>A homelessness crisis has been looming for months, and Washington still hasn’t passed the relief Arizonans need. We need to help every Arizonan keep a roof over their head right now.
https://t.co/pepDX5mJlr</t>
  </si>
  <si>
    <t>1313201729677086720</t>
  </si>
  <si>
    <t>Arizona is home to some of the most unique places in the world. We have to protect them for generations to come.
https://t.co/vxxcYreF8i</t>
  </si>
  <si>
    <t>1313170700513861634</t>
  </si>
  <si>
    <t>With less than a month to go to Election Day, every little bit helps. Can you chip in $3 today to keep this campaign moving #FullSpeedAhead?
https://t.co/MNJDFe3brq</t>
  </si>
  <si>
    <t>1313147462413160453</t>
  </si>
  <si>
    <t>TODAY is the last day to register to vote here in Arizona. If you need to register for the first time or update your address, head to https://t.co/20w58BfypC today.</t>
  </si>
  <si>
    <t>1312905772355919877</t>
  </si>
  <si>
    <t>Folks, early voting starts this week, and we need your help to accomplish this mission. Call or text AZ voters with @MissionForAZ by signing up for a shift at https://t.co/8RKqOXt7te.</t>
  </si>
  <si>
    <t>1312878162561261568</t>
  </si>
  <si>
    <t>About time.
https://t.co/efIOBaGVTH</t>
  </si>
  <si>
    <t>1312815561378689024</t>
  </si>
  <si>
    <t>Tomorrow is the last day to register to vote for the upcoming election in Arizona. If you aren’t already registered, make sure to get it done today. Take a few minutes and head to https://t.co/20w58Bx9ha right now. https://t.co/3d3VJrgHDa</t>
  </si>
  <si>
    <t>1312776804269080577</t>
  </si>
  <si>
    <t>I’ve learned a lot about our health care system. From driving an ambulance in high school, to watching @GabbyGiffords’ fight for her own recovery, I know the challenges. In the Senate, I’ll make sure our health care system works for all Arizonans. https://t.co/U2jnnTPh3o</t>
  </si>
  <si>
    <t>1312528431305850880</t>
  </si>
  <si>
    <t>We need a senator who will fight to protect Arizona’s landscape, preserving its beauty for future generations. https://t.co/GLIiaBaCLX</t>
  </si>
  <si>
    <t>1312496515001143297</t>
  </si>
  <si>
    <t>These @MissionForAZ volunteers are the heart and soul of this campaign. With one month left until Election Day, the work that they’re doing calling voters could make the difference in this election. #FullSpeedAhead https://t.co/BEIP3W8LWN</t>
  </si>
  <si>
    <t>1312444797345382400</t>
  </si>
  <si>
    <t>This campaign is fueled by our grassroots supporters, people like you. Can you chip in $4 to keep our people-powered campaign moving #FullSpeedAhead? 
https://t.co/nwXSGvIxHe</t>
  </si>
  <si>
    <t>1312392110478446598</t>
  </si>
  <si>
    <t>Senator @KyrstenSinema knows that Arizonans need an independent voice representing them in the Senate. https://t.co/quSlnyMAj5</t>
  </si>
  <si>
    <t>1312180586824429568</t>
  </si>
  <si>
    <t>Between the cost of health care and infrastructure needs on tribal lands, we have serious issues that need to be addressed. And I’ll work with anyone, Republican or Democrat, to solve problems for Arizonans. https://t.co/5jvbsnXNCw</t>
  </si>
  <si>
    <t>1323733772244799488</t>
  </si>
  <si>
    <t>If the Democrats win, they want to turn America into a socialist state.
I need you to stand with me to make sure the road to socialism NEVER runs through the state of Georgia. 
GO VOTE! #GAsen #gapol https://t.co/i2QRkivrYh</t>
  </si>
  <si>
    <t>1323658199069851648</t>
  </si>
  <si>
    <t>In my six years in the Senate, I’ve traveled all across this state from Hahira to Hiawassee, and I’m proud of my record of delivering results for ALL Georgians.
Together we’ll make sure the road to socialism will never run through the state of Georgia! #GAsen #gapol https://t.co/dHc8dgSOod</t>
  </si>
  <si>
    <t>1323609013255360512</t>
  </si>
  <si>
    <t>Georgia, the polls are officially open, and the future direction of our country is at stake!
GO VOTE! 
Find your polling place here: https://t.co/3EJ7LAGEay
#GAsen #gapol</t>
  </si>
  <si>
    <t>1323444924956725248</t>
  </si>
  <si>
    <t>Let's make sure the road to socialism never runs through the state of Georgia.  VOTE! #GASen #gapol https://t.co/k22yiScEsk</t>
  </si>
  <si>
    <t>1323373494923657216</t>
  </si>
  <si>
    <t>Jon @Ossoff's shady business deals with a company owned by the communist Chinese government, and his attempts to hide it from Georgia voters show he lacks the trust and judgement needed to represent ALL Georgia. #GAsen #gapol https://t.co/tzZVO4Q113</t>
  </si>
  <si>
    <t>1323344285668954115</t>
  </si>
  <si>
    <t>My opponent’s campaign has been bankrolled by out-of-state liberals from California, New York, &amp;amp; DC. Almost 90% of his contributions come from outside Georgia. Make no mistake about it, Ossoff would do the bidding of his far-left donors, not the people of Georgia. #GAsen #gapol https://t.co/VgJMecz3Vy</t>
  </si>
  <si>
    <t>1323328699589079045</t>
  </si>
  <si>
    <t>The #PaycheckProtectionProgram was a lifeline for Georgia workers and business, saving more than 1.5 million jobs across the state.
Jon @Ossoff opposed #PPP, even while his own father used a #PPP loan to keep his company afloat. #GAsen #gapol
https://t.co/afDgVqBl6f</t>
  </si>
  <si>
    <t>1323318145998901248</t>
  </si>
  <si>
    <t>Jon @Ossoff's healthcare plan would put 43 rural Georgia hospitals at risk of closing in the middle of a pandemic. He doesn’t care about the people of Georgia; he just wants power. #GAsen #gapol https://t.co/QFZ2yyeiNP</t>
  </si>
  <si>
    <t>1323014523381534721</t>
  </si>
  <si>
    <t>Before #COVID, I helped @realdonaldtrump lead the greatest economic turnaround our country has ever seen. @JoeBiden and Jon @Ossoff’s economic agenda would wreck our economy and hurt families in Georgia and across the country. #GAsen #gapol https://t.co/u92UWU7qgI</t>
  </si>
  <si>
    <t>1322930672395341826</t>
  </si>
  <si>
    <t>Jon @Ossoff would be nothing more than a rubber stamp for Chuck Schumer, Nancy Pelosi, and Joe Biden’s radical socialist agenda. #GAsen #gapol https://t.co/smEuLzmtAd</t>
  </si>
  <si>
    <t>1322661024236032006</t>
  </si>
  <si>
    <t>Jon @Ossoff supported a plan that would have closed 2 military bases in Georgia and cost over 26,000 jobs. We won’t be able to stand up to our adversaries abroad if Democrats defund our military like they want to defund our police. #GAsen #gapol https://t.co/mzJSQdYPkC</t>
  </si>
  <si>
    <t>1322603940110893056</t>
  </si>
  <si>
    <t>Jon @Ossoff is lying to Georgians about his business ties to a media firm owned by the communist Chinese Government. He left it off his personal financial disclosure forms, then quietly updated them after a competitive primary. #GAsen #gapol https://t.co/lKiUoADm2V</t>
  </si>
  <si>
    <t>1322551877108699137</t>
  </si>
  <si>
    <t>Jon @Ossoff’s healthcare plan would put 43 rural Georgia hospitals at risk of closing. #GAsen #gapol https://t.co/cRsvi0aV8w</t>
  </si>
  <si>
    <t>1322530549928497152</t>
  </si>
  <si>
    <t>Jon @Ossoff has repeatedly denied his shady business ties to communist Chinese Government, but we have the proof. #GAsen #gapol https://t.co/7lpqA9aTHE</t>
  </si>
  <si>
    <t>1322335735647768576</t>
  </si>
  <si>
    <t>Last week, Chuck Schumer and Senate Dems blocked a $500 billion targeted #COVID relief bill, and Jon @Ossoff said nothing. He doesn’t care about Georgians, he just wants power. #GAsen #gapol https://t.co/bZC1Mi1RVx</t>
  </si>
  <si>
    <t>1322272988843167744</t>
  </si>
  <si>
    <t>Jon @Ossoff won’t hold China accountable. He lied to the people of Georgia about his business ties to PCCW, a company owned by the communist Chinese government. We have the proof, Jon. #GAsen #gapol https://t.co/MSG5tqHy9m</t>
  </si>
  <si>
    <t>1322211491169394688</t>
  </si>
  <si>
    <t>Jon @Ossoff is lying to the people of Georgia about his shady business ties to the communist Chinese government, but we have the proof. #GAsen #gapol https://t.co/RW5veqTKCb</t>
  </si>
  <si>
    <t>1321953097581809665</t>
  </si>
  <si>
    <t>Final stop of the day in Forsyth! Thanks to everyone who came out to show their support! #GAsen #gapol https://t.co/Kvg0OWdOXg</t>
  </si>
  <si>
    <t>1321935292778074112</t>
  </si>
  <si>
    <t>Great to see so many folks come out in CSRA earlier this week! Make sure to make a plan and GO VOTE! #GAsen #gapol https://t.co/bNJNjRa79D</t>
  </si>
  <si>
    <t>1321922823997263877</t>
  </si>
  <si>
    <t>The Original Outsider bus tour is coming to a town near you! We are traveling over 2,000 miles across Georgia to talk to voters about my proven agenda and record of delivering results for all Georgians!
Event details below. #GAsen #gapol https://t.co/AvT0QlQ54Z</t>
  </si>
  <si>
    <t>1321921275011489793</t>
  </si>
  <si>
    <t>6:00PM in Talking Rock! #GAsen #gapol https://t.co/Zv8aX9aY65</t>
  </si>
  <si>
    <t>1321921269646974976</t>
  </si>
  <si>
    <t>4:15PM in Chatsworth! #GAsen #gapol https://t.co/gdtfzk16PW</t>
  </si>
  <si>
    <t>1321921264571789318</t>
  </si>
  <si>
    <t>2:15 in Fort Oglethorpe! #GAsen #gapol https://t.co/qsHfZYK6dq</t>
  </si>
  <si>
    <t>1321921259089891328</t>
  </si>
  <si>
    <t>12:30PM in Rome! #GAsen #gapol https://t.co/zRyoCUAHO7</t>
  </si>
  <si>
    <t>1321921253809205248</t>
  </si>
  <si>
    <t>9:30AM in LaGrange! #GAsen #gapol https://t.co/DrcMPpoIA0</t>
  </si>
  <si>
    <t>1321921248633507840</t>
  </si>
  <si>
    <t>8:OOAM in Columbus! #GAsen #gapol https://t.co/91ELUo9V2h</t>
  </si>
  <si>
    <t>1321912733437169668</t>
  </si>
  <si>
    <t>Great to see so many supporters out in Valdosta! Georgia voters know how critical this election is, and they’re fired up to protect our Senate majority and send @realdonaldtrump back to the White House! #GAsen #gapol https://t.co/Dh6hyMtHVj</t>
  </si>
  <si>
    <t>1321903636335726594</t>
  </si>
  <si>
    <t>We’ll never be able to stand up to our adversaries abroad if Democrats defund our military like they want to defund our police. #GAsen #gapol https://t.co/faSKUBIlX7</t>
  </si>
  <si>
    <t>1321899269574463489</t>
  </si>
  <si>
    <t>Stop #2 in Ware County! #GAsen #gapol https://t.co/S27CmBd82P</t>
  </si>
  <si>
    <t>1321877958404038657</t>
  </si>
  <si>
    <t>Jon @Ossoff doesn’t want to talk about the $47 billion in #COVID relief I helped deliver for all Georgians because he opposed it. #GAsen #gapol https://t.co/fl7TqyBQFt</t>
  </si>
  <si>
    <t>1321864675064193030</t>
  </si>
  <si>
    <t>After a great debate victory last night in Savannah, were back on the road for the Original Outsider bus tour! First stop in Brunswick! #GAsen #gapol https://t.co/wmmYkpSoNU</t>
  </si>
  <si>
    <t>1321635641864716289</t>
  </si>
  <si>
    <t>No better way to celebrate a debate victory than at @wafflehouse with Bonnie! #GAsen #gapol https://t.co/coN6puOKEf</t>
  </si>
  <si>
    <t>1321617531241697282</t>
  </si>
  <si>
    <t>I want to thank @WTOC11, @WALBNews10, @WRDW_WAGT, &amp;amp; @WCTV, for the opportunity to share our real results from the past 6 years with all Georgians and to demonstrate the clear contrast in this election. #GAsen #gapol</t>
  </si>
  <si>
    <t>1321616301438177287</t>
  </si>
  <si>
    <t>This race is about more than me and Jon @Ossoff. This race is about the future direction of our Nation.
If the Democrats win they want to turn American into a socialist country, and Jon Ossoff would be nothing more than a rubber stamp for that dangerous agenda. #GAsen #gapol https://t.co/3mLR4CZDqg</t>
  </si>
  <si>
    <t>1321602789680812032</t>
  </si>
  <si>
    <t>The contrast in this election could not be more clear. #GAsen #gapol https://t.co/prhpdGWUlY</t>
  </si>
  <si>
    <t>1321602294169915392</t>
  </si>
  <si>
    <t>Georgians want #SCOTUS Justices who apply law, not make law. I was proud to support the historic nomination of Justice Amy Coney Barrett to our nation’s highest court, and I have no doubt she will be an exceptional Justice and approach each case with an open mind. #gapol https://t.co/VCgNHUtqoj</t>
  </si>
  <si>
    <t>1321600724405493760</t>
  </si>
  <si>
    <t>Jon Ossoff supported a plan that would have closed 2 military bases in Georgia and cut 26,000 jobs. #GAsen #gapol https://t.co/5nW3WVApvs</t>
  </si>
  <si>
    <t>1321600297387569152</t>
  </si>
  <si>
    <t>Growing up in a military town, I understand the vital role our military plays in Georgia and across the country. I will always fight for our men and women in uniform. #GAsen #gapol https://t.co/TLeT9gMirA</t>
  </si>
  <si>
    <t>1321599862450868225</t>
  </si>
  <si>
    <t>Since the onset of #COVID19, I’ve fought to deliver critical resources to Georgia to help slow the spread of this virus. I worked to pass the bipartisan #CARESact, which has been a lifeline to small businesses, healthcare workers, and families across the state
of Georgia #GApol https://t.co/W8Rkn4XxuV</t>
  </si>
  <si>
    <t>1321599605826560008</t>
  </si>
  <si>
    <t>Jon @Ossoff opposed the #PaycheckProtectionProgram that has saved over 1.5 million Georgia jobs, even as his own father’s business took out a PPP loan. #GAsen #gapo
https://t.co/afDgVqBl6f</t>
  </si>
  <si>
    <t>1321599266251542528</t>
  </si>
  <si>
    <t>We came prepared, Jon #GAsen #gapol https://t.co/2ag4gbeRdB</t>
  </si>
  <si>
    <t>1321598205373669376</t>
  </si>
  <si>
    <t>Despite his repeated claims that he “won’t take a dime” from corporate PACs, Jon @Ossoff has taken nearly $100,000 in corporate PAC donations. #GAsen #gapol
https://t.co/rtNWn8DAue</t>
  </si>
  <si>
    <t>1321597483655614471</t>
  </si>
  <si>
    <t>The $93 trillion Green New Deal would be devastating for Georgia’s farmers, workers, and families. #GAsen #gapol https://t.co/75CRljkNS8</t>
  </si>
  <si>
    <t>1321596102169288704</t>
  </si>
  <si>
    <t>I believe health insurance should always cover pre-existing conditions. Period.
I’ve sponsored legislation to do just that. #GAsen #gapol https://t.co/hBsE18K0MF</t>
  </si>
  <si>
    <t>1321595686417256450</t>
  </si>
  <si>
    <t>Jon @Ossoff would be nothing more than a rubber stamp for the Democrats’ radical socialist agenda. #GAsen #gapol https://t.co/j8e6ybmGRW</t>
  </si>
  <si>
    <t>1321595154487267329</t>
  </si>
  <si>
    <t>Jon @Ossoff will say anything to hide his radical socialist agenda. #GAsen #gapol https://t.co/eyb2TEaFu5</t>
  </si>
  <si>
    <t>1321593962256281601</t>
  </si>
  <si>
    <t>Every day our policemen &amp;amp; women put their lives on the line to protect and serve their communities. I’m proud to support them and to have the endorsement of the @fop_georgia and a bipartisan majority of Georgia Sheriffs. #GAsen #gapol
https://t.co/XW3OaYwChE</t>
  </si>
  <si>
    <t>1321593806077218816</t>
  </si>
  <si>
    <t>Jon @Ossoff supports the dangerous defund the police movement. #GAsen #gapol https://t.co/mZXETzlM8c</t>
  </si>
  <si>
    <t>1321593243482628101</t>
  </si>
  <si>
    <t>Jon @Ossoff has a habit of telling voters in Atlanta one thing and folks in rural Georgia something completely different. He will say anything to cover up his radical socialist agenda. #GAsen #gapol
https://t.co/UFCo9Eoxq6 https://t.co/dFv1v71gzn</t>
  </si>
  <si>
    <t>1321592808742989833</t>
  </si>
  <si>
    <t>Did you forget about this, Jon? @Ossoff #GAsen #gapol https://t.co/xpqSQTXjRN</t>
  </si>
  <si>
    <t>1321592571534204928</t>
  </si>
  <si>
    <t>Jon @Ossoff’s healthcare plan would be a disaster for Georgia. Under his plan, 43 Rural Georgia hospitals would be at risk of closing. #GAsen #gapol
https://t.co/APRYrJXcoB https://t.co/PX6JySNsOD</t>
  </si>
  <si>
    <t>1321591650926399489</t>
  </si>
  <si>
    <t>Jon @Ossoff would be a rubber stamp for the Democrats’ radical socialist agenda; his campaign is funded by far-left liberals in California, NY, and DC.
✔️87% from outside Georgia
✔️$3.4 million from CA
✔️2x as much from CA as from Georgia
#GAsen #gapol
https://t.co/z1zx2qIcK5</t>
  </si>
  <si>
    <t>1321591438644314117</t>
  </si>
  <si>
    <t>When @SenSchumer and Senate Dems blocked our $500 billion targeted #COVID relief package in a display of shameful partisan politics, Jon @Ossoff had nothing to say. Millions of Georgians need this critical relief and Ossoff refused to stand up for them. #GAsen #gapol https://t.co/UNlaaudJDX</t>
  </si>
  <si>
    <t>1321590465829969920</t>
  </si>
  <si>
    <t>Jon @Ossoff was paid by a company owned by the Chinese government, then he tried to hide it from voters. #GAsen #gapol https://t.co/Rgse77E7xB</t>
  </si>
  <si>
    <t>1321589964732321792</t>
  </si>
  <si>
    <t>#GAsen #gapol https://t.co/83v8KbKIwz</t>
  </si>
  <si>
    <t>1321588360004194304</t>
  </si>
  <si>
    <t>Before #COVID19 hit, we proved what we believe in works!
✅ Created 7.5 million new jobs
✅ Highest ever middle-class income
✅ Lowest African-American, Asian-American, &amp;amp; Hispanic unemployment rate in history
✅ 6.6 million Americans lifted themselves out of poverty
#GAsen #gapol</t>
  </si>
  <si>
    <t>1321577353634525185</t>
  </si>
  <si>
    <t>Be sure to tune in to the 2nd #GAsen debate tonight at 7PM!
The debate will air live on @WTOC11, @WALBNews10, @WRDW_WAGT, and @cspan.  #gapol https://t.co/W5n20tB2Ad</t>
  </si>
  <si>
    <t>1321559278575079430</t>
  </si>
  <si>
    <t>I spoke with @WJBF’s @ChloeSalsameda at our campaign stop in Columbia County about the dramatic difference between the Democrats' radical socialist agenda and my proven record of results. #GAsen #gapol https://t.co/cGQEjXgkgC</t>
  </si>
  <si>
    <t>1321520192049061893</t>
  </si>
  <si>
    <t>We are back on the road for the Original Outsider bus tour in Effingham County this morning! #GAsen #gapol https://t.co/qPLE1b9DTj</t>
  </si>
  <si>
    <t>1321489534689882113</t>
  </si>
  <si>
    <t>The alarming rhetoric coming from Jon @Ossoff and his campaign have no place in our politics. #GAsen #gapol https://t.co/2m50lbOZmn</t>
  </si>
  <si>
    <t>1321463659965620224</t>
  </si>
  <si>
    <t>I’m very proud to have supported the historic confirmation of Justice Amy Coney Barrett! I have no doubt Justice Barrett will be an exceptional Justice who approaches cases with an open-mind and rules on the law as written. #GAsen #gapol #JusticeACB https://t.co/hbeCGRXQ0K</t>
  </si>
  <si>
    <t>1321442726827692040</t>
  </si>
  <si>
    <t>I’ve been proud to advocate for Georgia farmers on critical issues from disaster relief to WOTUS in the Senate. Growing up in Middle Georgia, I know how important the agricultural community is to our state. I’m honored to have the support of @GaAg_GaryBlack #GAsen #gapol https://t.co/15Kj3WuGs9</t>
  </si>
  <si>
    <t>1321265089828343811</t>
  </si>
  <si>
    <t>Great to have you down in Georgia @SarahHuckabee! #GAsen #gapol https://t.co/q6XFkLQmdf</t>
  </si>
  <si>
    <t>1321253578535849985</t>
  </si>
  <si>
    <t>Final stop of the day in Baldwin County! Voters in Milledgeville are fired up to protect our Senate majority and send @realdonaldtrump back to the White House! #GAsen #gapol https://t.co/C4w7zQcyw0</t>
  </si>
  <si>
    <t>1321215149303308290</t>
  </si>
  <si>
    <t>Stop #2 at the Greene County GOP HQ in Greensboro! Thanks to everyone who came out! #GAsen #gapol https://t.co/zdRNPiELtJ</t>
  </si>
  <si>
    <t>1321185328787562497</t>
  </si>
  <si>
    <t>We're back on the road for our statewide Original Outsider bus tour! Great first stop at the @ccgagop HQ in CSRA! #GAsen #gapol https://t.co/7w6qCE6Zfn</t>
  </si>
  <si>
    <t>1321180191482355712</t>
  </si>
  <si>
    <t>.@JoeBiden’s economic agenda would be devastating for families and workers in Georgia and across the country. #GAsen #gapol https://t.co/5pbO7zmtjA</t>
  </si>
  <si>
    <t>1321156857428283393</t>
  </si>
  <si>
    <t>I want to thank my good friend @SarahHuckabee and my wife Bonnie for campaigning on my behalf while I’ve been in Washington fighting for #COVID relief for the people of Georgia and supporting the historic confirmation of Justice Amy Coney Barrett! #GAsen #gapol https://t.co/TKaiG8xWSo</t>
  </si>
  <si>
    <t>1321119019424976896</t>
  </si>
  <si>
    <t>Jon @Ossoff won’t hold China accountable, he works for them. #GAsen #gapol https://t.co/kHdphjeeI9</t>
  </si>
  <si>
    <t>1321095461768495106</t>
  </si>
  <si>
    <t>This election will determine the future direction of our nation. If the Democrats win, they want to turn America into a socialist state.
Always remember the price of socialism is YOUR FREEDOM! #GAsen #gapol https://t.co/gvLTu3MMQZ</t>
  </si>
  <si>
    <t>1320914133655687168</t>
  </si>
  <si>
    <t>Jon @Ossoff took money from a Chinese company linked to their communist government, then he tried to hide it from Georgia voters. #GAsen #gapol https://t.co/WwM0AnKqsX</t>
  </si>
  <si>
    <t>1320902696996659204</t>
  </si>
  <si>
    <t>Today, on National Day of the Deployed, we honor the U.S. military men and women deployed across the globe who have put their lives on the line to serve this country.
God bless you, God bless your families, and God bless America! #GAsen #gapol https://t.co/4rwowKL7wz</t>
  </si>
  <si>
    <t>1320887190021439491</t>
  </si>
  <si>
    <t>The American people want a #SCOTUS Justice who will apply the law, not make the law. That is exactly what Justice Amy Coney Barrett will be, and I was proud to support her historic confirmation to our nation’s highest court! #GAsen #gapol #JusticeACB https://t.co/8lfSI9LY27</t>
  </si>
  <si>
    <t>1320823959789719558</t>
  </si>
  <si>
    <t>Very proud to have the support of our great Lieutenant Governor @GeoffDuncanGA! Geoff and I are both business guys are dedicated to serving all Georgians! #GAsen #gapol https://t.co/OA7TRLjOfd</t>
  </si>
  <si>
    <t>1320809472902705158</t>
  </si>
  <si>
    <t>My opponent has spent his entire campaign lying to the people of Georgia to hide his radical socialist agenda.
Chip in to help make sure the road to socialism NEVER runs through the state of Georgia! #GAsen #gapol
https://t.co/yviTjXbW7H</t>
  </si>
  <si>
    <t>1320782846353723392</t>
  </si>
  <si>
    <t>I spoke with @Brunswick_News about my record of delivering results on the issues that matter most for Georgians! #GAsen #gapol
https://t.co/8GRMicSQXu</t>
  </si>
  <si>
    <t>1320754020089274375</t>
  </si>
  <si>
    <t>Georgians need a Senator who will stand up to China, not one who works for them. #GAsen #gapol https://t.co/govx0OcSFW</t>
  </si>
  <si>
    <t>1320720345326854144</t>
  </si>
  <si>
    <t>Nearly half of Georgia’s workforce is employed by small businesses, I’m proud to have the support of our state’s #SmallBiz community! #GAsen #gapol https://t.co/spOlAOXT37</t>
  </si>
  <si>
    <t>1320357469789573120</t>
  </si>
  <si>
    <t>As a political outsider with 40 years of real-world business experience, I’ve seen firsthand how government policy &amp;amp; regulations affect businesses. I’ll always fight to protect our free-enterprise system, which is the backbone of our freedom. #GAsen #gapol
https://t.co/Xp8U7jbDLC</t>
  </si>
  <si>
    <t>1320064835028176896</t>
  </si>
  <si>
    <t>Today is statewide early voting Saturday! This election will determine the future direction of our county. If the democrats win they want to turn America into a socialist state.  
Find your early vote location here: https://t.co/HxVKeQmp5N
#GAsen #gapol https://t.co/znL5qcUVWn</t>
  </si>
  <si>
    <t>1320052725443416064</t>
  </si>
  <si>
    <t>Georgians need a Senator who will stand up to China, not one who works for them. #GAsen #gapol https://t.co/aq7PwzyysO</t>
  </si>
  <si>
    <t>1320022750564667392</t>
  </si>
  <si>
    <t>As we focus on defeating this virus and rebuilding our economy, I'm committed to making sure that our free enterprise system, which is the backbone of our freedom in America, remains strong for our children and our grandchildren. #GAsen #gapol https://t.co/4JjLpQ06Hr</t>
  </si>
  <si>
    <t>1319772047824834566</t>
  </si>
  <si>
    <t>On Monday, Judge Amy Coney Barrett will be confirmed as our newest Justice on the nation’s highest court, and I’m proud to offer her my strongest support! #GAsen #gapol #SCOTUS https://t.co/P0tN2MhW2d</t>
  </si>
  <si>
    <t>1319727191438073858</t>
  </si>
  <si>
    <t>I'm humbled to have the continued support of small business owners and workers across Georgia! As a political outsider with 40+ years real-world experience, I know how critical our work to cut taxes and reduce regulations has been for Georgia small businesses. @NFIB #GAsen #gapol https://t.co/9Hutoiob9u</t>
  </si>
  <si>
    <t>1319714598963060737</t>
  </si>
  <si>
    <t>Tim and I share an appreciation for hard work, public service, and the American Dream. I’m proud to call @TimScottSC a close friend and to have his support! #GAsen #gapol
https://t.co/HLz0dE21dw https://t.co/uTAyQzIk3a</t>
  </si>
  <si>
    <t>1319703047052926978</t>
  </si>
  <si>
    <t>Very proud to have the support of our great Governor, @BrianKempGA! Governor Kemp and I are committed to serving the hardworking people of Georgia, and I’m looking forward to continuing to work together! #GAsen #gapol https://t.co/hsUGLm7pKT</t>
  </si>
  <si>
    <t>1319690469635465217</t>
  </si>
  <si>
    <t>Jon @Ossoff took money from a Chinese company linked to their communist government, then he tried to hide it from voters.
How can anyone expect him to hold China accountable? #GAsen #gapol https://t.co/2elzcihNcD</t>
  </si>
  <si>
    <t>1319656572654673926</t>
  </si>
  <si>
    <t>After nearly 20 years of delays, I worked with @realdonaldtrump to finally secure full federal funding for the Savannah Harbor Expansion Project. #SHEP is critical for farmers and workers across the state of Georgia. #GAsen #gapol https://t.co/VUOUsoHUHs</t>
  </si>
  <si>
    <t>1319615172827283456</t>
  </si>
  <si>
    <t>News reports recently uncovered that Jon @ossoff's being paid by a Chinese company linked to their communist government.
Ossoff didn't disclose to federal authorities that he's personally profiting from the same Chinese government that gave us #COVID. #GAsen #gapol https://t.co/XKcWIie9a0</t>
  </si>
  <si>
    <t>1319435897109086209</t>
  </si>
  <si>
    <t>Before #COVID, @realdonaldtrump led the greatest economic turnaround our country has ever seen. A Stanford study showed @JoeBiden’s agenda would lead to:
$6,500 drop in median household income
4.9 million fewer jobs
Economy shrinking by $2.6 trillion
#gapol #MAGA #Debates2020</t>
  </si>
  <si>
    <t>1319409707111645185</t>
  </si>
  <si>
    <t>My opponent continues to lie to the people of Georgia about where his campaign contributions are coming from. He took more than $50K from corporate PACs, all while running ads claiming he is refusing their donations. #GAsen #gapol
https://t.co/rtNWn8DAue</t>
  </si>
  <si>
    <t>1319384197543399425</t>
  </si>
  <si>
    <t>It’s clear that the majority of Americans want a #SCOTUS Justice who will apply the law, not make the law. That is exactly what Judge Amy Coney Barrett will be, and I’m proud to support her confirmation to our nation's highest court! #GAsen #gapol #ConfirmAmy https://t.co/1a3QPaRClF</t>
  </si>
  <si>
    <t>1319346669276831745</t>
  </si>
  <si>
    <t>I’m proud to be endorsed by the @GAChamber. During my 40 year business career in the real world, I learned firsthand how policy and government regulation affect businesses large and small, and I’ve put that knowledge to work in the Senate! #GAsen #gapol https://t.co/8sGpBgLxty</t>
  </si>
  <si>
    <t>1319320197971533824</t>
  </si>
  <si>
    <t>Georgia’s 260 #opportunityzones are succeeding in bringing economic growth &amp;amp; job creation to communities that need them the most. I was proud to work on this initiative with my good friends @realdonaldtrump, @TimScottSC, &amp;amp; @secretarycarson! #GAsen #gapol
https://t.co/p2fnpGii4J</t>
  </si>
  <si>
    <t>1319308366569705473</t>
  </si>
  <si>
    <t>Sonny and I had a great time speaking to folks back home in Houston County! #GAsen #gapol https://t.co/ZBa8RNzXun</t>
  </si>
  <si>
    <t>1319290266096865280</t>
  </si>
  <si>
    <t>Millions of Americans need #COVID relief. Yesterday, in a shameful display of partisan politics, Senate Dems blocked this much-needed relief.
Georgians deserve to know if Jon @Ossoff supports Chuck Schumer, his number one supporter, blocking aid for Georgians in need. #gapol https://t.co/Tprg9qu404</t>
  </si>
  <si>
    <t>1319267632781103106</t>
  </si>
  <si>
    <t>Voters in Cordele are fired up to protect our Senate majority and send @realdonaldtrump back to the White House! #GAsen #gapol https://t.co/IDYsumXduT</t>
  </si>
  <si>
    <t>1319055428253351938</t>
  </si>
  <si>
    <t>The majority of Americans want to see Judge Amy Coney Barrett seated on the Supreme court. Americans want a Justice who will apply the law, not make the law, and that’s exactly what they are getting with Judge Barrett. #GAsen #gapol #SCOTUS</t>
  </si>
  <si>
    <t>1319010033443737604</t>
  </si>
  <si>
    <t>I spoke to Dave Williams of GA-based Capitol Beat News Service about my record of delivering bipartisan results for all Georgians, my 40-year business career creating tens of thousands of American jobs, &amp;amp; the stark contrast in this election. #GAsen #gapol
https://t.co/SVNE7Glktg</t>
  </si>
  <si>
    <t>1318993337655939075</t>
  </si>
  <si>
    <t>Thanks to all our supporters who came out in Tifton! #GAsen #gapol https://t.co/BF0bYQr02V</t>
  </si>
  <si>
    <t>1318959153830912002</t>
  </si>
  <si>
    <t>Had a great stop in Statesboro with my cousin and former Governor Sonny Perdue! Thanks to everyone who came out! #GAsen #gapol https://t.co/SzVwv2kyJw</t>
  </si>
  <si>
    <t>1317486278695395328</t>
  </si>
  <si>
    <t>We’re kicking off this weekend’s Original Outsider bus tour in Dublin with my cousin and former Georgia Governor Sonny Perdue! Thanks to everyone who came out to show their support! #GAsen #gapol https://t.co/vlCuhCPkg4</t>
  </si>
  <si>
    <t>1317216180835393536</t>
  </si>
  <si>
    <t>I’m on the way to join @realdonaldtrump for a rally in Macon! From critical #COVID relief to federal funding for the Savannah Harbor Expansion Project, I’m proud of the results President Trump and I have delivered for the people of Georgia! #GAsen #gapol</t>
  </si>
  <si>
    <t>1317189203625758721</t>
  </si>
  <si>
    <t>Great Stop at the Paulding County Trump Victory Office in Dallas! Georgia voters are fired up to protect our Senate majority and send @realdonaldtrump back to the White House! #GAsen #gapol https://t.co/jw7lUktIsk</t>
  </si>
  <si>
    <t>1317156308320178176</t>
  </si>
  <si>
    <t>.@TeamPerdue and @TeamTrumpOnTour Stop #4 with @cobbGOP! #GAsen #gapol https://t.co/tmbSKrTlsg</t>
  </si>
  <si>
    <t>1317122006341570562</t>
  </si>
  <si>
    <t>.@TeamPerdue and @TeamTrumpOnTour Stop #3 at @cherokeeGOP! #GAsen #gapol https://t.co/hycRmFgW2w</t>
  </si>
  <si>
    <t>1317111202577813504</t>
  </si>
  <si>
    <t>When #COVID hit, we took unprecedented steps to protect the public, shutting down the entire economy. I worked to secure tens of billions in direct aid for GA - funding for expanding hospital capacity, ventilators, &amp;amp; PPE for healthcare workers. #gapol
https://t.co/w6DHs1yUpL</t>
  </si>
  <si>
    <t>1316880867520925698</t>
  </si>
  <si>
    <t>I’ve lived around the world, created thousands of jobs in this country while Jon Ossoff, hasn’t created a single American job. Before #COVID hit, I helped engineer this country’s economic turnaround using my 40+ years of business experience. #GAsen #gapol
https://t.co/w6DHs1yUpL</t>
  </si>
  <si>
    <t>1316853883847823360</t>
  </si>
  <si>
    <t>New Georgia Jobs! La Regina Atlantica’s new processing plant in Alma will bring 250 new jobs to Bacon County. #GAsen #gapol
https://t.co/8yfuf5t87A</t>
  </si>
  <si>
    <t>1316836419944488961</t>
  </si>
  <si>
    <t>I had a great discussion on the #COVID response and how we’re bringing our economy back with @IvankaTrump in Acworth. We’ve proven that what we believe in works, and I’m confident we will do it again! #GAsen #gapol https://t.co/Cio09vRcuC</t>
  </si>
  <si>
    <t>1316819776845602819</t>
  </si>
  <si>
    <t>This election will determine the future direction of our country. If the Democrats win, they want to turn America into a socialist state.
The price of socialism is always YOUR FREEDOM! #GAsen #gapol https://t.co/WkmZXdpxc5</t>
  </si>
  <si>
    <t>1316800519327952900</t>
  </si>
  <si>
    <t>Great to see so many supporters out in Alpharetta at @HandelTeam HQ with @KarenHandel, @BrianKempGA &amp;amp; @GAFirstLady, @SecretarySonny &amp;amp; Mary Perdue, @PARISDENNARD, and @TommyHicksGOP! #GAsen #gapol https://t.co/jFJnH8ev1d</t>
  </si>
  <si>
    <t>1316789436735262720</t>
  </si>
  <si>
    <t>Very excited to be out on the trail with @BrianKempGA, @TommyHicksGOP, @GAFirstLady, and @PARISDENNARD! Georgia is the key battleground for the White House and Senate Majority! #GAsen #gapol https://t.co/FDN4j9TjZ4</t>
  </si>
  <si>
    <t>1316781508728848390</t>
  </si>
  <si>
    <t>Folks, we’re just 19 days away from the election. If the Democrats win they want to turn America into a socialist state. 
Chip in to help me make sure the road to socialism NEVER runs through the state of Georgia! #GAsen #gapol
https://t.co/yviTjXbW7H</t>
  </si>
  <si>
    <t>1316745590445834241</t>
  </si>
  <si>
    <t>I know how important our military communities are in Georgia and across the country, and I will always stand by our men and women in uniform. #GAsen #gapol https://t.co/vHmIU5cjZs</t>
  </si>
  <si>
    <t>1316726097686523907</t>
  </si>
  <si>
    <t>Jon @Ossoff has not been endorsed by a single law enforcement leader or organization. Why is that? #GAsen #gapol https://t.co/3nMjRTxMWt</t>
  </si>
  <si>
    <t>1316532193125109763</t>
  </si>
  <si>
    <t>I’m proud of the results I’ve delivered for the people of Georgia! #GAsen #gapol https://t.co/5M6DoAh7Tz</t>
  </si>
  <si>
    <t>1316503096604987392</t>
  </si>
  <si>
    <t>Judge Amy Coney Barrett is exactly the type of Justice we need on our nation's highest court. #GAsen #gapol https://t.co/4Vi2FQHWVJ</t>
  </si>
  <si>
    <t>1316482661624545280</t>
  </si>
  <si>
    <t>The #PaycheckProtectionProgram has been a lifeline for Georgia businesses, providing $14.5 billion in federal relief to hundreds of thousands of businesses and saving over 1.5 million Georgia jobs. 
Jon @Ossoff opposed it. #GAsen #gapol https://t.co/64L1TLiDtB</t>
  </si>
  <si>
    <t>1316474426188328962</t>
  </si>
  <si>
    <t>Enjoyed speaking with @IvankaTrump yesterday in Acworth! Thank you to everyone who came out! #GAsen #gapol https://t.co/6ixCDCjbpg</t>
  </si>
  <si>
    <t>1316411706311159810</t>
  </si>
  <si>
    <t>NEW: @ActionNewsJax rates Jon @Ossoff’s attack ad “mostly false.” He will say anything to hide his radical socialist agenda. #GAsen #gapol https://t.co/5U66fSc8yM</t>
  </si>
  <si>
    <t>1316369710561325056</t>
  </si>
  <si>
    <t>Jon @Ossoff is lying about Corporate PAC money. #GAsen #gapol
https://t.co/3CDRFZebM5 https://t.co/DbWUGfh786</t>
  </si>
  <si>
    <t>1316176234569703424</t>
  </si>
  <si>
    <t>Today, Judge Amy Coney Barrett showed exactly why @realdonaldtrump nominated her. She displayed a depth of legal knowledge that is unparalleled and responded to attacks from my Democratic colleagues with grace. I’m proud to support her confirmation! #GAsen #gapol #SCOTUS</t>
  </si>
  <si>
    <t>1316159860015345665</t>
  </si>
  <si>
    <t>Jon @Ossoff would be nothing more than a rubber stamp for the left wing of the Democratic Party. He’s lying to the people of Georgia to cover up his radical socialist agenda. #GAsen #gapol https://t.co/gBKhOXgP7c</t>
  </si>
  <si>
    <t>1316137612269228033</t>
  </si>
  <si>
    <t>Around the country, anti-police rhetoric and policies from supporters of the #defundthepolice movement have led to violent attacks against officers. This dangerous agenda makes every citizen less safe. #GAsen #gapol
https://t.co/u83QHNuGPP</t>
  </si>
  <si>
    <t>1316101542240550919</t>
  </si>
  <si>
    <t>In 6 years, I’ve traveled all over this state from Hahira to Hiawassee. I’ve spoken to Georgians in all 159 counties, and I’m proud of my record of delivering results for the people of Georgia. #GAsen #gapol https://t.co/kSS4sVTeUn</t>
  </si>
  <si>
    <t>1316064907805196288</t>
  </si>
  <si>
    <t>Thank you @RepTomGraves! And thank you for your years of service to the people of Georgia’s 14th Congressional district! Bonnie and I wish you all the best in your future endeavors. #GAsen #gapol https://t.co/AMtICx1938</t>
  </si>
  <si>
    <t>1316034109920161795</t>
  </si>
  <si>
    <t>Very excited to have @IvankaTrump in Georgia for a fireside chat this afternoon! Ivanka’s work-ethic and dedication make her a great role model for young women across the country! #GAsen #gapol https://t.co/0YDJmutt29</t>
  </si>
  <si>
    <t>1316025479921504259</t>
  </si>
  <si>
    <t>While Jon @Ossoff opposed the #PaycheckProtectionProgram that saved over 1.5 million Georgia jobs, his own father took out a #PPP loan that saved jobs at his company. #GAsen #gapol https://t.co/0Ylgeqp6rG</t>
  </si>
  <si>
    <t>1316003809114681344</t>
  </si>
  <si>
    <t>Jon @Ossoff saying he’s going to cut taxes is a joke. His own party’s Presidential candidate has called for over $3 TRILLION worth of new taxes. #GAsen #gapol https://t.co/U2ebonV8uc</t>
  </si>
  <si>
    <t>1315811668987871233</t>
  </si>
  <si>
    <t>Jon @Ossoff is lying to Georgians about his shady business ties to the Chinese government. #GAsen #gapol
https://t.co/pp3WfJHG2j https://t.co/sE8djpUQr7</t>
  </si>
  <si>
    <t>1315804680774131713</t>
  </si>
  <si>
    <t>Jon @Ossoff is desperate, he’ll say anything to hide his radical socialist agenda. #GAsen #gapol https://t.co/QNpD0hqBXH</t>
  </si>
  <si>
    <t>1315746079632130055</t>
  </si>
  <si>
    <t>I want to thank our debate moderator @donnalowrynews and our panelists @rahulbali, @Emma_Hurt, and Tom Baxter for an excellent debate! Georgians saw a clear contrast between my proven record of results and Jon @Ossoff’s radical socialist agenda. #GAsen #gapol</t>
  </si>
  <si>
    <t>1315741523678580738</t>
  </si>
  <si>
    <t>The contrast is clear. #GAsen #gapols https://t.co/Ganq27xKXL</t>
  </si>
  <si>
    <t>1315739506742644737</t>
  </si>
  <si>
    <t>Jon Ossoff will say anything to distract from his dangerous agenda. #GAsen #gapol https://t.co/dZSPISY8Cm</t>
  </si>
  <si>
    <t>1315736079257997314</t>
  </si>
  <si>
    <t>I’m proud to support the public safety officers who put their lives on the line every day and honored to have the endorsement of @fop_georgia and 95 bipartisan sheriffs from across the state. #GAsen #gapol https://t.co/NYBo0s9GRo</t>
  </si>
  <si>
    <t>1315734809176608773</t>
  </si>
  <si>
    <t>Jon @Ossoff attacked the bipartisan the #PPP, calling it a “slushfund” for big corporations. In reality, it delivered critical relief for Georgians in need. 
✅ $47 Billion in federal aid for Georgia
✅ $14.5 Billion for Georgia businesses
✅ 1.5 million jobs saved
#GAsen #gapol https://t.co/oKRDGOYg9e</t>
  </si>
  <si>
    <t>1315734134296399872</t>
  </si>
  <si>
    <t>Jon Ossoff’s film company was paid at least $5,000 by a company partially owned by the Chinese government. #GAsen #gapols 
https://t.co/pp3WfJHG2j https://t.co/01uWp5fzdy</t>
  </si>
  <si>
    <t>1315733150547484673</t>
  </si>
  <si>
    <t>Before #COVID19 hit, we proved what we believe in works!
✅ Created 7.5 million new jobs
✅ Highest ever Median household income 
✅ Lowest African-American, Asian-American, &amp;amp; Hispanic unemployment rate ever
✅ 6.6 million Americans lifted themselves out of poverty
#GAsen #gapol</t>
  </si>
  <si>
    <t>1315729267427246082</t>
  </si>
  <si>
    <t>Since the onset of #COVID19, I’ve fought to deliver critical resources to Georgia to help slow the spread of this virus. I worked to pass the bipartisan #CARESact, which has been a lifeline to small businesses, healthcare workers, and families across the state of Georgia #GAsen https://t.co/7TAnw8YHry</t>
  </si>
  <si>
    <t>1315719471433166848</t>
  </si>
  <si>
    <t>TUNE IN to the first #gasen debate!
Steaming live at 3PM on @mygpb’s website and 8PM @atlpressclub’s Facebook.
TV broadcast at 8PM on GPB. #gapol
https://t.co/IObtezVkLO</t>
  </si>
  <si>
    <t>1315710219373219840</t>
  </si>
  <si>
    <t>After a long day of campaigning this weekend, we stopped at Maritza &amp;amp; Frank’s Restaurant in McDonough. Like many restaurants, #COVID19 caused a great deal of uncertainty, but thanks to a #PaycheckProtectionProgram loan, Maritza &amp;amp; Frank’s was able to stay open! #GAsen #gapol https://t.co/FgrGSw6prh</t>
  </si>
  <si>
    <t>1315702141907017728</t>
  </si>
  <si>
    <t>Never forget, the price of socialism is always YOUR FREEDOM! #GAsen #gapol https://t.co/Vwg8pVPeXz</t>
  </si>
  <si>
    <t>1315667416093995012</t>
  </si>
  <si>
    <t>Today, Georgians will see a clear contrast between my proven record of delivering results for Georgia and Jon @Ossoff’s radical socialist agenda. With early voting beginning today, Georgians will see exactly what’s at stake in this election! #GAsen #gapol https://t.co/iMTJvFtFaD</t>
  </si>
  <si>
    <t>1315648899726667777</t>
  </si>
  <si>
    <t>EARLY VOTING BEGINS TODAY! Find your early voting location below! #GAsen #gapol
https://t.co/HxVKeQmp5N https://t.co/V2l5qeVnAv</t>
  </si>
  <si>
    <t>1315305088529952768</t>
  </si>
  <si>
    <t>Great to see so many grassroots volunteers in Hall County! Republicans are fired up and ready to work non-stop over next 23 days to re-elect Trump and defend our Senate Majority! #GAsen #gapol https://t.co/yzMgfRdqFA</t>
  </si>
  <si>
    <t>1315064239397183490</t>
  </si>
  <si>
    <t>The Democrats want to fundamentally change our way of life. If Democrats win, they’ll pack #SCOTUS with activist judges, implement the Green New Deal, take away your private health insurance, defund our police, and abolish ICE. #GAsen #GApol
https://t.co/fH71xXXIKR</t>
  </si>
  <si>
    <t>1315025949675712518</t>
  </si>
  <si>
    <t>I’m proud to stand with our law enforcement officers in Georgia and across the nation, and I’m honored to have the endorsement of the @fop_georgia! Thanks to @Rotary6900 in Henry County for supporting those who protect &amp;amp; serve their communities! #BackTheBlue #GAsen #gapol https://t.co/w3CenfaLxA</t>
  </si>
  <si>
    <t>1314999067152351232</t>
  </si>
  <si>
    <t>Had a great time at the @FultonGOP breakfast this morning! Together we’re going to make sure that the road to socialism NEVER runs through the state of Georgia. 
Thanks to everyone who came out and showed their support! #GAsen #gapol https://t.co/AruYoyfKeb</t>
  </si>
  <si>
    <t>1314984892015484934</t>
  </si>
  <si>
    <t>Young Republicans from across the country are fired up to send @realdonaldtrump back to the White House and hold the Senate majority! I enjoyed speaking with grassroots volunteers at the @cobbGOP and Trump victory rally this morning! #GAsen #gapol https://t.co/ywmJb4YyxS</t>
  </si>
  <si>
    <t>1314979402615271425</t>
  </si>
  <si>
    <t>My opponent’s willingness to hold secret fundraisers with disgraced Senate candidate Cal Cunningham - who is currently under investigation by the U.S. Army - further shows his lack of judgement and integrity. #GAsen #GApol https://t.co/aHqMs5oxR1</t>
  </si>
  <si>
    <t>1314954153404309504</t>
  </si>
  <si>
    <t>Jon @Ossoff refused to answer a single question from @thecentersquare, leaving Georgians to wonder whether he’ll raise their taxes, support the Green New Deal, take away their employer-provided health insurance, and much more. #GAsen #gapol
https://t.co/vSOUR48NfL</t>
  </si>
  <si>
    <t>1314701125497638915</t>
  </si>
  <si>
    <t>Judge Amy Coney Barrett will be an outstanding #SCOTUS Justice, and I’m proud to offer her my strongest support! #GAsen #gapol https://t.co/Qf9kt4nrHs</t>
  </si>
  <si>
    <t>1314680527681658884</t>
  </si>
  <si>
    <t>New Georgia Jobs! Kysor Warren @Epta_Group’s new US headquarters in Columbus will bring 200 new jobs to the area. #GAsen #gapol
https://t.co/l7nvCRnGjl</t>
  </si>
  <si>
    <t>1314657152498315264</t>
  </si>
  <si>
    <t>In 2014, I asked the people of Georgia to stand with me &amp;amp; send an outsider to the Senate, and you did.
Now, the stakes are even higher. I need you to stand with me again as we show the nation that the road to socialism will NEVER run through the state of Georgia! #GAsen #gapol https://t.co/MngyTqeNVU</t>
  </si>
  <si>
    <t>1314590191877849090</t>
  </si>
  <si>
    <t>On Tuesday VP @Mike_Pence exposed Kamala Harris’s radical agenda. She supports the Green New Deal, eliminating private healthcare, defunding our police, and open borders. My opponent would be nothing more than a rubber stamp for her dangerous agenda. #GAsen #gapol https://t.co/gJGls2LZoh</t>
  </si>
  <si>
    <t>1314573966070231041</t>
  </si>
  <si>
    <t>Go @Braves! 🧹🧹🧹 #MixItUp #GAsen #gapol https://t.co/3TNMlUnV18</t>
  </si>
  <si>
    <t>1314557369255329798</t>
  </si>
  <si>
    <t>After nearly 20 years of delays, I worked with @realdonaldtrump to break through the bureaucratic logjam &amp;amp; finally secure full federal funding for the Savannah Harbor Expansion Project. The Port of Savannah is a critical asset for farmers &amp;amp; workers across Georgia. #GAsen #gapol https://t.co/oV2NehdtuR</t>
  </si>
  <si>
    <t>1314350705575186433</t>
  </si>
  <si>
    <t>Georgia is the KEY battleground state for the White House &amp;amp; the Senate majority. If Democrats win, they would turn America into a socialist state.
Chip in to help make sure the road to socialism NEVER runs through the state of Georgia. #GAsen #gapol
https://t.co/yviTjXbW7H https://t.co/cX0YhfWyZg</t>
  </si>
  <si>
    <t>1314325074351194112</t>
  </si>
  <si>
    <t>The people of Georgia want a #SCOTUS Justice who will apply the law as written, not make the law. Judge Amy Coney Barrett’s exceptional record shows she exactly the kind of Justice we need on our nation’s highest court. #GAsen #gapol https://t.co/sdavLkVCbx</t>
  </si>
  <si>
    <t>1314301209113698318</t>
  </si>
  <si>
    <t>Jon @Ossoff is lying to the people of Georgia to hide his dangerous agenda. #GAsen #gasen. https://t.co/Izzf81OfdT</t>
  </si>
  <si>
    <t>1314271389315145730</t>
  </si>
  <si>
    <t>Outstanding debate last night, Mr. Vice President @Mike_Pence! The contrast could not be more clear: Democrats want to turn America into a socialist state, Republicans will always defend our nation’s founding principles. #GAsen #gapol #VPDebate</t>
  </si>
  <si>
    <t>1314249853350879233</t>
  </si>
  <si>
    <t>Over a month ago I challenged Jon @Ossoff to sign the @Heritage_Action pledge to oppose the defund the police movement.
He still refuses to do so. #GAsen #gapol https://t.co/bABwg403w7</t>
  </si>
  <si>
    <t>1314004464659988480</t>
  </si>
  <si>
    <t>This November we must remember what’s at stake in this election: the future direction of our country! #GAsen #gapol https://t.co/686AD2LrPp</t>
  </si>
  <si>
    <t>1313973128218005505</t>
  </si>
  <si>
    <t>Very proud of the way these two Fairmount police officers handled this difficult situation. Their kindness and compassion in the face of a potentially tragic encounter undoubtedly saved a life. #GAsen #gapol
https://t.co/6ssFYqpqT6</t>
  </si>
  <si>
    <t>1313953717427765248</t>
  </si>
  <si>
    <t>When Jon @Ossoff talks, he lies. #GAsen #gapol https://t.co/sfzAw4j9al</t>
  </si>
  <si>
    <t>1313916946216353793</t>
  </si>
  <si>
    <t>There have been more homicides in Atlanta so far this year than in all of 2019, yet Jon @Ossoff still supports the lawless #defundthepolice movement. His agenda isn’t just radical, it’s dangerous. #GAsen #gapol</t>
  </si>
  <si>
    <t>1313883640347193349</t>
  </si>
  <si>
    <t>Judge Amy Coney Barrett will make an outstanding #SCOTUS Justice. Her record has received bipartisan legal praise and shows she will make decisions based on the law as written. I’m proud to offer her my strongest support! #GAsen #gapol https://t.co/KsXKPAAXsk</t>
  </si>
  <si>
    <t>1313853850701398016</t>
  </si>
  <si>
    <t>As the son of two public school teachers and the husband of another, I know how hard our teachers work, day in and day out. Congratulations to Ms. Heather Melillo on being named Georgia’s Public Pre-K teacher of the year! #GAsen #gapol
https://t.co/1hKonYLtUY</t>
  </si>
  <si>
    <t>1313827854568824838</t>
  </si>
  <si>
    <t>My opponent will do or say anything to distract Georgians from his dangerous agenda. Watch our newest ad exposing Jon @Ossoff’s lies. #GAsen #gapol https://t.co/R0NNnaC9cu</t>
  </si>
  <si>
    <t>1313657048257753090</t>
  </si>
  <si>
    <t>Jon @Ossoff’s agenda isn’t just radical, it’s dangerous. #GAsen #gapol https://t.co/OMAGTZDngA</t>
  </si>
  <si>
    <t>1313600892160049152</t>
  </si>
  <si>
    <t>The contrast in this election could not be more clear.
Republicans believe in economic opportunity for everybody, limited government, and individual liberty.
The Democrats want to take away our freedom and turn America into a Socialist state. #GAsen #gapol https://t.co/jCqIY2gUZC</t>
  </si>
  <si>
    <t>1313589952731582465</t>
  </si>
  <si>
    <t>Watch our new ad exposing more of Jon @Ossoff’s lies. #GAsen #gapol https://t.co/szVZMYSpFO</t>
  </si>
  <si>
    <t>1313570606525353986</t>
  </si>
  <si>
    <t>We’re just 28 days away from the election, and Georgia is THE battleground state.
Chip in to help me make sure the road to socialism NEVER runs through the state of Georgia! #GAsen #gapol
https://t.co/yviTjXbW7H</t>
  </si>
  <si>
    <t>1313547970177105920</t>
  </si>
  <si>
    <t>Very touching story from right here in Georgia! This is a great example of #GeorgiaValues! #GAsen #gapol
https://t.co/PJ4EqBGm68</t>
  </si>
  <si>
    <t>1313497995535478784</t>
  </si>
  <si>
    <t>Jon @Ossoff just got caught lying to Georgians…AGAIN. #GAsen #gapol https://t.co/OS3ZwWn1pw</t>
  </si>
  <si>
    <t>1313487218216968193</t>
  </si>
  <si>
    <t>Small businesses make up more than 90% of Georgia exporters. This grant will help Georgia businesses develop global markets and expand their international marketing efforts. #GAsen #gapol
https://t.co/lVe1TKqqFH</t>
  </si>
  <si>
    <t>1313451001404436481</t>
  </si>
  <si>
    <t>Jon @Ossoff has lied to the people of Georgia on every issue from police funding to corporate PAC money. He will say anything to cover up his dangerous agenda. #GAsen #gapol https://t.co/IJ7fmtiWX3</t>
  </si>
  <si>
    <t>1313282277808496641</t>
  </si>
  <si>
    <t>Make no mistake, the outcome of this November election will determine the future of our country. #GAsen #gapol https://t.co/plK1WNqh1n</t>
  </si>
  <si>
    <t>1313248680552660992</t>
  </si>
  <si>
    <t>The Port of Savannah plays a critical role in Georgia’s economy. After nearly 20 years of delays, I worked with @realdonaldtrump to finally secure full federal funding for the Savannah Harbor Expansion Project. #GAsen #gapol https://t.co/4pbvJaUjEE</t>
  </si>
  <si>
    <t>1313214091993980928</t>
  </si>
  <si>
    <t>Never forget, the price of socialism is always YOUR FREEDOM! #GAsen #gapol https://t.co/NRMkXjhPy1</t>
  </si>
  <si>
    <t>1313180051668717568</t>
  </si>
  <si>
    <t>My opponent seems to have a problem telling Georgians the truth. #GAsen #gapol
https://t.co/kf2e9mvoTz</t>
  </si>
  <si>
    <t>1313150103352467456</t>
  </si>
  <si>
    <t>Judge Amy Coney Barrett is an exceptional choice for our nation’s highest court, and I’m proud to offer her my strongest support! #GAsen #gapol #SCOTUS https://t.co/b43pfQ9GNM</t>
  </si>
  <si>
    <t>1313102688809345024</t>
  </si>
  <si>
    <t>Folks, today is the voter registration deadline. If you’re not registered or need to update your address, DO IT TODAY.  To register or to check your registration status, go to the Secretary of State’s ‘My Voter Page’ website. #GAsen #gapol
https://t.co/3EJ7LAGEay</t>
  </si>
  <si>
    <t>1312829600658075651</t>
  </si>
  <si>
    <t>Read my new @AUG_Chronicle op-ed on the importance of supporting military families in Georgia and across the country. #GAsen #gapol
https://t.co/lLStkE55NU</t>
  </si>
  <si>
    <t>1312782093894799361</t>
  </si>
  <si>
    <t>I’m blessed to have such an incredible group of strong women helping me on this campaign! Thanks, y’all! #GAsen #gapol https://t.co/MPWRRrr9eX</t>
  </si>
  <si>
    <t>1312545365883842560</t>
  </si>
  <si>
    <t>Bonnie and I enjoyed speaking at the #WomenForPerdue event in Atlanta yesterday! Thanks to everyone who came out! #GAsen #gapol https://t.co/q170eKxWig</t>
  </si>
  <si>
    <t>1312505706352840704</t>
  </si>
  <si>
    <t>Judge Amy Coney Barrett is an outstanding nominee for our nation’s highest court. I’m proud to support her confirmation to #SCOTUS. #GAsen #gapol https://t.co/LVsjXKZMOO</t>
  </si>
  <si>
    <t>1312495672017395712</t>
  </si>
  <si>
    <t>Georgia Republicans are fired up for this election! I enjoyed speaking at the @cobbgop’s October breakfast this morning! Thank you to everyone who came out! #GAsen #gapol</t>
  </si>
  <si>
    <t>1312469879891451904</t>
  </si>
  <si>
    <t>Bonnie spoke to voters in Thomasville about what’s at stake in this election: the future of our country. I’m proud to have her by my side. #GAsen #gapol
https://t.co/z1a7Etnlhr</t>
  </si>
  <si>
    <t>1312441154944684033</t>
  </si>
  <si>
    <t>I had a great time meeting with Georgia voters at @pcgop’s 3rd annual BBQ and GOTV rally! Thank you @gingerhoward7, @VirgGalloway, and everyone else who came out! #GAsen #gapol https://t.co/Eb59sWeFtI</t>
  </si>
  <si>
    <t>1312412114208862210</t>
  </si>
  <si>
    <t>Judge Amy Coney Barrett’s outstanding record shows that she is a fair and impartial judge who makes decisions based on the law as written. She’s exactly the type of Justice we need on #SCOTUS. #GAsen #gapol https://t.co/k35blJ2kpj</t>
  </si>
  <si>
    <t>1312209636368347137</t>
  </si>
  <si>
    <t>Georgians deserve a Senator who will stand by their convictions, regardless of who they're speaking to. #GAsen #gapol
https://t.co/YUQQfBOz0x</t>
  </si>
  <si>
    <t>1312181682179637249</t>
  </si>
  <si>
    <t>Jon @ossoff supports the dangerous #defundthepolice movement, lawless sanctuary cities, and wants to cut our military. 
Make no mistake about it: you won’t be safe in his America. #GAsen #gapol https://t.co/4pdYAhPM3Z</t>
  </si>
  <si>
    <t>1323767015878873091</t>
  </si>
  <si>
    <t>GEORGIA: Remember to arrive at your polling location by 7PM. As long as you are in line by 7PM, you can vote, so STAY IN LINE!
If you have ANY problems or questions, call the Georgia Voter Protection hotline: 1-888-730-5816</t>
  </si>
  <si>
    <t>1323752503532507141</t>
  </si>
  <si>
    <t>It was so nice to meet you, Ms. Rosemarie (and your mom)! https://t.co/0zlwEpzVvx</t>
  </si>
  <si>
    <t>1323731232602099712</t>
  </si>
  <si>
    <t>Bring it home, Georgia. https://t.co/uV4zRcxaU0</t>
  </si>
  <si>
    <t>1323697883397476353</t>
  </si>
  <si>
    <t>Sen. David Perdue is "the swamp." https://t.co/31yN8X7mPo</t>
  </si>
  <si>
    <t>1323692498640920580</t>
  </si>
  <si>
    <t>VOTE. VOTE. VOTE.
If you have ANY questions or problems, call the Georgia Voter Protection Hotline: 1-888-730-5816. https://t.co/bUEtcfam2g</t>
  </si>
  <si>
    <t>1323626848690016256</t>
  </si>
  <si>
    <t>We are all Americans. We rise or fall together.</t>
  </si>
  <si>
    <t>1323623222282199040</t>
  </si>
  <si>
    <t>GEORGIA: If you have ANY questions or problems voting, remember to call the GA Voter Protection Hotline: 1-888-730-5816.
If you requested an absentee ballot and haven't gotten it, vote in-person on TODAY (Tuesday, Nov 3) instead.
More info: https://t.co/7uNb7p54a6</t>
  </si>
  <si>
    <t>1323620695755075585</t>
  </si>
  <si>
    <t>Today, Georgia, we will elect new leaders to heal our nation and build the Beloved Community. https://t.co/tSLk9y3uSu</t>
  </si>
  <si>
    <t>1323619354303496193</t>
  </si>
  <si>
    <t>1323617586223996929</t>
  </si>
  <si>
    <t>GEORGIA: If you have ANY questions or problems voting, remember to call the GA Voter Protection Hotline: 1-888-730-5816.
Share this far and wide!</t>
  </si>
  <si>
    <t>1323595786580488194</t>
  </si>
  <si>
    <t>VOTE.</t>
  </si>
  <si>
    <t>1323494710451863558</t>
  </si>
  <si>
    <t>We got this, Georgia. https://t.co/gDZzfTi3RG</t>
  </si>
  <si>
    <t>1323483521747472390</t>
  </si>
  <si>
    <t>GEORGIA:
Call the GA Voter Protection Hotline 24/7 if have any questions or problems voting: 1-888-730-5816
If you requested an absentee ballot and haven't gotten it, vote in-person on Election Day (Tuesday, Nov 3) instead.
Find your voting location: https://t.co/dbxV1bjiMf</t>
  </si>
  <si>
    <t>1323458634173632513</t>
  </si>
  <si>
    <t>Thanks for having my back, Stacey. https://t.co/qT0duteLmK</t>
  </si>
  <si>
    <t>1323438562801582082</t>
  </si>
  <si>
    <t>Congressman Lewis showed what’s possible when leadership is infused with personal humility &amp;amp; moral clarity.
Tomorrow, Georgia, we will elect new leaders to heal our nation and build the Beloved Community. https://t.co/YUUymNO8Le</t>
  </si>
  <si>
    <t>1323398672739143683</t>
  </si>
  <si>
    <t>I know it's a low bar, but ... let's elect leaders who don't lie to the public about the threat posed by a deadly pandemic while they buy stock in producers of vaccines and medical equipment. https://t.co/hVSQUzbyEw</t>
  </si>
  <si>
    <t>1323391066016485376</t>
  </si>
  <si>
    <t>Gotta love a President who speaks the truth! https://t.co/NX3q6wgejU https://t.co/8L3x3twhJ8</t>
  </si>
  <si>
    <t>1323366096062337024</t>
  </si>
  <si>
    <t>GEORGIA 2020 https://t.co/orbrQRDYdd</t>
  </si>
  <si>
    <t>1323361332343787521</t>
  </si>
  <si>
    <t>Thank you, @BarackObama! https://t.co/MGt0dA9BnI</t>
  </si>
  <si>
    <t>1323343932906983424</t>
  </si>
  <si>
    <t>This is our moment, Georgia. 
Tune in! https://t.co/tiPVDIZKBi</t>
  </si>
  <si>
    <t>1323273949166374912</t>
  </si>
  <si>
    <t>GEORGIA: 
Make your plan to vote ASAP: https://t.co/dbxV1bjiMf
Find your absentee ballot Drop Box: https://t.co/5nsoIqJKMO 
If you requested an absentee ballot and still haven't gotten it, vote in-person on Election Day (Tuesday, Nov 3) instead.</t>
  </si>
  <si>
    <t>1323273195412201473</t>
  </si>
  <si>
    <t>One state, two winnable U.S Senate seats. Ready, @ReverendWarnock? https://t.co/gmhgOVhk2C</t>
  </si>
  <si>
    <t>1323267295456727040</t>
  </si>
  <si>
    <t>@ezanieski @eliasmduncan Done!</t>
  </si>
  <si>
    <t>1323263593077448704</t>
  </si>
  <si>
    <t>1 day, Georgia. https://t.co/YFg87IPwl6</t>
  </si>
  <si>
    <t>1323062597776793600</t>
  </si>
  <si>
    <t>Reply with a question and I'll try to get to it!</t>
  </si>
  <si>
    <t>1323061192139497472</t>
  </si>
  <si>
    <t>Senator Perdue isn’t showing up for our final debate, so instead, I'll be answering questions live and speaking directly to you, the people of Georgia. https://t.co/JxMklQcOlz</t>
  </si>
  <si>
    <t>1323019265784598529</t>
  </si>
  <si>
    <t>I was supposed to debate Senator Perdue tonight, but he's not showing up. 
I'll be taking questions live from Georgians instead.
Tune in on Twitter at 7:30 PM for our virtual town hall.</t>
  </si>
  <si>
    <t>1322995588854665216</t>
  </si>
  <si>
    <t>Voter suppression should be a federal crime.</t>
  </si>
  <si>
    <t>1322946505108557826</t>
  </si>
  <si>
    <t>Momentum is on our side, but we can't let up! 
Chip $5 to fund our critical voter mobilization efforts in Georgia:
https://t.co/CPluSj3wuq</t>
  </si>
  <si>
    <t>1322931403844132868</t>
  </si>
  <si>
    <t>WE NEED TO VOTE. https://t.co/x0GgLrbP9q</t>
  </si>
  <si>
    <t>1322915267161296897</t>
  </si>
  <si>
    <t>@JusticeSimone1 Thank you!!</t>
  </si>
  <si>
    <t>1322911794357260305</t>
  </si>
  <si>
    <t>Ok be real with me. Have you made calls to Georgia voters yet? 
https://t.co/AznD5G3k9E</t>
  </si>
  <si>
    <t>1322893656039301120</t>
  </si>
  <si>
    <t>David Perdue’s health care plan: the emergency room.</t>
  </si>
  <si>
    <t>1322741165456822277</t>
  </si>
  <si>
    <t>Getting a degree from a public college or an HBCU shouldn't require a penny of debt.</t>
  </si>
  <si>
    <t>1322687226954817539</t>
  </si>
  <si>
    <t>GEORGIA: 
Make your plan to vote on Tuesday ASAP: https://t.co/dbxV1bjiMf
Find your absentee ballot Drop Box: https://t.co/5nsoIqJKMO 
If you requested an absentee ballot and still haven't gotten it, vote in-person on Election Day (Tuesday, Nov 3) instead.</t>
  </si>
  <si>
    <t>1322685784638525441</t>
  </si>
  <si>
    <t>I want to live in an America where our leaders are honest with us about threats to our health.</t>
  </si>
  <si>
    <t>1322633841165717509</t>
  </si>
  <si>
    <t>GEORGIA: 
Find your absentee ballot Drop Box here: https://t.co/5nsoIqJKMO 
Track your ballot here: https://t.co/SjOaiGJ1EN
If you requested an absentee ballot and still haven't gotten it, vote in-person on Election Day (Tuesday, Nov 3) instead: https://t.co/dbxV1bjiMf</t>
  </si>
  <si>
    <t>1322629414358716416</t>
  </si>
  <si>
    <t>DROP OFF YOUR ABSENTEE BALLOT. https://t.co/7nrdjpIFnC</t>
  </si>
  <si>
    <t>1322615453383069697</t>
  </si>
  <si>
    <t>Sen. Perdue wants to rip away our health care during a pandemic and gut protections for Georgians with pre-existing conditions.
These are the facts.</t>
  </si>
  <si>
    <t>1322593353226211331</t>
  </si>
  <si>
    <t>NEW: @KamalaHarris and @BarackObama are visiting GEORGIA in the final stretch. MOMENTUM!
https://t.co/7ttUKF4iBT</t>
  </si>
  <si>
    <t>1322591167813476352</t>
  </si>
  <si>
    <t>See you soon, @kumailn! https://t.co/tN0DcywNgE</t>
  </si>
  <si>
    <t>1322577955487318016</t>
  </si>
  <si>
    <t>Momentum is on our side, but we can't let up! 
Chip $5 to fund our critical voter mobilization efforts in Georgia:
https://t.co/CPluSiLV5Q</t>
  </si>
  <si>
    <t>1322575386211979264</t>
  </si>
  <si>
    <t>This is our moment, Georgia. 
Help us win: https://t.co/VOL4pjsGrE https://t.co/kyWwZgQsRI</t>
  </si>
  <si>
    <t>1322556081286090752</t>
  </si>
  <si>
    <t>GEORGIA IS *THE* BATTLEGROUND STATE. https://t.co/BAVZ71qlg0</t>
  </si>
  <si>
    <t>1322531267783483393</t>
  </si>
  <si>
    <t>We need help calling voters in Georgia! 
Take a break from Twitter and sign up for our GOTV Phone Bank Kickoff at 11AM EST! https://t.co/JKrBEAjLjS</t>
  </si>
  <si>
    <t>1322516168700289025</t>
  </si>
  <si>
    <t>For the past six years, Senator Perdue has put himself and his donors ahead of his constituents. 
Come Tuesday, it ends. 
VOTE! https://t.co/1up5awslVh</t>
  </si>
  <si>
    <t>1322340566290604039</t>
  </si>
  <si>
    <t>Try being one of his constituents. https://t.co/KLczWm4Pis</t>
  </si>
  <si>
    <t>1322296629421133824</t>
  </si>
  <si>
    <t>@mkraju Try being one of his constituents.</t>
  </si>
  <si>
    <t>1322294253100421125</t>
  </si>
  <si>
    <t>He won't answer my questions either. That's why he cancelled our debate. 
Let’s end his career for good: 
https://t.co/zi5Wxg0VYr https://t.co/KLczWm4Pis</t>
  </si>
  <si>
    <t>1322251931549638657</t>
  </si>
  <si>
    <t>I will always protect coverage for Americans with pre-existing conditions. Period. https://t.co/Viw7tFHPQa</t>
  </si>
  <si>
    <t>1322225052444774402</t>
  </si>
  <si>
    <t>The emergence of a deadly virus is no politician’s fault. 
But responsibility for our government’s undeniably catastrophic response rests 100% with President Trump and the spineless politicians who serve him, like Senator David Perdue.</t>
  </si>
  <si>
    <t>1322214180418510848</t>
  </si>
  <si>
    <t>TODAY IS THE LAST DAY OF EARLY VOTING IN GEORGIA.  
Listen to @Common and VOTE. 
https://t.co/MAtC2TAnKI https://t.co/LexC1WqT5t</t>
  </si>
  <si>
    <t>1322160855891496961</t>
  </si>
  <si>
    <t>For 6 years, David Perdue has refused to answer to the people. 
He held ZERO public town halls while selling meetings on private islands to lobbyists for $7,500 corporate PAC checks!
Come Tuesday, the people will end his career for good. https://t.co/MipKPB0l8d</t>
  </si>
  <si>
    <t>1322155524390031360</t>
  </si>
  <si>
    <t>GEORGIA: 
🗳 Find your early vote location: https://t.co/MAtC2TiMTa
📥 Find your absentee ballot Drop Box: https://t.co/5nsoIqJKMO
☎️ Call the Voter Protection Hotline if you need help, 1-888-730-5816.</t>
  </si>
  <si>
    <t>1322153781333696512</t>
  </si>
  <si>
    <t>TODAY IS THE LAST DAY OF EARLY VOTING IN GEORGIA.</t>
  </si>
  <si>
    <t>1322011148229763073</t>
  </si>
  <si>
    <t>Tbh I was really looking forward to debating him again. 
https://t.co/zi5Wxg0VYr https://t.co/tlU90Uw0Il</t>
  </si>
  <si>
    <t>1322008643940864002</t>
  </si>
  <si>
    <t>GEORGIA: 
🗳 Early voting ends TOMORROW. Find your poll: https://t.co/MAtC2TiMTa
✉️ If you haven't mailed back your absentee ballot, DROP IT OFF at a Drop Box in your country: https://t.co/5nsoIqJKMO
☎️ Call the Voter Protection Hotline 24/7 if you need help, 1-888-730-5816.</t>
  </si>
  <si>
    <t>1322002980229492738</t>
  </si>
  <si>
    <t>We’ve got 5 days to go win this thing.
Chip in $5 right now to defeat David Perdue:
https://t.co/VKubhoxUss</t>
  </si>
  <si>
    <t>1321982157997441024</t>
  </si>
  <si>
    <t>The people of Georgia are tired of having a spineless, disgraced politician serve as their Senator. https://t.co/OdaYwFKzmz</t>
  </si>
  <si>
    <t>1321946138161930242</t>
  </si>
  <si>
    <t>@ProjectLincoln @Perduesenate 🐔🐔🐔
https://t.co/zi5Wxg0VYr
https://t.co/Of6btUaAQD</t>
  </si>
  <si>
    <t>1321942387757846529</t>
  </si>
  <si>
    <t>GEORGIA: TOMORROW IS THE LAST DAY OF EARLY VOTING.
Listen to @KamalaHarris.
VOTE! https://t.co/a8LrIyGjar</t>
  </si>
  <si>
    <t>1321939922652221440</t>
  </si>
  <si>
    <t>David Perdue isn’t just a crook –– he’s a coward, too.
End his career for good:
https://t.co/zi5Wxg0VYr
🐔🐔🐔</t>
  </si>
  <si>
    <t>1321927290373242880</t>
  </si>
  <si>
    <t>Chip in to end his career for good:
https://t.co/zi5Wxg0VYr
https://t.co/zi5Wxg0VYr</t>
  </si>
  <si>
    <t>1321926559368912896</t>
  </si>
  <si>
    <t>BREAKING: Senator Perdue just cancelled our final debate.
At last night's debate, millions saw that Perdue had no answers when I called him out on his record of blatant corruption, widespread disease, and economic devastation. 
Shame on you, Senator.</t>
  </si>
  <si>
    <t>1321915627339161602</t>
  </si>
  <si>
    <t>GEORGIA: 
🗳 Early voting ends TOMORROW: https://t.co/MAtC2TiMTa
✉️ If you haven't mailed back your absentee ballot, DROP IT OFF at a Drop Box in your country: https://t.co/5nsoIqJKMO
☎️ Call the Voter Protection Hotline 24/7 if you need help, 1-888-730-5816.</t>
  </si>
  <si>
    <t>1321914463428268033</t>
  </si>
  <si>
    <t>United, determined, and with clarity of purpose – we will win.
VOTE. https://t.co/WqITxMY7FS</t>
  </si>
  <si>
    <t>1321870255216623619</t>
  </si>
  <si>
    <t>The people of Georgia are finished with David Perdue.
https://t.co/oBpJ4LB4rr</t>
  </si>
  <si>
    <t>1321844017353674752</t>
  </si>
  <si>
    <t>Senator Perdue has no record to run on but mass disease and unemployment, so he's betting his whole campaign on bigotry and fearmongering.
It's not working for him.
5 days. Keep him on defense.
https://t.co/zi5Wxg0VYr
https://t.co/zi5Wxg0VYr</t>
  </si>
  <si>
    <t>1321828009184272384</t>
  </si>
  <si>
    <t>David Perdue has been a senator for six years and has nothing to run on but widespread disease and mass unemployment.</t>
  </si>
  <si>
    <t>1321791393551970305</t>
  </si>
  <si>
    <t>Sen. David Perdue is out for himself — not for our health. https://t.co/zbtmw6rU4Q</t>
  </si>
  <si>
    <t>1321667044446818310</t>
  </si>
  <si>
    <t>Folks, we're 5 days out and I'm narrowly leading Sen. Perdue in the polls.
Chip in $1 to end his career:
https://t.co/zi5Wxg0VYr</t>
  </si>
  <si>
    <t>1321663557998694400</t>
  </si>
  <si>
    <t>We have him on the ropes. Take 30 seconds to end his career: 
https://t.co/zi5Wxg0VYr
https://t.co/zi5Wxg0VYr</t>
  </si>
  <si>
    <t>1321662978475937793</t>
  </si>
  <si>
    <t>Folks, we're 5 days out and I'm narrowly leading Sen. Perdue in the polls.
Chip in $1 to end his career:
https://t.co/zi5Wxg0VYr
https://t.co/zi5Wxg0VYr</t>
  </si>
  <si>
    <t>1321655331940929543</t>
  </si>
  <si>
    <t>Sen. David Perdue doesn't deserve to be re-elected. 
https://t.co/S7Zi3dsnik</t>
  </si>
  <si>
    <t>1321622983157469185</t>
  </si>
  <si>
    <t>We will re-unite America. Defeat this virus. And rebuild our economy.
Chip in for victory &amp;gt;&amp;gt;
https://t.co/VKubhoxUss</t>
  </si>
  <si>
    <t>1321615639430180865</t>
  </si>
  <si>
    <t>This is our moment, Georgia. https://t.co/fLbyQhBV7g</t>
  </si>
  <si>
    <t>1321613904905228288</t>
  </si>
  <si>
    <t>David Perdue embodies everything that’s wrong with our political system. 
#GASen #GASenDebate https://t.co/1fJBqvKBDd</t>
  </si>
  <si>
    <t>1321609275433721857</t>
  </si>
  <si>
    <t>Sen. David Perdue is a man without vision or integrity. 
Instead of leading and inspiring, he stoops to mocking the heritage of his political opponents.
Georgia is finished with David Perdue.
https://t.co/zi5Wxg0VYr https://t.co/am9Gh18gUY</t>
  </si>
  <si>
    <t>1321603398752415746</t>
  </si>
  <si>
    <t>David Perdue lined his own pockets – trading medical stocks and dumping casino shares – while he lied to us about the threat of a virus that's now killed over 220,000 Americans.
He doesn't deserve to be re-elected. 
#GASen #GASenDebate https://t.co/5iW8wsrpGq</t>
  </si>
  <si>
    <t>1321600667639832576</t>
  </si>
  <si>
    <t>Getting a degree from a public college or an HBCU shouldn't require a penny of debt.
#GASen #GASenDebate https://t.co/f5cGE9a13j</t>
  </si>
  <si>
    <t>1321599070566293515</t>
  </si>
  <si>
    <t>David Perdue doesn't want to address how he is working day and night to rip health care away from Georgians in the middle of a pandemic.
#GASen #GASenDebate https://t.co/Si9KGkCggA</t>
  </si>
  <si>
    <t>1321597833397547008</t>
  </si>
  <si>
    <t>In the middle of a pandemic, Senator David Perdue is supporting a lawsuit to take away protections from Americans with pre-existing conditions.
Georgia deserves better. 
#GASen #GASenDebate https://t.co/adX4g81Vs3</t>
  </si>
  <si>
    <t>1321595486411829251</t>
  </si>
  <si>
    <t>As thousands of Georgians died and millions of Americans lost their jobs, Sen. Perdue continued to lie to us about the dangers of COVID-19.
Senator, take some personal responsibility. 
#GASenDebate #GASen https://t.co/HlgmH6o1lD</t>
  </si>
  <si>
    <t>1321592923583062019</t>
  </si>
  <si>
    <t>Senator Perdue was briefed on the true threat from COVID-19, but he lied to us and said the risk to our health was “low.” 
He compared COVID-19 to the flu.
Now over 220,000 friends, neighbors, and grandparents have died.
#GASen #GASenDebate</t>
  </si>
  <si>
    <t>1321586602498543617</t>
  </si>
  <si>
    <t>NEW: Mitch McConnell’s super PAC is pouring millions into Georgia days before the election to narrow my lead against Sen. David Perdue. 
Chip $5 before I hit the debate stage &amp;gt;&amp;gt; https://t.co/aj06egmniq https://t.co/D8kIt9NWLW</t>
  </si>
  <si>
    <t>1321562693757751297</t>
  </si>
  <si>
    <t>Tonight, I’ll take the debate stage to talk to Georgians about the issues most important to us this election. 
Watch it live at 7PM EST: https://t.co/VdAGGUWrNk https://t.co/vIzQLUpnCa</t>
  </si>
  <si>
    <t>1321546691628191744</t>
  </si>
  <si>
    <t>I’ll stand up to the insurance and drug companies to make quality health care affordable for all.
David Perdue is a loyal servant for the insurance and drug companies.
The choice is clear.</t>
  </si>
  <si>
    <t>1321523750198779906</t>
  </si>
  <si>
    <t>BREAKING: NEW #GASen POLL:
Ossoff: 49% (!!!)
Perdue: 46% 
Folks, we have officially surged into the lead in Georgia! 
Chip in $5 to defend it &amp;gt;&amp;gt; https://t.co/aj06egmniq https://t.co/TQjaQ12nsJ</t>
  </si>
  <si>
    <t>1321451812965277701</t>
  </si>
  <si>
    <t>Thanks for showing Georgia some love, @Common. 
Let’s win this, @ReverendWarnock. https://t.co/my9j9Bo1mh</t>
  </si>
  <si>
    <t>1321288113977724932</t>
  </si>
  <si>
    <t>GEORGIA: 
🗳 Early voting ends this Friday. VOTE ASAP:
https://t.co/MAtC2TiMTa
✉️ If you haven't mailed back your absentee ballot, DROP IT OFF at a Drop Box in your country: 
https://t.co/5nsoIqJKMO
☎️ Call the Voter Protection Hotline 24/7 if you need help, 1-888-730-5816.</t>
  </si>
  <si>
    <t>1321286410347884552</t>
  </si>
  <si>
    <t>Facts. https://t.co/zXT2lMyMca</t>
  </si>
  <si>
    <t>1321275468918759425</t>
  </si>
  <si>
    <t>All eyes are on us, Georgia. https://t.co/Tx3UvR5A2z</t>
  </si>
  <si>
    <t>1321157213277151232</t>
  </si>
  <si>
    <t>Tune in TONIGHT at 8PM EST on Facebook for a special GOTV conversation with @StaceyAbrams! 
https://t.co/0dPoFvmCTD https://t.co/oOnWid9s5g</t>
  </si>
  <si>
    <t>1321137080811008000</t>
  </si>
  <si>
    <t>See you soon, @JoeBiden!
GEORGIA IS *THE* BATTLEGROUND STATE! https://t.co/RLuX9peCzT</t>
  </si>
  <si>
    <t>1321128035714818053</t>
  </si>
  <si>
    <t>.@KamalaHarris came to Georgia! We rallied the people to VOTE like never before! Georgia, the nation’s eyes are on us! https://t.co/Ce8DZcyKHx</t>
  </si>
  <si>
    <t>1321106374965735425</t>
  </si>
  <si>
    <t>RSVP ⬇️
https://t.co/sjTo7Pg5UF</t>
  </si>
  <si>
    <t>1321105292864663552</t>
  </si>
  <si>
    <t>See you soon, @Common and @ReverendWarnock! https://t.co/WnmixUVys1</t>
  </si>
  <si>
    <t>1321081483063447554</t>
  </si>
  <si>
    <t>GEORGIA: If you haven't mailed back your absentee ballot, try to drop it off directly at a ballot Drop Box.  
It's quick, easy and safe: https://t.co/5nsoIqJKMO
Share this far and wide!</t>
  </si>
  <si>
    <t>1321079797997572104</t>
  </si>
  <si>
    <t>GEORGIA: 
🗳 Early voting ends this Friday.  VOTE TODAY: https://t.co/MAtC2TiMTa
📥 DROP OFF your absentee ballot if you haven't mailed it back yet: https://t.co/5nsoIqJKMO
☎️ Call the Voter Protection Hotline if you need help, 1-888-730-5816.</t>
  </si>
  <si>
    <t>1321076617129713664</t>
  </si>
  <si>
    <t>1 week, Georgia. https://t.co/aTb0omn56P</t>
  </si>
  <si>
    <t>1320886226606608384</t>
  </si>
  <si>
    <t>1320884835318145025</t>
  </si>
  <si>
    <t>America, our health care is on the ballot.</t>
  </si>
  <si>
    <t>1320853637481041922</t>
  </si>
  <si>
    <t>At a moment of terrible crisis and bitter division, we need @JoeBiden's strong and stable leadership to solve problems and heal our country. 
I’m honored by his support and confidence. https://t.co/oIXELc4wAz</t>
  </si>
  <si>
    <t>1320779222948958208</t>
  </si>
  <si>
    <t>GEORGIA: EARLY VOTING IS OPEN THROUGH FRIDAY. 
Find your poll, and VOTE TODAY. 
➡️ https://t.co/MAtC2TiMTa</t>
  </si>
  <si>
    <t>1320778885995339777</t>
  </si>
  <si>
    <t>Have you voted yet? https://t.co/fSyr5kSiKG</t>
  </si>
  <si>
    <t>1320758071677853697</t>
  </si>
  <si>
    <t>BREAKING: NEW @AJC #GASen POLL:
📈 Ossoff: 46% (!)
📉 Perdue: 45%
This is our moment. Let's win: 
https://t.co/zi5Wxg0VYr https://t.co/YZlYMXZzK2</t>
  </si>
  <si>
    <t>1320732430450462720</t>
  </si>
  <si>
    <t>We have him on the ropes. Take 30 seconds to help me win. 
https://t.co/zi5Wxg0VYr
https://t.co/Of6btUaAQD</t>
  </si>
  <si>
    <t>1320727708024844288</t>
  </si>
  <si>
    <t>David Perdue is a shameless hypocrite. https://t.co/IEwZrhQUKE</t>
  </si>
  <si>
    <t>1320726079380824066</t>
  </si>
  <si>
    <t>GEORGIA: 
🗳 Find your early voting location: https://t.co/MAtC2TiMTa
📥 Find your absentee ballot Drop Box: https://t.co/5nsoIqJKMO
☎️ Call the Voter Protection Hotline if you need help, 1-888-730-5816.</t>
  </si>
  <si>
    <t>1320704229716201472</t>
  </si>
  <si>
    <t>.@StaceyAbrams lost by just 1% in 2018. 55,000 votes.
Over 800,000 voters have been added to the rolls here since then.
Georgia, this is our moment. https://t.co/al99OFBZ1g</t>
  </si>
  <si>
    <t>1320558487462678528</t>
  </si>
  <si>
    <t>Thanks, Chris! Every dollar counts! https://t.co/YCrF5O5Yys</t>
  </si>
  <si>
    <t>1320517832283742215</t>
  </si>
  <si>
    <t>.@StaceyAbrams built a movement that mobilized millions off the sidelines to vote. This our chance to build on it and WIN.
GEORGIA: EARLY VOTING IS OPEN THROUGH FRIDAY, OCT 30.
Find your poll, and VOTE. 
➡️ https://t.co/MAtC2TiMTa https://t.co/ny1ghFmTvj</t>
  </si>
  <si>
    <t>1320469727609790469</t>
  </si>
  <si>
    <t>Another preventable and devastating rural hospital closure. 
I will fight to expand Medicaid and deliver resources for Georgia’s clinics and hospitals!
https://t.co/qQQrNpGLK5</t>
  </si>
  <si>
    <t>1320431044512960515</t>
  </si>
  <si>
    <t>Thanks, Stacey! https://t.co/luHucYNNmz</t>
  </si>
  <si>
    <t>1320424340849102850</t>
  </si>
  <si>
    <t>Thank you, Cory! 9 days! Every dollar counts! https://t.co/zesSmAFDfP</t>
  </si>
  <si>
    <t>1320409276209397761</t>
  </si>
  <si>
    <t>We need all the help we can get to GOTV in Georgia for @JoeBiden, @KamalaHarris, @RaphaelWarnock and Dems up and down the ballot!  Every dollar counts! https://t.co/GUxTqInOD8</t>
  </si>
  <si>
    <t>1320386095088062465</t>
  </si>
  <si>
    <t>Take a break from Twitter to make calls and get out the vote in Georgia. ⬇️ 
https://t.co/AznD5G3k9E</t>
  </si>
  <si>
    <t>1320143788824760320</t>
  </si>
  <si>
    <t>GEORGIA IS *THE* BATTLEGROUND STATE. https://t.co/F9KNgqfq3g</t>
  </si>
  <si>
    <t>1320132297941749764</t>
  </si>
  <si>
    <t>10 days to go. We must do *everything* we can to defend voting rights in Georgia. Head to https://t.co/95xnIBHGcc to help. https://t.co/YtvhrbSYNU</t>
  </si>
  <si>
    <t>1320107328646033408</t>
  </si>
  <si>
    <t>GEORGIA: STATEWIDE EARLY VOTING IS *TODAY*
Find your poll, and VOTE TODAY: 
➡️ https://t.co/MAtC2TiMTa</t>
  </si>
  <si>
    <t>1320106781570367488</t>
  </si>
  <si>
    <t>10 days, Georgia. https://t.co/YJAozMNSqf</t>
  </si>
  <si>
    <t>1320048882336804864</t>
  </si>
  <si>
    <t>STATEWIDE EARLY VOTING IN GEORGIA IS TODAY. 
Find your poll, and VOTE TODAY. 
➡️ https://t.co/MAtC2TiMTa https://t.co/Q5TrGYGd3L</t>
  </si>
  <si>
    <t>1320033364586409986</t>
  </si>
  <si>
    <t>Hi Twitter, 10 days till the polls close. 
Help me win. Chip in $5 now. It really, really, really makes a difference. Or I wouldn't ask.
https://t.co/mmgk93Eb01</t>
  </si>
  <si>
    <t>1320019599983861761</t>
  </si>
  <si>
    <t>GEORGIA: STATEWIDE SATURDAY EARLY VOTING IS TODAY. 
Regardless of what county you live in, you can VOTE EARLY TODAY. 
Find your poll, and VOTE TODAY.
➡️  https://t.co/MAtC2TiMTa https://t.co/PRoWhEt89e</t>
  </si>
  <si>
    <t>1319802166396243968</t>
  </si>
  <si>
    <t>Let's make history, Georgia. https://t.co/WmcUOkauD2</t>
  </si>
  <si>
    <t>1319746951819235336</t>
  </si>
  <si>
    <t>Just arrived at @Morehouse College to welcome @KamalaHarris!
11 days. This is our moment, Georgia. https://t.co/nYeATFkMB6</t>
  </si>
  <si>
    <t>1319745296130363398</t>
  </si>
  <si>
    <t>WATCH LIVE: We're here @Morehouse College with @KamalaHarris to GET OUT THE VOTE in Georgia!
Georgia is *the* battleground state!
📥 GEORGIA - TOMORROW - STATEWIDE SATURDAY EARLY VOTING! https://t.co/Hko0Cxx6hx</t>
  </si>
  <si>
    <t>1319714320511545344</t>
  </si>
  <si>
    <t>GEORGIA: STATEWIDE SATURDAY EARLY VOTING IS TOMORROW.
Regardless of what county you live in, you can VOTE EARLY TOMORROW. 
Find your early voting location here: https://t.co/MAtC2TiMTa https://t.co/1MuG2g0pfS</t>
  </si>
  <si>
    <t>1319674858884706304</t>
  </si>
  <si>
    <t>Georgia is so excited to welcome you, @KamalaHarris! See you in a few hours! https://t.co/zY7uAkfzNC</t>
  </si>
  <si>
    <t>1319461609681702912</t>
  </si>
  <si>
    <t>The 14th Amendment already guarantees Equal Protection under the law. But that's far from real life in America today.
We need a new Civil Rights Act and real criminal justice reform now.</t>
  </si>
  <si>
    <t>1319418410430795778</t>
  </si>
  <si>
    <t>David Perdue lied to us about the risk of COVID-19 while he lined his own pockets. 
Now he doesn’t even show a shred of empathy for the nearly 220,000 Americans who’ve died from the virus.
He should be ashamed of himself. https://t.co/vmWnzJrIsS</t>
  </si>
  <si>
    <t>1319348835920076800</t>
  </si>
  <si>
    <t>We're in the middle of a pandemic and Donald Trump &amp;amp; David Perdue want to rip health care away from millions of Americans. 
Health care is on the ballot this November. https://t.co/VXOuWRhLTN</t>
  </si>
  <si>
    <t>1319327316514869254</t>
  </si>
  <si>
    <t>A message from @BarackObama endorsing this campaign. And shouting out Alisha! 
Thank you, Mr. President! https://t.co/bZmkCA2xMl</t>
  </si>
  <si>
    <t>1319311793840410625</t>
  </si>
  <si>
    <t>The scientific consensus is clear: if pollution from fossil fuel combustion is not controlled, the consequences will be dire. https://t.co/W8UBvESXcT</t>
  </si>
  <si>
    <t>1319279394578296836</t>
  </si>
  <si>
    <t>GEORGIA: 
🗳 Find your early vote location: https://t.co/MAtC2TAnKI
📥 Find your absentee ballot Drop Box: https://t.co/5nsoIqs9oe
☎️ Call the Voter Protection Hotline if you need help, 1-888-730-5816.</t>
  </si>
  <si>
    <t>1319278902565433347</t>
  </si>
  <si>
    <t>For the past six years, Senator Perdue has put himself and his donors ahead of his constituents. 
In November, it ends. https://t.co/xdmvjwu7UO</t>
  </si>
  <si>
    <t>1319043915530588160</t>
  </si>
  <si>
    <t>There's something happening in Georgia... https://t.co/9IkZmoT9Uh</t>
  </si>
  <si>
    <t>1319039912818151425</t>
  </si>
  <si>
    <t>Sen. David Perdue’s health care plan: the emergency room.</t>
  </si>
  <si>
    <t>1318980667707953154</t>
  </si>
  <si>
    <t>David Perdue must be defeated. https://t.co/M3TPG81wcU</t>
  </si>
  <si>
    <t>1318954323125075968</t>
  </si>
  <si>
    <t>1318953931041624065</t>
  </si>
  <si>
    <t>Your decision to vote will shape history. https://t.co/hKPUAigMyq</t>
  </si>
  <si>
    <t>1318900730363842562</t>
  </si>
  <si>
    <t>One state, two winnable U.S Senate seats. Let's get it done, @ReverendWarnock! https://t.co/5Yuc6k8kRO</t>
  </si>
  <si>
    <t>1318649415419256840</t>
  </si>
  <si>
    <t>We are all Americans. 
And we need healing and unifying leadership to confront the challenges of our time –– not David Perdue's division and bigotry. 
Thank you to @NikemaWilliams @Rahmanforga @BeeForGeorgia @AngelikaForGA for joining me this morning and speaking truth. https://t.co/xVbQGFl5EA</t>
  </si>
  <si>
    <t>1318640790642544641</t>
  </si>
  <si>
    <t>“It took Perdue seconds to tell so many people who chose to make America our home that he thinks of us as foreign, as outsiders," said @AngelikaForGA. "But we are just as American as he is. And we vote.”
https://t.co/nwaBEIzlAa</t>
  </si>
  <si>
    <t>1318627949973745666</t>
  </si>
  <si>
    <t>14 days. 
Text three friends ***right now*** who might skip out on voting. Don't leave them alone until they make a plan to vote!</t>
  </si>
  <si>
    <t>1318537451808456705</t>
  </si>
  <si>
    <t>Sen. David Perdue coming straight at you with ... more excuses!
He knew what he was doing!
https://t.co/zi5Wxg0VYr https://t.co/JieYbfggMS</t>
  </si>
  <si>
    <t>1318522358055927808</t>
  </si>
  <si>
    <t>Sen. David Perdue is a man without vision or integrity. 
Instead of leading and inspiring, he stoops to mocking the heritage of his political opponents.
Georgia is finished with David Perdue.
Help: https://t.co/zi5WxgiwPZ https://t.co/APsNtHkSBV</t>
  </si>
  <si>
    <t>1318377200048066560</t>
  </si>
  <si>
    <t>Sen. Perdue can't run on his record of widespread disease and mass unemployment. So he stoops to bigotry. 
Lengthening my nose in digital ads. Mocking Kamala's name. ENOUGH!
https://t.co/zi5Wxg0VYr https://t.co/ZW30GuS2mn</t>
  </si>
  <si>
    <t>1318292315484585985</t>
  </si>
  <si>
    <t>The only way to defend our health care, our privacy, our voting rights –– the only way to ensure the Supreme Court remains an impartial body, and not an instrument of right-wing extremism –– is to WIN.
https://t.co/ZoFWEkx7yr</t>
  </si>
  <si>
    <t>1318255975384666118</t>
  </si>
  <si>
    <t>GOP Senator David Perdue, folks. 
We have him on the ropes. Help me win. 
https://t.co/zi5Wxg0VYr
https://t.co/KaUKgA3176</t>
  </si>
  <si>
    <t>1318230124815355905</t>
  </si>
  <si>
    <t>Nearly 220,000 killed and not a shred of empathy or personal responsibility from Senator Perdue. https://t.co/NngeCiIZH4</t>
  </si>
  <si>
    <t>1318223509097730049</t>
  </si>
  <si>
    <t>FULTON COUNTY: State Farm Arena is open for early voting from now to 10/30.
FREE PARKING AND 300 MACHINES!
Get hours, directions and more info here: 
https://t.co/3Sf36KyimB</t>
  </si>
  <si>
    <t>1318188434075340806</t>
  </si>
  <si>
    <t>1318188024757424129</t>
  </si>
  <si>
    <t>GEORGIA IS READY FOR CHANGE.</t>
  </si>
  <si>
    <t>1318018731646255104</t>
  </si>
  <si>
    <t>WATCH: Until our debate, I suspect no one had spoken truth to Sen. Perdue's face for a long, long time.
https://t.co/rdxpH2xVyp</t>
  </si>
  <si>
    <t>1317944385355567105</t>
  </si>
  <si>
    <t>We’re LIVE, folks! My wife Dr. Alisha Kramer and I are discussing health care and answering your questions. Reply with a question and we’ll try to get to it! https://t.co/jIQIOJcUQK</t>
  </si>
  <si>
    <t>1317908336721932288</t>
  </si>
  <si>
    <t>Hey folks! My wife Dr. Alisha Kramer and I will be live on Twitter and Facebook at 5:15PM ET to discuss health care and answer questions!
See you tonight! https://t.co/EGJ1Zd3GPi</t>
  </si>
  <si>
    <t>1317871836949106689</t>
  </si>
  <si>
    <t>The people are not deterred. We will stand in line AS LONG AS IT TAKES to cast our votes.
@ReverendWarnock and I are fighting side by side. Change is coming to Georgia!
VOTE! https://t.co/alzU7lKdYd</t>
  </si>
  <si>
    <t>1317866451961872386</t>
  </si>
  <si>
    <t>🚨🚨 UNACCEPTABLE
"Sec. of State Brad Raffensperger, the state’s top election official, couldn’t assure voters that the problem was fully fixed. His office could offer no details about the nature of a bandwidth problem that reportedly caused the delays."
https://t.co/cI70PwqsJg</t>
  </si>
  <si>
    <t>1317843192042192896</t>
  </si>
  <si>
    <t>My mother immigrated to America at 23 because she believed in this country.
She became an activist because she saw the necessity of change.
She became a citizen to participate fully in our democracy.
Don't break my mother's heart. VOTE.</t>
  </si>
  <si>
    <t>1317650985758707712</t>
  </si>
  <si>
    <t>Help me defeat him ➡️ https://t.co/zi5Wxg0VYr
https://t.co/Of6btUaAQD</t>
  </si>
  <si>
    <t>1317650206146629632</t>
  </si>
  <si>
    <t>Sen. Perdue has nothing to run on but disease and recession.
So he stoops to schoolyard insults and belittles people for their heritage. https://t.co/KFiSibKYHl</t>
  </si>
  <si>
    <t>1317608586302939136</t>
  </si>
  <si>
    <t>I voted early. How about you? https://t.co/lZDPnSnF3K</t>
  </si>
  <si>
    <t>1317570403951411207</t>
  </si>
  <si>
    <t>Great seeing hundreds of supporters this morning at our yard sign drive-thru and outdoor street corner rally in Cascade.
THE PEOPLE ARE READY FOR CHANGE! https://t.co/sJ1UZzaRiS</t>
  </si>
  <si>
    <t>1317528476082180099</t>
  </si>
  <si>
    <t>Folks! We’ve raised $1M (!) since my opponent disgraced himself with bigoted mockery of Kamala’s name at yesterday’s Trump rally.
Can we make it $2M by midnight?
https://t.co/zi5Wxg0VYr
https://t.co/Of6btUaAQD</t>
  </si>
  <si>
    <t>1317464377684090882</t>
  </si>
  <si>
    <t>Help me defeat him:
https://t.co/z432Hxomuq</t>
  </si>
  <si>
    <t>1317463841777897473</t>
  </si>
  <si>
    <t>Senator Perdue’s campaign: fear, division, and performative bigotry at Trump rallies. https://t.co/Li430fR7an</t>
  </si>
  <si>
    <t>1317259038145511427</t>
  </si>
  <si>
    <t>Senator Perdue never would have done this to a male colleague.
Or a white colleague. 
And everyone knows it.
https://t.co/zi5Wxg0VYr https://t.co/TEiAJGiAaV</t>
  </si>
  <si>
    <t>1317238668919177216</t>
  </si>
  <si>
    <t>BREAKING: GOP Sen. David Perdue (R-Ga.) mocks Sen. Kamala Harris' name as "Kamala-mala-mala whatever" at Trump rally in Georgia.
Chip in $1 to end his career: https://t.co/iThIMKD9wZ https://t.co/4lYKJ7x71l</t>
  </si>
  <si>
    <t>1317232370580393985</t>
  </si>
  <si>
    <t>We're 18 days out and I'm narrowly leading Sen. Perdue in the polls.
Chip in $1 to end his career:
https://t.co/EIcdqorNzj</t>
  </si>
  <si>
    <t>1317231042089111552</t>
  </si>
  <si>
    <t>My opponent, GOP Sen. David Perdue of anti-Semitic attack ad infamy, just mocked Sen. Harris' name as "Kamala-mala-mala-whatever" at a Trump rally.
We are so much better than this. https://t.co/9AvoQK4RdN</t>
  </si>
  <si>
    <t>1317195414865629184</t>
  </si>
  <si>
    <t>If you live in Georgia and have suffered from cancer, diabetes or another pre-existing condition, your Senator, David Perdue, voted to let health insurers deny you health coverage.
And is spending vast sums to deceive you about it. https://t.co/JaHYSpUjS8</t>
  </si>
  <si>
    <t>1317132586968338432</t>
  </si>
  <si>
    <t>Weekend early voting is open in other counties too! Find hours and locations here: 
🗳 https://t.co/MAtC2TiMTa
And remember to call the Voter Protection Hotline if you need help:
☎️ 1-888-730-5816</t>
  </si>
  <si>
    <t>1317132352062185473</t>
  </si>
  <si>
    <t>GEORGIA: These counties have extra weekend early voting. Extended hours and new locations! 
✅  Cobb County
✅  DeKalb County
✅  Fulton County  
✅  Gwinnett County
Make a plan to vote early this weekend!
https://t.co/8SBoBJKOPL</t>
  </si>
  <si>
    <t>1317112375967875072</t>
  </si>
  <si>
    <t>NEWS: A new poll found me leading Senator Perdue by 6 points.
But I take no comfort in polls. I run like I'm behind. Every. Single. Day.
Chip in $5 to help us FIGHT THROUGH THE FINISH. ⬇️
https://t.co/6PtPhfEWsv</t>
  </si>
  <si>
    <t>1317080352758714370</t>
  </si>
  <si>
    <t>Sec. Raffensperger:
You've had months to prepare for this election.
No more ridiculous lines. No more malfunctioning technology. NO MORE EXCUSES!</t>
  </si>
  <si>
    <t>1316847990343176192</t>
  </si>
  <si>
    <t>Will our government serve the people, or only those who can buy access in Washington?
https://t.co/cfy5U8aWCu</t>
  </si>
  <si>
    <t>1316820760523087873</t>
  </si>
  <si>
    <t>Without Equal Justice, there is no justice at all.
Congress must reform policing and our criminal justice system to end brutality and racial profiling.</t>
  </si>
  <si>
    <t>1316808175392354304</t>
  </si>
  <si>
    <t>RT if you're ready to fire Sens. David Perdue and Kelly Loeffler. https://t.co/WRauhp2HeC</t>
  </si>
  <si>
    <t>1316787874965094401</t>
  </si>
  <si>
    <t>Easy time voting at State Farm Arena this morning. Waited in line for less than a minute! 
Hours and more info: https://t.co/tqM0O5JRAw
Not in Fulton County? Locate your early voting location: https://t.co/RBE4ThsmFw https://t.co/WvgEV8jrRf</t>
  </si>
  <si>
    <t>1316541963164844032</t>
  </si>
  <si>
    <t>Loving everything about this. Thanks, Ed, you are a great ambassador for our state! https://t.co/hNatPAfb5j</t>
  </si>
  <si>
    <t>1316527004519411713</t>
  </si>
  <si>
    <t>Find your early voting location: 
🗳https://t.co/MAtC2TiMTa
Find your absentee Drop Box: 
📥 https://t.co/5nsoIqJKMO
Call the Voter Protection Hotline if you need help: 
☎️ 1-888-730-5816</t>
  </si>
  <si>
    <t>1316523624212262912</t>
  </si>
  <si>
    <t>WATCH LIVE: @staceyabrams and I discuss early voting, ballot access and what’s at stake in 2020. Reply with a question and we'll try to get to it! https://t.co/fovLdfZWby</t>
  </si>
  <si>
    <t>1316498393141784576</t>
  </si>
  <si>
    <t>OBAMA! Don’t miss this one, folks!
https://t.co/8r8g4WxZzC</t>
  </si>
  <si>
    <t>1316481561093644294</t>
  </si>
  <si>
    <t>NEWS: @StaceyAbrams will be joining me TONIGHT for a special 1 GEORGIA Town Hall. 
On the agenda: Early voting, ballot access, and what’s at stake in 2020. 
Tune in TONIGHT @ 7:30PM ET. 
RSVP ➡️ https://t.co/KeMwlrYwpG https://t.co/ZC5MT9Lh0l</t>
  </si>
  <si>
    <t>1316444984984436736</t>
  </si>
  <si>
    <t>BREAKING: NEW #GASen Poll: 
@QuinnipiacPoll: 
 📈 Ossoff: 51% (!)
 📉 Perdue: 45%
We have officially surged into the lead in Georgia. 
20 days. Turn up the heat &amp;gt;&amp;gt;
https://t.co/6PtPhfEWsv</t>
  </si>
  <si>
    <t>1316411322016432128</t>
  </si>
  <si>
    <t>The next four years must be the most productive for  progress on Civil Rights and Voting Rights since the mid 1960s.
GEORGIA — find your early voting location: 
🗳 https://t.co/MAtC2TiMTa</t>
  </si>
  <si>
    <t>1316404765627240450</t>
  </si>
  <si>
    <t>GEORGIA:
2014: GOP + 8%
2016: GOP + 5%
2018: GOP + 1.4%
2020: It's up to us
Keep Trump on defense &amp;gt;&amp;gt; https://t.co/MY8WRC9Frg https://t.co/gWcfFKiZPn</t>
  </si>
  <si>
    <t>1316397166592700416</t>
  </si>
  <si>
    <t>GEORGIA:
Find your early voting location: 
🗳 https://t.co/MAtC2TiMTa
If you have ANY problems voting, call the voter protection hotline:
☎ 1-888-730-5816.</t>
  </si>
  <si>
    <t>1316396620355964930</t>
  </si>
  <si>
    <t>VOTE EARLY.</t>
  </si>
  <si>
    <t>1316129232116998145</t>
  </si>
  <si>
    <t>"The vote is the most powerful nonviolent tool we have. We must use it." - Congressman John Lewis. 
GEORGIA: EARLY VOTING IS OPEN.
Find your early voting location now. 
➡️ https://t.co/MAtC2TiMTa https://t.co/vVM5O5fg9t</t>
  </si>
  <si>
    <t>1316093212755456001</t>
  </si>
  <si>
    <t>David Perdue is out for himself –– not our health. https://t.co/4cZ0QRCN7P</t>
  </si>
  <si>
    <t>1316081129095663617</t>
  </si>
  <si>
    <t>Seven days after this election, the Supreme Court will be deciding whether insurance companies can deny health coverage to Americans with pre-existing conditions.</t>
  </si>
  <si>
    <t>1316024810250461185</t>
  </si>
  <si>
    <t>Voter suppression is a betrayal of the basic principles of our democracy.</t>
  </si>
  <si>
    <t>1316000736577163264</t>
  </si>
  <si>
    <t>Nearly 220,000 killed and not a shred of empathy or personal responsibility from Senator Perdue. https://t.co/rdxpH2PwpX</t>
  </si>
  <si>
    <t>1315846428254666755</t>
  </si>
  <si>
    <t>GEORGIA IS *THE* BATTLEGROUND STATE. https://t.co/1pRWsOgaX7</t>
  </si>
  <si>
    <t>1315834979469926400</t>
  </si>
  <si>
    <t>David Perdue lied to us about the risk of COVID-19 while he lined his own pockets. 
Now he doesn’t even show a shred of empathy for the nearly 220,000 Americans who’ve died from the virus.
He should be ashamed of himself. https://t.co/F7jaRocTkf</t>
  </si>
  <si>
    <t>1315822964558962694</t>
  </si>
  <si>
    <t>.@sendavidperdue is a shameless hypocrite. https://t.co/W2KFXL7dgS</t>
  </si>
  <si>
    <t>1315800068839165959</t>
  </si>
  <si>
    <t>At every turn David Perdue mindlessly defends Trump’s botched pandemic response that’s cost over 210,000 American lives and crushed our economy. https://t.co/gMZDi5FzZT</t>
  </si>
  <si>
    <t>1315782696581435392</t>
  </si>
  <si>
    <t>Henry, Cobb, Gwinnett, Fulton, &amp;amp; Dekalb County voters: STAY IN LINE TO VOTE! https://t.co/mC87FXLwXt</t>
  </si>
  <si>
    <t>1315776753768554496</t>
  </si>
  <si>
    <t>Senator Perdue’s playbook:
✅ Deny the problem.
✅ Refuse to solve it.
✅ Blame someone else.
This isn't about red versus blue. This is about human lives. https://t.co/KjxVisCgu5</t>
  </si>
  <si>
    <t>1315773535126728712</t>
  </si>
  <si>
    <t>David Perdue has been a senator for six years and has nothing to run on but widespread disease and mass unemployment. https://t.co/WQ63zEVwOn</t>
  </si>
  <si>
    <t>1315745207195967488</t>
  </si>
  <si>
    <t>My mother immigrated to America at 23 because she believed in this country.
She became an activist because she saw the necessity of change.
She became a citizen to participate fully in our democracy.
Don't break my mother's heart. VOTE.
#GAPol #GASenDebate https://t.co/dkefDbrgAC</t>
  </si>
  <si>
    <t>1315743657220284417</t>
  </si>
  <si>
    <t>Tackling climate change is about our health and our prosperity — and we can't have one without the other.
#GAPol #GASenDebate https://t.co/KAz3j0l8nu</t>
  </si>
  <si>
    <t>1315740745404473346</t>
  </si>
  <si>
    <t>I joined the @Georgia_NAACP in marching peacefully after Ahmaud Arbery was murdered. 
David Perdue refused to show up. 
#GAPol #GASenDebate https://t.co/azpDbuKbYf</t>
  </si>
  <si>
    <t>1315740414360588289</t>
  </si>
  <si>
    <t>My opponent, Sen. Perdue (R-Insurance Companies), voted to let his industry donors deny us health coverage because we have a pre-existing condition.
My wife, Dr. Kramer Alisha (OBGYN), thinks Georgians deserve better.
#GAPol #GASenDebate https://t.co/TcpmN5rBnM</t>
  </si>
  <si>
    <t>1315737618026557442</t>
  </si>
  <si>
    <t>David Perdue doesn’t care about ordinary people. He cares about himself, his donors, and his boss in the White House.
#GAPol #GASenDebate https://t.co/2jLCHbVA2d</t>
  </si>
  <si>
    <t>1315735369795670017</t>
  </si>
  <si>
    <t>As COVID-19 swept across our country, President Trump lied to us and covered up the threat. 
David Perdue lied right alongside him. 
#GAPol #GASenDebate https://t.co/gFuvW69ovk</t>
  </si>
  <si>
    <t>1315734670328451075</t>
  </si>
  <si>
    <t>210,000 Americans are dead. Businesses are shuttered. Millions are out of work. 
Instead of passing vital economic relief, Senator David Perdue is focused on rushing through an anti-choice SCOTUS nominee.
#GAPol #GASenDebate https://t.co/xCIDpaV7AP</t>
  </si>
  <si>
    <t>1315732586874929152</t>
  </si>
  <si>
    <t>I fight corruption for a living — and Senator David Perdue is the poster boy for Washington corruption.
The choice is clear. 
#GAPol #GASenDebate https://t.co/jEcSJ4gwuK</t>
  </si>
  <si>
    <t>1315727686921269249</t>
  </si>
  <si>
    <t>I'm about to debate "Trump's favorite Senator," David Perdue, who knew the true risks of COVID-19 but lied to us about the threat while he lined his own pockets. 
WATCH LIVE ➡️ https://t.co/VdAGGUWrNk https://t.co/TFsWZkli4p</t>
  </si>
  <si>
    <t>1315660997978398720</t>
  </si>
  <si>
    <t>GEORGIA: Early voting starts TODAY. Find your early voting location and make a plan. This is our moment! 
➡️ https://t.co/MAtC2TiMTa https://t.co/x8VCLUdNi4</t>
  </si>
  <si>
    <t>1315643573476483072</t>
  </si>
  <si>
    <t>.@staceyabrams 
@ReverendWarnock 
@FRANKSKI 
@DJSCREAM 
@ReElectHank 
@evertonblairjr 
@AmbAndrewYoung 
@RashanAli 
@nseufot 
@sb4da 
@JMTheAdvocate 
@AttorneyGriggs</t>
  </si>
  <si>
    <t>1315623250383249408</t>
  </si>
  <si>
    <t>EARLY VOTING IN GEORGIA STARTS TODAY! https://t.co/rIFxZhN7oN</t>
  </si>
  <si>
    <t>1315443867739713536</t>
  </si>
  <si>
    <t>My wonderful wife Alisha took a moment to share this important message about health care. https://t.co/GjJDNBpvqt</t>
  </si>
  <si>
    <t>1315327356287037440</t>
  </si>
  <si>
    <t>GEORGIA: Early voting starts TOMORROW!
Find your early voting location (it might be different than your normal voting location) and make a plan NOW!
➡️ https://t.co/dEUksLROOS
Share this far and wide! https://t.co/4Dj0jHdX3E</t>
  </si>
  <si>
    <t>1315315832772333568</t>
  </si>
  <si>
    <t>After refusing to hold a public town hall for nearly SIX YEARS, David Perdue will finally have to defend his record of mass unemployment, widespread disease, and blatant self-dealing. 
Tune in live tomorrow @ 3 PM ET.
➡️ https://t.co/IHvLkLPavm https://t.co/8LSPpt449A</t>
  </si>
  <si>
    <t>1315062212617220100</t>
  </si>
  <si>
    <t>Six-plus months later and we're still unable to live our normal lives. 
210,000 friends, neighbors, and grandparents are dead. 
Millions are out of work.
We need new leadership. Now.</t>
  </si>
  <si>
    <t>1315006769513615360</t>
  </si>
  <si>
    <t>NEWSCASTER: "This next story is more unusual than it seems. Senator David Perdue made a campaign appearance."
(it lasted nine minutes, and he took no questions) https://t.co/FS2wFpLwTq</t>
  </si>
  <si>
    <t>1314986915603656705</t>
  </si>
  <si>
    <t>Disgraced Senator David Perdue, afraid to face the people, won’t even answer questions from his own supporters: https://t.co/obrXXRarVV</t>
  </si>
  <si>
    <t>1314937256893964293</t>
  </si>
  <si>
    <t>Everyone, please: 
😷Wear a mask
🧼Wash your hands 
↔️ Keep your distance
And VOTE! 
GEORGIA:
🗓 EARLY VOTING STARTS 10/12 (2 DAYS!)
🗓 SATURDAY EARLY VOTING 10/24 https://t.co/m9GGFuP6bL</t>
  </si>
  <si>
    <t>1314738812296327170</t>
  </si>
  <si>
    <t>The solutions are right in front of us. What's missing is political will. The remedy is at the ballot box.</t>
  </si>
  <si>
    <t>1314657889731178496</t>
  </si>
  <si>
    <t>25 days. This is our moment, Georgia. 
🕐 Find your early voting location. https://t.co/MAtC2TiMTa
🗳 Drop off your absentee ballot. https://t.co/5nsoIqJKMO https://t.co/eXSQyjpDH7</t>
  </si>
  <si>
    <t>1314621512884850688</t>
  </si>
  <si>
    <t>.@katieporteroc is an anti-corruption icon. I look forward to working with her in Congress to hold special interests and crooked officials accountable. Thank you, Katie! https://t.co/sn2ncIrPak</t>
  </si>
  <si>
    <t>1314590076735819776</t>
  </si>
  <si>
    <t>Have you made a plan to vote??? Do it for them. Do it now!
GEORGIA:
🗓 EARLY VOTING STARTS 10/12 (3 DAYS!)
🗓 SATURDAY EARLY VOTING 10/24 https://t.co/xhISolwPLU</t>
  </si>
  <si>
    <t>1314536094877188098</t>
  </si>
  <si>
    <t>My wonderful wife Alisha took a moment to share this important message about health care. https://t.co/ox1GzNkO7z</t>
  </si>
  <si>
    <t>1314322786761019394</t>
  </si>
  <si>
    <t>Democracy or authoritarianism? 
Those are the stakes.
Only we can save us. VOTE!</t>
  </si>
  <si>
    <t>1314278836348088322</t>
  </si>
  <si>
    <t>A message from Dr. Alisha Kramer, OBGYN. I'm her husband https://t.co/wEEfIZ8G1f</t>
  </si>
  <si>
    <t>1314259097005555715</t>
  </si>
  <si>
    <t>.@KeishaBottoms' strong leadership during this pandemic has saved lives and earned her the admiration of the nation. I'm grateful for her endorsement. https://t.co/qeg95wRfOo</t>
  </si>
  <si>
    <t>1314237659028615173</t>
  </si>
  <si>
    <t>4 days until early voting starts in Georgia!
Find your early voting location and make a plan NOW!
➡️ https://t.co/DFrw6FHW2H</t>
  </si>
  <si>
    <t>1314191381154455552</t>
  </si>
  <si>
    <t>My wife Alisha is an OBGYN here in Georgia. So many of her patients struggle to afford care. 
It doesn't have to be this way! https://t.co/BQVyBadLVR</t>
  </si>
  <si>
    <t>1314030045552349184</t>
  </si>
  <si>
    <t>Vote KAMALA for VP!
GEORGIA:
🗓 EARLY VOTING STARTS 10/12
🗓 SATURDAY EARLY VOTING 10/24</t>
  </si>
  <si>
    <t>1314019882426609664</t>
  </si>
  <si>
    <t>America needs Kamala's vision, compassion, and competence.</t>
  </si>
  <si>
    <t>1314010987360649217</t>
  </si>
  <si>
    <t>Is Mike Pence still in charge of the national COVID-19 response?</t>
  </si>
  <si>
    <t>1314000365038325760</t>
  </si>
  <si>
    <t>5 days until early voting starts in Georgia.  
Add this and other essential voting dates to your calendar NOW ➡️ https://t.co/EsQnDMCLyh
Then invite your friends.
GEORGIA:
🗓 EARLY VOTING STARTS 10/12
🗓 SATURDAY EARLY VOTING 10/24</t>
  </si>
  <si>
    <t>1313927914296139776</t>
  </si>
  <si>
    <t>Even in the middle of a pandemic, David Perdue is trying to let insurance companies deny coverage to people with pre-existing conditions. https://t.co/snMADiOAOg</t>
  </si>
  <si>
    <t>1313894409944141824</t>
  </si>
  <si>
    <t>As long as we're represented by people like Donald Trump and David Perdue, who see public service as an opportunity to enrich themselves, the people will suffer.</t>
  </si>
  <si>
    <t>1313845102310297607</t>
  </si>
  <si>
    <t>😷 Wear a mask
🧼 Wash your hands 
↔️ Keep your distance
🗳 Vote https://t.co/NaSU6vwPrD</t>
  </si>
  <si>
    <t>1313652959633342464</t>
  </si>
  <si>
    <t>Mitch McConnell and David Perdue failed for months to pass COVID-19 relief while millions struggle and suffer. 
But now they’re pulling out all the stops to confirm a Supreme Court justice as swiftly as possible. 
Fight back &amp;gt;&amp;gt;
https://t.co/gg9yOzIlzK</t>
  </si>
  <si>
    <t>1313590192528330754</t>
  </si>
  <si>
    <t>Donald Trump and David Perdue insisted COVID-19 was no worse than the ordinary flu. 
Now, with over 200,000 Americans dead and millions out of work, they’re abandoning the economic relief effort.
VOTE! https://t.co/Z6DJA7IXia</t>
  </si>
  <si>
    <t>1313541498567307264</t>
  </si>
  <si>
    <t>Our government knew back in January that this virus was extremely dangerous.
Senator Perdue traded stocks. https://t.co/aVfkCulaFw</t>
  </si>
  <si>
    <t>1313507395545559041</t>
  </si>
  <si>
    <t>Thanks for helping GOTV @CatLucyJones! https://t.co/Ab4yBxQw6I</t>
  </si>
  <si>
    <t>1313237310985691143</t>
  </si>
  <si>
    <t>REGISTER. VOTE. SAVE OUR DEMOCRACY. https://t.co/uwGiR02z95</t>
  </si>
  <si>
    <t>1313200643826479111</t>
  </si>
  <si>
    <t>A college degree shouldn't require a penny of debt.
Debt-free tuition at public colleges and HBCUs.
We have the resources –– let’s invest in opportunity, education, and enlightenment. https://t.co/lCwjYjHSE3</t>
  </si>
  <si>
    <t>1313185033994285057</t>
  </si>
  <si>
    <t>Congressman John Lewis put his life on the line to protect the right to vote.
Let's honor his legacy. 
REGISTER TO VOTE (deadline today!) https://t.co/Hh41noYbJt https://t.co/pDn8ZXg1al</t>
  </si>
  <si>
    <t>1313117609659858946</t>
  </si>
  <si>
    <t>Register right now — this is your last chance!
DOUBLE CHECK YOUR REGISTRATION STATUS!
https://t.co/FnI3sA2sqJ</t>
  </si>
  <si>
    <t>1313117381259124737</t>
  </si>
  <si>
    <t>TODAY IS THE LAST DAY TO REGISTER TO VOTE IN GEORGIA.</t>
  </si>
  <si>
    <t>1313101641063727106</t>
  </si>
  <si>
    <t>29 days. Let's come together and get this done. 
GEORGIA:
🗓 EARLY VOTING STARTS 10/12
🗓 SATURDAY EARLY VOTING 10/24 https://t.co/h0gyyG5W8O</t>
  </si>
  <si>
    <t>1312884448434761728</t>
  </si>
  <si>
    <t>The cost of prescription drugs and health care in America is a scandal. https://t.co/IwRONLENPZ</t>
  </si>
  <si>
    <t>1312804055316606978</t>
  </si>
  <si>
    <t>GEORGIA: The deadline to register to vote is TOMORROW. 
REGISTER NOW. NO EXCUSES!
Share this far and wide! 
https://t.co/SgAdbxfBex</t>
  </si>
  <si>
    <t>1312789109535051777</t>
  </si>
  <si>
    <t>David Perdue is out for himself — not for our health. https://t.co/9DMlHszEd8</t>
  </si>
  <si>
    <t>1312528279463583745</t>
  </si>
  <si>
    <t>GEORGIA 2020: Two U.S. Senate races.
Vote @ReverendWarnock &amp;amp; @ossoff 
The ticket! https://t.co/JbtmMSIHS5</t>
  </si>
  <si>
    <t>1312464971494649857</t>
  </si>
  <si>
    <t>It was a beautiful fall morning in Lithonia with @ReverendWarnock and @ReElectHank. Hundreds came out to get signs and show support. 
Thank you! https://t.co/xowAda4oRV</t>
  </si>
  <si>
    <t>1312426433994608642</t>
  </si>
  <si>
    <t>Thank you #PostcardsToVoters! https://t.co/WpWJfzgZra</t>
  </si>
  <si>
    <t>1312370062788091906</t>
  </si>
  <si>
    <t>⏳2 DAYS until Voter Registration closes in Georgia! 
It only takes a few minutes. Register now &amp;gt;&amp;gt; https://t.co/Bs9GoLB5fN</t>
  </si>
  <si>
    <t>1323755364806987776</t>
  </si>
  <si>
    <t>If you haven’t voted yet, there’s still time - polls are open until 9PM.
I need your help to keep fighting to support our veterans, deliver for farmers and rural Iowa, and grow our economy. 
Find your polling location here, and make sure to vote!
https://t.co/wBl1vRnGk1</t>
  </si>
  <si>
    <t>1323710164218847232</t>
  </si>
  <si>
    <t>We saw so much momentum all across the state the past week. If we vote, we will win! 
Find your polling place here, and make sure to vote! https://t.co/MKy2NfKIMd https://t.co/IfIMWFU4DM</t>
  </si>
  <si>
    <t>1323681568364367872</t>
  </si>
  <si>
    <t>I just voted! 
Growing up on a small farm in SW Iowa, I never thought I’d see my name on a ballot, much less for the United State Senate. 
I’m so grateful for everyone who has believed in and supported me. It’s an honor to serve you, and to fight for Iowa every single day. https://t.co/RxJ5uk1m7Q</t>
  </si>
  <si>
    <t>1323454294960603138</t>
  </si>
  <si>
    <t>Just wrapped up the last day on the trail!
Iowans are truly the best people in the world, &amp;amp; the last 6 years I’ve been blessed with the opportunity to fight for you.
Serving Iowa has been the honor of my life, &amp;amp; I’m humbly asking for your vote so I can keep fighting for you https://t.co/Z7NesuwsmN</t>
  </si>
  <si>
    <t>1323445409138823169</t>
  </si>
  <si>
    <t>We had a surprise guest for our rally in Sioux City! @realDonaldTrump! https://t.co/LTymzk06jy</t>
  </si>
  <si>
    <t>1323425718781566988</t>
  </si>
  <si>
    <t>Great stop in Council Bluffs! 
Thank you to everyone who came out and met with me. With your support, I will keep fighting for our veterans, our families, and our farmers for another 6 years! https://t.co/Z5ErBJlVVF</t>
  </si>
  <si>
    <t>1323391105233231872</t>
  </si>
  <si>
    <t>I loved joining @IvankaTrump in Des Moines this afternoon! Ivanka has been a great ally in so many ways, and especially in the fight to expand access to affordable, quality, childcare! Looking forward to continuing this important work for the next 4 years! https://t.co/enbUamFW25</t>
  </si>
  <si>
    <t>1323340848457830401</t>
  </si>
  <si>
    <t>Just finished up a stop in Davenport! There’s so much momentum here for our Republican ticket, and I can’t wait to have @millermeeks in Congress fighting for Iowa with me! https://t.co/RC7vsu5Tq8</t>
  </si>
  <si>
    <t>1323326380222881794</t>
  </si>
  <si>
    <t>It all comes down to this. We have two days to get out, vote, and make sure we’re celebrating a big Republican win in Iowa tomorrow night! 
Early voting is open all across Iowa today - look up your polling location here, and GO VOTE! https://t.co/MKy2NfKIMd https://t.co/KLHFGiOKi4</t>
  </si>
  <si>
    <t>1323306707188154370</t>
  </si>
  <si>
    <t>Stop 2️⃣ today: Cedar Rapids! 
I’m so blessed to have the chance to meet with people all across the state, and to have the support of amazing Iowa leaders like @KimReynoldsIA, @ChuckGrassley, and @hinsonashley! https://t.co/FCKUYFMm3k</t>
  </si>
  <si>
    <t>1323275709763276800</t>
  </si>
  <si>
    <t>Excited to kick off the last day on the campaign trail! I’ll be making six stops all across Iowa today! 
Make sure to follow along here, and if you haven’t already, GO VOTE! You can find your voting location here: https://t.co/MKy2NfKIMd. https://t.co/7Wk06gqmQO</t>
  </si>
  <si>
    <t>1323086077826109444</t>
  </si>
  <si>
    <t>Just finished up the weekend with a stop in Des Moines! That makes 26 stops in the last 5 days on the Fighting For Iowa Tour! 
I’m so blessed to have the opportunity to travel the state, meet with so many wonderful Iowans, &amp;amp; fight for you all each and every day as your Senator. https://t.co/TrWmOpg4AN</t>
  </si>
  <si>
    <t>1323040819968987136</t>
  </si>
  <si>
    <t>I served our nation for 23 years in the military. I led a company of Iowa’s finest men and women in a combat zone.
So when @GreenfieldIowa and her dark money liberal allies lie about my integrity, it says more about them than me. Don’t fall for it. https://t.co/B6fxXR51DB</t>
  </si>
  <si>
    <t>1323017226463727616</t>
  </si>
  <si>
    <t>Great afternoon in Dubuque with @realDonaldTrump! 
The stakes are too high to hand control of our country to @AOC, @JoeBiden, and @GreenfieldIowa. 
Two days left, make sure to get out and vote! https://t.co/MKy2NfKIMd https://t.co/mG1FtGxaCG</t>
  </si>
  <si>
    <t>1322964060762243074</t>
  </si>
  <si>
    <t>Great to be in Dubuque for the @realDonaldTrump rally! 
So much excitement and energy here for our Republican ticket - Just 2 more days until we Keep Iowa Red! 
Make sure to vote tomorrow or Tuesday - you can find your voting location here: https://t.co/MKy2NfKIMd https://t.co/3U403kHkTM</t>
  </si>
  <si>
    <t>1322950420986290177</t>
  </si>
  <si>
    <t>I’m the only #IASen candidate to earn a major ag endorsement in this race - and I have three!
I’m proud to have been endorsed by @IowaFarmBureau, @iowa_corn, and @IAcattlemen. I’ve always fought for #IowaAg, and I always will.</t>
  </si>
  <si>
    <t>1322926362739486720</t>
  </si>
  <si>
    <t>Good morning everybody! Starting the day off in Mount Pleasant! Great to talk to these folks about the issues facing their communities, and what we can do to move Iowa forward! https://t.co/XjCixU8KeU</t>
  </si>
  <si>
    <t>1322709509991747588</t>
  </si>
  <si>
    <t>Thank you to our law enforcement officers who do so much to keep our communities safe! https://t.co/SCxO3xWZFq</t>
  </si>
  <si>
    <t>1322709268122906626</t>
  </si>
  <si>
    <t>Great way to end another day on the Fighting For Iowa RV Tour! Amazing people and a perfect night in Muscatine! https://t.co/ahcDpq0a3i</t>
  </si>
  <si>
    <t>1322692792741748737</t>
  </si>
  <si>
    <t>It was great to catch up with Maggie Tinsman in Davenport.
Maggie served 18 years in the Iowa Senate, and has been an inspiration and mentor to me for a long time.
Thank you Maggie for all you’ve done, and all you continue to do, to pave the way for Iowa women in politics! https://t.co/bDEjrzoqRp</t>
  </si>
  <si>
    <t>1322679749580382208</t>
  </si>
  <si>
    <t>It was great to speak with this first time voter on our Fighting For Iowa RV Tour stop in Davenport! 
It’s so great to see young people getting out to the polls and fighting for the future of our nation! https://t.co/wjAFr1Kcqz</t>
  </si>
  <si>
    <t>1322652630150221827</t>
  </si>
  <si>
    <t>Minor league baseball is an Iowa staple, and I was honored to speak with folks in Clinton at LumberKings Stadium!
I’ll always go to bat for our Iowa way of life, and I’ll always fight for all Iowans. https://t.co/KFZqaVrWAj</t>
  </si>
  <si>
    <t>1322624907587497984</t>
  </si>
  <si>
    <t>Great crowd and great energy here at the Fighting For Iowa stop in Maquoketa with @KimReynoldsIA and @hinsonashley! 
It’s amazing to see the enthusiasm across Iowa for our Republican ticket! https://t.co/dHJopCZLEv</t>
  </si>
  <si>
    <t>1322603735491747840</t>
  </si>
  <si>
    <t>At every stop on the Fighting For Iowa Tour I ask people to sign our campaign RV. This is because I know our campaign is powered by grassroots support, and I want to take a little bit of all our great supporters with me on the road. https://t.co/FoARMgU9gk</t>
  </si>
  <si>
    <t>1322581496469880834</t>
  </si>
  <si>
    <t>Where do you campaign on Halloween? A pumpkin patch of course! 
Great to be with so many Iowans in Manchester, from decorated veterans to future Iowa leaders, to talk about how I’m fighting for Iowa’s families, veterans, and farmers. https://t.co/rhWSsupCXk</t>
  </si>
  <si>
    <t>1322573660239122433</t>
  </si>
  <si>
    <t>Happy birthday to @DanZumbach, a great friend and relentless ally fighting for #IowaAg! https://t.co/OfTFMqED78</t>
  </si>
  <si>
    <t>1322561971867295744</t>
  </si>
  <si>
    <t>Kicking off the day on the Fighting For Iowa Tour in Independence! 
One of my favorite parts of being on the campaign trail is talking to young people all across the state about how we’re building a better future for all Iowans! https://t.co/cogsd8ycDB</t>
  </si>
  <si>
    <t>1322355772240596993</t>
  </si>
  <si>
    <t>Busy day today with 7 (!) stops on the Fighting For Iowa Bus Tour as we travelled from Sioux City to Waterloo! 
I had the chance to meet with so many wonderful people, and talk about how I’m fighting for our farmers, our veterans, and our families. https://t.co/kuZhZyCeG4</t>
  </si>
  <si>
    <t>1322337357618663425</t>
  </si>
  <si>
    <t>Perfect way to end the day on the Fighting For Iowa RV Tour: a beautiful night in Waterloo and Trick or Treaters! https://t.co/jMZuNN2OrX</t>
  </si>
  <si>
    <t>1322320065526640641</t>
  </si>
  <si>
    <t>Thank you to the folks in Iowa Falls for this Thank You card and cake! 
I’m proud to have supported Justice Barrett’s nomination. She will be an amazing Justice, and she’s an inspiration to women everywhere! https://t.co/npFYhrqMvu</t>
  </si>
  <si>
    <t>1322289358607699969</t>
  </si>
  <si>
    <t>Another great stop, in Fort Dodge! 
There is so much enthusiasm for our Republican ticket all throughout the state. People are fired up and ready to keep fighting for Iowa! https://t.co/A0bi4sYS6n</t>
  </si>
  <si>
    <t>1322261874499604481</t>
  </si>
  <si>
    <t>Next stop on the Fighting for Iowa Tour: beautiful Alta! Huge turnout as folks are fired up to push back against the outside money pouring into our state for my opponent, and to stand up for Iowa families, farmers, and vets! https://t.co/wpYEBDLcZw</t>
  </si>
  <si>
    <t>1322221996474834946</t>
  </si>
  <si>
    <t>Thank you to everyone who joined me today in Sioux Center! People in communities just like yours are why we’re going to win this race!
As a rural Iowan myself, I’m fighting for you because I know your struggles, &amp;amp; I know that being Iowa’s Senator means representing all of Iowa. https://t.co/Nmfjb0BEhy</t>
  </si>
  <si>
    <t>1322200076517781504</t>
  </si>
  <si>
    <t>Great to be with @ChuckGrassley, @KimReynoldsIA, and @tedcruz in Le Mars on the Fighting For Iowa RV tour! 
We are seeing so much momentum across the state, make sure to get out and vote to help us deliver a big Republican victory on November 3rd! https://t.co/KwcMkdArM6 https://t.co/XevWzeN9p2</t>
  </si>
  <si>
    <t>1322190456495722496</t>
  </si>
  <si>
    <t>Great way to start the day on the Fighting For Iowa RV tour! 
I got the chance to talk to folks in Sioux City about how we’re bringing the economy back, and all I’m doing to fight for our farmers, veterans, and families. https://t.co/DQG4Tg3VQk</t>
  </si>
  <si>
    <t>1322177503130198016</t>
  </si>
  <si>
    <t>When America gets knocked down, we don’t stay down for long. It's been a tough year, but under the leadership of @realDonaldTrump and our Republican Senate Majority, we’re getting people back to work and back on their feet. 
https://t.co/ncoel1rCPY</t>
  </si>
  <si>
    <t>1322159268234219521</t>
  </si>
  <si>
    <t>Good Morning Sioux City! https://t.co/IcKx6Ymvha</t>
  </si>
  <si>
    <t>1321969385196703747</t>
  </si>
  <si>
    <t>Ran into some 4-Hers in Denison. Thanks for stopping by! https://t.co/xYqJUrZKhc</t>
  </si>
  <si>
    <t>1321964296373489666</t>
  </si>
  <si>
    <t>Thanks to these young Republicans and future leaders for their support of law enforcement! https://t.co/cLEQtdU6pn</t>
  </si>
  <si>
    <t>1321959614213246977</t>
  </si>
  <si>
    <t>God bless our great veterans! And Go Army! https://t.co/HWB7EIKn58</t>
  </si>
  <si>
    <t>1321946467813253124</t>
  </si>
  <si>
    <t>Great to join you in Des Moines today @Mike_Pence! Looking forward to keep fighting for Iowa’s farmers, veterans, and families with you. https://t.co/v3nRhOaK7N</t>
  </si>
  <si>
    <t>1321928103174787074</t>
  </si>
  <si>
    <t>I know how important rural hospitals are to Iowans’ healthcare, because I’m one of the many Iowans who depend on one. 
We can’t afford @GreenfieldIowa’s public option that would close 52 rural hospitals across Iowa. Her plan may be popular in California, but it’s wrong for Iowa.</t>
  </si>
  <si>
    <t>1321872745328619520</t>
  </si>
  <si>
    <t>Ready for @Mike_Pence at the Des Moines Airport! 
5 days until we win Iowa! Let’s do this! https://t.co/8b3ww4KcrF</t>
  </si>
  <si>
    <t>1321862285141397510</t>
  </si>
  <si>
    <t>Meg is voting for me because she knows I’m always working for Iowa. https://t.co/Yb83Lt5Tuo</t>
  </si>
  <si>
    <t>1321862232884600834</t>
  </si>
  <si>
    <t>Lisa is voting for me because she supports Life! https://t.co/e3RNUfSAVY</t>
  </si>
  <si>
    <t>1321862181605023745</t>
  </si>
  <si>
    <t>Christine is a big supported of #ConfirmACB! https://t.co/OUuRKbb2EG</t>
  </si>
  <si>
    <t>1321862136637935618</t>
  </si>
  <si>
    <t>Jena is voting for me because she knows I always fight for Iowa, and @GreenfieldIowa is bought and paid for by out of state liberal donors. https://t.co/MmoTPgJmx6</t>
  </si>
  <si>
    <t>1321862093180723201</t>
  </si>
  <si>
    <t>Yesterday I was campaigning in @GreenfieldIowa’s neighborhood! See what her neighbors had to say, and why they are voting for me in the #IASen race: https://t.co/zjcQ3uLdPt</t>
  </si>
  <si>
    <t>1321844322321518593</t>
  </si>
  <si>
    <t>I met Al 7 years ago when he was working as a waiter, and we talked about his dream of owning his own restaurant. I told him I’d help however I could, and now Big Als has two locations! 
I’m proud to fight for Al, and all Iowans working towards their dreams. https://t.co/ZHXPUj8rnt</t>
  </si>
  <si>
    <t>1321637983318118401</t>
  </si>
  <si>
    <t>Great first day on our Fighting for Iowa RV Tour, with stops in Red Oak, Council Bluffs, Atlantic, and Bondurant! 
There’s no better place in the world than Iowa, and no better people than Iowans! https://t.co/QjA39jTLJn</t>
  </si>
  <si>
    <t>1321628967082876928</t>
  </si>
  <si>
    <t>Can’t think of a better way to wrap up Day 1 of the Fighting For Iowa RV tour than being on stage with @ChuckGrassley, @KimReynoldsIA, and my soon to be Congressman @DavidYoungIA! https://t.co/eOHVuihiy6</t>
  </si>
  <si>
    <t>1321581875777937410</t>
  </si>
  <si>
    <t>Checking in from the road on the Fighting For Iowa Tour! https://t.co/3xeIcQBizg</t>
  </si>
  <si>
    <t>1321574263015526409</t>
  </si>
  <si>
    <t>Police Chief David Erickson was wearing a pink patch, &amp;amp; letting people cut it off for $10 to raise money for breast cancer research. @KimReynoldsIA &amp;amp; I each cut one off &amp;amp; made a donation! 
Thank you Chief for helping this cause &amp;amp; all you &amp;amp; your officers do to keep Atlantic safe. https://t.co/q69tZRFEuo</t>
  </si>
  <si>
    <t>1321557543592800256</t>
  </si>
  <si>
    <t>Rolling into Atlantic for stop 3️⃣ on the Fighting for Iowa RV Tour! https://t.co/RPCZMklG91</t>
  </si>
  <si>
    <t>1321551213578637315</t>
  </si>
  <si>
    <t>From election fraud to spreading doctored documents, @GreenfieldIowa &amp;amp; her liberal allies have shown they’ll do anything to win. 
If you see something that looks suspicious, report it to our election disinformation hotline and our team will look into it. https://t.co/A9ZWFhrZwY</t>
  </si>
  <si>
    <t>1321531145473974272</t>
  </si>
  <si>
    <t>Stop 2️⃣ on the Fighting for Iowa RV Tour! 
It was great to speak with folks in Council Bluffs about how I’m fighting for our farmers, our veterans, and our families. https://t.co/DarpdmB3MZ</t>
  </si>
  <si>
    <t>1321505537062662144</t>
  </si>
  <si>
    <t>No matter where life has taken me, from the deserts of Iraq to the halls of Congress, I’ve been proud to call Red Oak, Iowa home.
I can’t think of a better place to kick off the Fighting for Iowa RV Tour! https://t.co/UMMTaRaBb5</t>
  </si>
  <si>
    <t>1321281066120941568</t>
  </si>
  <si>
    <t>I’m proud to be a relentless fighter for Iowa and to work w/ @realDonaldTrump to deliver for our farmers, our veterans, and our families. Great to be w/ you Mr. President! https://t.co/IMW3mICpdv</t>
  </si>
  <si>
    <t>1321198205154041864</t>
  </si>
  <si>
    <t>I’ve dedicated my life to service. I was born and raised on a small Iowa farm, I worked my way through college, and I dedicated my life to serving my country, as a local official, a combat veteran, and a senator. 
Serving the people of Iowa has always been, &amp;amp; remains, my purpose</t>
  </si>
  <si>
    <t>1321183296554995713</t>
  </si>
  <si>
    <t>Justice Barrett is a brilliant legal mind who will defend the law and our constitutional rights. 
It's unfortunate @GreenfieldIowa chose to oppose her confirmation and side with her liberal donors over the constitution and the people of Iowa
https://t.co/cUCfCCdFEt</t>
  </si>
  <si>
    <t>1321151978861449217</t>
  </si>
  <si>
    <t>6 Days
36 Events
1 Big Win on Election Day! 
Tomorrow I’ll be kicking off my Fighting For Iowa RV Tour from my hometown of Red Oak! I’m fired up to spend the closing week of the campaign taking our message to Iowans all across the state! https://t.co/DnSai4jsBE</t>
  </si>
  <si>
    <t>1321108093154086913</t>
  </si>
  <si>
    <t>Yesterday was a historic day. For the first time in our history, a mother of school age children will sit on the Supreme Court.
Justice Barrett is an inspiration to women everywhere, and I'm proud to have supported her nomination. https://t.co/cUCfCCdFEt</t>
  </si>
  <si>
    <t>1321060326222213122</t>
  </si>
  <si>
    <t>See you soon Iowa! https://t.co/xiXpfOlFyl</t>
  </si>
  <si>
    <t>1320880769296982019</t>
  </si>
  <si>
    <t>Mother of 7
Brilliant Legal Scholar
Constitutional Jurist
Supreme Court Justice
#ConfirmedACB https://t.co/r5UPrCUKdZ</t>
  </si>
  <si>
    <t>1320840873450655745</t>
  </si>
  <si>
    <t>One of the great joys in my life is teaching my daughter Libby there isn’t anything women can’t do. We can break barriers, serve our country, and change the world.
I’m so proud that she’s taken these lessons with her to West Point, and I’m so amazed at the woman she’s become. https://t.co/14AA37lskt</t>
  </si>
  <si>
    <t>1320791978452406273</t>
  </si>
  <si>
    <t>It doesn’t matter if they’re a Democrat or a Republican, if I find someone who shares my passions I’ll always work with them to deliver results for Iowa
That’s why I’m ranked one of the most bipartisan Senators of the last 25 years - because I put Iowa ahead of partisan politics https://t.co/Omb9XqeQA8</t>
  </si>
  <si>
    <t>1320509380886962179</t>
  </si>
  <si>
    <t>I grew up on a farm in SW Iowa, and the values I learned on that farm have stayed with me my entire life
They’re the values I carried with me through 23 years of military service, &amp;amp; they’re the values I take to the Senate every day
Iowa is more than a place to me-it’s who I am</t>
  </si>
  <si>
    <t>1320448562874978307</t>
  </si>
  <si>
    <t>9 of @GreenfieldIowa’s 10 biggest fundraising zip codes are from out of state. 5 from New York, 2 from California, and 2 from DC. 
Why are out of state liberals giving her so much money? They know she’ll be a reliable vote for their radical policies.</t>
  </si>
  <si>
    <t>1320390948141105154</t>
  </si>
  <si>
    <t>Is there any doubt @greenfieldiowa would join with the far left if she’s elected? They’ve already spent over $100 million on her, and @AOC just admitted she needs Greenfield in the Senate to push her radical plans. https://t.co/kcGtPntRxR</t>
  </si>
  <si>
    <t>1320142477685391360</t>
  </si>
  <si>
    <t>Thank you to @Katie_Copple of @SiouxlandNews for sitting down with me virtually to talk about how I’m fighting for Iowa in the Senate! https://t.co/rMRzkbbG2A</t>
  </si>
  <si>
    <t>1320104131533692929</t>
  </si>
  <si>
    <t>.@MikeNaigIA is #OnDutyForJoni today! 
As Iowa’s Ag Secretary, Mike knows we need a Senator who will fight for Iowa’s farmers and ranchers, not for California liberals. https://t.co/lS7YpgeC0C</t>
  </si>
  <si>
    <t>1320083070184284160</t>
  </si>
  <si>
    <t>Repealing the Tax Cuts and Jobs Act would raise taxes on the average Iowa family by $1400. But that’s exactly what @GreenfieldIowa has promised to do. https://t.co/bsHGut3IVT</t>
  </si>
  <si>
    <t>1320020855959805959</t>
  </si>
  <si>
    <t>If you haven’t voted yet, today is a great day to do it! Find your early voting hours and locations here, and make sure to vote! https://t.co/wBl1vRnGk1</t>
  </si>
  <si>
    <t>1319736698448773126</t>
  </si>
  <si>
    <t>Senate Democrats just introduced legislation to follow California’s lead and ban gas powered cars in the next 15 years. This would devastate Iowa’s biofuels industry and ag economy. 
This is @GreenfieldIowa’s agenda. Perfect for California, but far too radical for Iowa.</t>
  </si>
  <si>
    <t>1319715822546395136</t>
  </si>
  <si>
    <t>Thank you to my friend Governor @KimReynoldsIA for going #OnDutyForJoni yesterday in the Fighting for Iowa RV!
It’s so exciting to see the enthusiasm for our campaign and our Republican ticket all across Iowa. https://t.co/pu30UFoKop</t>
  </si>
  <si>
    <t>1319679829327990784</t>
  </si>
  <si>
    <t>When @GreenfieldIowa calls our police racist, it’s an insult to all the men and women who put their lives on the line every day to keep our communities safe. 
This is the type of talk you’d expect to hear from Portland or San Francisco, not someone who wants to represent Iowa. https://t.co/ODPLrBfRsg</t>
  </si>
  <si>
    <t>1319434370457980928</t>
  </si>
  <si>
    <t>When I was in college at @IowaStateU, I decided to join the ROTC because I wanted to serve my nation &amp;amp; fight for our freedoms.
I spent 23 years in the military doing just that, &amp;amp; now, I’m blessed with the opportunity to serve &amp;amp; fight for Iowa every single day in the US Senate.</t>
  </si>
  <si>
    <t>1319389711522275337</t>
  </si>
  <si>
    <t>I’ve always worked with anyone, on both sides of the aisle, to get things done for Iowa-it’s why I’m ranked one of the most bipartisan Senators of the last 25 yrs 
It’s also why it’s so frustrating that @GreenfieldIowa’s liberal allies refuse to come to the table on COVID relief</t>
  </si>
  <si>
    <t>1319346031570673664</t>
  </si>
  <si>
    <t>Liberal special interest groups are spending more dark money to elect @GreenfieldIowa than any candidate in Iowa history. 
Why? Because they know she’ll be a reliable vote for their agenda of higher taxes, packing the Supreme Court, and regulations that cripple our rural economy https://t.co/G6EOTLtLkm</t>
  </si>
  <si>
    <t>1319294034599235584</t>
  </si>
  <si>
    <t>I was proud to vote Judge Amy Coney Barrett out of the judiciary committee this morning. She is an accomplished legal scholar and judge, an inspiration to women everywhere, and will uphold the Constitution on the Supreme Court. #ConfirmACB</t>
  </si>
  <si>
    <t>1319054015729119233</t>
  </si>
  <si>
    <t>We’re less than two weeks away from election day, and thousands of Iowans have already voted. 
If you haven’t voted yet, make sure to make a plan to vote early, absentee, or in person! You can visit this link to find your polling place and more resources:
https://t.co/wBl1vRnGk1</t>
  </si>
  <si>
    <t>1319038508376428544</t>
  </si>
  <si>
    <t>Big #IA04 debate win for @RandyFeenstra!
I served in the Iowa Senate with Randy, and I saw him deliver results:
Largest income tax cut in Iowa history
Eliminated the grain bin tax
Protected life
Balanced the budget
I need Randy in Congress so we can keep delivering for Iowa</t>
  </si>
  <si>
    <t>1319005184446681089</t>
  </si>
  <si>
    <t>.@GreenfieldIowa's Senate allies just blocked:
$105 billion for students and education
$47 billion for COVID testing and vaccine development
$20 billion for farmers
$15 billion for childcare
To try to help their election chances. This is partisan politics at its worst.</t>
  </si>
  <si>
    <t>1318982663936630790</t>
  </si>
  <si>
    <t>From defending our ethanol industry, to expanding access to overseas markets, to eliminating burdensome regulations, I've always fought relentlessly for our farmers. 
I'm proud to have every major ag endorsement in this race, &amp;amp; I'm ready to fight for #IowaAG for another 6 years! https://t.co/wcLHLWq6Va</t>
  </si>
  <si>
    <t>1318948726761791488</t>
  </si>
  <si>
    <t>Traveling across Iowa, I’ve heard from so many small businesses who are in need and have gotten critical help through the PPP. 
Yesterday, @GreenfieldIowa's liberal allies blocked an extension of this vital program. Their partisan politics is unacceptable. Iowans need help now.</t>
  </si>
  <si>
    <t>1318934538278604800</t>
  </si>
  <si>
    <t>My friend @NikkiHaley is going #OnDutyForJoni today! Make sure to follow her to see her travels across our great state! https://t.co/8Sk8b028mn</t>
  </si>
  <si>
    <t>1318720863068368896</t>
  </si>
  <si>
    <t>.@GreenfieldIowa's allies are resorting to spreading doctored emails to try to defeat me. 
They know her message is more aligned with coastal liberals than Iowa voters - it's why I have the support of every ag group that has endorsed in this race. https://t.co/QPyREJXQkH</t>
  </si>
  <si>
    <t>1318709725161291777</t>
  </si>
  <si>
    <t>Thank you for joining us tonight @Mike_Pence! Looking forward to continuing to work with you and fighting for all Iowans and Americans! https://t.co/U7bO5GsSfK</t>
  </si>
  <si>
    <t>1318683766391513090</t>
  </si>
  <si>
    <t>“Long and serious talk” for showing civility across the aisle. 
@chuckschumer won’t tolerate civility, much less bipartisanship, in his caucus, and it’s the kind of partisan, divisive politics we hear from @GreenfieldIowa https://t.co/f2ZtLNLUNB</t>
  </si>
  <si>
    <t>1318674628487892994</t>
  </si>
  <si>
    <t>I’m proud to have earned every major ag endorsement in the #IASen race. 
@IowaFarmBureau 🚜
@iowa_corn 🌽
@IAcattlemen 🐄
#IowaAg knows no one will fight harder for them than me.</t>
  </si>
  <si>
    <t>1318621290438266880</t>
  </si>
  <si>
    <t>Who is @GreenfieldIowa running to represent? It’s not Iowans. 
She’s raking in cash from left wing special interest groups and radical liberals on the coasts. They know she’ll be a reliable vote for their agenda, not for Iowa. https://t.co/cf0HfjiZYT</t>
  </si>
  <si>
    <t>1318592113769107463</t>
  </si>
  <si>
    <t>I'm proud to have helped pass the bipartisan CARES Act and to always stand up for Iowa families, farmers and small businesses.
.@GreenfieldIowa calls this money used to support farmers and provide for Food Banks a "slush fund". https://t.co/jyde64YIYQ</t>
  </si>
  <si>
    <t>1318584213218709504</t>
  </si>
  <si>
    <t>.@GreenfieldIowa’s record as a businesswoman and a politician is filled with failure, dishonesty, and illegal activity. This is the record she’s trying to take with her to Washington.
https://t.co/kEOA3EFYue</t>
  </si>
  <si>
    <t>1318336095671754752</t>
  </si>
  <si>
    <t>In the #IASen debate, @GreenfieldIowa wouldn’t answer the question about confirming Judge Barrett.
Greenfield doesn’t want Iowans to know she opposes religious liberties, wants to restrict the 2nd Amendment, and supports extreme environmental rules that would hurt farmers.</t>
  </si>
  <si>
    <t>1318281879624339456</t>
  </si>
  <si>
    <t>I was raised on a farm in Red Oak, and I still live in that same rural community to this day. 
I’ll always fight for our farmers because they’re my family, neighbors, and friends.</t>
  </si>
  <si>
    <t>1318236501323513857</t>
  </si>
  <si>
    <t>Michelle Root’s pain should never be felt by another mother. And Sarah’s senseless death is something that should never happen in this country again.
I’m working to keep violent illegal aliens like Sarah’s killer behind bars. @GreenfieldIowa refused to even meet with her family. https://t.co/kLmBdyDmUy</t>
  </si>
  <si>
    <t>1318006144447762432</t>
  </si>
  <si>
    <t>A great weekend visiting with folks all across Eastern Iowa! https://t.co/dJg9OpNLBB</t>
  </si>
  <si>
    <t>1317951600074190848</t>
  </si>
  <si>
    <t>Cold morning in Davenport, but I was still able to hand out meals to Veterans at at the Quad Cities Veterans Outreach Center. https://t.co/2aOhta2dwv</t>
  </si>
  <si>
    <t>1317906509087580163</t>
  </si>
  <si>
    <t>Voting is underway in Iowa, and @realDonaldTrump and I need your help to keep Iowa red! If you haven’t voted already, make sure to make a plan to vote absentee, early in person, or on Election Day! You can find more information on voting in Iowa here: https://t.co/wBl1vRnGk1</t>
  </si>
  <si>
    <t>1317590605804032002</t>
  </si>
  <si>
    <t>Amazing crowd at the Gabeline farm in Des Moines County! 
Iowa’s farmers are the best in the world, and I’m proud to fight for them every single day. https://t.co/QRSy6MNLng</t>
  </si>
  <si>
    <t>1317559531824611333</t>
  </si>
  <si>
    <t>Driving behind this grain cart in Des Moines County. 
During harvest season, it’s important to be safe and respectful around farm equipment. Keep your distance and slow down! https://t.co/GRgOdHYHem</t>
  </si>
  <si>
    <t>1317540026272579586</t>
  </si>
  <si>
    <t>Just stopped in Cascade! It was great to hear directly from so many amazing Iowans about what they want to see happen in Washington. https://t.co/1laMNfGuR0</t>
  </si>
  <si>
    <t>1317530018122223617</t>
  </si>
  <si>
    <t>Honored to have the endorsement of @Messenger_News!
“Since taking office in 2015, the Republican who is Iowa’s junior senator has gone to work for farmers. small business owners and veterans.”
Read more here👇
https://t.co/69wOXT7wV3</t>
  </si>
  <si>
    <t>1317524226329448448</t>
  </si>
  <si>
    <t>Talked to Dan and Tammy about the importance of sustaining Social Security. I’m committed to making sure we honor our commitments to our seniors, and keeping Social Security strong for future generations. https://t.co/PDFfp0Hylw</t>
  </si>
  <si>
    <t>1317515367321903104</t>
  </si>
  <si>
    <t>Quick stop to thank our law enforcement officers for their service and all they do to protect our communities! https://t.co/aYjKSpGGP9</t>
  </si>
  <si>
    <t>1317505278984716288</t>
  </si>
  <si>
    <t>Tate’s top issue is getting more treats from his mom and dad! https://t.co/267yZCji6R</t>
  </si>
  <si>
    <t>1317505269639843840</t>
  </si>
  <si>
    <t>Just talked to Tim, Sarah, and Tate! 
Tim is a retired teacher and Sarah worked in the energy industry. 
During Sarah’s battle with cancer it became clear Obamacare was not working for them.
We also talked about the importance of confirming constitutionalist judges to #SCOTUS https://t.co/YczRKCmDmf</t>
  </si>
  <si>
    <t>1317496693928112132</t>
  </si>
  <si>
    <t>Mike and Karen have already voted for us but saw the bus and wanted to say hi and give us some cookies for the trail! Thank you Mike and Karen! https://t.co/reAj0XKJRc</t>
  </si>
  <si>
    <t>1317492754537238528</t>
  </si>
  <si>
    <t>Just talked to Mike and Stasia, who are small business owners here in Dubuque.
Loved talking to them about how the tax reform bill helped their business, and how we are helping keep small businesses afloat with PPP from the CARES Act! https://t.co/N1SoeeovgM</t>
  </si>
  <si>
    <t>1317486059526234113</t>
  </si>
  <si>
    <t>Knocking doors in Dubuque this morning with @hinsonashley! I’m excited to talk with voters about the issues that matter to them, and to make sure everyone gets out and votes for our Republican ticket! https://t.co/ggyaFFttdh</t>
  </si>
  <si>
    <t>1317473106995384325</t>
  </si>
  <si>
    <t>Kicking off the morning with coffee and doughnuts @DBQGOP! It’s so inspiring to see all the work they’re putting in to elect Republicans up and down the ballot! https://t.co/bSriltRmOw</t>
  </si>
  <si>
    <t>1317270056582193152</t>
  </si>
  <si>
    <t>Loved grabbing a beer and visiting with the Students for Joni chapter at the University of Iowa! 
It’s amazing to see these hardworking young people engaging in politics and working to make sure our nation’s future is bright. https://t.co/EPBaE84uE3</t>
  </si>
  <si>
    <t>1317257857520308226</t>
  </si>
  <si>
    <t>From delivering on year round E15, to ensuring RFS comitments are upheld, to stopping gap year refinery waivers, I've always fought relentlessly for biofuels- even when I have to go up against my own party. 
https://t.co/0IhcVev0Nz</t>
  </si>
  <si>
    <t>1317240915275153408</t>
  </si>
  <si>
    <t>Hitched a ride from the Eastern Iowa Airport in style! https://t.co/rdVtG8K3Fq</t>
  </si>
  <si>
    <t>1317209481999208451</t>
  </si>
  <si>
    <t>I just met with Cindy Golding at her maple farm in Cedar Rapids. 
Cindy’s farm is one of many in that region that suffered substantial damage due to the Derecho. I’m fighting for Cindy, and Iowans across our state, every single day. https://t.co/uBv60EKW8E</t>
  </si>
  <si>
    <t>1317116940981252097</t>
  </si>
  <si>
    <t>Amy Coney Barrett is a mom, a Midwesterner, and a constitutionalist judge. The liberal attacks and resentment we're seeing against her faith are just plain wrong. https://t.co/rovMMOWk2a</t>
  </si>
  <si>
    <t>1316918312010383362</t>
  </si>
  <si>
    <t>I'll always fight for farmers, because I grew up on a farm 
I'll always fight for vets, because my boots were in that sand
I'll always fight for working moms, because I lived those struggles
And I'll always fight for survivors, because I was in that horrible situation myself https://t.co/1R19b2bIym</t>
  </si>
  <si>
    <t>1316905373706686464</t>
  </si>
  <si>
    <t>According to one estimate, the average Iowan saved $1077 from the Tax Cuts and Jobs Act. That’s a 12.7% tax cut. And @GreenfieldIowa really wants to do away with it? #IASen #IAPolitics https://t.co/ZXGogPb7E3</t>
  </si>
  <si>
    <t>1316903683599237120</t>
  </si>
  <si>
    <t>I’m proud to support Iowa wind energy, ethanol, and all of Iowa’s renewable energy industries. #IASen https://t.co/uDyiejBkqo</t>
  </si>
  <si>
    <t>1316902857199783937</t>
  </si>
  <si>
    <t>I was boots on the ground with the @IowaNatGuard responding to natural disasters, and I've worked in the Senate to make sure our communities get the disaster relief they need. #IASen</t>
  </si>
  <si>
    <t>1316902016036360195</t>
  </si>
  <si>
    <t>Far-left liberal groups, with no regard for the importance of Iowa’s agriculture community which feeds and fuels the world, have embraced @GreenfieldIowa as their candidate to tackle environmental issues. Greenfield cannot be trusted to fight for #IowaAg https://t.co/obLIsnIO2w</t>
  </si>
  <si>
    <t>1316900495668224000</t>
  </si>
  <si>
    <t>Greenfield’s campaign is built on this claim that she’s not taking “one dime” of special interest money. Just one problem: It’s a lie. #IASen #IAPolitics https://t.co/rQ3fiY1Tqc</t>
  </si>
  <si>
    <t>1316899140408926208</t>
  </si>
  <si>
    <t>Not one. Not two. But THREE major Iowa ag groups have already endorsed me over @GreenfieldIowa. #IowaAg knows no one will fight harder for them than me. #IASen #IAPolitics https://t.co/ftRRdSePWl</t>
  </si>
  <si>
    <t>1316896379286048769</t>
  </si>
  <si>
    <t>Radical Liberals are bankrolling Theresa Greenfield’s campaign. There’s a reason they are spending millions to elect her. #IASen #IAPolitics https://t.co/gGmtcGsS4A</t>
  </si>
  <si>
    <t>1316895991497457665</t>
  </si>
  <si>
    <t>Dufunding the police would make our communities less safe. The fact that @GreenfieldIowa is backed by groups that support this radical policy is just another reason she's wrong for Iowa. #IASen</t>
  </si>
  <si>
    <t>1316893652971565058</t>
  </si>
  <si>
    <t>Unlike Greenfield, I support our men and women in blue and I'm grateful for their service and willingness to risk their lives to keep our communities safe. https://t.co/VsIAzow5uA</t>
  </si>
  <si>
    <t>1316893098631364608</t>
  </si>
  <si>
    <t>#IASen #IASenDebate https://t.co/XDUDahMLXB</t>
  </si>
  <si>
    <t>1316891951237562369</t>
  </si>
  <si>
    <t>.@GreenfieldIowa might want to talk to her boss @chuckschumer. Senate Republicans put forward a #COVID19 relief bill just a few weeks ago. Senate Democrats blocked it. #IAdebate #IASen https://t.co/hNUfekuPBx</t>
  </si>
  <si>
    <t>1316890705214799872</t>
  </si>
  <si>
    <t>I've always fought to protect those with pre-existing conditions, and I always will. https://t.co/y0YdzE0UyL</t>
  </si>
  <si>
    <t>1316890211536830465</t>
  </si>
  <si>
    <t>Theresa Greenfield and her liberal allies are pushing lies and scare tactics for those with pre-existing conditions. I am, have been, and will continue to keep fighting to make sure folks with pre-existing conditions are protected. https://t.co/I8OKdxTuFG</t>
  </si>
  <si>
    <t>1316888860685717505</t>
  </si>
  <si>
    <t>Learn the painful truth about @GreenfieldIowa's public option.  #IASen #IApolitics https://t.co/Q856eN6xOg</t>
  </si>
  <si>
    <t>1316887367244984323</t>
  </si>
  <si>
    <t>While my opponent just criticizes for political points, I stay focused on delivering relief for Iowans in need. #IASen #IAPolitics https://t.co/fI1h9w668X</t>
  </si>
  <si>
    <t>1316886954617831424</t>
  </si>
  <si>
    <t>In 16 months of campaigning, @GreenfieldIowa has ignored almost half of Iowa. Greenfield has never been to over 40 of Iowa’s counties, most of which are in rural areas. https://t.co/dfsmBgg7tI</t>
  </si>
  <si>
    <t>1316885559743254529</t>
  </si>
  <si>
    <t>.@GreenfieldIowa has been hiding from Iowans this entire campaign. Meet the real Theresa Greenfield #IASen #IAPolitics https://t.co/q4bWkaYs9d</t>
  </si>
  <si>
    <t>1316880346227613697</t>
  </si>
  <si>
    <t>The third #IASEN Debate is in 15 minutes! I’m looking forward to once again holding @GreenfieldIowa accountable for her extreme agenda, dark money ties, and failed business record. Make sure to tune in! 
https://t.co/kEOA3EFYue</t>
  </si>
  <si>
    <t>1316829196308549632</t>
  </si>
  <si>
    <t>Thank you @realDonaldTrump! I'll always fight for Iowa and our ethanol industry! https://t.co/5678QHgyrn</t>
  </si>
  <si>
    <t>1316788047338496000</t>
  </si>
  <si>
    <t>I was born and raised in Red Oak, Iowa. Iowa grit got me through tough times and helped me succeed as a soldier and leader overseas and beyond. I’ve never forgotten that, and that’s why I’m fighting for Iowa every day in the Senate.</t>
  </si>
  <si>
    <t>1316746633598701570</t>
  </si>
  <si>
    <t>Yesterday, I asked Judge Barrett if she had any words of encouragement for young women. I'd like to thank her for her advice, and for being an inspiration to young women everywhere, including my daughter Libby. 
https://t.co/AWskrOclFY</t>
  </si>
  <si>
    <t>1316714922580078592</t>
  </si>
  <si>
    <t>From fighting for Ethanol to opposing regulations that would crush our agriculture industry, I've always fought for our farmers, and I always will.
But don't take it from me. Hear it straight from Iowa farmers in my newest ad: https://t.co/cdTeGfklWA</t>
  </si>
  <si>
    <t>1316547649491918848</t>
  </si>
  <si>
    <t>Thinking about all the amazing people who joined my Ride Across Iowa last weekend. This is Moose, who was my wingman on the ride from Sioux City to Carroll. Thank you Moose, and thank you to everyone who joined me to raise money for our veterans and for Derecho recovery. https://t.co/ImRxDniIqf</t>
  </si>
  <si>
    <t>1316513804344266753</t>
  </si>
  <si>
    <t>Liberals &amp;amp; Left wing special interest groups have spent over $100 million against me. They’re doing it because they know @GreenfieldIowa will be a reliable vote for their radical agenda.
I say bring it on. I’ve never backed down from a fight, &amp;amp; I know that Iowans can’t be bought</t>
  </si>
  <si>
    <t>1316506909189591041</t>
  </si>
  <si>
    <t>Honored to receive another endorsement from a major agriculture group - @IAcattlemen! 
Iowa's farmers and ranchers feed and fuel the world, and I'll always have their back. I'm proud to have their support. https://t.co/ZCHS6fQRk3</t>
  </si>
  <si>
    <t>1316486260039573509</t>
  </si>
  <si>
    <t>The Senate GOP put forward a COVID relief bill that would provide:
Expanded unemployment benefits💸
PPP for small biz💼
School funding👩‍🏫
Help with childcare👨‍👩‍👧
Support for farmers🌽
Senate Dems blocked it
We need to end the games and get people the help they need</t>
  </si>
  <si>
    <t>1316436956914614273</t>
  </si>
  <si>
    <t>Well, former Congresswoman, we hate that you judge Amy Coney Barrett by her clothing too.
The liberal left is attacking Judge Barrett in this way because they can’t attack her on her qualifications or character. No woman should have to deal with this kind of blatant sexism. https://t.co/h9ieJ0IlYQ</t>
  </si>
  <si>
    <t>1316410694775042049</t>
  </si>
  <si>
    <t>Yesterday Judge Barrett showed grace under pressure, a strong legal mind, &amp;amp; that she knows the role of a judge is to uphold the law, not legislate from the bench-all without notes! I continue to be very impressed with her, and proud that she’s showing the world what a mom can do.</t>
  </si>
  <si>
    <t>1316160128169709568</t>
  </si>
  <si>
    <t>Just got this from a supporter who lost his sign, so his kids made a new one! https://t.co/vpKosAYLBG</t>
  </si>
  <si>
    <t>1316139866804178946</t>
  </si>
  <si>
    <t>This is the kind of sexist garbage women have been dealing with for far too long.
Women can be anything we want to be: a farmer, a military officer, a Senator, and yes even a Supreme Court Justice. https://t.co/HIMPTipaJw</t>
  </si>
  <si>
    <t>1316092250221416450</t>
  </si>
  <si>
    <t>.@KimReynoldsIA and @TerryBranstad are going #OnDutyForJoni and taking over the Fighting for Iowa RV! 
Follow them and @TeamJoni for more from their stops in Marshalltown, Cedar Rapids, and the Quad Cities! https://t.co/aZznYqakpG</t>
  </si>
  <si>
    <t>1315821254276939776</t>
  </si>
  <si>
    <t>Another big #IA03 debate win for @YoungForIowa! Great job David!</t>
  </si>
  <si>
    <t>1315783345020768258</t>
  </si>
  <si>
    <t>Judge Barrett is more proof that when women set their own paths, instead of conforming to others' expectations, we can achieve great things. That should be celebrated, not attacked. 
We don’t have to fit Liberals' narrow definition of womanhood.
https://t.co/x2gOMVWzJb</t>
  </si>
  <si>
    <t>1315646987140837381</t>
  </si>
  <si>
    <t>Judge Amy Coney Barrett is a qualified jurist who received the highest possible rating from the American Bar Association. I hope my Democrat colleagues will give her a fair hearing, and stay away from bigoted attacks on her family and her religious faith. https://t.co/Z3jb9CSoZ7</t>
  </si>
  <si>
    <t>1315402862575456256</t>
  </si>
  <si>
    <t>Last stop on the Ride Across Iowa! https://t.co/01jePXQO7E</t>
  </si>
  <si>
    <t>1315385282577956864</t>
  </si>
  <si>
    <t>Thanks for coming Ashley! I can’t wait to work with you in Congress! #JRAI https://t.co/EJulXcYHVT</t>
  </si>
  <si>
    <t>1315368071582879749</t>
  </si>
  <si>
    <t>📍Cedar Rapids
This part of our state has been through so much this year, and the spirit of this community has been so inspiring. 
Thank you to everyone who came out today to help raise money for Derecho relief and @puppyjakefdn https://t.co/0gBMttEyrZ</t>
  </si>
  <si>
    <t>1315366363838509058</t>
  </si>
  <si>
    <t>Kicking off the last leg of my Ride Across Iowa, Cedar Rapids to Davenport! #JRAI https://t.co/QQbbQYVMpp</t>
  </si>
  <si>
    <t>1315360318961442816</t>
  </si>
  <si>
    <t>Rolling into Cedar Rapids 🏍 https://t.co/0mol2uirIW</t>
  </si>
  <si>
    <t>1315343270881488896</t>
  </si>
  <si>
    <t>Great welcome in Marshalltown! https://t.co/aTakpHOCrp</t>
  </si>
  <si>
    <t>1315336967031267328</t>
  </si>
  <si>
    <t>I got to meet Denny and his @puppyjakefdn service dog Simon at our Des Moines #JRAI stop.
Denny is one of the “Chosin Few” who, outnumbered 4-1, fought off Chinese troops near the Chosin Reservoir in Korea.
I’m proud to support Puppy Jake with proceeds from our ride this year! https://t.co/CJ7Uc7qTU1</t>
  </si>
  <si>
    <t>1315329031324172289</t>
  </si>
  <si>
    <t>It’s always a pleasure to see my colleague, friend, and mentor @ChuckGrassley! Thank you Chuck for joining #jrai. 
(And don’t worry, I asked and he hasn’t found any more dead Pidgins). https://t.co/z5t3e8XKed</t>
  </si>
  <si>
    <t>1315324251226943490</t>
  </si>
  <si>
    <t>And we’re off to Cedar Rapids! #jrai https://t.co/yjeZtqqQIC</t>
  </si>
  <si>
    <t>1315293146184548352</t>
  </si>
  <si>
    <t>It’s a great day to ride across Iowa! 🇺🇸 https://t.co/PHpcZgg7bt</t>
  </si>
  <si>
    <t>1315067747953508353</t>
  </si>
  <si>
    <t>Day one of my Ride Across Iowa is in the books! Thank you to everyone who came out and supported these two great causes! Make sure to tune in tomorrow as we finish this ride across our great state! #JRAI https://t.co/BbV88HgpXF</t>
  </si>
  <si>
    <t>1315028402269761539</t>
  </si>
  <si>
    <t>Last stop of the day is in Des Moines! So many wonderful people here (including our amazing Governor @KimReynoldsIA!) supporting a great cause! #jrai https://t.co/YCoAQq2L3T</t>
  </si>
  <si>
    <t>1314997703714263049</t>
  </si>
  <si>
    <t>The next stop on my Ride Across Iowa: Carroll County! 
Thank you to everyone who came out to support the work @puppyjakefdn does for our veterans, and the Greater Cedar Rapids Community Foundation’s Derecho Disaster Recovery! https://t.co/oyjrZzgj6R</t>
  </si>
  <si>
    <t>1314976992387837954</t>
  </si>
  <si>
    <t>Beautiful day for a ride! https://t.co/IVdhmWYZ44</t>
  </si>
  <si>
    <t>1314946539656146946</t>
  </si>
  <si>
    <t>Thank you @GovMikeHuckabee for joining my Ride Across Iowa kickoff in Sioux City! https://t.co/hZ3TlFrANq</t>
  </si>
  <si>
    <t>1314943320271904768</t>
  </si>
  <si>
    <t>I just kicked off my Ride Across Iowa right here in Sioux City! We’ll be making 5 more stops across the state, raising money for @puppyjakefdn and Derecho recovery! Make sure to follow along here and @TeamJoni! https://t.co/sh9ts5gXkW</t>
  </si>
  <si>
    <t>1314935191383748610</t>
  </si>
  <si>
    <t>Blessing of the bikes! 👏🏍 #JRAI https://t.co/KYid0oVtn3</t>
  </si>
  <si>
    <t>1314726438768173057</t>
  </si>
  <si>
    <t>Next stop: Sioux City.
See you tomorrow bright and early, Iowa! #JRAI https://t.co/9Ct21GhRGI</t>
  </si>
  <si>
    <t>1314713080488697857</t>
  </si>
  <si>
    <t>Great to be joined by @GovMikeHuckabee tonight at the Story County GOP meeting! Republicans are fired up all across the state and ready to keep Iowa Red! https://t.co/o55MOKlEG3</t>
  </si>
  <si>
    <t>1314638083367882753</t>
  </si>
  <si>
    <t>I know farmers’ struggles because I’ve lived them
That’s why I’ve fought radical plans like WOTUS and the Green New Deal that would devastate farmers, &amp;amp; I’ve stood up to members of my own party who tried to undermine the RFS
I’ve always fought for Iowa farmers and I always will</t>
  </si>
  <si>
    <t>1314574454832455680</t>
  </si>
  <si>
    <t>.@ChuckGrassley is an amazing colleague, friend, and mentor. 
I’m so proud have him on my side https://t.co/XAnPBNSAzs</t>
  </si>
  <si>
    <t>1314383904758018049</t>
  </si>
  <si>
    <t>Great job tonight Mariannette! #IA02 https://t.co/XDmQ1gDJx1</t>
  </si>
  <si>
    <t>1314367765445214208</t>
  </si>
  <si>
    <t>It's not okay for a candidate for any office, much less the Presidency, to say he'll tell voters where he stands on an issue this important after the election. Voters need to know if @JoeBiden supports the radical and dangerous plan to pack #SCOTUS. And they need to know now. https://t.co/mHmhrYLEpn</t>
  </si>
  <si>
    <t>1314303257406304256</t>
  </si>
  <si>
    <t>Thank you to Dubuque American Legion Post 6 for having me as your guest, and letting me lead today’s playing of taps to honor all those who died fighting for our country. https://t.co/zcbBlC1H3X</t>
  </si>
  <si>
    <t>1314269251977588736</t>
  </si>
  <si>
    <t>.@GreenfieldIowa is trying to cover up her record of kicking Iowa businesses to the curb for a multinational corporation. Well folks, @DMRegister reported about her plan to do just that in 2015.
Theresa is lying about her failed business record. 
https://t.co/tgRuuqy3Nw</t>
  </si>
  <si>
    <t>1314249578028453889</t>
  </si>
  <si>
    <t>Thank you to everyone at the Scott County GOP office working so hard to get out the vote! 
It’s so amazing to see the grassroots energy all across our state! https://t.co/D2VfiJJgRn</t>
  </si>
  <si>
    <t>1314229014194782208</t>
  </si>
  <si>
    <t>Special guest this morning on the Campaign RV, @KimReynoldsIA! We’ll be visiting some GOP volunteers in Scott County who are getting out the vote for our Republican ticket! Early voting has started - look up your poll location here and make sure to vote! https://t.co/UEzRIFKu5z https://t.co/ZIf8OY2UUT</t>
  </si>
  <si>
    <t>1314212398773891076</t>
  </si>
  <si>
    <t>Watch my latest ad, featuring my amazing sister Julie, who has Type 1 Diabetes.
When kids made fun of her in school, I’d always have her back. Now I’m fighting in the Senate for her, &amp;amp; every Iowan with a pre-existing condition, to make sure they have the health care they need. https://t.co/ifqKgdE5rW</t>
  </si>
  <si>
    <t>1313987381951975424</t>
  </si>
  <si>
    <t>Radical environmental plans pushed by @GreenfieldIowa’s donors on the coasts would devastate our ag economy in Iowa. We can’t allow these plans to become a reality nationwide. 
https://t.co/DzQAHA1Mg9</t>
  </si>
  <si>
    <t>1313976715371307008</t>
  </si>
  <si>
    <t>“She has not had a presence in Northwest Iowa”. 
@GreenfieldIowa has ignored rural Iowa, and rural Iowans are noticing. https://t.co/wjKuHwLfNQ</t>
  </si>
  <si>
    <t>1313971416434442242</t>
  </si>
  <si>
    <t>Another big #ia03 debate win for @YoungForIowa! Looking forward to once again voting for you to be my Congressman!</t>
  </si>
  <si>
    <t>1313929816404643841</t>
  </si>
  <si>
    <t>Saw this billboard while driving through Mason City and had to stop so I could share it with all of you! 
Thank you, Law Enforcement, for everything that you do to protect our communities. https://t.co/QHUuhwoXZt</t>
  </si>
  <si>
    <t>1313900967910412288</t>
  </si>
  <si>
    <t>And of course, we’re proud to have a Winnebago as our campaign RV! https://t.co/t2QBiOInKP</t>
  </si>
  <si>
    <t>1313898122343522307</t>
  </si>
  <si>
    <t>Just visited Winnebago industries! Winnebago is one of Iowa’s great manufacturing companies, and a company that was able to invest in its workforce thanks to the Republican tax bill! 
I’m proud to always fight to bring manufacturing jobs to Iowa. https://t.co/yxw6bBMWTc</t>
  </si>
  <si>
    <t>1313860106690461697</t>
  </si>
  <si>
    <t>Iowa is a place where hard work, decency and resilience is not just how we are but who we are.
When floodwaters rise, so does Iowa 
When storms hit, we fight back together
Our challenges may change, but one thing never will
Iowa is the greatest place in America to call home https://t.co/jfLEoOjqQ6</t>
  </si>
  <si>
    <t>1313616737397608451</t>
  </si>
  <si>
    <t>.@RayGaesser is a farmer in Adams County, the smallest county in Iowa and one of over 40 that @GreenfieldIowa has ignored throughout her campaign.
Ray knows I’ve always fought and won for Iowa’s farmers, and I always will. https://t.co/AFCFXejtjl</t>
  </si>
  <si>
    <t>1313545041978232833</t>
  </si>
  <si>
    <t>The public option @GreenfieldIowa supports would put bureaucrats between people and their doctors, dilute Medicare for Seniors, and bankrupt rural hospitals, like the one in my hometown of Red Oak. https://t.co/lqQwWSiVrl</t>
  </si>
  <si>
    <t>1313493815555223558</t>
  </si>
  <si>
    <t>I was born and raised on a small farm in SW Iowa, where I learned hard work, service &amp;amp; faith. Because of that, I've made service my life's mission
I'm fighting for for farmers, veterans, &amp;amp; sexual assault survivors because I've lived their struggles
I will always fight for Iowa</t>
  </si>
  <si>
    <t>1313297528717271041</t>
  </si>
  <si>
    <t>Great job tonight @YoungForIowa! You showed why you are an effective leader for Iowa. I can’t wait to have you back working with me in Congress. #IA03 #IA03debate</t>
  </si>
  <si>
    <t>1313271791759110144</t>
  </si>
  <si>
    <t>Thank you so much @ThompsonforIowa! Looking forward to following along with your travels across the state! https://t.co/BY5ZLyjq5E</t>
  </si>
  <si>
    <t>1313232729820016641</t>
  </si>
  <si>
    <t>I’m glad that women all over the world can look up to Judge Barrett and know that moms can do anything. 
https://t.co/X6Sxgolg51</t>
  </si>
  <si>
    <t>1313176518311514112</t>
  </si>
  <si>
    <t>.@GreenfieldIowa was sued for shoddy workmanship &amp;amp; breach of contract. She couldn’t make the ballot 2 years ago due to felony election fraud. She declared bankruptcy, sticking it to Iowa businesses to the tune of $29 million.
Her record of failed leadership is wrong for Iowa. https://t.co/P21uyTb1V9</t>
  </si>
  <si>
    <t>1313136161850904576</t>
  </si>
  <si>
    <t>Election Day is in less than one month, and Early Voting starts in TODAY! @realDonaldTrump and I need your help to keep Iowa Red and hold our Senate majority! Use this link to request an absentee ballot, look up your voting location, or commit to vote! https://t.co/JHYRJLd9Wo https://t.co/Uwu4gbAsXK</t>
  </si>
  <si>
    <t>1312868818822352896</t>
  </si>
  <si>
    <t>I’m a farmer's daughter, soldier, and mother to an amazing daughter.
I’m a lifelong Iowan, and I love my state and my country. 
I’ve dedicated my life to fighting for Iowa. I always have and always will.</t>
  </si>
  <si>
    <t>1312821264864686080</t>
  </si>
  <si>
    <t>Great to be part of the @TeamTrump bus tour in Atlantic! #FourMoreYears https://t.co/A93S27oCTQ</t>
  </si>
  <si>
    <t>1312793503622205442</t>
  </si>
  <si>
    <t>Why would we take someone with @GreenfieldIowa's record of dishonesty and failed business leadership to the United States Senate? https://t.co/kEOA3EFYue</t>
  </si>
  <si>
    <t>1312595750967181313</t>
  </si>
  <si>
    <t>Debate win ✅
Cyclones win ✅🌪
Pretty good Saturday. https://t.co/vUfx5Rrz27</t>
  </si>
  <si>
    <t>1312565228014579712</t>
  </si>
  <si>
    <t>Watch: @GreenfieldIowa can't defend her shady business record, because she spent her career hurting small businesses and hard working people. In the Senate, she'd do the same thing. https://t.co/3SKyEIsGnX</t>
  </si>
  <si>
    <t>1312558343643332609</t>
  </si>
  <si>
    <t>I am an Iowan through and through. I have been called to serve Iowa in the military, in the Iowa Senate, and now in the US Senate. Serving Iowa is my life’s mission, and I will never stop fighting for you.</t>
  </si>
  <si>
    <t>1312557884987912197</t>
  </si>
  <si>
    <t>.@GreenfieldIowa has been sued for shoddy workmanship, and for breach of contract. She couldn’t make it on the ballot two years ago due to felony election fraud. She declared bankruptcy, sticking it to Iowa businesses to the tune of $29 million dollars.</t>
  </si>
  <si>
    <t>1312557288406876161</t>
  </si>
  <si>
    <t>While Theresa Greenfield brags about being a small business owner, just remember, as President of Colby Interests she heartlessly kicked Iowa small businesses to the curb for a multinational corporation. #IASen #IAPolitics https://t.co/WQou1LGGqn</t>
  </si>
  <si>
    <t>1312556353706168320</t>
  </si>
  <si>
    <t>.@GreenfieldIowa has repeatedly called our police racist. That is unacceptable to me. https://t.co/raSjaVg32s</t>
  </si>
  <si>
    <t>1312554771065319425</t>
  </si>
  <si>
    <t>I’m proud to be endorsed by both @Iowa_Corn and @IowaFarmBureau. Iowa farmers know I will always fight for them. https://t.co/iSxgBLRkKJ</t>
  </si>
  <si>
    <t>1312554561366831104</t>
  </si>
  <si>
    <t>I have gone toe to toe with leaders in my own party to fight for the RFS. I fight for Iowa farmers day in and day out. https://t.co/nXsDbGGrmY</t>
  </si>
  <si>
    <t>1312554270676443136</t>
  </si>
  <si>
    <t>These attacks from Theresa Greenfield and her allies are just an attempt to scare seniors. I will always protect Social Security. #IASen #IAPolitics https://t.co/MTBdSiI5tV</t>
  </si>
  <si>
    <t>1312553983828004865</t>
  </si>
  <si>
    <t>Radical Liberals are bankrolling Theresa Greenfield’s campaign. There’s a reason they are spending millions to elect her. #IASen #IAPolitics</t>
  </si>
  <si>
    <t>1312553537470181376</t>
  </si>
  <si>
    <t>If you want to know @GreenfieldIowa’s real agenda, look no further than the special interest groups funding her campaign. #IASen #IAPolitics https://t.co/0PqvRRYxXQ</t>
  </si>
  <si>
    <t>1312552826766274562</t>
  </si>
  <si>
    <t>According to one estimate, the average Iowan saved $1077 from the Tax Cuts and Jobs Act. That’s a 12.7% tax cut. And @GreenfieldIowa really wants to do away with it? #IASen #IAPolitics https://t.co/hC9LtptBm8</t>
  </si>
  <si>
    <t>1312551780924952580</t>
  </si>
  <si>
    <t>I live in a rural, middle class community in Red Oak. I know their struggles personally, and these are the folks that I am fighting for.</t>
  </si>
  <si>
    <t>1312551668383444993</t>
  </si>
  <si>
    <t>.@GreenfieldIowa's life of luxury is much different than what folks across the state, particularly in rural areas, are experiencing. How can Greenfield represent these people, when she won’t even show up in their communities on the campaign trail? #IASen #IAPolitics https://t.co/3RsrVb0UBB</t>
  </si>
  <si>
    <t>1312550394871111680</t>
  </si>
  <si>
    <t>I’ve worked with Senators on both sides of the aisle to improve Iowa’s infrastructure. I’m glad @greenfieldIowa supports these efforts.</t>
  </si>
  <si>
    <t>1312549721328803840</t>
  </si>
  <si>
    <t>https://t.co/b0Ft7fUNBt</t>
  </si>
  <si>
    <t>1312549462859018242</t>
  </si>
  <si>
    <t>The public option @GreenfieldIowa supports would put bureaucrats between people and their doctors, dilute Medicare for Seniors, and bankrupt rural hospitals.</t>
  </si>
  <si>
    <t>1312548926235516930</t>
  </si>
  <si>
    <t>I grew up with a brother and a sister who are Type 1 Diabetics. I will always fight to protect their coverage, and the coverage of every Iowan with a preexisting condition.</t>
  </si>
  <si>
    <t>1312548260624707589</t>
  </si>
  <si>
    <t>When @GreenfieldIowa says she’s “crisscrossed the state” remember she hasn’t been to half of Iowa. Clearly the voices of these communities aren’t important to her.</t>
  </si>
  <si>
    <t>1312545846605602816</t>
  </si>
  <si>
    <t>.@GreenfieldIowa says she supported the CARES act, but she’s been running ads attacking me for voting for it. She can’t have it both ways.</t>
  </si>
  <si>
    <t>1312543908413542400</t>
  </si>
  <si>
    <t>I was born and raised on a small farm in SW Iowa, where I learned hard work, service &amp;amp; faith. Because of that, I've made service my life's mission.
I'm fighting for for farmers, veterans, &amp;amp; sexual assault survivors because I've lived their struggles. I will always fight for Iowa</t>
  </si>
  <si>
    <t>1312523561597169664</t>
  </si>
  <si>
    <t>We have another #IASEN debate tonight at 7 PM! I look forward to showing Iowans the clear difference between my record of fighting for Iowa and @GreenfieldIowa’s record of hiding in Chuck Schumer’s basement.</t>
  </si>
  <si>
    <t>1312416807186321409</t>
  </si>
  <si>
    <t>I visit all 99 counties every year, because being Iowa’s Senator means being a Senator for all Iowans. 
@GreenfieldIowa can’t even be bothered to show up and listen to half the state. She simply doesn’t care about rural Iowans. That’s not the type of support Iowa deserves.</t>
  </si>
  <si>
    <t>1323761000378699776</t>
  </si>
  <si>
    <t>On the Greenfield Farm we learned to play hard AND work hard. We may be in the last few hours of this campaign, but I’m certainly not taking my foot off the gas. You don’t stop playing until the clock runs out. #IASen</t>
  </si>
  <si>
    <t>1323735506623057920</t>
  </si>
  <si>
    <t>From Dubuque to Woodbury, and every town and county in between, I’m honored to have so many folks on #TeamTheresa. I got in this fight for our hardworking families and today, we’re going to bring this home. Go vote, Iowa! #IASen https://t.co/qECkZuVuQI</t>
  </si>
  <si>
    <t>1323687508388052993</t>
  </si>
  <si>
    <t>My friend @DeidreDeJear has an important message -- exercising your right to vote is the most powerful way to make your voice heard.
Polls are open until 9PM, Iowa. Find out where to vote here: https://t.co/7Sh60D1SlF #IASen https://t.co/da4LC9LHYg</t>
  </si>
  <si>
    <t>1323643318052507653</t>
  </si>
  <si>
    <t>It’s Election Day, and Carpenters Local 106 is fired up to flip this #IASen seat! Helping them fuel up with some ☕️ and 🍩… now let’s do this, Iowa! https://t.co/KVz1xYZIr0</t>
  </si>
  <si>
    <t>1323610920854183937</t>
  </si>
  <si>
    <t>Polls are OPEN, Iowa! Mask up, stay safe, and go #VOTE. #IASen https://t.co/XJvu9af5NQ</t>
  </si>
  <si>
    <t>1323475986315431936</t>
  </si>
  <si>
    <t>Tomorrow’s the big day. Folks from every corner of our state have stepped up, pitched in, and lent a hand. I couldn't be more proud of this grassroots team. YOU are the reason we're going to flip this #IASen seat. Thank you for helping us get this far, now let's bring it home!</t>
  </si>
  <si>
    <t>1323445775406419970</t>
  </si>
  <si>
    <t>Big day tomorrow, folks. Let’s do this -- together 💪 https://t.co/9BENWLMZkJ</t>
  </si>
  <si>
    <t>1323402776873967617</t>
  </si>
  <si>
    <t>My first husband made great wages because of union apprenticeships that let him earn while he learned. We must invest in skills training and programs like the ones at Plumbers and Pipefitters Local 125 in Cedar Rapids so all Iowans have the opportunity to earn good wages. #IASen https://t.co/5iSByJzpcJ</t>
  </si>
  <si>
    <t>1323372098107092992</t>
  </si>
  <si>
    <t>🚜 Short Family Farm, Buchanan County
My Fair Shot for Farmers plan empowers our farmers to compete around the world, growing our ethanol industry and leveling the playing field to put more money in their pockets. Thanks for having me and for @RobSandIA for joining us! #IASen https://t.co/6Qx8GeSx3U</t>
  </si>
  <si>
    <t>1323298612869242880</t>
  </si>
  <si>
    <t>🗞@DMRegister
🗞@TelegraphHerald
🗞@scj
🗞@qctimes
🗞@TheDailyIowan
🗞@presscitizen
🗞@SLTimes
🗞@gazettedotcom
Answering questions and being accountable to Iowans is part of being a senator, and a privilege I don’t take lightly. Honored to earn these major endorsements. #IASen https://t.co/LygjAmLDDh</t>
  </si>
  <si>
    <t>1323265644234788864</t>
  </si>
  <si>
    <t>Up and at ’em bright and early! Heading out to Eastern Iowa today -- we are getting up early and staying up late to flip this #IASen seat. 
You can help us do it -- click here to join our team: https://t.co/aSBXuirOSN https://t.co/dAxPotq9pg</t>
  </si>
  <si>
    <t>1323093840010584065</t>
  </si>
  <si>
    <t>50-50.
That’s right -- flipping this #IASen seat and taking back the Senate is a coin toss.
Don’t like those odds? Chip in now and let’s show them what we've got: https://t.co/9E1idpyJA4 https://t.co/wvhnqvYmtS</t>
  </si>
  <si>
    <t>1323079899201052679</t>
  </si>
  <si>
    <t>On tap: flipping the Senate!
Great to end our day in Coralville at @BackpocketBrew today to talk about the issues facing our small businesses. #IASen https://t.co/EGPCSbhoz1</t>
  </si>
  <si>
    <t>1323050839242625024</t>
  </si>
  <si>
    <t>Nothing tastes better than a meal from one of Iowa’s mom and pop restaurants and Bayside Bistro in Davenport and Salvatore's by Papa Reno in Muscatine are two of the best. Family-owned businesses like these make our state special. I’ll be proud to stand up for them in the Senate. https://t.co/jdgBWc1YpU</t>
  </si>
  <si>
    <t>1323006764695080961</t>
  </si>
  <si>
    <t>We’re living through tough times right now, and we all want to get back to normal. But we need to keep looking out for each other by wearing a mask, washing our hands, and practicing social distancing. Thanks for doing your part, Iowa. #IASen #MaskUpIA https://t.co/MTaxPny2ev</t>
  </si>
  <si>
    <t>1322983275636412424</t>
  </si>
  <si>
    <t>Getting to spend time with the young people at Gateway Area Community Center in Clinton? That's a knockout 🥊 #IASen https://t.co/ITm5lE2EQl</t>
  </si>
  <si>
    <t>1322917659797839873</t>
  </si>
  <si>
    <t>My name is Theresa Greenfield, and I’m the woman who’s going to replace @joniernst in just two days. Eyes on the prize, folks 💪 #IASen</t>
  </si>
  <si>
    <t>1322679762561748992</t>
  </si>
  <si>
    <t>Look folks, we’re fighting like heck for every vote, but the latest @DMRegister Iowa Poll shows us behind.
This is the closest race in the country and flipping Iowa means flipping the Senate. Chip in, and let’s do this thing: https://t.co/sfx9T60a0m https://t.co/5feBAguJms</t>
  </si>
  <si>
    <t>1322662100393746434</t>
  </si>
  <si>
    <t>Voting early is a slam dunk ⛹️‍♀️
https://t.co/7Sh60D1SlF #IASen #VoteEarly https://t.co/ZVAOTP7AHa</t>
  </si>
  <si>
    <t>1322644342843052032</t>
  </si>
  <si>
    <t>I’m taking my grit and resolve to fight for every darn vote. Three days left, folks -- we’re not slowing down.
Great seeing so many fired up folks in Cedar County today, and big thanks to everyone who came out! #IASen https://t.co/CvyhQG2CPE</t>
  </si>
  <si>
    <t>1322624014376935429</t>
  </si>
  <si>
    <t>The Manternachs grow corn and soybeans on 150 acres of land in Jones County. Iowa is lucky to be home to the best farmers in the world -- but they need a fair shot to compete. That’s what I’ll fight for in the Senate. #IASen https://t.co/L7cxvhkJz5</t>
  </si>
  <si>
    <t>1322606271229546497</t>
  </si>
  <si>
    <t>I thought I was seeing double (or triple, or quadruple!) 
We need to leave it all on the line before Election Day. That means joining these fired up @battlegroundia volunteers and helping #TeamTheresa flip the Senate! Click here to take action: https://t.co/xN4kBYjHiZ https://t.co/gFy2AHvxTQ</t>
  </si>
  <si>
    <t>1322583956982779905</t>
  </si>
  <si>
    <t>Hi there, Sen. @AmyKlobuchar! Iowa sure did miss you.
With just three days to go, we are fighting hard for every single vote -- and you can bet Iowans are excited to #FlipTheSenate. Let’s do this thing 💪 #IASen https://t.co/xswQDfkXsJ</t>
  </si>
  <si>
    <t>1322528561396436992</t>
  </si>
  <si>
    <t>I’m proud to earn the endorsement of the Iowa City @presscitizen Editorial Board. Iowans deserve leaders who will put politics aside and work together to get the job done for our families. That’s the kind of leader I’ll be in the U.S. Senate. #IASen https://t.co/Ah1rPUsicp</t>
  </si>
  <si>
    <t>1322339513063100417</t>
  </si>
  <si>
    <t>In four days we’re going to flip this #IASen seat and take back the Senate. I’m so proud of how far this team has come, but we can’t take our foot off the gas.
I can’t win this thing alone. Can you chip in to get us over the finish line? Let’s do this: https://t.co/P6WvQI1Ztx</t>
  </si>
  <si>
    <t>1322316409909764096</t>
  </si>
  <si>
    <t>👋 Hi from the Coyote Run Farm in Marion County! 
Iowa’s farmers feed and fuel our country. In the Senate, I’ll fight to give our farmers a fair shot to compete. #IASen https://t.co/HvvOLMaPOD</t>
  </si>
  <si>
    <t>1322273684296503296</t>
  </si>
  <si>
    <t>No matter who you are or where you live, you deserve access to quality, affordable health care. That includes the 1.3 million Iowans with pre-existing conditions.
But if @joniernst got her way, they could lose coverage.
I’ll always fight to #ProtectOurCare. Watch: #IASen https://t.co/Td2Uuzy1AI</t>
  </si>
  <si>
    <t>1322265837017903104</t>
  </si>
  <si>
    <t>Remember: @joniernst broke the law to prop up her own failing reelection campaign.
She’s looking out for herself -- at any cost.
That’s corrupt and that’s wrong. We’re going to vote her out. #IASen</t>
  </si>
  <si>
    <t>1322238736365768704</t>
  </si>
  <si>
    <t>I’m a scrappy farm kid, so I’m used to a tough fight. You can bet flipping this #IASen seat will be tough, but I’m taking my grit and resolve and fighting for every vote. Let’s do this, Iowa! https://t.co/HTb2N1wt3k</t>
  </si>
  <si>
    <t>1322168184351432705</t>
  </si>
  <si>
    <t>The price of corn and soybeans is important to our farmers, so it’s important to me. 
@joniernst isn’t just out of touch -- she sold us out. Our farmers deserve better. https://t.co/OD2c8qCZPh</t>
  </si>
  <si>
    <t>1321992664649256961</t>
  </si>
  <si>
    <t>With 5 days until Election Day, @joniernst is still in hot water for her shady campaign finance violations.
Which scandal? Take your pick. #IASen https://t.co/inpS6LB789</t>
  </si>
  <si>
    <t>1321967778883141634</t>
  </si>
  <si>
    <t>Honk if you’re ready to #FlipTheSenate! 
What a great event in Winterset. We can do this, but we can’t take our foot off the gas. Join our team: https://t.co/aSBXuirOSN #IASen https://t.co/vHwu9bL9jE</t>
  </si>
  <si>
    <t>1321937635284291590</t>
  </si>
  <si>
    <t>The sham study you’re citing was paid for by Big Pharma. 🙄
They gave you over a *quarter million dollars.* It’s no wonder you’re parroting their false talking points.
The truth is you voted to dismantle Medicaid expansion, which is a lifeline for our rural hospitals. #IASen https://t.co/xmeN2Q88xk</t>
  </si>
  <si>
    <t>1321927918017196035</t>
  </si>
  <si>
    <t>Iowa is a state of small towns, small businesses, and small farms -- my favorite part of this campaign is getting to know them all. Thank you for having me on the O’Brien-Harris family farm in Atlantic today! #IASen https://t.co/G1SQb6f4No</t>
  </si>
  <si>
    <t>1321897376454508544</t>
  </si>
  <si>
    <t>In tough times, it’s important to elect leaders who won’t just do what’s right, but who won’t look away from what’s wrong. I’m ready to roll up my sleeves and fight for our hardworking families. Let’s flip this #IASen seat and take back the Senate, folks.</t>
  </si>
  <si>
    <t>1321859277112381441</t>
  </si>
  <si>
    <t>“A vote for Ernst is a vote for Big Oil.”
I couldn’t have said it better myself, Matt. @joniernst took over $500,000 from Big Oil, and voted for one of their guys to run the EPA. In the Senate, I’ll stand up to anyone to put our farmers first. #IASen https://t.co/j0XMqZCOiB</t>
  </si>
  <si>
    <t>1321834012164476928</t>
  </si>
  <si>
    <t>Thank you, Emily. I’m proud to have you on #TeamTheresa. 
Be like Emily and make your plan to #VoteEarly. Click here: https://t.co/Wne8UIsDtC https://t.co/S5S1g766oQ</t>
  </si>
  <si>
    <t>1321622356859768833</t>
  </si>
  <si>
    <t>Vice President Mike Pence is coming to Iowa tomorrow to campaign for @joniernst. This comes after Mitch McConnell and his allies spent over $85 million trying to buy this #IASen seat.
They’re running scared. Let’s keep it that way. Chip in: https://t.co/RI3bV5EKfJ</t>
  </si>
  <si>
    <t>1321576454853922817</t>
  </si>
  <si>
    <t>My name is Theresa Greenfield. I’m a businesswoman, mother, and scrappy farm kid. And in just six days, I’m going to flip Iowa’s U.S. Senate seat. Let’s go 💪</t>
  </si>
  <si>
    <t>1321536973446750212</t>
  </si>
  <si>
    <t>Your zip code should not determine your health care. I’ve talked to folks in rural areas who drive 30 minutes to access the care they need. We must protect Medicaid expansion and our rural hospitals so absolutely every Iowan can access high-quality, affordable health care. #IASen</t>
  </si>
  <si>
    <t>1321511204385361921</t>
  </si>
  <si>
    <t>Here's the deal: if we raise $74,000 by midnight we could air a clip like this one of @joniernst totally botching the price of soybeans during the Iowa-Northwestern game. That's 7,364 folks chipping in $10.05.
Think we can do it? Help us do it &amp;amp; chip in: https://t.co/qtPmw4PZvH https://t.co/fGSQ4MBwYb https://t.co/gnHi1jCIim</t>
  </si>
  <si>
    <t>1321482504424083458</t>
  </si>
  <si>
    <t>Maria stole some of my lines, but I think we got the message across -- VOTE, and #VoteEarly if you can. Click here to make your voting plan: https://t.co/Wne8UIsDtC #IASen https://t.co/73Unvn9ijT</t>
  </si>
  <si>
    <t>1321275300202848258</t>
  </si>
  <si>
    <t>.@joniernst knowingly took illegal contributions from corporations.
She was also caught illegally coordinating with a dark money group set up by her own top aides.
She's part of the corruption in Washington.
I have a plan to end it. #IASen</t>
  </si>
  <si>
    <t>1321255679194243072</t>
  </si>
  <si>
    <t>Day one is done! 
📍 @IBEW Local 347
📍 UnityPoint, Marshalltown
📍 South Shore Donut Co., Clear Lake
📍 Weaver Farm, Rippey
📍 @ISUResearchPark, Ames
What a fantastic day on our GOTV tour. Can’t wait to see where tomorrow takes us. Stay tuned! #IASen https://t.co/li01a7lYDZ</t>
  </si>
  <si>
    <t>1321210361270456331</t>
  </si>
  <si>
    <t>☀️ It’s a beautiful day to be crisscrossing this state to get out the vote! https://t.co/rkRMcprX4A</t>
  </si>
  <si>
    <t>1321190230549037059</t>
  </si>
  <si>
    <t>In a small business, coworkers become like family. Or in the case of South Shore Donut Co. in Clear Lake, they’re literally family!
This family-owned business makes its whole community a better place. We need to make it easier for small businesses to thrive in our state. #IASen https://t.co/8drwO61lo4</t>
  </si>
  <si>
    <t>1321155621065023498</t>
  </si>
  <si>
    <t>Make a plan to vote 👇
https://t.co/pOb9q1qtnR https://t.co/qbIh9OUuf5</t>
  </si>
  <si>
    <t>1321128695088766977</t>
  </si>
  <si>
    <t>My dad always said, there's no boy jobs or girl jobs, just jobs that need to get done.
Now I’m ready to get the job done for Iowa’s families because I’ll never forget who I am, where I’m from or who I’m fighting for. Watch our closing #IASen ad: https://t.co/Tm6JBphuzB</t>
  </si>
  <si>
    <t>1321104776826859520</t>
  </si>
  <si>
    <t>We kicked off our Jobs That Need to Get Done GOTV Tour at @IBEW this morning.
It's an honor to be in this fight to put Iowa's hardworking families first. In the Senate, I'll roll up my sleeves to actually get things done for Iowans.
Now let's hit the road! #IASen https://t.co/ll9i0QKGBT</t>
  </si>
  <si>
    <t>1321093045748670464</t>
  </si>
  <si>
    <t>One week, Iowa. Let’s do this 💪 https://t.co/L9YuqXcNR5</t>
  </si>
  <si>
    <t>1320841817554853888</t>
  </si>
  <si>
    <t>Our campaign is #unionstrong -- and I couldn’t be more proud! I’ll always stand with our workers in the fight for fair wages, affordable health care, and good-paying jobs. #IASen https://t.co/SEnq71gbUw</t>
  </si>
  <si>
    <t>1320805222269280258</t>
  </si>
  <si>
    <t>Health care is on the ballot. In the Senate, I’ll fight to enhance the ACA, allow Medicare to negotiate lower prescription drug costs &amp;amp; protect our rural hospitals.
@joniernst wants the opposite. If she got her way 1.3 million Iowans with pre-existing conditions could lose care.</t>
  </si>
  <si>
    <t>1320741296114409474</t>
  </si>
  <si>
    <t>Democracy only works if we put in the work, too. And let me tell you, @battlegroundia volunteers are doing just that! You can join them and help us #FlipTheSenate. Sign up for a shift right now: https://t.co/0lbOiEGNYK</t>
  </si>
  <si>
    <t>1320541799681871872</t>
  </si>
  <si>
    <t>This isn’t complicated -- @joniernst sold out Iowans for her big corporate PAC donors. Time and again she puts their interests over ours. #IASen https://t.co/wwrP5UgQhR</t>
  </si>
  <si>
    <t>1320517924390621184</t>
  </si>
  <si>
    <t>We ended our day on the road the way any good day should end -- with some treats and great conversation at Goldie’s Ice Cream in Jasper County. #IASen https://t.co/nmj0TI6fmq</t>
  </si>
  <si>
    <t>1320473986313146379</t>
  </si>
  <si>
    <t>Democrats need to flip four seats to take back the Senate -- Iowa is a must-win. Thanks to the support of this grassroots team, this race is the closest in the whole country. I know that if we keep working together, we’re going to flip this seat. Let’s do it team 💪</t>
  </si>
  <si>
    <t>1320450749931859970</t>
  </si>
  <si>
    <t>📍 Moore Family Farm, Jackson County
📍 Hertle Family Farm, Benton County
There’s no way I’d rather spend my day than by visiting some of our state’s amazing farmers. #IASen https://t.co/ngCE7iiHqx</t>
  </si>
  <si>
    <t>1320418519226396672</t>
  </si>
  <si>
    <t>No kidding -- it's time to #VoteEarly https://t.co/UMo06DPW7h</t>
  </si>
  <si>
    <t>1320400157788221440</t>
  </si>
  <si>
    <t>“Greenfield deserves a shot at making her mark for Iowa.”
Thank you for your endorsement, @TelegraphHerald Editorial Board. #IASen
https://t.co/QG0Zc4vGIk</t>
  </si>
  <si>
    <t>1320160761851875329</t>
  </si>
  <si>
    <t>.@joniernst went to Washington to change it, but Washington changed her.
She voted for a fossil fuel lobbyist to run the EPA, voted against paid sick leave TWICE, and puts her corporate PAC donors first.
We deserve better. We’re going to vote her out. #IASen</t>
  </si>
  <si>
    <t>1320125263401934848</t>
  </si>
  <si>
    <t>This election is too important to sit out. We need to make our voices heard and VOTE! Great talking to fired up voters in Council Bluffs, and to see @pellant4house, @gorman4Iowa, @CharlieMcConkey, and so many others who are going to win up and down the ballot. #IASen #VoteEarly https://t.co/GTzQvdhmzA</t>
  </si>
  <si>
    <t>1320082063974932480</t>
  </si>
  <si>
    <t>I had such great conversations at the Thomas Farm and Early Morning Harvest talking about how we get our markets back and grow a farm economy that works for Iowa. As your next Senator, I’ll always make sure farmers have a seat at the table. #IASen https://t.co/8hPmN3lu3T</t>
  </si>
  <si>
    <t>1320055713436139526</t>
  </si>
  <si>
    <t>Please, Iowa -- wear a mask, wash your hands, practice social distancing.
And in 10 days, let’s elect leaders who will actually listen to public health experts and who care about us -- not just their own political careers. #IASen
https://t.co/eGhQugFvKq</t>
  </si>
  <si>
    <t>1320023629577543680</t>
  </si>
  <si>
    <t>The Waukee Hardware Store has been serving its community for over 140 years! Small businesses like this one make up the fabric of our communities and we’re lucky to have them in our state.
It was so great to visit and answer questions! #IASen https://t.co/IDO6eaDIwO</t>
  </si>
  <si>
    <t>1319813667668611073</t>
  </si>
  <si>
    <t>This week alone, three polls had our #IASen race against @joniernst within the margin of error.
McConnell is funneling tens of millions into Iowa because this race is a must-win.
We can stop him, but only if we all work together. Chip in right now: https://t.co/htZfVB55kW</t>
  </si>
  <si>
    <t>1319777252989652992</t>
  </si>
  <si>
    <t>And while you’re at it vote for fellow farm kid @RubyforIowa, too! We need more #unionstrong fighters like Ruby who will stand up for our rural communities in the Iowa State House. #IASen #ialegis https://t.co/PmRjfsjeOo</t>
  </si>
  <si>
    <t>1319745837312987145</t>
  </si>
  <si>
    <t>Senator @joniernst, you are making things up again. Iowans know you've taken massive donations from Big Oil and voted for a fossil fuel lobbyist to run the EPA, who's devastated our biofuels producers &amp;amp; farmers.
By the way, have you figured out the price of soybeans yet? #IASen https://t.co/hwsoIwtG1z</t>
  </si>
  <si>
    <t>1319711927094968320</t>
  </si>
  <si>
    <t>Severe flooding, extreme drought, and now a #derecho. This is what climate change looks like in Iowa.
But @joniernst denies climate science. The futures of our kids and grandkids are on the line -- we can’t afford six more years of inaction. We need to flip this #IASen seat.</t>
  </si>
  <si>
    <t>1319655830057353216</t>
  </si>
  <si>
    <t>Wow! Nice work, Iowa. Let’s keep it up and break some more records. Make your plan to vote: https://t.co/Wne8UIsDtC #IASen https://t.co/Mbf2U2dWJk</t>
  </si>
  <si>
    <t>1319447154264580097</t>
  </si>
  <si>
    <t>The closest in the country, in fact. 
Help us flip this #IASen seat: https://t.co/zJ1bUxXwIh https://t.co/JXuGvb8Klk</t>
  </si>
  <si>
    <t>1319382396576370689</t>
  </si>
  <si>
    <t>So great to stop by and answer questions from folks at Puebla Restaurant in West Liberty!
Iowa’s small businesses make our state special, and I’ll fight to give them a hand up in the Senate. #IASen https://t.co/y8Tv07a2aU</t>
  </si>
  <si>
    <t>1319353152278302720</t>
  </si>
  <si>
    <t>.@joniernst has been trying to take away our health care for nearly six years.
She’s voted repeatedly to repeal the ACA, and now she supports the lawsuit that's headed to the Supreme Court that will do just that.
We need to vote her out. #IASen https://t.co/COhRSs8zBp</t>
  </si>
  <si>
    <t>1319332683990917121</t>
  </si>
  <si>
    <t>My first husband was an @IBEW member, and we’re a proud #unionstrong family. When he died on the job, his union brothers and sisters wrapped their arms around me and the boys. I’ll never forget that -- and I’ll never stop fighting for our workers. #IASen https://t.co/hDZRWXIKCx</t>
  </si>
  <si>
    <t>1319304779269607426</t>
  </si>
  <si>
    <t>The Seybs are third-generation family farmers out in Lee County. This has been a tough year for our farmers. They deserve a senator who fights for them -- not for corporate special interests. Thanks for the delicious pie and the chance to meet some of your animals! 🥧 🐐 #IASen https://t.co/sqgDZfXDUZ</t>
  </si>
  <si>
    <t>1319265728026083330</t>
  </si>
  <si>
    <t>I requested my mail-in ballot and dropped it off in person last week. If you want to get your ballot in the mail, too, the deadline is coming up quick! Requests must be received by Saturday. Click here to make your plan to vote: https://t.co/Wne8UIsDtC https://t.co/fv1cIvhPTG</t>
  </si>
  <si>
    <t>1319094337981042691</t>
  </si>
  <si>
    <t>When young people vote, their voices make a difference! I loved stopping by tonight’s student early vote event, and answering questions from the @DrakeUniversity Democrats. Let’s win this thing 💪 #IASen https://t.co/0TQiQFmy6k</t>
  </si>
  <si>
    <t>1319056030026862595</t>
  </si>
  <si>
    <t>📉 #IASen Poll Update 📉
Any way you slice it Iowa is a toss up -- and the closest race in the whole country! I need your help to win it. Chip in now: https://t.co/xo7OARnaR4 https://t.co/SsEesULPP0</t>
  </si>
  <si>
    <t>1319016029117403136</t>
  </si>
  <si>
    <t>Iowans are still recovering from #derecho2020, and because of climate change, severe storms like this, and the devastation they leave in their wake, could become more frequent. We need to flip this #IASen seat and take urgent climate action. https://t.co/QUovwHl655</t>
  </si>
  <si>
    <t>1318977604083453954</t>
  </si>
  <si>
    <t>.@joniernst may not know how much soybeans cost, but you can bet she knows how to sell out our farmers. She takes money from Big Oil corporate PACs and even voted for one of their guys to run the EPA! Now we’re going to vote her out in November. #IASen https://t.co/J4NsFQwPyu</t>
  </si>
  <si>
    <t>1318938582799781889</t>
  </si>
  <si>
    <t>A new poll this morning shows this #IASen race is TIED.
Listen folks, if we want to flip the Senate, we have to win here in Iowa. Chip in to help make that happen: https://t.co/Gd94D6afgf https://t.co/WtNPf7ZAXM</t>
  </si>
  <si>
    <t>1318930145256853507</t>
  </si>
  <si>
    <t>My parents raised hogs, row crops &amp;amp; us five kids on the Greenfield Farm. But because of the farm crisis, they never farmed again. Too many farmers are struggling again today. In the Senate, I'll fight to give them a fair shot. Thanks for having me today, @IAfarmersunion! #IASen https://t.co/hXIuuAqskI</t>
  </si>
  <si>
    <t>1318734932215300096</t>
  </si>
  <si>
    <t>14 days until we replace @joniernst with a scrappy farm kid who will fight to protect your health care, not to take it away. #IASen</t>
  </si>
  <si>
    <t>1318703742603190274</t>
  </si>
  <si>
    <t>Thank you for all the birthday wishes! I felt the love as I spent the day crisscrossing the state. I’m so grateful to have you all with me in this fight -- today and every day.
P.S. Happy birthday to my twin and best friend, Maria! Miss you, this cake, but not these bowl cuts. https://t.co/kQkqICxIBC</t>
  </si>
  <si>
    <t>1318680198787796997</t>
  </si>
  <si>
    <t>I just got off the phone with voters who asked such thoughtful questions on our telephone town hall with Southeast Iowa. Thanks to everyone who joined for the great conversation, and to Congressman @DaveForIowa for the intro! #IASen https://t.co/RhAAXBh6pF</t>
  </si>
  <si>
    <t>1318637637977165826</t>
  </si>
  <si>
    <t>First @joniernst pushed a debunked #COVID19 conspiracy theory. Now she refuses to say if she has confidence in Dr. Fauci.
This should go without saying, but Iowans deserve a senator who believes in our health experts. Let's flip this seat: https://t.co/fEuMdpCWaM https://t.co/11qVtzkx24</t>
  </si>
  <si>
    <t>1318631069923627016</t>
  </si>
  <si>
    <t>🍎 @FishbackCider in Fairfield ➡ 🍝 @CafeDodici in Washington 
Whether it’s cider and burgers or pasta and salads, supporting Iowa’s small businesses always tastes great! I loved answering questions about my plans to give our small businesses a hand up. #IASen https://t.co/cuhPrwxeRu</t>
  </si>
  <si>
    <t>1318599736463659010</t>
  </si>
  <si>
    <t>Maria and I wish we could pull off those pigtails. Click here to get your own #TeamTheresa swag (awesome twin style sense not included): https://t.co/d3yUnh7kYJ https://t.co/v0tUAbe7Zd</t>
  </si>
  <si>
    <t>1318568409790119937</t>
  </si>
  <si>
    <t>Visiting @HotelOttumwa is like traveling back in time. This hotel was built in 1917 and still has all its historic charm. Thank you for the incredible tour -- and the discussion and questions about how we can help our small businesses through this pandemic and beyond. #IASen https://t.co/NECmO7paLi</t>
  </si>
  <si>
    <t>1318539108445192194</t>
  </si>
  <si>
    <t>Maria, Theresa’s twin, here because today’s a big day: it’s our birthday! 🥳🎂
It’s also two weeks until Election Day, so I’m doing some work for her. Can you make this her best birthday yet? Chip in to wish her a happy birthday AND help flip the Senate: https://t.co/RzODv82KjR https://t.co/RVSxKA3iUZ</t>
  </si>
  <si>
    <t>1318366859784310784</t>
  </si>
  <si>
    <t>.@joniernst is no friend to our farmers. She doesn’t even know the price of a bushel of soybeans!
I got in this race to put our farmers first and I’ll never forget who I’m fighting for. #IASen https://t.co/siJE5WFXAN</t>
  </si>
  <si>
    <t>1318336811320659968</t>
  </si>
  <si>
    <t>☎️ On the phone with folks from across Northeast and Eastern Iowa!
Thanks to everyone who joined our telephone town hall and for the lively discussion and questions about health care, education, and our small businesses.
And hi again @RobSandIA! Thanks for joining. #IASen https://t.co/QV7Qj82Wno</t>
  </si>
  <si>
    <t>1318317835798675460</t>
  </si>
  <si>
    <t>Mitch McConnell-aligned Super PACs just spent another $4.3 million in Iowa today.
Senate control hinges on Iowa, and this race is tied. That's why they're pouring so much money into Iowa. We need this team's help to fight back. Chip in now: https://t.co/9oN9xSKWM1</t>
  </si>
  <si>
    <t>1318292403535622146</t>
  </si>
  <si>
    <t>Even before #COVID19, health care was the number one issue I heard about from Iowans. Let’s strengthen the Affordable Care Act, protect folks with pre-existing conditions, and allow Medicare to negotiate lower drug prices. #IASen https://t.co/TncD2OCRyz</t>
  </si>
  <si>
    <t>1318262496675979265</t>
  </si>
  <si>
    <t>Hearing and answering questions from Iowans is a privilege I don’t take lightly. It’s an honor to be in this fight for our hardworking families. I’m taking my grit and resolve to compete for every single vote. #IASen https://t.co/TP8YQmDi8z</t>
  </si>
  <si>
    <t>1318217990261907459</t>
  </si>
  <si>
    <t>Iowa! What is your plan to vote? I requested my mail-in ballot and then dropped it at the Polk County Election Office. Folks, your vote is your voice -- use it. 
Click here to make your plan: https://t.co/7Sh60D1SlF</t>
  </si>
  <si>
    <t>1317989758337978368</t>
  </si>
  <si>
    <t>.@joniernst broke the law to help her failing reelection. It’s that simple. Now a federal judge ordered the FEC to take action on a complaint against her dark money group.
In the Senate, I’ll fight to put Iowans first, not corporate special interests. #IASen</t>
  </si>
  <si>
    <t>1317916016576442368</t>
  </si>
  <si>
    <t>Teachers are heroes in any circumstances, and they’ve stepped up in unimaginable ways during #COVID19. I’m heartbroken by this loss.
I’m also angry. Our leaders haven’t done what’s needed to keep our teachers, students, and families safe. #IASen
https://t.co/pwjVuGpeAO</t>
  </si>
  <si>
    <t>1317856486962434049</t>
  </si>
  <si>
    <t>Voting has started in Iowa and we need your help flipping this #IASen seat and electing Democrats up and down the ballot. Sign up now to make calls to voters ➡️ https://t.co/0lbOiEGNYK https://t.co/yNYyO5Ty6f</t>
  </si>
  <si>
    <t>1317629879958032385</t>
  </si>
  <si>
    <t>My parents struggled during the farm crisis. We sold our crop dusting business, and never farmed again. That’s why fighting for our farmers is personal to me. Great to be on the Winburn Farm today answering questions and touring the beautiful land! #IASen https://t.co/UzFipKQl2D</t>
  </si>
  <si>
    <t>1317611733352173568</t>
  </si>
  <si>
    <t>“The people of this state deserve better. Greenfield should be given an opportunity to refocus the junior senator’s office on working Iowans.”
Thank you, @DMRegister Editorial Board for your endorsement. #IASen https://t.co/ZHfI3yIPfD</t>
  </si>
  <si>
    <t>1317592804802105344</t>
  </si>
  <si>
    <t>My name is Theresa Greenfield. I’m a scrappy farm kid who always knows the price of corn and soybeans. And on November 3rd, I’m going to flip this #IASen seat.</t>
  </si>
  <si>
    <t>1317560385650700299</t>
  </si>
  <si>
    <t>Black and Brown women have faced higher maternal mortality rates for generations. That’s unacceptable. In the Senate, I’ll fight to pass the Black Maternal Health Momnibus Act so we can start to improve health outcomes for women of color. #IASen</t>
  </si>
  <si>
    <t>1317553429074612225</t>
  </si>
  <si>
    <t>It’s an honor to be in Waterloo today for the Empower Northend Forum. I love answering your questions about how we can tackle racial disparities in health care, economic development, and so much more. We need real action so all Iowans have the opportunity to succeed. #IASen https://t.co/dBlb8HnDQH</t>
  </si>
  <si>
    <t>1317493178644287488</t>
  </si>
  <si>
    <t>Senator @joniernst, I know you don’t know the price of soybeans, but can you tell us the price of a barrel of oil?
If you don’t know that either you can ask the Chevron, Exxon, and Marathon Oil PACs you take money from. #IASen https://t.co/CCVC5f0vy0</t>
  </si>
  <si>
    <t>1317250654352662529</t>
  </si>
  <si>
    <t>My advice to @joniernst would be to check the corn and bean prices while having your morning coffee like I do. My other advice would be don’t sell out Iowans for your corporate PAC donors. Take it or leave it! #IASen</t>
  </si>
  <si>
    <t>1317216977287565316</t>
  </si>
  <si>
    <t>🍻 to working together!
John is a longtime Republican, but we agree that it’s time Washington started working for our hardworking families. I’ll work with anyone to get that job done. Watch our new #IASen ad: https://t.co/L4o0GPsDGx</t>
  </si>
  <si>
    <t>1317198499499380738</t>
  </si>
  <si>
    <t>Thanks Felicia, Eric and all of the Local 106 carpenters! It was an honor to appear at last night’s #IASen debate at your amazing training center in Altoona. I’ll always be proud to stand with our workers. https://t.co/8U3O4ciPBN</t>
  </si>
  <si>
    <t>1317174055058001923</t>
  </si>
  <si>
    <t>The break-even price for soybeans in Iowa was about $10.05, not that @joniernst would know.
We’re going to flip this #IASen seat and replace her with a scrappy farm kid who always knows her commodity prices. 💪
Chip in $10.05 now to get it done: https://t.co/JgXdo3meCP</t>
  </si>
  <si>
    <t>1317156309477822466</t>
  </si>
  <si>
    <t>By the way, I check corn (and bean) prices daily because I’ll never stop fighting for our farmers. 👇 #IASen https://t.co/xsSILuCaic</t>
  </si>
  <si>
    <t>1317117425519910913</t>
  </si>
  <si>
    <t>At last night’s debate @joniernst couldn’t tell us the price of soybeans but you can bet she knows the price of a barrel of oil.
She took corporate PAC donations from Chevron, Exxon &amp;amp; Marathon Oil -- and voted for one of their guys to run the EPA. She’s no friend to our farmers.</t>
  </si>
  <si>
    <t>1316914211574976512</t>
  </si>
  <si>
    <t>And by the way the price of corn is $3.68, @joniernst. #IASen https://t.co/CRTQrRigad</t>
  </si>
  <si>
    <t>1316911419913347072</t>
  </si>
  <si>
    <t>A Senator from Iowa should know the price of soybeans, @joniernst. #IASen https://t.co/QrbNIdWgdk</t>
  </si>
  <si>
    <t>1316905993385791488</t>
  </si>
  <si>
    <t>After my first husband died, it was Social Security and hard-earned union benefits that kept me and my two boys out of poverty. I’ll never forget who I am, where I am from, and who I’m fighting for. #IASen</t>
  </si>
  <si>
    <t>1316904226296123392</t>
  </si>
  <si>
    <t>I've said all along, China is a bad actor and lied. But @joniernst voted to protect tax breaks that ship jobs overseas. On my watch, I don't just want to hold China accountable, I want to compete and win. #IASen</t>
  </si>
  <si>
    <t>1316902359260430341</t>
  </si>
  <si>
    <t>I couldn’t be more proud that Iowa is a leader in renewable energy. When we take urgent climate action, my focus will be creating even more good-paying jobs across Iowa. #IASen https://t.co/bczRrPQH3l</t>
  </si>
  <si>
    <t>1316900827844456452</t>
  </si>
  <si>
    <t>I drew a line at rejecting corporate PAC money and my plan to #EndPoliticalCorruption would ban their donations.
@joniernst has no line and no plan. #IASen</t>
  </si>
  <si>
    <t>1316900282144534530</t>
  </si>
  <si>
    <t>.@joniernst went to Washington and now she doesn’t know the price of soybeans. 
She went to Washington and forgot about Iowa. #IASen</t>
  </si>
  <si>
    <t>1316899067767758848</t>
  </si>
  <si>
    <t>In Epworth, I heard from the Demmers about the challenges facing our farmers. Between haphazard trade and reckless tariffs, and now a pandemic and #derecho, our farmers are struggling. We need to give them a fair shot to compete. #IASen https://t.co/yyMk5NTkQy</t>
  </si>
  <si>
    <t>1316898328668491779</t>
  </si>
  <si>
    <t>I know what it’s like to go through tough times on the farm. I remember the farm crisis, when contents of family farms were spread out on hay bales and auctioned off for a buck or two. No farm family should have to go through that again. #IASen</t>
  </si>
  <si>
    <t>1316896939686957059</t>
  </si>
  <si>
    <t>When I needed a hand up, the system worked for me and helped keep the boys and I out of poverty. 
The system doesn’t always work for people of color. We need to change that and address systemic racism across our society. #IASen</t>
  </si>
  <si>
    <t>1316893995046494210</t>
  </si>
  <si>
    <t>I’m proud that Iowa came together and passed the bipartisan Plan for a More Perfect Union, which included important police reforms. We need Washington to follow Iowa’s lead, put the politics aside, and take action on racial justice. #IASen https://t.co/Cuzyk6xvR8</t>
  </si>
  <si>
    <t>1316893025927311362</t>
  </si>
  <si>
    <t>The system is broken for hardworking Iowans. The wealthiest and big corporations should pay their fair share, but thanks to @joniernst they got a handout from her disastrous tax bill -- and we got $2 trillion added to our debt. #IASen</t>
  </si>
  <si>
    <t>1316892474405736448</t>
  </si>
  <si>
    <t>.@joniernst’s #COVID19 priorities:
✅ Slush fund for big corporations 
✅ Protecting her corporate PAC donors
❌ Paid sick leave for workers
❌ Fighting for Iowans
#IASen</t>
  </si>
  <si>
    <t>1316891920589783040</t>
  </si>
  <si>
    <t>Frontline workers have been stocking shelves, delivering mail, educating our kids, working in our hospitals. They’re taking care of us, and we have to take care of them. They deserve premium pay, better safety protections &amp;amp; expanded paid sick leave. #IASen https://t.co/jDk0vj7N0n</t>
  </si>
  <si>
    <t>1316891438043508737</t>
  </si>
  <si>
    <t>The first job I got after my first husband died paid eight bucks an hour. That job gave me my dignity back. Every Iowan deserves the dignity of providing for their family. 
That’s why we need to raise the minimum wage. #IASen</t>
  </si>
  <si>
    <t>1316890518610153474</t>
  </si>
  <si>
    <t>Medicaid expansion has helped so many of our rural hospitals keep their lights on through this pandemic and beyond. We must protect Medicaid and expand access to affordable health care, for our rural communities and for all of us. #IASen</t>
  </si>
  <si>
    <t>1316890070893400064</t>
  </si>
  <si>
    <t>It’s an election year, so you can bet @joniernst is running from her record of gutting protections for pre-existing conditions.
But Iowans know the truth: a vote for her is a vote against your health care. #IASen</t>
  </si>
  <si>
    <t>1316889725739913221</t>
  </si>
  <si>
    <t>In the Senate, I’ll fight to make sure everyone has access to high-quality affordable health care:
🩺 Protect and expand the ACA
💊 Allow Medicare to negotiate lower drug prices
👩‍⚕️ Create a public option
#IASen</t>
  </si>
  <si>
    <t>1316888723355803649</t>
  </si>
  <si>
    <t>I support protecting and expanding the Affordable Care Act.
@joniernst voted to gut protections for Iowans with pre-existing conditions. #IASen https://t.co/ChWsMIOwsA</t>
  </si>
  <si>
    <t>1316887668773576705</t>
  </si>
  <si>
    <t>#COVID19 relief should be spent protecting workers and helping families, not lining the pockets of corporate CEOs. But @joniernst supported Mitch McConnell’s rejected plan to let CEOs profit while our families suffer. 
We need to get families the urgent support they need. #IASen</t>
  </si>
  <si>
    <t>1316886836741099520</t>
  </si>
  <si>
    <t>It’s an honor to appear at tonight’s debate from the Carpenters Local 106 Training Institute in Altoona. We need to invest in apprenticeships that let you earn while you learn, like the kind the Carpenters apprentices participate in. I’m proud to stand with our workers. #IASen</t>
  </si>
  <si>
    <t>1316884861081260033</t>
  </si>
  <si>
    <t>For tonight’s #IASen debate, I’m on the floor of the Carpenters Local 106 training center in Altoona.
@joniernst is in Washington putting McConnell’s agenda ahead of Iowans -- again. #IASen</t>
  </si>
  <si>
    <t>1316883101986004993</t>
  </si>
  <si>
    <t>TONIGHT is the final debate of our #IASen campaign.
At tonight's debate, I’m going to hold @joniernst accountable for selling out Iowans for her corporate PAC donors. But I need you to have my back. Chip in now before the debate starts: https://t.co/POV1VB5Cmg</t>
  </si>
  <si>
    <t>1316852453929824261</t>
  </si>
  <si>
    <t>Tonight is the last #IASen debate of the campaign. Before the debate, download our new digital toolkit to show off your #TeamTheresa pride: https://t.co/jK8spp7C4b https://t.co/bcXPullmL5</t>
  </si>
  <si>
    <t>1316822545384067072</t>
  </si>
  <si>
    <t>First @joniernst broke the law by illegally coordinating with a dark money group set up by her top aides.
Now a federal judge is ordering the FEC to take action on a complaint against that group.
Next we're going to vote her out and #EndPoliticalCorruption. #IASen</t>
  </si>
  <si>
    <t>1316800537254391809</t>
  </si>
  <si>
    <t>Join President @BarackObama tomorrow for a grassroots virtual fundraiser to help #FlipTheSenate! We need to flip just four seats to take back the Senate, and our race is a toss up. Donate any amount to join tomorrow’s event: https://t.co/CnCZGNLBAw</t>
  </si>
  <si>
    <t>1316760535472373760</t>
  </si>
  <si>
    <t>Thank you, @Abby4Iowa for working to make health care more affordable for Iowans. I look forward to working with you to expand access to affordable health care when we flip this #IASen seat and reelect you in #IA01! 💪 https://t.co/vRYuVtW4DE</t>
  </si>
  <si>
    <t>1316544391054585858</t>
  </si>
  <si>
    <t>If we're going to flip the Senate, we need to flip Iowa. McConnell knows it, @joniernst knows it, national Republicans know it. They know we can win and they’re running scared.
Let’s keep it that way. Chip in now to take this toss up #IASen race to a win: https://t.co/kvjlaSr91s</t>
  </si>
  <si>
    <t>1316514516889460736</t>
  </si>
  <si>
    <t>My name is Theresa Greenfield. I’m running to replace @joniernst, flip this #IASen seat and take back the Senate.
I believe Washington should work for all of us -- not corporate special interests.</t>
  </si>
  <si>
    <t>1316474377031102465</t>
  </si>
  <si>
    <t>A federal judge just ordered the FEC to take action against the dark money group set up by @joniernst’s own top aides.
She broke the law looking out for herself. She's part of the corruption in Washington -- I have a plan to end it. #IASen https://t.co/XjAUvoExWa</t>
  </si>
  <si>
    <t>1316425318249398273</t>
  </si>
  <si>
    <t>Expanding health care has never been more important. If @joniernst got her way, she’d gut protections for pre-existing conditions. I think we need to strengthen them, and do everything we can to get Iowans back on their feet during this pandemic. #IASen
https://t.co/TncD2OCRyz</t>
  </si>
  <si>
    <t>1316395359703371777</t>
  </si>
  <si>
    <t>.@SmithFertGrain is a family-owned fertilizer, feed supplier &amp;amp; grain receiving company. I loved getting a tour from the Smith Family today, answering questions about giving our small businesses, farmers, and agricultural economy a boost, and celebrating Max's birthday! #IASen 🍩 https://t.co/uGWnDqaIVO</t>
  </si>
  <si>
    <t>1316193425096617986</t>
  </si>
  <si>
    <t>What a day! Today I cast my ballot for our #IASen campaign. I’m a scrappy farm kid -- I never thought I’d run for Senate. It’s a privilege and honor to be in this fight. I’ll never forget who I am, where I’m from, and who I’m fighting for. Let’s do this 💪 https://t.co/qWxvCEmij1</t>
  </si>
  <si>
    <t>1316167577668923392</t>
  </si>
  <si>
    <t>First @joniernst knowingly accepted illegal contributions from corporations.
Then she got caught illegally coordinating with a dark money group set up by her own top aides.
Now we’re going to vote her out and end corruption in Washington. #IASen #EndPoliticalCorruption</t>
  </si>
  <si>
    <t>1316141226425569281</t>
  </si>
  <si>
    <t>I requested my mail-in ballot this summer, and it came in the mail. So this afternoon, I dropped off my completed mail-in ballot at the Polk County Election Office.
What's your plan to vote? Click here to make one now: https://t.co/pOb9q1qtnR</t>
  </si>
  <si>
    <t>1316118135947304960</t>
  </si>
  <si>
    <t>Can this scrappy farm kid flip this #IASen seat and take back the Senate? Heck yeah.
I’m humbled and honored to cast my ballot this afternoon. https://t.co/VMHEZMntW6</t>
  </si>
  <si>
    <t>1316021738442874886</t>
  </si>
  <si>
    <t>From investing in rural broadband, to making community college debt-free, we must ensure all Iowans have the skills and tools they need to succeed. It was such a treat visiting Emmet County this week and showing off my @IowaLakes #LakerPride! #IASen 
https://t.co/24o8P8mw8M</t>
  </si>
  <si>
    <t>1315816396882927616</t>
  </si>
  <si>
    <t>👋 Western Iowa! Great hearing from all of you and answering your questions on our telephone town hall tonight. And thanks to @RobSandIA for making a special guest appearance. #IASen https://t.co/Xy7IcXt3Sx</t>
  </si>
  <si>
    <t>1315791945235660800</t>
  </si>
  <si>
    <t>All of Iowa’s small businesses are gems!
And in the Senate, I’ll never stop fighting to give them a hand up. Click here to read my Small Towns, Bigger Paychecks plan: https://t.co/4qsgdh6tik https://t.co/pHfguNv42j</t>
  </si>
  <si>
    <t>1315771571844382720</t>
  </si>
  <si>
    <t>It’s an honor to celebrate #NationalFarmersDay by visiting the Sadler Farm in Woodbury County. Iowa is home to the best farmers in the world and they need a fair shot to compete. That’s just what I’ll fight for in the Senate. #IASen https://t.co/4QrBVx5VZV</t>
  </si>
  <si>
    <t>1315744173950197760</t>
  </si>
  <si>
    <t>As I crisscross the state, health care is the number one issue I hear about. From prescriptions to premiums, Iowans are paying too much for health care. We need to bring those costs down, starting with allowing Medicare to negotiate lower drug prices. #IASen https://t.co/NQGFB0mQ9P</t>
  </si>
  <si>
    <t>1315714083463876611</t>
  </si>
  <si>
    <t>Let’s do it 💪 https://t.co/kVyk78EMQj https://t.co/pxUuzlmyPm</t>
  </si>
  <si>
    <t>1315702697300037632</t>
  </si>
  <si>
    <t>If you know me, you know I love my coffee -- and supporting Iowa’s incredible small businesses like Hardline Coffee Co. in Sioux City!
Thank you Nisa for the tour and conversation. #IASen ☕️ https://t.co/GYQcDaisij</t>
  </si>
  <si>
    <t>1315686832483577857</t>
  </si>
  <si>
    <t>This #IndigenousPeoplesDay, and everyday, we commemorate the history and celebrate the culture and contributions of Indigenous Iowans to our state. And this year, Iowa has the chance to elect our first Indigenous state representative. Please follow and support @wanasattia ⬇️ https://t.co/o7F6vumuIS</t>
  </si>
  <si>
    <t>1315653593844899842</t>
  </si>
  <si>
    <t>My first husband Rod drove a 1978 Chevy Nova. It’s a classic, and he loved it.
Rod died in a workplace accident when I was just 24 and I had to rely on Social Security. I kept the Nova and will never forget I’m in this to fight for our hardworking families. Watch: #IASen https://t.co/IZJASopWM6</t>
  </si>
  <si>
    <t>1315473523494842371</t>
  </si>
  <si>
    <t>.@joniernst voted against paid sick leave twice during a pandemic.
And now she supports the lawsuit that could overturn the ACA and gut protections for folks with pre-existing conditions. 
We know where Senator Ernst stands, and it’s certainly not with Iowans. #IASen</t>
  </si>
  <si>
    <t>1315443025724821505</t>
  </si>
  <si>
    <t>This grassroots team has what it takes to beat @joniernst and flip the Senate. McConnell knows it, too, and that’s why he’s running scared.
Let’s show him what this team can really do. Chip in now: https://t.co/HmitKbAXeU</t>
  </si>
  <si>
    <t>1315411938537607168</t>
  </si>
  <si>
    <t>My name is Theresa Greenfield. I’m running to flip Iowa’s Senate seat because Social Security saved my family after my first husband died. But my opponent @joniernst wants to gut it “behind closed doors.” 
I say no way.</t>
  </si>
  <si>
    <t>1315356140465795073</t>
  </si>
  <si>
    <t>I relied on Planned Parenthood for routine health care all through high school and college. I’m proud to be endorsed by @PPact because everyone deserves access to high-quality, affordable health care. #IASen</t>
  </si>
  <si>
    <t>1315322807887237122</t>
  </si>
  <si>
    <t>What’s your plan to vote? 
In Iowa, you can vote early in person, by mail, or on Election Day. However you plan to vote, be sure to make your voice heard. Click here for more information about voting in Iowa whichever way works best for you: https://t.co/DUUExGtTDF</t>
  </si>
  <si>
    <t>1315087927865675777</t>
  </si>
  <si>
    <t>The Smith Farm is more than just beautiful -- it’s also incredibly innovative. From crop rotation and foraging pastures, to investing in soil health and biodiversity, the Smiths show us what happens when conservation is an economic opportunity for our farmers. #IASen https://t.co/n6fE3TNzsa</t>
  </si>
  <si>
    <t>1315066955963994113</t>
  </si>
  <si>
    <t>It’s simple, folks. @joniernst took massive donations from Big Pharma, Big Oil and corporate PACs, and put their interests ahead of ours. She’s fighting for her corporate PAC donors, not Iowans. #IASen https://t.co/DLeUCvQgx9</t>
  </si>
  <si>
    <t>1315036256187879429</t>
  </si>
  <si>
    <t>In the Senate, I’ll be sure to help Iowa’s small businesses blossom 🌸🌷 https://t.co/0L3EYOxiao</t>
  </si>
  <si>
    <t>1315008223364231170</t>
  </si>
  <si>
    <t>From health care workers to first responders, so many essential workers are public employees. We need more state and local economic aid to invest in the folks taking care of us. And we need more relief to get hardworking families back on their feet. #IASen https://t.co/VK6D7E4Rv7</t>
  </si>
  <si>
    <t>1314987840359600133</t>
  </si>
  <si>
    <t>Such a treat getting to see my old campus. When I went to @IowaLakes, I earned enough from my job at Pizza Hut to pay tuition, buy my books, and even get a beer on Fridays. That should be the reality for students today -- we need to invest in debt-free community college. #IASen https://t.co/wkkKgq46Dj</t>
  </si>
  <si>
    <t>1314970385901932548</t>
  </si>
  <si>
    <t>I’m off to @IowaLakes Community College this morning! My volleyball skills aren’t as great as when I studied there, but I couldn’t be more excited to see the old stomping grounds, and to answer questions about my plan to make community college debt-free. #IASen 🏐 🏐 https://t.co/uzU0vrb60q</t>
  </si>
  <si>
    <t>1314748921294532609</t>
  </si>
  <si>
    <t>.@joniernst can try to run from her record all she wants.
Iowans know the truth: she’s voted repeatedly to repeal the Affordable Care Act &amp;amp; strip protections for folks with pre-existing conditions.
We’re going to vote her out and #ProtectOurCare. #IASen
https://t.co/AUzyrN8BuZ</t>
  </si>
  <si>
    <t>1314716092871434243</t>
  </si>
  <si>
    <t>There’s nothing better than a beer on a Friday night with the @Teamsters! 🍻
I loved answering your questions and talking about my plan to invest in skills training and apprenticeships that let you earn while you learn. #IASen https://t.co/xX5tJF2vtM</t>
  </si>
  <si>
    <t>1314690142653816842</t>
  </si>
  <si>
    <t>How it started:                           How it's still going: https://t.co/UpxWajzzG5</t>
  </si>
  <si>
    <t>1314656448593436678</t>
  </si>
  <si>
    <t>We need more teachers in office who will look out for our students, families, and educators. That’s why we need to elect @PamEgli4IA. I can’t wait to flip seats with Pam up and down the ballot this year. Let’s go! #IASen #ialegis https://t.co/G63RaKVHA9</t>
  </si>
  <si>
    <t>1314632450975379461</t>
  </si>
  <si>
    <t>“It is time for a change... [Theresa Greenfield] will work hard to make progress on the country's most pressing problems.
We endorse Theresa Greenfield for U.S. Senate.”
Thank you, @qctimes Editorial Board. #IASen https://t.co/Ql0ufzoWoH</t>
  </si>
  <si>
    <t>1314612639557877760</t>
  </si>
  <si>
    <t>Corey inspired so many of you to send us so many voting selfies. They made my day -- and I’d love to see more. Whether you’re voting by mail or voting early, send us your pictures. 📸
You can make your plan to vote (and to snap a picture!) here: https://t.co/pOb9q1qtnR https://t.co/21vA6Zx0NE</t>
  </si>
  <si>
    <t>1314577120610451456</t>
  </si>
  <si>
    <t>Our leaders are watching Iowans get sick during this pandemic, yet they refuse to take meaningful action. 
Enough is enough. We need a mask mandate, more testing and real action. https://t.co/qMuzCE9H6l</t>
  </si>
  <si>
    <t>1314371004760829952</t>
  </si>
  <si>
    <t>I talk to folks who have to drive 30 minutes to get the health care they need. Because of #COVID19, health care in rural communities will be harder to come by. Everyone deserves access to quality, affordable health care -- no matter where they live. #IASen https://t.co/A07wEJtt2y</t>
  </si>
  <si>
    <t>1314324629356511232</t>
  </si>
  <si>
    <t>Cedar Rapids is voting! How exciting to see folks voting early in person at the Lindale Mall Early Voting Site. Your vote is your voice, and you can vote early, too. Click here to find an early vote site near you: https://t.co/7Sh60D1SlF https://t.co/a4lUoR5TAt</t>
  </si>
  <si>
    <t>1314302314849673227</t>
  </si>
  <si>
    <t>Iowa is a leader in renewable energy thanks to businesses like @PaulsonElectric. We must continue to invest in renewable energy to take action on climate change and create good-paying jobs right here in our state. #IASen https://t.co/uve8qVOvGU</t>
  </si>
  <si>
    <t>1314278368486060033</t>
  </si>
  <si>
    <t>My first husband was an @IBEW lineman. He died on the job when I was 24 and his union helped my young family get by. Fighting for our workers is personal to me. I’m honored to stand with the IBEW &amp;amp; Hawkeye Area Labor Council to fight for affordable health care &amp;amp; good-paying jobs. https://t.co/dbvnznqwYF</t>
  </si>
  <si>
    <t>1314246505562243073</t>
  </si>
  <si>
    <t>Thanks Diane for the great coffee and conversation! ☕️
Diane owns and operates Karma Coffee in Hiawatha. Small businesses like hers make up the fabric of our communities in Iowa and I’m proud to take the fight for our small businesses with me to the U.S. Senate. #IASen https://t.co/OGRaL3XlYr</t>
  </si>
  <si>
    <t>1314173868421111809</t>
  </si>
  <si>
    <t>🚨 This grassroots team raised nearly $29 million last quarter.
I’m blown away. This is a record-breaking haul, and I’m so thankful for your support. But our #IASen race is a toss up -- it’s the closest in the country. We need your help to win. Join us: https://t.co/KQvinulZNr</t>
  </si>
  <si>
    <t>1314020137868034049</t>
  </si>
  <si>
    <t>My name is Theresa Greenfield. I’m a businesswoman, mother, and scrappy farm kid -- and I’m going to flip Iowa’s U.S. Senate seat. Let’s do this 💪</t>
  </si>
  <si>
    <t>1314006463321387009</t>
  </si>
  <si>
    <t>☎️ We just wrapped up our telephone town hall with folks in the Quad Cities and Southeast Iowa! I loved answering questions and chatting about my plan to create good-paying jobs in our state and give our veterans, farmers, seniors, and families a hand up. #IASen https://t.co/CTq9JQC4Bp</t>
  </si>
  <si>
    <t>1313963079600877569</t>
  </si>
  <si>
    <t>Folks, we need to keep looking out for each other during this pandemic. That means we need to #MaskUpIA, practice social distancing, and wash our hands.
We also need our leaders to step up and do what’s right. We need a statewide mask mandate. #IASen https://t.co/jfJB20OTmw</t>
  </si>
  <si>
    <t>1313934110071676929</t>
  </si>
  <si>
    <t>Voting has started in Iowa! Go to https://t.co/7Sh60D1SlF to make your plan to vote. Together, we can flip this #IASen seat and take back the Senate. https://t.co/M7MHAUotK3</t>
  </si>
  <si>
    <t>1313879123379576832</t>
  </si>
  <si>
    <t>Say it with me, folks: Iowa is a TOSS UP 
We can win this thing, but I need you with me. Control of the Senate is on the line. Can you chip in right now? https://t.co/ABcYIM1fZT https://t.co/UVZuKFMHO4</t>
  </si>
  <si>
    <t>1313823364503437312</t>
  </si>
  <si>
    <t>A one-time $1,200 check doesn't cut it for Iowa’s hardworking families. We need more relief, including more direct payments, now. We also need to extend those expanded unemployment benefits. Click here to read my plan to help folks get back on our feet: https://t.co/VK6D7E4Rv7</t>
  </si>
  <si>
    <t>1313662764146200576</t>
  </si>
  <si>
    <t>The first plan I put out on this campaign was my plan to #EndPoliticalCorruption. @joniernst has had nearly six years and she has no plan -- but she does have over $2M from big corporate PACs. We need to vote her out and end the corruption in Washington. #IASen</t>
  </si>
  <si>
    <t>1313635021417218049</t>
  </si>
  <si>
    <t>Dismantling Medicaid expansion would be catastrophic, especially right now. But that’s exactly what @joniernst wants to do, threatening health care for 150,000 Iowans.
And that’s exactly why we have to vote her out and #ProtectOurCare. #IASen</t>
  </si>
  <si>
    <t>1313604969485008896</t>
  </si>
  <si>
    <t>Yesterday was the first day to vote in Iowa, but if you didn’t get a chance to cast your ballot, don’t fret. You can vote early in person today, tomorrow, or any day during regular business hours between now and Election Day. Questions? Click here: https://t.co/cLrccZO5uP #IASen https://t.co/fJOfCvbqyj</t>
  </si>
  <si>
    <t>1313595224686559233</t>
  </si>
  <si>
    <t>This has me fired up -- this partisan gridlock is just what’s wrong in Washington. Hardworking folks are struggling, and they need relief now. #IASen https://t.co/4g3KbLqlRu</t>
  </si>
  <si>
    <t>1313562616393015296</t>
  </si>
  <si>
    <t>If you’ve been to one small town in Iowa, you’ve only been to one small town in Iowa. Every town in our state has something special to offer -- and Waverly has a lot. Great talking to folks yesterday about my plans to put hardworking families first. #IASen https://t.co/KFKClpQi49</t>
  </si>
  <si>
    <t>1313532435309760513</t>
  </si>
  <si>
    <t>It’s a beautiful morning in Guthrie County! I stopped by @LandusCoop to answer questions about my Fair Shot for Farmers plan. Iowa’s farmers are tough, but they need a fair shot to compete. That’s what I’ll fight for in the U.S. Senate. #IASen https://t.co/FlomGTFrcd</t>
  </si>
  <si>
    <t>1313471869488697344</t>
  </si>
  <si>
    <t>As a community planner &amp;amp; running a small business, I learned there are no Republican potholes or Democratic potholes, just potholes that need to get fixed.
The same should go in Washington. I’ll work with anyone to end partisan gridlock &amp;amp; deliver for Iowans. Watch our #IASen ad: https://t.co/lz38IjPAh4</t>
  </si>
  <si>
    <t>1313275040566259720</t>
  </si>
  <si>
    <t>We should make it easier -- not harder -- for young farmers like Hannah to own and operate farms in our state. That means making land more accessible and giving our young farmers a fair shot. Thank you for chatting today. #IASen https://t.co/w398bYgToa</t>
  </si>
  <si>
    <t>1313221310345089025</t>
  </si>
  <si>
    <t>Meet Chris and Pat Grau. This father-son duo runs Grau Logs and Lumber, which has been around since 1948. My favorite part of this campaign is meeting with and answering questions from Iowans -- especially our amazing small business owners. #IASen https://t.co/Pz38aoAFmQ</t>
  </si>
  <si>
    <t>1313201417520386069</t>
  </si>
  <si>
    <t>.@ScottPharmacy has been helping Iowans in Fayette stay healthy since 1979. It’s no different during #COVID19, when they serve as a testing site. Everyone deserves access to quality, affordable health care. Let’s start by allowing Medicare to negotiate lower drug prices. #IASen https://t.co/CtpQPHDKZy</t>
  </si>
  <si>
    <t>1313181092057358343</t>
  </si>
  <si>
    <t>Iowa’s small businesses make up the fabric of our state -- and CrawDaddy Outdoors in Waverly is no different. Thanks for the tour and thoughtful questions about my Small Towns, Bigger Paychecks Plan today. Make sure to stop by if you're going camping, kayaking or canoeing! #IASen https://t.co/fQeFic4lpy</t>
  </si>
  <si>
    <t>1313116865938567170</t>
  </si>
  <si>
    <t>Today’s the day, Iowa! Early voting starts today, which means it’s the first day you can vote for our #IASen campaign -- your vote is your voice, so use it. Click here for information on how to vote early: https://t.co/DUUExGtTDF #IASen https://t.co/UcApwajA9w</t>
  </si>
  <si>
    <t>1312907011248582656</t>
  </si>
  <si>
    <t>My name is Theresa Greenfield and I’m going to flip Iowa’s U.S. Senate seat. Let’s go 💪</t>
  </si>
  <si>
    <t>1312816407025983495</t>
  </si>
  <si>
    <t>To do:
1️⃣ Wear a mask
2️⃣ Vote https://t.co/AdR1L5crih</t>
  </si>
  <si>
    <t>1312782085527089152</t>
  </si>
  <si>
    <t>When it comes to @joniernst, it’s always one party against the other. I’ve never seen such a mess in Washington -- and I raised three boys!
Iowans want the divisiveness to end, and I’ll work with anyone to get the job done. #IASen https://t.co/B7eKum1d5R</t>
  </si>
  <si>
    <t>1312566918470152197</t>
  </si>
  <si>
    <t>Here’s the problem -- over and over again, @joniernst sells out Iowans for her big corporate donors. We deserve a Senator who puts Iowans first. That’s why I’m in this fight. #IASen https://t.co/MWgpug5TEf</t>
  </si>
  <si>
    <t>1312558480872607745</t>
  </si>
  <si>
    <t>I’m fired up after tonight’s #IASen debate. @joniernst showed us time and again she’s fighting for her big corporate PAC donors -- not Iowans. We deserve better. It’s time to flip this seat. But I need your help. Chip in right now: https://t.co/gIK7j1WsQM</t>
  </si>
  <si>
    <t>1312557734525636611</t>
  </si>
  <si>
    <t>When I ran a small business, my eight employees were like family. We worked with hundreds of small businesses and helped them succeed and grow. As your next senator, I'll do the same. Here's my plan to help Iowa's small businesses: https://t.co/8KeIP7FxmJ #IASen https://t.co/OEHE2OSU5O</t>
  </si>
  <si>
    <t>1312557016284565505</t>
  </si>
  <si>
    <t>Tonight I called on @joniernst to apologize for calling our health care heroes liars and cheats.
She said she’s sorry her words “may have offended” them.
My folks taught me that an apology admits responsibility. That’s no apology, Senator. #IASen</t>
  </si>
  <si>
    <t>1312554884277960705</t>
  </si>
  <si>
    <t>Reminder: @joniernst sold out our farmers when she voted for a fossil fuel lobbyist to head the EPA, which has turned around and issued 85 waivers, devastating our ethanol and biofuels industries. #IASen</t>
  </si>
  <si>
    <t>1312554193601933312</t>
  </si>
  <si>
    <t>FACT CHECK: @joniernst said herself that she’s talked about privatizing Social Security, and she wants to go “behind closed doors” to gut it. Here’s the tape: #IASen
https://t.co/FZOCeQxoxn</t>
  </si>
  <si>
    <t>1312554019181735936</t>
  </si>
  <si>
    <t>Social Security saved my young family. After my first husband died in a workplace accident, the boys and I relied on it to keep us out of poverty. It’s a big reason I got in this race.
@joniernst talks about privatizing it, and gutting it “behind closed doors." #IASen https://t.co/GmN5hKe5J6</t>
  </si>
  <si>
    <t>1312553351696076800</t>
  </si>
  <si>
    <t>Bottom line: @joniernst sold out Iowans to her big corporate donors. Enough is enough. #IASen https://t.co/AJW1kGi29J</t>
  </si>
  <si>
    <t>1312552892885282818</t>
  </si>
  <si>
    <t>The wealthiest and biggest corporations should pay their fair share. But @joniernst gave her corporate donors a massive handout at the expense of our hardworking families, while adding $2 trillion to our debt. #IASen</t>
  </si>
  <si>
    <t>1312552176095571968</t>
  </si>
  <si>
    <t>I worked my fingers to the bone to build a career, and it’s wrong for @joniernst to say otherwise. I am also the product of leaders who made it possible for me to attend community college debt-free. We need more of those leaders in Washington. #IASen</t>
  </si>
  <si>
    <t>1312549942926422017</t>
  </si>
  <si>
    <t>This isn’t a sexy fact, but it’s a fact nonetheless: Iowa is FIFTIETH in the nation in bridge suitability. I’ve thrown a few elbows at both parties for not getting a bipartisan infrastructure plan done. If Democrats &amp;amp; Republicans can’t get that done in Washington, I will. #IASen</t>
  </si>
  <si>
    <t>1312548794920316929</t>
  </si>
  <si>
    <t>I support protecting and expanding the Affordable Care Act.
@joniernst voted to repeal it. #IASen https://t.co/2qh5sxc9hl</t>
  </si>
  <si>
    <t>1312548340316467200</t>
  </si>
  <si>
    <t>Health care is the number one issue I hear about as I listen to Iowans across our state. Let’s start by expanding and strengthening the ACA, and bringing down prescription drug costs by allowing Medicare to negotiate prices. #IASen</t>
  </si>
  <si>
    <t>1312547659291537408</t>
  </si>
  <si>
    <t>Senator @joniernst, if you don’t believe in our doctors and nurses, why should they believe in you? #IASen</t>
  </si>
  <si>
    <t>1312547419742142464</t>
  </si>
  <si>
    <t>.@joniernst can’t be trusted when it comes to our health care. 
Not only has she voted multiple times to repeal the ACA, she pushed a conspiracy theory that suggests our doctors and nurses are liars and cheats.
That’s inappropriate and wrong. #IASen https://t.co/uL3Qebqcnd</t>
  </si>
  <si>
    <t>1312545686882267139</t>
  </si>
  <si>
    <t>Look, we have a big, fat problem, and we can’t get by with skinny solutions. Let’s get our communities the relief they need. #IASen</t>
  </si>
  <si>
    <t>1312545099864252416</t>
  </si>
  <si>
    <t>We’ve got to do a better job battling #COVID19. I’ve been calling for:
✅ More testing and PPE
✅ Putting the health and safety of Iowans first
✅ Getting direct aid to our small towns
#IASen</t>
  </si>
  <si>
    <t>1312544752148123648</t>
  </si>
  <si>
    <t>I grew up pretty dang scrappy. On our farm, my dad always said there were no boy jobs, no girl jobs, just jobs that need to get done. Right now in Washington, there are an awful amount of jobs that need to get done. I got in this fight for hardworking Iowans. #IASen https://t.co/9KBA8j673j</t>
  </si>
  <si>
    <t>1312539980246462466</t>
  </si>
  <si>
    <t>The second #IASen debate of the general election is about to start. @joniernst is propped up by $65 million from McConnell and his allies.
I’m powered by this grassroots team. Can you chip in before the debate starts? https://t.co/XyGSkgurqO</t>
  </si>
  <si>
    <t>1312507954181140480</t>
  </si>
  <si>
    <t>Rolled up ready for #IASen Debate Round Two 😎 https://t.co/kJsBQKWzo1</t>
  </si>
  <si>
    <t>1312433733081821190</t>
  </si>
  <si>
    <t>RT if you’re ready to flip Iowa’s Senate seat.</t>
  </si>
  <si>
    <t>1312399653242056705</t>
  </si>
  <si>
    <t>“It’s time for a new voice in the Senate, that voice is Theresa Greenfield.”
Thank you for your endorsement, @gazettedotcom Editorial Board. #IASen https://t.co/pHyaqXvnvp</t>
  </si>
  <si>
    <t>1323772426111590400</t>
  </si>
  <si>
    <t>There’s still time — Pepper wants YOU to get out and VOTE! 🗳🚌🐾
#mepolitics https://t.co/AtRFSp7Yco</t>
  </si>
  <si>
    <t>1323742167203008514</t>
  </si>
  <si>
    <t>80 towns.
16 counties.
More than 6,500 miles.
Started the day in Caribou &amp;amp; ended in Bangor — with special guest Pepper.
I'm asking for your vote because I want to keep working for you &amp;amp; this special state we call home. You have less than 4 hours — get out &amp;amp; vote. #mepolitics https://t.co/mgAl02duLL</t>
  </si>
  <si>
    <t>1323728024282505216</t>
  </si>
  <si>
    <t>From putting up signs to knocking on doors — I’m so grateful for each and every member of Team Collins.
From Kittery to the County, thank you for being by my side. #mepolitics https://t.co/jIuQUSjvlZ</t>
  </si>
  <si>
    <t>1323710238298722312</t>
  </si>
  <si>
    <t>The employees at the McCrum fry processing plant in Washburn embody the #MaineWorkEthic — taking Aroostook potatoes and making a product that gives the world a taste of Maine.🥔
#mepolitics https://t.co/PXvzVImKW1</t>
  </si>
  <si>
    <t>1323702498570493954</t>
  </si>
  <si>
    <t>Next 🚌 stop: Mars Hill, where I met Lauren and Janelle, who are voting in their first election today.
They have been planning to vote together since they were in the eighth grade. I’m so thankful to have their support. #mepolitics https://t.co/WLbevS5xfA</t>
  </si>
  <si>
    <t>1323690418215755777</t>
  </si>
  <si>
    <t>I want to keep making Maine an even better place for you to live, work, and raise your family. I would be so grateful to have your support — please vote and encourage your friends and family to vote as well!
#mepolitics https://t.co/N2ROCPbKBe</t>
  </si>
  <si>
    <t>1323675586410225665</t>
  </si>
  <si>
    <t>Less than 8 hours until polls close.
If you haven’t already, get out and vote! #mepolitics https://t.co/8RZ6IqvS5S</t>
  </si>
  <si>
    <t>1323666450494689280</t>
  </si>
  <si>
    <t>This morning, I presented a flag to the teachers, administrators, &amp;amp; staff on their first day at the new Caribou Community School. It was wonderful to be with them on this special day. 🇺🇸 #mepolitics https://t.co/hXXK089YTD</t>
  </si>
  <si>
    <t>1323642734926831617</t>
  </si>
  <si>
    <t>I wanted to start off the day by thanking Caribou’s first responders who put their lives on the line every day to keep us safe. #mepolitics https://t.co/mKd9KANYRN</t>
  </si>
  <si>
    <t>1323639745491120128</t>
  </si>
  <si>
    <t>Listening to mom on radio this morning. 👏🏻🐶 #mepolitics https://t.co/ux9PcE96ac</t>
  </si>
  <si>
    <t>1323621320295329798</t>
  </si>
  <si>
    <t>Kicking Election Day off in Caribou!
Let’s go win this! #mepolitics https://t.co/pKJxhQaIvS</t>
  </si>
  <si>
    <t>1323613998890274817</t>
  </si>
  <si>
    <t>Team Collins is READY! 
#mepolitics https://t.co/SylMP3dInK</t>
  </si>
  <si>
    <t>1323601140412461056</t>
  </si>
  <si>
    <t>Election Day is HERE. I have spent my life working to make Maine better for you and for those you love. I'm asking for your vote because I want to keep working for you and this special state we call home. Make a plan, and get out and vote TODAY! #mepolitics https://t.co/yVQobYYR35</t>
  </si>
  <si>
    <t>1323422666162843650</t>
  </si>
  <si>
    <t>It’s never too cold for this County girl. 
I delivered $36M to the State of Maine to replace the Madawaska International Bridge. #mepolitics https://t.co/4uz3Cwen4F</t>
  </si>
  <si>
    <t>1323398387459379200</t>
  </si>
  <si>
    <t>I love Fort Kent — you’re the can do town! 
#mepolitics https://t.co/D3S4CaIpnI</t>
  </si>
  <si>
    <t>1323377506909671426</t>
  </si>
  <si>
    <t>We don’t run a dirty campaign. 🚌
#mepolitics https://t.co/n6hzI5Moon</t>
  </si>
  <si>
    <t>1323367502617939972</t>
  </si>
  <si>
    <t>5th &amp;amp; 6th generations of Collins. 
#mepolitics https://t.co/ztzp7GVbmB</t>
  </si>
  <si>
    <t>1323357779881582595</t>
  </si>
  <si>
    <t>Team Collins is out in Rockport &amp;amp; Wells! #mepolitics https://t.co/XdFa0gwgCp</t>
  </si>
  <si>
    <t>1323335226504941572</t>
  </si>
  <si>
    <t>Might be a little cold, but we still have doors to knock! 
Less than 24 hours to go Team Collins. #mepolitics https://t.co/oQVNjysYnF</t>
  </si>
  <si>
    <t>1323330701287182338</t>
  </si>
  <si>
    <t>Next 🚌 stop: Coffin’s General Store in Portage Lake for lunch! 
#mepolitics https://t.co/Y22IHyTbyH</t>
  </si>
  <si>
    <t>1323325062557085696</t>
  </si>
  <si>
    <t>It was great to visit with and take questions from the employees at Irving Woodlands. 
The Ashland mill saws over 2 million board feet of softwood studs every week. #mepolitics https://t.co/NG0Sz3FZMt</t>
  </si>
  <si>
    <t>1323300447915020288</t>
  </si>
  <si>
    <t>Maine has always been an extraordinary place, and I have spent my life working to make it better for you and for those you love.
I’m asking for your vote because I want to keep working for YOU and this special state we call home. #mepolitics https://t.co/UyDulzMJf3</t>
  </si>
  <si>
    <t>1323291621480374274</t>
  </si>
  <si>
    <t>I was born &amp;amp; raised in Aroostook County, where I learned to keep my commitments &amp;amp; serve others. It feels great to start the day before Election Day in the County. Thank you to everyone at Katahdin Cedar Log Homes for helping me kick off the last leg of our bus tour. #mepolitics https://t.co/GjmiBmmFiR</t>
  </si>
  <si>
    <t>1323274976686989316</t>
  </si>
  <si>
    <t>#BathBuiltIsBestBuilt #mepolitics https://t.co/ud0HQVbhoQ</t>
  </si>
  <si>
    <t>1323261310713368578</t>
  </si>
  <si>
    <t>COUNTY BOUND.
We’re 1 day out. I’m asking for your vote because I want to keep working for you and this special state we call home. If you haven’t already, make a plan to get out and vote TOMORROW. #mepolitics https://t.co/KcOhBzxDsB</t>
  </si>
  <si>
    <t>1323256362869104640</t>
  </si>
  <si>
    <t>Team Collins is ready to roll! 🚌🚌
#mepolitics https://t.co/dX0ImcCHhR</t>
  </si>
  <si>
    <t>1323248501116014595</t>
  </si>
  <si>
    <t>I deliver for Somerset County:
✔️ $22M for the Cpl. Eugene Cole Memorial Bridge in Norridgewock
✔️ $25M in direct payments to support Maine farmers during the pandemic
Experience 𝙢𝙖𝙩𝙩𝙚𝙧𝙨. #mepolitics https://t.co/rZJxCdD2Cd</t>
  </si>
  <si>
    <t>1323230804177309698</t>
  </si>
  <si>
    <t>True;
Constant;
Dedicated to Maine. #mepolitics https://t.co/GCuQWxIAGt</t>
  </si>
  <si>
    <t>1323089728380567553</t>
  </si>
  <si>
    <t>Danielle Peterson of Woodland: "Her record is a record of Maine, for Maine, &amp;amp; I trust her."
My record — delivered more than $8 BILLION in pandemic relief to Maine.
Sara Gideon's record — hasn't shown up to work for nearly 8 months.
The difference is clear. #mepolitics https://t.co/3oTltYRKoY</t>
  </si>
  <si>
    <t>1323065033237110785</t>
  </si>
  <si>
    <t>No door knocking in Kennebunkport is complete without a stop at Walker’s Point. #mepolitics https://t.co/QXFwI6OMVk</t>
  </si>
  <si>
    <t>1323048450783645696</t>
  </si>
  <si>
    <t>It’s November in Maine — a stop at the L.L.Bean Outlet in Ellsworth is a must.
Picked up a new jacket for the last leg of our bus tour. 👍🏻 https://t.co/vhnRE6VUU8</t>
  </si>
  <si>
    <t>1323015088832434178</t>
  </si>
  <si>
    <t>Team Collins is working hard to get out the vote! We’re TWO days out — if you haven’t already, make a plan to vote in person.
Find your polling place here: https://t.co/2D3sK7k4IP
#mepolitics https://t.co/yCqZB9eiIB</t>
  </si>
  <si>
    <t>1322999033175150592</t>
  </si>
  <si>
    <t>Enjoyed delicious banana split pie at Helen’s! #mepolitics https://t.co/keeIgychaD</t>
  </si>
  <si>
    <t>1322983395505381376</t>
  </si>
  <si>
    <t>Spotted at Harmon’s Tire: vintage Team Collins sign. I am so grateful for all of you who have been by my side for years.
#mepolitics https://t.co/XLw0xtiUY7</t>
  </si>
  <si>
    <t>1322971392325881856</t>
  </si>
  <si>
    <t>Honk for Collins!
Ellsworth is ready for a WIN on November 3rd. #mepolitics https://t.co/QCs7mdMc9l</t>
  </si>
  <si>
    <t>1322962704353644546</t>
  </si>
  <si>
    <t>📍Merrill's Furniture in Ellsworth 
I enjoyed speaking with employees and customers this Sunday morning. #mepolitics https://t.co/4wtRigldvV</t>
  </si>
  <si>
    <t>1322951594011467776</t>
  </si>
  <si>
    <t>Growing up in Aroostook County, I learned the value of hard work that defines Maine's potato industry.
When COVID hit, farmers like Robbie needed help. I delivered $14 million to support Maine's potato farmers.
Experience 𝙢𝙖𝙩𝙩𝙚𝙧𝙨. #mepolitics https://t.co/9q03xMjbpT</t>
  </si>
  <si>
    <t>1322924748825911297</t>
  </si>
  <si>
    <t>I deliver for Lincoln County:
✅ $15M to replace the Richmond-Dresden Bridge
✅ Wrote the law that has brought more than $50M to rural Maine schools
Experience 𝙢𝙖𝙩𝙩𝙚𝙧𝙨. #mepolitics https://t.co/SzPcE9yef6</t>
  </si>
  <si>
    <t>1322902640871825409</t>
  </si>
  <si>
    <t>Ever since Pepper made her television debut, Mainers across the state have been asking, "Who is the adorable dog?"
She's my black lab, Pepper. She loves to play, &amp;amp; she's a vital member of Team Collins.
Keep up with Pepper on Instagram: https://t.co/MUrr2AOxTF.
#mepolitics https://t.co/j8Zihh2G1w</t>
  </si>
  <si>
    <t>1322717946427396096</t>
  </si>
  <si>
    <t>📺: From hunting, fishing, and snowmobiling to bird watching, experiencing the joys of Maine's outdoors is a way of life.
I'm proud to have an A+ rating from the Sportsman's Alliance of Maine for my strong conservation record. 
#mepolitics https://t.co/3SpM8uElFx</t>
  </si>
  <si>
    <t>1322692637317615619</t>
  </si>
  <si>
    <t>Great way to end the day: visiting Central Maine Harley-Davidson to speak with the owner, employees, &amp;amp; customers. 🏍️🐶
#mepolitics https://t.co/jc3nBeYiNU</t>
  </si>
  <si>
    <t>1322655838197088257</t>
  </si>
  <si>
    <t>Stopped by Danforth's Supermarket to visit with Mainers and remind them to get out and vote on November 3rd! #mepolitics https://t.co/GC9SGvhs8t</t>
  </si>
  <si>
    <t>1322649510741422081</t>
  </si>
  <si>
    <t>Happy Halloween 🎃👻! 
We're less than 72 hours away from Election Day — don't forget to get out and vote so I can continue working for you and this special state we call home. #mepolitics https://t.co/cHhY3gvhid</t>
  </si>
  <si>
    <t>1322640738635665413</t>
  </si>
  <si>
    <t>8th 🚍 stop of the day:
LUNCH! #mepolitics https://t.co/WiZo6CHnnd</t>
  </si>
  <si>
    <t>1322632984630054912</t>
  </si>
  <si>
    <t>Next 🚌 stop: Penobscot County to visit with the owner and committed staff at Hartley's in Newport. Thank you all for the warm welcome and support. #mepolitics https://t.co/wqK6mbcAaV</t>
  </si>
  <si>
    <t>1322618630811639808</t>
  </si>
  <si>
    <t>I love visiting with local businesses, their workers, and Mainers who embody the #MaineWorkEthic in Dover-Foxcroft. I'm honored to show up and fight for them every day in the Senate. #mepolitics https://t.co/APn9E6j1JQ</t>
  </si>
  <si>
    <t>1322600837068296208</t>
  </si>
  <si>
    <t>Bob's Farm, Home &amp;amp; Garden in Dover-Foxcroft has been open for 47 years. This morning, I spoke with the owner and employees about the dedication it takes to run a successful small business. #mepolitics https://t.co/BDXyqWhyn1</t>
  </si>
  <si>
    <t>1322570691397537792</t>
  </si>
  <si>
    <t>Breakfast at Elaine's Cafe &amp;amp; Bakery in Milo.
Elaine grew up in New Canada on a potato farm. I know she will use the values we learned growing up in the County to reach her goal to package &amp;amp; ship donuts &amp;amp; pastries around the world. #mepolitics https://t.co/HDSw5djD6f</t>
  </si>
  <si>
    <t>1322551724842909696</t>
  </si>
  <si>
    <t>When Mainers need help, they turn to me and my dedicated staff around the state.
I am proud of our constituent service and record of helping our neighbors. God bless you, David. 
#mepolitics https://t.co/7TU2s3GJli</t>
  </si>
  <si>
    <t>1322500577826377730</t>
  </si>
  <si>
    <t>I deliver for Oxford County:
✅ $16M to improve local roadways &amp;amp; replace the Martin Memorial Bridge in Rumford
✅ Wrote the law that has brought more than $50M to rural Maine schools
Experience 𝙢𝙖𝙩𝙩𝙚𝙧𝙨. #mepolitics https://t.co/KGeN0mr96I</t>
  </si>
  <si>
    <t>1322333641498873856</t>
  </si>
  <si>
    <t>After visiting six Maine counties today, my "All of Maine" bus tour has surpassed 5,000 miles. I had a wonderful day speaking with Mainers at 14 stops, starting with the dedicated men &amp;amp; women at BIW. We have many more miles to cover &amp;amp; many more Mainers still to see. #mepolitics https://t.co/tmcyXg7ru0</t>
  </si>
  <si>
    <t>1322306610023305217</t>
  </si>
  <si>
    <t>Made it to Hancock County to visit with workers at Greenhead Lobster Products who have an important job — processing delicious Maine lobster and sharing it with the world. #mepolitics https://t.co/M3KWDhuAVo</t>
  </si>
  <si>
    <t>1322300336078553088</t>
  </si>
  <si>
    <t>Next 🚍 Stop: Waldo County to visit with Mainers at Tozier's Family Market and Anglers! #mepolitics https://t.co/cwif1DNgaD</t>
  </si>
  <si>
    <t>1322280122741858306</t>
  </si>
  <si>
    <t>It's a beautiful day in downtown Rockland! #mepolitics https://t.co/K1vf9w9pjd</t>
  </si>
  <si>
    <t>1322270127719669762</t>
  </si>
  <si>
    <t>📍 Downtown Rockland 
#mepolitics https://t.co/wK0IuzyUuQ</t>
  </si>
  <si>
    <t>1322261777112014849</t>
  </si>
  <si>
    <t>Made it to Knox County to visit with Mainers at Rockland Marine! This small business has boosted the regional economy and enhanced Maine's shipbuilding tradition. #mepolitics https://t.co/EDkgNgP1w8</t>
  </si>
  <si>
    <t>1322251653031014400</t>
  </si>
  <si>
    <t>Next 🚌 Stop: Moody's Diner for lunch and blueberry pie! #mepolitics https://t.co/5VMJ7IVd4B</t>
  </si>
  <si>
    <t>1322238182470094850</t>
  </si>
  <si>
    <t>MAINERS: Today is the final day for in-person early voting! So get out &amp;amp; vote today if you can.
REMINDER: Absentee ballots should no longer be mailed, but you can drop off your ballot in-person until polls close on Tuesday. #mepolitics https://t.co/h7xcE2mgLj</t>
  </si>
  <si>
    <t>1322224669974515713</t>
  </si>
  <si>
    <t>Small businesses are the heart of small towns like Damariscotta. I have and will always be a champion for small business owners and workers. #mepolitics https://t.co/63AqMctJTP</t>
  </si>
  <si>
    <t>1322214735358664705</t>
  </si>
  <si>
    <t>Renys is a must-stop on our bus tour. Today, the company has 500 workers &amp;amp; 17 stores all across our state, including Damariscotta. Thanks for welcoming us, John!
𝙁𝙪𝙣 𝙛𝙖𝙘𝙩: Damariscotta is the home of the original Renys! #mepolitics https://t.co/4rzLqdeWhc</t>
  </si>
  <si>
    <t>1322210378089172997</t>
  </si>
  <si>
    <t>Reed &amp;amp; Reed in Woolwich is a 4th generation family business. The hard-working employees work on major infrastructure projects across the state. 
I've worked to repair &amp;amp; replace our roads &amp;amp; bridges — securing $747M to improve critical infrastructure across the state. #mepolitics https://t.co/pgyFiN57Zb</t>
  </si>
  <si>
    <t>1322196562106200064</t>
  </si>
  <si>
    <t>I deliver for Hancock County:
✔️ $300M to replace Maine Maritime Academy's training ship
✔️ $20M to support Maine's lobster &amp;amp; fishing industries during the pandemic
Experience 𝙢𝙖𝙩𝙩𝙚𝙧𝙨. #mepolitics https://t.co/iVH0jwHHvh</t>
  </si>
  <si>
    <t>1322181980117762055</t>
  </si>
  <si>
    <t>Visited Mainers and grabbed breakfast at Brackett's Market IGA! #mepolitics https://t.co/fcKfLb3aPI</t>
  </si>
  <si>
    <t>1322168664938958851</t>
  </si>
  <si>
    <t>What a great way to start the day!  The men &amp;amp; women at BIW build the best ships in the world, &amp;amp; I’m proud to be their advocate in the Senate. 
I’ve delivered $16B for BIW, supporting nearly 7,000 shipyard jobs. #bathbuiltisbestbuilt #mepolitics https://t.co/wOKGJwFszh</t>
  </si>
  <si>
    <t>1321972586541035522</t>
  </si>
  <si>
    <t>I deliver for Waldo County:
✔️ $45M to replace the Waldo-Hancock Bridge
✔️ $20M to support Maine's lobster &amp;amp; fishing industries during the pandemic
✔️ $7M for infrastructure improvements at the Port of Searsport
Experience 𝙢𝙖𝙩𝙩𝙚𝙧𝙨. #mepolitics https://t.co/qkh3d1qaJN</t>
  </si>
  <si>
    <t>1321949942311723009</t>
  </si>
  <si>
    <t>Next 🚍 stop: 
Last chance to grab a sweet treat before Big Daddy's North closes for the season on November 1st.🍦
#mepolitics https://t.co/YuD4Im8eju</t>
  </si>
  <si>
    <t>1321941128804007936</t>
  </si>
  <si>
    <t>Loved seeing old friends &amp;amp; meeting new ones in Limington. #mepolitics https://t.co/bQ1rwkfSnR</t>
  </si>
  <si>
    <t>1321934839805825028</t>
  </si>
  <si>
    <t>The forest products industry is vital to our state, &amp;amp; I will continue to work hard every day to support this important industry &amp;amp; its highly-skilled workforce. I got to visit with some of those hard-working Mainers at Wadsworth Woodlands today. #MaineWorkEthic #mepolitics https://t.co/5UyqBscNRB</t>
  </si>
  <si>
    <t>1321924232389996546</t>
  </si>
  <si>
    <t>I had a great time in downtown Cornish. I visited with small business owners who are working to keep Maine's economy healthy.
#MaineWorkEthic #mepolitics https://t.co/5Zm56Ao1VO</t>
  </si>
  <si>
    <t>1321900864215408640</t>
  </si>
  <si>
    <t>Owner of the Peppermill Restaurant in Limerick, "I can't begin to tell you how grateful I am. You helped keep us in business!"
I'm proud that the PPP that I authored has provided forgivable loans to 3 out of 4 Maine small businesses. #MaineWorkEthic #mepolitics https://t.co/89vQzJfrbo</t>
  </si>
  <si>
    <t>1321891287201710083</t>
  </si>
  <si>
    <t>She approves 👍🏻👍🏻
Thank you so much for my necklace, Lillian. #mepolitics https://t.co/LrqhXgcwBi</t>
  </si>
  <si>
    <t>1321868542262845440</t>
  </si>
  <si>
    <t>Compromise &amp;amp; consensus-building takes hard work. But it's how I get things done &amp;amp; deliver results for the people of Maine. Thank you for your kind words, Matthew. https://t.co/8QZGkcYHv5
#MaineWorkEthic #mepolitics https://t.co/rErWShfbqa</t>
  </si>
  <si>
    <t>1321858648176472064</t>
  </si>
  <si>
    <t>My "All of Maine" bus tour hit the road this morning in Cumberland County!
First 🚍 stop: Visiting with the hard-working employees at Hall Implement, a family run business in Windham. #MaineWorkEthic #mepolitics https://t.co/7HxwMqo3vC</t>
  </si>
  <si>
    <t>1321839987692888067</t>
  </si>
  <si>
    <t>Sheila Bair, former FDIC chair: "Washington's "swamp" needs her brand of integrity. She doesn't bend to the political winds or mindlessly follow party dogma. She does what she thinks is right."
I put the people of Maine FIRST. #MaineWorkEthic #mepolitics https://t.co/tjbyilLMpZ</t>
  </si>
  <si>
    <t>1321826807734296576</t>
  </si>
  <si>
    <t>Our sheriffs work so hard every day to keep our families and communities safe. I have and always will be their champion in the Senate, and I'm honored to have the support of more than half of our fine Maine Sheriffs. #MaineWorkEthic #mepolitics https://t.co/SXrMZNeSf3</t>
  </si>
  <si>
    <t>1321806832084512769</t>
  </si>
  <si>
    <t>WATCH: Getting the job done, it's what Mainers do. #MaineWorkEthic #mepolitics https://t.co/75yw1n9SGp</t>
  </si>
  <si>
    <t>1321628020923387905</t>
  </si>
  <si>
    <t>.@SaraGideon wants to compare our records?
Challenge accepted. #mepolitics https://t.co/PK9kfPUmCX https://t.co/ZrpkAYmFi7</t>
  </si>
  <si>
    <t>1321615790450376705</t>
  </si>
  <si>
    <t>#mepolitics https://t.co/tGhecGcC7m</t>
  </si>
  <si>
    <t>1321614812791689222</t>
  </si>
  <si>
    <t>During this pandemic, with our economy in the balance, Sen. Collins crafted a response that protected more than 250,000 Maine jobs.
During this pandemic, Sara Gideon did NOTHING. #mepolitics https://t.co/7L97eTscSb</t>
  </si>
  <si>
    <t>1321614479679987713</t>
  </si>
  <si>
    <t>The difference is clear. ⬇️ #mepolitics https://t.co/KXJVRhwsgG</t>
  </si>
  <si>
    <t>1321612083167973377</t>
  </si>
  <si>
    <t>Sen. Collins delivered more than $8 BILLION in COVID relief to Maine. 
@SaraGideon did nothing. #mepolitics https://t.co/Kqrveeh9ka</t>
  </si>
  <si>
    <t>1321610870221344769</t>
  </si>
  <si>
    <t>When COVID hit, Sen. Collins got to work. She wrote the Paycheck Protection Program, which supported more than 250,000 Maine jobs, injected $2.3B into Maine's economy, &amp;amp; provided forgivable loans to more than 28,000 Maine small businesses. #mepolitics https://t.co/cQyMp8gixd</t>
  </si>
  <si>
    <t>1321610562816671752</t>
  </si>
  <si>
    <t>Sen. Collins delivered more than $8 BILLION in COVID relief to Maine to support public health, our schools, our economy, &amp;amp; other purposes - that’s nearly double Maine's annual state budget. #mepolitics https://t.co/WpUdpj0q3u</t>
  </si>
  <si>
    <t>1321610402619416581</t>
  </si>
  <si>
    <t>Sen. Collins fights for MAINERS every day.
@SaraGideon hasn't shown up to work in 7 months. 
The difference is clear. #mepolitics https://t.co/IHocUEAypq</t>
  </si>
  <si>
    <t>1321609504287588352</t>
  </si>
  <si>
    <t>Compromise and consensus-building takes hard work. But it's also how you get things done and deliver results for the people of Maine. That's what Sen. Collins is known for and will keep doing in the Senate. #mepolitics https://t.co/UNhLGh5mYE</t>
  </si>
  <si>
    <t>1321609034651340802</t>
  </si>
  <si>
    <t>Sen. Collins is the "Gold Standard" for bipartisanship. #mepolitics https://t.co/8tTYrIG6cx</t>
  </si>
  <si>
    <t>1321608369355005957</t>
  </si>
  <si>
    <t>Sen. Collins is a County girl. She fights every day for the people of Maine. #mepolitics https://t.co/JUKBvj9Kn6</t>
  </si>
  <si>
    <t>1321607823688695809</t>
  </si>
  <si>
    <t>.@SaraGideon is backed by OVER $100 MILLION in out-of-state money. #mepolitics https://t.co/2sl9pMEGdv</t>
  </si>
  <si>
    <t>1321605596551008256</t>
  </si>
  <si>
    <t>Sen. Collins is a champion for Maine's seniors. #mepolitics https://t.co/uK41uqVd8o</t>
  </si>
  <si>
    <t>1321605018575884290</t>
  </si>
  <si>
    <t>⬇️ #mepolitics https://t.co/vBesx0P1yA</t>
  </si>
  <si>
    <t>1321604451107561473</t>
  </si>
  <si>
    <t>Sen. Collins is a champion for the nearly 600,000 Mainers who live with one or more pre-existing conditions. She was the deciding vote to preserve the Affordable Care Act —protecting MILLIONS living with pre-existing conditions.
Experience 𝙢𝙖𝙩𝙩𝙚𝙧𝙨. #mepolitics https://t.co/e0DDe4iFyQ</t>
  </si>
  <si>
    <t>1321603888395526145</t>
  </si>
  <si>
    <t>These are the facts – and not even MILLIONS of dollars in misleading ads can change them. 
#mepolitics https://t.co/Mkqcv4JNmc</t>
  </si>
  <si>
    <t>1321603725186748417</t>
  </si>
  <si>
    <t>FACT: Sen. Collins cast the deciding vote to protect people with pre-existing conditions. 
#mepolitics https://t.co/ZQEMuGsNbq</t>
  </si>
  <si>
    <t>1321603574699347968</t>
  </si>
  <si>
    <t>What @SaraGideon won’t tell you:
#mepolitics https://t.co/rQSeYtG7ou</t>
  </si>
  <si>
    <t>1321603535033798656</t>
  </si>
  <si>
    <t>What @SaraGideon won’t tell you:
#mepolitics https://t.co/VO9hsyxgOC</t>
  </si>
  <si>
    <t>1321603449855901701</t>
  </si>
  <si>
    <t>What @SaraGideon won’t tell you:
#mepolitics https://t.co/8PYp6jLWtq</t>
  </si>
  <si>
    <t>1321603387285274630</t>
  </si>
  <si>
    <t>What @SaraGideon won't tell you:
#mepolitics https://t.co/I6bNuK1SLj</t>
  </si>
  <si>
    <t>1321603259560300549</t>
  </si>
  <si>
    <t>Health care is on the ballot — and it should be. Because @SaraGideon's plans for health care are bad for Maine. 
#mepolitics https://t.co/lIn2F2sdHb</t>
  </si>
  <si>
    <t>1321601159400951809</t>
  </si>
  <si>
    <t>Game time. #mepolitics https://t.co/xWdzB9cVCo</t>
  </si>
  <si>
    <t>1321594719567302659</t>
  </si>
  <si>
    <t>Let’s go!! #mepolitics https://t.co/F3pMoCidM6</t>
  </si>
  <si>
    <t>1321586646010208259</t>
  </si>
  <si>
    <t>We’re ready! #mepolitics https://t.co/ZtNYDso2t7</t>
  </si>
  <si>
    <t>1321582313856184320</t>
  </si>
  <si>
    <t>Rallying in the rain! #mepolitics https://t.co/reW4CmV7QY</t>
  </si>
  <si>
    <t>1321574707494342658</t>
  </si>
  <si>
    <t>Wet, cold, &amp;amp; ready to roll! #mepolitics https://t.co/tqKjeMWRWV</t>
  </si>
  <si>
    <t>1321564599666282499</t>
  </si>
  <si>
    <t>Gideon recently told Mainers that she wakes up every day &amp;amp; tells herself that her most important job is replacing me.
For as long as I have been privileged to represent you, I have known that my most important job is to give a voice to YOU. #mepolitics https://t.co/llFVqsxknV</t>
  </si>
  <si>
    <t>1321528439355117569</t>
  </si>
  <si>
    <t>📣 LAST SENATE DEBATE TONIGHT @ 8 PM 📣
I will always FIGHT for Maine and America. Tune in to the FINAL 2020 U.S. Senate debate to hear about my commitment to serving YOU. https://t.co/itE3bgWKTT 
#mepolitics https://t.co/XepSEA2C2Q</t>
  </si>
  <si>
    <t>1321498299380211714</t>
  </si>
  <si>
    <t>It’s debate day!
🚌 SPOTTED: Rolling into Westbrook 
#mepolitics https://t.co/LIa2F2d7Th</t>
  </si>
  <si>
    <t>1321445215006240769</t>
  </si>
  <si>
    <t>NEW 📺 THIS MORNING: From Kittery to the County, I work hard for the people of Maine each &amp;amp; every day.
I'm honored to serve you, &amp;amp; I ask for your vote so I can continue putting Maine first. #mepolitics https://t.co/wqdUnZbk4W</t>
  </si>
  <si>
    <t>1321406361645813760</t>
  </si>
  <si>
    <t>I deliver for Washington County:
✅ $25M for breakwater &amp;amp; harbor projects in Lubec &amp;amp; Eastport
✅ $20M to support Maine's lobster &amp;amp; fishing industries during the pandemic
Experience 𝙢𝙖𝙩𝙩𝙚𝙧𝙨. #mepolitics https://t.co/BADnJJpyXz</t>
  </si>
  <si>
    <t>1321232711609008128</t>
  </si>
  <si>
    <t>Perhaps you don't see it @SaraGideon, but I am confident that Mainers see how hard I have and will always work for them. #mepolitics</t>
  </si>
  <si>
    <t>1321222111487250432</t>
  </si>
  <si>
    <t>A great day in York County with an added bonus... catching up with family!
Great to see my niece, Sarah, her family, and Nuzzy (Pepper missed out 🐶)! #mepolitics https://t.co/cVKAxnwoeM</t>
  </si>
  <si>
    <t>1321206286629793792</t>
  </si>
  <si>
    <t>Why experience 𝙢𝙖𝙩𝙩𝙚𝙧𝙨...
I wrote the law that allows pharmacists to help patients pay the lowest price for prescription drugs &amp;amp; bankers to protect older customers from being ripped off by criminals.
I protect Maine's seniors. #mepolitics</t>
  </si>
  <si>
    <t>1321195415396589568</t>
  </si>
  <si>
    <t>I deliver for Knox County:
☑️ $20M to support Maine's lobster &amp;amp; fishing industries during the pandemic
☑️ Wrote the law that has brought more than $50M to rural Maine schools
Experience 𝙢𝙖𝙩𝙩𝙚𝙧𝙨. #mepolitics https://t.co/5C3Y77Ptko</t>
  </si>
  <si>
    <t>1321183810445344770</t>
  </si>
  <si>
    <t>There are delicious diners all around our state. I'm so pleased that the PPP, which I wrote, helped Jim and his staff at Maine Diner survive and thrive this summer. 
Next time you're in Wells, stop in and try the seafood chowder! #mepolitics https://t.co/JJvgRDiD2d</t>
  </si>
  <si>
    <t>1321164771652104193</t>
  </si>
  <si>
    <t>Next 🚍 stop: The fabulous Congdon's Doughnuts, a Wells staple, which has been in business since 1955. #mepolitics https://t.co/oV7Im6YWOw</t>
  </si>
  <si>
    <t>1321148651469680646</t>
  </si>
  <si>
    <t>Great visit at Kittery Trading Post this morning! Thank you for coming out to help me kick off the next leg of my "All of Maine" bus tour!
#mepolitics https://t.co/2OhYhW68IE</t>
  </si>
  <si>
    <t>1321127614887661571</t>
  </si>
  <si>
    <t>Today is the last day to ensure your absentee ballot is received by 8 PM on Election Day! If you haven't already:
📝 Fill out your ballot
✍🏻 Sign the envelope &amp;amp; add postage
📫 Mail it back to your town clerk: https://t.co/UJ37Fa5n9y
#mepolitics</t>
  </si>
  <si>
    <t>1321080593036226561</t>
  </si>
  <si>
    <t>We've traveled over 4,000 miles on my "All of Maine" bus tour, and I'm excited to be back on the road today in York County! #mepolitics https://t.co/XuCjE2501b</t>
  </si>
  <si>
    <t>1320872268923371520</t>
  </si>
  <si>
    <t>Why experience 𝙢𝙖𝙩𝙩𝙚𝙧𝙨...
I funded maintenance backlogs at Acadia National Park to help improve the park for all to enjoy!
#mepolitics</t>
  </si>
  <si>
    <t>1320855224144302080</t>
  </si>
  <si>
    <t>Why experience 𝙢𝙖𝙩𝙩𝙚𝙧𝙨...
I secured funding for our research labs like Jackson, MDI, Bigelow &amp;amp; the University of Maine system, creating good jobs for the next generation here in Maine.
#mepolitics</t>
  </si>
  <si>
    <t>1320844888439750658</t>
  </si>
  <si>
    <t>The hospitality industry and its dedicated employees are critical to Maine's economy. 
When COVID hit, I wrote the Paycheck Protection Program, which helped restaurants keep their doors open and continue paying their hardworking employees. #mepolitics https://t.co/G8w9GxsRSg</t>
  </si>
  <si>
    <t>1320795649575653382</t>
  </si>
  <si>
    <t>Why experience 𝙢𝙖𝙩𝙩𝙚𝙧𝙨...
I founded the Senate Diabetes &amp;amp; Alzheimer's caucuses, championed home health care &amp;amp; our rural hospitals.
#mepolitics https://t.co/YTpHknaR7V</t>
  </si>
  <si>
    <t>1320762416335101955</t>
  </si>
  <si>
    <t>WATCH 📺: How do you replace experience?
You can't. #mepolitics https://t.co/5rYQaCa6gO</t>
  </si>
  <si>
    <t>1320733017107795968</t>
  </si>
  <si>
    <t>I deliver for Penobscot County:
✅ $30M to replace local bridges
✅ $100M for defense research programs at University of Maine
✅ $1.3M to redevelop &amp;amp; improve Bangor &amp;amp; Brewer waterfronts
Experience 𝙢𝙖𝙩𝙩𝙚𝙧𝙨. #mepolitics https://t.co/h0QzFAGjl7</t>
  </si>
  <si>
    <t>1320718777726701570</t>
  </si>
  <si>
    <t>Why experience 𝙢𝙖𝙩𝙩𝙚𝙧𝙨... 
I secured $740M to build and improve roads, bridges, seaports, and airports all across our state. 
#mepolitics</t>
  </si>
  <si>
    <t>1320518727750868993</t>
  </si>
  <si>
    <t>Why experience 𝙢𝙖𝙩𝙩𝙚𝙧𝙨...
I met Thurlow at the transfer station, and he told me his wife's story. I fought for Valerie and protected her benefits.
When Mainers need help, they call me, and I get the job done. #mepolitics https://t.co/5BBcRy853u</t>
  </si>
  <si>
    <t>1320485288464904193</t>
  </si>
  <si>
    <t>𝙑𝙞𝙚𝙬𝙨 at the Lewiston Auburn border. #mepolitics https://t.co/fSHAIiYNBH</t>
  </si>
  <si>
    <t>1320470190157635585</t>
  </si>
  <si>
    <t>@SaraGideon Why experience 𝙢𝙖𝙩𝙩𝙚𝙧𝙨...
I secured $45M to replace the Sarah Mildred Long and Memorial Bridges that connect Kittery &amp;amp; Portsmouth. #mepolitics</t>
  </si>
  <si>
    <t>1320462991486308358</t>
  </si>
  <si>
    <t>I deliver for Piscataquis County:
✔️ $30M to replace local bridges including the Pleasant River Bridge &amp;amp; the Old Toll Bridge
✔️ Wrote the law that has brought more than $50M to rural Maine schools
Experience 𝙢𝙖𝙩𝙩𝙚𝙧𝙨. #mepolitics https://t.co/6Ry35qdW4f</t>
  </si>
  <si>
    <t>1320453475520647169</t>
  </si>
  <si>
    <t>Batman for Collins! #mepolitics https://t.co/S9neizEcla</t>
  </si>
  <si>
    <t>1320432439022383104</t>
  </si>
  <si>
    <t>@SaraGideon Why experience 𝙢𝙖𝙩𝙩𝙚𝙧𝙨...
Since 2009, I've delivered $16B for Bath Iron Works and two additional ships not in the President's budget, supporting nearly 7,000 jobs for shipyard workers in each of Maine's 16 counties. #mepolitics https://t.co/vYfSLGI0aV</t>
  </si>
  <si>
    <t>1320418890204270596</t>
  </si>
  <si>
    <t>We're 9 days away from Election Day, and Team Collins is hard at work in Gray reminding Mainers to vote for the candidate who has and always will, put Maine first. #mepolitics https://t.co/WQRamANweD</t>
  </si>
  <si>
    <t>1320377414451679235</t>
  </si>
  <si>
    <t>Good morning Gorham! #mepolitics https://t.co/2O0PRCB8Ui</t>
  </si>
  <si>
    <t>1320156871844614144</t>
  </si>
  <si>
    <t>@SaraGideon Why experience 𝙢𝙖𝙩𝙩𝙚𝙧𝙨...
I delivered $320M for infrastructure projects at Portsmouth Naval Shipyard, ensuring the shipyard's future &amp;amp; protecting Maine jobs. https://t.co/MZQffC6i3n #mepolitics https://t.co/7TCKPIruI9</t>
  </si>
  <si>
    <t>1320149322193776640</t>
  </si>
  <si>
    <t>@SaraGideon Why experience 𝙢𝙖𝙩𝙩𝙚𝙧𝙨, &amp;amp; how I've used it to help Mainers:
I authored the bipartisan Paycheck Protection Program. This program brought $2.3 BILLION into our state, awarded forgivable loans to 3 out of 4 Maine small businesses, &amp;amp; protected over 250,000 jobs. #mepolitics https://t.co/vjutBkCyhD</t>
  </si>
  <si>
    <t>1320145548708433920</t>
  </si>
  <si>
    <t>"If you're going to talk about seniority in 24 years, let's actually use it to help us here in Maine. I don't see that happening." - Sara Gideon 
Let me show you, @SaraGideon.
#mepolitics
https://t.co/LvVJB7c7NJ</t>
  </si>
  <si>
    <t>1320105545546727424</t>
  </si>
  <si>
    <t>📍Waterboro
🚗👋🏻🇺🇸🚌
#mepolitics https://t.co/m63d8efnno</t>
  </si>
  <si>
    <t>1320098921029505025</t>
  </si>
  <si>
    <t>I deliver for Cumberland County:
✔️ $19M to replace four bridges in Freeport &amp;amp; Yarmouth 
✔️ $7.7M to improve infrastructure at the Port of Portland
✔️ $16B for BIW, with facilities in Bath &amp;amp; Brunswick, supporting nearly 7,000 shipyard jobs
Experience 𝙢𝙖𝙩𝙩𝙚𝙧𝙨. #mepolitics https://t.co/1NtSVw0AWA</t>
  </si>
  <si>
    <t>1320084736602243073</t>
  </si>
  <si>
    <t>Ruth Hickson of Kennebunk: “I’m with Susan today, tomorrow, &amp;amp; always.”
So thankful for your support, Ruth!
&amp;amp; Pepper ❤️’s Skippy! 🐾
#mepolitics https://t.co/CaBYYLqsVf</t>
  </si>
  <si>
    <t>1320071126966542337</t>
  </si>
  <si>
    <t>My team had a great lunch at Three Sisters in Biddeford! #mepolitics https://t.co/hsoeJHg2iK</t>
  </si>
  <si>
    <t>1320053482280411136</t>
  </si>
  <si>
    <t>Ruth, Mike, and Skippy are on Team Collins. #mepolitics https://t.co/Z2W45NTtez</t>
  </si>
  <si>
    <t>1320038323273011200</t>
  </si>
  <si>
    <t>🚌 SPOTTED: Bentley’s Saloon in Arundel #mepolitics https://t.co/7VL7jgoCLv</t>
  </si>
  <si>
    <t>1320030695830573057</t>
  </si>
  <si>
    <t>It’s a beautiful fall Saturday in Maine. If you haven’t already, mail in your ballot or make a plan to vote in person: https://t.co/2D3sK7k4IP #mepolitics https://t.co/t87oaNerVq</t>
  </si>
  <si>
    <t>1319722335931420674</t>
  </si>
  <si>
    <t>I know what it takes to get things done — the bipartisan, commonsense approach I learned growing up here in Maine... Common sense Maine values &amp;amp; a love of my state guide my public service. I have always put Maine people first, &amp;amp; I always will. #mepolitics https://t.co/rT07N5LxCZ</t>
  </si>
  <si>
    <t>1319697923697987595</t>
  </si>
  <si>
    <t>Kevin Raye of Perry: "Trading a thoughtful, powerful, &amp;amp; bipartisan senator for a freshman back-bencher who votes the party line will do nothing to make Washington less partisan &amp;amp; more civil. &amp;amp; it will do nothing to make Maine more prosperous." #mepolitics https://t.co/zfu0mbm4G6</t>
  </si>
  <si>
    <t>1319670393045684224</t>
  </si>
  <si>
    <t>I deliver for Sagadahoc County:
✔️ $16B for BIW, supporting nearly 7,000 shipyard jobs
✔️ $25M to replace Route 1 bridge in Woolwich
Experience 𝙢𝙖𝙩𝙩𝙚𝙧𝙨. #mepolitics https://t.co/42iFFf7j0G</t>
  </si>
  <si>
    <t>1319636434895147008</t>
  </si>
  <si>
    <t>My "All of Maine" bus tour has traveled over 4,000 miles, and we still have more to go! #mepolitics https://t.co/Zybc21gOAV</t>
  </si>
  <si>
    <t>1319431795222470661</t>
  </si>
  <si>
    <t>Those problems don't seem small to you at all.
I've been a leader on some of the biggest issues facing our nation, but it's helping Mainers like these that keep me going, &amp;amp; that make me fight hard for Maine each and every day. #mepolitics https://t.co/Tsn9zDGzhC</t>
  </si>
  <si>
    <t>1319431758954323969</t>
  </si>
  <si>
    <t>A columnist once criticized me for working too hard on what he deemed as the "small issues"
but if your sister in Blue Hill has a rare form of cancer &amp;amp; you can't find a doctor
or if you're a mother in West Enfield who can’t hear her child w/out cochlear implants... #mepolitics</t>
  </si>
  <si>
    <t>1319426693728174081</t>
  </si>
  <si>
    <t>Sara Gideon says she doesn't take corporate PAC money, but she took money directly from corporations as well as their PACS. Sara Gideon says one thing and does another. #mepolitics https://t.co/dDsefPBTyS</t>
  </si>
  <si>
    <t>1319425674969567232</t>
  </si>
  <si>
    <t>Sen. Collins has a record of bringing people together. That's why she's been ranked America's #1 most bipartisan senator for 7 years straight. #mepolitics https://t.co/iveLcyicb5</t>
  </si>
  <si>
    <t>1319423875428528128</t>
  </si>
  <si>
    <t>Sen. Collins is a champion for the nearly 600,000 Mainers who live with one or more pre-existing conditions. She was the deciding vote to preserve the Affordable Care Act —protecting MILLIONS living with pre-existing conditions.
Experience 𝙢𝙖𝙩𝙩𝙚𝙧𝙨. #mepolitics https://t.co/HY0OgWSae8</t>
  </si>
  <si>
    <t>1319423464193822722</t>
  </si>
  <si>
    <t>No one should have to choose between taking life-saving medication and heating their homes or putting food on the table. That's why Sen. Collins is fighting to lower the cost of prescription drugs. #mepolitics https://t.co/X4onpMXNK3</t>
  </si>
  <si>
    <t>1319420225444610049</t>
  </si>
  <si>
    <t>"And for Maine, Sen. Collins' influential voice and senior leadership role are simply too valuable and too important to lose." - Former Secretary of Defense &amp;amp; Maine Senator William Cohen https://t.co/DoQgkVAe7W</t>
  </si>
  <si>
    <t>1319419785399181313</t>
  </si>
  <si>
    <t>The difference is clear. #mepolitics https://t.co/9uboMJBWvs</t>
  </si>
  <si>
    <t>1319419486190133248</t>
  </si>
  <si>
    <t>Senator Susan Collins has always been a champion for Maine jobs. She's delivered $16 BILLION for BIW since 2009, supporting nearly 7,000 shipyard workers and their families.
Experience 𝒎𝒂𝒕𝒕𝒆𝒓𝒔. #mepolitics https://t.co/iP71SacQ5n</t>
  </si>
  <si>
    <t>1319418558267482115</t>
  </si>
  <si>
    <t>Senator Collins has secured $747 M in competitive transportation grants to create jobs and help move people and products more safely and efficiently. #mepolitics</t>
  </si>
  <si>
    <t>1319417441798246402</t>
  </si>
  <si>
    <t>Sen. Collins delivers for Maine's teachers &amp;amp; students:
➡️ Authored the $250 tax credit for teachers who spend their own money on school supplies
➡️ Expanded Pell Grants
➡️ Championed TRIO, helping more than 7,400 Maine students this year access higher ed
#mepolitics</t>
  </si>
  <si>
    <t>1319415082409971712</t>
  </si>
  <si>
    <t>Former Senator Judd Gregg: "...if you had Babe Ruth in your lineup, you wouldn’t send him down because you didn’t like the commissioner of baseball..." #mepolitics https://t.co/V4Xd5Am0m6</t>
  </si>
  <si>
    <t>1319414648295260160</t>
  </si>
  <si>
    <t>When COVID hit, Sen. Collins got to work. She wrote the bipartisan Paycheck Protection Program, which supported more than 250,000 Maine jobs, injected $2.3B into Maine's economy, &amp;amp; provided forgivable loans to more than 28,000 Maine small businesses. #mepolitics https://t.co/hlOW8lcM8i</t>
  </si>
  <si>
    <t>1319412606508158976</t>
  </si>
  <si>
    <t>I'm about to go live — handing my account over to my team. Tune in NOW to hear why I'm the best candidate to continue fighting for YOU. #mepolitics https://t.co/f6nF1jZ3Eu</t>
  </si>
  <si>
    <t>1319410365986426881</t>
  </si>
  <si>
    <t>#mepolitics https://t.co/ofatwN9508</t>
  </si>
  <si>
    <t>1319408644019159040</t>
  </si>
  <si>
    <t>Game time. #mepolitics https://t.co/fuXB1uSsoh</t>
  </si>
  <si>
    <t>1319400751085604864</t>
  </si>
  <si>
    <t>So thankful for Team Collins! #mepolitics https://t.co/AKCFmwBduq</t>
  </si>
  <si>
    <t>1319397745984262150</t>
  </si>
  <si>
    <t>Experience 𝙢𝙖𝙩𝙩𝙚𝙧𝙨. #mepolitics https://t.co/IJY94BAo6R</t>
  </si>
  <si>
    <t>1319397188984778752</t>
  </si>
  <si>
    <t>"I gotta show up for Susan because Susan shows up for us." #mepolitics https://t.co/4XOR5MNPA0</t>
  </si>
  <si>
    <t>1319390804352303106</t>
  </si>
  <si>
    <t>We’re ready! #mepolitics https://t.co/hTpTlIpsWM</t>
  </si>
  <si>
    <t>1319385572914438145</t>
  </si>
  <si>
    <t>Team Collins is out in full force tonight. #mepolitics https://t.co/5yMwRfSMpL</t>
  </si>
  <si>
    <t>1319369542410358784</t>
  </si>
  <si>
    <t>🚨 SENATE DEBATE TONIGHT @ 7 PM 🚨
I will always FIGHT for Maine and America. Tune in to the 4th U.S. Senate debate tonight at 7 PM hosted by @MaineChamber &amp;amp; @NewsCenterMaine to hear more about my record and my commitment to Maine. https://t.co/DXUIIAjv6a #mepolitics https://t.co/B2rWF1UYLC</t>
  </si>
  <si>
    <t>1319354579427930117</t>
  </si>
  <si>
    <t>Bill Dexter of Yarmouth: "With 60 years of self-employment in the state of Maine, I support Susan Collins for her experience successfully working with Republicans and Democrats."
Thank you for your support, Bill! #mepolitics https://t.co/zUUC75ucPW</t>
  </si>
  <si>
    <t>1319312306862510080</t>
  </si>
  <si>
    <t>When the coronavirus hit, I immediately got to work and wrote the Paycheck Protection Program, which protected more than 250,000 Maine jobs and injected $2.3 billion into Maine's economy.
Experience 𝙢𝙖𝙩𝙩𝙚𝙧𝙨. #mepolitics https://t.co/oiwsd9W1sp</t>
  </si>
  <si>
    <t>1319280696037310468</t>
  </si>
  <si>
    <t>I deliver for Franklin County:
✔️ $11M to improve a network of roadways in Western Maine
✔️ Wrote the law that brought more than $50M to rural Maine schools
Experience 𝙢𝙖𝙩𝙩𝙚𝙧𝙨. #mepolitics https://t.co/QA7DpWOfRb</t>
  </si>
  <si>
    <t>1319023843558776834</t>
  </si>
  <si>
    <t>I'm proud to have veterans, like Korean War veteran John, on Team Collins. I have and always will fight for our nation's veterans. Thank YOU for your service. #mepolitics https://t.co/f4CiUUOX1O</t>
  </si>
  <si>
    <t>1318980288274403329</t>
  </si>
  <si>
    <t>I've ALWAYS been a champion for workers and families at Portsmouth Naval Shipyard in Kittery. I've delivered more than $320M in construction projects for the shipyard — growing employment by 20% since 2015.
Experience 𝙢𝙖𝙩𝙩𝙚𝙧𝙨. #mepolitics https://t.co/MZQffC6i3n https://t.co/7sELOOV8c6</t>
  </si>
  <si>
    <t>1318910566883360770</t>
  </si>
  <si>
    <t>I deliver for York County:
✔️ $45M to replace the Sarah Mildred Long &amp;amp; Memorial Bridges
✔️ $320M for infrastructure projects at the Portsmouth Naval Shipyard in Kittery
Experience 𝙢𝙖𝙩𝙩𝙚𝙧𝙨. #mepolitics https://t.co/2CoCGTFt7K</t>
  </si>
  <si>
    <t>1318622337382703105</t>
  </si>
  <si>
    <t>We're 2 weeks away from Election Day!
📬 MAIL your absentee ballot to your town clerk: https://t.co/UJ37Fa5n9y
If you plan to vote in person:
🔍 LOCATE your polling place: https://t.co/2D3sK7k4IP
🗳️ VOTE on November 3rd so I can continue delivering for YOU. #mepolitics</t>
  </si>
  <si>
    <t>1318588154643992576</t>
  </si>
  <si>
    <t>📺: The common-sense problem solving I learned growing up here in Maine can still get things done in Washington. 
I'm asking for your vote so I can continue working for YOU. #mepolitics https://t.co/Al1oWjuVzV</t>
  </si>
  <si>
    <t>1318544695069388800</t>
  </si>
  <si>
    <t>I deliver for Kennebec County:
✔️ $49M for a new residential skilled nursing home in Augusta for Maine veterans
✔️ $25M to replace the Ticonic Bridge connecting Waterville &amp;amp; Winslow
Experience 𝙢𝙖𝙩𝙩𝙚𝙧𝙨. #mepolitics https://t.co/CKd3i8fQzW</t>
  </si>
  <si>
    <t>1318305149467623426</t>
  </si>
  <si>
    <t>Connie Russell: "As the key driver of the PPP, Collins worked across the aisle to champion small business disaster relief funds. She fought for PPP so employers could continue to stay in business &amp;amp; provide paychecks to their employees..." Thank you, Connie!
#mepolitics https://t.co/zCjRC4O2hr</t>
  </si>
  <si>
    <t>1318240837252370433</t>
  </si>
  <si>
    <t>I will always stay true to my roots and put Maine FIRST. #mepolitics https://t.co/yk53SLJ6dP</t>
  </si>
  <si>
    <t>1318205271060193280</t>
  </si>
  <si>
    <t>I deliver for Aroostook County:
✅ $36M for the State of Maine to replace the Madawaska International Bridge
✅ $14M to support potato farmers during the pandemic
✅ $10.5M to preserve freight rail service &amp;amp; jobs
Experience 𝙢𝙖𝙩𝙩𝙚𝙧𝙨. #mepolitics https://t.co/aAPNSz2H9Q</t>
  </si>
  <si>
    <t>1317971220399181824</t>
  </si>
  <si>
    <t>I deliver for Androscoggin County:
☑️ $12 M to eliminate lead hazards &amp;amp; support healthy homes in Lewiston
☑️ $246,000 to revitalize New Auburn Village
Experience 𝙢𝙖𝙩𝙩𝙚𝙧𝙨. #mepolitics https://t.co/n3YJJuAstS</t>
  </si>
  <si>
    <t>1317948232199266307</t>
  </si>
  <si>
    <t>We're 16 days out! From now until Election Day, I'll be highlighting my record of DELIVERING results for each of Maine's 16 counties and how I'll continue delivering for YOU.
Experience 𝙢𝙖𝙩𝙩𝙚𝙧𝙨. #mepolitics https://t.co/Mkr0wxOxXA</t>
  </si>
  <si>
    <t>1317884410671386626</t>
  </si>
  <si>
    <t>Pete Johnson of Greenville: "Collins epitomizes Maine values; she is honest, she works hard, is well prepared, and represents the state's best interest with class and distinction." #mepolitics https://t.co/noBt1fYy90</t>
  </si>
  <si>
    <t>1317571083877326848</t>
  </si>
  <si>
    <t>So great to visit with Eric and Jenn! Thank you for showing me around your distillery. #mepolitics https://t.co/eFN7kYqCKW</t>
  </si>
  <si>
    <t>1317564590444761088</t>
  </si>
  <si>
    <t>🚍 Next stop: Biddeford 
#mepolitics https://t.co/qLG3hW7Wiz</t>
  </si>
  <si>
    <t>1317555038806564866</t>
  </si>
  <si>
    <t>When others flee to safety, these firefighters place their lives in peril to save others. I'm honored to have the support of Maine's firefighters — I will always have their backs. #mepolitics https://t.co/MWSwdRPrRq</t>
  </si>
  <si>
    <t>1317539231506587648</t>
  </si>
  <si>
    <t>Met the sweetest supporters in Saco — so thankful for Team Collins! #mepolitics https://t.co/s3yRAthlGh</t>
  </si>
  <si>
    <t>1317524367807549441</t>
  </si>
  <si>
    <t>Great walk through downtown Saco. I visited with small business owners who are working to keep Maine's economy healthy. Thank you, Mayor Doyle, for showing me around! #mepolitics https://t.co/mMTOp7fEHX</t>
  </si>
  <si>
    <t>1317507873577066504</t>
  </si>
  <si>
    <t>SPOTTED 🚌: Downtown Saco. #mepolitics https://t.co/eQ0PiZesHc</t>
  </si>
  <si>
    <t>1317494222484918272</t>
  </si>
  <si>
    <t>When Mainers need help, they call me to get the job done and find a solution. I met Thurlow at the transfer station, and he told me Valerie's story, and I ensured him that her benefits would be protected.
Experience 𝙢𝙖𝙩𝙩𝙚𝙧𝙨. #mepolitics https://t.co/H5pxJuzu5v</t>
  </si>
  <si>
    <t>1317476300702011393</t>
  </si>
  <si>
    <t>First stop: Biscuits &amp;amp; Company in Biddeford. 
Co-owner, Stacy, adapted her Canadian grandmother's biscuit recipe using Maine-grown wheat and other local ingredients. #mepolitics https://t.co/1JPBkFboGP</t>
  </si>
  <si>
    <t>1317463403577937922</t>
  </si>
  <si>
    <t>Hitting the road in York County! #mepolitics https://t.co/1e6KEy0WYd</t>
  </si>
  <si>
    <t>1317251047505743874</t>
  </si>
  <si>
    <t>The Sea Dog is a leader in the craft brewing industry, and the pub in Topsham is a beautiful place to catch up with friends! #mepolitics https://t.co/BqpKix6Wvx</t>
  </si>
  <si>
    <t>1317198890442067969</t>
  </si>
  <si>
    <t>We're on the road in Kennebec County 🚍. I had a great lunch with supporters in Winslow. #mepolitics https://t.co/fgNClAseKn</t>
  </si>
  <si>
    <t>1317174201401417728</t>
  </si>
  <si>
    <t>Sara Gideon's fuel tax would hike YOUR taxes on gas, home heating oil, and other fuel products by 40 cents a gallon. It would be a disaster for our families, our farmers, and our fishermen. #mepolitics https://t.co/r3YX3DEOVY</t>
  </si>
  <si>
    <t>1317141085873971200</t>
  </si>
  <si>
    <t>WATCH 📺:
Take it from Bill Green: Maine needs Susan Collins. #mepolitics https://t.co/4BNwbhECXb</t>
  </si>
  <si>
    <t>1317114465440178179</t>
  </si>
  <si>
    <t>I came up with the concept of the Paycheck Protection Program. It is the most successful part of our response to the economic devastation caused by the coronavirus.
Leadership 𝙢𝙖𝙩𝙩𝙚𝙧𝙨. #mepolitics https://t.co/Ns33vEzmD4</t>
  </si>
  <si>
    <t>1316906621004619777</t>
  </si>
  <si>
    <t>Experience and leadership 𝙢𝙖𝙩𝙩𝙚𝙧𝙨. #mepolitics https://t.co/2DXHHZn4Dq</t>
  </si>
  <si>
    <t>1316904557121835008</t>
  </si>
  <si>
    <t>Sen. Collins wants to lower taxes for American families, and her opponent has a record of raising them. #mepolitics https://t.co/UsgjnEfAGq</t>
  </si>
  <si>
    <t>1316903961333518336</t>
  </si>
  <si>
    <t>Sen. Collins is working to fight climate change and grow clean energy jobs. #mepolitics https://t.co/tXEfgFcv1l</t>
  </si>
  <si>
    <t>1316903213958893569</t>
  </si>
  <si>
    <t>REMINDER: Sara Gideon's fuel tax would hike YOUR taxes on gas, home heating oil, and other fuel products by 40 cents a gallon. Maine can't afford Sara Gideon. #mepolitics https://t.co/p5vb6CBCjR</t>
  </si>
  <si>
    <t>1316902341686284289</t>
  </si>
  <si>
    <t>Following September 11, 2001, Sen. Collins led the fight to enact bipartisan intelligence reforms that made our country safer. 
Experience 𝙢𝙖𝙩𝙩𝙚𝙧𝙨. #mepolitics https://t.co/5w21JuGygB</t>
  </si>
  <si>
    <t>1316900709149847552</t>
  </si>
  <si>
    <t>WATCH: "Susan hasn't changed. She's always been there for families living with pre-existing conditions." #mepolitics https://t.co/hOIamllD5X</t>
  </si>
  <si>
    <t>1316899834591367168</t>
  </si>
  <si>
    <t>"I've been protecting people with pre-existing conditions since before Sara Gideon moved to Maine." - Sen. Collins #mepolitics</t>
  </si>
  <si>
    <t>1316899023370989569</t>
  </si>
  <si>
    <t>Sen. Collins is a champion for the nearly 600,000 Mainers who live with one or more pre-existing conditions. She was the deciding vote to preserve the Affordable Care Act —protecting MILLIONS living with pre-existing conditions.
Experience 𝙢𝙖𝙩𝙩𝙚𝙧𝙨. #mepolitics https://t.co/zP6ez1Q9uf</t>
  </si>
  <si>
    <t>1316898527835017216</t>
  </si>
  <si>
    <t>When COVID hit, Sen. Collins got to work. She wrote the Paycheck Protection Program, which supported more than 250,000 Maine jobs, injected $2.3B into Maine's economy, &amp;amp; provided forgivable loans to more than 28,000 Maine small businesses.
Experience 𝙢𝙖𝙩𝙩𝙚𝙧𝙨. #mepolitics https://t.co/31bhLs61k8</t>
  </si>
  <si>
    <t>1316895713834328065</t>
  </si>
  <si>
    <t>During this pandemic, with our economy in the balance, Sen. Collins crafted a response that protected more than 250,000 Maine jobs.
During this pandemic, Sara Gideon did nothing. #mepolitics https://t.co/wOGlJOow1X</t>
  </si>
  <si>
    <t>1316895045274927104</t>
  </si>
  <si>
    <t>Former Senator Judd Gregg: "if you had Babe Ruth in your lineup, you wouldn’t send him down because you didn’t like the commissioner of baseball..." #mepolitics https://t.co/mjzlNosvQ5 https://t.co/b7oCCHcuWJ</t>
  </si>
  <si>
    <t>1316890739004051456</t>
  </si>
  <si>
    <t>Game time! #mepolitics https://t.co/QyOkZQaRYE</t>
  </si>
  <si>
    <t>1316881379674738706</t>
  </si>
  <si>
    <t>Thankful for Team Collins! #mepolitics https://t.co/CCz2JvaCHn</t>
  </si>
  <si>
    <t>1316880389756100608</t>
  </si>
  <si>
    <t>❤️🐶 #mepolitics https://t.co/wvTxkUzts6</t>
  </si>
  <si>
    <t>1316877461762658304</t>
  </si>
  <si>
    <t>Ready to go in Augusta! #mepolitics https://t.co/707kupKJNn</t>
  </si>
  <si>
    <t>1316853857692131329</t>
  </si>
  <si>
    <t>📺TUNE IN @ 8 PM 📺
I put the people of Maine first — tune in to the 3rd U.S. Senate debate TONIGHT to hear how I am fighting for YOU. https://t.co/Qch1NSzEG3 #mepolitics https://t.co/P1810e2bNn</t>
  </si>
  <si>
    <t>1316839911698370561</t>
  </si>
  <si>
    <t>I delivered more than $16B for BIW shipyard workers and their families. #mepolitics https://t.co/SMYTEJXPB2</t>
  </si>
  <si>
    <t>1316818039778705417</t>
  </si>
  <si>
    <t>It’s DEBATE DAY!
We’re ready! #mepolitics https://t.co/DYoK8lKtgY</t>
  </si>
  <si>
    <t>1316789869537091584</t>
  </si>
  <si>
    <t>Every day our firefighters confront danger head-on. When others flee to safety, these men and women place their lives in peril to save others. It's an honor to fight for Maine's firefighters and I'm grateful to have their support. #mepolitics https://t.co/pFpfiDeF0i</t>
  </si>
  <si>
    <t>1316759219744444417</t>
  </si>
  <si>
    <t>Susan Collins "has been the voice of hard-working Mainers who know the critical nature of safe roads, bridges, and housing..." - Matt Marks, CEO of AGC of Maine. 
#mepolitics https://t.co/20PyoeyA6X</t>
  </si>
  <si>
    <t>1316521669553319937</t>
  </si>
  <si>
    <t>My brother, Sam Collins: "You know Susan, &amp;amp; I know Susan, she's my sister, &amp;amp; millions spewing lies will not buy Mainers. She's as committed to serving her fellow Mainer today as she was when she was first elected." 
Thankful for my family ♥️. #mepolitics https://t.co/rb5ccb3ctQ</t>
  </si>
  <si>
    <t>1316464610678013952</t>
  </si>
  <si>
    <t>WATCH 📺: "Without ships, there are no jobs, and Susan got us ships."
I've delivered more than $16 BILLION for BIW shipyard workers and their families who live in each of Maine's 16 counties. 
Seniority and experience 𝙢𝙖𝙩𝙩𝙚𝙧𝙨. #mepolitics https://t.co/3LyswgomqB</t>
  </si>
  <si>
    <t>1316401852309794817</t>
  </si>
  <si>
    <t>Former BIW President Dugan Shipway: "There is no doubt in my mind who is better for BIW, not just the company BIW, but also the BIW family..."
I've delivered more than $16B for BIW, supporting nearly 7,000 shipyard workers &amp;amp; their families. #mepolitics https://t.co/TfYMio1ivh</t>
  </si>
  <si>
    <t>1316374424589946886</t>
  </si>
  <si>
    <t>Governor Larry Hogan: "I've always admired how Mainers value results, hard work, independence, &amp;amp; bipartisanship. And Republican Sen. Susan Collins has set the GOLD STANDARD for these values." #mepolitics https://t.co/W04O5I6DY9</t>
  </si>
  <si>
    <t>1316174381295443968</t>
  </si>
  <si>
    <t>... and, of course, no visit to Machias is complete without a stop at Helen's! #mepolitics https://t.co/zleQy4I4eS</t>
  </si>
  <si>
    <t>1316156022550155274</t>
  </si>
  <si>
    <t>Happy 245th Birthday to the @USNavy! Thank you for defending our country at sea. I've delivered more than $16B for Bath Iron Works and $320M for Portsmouth Naval Shipyard in Kittery to ensure our troops have the best-built ships and subs! #mepolitics</t>
  </si>
  <si>
    <t>1316135193506467840</t>
  </si>
  <si>
    <t>I always enjoy seeing old friends and meeting new ones in Machias. I spent this afternoon talking to small business owners and hardworking Mainers who are vital to this town's success. Thank you for the warm welcome! #mepolitics https://t.co/XvLpVV8syJ</t>
  </si>
  <si>
    <t>1316054125185044485</t>
  </si>
  <si>
    <t>Great breakfast in Calais this morning. It's great to be back in Washington County! #mepolitics https://t.co/r7c40Reqsd</t>
  </si>
  <si>
    <t>1316024561939349507</t>
  </si>
  <si>
    <t>On the road to Washington County... stay tuned for updates from the trail! #mepolitics https://t.co/g1v2WMW1Ae</t>
  </si>
  <si>
    <t>1315710130672070662</t>
  </si>
  <si>
    <t>I secured $4.1M in funding for improvements at the International Marine Terminal in Portland. This is wonderful news for Maine employers and farmers across the state who utilize this terminal daily.
Experience 𝙢𝙖𝙩𝙩𝙚𝙧𝙨. #mepolitics
https://t.co/Pdko0aFMqE</t>
  </si>
  <si>
    <t>1315660939207868416</t>
  </si>
  <si>
    <t>NEW TODAY: You can take the girl out of the County, but you can't take the County out of the girl.
Growing up in Aroostook, I learned to work hard and keep my commitments.
I've always kept my commitment to work hard for YOU, and I always will. #mepolitics https://t.co/lq9F4EPi3v</t>
  </si>
  <si>
    <t>1315364975658119170</t>
  </si>
  <si>
    <t>Read and watch below ⬇️ to learn more about my experience of delivering results, like the Paycheck Protection Program, for the people of Maine. #mepolitics 
https://t.co/CA1eOfbq4O</t>
  </si>
  <si>
    <t>1315030118952247296</t>
  </si>
  <si>
    <t>We're lucky to be home to the best craft brewers in the country. Maine's more than 135 breweries are a major contributor to our economy. I secured $18.5M for breweries in Maine &amp;amp; across the country. Thank you to Bateau Brewing in Gardiner for showing me around. 🍺 #mepolitics https://t.co/e9qOvfDMK0</t>
  </si>
  <si>
    <t>1314971255322423298</t>
  </si>
  <si>
    <t>Highlight of the morning — meeting Holly. #GOAT #mepolitics https://t.co/QSuK2IApwd</t>
  </si>
  <si>
    <t>1314960459657818112</t>
  </si>
  <si>
    <t>I visited Hartwell Farm &amp;amp; Jo’s Sugar House this morning in Gorham to celebrate Maine Maple Weekend!
I secured $23M in direct relief for farmers struggling due to COVID, &amp;amp; successfully advocated for Maine’s maple syrup producers to be included in that funding. #mepolitics https://t.co/UGLpbhyjxA</t>
  </si>
  <si>
    <t>1314713595872120833</t>
  </si>
  <si>
    <t>Small business owners, like Matthew and Marty, are shining examples of Maine's work ethic and drive. I am so thankful for their support, and they will always have mine. #mepolitics https://t.co/cHJgLSyAtZ</t>
  </si>
  <si>
    <t>1314676582108274691</t>
  </si>
  <si>
    <t>Len Libby's has been a Scarborough institution since 1926! And Lenny is still drawing them in. #mepolitics https://t.co/Q14ZshLi7g</t>
  </si>
  <si>
    <t>1314670660128591872</t>
  </si>
  <si>
    <t>Today I visited with employees at RTS Packaging. It's not surprising to see Mainers stepping up to help their neighbors during this pandemic. RTS has been crucial in helping essential businesses package their products. #mepolitics https://t.co/Nx0F3WMY5O</t>
  </si>
  <si>
    <t>1314636696512847873</t>
  </si>
  <si>
    <t>It was great to tour and visit with workers at Direct Mail of Maine in Scarborough. Businesses like DMM keep Maine's economy healthy and workers employed. #mepolitics https://t.co/pvsRSyXXde</t>
  </si>
  <si>
    <t>1314601921802571776</t>
  </si>
  <si>
    <t>My 'All of Maine' bus tour hits the road again... today in Scarborough! #mepolitics https://t.co/ZpiArxm66r</t>
  </si>
  <si>
    <t>1314331896868933633</t>
  </si>
  <si>
    <t>Next stop in Bridgton 🚍: It's great to see first-hand how the Paycheck Protection Program, which I wrote, has helped Maine small businesses. #mepolitics https://t.co/ZEQzt83HDe</t>
  </si>
  <si>
    <t>1314325125626560521</t>
  </si>
  <si>
    <t>What a beautiful afternoon visiting with Mainers in Bridgton! #mepolitics https://t.co/4msu1Av8d9</t>
  </si>
  <si>
    <t>1314286158130667521</t>
  </si>
  <si>
    <t>Small businesses are the heart of towns all over Maine. I was delighted to visit with business owners and workers in Gray this afternoon, who are working to grow and keep Maine's economy healthy! #mepolitics https://t.co/eGbYkyDqRI</t>
  </si>
  <si>
    <t>1314269499680608259</t>
  </si>
  <si>
    <t>Great lunch at the Market at Pineland Farms!
Pineland Farms enriches the New Gloucester community by demonstrating responsible farming techniques, offering educational opportunities, and encouraging a healthy lifestyle! #mepolitics https://t.co/mxIhCNd9ut</t>
  </si>
  <si>
    <t>1314249613784817664</t>
  </si>
  <si>
    <t>This morning my 'All of Maine' bus tour stopped by Yankee Marina in Yarmouth. Thank you to my friend, Bill Green, and all of the hard-working Mainers who took time out of their morning to say hello! #mepolitics https://t.co/c3xs7JkjjC</t>
  </si>
  <si>
    <t>1314204620088983554</t>
  </si>
  <si>
    <t>My friend, Sen. @votetimscott, recently visited Maine, &amp;amp; I showed him the exciting redevelopment projects in downtown Waterville. It's great to see how the PPP &amp;amp; the BUILD grant program are making such a difference in this community. #mepolitics https://t.co/nQ2vRqYjoc</t>
  </si>
  <si>
    <t>1313951131618496518</t>
  </si>
  <si>
    <t>I have and always will fight to deliver for the people of Maine. #mepolitics https://t.co/5dlxf4Y4nZ</t>
  </si>
  <si>
    <t>1313884754874445824</t>
  </si>
  <si>
    <t>.@bangordailynews Editorial Board: "Susan Collins remains best choice for Senate" #mepolitics https://t.co/k2iwjbfDTG https://t.co/Pe4wDvUIUs</t>
  </si>
  <si>
    <t>1313836184070746112</t>
  </si>
  <si>
    <t>Steve Bost, Independent voter from Brewer: "It's no accident that Collins has been repeatedly returned to represent us in Washington. She upholds the high standards of her predecessors. She personifies what it is to be a true Mainer." #mepolitics https://t.co/bAuByCO1SY https://t.co/UViNnRNNO9</t>
  </si>
  <si>
    <t>1313556567434952704</t>
  </si>
  <si>
    <t>NEW 📺 TODAY:
Bill Green: "Experienced. Thoughtful. Courageous. Susan Delivers. That's why I trust her." #mepolitics https://t.co/medwCad4fT</t>
  </si>
  <si>
    <t>1313484274927099907</t>
  </si>
  <si>
    <t>🎙️ LISTEN 📻: This morning, I joined George Hale and Ric Tyler on WVOM... and a surprise call from a special guest,  Bill Green. #mepolitics 
https://t.co/P7zBSbCOGE</t>
  </si>
  <si>
    <t>1313222437480337414</t>
  </si>
  <si>
    <t>Bill Green is a true Maine legend, and his support means the world to me. #mepolitics https://t.co/aQ6P6Gx1cu</t>
  </si>
  <si>
    <t>1313207455971708929</t>
  </si>
  <si>
    <t>We're less than a month away from Election Day and absentee ballots are already in the mail! If you haven't already:
✉️ 🗳️ → Request YOUR absentee ballot TODAY: https://t.co/4JWhP9NRnX
#mepolitics</t>
  </si>
  <si>
    <t>1313162383280439297</t>
  </si>
  <si>
    <t>Joe Crepeau: "I reached out to Sen. Collins' office &amp;amp; within a couple of days, the VA contacted me &amp;amp; told me they were going to work with me... I call that leadership &amp;amp; I appreciate everything Sen. Collins has done for veterans." Thank YOU for your service, Joe! #mepolitics https://t.co/hGE0Y9u0ZR</t>
  </si>
  <si>
    <t>1313132035939151872</t>
  </si>
  <si>
    <t>Retired Chief Warrant Officer, Neal Williams: "I consider Susan to be a fellow advocate and a dear friend. She is real, she is genuine and we're fortunate to have her looking out for us in Washington." #mepolitics https://t.co/C91G1Xi89A</t>
  </si>
  <si>
    <t>1312852862435618816</t>
  </si>
  <si>
    <t>Listen to Neal Williams of Greenville recount how we worked together to ensure a Maine veteran received the medical treatment &amp;amp; disability payments he deserved.
Then &amp;amp; now, I work hard to ensure veterans receive the benefits they've earned. #mepolitics https://t.co/4ZJaLEM76j</t>
  </si>
  <si>
    <t>1312809806319759360</t>
  </si>
  <si>
    <t>WATCH: Maine is home to more than 114,000 veterans. As the daughter of a WWII Purple Heart recipient, I know the sacrifice these heroes &amp;amp; families make to protect America's freedom.
I ALWAYS fight to protect our veterans. #mepolitics https://t.co/JsGKpUBFet</t>
  </si>
  <si>
    <t>1312481794021703680</t>
  </si>
  <si>
    <t>A very special thank you to Anthony &amp;amp; Marty in Scarborough for your support! #mepolitics https://t.co/BzLBGcYdig</t>
  </si>
  <si>
    <t>1312405372666343427</t>
  </si>
  <si>
    <t>REMINDER: Sara Gideon’s fuel tax would hike taxes on gas, home heating oil, and other fuel products by 40 cents a gallon. Raising fuel taxes would hurt Maine’s lobstermen and women and the small businesses that rely on this industry. Maine can’t afford Sara Gideon. #mepolitics https://t.co/5W6eEjqQTb</t>
  </si>
  <si>
    <t>1323746273170657283</t>
  </si>
  <si>
    <t>Heading to vote after work? Don’t forget to double check your polling location—and grab your mask! #mepolitics #MESen
https://t.co/Fech1PIPyc</t>
  </si>
  <si>
    <t>1323736112272166914</t>
  </si>
  <si>
    <t>Excited to see tons of voters (and future voters!) today in Portland! #mepolitics https://t.co/UwbGjIZ7Ys</t>
  </si>
  <si>
    <t>1323728864028348416</t>
  </si>
  <si>
    <t>Health care is on the ballot, and we need a Senate that will protect—not jeopardize—Mainers’ access to affordable, quality care.
That’s exactly what I’ll do. #mepolitics https://t.co/TepXJhDMBS</t>
  </si>
  <si>
    <t>1323722425301934086</t>
  </si>
  <si>
    <t>It was so nice to meet with supporters as they head out to knock on their neighbors' doors here in Portland. 
Together, I know we can win this! #mepolitics https://t.co/U43Vq2RQmc</t>
  </si>
  <si>
    <t>1323710789530865666</t>
  </si>
  <si>
    <t>I loved greeting voters in Freeport. This is where I first entered public service on the town council, and it means so much to me to have the support of my community. #mepolitics https://t.co/e9MB8hAapV</t>
  </si>
  <si>
    <t>1323702837902217220</t>
  </si>
  <si>
    <t>Thank you to Brunswick for getting out to vote today! Your voice is important—grab your mask and head to the polls. #mepolitics https://t.co/na2pAK6Y6r</t>
  </si>
  <si>
    <t>1323694855441260554</t>
  </si>
  <si>
    <t>Whether you’re voting today or you’ve already cast your ballot, it’s never too late for your “I voted” sticker!
Get yours here and share with friends to remind them to vote: https://t.co/ZGCySSED7W https://t.co/buy6P0v1j9</t>
  </si>
  <si>
    <t>1323688023238889473</t>
  </si>
  <si>
    <t>On the other side of every door knocked and every phone call is a voter who can help us win this race. 
Thank you @TeamGideon2020 for finishing this race strong. #mepolitics https://t.co/KJ6MXswiBy</t>
  </si>
  <si>
    <t>1323680338808315910</t>
  </si>
  <si>
    <t>Confirm that your absentee ballot has been received in order to ensure your voice is heard this election. 
Check your ballot status: https://t.co/TPKRkJlHwi #ElectionDay #MESen https://t.co/uOt7r28uA7</t>
  </si>
  <si>
    <t>1323670962416558081</t>
  </si>
  <si>
    <t>Over the last 16 months, I’ve traveled to every corner of our state and had the opportunity to meet and speak with so many of you. 
It would be an honor to represent you in Washington. #mepolitics https://t.co/BAQ0Whc1dh</t>
  </si>
  <si>
    <t>1323651316095295488</t>
  </si>
  <si>
    <t>Maine: Don’t forget, you can register to vote at the polls. 
Find out what you need to bring with you and go vote! #mepolitics #MESen https://t.co/fVoLB513DY</t>
  </si>
  <si>
    <t>1323641089962741765</t>
  </si>
  <si>
    <t>Polls are open across Maine—find out where to vote here: https://t.co/Wz30frhBzp</t>
  </si>
  <si>
    <t>1323637759987326978</t>
  </si>
  <si>
    <t>🚨🚨🚨 If you still have your absentee ballot, drop it off *in-person* at your town clerk’s office or ballot drop box by 8pm (don’t put it in the mail!). #mepolitics
https://t.co/hCMaKPpZIq</t>
  </si>
  <si>
    <t>1323629959240392706</t>
  </si>
  <si>
    <t>We’re starting Election Day off strong with a canvass kick-off in Bangor!
We need your help to get out the vote—next shift is at 11am! Sign up here: https://t.co/xr43I1VPVn https://t.co/bgqa5VDS1V</t>
  </si>
  <si>
    <t>1323612796052033537</t>
  </si>
  <si>
    <t>Happy Election Day, Maine! This race is close, so please make your voice heard and cast your ballot by 8 pm. https://t.co/HL8SFUN6Uw</t>
  </si>
  <si>
    <t>1323604338187534336</t>
  </si>
  <si>
    <t>MAINE: If you have any questions about voting, call or text our voter hotline at (207) 990-0788, or reach out online: https://t.co/gpWjeNWkrJ</t>
  </si>
  <si>
    <t>1323596771784855553</t>
  </si>
  <si>
    <t>It’s Election Day! Don’t forget to cast your vote—or return your ballot to your town clerk’s office—by 8 pm. Happy voting!
https://t.co/Fech1Q0qWM
#mepolitics #MESen https://t.co/CvT926aXE8</t>
  </si>
  <si>
    <t>1323467181405982721</t>
  </si>
  <si>
    <t>A special thank you to my family, who surprised me tonight and has supported me throughout this campaign. I'm so glad I could share our final #SupperWithSara with you. #mepolitics https://t.co/j6pgMjq3EU</t>
  </si>
  <si>
    <t>1323467173688446978</t>
  </si>
  <si>
    <t>Tonight marked our 40th #SupperWithSara. From our first supper in Kennebunkport to our final event in Unity, I'm so grateful for everyone who’s joined us over the past 16 months. Hearing from you has been at the heart of this campaign, &amp;amp; that won’t change when I’m in the Senate. https://t.co/Ryt0MS9kyr</t>
  </si>
  <si>
    <t>1323452336350629889</t>
  </si>
  <si>
    <t>I just left Waldo County to finish out our Putting Maine First Tour! 4 days, 16 counties, and hundreds of miles later, I’m so grateful for everyone who joined me on the trail. One more day—let’s go win! #mepolitics https://t.co/LaSveZeQU0</t>
  </si>
  <si>
    <t>1323409431233765377</t>
  </si>
  <si>
    <t>As this campaign draws to a close, I am so unbelievably grateful for this grassroots movement and everything that we've achieved together over the past 16 months.
We've got one more day. Let's do this, Maine. #mepolitics https://t.co/stJXug8tB8</t>
  </si>
  <si>
    <t>1323403514819809281</t>
  </si>
  <si>
    <t>I’ve always admired Margaret Chase Smith's commitment to standing strong and being honest with the people she was elected to represent—even when it meant going against her party. It’s time we restore independence to this Senate seat. #mepolitics https://t.co/KYuQmvzlqL</t>
  </si>
  <si>
    <t>1323400189760151553</t>
  </si>
  <si>
    <t>Somerset County ✅ #mepolitics https://t.co/zuQpLRLisc</t>
  </si>
  <si>
    <t>1323393448293126150</t>
  </si>
  <si>
    <t>Small businesses are key to our state’s economy, and they represent what Maine is all about—hard work, resilience, and a commitment to our community. 
Thank you for having me, Northwoods Canoe Company! #mepolitics https://t.co/UlWIyaW8Ge</t>
  </si>
  <si>
    <t>1323385775975763968</t>
  </si>
  <si>
    <t>Just left Piscataquis County—14 counties down, 2 more to go! #mepolitics https://t.co/026nKw8mFK</t>
  </si>
  <si>
    <t>1323376199024914432</t>
  </si>
  <si>
    <t>If I’m elected to the U.S. Senate, here’s what I’ll do: 
1️⃣ Roll back the GOP tax cuts for big corporations
2️⃣ Take bold action on climate change
3️⃣ Protect &amp;amp; expand access to affordable health care
4️⃣ Confirm qualified judicial nominees who respect precedent #mepolitics</t>
  </si>
  <si>
    <t>1323351323128057863</t>
  </si>
  <si>
    <t>Health care is on the ballot. Civil rights are on the ballot. The environment is on the ballot. 
We have one more day to win this race. Let's leave it all on the field, Maine. #mepolitics https://t.co/wc59ipN9A7</t>
  </si>
  <si>
    <t>1323340725644414977</t>
  </si>
  <si>
    <t>The stakes in this election could not be higher. We need a Senate majority that will protect civil rights for all Mainers &amp;amp; Americans, and we can't afford to confirm any more of Mitch McConnell &amp;amp; Donald Trump's unqualified, far-right judges. #mepolitics https://t.co/oEaxMAv3rb</t>
  </si>
  <si>
    <t>1323329882273832961</t>
  </si>
  <si>
    <t>I visited Full Circle Health Care in Presque Isle to discuss my plans to protect and expand access to health care, especially for Mainers living in rural communities. Health care is on the ballot this election. #mepolitics https://t.co/VbWryJYjSP</t>
  </si>
  <si>
    <t>1323321602763796480</t>
  </si>
  <si>
    <t>Make a plan to vote today, so that you are ready to vote tomorrow! Check your polling place location and hours here: https://t.co/ag5AadaJHH</t>
  </si>
  <si>
    <t>1323308639709405187</t>
  </si>
  <si>
    <t>Had a delicious breakfast this morning at Whistle Stop in Fort Kent! #mepolitics https://t.co/jaUsRwyLOV</t>
  </si>
  <si>
    <t>1323305304831000581</t>
  </si>
  <si>
    <t>“While we were negotiating a contract, Senator Collins was accepting money from senior leadership at BIW management.” - John Portela, sandblaster at Bath Iron Works
Maine workers like John deserve a senator who will side with them—not big corporations. #mepolitics https://t.co/om2E0gTUc0</t>
  </si>
  <si>
    <t>1323301232140787714</t>
  </si>
  <si>
    <t>This morning, I met with workers at the Twin Rivers Paper Company in Madawaska. Mainers deserve a senator that will stand up for workers’ rights, just like I’ve done as Speaker. #mepolitics https://t.co/1WsEDoEN44</t>
  </si>
  <si>
    <t>1323294839627198467</t>
  </si>
  <si>
    <t>I started the final day of our Putting Maine First Tour in the County! Can't wait to see you all on the trail today. #mepolitics https://t.co/qDgfpVmQqa</t>
  </si>
  <si>
    <t>1323291230810329090</t>
  </si>
  <si>
    <t>Maine’s small businesses deserve a senator who will deliver real results. As Speaker, I worked to support small business owners, promote job growth and training opportunities, and eliminate red tape holding businesses back—and I will continue this work in the Senate. #mepolitics https://t.co/AIhZNL51XM</t>
  </si>
  <si>
    <t>1323273910914351105</t>
  </si>
  <si>
    <t>“There’s a distinct difference between Sara Gideon and Susan Collins. Sara was there every time we called her.” – Douglas Hall, tinsmith at BIW
I proudly walked the picket line with Doug during the Local S6 strike, and I’ll always be there to stand up for Mainers. #mepolitics https://t.co/GLOrsZDn4e</t>
  </si>
  <si>
    <t>1323266130790723584</t>
  </si>
  <si>
    <t>Make your plan to vote tomorrow! https://t.co/Fech1Q0qWM https://t.co/KdACo0WOsl</t>
  </si>
  <si>
    <t>1323085208757915649</t>
  </si>
  <si>
    <t>Special shout out to @BallroomThieves and @MallettBrosBand for your amazing performances tonight! Thank you so much for supporting our campaign. #mepolitics https://t.co/SVkehA47v9</t>
  </si>
  <si>
    <t>1323081430830899200</t>
  </si>
  <si>
    <t>What an incredible night. Thank you so much to @SenTroyJackson and everyone who came out in the rain for our drive-in rally—now let’s go win! #mepolitics https://t.co/CJ3ZFiyfaS</t>
  </si>
  <si>
    <t>1323058742007631872</t>
  </si>
  <si>
    <t>I'm about to take the stage here in Hermon for our drive-in rally! Let's get out the vote, Maine! #mepolitics https://t.co/XDZIM2U3Lz</t>
  </si>
  <si>
    <t>1323053261688102913</t>
  </si>
  <si>
    <t>Stopped by @TillerandRye in Bangor while on the road for our Putting Maine First Tour! I will always support Maine's small businesses in the U.S. Senate. #mepolitics https://t.co/7y0htkT3au</t>
  </si>
  <si>
    <t>1323036417572950018</t>
  </si>
  <si>
    <t>From improving health care to expanding job training opportunities, Maine’s veterans deserve a senator who will fight for them in the Senate. Thank you to everyone who joined me in Roque Bluffs today for a discussion about supporting our veterans. #mepolitics https://t.co/NIYM95cDqJ</t>
  </si>
  <si>
    <t>1323020357096427522</t>
  </si>
  <si>
    <t>Second county of the day: 📍 Washington County #mepolitics https://t.co/49MfgK3sPC</t>
  </si>
  <si>
    <t>1322973232614486022</t>
  </si>
  <si>
    <t>Stopped by Flexit Cafe and Bakery in Ellsworth for breakfast this morning—thanks for having me! #mepolitics https://t.co/T4FJngZOhZ</t>
  </si>
  <si>
    <t>1322958169501507584</t>
  </si>
  <si>
    <t>Hello, Day 3! I just left Hancock County as part of our Putting Maine First Tour. Looking forward to the rest of the day! #mepolitics https://t.co/0Ocv55GDDM</t>
  </si>
  <si>
    <t>1322926942442655744</t>
  </si>
  <si>
    <t>If you haven’t voted yet, it’s time to make your plan to vote in-person on Tuesday at your local polling place. Find everything you need to know: https://t.co/sGP2q50CnB</t>
  </si>
  <si>
    <t>1322912421963509763</t>
  </si>
  <si>
    <t>Don’t forget: Join us tonight in Bangor for another drive-in rally with musical guests @BallroomThieves and @MallettBrosBand! Sign up here: https://t.co/a2n3553Axp</t>
  </si>
  <si>
    <t>1322688657325785089</t>
  </si>
  <si>
    <t>Day Two of our Putting Maine First Tour is in the books! Thanks for having me, Knox County. #mepolitics https://t.co/IQBZseJwJo</t>
  </si>
  <si>
    <t>1322656825209196547</t>
  </si>
  <si>
    <t>I’ve traveled across the state hearing from patients and providers to learn about the challenges they face accessing quality, affordable health care—especially Mainers living in rural areas. I'll always work to support hospitals like the Knox County Health Clinic. #mepolitics https://t.co/bukzQ6kntb</t>
  </si>
  <si>
    <t>1322646705607712768</t>
  </si>
  <si>
    <t>Lincoln County 📍 #mepolitics https://t.co/K7gnwwSHzv</t>
  </si>
  <si>
    <t>1322628682612092928</t>
  </si>
  <si>
    <t>Sagadahoc County was our second stop on today's leg of the Putting Maine First Tour. It's always a good day being in Bath! #mepolitics https://t.co/RwkoBFRAAu</t>
  </si>
  <si>
    <t>1322597500478459907</t>
  </si>
  <si>
    <t>As Speaker, I’ve worked to support small business owners like the ones I met with in downtown Bath today. That’s the kind of leadership small businesses deserve to have in the Senate. #mepolitics https://t.co/smo913FSJa</t>
  </si>
  <si>
    <t>1322590862635925504</t>
  </si>
  <si>
    <t>I started Day Two of our Putting Maine First Tour this morning in York County! #mepolitics https://t.co/Y07sYlPqBL</t>
  </si>
  <si>
    <t>1322559593214545920</t>
  </si>
  <si>
    <t>It was a beautiful morning to visit businesses in downtown Saco and Biddeford! Maine’s small business community is the backbone of our economy, and I will fight for them in the Senate—just like I have as Speaker. #mepolitics https://t.co/GLLJ4rFLFG</t>
  </si>
  <si>
    <t>1322545759070392320</t>
  </si>
  <si>
    <t>Happy Halloween, Maine! 🎃 👻 Celebrations might look different this year, but I hope you all have a fun, safe holiday.</t>
  </si>
  <si>
    <t>1322532158016229379</t>
  </si>
  <si>
    <t>So grateful for my wonderful family (and of course, our dog Jacoby!) who's been by my side since the day we launched this campaign. I couldn’t do any of this without you. ❤️ https://t.co/hd4KCt9XKV</t>
  </si>
  <si>
    <t>1322368001065312262</t>
  </si>
  <si>
    <t>Thank you, @BallroomThieves and @oshima_brothers! https://t.co/DjUhF3R7e0</t>
  </si>
  <si>
    <t>1322361866262401024</t>
  </si>
  <si>
    <t>Our fifth and final stop on Day One of our Putting Maine First Tour. Thank you, Cumberland County. See you tomorrow for Day Two! #mepolitics https://t.co/Mrv4kSS1cy</t>
  </si>
  <si>
    <t>1322351698061512706</t>
  </si>
  <si>
    <t>We had an unforgettable night in Cumberland! Thank you to everyone who joined us, as well as @BallroomThieves and @oshima_brothers for your incredible performances.
Don’t forget: We’re hosting another drive-in rally in Bangor on Sunday! https://t.co/oIEiEXjXqq https://t.co/oQODpsH5aM</t>
  </si>
  <si>
    <t>1322305920530087936</t>
  </si>
  <si>
    <t>I visited Franklin County for our fourth stop of our Putting Maine First Tour! #mepolitics https://t.co/zrNWmELfYQ</t>
  </si>
  <si>
    <t>1322294583066316805</t>
  </si>
  <si>
    <t>It was a great day to tour businesses in downtown Farmington! Maine's small businesses are so important to our economy, and I will always fight for them in the Senate. #mepolitics https://t.co/JSGbkyevAy</t>
  </si>
  <si>
    <t>1322282992014970882</t>
  </si>
  <si>
    <t>Stop Number 3: Oxford County 🌲 #mepolitics https://t.co/5BRffN3okM</t>
  </si>
  <si>
    <t>1322274711779397633</t>
  </si>
  <si>
    <t>Maine's logging industry is imperative to our state's economy and our heritage. Today, I visited Nichols Logging Work Site in Oxford County to hear more about the challenges that Maine loggers face, and how we can support them in the Senate. #mepolitics https://t.co/WgbxEA8pH8</t>
  </si>
  <si>
    <t>1322250286673596416</t>
  </si>
  <si>
    <t>We wrapped up our second stop on our Putting Maine First Tour at Bates College in Androscoggin County! #mepolitics https://t.co/4duhIbWduT</t>
  </si>
  <si>
    <t>1322239920795246592</t>
  </si>
  <si>
    <t>Thanks for joining me today, @BatesDems! Now let’s go win. #mepolitics https://t.co/ZS65742v6W https://t.co/S1wgZYMTNl</t>
  </si>
  <si>
    <t>1322224434778877953</t>
  </si>
  <si>
    <t>First stop from our Putting Maine First Tour: Kennebec County ✅ #mepolitics https://t.co/sEqK70QHlr</t>
  </si>
  <si>
    <t>1322206803485167616</t>
  </si>
  <si>
    <t>Health care is on the ballot. Thank you to everyone who joined us for our health care town hall in Augusta today. #mepolitics https://t.co/gkanUj0SNn</t>
  </si>
  <si>
    <t>1322200157362991104</t>
  </si>
  <si>
    <t>Want to join in on the fun? Listen to our Putting Maine First road trip playlist on Spotify: https://t.co/4AyGwIILUI #mepolitics</t>
  </si>
  <si>
    <t>1322200155865665536</t>
  </si>
  <si>
    <t>I’m excited to kick-off our Putting Maine First Tour in Kennebec, Androscoggin, Oxford, Franklin, &amp;amp; Cumberland counties! In the next 4 days, I'll be traveling to all 16 counties to continue hearing from Mainers about the issues that matter to them—see you on the trail! https://t.co/LHoi8zv1ab</t>
  </si>
  <si>
    <t>1322184641256824834</t>
  </si>
  <si>
    <t>I hope to see you tonight at 6pm for our drive-in rally in Cumberland! @BallroomThieves and @oshima_brothers will be performing, and it’s going to be a great event. Sign up here: https://t.co/LtcOuznH5d</t>
  </si>
  <si>
    <t>1322170389494001666</t>
  </si>
  <si>
    <t>It’s time to get out the vote! 🗳️ Sign up to help our GOTV efforts this weekend: https://t.co/ZS6573KTIm #mepolitics https://t.co/s2mNmNKecQ</t>
  </si>
  <si>
    <t>1322164474573426690</t>
  </si>
  <si>
    <t>It’s an honor to have the support of Joan Benoit Samuelson, a lifelong Mainer and Olympic gold medalist. She’s right—there has never been a more important election than the one ahead of us, and it’s going to take all of us to get across the finish line. #mepolitics https://t.co/kBk8AhufHB</t>
  </si>
  <si>
    <t>1322150345313865728</t>
  </si>
  <si>
    <t>It’s the LAST DAY to vote early! Find your town clerk’s address and hours, and then go vote! https://t.co/Fech1Q0qWM</t>
  </si>
  <si>
    <t>1321985517060345857</t>
  </si>
  <si>
    <t>Had a great time visiting small businesses in Portland today! Maine's small businesses are working through the challenges of this pandemic, but they need more support from the federal government. Washington needs to do its part. #mepolitics https://t.co/dxFHvprkNh</t>
  </si>
  <si>
    <t>1321980639361470465</t>
  </si>
  <si>
    <t>Thank you to Southern Maine Aviation for having me today and sharing the challenges you've faced as a small business in this pandemic. #mepolitics https://t.co/ej1PNP5yx2</t>
  </si>
  <si>
    <t>1321971490724716546</t>
  </si>
  <si>
    <t>Senator Collins was asked *three times* last night if she supports Donald Trump's reelection, and she refused to answer each time. 
The election is 5 days away, and Mainers deserve answers. #mepolitics https://t.co/xrhxhTmEl5</t>
  </si>
  <si>
    <t>1321970564794298368</t>
  </si>
  <si>
    <t>Thanks for joining me today, @BowdoinCollege! Let's get out the vote and win this election on Tuesday. #mepolitics https://t.co/JouJ2F1ulK</t>
  </si>
  <si>
    <t>1321931629108072448</t>
  </si>
  <si>
    <t>I visited the Nasson Community Health Center in Springvale to discuss how we can expand health care for Mainers living in rural areas. 
Health care is on the ballot, and I will always fight to ensure that all Mainers have access to quality, affordable health care. #mepolitics https://t.co/Nx6rsBJlmH</t>
  </si>
  <si>
    <t>1321923526828396545</t>
  </si>
  <si>
    <t>BANGOR: We’re hosting a drive-in rally with @BallroomThieves and The Mallett Brothers on Sunday at 5pm! RSVP here: https://t.co/Tx7Wx7JDqN</t>
  </si>
  <si>
    <t>1321894120122654720</t>
  </si>
  <si>
    <t>I'm grateful to have the support of Maine Small Business Coalition. I’ve worked to make health insurance more affordable for small businesses and eliminated red tape, and I will continue fighting for small businesses in the Senate. #mepolitics https://t.co/yY3rKoc2IW</t>
  </si>
  <si>
    <t>1321871536568082432</t>
  </si>
  <si>
    <t>I'm proud of how Maine’s businesses and community leaders have come together to support Mainers through this pandemic. Together, we will overcome COVID-19 and ensure that we stay safe and healthy. #mepolitics https://t.co/g8amsRTIt7</t>
  </si>
  <si>
    <t>1321845274315313152</t>
  </si>
  <si>
    <t>"One of the reasons I’m so strong on Sara is that she’s been extremely outspoken about the importance of health care for all.” 
It's an honor to have Mary Herman’s support in this race—I look forward to fighting for Mainers in the Senate. #mepolitics https://t.co/6epGwn0tSR</t>
  </si>
  <si>
    <t>1321810959380471808</t>
  </si>
  <si>
    <t>TOMORROW is the last day to vote early in-person, Maine! 🚨 Find your town clerk’s office and see their hours—and go vote! https://t.co/W1S6QtdrHK #MESen #mepolitics</t>
  </si>
  <si>
    <t>1321620869513445377</t>
  </si>
  <si>
    <t>Susan Collins packed the courts when she voted to confirm 181 of Donald Trump and Mitch McConnell's far-right judicial nominees. #mepolitics https://t.co/Vbg4M45zgz</t>
  </si>
  <si>
    <t>1321619070245101568</t>
  </si>
  <si>
    <t>Here in Maine, we’ve had to pick up the pieces of Senator Collins’ failed leadership in Washington. 
Mainers deserve a champion—and I'm ready to fight for them in the Senate. #mepolitics</t>
  </si>
  <si>
    <t>1321617519266963456</t>
  </si>
  <si>
    <t>Senator Collins—you have packed the court. You helped Trump and McConnell stack the courts with far-right, unqualified judges. Now, our health care, reproductive rights, and civil rights have never been more at risk than they are right now. #mepolitics</t>
  </si>
  <si>
    <t>1321617251808780288</t>
  </si>
  <si>
    <t>I'll hold our record in the State Legislature up to the record of Senator Collins and the GOP Senate any day. It's been six months since they've passed any COVID-19 relief, and Mainers are struggling. #mepolitics https://t.co/JrCTfR8Eny</t>
  </si>
  <si>
    <t>1321616810362478593</t>
  </si>
  <si>
    <t>Here in Maine, we’ve banned racial profiling by police, and I think that’s absolutely something that should happen at the national level. #mepolitics</t>
  </si>
  <si>
    <t>1321616590681591809</t>
  </si>
  <si>
    <t>The coronavirus pandemic has disproportionately impacted communities of color here in Maine. We must do more to address systemic racism. #mepolitics https://t.co/L491hKwsoJ</t>
  </si>
  <si>
    <t>1321615367748407297</t>
  </si>
  <si>
    <t>I’ve represented Mainers through some of the most divisive &amp;amp; partisan years in Maine's history. But by sitting down, listening, &amp;amp; working together, we were able to get things done and make a difference in the lives of Mainers. That's the kind of experience we need in Washington.</t>
  </si>
  <si>
    <t>1321614737571012609</t>
  </si>
  <si>
    <t>.@SenSusanCollins, you often say you're "disappointed," "concerned," or that you've cosponsored bills—but as long as Mitch McConnell is in power, nothing will get done in Washington. #mepolitics</t>
  </si>
  <si>
    <t>1321614171230904322</t>
  </si>
  <si>
    <t>It's been clear that the focus of the Senate—led by Mitch McConnell—has been confirming judicial nominees over passing COVID relief. By her own measure, Susan Collins and her Republican colleagues have “failed the American people.” #mepolitics https://t.co/qqmKs9oMEq</t>
  </si>
  <si>
    <t>1321613770838446085</t>
  </si>
  <si>
    <t>Make no mistake—we need help to recover from this pandemic. Our state and local governments need more relief from Congress. It’s time for the Senate to get it done. #mepolitics</t>
  </si>
  <si>
    <t>1321613273461043200</t>
  </si>
  <si>
    <t>On November 3rd, we can elect a Congress who will rebuild our economy and prioritize public health. #mepolitics</t>
  </si>
  <si>
    <t>1321613034419310592</t>
  </si>
  <si>
    <t>As long as Susan Collins is our senator and Mitch McConnell controls the Senate, we will see more of the same—six months with no action. #mepolitics</t>
  </si>
  <si>
    <t>1321612646819504128</t>
  </si>
  <si>
    <t>The reality is we’re going to face the effects of COVID-19 for a long time—which is why as senator, I will work to mobilize federal resources to protect our frontline workers and support small businesses &amp;amp; Maine families. Read my plan here: https://t.co/TepXJhDMBS #mepolitics</t>
  </si>
  <si>
    <t>1321611919237746688</t>
  </si>
  <si>
    <t>Masks have become political thanks to Donald Trump. Instead of leadership, we saw the opposite—and we saw a Senate that did not hold him accountable. #mepolitics</t>
  </si>
  <si>
    <t>1321611718980702208</t>
  </si>
  <si>
    <t>Listen to the science. Wear a mask. #mepolitics</t>
  </si>
  <si>
    <t>1321611084910964742</t>
  </si>
  <si>
    <t>I will hold my record against the record of Susan Collins and the GOP-controlled Senate any day. I brought Democrats &amp;amp; Republicans together to pass relief for Maine families as soon as COVID hit, yet it’s been 6 months since the Senate has passed any additional aid for our state.</t>
  </si>
  <si>
    <t>1321610667208646656</t>
  </si>
  <si>
    <t>Communities are struggling from the effects of COVID-19, and it’s been SIX months since we’ve seen additional relief from Washington. It’s time for Senate Republicans to do their job and support hardworking families. #mepolitics</t>
  </si>
  <si>
    <t>1321610541316612098</t>
  </si>
  <si>
    <t>Senator Collins has refused to hold Donald Trump accountable for his failed response to COVID-19—even while he misled the American public. Over 225,000 Americans have died, yet she insisted the president did “a lot that was right in the beginning.” #mepolitics https://t.co/ThfHth8mQv</t>
  </si>
  <si>
    <t>1321610202039373824</t>
  </si>
  <si>
    <t>Trump has failed our country with his disastrous COVID response, and Senator Collins has refused to hold him accountable. We need to pass additional relief, but Senate Republicans are too busy playing partisan politics to do their jobs. #mepolitics  https://t.co/qqmKs9oMEq</t>
  </si>
  <si>
    <t>1321609320342167554</t>
  </si>
  <si>
    <t>It's time for a change in Washington. I'm running to put Maine first—not Donald Trump, not Mitch McConnell, and not the special interests. #mepolitics</t>
  </si>
  <si>
    <t>1321609085704392704</t>
  </si>
  <si>
    <t>Last December, Donald Trump said he supported Senator Collins' reelection campaign 100%, and she has voted with him 94% of the time. #mepolitics https://t.co/Q6kKq1FhE3</t>
  </si>
  <si>
    <t>1321608813343051776</t>
  </si>
  <si>
    <t>The election is 6 days away, and @SenSusanCollins still refuses to tell Mainers who she believes should lead our country. #mepolitics</t>
  </si>
  <si>
    <t>1321608330121519104</t>
  </si>
  <si>
    <t>Susan Collins isn’t using her seniority to deliver for Mainers in Washington. As Speaker, I’m proud of my work bringing Democrats, Republicans, and Independents together to deliver real results for Mainers. I’ll work with anyone to do what’s right for Maine. #mepolitics</t>
  </si>
  <si>
    <t>1321608211674341377</t>
  </si>
  <si>
    <t>I’ve brought Democrats, Republicans, and Independents together to deliver real results for Maine families, and I will continue to do so in the Senate. #mepolitics</t>
  </si>
  <si>
    <t>1321608050894163970</t>
  </si>
  <si>
    <t>Throughout this campaign, my top priority has been to hear from Mainers directly about the issues that matter most to them. That’s why we’ve held nearly 40 #SupperWithSara events in all 16 counties &amp;amp; countless town halls. Mainers deserve a senator who listens and puts them first.</t>
  </si>
  <si>
    <t>1321607878801838080</t>
  </si>
  <si>
    <t>In 1996, Senator Collins went as far as to request that outside groups not run negative attack ads in a “misguided” attempt to help her campaign. 24 years later—outside groups have spent millions on her behalf attacking me. What changed, @SenSusanCollins? #mepolitics https://t.co/SfUMpXlHzK</t>
  </si>
  <si>
    <t>1321607501410930688</t>
  </si>
  <si>
    <t>Remember—Susan Collins continues to defend people like Brett Kavanaugh and Donald Trump. #mepolitics</t>
  </si>
  <si>
    <t>1321607244031631367</t>
  </si>
  <si>
    <t>After 24 years in Washington, it’s clear that Susan Collins will do anything to stay there. #mepolitics</t>
  </si>
  <si>
    <t>1321606621823438849</t>
  </si>
  <si>
    <t>After her decisive vote to confirm Brett Kavanaugh to the Supreme Court, far-right groups like the Federalist Society made sure that Senator Collins got the campaign donations she needs—including from anti-choice billionaire Leonard Leo. #mepolitics https://t.co/zf5ffx8Mv8</t>
  </si>
  <si>
    <t>1321606221011525634</t>
  </si>
  <si>
    <t>Mainers like Hannah are tired of Senator Collins siding with Trump and McConnell's far-right, anti-choice agenda. As Speaker, I've fought to protect and expand access to reproductive health care—and I will continue this fight in the Senate. #mepolitics https://t.co/PAqZNA4gaj</t>
  </si>
  <si>
    <t>1321605965125505026</t>
  </si>
  <si>
    <t>Our health care and reproductive rights wouldn’t be in such grave danger if it weren’t for Senator Collins, who’s voted to confirm 181 of Donald Trump and Mitch MConnell’s unqualified, far-right judicial nominees. #mepolitics</t>
  </si>
  <si>
    <t>1321605803166572545</t>
  </si>
  <si>
    <t>As Speaker, I broadened access to reproductive health services here in Maine, and I'm proud to be endorsed by @PPact and @NARAL. In the Senate, I will keep fighting to expand access to reproductive health care and to protect Roe v. Wade. 
https://t.co/ZfDKaSrxAO</t>
  </si>
  <si>
    <t>1321605667090825219</t>
  </si>
  <si>
    <t>Senator Collins knew where Justice Brett Kavanaugh stood on Roe v. Wade, but she voted to confirm him anyway. 
She’s changed. Now, our reproductive rights are more at risk than ever before. #mepolitics</t>
  </si>
  <si>
    <t>1321605585234788354</t>
  </si>
  <si>
    <t>Between voting for Trump's far-right nominees to accepting campaign money from the anti-choice Federalist Society, it's clear where Senator Collins stands on protecting Roe and reproductive rights. #mepolitics https://t.co/pDkRq5KFt3</t>
  </si>
  <si>
    <t>1321605123538358274</t>
  </si>
  <si>
    <t>The individual mandate is gone. I've proposed creating a public option to buy into Medicare, strengthening the cost caps in the Affordable Care Act, and expanding eligibility and enhancing premium tax credits available to purchase coverage. #mepolitics</t>
  </si>
  <si>
    <t>1321605022518550529</t>
  </si>
  <si>
    <t>Senator Collins herself said she’s spent years trying to eliminate the Affordable Care Act. #mepolitics https://t.co/N0K5l7i480</t>
  </si>
  <si>
    <t>1321604667877609473</t>
  </si>
  <si>
    <t>Susan Collins and Mitch McConnell have no plan to replace the Affordable Care Act.
That’s right—millions of Americans could lose their health care, and they have no plan. #mepolitics</t>
  </si>
  <si>
    <t>1321604513430720512</t>
  </si>
  <si>
    <t>It was clear where Amy Coney Barrett stood on the Affordable Care Act when she was up for a lifetime appointment to the Seventh Circuit Court of Appeals in 2017—and Susan Collins voted to confirm her anyway. #mepolitics</t>
  </si>
  <si>
    <t>1321604343079063558</t>
  </si>
  <si>
    <t>Susan Collins says she is "concerned" about people with pre-existing conditions. 
But let’s be clear: Senator Collins voted at least a dozen times to repeal or undermine the Affordable Care Act. #mepolitics</t>
  </si>
  <si>
    <t>1321603924965707783</t>
  </si>
  <si>
    <t>While I’ve protected Mainers with pre-existing conditions, Senator Collins is the reason there’s a Supreme Court case that could overturn the ACA and jeopardize health care for over 100,000 Mainers. #mepolitics</t>
  </si>
  <si>
    <t>1321603705490255876</t>
  </si>
  <si>
    <t>After 24 years in Washington, it’s clear that Senator Collins has changed. She’s repeatedly sided with big corporations and special interests at the expense of hardworking Maine families. #mepolitics</t>
  </si>
  <si>
    <t>1321603647298510851</t>
  </si>
  <si>
    <t>I’ve brought Democrats, Republicans, and Independents together to address the challenges that Mainers all across this state face. From working to lower prescription drug costs, fighting the opioid epidemic, and passing property tax relief, I'm proud what we've accomplished.</t>
  </si>
  <si>
    <t>1321603477924155393</t>
  </si>
  <si>
    <t>Senator Collins says she’s protected Mainers' health care, but here’s the truth: She’s voted 12 times to gut protections for pre-existing conditions. #mepolitics</t>
  </si>
  <si>
    <t>1321603433087074304</t>
  </si>
  <si>
    <t>While Senator Collins and Republicans in the Senate spent the last decade voting against protections for people with pre-existing conditions, we got to work here in Maine, passing legislation to protect Mainers, no matter their medical history. #mepolitics</t>
  </si>
  <si>
    <t>1321598234087837696</t>
  </si>
  <si>
    <t>From our first debate to tonight, @TeamGideon2020 has been with us all the way. 6 more days—let’s make them count! #mepolitics https://t.co/sigEQ0MtYL</t>
  </si>
  <si>
    <t>1321594464750706690</t>
  </si>
  <si>
    <t>Watch the final #MESen debate tonight at 8pm. Tune in here: https://t.co/HVf8jnu0eW</t>
  </si>
  <si>
    <t>1321551734586617857</t>
  </si>
  <si>
    <t>Do you still need to return your absentee ballot? Take it to your town clerk’s office IN PERSON to ensure it’s received by 8 pm on Election Day. Find out where and when to drop it off here: https://t.co/RNEI4Sdxyk</t>
  </si>
  <si>
    <t>1321535601041121282</t>
  </si>
  <si>
    <t>When COVID hit Maine, businesses like Ntension stepped up to help, producing PPE for hospitals across Maine, including Northern Light. I had the chance to tour their facility and meet with them about the need for more federal support to address the pandemic. #mepolitics https://t.co/qxdDfXsLKq</t>
  </si>
  <si>
    <t>1321519559736786944</t>
  </si>
  <si>
    <t>Join us Friday at 6pm in Cumberland for our Get Out The Vote drive-in rally! 🍿 I'll be joined by musical guests @oshima_brothers and @BallroomThieves—I hope to see you there! #mepolitics 
RSVP here: https://t.co/CWwlUvP4k8</t>
  </si>
  <si>
    <t>1321512682357510146</t>
  </si>
  <si>
    <t>Thank you so much for your support, Joe. #mepolitics https://t.co/JDK0qnsHBS</t>
  </si>
  <si>
    <t>1321505561440145408</t>
  </si>
  <si>
    <t>The last day to vote early in-person is Friday (but note: check with your town clerk for voting hours). Make your plan to vote now to ensure your voice will be heard this election: https://t.co/W1S6QtdrHK</t>
  </si>
  <si>
    <t>1321485280487067655</t>
  </si>
  <si>
    <t>Senator Collins has changed. She no longer represents Maine people in Washington and now stands with big corporations, special interests, and Mitch McConnell. That’s why Mainers are ready for new leadership. #mepolitics https://t.co/u3FwLyfccl</t>
  </si>
  <si>
    <t>1321478798328692741</t>
  </si>
  <si>
    <t>On #NationalFirstRespondersDay, I want to say thank you to all of the brave Mainers who work tirelessly to keep our communities safe—especially during this pandemic. We are so grateful for all that you do.</t>
  </si>
  <si>
    <t>1321467315293167616</t>
  </si>
  <si>
    <t>It was so nice to meet you yesterday, @DrBiden! Together, we’re going to elect @JoeBiden and @KamalaHarris, win #MESen, and #FlipTheSenate. Now let’s go vote! #mepolitics https://t.co/nqRgbTxA9O</t>
  </si>
  <si>
    <t>1321456205613703171</t>
  </si>
  <si>
    <t>I've worked closely with Maine law enforcement to combat the opioid epidemic, and I’m proud to have the support of Sagadahoc County Sheriff Merry. I will continue to support our law enforcement and ensure they continue to have the resources they need. https://t.co/0IEfv2JH2V</t>
  </si>
  <si>
    <t>1321247531574190081</t>
  </si>
  <si>
    <t>The workers at BIW &amp;amp; Portsmouth Naval Shipyard are so important to our state, and I'm proud to have the support of the Maine State Council of Machinists this election. They need a senator who will stand up for them—not corporations. #mepolitics https://t.co/8TXdsgDr3h</t>
  </si>
  <si>
    <t>1321216290682511362</t>
  </si>
  <si>
    <t>Grab a friend and a face mask and help get out the vote! Sign up here: https://t.co/ZS65742v6W https://t.co/wVhEotHTfk</t>
  </si>
  <si>
    <t>1321206192622968833</t>
  </si>
  <si>
    <t>Early voting ends on Friday. Make a plan to visit your town clerk’s office to fill out your in-person early ballot—don’t forget to double check their hours and bring your mask! https://t.co/W1S6QtdrHK</t>
  </si>
  <si>
    <t>1321199033617207297</t>
  </si>
  <si>
    <t>Join us (and special musical guests!) on Friday in Cumberland for a drive-in rally and help our campaign get out the vote!
Bring your friends, snacks, &amp;amp; your mask and RSVP here: https://t.co/BbGUWToDvC #mepolitics</t>
  </si>
  <si>
    <t>1321164453711388677</t>
  </si>
  <si>
    <t>.@ColbyCollege is ready to go vote! Thank you to everyone who joined us yesterday to help get out the vote and make sure that students know everything they need to make their voices heard this election. Have voting questions? Head to https://t.co/Fech1Q0qWM. #mepolitics https://t.co/HEuaMT9j5g</t>
  </si>
  <si>
    <t>1321147729733689344</t>
  </si>
  <si>
    <t>.@SenSusanCollins might not regret her votes to confirm Trump's judicial nominees, threaten health care, and give a tax cut to the biggest corporations, but Mainers do. #mepolitics https://t.co/RGXNe6IBie</t>
  </si>
  <si>
    <t>1321118331399712770</t>
  </si>
  <si>
    <t>It’s our responsibility to care for Maine’s veterans. I spoke with staff from Preble Street’s Veterans Housing Services to learn more about the veteran homelessness crisis in Maine, and what needs to be done to give our veterans the support and resources they deserve. #mepolitics https://t.co/NDO7Vf1NC4</t>
  </si>
  <si>
    <t>1321105995997872128</t>
  </si>
  <si>
    <t>We’re just one week away from Election Day, and there is so much at stake this year. This race will determine who has control of the Senate, and we need everyone to work together to win. Make sure your voice is heard this election: https://t.co/Fech1Q0qWM #mepolitics https://t.co/idD4wO0FZj</t>
  </si>
  <si>
    <t>1321089394288320512</t>
  </si>
  <si>
    <t>This election is bigger than partisan politics. Our health care, reproductive rights, civil rights, and climate are at stake, and I’m honored to have the support of every Mainer who is ready for a senator who will finally put them first. #mepolitics https://t.co/FSdu4Rd943</t>
  </si>
  <si>
    <t>1321082028884922368</t>
  </si>
  <si>
    <t>MAINE: Election officials recommend that you return your absentee ballot TODAY if you’re voting by mail to ensure it’s received by 8pm on Election Day. Fill out your ballot, add postage, sign the envelope, and mail it back!  
Visit https://t.co/Fech1Q0qWM for more info. https://t.co/bgeb3KPbs9</t>
  </si>
  <si>
    <t>1320899885084876800</t>
  </si>
  <si>
    <t>This vacancy should have been filled by the next President and Senate. With the Supreme Court set to hear the case that threatens to overturn the Affordable Care Act in just over a week, I would have voted with Senator King against Amy Coney Barrett's confirmation. #mepolitics</t>
  </si>
  <si>
    <t>1320899883830792193</t>
  </si>
  <si>
    <t>Senator Collins' vote is nothing more than a political calculation.
Amy Coney Barrett has stated views that threaten Mainers' reproductive rights &amp;amp; health care—views that Sen. Collins was aware of when she voted to confirm her to the Seventh Circuit Court of Appeals. #mepolitics</t>
  </si>
  <si>
    <t>1320881446299586565</t>
  </si>
  <si>
    <t>Amy Coney Barrett's stance on the ACA was clear when Senator Collins voted to confirm her to the Seventh Circuit Court of Appeals. Senator Collins has voted for 181 of Trump's far-right, anti-health care judges and has put our health care in extreme jeopardy. #mepolitics</t>
  </si>
  <si>
    <t>1320858510670876674</t>
  </si>
  <si>
    <t>Senator Collins has voted to confirm 181 of Donald Trump and Mitch McConnell’s far-right, unqualified judicial nominees. She’s helped change the makeup of our courts for generations to come, and we can’t afford to have her in the Senate any longer. #mepolitics https://t.co/WiOWBllFfl</t>
  </si>
  <si>
    <t>1320841834457956353</t>
  </si>
  <si>
    <t>York turned out for our canvass launch yesterday! Talking to Maine voters about when and where to vote is how we will win this election in 8 days. #mepolitics https://t.co/uSCcjNzQ93</t>
  </si>
  <si>
    <t>1320822295909355520</t>
  </si>
  <si>
    <t>Still need to return your absentee ballot? Drop it off at your town clerk’s office to ensure it arrives in time for Election Day! Find your clerk’s address and hours: https://t.co/RNEI4Sdxyk</t>
  </si>
  <si>
    <t>1320810567481860096</t>
  </si>
  <si>
    <t>Thanks, Joe! Together, we're going to win back the White House and #FlipTheSenate. 
Mainers, head to https://t.co/W1S6QtdrHK to find all the info you need to vote early in-person by Friday. #mepolitics https://t.co/74HWt8bYES</t>
  </si>
  <si>
    <t>1320777307162841090</t>
  </si>
  <si>
    <t>After 24 years in Washington, it’s clear that Senator Collins has changed and now puts special interests and Mitch McConnell ahead of the people of Maine. Mainers deserve better leadership. #mepolitics https://t.co/4nh9sdwyNp</t>
  </si>
  <si>
    <t>1320757530935676929</t>
  </si>
  <si>
    <t>I proudly walked the picket line with BIW workers this summer and supported Local S6 throughout the contract negotiation process. Mainers like George deserve a leader who will stand with them—not corporations or special interests. #mepolitics https://t.co/lCLYldTavf</t>
  </si>
  <si>
    <t>1320733678411091968</t>
  </si>
  <si>
    <t>Maine voters: Friday is the last day to vote early in-person. Make a plan to head to your town clerk’s office and cast your ballot. #MESen #mepolitics
https://t.co/W1S6QtdrHK</t>
  </si>
  <si>
    <t>1320717582270418944</t>
  </si>
  <si>
    <t>Health care is on the ballot. #mepolitics</t>
  </si>
  <si>
    <t>1320534051669815297</t>
  </si>
  <si>
    <t>We had another great canvass launch in Lewiston yesterday! I’m so grateful for all the hard work from our volunteers all across the state. Together, we will win this election. #mepolitics https://t.co/RhqYZCHHGl</t>
  </si>
  <si>
    <t>1320511255757639680</t>
  </si>
  <si>
    <t>Susan Collins confirmed Amy Coney Barrett to a lifetime appointment on the 7th Circuit even though she called the ACA unconstitutional &amp;amp; Roe v. Wade "barbaric."
This vote is a political calculation—she's rubber-stamped 181 far-right nominees, including Amy Coney Barrett.</t>
  </si>
  <si>
    <t>1320488873848393728</t>
  </si>
  <si>
    <t>We had a perfect #SmallBusinessSaturday in Norway yesterday! Thank you to @cafenomad, Fare Share Food Co-op, Happi Chicks Bake Shop, The Tribune Books &amp;amp; Gifts, and Country Expressions for having me. #mepolitics https://t.co/kmtk0fWxm7</t>
  </si>
  <si>
    <t>1320453593233821696</t>
  </si>
  <si>
    <t>Over the past four years, Senator Collins has chosen to stand with Trump rather than Mainers. It’s time for new leadership in Washington. #mepolitics https://t.co/M77hYmpJQi</t>
  </si>
  <si>
    <t>1320445186653257729</t>
  </si>
  <si>
    <t>Senator Collins has enabled Donald Trump for too long, and it’s time for new leadership. We need a senator who will protect our health care, safeguard our democracy, and work to create an economy that works for everyone—which is exactly what I’ll do in the Senate. #mepolitics https://t.co/x14o8FNWFl</t>
  </si>
  <si>
    <t>1320421503591190531</t>
  </si>
  <si>
    <t>While Senator Collins may not want to be seen with Donald Trump in Maine today, her record is clear: She’s put Trump ahead of the people of Maine and has voted with him 94% of time. #mepolitics https://t.co/dhTQJNXNp6</t>
  </si>
  <si>
    <t>1320405816982253568</t>
  </si>
  <si>
    <t>Health care is on the ballot this year and the difference between my record and Senator Collins’ is clear: I’ve protected health care for Mainers, while Senator Collins has voted 12 times to jeopardize it. #mepolitics https://t.co/Key7bMWqRd</t>
  </si>
  <si>
    <t>1320391972134260736</t>
  </si>
  <si>
    <t>Thank you to everyone who joined me for a wonderful canvass launch in South Paris yesterday morning! We have 9 days left and must make every one of them count. Help us get out the vote: https://t.co/ZS65742v6W #mepolitics https://t.co/uTQDifeOnZ</t>
  </si>
  <si>
    <t>1320384164730949632</t>
  </si>
  <si>
    <t>Mainers like Tom are no longer supporting Susan Collins because they’re looking for a senator who will fight for them, not corporate special interests and partisan politics. #mepolitics https://t.co/fWUa5IwUWL</t>
  </si>
  <si>
    <t>1320120122707746816</t>
  </si>
  <si>
    <t>Susan Collins cast a deciding vote for Justice Kavanaugh—a vote she says she doesn’t regret. #mepolitics https://t.co/J4OJLnFUBD</t>
  </si>
  <si>
    <t>1320101636660932608</t>
  </si>
  <si>
    <t>Yesterday in Lewiston, I hosted another health care town hall to hear from Mainers about the importance of having quality, affordable health care. Our health care is at stake this election. #mepolitics https://t.co/deoxabzZ7C</t>
  </si>
  <si>
    <t>1320094209072943104</t>
  </si>
  <si>
    <t>I’ve brought Democrats, Republicans, and Independents together to deliver real results for Mainers, whether it’s been to combat the opioid crisis or provide COVID-19 relief to Maine families. #mepolitics https://t.co/RI156zM9Mz</t>
  </si>
  <si>
    <t>1320086550974287874</t>
  </si>
  <si>
    <t>I stopped by @LWShoes in Auburn yesterday, where I had the chance to talk with employees about supporting Maine’s businesses and workers, and also got to meet a future voter! #mepolitics https://t.co/Gcd8rgAPC9</t>
  </si>
  <si>
    <t>1320077419974361090</t>
  </si>
  <si>
    <t>Mainers deserve a senator who will take bold, immediate action on climate change to protect our environment, our heritage, and our future generations. It's what I've done as Speaker, and what I'll continue to do in the Senate. #mepolitics https://t.co/GpoQakvpnF</t>
  </si>
  <si>
    <t>1320064261645795331</t>
  </si>
  <si>
    <t>While Senator Collins has voted to jeopardize the ACA and undermine Mainers’ access to health care, I’ve worked to protect Mainers with pre-existing conditions and lower the cost of prescription drugs. That’s the kind of leadership Mainers deserve. https://t.co/52pDRkGShm</t>
  </si>
  <si>
    <t>1320056293084844032</t>
  </si>
  <si>
    <t>Health care is on the ballot this election. Read my Op-Ed on how I’ll fight to protect and expand Mainers’ access to health care:  https://t.co/OaI6Me0D56</t>
  </si>
  <si>
    <t>1320035133127348226</t>
  </si>
  <si>
    <t>Yesterday, I visited with USW Local 900 members at Nine Dragons Paper Mill in Rumford during their shift change. Mainers deserve a senator who will stand up for workers' rights, which is what I've done here in Maine and will continue to do in the Senate. #mepolitics https://t.co/UhZS3wCmn0</t>
  </si>
  <si>
    <t>1320011760242405377</t>
  </si>
  <si>
    <t>.@SenSusanCollins paved the way for the lawsuit that could overturn the ACA, stripping health care coverage from thousands of Mainers and millions of Americans—and she doesn’t even have a plan to replace it. #mepolitics https://t.co/wdDOVQ1NSf</t>
  </si>
  <si>
    <t>1319957307321585664</t>
  </si>
  <si>
    <t>MAINE: Several towns have extended early voting hours! Check if your town has Saturday voting hours here: https://t.co/5hSR5YoGlu</t>
  </si>
  <si>
    <t>1319797391583830016</t>
  </si>
  <si>
    <t>We had another great #SupperWithSara tonight! Thank you to everyone who joined us in Rumford. #mepolitics https://t.co/mIY0GidsXk</t>
  </si>
  <si>
    <t>1319769810331455490</t>
  </si>
  <si>
    <t>Susan Collins has voted 12 times to repeal or undermine the ACA &amp;amp; jeopardize Mainers’ access to health care. #mepolitics</t>
  </si>
  <si>
    <t>1319750438183469057</t>
  </si>
  <si>
    <t>Mainers are ready for a change. I’m so honored to have the support of labor unions, environmental organizations, pro-choice groups, and so many more, and on November 3, we’re going to defeat Senator Collins and put Maine first. #mepolitics https://t.co/b8dA6onnIj</t>
  </si>
  <si>
    <t>1319693021332434944</t>
  </si>
  <si>
    <t>Thank you so much for your support, @SMWLU17. Maine's workers deserve a senator who will finally put them first, which is exactly what I'll do. #mepolitics https://t.co/7ocElKVQyB</t>
  </si>
  <si>
    <t>1319663859725176834</t>
  </si>
  <si>
    <t>Across the state, a record number of Mainers have already made their voice heard this election. Make sure you return your absentee ballot if you’re voting by mail, or make a plan to vote if you haven’t already. #mepolitics https://t.co/XbObdOOZAH</t>
  </si>
  <si>
    <t>1319430716376162309</t>
  </si>
  <si>
    <t>Susan Collins cast key votes on bills that have put Mainers at risk—and she doesn't regret a single one. #mepolitics https://t.co/ZstMb46dkS</t>
  </si>
  <si>
    <t>1319429328711667719</t>
  </si>
  <si>
    <t>Despite Republican efforts to overturn the Affordable Care Act, there is no plan to replace it. We cannot afford to reelect Susan Collins and have Mitch McConnell as Majority Leader. #mepolitics https://t.co/tJvEPEx5hd</t>
  </si>
  <si>
    <t>1319427862169079809</t>
  </si>
  <si>
    <t>Standing up for Mainers all across this state is what we’re elected to do. It’s what I’ve always done, and I’ll continue to fight for all Mainers in the Senate. #mepolitics</t>
  </si>
  <si>
    <t>1319427821220003846</t>
  </si>
  <si>
    <t>It’s been six months since Senator Collins and the GOP have passed any additional aid for our state. Our communities need more help from the federal government. #mepolitics https://t.co/tfXUhPUvQu</t>
  </si>
  <si>
    <t>1319426188977242112</t>
  </si>
  <si>
    <t>We need fair immigration reform that welcomes immigrants to America and our communities safe. We need to fully reinstate DACA, guarantee a pathway to citizenship for DREAMers, and end inhumane policies like family separation at the border. #mepolitics</t>
  </si>
  <si>
    <t>1319426119075045377</t>
  </si>
  <si>
    <t>Susan Collins’ immigration record makes it clear—she stands with Donald Trump. #mepolitics https://t.co/W5nVQCxK2Q</t>
  </si>
  <si>
    <t>1319426057234190336</t>
  </si>
  <si>
    <t>Senator Collins cast the deciding vote in committee to let President Trump to raid military funds to build his wall, and she refuses to hold him accountable as he sows hatred and division in our country. #mepolitics</t>
  </si>
  <si>
    <t>1319425988887900160</t>
  </si>
  <si>
    <t>Senator Collins has voted 94% of the time with Donald Trump, and time and time again she is a key vote for Mitch McConnell and Republicans in the Senate. #mepolitics</t>
  </si>
  <si>
    <t>1319425757970616320</t>
  </si>
  <si>
    <t>After Senator Collins voted to give a nearly $2 trillion tax cut to big corporations and the wealthy, massive campaign contributions came pouring in from the same companies benefitting from the tax bill. That isn’t bipartisanship—it’s siding with special interests over Mainers.</t>
  </si>
  <si>
    <t>1319425633382993920</t>
  </si>
  <si>
    <t>Senator Collins claims she will protect the ACA, but her record tells a different story. #mepolitics https://t.co/RItDVuBQwO</t>
  </si>
  <si>
    <t>1319425026681176064</t>
  </si>
  <si>
    <t>For too long, politicians have been taking money from big pharma and doing their bidding in Washington, while Mainers are forced to make impossible choices to afford their medications. Maine deserves a senator who will put them—not special interests—first. #mepolitics</t>
  </si>
  <si>
    <t>1319424397770448896</t>
  </si>
  <si>
    <t>A public option would expand coverage and save Americans tens of billions of dollars each year. My health care plan would allow anyone who wants to buy into Medicare to do so, while preserving the choice for those who want their private insurance plan. #mepolitics</t>
  </si>
  <si>
    <t>1319424094379573249</t>
  </si>
  <si>
    <t>Senator Collins’ record on the Affordable Care Act is clear: 
She’s voted 12 times against this law that hundreds of thousands of Mainers rely on for coverage, and she’s the reason it could be overturned by the Supreme Court next month. #mepolitics https://t.co/UhzYiwmRhQ</t>
  </si>
  <si>
    <t>1319423931330273280</t>
  </si>
  <si>
    <t>Senator Collins and Senate Republicans do not have a health care plan. #mepolitics https://t.co/C7OXKml2Zj</t>
  </si>
  <si>
    <t>1319423837096808455</t>
  </si>
  <si>
    <t>Senator Collins has voted repeatedly to overturn the ACA &amp;amp; jeopardize coverage for thousands of Mainers–– without even having a health care plan of her own. My health care agenda calls for a public option to make coverage more affordable &amp;amp; accessible. That's what Mainers deserve.</t>
  </si>
  <si>
    <t>1319423614437949440</t>
  </si>
  <si>
    <t>As Senator Collins and Republicans in Washington have relentlessly attacked health care, I led the effort to protect Mainers with pre-existing conditions. My bill to codify key provisions of the ACA passed with overwhelming bipartisan support. #mepolitics</t>
  </si>
  <si>
    <t>1319423487182839808</t>
  </si>
  <si>
    <t>Whether it’s increasing funding for rural hospitals, capping the cost of insulin, or protecting Mainer’s with pre-existing conditions, I’ve fought for rural Mainers as Speaker and will keep fighting for them in the Senate. #mepolitics
https://t.co/LGUgilxiGx</t>
  </si>
  <si>
    <t>1319423432644317186</t>
  </si>
  <si>
    <t>Senator Collins twice voted to allow secret “pay-for-delay” deals to continue, enabling pharmaceutical companies to delay access to cheaper generic drugs and causing consumers to pay as much as 90% more for their medication. #mepolitics 
https://t.co/xusdFVrXLv</t>
  </si>
  <si>
    <t>1319423355628494849</t>
  </si>
  <si>
    <t>Instead of working to lower prescription drug costs, Senator Collins has accepted over $1.7 million from drug and insurance companies and voted twice against ending schemes that delay access to cheaper drugs. #mepolitics</t>
  </si>
  <si>
    <t>1319423271872462848</t>
  </si>
  <si>
    <t>Senator Collins’ record on health care is clear:
She stands with Trump, Republicans, and big drug companies—not Mainers. #mepolitics https://t.co/5G2FZgKa4P</t>
  </si>
  <si>
    <t>1319422609726017540</t>
  </si>
  <si>
    <t>I've run a campaign that's focused on the issues, but Senator Collins has chosen to rely on false personal attacks. While she continues to use her corporate PAC-funded campaign to pay for negative ads, I will remain focused on what matters to Mainers. #mepolitics</t>
  </si>
  <si>
    <t>1319421527025176577</t>
  </si>
  <si>
    <t>That's why I’ve released a comprehensive plan to get money out of politics. Read my Reform Agenda here: https://t.co/bTArn1GsRJ #mepolitics</t>
  </si>
  <si>
    <t>1319421525884370944</t>
  </si>
  <si>
    <t>Whether it's climate change or the cost of prescription drugs, you can look at the influence of big drug or oil companies and see why nothing is getting done in Washington. We need to get big money out of politics. #mepolitics</t>
  </si>
  <si>
    <t>1319420048075784193</t>
  </si>
  <si>
    <t>Susan Collins and Senate Republicans have failed to pass additional pandemic relief for six months, putting partisanship ahead of the people they represent. #mepolitics
https://t.co/NDqVKzrHMY</t>
  </si>
  <si>
    <t>1319419984741830662</t>
  </si>
  <si>
    <t>I’m proud of how we brought Democrats, Republicans, and Independents together to swiftly pass COVID relief when it first reached Maine—that's fighting for Maine families. #mepolitics https://t.co/eIOIAF2cFe</t>
  </si>
  <si>
    <t>1319419880861466628</t>
  </si>
  <si>
    <t>Experience only matters when you get things done. And unfortunately, that’s not what we’ve seen from Susan Collins and Mitch McConnell’s Washington. #mepolitics</t>
  </si>
  <si>
    <t>1319419037969940487</t>
  </si>
  <si>
    <t>As long as Susan Collins and Mitch McConnell are in the Senate, we will see no progress for Maine. #mepolitics https://t.co/uaCagwN4ED</t>
  </si>
  <si>
    <t>1319418573312434177</t>
  </si>
  <si>
    <t>Improving our state's infrastructure—from roads and bridges to broadband—is key to driving economic development. That's why in the State House, I led efforts to invest in Maine’s infrastructure and transportation systems. #mepolitics</t>
  </si>
  <si>
    <t>1319418495814295556</t>
  </si>
  <si>
    <t>Senator Collins has been in Washington for 24 years and has failed to improve broadband infrastructure in Maine’s rural communities. COVID-19 has underscored the importance of reliable internet access, and we need a senator who will finally deliver results for Maine. #mepolitics</t>
  </si>
  <si>
    <t>1319418369502777345</t>
  </si>
  <si>
    <t>Republicans in Washington have done little to expand rural broadband. Instead, Senator Collins' deciding vote for the GOP tax bill gave billions in tax breaks to telecommunications giants like Charter Communications, Verizon, and T-Mobile. #mepolitics https://t.co/YUm2rNaXHC</t>
  </si>
  <si>
    <t>1319417683213996037</t>
  </si>
  <si>
    <t>The cost of higher education is a barrier for too many talented and bright young people who want to further their education. That’s unacceptable. In the Senate, I will address our student debt crisis. #mepolitics</t>
  </si>
  <si>
    <t>1319417581233647617</t>
  </si>
  <si>
    <t>We need to make sure everyone has access to higher and vocational education. That’s why as Speaker, I passed legislation to help Maine families afford technical training or educational programs. #mepolitics</t>
  </si>
  <si>
    <t>1319417474576678912</t>
  </si>
  <si>
    <t>While I've worked to make higher education—whether a four-year, two-year, or vocational degree—more affordable, Senator Collins has voted against holding for-profit colleges accountable for taking advantage of students. #mepolitics https://t.co/e39Xg8RCiF</t>
  </si>
  <si>
    <t>1319417323632140288</t>
  </si>
  <si>
    <t>Senator Collins cast the deciding vote to advance Betsy DeVos in committee, enabling Trump’s attacks on public education, and she has repeatedly voted against legislation to make college more affordable for students. #mepolitics https://t.co/DZbbu6jodc</t>
  </si>
  <si>
    <t>1319415309627949056</t>
  </si>
  <si>
    <t>In order to make any progress, we have to make sure that Mitch McConnell is no longer Majority Leader. A vote for Senator Collins is a vote for Mitch McConnell, and it means we won’t take action on health care, the cost of prescription drugs or our changing climate. #mepolitics</t>
  </si>
  <si>
    <t>1319415193697386496</t>
  </si>
  <si>
    <t>Any progress we have made here in Maine—from protecting health care to lowering the cost of prescription drugs—required bringing Republicans, Democrats and Independents together. I know how to work across the aisle to get things done for Mainers. #mepolitics</t>
  </si>
  <si>
    <t>1319414715706150912</t>
  </si>
  <si>
    <t>Maine needs leadership from the federal government. But Senator Collins has again sided with Trump &amp;amp; McConnell and for six months and has failed to pass any aid for state &amp;amp; local governments. #mepolitics</t>
  </si>
  <si>
    <t>1319414416924938240</t>
  </si>
  <si>
    <t>As long as Senator Collins is in the Senate, Mitch McConnell will remain Majority Leader—and nothing will get done for Maine. #mepolitics</t>
  </si>
  <si>
    <t>1319399289458655235</t>
  </si>
  <si>
    <t>So grateful for this team, who came out in full force ahead of tonight’s debate. 12 more days until we win this thing! #mepolitics https://t.co/f9dBmnh9pp</t>
  </si>
  <si>
    <t>1319372018765234176</t>
  </si>
  <si>
    <t>There are only 2 weekends left to volunteer with our campaign! This race is still a toss-up and it will all come down to making sure we get out the vote. Sign up here for a volunteer shift: https://t.co/ZS65742v6W https://t.co/kep4Zwsn3O</t>
  </si>
  <si>
    <t>1319349030846140418</t>
  </si>
  <si>
    <t>Roe v. Wade is in jeopardy as Republicans continue to pack the courts with anti-choice judges. I’ll fight to protect and expand reproductive health care and defend our rights—just like I’ve done here in Maine. #mepolitics  https://t.co/Ke91s1FwEX</t>
  </si>
  <si>
    <t>1319328366391103490</t>
  </si>
  <si>
    <t>Congratulations on a safe and successful mission, @Astro_SEAL! #mepolitics https://t.co/feeVHQYYNR</t>
  </si>
  <si>
    <t>1319306374711562241</t>
  </si>
  <si>
    <t>We must defeat Senator Collins. #mepolitics https://t.co/zyl0VPKNNA</t>
  </si>
  <si>
    <t>1319300493068423179</t>
  </si>
  <si>
    <t>Watch the fourth #MESen general election debate TONIGHT at 7 pm ET. Tune in here: https://t.co/HVf8jnu0eW #mepolitics https://t.co/wwUvEbUzI9</t>
  </si>
  <si>
    <t>1319286037474996228</t>
  </si>
  <si>
    <t>Health care is on the ballot this election—especially for Mainers in rural communities. As senator, I will work to support our rural hospitals &amp;amp; health care providers and expand access to high quality, affordable care across Maine. #mepolitics https://t.co/CRgVzL253f</t>
  </si>
  <si>
    <t>1319266875319123968</t>
  </si>
  <si>
    <t>I spent time Downeast last week visiting with Mainers and discussing important issues like protecting our health care, supporting small businesses, and fighting the opioid epidemic. Check out some of the highlights from our trip! #mepolitics https://t.co/0ld0DEGHg3</t>
  </si>
  <si>
    <t>1319064330676113408</t>
  </si>
  <si>
    <t>I’m so grateful for the opportunity to visit Crossroads Recovery Center and hear about their treatment programs for women in Cumberland County. There is still work to be done to tackle the opioid epidemic, and I'll continue that fight in the Senate. #mepolitics https://t.co/aQR5bVewuS</t>
  </si>
  <si>
    <t>1319047649899745280</t>
  </si>
  <si>
    <t>Make sure you have all the gear you need for Election Day! Order your campaign merch by tomorrow in order to ensure delivery before November 3: https://t.co/3V4VpoAeAZ</t>
  </si>
  <si>
    <t>1319011101321854981</t>
  </si>
  <si>
    <t>Six months without any coronavirus aid—Maine's families and communities need relief.
Reelecting Susan Collins means ensuring McConnell remains in control of the Senate—and we won't make any progress tackling the challenges Mainers face. #mepolitics https://t.co/UGoDuXubv6</t>
  </si>
  <si>
    <t>1318991776275902467</t>
  </si>
  <si>
    <t>I’m proud of the work we’ve done in Maine to protect &amp;amp; expand access to reproductive health care, and Mainers need that kind of leadership in the Senate. Thank you to the patients &amp;amp; advocates who joined me today to discuss what must be done to protect Mainers' reproductive care. https://t.co/hj6TJ9BAwF</t>
  </si>
  <si>
    <t>1318977232271003648</t>
  </si>
  <si>
    <t>As Speaker, I've 
✅ Passed protections for Mainers with pre-existing conditions
✅ Capped the cost of insulin
✅ Banned surprise medical billing
Meanwhile, Senator Collins has voted 12 times to repeal or undermine the ACA, jeopardizing Mainers' health care. #mepolitics</t>
  </si>
  <si>
    <t>1318958773004832770</t>
  </si>
  <si>
    <t>It’s time to return your ballot, Maine! https://t.co/Fech1Q0qWM https://t.co/HtvBUcBi2I</t>
  </si>
  <si>
    <t>1318941140205305860</t>
  </si>
  <si>
    <t>Senator Collins has changed since she first went to Washington. She’s repeatedly broken her promises to Mainers and failed to demonstrate the kind of leadership we deserve. It’s time for a change. #mepolitics https://t.co/bOfit0yy58</t>
  </si>
  <si>
    <t>1318925797596532740</t>
  </si>
  <si>
    <t>I visited small businesses in Biddeford, including @LorneWine, @BandedBrewingCo, and @ElementsBkCoBe. Maine’s small businesses are still hurting from the impact of the pandemic, which is why they deserve a senator who will fight for them—not big corporations—in the Senate. https://t.co/uO9f7IgLbs</t>
  </si>
  <si>
    <t>1318917229065441282</t>
  </si>
  <si>
    <t>Many know Tim Sample as a newsman and "Maine humorist," but he's also a leukemia survivor. I'm proud to have his support, and I will continue to fight to protect our health care in the Senate. #mepolitics https://t.co/XN9e2XJMcm</t>
  </si>
  <si>
    <t>1318716167385763845</t>
  </si>
  <si>
    <t>We had an excellent 38th #SupperWithSara in Scarborough tonight! Thank you to everyone who joined. #mepolitics https://t.co/8qu1bmEiES</t>
  </si>
  <si>
    <t>1318670628480843778</t>
  </si>
  <si>
    <t>There is still so much work to do to combat the opioid crisis here in Maine and across the country. I will continue to support the recovery community and families affected by this epidemic. #mepolitics https://t.co/OprcwsQkq9</t>
  </si>
  <si>
    <t>1318656700082245642</t>
  </si>
  <si>
    <t>The election is two weeks away, and it’s time to make sure you have a plan to vote. With so much at stake this year,  ensure your voice is heard: https://t.co/Fech1Q0qWM #mepolitics</t>
  </si>
  <si>
    <t>1318594574365884419</t>
  </si>
  <si>
    <t>If the Supreme Court overturns the ACA, over 100,000 Mainers could lose access to health care. That lawsuit wouldn’t be possible without Susan Collins. Health care is on the ballot. #mepolitics https://t.co/3VYaECfT4E</t>
  </si>
  <si>
    <t>1318571045318762496</t>
  </si>
  <si>
    <t>Happy birthday, @KamalaHarris! I can’t wait to see you become the first woman Vice President.</t>
  </si>
  <si>
    <t>1318542202126192641</t>
  </si>
  <si>
    <t>Senator Collins has voted repeatedly to repeal the ACA and threaten Social Security and Medicare—and she's confirmed 181 Trump judges, including many opposed to health care. That’s why Mainers like Cindy and Don are ready for new leadership this November. #mepolitics https://t.co/tcI4mcAh8h</t>
  </si>
  <si>
    <t>1318344144729800708</t>
  </si>
  <si>
    <t>We held our 37th #SupperWithSara in Hampden on Saturday—I’m so grateful for everyone who came out to join us in Penobscot County and asked their questions about the issues that matter most to them. #mepolitics https://t.co/2FLFIyVDXD</t>
  </si>
  <si>
    <t>1318335117912276993</t>
  </si>
  <si>
    <t>Vice President Pence was in Hermon today, pushing the Trump-Pence administration’s right-wing agenda in Maine to boost support for Senator Collins. His visit begs the question: @SenSusanCollins, will you be voting for Trump and Pence this election? #mepolitics</t>
  </si>
  <si>
    <t>1318325287088697345</t>
  </si>
  <si>
    <t>It’s time to return your absentee ballot, Maine! Fill it out (don’t forget to sign the envelope!) and send it back as soon as possible. You can drop it off in person at your town clerk’s office, or you can mail it back with proper postage. #mepolitics https://t.co/QekJy0KOEh</t>
  </si>
  <si>
    <t>1318291080887009281</t>
  </si>
  <si>
    <t>Remember, you can still register to vote in person any time that your town office or city hall is open, or in-person at the polls on Election Day. #mepolitics https://t.co/U23GZTmPgf</t>
  </si>
  <si>
    <t>1318291079519752194</t>
  </si>
  <si>
    <t>MAINE: If you planned to register to vote by mail, today is the last day to turn in your registration! If it’s not already in the mail, make sure to drop it off at your town clerk or the Division of Elections in Augusta by the end of the day. #mepolitics</t>
  </si>
  <si>
    <t>1318249752207785984</t>
  </si>
  <si>
    <t>Mainers like Margaret are tired of Senator Collins’ broken promises. They deserve a senator who will put them—not special interests or Mitch McConnell—first. #mepolitics https://t.co/2e05waD73Q</t>
  </si>
  <si>
    <t>1318232940883726339</t>
  </si>
  <si>
    <t>Thank you to everyone at Bucksport Regional Health Center for the incredible care they are providing Mainers in the face of COVID-19. I toured their facility and heard more about how we can improve access to quality care for Mainers across the state. #mepolitics https://t.co/f5fpSgaUyt</t>
  </si>
  <si>
    <t>1318206628844404736</t>
  </si>
  <si>
    <t>I continued my Health Care is on the Ballot tour in Ellsworth, where I sat down with providers to discuss the challenges of ensuring access to affordable health care for Mainers in rural areas. #mepolitics https://t.co/heUjYkDJxX</t>
  </si>
  <si>
    <t>1318191124054421504</t>
  </si>
  <si>
    <t>This election will determine who controls the Senate. 
In order to continue to get things done for Mainers–and elect a Senate that will move our country forward—we need to win this race. 
I am proud to have @BarackObama's support in this fight. #mepolitics https://t.co/cVdC0koPlq</t>
  </si>
  <si>
    <t>1318173152413995008</t>
  </si>
  <si>
    <t>These shipbuilders at Bath Iron Works are tired of Senator Collins’ broken promises, and they’re ready for a senator who will put them first. I was proud to stand with the workers at BIW, and I will fight for them in the Senate. #mepolitics https://t.co/JqGMqAgqyC</t>
  </si>
  <si>
    <t>1318156294956716032</t>
  </si>
  <si>
    <t>Have you received an absentee ballot? Don't forget to fill it out and send it back! For more info: https://t.co/Fech1Q0qWM #mepolitics</t>
  </si>
  <si>
    <t>1317921865738915840</t>
  </si>
  <si>
    <t>Health care is on the ballot this year, and Mainers deserve a senator who will work to protect public health and access to quality, affordable care. #mepolitics https://t.co/S5KFasYHdv</t>
  </si>
  <si>
    <t>1317911884461494280</t>
  </si>
  <si>
    <t>Trump’s trade wars have hurt Mainers who work in our lobster industry, like those at @Lobster207sales in Lamoine. Maine’s lobster industry is so important to our state, and I will fight for our fishermen in the Senate like I’ve done in the state legislature. #mepolitics https://t.co/amAoEBFJlx</t>
  </si>
  <si>
    <t>1317869414298124288</t>
  </si>
  <si>
    <t>48 years ago today, the Clean Water Act became law. While the Trump administration has overturned critical environmental regulations and put our water &amp;amp; air quality at risk, I will work to protect clean water and air for Mainers in the Senate. #mepolitics https://t.co/TggWB9piig</t>
  </si>
  <si>
    <t>1317601327548162054</t>
  </si>
  <si>
    <t>Are you waiting for your ballot to arrive? Are you trying to confirm your ballot has been counted? Head to https://t.co/TPKRkJlHwi to check your ballot status and ensure that your voice is heard this election. #mepolitics</t>
  </si>
  <si>
    <t>1317582410234712065</t>
  </si>
  <si>
    <t>I visited Lubec Brewery on Friday and heard about the challenges they’ve faced during COVID-19. I will fight to support small businesses and Maine’s breweries, just like I’ve done in the State House. #mepolitics https://t.co/LRtqOzjwgE</t>
  </si>
  <si>
    <t>1317569786876989455</t>
  </si>
  <si>
    <t>BIW workers like John, who’s supported Senator Collins in the past, are ready for a senator who will put them—not big corporations or special interests—first. #mepolitics https://t.co/pKvtukaYcu</t>
  </si>
  <si>
    <t>1317547370008248320</t>
  </si>
  <si>
    <t>It was great to be back in Washington County for our #SupperWithSara last night in Perry. Mainers deserve a senator who listens to them and puts their interests—not the special interests—first. #mepolitics https://t.co/A3wzQHA68b</t>
  </si>
  <si>
    <t>1317527241056727040</t>
  </si>
  <si>
    <t>Susan Collins broke her promise to Mainers. She failed to protect our health care. She failed to protect our reproductive rights. She failed to hold Trump accountable. 
Now, Mainers are ready for a change. #mepolitics https://t.co/PuDiHsmfCa</t>
  </si>
  <si>
    <t>1317514793809551365</t>
  </si>
  <si>
    <t>Maine students, teachers, and families deserve better leadership. In the Senate, I will always fight to put Mainers first. #mepolitics</t>
  </si>
  <si>
    <t>1317514792547045376</t>
  </si>
  <si>
    <t>Betsy DeVos’ confirmation wouldn’t have been possible without Senator Collins, who cast the deciding vote to pave the way for her confirmation. Senator Collins has enabled this administration’s attacks on public education. #mepolitics</t>
  </si>
  <si>
    <t>1317514791322292224</t>
  </si>
  <si>
    <t>In 1979, the Department of Education was created to support our students, educators, and schools—and to ensure that future generations were given opportunities to get ahead.
But the Trump administration and Secretary Betsy DeVos are failing our students. #mepolitics</t>
  </si>
  <si>
    <t>1317494029488193538</t>
  </si>
  <si>
    <t>After serving our country, Maine’s veterans deserve a senator who will fight for them. I’m so grateful to have the support of the members of #VeteransForSara this election. #mepolitics https://t.co/vfWu34rK94</t>
  </si>
  <si>
    <t>1317482545357967360</t>
  </si>
  <si>
    <t>I’ve fought hard for Maine’s veterans during my time in the State House, and I will keep fighting for them in the Senate. #VeteransForSara #mepolitics https://t.co/ybx06eiMyX</t>
  </si>
  <si>
    <t>1317466114134282240</t>
  </si>
  <si>
    <t>I’m honored to have the support of over 260 Maine veterans. As Speaker, I’ve worked to improve veterans’ health care, mental health services, and job training opportunities, and I will keep fighting for those who’ve served our country. #VeteransforSara https://t.co/jCAcA788CW</t>
  </si>
  <si>
    <t>1317233276629749762</t>
  </si>
  <si>
    <t>Attention Portland voters—there's a new 24/7 dropbox at City Hall! Don't forget to cast your vote and drop off your absentee ballot as soon as you can. #mepolitics https://t.co/0SGNyYzx2k</t>
  </si>
  <si>
    <t>1317203436140711937</t>
  </si>
  <si>
    <t>While Senator Collins has voted multiple times to jeopardize the ACA, Medicare, and Social Security, I’ve worked to protect and expand access to health care. That’s the kind of senator Mainers deserve to have. #mepolitics</t>
  </si>
  <si>
    <t>1317152203962974209</t>
  </si>
  <si>
    <t>Mainers deserve a leader who will listen to and fight for them every day. Whether it was on the town council or as Speaker, I’ve always worked to deliver real results for Maine families, and it’s what I’ll do in the Senate. #mepolitics https://t.co/OhZEQNZFpg</t>
  </si>
  <si>
    <t>1317118001548791810</t>
  </si>
  <si>
    <t>For Mainers like Dave, access to health care is critical. Health care is on the ballot in this election, and Mainers deserve a senator who will protect—not repeatedly vote to jeopardize—our coverage and access to care. #mepolitics https://t.co/8A4s8aRuWL</t>
  </si>
  <si>
    <t>1316914810903199749</t>
  </si>
  <si>
    <t>Trump and Senate Republicans—including Senator Collins—have made it their mission to repeal the ACA and gut protections for pre-existing conditions, and they have no health care plan to replace it. 
Mainers deserve a senator who will protect their health care. #mepolitics https://t.co/PXQbDQqcOf</t>
  </si>
  <si>
    <t>1316906062088384512</t>
  </si>
  <si>
    <t>Health care is on the ballot this election. Mainers are tired of Senator Collins’ broken promises and failed leadership, and they’re ready for a senator who will fight to protect and expand their health care. 
Help us win this race: https://t.co/COv597v6kD #mepolitics</t>
  </si>
  <si>
    <t>1316905777433616384</t>
  </si>
  <si>
    <t>1316904033672638464</t>
  </si>
  <si>
    <t>Senator Susan Collins has voted for more than a dozen of Trump’s unqualified, anti-environment nominees, many of whom deny the basic science of climate change. #mepolitics https://t.co/D2BwbzGnwP</t>
  </si>
  <si>
    <t>1316903666792751105</t>
  </si>
  <si>
    <t>I passed the most aggressive goals to reduce carbon emissions and expand renewable energy in Maine’s history. In my Climate Agenda, I've laid out my plan to bring the same bold leadership on climate to the Senate. #mepolitics https://t.co/h2kv0zuZwZ</t>
  </si>
  <si>
    <t>1316903572320169985</t>
  </si>
  <si>
    <t>We must take bold and immediate action on climate change in order to protect our beautiful woods and waters, natural resources, and traditional Maine industries for generations to come. #mepolitics https://t.co/TggWB9piig</t>
  </si>
  <si>
    <t>1316902390474440704</t>
  </si>
  <si>
    <t>Leadership matters. That’s why I keep asking Susan Collins who she is voting for. #mepolitics</t>
  </si>
  <si>
    <t>1316902337437421568</t>
  </si>
  <si>
    <t>The United States must restore our position of global leadership. In the Senate, I will ensure we rebuild our relationships with our allies, and consult with national security and military experts to promote what’s in the best interests of our country. #mepolitics</t>
  </si>
  <si>
    <t>1316902060147736578</t>
  </si>
  <si>
    <t>President Trump has done long-term damage to the U.S. and our allies—walking away from the Paris Climate Agreement, dismantling the Iran Nuclear Deal, and befriending dictators around the world. But Senator Collins has stood by and refused to hold him accountable. #mepolitics</t>
  </si>
  <si>
    <t>1316901929772044288</t>
  </si>
  <si>
    <t>It’s been FIVE months since we’ve seen additional relief from Washington. Stop deflecting, @SenSusanCollins. #mepolitics https://t.co/pIUBM9L25y</t>
  </si>
  <si>
    <t>1316900262381051906</t>
  </si>
  <si>
    <t>Senator Collins has resorted to baseless claims to cover up her record of voting repeatedly to strip Mainers of their health care. My health care plan focuses on bolstering rural hospitals that have been failed by Washington time and time again. #mepolitics</t>
  </si>
  <si>
    <t>1316899713082400769</t>
  </si>
  <si>
    <t>.@SenSusanCollins said it best herself: She's spent years working to overturn or undermine the ACA—and she’s proud of it. #mepolitics https://t.co/00EQisgxyM</t>
  </si>
  <si>
    <t>1316899056271196166</t>
  </si>
  <si>
    <t>In Washington, we need to know that we have someone who will fight to expand and protect health care. Mitch McConnell and Susan Collins have no plan to do that. #mepolitics https://t.co/J3V75Q6Bk7</t>
  </si>
  <si>
    <t>1316898936100147200</t>
  </si>
  <si>
    <t>Senator Collins used to say that access to affordable health care was one of her “top priorities."
Now, she’s taken over $1.7 million from drug and insurance companies and voted repeatedly to repeal the ACA &amp;amp; gut pre-existing conditions protections.
She’s changed. #mepolitics https://t.co/VYybRHS05w</t>
  </si>
  <si>
    <t>1316898655635492866</t>
  </si>
  <si>
    <t>My health care plan would bolster health care in rural areas, expand coverage to more Mainers, and preserve choice for those who prefer to stay on their private insurance plan. Read more here: https://t.co/EJTs0jBdke #mepolitics</t>
  </si>
  <si>
    <t>1316898226470064128</t>
  </si>
  <si>
    <t>It’s been FIVE months since we’ve seen additional relief from Washington. @SenSusanCollins—you are deflecting on the job that's not being done. #mepolitics</t>
  </si>
  <si>
    <t>1316897676143853569</t>
  </si>
  <si>
    <t>In a pandemic, leadership matters more than anything. Mainers deserve to know who Senator Collins thinks should be leading this country. #mepolitics</t>
  </si>
  <si>
    <t>1316897608971976709</t>
  </si>
  <si>
    <t>I brought Democrats, Republicans, and Independents together as soon as COVID-19 hit Maine to ensure our families and communities had the resources they needed to navigate this crisis. #mepolitics https://t.co/eIOIAF2cFe</t>
  </si>
  <si>
    <t>1316897175331360771</t>
  </si>
  <si>
    <t>Maine has one of the lowest COVID rates in the country. I’m proud of the work we’ve done in the legislature to address the pandemic and how we’ve—unlike the Trump administration—made public health a priority. #mepolitics</t>
  </si>
  <si>
    <t>1316896482579173376</t>
  </si>
  <si>
    <t>Republicans in Washington—including Susan Collins—need to stop dragging their feet and get to work on aid that will actually prioritize Mainers, not special interests. #mepolitics</t>
  </si>
  <si>
    <t>1316896142999904257</t>
  </si>
  <si>
    <t>It has been *FIVE MONTHS* since the Senate has passed any coronavirus aid. States, municipalities, and tribal governments are making terrible decisions about what services to cut. We need better leadership in Washington. #mepolitics</t>
  </si>
  <si>
    <t>1316895968084852737</t>
  </si>
  <si>
    <t>When COVID-19 first reached Maine, I brought Democrats, Republicans, and Independents together to swiftly pass relief for Mainers. Meanwhile, Senate Republicans—including Senator Collins—have failed to pass additional relief for our struggling communities. #mepolitics https://t.co/3qu3TeAs5J</t>
  </si>
  <si>
    <t>1316895641428217856</t>
  </si>
  <si>
    <t>Senator Collins went out of her way to add a loophole to her Paycheck Protection Program that gave up to $1 billion in small business relief to national hotel companies—while many small businesses and hardworking Mainers struggled to access relief funds. https://t.co/aSpkZDUrtf</t>
  </si>
  <si>
    <t>1316893633015140352</t>
  </si>
  <si>
    <t>Susan Collins and Senate Republicans have been stacking the courts with far-right judges. The best way for us to restore an independent judiciary is to flip the Senate and take control away from Mitch McConnell. #mepolitics</t>
  </si>
  <si>
    <t>1316893419713810434</t>
  </si>
  <si>
    <t>Senator Collins has voted to confirm 181 of Donald Trump’s far-right, unqualified judicial nominees—including Leonard Stephen Grasz, Gregory Katsas, and Jonathan Kobes, all of whom support overturning the ACA and reversing Roe. #mepolitics</t>
  </si>
  <si>
    <t>1316893119338713088</t>
  </si>
  <si>
    <t>Donald Trump and Senate Republicans are jamming this nomination through so that they can take away your health care. And none of this would have been possible without Senator Collins’ votes to put the ACA at risk and stack the courts with right-wing judges. #mepolitics</t>
  </si>
  <si>
    <t>1316892884570787840</t>
  </si>
  <si>
    <t>We’ve seen a concerted effort by Mitch McConnell to change the face of the judiciary, and he’s relied on Senator Collins’ vote to stack the federal bench with far-right, unqualified judges. #mepolitics</t>
  </si>
  <si>
    <t>1316892801154617344</t>
  </si>
  <si>
    <t>Let's be clear—we would not be in this position if not for Senator Collins' votes to confirm Trump and McConnell's unqualified nominees to the bench. #mepolitics https://t.co/MraIKUOzYP</t>
  </si>
  <si>
    <t>1316880498560503808</t>
  </si>
  <si>
    <t>So grateful for @TeamGideon2020 and everyone who came out to support our campaign before tonight’s #MESen debate! #mepolitics https://t.co/d2FFRk71qH</t>
  </si>
  <si>
    <t>1316852743399706624</t>
  </si>
  <si>
    <t>Tune in to the third #MESen debate tonight at 8pm ET. You can watch it here: https://t.co/HVf8jnu0eW</t>
  </si>
  <si>
    <t>1316837674376986625</t>
  </si>
  <si>
    <t>It’s time to mail back your absentee ballot if you’re voting by mail this election. Find all the voting information you need: https://t.co/Fech1Q0qWM</t>
  </si>
  <si>
    <t>1316798443105509376</t>
  </si>
  <si>
    <t>Before tonight’s debate, 200 Mainers have a question for @SenSusanCollins: After voting with Donald Trump 94% of the time, will you be casting your vote for him for president? 
https://t.co/HiniGTVCm8 #mepolitics</t>
  </si>
  <si>
    <t>1316775431580856320</t>
  </si>
  <si>
    <t>Mainers are troubled that Susan Collins voted 7 times to gut protections for pre-existing conditions. 
They're concerned she will vote to keep Mitch McConnell in charge.
They're disappointed she's voted with Trump 94% of the time. 
Mainers are ready for a change. #mepolitics https://t.co/nOGNV3h89c</t>
  </si>
  <si>
    <t>1316760019782823936</t>
  </si>
  <si>
    <t>Don’t forget: The third #MESen debate is tonight at 8pm ET. Text DEBATE to 67400 to receive live updates from our campaign. #mepolitics https://t.co/NT8J3AAE06</t>
  </si>
  <si>
    <t>1316746387816624129</t>
  </si>
  <si>
    <t>We wouldn’t be in this situation if it wasn’t for Susan Collins. Health care is on the ballot. #mepolitics https://t.co/KzpzSGJg4v</t>
  </si>
  <si>
    <t>1316732624753299457</t>
  </si>
  <si>
    <t>“We didn’t receive the help that we wanted from Senator Collins.” - David Sullivan, Grand Lodge Representative for the Machinists Union
BIW workers deserve a senator who will stand up for them, which is exactly what I’ll do in the Senate. #mepolitics https://t.co/AVGjkxnUrV</t>
  </si>
  <si>
    <t>1316526635374587905</t>
  </si>
  <si>
    <t>I've worked with Democrats, Republicans, and Independents to improve Mainers' access to quality, affordable health care—whether by supporting rural hospitals, expanding Medicaid, or lowering the cost of prescription drugs. #mepolitics https://t.co/v6ZzxstC9T</t>
  </si>
  <si>
    <t>1316507429631340546</t>
  </si>
  <si>
    <t>Today, I hosted a “Health Care is on the Ballot” town hall in Westbrook, where I heard from Mainers that they’re worried about the future of health care. Health care is on the ballot, and I will continue to fight so that everyone has access to the care they deserve. #mepolitics https://t.co/TvqMhMnMon</t>
  </si>
  <si>
    <t>1316440438698659842</t>
  </si>
  <si>
    <t>I’ve worked to address the opioid epidemic head on as Speaker, and earlier this week, I visited Milestone Recovery in Portland to hear about their work to help those with substance use disorder. In the Senate, I’ll keep fighting to support the recovery community. #mepolitics https://t.co/VRMToNuFO5</t>
  </si>
  <si>
    <t>1316419935682297859</t>
  </si>
  <si>
    <t>The Supreme Court begins hearing oral arguments in the case to overturn the ACA the week after Election Day, a lawsuit made possible by Senator Collins’ vote for the GOP tax bill.
Make no mistake—this year, health care is on the ballot. #mepolitics https://t.co/A7CetVgYpS</t>
  </si>
  <si>
    <t>1316408316139102211</t>
  </si>
  <si>
    <t>Senator Collins has voted with Trump 94% of the time, confirmed 181 of his judicial nominees, and has repeatedly failed to hold him accountable for his actions. Senator Collins is an enabler, and Mainers deserve better leadership from their senator. #mepolitics https://t.co/MQ28SOJsaA</t>
  </si>
  <si>
    <t>1316383924189376514</t>
  </si>
  <si>
    <t>Today, I proudly cast my ballot in the #MESen election and for Joe Biden. It’s time for Mainers to finally have a senator and president who will put them—not special interests—first. 
Make sure you get out and vote. Find the info you need at https://t.co/Fech1Q0qWM. https://t.co/A4PfMZHVHG</t>
  </si>
  <si>
    <t>1316161265761427457</t>
  </si>
  <si>
    <t>The third #MESen general election debate is this Thursday at 8 pm ET. Sign up to receive debate updates by texting DEBATE to 67400. #mepolitics https://t.co/pKALtMVOpe</t>
  </si>
  <si>
    <t>1316138460508499969</t>
  </si>
  <si>
    <t>Happy 245th birthday, @USNavy! Mainers at Bath Iron Works and Portsmouth Naval Shipyard work to ensure our Navy has the finest warships and vessels in the world, and in the Senate, I will always support our troops and shipbuilders. #mepolitics</t>
  </si>
  <si>
    <t>1316108837762539520</t>
  </si>
  <si>
    <t>We must protect the ACA, Medicare, and Social Security—but Senator Collins has voted to jeopardize all three. #mepolitics https://t.co/GZ82KPjdva</t>
  </si>
  <si>
    <t>1316089051636736005</t>
  </si>
  <si>
    <t>Reproductive health care is on the ballot this year. 
I will fight to protect and expand our reproductive rights—just like I’ve done here in Maine. #mepolitics https://t.co/L5FnAzUl04</t>
  </si>
  <si>
    <t>1316055514917330944</t>
  </si>
  <si>
    <t>The only health care plan that Republicans—including Senator Collins—have is to repeal the Affordable Care Act in the middle of a global pandemic. #mepolitics 
https://t.co/SpBafneT2U</t>
  </si>
  <si>
    <t>1316043059893862406</t>
  </si>
  <si>
    <t>The Supreme Court could overturn the ACA in the case that wouldn't have been possible without Senator Collins' vote for the Trump tax bill—and she has no plan to replace it. #mepolitics https://t.co/IOvJfn1wJY</t>
  </si>
  <si>
    <t>1316033971474624513</t>
  </si>
  <si>
    <t>We can’t afford to have Senator Collins confirm any more of Trump and McConnell’s far-right, unqualified judicial nominees. We have to defeat her in November. #mepolitics</t>
  </si>
  <si>
    <t>1316033969775837187</t>
  </si>
  <si>
    <t>Meet Judge Jonathan Kobes, who was 𝙪𝙣𝙖𝙣𝙞𝙢𝙤𝙪𝙨𝙡𝙮 rated “not qualified” by the American Bar Association. 
Senator Collins voted to confirm him anyway. #mepolitics https://t.co/bwF5sdqEnC</t>
  </si>
  <si>
    <t>1316033964293984256</t>
  </si>
  <si>
    <t>Meet Judge Gregory Katsas—a lead prosecutor in lawsuits to overturn the Affordable Care Act, jeopardizing health care for millions of Americans. 
Senator Collins voted to confirm him anyway. #mepolitics https://t.co/JL8QsM2aqb</t>
  </si>
  <si>
    <t>1316033958598107136</t>
  </si>
  <si>
    <t>Meet Judge Leonard Steven Grasz. In addition to being “not qualified,” he also called Roe v. Wade “moral bankruptcy.” 
Senator Collins voted to confirm him anyway. #mepolitics https://t.co/WssHeOWwj1</t>
  </si>
  <si>
    <t>1316033953820704769</t>
  </si>
  <si>
    <t>Senator Collins has confirmed 181 of Trump’s judicial nominees—including Leonard Steven Grasz, Gregory Katsas, and Jonathan Kobes, all of whom were rated as “not qualified” by the American Bar Association. #mepolitics</t>
  </si>
  <si>
    <t>1316018506521997313</t>
  </si>
  <si>
    <t>Election Day is in three weeks! It’s time to make your plan to vote (if you haven’t voted already!). Find everything you need to know at https://t.co/Fech1PIPyc #mepolitics https://t.co/but2Gdk04Z</t>
  </si>
  <si>
    <t>1315995328533889024</t>
  </si>
  <si>
    <t>It was wonderful to be in Sagadahoc County on Sunday! Thank you to everyone who joined us for our #SupperWithSara in Woolwich. #mepolitics https://t.co/2mA9avGWmB</t>
  </si>
  <si>
    <t>1315783126149455872</t>
  </si>
  <si>
    <t>Three years ago, Donald Trump took his first step towards dismantling the ACA. With his lawsuit before the Supreme Court, years of relentless efforts by Trump and Senate Republicans to overturn the law could become a reality.
Your health care is on the ballot. #mepolitics https://t.co/WXMTSSuOnD</t>
  </si>
  <si>
    <t>1315755602140897281</t>
  </si>
  <si>
    <t>No one should have to choose between paying for their prescription or putting food on the table. Mainers like Nancy deserve a senator who will protect their health care coverage and work to lower the cost of lifesaving drugs. #mepolitics https://t.co/mFVkAtYg8L</t>
  </si>
  <si>
    <t>1315718435997978624</t>
  </si>
  <si>
    <t>Have you received your absentee ballot yet? Check your ballot status: https://t.co/TPKRkJlHwi</t>
  </si>
  <si>
    <t>1315696178516963328</t>
  </si>
  <si>
    <t>Our health care is at stake this election. As senator, I will fight every day to protect and expand Mainers’ access to quality, affordable care. #mepolitics https://t.co/mlM9goF17t</t>
  </si>
  <si>
    <t>1315679231528050688</t>
  </si>
  <si>
    <t>I stopped by Ironworkers Local 7’s BBQ this weekend to say hello to union members and talk about how I’ll fight for Maine workers, just like I’ve done as Speaker. Thanks for having me! #mepolitics https://t.co/dvoF6HFray</t>
  </si>
  <si>
    <t>1315667457772838913</t>
  </si>
  <si>
    <t>The tribal communities and nations in Maine are so important to our state and our heritage. As we recognize #IndigenousPeoplesDay today, let us recommit to fighting for and celebrating our native citizens. #mepolitics</t>
  </si>
  <si>
    <t>1315644357027008513</t>
  </si>
  <si>
    <t>Senator Collins has voted to confirm too many unqualified and anti-choice nominees to the federal bench. We would not be in the position we are in today were it not for her votes. #mepolitics https://t.co/XLkQBPwHM2</t>
  </si>
  <si>
    <t>1315405550440656898</t>
  </si>
  <si>
    <t>Maine’s first responders are heroes, and on a tour of @LifeFlightMaine in Bangor, I heard more about the critical work they do to provide emergency medical services to Mainers living in rural communities. #mepolitics https://t.co/ZUcTcBFY0J</t>
  </si>
  <si>
    <t>1315381513865887744</t>
  </si>
  <si>
    <t>Health care is a human right, and it’s on the ballot this election.</t>
  </si>
  <si>
    <t>1315353582607241217</t>
  </si>
  <si>
    <t>Every Mainer deserves access to quality, affordable housing. Thank you to Midcoast Habitat for Humanity for the important work they do to support Mainers. #mepolitics  https://t.co/jmsqUR8SSF</t>
  </si>
  <si>
    <t>1315321400601841665</t>
  </si>
  <si>
    <t>It’s #NationalComingOutDay—a day for celebrating who you are and that love is love. As senator, I will always fight to protect and support the LGBTQ+ community, just like I’ve done here in Maine.</t>
  </si>
  <si>
    <t>1315311971772895233</t>
  </si>
  <si>
    <t>I’m honored to receive the endorsement of the @PressHerald editorial board. Whether on the town council or as Maine’s Speaker of the House, I’ve always fought for hardworking Maine families—which is what I’ll do in the Senate. #mepolitics https://t.co/ejd6uoohvU</t>
  </si>
  <si>
    <t>1315301416311889923</t>
  </si>
  <si>
    <t>“I voted for Susan Collins many times in the past, and I just can’t vote for her any longer.” 
Mainers deserve a senator who will protect health care and keep their promises. #mepolitics https://t.co/ShwPjmaXYp</t>
  </si>
  <si>
    <t>1315052125014065156</t>
  </si>
  <si>
    <t>Make a plan to vote! Get started here: https://t.co/Fech1Q0qWM</t>
  </si>
  <si>
    <t>1314993304598085632</t>
  </si>
  <si>
    <t>Whether our troops are coming home or heading overseas, the Maine Troop Greeters in Bangor are always there to support them. I’m so glad I was able to meet with some of the volunteer Troop Greeters to discuss the importance of caring for our servicemembers &amp;amp; veterans. #mepolitics https://t.co/LHffveSM7b</t>
  </si>
  <si>
    <t>1314977641343131648</t>
  </si>
  <si>
    <t>Wishing everyone a happy Maine Maple Weekend! While this year’s festivities may look a little different than the past, I am sure it will still be packed with fun—and a few sweet treats, too. 🌲🧡 https://t.co/EVk3hcOQNL</t>
  </si>
  <si>
    <t>1314964823940136960</t>
  </si>
  <si>
    <t>Happy 13th birthday to my smart, beautiful, and incredibly talented daughter, Josie. I love you so much! https://t.co/hA366vMVSV</t>
  </si>
  <si>
    <t>1314710987610546178</t>
  </si>
  <si>
    <t>Have you voted early in the #MESen election yet? Whether you’re voting in-person or by mail—or voting on Election Day—find all the info you need to make your voting plan: https://t.co/Fech1PIPyc</t>
  </si>
  <si>
    <t>1314692793042964482</t>
  </si>
  <si>
    <t>Senator Collins promised Mainers she’d protect reproductive rights and access to health care—but she broke those promises when she voted for Brett Kavanaugh. That’s why Mainers like Josh can no longer support her. #mepolitics https://t.co/ZieKSQ9IpD</t>
  </si>
  <si>
    <t>1314662194475421697</t>
  </si>
  <si>
    <t>Mainers deserve a senator who will work to protect and expand access to health care. #mepolitics https://t.co/JogrmpndK8</t>
  </si>
  <si>
    <t>1314641089152811014</t>
  </si>
  <si>
    <t>Sen. Collins’ vote for the GOP tax bill paved the way for the Republican lawsuit in front of the Supreme Court that threatens to overturn the ACA. If the ACA is repealed, millions of Americans will be left without health care in the middle of a pandemic. https://t.co/2tL7lPQCui</t>
  </si>
  <si>
    <t>1314614844105125888</t>
  </si>
  <si>
    <t>Today, I kicked off our Health Care is on the Ballot tour with a town hall in Hermon.
The top issue I hear about from Mainers is access to quality, affordable health care, and I will always fight to protect and expand access to health care for everyone. #mepolitics https://t.co/LLRhoh4YUb</t>
  </si>
  <si>
    <t>1314355531457458176</t>
  </si>
  <si>
    <t>In Maine, Medicaid expansion under the ACA has helped organizations like the Recovery Connections of Maine provide treatment to more Mainers experiencing substance use disorder.
Expanding access to affordable health care is key to combating the opioid crisis. #mepolitics https://t.co/73BcWD2lcw</t>
  </si>
  <si>
    <t>1314331386560552960</t>
  </si>
  <si>
    <t>Senator Collins broke her promise to Mainers when she voted to confirm Brett Kavanaugh to the Supreme Court. Now, our reproductive rights and health care are in jeopardy. #mepolitics https://t.co/TkNq0Uq4jE</t>
  </si>
  <si>
    <t>1314316625076776963</t>
  </si>
  <si>
    <t>MAINE: Are you registered to vote? The deadline to mail in your voter registration is October 19th! Get all the info you need here: https://t.co/5FZ8Mcln7R https://t.co/98dt2mDQmQ</t>
  </si>
  <si>
    <t>1314281071836565504</t>
  </si>
  <si>
    <t>Every Mainer deserves to have a safe place to call home. Organizations like Midcoast Habitat for Humanity are leading the way, and in the Senate, I will continue fighting for accessible and affordable housing in Maine. #mepolitics https://t.co/PjxctTFYft</t>
  </si>
  <si>
    <t>1314268375447633920</t>
  </si>
  <si>
    <t>Thanks to Senator Collins, the Affordable Care Act—and health care coverage for nearly 100,000 Mainers—is at risk. #mepolitics</t>
  </si>
  <si>
    <t>1314229298736377856</t>
  </si>
  <si>
    <t>Health care—protections for people with pre-existing conditions, the cost of prescription drugs, and more—is on the ballot this November. I will not stop fighting until every Mainer has access to affordable health care. #mepolitics https://t.co/3BopFd6Qkp</t>
  </si>
  <si>
    <t>1314222541318258701</t>
  </si>
  <si>
    <t>It was such a privilege to meet Ethan and his family yesterday. Ethan has a love of plants (he named one Sara), so we named one after him. 🪴 Thank you so much for supporting our campaign, Ethan! https://t.co/nodsCLT7zQ</t>
  </si>
  <si>
    <t>1314214492281008129</t>
  </si>
  <si>
    <t>Bath built is best built, and I’m honored to have the support of @UAW and the Bath Marine Draftsmen's Association. In the Senate, I will work to support our shipbuilders, just like I’ve done as Speaker. #mepolitics https://t.co/ReQ02yWvGl</t>
  </si>
  <si>
    <t>1314192303859392513</t>
  </si>
  <si>
    <t>We had another wonderful #SupperWithSara last night in Camden! Thank you to everyone who joined us. #mepolitics https://t.co/955H8OqSCY</t>
  </si>
  <si>
    <t>1314008186463150080</t>
  </si>
  <si>
    <t>In 27 days, we’re going to elect @JoeBiden and @KamalaHarris, win #MESen, and help Democrats #FlipTheSenate. Sign up here get involved: https://t.co/z4A6qYHo6B</t>
  </si>
  <si>
    <t>1313940768831279104</t>
  </si>
  <si>
    <t>I’m so proud to have the endorsement of @UAW. In the Senate, I will stand up for Maine’s hardworking families and work to ensure Bath Iron Works continues building the best warships in the world for our armed forces. #mepolitics https://t.co/LgJDZLtv8R</t>
  </si>
  <si>
    <t>1313916935105589249</t>
  </si>
  <si>
    <t>Early voting is underway! If you’re planning to vote early in-person at your town clerk’s office, double check their hours—and don’t forget to bring your mask! https://t.co/ygRDLz1uOa</t>
  </si>
  <si>
    <t>1313894877697060866</t>
  </si>
  <si>
    <t>While Senator Collins voted at least 12 times to repeal or undermine the ACA, I’ve worked to protect and expand access to health care. Read my full health care agenda: https://t.co/TepXJhDMBS #mepolitics</t>
  </si>
  <si>
    <t>1313882880313942016</t>
  </si>
  <si>
    <t>I had a great time out on the Damariscotta River with Smokey and Ryan, the owners of Pemaquid Oyster Company &amp;amp; Glidden Point Oyster Company. I’ve supported Maine’s marine economy as Speaker, and I will continue fighting for our fishermen and aquaculture in the Senate. #mepolitics https://t.co/pNMYPISvwG</t>
  </si>
  <si>
    <t>1313865153272741895</t>
  </si>
  <si>
    <t>It’s going to take all of us, working together, to win this race in November. Show you’re on #TeamGideon with our new Digital Toolkit! #MESen #mepolitics https://t.co/ywQfrgS9vY</t>
  </si>
  <si>
    <t>1313856653436088320</t>
  </si>
  <si>
    <t>Health care is on the ballot this election. #mepolitics https://t.co/qbvfo3yrF1</t>
  </si>
  <si>
    <t>1313848560790761472</t>
  </si>
  <si>
    <t>Wondering when your mail-in ballot will arrive? 📫 Check your ballot status: https://t.co/TPKRkJlHwi</t>
  </si>
  <si>
    <t>1313840832383004672</t>
  </si>
  <si>
    <t>The best way to honor our veterans is to ensure they can access the benefits they’ve earned. I toured the Mid-Coast Veterans Resource Center this week to hear about their work and discuss how we can better care for the brave men and women who’ve served our country. #mepolitics https://t.co/KSkTB9fuIo</t>
  </si>
  <si>
    <t>1313632226924470272</t>
  </si>
  <si>
    <t>In the Senate, I will only vote to confirm qualified judicial nominees who respect precedent. #mepolitics https://t.co/ic1jdWUMNb</t>
  </si>
  <si>
    <t>1313610295974268930</t>
  </si>
  <si>
    <t>Early voting has begun here in Maine, and it's clear that Mainers are ready for a senator who will stand up for what's right. In the Senate, I'll always put the interests of Mainers first. #mepolitics https://t.co/tsEMCivJv3</t>
  </si>
  <si>
    <t>1313589671725760513</t>
  </si>
  <si>
    <t>Senator Collins often talks about the importance of her seniority, but once again, she's failed to stand up to Donald Trump and Mitch McConnell when Mainers need her most.
Maine families and communities need relief, and they deserve a senator who will fight for them. #mepolitics</t>
  </si>
  <si>
    <t>1313538281536204801</t>
  </si>
  <si>
    <t>Senator Collins’ record is clear—she helped McConnell and Trump stack the courts with far-right judges, jeopardized health care and reproductive rights, and broke her promises to Mainers. #mepolitics https://t.co/hO7U2JCP9f</t>
  </si>
  <si>
    <t>1313513338400276481</t>
  </si>
  <si>
    <t>Two years ago, Senator Collins voted to confirm Brett Kavanaugh to the Supreme Court. That decision may have paid off for her, but it put our rights and health care at risk. #mepolitics https://t.co/RUJGOTwLpw</t>
  </si>
  <si>
    <t>1313493366546497537</t>
  </si>
  <si>
    <t>Mitch McConnell and Donald Trump have packed the courts with right-wing, anti-health, and anti-choice judges. This would not have been possible without Senator Collins’ support. #mepolitics</t>
  </si>
  <si>
    <t>1313479961399963652</t>
  </si>
  <si>
    <t>Yesterday, I visited Two Bridges Regional Jail in Wiscasset with the Lincoln and Sagadahoc County Sheriffs to learn about their programs to address the opioid crisis and provide support to people in recovery. In the Senate, I will work with law enforcement to combat this crisis. https://t.co/u5FD1OXsRn</t>
  </si>
  <si>
    <t>1313254230568906753</t>
  </si>
  <si>
    <t>Today is the first day of early voting in-person. You can cast your ballot in-person at your town clerk’s office from now until October 30th. Be sure to check their hours before heading out to vote—and don’t forget your mask! #mepolitics https://t.co/i9b64vTZRb</t>
  </si>
  <si>
    <t>1313236367011393536</t>
  </si>
  <si>
    <t>Mainers can count on me to fight to protect and expand reproductive health care. Thank you for your support, Erin. #mepolitics https://t.co/kbi1P6EkPc</t>
  </si>
  <si>
    <t>1313206812355842050</t>
  </si>
  <si>
    <t>Senator Collins voted for every one of Donald Trump’s judicial nominees during his first two years of office—and has never cast a deciding vote against a Trump judge. #mepolitics https://t.co/PLldAuTwai</t>
  </si>
  <si>
    <t>1313170214922735621</t>
  </si>
  <si>
    <t>Senator Collins told Mainers that Kavanaugh respected precedent, yet he ruled against reproductive rights in June Medical v. Russo. Mainers are tired of Senator Collins confirming anti-choice, anti-health care judicial nominees, which is why they won’t support her in November. https://t.co/gs2D5zmWOf</t>
  </si>
  <si>
    <t>1313149653743960065</t>
  </si>
  <si>
    <t>“Some of my worst days as a Mainer have been the days I spent watching Senator Collins vote to confirm judges who are eroding our rights and chipping away at Roe v. Wade.” 
Mainers like Hannah are tired of Senator Collins’ failed leadership. #mepolitics https://t.co/H4BLUfd6H6</t>
  </si>
  <si>
    <t>1313138560413949953</t>
  </si>
  <si>
    <t>MAINE: Today is the first day of early voting!
1️⃣ Find your town clerk.
2️⃣ Check their hours.
3️⃣ Cast your ballot!
https://t.co/ifrZqNZ0mb</t>
  </si>
  <si>
    <t>1313118306228998144</t>
  </si>
  <si>
    <t>Two years ago, Senator Collins announced that she would vote to confirm Brett Kavanaugh to the Supreme Court. 
Senator Collins let Mainers down—and put their rights at risk. #mepolitics https://t.co/YKwHd9IYEf</t>
  </si>
  <si>
    <t>1312861042725224450</t>
  </si>
  <si>
    <t>Mainers like Rosalind are ready for a change. They’re ready for a senator who puts them—not special interests—first. #mepolitics https://t.co/vg7mpTRiea</t>
  </si>
  <si>
    <t>1312824020618878976</t>
  </si>
  <si>
    <t>Mainers deserve a senator who will work to protect their health care—not one who votes to jeopardize their coverage. #mepolitics https://t.co/rftlpzbbld</t>
  </si>
  <si>
    <t>1312792941883265025</t>
  </si>
  <si>
    <t>Today, on National Fallen Firefighter Memorial Day, we recognize the courageous men and women who gave their lives to protect our communities. It is more important than ever that elected officials ensure our brave firefighters have the resources and support they need.</t>
  </si>
  <si>
    <t>1312776412449865728</t>
  </si>
  <si>
    <t>I’m honored to have the endorsement of @CWAUnion. In the State House, I've protected Maine’s workers by strengthening collective bargaining rights and ensuring workers are paid what they’re due, and I will continue to fight for workers’ rights in the Senate. #mepolitics https://t.co/N6VB7BAKfE</t>
  </si>
  <si>
    <t>1312505550865801217</t>
  </si>
  <si>
    <t>One month from today, we’re going to defeat Senator Collins and #FlipTheSenate. Visit https://t.co/COv597duW3 to join our team.</t>
  </si>
  <si>
    <t>1312492871724027910</t>
  </si>
  <si>
    <t>From York to Presque Isle, I’ve loved traveling across the state to hear from Mainers about the issues that matter to them at our #SupperWithSara events. Thanks for joining me for supper, Farmington! #mepolitics https://t.co/1hv8hBpR2f</t>
  </si>
  <si>
    <t>1312470468171984900</t>
  </si>
  <si>
    <t>Health care is on the ballot. Reproductive rights are on the ballot. The environment is on the ballot. 
Make your voice heard on November 3.</t>
  </si>
  <si>
    <t>1312448103916675075</t>
  </si>
  <si>
    <t>Ballots are already in the mail here in Maine! If you haven’t yet requested your ballot, visit https://t.co/xlxTUdOLmL. #mepolitics https://t.co/ijJfdd3eKc</t>
  </si>
  <si>
    <t>1312402440252256256</t>
  </si>
  <si>
    <t>We’re just one month away from Election Day. 🗳️ Make your plan to vote: https://t.co/Fech1Q0qWM #mepolitics</t>
  </si>
  <si>
    <t>1312188304876433411</t>
  </si>
  <si>
    <t>I met with Dean Plaisted, the owner of Junora LTD in Biddeford, to hear more about their precision manufacturing and how they’ve been affected by COVID-19 &amp;amp; Trump’s disastrous trade war. As senator, I will work to support Maine companies like Junora and our workers. #mepolitics https://t.co/aKkQhjzluA</t>
  </si>
  <si>
    <t>1312181162840739840</t>
  </si>
  <si>
    <t>Maine’s logging and forest products industry are critical to our state’s heritage and economy. I will fight for our workers and our environment in the Senate, and I’m so grateful for your support, Mary! #mepolitics  https://t.co/EjlNgFlOqa</t>
  </si>
  <si>
    <t>1323767078357270533</t>
  </si>
  <si>
    <t>You have until 8 pm to make your voice heard in this election. Vote. https://t.co/qIfwDmOtpK</t>
  </si>
  <si>
    <t>1323751398979362817</t>
  </si>
  <si>
    <t>So much is at stake.
Today, we vote to turn Michigan blue. https://t.co/Ew3Dv6dF2W</t>
  </si>
  <si>
    <t>1323741640352215040</t>
  </si>
  <si>
    <t>In exactly one week, the Supreme Court will hear a Republican-backed lawsuit to dismantle health care protections for people with pre-existing conditions. 
Today, health care is on the ballot.</t>
  </si>
  <si>
    <t>1323733577566224384</t>
  </si>
  <si>
    <t>Great to join Mayor Mike Duggan, @BrendaLLawrence, and @BullockSenator to help launch a canvass in Detroit today! https://t.co/uV3YZKnJeD</t>
  </si>
  <si>
    <t>1323723754892152842</t>
  </si>
  <si>
    <t>And it’s a beautiful day to make history. https://t.co/ja1IOxOth4 https://t.co/B5d9hqGwv4</t>
  </si>
  <si>
    <t>1323719274138128384</t>
  </si>
  <si>
    <t>From the White House to the Senate, victory all comes down to Michigan. https://t.co/Zkpd3zaqGb</t>
  </si>
  <si>
    <t>1323683030364495877</t>
  </si>
  <si>
    <t>You must be in line to vote by 8 PM TODAY.
Trust your elections officials with accurate information — if you need to confirm your rights, call the Voter Assistance Hotline: 833-MI-VOTES
https://t.co/qKDqDtQ4Eh</t>
  </si>
  <si>
    <t>1323657494389051393</t>
  </si>
  <si>
    <t>Michigan: You can STILL register to vote today! 
Head straight to your clerk’s office where you can both register and vote in the same visit. 
Make a plan at https://t.co/uRkA5oZYYr.</t>
  </si>
  <si>
    <t>1323636751328563200</t>
  </si>
  <si>
    <t>Have questions about voting? Call the @MichiganDems’ Voter Assistance Hotline at 833-MI-VOTES for help. https://t.co/ef0hEMEn2w</t>
  </si>
  <si>
    <t>1323617592729313286</t>
  </si>
  <si>
    <t>It’s a beautiful day to flip the Senate.
Vote and let’s make it happen.</t>
  </si>
  <si>
    <t>1323596285438357509</t>
  </si>
  <si>
    <t>It’s Election Day and the polls are OPEN.
Find your polling place at https://t.co/uRkA5oInzR and make your voice heard. https://t.co/WWJZXQNU9y</t>
  </si>
  <si>
    <t>1323474261500174336</t>
  </si>
  <si>
    <t>Say it with me: tomorrow Michigan will vote to flip the Senate.</t>
  </si>
  <si>
    <t>1323460273001422848</t>
  </si>
  <si>
    <t>Together we’re going to get through this crisis and help our economy rebound. And I’ll keep fighting for Michigan’s small businesses. https://t.co/lNWvTgsWTo</t>
  </si>
  <si>
    <t>1323434903632044032</t>
  </si>
  <si>
    <t>All eyes are on Michigan. Thanks to Martin Sheen for helping us get out the vote! https://t.co/720noVuVKg</t>
  </si>
  <si>
    <t>1323427626854264832</t>
  </si>
  <si>
    <t>DO NOT PUT YOUR BALLOT IN THE MAIL.
If you have a ballot, make sure to drop it off in your clerk’s drop box by 8 pm tomorrow to ensure your vote is counted. https://t.co/YODNnJYVrf</t>
  </si>
  <si>
    <t>1323414420320624640</t>
  </si>
  <si>
    <t>My opponent just joined Trump on stage at a rally in Michigan.
Once again, he lobbed false attacks against me and doubled down on his 2000% support for Trump.
Tomorrow’s election is the most important of our lifetime — not just to defeat Trump, but to defend this Senate seat.</t>
  </si>
  <si>
    <t>1323401665509269505</t>
  </si>
  <si>
    <t>Tonight, President Trump is back in Michigan for his final rallies before Election Day.
He’s betting everything on Michigan. 
Let’s show him we’re a blue state. 
Can you sign up here to phonebank and get out the vote while he’s on stage? 
https://t.co/zN3dsjdtvz</t>
  </si>
  <si>
    <t>1323386681643442176</t>
  </si>
  <si>
    <t>Welcome to Michigan, @KerryWashington! She has a clear message today: VOTE.
Tomorrow is your last day to vote. If you have not yet cast your ballot, make a plan at https://t.co/uRkA5oZYYr. https://t.co/JczIufFPj2</t>
  </si>
  <si>
    <t>1323369371327221760</t>
  </si>
  <si>
    <t>Macomb County — vote!
Make a plan at https://t.co/uRkA5oZYYr. https://t.co/rmX8kdbN74</t>
  </si>
  <si>
    <t>1323360066863595520</t>
  </si>
  <si>
    <t>We’re Michigan’s 1-2 punch in the Senate, and let’s keep it that way. 
Vote! https://t.co/1BUVWaYP1f</t>
  </si>
  <si>
    <t>1323325785030144002</t>
  </si>
  <si>
    <t>If you requested a mail-in ballot, but it didn’t arrive, go to your clerk’s office TODAY by 4 pm to request a new ballot and make sure your voice is heard. https://t.co/yWdLSUcx96</t>
  </si>
  <si>
    <t>1323311809554747394</t>
  </si>
  <si>
    <t>We’re on the road today with @GretchenWhitmer and @Stabenow to get out the vote! 
First stop: Bay City with @DanKildee, @BrianKElder and @Sarah4MI. https://t.co/B0iNMxvVn8</t>
  </si>
  <si>
    <t>1323295654203084801</t>
  </si>
  <si>
    <t>Today is the LAST day to vote early.
Go to your clerk’s office or a satellite location by 4 PM.
Find your polling place and make a plan at https://t.co/uRkA5oZYYr.</t>
  </si>
  <si>
    <t>1323276715028844544</t>
  </si>
  <si>
    <t>As Republicans attack our health care, @BarackObama knows that I will protect your health care and expand access to affordable care. 
He knows because I was there when we did it the first time. https://t.co/TmtFFGzDpJ</t>
  </si>
  <si>
    <t>1323249031154487299</t>
  </si>
  <si>
    <t>Former Republican Congressman Joe Schwarz knows that to deliver for Michigan, we need to work together and find bipartisan solutions. 
Proud to have his support, because he knows I’ll work with everyone to get things done for Michigan families. https://t.co/splo1CQZog</t>
  </si>
  <si>
    <t>1323092347538857984</t>
  </si>
  <si>
    <t>Michigan is a battleground.
Make sure we win.
https://t.co/yM8wjZpScs https://t.co/gAjQrSCUzt</t>
  </si>
  <si>
    <t>1323084526227230721</t>
  </si>
  <si>
    <t>Vote by drop box. Pass it on. https://t.co/FuYTLHUzlo</t>
  </si>
  <si>
    <t>1323082000841015297</t>
  </si>
  <si>
    <t>This video is long, but it’s important. Health care is on the ballot.
Thank you to @SebastianWho for having me on “Shop Talk” to talk about what’s at stake in this election.
Watch the full episode here: https://t.co/qSupMYuZHT https://t.co/G0iq6RIlnE</t>
  </si>
  <si>
    <t>1323051766385180674</t>
  </si>
  <si>
    <t>Make sure your vote gets counted — don’t drop it in the mail, take it to a dropbox or your city clerk’s office by Tuesday at 8 pm. 
Find where you can drop your ballot at https://t.co/uRkA5oZYYr. https://t.co/a6uWeTYoEA</t>
  </si>
  <si>
    <t>1323027532384555009</t>
  </si>
  <si>
    <t>I was proud to work alongside @BarackObama to expand affordable health care and protect our Great Lakes. 
But that progress is on the line. 
There are two days left to vote. 
Make your voting plan at https://t.co/uRkA5oZYYr https://t.co/4RbPWMCFU0</t>
  </si>
  <si>
    <t>1323005081508339717</t>
  </si>
  <si>
    <t>We have to keep working hard to finish strong. 
Join the @OneCampaignMI at 4 pm today to help us get out the vote! 
https://t.co/k8qY9kyHn9</t>
  </si>
  <si>
    <t>1322985503562567681</t>
  </si>
  <si>
    <t>If you didn’t get your mail-in ballot, but requested one: go to your clerk’s office by Monday at 4 pm. You’ll be able to cancel your original ballot and get a new one, ensuring your voice is heard. 
Find your clerk’s office at https://t.co/gYQWsMSoSL. https://t.co/iftAASpEVP</t>
  </si>
  <si>
    <t>1322984201176731649</t>
  </si>
  <si>
    <t>Thank you, Michigan. https://t.co/8uOpkta1mT</t>
  </si>
  <si>
    <t>1322962487038324745</t>
  </si>
  <si>
    <t>Two days out from Election Day and Donald Trump just got off the stage for his third rally this week.
We can't let him win Michigan.
Volunteer.
https://t.co/zN3dsjdtvz</t>
  </si>
  <si>
    <t>1322911339971489793</t>
  </si>
  <si>
    <t>Michigan, I’ll always fight for you. https://t.co/AEgvyXFgMi</t>
  </si>
  <si>
    <t>1322737026777653248</t>
  </si>
  <si>
    <t>Whether you dressed up as a butterfly princess, zombie or something in between, Happy Halloween! https://t.co/RazeRZZ0oJ</t>
  </si>
  <si>
    <t>1322704801281564672</t>
  </si>
  <si>
    <t>Three more days.
https://t.co/fV3YQKfhs8 https://t.co/vEWa2MgGMI</t>
  </si>
  <si>
    <t>1322688756638502913</t>
  </si>
  <si>
    <t>I was proud to work with @JoeBiden and @BarackObama to save Michigan’s auto industry and expand access to affordable health care.
And I’m honored to have their support — let's go win! https://t.co/oJ3Cp8mbch</t>
  </si>
  <si>
    <t>1322639985795883009</t>
  </si>
  <si>
    <t>Michigan will be the state that wins back the White House and flips the Senate. Proud to be in this fight with my friend @KamalaHarris.
Michigan: VOTE. https://t.co/9iBuuFL32Z https://t.co/0K1pFuwHQi</t>
  </si>
  <si>
    <t>1322621996535062531</t>
  </si>
  <si>
    <t>The path to a Democratic victory in November goes straight through Michigan. 
And together, we will flip the Senate and elect @JoeBiden and @KamalaHarris to the White House.
That means everyone needs to get out and vote. 
Get started here: https://t.co/fV3YQKfhs8 https://t.co/qkMaFKgbrX</t>
  </si>
  <si>
    <t>1322613743893831681</t>
  </si>
  <si>
    <t>#GoGreen #VoteBlue https://t.co/bRpTjtm2aT</t>
  </si>
  <si>
    <t>1322587361759383552</t>
  </si>
  <si>
    <t>Fired up and ready to go for @JoeBiden and @BarackObama! https://t.co/VqzxzxCGXn</t>
  </si>
  <si>
    <t>1322582417119563781</t>
  </si>
  <si>
    <t>If you requested a mail-in ballot, but haven’t received it: go to your clerk’s office by Monday at 4 pm to cancel your original ballot and get a new one.
This is an essential step to ensure your vote is counted.
Find your clerk’s office &amp;amp; make a plan at https://t.co/gYQWsMSoSL https://t.co/fv7J04DDrx</t>
  </si>
  <si>
    <t>1322560286927237120</t>
  </si>
  <si>
    <t>Today, I’m saying #GoGreen, but on Tuesday, we’ll all be cheering for blue. https://t.co/9Mna6tsmdc</t>
  </si>
  <si>
    <t>1322531808421040130</t>
  </si>
  <si>
    <t>Donald Trump and my opponent are trying to dismantle the Affordable Care Act and its protections for those with pre-existing health conditions.
Health care is on the ballot. https://t.co/mG4okXPzR5</t>
  </si>
  <si>
    <t>1322353823520854016</t>
  </si>
  <si>
    <t>Michigan is the center of the political universe.
And in 4 days we’re going to flip the Senate and send @JoeBiden and @KamalaHarris to the White House.</t>
  </si>
  <si>
    <t>1322335153738403840</t>
  </si>
  <si>
    <t>Together, we’re going to build a better Michigan for everyone. 
Great to join Mayor @DerekDobies at Lean Rocket Lab in Jackson today to discuss how we’re going to address the challenges facing small businesses and main streets across Michigan. https://t.co/NZMoTfuBg8</t>
  </si>
  <si>
    <t>1322314754657034247</t>
  </si>
  <si>
    <t>I’m getting ready to join @gailpmason for a conversation on Instagram Live about these critical last days of the election — make sure you tune in!
https://t.co/04GFl8jlyC</t>
  </si>
  <si>
    <t>1322305171372843008</t>
  </si>
  <si>
    <t>If you haven’t returned your absentee ballot yet, do not put it in the mail. With just a few days until Election Day, bring your ballot to a drop box or clerk’s office to ensure it’s counted. Find yours at https://t.co/uRkA5oZYYr. https://t.co/33fVqjo7ja</t>
  </si>
  <si>
    <t>1322297260303097864</t>
  </si>
  <si>
    <t>Whether it’s affordable health care, our Great Lakes or public schools, I’m proud to work with @GretchenWhitmer to deliver for Michigan families and ensure they have a fighter in the Senate. 
Grateful to have her support as we continue working together for Michigan. https://t.co/GtEWXB9y61</t>
  </si>
  <si>
    <t>1322265160594194440</t>
  </si>
  <si>
    <t>Haven’t voted yet? 
Whether it’s early in person or on Election Day, voting is safe and easy. Make a plan like Nirmeen at https://t.co/fV3YQKfhs8. https://t.co/el4z0ECm8o</t>
  </si>
  <si>
    <t>1322249007645806593</t>
  </si>
  <si>
    <t>Great to visit the @Kellogg_CC Regional Manufacturing Technology Center to learn about their incredible apprenticeship program.
Made in America is always good for Michigan, so I’m working to create more good paying jobs, expand apprenticeship opportunities &amp;amp; boost manufacturing. https://t.co/Q2jx9zwYg0</t>
  </si>
  <si>
    <t>1322230609494876162</t>
  </si>
  <si>
    <t>Voting has never been easier in Detroit, Lizzo’s hometown. 
Make sure you vote because, just like @Lizzo says, Michigan is going to decide the future of this country. 
Make a plan: https://t.co/fV3YQKfhs8. https://t.co/5nQ0shzXXt</t>
  </si>
  <si>
    <t>1322194104869072900</t>
  </si>
  <si>
    <t>There are only 4 days left to vote. Make sure your ballot gets counted in time.
Don’t put it in the mail -- take it to your clerk’s office or official drop box. It’s easy, safe and the best way to make your voice heard.
Find your location here: https://t.co/uRkA5oZYYr https://t.co/GgPcpeZdZi</t>
  </si>
  <si>
    <t>1322185908389629952</t>
  </si>
  <si>
    <t>In the last days of this election, Mitch McConnell’s super PAC is dumping in $4+ million to try and buy this seat.
We can't flip the Senate if we lose in Michigan, and this is their last-ditch attempt to keep their majority.
Can you help us fight back?
https://t.co/wRvUhwYIWW</t>
  </si>
  <si>
    <t>1321994578015199232</t>
  </si>
  <si>
    <t>Your vote matters — make sure it’s counted in time.
If you have your ballot, instead of mailing it back, drop it off in person at your clerk’s office or their drop box.
Find your clerk’s office here: https://t.co/uRkA5oZYYr https://t.co/2DVKGjqNkS</t>
  </si>
  <si>
    <t>1321982559153233922</t>
  </si>
  <si>
    <t>5 days until we elect a Senate that will put working families first.</t>
  </si>
  <si>
    <t>1321962532693774337</t>
  </si>
  <si>
    <t>When we flip the Senate and send @HillaryScholten to the U.S. House, I’m looking forward to working with her and fighters like @WinnieBrinks in Lansing to continue delivering results for West Michigan. https://t.co/aOVUqkOcCj</t>
  </si>
  <si>
    <t>1321936816451293187</t>
  </si>
  <si>
    <t>Brewers in Beer City, USA need a fighter in the Senate. 
I’ve worked to cut red tape for small business owners and fought for bipartisan relief packages that provided more relief amid the pandemic. 
And I’ll keep fighting for them. https://t.co/jgkj1wjexi</t>
  </si>
  <si>
    <t>1321920364973334531</t>
  </si>
  <si>
    <t>5 days left to vote. Make a plan: https://t.co/uRkA5oZYYr https://t.co/VXjQBSoHaI</t>
  </si>
  <si>
    <t>1321892068248178689</t>
  </si>
  <si>
    <t>Michigan — let’s send @DrBiden to the White House, and her husband too.
Great to join her in Lansing today! https://t.co/8K9W73G3Bn</t>
  </si>
  <si>
    <t>1321864974126514180</t>
  </si>
  <si>
    <t>Proud to have @JoeBiden’s support because he knows I’ll always fight for Michigan families. 
Voting is already open in Michigan! Make a plan at: https://t.co/uRkA5oZYYr https://t.co/g3dj5m330S</t>
  </si>
  <si>
    <t>1321857268267257856</t>
  </si>
  <si>
    <t>We’re in Bay City with @DanKildee and County Executive Jim Barcia!
Only 5 days left to vote. If you have a ballot, it’s too late to put it in the mail, so make sure to bring it to your clerk’s drop box. 
Find yours here: https://t.co/uRkA5oZYYr https://t.co/w2HGS7FCwE</t>
  </si>
  <si>
    <t>1321833869453205506</t>
  </si>
  <si>
    <t>Donald Trump just announced that he's coming back to Michigan on Friday. And Sunday. And Monday.
This marks four visits in the week before Election Day.
He's betting it all on Michigan, but so are we. Let's make sure Michigan votes blue: https://t.co/e0evyOParP</t>
  </si>
  <si>
    <t>1321824710569664512</t>
  </si>
  <si>
    <t>Drop off your ballot if you haven't mailed it yet. https://t.co/bCSC1ggLvo</t>
  </si>
  <si>
    <t>1321823573355487233</t>
  </si>
  <si>
    <t>Just toured the incredible Flint Development Community Center with Mayor Neeley where they have a new water testing lab and library. The center shows what we can do when we come together to fight for our communities. 
And I’ll keep standing with Flint every step of the way. https://t.co/TO8vpunXx1</t>
  </si>
  <si>
    <t>1321801039310368768</t>
  </si>
  <si>
    <t>Text three friends and make sure that they have a plan to vote. 
Send them to https://t.co/fV3YQKfhs8.</t>
  </si>
  <si>
    <t>1321629574418096129</t>
  </si>
  <si>
    <t>From criminal justice reform to health care, we have a lot of work to do to address racial injustices in America.
Great to join barbers at the @SocialClubDet today to discuss the importance of this election and how we’re going to address the issues facing Michiganders. https://t.co/R63TquqPTR</t>
  </si>
  <si>
    <t>1321612864600363010</t>
  </si>
  <si>
    <t>6 days until we elect a Senate that will protect the right to choose.</t>
  </si>
  <si>
    <t>1321578239375060992</t>
  </si>
  <si>
    <t>When you have the power to save thousands of lives, you don’t walk away from it, no matter the risks.
You stand strong and fight for affordable health care.
And I’ll keep fighting every day. https://t.co/LwibtR1hoS</t>
  </si>
  <si>
    <t>1321555030256852992</t>
  </si>
  <si>
    <t>If you haven’t gotten involved with #TeamPeters yet, there’s still time! Check out some opportunities to volunteer to help make sure Michigan goes blue.
https://t.co/G4jkiRlDvo</t>
  </si>
  <si>
    <t>1321512411116015617</t>
  </si>
  <si>
    <t>Great to welcome @TheRevAl to Detroit today with @TheRevCW.
With health care, criminal justice reform and our economic growth on the line, we all know how important this election is.
And the path to victory runs right through Michigan. https://t.co/w9bfSaOxwu</t>
  </si>
  <si>
    <t>1321504451690172416</t>
  </si>
  <si>
    <t>If you’re planning on voting early with your mail-in ballot, make sure to drop it off in person. Here’s how:  
1. Complete and sign your ballot
2. Find your clerk’s ballot drop box below
3. Head over and drop off your ballot
https://t.co/uRkA5oZYYr</t>
  </si>
  <si>
    <t>1321476247873085441</t>
  </si>
  <si>
    <t>For me, Michigan always comes first. https://t.co/Br9lPPbQNP</t>
  </si>
  <si>
    <t>1321456411121979398</t>
  </si>
  <si>
    <t>Thanks for your support, @Carole_King! 
We need to flip the Senate to get things done for working families — and to win the Senate, we need to win right here in Michigan. 
Make a plan at: https://t.co/uRkA5oZYYr https://t.co/BVGPYIDv2K</t>
  </si>
  <si>
    <t>1321273836856332292</t>
  </si>
  <si>
    <t>Voting has already begun in Michigan.
Since the mail takes a few days, if you have your ballot, do not mail it. Put it directly in your clerk’s drop box to ensure your vote is counted. 
Find your drop box here: https://t.co/uRkA5oZYYr https://t.co/pmzvOtMOJG</t>
  </si>
  <si>
    <t>1321232480406511620</t>
  </si>
  <si>
    <t>In just two weeks, the Supreme Court will hear a case that could dismantle protections for people with pre-existing health conditions.
Health care is on the ballot.</t>
  </si>
  <si>
    <t>1321201810988797952</t>
  </si>
  <si>
    <t>Young people are going to determine the outcome of this election and @BillieEilish knows we all need to do two things:
1. Wear a mask. 
2. Vote. 
Make a plan at: https://t.co/uRkA5oZYYr https://t.co/tsxMiJTJ5X</t>
  </si>
  <si>
    <t>1321161992179245058</t>
  </si>
  <si>
    <t>At a Trump rally, my opponent said yesterday was “a good day for America."
The SCOTUS confirmation put millions at risk of losing health care &amp;amp; protections for pre-existing conditions.
It wasn't "a good day."
The Senate is on the line, and he can't win.
https://t.co/jIavlOvR8K</t>
  </si>
  <si>
    <t>1321115897155772418</t>
  </si>
  <si>
    <t>Mark your calendars: one week until we flip the Senate.</t>
  </si>
  <si>
    <t>1321093109850263560</t>
  </si>
  <si>
    <t>.@JoeBiden, looking forward to working together to build back better. https://t.co/aI5UKFqYPu</t>
  </si>
  <si>
    <t>1320881758687154176</t>
  </si>
  <si>
    <t>The gravity of this moment cannot be overstated.
A new court can dismantle protections for pre-existing health conditions, overturn Roe v. Wade and roll back progress on civil rights.
It’s all at stake.
We have to win back the Senate.
https://t.co/Lwm8Sa3YS5</t>
  </si>
  <si>
    <t>1320866126830751747</t>
  </si>
  <si>
    <t>While our families face a crisis, Mitch McConnell stonewalled bipartisan coronavirus relief, but is rushing through a Supreme Court nomination. 
In 8 days, we must win the Senate majority.</t>
  </si>
  <si>
    <t>1320845764453609475</t>
  </si>
  <si>
    <t>Still need to turn in your absentee ballot?
You should drop it off at your clerk’s office or their drop box to ensure that your vote is counted.
Find your local drop box here: https://t.co/uRkA5oZYYr</t>
  </si>
  <si>
    <t>1320818760496893960</t>
  </si>
  <si>
    <t>For years, Republicans in Congress have been trying to gut protections for people with pre-existing conditions.
I’ve fought off attack after attack on health care.
And as Republicans try to overturn the health care law through the Supreme Court, I’ll keep fighting against them.</t>
  </si>
  <si>
    <t>1320807192828792832</t>
  </si>
  <si>
    <t>Vote. Vote. Vote. 
https://t.co/fV3YQKfhs8 https://t.co/4jEtCca45x</t>
  </si>
  <si>
    <t>1320774800655163394</t>
  </si>
  <si>
    <t>We know how close Michigan elections can be, so we need to do everything we can in the next 8 days to make sure all of our family members and friends vote for Democrats. Join @AmyKlobuchar and me for a virtual rally tonight to help get out the vote! 
https://t.co/A38IxxWIay</t>
  </si>
  <si>
    <t>1320745674451935232</t>
  </si>
  <si>
    <t>One sign, one volunteer shift, one vote at a time. That’s how we’re going to win. 
Get involved today: https://t.co/G4jkiRlDvo https://t.co/2tqKZdv8WG</t>
  </si>
  <si>
    <t>1320538311157551104</t>
  </si>
  <si>
    <t>It was great spending some time in Detroit with @JudgeGregMathis yesterday! Election Day is only 9 days away and to make the change we want, we all need to vote. Make a plan and make sure your voice is heard. Get started at https://t.co/uRkA5oZYYr https://t.co/4E5XVH51lY</t>
  </si>
  <si>
    <t>1320486723911065600</t>
  </si>
  <si>
    <t>As Michiganders, the Great Lakes are in our DNA. And we need to do everything we can to protect them. 
@WayneKramer, Don Was, @StefaniScamardo and I joined together for an important discussion about what’s at stake this election, including our lakes, and how we all have to vote. https://t.co/7WuwfT6JYI</t>
  </si>
  <si>
    <t>1320460877393498118</t>
  </si>
  <si>
    <t>In 9 days, we’re going to elect a Democratic Senate that will always put working families before corporate special interests.</t>
  </si>
  <si>
    <t>1320438240009195522</t>
  </si>
  <si>
    <t>Michigan’s most famous son (self-proclaimed) @SamRichardson has an important message for Michiganders: Vote for Gary Peters! 
Make a plan at: https://t.co/uRkA5oZYYr https://t.co/QTcI2SiQbX</t>
  </si>
  <si>
    <t>1320386912721526785</t>
  </si>
  <si>
    <t>Great to join the @LCVoters and my friend @TammyBaldwin this week to discuss how we’re going to build on our progress to protect the Great Lakes and clean up toxic PFAS chemicals in our drinking water. https://t.co/IXC2KYR1Dt</t>
  </si>
  <si>
    <t>1320204278246576130</t>
  </si>
  <si>
    <t>With Election Day around the corner, Colleen wants to urge you to reach out to friends and family and make sure that they’re on #TeamPeters.
Check out our digital toolkit to help you share our message online: https://t.co/AO8cFsZXbn https://t.co/aqx3Nbx6OZ</t>
  </si>
  <si>
    <t>1320171836454412288</t>
  </si>
  <si>
    <t>However you roll up to the polls, there are 10 days left to go to your polling place, clerk’s office or drop box. 
It’s #VoteEarlyDay, so head over to https://t.co/fV3YQKfhs8 and make your plan. https://t.co/xoMzCQj3ez</t>
  </si>
  <si>
    <t>1320167076661690368</t>
  </si>
  <si>
    <t>10 days until Mitch McConnell loses his Senate majority.</t>
  </si>
  <si>
    <t>1320154499151953920</t>
  </si>
  <si>
    <t>I’m usually a motorcycle guy, but our new Go Vote with Gary van looks pretty good to me!
Make a voting plan: https://t.co/3AEMSUDOBS https://t.co/ITYuImq5a8</t>
  </si>
  <si>
    <t>1320142623970103296</t>
  </si>
  <si>
    <t>Well, the MSU game didn’t end how I wanted, but Colleen is still planning for a big Michigan win later tonight! https://t.co/461DqqlDXI</t>
  </si>
  <si>
    <t>1320116369493557250</t>
  </si>
  <si>
    <t>I was grateful to join @JudgeGregMathis and students at his community center in Detroit to discuss the work we have to do to ensure every Michigander has access to quality education and health care and a fair justice system. https://t.co/OQZG6jIOF6</t>
  </si>
  <si>
    <t>1320086001377828865</t>
  </si>
  <si>
    <t>Voting is already open and it’s vital to make your voice heard. Was honored to join the Black Slate Tailgate and @JudgeGregMathis this afternoon as they prepare to head over to their clerk's office and vote. https://t.co/Q178NpBQb2</t>
  </si>
  <si>
    <t>1320045994638266368</t>
  </si>
  <si>
    <t>There’s only a little over a week to go until the election, and we need to make sure everyone votes.
Loved joining Royal Oak Dems for a ballot drop event this morning with @MalloryMcMorrow and city leaders! https://t.co/XgtU6rlqlC</t>
  </si>
  <si>
    <t>1319832030415343617</t>
  </si>
  <si>
    <t>Two things you can do to help flip the Senate: 
1. Vote. 
2. Chip in and help power this campaign: https://t.co/GC1H1df7Cf https://t.co/pSvNfBETA5</t>
  </si>
  <si>
    <t>1319807909170216962</t>
  </si>
  <si>
    <t>11 days until we elect a Democratic Senate that will work to make health care more affordable, instead of trying to take away protections for pre-existing conditions.</t>
  </si>
  <si>
    <t>1319786686742728704</t>
  </si>
  <si>
    <t>If you’re a student at @UMich trying to figure out how to vote during the stay-at-home order, it’s still easy and safe to cast your ballot.
Make a plan at https://t.co/fV3YQKfhs8 https://t.co/IvqdCIQurU</t>
  </si>
  <si>
    <t>1319751310615478280</t>
  </si>
  <si>
    <t>Mayor Carruthers knows that when we work together to fight for our Great Lakes, farmers and middle class, Michigan families will thrive.
Proud to have his support this election because he knows I’ll always have Northern Michigan’s back. https://t.co/KWCIX1OwpW</t>
  </si>
  <si>
    <t>1319749285458608131</t>
  </si>
  <si>
    <t>Exactly one week before Election Day, Donald Trump will be back in Michigan for a rally.
The fight for the Senate and White House runs through Michigan and Republicans know it.
In these final days, I'll need your help. If you can, chip in now.
https://t.co/slVgA1q2Bw</t>
  </si>
  <si>
    <t>1319722800396029952</t>
  </si>
  <si>
    <t>https://t.co/fV3YQKfhs8 https://t.co/yNBkHdlF2i</t>
  </si>
  <si>
    <t>1319699299291271169</t>
  </si>
  <si>
    <t>When @BarackObama and @JoeBiden wanted to get small businesses relief through Congress, I was their go-to guy to get it done. 
It’s because they knew that I’d be there every day to fight for Michiganders. https://t.co/gRTeuZ3LoU</t>
  </si>
  <si>
    <t>1319662790194401286</t>
  </si>
  <si>
    <t>When our veterans need help, it’s our responsibility to be there. 
Proud to be fighting for veterans, like Julie’s brother-in-law, who I helped get the health care that he earned through his service. https://t.co/FJk4J3IMcx</t>
  </si>
  <si>
    <t>1319642922300678146</t>
  </si>
  <si>
    <t>Our grassroots team DOUBLED our opponent’s fundraising in the last FEC deadline.
But McConnell is trying to buy this seat with another $4.5 million in TV ads to attack us. 
With just 11 days left, we need to keep up this momentum. Chip in to help.
https://t.co/ddwe1smL0m</t>
  </si>
  <si>
    <t>1319442662160740352</t>
  </si>
  <si>
    <t>12 days until we flip the Senate.</t>
  </si>
  <si>
    <t>1319434028005588992</t>
  </si>
  <si>
    <t>Across MI, incredible organizers and volunteers are reaching out to millions of voters &amp;amp; share our vision for the future. And I’m grateful every day for their work.
Can you help us keep up this momentum during the final stretch?
Sign up here to join us: https://t.co/yM8wjZpScs https://t.co/jjPHkAevXE</t>
  </si>
  <si>
    <t>1319403371359514630</t>
  </si>
  <si>
    <t>Yesterday my bipartisan bill, the PROSWIFT Act, was signed into law. 
This is the most of any Democratic Senator in Trump’s presidency.
That’s because I worked across the aisle to get things done — it’s what Michiganders expect. 
And I’ll keep fighting for Michigan families.</t>
  </si>
  <si>
    <t>1319363408983183362</t>
  </si>
  <si>
    <t>🏛 The Supreme Court is on the ballot
👩‍⚕️ The right to choose is on the ballot
🩺 Health care is on the ballot
✊ Civil rights are on the ballot
Make your plan to vote: https://t.co/fV3YQKfhs8</t>
  </si>
  <si>
    <t>1319340677407309824</t>
  </si>
  <si>
    <t>The president just let us in on the GOP’s ultimate plan — a new SCOTUS to overturn the ACA.
That means ending protections for pre-existing conditions for 1.7 million in Michigan, gutting health coverage and higher drug costs for seniors.
We cannot let them rip health care away. https://t.co/xnOJPfs7ax</t>
  </si>
  <si>
    <t>1319337154464591872</t>
  </si>
  <si>
    <t>In the Cherry Capital of the World or any corner of Michigan — it’s easy to vote early.
Since it’s after the recommended day to mail in your ballot, drop it off in your clerk’s dropbox — find yours here: https://t.co/MO9JwRMP7H https://t.co/gvlrU8qwi7</t>
  </si>
  <si>
    <t>1319301412891840512</t>
  </si>
  <si>
    <t>I’m proud to have secured record funding for the Great Lakes Restoration Initiative because it means more projects like this in our communities. The lakes are national treasures and we must do everything we can to protect them. 
https://t.co/0y24f6z6A0</t>
  </si>
  <si>
    <t>1319088813503881216</t>
  </si>
  <si>
    <t>Growing up in Rochester Hills, I learned about the importance of public service. This weekend, I went back and was once again surrounded by a community committed to making Michigan a better place. 
And I had a great time canvassing nearby with @BarbAnness2020, too! https://t.co/19CpKRG3Ue</t>
  </si>
  <si>
    <t>1319065641622581255</t>
  </si>
  <si>
    <t>As workers’ rights are under attack, @JoeBiden and I are fighting for expanded apprenticeship opportunities, workers and their right to join a union.
Proud to join Union Vets for Joe for a virtual GOTV rally tomorrow. Join us: https://t.co/soXtGLt3eI https://t.co/XFC6AnL4YT</t>
  </si>
  <si>
    <t>1319032767150252033</t>
  </si>
  <si>
    <t>If you still have an absentee ballot, it’s past the recommended day to mail it in, so drop it off at your clerk’s drop box to make sure it’s counted!
Find yours here: https://t.co/fV3YQKfhs8 https://t.co/YNTaEfSU4C</t>
  </si>
  <si>
    <t>1318981419507613702</t>
  </si>
  <si>
    <t>In 20 days, the Supreme Court is going to hear a Trump-backed case to dismantle the Affordable Care Act and its protections for those with pre-existing conditions.
Health care for millions is on the line.
We must defend it.</t>
  </si>
  <si>
    <t>1318950499169849346</t>
  </si>
  <si>
    <t>We have 13 days left until Election Day. And we need to win the White House, Senate and races down the ballot — like @voteKellyBreen in Novi. 
And with your help, it’s going to be a great year for Democrats in Michigan.
Join us today: https://t.co/moo1ZPV5K7 https://t.co/eVst0Uaq0v</t>
  </si>
  <si>
    <t>1318928151427338241</t>
  </si>
  <si>
    <t>Michiganders and Wisconsinites both know how important the Great Lakes are to powering our economy. 
Today, @TammyBaldwin and I will be talking about our work to protect our lakes and the importance of this election. 
Sign up to join us here. 
https://t.co/Ovkj7juHlp</t>
  </si>
  <si>
    <t>1318729953014353927</t>
  </si>
  <si>
    <t>Colleen had a great time joining @DrBiden for a canvass kickoff in Oakland County today!
Two weeks until Election Day, how are you going to help get out the vote? https://t.co/5g6jWwsqLg</t>
  </si>
  <si>
    <t>1318716398785482753</t>
  </si>
  <si>
    <t>.@MichiganDems, @OHdems &amp;amp; cast members are teaming up for a #HomelandReunion fundraiser. And we’re in a friendly competition to see who raises more.
We need to beat Trump &amp;amp; McConnell, and let’s also beat Ohio.
Chip in here to join… and to help MI win.
https://t.co/3O9STQjGAM</t>
  </si>
  <si>
    <t>1318705662172499970</t>
  </si>
  <si>
    <t>Only 2 weeks left until the most crucial election of our lifetime. We need all hands on deck — make sure you vote! https://t.co/6qoHoZzJPQ https://t.co/9sKfQ5QnKg</t>
  </si>
  <si>
    <t>1318690068090019841</t>
  </si>
  <si>
    <t>.@KamalaHarris —
Proud to call you my friend and my colleague.
But I’ll be even prouder next year when I can call you my friend and my Vice President.
Happy Birthday! https://t.co/0G3icSszjL</t>
  </si>
  <si>
    <t>1318671333476192272</t>
  </si>
  <si>
    <t>All houses of worship should be safe havens.
@BennieGThompson, Jeh Johnson and I will be discussing our work to battle white supremacy and safeguard religious institutions, including legislation that I passed into law to provide grants to faith-based organizations. Join us. https://t.co/RdDs2wTT4Z</t>
  </si>
  <si>
    <t>1318642526228783105</t>
  </si>
  <si>
    <t>Voting by mail is safe and easy! If you requested an absentee ballot, it’s important that you remember to put the secrecy envelope back in the mailing envelope, and then sign it. If you’re putting it in the mail, it’s recommended that you mail it today, October 20th! https://t.co/DTvwgRilzk</t>
  </si>
  <si>
    <t>1318602503794139137</t>
  </si>
  <si>
    <t>Today is the last day that it’s recommended to mail in your ballot back to your clerk. So if you’re planning on mailing, make sure to put it in the mail today! https://t.co/NXz65YFOgI</t>
  </si>
  <si>
    <t>1318526166895120386</t>
  </si>
  <si>
    <t>I was proud to fight with @BarackObama when he was in the White House, and I’m so grateful to have him in the fight with us now. https://t.co/pBsQ4IBVSR</t>
  </si>
  <si>
    <t>1318387168872701954</t>
  </si>
  <si>
    <t>Look what you made me do.
https://t.co/eWMoKeS56f https://t.co/o0z7rrmPU0</t>
  </si>
  <si>
    <t>1318348203113304068</t>
  </si>
  <si>
    <t>In the Senate, I’m fighting for you every day.
It’s why @JoeBiden called me his go-to guy when he was working to get results for Michigan families.
And together, we’re going to build back better in Michigan. https://t.co/16RQxt9YnE</t>
  </si>
  <si>
    <t>1318313923536441344</t>
  </si>
  <si>
    <t>Today, I voted for affordable health care.
I voted to protect the Great Lakes.
I voted to defend protections for people with pre-existing conditions.
I voted to put working families before special interests. https://t.co/76FInvnU0d</t>
  </si>
  <si>
    <t>1318281314932580357</t>
  </si>
  <si>
    <t>Voting is easy and safe. Colleen and Maddy dropped off their ballots in our clerk’s dropbox today!
Today is the last day to register to vote online, so make sure you’re ready to vote this year! 
Register here: https://t.co/uRkA5oZYYr https://t.co/x8V7or2PXx</t>
  </si>
  <si>
    <t>1318261512377696262</t>
  </si>
  <si>
    <t>Today, I voted in person at my clerk’s office! Early voting is open in Michigan and it was fast and easy to cast my ballot — you can even register to vote there.
Find your clerk’s office at https://t.co/uRkA5oZYYr and make your voice heard today! https://t.co/PKcgokbCRz</t>
  </si>
  <si>
    <t>1318215366544338948</t>
  </si>
  <si>
    <t>I just voted early and in person.
What’s your voting plan?
https://t.co/fV3YQKfhs8 https://t.co/PNiXZVczKW</t>
  </si>
  <si>
    <t>1318002477371969537</t>
  </si>
  <si>
    <t>Reminder: The recommended deadline to mail in your ballot is Oct. 20th — that’s just 2 days away! If you want to mail it, make sure to put your ballot in the mail by then! https://t.co/9C67IZSCDi</t>
  </si>
  <si>
    <t>1317970508718219266</t>
  </si>
  <si>
    <t>Hi! This is Maddy quickly taking over my dad’s account! I’ve always seen my dad go out of the way to help people and get things done for our community. It’s just who he is.
This year, I hope you join me in making your voice heard — and I hope you vote for my dad. https://t.co/RhSY7I3odz</t>
  </si>
  <si>
    <t>1317919218478743553</t>
  </si>
  <si>
    <t>Colleen grew up here in Waterford, so it’s always great to be back with her — and even better to be on the ground with incredible Democratic candidates and this team of volunteers!
Thanks for helping get out the vote. With 16 days to go, how are you helping us flip the Senate? https://t.co/j0Knl2hY9J</t>
  </si>
  <si>
    <t>1317866180296794115</t>
  </si>
  <si>
    <t>If you have no plans to protect people with pre-existing conditions, you have no business representing Michiganders.
Let's make sure he never gets the chance. https://t.co/jnVASNg1sX https://t.co/OKS1CIiiRo</t>
  </si>
  <si>
    <t>1317611771251707905</t>
  </si>
  <si>
    <t>The president continues to fan the flames of division and hatred.
I stand with Governor @GretchenWhitmer.</t>
  </si>
  <si>
    <t>1317599248196587520</t>
  </si>
  <si>
    <t>Today marks the Trump team's 15th stop in MI this campaign. He again attacked me and pledged full support for my opponent.
He wants to win here because he knows we decide who wins the White House and Senate.
With your help, we will win.
https://t.co/MHLoq9m1fR</t>
  </si>
  <si>
    <t>1317594874452058114</t>
  </si>
  <si>
    <t>We’re both Michiganders, we’re both Spartans, we’re both 6’ 9” and we’re both voting!
Ok, the 6’ 9” part isn’t true, but @MagicJohnson and I both agree on how important it is to vote this year, and we teamed up in Lansing to talk about it.
Make a plan at https://t.co/uRkA5oZYYr https://t.co/J62RsdTKG6</t>
  </si>
  <si>
    <t>1317572005965725696</t>
  </si>
  <si>
    <t>So excited to join Michigan State legend @MagicJohnson and my fellow Democrats here in Lansing to get out the vote! Join us!
https://t.co/YPyM5sUDKH</t>
  </si>
  <si>
    <t>1317569736184631296</t>
  </si>
  <si>
    <t>Unions built America’s middle class and I’ll always fight for Michigan’s workers. 
Had a great time at our early voting event with @SEIU, @IBEW, @LIUNA, and @AFTmichigan members in Detroit today! https://t.co/bDfGkSW6bQ</t>
  </si>
  <si>
    <t>1317562080300474368</t>
  </si>
  <si>
    <t>Great to be back in Pontiac this afternoon and join Mayor @WatermanDeirdre to meet with local small business owners. Small businesses are the backbone of our economy and I'm committed to fighting for them. https://t.co/vZ6df2SRei</t>
  </si>
  <si>
    <t>1317525776573620226</t>
  </si>
  <si>
    <t>Had a great time with @DanKildee and @SheldonNeeley kicking off a canvass in Flint this morning! 
Voting has already begun in Michigan, you can vote by-mail, early in-person or on Election Day.
Don’t wait, make a plan today at https://t.co/uRkA5oZYYr https://t.co/SsRjG7cpnX</t>
  </si>
  <si>
    <t>1317465817282416642</t>
  </si>
  <si>
    <t>Make no mistake — health care is on the ballot this year.
I fought with @JoeBiden to pass the ACA because even though pundits said it was a tough vote to take, it was the right thing to do.
And when he's president, we’ll continue that fight for quality, affordable health care. https://t.co/eR9nJ7h9da</t>
  </si>
  <si>
    <t>1317272877838761985</t>
  </si>
  <si>
    <t>No one can host a drive-in rally like Michigan.
@JoeBiden — the Motor City has your back, and we're ready to work together to build back better. https://t.co/pBsYMrBCrq</t>
  </si>
  <si>
    <t>1317263196512800770</t>
  </si>
  <si>
    <t>The path to a Democratic victory goes straight through Michigan.
And together, we will send @JoeBiden to the White House and flip the Senate.
Make your plan to vote here: https://t.co/fV3YQKfhs8 https://t.co/OZYJXt6Lnr</t>
  </si>
  <si>
    <t>1317225114610663427</t>
  </si>
  <si>
    <t>Today, @JoeBiden gave a shoutout to his go-to guy, the person who worked tirelessly with him to get results for Michigan workers and families.
I was that guy — because standing up for Michigan is always the right thing to do.
Can’t wait to continue fighting alongside Joe.</t>
  </si>
  <si>
    <t>1317188646542446592</t>
  </si>
  <si>
    <t>Health care for millions of Americans and protections for 1.7 million Michiganders with pre-existing conditions is on the line this election. 
I’m with @JoeBiden to talk about how we’re going to defend health care -- tune in ⬇️ https://t.co/gwpM2IVGJk</t>
  </si>
  <si>
    <t>1317183792801550336</t>
  </si>
  <si>
    <t>About to take the stage with @JoeBiden in Southfield to talk about the importance of health care in this year’s election. Make sure you tune in here! https://t.co/u0q86tEcHI https://t.co/4CDWaCIf4d</t>
  </si>
  <si>
    <t>1317168669017935877</t>
  </si>
  <si>
    <t>Thanks @Chasten! Winning in Michigan is going to take all of us and I’m grateful you’re on our team. https://t.co/lNy14c7d3T</t>
  </si>
  <si>
    <t>1317162135567388674</t>
  </si>
  <si>
    <t>To win the Senate, we must win here in Michigan.
Chip in anything and join this grassroots fundraiser with @BarackObama to help us secure victory this year.
https://t.co/Cpv4QEJTb1</t>
  </si>
  <si>
    <t>1317150528367898630</t>
  </si>
  <si>
    <t>The road to the White House and a Senate majority runs right through Michigan. Americans across the country are counting on us — we need to win.
And the hard work that groups like the Muskegon Democrats are doing every day is going to carry us to victory on Election Day. https://t.co/yMZaeaQ5D1</t>
  </si>
  <si>
    <t>1317134993618046978</t>
  </si>
  <si>
    <t>Good boys like Santiago can’t vote early, but you can! 
Make a plan at https://t.co/fV3YQKfhs8. https://t.co/zbUxkn3nHN</t>
  </si>
  <si>
    <t>1317132118703693824</t>
  </si>
  <si>
    <t>An honor to receive the endorsement of @MayorBliss at our “Go Vote with Gary” event today in Grand Rapids. Thanks to everyone who came out to drop off their ballots!
Make sure you have a plan to vote at https://t.co/3AEMSUDOBS. https://t.co/SDAzBiPAwg</t>
  </si>
  <si>
    <t>1316924129069641728</t>
  </si>
  <si>
    <t>Grateful for the opportunity to join community leaders tonight to discuss the issues facing Muskegon Heights.
From our criminal justice system to health care disparities, we must work to address the systemic inequalities that impact these communities &amp;amp; fight for a better future. https://t.co/IXUu0hkDe7</t>
  </si>
  <si>
    <t>1316901467907903489</t>
  </si>
  <si>
    <t>To preserve protections for those with pre-existing conditions and ensure Michigan workers come before special interests, we must flip the Senate.
Grateful that @BarackObama is hosting a grassroots fundraiser to help us win in MI — I hope you can tune in!
https://t.co/oFgShOC4tZ</t>
  </si>
  <si>
    <t>1316883130339524611</t>
  </si>
  <si>
    <t>Team, we set records with $14.6M raised in Q3, outraising our opponent &amp;amp; his special interest donors.
Since Sunday, we’ve gotten 50K new donors &amp;amp; raised $5M in grassroots gifts.
But the GOP is still spending big to try and buy this seat. Help fight back. https://t.co/Z2i4JUXMiK</t>
  </si>
  <si>
    <t>1316826187289767943</t>
  </si>
  <si>
    <t>Had a great time at our first “Go Vote With Gary” event today with Mayor Carruthers in Traverse City! There are only 19 days left to cast your ballot — you can vote by-mail, early in person, or on Election Day. 
Make a plan at: https://t.co/uRkA5oZYYr https://t.co/Nj6NEVHpo0</t>
  </si>
  <si>
    <t>1316755010064199681</t>
  </si>
  <si>
    <t>We’re in the final countdown to flip the Senate and win the White House.
But you don’t need to wait until Election Day to vote. 
Make a plan and vote today! 
https://t.co/uRkA5oZYYr</t>
  </si>
  <si>
    <t>1316540488359514116</t>
  </si>
  <si>
    <t>You can vote from anywhere! Just ask @DanaNessel.
Make your plan today at https://t.co/fV3YQKfhs8. https://t.co/S0c7BnYgkD</t>
  </si>
  <si>
    <t>1316534670838968320</t>
  </si>
  <si>
    <t>With only 20 days until Election Day and voting already underway, I spent the day in Traverse City with my friend and partner Debbie @Stabenow to get out the vote! Loved seeing the grassroots energy from volunteers today.
How are you going to help make sure Democrats win in MI? https://t.co/Ay3af9gfAZ</t>
  </si>
  <si>
    <t>1316475823214522375</t>
  </si>
  <si>
    <t>Michigan, @BarackObama has a message for you -- there is so much at stake in this election, from health care to ensuring our economy puts working families first. Voting has already started in Michigan! 
Make a plan to vote today: https://t.co/N2iX4sjatg https://t.co/gRNDGo5nMi</t>
  </si>
  <si>
    <t>1316453638181617667</t>
  </si>
  <si>
    <t>There are only 20 days until the most crucial election of our lifetime. Click below to: 
✅ Confirm your voting location 
✅ Check your voter registration 
✅ Register to vote online until Oct. 19
https://t.co/IdEFXiReYc</t>
  </si>
  <si>
    <t>1316431376179224579</t>
  </si>
  <si>
    <t>Thanks for the two thumbs up @ilazer and @blakegriffin23!
20 more days to go, what’s your plan to vote? https://t.co/hMfdDUCafa</t>
  </si>
  <si>
    <t>1316370475656904704</t>
  </si>
  <si>
    <t>Health insurance companies shouldn’t be able to discriminate against you just because you have a pre-existing condition.
That’s why we passed the ACA, to ensure protections for those 1.7 million Michiganders. 
And I’ll keep fighting to defend the health care law.</t>
  </si>
  <si>
    <t>1316219311720140803</t>
  </si>
  <si>
    <t>With the Supreme Court on the line, protecting the right to choose has never been more important.
We simply must retake the Senate. If you are able to give, please chip in any amount to ensure we can continue to fight for reproductive health and freedom. 
https://t.co/ujSZSRcpan</t>
  </si>
  <si>
    <t>1316218556409937920</t>
  </si>
  <si>
    <t>My family’s story is a painful reality shared by so many American families — often alone and in fear.
These decisions are gut-wrenching and should not be dictated by politics. Thank you to @Maddow for having me on to share my experience during such a pivotal moment. https://t.co/bpTsHiP0BK</t>
  </si>
  <si>
    <t>1316197205619994626</t>
  </si>
  <si>
    <t>Thank you to @ewarren for (virtually) coming to Michigan tonight and @MalloryMcMorrow for hosting our grassroots fundraiser! 
21 days until we take back the Senate! https://t.co/e98bn3Nz0L</t>
  </si>
  <si>
    <t>1316159328093704194</t>
  </si>
  <si>
    <t>Our webstore is just one way you can show your support for #TeamPeters — and today’s the last day to place an order and make sure it arrives by Election Day! 
https://t.co/pqBVoq2c6j https://t.co/vecxnAZsx4</t>
  </si>
  <si>
    <t>1316146598578204674</t>
  </si>
  <si>
    <t>Kelsey, thank you for your support and for being on #TeamPeters!
We’ve made progress over these past few years, but there’s more work to do. And I promise that I’ll keep pounding the pavement and working across the aisle to get things done for Michigan. https://t.co/8B8E9HQXZv</t>
  </si>
  <si>
    <t>1316127193244860416</t>
  </si>
  <si>
    <t>Voting is a sacred right. My mom knows that firsthand — she moved to America after surviving the Nazi occupation of France.
Mom cast her vote by mail this year. What’s your voting plan? Make one at https://t.co/3AEMSUDOBS https://t.co/0lDF9nBIIH</t>
  </si>
  <si>
    <t>1316094661786771457</t>
  </si>
  <si>
    <t>I’m in this fight for worker rights, expanding health care, the Great Lakes and Michigan families.
Now let’s go flip the Senate. https://t.co/YF4Ns6JeVt</t>
  </si>
  <si>
    <t>1316075139889496066</t>
  </si>
  <si>
    <t>Election Day is three weeks from today. Tonight, I’m hopping on Zoom with @ewarren to talk about what’s at stake and how we’re going to flip the Senate in 21 days. Chip in anything and join us.
https://t.co/B753N5IskR</t>
  </si>
  <si>
    <t>1316037726966292480</t>
  </si>
  <si>
    <t>Reminder: You can register to vote online until Oct. 19th! Check in with your friends and family and make sure they’re registered to vote. You can get started at:
https://t.co/3AEMSUDOBS</t>
  </si>
  <si>
    <t>1315833341862707200</t>
  </si>
  <si>
    <t>Looking forward to joining @ewarren tomorrow night for our grassroots fundraiser! Chip in anything you can here to join us. 
https://t.co/v1JmjTNPYo</t>
  </si>
  <si>
    <t>1315808191326883853</t>
  </si>
  <si>
    <t>To get your Team Peters gear by Election Day, make sure you order today or tomorrow! 
🔗: https://t.co/pqBVoq2c6j https://t.co/EmkRsq4ZnS</t>
  </si>
  <si>
    <t>1315712264473841664</t>
  </si>
  <si>
    <t>We can't flip the Senate without winning here in Michigan.
The latest poll has us only one point ahead of our far-right opponent. Can I count on you to chip in and help make sure we keep Michigan blue?
https://t.co/ROLBm4Ma1g</t>
  </si>
  <si>
    <t>1315662609832726528</t>
  </si>
  <si>
    <t>My story is one that’s tragically shared by so many Americans.
It’s a story of gut-wrenching and complicated decisions — but it’s important for folks to understand families face these situations every day.
https://t.co/VA3VDbjWrO</t>
  </si>
  <si>
    <t>1315650007069085696</t>
  </si>
  <si>
    <t>@TheMandyMoore, @priaribi, @PiperPerabo, @AndyRichter and so many more!</t>
  </si>
  <si>
    <t>1315650005710049281</t>
  </si>
  <si>
    <t>Thank you @CoryBooker, @DickDurbin, @JeffMerkley, @SherrodBrown, @Stabenow, @TeamHeinrich, @Bob_Casey, @MurrayCampaign, @SenPaulStrauss, @JasonKander, @BradleyWhitford, @kumailn, @jonfavs, @jonlovett, @ParkerMolloy…</t>
  </si>
  <si>
    <t>1315650004481122304</t>
  </si>
  <si>
    <t>.@BrianSchatz, @ChrisMurphyCT, @ChelseaPeretti and to everyone who helped us raise over $300,000, thank you!
Yesterday showed exactly the grassroots-powered campaign we are — and GOP mega-donors don’t stand a chance against us. 
22 days to go. Let’s go bring this home! https://t.co/JG3nA7x4vQ</t>
  </si>
  <si>
    <t>1315440416922185728</t>
  </si>
  <si>
    <t>Want to join @ewarren and me on Tuesday?
Chip in to join our grassroots fundraiser, and you’ll be helping to flip the Senate, too!
https://t.co/RebQXMKVOw</t>
  </si>
  <si>
    <t>1315440067721256961</t>
  </si>
  <si>
    <t>Thanks Debbie! Love having you as my partner in the Senate as we fight for Michigan families! https://t.co/XCsmnsa31z</t>
  </si>
  <si>
    <t>1315426118577655810</t>
  </si>
  <si>
    <t>I’ve had a few roles in my life, but my favorite has always been dad. Happy Father–Daughter Day to two brilliant girls who make my heart burst with pride every day. https://t.co/brvJ0kRz3g</t>
  </si>
  <si>
    <t>1315408792453087238</t>
  </si>
  <si>
    <t>There are only 23 days until the most crucial election of our lifetimes. Click below to —
📝 Register to vote
🗳 Check your voter registration 
🏫 Confirm your voting location 
https://t.co/6qoHoZzJPQ</t>
  </si>
  <si>
    <t>1315399111907119111</t>
  </si>
  <si>
    <t>I’ve been fighting off Republican attacks on protections for Michiganders with pre-existing conditions for years. 
And I’ll keep up that fight.</t>
  </si>
  <si>
    <t>1315367405443575814</t>
  </si>
  <si>
    <t>You'll have to join us for our motorcycle tour around Michigan next year! https://t.co/LNdk4gojYX https://t.co/e7QO39B1nA</t>
  </si>
  <si>
    <t>1315354410269257729</t>
  </si>
  <si>
    <t>Let's make sure Michigan goes blue and flip the Senate, I'm joining some friends for a livestream to talk about it — tune in! https://t.co/KUhl7GeMP6</t>
  </si>
  <si>
    <t>1315351912686985218</t>
  </si>
  <si>
    <t>Thanks for being on the team @JeffMerkley, @ChrisMurphyCT, @BrianSchatz &amp;amp; @CoryBooker! Republicans are dumping millions of dollars into this race and winning is going to take all of us! https://t.co/HXV9a8c8wK</t>
  </si>
  <si>
    <t>1315306604204568578</t>
  </si>
  <si>
    <t>Thankful for the frontline workers who have been risking their health this year to save lives.
They have our backs, and we need to have theirs. 
The Senate must come together, find common ground and pass a bipartisan coronavirus relief package. https://t.co/AObOkW22vZ</t>
  </si>
  <si>
    <t>1315095417915346944</t>
  </si>
  <si>
    <t>There are only 4 days left to order from our store to get items before Election Day — get your Team Peters gear before it’s too late! 
🔗: https://t.co/pqBVoq2c6j https://t.co/HVwlJDjMg0</t>
  </si>
  <si>
    <t>1315079026164330499</t>
  </si>
  <si>
    <t>Early voting is open! You can vote in person, by mail or on Election Day. Make a plan today: https://t.co/fV3YQKfhs8 https://t.co/NrYI3Dt1JA</t>
  </si>
  <si>
    <t>1315066811768025091</t>
  </si>
  <si>
    <t>Michigan growers are the best in the world, but climate change &amp;amp; unfair trade practices threaten their livelihood.
Our farmers need someone in the White House who ensures a level playing field— @JoeBiden will be that president.
And I'm looking forward to fighting alongside him. https://t.co/RpMHXXH1VH</t>
  </si>
  <si>
    <t>1315057772640206848</t>
  </si>
  <si>
    <t>My friend @ewarren always brings her fighting spirit and an infectious energy. 
Looking forward to her bringing that same energy to our grassroots fundraiser on Tuesday.
Chip in anything and join us: 
https://t.co/pIg8EexQVS</t>
  </si>
  <si>
    <t>1315038898574196737</t>
  </si>
  <si>
    <t>From health care to protecting our Great Lakes, so much is on the line this election.
Thanks to everyone who joined us today to make sure their friends and family vote.
Looking to get involved? Join us here:  https://t.co/O1mg7XFiIF https://t.co/5jcDttRdY5</t>
  </si>
  <si>
    <t>1315014579626430465</t>
  </si>
  <si>
    <t>My investigation has found there are still mail delays in Michigan and across the nation. 
We must address these delays and reverse the changes that are continuing to cause delays. 
Michiganders are counting on it.
https://t.co/Lijh8foguK</t>
  </si>
  <si>
    <t>1314978814238355456</t>
  </si>
  <si>
    <t>How it started:         How it's going: https://t.co/lWRl2bFWEg</t>
  </si>
  <si>
    <t>1314945196443000835</t>
  </si>
  <si>
    <t>Alternate headline: Betsy DeVos is a terrible Secretary of Education. 
https://t.co/qFwsfBrZIn</t>
  </si>
  <si>
    <t>1314724738607054857</t>
  </si>
  <si>
    <t>Celebrate #WorldPostDay in style.
https://t.co/ERwrZ4FUic https://t.co/UZiwJaETP7</t>
  </si>
  <si>
    <t>1314713607637209091</t>
  </si>
  <si>
    <t>Want to join @ewarren and me on Tuesday?
We’re hosting a grassroots fundraiser to talk about how we’re going win Michigan and flip the Senate this year. 
Chip in whatever to join us:
https://t.co/PRrfWKzoeF</t>
  </si>
  <si>
    <t>1314704567867781121</t>
  </si>
  <si>
    <t>Reverend Bland is right — November 3rd is the last day to vote, but early in person voting is open in Michigan!
Find a polling place or drop box near you: https://t.co/u0RihVYWcv https://t.co/mYhvjGSx4N</t>
  </si>
  <si>
    <t>1314686110241640448</t>
  </si>
  <si>
    <t>The @CollegeDemsatUM go blue, and they’re working hard to ensure that in November — Michigan does too! https://t.co/qlNg44iVgg</t>
  </si>
  <si>
    <t>1314646918413377538</t>
  </si>
  <si>
    <t>Still trying to make a plan to vote? @MichiganDems put together an easy guide to learn about your options and help you make a plan 🗳 ⬇️
https://t.co/XyjDhtqafq</t>
  </si>
  <si>
    <t>1314597781118554112</t>
  </si>
  <si>
    <t>I’m live with @JasonKander, ret. Maj. Gen. Vadnais &amp;amp; @VoteVets to discuss the importance of standing up for our veterans and my work to expand their access to health care and apprenticeship opportunities.
And as a former U.S. Navy Reserve officer, it’s personal to me. Tune in ⬇️ https://t.co/2Ul3igqPxi</t>
  </si>
  <si>
    <t>1314586715621937152</t>
  </si>
  <si>
    <t>The labor movement built America’s middle class.
And I’ll fight alongside workers every day.
https://t.co/UribnHFZxq</t>
  </si>
  <si>
    <t>1314548918454190080</t>
  </si>
  <si>
    <t>We have to condemn hatred.
We have to condemn bigotry.
We have to condemn this insidious rise of domestic terrorism and violence. 
It’s up to the president to show leadership and unite us instead of sowing division. This is unacceptable. https://t.co/E7PVNsWJBQ</t>
  </si>
  <si>
    <t>1314391747989057536</t>
  </si>
  <si>
    <t>It’s simple, to win the White House and flip the Senate, we need to win in Michigan. 
Voting has already started, make your plan to cast your ballot at https://t.co/6qoHoZzJPQ.</t>
  </si>
  <si>
    <t>1314379425690062853</t>
  </si>
  <si>
    <t>As a former officer in the U.S. Navy Reserve, I know how important it is to fight for Michigan veterans.
Looking forward to joining @JasonKander, retired Maj. Gen. Vadnais &amp;amp; @VoteVets tomorrow to discuss my work for Michigan's veterans and what’s at stake this election. Tune in! https://t.co/q8dOfIhisb</t>
  </si>
  <si>
    <t>1314369736487165953</t>
  </si>
  <si>
    <t>It’s an honor to be endorsed by the Urban Alliance of Michigan and Unity Coalition of Pastors of Flint.
We must continue to stand united to address the racial inequities and systemic disparities further laid bare by the public health and economic crises.
https://t.co/8sL80Y3CxU</t>
  </si>
  <si>
    <t>1314354610795143168</t>
  </si>
  <si>
    <t>Sandy is a friend, a partner and above all, a fighter.
Colleen and I are praying for her as we learn about her recent cancer diagnosis. https://t.co/MPIyIZocnm</t>
  </si>
  <si>
    <t>1314316317231648770</t>
  </si>
  <si>
    <t>We'll be going live in just a few minutes! Tune in at: https://t.co/KXLyNNGJSY https://t.co/7SXyUz1Y5d</t>
  </si>
  <si>
    <t>1314297381496725514</t>
  </si>
  <si>
    <t>Proud to stand with @GretchenWhitmer.
Hatred and violence have no place in our state or country.
We must come together to condemn it in all its forms. https://t.co/7NLeAGpcOl</t>
  </si>
  <si>
    <t>1314263180609232896</t>
  </si>
  <si>
    <t>Flipping the Senate and winning in Michigan is going to take all of us. Grateful to have my friend @CoryBooker in this fight. 
We'll be chatting about what’s at stake in this election and the importance of winning here in Michigan.
Tune in here at 5:30: https://t.co/U0cNCg5sxF https://t.co/nf7iAxfJqo</t>
  </si>
  <si>
    <t>1314037805627080706</t>
  </si>
  <si>
    <t>It couldn't be more clear we need @JoeBiden and @KamalaHarris in the White House.
Go to https://t.co/o3Z784yZZe and make a plan to vote.</t>
  </si>
  <si>
    <t>1314023299236671490</t>
  </si>
  <si>
    <t>Thanks for setting the record straight.
And I was proud to fight alongside @JoeBiden. https://t.co/4GdOWYQtS9</t>
  </si>
  <si>
    <t>1313990593169821696</t>
  </si>
  <si>
    <t>Lawrence, thank you for your service and support — I’ll always fight for you and all our veterans. 
Getting Michigan veterans the support they’ve earned and helping our heroes struggling with the invisible wounds of war like PTSD is above politics. https://t.co/nmRZ6tbjAz</t>
  </si>
  <si>
    <t>1313943318406017027</t>
  </si>
  <si>
    <t>Small businesses are struggling right now and we must ensure they have the support they need.
Today I joined the Livernois Business Association to discuss my continued fight to secure funding for CDFIs and MDIs to boost minority-owned small businesses’ access to resources. https://t.co/tPa688b3kY</t>
  </si>
  <si>
    <t>1313881914160427010</t>
  </si>
  <si>
    <t>When I voted to pass health care reform, people said it would cost me my next election.
But battling for those with pre-existing conditions has always been the right thing to do.
And I promise that I'll keep fighting to expand access to affordable health care for Michiganders. https://t.co/lg0x1Wyct1</t>
  </si>
  <si>
    <t>1313855874142801921</t>
  </si>
  <si>
    <t>There’s no sticker too small or yard sign too big for Team Peters! https://t.co/e5hCKMqTDJ</t>
  </si>
  <si>
    <t>1313651382042464256</t>
  </si>
  <si>
    <t>From college affordability to combating climate change, so much is on the line this election for the next generation.
It was great to join students at @WMU_Democrats tonight to talk about how we’re going to make sure we get out the vote in Western Michigan! https://t.co/3AzDabQEPh</t>
  </si>
  <si>
    <t>1313618578701201408</t>
  </si>
  <si>
    <t>.@ewarren and I are focused on:
⏹ Winning in Michigan
⏹ Flipping the Senate
⏹ Standing up for workers and the middle-class
And we’re going to get together next week to talk about all of it. 
Chip in any amount to join us: 
https://t.co/Hk7bmVQR2I</t>
  </si>
  <si>
    <t>1313611989990756353</t>
  </si>
  <si>
    <t>It means a lot to me that @Freep endorsed me saying “Michigan needs Gary Peters. So does Washington.”
I'm proud of getting results for our state. But Mitch McConnell &amp;amp; the DeVos family are spending millions to try &amp;amp; defeat me.
Can you help us fight back?
https://t.co/WmagT4DAsD https://t.co/GDFBvI6RrC</t>
  </si>
  <si>
    <t>1313590672847441920</t>
  </si>
  <si>
    <t>Absolutely ridiculous.
We’re facing public health and economic crises.
Michigan families and workers are counting on us.
But instead of working together to address the problems, Trump and Republicans are walking away from the table.
I’ll keep fighting for a bipartisan deal. https://t.co/Bd7crFKa4m</t>
  </si>
  <si>
    <t>1313519329921634304</t>
  </si>
  <si>
    <t>How you can vote:
📫 By mail
🗳 Early and in person
🗓 On November 3rd. 
Make your plan today: https://t.co/fV3YQKfhs8</t>
  </si>
  <si>
    <t>1313477557149466624</t>
  </si>
  <si>
    <t>Great to join @Teamsters with @SherrodBrown to thank them for their work amid a crisis and discuss how to address the challenges workers face.
Proud to have introduced bills to provide premium pay to essential workers and help ensure retirees can keep pensions they’ve earned. https://t.co/zJRtvgyqiS</t>
  </si>
  <si>
    <t>1313281307548495873</t>
  </si>
  <si>
    <t>When her 9-day-old daughter was in the hospital, Andrea was able to focus on her family— not looming medical bills. That was because of protections for pre-existing conditions under the Affordable Care Act.
Proud to be working with her side-by-side to maintain these protections. https://t.co/sv334YdgSV</t>
  </si>
  <si>
    <t>1313248550608867328</t>
  </si>
  <si>
    <t>Starting today 23 voting centers are open across the City of Detroit so you can vote right in your neighborhood. Find more information here. 👇 
https://t.co/18rRrkzTX0</t>
  </si>
  <si>
    <t>1313210944235896837</t>
  </si>
  <si>
    <t>Kicked off Manufacturing Day last week with @UnionVeterans! One of my priorities in the Senate is creating good paying jobs. And I was proud to pass legislation into law that expands apprenticeship and skilled trades opportunities for veterans. Watch:
https://t.co/tgBgHlgFp1</t>
  </si>
  <si>
    <t>1313193086646980608</t>
  </si>
  <si>
    <t>Marriage is a right. 
And it’s the law of the land. 
Calls to overturn the Obergefell decision threaten equal rights protections fundamental to our nation that the LGBTQ+ community, including many Michiganders like April DeBoer and Jayne Rowse, fought so hard for. https://t.co/27Gd3C33Df</t>
  </si>
  <si>
    <t>1313174247045500928</t>
  </si>
  <si>
    <t>Thanks for your support, @ewarren! Proud to work alongside you in the Senate to deliver results for working families.
Now, let's flip the Senate and take away Mitch McConnell's majority: https://t.co/JydRFHFC26 https://t.co/ScglWH6DKg</t>
  </si>
  <si>
    <t>1313116869549871104</t>
  </si>
  <si>
    <t>Diane knows the importance of ensuring Michiganders can access health care coverage. Proud to have her support as I continue to fight for Michiganders with pre-existing conditions and ensure their health care protections aren’t taken away. https://t.co/6ZzfRBZk3s</t>
  </si>
  <si>
    <t>1312911708361502721</t>
  </si>
  <si>
    <t>Kent County is hard at work and calling voters to elect Democrats up and down the ballot!
Early voting has begun — you can vote in person, mail in your ballot, drop off your ballot at a dropbox or show up in person on Nov. 3rd. Make your plan today: https://t.co/fV3YQKfhs8 https://t.co/IMFZVRoqqq</t>
  </si>
  <si>
    <t>1312896955232776194</t>
  </si>
  <si>
    <t>30 days. 
https://t.co/iZP01BPCsF https://t.co/Aqkb39wWCj</t>
  </si>
  <si>
    <t>1312847468787310594</t>
  </si>
  <si>
    <t>30 days to Election Day and we’re hard at work talking to voters all over the state. Loved joining volunteers in Macomb County this afternoon to help kick off a phone bank.
Winning is going to take all of us — sign up here to get involved: https://t.co/7zRufEJw1P https://t.co/uchCAlbW0E</t>
  </si>
  <si>
    <t>1312826782568124417</t>
  </si>
  <si>
    <t>The week after the election, the Supreme Court will hear the Republican-led lawsuit to dismantle the Affordable Care Act, including its protections for 1.7 million Michiganders with pre-existing conditions. 
The Supreme Court is on the ballot this year. 
And so is health care.</t>
  </si>
  <si>
    <t>1312535935108567040</t>
  </si>
  <si>
    <t>Grateful for the frontline workers today who administered my COVID test. We all must continue to take this public health crisis seriously. If you have been exposed to the virus or have symptoms, find a free testing site here: https://t.co/rA2Od25bFZ</t>
  </si>
  <si>
    <t>1312518979835973634</t>
  </si>
  <si>
    <t>Wear a mask. https://t.co/UhfbyoFWs8</t>
  </si>
  <si>
    <t>1323688783074779136</t>
  </si>
  <si>
    <t>My family story is a blueprint for all, regardless of race, color, creed or religion. I was raised right — to use my blessings to be a blessing to others. And that’s what I’ll keep doing in the US Senate so every family’s story can be a story of the American Dream. https://t.co/BJePKdYti9</t>
  </si>
  <si>
    <t>1323599414288633857</t>
  </si>
  <si>
    <t>Too many people have died for us to think and VOTE for ourselves. Voting is one of our most sacred rights as Americans, and I ask you all to exercise that right today.  
Polls are open until 8 PM. You can find your polling location at https://t.co/BFbQ1Ti2lo.
Let’s Fly! https://t.co/bbaadxi2fp</t>
  </si>
  <si>
    <t>It's my honor to stand before you today, Michigan and share my message. Tomorrow you have the opportunity to choose between a war fighter or an ineffective gas lighter. Career politician versus a combat veteran. It’s time for change, and that time is now. Let’s Fly! https://t.co/MDB4AoeiNw</t>
  </si>
  <si>
    <t>1323334304840192000</t>
  </si>
  <si>
    <t>Thank you Livingston County for showing up this morning! Now you all have your most important task ahead — GO VOTE. We cannot be the Silent Majority any longer. This is our chance to make a change, and elect representation to the U.S. Senate who thinks &amp;amp; looks like us. #LetsFly https://t.co/JrTtFTVhZC</t>
  </si>
  <si>
    <t>1323326586087759875</t>
  </si>
  <si>
    <t>Less than 24 hours until the polls open, and we need you to do more than just cast your vote. We need you to give someone hope. Dispel the lies; spread the truth. The choice is yours Michigan, and the time is now. Let's Fly! https://t.co/OnbU3zHFsn</t>
  </si>
  <si>
    <t>1323278848767762432</t>
  </si>
  <si>
    <t>I was raised by 2 Democrats from the Jim Crow south who taught me that “if God ain’t in it, he ain’t on it.” It’s time to wake up. Neither party is perfect, but neither party will get better if they don’t have to earn our votes and reflect our values. https://t.co/79YZmqGfp7</t>
  </si>
  <si>
    <t>1322660928161275909</t>
  </si>
  <si>
    <t>I am able to run for a seat in the US Senate because Rosa kept her seat in the front of a bus. 
She sat so I could run. I am running so you can fly.
#LetsFlyMI https://t.co/u50VKdABlA</t>
  </si>
  <si>
    <t>1322658127825784836</t>
  </si>
  <si>
    <t>My opponent doesn’t live in the real world like we do. He skips work — cheating and lying to the hardworking people of Michigan. It’s not right when lots of Michiganders are depending on their Senator for help, and he can’t even be bothered to show up &amp;amp; do his job. https://t.co/Rj7fi4eohl</t>
  </si>
  <si>
    <t>1322572875090583552</t>
  </si>
  <si>
    <t>What a great morning of GOTV events in Jackson &amp;amp; Battle Creek. @MIGOPChair, you have done so much, and I am grateful for your leadership. Our party is the party of hope, of opportunity, of access, and of freedom for all. Let's Fly, Michigan! https://t.co/DwWYCuYUz2</t>
  </si>
  <si>
    <t>1322499769646960645</t>
  </si>
  <si>
    <t>Democrats are at it again, lying to and manipulating voters to save their failing incumbent. Peters’ failure is the only thing that stands between them and their radical left agenda. 
Democrats won’t let facts interfere with their narrative. 
https://t.co/7n5ZBVIwCM</t>
  </si>
  <si>
    <t>1322494548388515840</t>
  </si>
  <si>
    <t>I'm not a politician. I'm a job creator. I live in the real world &amp;amp; deal with high cost of health care. Gary Peters is on a taxpayer-funded plan so he doesn't have to deal with climbing costs. He's a coward who manipulates facts &amp;amp; video to win an election. https://t.co/kZcxIlKign https://t.co/0iPqlIru1f</t>
  </si>
  <si>
    <t>1322181816342712323</t>
  </si>
  <si>
    <t>I’m not intimidated by terrorists, I’m certainly not going to be intimidated by a politician. https://t.co/JoESg7sho3</t>
  </si>
  <si>
    <t>1321918352189722624</t>
  </si>
  <si>
    <t>Thank you @NikkiHaley for joining us on our mission to protect the American Dream. We have the opportunity to make a change — uplift the American people and protect our values. There’s too much at stake this election to become complacent. ➡️ https://t.co/Xf8Mpro9QC https://t.co/Aqlz8B0oHa</t>
  </si>
  <si>
    <t>1321891348522434560</t>
  </si>
  <si>
    <t>War fighter versus Gaslighter. Combat veteran versus career politician. Job creator versus government regulator.
Michigan, are we citizens or subjects? 
The choice is yours... https://t.co/Ul6Ui03gZO</t>
  </si>
  <si>
    <t>1321437892128968708</t>
  </si>
  <si>
    <t>Michigan: our values, our people, our home. That’s what I’m running to protect. We take care of each other &amp;amp; it's time for a leader who will take care of us &amp;amp; put people before politics. We are blessed to live in the greatest state in this nation.
Mission first, people always.🇺🇸 https://t.co/o38g3xdaHn</t>
  </si>
  <si>
    <t>1321226005202247680</t>
  </si>
  <si>
    <t>I am honored to have former Governor and U.N. Ambassador Haley joining us here in Michigan on the campaign trail. She knows what’s at stake this election and I am grateful to have her support on our mission to protect the American Dream. 
Join us: https://t.co/Y3QKyKFTt1 https://t.co/snJFYDGisf</t>
  </si>
  <si>
    <t>1321201891209076739</t>
  </si>
  <si>
    <t>Radical liberals like AOC back Gary Peters b/c they know he won’t stand in the way of their agenda that would destroy the auto industry. 
MI needs leadership that knows first-hand what’s at stake. There are 0 U.S. Senators who run an auto business. It’s time we add the first. https://t.co/yCZS44J3b0</t>
  </si>
  <si>
    <t>1320817674075688960</t>
  </si>
  <si>
    <t>I'm honored to have the endorsement of these trusted &amp;amp; respected newspapers. From neglected neighborhoods to forgotten farms, MI deserves better representation. I promise to get results these next 6 years, regardless of who's in the majority or in the WH. https://t.co/0aBQd3BYbM https://t.co/L604aukwrj</t>
  </si>
  <si>
    <t>1320143583257776128</t>
  </si>
  <si>
    <t>I know I speak for myself and millions of other Midwesterners, that college football season has officially started with @BigTen football back in the game.
Looking forward to my Wolverines taking the conference title this season. 😉〽️ #GoBlue https://t.co/ErkrcmHP6J</t>
  </si>
  <si>
    <t>1320024201147940874</t>
  </si>
  <si>
    <t>Had a wonderful morning in Livingston County meeting with voters! 
This election is essential to our futures. Every vote matters; every vote counts. We have 10 more days and the question is simple: Who do you trust to get results, a combat veteran or a career politician? https://t.co/oK3EU2xuGV</t>
  </si>
  <si>
    <t>1319995085480747008</t>
  </si>
  <si>
    <t>10 DAYS until Election Day! 🇺🇸 
We are so close to getting real representation for Michigan in the US Senate, but we are not there yet! Remember, your voice is what matters most.
1. Make sure you vote (for me😬!)
2. Go to https://t.co/uAEzqgrVLU &amp;amp; see how you can get involved!</t>
  </si>
  <si>
    <t>1319813336486322176</t>
  </si>
  <si>
    <t>We have exactly the leadership we deserve. In this great democracy it is up to us to use our thumbs and VOTE for a better future. Thank you everyone in Monroe County who came out today for all you have done. It's people like you who are going to help create change for Michigan. https://t.co/zLPsc6ZzYz</t>
  </si>
  <si>
    <t>1319382261209485312</t>
  </si>
  <si>
    <t>My opponent doesn’t represent MI, but when he does show up he puts party before people.
He votes 95% of the time with Chuck Schumer which is a solid A as a NY Senator &amp;amp; 85% of the time with Bernie Sanders which is a B as a socialist. That’s not Michigan. https://t.co/IfxZpihUg3 https://t.co/ISmArcT4uX</t>
  </si>
  <si>
    <t>1319255490052935683</t>
  </si>
  <si>
    <t>It is an honor to have the endorsement of @detroitnews. Michigan stands to gain increased influence in the Senate, representation for underrepresented Americans &amp;amp; a leader on COVID recovery and economic growth. We have the choice between a war fighter or a gaslighter. #LetsFlyMI https://t.co/rfaJJuu8Ok</t>
  </si>
  <si>
    <t>1318958716327284737</t>
  </si>
  <si>
    <t>Peter Secchia will be remembered as a true public servant. As a Marine, as an ambassador, as a philanthropist, Peter sought to better his community and his nation at every possible level.  He is already missed and my prayers and deepest condolences are with his family.</t>
  </si>
  <si>
    <t>1318589449270448128</t>
  </si>
  <si>
    <t>My grandmother is my rock; she always has been. Our seniors, like my grandmother, sacrificed for our success. The least we can do is keep our promises to them and provide a strong health safety net. I was raised right. I will always protect our seniors. https://t.co/3CmgQ5pOcX</t>
  </si>
  <si>
    <t>1318298597893525505</t>
  </si>
  <si>
    <t>I’ve ALWAYS said we need to keep the parts of ACA that work and fix the parts that don’t. 
I’ve ALWAYS said we must protect people with pre-existing conditions. 
I’ve been attacked with lies &amp;amp; again Gary Peters gaslights Michigan. Honest reporters won’t let him off the hook. https://t.co/vQBZ9xfJVN</t>
  </si>
  <si>
    <t>1317905012039819265</t>
  </si>
  <si>
    <t>Here’s the truth, plain as day—Sen. Peters doesn’t want a debate. He wants to kill time while he directs his liberal allies &amp;amp; attack dogs to circulate a deceptively edited clip &amp;amp; continue to lie about me. We need the press to call a fair game, not roll over for internet gimmicks. https://t.co/yTw1X3uVNi</t>
  </si>
  <si>
    <t>1317874297629716483</t>
  </si>
  <si>
    <t>Sen. Peters is not the federal exchange. He is not on Michigan's state exchange. He's an out-of-touch career politician who doesn't know what the Affordable Care Act costs families because he's on an exclusive, gold-plated plan paid for by you, the taxpayer. https://t.co/oanuoENrah</t>
  </si>
  <si>
    <t>1317869651574067200</t>
  </si>
  <si>
    <t>Let’s make the Affordable Care Act affordable. By passing a legislative requirement to protect people with pre-existing conditions while expanding risk pools, allowing biz association plans and reforming the tort &amp;amp; regulatory hurdles that raise cost, we can get this done for MI. https://t.co/T8v58tKo7l</t>
  </si>
  <si>
    <t>1317567717352886273</t>
  </si>
  <si>
    <t>When we talk about the way things are, we need to use our thumbs, not just point our fingers. We need to vote for the change we need, not just talk about it. 
This November, Michigan has the option to vote for representation that looks and thinks like we do. #LetsFlyMI https://t.co/5dIJzTGL9s</t>
  </si>
  <si>
    <t>1317494032516472832</t>
  </si>
  <si>
    <t>It was an honor to have fellow Army veteran, @TomCottonAR, join us in West MI. Folks are looking for battle-tested leadership who will get results. Sen. Cotton &amp;amp; I will work hard over the next 6 years to protect our futures. Thank you to all our veterans who came out yesterday. https://t.co/R5dOTSP3Cm</t>
  </si>
  <si>
    <t>1317243928601628674</t>
  </si>
  <si>
    <t>Yes, @JoeBiden. I am a disaster for national Democrats’ narrative. A black man who thinks for himself. #YouAintBlack ?! https://t.co/iRGxbpB7ZI https://t.co/0KChHJMbFU</t>
  </si>
  <si>
    <t>1316950120701755393</t>
  </si>
  <si>
    <t>Live from Grand Rapids tonight, I discussed with @IngrahamAngle why people in Michigan are fed up the with the status quo. Michigan suffers, while my opponent continues to get rich at our expense. We need to change leadership in Nov, because I can promise Gary Peters won’t. ⬇️ https://t.co/g5m1Hx6HO7</t>
  </si>
  <si>
    <t>1316927827204329478</t>
  </si>
  <si>
    <t>Co-Pilots! Only 19 days left until Election Day, but they’re the most critical days yet. Tune into @FoxNews at 10:30 PM ET, I’ll be joining @IngrahamAngle to discuss the fate of our majority hinging on our senate race here in Michigan. Tune in!</t>
  </si>
  <si>
    <t>1316896361271394304</t>
  </si>
  <si>
    <t>Thank you, @MIPOAM, for meeting me in Saginaw this afternoon and lending your support. Having been an officer, I understand what it takes to uphold the law &amp;amp; the kind of resources &amp;amp; training necessary to make our officers successful at keeping our communities safe. https://t.co/R5bqgOy2ZW</t>
  </si>
  <si>
    <t>1316846000854765568</t>
  </si>
  <si>
    <t>On the 2 year anniversary of this video, I’m calling out Democrats again for trying to deceive Michiganders. My opponent is cheating and lying to those who entrusted him to represent them. I won’t tolerate this, and neither should the hardworking and honest people of this state. https://t.co/MhORAqCZ0z</t>
  </si>
  <si>
    <t>1316755691441446912</t>
  </si>
  <si>
    <t>The media keeps writing I’m a black man who’s “attempting to assert [my] independence from Trump”!😏
I’ll work w/ POTUS when he’s doing good for MI. I’ll work to change his mind when he’s not.
Libs should get used to the idea that nobody owns me or it’ll be a long 6 years.</t>
  </si>
  <si>
    <t>1316716767109165056</t>
  </si>
  <si>
    <t>WATCH: My opponent and his Democrat allies continue to build false narratives to con the people of Michigan into letting them buy this seat. It’s not working. The hardworking people of this state want the TRUTH, not more lies from their elected representatives. ⬇️ https://t.co/WPnSAFmxS6</t>
  </si>
  <si>
    <t>1316688954087936003</t>
  </si>
  <si>
    <t>TUNE IN Michigan! 📺 I’m coming up next on @FoxandFriends to discuss the state of our race in this final stretch before Election Day. #LetsFly https://t.co/4x7j5d7AOW</t>
  </si>
  <si>
    <t>1316140350361264134</t>
  </si>
  <si>
    <t>Co-Pilots, because of you this race is TIED and Democrats from across the country are pouring money into Michigan to help my opponent buy this seat. We’re surging in the polls and we can’t let them stop us. Help us keep up this momentum. ➡️ https://t.co/DF8AYUlC36 🦅 #LetsFly https://t.co/v71K6Bldlb</t>
  </si>
  <si>
    <t>1315715181012545538</t>
  </si>
  <si>
    <t>Tie ball game! Nate Cohn's latest features the recent NY Times/Siena poll which shows Michigan is one of the most competitive races in the nation. Representation matters, experience matters &amp;amp; Michiganders see that. This is huge news, let's keep it going! https://t.co/DJfe12aW2m https://t.co/KNS98d4VvI</t>
  </si>
  <si>
    <t>1315661947623403520</t>
  </si>
  <si>
    <t>I want to grow your economy, not Washington’s. Career politicians take care of themselves and become millionaires, while back home in Michigan, people struggle just to make ends meet. Do you really want to settle for the way Washington works? https://t.co/O8iFt7u4dC</t>
  </si>
  <si>
    <t>1315337355402915840</t>
  </si>
  <si>
    <t>Thank you for the warm welcome in Kalamazoo &amp;amp; Calhoun counties! It’s been such a joy to see your support from various areas of the state. Thank you for letting me share my vision with you all. We have 23 more days to go. Let's fly! #LETSFLYMI https://t.co/jf5qPbN8wn</t>
  </si>
  <si>
    <t>1315044901088907266</t>
  </si>
  <si>
    <t>There is no room for violence and divisive rhetoric in our society. We are better than this. America is better than this.
I have, and will continue to denounce hatred and domestic terrorism in all of it’s forms. https://t.co/ijnh11REoU</t>
  </si>
  <si>
    <t>1314681636534001664</t>
  </si>
  <si>
    <t>These last 25 days won’t be easy, with Democrats spending millions of dollars each week to try and defeat us. I know you’re ready for change in Washington, so let’s continue to show them how much stronger our grassroots army is. ➡️ https://t.co/Xf8Mpro9QC https://t.co/Hcl9EiPaV7</t>
  </si>
  <si>
    <t>1314667133809328129</t>
  </si>
  <si>
    <t>I am deeply grateful we are able to support the Jewish Hospice and Chaplaincy Network through the Nickel Promise. Thank you again Rabbi Freedman &amp;amp; Rabbi Krakoff for taking time to meet with me today to discuss how we can continue to support your work in the future — Chag Sameach! https://t.co/uu6GSYfmZm</t>
  </si>
  <si>
    <t>1314591347173724160</t>
  </si>
  <si>
    <t>Detroit isn't a place I visit. I was raised here. I work here. Let's get our community back on the path to prosperity — focusing on inclusive growth, opportunity, and education. Thank you @DWANTS2KNOW &amp;amp; thank you to everyone in the community who stopped by this morning. https://t.co/H3KnN6mIgJ</t>
  </si>
  <si>
    <t>1314332577524785152</t>
  </si>
  <si>
    <t>Today in Gwinn, I got to see up close one of the industries that powers the UP and invests in their people and their community. I was excited to tour the Potlatch facilities today alongside Congressman Bergman and discuss with them what more can be done to help the UP thrive. https://t.co/JCH6wttgE0</t>
  </si>
  <si>
    <t>1314290909568266251</t>
  </si>
  <si>
    <t>I took an oath to defend the Constitution and this nation against enemies foreign and DOMESTIC. Those who threatened our State must be prosecuted to the fullest.</t>
  </si>
  <si>
    <t>1314189606762483714</t>
  </si>
  <si>
    <t>New Center Stamping is a prime example of the revitalization happening in Detroit. I have the experience to ensure we can continue to prosper. It’s time that someone who’s torn down barriers before represents us. It will be an honor to be a voice for our workers in Washington. https://t.co/qzUMpFcgxo</t>
  </si>
  <si>
    <t>1313248071699107843</t>
  </si>
  <si>
    <t>We’ve got to stop tearing this country down, and stop tearing each other down.
There is no wall too high or issue too big to solve if we commit to service before self.
Mission first, people always — that’s how I intend to serve Michigan in the U.S. Senate. https://t.co/0SJ15P5seP</t>
  </si>
  <si>
    <t>1313149127870611460</t>
  </si>
  <si>
    <t>Had a wonderful morning in Kent County with @VoteMeijer, @KentCountyClerk, and others working to help Get Out the Vote! As part of our duty as American citizens, voting is essential to having our voices be heard. Every vote matters. #GOTV https://t.co/G7AkdJ30Ft</t>
  </si>
  <si>
    <t>1312880039504097282</t>
  </si>
  <si>
    <t>Co-Pilots, we’re in the last 30 days of this campaign &amp;amp; I need your help.
Vote early and help us ensure a fair &amp;amp; balanced election November 3rd ➡️ https://t.co/WJ73UjcvAe
If you have my six on Election Day, I’ll have your six the next 6 years in Washington. #LetsFly https://t.co/oKODpdCFgY</t>
  </si>
  <si>
    <t>1312502912090693633</t>
  </si>
  <si>
    <t>It’s John-John’s birthday this weekend, and since we’re visiting family — we took steps to protect our loved ones.
I’ve tested NEGATIVE for COVID-19, and will continue to do my part to ensure those around me stay safe and healthy. https://t.co/2EOEvFItfo</t>
  </si>
  <si>
    <t>1323760439642198024</t>
  </si>
  <si>
    <t>Minnesota — remember you can register to vote at your polling location. Find your polling place &amp;amp; information you need: https://t.co/Aq6jeu0xEO https://t.co/VVje2TKw7T</t>
  </si>
  <si>
    <t>1323747760571617281</t>
  </si>
  <si>
    <t>We’re stronger together. And when we raise our voices, we can make change happen.</t>
  </si>
  <si>
    <t>1323726660643000320</t>
  </si>
  <si>
    <t>On my walk this morning, saw these ladies serving coffee and getting folks motivated to vote! Doing all that we can these last few hours to make sure everyone’s got a plan to vote. https://t.co/6UGiYFtQbO</t>
  </si>
  <si>
    <t>1323698802826473473</t>
  </si>
  <si>
    <t>Thank you to everyone who has dedicated time in this election to making sure folks get out to vote. You are making a difference.</t>
  </si>
  <si>
    <t>1323680429090754560</t>
  </si>
  <si>
    <t>Action on COVID-19.
Childcare.
Education.
Housing.
Health care.
Reproductive rights.
This is what we’re voting for. #Vote.</t>
  </si>
  <si>
    <t>1323672635071516673</t>
  </si>
  <si>
    <t>Today we #vote...
To elect @JoeBiden and @KamalaHarris
To flip the U.S. Senate
To elect @MinnesotaDFL-ers up and down the ballot and #FlipMNSenate</t>
  </si>
  <si>
    <t>1323657859889061890</t>
  </si>
  <si>
    <t>We’ve done so much together, MN. From parades in 2019, visiting small businesses, &amp;amp; everything in between, you’ve told me what’s important to you. Together, if you re-elect me to the Senate, I hope we can continue to get things done. Remember: an election is only the beginning. https://t.co/01JFqJ58LR</t>
  </si>
  <si>
    <t>1323648784899997697</t>
  </si>
  <si>
    <t>Today. Vote. https://t.co/Aq6jeu0xEO https://t.co/k7RHQB9ntb</t>
  </si>
  <si>
    <t>1323626904621060099</t>
  </si>
  <si>
    <t>Your voting resources today:
Polls are open until 8PM
Find voting locations at https://t.co/Aq6jeu0xEO
Questions or concerns? Need a ride? 833-DFL-VOTE</t>
  </si>
  <si>
    <t>1323610967058558976</t>
  </si>
  <si>
    <t>Minnesota, polls are open! Find your mail-in ballot drop off location or polling place here: https://t.co/Aq6jeu0xEO https://t.co/uE2BuoohPF</t>
  </si>
  <si>
    <t>1323508781221859329</t>
  </si>
  <si>
    <t>Less than 24 hours until polls close and we’re not slowing down! So many folks in St. Paul and Minneapolis tonight are ready to keep going, ready to keep organizing. Let’s go! https://t.co/uBytMk3mwi</t>
  </si>
  <si>
    <t>1323493469554429953</t>
  </si>
  <si>
    <t>Tomorrow morning we’ll wake up to one of the most important moments of our lifetimes and our country. The task ahead of us — to elect @JoeBiden and @KamalaHarris and flip the U.S. Senate — is no small one. But Minnesota, I know we can do it when we come together. Let’s do this.</t>
  </si>
  <si>
    <t>1323482652830294022</t>
  </si>
  <si>
    <t>MINNESOTA 📣 If you still have your mail-in ballot, DO NOT mail it in. Hand-deliver it to a drop off location by 3PM tomorrow. Find a location here: https://t.co/Aq6jeu0xEO</t>
  </si>
  <si>
    <t>1323450593667678209</t>
  </si>
  <si>
    <t>Minnesotans, make your voice heard in this most important election. Hand-deliver your mail-in ballot, vote early today in-person, or vote tomorrow on Election Day. Find a location at https://t.co/Aq6jeu0xEO.
Thanks for making your voice heard, Emmanuel. https://t.co/ZghkP1lRks</t>
  </si>
  <si>
    <t>1323443540555386881</t>
  </si>
  <si>
    <t>If you experience ANY problems while voting, call the voter protection hotline at 833-DFL-VOTE immediately. Legal experts will be available to help you. It’s your vote and your power.</t>
  </si>
  <si>
    <t>1323435336119296000</t>
  </si>
  <si>
    <t>Thank you to the letter carriers and all the postal workers who are moving heaven and earth to get our mail-in ballots delivered so they can be counted. This is what service looks like.</t>
  </si>
  <si>
    <t>1323423171291303936</t>
  </si>
  <si>
    <t>Your hard work, dedication, organizing will help make sure we win. Grateful for each &amp;amp; every one of you showing up to make change happen in Shakopee, on Dakota land, today with @amyklobuchar, @AngieCraigMN, @_RyanWinkler, @anforhouse, @SahraForMN, @BradTabke, &amp;amp; @melisafranzen! https://t.co/r8ylwsdZ0w</t>
  </si>
  <si>
    <t>1323416530445570052</t>
  </si>
  <si>
    <t>We’ve been able to work on so many issues important to Minnesota’s working families — affordable Rx drug prices &amp;amp; the cost of insulin, accessible &amp;amp; affordable child care, resources for our education systems, &amp;amp; more. Let’s keep the work going. Thanks for your support, @sarabflick. https://t.co/1bcK1SFYAy</t>
  </si>
  <si>
    <t>1323407433738395648</t>
  </si>
  <si>
    <t>We’ve got some awesome supporters. You may have seen some #TinaForMN signs along bridges this week (and special guest @IlhanMN)! Thanks to everyone who is out showing their support. https://t.co/pqVXUKTsvM</t>
  </si>
  <si>
    <t>1323399062163394560</t>
  </si>
  <si>
    <t>I feel grateful for the opportunity to get to work for Minnesotans day after day, week after week in Washington. And @GaryForDuluth, it would be an honor to continue to work for Minnesotans. 
Make sure your voice is heard. Vote. https://t.co/Aq6jeui8wm https://t.co/I9foMaEU4H</t>
  </si>
  <si>
    <t>1323391524537860097</t>
  </si>
  <si>
    <t>There’s a lot going on right now, and it’s all very personal. I believe Minnesota can #BuildBackBetter when we have leaders invested in doing so.
@JoeBiden is that leader. Read his @DuluthNews column: https://t.co/YAXfRMs9y5</t>
  </si>
  <si>
    <t>1323383450636849152</t>
  </si>
  <si>
    <t>In this election, we have a chance to choose unity over division. And a chance to elect strong, kind, empathetic leaders. Thanks to all who joined us — @AngieCraigMN, @peggyflanagan, @Lindsey_Port, @Hanson4House56A, @kaelaberg, @melisafranzen, &amp;amp; others — in Burnsville today. https://t.co/jVeeGViMbZ</t>
  </si>
  <si>
    <t>1323373163875606529</t>
  </si>
  <si>
    <t>✅ Expanding rural broadband
✅ Lowering the cost of Rx drugs
✅ Working to increase access to affordable childcare
✅ Expanding mental health services in schools
From the time I got to the Senate, I’ve gotten to work for you. And I’m ready to keep going.</t>
  </si>
  <si>
    <t>1323356652284891136</t>
  </si>
  <si>
    <t>There is excitement in Hastings as we keep organizing to get folks out to vote with @AngieCraigMN, @peggyflanagan, @_RyanWinkler, @karlabigham, @KelseyWaitsMN, @SusanKentMN, &amp;amp; @melisafranzen. Folks are doing everything they can to keep Minnesota blue. https://t.co/5Su6Ow3jYe</t>
  </si>
  <si>
    <t>1323342541253758977</t>
  </si>
  <si>
    <t>Health care, education, housing, &amp;amp; more — that’s what’s on the ballot. In Stillwater today, folks are ready to elect leaders who are fighting for that. Great to be w/ @shellyforhouse, @mozeyforhouse, @josiahhill4mn, @SusanKentMN, @votebetty, @Tim_Walz, Gwen Walz, &amp;amp; @kenmartin73. https://t.co/AEySuub1gy</t>
  </si>
  <si>
    <t>1323334706797154305</t>
  </si>
  <si>
    <t>A good morning in White Bear Lake with @votebetty, @AmiWazlawik, @nicolefrethem, @Justinfor38, @Krisforus, @susankentMN, @PeterFischerMN, @ChuckWiger, &amp;amp; others! 🌞 One day. Let’s channel our hope &amp;amp; optimism into the work ahead. https://t.co/frWgZhkCtP https://t.co/Z1G9Kbtxze</t>
  </si>
  <si>
    <t>1323310056461533187</t>
  </si>
  <si>
    <t>TOMORROW: Join me and @IlhanMN for a socially distanced event at the University of Minnesota to help get students out to vote. RSVP ↴ https://t.co/HnYkcxjEc1</t>
  </si>
  <si>
    <t>1323290555879706624</t>
  </si>
  <si>
    <t>Proud to be serving Minnesotans in the Senate, making sure your voices are heard, and getting things done for you. Grateful for your words, @OlsonForMN. https://t.co/0NG06xuQDU</t>
  </si>
  <si>
    <t>1323265071175225345</t>
  </si>
  <si>
    <t>Tomorrow. https://t.co/Aq6jeui8wm</t>
  </si>
  <si>
    <t>1323079671228076035</t>
  </si>
  <si>
    <t>Proud to be with @epmurphymn, @MaryKunesh9, @AthenaHollins, @KarenBassTweets, and @womenwinning today. I’m so grateful for all of the volunteers who have showed up over the last few days, weeks, and months to help elect pro-choice champions. Together, we can win! https://t.co/Y8LA3M2UnQ</t>
  </si>
  <si>
    <t>1323060931933409281</t>
  </si>
  <si>
    <t>We need to elect strong, capable, compassionate leaders who will hear the needs of Minnesotans and move us forward.
Rep. @tslippert — thank you so much for your support. Proud to fight for Minnesotans each and every day. https://t.co/Aqrthz0H0y</t>
  </si>
  <si>
    <t>1323052437796802560</t>
  </si>
  <si>
    <t>We are READY to elect @JoeBiden and @KamalaHarris. With this energy, I know we can #BuildBackBetter. Great to be with @SenatorPappas, @KaohlyVangHer, @melvincarter3, @RenaForRep, @Cmarianirosa, &amp;amp; @KarenBassTweets — two days to go! https://t.co/j70GHgTQcC</t>
  </si>
  <si>
    <t>1323042559388721152</t>
  </si>
  <si>
    <t>Two days to drop off your mail-in ballot, vote early in-person, or vote on Election Day. 
@heather4house is right: Wear a mask. Cast your vote. And proudly wear your “I Voted” sticker! https://t.co/Aq6jeu0xEO https://t.co/oeJLn2PVgR</t>
  </si>
  <si>
    <t>1323034123091529729</t>
  </si>
  <si>
    <t>Young folks are choosing courage over fear and working hard to elect @MinnesotaDFL-ers up and down the ballot. Thank you to all of our Young Minnesotans 4 Tina volunteers who joined my friend and colleague @ewarren and myself for tonight’s phonebank launch! https://t.co/V03vzlhrZJ</t>
  </si>
  <si>
    <t>1323018842101239809</t>
  </si>
  <si>
    <t>Our voices are strong — but only if we use them. Grateful to be in North Minneapolis this afternoon getting folks excited to vote for Bobby Joe Champion, @IlhanMN, and @go4esther. And thanks to @KarenBassTweets from CA for being with us! #SoulsToThePolls https://t.co/bu0hEuzQCg</t>
  </si>
  <si>
    <t>1322986970403000326</t>
  </si>
  <si>
    <t>In two days, we have the opportunity to elect incredible women to lead our state. Honored to join @womenwinning, @peggyflanagan, @votebetty, @ilhanmn, @go4esther, @emmagreenman, and @ValerieJarrett for an incredible kickoff this afternoon. https://t.co/99yTFwPaMY</t>
  </si>
  <si>
    <t>1322972499555110913</t>
  </si>
  <si>
    <t>Proud to be a partner to deliver results for Duluth, @LizOlson218. It’s so important that we listen to Minnesotans’ and then get to work. There’s so much work we need to do together.
Make a plan to vote at https://t.co/Aq6jeu0xEO https://t.co/rCyAs97ebZ</t>
  </si>
  <si>
    <t>1322955509222330368</t>
  </si>
  <si>
    <t>Lub xyoo no peb sawv daws tau dhau ntau ntsa ntau yam tab sis kuv paub tias yog peb khoom teb ua kes peb yuav tsum yeej ua ke. https://t.co/57eBTdgVz1</t>
  </si>
  <si>
    <t>1322952649445122050</t>
  </si>
  <si>
    <t>Hemos pasado por mucho este año, y aun hay mucho para lograr!
¡Trabajando unidos lo cumpliremos porque no hay nada mas fuerte que nuestra comunidad unidad en momentos como estos! https://t.co/FOfTYuio2p</t>
  </si>
  <si>
    <t>1322940190244196353</t>
  </si>
  <si>
    <t>Worrying is not a strategy. Organizing is a strategy. Sign up for a volunteer shift between now and when polls close on Election Day: https://t.co/frWgZhkCtP</t>
  </si>
  <si>
    <t>1322927392558632961</t>
  </si>
  <si>
    <t>Apichart, I am so grateful for your support. I am working hard in Washington to make sure we are building an economy that works for all Minnesotans. And working hard to make sure your voices are heard in Washington. https://t.co/yAbiDZCFai</t>
  </si>
  <si>
    <t>1322913816284450816</t>
  </si>
  <si>
    <t>So. Many. Volunteers. With just two days left, we have volunteers making millions of phone calls to Minnesotans all across the state. We have the energy and the momentum to win. https://t.co/FDFgfKhOf7</t>
  </si>
  <si>
    <t>1322742873893326848</t>
  </si>
  <si>
    <t>Listening to you &amp;amp; then getting to work for you in Washington. Together we’ve been able to get so much done together — lower Rx drug costs, expanding rural broadband, supporting mental health, &amp;amp; more. Excited to keep working together. Thanks for your support, @SteveSandell53b. https://t.co/HrQJo07DmS</t>
  </si>
  <si>
    <t>1322733331872665601</t>
  </si>
  <si>
    <t>We’re fighting for equality, for protection from discrimination, for justice. And we’re working hard to flip the Senate. So glad I was able to join @HRC @AlphonsoDavid and @BarbaraBollier to get folks fired up for these next three days — there is so much at stake. https://t.co/Szp1JK5AjQ</t>
  </si>
  <si>
    <t>1322726365339287552</t>
  </si>
  <si>
    <t>We win by talking to voters. We win by showing up. We win by fighting for what’s right. We’re doing all of that over the next few days on the @MinnesotaDFL bus tour. https://t.co/F17cZXZBs8</t>
  </si>
  <si>
    <t>1322719262893625344</t>
  </si>
  <si>
    <t>Do not underestimate the power of women — we’re making change happen. That was so clear at the @womenwinning GOTV kickoffs today with @peggyflanagan, @QuinnNystrom, @LizOlson218, @VoteMcEwen, @AngieCraigMN, @Lindsey_Port, @WestlinSD34, &amp;amp; @alexismcgill. https://t.co/Z5FjX43fEn</t>
  </si>
  <si>
    <t>1322711682968375298</t>
  </si>
  <si>
    <t>We’ve got to keep my friend @DougJones in the Senate. And his race is tied. Chip in what you can: https://t.co/PntcO5LcUZ https://t.co/rn6MtjS0Aa</t>
  </si>
  <si>
    <t>1322706456802664450</t>
  </si>
  <si>
    <t>Join us tomorrow to show your support for @JoeBiden! https://t.co/kvYrt0mLAF</t>
  </si>
  <si>
    <t>1322701683030413313</t>
  </si>
  <si>
    <t>Folks are motivated and energized to get out the vote in North Minneapolis. We’ve got to re-elect Rep. @IlhanMN, @RepFueLee, &amp;amp; Sen. Bobby Joe Champion and elect @go4esther, &amp;amp; @DeVonna2 and so many others. And we’ve got to vote and organize like our very lives depend on it. https://t.co/zX8hsHLrHt</t>
  </si>
  <si>
    <t>1322688656772136961</t>
  </si>
  <si>
    <t>And we’ve got to keep fighting, @RitaForSenate. Grateful for your support.
You can vote in-person early or on Election Day. Find a location here: https://t.co/Aq6jeu0xEO https://t.co/ccM1VaxZqn</t>
  </si>
  <si>
    <t>1322682242376912897</t>
  </si>
  <si>
    <t>Organizing is the strategy. And that’s exactly what we did today in Eden Prairie. Ready to re-elect @deanbphillips, @MelisaFranzen, @CwodMN, @lauriepryor, &amp;amp; @carlieforhouse. Find where to hand-deliver your mail-in ballot or vote in person: https://t.co/Aq6jeu0xEO https://t.co/9WFMLr6hZz</t>
  </si>
  <si>
    <t>1322669340202815488</t>
  </si>
  <si>
    <t>It’s so important that you return your mail-in ballot ASAP. It’s too late to mail it back. Hand-deliver it to a designated location (find one below!) or vote in-person before or on Election Day. https://t.co/Aq6jeu0xEO</t>
  </si>
  <si>
    <t>1322658721533693954</t>
  </si>
  <si>
    <t>Proud to be in this fight with you, Speaker @melissahortman. We’ve got to keep fighting to elect strong women leaders.
With 3 days to go, let’s make sure the Minnesota House stays blue! https://t.co/zZLEMmpkzu</t>
  </si>
  <si>
    <t>1322649766841470977</t>
  </si>
  <si>
    <t>Great to join @Tim_Walz and @deanbphillips in Wayzata to get out the vote with @SenatorAnn, @GinnyKlevorn, @PattyAcomb, @AnnforMNSenate, and @piper4mn. Over these next 3 days, we’re doing everything we can to make sure our neighbors have voted. Join us: https://t.co/frWgZhkCtP https://t.co/5XPaO0pSph</t>
  </si>
  <si>
    <t>1322638367729868805</t>
  </si>
  <si>
    <t>Exactly what Susan said. 3 days left to get out the vote and to vote for @MinnesotaDFL-ers who will stand up for your values. https://t.co/Aq6jeu0xEO https://t.co/txqgYZ3Jr0</t>
  </si>
  <si>
    <t>1322624712716025865</t>
  </si>
  <si>
    <t>A beautiful day in St. Cloud getting folks ready to vote with @AricForMN, @RepWolgamott, @TamiForMN, @_RyanWinkler, @julieblaha, and @kenmartin73. More than 1.5 MILLION Minnesotans have already cast their ballots — let’s keep the energy going! https://t.co/PacJfyT6g2</t>
  </si>
  <si>
    <t>1322614898023694338</t>
  </si>
  <si>
    <t>.@ScottDibble and @RichardALeyva, I’m grateful for your support. And the fight for justice requires each and every one of us stepping up and making our voices heard. Our voices are powerful, but only if we use them. https://t.co/z0oZXQs26u</t>
  </si>
  <si>
    <t>1322595781656924160</t>
  </si>
  <si>
    <t>You heard @KamalaHarris, Minnesota. We have three days to give this election our all and finish the work we’ve been doing together. Let’s do this. https://t.co/S1rOjLpWIL</t>
  </si>
  <si>
    <t>1322586449338880001</t>
  </si>
  <si>
    <t>Reminder: Polls don’t win elections. Votes do. https://t.co/Aq6jeu0xEO</t>
  </si>
  <si>
    <t>1322565256129007617</t>
  </si>
  <si>
    <t>On November 3rd, we don’t just need to elect @JoeBiden and hold my seat. We need to elect @MinnesotaDFL-ers up and down the ballot. We need to show just how strong we are when we work together. #Vote</t>
  </si>
  <si>
    <t>1322552198384001025</t>
  </si>
  <si>
    <t>Happy Halloween! From phone calls to text messages to carved pumpkins, we’re making sure all of our neighbors have a plan to vote. https://t.co/Aq6jeu0xEO https://t.co/kx1DA7OiXt</t>
  </si>
  <si>
    <t>1322380557024743424</t>
  </si>
  <si>
    <t>We have four days to make @JoeBiden our next President. So great to join him and so many Minnesota leaders at the fairgrounds today. Four days. https://t.co/Aq6jeu0xEO https://t.co/KdDQo8n2Pq</t>
  </si>
  <si>
    <t>1322376211113385984</t>
  </si>
  <si>
    <t>For the last 4 years, so many have been working towards this election in just 4 days. There’s a lot happening in this moment, but I want to say thank you — for getting in this fight, for standing up for your values, for rejecting hate &amp;amp; division. We can make change happen.</t>
  </si>
  <si>
    <t>1322370777254141952</t>
  </si>
  <si>
    <t>Thanks for your support, Ahmay. There is so much at stake in this election and I’m proud to be fighting for a better future alongside you. Make sure your voice is heard and counted in this election. Make your plan to vote at https://t.co/Aq6jeu0xEO. https://t.co/zli6O8NLGx</t>
  </si>
  <si>
    <t>1322358664192249856</t>
  </si>
  <si>
    <t>4 days. https://t.co/Uigd1OTfOc</t>
  </si>
  <si>
    <t>1322342313331466242</t>
  </si>
  <si>
    <t>This month, we’ve talked to MILLIONS of voters in Minnesota. Let’s do it again in just four days. We can’t do it without you. Sign up for a phonebank to help us reach that: https://t.co/frWgZhkCtP</t>
  </si>
  <si>
    <t>1322334927082393600</t>
  </si>
  <si>
    <t>We’ve got a big team. Proud to have the support of so many incredible groups that are committed to fighting for Minnesotans each and every day. https://t.co/v2ycygETgr</t>
  </si>
  <si>
    <t>1322325043343491074</t>
  </si>
  <si>
    <t>Make sure your voice is counted in this election. As Isabelle said, you can vote early in-person OR vote on November 3rd. Find your local polling place at https://t.co/Aq6jeu0xEO https://t.co/YwVUboDGsR</t>
  </si>
  <si>
    <t>1322302525370966019</t>
  </si>
  <si>
    <t>Your 4-day checklist:
🗳️ #Vote. https://t.co/Uigd1OTfOc
📱 Sign up to make calls. https://t.co/frWgZhkCtP
🍎 Eat &amp;amp; hydrate.
💤  Sleep.
🔁  Repeat.</t>
  </si>
  <si>
    <t>1322287225921511424</t>
  </si>
  <si>
    <t>Hand-deliver your mail-in ballot ASAP. Find a drop off location here: https://t.co/Aq6jeu0xEO</t>
  </si>
  <si>
    <t>1322256569954959361</t>
  </si>
  <si>
    <t>From the time I arrived in the Senate, I’ve delivered for MN. I’ve gotten more than two dozen bills &amp;amp; provisions signed into law with strong bipartisan support. We’ve made sure Minnesotans have the support they need &amp;amp; have prioritized you all along the way. https://t.co/ZDFQD7lsjV</t>
  </si>
  <si>
    <t>1322240657449254912</t>
  </si>
  <si>
    <t>SUNDAY: Join me and my friend @EWarren for a phonebank with young Minnesotans. RSVP: https://t.co/GgaqTNf9by</t>
  </si>
  <si>
    <t>1322228172189040641</t>
  </si>
  <si>
    <t>This week brought terrible news about @citypages closing. Thinking about the loss of a great MN weekly, and City Pages staff. We need to support local journalism.</t>
  </si>
  <si>
    <t>1322209402984824832</t>
  </si>
  <si>
    <t>Help us make sure all Minnesotans know this:
🗳️ It’s too late to mail your ballot.
🗳️You can still hand-deliver your mail-in ballot by 3 PM on Nov. 3 OR vote in-person before or on Election Day.
🗳️ Go to https://t.co/Aq6jeu0xEO to find a drop-off location or polling place. https://t.co/Omna9gRJrn</t>
  </si>
  <si>
    <t>1322183516264845317</t>
  </si>
  <si>
    <t>🚨 Our race was just changed to a “toss-up” — and Trump is headed here today.
With just four days to go, they think they can win.
Let’s prove them wrong. Chip in $5: https://t.co/qzlnb6TIZW</t>
  </si>
  <si>
    <t>1322163782710382592</t>
  </si>
  <si>
    <t>MN Senate Minority Leader @SusanKentMN from SD53 has supported my fight for mental health care for students since my time as Lt. Governor. I am proud to share this fight with her and have her support. https://t.co/YVfivvElJE</t>
  </si>
  <si>
    <t>1322015646167818240</t>
  </si>
  <si>
    <t>Young folks are fired up and ready to make history this election. Thanks to @mohamudnoor, @tslippert, @epmurphymn, &amp;amp; @heather_edelson for joining our rally with Young Minnesotans yesterday! https://t.co/dxhOvfAxYG</t>
  </si>
  <si>
    <t>1322003074869841921</t>
  </si>
  <si>
    <t>This is the energy and excitement that will lead us into Election Day on November 3rd. Thanks for your support, @RepWolgamott (and your daughter’s too!) https://t.co/jQSlOaieJ5</t>
  </si>
  <si>
    <t>1321996815315673093</t>
  </si>
  <si>
    <t>SATURDAY: I’m excited to help kick-off GOTV weekend with @HRC’s @AlphonsoDavid and @BarbaraBollier. RSVP to join us ↴ https://t.co/MwUO0klCjS</t>
  </si>
  <si>
    <t>1321979570464194562</t>
  </si>
  <si>
    <t>Breaking: Today the Court ruled that for your vote to be counted in Minnesota, your ballot MUST be delivered by Election Day. Your vote is your voice, do not be silenced. Go to https://t.co/wpBjqCIG9E to find out where you can hand-deliver your mail-in ballot or vote in person. https://t.co/JEyGtha3Oq</t>
  </si>
  <si>
    <t>1321941315232370690</t>
  </si>
  <si>
    <t>Cold temperatures can’t stop our excitement for getting out the vote over the next five days! Hibbing ➡️ Chisholm ➡️ Duluth with @amyklobuchar. Now let’s make sure everyone’s got a plan to vote on or before Nov. 3rd. https://t.co/Aq6jeu0xEO https://t.co/d9jQjtsldG</t>
  </si>
  <si>
    <t>1321933299841904642</t>
  </si>
  <si>
    <t>If you’re waiting for a sign to call your friends and family to make sure they have a plan to vote, this is your sign.</t>
  </si>
  <si>
    <t>1321914467823898629</t>
  </si>
  <si>
    <t>Brooke is absolutely right — this is the most important election of our lives. Your voice is strong, but only if you use it. Make your voice heard and vote. https://t.co/FnxHbdMPSr https://t.co/BjvP0XA0Cc</t>
  </si>
  <si>
    <t>1321894550965833733</t>
  </si>
  <si>
    <t>We’ve got to get dark money out of politics. And I’m working in the Senate to make sure that happens. Proud to be endorsed by @StopBigMoney. https://t.co/rObBOkXn8d</t>
  </si>
  <si>
    <t>1321884683228090368</t>
  </si>
  <si>
    <t>Young folks are turning out their communities to vote in record numbers. And these last 5 days, we’ve got to give everything we’ve got. Thanks to Jess Mueller, @CollegeDemsMSUM, and Mayor Johnathan Judd for sharing with us how we can keep young folks engaged in this final push. https://t.co/OH7AJx61sV</t>
  </si>
  <si>
    <t>1321867750005002241</t>
  </si>
  <si>
    <t>Working together with MN’s Native communities, we’ve secured more resources for Native elders’ nutrition services, worked on public health challenges, uplifted Native leaders’ innovation in urban spaces, &amp;amp; secured COVID-19 relief funds. Proud of our partnership.</t>
  </si>
  <si>
    <t>1321856670788714497</t>
  </si>
  <si>
    <t>We need leaders who will fight for farmers &amp;amp; rural communities — &amp;amp; I know we can count on @JoeBiden to be a partner. Thank you to Kory Koester for having myself, @amyklobuchar, &amp;amp; @heidiheitkamp to your farm in Glyndon today &amp;amp; for sharing with us the challenges you’ve been facing. https://t.co/Bch4hyIGwt</t>
  </si>
  <si>
    <t>1321840760908644352</t>
  </si>
  <si>
    <t>Five days left. If you haven’t returned your mail-in ballot, make sure to drop it off at a location near you on or before Election Day: https://t.co/Aq6jeu0xEO</t>
  </si>
  <si>
    <t>1321652461929713664</t>
  </si>
  <si>
    <t>Our students are facing unprecedented learning environments, skyrocketing debt, and job searching in the midst of pandemic. They’re mobilizing to demand change. Thanks to Matt, Laurel, and Colin for facilitating today’s conversation at @csbsju. https://t.co/MFFzCd1SRE</t>
  </si>
  <si>
    <t>1321644232667516929</t>
  </si>
  <si>
    <t>We have six days to keep Minnesota blue &amp;amp; it’s all-hands-on-deck with @Tim_Walz, Gwen Walz, @ScottDibble, @martcw12, &amp;amp; so many great volunteers. Thanks to everyone for joining our phone bank kickoff tonight &amp;amp; for all of the conversations you’re having with folks across the state. https://t.co/uXjqKCaHdn</t>
  </si>
  <si>
    <t>1321634688377774081</t>
  </si>
  <si>
    <t>Thanks MN Governors. We need this. https://t.co/zUSBQ4JfeY</t>
  </si>
  <si>
    <t>1321616856864722945</t>
  </si>
  <si>
    <t>Whether we’re working to make sure Hmong American farmers are prioritized in the Farm Bill or hearing about the effects of COVID-19 from business owners at Hmong Village, I’m grateful to partner with Hmong Americans in MN. Proud to be endorsed by the Peb Hmong American Caucus. https://t.co/BANzQzl1ip</t>
  </si>
  <si>
    <t>1321606960542875649</t>
  </si>
  <si>
    <t>There’s so much at stake — our health care and childcare, protecting our students from discrimination, action on climate change. Thanks for your support, @shellyforhouse. We need to vote like our lives depend on it. https://t.co/nKp9cLGC3P</t>
  </si>
  <si>
    <t>1321595163425312772</t>
  </si>
  <si>
    <t>When our unions are strong, we are all stronger. Thanks to @Teamstersjc32 and @SherrodBrown for a great conversation this afternoon. https://t.co/D9HfitVn6z</t>
  </si>
  <si>
    <t>1321585586994663425</t>
  </si>
  <si>
    <t>Minnesota, make sure you drop off your ballot ASAP if you haven't already. Find a drop-off location near you at https://t.co/Aq6jeu0xEO</t>
  </si>
  <si>
    <t>1321575930595364866</t>
  </si>
  <si>
    <t>Great to join @UMDCollegeDems, @DuluthMPIRG, &amp;amp; @MPIRG to hear what’s important to them in this election. From climate change to health care to taking action on COVID-19, there is a lot more work for us to do together. https://t.co/xLmboieo4d</t>
  </si>
  <si>
    <t>1321566859674767365</t>
  </si>
  <si>
    <t>No one should have to ration their insulin. Period. I introduced legislation to provide emergency insulin to those who need it.</t>
  </si>
  <si>
    <t>1321554123154722825</t>
  </si>
  <si>
    <t>BREAKING: Donald Trump is campaigning in Minnesota on Friday.
Just DAYS before the election, he’s making a last-minute push to flip MN red. And a recent poll shows my race within ONE point. Can you chip in $5 right now to help me keep MN blue? https://t.co/WV2SvwRVWM</t>
  </si>
  <si>
    <t>1321542822089134081</t>
  </si>
  <si>
    <t>Senator @founghawj, I’m proud to have your support. And you’re right, we need to encourage all of our friends and relatives to vote. Head to https://t.co/Aq6jeu0xEO to make a plan. https://t.co/0BzojFIDUJ</t>
  </si>
  <si>
    <t>1321522596689682432</t>
  </si>
  <si>
    <t>In 6 days, we can flip the Senate. But we can only do that if you have a plan to vote. https://t.co/Aq6jeu0xEO</t>
  </si>
  <si>
    <t>1321493202432647169</t>
  </si>
  <si>
    <t>From delivering on the bipartisan 2018 Farm Bill to expanding rural health care, I’ve been a proud partner of Minnesota’s farmers and agriculture community. There’s so much more for us to get done. Honored to be endorsed by the MN Farm Bureau Federation PAC. https://t.co/ftZwapxtDf</t>
  </si>
  <si>
    <t>1321284949144645636</t>
  </si>
  <si>
    <t>So sorry to hear this news. Jordana, you have legions of folks wishing you the best—including me. https://t.co/OoK9VSOJQG</t>
  </si>
  <si>
    <t>1321278226069676034</t>
  </si>
  <si>
    <t>So many volunteers. So many calls made all across Minnesota. So much energy to keep Minnesota blue. Sign-up to help us make even more calls in this final stretch: https://t.co/frWgZhkCtP https://t.co/WjokoeQJHE</t>
  </si>
  <si>
    <t>1321269981385019393</t>
  </si>
  <si>
    <t>.@CoachPhill knows the importance of teamwork and strong leadership. Phill, I’m proud to have you on our team.
We’ve got to work together to raise our voices. Make your plan to vote. https://t.co/Aq6jeu0xEO https://t.co/pasWCWTl37</t>
  </si>
  <si>
    <t>1321252229102403590</t>
  </si>
  <si>
    <t>1. A new poll has our race in a statistical tie.
2. Trump has spent millions to flip MN red &amp;amp; now he’s diving in last-minute to make sure that happens.
3. Mike Pence campaigned in MN yesterday.
I’m fighting back. Can you chip in $5 to help me stop them? https://t.co/XnsV7MDiqP</t>
  </si>
  <si>
    <t>1321240655746785280</t>
  </si>
  <si>
    <t>Telehealth has emerged as a valuable lifeline for millions of patients across the country during this pandemic. We’ve got to make sure more resources are available so even more providers can make these tools available. https://t.co/gTUbPiKlr0</t>
  </si>
  <si>
    <t>1321229311198855171</t>
  </si>
  <si>
    <t>Worrying is not a strategy. Organizing is a strategy. https://t.co/frWgZhkCtP</t>
  </si>
  <si>
    <t>1321218445984366593</t>
  </si>
  <si>
    <t>There is no time to waste in taking action on climate change. We need bold action now.
We could start by passing my Clean Energy Standard Act.</t>
  </si>
  <si>
    <t>1321207055856840706</t>
  </si>
  <si>
    <t>We have just one week to:
🗳 Elect @JoeBiden and @KamalaHarris.
🗳 Take back the U.S. Senate.
🗳 #FlipMNSenate and elect DFLers up and down the ballot.</t>
  </si>
  <si>
    <t>1321188015612567558</t>
  </si>
  <si>
    <t>Two years ago, 11 people were killed at the Tree of Life Synagogue. Today, we remember them. We must reaffirm our commitment to standing against hate and rejecting anti-Semitic violence in our country.</t>
  </si>
  <si>
    <t>1321173715032432640</t>
  </si>
  <si>
    <t>There is so much on the line in this most important election. Thankful for your support and friendship, @LarsonForDuluth. https://t.co/9bfKEJd9UE</t>
  </si>
  <si>
    <t>1321154096209006593</t>
  </si>
  <si>
    <t>We’ve got to take action on gun violence — for our kids, our families, our neighbors, our co-workers. Proud to be endorsed by @Everytown and to be fighting alongside them for common-sense reform in the Senate. https://t.co/0hAVQE6jnu</t>
  </si>
  <si>
    <t>1321135727908950017</t>
  </si>
  <si>
    <t>Thanks to @StOlafDems and every @collegedemsmn member helping DFLers get out the vote! 7 days. https://t.co/N6CW86CeRC</t>
  </si>
  <si>
    <t>1321123845772922884</t>
  </si>
  <si>
    <t>Health care is on the line. https://t.co/Uu06rmtSLC</t>
  </si>
  <si>
    <t>1321105967023534087</t>
  </si>
  <si>
    <t>Good morning. If you’re just as mad as I am that Republicans got away with confirming Amy Coney Barrett to the Supreme Court last night, then join me in raising your voice. There’s one week left for us to do that in this most important election. https://t.co/Aq6jeu0xEO</t>
  </si>
  <si>
    <t>1320912016803090433</t>
  </si>
  <si>
    <t>8 days until we take back the White House and U.S. Senate. Vote. https://t.co/Aq6jeu0xEO</t>
  </si>
  <si>
    <t>1320879776761028608</t>
  </si>
  <si>
    <t>Days away from Election Day, the American people deserved to have had a say in this nomination. There shouldn’t have been a confirmation until Inauguration Day. But make no mistake: We’ll keep raising our voices &amp;amp; standing up for our beliefs. We’ll keep fighting for one another.</t>
  </si>
  <si>
    <t>1320879775490211840</t>
  </si>
  <si>
    <t>The consequences of her confirmation to the Supreme Court today — on health care, reproductive rights, LGBTQ+ equality, protections for immigrants, labor laws, voting rights, and so much more — will be felt for decades.</t>
  </si>
  <si>
    <t>1320879774462578694</t>
  </si>
  <si>
    <t>I just voted no on the confirmation of Amy Coney Barrett to the Supreme Court — the final step of what has been an entirely illegitimate process and a disgrace to Justice Ginsburg’s legacy. THREAD:</t>
  </si>
  <si>
    <t>1320853504899112962</t>
  </si>
  <si>
    <t>Health care is a fundamental human right. The care you get shouldn’t depend on your zip code, your health history, or your income. Everyone should have access to high-quality, affordable health care. When we take back the White House &amp;amp; flip the U.S. Senate, we can make it happen.</t>
  </si>
  <si>
    <t>1320840042017918979</t>
  </si>
  <si>
    <t>You can count on me to fight for the right to collectively bargain and for better wages, benefits, and working conditions. I’m proud to stand with @seiumn and I’m honored to have their endorsement. https://t.co/U1dSOyevXX</t>
  </si>
  <si>
    <t>1320821674938388481</t>
  </si>
  <si>
    <t>WEDNESDAY: Join me, @Tim_Walz, Gwen Walz, @ScottDibble, and @martcw12 for a virtual phone bank. With just 8 days to go, we’ve got to get everyone fired up and ready to go. RSVP ↴ https://t.co/z6PgjRVVZs</t>
  </si>
  <si>
    <t>1320765056364302337</t>
  </si>
  <si>
    <t>Archie and I are wishing Jason Lewis a successful surgery and a speedy recovery.</t>
  </si>
  <si>
    <t>1320742521404858374</t>
  </si>
  <si>
    <t>We’ve been through a lot this year, and there’s so much we’ve got to address. But I know we can get it all done when we work together. 🎥 NEW ad 🎥 https://t.co/C9GCWPKJpI</t>
  </si>
  <si>
    <t>1320726696564346881</t>
  </si>
  <si>
    <t>Today the Senate will vote whether to confirm Amy Coney Barrett to the Supreme Court. Let’s review:
🛑 McConnell's breaking his own precedent
🛑 The election is in EIGHT days
🛑 She has a record opposing the Affordable Care Act &amp;amp; Roe v. Wade
Shameful. All of it. I will vote no.</t>
  </si>
  <si>
    <t>1320537615364509698</t>
  </si>
  <si>
    <t>We must remain committed to the fight for equality and justice for LGBTQ+ people. I’m proud to stand with Minnesota’s LGBTQ+ community and honored to be endorsed by @HRC. https://t.co/7lXO5pgQok</t>
  </si>
  <si>
    <t>1320520523546316800</t>
  </si>
  <si>
    <t>Social Security is the bedrock of economic &amp;amp; retirement security of our middle class. You’re paying in so in retirement you have reliable income. I’ve co-sponsored legislation to strengthen it, protect its long-term solvency, &amp;amp; make sure it reflects increasing costs for seniors.</t>
  </si>
  <si>
    <t>1320507241741561857</t>
  </si>
  <si>
    <t>9 DAYS. We have hundreds of volunteers, organizers, and supporters all across Minnesota working to help get out the vote! Sign-up to join them and make calls: https://t.co/frWgZhkCtP</t>
  </si>
  <si>
    <t>1320497579403235328</t>
  </si>
  <si>
    <t>No matter how you’re voting this election, your safety is the most important thing. Please remember to wear a mask in-person and practice social distancing when you vote. Thanks for your support, Sinloria. https://t.co/oJmlKtkBLn</t>
  </si>
  <si>
    <t>1320480165496082432</t>
  </si>
  <si>
    <t>Love to see these #TinaForMN, @VoteBetty, and @JoeBiden yard signs! https://t.co/HPm5OPteu4</t>
  </si>
  <si>
    <t>1320466030246977537</t>
  </si>
  <si>
    <t>They just said the quiet part out loud: the Trump Administration has given up on controlling the spread of COVID-19. 
Americans are dying because of Donald Trump’s incompetence and lack of interest in addressing this crisis. Vote for @JoeBiden. https://t.co/2qfLspmwJz</t>
  </si>
  <si>
    <t>1320455079531585537</t>
  </si>
  <si>
    <t>Young people are already making change happen, and they are playing a critical role in this election. Now let’s listen to them. https://t.co/gCyVAtnwvi</t>
  </si>
  <si>
    <t>1320437009001947138</t>
  </si>
  <si>
    <t>Tomorrow my Republican colleagues are likely to move forward with confirming Amy Coney Barrett to the Supreme Court. Not only are they breaking their own precedent, but they’re also voting to confirm a nominee with a record of opposing the ACA and Roe. I will vote no.</t>
  </si>
  <si>
    <t>1320418506077253632</t>
  </si>
  <si>
    <t>Minnesota had the highest voter turnout of any state in the country in 2018. And this year, more than 1 million Minnesotans have already cast their vote in this election. With just 9 days to go, make sure you have a plan to vote and make your voice heard. https://t.co/Aq6jeu0xEO https://t.co/6aUZ2n1mYN</t>
  </si>
  <si>
    <t>1320371934459285506</t>
  </si>
  <si>
    <t>Paul was an optimist, as am I. He would have told us to get out there and organize, organize, organize, and get ready for the work ahead.</t>
  </si>
  <si>
    <t>1320371933607768066</t>
  </si>
  <si>
    <t>This is one of those times. I cannot imagine what Paul would have thought of this moment in our country’s history, but I am sure he would’ve inspired all of us to be bold, to put it all on the line for this election, and for the work that comes next, after we win.</t>
  </si>
  <si>
    <t>1320371932743766019</t>
  </si>
  <si>
    <t>This month, I’ve thought often about how Paul used to say, “Now is no time for tippy-toe politics.” What I think he meant is that there are times when it is especially important to be bold, to worry less and act more, to take the power we all have and to put it on the line.</t>
  </si>
  <si>
    <t>1320371931934314497</t>
  </si>
  <si>
    <t>We both were organizers &amp;amp; optimists at heart, always working to build relationships, &amp;amp; figuring out how to get things done to help people. Paul was never afraid to work with anyone, Republican or Democrat, to accomplish things, nor am I. I strive to live up to his legacy.</t>
  </si>
  <si>
    <t>1320371931095441415</t>
  </si>
  <si>
    <t>It is fair to say that I think about him almost every day, as I hold this Senate seat that he once held. We were very different, but we had a joyful friendship, forged on the campaign trail, visiting small towns and coffee shops all over Minnesota.</t>
  </si>
  <si>
    <t>1320371929849757697</t>
  </si>
  <si>
    <t>I loved showing my team the memorial &amp;amp; telling them about Paul, his work, &amp;amp; his joyful approach to politics. Our visit was almost a month from the 18th anniv of the senseless plane crash that took Paul, Sheila, Marcia, Mary, Tom, &amp;amp; Will. He was 4 yrs younger than I am now.</t>
  </si>
  <si>
    <t>1320371926607552516</t>
  </si>
  <si>
    <t>After a recent visit to Chisholm &amp;amp; Virginia, MN, we took a moment to visit Paul Wellstone’s memorial outside Eveleth. It was a peaceful lovely fall day, the colors just changing, leaves crunching underfoot &amp;amp; the smell of damp earth in the air. https://t.co/Qigr1l3vV2</t>
  </si>
  <si>
    <t>1320163001312399361</t>
  </si>
  <si>
    <t>10 DAYS until the end of this election. Each and every phone call, text, conversation you have between now and Election Day makes a difference. It’s how we will win. Sign up to join us here: https://t.co/frWgZhkCtP https://t.co/nTanXvmRyx</t>
  </si>
  <si>
    <t>1320136783884070917</t>
  </si>
  <si>
    <t>This race is a statistical tie. Trump’s campaign is pouring more money into the state because they think they can win.
Let’s show them the power of our grassroots team. Chip in $3: https://t.co/xvAiodFlJL</t>
  </si>
  <si>
    <t>1320126776656494599</t>
  </si>
  <si>
    <t>Go Gophers! #RowTheBoat https://t.co/jTYPzEgxjG</t>
  </si>
  <si>
    <t>1320117806961250306</t>
  </si>
  <si>
    <t>Grace, I’m proud to have you in this fight with us. It is going to take all of us fighting for our rights, fighting for what’s important to us to win, and make change happen. https://t.co/r4xtQ9LoNZ</t>
  </si>
  <si>
    <t>1320109148185440256</t>
  </si>
  <si>
    <t>@mfolmn @LewisForMN We must face the reality that if you’re BIPOC &amp;amp; you see lights in your rearview mirror, you're more likely to feel fear than safety. I helped intro legislation that would collect data on the racial breakdown of traffic stops &amp;amp; mandate racial profiling training.</t>
  </si>
  <si>
    <t>1320108924960493568</t>
  </si>
  <si>
    <t>@mfolmn Here’s what I’ve done:
✅ Urged USPS to make sure election mail is delivered in a timely manner
✅ Fought to expand access to mail-in ballots &amp;amp; early in-person voting
✅ Called for a vote on the John Lewis Voting Rights Advancement Act to restore voter protections gutted in 2013.</t>
  </si>
  <si>
    <t>1320100319532109825</t>
  </si>
  <si>
    <t>We need to take bold action for our environment now. As your U.S. Senator and as Lieutenant Governor, I've fought to protect Minnesota’s land, water, and air — for us and for our future. Honored to have @NRDC_AF's endorsement. https://t.co/2aKPcLVo4G</t>
  </si>
  <si>
    <t>1320084448587689985</t>
  </si>
  <si>
    <t>Great to join @mpac_national and @MobilizeMuslim last night. It’s so important that we mobilize everyone, including Minnesota’s Muslim community, in this most important election. https://t.co/zT35jcJSP6</t>
  </si>
  <si>
    <t>1320060081384411137</t>
  </si>
  <si>
    <t>RT if you have a plan to vote.
Don’t have a plan? Head to ➡️ https://t.co/Aq6jeu0xEO.</t>
  </si>
  <si>
    <t>1320042333161869315</t>
  </si>
  <si>
    <t>I believe our economy should work for everyone, not just those at the top. And everyone should have the freedom &amp;amp; opportunity to build the lives that they want. I’ve fought to increase economic opportunities by expanding career &amp;amp; technical program funding. https://t.co/Z1PH3dUU7g</t>
  </si>
  <si>
    <t>1319821173488799744</t>
  </si>
  <si>
    <t>And yet Donald Trump said just last night about COVID-19 that “it will go away, and as I say we're rounding the turn.”
He’s failed to act. And we need action to end this. I’ve got a bipartisan bill to make a comprehensive national testing strategy happen. https://t.co/IxmADKYFJE</t>
  </si>
  <si>
    <t>1319806895515992064</t>
  </si>
  <si>
    <t>I’ve spent the last couple of months hearing from small business owners who are struggling amidst this pandemic. I know this fight and this election is so personal. That’s why I’m in Washington: to get things done for you. https://t.co/Bmeh3PDWbq</t>
  </si>
  <si>
    <t>1319798251235774465</t>
  </si>
  <si>
    <t>Young DFLers are fired up and ready to win this November. Whether you’re making phone calls on your own or on a Zoom call with friends, we need everyone in this fight. https://t.co/UeOmWh3FG2</t>
  </si>
  <si>
    <t>1319789314650349568</t>
  </si>
  <si>
    <t>As COVID-19 cases continue to rise, I want to express my deepest thanks and gratitude for America’s frontline workers — those in medical facilities, childcare centers, grocery stores, and more — who work tirelessly every single day.</t>
  </si>
  <si>
    <t>1319775827215765504</t>
  </si>
  <si>
    <t>Minnesota we’ve got just 11 days to win this. Let’s give it our all. Sign-up to help us make calls: https://t.co/frWgZhkCtP</t>
  </si>
  <si>
    <t>1319762815230631937</t>
  </si>
  <si>
    <t>No one’s zip code or family’s income should determine their future. That’s why I’m fighting to close the opportunity gap in our education system, especially amidst this pandemic. Honored to be endorsed by @EducationMN. https://t.co/uW2ggIgc0H</t>
  </si>
  <si>
    <t>1319746161306144769</t>
  </si>
  <si>
    <t>Republicans claim it’s fear mongering to say we’re worried about Roe v. Wade being overturned with this Supreme Court nomination.
Meanwhile the Trump Administration is doing this: https://t.co/WrUkKn3GOi</t>
  </si>
  <si>
    <t>1319688086570389510</t>
  </si>
  <si>
    <t>Trump's been focused on flipping MN &amp;amp; folks, just days after a poll has our opponent within a point of us, Trump's pouring money into this state. We've got 11 days to go &amp;amp; voters to talk to. Chip in $5 now to make sure we've got the resources to do so: https://t.co/bPEOX2FNzb https://t.co/dA7u8Fu3Dp</t>
  </si>
  <si>
    <t>1319643128253566978</t>
  </si>
  <si>
    <t>Good Morning. What if we were passing legislation in this building to actually help people? It can happen. #Vote https://t.co/uBUTtAWvav</t>
  </si>
  <si>
    <t>1319479405832536064</t>
  </si>
  <si>
    <t>If you requested a mail-in ballot, make sure you mail it back ASAP or drop it off at a ballot dropoff location near you. Find one at https://t.co/Aq6jeu0xEO.</t>
  </si>
  <si>
    <t>1319472156582006786</t>
  </si>
  <si>
    <t>Tonight @JoeBiden showed us why he is the best person to lead this country, and Trump showed us why he’s the worst person to do so. #Debates2020</t>
  </si>
  <si>
    <t>1319442519931998208</t>
  </si>
  <si>
    <t>A little snow never stopped any Minnesotan from showing off their #TinaForMN and @teamjoe, @joebiden, and @kamalaharris pride! ☃️ Thanks to Jon Kelly on Instagram for the photo! https://t.co/Fpjz7Pn9Ww</t>
  </si>
  <si>
    <t>1319431627806822401</t>
  </si>
  <si>
    <t>Organize, organize, organize. That’s our strategy for the next 12 days. And with a new poll showing our race within just one point, we can’t take anything for granted. Sign up to make calls with our team today. https://t.co/frWgZhkCtP</t>
  </si>
  <si>
    <t>1319422146012217346</t>
  </si>
  <si>
    <t>We’ve got to make sure everyone has access to affordable health care in rural communities. I have:
💻 Fought to expand telehealth services amid COVID-19
💰 Helped increase funding for rural health clinics
🏥 Helped increase access to rural mental health services</t>
  </si>
  <si>
    <t>1319411922295455745</t>
  </si>
  <si>
    <t>A NEW poll has our lead down to just one point. With just 12 days to go, this race is a TOSS-UP.
Can you chip in $5 to help us connect with as many voters as possible in this final stretch? https://t.co/1BDEViBRPT</t>
  </si>
  <si>
    <t>1319401648297476099</t>
  </si>
  <si>
    <t>To be clear: I will vote no on Judge Barrett’s confirmation. I’m committed to the pursuit of equality and justice for all Americans under the law and the consequences of her confirmation — overturning the ACA and Roe v. Wade — would be the definition of unequal justice. https://t.co/RWoi9WAMD0</t>
  </si>
  <si>
    <t>1319387131677167616</t>
  </si>
  <si>
    <t>Black, Brown, and Indigenous Minnesotans still face discrimination in banking and our financial institutions. @SherrodBrown and I are working to help support economic freedom and opportunity for ALL Americans. https://t.co/kPSVfTspx5</t>
  </si>
  <si>
    <t>1319362036070047744</t>
  </si>
  <si>
    <t>Front page of the Minneapolis Labor Review. I’m proud to stand with Minnesota labor and honored to be endorsed by @MNAFLCIO. https://t.co/nilEil5Sxk</t>
  </si>
  <si>
    <t>1319298232099491840</t>
  </si>
  <si>
    <t>The consequences of Amy Coney Barrett’s nomination to the Supreme Court are the definition of unequal justice. There is so much at stake — the ACA, Roe v. Wade, and so much more. It’s up to us to use our voices to demand equality under the law. https://t.co/7mTHKuRnmp</t>
  </si>
  <si>
    <t>1319108893017018369</t>
  </si>
  <si>
    <t>✅ Help to lower the cost of insulin
✅ Invest in mental health resources
✅ Address systemic racism in housing, policing, health care
✅ Expand career &amp;amp; technical education
Just some of what we’re doing together in the Senate. I’ve delivered for MN &amp;amp; I’m ready to keep doing so.</t>
  </si>
  <si>
    <t>1319076272379727873</t>
  </si>
  <si>
    <t>BREAKING: A new poll has our opponent within ONE POINT of us. With 13 days to go, we've got to work as hard as we can to connect with as many voters as possible. But we need the resources to do it. Can you chip in $5 right now? https://t.co/zwAH7cHmlH</t>
  </si>
  <si>
    <t>1319058651944976386</t>
  </si>
  <si>
    <t>Pat Kessler demonstrates what great TV journalism looks like. Smart, funny, insightful. Impossible to pull the wool over his eyes. Not that I ever tried. Congratulations and thanks, Pat. You are the best. https://t.co/fGL4p0Qd0z</t>
  </si>
  <si>
    <t>1319028991660068865</t>
  </si>
  <si>
    <t>Tomorrow the Senate Judiciary Committee is expected to vote on Amy Coney Barrett’s nomination to the Supreme Court. When it comes to the Senate floor, I’ll vote no. I won’t vote to confirm a nominee w/ a record of opposing the Affordable Care Act &amp;amp; attacking reproductive rights.</t>
  </si>
  <si>
    <t>1319016274937237505</t>
  </si>
  <si>
    <t>Democracy isn’t a spectator sport. We’ve got to get all hands on deck to win this election. Sign-up to join the hundreds of Minnesotans making calls with our team. https://t.co/IrCgcqc5QR</t>
  </si>
  <si>
    <t>1319005406019158016</t>
  </si>
  <si>
    <t>So glad I could join @MomsDemand to help kick-off a phone bank last night. 13 days to give it our all. https://t.co/HtFos5XjTX</t>
  </si>
  <si>
    <t>1318989735994351616</t>
  </si>
  <si>
    <t>13 days. https://t.co/QrfiS01CQr</t>
  </si>
  <si>
    <t>1318975383006490624</t>
  </si>
  <si>
    <t>545 children are without their parents as a direct consequence of the Trump Administration's harmful policies. This is horrific and absolutely unacceptable. https://t.co/MEf18qlxWY</t>
  </si>
  <si>
    <t>1318744111399227392</t>
  </si>
  <si>
    <t>Any COVID-19 vaccine should be free. I’ve got a bill to make it happen.</t>
  </si>
  <si>
    <t>1318735836582653953</t>
  </si>
  <si>
    <t>Two weeks until Election Day. I don’t know about you, but when I wake up on November 4th, I want to know we did everything we could to win. Over the next two weeks, we’ve got to give everything we have to keep MN blue. Sign up to volunteer with us today: https://t.co/IrCgcqc5QR</t>
  </si>
  <si>
    <t>1318726361356279808</t>
  </si>
  <si>
    <t>We’ve got to make sure that after a lifetime of work, Social Security is available to you when you retire. That’s why I believe we need to strengthen Social Security to make sure it remains solvent long-term. #mnsen</t>
  </si>
  <si>
    <t>1318725308414152704</t>
  </si>
  <si>
    <t>We must fulfill the promise of equality for all &amp;amp; eradicate racism within our systems. Proud to have helped intro legislation to invest in community-led solutions to keep folks safe, increase access to resources, &amp;amp; provide common-sense reforms to hold officers accountable. #mnsen</t>
  </si>
  <si>
    <t>1318724006565072899</t>
  </si>
  <si>
    <t>I support fair trade policies for MN’s agriculture producers. That’s why I (successfully) worked to secure improvements to the USMCA for dairy and grain producers. https://t.co/7BejSEeE8q #mnsen</t>
  </si>
  <si>
    <t>1318722042636783619</t>
  </si>
  <si>
    <t>I’m proud to fight for MN’s rural &amp;amp; agriculture communities in the Senate Ag Committee, &amp;amp; proud of what we’ve gotten done:
✅ Helped pass bipartisan ‘18 Farm Bill
✅ Secured $19B in aid to farmers &amp;amp; producers
✅ Expanded rural telehealth services https://t.co/iS6WoDboZD #mnsen</t>
  </si>
  <si>
    <t>1318721264949886979</t>
  </si>
  <si>
    <t>Minnesotans don’t wake up thinking, “I’m a Democrat” or “I’m a Republican.” What folks do think about is how they’ll pay their bills, how they’ll keep their family safe. I’m in the Senate to help get things done for you &amp;amp; that’s what I plan to keep doing. #mnsen</t>
  </si>
  <si>
    <t>1318710819790721024</t>
  </si>
  <si>
    <t>Tune in at 8PM CT tonight to hear my interview on @wccoradio. Listen here: https://t.co/RLo65J7zRA #mnsen</t>
  </si>
  <si>
    <t>1318704645947166720</t>
  </si>
  <si>
    <t>The attacks on reproductive rights are real and relentless. I’m proud to be fighting alongside @NARAL and so many pro-choice champions across Minnesota to protect our reproductive rights. https://t.co/2lOZjl1Qmn</t>
  </si>
  <si>
    <t>1318689227824107520</t>
  </si>
  <si>
    <t>When Minnesota’s unions are strong, we are ALL stronger. I am proud to stand with hardworking Minnesotans.</t>
  </si>
  <si>
    <t>1318677657308024839</t>
  </si>
  <si>
    <t>BREAKING: A new poll shows this race tightening — we’re now within just 4 points. With only two weeks left, the stakes are high. We’ve got to act quickly to connect with as many voters as possible over the next 14 days. Can you chip in $5 right now? https://t.co/6SYbkN0FtR</t>
  </si>
  <si>
    <t>1318667154544300034</t>
  </si>
  <si>
    <t>Wishing my friend, fellow Senator, and our next Vice President, @KamalaHarris, a happy birthday!</t>
  </si>
  <si>
    <t>1318656494372593666</t>
  </si>
  <si>
    <t>Over 300,000 Minnesotans could lose their health insurance if the Affordable Care Act is struck down. Over 20 million Americans rely on it for coverage. These aren’t statistics, they’re people’s lives. That’s #WhatsAtStake with this Supreme Court nomination.</t>
  </si>
  <si>
    <t>1318641797212590087</t>
  </si>
  <si>
    <t>Today’s forecast is a great reminder of why you need a plan to vote. Drop your ballot off, vote early in-person, or make a plan to vote safely on Election Day. Rain, snow, sleet, or sunshine, make sure you have a plan at https://t.co/Aq6jeu0xEO. https://t.co/BAP1wTp3kn</t>
  </si>
  <si>
    <t>1318576339100852224</t>
  </si>
  <si>
    <t>I’ve fought to make health care more affordable, like passing legislation to help lower the cost of insulin, helping expand efforts to address the opioid crisis, and introducing a bill to address racial disparities in maternal mortality rates.</t>
  </si>
  <si>
    <t>1318381248847413248</t>
  </si>
  <si>
    <t>Great to see so many #TinaForMN supporters together in Grand Rapids and on the Iron Range. I’m proud to stand up for Minnesota labor. https://t.co/x60v8jzlSo</t>
  </si>
  <si>
    <t>1318372977575104514</t>
  </si>
  <si>
    <t>Conversations, conversations, and more conversations. That’s how we’ll win this on November 3rd. I’m thankful for all the #TinaForMN volunteers who’ve helped make calls to Minnesotans across the state. Help us win this: https://t.co/IrCgcqc5QR https://t.co/ki1znGQQCN</t>
  </si>
  <si>
    <t>1318365394512629760</t>
  </si>
  <si>
    <t>🕐 15 days. 
📬 Return your ballot ASAP by mail or drop off at a designated site.
🗳 Make a plan to vote. https://t.co/Aq6jeu0xEO</t>
  </si>
  <si>
    <t>1318357038456541191</t>
  </si>
  <si>
    <t>As the only Senator to have worked at Planned Parenthood, I know a thing or two about reproductive health care. I’ll never stop fighting to defend reproductive rights.
Thankful to be endorsed @PPact, and grateful for their work fighting for all of us. https://t.co/VUIpepoZIA</t>
  </si>
  <si>
    <t>1318345797751181312</t>
  </si>
  <si>
    <t>Why is Donald Trump attacking Dr. Fauci? Simple: Dr. Fauci is working to lead us based on science. That makes him an American hero. Meanwhile, Trump’s (lack of) leadership has been a disgrace.</t>
  </si>
  <si>
    <t>1318337960278937605</t>
  </si>
  <si>
    <t>I love working with you too, @ewarren. And you’re right — McConnell is targeting this seat and we’re counting on grassroots supporters like you to help us take him on. Chip in what you can: https://t.co/LGYg0Gb7Xh https://t.co/y49yTPZedW</t>
  </si>
  <si>
    <t>1318313678698139649</t>
  </si>
  <si>
    <t>Great to sit down with my friend @AmyKlobuchar on the latest #TeaWithTina.
P.S. @ratemyskyperoom, you’re going to want to watch this one. Our full conversation here: https://t.co/cgBOr2XFgS https://t.co/Ksed4JU7WU</t>
  </si>
  <si>
    <t>1318285745468198914</t>
  </si>
  <si>
    <t>The COVID-19 pandemic has impacted all of us — especially including Minnesota’s farmers. I fought for farmers in the bipartisan 2018 Farm Bill, helped expand funding for rural broadband, and fought to strengthen rural health care. https://t.co/7iLAGdZfl5</t>
  </si>
  <si>
    <t>1318263229492113411</t>
  </si>
  <si>
    <t>When things go wrong — because let’s face it, things happen — I will be there for you. 🎬 NEW AD 🎬 https://t.co/aVVyCE3oWe</t>
  </si>
  <si>
    <t>1318198268455772163</t>
  </si>
  <si>
    <t>Update: my COVID test is negative. Headed back to Washington to keep working for Minnesotans. https://t.co/zyiuw7wBfD</t>
  </si>
  <si>
    <t>1318011555632549893</t>
  </si>
  <si>
    <t>I found out this afternoon that a person present at a campaign event last weekend tested positive for COVID-19 today. The event was outdoors &amp;amp; masks were required, &amp;amp; while I was never in close contact with them, I’m getting tested &amp;amp; I am quarantining until I test negative.</t>
  </si>
  <si>
    <t>1317986118101553153</t>
  </si>
  <si>
    <t>Wonderful to have so many women — including @PeggyFlanagan — from all across Minnesota join us for our Women’s Weekend of Action. 16 days. https://t.co/g0oC0c9aZ0</t>
  </si>
  <si>
    <t>1317972031640637445</t>
  </si>
  <si>
    <t>Great to join @AricForMN, @TamiForMN, and BIPOC community activists in Waite Park to help get out the early vote. We need to make sure that everyone’s voices are heard in this election. We can make that happen by making sure all of our friends and family have a plan to vote. https://t.co/YkcWDGkICJ</t>
  </si>
  <si>
    <t>1317950053961637888</t>
  </si>
  <si>
    <t>Minnesotans across the state continue to feel the devastating effects of this pandemic, especially in rural areas. Another federal relief package is long overdue — we need action now. https://t.co/hAS2UR413s</t>
  </si>
  <si>
    <t>1317918509020622851</t>
  </si>
  <si>
    <t>May his memory be a blessing. Your Dad was a Minnesota legend. https://t.co/N0zorOsUnv</t>
  </si>
  <si>
    <t>1317908104416268290</t>
  </si>
  <si>
    <t>I was so excited to help get out the early vote in St. Cloud today with @RepWolgamott and @AricForMN. From expanding health care access to investing in education, we need to elect people up and down the ticket that will fight for what’s important to you. https://t.co/42hTy7lzwF</t>
  </si>
  <si>
    <t>1317896153267113986</t>
  </si>
  <si>
    <t>When we come together to fight for what’s right, we win. Let’s win this up and down the ticket, help #flipMNSenate, and stand up for our Minnesota values.
Great to join @BradTabke, @sahraformn, @anforhouse, @RepHassan, &amp;amp; @mohamudnoor in Shakopee yesterday. https://t.co/8C2FBx3Mft</t>
  </si>
  <si>
    <t>1317874366064058369</t>
  </si>
  <si>
    <t>I’ve worked across the aisle to address the COVID-19 pandemic. Writing a bill to end surprise COVID-19 test bills? Doing that. Drafting bipartisan legislation to develop a national testing strategy? Doing that too. But there’s more that needs to be done, &amp;amp; I’m prepared to do it.</t>
  </si>
  <si>
    <t>1317653275387285505</t>
  </si>
  <si>
    <t>The pandemic isn’t over. Please continue to wear a mask and practice social distancing. We’ve all got to work together to protect our fellow Minnesotans. https://t.co/1DvOoPJedv</t>
  </si>
  <si>
    <t>1317635201376440320</t>
  </si>
  <si>
    <t>TOMORROW: Join me and @deanbphillips for a phonebank kick-off to help us get out the vote in #MN03. https://t.co/fvEpkgWujF</t>
  </si>
  <si>
    <t>1317623786930397187</t>
  </si>
  <si>
    <t>Meanwhile, @JoeBiden has a plan to restore integrity to the Department of Education and invest in the future of our children, because no one’s future should be decided by their zip code or their race. https://t.co/h6YmDPLHoT</t>
  </si>
  <si>
    <t>1317623785986588673</t>
  </si>
  <si>
    <t>And these are just a few examples. DeVos was — and still is — severely underqualified to serve as Secretary of Education. Our students deserve someone who is committed to fighting for them, rather than against them. https://t.co/oyrJlMAAb0</t>
  </si>
  <si>
    <t>1317623785109979136</t>
  </si>
  <si>
    <t>She undermined Title IX rules meant to protect survivors of sexual assault and sexual violence. https://t.co/KhWA0Q1Uwa</t>
  </si>
  <si>
    <t>1317623784254377984</t>
  </si>
  <si>
    <t>She refused to forgive the debt of students who had been defrauded by for-profit institutions. https://t.co/QyAqqZyZoQ</t>
  </si>
  <si>
    <t>1317623783088410624</t>
  </si>
  <si>
    <t>She has failed to stand up for LGBTQ+ students, many of whom face discrimination and bias day-after-day within our education system. https://t.co/NNGPa2ZFmH</t>
  </si>
  <si>
    <t>1317623781943398401</t>
  </si>
  <si>
    <t>DeVos has threatened to cut federal funding for schools that didn’t reopen physically in-person due to COVID-19. At a time when schools need significant resources the most, she’s prioritized reopening at the expense of safety. https://t.co/3oMyeIKzQL</t>
  </si>
  <si>
    <t>1317623780928294913</t>
  </si>
  <si>
    <t>THREAD: 41 years ago today, the Department of Education was established. At its best, the Department works on behalf of all of America's students and supports educators in their vital work.  
That hasn’t been the case under Trump and Betsy DeVos. Let’s revisit.</t>
  </si>
  <si>
    <t>1317612494471467011</t>
  </si>
  <si>
    <t>The energy and excitement are on our side. 17 days to keep Minnesota blue. 
Great to join @AmyKlobuchar, @DanielFeehan, @JulieBlaha, and so many others in Mankato today to get out the vote. https://t.co/FOJKiyakt3</t>
  </si>
  <si>
    <t>1317600663682121728</t>
  </si>
  <si>
    <t>We need to get COVID-19 under control and one way we can do that is with a national testing strategy. Yet the Trump Admin refuses to take appropriate action. https://t.co/tmf49yWj5F</t>
  </si>
  <si>
    <t>1317588275167744000</t>
  </si>
  <si>
    <t>In classic Minnesota fashion, we are going out and voting like never before. 17 days to make sure your voice is heard:
✉️ Mail your ballot back ASAP
🗳 Make a plan to vote early in-person
✅ Make a plan to vote on Election Day https://t.co/8UxCsaKGz1</t>
  </si>
  <si>
    <t>1317574110675873792</t>
  </si>
  <si>
    <t>Young people are leading in their communities, and they’re making change happen right now. Great to talk to @DemsMN and so many other students last week. https://t.co/UmHczQjnjn</t>
  </si>
  <si>
    <t>1317487218395652097</t>
  </si>
  <si>
    <t>Let's help send my friend Doug Jones back to the Senate this morning! https://t.co/7HeM7twzBb https://t.co/DLRgRPry9K</t>
  </si>
  <si>
    <t>1317287680032559105</t>
  </si>
  <si>
    <t>I’m proud to be a Senator for YOU, ready to listen to you and then fight for your jobs, your safe workplaces, your health care, your fair wages. It’s what I’ve been doing and it’s what I plan on continuing to do. #mnsen https://t.co/aCO0vtpn3Z</t>
  </si>
  <si>
    <t>1317271410272837637</t>
  </si>
  <si>
    <t>Over 200,000 souls lost, over 2,200 empty places at Thanksgiving dinner in Minnesota, and Trump says it’s “amazing.” It’s a tragedy. https://t.co/BRGsDGBmrm</t>
  </si>
  <si>
    <t>1317265937347809281</t>
  </si>
  <si>
    <t>I’m pushing for more affordable and accessible childcare amidst this pandemic because it remains one of the largest barriers to rebuilding our economy. That means providing more resources for providers to reopen safely. https://t.co/d4tFE9NEaC</t>
  </si>
  <si>
    <t>1317255607691431937</t>
  </si>
  <si>
    <t>When women come together and fight for what’s right, we win. 
That’s what we’ve done for years, and that’s exactly what we’re going to do again now. Join our Women’s Weekend of Action this weekend: https://t.co/nlylAKIqiw</t>
  </si>
  <si>
    <t>1317244911067058177</t>
  </si>
  <si>
    <t>Show your #TinaForMN pride online. Check out our social media toolkit: https://t.co/KTWbkrJWKa</t>
  </si>
  <si>
    <t>1317229882288558084</t>
  </si>
  <si>
    <t>Young folks like Sami are making change happen right now. They’re demanding action on climate change, racial injustice, and so much more. Young folks are leading now, and we ought to be listening to them. Sami, grateful for your support! https://t.co/jT7OrHndIQ</t>
  </si>
  <si>
    <t>1317212212239474689</t>
  </si>
  <si>
    <t>Join us TOMORROW! https://t.co/3ESUbxueJt</t>
  </si>
  <si>
    <t>1317153687651876865</t>
  </si>
  <si>
    <t>Let it snow, let it snow, let it snow? I guess it's that time of year again! ❄️</t>
  </si>
  <si>
    <t>1317140510449041410</t>
  </si>
  <si>
    <t>Providing relief to Americans amidst the COVID-19 pandemic should not be a partisan issue. I’m working with my colleagues across the aisle to address COVID-19, like establishing a national testing strategy.</t>
  </si>
  <si>
    <t>1317107011411128321</t>
  </si>
  <si>
    <t>The Senate Judiciary Committee will hold a vote on Amy Coney Barrett’s Supreme Court nomination on October 22. From now until then, we’ve got to speak up and let Senate Republicans know that we are against this nomination. #WhatsAtStake https://t.co/khFUeyE3wy</t>
  </si>
  <si>
    <t>1316936309244571650</t>
  </si>
  <si>
    <t>There’s only one candidate running for President who will fight every single day for ALL Americans. That candidate is @JoeBiden.
Great to welcome @DrBiden to Minnesota today. Only 19 days left to give this fight our all. https://t.co/7jFXoIL42p</t>
  </si>
  <si>
    <t>1316929003861716992</t>
  </si>
  <si>
    <t>THIS SATURDAY join me, @AmyKlobuchar, @danielfeehan, @julieblaha, and so many others for a socially distanced get out the early vote event in Mankato. RSVP ↴ https://t.co/kzi2y6Kbea</t>
  </si>
  <si>
    <t>1316918064773025794</t>
  </si>
  <si>
    <t>Like @deanbphillips, I believe that in America we’ve got to be promoting optimism, hope, and opportunity over fear. I am proud to have his support and leadership in Minnesota. https://t.co/kVHqG7xLqh</t>
  </si>
  <si>
    <t>1316907198182772738</t>
  </si>
  <si>
    <t>This pandemic has had a devastating effect on so many Americans. They’re depending on us to come together and pass a bipartisan COVID-19 relief package. https://t.co/VI7U5dOkfK</t>
  </si>
  <si>
    <t>1316899721743634432</t>
  </si>
  <si>
    <t>After Trump was elected in 2016, we saw women organize their communities in record numbers.
Now, almost 4 years later, women are still showing up to get the job done. With 19 days left, we hope you’ll join our Women’s Weekend of Action this weekend: https://t.co/nlylAKIqiw</t>
  </si>
  <si>
    <t>1316890354520645633</t>
  </si>
  <si>
    <t>133M Americans with protected pre-existing conditions.
21M people at risk of losing health insurance.
12M adults who could lose Medicaid coverage.
Just after the election, this is what will be before SCOTUS. This is what’s at stake in the nomination. https://t.co/3NXwClqHAz</t>
  </si>
  <si>
    <t>1316881336385372169</t>
  </si>
  <si>
    <t>Great to join my friend @HeidiHeitkamp w/ @AnneSchwagerl &amp;amp; Kelsey Henningson-Kaye to talk about rural health care &amp;amp; how we can #BuildBackBetter by electing @JoeBiden &amp;amp; @KamalaHarris. I’ve worked to strengthen rural health care access &amp;amp; resources, &amp;amp; I won’t stop fighting now. https://t.co/zq6cObGhE6</t>
  </si>
  <si>
    <t>1316568959840378882</t>
  </si>
  <si>
    <t>I will always fight to protect Americans with pre-existing conditions.</t>
  </si>
  <si>
    <t>1316558312863936512</t>
  </si>
  <si>
    <t>Thanks so much for you and your family’s support, @RepFueLee! Honored to call you a friend and to work together on the federal and state levels. https://t.co/sBDn7JK2Iz</t>
  </si>
  <si>
    <t>1316548969942650882</t>
  </si>
  <si>
    <t>The very first bill I introduced in the Senate was to crack down on big drug companies who literally pay generic drug companies to keep their cheaper alternatives off the market. I won’t stop fighting to make health care more affordable and accessible. https://t.co/m9IWSJ86aI</t>
  </si>
  <si>
    <t>1316539018104975360</t>
  </si>
  <si>
    <t>Under the Affordable Care Act, you can stay on your parents’ health care plan until you’re 26 years old. If Republicans succeed &amp;amp; SCOTUS overturns the ACA after the election, young folks getting started in their careers or in higher education could lose their health coverage.</t>
  </si>
  <si>
    <t>1316528362882584579</t>
  </si>
  <si>
    <t>Minnesota was just named one of the top EIGHT states that will decide the presidency. And last night at his rally, Trump said he can win our state.
TONIGHT is our last FEC deadline before the election. Chip in $5 now to show Trump we’re ready to stop him. https://t.co/W18quzxUSf</t>
  </si>
  <si>
    <t>1316517764291604481</t>
  </si>
  <si>
    <t>Thanks for your support! Oh, and nice shirts. https://t.co/vja11KWdof</t>
  </si>
  <si>
    <t>1316508965300310016</t>
  </si>
  <si>
    <t>We don’t have a meaningful problem with voter fraud; Donald Trump is just terrified of losing. That’s why he’s trying to undermine our democracy by attacking mail-in voting. https://t.co/NjZtx1WqJc</t>
  </si>
  <si>
    <t>1316497318225620998</t>
  </si>
  <si>
    <t>20 days. That’s 20 days to do everything we can to keep Minnesota blue. Help us make that happen. https://t.co/IrCgcqc5QR</t>
  </si>
  <si>
    <t>1316479489199804416</t>
  </si>
  <si>
    <t>Today would’ve been George Floyd’s 47th birthday. He should be alive right now. His kids shouldn't be without their father.
We cannot stop until he and so many others receive justice. And we must continue to work to address systemic racism in all aspects of American life.</t>
  </si>
  <si>
    <t>1316470394191335424</t>
  </si>
  <si>
    <t>I support fair trade policies for MN’s agriculture producers. I (successfully) worked to secure improvements to the USMCA for dairy and grain producers, because we can out-compete anyone on an even playing field. https://t.co/7BejSEeE8q</t>
  </si>
  <si>
    <t>1316458465532030976</t>
  </si>
  <si>
    <t>#ThanksPlannedParenthood for the millions of Americans you provide with health care and education each year. My time working at Planned Parenthood has helped me be a better advocate in the U.S. Senate as we fight to expand access to health care &amp;amp; strengthen reproductive rights.</t>
  </si>
  <si>
    <t>1316446538344923141</t>
  </si>
  <si>
    <t>The U.S. Senate should be focused on a COVID-19 relief package, not rushing through a Supreme Court nomination. It’s shameful that Republicans have failed to prioritize much-needed relief for months. https://t.co/0iCW4qI8e7</t>
  </si>
  <si>
    <t>1316212066282278912</t>
  </si>
  <si>
    <t>Great to join @AthenaHollins in St. Paul to visit BIPOC-owned businesses &amp;amp; to discuss how COVID-19 has impacted them. I hear your worries — this is your life, your business, your health. I’m committed to listening &amp;amp; then fighting for you as your advocate in the U.S. Senate. https://t.co/ONIA8vC5wJ</t>
  </si>
  <si>
    <t>1316204321365782528</t>
  </si>
  <si>
    <t>Today I met with student leaders from across Minnesota to help get out the early vote. They’re working to mobilize young folks in this election, so many of whom are already making change happen. To all the young folks out there: I hear you, &amp;amp; we need you to vote in this election. https://t.co/f059E7WfKv</t>
  </si>
  <si>
    <t>1316195412567621632</t>
  </si>
  <si>
    <t>Thankful to have the support of Nausheena Hussain. I’m proud to advocate and work alongside you and Minnesotans in the U.S. Senate. https://t.co/L3xoqP7vLu</t>
  </si>
  <si>
    <t>1316184268230610946</t>
  </si>
  <si>
    <t>Thanks for the support and for voting! The partnership between local, state, and federal governments is so important to delivering for Minnesotans. https://t.co/5emkX7TuQ9</t>
  </si>
  <si>
    <t>1316177634544553984</t>
  </si>
  <si>
    <t>I’m working to address systemic racism in all aspects of American life, from policing and health care to housing and education. We’ve got to keep working to make progress on our promise of an equal America.</t>
  </si>
  <si>
    <t>1316166110253850624</t>
  </si>
  <si>
    <t>You heard @BarackObama, Minnesota. You can change our direction on every issue. So it’s more important than ever that you make a plan to vote. https://t.co/Aq6jeu0xEO https://t.co/quH1wSpW2U</t>
  </si>
  <si>
    <t>1316158431468949508</t>
  </si>
  <si>
    <t>Are you ready to win this, @JeanneShaheen?
New polls in both my race and the presidential race show a tightening election in SINGLE DIGITS. Can you chip in $5 to help me and my friend Senator Shaheen keep our states blue? https://t.co/IkcCRJWjrX</t>
  </si>
  <si>
    <t>1316149546217504771</t>
  </si>
  <si>
    <t>As I’ve talked with folks all across Minnesota, I hear a similar theme: people are tired of the chaos &amp;amp; division of Washington. I have a record of getting things done, like helping write &amp;amp; pass the bipartisan 2018 Farm Bill &amp;amp; delivering for MN’s farmers. https://t.co/P4eFBTLYB4</t>
  </si>
  <si>
    <t>1316141051925745664</t>
  </si>
  <si>
    <t>This Supreme Court nomination fight is so personal to all of us. Share your story about #WhatsAtStake — we’d love to hear from you: https://t.co/khFUeyE3wy</t>
  </si>
  <si>
    <t>1316131254194958336</t>
  </si>
  <si>
    <t>The Trump Administration has tried its hardest to weaponize the 2020 census. An inaccurate, politicized census will have devastating effects on so many different aspects of American life. This is what is at stake. https://t.co/e4PeIEhtqC</t>
  </si>
  <si>
    <t>1316123036366573576</t>
  </si>
  <si>
    <t>Protecting the USPS is making sure people can pay their bills &amp;amp; receive life-saving medications. That’s why I’ve:
✉️ Urged Senate leadership to provide relief
✉️ Asked USPS IG to look at delays in mail
✉️ Demanded reversal of Postmaster Gen’s changes</t>
  </si>
  <si>
    <t>1316122862726582281</t>
  </si>
  <si>
    <t>@JustinDFTBA @VoteBetty @SD38DFL @MinnesotaDFL @justinfor38 @amiwazlawik @nicolefrethem @JoeBiden Thanks for your support, Justin!</t>
  </si>
  <si>
    <t>1316114013789523970</t>
  </si>
  <si>
    <t>We the people get to decide what kind of government we have. That is why it’s so important to use your voice, to lift up your voice, and vote. https://t.co/C6IW5ouPtR</t>
  </si>
  <si>
    <t>1316100760627806209</t>
  </si>
  <si>
    <t>Betsy DeVos is more interested in using this pandemic to push her destructive education agenda than she is in keeping children, educators, staff, and families safe. https://t.co/xYjjJvVW3r</t>
  </si>
  <si>
    <t>1316092588928176130</t>
  </si>
  <si>
    <t>TODAY is the last day to register to vote in Minnesota before Election Day.
You can also register to vote in-person on Election Day. 21 days. https://t.co/Aq6jeu0xEO</t>
  </si>
  <si>
    <t>1315832358302609408</t>
  </si>
  <si>
    <t>There’s a lot at stake in this most important election. But remember: Worrying is not a strategy. Fear is not a strategy. Organizing is a strategy. Voting is a strategy. Thank you @RepPoppe &amp;amp; @thomaskmartinez for energizing and mobilizing voters in Albert Lea. https://t.co/3rRMdtmsnQ</t>
  </si>
  <si>
    <t>1315817843657711616</t>
  </si>
  <si>
    <t>Health care. Reproductive rights. Our fundamental values are under attack with this Supreme Court nomination. Share your story about #WhatsAtStake in this fight. https://t.co/khFUeyE3wy</t>
  </si>
  <si>
    <t>1315807322426535945</t>
  </si>
  <si>
    <t>🗳 Are you voting by-mail? Make sure you mail your ballot back ASAP.</t>
  </si>
  <si>
    <t>1315796768039329792</t>
  </si>
  <si>
    <t>Great to join @nacdimn at their new urban farm grounds and Pow Wow Grounds for this year’s #IndigenousPeoplesDay Celebration. Grateful to be able to come together to celebrate, see NACDI’s new site for an urban farm, &amp;amp; talk about how we can mobilize folks in this election. https://t.co/U9YgjBNzFJ</t>
  </si>
  <si>
    <t>1315785546418061320</t>
  </si>
  <si>
    <t>I will not vote to confirm a Supreme Court nominee who has a record of opposing the Affordable Care Act and fundamental reproductive rights. Period.</t>
  </si>
  <si>
    <t>1315772532289605637</t>
  </si>
  <si>
    <t>Wonderful to join @TinaLiebling, @aleta4mnsenate, @RandyBrockMN, @KimforHouseMN, @LizBoldonMN, and so many others in Rochester yesterday. Over the next 22 days, we are doing everything we can to keep the Minnesota House blue and #flipMNSenate. https://t.co/SOCYVowgPD</t>
  </si>
  <si>
    <t>1315762368341839873</t>
  </si>
  <si>
    <t>TOMORROW is the last day to register to vote in Minnesota before Election Day. But remember: you CAN register in-person on Election Day too.
This is the most important election of our lifetimes. Make sure you’re registered to vote &amp;amp; have a plan to do so. https://t.co/Aq6jeu0xEO</t>
  </si>
  <si>
    <t>1315754044745543684</t>
  </si>
  <si>
    <t>We need all hands on deck for these next 22 days. Sign-up now to join the hundreds of Minnesotans who have already volunteered with our team to make some calls and keep Minnesota blue. https://t.co/PcEkfArObd</t>
  </si>
  <si>
    <t>1315743057048993797</t>
  </si>
  <si>
    <t>The SCOTUS hearings are underway and it’s clear: health care for millions of Americans and reproductive rights are at stake. I am raising my voice in opposition to this nomination — I hope you will too.</t>
  </si>
  <si>
    <t>1315734603676688385</t>
  </si>
  <si>
    <t>We face so many challenges right now. But for the last three years in the U.S. Senate, I’ve focused on listening to you and then delivering for Minnesota. There’s so much work to be done together. Honored to be endorsed by the @StarTribune Editorial Board. https://t.co/0NZYvGY2C2</t>
  </si>
  <si>
    <t>1315723290405744642</t>
  </si>
  <si>
    <t>Indigenous and Tribal communities across Minnesota are a crucial part of who we are and our state’s history. As we honor #IndigenousPeoplesDay, we must make the effort to learn and celebrate that history and continue to strengthen our commitments and relationships.</t>
  </si>
  <si>
    <t>1315467823863549952</t>
  </si>
  <si>
    <t>Moose is worried about the election, but optimistic. 23 days. https://t.co/Uigd1OTfOc https://t.co/Yh80hnoDf6</t>
  </si>
  <si>
    <t>1315457562364518400</t>
  </si>
  <si>
    <t>Al-Corn Clean Fuel is leading the way in ethanol production and it’s great to see the work they’re doing for refiners, livestock feeders, meat packers, and biodiesel producers all across the state. Thanks for showing me around today. https://t.co/s5IpcANdHQ</t>
  </si>
  <si>
    <t>1315448959725379585</t>
  </si>
  <si>
    <t>Minnesotans know what’s at stake with this Supreme Court nomination — for LGBTQ+ rights and so much more. I am opposed to her confirmation and will vote no. https://t.co/xYVVmKVh4S</t>
  </si>
  <si>
    <t>1315441336045236224</t>
  </si>
  <si>
    <t>Renewable energy is the future and we’ve got to make it more accessible. Thanks to Clearway Community Solar Garden in Northfield for hosting me, @angiecraigmn, @tslippert, @OlsonforMN, &amp;amp; @KaehlerMNSenate today. Proud to be working together on this in the Senate. https://t.co/X2rbFGyxuB</t>
  </si>
  <si>
    <t>1315425968702529537</t>
  </si>
  <si>
    <t>.@JoeBiden is a strong, decent, capable leader who will help reunite this country. For the next 23 days, we’re working as hard as we can to make that happen. https://t.co/aoAeOcn16g</t>
  </si>
  <si>
    <t>1315413214214094856</t>
  </si>
  <si>
    <t>Today and every day, we embrace and celebrate Minnesotans for who they truly are and make sure we are creating spaces and policies that reflect that. For those who have come out and for those who have not, you are welcome here. You are seen. #NationalComingOutDay</t>
  </si>
  <si>
    <t>1315401693627133952</t>
  </si>
  <si>
    <t>I honestly believe that Minnesotans in this moment are craving leadership that is about what we can do together. I’m proud of what we’ve gotten done so far and hope we can keep fighting together. https://t.co/kPkArhmdmk</t>
  </si>
  <si>
    <t>1315391513451520000</t>
  </si>
  <si>
    <t>We’re all with you and wishing you a speedy recovery, VJ. https://t.co/tqsuQpBnAU</t>
  </si>
  <si>
    <t>1315375349585391622</t>
  </si>
  <si>
    <t>Thanks for your support! https://t.co/1gs6tjedSz</t>
  </si>
  <si>
    <t>1315354801027403776</t>
  </si>
  <si>
    <t>I believe our economy should work for everyone, not just those at the top. And everyone should have the freedom and opportunity to build the lives that they want. I’ve fought to increase economic opportunities by expanding career and technical program funding.</t>
  </si>
  <si>
    <t>1315341370899521536</t>
  </si>
  <si>
    <t>#HispanicHeritageMonth is an opportunity to celebrate the Hispanic community and our shared collective values. While those celebrations may have looked a little different this past month, I’m proud to stand with you every single day. https://t.co/8VeocpAiNB</t>
  </si>
  <si>
    <t>1315327310577401856</t>
  </si>
  <si>
    <t>I’ve advocated for better health care &amp;amp; have been a strong defender of reproductive rights. All of it is on the line with this rushed nomination of Amy Coney Barrett to the Supreme Court. I’m opposed to her confirmation, and the American people should make their voices heard.</t>
  </si>
  <si>
    <t>1315307784762781697</t>
  </si>
  <si>
    <t>🚨 October 13th is your LAST chance to order #TinaForMN merch and have it delivered before Election Day. Place your order now: https://t.co/D86slcSkIR https://t.co/K5kU5kGJKM</t>
  </si>
  <si>
    <t>1315107393743843330</t>
  </si>
  <si>
    <t>McConnell and Senate Republicans are more interested in rushing a Supreme Court confirmation than passing a COVID-19 relief bill that they’ve stood in the way of for months. It's just flat-out wrong. https://t.co/126warkato</t>
  </si>
  <si>
    <t>1315098451064098816</t>
  </si>
  <si>
    <t>Our educators, staff, &amp;amp; students are facing unprecedented challenges. Now more than ever, we need to fight for safe schools, resources, &amp;amp; support. This is what’s at stake. Proud to stand alongside @rweingarten, @DeniseSpecht, @AFTunion, @EducationMN w/ @Tim_Walz &amp;amp; @AngieCraigMN. https://t.co/IwQzqMms0X</t>
  </si>
  <si>
    <t>1315089556186824704</t>
  </si>
  <si>
    <t>Fighting for expanded mental health services is a fight that's personal to me and so many others. So many Americans face mental health challenges that’ve been exacerbated by this pandemic. I won't stop fighting until everyone has the resources they need. #WorldMentalHealthDay</t>
  </si>
  <si>
    <t>1315080746965622785</t>
  </si>
  <si>
    <t>24 days to organize, 24 days to talk w/ our friends, family, &amp;amp; neighbors, 24 days to vote &amp;amp; to fight for the future of our country.
A beautiful morning in Apple Valley w/ @AngieCraigMN, @ClausenSenateMN, @huotforhouse, @erinmayequade &amp;amp; folks committed to keeping MN blue. #MN02 https://t.co/DiDm4CXYMv</t>
  </si>
  <si>
    <t>1315071670735056898</t>
  </si>
  <si>
    <t>Folks are fired up and ready to go — we’re doing everything we can to keep Minnesota blue.
A terrific afternoon in St. Paul with @Tim_Walz, @ErinMayeQuade, @mitrajunjalali, @athenahollins, and so many supporters working hard these last 24 days. https://t.co/pga0v0DHge</t>
  </si>
  <si>
    <t>1315064228311633920</t>
  </si>
  <si>
    <t>Great to join @mohamudnoor and @KariDziedzic to visit small businesses in Cedar Riverside to talk about the impact of this pandemic and how to mobilize everyone in this election. With so much at stake, we’ve got to make sure everyone is registered to vote and has a plan to do so. https://t.co/SQsp44N49F</t>
  </si>
  <si>
    <t>1315017892778438659</t>
  </si>
  <si>
    <t>Thanks to @ShannonRWatts for joining me (virtually) yesterday for a #TeaWithTina conversation. I remember when I first began organizing as a mom pushing my sons in their stroller. When we come together, moms all across the country have the power to bring about change. https://t.co/ekMIVQnk9S</t>
  </si>
  <si>
    <t>1314743802867965953</t>
  </si>
  <si>
    <t>Hey Team 📣 From Facebook profile picture frames and Zoom backgrounds, to Twitter headers and Instagram graphics, we’ve got tons of ways for you to show off your support online between now and Election Day. Check out our social media toolkit: https://t.co/YevPeVN0XV</t>
  </si>
  <si>
    <t>1314728468484173825</t>
  </si>
  <si>
    <t>Thanks to @ShannonRWatts and so many @MomsDemand volunteers for joining me for a virtual phonebank this evening. On November 3rd, we’ve got to elect a Senate majority committed to addressing gun violence in our communities. https://t.co/WCoMkxiUsA</t>
  </si>
  <si>
    <t>1314715604817981441</t>
  </si>
  <si>
    <t>Thanks to everyone who joined me, @deanbphillips, &amp;amp; so many others today in Brooklyn Park. So many folks are working hard to keep MN blue. With just 25 days left until the election, we have no time to waste. Go to https://t.co/Aq6jeu0xEO to make sure you have a plan to vote now. https://t.co/FA7pzaC7lH</t>
  </si>
  <si>
    <t>1314701426606645248</t>
  </si>
  <si>
    <t>I’m proud to have a strong record of bipartisanship and effectiveness in the U.S. Senate. From expanding rural broadband to securing free diagnostic COVID-19 testing for Americans, I’m a U.S. Senator who gets things done. https://t.co/MT3PZWYtxr</t>
  </si>
  <si>
    <t>1314680125603151874</t>
  </si>
  <si>
    <t>Donald Trump continues to act like a dictator, and Republicans are letting it happen. Our plan for the next 25 days is clear: We’ve got to organize, mobilize, and vote them out. https://t.co/Aq6jeu0xEO https://t.co/91qhmNvmHE</t>
  </si>
  <si>
    <t>1314666493821493248</t>
  </si>
  <si>
    <t>We’ve got 25 days to give it our all and win this November 3rd. Sign-up to volunteer and make it happen: https://t.co/IrCgcqc5QR</t>
  </si>
  <si>
    <t>1314654068573442050</t>
  </si>
  <si>
    <t>This pandemic has shaken our lives. But as your U.S. Senator, I will move hell or high water to help my fellow Minnesotans. 🎬 NEW AD 🎬 https://t.co/QuzKerVhM5</t>
  </si>
  <si>
    <t>1314378324043497474</t>
  </si>
  <si>
    <t>.@go4esther is right: Environmental justice must be a priority. Minnesotans deserve clean air and water, and we’re working to make it happen. Proud to have your support, Esther. https://t.co/K4u4Er0xvr</t>
  </si>
  <si>
    <t>1314366043050176514</t>
  </si>
  <si>
    <t>Both Trump and Pence claim not to know what Amy Coney Barrett’s nomination would mean for reproductive rights. 
Let’s stop the gaslighting. We know exactly what this means. And we’ve got to raise our voices to stop them. https://t.co/lnTnSmg8lC</t>
  </si>
  <si>
    <t>1314341176087138305</t>
  </si>
  <si>
    <t>Your vote is your voice, and your voice is your power. So make it heard. https://t.co/Aq6jeu0xEO https://t.co/dryqOiifoq</t>
  </si>
  <si>
    <t>1314326837695315969</t>
  </si>
  <si>
    <t>There is so much at stake in this Supreme Court nomination. From health care and reproductive rights, to immigrant protections and LGBTQ+ rights —  it’s all very personal. I want to hear your stories about what this fight means to you: https://t.co/khFUeyE3wy. #WhatsAtStake</t>
  </si>
  <si>
    <t>1314315543210594306</t>
  </si>
  <si>
    <t>To be a leader in the fight against climate change, we’ve got to invest in green energy jobs. Proud to see this investment happening in our communities and grateful to have visited the Minneapolis Regional Apprenticeship Training Center a few weeks ago. https://t.co/3xLKwc8oze</t>
  </si>
  <si>
    <t>1314260781530308613</t>
  </si>
  <si>
    <t>Thank you, Jill. Telling what having COVID-19 is like in a real and honest way when you have to juggle dealing with an illness and continuing to work. This is worth the read: https://t.co/rtIlibtm8j</t>
  </si>
  <si>
    <t>1314241635199397898</t>
  </si>
  <si>
    <t>Organized labor and the right to collective bargaining is the bedrock of our economy. A 6-3 conservative majority on the Supreme Court could undermine labor laws and the strength of America’s workers.</t>
  </si>
  <si>
    <t>1314036032241913858</t>
  </si>
  <si>
    <t>Here’s why I love @KamalaHarris, and why she and @JoeBiden can lead us forward: they have a history of lifting people up, not dividing us. That is what we need, especially now. Now vote. https://t.co/Aq6jeu0xEO</t>
  </si>
  <si>
    <t>1314033980803633152</t>
  </si>
  <si>
    <t>What women are feeling right now: Do not lecture. Do not condescend. And do not underestimate us.</t>
  </si>
  <si>
    <t>1314029796200976384</t>
  </si>
  <si>
    <t>I worked at Planned Parenthood, and I know reproductive care. I don’t want Mike Pence or Donald Trump making choices for us. And I don’t want them appointing judges that take away our rights. #VPdebate</t>
  </si>
  <si>
    <t>1314000609582948353</t>
  </si>
  <si>
    <t>I’m so excited to see my friend @KamalaHarris show America what I’ve seen up close in the Senate, and around my kitchen table: her strength, compassion, humor, wisdom, and joy in doing the work. Can’t imagine a bigger contrast to the failed leadership of Trump and Pence.</t>
  </si>
  <si>
    <t>1313990408641409025</t>
  </si>
  <si>
    <t>In Minnesota, we get together to solve problems, to lift each other up, to find common ground, and to get things done. We unite over our shared values, and they’re the values we’re going to win with this November.</t>
  </si>
  <si>
    <t>1313978094626185219</t>
  </si>
  <si>
    <t>FRIDAY: Join me and @shannonrwatts from @MomsDemand for a virtual phonebank. With just 27 days until Election Day, we need all hands on deck to win. RSVP ↴ https://t.co/xCcq8dE6x8</t>
  </si>
  <si>
    <t>1313962895391289347</t>
  </si>
  <si>
    <t>Our frontline workers, our educators, our small business owners, our childcare providers, our neighbors who have been laid off — these are all people who are waiting for another COVID-19 relief package. Trump is abandoning them at a time when they need help the most.</t>
  </si>
  <si>
    <t>1313950981936340995</t>
  </si>
  <si>
    <t>This Friday, I’ll be joined by @shannonrwatts from @MomsDemand for a #TeaWithTina conversation on gun violence prevention, keeping our communities safe, and mobilizing our communities to vote. RSVP: https://t.co/MvxxqVIMl4</t>
  </si>
  <si>
    <t>1313938331592527872</t>
  </si>
  <si>
    <t>Vice President Walter Mondale knows what it means and what it takes to be a public servant for Minnesotans. I’m proud to call him a friend and a mentor, and I’m honored to have his support. https://t.co/RUWz5l8AKH</t>
  </si>
  <si>
    <t>1313925338938912769</t>
  </si>
  <si>
    <t>We’ve got to raise our voices in support of reproductive rights, and organize to make sure the Senate says no to Amy Coney Barrett’s nomination to the Supreme Court. Her record is clear: if she’s confirmed, Roe v. Wade is at risk of being overturned.</t>
  </si>
  <si>
    <t>1313873785213390848</t>
  </si>
  <si>
    <t>I believe school districts and local governments should work together to do what’s best for their communities. Our top priority should be keeping students, staff, faculty, and parents safe. https://t.co/S0DAeoPW1k</t>
  </si>
  <si>
    <t>1313858527123865601</t>
  </si>
  <si>
    <t>If you’re planning to vote-by-mail, make sure you return your ballot ASAP to ensure it gets counted in time. https://t.co/Aq6jeu0xEO https://t.co/o5xGdP1MfU</t>
  </si>
  <si>
    <t>1313669664904548356</t>
  </si>
  <si>
    <t>The last several weeks, we’ve been celebrating #HispanicHeritageMonth. We’ve got to make sure everyone is registered to vote and everyone’s voice is heard in this election. https://t.co/Aq6jeu0xEO https://t.co/3oF6ZtmLRN</t>
  </si>
  <si>
    <t>1313662670533427200</t>
  </si>
  <si>
    <t>SATURDAY: Join me, @Tim_Walz, and leaders from St. Paul for a socially distanced event to get out the early vote. Did I mention we’ll have yard signs? https://t.co/L7Uiv1dI4d</t>
  </si>
  <si>
    <t>1313658615396433921</t>
  </si>
  <si>
    <t>Four weeks to go. We’re doing everything we can in those four weeks to keep Minnesota blue. https://t.co/jnhKyCF7x9</t>
  </si>
  <si>
    <t>1313612698018553856</t>
  </si>
  <si>
    <t>A failure of leadership to help Americans amidst a public health and economic crisis. We expect - and demand - more from our leaders. https://t.co/41Ws5KYOMp</t>
  </si>
  <si>
    <t>1313556809341448194</t>
  </si>
  <si>
    <t>A new Supreme Court term began yesterday, &amp;amp; they’re set to hear a case about the Affordable Care Act just after the election. 
If Judge Barrett is confirmed, millions could lose their health insurance, &amp;amp; everyone would lose guaranteed protections for pre-existing conditions.</t>
  </si>
  <si>
    <t>1313535400389103616</t>
  </si>
  <si>
    <t>Americans are still receiving surprise medical bills with their free COVID-19 tests. That’s why I’ve introduced the Stop COVID-19 Test Surprise Medical Bills Act to make sure no one receives an unexpected medical bill for a test.</t>
  </si>
  <si>
    <t>1313281733211631616</t>
  </si>
  <si>
    <t>Honored to have the support of @WestlinSD34 and proud to be bringing Minnesota’s values to the Senate each and every week. https://t.co/DQUpk72T4U</t>
  </si>
  <si>
    <t>1313267808856346626</t>
  </si>
  <si>
    <t>Today we see just what’s at stake in this SCOTUS nomination. 
Make no mistake: I will fight for LGBTQ+ rights. And I will fight to make sure everyone is protected from discrimination at work, at school, &amp;amp; at home. If you’re with me, raise your voice. https://t.co/zv1fIawra0</t>
  </si>
  <si>
    <t>1313249883315408896</t>
  </si>
  <si>
    <t>Proud to have cast my ballot (by-mail!). 29 days. Make sure you have a plan to vote — and make sure to mail back your mail-in ballot ASAP: https://t.co/Aq6jeu0xEO https://t.co/plPX7FRhOl</t>
  </si>
  <si>
    <t>1313230336751538177</t>
  </si>
  <si>
    <t>SO MANY yard signs across Minnesota. 29 days to win this. https://t.co/yaWyPDo1hn</t>
  </si>
  <si>
    <t>1313219005625315328</t>
  </si>
  <si>
    <t>Reproductive rights shouldn’t be negotiable. Yet, Republicans are vowing to overturn Roe v. Wade with this Supreme Court nomination. We have got to fight with everything we’ve got to oppose this.</t>
  </si>
  <si>
    <t>1313172105706565636</t>
  </si>
  <si>
    <t>Thanks to everyone at @winonastateu who joined us yesterday to #GetOutTheVote. This is the most important election of our lifetime. Our voices are important — and we’ve got to use them and make sure our friends, family, and neighbors do the same. https://t.co/NL2TTWmRSR</t>
  </si>
  <si>
    <t>1312912053607247873</t>
  </si>
  <si>
    <t>The future of Roe v. Wade and reproductive rights are on the line with this Supreme Court nomination. We’ve got to make sure American peoples’ voices are heard in this process.
The most important thing you can do right now: Raise your voice.</t>
  </si>
  <si>
    <t>1312902113765330948</t>
  </si>
  <si>
    <t>Great to be back in Red Wing today w/ @KaehlerMNSenate, Matt Burns, &amp;amp; Heather Arndt. We had the opportunity to hear from local businesses about some of the biggest challenges they’ve faced during the pandemic. We’ve got to keep fighting for more relief for you. https://t.co/6hLZtPFigz</t>
  </si>
  <si>
    <t>1312891909552119810</t>
  </si>
  <si>
    <t>Skol Vikings! First win, let’s make it more!</t>
  </si>
  <si>
    <t>1312873231204995074</t>
  </si>
  <si>
    <t>So wonderful to have volunteers committed to winning up and down the ticket from all across Minnesota (just a few pictured here!) at our weekend of action. With just one month to go, we have the momentum to win. https://t.co/yoBP78dtfE</t>
  </si>
  <si>
    <t>1312862115011723266</t>
  </si>
  <si>
    <t>Today I joined @karlabigham, @anne_claflin, @reprickhansen, @SSP_Super Dave Webb, @MattKleinSD52, &amp;amp; Tom Seaberg in South St. Paul to discuss the impacts of COVID-19 on the community. I’m grateful for this community &amp;amp; its leaders who fight for each other amidst these challenges. https://t.co/JbIfkRNY4D</t>
  </si>
  <si>
    <t>1312846983120457728</t>
  </si>
  <si>
    <t>We will organize. And then we will vote. 30 days. https://t.co/WfNSNOLVbH https://t.co/LMqgseaVGd</t>
  </si>
  <si>
    <t>1312550116251914241</t>
  </si>
  <si>
    <t>Great to welcome @DrBiden to Minnesota today alongside @PeggyFlanagan. One month until Election Day. Let’s do this. https://t.co/8TlvoUX1cv</t>
  </si>
  <si>
    <t>1312526577712861184</t>
  </si>
  <si>
    <t>We’ve seen how devastating the Supreme Court’s decision to gut the Voting Rights Act has been. A 6-3 conservative majority on the Supreme Court could further erode our right to vote and undermine our democracy. There’s so much at stake.</t>
  </si>
  <si>
    <t>1312497458514030592</t>
  </si>
  <si>
    <t>We’ve got to make our voices heard about Judge Barrett’s nomination to the Supreme Court. The future of the Affordable Care Act is at stake. Over 20 million people could lose coverage in a pandemic. And we’d all lose protections for pre-existing conditions.</t>
  </si>
  <si>
    <t>1312480993824051200</t>
  </si>
  <si>
    <t>On October 3rd, they asked us what day it was.
It’s ONE MONTH until Election Day. (And voting has already started. Make sure you’ve got a plan. https://t.co/WfNSNP3w3f) https://t.co/LI0S8uig7B</t>
  </si>
  <si>
    <t>1312464304138907648</t>
  </si>
  <si>
    <t>As your U.S. Senator, I’ve been a doer, not a talker. And I’m proud to deliver for Minnesotans. My piece for @DuluthNews ↴ https://t.co/xFNiXFNmlL</t>
  </si>
  <si>
    <t>1312442639514386434</t>
  </si>
  <si>
    <t>One month until election day. One month to do everything we can to keep Minnesota blue. 
Help us do that here: https://t.co/VvmCl9sX94 https://t.co/SIEuPdHeXs</t>
  </si>
  <si>
    <t>1312214062789472259</t>
  </si>
  <si>
    <t>Climate change is real, and we need bold action to address it. We cannot wait. #mnsen https://t.co/UmtBFxSIuI</t>
  </si>
  <si>
    <t>1312199795306647552</t>
  </si>
  <si>
    <t>Confirming Judge Barrett to the Supreme Court puts the Affordable Care Act and Roe v. Wade at risk. We’ve got to make our voices heard. #mnsen https://t.co/twjxDXKI0k</t>
  </si>
  <si>
    <t>1312188494731792384</t>
  </si>
  <si>
    <t>The peaceful transfer of power is fundamental to American democracy. We shouldn’t even be having this discussion. #mnsen https://t.co/mT4JrtDweq</t>
  </si>
  <si>
    <t>1323769111353167872</t>
  </si>
  <si>
    <t>-IF YOU ARE ON LINE to vote by 8PM, you can not be turned away from voting.
-Call our hotline at 651-369-9806 if anyone tries to turn you away, or if you encounter any other problems at your polling place. 
-Visit https://t.co/MZ4RyxR8Jt if you need to find your polling place. https://t.co/rf6jhRLzkJ</t>
  </si>
  <si>
    <t>1323725438942908420</t>
  </si>
  <si>
    <t>-IF YOU ARE ON LINE to vote by 8PM, you can not be turned away from voting.
-Call our hotline at 651-369-9806 if anyone tries to turn you away, or if you encounter any other problems at your polling place. 
-Visit https://t.co/MZ4RyxR8Jt if you need to find your polling place. https://t.co/MryvoHeA0V</t>
  </si>
  <si>
    <t>1323711251751538691</t>
  </si>
  <si>
    <t>This election is about first principles. Government's first duty is to protect life, liberty and property. 
Between the riots &amp;amp; arson which @TinaSmithMN abided &amp;amp; the lockdowns that she wants to reinstate, government is no longer protecting ANY of those.https://t.co/1Nf9bLg4jt</t>
  </si>
  <si>
    <t>1323690356316250114</t>
  </si>
  <si>
    <t>An Election Day message from @realDonaldTrump in support of Jason!
As POTUS correctly says, @TinaSmithMN is a radical liberal who along with @IlhanMN wants to abolish the police, close up the Iron Range &amp;amp; shut down the economy. 
A vote for Trump/Lewis is a vote to save the USA https://t.co/5REmbwt1td</t>
  </si>
  <si>
    <t>1323683163667877890</t>
  </si>
  <si>
    <t>A vote for Lewis is a vote to:
✅ Fund police
✅ Protect the tax cuts
✅ Continue the economic recovery 
✅ Get the Iron Range and the Northland moving
✅ Protect our farmers 
✅ Defend life
✅ Defend the 2nd Amendment
✅ Protect freedom of speech
✅ Preserve our MN way of life https://t.co/ErvKpxZp3i</t>
  </si>
  <si>
    <t>1323670924395188224</t>
  </si>
  <si>
    <t>Just voted! GREAT turnout in Woodbury!
Poll open till 8. You can’t be turned away from voting if you’re in line by 8 PM.
Visit https://t.co/MZ4RyxR8Jt to find your polling location, &amp;amp; call our Election Day hotline to report any problems at your polling location at 651-369-9806 https://t.co/dr0aKJ2MTv</t>
  </si>
  <si>
    <t>1323637039468814336</t>
  </si>
  <si>
    <t>When we started, this campaign was to check the increasingly emboldened, radical, Socialist left looking to fundamentally alter American society &amp;amp; strip us of our liberties.
The riots, never ending lockdowns, war on energy &amp;amp; free speech suppression certainly haven't changed that https://t.co/BLDjUBeymz</t>
  </si>
  <si>
    <t>1323618320067813381</t>
  </si>
  <si>
    <t>🗳 POLLS ARE OPEN! And will remain so until 8 PM. You can’t be turned away from voting if you’re in line by 8 PM.
Visit https://t.co/MZ4RyxR8Jt to find your polling location, and call our Election Day hotline to report any problems at your polling location, at 651-369-9806. https://t.co/HWg94W4p4W</t>
  </si>
  <si>
    <t>1323496463326916608</t>
  </si>
  <si>
    <t>Very happy to be back out on the campaign trail and close out this campaign with a warm welcome in my home town of Woodbury. 
Free speech is under assault, as is law &amp;amp;order. The economy is threatened with endless lockdowns.
Our country is in danger. Let’s go save it tomorrow 🇺🇸 https://t.co/Mx9qAyP8QD</t>
  </si>
  <si>
    <t>1323477679392346112</t>
  </si>
  <si>
    <t>5mill voter contacts doesn’t happen by accident. It happened BC of @TrumpVictoryMN’s hard work led by State Director @Kdpoindexter. 
Now let’s finish this. Visit https://t.co/MZ4RyxR8Jt to find your polling place &amp;amp;pass it along to 5 people you know! We’re going to win #LeadRight https://t.co/vuujNCK7ln</t>
  </si>
  <si>
    <t>1323425854307880960</t>
  </si>
  <si>
    <t>.@IlhanMN called police “rotten to the root” and said we should abolish them. I condemned her. @TinaSmithMN endorsed her. Says all you need to know. https://t.co/i0thd6tXr1</t>
  </si>
  <si>
    <t>1323387280309030916</t>
  </si>
  <si>
    <t>🚨🚨HOTLINE ALERT!! If you see something, say something. 
Should you encounter or see ANY problems at your polling location tomorrow, call the @TrumpVictoryMN election day hotline at 651-369-9806.</t>
  </si>
  <si>
    <t>1323372759523696640</t>
  </si>
  <si>
    <t>Great OpEd by @realDonaldTrump. POTUS &amp;amp; I have been fighting for the Northland way of life- its why lifelong Dem mayors on the Iron Range have endorsed us!
I will ALWAYS fight for miners, loggers &amp;amp;energy, unlike Green New Dealers @JoeBiden &amp;amp; @TinaSmithMN
https://t.co/Nq50c2xchb</t>
  </si>
  <si>
    <t>1323330861853483008</t>
  </si>
  <si>
    <t>🚨🚨 Tune In Alert 
I’ll be joining @ChadHartmanShow on @WCCO radio this afternoon at 1:35pm, make sure to tune in. https://t.co/RkeANRVBG5</t>
  </si>
  <si>
    <t>1323323995052232710</t>
  </si>
  <si>
    <t>.@TinaSmithMN may only do events in the Twin Cities(&amp;amp; when she RARELY leaves, gets the name of the town wrong like she did last week) but I've actually been out to every corner of MN . Here’s a great article from when I visited Intl Falls earlier this year https://t.co/VJozuedfah</t>
  </si>
  <si>
    <t>1323297770317484032</t>
  </si>
  <si>
    <t>MN Dems took the working man/woman for granted for years. The chickens are coming home to roost.
"In 4wks @TinaSmithMN has seen her staggering 11-point lead completely washed out..
This race could end up being key to the next 4 years of American politics"https://t.co/3YNo7HfVvy</t>
  </si>
  <si>
    <t>1323277234740830211</t>
  </si>
  <si>
    <t>Tomorrow’s election isn’t a referendum on a particular candidate. It’s a referendum on the American experiment.
The radical left wants to abolish police &amp;amp; lock down the country again. They suppress free speech &amp;amp; intimidate political opponents.
EVERYTHING is on the line tomorrow</t>
  </si>
  <si>
    <t>1323263595837358080</t>
  </si>
  <si>
    <t>TUNE IN ALERT! It's my final pre-Election Day @jdtcnt @TCNewsTalk appearance @ 8:35AM.
Everything's on the line tomorrow. Freedom of speech, 2A, law &amp;amp; order, police, jobs/the economy. @realDonaldTrump &amp;amp; I stand for all these things. Please stand with US! https://t.co/rO8nJTknDs</t>
  </si>
  <si>
    <t>1323248497076875264</t>
  </si>
  <si>
    <t>Find your Election Day voting place and/or early voting location. Visit https://t.co/MZ4RyxR8Jt and pass it along to 5 people you know!</t>
  </si>
  <si>
    <t>1323136461605117953</t>
  </si>
  <si>
    <t>It's 12:30AM in Florida where @realDonaldTrump is speaking at his 5th rally of the day. 
Meanwhile @JoeBiden is hunkered down in Delaware, &amp;amp; in the rare instances he DOES leave, he doesn't even know what state he's in. Or he calls folks "ugly" like he did in MN on Friday. #Trump</t>
  </si>
  <si>
    <t>1323124720171188225</t>
  </si>
  <si>
    <t>Rioters loot and burn our cities &amp;amp; radical Dems say defund the police.
Our economy takes a hit from lockdowns &amp;amp; they say lock down again &amp;amp; abolish the energy industry.
I’d be worried about MN too if I were them.
https://t.co/tkJYfDt82A</t>
  </si>
  <si>
    <t>1323097787060396033</t>
  </si>
  <si>
    <t>"Where do the candidates stand on the issues?” Full article below, but here's the spoiler alert:
I stand for law &amp;amp; order, police, lower taxes, free speech, protecting MN mining &amp;amp; energy jobs, the 2nd Amendment &amp;amp; the Constitution. @TinaSmithMN doesn’t.
https://t.co/St0NI175ja</t>
  </si>
  <si>
    <t>1323087060186648577</t>
  </si>
  <si>
    <t>Find your Election Day voting place and/or early voting location. 
Visit https://t.co/MZ4RyxR8Jt and pass it along to 5 people you know! 
Make a plan to vote- don't leave it to chance!</t>
  </si>
  <si>
    <t>1323069840362491909</t>
  </si>
  <si>
    <t>When one political party is pushing to abolish law enforcement and weaponizes a public health challenge to suppress speech and cancel political opponents’ rallies, it’s safe to say that this election may be our last chance to save our state and our country https://t.co/hJWlq6N5Eh</t>
  </si>
  <si>
    <t>1323045654747336704</t>
  </si>
  <si>
    <t>Wait- I thought only the U.S. had COVID problems &amp;amp; that it was all @realDonaldTrump's fault?
At least that's what the media &amp;amp; Dems have been telling us. 
COVID is serious, but we can protect the vulnerable &amp;amp; beat it WITHOUT locking down in perpetuity. https://t.co/utW5Yp89tx</t>
  </si>
  <si>
    <t>1323034926728564736</t>
  </si>
  <si>
    <t>I am running to represent EVERYONE, whether you're in MSP, the suburbs, or Greater MN. Unlike my opponent who only spends her time in Minneapolis.
But yes- the race in many ways will hinge on the suburbs, where folks are tired of anti-police hostility https://t.co/nZczMH6flT</t>
  </si>
  <si>
    <t>1323005726084734977</t>
  </si>
  <si>
    <t>The gray wolf was hunted to near extinction but now they've rebounded to historic levels. 
This is good news for MN. I've long supported de-listing the gray wolf. For too long, too many Minnesota farmers and ranchers have had their livestock devastated. 
https://t.co/rCwTDmgOKc</t>
  </si>
  <si>
    <t>1322991750227648512</t>
  </si>
  <si>
    <t>TUNE IN ALERT- My interview with @JonScottFNC on Fox Report airing on @FoxNews at 2:40 pm CT</t>
  </si>
  <si>
    <t>1322953954993541123</t>
  </si>
  <si>
    <t>Great turnout in Moorhead at our Get out the Vote Rally! 
2 more days until @realDonaldTrump and I flip MN red. And until @FischbachMN7 FINALLY retires Collin Peterson! 
It's very simple- Minnesotans want good paying jobs, law &amp;amp; order, &amp;amp; their liberty! https://t.co/AmwzUzItnZ</t>
  </si>
  <si>
    <t>1322929909304610817</t>
  </si>
  <si>
    <t>Listen to how @TinaSmithMN refers to the Senate seat for which we are competing on Tuesday. She calls it "her seat." 
Wrong Tina- it's the PEOPLES' seat, which you temporarily occupy!
It's time we empower ALL Minnesotans by giving them their seat back in the Senate. https://t.co/yzt2jRLWPH</t>
  </si>
  <si>
    <t>1322719528418160642</t>
  </si>
  <si>
    <t>Remember parents, once your kids are done trick or treating it’s customary for 10% of their Halloween earnings to be set aside for the “big guy”...</t>
  </si>
  <si>
    <t>1322700598156894213</t>
  </si>
  <si>
    <t>I am doing very well, thanks for all the warm wishes!
This week the radical left's thuggery reached scary new levels when a large Trump rally was cancelled by Walz/Ellison. They've weaponized COVID to suppress &amp;amp; intimidate.
Vote like the USA's existence depends upon it. It does https://t.co/DXUfNiEFdp</t>
  </si>
  <si>
    <t>1322649347440476161</t>
  </si>
  <si>
    <t>🚨🚨@wcco: "MN U.S. Senate race now being called a toss-up."
Is that really surprising? Dems overplayed their hand by threatening to raise taxes by $4 trillion, abolish the oil industry, defund the police, socialize healthcare and shut down the Iron Range https://t.co/xv620k9TQC</t>
  </si>
  <si>
    <t>1322635375328825347</t>
  </si>
  <si>
    <t>We’re tied in the polls &amp;amp; the issues are on our side. 
Whether it’s supporting the police, getting MN jobs/economy going again, or protecting your 2A right to defend your family, I’ve got your back.
All that’s left is for you to vote &amp;amp;help finish the job https://t.co/qW9zbfvMHf</t>
  </si>
  <si>
    <t>1322628239702036487</t>
  </si>
  <si>
    <t>Thanks to my future colleague Senator @kevincramer! Your support to our campaign from day one has been invaluable. https://t.co/3LDIRXvYeM</t>
  </si>
  <si>
    <t>1322607134618624000</t>
  </si>
  <si>
    <t>HUGE thanks to my friends Senator @kevincramer, @realMikeLindell &amp;amp; @jkcarnah for speaking on my behalf at today’s get out the vote rally in Moorhead while I continue recovering/working from home. Great turnout!
In 3 days @realDonaldTrump, @FischbachMN7 &amp;amp; I will FLIP MN RED! https://t.co/ipZSR1MlHJ</t>
  </si>
  <si>
    <t>1322562728549077000</t>
  </si>
  <si>
    <t>Thx to @KEYCNewsNow in Mankato for the chance to talk about my plan to get MN jobs &amp;amp; the economy going (by protecting the tax cuts I helped pass &amp;amp; ending the perpetual lockdowns), fight for our farmers &amp;amp; ensure we protect public safety by supporting police https://t.co/6YHQIRs4JT</t>
  </si>
  <si>
    <t>1322396619271294976</t>
  </si>
  <si>
    <t>Huge thank you to the folks who showed up today.
I wish AG @keithellison &amp;amp; Gov. @Tim_Walz hadn’t attacked the right to peaceful assembly &amp;amp; free speech.
But it’s par for the course for Democrats.
On Tuesday YOU can choose. 
Tyranny or Freedom... https://t.co/Xr7p80ra61</t>
  </si>
  <si>
    <t>1322381949982396421</t>
  </si>
  <si>
    <t>At this point nobody needs a political yard sign.
Put up an American flag and we’ll all know who you support. 🇺🇸</t>
  </si>
  <si>
    <t>1322361720686452736</t>
  </si>
  <si>
    <t>🚔🚔Attention Parents 🚔🚔
Democrats are once again using the schools to indoctrinate our children.
A Twin Cities suburban district is now teaching children to fear law enforcement. It’s absolutely disgusting.
I proudly support our police, it’s time we stand up &amp;amp; defend them! https://t.co/u1HqE1uRZZ</t>
  </si>
  <si>
    <t>1322339831763054598</t>
  </si>
  <si>
    <t>A live look at reactions to the last three polls which have all shown me within the margin of error to @TinaSmithMN. https://t.co/vPUO1sCzMi</t>
  </si>
  <si>
    <t>1322324583966482434</t>
  </si>
  <si>
    <t>Today Team Lewis went down to the @JoeBiden “rally.” 
This video tells the tale. Biden shouting incoherently at an empty parking lot, calling Minnesotans “ugly.” 
Meanwhile, there were 5 times as many Trump supporters than there were Biden cars (we counted). https://t.co/kzstfpBXd8</t>
  </si>
  <si>
    <t>1322309648783953926</t>
  </si>
  <si>
    <t>Joe Biden: “We need a President who will bring us together, not pull us apart.”
Joe Biden(1min later): Calls protesting Trump supporters “ugly folks” https://t.co/F0y8r1xLL7</t>
  </si>
  <si>
    <t>1322222459756679168</t>
  </si>
  <si>
    <t>@BenSaunders @keithellison @Tim_Walz @JoeBiden https://t.co/0Ib3UApg4f</t>
  </si>
  <si>
    <t>1322203013923119106</t>
  </si>
  <si>
    <t>2 can play at this game @keithellison &amp;amp; @Tim_Walz. You’ve been weaponizing COVID to suppress Republicans for 7 months. Time to fight fire with fire.
I’m calling on 250+1 of my supporters to show up at the state fairgrounds to @JoeBiden’s “rally” today by 2:30. Let’s shut it down https://t.co/YAvFKiN6vd</t>
  </si>
  <si>
    <t>1322193699258982400</t>
  </si>
  <si>
    <t>I just figured it out. AG @keithellison is maxing the capacity for @realDonaldTrump at 250 rally guests not because of COVID, but to be fair to @JoeBiden 
We all know there’s no chance Biden could draw a crowd bigger than 250!</t>
  </si>
  <si>
    <t>1322178122209464325</t>
  </si>
  <si>
    <t>Democrats in MN had no issue with days of thousands of people gathering to burn, loot, and riot.
But when @realDonaldTrump comes to town, suddenly they no longer support the Constitutional Right to Peaceful Assembly.
We all see what’s happening, and it’s why MN will flip red! https://t.co/RrTCIBamBX</t>
  </si>
  <si>
    <t>1322027353581694976</t>
  </si>
  <si>
    <t>It seems @AGEllison intimidated small businesses in Minnesota out of hosting a @realDonaldTrump rally 5 days before the election.
Democrats are terrified Minnesota will flip red.
Apparently they think more assaults on your freedom will make you vote for them? https://t.co/DGrBr59nAN</t>
  </si>
  <si>
    <t>1322019436061204481</t>
  </si>
  <si>
    <t>Is it 1984 or 2020? What the hell is happening?
Days before an election where Democrats including my opponent @TinaSmithMN are vowing to dismantle the Second Amendment retailers are pulling guns &amp;amp; ammo? #2A 
https://t.co/JtRbS97TFJ</t>
  </si>
  <si>
    <t>1321974154044821507</t>
  </si>
  <si>
    <t>🚨🚨🚨 Poll Alert 🚨🚨🚨
Our race for U.S Senate is a toss-up.
There’s a reason for that, @TinaSmithMN doesn’t represent her constituents, she represents her party &amp;amp; her donors.
That’s not who I am. I will go to Washington D.C. and fight for YOU and no one else! https://t.co/U8crMh91H4</t>
  </si>
  <si>
    <t>1321959842307805186</t>
  </si>
  <si>
    <t>Thank you to my friend @realMikeLindell for stopping by our “Save the Suburbs” Town Hall &amp;amp; speaking on my behalf while I did three TV interviews from home. 
Minnesotans are demanding order and public safety, &amp;amp; @realDonaldTrump &amp;amp; I will deliver! https://t.co/NYT503gYLa</t>
  </si>
  <si>
    <t>1321948135908925440</t>
  </si>
  <si>
    <t>I’m glad to be back to work fighting for the people of Minnesota.
Too much is on the line to leave any gas in the tank.
Our cities have burned, rights have been stolen, and jobs been lost.
You deserve a Senator who will fight for you, and we all know @TinaSmithMN doesn’t! https://t.co/DGsqiNyHWZ</t>
  </si>
  <si>
    <t>1321933338819596290</t>
  </si>
  <si>
    <t>Earlier I quote tweeted @TinaSmithMN not knowing what town she was in on the Iron Range. She just deleted it.
Not to worry Tina, we screen-shotted it! Just like Biden, you have no idea what town you're in at any given time.
Would do you some good to get out of Minneapolis more! https://t.co/cGaZumQp4V https://t.co/375pwSDGWY</t>
  </si>
  <si>
    <t>1321926743138119687</t>
  </si>
  <si>
    <t>Earlier I sort of (but not really) joked @TinaSmithMN was dusting off her map to make her annual trip to the Iron Range.
Keep dusting Tina. The Iron Man Miners Memorial in your pic is in CHISHOLM, NOT HIBBING!
You’re like @JoeBiden, you don’t even know what damn town you’re in https://t.co/vcXkQUZUtX</t>
  </si>
  <si>
    <t>1321921271135875072</t>
  </si>
  <si>
    <t>.@TinaSmithMN dusted off her map &amp;amp; made her annual trip to the Iron Range today.
Meanwhile I’ve been there 30 times this yr. No wonder lifelong Dems on the Range are endorsing @PeteStauber, @realDonaldTrump &amp;amp; me.
Thanks to the United Steel Workers who “welcomed” Tina to town! https://t.co/ycpDPmbaeO</t>
  </si>
  <si>
    <t>1321906129409069064</t>
  </si>
  <si>
    <t>There are several opportunities to flip seats &amp;amp; protect/expand the @GOP Senate majority.
Including @JohnJamesMI in MI &amp;amp; our race in MN.
Americans want leaders who will protect their Constitutional rights, ensure public safety, &amp;amp; keep the economy open!
https://t.co/Hr4jHNBgRs</t>
  </si>
  <si>
    <t>1321894791056076805</t>
  </si>
  <si>
    <t>“In a tweet Thursday, Lewis seemed defiant, saying, "Now let's go win this damn campaign."- ⁦@FoxNews⁩  https://t.co/bfdfvrBTVw</t>
  </si>
  <si>
    <t>1321874619784175618</t>
  </si>
  <si>
    <t>🚨📹@DonaldJTrumpJr. Minnesota won’t flip RED without your help, so donate what you can today to help us win Minnesota and expand the Senate Majority!
Donate now &amp;gt;&amp;gt;&amp;gt; https://t.co/RklN3PsA7t https://t.co/q2H5tHLHrl</t>
  </si>
  <si>
    <t>1321862624909402117</t>
  </si>
  <si>
    <t>Do you want continued economic growth under Trump/Lewis, or do you want to be sentenced to 4 years of darkness in the basement w/ @JoeBiden &amp;amp; @TinaSmithMN?
They want you cowering in fear over the virus just like they are. Protect the vulnerable, but...
LEAVE. THE ECONOMY. OPEN! https://t.co/hoYaaKD0m5</t>
  </si>
  <si>
    <t>1321815478482984961</t>
  </si>
  <si>
    <t>Nothing can keep America down. The economy is roaring back, U.S. GDP is up 33.1% in #Q3 &amp;amp; will continue to recover if @realDonaldTrump &amp;amp; I are elected!
@tinasmithmn &amp;amp; @joebiden want to lock the country down again indefinitely. We can’t let it happen. 
https://t.co/5ygjMjnQht</t>
  </si>
  <si>
    <t>1321669719523512321</t>
  </si>
  <si>
    <t>Appreciate Donald Trump Jr. coming in to MN to rally support for my campaign and ⁦@realDonaldTrump⁩ yesterday. We are just 6 days away from flipping MN red and making history! https://t.co/NPFX78pRFY</t>
  </si>
  <si>
    <t>1321626084245385217</t>
  </si>
  <si>
    <t>5 MILLION voter contacts! The GOP ground game in Minnesota is ground breaking and history making by every single metric. 
It’s not too late to get involved- visit https://t.co/3QAV7UP0Yi today! https://t.co/XkkrNoUnUX</t>
  </si>
  <si>
    <t>1321603736322646018</t>
  </si>
  <si>
    <t>Thanks so much for all your hard work @Anika_Rickard! We are going to flip MN red because of our hard working @TrumpVictoryMN team members like you! https://t.co/rxXCUtRzFR</t>
  </si>
  <si>
    <t>1321586583481573376</t>
  </si>
  <si>
    <t>Earlier I was discharged from the hospital in Hibbing &amp;amp; I'm on my way home to Woodbury.
I want to thank Dr. Smith &amp;amp; the entire ICU staff for a successful surgery &amp;amp; stellar care. I also want to thank everyone for their prayers &amp;amp; well wishes.
Now let's go win this damn campaign. https://t.co/j7ZWeKkBkA</t>
  </si>
  <si>
    <t>1321538322876026883</t>
  </si>
  <si>
    <t>@WCCO I vote because Minnesota is worth fighting for. We must elect leaders who will: 
✅ Fight for our Miners
✅ Fight for our Rights
✅ Fight for Jobs
✅ Fight for Law Enforcement
✅ Fight for Public Safety
✅ Fight for School Choice
✅ Fighr for #2A
✅ Fight for Religious Freedom</t>
  </si>
  <si>
    <t>1321531413875855361</t>
  </si>
  <si>
    <t>Thanks Governor, much appreciated! You were the last guy to get it done here in MN but I’m hoping to break your streak on Tuesday! 
Although I’m feeling a little better, I don’t think there will be any literal “heavy lifting” in the next couple of days. https://t.co/1MAEh5awXv</t>
  </si>
  <si>
    <t>1321475988094595072</t>
  </si>
  <si>
    <t>Typically political parties slow down operations after the election...
Kinda odd the @MinnesotaDFL shut down their communications department a week early? https://t.co/YEASpvbZLj</t>
  </si>
  <si>
    <t>1321446734892027905</t>
  </si>
  <si>
    <t>“Every city, every town, burn the precinct to the ground.”
How much more clear do the rioters need to be?
The suburbs are next, &amp;amp; Democrats aren’t doing a thing to stop them!
We must stand behind law enforcement &amp;amp; bring law &amp;amp; order back to our streets!
https://t.co/YxTpiEsMTM</t>
  </si>
  <si>
    <t>1321291947349286913</t>
  </si>
  <si>
    <t>Tonight in Minneapolis:
“No justice, no peace, shoot back at the police”
These are the “Righteous Protests” current Minnesota Senator @TinaSmithMN supports.
I don’t! I will always support the need for Law Enforcement &amp;amp; public safety.
https://t.co/en5Yz1cCZ2</t>
  </si>
  <si>
    <t>1321281730716733440</t>
  </si>
  <si>
    <t>Thank you Governor, it’s truly appreciated.
Minnesota is ready to finish this fight &amp;amp; flip red.
I’ll be back in the fight in no time, until then, unlike our Governor, I trust the people of Minnesota to make the right choices! https://t.co/UhDqR134Sk</t>
  </si>
  <si>
    <t>1321277700015869954</t>
  </si>
  <si>
    <t>Thanks Congressman.
Heavy lifting might be on hold physically for some time.
But the people of Minnesota have been lifting their voices alongside @realDonaldTrump &amp;amp; myself from day one!
I’m confident on November 3rd Minnesota will flip &amp;amp; become the newest red state! https://t.co/zZHB6iLzMp</t>
  </si>
  <si>
    <t>1321254912844537856</t>
  </si>
  <si>
    <t>Thanks @Mike_Pence for the shoutout during yesterday's Hibbing rally.
@JoeBiden closed the Iron Range for business once before, he'll do it again, with Sen. @TinaSmithMN at his side.
@realDonaldTrump, the VP, Rep. @PeteStauber &amp;amp; I will PROTECT our MN way of life on the Range. https://t.co/uOEK9KVzif</t>
  </si>
  <si>
    <t>1321234157121536006</t>
  </si>
  <si>
    <t>That’s right Tina, organizing is exactly what we’ve been doing for the past year with @TrumpVictoryMN &amp;amp; @mngop making over 4 million voter contacts.
Considering the @MinnesotaDFL started just 8 days before the election there should be a huge reason to WORRY! https://t.co/yLywofheCc</t>
  </si>
  <si>
    <t>1321192553799208970</t>
  </si>
  <si>
    <t>Thanks to my friend &amp;amp; teammate @DonaldJTrumpJr for coming in to rally support for our campaign while I’m temporarily sidelined. We WILL flip MN red!
PS- Only fitting for an office seeker to have a BIG campaign sign for their get well card! Thanks to Don Jr. and ALL who signed! https://t.co/aw1PZiVzDs</t>
  </si>
  <si>
    <t>1321185792476237825</t>
  </si>
  <si>
    <t>Is this what @TinaSmithMN means when she says she wants to “reimagine” policing?
Police forces being forced to retreat allowing violent mobs to riot &amp;amp; destroy?
If we don’t start supporting law enforcement this violence will move beyond just large cities.
https://t.co/QKXfZC2dal</t>
  </si>
  <si>
    <t>1321175906451423233</t>
  </si>
  <si>
    <t>Tina’s right... Healthcare is on the line!
If we elect Joe Biden &amp;amp; @TinaSmithMN next week their disastrous public option healthcare plans are expected to close nearly 50 rural Minnesota hospitals.
Including the hospital I’m currently tweeting from. https://t.co/ugK99QNwnZ</t>
  </si>
  <si>
    <t>1321144852634107904</t>
  </si>
  <si>
    <t>“I’m pleased to report that although he’s in a bit of pain, Jason is awake, alert &amp;amp; doing well, eager to get back to the campaign trail to keep fighting for MN jobs, law and order and the Constitution. 
We are optimistic he’ll be discharged in the next day or two.”-@TomSzymanski</t>
  </si>
  <si>
    <t>1321084155946565633</t>
  </si>
  <si>
    <t>Public safety is on the ballot.
@TinaSmithMN thinks “police play a dangerous role in our society.”(Her words)
This assault on law enforcement must end.
As Minnesota’s next U.S. Senator I will always fight for public safety, that begins with backing Law Enforcement! https://t.co/97VvTTB31l</t>
  </si>
  <si>
    <t>1320937020366180353</t>
  </si>
  <si>
    <t>Riveting. https://t.co/anLsyBb8L8</t>
  </si>
  <si>
    <t>1320936981644349440</t>
  </si>
  <si>
    <t>@JoeBiden Riveting.</t>
  </si>
  <si>
    <t>1320915304961236992</t>
  </si>
  <si>
    <t>Thank you for the kind words Vice President @Mike_Pence 
I regret having missed your visit to Minnesota’s Iron Range.
But I’m confident as Minnesota’s next U.S. Senator we’ll be seeing plenty of each other in your second term! https://t.co/NJeA1Ld8O4</t>
  </si>
  <si>
    <t>1320897443395981313</t>
  </si>
  <si>
    <t>Congratulations &amp;amp; welcome to the #SCOTUS Justice Amy Coney Barrett.
@realDonaldTrump selected the perfect Supreme Court Justice to protect &amp;amp; defend the Constitution of the United States of America.</t>
  </si>
  <si>
    <t>1320883742962044933</t>
  </si>
  <si>
    <t>Congratulations Justice Amy Coney Barrett.
Now we need to PROTECT the majority on the court. Start by chipping in $5 to help us defeat radical @TinaSmithMN #SCOTUS #ACBConfirmation 
Donate Here:👇👇👇👇👇 
https://t.co/yka0w5Rjbq https://t.co/XEk4WrZ32C</t>
  </si>
  <si>
    <t>1320878835496345606</t>
  </si>
  <si>
    <t>Congratulations Amy Coney Barrett! We need jurists on the Court who interpret the Constitution as written, not as they wish it to be written. 
@TinaSmithMN just doesn’t comprehend that’s not what the Constitution says or what the Founders intended.
Read our full statement below https://t.co/m6GBxPcH73</t>
  </si>
  <si>
    <t>1320857111010648066</t>
  </si>
  <si>
    <t>Thank you @GOPChairwoman for your unwavering support. https://t.co/ki07CoJCgg</t>
  </si>
  <si>
    <t>1320830175236526080</t>
  </si>
  <si>
    <t>Jason will never stop fighting for MN &amp;amp;will be back out in no time. Will you send well wishes while he continues recovering?
There are 2 ways to help:
1) Tweet a pic or video with a get well message &amp;amp; hashtag #FightForMrRight
2) Sign the get well card!👇https://t.co/mGd8oP77To</t>
  </si>
  <si>
    <t>1320789813797289986</t>
  </si>
  <si>
    <t>GOOD NEWS! The dr. has said Jason's surgery was successful &amp;amp; he's optimistic Jason will be discharged within the next couple days.
In the meantime, our campaign isn't missing a beat &amp;amp; the fight to restore Minnesota's economy, protect our police &amp;amp; defend the Constitution rolls on https://t.co/UAo3n0vckS</t>
  </si>
  <si>
    <t>1320755185199755266</t>
  </si>
  <si>
    <t>Jason was rushed into emergency surgery this morning. Please keep him in your prayers &amp;amp; see full statement below. 
True to form- Jason was in good spirits, optimistic, and speculating about when he could resume campaigning, eager to continue fighting for his fellow Minnesotans. https://t.co/Mrw1hVf0Cs</t>
  </si>
  <si>
    <t>1320562422667726849</t>
  </si>
  <si>
    <t>Democrats have taken Minnesota for granted for far too long!
@TinaSmithMN &amp;amp; @JoeBiden are barely campaigning. They think your vote is guaranteed.
I disagree... I think most Minnesotans support Law Enforcement, believe in #2A, and want the Orwellian mandates to end! @afbranco https://t.co/HfWU2ZLrYa</t>
  </si>
  <si>
    <t>1320477651363110917</t>
  </si>
  <si>
    <t>Tina, you got on a commercial flight to Washington, D.C. after being exposed to somebody who is COVID positive. 
Your endorsed candidate, @JoeBiden called @realDonaldTrump "xenophobic" for enacting a travel ban from China when the outbreak started.
Spare us the false outrage! https://t.co/a09QyiTEsQ</t>
  </si>
  <si>
    <t>1320444291676839938</t>
  </si>
  <si>
    <t>“Keep an eye on Minnesota”
Thanks for the shout out, @TomBevanRCP.
We are now within ONE POINT, making this THE race to watch!
Folks have had enough of ultra-radical @TinaSmithMN
Minnesota is going to shock the nation in 9 days when it goes red for @realDonaldTrump and me! https://t.co/bMAPTNEAWk</t>
  </si>
  <si>
    <t>1320402024501043201</t>
  </si>
  <si>
    <t>Great “Save the Suburbs” Town Hall in Chanhassen!
@SenTinaSmith/@JoeBiden support the radical defund the police movement, they want to take away your 2A right to defend your family, &amp;amp; they want to pack the Supreme Court so these radical policies are upheld.
Can’t let it happen! https://t.co/Jy5VdrBIHo</t>
  </si>
  <si>
    <t>1320184305813958658</t>
  </si>
  <si>
    <t>I was grateful to join @BillStepien &amp;amp; @JasonMillerinDC on a press call yesterday where they announced a huge new ad buy. MN is in play!
"The new buy is going to be a heavy buy. I emphasize heavy," Stepien said. "You won't be able to turn on the TV without seeing a Trump ad." https://t.co/BULQV18AAu</t>
  </si>
  <si>
    <t>1320148542749552641</t>
  </si>
  <si>
    <t>Democrats: “Trump’s rhetoric is divisive and hateful and he’s a liar!”
Also Democrats: “If Republicans win, people will die!”
So say power hungry radicals like @MinnesotaDFL Chairman @kenmartin73 and Senator @TinaSmithMN.
People are sick of the fear-mongering and vile rhetoric https://t.co/mnuEUsvuTm</t>
  </si>
  <si>
    <t>1320139716101083137</t>
  </si>
  <si>
    <t>Typical Tina Smith...
Tina has no interest in earning your support, she thinks it’s easier to buy it.
If she thought she could earn your support she wouldn’t have ducked the WCCO &amp;amp; Almanac debates.
Considering Tina endorsed @IlhanMN, you know where she stands on the issues! https://t.co/ZwdsCTWfje</t>
  </si>
  <si>
    <t>1320101484919488512</t>
  </si>
  <si>
    <t>What was once considered impossible is now imminent.
Minnesotans saw firsthand the damage and destruction lawless Democrats not only allowed, but even encouraged.
It’s time to elect leaders in government who will protect life, liberty, and property! https://t.co/LxWSkSnJDb</t>
  </si>
  <si>
    <t>1320088972803121152</t>
  </si>
  <si>
    <t>Thanks to all our volunteers in Albert Lea and Freeborn County! Keep pushing, ten more days! 
Sign up to help get us across the finish line at https://t.co/3QAV7UP0Yi https://t.co/5tFe5qlbJM</t>
  </si>
  <si>
    <t>1320057613724377088</t>
  </si>
  <si>
    <t>Speaking of “flouting” COVID, Torey did you ever call @TinaSmithMN &amp;amp; ask her why she flew commercial after being exposed to someone who was COVID positive, after you ripped GOPers for allegedly doing the same?
Media is BLATANTLY in the tank for the Dems. MN sees right through it https://t.co/kCWNeeVSZ8</t>
  </si>
  <si>
    <t>1320052584749649923</t>
  </si>
  <si>
    <t>Thanks to @PeteHegseth for having me on @foxandfriends this morning. We are going to make history &amp;amp; flip MN red! https://t.co/itp68RfARh</t>
  </si>
  <si>
    <t>1320034266143707136</t>
  </si>
  <si>
    <t>Great press conference and Get out the Vote rally in Rochester this morning! 
Thanks to all our hardworking ⁦@TrumpVictoryMN⁩ volunteers who are braving the cold (well, cold for October) to knock doors all across the state today to finally flip MN red! #LeadRight https://t.co/VDVgbcuSG0</t>
  </si>
  <si>
    <t>1319853225173000193</t>
  </si>
  <si>
    <t>🚨TUNE IN ALERT! I’ll be on @foxandfriends with @PeteHegseth tomorrow @ 7:45 AM.
Big week in MN! We cut @TinaSmithMN’s lead to one point, she refuses to denounce Biden’s plan to abolish oil, and @realDonaldTrump is taking out a huge ad buy.
MN WILL go red. Take it to the bank👍🏻</t>
  </si>
  <si>
    <t>1319825722194743296</t>
  </si>
  <si>
    <t>Fact check (and fact checking Tina has basically become a full time job for our campaign): Senator Smith blocked THREE COVID relief bills, including PPP loan forgiveness for small businesses.
We’ll get it done when you hire me and show Tina the door. Obstruction has consequences https://t.co/kO2TyFnjs2</t>
  </si>
  <si>
    <t>1319798522779152387</t>
  </si>
  <si>
    <t>Felt like old times running into my former opponent @AngieCraigMN!
Funny that Angie was here to debate my friend &amp;amp; running mate @KistnerCongress. 
I ALSO was here for a debate, but then it was turned into an interview since @TinaSmithMN REFUSES to leave the basement &amp;amp; debate. https://t.co/7YqqxRCzZH</t>
  </si>
  <si>
    <t>1319787075458183171</t>
  </si>
  <si>
    <t>🚨TUNE IN ALERT!
I’ll be LIVE on Almanac on PBS at 7PM talking about our Senate race—now a toss up!
This was SUPPOSED to be a debate, but @TinaSmithMN refused &amp;amp; continues to hunker in the basement to avoid questions on whether she’d pack the court &amp;amp; abolish the energy industry. https://t.co/61osBe4pIz</t>
  </si>
  <si>
    <t>1319771791242518534</t>
  </si>
  <si>
    <t>Join us in Rochester tomorrow!
We'll be with our great volunteers ready to kick off a day of door knocking and phone banking! 
#LeadRight 
https://t.co/FeksGRFEUN</t>
  </si>
  <si>
    <t>1319745707012726790</t>
  </si>
  <si>
    <t>The only people surprised our race is competitive are those insulated in elite liberal bubbles.
@TinaSmithMN &amp;amp; her party are out of touch w/ everyday Minnesotans.
Unlike Tina— I’ll defend your #2A Rights, stand with Law Enforcement, &amp;amp; reject socialism!https://t.co/jlwtymbBXc</t>
  </si>
  <si>
    <t>1319734744502964224</t>
  </si>
  <si>
    <t>For months @TinaSmithMN has dodged questions regarding her position on the @Enbridge Line 3 pipeline.
Last night, Joe Biden(who Tina endorses) came right out and said it.
Democrats plan to eliminate the oil industry and take thousands of good paying energy jobs with it. https://t.co/F6Zrxd0ifk</t>
  </si>
  <si>
    <t>1319713145053728770</t>
  </si>
  <si>
    <t>@realDonaldTrump Minnesota is home to 2 refineries in the metro area, one of which supplies 80% of the jet fuel to MSP. Another refinery is just across the border in Superior.
Biden’s threat to end the oil industry would destroy thousands of good paying energy jobs in Minnesota!</t>
  </si>
  <si>
    <t>1319701426768064513</t>
  </si>
  <si>
    <t>It was a privilege hearing @BrandonStraka’s story last night at #CPACMinnesota
Thousands of Democrats across Minnesota have done the same thing as Brandon &amp;amp; walked away from the party that forgot them.
In 11 days the State of Minnesota will finally #WalkAway &amp;amp; flip red! https://t.co/LKrvMuZwbF</t>
  </si>
  <si>
    <t>1319688142065160194</t>
  </si>
  <si>
    <t>Democrats like @TinaSmithMN don’t seem to realize turning her back on Energy, Mining, &amp;amp; Logging is no different than turning her back on the hard working folks across Minnesota who rely on these jobs to put food on the table!
Yet, she expects their vote?https://t.co/J6aq90ZJRO</t>
  </si>
  <si>
    <t>1319679665544613890</t>
  </si>
  <si>
    <t>.@TinaSmithMN refuses to say where she stands on Line 3, the Green New Deal(she voted "Present"), or Biden's comments last night that he wants to abolish the oil industry.
Fact: She is actually radically anti-energy &amp;amp; knows she would lose if she actually had the guts to admit it</t>
  </si>
  <si>
    <t>1319661436977676290</t>
  </si>
  <si>
    <t>My opponent Senator @TinaSmithMN didn't vote YEA or NAY on the Green New Deal, she voted present and refuses to tell us where she stands on abolishing fossil fuels (which I also mentioned on the call). 
Details, @AndrewFeinberg https://t.co/iNyCuwJ36b</t>
  </si>
  <si>
    <t>1319660550100484096</t>
  </si>
  <si>
    <t>Can't wait to welcome Vice President @Mike_Pence back to Minnesota on Monday! We are IN PLAY and ready to go red, folks! https://t.co/HdPlzuh80f</t>
  </si>
  <si>
    <t>1319639546401783810</t>
  </si>
  <si>
    <t>MN is home to 2 refineries in the metro area, one of which supplies 80% of the jet fuel to MSP. Another refinery is just across the border in Superior.
Nowhere would Biden’s threat to end the oil industry be more devastating than here in MN.
And @TinaSmithMN agrees with this?! https://t.co/5kDjA220GP</t>
  </si>
  <si>
    <t>1319472826584387584</t>
  </si>
  <si>
    <t>Joe Biden took 5 days off the campaign trail to prepare... And that’s the best he’s got?
#Debates2020</t>
  </si>
  <si>
    <t>1319468706171334658</t>
  </si>
  <si>
    <t>Tonight we heard Biden refuse to say he’d hold China accountable for giving us COVID &amp;amp; taking advantage of us economically.
The "Manchurian Candidate" @TinaSmithMN is no better! 
She owns stock in Chinese companies/takes big $ from corporations that outsource jobs there #debate</t>
  </si>
  <si>
    <t>1319468014153117697</t>
  </si>
  <si>
    <t>"We're going to transition away from oil." - Biden. 
I used to represent THOUSANDS of middle class refinery workers when I was in Congress.
As Senator I will stand with them and the 8,600 men and women who stand to gain from Enbridge Line 3 jobs. Joe/@TinaSmithMN oppose #debate</t>
  </si>
  <si>
    <t>1319466234803519491</t>
  </si>
  <si>
    <t>On the #GreenNewDeal, friendly reminder that Senator @TinaSmithMN voted "PRESENT" rather than voting "NO" when it was up for a vote. But that's par for the course for her. 
Iron Range, Enbridge employees...learn to code and find another job in Joe &amp;amp; Tina's America! #Debates2020</t>
  </si>
  <si>
    <t>1319461731802992642</t>
  </si>
  <si>
    <t>Joe Biden just admitted he wants to raise the minimum wage on small businesses.
Raising the minimum wage on small businesses in the middle of a pandemic is disqualifying! #Debates2020 #DebateTonight</t>
  </si>
  <si>
    <t>1319460149216555008</t>
  </si>
  <si>
    <t>"Who built the cages, Joe?" 
C'mon, man! #Debate2020</t>
  </si>
  <si>
    <t>1319459740569710592</t>
  </si>
  <si>
    <t>.@realdonaldtrump is ready/willing to sign another #COVID19 relief bill.
Obstructionist politicians like @TinaSmithMN are holding that bill up in the Senate &amp;amp; blocking it.
They’re holding the American people hostage to hurt the President's political prospects. Sick #Debates2020</t>
  </si>
  <si>
    <t>1319458020804468736</t>
  </si>
  <si>
    <t>Joe Biden just refused to deny that he supports putting us on a road to Socialized medicine. 
Maybe he supports @TinaSmithMN’s plan? You know, the one that would decimate Medicare and close 50 rural MN hospitals. #Debates2020 #DebateTonight</t>
  </si>
  <si>
    <t>1319449075113250817</t>
  </si>
  <si>
    <t>“So you’re not ruling out more shutdowns?” 
Joe Biden: “No.” 
There you have it folks. We can protect the vulnerable and crush the virus without shutting down the economy. AGAIN.  #Debates2020</t>
  </si>
  <si>
    <t>1319448612397633538</t>
  </si>
  <si>
    <t>“We can’t close up our nation, or you’re not going to have a nation!” - President Trump
#Debates2020</t>
  </si>
  <si>
    <t>1319430320488435713</t>
  </si>
  <si>
    <t>As polls tighten and enthusiasm grows we have an incredible opportunity to flip Minnesota red.
My friend @ScottPresler joined us tonight at #CPACMinnesota to help us spread our message.
There is hope Minnesota, Dems have abandoned you, but I will fight for you!
Vote Nov 3rd! https://t.co/GwG1kAe0jX</t>
  </si>
  <si>
    <t>1319415670778531841</t>
  </si>
  <si>
    <t>“YOU AIN’T NOTHIN’ BUT A HOUND DOG!” Ok, he’s not quite a hound, but this IS my new friend Elvis. You know what they say, if you want a friend in politics, get a dog! https://t.co/rmwjTxVmw9</t>
  </si>
  <si>
    <t>1319404248195567624</t>
  </si>
  <si>
    <t>Hey @TinaSmithMN, you’ll be looking for a job shortly.
I’m sure you’d fit right in. https://t.co/7mRFs8MqU4</t>
  </si>
  <si>
    <t>1319397096638861319</t>
  </si>
  <si>
    <t>What a great crowd in Hugo last night for the kick off of our “Save the Suburbs” tour!
Democrats have emboldened the violent mob.
Meanwhile they also want to defund the police &amp;amp; take away your Second Amendment right.
Not on my watch! We WILL restore safety in our communities! https://t.co/ixbv3jUFMA</t>
  </si>
  <si>
    <t>1319378870089486346</t>
  </si>
  <si>
    <t>.@TinaSmithMN underestimated the people of Minnesota.
She mistakenly assumed the (D) next to her name made her seat safe &amp;amp; chose not to bother w/ leaving Minneapolis &amp;amp; hearing from voters.
This seat doesn’t belong to Tina, it belongs to the people of MN!https://t.co/0YchFEJHxF</t>
  </si>
  <si>
    <t>1319372022695251968</t>
  </si>
  <si>
    <t>Knocking doors in single degree weather is NEXT LEVEL commitment. Nothing out of the ordinary though for the @TrumpVictoryMN/ Team Lewis volunteers. Keep up the good work JP, looking forward to big #'s! #LeadRight https://t.co/XGGPl4kdIN</t>
  </si>
  <si>
    <t>1319354742791933957</t>
  </si>
  <si>
    <t>Suburban voters realize Dems like @TinaSmithMN are a threat to public safety in their communities.
They’ve seen the violence &amp;amp; anarchy when Democrats defund the police &amp;amp; allow mob rule.
I will always fight for law enforcement &amp;amp; safety in every community!https://t.co/SZPIwKt91f</t>
  </si>
  <si>
    <t>1319329454712291328</t>
  </si>
  <si>
    <t>Don’t you and @TinaSmithMN have some ballots to be illegally harvesting and police to be defunding? 
PS- How’s your brother? https://t.co/xybltr0rpE</t>
  </si>
  <si>
    <t>1319307811910811648</t>
  </si>
  <si>
    <t>We can do this Minnesota!
Our campaign for U.S. Senate has never been about me. This fight is for YOU!
I will defend your rights, stand with law enforcement, &amp;amp; ensure Minnesota’s industries are protected from government bureaucracy!
https://t.co/6mBNcsxLlV</t>
  </si>
  <si>
    <t>1319288600626774019</t>
  </si>
  <si>
    <t>Minnesota has grown accustomed to @TinaSmithMN being an absentee senator.
But now Senator Klobuchar is boycotting Senate Judiciary Committee meetings?
Minnesotans deserve to be heard in the U.S. Senate. Once I’m elected I will bring YOUR voice to the Senate with me! https://t.co/2QWFcyKkyO</t>
  </si>
  <si>
    <t>1319125528276881408</t>
  </si>
  <si>
    <t>NEW COMMERCIAL! With less than 2 weeks to election day, time to "lock and load."
@TinaSmithMN attacks &amp;amp; undermines the police &amp;amp; wants to take away your right to defend your family. I'll ALWAYS defend both.
"I'm Jason Lewis &amp;amp; not only do I APPROVE this message, I guarantee it." https://t.co/YFxAnfKo0V</t>
  </si>
  <si>
    <t>1319113565773627393</t>
  </si>
  <si>
    <t>There are a lot of good reasons not to vote for @TinaSmithMN 
The fact @IlhanMN thinks you should might be at the top of that list! https://t.co/l69dJbTIWk</t>
  </si>
  <si>
    <t>1319112425640239107</t>
  </si>
  <si>
    <t>Tonight @KSTP / @thauserkstp released a poll showing our senate race being a dead heat.
If you don’t like the results, blame @TinaSmithMN, the absentee candidate who ignored Minnesota while we visited every corner of the state.
But don’t shoot the messenger! https://t.co/tUs1vgBQMc</t>
  </si>
  <si>
    <t>1319099946063319042</t>
  </si>
  <si>
    <t>I don’t often agree with far-left MSNBC pundit @chrislhayes
But he’s right about one thing, @TinaSmithMN is UNDERPERFORMING!
Minnesota has been so reliably blue, Tina mistakenly thought she could be re-elected w/o even leaving Minneapolis. https://t.co/mUmwm2FXE6</t>
  </si>
  <si>
    <t>1319089107105185794</t>
  </si>
  <si>
    <t>Tina just doesn’t get it &amp;amp; that’s exactly why polls show our race in a dead heat.
More 💰 won’t help @TinaSmithMN. Tina &amp;amp; her party have forgotten the people of MN.
Minnesotans want a Senator who will fight them, protect their way of life, &amp;amp; defend public safety!
Tina is 0/3 https://t.co/uZFdV1FUlh</t>
  </si>
  <si>
    <t>1319068007822430208</t>
  </si>
  <si>
    <t>You and Tina worried Keith? Don’t you have some more restaurants to fine and rodeos to close? https://t.co/syXwJam3dX</t>
  </si>
  <si>
    <t>1319056164987031552</t>
  </si>
  <si>
    <t>🚨🚨NEW POLL &amp;amp; @TinaSmithMN’s lead has been cut to ONE. SINGLE. POINT.
MN is THIS close to going red.
YOUR help spreading our message of supporting the police, ending the lockdowns and creating jobs, protecting 2A/the Constitution got us here.
Now we need to go finish the job! https://t.co/mmVkjyfNEp</t>
  </si>
  <si>
    <t>1319016035496955904</t>
  </si>
  <si>
    <t>🚨TUNE IN NOW to see me on @FoxBusiness @AftertheBell! https://t.co/gKUWl4CCwJ</t>
  </si>
  <si>
    <t>1319008761869205507</t>
  </si>
  <si>
    <t>TUNE IN ALERT🚨
I’ll be live on @FoxBusiness with @connellmcshane at 3:30pm talking about the Minnesota economy &amp;amp; how Minnesota is poised to go red this November 3!
From endless lockdowns to Biden/@TinaSmithMN pledging to raise taxes $4 trillion, folks have had enough! https://t.co/halqmqE5wm</t>
  </si>
  <si>
    <t>1318988238133088257</t>
  </si>
  <si>
    <t>Now that the media is trying to blame- you guessed it- RUSSIA, for the revelations that Hunter Biden was selling influence to his dad, it was great catching up with Former Director of National Intelligence, @RichardGrenell, who blew the lid off the false Russian collusion hoax. https://t.co/wnWw7X4muz</t>
  </si>
  <si>
    <t>1318986998456197128</t>
  </si>
  <si>
    <t>Honored to receive @NFIB’s endorsement in person today.
I understand the challenges small business owners face because I was one myself.
That’s why I helped pass tax cuts while in Congress.
Now we must pass more COVID relief, end the lockdowns, &amp;amp; get small biz thriving again! https://t.co/iB1nRpFfnk</t>
  </si>
  <si>
    <t>1318979427536113664</t>
  </si>
  <si>
    <t>@ScottPresler @BrandonStraka @MAJTOURE @mschlapp @CPAC @LacyJohnsonMN @KistnerCongress @JimHagedornMN I’m looking forward to meeting you Scott. The work you’ve done across the nation is truly impressive!</t>
  </si>
  <si>
    <t>1318965720521314305</t>
  </si>
  <si>
    <t>MN is poised to turn red. We will fight socialism, #BackTheBlue, &amp;amp; defend the Constitution.
Join us in welcoming
@ScottPresler, @BrandonStraka, @MAJTOURE, &amp;amp; @mschlapp to @CPAC Minnesota tomorrow in Prior Lake.
We’d love to see you there. LINK:👇👇👇
https://t.co/BTb0kzdpah https://t.co/8R6aIAVoIZ</t>
  </si>
  <si>
    <t>1318943612483309573</t>
  </si>
  <si>
    <t>Hillary is right...
8 million Americans didn’t “slip” into poverty. They were pushed by Democrat governors locking down their citizens and destroying their economies!
The only way to bring recovery is to elect Republicans nationwide to end these lockdowns! https://t.co/5j7n6g08d3</t>
  </si>
  <si>
    <t>1318754983148457985</t>
  </si>
  <si>
    <t>The silent majority is real. For 4+ years, pundits and power brokers in America have tried making it dangerous to admit you’re a conservative Trump supporter.
They’ve stolen many peoples’ voices, but they’ll NEVER steal your vote.
https://t.co/QGJEJ9o9g5</t>
  </si>
  <si>
    <t>1318725131460579329</t>
  </si>
  <si>
    <t>Tune in NOW to hear my interview with @bloisolson on @wccoradio 
This was originally supposed to be a debate, but @TinaSmithMN refused.
Much like Biden, she doesn’t think folks deserve to know where she stands before the election.
Minnesotans deserve better!</t>
  </si>
  <si>
    <t>1318715715969581057</t>
  </si>
  <si>
    <t>This would lead some to believe he’s struck a deal with the FBI in exchange for information on the Biden’s nefarious dealings. https://t.co/bykfwBJEcr</t>
  </si>
  <si>
    <t>1318698753881198592</t>
  </si>
  <si>
    <t>I don’t disagree, that’s why I’m proud to have the endorsement of every single police union in the state!
And just to clarify Senator, unions are only strong when leadership actually represents the wants and needs of its members. https://t.co/2Eq9NtubzI</t>
  </si>
  <si>
    <t>1318663675809570816</t>
  </si>
  <si>
    <t>Minnesota, there are only 2 weeks to go and this is just a 4 point race!
If you’ve dreamed of the day we finally flip Minnesota red, that day is almost here!
No vote is a waste, every single vote counts, and I need your support! https://t.co/NE4BgAti9C</t>
  </si>
  <si>
    <t>1318610363160666117</t>
  </si>
  <si>
    <t>We’ve cut @tinasmithmn’s lead to just 4% &amp;amp; shrinking!
Democrats will defund the police, censor your speech, take your guns, &amp;amp; raise your taxes.
@realDonaldTrump &amp;amp; I will fight for the people of Minnesota, revive the Iron Range, &amp;amp; defend the Constitution! https://t.co/5b7w4YOF9T</t>
  </si>
  <si>
    <t>1318576271748726784</t>
  </si>
  <si>
    <t>Just another reason to support Republican candidates up and down the ballot.
We can protect the vulnerable without further destroying our economy &amp;amp; children’s futures.
But that won’t happen until we elect leaders who support freedom over fear.
https://t.co/cbL1QDUuNN</t>
  </si>
  <si>
    <t>1318362393819435009</t>
  </si>
  <si>
    <t>Welcome home Arik! #BackTheBlue https://t.co/9jdYvhsePL</t>
  </si>
  <si>
    <t>1318361232760504320</t>
  </si>
  <si>
    <t>Today @TinaSmithMN got on a plane after being exposed to COVID.
Yes she tested negative, but MN media previously blasted 3 MN GOP Congressmen for flying after testing negative, citing “long incubation period/false negatives.”
If you haven’t figured it out, you’re being played.</t>
  </si>
  <si>
    <t>1318337885389656064</t>
  </si>
  <si>
    <t>There is only 1 reason outside national groups would spend cash backing @TinaSmithMN days before the election.
They know she’s in trouble! Hell, Tina was even forced to start campaigning.
Too late Tina, MN deserves a Senator who represents them, not big money special interests! https://t.co/WbQz7G3IRE</t>
  </si>
  <si>
    <t>1318278524139196416</t>
  </si>
  <si>
    <t>For decades the @MinnesotaDFL was the party of Labor in Minnesota.
Sadly, they no longer support hard working union members, especially in Greater MN.
@TinaSmithMN &amp;amp; @JoeBiden support job killing regulations putting Minnesotans out of work.
Unlike Tina, I have your back! https://t.co/4cdUdK8vg7</t>
  </si>
  <si>
    <t>1318254114481016838</t>
  </si>
  <si>
    <t>The bias in our media is on full display.
@realDonaldTrump’s comments on Dr. Fauci are today’s only headline.
While the media completely ignores growing piles of evidence Joe Biden operated an international crime syndicate.</t>
  </si>
  <si>
    <t>1318229480217956354</t>
  </si>
  <si>
    <t>.@toreyvanoot: one set of COVID rules for GOP, another for DFL. 
She said the following of GOPers who flew after testing negative-"officials still recommend quarantine after exposure given incu. period/possibility of false negatives"
Tina now gets a free pass for doing the same https://t.co/9am6dtsRK1 https://t.co/T3M3B99Khn</t>
  </si>
  <si>
    <t>1317951748514918401</t>
  </si>
  <si>
    <t>Tina cares about rural MN and wants COVID relief? Could have fooled me! She never leaves Hennepin County and she has blocked THREE COVID relief bills. https://t.co/MhFIB9yTuF</t>
  </si>
  <si>
    <t>1317918661919805440</t>
  </si>
  <si>
    <t>Our condolences to Chad and Sid Hartman’s entire family in memory of a truly ‘extraordinary and resilient’ journey. https://t.co/bRRbHlKCl5</t>
  </si>
  <si>
    <t>1317603194126635017</t>
  </si>
  <si>
    <t>.@realDonaldTrump described @TinaSmithMN best:
“You have a senator that he’s running against. I won’t even mention names. She does nothing, nothing. Nobody even knows who the hell she is.”
She’s totally ineffective &amp;amp; Minnesotans are going to vote her out!https://t.co/lCaPFgbsKG</t>
  </si>
  <si>
    <t>1317558093627228160</t>
  </si>
  <si>
    <t>It was truly a pleasure having the chance to meet with some of MN’s veterans.
I’m proud of the VA Reforms we accomplished while I was in the 115th Congress.
But there is more work to do! As Senator, I will continue to fight for our veterans who fought for us! 🇺🇸 https://t.co/go45Qpgzp3</t>
  </si>
  <si>
    <t>1317513264897687552</t>
  </si>
  <si>
    <t>Hey @MinnesotaDFL &amp;amp; @TinaSmithMN, this is what an ACTUAL "peaceful protest" looks like! 
Funny how when Republicans get together for a protest, nothing gets destroyed, stolen or burned to the ground. 
Great job @TrumpVictoryMN! #leadright https://t.co/n0CZRXM4Nj</t>
  </si>
  <si>
    <t>1317321790834626560</t>
  </si>
  <si>
    <t>$14k IS a lot of money. Too much money in fact, when we’re talking about tech giants that censor free speech. Hell, taking $1 from them would be $1 too much.
Unlike @TinaSmithMN, our campaign is funded by the hard working people of Minnesota, and that’s who I’ll fight for in DC. https://t.co/qaqRxuHxMq</t>
  </si>
  <si>
    <t>1317307998293905409</t>
  </si>
  <si>
    <t>There is only one reason @TinaSmithMN would repeatedly dodge the same question weeks before an election.
Because she knows her answer isn’t what voters want to hear.
But Tina doesn’t answer to voters. She answers to @SenSchumer and the Democrat Party!
https://t.co/hMzlt3Mvd2</t>
  </si>
  <si>
    <t>1317295807822024704</t>
  </si>
  <si>
    <t>.@TinaSmithMN has taken over $14k from big tech which she should return immediately.
Her failure to do so would be the latest indication of how compromised she’s become in DC.
Unlike Tina, my allegiances will always be to you, NOT big tech/big business! https://t.co/kTG1HflLUd</t>
  </si>
  <si>
    <t>1317219674573123593</t>
  </si>
  <si>
    <t>Thank you to all who joined our virtual #2A Town Hall!
I will always protect your right to bear arms. @TinaSmithMN will take away your 2nd Amendment right. I won’t. It’s that clear! https://t.co/uc167LaQP8</t>
  </si>
  <si>
    <t>1317191465886416898</t>
  </si>
  <si>
    <t>A once solid blue Minnesota is now swing state.
It didn’t happen on accident, it happened because Dems like @IlhanMN &amp;amp; @TinaSmithMN embraced radical socialist positions, thereby turning their backs on hard working Minnesotans.
YOU, MN deserve better! https://t.co/cP8YMYz9eR</t>
  </si>
  <si>
    <t>1317170776932581376</t>
  </si>
  <si>
    <t>The red wave is coming. @realdonaldtrump is doing BETTER in swing states than this time in 2016! 
Despite efforts by big tech and social media to silence us, we won’t back down!
In 2016 Minnesota almost flipped red. This year we’re going to finish the job! https://t.co/Ob6dvCiVsA</t>
  </si>
  <si>
    <t>1317161892700426240</t>
  </si>
  <si>
    <t>Thx @maximlott/@FoxNews:
"Many support adding justices or decline to answer, such as MN incumbent @TinaSmithMN.
Lewis condemned that lack of an answer-'An assault on the constitutional separation of powers &amp;amp;a clear/present danger to our system of govt.' "https://t.co/6AsaWJlmsQ</t>
  </si>
  <si>
    <t>1317126610169061380</t>
  </si>
  <si>
    <t>This election Republicans aren’t only running against radical Democrats.
We’re also competing with big tech / social media censorship, the same corporations who are funding Dems’ campaigns.
Just remember—Tina represents corporations. I will represent YOU!https://t.co/N2Cgo3OGOp</t>
  </si>
  <si>
    <t>1317109814397407234</t>
  </si>
  <si>
    <t>Fact Check: McConnell and the Republicans DID draft COVID relief. Senator Smith blocked that relief. 
We’re talking about PPP loan forgiveness, school funding, USPS funding. 
Not once.
Not twice.
She blocked it THREE. TIMES. https://t.co/hOTtlkPjGE</t>
  </si>
  <si>
    <t>1317099217274478593</t>
  </si>
  <si>
    <t>Thank you Senator! MN is turning red and I look forward to joining you in the Senate! https://t.co/mjabSsirhf</t>
  </si>
  <si>
    <t>1316911339483312128</t>
  </si>
  <si>
    <t>Things Savannah Guthrie asked about at the #TrumpTownHall:
-Trump’s masks
-Trump’s supposed debt
-QAnon
-How often the President is #COVID tested 
You know, the important stuff! 
Things she DIDN’T ask about:
-Jobs/economy
-Onerous lockdowns
-Police &amp;amp; their funding 
-ANTIFA
🤦🏼‍♂️</t>
  </si>
  <si>
    <t>1316909336707407872</t>
  </si>
  <si>
    <t>Joe Biden is rambling about “pelletizing chicken and horse and cow manure.” 
The question was about the Green New Deal and the Boilermakers Union. Or the “New Green Deal” as Joe calls it. #BidenTownHall https://t.co/yYjCBOEA4A</t>
  </si>
  <si>
    <t>1316908142731710467</t>
  </si>
  <si>
    <t>We just heard Joe Biden say he WON’T rule out packing the Supreme Court until the radical left gets the rulings they want!
He said it “depends” on what happens with Barrett’s confirmation. This is a brazen, radical assault on the Consitution &amp;amp; he must be defeated. #BidenTownHall</t>
  </si>
  <si>
    <t>1316900436620824578</t>
  </si>
  <si>
    <t>I didn’t think it was possible...
But Savannah Guthrie is making Chris Wallace seem like a decent moderator. #TrumpTownHall</t>
  </si>
  <si>
    <t>1316899246411599872</t>
  </si>
  <si>
    <t>I would have loved to hear @realDonaldTrump complete his answer to that first time voter.
Unfortunately Savannah Guthrie interrupted him.
I thought interruptions were banned at these events? #TrumpTownHall</t>
  </si>
  <si>
    <t>1316894955663740929</t>
  </si>
  <si>
    <t>Nobody told @SavannahGuthrie this is a town hall, not a debate. 
And nobody told her that she’s the moderator, not the President’s opponent. #TrumpTownHall</t>
  </si>
  <si>
    <t>1316832054814945285</t>
  </si>
  <si>
    <t>Uffda - This Tweet defending Steve Scully did not age well... 
But what do you expect from the “journalists” at CNN? https://t.co/IRQ1JfPVmm</t>
  </si>
  <si>
    <t>1316830635139489793</t>
  </si>
  <si>
    <t>@realDonaldTrump @cspan The Commission on Presidential @debates' integrity &amp;amp; reputation is in tatters.
First they unilaterally cancel a debate &amp;amp; now it comes out their "impartial" moderator Steve Scully totally lied about his Twitter being hacked. He's been nothing more than a partisan activist</t>
  </si>
  <si>
    <t>1316826547656024064</t>
  </si>
  <si>
    <t>The Commission on Presidential @debates' integrity (and reputation) is in tatters.
First they unilaterally cancel a debate &amp;amp; now it comes out their "impartial" moderator Steve Scully totally lied about his Twitter being hacked. He's been outed for what he is- a partisan activist https://t.co/vEst5GYpDy</t>
  </si>
  <si>
    <t>1316822129078398983</t>
  </si>
  <si>
    <t>@realDonaldTrump Regardless of political views, we should all stand against #BigTechCensorship 
It’s time to remove big tech's liability exemption under Sec. 230 of the Communications Decency Act. It’s HISTORY when I get to the Senate.</t>
  </si>
  <si>
    <t>1316810480359530497</t>
  </si>
  <si>
    <t>*Riot https://t.co/xWhTkh4OvP</t>
  </si>
  <si>
    <t>1316802844494888961</t>
  </si>
  <si>
    <t>🚨FOR IMMEDIATE RELEASE- Lewis Tests Negative for #COVID Again &amp;amp; Blasts Onerous Economic Lockdowns https://t.co/WG2QcAvEqi</t>
  </si>
  <si>
    <t>1316798952180781056</t>
  </si>
  <si>
    <t>Regardless of your political views, we should all oppose #BigTechCensorship 
Time to remove big tech's liability exemption under Sec. 230 of the Communications Decency Act. It’s HISTORY when I get to the Senate.</t>
  </si>
  <si>
    <t>1316775862306562048</t>
  </si>
  <si>
    <t>.@KamalaHarris’ husband Doug Emhoff should cancel his scheduled MN appearance today!
&amp;amp; the state should track all @JoeBiden’s MN campaign appearances!
&amp;amp; Kamala/her staff should quarantine for 14+ days!
If Republicans are expected to follow “expert” guidance why shouldn’t Dems? https://t.co/I3cMzvKYu0</t>
  </si>
  <si>
    <t>1316763343152181249</t>
  </si>
  <si>
    <t>.@peggyflanagan seeking a diversion by falsely attacking me in @StribOpinion today. 
Why? Yesterday the Senate concluded she &amp;amp; Governor @Tim_Walz are responsible for the arson &amp;amp; riots in MSP. 
She’s also running cover for @TinaSmithMN’s attacks on police https://t.co/7RpTWZKAVH</t>
  </si>
  <si>
    <t>1316545000386318338</t>
  </si>
  <si>
    <t>It’s an honor to be endorsed by the @NFIB.
Having run the family auto parts business, I understand the challenges our small businesses are facing.
From helping pass tax cuts while in Congress to advocating for targeted COVID relief now, small businesses know I stand with them! https://t.co/WP41urfwRj https://t.co/7VipnuG396</t>
  </si>
  <si>
    <t>1316479958093570049</t>
  </si>
  <si>
    <t>The censorship actions taken by Twitter and Facebook in suppressing newly unearthed Biden corruption could qualify as “coordination” with his campaign. If so- highly illegal! https://t.co/2e34dn3IIi</t>
  </si>
  <si>
    <t>1316461169553608705</t>
  </si>
  <si>
    <t>If the NY Post story weren’t credible there is no way the media &amp;amp; social media platforms would be working this hard to censor it.
We must end #BigTechCensorship https://t.co/pplHctmu5S</t>
  </si>
  <si>
    <t>1316451435597438976</t>
  </si>
  <si>
    <t>This is Soviet style censorship the likes of which our Republic has never seen. 
My advice to big tech? Start censoring me too because if I make it to the U.S. Senate I promise you that you’ll be on the chopping block and will have a lot to answer for. https://t.co/iPV2xFOJFt</t>
  </si>
  <si>
    <t>1316447867482103808</t>
  </si>
  <si>
    <t>Tina, nobody is buying it.
You personally voted against COVID relief as recently as September.
You’re damn right the people of Minnesota need relief.
And YOU are the person responsible for blocking it! https://t.co/7anJFPhfHE</t>
  </si>
  <si>
    <t>1316438903692431360</t>
  </si>
  <si>
    <t>Let me get this straight.
Democrats including my opponent @TinaSmithMN impeached @realDonaldTrump for crimes committed by their presidential nominee &amp;amp; his son Hunter?
Just like clockwork, the media is hiding it, and social media is suppressing it.
This corruption must end! https://t.co/kXcTch9WeT</t>
  </si>
  <si>
    <t>1316415910618562562</t>
  </si>
  <si>
    <t>Pollsters themselves admit their handle on the electorate is fragile (if not non-existent).
Don’t pay an ounce of attention to the media who peddles a narrative of doom and gloom for @realdonaldtrump &amp;amp; the GOP.
It’s a calculated effort to deject you! https://t.co/i6moCqwnPQ</t>
  </si>
  <si>
    <t>1316395417194704896</t>
  </si>
  <si>
    <t>Minnesota loves President Trump!
When I was in Congress I worked with @realDonaldTrump to pass tax cuts, bring jobs back home, &amp;amp; slash job killing government regulation.
God willing, I’ll return to DC in the U.S. Senate and continue to work w/ President Trump fighting for YOU! https://t.co/Gwe2yLZUSw</t>
  </si>
  <si>
    <t>1316221885584207873</t>
  </si>
  <si>
    <t>America - On behalf of most Minnesotans I truly apologize for @Ilhan &amp;amp; her lies.
I now see why @TinaSmithMN endorsed her, apparently Ilhan is willing to lie to cover for Tina’s voting record, which includes blocking COVID relief 3 times.
We deserve better than these 2! https://t.co/VdhWHSow7I</t>
  </si>
  <si>
    <t>1316193246566113286</t>
  </si>
  <si>
    <t>🚨While Dems are blinded by their hatred for @realDonaldTrump, they ignore the TRUE culprit of #COVID19- Communist China.
Is it deliberate? Probably! @TinaSmithMN took nearly $100k from companies that outsource there &amp;amp; she owns stock in Chinese companies! https://t.co/XdpIUN6vCu</t>
  </si>
  <si>
    <t>1316109717886861314</t>
  </si>
  <si>
    <t>We all know who let Minneapolis get overrun by rioters.
Walz &amp;amp; Frey stood by and did nothing for days.
@TinaSmithMN encouraged it, even called it “righteous protest.”
If it weren’t for police &amp;amp; the @MNNationalGuard Minneapolis would still be on fire.https://t.co/ZqqBGAeid5</t>
  </si>
  <si>
    <t>1316077231698071553</t>
  </si>
  <si>
    <t>In an anecdote about following wild game tracks in the woods of No. MN, @amyklobuchar said she's trying to "follow the tracks" of Judge Barrett's jurisprudence. 
Amy said the tracks bring her to the conclusion that Barrett would be the polar opposite of RBG. 
GOOD! Confirm her!</t>
  </si>
  <si>
    <t>1316062067531579393</t>
  </si>
  <si>
    <t>I’m always encouraged by meeting with young conservatives.
The education system, media, and Hollywood are all designed to make young people feel like they have no choice but to be liberal.
But these young leaders thought for themselves and they choose liberty and freedom! https://t.co/eQhRjP6OLf</t>
  </si>
  <si>
    <t>1316043245525364736</t>
  </si>
  <si>
    <t>For decades Democrats have used the court system to implement policy they couldn’t pass legislatively.
Now w/ the likelihood of Judge Amy Coney Barrett heading to the #SCOTUS they’re resorting to dirty tricks.
@JoeBiden &amp;amp; @TinaSmithMN will pack the court!https://t.co/L34bJ6wzjI</t>
  </si>
  <si>
    <t>1315863174822977536</t>
  </si>
  <si>
    <t>Might help for you to know what “court packing” actually means.
Seems to be a definition many leftists are not privy to.
Biden criticized it in 83. So what happened?
Also can you please point out the “dying wish” article/amendment to me in the Constitution? I couldn’t find it! https://t.co/REashM8zPH https://t.co/s84vlQMdFh</t>
  </si>
  <si>
    <t>1315836682281910273</t>
  </si>
  <si>
    <t>Don’t insult our intelligence!
Of course the efforts to dismantle the police is connected to a spike in crime.
But no surprise, Democrats often refuse to accept the consequence of their actions. https://t.co/gAbraZ0fPL</t>
  </si>
  <si>
    <t>1315807816872062977</t>
  </si>
  <si>
    <t>Especially considering Senator Smith voted against Postal Service relief in the latest round of COVID relief she killed in the Senate! (One of three COVID relief bills Senator @TinaSmithMN torpedoed). https://t.co/B5X1g3SrgC</t>
  </si>
  <si>
    <t>1315796942690168832</t>
  </si>
  <si>
    <t>Thanks for your help team! We just crossed 4 million voter contacts and we’re well on our way to 5 million with your help! #LeadRight https://t.co/SWbj2AbDMV</t>
  </si>
  <si>
    <t>1315795471387029504</t>
  </si>
  <si>
    <t>Taxpayer funded post birth abortion (which you’re on record as supporting) is not a “reproductive right.” Period. https://t.co/YP9BeC7ISX</t>
  </si>
  <si>
    <t>1315779019741298688</t>
  </si>
  <si>
    <t>Happy National Farmers Day to our incredible farmers!
I’ve visited dozens of farms hurt by COVID &amp;amp; the lockdown from the Red River Valley to the IA border.
I pushed for expanding markets through better trade deals &amp;amp; for additional COVID relief. I’ll always have your back! https://t.co/2UUaeSzu2y</t>
  </si>
  <si>
    <t>1315768280288833536</t>
  </si>
  <si>
    <t>The late Justice Ginsburg opposed court packing.
@JoeBiden &amp;amp; Senator @TinaSmithMN VEHEMENTLY refuse to tell us where they stand.
Unlike those two (who are Constitutionally illiterate), RBG respected the institution of the Court &amp;amp; understood its role https://t.co/SXGgRIqeDO</t>
  </si>
  <si>
    <t>1315741681275240448</t>
  </si>
  <si>
    <t>Democrats worry that Judge Barrett will somehow undo Obamacare or other statutes because they think the Supreme Court MAKES laws.
Republicans think judges APPLY the law written by legislators.
Big difference! #SCOTUShearings</t>
  </si>
  <si>
    <t>1315722055405498381</t>
  </si>
  <si>
    <t>Fitting- Judge Barrett’s confirmation hearing begins today(Columbus Day)
Considering @KamalaHarris viciously denigrated nominees in the past simply by virtue of their affiliation w/the Knights of Columbus. This is anti-Catholic bigotry and it’s despicable https://t.co/mRHPxUYAHV</t>
  </si>
  <si>
    <t>1315694835383308290</t>
  </si>
  <si>
    <t>It was my great pleasure to join the @MNFOP virtual convention today.
The Fraternal Order of Police is the nation’s largest police union &amp;amp; I am so honored to have their endorsement.
They understand I #BackTheBlue &amp;amp; @SenTinaSmith poses the gravest threat to their profession! https://t.co/KGkc48KpU2</t>
  </si>
  <si>
    <t>1315497581087252480</t>
  </si>
  <si>
    <t>Fact Check: True https://t.co/GGj95iZiyn</t>
  </si>
  <si>
    <t>1315484104083877894</t>
  </si>
  <si>
    <t>Big thanks to the @sdgop federation of Republican women for coming over to MN to Marshall to knock doors for @realDonaldTrump, @FischbachMN7 &amp;amp; me! It’s much appreciated. 
With your help we are turning MN red! @TrumpVictoryMN #LeadRight https://t.co/Gp65TrNPRT</t>
  </si>
  <si>
    <t>1315468470625206272</t>
  </si>
  <si>
    <t>When FDR tried “Packing the court” even his own party slapped it down as too radical.
Now the media is working overtime trying to redefine &amp;amp; normalize it.
We cannot allow it to happen! https://t.co/Fh02lSvNUr</t>
  </si>
  <si>
    <t>1315412333477400576</t>
  </si>
  <si>
    <t>Support &amp;amp; enthusiasm for our campaign stretches all across America.
Patriots everywhere like @Boyd_2650 are pulling for Minnesota to flip red by electing @realDonaldTrump &amp;amp; myself.
It’s been a long time since Minnesota went red, but that drought is about to end! https://t.co/fRFa7JkQ6T</t>
  </si>
  <si>
    <t>1315391029693026305</t>
  </si>
  <si>
    <t>🚨 FOR IMMEDIATE RELEASE: Lewis Demands @TinaSmithMN Stop Hiding on Issue of Packing the Court on Press Call https://t.co/GwbSxiSJWN</t>
  </si>
  <si>
    <t>1315384172014440450</t>
  </si>
  <si>
    <t>Probably not advisable to steal from a former O-lineman and all time #Vikings great! Sorry to hear it Matt &amp;amp; thanks for the support, we'll get some more signs out your way. https://t.co/A3cFghCxyt</t>
  </si>
  <si>
    <t>1315365656360095744</t>
  </si>
  <si>
    <t>Why won't @TinaSmithMN say whether she supports packing the court? ("I'm not going to go there") 
What's she hiding? &amp;amp; why doesn't she support Judge Barrett getting a fair hearing this week?
Virtual press conference starting in 5 minutes to discuss all that &amp;amp; more! #FillTheSeat</t>
  </si>
  <si>
    <t>1315342681145593858</t>
  </si>
  <si>
    <t>Great job Kevin &amp;amp; the @TrumpVictoryMN team for making history with 4,000,000 voter contacts!
Something that’s never been done in the history of GOP politics in Minnesota.
And thanks to all the volunteers who got it done! Sign up at https://t.co/3QAV7UP0Yi, help us get to 5mill! https://t.co/Ff74QLxuin</t>
  </si>
  <si>
    <t>1315306997114376192</t>
  </si>
  <si>
    <t>My heart breaks for the people of Minneapolis who have to fear for their safety.
All because radical Democrats (including Minneapolis City Council members, who have private, taxpayer funded security) decided to wage war on the police. Outrageous.
https://t.co/RIFfuhGwbC</t>
  </si>
  <si>
    <t>1315135515725893632</t>
  </si>
  <si>
    <t>Democrats stealing our lawn signs? I’m shocked! 
Democrat leaders don’t play by the rules so why would the rank and file?
We’ll private message you and would be happy to deliver a couple more, sorry this happened to you! https://t.co/V7O9LjkS9e</t>
  </si>
  <si>
    <t>1315131519808221184</t>
  </si>
  <si>
    <t>.@MinnesotaDFL Chair @kenmartin73 is sending dog whistles to the mob, &amp;amp; it needs to end. Shamefully irresponsible. And dangerous.
This is mob rule folks. “Do what we say or else there will be violence”
Not surprising when @SenTinaSmith called looting &amp;amp; arson “righteous protest” https://t.co/5kPaeHsaDp</t>
  </si>
  <si>
    <t>1315069598786613253</t>
  </si>
  <si>
    <t>We are at a crossroads in Minnesota and across this country.
One direction is dominated by the doom-and-gloomers and the other by those of us who still think there’s more good about America than bad.
The choice is clear this November. #turnMNred
https://t.co/zWLprJEaH0</t>
  </si>
  <si>
    <t>1314993481643950080</t>
  </si>
  <si>
    <t>Thank you team! PERFECT day for door knocking! 
Folks, visit https://t.co/hARCAYW60N and sign up help us get the vote out. Don't be left saying "I wish i did more" on November 4th. Help us win now! https://t.co/qmXkoXxWEr</t>
  </si>
  <si>
    <t>1314977296718200832</t>
  </si>
  <si>
    <t>🚨 I just made the 4,000,000th voter contact in MN on behalf of Lewis for Senate &amp;amp; @TrumpVictoryMN, to Sarah in Anoka! She’s all in for the President and me. 
We still need your help to bring this home, now’s the time to get involved! 
Visit https://t.co/3QAV7UP0Yi &amp;amp; sign up! https://t.co/0ENsrjBcPN</t>
  </si>
  <si>
    <t>1314724137001156610</t>
  </si>
  <si>
    <t>The @debates commission is running protection for @JoeBiden.
It's filled with Dem donors and "Republicans" who are self avowed never-Trumpers.
@TinaSmithMN won't debate either. They're hiding the ball on how radical they are &amp;amp;trying to run out the clock! https://t.co/YbSprv0LOy</t>
  </si>
  <si>
    <t>1314689917432352768</t>
  </si>
  <si>
    <t>When Dems lose, they try changing the rules in the middle of the game(impeachment, electoral college, Court packing)
NOW they're talking about removing a duly elected(&amp;amp; symptom free) POTUS from power? If ANYONE'S fitness needs to be examined, it's Biden's
https://t.co/pC4l3teDiu</t>
  </si>
  <si>
    <t>1314667659544473600</t>
  </si>
  <si>
    <t>It’s been a very long time since Minnesota had a competitive Senate race.
The polls are tightening and momentum is building.
Unlike @TinaSmithMN, who only fights the highest bidder, I will fight for YOU!
https://t.co/CGgo0VGCsU</t>
  </si>
  <si>
    <t>1314619471093432324</t>
  </si>
  <si>
    <t>Do @TinaSmithMN &amp;amp; @JoeBiden support packing the court? Biden said "you'll find out after the election."
When asked about it, Tina said "I'm not going to go there." 
When will the media do their jobs &amp;amp; GO THERE?!
Here's her phone number, give her a call sometime! (651) 221-1016</t>
  </si>
  <si>
    <t>1314597685496868864</t>
  </si>
  <si>
    <t>I just pray @TinaSmithMN doesn’t torpedo this relief package like the 3 she previously voted against.
Minnesotans are hurting, it’s time for Tina to put people ahead of partisan politics! https://t.co/Qz2j7qk10j</t>
  </si>
  <si>
    <t>1314593579206094851</t>
  </si>
  <si>
    <t>Minnesota’s small businesses continue to take the brunt of the Dems’ overreaching restrictions.
To make things worse, Senator @TinaSmithMN has voted against COVID relief 3 times.
You deserves a Senator who will fight for you &amp;amp; that’s exactly what I’ll do!https://t.co/a9RbsHnChU</t>
  </si>
  <si>
    <t>1314309738054721556</t>
  </si>
  <si>
    <t>What’s @JoeBiden doing ripping off @TinaSmithMN’s slogan??
“You’ll know my opinion when the election is over.” https://t.co/mb7YhNRYfj</t>
  </si>
  <si>
    <t>1314243167961722880</t>
  </si>
  <si>
    <t>Help push us to victory!
Click the link below to get some Lewis Swag today!
👇👇👇
https://t.co/iwH3Hm8mqW</t>
  </si>
  <si>
    <t>1314188233094426626</t>
  </si>
  <si>
    <t>I met and visited with Flora as well, VP @Mike_Pence. Her story is a heartbreaking (but common) one in the Twin Cities.
-Rioters burned her business to the ground. 
-Democrats told the police to stand down. They allowed this to happen.
-We need MORE police. Not less. https://t.co/ADB6LUAnAb</t>
  </si>
  <si>
    <t>1314032553695891457</t>
  </si>
  <si>
    <t>Thank you VP @Mike_Pence for being the only one on stage to denounce the devastating riots in the Twin Cities. 
The VP &amp;amp; I #BackTheBlue. @KamalaHarris &amp;amp; Joe stand with the mob. Evidenced by the fact Kamala helped bail MN rioters out of jail. Disgraceful! #VPDebate2020 #VPDebate</t>
  </si>
  <si>
    <t>1314030666942763013</t>
  </si>
  <si>
    <t>Amy Barrett will be confirmed Tina. And unlike you she opposes taxpayer funded, post birth abortion. Accept that &amp;amp; deal with it.
But will you pack the court after that? In our debate you said “I’m not going to go there.” @KamalaHarris just punted as well #VPDebate #VPDebate2020 https://t.co/eS1FQM3USG</t>
  </si>
  <si>
    <t>1314029296923693057</t>
  </si>
  <si>
    <t>.@KamalaHarris should abstain from the confirmation process of Amy Coney Barrett. 
Not just because she has a clear conflict of interests and vested interest in obstructing the process, but because she has viciously denigrated Catholics.
#FillTheSeatNOW #VPDebate2020 #VPDebate</t>
  </si>
  <si>
    <t>1314027736902631427</t>
  </si>
  <si>
    <t>Same as @TinaSmithMN, Esme. Ask her about it sometime. https://t.co/avctcGLeEh</t>
  </si>
  <si>
    <t>1314023466723684352</t>
  </si>
  <si>
    <t>How do you know @KamalaHarris and @TinaSmithMN are colleagues and friends?
They both always dodge the question on whether or not they support the #GreenNewDeal &amp;amp;abolishing fossil fuel (even though Harris sponsored it).
Iron Range: learn to code under a Biden/Harris/Smith admin!</t>
  </si>
  <si>
    <t>1313987882248540160</t>
  </si>
  <si>
    <t>“Right to Try” allowed terminally-ill patients the right to use all available resources, including new drugs that passed preliminary FDA safety tests but haven't completed the lengthy approval process.
@realDonaldTrump’s willingness to try these treatments is true leadership!</t>
  </si>
  <si>
    <t>1313984553149661184</t>
  </si>
  <si>
    <t>Even in illness, @realDonaldTrump leads by charging ahead w/ experimental protocols to get us all back on track.
In fact, fighting COVID-19 with these drugs is precisely in the spirit of the "Right to Try" legislation which I was an original co-sponsor &amp;amp; that he signed into law. https://t.co/ZOsmUOXSzp</t>
  </si>
  <si>
    <t>1313925954180390914</t>
  </si>
  <si>
    <t>On Monday, Congressman Lewis came into contact with an individual who tested positive for COVID-19 this morning. He will be self-quarantining and getting tested. Full statement below. https://t.co/HZgVul9upF</t>
  </si>
  <si>
    <t>1313668124332392450</t>
  </si>
  <si>
    <t>The hypocrisy of MN Democrats has reached new heights.
Recently the state heartlessly fined a Hastings bar owner $7,000 for a mask violation.
But apparently those rules only apply to regular hard working Minnesotans, not @GovTimWalz 
Surely @AGEllison plans to investigate? https://t.co/F29KbwBXSX https://t.co/hKK3CC20bD</t>
  </si>
  <si>
    <t>1313660421354774528</t>
  </si>
  <si>
    <t>Great to join so many patriots for the “Honor the Blue” event in Delano tonight!
I’m proud to stand with folks all over our state who want to DEFEND the police, NOT defund!
@TinaSmithMN may think there’s something “dangerously wrong” with police, but we sure don’t! #BackTheBlue https://t.co/coRWISAZV9</t>
  </si>
  <si>
    <t>1313621437916291072</t>
  </si>
  <si>
    <t>It seems Tina has forgotten, SHE IS the elected leadership she’s complaining about.
She voted against #Stimulus &amp;amp; relief bills THREE times, once as recently as September 10th.
If Tina truly cared about struggling Minnesotans, she’d fight for MN, not against @realDonaldTrump https://t.co/4Slv8nzoKc</t>
  </si>
  <si>
    <t>1313600682134511617</t>
  </si>
  <si>
    <t>You had the chance to pass relief. Instead, you blocked it. Not once. Not twice. THREE TIMES.
You held out so the Kennedy Center could get more funding &amp;amp; so convicted felons could make free phone calls from prison.
Nobody is buying these crocodile tears for one minute Senator! https://t.co/QfKRsF9AMA</t>
  </si>
  <si>
    <t>1313584941125509122</t>
  </si>
  <si>
    <t>What a classy, intellectual, well thought argument. 🙄🙄
@TinaSmithMN endorsed @IlhanMN. Does she endorse or denounce this?? https://t.co/FHH3RSXshs</t>
  </si>
  <si>
    <t>1313558765623488513</t>
  </si>
  <si>
    <t>This is a bald faced lie and shameless fear-mongering. 
Tina’s the same person that warned us people would lose healthcare coverage and die in the streets if Kavanaugh was confirmed.
That’s when she wasn’t lying to assassinate his character.
Confirm Judge Barrett. #FillTheSeat https://t.co/0yktckAT9a</t>
  </si>
  <si>
    <t>1313522804843835393</t>
  </si>
  <si>
    <t>.@WashTimes rightly calls @TinaSmithMN a "vulnerable Democrat"
Voters should know Tina endorsed @IlhanMN because called police "rotten to the root,"&amp;amp; is trying to abolish them. 
I'd say that makes her vulnerable &amp;amp;that's why I'm airing commercials on this https://t.co/eBiyURNH4v</t>
  </si>
  <si>
    <t>1313510564426063873</t>
  </si>
  <si>
    <t>.@TinaSmithMN recently said that I am trying to portray the choice America faces on Nov. 3 as “a choice between law and order and rioting and mayhem in the streets.”
She’s right — this election is indeed a choice between law &amp;amp; order or violence &amp;amp; anarchy.
https://t.co/nF7XtCbluH</t>
  </si>
  <si>
    <t>1313303863135477760</t>
  </si>
  <si>
    <t>The role of our schools is to educate our children, not indoctrinate them.
A child should never be removed from class for respecting the President or their personal views.
If you’re a teacher, and the kids know how you vote, you’re doing something wrong! https://t.co/8PHIGwI6Qr</t>
  </si>
  <si>
    <t>1313295040165314560</t>
  </si>
  <si>
    <t>“Data suggest mandatory lockdowns exacted a great cost, with a questionable effect on transmission."
I've been saying this since April &amp;amp; even sued the Governor. We can safely beat COVID without inviting a 2nd Great Depression &amp;amp; erasing the Constitution.
https://t.co/zD2sBQaKj1</t>
  </si>
  <si>
    <t>1313257311381708802</t>
  </si>
  <si>
    <t>What a beautiful sight, @realDonaldTrump is back home at the White House, right where he belongs... https://t.co/a6Ngpb1VPk</t>
  </si>
  <si>
    <t>1313235394155212800</t>
  </si>
  <si>
    <t>.@TinaSmithMN recklessly endangers others by wearing her mask below her nose. The COVID ‘experts’ say this puts lives at risk.
I call on her to quarantine for 14 days for the sake of public health &amp;amp; America.
She was also with @DrBiden. I call on Jill &amp;amp; @JoeBiden to do the same! https://t.co/kRzpZIDBTc https://t.co/p9BB9rW7wQ</t>
  </si>
  <si>
    <t>1313211930237177861</t>
  </si>
  <si>
    <t>I completely agree Senator...
Why don’t you give it a try?
Are you willing to pack the Supreme Court or not?
It really isn’t that hard! https://t.co/peI7wfM4qY</t>
  </si>
  <si>
    <t>1313200991827881985</t>
  </si>
  <si>
    <t>DON'T BE AFRAID OF COVID.
If you're sick, quarantine &amp;amp; get tested.
If you've been in proximity to somebody who's positive, quarantine &amp;amp; get tested (as I did). Follow best practices.
But govt has no authority to endlessly lock us down, close businesses &amp;amp; keep kids out of school https://t.co/oi4bbJehfJ</t>
  </si>
  <si>
    <t>1313190728496013318</t>
  </si>
  <si>
    <t>Great news Mr. President, happy to hear it! Probably comes as sad news to some deranged ppl.
This country needs to stop the circular firing squad BS. Our President was hospitalized (albeit, briefly) BC of a virus the Communist Chinese govt. exported &amp;amp; lied about. Enough's enough https://t.co/S4xGUrfwfr</t>
  </si>
  <si>
    <t>1313184532741357578</t>
  </si>
  <si>
    <t>"MN Dept of Health says if exposure to someone who tested positive doesn’t meet..threshold of 15 mins of exposure within a distance of 6 feet, quarantines can be voluntary/shorter" 
I didn't meet that threshold w/POTUS, whose full recovery I'm pulling for!https://t.co/B6hLeARh7v</t>
  </si>
  <si>
    <t>1313174944604393472</t>
  </si>
  <si>
    <t>🚨According to my dr. &amp;amp; the House of Reps attending physician, close contact= 6ft proximity for 15+ mins. I didn't meet that definition w/POTUS Weds.
Out of an overabundance of caution I quarantined &amp;amp; was tested. Results are negative. I'm returning to the trail.
FULL STATEMENT: https://t.co/uL061guTbM</t>
  </si>
  <si>
    <t>1313116004604674051</t>
  </si>
  <si>
    <t>Democrats have long said you don’t need guns because you can just “call the police.” And we all know what they’re trying to do to them.
@JoeBiden and my opponent @TinaSmithMN are campaigning on promises to steal your guns/ammo. I’ll PROTECT THE SECOND AMENDMENT! #2A https://t.co/sL0LHVU5v6</t>
  </si>
  <si>
    <t>1312963455226441729</t>
  </si>
  <si>
    <t>Democrats must acknowledge how dangerous it is to #DefundThePolice
Violence is skyrocketing, resources are stretched to the limits, and people are dying.
We need the police, despite how “dangerous” @TinaSmithMN may think their role is in society. https://t.co/TmW1U4Wq1Y</t>
  </si>
  <si>
    <t>1312948269077729280</t>
  </si>
  <si>
    <t>.@realDonaldTrump isn’t just the President.
He’s a father, a grandfather, a husband, and so much to so many.
These past few days we’ve witnessed too many examples of people giddy over his illness, some even hoping for his death.
I know we can be better than this...</t>
  </si>
  <si>
    <t>1312926048837931008</t>
  </si>
  <si>
    <t>TUNE IN-But yes it proves my point. Get a test &amp;amp; self-quarantine (measures I am undertaking) if you think you may have been exposed to somebody who is positive
But don't tell kids they cant go to school &amp;amp; don't tell people they have to LOCK DOWN THEIR BUSINESS w/no end in sight! https://t.co/VjGxIPcEuI</t>
  </si>
  <si>
    <t>1312912673542230018</t>
  </si>
  <si>
    <t>When I get to the Senate, I'm going to forgive PPP loans for small biz., legislation you're currently blocking because of your "my way or the highway" approach. 
THAT'S how we help businesses who have been hurt by COVID. Gonna take more than a talker, it's going to take a doer https://t.co/eqW0vj9sTl</t>
  </si>
  <si>
    <t>1312902357290831878</t>
  </si>
  <si>
    <t>#FillTheSeat https://t.co/876xcY6OVw</t>
  </si>
  <si>
    <t>1312893518923390978</t>
  </si>
  <si>
    <t>@oliver_ter Thank you! Keep up the great work!</t>
  </si>
  <si>
    <t>1312891504940191751</t>
  </si>
  <si>
    <t>.@esmemurphy claims @TinaSmithMN is a “centrist.” 
Tina Smith is pushing a $4 trillion dollar tax increase, is for a public option which would decimate Medicare, she attacks the police and endorsed @ilhanmn. 
“Centrist” compared to who Esme, Karl Marx?! https://t.co/Xsm9Lua9o6</t>
  </si>
  <si>
    <t>1312872600050302981</t>
  </si>
  <si>
    <t>Looking good Mr. President! Sending well wishes for a full recovery. 
Have to admire all the patriots who have been outside Walter Reed Hospital since Friday. https://t.co/XNzqlg7nqY</t>
  </si>
  <si>
    <t>1312854140226338816</t>
  </si>
  <si>
    <t>Y'all are behind the 8 ball on the "organizing" component of your strategy. The @JoeBiden/@TinaSmithMN/@MinnesotaDFL ground game is non-existent. 
@TrumpVictoryMN/ Lewis for Senate volunteers have made over 3,000,000 voter contacts and we're just getting started. https://t.co/yoa4Wn3fLL</t>
  </si>
  <si>
    <t>1312823108903071746</t>
  </si>
  <si>
    <t>If Glen can make me look half decent, he’s clearly a GREAT photographer! 🤣😂
I appreciated the opportunity to tell my story in this article and discuss why I’m in this fight on behalf of all Minnesotans. @gspphoto @patricktcondon https://t.co/51fpIpYkg1</t>
  </si>
  <si>
    <t>1312595336993660928</t>
  </si>
  <si>
    <t>Nothing can stop @realdonaldtrump from fighting for our nation... Nothing! https://t.co/nkFQ3jsVUO</t>
  </si>
  <si>
    <t>1312583154180423681</t>
  </si>
  <si>
    <t>Tune in to @WCCO tv tomorrow at 10:30am, I’ll be joining @esmemurphy, and with less than a month until Election Day, we have plenty to discuss. https://t.co/QRwRdh3sBx</t>
  </si>
  <si>
    <t>1312505366907777025</t>
  </si>
  <si>
    <t>.@peggyflanagan just said at a 10 person event with @TinaSmithMN &amp;amp; @DrBiden that Senator Smith "ate my lunch" at yesterday's @MPRnews debate.
If Tina refusing to condemn ANTIFA, attacking the police, &amp;amp; shunning MN energy, mining &amp;amp; logging qualifies as "eating my lunch," so be it</t>
  </si>
  <si>
    <t>1312504334081388545</t>
  </si>
  <si>
    <t>Another "peaceful protest." Or "righteous protest" according to Senator @TinaSmithMN (what she called a week's worth of looting and arson in the Twin Cities). 
I'm proud to be endorsed by many MN police unions and will restore public order when I'm elected. https://t.co/axsSNvPb22</t>
  </si>
  <si>
    <t>1312496428573310978</t>
  </si>
  <si>
    <t>It's easy to mistake Senator @TinaSmithMN for being a moderate, milquetoast corporate bureaucrat. You'd be dead wrong in that assumption.
She is a dangerous radical who endorsed someone (@IlhanMN) who called the police "rotten to the root" and wants to abolish them. https://t.co/WqWAY4RGbP</t>
  </si>
  <si>
    <t>1312465570906791937</t>
  </si>
  <si>
    <t>In case you missed it, in yesterday's @MPRnews debate, @TinaSmithMN: 
❌Refused to condemn ANTIFA
❌Ripped into the police
❌Refused to explain why she's blocking COVID relief
❌Continued her opposition to mining, energy (@minnesotans4L3) &amp;amp; logging jobs https://t.co/RNagjUydVf</t>
  </si>
  <si>
    <t>1312450413426143232</t>
  </si>
  <si>
    <t>Wholly unacceptable that Senator @TinaSmithMN has blocked COVID relief not once, not twice, but THREE TIMES! Minnesota needs a new Senator NOW! https://t.co/19XWwyhtgk</t>
  </si>
  <si>
    <t>1312450321134743552</t>
  </si>
  <si>
    <t>@realDonaldTrump Unacceptable that Senator @TinaSmithMN has blocked COVID relief not once, not twice, but THREE TIMES! Minnesota needs a new Senator NOW!</t>
  </si>
  <si>
    <t>1312442891252293632</t>
  </si>
  <si>
    <t>Good news Mr. President! We're all praying for you. https://t.co/aCAN4BmYWt</t>
  </si>
  <si>
    <t>1312442846260068353</t>
  </si>
  <si>
    <t>@realDonaldTrump Good news Mr. President! We're all praying for you.</t>
  </si>
  <si>
    <t>1312412475149758466</t>
  </si>
  <si>
    <t>Looks great! Thanks Cory! 
I will protect 2A. My opponent Tina Smith is all in for gun and ammo grabs. https://t.co/shR0iZCL6U</t>
  </si>
  <si>
    <t>1312195232738373634</t>
  </si>
  <si>
    <t>It’s no secret @CityPages &amp;amp; their parent @StarTribune carry water for the @MinnesotaDFL 
But for their Editor-In-Chief to publicly celebrate @realDonaldTrump contracting COVID-19 is unacceptable.
@biketrouble must be terminated, unless they condone this? https://t.co/pw7To5tAIi</t>
  </si>
  <si>
    <t>1323744701997002753</t>
  </si>
  <si>
    <t>Make a plan to vote - and stick to it!
https://t.co/6zED7g3L9u #VOTE https://t.co/q2BC9OZ23l</t>
  </si>
  <si>
    <t>1323708483099889675</t>
  </si>
  <si>
    <t>Three generations of Shaheen women voted this year - a first for Elle and Annah - thanks to trailblazing Granite State women like Marilla Ricker.
We were proud to join women from across New Hampshire in leaving our "I Voted" stickers on the Marilla Ricker marker today. #VOTE https://t.co/94buw80R7p</t>
  </si>
  <si>
    <t>1323689081814110209</t>
  </si>
  <si>
    <t>I just voted in Madbury! There's no better way to spend Election Day than with friends and family at the polls.
Now it's your turn: grab a friend, go to the polls and cast your ballot! #VOTE https://t.co/Td5HLPMUVf</t>
  </si>
  <si>
    <t>1323580749577158656</t>
  </si>
  <si>
    <t>Today's the day, New Hampshire: the polls are open and it’s time to vote! Look up your polling place, get there early and make your voice heard.
If you have questions about voting, here's where to get more information:
💻 Go to https://t.co/6zED7g3L9u
📞 Call 603-466-8683 https://t.co/rVyutHw4v1</t>
  </si>
  <si>
    <t>1323482766588203010</t>
  </si>
  <si>
    <t>New Hampshire is my home, and it will always come first.
I’ve spent my life and career trying to make a difference for the people of our state. As your Senator, I promise to never stop fighting for you, no matter what it takes.
I would be honored to have your support tomorrow. https://t.co/T5AMQnTvnl</t>
  </si>
  <si>
    <t>1323472823185268738</t>
  </si>
  <si>
    <t>In America, diversity is our strength - and this campaign is stronger for the support of immigrants like Alejandro.
Tomorrow we have the power to choose compassionate leadership for New Hampshire and our country.
That power is our vote, and we need to use it! https://t.co/AeaAzjGUO4</t>
  </si>
  <si>
    <t>1323417985537683463</t>
  </si>
  <si>
    <t>"When we get up against it in the state as veterans, we then just turn immediately to Jeanne, and she's never let us down."
I am honored to have veterans like Mike Sills be a part of this campaign. Join us, make your voice heard, and make a plan to vote tomorrow. https://t.co/TgtkuaxMu2</t>
  </si>
  <si>
    <t>1323399178702245890</t>
  </si>
  <si>
    <t>So happy to spend election eve with @Maggie_Hassan, @AnnMcLaneKuster, @ChrisPappasNH, @DanFeltesNH, and @JoyceCraigNH!
New Hampshire is fired up, ready to go, and we are ready to get out the vote for Democrats tomorrow! Let's go!
#VOTE #Election2020 https://t.co/Xvi5QIUdns</t>
  </si>
  <si>
    <t>1323379309780893696</t>
  </si>
  <si>
    <t>.@JoyceCraigNH and I stopped at @GirlsatWorkInc today to hear about their mission to give young women more opportunities to gain valuable skills.
We need to invest more in organizations like theirs that support kids in need and help build the workforce of the next generation. https://t.co/ronIM0Xqdb</t>
  </si>
  <si>
    <t>1323348001348341760</t>
  </si>
  <si>
    <t>Loved our visit to Auspicious Brew in Dover, New Hampshire’s first licensed kombucha brewery!
It's a truly unique and homegrown small business - the kind that makes New Hampshire a special place to live. I'm proud to fight for small businesses like theirs. https://t.co/F3TPEaPPMz</t>
  </si>
  <si>
    <t>1323329950397665286</t>
  </si>
  <si>
    <t>In the Senate I've fought to get PFAS chemicals out of our drinking water, and to protect our environment for the health and livelihood of every Granite Stater.
Grateful for the support of activists like Rosemarie who know how important it is to protect NH's natural resources. https://t.co/MZJs9G4sBY</t>
  </si>
  <si>
    <t>1323293382941282311</t>
  </si>
  <si>
    <t>Proud to have so many amazing volunteers in Durham on this team. These last few hours are crucial, and we're not going to let a little surprise snow slow us down! #TeamShaheen https://t.co/UpeaKxlTiA</t>
  </si>
  <si>
    <t>1323271388946485248</t>
  </si>
  <si>
    <t>Together, I know we can win - but it's up to us to work for it today.
Join an event: https://t.co/hA7FpFzsmY 
Plan to vote: https://t.co/6zED7g3L9u
#NHSen #NHPolitics</t>
  </si>
  <si>
    <t>1323271307006484480</t>
  </si>
  <si>
    <t>If you’re ready to win tomorrow…
let’s make a little noise!! 📢📢📢
#VOTE #TeamShaheen https://t.co/ACZEYPldBv</t>
  </si>
  <si>
    <t>1323241207066206211</t>
  </si>
  <si>
    <t>One more day, New Hampshire. Let's make the most of it. https://t.co/69KuDyF8jI</t>
  </si>
  <si>
    <t>1323082120361922561</t>
  </si>
  <si>
    <t>Before Election Day, I want to thank our Town Clerks, Selectboard members, Town Moderators, and volunteers responsible for ensuring the integrity of our voting process. Their work is critical to the function of our democracy.
Join me in thanking them for all their efforts.</t>
  </si>
  <si>
    <t>1323063852200792065</t>
  </si>
  <si>
    <t>Dover is ready to get it done! Thank you so much for all that you are doing, and everything you've done for Democrats up and down the ticket.
Less than two days to go now - let's keep it up! #TeamShaheen https://t.co/oHjD8HIvsl</t>
  </si>
  <si>
    <t>1323034782129770496</t>
  </si>
  <si>
    <t>Health care is on the ballot for hundreds of thousands of Granite Staters this year - including my granddaughter Elle.
So proud of my daughter @StefanyShaheen for sharing her story about what's at stake. We have to vote like our health care depends on it!
https://t.co/Bb5NfGHFbY</t>
  </si>
  <si>
    <t>1323024175636881425</t>
  </si>
  <si>
    <t>November marks the start of #MilitaryFamilyMonth, and I’m sending a heartfelt thank you to the families of our service-members and veterans. Your sacrifices and your commitment to our men and women in uniform make our country stronger, and we are endlessly grateful. https://t.co/T8cqH7fq4F</t>
  </si>
  <si>
    <t>1323002380141604864</t>
  </si>
  <si>
    <t>"1,017 votes in New Hampshire translated into health care for 28 million Americans. That's the difference your work makes."
Take it from Senator @Maggie_Hassan: YOU have the power to decide this election. #VOTE https://t.co/j7KtkX1YEX</t>
  </si>
  <si>
    <t>1322983340962664450</t>
  </si>
  <si>
    <t>Concord, thank you so much for all your hard work! With your help it's going to be a great day for Democrats on November 3rd.
If you've been waiting to get involved, there is still time to make a difference. Sign up to join an event before Election Day: https://t.co/fLCdTj7yE3 https://t.co/U40mGn9mhq</t>
  </si>
  <si>
    <t>1322972179647156224</t>
  </si>
  <si>
    <t>Great to be with Mayor Bouley, Steve Duprey, and other supporters in Concord. I’m proud to have worked with them to fight for investments in Concord, to protect small businesses and to revitalize Main Street. I’ll work with anyone from any party to stand up for New Hampshire. https://t.co/s4FX9VYHad</t>
  </si>
  <si>
    <t>1322913958844637184</t>
  </si>
  <si>
    <t>Nurses like Heather Ledoux have spent the past ten months on the front lines of the worst public health crisis in a century.
Our health care workers deserve a senator who knows them, who understands their needs, and who will work for them as hard as they work for us. https://t.co/y0cNg3CfT3</t>
  </si>
  <si>
    <t>1322879931475546112</t>
  </si>
  <si>
    <t>Just TWO more days, New Hampshire!! https://t.co/KFXH4J4fmR</t>
  </si>
  <si>
    <t>1322729638624481280</t>
  </si>
  <si>
    <t>This weekend I met a mother &amp;amp; son who run a small restaurant in Claremont. They haven’t taken a paycheck since March so their employees could get paid.
Too many New Hampshire small businesses have a story like theirs. That's why I'm fighting for them. https://t.co/eVteC036gA</t>
  </si>
  <si>
    <t>1322722701082005506</t>
  </si>
  <si>
    <t>Last stop at Smoky Quartz distillery in Seabrook. Kevin and Frank make award winning spirits, and they produced hand sanitizer when the pandemic hit. It’s perfectly in keeping with their tradition of service as a veteran-owned business.
Thanks so much for having us! https://t.co/EmIH51p6mb</t>
  </si>
  <si>
    <t>1322722691464515585</t>
  </si>
  <si>
    <t>Great end to a wonderful Get Out The Vote day at Shane’s Texas Pit in Hampton. Like any New Hampshire small business, they've adapted to the challenge of COVID with smart and creative ideas like an "Instabar" to make outdoor dining fun! https://t.co/npAFvKOxkD</t>
  </si>
  <si>
    <t>1322682125959778304</t>
  </si>
  <si>
    <t>.@CorkyForSenate didn't wait for Halloween to put on a costume. Since this campaign started, he's been trying to dress himself up as a real Granite Stater.
We can't let him trick New Hampshire. Help make sure he re-treats to Colorado on November 4! 🎃
https://t.co/CPzRBOXurg</t>
  </si>
  <si>
    <t>1322675294759751691</t>
  </si>
  <si>
    <t>Portsmouth knows what’s at stake on Tuesday: health care access, small business relief, and the character of our country are all on the ballot.
November 3rd is our chance to make our voices heard, on those issues and so many more. But we’ve got to #VOTE #TeamShaheen https://t.co/qvXUNkDopd</t>
  </si>
  <si>
    <t>1322655238139092993</t>
  </si>
  <si>
    <t>🥰🍞🧈 https://t.co/QC11xYTGBf</t>
  </si>
  <si>
    <t>1322637216716382209</t>
  </si>
  <si>
    <t>My friend @DougJones is in a tight race in Alabama. Will you chip in to help him cross the finish line? https://t.co/05idQUDnPa https://t.co/ZrHAf6TjPZ</t>
  </si>
  <si>
    <t>1322621987907358720</t>
  </si>
  <si>
    <t>Two more great stops in Hooksett and Londonderry! Thanks to Madalasa Gurung and the Hooksett Nepalese community for the warm welcome and for all you’re doing for Democrats up and down the ballot.
Next stop: Portsmouth! https://t.co/Wpgqg9MJ8c</t>
  </si>
  <si>
    <t>1322563127125442562</t>
  </si>
  <si>
    <t>Can’t think of a better group to help us #BuildBackBetter than our Carpenters Local 349 &amp;amp; 352!
Thanks to @NASRCC_UBC, @ChrisPappasNH, @AnnMcLaneKuster, and @MayorJoyceCraig for coming out to help us get out the vote today. There's too much a stake to stay home! https://t.co/NJhdxzm4ZU</t>
  </si>
  <si>
    <t>1322552437509672960</t>
  </si>
  <si>
    <t>“Senator Shaheen’s sexual assault survivors bill of rights act is something that has protected victims of abuse in New Hampshire and throughout the country.
Thank you for your support, Tina. There's much more work to be done to help survivors get justice, and I won't stop now. https://t.co/2NbU0L5jCI</t>
  </si>
  <si>
    <t>1322519052489789440</t>
  </si>
  <si>
    <t>We've come a long way - and we're almost there.
Three days, New Hampshire! https://t.co/RjuQyDnSxQ</t>
  </si>
  <si>
    <t>1322347445066620929</t>
  </si>
  <si>
    <t>Thanks to the Paycheck Protection Program, Time-Out Americana Grill in Claremont was able to stay open through the summer and keep their workers on the job.
Small businesses like theirs are the backbone of New Hampshire's economy, and I will never stop fighting for them. https://t.co/ftDjF3ccW5</t>
  </si>
  <si>
    <t>1322309137674457089</t>
  </si>
  <si>
    <t>PORTSMOUTH: We need your help!
Join @Maggie_Hassan, @ChrisPappasNH and I to get out the vote in the *last* weekend before Election Day.
Register below for the 2:00PM shift on Saturday and we'll see you tomorrow!
https://t.co/0MElHbkPn5</t>
  </si>
  <si>
    <t>1322290977156091912</t>
  </si>
  <si>
    <t>The Fakhoury Family has been through an unimaginable hardship. It was a tough fight to bring Amer home, and I'm so proud of his family's bravery and advocacy. Their work will make a difference for other American families with loved ones detained abroad.
https://t.co/fF6pZDhYws</t>
  </si>
  <si>
    <t>1322258205003710466</t>
  </si>
  <si>
    <t>Keene knows just how much is at stake in this election, and they're getting everyone out to vote in the next 4 days. Are you with us? #Vote #TeamShaheen https://t.co/uvWgsoa14r</t>
  </si>
  <si>
    <t>1322248312637034499</t>
  </si>
  <si>
    <t>Met with Chris and his team at Culture Bread and Sandwich in Milford today! They source ingredients from local farms, making them an important part of our small business and agriculture sectors. Glad to hear directly from them what we can do to help them grow. https://t.co/lOdE41ScjN</t>
  </si>
  <si>
    <t>1322204185459306497</t>
  </si>
  <si>
    <t>It's an honor to have the support of the New Hampshire Police Association. I've been proud to work with them as we take on the COVID-19 and opioid crises, and I will always fight to make sure they have the resources to do their jobs safely and effectively.
https://t.co/35uOunkBhP</t>
  </si>
  <si>
    <t>1321986386493399040</t>
  </si>
  <si>
    <t>The Violence Against Women Act expired more than a year ago. Shamefully, Mitch McConnell is refusing to allow a vote to reauthorize it. This shouldn’t be a partisan issue: we should work together to protect survivors.
Read my Concord Monitor op-ed here: 
https://t.co/iLmLL5a91I</t>
  </si>
  <si>
    <t>1321938094245978112</t>
  </si>
  <si>
    <t>Already voted? There's another way you can help make a difference in this election:
Talk to a friend, or a family member, or coworker. Help THEM make a plan to vote.
Send a friend to https://t.co/6zED7g3L9u and let's make sure everyone turns out on Tuesday.</t>
  </si>
  <si>
    <t>1321909480926400513</t>
  </si>
  <si>
    <t>"I think she's the best in addressing veterans, military, and family issues."
Thank you, Peter, for your service to our country.  I'm honored to have you as part of our campaign and I will always fight for veterans in the Senate. https://t.co/UUL2T3LrZ3</t>
  </si>
  <si>
    <t>1321861605081157633</t>
  </si>
  <si>
    <t>New Hampshire is a special place. I've spent my life trying to make it even better.
More than ever, Granite Staters need a senator that will fight to make a difference for them. I will always stand up for you - no matter what it takes.
I humbly ask for your vote on Nov. 3rd. https://t.co/QSQCeaPnss</t>
  </si>
  <si>
    <t>1321791962899484672</t>
  </si>
  <si>
    <t>Five more days, New Hampshire! #VOTE https://t.co/ryyLeJ5Yd0</t>
  </si>
  <si>
    <t>1321626919788564481</t>
  </si>
  <si>
    <t>Donna McQuade is a lifelong Granite Stater, a small business owner, and a registered Republican.
She’s part of our campaign because she knows it takes someone who cares about New Hampshire to make a difference for New Hampshire. https://t.co/6x5Ok9SYbi</t>
  </si>
  <si>
    <t>1321597717366394880</t>
  </si>
  <si>
    <t>We need to be making it easier for small businesses to get by, not creating more confusion in a crisis. That’s why I pushed for the Treasury to issue comprehensive guidelines to small biz owners on PPP loan forgiveness, and give them more flexibility to run their businesses.</t>
  </si>
  <si>
    <t>1321597714048655360</t>
  </si>
  <si>
    <t>Dave and Melissa own the Mad River Coffee House in Campton, and they took out a PPP loan to stay open over the summer. But when they needed clarity from the administration about the loan policy, they were left in the dark. They reached out to my office, and we were able to help. https://t.co/lg7krnNmAd</t>
  </si>
  <si>
    <t>1321582279102238720</t>
  </si>
  <si>
    <t>Great to be back at White Mountain Lumber in Berlin! Family-owned small businesses like the Kelley's also support many other industries in New Hampshire, and I'm fighting every day in the Senate to support them, their workers, and their business. https://t.co/3F9WdKZ7q1</t>
  </si>
  <si>
    <t>1321549960475779073</t>
  </si>
  <si>
    <t>First responders put themselves in harm’s way every day, especially in this pandemic. To our firefighters, police officers, EMTs and health care workers: Thank you for all that you do for New Hampshire, and for your tireless work to keep us safe. #NationalFirstRespondersDay</t>
  </si>
  <si>
    <t>1321514606511214592</t>
  </si>
  <si>
    <t>Small businesses like Brianna's are vital community centers, particularly for our kids. If we’re going to make sure they stay open, we need to make sure small businesses get adequate funding in our next COVID package. https://t.co/XGSloPRF6R</t>
  </si>
  <si>
    <t>1321514604682452998</t>
  </si>
  <si>
    <t>Brianna runs Hammar’s Art Studio in Pelham. Since she re-opened her family business in 2016, the studio has been a resource for artists of every age and skill level.
The pandemic has hurt their ability to hold indoor classes, and forced them to adapt their business model. https://t.co/bl55WFo4Ia</t>
  </si>
  <si>
    <t>1321514600895074304</t>
  </si>
  <si>
    <t>The last time Brianna and I were together was on the front page of the Eagle Tribune four years ago. Yesterday, we finally reconnected - this time in person! https://t.co/5FmjZPGTXC</t>
  </si>
  <si>
    <t>1321495334074372097</t>
  </si>
  <si>
    <t>Caught our first snowfall of the season on the Kanc today! #LuckyToLiveNH https://t.co/bWL8ALXzjP</t>
  </si>
  <si>
    <t>1321457530233638914</t>
  </si>
  <si>
    <t>NH VOTERS: Through Saturday, stop by one of the official voting events happening in your town.
Election officials will be there to help you register or vote in person before Election Day!
Click below for a full list of locations and hours ⬇️⬇️
https://t.co/3KbJW39HVu</t>
  </si>
  <si>
    <t>1321254708586160131</t>
  </si>
  <si>
    <t>Great to be with so many of our wonderful Democratic candidates today from Salem and the Coalition of Southern NH Democratic Towns. We need to make sure they win! https://t.co/IlhHlzyi2C</t>
  </si>
  <si>
    <t>1321232709000318977</t>
  </si>
  <si>
    <t>Thank you, @AmyKlobuchar, for your support and for joining us on the campaign trail. I'm proud to have you as a partner in the Senate. https://t.co/1XlOH2Ebqg</t>
  </si>
  <si>
    <t>1321179715789611009</t>
  </si>
  <si>
    <t>Great to see you too, Amy! https://t.co/CUbBPp9mee</t>
  </si>
  <si>
    <t>1321174010546311170</t>
  </si>
  <si>
    <t>What a treat to welcome my friend @AmyKlobuchar back to New Hampshire today! She knows and loves the Granite State, and I’m proud to have her with me in this fight to elect Democrats up and down the ballot next week.
6 days and a wake-up to go! https://t.co/uNBGCgrQ3a</t>
  </si>
  <si>
    <t>1320859270578130946</t>
  </si>
  <si>
    <t>Republicans are ignoring the pandemic and playing politics with the Supreme Court. If they succeed, it will have a profound impact on civil and voting rights, on health care, and on our democracy for years to come.
It's wrong, and I am opposing Judge Barrett's nomination.</t>
  </si>
  <si>
    <t>1320859269626056704</t>
  </si>
  <si>
    <t>Granite Staters and millions more Americans are still struggling to pay the bills, find a job, and put food on the table. We should be working on a COVID-19 relief package to help them get through this crisis - not forcing through partisan judicial nominees.</t>
  </si>
  <si>
    <t>1320859268699095041</t>
  </si>
  <si>
    <t>When Judge Barrett was nominated, Americans were already voting. Now more than 60 million Americans have cast a ballot for the next President. They deserve a say in who will make this lifetime appointment to the Supreme Court.</t>
  </si>
  <si>
    <t>1320859267797295105</t>
  </si>
  <si>
    <t>Judge Barrett's appointment threatens the ACA and access to health care for more than 572k Granite Staters with pre-existing conditions.
She opposes women's reproductive freedoms, refused to commit to upholding LGBTQ+ rights, and questioned the constitutionality of Medicare.</t>
  </si>
  <si>
    <t>1320859266857738242</t>
  </si>
  <si>
    <t>Senate Republicans are ramming through a partisan Supreme Court nominee in the middle of an election and a worsening public health crisis.
That’s why today I am voting NO on Amy Coney Barrett's nomination. (Thread)</t>
  </si>
  <si>
    <t>1320826071416213504</t>
  </si>
  <si>
    <t>"Granite Staters can count on Jeanne Shaheen to fight for their health care, no matter what."
Thank you for your support, Jacqui. More than 572k people in NH with pre-existing conditions are counting on us, and I won't give up the fight to defend the ACA.
https://t.co/V2QtV0Dmmr</t>
  </si>
  <si>
    <t>1320787138204622849</t>
  </si>
  <si>
    <t>Republicans, Independents and Democrats are joining this campaign because they know people should come first, not politics.
That's what I've done in the Senate. No matter what it takes, I will always stand up for New Hampshire. https://t.co/q7e1aehMot</t>
  </si>
  <si>
    <t>1320525835380707333</t>
  </si>
  <si>
    <t>I'm so grateful for the support of Granite State veterans like Kathleen, who joined the Navy for the opportunity to serve others.
New Hampshire's veterans need a senator who knows them and understands their needs, and I will always fight to make a difference for them. https://t.co/Dq3gpkiG3H</t>
  </si>
  <si>
    <t>1320441681771175942</t>
  </si>
  <si>
    <t>Trump was back in New Hampshire today for the *fourth* time this cycle.
He knows that the GOP needs to flip this seat to keep the Senate, and they're doing everything they can to deliver NH for Corky Messner.
Chip in right now to help us fight back ⬇️⬇️
https://t.co/1mm5hcujC2 https://t.co/1z85Xj3LzP</t>
  </si>
  <si>
    <t>1320378566647959553</t>
  </si>
  <si>
    <t>Went to @Riverwalknashua yesterday to chat with owners Steven &amp;amp; Jane. Riverwalk is a Nashua favorite &amp;amp; they've worked hard to stay open but they're facing new challenges as winter approaches.
Small biz in the hospitality industry need to be a priority in our next relief package. https://t.co/u9CggLvt5M</t>
  </si>
  <si>
    <t>1320127318636044288</t>
  </si>
  <si>
    <t>Nashua, thank you all so much for coming out today!
It's up to us to make the difference in these last 10 days, and we can't leave anything to chance.
If we organize, if we vote - and we help our friends and family vote, too - I know we can win on November 3rd. https://t.co/FY20xDH6ba</t>
  </si>
  <si>
    <t>1320050652022755330</t>
  </si>
  <si>
    <t>A perfect day to get out the vote in Merrimack. Thanks to @shannonchandley and everyone who came out to Chuck's Barn! https://t.co/OG117Mnl60</t>
  </si>
  <si>
    <t>1320022568129220610</t>
  </si>
  <si>
    <t>.@DouglasEmhoff, @ChrisPappasNH and I need you to get out and vote!
This weekend you can get registered, return your absentee ballot, or vote in person.
Don't wait until November 3rd - vote today! #vote https://t.co/nHSoewmMKC</t>
  </si>
  <si>
    <t>1320002109094400005</t>
  </si>
  <si>
    <t>Ten days, New Hampshire! https://t.co/GxN3CvUndT</t>
  </si>
  <si>
    <t>1319776162021867522</t>
  </si>
  <si>
    <t>Join me tomorrow at 2PM in Nashua for a 10 Days Out Rally at Greeley Park!
Far too much is at stake this election to sit on the sidelines. Get involved as we count down to November 3rd.
Sign up here: https://t.co/A86ag5SYPd https://t.co/WcKOgCOTFi</t>
  </si>
  <si>
    <t>1319665161049956354</t>
  </si>
  <si>
    <t>Dave Hausman and Donna McQuade are two of more than 140 small business leaders across NH that are supporting our campaign. Small businesses like theirs are part of what makes our state special, and I'm proud to stand with them.
Read the full list: https://t.co/chrsYJQB5Z https://t.co/h0GSHeZiqA</t>
  </si>
  <si>
    <t>1319471829753470976</t>
  </si>
  <si>
    <t>.@JoeBiden said it well tonight: the character of the country is on the ballot.
We have a chance to elect a President of real character in Joe Biden. But we have to spend the next 12 days doing everything we can to win.
Volunteer, get involved, and vote!
https://t.co/tCLOhW5A9V</t>
  </si>
  <si>
    <t>1319416176368373762</t>
  </si>
  <si>
    <t>Brayden's courage and confidence are inspiring - not only for his fellow Granite Staters, but for anyone who struggles with their speech.
Keep on speaking up for what you believe in, Brayden! #StutteringAwarenessDay https://t.co/lLFp3at35u</t>
  </si>
  <si>
    <t>1319367383149170689</t>
  </si>
  <si>
    <t>"As mayor, I have seen firsthand how Jeanne Shaheen fights to make a difference for families in Berlin and the North Country, and that’s why I’m proud to support [her] re-election."
Thank you, Mayor Grenier. I will always fight for North Country families!
https://t.co/yfrC3h3nXm</t>
  </si>
  <si>
    <t>1319324576439029762</t>
  </si>
  <si>
    <t>We need leadership in a crisis. Trump has failed to act on COVID-19, but @CorkyForSenate has praised him from the beginning - even as hundreds of thousands lost their lives.
If he were in the Senate, he’d support Trump's failed policies instead of the people of New Hampshire. https://t.co/5feW79rqnX</t>
  </si>
  <si>
    <t>1319276435824013322</t>
  </si>
  <si>
    <t>Small businesses are the backbone of our economy, and I'm proud to have the support of 145 small business leaders in NH.
Now more than ever, they need a trusted advocate in the Senate, and I will work with anyone from any party to make sure they succeed.
https://t.co/DZzQixZ1Hj</t>
  </si>
  <si>
    <t>1319024891518242823</t>
  </si>
  <si>
    <t>My daughter Molly and son-in-law @huwjamescollins stopped by @UofNH today to meet students and talk about how important it is that we all get out and vote. Thanks to @OrganizeNH and everyone who stopped by! #YouthVote https://t.co/k54v8t8Ob3</t>
  </si>
  <si>
    <t>1318971947921846275</t>
  </si>
  <si>
    <t>Elle and Annah voted in their first Presidential election yesterday! So proud of you both, and I hope you’re telling your friends to vote too.
If you haven't voted yet, there's still time to vote before Election Day. Make a plan at https://t.co/6zED7g3L9u. #Vote https://t.co/KiCVqTGgZG</t>
  </si>
  <si>
    <t>1318726982918676484</t>
  </si>
  <si>
    <t>Favorite view on the Kanc? That's easy. #WMURDebate https://t.co/ut81qEMFH9</t>
  </si>
  <si>
    <t>1318708728150056960</t>
  </si>
  <si>
    <t>I just stepped out of the debate studio, and if you tuned in, I hope I made you proud.
I’m going to keep fighting to make a difference for New Hampshire, but I need your help.
Volunteer with us and help us make the next two weeks count. #WMURDebate
https://t.co/Ae9lPHx64m</t>
  </si>
  <si>
    <t>1318702425700765696</t>
  </si>
  <si>
    <t>This isn’t hard, @CorkyForSenate.
Pre-existing conditions exist. https://t.co/TmoKYqYuz3</t>
  </si>
  <si>
    <t>1318701192382394368</t>
  </si>
  <si>
    <t>As the only women on the Foreign Relations Committee, I’ve taken on China directly.
.@CorkyForSenate talks tough on China, but represented their government in a law suit against an American manufacturer. From the AP: https://t.co/OLEGPKwLFS
#WMURDebate https://t.co/wqLnpBKg8E</t>
  </si>
  <si>
    <t>1318699188633411585</t>
  </si>
  <si>
    <t>I will never budge on supporting a woman’s right to make her own decisions about her own body, especially when it comes to her health.
@CorkyForSenate has supported draconian abortion laws that would put women’s health at risk. #WMURDebate https://t.co/4RkcXizNAq</t>
  </si>
  <si>
    <t>1318698227483529216</t>
  </si>
  <si>
    <t>Amy Coney Barrett’s troubling views on the ACA and Roe v. Wade put health care and women’s rights at risk.
@CorkyForSenate would support Mitch McConnell’s effort to ram her nomination through the Senate. #WMURDebate</t>
  </si>
  <si>
    <t>1318692764251455489</t>
  </si>
  <si>
    <t>The White House owes America a plan to beat COVID-19, but the Trump administration doesn’t have one.
Meanwhile, @CorkyForSenate has praised Trump’s response from the beginning - while ignoring the need among Granite Staters for relief aid.
#WMURDebate</t>
  </si>
  <si>
    <t>1318691534158598144</t>
  </si>
  <si>
    <t>24,000 New Hampshire small biz got support because of the PPP that I helped negotiate.
The bill that Mitch McConnell brought to the floor doesn’t do nearly enough for hospitals, schools and businesses - and @CorkyForSenate would have rubber-stamped it. #WMURDebate https://t.co/sKp8NvDpxS</t>
  </si>
  <si>
    <t>1318690574359273474</t>
  </si>
  <si>
    <t>Getting through the COVID-19 crisis means following the science, and investing in testing and tracing to get our state back on track.
Leadership means setting an example, and @CorkyForSenate hasn’t demonstrated that he understands the severity of this crisis. #WMURDebate</t>
  </si>
  <si>
    <t>1318673670303289349</t>
  </si>
  <si>
    <t>#TeamShaheen is out in full force for the last debate! See you at 7PM! #WMURDebate https://t.co/oGLqQP7duy</t>
  </si>
  <si>
    <t>1318657833852960771</t>
  </si>
  <si>
    <t>Join me tonight for the final debate of this campaign, airing live on WMUR at 7:00PM EST and online at https://t.co/XTQd94xxXB. 
Follow us here using the hashtag #WMURDebate for live updates! #NHSen #NHPolitics https://t.co/ZHzplsMMou</t>
  </si>
  <si>
    <t>1318565822021931009</t>
  </si>
  <si>
    <t>2 weeks.
14 days.
326 hours.
However you measure it, time is running out to vote - don't leave it until the last minute!
Go to https://t.co/6zED7g3L9u right now and decide how you're going to vote before Election Day. https://t.co/pYxnLwe5z6</t>
  </si>
  <si>
    <t>1318360258822213632</t>
  </si>
  <si>
    <t>My opponent @CorkyForSenate has denied that pre-existing conditions exist.
These Granite Staters have lived with pre-existing conditions, and they know the truth: if we lose the ACA, they could lose their health care coverage.
That's why I'm fighting to defend it. https://t.co/aVgIg0582M</t>
  </si>
  <si>
    <t>1318261983834181637</t>
  </si>
  <si>
    <t>This election is a choice between two different visions for New Hampshire.
I'm fighting for one where health care, education, and jobs are available to every Granite Stater.
It's a future worth fighting for, and we can build it together - but we have to vote! https://t.co/yCYwgBjgto</t>
  </si>
  <si>
    <t>1318228350645735425</t>
  </si>
  <si>
    <t>I’ve said it before, and I’ll say it again:
This is the most important election of our lifetimes. With so much at stake, we can’t afford to leave anything to chance.
If you haven’t voted yet, go to https://t.co/6zED7g3L9u today and decide when and how you’ll cast your ballot.</t>
  </si>
  <si>
    <t>1317943878469681152</t>
  </si>
  <si>
    <t>The Affordable Care Act.
Women's reproductive rights.
LGBTQ rights.
Voting rights.
They are all on the ballot this year - but you don't have to wait until November 3rd to vote.
Go to https://t.co/6zED7g3L9u, find your clerk's office, and make a plan to vote before Election Day. https://t.co/HGa0xiadUe</t>
  </si>
  <si>
    <t>1317884263736479745</t>
  </si>
  <si>
    <t>Marilla Ricker was a pioneer for women's rights and for the right to vote. This is a fitting tribute to an iconic New Hampshire suffragette, and there's no better way to honor her legacy than by using the right she fought for.
Vote!
https://t.co/lfJoCYMWTz</t>
  </si>
  <si>
    <t>1317630926797549569</t>
  </si>
  <si>
    <t>Thanks to @JonMorganNH for stopping by with us and to @ennagrazier for a behind-the-scenes look at how all of her delicious chocolate gets made! Can't wait to come back for more. https://t.co/JJxzLAZuNK</t>
  </si>
  <si>
    <t>1317630912947957761</t>
  </si>
  <si>
    <t>New Hampshire small businesses are integral parts of our communities and our economy. Nothing should stand in the way of any Granite Stater with a dream of running their own business, and as long as I'm in the Senate, I’ll keep working to help our small businesses thrive. (2/3) https://t.co/GXxVkMchOz</t>
  </si>
  <si>
    <t>1317630888704905217</t>
  </si>
  <si>
    <t>.@ennagrazier, owner of Enna Chocolate in Exeter, picked up the keys to her brand new storefront in March - just as COVID-19 hit. Since then, she's worked hard to adapt to the challenges of the pandemic, and to turn her dream of owning her own cafe into a reality. (1/3) https://t.co/EJjMq2ROmm</t>
  </si>
  <si>
    <t>1317544135713239041</t>
  </si>
  <si>
    <t>In Exeter today with @JonMorganNH, @ChrisPappasNH, and so many New Hampshire Democrats ready to fight for health care, our environment, and a stronger Granite State. Thank you for your energy and your commitment - let's get out to vote! https://t.co/q2hw82WuJ4</t>
  </si>
  <si>
    <t>1317527851747450880</t>
  </si>
  <si>
    <t>Hampton Democrats are fired up with 17 days to go! This election is too important to sit out, and we're making sure every Granite Stater knows what's at stake. Thanks to everyone who turned out today! https://t.co/zGc5vnc2Ft</t>
  </si>
  <si>
    <t>1317271650065391619</t>
  </si>
  <si>
    <t>Today I met with leaders at Hanover Hills Nursing Home, one of many long-term care facilities hurt by COVID-19. It's unacceptable that nursing homes won't get the support they need from McConnell's relief bill &amp;amp; I'm fighting to make sure they get help.
https://t.co/4hj8xHQpxm</t>
  </si>
  <si>
    <t>1317205891947679744</t>
  </si>
  <si>
    <t>I'm proud that our campaign has the support of over 200 of New Hampshire's veterans. I'll continue to work for them in the Senate, and to make sure they get the benefits they deserve for their service.
https://t.co/SFQxbZkesP</t>
  </si>
  <si>
    <t>1317113032531693568</t>
  </si>
  <si>
    <t>Veterans who fought for our country deserve a senator who fights for them. From creating job opportunities to providing access to health care closer to home and outside the VA, I've made a difference for Granite State veterans throughout my career &amp;amp; I will always fight for them. https://t.co/vmXclqBH19</t>
  </si>
  <si>
    <t>1316882932531924992</t>
  </si>
  <si>
    <t>This #SpiritDay, I’m standing in solidarity with LGBTQ youth. Every person &amp;amp; child should be proud of who they are without facing bullying or discrimination. I will continue to advocate for LGBTQ rights &amp;amp; for the passage of the Equality Act in the Senate.
https://t.co/D1UDxHNiIz</t>
  </si>
  <si>
    <t>1316825671256231936</t>
  </si>
  <si>
    <t>Here's to 51 amazing years, and many more to come. Happy Anniversary, Billy! ❤️ https://t.co/Gurb3we4cH</t>
  </si>
  <si>
    <t>1316806883626430464</t>
  </si>
  <si>
    <t>New Hampshire: today is the LAST DAY to fill out the Census!
The Census will help determine funding for our state over the next 10 years, and we need every Granite Stater to be counted.
Take a few minutes to fill it out before today's deadline at https://t.co/s2laRhx51l.</t>
  </si>
  <si>
    <t>1316772844785856513</t>
  </si>
  <si>
    <t>I don’t believe we should consider a nominee to the Supreme Court while millions of Americans are voting. Regardless, Judge Barrett’s views on Roe v. Wade, the ACA, and Medicare are deeply concerning.
If her nomination comes to a vote in the Senate, I’ll vote no. https://t.co/wVlzX8q0j2</t>
  </si>
  <si>
    <t>1316747074302509061</t>
  </si>
  <si>
    <t>Thank you so much to all of you who tuned in to today's debate. With less than 20 days to go, there's never been a more important time to get involved.
Volunteer with us and let's make sure every Granite Stater knows what’s at stake in this election.
https://t.co/biHjLaFN6b</t>
  </si>
  <si>
    <t>1316740444945084417</t>
  </si>
  <si>
    <t>.@CorkyForSenate shouldn’t talk to me about leadership. As a governor and a senator, I’ve taken on the tough fights and worked across the aisle to get things done.
I know about leadership, I’ve led, and it’s made a difference for the people of New Hampshire. #NHPR</t>
  </si>
  <si>
    <t>1316738787905503233</t>
  </si>
  <si>
    <t>We can stand with law enforcement while still demanding accountability. I’ve worked to bring people together to find common ground on addressing racial inequities in our society - not just in policing, but also in education, health care, and economic opportunity. #NHPR</t>
  </si>
  <si>
    <t>1316737021373710337</t>
  </si>
  <si>
    <t>Since COVID-19 hit, I’ve fought for relief for our small businesses, hospitals, and schools. @CorkyForSenate didn’t think they needed help. #NHPR https://t.co/2BSQGZH4xl</t>
  </si>
  <si>
    <t>1316735097203240960</t>
  </si>
  <si>
    <t>Yesterday my opponent and his supporters heckled and shouted over Granite Staters who were sharing their struggles with pre-existing conditions.
They may do things that way in Colorado, but that’s not how we treat each other in New Hampshire. #NHPR https://t.co/KOcuDSaAJV</t>
  </si>
  <si>
    <t>1316734490790768642</t>
  </si>
  <si>
    <t>In New Hampshire, over 100,000 people have affordable health insurance because of the ACA. If Republicans like my opponent really wanted to replace it, they could have offered a plan.
They haven’t - because they don’t have one. #NHPR</t>
  </si>
  <si>
    <t>1316733611777892352</t>
  </si>
  <si>
    <t>I co-wrote the Paycheck Protection Program because I heard the concerns of our small businesses. The PPP has helped keep over 24,000 small businesses open in New Hampshire, and helped keep more than 206,000 workers on payroll. #NHPR</t>
  </si>
  <si>
    <t>1316731697766051841</t>
  </si>
  <si>
    <t>If we’re going to get New Hampshire’s economy back on track, we need a new relief bill. Trump and McConnell’s package doesn’t address the needs of Granite Staters, and I’m not going to leave half of our state behind when communities on the front lines are still in need. #NHPR</t>
  </si>
  <si>
    <t>1316730188160532480</t>
  </si>
  <si>
    <t>When New Hampshire needed help to overcome COVID-19, I pushed for billions in funding for our small businesses, for testing and tracing, and to put people back to work.
If my opponent were in the Senate, we wouldn’t have gotten any relief at all. #NHPR</t>
  </si>
  <si>
    <t>1316720881737949184</t>
  </si>
  <si>
    <t>This morning I'll be participating in the second debate of the campaign, which you can watch live on the @NHPR Facebook page. I hope you'll tune in! https://t.co/74c5piLSuk</t>
  </si>
  <si>
    <t>1316702997645340673</t>
  </si>
  <si>
    <t>It's an honor to receive the endorsement of the @Keene_Sentinel. In the Senate, I have worked across the aisle to make a difference for Granite Staters, and I'll keep fighting for New Hampshire, no matter what.
Read the editorial: https://t.co/HRhnitWBem https://t.co/f9jk5xYYk1</t>
  </si>
  <si>
    <t>1316479320211234816</t>
  </si>
  <si>
    <t>For people like @FaltusEugene, fighting for the Affordable Care Act isn't about politics.
It's about one simple fact: without the ACA, he and 572,000 Granite Staters with pre-existing conditions could be denied life-saving medical care.
https://t.co/vXUKiwCRPs</t>
  </si>
  <si>
    <t>1316407929973682177</t>
  </si>
  <si>
    <t>There are just 20 days left in this historic election. Many Granite Staters have cast their ballots already, and you can be one of them!
Don't wait until Election Day to vote. Go to https://t.co/6zED7g3L9u, find your clerk's hours, and vote now in person before November 3rd. https://t.co/mskuyVFb8i</t>
  </si>
  <si>
    <t>1316180293477437440</t>
  </si>
  <si>
    <t>You bet we are, @TinaSmithMN - but we’re going to need some help. My opponent is spending his personal fortune to try to buy this seat.
If you can pitch in a few dollars to hit our goal tonight, it would make such a difference! Here's the donation link: https://t.co/DJiz1ljftU https://t.co/vdulQ7t3G0</t>
  </si>
  <si>
    <t>1316140471719202817</t>
  </si>
  <si>
    <t>Phil and Judy have owned the Chesterfield Inn for years. COVID-19 nearly put them out of businesses.
When they needed help, I got to work, and co-wrote the PPP legislation that helped save 24,000 small businesses like theirs. I will always fight to protect NH's small businesses. https://t.co/ggLBIQJzG0</t>
  </si>
  <si>
    <t>1316123483491926017</t>
  </si>
  <si>
    <t>Thank you so much for speaking up about this, @crystalparadis, and for your support. I'm going to continue to do everything I can to protect our access to basic reproductive health care services, and stop the partisan effort we're seeing to undermine Roe v. Wade. https://t.co/vL8QBWrJQD</t>
  </si>
  <si>
    <t>1315797515313254401</t>
  </si>
  <si>
    <t>Tomorrow, October 13th, is the last day to order from our store and ensure delivery by Election Day! Stop by https://t.co/BHFp3lyG7U to support #TeamShaheen and get your own mug or bumper sticker. https://t.co/rKWXcqbZsu</t>
  </si>
  <si>
    <t>1315750083506438145</t>
  </si>
  <si>
    <t>Thank you to Heath, Virginia, Lily and the @UNHDems for hosting me in Durham today! @UofNH students know the power of the #YouthVote, and they're ready to use it to fight for the issues they care about.
Be like them: make a plan to vote at https://t.co/6zED7g3L9u https://t.co/50ZkTAHAtk</t>
  </si>
  <si>
    <t>1315676974602424322</t>
  </si>
  <si>
    <t>Still have questions about voting?
☎️ Call 603-GO-N-VOTE (603-466-8683)
💻 Go to https://t.co/6zED7g3L9u
Make a plan to vote, and then make a backup plan. This election is too important to sit out!</t>
  </si>
  <si>
    <t>1315676842985226240</t>
  </si>
  <si>
    <t>It's so important we all vote this year, but I've heard some of you have questions about how to cast your ballot. So we called the experts at our New Hampshire Voter Protection Hotline to get some answers.
Here's what you need to know: https://t.co/1NpYQrLHqw</t>
  </si>
  <si>
    <t>1315467031341420550</t>
  </si>
  <si>
    <t>There’s much more to come as we count down the last few weeks until November 3rd! Follow us on Twitter, Facebook and Instagram to stay in touch. If you still have questions about voting, keep an eye on our feed tomorrow morning... ☎️🗳️ #NHPolitics #NHSen</t>
  </si>
  <si>
    <t>1315467026312331265</t>
  </si>
  <si>
    <t>Lastly, yesterday’s visit to New London was a great chance to catch up with friends, and make plenty of new ones. Thanks again to the Kearsarge Dems and to John for his wonderful Veterans for Shaheen banner! https://t.co/avPmDoYuH2</t>
  </si>
  <si>
    <t>1315467017160458240</t>
  </si>
  <si>
    <t>On Friday, we released a new ad about strengthening our economy, including investments in New Hampshire's infrastructure and small businesses.
https://t.co/0phDYOcapU</t>
  </si>
  <si>
    <t>1315467016065646592</t>
  </si>
  <si>
    <t>Thursday’s first debate was a reminder of the incredible stakes in this election, particularly on health care for Granite Staters with pre-existing conditions.
https://t.co/iIh7ujjsH6</t>
  </si>
  <si>
    <t>1315467014845198336</t>
  </si>
  <si>
    <t>…as well as an endorsement from @StonewallNH this past Wednesday! The coalition we're building is as strong and varied as the Granite State. https://t.co/sUWiIe841y</t>
  </si>
  <si>
    <t>1315467011921768448</t>
  </si>
  <si>
    <t>I was honored to receive the endorsement of four New Hampshire labor groups on Monday, representing over 7500 workers across our state…
https://t.co/3Yt9IpXIVW</t>
  </si>
  <si>
    <t>1315467010151714817</t>
  </si>
  <si>
    <t>Last Saturday I was in Dover with @DanFeltesNH and @ChrisPappasNH kicking off the final month of the campaign and talking about why voting rights are on the ballot this year: https://t.co/AyOsIZecca</t>
  </si>
  <si>
    <t>1315466936671760384</t>
  </si>
  <si>
    <t>The weeks have only gotten busier as Election Day gets closer, and this was a packed one for #TeamShaheen! Catch up on a few big moments you might have missed:</t>
  </si>
  <si>
    <t>1315453448163295233</t>
  </si>
  <si>
    <t>We're so proud of you Brayden! https://t.co/HGE9CS5j5t</t>
  </si>
  <si>
    <t>1315438235783438339</t>
  </si>
  <si>
    <t>It's inspiring to see so many LGBTQ individuals sharing their stories today. However and whenever you choose to share yours (if you choose to at all), know that you have the love and support of so many Granite Staters who believe that love is love. #NationalComingOutDay</t>
  </si>
  <si>
    <t>1315414298198409217</t>
  </si>
  <si>
    <t>I'm so excited to be in Durham tomorrow with @ChrisPappasNH. We'll be at Freedom Cafe at 11:30 to talk about what's at stake in the election - hope to see you there! Register for a seat below.
https://t.co/ptMeZ6nay5</t>
  </si>
  <si>
    <t>1315293742174269440</t>
  </si>
  <si>
    <t>This is just the sugar rush we need for these next 23 days! 🍪 #TeamShaheen https://t.co/DPziZ1ktMG</t>
  </si>
  <si>
    <t>1315101269871259650</t>
  </si>
  <si>
    <t>Mental health is just as important to our well-being as physical health. It's #WorldMentalHealthDay so take a minute to check in with a friend or a loved one and let them know you're there.
If you need help, you're not alone: reach out to @NAMI_NH or call 1-800-242-6264.</t>
  </si>
  <si>
    <t>1315047862611443713</t>
  </si>
  <si>
    <t>I also got to meet Vegas! He’s a medic alert dog who helps detect low blood sugar for patients with Type 1 diabetes - just like Coach does for my granddaughter Elle. https://t.co/tFSNLCFjU4</t>
  </si>
  <si>
    <t>1315047858047987712</t>
  </si>
  <si>
    <t>So grateful to Marcy, Amy, and the whole family at @artisansnl in New London for their hospitality today. I went with @jalfordteaster to talk about how we can help small businesses like theirs get through this pandemic. Couldn't resist getting some chocolate-covered pretzels too! https://t.co/dDVHGXbKHD</t>
  </si>
  <si>
    <t>1314986869042671617</t>
  </si>
  <si>
    <t>Getting fired up for November 3rd with the New London and Kearsarge Democrats! 24 days left to fight for health care, our small businesses, and an economy that works for every Granite Stater. Let's get out and vote! https://t.co/t8auZARsp0</t>
  </si>
  <si>
    <t>1314704946307231747</t>
  </si>
  <si>
    <t>Growing our economy is a top priority of mine. Even in this pandemic, I’ve helped secure funding for our airports and railroads, and gotten grants for small businesses to expand and create jobs. In tough times, Granite Staters can count on me to support Main Streets across NH. https://t.co/nnuT20cJmw</t>
  </si>
  <si>
    <t>1314630314623479808</t>
  </si>
  <si>
    <t>I’m honored to have the support of the New Hampshire Troopers Association. They have been on the front lines of the COVID-19 and opioid crises, and I'll continue to fight for the resources they need to serve our communities safely and effectively. https://t.co/sqR3p6ddNL</t>
  </si>
  <si>
    <t>1314612135410966529</t>
  </si>
  <si>
    <t>Excited to participate in today’s Q&amp;amp;A with @WMUR and to hear from Granite Staters about the issues that matter to them in this election. Tune in now! https://t.co/of7GN817PO</t>
  </si>
  <si>
    <t>1314386507222994944</t>
  </si>
  <si>
    <t>My opponent made his position clear today: he won’t protect the #ACA because he doesn't understand the reality that 572k Granite Staters could lose their health care without it.
New Hampshire deserves a Senator who will fight to protect their care. I will, as I always have. https://t.co/MHlqNWK9vr</t>
  </si>
  <si>
    <t>1314299020932718594</t>
  </si>
  <si>
    <t>Hi everyone! I just stepped out of the studio after the first debate. Thank you so much to everyone that tuned in to show their support. I'm ready to to keep fighting for New Hampshire. If you're with me, I hope you'll pitch in to our campaign here. -J.S.
https://t.co/dFdnpwiEXT</t>
  </si>
  <si>
    <t>1314294650082131971</t>
  </si>
  <si>
    <t>In New Hampshire and across the country, the election is already underway. Voters are already casting their ballots. Instead of ramming through a nominee during an election, we should let the President who is elected on November 3rd select the next nominee to the Supreme Court.</t>
  </si>
  <si>
    <t>1314293819962200070</t>
  </si>
  <si>
    <t>Veterans and their families have sacrificed for our country, and we need to make sure they get the benefits they deserve. That’s why I worked across the aisle to make sure veterans can get health care outside the VA system and closer to home.</t>
  </si>
  <si>
    <t>1314293363395497985</t>
  </si>
  <si>
    <t>95% of Granite Staters *do* have health insurance coverage.
It’s because of the Affordable Care Act.</t>
  </si>
  <si>
    <t>1314291421684396032</t>
  </si>
  <si>
    <t>Hundreds of thousands of Granite Staters with pre-existing conditions depend on the ACA because it protects their health care and keeps costs down.
While Republicans work to tear down the ACA, I’ll fight to protect every Granite Staters’ access health care.</t>
  </si>
  <si>
    <t>1314291055936888834</t>
  </si>
  <si>
    <t>The Trump tax cuts added over 1 trillion dollars to our deficit, and gave tax breaks to big corporations, pharmaceutical companies, and special interests.
I won’t raise taxes on the middle class - I’ll fight to support them to get through the COVID crisis.</t>
  </si>
  <si>
    <t>1314287666159128577</t>
  </si>
  <si>
    <t>Without a strong negotiator fighting for the CARES Act, New Hampshire wouldn't have gotten any of the federal funding that’s supported our state through this crisis. We need someone who knows our state and will fight for it - no matter what it takes.</t>
  </si>
  <si>
    <t>1314284781484544002</t>
  </si>
  <si>
    <t>COVID-19 has been an enormous challenge for our state. Our state and local governments, our hospitality industry, front line hospital workers and small businesses need relief immediately. That’s what I’m fighting for in the Senate.</t>
  </si>
  <si>
    <t>1314278535188619264</t>
  </si>
  <si>
    <t>So many great volunteers out here fired up for this debate. New Hampshire is Shaheen Country! https://t.co/wxOY6kqaIP</t>
  </si>
  <si>
    <t>1314276909119868928</t>
  </si>
  <si>
    <t>Today at 3pm I’ll be joining Valley Vision for our first debate of the campaign. We’ll be discussing what’s at stake in this election and the vision I have for our state. I hope you’ll tune in!
https://t.co/3cKgreAwR7</t>
  </si>
  <si>
    <t>1314032862065299459</t>
  </si>
  <si>
    <t>I've seen firsthand how @KamalaHarris fights for her state in the Senate, and she proved tonight that she'll be an even stronger advocate for the American people as our VP.
Make a plan to vote at https://t.co/6zED7g3L9u and let's help her and @JoeBiden win in NH on November 3.</t>
  </si>
  <si>
    <t>1313930496183803915</t>
  </si>
  <si>
    <t>I'm grateful for the support of so many Granite Staters that have bravely served our country, and I'm proud to fight for them every day in the Senate. Thanks to a supporter who donated this beautiful homemade sign! https://t.co/OrWKS7Cxwb</t>
  </si>
  <si>
    <t>1313853949695459328</t>
  </si>
  <si>
    <t>Steve Cunningham returned to Manchester after serving his country in the Air Force and turned his passion for flying into a small business. I’m proud to support businesses like his that make such a difference for our communities and our regional economy.
https://t.co/DOzVb8aRvP</t>
  </si>
  <si>
    <t>1313602285918973953</t>
  </si>
  <si>
    <t>📢 Calling #TeamShaheen 📢
There's only *one more week left* to order from our store and get guaranteed delivery by Election Day! Head over to https://t.co/dKMyBv7WfS to get your sweatshirt, hoodie, or bumper sticker and help support our campaign. https://t.co/jGeg9MEnzP</t>
  </si>
  <si>
    <t>1313589725043798022</t>
  </si>
  <si>
    <t>This is a critical moment for our nation. The pandemic has killed more than 200,000 Americans, crushed our economy, and slammed small businesses.  
The American people need help. Stop stalling and let's make a deal. https://t.co/JFJU26PlRb</t>
  </si>
  <si>
    <t>1313525138651074564</t>
  </si>
  <si>
    <t>Thank you so much to @StonewallNH for your endorsement! I'm proud to be an an ally to the LGBTQ community, and will always advocate for measures like the Equality Act to make sure every Granite Stater is treated equally under the law. https://t.co/wmdKOtml8E</t>
  </si>
  <si>
    <t>1313238509101223938</t>
  </si>
  <si>
    <t>As a former high school teacher, I know how hard educators work to set students up for success. They've had to adapt to extraordinary challenges this year, and I'm fighting to support them as we work to safely reopen our classrooms. Thank a teacher today! #WorldTeachersDay</t>
  </si>
  <si>
    <t>1313143612654465027</t>
  </si>
  <si>
    <t>The next Supreme Court justice could decide who can vote, who will have access to health care, and who has the right to marry the person they love.
The American people deserve a say in who makes that decision. #Obergefell</t>
  </si>
  <si>
    <t>1313106131892535301</t>
  </si>
  <si>
    <t>Thanks to Kate in Claremont for sending in this beautiful sign picture! Keep the #ShaheenCountry pictures coming and we'll share some of our favorites. Get a sign of your own here: https://t.co/6Tihp96vdm https://t.co/6pEynhDpyf</t>
  </si>
  <si>
    <t>1312904092470202368</t>
  </si>
  <si>
    <t>We're proud to have some very stylish pups on #TeamShaheen! Barkley, Piper, Remus and Ozzie are wearing our brand new Jeanne Shaheen bandanas, now available in our store! Head over to https://t.co/dKMyBv7WfS to get yours. https://t.co/cpSrUmxEgg</t>
  </si>
  <si>
    <t>1312497331665739776</t>
  </si>
  <si>
    <t>It's October 3rd.
Are you registered to vote yet? https://t.co/lNqAEX5lQz https://t.co/gfPTg87w6e</t>
  </si>
  <si>
    <t>1312465396247621633</t>
  </si>
  <si>
    <t>Great to be back in person with so many friends and supporters in Dover today. I'm ready to work with you all over the next 31 days to make a difference for New Hampshire and our country. Get involved, make a plan to vote, and together I know we can win on November 3rd! https://t.co/M3WVKdnrEB</t>
  </si>
  <si>
    <t>1312396145243688962</t>
  </si>
  <si>
    <t>One month to go! Tune in live on Facebook as we kick off the final month of this campaign: https://t.co/UEsW5BcspL https://t.co/vxMEB46fym</t>
  </si>
  <si>
    <t>1323771336976703489</t>
  </si>
  <si>
    <t>📍MANCHESTER WARD 8
#nhpolitics #NHSen #MAGA2020 #Elections2020 https://t.co/qrpqQTIEJb</t>
  </si>
  <si>
    <t>1323761880301666305</t>
  </si>
  <si>
    <t>Time is running out if you haven't voted yet! This is the most important election of our lifetimes with so much at stake. Don't let your voice go unheard - be sure to VOTE today! 
Check your polling location's times: https://t.co/NAdD7qMIMA 
#MAGA2020 #nhpolitics #nhsen https://t.co/U784NriWfK</t>
  </si>
  <si>
    <t>1323750685037527045</t>
  </si>
  <si>
    <t>📍 BEDFORD AT RUSH HOUR!
“HOW BOUT THAT?!”
#nhpolitics #NHSen #MAGA2020 #Elections2020 https://t.co/DBqmBDgVNR</t>
  </si>
  <si>
    <t>1323720055335563264</t>
  </si>
  <si>
    <t>Next, WINDHAM!
#nhpolitics #NHSen #MAGA2020 #Elections2020 https://t.co/zrbOqm0k6k</t>
  </si>
  <si>
    <t>1323716581021622275</t>
  </si>
  <si>
    <t>Haven't voted? Now's your chance! Bring a friend and VOTE before dinner! This is your chance to defeat the do-nothing Democrats and send a political outsider to the U.S. Senate! 
Get started and find your polling location: https://t.co/NAdD7r4kba 
#MAGA2020 #nhpolitics #nhsen https://t.co/ZimxfXf59F</t>
  </si>
  <si>
    <t>1323708284520587264</t>
  </si>
  <si>
    <t>📍SALEM
Look at the crew here!!
#nhpolitics #NHSen #MAGA2020 #Elections2020 https://t.co/OTNgaqxr2E</t>
  </si>
  <si>
    <t>1323685287114002432</t>
  </si>
  <si>
    <t>Awesome stop in Hampstead!
#nhpolitics #NHSen #MAGA2020 #Election2020 https://t.co/K7RcQKBSsm</t>
  </si>
  <si>
    <t>1323668665640886273</t>
  </si>
  <si>
    <t>📍 STRATHAM!
#nhpolitics #NHSen #MAGA2020 #Elections2020 https://t.co/Gv0AR2EbyT</t>
  </si>
  <si>
    <t>1323658188881862664</t>
  </si>
  <si>
    <t>Rye Polling Place Stop 🛑!
It’s cold and windy out there, but that doesn’t stop our @CorkyForSenate supporters!
#nhpolitics #NHSen #MAGA2020 #Elections2020 https://t.co/3L2qDb2JpD</t>
  </si>
  <si>
    <t>1323656183769542656</t>
  </si>
  <si>
    <t>The only way to ensure @realDonaldTrump's America First agenda and VICTORY over socialism is if every one of my grassroots supporters VOTES today!
Make a plan to vote over your lunch break if you haven't already! Get started: https://t.co/NAdD7qMIMA
#MAGA2020 #nhpolitics #nhsen https://t.co/FrOq9OUYDd</t>
  </si>
  <si>
    <t>1323625477286875138</t>
  </si>
  <si>
    <t>D.C. Jeanne Shaheen has made a mess of our country while mucking it up in the Swamp with her pals like Nancy Pelosi and Chuck Schumer. We need to send her packing, VOTE MESSNER today! 
See how she's hurt the Granite State: https://t.co/ZZDT1MyinO 
#MAGA2020 #nhpolitics #nhsen https://t.co/fhlsb5KvIp</t>
  </si>
  <si>
    <t>1323621139130781696</t>
  </si>
  <si>
    <t>On line at Wolfeboro Town Hall to vote!
First-time voter right behind me - Congratulations!
#nhpolitics #NHSen #MAGA2020 https://t.co/jW872gtiya</t>
  </si>
  <si>
    <t>1323604082146291713</t>
  </si>
  <si>
    <t>With Midnight voting last night, we are winning close to 60 to 40!
Let’s go!
#nhpolitics #NHSen #Election2020</t>
  </si>
  <si>
    <t>1323589022774665216</t>
  </si>
  <si>
    <t>Quick stop for breakfast 🍳 at The Farmer’s Kitchen in Wolfeboro!
#nhpolitics #NHSen #MAGA2020 #ElectionDay https://t.co/G6qgY4nqKO</t>
  </si>
  <si>
    <t>1323585247049621504</t>
  </si>
  <si>
    <t>Good Morning, New Hampshire! 
Happy #ElectionDay - it’s going to be a great day today. Polls are now open in some places. Thank you to all in Dixville Notch &amp;amp; Millsfield who voted for me overnight.
Let’s Get Out and #VOTE!
#nhpolitics #NHSen #MAGA2020 https://t.co/4AaIeZpWsp</t>
  </si>
  <si>
    <t>1323580687715307521</t>
  </si>
  <si>
    <t>TODAY is Election Day - and polls are beginning to open around the Granite State! If you haven't yet, find your polling location and its hours, then MAKE A PLAN to vote! 
Get started by checking your polling location's hours: https://t.co/NAdD7r4kba
#MAGA2020 #nhpolitics #nhsen https://t.co/IA7dN3dz4F</t>
  </si>
  <si>
    <t>1323496445694062592</t>
  </si>
  <si>
    <t>THANK YOU, Millsfield! 🗳 Great start to Election Day.
Messner - 15
Shaheen - 7
Polls opening downstate starting at 6 AM. Looking forward to many polling location stops throughout New Hampshire later today!
#nhpolitics #NHSen #MAGA2020 #Election2020 #VOTE https://t.co/FOqu081Owv</t>
  </si>
  <si>
    <t>1323429691152310272</t>
  </si>
  <si>
    <t>At this time tomorrow, some polls will begin closing. Be sure to know what YOUR polling location's hours are so you don't miss your chance to vote!
Get started and find your polling location at my campaign's election center: https://t.co/NAdD7r4kba
#MAGA2020 #nhpolitics #nhsen https://t.co/d3xKVhKhKx</t>
  </si>
  <si>
    <t>1323399489378525190</t>
  </si>
  <si>
    <t>.@TomCottonAR has endorsed my campaign for U.S. Senate! I'm proud to have the support of a conservative &amp;amp; fellow veteran who always puts America's best interest over politics.  
Join him by casting your vote! Get started: https://t.co/NAdD7r4kba 
#MAGA2020 #nhpolitics #nhsen https://t.co/AxHTSvoIMN</t>
  </si>
  <si>
    <t>1323393262271516673</t>
  </si>
  <si>
    <t>I’ve been traveling across NH today. Thank you to everyone for your help &amp;amp; support. It means so much.
I'll fight for you! DC Jeanne Shaheen is another career politician who doesn't care about the people.
Make sure you VOTE tomorrow. Let's win this!
#nhpolitics #NHSen #MAGA2020 https://t.co/Z76XLBNngh</t>
  </si>
  <si>
    <t>1323369293694803968</t>
  </si>
  <si>
    <t>TOMORROW is Election Day! Don't miss this chance to make your voice heard and help me DEFEAT D.C. Jeanne Shaheen.  
Get started by finding your polling location at my campaign's official election center: https://t.co/NAdD7r4kba 
#MAGA2020 #nhpolitics #nhsen https://t.co/vLgvqzsyNM</t>
  </si>
  <si>
    <t>1323339092541820930</t>
  </si>
  <si>
    <t>I'm proud to have Nikki Haley's full support - but we need your help in order to FLIP this seat and keep the Senate RED.  
https://t.co/gAg7ilHLv6 
#MAGA2020 #nhpolitics #nhsen https://t.co/cBruMfJLLD</t>
  </si>
  <si>
    <t>1323293793030934529</t>
  </si>
  <si>
    <t>Senator @DrRandPaul has always embodied the "Live Free or Die" spirit of New Hampshire. That's why I'm thrilled to have him on board with my campaign.  
Learn more about my endorsements: https://t.co/n0C7CaUv4m 
#MAGA2020 #nhpolitics #nhsen https://t.co/finYJMxQRG</t>
  </si>
  <si>
    <t>1323271143889936385</t>
  </si>
  <si>
    <t>We're just 1 day away from the election that will decide the future of our country and state. We don't need more of career politician D.C. Jeanne Shaheen. We need a political outsider who will get things done!
Get started: https://t.co/NAdD7qMIMA
#MAGA2020 #nhpolitics #nhsenate https://t.co/bslIsFIxde</t>
  </si>
  <si>
    <t>1323248497601204224</t>
  </si>
  <si>
    <t>I've been endorsed by @realDonaldTrump because he knows I'm committed to his America First agenda! I will be an ally to President Trump and will defend him in the U.S. Senate!
See who else is supporting me: https://t.co/n0C7CaUv4m
#MAGA2020 #nhpolitics #nhsen https://t.co/lmmFejmPIp</t>
  </si>
  <si>
    <t>1323232569983406081</t>
  </si>
  <si>
    <t>📻 SCHEDULE this AM!
6:50-7:05: Phone Radio Interview with Scott Spradling, NH Today-WGIR
7:20-7:35: Zoom Radio Interview with Chris Ryan, WKXL
7:40-7:55: Phone Radio Interview with Mike Pomp, WTSN
8:45-9:00: Phone Radio Interview with Dan Mitchell, WKBK
#nhpolitics #NHSen</t>
  </si>
  <si>
    <t>1323040875358744578</t>
  </si>
  <si>
    <t>N.H. has had small businesses' backs during the pandemic, but DC Jeanne Shaheen turned down $500B in relief funding. 
@ChrisSununu is right - it's time we got rid of the career politicians. Learn more on Shaheen's record: https://t.co/ZZDT1MgGZe
#MAGA2020 #nhpolitics #nhsen https://t.co/LS9IfLPFUA</t>
  </si>
  <si>
    <t>1323006901798367232</t>
  </si>
  <si>
    <t>Corky needs YOUR help at the polls on Election Day! Join our Grassroots Victory Team today and learn how YOU can make an impact by greeting potential supporters at the polls!
https://t.co/GOOrhxKFG8 
#nhpolitics #NHSen #MAGA2020 https://t.co/pFmIgAwhqo</t>
  </si>
  <si>
    <t>1322976703308726277</t>
  </si>
  <si>
    <t>Did you know you can return your absentee ballot to your local town clerk or your polling location on Election Day? Don't miss your chance to make your voice heard in this crucial election! 
Learn More here: https://t.co/NAdD7qMIMA 
#MAGA2020 #nhpolitics #nhsen https://t.co/XtcmWawbhD</t>
  </si>
  <si>
    <t>1322931405245026304</t>
  </si>
  <si>
    <t>Restoring the American Dream demands a leader, and I learned these qualities through service to our country. I stood against Socialism in the U.S. Army, and I'll do the same in the U.S. Senate.
Learn more about where I stand: https://t.co/1P3jOFvuoj
#MAGA2020 #npolitics #nhsen https://t.co/WM1siDYyFl</t>
  </si>
  <si>
    <t>1322886105612587010</t>
  </si>
  <si>
    <t>The 2020 election for the future of our country, and the Granite State, is in just TWO DAYS! Have you found your polling location yet to make your voice heard?  
Get started at my campaign's official election center: https://t.co/NAdD7r4kba 
#MAGA2020 #npolitics #nhsen https://t.co/fK5RO7gkhX</t>
  </si>
  <si>
    <t>1322691229377830912</t>
  </si>
  <si>
    <t>It’s actually time for you to stop pretending to be a Senator.
Happy Halloween! 🎃 
#nhpolitics #NHSen https://t.co/ghafdj58kZ</t>
  </si>
  <si>
    <t>1322689812508385281</t>
  </si>
  <si>
    <t>New Hampshire's "Live Free or Die" spirit is something our country was founded upon. The right to keep and bear arms shall not be infringed, and I'll always stand to defend our 2A rights. 
Learn more about where I stand: https://t.co/gHHU2EiFLk 
#MAGA2020 #nhpolitics #nhsen https://t.co/40f0Yvv23n</t>
  </si>
  <si>
    <t>1322629419278704645</t>
  </si>
  <si>
    <t>I've been endorsed by New Hampshire Governor @ChrisSununu because he knows I'll put people over politics. It isn't about big government, it's about fighting for the 603 in Washington. 
See who else has my back: https://t.co/n0C7CaUv4m 
#MAGA2020 #nhpolitics #nhsen https://t.co/3sxBcXhVHT</t>
  </si>
  <si>
    <t>1322538818705084416</t>
  </si>
  <si>
    <t>.@DonaldJTrumpJr has endorsed my campaign, and I will be one of @realDonaldTrump's biggest allies in the U.S. Senate to implement his America First agenda. 
Learn more about why Trump-Republicans are getting on board: https://t.co/gHHU2EAgCS 
#MAGA2020 #npolitics #nhsen https://t.co/T9WrQeFOhE</t>
  </si>
  <si>
    <t>1322508621113028608</t>
  </si>
  <si>
    <t>Water doesn't run uphill, and politicians won't change their stripes. It's time for a change, and that's why New Hampshire needs political outsider and proven businessman Corky Messner. 
Learn more about Corky's USA Plan: https://t.co/jRXm43GZFq 
#MAGA2020 #nhpolitics #nhsen https://t.co/N5veU6PHjg</t>
  </si>
  <si>
    <t>1322358953716649991</t>
  </si>
  <si>
    <t>This afternoon while in Bedford &amp;amp; Amherst, I made a stop at Goedeke Paint &amp;amp; Decorating - an awesome family-owned flooring center serving Southern New Hampshire and all over New England.
Afterwards, I shot over Rte. 101 to the delicious Black Forest Cafe!
#nhpolitics #NHSen https://t.co/TZuhn1jXJ9</t>
  </si>
  <si>
    <t>1322343078406033410</t>
  </si>
  <si>
    <t>Glad to be in Franklin earlier this evening for a SIGN WAVE 👋 with Gov. @ChrisSununu, Senator Harold French, Rep. @HowardPearlNH, Rep. @tlangsr, and other local candidates and supporters.
So much enthusiasm out there! Election Day is FAST approaching!
#nhpolitics #NHGov #NHSen https://t.co/mwkqppK1jG</t>
  </si>
  <si>
    <t>1322299846037037057</t>
  </si>
  <si>
    <t>“They need help,” Messner said.
“...Rather than support smaller, more targeted aid proposals until a larger package can be negotiated, she [@JeanneShaheen] has rejected any and all funding because proposals don’t include enough pork.”
https://t.co/mvH5IT6sgh
#nhpolitics #NHSen</t>
  </si>
  <si>
    <t>1322297227822440454</t>
  </si>
  <si>
    <t>Our county has a choice: radical socialism that D.C. Jeanne Shaheen votes for in the U.S. Senate OR the freedom and liberty "live free or die" spirit our country was founded on. 
Send Shaheen packing. Make your plan to vote: https://t.co/NAdD7r4kba 
#MAGA2020 #nhpolitics #NHSen https://t.co/Xd2crWkxqR</t>
  </si>
  <si>
    <t>1322277344216834052</t>
  </si>
  <si>
    <t>TOMORROW: My campaign needs volunteers at the @NHTrumpVictory Derry office to help phone bank from 9:30 AM - 11:30 AM!
It isn't too late to make a difference in this campaign, and you could help us recruit the voter who puts us over the top!
#MAGA2020 #NHSen #nhpolitics https://t.co/nm7JOGK8Cd</t>
  </si>
  <si>
    <t>1322251929334984706</t>
  </si>
  <si>
    <t>At the end of the day, D.C. Jeanne Shaheen is just another career politician &amp;amp; a rubber-stamp vote for the radical left's liberal agenda.  
Learn more about her record while she’s been mucking it up in the D.C. Swamp: https://t.co/ZZDT1MyinO 
#MAGA2020 #nhpolitics #NHSen https://t.co/iLJUIA7GEe</t>
  </si>
  <si>
    <t>1322243729495887875</t>
  </si>
  <si>
    <t>Caught the lunch rush with my friend, Victoria Sullivan, at the Airport Diner in Manchester located by @flymanchester.
Reminding folks to MAKE a PLAN to VOTE either absentee or in person on Tuesday. 
Just 4 days left until Election Day. Let’s go!
#nhpolitics #NHSen #MAGA2020 https://t.co/HVlpmTDc28</t>
  </si>
  <si>
    <t>1322217532368003074</t>
  </si>
  <si>
    <t>Next stop of the day at @StarkBrewingCo in Manchester!
Stark has built quite an operation in the historic Millyard District of #MHT in a short amount of time. 
Thank you for having me!
#nhpolitics #NHSen https://t.co/8U2aY8MA3c</t>
  </si>
  <si>
    <t>1322189530045255682</t>
  </si>
  <si>
    <t>A beautiful snowy morning in Londonderry visiting a fantastic N.H. family-owned, woman-owned &amp;amp; operated company, @EnviroToteNH.
EnviroTote makes environmentally friendly reusable tote bags for all different purposes right from their plant in Londonderry!
#nhpolitics #NHSen https://t.co/3llkVQZonW</t>
  </si>
  <si>
    <t>1322146240201695233</t>
  </si>
  <si>
    <t>My campaign has always been powered by grassroots supporters - and YOU can make a huge difference in this race! Will you join our Grassroots Victory Team and help greet poll supporters on Election Day?
Sign up today: https://t.co/GOOrhxt4OA
#nhpolitics #NHSen #MAGA2020 https://t.co/xhm5vnaG5I</t>
  </si>
  <si>
    <t>1321976470256967687</t>
  </si>
  <si>
    <t>Fun afternoon in downtown Derry today! 
I dropped into the famous Mary Ann’s Diner and went table-to-table greeting voters, and then I walked over to Derry Feed &amp;amp; Supply to visit with Bud Evans (owner) to check in on how business has been!
#nhpolitics #NHSen #MAGA2020 https://t.co/C763G03PRZ</t>
  </si>
  <si>
    <t>1321889544120147968</t>
  </si>
  <si>
    <t>Team Messner is looking for dedicated supporters who can help make phone calls and spread Corky's Conservative message! Click here to join our Grassroots Victory Team and make an impact on this race today!  
https://t.co/GOOrhxKFG8 
#nhpolitics #NHSen #MAGA2020 https://t.co/7fSfUWAorE</t>
  </si>
  <si>
    <t>1321844249218834432</t>
  </si>
  <si>
    <t>There are just FIVE DAYS left until the election! The future of our country will be determined, and you don't want to be left on the sidelines. Be sure to find your polling place and VOTE Tuesday, November 3rd!
Get Started: https://t.co/NAdD7qMIMA 
#MAGA2020 #nhpolitics #NHSen https://t.co/Gx5xA3aI5B</t>
  </si>
  <si>
    <t>1321798942594457600</t>
  </si>
  <si>
    <t>Corky needs YOUR help at the polls on Tuesday! Join our Grassroots Victory Team today and learn how YOU can make an impact for this election by greeting potential supporters at the polls!  
https://t.co/GOOrhxKFG8 
#nhpolitics #NHSen #MAGA2020 https://t.co/ozCQaXhQ5t</t>
  </si>
  <si>
    <t>1321798334768709632</t>
  </si>
  <si>
    <t>After the challenging months earlier in the year, this is incredible news. Thank you to Pres. @realDonaldTrump for his decisive leadership! 
Trump knows there’s still more work to do to get the economy back to where it was, but we’re GROWING FAST!
#nhpolitics #NHSen #MAGA2020 https://t.co/op4hp5E2qc</t>
  </si>
  <si>
    <t>1321753645390696448</t>
  </si>
  <si>
    <t>TRUMP EVENT TODAY: I will be joining @DonaldJTrumpJr at the DoubleTree Manchester! Don't wait to get your name on the list before it starts at 3:30 PM - time is running out! 
RSVP now: https://t.co/QOoZVbjT7r 
#MAGA2020 #nhpolitics #NHSen https://t.co/h7tnsob8LO</t>
  </si>
  <si>
    <t>1321611535224053760</t>
  </si>
  <si>
    <t>$ available because of the lack of LEADERSHIP in Congress, notably D.C. @JeanneShaheen’s and her liberal pals’ inability to come to the table on COVID relief.
D.C. @JeanneShaheen should be ashamed: N.H. companies like Spaulding are hurting NOW!
(3/3)
#nhpolitics #NHSen</t>
  </si>
  <si>
    <t>1321611281573548033</t>
  </si>
  <si>
    <t>#COVID19 has drastically affected Spaulding’s cash flow, &amp;amp; because the company is towards the “end” of the supply chain, it’s really feeling stress now.
Spaulding submitted paperwork for a #PPPloan today, but management is concerned there’s not enough 
(2/3)
#nhpolitics #NHSen</t>
  </si>
  <si>
    <t>1321608997338755073</t>
  </si>
  <si>
    <t>Such an informative tour of Spaulding Composites in Rochester this afternoon. Spaulding is a fantastic company with deep N.H. roots - they make plastic components for heavy machinery, &amp;amp; components used by the U.S. Military &amp;amp; the medical industry.
(1/2)
#nhpolitics #NHSen https://t.co/T1P7EIxJVu</t>
  </si>
  <si>
    <t>1321560116852854784</t>
  </si>
  <si>
    <t>Great to be at the stop in Alton today!
#nhpolitics #NHSen #MAGA2020 https://t.co/8ECkmMWaBU</t>
  </si>
  <si>
    <t>1321433290734272516</t>
  </si>
  <si>
    <t>Excited to be joining Jack Heath around 9:05 AM on his new radio 📻 show “Good Morning New Hampshire with Jack Heath” broadcast by @1077ThePulse &amp;amp; other news talk stations throughout the state.
Tune in around 9:05!
LISTEN LIVE:
https://t.co/4rTk7JtQDN
#nhpolitics #NHSen</t>
  </si>
  <si>
    <t>1321246734237028352</t>
  </si>
  <si>
    <t>Yep. https://t.co/wwgaIVmHZB</t>
  </si>
  <si>
    <t>1321204684875550720</t>
  </si>
  <si>
    <t>🚨🚨🚨
The D.C. @JeanneShaheen/@NHDems Political Hit Job...
Shaheen is DESPERATELY trying to hold on to power with despicable SWAMP tactics. Not surprising.
#nhpolitics #NHSen https://t.co/GeKSHadq8a</t>
  </si>
  <si>
    <t>1321164764865826822</t>
  </si>
  <si>
    <t>The votes are in: Amy Coney Barrett was CONFIRMED! She is sure to come under further fire, and the Democrats have threatened to "pack the court" in response.
Contribute now to help me defend our conservative SCOTUS majority!
https://t.co/gcCjUbyBmJ
#MAGA2020 #nhpolitics #nhsen https://t.co/kAIj2Wtvys</t>
  </si>
  <si>
    <t>1321094901627523076</t>
  </si>
  <si>
    <t>Proud to have @LogCabinGOP’s endorsement - thank you!
#nhpolitics #NHSen #MAGA2020 https://t.co/5SIigG2Iyy</t>
  </si>
  <si>
    <t>1321059067671007232</t>
  </si>
  <si>
    <t>There's never before been so much riding on an election, and I need your help to beat the Democrats at the polls. If you haven't yet, find your polling place and make a plan to VOTE MESSNER on Tuesday, November 3rd!
https://t.co/9b0YPbu1Zs 
#MAGA2020 #nhsen #nhpolitics https://t.co/1Ucpc7Ftat</t>
  </si>
  <si>
    <t>1320891868452999170</t>
  </si>
  <si>
    <t>D.C. @JeanneShaheen has her marching orders!
#nhpolitics #NHSen https://t.co/CHFJ9rsAIG</t>
  </si>
  <si>
    <t>1320884324061896704</t>
  </si>
  <si>
    <t>PRESS RELEASE:
Messner Applauds Vote Confirming Barrett to Supreme Court as Opponent Shaheen Once Again Follows the Party Line&amp;gt;&amp;gt;
#nhpolitics #NHSen #JusticeACB https://t.co/VhiSnxZbVI</t>
  </si>
  <si>
    <t>1320878868429967361</t>
  </si>
  <si>
    <t>🚨✔️🚨 https://t.co/gMvsO7SzZs</t>
  </si>
  <si>
    <t>1320871212281716741</t>
  </si>
  <si>
    <t>As for the first part of your tweet...it’s rich coming from you, D.C. @JeanneShaheen.
You &amp;amp; your fellow liberal pals in the Senate used the filibuster rules to BLOCK $500B in #COVID19 relief just a few weeks ago.
Spare Granite Staters your fake outrage. Thx.
#nhpolitics #NHSen https://t.co/rgg0fgUXqL</t>
  </si>
  <si>
    <t>1320865701859594240</t>
  </si>
  <si>
    <t>Exactly.
#nhpolitics #NHSen https://t.co/XY66Qk7xHU</t>
  </si>
  <si>
    <t>1320838323225714688</t>
  </si>
  <si>
    <t>TUNE IN at 6:00: Corky will be sharing his remarks on Facebook Live regarding Amy Coney Barrett's scheduled confirmation vote. Be sure to watch live and hear the latest from Corky on the campaign trail!
https://t.co/JO652YmyXp
#MAGA2020 #nhpolitics #nhsen https://t.co/CqNUxdPFN0</t>
  </si>
  <si>
    <t>1320823568368869376</t>
  </si>
  <si>
    <t>D.C. Jeanne Shaheen says one thing, then does another. She's part of the problem in Washington, and just another career politician.
Chip in now to help me defeat her and send a political outsider to the U.S. Senate!
https://t.co/w2WgwaOrr0
#MAGA2020 #nhpolitics #nhsen https://t.co/w7NifLUKNy</t>
  </si>
  <si>
    <t>1320800391425130497</t>
  </si>
  <si>
    <t>Thank you, Ben!
It’s go time.
#nhpolitics #NHSen https://t.co/qRJphulBDu</t>
  </si>
  <si>
    <t>1320714629824339968</t>
  </si>
  <si>
    <t>Thank you to all who serve and who have served!
#DayoftheDeployed https://t.co/7VokXaGsK8</t>
  </si>
  <si>
    <t>1320392809157976069</t>
  </si>
  <si>
    <t>WATCH LIVE!
#nhpolitics #NHSen #MAGA2020 https://t.co/InBCxo9CGN</t>
  </si>
  <si>
    <t>1320390969200693248</t>
  </si>
  <si>
    <t>Such an incredible time addressing the crowd at @flymanchester during the pre-program remarks to welcome President @realDonaldTrump back to the Granite State.
9 days left. Thank you, Mr. President, for coming back to New Hampshire!!
🌲🍂
#nhpolitics #NHSen #MAGA2020 https://t.co/DvG97yj3Td</t>
  </si>
  <si>
    <t>1320367614011604993</t>
  </si>
  <si>
    <t>Nothing like a brisk Sunday morning   @CorkyForSenate SIGN WAVE 👋 at the entrance of @flymanchester ahead of the @realDonaldTrump rally this afternoon!
@NHTrumpVictory @TeamTrump 
#nhpolitics #NHSen #MAGA2020 https://t.co/e4MooN33fh</t>
  </si>
  <si>
    <t>1320334542876647424</t>
  </si>
  <si>
    <t>Have you signed up for @realDonaldTrump's #MAGA2020 rally at Manchester-Boston Regional Airport this morning? It isn't too late to reserve your spot and see President Trump!
Doors open at 10:00 A.M. RSVP here: https://t.co/O3ugjl2iPA
#nhpolitics #nhsen https://t.co/1EPmu6jmQ6</t>
  </si>
  <si>
    <t>1320126151680032768</t>
  </si>
  <si>
    <t>Ventured over to two great events in Bedford this afternoon - a craft fair at Liberty Hill Farm and a backyard candidates meet &amp;amp; greet hosted by Ashton &amp;amp; Garrett Knoll!
#nhpolitics #NHSen #MAGA2020 https://t.co/TNd5ND8PBw</t>
  </si>
  <si>
    <t>1320088924140662784</t>
  </si>
  <si>
    <t>TOMORROW: @realDonaldTrump returns to the Granite State! Don't miss this opportunity to attend one of the President's #MAGA2020 Rallies at Manchester-Boston Regional Airport. Doors open at 10:00 A.M.!
RSVP: https://t.co/O3ugjljTH8
#nhpolitics #nhsen https://t.co/zEgoHX3jIh</t>
  </si>
  <si>
    <t>1320031741034323969</t>
  </si>
  <si>
    <t>Go @CallaghanJNH! Amping up the turnout for the whole @NHGOP Team in Strafford County.
I like that hat 🧢 too!
@NHTrumpVictory
#nhpolitics #NHSen #MAGA2020 #FirstintheField https://t.co/wYmxuU11Ph</t>
  </si>
  <si>
    <t>1320014903403597824</t>
  </si>
  <si>
    <t>Team Messner is looking for election volunteers! Are you able to place campaign signs at polling places Monday night before the election or show your support on Election Day by holding signs? Sign up today at the link below!
https://t.co/GOOrhxt4OA
#MAGA2020 #nhpolitics #nhsen https://t.co/bPoJiWbdmZ</t>
  </si>
  <si>
    <t>1319734238762106880</t>
  </si>
  <si>
    <t>DC Jeanne Shaheen is just another career politician who says one thing, and does another. She's part of the problem in Washington.
Learn more about her radical-left, failed record after decades working in politics: https://t.co/ZZDT1MyinO
#MAGA2020 #nhpolitics #nhsen https://t.co/ZKqWZeHxLs</t>
  </si>
  <si>
    <t>1319704936733679617</t>
  </si>
  <si>
    <t>This PM, dropped by the @WomenforTrump #KAG Forum w/ @mercedesschlapp @NHTrumpVictory HQ in MHT!
With just a little over a week till the election, Granite State women are LOCKING IN their support for @realDonaldTrump and the @NHGOP ticket!
#nhpolitics #NHSen #MAGA2020 https://t.co/BApHb9DR6K</t>
  </si>
  <si>
    <t>1319673733531971589</t>
  </si>
  <si>
    <t>PRESS RELEASE:
As D.C. @JeanneShaheen Portrays Herself as Fighting the Opioid Crisis, Lawyer Husband Represents Opioid Maker Fined this Week by DOJ&amp;gt;&amp;gt;
#nhpolitics #NHSen https://t.co/71zQjueg7c</t>
  </si>
  <si>
    <t>1319438401335164929</t>
  </si>
  <si>
    <t>Just wow.
D.C. @JeanneShaheen needs to come out and condemn @JoeBiden for this.
#nhpolitics #NHSen https://t.co/KDAAXwscj7</t>
  </si>
  <si>
    <t>1319415632417460230</t>
  </si>
  <si>
    <t>This Sunday, @realDonaldTrump is hosting a rally at Manchester-Boston Regional Airport!
Let's show President Trump that New Hampshire has his back. Sign up today to reserve your spot.
RSVP here: https://t.co/O3ugjl2iPA
#nhpolitics #NHSen #MAGA2020 https://t.co/55lOPtUN8d</t>
  </si>
  <si>
    <t>1319294311398174722</t>
  </si>
  <si>
    <t>PRESS RELEASE:
Messner Calls on Shaheen to Condemn Senate Judiciary Committee Democrats’ No-Show on SCOTUS Vote&amp;gt;&amp;gt;
#nhpolitics #NHSen https://t.co/5wq4YAsNOk</t>
  </si>
  <si>
    <t>1319244636481851399</t>
  </si>
  <si>
    <t>Will be LIVE on @NewsRadio610 with @APPreston at around 8:20 AM.
LISTEN LIVE!
https://t.co/Rpo2UYNYuE
#nhpolitics #NHSen</t>
  </si>
  <si>
    <t>1319097233900523520</t>
  </si>
  <si>
    <t>Watch DC Jeanne Shaheen avoid the question on who's taxes she wants to raise. Her record is littered with tax increases. The middle class working families will lose under Jeanne Shaheen's lack of leadership.
https://t.co/kx4yYn7W48
#NHSen #NHPolitics #MAGA2020</t>
  </si>
  <si>
    <t>1319043285164322816</t>
  </si>
  <si>
    <t>This is a disgrace. A soldier's life is NOT a "minor cost". Unfortunately, this way of thinking is all too common among career politicians like D.C. Jeanne Shaheen.
Watch her comments: https://t.co/dAe1pSLPEy
#nhpolitics #NHSen #MAGA2020</t>
  </si>
  <si>
    <t>1319013272713089030</t>
  </si>
  <si>
    <t>PRESS RELEASE:
Messner Challenges D.C. @JeanneShaheen to TWO MORE Debates&amp;gt;&amp;gt;
#nhpolitics #NHSen #MAGA2020 https://t.co/lbWDxJj5bh</t>
  </si>
  <si>
    <t>1319005593999429632</t>
  </si>
  <si>
    <t>Despite the October weather, what a fun day in Portsmouth today!
#nhpolitics #NHSen #MAGA2020 https://t.co/iwVlRo9Nxi https://t.co/vUYOQQ4pqu</t>
  </si>
  <si>
    <t>1318970555094036480</t>
  </si>
  <si>
    <t>I signed the Term Limits Pledge because we don't need more career politicians in Washington. I'm a proven businessman &amp;amp; veteran. I'm NOT trying to make a career out of politics.
Learn more about where I stand on the issues: https://t.co/gHHU2EAgCS
#MAGA2020 #nhpolitics #nhsen https://t.co/CFjvE7cvVe</t>
  </si>
  <si>
    <t>1318960441796759553</t>
  </si>
  <si>
    <t>PUMPING UP the crowd ahead of Vice President @MikePence’s visit to the Seacoast today!
New Hampshire: we have less than two weeks to go!
#nhpolitics #NHSen #MAGA2020 https://t.co/ucq3ddmK4g</t>
  </si>
  <si>
    <t>1318940859279286273</t>
  </si>
  <si>
    <t>It's clear DC Jeanne Shaheen will only continue to be a rubber-stamp vote for the radical-left, consistently falling in lockstep with Schumer and Pelosi.
Don't take my word for it - watch for yourself in last night's debate: https://t.co/4ynLLnnMYy
#MAGA2020 #nhpolitics #nhsen</t>
  </si>
  <si>
    <t>1318917436796735489</t>
  </si>
  <si>
    <t>See you in Portsmouth soon, VP!
#nhpolitics #NHSen #MAGA2020 https://t.co/h5QmBhFJ3I</t>
  </si>
  <si>
    <t>1318895647379083264</t>
  </si>
  <si>
    <t>Looking forward to catching up with @MikePompNH on @981WTSN around 9:05 AM. We’ll chat about last night’s debate with D.C. @JeanneShaheen and the busy last two weeks of the campaign!
LISTEN LIVE:
https://t.co/B3sYuRfEV6
#nhpolitics #NHSen #MAGA2020</t>
  </si>
  <si>
    <t>1318723826583244801</t>
  </si>
  <si>
    <t>PRESS RELEASE:
Messner Calls Out Shaheen’s Failures, Flip-Flops, and Loyalty to Party Leadership Rather than Granite Staters in Final Senate Debate&amp;gt;&amp;gt;
#nhpolitics #NHSen #MAGA2020 https://t.co/OXFan99A4x</t>
  </si>
  <si>
    <t>1318711708421160960</t>
  </si>
  <si>
    <t>Senator @JeanneShaheen: 
I have two sons who are serving, and I served myself. Losing even ONE American 🇺🇸 life is NOT a minor cost.
Truly Disgusting:
https://t.co/A2HK2azTfJ
#nhpolitics #NHSen</t>
  </si>
  <si>
    <t>1318703493050470405</t>
  </si>
  <si>
    <t>Jeanne Shaheen is for socialized medicine, she's flip-flopped on support of Bernie Sanders’ Medicare-for-All bill. 
Her record is littered with being on both sides of the issues. The only consistency is her nearly 97% voting record with her party.
#nhpolitics #NHSen</t>
  </si>
  <si>
    <t>1318697622337691650</t>
  </si>
  <si>
    <t>Senator Shaheen can't even answer on whether or not she supports Puerto Rico statehood. 
Typical D.C. politician answer.
#nhpolitics #NHSen</t>
  </si>
  <si>
    <t>1318696585321218050</t>
  </si>
  <si>
    <t>Stellar room of supporters CHEERING ON Corky at the @CorkyForSenate Granite State Debate Watch Party 🎉 @murphystaproom in Manchester!
#nhpolitics #NHSen https://t.co/ztKFfunu8b</t>
  </si>
  <si>
    <t>1318695216526786566</t>
  </si>
  <si>
    <t>"We have much to learn from this pandemic. We need people in the U.S. Senate to get. things. done.” -@CorkyForSenate 
#nhpolitics #NHSen</t>
  </si>
  <si>
    <t>1318694585103679488</t>
  </si>
  <si>
    <t>"There were no COVID cases traced to the @realDonaldTrump event in August" -@AdamSextonWMUR
#nhpolitics #NHSen</t>
  </si>
  <si>
    <t>1318694295432462336</t>
  </si>
  <si>
    <t>Washington politicians always have excuses while things don't get done. 
We targeted smart aid to help Granitie Staters. Jeanne Shaheen needs to lead. Stop with the excuses.
#nhpolitics #NHSen</t>
  </si>
  <si>
    <t>1318692988508319746</t>
  </si>
  <si>
    <t>D.C. Jeanne Shaheen is playing fast-and-loose with the facts in order to hide her record in Washington.
It's unfortunate and desperate.
#nhpolitics #NHSen</t>
  </si>
  <si>
    <t>1318692015312392198</t>
  </si>
  <si>
    <t>Unfortunately, @JeanneShaheen has not been a leader in Washington. She's a rubber stamp for her party. 
Shaheen has voted with her party more than even...Elizabeth Warren! Granite Staters are suffering while she plays politics.
#nhpolitics #NHSen</t>
  </si>
  <si>
    <t>1318691099289047041</t>
  </si>
  <si>
    <t>.@JeanneShaheen cares more about her party leaders than she does about Granite State working families, that's why she has refused getting more help to the people of New Hampshire.
#nhpolitics #NHSen</t>
  </si>
  <si>
    <t>1318690559490478080</t>
  </si>
  <si>
    <t>Jeanne Shaheen has been in politics since working for Jimmy Carter’s 1976 campaign.
First question out - she already LIED about Corky's campaign to hide her record.
#nhpolitics #NHSen</t>
  </si>
  <si>
    <t>1318688220780109824</t>
  </si>
  <si>
    <t>Walk the dog and finish the dishes, just a couple minutes away from Corky's final debate with D.C. Jeanne Shaheen!
#nhpolitics #NHSen #MAGA2020</t>
  </si>
  <si>
    <t>1318685539005059082</t>
  </si>
  <si>
    <t>MOMENTS AGO arriving at the @WMUR9 Granite State Debate.
ENERGY!
#nhpolitics #NHSen #MAGA2020 https://t.co/eHP1cU4Pjq</t>
  </si>
  <si>
    <t>1318676279789498370</t>
  </si>
  <si>
    <t>We have a big crowd outside @WMUR9’s Studio in Manchester to greet Corky. 
Great support from Granite Staters!
#nhpolitics #NHSen #MAGA2020 https://t.co/2sOwWX21n7</t>
  </si>
  <si>
    <t>1318675108211273729</t>
  </si>
  <si>
    <t>There are just TWO WEEKS left until Election Day! Have you made a plan to vote yet? Whether it's returning your absentee ballot or finding your polling place - DON'T DELAY!
Learn how to return your ballot and where to vote: https://t.co/ykYVI25mpD
#MAGA2020 #nhpolitics #nhsen https://t.co/HQEwptYDDe</t>
  </si>
  <si>
    <t>1318658013000048641</t>
  </si>
  <si>
    <t>TONIGHT: Corky debates DC Jeanne Shaheen at 7 P.M.!
If you're in Manchester, we are hosting a watch party for supporters - join us at Murphy's Tap Room as we cheer Corky on to victory!
Stream the debate: https://t.co/hHn3OGcjHY 
#nhpolitics #nhsen #MAGA2020 https://t.co/BZJUaVgLEJ</t>
  </si>
  <si>
    <t>1318288561150439425</t>
  </si>
  <si>
    <t>Want to cheer on Corky in tomorrow's debate with fellow dedicated Team Messner supporters?
Come to Murphy's Taproom in Manchester for the campaign's official Debate Watch Party tomorrow at 6:30 PM!
More details at the link: https://t.co/Y01otiS68g
#NHPolitics #NHSen #MAGA2020 https://t.co/XC74K9Nh8b</t>
  </si>
  <si>
    <t>1318239017348091904</t>
  </si>
  <si>
    <t>Great to be with @TomCottonAR - a fellow veteran &amp;amp; a conservative leader - in Bedford! #nhpolitics #nhsen https://t.co/AIuJDo4sJD</t>
  </si>
  <si>
    <t>1318216083556470797</t>
  </si>
  <si>
    <t>TONIGHT: Join Second Lady @KarenPence and my campaign for an exclusive online fundraiser!
It isn't too late to contribute now and be a part of history. Submit your RSVP at the link before it's too late!
https://t.co/GorO98tH7S
#MAGA2020 #nhsen #nhpolitics</t>
  </si>
  <si>
    <t>1318190170110296066</t>
  </si>
  <si>
    <t>DC @JeanneShaheen &amp;amp; Senate Democrats blocked COVID relief last month. 
This week, they’re likely to do so again.
Granite Staters deserve better than a career politician who puts party before results — especially now. #nhpolitics #nhsen</t>
  </si>
  <si>
    <t>1318180145379803136</t>
  </si>
  <si>
    <t>There are only a couple spots remaining for my luncheon with @TomCottonAR!
It begins in just a matter of HOURS - but there's still time to join us! Will you snag one of the last remaining spots? Chip in now at the link to RSVP!
https://t.co/nZ6u0w6DL7
#NHsen #nhpolitics</t>
  </si>
  <si>
    <t>1318159275529801728</t>
  </si>
  <si>
    <t>DC @JeanneShaheen wants to end the filibuster. She wants to add seats to the U.S. Senate to create a permanent Democrat majority. 
Think she would actually take a stand against court packing? Think again. https://t.co/Z5GVGiAU4R #nhpolitics #nhsen</t>
  </si>
  <si>
    <t>1317921391677636613</t>
  </si>
  <si>
    <t>Have you heard about tomorrow's online fundraiser with Second Lady @KarenPence? 
Contribute at the link to join and hear about all of the exciting updates from my campaign and the Trump-Pence ticket!
https://t.co/GorO98LhZq
#MAGA2020 #nhsen #nhpolitics</t>
  </si>
  <si>
    <t>1317899255944798210</t>
  </si>
  <si>
    <t>TOMORROW: Join @TomCottonAR and Corky for a luncheon at The Grand at Bedford Village Inn.
Spots are going FAST for this exciting opportunity to have lunch with Corky &amp;amp; Sen. Cotton! Don't miss out - be sure to reserve your spot today!
https://t.co/nZ6u0w6DL7
#NHsen #nhpolitics</t>
  </si>
  <si>
    <t>1317563062015135745</t>
  </si>
  <si>
    <t>Thanks to everyone who stopped by our meet &amp;amp; greet at Seacoast Cars &amp;amp; Coffee! Despite all of DC @JeanneShaheen’s false attacks, our momentum is still building! #nhpolitics #nhsen https://t.co/2yNMeQJc06</t>
  </si>
  <si>
    <t>1317495591233085447</t>
  </si>
  <si>
    <t>Join Team Messner for a Debate Watch Party at Murphy's Taproom in Manchester. This coming Tuesday at 6:30 PM come cheer on Corky as he debates DC Jeanne Shaheen.
More details at the link: https://t.co/1xj45fcgZE
#NHPolitics #NHSen #MAGA2020 https://t.co/5GYB1jnKp9</t>
  </si>
  <si>
    <t>1317495588590481408</t>
  </si>
  <si>
    <t>Couldn't have said it better myself, @JeanneShaheen.
We need an outsider to shake things up. Career politicians have failed Granite Staters for too long. And that's why I'm running for the U.S. Senate!
Learn more about my campaign: https://t.co/gHHU2EAgCS
#NHPolitics #NHSen https://t.co/x2B8GwiwoE</t>
  </si>
  <si>
    <t>1317474910361559040</t>
  </si>
  <si>
    <t>It’s not too late to RSVP! Join us at Seacoast Cars &amp;amp; Coffee TODAY at 1:30 pm. Get your free tickets here. https://t.co/cfi7ea9EfP #nhpolitics #nhsen</t>
  </si>
  <si>
    <t>1317450295505383424</t>
  </si>
  <si>
    <t>Only a few spots remaining!
Join me and Senator @TomCottonAR this Monday at Noon for a Luncheon in Bedford.
Reserve your seat here: https://t.co/nZ6u0vP2mx
#NHSen #NHPolitics #MAGA2020</t>
  </si>
  <si>
    <t>1317196686591250432</t>
  </si>
  <si>
    <t>You helped Chuck Schumer block $500 billion in relief just last month. Where’s the leadership? #nhpolitics #nhsen https://t.co/zJaeGVGr86</t>
  </si>
  <si>
    <t>1317191799874686976</t>
  </si>
  <si>
    <t>This is going to be a great event on the road to victory in November. Hope to see you there! #nhpolitics #nhsen https://t.co/Hpntk8mvwO</t>
  </si>
  <si>
    <t>1317187534724661254</t>
  </si>
  <si>
    <t>TOMORROW: Join Corky's meet &amp;amp; greet at Seacoast Cars &amp;amp; Coffee in Newington! Don't miss this chance to catch up with Corky from 1:30 PM - 3:30 PM. Attendance is FREE but RSVP is required, sign up at the link! 🚗☕
https://t.co/cfi7ea9EfP   
#MAGA2020 #nhpolitics #nhsen</t>
  </si>
  <si>
    <t>1317152575859412992</t>
  </si>
  <si>
    <t>30 years ago, @JeanneShaheen said we need new leaders who keep taxes low, cut wasteful spending, and know how to create jobs.
Senator, I couldn’t agree more. #nhpolitics #nhsen https://t.co/nBm4UrS9nl</t>
  </si>
  <si>
    <t>1317135966415417345</t>
  </si>
  <si>
    <t>Both Republicans &amp;amp; Democrats — including @JeanneShaheen — have flip-flopped on confirming a Supreme Court nominee. It’s exactly what people don’t like about DC.
To me, it’s simple. Elections have consequences, and the Senate should confirm Judge Barrett. #nhpolitics #nhsen https://t.co/1otEhn0kxv</t>
  </si>
  <si>
    <t>1317119860476768257</t>
  </si>
  <si>
    <t>This week, Judge Amy Coney Barrett proved that she is a brilliant legal mind &amp;amp; and a well-qualified nominee to the Supreme Court.
The Senate should confirm her. #nhpolitics #nhsen https://t.co/fDKJpYbvia</t>
  </si>
  <si>
    <t>1317104006443929600</t>
  </si>
  <si>
    <t>.@JeanneShaheen has been in politics for 30 years &amp;amp; in the Senate for the last 12. She’s put her party’s leadership before the Granite State’s people time after time.
It’s time for a change. It’s time for an outsider who knows how to get things done. #nhpolitics #nhsen https://t.co/GHBDN75rbk</t>
  </si>
  <si>
    <t>1317086893075353602</t>
  </si>
  <si>
    <t>We had our second debate yesterday with DC @JeanneShaheen.
There’s a clear contrast in this race. DC Shaheen is a failed career politician. I’m an outsider who knows how to get things done.  
Watch the full debate here. 
https://t.co/ACRI2eY5lQ #nhpolitics #nhsen</t>
  </si>
  <si>
    <t>1317071195020341250</t>
  </si>
  <si>
    <t>South Dakota Governor @KristiNoem has a message for all Granite Staters: Corky needs your help to get across the finish line and DEFEAT DC Jeanne Shaheen. Chip in $20 to help him FLIP this seat!
https://t.co/6K6oMmRBep
#MAGA2020 #nhpolitics #nhsen https://t.co/86QSyahmj3</t>
  </si>
  <si>
    <t>1316822964910854144</t>
  </si>
  <si>
    <t>Seats are STILL available but they are going fast.
Don't wait, reserve your spot to join me and Senator Tom Cotton on Monday, October 19th for a Luncheon in Bedford.
RSVP here: https://t.co/nZ6u0w6DL7 
#NHSen #NHPolitics #MAGA2020 https://t.co/BhMAwovvE8</t>
  </si>
  <si>
    <t>1316787944859070472</t>
  </si>
  <si>
    <t>#TBT: Here's @JeanneShaheen in 1990 talking about cutting taxes, lowering budgets, and creating jobs. 
I couldn't agree more — but she has failed on every one of these issues. 
19 days. #nhpolitics #nhsen https://t.co/2ZV4udNcYG</t>
  </si>
  <si>
    <t>1316744689618489344</t>
  </si>
  <si>
    <t>You vote with your party more than Elizabeth Warren. Give us all a break. #nhpolitics #nhsen https://t.co/mg9KxzbLUP</t>
  </si>
  <si>
    <t>1316738874312396800</t>
  </si>
  <si>
    <t>DC @JeanneShaheen always has an excuse for doing exactly what her party wants. 
She's been in politics for 30 years. If she was going to break ranks from her party &amp;amp; put Granite Staters first, wouldn't she have done so already? #nhpolitics #nhsen</t>
  </si>
  <si>
    <t>1316738321138233345</t>
  </si>
  <si>
    <t>Senator Tim Scott put forward the JUSTICE Act in the U.S. Senate. 
DC @JeanneShaheen said no to even debating it. 
Once again — she had an opportunity to lead &amp;amp; she failed. #nhpolitics #nhsen</t>
  </si>
  <si>
    <t>1316738055387197440</t>
  </si>
  <si>
    <t>Corky will ALWAYS support law enforcement and #BackTheBlue. 
That's why groups like the New England Police Benevolent Association have endorsed him. #nhpolitics #nhsen</t>
  </si>
  <si>
    <t>1316733367967191040</t>
  </si>
  <si>
    <t>FACT: DC @JeanneShaheen supports socialized medicine, which would wipe out private insurance &amp;amp; put government in charge of healthcare, raise costs, and worsen the quality of care. #nhpolitics #nhsen</t>
  </si>
  <si>
    <t>1316733221841887232</t>
  </si>
  <si>
    <t>DC @JeanneShaheen’s years in politics: 30.
Her accomplishments to provide Granite Staters with affordable &amp;amp; high-quality health care: 0
We can’t afford to reward her with six more years. #nhpolitics #nhsen https://t.co/HFoCCf8UCz</t>
  </si>
  <si>
    <t>1316733049539907584</t>
  </si>
  <si>
    <t>FACT: Corky has always &amp;amp; will always support covering those with pre-existing conditions.
DC @JeanneShaheen &amp;amp; her allies are lobbing false attacks to avoid talking about her failures. #nhpolitics #nhsen</t>
  </si>
  <si>
    <t>1316732164449460226</t>
  </si>
  <si>
    <t>The U.S. Senate had an opportunity to pass a $500 billion relief bill last month. 
@JeanneShaheen said no to EVEN HAVING A DEBATE on it. #nhpolitics #nhsen</t>
  </si>
  <si>
    <t>1316731823704215553</t>
  </si>
  <si>
    <t>DC @JeanneShaheen wants to repeal the Tax Cuts &amp;amp; Jobs Act. 
That would raise taxes on Granite Staters. It's as simple as that. #nhpolitics #nhsen</t>
  </si>
  <si>
    <t>1316731481495089153</t>
  </si>
  <si>
    <t>.@JeanneShaheen blocked COVID relief in the Senate last month. 
And just now she called for more delays in relief. Why? She's holding out for the Democrats' spending wish list. #nhpolitics #nhsen</t>
  </si>
  <si>
    <t>1316730638712569857</t>
  </si>
  <si>
    <t>You blocked additional COVID relief just last month. 
You had a chance to lead. You had a chance to put Granite Staters first. 
Instead, you put your party first — just as you have on every issue since you got to the Senate. #nhpolitics #nhsen https://t.co/MmFNpOUScs</t>
  </si>
  <si>
    <t>1316729622734798853</t>
  </si>
  <si>
    <t>.@realDonaldTrump &amp;amp; @ChrisSununu have done a great job leading our state and country through this pandemic.
Meanwhile, DC @JeanneShaheen has toed the party line &amp;amp; is blocking relief. #nhpolitics #nhsen</t>
  </si>
  <si>
    <t>1316728139691819008</t>
  </si>
  <si>
    <t>History tells us that DC @JeanneShaheen will go along with whatever Washington Democrats want. #nhpolitics #nhsen</t>
  </si>
  <si>
    <t>1316727604901302273</t>
  </si>
  <si>
    <t>Judge Amy Coney Barrett has proven this week that she is well-qualified and a brilliant legal mind. #nhpolitics #nhsen</t>
  </si>
  <si>
    <t>1316727431030603782</t>
  </si>
  <si>
    <t>DC @JeanneShaheen is trying to rewrite the definition of court packing. 
She wants to end the filibuster. 
She refuses to call out the Biden-Harris ticket for saying Granite Staters don't deserve to know where they stand on court packing. #nhpolitics #nhsen</t>
  </si>
  <si>
    <t>1316726846776659969</t>
  </si>
  <si>
    <t>DC @JeanneShaheen had no problem filling a Supreme Court vacancy in 2016. 
What changed? #nhpolitics #nhsen</t>
  </si>
  <si>
    <t>1316726195921264646</t>
  </si>
  <si>
    <t>DC @JeanneShaheen has been in politics for 30 years. She's loyal to her party, not the people. It's time for a change. #nhpolitics #nhsen</t>
  </si>
  <si>
    <t>1316725014935240704</t>
  </si>
  <si>
    <t>TUNE IN: Our second debate with DC @JeanneShaheen starts at 9 am.
Watch here: https://t.co/T29l4LOQsW
Follow along here for real-time updates. #nhpolitics #nhsen</t>
  </si>
  <si>
    <t>1316713898154905600</t>
  </si>
  <si>
    <t>Thank you to all of our supporters who are out this morning for our second debate with DC @JeanneShaheen! We’re ready for another debate win! #nhpolitics #nhsen https://t.co/N4JIyk6hao</t>
  </si>
  <si>
    <t>1316507324161437699</t>
  </si>
  <si>
    <t>Second Lady @KarenPence will be joining Corky and the Messner campaign for an online discussion Monday, October 19th from 6:30 PM - 7:30 PM!
Zoom details will be provided after RSVP. Reserve your spot today!
https://t.co/GorO98tH7S
#MAGA2020 #nhpolitics #nhsen https://t.co/SBtFVaqmgO</t>
  </si>
  <si>
    <t>1316491469654495239</t>
  </si>
  <si>
    <t>20 DAYS are all that remain in this crucial fight for our state, and country's, future. Can you chip in $20.20 right now to help secure victory and send DC Jeanne Shaheen packing? Every dollar counts towards victory!
https://t.co/c3lQrMpLwF
#MAGA2020 #nhsen #nhpolitics https://t.co/2LMgqTKdQ6</t>
  </si>
  <si>
    <t>1316476370055118850</t>
  </si>
  <si>
    <t>SATURDAY: Join Corky's meet &amp;amp; greet at Seacoast Cars &amp;amp; Coffee! You don't want to miss this chance to catch up with Corky from 1:30 PM - 3:30 PM. Attendance is free but RSVP is required, sign up at the link! 🚗☕
https://t.co/cfi7earf7n
#MAGA2020 #nhpolitics #nhsen https://t.co/Ub0t0oyu23</t>
  </si>
  <si>
    <t>1316446274443509765</t>
  </si>
  <si>
    <t>Our SECOND debate with DC @JeanneShaheen is tomorrow morning at 9 am!
In the last debate, the choice for Granite Staters was as clear as it gets.
ICYMI — watch it here. https://t.co/jeXzCTQKl1 #nhpolitics #nhsen</t>
  </si>
  <si>
    <t>1316428780962041857</t>
  </si>
  <si>
    <t>On issue after issue, @JeanneShaheen has put her political party before Granite Staters.
This is what we’re hearing across the entire state. Granite Staters want an independent voice &amp;amp; an outsider who can get things done. https://t.co/NwORkTE1SC #nhpolitics #nhsen</t>
  </si>
  <si>
    <t>1316397097873100800</t>
  </si>
  <si>
    <t>Here in the Granite State &amp;amp; across the country, the people agree — Judge Amy Coney Barrett should be confirmed to the U.S. Supreme Court! https://t.co/GMGPGPRQun #nhpolitics #nhsen</t>
  </si>
  <si>
    <t>1316381243403984897</t>
  </si>
  <si>
    <t>I hope you’ll join us THIS SATURDAY for a meet &amp;amp; greet at Seacoast Cars &amp;amp; Coffee!
RSVP here &amp;amp; bring 10 of your friends! https://t.co/cfi7earf7n #nhpolitics #nhsen</t>
  </si>
  <si>
    <t>1316364382721306624</t>
  </si>
  <si>
    <t>I have ALWAYS supported covering those with pre-existing conditions.
@JeanneShaheen &amp;amp; her allies are distorting the truth to hide their own failures &amp;amp; to avoid talking about her support for socialized medicine.
It’s as simple as that. #nhpolitics #nhsen</t>
  </si>
  <si>
    <t>1316183188511825921</t>
  </si>
  <si>
    <t>In our last debate, there was a clear contrast.
I’m focused on results for Granite Staters.
DC @JeanneShaheen is focused on the same talking points we’ve heard for years. https://t.co/C3VCnnLcwo #nhpolitics #nhsen</t>
  </si>
  <si>
    <t>1316167837401010176</t>
  </si>
  <si>
    <t>“Corky Messner is a reassuring voice in these days of divisiveness and turmoil. He has a plan to strengthen America and return our sense of unity and of purpose.”
https://t.co/GmWItJK6K4 #nhpolitics #nhsen</t>
  </si>
  <si>
    <t>1316151732406288385</t>
  </si>
  <si>
    <t>It’s not about politics — it’s about putting Granite Staters FIRST. 
I’ll work with @realDonaldTrump, @ChrisSununu, and members of both parties to restore the American Dream. 
Join us: https://t.co/gHHU2EiFLk https://t.co/9nqkXCRoNN</t>
  </si>
  <si>
    <t>1316137386976448512</t>
  </si>
  <si>
    <t>DC @JeanneShaheen is trying to rewrite the definition of “court packing” to fit her talking points.
It’s the exact kind of spin that Granite Staters have had enough of. And history shows she will always follow her party’s lead. https://t.co/aFToFz28yZ #nhpolitics #nhsen</t>
  </si>
  <si>
    <t>1316122494726811651</t>
  </si>
  <si>
    <t>.@JeanneShaheen is the reason for the lack of insurance choices in New Hampshire.
She promised to lower health care costs — yet they keep rising.
And she supports ending private care altogether &amp;amp; replacing it with socialized medicine.
Full statement. #nhpolitics #nhsen https://t.co/SP8v1CbaqQ</t>
  </si>
  <si>
    <t>1316122493820768264</t>
  </si>
  <si>
    <t>That’s always been my position, yet time and time again, @JeanneShaheen mischaracterizes that position for political gain. All to hide her own abysmal record.
Enough. #nhpolitics #nhsen</t>
  </si>
  <si>
    <t>1316122493015470080</t>
  </si>
  <si>
    <t>Let me be very clear: I oppose &amp;amp; will oppose any &amp;amp; all efforts to deny health care to an individual based on pre-existing conditions. #nhpolitics #nhsen</t>
  </si>
  <si>
    <t>1316104413610680320</t>
  </si>
  <si>
    <t>.@JeanneShaheen supports putting the government completely in charge of YOUR healthcare. She supports socialized medicine, which would:
-Raise premiums.
-Lower the quality of care.
-Reduce access to care.
She ALWAYS puts government — not Granite Staters — first. #nhpolitics</t>
  </si>
  <si>
    <t>1316081120690286592</t>
  </si>
  <si>
    <t>When DC @JeanneShaheen says she opposes court packing, she can’t be trusted.
She has a long history of saying one thing in New Hampshire, but then falling in line in DC. https://t.co/vbRsocnQjz #nhpolitics #nhsen</t>
  </si>
  <si>
    <t>1316019425183592451</t>
  </si>
  <si>
    <t>Granite Staters deserve better than this. They deserve an outsider who focuses on results — not doing whatever party leadership wants. #nhpolitics #nhsen https://t.co/UW7bxDWHUu</t>
  </si>
  <si>
    <t>1316019423849803778</t>
  </si>
  <si>
    <t>In 2016, DC @JeanneShaheen said confirming a Supreme Court nominee was filling a vacancy.
In 2020, she’s joined her party in trying to call filling a vacancy “court packing.”
It’s silly. #nhpolitics #nhsen</t>
  </si>
  <si>
    <t>1316019421249376257</t>
  </si>
  <si>
    <t>In New Hampshire, DC @JeanneShaheen says she’s a bipartisan champion who works across the aisle.
In DC, she votes with Democrats 93 percent of the time — more than Elizabeth Warren. #nhpolitics #nhsen</t>
  </si>
  <si>
    <t>1316019418673999878</t>
  </si>
  <si>
    <t>In New Hampshire, DC @JeanneShaheen says she’s a champion of small businesses.
In DC, she votes so far to the left she has a ZERO PERCENT rating from the NFIB. #nhpolitics #nhsen</t>
  </si>
  <si>
    <t>1316019417113714691</t>
  </si>
  <si>
    <t>DC @JeanneShaheen has a long history of flip-flopping on the issues most important to Granite Staters.
In 2016, she said a Supreme Court vacancy should be filled.
In 2020, she says it shouldn’t be. #nhpolitics #nhsen</t>
  </si>
  <si>
    <t>1316005203808747520</t>
  </si>
  <si>
    <t>Looking forward to it. Hope you’ll tune in if you can! #nhpolitics #nhsen https://t.co/hKhex7AaPs</t>
  </si>
  <si>
    <t>1315993964152074240</t>
  </si>
  <si>
    <t>There are only 21 DAYS left in this election &amp;amp; the Democrats are pouring in MILLIONS to prop up DC @JeanneShaheen &amp;amp; tear me down. 
Will you chip in NOW to fuel our campaign and DEFEAT DC Shaheen?
https://t.co/TioFNKDfi9
#MAGA2020 #nhpolitics #nhsen https://t.co/ADP1QWxEYQ</t>
  </si>
  <si>
    <t>1315763674133471234</t>
  </si>
  <si>
    <t>While DC @JeanneShaheen has played partisan politics &amp;amp; blocked additional relief, @realDonaldTrump &amp;amp; @ChrisSununu have both done a good job leading us through this pandemic. #nhpolitics #nhsen https://t.co/HG23W6Geg0</t>
  </si>
  <si>
    <t>1315748753744297989</t>
  </si>
  <si>
    <t>.@JeanneShaheen has a ZERO PERCENT rating with the @NFIB. She’s totally forgotten about Granite State workers &amp;amp; small businesses.
I’ll always put our jobs &amp;amp; small businesses first. #nhpolitics #nhsen https://t.co/tN9e3HC07U</t>
  </si>
  <si>
    <t>1315720227997519874</t>
  </si>
  <si>
    <t>DC @JeanneShaheen says she opposes court packing, but she wants to end the filibuster &amp;amp; refuses to condemn @JoeBiden’s refusal to answer the question on court packing.
She’s trying to have it both ways. https://t.co/1knxZ4kSPB #nhsen #nhpolitics</t>
  </si>
  <si>
    <t>1315691196392505349</t>
  </si>
  <si>
    <t>My USA Plan will unleash the power of economic freedom &amp;amp; strengthen our nation's security. We need fresh ideas &amp;amp; policies from political outsiders, not more of the same from career politicians like DC @JeanneShaheen.
https://t.co/jRXm43GZFq
#MAGA2020 #nhpolitics #nhsen https://t.co/bnkbo95w9L</t>
  </si>
  <si>
    <t>1315679846023024640</t>
  </si>
  <si>
    <t>Every single Democrat in Judge Barrett’s confirmation hearing is saying the Senate should be focused on COVID relief.
Every one of these Democrats is not mentioning how they blocked relief just last month. #nhpolitics #nhsen</t>
  </si>
  <si>
    <t>1315666391027118083</t>
  </si>
  <si>
    <t>As usual — DC @JeanneShaheen is falling right in line with Schumer’s talking points, claiming filling judicial vacancies is “court packing,” but expanding the Supreme Court isn't. 
More typical behavior from a failed career politician. https://t.co/dZLcFa7kWI #nhpolitics #nhsen</t>
  </si>
  <si>
    <t>1315645458400894978</t>
  </si>
  <si>
    <t>Judge Barrett’s confirmation hearing begins today.
DC @JeanneShaheen is already fighting to block her at every turn.
The future of the Supreme Court is on the ballot. Chip in now to help us FLIP this seat &amp;amp; defend the Court!
#nhpolitics #nhsen
https://t.co/ANW6pOn27a https://t.co/0f1wDMk16s</t>
  </si>
  <si>
    <t>1315426959837536257</t>
  </si>
  <si>
    <t>“Messner is a reassuring voice in these days of divisiveness and turmoil. He has a plan to strengthen America and return our sense of unity and purpose.” https://t.co/nkvlC1Cz93 #nhpolitics #nhsen</t>
  </si>
  <si>
    <t>1315366561150976000</t>
  </si>
  <si>
    <t>.@JoeBiden doesn’t think Granite Staters “deserve” to know where he stands on court packing.
Does @JeanneShaheen agree?
https://t.co/CEIgqQ3YFS #nhpolitics #nhsen</t>
  </si>
  <si>
    <t>1315347730466852865</t>
  </si>
  <si>
    <t>.@JeanneShaheen has forgotten working families. She voted against tax cuts and supports job-killing tax hikes.
Unlike DC Shaheen, I will always fight for lower taxes &amp;amp; to protect Granite State jobs. #MAGA2020 #nhsen #nhpolitics https://t.co/0nNePZcH1E</t>
  </si>
  <si>
    <t>1315028845565800453</t>
  </si>
  <si>
    <t>Great to be with @ChrisSununu &amp;amp; the Greenland Republican Committee! #nhpolitics #nhsen https://t.co/5QRyqKUj6q</t>
  </si>
  <si>
    <t>1314979713916510208</t>
  </si>
  <si>
    <t>Proud to have Rockingham County Sheriff Chuck Massahos’ endorsement. I’ll always stand with law enforcement and #BackTheBlue! #nhpolitics #nhsen https://t.co/k82wxZgVh1</t>
  </si>
  <si>
    <t>1314974721667207170</t>
  </si>
  <si>
    <t>Thanks to everyone who came out to wave and distribute signs this morning in Hooksett! #nhpolitics #nhsen https://t.co/snsaBfZGW6</t>
  </si>
  <si>
    <t>1314943772485128193</t>
  </si>
  <si>
    <t>Our national debt is a huge problem — and @JeanneShaheen has made it worse.
Since she’s been in the U.S. Senate, $50,000 in debt has been added to every child in New Hampshire.
She talked about cutting the debt. Instead, she’s doubled it. #nhpolitics #nhsen https://t.co/ISy3klVjDk</t>
  </si>
  <si>
    <t>1314928680745996288</t>
  </si>
  <si>
    <t>The U.S. Senate could have passed a $500 billion bridge bill to bring relief to New Hampshire small businesses and communities.
@JeanneShaheen said no. She put her party before the Granite State. #nhpolitics #nhsen https://t.co/wVgHNRuW95</t>
  </si>
  <si>
    <t>1314913577745018880</t>
  </si>
  <si>
    <t>Join @TomCottonAR and Corky on October 19th in Bedford!
Senator Cotton and Corky are hosting a luncheon to discuss Corky's race against Jeanne Shaheen, the Supreme Court, and more. Seats are limited.
RSVP here: https://t.co/nZ6u0vP2mx
#nhpolitics #nhsen #MAGA2020 https://t.co/FnlfE6EgvT</t>
  </si>
  <si>
    <t>1314657460058292224</t>
  </si>
  <si>
    <t>More typical behavior from a typical career politician. DC @JeanneShaheen refuses to condemn her own party on this issue while spreading dishonest talking points. 
Granite Staters have had enough of this. #nhpolitics #nhsen</t>
  </si>
  <si>
    <t>1314657458107961344</t>
  </si>
  <si>
    <t>What's missing?
1.) Calling on @JoeBiden &amp;amp; @KamalaHarris to tell the American people where they stand.
2.) Condemning Schumer, AOC, and others for supporting court packing.
2.) Honesty. Filling judicial vacancies is not the same as packing the Supreme Court. #nhpolitics https://t.co/x9uggMUxOe</t>
  </si>
  <si>
    <t>1314631483001384965</t>
  </si>
  <si>
    <t>And DC @JeanneShaheen has never met a tax increase she didn’t like. She supported higher taxes as governor &amp;amp; senator.
I’ll never vote for a tax increase. On issue after issue, the contrast couldn’t be clearer. #nhpolitics #nhsen</t>
  </si>
  <si>
    <t>1314631480627339266</t>
  </si>
  <si>
    <t>DC @JeanneShaheen wants socialized medicine. She cosponsored Bernie Sanders’ Medicare for All bill that would put government totally in charge of your healthcare. #nhpolitics #nhsen</t>
  </si>
  <si>
    <t>1314631478232391681</t>
  </si>
  <si>
    <t>In New Hampshire, DC @JeanneShaheen says she supports law enforcement.
But she refuses to call out her own party for embracing defunding the police &amp;amp; enabling violent riots. #nhpolitics #nhsen</t>
  </si>
  <si>
    <t>1314631475518726144</t>
  </si>
  <si>
    <t>DC @JeanneShaheen wants to end the Electoral College.
She wants to end the filibuster.
She refuses to say where she stands on PACKING the Supreme Court. #nhpolitics #nhsen</t>
  </si>
  <si>
    <t>1314631474595999746</t>
  </si>
  <si>
    <t>In New Hampshire, DC @JeanneShaheen says she’s a moderate who works across party lines.
In DC, she votes with Democrats more than Elizabeth Warren &amp;amp; embraces radical positions. #nhpolitics #nhsen</t>
  </si>
  <si>
    <t>1314610163660226567</t>
  </si>
  <si>
    <t>#FlashbackFriday — DC @JeanneShaheen wants to end the Electoral College. It would completely silence states like New Hampshire from having a voice in presidential elections.
Just one more radical position from DC Shaheen. https://t.co/LUY9n2s2fq #nhpolitics #nhsen</t>
  </si>
  <si>
    <t>1314588181556232192</t>
  </si>
  <si>
    <t>Team Corky here. Corky CRUSHED it in yesterday’s debate!
ICYMI — watch the debate here: https://t.co/NGfUFuGRVw?
Then chip in to help us keep it up: https://t.co/oO1AHtbyP4 #nhpolitics #nhsen</t>
  </si>
  <si>
    <t>1314296269909753856</t>
  </si>
  <si>
    <t>It's time to send a political outsider who knows how to get things done for the Granite State to the U.S. Senate.
Stand with Corky.
https://t.co/qfjxnFkEN3 #nhsen #nhpolitics</t>
  </si>
  <si>
    <t>1314295355480199169</t>
  </si>
  <si>
    <t>Judge Barrett is a well-qualified jurist and brilliant legal mind.
Corky agrees with DC @JeanneShaheen's brave &amp;amp; bipartisan stance from 2016. The Senate should move swiftly to confirm her.
It's too bad DC Shaheen has flip-flopped because of politics. #nhsen #nhpolitics</t>
  </si>
  <si>
    <t>1314293544073531394</t>
  </si>
  <si>
    <t>Corky is a veteran. He has two sons who are veterans. He will ALWAYS support our veterans &amp;amp; keep the promise to give them the care they deserve. #nhpolitics #nhsen</t>
  </si>
  <si>
    <t>1314291204578775046</t>
  </si>
  <si>
    <t>In 2018, @JeanneShaheen signed onto Bernie Sanders' Medicare for All Act. 
In other words, DC Shaheen has gone so far left she supports socialized medicine. https://t.co/P0ghp9cqhf #TBT #nhpolitics #nhsen</t>
  </si>
  <si>
    <t>1314289846475788290</t>
  </si>
  <si>
    <t>I oppose tax increases on Granite State families.
@JeanneShaheen supported tax hikes as governor and as senator.
It's a simple — but critical — contrast. #nhpolitics #nhsen</t>
  </si>
  <si>
    <t>1314288864354340864</t>
  </si>
  <si>
    <t>.@JeanneShaheen doubled annual state spending as governor.
In the Senate, she's voted for big spending budgets time &amp;amp; time again. The debt has more than doubled on her watch.
And her only solution is to raise your taxes. #nhpolitics #nhsen</t>
  </si>
  <si>
    <t>1314288186991013889</t>
  </si>
  <si>
    <t>Debt and deficits are a huge problem because of career politicians like @JeanneShaheen. Since she's been in the Senate, the national debt has more than doubled. #nhpolitics #nhsen</t>
  </si>
  <si>
    <t>1314287226004680713</t>
  </si>
  <si>
    <t>In New Hampshire, @JeanneShaheen talks like a moderate who works across party lines.
In DC, she votes with Democrats more than Elizabeth Warren.
It speaks for itself. #nhpolitics #nhsen</t>
  </si>
  <si>
    <t>1314285736758333443</t>
  </si>
  <si>
    <t>.@JeanneShaheen can spin all she wants, the fact remains that she put partisan politics before a $500 billion relief bill last month. That's not leadership. It's typical career politician behavior. #nhpolitics #nhsen</t>
  </si>
  <si>
    <t>1314284478672629762</t>
  </si>
  <si>
    <t>.@JeanneShaheen says she's in favor of another COVID relief package... but she stood with Democrats to BLOCK one just last month! #nhpolitics #nhsen</t>
  </si>
  <si>
    <t>1314283680475549697</t>
  </si>
  <si>
    <t>FACT: DC @JeanneShaheen has voted with Democrats more than Elizabeth Warren. https://t.co/qVUqJwK8uc #nhpolitics #nhsen</t>
  </si>
  <si>
    <t>1314282962477813766</t>
  </si>
  <si>
    <t>FACT: DC @JeanneShaheen blocked COVID relief for the Granite State just last month. She put party before people. #nhpolitics #nhsen</t>
  </si>
  <si>
    <t>1314278387104571392</t>
  </si>
  <si>
    <t>Team Corky here. We’ll be taking over his account for today’s #NHSen debate.
Follow along for fact-checks and rapid response! #nhpolitics</t>
  </si>
  <si>
    <t>1314277397487931393</t>
  </si>
  <si>
    <t>Our supporters are fired up for our first debate with DC @JeanneShaheen today! Thanks to everyone for coming out! #nhpolitics #nhsen https://t.co/tse24ToMWw</t>
  </si>
  <si>
    <t>1314264294385692672</t>
  </si>
  <si>
    <t>The debate is ONE HOUR away!
Ahead of then, get the truth — not the spin — about DC @JeanneShaheen’s record. https://t.co/fmPz4NntKW #nhpolitics #nhsen</t>
  </si>
  <si>
    <t>1314258757795278849</t>
  </si>
  <si>
    <t>DC @JeanneShaheen has REFUSED to strongly support law enforcement. She’s refused to condemn the violent mobs tearing cities apart.
Unlike DC Jeanne, I will never put politics before those keeping our communities safe. #nhpolitics #nhsen</t>
  </si>
  <si>
    <t>1314252969567637504</t>
  </si>
  <si>
    <t>.@ChrisSununu is a leader who puts results for Granite Staters — not political games — first. And I’m ready to work with him next year for the people of New Hampshire. #nhpolitics #nhsen https://t.co/4Rnj2PhZCj</t>
  </si>
  <si>
    <t>1314244161583841283</t>
  </si>
  <si>
    <t>“As we face this pandemic and the economic challenges that follow, we need someone like Corky Messner in the U.S. Senate, someone who understands what must be done to get our nation back on track.”
https://t.co/gNCiAk9n3e #nhpolitics #nhsen</t>
  </si>
  <si>
    <t>1314234102002974720</t>
  </si>
  <si>
    <t>Our FIRST debate is THREE HOURS away.
Ahead of then, I want to show DC @JeanneShaheen &amp;amp; the Swamp that our momentum is real.
Chip in now. https://t.co/zCLxdH9jqx #nhpolitics #nhsen</t>
  </si>
  <si>
    <t>1314211697779900419</t>
  </si>
  <si>
    <t>I couldn’t be prouder to have @TomCottonAR’s endorsement. He’s a fellow veteran &amp;amp; a champion for common sense in Washington.
I’m looking forward to working with him next year to deliver real results for the American people. https://t.co/LrAw0UzNin #nhsen #nhpolitics</t>
  </si>
  <si>
    <t>1314196856935776257</t>
  </si>
  <si>
    <t>🚨 ALERT 🚨 Our FIRST debate with DC @JeanneShaheen is at 3 pm! 
It’s time to hold her accountable. Submit your questions BEFORE 10 am: https://t.co/hRGuPRail9
Then watch here at 3 pm: https://t.co/t89eBj2iee #nhpolitics #nhsen</t>
  </si>
  <si>
    <t>1313977406818902017</t>
  </si>
  <si>
    <t>In New Hampshire, @JeanneShaheen says she’s a bipartisan &amp;amp; independent leader.
In DC, she votes with Democrats more than Elizabeth Warren.
DC Jeanne is a typical career politician. #nhpolitics #nhsen</t>
  </si>
  <si>
    <t>1313917012284854272</t>
  </si>
  <si>
    <t>Folks — DC @JeanneShaheen has been in elected office for 20+ years.
She’s had opportunity after opportunity to be the independent voice Granite Staters deserve.
But she’s ALWAYS put party first. It ends on November 3rd. #nhpolitics #nhsen</t>
  </si>
  <si>
    <t>1313901907941892096</t>
  </si>
  <si>
    <t>Our first debate with DC @JeanneShaheen is TOMORROW at 3 pm! This is a huge moment for our campaign — and we need your help to carry momentum into the debate &amp;amp; beyond.
Chip in to our Rapid Response Fund BEFORE the debate now! 
https://t.co/sHqLqwHy6M
#nhpolitics #nhsen https://t.co/sC0Tsm1Q0u</t>
  </si>
  <si>
    <t>1313886810003521536</t>
  </si>
  <si>
    <t>Vice President @mike_pence takes the debate stage tonight!
Ahead of then, I want to show him that Granite Staters have his back.
SIGN your name here: https://t.co/1dqJ53LKyj #nhpolitics #nhsen #MAGA2020 https://t.co/xQfUIVWFxN</t>
  </si>
  <si>
    <t>1313856612239437826</t>
  </si>
  <si>
    <t>.@JeanneShaheen is depending on political stunts &amp;amp; talking points to hide her total failure to support law enforcement.
Granite Staters — don’t fall for it. https://t.co/fTfOVF0irH #nhpolitics #nhsen</t>
  </si>
  <si>
    <t>1313842922748604418</t>
  </si>
  <si>
    <t>Hope you’ll join us at Seacoast Cars &amp;amp; Coffee on October 17th!
RSVP here: https://t.co/cfi7ea9EfP #nhpolitics #nhsen</t>
  </si>
  <si>
    <t>1313645215253630976</t>
  </si>
  <si>
    <t>More than ever before, we need leaders who will stand with our law enforcement and #BackTheBlue — not career politicians who won’t stand up to their party’s base.
But that’s exactly what DC @JeanneShaheen is doing. #nhpolitics #nhsen https://t.co/ssL3Vnlh0t</t>
  </si>
  <si>
    <t>1313631374067154944</t>
  </si>
  <si>
    <t>Want to help us FLIP this seat &amp;amp; retire DC @JeanneShaheen? Join our Manchester Phone Bank from 6-8 pm TOMORROW night! @NHGOP #nhpolitics #nhsen https://t.co/BEPPwjttDH</t>
  </si>
  <si>
    <t>1313612499208429569</t>
  </si>
  <si>
    <t>There’s a reason law enforcement groups like the New England Police Benevolent Association stand with me &amp;amp; not DC @JeanneShaheen.
They know that I #BackTheBlue! #nhpolitics #nhsen https://t.co/BaWSjfcu14</t>
  </si>
  <si>
    <t>1313582300471398401</t>
  </si>
  <si>
    <t>Time after time, DC @JeanneShaheen has put political self-interest before what’s best for Granite Staters.
She refuses to call out the defund the police movement.
She refuses to hold her party accountable for enabling violent mobs in cities across America.  #nhpolitics #nhsen</t>
  </si>
  <si>
    <t>1313539637550481408</t>
  </si>
  <si>
    <t>Our FIRST debate is Thursday at 3 pm!
Granite Staters — it’s time to hold DC @JeanneShaheen accountable. Submit your questions ahead of the debate! 
https://t.co/hRGuPRail9 #nhpolitics #nhsen https://t.co/D88QU7rN9z</t>
  </si>
  <si>
    <t>1313489186763153409</t>
  </si>
  <si>
    <t>I couldn’t be prouder to have the full support of the New England Police Benevolent Association.
I will ALWAYS stand with our law enforcement officers who are keeping Granite Staters safe.
https://t.co/wFu0bh4V0S #nhpolitics #nhsen</t>
  </si>
  <si>
    <t>1313463176206471172</t>
  </si>
  <si>
    <t>There’s a reason DC @JeanneShaheen doesn’t have the support of law enforcement groups like the New England Police Benevolent Association.
And no sham events and political talking points can change that. #nhpolitics #nhsen</t>
  </si>
  <si>
    <t>1313463174423818240</t>
  </si>
  <si>
    <t>In New Hampshire, @JeanneShaheen says she opposes riots &amp;amp; violent mobs.
In DC, she refuses to condemn her own party for enabling them. #nhpolitics #nhsen</t>
  </si>
  <si>
    <t>1313463173652123654</t>
  </si>
  <si>
    <t>The @JeanneShaheen playbook is as obviously political as it gets.
In New Hampshire, she says she supports law enforcement.
In DC, she refuses to condemn the “defund the police” movement. #nhpolitics #nhsen</t>
  </si>
  <si>
    <t>1313256402899677185</t>
  </si>
  <si>
    <t>The Senate COVID relief bill had additional money for testing, PPE, and relief for Granite State small businesses.
DC @JeanneShaheen voted no. She put politics before New Hampshire's people. #nhpolitics #nhsen https://t.co/iAevWvJNZU</t>
  </si>
  <si>
    <t>1313252632064999425</t>
  </si>
  <si>
    <t>29 days until Election Day.
Granite Staters, let’s make history. Let’s FLIP this seat and send an outsider &amp;amp; proven leader to the Senate! #nhpolitics #nhsen</t>
  </si>
  <si>
    <t>1313245079423856641</t>
  </si>
  <si>
    <t>Very glad to see that @realDonaldTrump is being discharged from Walter Reed and returning to work at the White House! 
We're continuing to keep the President, @FLOTUS, and all Americans affected by the virus in our prayers.</t>
  </si>
  <si>
    <t>1313219831068594176</t>
  </si>
  <si>
    <t>Enjoyed catching up with @AdamSextonWMUR and discussing our campaign with 29 days to go. Catch the full interview tonight on @WMUR9! #nhpolitics #nhsen https://t.co/JMPDwD2NlR</t>
  </si>
  <si>
    <t>1313186665075281923</t>
  </si>
  <si>
    <t>Liberal career politicians like @JeanneShaheen refuse to call out the "defund the police" movement &amp;amp; refuse to condemn violent mobs tearing our cities apart. 
I will ALWAYS #BackTheBlue! 
#MAGA2020 #nhpolitics #nhsen https://t.co/piTIGhePcc</t>
  </si>
  <si>
    <t>1313144398163705856</t>
  </si>
  <si>
    <t>Good crowd at our meet &amp;amp; greet yesterday in Ashland with State House candidate Kendall Hughes! #nhpolitics #nhsen https://t.co/2HvHTlSnP2</t>
  </si>
  <si>
    <t>1313100374966849537</t>
  </si>
  <si>
    <t>A Biden-Harris administration means higher taxes, more regulations, defunding the police, and the Green New Deal.
And DC @JeanneShaheen wouldn’t stop any of it. https://t.co/a87RrBjiil #nhpolitics #nhsen</t>
  </si>
  <si>
    <t>1312890244023296005</t>
  </si>
  <si>
    <t>30 days until Election Day.
30 days until we re-elect @realDonaldTrump &amp;amp; keep the Senate majority.
30 days until we retire DC @JeanneShaheen &amp;amp; FLIP this seat. #nhpolitics #nhsen</t>
  </si>
  <si>
    <t>1312879737417723905</t>
  </si>
  <si>
    <t>We had a strong crowd at the @BedfordGOP’s meet &amp;amp; greet yesterday! #nhpolitics #nhsen https://t.co/Efwq3TOQ2G</t>
  </si>
  <si>
    <t>1312840600153194499</t>
  </si>
  <si>
    <t>Great to be with @ChrisSununu, @Lou4State, and @NHFRW yesterday in Hampton Falls! #nhpolitics #nhsen https://t.co/eVcoznspVC</t>
  </si>
  <si>
    <t>1312818479112900612</t>
  </si>
  <si>
    <t>With 30 days until the election, Granite Staters are faced with a choice: Career politician D.C. Jeanne Shaheen or a veteran, proven businessman &amp;amp; political outsider.
Chip in today to join Team Messner &amp;amp; help Drain The Swamp!
https://t.co/OcvphQoJTJ
#MAGA #nhpolitics #nhsen https://t.co/UZgo22qrBU</t>
  </si>
  <si>
    <t>1312531124090859520</t>
  </si>
  <si>
    <t>There’s a reason the New England Police Benevolent Association endorsed me — they know that I’ll ALWAYS #backtheblue.
And they know DC Jeanne Shaheen can’t be trusted to do so. #nhpolitics #nhsen</t>
  </si>
  <si>
    <t>1312512149709701121</t>
  </si>
  <si>
    <t>Election Day is exactly ONE MONTH away! It’s all-hands-on-deck to FLIP this seat and retire DC Jeanne Shaheen.
Join our team today!
https://t.co/6taKllUJlO #nhpolitics #nhsen</t>
  </si>
  <si>
    <t>1312478978662260736</t>
  </si>
  <si>
    <t>Enjoyed catching up and discussing our campaign with @HowieCarrShow at Toyota of Portsmouth yesterday! #nhpolitics #nhsen https://t.co/RJd2n4NCwG</t>
  </si>
  <si>
    <t>1312445797154402304</t>
  </si>
  <si>
    <t>On Thursday we had a great event with @NikkiHaley in Bedford. I’m proud to have her full support — and I’m asking YOU to stand with us today! 
https://t.co/uKuX5GqdsZ #nhpolitics #nhsen https://t.co/fVjX5AfbS7</t>
  </si>
  <si>
    <t>1312422164130263041</t>
  </si>
  <si>
    <t>It's not about big government or politics. It's about putting PEOPLE first and fighting for the 603 in Washington. @realDonaldTrump and @ChrisSununu have my back for U.S. Senate - do you? Chip in now to join the team.
https://t.co/S1TsIiBVup
#MAGA2020 #nhsen #nhpolitics https://t.co/ysoQb9DJxi</t>
  </si>
  <si>
    <t>1323756413601153025</t>
  </si>
  <si>
    <t>Polls close in 2 HOURS!
My job is fighting for your job, and I hope you’ll fight for me by bringing your friends and family out to the polls tonight.
Find your polling place here: https://t.co/rlnmkglvk8</t>
  </si>
  <si>
    <t>1323741745264381952</t>
  </si>
  <si>
    <t>NC families are counting on you to re-elect @realDonaldTrump &amp;amp; send me back to Washington to serve you for another term, because our American Dream is at stake. That’s why I am asking you to vote. Polls close in 3 hours. 
Find your polling place here: https://t.co/rlnmkglvk8 https://t.co/MtuWtfHvAD</t>
  </si>
  <si>
    <t>1323717702419128320</t>
  </si>
  <si>
    <t>I believe that we’re going to win this race, but I’m counting on you to vote and bring your friends and family with you to the polls. https://t.co/aMJBWbWHdk</t>
  </si>
  <si>
    <t>1323708764860698626</t>
  </si>
  <si>
    <t>Today is Election Day. I’m running for the Senate so that North Carolinians of all walks of life may have the opportunity to live the great American dream. 
And that dream is at stake right now. It’s why I’m counting on you to make it out to vote before polls close at 7:30 PM. https://t.co/HAL7mP4iIK</t>
  </si>
  <si>
    <t>1323694640437100545</t>
  </si>
  <si>
    <t>Polls close in SIX HOURS!
Everything comes down to this election: our jobs, our values, our freedoms, and America as we know it.
Join our fight. Vote today.
Find your polling place: https://t.co/rlnmkglvk8 https://t.co/IyqaMXxx0k</t>
  </si>
  <si>
    <t>1323689823056613382</t>
  </si>
  <si>
    <t>The path to re-electing President @realDonaldTrump and to defending our Republican Senate Majority runs right through North Carolina.
That’s why I’m counting on you to vote. https://t.co/z58VobckAP</t>
  </si>
  <si>
    <t>1323678647274921984</t>
  </si>
  <si>
    <t>Our team has unreal enthusiasm and we’ll win the day, but only if you make it out to vote. Find your polling place: https://t.co/sEzhI6de0v https://t.co/fGPqXPtk8a</t>
  </si>
  <si>
    <t>1323649968687718402</t>
  </si>
  <si>
    <t>Greeting voters and supporters in Cornelius. North Carolinians are excited and ready to vote for Republicans up and down the ballot! https://t.co/VcXiSf2GVb</t>
  </si>
  <si>
    <t>1323601864605270025</t>
  </si>
  <si>
    <t>Susan and I crisscrossed NC yesterday, even going to Lexington, Cal Cunningham’s hometown, to share our vision for America &amp;amp; why we need you to get out &amp;amp; vote. 
Today, we’ll keep pushing for every last vote until the polls close.
Find your polling place: https://t.co/aayIHB425r https://t.co/jemuS86A8i</t>
  </si>
  <si>
    <t>1323589888785219585</t>
  </si>
  <si>
    <t>It’s Election Day! The polls just opened up and they’ll be open until 7:30 PM. Defend our Senate majority. Vote.
Find your polling place: https://t.co/aayIHB425r</t>
  </si>
  <si>
    <t>1323475386106347521</t>
  </si>
  <si>
    <t>Susan and I enjoyed seeing so many friends and supporters tonight in Davidson. 
There’s no question in my mind that we win the day tomorrow. https://t.co/zS4VMd8orl</t>
  </si>
  <si>
    <t>1323422157456744449</t>
  </si>
  <si>
    <t>Republicans in Davidson are fired up and ready for a win for the American people tomorrow!
Join our fight. Vote. https://t.co/iWWt6Ay4Cy</t>
  </si>
  <si>
    <t>1323387079745785856</t>
  </si>
  <si>
    <t>My second-to-last stop was in Lexington today, my opponent's hometown. Cal Cunningham dishonored his community, the U.S. Army, and all North Carolinians. Voters will reject his lies and hypocrisy, and will vote for more results for American families tomorrow. https://t.co/Liq9czx8D8</t>
  </si>
  <si>
    <t>1323335600309764096</t>
  </si>
  <si>
    <t>TOMORROW is ELECTION DAY!
I hope to have made you proud these past six years, and I hope my track record of fighting for North Carolina families has earned your support when you go to vote.
Find your polling place here: https://t.co/aayIHB425r</t>
  </si>
  <si>
    <t>1323321267961892868</t>
  </si>
  <si>
    <t>Thank you, President @realDonaldTrump, for your kind words about Susan and me. 
We are going to win tomorrow! https://t.co/Z6dZbMdHmO</t>
  </si>
  <si>
    <t>1323304631234121729</t>
  </si>
  <si>
    <t>Our 1st Amendment rights, our 2nd Amendment rights, our Freedom of Religion, our Supreme Court, our jobs, our economy, &amp;amp; our values are at stake if we give the gavel to Chuck Schumer. This election is a potential turning point for this country. That’s why I’m asking you to vote. https://t.co/T0ZwHRcgr3</t>
  </si>
  <si>
    <t>1323283137334517760</t>
  </si>
  <si>
    <t>Just spoke in Fayetteville to an excited crowd of Republicans who are ready to re-elect President @realDonaldTrump! Get out and vote tomorrow! https://t.co/S6V3675V4a</t>
  </si>
  <si>
    <t>1323271220301877249</t>
  </si>
  <si>
    <t>I am proud to join President @realDonaldTrump in his visits this week across our state. We’ve cut taxes, done right by our veterans, and rebuilt the military — and we’ll keep up our progress for another term. https://t.co/oesrUuYqhh</t>
  </si>
  <si>
    <t>1323078379164389382</t>
  </si>
  <si>
    <t>In my visit to Greensboro with Rep. @buddforcongress, I emphasized why I’m running: because my job is fighting for your job, and I’ll never stop fighting for you. https://t.co/eEhbDY8OVw</t>
  </si>
  <si>
    <t>1323060506987536386</t>
  </si>
  <si>
    <t>North Carolina Republicans are ready to keep the Senate and the White House in good hands by re-electing President @realDonaldTrump and me on November 3rd! https://t.co/FRHS38Xhxi</t>
  </si>
  <si>
    <t>1323055428293545986</t>
  </si>
  <si>
    <t>Thank you, President @realDonaldTrump, for recognizing all the great work that we have accomplished together tonight in Hickory. https://t.co/AQg3bajNse</t>
  </si>
  <si>
    <t>1323042205272035329</t>
  </si>
  <si>
    <t>When I look at you and make you a promise – I keep it. https://t.co/dhzPMfXP9r</t>
  </si>
  <si>
    <t>1323017346114588672</t>
  </si>
  <si>
    <t>We cut taxes, cut regulations, rebuilt the military, and we did right by our veterans. 
President @realDonaldTrump and I have fulfilled our promises to you, and we’ll keep fighting for North Carolina over the next term.
https://t.co/5Pn0VPNYBg</t>
  </si>
  <si>
    <t>1323008529993768962</t>
  </si>
  <si>
    <t>North Carolinians know what’s at stake on November 3rd, and that’s why they’re voting for me and @RealDonaldTrump! 
Thanks for joining our fight @NikkiHaley. https://t.co/M740gBlv9I</t>
  </si>
  <si>
    <t>1323002641941757953</t>
  </si>
  <si>
    <t>At President @realDonaldTrump's rally in Hickory, and there’s a long line of North Carolinians who are ready for 4 MORE YEARS of results! https://t.co/uXXcGpnkL9</t>
  </si>
  <si>
    <t>1322973887244718080</t>
  </si>
  <si>
    <t>President @realDonaldTrump and I have rebuilt the military, transformed the VA, rolled back regulations, and delivered on our promises to confirm conservative judges. 
Get out and vote on Tuesday, so that we can continue this progress. https://t.co/Q9xtz7Kysl</t>
  </si>
  <si>
    <t>1322944302750801928</t>
  </si>
  <si>
    <t>North Carolina is the firewall against Chuck Schumer getting the gavel.
https://t.co/LWUVWrNWLQ</t>
  </si>
  <si>
    <t>1322927082704408579</t>
  </si>
  <si>
    <t>I believe if we win North Carolina, and we will win North Carolina, we’re going to probably be able to say that we saved the Senate.
That’s why I’m counting on you to go out and vote on November 3rd.
https://t.co/XMiKupIlp3</t>
  </si>
  <si>
    <t>1322727994163646466</t>
  </si>
  <si>
    <t>Thank you for having me on to talk about how @realdonaldtrump and I are going to win on Tuesday! 
Get out and vote, North Carolina! https://t.co/NmGHKQjJJG</t>
  </si>
  <si>
    <t>1322689814798364673</t>
  </si>
  <si>
    <t>.@NikkiHaley on Cal Cunningham’s dangerous agenda that would cripple American families: 
"He's voted for tax increases. He supports sanctuary cities. He's already said that he's going to reverse the tax cuts." https://t.co/OFG0zVf8CV</t>
  </si>
  <si>
    <t>1322679745725652992</t>
  </si>
  <si>
    <t>The people of North Carolina need support, and that’s why I voted for historic relief for families and small businesses. I shared some of our accomplishments in fighting COVID-19 during a visit in Brunswick County this past weekend as part of my statewide tour: https://t.co/SPuH43CixO</t>
  </si>
  <si>
    <t>1322670071844638720</t>
  </si>
  <si>
    <t>We’re hours away from Election Day, but Cal Cunningham is nowhere to be found, is hiding from the voters, and is refusing questions from reporters.
He is unfit to represent North Carolina in the Senate. 
https://t.co/3Qyo4Xy2m6</t>
  </si>
  <si>
    <t>1322661338443862017</t>
  </si>
  <si>
    <t>North Carolina Republicans are ready to WIN on Tuesday!
Thanks to my friend, @buddforcongress, for joining me in Greensboro for a Get-Out-The-Vote rally this afternoon. https://t.co/4UUZxFsWpM</t>
  </si>
  <si>
    <t>1322643177505988616</t>
  </si>
  <si>
    <t>Thank you @Mike_Pence for the kind words! We must continue to encourage as many North Carolinians as possible to get out and vote so we can keep working together delivering results for four more years! https://t.co/W6LJObAHlV</t>
  </si>
  <si>
    <t>1322593662933651458</t>
  </si>
  <si>
    <t>My friend, @NikkiHaley, joined me yesterday and today for part of my statewide Get-Out-The-Vote tour. See some of our highlights: https://t.co/wguBen2Rff</t>
  </si>
  <si>
    <t>1322557534402682881</t>
  </si>
  <si>
    <t>Thank you, @NikkiHaley, for joining Susan and me in Charlotte this morning to encourage North Carolina Republicans to keep working hard to get us to a win on November 3rd! https://t.co/PeTUsTbruH</t>
  </si>
  <si>
    <t>1322321391287443456</t>
  </si>
  <si>
    <t>When you build an entire campaign on truth and honor, and you prove to be not truthful and not honorable, and then you spend a month AWOL and hiding from voters and the press, I think that says all you need to know about Cal Cunningham. https://t.co/v8W0cuVmVG</t>
  </si>
  <si>
    <t>1322309969912496129</t>
  </si>
  <si>
    <t>Thank you for joining me, @NikkiHaley! https://t.co/k81H28nBhW</t>
  </si>
  <si>
    <t>1322305954914992130</t>
  </si>
  <si>
    <t>Wake County conservatives know what’s at stake in this election: our jobs, our values, and our freedoms. Thanks to all who joined me and my friend @NikkiHaley to rally our team to get out and vote. https://t.co/6eRQyESymC</t>
  </si>
  <si>
    <t>1322293100203675650</t>
  </si>
  <si>
    <t>If anything is clear after @GregMurphyMD and my North Carolina Get-Out-The-Vote 'BBQ tour' today with voters — it’s that our BBQ is the best in the nation, and that conservatives are fired up and ready to win on November 3rd! https://t.co/DHd6aRq6qE</t>
  </si>
  <si>
    <t>1322260951354265600</t>
  </si>
  <si>
    <t>Cal Cunningham once said: “I’m Happy To Take Questions, I Take Them Every Day.”
So what changed? https://t.co/shxy4TQ29M</t>
  </si>
  <si>
    <t>1322251728591507456</t>
  </si>
  <si>
    <t>North Carolinians just can’t trust Cal Cunningham. https://t.co/cO2udeUBrr</t>
  </si>
  <si>
    <t>1322234764074647558</t>
  </si>
  <si>
    <t>Just left Abrams BBQ with @GregMurphyMD. This is BBQ #2 for the day. Met with supporters, some of whom are veterans, and I couldn’t be more glad to have their support! https://t.co/EwPM4UOQTf</t>
  </si>
  <si>
    <t>1322209493141381120</t>
  </si>
  <si>
    <t>Joined my friend, Congressman @GregMurphyMD, at Skylight BBQ in Pitt County for lunch and a conversation with supporters about all that’s at stake this election. Real BBQ - not the burgers and dogs my opponent prefers. https://t.co/PB7TBVP4iw</t>
  </si>
  <si>
    <t>1322203918898728963</t>
  </si>
  <si>
    <t>“Cal Cunningham is running on character…and about a month ago, it surfaced that he is having an extramarital affair, and he’s been trying to hide from the media and not talk about that.” https://t.co/debbD9P7cv</t>
  </si>
  <si>
    <t>1322176976111718400</t>
  </si>
  <si>
    <t>Cal Cunningham ran this race on truth and honor, but if anything is clear after these past few weeks, it’s that he’s severely lacking in that department. 
You know where I stand: I’ll always keep my promises and I’ll continue delivering for NC families.
https://t.co/caoDrKG1YX</t>
  </si>
  <si>
    <t>1322169645596626946</t>
  </si>
  <si>
    <t>Brunswick County Republicans are fired up and ready to WIN on November 3rd! Thanks to all who joined us on our first stop of the day. https://t.co/5svhltxKoF</t>
  </si>
  <si>
    <t>1321985966379290624</t>
  </si>
  <si>
    <t>“North Carolina Senate Democrat candidate Cal Cunningham did not deny that he had a second affair in an interview with a local news station on Thursday.”
https://t.co/ibm7NahKUH</t>
  </si>
  <si>
    <t>1321957801200148481</t>
  </si>
  <si>
    <t>You can trust me to keep my promises and I'll continue to deliver results for NC families. My opponent, on the other hand, ran an entire campaign on truth and honor but won't even be straight with you about how many affairs he's had. His entire candidacy was one big lie. https://t.co/QQXuY7S7fs</t>
  </si>
  <si>
    <t>1321936006522802176</t>
  </si>
  <si>
    <t>The difference between me &amp;amp; Cal Cunningham couldn't be more clear: I'll always respect those who served. 
That's why it was a great honor to spend time in Fayetteville with Medal of Honor recipients &amp;amp; former Prisoners of War after our rally with @realDonaldTrump got cancelled. https://t.co/s7dDlPvOjL</t>
  </si>
  <si>
    <t>1321907655640797184</t>
  </si>
  <si>
    <t>“People of North Carolina need to send Thom Tillis back to the United States Senate,” said U.S. Senator, Ted Cruz
https://t.co/Bhc7ZYIkIg</t>
  </si>
  <si>
    <t>1321862008426418176</t>
  </si>
  <si>
    <t>Cal Cunningham once said: “I’m Happy To Take Questions, I Take Them Every Day.”
So what changed? https://t.co/hgbMAxcmlG</t>
  </si>
  <si>
    <t>1321851937445322752</t>
  </si>
  <si>
    <t>We’re going to win on Tuesday, but only if you get out to the polls.
That’s what I’ve been telling all North Carolinians on my statewide tour. 
While Cal Cunningham continues to hide from voters with just days remaining until the polls close, I’ll never stop hearing from you. https://t.co/uMBrIQTPVT</t>
  </si>
  <si>
    <t>1321813399911702528</t>
  </si>
  <si>
    <t>While I’m crisscrossing our state encouraging North Carolinians to get out and vote — Cal Cunningham is holed up and in hiding because he’s too afraid to answer for his scandals and for being under investigation by the U.S Army. https://t.co/rLJY5Bq8CQ</t>
  </si>
  <si>
    <t>1321597933029105665</t>
  </si>
  <si>
    <t>Thank you, Senator @tedcruz, for spending the afternoon with us in Western North Carolina! https://t.co/nYshJm7aY5</t>
  </si>
  <si>
    <t>1321564771620167682</t>
  </si>
  <si>
    <t>Cal Cunningham is afraid to talk about his scandal that has him under investigation by the U.S Army. He has now resorted to blowing off planned media appearances just to avoid taking tough questions. Cunningham is unfit to serve North Carolinians in the Senate. https://t.co/wMqqpcCYo2</t>
  </si>
  <si>
    <t>1321555766457806848</t>
  </si>
  <si>
    <t>"Cunningham has faced some questions about his integrity though, after he admitted to having an inappropriate relationship with a woman who was not his wife." https://t.co/Tyc781c8m1</t>
  </si>
  <si>
    <t>1321533182764863500</t>
  </si>
  <si>
    <t>Find your polling location at https://t.co/h3nsttUKvU.</t>
  </si>
  <si>
    <t>1321533177710727174</t>
  </si>
  <si>
    <t>Susan and I went to drop off our absentee ballots this morning at the Cornelius town hall! Mine got too wet in the rain, so I voted in-person! 
The future of our nation is at stake in this election, and NC could decide it all. That’s why I’m asking you to get to the polls today. https://t.co/wkWdJBdNg1</t>
  </si>
  <si>
    <t>1321479095490891776</t>
  </si>
  <si>
    <t>Looking forward to seeing my friend, Senator @tedcruz, in Western NC this evening, where we’ll lay out our vision for a safe, prosperous America for you and your families. See you soon! https://t.co/Sx4rKepuPl</t>
  </si>
  <si>
    <t>1321439016668090368</t>
  </si>
  <si>
    <t>This race is going to come down to the wire. Get out and vote! https://t.co/EqxMRm7fkp</t>
  </si>
  <si>
    <t>1321268124688277506</t>
  </si>
  <si>
    <t>If Cal Cunningham is too afraid to answer tough questions about his character, how is he expected to take tough votes in the Senate?
https://t.co/3Qyo4Xy2m6</t>
  </si>
  <si>
    <t>1321259453023399937</t>
  </si>
  <si>
    <t>Have you voted yet?
Everything is on the line in 2020, and I’m counting on your vote.
Find your polling place at https://t.co/h3nsttUKvU. https://t.co/BWBkqUyHwK</t>
  </si>
  <si>
    <t>1321247357661491201</t>
  </si>
  <si>
    <t>We’ve confirmed over 200+ well-qualified Judges, including a great one yesterday in Justice Amy Coney Barrett. 
And if you send me back to Washington for another term, I’ll make certain we send even more to our courts. https://t.co/WviCfQWkjs</t>
  </si>
  <si>
    <t>1321209327953289217</t>
  </si>
  <si>
    <t>“North Carolina and America needs SIX MORE YEARS of Senator Thom Tillis in the United States Senate!” 
- Vice President @Mike_Pence https://t.co/8pb9HaddVR</t>
  </si>
  <si>
    <t>1321167986246471681</t>
  </si>
  <si>
    <t>Flew in with Vice President @Mike_Pence into Greensboro this afternoon. There’s nothing more exciting than landing &amp;amp; seeing so many supporters waiting on the runway to hear about our results over these past 4 years &amp;amp; what we’re going to accomplish for your family in another term. https://t.co/W18a23qCaq</t>
  </si>
  <si>
    <t>1321158722098499586</t>
  </si>
  <si>
    <t>The future of this nation rests on our shoulders. In seven days, let’s make America proud! 
https://t.co/OC1iJgDswx</t>
  </si>
  <si>
    <t>1321113056752115714</t>
  </si>
  <si>
    <t>Veterans are speaking out against Cal Cunningham, whose misconduct could have him facing a court-martial. https://t.co/Ug0BhuC2cV</t>
  </si>
  <si>
    <t>1321088794297290755</t>
  </si>
  <si>
    <t>"Cal Cunningham is the ultimate hypocrite: touting his role as a JAG officer even as he's under Army Reserve investigation himself for betraying a fellow servicemember.” 
- Tim Woods, US Navy Veteran https://t.co/RiFcSgfq4w</t>
  </si>
  <si>
    <t>1321088790425907204</t>
  </si>
  <si>
    <t>"Cunningham’s new ad dishonors the United States Army.” 
- Sean Kilbane, US Army Veteran https://t.co/cRTGNAFicT</t>
  </si>
  <si>
    <t>1321088786168745987</t>
  </si>
  <si>
    <t>"It’s a slap in the face to all of us who proudly uphold our military values long after we’ve left active duty.” 
- Arnold Marshall, US Navy Veteran https://t.co/uD1m10doLq</t>
  </si>
  <si>
    <t>1321088782439993345</t>
  </si>
  <si>
    <t>After claiming in his "disastrous" press conference that the race isn't about him, Cal Cunningham is back on the air with a hypocritical ad about his military service despite being under investigation by the Army &amp;amp; facing a potential court-martial. NC Veterans are pushing back.</t>
  </si>
  <si>
    <t>1320903706326564865</t>
  </si>
  <si>
    <t>President Trump &amp;amp; I have reshaped the courts to prioritize one thing: the Constitution. And the confirmation &amp;amp; swearing in of now-Justice Amy Coney Barrett is part of that.
Help us keep up our fight for our courts for another term. Donate right now:
https://t.co/ftJpryyPek</t>
  </si>
  <si>
    <t>1320889215090085888</t>
  </si>
  <si>
    <t>I am honored to have just cast my vote to confirm Amy Coney Barrett.
She will make for an outstanding Justice who will defend our Constitution at every turn, and I couldn’t be more thrilled for her and her family.</t>
  </si>
  <si>
    <t>1320841765679697921</t>
  </si>
  <si>
    <t>Early voting continues today!
Everything is on the line in this election. Find your polling place today: https://t.co/h3nsttUKvU https://t.co/1nmoTq3oPg</t>
  </si>
  <si>
    <t>1320797058673102851</t>
  </si>
  <si>
    <t>Cal Cunningham can’t hide his way out of his scandal. https://t.co/3U9RtHTB7i</t>
  </si>
  <si>
    <t>1320756010110341121</t>
  </si>
  <si>
    <t>Cal Cunningham has ended his public events. He’s stopped answering questions from the media. He’s hiding from North Carolinians to avoid answering for his misconduct and is unfit to serve in the Senate. 
https://t.co/U0zNEb8TWX</t>
  </si>
  <si>
    <t>1320719565526077442</t>
  </si>
  <si>
    <t>That can’t happen, and as long as I’m in the Senate, I will fight against it.</t>
  </si>
  <si>
    <t>1320719564683026433</t>
  </si>
  <si>
    <t>❌ Eliminating Religious Freedom
❌ Destroying the Second Amendment
❌ Imposing the Job-Killing Green New Deal
Democrats will do anything to achieve those goals, including turning the Supreme Court into an unelected super-legislature.
https://t.co/C8cb9BQ25T</t>
  </si>
  <si>
    <t>1320528437573017602</t>
  </si>
  <si>
    <t>While I am disappointed that my Democratic colleagues played politics with Amy Coney Barrett’s nomination, I am excited for her confirmation this week. She will make an outstanding Justice. 
https://t.co/PRrtdHyk1w</t>
  </si>
  <si>
    <t>1320519521149571078</t>
  </si>
  <si>
    <t>Thank you, @Mike_Pence, for joining @TeamTillis in the great state of North Carolina! We’re about to win on November 3rd -- because North Carolinians are fired up about another 4 YEARS of results! https://t.co/ZQnNnQ7jQA</t>
  </si>
  <si>
    <t>1320512089711124486</t>
  </si>
  <si>
    <t>Cal Cunningham thinks he can run out the clock on this election, but North Carolina voters are smart and they recognize a fraud when they see one. https://t.co/GGZXbExmZv</t>
  </si>
  <si>
    <t>1320470744204234766</t>
  </si>
  <si>
    <t>Veterans are speaking out against Cal Cunningham, whose misconduct could have him facing a court-martial. https://t.co/xcowLOzdIb</t>
  </si>
  <si>
    <t>1320433661267902465</t>
  </si>
  <si>
    <t>North Carolinians don’t deserve to have a Senator who could face a court-martial. Get out and vote!</t>
  </si>
  <si>
    <t>1320366971561644033</t>
  </si>
  <si>
    <t>Victory is right in front of us, but only if you vote. 
Find your polling location at https://t.co/h3nsttUKvU. https://t.co/QH8KsM7Th6</t>
  </si>
  <si>
    <t>1320115600186892290</t>
  </si>
  <si>
    <t>North Carolinians on Cal Cunningham - 
“We just can’t be sending low-character people to the Senate”
https://t.co/4MiV6z0r1p</t>
  </si>
  <si>
    <t>1320085827351990273</t>
  </si>
  <si>
    <t>Cal Cunningham is trying to run out the clock on his lies that landed him a US Army investigation, but North Carolinians are seeing right through him. 
This is coverage from just one day. https://t.co/Jo7VjDq4qp</t>
  </si>
  <si>
    <t>1320056601630380032</t>
  </si>
  <si>
    <t>If Cal Cunningham can’t answer tough questions – how can he be expected to make tough votes?
He is not fit for any elected office, let alone the United States Senate. https://t.co/t7WxO7Wr65</t>
  </si>
  <si>
    <t>1320038758700429313</t>
  </si>
  <si>
    <t>Go vote: find your polling place at https://t.co/h3nsttUKvU.</t>
  </si>
  <si>
    <t>1320038623572537347</t>
  </si>
  <si>
    <t>We are 10 DAYS AWAY from Election Day, and early voting is well underway.
Your vote counts and could be the difference between holding the Senate or giving radical liberals the majority that they need to defund the police and implement crippling middle-class tax increases. https://t.co/tiWYE1p4ao</t>
  </si>
  <si>
    <t>1319781617301413888</t>
  </si>
  <si>
    <t>North Carolinians deserve to know if they could be casting their vote for someone who could end up facing a court-martial. 
Cal Cunningham should explain himself. What else is he hiding? https://t.co/W5iTIihm05</t>
  </si>
  <si>
    <t>1319775600610074625</t>
  </si>
  <si>
    <t>North Carolinians are smart. They know a fraud when they see one, and Cal Cunningham can’t run the clock out on his lies and hypocrisy that got him under investigation by the US Army. https://t.co/zfF3EEOj1U</t>
  </si>
  <si>
    <t>1319734412855156736</t>
  </si>
  <si>
    <t>North Carolina veterans are disgusted by Cal Cunningham’s misconduct.
https://t.co/SwsLwqOevL</t>
  </si>
  <si>
    <t>1319671770543247360</t>
  </si>
  <si>
    <t>Cal Cunningham spent this entire campaign pitching himself as someone who will always run into the fight, but now he’s gone AWOL in order to avoid taking responsibility for his lies and misconduct. 
I will never go AWOL on the needs of North Carolinians. https://t.co/jDnUnAjFq6</t>
  </si>
  <si>
    <t>1319651574067662848</t>
  </si>
  <si>
    <t>The American people, after watching Judge Barrett’s hearings &amp;amp; learning of her qualifications and Constitutionalist philosophy, are standing with her. That’s why it’s even more disappointing that my Democratic colleagues are boycotting her nomination, all in the name of politics. https://t.co/zO2lzYXs2g</t>
  </si>
  <si>
    <t>1319440566376140802</t>
  </si>
  <si>
    <t>I believe that Amy Coney Barrett will go down as one of the most qualified, well-regarded Justices in American history. That’s why it’s all the more disappointing that my Democratic colleagues are playing politics with her confirmation.
https://t.co/mWQteylMMK</t>
  </si>
  <si>
    <t>1319429911942225920</t>
  </si>
  <si>
    <t>"I think it's less about the affair, and I do feel bad for his wife and his teenage children, it's more about the fact that this completely undermines Cal Cunningham's campaign of truth and honor," Tillis said.
https://t.co/RU99yaHMVn</t>
  </si>
  <si>
    <t>1319361375169368065</t>
  </si>
  <si>
    <t>Cal Cunningham can’t hide his way out of his scandal.
https://t.co/PBPG1VUzIj</t>
  </si>
  <si>
    <t>1319280131613941769</t>
  </si>
  <si>
    <t>I just voted to advance Judge Amy Coney Barrett out of the Judiciary Committee. She will make for an outstanding Justice, and I look forward to supporting her final confirmation. https://t.co/s6yXd5HQlp</t>
  </si>
  <si>
    <t>1319266885125505026</t>
  </si>
  <si>
    <t>"Cal Cunningham has run on honor, integrity, values, he’s put his family in the center in his campaign. And it’s all a lie." https://t.co/5GKzWNFfpA</t>
  </si>
  <si>
    <t>1319081389439016966</t>
  </si>
  <si>
    <t>While Democrats play partisan politics, I'm looking forward to voting Amy Coney Barrett out of the Judiciary Committee tomorrow. 
She is going to make an outstanding Supreme Court Justice.
https://t.co/JrqPD2BECH</t>
  </si>
  <si>
    <t>1319051625093320704</t>
  </si>
  <si>
    <t>"North Carolina Democrat Senate candidate Cal Cunningham denied six different interview requests on Tuesday amid fallout from his scandalous affairs."
https://t.co/PBPG1VUzIj</t>
  </si>
  <si>
    <t>1318995125570314240</t>
  </si>
  <si>
    <t>Cal Cunningham ran his campaign on truth and honor, but the real Cal Cunningham is being exposed for North Carolinians to see: he is facing an investigation by the Army and potentially by the FEC and the Inspector General of the DoD.
https://t.co/m05NZ7C7yQ</t>
  </si>
  <si>
    <t>1318935033583984643</t>
  </si>
  <si>
    <t>Cal Cunningham attempted to make transparency and truth telling central pillars of his candidacy, but now he's gone AWOL because he doesn't want to talk about being under investigation by the U.S. Army and his possible court-martial. https://t.co/yE11wV1hCy</t>
  </si>
  <si>
    <t>1318716232787517440</t>
  </si>
  <si>
    <t>Cal Cunningham ran a campaign on truth and honor, but the real Cal Cunningham is being exposed for all to see: he is facing an investigation by the Army and could potentially face a court-martial. https://t.co/JrMhE1UjLM</t>
  </si>
  <si>
    <t>1318706619941793792</t>
  </si>
  <si>
    <t>Cal Cunningham would join radical Democrats in packing the Supreme Court, so that they can advance their liberal agenda from the bench.
But not on my watch.
My bill ensures that we keep precedent and keep the court at NINE Justices – where it’s been for the past 150 years. https://t.co/CQL9AnGzjI</t>
  </si>
  <si>
    <t>1318694852494753792</t>
  </si>
  <si>
    <t>Veterans know we can’t trust Cal Cunningham.
 And North Carolina can’t trust Cal Cunningham in the Senate. https://t.co/1x78KLcfvQ</t>
  </si>
  <si>
    <t>1318675899697516553</t>
  </si>
  <si>
    <t>Cal Cunningham’s refusal to deny reports about a second affair serves as confirmation of both his egregious misconduct, but also his lack of fitness to serve you honorably and with integrity.
https://t.co/m05NZ7C7yQ</t>
  </si>
  <si>
    <t>1318603276661784577</t>
  </si>
  <si>
    <t>North Carolinians deserve a Senator who is accessible and accountable, not one that goes AWOL when times get tough.
“We were not given a chance to ask questions, and the campaign has not responded to specific questions we’ve asked in recent days.” https://t.co/XU8LCy4M5J</t>
  </si>
  <si>
    <t>1318550401927516167</t>
  </si>
  <si>
    <t>Cal Cunningham is in hiding when it comes to who he wants on the Supreme Court instead of Amy Coney Barrett. Just like he's hiding from talking about his two extramarital affairs, including one with the wife of a veteran that has him under investigation by the U.S. Army.</t>
  </si>
  <si>
    <t>1318533179066769414</t>
  </si>
  <si>
    <t>My full statement on Cal Cunningham refusing to deny a new report that he had a second, additional extramarital affair: https://t.co/eo1Ba75NIu</t>
  </si>
  <si>
    <t>1318351793047375872</t>
  </si>
  <si>
    <t>Veterans know we can’t trust Cal Cunningham.
And North Carolina can’t trust Cal Cunningham in the Senate.
See our latest TV ad here: https://t.co/Xw5jg093Gb</t>
  </si>
  <si>
    <t>1318336862952587267</t>
  </si>
  <si>
    <t>Early voting is underway! 
North Carolinians deserve a Senator who you and your families can trust – because our economy and our public safety is on the line.
Make a plan to vote, and find your polling location at https://t.co/h3nsttUKvU. https://t.co/XJ5Kz8RP6P</t>
  </si>
  <si>
    <t>1318325364100313093</t>
  </si>
  <si>
    <t>Even Cal Cunningham’s closest Democratic allies have had it with his lies, hypocrisy and misconduct. 
https://t.co/CerZuOIyJH</t>
  </si>
  <si>
    <t>1318234046229585921</t>
  </si>
  <si>
    <t>Cal Cunningham violated his oath and betrayed the US Army when he committed his misconduct.
Now, North Carolina veterans are speaking out.
https://t.co/SwsLwqOevL</t>
  </si>
  <si>
    <t>1318213178141122560</t>
  </si>
  <si>
    <t>“His conduct is not a private matter if the Army is investigating it; it is a public disgrace of the Army’s uniform.”
https://t.co/Fco82N5WnI</t>
  </si>
  <si>
    <t>1318170947174748162</t>
  </si>
  <si>
    <t>Cal Cunningham broke his oath and disgraced the U.S. Army. Veterans can’t trust him. And neither should all North Carolinians.
Watch our latest ad here -&amp;gt; https://t.co/eqhhPH8d2G</t>
  </si>
  <si>
    <t>1317998198619852800</t>
  </si>
  <si>
    <t>“FEC records show Cunningham’s alleged mistress donated to his campaign”
https://t.co/A5qoajZpJo</t>
  </si>
  <si>
    <t>1317978491581878276</t>
  </si>
  <si>
    <t>Cal Cunningham’s campaign has all been one big lie. https://t.co/Q8A71VXN5I</t>
  </si>
  <si>
    <t>1317914307523465217</t>
  </si>
  <si>
    <t>The US Army Reserve has opened an investigation into Cal Cunningham’s misconduct.
And now, the Inspector General of the Dep. of Defense, as well as the Federal Election Commission, have received complaints about Cunningham’s misconduct, too.
North Carolinians deserve answers.</t>
  </si>
  <si>
    <t>1317899840089739265</t>
  </si>
  <si>
    <t>While Cal Cunningham is hiding from the voters to avoid taking tough questions about his misconduct, this weekend I heard from voters in Forsyth &amp;amp; Guilford.
They are concerned about America’s future with Joe Biden &amp;amp; Cal Cunningham, &amp;amp; they’re voting Republican as a result. https://t.co/Z560ox3lg8</t>
  </si>
  <si>
    <t>1317639424390451200</t>
  </si>
  <si>
    <t>Joe Biden and Cal Cunningham don’t want to provide their honest answer on if they will pack the court: they will, and they will pack it with radical liberal judges who will take away our freedoms and change America as we know it. https://t.co/qG6ydcZCsa</t>
  </si>
  <si>
    <t>1317585130685419521</t>
  </si>
  <si>
    <t>Unanswered questions about Cal Cunningham’s misconduct continue to pile up. 
North Carolinians deserve answers. https://t.co/jyZhae5s2z</t>
  </si>
  <si>
    <t>1317561451666616322</t>
  </si>
  <si>
    <t>Thanks to my friend, Senator @votetimscott of South Carolina, for joining me for a Get-Out-The-Vote event in Matthews! From getting Americans back to work to rebuilding our military, Senator Scott and I are delivering real results for families in the Carolinas. https://t.co/3VEG6htuPA</t>
  </si>
  <si>
    <t>1317513561598550017</t>
  </si>
  <si>
    <t>Had a great day at L.P. Frans Stadium in Hickory yesterday! While Cal Cunningham is hiding in his windowless basement, I’m hitting the campaign trail sharing our vision to help improve the lives of North Carolinians. https://t.co/yg8bbXCMJx</t>
  </si>
  <si>
    <t>1317251477677592576</t>
  </si>
  <si>
    <t>“If Cunningham can’t stay faithful to his own family and his fellow servicemembers, he will never be faithful to the North Carolinians he claims to want to serve.”
https://t.co/XR0Kohbf5w</t>
  </si>
  <si>
    <t>1317244199503302662</t>
  </si>
  <si>
    <t>Susan spent time this morning with conservatives in Matthews, where she introduced our Second Lady, @KarenPence! https://t.co/TOv4RwoKBs</t>
  </si>
  <si>
    <t>1317237792162959361</t>
  </si>
  <si>
    <t>Had a great time out on the campaign trail in Western North Carolina today! 
While Cal Cunningham hides from North Carolinians in the wake of his scandal, I'm eager to share my vision for our economic recovery, keeping our communities safe and strengthening our Supreme Court. https://t.co/yq2AZkcRdU</t>
  </si>
  <si>
    <t>1317207845172056069</t>
  </si>
  <si>
    <t>Thank you, @Mike_Pence, for joining North Carolina conservatives in Selma today! We’re fired up and ready for FOUR MORE YEARS of results — more tax cuts, more Judges, more support for law enforcement. https://t.co/PBP51Y82IX</t>
  </si>
  <si>
    <t>1317165859308187649</t>
  </si>
  <si>
    <t>We’re yet another day past Cal Cunningham’s “Disastrous” press conference, and we’re still lacking any answers from him about his misconduct. Cal Cunningham needs to stop hiding and come clean. https://t.co/rzYMXDkqJB</t>
  </si>
  <si>
    <t>1317092847175294977</t>
  </si>
  <si>
    <t>Every day, more questions are being raised about Cal Cunningham’s misconduct -- and with every question, Cal Cunningham refuses to give an answer.
https://t.co/A5qoajZpJo</t>
  </si>
  <si>
    <t>1316903823877832705</t>
  </si>
  <si>
    <t>“If he’s willing to risk his candidacy to have an affair with another veteran, a disabled veteran’s wife, what kind of representation or what kind of behavior are we to expect out of him if he were to go to Washington, DC?” - Sean Kilbane, US Army Veteran
https://t.co/faO8lkM3Kz</t>
  </si>
  <si>
    <t>1316881912938496000</t>
  </si>
  <si>
    <t>Cal Cunningham ran on truth and honor. But now his misconduct has exposed his candidacy as one big lie and he continues to hide from North Carolinians to avoid being transparent. https://t.co/u9s8Cvxlzm</t>
  </si>
  <si>
    <t>1316805430060945409</t>
  </si>
  <si>
    <t>"Fortunately, North Carolinians have a clear alternative in Sen. Thom Tillis, who has proven to be faithful to our servicemembers, military families and veterans."</t>
  </si>
  <si>
    <t>1316805428785938432</t>
  </si>
  <si>
    <t>"If Cunningham can’t stay faithful to his own family and his fellow servicemembers, he will never be faithful to the North Carolinians he claims to want to serve.”
https://t.co/XR0KogTEdY</t>
  </si>
  <si>
    <t>1316758700166713346</t>
  </si>
  <si>
    <t>Since Cal Cunningham’s “Disastrous” press conference, he has gone completely silent. 
North Carolinians deserve answers. Cal Cunningham needs to come clean. https://t.co/JjlWYCZECN</t>
  </si>
  <si>
    <t>1316750251152355328</t>
  </si>
  <si>
    <t>Early Voting begins today.
The future of this nation comes down to who wins this race – our jobs, our economy, our support for law enforcement, and our freedoms and values.
That’s why I’m asking you to get out and vote today. Thank you for your support. https://t.co/IuXhACZ12m</t>
  </si>
  <si>
    <t>1316553880013099014</t>
  </si>
  <si>
    <t>Cal Cunningham hasn't addressed the media since his "disastrous" Friday press conference. He pitched himself as someone who will always run into the fight, but his affair with the wife of a disabled veteran got him under investigation, &amp;amp; he’s run away from questions at all costs.</t>
  </si>
  <si>
    <t>1316536895736872960</t>
  </si>
  <si>
    <t>Cal Cunningham’s dishonorable conduct has landed him investigations by the Army. 
Now, veterans are speaking out against him. https://t.co/t87Q2hTmwz</t>
  </si>
  <si>
    <t>1316532105275420673</t>
  </si>
  <si>
    <t>Manufacturing is one of North Carolina’s main economic drivers. We must continue to support our great job creators. https://t.co/wQiVKSqdnD</t>
  </si>
  <si>
    <t>1316510416483356672</t>
  </si>
  <si>
    <t>North Carolina voters have learned a lot more about the real Cal Cunningham and his misconduct recently. 
They are finding out that his entire candidacy was one big lie and they are not liking what they are seeing.
https://t.co/rE3rsPphsV</t>
  </si>
  <si>
    <t>1316440814562807808</t>
  </si>
  <si>
    <t>Cal Cunningham’s misconduct has landed him:
❌ US Army Reserve Investigation
❌ Possible Department of Defense Inspector General Investigation
❌ Possible Federal Election Commission Investigation
Yet – Cunningham refuses to face North Carolinians and come clean.</t>
  </si>
  <si>
    <t>1316155881684377604</t>
  </si>
  <si>
    <t>Here’s what North Carolina veterans are saying about Cal Cunningham's misconduct, which has him under investigation by the U.S. Army Reserve, and possibly the Inspector General of the Department of Defense. https://t.co/zdo2FPXYfd</t>
  </si>
  <si>
    <t>1316092010927976450</t>
  </si>
  <si>
    <t>Cal Cunningham claims to be a champion of campaign finance transparency. He owes North Carolinians answers on if he broke the law in order to facilitate an affair with the wife of a disabled combat veteran. 
https://t.co/dRababaw6f</t>
  </si>
  <si>
    <t>1316034883379228672</t>
  </si>
  <si>
    <t>Cal Cunningham is now facing a potential investigation by the Inspector General of the Department of Defense. This is on top of an investigation by the US Army Reserve. 
And Cunningham still refuses to be honest with North Carolinians about his scandal. 
https://t.co/DODu81TndL</t>
  </si>
  <si>
    <t>1315804072855953408</t>
  </si>
  <si>
    <t>The only time Cal Cunningham even came close to answering tough questions about his scandal was when a reporter ran into him hiding out at a Starbucks.
His campaign has been one big lie to the voters.
He needs to come clean. https://t.co/HUySz9Dxcu</t>
  </si>
  <si>
    <t>1315767569144479746</t>
  </si>
  <si>
    <t>The old Cal Cunningham said that in North Carolina, “the truth still matters.”
But in reality, his campaign was just one big lie, and now that his misconduct has been exposed, he’s refusing to give the facts.
https://t.co/pLoF59YORk</t>
  </si>
  <si>
    <t>1315691568393789440</t>
  </si>
  <si>
    <t>"We’re just disgusted as military families"
WATCH what North Carolina veterans are saying about Cal Cunningham's misconduct, which has him under investigation by the U.S. Army Reserve. https://t.co/ek4HRIaG8H</t>
  </si>
  <si>
    <t>1315666364414267393</t>
  </si>
  <si>
    <t>Cal Cunningham is still refusing to be transparent about his misconduct that has landed him under investigation by the U.S. Army Reserve. It's disgraceful that he thinks he is above giving North Carolinians the truth. https://t.co/X8WMO8eN5C</t>
  </si>
  <si>
    <t>1315449233017901056</t>
  </si>
  <si>
    <t>I am about to finish my COVID-19 quarantine – and I can’t wait to begin hearing from Judge Amy Coney Barrett about her excellent qualifications and her Constitutionalist philosophy. She will make an outstanding Supreme Court Justice.</t>
  </si>
  <si>
    <t>1315415320245526529</t>
  </si>
  <si>
    <t>Cal Cunningham used to say the truth mattered. But now that his candidacy has been exposed as one big lie, he continues to hide from North Carolinians. His lack of transparency this past week shows he cannot be trusted. https://t.co/duAejqdBch</t>
  </si>
  <si>
    <t>1315399179750047745</t>
  </si>
  <si>
    <t>The husband of the woman Cal Cunningham engaged in an extramarital affair with, now says Cunningham “hurt a fellow junior officer and veteran,” and that Cunningham’s actions should “be reviewed under the Uniform Code of Military Justice."
https://t.co/vzb4sGgz8E</t>
  </si>
  <si>
    <t>1315328127128743937</t>
  </si>
  <si>
    <t>Cal Cunningham’s misconduct is so serious that the US Army Reserve has now opened an investigation into him.
And yet – Cunningham refuses to explain himself to North Carolinians. 
https://t.co/s1Dm1Yiq0k</t>
  </si>
  <si>
    <t>1315085895335374848</t>
  </si>
  <si>
    <t>The only time Cal Cunningham even came close to answering tough questions about his scandal was when a reporter ran into him hiding out at a Starbucks. 
His campaign has been one big lie to the voters. 
He needs to come clean. https://t.co/zjjLsWJYVH</t>
  </si>
  <si>
    <t>1315048301423714306</t>
  </si>
  <si>
    <t>Come clean, Cal. North Carolinians deserve answers, not more lies, and not more hypocrisy. https://t.co/qL38UVp6GY</t>
  </si>
  <si>
    <t>1315002629102145538</t>
  </si>
  <si>
    <t>“Could there be other sexual affairs? Cal Cunningham dodges.”
https://t.co/hvHfNU5SAa</t>
  </si>
  <si>
    <t>1314706958126125056</t>
  </si>
  <si>
    <t>Up until a week ago, Cal Cunningham was saying anything to get elected, now he’s saying nothing to get elected. 
He owes North Carolinians a full explanation.</t>
  </si>
  <si>
    <t>1314677377113509888</t>
  </si>
  <si>
    <t>Cal Cunningham premised his campaign on truth and honor. Yet the real Cal Cunningham that North Carolinians are getting to meet has shown that he cannot be trusted. https://t.co/pF1Jh9tiUY</t>
  </si>
  <si>
    <t>1314656267797966848</t>
  </si>
  <si>
    <t>"But reporters put a question to Cunningham four times about whether he was involved with any other women, and he refused to answer directly every time.”
Come clean, Cal. North Carolinians deserve answers, not more lies and hypocrisy. 
https://t.co/ToB3Zst8yA</t>
  </si>
  <si>
    <t>1314641870639820800</t>
  </si>
  <si>
    <t>Cal Cunningham used to make his personal life center to his campaign, but now that the real Cunningham has been exposed, he no longer believes questions about his personal life are relevant. His press conference today provided more questions than answers.
https://t.co/ItCFiqXDDx</t>
  </si>
  <si>
    <t>1314597492282007556</t>
  </si>
  <si>
    <t>Cal Cunningham has been disrespecting the media and all North Carolinians with his unwillingness to be transparent about the actions that now have him under investigation by the US Army. 
He needs to come clean today. https://t.co/V9ZqrMRtOu</t>
  </si>
  <si>
    <t>1314350337164275712</t>
  </si>
  <si>
    <t>The only time Cal Cunningham even came close to answering tough questions about his scandal was when a reporter ran into him hiding out at a Starbucks.
His campaign has been one big lie to the voters. He needs to come clean. https://t.co/u37PFBFtz6</t>
  </si>
  <si>
    <t>1314305410623508480</t>
  </si>
  <si>
    <t>Cal Cunningham is now facing an investigation by the US Army, but North Carolinians are nowhere closer to having all the answers on Cunningham's hypocrisy. 
Instead of hiding from the tough questions, he needs to come clean. https://t.co/dp5d6CwgWF</t>
  </si>
  <si>
    <t>1314283600989347845</t>
  </si>
  <si>
    <t>Joining @BillHemmer shortly. Tune in!</t>
  </si>
  <si>
    <t>1314274032422981632</t>
  </si>
  <si>
    <t>Cal Cunningham’s hypocritical campaign has just been ONE BIG LIE.
https://t.co/KC7TKn5yu6</t>
  </si>
  <si>
    <t>1314218505366114305</t>
  </si>
  <si>
    <t>Cal Cunningham is now under investigation by the U.S. Army Reserves. He needs to stop cancelling campaign events and offer North Carolinians a full explanation. https://t.co/nbvwRkdFNu</t>
  </si>
  <si>
    <t>1314167351093465088</t>
  </si>
  <si>
    <t>Chuck Schumer has spent over $80 million trying to paint one picture of Cal Cunningham, but North Carolinians are now realizing it was all one big lie and that Cunningham's candidacy is riddled with hypocrisy.
Watch our new ad here -&amp;gt; https://t.co/JImz4lcgAe</t>
  </si>
  <si>
    <t>1313953328674615297</t>
  </si>
  <si>
    <t>1313944968961064961</t>
  </si>
  <si>
    <t>“The Army Reserve is investigating the matters involving Lt. Col. James Cunningham. Based on what the 15-6 investigation finds, it could recommend…that Cunningham be charged under the Uniform Code of Military Justice.”
https://t.co/vzb4sGgz8E</t>
  </si>
  <si>
    <t>1313917691040878592</t>
  </si>
  <si>
    <t>Senator @ToddYoungIN is right: North Carolinians value integrity. We need to hear from Cal Cunningham. https://t.co/tBoNxtMpJh</t>
  </si>
  <si>
    <t>1313904806705139714</t>
  </si>
  <si>
    <t>Cal Cunningham’s conduct and dishonesty has gotten him under investigation by the U.S. Army Reserves.
The truth still matters in North Carolina, Cal. We need answers and we need them now.
https://t.co/HTpSBby3bG</t>
  </si>
  <si>
    <t>1313850607170654211</t>
  </si>
  <si>
    <t>Cal Cunningham is now under investigation by the U.S. Army Reserve. He owes North Carolinians a full explanation. The truth still matters in North Carolina, Cal. 
https://t.co/xTgOd01qz5</t>
  </si>
  <si>
    <t>1313650615592120320</t>
  </si>
  <si>
    <t>Today, I talked to @WRAL's David Crabtree about the latest developments in my race. Cal Cunningham hid from him. https://t.co/8b0cz6ghFS</t>
  </si>
  <si>
    <t>1313648536702070785</t>
  </si>
  <si>
    <t>Voters deserve answers from Cal Cunningham -- not ignored questions. https://t.co/IBWXGx0AoE</t>
  </si>
  <si>
    <t>1313644683390849024</t>
  </si>
  <si>
    <t>I agree with Cal Cunningham: this election is about integrity. 
Cal Cunningham owes all of North Carolina an explanation. https://t.co/ugxlT4KQeL</t>
  </si>
  <si>
    <t>1313603443228127233</t>
  </si>
  <si>
    <t>Cal Cunningham has said, "In North Carolina, the truth still matters." I agree. He owes North Carolinians a full explanation. https://t.co/N8bD2I7zUT</t>
  </si>
  <si>
    <t>1313517755702947842</t>
  </si>
  <si>
    <t>North Carolinians deserve to hear from Cal Cunningham.
He should come out of his windowless basement and provide answers.
https://t.co/SLSMJv9Tfb</t>
  </si>
  <si>
    <t>1313474184031469569</t>
  </si>
  <si>
    <t>Cal owes the people of North Carolina a full explanation. He should stop cancelling campaign events and provide one. https://t.co/BmsruWcEPL</t>
  </si>
  <si>
    <t>1313457367850328071</t>
  </si>
  <si>
    <t>Joining @FoxNews shortly for my first interview since testing positive for COVID-19. Hope you tune in!</t>
  </si>
  <si>
    <t>1313279163583942658</t>
  </si>
  <si>
    <t>Here’s what I’m doing to support COVID-19 research, our frontline healthcare workers, and North Carolina businesses impacted by this pandemic: 
https://t.co/qlJhfrn9x6</t>
  </si>
  <si>
    <t>1313254056069083136</t>
  </si>
  <si>
    <t>While I’m feeling much better than I did just yesterday, not all victims of COVID19 are recovering as seamlessly-- we should continue to be diligent of best practices, like washing hands and social distancing, to end the spread of this dangerous disease.
https://t.co/t527YSjKSc</t>
  </si>
  <si>
    <t>1313146609891454981</t>
  </si>
  <si>
    <t>Thank you for all your kind wishes and prayers!
I am doing well and while I am working from home now, I look forward to getting back to Washington very soon to confirm our next Supreme Court Justice — Amy Coney Barrett. 
https://t.co/MFjb7C4e4i</t>
  </si>
  <si>
    <t>1323656729306030081</t>
  </si>
  <si>
    <t>Biden brings 'anti-fracking activist' Lady Gaga to Pa. rally https://t.co/PfTUgkQvYG #FoxNews</t>
  </si>
  <si>
    <t>1323638016368410629</t>
  </si>
  <si>
    <t>U.S. Cyber Command Expands Operations to Hunt Hackers From Russia, Iran and China https://t.co/fqWGwXQOif</t>
  </si>
  <si>
    <t>1323635461915582464</t>
  </si>
  <si>
    <t>The radicals pouring 10s of millions of $ into Texas this election want to turn Texas into California.  #notonmywatch #VOTE https://t.co/434AS0w8Ri</t>
  </si>
  <si>
    <t>1323635043277905922</t>
  </si>
  <si>
    <t>Shoplifting has essentially been decriminalized in California, and retailers that apprehend thieves can be sued.  https://t.co/lP9xH7QpvN via @WSJ</t>
  </si>
  <si>
    <t>1323627928920481792</t>
  </si>
  <si>
    <t>Rural Texas will determine the outcome of this election.  #VOTE https://t.co/jhMYLMQeia</t>
  </si>
  <si>
    <t>1323627281009573888</t>
  </si>
  <si>
    <t>HAPPY ELECTION DAY: If you haven’t voted yet, vote. #VOTE</t>
  </si>
  <si>
    <t>1323281811682844674</t>
  </si>
  <si>
    <t>Great to be back in Laredo! #VOTE</t>
  </si>
  <si>
    <t>1323078518985601027</t>
  </si>
  <si>
    <t>Good to see my longtime friend @BarriosLouis and enjoy a great meal on a beautiful night on the patio at https://t.co/FEaIJAfEmb. https://t.co/iYzbCQM03o</t>
  </si>
  <si>
    <t>1322889576785022980</t>
  </si>
  <si>
    <t>Sen. John Cornyn stops in Waco, Belton as part of bus tour https://t.co/mO57k2oriq via @KCENNews</t>
  </si>
  <si>
    <t>1322635848752467973</t>
  </si>
  <si>
    <t>Big outside $ from NY and California. Texas Senate seat not for sale.  #VOTE https://t.co/IaQcv23Ga6</t>
  </si>
  <si>
    <t>1322559169220775941</t>
  </si>
  <si>
    <t>Senator John Cornyn's 'Get Out The Vote' bus tour makes stop in Abilene https://t.co/YFfSgzcx7k</t>
  </si>
  <si>
    <t>1322512282291720192</t>
  </si>
  <si>
    <t>Campaigning with California Senator to make Texas more like California? #NotOnMyWatch 
US Senate candidate MJ Hegar touring Texas with VP candidate Kamala Harris https://t.co/dAwstpndfu via @KVUE</t>
  </si>
  <si>
    <t>1322384095586979840</t>
  </si>
  <si>
    <t>Great to see old friends Tom And Lisa Perini in Buffalo Gap at @PeriniRanch .  Thanks for catching up and the great meal for weary travelers.  We need the energy to run through the tape in the November 3rd election. #VOTE https://t.co/uzWqstfxdx</t>
  </si>
  <si>
    <t>1322329515121672192</t>
  </si>
  <si>
    <t>There are still 3.6 million registered voters who voted in at least one of the last four General Elections (2012, 2014, 2016, and/or 2018) who have NOT voted yet. @longhornderek</t>
  </si>
  <si>
    <t>1322307652383313922</t>
  </si>
  <si>
    <t>👍. Keep going. Run through the tape #VOTE https://t.co/8v8doG4Ud4</t>
  </si>
  <si>
    <t>1322245518370721792</t>
  </si>
  <si>
    <t>I’ve joined @SenatorMenendez to introduce a bipartisan resolution to designate Uyghur human rights abuses by China as genocide. China needs to be held accountable for their monstrous actions. https://t.co/ePOkgBav8V</t>
  </si>
  <si>
    <t>1322245399990718464</t>
  </si>
  <si>
    <t>Proud to join @RepPeteOlson, @RepKayGranger, and @HurdOnTheHill in honoring these incredible Texans. Their dedication to serving their communities and putting others before themselves truly embodies the Texas spirit. https://t.co/X3RG0YFQ1K</t>
  </si>
  <si>
    <t>1322241141601980417</t>
  </si>
  <si>
    <t>.@mjhegar: ask @SenKamalaHarris  if she has still supports fracking ban and the #GreenNewDeal which will destroy 100s of 1000s of Texas jobs and our vibrant economic comeback.  How does she feel about your carbon tax proposal for raising utility bills on seniors on fixed income? https://t.co/BVI3b8G7P8</t>
  </si>
  <si>
    <t>1322232272406388742</t>
  </si>
  <si>
    <t>Back in the Hub City @WindmillMuseum. Texas generates more electricity from wind than any other state. Texans support an #alloftheabove energy policy and not picking winners and losers. #nocarbontax https://t.co/bRj9lYDDdy</t>
  </si>
  <si>
    <t>1322198967925559297</t>
  </si>
  <si>
    <t>Great to be on the High Plains of Texas, and @TheBigTexan for our #saddleupandvote tour.  Thanks to @kseliger @FourPriceTX  John Smithee and @TFRW for joining us.  #VOTE https://t.co/TUMlwpbqNd</t>
  </si>
  <si>
    <t>1322153737587216385</t>
  </si>
  <si>
    <t>https://t.co/YTqZNKHLCC</t>
  </si>
  <si>
    <t>1322005483172102146</t>
  </si>
  <si>
    <t>#NotOnMyWatch https://t.co/oacPnsHXiw</t>
  </si>
  <si>
    <t>1321983162982014976</t>
  </si>
  <si>
    <t>See you then https://t.co/smbC4wB1Za</t>
  </si>
  <si>
    <t>1321975988327190528</t>
  </si>
  <si>
    <t>Whitlock: Why we need to send Sen. Cornyn back to Washington https://t.co/MV0XBos82j via @RioGGuardian</t>
  </si>
  <si>
    <t>1321927835200704512</t>
  </si>
  <si>
    <t>Buddy is excited to hear it is #NationalCatDay https://t.co/CesHjt8DMC</t>
  </si>
  <si>
    <t>1321924795706019842</t>
  </si>
  <si>
    <t>True https://t.co/0vuenN3t4k</t>
  </si>
  <si>
    <t>1321903690773680128</t>
  </si>
  <si>
    <t>#JennasLaw shows that training teachers, caregivers, and students to recognize &amp;amp; report child sexual abuse saves lives. It’s been successful in Texas and I’m proud my national version passed the Senate last month. I urge the House to act quickly. https://t.co/Vh4oLbPGmL</t>
  </si>
  <si>
    <t>1321862033944551424</t>
  </si>
  <si>
    <t>Always great to stop at Buc-ee’s https://t.co/4IKOzFxQRe</t>
  </si>
  <si>
    <t>1321837532271812610</t>
  </si>
  <si>
    <t>She is trying to make it harder https://t.co/SpvJKJ0Ibp</t>
  </si>
  <si>
    <t>1321808583831494662</t>
  </si>
  <si>
    <t>Iranian Confidence in Government Under 50% for First Time https://t.co/AOMMpd8gjC #</t>
  </si>
  <si>
    <t>1321807657410404353</t>
  </si>
  <si>
    <t>Economy Grows at Record Pace in Third Quarter, Remains Below Pre-Pandemic Levels https://t.co/QLEyQPaJlK</t>
  </si>
  <si>
    <t>1321778709590933511</t>
  </si>
  <si>
    <t>The positive experience of Massachusetts parochial schools in handling Covid with classroom instruction shows unions are wrong to fight re-openings. https://t.co/MNLtm7tvoX via @WSJ</t>
  </si>
  <si>
    <t>1321638869767458818</t>
  </si>
  <si>
    <t>John Cornyn embarks on final reelection sprint as late Democratic spending crests in U.S. Senate race https://t.co/bJdRMHUssY via @TexasTribune</t>
  </si>
  <si>
    <t>1321562129309335554</t>
  </si>
  <si>
    <t>US senators seek to declare Uighur 'genocide’ by China in bipartisan push https://t.co/Uxyyp1tot8</t>
  </si>
  <si>
    <t>1321561523668529159</t>
  </si>
  <si>
    <t>Thanks to ⁦@tamuCR⁩ for helping us with a great get out the vote rally in Bryan/College Station. #saddleupandvote https://t.co/gODdLKtc39</t>
  </si>
  <si>
    <t>1321469226771746820</t>
  </si>
  <si>
    <t>I don’t trust anyone to censor political speech. These are de facto public forums. https://t.co/j7SaNGAwLY</t>
  </si>
  <si>
    <t>1321453687844339713</t>
  </si>
  <si>
    <t>“She is also benefiting of late from millions of dollars in outside spending by liberal super PACs, causing Cornyn to charge that coastal elites are trying to bankroll an upset in the Lone Star State.”</t>
  </si>
  <si>
    <t>1321453686288195584</t>
  </si>
  <si>
    <t>Cornyn’s, Hegar’s fundraising tallies once would’ve been record-setting, but are now just average  https://t.co/2CF6HxvTER</t>
  </si>
  <si>
    <t>1321441507581243392</t>
  </si>
  <si>
    <t>Sandy and I will add two more this morning. #VOTE https://t.co/GOyjpiWmmJ</t>
  </si>
  <si>
    <t>1321440266553905153</t>
  </si>
  <si>
    <t>Always, Lavinia https://t.co/buV7rNQT4r</t>
  </si>
  <si>
    <t>1321440158806380552</t>
  </si>
  <si>
    <t>Lots and lots of New York, DC, and California money.  They want to make us like them. #NotOnMyWatch https://t.co/cv1QVMIsTY</t>
  </si>
  <si>
    <t>1321439873774084098</t>
  </si>
  <si>
    <t>With sunshine in our hearts, always a good day to vote! https://t.co/asvJWNKweq</t>
  </si>
  <si>
    <t>1321408432151343104</t>
  </si>
  <si>
    <t>Push for Ports-to-Plains Interstate Corridor Moves to U.S. Senate https://t.co/pZjNJnDIX9</t>
  </si>
  <si>
    <t>1321170309341392896</t>
  </si>
  <si>
    <t>Espero poder abogar en nombre de casi el 40% de los Texans que se identifican como hispanos por un museo nacional que resalte su experiencia estadounidense. https://t.co/cXemSUGU9T</t>
  </si>
  <si>
    <t>1321170159709622275</t>
  </si>
  <si>
    <t>En Texas, sabemos que la historia estadounidense no se cuenta adecuadamente sin la cultura y las historias de los latinos que han ayudado a construir nuestro país.</t>
  </si>
  <si>
    <t>1321170069334953985</t>
  </si>
  <si>
    <t>In Texas, we know American history isn’t properly told w/o the culture &amp;amp; stories of Latinos who helped build our country. Looking forward to advocating on behalf of the nearly 40% of Texans who identify as Hispanic for a national museum that highlights their American experience. https://t.co/bFlstLKrTx</t>
  </si>
  <si>
    <t>1321113411762167809</t>
  </si>
  <si>
    <t>Pentagon awards Texas A&amp;amp;M $100 million to manage hypersonic weapons alliance https://t.co/wRf6HJaur5 via @washtimes</t>
  </si>
  <si>
    <t>1321094098850357253</t>
  </si>
  <si>
    <t>U.S. warns of threat posed by China, signs military pact with India https://t.co/MswM7CwD1f</t>
  </si>
  <si>
    <t>1321033925783945221</t>
  </si>
  <si>
    <t>AOC is seen as one of SCHUMER’S top potential primary challengers. https://t.co/iHvCQJkoNB</t>
  </si>
  <si>
    <t>1321033704597278721</t>
  </si>
  <si>
    <t>Rep. ALEXANDRIA OCASIO-CORTEZ (D-N.Y.). AOC tweeted this: “Expand the court... ." @playbookplus</t>
  </si>
  <si>
    <t>1320892293189173248</t>
  </si>
  <si>
    <t>Great leadership https://t.co/V4PS1NkkFM</t>
  </si>
  <si>
    <t>1320887537435578368</t>
  </si>
  <si>
    <t>There's no question that Judge Barrett has a brilliant legal mind, a deep respect for the Constitution, and an unwavering commitment to the rule of law. Her character is beyond reproach and she is exceptionally qualified to serve on the Supreme Court. https://t.co/dc0Fv7VVpP</t>
  </si>
  <si>
    <t>1320869234315067393</t>
  </si>
  <si>
    <t>@senatemajldr delivering concluding remarks on nomination of #ACB before confirmation vote shortly.</t>
  </si>
  <si>
    <t>1320841298862088201</t>
  </si>
  <si>
    <t>The Sec. of State is now reporting that 43.5% of, or 7,376,276, registered voters have voted early. In 2016, 8,969,226 individuals voted. We are 82% of the way to the total turnout in the 2016 General Election with five days of early voting and Election Day left! @longhornderek</t>
  </si>
  <si>
    <t>1320812383053500421</t>
  </si>
  <si>
    <t>For Biden “transition” = strangulation https://t.co/w47C7dgz5S</t>
  </si>
  <si>
    <t>1320811741874475008</t>
  </si>
  <si>
    <t>😂 https://t.co/ktfFGSuKf9</t>
  </si>
  <si>
    <t>1320810254267985920</t>
  </si>
  <si>
    <t>Joe Biden will transition” fracking out of existence with regulation. https://t.co/iTGyQNdvee</t>
  </si>
  <si>
    <t>1320766581547421696</t>
  </si>
  <si>
    <t>By a 59-41 margin, registered voters say the Senate should vote on the nomination before Election Day in a Dallas Morning News/University of Texas at Tyler poll released on Sunday. https://t.co/mbWsvGnhsg</t>
  </si>
  <si>
    <t>1320706094537314309</t>
  </si>
  <si>
    <t>Gov. Abbott announces additional HHS resources; Sen. Cornyn urges Army to allow use of WBAMC – El Paso Herald Post https://t.co/TvOdcSYUtA</t>
  </si>
  <si>
    <t>1320518508057370628</t>
  </si>
  <si>
    <t>$500 Billion is more than a scrap of paper. If vaccines are delayed it is because Ds dragged their feet. Politics over people. https://t.co/UUk8iUh70G</t>
  </si>
  <si>
    <t>1320478334908813314</t>
  </si>
  <si>
    <t>States That Will Decide The 2020 Election Are Reliant On An Industry Joe Biden Has Vowed To Eliminate https://t.co/NCTcrIyjVg</t>
  </si>
  <si>
    <t>1320473074307899393</t>
  </si>
  <si>
    <t>Does she even know Houston is the energy capital of the world?  And she wants to ban fossil fuels and fracking?  Awkward. https://t.co/4gv4NJXopS</t>
  </si>
  <si>
    <t>1320467913292337153</t>
  </si>
  <si>
    <t>Another self- avowed enemy of Texas energy jobs https://t.co/5vEccQ16fn</t>
  </si>
  <si>
    <t>1320442415115870209</t>
  </si>
  <si>
    <t>Not so.  Senate Democrats have blocked bill after bill on the Senate floor that would have provided additional COVID-19 relief, since the Congress passed 4 bills earlier this year totaling $3.8 trillion.  They can't defeat her on the merits, so they try to change the subject. https://t.co/ENIdIOTUpP</t>
  </si>
  <si>
    <t>1320375067101061121</t>
  </si>
  <si>
    <t>On the other hand, court packing, as RBG herself noted, would turn judiciary into another political branch and destroy our system of government.  Senator Schumer himself said everything is on the table.</t>
  </si>
  <si>
    <t>1320375066060820480</t>
  </si>
  <si>
    <t>I am confident #ACB will follow, not violate, her judicial oath.</t>
  </si>
  <si>
    <t>1320375063749812224</t>
  </si>
  <si>
    <t>History is replete with Justices who diverged from the agendas of the President’s who appointed them: Blackmon, Souter, Kennedy,   and Roberts to name a few.  That is because judicial independence is the cornerstone of our constitutional republic. https://t.co/slaPFgaiTj</t>
  </si>
  <si>
    <t>1320371264222040066</t>
  </si>
  <si>
    <t>It’s happening. https://t.co/BUKnn56hrz</t>
  </si>
  <si>
    <t>1320346761618182144</t>
  </si>
  <si>
    <t>The military agreement is part of a U.S. effort to bolster cooperation in the Pacific and Indian oceans and counter an increasingly assertive China https://t.co/oL1NAvIk0W via @WSJ</t>
  </si>
  <si>
    <t>1320343894849191936</t>
  </si>
  <si>
    <t>This poll was concluded on the 20th.  Last debate for POTUS was on the 22nd, when Biden dissed Texas energy producers and workers, and threatened Texas and US economy.  Can't imagine this didn't have an impact on Biden's numbers. https://t.co/oHoyPftJPx</t>
  </si>
  <si>
    <t>1320111447066673152</t>
  </si>
  <si>
    <t>This has nothing to do with Judge Barrett and everything to do with Democrats’ ultimate goal of packing the courts with more liberal judges. https://t.co/jt5yLwnYAN</t>
  </si>
  <si>
    <t>1320111446299115527</t>
  </si>
  <si>
    <t>Rather than considering Judge Barrett’s nomination based on her merits, Democrats have tried to hijack the process. They’re trying to stoke fears about how she will rule on hypothetical cases that have not and may never come before the Court.</t>
  </si>
  <si>
    <t>1320111221899755522</t>
  </si>
  <si>
    <t>Joe Biden is planning to destroy the Texas energy industry. He's not a friend of the domestic energy industry or the hundreds of thousands of people who depend on it for their jobs.
https://t.co/Uahxncxx86</t>
  </si>
  <si>
    <t>1320009517749424129</t>
  </si>
  <si>
    <t>Texas Gov․ Abbott: Biden's transition from oil would 'transition Texans from their paycheck https://t.co/3PAXq3SDk6 via @washtimes</t>
  </si>
  <si>
    <t>1319968393802452992</t>
  </si>
  <si>
    <t>Alarming failure rates among Texas students fuel calls to get them back into classrooms https://t.co/qNpeOgboku via @TexasTribune</t>
  </si>
  <si>
    <t>1319965757623730178</t>
  </si>
  <si>
    <t>3) and you are irresponsibly stoking the fears of the American people while likely aiding foreign powers' disinformation campaigns designed to sow chaos and confusion in our country.  Shameful.</t>
  </si>
  <si>
    <t>1319965756604514305</t>
  </si>
  <si>
    <t>This is just reckless propaganda.  1) No one knows how a judge will rule on a case they have not yet heard.  2) You assume she will violate her oath of office, which is a gratuitous insult, https://t.co/OWWBMcqnBp</t>
  </si>
  <si>
    <t>1319963842252840965</t>
  </si>
  <si>
    <t>Now Joe has upset just about everyone: Biden’s Fracking Flip-Flops Could Alienate Environmentalists https://t.co/Zg06o1W6eT</t>
  </si>
  <si>
    <t>1319787836317618179</t>
  </si>
  <si>
    <t>Joe Biden's fossil fuel remarks put Texas Democrats on defensive even as poll shows Trump trailing https://t.co/Qo0oObKWsv</t>
  </si>
  <si>
    <t>1319785145499602944</t>
  </si>
  <si>
    <t>Through yesterday, 6,391,021 have voted by mail or in person (37.7% of all registered voters). https://t.co/58F1011liK</t>
  </si>
  <si>
    <t>1319784858902822912</t>
  </si>
  <si>
    <t>Of the five million who have not voted yet, 1.3 million have most recently voted in a Republican Primary and 900,000 have most recently voted in a Democratic Primary. @longhornderek</t>
  </si>
  <si>
    <t>1319778948264448001</t>
  </si>
  <si>
    <t>Sad https://t.co/tDjH4TMUfA</t>
  </si>
  <si>
    <t>1319755322031001603</t>
  </si>
  <si>
    <t>That was the start https://t.co/ABSETvxp3O</t>
  </si>
  <si>
    <t>1319730738393157632</t>
  </si>
  <si>
    <t>Independence.  Oil is a global commodity.  A carbon tax would make US energy more expensive, buyers will simply go to lower cost sources, like Russia, Saudis, etc.  With less demand, US would produce less. Bye-bye US jobs; hello vulnerable energy supply from Middle East. https://t.co/PjdgvU2Xb9</t>
  </si>
  <si>
    <t>1319703134130868231</t>
  </si>
  <si>
    <t>Senator Schumer moved to table. https://t.co/axNs9QwdJy</t>
  </si>
  <si>
    <t>1319702818287214592</t>
  </si>
  <si>
    <t>He moved to postpone then moved to table his motion.  You read that correctly. https://t.co/4gcvh05gKk</t>
  </si>
  <si>
    <t>1319690301297074176</t>
  </si>
  <si>
    <t>Republican Senators reopen the Senate to consider the nomination of Judge Amy Comey Barrett to the US Supreme Court.  #ACB #letthesunshinein https://t.co/9ngKAyvqs3</t>
  </si>
  <si>
    <t>1319689930512228352</t>
  </si>
  <si>
    <t>Why would Ds do this except to harass? https://t.co/daQtgo3ouf</t>
  </si>
  <si>
    <t>1319686207555731457</t>
  </si>
  <si>
    <t>My bipartisan Save Our Stages Act will offer a lifeline to countless jobs in the music &amp;amp; entertainment industry that are hurting during the #COVID19 pandemic. Proud to say it now has support from a majority of the Senate – it’s time to pass this &amp;amp; deliver relief to Texans. https://t.co/mpv4dEg3Yu</t>
  </si>
  <si>
    <t>1319686042585337856</t>
  </si>
  <si>
    <t>Very impressive. Anika Chebrolu just won the 3M Young Scientist Challenge award for her research in developing a possible cure for #COVID19. You make Texas proud, Anika! https://t.co/uW2JNGr6jP</t>
  </si>
  <si>
    <t>1319651018838298625</t>
  </si>
  <si>
    <t>Obama/Biden administration https://t.co/NdIiFD40om</t>
  </si>
  <si>
    <t>1319647967318626305</t>
  </si>
  <si>
    <t>https://t.co/EYi8AoSnAx https://t.co/WBQyqhK5q3</t>
  </si>
  <si>
    <t>1319646830842568706</t>
  </si>
  <si>
    <t>Aspirational goals for clean energy are fine, but let's do it by innovation, not higher taxes.  You support a carbon tax, that will raise prices for Texans on fixed incomes, destroy Texas energy jobs, and make us reliant, once again, on Middle East imports.  Bad for Texas and US. https://t.co/Thgrjx4rzf</t>
  </si>
  <si>
    <t>1319627879626559493</t>
  </si>
  <si>
    <t>Someone tell Joe about the Permanent University Fund and it’s role in funding higher education in Texas. https://t.co/To9jn0hnT6</t>
  </si>
  <si>
    <t>1319625625964105729</t>
  </si>
  <si>
    <t>I am all for a future of more EVs (now roughly 2%) but wonder how much it will cost taxpayers for “rebates”?   Glad people have more choices but most can’t afford expensive EVs now. But cars are just part of the puzzle. https://t.co/TXzDCVAvZS</t>
  </si>
  <si>
    <t>1319620897700040710</t>
  </si>
  <si>
    <t>Good point. https://t.co/LPhxtVDbbU</t>
  </si>
  <si>
    <t>1319609101333204993</t>
  </si>
  <si>
    <t>And how do they propose to “transition” 270 million cars with internal combustion engines?  What will that cost? https://t.co/2V4Uhepmo4</t>
  </si>
  <si>
    <t>1319608328046116865</t>
  </si>
  <si>
    <t>Bernie Sanders makes a play for Biden Labor secretary  https://t.co/yTqh86KOU8 via @politico</t>
  </si>
  <si>
    <t>1319597330895638529</t>
  </si>
  <si>
    <t>What happened to “all of the above”? https://t.co/UYNmfC8zLm</t>
  </si>
  <si>
    <t>1319592903669317632</t>
  </si>
  <si>
    <t>Big Mistake? Biden Says He’ll ‘Transition’ From Oil Industry, Twitter Explodes: ‘Might Have Sealed The Deal’ https://t.co/EZQjKBTQGY</t>
  </si>
  <si>
    <t>1319590667023245312</t>
  </si>
  <si>
    <t>Sounds familiar.  Biden record one of broken promises, such that no D defends the ACA's high premiums and deductibles, so he offers a "new plan" altogether.  Meanwhile @mjhegar , Bernie, Warren et al push for a government run single-payer system.  Classic bait and switch. https://t.co/uUjj6fThKF</t>
  </si>
  <si>
    <t>1319587383390724098</t>
  </si>
  <si>
    <t>New text messages and emails raise questions about Joe Biden’s involvement in his son’s scheme to cash in on the family name with a U.S. rival, writes @KimStrassel https://t.co/4hK62AZDad via @WSJ</t>
  </si>
  <si>
    <t>1319431438031327234</t>
  </si>
  <si>
    <t>We've reached the halfway point of the early voting period and over one-third of registered voters in Texas have voted (5,887,488 people). @longhornderek</t>
  </si>
  <si>
    <t>1319394029293998080</t>
  </si>
  <si>
    <t>This is all for show and to cover up what they are really about: packing the Supreme Court with additional partisan judges. https://t.co/pYNyQa1TMF</t>
  </si>
  <si>
    <t>1319394028199268352</t>
  </si>
  <si>
    <t>Today, Senate Democrats decided to boycott one of the most important votes the Judiciary Committee will have. Why? Because they think Judge Amy Coney Barrett will somehow violate her oath of office despite everything she has done and who she is.</t>
  </si>
  <si>
    <t>1319372342724861954</t>
  </si>
  <si>
    <t>More California money flooding in for MJ Hegar.  That is on top of the $15 million NY Senator Schumer has bankrolled.  They will soon learn that a Texas Senate seat is not for sale. #NotOnMyWatch https://t.co/6FTVxN3msF</t>
  </si>
  <si>
    <t>1319368346975043585</t>
  </si>
  <si>
    <t>I know who I would bet on https://t.co/limjO29ILg</t>
  </si>
  <si>
    <t>1319340781866463233</t>
  </si>
  <si>
    <t>July 30, Democrats block extension of unemployment benefits: https://t.co/3iiqkmpDKM</t>
  </si>
  <si>
    <t>1319340780432072713</t>
  </si>
  <si>
    <t>August 3, Democrats reject extension of unemployment benefits: https://t.co/88g4H11Gq2</t>
  </si>
  <si>
    <t>1319340779035414528</t>
  </si>
  <si>
    <t>August 4, Democrats block extension of unemployment benefits: https://t.co/AlijskKb07</t>
  </si>
  <si>
    <t>1319340777558999041</t>
  </si>
  <si>
    <t>September 10, blocked. Democrats declared the $300 billion relief bill was “going nowhere” before Senator McConnell even released the text: https://t.co/LwrmgceqgG</t>
  </si>
  <si>
    <t>1319340775918964738</t>
  </si>
  <si>
    <t>October 20, Senator Schumer wants to go home for three weeks: https://t.co/gjlceYspZK</t>
  </si>
  <si>
    <t>1319340774165798912</t>
  </si>
  <si>
    <t>Over and over again, Democrats continue to block additional #COVID19 relief.
October 21, blocked: https://t.co/Da0aBYH0Op</t>
  </si>
  <si>
    <t>1319315390233706499</t>
  </si>
  <si>
    <t>"Everything" including court packing on the agenda. https://t.co/sFGkirsKVz</t>
  </si>
  <si>
    <t>1319315022020042752</t>
  </si>
  <si>
    <t>Sorry but we are working on the Amy Coney Barrett nomination to the SCOTUS.  But if you are looking for a question to ask, you could ask about this: https://t.co/bvDAoqC9bf https://t.co/GfdSGhFy4c</t>
  </si>
  <si>
    <t>1319271354294767616</t>
  </si>
  <si>
    <t>Pompeo and Esper will visit India next week, part of an effort to cement U.S. ties with New Delhi in their mutual rivalry with China  https://t.co/uaJdZXZcC2 via @WSJ</t>
  </si>
  <si>
    <t>1319263448551677953</t>
  </si>
  <si>
    <t>Senate Judiciary Committee Democrats boycott committee vote on #ACB https://t.co/tqTI6EMVIP</t>
  </si>
  <si>
    <t>1319228755479592961</t>
  </si>
  <si>
    <t>China Disinformation Ops Target Top GOP Lawmaker https://t.co/2i2OkaI0ie</t>
  </si>
  <si>
    <t>1319073995375988737</t>
  </si>
  <si>
    <t>Iran is responsible for a wave of fake emails intended to intimidate voters and incite social unrest, the top U.S. intelligence official said Wednesday https://t.co/x0ESlgOO39</t>
  </si>
  <si>
    <t>1319065084304523266</t>
  </si>
  <si>
    <t>Iran and Russia obtained voter registration data, feds say https://t.co/ZXHoPYqNTN via @politico</t>
  </si>
  <si>
    <t>1319056491261890560</t>
  </si>
  <si>
    <t>Would destroy Texas’s energy jobs. https://t.co/BUvl7VTsja</t>
  </si>
  <si>
    <t>1319021868163174404</t>
  </si>
  <si>
    <t>Senate Republicans are dedicated to providing additional, nonpartisan funding that fits our shared priorities and will help countless Texans, but Democrats continue to prevent the Senate from even debating another #COVID19 relief bill. This is shameful. https://t.co/qkBNw2a0MA</t>
  </si>
  <si>
    <t>1318971127239184384</t>
  </si>
  <si>
    <t>China's influence operations offer a glimpse into the future of information warfare https://t.co/9yW6TiOA3X</t>
  </si>
  <si>
    <t>1318939803111641088</t>
  </si>
  <si>
    <t>Congress has provided more than $3 trillion in #COVID19 relief, but after speaking with countless Texans I know how critical it is to get more relief passed. That’s what we tried to do yesterday with The Continuing Paycheck Protection Act, but Democrats blocked it. https://t.co/5jWrU3VVwM</t>
  </si>
  <si>
    <t>1318910441523941376</t>
  </si>
  <si>
    <t>They want to do to Texas what they have done to California.  #NotOnMyWatch https://t.co/xSUiRt21o3</t>
  </si>
  <si>
    <t>1318702388342120448</t>
  </si>
  <si>
    <t>Trying to block COVID-19 rwlief https://t.co/QolKntGhUZ</t>
  </si>
  <si>
    <t>1318697447615496193</t>
  </si>
  <si>
    <t>So don't block it.  Build on it.  Otherwise, you are part of the problem, not the solution. https://t.co/wOT2i0RKuz</t>
  </si>
  <si>
    <t>1318693796012560385</t>
  </si>
  <si>
    <t>Through Monday, 28% of registered voters have voted early (4,708,734 voters) @longhornderek</t>
  </si>
  <si>
    <t>1318691787607859202</t>
  </si>
  <si>
    <t>Why we need another COVID-19 relief bill. Survey: Disappointed and Frustrated, Small Business Owners Feel Left Behind by Congress https://t.co/jarbdW2F10</t>
  </si>
  <si>
    <t>1318644596507901953</t>
  </si>
  <si>
    <t>Praying for the family of Houston Police Dept. Sgt. Harold Preston, a 41 year veteran of the HPD. I’m humbled by his service and grateful for injured Officer Courtney Waller &amp;amp; all @houstonpolice &amp;amp; @HoustonFire involved in responding to today’s incident. #Pray4Police</t>
  </si>
  <si>
    <t>1318622697337872385</t>
  </si>
  <si>
    <t>On top of $3.8 trillion already committed by four previous bills, including the #CARESAct https://t.co/EXEiKIf8F9</t>
  </si>
  <si>
    <t>1318619361452634112</t>
  </si>
  <si>
    <t>Only in DC is $500 billion "skinny." https://t.co/nystAviVOa</t>
  </si>
  <si>
    <t>1318561201736060934</t>
  </si>
  <si>
    <t>Glad to see some of the #CARESAct funding put to good use for public safety. https://t.co/SPwcEd8KQU</t>
  </si>
  <si>
    <t>1318503323067187204</t>
  </si>
  <si>
    <t>Biden’s Public Option Would Mean Massive Tax Hikes
The middle class will eventually be taxed to pay for a government run health-insurance plan.
@lanheechen and Daniel L. Heil https://t.co/btpqFfTyQm via @WSJ</t>
  </si>
  <si>
    <t>1318502934540406784</t>
  </si>
  <si>
    <t>The Middle East has changed. Now, Arab leaders fear a President Biden may spurn Israel and cozy up to Turkey and Iran, writes @wrmead https://t.co/hj7QRGJu96 via @WSJ</t>
  </si>
  <si>
    <t>1318500324148117504</t>
  </si>
  <si>
    <t>51% in U.S. Want Amy Coney Barrett Seated on Supreme Court https://t.co/vWjBtAEIiQ</t>
  </si>
  <si>
    <t>1318498246646444033</t>
  </si>
  <si>
    <t>On this day in 1803, the U.S. Senate ratified the Louisiana Purchase Treaty. The U.S. paid France less than 3 cents an acre for 828,000 square miles of territory stretching from the Mississippi River to the Rockies and from the Gulf of Mexico to the Canadian border. @WSJ</t>
  </si>
  <si>
    <t>1318367174117986304</t>
  </si>
  <si>
    <t>MJ please call him and tell him Texans need help. He recruited you and bankrolled your campaign.  Maybe he will listen to you. https://t.co/x9lemdaAtG</t>
  </si>
  <si>
    <t>1318366586965819392</t>
  </si>
  <si>
    <t>Blocking COVID-19 relief https://t.co/19zMHkfG8s</t>
  </si>
  <si>
    <t>1318363412875874307</t>
  </si>
  <si>
    <t>Texas puts frontline workers, people with chronic conditions at front of line for eventual COVID-19 vaccine https://t.co/CsFN8ULXeQ</t>
  </si>
  <si>
    <t>1318308570216255492</t>
  </si>
  <si>
    <t>The Tice family has had an empty seat at their dinner table for 8 years now. I’m grateful to the Administration for their continued efforts to bring Austin home. It’s time for Austin’s captors to release him immediately. #FreeAustinTice https://t.co/ZZuv0MVAAC</t>
  </si>
  <si>
    <t>1318213117114044422</t>
  </si>
  <si>
    <t>Who says voting in Texas is hard? #vote https://t.co/D1jx1CWqNU</t>
  </si>
  <si>
    <t>1318205240714416128</t>
  </si>
  <si>
    <t>Yeah, Democrats like you, and including my opponent, no longer believe in border security at all. She compared the Border Patrol to Communist Chinese agents committing genocide. https://t.co/hij06D2XIP</t>
  </si>
  <si>
    <t>1318142746947997698</t>
  </si>
  <si>
    <t>A trans-Atlantic “narco-sub” seized last year in Spain that was carrying tons of  cocaine represents a new tactic in trafficking to Europe, law-enforcement officials say https://t.co/dxhvO7XhAv via @WSJ</t>
  </si>
  <si>
    <t>1318142174249234432</t>
  </si>
  <si>
    <t>"No government ever voluntarily reduces itself in size.
Government programs, once launched, never disappear.
Actually, a government bureau is the nearest thing to
eternal life we'll ever see on this earth!"
-- Ronald Reagan
(1911-2004) 40th US President</t>
  </si>
  <si>
    <t>1318141258536308736</t>
  </si>
  <si>
    <t>The Cost of Bidenomics: A new study predicts $6,500 less in median household income by 2030. https://t.co/YHUkIG5e9E via @WSJ</t>
  </si>
  <si>
    <t>1318141114361274368</t>
  </si>
  <si>
    <t>A 104-seat U.S. Senate is on the agenda if Democrats sweep the election. https://t.co/yatU5gkF1J via @WSJ</t>
  </si>
  <si>
    <t>1318136263472533505</t>
  </si>
  <si>
    <t>"Republican registration has ticked up in key states at the same time Democratic field operations were in hibernation.":  The hidden factors that could produce a surprise Trump victory https://t.co/8gluPbJFPt via @politico</t>
  </si>
  <si>
    <t>1318135428676046848</t>
  </si>
  <si>
    <t>Senate Majority Leader MITCH MCCONNELL is going to tee up votes Tuesday on the Paycheck Protection Program and Wednesday on the rest of a $500-billion stimulus bill. Democrats are expected to block this, and it will almost certainly fail. @playbookplus #sad</t>
  </si>
  <si>
    <t>1317950874795143168</t>
  </si>
  <si>
    <t>A White House official had meetings in Syria for the first time in a decade, seeking the release of at least two Americans being held https://t.co/ZZuv0MDZc2</t>
  </si>
  <si>
    <t>1317864037078716418</t>
  </si>
  <si>
    <t>Ultimately, power in Americans and their right to grant or withhold consent.  Use it or lose it. #vote https://t.co/eNq5tvNWfN</t>
  </si>
  <si>
    <t>1317825082018975744</t>
  </si>
  <si>
    <t>A Jewish Parent Recoils at Attacks on Barrett's Faith  https://t.co/hG81KZoOUU</t>
  </si>
  <si>
    <t>1317556405268860933</t>
  </si>
  <si>
    <t>Recall that this would also add 4 new electors for the Senators and one each for every congressman DC and Puerto Rico has. That totals 9 new members of the electoral college, equivalent of New Mexico and New Hampshire combined https://t.co/pbCuIhvsUJ</t>
  </si>
  <si>
    <t>1317480530070376448</t>
  </si>
  <si>
    <t>Only if you assume the FBI has an open criminal investigation of Hunter Biden the analogy applies https://t.co/OcFJYifaKe</t>
  </si>
  <si>
    <t>1317467467439083521</t>
  </si>
  <si>
    <t>This year, the Senate has passed $3.8 trillion worth of #COVID19 relief – but we need to do more. That’s why I’m disappointed to see Democrats blocked another bill last week. It’s time to come together ASAP and get more relief to Texans. https://t.co/6CqeAOPeS2</t>
  </si>
  <si>
    <t>1317445103414398976</t>
  </si>
  <si>
    <t>If New York and Illinois spent like Florida and Texas, they’d save enough to fill the deficits they want the federal government to cover, write @Taxeconomist and @davetrabert https://t.co/mTgEzltHGA via @WSJ</t>
  </si>
  <si>
    <t>1317441311348264960</t>
  </si>
  <si>
    <t>1317430080159842311</t>
  </si>
  <si>
    <t>Biden would smother the economy by raising taxes https://t.co/1MeEsfPrKA via @AEI</t>
  </si>
  <si>
    <t>1317215337956446208</t>
  </si>
  <si>
    <t>There is no question that Judge #AmyConeyBarrett has a brilliant legal mind, a deep respect for the Constitution, and an unwavering commitment to the rule of law. This week has proven that. https://t.co/1WyudSVBS9</t>
  </si>
  <si>
    <t>1317215211380744193</t>
  </si>
  <si>
    <t>This week, Judge #AmyConeyBarrett blew everybody away with her intellect, character, and integrity. She deserves to be confirmed and I believe she will be. https://t.co/VMXxi78rFc</t>
  </si>
  <si>
    <t>1317131350697218049</t>
  </si>
  <si>
    <t>Although Congress has passed 4 bills totaling $3.8 trillion, we need to pass additional COVID-19 relief ASAP.</t>
  </si>
  <si>
    <t>1317131347023069185</t>
  </si>
  <si>
    <t>Glad @GovAbbott has pledged $167 million in #CARESAct funding toward rental assistance and another $4.2 million in legal aid help to be distributed through the Texas Supreme Court.  @HoustonChron</t>
  </si>
  <si>
    <t>1316891532545323008</t>
  </si>
  <si>
    <t>We will find out. I promise https://t.co/Psa5RBubKE</t>
  </si>
  <si>
    <t>1316783772885487618</t>
  </si>
  <si>
    <t>There they go again. https://t.co/fZygcU95KU</t>
  </si>
  <si>
    <t>1316766035937234946</t>
  </si>
  <si>
    <t>I will be voting to subpoena https://t.co/S3IdBA8Msh</t>
  </si>
  <si>
    <t>1316759995753562118</t>
  </si>
  <si>
    <t>More $ from my opponents recruiters and donors in DC, NY and California. https://t.co/O8GrYdZ5uj</t>
  </si>
  <si>
    <t>1316749108460367875</t>
  </si>
  <si>
    <t>More Russian disinformation, I guess. https://t.co/57Q6Bvdw2q</t>
  </si>
  <si>
    <t>1316748712517959680</t>
  </si>
  <si>
    <t>Twice https://t.co/8YBZ2v1rPq</t>
  </si>
  <si>
    <t>1316738705592332289</t>
  </si>
  <si>
    <t>Poll: Voters Back Barrett’s Supreme Court Confirmation By 17-Point Margin https://t.co/buBR00oLbx</t>
  </si>
  <si>
    <t>1316736683308732422</t>
  </si>
  <si>
    <t>Apparently auditioning for possible cabinet position https://t.co/ymmymwnHSM</t>
  </si>
  <si>
    <t>1316732998897762304</t>
  </si>
  <si>
    <t>So silly https://t.co/1KqIYO32uV</t>
  </si>
  <si>
    <t>1316730666625761281</t>
  </si>
  <si>
    <t>Magically, they all have shown up! https://t.co/WoYmsVKqbe</t>
  </si>
  <si>
    <t>1316691830222852096</t>
  </si>
  <si>
    <t>Voters have right to know what Joe Biden did for son Hunter: Devine https://t.co/tOcLARhrwe via @nypost</t>
  </si>
  <si>
    <t>1316690677439307777</t>
  </si>
  <si>
    <t>The article in the New York Times, like its companion piece in the Washington Post, is one long dog whistle.</t>
  </si>
  <si>
    <t>1316690676524953601</t>
  </si>
  <si>
    <t>When Dianne Feinstein told Amy Coney Barrett, “The dogma lives loudly within you,” she was onto something we should talk about, writes @danhenninger https://t.co/AlHtC9WgyX via @WSJ</t>
  </si>
  <si>
    <t>1316686089311211520</t>
  </si>
  <si>
    <t>Not fake news: China and Russia win seats on UN human rights council https://t.co/ETABdT4BMm via @nypost</t>
  </si>
  <si>
    <t>1316684125194072064</t>
  </si>
  <si>
    <t>Why Latino History Is American History https://t.co/loCUdZ3JNW via @smithsonianmag</t>
  </si>
  <si>
    <t>1316490931986628608</t>
  </si>
  <si>
    <t>What a contrast – all the senators with an army of staff and all of our notebooks, and Judge #AmyConeyBarrett answers all these questions without referring to anything. Pretty impressive. https://t.co/tihW8Fn86G</t>
  </si>
  <si>
    <t>1316486331523117059</t>
  </si>
  <si>
    <t>Yeah. It is the law. https://t.co/KBCz2kQFKK</t>
  </si>
  <si>
    <t>1316486188627365888</t>
  </si>
  <si>
    <t>She has filibustered COVID-19 relief as late as 9/10/2020 and is obviously fearmongering. Stunning. https://t.co/XSU4kL7GRI</t>
  </si>
  <si>
    <t>1316483049635315718</t>
  </si>
  <si>
    <t>Her ignorance of the law is shocking.  You can drop your ballot in any mailbox in Texas. And section 2 of the Voting Rights Act is the law of the land still and private citizens can sue to enforce. https://t.co/i1WmS03hWJ</t>
  </si>
  <si>
    <t>1316482120718716930</t>
  </si>
  <si>
    <t>Senator Harris filibustered the police reform #justiceact led by @SenatorTimScott that included her own bipartisan anti-lynching law</t>
  </si>
  <si>
    <t>1316427927769186305</t>
  </si>
  <si>
    <t>1st https://t.co/Dslyjd9Yzm</t>
  </si>
  <si>
    <t>1316420339862208517</t>
  </si>
  <si>
    <t>Ironic that Sen Klobuchar is worried about future SCOTUS decision on ACA when Ds have moved on to support Medicare for All which would supplant the ACA, eliminate insurance you get on the job, and bankrupt current Medicare for seniors.</t>
  </si>
  <si>
    <t>1316402314740146176</t>
  </si>
  <si>
    <t>I have heard of curious amigos, but not that one. https://t.co/YIVp9HqPos</t>
  </si>
  <si>
    <t>1316389591541256194</t>
  </si>
  <si>
    <t>Thanks for clarifying https://t.co/DzUkfQsPIO</t>
  </si>
  <si>
    <t>1316373489268465665</t>
  </si>
  <si>
    <t>#ACB says she can’t impose “the law of Amy.”  Thank goodness she understands the proper role of judges under the US Constitution.</t>
  </si>
  <si>
    <t>1316371404711956481</t>
  </si>
  <si>
    <t>Please explain why. https://t.co/BWkbPATvGD</t>
  </si>
  <si>
    <t>1316370217321271298</t>
  </si>
  <si>
    <t>Ds blocked it https://t.co/yrElsJDapi</t>
  </si>
  <si>
    <t>1316369550401851395</t>
  </si>
  <si>
    <t>There they go again. https://t.co/8cFoh2zdLb</t>
  </si>
  <si>
    <t>1316327964519346176</t>
  </si>
  <si>
    <t>Coronavirus Reinfections Are Real but Very, Very Rare https://t.co/Thik2uU7jE</t>
  </si>
  <si>
    <t>1316325132844118017</t>
  </si>
  <si>
    <t>Keep doing that and soon the Supreme Court will be as unpopular as Congress—which may be their real goal as they prepare the ground to pack the Court next year.</t>
  </si>
  <si>
    <t>1316325132013625345</t>
  </si>
  <si>
    <t>Democrats are doing a great disservice to the law and judiciary by treating these hearings like an emotive political ad. They are telling voters that the courts are nothing more than another arena for political disputes.</t>
  </si>
  <si>
    <t>1316325131040497664</t>
  </si>
  <si>
    <t>Democrats view the Supreme Court as a mini-legislature to achieve policy goals, rather than a real judicial body. https://t.co/6X6zuoafeo via @WSJ</t>
  </si>
  <si>
    <t>1316324300069183488</t>
  </si>
  <si>
    <t>He is a hero: Bob Fu remains a powerful leader when it comes to International Religious Freedom https://t.co/TQTdsrOTnu</t>
  </si>
  <si>
    <t>1316323379713114112</t>
  </si>
  <si>
    <t>‘Take The Deal’: Prominent Dems Scorch Pelosi After She Refuses $1.8 Trillion White House COVID Deal https://t.co/tbNpmBrdpL</t>
  </si>
  <si>
    <t>1316176767036665856</t>
  </si>
  <si>
    <t>Very exciting https://t.co/TNoyddS4wA</t>
  </si>
  <si>
    <t>1316165082536120331</t>
  </si>
  <si>
    <t>He is.  But he is a thespian too. https://t.co/Qhe5lmV5mI</t>
  </si>
  <si>
    <t>1316161884782030848</t>
  </si>
  <si>
    <t>👍 https://t.co/KADAlM9elX</t>
  </si>
  <si>
    <t>1316161191052480514</t>
  </si>
  <si>
    <t>“You don’t know what I know”. Elitist. https://t.co/XWIBGru93K</t>
  </si>
  <si>
    <t>1316160770003140617</t>
  </si>
  <si>
    <t>Ideally https://t.co/MU4onPbrq5</t>
  </si>
  <si>
    <t>1316157784912691200</t>
  </si>
  <si>
    <t>It is called intellectual honesty https://t.co/75KSj4GbbP</t>
  </si>
  <si>
    <t>1316157081754497025</t>
  </si>
  <si>
    <t>Acting https://t.co/P7qmWlO9rm</t>
  </si>
  <si>
    <t>1316128389137403907</t>
  </si>
  <si>
    <t>Someone should tell him that Congress was not in session to consider a nomination by Lincoln.  But my guess is he knows this. https://t.co/YRto99vPa3</t>
  </si>
  <si>
    <t>1316124871278108673</t>
  </si>
  <si>
    <t>Chris knows this is false.  Remind him of Art 2, sec 2 https://t.co/1vQVYlUKIM</t>
  </si>
  <si>
    <t>1316113307254902789</t>
  </si>
  <si>
    <t>Impressive #SCOTUS #AmyConeyBarrett #ACB https://t.co/1dhUTOoG3K</t>
  </si>
  <si>
    <t>1316043657561153536</t>
  </si>
  <si>
    <t>Democrats should focus on Judge Amy Coney Barrett’s qualifications instead of asking her to make promises on how she will settle future cases. These scare tactics are to justify their ultimate goal to pack the Supreme Court w/more justices &amp;amp; turn it into a 2nd legislative body.</t>
  </si>
  <si>
    <t>1316016034919317506</t>
  </si>
  <si>
    <t>the peace prize was awarded to the U.N. World Food Program, an agency currently run by a former Republican governor of South Carolina, David Beasley; the Sveriges Riksbank Prize in Economic Sciences in Memory of Alfred Nobel was awarded to two American economists at Stanford.</t>
  </si>
  <si>
    <t>1316016026899767296</t>
  </si>
  <si>
    <t>the chemistry prize was shared by a French woman and an American woman; the literature prize was awarded to an American poet (a thing which exists!), Louise Glück;</t>
  </si>
  <si>
    <t>1316015968687063043</t>
  </si>
  <si>
    <t>This year’s Nobel prize for medicine went to a three-man group, two of them Americans; the physics prize went to a three-man group, one American; @NRO</t>
  </si>
  <si>
    <t>1315954583571660800</t>
  </si>
  <si>
    <t>State Senator Says Texas Dem Has a ‘Problem’ With African Americans https://t.co/GWXFLW0PlN</t>
  </si>
  <si>
    <t>1315765749294735365</t>
  </si>
  <si>
    <t>Democrats want a real fight, but let me be clear – there is no religious test to serve on the Supreme Court. I can only hope that the civility Judge Amy Coney Barrett has shown throughout her career will be extended to her during this week's proceedings. https://t.co/nzsePHOGWG</t>
  </si>
  <si>
    <t>1315714274405371905</t>
  </si>
  <si>
    <t>Today in Senate Judiciary Committee #ACB https://t.co/7u35xehfyN</t>
  </si>
  <si>
    <t>1315701282447990789</t>
  </si>
  <si>
    <t>Only 150 such hybrid hearings safely have occurred to date. https://t.co/lOvI9smRDq</t>
  </si>
  <si>
    <t>1315700896999899136</t>
  </si>
  <si>
    <t>Didn’t think Kamala would go there: she blocked COVID-19 relief on 9/10/2020, including for timely delivery of a vaccine.</t>
  </si>
  <si>
    <t>1315699084934742017</t>
  </si>
  <si>
    <t>Senator Crapo detailing contents of blocked relief https://t.co/pxomjSg8Df</t>
  </si>
  <si>
    <t>1315697642702278656</t>
  </si>
  <si>
    <t>Sen. Booker: presumably any Senator that wants to get tested, can.  I did last week.  Go for it.</t>
  </si>
  <si>
    <t>1315695948950052864</t>
  </si>
  <si>
    <t>He blocked a COVID-19 relief bill on 9/10/2020 https://t.co/Ti3AP12c3c</t>
  </si>
  <si>
    <t>1315694754701742081</t>
  </si>
  <si>
    <t>1) Try harder not to lie, MJ.  
2) Do you think ACB will violate her judicial oath?
3) Are you insisting on ACB prejudging a case as a quid pro     quo for her confirmation?
3) Talked to Royce yet? https://t.co/DE1rKTDIBG</t>
  </si>
  <si>
    <t>1315672234283933696</t>
  </si>
  <si>
    <t>https://t.co/c53oPXx4Vw https://t.co/STJCPbFZl0</t>
  </si>
  <si>
    <t>1315667366748065795</t>
  </si>
  <si>
    <t>It was primarily about fundraising https://t.co/L1VWMIyF1w</t>
  </si>
  <si>
    <t>1315666879927799811</t>
  </si>
  <si>
    <t>They don’t want to talk about the judge except when disparaging her faith or demanding a outcome in a future case as a quid pro quo for her confirmation.  Outrageous. https://t.co/MvawiecCur</t>
  </si>
  <si>
    <t>1315638181182812160</t>
  </si>
  <si>
    <t>Judge Amy Coney Barrett’s credentials and qualifications have impressed some of the brightest judicial and legal minds – even those who may disagree with her. I’m looking forward to hearing more from her during this week’s Judiciary hearings.</t>
  </si>
  <si>
    <t>1315638180230635520</t>
  </si>
  <si>
    <t>The Senate Judiciary Committee undertakes no more important task than considering a nominee to the United States Supreme Court.</t>
  </si>
  <si>
    <t>1315602712436846593</t>
  </si>
  <si>
    <t>State Sen. Royce West won't vote for fellow Democrat MJ Hegar, accuses her of having "a problem all along with Black folks" https://t.co/0dtANLcD0L via @TexasTribune</t>
  </si>
  <si>
    <t>1315598017274302467</t>
  </si>
  <si>
    <t>And last week Hegar revealed to Hearst Newspapers that she voted against Barack Obama in his 2008 and 2012 presidential bids. https://t.co/FSt8QkZFUM</t>
  </si>
  <si>
    <t>1315596490329513984</t>
  </si>
  <si>
    <t>U.S. is still leading the world in CO2 reductions. https://t.co/VoUbBW548J via @WSJ</t>
  </si>
  <si>
    <t>1315595925461643264</t>
  </si>
  <si>
    <t>Inability to end spat with rival Royce West threatens MJ Hegar’s ability to rally Black voters https://t.co/oa6JWDODdX</t>
  </si>
  <si>
    <t>1315455764669104128</t>
  </si>
  <si>
    <t>We need to focus on Judge Amy Coney Barrett’s qualifications
 and her understanding of the limited role of a judge under our Constitution – not on criticizing her religion or trying to pack the Court with more Justices who will turn it into a second legislative body.</t>
  </si>
  <si>
    <t>1315455755512885248</t>
  </si>
  <si>
    <t>We I’m afraid some of my Democrat colleagues will forget this during this week’s Judiciary Committee proceedings.</t>
  </si>
  <si>
    <t>1315455752568483840</t>
  </si>
  <si>
    <t>This upcoming week, it’s important to remember the appropriate role of judges. They are not policy makers – they are fair and neutral interpreters of the Constitution and laws drafted by Congress.</t>
  </si>
  <si>
    <t>1315408312238833665</t>
  </si>
  <si>
    <t>From your own mailbox https://t.co/zXQ4HmxuWv</t>
  </si>
  <si>
    <t>1315391430496530440</t>
  </si>
  <si>
    <t>The D.C. Circuit has already taken four months off this year. Meanwhile, other federal appellate courts genuinely are overburdened and do need more judges.”</t>
  </si>
  <si>
    <t>1315391371256238085</t>
  </si>
  <si>
    <t>For example: Between 2005 and 2013, its total number of written decisions per active judge declined by 27 percent, and the number of appeals filed with the court fell by 18 percent.</t>
  </si>
  <si>
    <t>1315391256005140481</t>
  </si>
  <si>
    <t>The gist: “The D.C. Circuit currently has eight active judges and six senior judges (who are semi-retired). Based on its caseload, the court does not need more judges at the present time. https://t.co/X1V9X8EF5z</t>
  </si>
  <si>
    <t>1315372887566626817</t>
  </si>
  <si>
    <t>Showboating.  “Since May, Senate committees have successfully held 150 hybrid or remote hearings in which some or all senators and witnesses participated remotely without any significant problems.” https://t.co/AWPsco8s9S https://t.co/BJH9Bv3s5S</t>
  </si>
  <si>
    <t>1315332189207367681</t>
  </si>
  <si>
    <t>There they go again... . https://t.co/5Sz6NoIHOI</t>
  </si>
  <si>
    <t>1315294595325071362</t>
  </si>
  <si>
    <t>Orwellian https://t.co/nsQBzINT6r</t>
  </si>
  <si>
    <t>1315291800073011201</t>
  </si>
  <si>
    <t>Did Obama appoint Justices, too?  Of course, it is in the Constitution: Art. II, sec 2, US Constitution: 
[The president] shall have Power, ... by and with the Advice and Consent of the Senate ... appoint Judges of the supreme Court … https://t.co/sLJcsfMKiH</t>
  </si>
  <si>
    <t>1315290294422843395</t>
  </si>
  <si>
    <t>"To put it bluntly, America’s cultural elites aren’t sure that a faithful Christian can be entrusted with the law." https://t.co/8gACLiv9Se https://t.co/BrcaOqYdEo</t>
  </si>
  <si>
    <t>1315287326482984961</t>
  </si>
  <si>
    <t>Here they go again... . https://t.co/0g6O48pJp7</t>
  </si>
  <si>
    <t>1315286153344540677</t>
  </si>
  <si>
    <t>James P. Manley, who served as a senior aide to former Senator Harry Reid of Nevada: “The groups want blood. Democrats on and off the committee want a real fight.”  @nytimes https://t.co/1XJThNncAJ</t>
  </si>
  <si>
    <t>1315281981924610048</t>
  </si>
  <si>
    <t>Opinion: Texas’ strength, America’s freedom depend on Midland’s votes https://t.co/7ID0EGLu0p via @mwtnews</t>
  </si>
  <si>
    <t>1315278299719962624</t>
  </si>
  <si>
    <t>If ACB's religion is off limits, how is charge she will violate her oath and decide a case based on her religious beliefs not an attack on her religion? We are listening.
Inside Democrats' campaign against Amy Coney Barrett https://t.co/pfzCp13p5E via @politico</t>
  </si>
  <si>
    <t>1315273334997815297</t>
  </si>
  <si>
    <t>"Barrett’s religion and her family have been deemed off limits."  Really? https://t.co/ms8XTfkv7i</t>
  </si>
  <si>
    <t>1315273333991243776</t>
  </si>
  <si>
    <t>Schumer talking points and marching orders in hand: Inside Democrats' campaign against Amy Coney Barrett https://t.co/pfzCp13p5E via @politico</t>
  </si>
  <si>
    <t>1315268844085223425</t>
  </si>
  <si>
    <t>That is more out-of-state money than Robert Francis O'Rourke raised in 2018 in the Texas Senate race https://t.co/At2naTCnz7</t>
  </si>
  <si>
    <t>1315268196807696384</t>
  </si>
  <si>
    <t>Resending, MJ, in case you missed my 1st reply https://t.co/S8udKlZUVY</t>
  </si>
  <si>
    <t>1315016296619298817</t>
  </si>
  <si>
    <t>Whoop! Congrats to @TAMU @AggieFootball for a big win over the number 4 FL Gators. #GigEm https://t.co/SpyAIJB23E</t>
  </si>
  <si>
    <t>1314959309411934209</t>
  </si>
  <si>
    <t>Including $ for 300 million doses of vaccine delivered starting at end of this year.  #whataretheythinking https://t.co/bCYXnTnDbb</t>
  </si>
  <si>
    <t>1314958505175113730</t>
  </si>
  <si>
    <t>Lavinia, thanks for your courage and for speaking out for elimination of the rape kit backlog.  #justice @RAINN https://t.co/ea9ngwDxRd</t>
  </si>
  <si>
    <t>1314940332019249153</t>
  </si>
  <si>
    <t>Pelosi's intransigence and gamemanship is jeopardizing Operation Warp Speed's goal to produce and deliver 300 million doses of safe and effective vaccines with the initial doses available by January 2021. https://t.co/k25fkXraKy</t>
  </si>
  <si>
    <t>1314936325599121409</t>
  </si>
  <si>
    <t>Grateful my team was able to track down these medals for Larry Wilkinson. His father SGT. Sam Wilkinson bravely fought in WWII &amp;amp; was a POW just like my father. It was an honor presenting these to him.
https://t.co/FPlhz4tpjM</t>
  </si>
  <si>
    <t>1314931306812317698</t>
  </si>
  <si>
    <t>I have already accepted a 2nd debate.  How about you? https://t.co/COc8rBsufR</t>
  </si>
  <si>
    <t>1314926982057070592</t>
  </si>
  <si>
    <t>She doesn't want a deal.  She cares nothing for the people hurting.  It is all an cynical effort to score political points.  #sad https://t.co/Lv9NKuDI4h</t>
  </si>
  <si>
    <t>1314912795897536512</t>
  </si>
  <si>
    <t>The bill included $31 billion for vaccine, therapeutic and diagnostic development; vaccine distribution; the Strategic National Stockpile and grants for the establishment of state stockpiles.</t>
  </si>
  <si>
    <t>1314912794647691265</t>
  </si>
  <si>
    <t>On 9/10/2020 all Senate Ds, led by @SenSchumer and including @KamalaHarris voted against the funding needed to pay for the vaccine need to get life back to a new normal.</t>
  </si>
  <si>
    <t>1314912793326497795</t>
  </si>
  <si>
    <t>Operation Warp Speed's goal is to produce and deliver 300 million doses of safe and effective vaccines for #COVID19  with the initial doses available by January 2021.  https://t.co/5WJr4c8GwN</t>
  </si>
  <si>
    <t>1314759049473384449</t>
  </si>
  <si>
    <t>Yada yada yada https://t.co/4dI95m021y</t>
  </si>
  <si>
    <t>1314758229549895680</t>
  </si>
  <si>
    <t>Royce West won't vote for MJ Hegar: `She's had a problem all along with black folks'
https://t.co/reJ1S0Dxrr</t>
  </si>
  <si>
    <t>1314637826764484609</t>
  </si>
  <si>
    <t>I’ve spent this year talking w/TX families &amp;amp; businesses &amp;amp; they all let me know another #COVID19 relief package is desperately needed. Now isn't the time to walk away. I hope Speaker Pelosi &amp;amp; the Admin. will continue to work together to find an agreement both parties can support.</t>
  </si>
  <si>
    <t>1314628508182863877</t>
  </si>
  <si>
    <t>The Biden-Harris Fracking Plan, Explained https://t.co/hLBfcM9jsw</t>
  </si>
  <si>
    <t>1314617669337972736</t>
  </si>
  <si>
    <t>Here’s what to expect from hurricane #Delta – stay safe, Southeast Texas. Grateful for organizations like the @RedCross &amp;amp; @TeamRubicon who are already prepared to respond. Praying for our friends in Louisiana as well. https://t.co/oeZwC9iNgu</t>
  </si>
  <si>
    <t>1314558890013609984</t>
  </si>
  <si>
    <t>It can't be that hard to just say, no, unless they are intentionally engaged in a bait-and-switch scheme: Biden, Harris won’t say whether they would ‘pack’ the court, drawing Republican criticism https://t.co/QC79EN8SGZ</t>
  </si>
  <si>
    <t>1314557738945581056</t>
  </si>
  <si>
    <t>34 Senators File Amicus Brief Supporting Capitol Hill Baptist Church In Suit Against D.C. Mayor https://t.co/ePvfFhySHX</t>
  </si>
  <si>
    <t>1314333430830829578</t>
  </si>
  <si>
    <t>"At this point... ." https://t.co/8W5vFtI9n3</t>
  </si>
  <si>
    <t>1314315800988319744</t>
  </si>
  <si>
    <t>Great speaking with employees at BCFS (formerly Baptist Child and Family Services) yesterday. I’m grateful for all the amazing work they are doing to provide resources to Texans during the #COVID19 pandemic and beyond. https://t.co/wu0rKcfigI</t>
  </si>
  <si>
    <t>1314315685854679044</t>
  </si>
  <si>
    <t>Happy belated birthday, Patricia https://t.co/wj7oiOkihV</t>
  </si>
  <si>
    <t>1314304035382603776</t>
  </si>
  <si>
    <t>Well deserved. The swift, heroic actions of these brave sailors saved the lives of their fellow service members at NAS Corpus Christi. https://t.co/lv02cJlLpP</t>
  </si>
  <si>
    <t>1314270540601929731</t>
  </si>
  <si>
    <t>Hurricane season isn’t over just yet. Visit the Hurricane Preparedness page on my website to make sure you and your family are prepared for whatever may come next. https://t.co/7atgahPA2r</t>
  </si>
  <si>
    <t>1314270442677469184</t>
  </si>
  <si>
    <t>I joined @CACofTexas &amp;amp; dozens of child advocacy centers throughout TX to give them an update on Jenna’s Law &amp;amp; its successful passage in the Senate. Thankful for all the incredible work they’re continuing to do for the wellbeing of Texas children in spite of the #COVID19 pandemic https://t.co/ESU0hHk2NH</t>
  </si>
  <si>
    <t>1314193631461416960</t>
  </si>
  <si>
    <t>More of this: Marcus Braziel pleads guilty to illegally selling an AR-15-style rifle to Seth Ator, who used it to kill seven people in 2019 https://t.co/OG8CDpd0LG</t>
  </si>
  <si>
    <t>1314171578452774912</t>
  </si>
  <si>
    <t>A crackdown on state-run media after 2016 limited the reach of Russia Today. Four years later, it’s found a new way to reach American readers.  https://t.co/AuWtyEBfw6 via @WSJ</t>
  </si>
  <si>
    <t>1314163329590538242</t>
  </si>
  <si>
    <t>Cornyn presents World War II medals to son of deceased Texas Veteran https://t.co/FPlhz4tpjM</t>
  </si>
  <si>
    <t>1314028537016397825</t>
  </si>
  <si>
    <t>She filibustered bill that would ban chokeholds https://t.co/UxyODy9oVw</t>
  </si>
  <si>
    <t>1314026972046073856</t>
  </si>
  <si>
    <t>Kamala filibustered her own anti-lynching bill by blocking @SenatorTimScott ‘s #justiceact that I was proud to support.</t>
  </si>
  <si>
    <t>1313937486993915904</t>
  </si>
  <si>
    <t>Proud of all the hard work my team has done to help the Bedre family and countless Texans across the state. https://t.co/dtlvtP1vU4</t>
  </si>
  <si>
    <t>1313890947462291456</t>
  </si>
  <si>
    <t>Nancy Pelosi's 'COVID-relief' bill is mainly just a left-wing wish list https://t.co/rx146Esa2g via @nypost</t>
  </si>
  <si>
    <t>1313810771428741120</t>
  </si>
  <si>
    <t>U.S., Japan, India and Australia Strengthen Ties to Counter China https://t.co/B7dJy8mDoK via @WSJ</t>
  </si>
  <si>
    <t>1313806414402510848</t>
  </si>
  <si>
    <t>"Mrs. Pelosi’s biggest demand was more than $400 billion for states, cities and tribal lands. This is a bailout for Illinois, New York, California ...  It’s an income redistribution play from Florida and Texas taxpayers to blue-state public-union pensions"</t>
  </si>
  <si>
    <t>1313806413228109828</t>
  </si>
  <si>
    <t>The virus relief spending debate now moves to the election campaign. Republicans should educate voters about Mrs. Pelosi’s political extortion play. https://t.co/Bp5HmAAm5G via @WSJ</t>
  </si>
  <si>
    <t>1313804822542458880</t>
  </si>
  <si>
    <t>A new statement signed by more than 2,000 medical and health scientists explains how to live with the virus. https://t.co/u7stRwPIyb via @WSJ</t>
  </si>
  <si>
    <t>1313622929956012033</t>
  </si>
  <si>
    <t>Layla is the latest #pupsforcornyn https://t.co/WLz8IG4rPh</t>
  </si>
  <si>
    <t>1313610570902495233</t>
  </si>
  <si>
    <t>On April 8, 1944 Sam was shot down, captured, and held as a POW until the end of WWII. My casework team worked to not only obtain his lost medals, but also secure new ones he earned but had not yet been awarded. https://t.co/6Ojf02QctA</t>
  </si>
  <si>
    <t>1313610565483454470</t>
  </si>
  <si>
    <t>Honored to present Larry Wilkinson with his father’s military medals today. Sgt. Sam Wilkinson served with the 787th Bomb Squadron, 466th Bomb Group in the European Theater as a gunner on a B-24 bomber.</t>
  </si>
  <si>
    <t>1313606580965904386</t>
  </si>
  <si>
    <t>Any Texan who needs help can visit https://t.co/v7QGHJf0VF or call my Dallas office at 972-239-1310 to get help with a federal agency.</t>
  </si>
  <si>
    <t>1313606579112026112</t>
  </si>
  <si>
    <t>Honored to be recognized as the winner of the best Constituent Service Award in the Senate. It belongs equally to my hardworking casework team who have helped countless Texans navigate the inner workings of the federal government. https://t.co/2PGHkgyRHn</t>
  </si>
  <si>
    <t>1313529583593979909</t>
  </si>
  <si>
    <t>Texas Sen. John Cornyn’s constituent services named best in Congress by nonpartisan group https://t.co/dtlvtP1vU4</t>
  </si>
  <si>
    <t>1313512372087197698</t>
  </si>
  <si>
    <t>“It’s never ap­pro­pri­ate for a judge to im­pose that judge’s per­sonal con­vic­tions, whether they de­rive from faith or any­where else, on the law,” she told law­mak­ers on the Sen­ate Ju­di­ciary Com­mit­tee during her previous confirmation hearing. https://t.co/TEivDMtFog</t>
  </si>
  <si>
    <t>1313454366901272578</t>
  </si>
  <si>
    <t>The Democrats Are Flirting with the Destruction of the Judiciary https://t.co/8RpTAg89nc</t>
  </si>
  <si>
    <t>1313274384027615232</t>
  </si>
  <si>
    <t>Or mendacity https://t.co/Y9nfI6zl2y</t>
  </si>
  <si>
    <t>1313244961257803776</t>
  </si>
  <si>
    <t>FYI June 18, 2020. https://t.co/As0g8rVL9d https://t.co/pPdFRl0C80</t>
  </si>
  <si>
    <t>1312830215236792322</t>
  </si>
  <si>
    <t>The secular left, Democrats can't impose a religious test on Amy Coney Barrett https://t.co/88mkcKOy6y via @usatoday</t>
  </si>
  <si>
    <t>1312805726839078914</t>
  </si>
  <si>
    <t>No, just all thumbs https://t.co/XFHOPSFzfE</t>
  </si>
  <si>
    <t>1312789720468992000</t>
  </si>
  <si>
    <t>Chuck’s yearning for a repeat performance from Code Pink in the Kavanaugh hearings. https://t.co/kciFmVbfwc</t>
  </si>
  <si>
    <t>1312783489582936068</t>
  </si>
  <si>
    <t>Further evidence Democrats see SCOTUS as a third political branch, not head of an independent judiciary.  If they saw judges as empires, just calling balls and strikes, why threaten court packing, which would guarantee - as per RBG - its status as an unelected political body. https://t.co/YzzVSafYI8</t>
  </si>
  <si>
    <t>1312771348394061825</t>
  </si>
  <si>
    <t>OCT. 10, 2016: “Poll: Hillary Clinton leads Donald Trump by 14 points nationally” @playbookplus</t>
  </si>
  <si>
    <t>1312718704673783808</t>
  </si>
  <si>
    <t>Bipartisan lawmakers urge White House to lift travel restrictions hurting border economies https://t.co/QLZt8IcVtF</t>
  </si>
  <si>
    <t>1312440420190748678</t>
  </si>
  <si>
    <t>#Science https://t.co/1u7QWtJ6di</t>
  </si>
  <si>
    <t>1312439251569500160</t>
  </si>
  <si>
    <t>Local natives serving U.S. representatives this semester https://t.co/Ud3vdzqSL1 via @lmtnews</t>
  </si>
  <si>
    <t>1312359189919019010</t>
  </si>
  <si>
    <t>Texas taps federal funds to help nursing homes buy equipment to expand COVID-era visits https://t.co/qAyulcXvkS  #CARESAct</t>
  </si>
  <si>
    <t>1323756258101469185</t>
  </si>
  <si>
    <t>So glad to hear what’s on the minds of voters in Efland today. From health care to education to the environment, there’s a lot at stake in this election, and I’m grateful to have the opportunity to talk about these issues with North Carolinians. https://t.co/K5CNxNEbKQ</t>
  </si>
  <si>
    <t>1323744039389331461</t>
  </si>
  <si>
    <t>Our team is getting out the vote today — are you? Polls are open. Spread the word! https://t.co/Uadi02Yswh</t>
  </si>
  <si>
    <t>1323723964745715714</t>
  </si>
  <si>
    <t>A beautiful day to get out and vote! Love seeing friends head to the polls together. 
We have four and a half more hours to make history. Let’s do this! https://t.co/bbLbSfahY9</t>
  </si>
  <si>
    <t>1323695078007779330</t>
  </si>
  <si>
    <t>Such a pleasure to be with @MJohnsonHostler, Commissioner Dr. James West, and @Rep_Rosa_Gill this morning as we work towards the change our communities deserve.
Today’s a big day — and I know that working together, we’re going to do big things for North Carolina. https://t.co/dQJdr4S0k8</t>
  </si>
  <si>
    <t>1323687550951849986</t>
  </si>
  <si>
    <t>🚨ELECTION DAY REMINDERS🚨
📌NC voters are NOT required to show photo I.D.
📌If you are in line to vote at 7:30pm, stay in line! Wait to vote, even if the doors to the polling location have closed
📌Call the @NCDemParty's Voter Assistance Hotline with any issues: 1–833–868–3462</t>
  </si>
  <si>
    <t>1323672529198845952</t>
  </si>
  <si>
    <t>So exciting to see so many North Carolinians heading to the polls this morning. The energy is palpable! Can’t wait to continue connecting with folks throughout the day as they cast their ballots. https://t.co/EGT6YfBbKL</t>
  </si>
  <si>
    <t>1323622243369426946</t>
  </si>
  <si>
    <t>This is it: Election Day is here!
We are going to replace Thom Tillis.
We are going to flip the Senate.
We are going to win.
https://t.co/XKhQJ97lzd</t>
  </si>
  <si>
    <t>1323460991447977984</t>
  </si>
  <si>
    <t>Throughout this campaign, I’ve spent time with North Carolinians from all of our state’s 100 counties. Just this past week, I’ve met with local leaders, business owners, and first-time voters to hear what’s on their minds. Here are some highlights:
https://t.co/npFaTbBCRo</t>
  </si>
  <si>
    <t>1323452658645110784</t>
  </si>
  <si>
    <t>To get our government working for the people of North Carolina, we must eliminate corporations' influence on Washington politics. Political corruption is a threat to progress, and I’m honored to have the support of @StopBigMoney as we fight to reform this system. https://t.co/VK0KCSwafw</t>
  </si>
  <si>
    <t>1323445778875064320</t>
  </si>
  <si>
    <t>Our local business owners have been failed by those in Washington. They deserve a Senator who will look out for &amp;amp; invest in them.
I was honored today to visit Chapel Hill Creamery &amp;amp; Perkins Orchard, &amp;amp; look forward to more visits ahead as we get Washington working for NC. https://t.co/BJJHGrA7o6</t>
  </si>
  <si>
    <t>1323379922774216706</t>
  </si>
  <si>
    <t>Our state’s innovative farmers and agriculture workers are central to our food supply and play an important role in our economy. So glad I got to spend some time with them today! (And meet some pretty great animals.) https://t.co/chxixq5uXf</t>
  </si>
  <si>
    <t>1323352506630610947</t>
  </si>
  <si>
    <t>Thank you to my friend @RevDrBarber for your support as we work to get out the vote and sow unity and justice in our communities. 
This election is about all of us coming together for change. Tomorrow, let’s bring that change to life. https://t.co/63P9miDdHd</t>
  </si>
  <si>
    <t>1323326229794164739</t>
  </si>
  <si>
    <t>I know there’s a lot of information swirling around about how to vote tomorrow, which is why we need to be sure our friends and family members know how to make their voices heard. If you haven’t cast your ballot yet, give this a read:
https://t.co/IzDCynkVSB</t>
  </si>
  <si>
    <t>1323270594079633411</t>
  </si>
  <si>
    <t>Leaders like @CecileRichards know that health care is on the ballot. I’m grateful to have her support as we work together to protect the Affordable Care Act, expand Medicaid in NC, and ensure all North Carolinians have access to the care they need. https://t.co/6OCSuhCkLP</t>
  </si>
  <si>
    <t>1323095045843668993</t>
  </si>
  <si>
    <t>Now that NC’s early voting period has come to a close, it’s time for folks who still need to cast their ballots to make a plan to vote this Tuesday, November 3. Click here for all of the information you need to make sure your voice counts in this election: https://t.co/tJMnQAVDUx</t>
  </si>
  <si>
    <t>1323049602032017408</t>
  </si>
  <si>
    <t>A wonderful way to end the weekend in Durham with Sen. @FloydMcKissick at another of our state’s small businesses. Thanks to everyone who took the time to chat and show their support as we head into Election Day week! https://t.co/aFuKpx0WN0</t>
  </si>
  <si>
    <t>1323012121047826432</t>
  </si>
  <si>
    <t>Small businesses are central to our state’s economy and deserve to be a top priority—especially as we fight this pandemic.
I’m grateful I had the opportunity to visit some of our state’s finest in Asheboro and Burlington, and can’t wait to represent their owners in Washington. https://t.co/uIink72mEG</t>
  </si>
  <si>
    <t>1322987083439505410</t>
  </si>
  <si>
    <t>Thanks to Ly Cuisine in Albemarle for hosting us today as we discussed a key issue on the ballot: education. The investments we make in the next generation through schools should be an engine of opportunity for all North Carolinians. I'm committed to making this a reality. https://t.co/lJpF6SzagP</t>
  </si>
  <si>
    <t>1322952300701298689</t>
  </si>
  <si>
    <t>Great to be in Moore County with @simonforhouse as we work to bring new leadership to NC. Our state has great candidates up and down the ballot, and working together, I know there’s no limit to what we’ll accomplish for North Carolinians. https://t.co/xITPLLd4Zn</t>
  </si>
  <si>
    <t>1322919656630472709</t>
  </si>
  <si>
    <t>With enrollment beginning today, the need to protect and expand on the Affordable Care Act has never been clearer.
We’re in the midst of a public health crisis, and North Carolinians deserve to know that their health care is secure.
https://t.co/qPmBBYfNaT</t>
  </si>
  <si>
    <t>1322697132160286723</t>
  </si>
  <si>
    <t>Final stop of the day:📍Montgomery County📍
Thanks to all of the local leaders who took the time to share what’s on their minds. So proud to have your support in this important election. https://t.co/hbgEbtOXRo</t>
  </si>
  <si>
    <t>1322662807234617345</t>
  </si>
  <si>
    <t>Happy Halloween from Union County! We may need to celebrate a little differently this year, but I’m grateful to have had the chance to connect with folks. And remember, don’t boo — vote! https://t.co/kH01BJn1sz</t>
  </si>
  <si>
    <t>1322645715735224320</t>
  </si>
  <si>
    <t>Grateful for @RevDrBarber’s support as we work to bring new leadership to our state and fight for the issues on the ballot. Health care, voting rights, education, the economy — the list goes on and on.
Let’s do this! https://t.co/E9q3qlMESs</t>
  </si>
  <si>
    <t>1322632196595789829</t>
  </si>
  <si>
    <t>Beautiful day and great energy in the Queen City! Thank you to @Common for joining us as we close out the last day of early voting in the state I love. https://t.co/h4B16fl99E</t>
  </si>
  <si>
    <t>1322585828204400640</t>
  </si>
  <si>
    <t>Made a new friend in Gaston County 🐶🐕
This campaign believes in fighting for ALL North Carolinians. Soon, we’ll take that spirit to Washington. https://t.co/806KPzoP6K</t>
  </si>
  <si>
    <t>1322570286080925698</t>
  </si>
  <si>
    <t>There’s nothing like visiting my hometown! So glad I had the opportunity to connect with folks in Lexington today as we kick off the final weekend of this election. https://t.co/nWBNZMLlKg</t>
  </si>
  <si>
    <t>1322537580789927940</t>
  </si>
  <si>
    <t>“What good is a cure for cancer if you can’t afford it?”
Too many North Carolinians have had to ask themselves this question. It’s time for our health care system to support folks as they bravely fight disease, making quality care affordable.
Bev: you are an inspiration. https://t.co/gDhA92Z4Is</t>
  </si>
  <si>
    <t>1322333112769122305</t>
  </si>
  <si>
    <t>A New York Times poll released yesterday shows us AHEAD of Sen. Tillis—but it’s going to be close.
This race remains a toss-up, &amp;amp; I need your support in the final days if we’re going to replace Tillis &amp;amp; flip the Senate.
Sign up, get involved, &amp;amp; chip in: https://t.co/xtqCBDbypT</t>
  </si>
  <si>
    <t>1322311013111418880</t>
  </si>
  <si>
    <t>Great spending time with folks in Youngsville, Halifax, Tarboro, and New Bern as we head into the last weekend of this election! Looking forward to taking your ideas and stories with me to Washington. https://t.co/k6zoa5pYVH</t>
  </si>
  <si>
    <t>1322249248033878016</t>
  </si>
  <si>
    <t>As folks vote early and on Election Day on Tuesday, let’s do everything we can to stay safe and healthy: practice social distancing, wear a mask, and wash your hands frequently.
It's on us to protect our communities.
https://t.co/LFDvX4KQJ9</t>
  </si>
  <si>
    <t>1322207339131379713</t>
  </si>
  <si>
    <t>Without federal assistance, our state has seen its unemployment rate rise and businesses struggle to remain open. Now, North Carolinians are speaking out.
On Tuesday, we’ll hold Sen. Tillis accountable.
https://t.co/WLGtTpxTZe</t>
  </si>
  <si>
    <t>1322166820254744582</t>
  </si>
  <si>
    <t>Tomorrow is the last day to vote early in North Carolina! We’ve already seen record voter turnout, and with your help spreading the word, I know we can get folks to the polls and flip this Senate seat. https://t.co/BvYwfha4Af</t>
  </si>
  <si>
    <t>1321971816978649091</t>
  </si>
  <si>
    <t>Visiting with folks in Wilson and Nash Counties today reminded me why I entered this fight in the first place — and the North Carolinians who inspire me every day. 
In just five days, we will bring new leadership to this state. https://t.co/ftQfwMSj0Q</t>
  </si>
  <si>
    <t>1321939320832430082</t>
  </si>
  <si>
    <t>One of the best parts of this campaign is connecting with strong candidates up and down the ticket. Great to spend some time together in Guilford County! https://t.co/XBFETUeAgW</t>
  </si>
  <si>
    <t>1321884839776292865</t>
  </si>
  <si>
    <t>Our economy continues to suffer, yet Senator Tillis and his allies in Washington are more focused on playing politics than quickly passing COVID-19 relief. 
Senator Tillis has forgotten the people he works for—North Carolinians.
https://t.co/TjyYkGTdOr</t>
  </si>
  <si>
    <t>1321800271656296451</t>
  </si>
  <si>
    <t>Wow, what a headline! This election is about so much more than partisan politics, and I couldn’t be more excited to see folks across the state casting their ballots to make their voices heard. Here’s to the next five days.
https://t.co/gu3ApbzwRW</t>
  </si>
  <si>
    <t>1321614412852154373</t>
  </si>
  <si>
    <t>Thanks for a great afternoon, Greensboro and Yanceyville! Working together, there’s so much we can accomplish—and first on our list is replacing Thom Tillis and flipping the Senate. I’m grateful to have you on our team. https://t.co/eyujU8NI5O</t>
  </si>
  <si>
    <t>1321576622869327873</t>
  </si>
  <si>
    <t>Communities across our state urgently need COVID-19 relief—yet our leaders in Washington are more focused on their re-election campaigns.
Folks are struggling, but Washington Republicans are too busy playing partisan games to notice.
https://t.co/s6sjB7kedL</t>
  </si>
  <si>
    <t>1321537589191606272</t>
  </si>
  <si>
    <t>Today marks one year since we lost Kay Hagan. Kay served our state with strength and vision, always working to make NC—and our country—better. I was so proud to call her a friend. https://t.co/4fMMz846gO</t>
  </si>
  <si>
    <t>1321511797342539782</t>
  </si>
  <si>
    <t>We’re going to make this vision a reality.
https://t.co/adONL0Phj7 https://t.co/yNRjBrbbqX</t>
  </si>
  <si>
    <t>1321490648445394944</t>
  </si>
  <si>
    <t>Had a great time connecting with folks in Forsyth County about expanding health care access, strengthening our public schools, &amp;amp; creating an economy that works for everyone. A special shout-out to the first-time voters we met—so glad to have you in this fight. 💪 https://t.co/EhmywmV2cC</t>
  </si>
  <si>
    <t>1321436178869112835</t>
  </si>
  <si>
    <t>Wow—this is officially the most expensive Senate race in history.
McConnell’s network is throwing everything they can behind Sen. Tillis—more than $80M.
It’s up to this team to build the resources to fight back. Can I count on you to chip in? https://t.co/I82uwvtMis</t>
  </si>
  <si>
    <t>1321260507496620033</t>
  </si>
  <si>
    <t>We have just one week to replace Thom Tillis.
This race is neck-and-neck, so everything we do will make a difference.
Sign up and chip in to help us get this job done: https://t.co/I82uwvtMis https://t.co/BqRjxyP4Pa</t>
  </si>
  <si>
    <t>1321211192455667714</t>
  </si>
  <si>
    <t>Had a great day in Johnston, Granville, and Durham Counties connecting with voters, visiting a local small business, and spending time with @AllenWellonsNC as we fight to bring new leadership to our state! https://t.co/kB5DnHXwRR</t>
  </si>
  <si>
    <t>1321181769505349632</t>
  </si>
  <si>
    <t>Let’s think about Sen. Tillis’ vote to confirm Judge Barrett last night, despite his refusal to consider Judge Garland in 2016.
And then let’s vote to send him home. https://t.co/WvqVT1g8nJ</t>
  </si>
  <si>
    <t>1321106855670751232</t>
  </si>
  <si>
    <t>This is incredible! Let’s keep it up, NC. To find your early voting site, click here: https://t.co/GOQ3kzpq3N https://t.co/C9yxhcOggy</t>
  </si>
  <si>
    <t>1321073952559681542</t>
  </si>
  <si>
    <t>As I talk with North Carolinians across the state, I continue to hear that it’s time for a change in Washington.
@WallaceCongress and I are ready to be that change. https://t.co/F523TTpUqu</t>
  </si>
  <si>
    <t>1320882590706970633</t>
  </si>
  <si>
    <t>My statement on the Senate's confirmation of Judge Amy Coney Barrett to the Supreme Court: https://t.co/7RXtNXxJrZ</t>
  </si>
  <si>
    <t>1320828425314197506</t>
  </si>
  <si>
    <t>A great time in Lumberton talking with voters and visiting the Sweet Candy Café! So grateful to have the opportunity to hear about the issues on folks’ minds while supporting a local business. https://t.co/8dTkRnAofJ</t>
  </si>
  <si>
    <t>1320790561842933760</t>
  </si>
  <si>
    <t>We need to put partisanship aside and our country first—but instead of passing COVID-19 relief, Sen. Tillis and his allies in Washington are rushing to push through his party’s SCOTUS nominee. 
Let's remember what he said about SCOTUS confirmations in 2016: https://t.co/jZlC5Ud2Sg</t>
  </si>
  <si>
    <t>1320711434788081664</t>
  </si>
  <si>
    <t>“What am I supposed to do?”
Too many North Carolinians have had to ask themselves that question when it comes to paying for their health care.
We must do better. And that starts with ensuring folks have access to quality, affordable care. https://t.co/CYFsua76o7</t>
  </si>
  <si>
    <t>1320528167581396993</t>
  </si>
  <si>
    <t>Sen. Tillis six years ago: “Voting with the president 95% of the time shows that a Senator isn’t independent.”
Sen. Tillis in Washington: Votes with the administration 99% of the time.
An independent voice? I don’t think so.</t>
  </si>
  <si>
    <t>1320499437765038081</t>
  </si>
  <si>
    <t>Does Sen. Tillis stand with NCians in need of COVID-19 relief, or with the White House throwing in the towel? If history is our guide, instead of calling out this callous admission by the White House, Tillis will do their bidding and rubber-stamp his party’s SCOTUS nominee. https://t.co/71UgzHTmHw</t>
  </si>
  <si>
    <t>1320462694189801473</t>
  </si>
  <si>
    <t>Elections this close are won through conversations, &amp;amp; this week I’ve had the opportunity to talk with NCians about what’s on their minds: expanding health care, protecting our elections, prioritizing farmers &amp;amp; agriculture workers, &amp;amp; more. Take a look:
https://t.co/BmB7B3d5x4</t>
  </si>
  <si>
    <t>1320429574895915009</t>
  </si>
  <si>
    <t>Rain or shine, it’s great to see the enthusiasm at our early voting sites! Loved visiting with voters in Fayetteville this afternoon. https://t.co/kcTdKoYtyd</t>
  </si>
  <si>
    <t>1320377713434263552</t>
  </si>
  <si>
    <t>Thanks for taking the time, @HuffmanForNC! Here’s to the next 9 days as we fight to bring new leadership to the state we love. https://t.co/YA6bz91TUw</t>
  </si>
  <si>
    <t>1320364282962391042</t>
  </si>
  <si>
    <t>Health care should be a right. That’s why I support expanding Medicaid in NC, creating a public health insurance option, lowering prescription drug costs, and protecting the ACA.
All North Carolinians should have access to affordable care. Period. https://t.co/HG0v4YurFv</t>
  </si>
  <si>
    <t>1320182862084276225</t>
  </si>
  <si>
    <t>1⃣0⃣ days until we defeat Thom Tillis.
We need you in this fight now more than ever.
Can you pitch in $10 (that’s just one dollar for every day until Nov. 3) today? https://t.co/I82uwvtMis</t>
  </si>
  <si>
    <t>1320159783236849666</t>
  </si>
  <si>
    <t>NC is lucky to have so many great candidates up and down the ballot. Enjoyed meeting with @Remillard117, @JoeSamQueenNC, @TarshaElect, @ElectAlHeggins &amp;amp; Keith Townsend today. Their leadership is exactly what our state legislature needs right now. https://t.co/63isjlIzR6</t>
  </si>
  <si>
    <t>1320081577154613248</t>
  </si>
  <si>
    <t>North Carolinians deserve leaders who will fight for them, and that’s exactly what @ColMorrisDavis and I intend to do! 
Loved spending this beautiful morning with voters (and my new four-legged friend, Roscoe) in Waynesville, Cherokee, and Cullowhee. https://t.co/BvHgidm2NN</t>
  </si>
  <si>
    <t>1320001877438832640</t>
  </si>
  <si>
    <t>.@BarackObama knows how important it is for North Carolinians to make their voices heard in this election. We are THE battleground state—and each and every vote will make a difference.
If you haven’t cast your ballot already, make a plan to vote at https://t.co/Ydwx5C0hOt today. https://t.co/z6JojIQIHz</t>
  </si>
  <si>
    <t>1319796494657007616</t>
  </si>
  <si>
    <t>President Trump is coming to NC for the second time this week to rally his base for Sen. Tillis. He knows this seat will determine which party controls the Senate majority, so he’s all-in to help our opponent.
Chip in today to help us fight back: https://t.co/CymbO8oWEq https://t.co/QCa5ptLe5P</t>
  </si>
  <si>
    <t>1319767131660189696</t>
  </si>
  <si>
    <t>A great day in Western NC! Loved talking with folks about issues like expanding access to health care, fighting for small businesses, and strengthening our public schools.
11 more days — let’s do this! https://t.co/gJCKVVWlG1</t>
  </si>
  <si>
    <t>1319741602890473472</t>
  </si>
  <si>
    <t>Sen. Tillis failed to pass COVID-19 relief, even as NC’s unemployment rate climbed. 
We North Carolinians have taken note — and in just 11 days, we’ll vote him out.
https://t.co/sVILmhoZlS</t>
  </si>
  <si>
    <t>1319719843583692807</t>
  </si>
  <si>
    <t>Today, I joined folks in Statesville to discuss health care challenges in the rural parts of our state. Especially during this pandemic, it’s so important we expand Medicaid to ensure rural hospitals have the resources they need.
As Senator, I will fight to do just that. https://t.co/mxhdC617r2</t>
  </si>
  <si>
    <t>1319684145895907328</t>
  </si>
  <si>
    <t>Young people are going to play a big role in this election, and after talking with students at @UNC and @appstate, I know our state’s future’s in very good hands. Thanks to those who joined! https://t.co/LT94Ncc3EC</t>
  </si>
  <si>
    <t>1319631247921061888</t>
  </si>
  <si>
    <t>I’m so grateful to North Carolina’s educators, who continue to give to our communities not only through our students, but also by speaking out about the importance of voting in this crucial election.
https://t.co/Lf6nxrXQhW</t>
  </si>
  <si>
    <t>1319434774340112385</t>
  </si>
  <si>
    <t>“We need a Senator who stands up to both parties for what’s good for North Carolina.”
Pender, I couldn’t agree more. https://t.co/AkE6E6GjwU</t>
  </si>
  <si>
    <t>1319387943681871876</t>
  </si>
  <si>
    <t>Looks like it was a beautiful day in Apex, Barry! 
Thank you so much for your vote. So inspiring to see North Carolinians taking advantage of early voting during this critical election year. https://t.co/zf3j5bLxbr</t>
  </si>
  <si>
    <t>1319359043325014025</t>
  </si>
  <si>
    <t>Folks like Bev and Scott Veals—and all those I talked with in Carolina Beach—know that we need to expand access to quality, affordable care and protect the ACA. I’m grateful to them for sharing their stories with me this morning, and am ready to be their champion in the Senate. https://t.co/Q1OghKIItO</t>
  </si>
  <si>
    <t>1319299276971905027</t>
  </si>
  <si>
    <t>First Sen. Tillis backed Trump’s nominee to our Court sight unseen, forfeiting his duty to vet lifetime appointees. Now he’s doing so at the expense of NCians who need COVID-19 relief.
He's caving to McConnell again, too weak to stand up to his party even when it hurts NCians. https://t.co/eXdZ9yq9Sc</t>
  </si>
  <si>
    <t>1319268109002416129</t>
  </si>
  <si>
    <t>The unemployment rate in NC is up—but Sen. Tillis can’t stand up to Mitch McConnell and call for real action to address COVID-19 relief. He’s prioritizing his reelection bid over North Carolinians.
This is why we need to vote him out. 
https://t.co/WEtIo8xKbR</t>
  </si>
  <si>
    <t>1319093433764614148</t>
  </si>
  <si>
    <t>This is it: we are in a ONE-POINT race with Thom Tillis.
We're fighting for health care. 
We're fighting for education. 
We're fighting to take on corruption in Washington. 
We're fighting for the future of our state.
Help us win: https://t.co/xtqCBDbypT https://t.co/OXT7xzAmwH</t>
  </si>
  <si>
    <t>1319078375835750400</t>
  </si>
  <si>
    <t>Thanks to the Young Dems of Mecklenburg County and Greensboro Men’s Club for all of the great work they’re doing to get out the vote! We have 13 days until Election Day—and your determination to flip this Senate seat is going to make the difference. https://t.co/Ay1igwma37</t>
  </si>
  <si>
    <t>1319008170996649992</t>
  </si>
  <si>
    <t>Today at Sharp Farms, I had the opportunity to speak with Pender — one of many North Carolina farmers who’s paid the price for this administration’s reckless trade policies.
It’s time for NC to have a Senator who will stand up for our farmers and agriculture workers. https://t.co/ZxbINo0YpH</t>
  </si>
  <si>
    <t>1318988515716308995</t>
  </si>
  <si>
    <t>Sen. Tillis has failed the true test of leadership by prioritizing his political cover, even if it means abandoning North Carolinians in their hour of need.</t>
  </si>
  <si>
    <t>1318988514546024450</t>
  </si>
  <si>
    <t>The goal of this bill is not to solve NCians’ problems, but to solve Sen. Tillis’ political problems. It cuts unemployment assistance, doesn't help local govs keep essential workers on the payroll, leaves schools without resources, &amp;amp; fails to expand health care access. https://t.co/dMkN7PRNF1</t>
  </si>
  <si>
    <t>1318945448401522693</t>
  </si>
  <si>
    <t>Sen. Tillis said months ago he wouldn’t leave DC until the Senate passed COVID relief. Then he went on vacation.
Now, he continues to cave to his party as Washington Republicans prioritize his political survival over working for North Carolinians.
https://t.co/OsTXVY5AkZ</t>
  </si>
  <si>
    <t>1318905068658229251</t>
  </si>
  <si>
    <t>I’ve often said that the only economy that truly works is an economy that works for everyone.
As we continue to navigate this pandemic, NC needs a Senator who will prioritize an even recovery across our state, with no North Carolinian left behind.
https://t.co/1xvHxeKsq9</t>
  </si>
  <si>
    <t>1318726650440404993</t>
  </si>
  <si>
    <t>🚨BREAKING🚨: Today’s new poll from ABC News shows that this is a two-point race.
We have exactly two weeks to replace Thom Tillis and flip the Senate.
Join our team today to help us get the job done: https://t.co/eelO6dzAqQ</t>
  </si>
  <si>
    <t>1318702598581530627</t>
  </si>
  <si>
    <t>What a day! Loved talking with folks in Carrboro about the importance of this election, with early voting lines around the block. Then topped it off by visiting Matthew’s Chocolates in Hillsborough—a sweet way to end the day! https://t.co/6Wj7JyBVxb</t>
  </si>
  <si>
    <t>1318657885853913094</t>
  </si>
  <si>
    <t>Sen. Tillis has stood with Washington Republicans and Big Pharma—not North Carolinians struggling to afford medications due to the high cost of prescription drugs.
It’s time to elect a Senator who will work for the people of NC.
https://t.co/AFVzsHUxaw</t>
  </si>
  <si>
    <t>1318581417127890944</t>
  </si>
  <si>
    <t>It’s official: our race is the final TOSS-UP of this election cycle.
Control of the Senate hinges on North Carolina, so we’re looking to folks like you to sign up, chip in, and help us flip this seat. 
We only have 14 more days. Let’s go: https://t.co/xtqCBDbypT https://t.co/iaAzOlKX1K</t>
  </si>
  <si>
    <t>1318540572253147136</t>
  </si>
  <si>
    <t>Pretty incredible seeing a record number of North Carolinians head to the polls. If you haven’t yet, I encourage you to take advantage of early voting and do so! Democracy is not a spectator sport—and this is our moment to make our voices heard. https://t.co/arf75uCJDd</t>
  </si>
  <si>
    <t>1318354820923854848</t>
  </si>
  <si>
    <t>This is it: we have 15 DAYS until Election Day.
NC is known for razor-thin elections—and if you’ve been waiting to get involved, now’s the moment.
There’s no time to waste as we work to replace Thom Tillis and flip this Senate seat. Let’s do this: https://t.co/3Ufq2q6rXo</t>
  </si>
  <si>
    <t>1318331272654131200</t>
  </si>
  <si>
    <t>Sen. Tillis’ Senate seat has been an empty chair for North Carolinians for the past six years. Stacy's experienced this firsthand—even when she reached out to share her experience as a constituent, she was met with silence.
North Carolinians deserve better. https://t.co/tLwg6cq8qY</t>
  </si>
  <si>
    <t>1318292245632684034</t>
  </si>
  <si>
    <t>For years, Sen. Tillis has been on a mission to reduce health care for women and families in our state. I’m proud to stand with @PPact and @NARAL as we fight for all North Carolinians to receive quality, affordable care. https://t.co/MHq2Z1bifs</t>
  </si>
  <si>
    <t>1318226681677623298</t>
  </si>
  <si>
    <t>There are 15 days until Election Day—that’s 1 for each of Sen. Tillis’ votes to partially or fully repeal the ACA, including his votes to gut protections for 1.7M North Carolinians with pre-existing conditions.
He voted against protecting our health care. Now we’ll vote him out. https://t.co/ZH2IagIRko</t>
  </si>
  <si>
    <t>1318184260663152641</t>
  </si>
  <si>
    <t>For years, we’ve seen Sen. Tillis forfeit his independence, caving to his party &amp;amp; violating his oath of office as a Senator.
Confirming a Supreme Court nominee is a privilege. In 2016, he misled North Carolinians by claiming to care about their voices in this process. https://t.co/CIagycITum</t>
  </si>
  <si>
    <t>1317994549596295168</t>
  </si>
  <si>
    <t>We must protect the Affordable Care Act.</t>
  </si>
  <si>
    <t>1317966366662627328</t>
  </si>
  <si>
    <t>Thanks to the National Association of Letter Carriers and the Black Political Caucus for taking the time tonight. The work you’re doing to get out the vote is going to change the future of our state. Let’s win this thing! https://t.co/JvYADvTuVA</t>
  </si>
  <si>
    <t>1317913678268796930</t>
  </si>
  <si>
    <t>For too long, corporate special interests have influenced decision-making in Washington.
Our government was designed to work for the people, but Sen. Tillis has repeatedly prioritized his donors over his constituents.
We need to replace him. https://t.co/v4f8EAXqA0</t>
  </si>
  <si>
    <t>1317830127569481728</t>
  </si>
  <si>
    <t>A COVID-19 relief package is now months overdue. State and local governments are struggling to keep services running, and North Carolinians wake up every day wondering how they will make ends meet.
We need to get Washington working for the people again.
https://t.co/U9hJKLhZwD</t>
  </si>
  <si>
    <t>1317617504315899905</t>
  </si>
  <si>
    <t>There’s a lot riding on this election, &amp;amp; one of the most important issues on the ballot is education. I believe that investing in education means investing in our state’s future—&amp;amp; if we invest wisely, we can ensure education is an engine of opportunity for all North Carolinians. https://t.co/G2vKMEfwE7</t>
  </si>
  <si>
    <t>1317561944900063233</t>
  </si>
  <si>
    <t>Thanks for your support, Todd! It’s great to see so many folks heading to the polls now that early voting has begun. Here’s to the next 17 days! https://t.co/SAaQZls9t5</t>
  </si>
  <si>
    <t>1317466222129254400</t>
  </si>
  <si>
    <t>The PROTECT Act has been described by health policy experts as “a throat-clearing exercise,” riddled with loopholes for insurance companies. 
Yet, this is Sen. Tillis’ health care plan? 
It won’t do for the people of North Carolina. https://t.co/mNWt0Iydib</t>
  </si>
  <si>
    <t>1317259663449182208</t>
  </si>
  <si>
    <t>Jeremy and Emily remind me of what we’re fighting for — affordable health care, good public schools, and economic opportunities for all. I’m grateful they’re on our team as we work to flip this Senate seat. https://t.co/y7TEv915Pd</t>
  </si>
  <si>
    <t>1317231140974088195</t>
  </si>
  <si>
    <t>North Carolinians like Stacy know Sen. Tillis’ support for Judge Barrett is only his latest betrayal in a long record of working in opposition to our health care interests. 
One thing's clear: he's no champion for protecting our care.
https://t.co/lqaE58nTvj</t>
  </si>
  <si>
    <t>1317145952533229586</t>
  </si>
  <si>
    <t>COVID-19 cases are rising in North Carolina and across the country — which is why we need to continue social distancing, wearing masks, and washing our hands like lives depend on it. Because they do.
https://t.co/n0N6Hi1AHd</t>
  </si>
  <si>
    <t>1317092190531821570</t>
  </si>
  <si>
    <t>The stakes are too high for folks to be confused about when to vote. Let’s get this right:
🗓 Oct. 15 - Oct. 31 — Early voting (you can register to vote in person at an early voting site in your county)
🗓 Nov. 3 — Election Day (you must be registered to vote in advance) https://t.co/gU6ALMt2GR</t>
  </si>
  <si>
    <t>1316921059854213122</t>
  </si>
  <si>
    <t>Today marks the start of early voting in NC. I was honored to cast my vote, after dropping off supplies in Fuquay-Varina and meeting voters in Johnston County.
Thank you to everyone who took the time! https://t.co/25vSD1jGzZ</t>
  </si>
  <si>
    <t>1316897480861167622</t>
  </si>
  <si>
    <t>Great to join @WilsonDemocrats tonight to discuss how we’re going to beat this virus, boost our economy, and put this Senate seat back to work for the people of North Carolina. https://t.co/QaewIZAnE6</t>
  </si>
  <si>
    <t>1316842110197420034</t>
  </si>
  <si>
    <t>Thanks to this people-powered team, our campaign raised more than 4X Thom Tillis’ in Q3❗
This is no small accomplishment. I am so grateful to everyone who has chipped in to help us flip this Senate seat. Together, we’re going to bring new leadership to Washington. https://t.co/RZCpl2rAbZ</t>
  </si>
  <si>
    <t>1316798387359027200</t>
  </si>
  <si>
    <t>Quick, folks: today is the last day to complete the 2020 Census!
Let’s make sure our state receives the funding it needs by spreading the word.
Click here to fill out the Census right now: https://t.co/lJRCUR7AuW https://t.co/5qSOJYOEiE</t>
  </si>
  <si>
    <t>1316729687595520000</t>
  </si>
  <si>
    <t>Good morning, NC — and happy first day of early voting! If you have questions about voting deadlines and regulations, look no further: we’ve put together the following guide to help make sure your vote counts this election season. Check it out:
https://t.co/jLW1zFa9eM</t>
  </si>
  <si>
    <t>1316547630021906433</t>
  </si>
  <si>
    <t>We couldn’t be fighting for change at a more important time. Right now, we must have confidence in our elections — because we’re going to use our votes to refresh our democracy, turn the page, and get this country back on track.
Let’s go win this thing. https://t.co/IWvxFGSVwI</t>
  </si>
  <si>
    <t>1316520468707508225</t>
  </si>
  <si>
    <t>This is it: we have 20 days left to replace Thom Tillis and take back the Senate.
Your vote makes a difference. Your involvement makes a difference. Your donations make a difference.
Pitch in: https://t.co/eelO6dzAqQ https://t.co/wDL5Qdw0Hs</t>
  </si>
  <si>
    <t>1316480830387236864</t>
  </si>
  <si>
    <t>North Carolina children would benefit from Medicaid expansion. 
Ensuring they have access to quality, affordable care must be a priority.
We owe it to the next generation to expand Medicaid in NC.
https://t.co/kByxJExSnN</t>
  </si>
  <si>
    <t>1316398603754254336</t>
  </si>
  <si>
    <t>Election Day is in just 3 weeks, which means it’s crucial for the USPS to run smoothly as folks return mail-in ballots.
This election depends on the USPS, just as North Carolinians depend on the USPS every day for prescriptions and other necessities.
We must protect the USPS. https://t.co/fXWSUW1Rg7</t>
  </si>
  <si>
    <t>1316168250166857729</t>
  </si>
  <si>
    <t>I will fight relentlessly for the lives, the future, the health, and the well-being of the people of North Carolina. https://t.co/ywoNm3Yvu6</t>
  </si>
  <si>
    <t>1316130879916380162</t>
  </si>
  <si>
    <t>Senate Republicans are committed to dismantling the ACA, despite its protections for the 1.7M North Carolinians with pre-existing conditions.
As SCOTUS confirmation hearings continue, the ACA is in jeopardy. 
We must flip the Senate.
https://t.co/h5XHijNj3Z</t>
  </si>
  <si>
    <t>1316083674237071362</t>
  </si>
  <si>
    <t>When it comes to health care, I'll fight for folks to receive the quality, affordable care they deserve. That means:
☑ Taking on the lobbyists
☑ Protecting coverage for folks with pre-existing conditions
☑ Lowering medicine costs
☑ Expanding Medicaid
Check out our new ad: https://t.co/lUpGiXgtjp</t>
  </si>
  <si>
    <t>1316050292685844481</t>
  </si>
  <si>
    <t>North Carolina’s farmers &amp;amp; agriculture workers are central to our economy, &amp;amp; play a large role in ensuring our state’s food supply. In the push &amp;amp; pull of this administration’s trade wars, they’ve been left behind. It’s time for NC to have a Senator who will look out for them. https://t.co/aA702bC5ng</t>
  </si>
  <si>
    <t>1316002372460646401</t>
  </si>
  <si>
    <t>Folks who were struggling before the pandemic can’t make ends meet, in part because Congress failed to negotiate COVID-19 relief. NC needs a leader who will look out for those who are vulnerable and deliver solutions to boost our economy.
https://t.co/lwtgyo9h80</t>
  </si>
  <si>
    <t>1315820307639394305</t>
  </si>
  <si>
    <t>Voting is a right that we must protect for all Americans. As Senator, I will fight to:
▪ Reinstate protections under the VRA;
▪ Have automatic and same-day registration nationwide;
▪ Extend early voting; and
▪ Make Election Day a federal holiday. https://t.co/zx57bXD74G</t>
  </si>
  <si>
    <t>1315731563716452359</t>
  </si>
  <si>
    <t>It was a pleasure honoring #IndigenousPeoplesDay in Mebane. Our tribes hold a special place in the history of NC, and continue to be vibrant communities in our thriving state. I look forward to being an advocate for them in the Senate. https://t.co/lt3pYI9NH7</t>
  </si>
  <si>
    <t>1315677936524177409</t>
  </si>
  <si>
    <t>Sen. Tillis &amp;amp; Mitch McConnell are moving forward with their efforts to confirm a lifetime appointee to the Supreme Court. If I were in the Senate, I would meet with Judge Coney Barrett &amp;amp; evaluate her candidacy on behalf of North Carolinians. Read more:
https://t.co/iGjnIXOQSd</t>
  </si>
  <si>
    <t>1315643561178738688</t>
  </si>
  <si>
    <t>As SCOTUS confirmation hearings begin, a reminder that Sen. Tillis committed to backing the President’s nominee before anyone was even named—despite refusing to consider President Obama's SCOTUS nominee in 2016.
This is just another partisan flip-flop. https://t.co/7j11jSPSFZ</t>
  </si>
  <si>
    <t>1315472525585940481</t>
  </si>
  <si>
    <t>Loved chatting with the Young Democrats of Forsyth County earlier! 
We couldn’t be fighting for change at a more important time. It’s on all of us to organize, get folks to the polls, &amp;amp; put this Senate seat back to work for the people of NC. Working together, I know we can win. https://t.co/AwKdVxyVRk</t>
  </si>
  <si>
    <t>1315442177145819136</t>
  </si>
  <si>
    <t>Senate control hinges on North Carolina, and early voting begins in our state THIS week.
With issues like health care and education on the ballot, there’s no time to waste.
Let’s flip this Senate seat: https://t.co/xtqCBDbypT https://t.co/hN3HKFhOxH</t>
  </si>
  <si>
    <t>1315388176953937922</t>
  </si>
  <si>
    <t>📌Greater disclosure by super PACs and other IE groups
📌A 5 year gap before outgoing members of Congress and presidential Cabinets can be lobbyists
📌DOJ review of election law changes
Learn more about my anti-corruption plan:
https://t.co/epXdn3M5XT</t>
  </si>
  <si>
    <t>1315291775687438336</t>
  </si>
  <si>
    <t>As we navigate this pandemic, testing continues to be one of the best tools we have to slow the spread of COVID-19. If you live in or near Forsyth County, learn about free test sites here:
https://t.co/Ot8ZABu6ba</t>
  </si>
  <si>
    <t>1315080448792506369</t>
  </si>
  <si>
    <t>In 1 month, SCOTUS will hear arguments on the future of the ACA. Sen. Tillis continues to remind folks of his opposition to the law—despite the 1.7M North Carolinians with pre-existing conditions who depend on it for health care coverage.
I will always fight to protect the ACA. https://t.co/aRpSklVAqc</t>
  </si>
  <si>
    <t>1315030459672399872</t>
  </si>
  <si>
    <t>Durham Mayor Steve Schewel is right: “If Congress doesn’t pass significant relief and recovery, state and local governments will founder and our most vulnerable residents will suffer the most.”
NC is counting on Congress. This can't be a partisan issue.
https://t.co/2Jk367QtCJ</t>
  </si>
  <si>
    <t>1314984302459973636</t>
  </si>
  <si>
    <t>Had a great time in Hoke County this morning! As folks prepare to head to the polls this week when early voting begins, I’m grateful to have the chance to hear about the issues on their minds. Together, we're going to flip this seat and bring new leadership to Washington. https://t.co/mvytG8yczc</t>
  </si>
  <si>
    <t>1314716980717465600</t>
  </si>
  <si>
    <t>We only have 25 days until North Carolinians determine who will represent them in the U.S. Senate and, ultimately, which party will control the majority.
If you’re ready to replace Thom Tillis and flip the Senate, join us: https://t.co/xtqCBDbypT. https://t.co/fsSU6RmiB1</t>
  </si>
  <si>
    <t>1314667309575872514</t>
  </si>
  <si>
    <t>Wearing a mask, social distancing, and washing your hands may feel like small actions, but they really do help slow the spread of COVID-19. As we navigate this pandemic, let’s listen to public health experts and do what we can to protect our communities.
https://t.co/YXgrjgrAhb</t>
  </si>
  <si>
    <t>1314551375733444608</t>
  </si>
  <si>
    <t>North Carolinians have seen the effects of climate change firsthand. We must invest in a clean energy economy that will create good-paying jobs, reduce carbon pollution, and make NC a leader. https://t.co/qmJ7QCqfyC</t>
  </si>
  <si>
    <t>1314357623622381569</t>
  </si>
  <si>
    <t>North Carolinians feel the financial strain of this pandemic every day, as they choose which necessities to go without in the struggle to make ends meet.
It’s time for those in Washington to pass bipartisan relief to support the American people.
https://t.co/r331SBLnIT</t>
  </si>
  <si>
    <t>1314299719821258752</t>
  </si>
  <si>
    <t>Health care should be a right. That’s why I support expanding Medicaid in NC, creating a public health insurance option, lowering prescription drug costs, and protecting the ACA.
All North Carolinians should have access to affordable care. https://t.co/SpkKb2P0XF</t>
  </si>
  <si>
    <t>1314232718243368963</t>
  </si>
  <si>
    <t>This pandemic highlights the need to expand high-speed broadband access to our state’s rural communities — especially for students and those working from home. As we move forward, this must be a priority. https://t.co/42Vi6LjRZx</t>
  </si>
  <si>
    <t>1314194696105844737</t>
  </si>
  <si>
    <t>Delays caused by cuts to the USPS affect North Carolinians across the state. Folks are missing doses of their medications, unsure of when their prescriptions will arrive.
NC needs a Senator who will advocate for the USPS.
https://t.co/JGPHyLreIR</t>
  </si>
  <si>
    <t>1313932050555166723</t>
  </si>
  <si>
    <t>Filling out the census is important for the future of our state — including for funding for education and health care. Call 844-330-2020 or visit https://t.co/0QwzGgL9KH to make sure you’re counted today.
https://t.co/oDmmpKfVNv</t>
  </si>
  <si>
    <t>1313880927915909123</t>
  </si>
  <si>
    <t>As unemployment claims climb, North Carolinians are relying on Congress to provide relief. 
Congress needs to pass bipartisan legislation—and quickly.
https://t.co/JeD1UvSsfO</t>
  </si>
  <si>
    <t>1312186704678146051</t>
  </si>
  <si>
    <t>I'm wishing @SenThomTillis a quick recovery following his positive COVID-19 test, and am thinking of him and his family. 
Because I was with Senator Tillis recently on the debate stage, I will also get tested.</t>
  </si>
  <si>
    <t>1323770292464951296</t>
  </si>
  <si>
    <t>Texas is ready to make history. 
Vote: https://t.co/oqoIpO4pQ7 https://t.co/YVlCq7Zbul</t>
  </si>
  <si>
    <t>1323764403561504771</t>
  </si>
  <si>
    <t>Thank you for your vote — let's do this! 🗳 https://t.co/jZARsKVebQ</t>
  </si>
  <si>
    <t>1323750261194674177</t>
  </si>
  <si>
    <t>Texas — the polls are open until 7 p.m. tonight. Have you voted yet? Find your polling location and get out and vote NOW! https://t.co/oqoIpO4pQ7</t>
  </si>
  <si>
    <t>1323741611034103814</t>
  </si>
  <si>
    <t>Let’s win this! https://t.co/LKUDqv805H</t>
  </si>
  <si>
    <t>1323731807653842945</t>
  </si>
  <si>
    <t>Texas is the biggest battleground state. RT if you believe we're going to win it.</t>
  </si>
  <si>
    <t>1323728188468568068</t>
  </si>
  <si>
    <t>Texas deserves a senator as tough as we are. Let’s make it happen. https://t.co/oqoIpO4pQ7 https://t.co/JLEmTZc9L9</t>
  </si>
  <si>
    <t>1323714153811447809</t>
  </si>
  <si>
    <t>Don't mess with Texas women. 💪
Thank you for your vote! https://t.co/8ExAPkGsls</t>
  </si>
  <si>
    <t>1323706156578230272</t>
  </si>
  <si>
    <t>Need something to pump you up and get you ready to get out the vote? @Kathy_Valentine has a special song just for @MJHegarCrew! https://t.co/pnIhLpCcSl</t>
  </si>
  <si>
    <t>1323694893659815936</t>
  </si>
  <si>
    <t>If you’ve already voted, make calls to help get your fellow Texans out to vote today! https://t.co/VtLrPtqi8x</t>
  </si>
  <si>
    <t>1323678582254821381</t>
  </si>
  <si>
    <t>Thank your parents for voting — and thank you so much for helping them get out to vote today! This is how we'll win — together. https://t.co/A6q35rihPi</t>
  </si>
  <si>
    <t>1323663893265264640</t>
  </si>
  <si>
    <t>Imagine waking up tomorrow with a new Senator, President, Vice President, and State House. Think of all we could accomplish. 
We’re so close to being able to make that future a reality. Will you have done your part?
Vote today, and make history. https://t.co/oqoIpO4pQ7 #TXSen https://t.co/wx4TVo1GBs</t>
  </si>
  <si>
    <t>1323656711446634496</t>
  </si>
  <si>
    <t>If you have any questions about how to vote, or if you experience any problems at the polls, call 844-TX-VOTES for help. https://t.co/HqA5EwzFhs</t>
  </si>
  <si>
    <t>1323647757068996609</t>
  </si>
  <si>
    <t>Tell her thank you for making sure her dad voted today. Voting makes you a superhero! https://t.co/88JiOtfMqS</t>
  </si>
  <si>
    <t>1323640556296294400</t>
  </si>
  <si>
    <t>Let's win this for our kids. Thank you for your vote! https://t.co/3hzHEE7g1N</t>
  </si>
  <si>
    <t>1323634509133320193</t>
  </si>
  <si>
    <t>Good morning, Texas. Let’s do this. https://t.co/SNFDaYFR9N</t>
  </si>
  <si>
    <t>1323627429580124161</t>
  </si>
  <si>
    <t>Remember to bring your photo I.D. with you to the polls. Use one of the seven types of ID listed below. 
If you don't have one, you can still vote with a regular ballot. Follow the steps listed here: https://t.co/YZIWwZvQz7 
If you have problems or questions, call 844-TX-VOTES. https://t.co/qDOknUmzDA</t>
  </si>
  <si>
    <t>1323611296135348225</t>
  </si>
  <si>
    <t>Texas — the polls are now OPEN! Remember to bring your mask and ID. Find your polling location and get out and vote! https://t.co/oqoIpO4pQ7</t>
  </si>
  <si>
    <t>1323605538572296192</t>
  </si>
  <si>
    <t>Good morning, Texas! Polls are opening at 7 a.m. Find your polling location and get out and VOTE! https://t.co/oqoIpO4pQ7</t>
  </si>
  <si>
    <t>1323485272361869312</t>
  </si>
  <si>
    <t>Wrapped up a great evening in Denton and Dallas by joining @ColinAllredTX, @SkidonenkoForTX, the Stonewall Democrats of Dallas, the Dallas County Democratic Party, and more amazing Democrats down the ballot to help get out the vote! https://t.co/bU8N1IHEgg</t>
  </si>
  <si>
    <t>1323476740400947202</t>
  </si>
  <si>
    <t>Swung up to Arlington to kick off a lit drop with @alisafortexas and the Tarrant County Democrats! Keep working hard, y'all, this is how we'll win! https://t.co/EK0Qa5m856</t>
  </si>
  <si>
    <t>1323465879477243904</t>
  </si>
  <si>
    <t>Did you catch us on @SHO_TheCircus last night? Texans have a lot more grit and backbone than John Cornyn does — and tomorrow, we'll be ready to show him the door. https://t.co/bdnJWCMeSq</t>
  </si>
  <si>
    <t>1323445266045952000</t>
  </si>
  <si>
    <t>🚨 Tips for folks with mail-in ballots:
- Don’t mail it! Drop it off in-person. Find out where: https://t.co/CSdFJTheJb
- Mailed it? Call your clerk to check if it's been received: https://t.co/wRgB19oMjd 
- Never received it? Plan to vote tomorrow: https://t.co/1BPTgzjH9W</t>
  </si>
  <si>
    <t>1323437878718976001</t>
  </si>
  <si>
    <t>Tomorrow is our last chance to show the world who we really are. Make a plan and go vote.
Polls are open from 7 a.m. to 7 p.m. Find your polling location. ⬇️ https://t.co/wGTi30sIAS</t>
  </si>
  <si>
    <t>1323428517246312448</t>
  </si>
  <si>
    <t>Voting is a family affair! I’m proud to earn your vote. Let’s win this! https://t.co/mzVSUUOFTt</t>
  </si>
  <si>
    <t>1323424459882188809</t>
  </si>
  <si>
    <t>Texas women are strong, outspoken, and done with the B.S. https://t.co/TAhqULlgY6</t>
  </si>
  <si>
    <t>1323416843349118985</t>
  </si>
  <si>
    <t>This race is tied — and every vote will make the difference.
We need your help to reach voters across Texas. Every dollar you chip in will go straight towards our voter outreach and protection efforts. Can you pitch in now to help us win Texas? https://t.co/jJUMSwD0ye</t>
  </si>
  <si>
    <t>1323407861259579392</t>
  </si>
  <si>
    <t>Your voice — your vote — is powerful. Use it.
https://t.co/oqoIpO4pQ7 https://t.co/HK244U20O1</t>
  </si>
  <si>
    <t>1323389485384650752</t>
  </si>
  <si>
    <t>Dropped by Houston to kick-off a lit drop with @kaylaalixforte1, the Bay Area Democrats, and the Texas Democratic Women of Galveston. Thanks for everything y'all are doing to help get out the vote — let's win this! https://t.co/I7fRVrvWwX</t>
  </si>
  <si>
    <t>1323374760684826624</t>
  </si>
  <si>
    <t>.@JohnCornyn's buddy and longtime donor Steve Hotze lost this attempt to throw out the votes of 127,000+ Texans — but this won't be the last we see of him.
We fought this in court, and we'll keep fighting. Help us be ready: https://t.co/DKqzhqGAYe https://t.co/bPtbBeyTkn</t>
  </si>
  <si>
    <t>1323370745028857860</t>
  </si>
  <si>
    <t>Don't mess with Texas voters. https://t.co/97GRLL2PFI</t>
  </si>
  <si>
    <t>1323351765593530369</t>
  </si>
  <si>
    <t>I had so much fun with @GinaOrtizJones, @JulianCastro, @Castro4Congress, @Vote4MonicaBCDP, and more incredible folks in San Antonio this morning! Remember to make a plan and get out to vote TOMORROW! https://t.co/oqoIpO4pQ7 https://t.co/zwcL8D2NuV</t>
  </si>
  <si>
    <t>1323338648629268480</t>
  </si>
  <si>
    <t>We can win big up and down the ballot — but we need your help to reach voters across Texas and get them out to vote tomorrow. Make calls now: https://t.co/SBdpkyTO88</t>
  </si>
  <si>
    <t>1323332088284794883</t>
  </si>
  <si>
    <t>So excited to join you tonight. Let’s win this! https://t.co/JnQBSgJG72</t>
  </si>
  <si>
    <t>1323315354450493440</t>
  </si>
  <si>
    <t>🚨 RACE UPDATE 🚨
With one day left to go, Sabato's Crystal Ball upgraded the race in our favor. Our momentum is growing — and with your help, we can win this. 
Chip in now to fund our critical Election Day outreach and voter protection programs: https://t.co/bdENpVwe58 https://t.co/fYPnIXDmtF</t>
  </si>
  <si>
    <t>1323308922267226114</t>
  </si>
  <si>
    <t>If you haven't already returned your mail-in ballot — DROP IT OFF IN PERSON. Learn more and find the location where you can return your mail-in ballot in person here: https://t.co/yQvVXoJ0KH</t>
  </si>
  <si>
    <t>1323282350491553795</t>
  </si>
  <si>
    <t>This race is within the margin of error. With a little grit and a lot of hard work, we can get this done. Chip in to help make it happen: https://t.co/RxrquyE24H https://t.co/BRIrbj1mHJ</t>
  </si>
  <si>
    <t>1323269849154465794</t>
  </si>
  <si>
    <t>🎉 Thank y'all so much for your vote! There's nothing better than voting with friends. Who are y'all bringing to the polls? https://t.co/cfyYqbhST0</t>
  </si>
  <si>
    <t>1323084083367391232</t>
  </si>
  <si>
    <t>All eyes are on Texas right now. 
Let's show the world who we really are. https://t.co/oqoIpO4pQ7 https://t.co/kZQ9Ehc7w7</t>
  </si>
  <si>
    <t>1323071015006670855</t>
  </si>
  <si>
    <t>Finished a fantastic day in Laredo by joining @JCisnerosTX for a lit drop in her neighborhood. Door to door, person to person, this is how we'll win! Make a plan and get out to vote this Tuesday: https://t.co/oqoIpO4pQ7 https://t.co/nCbnTtyXTf</t>
  </si>
  <si>
    <t>1323064614586900480</t>
  </si>
  <si>
    <t>Our children's future is on the ballot. We have to give this everything we've got. Let's win this! https://t.co/Na3VmshFvy</t>
  </si>
  <si>
    <t>1323048058045845504</t>
  </si>
  <si>
    <t>Laredo is fired up! We're gonna win big in Texas because of how hard y'all have been working to turn out the vote. Let's keep this historic momentum going into Tuesday! https://t.co/oqoIpO4pQ7 https://t.co/rrFZgzggqg</t>
  </si>
  <si>
    <t>1323036219148800000</t>
  </si>
  <si>
    <t>We're not going to stand by. We're going to fight to protect every single Texan's vote.  
Make sure we have the resources: https://t.co/7QUq7xUgEX https://t.co/zvthzYyPEi</t>
  </si>
  <si>
    <t>1323004069124997121</t>
  </si>
  <si>
    <t>It's so great to be in Del Rio to help get out the vote! If we all make our voices heard, we can win big up AND down the ballot. Make a plan to vote this Tuesday: https://t.co/oqoIpO4pQ7 https://t.co/LzvJWpWomL</t>
  </si>
  <si>
    <t>1322993363705122829</t>
  </si>
  <si>
    <t>Tuesday is your last chance to boot the bootlicker, y’all!
Vote in person, drop off your mail-in ballot at a ballot dropbox, and remind your friends. We have to give it everything we’ve got. Let’s do this! https://t.co/1BPTgzjH9W</t>
  </si>
  <si>
    <t>1322962089560989697</t>
  </si>
  <si>
    <t>.@JohnCornyn's lies aren't enough to win him this election, so he's resorting to dirty tricks, too. The latest: trying to fool Texans by putting words in my mouth, literally, with fake video.
We won't let him win. Help fight back: https://t.co/LiCUMzqgPD
https://t.co/7bf84cY2rm</t>
  </si>
  <si>
    <t>1322699900208009216</t>
  </si>
  <si>
    <t>.@JohnCornyn hasn't stepped up to protect these Texas voters. Is he afraid to cross Steve Hotze, the man behind the lawsuit and one of his longtime donors? 
Here they are, chumming it up together. https://t.co/IgypxbNeqz</t>
  </si>
  <si>
    <t>1322699879626530818</t>
  </si>
  <si>
    <t>Harris County's drive-through voting was approved by the Secretary of State and successfully used during the primary run-off. This lawsuit is bullshit — that's why our campaign stepped up to protect these voters. https://t.co/vGtfJ6ESq9</t>
  </si>
  <si>
    <t>1322676595505639425</t>
  </si>
  <si>
    <t>Be like Kimmy: If you’ve already voted, get your friends and family out to vote on Tuesday. This is how we’re going to win — together! https://t.co/oySuAOc52U</t>
  </si>
  <si>
    <t>1322664698697912320</t>
  </si>
  <si>
    <t>Happy Halloween from the boys! They're very excited to show you this year's jack-o-lanterns — what do you think, @CobraKaiSeries, did we nail it?
Spooky cat is going as a voter for Halloween to remind everyone how scary it is when we don't VOTE! 👻 https://t.co/7CDlQCUhJV</t>
  </si>
  <si>
    <t>1322656951323549696</t>
  </si>
  <si>
    <t>Thank you so much for using your voice for change! Let’s win this! https://t.co/wge9msLwtZ</t>
  </si>
  <si>
    <t>1322648864361500673</t>
  </si>
  <si>
    <t>What a great rally last night with @KamalaHarris, @sjl4hrc, @common, and so many Houstonians who are fired up and ready to GOTV.
Raise your voice and vote: https://t.co/1BPTgzjH9W https://t.co/zMc9e1eWv6</t>
  </si>
  <si>
    <t>1322634164760358913</t>
  </si>
  <si>
    <t>🚨 Urgent! 🚨 A Facebook glitch took down a critical batch of our GOTV ads. We need to run ads ASAP to reach those voters — but TV and radio cost more. Can you chip in to meet our $200,000 24-hour goal to help us keep reaching voters across Texas? https://t.co/PylqlX7Tzp</t>
  </si>
  <si>
    <t>1322629768165105669</t>
  </si>
  <si>
    <t>Love to see a voting plan in action! Make your plan to vote on Tuesday at https://t.co/1BPTgzjH9W. https://t.co/DU2ItlSZIl</t>
  </si>
  <si>
    <t>1322610267331661825</t>
  </si>
  <si>
    <t>Had a great time this morning kicking off a lit drop with @wendydavis and @tcdp! Thanks to everyone who came out to help us win Texas — loved getting into the Halloween and GOTV spirit with you. 🎃 https://t.co/HJvF6RkdMt</t>
  </si>
  <si>
    <t>1322588928487137280</t>
  </si>
  <si>
    <t>Texas is officially a TOSS-UP. 
I'm within striking distance of @JohnCornyn, and races across the state are gaining unstoppable momentum. Let’s win this! https://t.co/Co12e5DQiP</t>
  </si>
  <si>
    <t>1322338625690968064</t>
  </si>
  <si>
    <t>I'll be live soon with @KamalaHarris for our Get Out The Vote Rally in Houston — tune in! https://t.co/LO7b2qCAS9</t>
  </si>
  <si>
    <t>1322335639560507393</t>
  </si>
  <si>
    <t>.@BetoORourke, @JulianCastro and I had a great time welcoming @KamalaHarris to McAllen with some fabulous @texasdemocrats! https://t.co/iDKVsgCENt</t>
  </si>
  <si>
    <t>1322316002852483073</t>
  </si>
  <si>
    <t>I'm proud to fight alongside @BarackObama to protect our health care and protections for pre-existing conditions. 
Texas, today is the LAST day of early voting. Find your polling location and get out and VOTE! https://t.co/oqoIpO4pQ7 https://t.co/9xSMUs6TyQ</t>
  </si>
  <si>
    <t>1322308356481126403</t>
  </si>
  <si>
    <t>Early voting ends TONIGHT! Don’t wait — grab your mask, find your polling place, and get your boots to the polls! https://t.co/oqoIpO4pQ7</t>
  </si>
  <si>
    <t>1322300413798993923</t>
  </si>
  <si>
    <t>I'm so excited to welcome @KamalaHarris to Texas today! Together, we're going to win Texas — up and down the ballot.
Today is the LAST day of early voting. Grab your mask, find your polling place, and get out and VOTE! https://t.co/oqoIpO4pQ7 https://t.co/HfD18Na4dZ</t>
  </si>
  <si>
    <t>1322288878749945857</t>
  </si>
  <si>
    <t>Had a great start to our day with a rally in Fort Worth with @KamalaHarris, Rep. Eddie Bernice Johnson, @MarcVeasey, and some incredible @texasdemocrats! https://t.co/GImjIt5O1u</t>
  </si>
  <si>
    <t>1322246922783121409</t>
  </si>
  <si>
    <t>Let's give our next Vice President @KamalaHarris a warm Texas welcome! 
Texas is the BIGGEST battleground state and Kamala is here on the campaign trail today because she knows we can win it! Pitch in to help us seal the deal: https://t.co/MnOeQsMNEg</t>
  </si>
  <si>
    <t>1322223039522721793</t>
  </si>
  <si>
    <t>When @sjl4hrc called me a job creating momma, she wasn't just giving me a name — she was charging me with a job! https://t.co/nv7FYeEgY6</t>
  </si>
  <si>
    <t>1322207176706969607</t>
  </si>
  <si>
    <t>Thank you so much for your vote, let’s win this! 💪 https://t.co/UPX09givfU</t>
  </si>
  <si>
    <t>1322199174138503175</t>
  </si>
  <si>
    <t>We're setting records — and we've still got one more day of early voting and Election Day left to go. 
Texas is ready to shock the world. Find your polling place, grab your mask, and get out and VOTE! https://t.co/oqoIpO4pQ7 https://t.co/gU8B12lMM8</t>
  </si>
  <si>
    <t>1322162643831054336</t>
  </si>
  <si>
    <t>It’s the FINAL day of early voting!
Make a plan to get your boots to the polls at https://t.co/1BPTgzjH9W! https://t.co/USQnzyRNnA</t>
  </si>
  <si>
    <t>1321981067302195200</t>
  </si>
  <si>
    <t>We're live now for our GOTV rally with @JulianCastro, @BetoORourke, @ewarren, @CatherineForNV, @Carole_King, @EvaLongoria, @ben_mckenzie, and @MarcelMcClinton. Tune in! https://t.co/WdmqYPCKcE</t>
  </si>
  <si>
    <t>1321977314897502215</t>
  </si>
  <si>
    <t>You don't want to miss this, y'all. https://t.co/rXCGLjFwXr</t>
  </si>
  <si>
    <t>1321974576532889600</t>
  </si>
  <si>
    <t>Nationally, Latinas make 55 cents to every $1 earned by white men. In Texas, they make less — just 45 cents.
Latinas deserve better. Devaluing our communities and their work does not align with our Texas values. We must end the wage gap. #LatinaEqualPayDay</t>
  </si>
  <si>
    <t>1321957242845933581</t>
  </si>
  <si>
    <t>Texas — @billieeilish has an important message for you about our future. https://t.co/oqoIpO4pQ7 https://t.co/h3RhZ9kFeO</t>
  </si>
  <si>
    <t>1321951984505753600</t>
  </si>
  <si>
    <t>Happy belated birthday! We’ll have a lot for you to celebrate on Election Day! 🎂 https://t.co/URWe1afGI2</t>
  </si>
  <si>
    <t>1321937074006708224</t>
  </si>
  <si>
    <t>Tune in to our Get Out the Vote Rally with @TexasAFLCIO and @SherrodBrown NOW: https://t.co/8oSvAfHA8E</t>
  </si>
  <si>
    <t>1321925551167340546</t>
  </si>
  <si>
    <t>I love to see families voting together — and especially love seeing those future voter stickers! https://t.co/SwMqCwMI5R</t>
  </si>
  <si>
    <t>1321897899006021632</t>
  </si>
  <si>
    <t>.@JohnCornyn knows how powerful we are. He knows we can win this, so now he's in a desperate sprint to rewrite his record of selling us out.
We won't let him. We set a huge $200,000 ad budget goal to show everyone the real Senator Cornyn. Help us do it: https://t.co/FtygMpwatP https://t.co/0Ci9WRcjFq</t>
  </si>
  <si>
    <t>1321887456975880192</t>
  </si>
  <si>
    <t>I’ll be with @TexasAFLCIO and @SherrodBrown tonight at 5 p.m. CT to talk about fighting for Texas workers. Join us! https://t.co/NQL5Z6E0sh</t>
  </si>
  <si>
    <t>1321875797901234176</t>
  </si>
  <si>
    <t>I'm live with @univision62 to talk about how we can vote for a stronger Texas this election. Tune in! https://t.co/nw4NtoKj3H</t>
  </si>
  <si>
    <t>1321867494680920068</t>
  </si>
  <si>
    <t>Nothing says "thoughtful" leadership like hosting large maskless gatherings as COVID-19 cases surge throughout Texas. https://t.co/o9cLKw1E4V https://t.co/jCFReLrdwA</t>
  </si>
  <si>
    <t>1321853797937938432</t>
  </si>
  <si>
    <t>Can't wait for our final virtual GOTV rally tonight with @texasdemocrats, with appearances by @JulianCastro, @BetoORourke, @ewarren, @CatherineForNV, @SenGillibrand, @Carole_King, @EvaLongoria, @ben_mckenzie, and @MarcelMcClinton. Join us! https://t.co/WdmqYPCKcE</t>
  </si>
  <si>
    <t>1321832458086735874</t>
  </si>
  <si>
    <t>Here in Texas we're now LEADING the nation in COVID-19 cases.
Our leaders like @JohnCornyn have entirely given up on protecting our families or getting Texans the relief we need. 
Next Tuesday, let's show them the door.
https://t.co/kqtTTSAiPW</t>
  </si>
  <si>
    <t>1321651306768093186</t>
  </si>
  <si>
    <t>TEXAS IS THE BIGGEST BATTLEGROUND STATE. Let's get out the vote!
I'm thrilled to be joined by some amazing special guests for our final GOTV rally tomorrow at 8pm with @TexasDemocrats. 
See y'all there! RSVP: https://t.co/rXCGLjFwXr</t>
  </si>
  <si>
    <t>1321618558900719627</t>
  </si>
  <si>
    <t>We’re live now for our Houston early vote rally with @LaCongresista, @Lizzie4Congress, @SimaforTX, @SriPKulkarni, and special guest @staceyabrams! Tune in: https://t.co/dYVcUwr9Lc</t>
  </si>
  <si>
    <t>1321600576103305218</t>
  </si>
  <si>
    <t>Texas is about to shock the world.
Chip in to help us win big up and down the ballot this Tuesday: https://t.co/Tc5D2caMC8 https://t.co/gJjKGaP3ta</t>
  </si>
  <si>
    <t>1321564329414676482</t>
  </si>
  <si>
    <t>Congratulations on voting for the very first time — and thank you for your vote! https://t.co/j8nqPDxGES</t>
  </si>
  <si>
    <t>1321548991876730881</t>
  </si>
  <si>
    <t>Houston! Join us tonight for an early vote rally with @LaCongresista, @Lizzie4Congress, @SimaforTX, @SriPKulkarni, and special guest @staceyabrams! https://t.co/TRDT6xdGjy</t>
  </si>
  <si>
    <t>1321531984259305475</t>
  </si>
  <si>
    <t>As COVID-19 surged in El Paso and across Texas, @JohnCornyn wasted weeks rushing through Donald Trump's Supreme Court nominee — then left the Senate without passing any relief for struggling families.
El Paso, please stay safe, stay home if you can. We're with you. #ElPasoStrong https://t.co/yR26OSLZs4</t>
  </si>
  <si>
    <t>1321509729890406401</t>
  </si>
  <si>
    <t>We’re shattering voting records left and right! Y’all, we can’t slow down now.
Get out, vote, AND bring your friends and family with you — let’s win this! https://t.co/1BPTgzjH9W</t>
  </si>
  <si>
    <t>1321495675511754760</t>
  </si>
  <si>
    <t>I'll be joining @mitchellreports on @MSNBC soon to talk about how we're going to win Texas. Tune in!</t>
  </si>
  <si>
    <t>1321489040328347648</t>
  </si>
  <si>
    <t>COVID-19 cases in children are surging. 
How can we fight this pandemic and keep our kids safe if our leaders like @JohnCornyn spread misinformation about COVID-19’s threat to our children? https://t.co/qq5AZZqL9W</t>
  </si>
  <si>
    <t>1321466354642391040</t>
  </si>
  <si>
    <t>El Paso, please stay safe. Wear a mask, wash your hands, stay home if you can, or stay six feet apart if you can't. 
Stay strong. https://t.co/vHzOPthEPX</t>
  </si>
  <si>
    <t>1321255546423549955</t>
  </si>
  <si>
    <t>We're live now for our Early Vote Rally with @sjl4hrc, Rep. Eddie Bernice Johnson, @MarcVeasey, @ColinAllredTX, our incredible down-ballot candidates, and special guest @jasoncollins98! Tune in. https://t.co/v3f1DbVSJi</t>
  </si>
  <si>
    <t>1321246859529232386</t>
  </si>
  <si>
    <t>Y'all something incredible is happening in Texas. 
Keep fighting, and we will win big up and down the ballot. Chip in to help make it happen: https://t.co/LHqBnTFuG8 https://t.co/pGeEvpGSx1</t>
  </si>
  <si>
    <t>1321238192507523074</t>
  </si>
  <si>
    <t>I voted early this morning! 
Texans — now is the time to make our voices heard. Together, we can win big up and down the ballot and show the world who we really are.
Early voting ends on FRIDAY. Find your polling place, make a plan, and get out and VOTE! https://t.co/oqoIpO4pQ7 https://t.co/lfj8i7HhMN</t>
  </si>
  <si>
    <t>1321186826057560071</t>
  </si>
  <si>
    <t>Texas was facing a health care crisis even before the pandemic. When Texans needed @JohnCornyn to fight for their families, he sat on his hands. 
We need a leader willing to fight for Texans to get the health care they need. That's why I'm running. https://t.co/2KZCJHydxe</t>
  </si>
  <si>
    <t>1321177769749942277</t>
  </si>
  <si>
    <t>Let’s organize, mobilize, and WIN! https://t.co/2jZqp23NS6</t>
  </si>
  <si>
    <t>1321163245370118146</t>
  </si>
  <si>
    <t>Join us tonight at 8pm CT for a GOTV event with @sjl4hrc, Rep. Eddie Bernice Johnson, @MarcVeasey, @ColinAllredTX, @AdrBell, our incredible down-ballot candidates, and special guest @jasoncollins98! https://t.co/goqM1h51T6</t>
  </si>
  <si>
    <t>1321147091813621762</t>
  </si>
  <si>
    <t>REMINDER: It’s time to send in your completed mail-in ballot! 
Mail it TODAY, or drop it off in-person. Learn more: https://t.co/0HM7pRTZqt https://t.co/4UQe6d4nwy</t>
  </si>
  <si>
    <t>1321134607895535617</t>
  </si>
  <si>
    <t>Thousands of Texans are sick or dead from an out-of-control pandemic. Unemployment in Texas is surging. Cities are shutting down again.
Yet @JohnCornyn wasted weeks rushing through Donald Trump's Supreme Court nominee — and then left the Senate without passing any relief. https://t.co/bAqNShIMDr</t>
  </si>
  <si>
    <t>1321113810011377670</t>
  </si>
  <si>
    <t>Families vote together — and families win Texas together. Let’s do this! 🗳️ https://t.co/gDAAB3OJ8E</t>
  </si>
  <si>
    <t>1320907888324468738</t>
  </si>
  <si>
    <t>Wonder how @JohnCornyn is celebrating getting closer to stripping health care coverage away in the middle of a pandemic. https://t.co/z4yF0Ubrr4</t>
  </si>
  <si>
    <t>1320903117806907392</t>
  </si>
  <si>
    <t>We’re voting you out. https://t.co/DuLfGpb7NK https://t.co/tPKKSPrlCy</t>
  </si>
  <si>
    <t>1320879708901384195</t>
  </si>
  <si>
    <t>Texans are fed up with this pandemic, with our health care crisis, and with @JohnCornyn's political games. He's ignoring our voices tonight — but he won't be able to ignore the election results next Tuesday. 
Let's boot this spineless bootlicker: https://t.co/DuLfGpb7NK</t>
  </si>
  <si>
    <t>1320879704119906304</t>
  </si>
  <si>
    <t>.@JohnCornyn is the ACA repeal's "Top Salesman." By voting to confirm Donald Trump's Supreme Court nominee, he's hoping he'll finally get what he wants — to repeal the ACA's protections for five million Texans with pre-existing conditions and gut our health care. https://t.co/NSgZMdnWJM</t>
  </si>
  <si>
    <t>1320847199232761856</t>
  </si>
  <si>
    <t>#CornynCorporativo ha demostrado que está dispuesto a vendernos a sus donantes corporativos. Es hora de #FueraCornyn. 
¡Lleva tus botas a las elecciones y VOTA! https://t.co/Oxi45s1zhX https://t.co/EaF5oWhFon</t>
  </si>
  <si>
    <t>1320847194900123648</t>
  </si>
  <si>
    <t>Mientras #CornynCorporativo siga saboteando acuerdos para arreglar nuestro sistema de inmigración fallido y garantice un suministro constante de detenidos a empresas de cárceles privadas, sus donantes corporativos están contentos.</t>
  </si>
  <si>
    <t>1320847193381765121</t>
  </si>
  <si>
    <t>¿Por qué @JohnCornyn ha pasado décadas saboteando activamente la reforma migratoria?
#CornynCorporativo ha recibido 💰 $90,800 de la industria de cárceles privadas. 💰 https://t.co/xflDsWv2tT</t>
  </si>
  <si>
    <t>1320847189854355457</t>
  </si>
  <si>
    <t>2.) Inmigración
#CornynCorporativo ha:
- Saboteando la reforma migratoria bipartidista
- Mantenido a los Dreamers como rehenes para financiar el muro fronterizo
- Defendido la separación de niños
¿Por qué? ⬇️</t>
  </si>
  <si>
    <t>1320847188700876807</t>
  </si>
  <si>
    <t>Y AHORA, los Tejanos están recibiendo enormes facturas sorpresa de tratamientos hospitalarios EN UNA PANDEMIA, porque #CornynCorporativo abandonó un proyecto de ley reciente que evitaría la facturas sorpresas después de recibir $89,000 en donaciones! 💰</t>
  </si>
  <si>
    <t>1320847187006337024</t>
  </si>
  <si>
    <t>#CornynCorporativo ha tomado más de 💰 $1.9 millones 💰 de la industria de seguros desde que fue elegido para el Senado. https://t.co/WYqTOJ2cXV</t>
  </si>
  <si>
    <t>1320847182665289734</t>
  </si>
  <si>
    <t>Y su proyecto de ley para derogar el Obamacare no solo habría arruinado tu atención médica, también le dió a las aseguradoras privadas una reducción de impuestos de $145 mil millones. ¿Por qué?  ⬇️</t>
  </si>
  <si>
    <t>1320847179582418944</t>
  </si>
  <si>
    <t>#CornynCorporativo, "el mejor vendedor de la revocación," votó 20 veces para revocar el Obamacare.
Sus planes podrían eliminar protecciones para 4.8 millones de Tejanos con condiciones preexistentes y aumentar la prima de salud en un 78%.</t>
  </si>
  <si>
    <t>1320847177590198272</t>
  </si>
  <si>
    <t>1.) Salud
#CornynCorporativo tiene un historial de tratar de evitar que los Tejanos reciban la atención médica que necesitan. Después de que se aprobara Obamacare, Cornyn se opuso a la expansión de Medicaid, cuando teníamos la población sin seguro médico más alta del país.</t>
  </si>
  <si>
    <t>1320847176126418944</t>
  </si>
  <si>
    <t>Si quieres saber por qué Washington está roto, sigue el dinero.
Así que investigamos por qué @JohnCornyn está presionando para poner corporaciones negligentes antes de las familias Texanas. Esto es lo que encontramos.
UN HILO. #CornynCorporativo💰</t>
  </si>
  <si>
    <t>1320804064117067776</t>
  </si>
  <si>
    <t>In 2018, the NYT/Siena poll underestimated me by 12 points.
https://t.co/eKUanqD0UF https://t.co/o06wYGaSOa</t>
  </si>
  <si>
    <t>1320781867671527424</t>
  </si>
  <si>
    <t>This race is SO close, y'all — and we can win it. The momentum is with us, but we need your help to turn out voters and get our message out to the folks who still haven't decided. Pitch in to help make it happen: https://t.co/UTYaeJWSeA https://t.co/BZOift0m1z</t>
  </si>
  <si>
    <t>1320752039048204292</t>
  </si>
  <si>
    <t>"It is sometimes said Cornyn cuts a statesmanlike figure, but there is no statesmanship in his failure to protect basic American values from this president." https://t.co/W3Wg25i78z</t>
  </si>
  <si>
    <t>1320593284440428544</t>
  </si>
  <si>
    <t>We closed out our day in Houston with a lit drop kick-off with @LaCongresista, @NataliforTexas, @AkilahBacy, @AdrianGarciaHTX, @RepWalle, @bryanjameshenry, and @VoteAnnJohnson. Thank y'all so much — let's go win Texas! https://t.co/NS04qXFfq1</t>
  </si>
  <si>
    <t>1320585551603507200</t>
  </si>
  <si>
    <t>It was so great to join my friends @SimaforTX and @GeneForTexas to kick off a contactless lit drop! Y'all, we're gonna win Texas — and we're gonna do it by electing great Democratic women up and down the ballot. Let's do this! https://t.co/W6fXFAd0ic</t>
  </si>
  <si>
    <t>1320569293847879681</t>
  </si>
  <si>
    <t>Thank you @SriPKulkarni, @GeneforTexas, @ElizMarkowitz, and @Travis4TX for welcoming me to your contactless lit drop kick-off in Stafford! This is how we're going to win Texas — by fighting together to elect great Democrats up and down the ballot. https://t.co/oqoIpO4pQ7 https://t.co/8xW5RNzyea</t>
  </si>
  <si>
    <t>1320491793553723394</t>
  </si>
  <si>
    <t>I had a wonderful time with Bishop James Dixon and @sjl4hrc to help kick off a Souls to the Polls caravan in Houston. This is the LAST weekend of early voting. Find your early voting place and get out and VOTE! https://t.co/oqoIpO4pQ7 https://t.co/aa4iii0Bem</t>
  </si>
  <si>
    <t>1320444204552757249</t>
  </si>
  <si>
    <t>What a great morning launching a contactless lit drop with @VoteAnnJohnson in Houston! Texas, many early voting locations are open today — find yours and get out and vote! https://t.co/jlpeElmilR</t>
  </si>
  <si>
    <t>1320437402545115138</t>
  </si>
  <si>
    <t>Every vote counts! Help get everyone you know out to the polls in the last week of early voting! https://t.co/suTHG7Savb</t>
  </si>
  <si>
    <t>1320420008376360960</t>
  </si>
  <si>
    <t>Heck yeah! Return your mail-in ballot today, folks! https://t.co/5L80LNd5z7</t>
  </si>
  <si>
    <t>1320395109033254913</t>
  </si>
  <si>
    <t>It’s the last week of early voting, y’all!
Texans have been breaking records left and right. We can’t slow down — make a plan to vote before Friday at https://t.co/1BPTgzjH9W!</t>
  </si>
  <si>
    <t>1320377883404140545</t>
  </si>
  <si>
    <t>I met with the amazing educators of @McAllenAFT1 yesterday. If we want to reopen schools safely, we need to listen to teachers. I'm proud to be endorsed by them, and to partner with them as we move through this crisis. https://t.co/2pIdfxvo8V</t>
  </si>
  <si>
    <t>1320180985569382400</t>
  </si>
  <si>
    <t>Don’t mess with Texas women! 💪 https://t.co/DFs402z9wT</t>
  </si>
  <si>
    <t>1320166591728898055</t>
  </si>
  <si>
    <t>Thank you so much for your vote. Let’s build a better Texas together! https://t.co/ha28BnnlS0</t>
  </si>
  <si>
    <t>1320146175794860032</t>
  </si>
  <si>
    <t>No better way to start off the day than with some barbacoa and Big Red from our local SEIU! https://t.co/wDEOXxZlre</t>
  </si>
  <si>
    <t>1320134597716443141</t>
  </si>
  <si>
    <t>I had a fantastic time at the early vote rally today in Edinburg with the Hidalgo County Democrats! Texas — get out and VOTE! https://t.co/oqoIpO4pQ7 https://t.co/Fdiu3PeytL</t>
  </si>
  <si>
    <t>1320114840938098689</t>
  </si>
  <si>
    <t>.@JohnCornyn has spent the last 18 years in Washington looking after just one person — himself.
Texans deserve a leader who is fighting for them. https://t.co/Tei2D5LONR</t>
  </si>
  <si>
    <t>1320096790180487171</t>
  </si>
  <si>
    <t>Thank you so much for your vote — I promise to be the leader that Texas needs now. https://t.co/abfVvOkDBp</t>
  </si>
  <si>
    <t>1320082038729396224</t>
  </si>
  <si>
    <t>Thank you so much to the activists who shared their stories with me at the border in Brownsville this afternoon. Together, we'll build an immigration system that lives up to our best Texas values. https://t.co/anmOXsoaV4</t>
  </si>
  <si>
    <t>1320058246284148736</t>
  </si>
  <si>
    <t>We stopped in Corpus Christi for some barbacoa and Big Red with the Nueces County Democratic Party! Many early voting locations are open this weekend — find yours and get out and vote! https://t.co/oqoIpO4pQ7 https://t.co/dMOq2kgD89</t>
  </si>
  <si>
    <t>1320016608438439936</t>
  </si>
  <si>
    <t>Make sure you have everything you need to vote:
✅ Polling location
✅ Mask
✅ ID
Plan ahead at https://t.co/1BPTgzjH9W!</t>
  </si>
  <si>
    <t>1319784661934133249</t>
  </si>
  <si>
    <t>I'm live now with @texas_ppc for their candidate forum to discuss how we can build a Texas that works for everyone. Tune in: https://t.co/upC75sXSJS</t>
  </si>
  <si>
    <t>1319749032965701636</t>
  </si>
  <si>
    <t>Small businesses have been decimated by the pandemic — and Black-owned businesses have been hit especially hard. I'll fight to make sure they get the resources they need to keep their doors open so our communities and economy can thrive. https://t.co/kUNFCnh1qk</t>
  </si>
  <si>
    <t>1319719801166626819</t>
  </si>
  <si>
    <t>We need fewer Senators like #CorporateCornyn who are fighting for the profits of his corporate donors and more Senators like me who will fight like hell to protect Texas workers and our place as the nation’s leader in the energy industry.</t>
  </si>
  <si>
    <t>1319719799660871680</t>
  </si>
  <si>
    <t>Texas must continue leading the world in energy — and that means investing in clean energy. I've been all over Texas talking with oil and gas workers who want to lead the way pragmatically and protect jobs for working families here in TEXAS.</t>
  </si>
  <si>
    <t>1319719798306230276</t>
  </si>
  <si>
    <t>Since @JohnCornyn's last election in 2014, nearly half of the oil and gas production jobs in Texas have disappeared. He's not protecting jobs or fighting for workers. He's fighting for his CEO donors, and protecting their profits.</t>
  </si>
  <si>
    <t>1319719796775190528</t>
  </si>
  <si>
    <t>The @JohnCornyn disinformation machine is going strong today. He can't run against my platform, so instead he's quoting someone else's tweet and pretending it's me. So here's the truth about our energy policies he doesn't want you to know.</t>
  </si>
  <si>
    <t>1319701010705752065</t>
  </si>
  <si>
    <t>If my language offends your delicate sensibilities, @JohnCornyn, just wait until you see the election results. Texans care a hell of a lot more about integrity and character than "demeanor." We’re done with you, because clearly you don’t.</t>
  </si>
  <si>
    <t>1319701007945945088</t>
  </si>
  <si>
    <t>And above all, we're offended by a Senator who looks after his own self-interest instead of looking out for his constituents. https://t.co/XqUyitKao5</t>
  </si>
  <si>
    <t>1319701006045859842</t>
  </si>
  <si>
    <t>Children being separated from their families — and this administration losing track of their parents. https://t.co/PWQsZnrFXU</t>
  </si>
  <si>
    <t>1319701003193692162</t>
  </si>
  <si>
    <t>An economy that is collapsing. https://t.co/qHW9ri5HO9</t>
  </si>
  <si>
    <t>1319701000706469889</t>
  </si>
  <si>
    <t>An out of control pandemic that has infected more than 800,000 Texans and killed more than 17,000, and the fact that @JohnCornyn and his allies didn't do shit to prevent it.  https://t.co/B9njEyCCl8</t>
  </si>
  <si>
    <t>1319700999200714754</t>
  </si>
  <si>
    <t>.@JohnCornyn wants to make an issue about my language? In this economy and pandemic?
Here's what Texans really find offensive:</t>
  </si>
  <si>
    <t>1319693472555728896</t>
  </si>
  <si>
    <t>Families vote together! Let’s do this! https://t.co/v1FcR9BXFA</t>
  </si>
  <si>
    <t>1319679942662230018</t>
  </si>
  <si>
    <t>Texans are fired up and ready to show the world who we really are.
We are tough. We are leaders. We deserve better. Let’s do this! https://t.co/oUkFX6m00i https://t.co/wMpkn0waAP</t>
  </si>
  <si>
    <t>1319670030741667848</t>
  </si>
  <si>
    <t>Up and down the ballot and all across Texas — we’re in this to win it. https://t.co/FlSpNua2Ma</t>
  </si>
  <si>
    <t>1319647805292630022</t>
  </si>
  <si>
    <t>Thank you @brandon_wuu for believing in me and our grassroots movement! Young voices like yours are changing the world. I'm so honored to have your vote in your very first general election. Keep up the good work!
https://t.co/9eWJrOwqzY</t>
  </si>
  <si>
    <t>1319435207834030080</t>
  </si>
  <si>
    <t>I love to see Texans voting for the very first time — thank you for your vote! https://t.co/giDlvNUuRM</t>
  </si>
  <si>
    <t>1319421900989337606</t>
  </si>
  <si>
    <t>I'll be on @MSNBC with @JoyAnnReid soon to talk about our unstoppable momentum in Texas. Tune in!</t>
  </si>
  <si>
    <t>1319419897793871873</t>
  </si>
  <si>
    <t>Pitch in if you've had enough of John Cornyn's hypocritical pearl-clutching bullshit: https://t.co/muGaCdjupu</t>
  </si>
  <si>
    <t>1319409973961555968</t>
  </si>
  <si>
    <t>I joined @LuluForTexas and the Collin County Democratic Party in Plano to help get out the vote and discuss our plan to send a healthy dose of Texas values to Washington! We saw such incredible momentum and it’s clear it’s not slowing down any time soon. Get out and vote, y’all! https://t.co/rc3bHFmf6d</t>
  </si>
  <si>
    <t>1319393522546561027</t>
  </si>
  <si>
    <t>Thank you for everything you’re doing to keep Texans safe during this pandemic, @HollyKeyt, and thank you for putting your trust in me. I promise to be a partner with you in the fight to end this crisis. https://t.co/tk5eJOODag</t>
  </si>
  <si>
    <t>1319381961803239428</t>
  </si>
  <si>
    <t>I had so much fun talking with voters in Dallas with @colinallredTX this weekend! Texans are ready to elect leaders that will put our families first. Let's win this! https://t.co/4GmBbpva1v</t>
  </si>
  <si>
    <t>1319371988264210436</t>
  </si>
  <si>
    <t>Clutch those pearls, John! https://t.co/iWej8MrhtV</t>
  </si>
  <si>
    <t>1319360156401082369</t>
  </si>
  <si>
    <t>Let me tell you — I've seen some shit. The men and women I served with went through hell together.
Sorry if my language offends @JohnCornyn's delicate sensibilities. But where I come from, we had more important things to worry about. https://t.co/7OdHnrgmDH</t>
  </si>
  <si>
    <t>1319347021736775682</t>
  </si>
  <si>
    <t>Here's another ad for you, John!
You're a sell-out, and Texans see through your bullshit.
We're mad as hell that you tried to gut our health care.
It's a damn shame you've spent so long in DC you forgot what regular Texans sound like.
So we're gonna send your ass home! https://t.co/fFWvBLb6Sd</t>
  </si>
  <si>
    <t>1319318740627017728</t>
  </si>
  <si>
    <t>.@JohnCornyn, ACA repeal's "Top Salesman," has been leading the charge to destroy the Affordable Care Act, which protects nearly five million Texans with pre-existing conditions. 
Texans have a sensitive BS meter, and we see right through him. https://t.co/zW4SixyIs3</t>
  </si>
  <si>
    <t>1319289692555071488</t>
  </si>
  <si>
    <t>It was great chatting with folks in Tarrant County this weekend! I joined @MarcVeasey, @candacefor24, @shonadeb, and @TarrantDemParty to help get out the vote and celebrate all of the big things happening in Texas. Texans are ready to make their voices heard — let’s do this! https://t.co/t7V337hzbv</t>
  </si>
  <si>
    <t>1319080337503326209</t>
  </si>
  <si>
    <t>We’re live now for our GOTV rally with Dallas! Tune in: https://t.co/TBfWRIzPAA</t>
  </si>
  <si>
    <t>1319044369647865857</t>
  </si>
  <si>
    <t>I travelled around the Dallas and Fort Worth area this weekend to get out the vote. Let me tell you, Texans are fired up! 
Thank you so much for having me and talking about the issues facing our communities. Together, we WILL win this! https://t.co/ateoVfCmTD</t>
  </si>
  <si>
    <t>1318980909715099648</t>
  </si>
  <si>
    <t>Maybe people just don't like you, @JohnCornyn.
But we'll help you out with your "investigation."
Reply to this tweet with your ActBlue donation receipt and tag it #GrassrootsArmy. https://t.co/QOixWwhtRF https://t.co/R28OZlno90</t>
  </si>
  <si>
    <t>1318971544794705921</t>
  </si>
  <si>
    <t>Dallas! Join us for a GOTV rally tonight at 8pm CT with @EdMarkey and more special guests: https://t.co/1NK09Z76ux</t>
  </si>
  <si>
    <t>1318934349664890881</t>
  </si>
  <si>
    <t>#CorporateCornyn isn't fighting to protect hardworking Texas families — he's fighting to protect the profits of his corporate donors.
Texans deserve better. https://t.co/tH78kNhUhH</t>
  </si>
  <si>
    <t>1318934348268249092</t>
  </si>
  <si>
    <t>Cornyn abandons his support for the bill, and it dies in the Senate's legislative graveyard. Vulnerable Texas patients are still getting stuck with exorbitant surprise medical bills — but #CorporateCornyn's big donors are happy. https://t.co/XqUyitKao5</t>
  </si>
  <si>
    <t>1318934346619826182</t>
  </si>
  <si>
    <t>Now comes the carrot.
KKR throws @JohnCornyn a fundraiser in New York City and steers $89,000 in donations to him. 
Cornyn caves — and "Doctor Patient Unity" runs ads to boost his profile.</t>
  </si>
  <si>
    <t>1318934345520959488</t>
  </si>
  <si>
    <t>First comes the stick.
A mysterious new dark money group called Doctor Patient Unity begins running millions of dollars worth of ads asking Texans to call John Cornyn to oppose the bill.
That group isn't run by doctors or patients — it's run by Blackstone Group and KKR &amp;amp; Co.</t>
  </si>
  <si>
    <t>1318934344438849536</t>
  </si>
  <si>
    <t>Private equity firms like Blackstone Group and KKR &amp;amp; Co. make an enormous profit off of surprise medical billing. But a bipartisan bill in the Senate threatened to end the practice, putting their profits at risk. 
So here’s what they did:</t>
  </si>
  <si>
    <t>1318934343016992768</t>
  </si>
  <si>
    <t>First, what exactly is surprise medical billing?
Go to an in-network hospital, and you think your treatment is covered by insurance. But an out-of-network specialist may treat you without you even knowing it. They can charge big $ — and your insurance won't cover it.
That's BS.</t>
  </si>
  <si>
    <t>1318934341636993027</t>
  </si>
  <si>
    <t>Surprise medical bills stick vulnerable Texans with thousands in unexpected costs — even if you have good health insurance.
Here's how wealthy corporations worked craven D.C. politicians like @JohnCornyn to kill a bill protecting Texans from surprise billing. #CorporateCornyn</t>
  </si>
  <si>
    <t>1318917600005529600</t>
  </si>
  <si>
    <t>Thank you so much! Let’s win Texas. 💪 https://t.co/UOHTzDx2ez</t>
  </si>
  <si>
    <t>1318749268539310087</t>
  </si>
  <si>
    <t>Thank you @Booker4KY, so glad to have your support. Let's do the damn thing and win Texas! https://t.co/4G9WlYd9yo</t>
  </si>
  <si>
    <t>1318741747841814544</t>
  </si>
  <si>
    <t>I'll be on @TheLastWord with @Lawrence soon to talk about our strategy to win Texas. Tune in!</t>
  </si>
  <si>
    <t>1318738794493956102</t>
  </si>
  <si>
    <t>I have two young boys. Being separated from them is my worst nightmare. 
I am outraged, horrified, disgusted. Words can't express it. I will do everything in my power to reunite these families. https://t.co/PWQsZnrFXU</t>
  </si>
  <si>
    <t>1318719525706174464</t>
  </si>
  <si>
    <t>We’re live now for our GOTV rally with @cristela9, @vgescobar, and more Latino leaders from across Texas. Tune in! https://t.co/imMKhHSVSn</t>
  </si>
  <si>
    <t>1318698326326452231</t>
  </si>
  <si>
    <t>I’m live now with @lupe_rgv for their candidate forum — tune in! https://t.co/6h9vXZkGkE</t>
  </si>
  <si>
    <t>1318677904625106946</t>
  </si>
  <si>
    <t>Our GOTV rally with @cristela9, @vgescobar, and more Latino leaders from across Texas is starting in just a few hours, sign up now to join us! https://t.co/DsmORshgeC</t>
  </si>
  <si>
    <t>1318668449212780546</t>
  </si>
  <si>
    <t>Thank you for your vote! We’ll build a better Texas together. 🤠 https://t.co/ASIrTZd4Hi</t>
  </si>
  <si>
    <t>1318659880698466307</t>
  </si>
  <si>
    <t>My heart is broken for Sgt. Preston's loved ones, and I hope Officer Waller and the child shot have full recoveries. The gun violence epidemic is a terrible threat to those in domestic violence situations and our first responders. We have to end it.  https://t.co/PLVo6qE7OI</t>
  </si>
  <si>
    <t>1318616539797594112</t>
  </si>
  <si>
    <t>We're live now with @texasdemocrats, Texas Democrats' Vice-Chair Dr. Carla Brailey, @plummer4hou, and more special guests for a roundtable with Black Women leaders from across Texas to discuss what's at stake in this election. https://t.co/5JDYjJTBe6</t>
  </si>
  <si>
    <t>1318588636036726784</t>
  </si>
  <si>
    <t>Let’s boot the bootlicker, y’all!
Make a plan to vote NOW at https://t.co/1BPTgzjH9W. https://t.co/hHn0JNSGZw</t>
  </si>
  <si>
    <t>1318560958499926017</t>
  </si>
  <si>
    <t>You sure you're not up for a couple more debates, @JohnCornyn? https://t.co/yXNA3rbkR8</t>
  </si>
  <si>
    <t>1318401457813655552</t>
  </si>
  <si>
    <t>So...you want me to take over your job?
Okay. https://t.co/fIvOM7EIKj</t>
  </si>
  <si>
    <t>1318398690680315905</t>
  </si>
  <si>
    <t>Poll
After poll
After poll
After poll
says the #TXSen race is statistically tied.
Texas is a toss-up. Chip in to help us win. https://t.co/Hnf968JMjg https://t.co/PHVIgvEyZ1</t>
  </si>
  <si>
    <t>1318390797486751748</t>
  </si>
  <si>
    <t>I'll be live on @CNN with @donlemon soon to talk about our unstoppable momentum in Texas. Tune in!</t>
  </si>
  <si>
    <t>1318359437397065730</t>
  </si>
  <si>
    <t>A private equity firm wanted to kill a bill that would've ended surprise medical billing, so it steered $89,000 to @JohnCornyn. He caved, then they paid for dark money ads to boost him. 
#CorporateCornyn only fights for his big dollar donors. https://t.co/XqUyitKao5</t>
  </si>
  <si>
    <t>1318343542536884226</t>
  </si>
  <si>
    <t>Join @cristela9, @vgescobar, and more Latino leaders from across Texas for a Get Out the Vote Rally tomorrow night at 8pm CT! https://t.co/DsmORshgeC</t>
  </si>
  <si>
    <t>1318319159382626306</t>
  </si>
  <si>
    <t>We’re live now for our rally with @shannonrwatts to get out the vote! Tune in now: https://t.co/byXo4QJvWf</t>
  </si>
  <si>
    <t>1318281030541914112</t>
  </si>
  <si>
    <t>TONIGHT! Join me and @shannonrwatts for a rally to help get out the vote and fight for common-sense gun safety reform! https://t.co/Q0QPJBJoT7</t>
  </si>
  <si>
    <t>1318266833292677120</t>
  </si>
  <si>
    <t>🚨 @DKElections just upgraded the #TXSen race in our favor! 🚨
That's twice now the #TXSen rating has been upgraded in the past few days!
Y'all — we're going to win this. Chip in to help make it happen. https://t.co/mJzPaFm16L https://t.co/RhWPeNVRAW</t>
  </si>
  <si>
    <t>1318240632708759552</t>
  </si>
  <si>
    <t>"[John Cornyn] has been a staunch and consistent Trump supporter, even if he refuses to admit it. He is part of the spineless Republican Senate who never had the nerve to stand up to Trump when it mattered most to his voters back home." https://t.co/VevHjMIpAP</t>
  </si>
  <si>
    <t>1318231714724970497</t>
  </si>
  <si>
    <t>WOW! So excited to see another Det 825 Longhorn! Thank you so much for your vote, and congratulations to your daughter for voting for the very first time! We’ll win this together. 💪 https://t.co/jMpbm6bqAT</t>
  </si>
  <si>
    <t>1318220346626134017</t>
  </si>
  <si>
    <t>Most Texans don't know John Cornyn. Those that do don't like him very much. And for good reason. https://t.co/hcCsdoWkMJ</t>
  </si>
  <si>
    <t>1318210621880602624</t>
  </si>
  <si>
    <t>Y’all, this is incredible. The enthusiasm is real, our momentum is unstoppable, and if we bust our butts every day we have left, we're going to win here in Texas. https://t.co/sHgCMUUnMp</t>
  </si>
  <si>
    <t>1318021553355894784</t>
  </si>
  <si>
    <t>Love it — let's win it on November 3rd! https://t.co/3Ug35xnNzr</t>
  </si>
  <si>
    <t>1318017293134274560</t>
  </si>
  <si>
    <t>Thank you so much for coming out today — let's win this! https://t.co/lWFDWOsWFH</t>
  </si>
  <si>
    <t>1318012190599860226</t>
  </si>
  <si>
    <t>Enjoyed speaking with the legendary Rep. Eddie Bernice Johnson today, along with Pastor Marcus King. Thank y'all so much for talking to me about the issues that matter in your community — I can't wait to work together to make life better for folks in Southern Dallas. https://t.co/DXtLJjRxtE</t>
  </si>
  <si>
    <t>1317935715741818885</t>
  </si>
  <si>
    <t>.@JohnCornyn publicly supported and voted for Donald Trump's plan to steal money from our troops to pay for his useless border wall. Now today he says he privately opposed it. 
Either John Cornyn's a coward — or he's a liar. https://t.co/nQruUsqI11</t>
  </si>
  <si>
    <t>1317921355246063616</t>
  </si>
  <si>
    <t>Texas is the BIGGEST battleground state. With support from this grassroots army, we'll have the resources we need to win.
John Cornyn's cowardly comments today show we've got him running scared. Chip in to help send him packing for good! https://t.co/8QZIlwfWUq</t>
  </si>
  <si>
    <t>1317916809425727489</t>
  </si>
  <si>
    <t>Did John Cornyn just try to explain away his cowardice with sexism? He doesn’t know enough Texas women. We kick ass. https://t.co/v86l2UDIog</t>
  </si>
  <si>
    <t>1317894652083712003</t>
  </si>
  <si>
    <t>Families vote together! Thank you all so much for putting your trust in me. https://t.co/Rlr5dZZZZh</t>
  </si>
  <si>
    <t>1317883541225639938</t>
  </si>
  <si>
    <t>Texas is LEADING the country in voting early. Keep it up — it’s up to us to fight for our country! https://t.co/jL0YqSddO6</t>
  </si>
  <si>
    <t>1317863038008107008</t>
  </si>
  <si>
    <t>Coward. https://t.co/eyL1bkM0od</t>
  </si>
  <si>
    <t>1317846702209048579</t>
  </si>
  <si>
    <t>#HookEm and VOTE! 🤘 https://t.co/V1xg3U4Kvj</t>
  </si>
  <si>
    <t>1317650776811077634</t>
  </si>
  <si>
    <t>I met with Ed to tour Majesty Adult Daycare in Tyler. The incredible facility would have opened in March to seniors, veterans, &amp;amp; individuals with disabilities if not for COVID-19. 
Folks like Ed need relief NOW to serve their communities &amp;amp; continue to create jobs post-pandemic. https://t.co/BP0zu9NwpW</t>
  </si>
  <si>
    <t>1317641955745083393</t>
  </si>
  <si>
    <t>My husband Brandon voted early today, and what he saw was incredible. Chip in to help keep our momentum building through Election Day: https://t.co/FNc4c2otix https://t.co/UONBwtKeMK</t>
  </si>
  <si>
    <t>1317631894683590662</t>
  </si>
  <si>
    <t>Had a blast in Lufkin today! Thank you Angelina County Dems for hosting a contactless drop-off for folks to pick up their signs, shirts, and lit. Loved talking with y’all! Let’s win this 💪 https://t.co/hx6iHnc6Zo</t>
  </si>
  <si>
    <t>1317623102885535744</t>
  </si>
  <si>
    <t>Thank you @MarcelMcClinton — I’m so lucky to have you on my team! https://t.co/tfZ89lQ1z6</t>
  </si>
  <si>
    <t>1317598238782914561</t>
  </si>
  <si>
    <t>Texas! @BarackObama is going to help you make a plan to vote. https://t.co/oqoIpO4pQ7 https://t.co/uHGKubNlsW</t>
  </si>
  <si>
    <t>1317568653500551168</t>
  </si>
  <si>
    <t>Thank you so much — let’s win this! https://t.co/2X1dQptlw9</t>
  </si>
  <si>
    <t>1317560108767940608</t>
  </si>
  <si>
    <t>Texans have only one seat on our agenda: taking ours back from you. https://t.co/nk0XDgNdoF</t>
  </si>
  <si>
    <t>1317550853977505793</t>
  </si>
  <si>
    <t>Texas is the BIGGEST battleground state and we need every single one of y'all's help to get out the vote!
Sign up to join @texasdemocrats and @jonfavs for a GOTV weekend of action!
https://t.co/MeXzdZaPej</t>
  </si>
  <si>
    <t>1317541965613965312</t>
  </si>
  <si>
    <t>A summary of @JohnCornyn's week:
❌ Earned four pinocchios for lying about protecting pre-existing conditions
❌ Tweeted misinformation
❌ Fact-checked by @dallasnews for lying about me in his new ad
John lies because he can't stand on his own record—and Texans are sick of it. https://t.co/p0ZHn0vZCq</t>
  </si>
  <si>
    <t>1317538080946094082</t>
  </si>
  <si>
    <t>I’m so lucky and grateful to have volunteers like y’all on my team! https://t.co/pCumgEZogj</t>
  </si>
  <si>
    <t>1317521179310215168</t>
  </si>
  <si>
    <t>Just toured the Port Arthur Seawall with Commissioners Sinegal and Alfred who have been working to deepen and widen the ship channel — an important source of jobs in this area. Thank you for the tour, Commissioners, and for all your hard work! https://t.co/FxiaKzQNoQ</t>
  </si>
  <si>
    <t>1317490910377148416</t>
  </si>
  <si>
    <t>Our team is calling voters across Texas with @texasdemocrats, @SiegelForTexas, @SimaforTX, @wendydavis, and @JulieOliverTX! Sign up for a phonebank in the thread below: https://t.co/6PNU5vGYgg</t>
  </si>
  <si>
    <t>1317477299390980098</t>
  </si>
  <si>
    <t>Families vote together! Thank you both so much! https://t.co/vaE6aS08gS</t>
  </si>
  <si>
    <t>1317464611524935680</t>
  </si>
  <si>
    <t>ICYMI: Poll after poll shows us in a statistical TIE with @JohnCornyn!
Help us take the lead before it's too late — pitch in NOW: https://t.co/OUUqBTjFiK https://t.co/WCBINQyVYR</t>
  </si>
  <si>
    <t>1317252391167774723</t>
  </si>
  <si>
    <t>Rain or shine, the work doesn’t stop! Thank you so much, @MarcelMcClinton and @Katy_Patriot! https://t.co/sOJ6iYpzWL</t>
  </si>
  <si>
    <t>1317235807288262656</t>
  </si>
  <si>
    <t>We're facing serious challenges right now, and we need to elect someone with the right experience to lead.
@JohnCornyn's record is eighteen years of failure. Let's show these D.C. politicians how we do things in Texas. https://t.co/ep3zLynryh</t>
  </si>
  <si>
    <t>1317224755649531907</t>
  </si>
  <si>
    <t>Thanks for sticking with it. Your voices are powerful, and we’ll make sure they’re heard loud and clear! https://t.co/r8vS3eICaO</t>
  </si>
  <si>
    <t>1317206797606858752</t>
  </si>
  <si>
    <t>Our grassroots fundraiser with @BarackObama is starting soon! Chip in to join him and hear how we will win Texas! https://t.co/qh0bsScLwn</t>
  </si>
  <si>
    <t>1317197911336361985</t>
  </si>
  <si>
    <t>Texas is ready to fight for common-sense gun safety reform. Join me and @shannonrwatts Monday to help get out the vote! https://t.co/Q0QPJBJoT7</t>
  </si>
  <si>
    <t>1317183563406708740</t>
  </si>
  <si>
    <t>Let’s win this! 🗳️ https://t.co/w6NfzcHQZG</t>
  </si>
  <si>
    <t>1317174094857703424</t>
  </si>
  <si>
    <t>When my helicopter was shot down, I fought like hell to save everyone on board. Those same instincts are why I'm running.
I'm in this fight because my mission isn't over until all of our families are safe. 
https://t.co/MPIMbIUNJ2</t>
  </si>
  <si>
    <t>1317151818892431363</t>
  </si>
  <si>
    <t>We have a team of fantastic volunteer Regional Leads who are busting their butts to win this thing! 💪Thank you so much, Laura! https://t.co/PembCq09DV</t>
  </si>
  <si>
    <t>1317141113204019200</t>
  </si>
  <si>
    <t>It's about time Texans had a senator as tough as we are. https://t.co/8MQ8Tykmyt https://t.co/bgPr5vtgdh</t>
  </si>
  <si>
    <t>1317120164094222336</t>
  </si>
  <si>
    <t>This is now the FOURTH poll to show us statistically TIED with John Cornyn.
We just eliminated his cash advantage, and Cook Political just upgraded our race. We have the momentum to win this.
Chip in to help make it happen: https://t.co/CVYFrrWdMj https://t.co/NKLdGNoeul</t>
  </si>
  <si>
    <t>1316917251853922309</t>
  </si>
  <si>
    <t>Ask yourself — have you heard all of these big promises from @JohnCornyn before? Has he ever made good on them? https://t.co/SukgNSt2lV</t>
  </si>
  <si>
    <t>1316890260786302977</t>
  </si>
  <si>
    <t>🚨 Today is the LAST day to fill out your #2020Census! Getting counted right now will impact resources for your community for the next decade, and you can do it online! Take five minutes and fill out your census at https://t.co/NCaI5JA4zi.</t>
  </si>
  <si>
    <t>1316880604009476096</t>
  </si>
  <si>
    <t>Our grassroots fundraiser with @staceyabrams and @jvn is live NOW. Don’t miss all the fun, sign up NOW! ⬇️ https://t.co/iODlKkR8Xx</t>
  </si>
  <si>
    <t>1316848929871405056</t>
  </si>
  <si>
    <t>Y'all, we not only outraised John Cornyn last quarter — we raised nearly DOUBLE what he did! 
We've wiped out his cash advantage, and we did it with grassroots donors. I'm so grateful for everything y'all have done.
This is how we'll win. Chip in: https://t.co/5Pp2Xjd7GL https://t.co/e4dGb1kS1B</t>
  </si>
  <si>
    <t>1316843008390815747</t>
  </si>
  <si>
    <t>Let’s win this! 🤠 https://t.co/2bm5yD82lE</t>
  </si>
  <si>
    <t>1316785647806558209</t>
  </si>
  <si>
    <t>Still no response from @JohnCornyn about whether or not he'll be joining me for a debate with @wfaa, @SpectrumNews1TX, or @UnivisionNews. Guess he wasn't ready for round two! https://t.co/x3JRC0AKjp</t>
  </si>
  <si>
    <t>1316771845178261505</t>
  </si>
  <si>
    <t>The whole world is watching Texas. 
Tonight — chat with @staceyabrams, @jvn, and me about how we're going to win. Pitch in any amount to join us!  
https://t.co/iODlKkR8Xx</t>
  </si>
  <si>
    <t>1316752473441423360</t>
  </si>
  <si>
    <t>When I entered this race, it was rated solidly against me. They told me we couldn’t win in Texas.
Then we surprised everyone with the strength of our grassroots army, and now the polls are neck and neck.
On November 3rd, we’re going to shock the nation. https://t.co/KmE4pDT4Q2 https://t.co/sizPDJH5GA</t>
  </si>
  <si>
    <t>1316533384072564738</t>
  </si>
  <si>
    <t>The best @JohnCornyn can do is clearly not good enough. It's time for him to step aside so a real leader can step up. https://t.co/D5RXk9vX5K</t>
  </si>
  <si>
    <t>1316516402283642880</t>
  </si>
  <si>
    <t>Thank you so much, @brandon_wuu! I love to see families voting together! https://t.co/XfpvXxI9vI</t>
  </si>
  <si>
    <t>1316502545670471680</t>
  </si>
  <si>
    <t>We have a lot more work to do and only 20 days to get it done!
Join @BarackObama and @CatherineForNV for a discussion on Friday about how we will win Texas! https://t.co/qh0bsScLwn</t>
  </si>
  <si>
    <t>1316489291816669184</t>
  </si>
  <si>
    <t>John, we need to talk. It’s not us, it’s you. After 18 years in Washington, it's over. 
Chip in to help us air our new ad across Texas: https://t.co/7PJVX84w5W https://t.co/fzQiAFu5J0</t>
  </si>
  <si>
    <t>1316451547342139394</t>
  </si>
  <si>
    <t>It's time to fire John Cornyn and replace him with someone who will put country over politics. Texas needs leaders with good judgment to get us out of this crisis. https://t.co/yMrE9xzxce</t>
  </si>
  <si>
    <t>1316451545521815552</t>
  </si>
  <si>
    <t>John Cornyn said we didn't know whether kids could catch and transmit COVID-19. (Fact check: He said this while kids were sick and dying from COVID-19.) https://t.co/tEExQIgEvm</t>
  </si>
  <si>
    <t>1316451543923781639</t>
  </si>
  <si>
    <t>John Cornyn tweeted misinformation about the effectiveness of masks just over a week ago. (Fact check: Masks protect you and your loved ones from COVID-19). https://t.co/F2Re8KO0Up</t>
  </si>
  <si>
    <t>1316451539146477568</t>
  </si>
  <si>
    <t>John Cornyn kicked back with a Corona and told us not to panic in March. (Fact check: John Cornyn had already been briefed about how dangerous this pandemic would be in February, and didn't warn us or take the necessary action.) https://t.co/L7SwNPh8Wp</t>
  </si>
  <si>
    <t>1316451534360768517</t>
  </si>
  <si>
    <t>That photo is from 2018. Yet again, @JohnCornyn
is tweeting blatant misinformation to play political games while thousands die in a pandemic. He doesn't have the judgment or capability to protect Texans in this crisis. https://t.co/33PZsglV5Y</t>
  </si>
  <si>
    <t>1316433366707769348</t>
  </si>
  <si>
    <t>.@JohnCornyn's latest campaign ad earned four pinocchios. He's LYING when he says he supports pre-existing conditions protections.
Repeal's "Top Salesman" is *still* trying to gut the ACA, and promoting a useless bill that won't protect patients. https://t.co/q44XL1PQUr</t>
  </si>
  <si>
    <t>1316396036538200065</t>
  </si>
  <si>
    <t>Record-breaking voter registration.
Record-breaking voter turnout.
Texans are fired up. We're going to make history. https://t.co/KtcG5Ecdls</t>
  </si>
  <si>
    <t>1316380081670029312</t>
  </si>
  <si>
    <t>The first step to voting is making a plan!
Take a moment to figure out when, where, and how you’re voting. Polls are already open for early voting — make a plan NOW: https://t.co/1BPTgzjH9W</t>
  </si>
  <si>
    <t>1316207203032993792</t>
  </si>
  <si>
    <t>Let’s win this! 💪 https://t.co/e2v8J3dGdw</t>
  </si>
  <si>
    <t>1316182868503277571</t>
  </si>
  <si>
    <t>We’re live now for our Central Texas GOTV Rally! Tune in to kickoff the first day of early voting with me and @texasdemocrats: https://t.co/nWIq1soFRB</t>
  </si>
  <si>
    <t>1316177887318470657</t>
  </si>
  <si>
    <t>Lucky you, running into @AkilahBacy while voting! Let’s elect incredible Texas women up and down the ballot! https://t.co/OOHVuksllN</t>
  </si>
  <si>
    <t>1316172730807582720</t>
  </si>
  <si>
    <t>Thank you so much, @lisareynaloe! https://t.co/TAgD8XdqYQ</t>
  </si>
  <si>
    <t>1316158391832674306</t>
  </si>
  <si>
    <t>Y'all are not going to want to miss our grassroots fundraiser with @staceyabrams and @jvn!
Sign up to join us on Thursday for a chat about our Texas-sized momentum, voting rights, and fun on the campaign trail! https://t.co/oC9d7gR4kE</t>
  </si>
  <si>
    <t>1316144800689782784</t>
  </si>
  <si>
    <t>Early voting is in full swing and THOUSANDS of Texans are lining up across the state to make their voices heard!
Celebrate the start of early voting with me and @texasdemocrats tonight at 8 p.m. CT!
https://t.co/DsmORshgeC</t>
  </si>
  <si>
    <t>1316130994823585795</t>
  </si>
  <si>
    <t>While Texas kids were sick and dying from COVID-19, John Cornyn said we weren't even sure if kids could catch and transmit COVID-19. Then at the #TXSenateDebate, he doubled down.
I don’t trust him to protect my kids. Do you trust him to protect yours? https://t.co/tEExQIgEvm</t>
  </si>
  <si>
    <t>1316115230552977408</t>
  </si>
  <si>
    <t>.@LinaHidalgoTX has been a fearless fighter for Harris County. I'm proud to stand beside her as we fight for hardworking Texas families! https://t.co/XRKHEDCkCv</t>
  </si>
  <si>
    <t>1316098986411986944</t>
  </si>
  <si>
    <t>Something incredible is happening here in Texas. We can win — if we all make it to the polls and make our voices heard.
Early voting starts today. Get out and VOTE! https://t.co/i4l15ZXJtI</t>
  </si>
  <si>
    <t>1316061187575083008</t>
  </si>
  <si>
    <t>Remember: If you have any questions or encounter any problems at the polls, call 844-TX-VOTES!</t>
  </si>
  <si>
    <t>1316061183657545729</t>
  </si>
  <si>
    <t>🚨 EARLY VOTING STARTS TODAY! 🚨
It’s time to get out and vote, y’all. Find your polling location and voting info at https://t.co/1BPTgzjH9W. And use our checklist to ensure you make your voice heard — safely! https://t.co/ftaCvtTCG1</t>
  </si>
  <si>
    <t>1316042543705006086</t>
  </si>
  <si>
    <t>.@JohnCornyn was health care repeal's "Top Salesman." Now he's rushing through Trump's SCOTUS nominee to finish the job.
Your little line isn't cute, John, it's potentially deadly for 5 million Texans with pre-existing conditions. https://t.co/f6vKt4zpKT</t>
  </si>
  <si>
    <t>1316017438517940224</t>
  </si>
  <si>
    <t>Three polls show us statistically tied with John Cornyn. We just eliminated his fundraising advantage. We’ve reached out to millions of Texans. And now, @CookPolitical upgraded our race.
Chip in and help us win Texas: https://t.co/AOgNufB2GS https://t.co/hW3gMkzYwK</t>
  </si>
  <si>
    <t>1315991406134071297</t>
  </si>
  <si>
    <t>It's official — @CookPolitical upgraded our race.
Y'all — we're gonna do this. Let's win Texas. https://t.co/8dozffVKrr https://t.co/jibckBHMo2</t>
  </si>
  <si>
    <t>1315988589528875013</t>
  </si>
  <si>
    <t>Good morning Texas — early voting starts NOW!
Find your polling location and make a plan to get your boots to the polls: https://t.co/1BPTgzjH9W https://t.co/tkKnck6Cvc</t>
  </si>
  <si>
    <t>1315852703071956992</t>
  </si>
  <si>
    <t>Polls open for early voting TOMORROW! 
Be one of the first to vote in Texas and make a plan to vote now: https://t.co/1BPTgzjH9W</t>
  </si>
  <si>
    <t>1315806802584449024</t>
  </si>
  <si>
    <t>Early voting starts TOMORROW!
Join me and Central @texasdemocrats for a virtual rally tomorrow at 8pm CT to get out the vote and celebrate our amazing candidates up and down the ballot.
https://t.co/ToFNrarPZ0</t>
  </si>
  <si>
    <t>1315787203319140353</t>
  </si>
  <si>
    <t>This Friday — join @BarackObama and @CatherineforNV for a conversation on how we can put power back in the hands of hardworking families! Sign up NOW: https://t.co/LHook2Bol6 https://t.co/eVsJUxUKYg</t>
  </si>
  <si>
    <t>1315780081265111041</t>
  </si>
  <si>
    <t>Don’t mess with Texas women! 💪 https://t.co/Tm0ztsudpQ</t>
  </si>
  <si>
    <t>1315736793132814337</t>
  </si>
  <si>
    <t>You can’t distract from the fact that you voted twenty times to repeal the ACA, @JohnCornyn. 
Instead of a chickenshit Twitter slap fest, let’s do a second televised statewide debate, like you promised. Which one will you join: @wfaa, @SpecNewsATX, or @UnivisionNews? https://t.co/sx6bRCSxpg</t>
  </si>
  <si>
    <t>1315683764639588353</t>
  </si>
  <si>
    <t>John Cornyn never took COVID-19 seriously. He kicked back with a beer and told us not to panic. He spread misinformation about the effectiveness of masks.
Now he's sitting next to a Senator who has COVID-19. Neither of them are wearing masks. https://t.co/VgxFSil670</t>
  </si>
  <si>
    <t>1315670605686091776</t>
  </si>
  <si>
    <t>Today we celebrate the hundreds of thousands of Native Americans throughout Texas and recognize the way their communities make our state strong. Together, we'll build a better Texas for ALL of us. #IndigenousPeoplesDay</t>
  </si>
  <si>
    <t>1315658341989875712</t>
  </si>
  <si>
    <t>Just a reminder: @JohnCornyn has been trying to gut our health care, including protections for preexisting conditions, for years. Now he's ramming through a Supreme Court nominee who he thinks will finally finish the job for him. https://t.co/HptWQjKZ8u</t>
  </si>
  <si>
    <t>1315472329024118784</t>
  </si>
  <si>
    <t>Jude's been ready to lose his first baby tooth for over a week — so tonight, we used a flying dragon to help! https://t.co/CKBkCj4ZlL</t>
  </si>
  <si>
    <t>1315405417619640323</t>
  </si>
  <si>
    <t>We’re live now for the Texas Youth Vote Rally with @JulianCastro! Tune in to hear how young voters are going to make all the difference. https://t.co/iaavM5tFmA</t>
  </si>
  <si>
    <t>1315395541782671360</t>
  </si>
  <si>
    <t>I'm thrilled to hear you've changed your mind and are ready to debate me again, @JohnCornyn!
I already accepted (three weeks ago) two more debates: one with @wfaa and one with @SpecNewsATX to be aired across the state. Let me know which ones I, and the voters, will see you at! https://t.co/nz4p8A1LSx</t>
  </si>
  <si>
    <t>1315353271222128641</t>
  </si>
  <si>
    <t>I'm so proud to earn the @bmtenterprise's endorsement. Texans are ready to reject the "unseemly," "cynical" politics of John Cornyn and his cronies. We want to bring real Texas values back to D.C. https://t.co/AwOpjeG2cR</t>
  </si>
  <si>
    <t>1315341727138447360</t>
  </si>
  <si>
    <t>Early voting starts TUESDAY! 
Join me, @JulianCastro, and youth activists TODAY at 4:30 p.m. CT to discuss how young voters are shaping this election and the issues that matter most to them! https://t.co/YSKxYOcc74</t>
  </si>
  <si>
    <t>1315319479656738818</t>
  </si>
  <si>
    <t>Texans are tired of being sold out by D.C. politicians and their corporate donors. 
I'm in this fight to put our families first.
https://t.co/4ymQPaeRlP</t>
  </si>
  <si>
    <t>1314998451671830529</t>
  </si>
  <si>
    <t>Yesterday we set an ambitious goal to raise $150,000 on debate day.
You beat that goal. Then doubled the goal. Then you more than TRIPLED our goal!
This grassroots army is strong — and together, we'll win Texas. https://t.co/pxtAU36U7h</t>
  </si>
  <si>
    <t>1314966046940573697</t>
  </si>
  <si>
    <t>Early voting begins in Texas in just 3️⃣ days.
Just three days left until we can vote for leaders that actually give a damn about our families.
Plan ahead and make your voice heard. https://t.co/1BPTgzjH9W</t>
  </si>
  <si>
    <t>1314945890407284736</t>
  </si>
  <si>
    <t>Let's go to DC and show these soft politicians how we do things in Texas. 
Watch last night's full #TXSenateDebate: https://t.co/9wlDcbubR9</t>
  </si>
  <si>
    <t>1314762564602126347</t>
  </si>
  <si>
    <t>RT if you think @JohnCornyn should accept the two more debates I've challenged him to. #TXSenateDebate</t>
  </si>
  <si>
    <t>1314752280424570888</t>
  </si>
  <si>
    <t>Action vs. commissions. That's the difference between me and @JohnCornyn. #TXSenateDebate https://t.co/Zm6JoSXcQU</t>
  </si>
  <si>
    <t>1314748848837988355</t>
  </si>
  <si>
    <t>Yes, because health care repeal's "top salesman" would have had a lot of explaining to do. #TXSenateDebate #TXSen https://t.co/hTwP9J3X3i https://t.co/Y4F9WbIuPq</t>
  </si>
  <si>
    <t>1314746286340542470</t>
  </si>
  <si>
    <t>I'm MJ Hegar. I'm a combat veteran and working mom. I'm the person who is running against @JohnCornyn. As much as he might wish he was running against someone else, it's my record and my ideas he has to run against. #TXSenateDebate #TXSen https://t.co/C7q6xtgTiS</t>
  </si>
  <si>
    <t>1314743482062381056</t>
  </si>
  <si>
    <t>John Cornyn doesn't want you to hear from him because he doesn't have any good answers. #TXSenateDebate https://t.co/1oFLrM5IEu</t>
  </si>
  <si>
    <t>1314740677553647618</t>
  </si>
  <si>
    <t>My campaign is fueled by grassroots donors like Monica. And we're gonna win Texas. https://t.co/nKCZcTUq8K https://t.co/skfd9CTk4g</t>
  </si>
  <si>
    <t>1314738373337190400</t>
  </si>
  <si>
    <t>We're statistically TIED with John Cornyn. 
Help us surge into victory: https://t.co/nKCZcTUq8K #TXSenateDebate https://t.co/Gcc56QKeMU</t>
  </si>
  <si>
    <t>1314736260884373504</t>
  </si>
  <si>
    <t>.@JohnCornyn has been working for years to keep Texans from getting the health care they need. We didn't get to talk about health care tonight at the #TXSenateDebate — so let's take a look at his REAL record. #CorporateCornyn https://t.co/HptWQjKZ8u https://t.co/UeTgFEhORu</t>
  </si>
  <si>
    <t>1314734800318664705</t>
  </si>
  <si>
    <t>.@JohnCornyn said he wanted to do more than one debate. We had two more debates lined up — but he's a no-show. Now we know why — tonight's debate shows he doesn't have any good answers. #TXSenateDebate https://t.co/R96OQDqYXk</t>
  </si>
  <si>
    <t>1314734226055495682</t>
  </si>
  <si>
    <t>Stand with me, and together, we'll go to DC and show these soft politicians how we do things in Texas. https://t.co/nKCZcTUq8K #TXSen #TXSenateDebate https://t.co/4yzb50vbtr</t>
  </si>
  <si>
    <t>1314733565184299011</t>
  </si>
  <si>
    <t>Early voting starts in 4 days. Are you ready? https://t.co/ZM8Cfl3mJS #TXSenateDebate #TXSen</t>
  </si>
  <si>
    <t>1314732158972559366</t>
  </si>
  <si>
    <t>I support legalizing marijuana. #TXSen #TXSenateDebate</t>
  </si>
  <si>
    <t>1314731859893514241</t>
  </si>
  <si>
    <t>Since @JohnCornyn's last election, nearly half the oil/gas production jobs in Texas have disappeared. He's not fighting for workers — he's fighting for CEOs who are cutting jobs to protect their dividends. #TXSenateDebate</t>
  </si>
  <si>
    <t>1314731559031889920</t>
  </si>
  <si>
    <t>Climate change is a threat to our national security, our future, and our children — and we're already feeling its impact. Just ask folks in Galveston, Houston, Beaumont, and beyond.
We need to act NOW and invest in clean energy. #TXSenateDebate</t>
  </si>
  <si>
    <t>1314731205221330946</t>
  </si>
  <si>
    <t>The private detention industry profits from mass incarceration and the immigration crisis.
As long as #CorporateCornyn keeps blowing up bipartisan immigration reform and ensures a steady supply of detainees, his corporate donors are happy. #TXSenateDebate #TXSen https://t.co/IkumtapYku</t>
  </si>
  <si>
    <t>1314731036220194816</t>
  </si>
  <si>
    <t>Racist dogwhistles. 
Holding DREAMers hostage.
Torpedoing bipartisan immigration reform.
Raking in corporate PAC money from the private detention industry. 
This is @JohnCornyn's record. #CorporateCornyn
#TXSenateDebate https://t.co/EiVbWLUWQL</t>
  </si>
  <si>
    <t>1314729895294099456</t>
  </si>
  <si>
    <t>Vanessa Guillen deserved better.
Elder Fernandes deserved better.
All who've been stationed at Fort Hood deserve more than John Cornyn's empty memos and hearings.
We need real action NOW — and that starts with passing the Military Justice Improvement Act. #TXSenateDebate</t>
  </si>
  <si>
    <t>1314729462731284480</t>
  </si>
  <si>
    <t>Relevant.
#TXSenateDebate #TXSen https://t.co/0wo7bSfP76</t>
  </si>
  <si>
    <t>1314728729734713344</t>
  </si>
  <si>
    <t>Your experience with the criminal justice system should not depend on the color of your skin or the money in your bank account.
We must combat racial and economic disparities in the justice system AND act on inequities in opportunity, health care, housing, and education. #TXSen</t>
  </si>
  <si>
    <t>1314727979952615426</t>
  </si>
  <si>
    <t>As long as John Cornyn is cashing checks from the gun lobby, he’ll continue putting their profits over Texans’ lives. #CorporateCornyn #TXSen #TXSenateDebate https://t.co/a5Pe8qycE0</t>
  </si>
  <si>
    <t>1314726740774789124</t>
  </si>
  <si>
    <t>We need real, meaningful reforms that protect Black lives — and someone committed to fighting for them.
@JohnCornyn denied that systemic racism even exists. #TXSenateDebate #TXSen</t>
  </si>
  <si>
    <t>1314726381029335044</t>
  </si>
  <si>
    <t>I can't let @JohnCornyn spread misinformation about how COVID-19 impacts kids. I don't trust him to protect my kids — do you trust him to protect yours? #TXSen #TXSenateDebate https://t.co/CpPBp2nc2G</t>
  </si>
  <si>
    <t>1314724245616852994</t>
  </si>
  <si>
    <t>We're facing a deadly pandemic and a devastating economic crisis. Instead of fighting for the relief that Texans desperately need, John Cornyn and Mitch McConnell dropped everything to toss out their precedent and jam through Donald Trump's Supreme Court nominee. #TXSenateDebate</t>
  </si>
  <si>
    <t>1314723530953633792</t>
  </si>
  <si>
    <t>Hi, @JohnCornyn, I'm MJ Hegar. I'm a combat veteran and working mom. I'm the person who is running against you — as inconvenient as it might be for you. #TXSenateDebate #TXSen</t>
  </si>
  <si>
    <t>1314723026563411969</t>
  </si>
  <si>
    <t>I don't "tacitly" do anything, @JohnCornyn. #TXSen #TXSenateDebate</t>
  </si>
  <si>
    <t>1314722905230540801</t>
  </si>
  <si>
    <t>John Cornyn knew the COVID-19 pandemic had the potential to be devastating. He received intelligence briefings at the very start. 
This was his response. Now thousands of Texans are dead. #TXSenateDebate #TXSen</t>
  </si>
  <si>
    <t>1314722287329906688</t>
  </si>
  <si>
    <t>It's time for servant leaders in Washington D.C. who will put country over party. #TXSen #TXSenateDebate https://t.co/QucooJPTsP</t>
  </si>
  <si>
    <t>1314721909880377345</t>
  </si>
  <si>
    <t>John Cornyn said we didn't know if kids could get and transmit COVID-19.
1,700 Texas kids had tested positive for COVID-19 by that time. Thousands more have since.
I don't trust him to protect my kids. Do you trust him to protect yours? #TXSenateDebate https://t.co/2uS2EzJLxH</t>
  </si>
  <si>
    <t>1314721457650438158</t>
  </si>
  <si>
    <t>Texans are facing an out-of-control pandemic and an economic crisis.
But when they needed @JohnCornyn to fight for relief, he tanked it for a so-called "liability shield" to protect the profits of negligent corporations. 
We kept the receipts. #TXSenateDebate #CorporateCornyn https://t.co/ySHmddZNbL</t>
  </si>
  <si>
    <t>1314720683776266242</t>
  </si>
  <si>
    <t>Crisis response in the military teaches you to lead with facts and to always put your mission first. In this pandemic, our mission is to protect public health and safety. I'll put the science and data first, so we can fight COVID-19 and re-open SAFELY. #TXSen #TXSenateDebate</t>
  </si>
  <si>
    <t>1314719168445452290</t>
  </si>
  <si>
    <t>I served three tours as a combat search and rescue pilot. When my helicopter was shot down, I worked with my crew to save everyone on board.
I'm running for #TXSen because my mission isn't over until all of our families are safe. #TXSenateDebate https://t.co/n5H7YwZ6aV</t>
  </si>
  <si>
    <t>1314717032798138370</t>
  </si>
  <si>
    <t>.@JohnCornyn can’t hide from Texans anymore.
Tonight, he’s going to have to answer to the people — and me. Tune in: https://t.co/T6gfzNTCKW</t>
  </si>
  <si>
    <t>1314712284426633217</t>
  </si>
  <si>
    <t>Ready. https://t.co/nKCZcTUq8K #TXSenateDebate #TXSen https://t.co/6CGyZDAKhh</t>
  </si>
  <si>
    <t>1314704112362098689</t>
  </si>
  <si>
    <t>This is MJ's husband, Brandon! While she's getting ready for the debate, I'm taking over her Twitter account. I can't wait to see her crush it at the debate tonight. Can you chip in to help us beat our $150,000 fundraising goal before the debate is over? https://t.co/nKCZcTUq8K https://t.co/85x0l5q4Xb</t>
  </si>
  <si>
    <t>1314686885340606464</t>
  </si>
  <si>
    <t>We’re just hours away from our first debate. Tune in tonight at 7 p.m. CT to hear how I’m fighting to put the power back in the hands of our Texas families: https://t.co/T6gfzNTCKW</t>
  </si>
  <si>
    <t>1314667317675134977</t>
  </si>
  <si>
    <t>Tonight, I’ll tell you about the Texas we deserve. A Texas with a strong economy, where folks have quality, affordable health care, and their rights are protected.
Sen. Cornyn will make excuses for 18 years of failing Texas families. https://t.co/06yhSWBCuH</t>
  </si>
  <si>
    <t>1314637456311037953</t>
  </si>
  <si>
    <t>Tune in at 7pm CT: https://t.co/T6gfzNTCKW #TXSen #TXSenateDebate</t>
  </si>
  <si>
    <t>1314637455107256320</t>
  </si>
  <si>
    <t>Tonight, I debate John Cornyn.
I'm going to hold him accountable for all the ways he's failed Texans - and I need you right there with me.
So we're setting an ambitious goal: Let's raise $150,000 online today to show that Texas is DONE with John Cornyn.
https://t.co/nKCZcTUq8K</t>
  </si>
  <si>
    <t>1314595647513919488</t>
  </si>
  <si>
    <t>The good news keeps coming today! I'm so proud to earn the @statesman's endorsement in the #TXSen race. 
Texans deserve a senator willing to put country over politics. We can win this election and bring real leadership to D.C. https://t.co/hMjylB3wJg</t>
  </si>
  <si>
    <t>1314579529378205696</t>
  </si>
  <si>
    <t>I'm proud to have earned the @HoustonChron's endorsement in the #TXSen race! It's time to bring Texas values back to Washington, D.C. And I'm ready to lead. 
25 days. Let's go. https://t.co/LYGdu5qmRg</t>
  </si>
  <si>
    <t>1314358574500454400</t>
  </si>
  <si>
    <t>Y'all I'm so excited to be joining the #SPNVotes Watch Party tonight with @MishaCollins, @jarpad, and @JensenAckles!
Make sure to tune in at 9:30 PM CT: https://t.co/J1nCthMaAQ</t>
  </si>
  <si>
    <t>1314348651112796161</t>
  </si>
  <si>
    <t>Let's not mince words here: This is bullshit, and Cornyn knows it. He voted repeatedly to repeal the Affordable Care Act's protections for pre-existing conditions and the Protect Act is about as useful as a wet bandaid. https://t.co/XLRsPpVEwD</t>
  </si>
  <si>
    <t>1314291382111162368</t>
  </si>
  <si>
    <t>Officers were stretched so thin enforcing the "zero tolerance" policy @JohnCornyn supported that a Texas prosecutor warned that "sex offenders were released."
This is horrifying and inexcusable on every level.  https://t.co/FBsKpGBACD</t>
  </si>
  <si>
    <t>1314274919618932736</t>
  </si>
  <si>
    <t>TEXAS IS A TOSS-UP.
𝚃𝙴𝚇𝙰𝚂 𝙸𝚂 𝙰 𝚃𝙾𝚂𝚂-𝚄𝙿.
𝐓𝐄𝐗𝐀𝐒 𝐈𝐒 𝐀 𝐓𝐎𝐒𝐒-𝐔𝐏.
𝗧𝗘𝗫𝗔𝗦 𝗜𝗦 𝗔 𝗧𝗢𝗦𝗦-𝗨𝗣.
𝘛𝘌𝘟𝘈𝘚 𝘐𝘚 𝘈 𝘛𝘖𝘚𝘚-𝘜𝘗.
𝙏𝙀𝙓𝘼𝙎 𝙄𝙎 𝘼 𝙏𝙊𝙎𝙎-𝙐𝙋.
ＴＥＸＡＳ ＩＳ Ａ ＴＯＳＳ－ＵＰ．
https://t.co/2rQ3XmHrqB
https://t.co/Edxy4fwljT</t>
  </si>
  <si>
    <t>1314238888601358337</t>
  </si>
  <si>
    <t>Texans have had enough of John Cornyn. Our grassroots army has us breaking fundraising records and polling within ONE POINT of him.
We can't slow down. Let's give everything we've got in these final 26 days. https://t.co/dK9SOOb1Ni https://t.co/s00pwJyM5X</t>
  </si>
  <si>
    <t>1314218104604504065</t>
  </si>
  <si>
    <t>Small businesses have been decimated by the pandemic — and Black-owned businesses have been hit especially hard. I visited Lucille's in Houston to talk about what Congress needs to do to help businesses keep their doors open and their workers employed. https://t.co/tBe8u8VduS</t>
  </si>
  <si>
    <t>1314199548684836865</t>
  </si>
  <si>
    <t>Texans want good health care and a strong economy. They want to fight this pandemic, keep their loved ones safe, and make their communities strong. 
John Cornyn just isn't cutting it — and the tightening polls show it.
Keep fighting, and we will win. https://t.co/mS0xmu0bVW https://t.co/bwhJuhGt8p</t>
  </si>
  <si>
    <t>1314002416749215745</t>
  </si>
  <si>
    <t>I have a feeling @KamalaHarris is going to do great tonight at the #VPDebate.
What do you think, @JohnCornyn? https://t.co/4wwDaqnLhd</t>
  </si>
  <si>
    <t>1313992452479516679</t>
  </si>
  <si>
    <t>See that blue line? The one that's sneaking up THIS CLOSE to touching the red line? 
That's us, and it's thanks to you. 
I'm asking you to pitch in now because we have just 27 days left to surge into victory. Every dollar you give pushes us closer. https://t.co/DCwGwTrroD https://t.co/VxYuwTUZKA</t>
  </si>
  <si>
    <t>1313948364711571457</t>
  </si>
  <si>
    <t>I’m proud to have @EqualityTexas’ endorsement! Together, we will protect the rights of the LGBTQ+ community and continue to fight for a Texas that works for ALL of us. 
https://t.co/rj9BHZwCZD https://t.co/MnIgViSpN0</t>
  </si>
  <si>
    <t>1313922368331485184</t>
  </si>
  <si>
    <t>We just launched our biggest Spanish-language ad campaign yet! It's such a huge milestone in the work we've been doing to meet people where they're at and show Texans who’s really fighting for our families.
Watch our newest ad, "La Mera Mera." https://t.co/YWhdqrzSvk</t>
  </si>
  <si>
    <t>1313907876210053121</t>
  </si>
  <si>
    <t>As we learn more horrifying details about the administration's "zero tolerance" approach, remember that @JohnCornyn not only supported it, he said the policy that ripped breastfeeding babies from their mothers was motivated by the "best of intentions." https://t.co/FBsKpGBACD</t>
  </si>
  <si>
    <t>1313867623709450240</t>
  </si>
  <si>
    <t>The latest poll shows we're just ONE POINT down! And it's the third poll to show us statistically TIED with John Cornyn.
We can win Texas and defeat John Cornyn. Chip in to make it happen: https://t.co/I3JNOeDqy5 https://t.co/NH0DJBzVeA</t>
  </si>
  <si>
    <t>1313837184315723778</t>
  </si>
  <si>
    <t>🚨 ONE POINT DOWN 🚨
We can defeat John Cornyn. Chip in to help win Texas: https://t.co/HQ0fyP0GVN https://t.co/wChdAzRoM6</t>
  </si>
  <si>
    <t>1313683417536647168</t>
  </si>
  <si>
    <t>The polls show that we're statistically tied in Texas — and our momentum is only growing. 
Chip in to help win Texas: https://t.co/uiQvkcs0y1 https://t.co/oUUaGmiOsN</t>
  </si>
  <si>
    <t>1313670780182499328</t>
  </si>
  <si>
    <t>I’ll be live on @MSNBC with @Lawrence soon to talk about the incredible momentum we’ve built in the biggest battleground state. Tune in to hear how we’re going to win Texas!</t>
  </si>
  <si>
    <t>1313615709096812544</t>
  </si>
  <si>
    <t>We're live now for our final stop on the Texas Tough Tour to talk about how we will fight to protect Social Security and Medicare: https://t.co/hlwUNm6I44</t>
  </si>
  <si>
    <t>1313590456899514383</t>
  </si>
  <si>
    <t>Hardworking Texas families are worried about how we'll pay our bills and put food on the table. Millions have lost their livelihoods, thousands are sick or dead. Texans need relief.
But @JohnCornyn fell in line with Mitch McConnell &amp;amp; Donald Trump and ended COVID-19 relief talks.</t>
  </si>
  <si>
    <t>1313572660773818373</t>
  </si>
  <si>
    <t>Finally some truth from @JohnCornyn! You’re right, there’s a chance, and the polls show it's a toss-up. 
Millions of Texans lost their livelihoods. Thousands have died. You didn't do your job, and now we're going to fire you. https://t.co/4aCmHmuqHc https://t.co/VN1oS5t5wm</t>
  </si>
  <si>
    <t>1313541800947318784</t>
  </si>
  <si>
    <t>Texas seniors deserve to retire with dignity. Join us tonight at 6pm CT for a town hall about how we can protect Social Security and Medicare. https://t.co/w0Y4ry0F17</t>
  </si>
  <si>
    <t>1313524658621296641</t>
  </si>
  <si>
    <t>This is devastating. Jonathan Price was trying to be a good samaritan. He should still be alive. His loved ones need justice &amp;amp; accountability, and it was right for the Texas Rangers to arrest the officer responsible. We need reform to protect Black lives. https://t.co/cgFEol6LRO</t>
  </si>
  <si>
    <t>1313501924403093512</t>
  </si>
  <si>
    <t>Yes. https://t.co/5pXLMKspcs</t>
  </si>
  <si>
    <t>1313242135886532619</t>
  </si>
  <si>
    <t>Y'all — we outraised John Cornyn! 
He's using every excuse in the book, but we know this is a grassroots movement powered by people just like you. Help make sure we've got the resources we need to seal the deal and send him packing in November: https://t.co/BOSrvbMs17 https://t.co/ziUEhtiF7B</t>
  </si>
  <si>
    <t>1313206488438050817</t>
  </si>
  <si>
    <t>And @JohnCornyn is rushing to confirm another Justice to the Supreme Court who has sided with Obergefell's dissenters. 
LGBTQ+ rights are on the ballot. Equality is on the ballot. https://t.co/nE5777t1JX</t>
  </si>
  <si>
    <t>1313190195936858112</t>
  </si>
  <si>
    <t>In March, John kicked back with a Corona and said not to panic.
This weekend, he spread misinfo on mask-wearing.
Now, he won't say if he's quarantining after COVID-19 exposure.
This isn't @JohnCornyn holding the president to account, It's @JohnCornyn terrified about reelection. https://t.co/t2m8qc4hkv</t>
  </si>
  <si>
    <t>1313168051399950337</t>
  </si>
  <si>
    <t>Today is the LAST DAY to drop your voter registration application in the mail! 
Fill out your application to vote at https://t.co/2zx30XwI0A. Print it, sign it, and make sure it's postmarked today. Don't wait!</t>
  </si>
  <si>
    <t>1313155055940403200</t>
  </si>
  <si>
    <t>I'm proud to have Vice President @JoeBiden's endorsement in this fight to restore the soul of our nation, protect our health care, and put power back in the hands of working families. Together, we'll win Texas! https://t.co/Bdxeu5nQLi</t>
  </si>
  <si>
    <t>1313137366131974144</t>
  </si>
  <si>
    <t>.@JohnCornyn said he wants to do more than one debate. We've got two more locked and ready to go — but now he's in hiding. Gee, I wonder why...
Sign your name if you think Texans deserve more than one #TXSen debate: https://t.co/bYq916jq06 https://t.co/GyVL4qhapp</t>
  </si>
  <si>
    <t>1312936355509477376</t>
  </si>
  <si>
    <t>Jude is six years old! He's growing up so fast. Happy birthday, my love! https://t.co/vEpQbsgBP0</t>
  </si>
  <si>
    <t>1312486485472337921</t>
  </si>
  <si>
    <t>Wear a damn mask. https://t.co/fd6UVz4BJn</t>
  </si>
  <si>
    <t>1312455182635024384</t>
  </si>
  <si>
    <t>Masks work. They protect you, your loved ones, and the people around you from COVID-19.
Listen to our top, non-partisan experts at the CDC, not @JohnCornyn. https://t.co/ptkbaWE5FC</t>
  </si>
  <si>
    <t>1312455180839870464</t>
  </si>
  <si>
    <t>Our top scientists say that wearing a mask is one of the most effective ways to stop the spread of COVID-19. 
Months later, and hundreds of thousands dead. Why are you still spreading misinformation on a pandemic that is literally killing your constituents, @JohnCornyn? https://t.co/c4P6pIW1ZF</t>
  </si>
  <si>
    <t>1312440454227521536</t>
  </si>
  <si>
    <t>We CAN win Texas — if we all make our voices heard. 
The deadline to register to vote is coming up. Fill out your application at https://t.co/2zx30Xf6C0, print it, sign it, and drop it in the mail by MONDAY!</t>
  </si>
  <si>
    <t>1323701482131202050</t>
  </si>
  <si>
    <t>#VOTE! Pass it on.</t>
  </si>
  <si>
    <t>1323653790956953600</t>
  </si>
  <si>
    <t>And with today being #ElectionDay, disinformation and misinformation will be on the rise. Remember to verify your sources by using this resource from @CISAgov for disinformation tips: https://t.co/AAApirYeBK #Protect2020</t>
  </si>
  <si>
    <t>1323653789572882433</t>
  </si>
  <si>
    <t>Absentee ballots are parts of an election. They must all be counted.
States don't seek to announce results on election night. The media does. 
States don't certify election results on the day of the election. Many take weeks before certification.</t>
  </si>
  <si>
    <t>1323653788054523908</t>
  </si>
  <si>
    <t>REMINDER: No matter how long it takes, counting every ballot is not stealing an election. It’s our democratic process.</t>
  </si>
  <si>
    <t>1323639664276840448</t>
  </si>
  <si>
    <t>#ElectionDay is here folks. 
If you haven't voted yet, it’s now or never.
Virginia polls close at 7PM.
Find your polling place here:
https://t.co/g6KHviQLmG https://t.co/orr4NWl6oX</t>
  </si>
  <si>
    <t>1323322637502894083</t>
  </si>
  <si>
    <t>Folks, this is it. #ElectionDay is tomorrow!
Make a plan to VOTE; you can find information on how at https://t.co/yfIZEUvHEP https://t.co/VRBvViHvxn</t>
  </si>
  <si>
    <t>1323288382571745282</t>
  </si>
  <si>
    <t>And if you have questions about your vote's security or hear a rumor about the U.S. election, make sure to fact check it by using this resource from @CISAgov for disinformation tips: https://t.co/AAApirYeBK #Protect2020</t>
  </si>
  <si>
    <t>1323288381716156418</t>
  </si>
  <si>
    <t>It may take awhile for the results to come in. That period of time is especially vulnerable to attack by foreign countries seeking to spread disinformation and undermine the legitimacy of our electoral process. Stay calm, and be judicious about what you believe and share online.</t>
  </si>
  <si>
    <t>1323288380877250560</t>
  </si>
  <si>
    <t>Folks: this is an unusual election. Our intelligence community has warned that the period immediately before and after Election Day is going to be uniquely volatile, and our adversaries will seek to take advantage of that. Don’t make their jobs any easier.</t>
  </si>
  <si>
    <t>1323055487475163147</t>
  </si>
  <si>
    <t>Our service members shouldn’t have to worry about their families' health and safety while protecting our country; as a result, I’m committed to keeping up the pressure and working with military family advocates until our service members get the safe housing they deserve.</t>
  </si>
  <si>
    <t>1323055486636347392</t>
  </si>
  <si>
    <t>Military families know what it means to serve because their service is a 24/7, 365 job. To do that job, our service members' families need first-rate housing; that's why I'm glad the President signed my military housing reform legislation into law.
https://t.co/dlDHF17Vsx</t>
  </si>
  <si>
    <t>1323055485172523009</t>
  </si>
  <si>
    <t>November is #MilitaryFamilyMonth
To the family of all those who serve:
Please know that your sacrifices do not go unrecognized. You have — and deserve — the thanks of a grateful nation. https://t.co/y9lIQcpxKO</t>
  </si>
  <si>
    <t>1322906922425700353</t>
  </si>
  <si>
    <t>TODAY marks the end of #DaylightSavings, folks; though most of us don’t want an extra hour of 2020, we still need to set our clocks back!</t>
  </si>
  <si>
    <t>1322621864234094595</t>
  </si>
  <si>
    <t>- Over 229,000 Americans have died. 
- Over 23 million Americans are unemployed.
- Tens of thousands of small businesses are gone.
- #COVID cases &amp;amp; hospitalizations continue to rise across the country. 
The American people deserve better than this. https://t.co/pTZVqHZrWb</t>
  </si>
  <si>
    <t>1322540076006432768</t>
  </si>
  <si>
    <t>Wishing Virginians a safe and happy #Halloween! 🎃 
Remember to social distance and #MaskUp!</t>
  </si>
  <si>
    <t>1322319228725350402</t>
  </si>
  <si>
    <t>I appreciate the community leaders of Pulaski welcoming me to the Calfee Community &amp;amp; Cultural Center. I’m also grateful to have had the chance to learn more about the history of the school. Glad the community of Pulaski has gathered around giving the historic CCCC a new purpose. https://t.co/GmAJLtB9hO</t>
  </si>
  <si>
    <t>1322257858122162179</t>
  </si>
  <si>
    <t>Thank you to the folks at Bluestone Industrial Park for the opportunity to tour the hemp drying facility on-site and hear from local business leaders and elected officials in Tazewell County about economic development and diversifying the region’s economy. https://t.co/3Bhxq0x9a7</t>
  </si>
  <si>
    <t>1322227510613073920</t>
  </si>
  <si>
    <t>Black lung has led to devastating health consequences for too many hardworking miners; we need to ensure those suffering from this disease can get needed treatment. I’m sitting down w/ the SWVA Black Lung Association discussing efforts to help miners suffering from this disease. https://t.co/8epZE2oHQF</t>
  </si>
  <si>
    <t>1322202233853878272</t>
  </si>
  <si>
    <t>This is a pattern. https://t.co/ucuWcoexj8</t>
  </si>
  <si>
    <t>1322178371191771136</t>
  </si>
  <si>
    <t>Had a great conversation with @ASDevelop1 about their work on agroforestry and workforce development. The ASD's work with farmers, traditional and non-traditional agricultural partners for the past 25 years represents an important step in growing an industry that creates jobs. https://t.co/rrfaEkeN9u</t>
  </si>
  <si>
    <t>1321920153546870787</t>
  </si>
  <si>
    <t>Today I toured the @emoryandhenry School of Health Sciences campus and afterward had a good conversation with the school leaders about developing the healthcare workforce in SWVA amid the #COVID pandemic. https://t.co/gR2jnXnqsF</t>
  </si>
  <si>
    <t>1321889546317914112</t>
  </si>
  <si>
    <t>2+ million Virginians have already voted! If you aren't one of them, head to https://t.co/ISOrzztoT3 to find out how to vote early before it’s too late!
Remember folks:
Sat. Oct. 31 - In-Person Early Vote Ends
Tues. Nov. 3 - Election Day (Polls Open 6AM - 7PM) https://t.co/g77onhxZAC</t>
  </si>
  <si>
    <t>1321863283150934018</t>
  </si>
  <si>
    <t>We all know the restaurant industry and small businesses are being hard-hit by this pandemic. That's why I’m in downtown Galax talking with local restauranteurs and small business owners on a plan to keep Virginia's restaurant industry and small businesses running. https://t.co/BFJB2PmSp2</t>
  </si>
  <si>
    <t>1321826820472381440</t>
  </si>
  <si>
    <t>Teachers are doing heroic work amid #COVID. Creating conditions for in-person learning should be a priority. I’m in Martinsville w/ leadership from the @NewCollegeInst, Martinsville Schools &amp;amp; Henry County Public Schools to discuss reopening safely &amp;amp; increasing broadband access. https://t.co/xKUHk9a3HJ</t>
  </si>
  <si>
    <t>1321820932109967361</t>
  </si>
  <si>
    <t>Proud that Virginia just became the third state in the U.S. to end no-knock warrants! This a major victory for criminal justice reformers, but we’re still not done until we enact reforms like this at the federal level.
https://t.co/vgFptv6ast</t>
  </si>
  <si>
    <t>1321563216095399936</t>
  </si>
  <si>
    <t>Hey folks - #ElectionDay is less than a week away! If you have questions about your vote's security or hear a rumor about the U.S. election, make sure to counter it with reality. Use this resource from @CISAgov for disinformation tips: https://t.co/UdCxnrMoG8 #Protect2020</t>
  </si>
  <si>
    <t>1321543358662279171</t>
  </si>
  <si>
    <t>Many Virginians &amp;amp; American families lack pathways to connectivity due to the lack of broadband access technology. The Governors Broadband Development Fund that I introduced will expand access to broadband &amp;amp; digital opportunities, which is needed for many.
https://t.co/mQsID2129H</t>
  </si>
  <si>
    <t>1321543355201892354</t>
  </si>
  <si>
    <t>Before #COVID, we knew that broadband access was a precondition to full participation in the digital economy. But with this crisis, we’ve seen that it’s even more than that – it’s a lifeline. I’m in S. Boston w/ @MBCVA, discussing how to expand broadband services in rural VA. https://t.co/3OfeBQ2u5S</t>
  </si>
  <si>
    <t>1321516221062406145</t>
  </si>
  <si>
    <t>The conversation about Section 230 should be thoughtful and not serve as a cudgel to cow the platforms into continued inaction regarding efforts to manipulate their services 6 days ahead of the election.</t>
  </si>
  <si>
    <t>1321516219858636800</t>
  </si>
  <si>
    <t>That's why It saddens me that some of my colleagues have joined in on this Administration’s concerted bid to bully platforms into allowing dark money groups, right-wing militias, &amp;amp; even Trump himself to abuse social platforms to sow disinformation &amp;amp; suppress voter participation.</t>
  </si>
  <si>
    <t>1321516218969399296</t>
  </si>
  <si>
    <t>We can and should have a conversation about Section 230 – and how it has enabled platforms to turn a blind eye as their platforms are used to facilitate discrimination, civil rights violations, enable online frauds targeted at vulnerable users, and more.
https://t.co/VCMPKrbi8b</t>
  </si>
  <si>
    <t>1321484984700575745</t>
  </si>
  <si>
    <t>A good conversation in Lawrenceville with community leaders from Mecklenburg, Lunenburg, &amp;amp; Brunswick counties. Small businesses are drivers of our local economy; to empower them, we must connect folks w/ resources to thrive.
My bill, the #NeighborhoodJobs Act, will do just that. https://t.co/6x76zcfwvh</t>
  </si>
  <si>
    <t>1321467053975474176</t>
  </si>
  <si>
    <t>I’ve been getting calls, emails, even DMs on my social platforms from Virginians asking when Congress will take action to combat this crisis since this administration gave up. We need to focus on passing a comprehensive #COVID relief bill that'll help folks through this pandemic. https://t.co/WTVwSvKioE</t>
  </si>
  <si>
    <t>1321210771934760961</t>
  </si>
  <si>
    <t>With #COVID relief negotiations continuing, Virginians remain affected by the health &amp;amp; economic crisis. I’m in Staunton w/ actors, board members, &amp;amp; staff from @shakespearectr &amp;amp; @SMF_classical to discuss my plan to help the theatre &amp;amp; live music industry workforce. #SaveOurStages https://t.co/frfONsv4Qe</t>
  </si>
  <si>
    <t>1321193143665074180</t>
  </si>
  <si>
    <t>During #COVID, we've seen a dangerous drop in preventive care screenings and vaccinations. My bill, the #GetCareAct, will ensure patients &amp;amp; health providers better understand safe approaches to essential check-ups.
Pleased to announce it's been endorsed by the @AmerMedicalAssn. https://t.co/mxGSoJKLZk</t>
  </si>
  <si>
    <t>1321149123194662914</t>
  </si>
  <si>
    <t>#COVID has had an unprecedented toll on our economy &amp;amp; even the most dedicated business owners have gotten creative to keep their businesses afloat. That’s why I started the day in Leesburg w/ @RepWexton to hear from local tourism industries &amp;amp; discuss a plan for economic recovery. https://t.co/M3mC6DxWG7</t>
  </si>
  <si>
    <t>1321120217133654018</t>
  </si>
  <si>
    <t>If last night has shown us anything, it’s that we need to vote like our lives depend on it.
Because they do.
https://t.co/XoqjUH3jIE</t>
  </si>
  <si>
    <t>1320785278693494787</t>
  </si>
  <si>
    <t>During #COVID19 vaccinations have dropped sharply – risking the health of millions of children. I’ve intro’d the #GetCareAct to educate Americans on the importance of preventive care and I'm proud to support @UNICEF, @Gavi, @ShotAtLife on their work to #ProtectVaccineProgress.</t>
  </si>
  <si>
    <t>1320785277191966720</t>
  </si>
  <si>
    <t>Because of #COVID19, vaccination coverage is dropping to levels last seen in the 1990s and putting millions of children at risk. I'm proud to support the efforts of @UNICEF, @Gavi, @ShotAtLife, and other global health partners to #ProtectVaccineProgress.</t>
  </si>
  <si>
    <t>1320754847151542279</t>
  </si>
  <si>
    <t>Breathtaking, reckless irresponsibility.  
https://t.co/TKGGG4qcne</t>
  </si>
  <si>
    <t>1320466610830876672</t>
  </si>
  <si>
    <t>Last week, Sen. @timkaine and I took questions from Virginians who could lose their health care coverage if the Senate rushes through a Supreme Court nomination less than two weeks before the election. #WhatsAtStake 
Watch it here: https://t.co/d4glzGy3eV https://t.co/wP4BmlTU72</t>
  </si>
  <si>
    <t>1320094572677107721</t>
  </si>
  <si>
    <t>“The preexisting condition clause in the #ACA is just critical. It's absolutely critical."
The lives and livelihoods of Americans with pre-existing conditions like Julie and her husband are on the line. That’s #WhatsAtStake with this #SCOTUS nominee.
Hear her story: https://t.co/5KWOtC17ld</t>
  </si>
  <si>
    <t>1320046241426952192</t>
  </si>
  <si>
    <t>When the Civil War ended, leaving Prince William County desolate &amp;amp; deprived, Jennie Dean sought work as a domestic in D.C., hoping to build a new life for herself, but never forgetting the African-American community she left behind. 
Today, I spoke at her statue unveiling. https://t.co/hX0QwqDd8l</t>
  </si>
  <si>
    <t>1319775052909498377</t>
  </si>
  <si>
    <t>I have had concerns about Facebook taking steps to undermine this critical research and strongly encourage them to allow this important work – which benefits Facebook, Facebook users, and our democracy – to continue.</t>
  </si>
  <si>
    <t>1319775051667939331</t>
  </si>
  <si>
    <t>For several years now, I have emphasized the importance of empowering researchers, who are frequently the first to identify and track new social media platforms' abuses.
https://t.co/l2HNahrST5</t>
  </si>
  <si>
    <t>1319754616817487873</t>
  </si>
  <si>
    <t>Margie is a caregiver for Alzheimer’s and lives with preexisting conditions. If the #ACA gets repealed, she and millions of other caregivers around the country could lose their healthcare. That’s #WhatsAtStake for caregivers like Margie.
Hear her story: https://t.co/iF4gp7Py3Q</t>
  </si>
  <si>
    <t>1319688787836846081</t>
  </si>
  <si>
    <t>Hey folks - TODAY is the last day to request your absentee ballot. Request it here by 5PM: https://t.co/j8y095jOyg before it’s too late!</t>
  </si>
  <si>
    <t>1319664632722837504</t>
  </si>
  <si>
    <t>500+ children separated from their parents at the border.
This is horrific. Families belong together.
https://t.co/ZibCMNKnPh</t>
  </si>
  <si>
    <t>1319378159586971651</t>
  </si>
  <si>
    <t>"I hope that they end it."
This president wants to kick 21 mil off the #ACA in the middle of a pandemic, while the GOP takes an extra "2 weeks" to come up w/ a plan they’ve had 10 years to write. Folks need the guaranteed protections that the ACA provides. This is #WhatsAtStake. https://t.co/ng1UzxThC6</t>
  </si>
  <si>
    <t>1319353384026202113</t>
  </si>
  <si>
    <t>This president’s attacks on our federal workforce continue: It seems clear that he wants to be able to fire exemplary career officials like Dr. Fauci and those in the intelligence community who know that they serve the American people and not Donald Trump.
https://t.co/5M2jb3NFFR</t>
  </si>
  <si>
    <t>1319340322749636608</t>
  </si>
  <si>
    <t>HAPPENING NOW: I’m live with @timkaine for a #WhatsAtStake Facebook Live Town Hall. Got a question for us? Ask it in the comments below.
https://t.co/d4glzGy3eV</t>
  </si>
  <si>
    <t>1319319825202728963</t>
  </si>
  <si>
    <t>To our adversaries, we reiterate DNI Ratcliffe’s warning against interfering in America’s electoral process. Republicans &amp;amp; Democrats are united when we say that continued attempts to cast doubt on election results or disrupt our election systems will force a severe response.</t>
  </si>
  <si>
    <t>1319319824355479557</t>
  </si>
  <si>
    <t>To the American people &amp;amp; the media, we repeat the need to be skeptical of sensationalist, last-minute claims about election infrastructure. State, local, &amp;amp; federal officials &amp;amp; partners in social media &amp;amp; tech should be proud of joint efforts to shut down Iranian &amp;amp; Russian efforts.</t>
  </si>
  <si>
    <t>1319319823520858114</t>
  </si>
  <si>
    <t>Yesterday, DNI Ratcliffe &amp;amp; FBI Director Wray took an extraordinary step to ensure Americans have a clear insight into the efforts of our adversaries to undermine our democratic institutions, including U.S. election systems and infrastructure.</t>
  </si>
  <si>
    <t>1319319822426136579</t>
  </si>
  <si>
    <t>Iran is now actively seeking to sow dissent and divide us, much like Russia did in 2016 and continues to do today. https://t.co/d8ME9rCcgB</t>
  </si>
  <si>
    <t>1319305921139478528</t>
  </si>
  <si>
    <t>Yesterday, I had the chance to talk with Suzy from Richmond. She has been living with lupus since she was 13.
She’s afraid that folks like herself will end up uninsured.
Suzy knows #WhatsAtStake if her coverage is taken away; hear her story below: https://t.co/bDgvmA22xl</t>
  </si>
  <si>
    <t>1319065302894845952</t>
  </si>
  <si>
    <t>Folks like Caitlin shouldn't have to worry about politicians taking away their health care and reproductive rights. There's so much on the line. I'll continue to do everything I can to #ProtectOurCare. 
#WhatsAtStake #SCOTUS https://t.co/6z7irJuXjp</t>
  </si>
  <si>
    <t>1319009057697632264</t>
  </si>
  <si>
    <t>It’s time for congressional leaders and the White House to come together on a comprehensive #COVID19 relief bill that meets the scale and scope of the full challenges facing our country.
I remain hopeful that there will soon be a breakthrough in the bipartisan talks.</t>
  </si>
  <si>
    <t>1319009056238014464</t>
  </si>
  <si>
    <t>According to press reports, Leader McConnell has told the White House not to reach a bipartisan agreement with Democrats on COVID-19 relief. That’s outrageous. 
Americans are suffering, and this is simply no time for partisan political exercises. 
https://t.co/dzOdK5yMGm</t>
  </si>
  <si>
    <t>1319009055080370178</t>
  </si>
  <si>
    <t>A bill that doesn’t include:
- Paid sick leave, 
- Assistance for renters and homeowners,
- Adequate public school &amp;amp; child care support,
- Or funding for states and localities to continue critical services while so many of our fellow Virginians are out of work.</t>
  </si>
  <si>
    <t>1319009053968838656</t>
  </si>
  <si>
    <t>But instead of matching the moment, the Majority Leader held another vote today on the same disastrous, partisan proposal that the Senate had already rejected 6 weeks ago.</t>
  </si>
  <si>
    <t>1319009052018565122</t>
  </si>
  <si>
    <t>That's why yesterday, I joined several Senators from both parties in voting for another round of PPP funds to help small businesses weather this storm. Though that provision failed to move forward, it's clear that there's bipartisan support for extra measures to help folks.</t>
  </si>
  <si>
    <t>1319009050944745474</t>
  </si>
  <si>
    <t>Our country is in crisis.
Unemployment rates are still sky-high; small businesses are struggling to keep their doors open; families continue to face eviction and foreclosure; schools are scrambling to find the resources to help our students learn.</t>
  </si>
  <si>
    <t>1318961590230831104</t>
  </si>
  <si>
    <t>Hey folks - TOMORROW I’ll be going LIVE with Sen. @timkaine on Facebook, discussing #WhatsAtStake for Americans' health care, if Judge Amy Coney Barrett is confirmed. 
If you have a question for us, ask by replying below.</t>
  </si>
  <si>
    <t>1318929854264463362</t>
  </si>
  <si>
    <t>The deadly crackdown on peaceful #EndSARS protesters in Nigeria is deeply alarming &amp;amp; unacceptable. The government of Nigeria must exercise restraint &amp;amp; find ways to address the grievances of peaceful protesters, who're young people speaking out against police brutality &amp;amp; impunity. https://t.co/OHEOMEwIt4</t>
  </si>
  <si>
    <t>1318682136141045760</t>
  </si>
  <si>
    <t>Jamming through Judge Barrett's SCOTUS nomination would have devastating impacts on the lives of women like Katie from Roanoke. I will continue to fight to ensure that women can control their own futures. https://t.co/YJFc4UrfrQ</t>
  </si>
  <si>
    <t>1318624541577482246</t>
  </si>
  <si>
    <t>We are 2 weeks away from the most important election of our lifetime. Make a plan. #MaskUp. Vote early. 📬✉️</t>
  </si>
  <si>
    <t>1318578836112551938</t>
  </si>
  <si>
    <t>If #SCOTUS overturns the Affordable Care Act, millions of Americans with preexisting conditions could lose their protections and their coverage. We can’t let that happen.
Judge Barrett’s record is clear, and so is my vote. I’m voting no. #WhatsAtStake</t>
  </si>
  <si>
    <t>1318314174670319619</t>
  </si>
  <si>
    <t>“My husband is a type 2 diabetic and would lose his insurance because he had to retire early. There is no way he could get his insulin and other medicines if the ACA is repealed.”
Georgia Lee is one of many constituents whose family relies on the ACA’s protections. #WhatsAtStake https://t.co/L8vvxXPEvp</t>
  </si>
  <si>
    <t>1318287051125624837</t>
  </si>
  <si>
    <t>The Commander John Scott Hannon Veterans Mental Health Care Improvement Act will help veterans get the care they need. 
That’s why I’m proud that it includes a provision that Sen. @JohnBoozman and I authored to help reduce the alarming number of veteran suicides. https://t.co/NMevGH8WPX</t>
  </si>
  <si>
    <t>1318259550903033856</t>
  </si>
  <si>
    <t>We're in a pandemic with 220,000 Americans dead &amp;amp; infection rates climbing in 43 states. Dr. Fauci has given decades of service; his expertise is needed now more than ever.
There's one reason why deaths in America are greater than the global average, and it isn't Dr. Fauci. https://t.co/HG8dxTwOM7</t>
  </si>
  <si>
    <t>1318216238397521920</t>
  </si>
  <si>
    <t>Two of my three daughters have pre-existing conditions that would be affected if the #ACA is struck down. 
Like many Americans with pre-existing conditions, the ACA is a matter of life and death. Taking away health care options during a pandemic is dangerous. https://t.co/LrlbAEyLTt</t>
  </si>
  <si>
    <t>1317906077783031810</t>
  </si>
  <si>
    <t>“With the ACA, we were able to sign up with one of the only two insurers on the marketplace for our county.” For constituents like Rosemary, the ACA is not just a SCOTUS lawsuit or litmus test to get nominated but also a matter of life and death. #WhatsAtStake https://t.co/8olkd9BXhA</t>
  </si>
  <si>
    <t>1317560140879564806</t>
  </si>
  <si>
    <t>So many of my constituents came forward to share #WhatsAtStake with this #SCOTUS nomination. 
Here’s Margaret from Richmond, VA story: https://t.co/vuvBbphaXW</t>
  </si>
  <si>
    <t>1317498621860958208</t>
  </si>
  <si>
    <t>As Harrisonburg's situation continues to unfold, I want to extend my thoughts and prayers to the first responders, firefighters, and our fellow Virginians in harm's way. https://t.co/1FTJr7AwBI</t>
  </si>
  <si>
    <t>1317493785018961921</t>
  </si>
  <si>
    <t>We lost a great American icon a year ago today. Rep. Elijah Cummings never stopped pushing our nation to be better. We miss him and his leadership today more than ever.</t>
  </si>
  <si>
    <t>1317156015029235714</t>
  </si>
  <si>
    <t>Pleased to see Facebook &amp;amp; Twitter take steps to remove or reduce the distribution of manipulated or false media to prevent efforts to amplify disinformation after I called on them earlier this month to implement accountability &amp;amp; transparency standards ahead of Nov’s election. https://t.co/KeJltJd4As</t>
  </si>
  <si>
    <t>1317118440256266240</t>
  </si>
  <si>
    <t>While the Senate GOP continues to rush to confirm a Supreme Court nominee, millions have fallen into poverty.
The #HeroesAct has been sitting on the Senate Majority Leader’s desk for the past 5 months. 
https://t.co/OAXChf9D74</t>
  </si>
  <si>
    <t>1316884282355441664</t>
  </si>
  <si>
    <t>As we near 3 years since two National Park Police officers tragically shot and killed Bijan Ghaisar, it is long past time for the Ghaisars to receive answers about what happened to their son and brother that night.
https://t.co/T3y6FivOgz</t>
  </si>
  <si>
    <t>1316747127633178624</t>
  </si>
  <si>
    <t>Hey folks - TODAY is officially the last day to register to vote in Virginia in the general election. Register or update your information today online at https://t.co/vNkkfHR4IK or in-person at your local general registrar’s office by 5 PM. #Election2020 https://t.co/c11g0d15er</t>
  </si>
  <si>
    <t>1316487067543666690</t>
  </si>
  <si>
    <t>The Supreme Court allowing this administration to end the Census count now will have vast implications, especially for Black, Brown, and low-income communities. 
Having a complete Census is necessary; everyone must be counted. Our democracy requires it.
https://t.co/Fpbpzv9LB9</t>
  </si>
  <si>
    <t>1316460993837510656</t>
  </si>
  <si>
    <t>Pleased to see the @USDA extend free meal waivers to all kids through the 2020-2021 school year after my colleagues in Congress &amp;amp; I sent a letter urging Secretary Perdue to do so. Millions of kids rely on school meals; we must keep them from going hungry.
https://t.co/Du7Dvg2vyQ</t>
  </si>
  <si>
    <t>1316429048013361152</t>
  </si>
  <si>
    <t>Last month, Congress unanimously passed the IMPROVE Well-Being for Veterans Act. Now it’s on the President’s desk awaiting his signature. I urge the President to sign this important legislation into law swiftly.
https://t.co/cCERUzsUvC</t>
  </si>
  <si>
    <t>1316429045781929991</t>
  </si>
  <si>
    <t>Many veterans suffering from the invisible wounds of war are left struggling when their tours end. That’s why I’m here in Richmond with @VaSecVADA and local veterans to discuss my bill, the IMPROVE Well-Being for Veterans Act, which will give more resources to veterans in crisis. https://t.co/Kb21oNjyHT</t>
  </si>
  <si>
    <t>1316387320199893000</t>
  </si>
  <si>
    <t>BREAKING: Virginia's voter registration deadline has been extended to 11:59 P.M. Thursday, Oct 15. 
Register to vote online at https://t.co/vNkkfHR4IK now! https://t.co/P8Z1lxt970</t>
  </si>
  <si>
    <t>1316135717307850753</t>
  </si>
  <si>
    <t>Everybody in the Commonwealth continues to be affected by the #COVID19 crisis and this unprecedented economic downturn. That’s why I’m in Sussex with community leaders discussing my plan to help with economic recovery to support the region amid this pandemic. https://t.co/TPenTCJ8RG</t>
  </si>
  <si>
    <t>1316111466081087488</t>
  </si>
  <si>
    <t>I’m glad that @GovernorVA and his family are safe. 
Hate and division are driving our community apart. We can’t let it. Thank you to all the law enforcement for their dedicated work to keep our communities and us safe.
https://t.co/rBXOehBBPC</t>
  </si>
  <si>
    <t>1316102970640142344</t>
  </si>
  <si>
    <t>UPDATE – Virginia, with the https://t.co/vNkkfHR4IK site up and running again, you can now register online to vote in the general election, update information, and check your registration status. There’s still time!
https://t.co/LteCLABKJ1</t>
  </si>
  <si>
    <t>1316081239779090436</t>
  </si>
  <si>
    <t>https://t.co/vNkkfHR4IK site may be down; however, you can still register in person socially-distanced with a mask.
https://t.co/rbYI8AjKZ9</t>
  </si>
  <si>
    <t>1316081238525071360</t>
  </si>
  <si>
    <t>Virginia, TODAY is the last day to register to vote in the general election. Make sure to check that you're registered at your current address and if you need to make a change, do it TODAY. https://t.co/8aeUEsm6RP</t>
  </si>
  <si>
    <t>1316078839760551936</t>
  </si>
  <si>
    <t>St Paul’s Area has been in distress &amp;amp; decline for decades with high family poverty &amp;amp; unemployment. I met with Mayor @KennyAlexander of @NorfolkVA &amp;amp; members of the Norfolk city council to discuss how federal funding from the DOT &amp;amp; HUD will revitalize housing &amp;amp; transit expansion. https://t.co/oWjdFc1Heq</t>
  </si>
  <si>
    <t>1316053816652058624</t>
  </si>
  <si>
    <t>Happy 245th birthday @USNavy!
Thank you from a grateful nation to those serving, those who served, and their families. And a special shout out to Virginia’s 85k+ active duty and reserve Sailors and Navy civilians. #Navy245 https://t.co/GsUyFcGvEk</t>
  </si>
  <si>
    <t>1315760151031406592</t>
  </si>
  <si>
    <t>Pleased to see @AGBecerra acknowledge the need to address #darkpatterns in implementing California's privacy law. I'm happy that California is proposing to model this language on the bipartisan DETOUR Act I wrote. Federal privacy efforts must similarly address dark patterns. https://t.co/LXwsB2LrJ6</t>
  </si>
  <si>
    <t>1315735584120418309</t>
  </si>
  <si>
    <t>Started my afternoon at Colonial National Historical Park along the Colonial Parkway in Yorktown, one of many @NatlParkService properties in Virginia with overdue repairs. 
Now that the President has signed our #GAOA, we can put Americans to work repairing our parks. https://t.co/tJYwuK5qKx</t>
  </si>
  <si>
    <t>1315683716358963200</t>
  </si>
  <si>
    <t>From the lack of H-2B visas for oyster harvesting season to independent restaurants trying to hang on during this pandemic, I'm sitting down with local restauranteurs in Richmond to discuss a plan to keep Virginia's restaurant industry operations running. #RichmondRestaurantWeek https://t.co/JfwTvupP0d</t>
  </si>
  <si>
    <t>1315646338646839296</t>
  </si>
  <si>
    <t>If you had #COVID19, you now have a pre-existing condition.
If Trump’s SCOTUS nom overturns the Affordable Care Act (ACA), your coverage and protections will be gone. We must fight this.
Please share your story with me by video or tweet. Tell me #WhatsAtStake for YOUR health: https://t.co/KnJav3pXnR</t>
  </si>
  <si>
    <t>1315315511144611840</t>
  </si>
  <si>
    <t>“Done enough?” 
If the Senate GOP weren’t more concerned about rushing through a SCOTUS nom than they are with getting families, workers, and communities the relief and support they need to get through this pandemic, then the Senate would’ve voted on the #HeroesAct 4 months ago. https://t.co/d14W1TmZSS</t>
  </si>
  <si>
    <t>1314966248913088514</t>
  </si>
  <si>
    <t>2020 has been a tough one for us all. The months of lockdown and loss have had a huge impact on our mental health. Make sure you take some time out today and put yourself first. #WorldMentalHealthDay https://t.co/Vpmp8Ay3vU</t>
  </si>
  <si>
    <t>1314684238877396992</t>
  </si>
  <si>
    <t>Today I joined @RepWexton in touring @HHMIJanelia, a research campus that is helping Virginia stay on the cutting edge of scientific research at a time when researchers all over the country are working on learning more about #COVID and finding a vaccine https://t.co/TiXf2tUl5E</t>
  </si>
  <si>
    <t>1314659227344961538</t>
  </si>
  <si>
    <t>These continue to be crucial times for Virginians, relying on the @USPS. That’s why I’m at Dulles Post Office with @JenniferBoysko and @SuhasforVA, demanding immediate congressional action to reverse the harmful policy changes under Postmaster DeJoy permanently. #DontMessWithUSPS https://t.co/EkpDRFS4xp</t>
  </si>
  <si>
    <t>1314634824108384258</t>
  </si>
  <si>
    <t>These changes highlight a critical point – content moderation alone is inadequate to slow the spread of misinformation. Platforms need systematic approaches to limit the viral dissemination of political misinformation and disinformation. This is a step in the right direction.</t>
  </si>
  <si>
    <t>1314634822879531010</t>
  </si>
  <si>
    <t>Pleased to see @Twitter making changes to tackle the spread of misinformation of Nov's election after my letter to CEO @jack Tues. With bold actions, we need to ensure strong accountability &amp;amp; transparency standards in the context of our nation's election.
https://t.co/the6SHXxxh</t>
  </si>
  <si>
    <t>1314618424002310144</t>
  </si>
  <si>
    <t>TODAY: I expressed grave concerns in a letter to Alan Miller, Chairman and CEO of @UHS_Inc, regarding the cybersecurity measures in place at one of the nation’s largest medical facility operators, which recently fell victim to an apparent ransomware attack. https://t.co/I3MrKLH93V</t>
  </si>
  <si>
    <t>1314581607358115840</t>
  </si>
  <si>
    <t>For many TPS recipients, eliminating the program could mean life or death. That’s why today, I hosted a discussion with immigration advocates, current TPS holders, and community leaders on the path forward to protect Virginia’s 27,500 TPS recipients. #SaveTPS https://t.co/w5uypcHvox</t>
  </si>
  <si>
    <t>1314234301853163522</t>
  </si>
  <si>
    <t>The President who refused to stand up to Putin in defense of our troops is now offloading blame on Gold Star families, who've sacrificed everything for our nation. It’s time for this President to show respect for our military &amp;amp; take responsibility for his failed #COVID response. https://t.co/gRuNN8mZuX</t>
  </si>
  <si>
    <t>1314211946028122113</t>
  </si>
  <si>
    <t>It's clear, Americans deserve to have their voices heard.
The stakes are too high for folks if the Senate GOP confirms their #SCOTUS nominee and overturns the Affordable Care Act (#ACA) during a deadly pandemic that has killed over 211,000 Americans.
https://t.co/lr7y2b5R8U</t>
  </si>
  <si>
    <t>1313900024108068865</t>
  </si>
  <si>
    <t>Right now, America needs strong defenses that'll help ward off online attacks by increasing transparency. My bill, the Honest Ads Act, will help prevent foreign actors from manipulating the public &amp;amp; interfering in our elections by using divisive paid ads.
https://t.co/18rl69zNw1</t>
  </si>
  <si>
    <t>1313900022887526403</t>
  </si>
  <si>
    <t>YESTERDAY: I called on Facebook, Twitter, &amp;amp; Google to implement accountability &amp;amp; transparency standards ahead of Nov’s election. All 3 companies need to aggressively identify &amp;amp; remove manipulated or false media to prevent efforts to amplify disinformation.
https://t.co/rUErmsqHvp</t>
  </si>
  <si>
    <t>1313879041821347841</t>
  </si>
  <si>
    <t>This morning, I joined members of the Alexandria Fire Department, @AlexandriaVFD, and Fire Department retirees at the Annual Memorial Service and Wreath-Laying event to honor the men and women of the Alexandria Fire Department who have died in the line of duty. https://t.co/P3Uw0KGFp9</t>
  </si>
  <si>
    <t>1313841514301272065</t>
  </si>
  <si>
    <t>Would you be impacted if Trump’s SCOTUS nominee overturns the Affordable Cares Act (#ACA) or #RoeVWade?
I want to hear your story; tell me #WhatsAtStake for YOUR health. https://t.co/SHupXLdlPV</t>
  </si>
  <si>
    <t>1313818861049913344</t>
  </si>
  <si>
    <t>Pleased to see @HouseJudiciary’s new report, referencing my bipartisan ACCESS Act. We need bold action to ensure today’s successful platforms can’t squash the next generation of innovators or unfairly leverage their dominance into innovative new sectors.
https://t.co/rd5JqDI8Kq</t>
  </si>
  <si>
    <t>1313611364271882241</t>
  </si>
  <si>
    <t>His bigger priority is rushing through a SCOTUS nom to take healthcare away from Americans. Families would lose health coverage during this pandemic &amp;amp; more than 130 million Americans with pre-existing conditions would lose vital protections, including those who contracted #COVID.</t>
  </si>
  <si>
    <t>1313607613091917824</t>
  </si>
  <si>
    <t>Ultimately the real test will be whether Facebook will NOW take measures to enforce these new policies.</t>
  </si>
  <si>
    <t>1313607611028312066</t>
  </si>
  <si>
    <t>We’ve seen in a myriad of other contexts, including concerning right-wing militias like the Boogaloos, that Facebook has repeatedly failed to enforce its existing policies consistently.</t>
  </si>
  <si>
    <t>1313607609430220801</t>
  </si>
  <si>
    <t>I’m pleased to see Facebook is now taking action against this harmful and increasingly dangerous conspiracy theory and movement.
https://t.co/SJ3MiEo4r7</t>
  </si>
  <si>
    <t>1313607607354109959</t>
  </si>
  <si>
    <t>Just this morning, I encouraged Facebook to take the threat of QAnon more seriously, given increasing evidence that they have, in large part, propelled its growth.
https://t.co/QoP9YUkKJ4</t>
  </si>
  <si>
    <t>1313572102910418945</t>
  </si>
  <si>
    <t>Even Trump’s Chair of the @FederalReserve agrees that it’s time for the Senate to take up a bill that provides robust stimulus measures to help our troubled nation. 
Too little support would lead to a weak recovery, creating added hardship for Americans.
https://t.co/GgUuc2JvAz</t>
  </si>
  <si>
    <t>1313566143660142598</t>
  </si>
  <si>
    <t>Holding suffering Americans in need of assistance hostage in order to play tough guy games? The President clearly doesn’t understand the gravity of this crisis. https://t.co/EpHk5okRw4</t>
  </si>
  <si>
    <t>1313532999590449152</t>
  </si>
  <si>
    <t>Winter is coming; restaurants will continue to suffer if they don't receive the necessary support to stay open. Congress needs to act quickly by passing relief to provide restauranteurs the opportunity to recover during this economic crisis.
https://t.co/jpJ6XVX8Gk</t>
  </si>
  <si>
    <t>1313500177706225674</t>
  </si>
  <si>
    <t>No.
https://t.co/w6HOgu3mQK https://t.co/oP47Sdjx2D</t>
  </si>
  <si>
    <t>1313450909880537089</t>
  </si>
  <si>
    <t>This is just one of many examples of the ways dedicated public servants are making a difference in the lives of everyday Americans. #Sammies2020</t>
  </si>
  <si>
    <t>1313450908915818497</t>
  </si>
  <si>
    <t>Telehealth has been life-changing for veterans. The remote options for #COVID and other illnesses and conditions have been critical for veterans who live in rural areas, sometimes hundreds of miles from medical facilities, and veterans who have mobility challenges.</t>
  </si>
  <si>
    <t>1313450907561070593</t>
  </si>
  <si>
    <t>Congrats to Virginia’s Kathleen Frisbee, executive director of Connected Health Office &amp;amp; Dr. Kevin Galpin, executive director of Telehealth Services, on winning the Samuel J. Heyman Service to America Medal! They couldn’t have pioneered telehealth for veterans at a better time. https://t.co/mILBi57bW5</t>
  </si>
  <si>
    <t>1313190377176928258</t>
  </si>
  <si>
    <t>We all know the restaurant industry is being hard-hit by this economic crisis. That's why this morning, I'm hosting a socially-distanced discussion with local restauranteurs in Alexandria on what Congress can do to support the restaurant industry and their workforce further. https://t.co/Hs99trobGY</t>
  </si>
  <si>
    <t>1312479362474631168</t>
  </si>
  <si>
    <t>Yesterday, I kicked off the oyster harvesting season by meeting with constituents in the Northern Neck to discuss how I’m working to help Virginia’s family-owned seafood processors keep their operations up &amp;amp; running during the economic hardship caused by the #COVID health crisis. https://t.co/suNbr2EyN0</t>
  </si>
  <si>
    <t>1323764291854618630</t>
  </si>
  <si>
    <t>🚨1 HOUR TILL POLLS CLOSE🚨 
This is the final reminder that polls will be closed in 1 HOUR! 
Every vote counts, so make sure to have your voice heard in the 2020 election!
#TakeBackVA #Election2020 https://t.co/YuTdsiORbQ</t>
  </si>
  <si>
    <t>1323716730783485955</t>
  </si>
  <si>
    <t>🚨5 HOURS TILL POLLS CLOSE🚨
Attention, folks! The polls will be closed in 5 hours for the next 4 years. Grab your friends, neighbors, family and GO VOTE!
#TakeBackVA https://t.co/BnjDkHLd6b</t>
  </si>
  <si>
    <t>1323675236714323971</t>
  </si>
  <si>
    <t>.@MarkWarnerVA, I voted Gade! https://t.co/bsUhE5hWFO https://t.co/IeRq59QY5h</t>
  </si>
  <si>
    <t>1323664307947741185</t>
  </si>
  <si>
    <t>Wendy found my “Stunt Double” while working the polls! #TakeBackVA https://t.co/q4OfsUzyRQ</t>
  </si>
  <si>
    <t>1323631150917627905</t>
  </si>
  <si>
    <t>This morning my family and I cast our ballots in Fairfax at Washington Mill Elementary. This campaign has been an honor &amp;amp; I am proud of the race we have run. 
Make sure to get out and vote Gade for US Senate! 
#TakeBackVA #Election2020 https://t.co/gqD795pnSF</t>
  </si>
  <si>
    <t>1323600507060035586</t>
  </si>
  <si>
    <t>“At the end of the day, they don't have to choose between Republican and Democrat, red team or blue team, they need to choose between a career servant and career politician, and that is the difference between Mark and me," said Gade.
Read more👇🏻 https://t.co/ePx4NtZjbX</t>
  </si>
  <si>
    <t>1323580825028464640</t>
  </si>
  <si>
    <t>🚨POLLS OPEN🚨
Election Day, it’s finally here. The polls are open, get your friends &amp;amp; family and go vote Daniel Gade for US Senate! 
We will be traveling across the Commonwealth getting out the vote! See you at the polls!
#TakeBackVA https://t.co/7Rd621dAIm</t>
  </si>
  <si>
    <t>1323457647060918277</t>
  </si>
  <si>
    <t>“If you want to protect your Second Amendment rights, now is the time to do it,” Virginia Republican Daniel Gade said in a get-out-the-vote video.
Read more here👇🏻 https://t.co/Hyo4cO4VBN</t>
  </si>
  <si>
    <t>1323441609627865093</t>
  </si>
  <si>
    <t>After you vote tomorrow, make this your profile picture, share with friends and help GET OUT THE VOTE! #TakeBackVA https://t.co/8xwFm109mC</t>
  </si>
  <si>
    <t>1323434620726239232</t>
  </si>
  <si>
    <t>Less than 24 hours before the election and @MarkWarnerVA’s new ad claims Gade, a veteran with 1 leg, “opposed” pre-existing conditions.
Only a career politician can justify saying a wounded vet, who’s never held public office, opposed a bill.
Mark, this is Virginia, not DC. https://t.co/xk1ZdgERoJ</t>
  </si>
  <si>
    <t>1323423401088819201</t>
  </si>
  <si>
    <t>Our last campaign event before Election Day in Spotsylvania. Thank you for everyone who came out to our Get Out The Vote events. Grab your friends and family and GO VOTE tomorrow! #TakeBackVA https://t.co/ewiAQ21r38</t>
  </si>
  <si>
    <t>1323402793231781888</t>
  </si>
  <si>
    <t>Virginians, 25 hours left to donate to our campaign and fund our Get Out The Vote program! 
We’ve made 1.5 million voter contacts, had over 200 events in 2 months and need your help in the closing hours!
Donate here! https://t.co/f5SYHl6Ids https://t.co/zkgs5jIaJ1</t>
  </si>
  <si>
    <t>1323278786616528896</t>
  </si>
  <si>
    <t>Today, I am especially grateful to the tens of thousands of donors and volunteers who have joined this mission alongside me. Your “blood”, sweat and tears are what has powered this campaign. 
Thank you.</t>
  </si>
  <si>
    <t>1323278784775266304</t>
  </si>
  <si>
    <t>On January 10th, 2005, 25 strangers gave their blood to keep me alive after I was wounded in Iraq. This is the journal entry of Erik Merkel, one of the Marines who saved me. I’m grateful to them for saving my life and giving me the chance to continue serving. https://t.co/qxn38BpiAt</t>
  </si>
  <si>
    <t>1323052962818727938</t>
  </si>
  <si>
    <t>In addition to over 1.5 million voter contacts, in the last two months of our campaign, we have hosted over 200 events.
I want to thank all my staff, volunteers &amp;amp; interns for making our events possible. It has been an honor to earn your vote traveling across the Commonwealth.</t>
  </si>
  <si>
    <t>1323009398810251264</t>
  </si>
  <si>
    <t>Thank you Lynchburg! Now, let’s win this thing! #TakeBackVA￼ https://t.co/bqfzJfmten</t>
  </si>
  <si>
    <t>1322982392999665664</t>
  </si>
  <si>
    <t>Join our campaign tomorrow for our final Get Out The Vote event in Spotsylvania!
#TakeBackVA https://t.co/FdQMoCTICA</t>
  </si>
  <si>
    <t>1322975655533969410</t>
  </si>
  <si>
    <t>.@MarkWarnerVA https://t.co/sUDRFkkozv</t>
  </si>
  <si>
    <t>1322919265205391360</t>
  </si>
  <si>
    <t>"I think there are a lot of politicians, who just forget about Southwest and I just love it here. I love the people, I love the culture. I've been excited to spend a lot of my campaign here &amp;amp; so it's fun, it's really fun to be back."
Read moe👇🏻 https://t.co/n3gDEXke74</t>
  </si>
  <si>
    <t>1322574338135085057</t>
  </si>
  <si>
    <t>Unlike @MarkWarnerVA, I actually know how to shoot a gun. Last day to early vote and protect your 2nd Amendment. #TakeBackVA https://t.co/ZsnaLEBtPx</t>
  </si>
  <si>
    <t>1322556590252269568</t>
  </si>
  <si>
    <t>“I’m not a regular politician. I’m not a career politician. What I am is a career servant and yeah it might be risky in a political sense, but what’s more risky is just kicking the can down the road.”</t>
  </si>
  <si>
    <t>1322556588201250817</t>
  </si>
  <si>
    <t>Many Republicans are pushing to repeal and replace the Affordable Care Act, but Gade calls that “nonsense.”
“Any reform that I would ever back would protect people with pre-existing conditions, and work to bend the cost curve down," said Gade. https://t.co/RtIC9naBc2</t>
  </si>
  <si>
    <t>1322224027520421890</t>
  </si>
  <si>
    <t>Only in Washington DC is it normal for career politicians like @MarkWarnerVA to “vow” to fix an issue that’s been around for decades after they’ve been in office and had the opportunity to solve it for over 20 years. 🤦‍♂️ 
Must be 5 minutes till the election! #CareerPolitician https://t.co/QehC87WWly</t>
  </si>
  <si>
    <t>1322198223088422912</t>
  </si>
  <si>
    <t>Wow...Over 1.5 million voter contacts made by our campaign! I could not be more proud of the campaign’s field staff, volunteers and interns, who have worked tremendously hard over the past year. 
It has been an honor to work with each and everyone of you. Thank you.</t>
  </si>
  <si>
    <t>1322166365139144705</t>
  </si>
  <si>
    <t>Come join us at GOTV events across the Commonwealth everyday leading up to the election Tuesday, November 3rd! #TakeBackVA https://t.co/3SbeaKtpzQ</t>
  </si>
  <si>
    <t>1321969897551896576</t>
  </si>
  <si>
    <t>I have said repeatedly on the campaign trail I will always protect people with pre-existing conditions. I have one leg, obviously I will protect people with pre-existing conditions. #SmearCampaign https://t.co/HhEMcDQgnq</t>
  </si>
  <si>
    <t>1321932146597076992</t>
  </si>
  <si>
    <t>Everyone knows that restaurants have been “hard hit”. No kidding. But that’s why it’s insane that you voted against COVID relief. I guess your party demanded it?  
Your failure to act has further endangered Virginians. We need relief now. 
We can do better than @MarkWarnerVA. https://t.co/jYIaMXYA0C</t>
  </si>
  <si>
    <t>1321885078834892803</t>
  </si>
  <si>
    <t>America is well on her way to having a booming economy again. If @JoeBiden &amp;amp; @MarkWarnerVA are elected, they will raise taxes, export American jobs overseas &amp;amp; harm our economy. 
The next step is getting Virginians COVID relief, which Mark voted against. https://t.co/BEfLNtVYuZ</t>
  </si>
  <si>
    <t>1321862238261694467</t>
  </si>
  <si>
    <t>“Gade says if elected, he would only seek two terms. He also supports a constitutional amendment to put in place term limits for members of Congress.”
Read more here👇🏻 https://t.co/jjZEL7pu3J</t>
  </si>
  <si>
    <t>1321800219886059520</t>
  </si>
  <si>
    <t>It’s sad to see the hate &amp;amp; anger people have endured from supporting ACB. @girlscouts should be allowed to to support successful women without fear of backlash. We must do better as a nation.
Amy Coney Barrett will be a tremendous Supreme Court Justice. https://t.co/BXFalWluxx</t>
  </si>
  <si>
    <t>1321609899583983616</t>
  </si>
  <si>
    <t>SWVA is a major driver of Virginia’s economy &amp;amp; we need to ensure people can get back to work. 
@MarkWarnerVA voted down COVID relief, including more testing, tracing and vaccine funding. Now because of Congress’s lack of action, restrictions are looming. https://t.co/kJeGJsMtlr</t>
  </si>
  <si>
    <t>1321481731237728256</t>
  </si>
  <si>
    <t>Typical career politician. 
@MarkWarnerVA, you say we need to pass a COVID-19 relief package, but you voted against the last relief package. 
Saying one thing and doing another is exactly what Virginians are sick of in Washington. https://t.co/BZc3hpZnrQ</t>
  </si>
  <si>
    <t>1321195272312098822</t>
  </si>
  <si>
    <t>.@MarkWarnerVA, the de facto leaders of your party (the squad) want to pack the court. Your Senate buddies like @chuckschumer agree with them.  
Do you agree or disagree with your party? Or are you too afraid to say?https://t.co/sDHHfh6Djm</t>
  </si>
  <si>
    <t>1321147540985831424</t>
  </si>
  <si>
    <t>#Confirmed https://t.co/h3KcJWZwJF https://t.co/MFDmufuhYK</t>
  </si>
  <si>
    <t>1321073860373078017</t>
  </si>
  <si>
    <t>“Daniel Gade, Republican candidate for U.S. Senate, will discuss the pandemic, the economy, national security and other topics at 6 p.m. Tuesday in a town hall at James Madison University.”
Join me at my townhall @JMUCivic tonight!👇🏻#GoDukes https://t.co/0mW73ORxu4</t>
  </si>
  <si>
    <t>1320889733250252802</t>
  </si>
  <si>
    <t>Happy Birthday @HillaryClinton! In other news, congratulations to Amy Coney Barrett’s confirmation to the Supreme Court! #ACBconfirmation</t>
  </si>
  <si>
    <t>1320878118693937153</t>
  </si>
  <si>
    <t>Nevertheless, Justice Barrett—a trailblazer, role model and tremendous jurist—will serve America proudly as the newest member of the Court.</t>
  </si>
  <si>
    <t>1320878117704093699</t>
  </si>
  <si>
    <t>@MarkWarnerVA has flip-flopped on this process in a transparent effort to maintain his 100% party loyalty, first speaking out for confirmation in an election year and now speaking out against it.</t>
  </si>
  <si>
    <t>1320878116223463424</t>
  </si>
  <si>
    <t>I have no doubt Justice Amy Coney Barrett will be an outstanding member of the Supreme Court and I applaud the Senate’s swift confirmation process. https://t.co/RNz6tCsjeK</t>
  </si>
  <si>
    <t>1320717249909579776</t>
  </si>
  <si>
    <t>*Press Release*
Do-Nothing Senator @MarkWarnerVA With Another Baseless, Negative and Hypocritical Mailer
Read more👇🏻 https://t.co/DZXh7EGhZY</t>
  </si>
  <si>
    <t>1320103672131485697</t>
  </si>
  <si>
    <t>Another day, another false attack by @MarkWarnerVA. I take COVID extremely seriously. More than 210,000 people have died, but you voted against much needed relief that would have saved lives. 
There’s blood on your hands, not mine.
#VoteForRelief November 3rd. https://t.co/eAFwIqSjGB</t>
  </si>
  <si>
    <t>1320039563855802369</t>
  </si>
  <si>
    <t>Thank you to all the hardworking volunteers and interns who have knocked countless doors for our campaign. I am proud and honored to have your help! #TakeBackVA https://t.co/HQQC0Q7bRe</t>
  </si>
  <si>
    <t>1319809525457833985</t>
  </si>
  <si>
    <t>Ads funded by DC lobbyists👇🏻 https://t.co/X6QyTaGRFh</t>
  </si>
  <si>
    <t>1319779806729424897</t>
  </si>
  <si>
    <t>In Virginia, we call this a “@RalphNortham Special”. 
#DemocratHypocrites https://t.co/65IckbyoOZ</t>
  </si>
  <si>
    <t>1319719644316471298</t>
  </si>
  <si>
    <t>“@MarkWarnerVA voted [COVID relief] down because his party told him to,” said Gade. “And now Virginia families are suffering because their Senator chose to vote no on something that’s common sense.”
Read more here👇🏻 https://t.co/tOqR65iyE3</t>
  </si>
  <si>
    <t>1319674351856254976</t>
  </si>
  <si>
    <t>.@MarkWarnerVA, where were you when @BarackObama built the cages? https://t.co/U15Ln6RLOb https://t.co/FeFvbj3Lz7</t>
  </si>
  <si>
    <t>1319632808562876418</t>
  </si>
  <si>
    <t>Join me for our meet &amp;amp; greets this weekend! #TakeBackVA https://t.co/J0wAZCdqQb</t>
  </si>
  <si>
    <t>1319404574759915521</t>
  </si>
  <si>
    <t>U.S. Senate Candidate Daniel Gade labels @MarkWarnerVA a limousine liberal, who has been in Washington too long, in new TV ad.
Read more here👇🏻 https://t.co/4h7PkHQyfN</t>
  </si>
  <si>
    <t>1319321533081419781</t>
  </si>
  <si>
    <t>.@MarkWarnerVA, a limousine liberal worth over $200,000,000.
He voted down #COVID relief for Virginia families.
He has taken $689,000 from big Pharma.
He defunded the police by $50 million as Governor.
This limousine liberal has been in Washington too long.
Watch my new ad👇🏻 https://t.co/zJExIAOKkp</t>
  </si>
  <si>
    <t>1319272776046235655</t>
  </si>
  <si>
    <t>“The surge in donations is because Virginians are backing our grassroots campaign and see this is a competitive race,” Gade said. “Money’s coming in, polls are tightening and we are going to win in November.”
Read more👇🏻 https://t.co/OB6CyFtrDx</t>
  </si>
  <si>
    <t>1319061444009336833</t>
  </si>
  <si>
    <t>“What we need to do is understand this is not a time for partisan bickering. This is a time to get the work done for the people of Virginia. So I’m really disappointed in @MarkWarnerVA for failing to do that."</t>
  </si>
  <si>
    <t>1319061442402897921</t>
  </si>
  <si>
    <t>“I think what our elected leaders should do is pass a relief that’s necessary for the American people," Gade said.</t>
  </si>
  <si>
    <t>1319061434425348100</t>
  </si>
  <si>
    <t>"The coronavirus is incredibly important. It’s a dangerous disease and thousands of Virginians have died, 200,000 plus Americans have died. Yet what we see from Congress is perpetual bickering and partisan fighting and I hate it.”
Read more👇🏻 https://t.co/TQJ8gVc36l</t>
  </si>
  <si>
    <t>1319040267199107072</t>
  </si>
  <si>
    <t>Another day, another falsehood from @MarkWarnerVA. 
When you don’t have a record to run on, all you can do is attack. 
Judge, soon to be Justice Barrett is a tremendous jurist, mother and role model. 
America will be lucky to have her on the Supreme Court. 
#FillThatSeat https://t.co/bH7HHosLpV</t>
  </si>
  <si>
    <t>1318942657557778433</t>
  </si>
  <si>
    <t>Another day, another false negative attack mailer from @MarkWarnerVA. Let me repeat again: I will never eliminate protections for people with pre-existing conditions. After all, that’s me. https://t.co/8jfFzSzPZ1</t>
  </si>
  <si>
    <t>1318913090562424838</t>
  </si>
  <si>
    <t>After sacrificing his entire right leg in Iraq, U.S. Senate candidate Daniel Gade opens up about having over 40 surgeries in recovery &amp;amp; slams @MarkWarnerVA for profiting off American’s pain by taking $689,000 from big Pharma in new TV ad.
Watch here👇🏻 https://t.co/7ejPacDH6r</t>
  </si>
  <si>
    <t>1318704518234820611</t>
  </si>
  <si>
    <t>I gave my leg in Iraq &amp;amp; have had over 40 surgeries.
@MarkWarnerVA claims to care about our healthcare, but took $689,000 from big Pharma. 
I will always fight for affordable healthcare, prescription drugs &amp;amp; to protect people with pre-existing conditions. 
Watch my new ad👇🏻 https://t.co/sA840GUv9O</t>
  </si>
  <si>
    <t>1318644202759163907</t>
  </si>
  <si>
    <t>This disgusting behavior is what we expect to come from @TheDemocrats. 
@MarkWarnerVA, care to comment? https://t.co/eZBO1lRcIS</t>
  </si>
  <si>
    <t>1318610709287153666</t>
  </si>
  <si>
    <t>Flip Mark: “COVID-19 is important. We need to do something!”
*Votes against COVID-19 relief*
Flop Mark: “COVID-19 relief long overdue.”
@MarkWarnerVA, your dishonesty is shameful. The time has come to vote you out. https://t.co/y9hQdxpxsS</t>
  </si>
  <si>
    <t>1318592562270248960</t>
  </si>
  <si>
    <t>“Democrats just started lit dropping, so we are confident we are going to have a strong advantage on the ground.”</t>
  </si>
  <si>
    <t>1318592561083199489</t>
  </si>
  <si>
    <t>“I am extremely proud of the dedicated Gade campaign volunteers and interns we have. Our door-knockers are wearing masks, walking back a couple of feet after they knock and following campaign guidelines.”
Read more👇🏻 https://t.co/iNbGVA7Fx2</t>
  </si>
  <si>
    <t>1318325132365004800</t>
  </si>
  <si>
    <t>Our campaign is the only Senate campaign that outraised their incumbent Democrat opponent in Q3. 
Thank you, Virginia.</t>
  </si>
  <si>
    <t>1318255568541392896</t>
  </si>
  <si>
    <t>Gade remarked, “Virginians are suffering right now, and @MarkWarnerVA is such a swamp creature that he voted with his party against COVID relief like his party told him to… He voted against COVID relief for Virginia families.”
Read here👇🏻 https://t.co/DMMnbhkX1n</t>
  </si>
  <si>
    <t>1318230499610009607</t>
  </si>
  <si>
    <t>Outraised @MarkWarnerVA? ✅ https://t.co/pQQH6aV2c6</t>
  </si>
  <si>
    <t>1318222865905471493</t>
  </si>
  <si>
    <t>You lie about my stance on pre-existing conditions.
You lie about caring for Virginia during COVID, and even voted against relief for Virginia families. 
Virginia can’t trust your word. https://t.co/I0QuAkGsJI</t>
  </si>
  <si>
    <t>1318214908593528832</t>
  </si>
  <si>
    <t>“Mark’s false negative attacks are a clear indicator he’s feeling the pressure. This is a competitive race and I am honored by all the support we have.”
Read more👇🏻 https://t.co/9yFUc0SRIE</t>
  </si>
  <si>
    <t>1318214907528097792</t>
  </si>
  <si>
    <t>Daniel Gade On Out Raising His Opponent in Q3:
“The polls are tightening, we are out raising @MarkWarnerVA &amp;amp; there is something special happening here in the Commonwealth. With 15 days to go until November 3rd, I am extremely confident our campaign is going to shock the nation.”</t>
  </si>
  <si>
    <t>1318178607320256513</t>
  </si>
  <si>
    <t>Which Democrats got outraised? Just a few: @MarkWarnerVA of Virginia phoned it in against a little-known Republican opponent (Warner grabbed $2.2 million to Daniel Gade's $2.5 million)
Read more👇🏻 https://t.co/dPRqfWRZyF</t>
  </si>
  <si>
    <t>1317881634440515584</t>
  </si>
  <si>
    <t>“Only in Washington is not getting everything you want justification for not giving anything to your constituents. Virginia deserves better from its leaders.”
Read our presser here👇🏻 https://t.co/qsZQRe1Wtv</t>
  </si>
  <si>
    <t>1317881633169616898</t>
  </si>
  <si>
    <t>Statement of Daniel Gade on @MarkWarnerVA Denying COVID Relief:
“Virginia families are suffering more today than they have in over a decade. Parents are out of work, kids are out of school and our economy &amp;amp; healthcare systems are being strained. We need relief now.”</t>
  </si>
  <si>
    <t>1317822026267099136</t>
  </si>
  <si>
    <t>“Gade believes he’d be a better advocate for Virginians still trying to recover from the pandemic’s economic effects. He chastised @MarkWarner for his vote against a recent relief bill.”
Read more about my Danville stop 👇🏻
https://t.co/NV7JDEpEPR</t>
  </si>
  <si>
    <t>1317596534993768450</t>
  </si>
  <si>
    <t>**Press Release**
Daniel Gade Blasts @MarkWarnerVA’s Second False ACA Mailer
https://t.co/kurS6CLHVZ</t>
  </si>
  <si>
    <t>1317577315170373633</t>
  </si>
  <si>
    <t>Daniel Gade Blasts @MarkWarnerVA False ACA Mailer 👇🏻 https://t.co/Vk8XM7liEd</t>
  </si>
  <si>
    <t>1317487950511353857</t>
  </si>
  <si>
    <t>Our hearts and prayers are with our fellow Virginians in Harrisonburg and the first responders in harm’s way.
https://t.co/4XGtTx2qdN</t>
  </si>
  <si>
    <t>1317281260172136448</t>
  </si>
  <si>
    <t>Thank you @VBYR for everything you do! #TakeBackVA https://t.co/o028HzkE7A</t>
  </si>
  <si>
    <t>1317260316418428929</t>
  </si>
  <si>
    <t>@SPKF1nae To serve the Constitution.  But it’s a good question!</t>
  </si>
  <si>
    <t>1317133854172418048</t>
  </si>
  <si>
    <t>There can’t be one set of rules for politicians and their family, and another set of rules for us. If @JoeBiden was complicit, he needs to answer serious questions. https://t.co/EFNJKo2snC
This is another reason why we must pass the SIT Act. https://t.co/edAW9Oi4FK</t>
  </si>
  <si>
    <t>1317090555961200640</t>
  </si>
  <si>
    <t>“Gade said he was encouraged by the support he’s received from independent voters and said he knows they will make a big difference in the election results.”
Read more👇🏻 https://t.co/6x91BMkCsu</t>
  </si>
  <si>
    <t>1316915096573140992</t>
  </si>
  <si>
    <t>👋🏻 Hey @MarkWarnerVA, remember when I said this about a thousand times. 2014 called; wants its campaign back. https://t.co/ZjZUGyrKV8</t>
  </si>
  <si>
    <t>1316886765031067650</t>
  </si>
  <si>
    <t>“Every time you pull the Mark Warner string, he says I’m for repealing the ACA,” Gade said. “And I’ve never said that. I’m not for it. We need to upgrade the ACA.”</t>
  </si>
  <si>
    <t>1316886764070555648</t>
  </si>
  <si>
    <t>“Gade compared Warner to a windup doll with only one line as he fended off the jabs, saying he did not support the “nonsense idea” of repealing the health-care legislation known as Obamacare.” https://t.co/xejPOis3bQ</t>
  </si>
  <si>
    <t>1316886762808107010</t>
  </si>
  <si>
    <t>.@MarkWarnerVA continues to spew baseless lies in his latest negative attack mailer. I am not for repealing the ACA. We must protect people with pre-existing conditions, lower drug prices and expand HSAs.
Don’t take my word for it, even the liberal @washingtonpost has confirmed. https://t.co/Yktkf5VA6n</t>
  </si>
  <si>
    <t>1316813315692285966</t>
  </si>
  <si>
    <t>“Independents even are coming over 2-to-1 once they hear about me,” Gade said. “And that’s very exciting.”
Read more here👇🏻 https://t.co/k0ogiCgJHH</t>
  </si>
  <si>
    <t>1316744363586785281</t>
  </si>
  <si>
    <t>Opioid addiction is one of the biggest threats America faces.
I know firsthand what it’s like to be addicted, then recover.
We need to fully fund recovery; crackdown on pill mills; secure borders &amp;amp; ports to eliminate illicit synthetics.
Watch my story from the #VASenateDebate https://t.co/x2ikJzCaFE</t>
  </si>
  <si>
    <t>1316520245692162049</t>
  </si>
  <si>
    <t>Join me for our next meet &amp;amp; greets! #TakeBackVA https://t.co/qR4EzazVND</t>
  </si>
  <si>
    <t>1316444032567062530</t>
  </si>
  <si>
    <t>“It’s sad that @MarkWarnerVA is so ashamed of the police. First he defunded them by $50 million as Governor &amp;amp; now he is photoshopping them out of his campaign. Mark says he wants police reform, but voted against it because it was ‘token legislation.’” https://t.co/T2fqLkExZG</t>
  </si>
  <si>
    <t>1316363534234800137</t>
  </si>
  <si>
    <t>“When @MarkWarnerVA says he’s going to work across the aisle, what we really see is him retreating to his partisan positions. He votes with his party 95% of the time when it’s not an election year &amp;amp; he gets bipartisan only in an election year.”
Read more👇🏻https://t.co/VuQRAtBLFd</t>
  </si>
  <si>
    <t>1316193890198786049</t>
  </si>
  <si>
    <t>“@MarkWarnerVA has spent his entire political career voting how his DC lobbyists demand. We have closed the polls from a 22 point lead to a 7 point lead, despite being outspent 5 to 1. Virginians desperately want new perspectives &amp;amp; new leadership in VA.”https://t.co/ETAsWyjuKD</t>
  </si>
  <si>
    <t>1316165281920757761</t>
  </si>
  <si>
    <t>👋🏻Just in case you forgot, @MarkWarnerVA!
#VASenateDebate https://t.co/GrwzWwSVl5 https://t.co/9Cy0oxvdcr</t>
  </si>
  <si>
    <t>1316164823143587851</t>
  </si>
  <si>
    <t>🚨Reminder🚨
@VAPBA Flipped their endorsement from him to me.
#VASenateDebate</t>
  </si>
  <si>
    <t>1316164712351100928</t>
  </si>
  <si>
    <t>FLIP @MarkWarnerVA: “I do not support defunding police.”
FLOP Mark as Governor in 02’: *Defunds police by $50 million dollars in budget*
#VASenateDebate</t>
  </si>
  <si>
    <t>1316163385596284928</t>
  </si>
  <si>
    <t>Gade: “I would vote to confirm ACB. She is the exact person we need on the court.”
#VASenateDebate</t>
  </si>
  <si>
    <t>1316161891320967168</t>
  </si>
  <si>
    <t>FLIP Mark 2016: “Garland deserves hearing &amp;amp; an up-or-down vote.”
FLOP Mark 2020: “ACB doesn’t deserve a hearing.”
@MarkWarnerVA, #DoYourJob 
#VASenateDebate</t>
  </si>
  <si>
    <t>1316160448866267136</t>
  </si>
  <si>
    <t>FLIP @MarkWarnerVA: Says he wants to lower insulin prices.
FLOP Mark: Takes over $600 thousand dollars from Big Pharma, including from the 3 biggest insulin makers.
#VASenateDebate</t>
  </si>
  <si>
    <t>1316157829934460928</t>
  </si>
  <si>
    <t>Gade’s 3-ways to improve healthcare:
✅Protect people with pre-existing conditions (like me)
✅Expand HSAs
✅Price transparency
#VASenateDebate</t>
  </si>
  <si>
    <t>1316156069345976322</t>
  </si>
  <si>
    <t>Gade: “I will never vote for any bill that doesn't protect people with pre-existing conditions - it’s a nonstarter. I myself have a pre-existing condition and have fought on the @NatCounDis to protect society's most vulnerable.”
#VASenateDebate</t>
  </si>
  <si>
    <t>1316155442494611460</t>
  </si>
  <si>
    <t>👋@MarkWarnerVA just a friendly reminder, you voted against a much-needed COVID relief package for Virginia families &amp;amp; children because your party bosses told you to.
#VASenateDebate</t>
  </si>
  <si>
    <t>1316154478983352321</t>
  </si>
  <si>
    <t>.@MarkWarnerVA you can’t say COVID is important and then vote against:
$105 Billion to reopen schools
$258 Billion for a 2nd round of protection for PPP
$31 Billion against a COVID vaccine
$16 Billion for testing
#VASenateDebate</t>
  </si>
  <si>
    <t>1316153810767806465</t>
  </si>
  <si>
    <t>Only in Washington is not getting everything you want a reason for not giving anything to your constituents. Welcome to the real world, @MarkWarnerVA. We need relief now. 
#VASenateDebate</t>
  </si>
  <si>
    <t>1316153357518671877</t>
  </si>
  <si>
    <t>FLIP @MarkWarnerVA: Says he’s against off-shore drilling.
FLOP Mark: My Great American Outdoors Act is funded by royalties from off-shore drilling.
#VASenateDebate</t>
  </si>
  <si>
    <t>1316152715362394112</t>
  </si>
  <si>
    <t>Virginians deserve a career servant with a fresh perspective, not the same old failed leadership. 
#VASenateDebate</t>
  </si>
  <si>
    <t>1316152714276073473</t>
  </si>
  <si>
    <t>I know what it takes to keep America safe. I am running because @MarkWarnerVA doesn’t know how to keep us safe.
✖️Voted against COVID relief
💊Took $600k in donations from big pharma 
🚔Defunded police by $50 million as Governor</t>
  </si>
  <si>
    <t>1316148782564872193</t>
  </si>
  <si>
    <t>Join me live for the @AARPVa’s The People’s Debate! #VASenateDebate
Watch here: https://t.co/fJWJE5sTAn https://t.co/ELHdqOjy5L</t>
  </si>
  <si>
    <t>1316122067809566721</t>
  </si>
  <si>
    <t>I’d vote to confirm Amy Coney Barrett, @MarkWarnerVA will not. #FillThatSeat https://t.co/VECWVhx68f</t>
  </si>
  <si>
    <t>1316097534302007296</t>
  </si>
  <si>
    <t>Shocker: career politician endorsing a career politician. I am running for the Senate because Virginians deserve a new, fresh perspective, not the same old people making our Commonwealth worse. The same old leadership has failed us. https://t.co/Qxhc3LjHRD</t>
  </si>
  <si>
    <t>1316058411981828096</t>
  </si>
  <si>
    <t>Just remember when you see @MarkWarnerVA's TV ad attacking me about masks, he believes there are a different set of rules for politicians. 
Watch here👇 https://t.co/YXlIb60SjC</t>
  </si>
  <si>
    <t>1315773956461391872</t>
  </si>
  <si>
    <t>“Read it over and I believe you will agree that Mr. Gade deserves more than a gratuitous handshake. Let's give him our votes. He has certainly earned them.”
Read more👇🏻 https://t.co/mZiwFeOvZL</t>
  </si>
  <si>
    <t>1315704436136775681</t>
  </si>
  <si>
    <t>Hey @MarkWarnerVA, are you that ashamed of the Virginia State Police that you photoshopped off their logo from your jacket on your campaign website? First defunding the police as Governor, now this? https://t.co/69Zxcmnwcp</t>
  </si>
  <si>
    <t>1315385579673182210</t>
  </si>
  <si>
    <t>.@MarkWarnerVA, who are you trying to fool? You voted against COVID relief funding.... you had your chance to help Virginia families, and you failed. https://t.co/6xLi7HMZPH</t>
  </si>
  <si>
    <t>1314670757855801346</t>
  </si>
  <si>
    <t>@Christine_Brim @RichHiggins_DC Absurd.</t>
  </si>
  <si>
    <t>1314579445299195906</t>
  </si>
  <si>
    <t>“This is a winnable race y’all,” Gade said. “I can win this race, and I can send @MarkWarnerVA packing with your help.”
Read more👇🏻 https://t.co/fjQzTxtvGa</t>
  </si>
  <si>
    <t>1314360207221370880</t>
  </si>
  <si>
    <t>“After watching the recent debate between Republican candidate Daniel Gade and @MarkWarnerVA, it became clear to me that Gade had Warner struggling to uphold his old record.”
Read more👇🏻 https://t.co/Vzfaukw9tf</t>
  </si>
  <si>
    <t>1314217306722111488</t>
  </si>
  <si>
    <t>“In both the debates and in his most recent TV ad, [Gade] excoriates @MarkWarnerVA for abandoning his pledge to serve only two terms in office as well as his failure to vote for the coronavirus relief package in the Senate.”
Read more👇🏻 https://t.co/TlytvK1KzN</t>
  </si>
  <si>
    <t>1314028814125748224</t>
  </si>
  <si>
    <t>Hey @MarkWarnerVA, will you pack the Supreme Court?  You always go with your party on everything else. #VPDebate</t>
  </si>
  <si>
    <t>1313600205061840896</t>
  </si>
  <si>
    <t>“Jefferson is a bedrock of Virginia and American history. He was the third President of the United States and plays a pivotal role in explaining the creation of our democracy. I support [Ryan’s] decision to keep him a part of UVA.”
Read more 👇🏻 https://t.co/dYIlpvM2Pp</t>
  </si>
  <si>
    <t>1313577703417806848</t>
  </si>
  <si>
    <t>👏🏻You 👏🏻voted 👏🏻against👏🏻the 👏🏻package👏🏻, Mark. https://t.co/2lghLy5h2V</t>
  </si>
  <si>
    <t>1313465901056917505</t>
  </si>
  <si>
    <t>**Press Release**
In mailers, at events &amp;amp; during the debates, @MarkWarnerVA has repeatedly attacked his opponent and Virginians for not wearing masks. It seems there is one set of rules for career politicians and another for the rest of Americans.
Read👇🏻https://t.co/5cnxZEP3St</t>
  </si>
  <si>
    <t>1313278982800973825</t>
  </si>
  <si>
    <t>.@MarkWarnerVA: “I actually believe wearing this mask is a sign of respect.”
Also Mark: “5 second rule!” 🌭 
#FlipFlopMark #VASenateDebate https://t.co/uEuuiSS39V</t>
  </si>
  <si>
    <t>1313264996898537472</t>
  </si>
  <si>
    <t>FLIP Mark 2016: “Garland deserves hearing &amp;amp; an up-or-down vote.”
FLOP Mark 2020: “ACB doesn’t deserve a hearing.”
@MarkWarnerVA, I guess consistency is a weak spot?
#DoYourJob #VASenateDebate</t>
  </si>
  <si>
    <t>1313260568116178946</t>
  </si>
  <si>
    <t>FLIP @MarkWarnerVA: “Let’s fix COVID!”
FLOP Mark: *Votes against COVID relief*
#VASenateDebate</t>
  </si>
  <si>
    <t>1313256744760508416</t>
  </si>
  <si>
    <t>Gade on improvements to America’s healthcare:
✅Protect people with pre-existing conditions (like me)
✅Expand HSAs
✅Price transparency
#VASenateDebate</t>
  </si>
  <si>
    <t>1313254474543255552</t>
  </si>
  <si>
    <t>Gade on @MarkWarnerVA voting against COVID relief: “Only in Washington is not getting everything you want a reason for not doing anything.”
#VASenateDebate</t>
  </si>
  <si>
    <t>1313253370883432448</t>
  </si>
  <si>
    <t>.@MarkWarnerVA says he wants to lower insulin prices, but took over $600 thousand dollars from Big Pharma (including the 3 biggest insulin manufacturers). 
#VASenateDebate</t>
  </si>
  <si>
    <t>1313252575551029253</t>
  </si>
  <si>
    <t>.@MarkWarnerVA says he got into public service "to get stuff done". Truth is Mark got into politics over 40 years years ago as a staffer on the Hill to start a lifelong career in politics. He said he'd only serve 2 terms. Now he's running for his 3rd. Times up 
#VASenateDebate</t>
  </si>
  <si>
    <t>1313194617618214915</t>
  </si>
  <si>
    <t>.@MarkWarnerVA loves to attack Virginia citizens for not wearing a mask calling it “irresponsible”, I guess the rules are different for career politicians.
CC: @vademocrats
#HypocriteMark https://t.co/Xr0sPh3XUD</t>
  </si>
  <si>
    <t>1313168531811454976</t>
  </si>
  <si>
    <t>.@MarkWarnerVA said he would only serve two terms, now he’s running for a third. 
Mark says he wants to help Virginia families, but voted against much needed COVID relief. 
Career politicians like Mark have broken promises to us on every major issue.
Watch my new TV Ad👇🏻 https://t.co/PWbmdXiYBS</t>
  </si>
  <si>
    <t>1312825396916822017</t>
  </si>
  <si>
    <t>Gade vigorously defended school choice, saying, “The most systemically failing thing for Black families is the fact that far too often they are trapped with no recourse in schools that are nasty and that are actually failing."
Read more👇 https://t.co/CnEfPsfuYy</t>
  </si>
  <si>
    <t>1312782156305965057</t>
  </si>
  <si>
    <t>Cape Henry Trail at First Landing State Park! Are you going to join us next time?! https://t.co/labqkW1cms</t>
  </si>
  <si>
    <t>1312771744986431496</t>
  </si>
  <si>
    <t>“As governor in 2002 … @MarkWarnerVA appointed a known segregationist named [Bradley B. Cavedo] to the 13th district. … So don’t preach to me about what I need to say. You need to talk about your own actions.”
More on my debate victory: https://t.co/nyjk4B3Egr</t>
  </si>
  <si>
    <t>1312563386572509187</t>
  </si>
  <si>
    <t>“Gade blasted @MarkWarnerVA for voting against the Republicans' past relief package when so many people were in need.”
Read more about my debate victory here: https://t.co/LaYHwgCCmn</t>
  </si>
  <si>
    <t>1312541018500333568</t>
  </si>
  <si>
    <t>@mechelleh DM me if you’d like a comment.</t>
  </si>
  <si>
    <t>1312540857996906496</t>
  </si>
  <si>
    <t>@mechelleh Cavedo, appointed by Democratic Governor Mark Warner in 2002, added: “This is a revolution.”
https://t.co/u15VCrJtVM</t>
  </si>
  <si>
    <t>1312539564137996295</t>
  </si>
  <si>
    <t>Mark refused to answer the question during the #VASenateDebate, let’s answer for him. 
Will @MarkWarnerVA pack the Supreme Court?</t>
  </si>
  <si>
    <t>1312524348297633792</t>
  </si>
  <si>
    <t>.@MarkWarnerVA says he got into public service "to get stuff done". Truth is Mark got into politics over 40 years years ago as a staffer on the Hill to start a lifelong career in politics. He said he'd only serve 2 terms. Now he's running for his 3rd. Times up #VASenateDebate</t>
  </si>
  <si>
    <t>1312522724909092864</t>
  </si>
  <si>
    <t>.@MarkWarnerVA, will you commit to not packing the Supreme Court?
#VASenateDebate</t>
  </si>
  <si>
    <t>1312522333463015424</t>
  </si>
  <si>
    <t>1312519866100805632</t>
  </si>
  <si>
    <t>🚨REMINDER🚨
Richmond Judge @MarkWarnerVA Appointed on Instant voter registration:
“This scheme will allow the parasites of this nation to become the dominating force in politics,”
"They soak billions from the government."
#VASenateDebate</t>
  </si>
  <si>
    <t>1312515281701408769</t>
  </si>
  <si>
    <t>1312514384380358659</t>
  </si>
  <si>
    <t>1312514005680832512</t>
  </si>
  <si>
    <t>1312512779715108864</t>
  </si>
  <si>
    <t>1312509487907889152</t>
  </si>
  <si>
    <t>.@MarkWarnerVA says we need to end qualified immunity, but hasn’t done anything in 20+ years. 
#TypicalCareerPolitican #VASenateDebate</t>
  </si>
  <si>
    <t>1312507228591587328</t>
  </si>
  <si>
    <t>.@MarkWarnerVA do your homework. https://t.co/nFIyehQqmr</t>
  </si>
  <si>
    <t>1312506652357140480</t>
  </si>
  <si>
    <t>FLIP @MarkWarnerVA: “I do not support defunding the police.”
FLOP Mark: Defunded police by $50 million as Governor
#VASenateDebate</t>
  </si>
  <si>
    <t>1312505206593056769</t>
  </si>
  <si>
    <t>Read more here👇
https://t.co/u15VCs14Nk
#VASenateDebate</t>
  </si>
  <si>
    <t>1312505203665428481</t>
  </si>
  <si>
    <t>FLIP @MarkWarnerVA says we need to fix racism. 
FLOP Mark appointed a segregationist judge who blocked the removal of confederate monuments &amp;amp; called voter registration programs a scheme that “will allow the parasites of this nation to become the dominating force in politics.”</t>
  </si>
  <si>
    <t>1312504943295651840</t>
  </si>
  <si>
    <t>Gade on Charlottesville: “Leaders have a responsibility to speak clearly, so let me speak clearly: I disavow white supremacy and racism. It has no place in our society.” 
#VASenateDebate</t>
  </si>
  <si>
    <t>1312503923194830848</t>
  </si>
  <si>
    <t>.@MarkWarnerVA I’ve said repeatedly I wear masks when necessary, but explain why you voted against much-needed relief for Virginia families. 
#VASenateDebate</t>
  </si>
  <si>
    <t>1312502876334219264</t>
  </si>
  <si>
    <t>.@MarkWarnerVA says he is concerned about protecting people from COVID, but voted down much-needed relief for Virginians, additional testing &amp;amp; extra unemployment benefits? 
#VASenateDebate</t>
  </si>
  <si>
    <t>1312502451841298432</t>
  </si>
  <si>
    <t>I am honored to be @Norfolkstate for it’s first Senatorial debate. 
Debates and the free exchange of ideas are critical to our democracy. 
I am looking forward to a robust conversation. 
#VASenateDebate</t>
  </si>
  <si>
    <t>1312500594427351041</t>
  </si>
  <si>
    <t>Follow me for live tweets of the 2nd #VASenateDebate</t>
  </si>
  <si>
    <t>1312497877499822080</t>
  </si>
  <si>
    <t>Pre-debate with @Norfolkstate &amp;amp; @VABarAssn! Tune in at 5:00pm to https://t.co/jbXb14Iful https://t.co/mBWlbIvc7F</t>
  </si>
  <si>
    <t>1312455759926489088</t>
  </si>
  <si>
    <t>Tune in at 5:00 PM to https://t.co/jbXb14Iful to live stream our second US Senate debate!
#VASenateDebate</t>
  </si>
  <si>
    <t>Votes for Joseph Biden</t>
  </si>
  <si>
    <t>Votes for Donald Trump</t>
  </si>
  <si>
    <t>Winning margin</t>
  </si>
  <si>
    <t>Alabama</t>
  </si>
  <si>
    <t>834,533 (36.4%)</t>
  </si>
  <si>
    <t>1,430.589 (62.5%)</t>
  </si>
  <si>
    <t>Alaska</t>
  </si>
  <si>
    <t>115,047 (40.2%)</t>
  </si>
  <si>
    <t>160,145 (55.9%)</t>
  </si>
  <si>
    <t>Arizona</t>
  </si>
  <si>
    <t>1,663,460 (49.4%)</t>
  </si>
  <si>
    <t>1,651,923 (49.1%)</t>
  </si>
  <si>
    <t>Arkansas</t>
  </si>
  <si>
    <t>417,897 (34.6%)</t>
  </si>
  <si>
    <t>755,815 (62.6%)</t>
  </si>
  <si>
    <t>California</t>
  </si>
  <si>
    <t>10,369,252 (64.1%)</t>
  </si>
  <si>
    <t>5,460,239 (33.8%)</t>
  </si>
  <si>
    <t>Colorado</t>
  </si>
  <si>
    <t>1,753,416 (55.3%)</t>
  </si>
  <si>
    <t>1,335,253 (42.1%)</t>
  </si>
  <si>
    <t>Connecticut</t>
  </si>
  <si>
    <t>1,079,223 (59.3%)</t>
  </si>
  <si>
    <t>713,778 (39.2%)</t>
  </si>
  <si>
    <t>Delaware</t>
  </si>
  <si>
    <t>295,403 (58.8%)</t>
  </si>
  <si>
    <t>199,829 (39.8%)</t>
  </si>
  <si>
    <t>Florida</t>
  </si>
  <si>
    <t>5,284,453 (47.9%)</t>
  </si>
  <si>
    <t>5,658,847 (51.2%)</t>
  </si>
  <si>
    <t>Georgia</t>
  </si>
  <si>
    <t>2,471,918 (49.5%)</t>
  </si>
  <si>
    <t>2,457,846 (49.2%)</t>
  </si>
  <si>
    <t>Hawaii</t>
  </si>
  <si>
    <t>365,802 (63.7%)</t>
  </si>
  <si>
    <t>196,6002 (34.3%)</t>
  </si>
  <si>
    <t>Idaho</t>
  </si>
  <si>
    <t>286,991 (33.1%)</t>
  </si>
  <si>
    <t>554,019 (63.9%)</t>
  </si>
  <si>
    <t>Illinois</t>
  </si>
  <si>
    <t>3,056,219 (55.8%)</t>
  </si>
  <si>
    <t>2,216,566 (42.3%)</t>
  </si>
  <si>
    <t>Indiana</t>
  </si>
  <si>
    <t>1,239,401 (41%)</t>
  </si>
  <si>
    <t>1,725,723 (57.1%)</t>
  </si>
  <si>
    <t>Iowa</t>
  </si>
  <si>
    <t>758,352 (45%)</t>
  </si>
  <si>
    <t>897,140 (53.2%)</t>
  </si>
  <si>
    <t>Kansas</t>
  </si>
  <si>
    <t>551,144 (41.3%)</t>
  </si>
  <si>
    <t>752,903 (56.5%)</t>
  </si>
  <si>
    <t>Kentucky</t>
  </si>
  <si>
    <t>772,285 (36.2%)</t>
  </si>
  <si>
    <t>1,326,418 (62.1%)</t>
  </si>
  <si>
    <t>Louisiana</t>
  </si>
  <si>
    <t>855,597 (39.8%)</t>
  </si>
  <si>
    <t>1,255,481 (58.5%)</t>
  </si>
  <si>
    <t>Maine</t>
  </si>
  <si>
    <t>430,023 (52.9%)</t>
  </si>
  <si>
    <t>359,502 (44.2%)</t>
  </si>
  <si>
    <t>Maryland</t>
  </si>
  <si>
    <t>1,766,966 (64.7%)</t>
  </si>
  <si>
    <t>914,804 (33.5%)</t>
  </si>
  <si>
    <t>Massachusetts</t>
  </si>
  <si>
    <t>2,316,338 (65.6%)</t>
  </si>
  <si>
    <t>1,148,777 (32.6%)</t>
  </si>
  <si>
    <t>Michigan</t>
  </si>
  <si>
    <t>2,790,648 (50.6%)</t>
  </si>
  <si>
    <t>2,644,525 (47.9%)</t>
  </si>
  <si>
    <t>Minnesota</t>
  </si>
  <si>
    <t>1,718,683 (52.6%)</t>
  </si>
  <si>
    <t>1,485,254 (45.4%)</t>
  </si>
  <si>
    <t>Mississippi</t>
  </si>
  <si>
    <t>440,284 (38.8%)</t>
  </si>
  <si>
    <t>677,218 (59.7%)</t>
  </si>
  <si>
    <t>Missouri</t>
  </si>
  <si>
    <t>1,242,851 (41.3%)</t>
  </si>
  <si>
    <t>1,711,848 (56.9%)</t>
  </si>
  <si>
    <t>Montana</t>
  </si>
  <si>
    <t>243,719 (40.6%)</t>
  </si>
  <si>
    <t>341,767 (56.9%)</t>
  </si>
  <si>
    <t>Nebraska</t>
  </si>
  <si>
    <t>367,919 (30.2%)</t>
  </si>
  <si>
    <t>550,202 (58.7%)</t>
  </si>
  <si>
    <t>Nevada</t>
  </si>
  <si>
    <t>671,955 (50.2%)</t>
  </si>
  <si>
    <t>635,089 (47.5%)</t>
  </si>
  <si>
    <t>New Hampshire</t>
  </si>
  <si>
    <t>423,291 (52.8%)</t>
  </si>
  <si>
    <t>365,373 (45.6%)</t>
  </si>
  <si>
    <t>New Jersey</t>
  </si>
  <si>
    <t>2,353,229 (57.4%)</t>
  </si>
  <si>
    <t>1,698,261 (41.4%)</t>
  </si>
  <si>
    <t>New Mexico</t>
  </si>
  <si>
    <t>496,826 (54.2%)</t>
  </si>
  <si>
    <t>400,095 (43.6%)</t>
  </si>
  <si>
    <t>New York</t>
  </si>
  <si>
    <t>3,732,369 (55.8%)</t>
  </si>
  <si>
    <t>2,869,072 (42.9%)</t>
  </si>
  <si>
    <t>North Carolina</t>
  </si>
  <si>
    <t>2,664,380 (48.7%)</t>
  </si>
  <si>
    <t>2,737,5990 (50.1%)</t>
  </si>
  <si>
    <t>North Dakota</t>
  </si>
  <si>
    <t>114,902 (31.9%)</t>
  </si>
  <si>
    <t>235,595 (65.5%)</t>
  </si>
  <si>
    <t>Ohio</t>
  </si>
  <si>
    <t>2,603,731 (45.2%)</t>
  </si>
  <si>
    <t>3,074,418 (53.4%)</t>
  </si>
  <si>
    <t>Oklahoma</t>
  </si>
  <si>
    <t>503,289 (32.3%)</t>
  </si>
  <si>
    <t>1,018,870 (65.4%)</t>
  </si>
  <si>
    <t>Oregon</t>
  </si>
  <si>
    <t>1,304,536 (57%)</t>
  </si>
  <si>
    <t>928,706 (40.6%)</t>
  </si>
  <si>
    <t>Pennsylvania</t>
  </si>
  <si>
    <t>3,392,230 (49.8%)</t>
  </si>
  <si>
    <t>3,338,121 (49%)</t>
  </si>
  <si>
    <t>Rhode Island</t>
  </si>
  <si>
    <t>300,325 (59.4%)</t>
  </si>
  <si>
    <t>197,421 (39.1%)</t>
  </si>
  <si>
    <t>South Carolina</t>
  </si>
  <si>
    <t>1,091,348 (43.4%)</t>
  </si>
  <si>
    <t>1,384,852 (55.1%)</t>
  </si>
  <si>
    <t>South Dakota</t>
  </si>
  <si>
    <t>150,467 (35.6%)</t>
  </si>
  <si>
    <t>261,035 (61.8%)</t>
  </si>
  <si>
    <t>Tennessee</t>
  </si>
  <si>
    <t>1,139,666 (37.4%)</t>
  </si>
  <si>
    <t>1,849,211 (60.7%)</t>
  </si>
  <si>
    <t>Texas</t>
  </si>
  <si>
    <t>5,218,631 (46.4%)</t>
  </si>
  <si>
    <t>5,865,913 (52.2%)</t>
  </si>
  <si>
    <t>Utah</t>
  </si>
  <si>
    <t>546,604 (37.8%)</t>
  </si>
  <si>
    <t>837,509 (58%)</t>
  </si>
  <si>
    <t>Vermont</t>
  </si>
  <si>
    <t>242,805 (66.4%)</t>
  </si>
  <si>
    <t>112,688 (30.8%)</t>
  </si>
  <si>
    <t>Virginia</t>
  </si>
  <si>
    <t>2,379,830 (54.1%)</t>
  </si>
  <si>
    <t>1,952,834 (44.4%)</t>
  </si>
  <si>
    <t>Washington</t>
  </si>
  <si>
    <t>2,344,336 (58.5%)</t>
  </si>
  <si>
    <t>1,556,739 (38.9%)</t>
  </si>
  <si>
    <t>West Virginia</t>
  </si>
  <si>
    <t>232,502 (29.6%)</t>
  </si>
  <si>
    <t>539,610 (68.7%)</t>
  </si>
  <si>
    <t>Wisconsin</t>
  </si>
  <si>
    <t>1,630,570 (49.6%)</t>
  </si>
  <si>
    <t>1,610,030 (48.9%)</t>
  </si>
  <si>
    <t>Wyoming</t>
  </si>
  <si>
    <t>73,445 (26.7%)</t>
  </si>
  <si>
    <t>193,454 (70.4%)</t>
  </si>
  <si>
    <r>
      <t xml:space="preserve">Yellow denotes a race in which the winning margin was </t>
    </r>
    <r>
      <rPr>
        <sz val="12"/>
        <color rgb="FF202124"/>
        <rFont val="Arial"/>
        <family val="2"/>
      </rPr>
      <t>≤</t>
    </r>
    <r>
      <rPr>
        <sz val="12"/>
        <color theme="1"/>
        <rFont val="Times New Roman"/>
        <family val="1"/>
      </rPr>
      <t>10%</t>
    </r>
  </si>
  <si>
    <t>Red or blue denotes the victor of the race.</t>
  </si>
  <si>
    <t>Senatorial Candidates</t>
  </si>
  <si>
    <t>Martha McSally (R)</t>
  </si>
  <si>
    <t>Mark Kelly (D)</t>
  </si>
  <si>
    <t>David Perdue (R)</t>
  </si>
  <si>
    <t>Jon Ossoff (D)</t>
  </si>
  <si>
    <t>Joni Ernst (R)</t>
  </si>
  <si>
    <t>Theresa Greenfield (D)</t>
  </si>
  <si>
    <t>Susan Collins (R)</t>
  </si>
  <si>
    <t>Sara Gideon (D)</t>
  </si>
  <si>
    <t>Gary Peters (D)</t>
  </si>
  <si>
    <t>John James (R)</t>
  </si>
  <si>
    <t>Tina Smith (D)</t>
  </si>
  <si>
    <t>Jason Lewis (R)</t>
  </si>
  <si>
    <t>Jeanne Shaheen (D)</t>
  </si>
  <si>
    <t>Corky Messner (R)</t>
  </si>
  <si>
    <t>Thom Tillis (R)</t>
  </si>
  <si>
    <t>Cal Cunningham (D)</t>
  </si>
  <si>
    <t>John Cornyn (R)</t>
  </si>
  <si>
    <t>Mary Jennings “MJ” Hegar (D)</t>
  </si>
  <si>
    <t>Mark Warner (D)</t>
  </si>
  <si>
    <t>Daniel Gade (R)</t>
  </si>
  <si>
    <t>Issue Frame</t>
  </si>
  <si>
    <t>Health care</t>
  </si>
  <si>
    <t>Supreme Court</t>
  </si>
  <si>
    <t>The coronavirus outbreak</t>
  </si>
  <si>
    <t>Violent crime</t>
  </si>
  <si>
    <t>Immigration</t>
  </si>
  <si>
    <t>Economic inequality</t>
  </si>
  <si>
    <t>Trump</t>
  </si>
  <si>
    <t>Voting and civic engagement</t>
  </si>
  <si>
    <t>Republican Opponents</t>
  </si>
  <si>
    <t>Democratic Opponents</t>
  </si>
  <si>
    <t>economy</t>
  </si>
  <si>
    <t>health</t>
  </si>
  <si>
    <t>Amy</t>
  </si>
  <si>
    <t>corona</t>
  </si>
  <si>
    <t>violent</t>
  </si>
  <si>
    <t>foreign</t>
  </si>
  <si>
    <t>Second Amendment</t>
  </si>
  <si>
    <t>BLM</t>
  </si>
  <si>
    <t>poverty</t>
  </si>
  <si>
    <t>climate</t>
  </si>
  <si>
    <t>abortion</t>
  </si>
  <si>
    <t>vote</t>
  </si>
  <si>
    <t>bipartisan</t>
  </si>
  <si>
    <t>Kelly</t>
  </si>
  <si>
    <t>McSally</t>
  </si>
  <si>
    <t>economic</t>
  </si>
  <si>
    <t>health-care</t>
  </si>
  <si>
    <t>Coney</t>
  </si>
  <si>
    <t>COVID</t>
  </si>
  <si>
    <t>violence</t>
  </si>
  <si>
    <t>china</t>
  </si>
  <si>
    <t>2nd Amendment</t>
  </si>
  <si>
    <t>racism</t>
  </si>
  <si>
    <t>immigration</t>
  </si>
  <si>
    <t>homeless</t>
  </si>
  <si>
    <t>energy</t>
  </si>
  <si>
    <t>pro-choice</t>
  </si>
  <si>
    <t>President</t>
  </si>
  <si>
    <t>polls</t>
  </si>
  <si>
    <t>aisle</t>
  </si>
  <si>
    <t>Ossoff</t>
  </si>
  <si>
    <t>Perdue</t>
  </si>
  <si>
    <t>jobs</t>
  </si>
  <si>
    <t>pre-existing</t>
  </si>
  <si>
    <t>Barrett</t>
  </si>
  <si>
    <t>relief</t>
  </si>
  <si>
    <t>crime</t>
  </si>
  <si>
    <t>seas</t>
  </si>
  <si>
    <t>gun</t>
  </si>
  <si>
    <t>racist</t>
  </si>
  <si>
    <t>immigrant</t>
  </si>
  <si>
    <t>class</t>
  </si>
  <si>
    <t>pollution</t>
  </si>
  <si>
    <t>pro-life</t>
  </si>
  <si>
    <t>Donald</t>
  </si>
  <si>
    <t>elect</t>
  </si>
  <si>
    <t>partisan politics</t>
  </si>
  <si>
    <t>Theresa</t>
  </si>
  <si>
    <t>Ernst</t>
  </si>
  <si>
    <t>condition</t>
  </si>
  <si>
    <t>Supreme</t>
  </si>
  <si>
    <t>virus</t>
  </si>
  <si>
    <t>criminal</t>
  </si>
  <si>
    <t>international</t>
  </si>
  <si>
    <t>shooting</t>
  </si>
  <si>
    <t>equal</t>
  </si>
  <si>
    <t>undocumented</t>
  </si>
  <si>
    <t>labor</t>
  </si>
  <si>
    <t>clean</t>
  </si>
  <si>
    <t>baby</t>
  </si>
  <si>
    <t>POTUS</t>
  </si>
  <si>
    <t>ballot</t>
  </si>
  <si>
    <t>independent</t>
  </si>
  <si>
    <t>Greenfield</t>
  </si>
  <si>
    <t>Collins</t>
  </si>
  <si>
    <t>employ</t>
  </si>
  <si>
    <t>healthcare</t>
  </si>
  <si>
    <t>Court</t>
  </si>
  <si>
    <t>epidemic</t>
  </si>
  <si>
    <t>U.N.</t>
  </si>
  <si>
    <t>automatic</t>
  </si>
  <si>
    <t>racial</t>
  </si>
  <si>
    <t>cages</t>
  </si>
  <si>
    <t>billionaire</t>
  </si>
  <si>
    <t>solar</t>
  </si>
  <si>
    <t>babies</t>
  </si>
  <si>
    <t>voting</t>
  </si>
  <si>
    <t>partisan gridlock</t>
  </si>
  <si>
    <t>Gideon</t>
  </si>
  <si>
    <t>James</t>
  </si>
  <si>
    <t>business</t>
  </si>
  <si>
    <t>hospital</t>
  </si>
  <si>
    <t>appointment</t>
  </si>
  <si>
    <t>mask</t>
  </si>
  <si>
    <t>loot</t>
  </si>
  <si>
    <t>United Nations</t>
  </si>
  <si>
    <t>rifle</t>
  </si>
  <si>
    <t>ethnic</t>
  </si>
  <si>
    <t>border</t>
  </si>
  <si>
    <t>wealthy</t>
  </si>
  <si>
    <t>oil</t>
  </si>
  <si>
    <t>polling place</t>
  </si>
  <si>
    <t>Peters</t>
  </si>
  <si>
    <t>Lewis</t>
  </si>
  <si>
    <t>market</t>
  </si>
  <si>
    <t>repeal and replace</t>
  </si>
  <si>
    <t>nomination</t>
  </si>
  <si>
    <t>pandemic</t>
  </si>
  <si>
    <t>prison</t>
  </si>
  <si>
    <t>PCA</t>
  </si>
  <si>
    <t>arms</t>
  </si>
  <si>
    <t>alien</t>
  </si>
  <si>
    <t>poor</t>
  </si>
  <si>
    <t>greenhouse</t>
  </si>
  <si>
    <t>polling</t>
  </si>
  <si>
    <t>Smith</t>
  </si>
  <si>
    <t>Corky</t>
  </si>
  <si>
    <t>worker</t>
  </si>
  <si>
    <t>social security</t>
  </si>
  <si>
    <t>ACB</t>
  </si>
  <si>
    <t>outbreak</t>
  </si>
  <si>
    <t>murder</t>
  </si>
  <si>
    <t>diplomacy</t>
  </si>
  <si>
    <t>armed</t>
  </si>
  <si>
    <t>black lives</t>
  </si>
  <si>
    <t>document</t>
  </si>
  <si>
    <t>housing</t>
  </si>
  <si>
    <t>fossil</t>
  </si>
  <si>
    <t>contraception</t>
  </si>
  <si>
    <t>register</t>
  </si>
  <si>
    <t>Shaheen</t>
  </si>
  <si>
    <t>Messner</t>
  </si>
  <si>
    <t>Game Frame</t>
  </si>
  <si>
    <t>small biz</t>
  </si>
  <si>
    <t>medicare</t>
  </si>
  <si>
    <t>nominee</t>
  </si>
  <si>
    <t>frontline</t>
  </si>
  <si>
    <t>rape</t>
  </si>
  <si>
    <t>ambassador</t>
  </si>
  <si>
    <t>concealed carry</t>
  </si>
  <si>
    <t>protest</t>
  </si>
  <si>
    <t>visa</t>
  </si>
  <si>
    <t>SNAP</t>
  </si>
  <si>
    <t>carbon</t>
  </si>
  <si>
    <t>contraceptive</t>
  </si>
  <si>
    <t>registration</t>
  </si>
  <si>
    <t xml:space="preserve">Cal </t>
  </si>
  <si>
    <t>Tillis</t>
  </si>
  <si>
    <t>Tweets about surveys, soundings, information, analysis, and assessment of the election results. Tweets relating to voting action were also included.</t>
  </si>
  <si>
    <t>medicaid</t>
  </si>
  <si>
    <t>front-line</t>
  </si>
  <si>
    <t>assault</t>
  </si>
  <si>
    <t>EU</t>
  </si>
  <si>
    <t>2A</t>
  </si>
  <si>
    <t>riot</t>
  </si>
  <si>
    <t>millionaire</t>
  </si>
  <si>
    <t>Green New Deal</t>
  </si>
  <si>
    <t>fetus</t>
  </si>
  <si>
    <t>campaign</t>
  </si>
  <si>
    <t>Cunningham</t>
  </si>
  <si>
    <t>Cornyn</t>
  </si>
  <si>
    <t>Obamacare</t>
  </si>
  <si>
    <t>front line</t>
  </si>
  <si>
    <t>E.U.</t>
  </si>
  <si>
    <t>bracket</t>
  </si>
  <si>
    <t>forest</t>
  </si>
  <si>
    <t>conception</t>
  </si>
  <si>
    <t>Hegar</t>
  </si>
  <si>
    <t>Gade</t>
  </si>
  <si>
    <t>Tweets referring to campaign operations and event organization, such as rallies, meetings, political events, etc</t>
  </si>
  <si>
    <t>Affordable Care Act</t>
  </si>
  <si>
    <t>stimulus</t>
  </si>
  <si>
    <t>European Union</t>
  </si>
  <si>
    <t>Ferguson</t>
  </si>
  <si>
    <t>wage</t>
  </si>
  <si>
    <t>environment</t>
  </si>
  <si>
    <t>trimester</t>
  </si>
  <si>
    <t>Warner</t>
  </si>
  <si>
    <t>conservative</t>
  </si>
  <si>
    <t>ACA</t>
  </si>
  <si>
    <t>Floyd</t>
  </si>
  <si>
    <t>welfare</t>
  </si>
  <si>
    <t>Paris</t>
  </si>
  <si>
    <t>pro choice</t>
  </si>
  <si>
    <t>democrat</t>
  </si>
  <si>
    <t>republican</t>
  </si>
  <si>
    <t>Portland</t>
  </si>
  <si>
    <t>pro life</t>
  </si>
  <si>
    <t>socialist</t>
  </si>
  <si>
    <t>fascist</t>
  </si>
  <si>
    <t>Misc.</t>
  </si>
  <si>
    <t>Non-Topic</t>
  </si>
  <si>
    <t>Tweets that do not have a defined issue or that include expressions of courtesy (acknowledgements, etc.).</t>
  </si>
  <si>
    <t>Black</t>
  </si>
  <si>
    <t>Nuclear</t>
  </si>
  <si>
    <t>prochoice</t>
  </si>
  <si>
    <t>socialism</t>
  </si>
  <si>
    <t>fascism</t>
  </si>
  <si>
    <t>Tweets that cannot be classified in the previous categories.</t>
  </si>
  <si>
    <t>BIPOC</t>
  </si>
  <si>
    <t>global warming</t>
  </si>
  <si>
    <t>prolife</t>
  </si>
  <si>
    <t>communist</t>
  </si>
  <si>
    <t>latino</t>
  </si>
  <si>
    <t>EPA</t>
  </si>
  <si>
    <t>right to choose</t>
  </si>
  <si>
    <t>communism</t>
  </si>
  <si>
    <t>Pence</t>
  </si>
  <si>
    <t>latinx</t>
  </si>
  <si>
    <t>wildlife</t>
  </si>
  <si>
    <t>bodily autonomy</t>
  </si>
  <si>
    <t>liberal</t>
  </si>
  <si>
    <t>corrupt</t>
  </si>
  <si>
    <t>latina</t>
  </si>
  <si>
    <t>wild-life</t>
  </si>
  <si>
    <t>women's right</t>
  </si>
  <si>
    <t>AOC</t>
  </si>
  <si>
    <t>far-right</t>
  </si>
  <si>
    <t>wild life</t>
  </si>
  <si>
    <t>Pelosi</t>
  </si>
  <si>
    <t>McConnell</t>
  </si>
  <si>
    <t>nature</t>
  </si>
  <si>
    <t>Schumer</t>
  </si>
  <si>
    <t>Mitch</t>
  </si>
  <si>
    <t>natural</t>
  </si>
  <si>
    <t>Biden</t>
  </si>
  <si>
    <t>Qanon</t>
  </si>
  <si>
    <t>National Park</t>
  </si>
  <si>
    <t>radical</t>
  </si>
  <si>
    <t>left</t>
  </si>
  <si>
    <t>elite</t>
  </si>
  <si>
    <t>Table 4: Total tweets between (October 3rd, 2020 and November 3rd, 2020) distributed by topic</t>
  </si>
  <si>
    <t>Total</t>
  </si>
  <si>
    <t>Martha McSally</t>
  </si>
  <si>
    <t>Republican</t>
  </si>
  <si>
    <t>Mark Kelly</t>
  </si>
  <si>
    <t>Democrat</t>
  </si>
  <si>
    <t>David Perdue</t>
  </si>
  <si>
    <t>Jon Ossoff</t>
  </si>
  <si>
    <t>Joni Ernst</t>
  </si>
  <si>
    <t>Theresa Greenfield</t>
  </si>
  <si>
    <t>Susan Collins</t>
  </si>
  <si>
    <t>Sara Gideon</t>
  </si>
  <si>
    <t>Gary Peters</t>
  </si>
  <si>
    <t>John James</t>
  </si>
  <si>
    <t>Tina Smith</t>
  </si>
  <si>
    <t>Jason Lewis</t>
  </si>
  <si>
    <t>Jeanne Shaheen</t>
  </si>
  <si>
    <t>Corky Messner</t>
  </si>
  <si>
    <t>Thom Tillis</t>
  </si>
  <si>
    <t>Cal Cunningham</t>
  </si>
  <si>
    <t>John Cornyn</t>
  </si>
  <si>
    <t>Mary Jennings “MJ” Hegar</t>
  </si>
  <si>
    <t>Mark Warner</t>
  </si>
  <si>
    <t>Daniel Gade</t>
  </si>
  <si>
    <t>Overall total</t>
  </si>
  <si>
    <t>Percent of total tweets</t>
  </si>
  <si>
    <t>Table 4: Percent of tweets between (October 3rd, 2020 and November 3rd, 2020) dedicated to a given topic</t>
  </si>
  <si>
    <t>Topic</t>
  </si>
  <si>
    <t>All candidates</t>
  </si>
  <si>
    <t>Republican candidates</t>
  </si>
  <si>
    <t>Democratic candidates</t>
  </si>
  <si>
    <t>Incumbent candidates</t>
  </si>
  <si>
    <t>Winning candidates</t>
  </si>
  <si>
    <t>Losing candidates</t>
  </si>
  <si>
    <t>Losing Candidates</t>
  </si>
  <si>
    <t>Coronavirus outbreak</t>
  </si>
  <si>
    <t>Tweets involving appeals to reaching across the aisle and rising above partisanship.</t>
  </si>
  <si>
    <t>Tweets involving attacks on members of the opposition party or ideological warfare. Include references to a "culture war," political corruption, or direct references to fellow members of the opposition party.</t>
  </si>
  <si>
    <t>Russia</t>
  </si>
  <si>
    <t>color</t>
  </si>
  <si>
    <t>creed</t>
  </si>
  <si>
    <t>ineffective</t>
  </si>
  <si>
    <t>swamp</t>
  </si>
  <si>
    <t>Jim Crow</t>
  </si>
  <si>
    <t>opponent</t>
  </si>
  <si>
    <t>politician</t>
  </si>
  <si>
    <t>cut taxes</t>
  </si>
  <si>
    <t>tax cut</t>
  </si>
  <si>
    <t>Winning Republicans</t>
  </si>
  <si>
    <t>Losing Republicans</t>
  </si>
  <si>
    <t>Winning Democrats</t>
  </si>
  <si>
    <t>Losing Democrats</t>
  </si>
  <si>
    <t>Candidates challenging incumbents</t>
  </si>
  <si>
    <t>Did they win?</t>
  </si>
  <si>
    <t>Incumbent?</t>
  </si>
  <si>
    <t>Mexico</t>
  </si>
  <si>
    <t>Mexican</t>
  </si>
  <si>
    <t>countries</t>
  </si>
  <si>
    <t>flu</t>
  </si>
  <si>
    <t>Total Tweets</t>
  </si>
  <si>
    <t>rally</t>
  </si>
  <si>
    <t>pharmaceutical</t>
  </si>
  <si>
    <t>deficit</t>
  </si>
  <si>
    <t>budget</t>
  </si>
  <si>
    <t>Roe v. Wade</t>
  </si>
  <si>
    <t>Roe v Wade</t>
  </si>
  <si>
    <t>Average # of Tweets</t>
  </si>
  <si>
    <t>Median # of Tweets</t>
  </si>
  <si>
    <t>Average difference</t>
  </si>
  <si>
    <t>Average absolute difference</t>
  </si>
  <si>
    <t>Table 9: Average difference in tweets between (October 3rd, 2020 and November 3rd, 2020) distributed by topic.</t>
  </si>
  <si>
    <t>Average</t>
  </si>
  <si>
    <t>Q1</t>
  </si>
  <si>
    <t>Q3</t>
  </si>
  <si>
    <t>MAX</t>
  </si>
  <si>
    <t>MEDIAN</t>
  </si>
  <si>
    <t>MIN</t>
  </si>
  <si>
    <t>Republican distribution</t>
  </si>
  <si>
    <t>Democrat distribution</t>
  </si>
  <si>
    <t>Total distribution</t>
  </si>
  <si>
    <t>Column1</t>
  </si>
  <si>
    <t>Thersa Greenfield</t>
  </si>
  <si>
    <t>MJ Hegar</t>
  </si>
  <si>
    <t>MEAN LIKES</t>
  </si>
  <si>
    <t>MINIMUM LIKES</t>
  </si>
  <si>
    <t>Q1 LIKES</t>
  </si>
  <si>
    <t>MEDIAN LIKES</t>
  </si>
  <si>
    <t>Q3 LIKES</t>
  </si>
  <si>
    <t>MAXIMUM LIKES</t>
  </si>
  <si>
    <t>TOTAL LIKES</t>
  </si>
  <si>
    <t>MEAN RETWEETS</t>
  </si>
  <si>
    <t>MINIMUM RETWEETS</t>
  </si>
  <si>
    <t>Q1 RETWEETS</t>
  </si>
  <si>
    <t>MEDIAN RETWEETS</t>
  </si>
  <si>
    <t>Q3 RETWEETS</t>
  </si>
  <si>
    <t>MAXIMUM RETWEETS</t>
  </si>
  <si>
    <t>TOTAL RETWEETS</t>
  </si>
  <si>
    <t>Total Engagement</t>
  </si>
  <si>
    <t>Whole Approach</t>
  </si>
  <si>
    <t>Winner</t>
  </si>
  <si>
    <t>Loser</t>
  </si>
  <si>
    <t>Outcome</t>
  </si>
  <si>
    <t>Figure 1: 2020 Presidential Election Data (collected on 11/12/2020) (source: Associated Press)</t>
  </si>
  <si>
    <t>Figure 2: Candidates for State-Wide Office in Battleground States (states with 10% margin)</t>
  </si>
  <si>
    <t>Table 3: Coding Sheet</t>
  </si>
  <si>
    <t>Tweets including topics such as employment, unemployment, salary, deficit, public spending, debt, economic crisis, taxes, entrepreneurship, contracts, freelancers, etc.</t>
  </si>
  <si>
    <t>Tweets including topics such as costs of health care, protections of those with pre-existing conditions, the Affordable Care Act, Social Security, Medicare, Medicaid, etc.</t>
  </si>
  <si>
    <t>Tweets referencing the nomination of Supreme Court Justice Amy Comey Barrett, potential Court packing, and the general composition of the Supreme Court.</t>
  </si>
  <si>
    <t>Tweets referencing the COVID-19 pandemic, and policies used to address economic and health concerns involved with said pandemic.</t>
  </si>
  <si>
    <t>Tweets referencing violent crime.</t>
  </si>
  <si>
    <t>Tweets referencing how the United States government and businesses operated within the United States interact with foreign countries.</t>
  </si>
  <si>
    <t>Tweets referencing the issue of gun control and other gun-related policies.</t>
  </si>
  <si>
    <t>Tweets referencing the issues of race and ethnic inequality.</t>
  </si>
  <si>
    <t>Tweets referencing the issue of immigration</t>
  </si>
  <si>
    <t>Tweets referring to the unequal distribution of wealth in the United States or appeals to a class divide.</t>
  </si>
  <si>
    <t>Tweets including topics related to climate change.</t>
  </si>
  <si>
    <t>Tweets referencing abortion.</t>
  </si>
  <si>
    <t>Table 5: Percent of tweets between (October 3rd, 2020 and November 3rd, 2020) dedicated to a given topic.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</si>
</sst>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
    <numFmt numFmtId="165" formatCode="0.000"/>
    <numFmt numFmtId="166" formatCode="0.0000"/>
  </numFmts>
  <fonts count="10" x14ac:knownFonts="1">
    <font>
      <sz val="11"/>
      <color theme="1"/>
      <name val="Calibri"/>
      <family val="2"/>
      <scheme val="minor"/>
    </font>
    <font>
      <sz val="11"/>
      <color theme="1"/>
      <name val="Calibri"/>
      <family val="2"/>
      <scheme val="minor"/>
    </font>
    <font>
      <b/>
      <sz val="11"/>
      <color theme="1"/>
      <name val="Calibri"/>
      <family val="2"/>
      <scheme val="minor"/>
    </font>
    <font>
      <sz val="12"/>
      <color theme="1"/>
      <name val="Times New Roman"/>
      <family val="1"/>
    </font>
    <font>
      <b/>
      <sz val="12"/>
      <color theme="1"/>
      <name val="Times New Roman"/>
      <family val="1"/>
    </font>
    <font>
      <sz val="12"/>
      <color rgb="FF000000"/>
      <name val="Times New Roman"/>
      <family val="1"/>
    </font>
    <font>
      <sz val="12"/>
      <color rgb="FF202124"/>
      <name val="Arial"/>
      <family val="2"/>
    </font>
    <font>
      <b/>
      <sz val="12"/>
      <color rgb="FF000000"/>
      <name val="Times New Roman"/>
      <family val="1"/>
    </font>
    <font>
      <b/>
      <sz val="11"/>
      <name val="Calibri"/>
      <family val="2"/>
      <scheme val="minor"/>
    </font>
    <font>
      <sz val="8"/>
      <name val="Calibri"/>
      <family val="2"/>
      <scheme val="minor"/>
    </font>
  </fonts>
  <fills count="15">
    <fill>
      <patternFill patternType="none"/>
    </fill>
    <fill>
      <patternFill patternType="gray125"/>
    </fill>
    <fill>
      <patternFill patternType="solid">
        <fgColor rgb="FF00B0F0"/>
        <bgColor indexed="64"/>
      </patternFill>
    </fill>
    <fill>
      <patternFill patternType="solid">
        <fgColor rgb="FF595959"/>
        <bgColor indexed="64"/>
      </patternFill>
    </fill>
    <fill>
      <patternFill patternType="solid">
        <fgColor rgb="FFFF0000"/>
        <bgColor indexed="64"/>
      </patternFill>
    </fill>
    <fill>
      <patternFill patternType="solid">
        <fgColor rgb="FFFFFF00"/>
        <bgColor indexed="64"/>
      </patternFill>
    </fill>
    <fill>
      <patternFill patternType="solid">
        <fgColor theme="9"/>
        <bgColor indexed="64"/>
      </patternFill>
    </fill>
    <fill>
      <patternFill patternType="solid">
        <fgColor theme="7"/>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1"/>
        <bgColor indexed="64"/>
      </patternFill>
    </fill>
    <fill>
      <patternFill patternType="solid">
        <fgColor rgb="FFFFC000"/>
        <bgColor indexed="64"/>
      </patternFill>
    </fill>
    <fill>
      <patternFill patternType="solid">
        <fgColor theme="0" tint="-0.14999847407452621"/>
        <bgColor theme="0" tint="-0.14999847407452621"/>
      </patternFill>
    </fill>
    <fill>
      <patternFill patternType="solid">
        <fgColor rgb="FF00B0F0"/>
        <bgColor theme="0" tint="-0.14999847407452621"/>
      </patternFill>
    </fill>
    <fill>
      <patternFill patternType="solid">
        <fgColor rgb="FFFF0000"/>
        <bgColor theme="0" tint="-0.14999847407452621"/>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3">
    <xf numFmtId="0" fontId="0" fillId="0" borderId="0"/>
    <xf numFmtId="9" fontId="1" fillId="0" borderId="0" applyFont="0" applyFill="0" applyBorder="0" applyAlignment="0" applyProtection="0"/>
    <xf numFmtId="44" fontId="1" fillId="0" borderId="0" applyFont="0" applyFill="0" applyBorder="0" applyAlignment="0" applyProtection="0"/>
  </cellStyleXfs>
  <cellXfs count="196">
    <xf numFmtId="0" fontId="0" fillId="0" borderId="0" xfId="0"/>
    <xf numFmtId="0" fontId="2" fillId="0" borderId="0" xfId="0" applyFont="1"/>
    <xf numFmtId="0" fontId="5" fillId="4"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vertical="center" wrapText="1"/>
    </xf>
    <xf numFmtId="0" fontId="3" fillId="0" borderId="1" xfId="0" applyFont="1" applyBorder="1" applyAlignment="1">
      <alignment vertical="center" wrapText="1"/>
    </xf>
    <xf numFmtId="0" fontId="0" fillId="0" borderId="1" xfId="0" applyBorder="1" applyAlignment="1">
      <alignment wrapText="1"/>
    </xf>
    <xf numFmtId="0" fontId="0" fillId="4" borderId="1" xfId="0" applyFill="1" applyBorder="1" applyAlignment="1">
      <alignment horizontal="center" vertical="center" wrapText="1"/>
    </xf>
    <xf numFmtId="0" fontId="0" fillId="2" borderId="1" xfId="0" applyFill="1" applyBorder="1" applyAlignment="1">
      <alignment horizontal="center" vertical="center" wrapText="1"/>
    </xf>
    <xf numFmtId="9" fontId="2" fillId="0" borderId="1" xfId="1" applyFont="1" applyBorder="1" applyAlignment="1">
      <alignment horizontal="center" vertical="center"/>
    </xf>
    <xf numFmtId="0" fontId="5" fillId="6"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0" fillId="0" borderId="1" xfId="0" applyBorder="1"/>
    <xf numFmtId="0" fontId="0" fillId="0" borderId="4" xfId="0" applyBorder="1"/>
    <xf numFmtId="0" fontId="0" fillId="0" borderId="0" xfId="0" applyBorder="1"/>
    <xf numFmtId="14" fontId="0" fillId="0" borderId="1" xfId="0" applyNumberFormat="1" applyBorder="1"/>
    <xf numFmtId="14" fontId="0" fillId="0" borderId="1" xfId="2" applyNumberFormat="1" applyFont="1" applyBorder="1"/>
    <xf numFmtId="14" fontId="0" fillId="0" borderId="0" xfId="2" applyNumberFormat="1" applyFont="1" applyBorder="1"/>
    <xf numFmtId="14" fontId="0" fillId="0" borderId="0" xfId="0" applyNumberFormat="1" applyBorder="1"/>
    <xf numFmtId="0" fontId="0" fillId="8" borderId="1" xfId="0" applyFill="1" applyBorder="1"/>
    <xf numFmtId="0" fontId="0" fillId="8" borderId="3" xfId="0" applyFill="1" applyBorder="1"/>
    <xf numFmtId="0" fontId="0" fillId="0" borderId="3" xfId="0" applyBorder="1"/>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0" fillId="0" borderId="0" xfId="0" applyAlignment="1"/>
    <xf numFmtId="0" fontId="2" fillId="0" borderId="1" xfId="0" applyFont="1" applyFill="1" applyBorder="1" applyAlignment="1">
      <alignment horizontal="center" vertical="center" wrapText="1"/>
    </xf>
    <xf numFmtId="0" fontId="0" fillId="0" borderId="1" xfId="0" applyFill="1" applyBorder="1" applyAlignment="1">
      <alignment wrapText="1"/>
    </xf>
    <xf numFmtId="0" fontId="0" fillId="0" borderId="7" xfId="0" applyBorder="1"/>
    <xf numFmtId="0" fontId="0" fillId="5" borderId="1" xfId="0" applyFill="1" applyBorder="1"/>
    <xf numFmtId="0" fontId="0" fillId="0" borderId="1" xfId="0" applyBorder="1" applyAlignment="1"/>
    <xf numFmtId="0" fontId="5" fillId="0" borderId="1" xfId="0" applyFont="1" applyFill="1" applyBorder="1" applyAlignment="1">
      <alignment horizontal="center" vertical="center" wrapText="1"/>
    </xf>
    <xf numFmtId="0" fontId="0" fillId="11" borderId="1" xfId="0" applyFill="1" applyBorder="1"/>
    <xf numFmtId="0" fontId="0" fillId="0" borderId="1" xfId="0" applyBorder="1" applyAlignment="1">
      <alignment horizontal="center" vertical="center" wrapText="1"/>
    </xf>
    <xf numFmtId="0" fontId="0" fillId="0" borderId="1" xfId="0" applyFill="1" applyBorder="1"/>
    <xf numFmtId="0" fontId="0" fillId="0" borderId="5" xfId="0" applyBorder="1"/>
    <xf numFmtId="0" fontId="0" fillId="5" borderId="4" xfId="0" applyFill="1" applyBorder="1"/>
    <xf numFmtId="0" fontId="0" fillId="0" borderId="11" xfId="0" applyBorder="1"/>
    <xf numFmtId="0" fontId="0" fillId="0" borderId="2" xfId="0" applyBorder="1"/>
    <xf numFmtId="0" fontId="0" fillId="0" borderId="2" xfId="0" applyBorder="1" applyAlignment="1"/>
    <xf numFmtId="14" fontId="0" fillId="0" borderId="2" xfId="0" applyNumberFormat="1" applyBorder="1"/>
    <xf numFmtId="0" fontId="0" fillId="0" borderId="8" xfId="0" applyBorder="1"/>
    <xf numFmtId="0" fontId="0" fillId="0" borderId="12" xfId="0" applyBorder="1"/>
    <xf numFmtId="0" fontId="0" fillId="5" borderId="2" xfId="0" applyFill="1" applyBorder="1"/>
    <xf numFmtId="0" fontId="0" fillId="5" borderId="12" xfId="0" applyFill="1" applyBorder="1"/>
    <xf numFmtId="0" fontId="0" fillId="0" borderId="13" xfId="0" applyBorder="1"/>
    <xf numFmtId="0" fontId="8" fillId="8" borderId="10" xfId="0" applyFont="1" applyFill="1" applyBorder="1" applyAlignment="1">
      <alignment horizontal="center" vertical="center" wrapText="1"/>
    </xf>
    <xf numFmtId="0" fontId="8" fillId="8" borderId="3" xfId="0" applyFont="1" applyFill="1" applyBorder="1" applyAlignment="1">
      <alignment horizontal="center" vertical="center" wrapText="1"/>
    </xf>
    <xf numFmtId="0" fontId="8" fillId="8" borderId="3" xfId="0" applyFont="1" applyFill="1" applyBorder="1" applyAlignment="1">
      <alignment horizontal="center" vertical="center"/>
    </xf>
    <xf numFmtId="0" fontId="8" fillId="8" borderId="8" xfId="0" applyFont="1" applyFill="1" applyBorder="1" applyAlignment="1">
      <alignment horizontal="center" vertical="center" wrapText="1"/>
    </xf>
    <xf numFmtId="0" fontId="8" fillId="8" borderId="7" xfId="0" applyFont="1" applyFill="1" applyBorder="1" applyAlignment="1">
      <alignment horizontal="center" vertical="center" wrapText="1"/>
    </xf>
    <xf numFmtId="0" fontId="8" fillId="8" borderId="8" xfId="0" applyFont="1" applyFill="1" applyBorder="1" applyAlignment="1">
      <alignment horizontal="center" vertical="center"/>
    </xf>
    <xf numFmtId="0" fontId="8" fillId="8" borderId="9" xfId="0" applyFont="1" applyFill="1" applyBorder="1" applyAlignment="1">
      <alignment horizontal="center" vertical="center"/>
    </xf>
    <xf numFmtId="0" fontId="0" fillId="0" borderId="6" xfId="0" applyBorder="1"/>
    <xf numFmtId="14" fontId="0" fillId="0" borderId="2" xfId="2" applyNumberFormat="1" applyFont="1" applyBorder="1"/>
    <xf numFmtId="0" fontId="0" fillId="11" borderId="4" xfId="0" applyFill="1" applyBorder="1"/>
    <xf numFmtId="0" fontId="0" fillId="11" borderId="2" xfId="0" applyFill="1" applyBorder="1"/>
    <xf numFmtId="0" fontId="0" fillId="11" borderId="12" xfId="0" applyFill="1" applyBorder="1"/>
    <xf numFmtId="0" fontId="0" fillId="0" borderId="2" xfId="0" applyFill="1" applyBorder="1"/>
    <xf numFmtId="0" fontId="5" fillId="0" borderId="0" xfId="0" applyFont="1" applyBorder="1" applyAlignment="1">
      <alignment horizontal="center" vertical="center" wrapText="1"/>
    </xf>
    <xf numFmtId="0" fontId="3" fillId="0" borderId="1" xfId="0" applyFont="1" applyBorder="1" applyAlignment="1">
      <alignment horizontal="center" vertical="center"/>
    </xf>
    <xf numFmtId="0" fontId="0" fillId="0" borderId="5" xfId="0" applyBorder="1" applyAlignment="1">
      <alignment horizontal="center" vertical="center" wrapText="1"/>
    </xf>
    <xf numFmtId="0" fontId="0" fillId="0" borderId="11" xfId="0" applyBorder="1" applyAlignment="1">
      <alignment horizontal="center" vertical="center" wrapText="1"/>
    </xf>
    <xf numFmtId="0" fontId="0" fillId="4" borderId="2" xfId="0" applyFill="1" applyBorder="1" applyAlignment="1">
      <alignment horizontal="center" vertical="center" wrapText="1"/>
    </xf>
    <xf numFmtId="0" fontId="2" fillId="10" borderId="10" xfId="0" applyFont="1" applyFill="1" applyBorder="1" applyAlignment="1">
      <alignment horizontal="center" vertical="center" wrapText="1"/>
    </xf>
    <xf numFmtId="0" fontId="2" fillId="10" borderId="3" xfId="0" applyFont="1" applyFill="1" applyBorder="1" applyAlignment="1">
      <alignment horizontal="center" vertical="center" wrapText="1"/>
    </xf>
    <xf numFmtId="0" fontId="2" fillId="10" borderId="7"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2" xfId="0" applyFill="1" applyBorder="1" applyAlignment="1">
      <alignment horizontal="center" vertical="center" wrapText="1"/>
    </xf>
    <xf numFmtId="0" fontId="0" fillId="12" borderId="1" xfId="0" applyFont="1" applyFill="1" applyBorder="1" applyAlignment="1">
      <alignment horizontal="center" vertical="center" wrapText="1"/>
    </xf>
    <xf numFmtId="0" fontId="0" fillId="4"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0" fillId="2" borderId="1" xfId="0" applyFont="1" applyFill="1" applyBorder="1" applyAlignment="1">
      <alignment horizontal="center" vertical="center" wrapText="1"/>
    </xf>
    <xf numFmtId="0" fontId="0" fillId="0" borderId="4" xfId="0" applyBorder="1" applyAlignment="1">
      <alignment wrapText="1"/>
    </xf>
    <xf numFmtId="0" fontId="2" fillId="0" borderId="7" xfId="0" applyFont="1" applyBorder="1" applyAlignment="1">
      <alignment horizontal="center" vertical="center" wrapText="1"/>
    </xf>
    <xf numFmtId="0" fontId="0" fillId="0" borderId="2" xfId="0" applyFont="1" applyBorder="1" applyAlignment="1">
      <alignment horizontal="center" vertical="center" wrapText="1"/>
    </xf>
    <xf numFmtId="0" fontId="0" fillId="4" borderId="2" xfId="0" applyFont="1" applyFill="1" applyBorder="1" applyAlignment="1">
      <alignment horizontal="center" vertical="center" wrapText="1"/>
    </xf>
    <xf numFmtId="0" fontId="2" fillId="0" borderId="2" xfId="0" applyFont="1" applyBorder="1" applyAlignment="1">
      <alignment horizontal="center" vertical="center"/>
    </xf>
    <xf numFmtId="0" fontId="0" fillId="0" borderId="2" xfId="0" applyBorder="1" applyAlignment="1">
      <alignment horizontal="center" vertical="center" wrapText="1"/>
    </xf>
    <xf numFmtId="0" fontId="0" fillId="0" borderId="12" xfId="0" applyBorder="1" applyAlignment="1">
      <alignment wrapText="1"/>
    </xf>
    <xf numFmtId="0" fontId="2" fillId="0" borderId="10"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4" fillId="0" borderId="1" xfId="0" applyFont="1" applyBorder="1" applyAlignment="1">
      <alignment horizontal="center" vertical="center" wrapText="1"/>
    </xf>
    <xf numFmtId="0" fontId="3" fillId="0" borderId="1" xfId="0" applyFont="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Border="1" applyAlignment="1">
      <alignment horizontal="center" vertical="center" wrapText="1"/>
    </xf>
    <xf numFmtId="0" fontId="0" fillId="0" borderId="0" xfId="0" applyFill="1" applyBorder="1" applyAlignment="1">
      <alignment wrapText="1"/>
    </xf>
    <xf numFmtId="0" fontId="4" fillId="0" borderId="1" xfId="0" applyFont="1" applyBorder="1" applyAlignment="1">
      <alignment horizontal="center" vertical="center" wrapText="1"/>
    </xf>
    <xf numFmtId="0" fontId="7"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0" fillId="0" borderId="1" xfId="0" applyNumberFormat="1" applyBorder="1" applyAlignment="1">
      <alignment horizontal="left" vertical="top"/>
    </xf>
    <xf numFmtId="0" fontId="0" fillId="0" borderId="4" xfId="0" applyFill="1" applyBorder="1"/>
    <xf numFmtId="0" fontId="0" fillId="0" borderId="9" xfId="0" applyFill="1" applyBorder="1" applyAlignment="1">
      <alignment wrapText="1"/>
    </xf>
    <xf numFmtId="164" fontId="5" fillId="0" borderId="1" xfId="0" applyNumberFormat="1" applyFont="1" applyBorder="1" applyAlignment="1">
      <alignment horizontal="center" vertical="center" wrapText="1"/>
    </xf>
    <xf numFmtId="164" fontId="5" fillId="0" borderId="1" xfId="1" applyNumberFormat="1" applyFont="1" applyBorder="1" applyAlignment="1">
      <alignment horizontal="center" vertical="center" wrapText="1"/>
    </xf>
    <xf numFmtId="0" fontId="0" fillId="2" borderId="5" xfId="0" applyFill="1" applyBorder="1" applyAlignment="1">
      <alignment horizontal="center" vertical="center" wrapText="1"/>
    </xf>
    <xf numFmtId="0" fontId="0" fillId="13"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0" fillId="2" borderId="4" xfId="0" applyFill="1" applyBorder="1" applyAlignment="1">
      <alignment wrapText="1"/>
    </xf>
    <xf numFmtId="0" fontId="0" fillId="4" borderId="5" xfId="0" applyFill="1" applyBorder="1" applyAlignment="1">
      <alignment horizontal="center" vertical="center" wrapText="1"/>
    </xf>
    <xf numFmtId="0" fontId="0" fillId="14" borderId="1" xfId="0" applyFont="1" applyFill="1" applyBorder="1" applyAlignment="1">
      <alignment horizontal="center" vertical="center" wrapText="1"/>
    </xf>
    <xf numFmtId="0" fontId="2" fillId="4" borderId="1" xfId="0" applyFont="1" applyFill="1" applyBorder="1" applyAlignment="1">
      <alignment horizontal="center" vertical="center"/>
    </xf>
    <xf numFmtId="0" fontId="0" fillId="4" borderId="4" xfId="0" applyFill="1" applyBorder="1" applyAlignment="1">
      <alignment wrapText="1"/>
    </xf>
    <xf numFmtId="0" fontId="0" fillId="4" borderId="0" xfId="0" applyFill="1"/>
    <xf numFmtId="0" fontId="0" fillId="2" borderId="0" xfId="0" applyFill="1"/>
    <xf numFmtId="0" fontId="0" fillId="0" borderId="0" xfId="0" applyBorder="1" applyAlignment="1">
      <alignment wrapText="1"/>
    </xf>
    <xf numFmtId="0" fontId="0" fillId="0" borderId="0" xfId="0" applyAlignment="1">
      <alignment wrapText="1"/>
    </xf>
    <xf numFmtId="0" fontId="5" fillId="0" borderId="1" xfId="0" applyFont="1" applyBorder="1" applyAlignment="1">
      <alignment horizontal="center" vertical="center" wrapText="1"/>
    </xf>
    <xf numFmtId="0" fontId="0" fillId="0" borderId="5" xfId="0" applyBorder="1" applyAlignment="1"/>
    <xf numFmtId="14" fontId="0" fillId="0" borderId="1" xfId="0" applyNumberFormat="1" applyBorder="1" applyAlignment="1"/>
    <xf numFmtId="0" fontId="0" fillId="5" borderId="1" xfId="0" applyFill="1" applyBorder="1" applyAlignment="1"/>
    <xf numFmtId="0" fontId="0" fillId="5" borderId="4" xfId="0" applyFill="1" applyBorder="1" applyAlignment="1"/>
    <xf numFmtId="0" fontId="0" fillId="0" borderId="11" xfId="0" applyBorder="1" applyAlignment="1"/>
    <xf numFmtId="14" fontId="0" fillId="0" borderId="2" xfId="0" applyNumberFormat="1" applyBorder="1" applyAlignment="1"/>
    <xf numFmtId="0" fontId="0" fillId="5" borderId="2" xfId="0" applyFill="1" applyBorder="1" applyAlignment="1"/>
    <xf numFmtId="0" fontId="0" fillId="5" borderId="12" xfId="0" applyFill="1" applyBorder="1" applyAlignment="1"/>
    <xf numFmtId="0" fontId="0" fillId="0" borderId="0" xfId="0" applyBorder="1" applyAlignment="1"/>
    <xf numFmtId="0" fontId="0" fillId="8" borderId="1" xfId="0" applyFill="1" applyBorder="1" applyAlignment="1"/>
    <xf numFmtId="165" fontId="0" fillId="0" borderId="1" xfId="1" applyNumberFormat="1" applyFont="1" applyBorder="1" applyAlignment="1">
      <alignment horizontal="center" vertical="center" wrapText="1"/>
    </xf>
    <xf numFmtId="165" fontId="0" fillId="0" borderId="4" xfId="1" applyNumberFormat="1" applyFont="1" applyBorder="1" applyAlignment="1">
      <alignment horizontal="center" vertical="center" wrapText="1"/>
    </xf>
    <xf numFmtId="165" fontId="0" fillId="2" borderId="1" xfId="1" applyNumberFormat="1" applyFont="1" applyFill="1" applyBorder="1" applyAlignment="1">
      <alignment horizontal="center" vertical="center" wrapText="1"/>
    </xf>
    <xf numFmtId="165" fontId="0" fillId="2" borderId="4" xfId="1" applyNumberFormat="1" applyFont="1" applyFill="1" applyBorder="1" applyAlignment="1">
      <alignment horizontal="center" vertical="center" wrapText="1"/>
    </xf>
    <xf numFmtId="165" fontId="0" fillId="4" borderId="1" xfId="1" applyNumberFormat="1" applyFont="1" applyFill="1" applyBorder="1" applyAlignment="1">
      <alignment horizontal="center" vertical="center" wrapText="1"/>
    </xf>
    <xf numFmtId="165" fontId="0" fillId="4" borderId="4" xfId="1" applyNumberFormat="1" applyFont="1" applyFill="1" applyBorder="1" applyAlignment="1">
      <alignment horizontal="center" vertical="center" wrapText="1"/>
    </xf>
    <xf numFmtId="165" fontId="0" fillId="0" borderId="2" xfId="1" applyNumberFormat="1" applyFont="1" applyBorder="1" applyAlignment="1">
      <alignment horizontal="center" vertical="center" wrapText="1"/>
    </xf>
    <xf numFmtId="165" fontId="0" fillId="0" borderId="12" xfId="1" applyNumberFormat="1" applyFont="1" applyBorder="1" applyAlignment="1">
      <alignment horizontal="center" vertical="center" wrapText="1"/>
    </xf>
    <xf numFmtId="165" fontId="2" fillId="8" borderId="1" xfId="1" applyNumberFormat="1" applyFont="1" applyFill="1" applyBorder="1" applyAlignment="1">
      <alignment horizontal="center"/>
    </xf>
    <xf numFmtId="0" fontId="0" fillId="0" borderId="9" xfId="0" applyBorder="1" applyAlignment="1"/>
    <xf numFmtId="0" fontId="0" fillId="0" borderId="1"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1" xfId="0" applyFont="1" applyBorder="1" applyAlignment="1">
      <alignment horizontal="center" vertical="center"/>
    </xf>
    <xf numFmtId="0" fontId="0" fillId="2" borderId="1" xfId="0" applyFont="1" applyFill="1" applyBorder="1" applyAlignment="1">
      <alignment horizontal="center" vertical="center"/>
    </xf>
    <xf numFmtId="0" fontId="0" fillId="4" borderId="1" xfId="0" applyFont="1" applyFill="1" applyBorder="1" applyAlignment="1">
      <alignment horizontal="center" vertical="center"/>
    </xf>
    <xf numFmtId="0" fontId="3" fillId="0" borderId="1" xfId="0" applyFont="1" applyBorder="1" applyAlignment="1">
      <alignment horizontal="center" vertical="center" wrapText="1"/>
    </xf>
    <xf numFmtId="0" fontId="3" fillId="0" borderId="5" xfId="0" applyFont="1" applyBorder="1" applyAlignment="1">
      <alignment horizontal="center" vertical="center" wrapText="1"/>
    </xf>
    <xf numFmtId="10" fontId="3" fillId="0" borderId="4" xfId="0" applyNumberFormat="1" applyFont="1" applyBorder="1" applyAlignment="1">
      <alignment horizontal="center" vertical="center" wrapText="1"/>
    </xf>
    <xf numFmtId="10" fontId="5" fillId="5" borderId="4" xfId="0" applyNumberFormat="1" applyFont="1" applyFill="1" applyBorder="1" applyAlignment="1">
      <alignment horizontal="center" vertical="center" wrapText="1"/>
    </xf>
    <xf numFmtId="9" fontId="3" fillId="0" borderId="4" xfId="0" applyNumberFormat="1" applyFont="1" applyBorder="1" applyAlignment="1">
      <alignment horizontal="center" vertical="center" wrapText="1"/>
    </xf>
    <xf numFmtId="0" fontId="4" fillId="0" borderId="10" xfId="0" applyFont="1" applyBorder="1" applyAlignment="1">
      <alignment horizontal="center" vertical="center" wrapText="1"/>
    </xf>
    <xf numFmtId="0" fontId="4" fillId="0" borderId="3" xfId="0" applyFont="1" applyBorder="1" applyAlignment="1">
      <alignment horizontal="center" vertical="center" wrapText="1"/>
    </xf>
    <xf numFmtId="0" fontId="4" fillId="0" borderId="7"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2" xfId="0" applyFont="1" applyBorder="1" applyAlignment="1">
      <alignment horizontal="center" vertical="center" wrapText="1"/>
    </xf>
    <xf numFmtId="0" fontId="5" fillId="4" borderId="2" xfId="0" applyFont="1" applyFill="1" applyBorder="1" applyAlignment="1">
      <alignment horizontal="center" vertical="center" wrapText="1"/>
    </xf>
    <xf numFmtId="10" fontId="3" fillId="0" borderId="12" xfId="0" applyNumberFormat="1" applyFont="1" applyBorder="1" applyAlignment="1">
      <alignment horizontal="center" vertical="center" wrapText="1"/>
    </xf>
    <xf numFmtId="10" fontId="3" fillId="5" borderId="4" xfId="0" applyNumberFormat="1" applyFont="1" applyFill="1" applyBorder="1" applyAlignment="1">
      <alignment horizontal="center" vertical="center" wrapText="1"/>
    </xf>
    <xf numFmtId="0" fontId="0" fillId="0" borderId="0" xfId="0" applyFill="1"/>
    <xf numFmtId="0" fontId="2" fillId="0" borderId="1" xfId="0" applyNumberFormat="1" applyFont="1" applyBorder="1" applyAlignment="1">
      <alignment horizontal="center" vertical="center" wrapText="1"/>
    </xf>
    <xf numFmtId="0" fontId="0" fillId="2" borderId="11" xfId="0" applyFill="1" applyBorder="1" applyAlignment="1">
      <alignment horizontal="center" vertical="center" wrapText="1"/>
    </xf>
    <xf numFmtId="0" fontId="0" fillId="2" borderId="2" xfId="0" applyFill="1" applyBorder="1" applyAlignment="1">
      <alignment horizontal="center" vertical="center" wrapText="1"/>
    </xf>
    <xf numFmtId="0" fontId="0" fillId="0" borderId="0" xfId="0" applyFill="1" applyBorder="1"/>
    <xf numFmtId="0" fontId="2" fillId="0" borderId="5" xfId="0" applyFont="1" applyBorder="1"/>
    <xf numFmtId="0" fontId="2" fillId="0" borderId="10" xfId="0" applyFont="1" applyBorder="1"/>
    <xf numFmtId="0" fontId="2" fillId="0" borderId="3" xfId="0" applyFont="1" applyBorder="1" applyAlignment="1">
      <alignment horizontal="center" vertical="center" wrapText="1"/>
    </xf>
    <xf numFmtId="0" fontId="2" fillId="0" borderId="11" xfId="0" applyFont="1" applyBorder="1"/>
    <xf numFmtId="9" fontId="0" fillId="0" borderId="0" xfId="1" applyFont="1" applyBorder="1"/>
    <xf numFmtId="9" fontId="0" fillId="0" borderId="0" xfId="1" applyFont="1"/>
    <xf numFmtId="2" fontId="0" fillId="0" borderId="1" xfId="0" applyNumberFormat="1" applyBorder="1"/>
    <xf numFmtId="166" fontId="2" fillId="8" borderId="1" xfId="1" applyNumberFormat="1" applyFont="1" applyFill="1" applyBorder="1" applyAlignment="1">
      <alignment horizontal="center"/>
    </xf>
    <xf numFmtId="0" fontId="3" fillId="0" borderId="15" xfId="0" applyFont="1" applyBorder="1" applyAlignment="1">
      <alignment vertical="center" wrapText="1"/>
    </xf>
    <xf numFmtId="0" fontId="3" fillId="0" borderId="16" xfId="0" applyFont="1" applyBorder="1" applyAlignment="1">
      <alignment vertical="center" wrapText="1"/>
    </xf>
    <xf numFmtId="0" fontId="5" fillId="0" borderId="1" xfId="0" applyFont="1" applyBorder="1" applyAlignment="1">
      <alignment vertical="center" wrapText="1"/>
    </xf>
    <xf numFmtId="0" fontId="0" fillId="0" borderId="5" xfId="0" applyBorder="1" applyAlignment="1">
      <alignment wrapText="1"/>
    </xf>
    <xf numFmtId="0" fontId="0" fillId="0" borderId="5" xfId="0" applyFill="1" applyBorder="1" applyAlignment="1">
      <alignment wrapText="1"/>
    </xf>
    <xf numFmtId="0" fontId="0" fillId="0" borderId="6" xfId="0" applyBorder="1" applyAlignment="1">
      <alignment wrapText="1"/>
    </xf>
    <xf numFmtId="0" fontId="0" fillId="0" borderId="6" xfId="0" applyFill="1" applyBorder="1" applyAlignment="1">
      <alignment wrapText="1"/>
    </xf>
    <xf numFmtId="0" fontId="2" fillId="0" borderId="4" xfId="0" applyFont="1" applyBorder="1" applyAlignment="1">
      <alignment horizontal="center" vertical="center" wrapText="1"/>
    </xf>
    <xf numFmtId="0" fontId="0" fillId="0" borderId="13" xfId="0" applyBorder="1" applyAlignment="1">
      <alignment wrapText="1"/>
    </xf>
    <xf numFmtId="0" fontId="0" fillId="0" borderId="3" xfId="0" applyFill="1" applyBorder="1" applyAlignment="1">
      <alignment wrapText="1"/>
    </xf>
    <xf numFmtId="0" fontId="4"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7" fillId="0" borderId="1" xfId="0" applyFont="1" applyBorder="1" applyAlignment="1">
      <alignment horizontal="center" vertical="center" wrapText="1"/>
    </xf>
    <xf numFmtId="0" fontId="4" fillId="0" borderId="1" xfId="0" applyFont="1" applyBorder="1" applyAlignment="1">
      <alignment horizontal="center" vertical="center"/>
    </xf>
    <xf numFmtId="0" fontId="4" fillId="0" borderId="0" xfId="0" applyFont="1" applyBorder="1" applyAlignment="1">
      <alignment horizontal="center" vertical="center" wrapText="1"/>
    </xf>
    <xf numFmtId="0" fontId="7" fillId="0" borderId="2" xfId="0" applyFont="1" applyBorder="1" applyAlignment="1">
      <alignment horizontal="center" vertical="center" wrapText="1"/>
    </xf>
    <xf numFmtId="0" fontId="7" fillId="0" borderId="8" xfId="0" applyFont="1" applyBorder="1" applyAlignment="1">
      <alignment horizontal="center" vertical="center" wrapText="1"/>
    </xf>
    <xf numFmtId="0" fontId="7" fillId="0" borderId="3" xfId="0" applyFont="1" applyBorder="1" applyAlignment="1">
      <alignment horizontal="center" vertical="center" wrapText="1"/>
    </xf>
    <xf numFmtId="0" fontId="2" fillId="0" borderId="1" xfId="0" applyFont="1" applyBorder="1" applyAlignment="1">
      <alignment horizontal="center"/>
    </xf>
    <xf numFmtId="0" fontId="2" fillId="10" borderId="4" xfId="0" applyFont="1" applyFill="1" applyBorder="1" applyAlignment="1">
      <alignment horizontal="center"/>
    </xf>
    <xf numFmtId="0" fontId="2" fillId="10" borderId="6" xfId="0" applyFont="1" applyFill="1" applyBorder="1" applyAlignment="1">
      <alignment horizontal="center"/>
    </xf>
    <xf numFmtId="0" fontId="2" fillId="10" borderId="5" xfId="0" applyFont="1" applyFill="1" applyBorder="1" applyAlignment="1">
      <alignment horizontal="center"/>
    </xf>
    <xf numFmtId="0" fontId="2" fillId="0" borderId="1" xfId="0" applyFont="1" applyBorder="1" applyAlignment="1">
      <alignment horizontal="left" wrapText="1"/>
    </xf>
    <xf numFmtId="0" fontId="2" fillId="0" borderId="4" xfId="0" applyFont="1" applyBorder="1" applyAlignment="1">
      <alignment horizontal="center"/>
    </xf>
    <xf numFmtId="0" fontId="2" fillId="0" borderId="6" xfId="0" applyFont="1" applyBorder="1" applyAlignment="1">
      <alignment horizontal="center"/>
    </xf>
    <xf numFmtId="0" fontId="2" fillId="0" borderId="5" xfId="0" applyFont="1" applyBorder="1" applyAlignment="1">
      <alignment horizontal="center"/>
    </xf>
    <xf numFmtId="0" fontId="2" fillId="0" borderId="2" xfId="0" applyFont="1" applyBorder="1" applyAlignment="1">
      <alignment horizontal="left" wrapText="1"/>
    </xf>
    <xf numFmtId="0" fontId="5" fillId="0" borderId="7" xfId="0" applyFont="1" applyBorder="1" applyAlignment="1">
      <alignment horizontal="center" vertical="center" wrapText="1"/>
    </xf>
    <xf numFmtId="0" fontId="5" fillId="0" borderId="14" xfId="0" applyFont="1" applyBorder="1" applyAlignment="1">
      <alignment horizontal="center" vertical="center" wrapText="1"/>
    </xf>
    <xf numFmtId="0" fontId="2" fillId="10" borderId="1" xfId="0" applyFont="1" applyFill="1" applyBorder="1" applyAlignment="1">
      <alignment horizontal="center"/>
    </xf>
    <xf numFmtId="0" fontId="2" fillId="0" borderId="1" xfId="0" applyFont="1" applyBorder="1" applyAlignment="1">
      <alignment horizontal="left" vertical="center"/>
    </xf>
    <xf numFmtId="0" fontId="2" fillId="0" borderId="4" xfId="0" applyFont="1" applyBorder="1" applyAlignment="1">
      <alignment horizontal="left" vertical="center"/>
    </xf>
    <xf numFmtId="0" fontId="2" fillId="0" borderId="6" xfId="0" applyFont="1" applyBorder="1" applyAlignment="1">
      <alignment horizontal="left" vertical="center"/>
    </xf>
    <xf numFmtId="0" fontId="2" fillId="0" borderId="5" xfId="0" applyFont="1" applyBorder="1" applyAlignment="1">
      <alignment horizontal="left" vertical="center"/>
    </xf>
  </cellXfs>
  <cellStyles count="3">
    <cellStyle name="Currency" xfId="2" builtinId="4"/>
    <cellStyle name="Normal" xfId="0" builtinId="0"/>
    <cellStyle name="Percent" xfId="1" builtinId="5"/>
  </cellStyles>
  <dxfs count="809">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0070C0"/>
        </patternFill>
      </fill>
    </dxf>
    <dxf>
      <font>
        <color theme="0"/>
      </font>
      <fill>
        <patternFill>
          <bgColor rgb="FFC00000"/>
        </patternFill>
      </fill>
    </dxf>
    <dxf>
      <font>
        <color theme="0"/>
      </font>
      <fill>
        <patternFill>
          <bgColor rgb="FF0070C0"/>
        </patternFill>
      </fill>
    </dxf>
    <dxf>
      <font>
        <color theme="0"/>
      </font>
      <fill>
        <patternFill>
          <bgColor rgb="FF0070C0"/>
        </patternFill>
      </fill>
    </dxf>
    <dxf>
      <font>
        <color theme="0"/>
      </font>
      <fill>
        <patternFill>
          <bgColor rgb="FFC00000"/>
        </patternFill>
      </fill>
    </dxf>
    <dxf>
      <font>
        <color theme="0"/>
      </font>
      <fill>
        <patternFill>
          <bgColor rgb="FF0070C0"/>
        </patternFill>
      </fill>
    </dxf>
    <dxf>
      <font>
        <color theme="0"/>
      </font>
      <fill>
        <patternFill>
          <bgColor rgb="FFC00000"/>
        </patternFill>
      </fill>
    </dxf>
    <dxf>
      <font>
        <color theme="0"/>
      </font>
      <fill>
        <patternFill>
          <bgColor rgb="FFC00000"/>
        </patternFill>
      </fill>
    </dxf>
    <dxf>
      <font>
        <color theme="0"/>
      </font>
      <fill>
        <patternFill>
          <bgColor rgb="FF0070C0"/>
        </patternFill>
      </fill>
    </dxf>
    <dxf>
      <font>
        <color theme="0"/>
      </font>
      <fill>
        <patternFill>
          <bgColor rgb="FFC00000"/>
        </patternFill>
      </fill>
    </dxf>
    <dxf>
      <font>
        <color theme="0"/>
      </font>
      <fill>
        <patternFill>
          <bgColor rgb="FF0070C0"/>
        </patternFill>
      </fill>
    </dxf>
    <dxf>
      <font>
        <color theme="0"/>
      </font>
      <fill>
        <patternFill>
          <bgColor rgb="FFC00000"/>
        </patternFill>
      </fill>
    </dxf>
    <dxf>
      <font>
        <color theme="0"/>
      </font>
      <fill>
        <patternFill>
          <bgColor rgb="FF0070C0"/>
        </patternFill>
      </fill>
    </dxf>
    <dxf>
      <font>
        <color theme="0"/>
      </font>
      <fill>
        <patternFill>
          <bgColor rgb="FF0070C0"/>
        </patternFill>
      </fill>
    </dxf>
    <dxf>
      <font>
        <color theme="0"/>
      </font>
      <fill>
        <patternFill>
          <bgColor rgb="FFC00000"/>
        </patternFill>
      </fill>
    </dxf>
    <dxf>
      <font>
        <color theme="0"/>
      </font>
      <fill>
        <patternFill>
          <bgColor rgb="FF0070C0"/>
        </patternFill>
      </fill>
    </dxf>
    <dxf>
      <font>
        <color theme="0"/>
      </font>
      <fill>
        <patternFill>
          <bgColor rgb="FFC00000"/>
        </patternFill>
      </fill>
    </dxf>
    <dxf>
      <font>
        <color theme="0"/>
      </font>
      <fill>
        <patternFill>
          <bgColor rgb="FF0070C0"/>
        </patternFill>
      </fill>
    </dxf>
    <dxf>
      <font>
        <color theme="0"/>
      </font>
      <fill>
        <patternFill>
          <bgColor rgb="FFC00000"/>
        </patternFill>
      </fill>
    </dxf>
    <dxf>
      <font>
        <color theme="0"/>
      </font>
      <fill>
        <patternFill>
          <bgColor rgb="FF0070C0"/>
        </patternFill>
      </fill>
    </dxf>
    <dxf>
      <font>
        <color theme="0"/>
      </font>
      <fill>
        <patternFill>
          <bgColor rgb="FFC00000"/>
        </patternFill>
      </fill>
    </dxf>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family val="2"/>
        <scheme val="minor"/>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family val="2"/>
        <scheme val="minor"/>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family val="2"/>
        <scheme val="minor"/>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alignment horizontal="center" vertical="center" textRotation="0" wrapText="1" indent="0" justifyLastLine="0" shrinkToFit="0" readingOrder="0"/>
      <border diagonalUp="0" diagonalDown="0">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numFmt numFmtId="165" formatCode="0.000"/>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5" formatCode="0.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5" formatCode="0.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5" formatCode="0.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5" formatCode="0.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5" formatCode="0.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5" formatCode="0.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5" formatCode="0.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5" formatCode="0.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5" formatCode="0.00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165" formatCode="0.00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165" formatCode="0.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5" formatCode="0.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5" formatCode="0.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5" formatCode="0.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5" formatCode="0.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5" formatCode="0.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5" formatCode="0.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165" formatCode="0.00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rgb="FF00B0F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1"/>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fill>
        <patternFill patternType="solid">
          <fgColor indexed="64"/>
          <bgColor rgb="FF00B0F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fill>
        <patternFill patternType="solid">
          <fgColor indexed="64"/>
          <bgColor rgb="FF00B0F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Times New Roman"/>
        <family val="1"/>
        <scheme val="none"/>
      </font>
      <numFmt numFmtId="14" formatCode="0.0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Times New Roman"/>
        <family val="1"/>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Times New Roman"/>
        <family val="1"/>
        <scheme val="none"/>
      </font>
      <fill>
        <patternFill patternType="solid">
          <fgColor indexed="64"/>
          <bgColor rgb="FF00B0F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Times New Roman"/>
        <family val="1"/>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theme="1"/>
        <name val="Times New Roman"/>
        <family val="1"/>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rgb="FFFFFF00"/>
        </patternFill>
      </fill>
      <border diagonalUp="0" diagonalDown="0">
        <left style="thin">
          <color indexed="64"/>
        </left>
        <right/>
        <top style="thin">
          <color indexed="64"/>
        </top>
        <bottom style="thin">
          <color indexed="64"/>
        </bottom>
        <vertical/>
        <horizontal/>
      </border>
    </dxf>
    <dxf>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m/d/yyyy"/>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style="thin">
          <color indexed="64"/>
        </left>
        <right style="thin">
          <color indexed="64"/>
        </right>
        <top style="thin">
          <color indexed="64"/>
        </top>
        <bottom style="thin">
          <color indexed="64"/>
        </bottom>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rgb="FFFFFF00"/>
        </patternFill>
      </fill>
      <border diagonalUp="0" diagonalDown="0">
        <left style="thin">
          <color indexed="64"/>
        </left>
        <right/>
        <top style="thin">
          <color indexed="64"/>
        </top>
        <bottom style="thin">
          <color indexed="64"/>
        </bottom>
        <vertical/>
        <horizontal/>
      </border>
    </dxf>
    <dxf>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m/d/yyyy"/>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rgb="FFFFFF00"/>
        </patternFill>
      </fill>
      <border diagonalUp="0" diagonalDown="0">
        <left style="thin">
          <color indexed="64"/>
        </left>
        <right/>
        <top style="thin">
          <color indexed="64"/>
        </top>
        <bottom style="thin">
          <color indexed="64"/>
        </bottom>
        <vertical/>
        <horizontal/>
      </border>
    </dxf>
    <dxf>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m/d/yyyy"/>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rgb="FFFFFF00"/>
        </patternFill>
      </fill>
      <border diagonalUp="0" diagonalDown="0">
        <left style="thin">
          <color indexed="64"/>
        </left>
        <right/>
        <top style="thin">
          <color indexed="64"/>
        </top>
        <bottom style="thin">
          <color indexed="64"/>
        </bottom>
        <vertical/>
        <horizontal/>
      </border>
    </dxf>
    <dxf>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m/d/yyyy"/>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rgb="FFFFFF00"/>
        </patternFill>
      </fill>
      <border diagonalUp="0" diagonalDown="0">
        <left style="thin">
          <color indexed="64"/>
        </left>
        <right/>
        <top style="thin">
          <color indexed="64"/>
        </top>
        <bottom style="thin">
          <color indexed="64"/>
        </bottom>
        <vertical/>
        <horizontal/>
      </border>
    </dxf>
    <dxf>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m/d/yyyy"/>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rgb="FFFFFF00"/>
        </patternFill>
      </fill>
      <border diagonalUp="0" diagonalDown="0">
        <left style="thin">
          <color indexed="64"/>
        </left>
        <right/>
        <top style="thin">
          <color indexed="64"/>
        </top>
        <bottom style="thin">
          <color indexed="64"/>
        </bottom>
        <vertical/>
        <horizontal/>
      </border>
    </dxf>
    <dxf>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m/d/yyyy"/>
      <border diagonalUp="0" diagonalDown="0">
        <left style="thin">
          <color indexed="64"/>
        </left>
        <right style="thin">
          <color indexed="64"/>
        </right>
        <top style="thin">
          <color indexed="64"/>
        </top>
        <bottom style="thin">
          <color indexed="64"/>
        </bottom>
        <vertical/>
        <horizontal/>
      </border>
    </dxf>
    <dxf>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rgb="FFFFFF00"/>
        </patternFill>
      </fill>
      <border diagonalUp="0" diagonalDown="0">
        <left style="thin">
          <color indexed="64"/>
        </left>
        <right/>
        <top style="thin">
          <color indexed="64"/>
        </top>
        <bottom style="thin">
          <color indexed="64"/>
        </bottom>
        <vertical/>
        <horizontal/>
      </border>
    </dxf>
    <dxf>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m/d/yyyy"/>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rgb="FFFFFF00"/>
        </patternFill>
      </fill>
      <border diagonalUp="0" diagonalDown="0">
        <left style="thin">
          <color indexed="64"/>
        </left>
        <right/>
        <top style="thin">
          <color indexed="64"/>
        </top>
        <bottom style="thin">
          <color indexed="64"/>
        </bottom>
        <vertical/>
        <horizontal/>
      </border>
    </dxf>
    <dxf>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m/d/yyyy"/>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rgb="FFFFFF00"/>
        </patternFill>
      </fill>
      <border diagonalUp="0" diagonalDown="0">
        <left style="thin">
          <color indexed="64"/>
        </left>
        <right/>
        <top style="thin">
          <color indexed="64"/>
        </top>
        <bottom style="thin">
          <color indexed="64"/>
        </bottom>
        <vertical/>
        <horizontal/>
      </border>
    </dxf>
    <dxf>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m/d/yyyy"/>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rgb="FFFFFF00"/>
        </patternFill>
      </fill>
      <border diagonalUp="0" diagonalDown="0">
        <left style="thin">
          <color indexed="64"/>
        </left>
        <right/>
        <top style="thin">
          <color indexed="64"/>
        </top>
        <bottom style="thin">
          <color indexed="64"/>
        </bottom>
        <vertical/>
        <horizontal/>
      </border>
    </dxf>
    <dxf>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m/d/yyyy"/>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rgb="FFFFC000"/>
        </patternFill>
      </fill>
      <border diagonalUp="0" diagonalDown="0">
        <left style="thin">
          <color indexed="64"/>
        </left>
        <right/>
        <top style="thin">
          <color indexed="64"/>
        </top>
        <bottom style="thin">
          <color indexed="64"/>
        </bottom>
        <vertical/>
        <horizontal/>
      </border>
    </dxf>
    <dxf>
      <fill>
        <patternFill patternType="solid">
          <fgColor indexed="64"/>
          <bgColor rgb="FFFFC00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C00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C00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C00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C00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C00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C00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C00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C000"/>
        </patternFill>
      </fill>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rgb="FFFFC000"/>
        </patternFill>
      </fill>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rgb="FFFFC00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C00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C00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C00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C00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C00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C00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C00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rgb="FFFFC000"/>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m/d/yyyy"/>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ill>
        <patternFill patternType="solid">
          <fgColor indexed="64"/>
          <bgColor rgb="FFFFC000"/>
        </patternFill>
      </fill>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rgb="FFFFFF00"/>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rgb="FFFFFF00"/>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m/d/yyyy"/>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alignment horizontal="general" vertical="bottom" textRotation="0" wrapText="0" indent="0" justifyLastLine="0" shrinkToFit="0" readingOrder="0"/>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rgb="FFFFFF00"/>
        </patternFill>
      </fill>
      <border diagonalUp="0" diagonalDown="0">
        <left style="thin">
          <color indexed="64"/>
        </left>
        <right/>
        <top style="thin">
          <color indexed="64"/>
        </top>
        <bottom style="thin">
          <color indexed="64"/>
        </bottom>
        <vertical/>
        <horizontal/>
      </border>
    </dxf>
    <dxf>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m/d/yyyy"/>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rgb="FFFFFF00"/>
        </patternFill>
      </fill>
      <border diagonalUp="0" diagonalDown="0">
        <left style="thin">
          <color indexed="64"/>
        </left>
        <right/>
        <top style="thin">
          <color indexed="64"/>
        </top>
        <bottom style="thin">
          <color indexed="64"/>
        </bottom>
        <vertical/>
        <horizontal/>
      </border>
    </dxf>
    <dxf>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m/d/yyyy"/>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rgb="FFFFFF00"/>
        </patternFill>
      </fill>
      <border diagonalUp="0" diagonalDown="0">
        <left style="thin">
          <color indexed="64"/>
        </left>
        <right/>
        <top style="thin">
          <color indexed="64"/>
        </top>
        <bottom style="thin">
          <color indexed="64"/>
        </bottom>
        <vertical/>
        <horizontal/>
      </border>
    </dxf>
    <dxf>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19" formatCode="m/d/yyyy"/>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rgb="FFFFFF00"/>
        </patternFill>
      </fill>
      <border diagonalUp="0" diagonalDown="0">
        <left style="thin">
          <color indexed="64"/>
        </left>
        <right/>
        <top style="thin">
          <color indexed="64"/>
        </top>
        <bottom style="thin">
          <color indexed="64"/>
        </bottom>
        <vertical/>
        <horizontal/>
      </border>
    </dxf>
    <dxf>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m/d/yyyy"/>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rgb="FFFFFF00"/>
        </patternFill>
      </fill>
      <border diagonalUp="0" diagonalDown="0">
        <left style="thin">
          <color indexed="64"/>
        </left>
        <right/>
        <top style="thin">
          <color indexed="64"/>
        </top>
        <bottom style="thin">
          <color indexed="64"/>
        </bottom>
        <vertical/>
        <horizontal/>
      </border>
    </dxf>
    <dxf>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m/d/yyyy"/>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rgb="FFFFFF00"/>
        </patternFill>
      </fill>
      <border diagonalUp="0" diagonalDown="0">
        <left style="thin">
          <color indexed="64"/>
        </left>
        <right/>
        <top style="thin">
          <color indexed="64"/>
        </top>
        <bottom style="thin">
          <color indexed="64"/>
        </bottom>
        <vertical/>
        <horizontal/>
      </border>
    </dxf>
    <dxf>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m/d/yyyy"/>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rgb="FFFFFF00"/>
        </patternFill>
      </fill>
      <border diagonalUp="0" diagonalDown="0">
        <left style="thin">
          <color indexed="64"/>
        </left>
        <right/>
        <top style="thin">
          <color indexed="64"/>
        </top>
        <bottom style="thin">
          <color indexed="64"/>
        </bottom>
        <vertical/>
        <horizontal/>
      </border>
    </dxf>
    <dxf>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m/d/yyyy"/>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indexed="64"/>
          <bgColor rgb="FFFFFF00"/>
        </patternFill>
      </fill>
      <border diagonalUp="0" diagonalDown="0">
        <left style="thin">
          <color indexed="64"/>
        </left>
        <right/>
        <top style="thin">
          <color indexed="64"/>
        </top>
        <bottom style="thin">
          <color indexed="64"/>
        </bottom>
        <vertical/>
        <horizontal/>
      </border>
    </dxf>
    <dxf>
      <fill>
        <patternFill patternType="solid">
          <fgColor indexed="64"/>
          <bgColor rgb="FFFFFF00"/>
        </patternFill>
      </fil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bottom style="thin">
          <color indexed="64"/>
        </bottom>
        <vertical/>
        <horizontal/>
      </border>
    </dxf>
    <dxf>
      <border diagonalUp="0" diagonalDown="0">
        <left style="thin">
          <color indexed="64"/>
        </left>
        <right style="thin">
          <color indexed="64"/>
        </right>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9" formatCode="m/d/yyyy"/>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B505FF4-56B7-4112-8A2F-56A35655ED25}" name="Table1" displayName="Table1" ref="A1:AD86" totalsRowShown="0" headerRowDxfId="808" tableBorderDxfId="807">
  <autoFilter ref="A1:AD86" xr:uid="{4007AA16-4898-49CA-AE9D-73E72C860527}"/>
  <tableColumns count="30">
    <tableColumn id="1" xr3:uid="{51AA010D-08CA-4F02-B744-92F2398D95AB}" name="Tweet ID" dataDxfId="806"/>
    <tableColumn id="2" xr3:uid="{591B98D5-86B8-45E9-AD9F-D724FA19A856}" name="Link" dataDxfId="805"/>
    <tableColumn id="3" xr3:uid="{CFDB7C63-BE84-4EAD-AFCC-D361773F8B67}" name="Plain Text" dataDxfId="804"/>
    <tableColumn id="4" xr3:uid="{4834BE40-C19D-4646-A6B5-9FF4EFA03C32}" name="Date" dataDxfId="803"/>
    <tableColumn id="5" xr3:uid="{B23EFC62-BDA4-4B48-924D-F83027FDDD30}" name="Tweet (1), Retweet (2), Reply (3)" dataDxfId="802"/>
    <tableColumn id="6" xr3:uid="{54300745-542F-4EB5-A375-087562DD0023}" name="Likes" dataDxfId="801"/>
    <tableColumn id="7" xr3:uid="{CE5A7D17-D41F-46DC-BA6C-855BC6523D44}" name="Retweets" dataDxfId="800"/>
    <tableColumn id="8" xr3:uid="{F1318581-F19D-496F-8044-14A08A726E18}" name="Candidate" dataDxfId="799"/>
    <tableColumn id="9" xr3:uid="{F7963C1B-CB97-4466-91C8-FBF23FCDCEA1}" name="State" dataDxfId="798"/>
    <tableColumn id="10" xr3:uid="{1275F9BA-C31A-407D-8036-0180EF95BDEE}" name="Party" dataDxfId="797"/>
    <tableColumn id="11" xr3:uid="{F8A51759-C416-471C-9154-C972EC972746}" name="Economy" dataDxfId="796">
      <calculatedColumnFormula array="1">INT(SUMPRODUCT(--ISNUMBER(SEARCH(economy,'Martha McSally'!C2)))&gt;0)</calculatedColumnFormula>
    </tableColumn>
    <tableColumn id="12" xr3:uid="{F9F1D40A-6F7C-4A0C-8D36-895E85488CC2}" name="Healthcare" dataDxfId="795">
      <calculatedColumnFormula array="1">INT(SUMPRODUCT(--ISNUMBER(SEARCH(healthcare,'Martha McSally'!C2)))&gt;0)</calculatedColumnFormula>
    </tableColumn>
    <tableColumn id="13" xr3:uid="{EC0D3937-A613-4202-80DB-E822625955DD}" name="Supreme Court appointments" dataDxfId="794">
      <calculatedColumnFormula array="1">INT(SUMPRODUCT(--ISNUMBER(SEARCH(supreme,'Martha McSally'!C2)))&gt;0)</calculatedColumnFormula>
    </tableColumn>
    <tableColumn id="14" xr3:uid="{81A77455-45D9-40BD-B5DB-423F97AC84E7}" name="COVID-19" dataDxfId="793">
      <calculatedColumnFormula array="1">INT(SUMPRODUCT(--ISNUMBER(SEARCH(covid,'Martha McSally'!C2)))&gt;0)</calculatedColumnFormula>
    </tableColumn>
    <tableColumn id="15" xr3:uid="{94EF8812-FD3D-434F-9123-6578CAA7D1D4}" name="Violent Crime" dataDxfId="792">
      <calculatedColumnFormula array="1">INT(SUMPRODUCT(--ISNUMBER(SEARCH(violent,'Martha McSally'!C2)))&gt;0)</calculatedColumnFormula>
    </tableColumn>
    <tableColumn id="16" xr3:uid="{F78A75F0-F892-4ECA-A03F-1A584C24BBF2}" name="Foreign policy" dataDxfId="791">
      <calculatedColumnFormula array="1">INT(SUMPRODUCT(--ISNUMBER(SEARCH(foreign,'Martha McSally'!C2)))&gt;0)</calculatedColumnFormula>
    </tableColumn>
    <tableColumn id="17" xr3:uid="{0F71AFAD-6BDB-476F-9F77-C5A9CDAE4FF8}" name="Gun policy" dataDxfId="790">
      <calculatedColumnFormula array="1">INT(SUMPRODUCT(--ISNUMBER(SEARCH(gun,'Martha McSally'!C2)))&gt;0)</calculatedColumnFormula>
    </tableColumn>
    <tableColumn id="18" xr3:uid="{CE9F249A-A2B2-424E-8E45-9794CA170F76}" name="Race and ethnic inequality" dataDxfId="789">
      <calculatedColumnFormula array="1">INT(SUMPRODUCT(--ISNUMBER(SEARCH(race,'Martha McSally'!C2)))&gt;0)</calculatedColumnFormula>
    </tableColumn>
    <tableColumn id="29" xr3:uid="{89D50B0E-81BE-4545-9160-A05752691482}" name="Immigration" dataDxfId="788">
      <calculatedColumnFormula array="1">INT(SUMPRODUCT(--ISNUMBER(SEARCH(immigration,C2)))&gt;0)</calculatedColumnFormula>
    </tableColumn>
    <tableColumn id="30" xr3:uid="{308F4F79-E629-41BA-8367-1893950811B5}" name="Economic inequality" dataDxfId="787">
      <calculatedColumnFormula array="1">INT(SUMPRODUCT(--ISNUMBER(SEARCH(econineq,C2)))&gt;0)</calculatedColumnFormula>
    </tableColumn>
    <tableColumn id="19" xr3:uid="{AEDFC535-B3BE-4DC2-B87F-3828D6866B8E}" name="Climate change" dataDxfId="786">
      <calculatedColumnFormula array="1">INT(SUMPRODUCT(--ISNUMBER(SEARCH(climate,'Martha McSally'!C2)))&gt;0)</calculatedColumnFormula>
    </tableColumn>
    <tableColumn id="20" xr3:uid="{D5F924DC-3F34-471C-8C37-BD364324E5DA}" name="Abortion" dataDxfId="785">
      <calculatedColumnFormula array="1">INT(SUMPRODUCT(--ISNUMBER(SEARCH(abortion,'Martha McSally'!C2)))&gt;0)</calculatedColumnFormula>
    </tableColumn>
    <tableColumn id="21" xr3:uid="{63F642C3-C21D-483B-AFED-BD33BAE884EB}" name="Donald Trump" dataDxfId="784">
      <calculatedColumnFormula array="1">INT(SUMPRODUCT(--ISNUMBER(SEARCH(trump,'Martha McSally'!C2)))&gt;0)</calculatedColumnFormula>
    </tableColumn>
    <tableColumn id="22" xr3:uid="{458BF4E9-F9F6-487E-9D24-35C95E61C1C4}" name="Voting" dataDxfId="783">
      <calculatedColumnFormula array="1">INT(SUMPRODUCT(--ISNUMBER(SEARCH(voting,'Martha McSally'!C2)))&gt;0)</calculatedColumnFormula>
    </tableColumn>
    <tableColumn id="23" xr3:uid="{25EAD7A0-A5E0-49CE-A4BF-48F2012E0A11}" name="Political harangues" dataDxfId="782">
      <calculatedColumnFormula array="1">INT(SUMPRODUCT(--ISNUMBER(SEARCH(republicantrigger,'Martha McSally'!C2)))&gt;0)</calculatedColumnFormula>
    </tableColumn>
    <tableColumn id="24" xr3:uid="{4AF40B1D-8E3E-4A28-B8C7-5B19D5B094AA}" name="Bipartisanship" dataDxfId="781">
      <calculatedColumnFormula array="1">INT(SUMPRODUCT(--ISNUMBER(SEARCH(bipartisan,'Martha McSally'!C2)))&gt;0)</calculatedColumnFormula>
    </tableColumn>
    <tableColumn id="25" xr3:uid="{6038A937-0EA2-4DC2-9B78-B08DCD8A1422}" name="Others" dataDxfId="780">
      <calculatedColumnFormula>INT(IF(COUNTIF(K2:Z2,1)=0,"1","0"))</calculatedColumnFormula>
    </tableColumn>
    <tableColumn id="26" xr3:uid="{449CBDCF-0584-4802-B8BA-55979A879ECA}" name="Non-topic" dataDxfId="779"/>
    <tableColumn id="27" xr3:uid="{474C9820-AF6E-48F6-A118-101478CE9F1E}" name="Photo" dataDxfId="778"/>
    <tableColumn id="28" xr3:uid="{EA37BCE3-C146-4A06-BB26-A97D41467166}" name="Video" dataDxfId="777"/>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F6A99D9-ECAD-40AB-A266-A1E2DA74945C}" name="Table10" displayName="Table10" ref="A1:AD56" totalsRowShown="0" headerRowDxfId="519" dataDxfId="518" tableBorderDxfId="517">
  <autoFilter ref="A1:AD56" xr:uid="{D806F614-C921-439A-90F7-DBEF07A5B6F2}"/>
  <tableColumns count="30">
    <tableColumn id="1" xr3:uid="{051C865B-9891-4D8E-BC86-79EBFA81A678}" name="Tweet ID" dataDxfId="516"/>
    <tableColumn id="2" xr3:uid="{54B5E212-3DE5-4535-A78A-82617B551B29}" name="Link" dataDxfId="515"/>
    <tableColumn id="3" xr3:uid="{AA647B96-FA7A-4D8C-AD0F-166140594EC0}" name="Plain Text" dataDxfId="514"/>
    <tableColumn id="4" xr3:uid="{C5082280-F839-45B5-9F3A-10956EC8DBB5}" name="Date" dataDxfId="513"/>
    <tableColumn id="5" xr3:uid="{6EF04AE0-ABBA-4BFA-B6EB-02121C20BD28}" name="Tweet (1), Retweet (2), Reply (3)" dataDxfId="512"/>
    <tableColumn id="6" xr3:uid="{821DACE9-2672-468B-AFFF-17FFD50342FD}" name="Likes" dataDxfId="511"/>
    <tableColumn id="7" xr3:uid="{0D4E9AD5-1939-4F57-A77D-0C403A9B66B5}" name="Retweets" dataDxfId="510"/>
    <tableColumn id="8" xr3:uid="{25E98658-70E7-4BAA-965E-41619CCE1E8E}" name="Candidate" dataDxfId="509"/>
    <tableColumn id="9" xr3:uid="{405DB7AA-7CD2-4D79-8159-A605F2FA6DE8}" name="State" dataDxfId="508"/>
    <tableColumn id="10" xr3:uid="{584A894D-D36B-452A-8BCD-88790D7AE31A}" name="Party" dataDxfId="507"/>
    <tableColumn id="11" xr3:uid="{FE7D8EDC-B67E-4CF5-AB38-3D00B74B4DB4}" name="Economy" dataDxfId="506">
      <calculatedColumnFormula array="1">INT(SUMPRODUCT(--ISNUMBER(SEARCH(economy,C2)))&gt;0)</calculatedColumnFormula>
    </tableColumn>
    <tableColumn id="12" xr3:uid="{0A11BECE-BD6E-4C95-94E5-B58162BE0018}" name="Healthcare" dataDxfId="505">
      <calculatedColumnFormula array="1">INT(SUMPRODUCT(--ISNUMBER(SEARCH(healthcare,C2)))&gt;0)</calculatedColumnFormula>
    </tableColumn>
    <tableColumn id="13" xr3:uid="{69B3A3A3-151F-42E5-A7C4-09323ADB68FE}" name="Supreme Court appointments" dataDxfId="504">
      <calculatedColumnFormula array="1">INT(SUMPRODUCT(--ISNUMBER(SEARCH(supreme,C2)))&gt;0)</calculatedColumnFormula>
    </tableColumn>
    <tableColumn id="14" xr3:uid="{4C38B303-0F75-4BC5-A346-1E89C77BF2A5}" name="COVID-19" dataDxfId="503">
      <calculatedColumnFormula array="1">INT(SUMPRODUCT(--ISNUMBER(SEARCH(covid,C2)))&gt;0)</calculatedColumnFormula>
    </tableColumn>
    <tableColumn id="15" xr3:uid="{4599F141-7978-4153-A222-4C2FB9808ADD}" name="Violent Crime" dataDxfId="502">
      <calculatedColumnFormula array="1">INT(SUMPRODUCT(--ISNUMBER(SEARCH(violent,C2)))&gt;0)</calculatedColumnFormula>
    </tableColumn>
    <tableColumn id="16" xr3:uid="{99263607-02A1-4355-AB44-0E298C791290}" name="Foreign policy" dataDxfId="501">
      <calculatedColumnFormula array="1">INT(SUMPRODUCT(--ISNUMBER(SEARCH(foreign,C2)))&gt;0)</calculatedColumnFormula>
    </tableColumn>
    <tableColumn id="17" xr3:uid="{A9C8E3B5-074B-43D9-867B-4DCA1C18ADAC}" name="Gun policy" dataDxfId="500">
      <calculatedColumnFormula array="1">INT(SUMPRODUCT(--ISNUMBER(SEARCH(gun,C2)))&gt;0)</calculatedColumnFormula>
    </tableColumn>
    <tableColumn id="18" xr3:uid="{E13BDD67-6C38-4D76-9A5A-F9C60DDE0489}" name="Race and ethnic inequality" dataDxfId="499">
      <calculatedColumnFormula array="1">INT(SUMPRODUCT(--ISNUMBER(SEARCH(race,C2)))&gt;0)</calculatedColumnFormula>
    </tableColumn>
    <tableColumn id="29" xr3:uid="{F27BBB35-313E-4807-B83D-25556B539B1A}" name="Immigration" dataDxfId="498">
      <calculatedColumnFormula array="1">INT(SUMPRODUCT(--ISNUMBER(SEARCH(immigration,C2)))&gt;0)</calculatedColumnFormula>
    </tableColumn>
    <tableColumn id="30" xr3:uid="{2572F71E-54F2-4A71-9F97-055CDB6311F1}" name="Economic inequality" dataDxfId="497">
      <calculatedColumnFormula array="1">INT(SUMPRODUCT(--ISNUMBER(SEARCH(econineq,C3)))&gt;0)</calculatedColumnFormula>
    </tableColumn>
    <tableColumn id="19" xr3:uid="{D2A9E386-F9D5-4587-BFDC-B7F62CA026D0}" name="Climate change" dataDxfId="496">
      <calculatedColumnFormula array="1">INT(SUMPRODUCT(--ISNUMBER(SEARCH(climate,C2)))&gt;0)</calculatedColumnFormula>
    </tableColumn>
    <tableColumn id="20" xr3:uid="{98774D5D-CC3A-459B-9302-611C8D4F1228}" name="Abortion" dataDxfId="495">
      <calculatedColumnFormula array="1">INT(SUMPRODUCT(--ISNUMBER(SEARCH(abortion,C2)))&gt;0)</calculatedColumnFormula>
    </tableColumn>
    <tableColumn id="21" xr3:uid="{05864361-25E8-4FBD-8677-5D445E9D538F}" name="Donald Trump" dataDxfId="494">
      <calculatedColumnFormula array="1">INT(SUMPRODUCT(--ISNUMBER(SEARCH(trump,C2)))&gt;0)</calculatedColumnFormula>
    </tableColumn>
    <tableColumn id="22" xr3:uid="{1F33F113-A8C6-42B2-9AA1-ED69F67CAAE5}" name="Voting" dataDxfId="493">
      <calculatedColumnFormula array="1">INT(SUMPRODUCT(--ISNUMBER(SEARCH(voting,C2)))&gt;0)</calculatedColumnFormula>
    </tableColumn>
    <tableColumn id="23" xr3:uid="{BEE1CCCF-470E-4EBA-B334-71735FDB1CDA}" name="Political harangues" dataDxfId="492">
      <calculatedColumnFormula array="1">INT(SUMPRODUCT(--ISNUMBER(SEARCH(republicantrigger,C2)))&gt;0)</calculatedColumnFormula>
    </tableColumn>
    <tableColumn id="24" xr3:uid="{578ED00B-902A-42FE-A25F-57C1C8FF8C79}" name="Bipartisanship" dataDxfId="491">
      <calculatedColumnFormula array="1">INT(SUMPRODUCT(--ISNUMBER(SEARCH(bipartisan,C2)))&gt;0)</calculatedColumnFormula>
    </tableColumn>
    <tableColumn id="25" xr3:uid="{CCEF7D64-B2E2-42B6-8701-69EF764C365C}" name="Others" dataDxfId="490">
      <calculatedColumnFormula>INT(IF(COUNTIF(K2:Z2,1)=0,"1","0"))</calculatedColumnFormula>
    </tableColumn>
    <tableColumn id="26" xr3:uid="{D152158A-B5F6-47E0-A054-3933769A2854}" name="Non-topic" dataDxfId="489"/>
    <tableColumn id="27" xr3:uid="{72CABB13-4AFA-49E2-B7A2-ED093B494AF5}" name="Image" dataDxfId="488"/>
    <tableColumn id="28" xr3:uid="{11588469-6AEF-4157-8E05-96F2589CED8D}" name="Video" dataDxfId="487"/>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ACA7749-5676-43A4-9F41-57B8EDEB67A3}" name="Table11" displayName="Table11" ref="A1:AD354" totalsRowShown="0" headerRowDxfId="486" tableBorderDxfId="485">
  <autoFilter ref="A1:AD354" xr:uid="{FAD57973-62C8-4840-A158-15E5182598FF}"/>
  <tableColumns count="30">
    <tableColumn id="1" xr3:uid="{BBF009FB-A284-4FFC-A607-629BEC25EB03}" name="Tweet ID" dataDxfId="484"/>
    <tableColumn id="2" xr3:uid="{F1DCD426-E7B0-4658-8871-E223FC22EF90}" name="Link" dataDxfId="483"/>
    <tableColumn id="3" xr3:uid="{48412437-860A-48FC-B046-2B0987E0AC6E}" name="Plain Text" dataDxfId="482"/>
    <tableColumn id="4" xr3:uid="{BD7B1A1C-3BCD-4E0D-8469-A0C8C98D6911}" name="Date" dataDxfId="481"/>
    <tableColumn id="5" xr3:uid="{AD100D5F-DEBF-42E0-BA11-11FDEF81A85F}" name="Tweet (1), Retweet (2), Reply (3)" dataDxfId="480"/>
    <tableColumn id="6" xr3:uid="{F742C2CB-72CE-47CC-951F-BF9FC9910411}" name="Likes" dataDxfId="479"/>
    <tableColumn id="7" xr3:uid="{B58B40C2-6C6D-4C59-BBA9-393A92B509BA}" name="Retweets" dataDxfId="478"/>
    <tableColumn id="8" xr3:uid="{D5817CD2-7CFA-4C0F-B895-80F191CDA854}" name="Candidate" dataDxfId="477"/>
    <tableColumn id="9" xr3:uid="{DBFF7FFE-AC77-4746-AEBA-0DDA7A2A82A4}" name="State" dataDxfId="476"/>
    <tableColumn id="10" xr3:uid="{BB1B57DE-E6D0-4589-88BB-AED0D8C2D2CC}" name="Party" dataDxfId="475"/>
    <tableColumn id="11" xr3:uid="{48FC7A64-3AE2-4FDB-8C6D-B0946F893F91}" name="Economy" dataDxfId="474">
      <calculatedColumnFormula array="1">INT(SUMPRODUCT(--ISNUMBER(SEARCH(economy,C2)))&gt;0)</calculatedColumnFormula>
    </tableColumn>
    <tableColumn id="12" xr3:uid="{4155597C-1DD5-4844-AA1C-1282E68119A0}" name="Healthcare" dataDxfId="473">
      <calculatedColumnFormula array="1">INT(SUMPRODUCT(--ISNUMBER(SEARCH(healthcare,C2)))&gt;0)</calculatedColumnFormula>
    </tableColumn>
    <tableColumn id="13" xr3:uid="{24BDBC54-3642-43BA-9DF3-38382D81837B}" name="Supreme Court appointments" dataDxfId="472">
      <calculatedColumnFormula array="1">INT(SUMPRODUCT(--ISNUMBER(SEARCH(supreme,C2)))&gt;0)</calculatedColumnFormula>
    </tableColumn>
    <tableColumn id="14" xr3:uid="{3C0ADA37-9C97-4862-B19D-96820AF4EE82}" name="COVID-19" dataDxfId="471">
      <calculatedColumnFormula array="1">INT(SUMPRODUCT(--ISNUMBER(SEARCH(covid,C2)))&gt;0)</calculatedColumnFormula>
    </tableColumn>
    <tableColumn id="15" xr3:uid="{43316CE1-0C7B-4AE0-A030-B0D7F3E683B6}" name="Violent Crime" dataDxfId="470">
      <calculatedColumnFormula array="1">INT(SUMPRODUCT(--ISNUMBER(SEARCH(violent,C2)))&gt;0)</calculatedColumnFormula>
    </tableColumn>
    <tableColumn id="16" xr3:uid="{961C9CFC-847C-4E67-A935-DFA26D724DD7}" name="Foreign policy" dataDxfId="469">
      <calculatedColumnFormula array="1">INT(SUMPRODUCT(--ISNUMBER(SEARCH(foreign,C2)))&gt;0)</calculatedColumnFormula>
    </tableColumn>
    <tableColumn id="17" xr3:uid="{960952FB-0D9C-4D20-98E9-1075FD9198DD}" name="Gun policy" dataDxfId="468">
      <calculatedColumnFormula array="1">INT(SUMPRODUCT(--ISNUMBER(SEARCH(gun,C2)))&gt;0)</calculatedColumnFormula>
    </tableColumn>
    <tableColumn id="18" xr3:uid="{39E0AFF8-76B5-4DFD-95C8-081B790A26C1}" name="Race and ethnic inequality" dataDxfId="467">
      <calculatedColumnFormula array="1">INT(SUMPRODUCT(--ISNUMBER(SEARCH(race,C2)))&gt;0)</calculatedColumnFormula>
    </tableColumn>
    <tableColumn id="29" xr3:uid="{955E7193-E7C4-4EC4-BA2A-7853C17E7DA6}" name="Immigration" dataDxfId="466">
      <calculatedColumnFormula array="1">INT(SUMPRODUCT(--ISNUMBER(SEARCH(immigration,C2)))&gt;0)</calculatedColumnFormula>
    </tableColumn>
    <tableColumn id="30" xr3:uid="{DC1893D6-526A-4AF6-BD8F-FD898317D631}" name="Economic inequality" dataDxfId="465">
      <calculatedColumnFormula array="1">INT(SUMPRODUCT(--ISNUMBER(SEARCH(econineq,C3)))&gt;0)</calculatedColumnFormula>
    </tableColumn>
    <tableColumn id="19" xr3:uid="{DF9F2348-AE5C-4839-B56C-843FD2619FCB}" name="Climate change" dataDxfId="464">
      <calculatedColumnFormula array="1">INT(SUMPRODUCT(--ISNUMBER(SEARCH(climate,C2)))&gt;0)</calculatedColumnFormula>
    </tableColumn>
    <tableColumn id="20" xr3:uid="{AC3652C8-BAF9-4B60-81E2-9E6085D0CBBB}" name="Abortion" dataDxfId="463">
      <calculatedColumnFormula array="1">INT(SUMPRODUCT(--ISNUMBER(SEARCH(abortion,C2)))&gt;0)</calculatedColumnFormula>
    </tableColumn>
    <tableColumn id="21" xr3:uid="{DBB096FC-544F-4E6B-BBB0-BE81361BB0C8}" name="Donald Trump" dataDxfId="462">
      <calculatedColumnFormula array="1">INT(SUMPRODUCT(--ISNUMBER(SEARCH(trump,C2)))&gt;0)</calculatedColumnFormula>
    </tableColumn>
    <tableColumn id="22" xr3:uid="{0C25B0C8-7E9E-4338-BD8C-30FCB44EBCFA}" name="Voting" dataDxfId="461">
      <calculatedColumnFormula array="1">INT(SUMPRODUCT(--ISNUMBER(SEARCH(voting,C2)))&gt;0)</calculatedColumnFormula>
    </tableColumn>
    <tableColumn id="23" xr3:uid="{7634E768-1E36-4346-9073-2B6841E024DD}" name="Political harangues" dataDxfId="460">
      <calculatedColumnFormula array="1">INT(SUMPRODUCT(--ISNUMBER(SEARCH(democrattrigger,C2)))&gt;0)</calculatedColumnFormula>
    </tableColumn>
    <tableColumn id="24" xr3:uid="{AECC801C-7192-4E0F-A90F-CAA03EB97029}" name="Bipartisanship" dataDxfId="459">
      <calculatedColumnFormula array="1">INT(SUMPRODUCT(--ISNUMBER(SEARCH(bipartisan,C2)))&gt;0)</calculatedColumnFormula>
    </tableColumn>
    <tableColumn id="25" xr3:uid="{2B450A0A-7496-402D-B2CC-EB398AEF0A15}" name="Others" dataDxfId="458">
      <calculatedColumnFormula>INT(IF(COUNTIF(K2:Z2,1)=0,"1","0"))</calculatedColumnFormula>
    </tableColumn>
    <tableColumn id="26" xr3:uid="{587823DC-CB17-46F0-B5AD-1E8668880AB7}" name="Non-topic" dataDxfId="457"/>
    <tableColumn id="27" xr3:uid="{47EC91A5-C60F-438C-B2E0-6C325E980168}" name="Image" dataDxfId="456"/>
    <tableColumn id="28" xr3:uid="{491CB826-024B-4706-A520-6C103EC961AA}" name="Video" dataDxfId="455"/>
  </tableColumns>
  <tableStyleInfo name="TableStyleMedium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6EA307A-33AB-4C5C-82AF-A5AA76802C97}" name="Table12" displayName="Table12" ref="A1:AD287" totalsRowShown="0" headerRowDxfId="454" tableBorderDxfId="453">
  <autoFilter ref="A1:AD287" xr:uid="{2EE97C07-4EA7-41E1-840C-5E97471C53D7}"/>
  <tableColumns count="30">
    <tableColumn id="1" xr3:uid="{71F067F5-F484-4912-BA68-E3DE7F3905B2}" name="Tweet ID" dataDxfId="452"/>
    <tableColumn id="2" xr3:uid="{E7EBB9D9-E332-4F05-8801-3F9A87E3AE74}" name="Link" dataDxfId="451"/>
    <tableColumn id="3" xr3:uid="{06EF7BBD-98DE-41D8-B2A6-571CA933FE8D}" name="Plain Text" dataDxfId="450"/>
    <tableColumn id="4" xr3:uid="{963C9D15-BCD1-4E83-9489-4E09A8792148}" name="Date" dataDxfId="449"/>
    <tableColumn id="5" xr3:uid="{ACA4AEDA-484F-46CE-8671-3FFE45A5A786}" name="Tweet (1), Retweet (2), Reply (3)" dataDxfId="448"/>
    <tableColumn id="6" xr3:uid="{BE40239C-FADD-4D82-B31B-8AD661221879}" name="Likes" dataDxfId="447"/>
    <tableColumn id="7" xr3:uid="{01BE5652-5A79-4721-93D6-0DEC5590F6CE}" name="Retweets" dataDxfId="446"/>
    <tableColumn id="8" xr3:uid="{C2D1F594-6A18-4296-906B-0EF71865ADA1}" name="Candidate" dataDxfId="445"/>
    <tableColumn id="9" xr3:uid="{32D88733-5CE1-4263-96A2-161C468DC795}" name="State" dataDxfId="444"/>
    <tableColumn id="10" xr3:uid="{0CCBBA6B-9EB2-47AD-9A2F-A3094F7DCDFD}" name="Party" dataDxfId="443"/>
    <tableColumn id="11" xr3:uid="{9FD73399-D094-4F39-A945-E758C4745F9E}" name="Economy" dataDxfId="442">
      <calculatedColumnFormula array="1">INT(SUMPRODUCT(--ISNUMBER(SEARCH(economy,C2)))&gt;0)</calculatedColumnFormula>
    </tableColumn>
    <tableColumn id="12" xr3:uid="{0B00EB2B-FA83-473A-83C5-B501BC080652}" name="Healthcare" dataDxfId="441">
      <calculatedColumnFormula array="1">INT(SUMPRODUCT(--ISNUMBER(SEARCH(healthcare,C2)))&gt;0)</calculatedColumnFormula>
    </tableColumn>
    <tableColumn id="13" xr3:uid="{1BC98EFB-AEFD-41FF-B003-286183C08A57}" name="Supreme Court appointments" dataDxfId="440">
      <calculatedColumnFormula array="1">INT(SUMPRODUCT(--ISNUMBER(SEARCH(supreme,C2)))&gt;0)</calculatedColumnFormula>
    </tableColumn>
    <tableColumn id="14" xr3:uid="{57428748-1533-4B3F-A339-FE0C336DF7EF}" name="COVID-19" dataDxfId="439">
      <calculatedColumnFormula array="1">INT(SUMPRODUCT(--ISNUMBER(SEARCH(covid,C2)))&gt;0)</calculatedColumnFormula>
    </tableColumn>
    <tableColumn id="15" xr3:uid="{79041930-0768-433E-8E35-F2D1BC2E46A2}" name="Violent Crime" dataDxfId="438">
      <calculatedColumnFormula array="1">INT(SUMPRODUCT(--ISNUMBER(SEARCH(violent,C2)))&gt;0)</calculatedColumnFormula>
    </tableColumn>
    <tableColumn id="16" xr3:uid="{34A14517-A1F3-46B0-91AE-308E5B2FCB9D}" name="Foreign policy" dataDxfId="437">
      <calculatedColumnFormula array="1">INT(SUMPRODUCT(--ISNUMBER(SEARCH(foreign,C2)))&gt;0)</calculatedColumnFormula>
    </tableColumn>
    <tableColumn id="17" xr3:uid="{651EB7F5-0A67-4256-AD7B-89176B2E56BB}" name="Gun policy" dataDxfId="436">
      <calculatedColumnFormula array="1">INT(SUMPRODUCT(--ISNUMBER(SEARCH(gun,C2)))&gt;0)</calculatedColumnFormula>
    </tableColumn>
    <tableColumn id="18" xr3:uid="{BA86A944-0870-43FF-A8F8-538F40F8A97C}" name="Race and ethnic inequality" dataDxfId="435">
      <calculatedColumnFormula array="1">INT(SUMPRODUCT(--ISNUMBER(SEARCH(race,C2)))&gt;0)</calculatedColumnFormula>
    </tableColumn>
    <tableColumn id="29" xr3:uid="{B5B03780-E58C-4D0A-ADE9-92A3899FB9FB}" name="Immigration" dataDxfId="434">
      <calculatedColumnFormula array="1">INT(SUMPRODUCT(--ISNUMBER(SEARCH(immigration,C2)))&gt;0)</calculatedColumnFormula>
    </tableColumn>
    <tableColumn id="30" xr3:uid="{865AC044-5FE1-4979-B608-B709A951032A}" name="Economic inequality" dataDxfId="433">
      <calculatedColumnFormula array="1">INT(SUMPRODUCT(--ISNUMBER(SEARCH(econineq,C3)))&gt;0)</calculatedColumnFormula>
    </tableColumn>
    <tableColumn id="19" xr3:uid="{FD7EBA36-802D-4AE4-80AE-1F90317F662C}" name="Climate change" dataDxfId="432">
      <calculatedColumnFormula array="1">INT(SUMPRODUCT(--ISNUMBER(SEARCH(climate,C2)))&gt;0)</calculatedColumnFormula>
    </tableColumn>
    <tableColumn id="20" xr3:uid="{326CABF7-1C25-4F04-BB85-7FCB57886DE3}" name="Abortion" dataDxfId="431">
      <calculatedColumnFormula array="1">INT(SUMPRODUCT(--ISNUMBER(SEARCH(abortion,C2)))&gt;0)</calculatedColumnFormula>
    </tableColumn>
    <tableColumn id="21" xr3:uid="{12969D5B-E075-43D8-A9B0-24A001BAC7D3}" name="Donald Trump" dataDxfId="430">
      <calculatedColumnFormula array="1">INT(SUMPRODUCT(--ISNUMBER(SEARCH(trump,C2)))&gt;0)</calculatedColumnFormula>
    </tableColumn>
    <tableColumn id="22" xr3:uid="{DC0C9B72-58B5-415F-BC48-EB0E3CE34AEC}" name="Voting" dataDxfId="429">
      <calculatedColumnFormula array="1">INT(SUMPRODUCT(--ISNUMBER(SEARCH(voting,C2)))&gt;0)</calculatedColumnFormula>
    </tableColumn>
    <tableColumn id="23" xr3:uid="{6637F3B8-EB92-4F37-A8D1-AD61DD1815F1}" name="Political harangues" dataDxfId="428">
      <calculatedColumnFormula array="1">INT(SUMPRODUCT(--ISNUMBER(SEARCH(republicantrigger,C2)))&gt;0)</calculatedColumnFormula>
    </tableColumn>
    <tableColumn id="24" xr3:uid="{503B2A6E-84C1-4A40-BFCA-EE6626A7EBE8}" name="Bipartisanship" dataDxfId="427">
      <calculatedColumnFormula array="1">INT(SUMPRODUCT(--ISNUMBER(SEARCH(bipartisan,C2)))&gt;0)</calculatedColumnFormula>
    </tableColumn>
    <tableColumn id="25" xr3:uid="{92595C0F-8D70-4C07-A90A-9D727E8C7F9D}" name="Others" dataDxfId="426">
      <calculatedColumnFormula>INT(IF(COUNTIF(K2:Z2,1)=0,"1","0"))</calculatedColumnFormula>
    </tableColumn>
    <tableColumn id="26" xr3:uid="{C72F8B76-7CF2-4054-8562-F9ABDAEC6A96}" name="Non-topic" dataDxfId="425"/>
    <tableColumn id="27" xr3:uid="{6452D3A9-7D5A-46E4-9572-DF401A2575B2}" name="Image" dataDxfId="424"/>
    <tableColumn id="28" xr3:uid="{EA1147CF-B242-4122-A58D-E21D9B219AEE}" name="Video" dataDxfId="423"/>
  </tableColumns>
  <tableStyleInfo name="TableStyleMedium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B7FA12D-DB22-41BC-9B6F-A125A35B784A}" name="Table13" displayName="Table13" ref="A1:AD176" totalsRowShown="0" headerRowDxfId="422" tableBorderDxfId="421">
  <autoFilter ref="A1:AD176" xr:uid="{B0E3F4AF-0FE1-4CDC-8E4C-6057F6D84F99}"/>
  <tableColumns count="30">
    <tableColumn id="1" xr3:uid="{A76C37A6-5379-401F-AB0B-4A1B4474CAB5}" name="Tweet ID" dataDxfId="420"/>
    <tableColumn id="2" xr3:uid="{8AEFB75E-FBEF-4238-9A86-6E887738483D}" name="Link" dataDxfId="419"/>
    <tableColumn id="3" xr3:uid="{F461B9E4-0516-456B-8F0E-7A6D8CE4B4BD}" name="Plain Text" dataDxfId="418"/>
    <tableColumn id="4" xr3:uid="{95DFA7EE-DB16-439D-A2F1-4F023C8E7065}" name="Date" dataDxfId="417"/>
    <tableColumn id="5" xr3:uid="{805DD297-6558-44B8-A154-988855561B83}" name="Tweet (1), Retweet (2), Reply (3)" dataDxfId="416"/>
    <tableColumn id="6" xr3:uid="{DF62BB3A-115E-4609-8AC2-3C0F35D40969}" name="Likes" dataDxfId="415"/>
    <tableColumn id="7" xr3:uid="{3A4A199B-BD84-43E1-8F87-E8FBEDE504CD}" name="Retweets" dataDxfId="414"/>
    <tableColumn id="8" xr3:uid="{667A373B-32F4-4FA8-8AE3-DBF28EDF6667}" name="Candidate" dataDxfId="413"/>
    <tableColumn id="9" xr3:uid="{95F1FF90-BC8A-4346-A45E-E3FE25D5B51B}" name="State" dataDxfId="412"/>
    <tableColumn id="10" xr3:uid="{A9840502-EEDE-4089-A06B-3D69829C6F54}" name="Party" dataDxfId="411"/>
    <tableColumn id="11" xr3:uid="{55232E31-6F61-4CCD-8DA9-20B5F79ADA8B}" name="Economy" dataDxfId="410">
      <calculatedColumnFormula array="1">INT(SUMPRODUCT(--ISNUMBER(SEARCH(economy,C2)))&gt;0)</calculatedColumnFormula>
    </tableColumn>
    <tableColumn id="12" xr3:uid="{168C51B4-9502-4162-971D-29AADABADE52}" name="Healthcare" dataDxfId="409">
      <calculatedColumnFormula array="1">INT(SUMPRODUCT(--ISNUMBER(SEARCH(healthcare,C2)))&gt;0)</calculatedColumnFormula>
    </tableColumn>
    <tableColumn id="13" xr3:uid="{E6E5A8B4-B71A-4A1F-B9B8-EC5D4138DEBA}" name="Supreme Court appointments" dataDxfId="408">
      <calculatedColumnFormula array="1">INT(SUMPRODUCT(--ISNUMBER(SEARCH(supreme,C2)))&gt;0)</calculatedColumnFormula>
    </tableColumn>
    <tableColumn id="14" xr3:uid="{145D9EBA-C8B3-45AE-9921-73E5E43CB4DD}" name="COVID-19" dataDxfId="407">
      <calculatedColumnFormula array="1">INT(SUMPRODUCT(--ISNUMBER(SEARCH(covid,C2)))&gt;0)</calculatedColumnFormula>
    </tableColumn>
    <tableColumn id="15" xr3:uid="{194E02C2-B3CB-41A4-B3DB-5E0404C9C097}" name="Violent Crime" dataDxfId="406">
      <calculatedColumnFormula array="1">INT(SUMPRODUCT(--ISNUMBER(SEARCH(violent,C2)))&gt;0)</calculatedColumnFormula>
    </tableColumn>
    <tableColumn id="16" xr3:uid="{E3A97C92-4BEB-417B-8F91-0811711A521F}" name="Foreign policy" dataDxfId="405">
      <calculatedColumnFormula array="1">INT(SUMPRODUCT(--ISNUMBER(SEARCH(foreign,C2)))&gt;0)</calculatedColumnFormula>
    </tableColumn>
    <tableColumn id="17" xr3:uid="{E1F9E7A4-9515-4ECD-9D3A-12E65246F310}" name="Gun policy" dataDxfId="404">
      <calculatedColumnFormula array="1">INT(SUMPRODUCT(--ISNUMBER(SEARCH(gun,C2)))&gt;0)</calculatedColumnFormula>
    </tableColumn>
    <tableColumn id="18" xr3:uid="{45A8BF14-6C89-4C30-8395-1B9C74FD1E69}" name="Race and ethnic inequality" dataDxfId="403">
      <calculatedColumnFormula array="1">INT(SUMPRODUCT(--ISNUMBER(SEARCH(race,C2)))&gt;0)</calculatedColumnFormula>
    </tableColumn>
    <tableColumn id="29" xr3:uid="{D583642A-A1A5-4616-B1DF-518763B68EEE}" name="Immigration" dataDxfId="402">
      <calculatedColumnFormula array="1">INT(SUMPRODUCT(--ISNUMBER(SEARCH(immigration,C2)))&gt;0)</calculatedColumnFormula>
    </tableColumn>
    <tableColumn id="30" xr3:uid="{FD848D33-8864-4D66-A7B9-CEEE213B15A1}" name="Economic inequality" dataDxfId="401">
      <calculatedColumnFormula array="1">INT(SUMPRODUCT(--ISNUMBER(SEARCH(econineq,C3)))&gt;0)</calculatedColumnFormula>
    </tableColumn>
    <tableColumn id="19" xr3:uid="{58230A50-9871-438A-9563-8750C270487D}" name="Climate change" dataDxfId="400">
      <calculatedColumnFormula array="1">INT(SUMPRODUCT(--ISNUMBER(SEARCH(climate,C2)))&gt;0)</calculatedColumnFormula>
    </tableColumn>
    <tableColumn id="20" xr3:uid="{C9C1C79D-961A-42D5-A09D-A30CF3213F95}" name="Abortion" dataDxfId="399">
      <calculatedColumnFormula array="1">INT(SUMPRODUCT(--ISNUMBER(SEARCH(abortion,C2)))&gt;0)</calculatedColumnFormula>
    </tableColumn>
    <tableColumn id="21" xr3:uid="{AD507498-0A1B-4ED7-BE95-A17431CD0E1B}" name="Donald Trump" dataDxfId="398">
      <calculatedColumnFormula array="1">INT(SUMPRODUCT(--ISNUMBER(SEARCH(trump,C2)))&gt;0)</calculatedColumnFormula>
    </tableColumn>
    <tableColumn id="22" xr3:uid="{532CF8BB-7031-45E7-9BAF-61D1E5C46D6B}" name="Voting" dataDxfId="397">
      <calculatedColumnFormula array="1">INT(SUMPRODUCT(--ISNUMBER(SEARCH(voting,C2)))&gt;0)</calculatedColumnFormula>
    </tableColumn>
    <tableColumn id="23" xr3:uid="{AA568068-1814-41B8-87FB-E1F15017169B}" name="Political harangues" dataDxfId="396">
      <calculatedColumnFormula array="1">INT(SUMPRODUCT(--ISNUMBER(SEARCH(democrattrigger,C2)))&gt;0)</calculatedColumnFormula>
    </tableColumn>
    <tableColumn id="24" xr3:uid="{D047F531-1419-45A5-9A86-1C8D25C11786}" name="Bipartisanship" dataDxfId="395">
      <calculatedColumnFormula array="1">INT(SUMPRODUCT(--ISNUMBER(SEARCH(bipartisan,C2)))&gt;0)</calculatedColumnFormula>
    </tableColumn>
    <tableColumn id="25" xr3:uid="{F9B6920A-9D2D-400B-9FF9-AA50317C972E}" name="Others" dataDxfId="394">
      <calculatedColumnFormula>INT(IF(COUNTIF(K2:Z2,1)=0,"1","0"))</calculatedColumnFormula>
    </tableColumn>
    <tableColumn id="26" xr3:uid="{52BDA5CD-5185-4B21-B17A-31545F8CB9CF}" name="Non-topic" dataDxfId="393"/>
    <tableColumn id="27" xr3:uid="{5F677860-7FD7-408C-8478-D7821DF42F29}" name="Image" dataDxfId="392"/>
    <tableColumn id="28" xr3:uid="{01664555-8E30-4324-8156-282B682F7A37}" name="Video" dataDxfId="391"/>
  </tableColumns>
  <tableStyleInfo name="TableStyleMedium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B2FEF4A-9160-4E33-A88D-9E283FEDBD33}" name="Table14" displayName="Table14" ref="A1:AD257" totalsRowShown="0" headerRowDxfId="390" tableBorderDxfId="389">
  <autoFilter ref="A1:AD257" xr:uid="{36E4B96D-9B91-4154-B3CA-65BC295DEBCB}"/>
  <tableColumns count="30">
    <tableColumn id="1" xr3:uid="{31FD306F-88D9-4405-9B94-F53C298CFBC1}" name="Tweet ID" dataDxfId="388"/>
    <tableColumn id="2" xr3:uid="{0F5CFA5B-FE7D-488D-BF3C-D6FC7C67FB49}" name="Link" dataDxfId="387"/>
    <tableColumn id="3" xr3:uid="{AE15EC7C-B472-47E2-9FA7-F2B3F891C54D}" name="Plain Text" dataDxfId="386"/>
    <tableColumn id="4" xr3:uid="{2FF1D686-030D-4FB6-AC47-CA22029F1602}" name="Date" dataDxfId="385"/>
    <tableColumn id="5" xr3:uid="{5E110DD6-33F3-4964-A32F-CFCBA0E78184}" name="Tweet (1), Retweet (2), Reply (3)" dataDxfId="384"/>
    <tableColumn id="6" xr3:uid="{38D0D690-5831-4FD5-AA88-DE372826968A}" name="Likes" dataDxfId="383"/>
    <tableColumn id="7" xr3:uid="{50A21ADB-A68D-45CB-ADF6-D0CBDE2D4FF5}" name="Retweets" dataDxfId="382"/>
    <tableColumn id="8" xr3:uid="{82537A1A-9E15-4D66-AB73-C6645DB83BC7}" name="Candidate" dataDxfId="381"/>
    <tableColumn id="9" xr3:uid="{45DAEA9C-6716-461F-B0D9-DC70749A9F8F}" name="State" dataDxfId="380"/>
    <tableColumn id="10" xr3:uid="{E56BF9EF-AC18-462C-8D5B-B9A05A8AB479}" name="Party" dataDxfId="379"/>
    <tableColumn id="11" xr3:uid="{86EEAC4B-F1E1-4E24-8D95-210C8F197AEB}" name="Economy" dataDxfId="378">
      <calculatedColumnFormula array="1">INT(SUMPRODUCT(--ISNUMBER(SEARCH(economy,C2)))&gt;0)</calculatedColumnFormula>
    </tableColumn>
    <tableColumn id="12" xr3:uid="{C119A4F3-7535-4A99-9669-C10BA547A820}" name="Healthcare" dataDxfId="377">
      <calculatedColumnFormula array="1">INT(SUMPRODUCT(--ISNUMBER(SEARCH(healthcare,C2)))&gt;0)</calculatedColumnFormula>
    </tableColumn>
    <tableColumn id="13" xr3:uid="{3B90F149-12DC-4290-9010-5047E17F7576}" name="Supreme Court appointments" dataDxfId="376">
      <calculatedColumnFormula array="1">INT(SUMPRODUCT(--ISNUMBER(SEARCH(supreme,C2)))&gt;0)</calculatedColumnFormula>
    </tableColumn>
    <tableColumn id="14" xr3:uid="{8393618B-5EBA-4465-9D42-A7F4F74B1B3A}" name="COVID-19" dataDxfId="375">
      <calculatedColumnFormula array="1">INT(SUMPRODUCT(--ISNUMBER(SEARCH(covid,C2)))&gt;0)</calculatedColumnFormula>
    </tableColumn>
    <tableColumn id="15" xr3:uid="{A00B0BDC-055B-481C-87BE-E89A913DC178}" name="Violent Crime" dataDxfId="374">
      <calculatedColumnFormula array="1">INT(SUMPRODUCT(--ISNUMBER(SEARCH(violent,C2)))&gt;0)</calculatedColumnFormula>
    </tableColumn>
    <tableColumn id="16" xr3:uid="{951989C3-55EA-4FFF-9BD2-17C21819C9E4}" name="Foreign policy" dataDxfId="373">
      <calculatedColumnFormula array="1">INT(SUMPRODUCT(--ISNUMBER(SEARCH(foreign,C2)))&gt;0)</calculatedColumnFormula>
    </tableColumn>
    <tableColumn id="17" xr3:uid="{3EF4B792-0BAB-4FE6-A5C1-2BDBEE1B2196}" name="Gun policy" dataDxfId="372">
      <calculatedColumnFormula array="1">INT(SUMPRODUCT(--ISNUMBER(SEARCH(gun,C2)))&gt;0)</calculatedColumnFormula>
    </tableColumn>
    <tableColumn id="18" xr3:uid="{7638845C-4E7A-416D-A7FD-ED00C62D4CF7}" name="Race and ethnic inequality" dataDxfId="371">
      <calculatedColumnFormula array="1">INT(SUMPRODUCT(--ISNUMBER(SEARCH(race,C2)))&gt;0)</calculatedColumnFormula>
    </tableColumn>
    <tableColumn id="29" xr3:uid="{5A5E8D7E-361E-4C6A-BBC1-E9C741443519}" name="Immigration" dataDxfId="370">
      <calculatedColumnFormula array="1">INT(SUMPRODUCT(--ISNUMBER(SEARCH(immigration,C2)))&gt;0)</calculatedColumnFormula>
    </tableColumn>
    <tableColumn id="30" xr3:uid="{7DB98C84-14C6-4BC3-9974-43C1C8AF91A8}" name="Economic inequality" dataDxfId="369">
      <calculatedColumnFormula array="1">INT(SUMPRODUCT(--ISNUMBER(SEARCH(econineq,C3)))&gt;0)</calculatedColumnFormula>
    </tableColumn>
    <tableColumn id="19" xr3:uid="{B54847D9-84DE-4D49-A478-6E915A514D14}" name="Climate change" dataDxfId="368">
      <calculatedColumnFormula array="1">INT(SUMPRODUCT(--ISNUMBER(SEARCH(climate,C2)))&gt;0)</calculatedColumnFormula>
    </tableColumn>
    <tableColumn id="20" xr3:uid="{6C07E278-FB54-44D5-8269-D130315C25F0}" name="Abortion" dataDxfId="367">
      <calculatedColumnFormula array="1">INT(SUMPRODUCT(--ISNUMBER(SEARCH(abortion,C2)))&gt;0)</calculatedColumnFormula>
    </tableColumn>
    <tableColumn id="21" xr3:uid="{8972C8A8-9BB9-47BF-81E0-0FD857935E94}" name="Donald Trump" dataDxfId="366">
      <calculatedColumnFormula array="1">INT(SUMPRODUCT(--ISNUMBER(SEARCH(trump,C2)))&gt;0)</calculatedColumnFormula>
    </tableColumn>
    <tableColumn id="22" xr3:uid="{19303978-140E-427C-BC25-5FCF24CBF511}" name="Voting" dataDxfId="365">
      <calculatedColumnFormula array="1">INT(SUMPRODUCT(--ISNUMBER(SEARCH(voting,C2)))&gt;0)</calculatedColumnFormula>
    </tableColumn>
    <tableColumn id="23" xr3:uid="{648E1273-158C-44E3-9917-BA72C785D1F2}" name="Political harangues" dataDxfId="364">
      <calculatedColumnFormula array="1">INT(SUMPRODUCT(--ISNUMBER(SEARCH(republicantrigger,C2)))&gt;0)</calculatedColumnFormula>
    </tableColumn>
    <tableColumn id="24" xr3:uid="{DD584595-1E58-4576-8CE1-C99B0BF5A2E1}" name="Bipartisanship" dataDxfId="363">
      <calculatedColumnFormula array="1">INT(SUMPRODUCT(--ISNUMBER(SEARCH(bipartisan,C2)))&gt;0)</calculatedColumnFormula>
    </tableColumn>
    <tableColumn id="25" xr3:uid="{6A653F2F-13C3-4AE7-88A6-163F4884718E}" name="Others" dataDxfId="362">
      <calculatedColumnFormula>INT(IF(COUNTIF(K2:Z2,1)=0,"1","0"))</calculatedColumnFormula>
    </tableColumn>
    <tableColumn id="26" xr3:uid="{12B2B8E2-093F-4EA5-AAA2-6AFC7CB01D90}" name="Non-topic" dataDxfId="361"/>
    <tableColumn id="27" xr3:uid="{8023824A-7513-40E8-8B29-76FC638924C5}" name="Image" dataDxfId="360"/>
    <tableColumn id="28" xr3:uid="{7219D2EB-BB04-4204-8561-3337BD4C4D7F}" name="Video" dataDxfId="359"/>
  </tableColumns>
  <tableStyleInfo name="TableStyleMedium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7E01B84-F2FC-4027-8574-58D331C41807}" name="Table15" displayName="Table15" ref="A1:AD183" totalsRowShown="0" headerRowDxfId="358" tableBorderDxfId="357">
  <autoFilter ref="A1:AD183" xr:uid="{E321F5E5-A4A4-4627-BB71-9D07CBB7A6A8}"/>
  <tableColumns count="30">
    <tableColumn id="1" xr3:uid="{EB7F3D7B-49E3-4372-875F-33A35D913F52}" name="Tweet ID" dataDxfId="356"/>
    <tableColumn id="2" xr3:uid="{5B0E6113-497E-439D-9375-4DB63F94286D}" name="Link" dataDxfId="355"/>
    <tableColumn id="3" xr3:uid="{96BB72A8-FA8E-4B8E-AA84-F7446EDD184C}" name="Plain Text" dataDxfId="354"/>
    <tableColumn id="4" xr3:uid="{07BADF5B-2F75-4AAF-B448-144A8C149829}" name="Date" dataDxfId="353"/>
    <tableColumn id="5" xr3:uid="{79CABE41-29E6-435C-9DAE-82D816E2BC90}" name="Tweet (1), Retweet (2), Reply (3)" dataDxfId="352"/>
    <tableColumn id="6" xr3:uid="{87605908-10A7-4FFA-85C1-4A7975AAC659}" name="Likes" dataDxfId="351"/>
    <tableColumn id="7" xr3:uid="{7910C653-EA63-4E21-80F0-DB055E2B1202}" name="Retweets" dataDxfId="350"/>
    <tableColumn id="8" xr3:uid="{F18D054E-026A-4AA4-AE89-22801202CFCB}" name="Candidate" dataDxfId="349"/>
    <tableColumn id="9" xr3:uid="{F31EE720-5C3B-4041-A701-0212F447545A}" name="State" dataDxfId="348"/>
    <tableColumn id="10" xr3:uid="{E95B4D83-C858-4075-A04D-8E8A9904ABA4}" name="Party" dataDxfId="347"/>
    <tableColumn id="11" xr3:uid="{A59FDF6A-C6B3-4C57-AAFC-650A1179D737}" name="Economy" dataDxfId="346">
      <calculatedColumnFormula array="1">INT(SUMPRODUCT(--ISNUMBER(SEARCH(economy,C2)))&gt;0)</calculatedColumnFormula>
    </tableColumn>
    <tableColumn id="12" xr3:uid="{B6D5A8E0-088A-47D7-8D79-B51216FBADDD}" name="Healthcare" dataDxfId="345">
      <calculatedColumnFormula array="1">INT(SUMPRODUCT(--ISNUMBER(SEARCH(healthcare,C2)))&gt;0)</calculatedColumnFormula>
    </tableColumn>
    <tableColumn id="13" xr3:uid="{023EA3B2-367D-49E0-BFD8-92EF0D3B51F6}" name="Supreme Court appointments" dataDxfId="344">
      <calculatedColumnFormula array="1">INT(SUMPRODUCT(--ISNUMBER(SEARCH(supreme,C2)))&gt;0)</calculatedColumnFormula>
    </tableColumn>
    <tableColumn id="14" xr3:uid="{62D55332-4764-4951-A346-A57FFCE97465}" name="COVID-19" dataDxfId="343">
      <calculatedColumnFormula array="1">INT(SUMPRODUCT(--ISNUMBER(SEARCH(covid,C2)))&gt;0)</calculatedColumnFormula>
    </tableColumn>
    <tableColumn id="15" xr3:uid="{98719413-8C3A-43EE-9406-6E034D920262}" name="Violent Crime" dataDxfId="342">
      <calculatedColumnFormula array="1">INT(SUMPRODUCT(--ISNUMBER(SEARCH(violent,C2)))&gt;0)</calculatedColumnFormula>
    </tableColumn>
    <tableColumn id="16" xr3:uid="{176FC2AF-CFAA-4BF2-8153-0E68D921070F}" name="Foreign policy" dataDxfId="341">
      <calculatedColumnFormula array="1">INT(SUMPRODUCT(--ISNUMBER(SEARCH(foreign,C2)))&gt;0)</calculatedColumnFormula>
    </tableColumn>
    <tableColumn id="17" xr3:uid="{B8C9F922-DB34-40F1-BDDE-22F24C96762E}" name="Gun policy" dataDxfId="340">
      <calculatedColumnFormula array="1">INT(SUMPRODUCT(--ISNUMBER(SEARCH(gun,C2)))&gt;0)</calculatedColumnFormula>
    </tableColumn>
    <tableColumn id="18" xr3:uid="{3F89529C-CA55-469B-9BA8-580DCAD837EC}" name="Race and ethnic inequality" dataDxfId="339">
      <calculatedColumnFormula array="1">INT(SUMPRODUCT(--ISNUMBER(SEARCH(race,C2)))&gt;0)</calculatedColumnFormula>
    </tableColumn>
    <tableColumn id="29" xr3:uid="{09E3B666-AC2B-40C6-9561-6C4F8162F9B2}" name="Immigration" dataDxfId="338">
      <calculatedColumnFormula array="1">INT(SUMPRODUCT(--ISNUMBER(SEARCH(immigration,C2)))&gt;0)</calculatedColumnFormula>
    </tableColumn>
    <tableColumn id="30" xr3:uid="{738DBB8D-2D98-4A94-9821-9FDE782D74AD}" name="Economic inequality" dataDxfId="337">
      <calculatedColumnFormula array="1">INT(SUMPRODUCT(--ISNUMBER(SEARCH(econineq,C3)))&gt;0)</calculatedColumnFormula>
    </tableColumn>
    <tableColumn id="19" xr3:uid="{02D749D6-949F-4411-A05A-E38C8363EA2C}" name="Climate change" dataDxfId="336">
      <calculatedColumnFormula array="1">INT(SUMPRODUCT(--ISNUMBER(SEARCH(climate,C2)))&gt;0)</calculatedColumnFormula>
    </tableColumn>
    <tableColumn id="20" xr3:uid="{49C5ED6C-ACB9-489D-9B4B-DDAD908A8663}" name="Abortion" dataDxfId="335">
      <calculatedColumnFormula array="1">INT(SUMPRODUCT(--ISNUMBER(SEARCH(abortion,C2)))&gt;0)</calculatedColumnFormula>
    </tableColumn>
    <tableColumn id="21" xr3:uid="{B33B6A24-E402-476B-83A2-61808AF82536}" name="Donald Trump" dataDxfId="334">
      <calculatedColumnFormula array="1">INT(SUMPRODUCT(--ISNUMBER(SEARCH(trump,C2)))&gt;0)</calculatedColumnFormula>
    </tableColumn>
    <tableColumn id="22" xr3:uid="{F30DE3CE-550F-4382-B70B-B6487369A606}" name="Voting" dataDxfId="333">
      <calculatedColumnFormula array="1">INT(SUMPRODUCT(--ISNUMBER(SEARCH(voting,C2)))&gt;0)</calculatedColumnFormula>
    </tableColumn>
    <tableColumn id="23" xr3:uid="{B4A88974-B13D-4A37-996E-4FEE5BB7F04C}" name="Political harangues" dataDxfId="332">
      <calculatedColumnFormula array="1">INT(SUMPRODUCT(--ISNUMBER(SEARCH(republicantrigger,C2)))&gt;0)</calculatedColumnFormula>
    </tableColumn>
    <tableColumn id="24" xr3:uid="{B5AD97DC-9DAC-47CF-8883-F0954431EC42}" name="Bipartisanship" dataDxfId="331">
      <calculatedColumnFormula array="1">INT(SUMPRODUCT(--ISNUMBER(SEARCH(bipartisan,C2)))&gt;0)</calculatedColumnFormula>
    </tableColumn>
    <tableColumn id="25" xr3:uid="{02DF2F9D-1F51-41C0-AC5C-50B2A7DA8F62}" name="Others" dataDxfId="330">
      <calculatedColumnFormula>INT(IF(COUNTIF(K2:Z2,1)=0,"1","0"))</calculatedColumnFormula>
    </tableColumn>
    <tableColumn id="26" xr3:uid="{784F2DFD-A79A-4E26-9DBB-27A66CE62BAF}" name="Non-topic" dataDxfId="329"/>
    <tableColumn id="27" xr3:uid="{856287FC-E185-4CDD-9346-4701E82F6050}" name="Image" dataDxfId="328"/>
    <tableColumn id="28" xr3:uid="{A3F1D6C6-C4EA-4CC3-81DC-8DB60CBCA1C1}" name="Video" dataDxfId="327"/>
  </tableColumns>
  <tableStyleInfo name="TableStyleMedium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4493D79-315B-4735-9855-926B5BA62AFB}" name="Table16" displayName="Table16" ref="A1:AD136" totalsRowShown="0" headerRowDxfId="326" tableBorderDxfId="325">
  <autoFilter ref="A1:AD136" xr:uid="{90EDF5DF-BD9C-4BC8-89D5-E8A106A59AC9}"/>
  <tableColumns count="30">
    <tableColumn id="1" xr3:uid="{CDC8BC69-914F-494A-9590-1506F187D012}" name="Tweet ID" dataDxfId="324"/>
    <tableColumn id="2" xr3:uid="{F3C18ADD-A6A4-44D2-82A9-A2A77D678259}" name="Link" dataDxfId="323"/>
    <tableColumn id="3" xr3:uid="{34156932-5B35-49FB-86BC-25897945F279}" name="Plain Text" dataDxfId="322"/>
    <tableColumn id="4" xr3:uid="{0AAFFBD2-6708-4306-8FA2-A260E3558D6E}" name="Date" dataDxfId="321"/>
    <tableColumn id="5" xr3:uid="{1FF4C3A1-3EE1-451E-AA55-DA090C250422}" name="Tweet (1), Retweet (2), Reply (3)" dataDxfId="320"/>
    <tableColumn id="6" xr3:uid="{1BE0BA6D-FBC8-4FCD-A86B-A3038C4D6A6F}" name="Likes" dataDxfId="319"/>
    <tableColumn id="7" xr3:uid="{C0336DE3-830E-43B4-8EB9-17E97D0AFFA6}" name="Retweets" dataDxfId="318"/>
    <tableColumn id="8" xr3:uid="{965151A9-5C56-409B-AF8E-30AD084E73D9}" name="Candidate" dataDxfId="317"/>
    <tableColumn id="9" xr3:uid="{A474C3F8-893A-4E4F-A799-0934FE01AB8F}" name="State" dataDxfId="316"/>
    <tableColumn id="10" xr3:uid="{DF9B9150-832E-471B-9B20-D27BF2F7850A}" name="Party" dataDxfId="315"/>
    <tableColumn id="11" xr3:uid="{9ACE78AF-645D-483B-85B3-31B001EFD978}" name="Economy" dataDxfId="314">
      <calculatedColumnFormula array="1">INT(SUMPRODUCT(--ISNUMBER(SEARCH(economy,C2)))&gt;0)</calculatedColumnFormula>
    </tableColumn>
    <tableColumn id="12" xr3:uid="{2931CCF9-D65D-4952-B333-9060C9062D78}" name="Healthcare" dataDxfId="313">
      <calculatedColumnFormula array="1">INT(SUMPRODUCT(--ISNUMBER(SEARCH(healthcare,C2)))&gt;0)</calculatedColumnFormula>
    </tableColumn>
    <tableColumn id="13" xr3:uid="{FFAB2E03-143E-447F-A82A-9171677FAB30}" name="Supreme Court appointments" dataDxfId="312">
      <calculatedColumnFormula array="1">INT(SUMPRODUCT(--ISNUMBER(SEARCH(supreme,C2)))&gt;0)</calculatedColumnFormula>
    </tableColumn>
    <tableColumn id="14" xr3:uid="{D93BA59F-39C2-4B75-BD85-ADB407F2588A}" name="COVID-19" dataDxfId="311">
      <calculatedColumnFormula array="1">INT(SUMPRODUCT(--ISNUMBER(SEARCH(covid,C2)))&gt;0)</calculatedColumnFormula>
    </tableColumn>
    <tableColumn id="15" xr3:uid="{1BE7DB3E-1384-4D73-A5F2-90408AA93C41}" name="Violent Crime" dataDxfId="310">
      <calculatedColumnFormula array="1">INT(SUMPRODUCT(--ISNUMBER(SEARCH(violent,C2)))&gt;0)</calculatedColumnFormula>
    </tableColumn>
    <tableColumn id="16" xr3:uid="{CEC312ED-719D-440D-9D3F-BAECDD124883}" name="Foreign policy" dataDxfId="309">
      <calculatedColumnFormula array="1">INT(SUMPRODUCT(--ISNUMBER(SEARCH(foreign,C2)))&gt;0)</calculatedColumnFormula>
    </tableColumn>
    <tableColumn id="17" xr3:uid="{ADF2FC22-3B16-487D-9AF3-B9E3DB5F1343}" name="Gun policy" dataDxfId="308">
      <calculatedColumnFormula array="1">INT(SUMPRODUCT(--ISNUMBER(SEARCH(gun,C2)))&gt;0)</calculatedColumnFormula>
    </tableColumn>
    <tableColumn id="18" xr3:uid="{4B8B1748-4FF3-4C6C-8B91-1D9D66C70A12}" name="Race and ethnic inequality" dataDxfId="307">
      <calculatedColumnFormula array="1">INT(SUMPRODUCT(--ISNUMBER(SEARCH(race,C2)))&gt;0)</calculatedColumnFormula>
    </tableColumn>
    <tableColumn id="29" xr3:uid="{704B0868-F918-4A6C-8C01-D6138135A548}" name="Immigration" dataDxfId="306">
      <calculatedColumnFormula array="1">INT(SUMPRODUCT(--ISNUMBER(SEARCH(immigration,C2)))&gt;0)</calculatedColumnFormula>
    </tableColumn>
    <tableColumn id="30" xr3:uid="{5ECDF290-1935-4756-B5BB-A3A49A9AA104}" name="Economic inequality" dataDxfId="305">
      <calculatedColumnFormula array="1">INT(SUMPRODUCT(--ISNUMBER(SEARCH(econineq,C3)))&gt;0)</calculatedColumnFormula>
    </tableColumn>
    <tableColumn id="19" xr3:uid="{E272448C-200F-43D5-B5B4-0521343F13F5}" name="Climate change" dataDxfId="304">
      <calculatedColumnFormula array="1">INT(SUMPRODUCT(--ISNUMBER(SEARCH(climate,C2)))&gt;0)</calculatedColumnFormula>
    </tableColumn>
    <tableColumn id="20" xr3:uid="{D22328EA-7BF1-48C3-98FA-514965EB26EA}" name="Abortion" dataDxfId="303">
      <calculatedColumnFormula array="1">INT(SUMPRODUCT(--ISNUMBER(SEARCH(abortion,C2)))&gt;0)</calculatedColumnFormula>
    </tableColumn>
    <tableColumn id="21" xr3:uid="{B069F9E3-D49F-4D46-AB9F-687E33B5A1D8}" name="Donald Trump" dataDxfId="302">
      <calculatedColumnFormula array="1">INT(SUMPRODUCT(--ISNUMBER(SEARCH(trump,C2)))&gt;0)</calculatedColumnFormula>
    </tableColumn>
    <tableColumn id="22" xr3:uid="{3B064938-C3F9-44A6-9FD7-4F1C169103AD}" name="Voting" dataDxfId="301">
      <calculatedColumnFormula array="1">INT(SUMPRODUCT(--ISNUMBER(SEARCH(voting,C2)))&gt;0)</calculatedColumnFormula>
    </tableColumn>
    <tableColumn id="23" xr3:uid="{0F4637F7-35B4-4DE8-9127-FDE1BD95EEEB}" name="Political harangues" dataDxfId="300">
      <calculatedColumnFormula array="1">INT(SUMPRODUCT(--ISNUMBER(SEARCH(democrattrigger,C2)))&gt;0)</calculatedColumnFormula>
    </tableColumn>
    <tableColumn id="24" xr3:uid="{38AA2581-5715-40FD-9384-21F1153E2183}" name="Bipartisanship" dataDxfId="299">
      <calculatedColumnFormula array="1">INT(SUMPRODUCT(--ISNUMBER(SEARCH(bipartisan,C2)))&gt;0)</calculatedColumnFormula>
    </tableColumn>
    <tableColumn id="25" xr3:uid="{B10B75D7-6C9D-4E98-B3AB-B5FE1FC2B073}" name="Others" dataDxfId="298">
      <calculatedColumnFormula>INT(IF(COUNTIF(K2:Z2,1)=0,"1","0"))</calculatedColumnFormula>
    </tableColumn>
    <tableColumn id="26" xr3:uid="{8DC9CC3B-AB37-46DB-B559-609798512BE3}" name="Non-topic" dataDxfId="297"/>
    <tableColumn id="27" xr3:uid="{C44FF17A-E3DC-452C-9A42-A6B045CEE90E}" name="Image" dataDxfId="296"/>
    <tableColumn id="28" xr3:uid="{B83B68FB-CDFD-460E-AA93-C6C2C1E15B51}" name="Video" dataDxfId="295"/>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3402F5F-92B1-418F-AA02-154099EDCEA6}" name="Table17" displayName="Table17" ref="A1:AD302" totalsRowShown="0" headerRowDxfId="294" tableBorderDxfId="293">
  <autoFilter ref="A1:AD302" xr:uid="{98A21D78-9223-4C80-B43F-704E5640DFB3}"/>
  <tableColumns count="30">
    <tableColumn id="1" xr3:uid="{E32FFAEF-0D9B-4F28-B7E2-82464E5286FA}" name="Tweet ID" dataDxfId="292"/>
    <tableColumn id="2" xr3:uid="{186DB91F-062C-4965-87E9-C15243EAA2B7}" name="Link" dataDxfId="291"/>
    <tableColumn id="3" xr3:uid="{4D920721-5EB0-456D-8B24-9A2B523F75B8}" name="Plain Text" dataDxfId="290"/>
    <tableColumn id="4" xr3:uid="{9CE5B9CC-AE62-4B42-93B5-98E3108AF885}" name="Date" dataDxfId="289"/>
    <tableColumn id="5" xr3:uid="{082AA351-46F2-4F66-97BE-E7E195FA96B1}" name="Tweet (1), Retweet (2), Reply (3)" dataDxfId="288"/>
    <tableColumn id="6" xr3:uid="{A05AAA35-A5D4-473E-91B0-A925CC086EF2}" name="Likes" dataDxfId="287"/>
    <tableColumn id="7" xr3:uid="{85E0AFEA-A790-4E9C-ACE3-D1D17FAFCDA2}" name="Retweets" dataDxfId="286"/>
    <tableColumn id="8" xr3:uid="{460FA500-0773-48B0-B230-680B3DCB8542}" name="Candidate" dataDxfId="285"/>
    <tableColumn id="9" xr3:uid="{13B73CE9-F6A2-4BDE-9B52-BCE04E2FDFF3}" name="State" dataDxfId="284"/>
    <tableColumn id="10" xr3:uid="{08031EFE-72FF-4DAB-8DE6-8CF182BAC340}" name="Party" dataDxfId="283"/>
    <tableColumn id="11" xr3:uid="{256F7FA0-43AA-4AEB-BBA8-90E4D4C5A290}" name="Economy" dataDxfId="282">
      <calculatedColumnFormula array="1">INT(SUMPRODUCT(--ISNUMBER(SEARCH(economy,C2)))&gt;0)</calculatedColumnFormula>
    </tableColumn>
    <tableColumn id="12" xr3:uid="{E2EEDFA6-F3C1-4461-A6F2-EC3321A2BDF8}" name="Healthcare" dataDxfId="281">
      <calculatedColumnFormula array="1">INT(SUMPRODUCT(--ISNUMBER(SEARCH(healthcare,C2)))&gt;0)</calculatedColumnFormula>
    </tableColumn>
    <tableColumn id="13" xr3:uid="{42C09569-546B-46FD-B87D-CE53EC9FF108}" name="Supreme Court appointments" dataDxfId="280">
      <calculatedColumnFormula array="1">INT(SUMPRODUCT(--ISNUMBER(SEARCH(supreme,C2)))&gt;0)</calculatedColumnFormula>
    </tableColumn>
    <tableColumn id="14" xr3:uid="{7EF3759E-1A9D-47D4-A711-2A7194C898F9}" name="COVID-19" dataDxfId="279">
      <calculatedColumnFormula array="1">INT(SUMPRODUCT(--ISNUMBER(SEARCH(covid,C2)))&gt;0)</calculatedColumnFormula>
    </tableColumn>
    <tableColumn id="15" xr3:uid="{153A1694-D3DA-42CC-8CA7-7D976CBBC712}" name="Violent Crime" dataDxfId="278">
      <calculatedColumnFormula array="1">INT(SUMPRODUCT(--ISNUMBER(SEARCH(violent,C2)))&gt;0)</calculatedColumnFormula>
    </tableColumn>
    <tableColumn id="16" xr3:uid="{5EFD631C-BF22-46B0-8460-F92CCBA0BDC9}" name="Foreign policy" dataDxfId="277">
      <calculatedColumnFormula array="1">INT(SUMPRODUCT(--ISNUMBER(SEARCH(foreign,C2)))&gt;0)</calculatedColumnFormula>
    </tableColumn>
    <tableColumn id="17" xr3:uid="{E52E9750-20D0-4785-B3D0-78C9191ECE83}" name="Gun policy" dataDxfId="276">
      <calculatedColumnFormula array="1">INT(SUMPRODUCT(--ISNUMBER(SEARCH(gun,C2)))&gt;0)</calculatedColumnFormula>
    </tableColumn>
    <tableColumn id="18" xr3:uid="{E111E939-AEB1-4298-8D27-2C00DD1029D4}" name="Race and ethnic inequality" dataDxfId="275">
      <calculatedColumnFormula array="1">INT(SUMPRODUCT(--ISNUMBER(SEARCH(race,C2)))&gt;0)</calculatedColumnFormula>
    </tableColumn>
    <tableColumn id="29" xr3:uid="{152AC9ED-D2DB-4F62-A306-320754D5274D}" name="Immigration" dataDxfId="274">
      <calculatedColumnFormula array="1">INT(SUMPRODUCT(--ISNUMBER(SEARCH(immigration,C2)))&gt;0)</calculatedColumnFormula>
    </tableColumn>
    <tableColumn id="30" xr3:uid="{D380D993-5E6D-491A-8137-CBCDE1A5A3F7}" name="Economic inequality" dataDxfId="273">
      <calculatedColumnFormula array="1">INT(SUMPRODUCT(--ISNUMBER(SEARCH(econineq,C3)))&gt;0)</calculatedColumnFormula>
    </tableColumn>
    <tableColumn id="19" xr3:uid="{4719FE5F-A672-4ED5-94A9-B1CC32629F74}" name="Climate change" dataDxfId="272">
      <calculatedColumnFormula array="1">INT(SUMPRODUCT(--ISNUMBER(SEARCH(climate,C2)))&gt;0)</calculatedColumnFormula>
    </tableColumn>
    <tableColumn id="20" xr3:uid="{E08F129F-741F-4FC7-8B3C-8A9898F3D546}" name="Abortion" dataDxfId="271">
      <calculatedColumnFormula array="1">INT(SUMPRODUCT(--ISNUMBER(SEARCH(abortion,C2)))&gt;0)</calculatedColumnFormula>
    </tableColumn>
    <tableColumn id="21" xr3:uid="{0385AE74-1D61-463D-808E-3123136E2DF4}" name="Donald Trump" dataDxfId="270">
      <calculatedColumnFormula array="1">INT(SUMPRODUCT(--ISNUMBER(SEARCH(trump,C2)))&gt;0)</calculatedColumnFormula>
    </tableColumn>
    <tableColumn id="22" xr3:uid="{285B2264-04BD-49E1-AB8D-A328C39929AF}" name="Voting" dataDxfId="269">
      <calculatedColumnFormula array="1">INT(SUMPRODUCT(--ISNUMBER(SEARCH(voting,C2)))&gt;0)</calculatedColumnFormula>
    </tableColumn>
    <tableColumn id="23" xr3:uid="{3E870148-50B0-4EC1-B8F9-3DCEE08DD279}" name="Political harangues" dataDxfId="268">
      <calculatedColumnFormula array="1">INT(SUMPRODUCT(--ISNUMBER(SEARCH(republicantrigger,C2)))&gt;0)</calculatedColumnFormula>
    </tableColumn>
    <tableColumn id="24" xr3:uid="{179C80A5-E5D4-4FE5-9C54-32DDA1E46076}" name="Bipartisanship" dataDxfId="267">
      <calculatedColumnFormula array="1">INT(SUMPRODUCT(--ISNUMBER(SEARCH(bipartisan,C2)))&gt;0)</calculatedColumnFormula>
    </tableColumn>
    <tableColumn id="25" xr3:uid="{2E7FF800-6057-48F6-986D-6D46C85F06FD}" name="Others" dataDxfId="266">
      <calculatedColumnFormula>INT(IF(COUNTIF(K2:Z2,1)=0,"1","0"))</calculatedColumnFormula>
    </tableColumn>
    <tableColumn id="26" xr3:uid="{9437E61A-F6EA-4A03-A7B6-8E98546FA5E9}" name="Non-topic" dataDxfId="265"/>
    <tableColumn id="27" xr3:uid="{EEF3F1D6-235D-4C74-8C6E-58019DC4581D}" name="Image" dataDxfId="264"/>
    <tableColumn id="28" xr3:uid="{36665B65-658F-4021-A6E3-0A789F1E0A79}" name="Video" dataDxfId="263"/>
  </tableColumns>
  <tableStyleInfo name="TableStyleMedium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F7E834D-EC97-4F53-AAD4-0CBFD022CE06}" name="Table18" displayName="Table18" ref="A1:AD355" totalsRowShown="0" headerRowDxfId="262" tableBorderDxfId="261">
  <autoFilter ref="A1:AD355" xr:uid="{5E1C991B-2306-4EF2-9B9F-C8B1AFBF0CE8}"/>
  <tableColumns count="30">
    <tableColumn id="1" xr3:uid="{2AD509C2-E660-46B7-A40A-A0D6BE4C4F8E}" name="Tweet ID" dataDxfId="260"/>
    <tableColumn id="2" xr3:uid="{B164EE2F-3E6E-4DDB-836A-F47D66711730}" name="Link" dataDxfId="259"/>
    <tableColumn id="3" xr3:uid="{3BC2E310-9938-423F-B840-5F6E33CAC190}" name="Plain Text" dataDxfId="258"/>
    <tableColumn id="4" xr3:uid="{5B934025-8D80-4BF0-8016-E7B6B357C7C4}" name="Date" dataDxfId="257"/>
    <tableColumn id="5" xr3:uid="{32FB28DE-61FB-4ECB-9BEC-C8B4AFDAD869}" name="Tweet (1), Retweet (2), Reply (3)" dataDxfId="256"/>
    <tableColumn id="6" xr3:uid="{73F1CEE7-E550-4764-95C5-E14C4C9AAA39}" name="Likes" dataDxfId="255"/>
    <tableColumn id="7" xr3:uid="{97B87B9B-81CA-4ECC-BBBE-F8E0D635D995}" name="Retweets" dataDxfId="254"/>
    <tableColumn id="8" xr3:uid="{97491B0D-1445-4AE0-9BB1-83BA83B18DA9}" name="Candidate" dataDxfId="253"/>
    <tableColumn id="9" xr3:uid="{D57D450E-E3E1-4B33-9847-648DEFF97B34}" name="State" dataDxfId="252"/>
    <tableColumn id="10" xr3:uid="{7EC9E163-1D74-4FEC-B6AA-968302A59C15}" name="Party" dataDxfId="251"/>
    <tableColumn id="11" xr3:uid="{BE8D17CB-114F-477F-A6A0-197531EF0AF0}" name="Economy" dataDxfId="250">
      <calculatedColumnFormula array="1">INT(SUMPRODUCT(--ISNUMBER(SEARCH(economy,C2)))&gt;0)</calculatedColumnFormula>
    </tableColumn>
    <tableColumn id="12" xr3:uid="{39C22DB5-ABC5-49CB-8CFC-46E20EF16C9D}" name="Healthcare" dataDxfId="249">
      <calculatedColumnFormula array="1">INT(SUMPRODUCT(--ISNUMBER(SEARCH(healthcare,C2)))&gt;0)</calculatedColumnFormula>
    </tableColumn>
    <tableColumn id="13" xr3:uid="{8AF7E1D7-E88C-4FA4-9E4B-B729A3AB35DB}" name="Supreme Court appointments" dataDxfId="248">
      <calculatedColumnFormula array="1">INT(SUMPRODUCT(--ISNUMBER(SEARCH(supreme,C2)))&gt;0)</calculatedColumnFormula>
    </tableColumn>
    <tableColumn id="14" xr3:uid="{60AD45B4-A5A5-433F-BE08-891FB0E50A2B}" name="COVID-19" dataDxfId="247">
      <calculatedColumnFormula array="1">INT(SUMPRODUCT(--ISNUMBER(SEARCH(covid,C2)))&gt;0)</calculatedColumnFormula>
    </tableColumn>
    <tableColumn id="15" xr3:uid="{FACD5E1C-0B0D-4EAE-A149-CE2A1955DFBA}" name="Violent Crime" dataDxfId="246">
      <calculatedColumnFormula array="1">INT(SUMPRODUCT(--ISNUMBER(SEARCH(violent,C2)))&gt;0)</calculatedColumnFormula>
    </tableColumn>
    <tableColumn id="16" xr3:uid="{A04CDDAC-FEA6-4CC3-839D-260B40373FCF}" name="Foreign policy" dataDxfId="245">
      <calculatedColumnFormula array="1">INT(SUMPRODUCT(--ISNUMBER(SEARCH(foreign,C2)))&gt;0)</calculatedColumnFormula>
    </tableColumn>
    <tableColumn id="17" xr3:uid="{A99EDABC-43F4-476F-BB9C-92FDBB45F15B}" name="Gun policy" dataDxfId="244">
      <calculatedColumnFormula array="1">INT(SUMPRODUCT(--ISNUMBER(SEARCH(gun,C2)))&gt;0)</calculatedColumnFormula>
    </tableColumn>
    <tableColumn id="18" xr3:uid="{5DB23AE9-0871-492F-A048-70B28A142010}" name="Race and ethnic inequality" dataDxfId="243">
      <calculatedColumnFormula array="1">INT(SUMPRODUCT(--ISNUMBER(SEARCH(race,C2)))&gt;0)</calculatedColumnFormula>
    </tableColumn>
    <tableColumn id="29" xr3:uid="{0D0248AB-974B-45C3-950B-0B1EB3581BBD}" name="Immigration" dataDxfId="242">
      <calculatedColumnFormula array="1">INT(SUMPRODUCT(--ISNUMBER(SEARCH(immigration,C2)))&gt;0)</calculatedColumnFormula>
    </tableColumn>
    <tableColumn id="30" xr3:uid="{99B7331D-5E88-4C2C-B57A-BBBD9DD8D52A}" name="Economic inequality" dataDxfId="241">
      <calculatedColumnFormula array="1">INT(SUMPRODUCT(--ISNUMBER(SEARCH(econineq,C3)))&gt;0)</calculatedColumnFormula>
    </tableColumn>
    <tableColumn id="19" xr3:uid="{120C8F38-650F-42E1-ACB1-27379856C7F1}" name="Climate change" dataDxfId="240">
      <calculatedColumnFormula array="1">INT(SUMPRODUCT(--ISNUMBER(SEARCH(climate,C2)))&gt;0)</calculatedColumnFormula>
    </tableColumn>
    <tableColumn id="20" xr3:uid="{905EB169-AF1A-4228-9C8F-DD7DF972A2BA}" name="Abortion" dataDxfId="239">
      <calculatedColumnFormula array="1">INT(SUMPRODUCT(--ISNUMBER(SEARCH(abortion,C2)))&gt;0)</calculatedColumnFormula>
    </tableColumn>
    <tableColumn id="21" xr3:uid="{C70116AD-5675-46C2-8311-EB9AB0DE56DB}" name="Donald Trump" dataDxfId="238">
      <calculatedColumnFormula array="1">INT(SUMPRODUCT(--ISNUMBER(SEARCH(trump,C2)))&gt;0)</calculatedColumnFormula>
    </tableColumn>
    <tableColumn id="22" xr3:uid="{592FD514-EF08-40DE-BF54-6888CE10DD7C}" name="Voting" dataDxfId="237">
      <calculatedColumnFormula array="1">INT(SUMPRODUCT(--ISNUMBER(SEARCH(voting,C2)))&gt;0)</calculatedColumnFormula>
    </tableColumn>
    <tableColumn id="23" xr3:uid="{8EDFD865-22EB-4224-A9E6-9412A809D1FD}" name="Political harangues" dataDxfId="236">
      <calculatedColumnFormula array="1">INT(SUMPRODUCT(--ISNUMBER(SEARCH(democrattrigger,C2)))&gt;0)</calculatedColumnFormula>
    </tableColumn>
    <tableColumn id="24" xr3:uid="{4C2792D0-B636-47FB-910C-854266979E6A}" name="Bipartisanship" dataDxfId="235">
      <calculatedColumnFormula array="1">INT(SUMPRODUCT(--ISNUMBER(SEARCH(bipartisan,C2)))&gt;0)</calculatedColumnFormula>
    </tableColumn>
    <tableColumn id="25" xr3:uid="{7DCFB918-764A-4A7B-98E7-C3545751B69F}" name="Others" dataDxfId="234">
      <calculatedColumnFormula>INT(IF(COUNTIF(K2:Z2,1)=0,"1","0"))</calculatedColumnFormula>
    </tableColumn>
    <tableColumn id="26" xr3:uid="{86911520-0D00-4F2C-B19B-374F7012FD9C}" name="Non-topic" dataDxfId="233"/>
    <tableColumn id="27" xr3:uid="{E7D75283-7128-4F65-9D86-34BA541DD54A}" name="Image" dataDxfId="232"/>
    <tableColumn id="28" xr3:uid="{091F19D6-D11D-4758-A1AC-010442B4591A}" name="Video" dataDxfId="231"/>
  </tableColumns>
  <tableStyleInfo name="TableStyleMedium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94DB9F8-82CF-4EA2-8202-B20628B94A10}" name="Table19" displayName="Table19" ref="A1:AD126" totalsRowShown="0" headerRowDxfId="230" tableBorderDxfId="229">
  <autoFilter ref="A1:AD126" xr:uid="{AD9E2360-9825-48A6-9661-E56750C59BF7}"/>
  <tableColumns count="30">
    <tableColumn id="1" xr3:uid="{7D7C1CDB-93F0-4851-A93E-C7C4B93F699B}" name="Tweet ID" dataDxfId="228"/>
    <tableColumn id="2" xr3:uid="{6A7E74E5-D72F-47F7-B0A4-00FD2809BA3E}" name="Link" dataDxfId="227"/>
    <tableColumn id="3" xr3:uid="{FC07405F-AC65-4EEC-822D-20D055DC72DD}" name="Plain Text" dataDxfId="226"/>
    <tableColumn id="4" xr3:uid="{5AC2046A-6C11-4B68-9B14-E8AA61776C58}" name="Date" dataDxfId="225"/>
    <tableColumn id="5" xr3:uid="{EF822B6E-4B82-44F3-9743-E29FEEFF0159}" name="Tweet (1), Retweet (2), Reply (3)" dataDxfId="224"/>
    <tableColumn id="6" xr3:uid="{15A8E81F-20C1-4C37-AF23-C9F2F9881947}" name="Likes" dataDxfId="223"/>
    <tableColumn id="7" xr3:uid="{2A5BC673-DAFF-4C4F-99AF-6E774F8A48EA}" name="Retweets" dataDxfId="222"/>
    <tableColumn id="8" xr3:uid="{831760DE-A94D-479C-8CBB-8CD9EEDF030F}" name="Candidate" dataDxfId="221"/>
    <tableColumn id="9" xr3:uid="{B67EA8AB-764F-424A-9971-E902D327F3D7}" name="State" dataDxfId="220"/>
    <tableColumn id="10" xr3:uid="{D61730F4-68AD-402A-B839-410CAE2E5893}" name="Party" dataDxfId="219"/>
    <tableColumn id="11" xr3:uid="{408E6211-ED6C-49F7-A315-CF6DD7DB707B}" name="Economy" dataDxfId="218">
      <calculatedColumnFormula array="1">INT(SUMPRODUCT(--ISNUMBER(SEARCH(economy,C2)))&gt;0)</calculatedColumnFormula>
    </tableColumn>
    <tableColumn id="12" xr3:uid="{EAED7941-5C73-4A2E-9082-B855B8D29479}" name="Healthcare" dataDxfId="217">
      <calculatedColumnFormula array="1">INT(SUMPRODUCT(--ISNUMBER(SEARCH(healthcare,C2)))&gt;0)</calculatedColumnFormula>
    </tableColumn>
    <tableColumn id="13" xr3:uid="{336800EE-341F-46DC-B115-F9CE1AD80576}" name="Supreme Court appointments" dataDxfId="216">
      <calculatedColumnFormula array="1">INT(SUMPRODUCT(--ISNUMBER(SEARCH(supreme,C2)))&gt;0)</calculatedColumnFormula>
    </tableColumn>
    <tableColumn id="14" xr3:uid="{1B811FB8-AB86-4173-B0AE-85B4E6216A39}" name="COVID-19" dataDxfId="215">
      <calculatedColumnFormula array="1">INT(SUMPRODUCT(--ISNUMBER(SEARCH(covid,C2)))&gt;0)</calculatedColumnFormula>
    </tableColumn>
    <tableColumn id="15" xr3:uid="{06B950A1-BB2B-43B9-8E8F-D3D7D04BF62A}" name="Violent Crime" dataDxfId="214">
      <calculatedColumnFormula array="1">INT(SUMPRODUCT(--ISNUMBER(SEARCH(violent,C2)))&gt;0)</calculatedColumnFormula>
    </tableColumn>
    <tableColumn id="16" xr3:uid="{63A84AEA-5CCE-44F7-A1A4-9988F58877F6}" name="Foreign policy" dataDxfId="213">
      <calculatedColumnFormula array="1">INT(SUMPRODUCT(--ISNUMBER(SEARCH(foreign,C2)))&gt;0)</calculatedColumnFormula>
    </tableColumn>
    <tableColumn id="17" xr3:uid="{1D7CD7AB-8A3D-48CE-B612-0B5F91C77DB1}" name="Gun policy" dataDxfId="212">
      <calculatedColumnFormula array="1">INT(SUMPRODUCT(--ISNUMBER(SEARCH(gun,C2)))&gt;0)</calculatedColumnFormula>
    </tableColumn>
    <tableColumn id="18" xr3:uid="{8AB73B09-F3F5-43A9-8C38-EE322B2C1013}" name="Race and ethnic inequality" dataDxfId="211">
      <calculatedColumnFormula array="1">INT(SUMPRODUCT(--ISNUMBER(SEARCH(race,C2)))&gt;0)</calculatedColumnFormula>
    </tableColumn>
    <tableColumn id="29" xr3:uid="{1BB66F18-7E6C-4C15-96A9-8848CCC58794}" name="Immigration" dataDxfId="210">
      <calculatedColumnFormula array="1">INT(SUMPRODUCT(--ISNUMBER(SEARCH(immigration,C2)))&gt;0)</calculatedColumnFormula>
    </tableColumn>
    <tableColumn id="30" xr3:uid="{6FCCBFA6-B305-4FD9-A6CA-B992D0B27385}" name="Economic inequality" dataDxfId="209">
      <calculatedColumnFormula array="1">INT(SUMPRODUCT(--ISNUMBER(SEARCH(econineq,C3)))&gt;0)</calculatedColumnFormula>
    </tableColumn>
    <tableColumn id="19" xr3:uid="{95C92CCA-CAA4-4E64-94AD-CE2735FB27CA}" name="Climate change" dataDxfId="208">
      <calculatedColumnFormula array="1">INT(SUMPRODUCT(--ISNUMBER(SEARCH(climate,C2)))&gt;0)</calculatedColumnFormula>
    </tableColumn>
    <tableColumn id="20" xr3:uid="{27954E14-4823-4E9D-B7A2-877658A69401}" name="Abortion" dataDxfId="207">
      <calculatedColumnFormula array="1">INT(SUMPRODUCT(--ISNUMBER(SEARCH(abortion,C2)))&gt;0)</calculatedColumnFormula>
    </tableColumn>
    <tableColumn id="21" xr3:uid="{C4F12620-3195-4ADF-B6CA-12D0821A4B62}" name="Donald Trump" dataDxfId="206">
      <calculatedColumnFormula array="1">INT(SUMPRODUCT(--ISNUMBER(SEARCH(trump,C2)))&gt;0)</calculatedColumnFormula>
    </tableColumn>
    <tableColumn id="22" xr3:uid="{918CF738-3648-4865-BCDD-74BD157C6AA7}" name="Voting" dataDxfId="205">
      <calculatedColumnFormula array="1">INT(SUMPRODUCT(--ISNUMBER(SEARCH(voting,C2)))&gt;0)</calculatedColumnFormula>
    </tableColumn>
    <tableColumn id="23" xr3:uid="{00FE0DD8-D48D-48EE-926E-5779DECF1C3E}" name="Political harangues" dataDxfId="204">
      <calculatedColumnFormula array="1">INT(SUMPRODUCT(--ISNUMBER(SEARCH(democrattrigger,C2)))&gt;0)</calculatedColumnFormula>
    </tableColumn>
    <tableColumn id="24" xr3:uid="{5303BA72-EDED-4740-9626-3A104B328E32}" name="Bipartisanship" dataDxfId="203">
      <calculatedColumnFormula array="1">INT(SUMPRODUCT(--ISNUMBER(SEARCH(bipartisan,C2)))&gt;0)</calculatedColumnFormula>
    </tableColumn>
    <tableColumn id="25" xr3:uid="{11574071-6CFE-4B7A-9F52-7F4DCE4BD478}" name="Others" dataDxfId="202">
      <calculatedColumnFormula>INT(IF(COUNTIF(K2:Z2,1)=0,"1","0"))</calculatedColumnFormula>
    </tableColumn>
    <tableColumn id="26" xr3:uid="{F6138B1A-1599-4A75-A74F-35C82032FFAB}" name="Non-topic" dataDxfId="201"/>
    <tableColumn id="27" xr3:uid="{4D232E50-1770-44AB-B84D-D1C641593253}" name="Image" dataDxfId="200"/>
    <tableColumn id="28" xr3:uid="{065108B2-6118-494B-A160-32DE4B2692FA}" name="Video" dataDxfId="199"/>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17BD117-3D1F-4558-B2D9-DC9FFA2DE578}" name="Table2" displayName="Table2" ref="A1:AD233" totalsRowShown="0" headerRowDxfId="776" tableBorderDxfId="775">
  <autoFilter ref="A1:AD233" xr:uid="{557E4211-C8C1-4813-9FD4-4922CE39D42A}"/>
  <tableColumns count="30">
    <tableColumn id="1" xr3:uid="{51CA0209-3A9F-44DA-8305-7C8E81911B75}" name="Tweet ID" dataDxfId="774"/>
    <tableColumn id="2" xr3:uid="{FA67BE7E-C81D-455D-A9C7-3B0140A3D3C6}" name="Link" dataDxfId="773"/>
    <tableColumn id="3" xr3:uid="{3D37FFB4-0A22-437A-815B-D2C9728E558B}" name="Plain Text" dataDxfId="772"/>
    <tableColumn id="4" xr3:uid="{394E96A0-7E6F-4F77-BAD8-0F5BC1E1877E}" name="Date" dataDxfId="771"/>
    <tableColumn id="5" xr3:uid="{9EE76083-EE88-44F6-9177-E0A7E35B79BD}" name="Tweet (1), Retweet (2), Reply (3)" dataDxfId="770"/>
    <tableColumn id="6" xr3:uid="{80C19BB3-0792-478C-83D9-6AC225DFF804}" name="Likes" dataDxfId="769"/>
    <tableColumn id="7" xr3:uid="{7BA3A86F-6333-472B-B443-7D3DED3A0A44}" name="Retweets" dataDxfId="768"/>
    <tableColumn id="8" xr3:uid="{DC6CF672-7998-48CC-9A63-2956B31C9B2D}" name="Candidate" dataDxfId="767"/>
    <tableColumn id="9" xr3:uid="{E5EDD01D-1356-4D27-B01D-8A5CB6DBC6B1}" name="State" dataDxfId="766"/>
    <tableColumn id="10" xr3:uid="{DE38E75A-3355-4C6F-A683-8196D6F23EA2}" name="Party" dataDxfId="765"/>
    <tableColumn id="11" xr3:uid="{2850D960-E0AA-44ED-9A30-2F4FA88252BD}" name="Economy" dataDxfId="764">
      <calculatedColumnFormula array="1">INT(SUMPRODUCT(--ISNUMBER(SEARCH(economy,'Mark Kelly'!C2)))&gt;0)</calculatedColumnFormula>
    </tableColumn>
    <tableColumn id="12" xr3:uid="{E91231BF-4084-4570-AB5B-C1A0FB9A478D}" name="Healthcare" dataDxfId="763">
      <calculatedColumnFormula array="1">INT(SUMPRODUCT(--ISNUMBER(SEARCH(healthcare,'Mark Kelly'!C2)))&gt;0)</calculatedColumnFormula>
    </tableColumn>
    <tableColumn id="13" xr3:uid="{D1C54F99-9FBF-40FD-A470-D260893BDFFE}" name="Supreme Court appointments" dataDxfId="762">
      <calculatedColumnFormula array="1">INT(SUMPRODUCT(--ISNUMBER(SEARCH(supreme,'Mark Kelly'!C2)))&gt;0)</calculatedColumnFormula>
    </tableColumn>
    <tableColumn id="14" xr3:uid="{908D5F79-4D1A-4BC1-9244-3C5E40C8FF41}" name="COVID-19" dataDxfId="761">
      <calculatedColumnFormula array="1">INT(SUMPRODUCT(--ISNUMBER(SEARCH(covid,'Mark Kelly'!C2)))&gt;0)</calculatedColumnFormula>
    </tableColumn>
    <tableColumn id="15" xr3:uid="{74194D3D-0623-465B-A6E0-C6A8A5145E98}" name="Violent Crime" dataDxfId="760">
      <calculatedColumnFormula array="1">INT(SUMPRODUCT(--ISNUMBER(SEARCH(violent,'Mark Kelly'!C2)))&gt;0)</calculatedColumnFormula>
    </tableColumn>
    <tableColumn id="16" xr3:uid="{2F323809-5403-4C08-AEF3-F9BD245D4AB2}" name="Foreign policy" dataDxfId="759">
      <calculatedColumnFormula array="1">INT(SUMPRODUCT(--ISNUMBER(SEARCH(foreign,'Mark Kelly'!C2)))&gt;0)</calculatedColumnFormula>
    </tableColumn>
    <tableColumn id="17" xr3:uid="{D8422E93-A09D-468C-A206-F40F9DBEE2DA}" name="Gun policy" dataDxfId="758">
      <calculatedColumnFormula array="1">INT(SUMPRODUCT(--ISNUMBER(SEARCH(gun,'Mark Kelly'!C2)))&gt;0)</calculatedColumnFormula>
    </tableColumn>
    <tableColumn id="18" xr3:uid="{7D8C94EE-7D0C-4192-8189-D9EC26C89408}" name="Race and ethnic inequality" dataDxfId="757">
      <calculatedColumnFormula array="1">INT(SUMPRODUCT(--ISNUMBER(SEARCH(race,'Mark Kelly'!C2)))&gt;0)</calculatedColumnFormula>
    </tableColumn>
    <tableColumn id="29" xr3:uid="{53D1D4E6-DF04-4530-A36E-BF4AFF051D8D}" name="Immigration" dataDxfId="756">
      <calculatedColumnFormula array="1">INT(SUMPRODUCT(--ISNUMBER(SEARCH(immigration,C2)))&gt;0)</calculatedColumnFormula>
    </tableColumn>
    <tableColumn id="30" xr3:uid="{55F8A768-B1A8-45BD-85D6-6B4DCB860981}" name="Economic inequality" dataDxfId="755">
      <calculatedColumnFormula array="1">INT(SUMPRODUCT(--ISNUMBER(SEARCH(econineq,C2)))&gt;0)</calculatedColumnFormula>
    </tableColumn>
    <tableColumn id="19" xr3:uid="{CAC5185F-F0A3-411E-AFB5-C928A7173E71}" name="Climate change" dataDxfId="754">
      <calculatedColumnFormula array="1">INT(SUMPRODUCT(--ISNUMBER(SEARCH(climate,'Mark Kelly'!C2)))&gt;0)</calculatedColumnFormula>
    </tableColumn>
    <tableColumn id="20" xr3:uid="{CAF0524D-866D-48B2-B39C-90EA7922CD02}" name="Abortion" dataDxfId="753">
      <calculatedColumnFormula array="1">INT(SUMPRODUCT(--ISNUMBER(SEARCH(abortion,'Mark Kelly'!C2)))&gt;0)</calculatedColumnFormula>
    </tableColumn>
    <tableColumn id="21" xr3:uid="{04BA5E17-C763-4D60-8BB6-3A026DE1A72C}" name="Donald Trump" dataDxfId="752">
      <calculatedColumnFormula array="1">INT(SUMPRODUCT(--ISNUMBER(SEARCH(trump,'Mark Kelly'!C2)))&gt;0)</calculatedColumnFormula>
    </tableColumn>
    <tableColumn id="22" xr3:uid="{56D1D1F0-D006-4849-B2F0-CEF37FF9EB66}" name="Voting" dataDxfId="751">
      <calculatedColumnFormula array="1">INT(SUMPRODUCT(--ISNUMBER(SEARCH(voting,'Mark Kelly'!C2)))&gt;0)</calculatedColumnFormula>
    </tableColumn>
    <tableColumn id="23" xr3:uid="{227764D5-839E-48ED-8018-5D6BAFE96DE6}" name="Political harangues" dataDxfId="750">
      <calculatedColumnFormula array="1">INT(SUMPRODUCT(--ISNUMBER(SEARCH(democrattrigger,'Mark Kelly'!C2)))&gt;0)</calculatedColumnFormula>
    </tableColumn>
    <tableColumn id="24" xr3:uid="{AC0C8C6F-FB2D-4A71-9881-324CF56561AA}" name="Bipartisanship" dataDxfId="749">
      <calculatedColumnFormula array="1">INT(SUMPRODUCT(--ISNUMBER(SEARCH(bipartisan,'Mark Kelly'!C2)))&gt;0)</calculatedColumnFormula>
    </tableColumn>
    <tableColumn id="25" xr3:uid="{6087679A-5D24-4FCD-B7A9-4CF96598BEAD}" name="Others" dataDxfId="748">
      <calculatedColumnFormula>INT(IF(COUNTIF(K2:Z2,1)=0,"1","0"))</calculatedColumnFormula>
    </tableColumn>
    <tableColumn id="26" xr3:uid="{E1F7BE55-E94E-46C5-A239-AB7876814FB4}" name="Non-topic" dataDxfId="747"/>
    <tableColumn id="27" xr3:uid="{9BF41D87-4577-40D2-BFDF-F9C9450DECB1}" name="Image" dataDxfId="746"/>
    <tableColumn id="28" xr3:uid="{27559BE4-DA79-49CD-B21B-13B9B3321E0C}" name="Video" dataDxfId="745"/>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6C53F5A1-C59A-4A17-90D4-1FD6A7E9CA29}" name="Table20" displayName="Table20" ref="A1:AD154" totalsRowShown="0" headerRowDxfId="198" tableBorderDxfId="197">
  <autoFilter ref="A1:AD154" xr:uid="{D312DD8D-AB7B-42AC-98F2-43A6217E5D31}"/>
  <tableColumns count="30">
    <tableColumn id="1" xr3:uid="{A95DF665-23DC-4D3E-B78D-A6D8DF0C5DAF}" name="Tweet ID" dataDxfId="196"/>
    <tableColumn id="2" xr3:uid="{138EB1E8-F6F9-4716-9CFC-51886274B793}" name="Link" dataDxfId="195"/>
    <tableColumn id="3" xr3:uid="{75839824-A8FF-4B1D-93F9-20728ADE193B}" name="Plain Text" dataDxfId="194"/>
    <tableColumn id="4" xr3:uid="{477A7D71-BB47-4BF8-9C16-56A676B0E7DF}" name="Date" dataDxfId="193"/>
    <tableColumn id="5" xr3:uid="{23A85BB8-9635-410D-90A4-7C913E9E71BF}" name="Tweet (1), Retweet (2), Reply (3)" dataDxfId="192"/>
    <tableColumn id="6" xr3:uid="{A25703E1-26A3-4EA8-B202-55B03A28B1E4}" name="Likes" dataDxfId="191"/>
    <tableColumn id="7" xr3:uid="{2E32578B-2143-474E-B5C3-176035CDC9AB}" name="Retweets" dataDxfId="190"/>
    <tableColumn id="8" xr3:uid="{BEA4B119-582A-43BD-9A33-C579159E1BB3}" name="Candidate" dataDxfId="189"/>
    <tableColumn id="9" xr3:uid="{A655FD90-C8DE-49CF-BBFC-CFE9A1D08A35}" name="State" dataDxfId="188"/>
    <tableColumn id="10" xr3:uid="{6E5E7DBB-8BFA-41D0-B16E-038BE1809105}" name="Party" dataDxfId="187"/>
    <tableColumn id="11" xr3:uid="{DF6D99D2-5EA0-422F-9DAA-18DA9850DD43}" name="Economy" dataDxfId="186">
      <calculatedColumnFormula array="1">INT(SUMPRODUCT(--ISNUMBER(SEARCH(economy,C2)))&gt;0)</calculatedColumnFormula>
    </tableColumn>
    <tableColumn id="12" xr3:uid="{3889B9C8-1A0E-421E-B355-1873E91DF749}" name="Healthcare" dataDxfId="185">
      <calculatedColumnFormula array="1">INT(SUMPRODUCT(--ISNUMBER(SEARCH(healthcare,C2)))&gt;0)</calculatedColumnFormula>
    </tableColumn>
    <tableColumn id="13" xr3:uid="{0F115B51-A044-4695-B238-041326DAAD22}" name="Supreme Court appointments" dataDxfId="184">
      <calculatedColumnFormula array="1">INT(SUMPRODUCT(--ISNUMBER(SEARCH(supreme,C2)))&gt;0)</calculatedColumnFormula>
    </tableColumn>
    <tableColumn id="14" xr3:uid="{B79C4275-193D-4FAC-8124-984B5BE34BC1}" name="COVID-19" dataDxfId="183">
      <calculatedColumnFormula array="1">INT(SUMPRODUCT(--ISNUMBER(SEARCH(covid,C2)))&gt;0)</calculatedColumnFormula>
    </tableColumn>
    <tableColumn id="15" xr3:uid="{5569CE6A-ABF5-4031-AFB0-D93FC0F44000}" name="Violent Crime" dataDxfId="182">
      <calculatedColumnFormula array="1">INT(SUMPRODUCT(--ISNUMBER(SEARCH(violent,C2)))&gt;0)</calculatedColumnFormula>
    </tableColumn>
    <tableColumn id="16" xr3:uid="{8B974419-AB8F-4EFB-B209-10074C8DC650}" name="Foreign policy" dataDxfId="181">
      <calculatedColumnFormula array="1">INT(SUMPRODUCT(--ISNUMBER(SEARCH(foreign,C2)))&gt;0)</calculatedColumnFormula>
    </tableColumn>
    <tableColumn id="17" xr3:uid="{D4C5EE80-BAFC-4FB0-8095-3E03B50FCAC4}" name="Gun policy" dataDxfId="180">
      <calculatedColumnFormula array="1">INT(SUMPRODUCT(--ISNUMBER(SEARCH(gun,C2)))&gt;0)</calculatedColumnFormula>
    </tableColumn>
    <tableColumn id="18" xr3:uid="{BAF6626B-CCE3-41C0-A7FC-923D9B0453B4}" name="Race and ethnic inequality" dataDxfId="179">
      <calculatedColumnFormula array="1">INT(SUMPRODUCT(--ISNUMBER(SEARCH(race,C2)))&gt;0)</calculatedColumnFormula>
    </tableColumn>
    <tableColumn id="30" xr3:uid="{E94CEF82-30BA-40B9-BC73-D88B3AF21570}" name="Immigration" dataDxfId="178">
      <calculatedColumnFormula array="1">INT(SUMPRODUCT(--ISNUMBER(SEARCH(immigration,C2)))&gt;0)</calculatedColumnFormula>
    </tableColumn>
    <tableColumn id="29" xr3:uid="{EE719086-D7B5-4E16-8368-2ED8C2F042A5}" name="Economic inequality" dataDxfId="177">
      <calculatedColumnFormula array="1">INT(SUMPRODUCT(--ISNUMBER(SEARCH(econineq,C3)))&gt;0)</calculatedColumnFormula>
    </tableColumn>
    <tableColumn id="19" xr3:uid="{709F669A-8936-4DDD-989E-E3D88D1A7E7C}" name="Climate change" dataDxfId="176">
      <calculatedColumnFormula array="1">INT(SUMPRODUCT(--ISNUMBER(SEARCH(climate,C2)))&gt;0)</calculatedColumnFormula>
    </tableColumn>
    <tableColumn id="20" xr3:uid="{493AD96E-148F-4D9C-85D8-A1FFE27AEA86}" name="Abortion" dataDxfId="175">
      <calculatedColumnFormula array="1">INT(SUMPRODUCT(--ISNUMBER(SEARCH(abortion,C2)))&gt;0)</calculatedColumnFormula>
    </tableColumn>
    <tableColumn id="21" xr3:uid="{B694A680-4AE2-4DAE-86C7-0DE1EF254730}" name="Donald Trump" dataDxfId="174">
      <calculatedColumnFormula array="1">INT(SUMPRODUCT(--ISNUMBER(SEARCH(trump,C2)))&gt;0)</calculatedColumnFormula>
    </tableColumn>
    <tableColumn id="22" xr3:uid="{91EA5897-10AE-4C63-B3B4-EFBC7608A978}" name="Voting" dataDxfId="173">
      <calculatedColumnFormula array="1">INT(SUMPRODUCT(--ISNUMBER(SEARCH(voting,C2)))&gt;0)</calculatedColumnFormula>
    </tableColumn>
    <tableColumn id="23" xr3:uid="{EE553545-EC45-4DC4-9E8E-DC17139728B5}" name="Political harangues" dataDxfId="172">
      <calculatedColumnFormula array="1">INT(SUMPRODUCT(--ISNUMBER(SEARCH(republicantrigger,C2)))&gt;0)</calculatedColumnFormula>
    </tableColumn>
    <tableColumn id="24" xr3:uid="{8D463441-5DDC-42E3-8426-12CE5B49CD0C}" name="Bipartisanship" dataDxfId="171">
      <calculatedColumnFormula array="1">INT(SUMPRODUCT(--ISNUMBER(SEARCH(bipartisan,C2)))&gt;0)</calculatedColumnFormula>
    </tableColumn>
    <tableColumn id="25" xr3:uid="{ACFDBA95-4C02-4381-9A90-AC4A8E2C8A42}" name="Others" dataDxfId="170">
      <calculatedColumnFormula>INT(IF(COUNTIF(K2:Z2,1)=0,"1","0"))</calculatedColumnFormula>
    </tableColumn>
    <tableColumn id="26" xr3:uid="{D876C17B-49C9-4D7E-BAB3-1F6F2AEF9547}" name="Non-topic" dataDxfId="169"/>
    <tableColumn id="27" xr3:uid="{DBE1098A-1B4B-4913-8914-FA3BEA48BC17}" name="Image" dataDxfId="168"/>
    <tableColumn id="28" xr3:uid="{C0F83C04-BB51-4D37-9642-E2F0D46A0365}" name="Video" dataDxfId="167"/>
  </tableColumns>
  <tableStyleInfo name="TableStyleMedium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33988826-4C55-4E3A-AC84-8D233A36CC48}" name="Table23" displayName="Table23" ref="A2:D52" totalsRowShown="0" headerRowDxfId="166" headerRowBorderDxfId="165" tableBorderDxfId="164" totalsRowBorderDxfId="163">
  <autoFilter ref="A2:D52" xr:uid="{384D74D9-BE73-43FB-B8FD-EE4781AC2157}"/>
  <sortState xmlns:xlrd2="http://schemas.microsoft.com/office/spreadsheetml/2017/richdata2" ref="A3:D52">
    <sortCondition ref="D2:D52"/>
  </sortState>
  <tableColumns count="4">
    <tableColumn id="1" xr3:uid="{4D720CCC-50C2-4B1D-BF97-1B07D4B5E8FD}" name="State" dataDxfId="162"/>
    <tableColumn id="2" xr3:uid="{38A237C0-8EEC-445B-811D-9BB9E807BBF8}" name="Votes for Joseph Biden" dataDxfId="161"/>
    <tableColumn id="3" xr3:uid="{8BF75952-51EA-4908-97C7-9CFC117DC2AA}" name="Votes for Donald Trump" dataDxfId="160"/>
    <tableColumn id="4" xr3:uid="{E4700051-AD1D-4617-AD39-54512AB8DC7F}" name="Winning margin" dataDxfId="159"/>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F2B776C-5F01-4FD6-AA91-7EB9D0526ABE}" name="Table22" displayName="Table22" ref="A2:Y22" totalsRowShown="0" headerRowDxfId="158" dataDxfId="156" headerRowBorderDxfId="157" tableBorderDxfId="155" totalsRowBorderDxfId="154">
  <autoFilter ref="A2:Y22" xr:uid="{575045F0-C184-4C3A-B650-B9678ACFC6FC}"/>
  <tableColumns count="25">
    <tableColumn id="1" xr3:uid="{9F66998C-3171-4018-A619-49AC76BCAA4D}" name="State" dataDxfId="153"/>
    <tableColumn id="2" xr3:uid="{481B325F-082E-40D8-B59D-56FBD7D96E73}" name="Candidate" dataDxfId="152"/>
    <tableColumn id="3" xr3:uid="{A2E69047-184E-44EC-A513-CD3FB2284D7F}" name="Party" dataDxfId="151"/>
    <tableColumn id="25" xr3:uid="{E7567859-3055-4339-829B-252789B5A760}" name="Incumbent?" dataDxfId="150"/>
    <tableColumn id="4" xr3:uid="{C28C33B5-F666-4402-BC11-4DE43D7930BF}" name="Did they win?" dataDxfId="149"/>
    <tableColumn id="5" xr3:uid="{989E8418-6F2F-464F-9B6A-27D2A934DF42}" name="Economy" dataDxfId="148"/>
    <tableColumn id="6" xr3:uid="{62AE2A73-5833-4A31-B98C-3D85B26DE027}" name="Healthcare" dataDxfId="147"/>
    <tableColumn id="7" xr3:uid="{5944F1D8-B896-43E2-A778-2C7FE47706D3}" name="Supreme Court appointments" dataDxfId="146"/>
    <tableColumn id="8" xr3:uid="{0B111F4D-7547-451A-B26D-2462FB168E56}" name="COVID-19" dataDxfId="145"/>
    <tableColumn id="9" xr3:uid="{3F13A049-68F8-4B27-87D4-AFDF380ADE39}" name="Violent Crime" dataDxfId="144"/>
    <tableColumn id="10" xr3:uid="{27149A79-E061-4D69-9A9D-1E3E45ACFD1A}" name="Foreign policy" dataDxfId="143"/>
    <tableColumn id="11" xr3:uid="{DD92BADB-085C-4DC0-8FCA-975F2E752F00}" name="Gun policy" dataDxfId="142"/>
    <tableColumn id="12" xr3:uid="{79A28F36-340A-4D5C-ACF7-48A2E8386F24}" name="Race and ethnic inequality" dataDxfId="141"/>
    <tableColumn id="24" xr3:uid="{911096B6-40B0-4AE6-BFB0-AC6FD3626F29}" name="Immigration" dataDxfId="140"/>
    <tableColumn id="20" xr3:uid="{A7D28B54-7D1B-4CE0-90A7-2654B3544025}" name="Economic inequality" dataDxfId="139"/>
    <tableColumn id="13" xr3:uid="{04B24585-FC82-456B-BFC0-A8C81B0E05C9}" name="Climate change" dataDxfId="138"/>
    <tableColumn id="14" xr3:uid="{02C8831E-03F5-4012-BD1D-DB41E3744EB9}" name="Abortion" dataDxfId="137"/>
    <tableColumn id="15" xr3:uid="{B85D5620-F84F-493C-A069-173253C8908C}" name="Donald Trump" dataDxfId="136"/>
    <tableColumn id="16" xr3:uid="{F12F5103-20D8-4EB2-B0C2-0F21F487EE35}" name="Voting" dataDxfId="135"/>
    <tableColumn id="17" xr3:uid="{17502082-14DE-4390-8D75-0511457AA7A1}" name="Political harangues" dataDxfId="134"/>
    <tableColumn id="18" xr3:uid="{8F58B59C-FE7E-407F-B2BF-3911229CA2BF}" name="Bipartisanship" dataDxfId="133"/>
    <tableColumn id="19" xr3:uid="{230F3E02-4D9D-4ACD-A12C-237E88A04BD9}" name="Others" dataDxfId="132"/>
    <tableColumn id="21" xr3:uid="{18FA9812-1E78-40CE-A00D-F108B446475F}" name="Image" dataDxfId="131"/>
    <tableColumn id="22" xr3:uid="{6DB4238C-2B58-45F2-A170-6A85546BDDAA}" name="Video" dataDxfId="130"/>
    <tableColumn id="23" xr3:uid="{51F9B41E-936A-435F-AA3A-D590AD76A840}" name="Total" dataDxfId="129"/>
  </tableColumns>
  <tableStyleInfo name="TableStyleMedium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FECD33F-F882-4585-B146-8E81BC7A32AF}" name="Table21" displayName="Table21" ref="A2:X22" totalsRowShown="0" headerRowDxfId="128" dataDxfId="126" headerRowBorderDxfId="127" tableBorderDxfId="125" totalsRowBorderDxfId="124" dataCellStyle="Percent">
  <autoFilter ref="A2:X22" xr:uid="{32188E2A-DEBA-478A-B206-7AB8A5B6C096}"/>
  <tableColumns count="24">
    <tableColumn id="1" xr3:uid="{A84F4132-1883-42F9-B463-58D0CA2D557A}" name="State" dataDxfId="123"/>
    <tableColumn id="2" xr3:uid="{288F9AE2-74EB-40B9-A7A9-DF21E36B7DB9}" name="Candidate" dataDxfId="122"/>
    <tableColumn id="3" xr3:uid="{B6D2F66C-78D5-431E-BF6C-6478860D7BBB}" name="Party" dataDxfId="121"/>
    <tableColumn id="22" xr3:uid="{77BFA2A3-C808-41CC-8C7C-061D0FD73DCF}" name="Did they win?" dataDxfId="120"/>
    <tableColumn id="23" xr3:uid="{29B618AC-72F9-451E-8E6F-6AF8B46E9916}" name="Incumbent?" dataDxfId="119"/>
    <tableColumn id="4" xr3:uid="{3B85CE4B-0391-42E9-BEC8-C239CA45BA65}" name="Economy" dataDxfId="118" dataCellStyle="Percent">
      <calculatedColumnFormula>('Table 4'!F3/'Table 4'!Y3)</calculatedColumnFormula>
    </tableColumn>
    <tableColumn id="5" xr3:uid="{D3E0AFFC-0103-4199-93F3-A86EC66C62D2}" name="Healthcare" dataDxfId="117" dataCellStyle="Percent">
      <calculatedColumnFormula>('Table 4'!G3/'Table 4'!Y3)</calculatedColumnFormula>
    </tableColumn>
    <tableColumn id="6" xr3:uid="{0B7831EE-A37C-4D9C-8562-7E3C52B2952B}" name="Supreme Court appointments" dataDxfId="116" dataCellStyle="Percent">
      <calculatedColumnFormula>('Table 4'!H3/'Table 4'!Y3)</calculatedColumnFormula>
    </tableColumn>
    <tableColumn id="7" xr3:uid="{533515F7-0936-4845-87A7-80895D9DB26F}" name="COVID-19" dataDxfId="115" dataCellStyle="Percent">
      <calculatedColumnFormula>('Table 4'!I3/'Table 4'!Y3)</calculatedColumnFormula>
    </tableColumn>
    <tableColumn id="8" xr3:uid="{73DB6FA9-CFCC-4EC5-812C-FAE3C49731B6}" name="Violent Crime" dataDxfId="114" dataCellStyle="Percent">
      <calculatedColumnFormula>('Table 4'!J3/'Table 4'!Y3)</calculatedColumnFormula>
    </tableColumn>
    <tableColumn id="9" xr3:uid="{09197376-7B21-4288-8499-027DF5A00DBD}" name="Foreign policy" dataDxfId="113" dataCellStyle="Percent">
      <calculatedColumnFormula>('Table 4'!K3/'Table 4'!Y3)</calculatedColumnFormula>
    </tableColumn>
    <tableColumn id="10" xr3:uid="{4DAD7691-4077-45F9-9F39-AE0441A7D940}" name="Gun policy" dataDxfId="112" dataCellStyle="Percent">
      <calculatedColumnFormula>('Table 4'!L3/'Table 4'!Y3)</calculatedColumnFormula>
    </tableColumn>
    <tableColumn id="11" xr3:uid="{1E12F4BC-54FC-461D-A2E8-6A72F2E26755}" name="Race and ethnic inequality" dataDxfId="111" dataCellStyle="Percent">
      <calculatedColumnFormula>('Table 4'!M3/'Table 4'!Y3)</calculatedColumnFormula>
    </tableColumn>
    <tableColumn id="24" xr3:uid="{F6557883-2092-4D55-98C4-F77B4BA88AEF}" name="Immigration" dataDxfId="110" dataCellStyle="Percent">
      <calculatedColumnFormula>('Table 4'!N3/'Table 4'!Y3)</calculatedColumnFormula>
    </tableColumn>
    <tableColumn id="19" xr3:uid="{79490C85-477A-4D17-94EA-A2EC9B60EFB3}" name="Economic inequality" dataDxfId="109" dataCellStyle="Percent">
      <calculatedColumnFormula>('Table 4'!O3/'Table 4'!W34)</calculatedColumnFormula>
    </tableColumn>
    <tableColumn id="12" xr3:uid="{D880AE18-4E4D-4952-A89C-BA3CDB776125}" name="Climate change" dataDxfId="108" dataCellStyle="Percent">
      <calculatedColumnFormula>('Table 4'!P3/'Table 4'!Y3)</calculatedColumnFormula>
    </tableColumn>
    <tableColumn id="13" xr3:uid="{7790A290-D543-47D4-82B2-7F3C0A6BFF8D}" name="Abortion" dataDxfId="107" dataCellStyle="Percent">
      <calculatedColumnFormula>('Table 4'!Q3/'Table 4'!Y3)</calculatedColumnFormula>
    </tableColumn>
    <tableColumn id="14" xr3:uid="{FB88979B-A5FF-4263-85E3-E489F85637F9}" name="Donald Trump" dataDxfId="106" dataCellStyle="Percent">
      <calculatedColumnFormula>('Table 4'!R3/'Table 4'!Y3)</calculatedColumnFormula>
    </tableColumn>
    <tableColumn id="15" xr3:uid="{53AEA4C0-DCDC-499D-B11D-2868576A47E5}" name="Voting" dataDxfId="105" dataCellStyle="Percent">
      <calculatedColumnFormula>('Table 4'!S3/'Table 4'!Y3)</calculatedColumnFormula>
    </tableColumn>
    <tableColumn id="16" xr3:uid="{357051C5-CDFF-41E0-B3E2-91CB37FD5434}" name="Political harangues" dataDxfId="104" dataCellStyle="Percent">
      <calculatedColumnFormula>('Table 4'!T3/'Table 4'!Y3)</calculatedColumnFormula>
    </tableColumn>
    <tableColumn id="17" xr3:uid="{1C2F70D5-361E-4C97-8FD2-60EE675E78B7}" name="Bipartisanship" dataDxfId="103" dataCellStyle="Percent">
      <calculatedColumnFormula>('Table 4'!U3/'Table 4'!Y3)</calculatedColumnFormula>
    </tableColumn>
    <tableColumn id="18" xr3:uid="{7AFCD9DC-26B4-4D6E-9601-66B941EFA39B}" name="Others" dataDxfId="102" dataCellStyle="Percent">
      <calculatedColumnFormula>('Table 4'!V3/'Table 4'!Y3)</calculatedColumnFormula>
    </tableColumn>
    <tableColumn id="20" xr3:uid="{BEF46DD7-7860-4E8B-BE1A-98E11E6B8ED1}" name="Image" dataDxfId="101" dataCellStyle="Percent">
      <calculatedColumnFormula>('Table 4'!W3/'Table 4'!Y3)</calculatedColumnFormula>
    </tableColumn>
    <tableColumn id="21" xr3:uid="{5659D4B1-3B7D-4935-A69A-D302BEA3AFBF}" name="Video" dataDxfId="100" dataCellStyle="Percent">
      <calculatedColumnFormula>('Table 4'!X3/'Table 4'!Y3)</calculatedColumnFormula>
    </tableColumn>
  </tableColumns>
  <tableStyleInfo name="TableStyleMedium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ED7CFEF-7756-4AE6-AEE4-92EE732A53FD}" name="Table2226" displayName="Table2226" ref="A2:U14" totalsRowShown="0" headerRowDxfId="99" dataDxfId="97" headerRowBorderDxfId="98" tableBorderDxfId="96" totalsRowBorderDxfId="95">
  <autoFilter ref="A2:U14" xr:uid="{3F089B30-F67B-4A49-87FA-699B39129A4B}"/>
  <tableColumns count="21">
    <tableColumn id="1" xr3:uid="{500DE772-7B9F-4B3C-A67F-7106E32E8074}" name="State" dataDxfId="94"/>
    <tableColumn id="5" xr3:uid="{1B0F9442-F47E-4D01-ADB7-3D0EF5B61DE0}" name="Economy" dataDxfId="93">
      <calculatedColumnFormula>('Table 4'!F4-'Table 4'!F3)</calculatedColumnFormula>
    </tableColumn>
    <tableColumn id="6" xr3:uid="{684B14FD-4E5B-4320-A0EB-F2026F215EB9}" name="Healthcare" dataDxfId="92"/>
    <tableColumn id="7" xr3:uid="{73040937-E8DB-4FF2-A651-773D6D2A2236}" name="Supreme Court appointments" dataDxfId="91"/>
    <tableColumn id="8" xr3:uid="{7999EE38-0FA7-4021-B9BA-CE4679C8B846}" name="COVID-19" dataDxfId="90"/>
    <tableColumn id="9" xr3:uid="{413D41CA-92C4-4B5E-BE33-3366D324C542}" name="Violent Crime" dataDxfId="89"/>
    <tableColumn id="10" xr3:uid="{751931EA-3AB2-49D7-B1E5-CE48396F9E87}" name="Foreign policy" dataDxfId="88"/>
    <tableColumn id="11" xr3:uid="{AEBD591E-08C1-47CD-91D4-947A2791D874}" name="Gun policy" dataDxfId="87"/>
    <tableColumn id="12" xr3:uid="{651BFA8B-5DED-4A3E-8822-9FCE7B948C36}" name="Race and ethnic inequality" dataDxfId="86"/>
    <tableColumn id="24" xr3:uid="{482227DB-9919-4E49-BE37-475A8B31C964}" name="Immigration" dataDxfId="85"/>
    <tableColumn id="2" xr3:uid="{0E6E08FA-D384-4431-A78F-AEB2253A9ED9}" name="Economic inequality"/>
    <tableColumn id="13" xr3:uid="{664B2928-C8C0-497C-8365-BC3BDA19A671}" name="Climate change" dataDxfId="84"/>
    <tableColumn id="14" xr3:uid="{BD1FDF10-DCF1-446C-BFDC-BF9770D9D540}" name="Abortion" dataDxfId="83"/>
    <tableColumn id="15" xr3:uid="{9760546E-69F0-4DE6-BD26-D2125BC08361}" name="Donald Trump" dataDxfId="82"/>
    <tableColumn id="16" xr3:uid="{B292FEEB-C957-45B8-8735-DB350D5FCBA6}" name="Voting" dataDxfId="81"/>
    <tableColumn id="17" xr3:uid="{12B2FF98-2C28-46A8-BFEB-E7FAFF8BD37E}" name="Political harangues" dataDxfId="80"/>
    <tableColumn id="18" xr3:uid="{3CD9AABB-1D47-43FA-A94E-83576612466B}" name="Bipartisanship" dataDxfId="79"/>
    <tableColumn id="19" xr3:uid="{848E1A0A-48CE-45D1-86DF-416FF658C989}" name="Others" dataDxfId="78"/>
    <tableColumn id="21" xr3:uid="{EA716F8D-D5D3-4136-8F60-58C867058823}" name="Image" dataDxfId="77"/>
    <tableColumn id="22" xr3:uid="{4AA8ED85-91AA-4111-B48C-4E06E45D23B8}" name="Video" dataDxfId="76"/>
    <tableColumn id="23" xr3:uid="{EA887740-C786-483E-B2C4-07105A52D98C}" name="Total" dataDxfId="75"/>
  </tableColumns>
  <tableStyleInfo name="TableStyleMedium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DFB23B14-B3A8-4B0B-B91F-49ADD8781C81}" name="Table26" displayName="Table26" ref="A2:M7" totalsRowShown="0" headerRowDxfId="74" headerRowBorderDxfId="73" tableBorderDxfId="72" totalsRowBorderDxfId="71">
  <autoFilter ref="A2:M7" xr:uid="{5885C110-8E93-431C-AB9E-944019D53FBB}"/>
  <tableColumns count="13">
    <tableColumn id="1" xr3:uid="{30A2235E-14B9-4774-86B4-28BF9DB402D7}" name="Column1" dataDxfId="70"/>
    <tableColumn id="2" xr3:uid="{AC6038CB-B788-455A-B197-706609CE108D}" name="Economy" dataDxfId="69"/>
    <tableColumn id="3" xr3:uid="{F26C1E17-DEB7-4B32-B2DE-C84D049DC777}" name="Healthcare" dataDxfId="68"/>
    <tableColumn id="4" xr3:uid="{91381D81-7C21-47B5-9BBB-F8D87AF0F742}" name="Supreme Court appointments" dataDxfId="67"/>
    <tableColumn id="5" xr3:uid="{E526863E-FB8B-4F8B-B299-A2891A406A27}" name="COVID-19" dataDxfId="66"/>
    <tableColumn id="6" xr3:uid="{240A7E38-F776-46AD-B23E-9D4E50AC58EE}" name="Violent Crime" dataDxfId="65"/>
    <tableColumn id="7" xr3:uid="{D393C07A-B706-4E04-909E-54C17D2322E5}" name="Foreign policy" dataDxfId="64"/>
    <tableColumn id="8" xr3:uid="{22774458-CBCC-4646-ABF6-9E20249BDB32}" name="Gun policy" dataDxfId="63"/>
    <tableColumn id="9" xr3:uid="{CA58503F-5514-458B-AACF-A47458200F35}" name="Race and ethnic inequality" dataDxfId="62"/>
    <tableColumn id="10" xr3:uid="{1EEAE7F9-6F2B-4EC0-BD33-3E0ED63113A0}" name="Immigration" dataDxfId="61"/>
    <tableColumn id="11" xr3:uid="{7F1D940F-B4A6-4807-A14A-783F85783170}" name="Economic inequality" dataDxfId="60"/>
    <tableColumn id="12" xr3:uid="{43DF2270-D07A-4C05-AD2D-7F57246254B9}" name="Climate change" dataDxfId="59"/>
    <tableColumn id="13" xr3:uid="{F4BFC357-468D-4E80-85AE-A18C66C53FDD}" name="Abortion" dataDxfId="58"/>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D0BA2923-25A9-4231-B71C-EA5987B76C77}" name="Table28" displayName="Table28" ref="A10:M15" totalsRowShown="0" headerRowDxfId="57" headerRowBorderDxfId="56" tableBorderDxfId="55" totalsRowBorderDxfId="54">
  <autoFilter ref="A10:M15" xr:uid="{48316A4F-A72B-43BE-ADD0-38484261C3D4}"/>
  <tableColumns count="13">
    <tableColumn id="1" xr3:uid="{8A6BE5CB-9E72-4DCD-AC49-3EF44E68F5DE}" name="Column1" dataDxfId="53"/>
    <tableColumn id="2" xr3:uid="{4252E8F4-6BB6-4059-9F5E-41F6FA901D8F}" name="Economy" dataDxfId="52"/>
    <tableColumn id="3" xr3:uid="{BD2B869F-44FC-4A77-8EDA-DE0C7F768F43}" name="Healthcare" dataDxfId="51"/>
    <tableColumn id="4" xr3:uid="{D9A34737-B59E-467D-B69B-87E511E80E36}" name="Supreme Court appointments" dataDxfId="50"/>
    <tableColumn id="5" xr3:uid="{9DC5F6F6-A1BB-4042-B0FB-0CC446EF7F71}" name="COVID-19" dataDxfId="49"/>
    <tableColumn id="6" xr3:uid="{276EAD22-74EE-4C97-B0A2-828E83B960A0}" name="Violent Crime" dataDxfId="48"/>
    <tableColumn id="7" xr3:uid="{5F188715-E875-4077-91A4-571FE28BA0D1}" name="Foreign policy" dataDxfId="47"/>
    <tableColumn id="8" xr3:uid="{EEF70BC4-951E-4E62-B8BD-41F044AE429E}" name="Gun policy" dataDxfId="46"/>
    <tableColumn id="9" xr3:uid="{24B4494D-811D-4DE8-806D-C91E4FACA0E5}" name="Race and ethnic inequality" dataDxfId="45"/>
    <tableColumn id="10" xr3:uid="{8D94B919-971A-4D3B-929B-5CEE9F5B0493}" name="Immigration" dataDxfId="44"/>
    <tableColumn id="11" xr3:uid="{E3507C2C-55E0-4675-BF8A-7A38E7360131}" name="Economic inequality" dataDxfId="43"/>
    <tableColumn id="12" xr3:uid="{B8CF3D48-D79C-4AE4-B3D5-228F5199332A}" name="Climate change" dataDxfId="42"/>
    <tableColumn id="13" xr3:uid="{AE0C0633-8BE4-4DC7-8768-24849ABDAB69}" name="Abortion" dataDxfId="41"/>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18368FC-B3A3-4795-88F2-A7A9524C5319}" name="Table29" displayName="Table29" ref="A18:M23" totalsRowShown="0" headerRowDxfId="40" headerRowBorderDxfId="39" tableBorderDxfId="38" totalsRowBorderDxfId="37">
  <autoFilter ref="A18:M23" xr:uid="{8B1AAFCC-D11A-4BCF-97D4-3E4A54C12DFA}"/>
  <tableColumns count="13">
    <tableColumn id="1" xr3:uid="{1B66C1E1-FF7D-4507-B1FA-452C37FFB23F}" name="Column1" dataDxfId="36"/>
    <tableColumn id="2" xr3:uid="{A236C4EB-B729-49E4-905A-4720B0718BF1}" name="Economy" dataDxfId="35"/>
    <tableColumn id="3" xr3:uid="{43A3F36C-44A5-41D4-9002-74E1620ACAD9}" name="Healthcare" dataDxfId="34"/>
    <tableColumn id="4" xr3:uid="{86C1CE95-A74D-4E96-9DD7-9EF4246A1CE3}" name="Supreme Court appointments" dataDxfId="33"/>
    <tableColumn id="5" xr3:uid="{6EE7718D-2791-4EDD-92D9-BB43ACBB4F7A}" name="COVID-19" dataDxfId="32"/>
    <tableColumn id="6" xr3:uid="{83223898-A0B5-4CED-9A07-C93CD3DDFDE9}" name="Violent Crime" dataDxfId="31"/>
    <tableColumn id="7" xr3:uid="{AFAF1639-0506-4D55-9CD3-34BA80F3710D}" name="Foreign policy" dataDxfId="30"/>
    <tableColumn id="8" xr3:uid="{519DA3FD-9A08-4C36-BFCB-CAF9CA54C8B5}" name="Gun policy" dataDxfId="29"/>
    <tableColumn id="9" xr3:uid="{8A5341FA-FC03-468F-A1D0-0B70AE92DE35}" name="Race and ethnic inequality" dataDxfId="28"/>
    <tableColumn id="10" xr3:uid="{276FAF8D-7850-49B0-9291-39F5B9C7279F}" name="Immigration" dataDxfId="27"/>
    <tableColumn id="11" xr3:uid="{2448FB02-75C2-4B4B-92E0-6B2023E53F09}" name="Economic inequality" dataDxfId="26"/>
    <tableColumn id="12" xr3:uid="{F4500EC4-23BF-4AA8-900B-E418A80FF2F1}" name="Climate change" dataDxfId="25"/>
    <tableColumn id="13" xr3:uid="{63B8A05D-BFF0-465D-A747-28C926797474}" name="Abortion" dataDxfId="24"/>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4B08315-9436-4BA3-88B4-AF41A1FFC036}" name="Table3" displayName="Table3" ref="A1:AD195" totalsRowShown="0" headerRowDxfId="744" tableBorderDxfId="743">
  <autoFilter ref="A1:AD195" xr:uid="{51E56A51-8A47-44AA-8BB9-C8C5F9D1FF62}"/>
  <tableColumns count="30">
    <tableColumn id="1" xr3:uid="{F815EA23-EF8C-4D41-A7EC-01C17BCFBC4E}" name="Tweet ID" dataDxfId="742"/>
    <tableColumn id="2" xr3:uid="{87DA87F5-405B-45C3-9AD9-E38785CB20B2}" name="Link" dataDxfId="741"/>
    <tableColumn id="3" xr3:uid="{978BF28D-5810-4027-BA66-2CA744C8204D}" name="Plain Text" dataDxfId="740"/>
    <tableColumn id="4" xr3:uid="{D08460DB-D70A-4737-932C-7FE25817D80A}" name="Date" dataDxfId="739"/>
    <tableColumn id="5" xr3:uid="{E01F4D9E-2C74-4F6E-8B99-D1C4CB17E171}" name="Tweet (1), Retweet (2), Reply (3)" dataDxfId="738"/>
    <tableColumn id="6" xr3:uid="{23EB3384-9832-4E3C-904D-F00E161F8841}" name="Likes" dataDxfId="737"/>
    <tableColumn id="7" xr3:uid="{8C4908E6-2EEC-4FC2-B3E9-DDE8055A7310}" name="Retweets" dataDxfId="736"/>
    <tableColumn id="8" xr3:uid="{C93EF223-382B-40C4-A14A-4F4BE9166F54}" name="Candidate" dataDxfId="735"/>
    <tableColumn id="9" xr3:uid="{0C110B5C-27F6-46B7-A398-5F1E46995C84}" name="State" dataDxfId="734"/>
    <tableColumn id="10" xr3:uid="{6425BDA8-4954-4812-A9FF-2D1F364F9DCC}" name="Party" dataDxfId="733"/>
    <tableColumn id="11" xr3:uid="{DC8EDD46-B23C-4AA7-AD24-DCA69120CAE3}" name="Economy" dataDxfId="732">
      <calculatedColumnFormula array="1">INT(SUMPRODUCT(--ISNUMBER(SEARCH(economy,'David Perdue'!C2)))&gt;0)</calculatedColumnFormula>
    </tableColumn>
    <tableColumn id="12" xr3:uid="{0DE1A534-6494-41DE-B7C5-810988E82E42}" name="Healthcare" dataDxfId="731">
      <calculatedColumnFormula array="1">INT(SUMPRODUCT(--ISNUMBER(SEARCH(healthcare,'David Perdue'!C2)))&gt;0)</calculatedColumnFormula>
    </tableColumn>
    <tableColumn id="13" xr3:uid="{B2E78B97-B6AC-4609-9850-19A6C7E8710E}" name="Supreme Court appointments" dataDxfId="730">
      <calculatedColumnFormula array="1">INT(SUMPRODUCT(--ISNUMBER(SEARCH(supreme,'David Perdue'!C2)))&gt;0)</calculatedColumnFormula>
    </tableColumn>
    <tableColumn id="14" xr3:uid="{926F2C12-0013-4219-B774-7E7946F1F0AD}" name="COVID-19" dataDxfId="729">
      <calculatedColumnFormula array="1">INT(SUMPRODUCT(--ISNUMBER(SEARCH(covid,'David Perdue'!C2)))&gt;0)</calculatedColumnFormula>
    </tableColumn>
    <tableColumn id="15" xr3:uid="{533E6E54-D828-4565-B4C4-D476FB875C97}" name="Violent Crime" dataDxfId="728">
      <calculatedColumnFormula array="1">INT(SUMPRODUCT(--ISNUMBER(SEARCH(violent,'David Perdue'!C2)))&gt;0)</calculatedColumnFormula>
    </tableColumn>
    <tableColumn id="16" xr3:uid="{6F03638A-F128-4715-BECC-0548AF0544D4}" name="Foreign policy" dataDxfId="727">
      <calculatedColumnFormula array="1">INT(SUMPRODUCT(--ISNUMBER(SEARCH(foreign,'David Perdue'!C2)))&gt;0)</calculatedColumnFormula>
    </tableColumn>
    <tableColumn id="17" xr3:uid="{B50C3CE1-4AA3-4201-8DB4-2F8BF7D44EB0}" name="Gun policy" dataDxfId="726">
      <calculatedColumnFormula array="1">INT(SUMPRODUCT(--ISNUMBER(SEARCH(gun,'David Perdue'!C2)))&gt;0)</calculatedColumnFormula>
    </tableColumn>
    <tableColumn id="18" xr3:uid="{0F5FD756-B58C-4327-BA76-70169D1EAA78}" name="Race and ethnic inequality" dataDxfId="725">
      <calculatedColumnFormula array="1">INT(SUMPRODUCT(--ISNUMBER(SEARCH(race,'David Perdue'!C2)))&gt;0)</calculatedColumnFormula>
    </tableColumn>
    <tableColumn id="29" xr3:uid="{D2E29C31-8810-4710-9B57-F836D310DC52}" name="Immigration" dataDxfId="724">
      <calculatedColumnFormula array="1">INT(SUMPRODUCT(--ISNUMBER(SEARCH(immigration,C2)))&gt;0)</calculatedColumnFormula>
    </tableColumn>
    <tableColumn id="30" xr3:uid="{39BB6FE8-0876-4B1C-B888-109948BE4E62}" name="Economic inequality" dataDxfId="723">
      <calculatedColumnFormula array="1">INT(SUMPRODUCT(--ISNUMBER(SEARCH(econineq,C2)))&gt;0)</calculatedColumnFormula>
    </tableColumn>
    <tableColumn id="19" xr3:uid="{23B1C570-2D4F-4082-B31E-263938B2895D}" name="Climate change" dataDxfId="722">
      <calculatedColumnFormula array="1">INT(SUMPRODUCT(--ISNUMBER(SEARCH(climate,'David Perdue'!C2)))&gt;0)</calculatedColumnFormula>
    </tableColumn>
    <tableColumn id="20" xr3:uid="{E4EC40E2-4DA3-4656-B48D-F5BEC33AB274}" name="Abortion" dataDxfId="721">
      <calculatedColumnFormula array="1">INT(SUMPRODUCT(--ISNUMBER(SEARCH(abortion,'David Perdue'!C2)))&gt;0)</calculatedColumnFormula>
    </tableColumn>
    <tableColumn id="21" xr3:uid="{C4DAF157-45C1-4C9F-B132-453388EBF736}" name="Donald Trump" dataDxfId="720">
      <calculatedColumnFormula array="1">INT(SUMPRODUCT(--ISNUMBER(SEARCH(trump,'David Perdue'!C2)))&gt;0)</calculatedColumnFormula>
    </tableColumn>
    <tableColumn id="22" xr3:uid="{1457A088-73AC-4195-81B1-AA5D42F4F679}" name="Voting" dataDxfId="719">
      <calculatedColumnFormula array="1">INT(SUMPRODUCT(--ISNUMBER(SEARCH(voting,'David Perdue'!C2)))&gt;0)</calculatedColumnFormula>
    </tableColumn>
    <tableColumn id="23" xr3:uid="{5F53E096-3A4C-4CC2-B785-C53C1B1D55B3}" name="Political harangues" dataDxfId="718">
      <calculatedColumnFormula array="1">INT(SUMPRODUCT(--ISNUMBER(SEARCH(republicantrigger,'David Perdue'!C2)))&gt;0)</calculatedColumnFormula>
    </tableColumn>
    <tableColumn id="24" xr3:uid="{B746C7F6-9D03-418E-B276-9F7B42569539}" name="Bipartisanship" dataDxfId="717">
      <calculatedColumnFormula array="1">INT(SUMPRODUCT(--ISNUMBER(SEARCH(bipartisan,'David Perdue'!C2)))&gt;0)</calculatedColumnFormula>
    </tableColumn>
    <tableColumn id="25" xr3:uid="{0C0DA768-5DE5-427B-A359-42F181AE8CF9}" name="Others" dataDxfId="716">
      <calculatedColumnFormula>INT(IF(COUNTIF(K2:Z2,1)=0,"1","0"))</calculatedColumnFormula>
    </tableColumn>
    <tableColumn id="26" xr3:uid="{E06DA4D6-33A5-428B-86CD-401EDE5E2BCC}" name="Non-topic" dataDxfId="715"/>
    <tableColumn id="27" xr3:uid="{95362B35-99F5-4FD4-94ED-9C7DC1C92ED7}" name="Image" dataDxfId="714"/>
    <tableColumn id="28" xr3:uid="{73FECCC7-C774-40F0-95E1-05B0EE10B0CD}" name="Video" dataDxfId="713"/>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06CF800-3262-439F-91BD-DC1DD85657FD}" name="Table4" displayName="Table4" ref="A1:AD256" totalsRowShown="0" headerRowDxfId="712" tableBorderDxfId="711">
  <autoFilter ref="A1:AD256" xr:uid="{20C1760A-666C-4E81-A667-CDEA1766F53E}"/>
  <tableColumns count="30">
    <tableColumn id="1" xr3:uid="{1FD3624D-87B0-4693-8A8E-53BE7CBFBEC9}" name="Tweet ID" dataDxfId="710"/>
    <tableColumn id="2" xr3:uid="{EE573C37-8E23-4E2F-A31F-C7C83C5A73DD}" name="Link" dataDxfId="709"/>
    <tableColumn id="3" xr3:uid="{170DD4B0-B962-4D76-8735-81E52EB03070}" name="Plain Text" dataDxfId="708"/>
    <tableColumn id="4" xr3:uid="{B40B3705-46F7-445B-A636-92EE15D28270}" name="Date" dataDxfId="707"/>
    <tableColumn id="5" xr3:uid="{04D9E96E-9A49-4FD8-B911-0CAECFF1658E}" name="Tweet (1), Retweet (2), Reply (3)" dataDxfId="706"/>
    <tableColumn id="6" xr3:uid="{1DF487EF-4E51-43C0-94B4-D93A2D7AFCDB}" name="Likes" dataDxfId="705"/>
    <tableColumn id="7" xr3:uid="{FF68DD69-396C-4CE5-A530-FBEEC1171E7D}" name="Retweets" dataDxfId="704"/>
    <tableColumn id="8" xr3:uid="{883C55F2-B877-4C9B-8333-7B37D2A11012}" name="Candidate" dataDxfId="703"/>
    <tableColumn id="9" xr3:uid="{1B660AC3-DD09-4AF6-9622-C574E1B39015}" name="State" dataDxfId="702"/>
    <tableColumn id="10" xr3:uid="{996DA4B0-F277-4542-9B4C-4976465F108B}" name="Party" dataDxfId="701"/>
    <tableColumn id="11" xr3:uid="{5106DABD-F9C7-4043-9AB4-2172ED5EA16A}" name="Economy" dataDxfId="700">
      <calculatedColumnFormula array="1">INT(SUMPRODUCT(--ISNUMBER(SEARCH(economy,'Jon Ossoff'!C2)))&gt;0)</calculatedColumnFormula>
    </tableColumn>
    <tableColumn id="12" xr3:uid="{721AC90F-9E88-46F8-8CAB-9FBDA3A79717}" name="Healthcare" dataDxfId="699">
      <calculatedColumnFormula array="1">INT(SUMPRODUCT(--ISNUMBER(SEARCH(healthcare,'Jon Ossoff'!C2)))&gt;0)</calculatedColumnFormula>
    </tableColumn>
    <tableColumn id="13" xr3:uid="{45B6C746-FC3C-4EA8-A7C1-E039B04BC59F}" name="Supreme Court appointments" dataDxfId="698">
      <calculatedColumnFormula array="1">INT(SUMPRODUCT(--ISNUMBER(SEARCH(supreme,'Jon Ossoff'!C2)))&gt;0)</calculatedColumnFormula>
    </tableColumn>
    <tableColumn id="14" xr3:uid="{9FCECA87-EC83-470D-899D-E87DD2F775E9}" name="COVID-19" dataDxfId="697">
      <calculatedColumnFormula array="1">INT(SUMPRODUCT(--ISNUMBER(SEARCH(covid,'Jon Ossoff'!C2)))&gt;0)</calculatedColumnFormula>
    </tableColumn>
    <tableColumn id="15" xr3:uid="{DC97F7F3-30A3-4B33-B865-445D4E809885}" name="Violent Crime" dataDxfId="696">
      <calculatedColumnFormula array="1">INT(SUMPRODUCT(--ISNUMBER(SEARCH(violent,'Jon Ossoff'!C2)))&gt;0)</calculatedColumnFormula>
    </tableColumn>
    <tableColumn id="16" xr3:uid="{2017EA1A-D16A-49CD-94BF-B9916140118D}" name="Foreign policy" dataDxfId="695">
      <calculatedColumnFormula array="1">INT(SUMPRODUCT(--ISNUMBER(SEARCH(foreign,'Jon Ossoff'!C2)))&gt;0)</calculatedColumnFormula>
    </tableColumn>
    <tableColumn id="17" xr3:uid="{0B713079-CB39-4AB8-9B30-21FC1E8087EF}" name="Gun policy" dataDxfId="694">
      <calculatedColumnFormula array="1">INT(SUMPRODUCT(--ISNUMBER(SEARCH(gun,'Jon Ossoff'!C2)))&gt;0)</calculatedColumnFormula>
    </tableColumn>
    <tableColumn id="18" xr3:uid="{B21CDE1C-7119-477A-AD96-6740DBE9B739}" name="Race and ethnic inequality" dataDxfId="693">
      <calculatedColumnFormula array="1">INT(SUMPRODUCT(--ISNUMBER(SEARCH(race,'Jon Ossoff'!C2)))&gt;0)</calculatedColumnFormula>
    </tableColumn>
    <tableColumn id="29" xr3:uid="{7DE2B46E-C1FD-41C8-8D9A-2DEACEAF36CE}" name="Immigration" dataDxfId="692">
      <calculatedColumnFormula array="1">INT(SUMPRODUCT(--ISNUMBER(SEARCH(immigration,C2)))&gt;0)</calculatedColumnFormula>
    </tableColumn>
    <tableColumn id="30" xr3:uid="{2B7F2F00-D704-4BAE-B130-4B9A59BD37CD}" name="Economic inequality" dataDxfId="691">
      <calculatedColumnFormula array="1">INT(SUMPRODUCT(--ISNUMBER(SEARCH(econineq,C2)))&gt;0)</calculatedColumnFormula>
    </tableColumn>
    <tableColumn id="19" xr3:uid="{B47E7DA4-429F-4390-ACEF-0D6F5E6EBAA2}" name="Climate change" dataDxfId="690">
      <calculatedColumnFormula array="1">INT(SUMPRODUCT(--ISNUMBER(SEARCH(climate,'Jon Ossoff'!C2)))&gt;0)</calculatedColumnFormula>
    </tableColumn>
    <tableColumn id="20" xr3:uid="{048DFC1F-F3B0-4154-97F0-926B72F24202}" name="Abortion" dataDxfId="689">
      <calculatedColumnFormula array="1">INT(SUMPRODUCT(--ISNUMBER(SEARCH(abortion,'Jon Ossoff'!C2)))&gt;0)</calculatedColumnFormula>
    </tableColumn>
    <tableColumn id="21" xr3:uid="{B5974CC9-6224-4AAA-A6DF-66F2B3CA609F}" name="Donald Trump" dataDxfId="688">
      <calculatedColumnFormula array="1">INT(SUMPRODUCT(--ISNUMBER(SEARCH(trump,'Jon Ossoff'!C2)))&gt;0)</calculatedColumnFormula>
    </tableColumn>
    <tableColumn id="22" xr3:uid="{873C226E-2F68-4058-A0B6-C23EA6573E83}" name="Voting" dataDxfId="687">
      <calculatedColumnFormula array="1">INT(SUMPRODUCT(--ISNUMBER(SEARCH(voting,'Jon Ossoff'!C2)))&gt;0)</calculatedColumnFormula>
    </tableColumn>
    <tableColumn id="23" xr3:uid="{672E8E34-3EFD-450A-B766-0780257C85FB}" name="Political harangues" dataDxfId="686">
      <calculatedColumnFormula array="1">INT(SUMPRODUCT(--ISNUMBER(SEARCH(democrattrigger,'Jon Ossoff'!C2)))&gt;0)</calculatedColumnFormula>
    </tableColumn>
    <tableColumn id="24" xr3:uid="{8064B466-AB3F-40BB-800E-47FFD7AE000C}" name="Bipartisanship" dataDxfId="685">
      <calculatedColumnFormula array="1">INT(SUMPRODUCT(--ISNUMBER(SEARCH(bipartisan,'Jon Ossoff'!C2)))&gt;0)</calculatedColumnFormula>
    </tableColumn>
    <tableColumn id="25" xr3:uid="{E0D56D0C-8161-468D-BC07-EA4C87A3FF26}" name="Others" dataDxfId="684">
      <calculatedColumnFormula>INT(IF(COUNTIF(K2:Z2,1)=0,"1","0"))</calculatedColumnFormula>
    </tableColumn>
    <tableColumn id="26" xr3:uid="{B2D8555E-2561-48C4-A9E9-0AF1D007A2DF}" name="Non-topic" dataDxfId="683"/>
    <tableColumn id="27" xr3:uid="{5799432F-86A0-4A9D-A549-BAA627638078}" name="Image" dataDxfId="682"/>
    <tableColumn id="28" xr3:uid="{D58914EF-82E3-4856-824C-806AF5F8957D}" name="Video" dataDxfId="681"/>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A87A1FE-D891-4007-A3C7-587E83E185A6}" name="Table5" displayName="Table5" ref="A1:AD221" totalsRowShown="0" headerRowDxfId="680" tableBorderDxfId="679">
  <autoFilter ref="A1:AD221" xr:uid="{1638738B-8381-4FF6-8521-0696F2EA3ECF}"/>
  <tableColumns count="30">
    <tableColumn id="1" xr3:uid="{B1DF4069-5058-4081-9E4F-98A9FF990AA6}" name="Tweet ID" dataDxfId="678"/>
    <tableColumn id="2" xr3:uid="{C0ADD972-810E-498D-810D-5E41BB664753}" name="Link" dataDxfId="677"/>
    <tableColumn id="3" xr3:uid="{3EC60C3A-B531-4909-8C12-86CBECE901E5}" name="Plain Text" dataDxfId="676"/>
    <tableColumn id="4" xr3:uid="{EFFB7DDD-4EB5-4B82-BF71-1152984A2206}" name="Date" dataDxfId="675"/>
    <tableColumn id="5" xr3:uid="{97C2564E-C4B0-4D90-B6B5-98B53697A4D8}" name="Tweet (1), Retweet (2), Reply (3)" dataDxfId="674"/>
    <tableColumn id="6" xr3:uid="{8689FCE9-C898-4343-BD76-A8287FA76EA3}" name="Likes" dataDxfId="673"/>
    <tableColumn id="7" xr3:uid="{8A92D2FD-D798-4CA9-8476-837A155E3CCA}" name="Retweets" dataDxfId="672"/>
    <tableColumn id="8" xr3:uid="{F4042FAE-8E66-43D0-A050-2BAECF43154E}" name="Candidate" dataDxfId="671"/>
    <tableColumn id="9" xr3:uid="{8D6B0E7E-6CA8-4872-85C5-E3C5A09E8318}" name="State" dataDxfId="670"/>
    <tableColumn id="10" xr3:uid="{294A3CE4-0937-4384-8BBD-DE6F656410ED}" name="Party" dataDxfId="669"/>
    <tableColumn id="11" xr3:uid="{2B69A544-4D4E-436E-B142-DC8848455CFC}" name="Economy" dataDxfId="668">
      <calculatedColumnFormula array="1">INT(SUMPRODUCT(--ISNUMBER(SEARCH(economy,C2)))&gt;0)</calculatedColumnFormula>
    </tableColumn>
    <tableColumn id="12" xr3:uid="{9F485F81-2215-448D-83C5-74033F87B881}" name="Healthcare" dataDxfId="667">
      <calculatedColumnFormula array="1">INT(SUMPRODUCT(--ISNUMBER(SEARCH(healthcare,C2)))&gt;0)</calculatedColumnFormula>
    </tableColumn>
    <tableColumn id="13" xr3:uid="{68738F65-3559-4DC4-B861-85EF91BC7B36}" name="Supreme Court appointments" dataDxfId="666">
      <calculatedColumnFormula array="1">INT(SUMPRODUCT(--ISNUMBER(SEARCH(supreme,C2)))&gt;0)</calculatedColumnFormula>
    </tableColumn>
    <tableColumn id="14" xr3:uid="{61FB23F4-C740-40EB-A68A-DEFBE55FBD4C}" name="COVID-19" dataDxfId="665">
      <calculatedColumnFormula array="1">INT(SUMPRODUCT(--ISNUMBER(SEARCH(covid,C2)))&gt;0)</calculatedColumnFormula>
    </tableColumn>
    <tableColumn id="15" xr3:uid="{C41C51B7-551E-4CE0-A86F-9E38B14B020A}" name="Violent Crime" dataDxfId="664">
      <calculatedColumnFormula array="1">INT(SUMPRODUCT(--ISNUMBER(SEARCH(violent,C2)))&gt;0)</calculatedColumnFormula>
    </tableColumn>
    <tableColumn id="16" xr3:uid="{33382B04-7C60-400E-8C97-2C3286E160C7}" name="Foreign policy" dataDxfId="663">
      <calculatedColumnFormula array="1">INT(SUMPRODUCT(--ISNUMBER(SEARCH(foreign,C2)))&gt;0)</calculatedColumnFormula>
    </tableColumn>
    <tableColumn id="17" xr3:uid="{31B1C602-345B-4C12-9EFB-074A4503BFBA}" name="Gun policy" dataDxfId="662">
      <calculatedColumnFormula array="1">INT(SUMPRODUCT(--ISNUMBER(SEARCH(gun,C2)))&gt;0)</calculatedColumnFormula>
    </tableColumn>
    <tableColumn id="18" xr3:uid="{E389148E-4F23-4D6D-8E72-ADA7061B043E}" name="Race and ethnic inequality" dataDxfId="661">
      <calculatedColumnFormula array="1">INT(SUMPRODUCT(--ISNUMBER(SEARCH(race,C2)))&gt;0)</calculatedColumnFormula>
    </tableColumn>
    <tableColumn id="29" xr3:uid="{2F70318B-0C76-4381-B25F-223C85894C60}" name="Immigration" dataDxfId="660">
      <calculatedColumnFormula array="1">INT(SUMPRODUCT(--ISNUMBER(SEARCH(immigration,C2)))&gt;0)</calculatedColumnFormula>
    </tableColumn>
    <tableColumn id="30" xr3:uid="{19CCF88A-A9C0-45D4-9B5A-CD1C6E805A8B}" name="Economic inequality" dataDxfId="659">
      <calculatedColumnFormula array="1">INT(SUMPRODUCT(--ISNUMBER(SEARCH(econineq,C3)))&gt;0)</calculatedColumnFormula>
    </tableColumn>
    <tableColumn id="19" xr3:uid="{66148913-CF5A-426B-8696-1C0955E482F4}" name="Climate change" dataDxfId="658">
      <calculatedColumnFormula array="1">INT(SUMPRODUCT(--ISNUMBER(SEARCH(climate,C2)))&gt;0)</calculatedColumnFormula>
    </tableColumn>
    <tableColumn id="20" xr3:uid="{050E5F01-A865-4FC0-B732-81DAE3CB74B4}" name="Abortion" dataDxfId="657">
      <calculatedColumnFormula array="1">INT(SUMPRODUCT(--ISNUMBER(SEARCH(abortion,C2)))&gt;0)</calculatedColumnFormula>
    </tableColumn>
    <tableColumn id="21" xr3:uid="{2F0E29CA-DBDC-4971-B54F-0BB2E8756250}" name="Donald Trump" dataDxfId="656">
      <calculatedColumnFormula array="1">INT(SUMPRODUCT(--ISNUMBER(SEARCH(trump,C2)))&gt;0)</calculatedColumnFormula>
    </tableColumn>
    <tableColumn id="22" xr3:uid="{BD428EAA-A635-46CC-BAE9-08288C9957CC}" name="Voting" dataDxfId="655">
      <calculatedColumnFormula array="1">INT(SUMPRODUCT(--ISNUMBER(SEARCH(voting,C2)))&gt;0)</calculatedColumnFormula>
    </tableColumn>
    <tableColumn id="23" xr3:uid="{DB9450CC-289C-47D3-A48C-A060D0F7AEC8}" name="Political harangues" dataDxfId="654">
      <calculatedColumnFormula array="1">INT(SUMPRODUCT(--ISNUMBER(SEARCH(republicantrigger,C2)))&gt;0)</calculatedColumnFormula>
    </tableColumn>
    <tableColumn id="24" xr3:uid="{57422020-DA01-4AC8-BE5E-64724A99866E}" name="Bipartisanship" dataDxfId="653">
      <calculatedColumnFormula array="1">INT(SUMPRODUCT(--ISNUMBER(SEARCH(bipartisan,C2)))&gt;0)</calculatedColumnFormula>
    </tableColumn>
    <tableColumn id="25" xr3:uid="{CE22EFC6-4EE2-4288-9269-8D2380CC5142}" name="Others" dataDxfId="652">
      <calculatedColumnFormula>INT(IF(COUNTIF(K2:Z2,1)=0,"1","0"))</calculatedColumnFormula>
    </tableColumn>
    <tableColumn id="26" xr3:uid="{E92AB422-2308-40CD-9CCF-CB9C3B2C2A23}" name="Non-topic" dataDxfId="651"/>
    <tableColumn id="27" xr3:uid="{89084CDD-7801-48F9-8A23-E2BCA713793D}" name="Image" dataDxfId="650"/>
    <tableColumn id="28" xr3:uid="{79ADE05E-79C2-4234-AAD2-9A748CC148B3}" name="Video" dataDxfId="649"/>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99E5D45-A496-47BE-95C1-96E740C1D0AD}" name="Table6" displayName="Table6" ref="A1:AD223" totalsRowShown="0" headerRowDxfId="648" tableBorderDxfId="647">
  <autoFilter ref="A1:AD223" xr:uid="{833D045E-C0D2-42FA-A0C3-C17E7EDF3617}"/>
  <tableColumns count="30">
    <tableColumn id="1" xr3:uid="{1F28523A-C068-4430-885C-4E9061229754}" name="Tweet ID" dataDxfId="646"/>
    <tableColumn id="2" xr3:uid="{5BC15A30-12C8-4DB1-93FC-B29403DAD92A}" name="Link" dataDxfId="645"/>
    <tableColumn id="3" xr3:uid="{AC243949-C4D4-498C-902D-CA9D13000428}" name="Plain Text" dataDxfId="644"/>
    <tableColumn id="4" xr3:uid="{278C4A77-7146-4FC2-8C75-E0625BFA8C1B}" name="Date" dataDxfId="643" dataCellStyle="Currency"/>
    <tableColumn id="5" xr3:uid="{9DB265FC-1112-4DCD-B85B-508403D12B85}" name="Tweet (1), Retweet (2), Reply (3)" dataDxfId="642"/>
    <tableColumn id="6" xr3:uid="{BD38E18E-BF18-43B9-AF04-0A9075DD7C0C}" name="Likes" dataDxfId="641"/>
    <tableColumn id="7" xr3:uid="{9EF0F0D0-DAC0-4A27-B9F6-67D60426ACDD}" name="Retweets" dataDxfId="640"/>
    <tableColumn id="8" xr3:uid="{1D654B17-62F9-4502-BEDB-11EF6B8AE686}" name="Candidate" dataDxfId="639"/>
    <tableColumn id="9" xr3:uid="{871A88C9-D4F5-4CB9-B6AA-8E0544166951}" name="State" dataDxfId="638"/>
    <tableColumn id="10" xr3:uid="{EB2F350C-ACD0-433B-9D0C-93F20DF9EC34}" name="Party" dataDxfId="637"/>
    <tableColumn id="11" xr3:uid="{A64A0900-4860-4389-B2F1-13F18FF3F2A2}" name="Economy" dataDxfId="636">
      <calculatedColumnFormula array="1">INT(SUMPRODUCT(--ISNUMBER(SEARCH(economy,C2)))&gt;0)</calculatedColumnFormula>
    </tableColumn>
    <tableColumn id="12" xr3:uid="{7D93BA22-8BAA-41C6-888E-8F99569475B9}" name="Healthcare" dataDxfId="635">
      <calculatedColumnFormula array="1">INT(SUMPRODUCT(--ISNUMBER(SEARCH(healthcare,C2)))&gt;0)</calculatedColumnFormula>
    </tableColumn>
    <tableColumn id="13" xr3:uid="{4C036BCE-B623-4E5D-B6D6-91154D79CAA9}" name="Supreme Court appointments" dataDxfId="634">
      <calculatedColumnFormula array="1">INT(SUMPRODUCT(--ISNUMBER(SEARCH(supreme,C2)))&gt;0)</calculatedColumnFormula>
    </tableColumn>
    <tableColumn id="14" xr3:uid="{8BF856E6-2F26-47E9-8903-43AEFAA0290B}" name="COVID-19" dataDxfId="633">
      <calculatedColumnFormula array="1">INT(SUMPRODUCT(--ISNUMBER(SEARCH(covid,C2)))&gt;0)</calculatedColumnFormula>
    </tableColumn>
    <tableColumn id="15" xr3:uid="{D2960EFA-655D-43B2-B47B-B108D115B103}" name="Violent Crime" dataDxfId="632">
      <calculatedColumnFormula array="1">INT(SUMPRODUCT(--ISNUMBER(SEARCH(violent,C2)))&gt;0)</calculatedColumnFormula>
    </tableColumn>
    <tableColumn id="16" xr3:uid="{E872D5A8-03DE-4187-B452-3FD31ECA14FF}" name="Foreign policy" dataDxfId="631">
      <calculatedColumnFormula array="1">INT(SUMPRODUCT(--ISNUMBER(SEARCH(foreign,C2)))&gt;0)</calculatedColumnFormula>
    </tableColumn>
    <tableColumn id="17" xr3:uid="{F95F9EF0-7219-4609-B956-8D9A72340593}" name="Gun policy" dataDxfId="630">
      <calculatedColumnFormula array="1">INT(SUMPRODUCT(--ISNUMBER(SEARCH(gun,C2)))&gt;0)</calculatedColumnFormula>
    </tableColumn>
    <tableColumn id="18" xr3:uid="{55B596FF-C2D3-4261-BEB2-1D683BB120EC}" name="Race and ethnic inequality" dataDxfId="629">
      <calculatedColumnFormula array="1">INT(SUMPRODUCT(--ISNUMBER(SEARCH(race,C2)))&gt;0)</calculatedColumnFormula>
    </tableColumn>
    <tableColumn id="29" xr3:uid="{4984372D-F2E3-432B-BDA8-7FC789B96B60}" name="Immigration" dataDxfId="628">
      <calculatedColumnFormula array="1">INT(SUMPRODUCT(--ISNUMBER(SEARCH(immigration,C2)))&gt;0)</calculatedColumnFormula>
    </tableColumn>
    <tableColumn id="30" xr3:uid="{7DBAAD82-783C-455E-8012-5966BC7B1FE1}" name="Economic inequality" dataDxfId="627">
      <calculatedColumnFormula array="1">INT(SUMPRODUCT(--ISNUMBER(SEARCH(econineq,C3)))&gt;0)</calculatedColumnFormula>
    </tableColumn>
    <tableColumn id="19" xr3:uid="{E3454DDD-233D-46EB-B71F-E49DB11792F2}" name="Climate change" dataDxfId="626">
      <calculatedColumnFormula array="1">INT(SUMPRODUCT(--ISNUMBER(SEARCH(climate,C2)))&gt;0)</calculatedColumnFormula>
    </tableColumn>
    <tableColumn id="20" xr3:uid="{4DD6D5AF-9BD6-449D-A3B2-B1BBF4987015}" name="Abortion" dataDxfId="625">
      <calculatedColumnFormula array="1">INT(SUMPRODUCT(--ISNUMBER(SEARCH(abortion,C2)))&gt;0)</calculatedColumnFormula>
    </tableColumn>
    <tableColumn id="21" xr3:uid="{5CBF239F-BE75-4125-9E12-42CCC5477BA4}" name="Donald Trump" dataDxfId="624">
      <calculatedColumnFormula array="1">INT(SUMPRODUCT(--ISNUMBER(SEARCH(trump,C2)))&gt;0)</calculatedColumnFormula>
    </tableColumn>
    <tableColumn id="22" xr3:uid="{704ACA74-6620-462F-8EB2-F000C630DC74}" name="Voting" dataDxfId="623">
      <calculatedColumnFormula array="1">INT(SUMPRODUCT(--ISNUMBER(SEARCH(voting,C2)))&gt;0)</calculatedColumnFormula>
    </tableColumn>
    <tableColumn id="23" xr3:uid="{C88AF949-8BED-4DAD-9BE8-EA8DD5CD6B30}" name="Political harangues" dataDxfId="622">
      <calculatedColumnFormula array="1">INT(SUMPRODUCT(--ISNUMBER(SEARCH(democrattrigger,C2)))&gt;0)</calculatedColumnFormula>
    </tableColumn>
    <tableColumn id="24" xr3:uid="{66F08E82-AF15-4C52-8678-70323DAF96A4}" name="Bipartisanship" dataDxfId="621">
      <calculatedColumnFormula array="1">INT(SUMPRODUCT(--ISNUMBER(SEARCH(bipartisan,C2)))&gt;0)</calculatedColumnFormula>
    </tableColumn>
    <tableColumn id="25" xr3:uid="{56BDE620-32A5-440E-BA94-CD7F0B166BBD}" name="Others" dataDxfId="620">
      <calculatedColumnFormula>INT(IF(COUNTIF(K2:Z2,1)=0,"1","0"))</calculatedColumnFormula>
    </tableColumn>
    <tableColumn id="26" xr3:uid="{B1631D65-2A0A-45AC-BEC9-7D5FB347BF3D}" name="Non-topic" dataDxfId="619"/>
    <tableColumn id="27" xr3:uid="{6A7A1230-8F2B-4886-80A4-E1A425D04AFE}" name="Image" dataDxfId="618"/>
    <tableColumn id="28" xr3:uid="{0F66EF4C-AC6F-4E7A-876A-054590C07A2E}" name="Video" dataDxfId="617"/>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F50DD8F-5ACC-464C-A298-0CC0C86C8105}" name="Table7" displayName="Table7" ref="A1:AD257" totalsRowShown="0" headerRowDxfId="616" tableBorderDxfId="615">
  <autoFilter ref="A1:AD257" xr:uid="{9AE543A1-12C4-40FA-A33E-1EC36759D91F}"/>
  <tableColumns count="30">
    <tableColumn id="1" xr3:uid="{B8A53F4E-7991-4FF5-AF99-777C8125DABC}" name="Tweet ID" dataDxfId="614"/>
    <tableColumn id="2" xr3:uid="{7BFD5245-98AE-4A92-9404-2E6CCED421E0}" name="Link" dataDxfId="613"/>
    <tableColumn id="3" xr3:uid="{DCF73ACA-818F-4BB5-A076-177FB7C5D18A}" name="Plain Text" dataDxfId="612"/>
    <tableColumn id="4" xr3:uid="{3978146F-EFF1-40EC-B7A2-28BF5A77225F}" name="Date" dataDxfId="611"/>
    <tableColumn id="5" xr3:uid="{310630CF-C18A-4773-858C-B382DB6D25D3}" name="Tweet (1), Retweet (2), Reply (3)" dataDxfId="610"/>
    <tableColumn id="6" xr3:uid="{63C1212C-6F2F-45AB-9170-5DC346222C0C}" name="Likes" dataDxfId="609"/>
    <tableColumn id="7" xr3:uid="{FA61E6CB-251C-481C-AB7B-B8837E7E3F6E}" name="Retweets" dataDxfId="608"/>
    <tableColumn id="8" xr3:uid="{2C547D21-6EC2-4E30-887B-3BEE4AD4943F}" name="Candidate" dataDxfId="607"/>
    <tableColumn id="9" xr3:uid="{C6A366E9-766A-4C03-AB20-C5584A8089EC}" name="State" dataDxfId="606"/>
    <tableColumn id="10" xr3:uid="{07B1075D-643A-4F2D-A3B5-19A4B533BF1D}" name="Party" dataDxfId="605"/>
    <tableColumn id="11" xr3:uid="{3390BB8D-AC94-4940-ADFB-FA487CAFE1D4}" name="Economy" dataDxfId="604">
      <calculatedColumnFormula array="1">INT(SUMPRODUCT(--ISNUMBER(SEARCH(economy,C2)))&gt;0)</calculatedColumnFormula>
    </tableColumn>
    <tableColumn id="12" xr3:uid="{2186DE44-C69D-44C4-8666-35F041006F25}" name="Healthcare" dataDxfId="603">
      <calculatedColumnFormula array="1">INT(SUMPRODUCT(--ISNUMBER(SEARCH(healthcare,C2)))&gt;0)</calculatedColumnFormula>
    </tableColumn>
    <tableColumn id="13" xr3:uid="{AFBCD073-D9EF-4B11-B2AF-41983F5476F0}" name="Supreme Court appointments" dataDxfId="602">
      <calculatedColumnFormula array="1">INT(SUMPRODUCT(--ISNUMBER(SEARCH(supreme,C2)))&gt;0)</calculatedColumnFormula>
    </tableColumn>
    <tableColumn id="14" xr3:uid="{2C5BDCFB-4AEB-4239-A80D-5E8545523DE4}" name="COVID-19" dataDxfId="601">
      <calculatedColumnFormula array="1">INT(SUMPRODUCT(--ISNUMBER(SEARCH(covid,C2)))&gt;0)</calculatedColumnFormula>
    </tableColumn>
    <tableColumn id="15" xr3:uid="{FE6FF595-37B7-4D4A-9394-6E14B5738C02}" name="Violent Crime" dataDxfId="600">
      <calculatedColumnFormula array="1">INT(SUMPRODUCT(--ISNUMBER(SEARCH(violent,C2)))&gt;0)</calculatedColumnFormula>
    </tableColumn>
    <tableColumn id="16" xr3:uid="{C565E06E-2C9D-4C3C-89D8-5960FEBCB478}" name="Foreign policy" dataDxfId="599">
      <calculatedColumnFormula array="1">INT(SUMPRODUCT(--ISNUMBER(SEARCH(foreign,C2)))&gt;0)</calculatedColumnFormula>
    </tableColumn>
    <tableColumn id="17" xr3:uid="{B531BB3F-5981-4F54-9EA6-130F330931F9}" name="Gun policy" dataDxfId="598">
      <calculatedColumnFormula array="1">INT(SUMPRODUCT(--ISNUMBER(SEARCH(gun,C2)))&gt;0)</calculatedColumnFormula>
    </tableColumn>
    <tableColumn id="18" xr3:uid="{BE127965-917B-4A05-8928-C2A914D445AF}" name="Race and ethnic inequality" dataDxfId="597">
      <calculatedColumnFormula array="1">INT(SUMPRODUCT(--ISNUMBER(SEARCH(race,C2)))&gt;0)</calculatedColumnFormula>
    </tableColumn>
    <tableColumn id="29" xr3:uid="{E3E12DB8-E2A1-4E70-97D2-FA7136736A86}" name="Immigration" dataDxfId="596">
      <calculatedColumnFormula array="1">INT(SUMPRODUCT(--ISNUMBER(SEARCH(immigration,C2)))&gt;0)</calculatedColumnFormula>
    </tableColumn>
    <tableColumn id="30" xr3:uid="{86E8429D-9DD9-4817-B4D6-8EC9A7CEC18C}" name="Economic inequality" dataDxfId="595">
      <calculatedColumnFormula array="1">INT(SUMPRODUCT(--ISNUMBER(SEARCH(econineq,C3)))&gt;0)</calculatedColumnFormula>
    </tableColumn>
    <tableColumn id="19" xr3:uid="{E21CD37F-0122-4961-AA8B-3EE5BCAE65FD}" name="Climate change" dataDxfId="594">
      <calculatedColumnFormula array="1">INT(SUMPRODUCT(--ISNUMBER(SEARCH(climate,C2)))&gt;0)</calculatedColumnFormula>
    </tableColumn>
    <tableColumn id="20" xr3:uid="{C4985F05-F16A-487D-B67B-4946D2E26DAC}" name="Abortion" dataDxfId="593">
      <calculatedColumnFormula array="1">INT(SUMPRODUCT(--ISNUMBER(SEARCH(abortion,C2)))&gt;0)</calculatedColumnFormula>
    </tableColumn>
    <tableColumn id="21" xr3:uid="{7926EEE5-3571-4AC1-A5C9-4B89E2B6230D}" name="Donald Trump" dataDxfId="592">
      <calculatedColumnFormula array="1">INT(SUMPRODUCT(--ISNUMBER(SEARCH(trump,C2)))&gt;0)</calculatedColumnFormula>
    </tableColumn>
    <tableColumn id="22" xr3:uid="{8A35EF99-3A3B-4E41-B393-17EFC3B24919}" name="Voting" dataDxfId="591">
      <calculatedColumnFormula array="1">INT(SUMPRODUCT(--ISNUMBER(SEARCH(voting,C2)))&gt;0)</calculatedColumnFormula>
    </tableColumn>
    <tableColumn id="23" xr3:uid="{2D4197DA-7A07-47CB-A038-924DCFC88AC8}" name="Political harangues" dataDxfId="590">
      <calculatedColumnFormula array="1">INT(SUMPRODUCT(--ISNUMBER(SEARCH(republicantrigger,C2)))&gt;0)</calculatedColumnFormula>
    </tableColumn>
    <tableColumn id="24" xr3:uid="{6D6FC379-C1F9-402F-BEE7-71136057EE24}" name="Bipartisanship" dataDxfId="589">
      <calculatedColumnFormula array="1">INT(SUMPRODUCT(--ISNUMBER(SEARCH(bipartisan,C2)))&gt;0)</calculatedColumnFormula>
    </tableColumn>
    <tableColumn id="25" xr3:uid="{35CCA459-9E17-4A93-AE06-7D7643C6D9FE}" name="Others" dataDxfId="588">
      <calculatedColumnFormula>INT(IF(COUNTIF(K2:Z2,1)=0,"1","0"))</calculatedColumnFormula>
    </tableColumn>
    <tableColumn id="26" xr3:uid="{0C450588-4CE5-4AFF-9D44-E73AE1860CFA}" name="Non-topic" dataDxfId="587"/>
    <tableColumn id="27" xr3:uid="{C7B995E2-3C29-4BBC-BAEA-33DDECA0CDC2}" name="Image" dataDxfId="586"/>
    <tableColumn id="28" xr3:uid="{1CA57F2B-9775-44B0-BF43-D74A2FAC987D}" name="Video" dataDxfId="585"/>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FDF9870-9DEA-4E0E-94A9-046842D4C249}" name="Table8" displayName="Table8" ref="A1:AD394" totalsRowShown="0" headerRowDxfId="584" tableBorderDxfId="583">
  <autoFilter ref="A1:AD394" xr:uid="{08F9EFF9-5BD8-433D-8E9E-0996CEC15B41}"/>
  <tableColumns count="30">
    <tableColumn id="1" xr3:uid="{C7118C17-6F5D-4CD1-98DE-3FF006882D32}" name="Tweet ID" dataDxfId="582"/>
    <tableColumn id="2" xr3:uid="{361D8430-C634-4BD1-A52A-119842308FD2}" name="Link" dataDxfId="581"/>
    <tableColumn id="3" xr3:uid="{C26EBEAC-04D4-4630-B898-3AC45E736EB8}" name="Plain Text" dataDxfId="580"/>
    <tableColumn id="4" xr3:uid="{42DB0C7A-8BA0-4DC9-BAC7-B35D553B121C}" name="Date" dataDxfId="579"/>
    <tableColumn id="5" xr3:uid="{0BBB603C-53BE-4F2D-A713-C7470B7FBB39}" name="Tweet (1), Retweet (2), Reply (3)" dataDxfId="578"/>
    <tableColumn id="6" xr3:uid="{70388C75-4850-47C8-AD10-EB200D33FC62}" name="Likes" dataDxfId="577"/>
    <tableColumn id="7" xr3:uid="{DA863FCC-0AD5-4B32-B03F-F434BED358DE}" name="Retweets" dataDxfId="576"/>
    <tableColumn id="8" xr3:uid="{23BA1BBC-7A01-49B4-84E3-5C6B8E992DAE}" name="Candidate" dataDxfId="575"/>
    <tableColumn id="9" xr3:uid="{7D8D1B28-55A2-4EB8-996F-973FB3B77978}" name="State" dataDxfId="574"/>
    <tableColumn id="10" xr3:uid="{C690BDB6-E830-4BD7-9671-820A11D50DFB}" name="Party" dataDxfId="573"/>
    <tableColumn id="11" xr3:uid="{31BD1079-8038-4A60-8327-1569A31AF6EC}" name="Economy" dataDxfId="572">
      <calculatedColumnFormula array="1">INT(SUMPRODUCT(--ISNUMBER(SEARCH(economy,C2)))&gt;0)</calculatedColumnFormula>
    </tableColumn>
    <tableColumn id="12" xr3:uid="{EC0C7C85-D60B-4996-9834-7DB2009BE6A1}" name="Healthcare" dataDxfId="571">
      <calculatedColumnFormula array="1">INT(SUMPRODUCT(--ISNUMBER(SEARCH(healthcare,C2)))&gt;0)</calculatedColumnFormula>
    </tableColumn>
    <tableColumn id="13" xr3:uid="{216964A7-2705-4F4B-99AA-7E090749D57E}" name="Supreme Court appointments" dataDxfId="570">
      <calculatedColumnFormula array="1">INT(SUMPRODUCT(--ISNUMBER(SEARCH(supreme,C2)))&gt;0)</calculatedColumnFormula>
    </tableColumn>
    <tableColumn id="14" xr3:uid="{DF64E5F0-BE70-4E65-8B8F-1CAFB44885C0}" name="COVID-19" dataDxfId="569">
      <calculatedColumnFormula array="1">INT(SUMPRODUCT(--ISNUMBER(SEARCH(covid,C2)))&gt;0)</calculatedColumnFormula>
    </tableColumn>
    <tableColumn id="15" xr3:uid="{AF55DB14-6642-41B3-B8EE-8F049434EA83}" name="Violent Crime" dataDxfId="568">
      <calculatedColumnFormula array="1">INT(SUMPRODUCT(--ISNUMBER(SEARCH(violent,C2)))&gt;0)</calculatedColumnFormula>
    </tableColumn>
    <tableColumn id="16" xr3:uid="{D7753350-4ED2-4E13-8165-24DA60B227E8}" name="Foreign policy" dataDxfId="567">
      <calculatedColumnFormula array="1">INT(SUMPRODUCT(--ISNUMBER(SEARCH(foreign,C2)))&gt;0)</calculatedColumnFormula>
    </tableColumn>
    <tableColumn id="17" xr3:uid="{28EE2594-8592-4B0F-8466-E6303A6836DC}" name="Gun policy" dataDxfId="566">
      <calculatedColumnFormula array="1">INT(SUMPRODUCT(--ISNUMBER(SEARCH(gun,C2)))&gt;0)</calculatedColumnFormula>
    </tableColumn>
    <tableColumn id="18" xr3:uid="{89263203-AEB6-426E-A0F1-5B8BB98ACFDC}" name="Race and ethnic inequality" dataDxfId="565">
      <calculatedColumnFormula array="1">INT(SUMPRODUCT(--ISNUMBER(SEARCH(race,C2)))&gt;0)</calculatedColumnFormula>
    </tableColumn>
    <tableColumn id="29" xr3:uid="{17F117D3-099E-4DD9-B070-13C8DF89C7F8}" name="Immigration" dataDxfId="564">
      <calculatedColumnFormula array="1">INT(SUMPRODUCT(--ISNUMBER(SEARCH(immigration,C2)))&gt;0)</calculatedColumnFormula>
    </tableColumn>
    <tableColumn id="30" xr3:uid="{4AB98EB0-23FD-42F4-8198-F173D7077010}" name="Economic inequality" dataDxfId="563">
      <calculatedColumnFormula array="1">INT(SUMPRODUCT(--ISNUMBER(SEARCH(econineq,C3)))&gt;0)</calculatedColumnFormula>
    </tableColumn>
    <tableColumn id="19" xr3:uid="{5BBC94D7-D3D9-4372-BA3A-A553CCE14F65}" name="Climate change" dataDxfId="562">
      <calculatedColumnFormula array="1">INT(SUMPRODUCT(--ISNUMBER(SEARCH(climate,C2)))&gt;0)</calculatedColumnFormula>
    </tableColumn>
    <tableColumn id="20" xr3:uid="{741AFE8E-3E6C-41EB-A0E7-C93CE52029BD}" name="Abortion" dataDxfId="561">
      <calculatedColumnFormula array="1">INT(SUMPRODUCT(--ISNUMBER(SEARCH(abortion,C2)))&gt;0)</calculatedColumnFormula>
    </tableColumn>
    <tableColumn id="21" xr3:uid="{0FBF657B-EFD1-47D3-BA9A-98D03594B0D6}" name="Donald Trump" dataDxfId="560">
      <calculatedColumnFormula array="1">INT(SUMPRODUCT(--ISNUMBER(SEARCH(trump,C2)))&gt;0)</calculatedColumnFormula>
    </tableColumn>
    <tableColumn id="22" xr3:uid="{536C9920-D985-414E-B200-79B3D8F0A79F}" name="Voting" dataDxfId="559">
      <calculatedColumnFormula array="1">INT(SUMPRODUCT(--ISNUMBER(SEARCH(voting,C2)))&gt;0)</calculatedColumnFormula>
    </tableColumn>
    <tableColumn id="23" xr3:uid="{D5AE8570-59DC-42D1-B8D8-B64C56D9347A}" name="Political harangues" dataDxfId="558">
      <calculatedColumnFormula array="1">INT(SUMPRODUCT(--ISNUMBER(SEARCH(democrattrigger,C2)))&gt;0)</calculatedColumnFormula>
    </tableColumn>
    <tableColumn id="24" xr3:uid="{854A6552-1231-4514-A3CB-D5A03C6C7686}" name="Bipartisanship" dataDxfId="557">
      <calculatedColumnFormula array="1">INT(SUMPRODUCT(--ISNUMBER(SEARCH(bipartisan,C2)))&gt;0)</calculatedColumnFormula>
    </tableColumn>
    <tableColumn id="25" xr3:uid="{482CDFC6-108D-4D58-8184-4E46AB2D3D71}" name="Others" dataDxfId="556">
      <calculatedColumnFormula>INT(IF(COUNTIF(K2:Z2,1)=0,"1","0"))</calculatedColumnFormula>
    </tableColumn>
    <tableColumn id="26" xr3:uid="{78B295C6-07E9-4121-9D12-A5511F61CEFA}" name="Non-topic" dataDxfId="555"/>
    <tableColumn id="27" xr3:uid="{42476B84-D357-44FB-ABCA-12111B28A889}" name="Image" dataDxfId="554"/>
    <tableColumn id="28" xr3:uid="{73E84734-2F9D-4373-BBC0-8FF30C7A1D59}" name="Video" dataDxfId="553"/>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600F6CB-EC1E-4384-BEC3-03B345FDF959}" name="Table9" displayName="Table9" ref="A1:AD243" totalsRowShown="0" headerRowDxfId="552" dataDxfId="551" tableBorderDxfId="550">
  <autoFilter ref="A1:AD243" xr:uid="{A4052319-1823-48D8-AC7B-463106B6F72F}"/>
  <tableColumns count="30">
    <tableColumn id="1" xr3:uid="{23A39826-32A9-4257-8678-15AD3793A18C}" name="Tweet ID" dataDxfId="549"/>
    <tableColumn id="2" xr3:uid="{DF23BD18-EC87-469D-8207-D6AE33548A17}" name="Link" dataDxfId="548"/>
    <tableColumn id="3" xr3:uid="{EEDC0F6A-9852-4338-BBF2-7FC4F4E71F46}" name="Plain Text" dataDxfId="547"/>
    <tableColumn id="4" xr3:uid="{8C8ED3D6-D481-4339-A6DF-F9AB16DA4907}" name="Date" dataDxfId="546"/>
    <tableColumn id="5" xr3:uid="{9FC44453-93C8-4696-8E4C-E06039BA343A}" name="Tweet (1), Retweet (2), Reply (3)" dataDxfId="545"/>
    <tableColumn id="6" xr3:uid="{E2958AF7-36B3-43C5-9E2A-A54151ECF850}" name="Likes" dataDxfId="544"/>
    <tableColumn id="7" xr3:uid="{F3BA4B87-2AFB-4957-B84C-D51C4421BEF9}" name="Retweets" dataDxfId="543"/>
    <tableColumn id="8" xr3:uid="{B7D097F3-5C18-45CA-8C0F-6824303C5826}" name="Candidate" dataDxfId="542"/>
    <tableColumn id="9" xr3:uid="{D506A1A7-BB0C-4C13-A55F-EBC65BD6F63F}" name="State" dataDxfId="541"/>
    <tableColumn id="10" xr3:uid="{34E7BDA2-0EAA-46C1-9DC7-D96F719D928E}" name="Party" dataDxfId="540"/>
    <tableColumn id="11" xr3:uid="{EC582418-747C-40CB-B5FA-313B7FA8A35C}" name="Economy" dataDxfId="539">
      <calculatedColumnFormula array="1">INT(SUMPRODUCT(--ISNUMBER(SEARCH(economy,C2)))&gt;0)</calculatedColumnFormula>
    </tableColumn>
    <tableColumn id="12" xr3:uid="{59463F00-99B9-4139-83F0-A2EBE1C512CE}" name="Healthcare" dataDxfId="538">
      <calculatedColumnFormula array="1">INT(SUMPRODUCT(--ISNUMBER(SEARCH(healthcare,C2)))&gt;0)</calculatedColumnFormula>
    </tableColumn>
    <tableColumn id="13" xr3:uid="{FAEDC2BC-F5B8-4A14-A183-2D6B4BEFA504}" name="Supreme Court appointments" dataDxfId="537">
      <calculatedColumnFormula array="1">INT(SUMPRODUCT(--ISNUMBER(SEARCH(supreme,C2)))&gt;0)</calculatedColumnFormula>
    </tableColumn>
    <tableColumn id="14" xr3:uid="{11D49A10-0FF6-4EC2-B61C-33DFD4224586}" name="COVID-19" dataDxfId="536">
      <calculatedColumnFormula array="1">INT(SUMPRODUCT(--ISNUMBER(SEARCH(covid,C2)))&gt;0)</calculatedColumnFormula>
    </tableColumn>
    <tableColumn id="15" xr3:uid="{F109E063-7084-4713-9A28-830585D8EAEF}" name="Violent Crime" dataDxfId="535">
      <calculatedColumnFormula array="1">INT(SUMPRODUCT(--ISNUMBER(SEARCH(violent,C2)))&gt;0)</calculatedColumnFormula>
    </tableColumn>
    <tableColumn id="16" xr3:uid="{60395C03-C725-4CDD-B1ED-E04897AA6B3B}" name="Foreign policy" dataDxfId="534">
      <calculatedColumnFormula array="1">INT(SUMPRODUCT(--ISNUMBER(SEARCH(foreign,C2)))&gt;0)</calculatedColumnFormula>
    </tableColumn>
    <tableColumn id="17" xr3:uid="{CF9B810E-C3E2-4EE7-9E89-199352804E8B}" name="Gun policy" dataDxfId="533">
      <calculatedColumnFormula array="1">INT(SUMPRODUCT(--ISNUMBER(SEARCH(gun,C2)))&gt;0)</calculatedColumnFormula>
    </tableColumn>
    <tableColumn id="18" xr3:uid="{43B5DB03-72E6-4684-8CBD-814B0A339922}" name="Race and ethnic inequality" dataDxfId="532">
      <calculatedColumnFormula array="1">INT(SUMPRODUCT(--ISNUMBER(SEARCH(race,C2)))&gt;0)</calculatedColumnFormula>
    </tableColumn>
    <tableColumn id="29" xr3:uid="{CA787D9C-B635-4B66-839E-D18BB2C225A1}" name="Immigration" dataDxfId="531">
      <calculatedColumnFormula array="1">INT(SUMPRODUCT(--ISNUMBER(SEARCH(immigration,C2)))&gt;0)</calculatedColumnFormula>
    </tableColumn>
    <tableColumn id="30" xr3:uid="{BF0B1CF5-E743-49F8-982B-DA7C0E22B50C}" name="Economic inequality" dataDxfId="530">
      <calculatedColumnFormula array="1">INT(SUMPRODUCT(--ISNUMBER(SEARCH(econineq,C3)))&gt;0)</calculatedColumnFormula>
    </tableColumn>
    <tableColumn id="19" xr3:uid="{30FD1118-8BD1-44C1-8CB6-FD8884B9C798}" name="Climate change" dataDxfId="529">
      <calculatedColumnFormula array="1">INT(SUMPRODUCT(--ISNUMBER(SEARCH(climate,C2)))&gt;0)</calculatedColumnFormula>
    </tableColumn>
    <tableColumn id="20" xr3:uid="{20E62F72-B5F8-4AC1-BA02-13CDE76911B6}" name="Abortion" dataDxfId="528">
      <calculatedColumnFormula array="1">INT(SUMPRODUCT(--ISNUMBER(SEARCH(abortion,C2)))&gt;0)</calculatedColumnFormula>
    </tableColumn>
    <tableColumn id="21" xr3:uid="{C5D578EE-35CC-462D-B44E-FB6E61A1C92B}" name="Donald Trump" dataDxfId="527">
      <calculatedColumnFormula array="1">INT(SUMPRODUCT(--ISNUMBER(SEARCH(trump,C2)))&gt;0)</calculatedColumnFormula>
    </tableColumn>
    <tableColumn id="22" xr3:uid="{C4492756-A16F-4E66-9111-743EEB772765}" name="Voting" dataDxfId="526">
      <calculatedColumnFormula array="1">INT(SUMPRODUCT(--ISNUMBER(SEARCH(voting,C2)))&gt;0)</calculatedColumnFormula>
    </tableColumn>
    <tableColumn id="23" xr3:uid="{6EBA9D82-10DC-473B-8BDC-FC5B7EC7F4FA}" name="Political harangues" dataDxfId="525">
      <calculatedColumnFormula array="1">INT(SUMPRODUCT(--ISNUMBER(SEARCH(democrattrigger,C2)))&gt;0)</calculatedColumnFormula>
    </tableColumn>
    <tableColumn id="24" xr3:uid="{A77D13D5-102C-4244-BDD0-ACC22B0FD2DF}" name="Bipartisanship" dataDxfId="524">
      <calculatedColumnFormula array="1">INT(SUMPRODUCT(--ISNUMBER(SEARCH(bipartisan,C2)))&gt;0)</calculatedColumnFormula>
    </tableColumn>
    <tableColumn id="25" xr3:uid="{875141E7-6724-4B98-8C88-FE539545739D}" name="Others" dataDxfId="523">
      <calculatedColumnFormula>INT(IF(COUNTIF(K2:Z2,1)=0,"1","0"))</calculatedColumnFormula>
    </tableColumn>
    <tableColumn id="26" xr3:uid="{559FE938-DD00-45E1-8298-A8864D37D4A0}" name="Non-topic" dataDxfId="522"/>
    <tableColumn id="27" xr3:uid="{3FC33A0E-2CB8-42B7-BC85-8ECC46F410F8}" name="Image" dataDxfId="521"/>
    <tableColumn id="28" xr3:uid="{A1A46B54-C94B-4CF8-A726-19B35014D41E}" name="Video" dataDxfId="520"/>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twitter.com/MarthaMcSally/status/1320087183554801664" TargetMode="External"/><Relationship Id="rId21" Type="http://schemas.openxmlformats.org/officeDocument/2006/relationships/hyperlink" Target="https://twitter.com/MarthaMcSally/status/1320880127966875653" TargetMode="External"/><Relationship Id="rId42" Type="http://schemas.openxmlformats.org/officeDocument/2006/relationships/hyperlink" Target="https://twitter.com/MarthaMcSally/status/1318315158620434432" TargetMode="External"/><Relationship Id="rId47" Type="http://schemas.openxmlformats.org/officeDocument/2006/relationships/hyperlink" Target="https://twitter.com/MarthaMcSally/status/1317464380292956160" TargetMode="External"/><Relationship Id="rId63" Type="http://schemas.openxmlformats.org/officeDocument/2006/relationships/hyperlink" Target="https://twitter.com/MarthaMcSally/status/1315412610968293376" TargetMode="External"/><Relationship Id="rId68" Type="http://schemas.openxmlformats.org/officeDocument/2006/relationships/hyperlink" Target="https://twitter.com/MarthaMcSally/status/1314614854163091456" TargetMode="External"/><Relationship Id="rId84" Type="http://schemas.openxmlformats.org/officeDocument/2006/relationships/hyperlink" Target="https://twitter.com/MarthaMcSally/status/1312477268912955394" TargetMode="External"/><Relationship Id="rId16" Type="http://schemas.openxmlformats.org/officeDocument/2006/relationships/hyperlink" Target="https://twitter.com/MarthaMcSally/status/1321216588750614529" TargetMode="External"/><Relationship Id="rId11" Type="http://schemas.openxmlformats.org/officeDocument/2006/relationships/hyperlink" Target="https://twitter.com/MarthaMcSally/status/1322243594204278784" TargetMode="External"/><Relationship Id="rId32" Type="http://schemas.openxmlformats.org/officeDocument/2006/relationships/hyperlink" Target="https://twitter.com/MarthaMcSally/status/1319663621970874368" TargetMode="External"/><Relationship Id="rId37" Type="http://schemas.openxmlformats.org/officeDocument/2006/relationships/hyperlink" Target="https://twitter.com/MarthaMcSally/status/1318929040913305600" TargetMode="External"/><Relationship Id="rId53" Type="http://schemas.openxmlformats.org/officeDocument/2006/relationships/hyperlink" Target="https://twitter.com/MarthaMcSally/status/1316756949325754368" TargetMode="External"/><Relationship Id="rId58" Type="http://schemas.openxmlformats.org/officeDocument/2006/relationships/hyperlink" Target="https://twitter.com/MarthaMcSally/status/1316093543367290882" TargetMode="External"/><Relationship Id="rId74" Type="http://schemas.openxmlformats.org/officeDocument/2006/relationships/hyperlink" Target="https://twitter.com/MarthaMcSally/status/1313950476438704131" TargetMode="External"/><Relationship Id="rId79" Type="http://schemas.openxmlformats.org/officeDocument/2006/relationships/hyperlink" Target="https://twitter.com/MarthaMcSally/status/1313318612552228864" TargetMode="External"/><Relationship Id="rId5" Type="http://schemas.openxmlformats.org/officeDocument/2006/relationships/hyperlink" Target="https://twitter.com/MarthaMcSally/status/1323377760895553536" TargetMode="External"/><Relationship Id="rId19" Type="http://schemas.openxmlformats.org/officeDocument/2006/relationships/hyperlink" Target="https://twitter.com/MarthaMcSally/status/1320888283191128070" TargetMode="External"/><Relationship Id="rId14" Type="http://schemas.openxmlformats.org/officeDocument/2006/relationships/hyperlink" Target="https://twitter.com/MarthaMcSally/status/1321499217102331905" TargetMode="External"/><Relationship Id="rId22" Type="http://schemas.openxmlformats.org/officeDocument/2006/relationships/hyperlink" Target="https://twitter.com/MarthaMcSally/status/1320782494195699715" TargetMode="External"/><Relationship Id="rId27" Type="http://schemas.openxmlformats.org/officeDocument/2006/relationships/hyperlink" Target="https://twitter.com/MarthaMcSally/status/1320050156394479618" TargetMode="External"/><Relationship Id="rId30" Type="http://schemas.openxmlformats.org/officeDocument/2006/relationships/hyperlink" Target="https://twitter.com/MarthaMcSally/status/1319697233005047808" TargetMode="External"/><Relationship Id="rId35" Type="http://schemas.openxmlformats.org/officeDocument/2006/relationships/hyperlink" Target="https://twitter.com/MarthaMcSally/status/1319284709273161740" TargetMode="External"/><Relationship Id="rId43" Type="http://schemas.openxmlformats.org/officeDocument/2006/relationships/hyperlink" Target="https://twitter.com/MarthaMcSally/status/1318239361503166464" TargetMode="External"/><Relationship Id="rId48" Type="http://schemas.openxmlformats.org/officeDocument/2006/relationships/hyperlink" Target="https://twitter.com/MarthaMcSally/status/1317201397654368256" TargetMode="External"/><Relationship Id="rId56" Type="http://schemas.openxmlformats.org/officeDocument/2006/relationships/hyperlink" Target="https://twitter.com/MarthaMcSally/status/1316392074875465734" TargetMode="External"/><Relationship Id="rId64" Type="http://schemas.openxmlformats.org/officeDocument/2006/relationships/hyperlink" Target="https://twitter.com/MarthaMcSally/status/1315362279127281665" TargetMode="External"/><Relationship Id="rId69" Type="http://schemas.openxmlformats.org/officeDocument/2006/relationships/hyperlink" Target="https://twitter.com/MarthaMcSally/status/1314570508675973122" TargetMode="External"/><Relationship Id="rId77" Type="http://schemas.openxmlformats.org/officeDocument/2006/relationships/hyperlink" Target="https://twitter.com/MarthaMcSally/status/1313545923226669056" TargetMode="External"/><Relationship Id="rId8" Type="http://schemas.openxmlformats.org/officeDocument/2006/relationships/hyperlink" Target="https://twitter.com/MarthaMcSally/status/1323287098657435649" TargetMode="External"/><Relationship Id="rId51" Type="http://schemas.openxmlformats.org/officeDocument/2006/relationships/hyperlink" Target="https://twitter.com/MarthaMcSally/status/1316824198518640640" TargetMode="External"/><Relationship Id="rId72" Type="http://schemas.openxmlformats.org/officeDocument/2006/relationships/hyperlink" Target="https://twitter.com/MarthaMcSally/status/1314277632154845184" TargetMode="External"/><Relationship Id="rId80" Type="http://schemas.openxmlformats.org/officeDocument/2006/relationships/hyperlink" Target="https://twitter.com/MarthaMcSally/status/1313200534929788928" TargetMode="External"/><Relationship Id="rId85" Type="http://schemas.openxmlformats.org/officeDocument/2006/relationships/hyperlink" Target="https://twitter.com/MarthaMcSally/status/1312440986929254400" TargetMode="External"/><Relationship Id="rId3" Type="http://schemas.openxmlformats.org/officeDocument/2006/relationships/hyperlink" Target="https://twitter.com/MarthaMcSally/status/1323440350921289728" TargetMode="External"/><Relationship Id="rId12" Type="http://schemas.openxmlformats.org/officeDocument/2006/relationships/hyperlink" Target="https://twitter.com/MarthaMcSally/status/1321838742034739200" TargetMode="External"/><Relationship Id="rId17" Type="http://schemas.openxmlformats.org/officeDocument/2006/relationships/hyperlink" Target="https://twitter.com/MarthaMcSally/status/1320909193730113536" TargetMode="External"/><Relationship Id="rId25" Type="http://schemas.openxmlformats.org/officeDocument/2006/relationships/hyperlink" Target="https://twitter.com/MarthaMcSally/status/1320433467335692288" TargetMode="External"/><Relationship Id="rId33" Type="http://schemas.openxmlformats.org/officeDocument/2006/relationships/hyperlink" Target="https://twitter.com/MarthaMcSally/status/1319404258521878528" TargetMode="External"/><Relationship Id="rId38" Type="http://schemas.openxmlformats.org/officeDocument/2006/relationships/hyperlink" Target="https://twitter.com/MarthaMcSally/status/1318678354468458496" TargetMode="External"/><Relationship Id="rId46" Type="http://schemas.openxmlformats.org/officeDocument/2006/relationships/hyperlink" Target="https://twitter.com/MarthaMcSally/status/1317580143225827328" TargetMode="External"/><Relationship Id="rId59" Type="http://schemas.openxmlformats.org/officeDocument/2006/relationships/hyperlink" Target="https://twitter.com/MarthaMcSally/status/1316069220845789184" TargetMode="External"/><Relationship Id="rId67" Type="http://schemas.openxmlformats.org/officeDocument/2006/relationships/hyperlink" Target="https://twitter.com/MarthaMcSally/status/1314949559613886464" TargetMode="External"/><Relationship Id="rId20" Type="http://schemas.openxmlformats.org/officeDocument/2006/relationships/hyperlink" Target="https://twitter.com/MarthaMcSally/status/1320880303007825920" TargetMode="External"/><Relationship Id="rId41" Type="http://schemas.openxmlformats.org/officeDocument/2006/relationships/hyperlink" Target="https://twitter.com/MarthaMcSally/status/1318584694682759168" TargetMode="External"/><Relationship Id="rId54" Type="http://schemas.openxmlformats.org/officeDocument/2006/relationships/hyperlink" Target="https://twitter.com/MarthaMcSally/status/1316468535892291584" TargetMode="External"/><Relationship Id="rId62" Type="http://schemas.openxmlformats.org/officeDocument/2006/relationships/hyperlink" Target="https://twitter.com/MarthaMcSally/status/1315679797184528385" TargetMode="External"/><Relationship Id="rId70" Type="http://schemas.openxmlformats.org/officeDocument/2006/relationships/hyperlink" Target="https://twitter.com/MarthaMcSally/status/1314327576828149765" TargetMode="External"/><Relationship Id="rId75" Type="http://schemas.openxmlformats.org/officeDocument/2006/relationships/hyperlink" Target="https://twitter.com/MarthaMcSally/status/1313939035749003265" TargetMode="External"/><Relationship Id="rId83" Type="http://schemas.openxmlformats.org/officeDocument/2006/relationships/hyperlink" Target="https://twitter.com/MarthaMcSally/status/1312793603379322880" TargetMode="External"/><Relationship Id="rId1" Type="http://schemas.openxmlformats.org/officeDocument/2006/relationships/hyperlink" Target="https://twitter.com/MarthaMcSally/status/1323664820864864257" TargetMode="External"/><Relationship Id="rId6" Type="http://schemas.openxmlformats.org/officeDocument/2006/relationships/hyperlink" Target="https://twitter.com/MarthaMcSally/status/1323334812187480065" TargetMode="External"/><Relationship Id="rId15" Type="http://schemas.openxmlformats.org/officeDocument/2006/relationships/hyperlink" Target="https://twitter.com/MarthaMcSally/status/1321228432617934848" TargetMode="External"/><Relationship Id="rId23" Type="http://schemas.openxmlformats.org/officeDocument/2006/relationships/hyperlink" Target="https://twitter.com/MarthaMcSally/status/1320767220734185472" TargetMode="External"/><Relationship Id="rId28" Type="http://schemas.openxmlformats.org/officeDocument/2006/relationships/hyperlink" Target="https://twitter.com/MarthaMcSally/status/1320037745927069698" TargetMode="External"/><Relationship Id="rId36" Type="http://schemas.openxmlformats.org/officeDocument/2006/relationships/hyperlink" Target="https://twitter.com/MarthaMcSally/status/1318988171917611008" TargetMode="External"/><Relationship Id="rId49" Type="http://schemas.openxmlformats.org/officeDocument/2006/relationships/hyperlink" Target="https://twitter.com/MarthaMcSally/status/1317177582467584000" TargetMode="External"/><Relationship Id="rId57" Type="http://schemas.openxmlformats.org/officeDocument/2006/relationships/hyperlink" Target="https://twitter.com/MarthaMcSally/status/1316391573425401858" TargetMode="External"/><Relationship Id="rId10" Type="http://schemas.openxmlformats.org/officeDocument/2006/relationships/hyperlink" Target="https://twitter.com/MarthaMcSally/status/1322575535508058112" TargetMode="External"/><Relationship Id="rId31" Type="http://schemas.openxmlformats.org/officeDocument/2006/relationships/hyperlink" Target="https://twitter.com/MarthaMcSally/status/1319690260918398977" TargetMode="External"/><Relationship Id="rId44" Type="http://schemas.openxmlformats.org/officeDocument/2006/relationships/hyperlink" Target="https://twitter.com/MarthaMcSally/status/1317913590427492353" TargetMode="External"/><Relationship Id="rId52" Type="http://schemas.openxmlformats.org/officeDocument/2006/relationships/hyperlink" Target="https://twitter.com/MarthaMcSally/status/1316812281347534854" TargetMode="External"/><Relationship Id="rId60" Type="http://schemas.openxmlformats.org/officeDocument/2006/relationships/hyperlink" Target="https://twitter.com/MarthaMcSally/status/1315761265571246080" TargetMode="External"/><Relationship Id="rId65" Type="http://schemas.openxmlformats.org/officeDocument/2006/relationships/hyperlink" Target="https://twitter.com/MarthaMcSally/status/1315339629952864258" TargetMode="External"/><Relationship Id="rId73" Type="http://schemas.openxmlformats.org/officeDocument/2006/relationships/hyperlink" Target="https://twitter.com/MarthaMcSally/status/1314262361973370883" TargetMode="External"/><Relationship Id="rId78" Type="http://schemas.openxmlformats.org/officeDocument/2006/relationships/hyperlink" Target="https://twitter.com/MarthaMcSally/status/1313506630567366662" TargetMode="External"/><Relationship Id="rId81" Type="http://schemas.openxmlformats.org/officeDocument/2006/relationships/hyperlink" Target="https://twitter.com/MarthaMcSally/status/1313175581006139398" TargetMode="External"/><Relationship Id="rId86" Type="http://schemas.openxmlformats.org/officeDocument/2006/relationships/printerSettings" Target="../printerSettings/printerSettings1.bin"/><Relationship Id="rId4" Type="http://schemas.openxmlformats.org/officeDocument/2006/relationships/hyperlink" Target="https://twitter.com/MarthaMcSally/status/1323431356961972224" TargetMode="External"/><Relationship Id="rId9" Type="http://schemas.openxmlformats.org/officeDocument/2006/relationships/hyperlink" Target="https://twitter.com/MarthaMcSally/status/1322994642191745024" TargetMode="External"/><Relationship Id="rId13" Type="http://schemas.openxmlformats.org/officeDocument/2006/relationships/hyperlink" Target="https://twitter.com/MarthaMcSally/status/1321603518495559680" TargetMode="External"/><Relationship Id="rId18" Type="http://schemas.openxmlformats.org/officeDocument/2006/relationships/hyperlink" Target="https://twitter.com/MarthaMcSally/status/1320894626841071616" TargetMode="External"/><Relationship Id="rId39" Type="http://schemas.openxmlformats.org/officeDocument/2006/relationships/hyperlink" Target="https://twitter.com/MarthaMcSally/status/1318675861520908300" TargetMode="External"/><Relationship Id="rId34" Type="http://schemas.openxmlformats.org/officeDocument/2006/relationships/hyperlink" Target="https://twitter.com/MarthaMcSally/status/1319370875620126720" TargetMode="External"/><Relationship Id="rId50" Type="http://schemas.openxmlformats.org/officeDocument/2006/relationships/hyperlink" Target="https://twitter.com/MarthaMcSally/status/1317121507781414912" TargetMode="External"/><Relationship Id="rId55" Type="http://schemas.openxmlformats.org/officeDocument/2006/relationships/hyperlink" Target="https://twitter.com/MarthaMcSally/status/1316458250749931521" TargetMode="External"/><Relationship Id="rId76" Type="http://schemas.openxmlformats.org/officeDocument/2006/relationships/hyperlink" Target="https://twitter.com/MarthaMcSally/status/1313566949197131776" TargetMode="External"/><Relationship Id="rId7" Type="http://schemas.openxmlformats.org/officeDocument/2006/relationships/hyperlink" Target="https://twitter.com/MarthaMcSally/status/1323319378683650049" TargetMode="External"/><Relationship Id="rId71" Type="http://schemas.openxmlformats.org/officeDocument/2006/relationships/hyperlink" Target="https://twitter.com/MarthaMcSally/status/1314297017036951552" TargetMode="External"/><Relationship Id="rId2" Type="http://schemas.openxmlformats.org/officeDocument/2006/relationships/hyperlink" Target="https://twitter.com/MarthaMcSally/status/1323445541955538947" TargetMode="External"/><Relationship Id="rId29" Type="http://schemas.openxmlformats.org/officeDocument/2006/relationships/hyperlink" Target="https://twitter.com/MarthaMcSally/status/1319711835348557824" TargetMode="External"/><Relationship Id="rId24" Type="http://schemas.openxmlformats.org/officeDocument/2006/relationships/hyperlink" Target="https://twitter.com/MarthaMcSally/status/1320724316812726272" TargetMode="External"/><Relationship Id="rId40" Type="http://schemas.openxmlformats.org/officeDocument/2006/relationships/hyperlink" Target="https://twitter.com/MarthaMcSally/status/1318674499886342145" TargetMode="External"/><Relationship Id="rId45" Type="http://schemas.openxmlformats.org/officeDocument/2006/relationships/hyperlink" Target="https://twitter.com/MarthaMcSally/status/1317832304782241792" TargetMode="External"/><Relationship Id="rId66" Type="http://schemas.openxmlformats.org/officeDocument/2006/relationships/hyperlink" Target="https://twitter.com/MarthaMcSally/status/1315027322202923010" TargetMode="External"/><Relationship Id="rId87" Type="http://schemas.openxmlformats.org/officeDocument/2006/relationships/table" Target="../tables/table1.xml"/><Relationship Id="rId61" Type="http://schemas.openxmlformats.org/officeDocument/2006/relationships/hyperlink" Target="https://twitter.com/MarthaMcSally/status/1315730706715168770" TargetMode="External"/><Relationship Id="rId82" Type="http://schemas.openxmlformats.org/officeDocument/2006/relationships/hyperlink" Target="https://twitter.com/MarthaMcSally/status/1312850729745350656"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s://twitter.com/JohnJamesMI/status/1321918352189722624" TargetMode="External"/><Relationship Id="rId18" Type="http://schemas.openxmlformats.org/officeDocument/2006/relationships/hyperlink" Target="https://twitter.com/JohnJamesMI/status/1320817674075688960" TargetMode="External"/><Relationship Id="rId26" Type="http://schemas.openxmlformats.org/officeDocument/2006/relationships/hyperlink" Target="https://twitter.com/JohnJamesMI/status/1318589449270448128" TargetMode="External"/><Relationship Id="rId39" Type="http://schemas.openxmlformats.org/officeDocument/2006/relationships/hyperlink" Target="https://twitter.com/JohnJamesMI/status/1316716767109165056" TargetMode="External"/><Relationship Id="rId21" Type="http://schemas.openxmlformats.org/officeDocument/2006/relationships/hyperlink" Target="https://twitter.com/JohnJamesMI/status/1319995085480747008" TargetMode="External"/><Relationship Id="rId34" Type="http://schemas.openxmlformats.org/officeDocument/2006/relationships/hyperlink" Target="https://twitter.com/JohnJamesMI/status/1316950120701755393" TargetMode="External"/><Relationship Id="rId42" Type="http://schemas.openxmlformats.org/officeDocument/2006/relationships/hyperlink" Target="https://twitter.com/JohnJamesMI/status/1315715181012545538" TargetMode="External"/><Relationship Id="rId47" Type="http://schemas.openxmlformats.org/officeDocument/2006/relationships/hyperlink" Target="https://twitter.com/JohnJamesMI/status/1314667133809328129" TargetMode="External"/><Relationship Id="rId50" Type="http://schemas.openxmlformats.org/officeDocument/2006/relationships/hyperlink" Target="https://twitter.com/JohnJamesMI/status/1314290909568266251" TargetMode="External"/><Relationship Id="rId55" Type="http://schemas.openxmlformats.org/officeDocument/2006/relationships/hyperlink" Target="https://twitter.com/JohnJamesMI/status/1312502912090693633" TargetMode="External"/><Relationship Id="rId7" Type="http://schemas.openxmlformats.org/officeDocument/2006/relationships/hyperlink" Target="https://twitter.com/JohnJamesMI/status/1322660928161275909" TargetMode="External"/><Relationship Id="rId2" Type="http://schemas.openxmlformats.org/officeDocument/2006/relationships/hyperlink" Target="https://twitter.com/JohnJamesMI/status/1323599414288633857" TargetMode="External"/><Relationship Id="rId16" Type="http://schemas.openxmlformats.org/officeDocument/2006/relationships/hyperlink" Target="https://twitter.com/JohnJamesMI/status/1321226005202247680" TargetMode="External"/><Relationship Id="rId29" Type="http://schemas.openxmlformats.org/officeDocument/2006/relationships/hyperlink" Target="https://twitter.com/JohnJamesMI/status/1317874297629716483" TargetMode="External"/><Relationship Id="rId11" Type="http://schemas.openxmlformats.org/officeDocument/2006/relationships/hyperlink" Target="https://twitter.com/JohnJamesMI/status/1322494548388515840" TargetMode="External"/><Relationship Id="rId24" Type="http://schemas.openxmlformats.org/officeDocument/2006/relationships/hyperlink" Target="https://twitter.com/JohnJamesMI/status/1319255490052935683" TargetMode="External"/><Relationship Id="rId32" Type="http://schemas.openxmlformats.org/officeDocument/2006/relationships/hyperlink" Target="https://twitter.com/JohnJamesMI/status/1317494032516472832" TargetMode="External"/><Relationship Id="rId37" Type="http://schemas.openxmlformats.org/officeDocument/2006/relationships/hyperlink" Target="https://twitter.com/JohnJamesMI/status/1316846000854765568" TargetMode="External"/><Relationship Id="rId40" Type="http://schemas.openxmlformats.org/officeDocument/2006/relationships/hyperlink" Target="https://twitter.com/JohnJamesMI/status/1316688954087936003" TargetMode="External"/><Relationship Id="rId45" Type="http://schemas.openxmlformats.org/officeDocument/2006/relationships/hyperlink" Target="https://twitter.com/JohnJamesMI/status/1315044901088907266" TargetMode="External"/><Relationship Id="rId53" Type="http://schemas.openxmlformats.org/officeDocument/2006/relationships/hyperlink" Target="https://twitter.com/JohnJamesMI/status/1313149127870611460" TargetMode="External"/><Relationship Id="rId5" Type="http://schemas.openxmlformats.org/officeDocument/2006/relationships/hyperlink" Target="https://twitter.com/JohnJamesMI/status/1323326586087759875" TargetMode="External"/><Relationship Id="rId10" Type="http://schemas.openxmlformats.org/officeDocument/2006/relationships/hyperlink" Target="https://twitter.com/JohnJamesMI/status/1322499769646960645" TargetMode="External"/><Relationship Id="rId19" Type="http://schemas.openxmlformats.org/officeDocument/2006/relationships/hyperlink" Target="https://twitter.com/JohnJamesMI/status/1320143583257776128" TargetMode="External"/><Relationship Id="rId31" Type="http://schemas.openxmlformats.org/officeDocument/2006/relationships/hyperlink" Target="https://twitter.com/JohnJamesMI/status/1317567717352886273" TargetMode="External"/><Relationship Id="rId44" Type="http://schemas.openxmlformats.org/officeDocument/2006/relationships/hyperlink" Target="https://twitter.com/JohnJamesMI/status/1315337355402915840" TargetMode="External"/><Relationship Id="rId52" Type="http://schemas.openxmlformats.org/officeDocument/2006/relationships/hyperlink" Target="https://twitter.com/JohnJamesMI/status/1313248071699107843" TargetMode="External"/><Relationship Id="rId4" Type="http://schemas.openxmlformats.org/officeDocument/2006/relationships/hyperlink" Target="https://twitter.com/JohnJamesMI/status/1323334304840192000" TargetMode="External"/><Relationship Id="rId9" Type="http://schemas.openxmlformats.org/officeDocument/2006/relationships/hyperlink" Target="https://twitter.com/JohnJamesMI/status/1322572875090583552" TargetMode="External"/><Relationship Id="rId14" Type="http://schemas.openxmlformats.org/officeDocument/2006/relationships/hyperlink" Target="https://twitter.com/JohnJamesMI/status/1321891348522434560" TargetMode="External"/><Relationship Id="rId22" Type="http://schemas.openxmlformats.org/officeDocument/2006/relationships/hyperlink" Target="https://twitter.com/JohnJamesMI/status/1319813336486322176" TargetMode="External"/><Relationship Id="rId27" Type="http://schemas.openxmlformats.org/officeDocument/2006/relationships/hyperlink" Target="https://twitter.com/JohnJamesMI/status/1318298597893525505" TargetMode="External"/><Relationship Id="rId30" Type="http://schemas.openxmlformats.org/officeDocument/2006/relationships/hyperlink" Target="https://twitter.com/JohnJamesMI/status/1317869651574067200" TargetMode="External"/><Relationship Id="rId35" Type="http://schemas.openxmlformats.org/officeDocument/2006/relationships/hyperlink" Target="https://twitter.com/JohnJamesMI/status/1316927827204329478" TargetMode="External"/><Relationship Id="rId43" Type="http://schemas.openxmlformats.org/officeDocument/2006/relationships/hyperlink" Target="https://twitter.com/JohnJamesMI/status/1315661947623403520" TargetMode="External"/><Relationship Id="rId48" Type="http://schemas.openxmlformats.org/officeDocument/2006/relationships/hyperlink" Target="https://twitter.com/JohnJamesMI/status/1314591347173724160" TargetMode="External"/><Relationship Id="rId56" Type="http://schemas.openxmlformats.org/officeDocument/2006/relationships/table" Target="../tables/table10.xml"/><Relationship Id="rId8" Type="http://schemas.openxmlformats.org/officeDocument/2006/relationships/hyperlink" Target="https://twitter.com/JohnJamesMI/status/1322658127825784836" TargetMode="External"/><Relationship Id="rId51" Type="http://schemas.openxmlformats.org/officeDocument/2006/relationships/hyperlink" Target="https://twitter.com/JohnJamesMI/status/1314189606762483714" TargetMode="External"/><Relationship Id="rId3" Type="http://schemas.openxmlformats.org/officeDocument/2006/relationships/hyperlink" Target="https://twitter.com/JohnJamesMI/status/1323425326949695489" TargetMode="External"/><Relationship Id="rId12" Type="http://schemas.openxmlformats.org/officeDocument/2006/relationships/hyperlink" Target="https://twitter.com/JohnJamesMI/status/1322181816342712323" TargetMode="External"/><Relationship Id="rId17" Type="http://schemas.openxmlformats.org/officeDocument/2006/relationships/hyperlink" Target="https://twitter.com/JohnJamesMI/status/1321201891209076739" TargetMode="External"/><Relationship Id="rId25" Type="http://schemas.openxmlformats.org/officeDocument/2006/relationships/hyperlink" Target="https://twitter.com/JohnJamesMI/status/1318958716327284737" TargetMode="External"/><Relationship Id="rId33" Type="http://schemas.openxmlformats.org/officeDocument/2006/relationships/hyperlink" Target="https://twitter.com/JohnJamesMI/status/1317243928601628674" TargetMode="External"/><Relationship Id="rId38" Type="http://schemas.openxmlformats.org/officeDocument/2006/relationships/hyperlink" Target="https://twitter.com/JohnJamesMI/status/1316755691441446912" TargetMode="External"/><Relationship Id="rId46" Type="http://schemas.openxmlformats.org/officeDocument/2006/relationships/hyperlink" Target="https://twitter.com/JohnJamesMI/status/1314681636534001664" TargetMode="External"/><Relationship Id="rId20" Type="http://schemas.openxmlformats.org/officeDocument/2006/relationships/hyperlink" Target="https://twitter.com/JohnJamesMI/status/1320024201147940874" TargetMode="External"/><Relationship Id="rId41" Type="http://schemas.openxmlformats.org/officeDocument/2006/relationships/hyperlink" Target="https://twitter.com/JohnJamesMI/status/1316140350361264134" TargetMode="External"/><Relationship Id="rId54" Type="http://schemas.openxmlformats.org/officeDocument/2006/relationships/hyperlink" Target="https://twitter.com/JohnJamesMI/status/1312880039504097282" TargetMode="External"/><Relationship Id="rId1" Type="http://schemas.openxmlformats.org/officeDocument/2006/relationships/hyperlink" Target="https://twitter.com/JohnJamesMI/status/1323688783074779136" TargetMode="External"/><Relationship Id="rId6" Type="http://schemas.openxmlformats.org/officeDocument/2006/relationships/hyperlink" Target="https://twitter.com/JohnJamesMI/status/1323278848767762432" TargetMode="External"/><Relationship Id="rId15" Type="http://schemas.openxmlformats.org/officeDocument/2006/relationships/hyperlink" Target="https://twitter.com/JohnJamesMI/status/1321437892128968708" TargetMode="External"/><Relationship Id="rId23" Type="http://schemas.openxmlformats.org/officeDocument/2006/relationships/hyperlink" Target="https://twitter.com/JohnJamesMI/status/1319382261209485312" TargetMode="External"/><Relationship Id="rId28" Type="http://schemas.openxmlformats.org/officeDocument/2006/relationships/hyperlink" Target="https://twitter.com/JohnJamesMI/status/1317905012039819265" TargetMode="External"/><Relationship Id="rId36" Type="http://schemas.openxmlformats.org/officeDocument/2006/relationships/hyperlink" Target="https://twitter.com/JohnJamesMI/status/1316896361271394304" TargetMode="External"/><Relationship Id="rId49" Type="http://schemas.openxmlformats.org/officeDocument/2006/relationships/hyperlink" Target="https://twitter.com/JohnJamesMI/status/1314332577524785152"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twitter.com/TinaSmithMN/status/1320879776761028608" TargetMode="External"/><Relationship Id="rId299" Type="http://schemas.openxmlformats.org/officeDocument/2006/relationships/hyperlink" Target="https://twitter.com/TinaSmithMN/status/1315064228311633920" TargetMode="External"/><Relationship Id="rId21" Type="http://schemas.openxmlformats.org/officeDocument/2006/relationships/hyperlink" Target="https://twitter.com/TinaSmithMN/status/1323391524537860097" TargetMode="External"/><Relationship Id="rId63" Type="http://schemas.openxmlformats.org/officeDocument/2006/relationships/hyperlink" Target="https://twitter.com/TinaSmithMN/status/1322376211113385984" TargetMode="External"/><Relationship Id="rId159" Type="http://schemas.openxmlformats.org/officeDocument/2006/relationships/hyperlink" Target="https://twitter.com/TinaSmithMN/status/1319688086570389510" TargetMode="External"/><Relationship Id="rId324" Type="http://schemas.openxmlformats.org/officeDocument/2006/relationships/hyperlink" Target="https://twitter.com/TinaSmithMN/status/1313925338938912769" TargetMode="External"/><Relationship Id="rId170" Type="http://schemas.openxmlformats.org/officeDocument/2006/relationships/hyperlink" Target="https://twitter.com/TinaSmithMN/status/1319298232099491840" TargetMode="External"/><Relationship Id="rId226" Type="http://schemas.openxmlformats.org/officeDocument/2006/relationships/hyperlink" Target="https://twitter.com/TinaSmithMN/status/1317287680032559105" TargetMode="External"/><Relationship Id="rId268" Type="http://schemas.openxmlformats.org/officeDocument/2006/relationships/hyperlink" Target="https://twitter.com/TinaSmithMN/status/1316100760627806209" TargetMode="External"/><Relationship Id="rId32" Type="http://schemas.openxmlformats.org/officeDocument/2006/relationships/hyperlink" Target="https://twitter.com/TinaSmithMN/status/1323052437796802560" TargetMode="External"/><Relationship Id="rId74" Type="http://schemas.openxmlformats.org/officeDocument/2006/relationships/hyperlink" Target="https://twitter.com/TinaSmithMN/status/1322209402984824832" TargetMode="External"/><Relationship Id="rId128" Type="http://schemas.openxmlformats.org/officeDocument/2006/relationships/hyperlink" Target="https://twitter.com/TinaSmithMN/status/1320507241741561857" TargetMode="External"/><Relationship Id="rId335" Type="http://schemas.openxmlformats.org/officeDocument/2006/relationships/hyperlink" Target="https://twitter.com/TinaSmithMN/status/1313249883315408896" TargetMode="External"/><Relationship Id="rId5" Type="http://schemas.openxmlformats.org/officeDocument/2006/relationships/hyperlink" Target="https://twitter.com/TinaSmithMN/status/1323680429090754560" TargetMode="External"/><Relationship Id="rId181" Type="http://schemas.openxmlformats.org/officeDocument/2006/relationships/hyperlink" Target="https://twitter.com/TinaSmithMN/status/1318726361356279808" TargetMode="External"/><Relationship Id="rId237" Type="http://schemas.openxmlformats.org/officeDocument/2006/relationships/hyperlink" Target="https://twitter.com/TinaSmithMN/status/1316929003861716992" TargetMode="External"/><Relationship Id="rId279" Type="http://schemas.openxmlformats.org/officeDocument/2006/relationships/hyperlink" Target="https://twitter.com/TinaSmithMN/status/1315734603676688385" TargetMode="External"/><Relationship Id="rId43" Type="http://schemas.openxmlformats.org/officeDocument/2006/relationships/hyperlink" Target="https://twitter.com/TinaSmithMN/status/1322742873893326848" TargetMode="External"/><Relationship Id="rId139" Type="http://schemas.openxmlformats.org/officeDocument/2006/relationships/hyperlink" Target="https://twitter.com/TinaSmithMN/status/1320371931095441415" TargetMode="External"/><Relationship Id="rId290" Type="http://schemas.openxmlformats.org/officeDocument/2006/relationships/hyperlink" Target="https://twitter.com/TinaSmithMN/status/1315354801027403776" TargetMode="External"/><Relationship Id="rId304" Type="http://schemas.openxmlformats.org/officeDocument/2006/relationships/hyperlink" Target="https://twitter.com/TinaSmithMN/status/1314701426606645248" TargetMode="External"/><Relationship Id="rId346" Type="http://schemas.openxmlformats.org/officeDocument/2006/relationships/hyperlink" Target="https://twitter.com/TinaSmithMN/status/1312526577712861184" TargetMode="External"/><Relationship Id="rId85" Type="http://schemas.openxmlformats.org/officeDocument/2006/relationships/hyperlink" Target="https://twitter.com/TinaSmithMN/status/1321884683228090368" TargetMode="External"/><Relationship Id="rId150" Type="http://schemas.openxmlformats.org/officeDocument/2006/relationships/hyperlink" Target="https://twitter.com/TinaSmithMN/status/1320060081384411137" TargetMode="External"/><Relationship Id="rId192" Type="http://schemas.openxmlformats.org/officeDocument/2006/relationships/hyperlink" Target="https://twitter.com/TinaSmithMN/status/1318641797212590087" TargetMode="External"/><Relationship Id="rId206" Type="http://schemas.openxmlformats.org/officeDocument/2006/relationships/hyperlink" Target="https://twitter.com/TinaSmithMN/status/1317972031640637445" TargetMode="External"/><Relationship Id="rId248" Type="http://schemas.openxmlformats.org/officeDocument/2006/relationships/hyperlink" Target="https://twitter.com/TinaSmithMN/status/1316517764291604481" TargetMode="External"/><Relationship Id="rId12" Type="http://schemas.openxmlformats.org/officeDocument/2006/relationships/hyperlink" Target="https://twitter.com/TinaSmithMN/status/1323493469554429953" TargetMode="External"/><Relationship Id="rId108" Type="http://schemas.openxmlformats.org/officeDocument/2006/relationships/hyperlink" Target="https://twitter.com/TinaSmithMN/status/1321218445984366593" TargetMode="External"/><Relationship Id="rId315" Type="http://schemas.openxmlformats.org/officeDocument/2006/relationships/hyperlink" Target="https://twitter.com/TinaSmithMN/status/1314036032241913858" TargetMode="External"/><Relationship Id="rId54" Type="http://schemas.openxmlformats.org/officeDocument/2006/relationships/hyperlink" Target="https://twitter.com/TinaSmithMN/status/1322649766841470977" TargetMode="External"/><Relationship Id="rId96" Type="http://schemas.openxmlformats.org/officeDocument/2006/relationships/hyperlink" Target="https://twitter.com/TinaSmithMN/status/1321575930595364866" TargetMode="External"/><Relationship Id="rId161" Type="http://schemas.openxmlformats.org/officeDocument/2006/relationships/hyperlink" Target="https://twitter.com/TinaSmithMN/status/1319479405832536064" TargetMode="External"/><Relationship Id="rId217" Type="http://schemas.openxmlformats.org/officeDocument/2006/relationships/hyperlink" Target="https://twitter.com/TinaSmithMN/status/1317623784254377984" TargetMode="External"/><Relationship Id="rId259" Type="http://schemas.openxmlformats.org/officeDocument/2006/relationships/hyperlink" Target="https://twitter.com/TinaSmithMN/status/1316177634544553984" TargetMode="External"/><Relationship Id="rId23" Type="http://schemas.openxmlformats.org/officeDocument/2006/relationships/hyperlink" Target="https://twitter.com/TinaSmithMN/status/1323373163875606529" TargetMode="External"/><Relationship Id="rId119" Type="http://schemas.openxmlformats.org/officeDocument/2006/relationships/hyperlink" Target="https://twitter.com/TinaSmithMN/status/1320879774462578694" TargetMode="External"/><Relationship Id="rId270" Type="http://schemas.openxmlformats.org/officeDocument/2006/relationships/hyperlink" Target="https://twitter.com/TinaSmithMN/status/1315832358302609408" TargetMode="External"/><Relationship Id="rId326" Type="http://schemas.openxmlformats.org/officeDocument/2006/relationships/hyperlink" Target="https://twitter.com/TinaSmithMN/status/1313858527123865601" TargetMode="External"/><Relationship Id="rId65" Type="http://schemas.openxmlformats.org/officeDocument/2006/relationships/hyperlink" Target="https://twitter.com/TinaSmithMN/status/1322358664192249856" TargetMode="External"/><Relationship Id="rId130" Type="http://schemas.openxmlformats.org/officeDocument/2006/relationships/hyperlink" Target="https://twitter.com/TinaSmithMN/status/1320480165496082432" TargetMode="External"/><Relationship Id="rId172" Type="http://schemas.openxmlformats.org/officeDocument/2006/relationships/hyperlink" Target="https://twitter.com/TinaSmithMN/status/1319076272379727873" TargetMode="External"/><Relationship Id="rId228" Type="http://schemas.openxmlformats.org/officeDocument/2006/relationships/hyperlink" Target="https://twitter.com/TinaSmithMN/status/1317265937347809281" TargetMode="External"/><Relationship Id="rId281" Type="http://schemas.openxmlformats.org/officeDocument/2006/relationships/hyperlink" Target="https://twitter.com/TinaSmithMN/status/1315467823863549952" TargetMode="External"/><Relationship Id="rId337" Type="http://schemas.openxmlformats.org/officeDocument/2006/relationships/hyperlink" Target="https://twitter.com/TinaSmithMN/status/1313219005625315328" TargetMode="External"/><Relationship Id="rId34" Type="http://schemas.openxmlformats.org/officeDocument/2006/relationships/hyperlink" Target="https://twitter.com/TinaSmithMN/status/1323034123091529729" TargetMode="External"/><Relationship Id="rId76" Type="http://schemas.openxmlformats.org/officeDocument/2006/relationships/hyperlink" Target="https://twitter.com/TinaSmithMN/status/1322163782710382592" TargetMode="External"/><Relationship Id="rId141" Type="http://schemas.openxmlformats.org/officeDocument/2006/relationships/hyperlink" Target="https://twitter.com/TinaSmithMN/status/1320371926607552516" TargetMode="External"/><Relationship Id="rId7" Type="http://schemas.openxmlformats.org/officeDocument/2006/relationships/hyperlink" Target="https://twitter.com/TinaSmithMN/status/1323657859889061890" TargetMode="External"/><Relationship Id="rId183" Type="http://schemas.openxmlformats.org/officeDocument/2006/relationships/hyperlink" Target="https://twitter.com/TinaSmithMN/status/1318724006565072899" TargetMode="External"/><Relationship Id="rId239" Type="http://schemas.openxmlformats.org/officeDocument/2006/relationships/hyperlink" Target="https://twitter.com/TinaSmithMN/status/1316907198182772738" TargetMode="External"/><Relationship Id="rId250" Type="http://schemas.openxmlformats.org/officeDocument/2006/relationships/hyperlink" Target="https://twitter.com/TinaSmithMN/status/1316497318225620998" TargetMode="External"/><Relationship Id="rId292" Type="http://schemas.openxmlformats.org/officeDocument/2006/relationships/hyperlink" Target="https://twitter.com/TinaSmithMN/status/1315327310577401856" TargetMode="External"/><Relationship Id="rId306" Type="http://schemas.openxmlformats.org/officeDocument/2006/relationships/hyperlink" Target="https://twitter.com/TinaSmithMN/status/1314666493821493248" TargetMode="External"/><Relationship Id="rId45" Type="http://schemas.openxmlformats.org/officeDocument/2006/relationships/hyperlink" Target="https://twitter.com/TinaSmithMN/status/1322726365339287552" TargetMode="External"/><Relationship Id="rId87" Type="http://schemas.openxmlformats.org/officeDocument/2006/relationships/hyperlink" Target="https://twitter.com/TinaSmithMN/status/1321856670788714497" TargetMode="External"/><Relationship Id="rId110" Type="http://schemas.openxmlformats.org/officeDocument/2006/relationships/hyperlink" Target="https://twitter.com/TinaSmithMN/status/1321188015612567558" TargetMode="External"/><Relationship Id="rId348" Type="http://schemas.openxmlformats.org/officeDocument/2006/relationships/hyperlink" Target="https://twitter.com/TinaSmithMN/status/1312480993824051200" TargetMode="External"/><Relationship Id="rId152" Type="http://schemas.openxmlformats.org/officeDocument/2006/relationships/hyperlink" Target="https://twitter.com/TinaSmithMN/status/1319821173488799744" TargetMode="External"/><Relationship Id="rId194" Type="http://schemas.openxmlformats.org/officeDocument/2006/relationships/hyperlink" Target="https://twitter.com/TinaSmithMN/status/1318381248847413248" TargetMode="External"/><Relationship Id="rId208" Type="http://schemas.openxmlformats.org/officeDocument/2006/relationships/hyperlink" Target="https://twitter.com/TinaSmithMN/status/1317918509020622851" TargetMode="External"/><Relationship Id="rId261" Type="http://schemas.openxmlformats.org/officeDocument/2006/relationships/hyperlink" Target="https://twitter.com/TinaSmithMN/status/1316158431468949508" TargetMode="External"/><Relationship Id="rId14" Type="http://schemas.openxmlformats.org/officeDocument/2006/relationships/hyperlink" Target="https://twitter.com/TinaSmithMN/status/1323450593667678209" TargetMode="External"/><Relationship Id="rId56" Type="http://schemas.openxmlformats.org/officeDocument/2006/relationships/hyperlink" Target="https://twitter.com/TinaSmithMN/status/1322624712716025865" TargetMode="External"/><Relationship Id="rId317" Type="http://schemas.openxmlformats.org/officeDocument/2006/relationships/hyperlink" Target="https://twitter.com/TinaSmithMN/status/1314029796200976384" TargetMode="External"/><Relationship Id="rId98" Type="http://schemas.openxmlformats.org/officeDocument/2006/relationships/hyperlink" Target="https://twitter.com/TinaSmithMN/status/1321554123154722825" TargetMode="External"/><Relationship Id="rId121" Type="http://schemas.openxmlformats.org/officeDocument/2006/relationships/hyperlink" Target="https://twitter.com/TinaSmithMN/status/1320840042017918979" TargetMode="External"/><Relationship Id="rId163" Type="http://schemas.openxmlformats.org/officeDocument/2006/relationships/hyperlink" Target="https://twitter.com/TinaSmithMN/status/1319442519931998208" TargetMode="External"/><Relationship Id="rId219" Type="http://schemas.openxmlformats.org/officeDocument/2006/relationships/hyperlink" Target="https://twitter.com/TinaSmithMN/status/1317623781943398401" TargetMode="External"/><Relationship Id="rId230" Type="http://schemas.openxmlformats.org/officeDocument/2006/relationships/hyperlink" Target="https://twitter.com/TinaSmithMN/status/1317244911067058177" TargetMode="External"/><Relationship Id="rId251" Type="http://schemas.openxmlformats.org/officeDocument/2006/relationships/hyperlink" Target="https://twitter.com/TinaSmithMN/status/1316479489199804416" TargetMode="External"/><Relationship Id="rId25" Type="http://schemas.openxmlformats.org/officeDocument/2006/relationships/hyperlink" Target="https://twitter.com/TinaSmithMN/status/1323342541253758977" TargetMode="External"/><Relationship Id="rId46" Type="http://schemas.openxmlformats.org/officeDocument/2006/relationships/hyperlink" Target="https://twitter.com/TinaSmithMN/status/1322719262893625344" TargetMode="External"/><Relationship Id="rId67" Type="http://schemas.openxmlformats.org/officeDocument/2006/relationships/hyperlink" Target="https://twitter.com/TinaSmithMN/status/1322334927082393600" TargetMode="External"/><Relationship Id="rId272" Type="http://schemas.openxmlformats.org/officeDocument/2006/relationships/hyperlink" Target="https://twitter.com/TinaSmithMN/status/1315807322426535945" TargetMode="External"/><Relationship Id="rId293" Type="http://schemas.openxmlformats.org/officeDocument/2006/relationships/hyperlink" Target="https://twitter.com/TinaSmithMN/status/1315307784762781697" TargetMode="External"/><Relationship Id="rId307" Type="http://schemas.openxmlformats.org/officeDocument/2006/relationships/hyperlink" Target="https://twitter.com/TinaSmithMN/status/1314654068573442050" TargetMode="External"/><Relationship Id="rId328" Type="http://schemas.openxmlformats.org/officeDocument/2006/relationships/hyperlink" Target="https://twitter.com/TinaSmithMN/status/1313662670533427200" TargetMode="External"/><Relationship Id="rId349" Type="http://schemas.openxmlformats.org/officeDocument/2006/relationships/hyperlink" Target="https://twitter.com/TinaSmithMN/status/1312464304138907648" TargetMode="External"/><Relationship Id="rId88" Type="http://schemas.openxmlformats.org/officeDocument/2006/relationships/hyperlink" Target="https://twitter.com/TinaSmithMN/status/1321840760908644352" TargetMode="External"/><Relationship Id="rId111" Type="http://schemas.openxmlformats.org/officeDocument/2006/relationships/hyperlink" Target="https://twitter.com/TinaSmithMN/status/1321173715032432640" TargetMode="External"/><Relationship Id="rId132" Type="http://schemas.openxmlformats.org/officeDocument/2006/relationships/hyperlink" Target="https://twitter.com/TinaSmithMN/status/1320455079531585537" TargetMode="External"/><Relationship Id="rId153" Type="http://schemas.openxmlformats.org/officeDocument/2006/relationships/hyperlink" Target="https://twitter.com/TinaSmithMN/status/1319806895515992064" TargetMode="External"/><Relationship Id="rId174" Type="http://schemas.openxmlformats.org/officeDocument/2006/relationships/hyperlink" Target="https://twitter.com/TinaSmithMN/status/1319028991660068865" TargetMode="External"/><Relationship Id="rId195" Type="http://schemas.openxmlformats.org/officeDocument/2006/relationships/hyperlink" Target="https://twitter.com/TinaSmithMN/status/1318372977575104514" TargetMode="External"/><Relationship Id="rId209" Type="http://schemas.openxmlformats.org/officeDocument/2006/relationships/hyperlink" Target="https://twitter.com/TinaSmithMN/status/1317908104416268290" TargetMode="External"/><Relationship Id="rId220" Type="http://schemas.openxmlformats.org/officeDocument/2006/relationships/hyperlink" Target="https://twitter.com/TinaSmithMN/status/1317623780928294913" TargetMode="External"/><Relationship Id="rId241" Type="http://schemas.openxmlformats.org/officeDocument/2006/relationships/hyperlink" Target="https://twitter.com/TinaSmithMN/status/1316890354520645633" TargetMode="External"/><Relationship Id="rId15" Type="http://schemas.openxmlformats.org/officeDocument/2006/relationships/hyperlink" Target="https://twitter.com/TinaSmithMN/status/1323443540555386881" TargetMode="External"/><Relationship Id="rId36" Type="http://schemas.openxmlformats.org/officeDocument/2006/relationships/hyperlink" Target="https://twitter.com/TinaSmithMN/status/1322986970403000326" TargetMode="External"/><Relationship Id="rId57" Type="http://schemas.openxmlformats.org/officeDocument/2006/relationships/hyperlink" Target="https://twitter.com/TinaSmithMN/status/1322614898023694338" TargetMode="External"/><Relationship Id="rId262" Type="http://schemas.openxmlformats.org/officeDocument/2006/relationships/hyperlink" Target="https://twitter.com/TinaSmithMN/status/1316149546217504771" TargetMode="External"/><Relationship Id="rId283" Type="http://schemas.openxmlformats.org/officeDocument/2006/relationships/hyperlink" Target="https://twitter.com/TinaSmithMN/status/1315448959725379585" TargetMode="External"/><Relationship Id="rId318" Type="http://schemas.openxmlformats.org/officeDocument/2006/relationships/hyperlink" Target="https://twitter.com/TinaSmithMN/status/1314000609582948353" TargetMode="External"/><Relationship Id="rId339" Type="http://schemas.openxmlformats.org/officeDocument/2006/relationships/hyperlink" Target="https://twitter.com/TinaSmithMN/status/1312912053607247873" TargetMode="External"/><Relationship Id="rId78" Type="http://schemas.openxmlformats.org/officeDocument/2006/relationships/hyperlink" Target="https://twitter.com/TinaSmithMN/status/1322003074869841921" TargetMode="External"/><Relationship Id="rId99" Type="http://schemas.openxmlformats.org/officeDocument/2006/relationships/hyperlink" Target="https://twitter.com/TinaSmithMN/status/1321542822089134081" TargetMode="External"/><Relationship Id="rId101" Type="http://schemas.openxmlformats.org/officeDocument/2006/relationships/hyperlink" Target="https://twitter.com/TinaSmithMN/status/1321493202432647169" TargetMode="External"/><Relationship Id="rId122" Type="http://schemas.openxmlformats.org/officeDocument/2006/relationships/hyperlink" Target="https://twitter.com/TinaSmithMN/status/1320821674938388481" TargetMode="External"/><Relationship Id="rId143" Type="http://schemas.openxmlformats.org/officeDocument/2006/relationships/hyperlink" Target="https://twitter.com/TinaSmithMN/status/1320136783884070917" TargetMode="External"/><Relationship Id="rId164" Type="http://schemas.openxmlformats.org/officeDocument/2006/relationships/hyperlink" Target="https://twitter.com/TinaSmithMN/status/1319431627806822401" TargetMode="External"/><Relationship Id="rId185" Type="http://schemas.openxmlformats.org/officeDocument/2006/relationships/hyperlink" Target="https://twitter.com/TinaSmithMN/status/1318721264949886979" TargetMode="External"/><Relationship Id="rId350" Type="http://schemas.openxmlformats.org/officeDocument/2006/relationships/hyperlink" Target="https://twitter.com/TinaSmithMN/status/1312442639514386434" TargetMode="External"/><Relationship Id="rId9" Type="http://schemas.openxmlformats.org/officeDocument/2006/relationships/hyperlink" Target="https://twitter.com/TinaSmithMN/status/1323626904621060099" TargetMode="External"/><Relationship Id="rId210" Type="http://schemas.openxmlformats.org/officeDocument/2006/relationships/hyperlink" Target="https://twitter.com/TinaSmithMN/status/1317896153267113986" TargetMode="External"/><Relationship Id="rId26" Type="http://schemas.openxmlformats.org/officeDocument/2006/relationships/hyperlink" Target="https://twitter.com/TinaSmithMN/status/1323334706797154305" TargetMode="External"/><Relationship Id="rId231" Type="http://schemas.openxmlformats.org/officeDocument/2006/relationships/hyperlink" Target="https://twitter.com/TinaSmithMN/status/1317229882288558084" TargetMode="External"/><Relationship Id="rId252" Type="http://schemas.openxmlformats.org/officeDocument/2006/relationships/hyperlink" Target="https://twitter.com/TinaSmithMN/status/1316470394191335424" TargetMode="External"/><Relationship Id="rId273" Type="http://schemas.openxmlformats.org/officeDocument/2006/relationships/hyperlink" Target="https://twitter.com/TinaSmithMN/status/1315796768039329792" TargetMode="External"/><Relationship Id="rId294" Type="http://schemas.openxmlformats.org/officeDocument/2006/relationships/hyperlink" Target="https://twitter.com/TinaSmithMN/status/1315107393743843330" TargetMode="External"/><Relationship Id="rId308" Type="http://schemas.openxmlformats.org/officeDocument/2006/relationships/hyperlink" Target="https://twitter.com/TinaSmithMN/status/1314378324043497474" TargetMode="External"/><Relationship Id="rId329" Type="http://schemas.openxmlformats.org/officeDocument/2006/relationships/hyperlink" Target="https://twitter.com/TinaSmithMN/status/1313658615396433921" TargetMode="External"/><Relationship Id="rId47" Type="http://schemas.openxmlformats.org/officeDocument/2006/relationships/hyperlink" Target="https://twitter.com/TinaSmithMN/status/1322711682968375298" TargetMode="External"/><Relationship Id="rId68" Type="http://schemas.openxmlformats.org/officeDocument/2006/relationships/hyperlink" Target="https://twitter.com/TinaSmithMN/status/1322325043343491074" TargetMode="External"/><Relationship Id="rId89" Type="http://schemas.openxmlformats.org/officeDocument/2006/relationships/hyperlink" Target="https://twitter.com/TinaSmithMN/status/1321652461929713664" TargetMode="External"/><Relationship Id="rId112" Type="http://schemas.openxmlformats.org/officeDocument/2006/relationships/hyperlink" Target="https://twitter.com/TinaSmithMN/status/1321154096209006593" TargetMode="External"/><Relationship Id="rId133" Type="http://schemas.openxmlformats.org/officeDocument/2006/relationships/hyperlink" Target="https://twitter.com/TinaSmithMN/status/1320437009001947138" TargetMode="External"/><Relationship Id="rId154" Type="http://schemas.openxmlformats.org/officeDocument/2006/relationships/hyperlink" Target="https://twitter.com/TinaSmithMN/status/1319798251235774465" TargetMode="External"/><Relationship Id="rId175" Type="http://schemas.openxmlformats.org/officeDocument/2006/relationships/hyperlink" Target="https://twitter.com/TinaSmithMN/status/1319016274937237505" TargetMode="External"/><Relationship Id="rId340" Type="http://schemas.openxmlformats.org/officeDocument/2006/relationships/hyperlink" Target="https://twitter.com/TinaSmithMN/status/1312902113765330948" TargetMode="External"/><Relationship Id="rId196" Type="http://schemas.openxmlformats.org/officeDocument/2006/relationships/hyperlink" Target="https://twitter.com/TinaSmithMN/status/1318365394512629760" TargetMode="External"/><Relationship Id="rId200" Type="http://schemas.openxmlformats.org/officeDocument/2006/relationships/hyperlink" Target="https://twitter.com/TinaSmithMN/status/1318313678698139649" TargetMode="External"/><Relationship Id="rId16" Type="http://schemas.openxmlformats.org/officeDocument/2006/relationships/hyperlink" Target="https://twitter.com/TinaSmithMN/status/1323435336119296000" TargetMode="External"/><Relationship Id="rId221" Type="http://schemas.openxmlformats.org/officeDocument/2006/relationships/hyperlink" Target="https://twitter.com/TinaSmithMN/status/1317612494471467011" TargetMode="External"/><Relationship Id="rId242" Type="http://schemas.openxmlformats.org/officeDocument/2006/relationships/hyperlink" Target="https://twitter.com/TinaSmithMN/status/1316881336385372169" TargetMode="External"/><Relationship Id="rId263" Type="http://schemas.openxmlformats.org/officeDocument/2006/relationships/hyperlink" Target="https://twitter.com/TinaSmithMN/status/1316141051925745664" TargetMode="External"/><Relationship Id="rId284" Type="http://schemas.openxmlformats.org/officeDocument/2006/relationships/hyperlink" Target="https://twitter.com/TinaSmithMN/status/1315441336045236224" TargetMode="External"/><Relationship Id="rId319" Type="http://schemas.openxmlformats.org/officeDocument/2006/relationships/hyperlink" Target="https://twitter.com/TinaSmithMN/status/1313990408641409025" TargetMode="External"/><Relationship Id="rId37" Type="http://schemas.openxmlformats.org/officeDocument/2006/relationships/hyperlink" Target="https://twitter.com/TinaSmithMN/status/1322972499555110913" TargetMode="External"/><Relationship Id="rId58" Type="http://schemas.openxmlformats.org/officeDocument/2006/relationships/hyperlink" Target="https://twitter.com/TinaSmithMN/status/1322595781656924160" TargetMode="External"/><Relationship Id="rId79" Type="http://schemas.openxmlformats.org/officeDocument/2006/relationships/hyperlink" Target="https://twitter.com/TinaSmithMN/status/1321996815315673093" TargetMode="External"/><Relationship Id="rId102" Type="http://schemas.openxmlformats.org/officeDocument/2006/relationships/hyperlink" Target="https://twitter.com/TinaSmithMN/status/1321284949144645636" TargetMode="External"/><Relationship Id="rId123" Type="http://schemas.openxmlformats.org/officeDocument/2006/relationships/hyperlink" Target="https://twitter.com/TinaSmithMN/status/1320765056364302337" TargetMode="External"/><Relationship Id="rId144" Type="http://schemas.openxmlformats.org/officeDocument/2006/relationships/hyperlink" Target="https://twitter.com/TinaSmithMN/status/1320126776656494599" TargetMode="External"/><Relationship Id="rId330" Type="http://schemas.openxmlformats.org/officeDocument/2006/relationships/hyperlink" Target="https://twitter.com/TinaSmithMN/status/1313612698018553856" TargetMode="External"/><Relationship Id="rId90" Type="http://schemas.openxmlformats.org/officeDocument/2006/relationships/hyperlink" Target="https://twitter.com/TinaSmithMN/status/1321644232667516929" TargetMode="External"/><Relationship Id="rId165" Type="http://schemas.openxmlformats.org/officeDocument/2006/relationships/hyperlink" Target="https://twitter.com/TinaSmithMN/status/1319422146012217346" TargetMode="External"/><Relationship Id="rId186" Type="http://schemas.openxmlformats.org/officeDocument/2006/relationships/hyperlink" Target="https://twitter.com/TinaSmithMN/status/1318710819790721024" TargetMode="External"/><Relationship Id="rId351" Type="http://schemas.openxmlformats.org/officeDocument/2006/relationships/hyperlink" Target="https://twitter.com/TinaSmithMN/status/1312214062789472259" TargetMode="External"/><Relationship Id="rId211" Type="http://schemas.openxmlformats.org/officeDocument/2006/relationships/hyperlink" Target="https://twitter.com/TinaSmithMN/status/1317874366064058369" TargetMode="External"/><Relationship Id="rId232" Type="http://schemas.openxmlformats.org/officeDocument/2006/relationships/hyperlink" Target="https://twitter.com/TinaSmithMN/status/1317212212239474689" TargetMode="External"/><Relationship Id="rId253" Type="http://schemas.openxmlformats.org/officeDocument/2006/relationships/hyperlink" Target="https://twitter.com/TinaSmithMN/status/1316458465532030976" TargetMode="External"/><Relationship Id="rId274" Type="http://schemas.openxmlformats.org/officeDocument/2006/relationships/hyperlink" Target="https://twitter.com/TinaSmithMN/status/1315785546418061320" TargetMode="External"/><Relationship Id="rId295" Type="http://schemas.openxmlformats.org/officeDocument/2006/relationships/hyperlink" Target="https://twitter.com/TinaSmithMN/status/1315098451064098816" TargetMode="External"/><Relationship Id="rId309" Type="http://schemas.openxmlformats.org/officeDocument/2006/relationships/hyperlink" Target="https://twitter.com/TinaSmithMN/status/1314366043050176514" TargetMode="External"/><Relationship Id="rId27" Type="http://schemas.openxmlformats.org/officeDocument/2006/relationships/hyperlink" Target="https://twitter.com/TinaSmithMN/status/1323310056461533187" TargetMode="External"/><Relationship Id="rId48" Type="http://schemas.openxmlformats.org/officeDocument/2006/relationships/hyperlink" Target="https://twitter.com/TinaSmithMN/status/1322706456802664450" TargetMode="External"/><Relationship Id="rId69" Type="http://schemas.openxmlformats.org/officeDocument/2006/relationships/hyperlink" Target="https://twitter.com/TinaSmithMN/status/1322302525370966019" TargetMode="External"/><Relationship Id="rId113" Type="http://schemas.openxmlformats.org/officeDocument/2006/relationships/hyperlink" Target="https://twitter.com/TinaSmithMN/status/1321135727908950017" TargetMode="External"/><Relationship Id="rId134" Type="http://schemas.openxmlformats.org/officeDocument/2006/relationships/hyperlink" Target="https://twitter.com/TinaSmithMN/status/1320418506077253632" TargetMode="External"/><Relationship Id="rId320" Type="http://schemas.openxmlformats.org/officeDocument/2006/relationships/hyperlink" Target="https://twitter.com/TinaSmithMN/status/1313978094626185219" TargetMode="External"/><Relationship Id="rId80" Type="http://schemas.openxmlformats.org/officeDocument/2006/relationships/hyperlink" Target="https://twitter.com/TinaSmithMN/status/1321979570464194562" TargetMode="External"/><Relationship Id="rId155" Type="http://schemas.openxmlformats.org/officeDocument/2006/relationships/hyperlink" Target="https://twitter.com/TinaSmithMN/status/1319789314650349568" TargetMode="External"/><Relationship Id="rId176" Type="http://schemas.openxmlformats.org/officeDocument/2006/relationships/hyperlink" Target="https://twitter.com/TinaSmithMN/status/1319005406019158016" TargetMode="External"/><Relationship Id="rId197" Type="http://schemas.openxmlformats.org/officeDocument/2006/relationships/hyperlink" Target="https://twitter.com/TinaSmithMN/status/1318357038456541191" TargetMode="External"/><Relationship Id="rId341" Type="http://schemas.openxmlformats.org/officeDocument/2006/relationships/hyperlink" Target="https://twitter.com/TinaSmithMN/status/1312891909552119810" TargetMode="External"/><Relationship Id="rId201" Type="http://schemas.openxmlformats.org/officeDocument/2006/relationships/hyperlink" Target="https://twitter.com/TinaSmithMN/status/1318285745468198914" TargetMode="External"/><Relationship Id="rId222" Type="http://schemas.openxmlformats.org/officeDocument/2006/relationships/hyperlink" Target="https://twitter.com/TinaSmithMN/status/1317600663682121728" TargetMode="External"/><Relationship Id="rId243" Type="http://schemas.openxmlformats.org/officeDocument/2006/relationships/hyperlink" Target="https://twitter.com/TinaSmithMN/status/1316568959840378882" TargetMode="External"/><Relationship Id="rId264" Type="http://schemas.openxmlformats.org/officeDocument/2006/relationships/hyperlink" Target="https://twitter.com/TinaSmithMN/status/1316131254194958336" TargetMode="External"/><Relationship Id="rId285" Type="http://schemas.openxmlformats.org/officeDocument/2006/relationships/hyperlink" Target="https://twitter.com/TinaSmithMN/status/1315425968702529537" TargetMode="External"/><Relationship Id="rId17" Type="http://schemas.openxmlformats.org/officeDocument/2006/relationships/hyperlink" Target="https://twitter.com/TinaSmithMN/status/1323423171291303936" TargetMode="External"/><Relationship Id="rId38" Type="http://schemas.openxmlformats.org/officeDocument/2006/relationships/hyperlink" Target="https://twitter.com/TinaSmithMN/status/1322955509222330368" TargetMode="External"/><Relationship Id="rId59" Type="http://schemas.openxmlformats.org/officeDocument/2006/relationships/hyperlink" Target="https://twitter.com/TinaSmithMN/status/1322586449338880001" TargetMode="External"/><Relationship Id="rId103" Type="http://schemas.openxmlformats.org/officeDocument/2006/relationships/hyperlink" Target="https://twitter.com/TinaSmithMN/status/1321278226069676034" TargetMode="External"/><Relationship Id="rId124" Type="http://schemas.openxmlformats.org/officeDocument/2006/relationships/hyperlink" Target="https://twitter.com/TinaSmithMN/status/1320742521404858374" TargetMode="External"/><Relationship Id="rId310" Type="http://schemas.openxmlformats.org/officeDocument/2006/relationships/hyperlink" Target="https://twitter.com/TinaSmithMN/status/1314341176087138305" TargetMode="External"/><Relationship Id="rId70" Type="http://schemas.openxmlformats.org/officeDocument/2006/relationships/hyperlink" Target="https://twitter.com/TinaSmithMN/status/1322287225921511424" TargetMode="External"/><Relationship Id="rId91" Type="http://schemas.openxmlformats.org/officeDocument/2006/relationships/hyperlink" Target="https://twitter.com/TinaSmithMN/status/1321634688377774081" TargetMode="External"/><Relationship Id="rId145" Type="http://schemas.openxmlformats.org/officeDocument/2006/relationships/hyperlink" Target="https://twitter.com/TinaSmithMN/status/1320117806961250306" TargetMode="External"/><Relationship Id="rId166" Type="http://schemas.openxmlformats.org/officeDocument/2006/relationships/hyperlink" Target="https://twitter.com/TinaSmithMN/status/1319411922295455745" TargetMode="External"/><Relationship Id="rId187" Type="http://schemas.openxmlformats.org/officeDocument/2006/relationships/hyperlink" Target="https://twitter.com/TinaSmithMN/status/1318704645947166720" TargetMode="External"/><Relationship Id="rId331" Type="http://schemas.openxmlformats.org/officeDocument/2006/relationships/hyperlink" Target="https://twitter.com/TinaSmithMN/status/1313556809341448194" TargetMode="External"/><Relationship Id="rId352" Type="http://schemas.openxmlformats.org/officeDocument/2006/relationships/hyperlink" Target="https://twitter.com/TinaSmithMN/status/1312199795306647552" TargetMode="External"/><Relationship Id="rId1" Type="http://schemas.openxmlformats.org/officeDocument/2006/relationships/hyperlink" Target="https://twitter.com/TinaSmithMN/status/1323760439642198024" TargetMode="External"/><Relationship Id="rId212" Type="http://schemas.openxmlformats.org/officeDocument/2006/relationships/hyperlink" Target="https://twitter.com/TinaSmithMN/status/1317653275387285505" TargetMode="External"/><Relationship Id="rId233" Type="http://schemas.openxmlformats.org/officeDocument/2006/relationships/hyperlink" Target="https://twitter.com/TinaSmithMN/status/1317153687651876865" TargetMode="External"/><Relationship Id="rId254" Type="http://schemas.openxmlformats.org/officeDocument/2006/relationships/hyperlink" Target="https://twitter.com/TinaSmithMN/status/1316446538344923141" TargetMode="External"/><Relationship Id="rId28" Type="http://schemas.openxmlformats.org/officeDocument/2006/relationships/hyperlink" Target="https://twitter.com/TinaSmithMN/status/1323290555879706624" TargetMode="External"/><Relationship Id="rId49" Type="http://schemas.openxmlformats.org/officeDocument/2006/relationships/hyperlink" Target="https://twitter.com/TinaSmithMN/status/1322701683030413313" TargetMode="External"/><Relationship Id="rId114" Type="http://schemas.openxmlformats.org/officeDocument/2006/relationships/hyperlink" Target="https://twitter.com/TinaSmithMN/status/1321123845772922884" TargetMode="External"/><Relationship Id="rId275" Type="http://schemas.openxmlformats.org/officeDocument/2006/relationships/hyperlink" Target="https://twitter.com/TinaSmithMN/status/1315772532289605637" TargetMode="External"/><Relationship Id="rId296" Type="http://schemas.openxmlformats.org/officeDocument/2006/relationships/hyperlink" Target="https://twitter.com/TinaSmithMN/status/1315089556186824704" TargetMode="External"/><Relationship Id="rId300" Type="http://schemas.openxmlformats.org/officeDocument/2006/relationships/hyperlink" Target="https://twitter.com/TinaSmithMN/status/1315017892778438659" TargetMode="External"/><Relationship Id="rId60" Type="http://schemas.openxmlformats.org/officeDocument/2006/relationships/hyperlink" Target="https://twitter.com/TinaSmithMN/status/1322565256129007617" TargetMode="External"/><Relationship Id="rId81" Type="http://schemas.openxmlformats.org/officeDocument/2006/relationships/hyperlink" Target="https://twitter.com/TinaSmithMN/status/1321941315232370690" TargetMode="External"/><Relationship Id="rId135" Type="http://schemas.openxmlformats.org/officeDocument/2006/relationships/hyperlink" Target="https://twitter.com/TinaSmithMN/status/1320371934459285506" TargetMode="External"/><Relationship Id="rId156" Type="http://schemas.openxmlformats.org/officeDocument/2006/relationships/hyperlink" Target="https://twitter.com/TinaSmithMN/status/1319775827215765504" TargetMode="External"/><Relationship Id="rId177" Type="http://schemas.openxmlformats.org/officeDocument/2006/relationships/hyperlink" Target="https://twitter.com/TinaSmithMN/status/1318989735994351616" TargetMode="External"/><Relationship Id="rId198" Type="http://schemas.openxmlformats.org/officeDocument/2006/relationships/hyperlink" Target="https://twitter.com/TinaSmithMN/status/1318345797751181312" TargetMode="External"/><Relationship Id="rId321" Type="http://schemas.openxmlformats.org/officeDocument/2006/relationships/hyperlink" Target="https://twitter.com/TinaSmithMN/status/1313962895391289347" TargetMode="External"/><Relationship Id="rId342" Type="http://schemas.openxmlformats.org/officeDocument/2006/relationships/hyperlink" Target="https://twitter.com/TinaSmithMN/status/1312873231204995074" TargetMode="External"/><Relationship Id="rId202" Type="http://schemas.openxmlformats.org/officeDocument/2006/relationships/hyperlink" Target="https://twitter.com/TinaSmithMN/status/1318263229492113411" TargetMode="External"/><Relationship Id="rId223" Type="http://schemas.openxmlformats.org/officeDocument/2006/relationships/hyperlink" Target="https://twitter.com/TinaSmithMN/status/1317588275167744000" TargetMode="External"/><Relationship Id="rId244" Type="http://schemas.openxmlformats.org/officeDocument/2006/relationships/hyperlink" Target="https://twitter.com/TinaSmithMN/status/1316558312863936512" TargetMode="External"/><Relationship Id="rId18" Type="http://schemas.openxmlformats.org/officeDocument/2006/relationships/hyperlink" Target="https://twitter.com/TinaSmithMN/status/1323416530445570052" TargetMode="External"/><Relationship Id="rId39" Type="http://schemas.openxmlformats.org/officeDocument/2006/relationships/hyperlink" Target="https://twitter.com/TinaSmithMN/status/1322952649445122050" TargetMode="External"/><Relationship Id="rId265" Type="http://schemas.openxmlformats.org/officeDocument/2006/relationships/hyperlink" Target="https://twitter.com/TinaSmithMN/status/1316123036366573576" TargetMode="External"/><Relationship Id="rId286" Type="http://schemas.openxmlformats.org/officeDocument/2006/relationships/hyperlink" Target="https://twitter.com/TinaSmithMN/status/1315413214214094856" TargetMode="External"/><Relationship Id="rId50" Type="http://schemas.openxmlformats.org/officeDocument/2006/relationships/hyperlink" Target="https://twitter.com/TinaSmithMN/status/1322688656772136961" TargetMode="External"/><Relationship Id="rId104" Type="http://schemas.openxmlformats.org/officeDocument/2006/relationships/hyperlink" Target="https://twitter.com/TinaSmithMN/status/1321269981385019393" TargetMode="External"/><Relationship Id="rId125" Type="http://schemas.openxmlformats.org/officeDocument/2006/relationships/hyperlink" Target="https://twitter.com/TinaSmithMN/status/1320726696564346881" TargetMode="External"/><Relationship Id="rId146" Type="http://schemas.openxmlformats.org/officeDocument/2006/relationships/hyperlink" Target="https://twitter.com/TinaSmithMN/status/1320109148185440256" TargetMode="External"/><Relationship Id="rId167" Type="http://schemas.openxmlformats.org/officeDocument/2006/relationships/hyperlink" Target="https://twitter.com/TinaSmithMN/status/1319401648297476099" TargetMode="External"/><Relationship Id="rId188" Type="http://schemas.openxmlformats.org/officeDocument/2006/relationships/hyperlink" Target="https://twitter.com/TinaSmithMN/status/1318689227824107520" TargetMode="External"/><Relationship Id="rId311" Type="http://schemas.openxmlformats.org/officeDocument/2006/relationships/hyperlink" Target="https://twitter.com/TinaSmithMN/status/1314326837695315969" TargetMode="External"/><Relationship Id="rId332" Type="http://schemas.openxmlformats.org/officeDocument/2006/relationships/hyperlink" Target="https://twitter.com/TinaSmithMN/status/1313535400389103616" TargetMode="External"/><Relationship Id="rId353" Type="http://schemas.openxmlformats.org/officeDocument/2006/relationships/hyperlink" Target="https://twitter.com/TinaSmithMN/status/1312188494731792384" TargetMode="External"/><Relationship Id="rId71" Type="http://schemas.openxmlformats.org/officeDocument/2006/relationships/hyperlink" Target="https://twitter.com/TinaSmithMN/status/1322256569954959361" TargetMode="External"/><Relationship Id="rId92" Type="http://schemas.openxmlformats.org/officeDocument/2006/relationships/hyperlink" Target="https://twitter.com/TinaSmithMN/status/1321616856864722945" TargetMode="External"/><Relationship Id="rId213" Type="http://schemas.openxmlformats.org/officeDocument/2006/relationships/hyperlink" Target="https://twitter.com/TinaSmithMN/status/1317635201376440320" TargetMode="External"/><Relationship Id="rId234" Type="http://schemas.openxmlformats.org/officeDocument/2006/relationships/hyperlink" Target="https://twitter.com/TinaSmithMN/status/1317140510449041410" TargetMode="External"/><Relationship Id="rId2" Type="http://schemas.openxmlformats.org/officeDocument/2006/relationships/hyperlink" Target="https://twitter.com/TinaSmithMN/status/1323747760571617281" TargetMode="External"/><Relationship Id="rId29" Type="http://schemas.openxmlformats.org/officeDocument/2006/relationships/hyperlink" Target="https://twitter.com/TinaSmithMN/status/1323265071175225345" TargetMode="External"/><Relationship Id="rId255" Type="http://schemas.openxmlformats.org/officeDocument/2006/relationships/hyperlink" Target="https://twitter.com/TinaSmithMN/status/1316212066282278912" TargetMode="External"/><Relationship Id="rId276" Type="http://schemas.openxmlformats.org/officeDocument/2006/relationships/hyperlink" Target="https://twitter.com/TinaSmithMN/status/1315762368341839873" TargetMode="External"/><Relationship Id="rId297" Type="http://schemas.openxmlformats.org/officeDocument/2006/relationships/hyperlink" Target="https://twitter.com/TinaSmithMN/status/1315080746965622785" TargetMode="External"/><Relationship Id="rId40" Type="http://schemas.openxmlformats.org/officeDocument/2006/relationships/hyperlink" Target="https://twitter.com/TinaSmithMN/status/1322940190244196353" TargetMode="External"/><Relationship Id="rId115" Type="http://schemas.openxmlformats.org/officeDocument/2006/relationships/hyperlink" Target="https://twitter.com/TinaSmithMN/status/1321105967023534087" TargetMode="External"/><Relationship Id="rId136" Type="http://schemas.openxmlformats.org/officeDocument/2006/relationships/hyperlink" Target="https://twitter.com/TinaSmithMN/status/1320371933607768066" TargetMode="External"/><Relationship Id="rId157" Type="http://schemas.openxmlformats.org/officeDocument/2006/relationships/hyperlink" Target="https://twitter.com/TinaSmithMN/status/1319762815230631937" TargetMode="External"/><Relationship Id="rId178" Type="http://schemas.openxmlformats.org/officeDocument/2006/relationships/hyperlink" Target="https://twitter.com/TinaSmithMN/status/1318975383006490624" TargetMode="External"/><Relationship Id="rId301" Type="http://schemas.openxmlformats.org/officeDocument/2006/relationships/hyperlink" Target="https://twitter.com/TinaSmithMN/status/1314743802867965953" TargetMode="External"/><Relationship Id="rId322" Type="http://schemas.openxmlformats.org/officeDocument/2006/relationships/hyperlink" Target="https://twitter.com/TinaSmithMN/status/1313950981936340995" TargetMode="External"/><Relationship Id="rId343" Type="http://schemas.openxmlformats.org/officeDocument/2006/relationships/hyperlink" Target="https://twitter.com/TinaSmithMN/status/1312862115011723266" TargetMode="External"/><Relationship Id="rId61" Type="http://schemas.openxmlformats.org/officeDocument/2006/relationships/hyperlink" Target="https://twitter.com/TinaSmithMN/status/1322552198384001025" TargetMode="External"/><Relationship Id="rId82" Type="http://schemas.openxmlformats.org/officeDocument/2006/relationships/hyperlink" Target="https://twitter.com/TinaSmithMN/status/1321933299841904642" TargetMode="External"/><Relationship Id="rId199" Type="http://schemas.openxmlformats.org/officeDocument/2006/relationships/hyperlink" Target="https://twitter.com/TinaSmithMN/status/1318337960278937605" TargetMode="External"/><Relationship Id="rId203" Type="http://schemas.openxmlformats.org/officeDocument/2006/relationships/hyperlink" Target="https://twitter.com/TinaSmithMN/status/1318198268455772163" TargetMode="External"/><Relationship Id="rId19" Type="http://schemas.openxmlformats.org/officeDocument/2006/relationships/hyperlink" Target="https://twitter.com/TinaSmithMN/status/1323407433738395648" TargetMode="External"/><Relationship Id="rId224" Type="http://schemas.openxmlformats.org/officeDocument/2006/relationships/hyperlink" Target="https://twitter.com/TinaSmithMN/status/1317574110675873792" TargetMode="External"/><Relationship Id="rId245" Type="http://schemas.openxmlformats.org/officeDocument/2006/relationships/hyperlink" Target="https://twitter.com/TinaSmithMN/status/1316548969942650882" TargetMode="External"/><Relationship Id="rId266" Type="http://schemas.openxmlformats.org/officeDocument/2006/relationships/hyperlink" Target="https://twitter.com/TinaSmithMN/status/1316122862726582281" TargetMode="External"/><Relationship Id="rId287" Type="http://schemas.openxmlformats.org/officeDocument/2006/relationships/hyperlink" Target="https://twitter.com/TinaSmithMN/status/1315401693627133952" TargetMode="External"/><Relationship Id="rId30" Type="http://schemas.openxmlformats.org/officeDocument/2006/relationships/hyperlink" Target="https://twitter.com/TinaSmithMN/status/1323079671228076035" TargetMode="External"/><Relationship Id="rId105" Type="http://schemas.openxmlformats.org/officeDocument/2006/relationships/hyperlink" Target="https://twitter.com/TinaSmithMN/status/1321252229102403590" TargetMode="External"/><Relationship Id="rId126" Type="http://schemas.openxmlformats.org/officeDocument/2006/relationships/hyperlink" Target="https://twitter.com/TinaSmithMN/status/1320537615364509698" TargetMode="External"/><Relationship Id="rId147" Type="http://schemas.openxmlformats.org/officeDocument/2006/relationships/hyperlink" Target="https://twitter.com/TinaSmithMN/status/1320108924960493568" TargetMode="External"/><Relationship Id="rId168" Type="http://schemas.openxmlformats.org/officeDocument/2006/relationships/hyperlink" Target="https://twitter.com/TinaSmithMN/status/1319387131677167616" TargetMode="External"/><Relationship Id="rId312" Type="http://schemas.openxmlformats.org/officeDocument/2006/relationships/hyperlink" Target="https://twitter.com/TinaSmithMN/status/1314315543210594306" TargetMode="External"/><Relationship Id="rId333" Type="http://schemas.openxmlformats.org/officeDocument/2006/relationships/hyperlink" Target="https://twitter.com/TinaSmithMN/status/1313281733211631616" TargetMode="External"/><Relationship Id="rId354" Type="http://schemas.openxmlformats.org/officeDocument/2006/relationships/table" Target="../tables/table11.xml"/><Relationship Id="rId51" Type="http://schemas.openxmlformats.org/officeDocument/2006/relationships/hyperlink" Target="https://twitter.com/TinaSmithMN/status/1322682242376912897" TargetMode="External"/><Relationship Id="rId72" Type="http://schemas.openxmlformats.org/officeDocument/2006/relationships/hyperlink" Target="https://twitter.com/TinaSmithMN/status/1322240657449254912" TargetMode="External"/><Relationship Id="rId93" Type="http://schemas.openxmlformats.org/officeDocument/2006/relationships/hyperlink" Target="https://twitter.com/TinaSmithMN/status/1321606960542875649" TargetMode="External"/><Relationship Id="rId189" Type="http://schemas.openxmlformats.org/officeDocument/2006/relationships/hyperlink" Target="https://twitter.com/TinaSmithMN/status/1318677657308024839" TargetMode="External"/><Relationship Id="rId3" Type="http://schemas.openxmlformats.org/officeDocument/2006/relationships/hyperlink" Target="https://twitter.com/TinaSmithMN/status/1323726660643000320" TargetMode="External"/><Relationship Id="rId214" Type="http://schemas.openxmlformats.org/officeDocument/2006/relationships/hyperlink" Target="https://twitter.com/TinaSmithMN/status/1317623786930397187" TargetMode="External"/><Relationship Id="rId235" Type="http://schemas.openxmlformats.org/officeDocument/2006/relationships/hyperlink" Target="https://twitter.com/TinaSmithMN/status/1317107011411128321" TargetMode="External"/><Relationship Id="rId256" Type="http://schemas.openxmlformats.org/officeDocument/2006/relationships/hyperlink" Target="https://twitter.com/TinaSmithMN/status/1316204321365782528" TargetMode="External"/><Relationship Id="rId277" Type="http://schemas.openxmlformats.org/officeDocument/2006/relationships/hyperlink" Target="https://twitter.com/TinaSmithMN/status/1315754044745543684" TargetMode="External"/><Relationship Id="rId298" Type="http://schemas.openxmlformats.org/officeDocument/2006/relationships/hyperlink" Target="https://twitter.com/TinaSmithMN/status/1315071670735056898" TargetMode="External"/><Relationship Id="rId116" Type="http://schemas.openxmlformats.org/officeDocument/2006/relationships/hyperlink" Target="https://twitter.com/TinaSmithMN/status/1320912016803090433" TargetMode="External"/><Relationship Id="rId137" Type="http://schemas.openxmlformats.org/officeDocument/2006/relationships/hyperlink" Target="https://twitter.com/TinaSmithMN/status/1320371932743766019" TargetMode="External"/><Relationship Id="rId158" Type="http://schemas.openxmlformats.org/officeDocument/2006/relationships/hyperlink" Target="https://twitter.com/TinaSmithMN/status/1319746161306144769" TargetMode="External"/><Relationship Id="rId302" Type="http://schemas.openxmlformats.org/officeDocument/2006/relationships/hyperlink" Target="https://twitter.com/TinaSmithMN/status/1314728468484173825" TargetMode="External"/><Relationship Id="rId323" Type="http://schemas.openxmlformats.org/officeDocument/2006/relationships/hyperlink" Target="https://twitter.com/TinaSmithMN/status/1313938331592527872" TargetMode="External"/><Relationship Id="rId344" Type="http://schemas.openxmlformats.org/officeDocument/2006/relationships/hyperlink" Target="https://twitter.com/TinaSmithMN/status/1312846983120457728" TargetMode="External"/><Relationship Id="rId20" Type="http://schemas.openxmlformats.org/officeDocument/2006/relationships/hyperlink" Target="https://twitter.com/TinaSmithMN/status/1323399062163394560" TargetMode="External"/><Relationship Id="rId41" Type="http://schemas.openxmlformats.org/officeDocument/2006/relationships/hyperlink" Target="https://twitter.com/TinaSmithMN/status/1322927392558632961" TargetMode="External"/><Relationship Id="rId62" Type="http://schemas.openxmlformats.org/officeDocument/2006/relationships/hyperlink" Target="https://twitter.com/TinaSmithMN/status/1322380557024743424" TargetMode="External"/><Relationship Id="rId83" Type="http://schemas.openxmlformats.org/officeDocument/2006/relationships/hyperlink" Target="https://twitter.com/TinaSmithMN/status/1321914467823898629" TargetMode="External"/><Relationship Id="rId179" Type="http://schemas.openxmlformats.org/officeDocument/2006/relationships/hyperlink" Target="https://twitter.com/TinaSmithMN/status/1318744111399227392" TargetMode="External"/><Relationship Id="rId190" Type="http://schemas.openxmlformats.org/officeDocument/2006/relationships/hyperlink" Target="https://twitter.com/TinaSmithMN/status/1318667154544300034" TargetMode="External"/><Relationship Id="rId204" Type="http://schemas.openxmlformats.org/officeDocument/2006/relationships/hyperlink" Target="https://twitter.com/TinaSmithMN/status/1318011555632549893" TargetMode="External"/><Relationship Id="rId225" Type="http://schemas.openxmlformats.org/officeDocument/2006/relationships/hyperlink" Target="https://twitter.com/TinaSmithMN/status/1317487218395652097" TargetMode="External"/><Relationship Id="rId246" Type="http://schemas.openxmlformats.org/officeDocument/2006/relationships/hyperlink" Target="https://twitter.com/TinaSmithMN/status/1316539018104975360" TargetMode="External"/><Relationship Id="rId267" Type="http://schemas.openxmlformats.org/officeDocument/2006/relationships/hyperlink" Target="https://twitter.com/TinaSmithMN/status/1316114013789523970" TargetMode="External"/><Relationship Id="rId288" Type="http://schemas.openxmlformats.org/officeDocument/2006/relationships/hyperlink" Target="https://twitter.com/TinaSmithMN/status/1315391513451520000" TargetMode="External"/><Relationship Id="rId106" Type="http://schemas.openxmlformats.org/officeDocument/2006/relationships/hyperlink" Target="https://twitter.com/TinaSmithMN/status/1321240655746785280" TargetMode="External"/><Relationship Id="rId127" Type="http://schemas.openxmlformats.org/officeDocument/2006/relationships/hyperlink" Target="https://twitter.com/TinaSmithMN/status/1320520523546316800" TargetMode="External"/><Relationship Id="rId313" Type="http://schemas.openxmlformats.org/officeDocument/2006/relationships/hyperlink" Target="https://twitter.com/TinaSmithMN/status/1314260781530308613" TargetMode="External"/><Relationship Id="rId10" Type="http://schemas.openxmlformats.org/officeDocument/2006/relationships/hyperlink" Target="https://twitter.com/TinaSmithMN/status/1323610967058558976" TargetMode="External"/><Relationship Id="rId31" Type="http://schemas.openxmlformats.org/officeDocument/2006/relationships/hyperlink" Target="https://twitter.com/TinaSmithMN/status/1323060931933409281" TargetMode="External"/><Relationship Id="rId52" Type="http://schemas.openxmlformats.org/officeDocument/2006/relationships/hyperlink" Target="https://twitter.com/TinaSmithMN/status/1322669340202815488" TargetMode="External"/><Relationship Id="rId73" Type="http://schemas.openxmlformats.org/officeDocument/2006/relationships/hyperlink" Target="https://twitter.com/TinaSmithMN/status/1322228172189040641" TargetMode="External"/><Relationship Id="rId94" Type="http://schemas.openxmlformats.org/officeDocument/2006/relationships/hyperlink" Target="https://twitter.com/TinaSmithMN/status/1321595163425312772" TargetMode="External"/><Relationship Id="rId148" Type="http://schemas.openxmlformats.org/officeDocument/2006/relationships/hyperlink" Target="https://twitter.com/TinaSmithMN/status/1320100319532109825" TargetMode="External"/><Relationship Id="rId169" Type="http://schemas.openxmlformats.org/officeDocument/2006/relationships/hyperlink" Target="https://twitter.com/TinaSmithMN/status/1319362036070047744" TargetMode="External"/><Relationship Id="rId334" Type="http://schemas.openxmlformats.org/officeDocument/2006/relationships/hyperlink" Target="https://twitter.com/TinaSmithMN/status/1313267808856346626" TargetMode="External"/><Relationship Id="rId4" Type="http://schemas.openxmlformats.org/officeDocument/2006/relationships/hyperlink" Target="https://twitter.com/TinaSmithMN/status/1323698802826473473" TargetMode="External"/><Relationship Id="rId180" Type="http://schemas.openxmlformats.org/officeDocument/2006/relationships/hyperlink" Target="https://twitter.com/TinaSmithMN/status/1318735836582653953" TargetMode="External"/><Relationship Id="rId215" Type="http://schemas.openxmlformats.org/officeDocument/2006/relationships/hyperlink" Target="https://twitter.com/TinaSmithMN/status/1317623785986588673" TargetMode="External"/><Relationship Id="rId236" Type="http://schemas.openxmlformats.org/officeDocument/2006/relationships/hyperlink" Target="https://twitter.com/TinaSmithMN/status/1316936309244571650" TargetMode="External"/><Relationship Id="rId257" Type="http://schemas.openxmlformats.org/officeDocument/2006/relationships/hyperlink" Target="https://twitter.com/TinaSmithMN/status/1316195412567621632" TargetMode="External"/><Relationship Id="rId278" Type="http://schemas.openxmlformats.org/officeDocument/2006/relationships/hyperlink" Target="https://twitter.com/TinaSmithMN/status/1315743057048993797" TargetMode="External"/><Relationship Id="rId303" Type="http://schemas.openxmlformats.org/officeDocument/2006/relationships/hyperlink" Target="https://twitter.com/TinaSmithMN/status/1314715604817981441" TargetMode="External"/><Relationship Id="rId42" Type="http://schemas.openxmlformats.org/officeDocument/2006/relationships/hyperlink" Target="https://twitter.com/TinaSmithMN/status/1322913816284450816" TargetMode="External"/><Relationship Id="rId84" Type="http://schemas.openxmlformats.org/officeDocument/2006/relationships/hyperlink" Target="https://twitter.com/TinaSmithMN/status/1321894550965833733" TargetMode="External"/><Relationship Id="rId138" Type="http://schemas.openxmlformats.org/officeDocument/2006/relationships/hyperlink" Target="https://twitter.com/TinaSmithMN/status/1320371931934314497" TargetMode="External"/><Relationship Id="rId345" Type="http://schemas.openxmlformats.org/officeDocument/2006/relationships/hyperlink" Target="https://twitter.com/TinaSmithMN/status/1312550116251914241" TargetMode="External"/><Relationship Id="rId191" Type="http://schemas.openxmlformats.org/officeDocument/2006/relationships/hyperlink" Target="https://twitter.com/TinaSmithMN/status/1318656494372593666" TargetMode="External"/><Relationship Id="rId205" Type="http://schemas.openxmlformats.org/officeDocument/2006/relationships/hyperlink" Target="https://twitter.com/TinaSmithMN/status/1317986118101553153" TargetMode="External"/><Relationship Id="rId247" Type="http://schemas.openxmlformats.org/officeDocument/2006/relationships/hyperlink" Target="https://twitter.com/TinaSmithMN/status/1316528362882584579" TargetMode="External"/><Relationship Id="rId107" Type="http://schemas.openxmlformats.org/officeDocument/2006/relationships/hyperlink" Target="https://twitter.com/TinaSmithMN/status/1321229311198855171" TargetMode="External"/><Relationship Id="rId289" Type="http://schemas.openxmlformats.org/officeDocument/2006/relationships/hyperlink" Target="https://twitter.com/TinaSmithMN/status/1315375349585391622" TargetMode="External"/><Relationship Id="rId11" Type="http://schemas.openxmlformats.org/officeDocument/2006/relationships/hyperlink" Target="https://twitter.com/TinaSmithMN/status/1323508781221859329" TargetMode="External"/><Relationship Id="rId53" Type="http://schemas.openxmlformats.org/officeDocument/2006/relationships/hyperlink" Target="https://twitter.com/TinaSmithMN/status/1322658721533693954" TargetMode="External"/><Relationship Id="rId149" Type="http://schemas.openxmlformats.org/officeDocument/2006/relationships/hyperlink" Target="https://twitter.com/TinaSmithMN/status/1320084448587689985" TargetMode="External"/><Relationship Id="rId314" Type="http://schemas.openxmlformats.org/officeDocument/2006/relationships/hyperlink" Target="https://twitter.com/TinaSmithMN/status/1314241635199397898" TargetMode="External"/><Relationship Id="rId95" Type="http://schemas.openxmlformats.org/officeDocument/2006/relationships/hyperlink" Target="https://twitter.com/TinaSmithMN/status/1321585586994663425" TargetMode="External"/><Relationship Id="rId160" Type="http://schemas.openxmlformats.org/officeDocument/2006/relationships/hyperlink" Target="https://twitter.com/TinaSmithMN/status/1319643128253566978" TargetMode="External"/><Relationship Id="rId216" Type="http://schemas.openxmlformats.org/officeDocument/2006/relationships/hyperlink" Target="https://twitter.com/TinaSmithMN/status/1317623785109979136" TargetMode="External"/><Relationship Id="rId258" Type="http://schemas.openxmlformats.org/officeDocument/2006/relationships/hyperlink" Target="https://twitter.com/TinaSmithMN/status/1316184268230610946" TargetMode="External"/><Relationship Id="rId22" Type="http://schemas.openxmlformats.org/officeDocument/2006/relationships/hyperlink" Target="https://twitter.com/TinaSmithMN/status/1323383450636849152" TargetMode="External"/><Relationship Id="rId64" Type="http://schemas.openxmlformats.org/officeDocument/2006/relationships/hyperlink" Target="https://twitter.com/TinaSmithMN/status/1322370777254141952" TargetMode="External"/><Relationship Id="rId118" Type="http://schemas.openxmlformats.org/officeDocument/2006/relationships/hyperlink" Target="https://twitter.com/TinaSmithMN/status/1320879775490211840" TargetMode="External"/><Relationship Id="rId325" Type="http://schemas.openxmlformats.org/officeDocument/2006/relationships/hyperlink" Target="https://twitter.com/TinaSmithMN/status/1313873785213390848" TargetMode="External"/><Relationship Id="rId171" Type="http://schemas.openxmlformats.org/officeDocument/2006/relationships/hyperlink" Target="https://twitter.com/TinaSmithMN/status/1319108893017018369" TargetMode="External"/><Relationship Id="rId227" Type="http://schemas.openxmlformats.org/officeDocument/2006/relationships/hyperlink" Target="https://twitter.com/TinaSmithMN/status/1317271410272837637" TargetMode="External"/><Relationship Id="rId269" Type="http://schemas.openxmlformats.org/officeDocument/2006/relationships/hyperlink" Target="https://twitter.com/TinaSmithMN/status/1316092588928176130" TargetMode="External"/><Relationship Id="rId33" Type="http://schemas.openxmlformats.org/officeDocument/2006/relationships/hyperlink" Target="https://twitter.com/TinaSmithMN/status/1323042559388721152" TargetMode="External"/><Relationship Id="rId129" Type="http://schemas.openxmlformats.org/officeDocument/2006/relationships/hyperlink" Target="https://twitter.com/TinaSmithMN/status/1320497579403235328" TargetMode="External"/><Relationship Id="rId280" Type="http://schemas.openxmlformats.org/officeDocument/2006/relationships/hyperlink" Target="https://twitter.com/TinaSmithMN/status/1315723290405744642" TargetMode="External"/><Relationship Id="rId336" Type="http://schemas.openxmlformats.org/officeDocument/2006/relationships/hyperlink" Target="https://twitter.com/TinaSmithMN/status/1313230336751538177" TargetMode="External"/><Relationship Id="rId75" Type="http://schemas.openxmlformats.org/officeDocument/2006/relationships/hyperlink" Target="https://twitter.com/TinaSmithMN/status/1322183516264845317" TargetMode="External"/><Relationship Id="rId140" Type="http://schemas.openxmlformats.org/officeDocument/2006/relationships/hyperlink" Target="https://twitter.com/TinaSmithMN/status/1320371929849757697" TargetMode="External"/><Relationship Id="rId182" Type="http://schemas.openxmlformats.org/officeDocument/2006/relationships/hyperlink" Target="https://twitter.com/TinaSmithMN/status/1318725308414152704" TargetMode="External"/><Relationship Id="rId6" Type="http://schemas.openxmlformats.org/officeDocument/2006/relationships/hyperlink" Target="https://twitter.com/TinaSmithMN/status/1323672635071516673" TargetMode="External"/><Relationship Id="rId238" Type="http://schemas.openxmlformats.org/officeDocument/2006/relationships/hyperlink" Target="https://twitter.com/TinaSmithMN/status/1316918064773025794" TargetMode="External"/><Relationship Id="rId291" Type="http://schemas.openxmlformats.org/officeDocument/2006/relationships/hyperlink" Target="https://twitter.com/TinaSmithMN/status/1315341370899521536" TargetMode="External"/><Relationship Id="rId305" Type="http://schemas.openxmlformats.org/officeDocument/2006/relationships/hyperlink" Target="https://twitter.com/TinaSmithMN/status/1314680125603151874" TargetMode="External"/><Relationship Id="rId347" Type="http://schemas.openxmlformats.org/officeDocument/2006/relationships/hyperlink" Target="https://twitter.com/TinaSmithMN/status/1312497458514030592" TargetMode="External"/><Relationship Id="rId44" Type="http://schemas.openxmlformats.org/officeDocument/2006/relationships/hyperlink" Target="https://twitter.com/TinaSmithMN/status/1322733331872665601" TargetMode="External"/><Relationship Id="rId86" Type="http://schemas.openxmlformats.org/officeDocument/2006/relationships/hyperlink" Target="https://twitter.com/TinaSmithMN/status/1321867750005002241" TargetMode="External"/><Relationship Id="rId151" Type="http://schemas.openxmlformats.org/officeDocument/2006/relationships/hyperlink" Target="https://twitter.com/TinaSmithMN/status/1320042333161869315" TargetMode="External"/><Relationship Id="rId193" Type="http://schemas.openxmlformats.org/officeDocument/2006/relationships/hyperlink" Target="https://twitter.com/TinaSmithMN/status/1318576339100852224" TargetMode="External"/><Relationship Id="rId207" Type="http://schemas.openxmlformats.org/officeDocument/2006/relationships/hyperlink" Target="https://twitter.com/TinaSmithMN/status/1317950053961637888" TargetMode="External"/><Relationship Id="rId249" Type="http://schemas.openxmlformats.org/officeDocument/2006/relationships/hyperlink" Target="https://twitter.com/TinaSmithMN/status/1316508965300310016" TargetMode="External"/><Relationship Id="rId13" Type="http://schemas.openxmlformats.org/officeDocument/2006/relationships/hyperlink" Target="https://twitter.com/TinaSmithMN/status/1323482652830294022" TargetMode="External"/><Relationship Id="rId109" Type="http://schemas.openxmlformats.org/officeDocument/2006/relationships/hyperlink" Target="https://twitter.com/TinaSmithMN/status/1321207055856840706" TargetMode="External"/><Relationship Id="rId260" Type="http://schemas.openxmlformats.org/officeDocument/2006/relationships/hyperlink" Target="https://twitter.com/TinaSmithMN/status/1316166110253850624" TargetMode="External"/><Relationship Id="rId316" Type="http://schemas.openxmlformats.org/officeDocument/2006/relationships/hyperlink" Target="https://twitter.com/TinaSmithMN/status/1314033980803633152" TargetMode="External"/><Relationship Id="rId55" Type="http://schemas.openxmlformats.org/officeDocument/2006/relationships/hyperlink" Target="https://twitter.com/TinaSmithMN/status/1322638367729868805" TargetMode="External"/><Relationship Id="rId97" Type="http://schemas.openxmlformats.org/officeDocument/2006/relationships/hyperlink" Target="https://twitter.com/TinaSmithMN/status/1321566859674767365" TargetMode="External"/><Relationship Id="rId120" Type="http://schemas.openxmlformats.org/officeDocument/2006/relationships/hyperlink" Target="https://twitter.com/TinaSmithMN/status/1320853504899112962" TargetMode="External"/><Relationship Id="rId162" Type="http://schemas.openxmlformats.org/officeDocument/2006/relationships/hyperlink" Target="https://twitter.com/TinaSmithMN/status/1319472156582006786" TargetMode="External"/><Relationship Id="rId218" Type="http://schemas.openxmlformats.org/officeDocument/2006/relationships/hyperlink" Target="https://twitter.com/TinaSmithMN/status/1317623783088410624" TargetMode="External"/><Relationship Id="rId271" Type="http://schemas.openxmlformats.org/officeDocument/2006/relationships/hyperlink" Target="https://twitter.com/TinaSmithMN/status/1315817843657711616" TargetMode="External"/><Relationship Id="rId24" Type="http://schemas.openxmlformats.org/officeDocument/2006/relationships/hyperlink" Target="https://twitter.com/TinaSmithMN/status/1323356652284891136" TargetMode="External"/><Relationship Id="rId66" Type="http://schemas.openxmlformats.org/officeDocument/2006/relationships/hyperlink" Target="https://twitter.com/TinaSmithMN/status/1322342313331466242" TargetMode="External"/><Relationship Id="rId131" Type="http://schemas.openxmlformats.org/officeDocument/2006/relationships/hyperlink" Target="https://twitter.com/TinaSmithMN/status/1320466030246977537" TargetMode="External"/><Relationship Id="rId327" Type="http://schemas.openxmlformats.org/officeDocument/2006/relationships/hyperlink" Target="https://twitter.com/TinaSmithMN/status/1313669664904548356" TargetMode="External"/><Relationship Id="rId173" Type="http://schemas.openxmlformats.org/officeDocument/2006/relationships/hyperlink" Target="https://twitter.com/TinaSmithMN/status/1319058651944976386" TargetMode="External"/><Relationship Id="rId229" Type="http://schemas.openxmlformats.org/officeDocument/2006/relationships/hyperlink" Target="https://twitter.com/TinaSmithMN/status/1317255607691431937" TargetMode="External"/><Relationship Id="rId240" Type="http://schemas.openxmlformats.org/officeDocument/2006/relationships/hyperlink" Target="https://twitter.com/TinaSmithMN/status/1316899721743634432" TargetMode="External"/><Relationship Id="rId35" Type="http://schemas.openxmlformats.org/officeDocument/2006/relationships/hyperlink" Target="https://twitter.com/TinaSmithMN/status/1323018842101239809" TargetMode="External"/><Relationship Id="rId77" Type="http://schemas.openxmlformats.org/officeDocument/2006/relationships/hyperlink" Target="https://twitter.com/TinaSmithMN/status/1322015646167818240" TargetMode="External"/><Relationship Id="rId100" Type="http://schemas.openxmlformats.org/officeDocument/2006/relationships/hyperlink" Target="https://twitter.com/TinaSmithMN/status/1321522596689682432" TargetMode="External"/><Relationship Id="rId282" Type="http://schemas.openxmlformats.org/officeDocument/2006/relationships/hyperlink" Target="https://twitter.com/TinaSmithMN/status/1315457562364518400" TargetMode="External"/><Relationship Id="rId338" Type="http://schemas.openxmlformats.org/officeDocument/2006/relationships/hyperlink" Target="https://twitter.com/TinaSmithMN/status/1313172105706565636" TargetMode="External"/><Relationship Id="rId8" Type="http://schemas.openxmlformats.org/officeDocument/2006/relationships/hyperlink" Target="https://twitter.com/TinaSmithMN/status/1323648784899997697" TargetMode="External"/><Relationship Id="rId142" Type="http://schemas.openxmlformats.org/officeDocument/2006/relationships/hyperlink" Target="https://twitter.com/TinaSmithMN/status/1320163001312399361" TargetMode="External"/><Relationship Id="rId184" Type="http://schemas.openxmlformats.org/officeDocument/2006/relationships/hyperlink" Target="https://twitter.com/TinaSmithMN/status/1318722042636783619"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twitter.com/LewisForMN/status/1317219674573123593" TargetMode="External"/><Relationship Id="rId21" Type="http://schemas.openxmlformats.org/officeDocument/2006/relationships/hyperlink" Target="https://twitter.com/LewisForMN/status/1312948269077729280" TargetMode="External"/><Relationship Id="rId63" Type="http://schemas.openxmlformats.org/officeDocument/2006/relationships/hyperlink" Target="https://twitter.com/LewisForMN/status/1315306997114376192" TargetMode="External"/><Relationship Id="rId159" Type="http://schemas.openxmlformats.org/officeDocument/2006/relationships/hyperlink" Target="https://twitter.com/LewisForMN/status/1319397096638861319" TargetMode="External"/><Relationship Id="rId170" Type="http://schemas.openxmlformats.org/officeDocument/2006/relationships/hyperlink" Target="https://twitter.com/LewisForMN/status/1319468014153117697" TargetMode="External"/><Relationship Id="rId226" Type="http://schemas.openxmlformats.org/officeDocument/2006/relationships/hyperlink" Target="https://twitter.com/LewisForMN/status/1321669719523512321" TargetMode="External"/><Relationship Id="rId268" Type="http://schemas.openxmlformats.org/officeDocument/2006/relationships/hyperlink" Target="https://twitter.com/LewisForMN/status/1323248497076875264" TargetMode="External"/><Relationship Id="rId32" Type="http://schemas.openxmlformats.org/officeDocument/2006/relationships/hyperlink" Target="https://twitter.com/LewisForMN/status/1313303863135477760" TargetMode="External"/><Relationship Id="rId74" Type="http://schemas.openxmlformats.org/officeDocument/2006/relationships/hyperlink" Target="https://twitter.com/LewisForMN/status/1315741681275240448" TargetMode="External"/><Relationship Id="rId128" Type="http://schemas.openxmlformats.org/officeDocument/2006/relationships/hyperlink" Target="https://twitter.com/LewisForMN/status/1318278524139196416" TargetMode="External"/><Relationship Id="rId5" Type="http://schemas.openxmlformats.org/officeDocument/2006/relationships/hyperlink" Target="https://twitter.com/LewisForMN/status/1312450321134743552" TargetMode="External"/><Relationship Id="rId181" Type="http://schemas.openxmlformats.org/officeDocument/2006/relationships/hyperlink" Target="https://twitter.com/LewisForMN/status/1319745707012726790" TargetMode="External"/><Relationship Id="rId237" Type="http://schemas.openxmlformats.org/officeDocument/2006/relationships/hyperlink" Target="https://twitter.com/LewisForMN/status/1321974154044821507" TargetMode="External"/><Relationship Id="rId279" Type="http://schemas.openxmlformats.org/officeDocument/2006/relationships/hyperlink" Target="https://twitter.com/LewisForMN/status/1323618320067813381" TargetMode="External"/><Relationship Id="rId43" Type="http://schemas.openxmlformats.org/officeDocument/2006/relationships/hyperlink" Target="https://twitter.com/LewisForMN/status/1313987882248540160" TargetMode="External"/><Relationship Id="rId139" Type="http://schemas.openxmlformats.org/officeDocument/2006/relationships/hyperlink" Target="https://twitter.com/LewisForMN/status/1318943612483309573" TargetMode="External"/><Relationship Id="rId85" Type="http://schemas.openxmlformats.org/officeDocument/2006/relationships/hyperlink" Target="https://twitter.com/LewisForMN/status/1316109717886861314" TargetMode="External"/><Relationship Id="rId150" Type="http://schemas.openxmlformats.org/officeDocument/2006/relationships/hyperlink" Target="https://twitter.com/LewisForMN/status/1319112425640239107" TargetMode="External"/><Relationship Id="rId171" Type="http://schemas.openxmlformats.org/officeDocument/2006/relationships/hyperlink" Target="https://twitter.com/LewisForMN/status/1319468706171334658" TargetMode="External"/><Relationship Id="rId192" Type="http://schemas.openxmlformats.org/officeDocument/2006/relationships/hyperlink" Target="https://twitter.com/LewisForMN/status/1320139716101083137" TargetMode="External"/><Relationship Id="rId206" Type="http://schemas.openxmlformats.org/officeDocument/2006/relationships/hyperlink" Target="https://twitter.com/LewisForMN/status/1320915304961236992" TargetMode="External"/><Relationship Id="rId227" Type="http://schemas.openxmlformats.org/officeDocument/2006/relationships/hyperlink" Target="https://twitter.com/LewisForMN/status/1321815478482984961" TargetMode="External"/><Relationship Id="rId248" Type="http://schemas.openxmlformats.org/officeDocument/2006/relationships/hyperlink" Target="https://twitter.com/LewisForMN/status/1322381949982396421" TargetMode="External"/><Relationship Id="rId269" Type="http://schemas.openxmlformats.org/officeDocument/2006/relationships/hyperlink" Target="https://twitter.com/LewisForMN/status/1323263595837358080" TargetMode="External"/><Relationship Id="rId12" Type="http://schemas.openxmlformats.org/officeDocument/2006/relationships/hyperlink" Target="https://twitter.com/LewisForMN/status/1312595336993660928" TargetMode="External"/><Relationship Id="rId33" Type="http://schemas.openxmlformats.org/officeDocument/2006/relationships/hyperlink" Target="https://twitter.com/LewisForMN/status/1313510564426063873" TargetMode="External"/><Relationship Id="rId108" Type="http://schemas.openxmlformats.org/officeDocument/2006/relationships/hyperlink" Target="https://twitter.com/LewisForMN/status/1316908142731710467" TargetMode="External"/><Relationship Id="rId129" Type="http://schemas.openxmlformats.org/officeDocument/2006/relationships/hyperlink" Target="https://twitter.com/LewisForMN/status/1318337885389656064" TargetMode="External"/><Relationship Id="rId280" Type="http://schemas.openxmlformats.org/officeDocument/2006/relationships/hyperlink" Target="https://twitter.com/LewisForMN/status/1323637039468814336" TargetMode="External"/><Relationship Id="rId54" Type="http://schemas.openxmlformats.org/officeDocument/2006/relationships/hyperlink" Target="https://twitter.com/LewisForMN/status/1314619471093432324" TargetMode="External"/><Relationship Id="rId75" Type="http://schemas.openxmlformats.org/officeDocument/2006/relationships/hyperlink" Target="https://twitter.com/LewisForMN/status/1315768280288833536" TargetMode="External"/><Relationship Id="rId96" Type="http://schemas.openxmlformats.org/officeDocument/2006/relationships/hyperlink" Target="https://twitter.com/LewisForMN/status/1316763343152181249" TargetMode="External"/><Relationship Id="rId140" Type="http://schemas.openxmlformats.org/officeDocument/2006/relationships/hyperlink" Target="https://twitter.com/LewisForMN/status/1318965720521314305" TargetMode="External"/><Relationship Id="rId161" Type="http://schemas.openxmlformats.org/officeDocument/2006/relationships/hyperlink" Target="https://twitter.com/LewisForMN/status/1319415670778531841" TargetMode="External"/><Relationship Id="rId182" Type="http://schemas.openxmlformats.org/officeDocument/2006/relationships/hyperlink" Target="https://twitter.com/LewisForMN/status/1319771791242518534" TargetMode="External"/><Relationship Id="rId217" Type="http://schemas.openxmlformats.org/officeDocument/2006/relationships/hyperlink" Target="https://twitter.com/LewisForMN/status/1321281730716733440" TargetMode="External"/><Relationship Id="rId6" Type="http://schemas.openxmlformats.org/officeDocument/2006/relationships/hyperlink" Target="https://twitter.com/LewisForMN/status/1312450413426143232" TargetMode="External"/><Relationship Id="rId238" Type="http://schemas.openxmlformats.org/officeDocument/2006/relationships/hyperlink" Target="https://twitter.com/LewisForMN/status/1322019436061204481" TargetMode="External"/><Relationship Id="rId259" Type="http://schemas.openxmlformats.org/officeDocument/2006/relationships/hyperlink" Target="https://twitter.com/LewisForMN/status/1322991750227648512" TargetMode="External"/><Relationship Id="rId23" Type="http://schemas.openxmlformats.org/officeDocument/2006/relationships/hyperlink" Target="https://twitter.com/LewisForMN/status/1313116004604674051" TargetMode="External"/><Relationship Id="rId119" Type="http://schemas.openxmlformats.org/officeDocument/2006/relationships/hyperlink" Target="https://twitter.com/LewisForMN/status/1317307998293905409" TargetMode="External"/><Relationship Id="rId270" Type="http://schemas.openxmlformats.org/officeDocument/2006/relationships/hyperlink" Target="https://twitter.com/LewisForMN/status/1323277234740830211" TargetMode="External"/><Relationship Id="rId44" Type="http://schemas.openxmlformats.org/officeDocument/2006/relationships/hyperlink" Target="https://twitter.com/LewisForMN/status/1314023466723684352" TargetMode="External"/><Relationship Id="rId65" Type="http://schemas.openxmlformats.org/officeDocument/2006/relationships/hyperlink" Target="https://twitter.com/LewisForMN/status/1315365656360095744" TargetMode="External"/><Relationship Id="rId86" Type="http://schemas.openxmlformats.org/officeDocument/2006/relationships/hyperlink" Target="https://twitter.com/LewisForMN/status/1316193246566113286" TargetMode="External"/><Relationship Id="rId130" Type="http://schemas.openxmlformats.org/officeDocument/2006/relationships/hyperlink" Target="https://twitter.com/LewisForMN/status/1318361232760504320" TargetMode="External"/><Relationship Id="rId151" Type="http://schemas.openxmlformats.org/officeDocument/2006/relationships/hyperlink" Target="https://twitter.com/LewisForMN/status/1319113565773627393" TargetMode="External"/><Relationship Id="rId172" Type="http://schemas.openxmlformats.org/officeDocument/2006/relationships/hyperlink" Target="https://twitter.com/LewisForMN/status/1319472826584387584" TargetMode="External"/><Relationship Id="rId193" Type="http://schemas.openxmlformats.org/officeDocument/2006/relationships/hyperlink" Target="https://twitter.com/LewisForMN/status/1320148542749552641" TargetMode="External"/><Relationship Id="rId207" Type="http://schemas.openxmlformats.org/officeDocument/2006/relationships/hyperlink" Target="https://twitter.com/LewisForMN/status/1320936981644349440" TargetMode="External"/><Relationship Id="rId228" Type="http://schemas.openxmlformats.org/officeDocument/2006/relationships/hyperlink" Target="https://twitter.com/LewisForMN/status/1321862624909402117" TargetMode="External"/><Relationship Id="rId249" Type="http://schemas.openxmlformats.org/officeDocument/2006/relationships/hyperlink" Target="https://twitter.com/LewisForMN/status/1322396619271294976" TargetMode="External"/><Relationship Id="rId13" Type="http://schemas.openxmlformats.org/officeDocument/2006/relationships/hyperlink" Target="https://twitter.com/LewisForMN/status/1312823108903071746" TargetMode="External"/><Relationship Id="rId109" Type="http://schemas.openxmlformats.org/officeDocument/2006/relationships/hyperlink" Target="https://twitter.com/LewisForMN/status/1316909336707407872" TargetMode="External"/><Relationship Id="rId260" Type="http://schemas.openxmlformats.org/officeDocument/2006/relationships/hyperlink" Target="https://twitter.com/LewisForMN/status/1323005726084734977" TargetMode="External"/><Relationship Id="rId281" Type="http://schemas.openxmlformats.org/officeDocument/2006/relationships/hyperlink" Target="https://twitter.com/LewisForMN/status/1323670924395188224" TargetMode="External"/><Relationship Id="rId34" Type="http://schemas.openxmlformats.org/officeDocument/2006/relationships/hyperlink" Target="https://twitter.com/LewisForMN/status/1313522804843835393" TargetMode="External"/><Relationship Id="rId55" Type="http://schemas.openxmlformats.org/officeDocument/2006/relationships/hyperlink" Target="https://twitter.com/LewisForMN/status/1314667659544473600" TargetMode="External"/><Relationship Id="rId76" Type="http://schemas.openxmlformats.org/officeDocument/2006/relationships/hyperlink" Target="https://twitter.com/LewisForMN/status/1315779019741298688" TargetMode="External"/><Relationship Id="rId97" Type="http://schemas.openxmlformats.org/officeDocument/2006/relationships/hyperlink" Target="https://twitter.com/LewisForMN/status/1316775862306562048" TargetMode="External"/><Relationship Id="rId120" Type="http://schemas.openxmlformats.org/officeDocument/2006/relationships/hyperlink" Target="https://twitter.com/LewisForMN/status/1317321790834626560" TargetMode="External"/><Relationship Id="rId141" Type="http://schemas.openxmlformats.org/officeDocument/2006/relationships/hyperlink" Target="https://twitter.com/LewisForMN/status/1318979427536113664" TargetMode="External"/><Relationship Id="rId7" Type="http://schemas.openxmlformats.org/officeDocument/2006/relationships/hyperlink" Target="https://twitter.com/LewisForMN/status/1312465570906791937" TargetMode="External"/><Relationship Id="rId162" Type="http://schemas.openxmlformats.org/officeDocument/2006/relationships/hyperlink" Target="https://twitter.com/LewisForMN/status/1319430320488435713" TargetMode="External"/><Relationship Id="rId183" Type="http://schemas.openxmlformats.org/officeDocument/2006/relationships/hyperlink" Target="https://twitter.com/LewisForMN/status/1319787075458183171" TargetMode="External"/><Relationship Id="rId218" Type="http://schemas.openxmlformats.org/officeDocument/2006/relationships/hyperlink" Target="https://twitter.com/LewisForMN/status/1321291947349286913" TargetMode="External"/><Relationship Id="rId239" Type="http://schemas.openxmlformats.org/officeDocument/2006/relationships/hyperlink" Target="https://twitter.com/LewisForMN/status/1322027353581694976" TargetMode="External"/><Relationship Id="rId250" Type="http://schemas.openxmlformats.org/officeDocument/2006/relationships/hyperlink" Target="https://twitter.com/LewisForMN/status/1322562728549077000" TargetMode="External"/><Relationship Id="rId271" Type="http://schemas.openxmlformats.org/officeDocument/2006/relationships/hyperlink" Target="https://twitter.com/LewisForMN/status/1323297770317484032" TargetMode="External"/><Relationship Id="rId24" Type="http://schemas.openxmlformats.org/officeDocument/2006/relationships/hyperlink" Target="https://twitter.com/LewisForMN/status/1313174944604393472" TargetMode="External"/><Relationship Id="rId45" Type="http://schemas.openxmlformats.org/officeDocument/2006/relationships/hyperlink" Target="https://twitter.com/LewisForMN/status/1314027736902631427" TargetMode="External"/><Relationship Id="rId66" Type="http://schemas.openxmlformats.org/officeDocument/2006/relationships/hyperlink" Target="https://twitter.com/LewisForMN/status/1315384172014440450" TargetMode="External"/><Relationship Id="rId87" Type="http://schemas.openxmlformats.org/officeDocument/2006/relationships/hyperlink" Target="https://twitter.com/LewisForMN/status/1316221885584207873" TargetMode="External"/><Relationship Id="rId110" Type="http://schemas.openxmlformats.org/officeDocument/2006/relationships/hyperlink" Target="https://twitter.com/LewisForMN/status/1316911339483312128" TargetMode="External"/><Relationship Id="rId131" Type="http://schemas.openxmlformats.org/officeDocument/2006/relationships/hyperlink" Target="https://twitter.com/LewisForMN/status/1318362393819435009" TargetMode="External"/><Relationship Id="rId152" Type="http://schemas.openxmlformats.org/officeDocument/2006/relationships/hyperlink" Target="https://twitter.com/LewisForMN/status/1319125528276881408" TargetMode="External"/><Relationship Id="rId173" Type="http://schemas.openxmlformats.org/officeDocument/2006/relationships/hyperlink" Target="https://twitter.com/LewisForMN/status/1319639546401783810" TargetMode="External"/><Relationship Id="rId194" Type="http://schemas.openxmlformats.org/officeDocument/2006/relationships/hyperlink" Target="https://twitter.com/LewisForMN/status/1320184305813958658" TargetMode="External"/><Relationship Id="rId208" Type="http://schemas.openxmlformats.org/officeDocument/2006/relationships/hyperlink" Target="https://twitter.com/LewisForMN/status/1320937020366180353" TargetMode="External"/><Relationship Id="rId229" Type="http://schemas.openxmlformats.org/officeDocument/2006/relationships/hyperlink" Target="https://twitter.com/LewisForMN/status/1321874619784175618" TargetMode="External"/><Relationship Id="rId240" Type="http://schemas.openxmlformats.org/officeDocument/2006/relationships/hyperlink" Target="https://twitter.com/LewisForMN/status/1322178122209464325" TargetMode="External"/><Relationship Id="rId261" Type="http://schemas.openxmlformats.org/officeDocument/2006/relationships/hyperlink" Target="https://twitter.com/LewisForMN/status/1323034926728564736" TargetMode="External"/><Relationship Id="rId14" Type="http://schemas.openxmlformats.org/officeDocument/2006/relationships/hyperlink" Target="https://twitter.com/LewisForMN/status/1312854140226338816" TargetMode="External"/><Relationship Id="rId35" Type="http://schemas.openxmlformats.org/officeDocument/2006/relationships/hyperlink" Target="https://twitter.com/LewisForMN/status/1313558765623488513" TargetMode="External"/><Relationship Id="rId56" Type="http://schemas.openxmlformats.org/officeDocument/2006/relationships/hyperlink" Target="https://twitter.com/LewisForMN/status/1314689917432352768" TargetMode="External"/><Relationship Id="rId77" Type="http://schemas.openxmlformats.org/officeDocument/2006/relationships/hyperlink" Target="https://twitter.com/LewisForMN/status/1315795471387029504" TargetMode="External"/><Relationship Id="rId100" Type="http://schemas.openxmlformats.org/officeDocument/2006/relationships/hyperlink" Target="https://twitter.com/LewisForMN/status/1316810480359530497" TargetMode="External"/><Relationship Id="rId282" Type="http://schemas.openxmlformats.org/officeDocument/2006/relationships/hyperlink" Target="https://twitter.com/LewisForMN/status/1323683163667877890" TargetMode="External"/><Relationship Id="rId8" Type="http://schemas.openxmlformats.org/officeDocument/2006/relationships/hyperlink" Target="https://twitter.com/LewisForMN/status/1312496428573310978" TargetMode="External"/><Relationship Id="rId98" Type="http://schemas.openxmlformats.org/officeDocument/2006/relationships/hyperlink" Target="https://twitter.com/LewisForMN/status/1316798952180781056" TargetMode="External"/><Relationship Id="rId121" Type="http://schemas.openxmlformats.org/officeDocument/2006/relationships/hyperlink" Target="https://twitter.com/LewisForMN/status/1317513264897687552" TargetMode="External"/><Relationship Id="rId142" Type="http://schemas.openxmlformats.org/officeDocument/2006/relationships/hyperlink" Target="https://twitter.com/LewisForMN/status/1318986998456197128" TargetMode="External"/><Relationship Id="rId163" Type="http://schemas.openxmlformats.org/officeDocument/2006/relationships/hyperlink" Target="https://twitter.com/LewisForMN/status/1319448612397633538" TargetMode="External"/><Relationship Id="rId184" Type="http://schemas.openxmlformats.org/officeDocument/2006/relationships/hyperlink" Target="https://twitter.com/LewisForMN/status/1319798522779152387" TargetMode="External"/><Relationship Id="rId219" Type="http://schemas.openxmlformats.org/officeDocument/2006/relationships/hyperlink" Target="https://twitter.com/LewisForMN/status/1321446734892027905" TargetMode="External"/><Relationship Id="rId230" Type="http://schemas.openxmlformats.org/officeDocument/2006/relationships/hyperlink" Target="https://twitter.com/LewisForMN/status/1321894791056076805" TargetMode="External"/><Relationship Id="rId251" Type="http://schemas.openxmlformats.org/officeDocument/2006/relationships/hyperlink" Target="https://twitter.com/LewisForMN/status/1322607134618624000" TargetMode="External"/><Relationship Id="rId25" Type="http://schemas.openxmlformats.org/officeDocument/2006/relationships/hyperlink" Target="https://twitter.com/LewisForMN/status/1313184532741357578" TargetMode="External"/><Relationship Id="rId46" Type="http://schemas.openxmlformats.org/officeDocument/2006/relationships/hyperlink" Target="https://twitter.com/LewisForMN/status/1314029296923693057" TargetMode="External"/><Relationship Id="rId67" Type="http://schemas.openxmlformats.org/officeDocument/2006/relationships/hyperlink" Target="https://twitter.com/LewisForMN/status/1315391029693026305" TargetMode="External"/><Relationship Id="rId272" Type="http://schemas.openxmlformats.org/officeDocument/2006/relationships/hyperlink" Target="https://twitter.com/LewisForMN/status/1323323995052232710" TargetMode="External"/><Relationship Id="rId88" Type="http://schemas.openxmlformats.org/officeDocument/2006/relationships/hyperlink" Target="https://twitter.com/LewisForMN/status/1316395417194704896" TargetMode="External"/><Relationship Id="rId111" Type="http://schemas.openxmlformats.org/officeDocument/2006/relationships/hyperlink" Target="https://twitter.com/LewisForMN/status/1317099217274478593" TargetMode="External"/><Relationship Id="rId132" Type="http://schemas.openxmlformats.org/officeDocument/2006/relationships/hyperlink" Target="https://twitter.com/LewisForMN/status/1318576271748726784" TargetMode="External"/><Relationship Id="rId153" Type="http://schemas.openxmlformats.org/officeDocument/2006/relationships/hyperlink" Target="https://twitter.com/LewisForMN/status/1319288600626774019" TargetMode="External"/><Relationship Id="rId174" Type="http://schemas.openxmlformats.org/officeDocument/2006/relationships/hyperlink" Target="https://twitter.com/LewisForMN/status/1319660550100484096" TargetMode="External"/><Relationship Id="rId195" Type="http://schemas.openxmlformats.org/officeDocument/2006/relationships/hyperlink" Target="https://twitter.com/LewisForMN/status/1320402024501043201" TargetMode="External"/><Relationship Id="rId209" Type="http://schemas.openxmlformats.org/officeDocument/2006/relationships/hyperlink" Target="https://twitter.com/LewisForMN/status/1321084155946565633" TargetMode="External"/><Relationship Id="rId220" Type="http://schemas.openxmlformats.org/officeDocument/2006/relationships/hyperlink" Target="https://twitter.com/LewisForMN/status/1321475988094595072" TargetMode="External"/><Relationship Id="rId241" Type="http://schemas.openxmlformats.org/officeDocument/2006/relationships/hyperlink" Target="https://twitter.com/LewisForMN/status/1322193699258982400" TargetMode="External"/><Relationship Id="rId15" Type="http://schemas.openxmlformats.org/officeDocument/2006/relationships/hyperlink" Target="https://twitter.com/LewisForMN/status/1312872600050302981" TargetMode="External"/><Relationship Id="rId36" Type="http://schemas.openxmlformats.org/officeDocument/2006/relationships/hyperlink" Target="https://twitter.com/LewisForMN/status/1313584941125509122" TargetMode="External"/><Relationship Id="rId57" Type="http://schemas.openxmlformats.org/officeDocument/2006/relationships/hyperlink" Target="https://twitter.com/LewisForMN/status/1314724137001156610" TargetMode="External"/><Relationship Id="rId262" Type="http://schemas.openxmlformats.org/officeDocument/2006/relationships/hyperlink" Target="https://twitter.com/LewisForMN/status/1323045654747336704" TargetMode="External"/><Relationship Id="rId283" Type="http://schemas.openxmlformats.org/officeDocument/2006/relationships/hyperlink" Target="https://twitter.com/LewisForMN/status/1323690356316250114" TargetMode="External"/><Relationship Id="rId78" Type="http://schemas.openxmlformats.org/officeDocument/2006/relationships/hyperlink" Target="https://twitter.com/LewisForMN/status/1315796942690168832" TargetMode="External"/><Relationship Id="rId99" Type="http://schemas.openxmlformats.org/officeDocument/2006/relationships/hyperlink" Target="https://twitter.com/LewisForMN/status/1316802844494888961" TargetMode="External"/><Relationship Id="rId101" Type="http://schemas.openxmlformats.org/officeDocument/2006/relationships/hyperlink" Target="https://twitter.com/LewisForMN/status/1316822129078398983" TargetMode="External"/><Relationship Id="rId122" Type="http://schemas.openxmlformats.org/officeDocument/2006/relationships/hyperlink" Target="https://twitter.com/LewisForMN/status/1317558093627228160" TargetMode="External"/><Relationship Id="rId143" Type="http://schemas.openxmlformats.org/officeDocument/2006/relationships/hyperlink" Target="https://twitter.com/LewisForMN/status/1318988238133088257" TargetMode="External"/><Relationship Id="rId164" Type="http://schemas.openxmlformats.org/officeDocument/2006/relationships/hyperlink" Target="https://twitter.com/LewisForMN/status/1319449075113250817" TargetMode="External"/><Relationship Id="rId185" Type="http://schemas.openxmlformats.org/officeDocument/2006/relationships/hyperlink" Target="https://twitter.com/LewisForMN/status/1319825722194743296" TargetMode="External"/><Relationship Id="rId9" Type="http://schemas.openxmlformats.org/officeDocument/2006/relationships/hyperlink" Target="https://twitter.com/LewisForMN/status/1312504334081388545" TargetMode="External"/><Relationship Id="rId210" Type="http://schemas.openxmlformats.org/officeDocument/2006/relationships/hyperlink" Target="https://twitter.com/LewisForMN/status/1321144852634107904" TargetMode="External"/><Relationship Id="rId26" Type="http://schemas.openxmlformats.org/officeDocument/2006/relationships/hyperlink" Target="https://twitter.com/LewisForMN/status/1313190728496013318" TargetMode="External"/><Relationship Id="rId231" Type="http://schemas.openxmlformats.org/officeDocument/2006/relationships/hyperlink" Target="https://twitter.com/LewisForMN/status/1321906129409069064" TargetMode="External"/><Relationship Id="rId252" Type="http://schemas.openxmlformats.org/officeDocument/2006/relationships/hyperlink" Target="https://twitter.com/LewisForMN/status/1322628239702036487" TargetMode="External"/><Relationship Id="rId273" Type="http://schemas.openxmlformats.org/officeDocument/2006/relationships/hyperlink" Target="https://twitter.com/LewisForMN/status/1323330861853483008" TargetMode="External"/><Relationship Id="rId47" Type="http://schemas.openxmlformats.org/officeDocument/2006/relationships/hyperlink" Target="https://twitter.com/LewisForMN/status/1314030666942763013" TargetMode="External"/><Relationship Id="rId68" Type="http://schemas.openxmlformats.org/officeDocument/2006/relationships/hyperlink" Target="https://twitter.com/LewisForMN/status/1315412333477400576" TargetMode="External"/><Relationship Id="rId89" Type="http://schemas.openxmlformats.org/officeDocument/2006/relationships/hyperlink" Target="https://twitter.com/LewisForMN/status/1316415910618562562" TargetMode="External"/><Relationship Id="rId112" Type="http://schemas.openxmlformats.org/officeDocument/2006/relationships/hyperlink" Target="https://twitter.com/LewisForMN/status/1317109814397407234" TargetMode="External"/><Relationship Id="rId133" Type="http://schemas.openxmlformats.org/officeDocument/2006/relationships/hyperlink" Target="https://twitter.com/LewisForMN/status/1318610363160666117" TargetMode="External"/><Relationship Id="rId154" Type="http://schemas.openxmlformats.org/officeDocument/2006/relationships/hyperlink" Target="https://twitter.com/LewisForMN/status/1319307811910811648" TargetMode="External"/><Relationship Id="rId175" Type="http://schemas.openxmlformats.org/officeDocument/2006/relationships/hyperlink" Target="https://twitter.com/LewisForMN/status/1319661436977676290" TargetMode="External"/><Relationship Id="rId196" Type="http://schemas.openxmlformats.org/officeDocument/2006/relationships/hyperlink" Target="https://twitter.com/LewisForMN/status/1320444291676839938" TargetMode="External"/><Relationship Id="rId200" Type="http://schemas.openxmlformats.org/officeDocument/2006/relationships/hyperlink" Target="https://twitter.com/LewisForMN/status/1320789813797289986" TargetMode="External"/><Relationship Id="rId16" Type="http://schemas.openxmlformats.org/officeDocument/2006/relationships/hyperlink" Target="https://twitter.com/LewisForMN/status/1312891504940191751" TargetMode="External"/><Relationship Id="rId221" Type="http://schemas.openxmlformats.org/officeDocument/2006/relationships/hyperlink" Target="https://twitter.com/LewisForMN/status/1321531413875855361" TargetMode="External"/><Relationship Id="rId242" Type="http://schemas.openxmlformats.org/officeDocument/2006/relationships/hyperlink" Target="https://twitter.com/LewisForMN/status/1322203013923119106" TargetMode="External"/><Relationship Id="rId263" Type="http://schemas.openxmlformats.org/officeDocument/2006/relationships/hyperlink" Target="https://twitter.com/LewisForMN/status/1323069840362491909" TargetMode="External"/><Relationship Id="rId284" Type="http://schemas.openxmlformats.org/officeDocument/2006/relationships/hyperlink" Target="https://twitter.com/LewisForMN/status/1323711251751538691" TargetMode="External"/><Relationship Id="rId37" Type="http://schemas.openxmlformats.org/officeDocument/2006/relationships/hyperlink" Target="https://twitter.com/LewisForMN/status/1313600682134511617" TargetMode="External"/><Relationship Id="rId58" Type="http://schemas.openxmlformats.org/officeDocument/2006/relationships/hyperlink" Target="https://twitter.com/LewisForMN/status/1314977296718200832" TargetMode="External"/><Relationship Id="rId79" Type="http://schemas.openxmlformats.org/officeDocument/2006/relationships/hyperlink" Target="https://twitter.com/LewisForMN/status/1315807816872062977" TargetMode="External"/><Relationship Id="rId102" Type="http://schemas.openxmlformats.org/officeDocument/2006/relationships/hyperlink" Target="https://twitter.com/LewisForMN/status/1316826547656024064" TargetMode="External"/><Relationship Id="rId123" Type="http://schemas.openxmlformats.org/officeDocument/2006/relationships/hyperlink" Target="https://twitter.com/LewisForMN/status/1317603194126635017" TargetMode="External"/><Relationship Id="rId144" Type="http://schemas.openxmlformats.org/officeDocument/2006/relationships/hyperlink" Target="https://twitter.com/LewisForMN/status/1319008761869205507" TargetMode="External"/><Relationship Id="rId90" Type="http://schemas.openxmlformats.org/officeDocument/2006/relationships/hyperlink" Target="https://twitter.com/LewisForMN/status/1316438903692431360" TargetMode="External"/><Relationship Id="rId165" Type="http://schemas.openxmlformats.org/officeDocument/2006/relationships/hyperlink" Target="https://twitter.com/LewisForMN/status/1319458020804468736" TargetMode="External"/><Relationship Id="rId186" Type="http://schemas.openxmlformats.org/officeDocument/2006/relationships/hyperlink" Target="https://twitter.com/LewisForMN/status/1319853225173000193" TargetMode="External"/><Relationship Id="rId211" Type="http://schemas.openxmlformats.org/officeDocument/2006/relationships/hyperlink" Target="https://twitter.com/LewisForMN/status/1321175906451423233" TargetMode="External"/><Relationship Id="rId232" Type="http://schemas.openxmlformats.org/officeDocument/2006/relationships/hyperlink" Target="https://twitter.com/LewisForMN/status/1321921271135875072" TargetMode="External"/><Relationship Id="rId253" Type="http://schemas.openxmlformats.org/officeDocument/2006/relationships/hyperlink" Target="https://twitter.com/LewisForMN/status/1322635375328825347" TargetMode="External"/><Relationship Id="rId274" Type="http://schemas.openxmlformats.org/officeDocument/2006/relationships/hyperlink" Target="https://twitter.com/LewisForMN/status/1323372759523696640" TargetMode="External"/><Relationship Id="rId27" Type="http://schemas.openxmlformats.org/officeDocument/2006/relationships/hyperlink" Target="https://twitter.com/LewisForMN/status/1313200991827881985" TargetMode="External"/><Relationship Id="rId48" Type="http://schemas.openxmlformats.org/officeDocument/2006/relationships/hyperlink" Target="https://twitter.com/LewisForMN/status/1314032553695891457" TargetMode="External"/><Relationship Id="rId69" Type="http://schemas.openxmlformats.org/officeDocument/2006/relationships/hyperlink" Target="https://twitter.com/LewisForMN/status/1315468470625206272" TargetMode="External"/><Relationship Id="rId113" Type="http://schemas.openxmlformats.org/officeDocument/2006/relationships/hyperlink" Target="https://twitter.com/LewisForMN/status/1317126610169061380" TargetMode="External"/><Relationship Id="rId134" Type="http://schemas.openxmlformats.org/officeDocument/2006/relationships/hyperlink" Target="https://twitter.com/LewisForMN/status/1318663675809570816" TargetMode="External"/><Relationship Id="rId80" Type="http://schemas.openxmlformats.org/officeDocument/2006/relationships/hyperlink" Target="https://twitter.com/LewisForMN/status/1315836682281910273" TargetMode="External"/><Relationship Id="rId155" Type="http://schemas.openxmlformats.org/officeDocument/2006/relationships/hyperlink" Target="https://twitter.com/LewisForMN/status/1319329454712291328" TargetMode="External"/><Relationship Id="rId176" Type="http://schemas.openxmlformats.org/officeDocument/2006/relationships/hyperlink" Target="https://twitter.com/LewisForMN/status/1319679665544613890" TargetMode="External"/><Relationship Id="rId197" Type="http://schemas.openxmlformats.org/officeDocument/2006/relationships/hyperlink" Target="https://twitter.com/LewisForMN/status/1320477651363110917" TargetMode="External"/><Relationship Id="rId201" Type="http://schemas.openxmlformats.org/officeDocument/2006/relationships/hyperlink" Target="https://twitter.com/LewisForMN/status/1320830175236526080" TargetMode="External"/><Relationship Id="rId222" Type="http://schemas.openxmlformats.org/officeDocument/2006/relationships/hyperlink" Target="https://twitter.com/LewisForMN/status/1321538322876026883" TargetMode="External"/><Relationship Id="rId243" Type="http://schemas.openxmlformats.org/officeDocument/2006/relationships/hyperlink" Target="https://twitter.com/LewisForMN/status/1322222459756679168" TargetMode="External"/><Relationship Id="rId264" Type="http://schemas.openxmlformats.org/officeDocument/2006/relationships/hyperlink" Target="https://twitter.com/LewisForMN/status/1323087060186648577" TargetMode="External"/><Relationship Id="rId285" Type="http://schemas.openxmlformats.org/officeDocument/2006/relationships/hyperlink" Target="https://twitter.com/LewisForMN/status/1323725438942908420" TargetMode="External"/><Relationship Id="rId17" Type="http://schemas.openxmlformats.org/officeDocument/2006/relationships/hyperlink" Target="https://twitter.com/LewisForMN/status/1312893518923390978" TargetMode="External"/><Relationship Id="rId38" Type="http://schemas.openxmlformats.org/officeDocument/2006/relationships/hyperlink" Target="https://twitter.com/LewisForMN/status/1313621437916291072" TargetMode="External"/><Relationship Id="rId59" Type="http://schemas.openxmlformats.org/officeDocument/2006/relationships/hyperlink" Target="https://twitter.com/LewisForMN/status/1314993481643950080" TargetMode="External"/><Relationship Id="rId103" Type="http://schemas.openxmlformats.org/officeDocument/2006/relationships/hyperlink" Target="https://twitter.com/LewisForMN/status/1316830635139489793" TargetMode="External"/><Relationship Id="rId124" Type="http://schemas.openxmlformats.org/officeDocument/2006/relationships/hyperlink" Target="https://twitter.com/LewisForMN/status/1317918661919805440" TargetMode="External"/><Relationship Id="rId70" Type="http://schemas.openxmlformats.org/officeDocument/2006/relationships/hyperlink" Target="https://twitter.com/LewisForMN/status/1315484104083877894" TargetMode="External"/><Relationship Id="rId91" Type="http://schemas.openxmlformats.org/officeDocument/2006/relationships/hyperlink" Target="https://twitter.com/LewisForMN/status/1316447867482103808" TargetMode="External"/><Relationship Id="rId145" Type="http://schemas.openxmlformats.org/officeDocument/2006/relationships/hyperlink" Target="https://twitter.com/LewisForMN/status/1319016035496955904" TargetMode="External"/><Relationship Id="rId166" Type="http://schemas.openxmlformats.org/officeDocument/2006/relationships/hyperlink" Target="https://twitter.com/LewisForMN/status/1319459740569710592" TargetMode="External"/><Relationship Id="rId187" Type="http://schemas.openxmlformats.org/officeDocument/2006/relationships/hyperlink" Target="https://twitter.com/LewisForMN/status/1320034266143707136" TargetMode="External"/><Relationship Id="rId1" Type="http://schemas.openxmlformats.org/officeDocument/2006/relationships/hyperlink" Target="https://twitter.com/LewisForMN/status/1312195232738373634" TargetMode="External"/><Relationship Id="rId212" Type="http://schemas.openxmlformats.org/officeDocument/2006/relationships/hyperlink" Target="https://twitter.com/LewisForMN/status/1321185792476237825" TargetMode="External"/><Relationship Id="rId233" Type="http://schemas.openxmlformats.org/officeDocument/2006/relationships/hyperlink" Target="https://twitter.com/LewisForMN/status/1321926743138119687" TargetMode="External"/><Relationship Id="rId254" Type="http://schemas.openxmlformats.org/officeDocument/2006/relationships/hyperlink" Target="https://twitter.com/LewisForMN/status/1322649347440476161" TargetMode="External"/><Relationship Id="rId28" Type="http://schemas.openxmlformats.org/officeDocument/2006/relationships/hyperlink" Target="https://twitter.com/LewisForMN/status/1313211930237177861" TargetMode="External"/><Relationship Id="rId49" Type="http://schemas.openxmlformats.org/officeDocument/2006/relationships/hyperlink" Target="https://twitter.com/LewisForMN/status/1314188233094426626" TargetMode="External"/><Relationship Id="rId114" Type="http://schemas.openxmlformats.org/officeDocument/2006/relationships/hyperlink" Target="https://twitter.com/LewisForMN/status/1317161892700426240" TargetMode="External"/><Relationship Id="rId275" Type="http://schemas.openxmlformats.org/officeDocument/2006/relationships/hyperlink" Target="https://twitter.com/LewisForMN/status/1323387280309030916" TargetMode="External"/><Relationship Id="rId60" Type="http://schemas.openxmlformats.org/officeDocument/2006/relationships/hyperlink" Target="https://twitter.com/LewisForMN/status/1315069598786613253" TargetMode="External"/><Relationship Id="rId81" Type="http://schemas.openxmlformats.org/officeDocument/2006/relationships/hyperlink" Target="https://twitter.com/LewisForMN/status/1315863174822977536" TargetMode="External"/><Relationship Id="rId135" Type="http://schemas.openxmlformats.org/officeDocument/2006/relationships/hyperlink" Target="https://twitter.com/LewisForMN/status/1318698753881198592" TargetMode="External"/><Relationship Id="rId156" Type="http://schemas.openxmlformats.org/officeDocument/2006/relationships/hyperlink" Target="https://twitter.com/LewisForMN/status/1319354742791933957" TargetMode="External"/><Relationship Id="rId177" Type="http://schemas.openxmlformats.org/officeDocument/2006/relationships/hyperlink" Target="https://twitter.com/LewisForMN/status/1319688142065160194" TargetMode="External"/><Relationship Id="rId198" Type="http://schemas.openxmlformats.org/officeDocument/2006/relationships/hyperlink" Target="https://twitter.com/LewisForMN/status/1320562422667726849" TargetMode="External"/><Relationship Id="rId202" Type="http://schemas.openxmlformats.org/officeDocument/2006/relationships/hyperlink" Target="https://twitter.com/LewisForMN/status/1320857111010648066" TargetMode="External"/><Relationship Id="rId223" Type="http://schemas.openxmlformats.org/officeDocument/2006/relationships/hyperlink" Target="https://twitter.com/LewisForMN/status/1321586583481573376" TargetMode="External"/><Relationship Id="rId244" Type="http://schemas.openxmlformats.org/officeDocument/2006/relationships/hyperlink" Target="https://twitter.com/LewisForMN/status/1322309648783953926" TargetMode="External"/><Relationship Id="rId18" Type="http://schemas.openxmlformats.org/officeDocument/2006/relationships/hyperlink" Target="https://twitter.com/LewisForMN/status/1312902357290831878" TargetMode="External"/><Relationship Id="rId39" Type="http://schemas.openxmlformats.org/officeDocument/2006/relationships/hyperlink" Target="https://twitter.com/LewisForMN/status/1313660421354774528" TargetMode="External"/><Relationship Id="rId265" Type="http://schemas.openxmlformats.org/officeDocument/2006/relationships/hyperlink" Target="https://twitter.com/LewisForMN/status/1323097787060396033" TargetMode="External"/><Relationship Id="rId286" Type="http://schemas.openxmlformats.org/officeDocument/2006/relationships/hyperlink" Target="https://twitter.com/LewisForMN/status/1323769111353167872" TargetMode="External"/><Relationship Id="rId50" Type="http://schemas.openxmlformats.org/officeDocument/2006/relationships/hyperlink" Target="https://twitter.com/LewisForMN/status/1314243167961722880" TargetMode="External"/><Relationship Id="rId104" Type="http://schemas.openxmlformats.org/officeDocument/2006/relationships/hyperlink" Target="https://twitter.com/LewisForMN/status/1316832054814945285" TargetMode="External"/><Relationship Id="rId125" Type="http://schemas.openxmlformats.org/officeDocument/2006/relationships/hyperlink" Target="https://twitter.com/LewisForMN/status/1317951748514918401" TargetMode="External"/><Relationship Id="rId146" Type="http://schemas.openxmlformats.org/officeDocument/2006/relationships/hyperlink" Target="https://twitter.com/LewisForMN/status/1319056164987031552" TargetMode="External"/><Relationship Id="rId167" Type="http://schemas.openxmlformats.org/officeDocument/2006/relationships/hyperlink" Target="https://twitter.com/LewisForMN/status/1319460149216555008" TargetMode="External"/><Relationship Id="rId188" Type="http://schemas.openxmlformats.org/officeDocument/2006/relationships/hyperlink" Target="https://twitter.com/LewisForMN/status/1320052584749649923" TargetMode="External"/><Relationship Id="rId71" Type="http://schemas.openxmlformats.org/officeDocument/2006/relationships/hyperlink" Target="https://twitter.com/LewisForMN/status/1315497581087252480" TargetMode="External"/><Relationship Id="rId92" Type="http://schemas.openxmlformats.org/officeDocument/2006/relationships/hyperlink" Target="https://twitter.com/LewisForMN/status/1316451435597438976" TargetMode="External"/><Relationship Id="rId213" Type="http://schemas.openxmlformats.org/officeDocument/2006/relationships/hyperlink" Target="https://twitter.com/LewisForMN/status/1321192553799208970" TargetMode="External"/><Relationship Id="rId234" Type="http://schemas.openxmlformats.org/officeDocument/2006/relationships/hyperlink" Target="https://twitter.com/LewisForMN/status/1321933338819596290" TargetMode="External"/><Relationship Id="rId2" Type="http://schemas.openxmlformats.org/officeDocument/2006/relationships/hyperlink" Target="https://twitter.com/LewisForMN/status/1312412475149758466" TargetMode="External"/><Relationship Id="rId29" Type="http://schemas.openxmlformats.org/officeDocument/2006/relationships/hyperlink" Target="https://twitter.com/LewisForMN/status/1313235394155212800" TargetMode="External"/><Relationship Id="rId255" Type="http://schemas.openxmlformats.org/officeDocument/2006/relationships/hyperlink" Target="https://twitter.com/LewisForMN/status/1322700598156894213" TargetMode="External"/><Relationship Id="rId276" Type="http://schemas.openxmlformats.org/officeDocument/2006/relationships/hyperlink" Target="https://twitter.com/LewisForMN/status/1323425854307880960" TargetMode="External"/><Relationship Id="rId40" Type="http://schemas.openxmlformats.org/officeDocument/2006/relationships/hyperlink" Target="https://twitter.com/LewisForMN/status/1313668124332392450" TargetMode="External"/><Relationship Id="rId115" Type="http://schemas.openxmlformats.org/officeDocument/2006/relationships/hyperlink" Target="https://twitter.com/LewisForMN/status/1317170776932581376" TargetMode="External"/><Relationship Id="rId136" Type="http://schemas.openxmlformats.org/officeDocument/2006/relationships/hyperlink" Target="https://twitter.com/LewisForMN/status/1318715715969581057" TargetMode="External"/><Relationship Id="rId157" Type="http://schemas.openxmlformats.org/officeDocument/2006/relationships/hyperlink" Target="https://twitter.com/LewisForMN/status/1319372022695251968" TargetMode="External"/><Relationship Id="rId178" Type="http://schemas.openxmlformats.org/officeDocument/2006/relationships/hyperlink" Target="https://twitter.com/LewisForMN/status/1319701426768064513" TargetMode="External"/><Relationship Id="rId61" Type="http://schemas.openxmlformats.org/officeDocument/2006/relationships/hyperlink" Target="https://twitter.com/LewisForMN/status/1315131519808221184" TargetMode="External"/><Relationship Id="rId82" Type="http://schemas.openxmlformats.org/officeDocument/2006/relationships/hyperlink" Target="https://twitter.com/LewisForMN/status/1316043245525364736" TargetMode="External"/><Relationship Id="rId199" Type="http://schemas.openxmlformats.org/officeDocument/2006/relationships/hyperlink" Target="https://twitter.com/LewisForMN/status/1320755185199755266" TargetMode="External"/><Relationship Id="rId203" Type="http://schemas.openxmlformats.org/officeDocument/2006/relationships/hyperlink" Target="https://twitter.com/LewisForMN/status/1320878835496345606" TargetMode="External"/><Relationship Id="rId19" Type="http://schemas.openxmlformats.org/officeDocument/2006/relationships/hyperlink" Target="https://twitter.com/LewisForMN/status/1312912673542230018" TargetMode="External"/><Relationship Id="rId224" Type="http://schemas.openxmlformats.org/officeDocument/2006/relationships/hyperlink" Target="https://twitter.com/LewisForMN/status/1321603736322646018" TargetMode="External"/><Relationship Id="rId245" Type="http://schemas.openxmlformats.org/officeDocument/2006/relationships/hyperlink" Target="https://twitter.com/LewisForMN/status/1322324583966482434" TargetMode="External"/><Relationship Id="rId266" Type="http://schemas.openxmlformats.org/officeDocument/2006/relationships/hyperlink" Target="https://twitter.com/LewisForMN/status/1323124720171188225" TargetMode="External"/><Relationship Id="rId287" Type="http://schemas.openxmlformats.org/officeDocument/2006/relationships/table" Target="../tables/table12.xml"/><Relationship Id="rId30" Type="http://schemas.openxmlformats.org/officeDocument/2006/relationships/hyperlink" Target="https://twitter.com/LewisForMN/status/1313257311381708802" TargetMode="External"/><Relationship Id="rId105" Type="http://schemas.openxmlformats.org/officeDocument/2006/relationships/hyperlink" Target="https://twitter.com/LewisForMN/status/1316894955663740929" TargetMode="External"/><Relationship Id="rId126" Type="http://schemas.openxmlformats.org/officeDocument/2006/relationships/hyperlink" Target="https://twitter.com/LewisForMN/status/1318229480217956354" TargetMode="External"/><Relationship Id="rId147" Type="http://schemas.openxmlformats.org/officeDocument/2006/relationships/hyperlink" Target="https://twitter.com/LewisForMN/status/1319068007822430208" TargetMode="External"/><Relationship Id="rId168" Type="http://schemas.openxmlformats.org/officeDocument/2006/relationships/hyperlink" Target="https://twitter.com/LewisForMN/status/1319461731802992642" TargetMode="External"/><Relationship Id="rId51" Type="http://schemas.openxmlformats.org/officeDocument/2006/relationships/hyperlink" Target="https://twitter.com/LewisForMN/status/1314309738054721556" TargetMode="External"/><Relationship Id="rId72" Type="http://schemas.openxmlformats.org/officeDocument/2006/relationships/hyperlink" Target="https://twitter.com/LewisForMN/status/1315694835383308290" TargetMode="External"/><Relationship Id="rId93" Type="http://schemas.openxmlformats.org/officeDocument/2006/relationships/hyperlink" Target="https://twitter.com/LewisForMN/status/1316461169553608705" TargetMode="External"/><Relationship Id="rId189" Type="http://schemas.openxmlformats.org/officeDocument/2006/relationships/hyperlink" Target="https://twitter.com/LewisForMN/status/1320057613724377088" TargetMode="External"/><Relationship Id="rId3" Type="http://schemas.openxmlformats.org/officeDocument/2006/relationships/hyperlink" Target="https://twitter.com/LewisForMN/status/1312442846260068353" TargetMode="External"/><Relationship Id="rId214" Type="http://schemas.openxmlformats.org/officeDocument/2006/relationships/hyperlink" Target="https://twitter.com/LewisForMN/status/1321234157121536006" TargetMode="External"/><Relationship Id="rId235" Type="http://schemas.openxmlformats.org/officeDocument/2006/relationships/hyperlink" Target="https://twitter.com/LewisForMN/status/1321948135908925440" TargetMode="External"/><Relationship Id="rId256" Type="http://schemas.openxmlformats.org/officeDocument/2006/relationships/hyperlink" Target="https://twitter.com/LewisForMN/status/1322719528418160642" TargetMode="External"/><Relationship Id="rId277" Type="http://schemas.openxmlformats.org/officeDocument/2006/relationships/hyperlink" Target="https://twitter.com/LewisForMN/status/1323477679392346112" TargetMode="External"/><Relationship Id="rId116" Type="http://schemas.openxmlformats.org/officeDocument/2006/relationships/hyperlink" Target="https://twitter.com/LewisForMN/status/1317191465886416898" TargetMode="External"/><Relationship Id="rId137" Type="http://schemas.openxmlformats.org/officeDocument/2006/relationships/hyperlink" Target="https://twitter.com/LewisForMN/status/1318725131460579329" TargetMode="External"/><Relationship Id="rId158" Type="http://schemas.openxmlformats.org/officeDocument/2006/relationships/hyperlink" Target="https://twitter.com/LewisForMN/status/1319378870089486346" TargetMode="External"/><Relationship Id="rId20" Type="http://schemas.openxmlformats.org/officeDocument/2006/relationships/hyperlink" Target="https://twitter.com/LewisForMN/status/1312926048837931008" TargetMode="External"/><Relationship Id="rId41" Type="http://schemas.openxmlformats.org/officeDocument/2006/relationships/hyperlink" Target="https://twitter.com/LewisForMN/status/1313925954180390914" TargetMode="External"/><Relationship Id="rId62" Type="http://schemas.openxmlformats.org/officeDocument/2006/relationships/hyperlink" Target="https://twitter.com/LewisForMN/status/1315135515725893632" TargetMode="External"/><Relationship Id="rId83" Type="http://schemas.openxmlformats.org/officeDocument/2006/relationships/hyperlink" Target="https://twitter.com/LewisForMN/status/1316062067531579393" TargetMode="External"/><Relationship Id="rId179" Type="http://schemas.openxmlformats.org/officeDocument/2006/relationships/hyperlink" Target="https://twitter.com/LewisForMN/status/1319713145053728770" TargetMode="External"/><Relationship Id="rId190" Type="http://schemas.openxmlformats.org/officeDocument/2006/relationships/hyperlink" Target="https://twitter.com/LewisForMN/status/1320088972803121152" TargetMode="External"/><Relationship Id="rId204" Type="http://schemas.openxmlformats.org/officeDocument/2006/relationships/hyperlink" Target="https://twitter.com/LewisForMN/status/1320883742962044933" TargetMode="External"/><Relationship Id="rId225" Type="http://schemas.openxmlformats.org/officeDocument/2006/relationships/hyperlink" Target="https://twitter.com/LewisForMN/status/1321626084245385217" TargetMode="External"/><Relationship Id="rId246" Type="http://schemas.openxmlformats.org/officeDocument/2006/relationships/hyperlink" Target="https://twitter.com/LewisForMN/status/1322339831763054598" TargetMode="External"/><Relationship Id="rId267" Type="http://schemas.openxmlformats.org/officeDocument/2006/relationships/hyperlink" Target="https://twitter.com/LewisForMN/status/1323136461605117953" TargetMode="External"/><Relationship Id="rId106" Type="http://schemas.openxmlformats.org/officeDocument/2006/relationships/hyperlink" Target="https://twitter.com/LewisForMN/status/1316899246411599872" TargetMode="External"/><Relationship Id="rId127" Type="http://schemas.openxmlformats.org/officeDocument/2006/relationships/hyperlink" Target="https://twitter.com/LewisForMN/status/1318254114481016838" TargetMode="External"/><Relationship Id="rId10" Type="http://schemas.openxmlformats.org/officeDocument/2006/relationships/hyperlink" Target="https://twitter.com/LewisForMN/status/1312505366907777025" TargetMode="External"/><Relationship Id="rId31" Type="http://schemas.openxmlformats.org/officeDocument/2006/relationships/hyperlink" Target="https://twitter.com/LewisForMN/status/1313295040165314560" TargetMode="External"/><Relationship Id="rId52" Type="http://schemas.openxmlformats.org/officeDocument/2006/relationships/hyperlink" Target="https://twitter.com/LewisForMN/status/1314593579206094851" TargetMode="External"/><Relationship Id="rId73" Type="http://schemas.openxmlformats.org/officeDocument/2006/relationships/hyperlink" Target="https://twitter.com/LewisForMN/status/1315722055405498381" TargetMode="External"/><Relationship Id="rId94" Type="http://schemas.openxmlformats.org/officeDocument/2006/relationships/hyperlink" Target="https://twitter.com/LewisForMN/status/1316479958093570049" TargetMode="External"/><Relationship Id="rId148" Type="http://schemas.openxmlformats.org/officeDocument/2006/relationships/hyperlink" Target="https://twitter.com/LewisForMN/status/1319089107105185794" TargetMode="External"/><Relationship Id="rId169" Type="http://schemas.openxmlformats.org/officeDocument/2006/relationships/hyperlink" Target="https://twitter.com/LewisForMN/status/1319466234803519491" TargetMode="External"/><Relationship Id="rId4" Type="http://schemas.openxmlformats.org/officeDocument/2006/relationships/hyperlink" Target="https://twitter.com/LewisForMN/status/1312442891252293632" TargetMode="External"/><Relationship Id="rId180" Type="http://schemas.openxmlformats.org/officeDocument/2006/relationships/hyperlink" Target="https://twitter.com/LewisForMN/status/1319734744502964224" TargetMode="External"/><Relationship Id="rId215" Type="http://schemas.openxmlformats.org/officeDocument/2006/relationships/hyperlink" Target="https://twitter.com/LewisForMN/status/1321254912844537856" TargetMode="External"/><Relationship Id="rId236" Type="http://schemas.openxmlformats.org/officeDocument/2006/relationships/hyperlink" Target="https://twitter.com/LewisForMN/status/1321959842307805186" TargetMode="External"/><Relationship Id="rId257" Type="http://schemas.openxmlformats.org/officeDocument/2006/relationships/hyperlink" Target="https://twitter.com/LewisForMN/status/1322929909304610817" TargetMode="External"/><Relationship Id="rId278" Type="http://schemas.openxmlformats.org/officeDocument/2006/relationships/hyperlink" Target="https://twitter.com/LewisForMN/status/1323496463326916608" TargetMode="External"/><Relationship Id="rId42" Type="http://schemas.openxmlformats.org/officeDocument/2006/relationships/hyperlink" Target="https://twitter.com/LewisForMN/status/1313984553149661184" TargetMode="External"/><Relationship Id="rId84" Type="http://schemas.openxmlformats.org/officeDocument/2006/relationships/hyperlink" Target="https://twitter.com/LewisForMN/status/1316077231698071553" TargetMode="External"/><Relationship Id="rId138" Type="http://schemas.openxmlformats.org/officeDocument/2006/relationships/hyperlink" Target="https://twitter.com/LewisForMN/status/1318754983148457985" TargetMode="External"/><Relationship Id="rId191" Type="http://schemas.openxmlformats.org/officeDocument/2006/relationships/hyperlink" Target="https://twitter.com/LewisForMN/status/1320101484919488512" TargetMode="External"/><Relationship Id="rId205" Type="http://schemas.openxmlformats.org/officeDocument/2006/relationships/hyperlink" Target="https://twitter.com/LewisForMN/status/1320897443395981313" TargetMode="External"/><Relationship Id="rId247" Type="http://schemas.openxmlformats.org/officeDocument/2006/relationships/hyperlink" Target="https://twitter.com/LewisForMN/status/1322361720686452736" TargetMode="External"/><Relationship Id="rId107" Type="http://schemas.openxmlformats.org/officeDocument/2006/relationships/hyperlink" Target="https://twitter.com/LewisForMN/status/1316900436620824578" TargetMode="External"/><Relationship Id="rId11" Type="http://schemas.openxmlformats.org/officeDocument/2006/relationships/hyperlink" Target="https://twitter.com/LewisForMN/status/1312583154180423681" TargetMode="External"/><Relationship Id="rId53" Type="http://schemas.openxmlformats.org/officeDocument/2006/relationships/hyperlink" Target="https://twitter.com/LewisForMN/status/1314597685496868864" TargetMode="External"/><Relationship Id="rId149" Type="http://schemas.openxmlformats.org/officeDocument/2006/relationships/hyperlink" Target="https://twitter.com/LewisForMN/status/1319099946063319042" TargetMode="External"/><Relationship Id="rId95" Type="http://schemas.openxmlformats.org/officeDocument/2006/relationships/hyperlink" Target="https://twitter.com/LewisForMN/status/1316545000386318338" TargetMode="External"/><Relationship Id="rId160" Type="http://schemas.openxmlformats.org/officeDocument/2006/relationships/hyperlink" Target="https://twitter.com/LewisForMN/status/1319404248195567624" TargetMode="External"/><Relationship Id="rId216" Type="http://schemas.openxmlformats.org/officeDocument/2006/relationships/hyperlink" Target="https://twitter.com/LewisForMN/status/1321277700015869954" TargetMode="External"/><Relationship Id="rId258" Type="http://schemas.openxmlformats.org/officeDocument/2006/relationships/hyperlink" Target="https://twitter.com/LewisForMN/status/1322953954993541123" TargetMode="External"/><Relationship Id="rId22" Type="http://schemas.openxmlformats.org/officeDocument/2006/relationships/hyperlink" Target="https://twitter.com/LewisForMN/status/1312963455226441729" TargetMode="External"/><Relationship Id="rId64" Type="http://schemas.openxmlformats.org/officeDocument/2006/relationships/hyperlink" Target="https://twitter.com/LewisForMN/status/1315342681145593858" TargetMode="External"/><Relationship Id="rId118" Type="http://schemas.openxmlformats.org/officeDocument/2006/relationships/hyperlink" Target="https://twitter.com/LewisForMN/status/1317295807822024704"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twitter.com/JeanneShaheen/status/1316735097203240960" TargetMode="External"/><Relationship Id="rId21" Type="http://schemas.openxmlformats.org/officeDocument/2006/relationships/hyperlink" Target="https://twitter.com/JeanneShaheen/status/1322983340962664450" TargetMode="External"/><Relationship Id="rId42" Type="http://schemas.openxmlformats.org/officeDocument/2006/relationships/hyperlink" Target="https://twitter.com/JeanneShaheen/status/1321986386493399040" TargetMode="External"/><Relationship Id="rId63" Type="http://schemas.openxmlformats.org/officeDocument/2006/relationships/hyperlink" Target="https://twitter.com/JeanneShaheen/status/1320859268699095041" TargetMode="External"/><Relationship Id="rId84" Type="http://schemas.openxmlformats.org/officeDocument/2006/relationships/hyperlink" Target="https://twitter.com/JeanneShaheen/status/1318726982918676484" TargetMode="External"/><Relationship Id="rId138" Type="http://schemas.openxmlformats.org/officeDocument/2006/relationships/hyperlink" Target="https://twitter.com/JeanneShaheen/status/1315467011921768448" TargetMode="External"/><Relationship Id="rId159" Type="http://schemas.openxmlformats.org/officeDocument/2006/relationships/hyperlink" Target="https://twitter.com/JeanneShaheen/status/1314287666159128577" TargetMode="External"/><Relationship Id="rId170" Type="http://schemas.openxmlformats.org/officeDocument/2006/relationships/hyperlink" Target="https://twitter.com/JeanneShaheen/status/1313143612654465027" TargetMode="External"/><Relationship Id="rId107" Type="http://schemas.openxmlformats.org/officeDocument/2006/relationships/hyperlink" Target="https://twitter.com/JeanneShaheen/status/1317205891947679744" TargetMode="External"/><Relationship Id="rId11" Type="http://schemas.openxmlformats.org/officeDocument/2006/relationships/hyperlink" Target="https://twitter.com/JeanneShaheen/status/1323329950397665286" TargetMode="External"/><Relationship Id="rId32" Type="http://schemas.openxmlformats.org/officeDocument/2006/relationships/hyperlink" Target="https://twitter.com/JeanneShaheen/status/1322621987907358720" TargetMode="External"/><Relationship Id="rId53" Type="http://schemas.openxmlformats.org/officeDocument/2006/relationships/hyperlink" Target="https://twitter.com/JeanneShaheen/status/1321514604682452998" TargetMode="External"/><Relationship Id="rId74" Type="http://schemas.openxmlformats.org/officeDocument/2006/relationships/hyperlink" Target="https://twitter.com/JeanneShaheen/status/1320002109094400005" TargetMode="External"/><Relationship Id="rId128" Type="http://schemas.openxmlformats.org/officeDocument/2006/relationships/hyperlink" Target="https://twitter.com/JeanneShaheen/status/1316123483491926017" TargetMode="External"/><Relationship Id="rId149" Type="http://schemas.openxmlformats.org/officeDocument/2006/relationships/hyperlink" Target="https://twitter.com/JeanneShaheen/status/1314704946307231747" TargetMode="External"/><Relationship Id="rId5" Type="http://schemas.openxmlformats.org/officeDocument/2006/relationships/hyperlink" Target="https://twitter.com/JeanneShaheen/status/1323482766588203010" TargetMode="External"/><Relationship Id="rId95" Type="http://schemas.openxmlformats.org/officeDocument/2006/relationships/hyperlink" Target="https://twitter.com/JeanneShaheen/status/1318565822021931009" TargetMode="External"/><Relationship Id="rId160" Type="http://schemas.openxmlformats.org/officeDocument/2006/relationships/hyperlink" Target="https://twitter.com/JeanneShaheen/status/1314284781484544002" TargetMode="External"/><Relationship Id="rId22" Type="http://schemas.openxmlformats.org/officeDocument/2006/relationships/hyperlink" Target="https://twitter.com/JeanneShaheen/status/1322972179647156224" TargetMode="External"/><Relationship Id="rId43" Type="http://schemas.openxmlformats.org/officeDocument/2006/relationships/hyperlink" Target="https://twitter.com/JeanneShaheen/status/1321938094245978112" TargetMode="External"/><Relationship Id="rId64" Type="http://schemas.openxmlformats.org/officeDocument/2006/relationships/hyperlink" Target="https://twitter.com/JeanneShaheen/status/1320859267797295105" TargetMode="External"/><Relationship Id="rId118" Type="http://schemas.openxmlformats.org/officeDocument/2006/relationships/hyperlink" Target="https://twitter.com/JeanneShaheen/status/1316734490790768642" TargetMode="External"/><Relationship Id="rId139" Type="http://schemas.openxmlformats.org/officeDocument/2006/relationships/hyperlink" Target="https://twitter.com/JeanneShaheen/status/1315467010151714817" TargetMode="External"/><Relationship Id="rId85" Type="http://schemas.openxmlformats.org/officeDocument/2006/relationships/hyperlink" Target="https://twitter.com/JeanneShaheen/status/1318708728150056960" TargetMode="External"/><Relationship Id="rId150" Type="http://schemas.openxmlformats.org/officeDocument/2006/relationships/hyperlink" Target="https://twitter.com/JeanneShaheen/status/1314630314623479808" TargetMode="External"/><Relationship Id="rId171" Type="http://schemas.openxmlformats.org/officeDocument/2006/relationships/hyperlink" Target="https://twitter.com/JeanneShaheen/status/1313106131892535301" TargetMode="External"/><Relationship Id="rId12" Type="http://schemas.openxmlformats.org/officeDocument/2006/relationships/hyperlink" Target="https://twitter.com/JeanneShaheen/status/1323293382941282311" TargetMode="External"/><Relationship Id="rId33" Type="http://schemas.openxmlformats.org/officeDocument/2006/relationships/hyperlink" Target="https://twitter.com/JeanneShaheen/status/1322563127125442562" TargetMode="External"/><Relationship Id="rId108" Type="http://schemas.openxmlformats.org/officeDocument/2006/relationships/hyperlink" Target="https://twitter.com/JeanneShaheen/status/1317113032531693568" TargetMode="External"/><Relationship Id="rId129" Type="http://schemas.openxmlformats.org/officeDocument/2006/relationships/hyperlink" Target="https://twitter.com/JeanneShaheen/status/1315797515313254401" TargetMode="External"/><Relationship Id="rId54" Type="http://schemas.openxmlformats.org/officeDocument/2006/relationships/hyperlink" Target="https://twitter.com/JeanneShaheen/status/1321514600895074304" TargetMode="External"/><Relationship Id="rId75" Type="http://schemas.openxmlformats.org/officeDocument/2006/relationships/hyperlink" Target="https://twitter.com/JeanneShaheen/status/1319776162021867522" TargetMode="External"/><Relationship Id="rId96" Type="http://schemas.openxmlformats.org/officeDocument/2006/relationships/hyperlink" Target="https://twitter.com/JeanneShaheen/status/1318360258822213632" TargetMode="External"/><Relationship Id="rId140" Type="http://schemas.openxmlformats.org/officeDocument/2006/relationships/hyperlink" Target="https://twitter.com/JeanneShaheen/status/1315466936671760384" TargetMode="External"/><Relationship Id="rId161" Type="http://schemas.openxmlformats.org/officeDocument/2006/relationships/hyperlink" Target="https://twitter.com/JeanneShaheen/status/1314278535188619264" TargetMode="External"/><Relationship Id="rId1" Type="http://schemas.openxmlformats.org/officeDocument/2006/relationships/hyperlink" Target="https://twitter.com/JeanneShaheen/status/1323744701997002753" TargetMode="External"/><Relationship Id="rId6" Type="http://schemas.openxmlformats.org/officeDocument/2006/relationships/hyperlink" Target="https://twitter.com/JeanneShaheen/status/1323472823185268738" TargetMode="External"/><Relationship Id="rId23" Type="http://schemas.openxmlformats.org/officeDocument/2006/relationships/hyperlink" Target="https://twitter.com/JeanneShaheen/status/1322913958844637184" TargetMode="External"/><Relationship Id="rId28" Type="http://schemas.openxmlformats.org/officeDocument/2006/relationships/hyperlink" Target="https://twitter.com/JeanneShaheen/status/1322682125959778304" TargetMode="External"/><Relationship Id="rId49" Type="http://schemas.openxmlformats.org/officeDocument/2006/relationships/hyperlink" Target="https://twitter.com/JeanneShaheen/status/1321597714048655360" TargetMode="External"/><Relationship Id="rId114" Type="http://schemas.openxmlformats.org/officeDocument/2006/relationships/hyperlink" Target="https://twitter.com/JeanneShaheen/status/1316740444945084417" TargetMode="External"/><Relationship Id="rId119" Type="http://schemas.openxmlformats.org/officeDocument/2006/relationships/hyperlink" Target="https://twitter.com/JeanneShaheen/status/1316733611777892352" TargetMode="External"/><Relationship Id="rId44" Type="http://schemas.openxmlformats.org/officeDocument/2006/relationships/hyperlink" Target="https://twitter.com/JeanneShaheen/status/1321909480926400513" TargetMode="External"/><Relationship Id="rId60" Type="http://schemas.openxmlformats.org/officeDocument/2006/relationships/hyperlink" Target="https://twitter.com/JeanneShaheen/status/1321174010546311170" TargetMode="External"/><Relationship Id="rId65" Type="http://schemas.openxmlformats.org/officeDocument/2006/relationships/hyperlink" Target="https://twitter.com/JeanneShaheen/status/1320859266857738242" TargetMode="External"/><Relationship Id="rId81" Type="http://schemas.openxmlformats.org/officeDocument/2006/relationships/hyperlink" Target="https://twitter.com/JeanneShaheen/status/1319276435824013322" TargetMode="External"/><Relationship Id="rId86" Type="http://schemas.openxmlformats.org/officeDocument/2006/relationships/hyperlink" Target="https://twitter.com/JeanneShaheen/status/1318702425700765696" TargetMode="External"/><Relationship Id="rId130" Type="http://schemas.openxmlformats.org/officeDocument/2006/relationships/hyperlink" Target="https://twitter.com/JeanneShaheen/status/1315750083506438145" TargetMode="External"/><Relationship Id="rId135" Type="http://schemas.openxmlformats.org/officeDocument/2006/relationships/hyperlink" Target="https://twitter.com/JeanneShaheen/status/1315467017160458240" TargetMode="External"/><Relationship Id="rId151" Type="http://schemas.openxmlformats.org/officeDocument/2006/relationships/hyperlink" Target="https://twitter.com/JeanneShaheen/status/1314612135410966529" TargetMode="External"/><Relationship Id="rId156" Type="http://schemas.openxmlformats.org/officeDocument/2006/relationships/hyperlink" Target="https://twitter.com/JeanneShaheen/status/1314293363395497985" TargetMode="External"/><Relationship Id="rId172" Type="http://schemas.openxmlformats.org/officeDocument/2006/relationships/hyperlink" Target="https://twitter.com/JeanneShaheen/status/1312904092470202368" TargetMode="External"/><Relationship Id="rId13" Type="http://schemas.openxmlformats.org/officeDocument/2006/relationships/hyperlink" Target="https://twitter.com/JeanneShaheen/status/1323271388946485248" TargetMode="External"/><Relationship Id="rId18" Type="http://schemas.openxmlformats.org/officeDocument/2006/relationships/hyperlink" Target="https://twitter.com/JeanneShaheen/status/1323034782129770496" TargetMode="External"/><Relationship Id="rId39" Type="http://schemas.openxmlformats.org/officeDocument/2006/relationships/hyperlink" Target="https://twitter.com/JeanneShaheen/status/1322258205003710466" TargetMode="External"/><Relationship Id="rId109" Type="http://schemas.openxmlformats.org/officeDocument/2006/relationships/hyperlink" Target="https://twitter.com/JeanneShaheen/status/1316882932531924992" TargetMode="External"/><Relationship Id="rId34" Type="http://schemas.openxmlformats.org/officeDocument/2006/relationships/hyperlink" Target="https://twitter.com/JeanneShaheen/status/1322552437509672960" TargetMode="External"/><Relationship Id="rId50" Type="http://schemas.openxmlformats.org/officeDocument/2006/relationships/hyperlink" Target="https://twitter.com/JeanneShaheen/status/1321582279102238720" TargetMode="External"/><Relationship Id="rId55" Type="http://schemas.openxmlformats.org/officeDocument/2006/relationships/hyperlink" Target="https://twitter.com/JeanneShaheen/status/1321495334074372097" TargetMode="External"/><Relationship Id="rId76" Type="http://schemas.openxmlformats.org/officeDocument/2006/relationships/hyperlink" Target="https://twitter.com/JeanneShaheen/status/1319665161049956354" TargetMode="External"/><Relationship Id="rId97" Type="http://schemas.openxmlformats.org/officeDocument/2006/relationships/hyperlink" Target="https://twitter.com/JeanneShaheen/status/1318261983834181637" TargetMode="External"/><Relationship Id="rId104" Type="http://schemas.openxmlformats.org/officeDocument/2006/relationships/hyperlink" Target="https://twitter.com/JeanneShaheen/status/1317544135713239041" TargetMode="External"/><Relationship Id="rId120" Type="http://schemas.openxmlformats.org/officeDocument/2006/relationships/hyperlink" Target="https://twitter.com/JeanneShaheen/status/1316731697766051841" TargetMode="External"/><Relationship Id="rId125" Type="http://schemas.openxmlformats.org/officeDocument/2006/relationships/hyperlink" Target="https://twitter.com/JeanneShaheen/status/1316407929973682177" TargetMode="External"/><Relationship Id="rId141" Type="http://schemas.openxmlformats.org/officeDocument/2006/relationships/hyperlink" Target="https://twitter.com/JeanneShaheen/status/1315453448163295233" TargetMode="External"/><Relationship Id="rId146" Type="http://schemas.openxmlformats.org/officeDocument/2006/relationships/hyperlink" Target="https://twitter.com/JeanneShaheen/status/1315047862611443713" TargetMode="External"/><Relationship Id="rId167" Type="http://schemas.openxmlformats.org/officeDocument/2006/relationships/hyperlink" Target="https://twitter.com/JeanneShaheen/status/1313589725043798022" TargetMode="External"/><Relationship Id="rId7" Type="http://schemas.openxmlformats.org/officeDocument/2006/relationships/hyperlink" Target="https://twitter.com/JeanneShaheen/status/1323417985537683463" TargetMode="External"/><Relationship Id="rId71" Type="http://schemas.openxmlformats.org/officeDocument/2006/relationships/hyperlink" Target="https://twitter.com/JeanneShaheen/status/1320127318636044288" TargetMode="External"/><Relationship Id="rId92" Type="http://schemas.openxmlformats.org/officeDocument/2006/relationships/hyperlink" Target="https://twitter.com/JeanneShaheen/status/1318690574359273474" TargetMode="External"/><Relationship Id="rId162" Type="http://schemas.openxmlformats.org/officeDocument/2006/relationships/hyperlink" Target="https://twitter.com/JeanneShaheen/status/1314276909119868928" TargetMode="External"/><Relationship Id="rId2" Type="http://schemas.openxmlformats.org/officeDocument/2006/relationships/hyperlink" Target="https://twitter.com/JeanneShaheen/status/1323708483099889675" TargetMode="External"/><Relationship Id="rId29" Type="http://schemas.openxmlformats.org/officeDocument/2006/relationships/hyperlink" Target="https://twitter.com/JeanneShaheen/status/1322675294759751691" TargetMode="External"/><Relationship Id="rId24" Type="http://schemas.openxmlformats.org/officeDocument/2006/relationships/hyperlink" Target="https://twitter.com/JeanneShaheen/status/1322879931475546112" TargetMode="External"/><Relationship Id="rId40" Type="http://schemas.openxmlformats.org/officeDocument/2006/relationships/hyperlink" Target="https://twitter.com/JeanneShaheen/status/1322248312637034499" TargetMode="External"/><Relationship Id="rId45" Type="http://schemas.openxmlformats.org/officeDocument/2006/relationships/hyperlink" Target="https://twitter.com/JeanneShaheen/status/1321861605081157633" TargetMode="External"/><Relationship Id="rId66" Type="http://schemas.openxmlformats.org/officeDocument/2006/relationships/hyperlink" Target="https://twitter.com/JeanneShaheen/status/1320826071416213504" TargetMode="External"/><Relationship Id="rId87" Type="http://schemas.openxmlformats.org/officeDocument/2006/relationships/hyperlink" Target="https://twitter.com/JeanneShaheen/status/1318701192382394368" TargetMode="External"/><Relationship Id="rId110" Type="http://schemas.openxmlformats.org/officeDocument/2006/relationships/hyperlink" Target="https://twitter.com/JeanneShaheen/status/1316825671256231936" TargetMode="External"/><Relationship Id="rId115" Type="http://schemas.openxmlformats.org/officeDocument/2006/relationships/hyperlink" Target="https://twitter.com/JeanneShaheen/status/1316738787905503233" TargetMode="External"/><Relationship Id="rId131" Type="http://schemas.openxmlformats.org/officeDocument/2006/relationships/hyperlink" Target="https://twitter.com/JeanneShaheen/status/1315676974602424322" TargetMode="External"/><Relationship Id="rId136" Type="http://schemas.openxmlformats.org/officeDocument/2006/relationships/hyperlink" Target="https://twitter.com/JeanneShaheen/status/1315467016065646592" TargetMode="External"/><Relationship Id="rId157" Type="http://schemas.openxmlformats.org/officeDocument/2006/relationships/hyperlink" Target="https://twitter.com/JeanneShaheen/status/1314291421684396032" TargetMode="External"/><Relationship Id="rId61" Type="http://schemas.openxmlformats.org/officeDocument/2006/relationships/hyperlink" Target="https://twitter.com/JeanneShaheen/status/1320859270578130946" TargetMode="External"/><Relationship Id="rId82" Type="http://schemas.openxmlformats.org/officeDocument/2006/relationships/hyperlink" Target="https://twitter.com/JeanneShaheen/status/1319024891518242823" TargetMode="External"/><Relationship Id="rId152" Type="http://schemas.openxmlformats.org/officeDocument/2006/relationships/hyperlink" Target="https://twitter.com/JeanneShaheen/status/1314386507222994944" TargetMode="External"/><Relationship Id="rId173" Type="http://schemas.openxmlformats.org/officeDocument/2006/relationships/hyperlink" Target="https://twitter.com/JeanneShaheen/status/1312497331665739776" TargetMode="External"/><Relationship Id="rId19" Type="http://schemas.openxmlformats.org/officeDocument/2006/relationships/hyperlink" Target="https://twitter.com/JeanneShaheen/status/1323024175636881425" TargetMode="External"/><Relationship Id="rId14" Type="http://schemas.openxmlformats.org/officeDocument/2006/relationships/hyperlink" Target="https://twitter.com/JeanneShaheen/status/1323271307006484480" TargetMode="External"/><Relationship Id="rId30" Type="http://schemas.openxmlformats.org/officeDocument/2006/relationships/hyperlink" Target="https://twitter.com/JeanneShaheen/status/1322655238139092993" TargetMode="External"/><Relationship Id="rId35" Type="http://schemas.openxmlformats.org/officeDocument/2006/relationships/hyperlink" Target="https://twitter.com/JeanneShaheen/status/1322519052489789440" TargetMode="External"/><Relationship Id="rId56" Type="http://schemas.openxmlformats.org/officeDocument/2006/relationships/hyperlink" Target="https://twitter.com/JeanneShaheen/status/1321457530233638914" TargetMode="External"/><Relationship Id="rId77" Type="http://schemas.openxmlformats.org/officeDocument/2006/relationships/hyperlink" Target="https://twitter.com/JeanneShaheen/status/1319471829753470976" TargetMode="External"/><Relationship Id="rId100" Type="http://schemas.openxmlformats.org/officeDocument/2006/relationships/hyperlink" Target="https://twitter.com/JeanneShaheen/status/1317884263736479745" TargetMode="External"/><Relationship Id="rId105" Type="http://schemas.openxmlformats.org/officeDocument/2006/relationships/hyperlink" Target="https://twitter.com/JeanneShaheen/status/1317527851747450880" TargetMode="External"/><Relationship Id="rId126" Type="http://schemas.openxmlformats.org/officeDocument/2006/relationships/hyperlink" Target="https://twitter.com/JeanneShaheen/status/1316180293477437440" TargetMode="External"/><Relationship Id="rId147" Type="http://schemas.openxmlformats.org/officeDocument/2006/relationships/hyperlink" Target="https://twitter.com/JeanneShaheen/status/1315047858047987712" TargetMode="External"/><Relationship Id="rId168" Type="http://schemas.openxmlformats.org/officeDocument/2006/relationships/hyperlink" Target="https://twitter.com/JeanneShaheen/status/1313525138651074564" TargetMode="External"/><Relationship Id="rId8" Type="http://schemas.openxmlformats.org/officeDocument/2006/relationships/hyperlink" Target="https://twitter.com/JeanneShaheen/status/1323399178702245890" TargetMode="External"/><Relationship Id="rId51" Type="http://schemas.openxmlformats.org/officeDocument/2006/relationships/hyperlink" Target="https://twitter.com/JeanneShaheen/status/1321549960475779073" TargetMode="External"/><Relationship Id="rId72" Type="http://schemas.openxmlformats.org/officeDocument/2006/relationships/hyperlink" Target="https://twitter.com/JeanneShaheen/status/1320050652022755330" TargetMode="External"/><Relationship Id="rId93" Type="http://schemas.openxmlformats.org/officeDocument/2006/relationships/hyperlink" Target="https://twitter.com/JeanneShaheen/status/1318673670303289349" TargetMode="External"/><Relationship Id="rId98" Type="http://schemas.openxmlformats.org/officeDocument/2006/relationships/hyperlink" Target="https://twitter.com/JeanneShaheen/status/1318228350645735425" TargetMode="External"/><Relationship Id="rId121" Type="http://schemas.openxmlformats.org/officeDocument/2006/relationships/hyperlink" Target="https://twitter.com/JeanneShaheen/status/1316730188160532480" TargetMode="External"/><Relationship Id="rId142" Type="http://schemas.openxmlformats.org/officeDocument/2006/relationships/hyperlink" Target="https://twitter.com/JeanneShaheen/status/1315438235783438339" TargetMode="External"/><Relationship Id="rId163" Type="http://schemas.openxmlformats.org/officeDocument/2006/relationships/hyperlink" Target="https://twitter.com/JeanneShaheen/status/1314032862065299459" TargetMode="External"/><Relationship Id="rId3" Type="http://schemas.openxmlformats.org/officeDocument/2006/relationships/hyperlink" Target="https://twitter.com/JeanneShaheen/status/1323689081814110209" TargetMode="External"/><Relationship Id="rId25" Type="http://schemas.openxmlformats.org/officeDocument/2006/relationships/hyperlink" Target="https://twitter.com/JeanneShaheen/status/1322729638624481280" TargetMode="External"/><Relationship Id="rId46" Type="http://schemas.openxmlformats.org/officeDocument/2006/relationships/hyperlink" Target="https://twitter.com/JeanneShaheen/status/1321791962899484672" TargetMode="External"/><Relationship Id="rId67" Type="http://schemas.openxmlformats.org/officeDocument/2006/relationships/hyperlink" Target="https://twitter.com/JeanneShaheen/status/1320787138204622849" TargetMode="External"/><Relationship Id="rId116" Type="http://schemas.openxmlformats.org/officeDocument/2006/relationships/hyperlink" Target="https://twitter.com/JeanneShaheen/status/1316737021373710337" TargetMode="External"/><Relationship Id="rId137" Type="http://schemas.openxmlformats.org/officeDocument/2006/relationships/hyperlink" Target="https://twitter.com/JeanneShaheen/status/1315467014845198336" TargetMode="External"/><Relationship Id="rId158" Type="http://schemas.openxmlformats.org/officeDocument/2006/relationships/hyperlink" Target="https://twitter.com/JeanneShaheen/status/1314291055936888834" TargetMode="External"/><Relationship Id="rId20" Type="http://schemas.openxmlformats.org/officeDocument/2006/relationships/hyperlink" Target="https://twitter.com/JeanneShaheen/status/1323002380141604864" TargetMode="External"/><Relationship Id="rId41" Type="http://schemas.openxmlformats.org/officeDocument/2006/relationships/hyperlink" Target="https://twitter.com/JeanneShaheen/status/1322204185459306497" TargetMode="External"/><Relationship Id="rId62" Type="http://schemas.openxmlformats.org/officeDocument/2006/relationships/hyperlink" Target="https://twitter.com/JeanneShaheen/status/1320859269626056704" TargetMode="External"/><Relationship Id="rId83" Type="http://schemas.openxmlformats.org/officeDocument/2006/relationships/hyperlink" Target="https://twitter.com/JeanneShaheen/status/1318971947921846275" TargetMode="External"/><Relationship Id="rId88" Type="http://schemas.openxmlformats.org/officeDocument/2006/relationships/hyperlink" Target="https://twitter.com/JeanneShaheen/status/1318699188633411585" TargetMode="External"/><Relationship Id="rId111" Type="http://schemas.openxmlformats.org/officeDocument/2006/relationships/hyperlink" Target="https://twitter.com/JeanneShaheen/status/1316806883626430464" TargetMode="External"/><Relationship Id="rId132" Type="http://schemas.openxmlformats.org/officeDocument/2006/relationships/hyperlink" Target="https://twitter.com/JeanneShaheen/status/1315676842985226240" TargetMode="External"/><Relationship Id="rId153" Type="http://schemas.openxmlformats.org/officeDocument/2006/relationships/hyperlink" Target="https://twitter.com/JeanneShaheen/status/1314299020932718594" TargetMode="External"/><Relationship Id="rId174" Type="http://schemas.openxmlformats.org/officeDocument/2006/relationships/hyperlink" Target="https://twitter.com/JeanneShaheen/status/1312465396247621633" TargetMode="External"/><Relationship Id="rId15" Type="http://schemas.openxmlformats.org/officeDocument/2006/relationships/hyperlink" Target="https://twitter.com/JeanneShaheen/status/1323241207066206211" TargetMode="External"/><Relationship Id="rId36" Type="http://schemas.openxmlformats.org/officeDocument/2006/relationships/hyperlink" Target="https://twitter.com/JeanneShaheen/status/1322347445066620929" TargetMode="External"/><Relationship Id="rId57" Type="http://schemas.openxmlformats.org/officeDocument/2006/relationships/hyperlink" Target="https://twitter.com/JeanneShaheen/status/1321254708586160131" TargetMode="External"/><Relationship Id="rId106" Type="http://schemas.openxmlformats.org/officeDocument/2006/relationships/hyperlink" Target="https://twitter.com/JeanneShaheen/status/1317271650065391619" TargetMode="External"/><Relationship Id="rId127" Type="http://schemas.openxmlformats.org/officeDocument/2006/relationships/hyperlink" Target="https://twitter.com/JeanneShaheen/status/1316140471719202817" TargetMode="External"/><Relationship Id="rId10" Type="http://schemas.openxmlformats.org/officeDocument/2006/relationships/hyperlink" Target="https://twitter.com/JeanneShaheen/status/1323348001348341760" TargetMode="External"/><Relationship Id="rId31" Type="http://schemas.openxmlformats.org/officeDocument/2006/relationships/hyperlink" Target="https://twitter.com/JeanneShaheen/status/1322637216716382209" TargetMode="External"/><Relationship Id="rId52" Type="http://schemas.openxmlformats.org/officeDocument/2006/relationships/hyperlink" Target="https://twitter.com/JeanneShaheen/status/1321514606511214592" TargetMode="External"/><Relationship Id="rId73" Type="http://schemas.openxmlformats.org/officeDocument/2006/relationships/hyperlink" Target="https://twitter.com/JeanneShaheen/status/1320022568129220610" TargetMode="External"/><Relationship Id="rId78" Type="http://schemas.openxmlformats.org/officeDocument/2006/relationships/hyperlink" Target="https://twitter.com/JeanneShaheen/status/1319416176368373762" TargetMode="External"/><Relationship Id="rId94" Type="http://schemas.openxmlformats.org/officeDocument/2006/relationships/hyperlink" Target="https://twitter.com/JeanneShaheen/status/1318657833852960771" TargetMode="External"/><Relationship Id="rId99" Type="http://schemas.openxmlformats.org/officeDocument/2006/relationships/hyperlink" Target="https://twitter.com/JeanneShaheen/status/1317943878469681152" TargetMode="External"/><Relationship Id="rId101" Type="http://schemas.openxmlformats.org/officeDocument/2006/relationships/hyperlink" Target="https://twitter.com/JeanneShaheen/status/1317630926797549569" TargetMode="External"/><Relationship Id="rId122" Type="http://schemas.openxmlformats.org/officeDocument/2006/relationships/hyperlink" Target="https://twitter.com/JeanneShaheen/status/1316720881737949184" TargetMode="External"/><Relationship Id="rId143" Type="http://schemas.openxmlformats.org/officeDocument/2006/relationships/hyperlink" Target="https://twitter.com/JeanneShaheen/status/1315414298198409217" TargetMode="External"/><Relationship Id="rId148" Type="http://schemas.openxmlformats.org/officeDocument/2006/relationships/hyperlink" Target="https://twitter.com/JeanneShaheen/status/1314986869042671617" TargetMode="External"/><Relationship Id="rId164" Type="http://schemas.openxmlformats.org/officeDocument/2006/relationships/hyperlink" Target="https://twitter.com/JeanneShaheen/status/1313930496183803915" TargetMode="External"/><Relationship Id="rId169" Type="http://schemas.openxmlformats.org/officeDocument/2006/relationships/hyperlink" Target="https://twitter.com/JeanneShaheen/status/1313238509101223938" TargetMode="External"/><Relationship Id="rId4" Type="http://schemas.openxmlformats.org/officeDocument/2006/relationships/hyperlink" Target="https://twitter.com/JeanneShaheen/status/1323580749577158656" TargetMode="External"/><Relationship Id="rId9" Type="http://schemas.openxmlformats.org/officeDocument/2006/relationships/hyperlink" Target="https://twitter.com/JeanneShaheen/status/1323379309780893696" TargetMode="External"/><Relationship Id="rId26" Type="http://schemas.openxmlformats.org/officeDocument/2006/relationships/hyperlink" Target="https://twitter.com/JeanneShaheen/status/1322722701082005506" TargetMode="External"/><Relationship Id="rId47" Type="http://schemas.openxmlformats.org/officeDocument/2006/relationships/hyperlink" Target="https://twitter.com/JeanneShaheen/status/1321626919788564481" TargetMode="External"/><Relationship Id="rId68" Type="http://schemas.openxmlformats.org/officeDocument/2006/relationships/hyperlink" Target="https://twitter.com/JeanneShaheen/status/1320525835380707333" TargetMode="External"/><Relationship Id="rId89" Type="http://schemas.openxmlformats.org/officeDocument/2006/relationships/hyperlink" Target="https://twitter.com/JeanneShaheen/status/1318698227483529216" TargetMode="External"/><Relationship Id="rId112" Type="http://schemas.openxmlformats.org/officeDocument/2006/relationships/hyperlink" Target="https://twitter.com/JeanneShaheen/status/1316772844785856513" TargetMode="External"/><Relationship Id="rId133" Type="http://schemas.openxmlformats.org/officeDocument/2006/relationships/hyperlink" Target="https://twitter.com/JeanneShaheen/status/1315467031341420550" TargetMode="External"/><Relationship Id="rId154" Type="http://schemas.openxmlformats.org/officeDocument/2006/relationships/hyperlink" Target="https://twitter.com/JeanneShaheen/status/1314294650082131971" TargetMode="External"/><Relationship Id="rId175" Type="http://schemas.openxmlformats.org/officeDocument/2006/relationships/hyperlink" Target="https://twitter.com/JeanneShaheen/status/1312396145243688962" TargetMode="External"/><Relationship Id="rId16" Type="http://schemas.openxmlformats.org/officeDocument/2006/relationships/hyperlink" Target="https://twitter.com/JeanneShaheen/status/1323082120361922561" TargetMode="External"/><Relationship Id="rId37" Type="http://schemas.openxmlformats.org/officeDocument/2006/relationships/hyperlink" Target="https://twitter.com/JeanneShaheen/status/1322309137674457089" TargetMode="External"/><Relationship Id="rId58" Type="http://schemas.openxmlformats.org/officeDocument/2006/relationships/hyperlink" Target="https://twitter.com/JeanneShaheen/status/1321232709000318977" TargetMode="External"/><Relationship Id="rId79" Type="http://schemas.openxmlformats.org/officeDocument/2006/relationships/hyperlink" Target="https://twitter.com/JeanneShaheen/status/1319367383149170689" TargetMode="External"/><Relationship Id="rId102" Type="http://schemas.openxmlformats.org/officeDocument/2006/relationships/hyperlink" Target="https://twitter.com/JeanneShaheen/status/1317630912947957761" TargetMode="External"/><Relationship Id="rId123" Type="http://schemas.openxmlformats.org/officeDocument/2006/relationships/hyperlink" Target="https://twitter.com/JeanneShaheen/status/1316702997645340673" TargetMode="External"/><Relationship Id="rId144" Type="http://schemas.openxmlformats.org/officeDocument/2006/relationships/hyperlink" Target="https://twitter.com/JeanneShaheen/status/1315293742174269440" TargetMode="External"/><Relationship Id="rId90" Type="http://schemas.openxmlformats.org/officeDocument/2006/relationships/hyperlink" Target="https://twitter.com/JeanneShaheen/status/1318692764251455489" TargetMode="External"/><Relationship Id="rId165" Type="http://schemas.openxmlformats.org/officeDocument/2006/relationships/hyperlink" Target="https://twitter.com/JeanneShaheen/status/1313853949695459328" TargetMode="External"/><Relationship Id="rId27" Type="http://schemas.openxmlformats.org/officeDocument/2006/relationships/hyperlink" Target="https://twitter.com/JeanneShaheen/status/1322722691464515585" TargetMode="External"/><Relationship Id="rId48" Type="http://schemas.openxmlformats.org/officeDocument/2006/relationships/hyperlink" Target="https://twitter.com/JeanneShaheen/status/1321597717366394880" TargetMode="External"/><Relationship Id="rId69" Type="http://schemas.openxmlformats.org/officeDocument/2006/relationships/hyperlink" Target="https://twitter.com/JeanneShaheen/status/1320441681771175942" TargetMode="External"/><Relationship Id="rId113" Type="http://schemas.openxmlformats.org/officeDocument/2006/relationships/hyperlink" Target="https://twitter.com/JeanneShaheen/status/1316747074302509061" TargetMode="External"/><Relationship Id="rId134" Type="http://schemas.openxmlformats.org/officeDocument/2006/relationships/hyperlink" Target="https://twitter.com/JeanneShaheen/status/1315467026312331265" TargetMode="External"/><Relationship Id="rId80" Type="http://schemas.openxmlformats.org/officeDocument/2006/relationships/hyperlink" Target="https://twitter.com/JeanneShaheen/status/1319324576439029762" TargetMode="External"/><Relationship Id="rId155" Type="http://schemas.openxmlformats.org/officeDocument/2006/relationships/hyperlink" Target="https://twitter.com/JeanneShaheen/status/1314293819962200070" TargetMode="External"/><Relationship Id="rId176" Type="http://schemas.openxmlformats.org/officeDocument/2006/relationships/table" Target="../tables/table13.xml"/><Relationship Id="rId17" Type="http://schemas.openxmlformats.org/officeDocument/2006/relationships/hyperlink" Target="https://twitter.com/JeanneShaheen/status/1323063852200792065" TargetMode="External"/><Relationship Id="rId38" Type="http://schemas.openxmlformats.org/officeDocument/2006/relationships/hyperlink" Target="https://twitter.com/JeanneShaheen/status/1322290977156091912" TargetMode="External"/><Relationship Id="rId59" Type="http://schemas.openxmlformats.org/officeDocument/2006/relationships/hyperlink" Target="https://twitter.com/JeanneShaheen/status/1321179715789611009" TargetMode="External"/><Relationship Id="rId103" Type="http://schemas.openxmlformats.org/officeDocument/2006/relationships/hyperlink" Target="https://twitter.com/JeanneShaheen/status/1317630888704905217" TargetMode="External"/><Relationship Id="rId124" Type="http://schemas.openxmlformats.org/officeDocument/2006/relationships/hyperlink" Target="https://twitter.com/JeanneShaheen/status/1316479320211234816" TargetMode="External"/><Relationship Id="rId70" Type="http://schemas.openxmlformats.org/officeDocument/2006/relationships/hyperlink" Target="https://twitter.com/JeanneShaheen/status/1320378566647959553" TargetMode="External"/><Relationship Id="rId91" Type="http://schemas.openxmlformats.org/officeDocument/2006/relationships/hyperlink" Target="https://twitter.com/JeanneShaheen/status/1318691534158598144" TargetMode="External"/><Relationship Id="rId145" Type="http://schemas.openxmlformats.org/officeDocument/2006/relationships/hyperlink" Target="https://twitter.com/JeanneShaheen/status/1315101269871259650" TargetMode="External"/><Relationship Id="rId166" Type="http://schemas.openxmlformats.org/officeDocument/2006/relationships/hyperlink" Target="https://twitter.com/JeanneShaheen/status/1313602285918973953"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twitter.com/CorkyForNH/status/1318180145379803136" TargetMode="External"/><Relationship Id="rId21" Type="http://schemas.openxmlformats.org/officeDocument/2006/relationships/hyperlink" Target="https://twitter.com/CorkyForNH/status/1323369293694803968" TargetMode="External"/><Relationship Id="rId42" Type="http://schemas.openxmlformats.org/officeDocument/2006/relationships/hyperlink" Target="https://twitter.com/CorkyForNH/status/1322251929334984706" TargetMode="External"/><Relationship Id="rId63" Type="http://schemas.openxmlformats.org/officeDocument/2006/relationships/hyperlink" Target="https://twitter.com/CorkyForNH/status/1320891868452999170" TargetMode="External"/><Relationship Id="rId84" Type="http://schemas.openxmlformats.org/officeDocument/2006/relationships/hyperlink" Target="https://twitter.com/CorkyForNH/status/1319415632417460230" TargetMode="External"/><Relationship Id="rId138" Type="http://schemas.openxmlformats.org/officeDocument/2006/relationships/hyperlink" Target="https://twitter.com/CorkyForNH/status/1316738874312396800" TargetMode="External"/><Relationship Id="rId159" Type="http://schemas.openxmlformats.org/officeDocument/2006/relationships/hyperlink" Target="https://twitter.com/CorkyForNH/status/1316446274443509765" TargetMode="External"/><Relationship Id="rId170" Type="http://schemas.openxmlformats.org/officeDocument/2006/relationships/hyperlink" Target="https://twitter.com/CorkyForNH/status/1316122493015470080" TargetMode="External"/><Relationship Id="rId191" Type="http://schemas.openxmlformats.org/officeDocument/2006/relationships/hyperlink" Target="https://twitter.com/CorkyForNH/status/1314979713916510208" TargetMode="External"/><Relationship Id="rId205" Type="http://schemas.openxmlformats.org/officeDocument/2006/relationships/hyperlink" Target="https://twitter.com/CorkyForNH/status/1314296269909753856" TargetMode="External"/><Relationship Id="rId226" Type="http://schemas.openxmlformats.org/officeDocument/2006/relationships/hyperlink" Target="https://twitter.com/CorkyForNH/status/1313977406818902017" TargetMode="External"/><Relationship Id="rId247" Type="http://schemas.openxmlformats.org/officeDocument/2006/relationships/hyperlink" Target="https://twitter.com/CorkyForNH/status/1313100374966849537" TargetMode="External"/><Relationship Id="rId107" Type="http://schemas.openxmlformats.org/officeDocument/2006/relationships/hyperlink" Target="https://twitter.com/CorkyForNH/status/1318690559490478080" TargetMode="External"/><Relationship Id="rId11" Type="http://schemas.openxmlformats.org/officeDocument/2006/relationships/hyperlink" Target="https://twitter.com/CorkyForNH/status/1323625477286875138" TargetMode="External"/><Relationship Id="rId32" Type="http://schemas.openxmlformats.org/officeDocument/2006/relationships/hyperlink" Target="https://twitter.com/CorkyForNH/status/1322691229377830912" TargetMode="External"/><Relationship Id="rId53" Type="http://schemas.openxmlformats.org/officeDocument/2006/relationships/hyperlink" Target="https://twitter.com/CorkyForNH/status/1321611535224053760" TargetMode="External"/><Relationship Id="rId74" Type="http://schemas.openxmlformats.org/officeDocument/2006/relationships/hyperlink" Target="https://twitter.com/CorkyForNH/status/1320367614011604993" TargetMode="External"/><Relationship Id="rId128" Type="http://schemas.openxmlformats.org/officeDocument/2006/relationships/hyperlink" Target="https://twitter.com/CorkyForNH/status/1317187534724661254" TargetMode="External"/><Relationship Id="rId149" Type="http://schemas.openxmlformats.org/officeDocument/2006/relationships/hyperlink" Target="https://twitter.com/CorkyForNH/status/1316728139691819008" TargetMode="External"/><Relationship Id="rId5" Type="http://schemas.openxmlformats.org/officeDocument/2006/relationships/hyperlink" Target="https://twitter.com/CorkyForNH/status/1323716581021622275" TargetMode="External"/><Relationship Id="rId95" Type="http://schemas.openxmlformats.org/officeDocument/2006/relationships/hyperlink" Target="https://twitter.com/CorkyForNH/status/1318895647379083264" TargetMode="External"/><Relationship Id="rId160" Type="http://schemas.openxmlformats.org/officeDocument/2006/relationships/hyperlink" Target="https://twitter.com/CorkyForNH/status/1316428780962041857" TargetMode="External"/><Relationship Id="rId181" Type="http://schemas.openxmlformats.org/officeDocument/2006/relationships/hyperlink" Target="https://twitter.com/CorkyForNH/status/1315748753744297989" TargetMode="External"/><Relationship Id="rId216" Type="http://schemas.openxmlformats.org/officeDocument/2006/relationships/hyperlink" Target="https://twitter.com/CorkyForNH/status/1314282962477813766" TargetMode="External"/><Relationship Id="rId237" Type="http://schemas.openxmlformats.org/officeDocument/2006/relationships/hyperlink" Target="https://twitter.com/CorkyForNH/status/1313489186763153409" TargetMode="External"/><Relationship Id="rId22" Type="http://schemas.openxmlformats.org/officeDocument/2006/relationships/hyperlink" Target="https://twitter.com/CorkyForNH/status/1323339092541820930" TargetMode="External"/><Relationship Id="rId43" Type="http://schemas.openxmlformats.org/officeDocument/2006/relationships/hyperlink" Target="https://twitter.com/CorkyForNH/status/1322243729495887875" TargetMode="External"/><Relationship Id="rId64" Type="http://schemas.openxmlformats.org/officeDocument/2006/relationships/hyperlink" Target="https://twitter.com/CorkyForNH/status/1320884324061896704" TargetMode="External"/><Relationship Id="rId118" Type="http://schemas.openxmlformats.org/officeDocument/2006/relationships/hyperlink" Target="https://twitter.com/CorkyForNH/status/1318159275529801728" TargetMode="External"/><Relationship Id="rId139" Type="http://schemas.openxmlformats.org/officeDocument/2006/relationships/hyperlink" Target="https://twitter.com/CorkyForNH/status/1316738321138233345" TargetMode="External"/><Relationship Id="rId85" Type="http://schemas.openxmlformats.org/officeDocument/2006/relationships/hyperlink" Target="https://twitter.com/CorkyForNH/status/1319294311398174722" TargetMode="External"/><Relationship Id="rId150" Type="http://schemas.openxmlformats.org/officeDocument/2006/relationships/hyperlink" Target="https://twitter.com/CorkyForNH/status/1316727604901302273" TargetMode="External"/><Relationship Id="rId171" Type="http://schemas.openxmlformats.org/officeDocument/2006/relationships/hyperlink" Target="https://twitter.com/CorkyForNH/status/1316104413610680320" TargetMode="External"/><Relationship Id="rId192" Type="http://schemas.openxmlformats.org/officeDocument/2006/relationships/hyperlink" Target="https://twitter.com/CorkyForNH/status/1314974721667207170" TargetMode="External"/><Relationship Id="rId206" Type="http://schemas.openxmlformats.org/officeDocument/2006/relationships/hyperlink" Target="https://twitter.com/CorkyForNH/status/1314295355480199169" TargetMode="External"/><Relationship Id="rId227" Type="http://schemas.openxmlformats.org/officeDocument/2006/relationships/hyperlink" Target="https://twitter.com/CorkyForNH/status/1313917012284854272" TargetMode="External"/><Relationship Id="rId248" Type="http://schemas.openxmlformats.org/officeDocument/2006/relationships/hyperlink" Target="https://twitter.com/CorkyForNH/status/1312890244023296005" TargetMode="External"/><Relationship Id="rId12" Type="http://schemas.openxmlformats.org/officeDocument/2006/relationships/hyperlink" Target="https://twitter.com/CorkyForNH/status/1323621139130781696" TargetMode="External"/><Relationship Id="rId33" Type="http://schemas.openxmlformats.org/officeDocument/2006/relationships/hyperlink" Target="https://twitter.com/CorkyForNH/status/1322689812508385281" TargetMode="External"/><Relationship Id="rId108" Type="http://schemas.openxmlformats.org/officeDocument/2006/relationships/hyperlink" Target="https://twitter.com/CorkyForNH/status/1318688220780109824" TargetMode="External"/><Relationship Id="rId129" Type="http://schemas.openxmlformats.org/officeDocument/2006/relationships/hyperlink" Target="https://twitter.com/CorkyForNH/status/1317152575859412992" TargetMode="External"/><Relationship Id="rId54" Type="http://schemas.openxmlformats.org/officeDocument/2006/relationships/hyperlink" Target="https://twitter.com/CorkyForNH/status/1321611281573548033" TargetMode="External"/><Relationship Id="rId75" Type="http://schemas.openxmlformats.org/officeDocument/2006/relationships/hyperlink" Target="https://twitter.com/CorkyForNH/status/1320334542876647424" TargetMode="External"/><Relationship Id="rId96" Type="http://schemas.openxmlformats.org/officeDocument/2006/relationships/hyperlink" Target="https://twitter.com/CorkyForNH/status/1318723826583244801" TargetMode="External"/><Relationship Id="rId140" Type="http://schemas.openxmlformats.org/officeDocument/2006/relationships/hyperlink" Target="https://twitter.com/CorkyForNH/status/1316738055387197440" TargetMode="External"/><Relationship Id="rId161" Type="http://schemas.openxmlformats.org/officeDocument/2006/relationships/hyperlink" Target="https://twitter.com/CorkyForNH/status/1316397097873100800" TargetMode="External"/><Relationship Id="rId182" Type="http://schemas.openxmlformats.org/officeDocument/2006/relationships/hyperlink" Target="https://twitter.com/CorkyForNH/status/1315720227997519874" TargetMode="External"/><Relationship Id="rId217" Type="http://schemas.openxmlformats.org/officeDocument/2006/relationships/hyperlink" Target="https://twitter.com/CorkyForNH/status/1314278387104571392" TargetMode="External"/><Relationship Id="rId6" Type="http://schemas.openxmlformats.org/officeDocument/2006/relationships/hyperlink" Target="https://twitter.com/CorkyForNH/status/1323708284520587264" TargetMode="External"/><Relationship Id="rId238" Type="http://schemas.openxmlformats.org/officeDocument/2006/relationships/hyperlink" Target="https://twitter.com/CorkyForNH/status/1313463176206471172" TargetMode="External"/><Relationship Id="rId23" Type="http://schemas.openxmlformats.org/officeDocument/2006/relationships/hyperlink" Target="https://twitter.com/CorkyForNH/status/1323293793030934529" TargetMode="External"/><Relationship Id="rId119" Type="http://schemas.openxmlformats.org/officeDocument/2006/relationships/hyperlink" Target="https://twitter.com/CorkyForNH/status/1317921391677636613" TargetMode="External"/><Relationship Id="rId44" Type="http://schemas.openxmlformats.org/officeDocument/2006/relationships/hyperlink" Target="https://twitter.com/CorkyForNH/status/1322217532368003074" TargetMode="External"/><Relationship Id="rId65" Type="http://schemas.openxmlformats.org/officeDocument/2006/relationships/hyperlink" Target="https://twitter.com/CorkyForNH/status/1320878868429967361" TargetMode="External"/><Relationship Id="rId86" Type="http://schemas.openxmlformats.org/officeDocument/2006/relationships/hyperlink" Target="https://twitter.com/CorkyForNH/status/1319244636481851399" TargetMode="External"/><Relationship Id="rId130" Type="http://schemas.openxmlformats.org/officeDocument/2006/relationships/hyperlink" Target="https://twitter.com/CorkyForNH/status/1317135966415417345" TargetMode="External"/><Relationship Id="rId151" Type="http://schemas.openxmlformats.org/officeDocument/2006/relationships/hyperlink" Target="https://twitter.com/CorkyForNH/status/1316727431030603782" TargetMode="External"/><Relationship Id="rId172" Type="http://schemas.openxmlformats.org/officeDocument/2006/relationships/hyperlink" Target="https://twitter.com/CorkyForNH/status/1316081120690286592" TargetMode="External"/><Relationship Id="rId193" Type="http://schemas.openxmlformats.org/officeDocument/2006/relationships/hyperlink" Target="https://twitter.com/CorkyForNH/status/1314943772485128193" TargetMode="External"/><Relationship Id="rId207" Type="http://schemas.openxmlformats.org/officeDocument/2006/relationships/hyperlink" Target="https://twitter.com/CorkyForNH/status/1314293544073531394" TargetMode="External"/><Relationship Id="rId228" Type="http://schemas.openxmlformats.org/officeDocument/2006/relationships/hyperlink" Target="https://twitter.com/CorkyForNH/status/1313901907941892096" TargetMode="External"/><Relationship Id="rId249" Type="http://schemas.openxmlformats.org/officeDocument/2006/relationships/hyperlink" Target="https://twitter.com/CorkyForNH/status/1312879737417723905" TargetMode="External"/><Relationship Id="rId13" Type="http://schemas.openxmlformats.org/officeDocument/2006/relationships/hyperlink" Target="https://twitter.com/CorkyForNH/status/1323604082146291713" TargetMode="External"/><Relationship Id="rId109" Type="http://schemas.openxmlformats.org/officeDocument/2006/relationships/hyperlink" Target="https://twitter.com/CorkyForNH/status/1318685539005059082" TargetMode="External"/><Relationship Id="rId34" Type="http://schemas.openxmlformats.org/officeDocument/2006/relationships/hyperlink" Target="https://twitter.com/CorkyForNH/status/1322629419278704645" TargetMode="External"/><Relationship Id="rId55" Type="http://schemas.openxmlformats.org/officeDocument/2006/relationships/hyperlink" Target="https://twitter.com/CorkyForNH/status/1321608997338755073" TargetMode="External"/><Relationship Id="rId76" Type="http://schemas.openxmlformats.org/officeDocument/2006/relationships/hyperlink" Target="https://twitter.com/CorkyForNH/status/1320126151680032768" TargetMode="External"/><Relationship Id="rId97" Type="http://schemas.openxmlformats.org/officeDocument/2006/relationships/hyperlink" Target="https://twitter.com/CorkyForNH/status/1318711708421160960" TargetMode="External"/><Relationship Id="rId120" Type="http://schemas.openxmlformats.org/officeDocument/2006/relationships/hyperlink" Target="https://twitter.com/CorkyForNH/status/1317899255944798210" TargetMode="External"/><Relationship Id="rId141" Type="http://schemas.openxmlformats.org/officeDocument/2006/relationships/hyperlink" Target="https://twitter.com/CorkyForNH/status/1316733367967191040" TargetMode="External"/><Relationship Id="rId7" Type="http://schemas.openxmlformats.org/officeDocument/2006/relationships/hyperlink" Target="https://twitter.com/CorkyForNH/status/1323685287114002432" TargetMode="External"/><Relationship Id="rId162" Type="http://schemas.openxmlformats.org/officeDocument/2006/relationships/hyperlink" Target="https://twitter.com/CorkyForNH/status/1316381243403984897" TargetMode="External"/><Relationship Id="rId183" Type="http://schemas.openxmlformats.org/officeDocument/2006/relationships/hyperlink" Target="https://twitter.com/CorkyForNH/status/1315691196392505349" TargetMode="External"/><Relationship Id="rId218" Type="http://schemas.openxmlformats.org/officeDocument/2006/relationships/hyperlink" Target="https://twitter.com/CorkyForNH/status/1314277397487931393" TargetMode="External"/><Relationship Id="rId239" Type="http://schemas.openxmlformats.org/officeDocument/2006/relationships/hyperlink" Target="https://twitter.com/CorkyForNH/status/1313463174423818240" TargetMode="External"/><Relationship Id="rId250" Type="http://schemas.openxmlformats.org/officeDocument/2006/relationships/hyperlink" Target="https://twitter.com/CorkyForNH/status/1312840600153194499" TargetMode="External"/><Relationship Id="rId24" Type="http://schemas.openxmlformats.org/officeDocument/2006/relationships/hyperlink" Target="https://twitter.com/CorkyForNH/status/1323271143889936385" TargetMode="External"/><Relationship Id="rId45" Type="http://schemas.openxmlformats.org/officeDocument/2006/relationships/hyperlink" Target="https://twitter.com/CorkyForNH/status/1322189530045255682" TargetMode="External"/><Relationship Id="rId66" Type="http://schemas.openxmlformats.org/officeDocument/2006/relationships/hyperlink" Target="https://twitter.com/CorkyForNH/status/1320871212281716741" TargetMode="External"/><Relationship Id="rId87" Type="http://schemas.openxmlformats.org/officeDocument/2006/relationships/hyperlink" Target="https://twitter.com/CorkyForNH/status/1319097233900523520" TargetMode="External"/><Relationship Id="rId110" Type="http://schemas.openxmlformats.org/officeDocument/2006/relationships/hyperlink" Target="https://twitter.com/CorkyForNH/status/1318676279789498370" TargetMode="External"/><Relationship Id="rId131" Type="http://schemas.openxmlformats.org/officeDocument/2006/relationships/hyperlink" Target="https://twitter.com/CorkyForNH/status/1317119860476768257" TargetMode="External"/><Relationship Id="rId152" Type="http://schemas.openxmlformats.org/officeDocument/2006/relationships/hyperlink" Target="https://twitter.com/CorkyForNH/status/1316726846776659969" TargetMode="External"/><Relationship Id="rId173" Type="http://schemas.openxmlformats.org/officeDocument/2006/relationships/hyperlink" Target="https://twitter.com/CorkyForNH/status/1316019425183592451" TargetMode="External"/><Relationship Id="rId194" Type="http://schemas.openxmlformats.org/officeDocument/2006/relationships/hyperlink" Target="https://twitter.com/CorkyForNH/status/1314928680745996288" TargetMode="External"/><Relationship Id="rId208" Type="http://schemas.openxmlformats.org/officeDocument/2006/relationships/hyperlink" Target="https://twitter.com/CorkyForNH/status/1314291204578775046" TargetMode="External"/><Relationship Id="rId229" Type="http://schemas.openxmlformats.org/officeDocument/2006/relationships/hyperlink" Target="https://twitter.com/CorkyForNH/status/1313886810003521536" TargetMode="External"/><Relationship Id="rId240" Type="http://schemas.openxmlformats.org/officeDocument/2006/relationships/hyperlink" Target="https://twitter.com/CorkyForNH/status/1313463173652123654" TargetMode="External"/><Relationship Id="rId14" Type="http://schemas.openxmlformats.org/officeDocument/2006/relationships/hyperlink" Target="https://twitter.com/CorkyForNH/status/1323589022774665216" TargetMode="External"/><Relationship Id="rId35" Type="http://schemas.openxmlformats.org/officeDocument/2006/relationships/hyperlink" Target="https://twitter.com/CorkyForNH/status/1322538818705084416" TargetMode="External"/><Relationship Id="rId56" Type="http://schemas.openxmlformats.org/officeDocument/2006/relationships/hyperlink" Target="https://twitter.com/CorkyForNH/status/1321560116852854784" TargetMode="External"/><Relationship Id="rId77" Type="http://schemas.openxmlformats.org/officeDocument/2006/relationships/hyperlink" Target="https://twitter.com/CorkyForNH/status/1320088924140662784" TargetMode="External"/><Relationship Id="rId100" Type="http://schemas.openxmlformats.org/officeDocument/2006/relationships/hyperlink" Target="https://twitter.com/CorkyForNH/status/1318696585321218050" TargetMode="External"/><Relationship Id="rId8" Type="http://schemas.openxmlformats.org/officeDocument/2006/relationships/hyperlink" Target="https://twitter.com/CorkyForNH/status/1323668665640886273" TargetMode="External"/><Relationship Id="rId98" Type="http://schemas.openxmlformats.org/officeDocument/2006/relationships/hyperlink" Target="https://twitter.com/CorkyForNH/status/1318703493050470405" TargetMode="External"/><Relationship Id="rId121" Type="http://schemas.openxmlformats.org/officeDocument/2006/relationships/hyperlink" Target="https://twitter.com/CorkyForNH/status/1317563062015135745" TargetMode="External"/><Relationship Id="rId142" Type="http://schemas.openxmlformats.org/officeDocument/2006/relationships/hyperlink" Target="https://twitter.com/CorkyForNH/status/1316733221841887232" TargetMode="External"/><Relationship Id="rId163" Type="http://schemas.openxmlformats.org/officeDocument/2006/relationships/hyperlink" Target="https://twitter.com/CorkyForNH/status/1316364382721306624" TargetMode="External"/><Relationship Id="rId184" Type="http://schemas.openxmlformats.org/officeDocument/2006/relationships/hyperlink" Target="https://twitter.com/CorkyForNH/status/1315679846023024640" TargetMode="External"/><Relationship Id="rId219" Type="http://schemas.openxmlformats.org/officeDocument/2006/relationships/hyperlink" Target="https://twitter.com/CorkyForNH/status/1314264294385692672" TargetMode="External"/><Relationship Id="rId230" Type="http://schemas.openxmlformats.org/officeDocument/2006/relationships/hyperlink" Target="https://twitter.com/CorkyForNH/status/1313856612239437826" TargetMode="External"/><Relationship Id="rId251" Type="http://schemas.openxmlformats.org/officeDocument/2006/relationships/hyperlink" Target="https://twitter.com/CorkyForNH/status/1312818479112900612" TargetMode="External"/><Relationship Id="rId25" Type="http://schemas.openxmlformats.org/officeDocument/2006/relationships/hyperlink" Target="https://twitter.com/CorkyForNH/status/1323248497601204224" TargetMode="External"/><Relationship Id="rId46" Type="http://schemas.openxmlformats.org/officeDocument/2006/relationships/hyperlink" Target="https://twitter.com/CorkyForNH/status/1322146240201695233" TargetMode="External"/><Relationship Id="rId67" Type="http://schemas.openxmlformats.org/officeDocument/2006/relationships/hyperlink" Target="https://twitter.com/CorkyForNH/status/1320865701859594240" TargetMode="External"/><Relationship Id="rId88" Type="http://schemas.openxmlformats.org/officeDocument/2006/relationships/hyperlink" Target="https://twitter.com/CorkyForNH/status/1319043285164322816" TargetMode="External"/><Relationship Id="rId111" Type="http://schemas.openxmlformats.org/officeDocument/2006/relationships/hyperlink" Target="https://twitter.com/CorkyForNH/status/1318675108211273729" TargetMode="External"/><Relationship Id="rId132" Type="http://schemas.openxmlformats.org/officeDocument/2006/relationships/hyperlink" Target="https://twitter.com/CorkyForNH/status/1317104006443929600" TargetMode="External"/><Relationship Id="rId153" Type="http://schemas.openxmlformats.org/officeDocument/2006/relationships/hyperlink" Target="https://twitter.com/CorkyForNH/status/1316726195921264646" TargetMode="External"/><Relationship Id="rId174" Type="http://schemas.openxmlformats.org/officeDocument/2006/relationships/hyperlink" Target="https://twitter.com/CorkyForNH/status/1316019423849803778" TargetMode="External"/><Relationship Id="rId195" Type="http://schemas.openxmlformats.org/officeDocument/2006/relationships/hyperlink" Target="https://twitter.com/CorkyForNH/status/1314913577745018880" TargetMode="External"/><Relationship Id="rId209" Type="http://schemas.openxmlformats.org/officeDocument/2006/relationships/hyperlink" Target="https://twitter.com/CorkyForNH/status/1314289846475788290" TargetMode="External"/><Relationship Id="rId220" Type="http://schemas.openxmlformats.org/officeDocument/2006/relationships/hyperlink" Target="https://twitter.com/CorkyForNH/status/1314258757795278849" TargetMode="External"/><Relationship Id="rId241" Type="http://schemas.openxmlformats.org/officeDocument/2006/relationships/hyperlink" Target="https://twitter.com/CorkyForNH/status/1313256402899677185" TargetMode="External"/><Relationship Id="rId15" Type="http://schemas.openxmlformats.org/officeDocument/2006/relationships/hyperlink" Target="https://twitter.com/CorkyForNH/status/1323585247049621504" TargetMode="External"/><Relationship Id="rId36" Type="http://schemas.openxmlformats.org/officeDocument/2006/relationships/hyperlink" Target="https://twitter.com/CorkyForNH/status/1322508621113028608" TargetMode="External"/><Relationship Id="rId57" Type="http://schemas.openxmlformats.org/officeDocument/2006/relationships/hyperlink" Target="https://twitter.com/CorkyForNH/status/1321433290734272516" TargetMode="External"/><Relationship Id="rId78" Type="http://schemas.openxmlformats.org/officeDocument/2006/relationships/hyperlink" Target="https://twitter.com/CorkyForNH/status/1320031741034323969" TargetMode="External"/><Relationship Id="rId99" Type="http://schemas.openxmlformats.org/officeDocument/2006/relationships/hyperlink" Target="https://twitter.com/CorkyForNH/status/1318697622337691650" TargetMode="External"/><Relationship Id="rId101" Type="http://schemas.openxmlformats.org/officeDocument/2006/relationships/hyperlink" Target="https://twitter.com/CorkyForNH/status/1318695216526786566" TargetMode="External"/><Relationship Id="rId122" Type="http://schemas.openxmlformats.org/officeDocument/2006/relationships/hyperlink" Target="https://twitter.com/CorkyForNH/status/1317495591233085447" TargetMode="External"/><Relationship Id="rId143" Type="http://schemas.openxmlformats.org/officeDocument/2006/relationships/hyperlink" Target="https://twitter.com/CorkyForNH/status/1316733049539907584" TargetMode="External"/><Relationship Id="rId164" Type="http://schemas.openxmlformats.org/officeDocument/2006/relationships/hyperlink" Target="https://twitter.com/CorkyForNH/status/1316183188511825921" TargetMode="External"/><Relationship Id="rId185" Type="http://schemas.openxmlformats.org/officeDocument/2006/relationships/hyperlink" Target="https://twitter.com/CorkyForNH/status/1315666391027118083" TargetMode="External"/><Relationship Id="rId9" Type="http://schemas.openxmlformats.org/officeDocument/2006/relationships/hyperlink" Target="https://twitter.com/CorkyForNH/status/1323658188881862664" TargetMode="External"/><Relationship Id="rId210" Type="http://schemas.openxmlformats.org/officeDocument/2006/relationships/hyperlink" Target="https://twitter.com/CorkyForNH/status/1314288864354340864" TargetMode="External"/><Relationship Id="rId26" Type="http://schemas.openxmlformats.org/officeDocument/2006/relationships/hyperlink" Target="https://twitter.com/CorkyForNH/status/1323232569983406081" TargetMode="External"/><Relationship Id="rId231" Type="http://schemas.openxmlformats.org/officeDocument/2006/relationships/hyperlink" Target="https://twitter.com/CorkyForNH/status/1313842922748604418" TargetMode="External"/><Relationship Id="rId252" Type="http://schemas.openxmlformats.org/officeDocument/2006/relationships/hyperlink" Target="https://twitter.com/CorkyForNH/status/1312531124090859520" TargetMode="External"/><Relationship Id="rId47" Type="http://schemas.openxmlformats.org/officeDocument/2006/relationships/hyperlink" Target="https://twitter.com/CorkyForNH/status/1321976470256967687" TargetMode="External"/><Relationship Id="rId68" Type="http://schemas.openxmlformats.org/officeDocument/2006/relationships/hyperlink" Target="https://twitter.com/CorkyForNH/status/1320838323225714688" TargetMode="External"/><Relationship Id="rId89" Type="http://schemas.openxmlformats.org/officeDocument/2006/relationships/hyperlink" Target="https://twitter.com/CorkyForNH/status/1319013272713089030" TargetMode="External"/><Relationship Id="rId112" Type="http://schemas.openxmlformats.org/officeDocument/2006/relationships/hyperlink" Target="https://twitter.com/CorkyForNH/status/1318658013000048641" TargetMode="External"/><Relationship Id="rId133" Type="http://schemas.openxmlformats.org/officeDocument/2006/relationships/hyperlink" Target="https://twitter.com/CorkyForNH/status/1317086893075353602" TargetMode="External"/><Relationship Id="rId154" Type="http://schemas.openxmlformats.org/officeDocument/2006/relationships/hyperlink" Target="https://twitter.com/CorkyForNH/status/1316725014935240704" TargetMode="External"/><Relationship Id="rId175" Type="http://schemas.openxmlformats.org/officeDocument/2006/relationships/hyperlink" Target="https://twitter.com/CorkyForNH/status/1316019421249376257" TargetMode="External"/><Relationship Id="rId196" Type="http://schemas.openxmlformats.org/officeDocument/2006/relationships/hyperlink" Target="https://twitter.com/CorkyForNH/status/1314657460058292224" TargetMode="External"/><Relationship Id="rId200" Type="http://schemas.openxmlformats.org/officeDocument/2006/relationships/hyperlink" Target="https://twitter.com/CorkyForNH/status/1314631478232391681" TargetMode="External"/><Relationship Id="rId16" Type="http://schemas.openxmlformats.org/officeDocument/2006/relationships/hyperlink" Target="https://twitter.com/CorkyForNH/status/1323580687715307521" TargetMode="External"/><Relationship Id="rId221" Type="http://schemas.openxmlformats.org/officeDocument/2006/relationships/hyperlink" Target="https://twitter.com/CorkyForNH/status/1314252969567637504" TargetMode="External"/><Relationship Id="rId242" Type="http://schemas.openxmlformats.org/officeDocument/2006/relationships/hyperlink" Target="https://twitter.com/CorkyForNH/status/1313252632064999425" TargetMode="External"/><Relationship Id="rId37" Type="http://schemas.openxmlformats.org/officeDocument/2006/relationships/hyperlink" Target="https://twitter.com/CorkyForNH/status/1322358953716649991" TargetMode="External"/><Relationship Id="rId58" Type="http://schemas.openxmlformats.org/officeDocument/2006/relationships/hyperlink" Target="https://twitter.com/CorkyForNH/status/1321246734237028352" TargetMode="External"/><Relationship Id="rId79" Type="http://schemas.openxmlformats.org/officeDocument/2006/relationships/hyperlink" Target="https://twitter.com/CorkyForNH/status/1320014903403597824" TargetMode="External"/><Relationship Id="rId102" Type="http://schemas.openxmlformats.org/officeDocument/2006/relationships/hyperlink" Target="https://twitter.com/CorkyForNH/status/1318694585103679488" TargetMode="External"/><Relationship Id="rId123" Type="http://schemas.openxmlformats.org/officeDocument/2006/relationships/hyperlink" Target="https://twitter.com/CorkyForNH/status/1317495588590481408" TargetMode="External"/><Relationship Id="rId144" Type="http://schemas.openxmlformats.org/officeDocument/2006/relationships/hyperlink" Target="https://twitter.com/CorkyForNH/status/1316732164449460226" TargetMode="External"/><Relationship Id="rId90" Type="http://schemas.openxmlformats.org/officeDocument/2006/relationships/hyperlink" Target="https://twitter.com/CorkyForNH/status/1319005593999429632" TargetMode="External"/><Relationship Id="rId165" Type="http://schemas.openxmlformats.org/officeDocument/2006/relationships/hyperlink" Target="https://twitter.com/CorkyForNH/status/1316167837401010176" TargetMode="External"/><Relationship Id="rId186" Type="http://schemas.openxmlformats.org/officeDocument/2006/relationships/hyperlink" Target="https://twitter.com/CorkyForNH/status/1315645458400894978" TargetMode="External"/><Relationship Id="rId211" Type="http://schemas.openxmlformats.org/officeDocument/2006/relationships/hyperlink" Target="https://twitter.com/CorkyForNH/status/1314288186991013889" TargetMode="External"/><Relationship Id="rId232" Type="http://schemas.openxmlformats.org/officeDocument/2006/relationships/hyperlink" Target="https://twitter.com/CorkyForNH/status/1313645215253630976" TargetMode="External"/><Relationship Id="rId253" Type="http://schemas.openxmlformats.org/officeDocument/2006/relationships/hyperlink" Target="https://twitter.com/CorkyForNH/status/1312512149709701121" TargetMode="External"/><Relationship Id="rId27" Type="http://schemas.openxmlformats.org/officeDocument/2006/relationships/hyperlink" Target="https://twitter.com/CorkyForNH/status/1323040875358744578" TargetMode="External"/><Relationship Id="rId48" Type="http://schemas.openxmlformats.org/officeDocument/2006/relationships/hyperlink" Target="https://twitter.com/CorkyForNH/status/1321889544120147968" TargetMode="External"/><Relationship Id="rId69" Type="http://schemas.openxmlformats.org/officeDocument/2006/relationships/hyperlink" Target="https://twitter.com/CorkyForNH/status/1320823568368869376" TargetMode="External"/><Relationship Id="rId113" Type="http://schemas.openxmlformats.org/officeDocument/2006/relationships/hyperlink" Target="https://twitter.com/CorkyForNH/status/1318288561150439425" TargetMode="External"/><Relationship Id="rId134" Type="http://schemas.openxmlformats.org/officeDocument/2006/relationships/hyperlink" Target="https://twitter.com/CorkyForNH/status/1317071195020341250" TargetMode="External"/><Relationship Id="rId80" Type="http://schemas.openxmlformats.org/officeDocument/2006/relationships/hyperlink" Target="https://twitter.com/CorkyForNH/status/1319734238762106880" TargetMode="External"/><Relationship Id="rId155" Type="http://schemas.openxmlformats.org/officeDocument/2006/relationships/hyperlink" Target="https://twitter.com/CorkyForNH/status/1316713898154905600" TargetMode="External"/><Relationship Id="rId176" Type="http://schemas.openxmlformats.org/officeDocument/2006/relationships/hyperlink" Target="https://twitter.com/CorkyForNH/status/1316019418673999878" TargetMode="External"/><Relationship Id="rId197" Type="http://schemas.openxmlformats.org/officeDocument/2006/relationships/hyperlink" Target="https://twitter.com/CorkyForNH/status/1314657458107961344" TargetMode="External"/><Relationship Id="rId201" Type="http://schemas.openxmlformats.org/officeDocument/2006/relationships/hyperlink" Target="https://twitter.com/CorkyForNH/status/1314631475518726144" TargetMode="External"/><Relationship Id="rId222" Type="http://schemas.openxmlformats.org/officeDocument/2006/relationships/hyperlink" Target="https://twitter.com/CorkyForNH/status/1314244161583841283" TargetMode="External"/><Relationship Id="rId243" Type="http://schemas.openxmlformats.org/officeDocument/2006/relationships/hyperlink" Target="https://twitter.com/CorkyForNH/status/1313245079423856641" TargetMode="External"/><Relationship Id="rId17" Type="http://schemas.openxmlformats.org/officeDocument/2006/relationships/hyperlink" Target="https://twitter.com/CorkyForNH/status/1323496445694062592" TargetMode="External"/><Relationship Id="rId38" Type="http://schemas.openxmlformats.org/officeDocument/2006/relationships/hyperlink" Target="https://twitter.com/CorkyForNH/status/1322343078406033410" TargetMode="External"/><Relationship Id="rId59" Type="http://schemas.openxmlformats.org/officeDocument/2006/relationships/hyperlink" Target="https://twitter.com/CorkyForNH/status/1321204684875550720" TargetMode="External"/><Relationship Id="rId103" Type="http://schemas.openxmlformats.org/officeDocument/2006/relationships/hyperlink" Target="https://twitter.com/CorkyForNH/status/1318694295432462336" TargetMode="External"/><Relationship Id="rId124" Type="http://schemas.openxmlformats.org/officeDocument/2006/relationships/hyperlink" Target="https://twitter.com/CorkyForNH/status/1317474910361559040" TargetMode="External"/><Relationship Id="rId70" Type="http://schemas.openxmlformats.org/officeDocument/2006/relationships/hyperlink" Target="https://twitter.com/CorkyForNH/status/1320800391425130497" TargetMode="External"/><Relationship Id="rId91" Type="http://schemas.openxmlformats.org/officeDocument/2006/relationships/hyperlink" Target="https://twitter.com/CorkyForNH/status/1318970555094036480" TargetMode="External"/><Relationship Id="rId145" Type="http://schemas.openxmlformats.org/officeDocument/2006/relationships/hyperlink" Target="https://twitter.com/CorkyForNH/status/1316731823704215553" TargetMode="External"/><Relationship Id="rId166" Type="http://schemas.openxmlformats.org/officeDocument/2006/relationships/hyperlink" Target="https://twitter.com/CorkyForNH/status/1316151732406288385" TargetMode="External"/><Relationship Id="rId187" Type="http://schemas.openxmlformats.org/officeDocument/2006/relationships/hyperlink" Target="https://twitter.com/CorkyForNH/status/1315426959837536257" TargetMode="External"/><Relationship Id="rId1" Type="http://schemas.openxmlformats.org/officeDocument/2006/relationships/hyperlink" Target="https://twitter.com/CorkyForNH/status/1323771336976703489" TargetMode="External"/><Relationship Id="rId212" Type="http://schemas.openxmlformats.org/officeDocument/2006/relationships/hyperlink" Target="https://twitter.com/CorkyForNH/status/1314287226004680713" TargetMode="External"/><Relationship Id="rId233" Type="http://schemas.openxmlformats.org/officeDocument/2006/relationships/hyperlink" Target="https://twitter.com/CorkyForNH/status/1313631374067154944" TargetMode="External"/><Relationship Id="rId254" Type="http://schemas.openxmlformats.org/officeDocument/2006/relationships/hyperlink" Target="https://twitter.com/CorkyForNH/status/1312478978662260736" TargetMode="External"/><Relationship Id="rId28" Type="http://schemas.openxmlformats.org/officeDocument/2006/relationships/hyperlink" Target="https://twitter.com/CorkyForNH/status/1323006901798367232" TargetMode="External"/><Relationship Id="rId49" Type="http://schemas.openxmlformats.org/officeDocument/2006/relationships/hyperlink" Target="https://twitter.com/CorkyForNH/status/1321844249218834432" TargetMode="External"/><Relationship Id="rId114" Type="http://schemas.openxmlformats.org/officeDocument/2006/relationships/hyperlink" Target="https://twitter.com/CorkyForNH/status/1318239017348091904" TargetMode="External"/><Relationship Id="rId60" Type="http://schemas.openxmlformats.org/officeDocument/2006/relationships/hyperlink" Target="https://twitter.com/CorkyForNH/status/1321164764865826822" TargetMode="External"/><Relationship Id="rId81" Type="http://schemas.openxmlformats.org/officeDocument/2006/relationships/hyperlink" Target="https://twitter.com/CorkyForNH/status/1319704936733679617" TargetMode="External"/><Relationship Id="rId135" Type="http://schemas.openxmlformats.org/officeDocument/2006/relationships/hyperlink" Target="https://twitter.com/CorkyForNH/status/1316822964910854144" TargetMode="External"/><Relationship Id="rId156" Type="http://schemas.openxmlformats.org/officeDocument/2006/relationships/hyperlink" Target="https://twitter.com/CorkyForNH/status/1316507324161437699" TargetMode="External"/><Relationship Id="rId177" Type="http://schemas.openxmlformats.org/officeDocument/2006/relationships/hyperlink" Target="https://twitter.com/CorkyForNH/status/1316019417113714691" TargetMode="External"/><Relationship Id="rId198" Type="http://schemas.openxmlformats.org/officeDocument/2006/relationships/hyperlink" Target="https://twitter.com/CorkyForNH/status/1314631483001384965" TargetMode="External"/><Relationship Id="rId202" Type="http://schemas.openxmlformats.org/officeDocument/2006/relationships/hyperlink" Target="https://twitter.com/CorkyForNH/status/1314631474595999746" TargetMode="External"/><Relationship Id="rId223" Type="http://schemas.openxmlformats.org/officeDocument/2006/relationships/hyperlink" Target="https://twitter.com/CorkyForNH/status/1314234102002974720" TargetMode="External"/><Relationship Id="rId244" Type="http://schemas.openxmlformats.org/officeDocument/2006/relationships/hyperlink" Target="https://twitter.com/CorkyForNH/status/1313219831068594176" TargetMode="External"/><Relationship Id="rId18" Type="http://schemas.openxmlformats.org/officeDocument/2006/relationships/hyperlink" Target="https://twitter.com/CorkyForNH/status/1323429691152310272" TargetMode="External"/><Relationship Id="rId39" Type="http://schemas.openxmlformats.org/officeDocument/2006/relationships/hyperlink" Target="https://twitter.com/CorkyForNH/status/1322299846037037057" TargetMode="External"/><Relationship Id="rId50" Type="http://schemas.openxmlformats.org/officeDocument/2006/relationships/hyperlink" Target="https://twitter.com/CorkyForNH/status/1321798942594457600" TargetMode="External"/><Relationship Id="rId104" Type="http://schemas.openxmlformats.org/officeDocument/2006/relationships/hyperlink" Target="https://twitter.com/CorkyForNH/status/1318692988508319746" TargetMode="External"/><Relationship Id="rId125" Type="http://schemas.openxmlformats.org/officeDocument/2006/relationships/hyperlink" Target="https://twitter.com/CorkyForNH/status/1317450295505383424" TargetMode="External"/><Relationship Id="rId146" Type="http://schemas.openxmlformats.org/officeDocument/2006/relationships/hyperlink" Target="https://twitter.com/CorkyForNH/status/1316731481495089153" TargetMode="External"/><Relationship Id="rId167" Type="http://schemas.openxmlformats.org/officeDocument/2006/relationships/hyperlink" Target="https://twitter.com/CorkyForNH/status/1316137386976448512" TargetMode="External"/><Relationship Id="rId188" Type="http://schemas.openxmlformats.org/officeDocument/2006/relationships/hyperlink" Target="https://twitter.com/CorkyForNH/status/1315366561150976000" TargetMode="External"/><Relationship Id="rId71" Type="http://schemas.openxmlformats.org/officeDocument/2006/relationships/hyperlink" Target="https://twitter.com/CorkyForNH/status/1320714629824339968" TargetMode="External"/><Relationship Id="rId92" Type="http://schemas.openxmlformats.org/officeDocument/2006/relationships/hyperlink" Target="https://twitter.com/CorkyForNH/status/1318960441796759553" TargetMode="External"/><Relationship Id="rId213" Type="http://schemas.openxmlformats.org/officeDocument/2006/relationships/hyperlink" Target="https://twitter.com/CorkyForNH/status/1314285736758333443" TargetMode="External"/><Relationship Id="rId234" Type="http://schemas.openxmlformats.org/officeDocument/2006/relationships/hyperlink" Target="https://twitter.com/CorkyForNH/status/1313612499208429569" TargetMode="External"/><Relationship Id="rId2" Type="http://schemas.openxmlformats.org/officeDocument/2006/relationships/hyperlink" Target="https://twitter.com/CorkyForNH/status/1323761880301666305" TargetMode="External"/><Relationship Id="rId29" Type="http://schemas.openxmlformats.org/officeDocument/2006/relationships/hyperlink" Target="https://twitter.com/CorkyForNH/status/1322976703308726277" TargetMode="External"/><Relationship Id="rId255" Type="http://schemas.openxmlformats.org/officeDocument/2006/relationships/hyperlink" Target="https://twitter.com/CorkyForNH/status/1312445797154402304" TargetMode="External"/><Relationship Id="rId40" Type="http://schemas.openxmlformats.org/officeDocument/2006/relationships/hyperlink" Target="https://twitter.com/CorkyForNH/status/1322297227822440454" TargetMode="External"/><Relationship Id="rId115" Type="http://schemas.openxmlformats.org/officeDocument/2006/relationships/hyperlink" Target="https://twitter.com/CorkyForNH/status/1318216083556470797" TargetMode="External"/><Relationship Id="rId136" Type="http://schemas.openxmlformats.org/officeDocument/2006/relationships/hyperlink" Target="https://twitter.com/CorkyForNH/status/1316787944859070472" TargetMode="External"/><Relationship Id="rId157" Type="http://schemas.openxmlformats.org/officeDocument/2006/relationships/hyperlink" Target="https://twitter.com/CorkyForNH/status/1316491469654495239" TargetMode="External"/><Relationship Id="rId178" Type="http://schemas.openxmlformats.org/officeDocument/2006/relationships/hyperlink" Target="https://twitter.com/CorkyForNH/status/1316005203808747520" TargetMode="External"/><Relationship Id="rId61" Type="http://schemas.openxmlformats.org/officeDocument/2006/relationships/hyperlink" Target="https://twitter.com/CorkyForNH/status/1321094901627523076" TargetMode="External"/><Relationship Id="rId82" Type="http://schemas.openxmlformats.org/officeDocument/2006/relationships/hyperlink" Target="https://twitter.com/CorkyForNH/status/1319673733531971589" TargetMode="External"/><Relationship Id="rId199" Type="http://schemas.openxmlformats.org/officeDocument/2006/relationships/hyperlink" Target="https://twitter.com/CorkyForNH/status/1314631480627339266" TargetMode="External"/><Relationship Id="rId203" Type="http://schemas.openxmlformats.org/officeDocument/2006/relationships/hyperlink" Target="https://twitter.com/CorkyForNH/status/1314610163660226567" TargetMode="External"/><Relationship Id="rId19" Type="http://schemas.openxmlformats.org/officeDocument/2006/relationships/hyperlink" Target="https://twitter.com/CorkyForNH/status/1323399489378525190" TargetMode="External"/><Relationship Id="rId224" Type="http://schemas.openxmlformats.org/officeDocument/2006/relationships/hyperlink" Target="https://twitter.com/CorkyForNH/status/1314211697779900419" TargetMode="External"/><Relationship Id="rId245" Type="http://schemas.openxmlformats.org/officeDocument/2006/relationships/hyperlink" Target="https://twitter.com/CorkyForNH/status/1313186665075281923" TargetMode="External"/><Relationship Id="rId30" Type="http://schemas.openxmlformats.org/officeDocument/2006/relationships/hyperlink" Target="https://twitter.com/CorkyForNH/status/1322931405245026304" TargetMode="External"/><Relationship Id="rId105" Type="http://schemas.openxmlformats.org/officeDocument/2006/relationships/hyperlink" Target="https://twitter.com/CorkyForNH/status/1318692015312392198" TargetMode="External"/><Relationship Id="rId126" Type="http://schemas.openxmlformats.org/officeDocument/2006/relationships/hyperlink" Target="https://twitter.com/CorkyForNH/status/1317196686591250432" TargetMode="External"/><Relationship Id="rId147" Type="http://schemas.openxmlformats.org/officeDocument/2006/relationships/hyperlink" Target="https://twitter.com/CorkyForNH/status/1316730638712569857" TargetMode="External"/><Relationship Id="rId168" Type="http://schemas.openxmlformats.org/officeDocument/2006/relationships/hyperlink" Target="https://twitter.com/CorkyForNH/status/1316122494726811651" TargetMode="External"/><Relationship Id="rId51" Type="http://schemas.openxmlformats.org/officeDocument/2006/relationships/hyperlink" Target="https://twitter.com/CorkyForNH/status/1321798334768709632" TargetMode="External"/><Relationship Id="rId72" Type="http://schemas.openxmlformats.org/officeDocument/2006/relationships/hyperlink" Target="https://twitter.com/CorkyForNH/status/1320392809157976069" TargetMode="External"/><Relationship Id="rId93" Type="http://schemas.openxmlformats.org/officeDocument/2006/relationships/hyperlink" Target="https://twitter.com/CorkyForNH/status/1318940859279286273" TargetMode="External"/><Relationship Id="rId189" Type="http://schemas.openxmlformats.org/officeDocument/2006/relationships/hyperlink" Target="https://twitter.com/CorkyForNH/status/1315347730466852865" TargetMode="External"/><Relationship Id="rId3" Type="http://schemas.openxmlformats.org/officeDocument/2006/relationships/hyperlink" Target="https://twitter.com/CorkyForNH/status/1323750685037527045" TargetMode="External"/><Relationship Id="rId214" Type="http://schemas.openxmlformats.org/officeDocument/2006/relationships/hyperlink" Target="https://twitter.com/CorkyForNH/status/1314284478672629762" TargetMode="External"/><Relationship Id="rId235" Type="http://schemas.openxmlformats.org/officeDocument/2006/relationships/hyperlink" Target="https://twitter.com/CorkyForNH/status/1313582300471398401" TargetMode="External"/><Relationship Id="rId256" Type="http://schemas.openxmlformats.org/officeDocument/2006/relationships/hyperlink" Target="https://twitter.com/CorkyForNH/status/1312422164130263041" TargetMode="External"/><Relationship Id="rId116" Type="http://schemas.openxmlformats.org/officeDocument/2006/relationships/hyperlink" Target="https://twitter.com/CorkyForNH/status/1318190170110296066" TargetMode="External"/><Relationship Id="rId137" Type="http://schemas.openxmlformats.org/officeDocument/2006/relationships/hyperlink" Target="https://twitter.com/CorkyForNH/status/1316744689618489344" TargetMode="External"/><Relationship Id="rId158" Type="http://schemas.openxmlformats.org/officeDocument/2006/relationships/hyperlink" Target="https://twitter.com/CorkyForNH/status/1316476370055118850" TargetMode="External"/><Relationship Id="rId20" Type="http://schemas.openxmlformats.org/officeDocument/2006/relationships/hyperlink" Target="https://twitter.com/CorkyForNH/status/1323393262271516673" TargetMode="External"/><Relationship Id="rId41" Type="http://schemas.openxmlformats.org/officeDocument/2006/relationships/hyperlink" Target="https://twitter.com/CorkyForNH/status/1322277344216834052" TargetMode="External"/><Relationship Id="rId62" Type="http://schemas.openxmlformats.org/officeDocument/2006/relationships/hyperlink" Target="https://twitter.com/CorkyForNH/status/1321059067671007232" TargetMode="External"/><Relationship Id="rId83" Type="http://schemas.openxmlformats.org/officeDocument/2006/relationships/hyperlink" Target="https://twitter.com/CorkyForNH/status/1319438401335164929" TargetMode="External"/><Relationship Id="rId179" Type="http://schemas.openxmlformats.org/officeDocument/2006/relationships/hyperlink" Target="https://twitter.com/CorkyForNH/status/1315993964152074240" TargetMode="External"/><Relationship Id="rId190" Type="http://schemas.openxmlformats.org/officeDocument/2006/relationships/hyperlink" Target="https://twitter.com/CorkyForNH/status/1315028845565800453" TargetMode="External"/><Relationship Id="rId204" Type="http://schemas.openxmlformats.org/officeDocument/2006/relationships/hyperlink" Target="https://twitter.com/CorkyForNH/status/1314588181556232192" TargetMode="External"/><Relationship Id="rId225" Type="http://schemas.openxmlformats.org/officeDocument/2006/relationships/hyperlink" Target="https://twitter.com/CorkyForNH/status/1314196856935776257" TargetMode="External"/><Relationship Id="rId246" Type="http://schemas.openxmlformats.org/officeDocument/2006/relationships/hyperlink" Target="https://twitter.com/CorkyForNH/status/1313144398163705856" TargetMode="External"/><Relationship Id="rId106" Type="http://schemas.openxmlformats.org/officeDocument/2006/relationships/hyperlink" Target="https://twitter.com/CorkyForNH/status/1318691099289047041" TargetMode="External"/><Relationship Id="rId127" Type="http://schemas.openxmlformats.org/officeDocument/2006/relationships/hyperlink" Target="https://twitter.com/CorkyForNH/status/1317191799874686976" TargetMode="External"/><Relationship Id="rId10" Type="http://schemas.openxmlformats.org/officeDocument/2006/relationships/hyperlink" Target="https://twitter.com/CorkyForNH/status/1323656183769542656" TargetMode="External"/><Relationship Id="rId31" Type="http://schemas.openxmlformats.org/officeDocument/2006/relationships/hyperlink" Target="https://twitter.com/CorkyForNH/status/1322886105612587010" TargetMode="External"/><Relationship Id="rId52" Type="http://schemas.openxmlformats.org/officeDocument/2006/relationships/hyperlink" Target="https://twitter.com/CorkyForNH/status/1321753645390696448" TargetMode="External"/><Relationship Id="rId73" Type="http://schemas.openxmlformats.org/officeDocument/2006/relationships/hyperlink" Target="https://twitter.com/CorkyForNH/status/1320390969200693248" TargetMode="External"/><Relationship Id="rId94" Type="http://schemas.openxmlformats.org/officeDocument/2006/relationships/hyperlink" Target="https://twitter.com/CorkyForNH/status/1318917436796735489" TargetMode="External"/><Relationship Id="rId148" Type="http://schemas.openxmlformats.org/officeDocument/2006/relationships/hyperlink" Target="https://twitter.com/CorkyForNH/status/1316729622734798853" TargetMode="External"/><Relationship Id="rId169" Type="http://schemas.openxmlformats.org/officeDocument/2006/relationships/hyperlink" Target="https://twitter.com/CorkyForNH/status/1316122493820768264" TargetMode="External"/><Relationship Id="rId4" Type="http://schemas.openxmlformats.org/officeDocument/2006/relationships/hyperlink" Target="https://twitter.com/CorkyForNH/status/1323720055335563264" TargetMode="External"/><Relationship Id="rId180" Type="http://schemas.openxmlformats.org/officeDocument/2006/relationships/hyperlink" Target="https://twitter.com/CorkyForNH/status/1315763674133471234" TargetMode="External"/><Relationship Id="rId215" Type="http://schemas.openxmlformats.org/officeDocument/2006/relationships/hyperlink" Target="https://twitter.com/CorkyForNH/status/1314283680475549697" TargetMode="External"/><Relationship Id="rId236" Type="http://schemas.openxmlformats.org/officeDocument/2006/relationships/hyperlink" Target="https://twitter.com/CorkyForNH/status/1313539637550481408" TargetMode="External"/><Relationship Id="rId257"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117" Type="http://schemas.openxmlformats.org/officeDocument/2006/relationships/hyperlink" Target="https://twitter.com/ThomTillis/status/1318170947174748162" TargetMode="External"/><Relationship Id="rId21" Type="http://schemas.openxmlformats.org/officeDocument/2006/relationships/hyperlink" Target="https://twitter.com/ThomTillis/status/1323055428293545986" TargetMode="External"/><Relationship Id="rId42" Type="http://schemas.openxmlformats.org/officeDocument/2006/relationships/hyperlink" Target="https://twitter.com/ThomTillis/status/1322251728591507456" TargetMode="External"/><Relationship Id="rId63" Type="http://schemas.openxmlformats.org/officeDocument/2006/relationships/hyperlink" Target="https://twitter.com/ThomTillis/status/1321259453023399937" TargetMode="External"/><Relationship Id="rId84" Type="http://schemas.openxmlformats.org/officeDocument/2006/relationships/hyperlink" Target="https://twitter.com/ThomTillis/status/1320433661267902465" TargetMode="External"/><Relationship Id="rId138" Type="http://schemas.openxmlformats.org/officeDocument/2006/relationships/hyperlink" Target="https://twitter.com/ThomTillis/status/1316553880013099014" TargetMode="External"/><Relationship Id="rId159" Type="http://schemas.openxmlformats.org/officeDocument/2006/relationships/hyperlink" Target="https://twitter.com/ThomTillis/status/1314656267797966848" TargetMode="External"/><Relationship Id="rId170" Type="http://schemas.openxmlformats.org/officeDocument/2006/relationships/hyperlink" Target="https://twitter.com/ThomTillis/status/1313917691040878592" TargetMode="External"/><Relationship Id="rId107" Type="http://schemas.openxmlformats.org/officeDocument/2006/relationships/hyperlink" Target="https://twitter.com/ThomTillis/status/1318694852494753792" TargetMode="External"/><Relationship Id="rId11" Type="http://schemas.openxmlformats.org/officeDocument/2006/relationships/hyperlink" Target="https://twitter.com/ThomTillis/status/1323475386106347521" TargetMode="External"/><Relationship Id="rId32" Type="http://schemas.openxmlformats.org/officeDocument/2006/relationships/hyperlink" Target="https://twitter.com/ThomTillis/status/1322670071844638720" TargetMode="External"/><Relationship Id="rId53" Type="http://schemas.openxmlformats.org/officeDocument/2006/relationships/hyperlink" Target="https://twitter.com/ThomTillis/status/1321851937445322752" TargetMode="External"/><Relationship Id="rId74" Type="http://schemas.openxmlformats.org/officeDocument/2006/relationships/hyperlink" Target="https://twitter.com/ThomTillis/status/1320889215090085888" TargetMode="External"/><Relationship Id="rId128" Type="http://schemas.openxmlformats.org/officeDocument/2006/relationships/hyperlink" Target="https://twitter.com/ThomTillis/status/1317237792162959361" TargetMode="External"/><Relationship Id="rId149" Type="http://schemas.openxmlformats.org/officeDocument/2006/relationships/hyperlink" Target="https://twitter.com/ThomTillis/status/1315666364414267393" TargetMode="External"/><Relationship Id="rId5" Type="http://schemas.openxmlformats.org/officeDocument/2006/relationships/hyperlink" Target="https://twitter.com/ThomTillis/status/1323694640437100545" TargetMode="External"/><Relationship Id="rId95" Type="http://schemas.openxmlformats.org/officeDocument/2006/relationships/hyperlink" Target="https://twitter.com/ThomTillis/status/1319651574067662848" TargetMode="External"/><Relationship Id="rId160" Type="http://schemas.openxmlformats.org/officeDocument/2006/relationships/hyperlink" Target="https://twitter.com/ThomTillis/status/1314641870639820800" TargetMode="External"/><Relationship Id="rId181" Type="http://schemas.openxmlformats.org/officeDocument/2006/relationships/hyperlink" Target="https://twitter.com/ThomTillis/status/1313254056069083136" TargetMode="External"/><Relationship Id="rId22" Type="http://schemas.openxmlformats.org/officeDocument/2006/relationships/hyperlink" Target="https://twitter.com/ThomTillis/status/1323042205272035329" TargetMode="External"/><Relationship Id="rId43" Type="http://schemas.openxmlformats.org/officeDocument/2006/relationships/hyperlink" Target="https://twitter.com/ThomTillis/status/1322234764074647558" TargetMode="External"/><Relationship Id="rId64" Type="http://schemas.openxmlformats.org/officeDocument/2006/relationships/hyperlink" Target="https://twitter.com/ThomTillis/status/1321247357661491201" TargetMode="External"/><Relationship Id="rId118" Type="http://schemas.openxmlformats.org/officeDocument/2006/relationships/hyperlink" Target="https://twitter.com/ThomTillis/status/1317998198619852800" TargetMode="External"/><Relationship Id="rId139" Type="http://schemas.openxmlformats.org/officeDocument/2006/relationships/hyperlink" Target="https://twitter.com/ThomTillis/status/1316536895736872960" TargetMode="External"/><Relationship Id="rId85" Type="http://schemas.openxmlformats.org/officeDocument/2006/relationships/hyperlink" Target="https://twitter.com/ThomTillis/status/1320366971561644033" TargetMode="External"/><Relationship Id="rId150" Type="http://schemas.openxmlformats.org/officeDocument/2006/relationships/hyperlink" Target="https://twitter.com/ThomTillis/status/1315449233017901056" TargetMode="External"/><Relationship Id="rId171" Type="http://schemas.openxmlformats.org/officeDocument/2006/relationships/hyperlink" Target="https://twitter.com/ThomTillis/status/1313904806705139714" TargetMode="External"/><Relationship Id="rId12" Type="http://schemas.openxmlformats.org/officeDocument/2006/relationships/hyperlink" Target="https://twitter.com/ThomTillis/status/1323422157456744449" TargetMode="External"/><Relationship Id="rId33" Type="http://schemas.openxmlformats.org/officeDocument/2006/relationships/hyperlink" Target="https://twitter.com/ThomTillis/status/1322661338443862017" TargetMode="External"/><Relationship Id="rId108" Type="http://schemas.openxmlformats.org/officeDocument/2006/relationships/hyperlink" Target="https://twitter.com/ThomTillis/status/1318675899697516553" TargetMode="External"/><Relationship Id="rId129" Type="http://schemas.openxmlformats.org/officeDocument/2006/relationships/hyperlink" Target="https://twitter.com/ThomTillis/status/1317207845172056069" TargetMode="External"/><Relationship Id="rId54" Type="http://schemas.openxmlformats.org/officeDocument/2006/relationships/hyperlink" Target="https://twitter.com/ThomTillis/status/1321813399911702528" TargetMode="External"/><Relationship Id="rId75" Type="http://schemas.openxmlformats.org/officeDocument/2006/relationships/hyperlink" Target="https://twitter.com/ThomTillis/status/1320841765679697921" TargetMode="External"/><Relationship Id="rId96" Type="http://schemas.openxmlformats.org/officeDocument/2006/relationships/hyperlink" Target="https://twitter.com/ThomTillis/status/1319440566376140802" TargetMode="External"/><Relationship Id="rId140" Type="http://schemas.openxmlformats.org/officeDocument/2006/relationships/hyperlink" Target="https://twitter.com/ThomTillis/status/1316532105275420673" TargetMode="External"/><Relationship Id="rId161" Type="http://schemas.openxmlformats.org/officeDocument/2006/relationships/hyperlink" Target="https://twitter.com/ThomTillis/status/1314597492282007556" TargetMode="External"/><Relationship Id="rId182" Type="http://schemas.openxmlformats.org/officeDocument/2006/relationships/hyperlink" Target="https://twitter.com/ThomTillis/status/1313146609891454981" TargetMode="External"/><Relationship Id="rId6" Type="http://schemas.openxmlformats.org/officeDocument/2006/relationships/hyperlink" Target="https://twitter.com/ThomTillis/status/1323689823056613382" TargetMode="External"/><Relationship Id="rId23" Type="http://schemas.openxmlformats.org/officeDocument/2006/relationships/hyperlink" Target="https://twitter.com/ThomTillis/status/1323017346114588672" TargetMode="External"/><Relationship Id="rId119" Type="http://schemas.openxmlformats.org/officeDocument/2006/relationships/hyperlink" Target="https://twitter.com/ThomTillis/status/1317978491581878276" TargetMode="External"/><Relationship Id="rId44" Type="http://schemas.openxmlformats.org/officeDocument/2006/relationships/hyperlink" Target="https://twitter.com/ThomTillis/status/1322209493141381120" TargetMode="External"/><Relationship Id="rId60" Type="http://schemas.openxmlformats.org/officeDocument/2006/relationships/hyperlink" Target="https://twitter.com/ThomTillis/status/1321479095490891776" TargetMode="External"/><Relationship Id="rId65" Type="http://schemas.openxmlformats.org/officeDocument/2006/relationships/hyperlink" Target="https://twitter.com/ThomTillis/status/1321209327953289217" TargetMode="External"/><Relationship Id="rId81" Type="http://schemas.openxmlformats.org/officeDocument/2006/relationships/hyperlink" Target="https://twitter.com/ThomTillis/status/1320519521149571078" TargetMode="External"/><Relationship Id="rId86" Type="http://schemas.openxmlformats.org/officeDocument/2006/relationships/hyperlink" Target="https://twitter.com/ThomTillis/status/1320115600186892290" TargetMode="External"/><Relationship Id="rId130" Type="http://schemas.openxmlformats.org/officeDocument/2006/relationships/hyperlink" Target="https://twitter.com/ThomTillis/status/1317165859308187649" TargetMode="External"/><Relationship Id="rId135" Type="http://schemas.openxmlformats.org/officeDocument/2006/relationships/hyperlink" Target="https://twitter.com/ThomTillis/status/1316805428785938432" TargetMode="External"/><Relationship Id="rId151" Type="http://schemas.openxmlformats.org/officeDocument/2006/relationships/hyperlink" Target="https://twitter.com/ThomTillis/status/1315415320245526529" TargetMode="External"/><Relationship Id="rId156" Type="http://schemas.openxmlformats.org/officeDocument/2006/relationships/hyperlink" Target="https://twitter.com/ThomTillis/status/1315002629102145538" TargetMode="External"/><Relationship Id="rId177" Type="http://schemas.openxmlformats.org/officeDocument/2006/relationships/hyperlink" Target="https://twitter.com/ThomTillis/status/1313517755702947842" TargetMode="External"/><Relationship Id="rId172" Type="http://schemas.openxmlformats.org/officeDocument/2006/relationships/hyperlink" Target="https://twitter.com/ThomTillis/status/1313850607170654211" TargetMode="External"/><Relationship Id="rId13" Type="http://schemas.openxmlformats.org/officeDocument/2006/relationships/hyperlink" Target="https://twitter.com/ThomTillis/status/1323387079745785856" TargetMode="External"/><Relationship Id="rId18" Type="http://schemas.openxmlformats.org/officeDocument/2006/relationships/hyperlink" Target="https://twitter.com/ThomTillis/status/1323271220301877249" TargetMode="External"/><Relationship Id="rId39" Type="http://schemas.openxmlformats.org/officeDocument/2006/relationships/hyperlink" Target="https://twitter.com/ThomTillis/status/1322305954914992130" TargetMode="External"/><Relationship Id="rId109" Type="http://schemas.openxmlformats.org/officeDocument/2006/relationships/hyperlink" Target="https://twitter.com/ThomTillis/status/1318603276661784577" TargetMode="External"/><Relationship Id="rId34" Type="http://schemas.openxmlformats.org/officeDocument/2006/relationships/hyperlink" Target="https://twitter.com/ThomTillis/status/1322643177505988616" TargetMode="External"/><Relationship Id="rId50" Type="http://schemas.openxmlformats.org/officeDocument/2006/relationships/hyperlink" Target="https://twitter.com/ThomTillis/status/1321936006522802176" TargetMode="External"/><Relationship Id="rId55" Type="http://schemas.openxmlformats.org/officeDocument/2006/relationships/hyperlink" Target="https://twitter.com/ThomTillis/status/1321597933029105665" TargetMode="External"/><Relationship Id="rId76" Type="http://schemas.openxmlformats.org/officeDocument/2006/relationships/hyperlink" Target="https://twitter.com/ThomTillis/status/1320797058673102851" TargetMode="External"/><Relationship Id="rId97" Type="http://schemas.openxmlformats.org/officeDocument/2006/relationships/hyperlink" Target="https://twitter.com/ThomTillis/status/1319429911942225920" TargetMode="External"/><Relationship Id="rId104" Type="http://schemas.openxmlformats.org/officeDocument/2006/relationships/hyperlink" Target="https://twitter.com/ThomTillis/status/1318935033583984643" TargetMode="External"/><Relationship Id="rId120" Type="http://schemas.openxmlformats.org/officeDocument/2006/relationships/hyperlink" Target="https://twitter.com/ThomTillis/status/1317914307523465217" TargetMode="External"/><Relationship Id="rId125" Type="http://schemas.openxmlformats.org/officeDocument/2006/relationships/hyperlink" Target="https://twitter.com/ThomTillis/status/1317513561598550017" TargetMode="External"/><Relationship Id="rId141" Type="http://schemas.openxmlformats.org/officeDocument/2006/relationships/hyperlink" Target="https://twitter.com/ThomTillis/status/1316510416483356672" TargetMode="External"/><Relationship Id="rId146" Type="http://schemas.openxmlformats.org/officeDocument/2006/relationships/hyperlink" Target="https://twitter.com/ThomTillis/status/1315804072855953408" TargetMode="External"/><Relationship Id="rId167" Type="http://schemas.openxmlformats.org/officeDocument/2006/relationships/hyperlink" Target="https://twitter.com/ThomTillis/status/1314167351093465088" TargetMode="External"/><Relationship Id="rId7" Type="http://schemas.openxmlformats.org/officeDocument/2006/relationships/hyperlink" Target="https://twitter.com/ThomTillis/status/1323678647274921984" TargetMode="External"/><Relationship Id="rId71" Type="http://schemas.openxmlformats.org/officeDocument/2006/relationships/hyperlink" Target="https://twitter.com/ThomTillis/status/1321088786168745987" TargetMode="External"/><Relationship Id="rId92" Type="http://schemas.openxmlformats.org/officeDocument/2006/relationships/hyperlink" Target="https://twitter.com/ThomTillis/status/1319775600610074625" TargetMode="External"/><Relationship Id="rId162" Type="http://schemas.openxmlformats.org/officeDocument/2006/relationships/hyperlink" Target="https://twitter.com/ThomTillis/status/1314350337164275712" TargetMode="External"/><Relationship Id="rId183" Type="http://schemas.openxmlformats.org/officeDocument/2006/relationships/table" Target="../tables/table15.xml"/><Relationship Id="rId2" Type="http://schemas.openxmlformats.org/officeDocument/2006/relationships/hyperlink" Target="https://twitter.com/ThomTillis/status/1323741745264381952" TargetMode="External"/><Relationship Id="rId29" Type="http://schemas.openxmlformats.org/officeDocument/2006/relationships/hyperlink" Target="https://twitter.com/ThomTillis/status/1322727994163646466" TargetMode="External"/><Relationship Id="rId24" Type="http://schemas.openxmlformats.org/officeDocument/2006/relationships/hyperlink" Target="https://twitter.com/ThomTillis/status/1323008529993768962" TargetMode="External"/><Relationship Id="rId40" Type="http://schemas.openxmlformats.org/officeDocument/2006/relationships/hyperlink" Target="https://twitter.com/ThomTillis/status/1322293100203675650" TargetMode="External"/><Relationship Id="rId45" Type="http://schemas.openxmlformats.org/officeDocument/2006/relationships/hyperlink" Target="https://twitter.com/ThomTillis/status/1322203918898728963" TargetMode="External"/><Relationship Id="rId66" Type="http://schemas.openxmlformats.org/officeDocument/2006/relationships/hyperlink" Target="https://twitter.com/ThomTillis/status/1321167986246471681" TargetMode="External"/><Relationship Id="rId87" Type="http://schemas.openxmlformats.org/officeDocument/2006/relationships/hyperlink" Target="https://twitter.com/ThomTillis/status/1320085827351990273" TargetMode="External"/><Relationship Id="rId110" Type="http://schemas.openxmlformats.org/officeDocument/2006/relationships/hyperlink" Target="https://twitter.com/ThomTillis/status/1318550401927516167" TargetMode="External"/><Relationship Id="rId115" Type="http://schemas.openxmlformats.org/officeDocument/2006/relationships/hyperlink" Target="https://twitter.com/ThomTillis/status/1318234046229585921" TargetMode="External"/><Relationship Id="rId131" Type="http://schemas.openxmlformats.org/officeDocument/2006/relationships/hyperlink" Target="https://twitter.com/ThomTillis/status/1317092847175294977" TargetMode="External"/><Relationship Id="rId136" Type="http://schemas.openxmlformats.org/officeDocument/2006/relationships/hyperlink" Target="https://twitter.com/ThomTillis/status/1316758700166713346" TargetMode="External"/><Relationship Id="rId157" Type="http://schemas.openxmlformats.org/officeDocument/2006/relationships/hyperlink" Target="https://twitter.com/ThomTillis/status/1314706958126125056" TargetMode="External"/><Relationship Id="rId178" Type="http://schemas.openxmlformats.org/officeDocument/2006/relationships/hyperlink" Target="https://twitter.com/ThomTillis/status/1313474184031469569" TargetMode="External"/><Relationship Id="rId61" Type="http://schemas.openxmlformats.org/officeDocument/2006/relationships/hyperlink" Target="https://twitter.com/ThomTillis/status/1321439016668090368" TargetMode="External"/><Relationship Id="rId82" Type="http://schemas.openxmlformats.org/officeDocument/2006/relationships/hyperlink" Target="https://twitter.com/ThomTillis/status/1320512089711124486" TargetMode="External"/><Relationship Id="rId152" Type="http://schemas.openxmlformats.org/officeDocument/2006/relationships/hyperlink" Target="https://twitter.com/ThomTillis/status/1315399179750047745" TargetMode="External"/><Relationship Id="rId173" Type="http://schemas.openxmlformats.org/officeDocument/2006/relationships/hyperlink" Target="https://twitter.com/ThomTillis/status/1313650615592120320" TargetMode="External"/><Relationship Id="rId19" Type="http://schemas.openxmlformats.org/officeDocument/2006/relationships/hyperlink" Target="https://twitter.com/ThomTillis/status/1323078379164389382" TargetMode="External"/><Relationship Id="rId14" Type="http://schemas.openxmlformats.org/officeDocument/2006/relationships/hyperlink" Target="https://twitter.com/ThomTillis/status/1323335600309764096" TargetMode="External"/><Relationship Id="rId30" Type="http://schemas.openxmlformats.org/officeDocument/2006/relationships/hyperlink" Target="https://twitter.com/ThomTillis/status/1322689814798364673" TargetMode="External"/><Relationship Id="rId35" Type="http://schemas.openxmlformats.org/officeDocument/2006/relationships/hyperlink" Target="https://twitter.com/ThomTillis/status/1322593662933651458" TargetMode="External"/><Relationship Id="rId56" Type="http://schemas.openxmlformats.org/officeDocument/2006/relationships/hyperlink" Target="https://twitter.com/ThomTillis/status/1321564771620167682" TargetMode="External"/><Relationship Id="rId77" Type="http://schemas.openxmlformats.org/officeDocument/2006/relationships/hyperlink" Target="https://twitter.com/ThomTillis/status/1320756010110341121" TargetMode="External"/><Relationship Id="rId100" Type="http://schemas.openxmlformats.org/officeDocument/2006/relationships/hyperlink" Target="https://twitter.com/ThomTillis/status/1319266885125505026" TargetMode="External"/><Relationship Id="rId105" Type="http://schemas.openxmlformats.org/officeDocument/2006/relationships/hyperlink" Target="https://twitter.com/ThomTillis/status/1318716232787517440" TargetMode="External"/><Relationship Id="rId126" Type="http://schemas.openxmlformats.org/officeDocument/2006/relationships/hyperlink" Target="https://twitter.com/ThomTillis/status/1317251477677592576" TargetMode="External"/><Relationship Id="rId147" Type="http://schemas.openxmlformats.org/officeDocument/2006/relationships/hyperlink" Target="https://twitter.com/ThomTillis/status/1315767569144479746" TargetMode="External"/><Relationship Id="rId168" Type="http://schemas.openxmlformats.org/officeDocument/2006/relationships/hyperlink" Target="https://twitter.com/ThomTillis/status/1313953328674615297" TargetMode="External"/><Relationship Id="rId8" Type="http://schemas.openxmlformats.org/officeDocument/2006/relationships/hyperlink" Target="https://twitter.com/ThomTillis/status/1323649968687718402" TargetMode="External"/><Relationship Id="rId51" Type="http://schemas.openxmlformats.org/officeDocument/2006/relationships/hyperlink" Target="https://twitter.com/ThomTillis/status/1321907655640797184" TargetMode="External"/><Relationship Id="rId72" Type="http://schemas.openxmlformats.org/officeDocument/2006/relationships/hyperlink" Target="https://twitter.com/ThomTillis/status/1321088782439993345" TargetMode="External"/><Relationship Id="rId93" Type="http://schemas.openxmlformats.org/officeDocument/2006/relationships/hyperlink" Target="https://twitter.com/ThomTillis/status/1319734412855156736" TargetMode="External"/><Relationship Id="rId98" Type="http://schemas.openxmlformats.org/officeDocument/2006/relationships/hyperlink" Target="https://twitter.com/ThomTillis/status/1319361375169368065" TargetMode="External"/><Relationship Id="rId121" Type="http://schemas.openxmlformats.org/officeDocument/2006/relationships/hyperlink" Target="https://twitter.com/ThomTillis/status/1317899840089739265" TargetMode="External"/><Relationship Id="rId142" Type="http://schemas.openxmlformats.org/officeDocument/2006/relationships/hyperlink" Target="https://twitter.com/ThomTillis/status/1316440814562807808" TargetMode="External"/><Relationship Id="rId163" Type="http://schemas.openxmlformats.org/officeDocument/2006/relationships/hyperlink" Target="https://twitter.com/ThomTillis/status/1314305410623508480" TargetMode="External"/><Relationship Id="rId3" Type="http://schemas.openxmlformats.org/officeDocument/2006/relationships/hyperlink" Target="https://twitter.com/ThomTillis/status/1323717702419128320" TargetMode="External"/><Relationship Id="rId25" Type="http://schemas.openxmlformats.org/officeDocument/2006/relationships/hyperlink" Target="https://twitter.com/ThomTillis/status/1323002641941757953" TargetMode="External"/><Relationship Id="rId46" Type="http://schemas.openxmlformats.org/officeDocument/2006/relationships/hyperlink" Target="https://twitter.com/ThomTillis/status/1322176976111718400" TargetMode="External"/><Relationship Id="rId67" Type="http://schemas.openxmlformats.org/officeDocument/2006/relationships/hyperlink" Target="https://twitter.com/ThomTillis/status/1321158722098499586" TargetMode="External"/><Relationship Id="rId116" Type="http://schemas.openxmlformats.org/officeDocument/2006/relationships/hyperlink" Target="https://twitter.com/ThomTillis/status/1318213178141122560" TargetMode="External"/><Relationship Id="rId137" Type="http://schemas.openxmlformats.org/officeDocument/2006/relationships/hyperlink" Target="https://twitter.com/ThomTillis/status/1316750251152355328" TargetMode="External"/><Relationship Id="rId158" Type="http://schemas.openxmlformats.org/officeDocument/2006/relationships/hyperlink" Target="https://twitter.com/ThomTillis/status/1314677377113509888" TargetMode="External"/><Relationship Id="rId20" Type="http://schemas.openxmlformats.org/officeDocument/2006/relationships/hyperlink" Target="https://twitter.com/ThomTillis/status/1323060506987536386" TargetMode="External"/><Relationship Id="rId41" Type="http://schemas.openxmlformats.org/officeDocument/2006/relationships/hyperlink" Target="https://twitter.com/ThomTillis/status/1322260951354265600" TargetMode="External"/><Relationship Id="rId62" Type="http://schemas.openxmlformats.org/officeDocument/2006/relationships/hyperlink" Target="https://twitter.com/ThomTillis/status/1321268124688277506" TargetMode="External"/><Relationship Id="rId83" Type="http://schemas.openxmlformats.org/officeDocument/2006/relationships/hyperlink" Target="https://twitter.com/ThomTillis/status/1320470744204234766" TargetMode="External"/><Relationship Id="rId88" Type="http://schemas.openxmlformats.org/officeDocument/2006/relationships/hyperlink" Target="https://twitter.com/ThomTillis/status/1320056601630380032" TargetMode="External"/><Relationship Id="rId111" Type="http://schemas.openxmlformats.org/officeDocument/2006/relationships/hyperlink" Target="https://twitter.com/ThomTillis/status/1318533179066769414" TargetMode="External"/><Relationship Id="rId132" Type="http://schemas.openxmlformats.org/officeDocument/2006/relationships/hyperlink" Target="https://twitter.com/ThomTillis/status/1316903823877832705" TargetMode="External"/><Relationship Id="rId153" Type="http://schemas.openxmlformats.org/officeDocument/2006/relationships/hyperlink" Target="https://twitter.com/ThomTillis/status/1315328127128743937" TargetMode="External"/><Relationship Id="rId174" Type="http://schemas.openxmlformats.org/officeDocument/2006/relationships/hyperlink" Target="https://twitter.com/ThomTillis/status/1313648536702070785" TargetMode="External"/><Relationship Id="rId179" Type="http://schemas.openxmlformats.org/officeDocument/2006/relationships/hyperlink" Target="https://twitter.com/ThomTillis/status/1313457367850328071" TargetMode="External"/><Relationship Id="rId15" Type="http://schemas.openxmlformats.org/officeDocument/2006/relationships/hyperlink" Target="https://twitter.com/ThomTillis/status/1323321267961892868" TargetMode="External"/><Relationship Id="rId36" Type="http://schemas.openxmlformats.org/officeDocument/2006/relationships/hyperlink" Target="https://twitter.com/ThomTillis/status/1322557534402682881" TargetMode="External"/><Relationship Id="rId57" Type="http://schemas.openxmlformats.org/officeDocument/2006/relationships/hyperlink" Target="https://twitter.com/ThomTillis/status/1321555766457806848" TargetMode="External"/><Relationship Id="rId106" Type="http://schemas.openxmlformats.org/officeDocument/2006/relationships/hyperlink" Target="https://twitter.com/ThomTillis/status/1318706619941793792" TargetMode="External"/><Relationship Id="rId127" Type="http://schemas.openxmlformats.org/officeDocument/2006/relationships/hyperlink" Target="https://twitter.com/ThomTillis/status/1317244199503302662" TargetMode="External"/><Relationship Id="rId10" Type="http://schemas.openxmlformats.org/officeDocument/2006/relationships/hyperlink" Target="https://twitter.com/ThomTillis/status/1323589888785219585" TargetMode="External"/><Relationship Id="rId31" Type="http://schemas.openxmlformats.org/officeDocument/2006/relationships/hyperlink" Target="https://twitter.com/ThomTillis/status/1322679745725652992" TargetMode="External"/><Relationship Id="rId52" Type="http://schemas.openxmlformats.org/officeDocument/2006/relationships/hyperlink" Target="https://twitter.com/ThomTillis/status/1321862008426418176" TargetMode="External"/><Relationship Id="rId73" Type="http://schemas.openxmlformats.org/officeDocument/2006/relationships/hyperlink" Target="https://twitter.com/ThomTillis/status/1320903706326564865" TargetMode="External"/><Relationship Id="rId78" Type="http://schemas.openxmlformats.org/officeDocument/2006/relationships/hyperlink" Target="https://twitter.com/ThomTillis/status/1320719565526077442" TargetMode="External"/><Relationship Id="rId94" Type="http://schemas.openxmlformats.org/officeDocument/2006/relationships/hyperlink" Target="https://twitter.com/ThomTillis/status/1319671770543247360" TargetMode="External"/><Relationship Id="rId99" Type="http://schemas.openxmlformats.org/officeDocument/2006/relationships/hyperlink" Target="https://twitter.com/ThomTillis/status/1319280131613941769" TargetMode="External"/><Relationship Id="rId101" Type="http://schemas.openxmlformats.org/officeDocument/2006/relationships/hyperlink" Target="https://twitter.com/ThomTillis/status/1319081389439016966" TargetMode="External"/><Relationship Id="rId122" Type="http://schemas.openxmlformats.org/officeDocument/2006/relationships/hyperlink" Target="https://twitter.com/ThomTillis/status/1317639424390451200" TargetMode="External"/><Relationship Id="rId143" Type="http://schemas.openxmlformats.org/officeDocument/2006/relationships/hyperlink" Target="https://twitter.com/ThomTillis/status/1316155881684377604" TargetMode="External"/><Relationship Id="rId148" Type="http://schemas.openxmlformats.org/officeDocument/2006/relationships/hyperlink" Target="https://twitter.com/ThomTillis/status/1315691568393789440" TargetMode="External"/><Relationship Id="rId164" Type="http://schemas.openxmlformats.org/officeDocument/2006/relationships/hyperlink" Target="https://twitter.com/ThomTillis/status/1314283600989347845" TargetMode="External"/><Relationship Id="rId169" Type="http://schemas.openxmlformats.org/officeDocument/2006/relationships/hyperlink" Target="https://twitter.com/ThomTillis/status/1313944968961064961" TargetMode="External"/><Relationship Id="rId4" Type="http://schemas.openxmlformats.org/officeDocument/2006/relationships/hyperlink" Target="https://twitter.com/ThomTillis/status/1323708764860698626" TargetMode="External"/><Relationship Id="rId9" Type="http://schemas.openxmlformats.org/officeDocument/2006/relationships/hyperlink" Target="https://twitter.com/ThomTillis/status/1323601864605270025" TargetMode="External"/><Relationship Id="rId180" Type="http://schemas.openxmlformats.org/officeDocument/2006/relationships/hyperlink" Target="https://twitter.com/ThomTillis/status/1313279163583942658" TargetMode="External"/><Relationship Id="rId26" Type="http://schemas.openxmlformats.org/officeDocument/2006/relationships/hyperlink" Target="https://twitter.com/ThomTillis/status/1322973887244718080" TargetMode="External"/><Relationship Id="rId47" Type="http://schemas.openxmlformats.org/officeDocument/2006/relationships/hyperlink" Target="https://twitter.com/ThomTillis/status/1322169645596626946" TargetMode="External"/><Relationship Id="rId68" Type="http://schemas.openxmlformats.org/officeDocument/2006/relationships/hyperlink" Target="https://twitter.com/ThomTillis/status/1321113056752115714" TargetMode="External"/><Relationship Id="rId89" Type="http://schemas.openxmlformats.org/officeDocument/2006/relationships/hyperlink" Target="https://twitter.com/ThomTillis/status/1320038758700429313" TargetMode="External"/><Relationship Id="rId112" Type="http://schemas.openxmlformats.org/officeDocument/2006/relationships/hyperlink" Target="https://twitter.com/ThomTillis/status/1318351793047375872" TargetMode="External"/><Relationship Id="rId133" Type="http://schemas.openxmlformats.org/officeDocument/2006/relationships/hyperlink" Target="https://twitter.com/ThomTillis/status/1316881912938496000" TargetMode="External"/><Relationship Id="rId154" Type="http://schemas.openxmlformats.org/officeDocument/2006/relationships/hyperlink" Target="https://twitter.com/ThomTillis/status/1315085895335374848" TargetMode="External"/><Relationship Id="rId175" Type="http://schemas.openxmlformats.org/officeDocument/2006/relationships/hyperlink" Target="https://twitter.com/ThomTillis/status/1313644683390849024" TargetMode="External"/><Relationship Id="rId16" Type="http://schemas.openxmlformats.org/officeDocument/2006/relationships/hyperlink" Target="https://twitter.com/ThomTillis/status/1323304631234121729" TargetMode="External"/><Relationship Id="rId37" Type="http://schemas.openxmlformats.org/officeDocument/2006/relationships/hyperlink" Target="https://twitter.com/ThomTillis/status/1322321391287443456" TargetMode="External"/><Relationship Id="rId58" Type="http://schemas.openxmlformats.org/officeDocument/2006/relationships/hyperlink" Target="https://twitter.com/ThomTillis/status/1321533182764863500" TargetMode="External"/><Relationship Id="rId79" Type="http://schemas.openxmlformats.org/officeDocument/2006/relationships/hyperlink" Target="https://twitter.com/ThomTillis/status/1320719564683026433" TargetMode="External"/><Relationship Id="rId102" Type="http://schemas.openxmlformats.org/officeDocument/2006/relationships/hyperlink" Target="https://twitter.com/ThomTillis/status/1319051625093320704" TargetMode="External"/><Relationship Id="rId123" Type="http://schemas.openxmlformats.org/officeDocument/2006/relationships/hyperlink" Target="https://twitter.com/ThomTillis/status/1317585130685419521" TargetMode="External"/><Relationship Id="rId144" Type="http://schemas.openxmlformats.org/officeDocument/2006/relationships/hyperlink" Target="https://twitter.com/ThomTillis/status/1316092010927976450" TargetMode="External"/><Relationship Id="rId90" Type="http://schemas.openxmlformats.org/officeDocument/2006/relationships/hyperlink" Target="https://twitter.com/ThomTillis/status/1320038623572537347" TargetMode="External"/><Relationship Id="rId165" Type="http://schemas.openxmlformats.org/officeDocument/2006/relationships/hyperlink" Target="https://twitter.com/ThomTillis/status/1314274032422981632" TargetMode="External"/><Relationship Id="rId27" Type="http://schemas.openxmlformats.org/officeDocument/2006/relationships/hyperlink" Target="https://twitter.com/ThomTillis/status/1322944302750801928" TargetMode="External"/><Relationship Id="rId48" Type="http://schemas.openxmlformats.org/officeDocument/2006/relationships/hyperlink" Target="https://twitter.com/ThomTillis/status/1321985966379290624" TargetMode="External"/><Relationship Id="rId69" Type="http://schemas.openxmlformats.org/officeDocument/2006/relationships/hyperlink" Target="https://twitter.com/ThomTillis/status/1321088794297290755" TargetMode="External"/><Relationship Id="rId113" Type="http://schemas.openxmlformats.org/officeDocument/2006/relationships/hyperlink" Target="https://twitter.com/ThomTillis/status/1318336862952587267" TargetMode="External"/><Relationship Id="rId134" Type="http://schemas.openxmlformats.org/officeDocument/2006/relationships/hyperlink" Target="https://twitter.com/ThomTillis/status/1316805430060945409" TargetMode="External"/><Relationship Id="rId80" Type="http://schemas.openxmlformats.org/officeDocument/2006/relationships/hyperlink" Target="https://twitter.com/ThomTillis/status/1320528437573017602" TargetMode="External"/><Relationship Id="rId155" Type="http://schemas.openxmlformats.org/officeDocument/2006/relationships/hyperlink" Target="https://twitter.com/ThomTillis/status/1315048301423714306" TargetMode="External"/><Relationship Id="rId176" Type="http://schemas.openxmlformats.org/officeDocument/2006/relationships/hyperlink" Target="https://twitter.com/ThomTillis/status/1313603443228127233" TargetMode="External"/><Relationship Id="rId17" Type="http://schemas.openxmlformats.org/officeDocument/2006/relationships/hyperlink" Target="https://twitter.com/ThomTillis/status/1323283137334517760" TargetMode="External"/><Relationship Id="rId38" Type="http://schemas.openxmlformats.org/officeDocument/2006/relationships/hyperlink" Target="https://twitter.com/ThomTillis/status/1322309969912496129" TargetMode="External"/><Relationship Id="rId59" Type="http://schemas.openxmlformats.org/officeDocument/2006/relationships/hyperlink" Target="https://twitter.com/ThomTillis/status/1321533177710727174" TargetMode="External"/><Relationship Id="rId103" Type="http://schemas.openxmlformats.org/officeDocument/2006/relationships/hyperlink" Target="https://twitter.com/ThomTillis/status/1318995125570314240" TargetMode="External"/><Relationship Id="rId124" Type="http://schemas.openxmlformats.org/officeDocument/2006/relationships/hyperlink" Target="https://twitter.com/ThomTillis/status/1317561451666616322" TargetMode="External"/><Relationship Id="rId70" Type="http://schemas.openxmlformats.org/officeDocument/2006/relationships/hyperlink" Target="https://twitter.com/ThomTillis/status/1321088790425907204" TargetMode="External"/><Relationship Id="rId91" Type="http://schemas.openxmlformats.org/officeDocument/2006/relationships/hyperlink" Target="https://twitter.com/ThomTillis/status/1319781617301413888" TargetMode="External"/><Relationship Id="rId145" Type="http://schemas.openxmlformats.org/officeDocument/2006/relationships/hyperlink" Target="https://twitter.com/ThomTillis/status/1316034883379228672" TargetMode="External"/><Relationship Id="rId166" Type="http://schemas.openxmlformats.org/officeDocument/2006/relationships/hyperlink" Target="https://twitter.com/ThomTillis/status/1314218505366114305" TargetMode="External"/><Relationship Id="rId1" Type="http://schemas.openxmlformats.org/officeDocument/2006/relationships/hyperlink" Target="https://twitter.com/ThomTillis/status/1323756413601153025" TargetMode="External"/><Relationship Id="rId28" Type="http://schemas.openxmlformats.org/officeDocument/2006/relationships/hyperlink" Target="https://twitter.com/ThomTillis/status/1322927082704408579" TargetMode="External"/><Relationship Id="rId49" Type="http://schemas.openxmlformats.org/officeDocument/2006/relationships/hyperlink" Target="https://twitter.com/ThomTillis/status/1321957801200148481" TargetMode="External"/><Relationship Id="rId114" Type="http://schemas.openxmlformats.org/officeDocument/2006/relationships/hyperlink" Target="https://twitter.com/ThomTillis/status/1318325364100313093"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twitter.com/CalforNC/status/1315677936524177409" TargetMode="External"/><Relationship Id="rId21" Type="http://schemas.openxmlformats.org/officeDocument/2006/relationships/hyperlink" Target="https://twitter.com/CalforNC/status/1322697132160286723" TargetMode="External"/><Relationship Id="rId42" Type="http://schemas.openxmlformats.org/officeDocument/2006/relationships/hyperlink" Target="https://twitter.com/CalforNC/status/1321436178869112835" TargetMode="External"/><Relationship Id="rId63" Type="http://schemas.openxmlformats.org/officeDocument/2006/relationships/hyperlink" Target="https://twitter.com/CalforNC/status/1319767131660189696" TargetMode="External"/><Relationship Id="rId84" Type="http://schemas.openxmlformats.org/officeDocument/2006/relationships/hyperlink" Target="https://twitter.com/CalforNC/status/1318540572253147136" TargetMode="External"/><Relationship Id="rId16" Type="http://schemas.openxmlformats.org/officeDocument/2006/relationships/hyperlink" Target="https://twitter.com/CalforNC/status/1323049602032017408" TargetMode="External"/><Relationship Id="rId107" Type="http://schemas.openxmlformats.org/officeDocument/2006/relationships/hyperlink" Target="https://twitter.com/CalforNC/status/1316520468707508225" TargetMode="External"/><Relationship Id="rId11" Type="http://schemas.openxmlformats.org/officeDocument/2006/relationships/hyperlink" Target="https://twitter.com/CalforNC/status/1323379922774216706" TargetMode="External"/><Relationship Id="rId32" Type="http://schemas.openxmlformats.org/officeDocument/2006/relationships/hyperlink" Target="https://twitter.com/CalforNC/status/1322166820254744582" TargetMode="External"/><Relationship Id="rId37" Type="http://schemas.openxmlformats.org/officeDocument/2006/relationships/hyperlink" Target="https://twitter.com/CalforNC/status/1321614412852154373" TargetMode="External"/><Relationship Id="rId53" Type="http://schemas.openxmlformats.org/officeDocument/2006/relationships/hyperlink" Target="https://twitter.com/CalforNC/status/1320499437765038081" TargetMode="External"/><Relationship Id="rId58" Type="http://schemas.openxmlformats.org/officeDocument/2006/relationships/hyperlink" Target="https://twitter.com/CalforNC/status/1320182862084276225" TargetMode="External"/><Relationship Id="rId74" Type="http://schemas.openxmlformats.org/officeDocument/2006/relationships/hyperlink" Target="https://twitter.com/CalforNC/status/1319078375835750400" TargetMode="External"/><Relationship Id="rId79" Type="http://schemas.openxmlformats.org/officeDocument/2006/relationships/hyperlink" Target="https://twitter.com/CalforNC/status/1318905068658229251" TargetMode="External"/><Relationship Id="rId102" Type="http://schemas.openxmlformats.org/officeDocument/2006/relationships/hyperlink" Target="https://twitter.com/CalforNC/status/1316897480861167622" TargetMode="External"/><Relationship Id="rId123" Type="http://schemas.openxmlformats.org/officeDocument/2006/relationships/hyperlink" Target="https://twitter.com/CalforNC/status/1315080448792506369" TargetMode="External"/><Relationship Id="rId128" Type="http://schemas.openxmlformats.org/officeDocument/2006/relationships/hyperlink" Target="https://twitter.com/CalforNC/status/1314551375733444608" TargetMode="External"/><Relationship Id="rId5" Type="http://schemas.openxmlformats.org/officeDocument/2006/relationships/hyperlink" Target="https://twitter.com/CalforNC/status/1323687550951849986" TargetMode="External"/><Relationship Id="rId90" Type="http://schemas.openxmlformats.org/officeDocument/2006/relationships/hyperlink" Target="https://twitter.com/CalforNC/status/1317994549596295168" TargetMode="External"/><Relationship Id="rId95" Type="http://schemas.openxmlformats.org/officeDocument/2006/relationships/hyperlink" Target="https://twitter.com/CalforNC/status/1317561944900063233" TargetMode="External"/><Relationship Id="rId22" Type="http://schemas.openxmlformats.org/officeDocument/2006/relationships/hyperlink" Target="https://twitter.com/CalforNC/status/1322662807234617345" TargetMode="External"/><Relationship Id="rId27" Type="http://schemas.openxmlformats.org/officeDocument/2006/relationships/hyperlink" Target="https://twitter.com/CalforNC/status/1322537580789927940" TargetMode="External"/><Relationship Id="rId43" Type="http://schemas.openxmlformats.org/officeDocument/2006/relationships/hyperlink" Target="https://twitter.com/CalforNC/status/1321260507496620033" TargetMode="External"/><Relationship Id="rId48" Type="http://schemas.openxmlformats.org/officeDocument/2006/relationships/hyperlink" Target="https://twitter.com/CalforNC/status/1320882590706970633" TargetMode="External"/><Relationship Id="rId64" Type="http://schemas.openxmlformats.org/officeDocument/2006/relationships/hyperlink" Target="https://twitter.com/CalforNC/status/1319741602890473472" TargetMode="External"/><Relationship Id="rId69" Type="http://schemas.openxmlformats.org/officeDocument/2006/relationships/hyperlink" Target="https://twitter.com/CalforNC/status/1319387943681871876" TargetMode="External"/><Relationship Id="rId113" Type="http://schemas.openxmlformats.org/officeDocument/2006/relationships/hyperlink" Target="https://twitter.com/CalforNC/status/1316050292685844481" TargetMode="External"/><Relationship Id="rId118" Type="http://schemas.openxmlformats.org/officeDocument/2006/relationships/hyperlink" Target="https://twitter.com/CalforNC/status/1315643561178738688" TargetMode="External"/><Relationship Id="rId134" Type="http://schemas.openxmlformats.org/officeDocument/2006/relationships/hyperlink" Target="https://twitter.com/CalforNC/status/1313880927915909123" TargetMode="External"/><Relationship Id="rId80" Type="http://schemas.openxmlformats.org/officeDocument/2006/relationships/hyperlink" Target="https://twitter.com/CalforNC/status/1318726650440404993" TargetMode="External"/><Relationship Id="rId85" Type="http://schemas.openxmlformats.org/officeDocument/2006/relationships/hyperlink" Target="https://twitter.com/CalforNC/status/1318354820923854848" TargetMode="External"/><Relationship Id="rId12" Type="http://schemas.openxmlformats.org/officeDocument/2006/relationships/hyperlink" Target="https://twitter.com/CalforNC/status/1323352506630610947" TargetMode="External"/><Relationship Id="rId17" Type="http://schemas.openxmlformats.org/officeDocument/2006/relationships/hyperlink" Target="https://twitter.com/CalforNC/status/1323012121047826432" TargetMode="External"/><Relationship Id="rId33" Type="http://schemas.openxmlformats.org/officeDocument/2006/relationships/hyperlink" Target="https://twitter.com/CalforNC/status/1321971816978649091" TargetMode="External"/><Relationship Id="rId38" Type="http://schemas.openxmlformats.org/officeDocument/2006/relationships/hyperlink" Target="https://twitter.com/CalforNC/status/1321576622869327873" TargetMode="External"/><Relationship Id="rId59" Type="http://schemas.openxmlformats.org/officeDocument/2006/relationships/hyperlink" Target="https://twitter.com/CalforNC/status/1320159783236849666" TargetMode="External"/><Relationship Id="rId103" Type="http://schemas.openxmlformats.org/officeDocument/2006/relationships/hyperlink" Target="https://twitter.com/CalforNC/status/1316842110197420034" TargetMode="External"/><Relationship Id="rId108" Type="http://schemas.openxmlformats.org/officeDocument/2006/relationships/hyperlink" Target="https://twitter.com/CalforNC/status/1316480830387236864" TargetMode="External"/><Relationship Id="rId124" Type="http://schemas.openxmlformats.org/officeDocument/2006/relationships/hyperlink" Target="https://twitter.com/CalforNC/status/1315030459672399872" TargetMode="External"/><Relationship Id="rId129" Type="http://schemas.openxmlformats.org/officeDocument/2006/relationships/hyperlink" Target="https://twitter.com/CalforNC/status/1314357623622381569" TargetMode="External"/><Relationship Id="rId54" Type="http://schemas.openxmlformats.org/officeDocument/2006/relationships/hyperlink" Target="https://twitter.com/CalforNC/status/1320462694189801473" TargetMode="External"/><Relationship Id="rId70" Type="http://schemas.openxmlformats.org/officeDocument/2006/relationships/hyperlink" Target="https://twitter.com/CalforNC/status/1319359043325014025" TargetMode="External"/><Relationship Id="rId75" Type="http://schemas.openxmlformats.org/officeDocument/2006/relationships/hyperlink" Target="https://twitter.com/CalforNC/status/1319008170996649992" TargetMode="External"/><Relationship Id="rId91" Type="http://schemas.openxmlformats.org/officeDocument/2006/relationships/hyperlink" Target="https://twitter.com/CalforNC/status/1317966366662627328" TargetMode="External"/><Relationship Id="rId96" Type="http://schemas.openxmlformats.org/officeDocument/2006/relationships/hyperlink" Target="https://twitter.com/CalforNC/status/1317466222129254400" TargetMode="External"/><Relationship Id="rId1" Type="http://schemas.openxmlformats.org/officeDocument/2006/relationships/hyperlink" Target="https://twitter.com/CalforNC/status/1323756258101469185" TargetMode="External"/><Relationship Id="rId6" Type="http://schemas.openxmlformats.org/officeDocument/2006/relationships/hyperlink" Target="https://twitter.com/CalforNC/status/1323672529198845952" TargetMode="External"/><Relationship Id="rId23" Type="http://schemas.openxmlformats.org/officeDocument/2006/relationships/hyperlink" Target="https://twitter.com/CalforNC/status/1322645715735224320" TargetMode="External"/><Relationship Id="rId28" Type="http://schemas.openxmlformats.org/officeDocument/2006/relationships/hyperlink" Target="https://twitter.com/CalforNC/status/1322333112769122305" TargetMode="External"/><Relationship Id="rId49" Type="http://schemas.openxmlformats.org/officeDocument/2006/relationships/hyperlink" Target="https://twitter.com/CalforNC/status/1320828425314197506" TargetMode="External"/><Relationship Id="rId114" Type="http://schemas.openxmlformats.org/officeDocument/2006/relationships/hyperlink" Target="https://twitter.com/CalforNC/status/1316002372460646401" TargetMode="External"/><Relationship Id="rId119" Type="http://schemas.openxmlformats.org/officeDocument/2006/relationships/hyperlink" Target="https://twitter.com/CalforNC/status/1315472525585940481" TargetMode="External"/><Relationship Id="rId44" Type="http://schemas.openxmlformats.org/officeDocument/2006/relationships/hyperlink" Target="https://twitter.com/CalforNC/status/1321211192455667714" TargetMode="External"/><Relationship Id="rId60" Type="http://schemas.openxmlformats.org/officeDocument/2006/relationships/hyperlink" Target="https://twitter.com/CalforNC/status/1320081577154613248" TargetMode="External"/><Relationship Id="rId65" Type="http://schemas.openxmlformats.org/officeDocument/2006/relationships/hyperlink" Target="https://twitter.com/CalforNC/status/1319719843583692807" TargetMode="External"/><Relationship Id="rId81" Type="http://schemas.openxmlformats.org/officeDocument/2006/relationships/hyperlink" Target="https://twitter.com/CalforNC/status/1318702598581530627" TargetMode="External"/><Relationship Id="rId86" Type="http://schemas.openxmlformats.org/officeDocument/2006/relationships/hyperlink" Target="https://twitter.com/CalforNC/status/1318331272654131200" TargetMode="External"/><Relationship Id="rId130" Type="http://schemas.openxmlformats.org/officeDocument/2006/relationships/hyperlink" Target="https://twitter.com/CalforNC/status/1314299719821258752" TargetMode="External"/><Relationship Id="rId135" Type="http://schemas.openxmlformats.org/officeDocument/2006/relationships/hyperlink" Target="https://twitter.com/CalforNC/status/1312186704678146051" TargetMode="External"/><Relationship Id="rId13" Type="http://schemas.openxmlformats.org/officeDocument/2006/relationships/hyperlink" Target="https://twitter.com/CalforNC/status/1323326229794164739" TargetMode="External"/><Relationship Id="rId18" Type="http://schemas.openxmlformats.org/officeDocument/2006/relationships/hyperlink" Target="https://twitter.com/CalforNC/status/1322987083439505410" TargetMode="External"/><Relationship Id="rId39" Type="http://schemas.openxmlformats.org/officeDocument/2006/relationships/hyperlink" Target="https://twitter.com/CalforNC/status/1321537589191606272" TargetMode="External"/><Relationship Id="rId109" Type="http://schemas.openxmlformats.org/officeDocument/2006/relationships/hyperlink" Target="https://twitter.com/CalforNC/status/1316398603754254336" TargetMode="External"/><Relationship Id="rId34" Type="http://schemas.openxmlformats.org/officeDocument/2006/relationships/hyperlink" Target="https://twitter.com/CalforNC/status/1321939320832430082" TargetMode="External"/><Relationship Id="rId50" Type="http://schemas.openxmlformats.org/officeDocument/2006/relationships/hyperlink" Target="https://twitter.com/CalforNC/status/1320790561842933760" TargetMode="External"/><Relationship Id="rId55" Type="http://schemas.openxmlformats.org/officeDocument/2006/relationships/hyperlink" Target="https://twitter.com/CalforNC/status/1320429574895915009" TargetMode="External"/><Relationship Id="rId76" Type="http://schemas.openxmlformats.org/officeDocument/2006/relationships/hyperlink" Target="https://twitter.com/CalforNC/status/1318988515716308995" TargetMode="External"/><Relationship Id="rId97" Type="http://schemas.openxmlformats.org/officeDocument/2006/relationships/hyperlink" Target="https://twitter.com/CalforNC/status/1317259663449182208" TargetMode="External"/><Relationship Id="rId104" Type="http://schemas.openxmlformats.org/officeDocument/2006/relationships/hyperlink" Target="https://twitter.com/CalforNC/status/1316798387359027200" TargetMode="External"/><Relationship Id="rId120" Type="http://schemas.openxmlformats.org/officeDocument/2006/relationships/hyperlink" Target="https://twitter.com/CalforNC/status/1315442177145819136" TargetMode="External"/><Relationship Id="rId125" Type="http://schemas.openxmlformats.org/officeDocument/2006/relationships/hyperlink" Target="https://twitter.com/CalforNC/status/1314984302459973636" TargetMode="External"/><Relationship Id="rId7" Type="http://schemas.openxmlformats.org/officeDocument/2006/relationships/hyperlink" Target="https://twitter.com/CalforNC/status/1323622243369426946" TargetMode="External"/><Relationship Id="rId71" Type="http://schemas.openxmlformats.org/officeDocument/2006/relationships/hyperlink" Target="https://twitter.com/CalforNC/status/1319299276971905027" TargetMode="External"/><Relationship Id="rId92" Type="http://schemas.openxmlformats.org/officeDocument/2006/relationships/hyperlink" Target="https://twitter.com/CalforNC/status/1317913678268796930" TargetMode="External"/><Relationship Id="rId2" Type="http://schemas.openxmlformats.org/officeDocument/2006/relationships/hyperlink" Target="https://twitter.com/CalforNC/status/1323744039389331461" TargetMode="External"/><Relationship Id="rId29" Type="http://schemas.openxmlformats.org/officeDocument/2006/relationships/hyperlink" Target="https://twitter.com/CalforNC/status/1322311013111418880" TargetMode="External"/><Relationship Id="rId24" Type="http://schemas.openxmlformats.org/officeDocument/2006/relationships/hyperlink" Target="https://twitter.com/CalforNC/status/1322632196595789829" TargetMode="External"/><Relationship Id="rId40" Type="http://schemas.openxmlformats.org/officeDocument/2006/relationships/hyperlink" Target="https://twitter.com/CalforNC/status/1321511797342539782" TargetMode="External"/><Relationship Id="rId45" Type="http://schemas.openxmlformats.org/officeDocument/2006/relationships/hyperlink" Target="https://twitter.com/CalforNC/status/1321181769505349632" TargetMode="External"/><Relationship Id="rId66" Type="http://schemas.openxmlformats.org/officeDocument/2006/relationships/hyperlink" Target="https://twitter.com/CalforNC/status/1319684145895907328" TargetMode="External"/><Relationship Id="rId87" Type="http://schemas.openxmlformats.org/officeDocument/2006/relationships/hyperlink" Target="https://twitter.com/CalforNC/status/1318292245632684034" TargetMode="External"/><Relationship Id="rId110" Type="http://schemas.openxmlformats.org/officeDocument/2006/relationships/hyperlink" Target="https://twitter.com/CalforNC/status/1316168250166857729" TargetMode="External"/><Relationship Id="rId115" Type="http://schemas.openxmlformats.org/officeDocument/2006/relationships/hyperlink" Target="https://twitter.com/CalforNC/status/1315820307639394305" TargetMode="External"/><Relationship Id="rId131" Type="http://schemas.openxmlformats.org/officeDocument/2006/relationships/hyperlink" Target="https://twitter.com/CalforNC/status/1314232718243368963" TargetMode="External"/><Relationship Id="rId136" Type="http://schemas.openxmlformats.org/officeDocument/2006/relationships/table" Target="../tables/table16.xml"/><Relationship Id="rId61" Type="http://schemas.openxmlformats.org/officeDocument/2006/relationships/hyperlink" Target="https://twitter.com/CalforNC/status/1320001877438832640" TargetMode="External"/><Relationship Id="rId82" Type="http://schemas.openxmlformats.org/officeDocument/2006/relationships/hyperlink" Target="https://twitter.com/CalforNC/status/1318657885853913094" TargetMode="External"/><Relationship Id="rId19" Type="http://schemas.openxmlformats.org/officeDocument/2006/relationships/hyperlink" Target="https://twitter.com/CalforNC/status/1322952300701298689" TargetMode="External"/><Relationship Id="rId14" Type="http://schemas.openxmlformats.org/officeDocument/2006/relationships/hyperlink" Target="https://twitter.com/CalforNC/status/1323270594079633411" TargetMode="External"/><Relationship Id="rId30" Type="http://schemas.openxmlformats.org/officeDocument/2006/relationships/hyperlink" Target="https://twitter.com/CalforNC/status/1322249248033878016" TargetMode="External"/><Relationship Id="rId35" Type="http://schemas.openxmlformats.org/officeDocument/2006/relationships/hyperlink" Target="https://twitter.com/CalforNC/status/1321884839776292865" TargetMode="External"/><Relationship Id="rId56" Type="http://schemas.openxmlformats.org/officeDocument/2006/relationships/hyperlink" Target="https://twitter.com/CalforNC/status/1320377713434263552" TargetMode="External"/><Relationship Id="rId77" Type="http://schemas.openxmlformats.org/officeDocument/2006/relationships/hyperlink" Target="https://twitter.com/CalforNC/status/1318988514546024450" TargetMode="External"/><Relationship Id="rId100" Type="http://schemas.openxmlformats.org/officeDocument/2006/relationships/hyperlink" Target="https://twitter.com/CalforNC/status/1317092190531821570" TargetMode="External"/><Relationship Id="rId105" Type="http://schemas.openxmlformats.org/officeDocument/2006/relationships/hyperlink" Target="https://twitter.com/CalforNC/status/1316729687595520000" TargetMode="External"/><Relationship Id="rId126" Type="http://schemas.openxmlformats.org/officeDocument/2006/relationships/hyperlink" Target="https://twitter.com/CalforNC/status/1314716980717465600" TargetMode="External"/><Relationship Id="rId8" Type="http://schemas.openxmlformats.org/officeDocument/2006/relationships/hyperlink" Target="https://twitter.com/CalforNC/status/1323460991447977984" TargetMode="External"/><Relationship Id="rId51" Type="http://schemas.openxmlformats.org/officeDocument/2006/relationships/hyperlink" Target="https://twitter.com/CalforNC/status/1320711434788081664" TargetMode="External"/><Relationship Id="rId72" Type="http://schemas.openxmlformats.org/officeDocument/2006/relationships/hyperlink" Target="https://twitter.com/CalforNC/status/1319268109002416129" TargetMode="External"/><Relationship Id="rId93" Type="http://schemas.openxmlformats.org/officeDocument/2006/relationships/hyperlink" Target="https://twitter.com/CalforNC/status/1317830127569481728" TargetMode="External"/><Relationship Id="rId98" Type="http://schemas.openxmlformats.org/officeDocument/2006/relationships/hyperlink" Target="https://twitter.com/CalforNC/status/1317231140974088195" TargetMode="External"/><Relationship Id="rId121" Type="http://schemas.openxmlformats.org/officeDocument/2006/relationships/hyperlink" Target="https://twitter.com/CalforNC/status/1315388176953937922" TargetMode="External"/><Relationship Id="rId3" Type="http://schemas.openxmlformats.org/officeDocument/2006/relationships/hyperlink" Target="https://twitter.com/CalforNC/status/1323723964745715714" TargetMode="External"/><Relationship Id="rId25" Type="http://schemas.openxmlformats.org/officeDocument/2006/relationships/hyperlink" Target="https://twitter.com/CalforNC/status/1322585828204400640" TargetMode="External"/><Relationship Id="rId46" Type="http://schemas.openxmlformats.org/officeDocument/2006/relationships/hyperlink" Target="https://twitter.com/CalforNC/status/1321106855670751232" TargetMode="External"/><Relationship Id="rId67" Type="http://schemas.openxmlformats.org/officeDocument/2006/relationships/hyperlink" Target="https://twitter.com/CalforNC/status/1319631247921061888" TargetMode="External"/><Relationship Id="rId116" Type="http://schemas.openxmlformats.org/officeDocument/2006/relationships/hyperlink" Target="https://twitter.com/CalforNC/status/1315731563716452359" TargetMode="External"/><Relationship Id="rId20" Type="http://schemas.openxmlformats.org/officeDocument/2006/relationships/hyperlink" Target="https://twitter.com/CalforNC/status/1322919656630472709" TargetMode="External"/><Relationship Id="rId41" Type="http://schemas.openxmlformats.org/officeDocument/2006/relationships/hyperlink" Target="https://twitter.com/CalforNC/status/1321490648445394944" TargetMode="External"/><Relationship Id="rId62" Type="http://schemas.openxmlformats.org/officeDocument/2006/relationships/hyperlink" Target="https://twitter.com/CalforNC/status/1319796494657007616" TargetMode="External"/><Relationship Id="rId83" Type="http://schemas.openxmlformats.org/officeDocument/2006/relationships/hyperlink" Target="https://twitter.com/CalforNC/status/1318581417127890944" TargetMode="External"/><Relationship Id="rId88" Type="http://schemas.openxmlformats.org/officeDocument/2006/relationships/hyperlink" Target="https://twitter.com/CalforNC/status/1318226681677623298" TargetMode="External"/><Relationship Id="rId111" Type="http://schemas.openxmlformats.org/officeDocument/2006/relationships/hyperlink" Target="https://twitter.com/CalforNC/status/1316130879916380162" TargetMode="External"/><Relationship Id="rId132" Type="http://schemas.openxmlformats.org/officeDocument/2006/relationships/hyperlink" Target="https://twitter.com/CalforNC/status/1314194696105844737" TargetMode="External"/><Relationship Id="rId15" Type="http://schemas.openxmlformats.org/officeDocument/2006/relationships/hyperlink" Target="https://twitter.com/CalforNC/status/1323095045843668993" TargetMode="External"/><Relationship Id="rId36" Type="http://schemas.openxmlformats.org/officeDocument/2006/relationships/hyperlink" Target="https://twitter.com/CalforNC/status/1321800271656296451" TargetMode="External"/><Relationship Id="rId57" Type="http://schemas.openxmlformats.org/officeDocument/2006/relationships/hyperlink" Target="https://twitter.com/CalforNC/status/1320364282962391042" TargetMode="External"/><Relationship Id="rId106" Type="http://schemas.openxmlformats.org/officeDocument/2006/relationships/hyperlink" Target="https://twitter.com/CalforNC/status/1316547630021906433" TargetMode="External"/><Relationship Id="rId127" Type="http://schemas.openxmlformats.org/officeDocument/2006/relationships/hyperlink" Target="https://twitter.com/CalforNC/status/1314667309575872514" TargetMode="External"/><Relationship Id="rId10" Type="http://schemas.openxmlformats.org/officeDocument/2006/relationships/hyperlink" Target="https://twitter.com/CalforNC/status/1323445778875064320" TargetMode="External"/><Relationship Id="rId31" Type="http://schemas.openxmlformats.org/officeDocument/2006/relationships/hyperlink" Target="https://twitter.com/CalforNC/status/1322207339131379713" TargetMode="External"/><Relationship Id="rId52" Type="http://schemas.openxmlformats.org/officeDocument/2006/relationships/hyperlink" Target="https://twitter.com/CalforNC/status/1320528167581396993" TargetMode="External"/><Relationship Id="rId73" Type="http://schemas.openxmlformats.org/officeDocument/2006/relationships/hyperlink" Target="https://twitter.com/CalforNC/status/1319093433764614148" TargetMode="External"/><Relationship Id="rId78" Type="http://schemas.openxmlformats.org/officeDocument/2006/relationships/hyperlink" Target="https://twitter.com/CalforNC/status/1318945448401522693" TargetMode="External"/><Relationship Id="rId94" Type="http://schemas.openxmlformats.org/officeDocument/2006/relationships/hyperlink" Target="https://twitter.com/CalforNC/status/1317617504315899905" TargetMode="External"/><Relationship Id="rId99" Type="http://schemas.openxmlformats.org/officeDocument/2006/relationships/hyperlink" Target="https://twitter.com/CalforNC/status/1317145952533229586" TargetMode="External"/><Relationship Id="rId101" Type="http://schemas.openxmlformats.org/officeDocument/2006/relationships/hyperlink" Target="https://twitter.com/CalforNC/status/1316921059854213122" TargetMode="External"/><Relationship Id="rId122" Type="http://schemas.openxmlformats.org/officeDocument/2006/relationships/hyperlink" Target="https://twitter.com/CalforNC/status/1315291775687438336" TargetMode="External"/><Relationship Id="rId4" Type="http://schemas.openxmlformats.org/officeDocument/2006/relationships/hyperlink" Target="https://twitter.com/CalforNC/status/1323695078007779330" TargetMode="External"/><Relationship Id="rId9" Type="http://schemas.openxmlformats.org/officeDocument/2006/relationships/hyperlink" Target="https://twitter.com/CalforNC/status/1323452658645110784" TargetMode="External"/><Relationship Id="rId26" Type="http://schemas.openxmlformats.org/officeDocument/2006/relationships/hyperlink" Target="https://twitter.com/CalforNC/status/1322570286080925698" TargetMode="External"/><Relationship Id="rId47" Type="http://schemas.openxmlformats.org/officeDocument/2006/relationships/hyperlink" Target="https://twitter.com/CalforNC/status/1321073952559681542" TargetMode="External"/><Relationship Id="rId68" Type="http://schemas.openxmlformats.org/officeDocument/2006/relationships/hyperlink" Target="https://twitter.com/CalforNC/status/1319434774340112385" TargetMode="External"/><Relationship Id="rId89" Type="http://schemas.openxmlformats.org/officeDocument/2006/relationships/hyperlink" Target="https://twitter.com/CalforNC/status/1318184260663152641" TargetMode="External"/><Relationship Id="rId112" Type="http://schemas.openxmlformats.org/officeDocument/2006/relationships/hyperlink" Target="https://twitter.com/CalforNC/status/1316083674237071362" TargetMode="External"/><Relationship Id="rId133" Type="http://schemas.openxmlformats.org/officeDocument/2006/relationships/hyperlink" Target="https://twitter.com/CalforNC/status/1313932050555166723"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twitter.com/JohnCornyn/status/1319263448551677953" TargetMode="External"/><Relationship Id="rId299" Type="http://schemas.openxmlformats.org/officeDocument/2006/relationships/hyperlink" Target="https://twitter.com/JohnCornyn/status/1312440420190748678" TargetMode="External"/><Relationship Id="rId21" Type="http://schemas.openxmlformats.org/officeDocument/2006/relationships/hyperlink" Target="https://twitter.com/JohnCornyn/status/1322153737587216385" TargetMode="External"/><Relationship Id="rId63" Type="http://schemas.openxmlformats.org/officeDocument/2006/relationships/hyperlink" Target="https://twitter.com/JohnCornyn/status/1320467913292337153" TargetMode="External"/><Relationship Id="rId159" Type="http://schemas.openxmlformats.org/officeDocument/2006/relationships/hyperlink" Target="https://twitter.com/JohnCornyn/status/1317215337956446208" TargetMode="External"/><Relationship Id="rId170" Type="http://schemas.openxmlformats.org/officeDocument/2006/relationships/hyperlink" Target="https://twitter.com/JohnCornyn/status/1316736683308732422" TargetMode="External"/><Relationship Id="rId226" Type="http://schemas.openxmlformats.org/officeDocument/2006/relationships/hyperlink" Target="https://twitter.com/JohnCornyn/status/1315598017274302467" TargetMode="External"/><Relationship Id="rId268" Type="http://schemas.openxmlformats.org/officeDocument/2006/relationships/hyperlink" Target="https://twitter.com/JohnCornyn/status/1314315685854679044" TargetMode="External"/><Relationship Id="rId32" Type="http://schemas.openxmlformats.org/officeDocument/2006/relationships/hyperlink" Target="https://twitter.com/JohnCornyn/status/1321778709590933511" TargetMode="External"/><Relationship Id="rId74" Type="http://schemas.openxmlformats.org/officeDocument/2006/relationships/hyperlink" Target="https://twitter.com/JohnCornyn/status/1320009517749424129" TargetMode="External"/><Relationship Id="rId128" Type="http://schemas.openxmlformats.org/officeDocument/2006/relationships/hyperlink" Target="https://twitter.com/JohnCornyn/status/1318693796012560385" TargetMode="External"/><Relationship Id="rId5" Type="http://schemas.openxmlformats.org/officeDocument/2006/relationships/hyperlink" Target="https://twitter.com/JohnCornyn/status/1323627928920481792" TargetMode="External"/><Relationship Id="rId181" Type="http://schemas.openxmlformats.org/officeDocument/2006/relationships/hyperlink" Target="https://twitter.com/JohnCornyn/status/1316483049635315718" TargetMode="External"/><Relationship Id="rId237" Type="http://schemas.openxmlformats.org/officeDocument/2006/relationships/hyperlink" Target="https://twitter.com/JohnCornyn/status/1315332189207367681" TargetMode="External"/><Relationship Id="rId279" Type="http://schemas.openxmlformats.org/officeDocument/2006/relationships/hyperlink" Target="https://twitter.com/JohnCornyn/status/1313810771428741120" TargetMode="External"/><Relationship Id="rId43" Type="http://schemas.openxmlformats.org/officeDocument/2006/relationships/hyperlink" Target="https://twitter.com/JohnCornyn/status/1321408432151343104" TargetMode="External"/><Relationship Id="rId139" Type="http://schemas.openxmlformats.org/officeDocument/2006/relationships/hyperlink" Target="https://twitter.com/JohnCornyn/status/1318366586965819392" TargetMode="External"/><Relationship Id="rId290" Type="http://schemas.openxmlformats.org/officeDocument/2006/relationships/hyperlink" Target="https://twitter.com/JohnCornyn/status/1313454366901272578" TargetMode="External"/><Relationship Id="rId85" Type="http://schemas.openxmlformats.org/officeDocument/2006/relationships/hyperlink" Target="https://twitter.com/JohnCornyn/status/1319703134130868231" TargetMode="External"/><Relationship Id="rId150" Type="http://schemas.openxmlformats.org/officeDocument/2006/relationships/hyperlink" Target="https://twitter.com/JohnCornyn/status/1317950874795143168" TargetMode="External"/><Relationship Id="rId192" Type="http://schemas.openxmlformats.org/officeDocument/2006/relationships/hyperlink" Target="https://twitter.com/JohnCornyn/status/1316325132844118017" TargetMode="External"/><Relationship Id="rId206" Type="http://schemas.openxmlformats.org/officeDocument/2006/relationships/hyperlink" Target="https://twitter.com/JohnCornyn/status/1316113307254902789" TargetMode="External"/><Relationship Id="rId248" Type="http://schemas.openxmlformats.org/officeDocument/2006/relationships/hyperlink" Target="https://twitter.com/JohnCornyn/status/1315268196807696384" TargetMode="External"/><Relationship Id="rId12" Type="http://schemas.openxmlformats.org/officeDocument/2006/relationships/hyperlink" Target="https://twitter.com/JohnCornyn/status/1322512282291720192" TargetMode="External"/><Relationship Id="rId108" Type="http://schemas.openxmlformats.org/officeDocument/2006/relationships/hyperlink" Target="https://twitter.com/JohnCornyn/status/1319340781866463233" TargetMode="External"/><Relationship Id="rId54" Type="http://schemas.openxmlformats.org/officeDocument/2006/relationships/hyperlink" Target="https://twitter.com/JohnCornyn/status/1320841298862088201" TargetMode="External"/><Relationship Id="rId96" Type="http://schemas.openxmlformats.org/officeDocument/2006/relationships/hyperlink" Target="https://twitter.com/JohnCornyn/status/1319620897700040710" TargetMode="External"/><Relationship Id="rId161" Type="http://schemas.openxmlformats.org/officeDocument/2006/relationships/hyperlink" Target="https://twitter.com/JohnCornyn/status/1317131350697218049" TargetMode="External"/><Relationship Id="rId217" Type="http://schemas.openxmlformats.org/officeDocument/2006/relationships/hyperlink" Target="https://twitter.com/JohnCornyn/status/1315697642702278656" TargetMode="External"/><Relationship Id="rId6" Type="http://schemas.openxmlformats.org/officeDocument/2006/relationships/hyperlink" Target="https://twitter.com/JohnCornyn/status/1323627281009573888" TargetMode="External"/><Relationship Id="rId238" Type="http://schemas.openxmlformats.org/officeDocument/2006/relationships/hyperlink" Target="https://twitter.com/JohnCornyn/status/1315294595325071362" TargetMode="External"/><Relationship Id="rId259" Type="http://schemas.openxmlformats.org/officeDocument/2006/relationships/hyperlink" Target="https://twitter.com/JohnCornyn/status/1314759049473384449" TargetMode="External"/><Relationship Id="rId23" Type="http://schemas.openxmlformats.org/officeDocument/2006/relationships/hyperlink" Target="https://twitter.com/JohnCornyn/status/1321983162982014976" TargetMode="External"/><Relationship Id="rId119" Type="http://schemas.openxmlformats.org/officeDocument/2006/relationships/hyperlink" Target="https://twitter.com/JohnCornyn/status/1319073995375988737" TargetMode="External"/><Relationship Id="rId270" Type="http://schemas.openxmlformats.org/officeDocument/2006/relationships/hyperlink" Target="https://twitter.com/JohnCornyn/status/1314270540601929731" TargetMode="External"/><Relationship Id="rId291" Type="http://schemas.openxmlformats.org/officeDocument/2006/relationships/hyperlink" Target="https://twitter.com/JohnCornyn/status/1313274384027615232" TargetMode="External"/><Relationship Id="rId44" Type="http://schemas.openxmlformats.org/officeDocument/2006/relationships/hyperlink" Target="https://twitter.com/JohnCornyn/status/1321170309341392896" TargetMode="External"/><Relationship Id="rId65" Type="http://schemas.openxmlformats.org/officeDocument/2006/relationships/hyperlink" Target="https://twitter.com/JohnCornyn/status/1320375067101061121" TargetMode="External"/><Relationship Id="rId86" Type="http://schemas.openxmlformats.org/officeDocument/2006/relationships/hyperlink" Target="https://twitter.com/JohnCornyn/status/1319702818287214592" TargetMode="External"/><Relationship Id="rId130" Type="http://schemas.openxmlformats.org/officeDocument/2006/relationships/hyperlink" Target="https://twitter.com/JohnCornyn/status/1318644596507901953" TargetMode="External"/><Relationship Id="rId151" Type="http://schemas.openxmlformats.org/officeDocument/2006/relationships/hyperlink" Target="https://twitter.com/JohnCornyn/status/1317864037078716418" TargetMode="External"/><Relationship Id="rId172" Type="http://schemas.openxmlformats.org/officeDocument/2006/relationships/hyperlink" Target="https://twitter.com/JohnCornyn/status/1316730666625761281" TargetMode="External"/><Relationship Id="rId193" Type="http://schemas.openxmlformats.org/officeDocument/2006/relationships/hyperlink" Target="https://twitter.com/JohnCornyn/status/1316325132013625345" TargetMode="External"/><Relationship Id="rId207" Type="http://schemas.openxmlformats.org/officeDocument/2006/relationships/hyperlink" Target="https://twitter.com/JohnCornyn/status/1316043657561153536" TargetMode="External"/><Relationship Id="rId228" Type="http://schemas.openxmlformats.org/officeDocument/2006/relationships/hyperlink" Target="https://twitter.com/JohnCornyn/status/1315595925461643264" TargetMode="External"/><Relationship Id="rId249" Type="http://schemas.openxmlformats.org/officeDocument/2006/relationships/hyperlink" Target="https://twitter.com/JohnCornyn/status/1315016296619298817" TargetMode="External"/><Relationship Id="rId13" Type="http://schemas.openxmlformats.org/officeDocument/2006/relationships/hyperlink" Target="https://twitter.com/JohnCornyn/status/1322384095586979840" TargetMode="External"/><Relationship Id="rId109" Type="http://schemas.openxmlformats.org/officeDocument/2006/relationships/hyperlink" Target="https://twitter.com/JohnCornyn/status/1319340780432072713" TargetMode="External"/><Relationship Id="rId260" Type="http://schemas.openxmlformats.org/officeDocument/2006/relationships/hyperlink" Target="https://twitter.com/JohnCornyn/status/1314758229549895680" TargetMode="External"/><Relationship Id="rId281" Type="http://schemas.openxmlformats.org/officeDocument/2006/relationships/hyperlink" Target="https://twitter.com/JohnCornyn/status/1313806413228109828" TargetMode="External"/><Relationship Id="rId34" Type="http://schemas.openxmlformats.org/officeDocument/2006/relationships/hyperlink" Target="https://twitter.com/JohnCornyn/status/1321562129309335554" TargetMode="External"/><Relationship Id="rId55" Type="http://schemas.openxmlformats.org/officeDocument/2006/relationships/hyperlink" Target="https://twitter.com/JohnCornyn/status/1320812383053500421" TargetMode="External"/><Relationship Id="rId76" Type="http://schemas.openxmlformats.org/officeDocument/2006/relationships/hyperlink" Target="https://twitter.com/JohnCornyn/status/1319965757623730178" TargetMode="External"/><Relationship Id="rId97" Type="http://schemas.openxmlformats.org/officeDocument/2006/relationships/hyperlink" Target="https://twitter.com/JohnCornyn/status/1319609101333204993" TargetMode="External"/><Relationship Id="rId120" Type="http://schemas.openxmlformats.org/officeDocument/2006/relationships/hyperlink" Target="https://twitter.com/JohnCornyn/status/1319065084304523266" TargetMode="External"/><Relationship Id="rId141" Type="http://schemas.openxmlformats.org/officeDocument/2006/relationships/hyperlink" Target="https://twitter.com/JohnCornyn/status/1318308570216255492" TargetMode="External"/><Relationship Id="rId7" Type="http://schemas.openxmlformats.org/officeDocument/2006/relationships/hyperlink" Target="https://twitter.com/JohnCornyn/status/1323281811682844674" TargetMode="External"/><Relationship Id="rId162" Type="http://schemas.openxmlformats.org/officeDocument/2006/relationships/hyperlink" Target="https://twitter.com/JohnCornyn/status/1317131347023069185" TargetMode="External"/><Relationship Id="rId183" Type="http://schemas.openxmlformats.org/officeDocument/2006/relationships/hyperlink" Target="https://twitter.com/JohnCornyn/status/1316427927769186305" TargetMode="External"/><Relationship Id="rId218" Type="http://schemas.openxmlformats.org/officeDocument/2006/relationships/hyperlink" Target="https://twitter.com/JohnCornyn/status/1315695948950052864" TargetMode="External"/><Relationship Id="rId239" Type="http://schemas.openxmlformats.org/officeDocument/2006/relationships/hyperlink" Target="https://twitter.com/JohnCornyn/status/1315291800073011201" TargetMode="External"/><Relationship Id="rId250" Type="http://schemas.openxmlformats.org/officeDocument/2006/relationships/hyperlink" Target="https://twitter.com/JohnCornyn/status/1314959309411934209" TargetMode="External"/><Relationship Id="rId271" Type="http://schemas.openxmlformats.org/officeDocument/2006/relationships/hyperlink" Target="https://twitter.com/JohnCornyn/status/1314270442677469184" TargetMode="External"/><Relationship Id="rId292" Type="http://schemas.openxmlformats.org/officeDocument/2006/relationships/hyperlink" Target="https://twitter.com/JohnCornyn/status/1313244961257803776" TargetMode="External"/><Relationship Id="rId24" Type="http://schemas.openxmlformats.org/officeDocument/2006/relationships/hyperlink" Target="https://twitter.com/JohnCornyn/status/1321975988327190528" TargetMode="External"/><Relationship Id="rId45" Type="http://schemas.openxmlformats.org/officeDocument/2006/relationships/hyperlink" Target="https://twitter.com/JohnCornyn/status/1321170159709622275" TargetMode="External"/><Relationship Id="rId66" Type="http://schemas.openxmlformats.org/officeDocument/2006/relationships/hyperlink" Target="https://twitter.com/JohnCornyn/status/1320375066060820480" TargetMode="External"/><Relationship Id="rId87" Type="http://schemas.openxmlformats.org/officeDocument/2006/relationships/hyperlink" Target="https://twitter.com/JohnCornyn/status/1319690301297074176" TargetMode="External"/><Relationship Id="rId110" Type="http://schemas.openxmlformats.org/officeDocument/2006/relationships/hyperlink" Target="https://twitter.com/JohnCornyn/status/1319340779035414528" TargetMode="External"/><Relationship Id="rId131" Type="http://schemas.openxmlformats.org/officeDocument/2006/relationships/hyperlink" Target="https://twitter.com/JohnCornyn/status/1318622697337872385" TargetMode="External"/><Relationship Id="rId152" Type="http://schemas.openxmlformats.org/officeDocument/2006/relationships/hyperlink" Target="https://twitter.com/JohnCornyn/status/1317825082018975744" TargetMode="External"/><Relationship Id="rId173" Type="http://schemas.openxmlformats.org/officeDocument/2006/relationships/hyperlink" Target="https://twitter.com/JohnCornyn/status/1316691830222852096" TargetMode="External"/><Relationship Id="rId194" Type="http://schemas.openxmlformats.org/officeDocument/2006/relationships/hyperlink" Target="https://twitter.com/JohnCornyn/status/1316325131040497664" TargetMode="External"/><Relationship Id="rId208" Type="http://schemas.openxmlformats.org/officeDocument/2006/relationships/hyperlink" Target="https://twitter.com/JohnCornyn/status/1316016034919317506" TargetMode="External"/><Relationship Id="rId229" Type="http://schemas.openxmlformats.org/officeDocument/2006/relationships/hyperlink" Target="https://twitter.com/JohnCornyn/status/1315455764669104128" TargetMode="External"/><Relationship Id="rId240" Type="http://schemas.openxmlformats.org/officeDocument/2006/relationships/hyperlink" Target="https://twitter.com/JohnCornyn/status/1315290294422843395" TargetMode="External"/><Relationship Id="rId261" Type="http://schemas.openxmlformats.org/officeDocument/2006/relationships/hyperlink" Target="https://twitter.com/JohnCornyn/status/1314637826764484609" TargetMode="External"/><Relationship Id="rId14" Type="http://schemas.openxmlformats.org/officeDocument/2006/relationships/hyperlink" Target="https://twitter.com/JohnCornyn/status/1322329515121672192" TargetMode="External"/><Relationship Id="rId35" Type="http://schemas.openxmlformats.org/officeDocument/2006/relationships/hyperlink" Target="https://twitter.com/JohnCornyn/status/1321561523668529159" TargetMode="External"/><Relationship Id="rId56" Type="http://schemas.openxmlformats.org/officeDocument/2006/relationships/hyperlink" Target="https://twitter.com/JohnCornyn/status/1320811741874475008" TargetMode="External"/><Relationship Id="rId77" Type="http://schemas.openxmlformats.org/officeDocument/2006/relationships/hyperlink" Target="https://twitter.com/JohnCornyn/status/1319965756604514305" TargetMode="External"/><Relationship Id="rId100" Type="http://schemas.openxmlformats.org/officeDocument/2006/relationships/hyperlink" Target="https://twitter.com/JohnCornyn/status/1319592903669317632" TargetMode="External"/><Relationship Id="rId282" Type="http://schemas.openxmlformats.org/officeDocument/2006/relationships/hyperlink" Target="https://twitter.com/JohnCornyn/status/1313804822542458880" TargetMode="External"/><Relationship Id="rId8" Type="http://schemas.openxmlformats.org/officeDocument/2006/relationships/hyperlink" Target="https://twitter.com/JohnCornyn/status/1323078518985601027" TargetMode="External"/><Relationship Id="rId98" Type="http://schemas.openxmlformats.org/officeDocument/2006/relationships/hyperlink" Target="https://twitter.com/JohnCornyn/status/1319608328046116865" TargetMode="External"/><Relationship Id="rId121" Type="http://schemas.openxmlformats.org/officeDocument/2006/relationships/hyperlink" Target="https://twitter.com/JohnCornyn/status/1319056491261890560" TargetMode="External"/><Relationship Id="rId142" Type="http://schemas.openxmlformats.org/officeDocument/2006/relationships/hyperlink" Target="https://twitter.com/JohnCornyn/status/1318213117114044422" TargetMode="External"/><Relationship Id="rId163" Type="http://schemas.openxmlformats.org/officeDocument/2006/relationships/hyperlink" Target="https://twitter.com/JohnCornyn/status/1316891532545323008" TargetMode="External"/><Relationship Id="rId184" Type="http://schemas.openxmlformats.org/officeDocument/2006/relationships/hyperlink" Target="https://twitter.com/JohnCornyn/status/1316420339862208517" TargetMode="External"/><Relationship Id="rId219" Type="http://schemas.openxmlformats.org/officeDocument/2006/relationships/hyperlink" Target="https://twitter.com/JohnCornyn/status/1315694754701742081" TargetMode="External"/><Relationship Id="rId230" Type="http://schemas.openxmlformats.org/officeDocument/2006/relationships/hyperlink" Target="https://twitter.com/JohnCornyn/status/1315455755512885248" TargetMode="External"/><Relationship Id="rId251" Type="http://schemas.openxmlformats.org/officeDocument/2006/relationships/hyperlink" Target="https://twitter.com/JohnCornyn/status/1314958505175113730" TargetMode="External"/><Relationship Id="rId25" Type="http://schemas.openxmlformats.org/officeDocument/2006/relationships/hyperlink" Target="https://twitter.com/JohnCornyn/status/1321927835200704512" TargetMode="External"/><Relationship Id="rId46" Type="http://schemas.openxmlformats.org/officeDocument/2006/relationships/hyperlink" Target="https://twitter.com/JohnCornyn/status/1321170069334953985" TargetMode="External"/><Relationship Id="rId67" Type="http://schemas.openxmlformats.org/officeDocument/2006/relationships/hyperlink" Target="https://twitter.com/JohnCornyn/status/1320375063749812224" TargetMode="External"/><Relationship Id="rId272" Type="http://schemas.openxmlformats.org/officeDocument/2006/relationships/hyperlink" Target="https://twitter.com/JohnCornyn/status/1314193631461416960" TargetMode="External"/><Relationship Id="rId293" Type="http://schemas.openxmlformats.org/officeDocument/2006/relationships/hyperlink" Target="https://twitter.com/JohnCornyn/status/1312830215236792322" TargetMode="External"/><Relationship Id="rId88" Type="http://schemas.openxmlformats.org/officeDocument/2006/relationships/hyperlink" Target="https://twitter.com/JohnCornyn/status/1319689930512228352" TargetMode="External"/><Relationship Id="rId111" Type="http://schemas.openxmlformats.org/officeDocument/2006/relationships/hyperlink" Target="https://twitter.com/JohnCornyn/status/1319340777558999041" TargetMode="External"/><Relationship Id="rId132" Type="http://schemas.openxmlformats.org/officeDocument/2006/relationships/hyperlink" Target="https://twitter.com/JohnCornyn/status/1318619361452634112" TargetMode="External"/><Relationship Id="rId153" Type="http://schemas.openxmlformats.org/officeDocument/2006/relationships/hyperlink" Target="https://twitter.com/JohnCornyn/status/1317556405268860933" TargetMode="External"/><Relationship Id="rId174" Type="http://schemas.openxmlformats.org/officeDocument/2006/relationships/hyperlink" Target="https://twitter.com/JohnCornyn/status/1316690677439307777" TargetMode="External"/><Relationship Id="rId195" Type="http://schemas.openxmlformats.org/officeDocument/2006/relationships/hyperlink" Target="https://twitter.com/JohnCornyn/status/1316324300069183488" TargetMode="External"/><Relationship Id="rId209" Type="http://schemas.openxmlformats.org/officeDocument/2006/relationships/hyperlink" Target="https://twitter.com/JohnCornyn/status/1316016026899767296" TargetMode="External"/><Relationship Id="rId220" Type="http://schemas.openxmlformats.org/officeDocument/2006/relationships/hyperlink" Target="https://twitter.com/JohnCornyn/status/1315672234283933696" TargetMode="External"/><Relationship Id="rId241" Type="http://schemas.openxmlformats.org/officeDocument/2006/relationships/hyperlink" Target="https://twitter.com/JohnCornyn/status/1315287326482984961" TargetMode="External"/><Relationship Id="rId15" Type="http://schemas.openxmlformats.org/officeDocument/2006/relationships/hyperlink" Target="https://twitter.com/JohnCornyn/status/1322307652383313922" TargetMode="External"/><Relationship Id="rId36" Type="http://schemas.openxmlformats.org/officeDocument/2006/relationships/hyperlink" Target="https://twitter.com/JohnCornyn/status/1321469226771746820" TargetMode="External"/><Relationship Id="rId57" Type="http://schemas.openxmlformats.org/officeDocument/2006/relationships/hyperlink" Target="https://twitter.com/JohnCornyn/status/1320810254267985920" TargetMode="External"/><Relationship Id="rId262" Type="http://schemas.openxmlformats.org/officeDocument/2006/relationships/hyperlink" Target="https://twitter.com/JohnCornyn/status/1314628508182863877" TargetMode="External"/><Relationship Id="rId283" Type="http://schemas.openxmlformats.org/officeDocument/2006/relationships/hyperlink" Target="https://twitter.com/JohnCornyn/status/1313622929956012033" TargetMode="External"/><Relationship Id="rId78" Type="http://schemas.openxmlformats.org/officeDocument/2006/relationships/hyperlink" Target="https://twitter.com/JohnCornyn/status/1319963842252840965" TargetMode="External"/><Relationship Id="rId99" Type="http://schemas.openxmlformats.org/officeDocument/2006/relationships/hyperlink" Target="https://twitter.com/JohnCornyn/status/1319597330895638529" TargetMode="External"/><Relationship Id="rId101" Type="http://schemas.openxmlformats.org/officeDocument/2006/relationships/hyperlink" Target="https://twitter.com/JohnCornyn/status/1319590667023245312" TargetMode="External"/><Relationship Id="rId122" Type="http://schemas.openxmlformats.org/officeDocument/2006/relationships/hyperlink" Target="https://twitter.com/JohnCornyn/status/1319021868163174404" TargetMode="External"/><Relationship Id="rId143" Type="http://schemas.openxmlformats.org/officeDocument/2006/relationships/hyperlink" Target="https://twitter.com/JohnCornyn/status/1318205240714416128" TargetMode="External"/><Relationship Id="rId164" Type="http://schemas.openxmlformats.org/officeDocument/2006/relationships/hyperlink" Target="https://twitter.com/JohnCornyn/status/1316783772885487618" TargetMode="External"/><Relationship Id="rId185" Type="http://schemas.openxmlformats.org/officeDocument/2006/relationships/hyperlink" Target="https://twitter.com/JohnCornyn/status/1316402314740146176" TargetMode="External"/><Relationship Id="rId9" Type="http://schemas.openxmlformats.org/officeDocument/2006/relationships/hyperlink" Target="https://twitter.com/JohnCornyn/status/1322889576785022980" TargetMode="External"/><Relationship Id="rId210" Type="http://schemas.openxmlformats.org/officeDocument/2006/relationships/hyperlink" Target="https://twitter.com/JohnCornyn/status/1316015968687063043" TargetMode="External"/><Relationship Id="rId26" Type="http://schemas.openxmlformats.org/officeDocument/2006/relationships/hyperlink" Target="https://twitter.com/JohnCornyn/status/1321924795706019842" TargetMode="External"/><Relationship Id="rId231" Type="http://schemas.openxmlformats.org/officeDocument/2006/relationships/hyperlink" Target="https://twitter.com/JohnCornyn/status/1315455752568483840" TargetMode="External"/><Relationship Id="rId252" Type="http://schemas.openxmlformats.org/officeDocument/2006/relationships/hyperlink" Target="https://twitter.com/JohnCornyn/status/1314940332019249153" TargetMode="External"/><Relationship Id="rId273" Type="http://schemas.openxmlformats.org/officeDocument/2006/relationships/hyperlink" Target="https://twitter.com/JohnCornyn/status/1314171578452774912" TargetMode="External"/><Relationship Id="rId294" Type="http://schemas.openxmlformats.org/officeDocument/2006/relationships/hyperlink" Target="https://twitter.com/JohnCornyn/status/1312805726839078914" TargetMode="External"/><Relationship Id="rId47" Type="http://schemas.openxmlformats.org/officeDocument/2006/relationships/hyperlink" Target="https://twitter.com/JohnCornyn/status/1321113411762167809" TargetMode="External"/><Relationship Id="rId68" Type="http://schemas.openxmlformats.org/officeDocument/2006/relationships/hyperlink" Target="https://twitter.com/JohnCornyn/status/1320371264222040066" TargetMode="External"/><Relationship Id="rId89" Type="http://schemas.openxmlformats.org/officeDocument/2006/relationships/hyperlink" Target="https://twitter.com/JohnCornyn/status/1319686207555731457" TargetMode="External"/><Relationship Id="rId112" Type="http://schemas.openxmlformats.org/officeDocument/2006/relationships/hyperlink" Target="https://twitter.com/JohnCornyn/status/1319340775918964738" TargetMode="External"/><Relationship Id="rId133" Type="http://schemas.openxmlformats.org/officeDocument/2006/relationships/hyperlink" Target="https://twitter.com/JohnCornyn/status/1318561201736060934" TargetMode="External"/><Relationship Id="rId154" Type="http://schemas.openxmlformats.org/officeDocument/2006/relationships/hyperlink" Target="https://twitter.com/JohnCornyn/status/1317480530070376448" TargetMode="External"/><Relationship Id="rId175" Type="http://schemas.openxmlformats.org/officeDocument/2006/relationships/hyperlink" Target="https://twitter.com/JohnCornyn/status/1316690676524953601" TargetMode="External"/><Relationship Id="rId196" Type="http://schemas.openxmlformats.org/officeDocument/2006/relationships/hyperlink" Target="https://twitter.com/JohnCornyn/status/1316323379713114112" TargetMode="External"/><Relationship Id="rId200" Type="http://schemas.openxmlformats.org/officeDocument/2006/relationships/hyperlink" Target="https://twitter.com/JohnCornyn/status/1316161191052480514" TargetMode="External"/><Relationship Id="rId16" Type="http://schemas.openxmlformats.org/officeDocument/2006/relationships/hyperlink" Target="https://twitter.com/JohnCornyn/status/1322245518370721792" TargetMode="External"/><Relationship Id="rId221" Type="http://schemas.openxmlformats.org/officeDocument/2006/relationships/hyperlink" Target="https://twitter.com/JohnCornyn/status/1315667366748065795" TargetMode="External"/><Relationship Id="rId242" Type="http://schemas.openxmlformats.org/officeDocument/2006/relationships/hyperlink" Target="https://twitter.com/JohnCornyn/status/1315286153344540677" TargetMode="External"/><Relationship Id="rId263" Type="http://schemas.openxmlformats.org/officeDocument/2006/relationships/hyperlink" Target="https://twitter.com/JohnCornyn/status/1314617669337972736" TargetMode="External"/><Relationship Id="rId284" Type="http://schemas.openxmlformats.org/officeDocument/2006/relationships/hyperlink" Target="https://twitter.com/JohnCornyn/status/1313610570902495233" TargetMode="External"/><Relationship Id="rId37" Type="http://schemas.openxmlformats.org/officeDocument/2006/relationships/hyperlink" Target="https://twitter.com/JohnCornyn/status/1321453687844339713" TargetMode="External"/><Relationship Id="rId58" Type="http://schemas.openxmlformats.org/officeDocument/2006/relationships/hyperlink" Target="https://twitter.com/JohnCornyn/status/1320766581547421696" TargetMode="External"/><Relationship Id="rId79" Type="http://schemas.openxmlformats.org/officeDocument/2006/relationships/hyperlink" Target="https://twitter.com/JohnCornyn/status/1319787836317618179" TargetMode="External"/><Relationship Id="rId102" Type="http://schemas.openxmlformats.org/officeDocument/2006/relationships/hyperlink" Target="https://twitter.com/JohnCornyn/status/1319587383390724098" TargetMode="External"/><Relationship Id="rId123" Type="http://schemas.openxmlformats.org/officeDocument/2006/relationships/hyperlink" Target="https://twitter.com/JohnCornyn/status/1318971127239184384" TargetMode="External"/><Relationship Id="rId144" Type="http://schemas.openxmlformats.org/officeDocument/2006/relationships/hyperlink" Target="https://twitter.com/JohnCornyn/status/1318142746947997698" TargetMode="External"/><Relationship Id="rId90" Type="http://schemas.openxmlformats.org/officeDocument/2006/relationships/hyperlink" Target="https://twitter.com/JohnCornyn/status/1319686042585337856" TargetMode="External"/><Relationship Id="rId165" Type="http://schemas.openxmlformats.org/officeDocument/2006/relationships/hyperlink" Target="https://twitter.com/JohnCornyn/status/1316766035937234946" TargetMode="External"/><Relationship Id="rId186" Type="http://schemas.openxmlformats.org/officeDocument/2006/relationships/hyperlink" Target="https://twitter.com/JohnCornyn/status/1316389591541256194" TargetMode="External"/><Relationship Id="rId211" Type="http://schemas.openxmlformats.org/officeDocument/2006/relationships/hyperlink" Target="https://twitter.com/JohnCornyn/status/1315954583571660800" TargetMode="External"/><Relationship Id="rId232" Type="http://schemas.openxmlformats.org/officeDocument/2006/relationships/hyperlink" Target="https://twitter.com/JohnCornyn/status/1315408312238833665" TargetMode="External"/><Relationship Id="rId253" Type="http://schemas.openxmlformats.org/officeDocument/2006/relationships/hyperlink" Target="https://twitter.com/JohnCornyn/status/1314936325599121409" TargetMode="External"/><Relationship Id="rId274" Type="http://schemas.openxmlformats.org/officeDocument/2006/relationships/hyperlink" Target="https://twitter.com/JohnCornyn/status/1314163329590538242" TargetMode="External"/><Relationship Id="rId295" Type="http://schemas.openxmlformats.org/officeDocument/2006/relationships/hyperlink" Target="https://twitter.com/JohnCornyn/status/1312789720468992000" TargetMode="External"/><Relationship Id="rId27" Type="http://schemas.openxmlformats.org/officeDocument/2006/relationships/hyperlink" Target="https://twitter.com/JohnCornyn/status/1321903690773680128" TargetMode="External"/><Relationship Id="rId48" Type="http://schemas.openxmlformats.org/officeDocument/2006/relationships/hyperlink" Target="https://twitter.com/JohnCornyn/status/1321094098850357253" TargetMode="External"/><Relationship Id="rId69" Type="http://schemas.openxmlformats.org/officeDocument/2006/relationships/hyperlink" Target="https://twitter.com/JohnCornyn/status/1320346761618182144" TargetMode="External"/><Relationship Id="rId113" Type="http://schemas.openxmlformats.org/officeDocument/2006/relationships/hyperlink" Target="https://twitter.com/JohnCornyn/status/1319340774165798912" TargetMode="External"/><Relationship Id="rId134" Type="http://schemas.openxmlformats.org/officeDocument/2006/relationships/hyperlink" Target="https://twitter.com/JohnCornyn/status/1318503323067187204" TargetMode="External"/><Relationship Id="rId80" Type="http://schemas.openxmlformats.org/officeDocument/2006/relationships/hyperlink" Target="https://twitter.com/JohnCornyn/status/1319785145499602944" TargetMode="External"/><Relationship Id="rId155" Type="http://schemas.openxmlformats.org/officeDocument/2006/relationships/hyperlink" Target="https://twitter.com/JohnCornyn/status/1317467467439083521" TargetMode="External"/><Relationship Id="rId176" Type="http://schemas.openxmlformats.org/officeDocument/2006/relationships/hyperlink" Target="https://twitter.com/JohnCornyn/status/1316686089311211520" TargetMode="External"/><Relationship Id="rId197" Type="http://schemas.openxmlformats.org/officeDocument/2006/relationships/hyperlink" Target="https://twitter.com/JohnCornyn/status/1316176767036665856" TargetMode="External"/><Relationship Id="rId201" Type="http://schemas.openxmlformats.org/officeDocument/2006/relationships/hyperlink" Target="https://twitter.com/JohnCornyn/status/1316160770003140617" TargetMode="External"/><Relationship Id="rId222" Type="http://schemas.openxmlformats.org/officeDocument/2006/relationships/hyperlink" Target="https://twitter.com/JohnCornyn/status/1315666879927799811" TargetMode="External"/><Relationship Id="rId243" Type="http://schemas.openxmlformats.org/officeDocument/2006/relationships/hyperlink" Target="https://twitter.com/JohnCornyn/status/1315281981924610048" TargetMode="External"/><Relationship Id="rId264" Type="http://schemas.openxmlformats.org/officeDocument/2006/relationships/hyperlink" Target="https://twitter.com/JohnCornyn/status/1314558890013609984" TargetMode="External"/><Relationship Id="rId285" Type="http://schemas.openxmlformats.org/officeDocument/2006/relationships/hyperlink" Target="https://twitter.com/JohnCornyn/status/1313610565483454470" TargetMode="External"/><Relationship Id="rId17" Type="http://schemas.openxmlformats.org/officeDocument/2006/relationships/hyperlink" Target="https://twitter.com/JohnCornyn/status/1322245399990718464" TargetMode="External"/><Relationship Id="rId38" Type="http://schemas.openxmlformats.org/officeDocument/2006/relationships/hyperlink" Target="https://twitter.com/JohnCornyn/status/1321453686288195584" TargetMode="External"/><Relationship Id="rId59" Type="http://schemas.openxmlformats.org/officeDocument/2006/relationships/hyperlink" Target="https://twitter.com/JohnCornyn/status/1320706094537314309" TargetMode="External"/><Relationship Id="rId103" Type="http://schemas.openxmlformats.org/officeDocument/2006/relationships/hyperlink" Target="https://twitter.com/JohnCornyn/status/1319431438031327234" TargetMode="External"/><Relationship Id="rId124" Type="http://schemas.openxmlformats.org/officeDocument/2006/relationships/hyperlink" Target="https://twitter.com/JohnCornyn/status/1318939803111641088" TargetMode="External"/><Relationship Id="rId70" Type="http://schemas.openxmlformats.org/officeDocument/2006/relationships/hyperlink" Target="https://twitter.com/JohnCornyn/status/1320343894849191936" TargetMode="External"/><Relationship Id="rId91" Type="http://schemas.openxmlformats.org/officeDocument/2006/relationships/hyperlink" Target="https://twitter.com/JohnCornyn/status/1319651018838298625" TargetMode="External"/><Relationship Id="rId145" Type="http://schemas.openxmlformats.org/officeDocument/2006/relationships/hyperlink" Target="https://twitter.com/JohnCornyn/status/1318142174249234432" TargetMode="External"/><Relationship Id="rId166" Type="http://schemas.openxmlformats.org/officeDocument/2006/relationships/hyperlink" Target="https://twitter.com/JohnCornyn/status/1316759995753562118" TargetMode="External"/><Relationship Id="rId187" Type="http://schemas.openxmlformats.org/officeDocument/2006/relationships/hyperlink" Target="https://twitter.com/JohnCornyn/status/1316373489268465665" TargetMode="External"/><Relationship Id="rId1" Type="http://schemas.openxmlformats.org/officeDocument/2006/relationships/hyperlink" Target="https://twitter.com/JohnCornyn/status/1323656729306030081" TargetMode="External"/><Relationship Id="rId212" Type="http://schemas.openxmlformats.org/officeDocument/2006/relationships/hyperlink" Target="https://twitter.com/JohnCornyn/status/1315765749294735365" TargetMode="External"/><Relationship Id="rId233" Type="http://schemas.openxmlformats.org/officeDocument/2006/relationships/hyperlink" Target="https://twitter.com/JohnCornyn/status/1315391430496530440" TargetMode="External"/><Relationship Id="rId254" Type="http://schemas.openxmlformats.org/officeDocument/2006/relationships/hyperlink" Target="https://twitter.com/JohnCornyn/status/1314931306812317698" TargetMode="External"/><Relationship Id="rId28" Type="http://schemas.openxmlformats.org/officeDocument/2006/relationships/hyperlink" Target="https://twitter.com/JohnCornyn/status/1321862033944551424" TargetMode="External"/><Relationship Id="rId49" Type="http://schemas.openxmlformats.org/officeDocument/2006/relationships/hyperlink" Target="https://twitter.com/JohnCornyn/status/1321033925783945221" TargetMode="External"/><Relationship Id="rId114" Type="http://schemas.openxmlformats.org/officeDocument/2006/relationships/hyperlink" Target="https://twitter.com/JohnCornyn/status/1319315390233706499" TargetMode="External"/><Relationship Id="rId275" Type="http://schemas.openxmlformats.org/officeDocument/2006/relationships/hyperlink" Target="https://twitter.com/JohnCornyn/status/1314028537016397825" TargetMode="External"/><Relationship Id="rId296" Type="http://schemas.openxmlformats.org/officeDocument/2006/relationships/hyperlink" Target="https://twitter.com/JohnCornyn/status/1312783489582936068" TargetMode="External"/><Relationship Id="rId300" Type="http://schemas.openxmlformats.org/officeDocument/2006/relationships/hyperlink" Target="https://twitter.com/JohnCornyn/status/1312439251569500160" TargetMode="External"/><Relationship Id="rId60" Type="http://schemas.openxmlformats.org/officeDocument/2006/relationships/hyperlink" Target="https://twitter.com/JohnCornyn/status/1320518508057370628" TargetMode="External"/><Relationship Id="rId81" Type="http://schemas.openxmlformats.org/officeDocument/2006/relationships/hyperlink" Target="https://twitter.com/JohnCornyn/status/1319784858902822912" TargetMode="External"/><Relationship Id="rId135" Type="http://schemas.openxmlformats.org/officeDocument/2006/relationships/hyperlink" Target="https://twitter.com/JohnCornyn/status/1318502934540406784" TargetMode="External"/><Relationship Id="rId156" Type="http://schemas.openxmlformats.org/officeDocument/2006/relationships/hyperlink" Target="https://twitter.com/JohnCornyn/status/1317445103414398976" TargetMode="External"/><Relationship Id="rId177" Type="http://schemas.openxmlformats.org/officeDocument/2006/relationships/hyperlink" Target="https://twitter.com/JohnCornyn/status/1316684125194072064" TargetMode="External"/><Relationship Id="rId198" Type="http://schemas.openxmlformats.org/officeDocument/2006/relationships/hyperlink" Target="https://twitter.com/JohnCornyn/status/1316165082536120331" TargetMode="External"/><Relationship Id="rId202" Type="http://schemas.openxmlformats.org/officeDocument/2006/relationships/hyperlink" Target="https://twitter.com/JohnCornyn/status/1316157784912691200" TargetMode="External"/><Relationship Id="rId223" Type="http://schemas.openxmlformats.org/officeDocument/2006/relationships/hyperlink" Target="https://twitter.com/JohnCornyn/status/1315638181182812160" TargetMode="External"/><Relationship Id="rId244" Type="http://schemas.openxmlformats.org/officeDocument/2006/relationships/hyperlink" Target="https://twitter.com/JohnCornyn/status/1315278299719962624" TargetMode="External"/><Relationship Id="rId18" Type="http://schemas.openxmlformats.org/officeDocument/2006/relationships/hyperlink" Target="https://twitter.com/JohnCornyn/status/1322241141601980417" TargetMode="External"/><Relationship Id="rId39" Type="http://schemas.openxmlformats.org/officeDocument/2006/relationships/hyperlink" Target="https://twitter.com/JohnCornyn/status/1321441507581243392" TargetMode="External"/><Relationship Id="rId265" Type="http://schemas.openxmlformats.org/officeDocument/2006/relationships/hyperlink" Target="https://twitter.com/JohnCornyn/status/1314557738945581056" TargetMode="External"/><Relationship Id="rId286" Type="http://schemas.openxmlformats.org/officeDocument/2006/relationships/hyperlink" Target="https://twitter.com/JohnCornyn/status/1313606580965904386" TargetMode="External"/><Relationship Id="rId50" Type="http://schemas.openxmlformats.org/officeDocument/2006/relationships/hyperlink" Target="https://twitter.com/JohnCornyn/status/1321033704597278721" TargetMode="External"/><Relationship Id="rId104" Type="http://schemas.openxmlformats.org/officeDocument/2006/relationships/hyperlink" Target="https://twitter.com/JohnCornyn/status/1319394029293998080" TargetMode="External"/><Relationship Id="rId125" Type="http://schemas.openxmlformats.org/officeDocument/2006/relationships/hyperlink" Target="https://twitter.com/JohnCornyn/status/1318910441523941376" TargetMode="External"/><Relationship Id="rId146" Type="http://schemas.openxmlformats.org/officeDocument/2006/relationships/hyperlink" Target="https://twitter.com/JohnCornyn/status/1318141258536308736" TargetMode="External"/><Relationship Id="rId167" Type="http://schemas.openxmlformats.org/officeDocument/2006/relationships/hyperlink" Target="https://twitter.com/JohnCornyn/status/1316749108460367875" TargetMode="External"/><Relationship Id="rId188" Type="http://schemas.openxmlformats.org/officeDocument/2006/relationships/hyperlink" Target="https://twitter.com/JohnCornyn/status/1316371404711956481" TargetMode="External"/><Relationship Id="rId71" Type="http://schemas.openxmlformats.org/officeDocument/2006/relationships/hyperlink" Target="https://twitter.com/JohnCornyn/status/1320111447066673152" TargetMode="External"/><Relationship Id="rId92" Type="http://schemas.openxmlformats.org/officeDocument/2006/relationships/hyperlink" Target="https://twitter.com/JohnCornyn/status/1319647967318626305" TargetMode="External"/><Relationship Id="rId213" Type="http://schemas.openxmlformats.org/officeDocument/2006/relationships/hyperlink" Target="https://twitter.com/JohnCornyn/status/1315714274405371905" TargetMode="External"/><Relationship Id="rId234" Type="http://schemas.openxmlformats.org/officeDocument/2006/relationships/hyperlink" Target="https://twitter.com/JohnCornyn/status/1315391371256238085" TargetMode="External"/><Relationship Id="rId2" Type="http://schemas.openxmlformats.org/officeDocument/2006/relationships/hyperlink" Target="https://twitter.com/JohnCornyn/status/1323638016368410629" TargetMode="External"/><Relationship Id="rId29" Type="http://schemas.openxmlformats.org/officeDocument/2006/relationships/hyperlink" Target="https://twitter.com/JohnCornyn/status/1321837532271812610" TargetMode="External"/><Relationship Id="rId255" Type="http://schemas.openxmlformats.org/officeDocument/2006/relationships/hyperlink" Target="https://twitter.com/JohnCornyn/status/1314926982057070592" TargetMode="External"/><Relationship Id="rId276" Type="http://schemas.openxmlformats.org/officeDocument/2006/relationships/hyperlink" Target="https://twitter.com/JohnCornyn/status/1314026972046073856" TargetMode="External"/><Relationship Id="rId297" Type="http://schemas.openxmlformats.org/officeDocument/2006/relationships/hyperlink" Target="https://twitter.com/JohnCornyn/status/1312771348394061825" TargetMode="External"/><Relationship Id="rId40" Type="http://schemas.openxmlformats.org/officeDocument/2006/relationships/hyperlink" Target="https://twitter.com/JohnCornyn/status/1321440266553905153" TargetMode="External"/><Relationship Id="rId115" Type="http://schemas.openxmlformats.org/officeDocument/2006/relationships/hyperlink" Target="https://twitter.com/JohnCornyn/status/1319315022020042752" TargetMode="External"/><Relationship Id="rId136" Type="http://schemas.openxmlformats.org/officeDocument/2006/relationships/hyperlink" Target="https://twitter.com/JohnCornyn/status/1318500324148117504" TargetMode="External"/><Relationship Id="rId157" Type="http://schemas.openxmlformats.org/officeDocument/2006/relationships/hyperlink" Target="https://twitter.com/JohnCornyn/status/1317441311348264960" TargetMode="External"/><Relationship Id="rId178" Type="http://schemas.openxmlformats.org/officeDocument/2006/relationships/hyperlink" Target="https://twitter.com/JohnCornyn/status/1316490931986628608" TargetMode="External"/><Relationship Id="rId301" Type="http://schemas.openxmlformats.org/officeDocument/2006/relationships/hyperlink" Target="https://twitter.com/JohnCornyn/status/1312359189919019010" TargetMode="External"/><Relationship Id="rId61" Type="http://schemas.openxmlformats.org/officeDocument/2006/relationships/hyperlink" Target="https://twitter.com/JohnCornyn/status/1320478334908813314" TargetMode="External"/><Relationship Id="rId82" Type="http://schemas.openxmlformats.org/officeDocument/2006/relationships/hyperlink" Target="https://twitter.com/JohnCornyn/status/1319778948264448001" TargetMode="External"/><Relationship Id="rId199" Type="http://schemas.openxmlformats.org/officeDocument/2006/relationships/hyperlink" Target="https://twitter.com/JohnCornyn/status/1316161884782030848" TargetMode="External"/><Relationship Id="rId203" Type="http://schemas.openxmlformats.org/officeDocument/2006/relationships/hyperlink" Target="https://twitter.com/JohnCornyn/status/1316157081754497025" TargetMode="External"/><Relationship Id="rId19" Type="http://schemas.openxmlformats.org/officeDocument/2006/relationships/hyperlink" Target="https://twitter.com/JohnCornyn/status/1322232272406388742" TargetMode="External"/><Relationship Id="rId224" Type="http://schemas.openxmlformats.org/officeDocument/2006/relationships/hyperlink" Target="https://twitter.com/JohnCornyn/status/1315638180230635520" TargetMode="External"/><Relationship Id="rId245" Type="http://schemas.openxmlformats.org/officeDocument/2006/relationships/hyperlink" Target="https://twitter.com/JohnCornyn/status/1315273334997815297" TargetMode="External"/><Relationship Id="rId266" Type="http://schemas.openxmlformats.org/officeDocument/2006/relationships/hyperlink" Target="https://twitter.com/JohnCornyn/status/1314333430830829578" TargetMode="External"/><Relationship Id="rId287" Type="http://schemas.openxmlformats.org/officeDocument/2006/relationships/hyperlink" Target="https://twitter.com/JohnCornyn/status/1313606579112026112" TargetMode="External"/><Relationship Id="rId30" Type="http://schemas.openxmlformats.org/officeDocument/2006/relationships/hyperlink" Target="https://twitter.com/JohnCornyn/status/1321808583831494662" TargetMode="External"/><Relationship Id="rId105" Type="http://schemas.openxmlformats.org/officeDocument/2006/relationships/hyperlink" Target="https://twitter.com/JohnCornyn/status/1319394028199268352" TargetMode="External"/><Relationship Id="rId126" Type="http://schemas.openxmlformats.org/officeDocument/2006/relationships/hyperlink" Target="https://twitter.com/JohnCornyn/status/1318702388342120448" TargetMode="External"/><Relationship Id="rId147" Type="http://schemas.openxmlformats.org/officeDocument/2006/relationships/hyperlink" Target="https://twitter.com/JohnCornyn/status/1318141114361274368" TargetMode="External"/><Relationship Id="rId168" Type="http://schemas.openxmlformats.org/officeDocument/2006/relationships/hyperlink" Target="https://twitter.com/JohnCornyn/status/1316748712517959680" TargetMode="External"/><Relationship Id="rId51" Type="http://schemas.openxmlformats.org/officeDocument/2006/relationships/hyperlink" Target="https://twitter.com/JohnCornyn/status/1320892293189173248" TargetMode="External"/><Relationship Id="rId72" Type="http://schemas.openxmlformats.org/officeDocument/2006/relationships/hyperlink" Target="https://twitter.com/JohnCornyn/status/1320111446299115527" TargetMode="External"/><Relationship Id="rId93" Type="http://schemas.openxmlformats.org/officeDocument/2006/relationships/hyperlink" Target="https://twitter.com/JohnCornyn/status/1319646830842568706" TargetMode="External"/><Relationship Id="rId189" Type="http://schemas.openxmlformats.org/officeDocument/2006/relationships/hyperlink" Target="https://twitter.com/JohnCornyn/status/1316370217321271298" TargetMode="External"/><Relationship Id="rId3" Type="http://schemas.openxmlformats.org/officeDocument/2006/relationships/hyperlink" Target="https://twitter.com/JohnCornyn/status/1323635461915582464" TargetMode="External"/><Relationship Id="rId214" Type="http://schemas.openxmlformats.org/officeDocument/2006/relationships/hyperlink" Target="https://twitter.com/JohnCornyn/status/1315701282447990789" TargetMode="External"/><Relationship Id="rId235" Type="http://schemas.openxmlformats.org/officeDocument/2006/relationships/hyperlink" Target="https://twitter.com/JohnCornyn/status/1315391256005140481" TargetMode="External"/><Relationship Id="rId256" Type="http://schemas.openxmlformats.org/officeDocument/2006/relationships/hyperlink" Target="https://twitter.com/JohnCornyn/status/1314912795897536512" TargetMode="External"/><Relationship Id="rId277" Type="http://schemas.openxmlformats.org/officeDocument/2006/relationships/hyperlink" Target="https://twitter.com/JohnCornyn/status/1313937486993915904" TargetMode="External"/><Relationship Id="rId298" Type="http://schemas.openxmlformats.org/officeDocument/2006/relationships/hyperlink" Target="https://twitter.com/JohnCornyn/status/1312718704673783808" TargetMode="External"/><Relationship Id="rId116" Type="http://schemas.openxmlformats.org/officeDocument/2006/relationships/hyperlink" Target="https://twitter.com/JohnCornyn/status/1319271354294767616" TargetMode="External"/><Relationship Id="rId137" Type="http://schemas.openxmlformats.org/officeDocument/2006/relationships/hyperlink" Target="https://twitter.com/JohnCornyn/status/1318498246646444033" TargetMode="External"/><Relationship Id="rId158" Type="http://schemas.openxmlformats.org/officeDocument/2006/relationships/hyperlink" Target="https://twitter.com/JohnCornyn/status/1317430080159842311" TargetMode="External"/><Relationship Id="rId302" Type="http://schemas.openxmlformats.org/officeDocument/2006/relationships/table" Target="../tables/table17.xml"/><Relationship Id="rId20" Type="http://schemas.openxmlformats.org/officeDocument/2006/relationships/hyperlink" Target="https://twitter.com/JohnCornyn/status/1322198967925559297" TargetMode="External"/><Relationship Id="rId41" Type="http://schemas.openxmlformats.org/officeDocument/2006/relationships/hyperlink" Target="https://twitter.com/JohnCornyn/status/1321440158806380552" TargetMode="External"/><Relationship Id="rId62" Type="http://schemas.openxmlformats.org/officeDocument/2006/relationships/hyperlink" Target="https://twitter.com/JohnCornyn/status/1320473074307899393" TargetMode="External"/><Relationship Id="rId83" Type="http://schemas.openxmlformats.org/officeDocument/2006/relationships/hyperlink" Target="https://twitter.com/JohnCornyn/status/1319755322031001603" TargetMode="External"/><Relationship Id="rId179" Type="http://schemas.openxmlformats.org/officeDocument/2006/relationships/hyperlink" Target="https://twitter.com/JohnCornyn/status/1316486331523117059" TargetMode="External"/><Relationship Id="rId190" Type="http://schemas.openxmlformats.org/officeDocument/2006/relationships/hyperlink" Target="https://twitter.com/JohnCornyn/status/1316369550401851395" TargetMode="External"/><Relationship Id="rId204" Type="http://schemas.openxmlformats.org/officeDocument/2006/relationships/hyperlink" Target="https://twitter.com/JohnCornyn/status/1316128389137403907" TargetMode="External"/><Relationship Id="rId225" Type="http://schemas.openxmlformats.org/officeDocument/2006/relationships/hyperlink" Target="https://twitter.com/JohnCornyn/status/1315602712436846593" TargetMode="External"/><Relationship Id="rId246" Type="http://schemas.openxmlformats.org/officeDocument/2006/relationships/hyperlink" Target="https://twitter.com/JohnCornyn/status/1315273333991243776" TargetMode="External"/><Relationship Id="rId267" Type="http://schemas.openxmlformats.org/officeDocument/2006/relationships/hyperlink" Target="https://twitter.com/JohnCornyn/status/1314315800988319744" TargetMode="External"/><Relationship Id="rId288" Type="http://schemas.openxmlformats.org/officeDocument/2006/relationships/hyperlink" Target="https://twitter.com/JohnCornyn/status/1313529583593979909" TargetMode="External"/><Relationship Id="rId106" Type="http://schemas.openxmlformats.org/officeDocument/2006/relationships/hyperlink" Target="https://twitter.com/JohnCornyn/status/1319372342724861954" TargetMode="External"/><Relationship Id="rId127" Type="http://schemas.openxmlformats.org/officeDocument/2006/relationships/hyperlink" Target="https://twitter.com/JohnCornyn/status/1318697447615496193" TargetMode="External"/><Relationship Id="rId10" Type="http://schemas.openxmlformats.org/officeDocument/2006/relationships/hyperlink" Target="https://twitter.com/JohnCornyn/status/1322635848752467973" TargetMode="External"/><Relationship Id="rId31" Type="http://schemas.openxmlformats.org/officeDocument/2006/relationships/hyperlink" Target="https://twitter.com/JohnCornyn/status/1321807657410404353" TargetMode="External"/><Relationship Id="rId52" Type="http://schemas.openxmlformats.org/officeDocument/2006/relationships/hyperlink" Target="https://twitter.com/JohnCornyn/status/1320887537435578368" TargetMode="External"/><Relationship Id="rId73" Type="http://schemas.openxmlformats.org/officeDocument/2006/relationships/hyperlink" Target="https://twitter.com/JohnCornyn/status/1320111221899755522" TargetMode="External"/><Relationship Id="rId94" Type="http://schemas.openxmlformats.org/officeDocument/2006/relationships/hyperlink" Target="https://twitter.com/JohnCornyn/status/1319627879626559493" TargetMode="External"/><Relationship Id="rId148" Type="http://schemas.openxmlformats.org/officeDocument/2006/relationships/hyperlink" Target="https://twitter.com/JohnCornyn/status/1318136263472533505" TargetMode="External"/><Relationship Id="rId169" Type="http://schemas.openxmlformats.org/officeDocument/2006/relationships/hyperlink" Target="https://twitter.com/JohnCornyn/status/1316738705592332289" TargetMode="External"/><Relationship Id="rId4" Type="http://schemas.openxmlformats.org/officeDocument/2006/relationships/hyperlink" Target="https://twitter.com/JohnCornyn/status/1323635043277905922" TargetMode="External"/><Relationship Id="rId180" Type="http://schemas.openxmlformats.org/officeDocument/2006/relationships/hyperlink" Target="https://twitter.com/JohnCornyn/status/1316486188627365888" TargetMode="External"/><Relationship Id="rId215" Type="http://schemas.openxmlformats.org/officeDocument/2006/relationships/hyperlink" Target="https://twitter.com/JohnCornyn/status/1315700896999899136" TargetMode="External"/><Relationship Id="rId236" Type="http://schemas.openxmlformats.org/officeDocument/2006/relationships/hyperlink" Target="https://twitter.com/JohnCornyn/status/1315372887566626817" TargetMode="External"/><Relationship Id="rId257" Type="http://schemas.openxmlformats.org/officeDocument/2006/relationships/hyperlink" Target="https://twitter.com/JohnCornyn/status/1314912794647691265" TargetMode="External"/><Relationship Id="rId278" Type="http://schemas.openxmlformats.org/officeDocument/2006/relationships/hyperlink" Target="https://twitter.com/JohnCornyn/status/1313890947462291456" TargetMode="External"/><Relationship Id="rId42" Type="http://schemas.openxmlformats.org/officeDocument/2006/relationships/hyperlink" Target="https://twitter.com/JohnCornyn/status/1321439873774084098" TargetMode="External"/><Relationship Id="rId84" Type="http://schemas.openxmlformats.org/officeDocument/2006/relationships/hyperlink" Target="https://twitter.com/JohnCornyn/status/1319730738393157632" TargetMode="External"/><Relationship Id="rId138" Type="http://schemas.openxmlformats.org/officeDocument/2006/relationships/hyperlink" Target="https://twitter.com/JohnCornyn/status/1318367174117986304" TargetMode="External"/><Relationship Id="rId191" Type="http://schemas.openxmlformats.org/officeDocument/2006/relationships/hyperlink" Target="https://twitter.com/JohnCornyn/status/1316327964519346176" TargetMode="External"/><Relationship Id="rId205" Type="http://schemas.openxmlformats.org/officeDocument/2006/relationships/hyperlink" Target="https://twitter.com/JohnCornyn/status/1316124871278108673" TargetMode="External"/><Relationship Id="rId247" Type="http://schemas.openxmlformats.org/officeDocument/2006/relationships/hyperlink" Target="https://twitter.com/JohnCornyn/status/1315268844085223425" TargetMode="External"/><Relationship Id="rId107" Type="http://schemas.openxmlformats.org/officeDocument/2006/relationships/hyperlink" Target="https://twitter.com/JohnCornyn/status/1319368346975043585" TargetMode="External"/><Relationship Id="rId289" Type="http://schemas.openxmlformats.org/officeDocument/2006/relationships/hyperlink" Target="https://twitter.com/JohnCornyn/status/1313512372087197698" TargetMode="External"/><Relationship Id="rId11" Type="http://schemas.openxmlformats.org/officeDocument/2006/relationships/hyperlink" Target="https://twitter.com/JohnCornyn/status/1322559169220775941" TargetMode="External"/><Relationship Id="rId53" Type="http://schemas.openxmlformats.org/officeDocument/2006/relationships/hyperlink" Target="https://twitter.com/JohnCornyn/status/1320869234315067393" TargetMode="External"/><Relationship Id="rId149" Type="http://schemas.openxmlformats.org/officeDocument/2006/relationships/hyperlink" Target="https://twitter.com/JohnCornyn/status/1318135428676046848" TargetMode="External"/><Relationship Id="rId95" Type="http://schemas.openxmlformats.org/officeDocument/2006/relationships/hyperlink" Target="https://twitter.com/JohnCornyn/status/1319625625964105729" TargetMode="External"/><Relationship Id="rId160" Type="http://schemas.openxmlformats.org/officeDocument/2006/relationships/hyperlink" Target="https://twitter.com/JohnCornyn/status/1317215211380744193" TargetMode="External"/><Relationship Id="rId216" Type="http://schemas.openxmlformats.org/officeDocument/2006/relationships/hyperlink" Target="https://twitter.com/JohnCornyn/status/1315699084934742017" TargetMode="External"/><Relationship Id="rId258" Type="http://schemas.openxmlformats.org/officeDocument/2006/relationships/hyperlink" Target="https://twitter.com/JohnCornyn/status/1314912793326497795" TargetMode="External"/><Relationship Id="rId22" Type="http://schemas.openxmlformats.org/officeDocument/2006/relationships/hyperlink" Target="https://twitter.com/JohnCornyn/status/1322005483172102146" TargetMode="External"/><Relationship Id="rId64" Type="http://schemas.openxmlformats.org/officeDocument/2006/relationships/hyperlink" Target="https://twitter.com/JohnCornyn/status/1320442415115870209" TargetMode="External"/><Relationship Id="rId118" Type="http://schemas.openxmlformats.org/officeDocument/2006/relationships/hyperlink" Target="https://twitter.com/JohnCornyn/status/1319228755479592961" TargetMode="External"/><Relationship Id="rId171" Type="http://schemas.openxmlformats.org/officeDocument/2006/relationships/hyperlink" Target="https://twitter.com/JohnCornyn/status/1316732998897762304" TargetMode="External"/><Relationship Id="rId227" Type="http://schemas.openxmlformats.org/officeDocument/2006/relationships/hyperlink" Target="https://twitter.com/JohnCornyn/status/1315596490329513984" TargetMode="External"/><Relationship Id="rId269" Type="http://schemas.openxmlformats.org/officeDocument/2006/relationships/hyperlink" Target="https://twitter.com/JohnCornyn/status/1314304035382603776" TargetMode="External"/><Relationship Id="rId33" Type="http://schemas.openxmlformats.org/officeDocument/2006/relationships/hyperlink" Target="https://twitter.com/JohnCornyn/status/1321638869767458818" TargetMode="External"/><Relationship Id="rId129" Type="http://schemas.openxmlformats.org/officeDocument/2006/relationships/hyperlink" Target="https://twitter.com/JohnCornyn/status/1318691787607859202" TargetMode="External"/><Relationship Id="rId280" Type="http://schemas.openxmlformats.org/officeDocument/2006/relationships/hyperlink" Target="https://twitter.com/JohnCornyn/status/1313806414402510848" TargetMode="External"/><Relationship Id="rId75" Type="http://schemas.openxmlformats.org/officeDocument/2006/relationships/hyperlink" Target="https://twitter.com/JohnCornyn/status/1319968393802452992" TargetMode="External"/><Relationship Id="rId140" Type="http://schemas.openxmlformats.org/officeDocument/2006/relationships/hyperlink" Target="https://twitter.com/JohnCornyn/status/1318363412875874307" TargetMode="External"/><Relationship Id="rId182" Type="http://schemas.openxmlformats.org/officeDocument/2006/relationships/hyperlink" Target="https://twitter.com/JohnCornyn/status/1316482120718716930"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twitter.com/mjhegar/status/1320585551603507200" TargetMode="External"/><Relationship Id="rId299" Type="http://schemas.openxmlformats.org/officeDocument/2006/relationships/hyperlink" Target="https://twitter.com/mjhegar/status/1314729462731284480" TargetMode="External"/><Relationship Id="rId21" Type="http://schemas.openxmlformats.org/officeDocument/2006/relationships/hyperlink" Target="https://twitter.com/mjhegar/status/1323465879477243904" TargetMode="External"/><Relationship Id="rId63" Type="http://schemas.openxmlformats.org/officeDocument/2006/relationships/hyperlink" Target="https://twitter.com/mjhegar/status/1322223039522721793" TargetMode="External"/><Relationship Id="rId159" Type="http://schemas.openxmlformats.org/officeDocument/2006/relationships/hyperlink" Target="https://twitter.com/mjhegar/status/1319318740627017728" TargetMode="External"/><Relationship Id="rId324" Type="http://schemas.openxmlformats.org/officeDocument/2006/relationships/hyperlink" Target="https://twitter.com/mjhegar/status/1314291382111162368" TargetMode="External"/><Relationship Id="rId170" Type="http://schemas.openxmlformats.org/officeDocument/2006/relationships/hyperlink" Target="https://twitter.com/mjhegar/status/1318934343016992768" TargetMode="External"/><Relationship Id="rId226" Type="http://schemas.openxmlformats.org/officeDocument/2006/relationships/hyperlink" Target="https://twitter.com/mjhegar/status/1317174094857703424" TargetMode="External"/><Relationship Id="rId268" Type="http://schemas.openxmlformats.org/officeDocument/2006/relationships/hyperlink" Target="https://twitter.com/mjhegar/status/1315780081265111041" TargetMode="External"/><Relationship Id="rId32" Type="http://schemas.openxmlformats.org/officeDocument/2006/relationships/hyperlink" Target="https://twitter.com/mjhegar/status/1323338648629268480" TargetMode="External"/><Relationship Id="rId74" Type="http://schemas.openxmlformats.org/officeDocument/2006/relationships/hyperlink" Target="https://twitter.com/mjhegar/status/1321897899006021632" TargetMode="External"/><Relationship Id="rId128" Type="http://schemas.openxmlformats.org/officeDocument/2006/relationships/hyperlink" Target="https://twitter.com/mjhegar/status/1320134597716443141" TargetMode="External"/><Relationship Id="rId335" Type="http://schemas.openxmlformats.org/officeDocument/2006/relationships/hyperlink" Target="https://twitter.com/mjhegar/status/1313837184315723778" TargetMode="External"/><Relationship Id="rId5" Type="http://schemas.openxmlformats.org/officeDocument/2006/relationships/hyperlink" Target="https://twitter.com/mjhegar/status/1323731807653842945" TargetMode="External"/><Relationship Id="rId181" Type="http://schemas.openxmlformats.org/officeDocument/2006/relationships/hyperlink" Target="https://twitter.com/mjhegar/status/1318616539797594112" TargetMode="External"/><Relationship Id="rId237" Type="http://schemas.openxmlformats.org/officeDocument/2006/relationships/hyperlink" Target="https://twitter.com/mjhegar/status/1316752473441423360" TargetMode="External"/><Relationship Id="rId279" Type="http://schemas.openxmlformats.org/officeDocument/2006/relationships/hyperlink" Target="https://twitter.com/mjhegar/status/1314998451671830529" TargetMode="External"/><Relationship Id="rId43" Type="http://schemas.openxmlformats.org/officeDocument/2006/relationships/hyperlink" Target="https://twitter.com/mjhegar/status/1323004069124997121" TargetMode="External"/><Relationship Id="rId139" Type="http://schemas.openxmlformats.org/officeDocument/2006/relationships/hyperlink" Target="https://twitter.com/mjhegar/status/1319719796775190528" TargetMode="External"/><Relationship Id="rId290" Type="http://schemas.openxmlformats.org/officeDocument/2006/relationships/hyperlink" Target="https://twitter.com/mjhegar/status/1314734800318664705" TargetMode="External"/><Relationship Id="rId304" Type="http://schemas.openxmlformats.org/officeDocument/2006/relationships/hyperlink" Target="https://twitter.com/mjhegar/status/1314724245616852994" TargetMode="External"/><Relationship Id="rId346" Type="http://schemas.openxmlformats.org/officeDocument/2006/relationships/hyperlink" Target="https://twitter.com/mjhegar/status/1313190195936858112" TargetMode="External"/><Relationship Id="rId85" Type="http://schemas.openxmlformats.org/officeDocument/2006/relationships/hyperlink" Target="https://twitter.com/mjhegar/status/1321531984259305475" TargetMode="External"/><Relationship Id="rId150" Type="http://schemas.openxmlformats.org/officeDocument/2006/relationships/hyperlink" Target="https://twitter.com/mjhegar/status/1319435207834030080" TargetMode="External"/><Relationship Id="rId192" Type="http://schemas.openxmlformats.org/officeDocument/2006/relationships/hyperlink" Target="https://twitter.com/mjhegar/status/1318240632708759552" TargetMode="External"/><Relationship Id="rId206" Type="http://schemas.openxmlformats.org/officeDocument/2006/relationships/hyperlink" Target="https://twitter.com/mjhegar/status/1317650776811077634" TargetMode="External"/><Relationship Id="rId248" Type="http://schemas.openxmlformats.org/officeDocument/2006/relationships/hyperlink" Target="https://twitter.com/mjhegar/status/1316396036538200065" TargetMode="External"/><Relationship Id="rId12" Type="http://schemas.openxmlformats.org/officeDocument/2006/relationships/hyperlink" Target="https://twitter.com/mjhegar/status/1323656711446634496" TargetMode="External"/><Relationship Id="rId108" Type="http://schemas.openxmlformats.org/officeDocument/2006/relationships/hyperlink" Target="https://twitter.com/mjhegar/status/1320847187006337024" TargetMode="External"/><Relationship Id="rId315" Type="http://schemas.openxmlformats.org/officeDocument/2006/relationships/hyperlink" Target="https://twitter.com/mjhegar/status/1314704112362098689" TargetMode="External"/><Relationship Id="rId54" Type="http://schemas.openxmlformats.org/officeDocument/2006/relationships/hyperlink" Target="https://twitter.com/mjhegar/status/1322610267331661825" TargetMode="External"/><Relationship Id="rId96" Type="http://schemas.openxmlformats.org/officeDocument/2006/relationships/hyperlink" Target="https://twitter.com/mjhegar/status/1321147091813621762" TargetMode="External"/><Relationship Id="rId161" Type="http://schemas.openxmlformats.org/officeDocument/2006/relationships/hyperlink" Target="https://twitter.com/mjhegar/status/1319080337503326209" TargetMode="External"/><Relationship Id="rId217" Type="http://schemas.openxmlformats.org/officeDocument/2006/relationships/hyperlink" Target="https://twitter.com/mjhegar/status/1317490910377148416" TargetMode="External"/><Relationship Id="rId259" Type="http://schemas.openxmlformats.org/officeDocument/2006/relationships/hyperlink" Target="https://twitter.com/mjhegar/status/1316061187575083008" TargetMode="External"/><Relationship Id="rId23" Type="http://schemas.openxmlformats.org/officeDocument/2006/relationships/hyperlink" Target="https://twitter.com/mjhegar/status/1323437878718976001" TargetMode="External"/><Relationship Id="rId119" Type="http://schemas.openxmlformats.org/officeDocument/2006/relationships/hyperlink" Target="https://twitter.com/mjhegar/status/1320491793553723394" TargetMode="External"/><Relationship Id="rId270" Type="http://schemas.openxmlformats.org/officeDocument/2006/relationships/hyperlink" Target="https://twitter.com/mjhegar/status/1315683764639588353" TargetMode="External"/><Relationship Id="rId326" Type="http://schemas.openxmlformats.org/officeDocument/2006/relationships/hyperlink" Target="https://twitter.com/mjhegar/status/1314238888601358337" TargetMode="External"/><Relationship Id="rId65" Type="http://schemas.openxmlformats.org/officeDocument/2006/relationships/hyperlink" Target="https://twitter.com/mjhegar/status/1322199174138503175" TargetMode="External"/><Relationship Id="rId130" Type="http://schemas.openxmlformats.org/officeDocument/2006/relationships/hyperlink" Target="https://twitter.com/mjhegar/status/1320096790180487171" TargetMode="External"/><Relationship Id="rId172" Type="http://schemas.openxmlformats.org/officeDocument/2006/relationships/hyperlink" Target="https://twitter.com/mjhegar/status/1318917600005529600" TargetMode="External"/><Relationship Id="rId228" Type="http://schemas.openxmlformats.org/officeDocument/2006/relationships/hyperlink" Target="https://twitter.com/mjhegar/status/1317141113204019200" TargetMode="External"/><Relationship Id="rId281" Type="http://schemas.openxmlformats.org/officeDocument/2006/relationships/hyperlink" Target="https://twitter.com/mjhegar/status/1314945890407284736" TargetMode="External"/><Relationship Id="rId337" Type="http://schemas.openxmlformats.org/officeDocument/2006/relationships/hyperlink" Target="https://twitter.com/mjhegar/status/1313670780182499328" TargetMode="External"/><Relationship Id="rId34" Type="http://schemas.openxmlformats.org/officeDocument/2006/relationships/hyperlink" Target="https://twitter.com/mjhegar/status/1323315354450493440" TargetMode="External"/><Relationship Id="rId76" Type="http://schemas.openxmlformats.org/officeDocument/2006/relationships/hyperlink" Target="https://twitter.com/mjhegar/status/1321875797901234176" TargetMode="External"/><Relationship Id="rId141" Type="http://schemas.openxmlformats.org/officeDocument/2006/relationships/hyperlink" Target="https://twitter.com/mjhegar/status/1319701007945945088" TargetMode="External"/><Relationship Id="rId7" Type="http://schemas.openxmlformats.org/officeDocument/2006/relationships/hyperlink" Target="https://twitter.com/mjhegar/status/1323714153811447809" TargetMode="External"/><Relationship Id="rId183" Type="http://schemas.openxmlformats.org/officeDocument/2006/relationships/hyperlink" Target="https://twitter.com/mjhegar/status/1318560958499926017" TargetMode="External"/><Relationship Id="rId239" Type="http://schemas.openxmlformats.org/officeDocument/2006/relationships/hyperlink" Target="https://twitter.com/mjhegar/status/1316516402283642880" TargetMode="External"/><Relationship Id="rId250" Type="http://schemas.openxmlformats.org/officeDocument/2006/relationships/hyperlink" Target="https://twitter.com/mjhegar/status/1316207203032993792" TargetMode="External"/><Relationship Id="rId292" Type="http://schemas.openxmlformats.org/officeDocument/2006/relationships/hyperlink" Target="https://twitter.com/mjhegar/status/1314733565184299011" TargetMode="External"/><Relationship Id="rId306" Type="http://schemas.openxmlformats.org/officeDocument/2006/relationships/hyperlink" Target="https://twitter.com/mjhegar/status/1314723026563411969" TargetMode="External"/><Relationship Id="rId45" Type="http://schemas.openxmlformats.org/officeDocument/2006/relationships/hyperlink" Target="https://twitter.com/mjhegar/status/1322962089560989697" TargetMode="External"/><Relationship Id="rId87" Type="http://schemas.openxmlformats.org/officeDocument/2006/relationships/hyperlink" Target="https://twitter.com/mjhegar/status/1321495675511754760" TargetMode="External"/><Relationship Id="rId110" Type="http://schemas.openxmlformats.org/officeDocument/2006/relationships/hyperlink" Target="https://twitter.com/mjhegar/status/1320847179582418944" TargetMode="External"/><Relationship Id="rId348" Type="http://schemas.openxmlformats.org/officeDocument/2006/relationships/hyperlink" Target="https://twitter.com/mjhegar/status/1313155055940403200" TargetMode="External"/><Relationship Id="rId152" Type="http://schemas.openxmlformats.org/officeDocument/2006/relationships/hyperlink" Target="https://twitter.com/mjhegar/status/1319419897793871873" TargetMode="External"/><Relationship Id="rId194" Type="http://schemas.openxmlformats.org/officeDocument/2006/relationships/hyperlink" Target="https://twitter.com/mjhegar/status/1318220346626134017" TargetMode="External"/><Relationship Id="rId208" Type="http://schemas.openxmlformats.org/officeDocument/2006/relationships/hyperlink" Target="https://twitter.com/mjhegar/status/1317631894683590662" TargetMode="External"/><Relationship Id="rId261" Type="http://schemas.openxmlformats.org/officeDocument/2006/relationships/hyperlink" Target="https://twitter.com/mjhegar/status/1316042543705006086" TargetMode="External"/><Relationship Id="rId14" Type="http://schemas.openxmlformats.org/officeDocument/2006/relationships/hyperlink" Target="https://twitter.com/mjhegar/status/1323640556296294400" TargetMode="External"/><Relationship Id="rId56" Type="http://schemas.openxmlformats.org/officeDocument/2006/relationships/hyperlink" Target="https://twitter.com/mjhegar/status/1322338625690968064" TargetMode="External"/><Relationship Id="rId317" Type="http://schemas.openxmlformats.org/officeDocument/2006/relationships/hyperlink" Target="https://twitter.com/mjhegar/status/1314667317675134977" TargetMode="External"/><Relationship Id="rId98" Type="http://schemas.openxmlformats.org/officeDocument/2006/relationships/hyperlink" Target="https://twitter.com/mjhegar/status/1321113810011377670" TargetMode="External"/><Relationship Id="rId121" Type="http://schemas.openxmlformats.org/officeDocument/2006/relationships/hyperlink" Target="https://twitter.com/mjhegar/status/1320437402545115138" TargetMode="External"/><Relationship Id="rId163" Type="http://schemas.openxmlformats.org/officeDocument/2006/relationships/hyperlink" Target="https://twitter.com/mjhegar/status/1318980909715099648" TargetMode="External"/><Relationship Id="rId219" Type="http://schemas.openxmlformats.org/officeDocument/2006/relationships/hyperlink" Target="https://twitter.com/mjhegar/status/1317464611524935680" TargetMode="External"/><Relationship Id="rId230" Type="http://schemas.openxmlformats.org/officeDocument/2006/relationships/hyperlink" Target="https://twitter.com/mjhegar/status/1316917251853922309" TargetMode="External"/><Relationship Id="rId251" Type="http://schemas.openxmlformats.org/officeDocument/2006/relationships/hyperlink" Target="https://twitter.com/mjhegar/status/1316182868503277571" TargetMode="External"/><Relationship Id="rId25" Type="http://schemas.openxmlformats.org/officeDocument/2006/relationships/hyperlink" Target="https://twitter.com/mjhegar/status/1323424459882188809" TargetMode="External"/><Relationship Id="rId46" Type="http://schemas.openxmlformats.org/officeDocument/2006/relationships/hyperlink" Target="https://twitter.com/mjhegar/status/1322699900208009216" TargetMode="External"/><Relationship Id="rId67" Type="http://schemas.openxmlformats.org/officeDocument/2006/relationships/hyperlink" Target="https://twitter.com/mjhegar/status/1321981067302195200" TargetMode="External"/><Relationship Id="rId272" Type="http://schemas.openxmlformats.org/officeDocument/2006/relationships/hyperlink" Target="https://twitter.com/mjhegar/status/1315658341989875712" TargetMode="External"/><Relationship Id="rId293" Type="http://schemas.openxmlformats.org/officeDocument/2006/relationships/hyperlink" Target="https://twitter.com/mjhegar/status/1314732158972559366" TargetMode="External"/><Relationship Id="rId307" Type="http://schemas.openxmlformats.org/officeDocument/2006/relationships/hyperlink" Target="https://twitter.com/mjhegar/status/1314722905230540801" TargetMode="External"/><Relationship Id="rId328" Type="http://schemas.openxmlformats.org/officeDocument/2006/relationships/hyperlink" Target="https://twitter.com/mjhegar/status/1314199548684836865" TargetMode="External"/><Relationship Id="rId349" Type="http://schemas.openxmlformats.org/officeDocument/2006/relationships/hyperlink" Target="https://twitter.com/mjhegar/status/1313137366131974144" TargetMode="External"/><Relationship Id="rId88" Type="http://schemas.openxmlformats.org/officeDocument/2006/relationships/hyperlink" Target="https://twitter.com/mjhegar/status/1321489040328347648" TargetMode="External"/><Relationship Id="rId111" Type="http://schemas.openxmlformats.org/officeDocument/2006/relationships/hyperlink" Target="https://twitter.com/mjhegar/status/1320847177590198272" TargetMode="External"/><Relationship Id="rId132" Type="http://schemas.openxmlformats.org/officeDocument/2006/relationships/hyperlink" Target="https://twitter.com/mjhegar/status/1320058246284148736" TargetMode="External"/><Relationship Id="rId153" Type="http://schemas.openxmlformats.org/officeDocument/2006/relationships/hyperlink" Target="https://twitter.com/mjhegar/status/1319409973961555968" TargetMode="External"/><Relationship Id="rId174" Type="http://schemas.openxmlformats.org/officeDocument/2006/relationships/hyperlink" Target="https://twitter.com/mjhegar/status/1318741747841814544" TargetMode="External"/><Relationship Id="rId195" Type="http://schemas.openxmlformats.org/officeDocument/2006/relationships/hyperlink" Target="https://twitter.com/mjhegar/status/1318210621880602624" TargetMode="External"/><Relationship Id="rId209" Type="http://schemas.openxmlformats.org/officeDocument/2006/relationships/hyperlink" Target="https://twitter.com/mjhegar/status/1317623102885535744" TargetMode="External"/><Relationship Id="rId220" Type="http://schemas.openxmlformats.org/officeDocument/2006/relationships/hyperlink" Target="https://twitter.com/mjhegar/status/1317252391167774723" TargetMode="External"/><Relationship Id="rId241" Type="http://schemas.openxmlformats.org/officeDocument/2006/relationships/hyperlink" Target="https://twitter.com/mjhegar/status/1316489291816669184" TargetMode="External"/><Relationship Id="rId15" Type="http://schemas.openxmlformats.org/officeDocument/2006/relationships/hyperlink" Target="https://twitter.com/mjhegar/status/1323634509133320193" TargetMode="External"/><Relationship Id="rId36" Type="http://schemas.openxmlformats.org/officeDocument/2006/relationships/hyperlink" Target="https://twitter.com/mjhegar/status/1323282350491553795" TargetMode="External"/><Relationship Id="rId57" Type="http://schemas.openxmlformats.org/officeDocument/2006/relationships/hyperlink" Target="https://twitter.com/mjhegar/status/1322335639560507393" TargetMode="External"/><Relationship Id="rId262" Type="http://schemas.openxmlformats.org/officeDocument/2006/relationships/hyperlink" Target="https://twitter.com/mjhegar/status/1316017438517940224" TargetMode="External"/><Relationship Id="rId283" Type="http://schemas.openxmlformats.org/officeDocument/2006/relationships/hyperlink" Target="https://twitter.com/mjhegar/status/1314752280424570888" TargetMode="External"/><Relationship Id="rId318" Type="http://schemas.openxmlformats.org/officeDocument/2006/relationships/hyperlink" Target="https://twitter.com/mjhegar/status/1314637456311037953" TargetMode="External"/><Relationship Id="rId339" Type="http://schemas.openxmlformats.org/officeDocument/2006/relationships/hyperlink" Target="https://twitter.com/mjhegar/status/1313590456899514383" TargetMode="External"/><Relationship Id="rId78" Type="http://schemas.openxmlformats.org/officeDocument/2006/relationships/hyperlink" Target="https://twitter.com/mjhegar/status/1321853797937938432" TargetMode="External"/><Relationship Id="rId99" Type="http://schemas.openxmlformats.org/officeDocument/2006/relationships/hyperlink" Target="https://twitter.com/mjhegar/status/1320907888324468738" TargetMode="External"/><Relationship Id="rId101" Type="http://schemas.openxmlformats.org/officeDocument/2006/relationships/hyperlink" Target="https://twitter.com/mjhegar/status/1320879708901384195" TargetMode="External"/><Relationship Id="rId122" Type="http://schemas.openxmlformats.org/officeDocument/2006/relationships/hyperlink" Target="https://twitter.com/mjhegar/status/1320420008376360960" TargetMode="External"/><Relationship Id="rId143" Type="http://schemas.openxmlformats.org/officeDocument/2006/relationships/hyperlink" Target="https://twitter.com/mjhegar/status/1319701003193692162" TargetMode="External"/><Relationship Id="rId164" Type="http://schemas.openxmlformats.org/officeDocument/2006/relationships/hyperlink" Target="https://twitter.com/mjhegar/status/1318971544794705921" TargetMode="External"/><Relationship Id="rId185" Type="http://schemas.openxmlformats.org/officeDocument/2006/relationships/hyperlink" Target="https://twitter.com/mjhegar/status/1318398690680315905" TargetMode="External"/><Relationship Id="rId350" Type="http://schemas.openxmlformats.org/officeDocument/2006/relationships/hyperlink" Target="https://twitter.com/mjhegar/status/1312936355509477376" TargetMode="External"/><Relationship Id="rId9" Type="http://schemas.openxmlformats.org/officeDocument/2006/relationships/hyperlink" Target="https://twitter.com/mjhegar/status/1323694893659815936" TargetMode="External"/><Relationship Id="rId210" Type="http://schemas.openxmlformats.org/officeDocument/2006/relationships/hyperlink" Target="https://twitter.com/mjhegar/status/1317598238782914561" TargetMode="External"/><Relationship Id="rId26" Type="http://schemas.openxmlformats.org/officeDocument/2006/relationships/hyperlink" Target="https://twitter.com/mjhegar/status/1323416843349118985" TargetMode="External"/><Relationship Id="rId231" Type="http://schemas.openxmlformats.org/officeDocument/2006/relationships/hyperlink" Target="https://twitter.com/mjhegar/status/1316890260786302977" TargetMode="External"/><Relationship Id="rId252" Type="http://schemas.openxmlformats.org/officeDocument/2006/relationships/hyperlink" Target="https://twitter.com/mjhegar/status/1316177887318470657" TargetMode="External"/><Relationship Id="rId273" Type="http://schemas.openxmlformats.org/officeDocument/2006/relationships/hyperlink" Target="https://twitter.com/mjhegar/status/1315472329024118784" TargetMode="External"/><Relationship Id="rId294" Type="http://schemas.openxmlformats.org/officeDocument/2006/relationships/hyperlink" Target="https://twitter.com/mjhegar/status/1314731859893514241" TargetMode="External"/><Relationship Id="rId308" Type="http://schemas.openxmlformats.org/officeDocument/2006/relationships/hyperlink" Target="https://twitter.com/mjhegar/status/1314722287329906688" TargetMode="External"/><Relationship Id="rId329" Type="http://schemas.openxmlformats.org/officeDocument/2006/relationships/hyperlink" Target="https://twitter.com/mjhegar/status/1314002416749215745" TargetMode="External"/><Relationship Id="rId47" Type="http://schemas.openxmlformats.org/officeDocument/2006/relationships/hyperlink" Target="https://twitter.com/mjhegar/status/1322699879626530818" TargetMode="External"/><Relationship Id="rId68" Type="http://schemas.openxmlformats.org/officeDocument/2006/relationships/hyperlink" Target="https://twitter.com/mjhegar/status/1321977314897502215" TargetMode="External"/><Relationship Id="rId89" Type="http://schemas.openxmlformats.org/officeDocument/2006/relationships/hyperlink" Target="https://twitter.com/mjhegar/status/1321466354642391040" TargetMode="External"/><Relationship Id="rId112" Type="http://schemas.openxmlformats.org/officeDocument/2006/relationships/hyperlink" Target="https://twitter.com/mjhegar/status/1320847176126418944" TargetMode="External"/><Relationship Id="rId133" Type="http://schemas.openxmlformats.org/officeDocument/2006/relationships/hyperlink" Target="https://twitter.com/mjhegar/status/1320016608438439936" TargetMode="External"/><Relationship Id="rId154" Type="http://schemas.openxmlformats.org/officeDocument/2006/relationships/hyperlink" Target="https://twitter.com/mjhegar/status/1319393522546561027" TargetMode="External"/><Relationship Id="rId175" Type="http://schemas.openxmlformats.org/officeDocument/2006/relationships/hyperlink" Target="https://twitter.com/mjhegar/status/1318738794493956102" TargetMode="External"/><Relationship Id="rId340" Type="http://schemas.openxmlformats.org/officeDocument/2006/relationships/hyperlink" Target="https://twitter.com/mjhegar/status/1313572660773818373" TargetMode="External"/><Relationship Id="rId196" Type="http://schemas.openxmlformats.org/officeDocument/2006/relationships/hyperlink" Target="https://twitter.com/mjhegar/status/1318021553355894784" TargetMode="External"/><Relationship Id="rId200" Type="http://schemas.openxmlformats.org/officeDocument/2006/relationships/hyperlink" Target="https://twitter.com/mjhegar/status/1317921355246063616" TargetMode="External"/><Relationship Id="rId16" Type="http://schemas.openxmlformats.org/officeDocument/2006/relationships/hyperlink" Target="https://twitter.com/mjhegar/status/1323627429580124161" TargetMode="External"/><Relationship Id="rId221" Type="http://schemas.openxmlformats.org/officeDocument/2006/relationships/hyperlink" Target="https://twitter.com/mjhegar/status/1317235807288262656" TargetMode="External"/><Relationship Id="rId242" Type="http://schemas.openxmlformats.org/officeDocument/2006/relationships/hyperlink" Target="https://twitter.com/mjhegar/status/1316451547342139394" TargetMode="External"/><Relationship Id="rId263" Type="http://schemas.openxmlformats.org/officeDocument/2006/relationships/hyperlink" Target="https://twitter.com/mjhegar/status/1315991406134071297" TargetMode="External"/><Relationship Id="rId284" Type="http://schemas.openxmlformats.org/officeDocument/2006/relationships/hyperlink" Target="https://twitter.com/mjhegar/status/1314748848837988355" TargetMode="External"/><Relationship Id="rId319" Type="http://schemas.openxmlformats.org/officeDocument/2006/relationships/hyperlink" Target="https://twitter.com/mjhegar/status/1314637455107256320" TargetMode="External"/><Relationship Id="rId37" Type="http://schemas.openxmlformats.org/officeDocument/2006/relationships/hyperlink" Target="https://twitter.com/mjhegar/status/1323269849154465794" TargetMode="External"/><Relationship Id="rId58" Type="http://schemas.openxmlformats.org/officeDocument/2006/relationships/hyperlink" Target="https://twitter.com/mjhegar/status/1322316002852483073" TargetMode="External"/><Relationship Id="rId79" Type="http://schemas.openxmlformats.org/officeDocument/2006/relationships/hyperlink" Target="https://twitter.com/mjhegar/status/1321832458086735874" TargetMode="External"/><Relationship Id="rId102" Type="http://schemas.openxmlformats.org/officeDocument/2006/relationships/hyperlink" Target="https://twitter.com/mjhegar/status/1320879704119906304" TargetMode="External"/><Relationship Id="rId123" Type="http://schemas.openxmlformats.org/officeDocument/2006/relationships/hyperlink" Target="https://twitter.com/mjhegar/status/1320395109033254913" TargetMode="External"/><Relationship Id="rId144" Type="http://schemas.openxmlformats.org/officeDocument/2006/relationships/hyperlink" Target="https://twitter.com/mjhegar/status/1319701000706469889" TargetMode="External"/><Relationship Id="rId330" Type="http://schemas.openxmlformats.org/officeDocument/2006/relationships/hyperlink" Target="https://twitter.com/mjhegar/status/1313992452479516679" TargetMode="External"/><Relationship Id="rId90" Type="http://schemas.openxmlformats.org/officeDocument/2006/relationships/hyperlink" Target="https://twitter.com/mjhegar/status/1321255546423549955" TargetMode="External"/><Relationship Id="rId165" Type="http://schemas.openxmlformats.org/officeDocument/2006/relationships/hyperlink" Target="https://twitter.com/mjhegar/status/1318934349664890881" TargetMode="External"/><Relationship Id="rId186" Type="http://schemas.openxmlformats.org/officeDocument/2006/relationships/hyperlink" Target="https://twitter.com/mjhegar/status/1318390797486751748" TargetMode="External"/><Relationship Id="rId351" Type="http://schemas.openxmlformats.org/officeDocument/2006/relationships/hyperlink" Target="https://twitter.com/mjhegar/status/1312486485472337921" TargetMode="External"/><Relationship Id="rId211" Type="http://schemas.openxmlformats.org/officeDocument/2006/relationships/hyperlink" Target="https://twitter.com/mjhegar/status/1317568653500551168" TargetMode="External"/><Relationship Id="rId232" Type="http://schemas.openxmlformats.org/officeDocument/2006/relationships/hyperlink" Target="https://twitter.com/mjhegar/status/1316880604009476096" TargetMode="External"/><Relationship Id="rId253" Type="http://schemas.openxmlformats.org/officeDocument/2006/relationships/hyperlink" Target="https://twitter.com/mjhegar/status/1316172730807582720" TargetMode="External"/><Relationship Id="rId274" Type="http://schemas.openxmlformats.org/officeDocument/2006/relationships/hyperlink" Target="https://twitter.com/mjhegar/status/1315405417619640323" TargetMode="External"/><Relationship Id="rId295" Type="http://schemas.openxmlformats.org/officeDocument/2006/relationships/hyperlink" Target="https://twitter.com/mjhegar/status/1314731559031889920" TargetMode="External"/><Relationship Id="rId309" Type="http://schemas.openxmlformats.org/officeDocument/2006/relationships/hyperlink" Target="https://twitter.com/mjhegar/status/1314721909880377345" TargetMode="External"/><Relationship Id="rId27" Type="http://schemas.openxmlformats.org/officeDocument/2006/relationships/hyperlink" Target="https://twitter.com/mjhegar/status/1323407861259579392" TargetMode="External"/><Relationship Id="rId48" Type="http://schemas.openxmlformats.org/officeDocument/2006/relationships/hyperlink" Target="https://twitter.com/mjhegar/status/1322676595505639425" TargetMode="External"/><Relationship Id="rId69" Type="http://schemas.openxmlformats.org/officeDocument/2006/relationships/hyperlink" Target="https://twitter.com/mjhegar/status/1321974576532889600" TargetMode="External"/><Relationship Id="rId113" Type="http://schemas.openxmlformats.org/officeDocument/2006/relationships/hyperlink" Target="https://twitter.com/mjhegar/status/1320804064117067776" TargetMode="External"/><Relationship Id="rId134" Type="http://schemas.openxmlformats.org/officeDocument/2006/relationships/hyperlink" Target="https://twitter.com/mjhegar/status/1319784661934133249" TargetMode="External"/><Relationship Id="rId320" Type="http://schemas.openxmlformats.org/officeDocument/2006/relationships/hyperlink" Target="https://twitter.com/mjhegar/status/1314595647513919488" TargetMode="External"/><Relationship Id="rId80" Type="http://schemas.openxmlformats.org/officeDocument/2006/relationships/hyperlink" Target="https://twitter.com/mjhegar/status/1321651306768093186" TargetMode="External"/><Relationship Id="rId155" Type="http://schemas.openxmlformats.org/officeDocument/2006/relationships/hyperlink" Target="https://twitter.com/mjhegar/status/1319381961803239428" TargetMode="External"/><Relationship Id="rId176" Type="http://schemas.openxmlformats.org/officeDocument/2006/relationships/hyperlink" Target="https://twitter.com/mjhegar/status/1318719525706174464" TargetMode="External"/><Relationship Id="rId197" Type="http://schemas.openxmlformats.org/officeDocument/2006/relationships/hyperlink" Target="https://twitter.com/mjhegar/status/1318017293134274560" TargetMode="External"/><Relationship Id="rId341" Type="http://schemas.openxmlformats.org/officeDocument/2006/relationships/hyperlink" Target="https://twitter.com/mjhegar/status/1313541800947318784" TargetMode="External"/><Relationship Id="rId201" Type="http://schemas.openxmlformats.org/officeDocument/2006/relationships/hyperlink" Target="https://twitter.com/mjhegar/status/1317916809425727489" TargetMode="External"/><Relationship Id="rId222" Type="http://schemas.openxmlformats.org/officeDocument/2006/relationships/hyperlink" Target="https://twitter.com/mjhegar/status/1317224755649531907" TargetMode="External"/><Relationship Id="rId243" Type="http://schemas.openxmlformats.org/officeDocument/2006/relationships/hyperlink" Target="https://twitter.com/mjhegar/status/1316451545521815552" TargetMode="External"/><Relationship Id="rId264" Type="http://schemas.openxmlformats.org/officeDocument/2006/relationships/hyperlink" Target="https://twitter.com/mjhegar/status/1315988589528875013" TargetMode="External"/><Relationship Id="rId285" Type="http://schemas.openxmlformats.org/officeDocument/2006/relationships/hyperlink" Target="https://twitter.com/mjhegar/status/1314746286340542470" TargetMode="External"/><Relationship Id="rId17" Type="http://schemas.openxmlformats.org/officeDocument/2006/relationships/hyperlink" Target="https://twitter.com/mjhegar/status/1323611296135348225" TargetMode="External"/><Relationship Id="rId38" Type="http://schemas.openxmlformats.org/officeDocument/2006/relationships/hyperlink" Target="https://twitter.com/mjhegar/status/1323084083367391232" TargetMode="External"/><Relationship Id="rId59" Type="http://schemas.openxmlformats.org/officeDocument/2006/relationships/hyperlink" Target="https://twitter.com/mjhegar/status/1322308356481126403" TargetMode="External"/><Relationship Id="rId103" Type="http://schemas.openxmlformats.org/officeDocument/2006/relationships/hyperlink" Target="https://twitter.com/mjhegar/status/1320847199232761856" TargetMode="External"/><Relationship Id="rId124" Type="http://schemas.openxmlformats.org/officeDocument/2006/relationships/hyperlink" Target="https://twitter.com/mjhegar/status/1320377883404140545" TargetMode="External"/><Relationship Id="rId310" Type="http://schemas.openxmlformats.org/officeDocument/2006/relationships/hyperlink" Target="https://twitter.com/mjhegar/status/1314721457650438158" TargetMode="External"/><Relationship Id="rId70" Type="http://schemas.openxmlformats.org/officeDocument/2006/relationships/hyperlink" Target="https://twitter.com/mjhegar/status/1321957242845933581" TargetMode="External"/><Relationship Id="rId91" Type="http://schemas.openxmlformats.org/officeDocument/2006/relationships/hyperlink" Target="https://twitter.com/mjhegar/status/1321246859529232386" TargetMode="External"/><Relationship Id="rId145" Type="http://schemas.openxmlformats.org/officeDocument/2006/relationships/hyperlink" Target="https://twitter.com/mjhegar/status/1319700999200714754" TargetMode="External"/><Relationship Id="rId166" Type="http://schemas.openxmlformats.org/officeDocument/2006/relationships/hyperlink" Target="https://twitter.com/mjhegar/status/1318934348268249092" TargetMode="External"/><Relationship Id="rId187" Type="http://schemas.openxmlformats.org/officeDocument/2006/relationships/hyperlink" Target="https://twitter.com/mjhegar/status/1318359437397065730" TargetMode="External"/><Relationship Id="rId331" Type="http://schemas.openxmlformats.org/officeDocument/2006/relationships/hyperlink" Target="https://twitter.com/mjhegar/status/1313948364711571457" TargetMode="External"/><Relationship Id="rId352" Type="http://schemas.openxmlformats.org/officeDocument/2006/relationships/hyperlink" Target="https://twitter.com/mjhegar/status/1312455182635024384" TargetMode="External"/><Relationship Id="rId1" Type="http://schemas.openxmlformats.org/officeDocument/2006/relationships/hyperlink" Target="https://twitter.com/mjhegar/status/1323770292464951296" TargetMode="External"/><Relationship Id="rId212" Type="http://schemas.openxmlformats.org/officeDocument/2006/relationships/hyperlink" Target="https://twitter.com/mjhegar/status/1317560108767940608" TargetMode="External"/><Relationship Id="rId233" Type="http://schemas.openxmlformats.org/officeDocument/2006/relationships/hyperlink" Target="https://twitter.com/mjhegar/status/1316848929871405056" TargetMode="External"/><Relationship Id="rId254" Type="http://schemas.openxmlformats.org/officeDocument/2006/relationships/hyperlink" Target="https://twitter.com/mjhegar/status/1316158391832674306" TargetMode="External"/><Relationship Id="rId28" Type="http://schemas.openxmlformats.org/officeDocument/2006/relationships/hyperlink" Target="https://twitter.com/mjhegar/status/1323389485384650752" TargetMode="External"/><Relationship Id="rId49" Type="http://schemas.openxmlformats.org/officeDocument/2006/relationships/hyperlink" Target="https://twitter.com/mjhegar/status/1322664698697912320" TargetMode="External"/><Relationship Id="rId114" Type="http://schemas.openxmlformats.org/officeDocument/2006/relationships/hyperlink" Target="https://twitter.com/mjhegar/status/1320781867671527424" TargetMode="External"/><Relationship Id="rId275" Type="http://schemas.openxmlformats.org/officeDocument/2006/relationships/hyperlink" Target="https://twitter.com/mjhegar/status/1315395541782671360" TargetMode="External"/><Relationship Id="rId296" Type="http://schemas.openxmlformats.org/officeDocument/2006/relationships/hyperlink" Target="https://twitter.com/mjhegar/status/1314731205221330946" TargetMode="External"/><Relationship Id="rId300" Type="http://schemas.openxmlformats.org/officeDocument/2006/relationships/hyperlink" Target="https://twitter.com/mjhegar/status/1314728729734713344" TargetMode="External"/><Relationship Id="rId60" Type="http://schemas.openxmlformats.org/officeDocument/2006/relationships/hyperlink" Target="https://twitter.com/mjhegar/status/1322300413798993923" TargetMode="External"/><Relationship Id="rId81" Type="http://schemas.openxmlformats.org/officeDocument/2006/relationships/hyperlink" Target="https://twitter.com/mjhegar/status/1321618558900719627" TargetMode="External"/><Relationship Id="rId135" Type="http://schemas.openxmlformats.org/officeDocument/2006/relationships/hyperlink" Target="https://twitter.com/mjhegar/status/1319749032965701636" TargetMode="External"/><Relationship Id="rId156" Type="http://schemas.openxmlformats.org/officeDocument/2006/relationships/hyperlink" Target="https://twitter.com/mjhegar/status/1319371988264210436" TargetMode="External"/><Relationship Id="rId177" Type="http://schemas.openxmlformats.org/officeDocument/2006/relationships/hyperlink" Target="https://twitter.com/mjhegar/status/1318698326326452231" TargetMode="External"/><Relationship Id="rId198" Type="http://schemas.openxmlformats.org/officeDocument/2006/relationships/hyperlink" Target="https://twitter.com/mjhegar/status/1318012190599860226" TargetMode="External"/><Relationship Id="rId321" Type="http://schemas.openxmlformats.org/officeDocument/2006/relationships/hyperlink" Target="https://twitter.com/mjhegar/status/1314579529378205696" TargetMode="External"/><Relationship Id="rId342" Type="http://schemas.openxmlformats.org/officeDocument/2006/relationships/hyperlink" Target="https://twitter.com/mjhegar/status/1313524658621296641" TargetMode="External"/><Relationship Id="rId202" Type="http://schemas.openxmlformats.org/officeDocument/2006/relationships/hyperlink" Target="https://twitter.com/mjhegar/status/1317894652083712003" TargetMode="External"/><Relationship Id="rId223" Type="http://schemas.openxmlformats.org/officeDocument/2006/relationships/hyperlink" Target="https://twitter.com/mjhegar/status/1317206797606858752" TargetMode="External"/><Relationship Id="rId244" Type="http://schemas.openxmlformats.org/officeDocument/2006/relationships/hyperlink" Target="https://twitter.com/mjhegar/status/1316451543923781639" TargetMode="External"/><Relationship Id="rId18" Type="http://schemas.openxmlformats.org/officeDocument/2006/relationships/hyperlink" Target="https://twitter.com/mjhegar/status/1323605538572296192" TargetMode="External"/><Relationship Id="rId39" Type="http://schemas.openxmlformats.org/officeDocument/2006/relationships/hyperlink" Target="https://twitter.com/mjhegar/status/1323071015006670855" TargetMode="External"/><Relationship Id="rId265" Type="http://schemas.openxmlformats.org/officeDocument/2006/relationships/hyperlink" Target="https://twitter.com/mjhegar/status/1315852703071956992" TargetMode="External"/><Relationship Id="rId286" Type="http://schemas.openxmlformats.org/officeDocument/2006/relationships/hyperlink" Target="https://twitter.com/mjhegar/status/1314743482062381056" TargetMode="External"/><Relationship Id="rId50" Type="http://schemas.openxmlformats.org/officeDocument/2006/relationships/hyperlink" Target="https://twitter.com/mjhegar/status/1322656951323549696" TargetMode="External"/><Relationship Id="rId104" Type="http://schemas.openxmlformats.org/officeDocument/2006/relationships/hyperlink" Target="https://twitter.com/mjhegar/status/1320847194900123648" TargetMode="External"/><Relationship Id="rId125" Type="http://schemas.openxmlformats.org/officeDocument/2006/relationships/hyperlink" Target="https://twitter.com/mjhegar/status/1320180985569382400" TargetMode="External"/><Relationship Id="rId146" Type="http://schemas.openxmlformats.org/officeDocument/2006/relationships/hyperlink" Target="https://twitter.com/mjhegar/status/1319693472555728896" TargetMode="External"/><Relationship Id="rId167" Type="http://schemas.openxmlformats.org/officeDocument/2006/relationships/hyperlink" Target="https://twitter.com/mjhegar/status/1318934346619826182" TargetMode="External"/><Relationship Id="rId188" Type="http://schemas.openxmlformats.org/officeDocument/2006/relationships/hyperlink" Target="https://twitter.com/mjhegar/status/1318343542536884226" TargetMode="External"/><Relationship Id="rId311" Type="http://schemas.openxmlformats.org/officeDocument/2006/relationships/hyperlink" Target="https://twitter.com/mjhegar/status/1314720683776266242" TargetMode="External"/><Relationship Id="rId332" Type="http://schemas.openxmlformats.org/officeDocument/2006/relationships/hyperlink" Target="https://twitter.com/mjhegar/status/1313922368331485184" TargetMode="External"/><Relationship Id="rId353" Type="http://schemas.openxmlformats.org/officeDocument/2006/relationships/hyperlink" Target="https://twitter.com/mjhegar/status/1312455180839870464" TargetMode="External"/><Relationship Id="rId71" Type="http://schemas.openxmlformats.org/officeDocument/2006/relationships/hyperlink" Target="https://twitter.com/mjhegar/status/1321951984505753600" TargetMode="External"/><Relationship Id="rId92" Type="http://schemas.openxmlformats.org/officeDocument/2006/relationships/hyperlink" Target="https://twitter.com/mjhegar/status/1321238192507523074" TargetMode="External"/><Relationship Id="rId213" Type="http://schemas.openxmlformats.org/officeDocument/2006/relationships/hyperlink" Target="https://twitter.com/mjhegar/status/1317550853977505793" TargetMode="External"/><Relationship Id="rId234" Type="http://schemas.openxmlformats.org/officeDocument/2006/relationships/hyperlink" Target="https://twitter.com/mjhegar/status/1316843008390815747" TargetMode="External"/><Relationship Id="rId2" Type="http://schemas.openxmlformats.org/officeDocument/2006/relationships/hyperlink" Target="https://twitter.com/mjhegar/status/1323764403561504771" TargetMode="External"/><Relationship Id="rId29" Type="http://schemas.openxmlformats.org/officeDocument/2006/relationships/hyperlink" Target="https://twitter.com/mjhegar/status/1323374760684826624" TargetMode="External"/><Relationship Id="rId255" Type="http://schemas.openxmlformats.org/officeDocument/2006/relationships/hyperlink" Target="https://twitter.com/mjhegar/status/1316144800689782784" TargetMode="External"/><Relationship Id="rId276" Type="http://schemas.openxmlformats.org/officeDocument/2006/relationships/hyperlink" Target="https://twitter.com/mjhegar/status/1315353271222128641" TargetMode="External"/><Relationship Id="rId297" Type="http://schemas.openxmlformats.org/officeDocument/2006/relationships/hyperlink" Target="https://twitter.com/mjhegar/status/1314731036220194816" TargetMode="External"/><Relationship Id="rId40" Type="http://schemas.openxmlformats.org/officeDocument/2006/relationships/hyperlink" Target="https://twitter.com/mjhegar/status/1323064614586900480" TargetMode="External"/><Relationship Id="rId115" Type="http://schemas.openxmlformats.org/officeDocument/2006/relationships/hyperlink" Target="https://twitter.com/mjhegar/status/1320752039048204292" TargetMode="External"/><Relationship Id="rId136" Type="http://schemas.openxmlformats.org/officeDocument/2006/relationships/hyperlink" Target="https://twitter.com/mjhegar/status/1319719801166626819" TargetMode="External"/><Relationship Id="rId157" Type="http://schemas.openxmlformats.org/officeDocument/2006/relationships/hyperlink" Target="https://twitter.com/mjhegar/status/1319360156401082369" TargetMode="External"/><Relationship Id="rId178" Type="http://schemas.openxmlformats.org/officeDocument/2006/relationships/hyperlink" Target="https://twitter.com/mjhegar/status/1318677904625106946" TargetMode="External"/><Relationship Id="rId301" Type="http://schemas.openxmlformats.org/officeDocument/2006/relationships/hyperlink" Target="https://twitter.com/mjhegar/status/1314727979952615426" TargetMode="External"/><Relationship Id="rId322" Type="http://schemas.openxmlformats.org/officeDocument/2006/relationships/hyperlink" Target="https://twitter.com/mjhegar/status/1314358574500454400" TargetMode="External"/><Relationship Id="rId343" Type="http://schemas.openxmlformats.org/officeDocument/2006/relationships/hyperlink" Target="https://twitter.com/mjhegar/status/1313501924403093512" TargetMode="External"/><Relationship Id="rId61" Type="http://schemas.openxmlformats.org/officeDocument/2006/relationships/hyperlink" Target="https://twitter.com/mjhegar/status/1322288878749945857" TargetMode="External"/><Relationship Id="rId82" Type="http://schemas.openxmlformats.org/officeDocument/2006/relationships/hyperlink" Target="https://twitter.com/mjhegar/status/1321600576103305218" TargetMode="External"/><Relationship Id="rId199" Type="http://schemas.openxmlformats.org/officeDocument/2006/relationships/hyperlink" Target="https://twitter.com/mjhegar/status/1317935715741818885" TargetMode="External"/><Relationship Id="rId203" Type="http://schemas.openxmlformats.org/officeDocument/2006/relationships/hyperlink" Target="https://twitter.com/mjhegar/status/1317883541225639938" TargetMode="External"/><Relationship Id="rId19" Type="http://schemas.openxmlformats.org/officeDocument/2006/relationships/hyperlink" Target="https://twitter.com/mjhegar/status/1323485272361869312" TargetMode="External"/><Relationship Id="rId224" Type="http://schemas.openxmlformats.org/officeDocument/2006/relationships/hyperlink" Target="https://twitter.com/mjhegar/status/1317197911336361985" TargetMode="External"/><Relationship Id="rId245" Type="http://schemas.openxmlformats.org/officeDocument/2006/relationships/hyperlink" Target="https://twitter.com/mjhegar/status/1316451539146477568" TargetMode="External"/><Relationship Id="rId266" Type="http://schemas.openxmlformats.org/officeDocument/2006/relationships/hyperlink" Target="https://twitter.com/mjhegar/status/1315806802584449024" TargetMode="External"/><Relationship Id="rId287" Type="http://schemas.openxmlformats.org/officeDocument/2006/relationships/hyperlink" Target="https://twitter.com/mjhegar/status/1314740677553647618" TargetMode="External"/><Relationship Id="rId30" Type="http://schemas.openxmlformats.org/officeDocument/2006/relationships/hyperlink" Target="https://twitter.com/mjhegar/status/1323370745028857860" TargetMode="External"/><Relationship Id="rId105" Type="http://schemas.openxmlformats.org/officeDocument/2006/relationships/hyperlink" Target="https://twitter.com/mjhegar/status/1320847193381765121" TargetMode="External"/><Relationship Id="rId126" Type="http://schemas.openxmlformats.org/officeDocument/2006/relationships/hyperlink" Target="https://twitter.com/mjhegar/status/1320166591728898055" TargetMode="External"/><Relationship Id="rId147" Type="http://schemas.openxmlformats.org/officeDocument/2006/relationships/hyperlink" Target="https://twitter.com/mjhegar/status/1319679942662230018" TargetMode="External"/><Relationship Id="rId168" Type="http://schemas.openxmlformats.org/officeDocument/2006/relationships/hyperlink" Target="https://twitter.com/mjhegar/status/1318934345520959488" TargetMode="External"/><Relationship Id="rId312" Type="http://schemas.openxmlformats.org/officeDocument/2006/relationships/hyperlink" Target="https://twitter.com/mjhegar/status/1314719168445452290" TargetMode="External"/><Relationship Id="rId333" Type="http://schemas.openxmlformats.org/officeDocument/2006/relationships/hyperlink" Target="https://twitter.com/mjhegar/status/1313907876210053121" TargetMode="External"/><Relationship Id="rId354" Type="http://schemas.openxmlformats.org/officeDocument/2006/relationships/hyperlink" Target="https://twitter.com/mjhegar/status/1312440454227521536" TargetMode="External"/><Relationship Id="rId51" Type="http://schemas.openxmlformats.org/officeDocument/2006/relationships/hyperlink" Target="https://twitter.com/mjhegar/status/1322648864361500673" TargetMode="External"/><Relationship Id="rId72" Type="http://schemas.openxmlformats.org/officeDocument/2006/relationships/hyperlink" Target="https://twitter.com/mjhegar/status/1321937074006708224" TargetMode="External"/><Relationship Id="rId93" Type="http://schemas.openxmlformats.org/officeDocument/2006/relationships/hyperlink" Target="https://twitter.com/mjhegar/status/1321186826057560071" TargetMode="External"/><Relationship Id="rId189" Type="http://schemas.openxmlformats.org/officeDocument/2006/relationships/hyperlink" Target="https://twitter.com/mjhegar/status/1318319159382626306" TargetMode="External"/><Relationship Id="rId3" Type="http://schemas.openxmlformats.org/officeDocument/2006/relationships/hyperlink" Target="https://twitter.com/mjhegar/status/1323750261194674177" TargetMode="External"/><Relationship Id="rId214" Type="http://schemas.openxmlformats.org/officeDocument/2006/relationships/hyperlink" Target="https://twitter.com/mjhegar/status/1317541965613965312" TargetMode="External"/><Relationship Id="rId235" Type="http://schemas.openxmlformats.org/officeDocument/2006/relationships/hyperlink" Target="https://twitter.com/mjhegar/status/1316785647806558209" TargetMode="External"/><Relationship Id="rId256" Type="http://schemas.openxmlformats.org/officeDocument/2006/relationships/hyperlink" Target="https://twitter.com/mjhegar/status/1316130994823585795" TargetMode="External"/><Relationship Id="rId277" Type="http://schemas.openxmlformats.org/officeDocument/2006/relationships/hyperlink" Target="https://twitter.com/mjhegar/status/1315341727138447360" TargetMode="External"/><Relationship Id="rId298" Type="http://schemas.openxmlformats.org/officeDocument/2006/relationships/hyperlink" Target="https://twitter.com/mjhegar/status/1314729895294099456" TargetMode="External"/><Relationship Id="rId116" Type="http://schemas.openxmlformats.org/officeDocument/2006/relationships/hyperlink" Target="https://twitter.com/mjhegar/status/1320593284440428544" TargetMode="External"/><Relationship Id="rId137" Type="http://schemas.openxmlformats.org/officeDocument/2006/relationships/hyperlink" Target="https://twitter.com/mjhegar/status/1319719799660871680" TargetMode="External"/><Relationship Id="rId158" Type="http://schemas.openxmlformats.org/officeDocument/2006/relationships/hyperlink" Target="https://twitter.com/mjhegar/status/1319347021736775682" TargetMode="External"/><Relationship Id="rId302" Type="http://schemas.openxmlformats.org/officeDocument/2006/relationships/hyperlink" Target="https://twitter.com/mjhegar/status/1314726740774789124" TargetMode="External"/><Relationship Id="rId323" Type="http://schemas.openxmlformats.org/officeDocument/2006/relationships/hyperlink" Target="https://twitter.com/mjhegar/status/1314348651112796161" TargetMode="External"/><Relationship Id="rId344" Type="http://schemas.openxmlformats.org/officeDocument/2006/relationships/hyperlink" Target="https://twitter.com/mjhegar/status/1313242135886532619" TargetMode="External"/><Relationship Id="rId20" Type="http://schemas.openxmlformats.org/officeDocument/2006/relationships/hyperlink" Target="https://twitter.com/mjhegar/status/1323476740400947202" TargetMode="External"/><Relationship Id="rId41" Type="http://schemas.openxmlformats.org/officeDocument/2006/relationships/hyperlink" Target="https://twitter.com/mjhegar/status/1323048058045845504" TargetMode="External"/><Relationship Id="rId62" Type="http://schemas.openxmlformats.org/officeDocument/2006/relationships/hyperlink" Target="https://twitter.com/mjhegar/status/1322246922783121409" TargetMode="External"/><Relationship Id="rId83" Type="http://schemas.openxmlformats.org/officeDocument/2006/relationships/hyperlink" Target="https://twitter.com/mjhegar/status/1321564329414676482" TargetMode="External"/><Relationship Id="rId179" Type="http://schemas.openxmlformats.org/officeDocument/2006/relationships/hyperlink" Target="https://twitter.com/mjhegar/status/1318668449212780546" TargetMode="External"/><Relationship Id="rId190" Type="http://schemas.openxmlformats.org/officeDocument/2006/relationships/hyperlink" Target="https://twitter.com/mjhegar/status/1318281030541914112" TargetMode="External"/><Relationship Id="rId204" Type="http://schemas.openxmlformats.org/officeDocument/2006/relationships/hyperlink" Target="https://twitter.com/mjhegar/status/1317863038008107008" TargetMode="External"/><Relationship Id="rId225" Type="http://schemas.openxmlformats.org/officeDocument/2006/relationships/hyperlink" Target="https://twitter.com/mjhegar/status/1317183563406708740" TargetMode="External"/><Relationship Id="rId246" Type="http://schemas.openxmlformats.org/officeDocument/2006/relationships/hyperlink" Target="https://twitter.com/mjhegar/status/1316451534360768517" TargetMode="External"/><Relationship Id="rId267" Type="http://schemas.openxmlformats.org/officeDocument/2006/relationships/hyperlink" Target="https://twitter.com/mjhegar/status/1315787203319140353" TargetMode="External"/><Relationship Id="rId288" Type="http://schemas.openxmlformats.org/officeDocument/2006/relationships/hyperlink" Target="https://twitter.com/mjhegar/status/1314738373337190400" TargetMode="External"/><Relationship Id="rId106" Type="http://schemas.openxmlformats.org/officeDocument/2006/relationships/hyperlink" Target="https://twitter.com/mjhegar/status/1320847189854355457" TargetMode="External"/><Relationship Id="rId127" Type="http://schemas.openxmlformats.org/officeDocument/2006/relationships/hyperlink" Target="https://twitter.com/mjhegar/status/1320146175794860032" TargetMode="External"/><Relationship Id="rId313" Type="http://schemas.openxmlformats.org/officeDocument/2006/relationships/hyperlink" Target="https://twitter.com/mjhegar/status/1314717032798138370" TargetMode="External"/><Relationship Id="rId10" Type="http://schemas.openxmlformats.org/officeDocument/2006/relationships/hyperlink" Target="https://twitter.com/mjhegar/status/1323678582254821381" TargetMode="External"/><Relationship Id="rId31" Type="http://schemas.openxmlformats.org/officeDocument/2006/relationships/hyperlink" Target="https://twitter.com/mjhegar/status/1323351765593530369" TargetMode="External"/><Relationship Id="rId52" Type="http://schemas.openxmlformats.org/officeDocument/2006/relationships/hyperlink" Target="https://twitter.com/mjhegar/status/1322634164760358913" TargetMode="External"/><Relationship Id="rId73" Type="http://schemas.openxmlformats.org/officeDocument/2006/relationships/hyperlink" Target="https://twitter.com/mjhegar/status/1321925551167340546" TargetMode="External"/><Relationship Id="rId94" Type="http://schemas.openxmlformats.org/officeDocument/2006/relationships/hyperlink" Target="https://twitter.com/mjhegar/status/1321177769749942277" TargetMode="External"/><Relationship Id="rId148" Type="http://schemas.openxmlformats.org/officeDocument/2006/relationships/hyperlink" Target="https://twitter.com/mjhegar/status/1319670030741667848" TargetMode="External"/><Relationship Id="rId169" Type="http://schemas.openxmlformats.org/officeDocument/2006/relationships/hyperlink" Target="https://twitter.com/mjhegar/status/1318934344438849536" TargetMode="External"/><Relationship Id="rId334" Type="http://schemas.openxmlformats.org/officeDocument/2006/relationships/hyperlink" Target="https://twitter.com/mjhegar/status/1313867623709450240" TargetMode="External"/><Relationship Id="rId355" Type="http://schemas.openxmlformats.org/officeDocument/2006/relationships/table" Target="../tables/table18.xml"/><Relationship Id="rId4" Type="http://schemas.openxmlformats.org/officeDocument/2006/relationships/hyperlink" Target="https://twitter.com/mjhegar/status/1323741611034103814" TargetMode="External"/><Relationship Id="rId180" Type="http://schemas.openxmlformats.org/officeDocument/2006/relationships/hyperlink" Target="https://twitter.com/mjhegar/status/1318659880698466307" TargetMode="External"/><Relationship Id="rId215" Type="http://schemas.openxmlformats.org/officeDocument/2006/relationships/hyperlink" Target="https://twitter.com/mjhegar/status/1317538080946094082" TargetMode="External"/><Relationship Id="rId236" Type="http://schemas.openxmlformats.org/officeDocument/2006/relationships/hyperlink" Target="https://twitter.com/mjhegar/status/1316771845178261505" TargetMode="External"/><Relationship Id="rId257" Type="http://schemas.openxmlformats.org/officeDocument/2006/relationships/hyperlink" Target="https://twitter.com/mjhegar/status/1316115230552977408" TargetMode="External"/><Relationship Id="rId278" Type="http://schemas.openxmlformats.org/officeDocument/2006/relationships/hyperlink" Target="https://twitter.com/mjhegar/status/1315319479656738818" TargetMode="External"/><Relationship Id="rId303" Type="http://schemas.openxmlformats.org/officeDocument/2006/relationships/hyperlink" Target="https://twitter.com/mjhegar/status/1314726381029335044" TargetMode="External"/><Relationship Id="rId42" Type="http://schemas.openxmlformats.org/officeDocument/2006/relationships/hyperlink" Target="https://twitter.com/mjhegar/status/1323036219148800000" TargetMode="External"/><Relationship Id="rId84" Type="http://schemas.openxmlformats.org/officeDocument/2006/relationships/hyperlink" Target="https://twitter.com/mjhegar/status/1321548991876730881" TargetMode="External"/><Relationship Id="rId138" Type="http://schemas.openxmlformats.org/officeDocument/2006/relationships/hyperlink" Target="https://twitter.com/mjhegar/status/1319719798306230276" TargetMode="External"/><Relationship Id="rId345" Type="http://schemas.openxmlformats.org/officeDocument/2006/relationships/hyperlink" Target="https://twitter.com/mjhegar/status/1313206488438050817" TargetMode="External"/><Relationship Id="rId191" Type="http://schemas.openxmlformats.org/officeDocument/2006/relationships/hyperlink" Target="https://twitter.com/mjhegar/status/1318266833292677120" TargetMode="External"/><Relationship Id="rId205" Type="http://schemas.openxmlformats.org/officeDocument/2006/relationships/hyperlink" Target="https://twitter.com/mjhegar/status/1317846702209048579" TargetMode="External"/><Relationship Id="rId247" Type="http://schemas.openxmlformats.org/officeDocument/2006/relationships/hyperlink" Target="https://twitter.com/mjhegar/status/1316433366707769348" TargetMode="External"/><Relationship Id="rId107" Type="http://schemas.openxmlformats.org/officeDocument/2006/relationships/hyperlink" Target="https://twitter.com/mjhegar/status/1320847188700876807" TargetMode="External"/><Relationship Id="rId289" Type="http://schemas.openxmlformats.org/officeDocument/2006/relationships/hyperlink" Target="https://twitter.com/mjhegar/status/1314736260884373504" TargetMode="External"/><Relationship Id="rId11" Type="http://schemas.openxmlformats.org/officeDocument/2006/relationships/hyperlink" Target="https://twitter.com/mjhegar/status/1323663893265264640" TargetMode="External"/><Relationship Id="rId53" Type="http://schemas.openxmlformats.org/officeDocument/2006/relationships/hyperlink" Target="https://twitter.com/mjhegar/status/1322629768165105669" TargetMode="External"/><Relationship Id="rId149" Type="http://schemas.openxmlformats.org/officeDocument/2006/relationships/hyperlink" Target="https://twitter.com/mjhegar/status/1319647805292630022" TargetMode="External"/><Relationship Id="rId314" Type="http://schemas.openxmlformats.org/officeDocument/2006/relationships/hyperlink" Target="https://twitter.com/mjhegar/status/1314712284426633217" TargetMode="External"/><Relationship Id="rId95" Type="http://schemas.openxmlformats.org/officeDocument/2006/relationships/hyperlink" Target="https://twitter.com/mjhegar/status/1321163245370118146" TargetMode="External"/><Relationship Id="rId160" Type="http://schemas.openxmlformats.org/officeDocument/2006/relationships/hyperlink" Target="https://twitter.com/mjhegar/status/1319289692555071488" TargetMode="External"/><Relationship Id="rId216" Type="http://schemas.openxmlformats.org/officeDocument/2006/relationships/hyperlink" Target="https://twitter.com/mjhegar/status/1317521179310215168" TargetMode="External"/><Relationship Id="rId258" Type="http://schemas.openxmlformats.org/officeDocument/2006/relationships/hyperlink" Target="https://twitter.com/mjhegar/status/1316098986411986944" TargetMode="External"/><Relationship Id="rId22" Type="http://schemas.openxmlformats.org/officeDocument/2006/relationships/hyperlink" Target="https://twitter.com/mjhegar/status/1323445266045952000" TargetMode="External"/><Relationship Id="rId64" Type="http://schemas.openxmlformats.org/officeDocument/2006/relationships/hyperlink" Target="https://twitter.com/mjhegar/status/1322207176706969607" TargetMode="External"/><Relationship Id="rId118" Type="http://schemas.openxmlformats.org/officeDocument/2006/relationships/hyperlink" Target="https://twitter.com/mjhegar/status/1320569293847879681" TargetMode="External"/><Relationship Id="rId325" Type="http://schemas.openxmlformats.org/officeDocument/2006/relationships/hyperlink" Target="https://twitter.com/mjhegar/status/1314274919618932736" TargetMode="External"/><Relationship Id="rId171" Type="http://schemas.openxmlformats.org/officeDocument/2006/relationships/hyperlink" Target="https://twitter.com/mjhegar/status/1318934341636993027" TargetMode="External"/><Relationship Id="rId227" Type="http://schemas.openxmlformats.org/officeDocument/2006/relationships/hyperlink" Target="https://twitter.com/mjhegar/status/1317151818892431363" TargetMode="External"/><Relationship Id="rId269" Type="http://schemas.openxmlformats.org/officeDocument/2006/relationships/hyperlink" Target="https://twitter.com/mjhegar/status/1315736793132814337" TargetMode="External"/><Relationship Id="rId33" Type="http://schemas.openxmlformats.org/officeDocument/2006/relationships/hyperlink" Target="https://twitter.com/mjhegar/status/1323332088284794883" TargetMode="External"/><Relationship Id="rId129" Type="http://schemas.openxmlformats.org/officeDocument/2006/relationships/hyperlink" Target="https://twitter.com/mjhegar/status/1320114840938098689" TargetMode="External"/><Relationship Id="rId280" Type="http://schemas.openxmlformats.org/officeDocument/2006/relationships/hyperlink" Target="https://twitter.com/mjhegar/status/1314966046940573697" TargetMode="External"/><Relationship Id="rId336" Type="http://schemas.openxmlformats.org/officeDocument/2006/relationships/hyperlink" Target="https://twitter.com/mjhegar/status/1313683417536647168" TargetMode="External"/><Relationship Id="rId75" Type="http://schemas.openxmlformats.org/officeDocument/2006/relationships/hyperlink" Target="https://twitter.com/mjhegar/status/1321887456975880192" TargetMode="External"/><Relationship Id="rId140" Type="http://schemas.openxmlformats.org/officeDocument/2006/relationships/hyperlink" Target="https://twitter.com/mjhegar/status/1319701010705752065" TargetMode="External"/><Relationship Id="rId182" Type="http://schemas.openxmlformats.org/officeDocument/2006/relationships/hyperlink" Target="https://twitter.com/mjhegar/status/1318588636036726784" TargetMode="External"/><Relationship Id="rId6" Type="http://schemas.openxmlformats.org/officeDocument/2006/relationships/hyperlink" Target="https://twitter.com/mjhegar/status/1323728188468568068" TargetMode="External"/><Relationship Id="rId238" Type="http://schemas.openxmlformats.org/officeDocument/2006/relationships/hyperlink" Target="https://twitter.com/mjhegar/status/1316533384072564738" TargetMode="External"/><Relationship Id="rId291" Type="http://schemas.openxmlformats.org/officeDocument/2006/relationships/hyperlink" Target="https://twitter.com/mjhegar/status/1314734226055495682" TargetMode="External"/><Relationship Id="rId305" Type="http://schemas.openxmlformats.org/officeDocument/2006/relationships/hyperlink" Target="https://twitter.com/mjhegar/status/1314723530953633792" TargetMode="External"/><Relationship Id="rId347" Type="http://schemas.openxmlformats.org/officeDocument/2006/relationships/hyperlink" Target="https://twitter.com/mjhegar/status/1313168051399950337" TargetMode="External"/><Relationship Id="rId44" Type="http://schemas.openxmlformats.org/officeDocument/2006/relationships/hyperlink" Target="https://twitter.com/mjhegar/status/1322993363705122829" TargetMode="External"/><Relationship Id="rId86" Type="http://schemas.openxmlformats.org/officeDocument/2006/relationships/hyperlink" Target="https://twitter.com/mjhegar/status/1321509729890406401" TargetMode="External"/><Relationship Id="rId151" Type="http://schemas.openxmlformats.org/officeDocument/2006/relationships/hyperlink" Target="https://twitter.com/mjhegar/status/1319421900989337606" TargetMode="External"/><Relationship Id="rId193" Type="http://schemas.openxmlformats.org/officeDocument/2006/relationships/hyperlink" Target="https://twitter.com/mjhegar/status/1318231714724970497" TargetMode="External"/><Relationship Id="rId207" Type="http://schemas.openxmlformats.org/officeDocument/2006/relationships/hyperlink" Target="https://twitter.com/mjhegar/status/1317641955745083393" TargetMode="External"/><Relationship Id="rId249" Type="http://schemas.openxmlformats.org/officeDocument/2006/relationships/hyperlink" Target="https://twitter.com/mjhegar/status/1316380081670029312" TargetMode="External"/><Relationship Id="rId13" Type="http://schemas.openxmlformats.org/officeDocument/2006/relationships/hyperlink" Target="https://twitter.com/mjhegar/status/1323647757068996609" TargetMode="External"/><Relationship Id="rId109" Type="http://schemas.openxmlformats.org/officeDocument/2006/relationships/hyperlink" Target="https://twitter.com/mjhegar/status/1320847182665289734" TargetMode="External"/><Relationship Id="rId260" Type="http://schemas.openxmlformats.org/officeDocument/2006/relationships/hyperlink" Target="https://twitter.com/mjhegar/status/1316061183657545729" TargetMode="External"/><Relationship Id="rId316" Type="http://schemas.openxmlformats.org/officeDocument/2006/relationships/hyperlink" Target="https://twitter.com/mjhegar/status/1314686885340606464" TargetMode="External"/><Relationship Id="rId55" Type="http://schemas.openxmlformats.org/officeDocument/2006/relationships/hyperlink" Target="https://twitter.com/mjhegar/status/1322588928487137280" TargetMode="External"/><Relationship Id="rId97" Type="http://schemas.openxmlformats.org/officeDocument/2006/relationships/hyperlink" Target="https://twitter.com/mjhegar/status/1321134607895535617" TargetMode="External"/><Relationship Id="rId120" Type="http://schemas.openxmlformats.org/officeDocument/2006/relationships/hyperlink" Target="https://twitter.com/mjhegar/status/1320444204552757249" TargetMode="External"/><Relationship Id="rId162" Type="http://schemas.openxmlformats.org/officeDocument/2006/relationships/hyperlink" Target="https://twitter.com/mjhegar/status/1319044369647865857" TargetMode="External"/><Relationship Id="rId218" Type="http://schemas.openxmlformats.org/officeDocument/2006/relationships/hyperlink" Target="https://twitter.com/mjhegar/status/1317477299390980098" TargetMode="External"/><Relationship Id="rId271" Type="http://schemas.openxmlformats.org/officeDocument/2006/relationships/hyperlink" Target="https://twitter.com/mjhegar/status/1315670605686091776" TargetMode="External"/><Relationship Id="rId24" Type="http://schemas.openxmlformats.org/officeDocument/2006/relationships/hyperlink" Target="https://twitter.com/mjhegar/status/1323428517246312448" TargetMode="External"/><Relationship Id="rId66" Type="http://schemas.openxmlformats.org/officeDocument/2006/relationships/hyperlink" Target="https://twitter.com/mjhegar/status/1322162643831054336" TargetMode="External"/><Relationship Id="rId131" Type="http://schemas.openxmlformats.org/officeDocument/2006/relationships/hyperlink" Target="https://twitter.com/mjhegar/status/1320082038729396224" TargetMode="External"/><Relationship Id="rId327" Type="http://schemas.openxmlformats.org/officeDocument/2006/relationships/hyperlink" Target="https://twitter.com/mjhegar/status/1314218104604504065" TargetMode="External"/><Relationship Id="rId173" Type="http://schemas.openxmlformats.org/officeDocument/2006/relationships/hyperlink" Target="https://twitter.com/mjhegar/status/1318749268539310087" TargetMode="External"/><Relationship Id="rId229" Type="http://schemas.openxmlformats.org/officeDocument/2006/relationships/hyperlink" Target="https://twitter.com/mjhegar/status/1317120164094222336" TargetMode="External"/><Relationship Id="rId240" Type="http://schemas.openxmlformats.org/officeDocument/2006/relationships/hyperlink" Target="https://twitter.com/mjhegar/status/1316502545670471680" TargetMode="External"/><Relationship Id="rId35" Type="http://schemas.openxmlformats.org/officeDocument/2006/relationships/hyperlink" Target="https://twitter.com/mjhegar/status/1323308922267226114" TargetMode="External"/><Relationship Id="rId77" Type="http://schemas.openxmlformats.org/officeDocument/2006/relationships/hyperlink" Target="https://twitter.com/mjhegar/status/1321867494680920068" TargetMode="External"/><Relationship Id="rId100" Type="http://schemas.openxmlformats.org/officeDocument/2006/relationships/hyperlink" Target="https://twitter.com/mjhegar/status/1320903117806907392" TargetMode="External"/><Relationship Id="rId282" Type="http://schemas.openxmlformats.org/officeDocument/2006/relationships/hyperlink" Target="https://twitter.com/mjhegar/status/1314762564602126347" TargetMode="External"/><Relationship Id="rId338" Type="http://schemas.openxmlformats.org/officeDocument/2006/relationships/hyperlink" Target="https://twitter.com/mjhegar/status/1313615709096812544" TargetMode="External"/><Relationship Id="rId8" Type="http://schemas.openxmlformats.org/officeDocument/2006/relationships/hyperlink" Target="https://twitter.com/mjhegar/status/1323706156578230272" TargetMode="External"/><Relationship Id="rId142" Type="http://schemas.openxmlformats.org/officeDocument/2006/relationships/hyperlink" Target="https://twitter.com/mjhegar/status/1319701006045859842" TargetMode="External"/><Relationship Id="rId184" Type="http://schemas.openxmlformats.org/officeDocument/2006/relationships/hyperlink" Target="https://twitter.com/mjhegar/status/1318401457813655552"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twitter.com/MarkWarner/status/1321543358662279171" TargetMode="External"/><Relationship Id="rId117" Type="http://schemas.openxmlformats.org/officeDocument/2006/relationships/hyperlink" Target="https://twitter.com/MarkWarner/status/1313566143660142598" TargetMode="External"/><Relationship Id="rId21" Type="http://schemas.openxmlformats.org/officeDocument/2006/relationships/hyperlink" Target="https://twitter.com/MarkWarner/status/1321889546317914112" TargetMode="External"/><Relationship Id="rId42" Type="http://schemas.openxmlformats.org/officeDocument/2006/relationships/hyperlink" Target="https://twitter.com/MarkWarner/status/1320046241426952192" TargetMode="External"/><Relationship Id="rId47" Type="http://schemas.openxmlformats.org/officeDocument/2006/relationships/hyperlink" Target="https://twitter.com/MarkWarner/status/1319664632722837504" TargetMode="External"/><Relationship Id="rId63" Type="http://schemas.openxmlformats.org/officeDocument/2006/relationships/hyperlink" Target="https://twitter.com/MarkWarner/status/1318961590230831104" TargetMode="External"/><Relationship Id="rId68" Type="http://schemas.openxmlformats.org/officeDocument/2006/relationships/hyperlink" Target="https://twitter.com/MarkWarner/status/1318314174670319619" TargetMode="External"/><Relationship Id="rId84" Type="http://schemas.openxmlformats.org/officeDocument/2006/relationships/hyperlink" Target="https://twitter.com/MarkWarner/status/1316387320199893000" TargetMode="External"/><Relationship Id="rId89" Type="http://schemas.openxmlformats.org/officeDocument/2006/relationships/hyperlink" Target="https://twitter.com/MarkWarner/status/1316081238525071360" TargetMode="External"/><Relationship Id="rId112" Type="http://schemas.openxmlformats.org/officeDocument/2006/relationships/hyperlink" Target="https://twitter.com/MarkWarner/status/1313607613091917824" TargetMode="External"/><Relationship Id="rId16" Type="http://schemas.openxmlformats.org/officeDocument/2006/relationships/hyperlink" Target="https://twitter.com/MarkWarner/status/1322257858122162179" TargetMode="External"/><Relationship Id="rId107" Type="http://schemas.openxmlformats.org/officeDocument/2006/relationships/hyperlink" Target="https://twitter.com/MarkWarner/status/1313900022887526403" TargetMode="External"/><Relationship Id="rId11" Type="http://schemas.openxmlformats.org/officeDocument/2006/relationships/hyperlink" Target="https://twitter.com/MarkWarner/status/1323055485172523009" TargetMode="External"/><Relationship Id="rId32" Type="http://schemas.openxmlformats.org/officeDocument/2006/relationships/hyperlink" Target="https://twitter.com/MarkWarner/status/1321467053975474176" TargetMode="External"/><Relationship Id="rId37" Type="http://schemas.openxmlformats.org/officeDocument/2006/relationships/hyperlink" Target="https://twitter.com/MarkWarner/status/1320785278693494787" TargetMode="External"/><Relationship Id="rId53" Type="http://schemas.openxmlformats.org/officeDocument/2006/relationships/hyperlink" Target="https://twitter.com/MarkWarner/status/1319319823520858114" TargetMode="External"/><Relationship Id="rId58" Type="http://schemas.openxmlformats.org/officeDocument/2006/relationships/hyperlink" Target="https://twitter.com/MarkWarner/status/1319009056238014464" TargetMode="External"/><Relationship Id="rId74" Type="http://schemas.openxmlformats.org/officeDocument/2006/relationships/hyperlink" Target="https://twitter.com/MarkWarner/status/1317498621860958208" TargetMode="External"/><Relationship Id="rId79" Type="http://schemas.openxmlformats.org/officeDocument/2006/relationships/hyperlink" Target="https://twitter.com/MarkWarner/status/1316747127633178624" TargetMode="External"/><Relationship Id="rId102" Type="http://schemas.openxmlformats.org/officeDocument/2006/relationships/hyperlink" Target="https://twitter.com/MarkWarner/status/1314618424002310144" TargetMode="External"/><Relationship Id="rId123" Type="http://schemas.openxmlformats.org/officeDocument/2006/relationships/hyperlink" Target="https://twitter.com/MarkWarner/status/1313190377176928258" TargetMode="External"/><Relationship Id="rId5" Type="http://schemas.openxmlformats.org/officeDocument/2006/relationships/hyperlink" Target="https://twitter.com/MarkWarner/status/1323322637502894083" TargetMode="External"/><Relationship Id="rId90" Type="http://schemas.openxmlformats.org/officeDocument/2006/relationships/hyperlink" Target="https://twitter.com/MarkWarner/status/1316078839760551936" TargetMode="External"/><Relationship Id="rId95" Type="http://schemas.openxmlformats.org/officeDocument/2006/relationships/hyperlink" Target="https://twitter.com/MarkWarner/status/1315646338646839296" TargetMode="External"/><Relationship Id="rId22" Type="http://schemas.openxmlformats.org/officeDocument/2006/relationships/hyperlink" Target="https://twitter.com/MarkWarner/status/1321863283150934018" TargetMode="External"/><Relationship Id="rId27" Type="http://schemas.openxmlformats.org/officeDocument/2006/relationships/hyperlink" Target="https://twitter.com/MarkWarner/status/1321543355201892354" TargetMode="External"/><Relationship Id="rId43" Type="http://schemas.openxmlformats.org/officeDocument/2006/relationships/hyperlink" Target="https://twitter.com/MarkWarner/status/1319775052909498377" TargetMode="External"/><Relationship Id="rId48" Type="http://schemas.openxmlformats.org/officeDocument/2006/relationships/hyperlink" Target="https://twitter.com/MarkWarner/status/1319378159586971651" TargetMode="External"/><Relationship Id="rId64" Type="http://schemas.openxmlformats.org/officeDocument/2006/relationships/hyperlink" Target="https://twitter.com/MarkWarner/status/1318929854264463362" TargetMode="External"/><Relationship Id="rId69" Type="http://schemas.openxmlformats.org/officeDocument/2006/relationships/hyperlink" Target="https://twitter.com/MarkWarner/status/1318287051125624837" TargetMode="External"/><Relationship Id="rId113" Type="http://schemas.openxmlformats.org/officeDocument/2006/relationships/hyperlink" Target="https://twitter.com/MarkWarner/status/1313607611028312066" TargetMode="External"/><Relationship Id="rId118" Type="http://schemas.openxmlformats.org/officeDocument/2006/relationships/hyperlink" Target="https://twitter.com/MarkWarner/status/1313532999590449152" TargetMode="External"/><Relationship Id="rId80" Type="http://schemas.openxmlformats.org/officeDocument/2006/relationships/hyperlink" Target="https://twitter.com/MarkWarner/status/1316487067543666690" TargetMode="External"/><Relationship Id="rId85" Type="http://schemas.openxmlformats.org/officeDocument/2006/relationships/hyperlink" Target="https://twitter.com/MarkWarner/status/1316135717307850753" TargetMode="External"/><Relationship Id="rId12" Type="http://schemas.openxmlformats.org/officeDocument/2006/relationships/hyperlink" Target="https://twitter.com/MarkWarner/status/1322906922425700353" TargetMode="External"/><Relationship Id="rId17" Type="http://schemas.openxmlformats.org/officeDocument/2006/relationships/hyperlink" Target="https://twitter.com/MarkWarner/status/1322227510613073920" TargetMode="External"/><Relationship Id="rId33" Type="http://schemas.openxmlformats.org/officeDocument/2006/relationships/hyperlink" Target="https://twitter.com/MarkWarner/status/1321210771934760961" TargetMode="External"/><Relationship Id="rId38" Type="http://schemas.openxmlformats.org/officeDocument/2006/relationships/hyperlink" Target="https://twitter.com/MarkWarner/status/1320785277191966720" TargetMode="External"/><Relationship Id="rId59" Type="http://schemas.openxmlformats.org/officeDocument/2006/relationships/hyperlink" Target="https://twitter.com/MarkWarner/status/1319009055080370178" TargetMode="External"/><Relationship Id="rId103" Type="http://schemas.openxmlformats.org/officeDocument/2006/relationships/hyperlink" Target="https://twitter.com/MarkWarner/status/1314581607358115840" TargetMode="External"/><Relationship Id="rId108" Type="http://schemas.openxmlformats.org/officeDocument/2006/relationships/hyperlink" Target="https://twitter.com/MarkWarner/status/1313879041821347841" TargetMode="External"/><Relationship Id="rId124" Type="http://schemas.openxmlformats.org/officeDocument/2006/relationships/hyperlink" Target="https://twitter.com/MarkWarner/status/1312479362474631168" TargetMode="External"/><Relationship Id="rId54" Type="http://schemas.openxmlformats.org/officeDocument/2006/relationships/hyperlink" Target="https://twitter.com/MarkWarner/status/1319319822426136579" TargetMode="External"/><Relationship Id="rId70" Type="http://schemas.openxmlformats.org/officeDocument/2006/relationships/hyperlink" Target="https://twitter.com/MarkWarner/status/1318259550903033856" TargetMode="External"/><Relationship Id="rId75" Type="http://schemas.openxmlformats.org/officeDocument/2006/relationships/hyperlink" Target="https://twitter.com/MarkWarner/status/1317493785018961921" TargetMode="External"/><Relationship Id="rId91" Type="http://schemas.openxmlformats.org/officeDocument/2006/relationships/hyperlink" Target="https://twitter.com/MarkWarner/status/1316053816652058624" TargetMode="External"/><Relationship Id="rId96" Type="http://schemas.openxmlformats.org/officeDocument/2006/relationships/hyperlink" Target="https://twitter.com/MarkWarner/status/1315315511144611840" TargetMode="External"/><Relationship Id="rId1" Type="http://schemas.openxmlformats.org/officeDocument/2006/relationships/hyperlink" Target="https://twitter.com/MarkWarner/status/1323653790956953600" TargetMode="External"/><Relationship Id="rId6" Type="http://schemas.openxmlformats.org/officeDocument/2006/relationships/hyperlink" Target="https://twitter.com/MarkWarner/status/1323288382571745282" TargetMode="External"/><Relationship Id="rId23" Type="http://schemas.openxmlformats.org/officeDocument/2006/relationships/hyperlink" Target="https://twitter.com/MarkWarner/status/1321826820472381440" TargetMode="External"/><Relationship Id="rId28" Type="http://schemas.openxmlformats.org/officeDocument/2006/relationships/hyperlink" Target="https://twitter.com/MarkWarner/status/1321516221062406145" TargetMode="External"/><Relationship Id="rId49" Type="http://schemas.openxmlformats.org/officeDocument/2006/relationships/hyperlink" Target="https://twitter.com/MarkWarner/status/1319353384026202113" TargetMode="External"/><Relationship Id="rId114" Type="http://schemas.openxmlformats.org/officeDocument/2006/relationships/hyperlink" Target="https://twitter.com/MarkWarner/status/1313607609430220801" TargetMode="External"/><Relationship Id="rId119" Type="http://schemas.openxmlformats.org/officeDocument/2006/relationships/hyperlink" Target="https://twitter.com/MarkWarner/status/1313500177706225674" TargetMode="External"/><Relationship Id="rId44" Type="http://schemas.openxmlformats.org/officeDocument/2006/relationships/hyperlink" Target="https://twitter.com/MarkWarner/status/1319775051667939331" TargetMode="External"/><Relationship Id="rId60" Type="http://schemas.openxmlformats.org/officeDocument/2006/relationships/hyperlink" Target="https://twitter.com/MarkWarner/status/1319009053968838656" TargetMode="External"/><Relationship Id="rId65" Type="http://schemas.openxmlformats.org/officeDocument/2006/relationships/hyperlink" Target="https://twitter.com/MarkWarner/status/1318682136141045760" TargetMode="External"/><Relationship Id="rId81" Type="http://schemas.openxmlformats.org/officeDocument/2006/relationships/hyperlink" Target="https://twitter.com/MarkWarner/status/1316460993837510656" TargetMode="External"/><Relationship Id="rId86" Type="http://schemas.openxmlformats.org/officeDocument/2006/relationships/hyperlink" Target="https://twitter.com/MarkWarner/status/1316111466081087488" TargetMode="External"/><Relationship Id="rId13" Type="http://schemas.openxmlformats.org/officeDocument/2006/relationships/hyperlink" Target="https://twitter.com/MarkWarner/status/1322621864234094595" TargetMode="External"/><Relationship Id="rId18" Type="http://schemas.openxmlformats.org/officeDocument/2006/relationships/hyperlink" Target="https://twitter.com/MarkWarner/status/1322202233853878272" TargetMode="External"/><Relationship Id="rId39" Type="http://schemas.openxmlformats.org/officeDocument/2006/relationships/hyperlink" Target="https://twitter.com/MarkWarner/status/1320754847151542279" TargetMode="External"/><Relationship Id="rId109" Type="http://schemas.openxmlformats.org/officeDocument/2006/relationships/hyperlink" Target="https://twitter.com/MarkWarner/status/1313841514301272065" TargetMode="External"/><Relationship Id="rId34" Type="http://schemas.openxmlformats.org/officeDocument/2006/relationships/hyperlink" Target="https://twitter.com/MarkWarner/status/1321193143665074180" TargetMode="External"/><Relationship Id="rId50" Type="http://schemas.openxmlformats.org/officeDocument/2006/relationships/hyperlink" Target="https://twitter.com/MarkWarner/status/1319340322749636608" TargetMode="External"/><Relationship Id="rId55" Type="http://schemas.openxmlformats.org/officeDocument/2006/relationships/hyperlink" Target="https://twitter.com/MarkWarner/status/1319305921139478528" TargetMode="External"/><Relationship Id="rId76" Type="http://schemas.openxmlformats.org/officeDocument/2006/relationships/hyperlink" Target="https://twitter.com/MarkWarner/status/1317156015029235714" TargetMode="External"/><Relationship Id="rId97" Type="http://schemas.openxmlformats.org/officeDocument/2006/relationships/hyperlink" Target="https://twitter.com/MarkWarner/status/1314966248913088514" TargetMode="External"/><Relationship Id="rId104" Type="http://schemas.openxmlformats.org/officeDocument/2006/relationships/hyperlink" Target="https://twitter.com/MarkWarner/status/1314234301853163522" TargetMode="External"/><Relationship Id="rId120" Type="http://schemas.openxmlformats.org/officeDocument/2006/relationships/hyperlink" Target="https://twitter.com/MarkWarner/status/1313450909880537089" TargetMode="External"/><Relationship Id="rId125" Type="http://schemas.openxmlformats.org/officeDocument/2006/relationships/hyperlink" Target="https://twitter.com/MarkWarner/status/1323701482131202050" TargetMode="External"/><Relationship Id="rId7" Type="http://schemas.openxmlformats.org/officeDocument/2006/relationships/hyperlink" Target="https://twitter.com/MarkWarner/status/1323288381716156418" TargetMode="External"/><Relationship Id="rId71" Type="http://schemas.openxmlformats.org/officeDocument/2006/relationships/hyperlink" Target="https://twitter.com/MarkWarner/status/1318216238397521920" TargetMode="External"/><Relationship Id="rId92" Type="http://schemas.openxmlformats.org/officeDocument/2006/relationships/hyperlink" Target="https://twitter.com/MarkWarner/status/1315760151031406592" TargetMode="External"/><Relationship Id="rId2" Type="http://schemas.openxmlformats.org/officeDocument/2006/relationships/hyperlink" Target="https://twitter.com/MarkWarner/status/1323653789572882433" TargetMode="External"/><Relationship Id="rId29" Type="http://schemas.openxmlformats.org/officeDocument/2006/relationships/hyperlink" Target="https://twitter.com/MarkWarner/status/1321516219858636800" TargetMode="External"/><Relationship Id="rId24" Type="http://schemas.openxmlformats.org/officeDocument/2006/relationships/hyperlink" Target="https://twitter.com/MarkWarner/status/1321820932109967361" TargetMode="External"/><Relationship Id="rId40" Type="http://schemas.openxmlformats.org/officeDocument/2006/relationships/hyperlink" Target="https://twitter.com/MarkWarner/status/1320466610830876672" TargetMode="External"/><Relationship Id="rId45" Type="http://schemas.openxmlformats.org/officeDocument/2006/relationships/hyperlink" Target="https://twitter.com/MarkWarner/status/1319754616817487873" TargetMode="External"/><Relationship Id="rId66" Type="http://schemas.openxmlformats.org/officeDocument/2006/relationships/hyperlink" Target="https://twitter.com/MarkWarner/status/1318624541577482246" TargetMode="External"/><Relationship Id="rId87" Type="http://schemas.openxmlformats.org/officeDocument/2006/relationships/hyperlink" Target="https://twitter.com/MarkWarner/status/1316102970640142344" TargetMode="External"/><Relationship Id="rId110" Type="http://schemas.openxmlformats.org/officeDocument/2006/relationships/hyperlink" Target="https://twitter.com/MarkWarner/status/1313818861049913344" TargetMode="External"/><Relationship Id="rId115" Type="http://schemas.openxmlformats.org/officeDocument/2006/relationships/hyperlink" Target="https://twitter.com/MarkWarner/status/1313607607354109959" TargetMode="External"/><Relationship Id="rId61" Type="http://schemas.openxmlformats.org/officeDocument/2006/relationships/hyperlink" Target="https://twitter.com/MarkWarner/status/1319009052018565122" TargetMode="External"/><Relationship Id="rId82" Type="http://schemas.openxmlformats.org/officeDocument/2006/relationships/hyperlink" Target="https://twitter.com/MarkWarner/status/1316429048013361152" TargetMode="External"/><Relationship Id="rId19" Type="http://schemas.openxmlformats.org/officeDocument/2006/relationships/hyperlink" Target="https://twitter.com/MarkWarner/status/1322178371191771136" TargetMode="External"/><Relationship Id="rId14" Type="http://schemas.openxmlformats.org/officeDocument/2006/relationships/hyperlink" Target="https://twitter.com/MarkWarner/status/1322540076006432768" TargetMode="External"/><Relationship Id="rId30" Type="http://schemas.openxmlformats.org/officeDocument/2006/relationships/hyperlink" Target="https://twitter.com/MarkWarner/status/1321516218969399296" TargetMode="External"/><Relationship Id="rId35" Type="http://schemas.openxmlformats.org/officeDocument/2006/relationships/hyperlink" Target="https://twitter.com/MarkWarner/status/1321149123194662914" TargetMode="External"/><Relationship Id="rId56" Type="http://schemas.openxmlformats.org/officeDocument/2006/relationships/hyperlink" Target="https://twitter.com/MarkWarner/status/1319065302894845952" TargetMode="External"/><Relationship Id="rId77" Type="http://schemas.openxmlformats.org/officeDocument/2006/relationships/hyperlink" Target="https://twitter.com/MarkWarner/status/1317118440256266240" TargetMode="External"/><Relationship Id="rId100" Type="http://schemas.openxmlformats.org/officeDocument/2006/relationships/hyperlink" Target="https://twitter.com/MarkWarner/status/1314634824108384258" TargetMode="External"/><Relationship Id="rId105" Type="http://schemas.openxmlformats.org/officeDocument/2006/relationships/hyperlink" Target="https://twitter.com/MarkWarner/status/1314211946028122113" TargetMode="External"/><Relationship Id="rId126" Type="http://schemas.openxmlformats.org/officeDocument/2006/relationships/table" Target="../tables/table19.xml"/><Relationship Id="rId8" Type="http://schemas.openxmlformats.org/officeDocument/2006/relationships/hyperlink" Target="https://twitter.com/MarkWarner/status/1323288380877250560" TargetMode="External"/><Relationship Id="rId51" Type="http://schemas.openxmlformats.org/officeDocument/2006/relationships/hyperlink" Target="https://twitter.com/MarkWarner/status/1319319825202728963" TargetMode="External"/><Relationship Id="rId72" Type="http://schemas.openxmlformats.org/officeDocument/2006/relationships/hyperlink" Target="https://twitter.com/MarkWarner/status/1317906077783031810" TargetMode="External"/><Relationship Id="rId93" Type="http://schemas.openxmlformats.org/officeDocument/2006/relationships/hyperlink" Target="https://twitter.com/MarkWarner/status/1315735584120418309" TargetMode="External"/><Relationship Id="rId98" Type="http://schemas.openxmlformats.org/officeDocument/2006/relationships/hyperlink" Target="https://twitter.com/MarkWarner/status/1314684238877396992" TargetMode="External"/><Relationship Id="rId121" Type="http://schemas.openxmlformats.org/officeDocument/2006/relationships/hyperlink" Target="https://twitter.com/MarkWarner/status/1313450908915818497" TargetMode="External"/><Relationship Id="rId3" Type="http://schemas.openxmlformats.org/officeDocument/2006/relationships/hyperlink" Target="https://twitter.com/MarkWarner/status/1323653788054523908" TargetMode="External"/><Relationship Id="rId25" Type="http://schemas.openxmlformats.org/officeDocument/2006/relationships/hyperlink" Target="https://twitter.com/MarkWarner/status/1321563216095399936" TargetMode="External"/><Relationship Id="rId46" Type="http://schemas.openxmlformats.org/officeDocument/2006/relationships/hyperlink" Target="https://twitter.com/MarkWarner/status/1319688787836846081" TargetMode="External"/><Relationship Id="rId67" Type="http://schemas.openxmlformats.org/officeDocument/2006/relationships/hyperlink" Target="https://twitter.com/MarkWarner/status/1318578836112551938" TargetMode="External"/><Relationship Id="rId116" Type="http://schemas.openxmlformats.org/officeDocument/2006/relationships/hyperlink" Target="https://twitter.com/MarkWarner/status/1313572102910418945" TargetMode="External"/><Relationship Id="rId20" Type="http://schemas.openxmlformats.org/officeDocument/2006/relationships/hyperlink" Target="https://twitter.com/MarkWarner/status/1321920153546870787" TargetMode="External"/><Relationship Id="rId41" Type="http://schemas.openxmlformats.org/officeDocument/2006/relationships/hyperlink" Target="https://twitter.com/MarkWarner/status/1320094572677107721" TargetMode="External"/><Relationship Id="rId62" Type="http://schemas.openxmlformats.org/officeDocument/2006/relationships/hyperlink" Target="https://twitter.com/MarkWarner/status/1319009050944745474" TargetMode="External"/><Relationship Id="rId83" Type="http://schemas.openxmlformats.org/officeDocument/2006/relationships/hyperlink" Target="https://twitter.com/MarkWarner/status/1316429045781929991" TargetMode="External"/><Relationship Id="rId88" Type="http://schemas.openxmlformats.org/officeDocument/2006/relationships/hyperlink" Target="https://twitter.com/MarkWarner/status/1316081239779090436" TargetMode="External"/><Relationship Id="rId111" Type="http://schemas.openxmlformats.org/officeDocument/2006/relationships/hyperlink" Target="https://twitter.com/MarkWarner/status/1313611364271882241" TargetMode="External"/><Relationship Id="rId15" Type="http://schemas.openxmlformats.org/officeDocument/2006/relationships/hyperlink" Target="https://twitter.com/MarkWarner/status/1322319228725350402" TargetMode="External"/><Relationship Id="rId36" Type="http://schemas.openxmlformats.org/officeDocument/2006/relationships/hyperlink" Target="https://twitter.com/MarkWarner/status/1321120217133654018" TargetMode="External"/><Relationship Id="rId57" Type="http://schemas.openxmlformats.org/officeDocument/2006/relationships/hyperlink" Target="https://twitter.com/MarkWarner/status/1319009057697632264" TargetMode="External"/><Relationship Id="rId106" Type="http://schemas.openxmlformats.org/officeDocument/2006/relationships/hyperlink" Target="https://twitter.com/MarkWarner/status/1313900024108068865" TargetMode="External"/><Relationship Id="rId10" Type="http://schemas.openxmlformats.org/officeDocument/2006/relationships/hyperlink" Target="https://twitter.com/MarkWarner/status/1323055486636347392" TargetMode="External"/><Relationship Id="rId31" Type="http://schemas.openxmlformats.org/officeDocument/2006/relationships/hyperlink" Target="https://twitter.com/MarkWarner/status/1321484984700575745" TargetMode="External"/><Relationship Id="rId52" Type="http://schemas.openxmlformats.org/officeDocument/2006/relationships/hyperlink" Target="https://twitter.com/MarkWarner/status/1319319824355479557" TargetMode="External"/><Relationship Id="rId73" Type="http://schemas.openxmlformats.org/officeDocument/2006/relationships/hyperlink" Target="https://twitter.com/MarkWarner/status/1317560140879564806" TargetMode="External"/><Relationship Id="rId78" Type="http://schemas.openxmlformats.org/officeDocument/2006/relationships/hyperlink" Target="https://twitter.com/MarkWarner/status/1316884282355441664" TargetMode="External"/><Relationship Id="rId94" Type="http://schemas.openxmlformats.org/officeDocument/2006/relationships/hyperlink" Target="https://twitter.com/MarkWarner/status/1315683716358963200" TargetMode="External"/><Relationship Id="rId99" Type="http://schemas.openxmlformats.org/officeDocument/2006/relationships/hyperlink" Target="https://twitter.com/MarkWarner/status/1314659227344961538" TargetMode="External"/><Relationship Id="rId101" Type="http://schemas.openxmlformats.org/officeDocument/2006/relationships/hyperlink" Target="https://twitter.com/MarkWarner/status/1314634822879531010" TargetMode="External"/><Relationship Id="rId122" Type="http://schemas.openxmlformats.org/officeDocument/2006/relationships/hyperlink" Target="https://twitter.com/MarkWarner/status/1313450907561070593" TargetMode="External"/><Relationship Id="rId4" Type="http://schemas.openxmlformats.org/officeDocument/2006/relationships/hyperlink" Target="https://twitter.com/MarkWarner/status/1323639664276840448" TargetMode="External"/><Relationship Id="rId9" Type="http://schemas.openxmlformats.org/officeDocument/2006/relationships/hyperlink" Target="https://twitter.com/MarkWarner/status/1323055487475163147"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CaptMarkKelly/status/1319297707366879233" TargetMode="External"/><Relationship Id="rId21" Type="http://schemas.openxmlformats.org/officeDocument/2006/relationships/hyperlink" Target="https://twitter.com/CaptMarkKelly/status/1323007036607483904" TargetMode="External"/><Relationship Id="rId42" Type="http://schemas.openxmlformats.org/officeDocument/2006/relationships/hyperlink" Target="https://twitter.com/CaptMarkKelly/status/1322282703459217409" TargetMode="External"/><Relationship Id="rId63" Type="http://schemas.openxmlformats.org/officeDocument/2006/relationships/hyperlink" Target="https://twitter.com/CaptMarkKelly/status/1321543779447312386" TargetMode="External"/><Relationship Id="rId84" Type="http://schemas.openxmlformats.org/officeDocument/2006/relationships/hyperlink" Target="https://twitter.com/CaptMarkKelly/status/1320824890404958208" TargetMode="External"/><Relationship Id="rId138" Type="http://schemas.openxmlformats.org/officeDocument/2006/relationships/hyperlink" Target="https://twitter.com/CaptMarkKelly/status/1317934507228602368" TargetMode="External"/><Relationship Id="rId159" Type="http://schemas.openxmlformats.org/officeDocument/2006/relationships/hyperlink" Target="https://twitter.com/CaptMarkKelly/status/1316170698784534530" TargetMode="External"/><Relationship Id="rId170" Type="http://schemas.openxmlformats.org/officeDocument/2006/relationships/hyperlink" Target="https://twitter.com/CaptMarkKelly/status/1315486342277722112" TargetMode="External"/><Relationship Id="rId191" Type="http://schemas.openxmlformats.org/officeDocument/2006/relationships/hyperlink" Target="https://twitter.com/CaptMarkKelly/status/1313888848682778624" TargetMode="External"/><Relationship Id="rId205" Type="http://schemas.openxmlformats.org/officeDocument/2006/relationships/hyperlink" Target="https://twitter.com/CaptMarkKelly/status/1313670810595332096" TargetMode="External"/><Relationship Id="rId226" Type="http://schemas.openxmlformats.org/officeDocument/2006/relationships/hyperlink" Target="https://twitter.com/CaptMarkKelly/status/1312815561378689024" TargetMode="External"/><Relationship Id="rId107" Type="http://schemas.openxmlformats.org/officeDocument/2006/relationships/hyperlink" Target="https://twitter.com/CaptMarkKelly/status/1319419555236646913" TargetMode="External"/><Relationship Id="rId11" Type="http://schemas.openxmlformats.org/officeDocument/2006/relationships/hyperlink" Target="https://twitter.com/CaptMarkKelly/status/1323415062938230785" TargetMode="External"/><Relationship Id="rId32" Type="http://schemas.openxmlformats.org/officeDocument/2006/relationships/hyperlink" Target="https://twitter.com/CaptMarkKelly/status/1322631637482442752" TargetMode="External"/><Relationship Id="rId53" Type="http://schemas.openxmlformats.org/officeDocument/2006/relationships/hyperlink" Target="https://twitter.com/CaptMarkKelly/status/1321912797236654080" TargetMode="External"/><Relationship Id="rId74" Type="http://schemas.openxmlformats.org/officeDocument/2006/relationships/hyperlink" Target="https://twitter.com/CaptMarkKelly/status/1321137777010905090" TargetMode="External"/><Relationship Id="rId128" Type="http://schemas.openxmlformats.org/officeDocument/2006/relationships/hyperlink" Target="https://twitter.com/CaptMarkKelly/status/1318537644842848256" TargetMode="External"/><Relationship Id="rId149" Type="http://schemas.openxmlformats.org/officeDocument/2006/relationships/hyperlink" Target="https://twitter.com/CaptMarkKelly/status/1317138515897901056" TargetMode="External"/><Relationship Id="rId5" Type="http://schemas.openxmlformats.org/officeDocument/2006/relationships/hyperlink" Target="https://twitter.com/CaptMarkKelly/status/1323673093294886912" TargetMode="External"/><Relationship Id="rId95" Type="http://schemas.openxmlformats.org/officeDocument/2006/relationships/hyperlink" Target="https://twitter.com/CaptMarkKelly/status/1320155771594698752" TargetMode="External"/><Relationship Id="rId160" Type="http://schemas.openxmlformats.org/officeDocument/2006/relationships/hyperlink" Target="https://twitter.com/CaptMarkKelly/status/1316147036140396545" TargetMode="External"/><Relationship Id="rId181" Type="http://schemas.openxmlformats.org/officeDocument/2006/relationships/hyperlink" Target="https://twitter.com/CaptMarkKelly/status/1314703985014579200" TargetMode="External"/><Relationship Id="rId216" Type="http://schemas.openxmlformats.org/officeDocument/2006/relationships/hyperlink" Target="https://twitter.com/CaptMarkKelly/status/1313607338591358976" TargetMode="External"/><Relationship Id="rId22" Type="http://schemas.openxmlformats.org/officeDocument/2006/relationships/hyperlink" Target="https://twitter.com/CaptMarkKelly/status/1322989162270617600" TargetMode="External"/><Relationship Id="rId43" Type="http://schemas.openxmlformats.org/officeDocument/2006/relationships/hyperlink" Target="https://twitter.com/CaptMarkKelly/status/1322240816878817280" TargetMode="External"/><Relationship Id="rId64" Type="http://schemas.openxmlformats.org/officeDocument/2006/relationships/hyperlink" Target="https://twitter.com/CaptMarkKelly/status/1321528162816126976" TargetMode="External"/><Relationship Id="rId118" Type="http://schemas.openxmlformats.org/officeDocument/2006/relationships/hyperlink" Target="https://twitter.com/CaptMarkKelly/status/1319081557835935744" TargetMode="External"/><Relationship Id="rId139" Type="http://schemas.openxmlformats.org/officeDocument/2006/relationships/hyperlink" Target="https://twitter.com/CaptMarkKelly/status/1317879388822786051" TargetMode="External"/><Relationship Id="rId85" Type="http://schemas.openxmlformats.org/officeDocument/2006/relationships/hyperlink" Target="https://twitter.com/CaptMarkKelly/status/1320809077174198272" TargetMode="External"/><Relationship Id="rId150" Type="http://schemas.openxmlformats.org/officeDocument/2006/relationships/hyperlink" Target="https://twitter.com/CaptMarkKelly/status/1317088715806736387" TargetMode="External"/><Relationship Id="rId171" Type="http://schemas.openxmlformats.org/officeDocument/2006/relationships/hyperlink" Target="https://twitter.com/CaptMarkKelly/status/1315470379977191424" TargetMode="External"/><Relationship Id="rId192" Type="http://schemas.openxmlformats.org/officeDocument/2006/relationships/hyperlink" Target="https://twitter.com/CaptMarkKelly/status/1313828646692425729" TargetMode="External"/><Relationship Id="rId206" Type="http://schemas.openxmlformats.org/officeDocument/2006/relationships/hyperlink" Target="https://twitter.com/CaptMarkKelly/status/1313670558265999363" TargetMode="External"/><Relationship Id="rId227" Type="http://schemas.openxmlformats.org/officeDocument/2006/relationships/hyperlink" Target="https://twitter.com/CaptMarkKelly/status/1312776804269080577" TargetMode="External"/><Relationship Id="rId12" Type="http://schemas.openxmlformats.org/officeDocument/2006/relationships/hyperlink" Target="https://twitter.com/CaptMarkKelly/status/1323403089697677314" TargetMode="External"/><Relationship Id="rId33" Type="http://schemas.openxmlformats.org/officeDocument/2006/relationships/hyperlink" Target="https://twitter.com/CaptMarkKelly/status/1322614697678393344" TargetMode="External"/><Relationship Id="rId108" Type="http://schemas.openxmlformats.org/officeDocument/2006/relationships/hyperlink" Target="https://twitter.com/CaptMarkKelly/status/1319418204981055488" TargetMode="External"/><Relationship Id="rId129" Type="http://schemas.openxmlformats.org/officeDocument/2006/relationships/hyperlink" Target="https://twitter.com/CaptMarkKelly/status/1318387761351598080" TargetMode="External"/><Relationship Id="rId54" Type="http://schemas.openxmlformats.org/officeDocument/2006/relationships/hyperlink" Target="https://twitter.com/CaptMarkKelly/status/1321893858972635136" TargetMode="External"/><Relationship Id="rId75" Type="http://schemas.openxmlformats.org/officeDocument/2006/relationships/hyperlink" Target="https://twitter.com/CaptMarkKelly/status/1321122605122764800" TargetMode="External"/><Relationship Id="rId96" Type="http://schemas.openxmlformats.org/officeDocument/2006/relationships/hyperlink" Target="https://twitter.com/CaptMarkKelly/status/1320140867751952385" TargetMode="External"/><Relationship Id="rId140" Type="http://schemas.openxmlformats.org/officeDocument/2006/relationships/hyperlink" Target="https://twitter.com/CaptMarkKelly/status/1317850893740576770" TargetMode="External"/><Relationship Id="rId161" Type="http://schemas.openxmlformats.org/officeDocument/2006/relationships/hyperlink" Target="https://twitter.com/CaptMarkKelly/status/1316048310629617664" TargetMode="External"/><Relationship Id="rId182" Type="http://schemas.openxmlformats.org/officeDocument/2006/relationships/hyperlink" Target="https://twitter.com/CaptMarkKelly/status/1314629254773010432" TargetMode="External"/><Relationship Id="rId217" Type="http://schemas.openxmlformats.org/officeDocument/2006/relationships/hyperlink" Target="https://twitter.com/CaptMarkKelly/status/1313570567954460673" TargetMode="External"/><Relationship Id="rId6" Type="http://schemas.openxmlformats.org/officeDocument/2006/relationships/hyperlink" Target="https://twitter.com/CaptMarkKelly/status/1323642068451799040" TargetMode="External"/><Relationship Id="rId23" Type="http://schemas.openxmlformats.org/officeDocument/2006/relationships/hyperlink" Target="https://twitter.com/CaptMarkKelly/status/1322968977602084864" TargetMode="External"/><Relationship Id="rId119" Type="http://schemas.openxmlformats.org/officeDocument/2006/relationships/hyperlink" Target="https://twitter.com/CaptMarkKelly/status/1319065492028493824" TargetMode="External"/><Relationship Id="rId44" Type="http://schemas.openxmlformats.org/officeDocument/2006/relationships/hyperlink" Target="https://twitter.com/CaptMarkKelly/status/1322222085389778944" TargetMode="External"/><Relationship Id="rId65" Type="http://schemas.openxmlformats.org/officeDocument/2006/relationships/hyperlink" Target="https://twitter.com/CaptMarkKelly/status/1321516171384942595" TargetMode="External"/><Relationship Id="rId86" Type="http://schemas.openxmlformats.org/officeDocument/2006/relationships/hyperlink" Target="https://twitter.com/CaptMarkKelly/status/1320792841396711424" TargetMode="External"/><Relationship Id="rId130" Type="http://schemas.openxmlformats.org/officeDocument/2006/relationships/hyperlink" Target="https://twitter.com/CaptMarkKelly/status/1318361639616303104" TargetMode="External"/><Relationship Id="rId151" Type="http://schemas.openxmlformats.org/officeDocument/2006/relationships/hyperlink" Target="https://twitter.com/CaptMarkKelly/status/1316937129000316929" TargetMode="External"/><Relationship Id="rId172" Type="http://schemas.openxmlformats.org/officeDocument/2006/relationships/hyperlink" Target="https://twitter.com/CaptMarkKelly/status/1315457406470586369" TargetMode="External"/><Relationship Id="rId193" Type="http://schemas.openxmlformats.org/officeDocument/2006/relationships/hyperlink" Target="https://twitter.com/CaptMarkKelly/status/1313702801990656000" TargetMode="External"/><Relationship Id="rId207" Type="http://schemas.openxmlformats.org/officeDocument/2006/relationships/hyperlink" Target="https://twitter.com/CaptMarkKelly/status/1313669641265319936" TargetMode="External"/><Relationship Id="rId228" Type="http://schemas.openxmlformats.org/officeDocument/2006/relationships/hyperlink" Target="https://twitter.com/CaptMarkKelly/status/1312528431305850880" TargetMode="External"/><Relationship Id="rId13" Type="http://schemas.openxmlformats.org/officeDocument/2006/relationships/hyperlink" Target="https://twitter.com/CaptMarkKelly/status/1323387756718907392" TargetMode="External"/><Relationship Id="rId109" Type="http://schemas.openxmlformats.org/officeDocument/2006/relationships/hyperlink" Target="https://twitter.com/CaptMarkKelly/status/1319417268351057921" TargetMode="External"/><Relationship Id="rId34" Type="http://schemas.openxmlformats.org/officeDocument/2006/relationships/hyperlink" Target="https://twitter.com/CaptMarkKelly/status/1322586783054327809" TargetMode="External"/><Relationship Id="rId55" Type="http://schemas.openxmlformats.org/officeDocument/2006/relationships/hyperlink" Target="https://twitter.com/CaptMarkKelly/status/1321863980046934016" TargetMode="External"/><Relationship Id="rId76" Type="http://schemas.openxmlformats.org/officeDocument/2006/relationships/hyperlink" Target="https://twitter.com/CaptMarkKelly/status/1321107621114302465" TargetMode="External"/><Relationship Id="rId97" Type="http://schemas.openxmlformats.org/officeDocument/2006/relationships/hyperlink" Target="https://twitter.com/CaptMarkKelly/status/1320130048381251584" TargetMode="External"/><Relationship Id="rId120" Type="http://schemas.openxmlformats.org/officeDocument/2006/relationships/hyperlink" Target="https://twitter.com/CaptMarkKelly/status/1319046684769304577" TargetMode="External"/><Relationship Id="rId141" Type="http://schemas.openxmlformats.org/officeDocument/2006/relationships/hyperlink" Target="https://twitter.com/CaptMarkKelly/status/1317661981290102784" TargetMode="External"/><Relationship Id="rId7" Type="http://schemas.openxmlformats.org/officeDocument/2006/relationships/hyperlink" Target="https://twitter.com/CaptMarkKelly/status/1323610963619139585" TargetMode="External"/><Relationship Id="rId162" Type="http://schemas.openxmlformats.org/officeDocument/2006/relationships/hyperlink" Target="https://twitter.com/CaptMarkKelly/status/1316001447847161856" TargetMode="External"/><Relationship Id="rId183" Type="http://schemas.openxmlformats.org/officeDocument/2006/relationships/hyperlink" Target="https://twitter.com/CaptMarkKelly/status/1314602481997893632" TargetMode="External"/><Relationship Id="rId218" Type="http://schemas.openxmlformats.org/officeDocument/2006/relationships/hyperlink" Target="https://twitter.com/CaptMarkKelly/status/1313548490933374976" TargetMode="External"/><Relationship Id="rId24" Type="http://schemas.openxmlformats.org/officeDocument/2006/relationships/hyperlink" Target="https://twitter.com/CaptMarkKelly/status/1322937332866035713" TargetMode="External"/><Relationship Id="rId45" Type="http://schemas.openxmlformats.org/officeDocument/2006/relationships/hyperlink" Target="https://twitter.com/CaptMarkKelly/status/1322206862347915265" TargetMode="External"/><Relationship Id="rId66" Type="http://schemas.openxmlformats.org/officeDocument/2006/relationships/hyperlink" Target="https://twitter.com/CaptMarkKelly/status/1321503043230208000" TargetMode="External"/><Relationship Id="rId87" Type="http://schemas.openxmlformats.org/officeDocument/2006/relationships/hyperlink" Target="https://twitter.com/CaptMarkKelly/status/1320760101074923521" TargetMode="External"/><Relationship Id="rId110" Type="http://schemas.openxmlformats.org/officeDocument/2006/relationships/hyperlink" Target="https://twitter.com/CaptMarkKelly/status/1319415808217341953" TargetMode="External"/><Relationship Id="rId131" Type="http://schemas.openxmlformats.org/officeDocument/2006/relationships/hyperlink" Target="https://twitter.com/CaptMarkKelly/status/1318330071308906496" TargetMode="External"/><Relationship Id="rId152" Type="http://schemas.openxmlformats.org/officeDocument/2006/relationships/hyperlink" Target="https://twitter.com/CaptMarkKelly/status/1316881922979586050" TargetMode="External"/><Relationship Id="rId173" Type="http://schemas.openxmlformats.org/officeDocument/2006/relationships/hyperlink" Target="https://twitter.com/CaptMarkKelly/status/1315435921966280704" TargetMode="External"/><Relationship Id="rId194" Type="http://schemas.openxmlformats.org/officeDocument/2006/relationships/hyperlink" Target="https://twitter.com/CaptMarkKelly/status/1313692927697321984" TargetMode="External"/><Relationship Id="rId208" Type="http://schemas.openxmlformats.org/officeDocument/2006/relationships/hyperlink" Target="https://twitter.com/CaptMarkKelly/status/1313668402838265857" TargetMode="External"/><Relationship Id="rId229" Type="http://schemas.openxmlformats.org/officeDocument/2006/relationships/hyperlink" Target="https://twitter.com/CaptMarkKelly/status/1312496515001143297" TargetMode="External"/><Relationship Id="rId14" Type="http://schemas.openxmlformats.org/officeDocument/2006/relationships/hyperlink" Target="https://twitter.com/CaptMarkKelly/status/1323363413242769408" TargetMode="External"/><Relationship Id="rId35" Type="http://schemas.openxmlformats.org/officeDocument/2006/relationships/hyperlink" Target="https://twitter.com/CaptMarkKelly/status/1322546681561272321" TargetMode="External"/><Relationship Id="rId56" Type="http://schemas.openxmlformats.org/officeDocument/2006/relationships/hyperlink" Target="https://twitter.com/CaptMarkKelly/status/1321847811701313537" TargetMode="External"/><Relationship Id="rId77" Type="http://schemas.openxmlformats.org/officeDocument/2006/relationships/hyperlink" Target="https://twitter.com/CaptMarkKelly/status/1321099339255607296" TargetMode="External"/><Relationship Id="rId100" Type="http://schemas.openxmlformats.org/officeDocument/2006/relationships/hyperlink" Target="https://twitter.com/CaptMarkKelly/status/1319782284325605376" TargetMode="External"/><Relationship Id="rId8" Type="http://schemas.openxmlformats.org/officeDocument/2006/relationships/hyperlink" Target="https://twitter.com/CaptMarkKelly/status/1323596830127529984" TargetMode="External"/><Relationship Id="rId98" Type="http://schemas.openxmlformats.org/officeDocument/2006/relationships/hyperlink" Target="https://twitter.com/CaptMarkKelly/status/1320054709739163648" TargetMode="External"/><Relationship Id="rId121" Type="http://schemas.openxmlformats.org/officeDocument/2006/relationships/hyperlink" Target="https://twitter.com/CaptMarkKelly/status/1318997461591937029" TargetMode="External"/><Relationship Id="rId142" Type="http://schemas.openxmlformats.org/officeDocument/2006/relationships/hyperlink" Target="https://twitter.com/CaptMarkKelly/status/1317634359751397376" TargetMode="External"/><Relationship Id="rId163" Type="http://schemas.openxmlformats.org/officeDocument/2006/relationships/hyperlink" Target="https://twitter.com/CaptMarkKelly/status/1315822598526181376" TargetMode="External"/><Relationship Id="rId184" Type="http://schemas.openxmlformats.org/officeDocument/2006/relationships/hyperlink" Target="https://twitter.com/CaptMarkKelly/status/1314385712934862848" TargetMode="External"/><Relationship Id="rId219" Type="http://schemas.openxmlformats.org/officeDocument/2006/relationships/hyperlink" Target="https://twitter.com/CaptMarkKelly/status/1313524284711550976" TargetMode="External"/><Relationship Id="rId230" Type="http://schemas.openxmlformats.org/officeDocument/2006/relationships/hyperlink" Target="https://twitter.com/CaptMarkKelly/status/1312444797345382400" TargetMode="External"/><Relationship Id="rId25" Type="http://schemas.openxmlformats.org/officeDocument/2006/relationships/hyperlink" Target="https://twitter.com/CaptMarkKelly/status/1322921428841238529" TargetMode="External"/><Relationship Id="rId46" Type="http://schemas.openxmlformats.org/officeDocument/2006/relationships/hyperlink" Target="https://twitter.com/CaptMarkKelly/status/1322034848354062336" TargetMode="External"/><Relationship Id="rId67" Type="http://schemas.openxmlformats.org/officeDocument/2006/relationships/hyperlink" Target="https://twitter.com/CaptMarkKelly/status/1321472229826162690" TargetMode="External"/><Relationship Id="rId20" Type="http://schemas.openxmlformats.org/officeDocument/2006/relationships/hyperlink" Target="https://twitter.com/CaptMarkKelly/status/1323038077749653504" TargetMode="External"/><Relationship Id="rId41" Type="http://schemas.openxmlformats.org/officeDocument/2006/relationships/hyperlink" Target="https://twitter.com/CaptMarkKelly/status/1322297445473083392" TargetMode="External"/><Relationship Id="rId62" Type="http://schemas.openxmlformats.org/officeDocument/2006/relationships/hyperlink" Target="https://twitter.com/CaptMarkKelly/status/1321576727999512576" TargetMode="External"/><Relationship Id="rId83" Type="http://schemas.openxmlformats.org/officeDocument/2006/relationships/hyperlink" Target="https://twitter.com/CaptMarkKelly/status/1320845077661380608" TargetMode="External"/><Relationship Id="rId88" Type="http://schemas.openxmlformats.org/officeDocument/2006/relationships/hyperlink" Target="https://twitter.com/CaptMarkKelly/status/1320569202223136768" TargetMode="External"/><Relationship Id="rId111" Type="http://schemas.openxmlformats.org/officeDocument/2006/relationships/hyperlink" Target="https://twitter.com/CaptMarkKelly/status/1319415384106172416" TargetMode="External"/><Relationship Id="rId132" Type="http://schemas.openxmlformats.org/officeDocument/2006/relationships/hyperlink" Target="https://twitter.com/CaptMarkKelly/status/1318273016724246528" TargetMode="External"/><Relationship Id="rId153" Type="http://schemas.openxmlformats.org/officeDocument/2006/relationships/hyperlink" Target="https://twitter.com/CaptMarkKelly/status/1316802045395963905" TargetMode="External"/><Relationship Id="rId174" Type="http://schemas.openxmlformats.org/officeDocument/2006/relationships/hyperlink" Target="https://twitter.com/CaptMarkKelly/status/1315323374495817729" TargetMode="External"/><Relationship Id="rId179" Type="http://schemas.openxmlformats.org/officeDocument/2006/relationships/hyperlink" Target="https://twitter.com/CaptMarkKelly/status/1315007395429457920" TargetMode="External"/><Relationship Id="rId195" Type="http://schemas.openxmlformats.org/officeDocument/2006/relationships/hyperlink" Target="https://twitter.com/CaptMarkKelly/status/1313688991804383232" TargetMode="External"/><Relationship Id="rId209" Type="http://schemas.openxmlformats.org/officeDocument/2006/relationships/hyperlink" Target="https://twitter.com/CaptMarkKelly/status/1313667906216042497" TargetMode="External"/><Relationship Id="rId190" Type="http://schemas.openxmlformats.org/officeDocument/2006/relationships/hyperlink" Target="https://twitter.com/CaptMarkKelly/status/1313906509084946432" TargetMode="External"/><Relationship Id="rId204" Type="http://schemas.openxmlformats.org/officeDocument/2006/relationships/hyperlink" Target="https://twitter.com/CaptMarkKelly/status/1313671682503008256" TargetMode="External"/><Relationship Id="rId220" Type="http://schemas.openxmlformats.org/officeDocument/2006/relationships/hyperlink" Target="https://twitter.com/CaptMarkKelly/status/1313283286064529408" TargetMode="External"/><Relationship Id="rId225" Type="http://schemas.openxmlformats.org/officeDocument/2006/relationships/hyperlink" Target="https://twitter.com/CaptMarkKelly/status/1312878162561261568" TargetMode="External"/><Relationship Id="rId15" Type="http://schemas.openxmlformats.org/officeDocument/2006/relationships/hyperlink" Target="https://twitter.com/CaptMarkKelly/status/1323347581775220737" TargetMode="External"/><Relationship Id="rId36" Type="http://schemas.openxmlformats.org/officeDocument/2006/relationships/hyperlink" Target="https://twitter.com/CaptMarkKelly/status/1322374607895097344" TargetMode="External"/><Relationship Id="rId57" Type="http://schemas.openxmlformats.org/officeDocument/2006/relationships/hyperlink" Target="https://twitter.com/CaptMarkKelly/status/1321806719593295873" TargetMode="External"/><Relationship Id="rId106" Type="http://schemas.openxmlformats.org/officeDocument/2006/relationships/hyperlink" Target="https://twitter.com/CaptMarkKelly/status/1319656594351816704" TargetMode="External"/><Relationship Id="rId127" Type="http://schemas.openxmlformats.org/officeDocument/2006/relationships/hyperlink" Target="https://twitter.com/CaptMarkKelly/status/1318561980282773506" TargetMode="External"/><Relationship Id="rId10" Type="http://schemas.openxmlformats.org/officeDocument/2006/relationships/hyperlink" Target="https://twitter.com/CaptMarkKelly/status/1323446420540588032" TargetMode="External"/><Relationship Id="rId31" Type="http://schemas.openxmlformats.org/officeDocument/2006/relationships/hyperlink" Target="https://twitter.com/CaptMarkKelly/status/1322648634597404673" TargetMode="External"/><Relationship Id="rId52" Type="http://schemas.openxmlformats.org/officeDocument/2006/relationships/hyperlink" Target="https://twitter.com/CaptMarkKelly/status/1321928121755398144" TargetMode="External"/><Relationship Id="rId73" Type="http://schemas.openxmlformats.org/officeDocument/2006/relationships/hyperlink" Target="https://twitter.com/CaptMarkKelly/status/1321153025050693632" TargetMode="External"/><Relationship Id="rId78" Type="http://schemas.openxmlformats.org/officeDocument/2006/relationships/hyperlink" Target="https://twitter.com/CaptMarkKelly/status/1320925704582656000" TargetMode="External"/><Relationship Id="rId94" Type="http://schemas.openxmlformats.org/officeDocument/2006/relationships/hyperlink" Target="https://twitter.com/CaptMarkKelly/status/1320169374628548608" TargetMode="External"/><Relationship Id="rId99" Type="http://schemas.openxmlformats.org/officeDocument/2006/relationships/hyperlink" Target="https://twitter.com/CaptMarkKelly/status/1320026321024552960" TargetMode="External"/><Relationship Id="rId101" Type="http://schemas.openxmlformats.org/officeDocument/2006/relationships/hyperlink" Target="https://twitter.com/CaptMarkKelly/status/1319762297477238785" TargetMode="External"/><Relationship Id="rId122" Type="http://schemas.openxmlformats.org/officeDocument/2006/relationships/hyperlink" Target="https://twitter.com/CaptMarkKelly/status/1318955067253297155" TargetMode="External"/><Relationship Id="rId143" Type="http://schemas.openxmlformats.org/officeDocument/2006/relationships/hyperlink" Target="https://twitter.com/CaptMarkKelly/status/1317604061454061568" TargetMode="External"/><Relationship Id="rId148" Type="http://schemas.openxmlformats.org/officeDocument/2006/relationships/hyperlink" Target="https://twitter.com/CaptMarkKelly/status/1317180581512237057" TargetMode="External"/><Relationship Id="rId164" Type="http://schemas.openxmlformats.org/officeDocument/2006/relationships/hyperlink" Target="https://twitter.com/CaptMarkKelly/status/1315790420912218112" TargetMode="External"/><Relationship Id="rId169" Type="http://schemas.openxmlformats.org/officeDocument/2006/relationships/hyperlink" Target="https://twitter.com/CaptMarkKelly/status/1315688186350243840" TargetMode="External"/><Relationship Id="rId185" Type="http://schemas.openxmlformats.org/officeDocument/2006/relationships/hyperlink" Target="https://twitter.com/CaptMarkKelly/status/1314303299806355456" TargetMode="External"/><Relationship Id="rId4" Type="http://schemas.openxmlformats.org/officeDocument/2006/relationships/hyperlink" Target="https://twitter.com/CaptMarkKelly/status/1323702349357985792" TargetMode="External"/><Relationship Id="rId9" Type="http://schemas.openxmlformats.org/officeDocument/2006/relationships/hyperlink" Target="https://twitter.com/CaptMarkKelly/status/1323462678547816448" TargetMode="External"/><Relationship Id="rId180" Type="http://schemas.openxmlformats.org/officeDocument/2006/relationships/hyperlink" Target="https://twitter.com/CaptMarkKelly/status/1314957361744928768" TargetMode="External"/><Relationship Id="rId210" Type="http://schemas.openxmlformats.org/officeDocument/2006/relationships/hyperlink" Target="https://twitter.com/CaptMarkKelly/status/1313667491344728064" TargetMode="External"/><Relationship Id="rId215" Type="http://schemas.openxmlformats.org/officeDocument/2006/relationships/hyperlink" Target="https://twitter.com/CaptMarkKelly/status/1313632438988533760" TargetMode="External"/><Relationship Id="rId26" Type="http://schemas.openxmlformats.org/officeDocument/2006/relationships/hyperlink" Target="https://twitter.com/CaptMarkKelly/status/1322905658644033537" TargetMode="External"/><Relationship Id="rId231" Type="http://schemas.openxmlformats.org/officeDocument/2006/relationships/hyperlink" Target="https://twitter.com/CaptMarkKelly/status/1312392110478446598" TargetMode="External"/><Relationship Id="rId47" Type="http://schemas.openxmlformats.org/officeDocument/2006/relationships/hyperlink" Target="https://twitter.com/CaptMarkKelly/status/1322016690431877120" TargetMode="External"/><Relationship Id="rId68" Type="http://schemas.openxmlformats.org/officeDocument/2006/relationships/hyperlink" Target="https://twitter.com/CaptMarkKelly/status/1321271859388637184" TargetMode="External"/><Relationship Id="rId89" Type="http://schemas.openxmlformats.org/officeDocument/2006/relationships/hyperlink" Target="https://twitter.com/CaptMarkKelly/status/1320544041763745792" TargetMode="External"/><Relationship Id="rId112" Type="http://schemas.openxmlformats.org/officeDocument/2006/relationships/hyperlink" Target="https://twitter.com/CaptMarkKelly/status/1319415208176021505" TargetMode="External"/><Relationship Id="rId133" Type="http://schemas.openxmlformats.org/officeDocument/2006/relationships/hyperlink" Target="https://twitter.com/CaptMarkKelly/status/1318214391414902786" TargetMode="External"/><Relationship Id="rId154" Type="http://schemas.openxmlformats.org/officeDocument/2006/relationships/hyperlink" Target="https://twitter.com/CaptMarkKelly/status/1316560585249546240" TargetMode="External"/><Relationship Id="rId175" Type="http://schemas.openxmlformats.org/officeDocument/2006/relationships/hyperlink" Target="https://twitter.com/CaptMarkKelly/status/1315117860352524288" TargetMode="External"/><Relationship Id="rId196" Type="http://schemas.openxmlformats.org/officeDocument/2006/relationships/hyperlink" Target="https://twitter.com/CaptMarkKelly/status/1313686688992911364" TargetMode="External"/><Relationship Id="rId200" Type="http://schemas.openxmlformats.org/officeDocument/2006/relationships/hyperlink" Target="https://twitter.com/CaptMarkKelly/status/1313678742175256579" TargetMode="External"/><Relationship Id="rId16" Type="http://schemas.openxmlformats.org/officeDocument/2006/relationships/hyperlink" Target="https://twitter.com/CaptMarkKelly/status/1323315482825383936" TargetMode="External"/><Relationship Id="rId221" Type="http://schemas.openxmlformats.org/officeDocument/2006/relationships/hyperlink" Target="https://twitter.com/CaptMarkKelly/status/1313201729677086720" TargetMode="External"/><Relationship Id="rId37" Type="http://schemas.openxmlformats.org/officeDocument/2006/relationships/hyperlink" Target="https://twitter.com/CaptMarkKelly/status/1322361642022154246" TargetMode="External"/><Relationship Id="rId58" Type="http://schemas.openxmlformats.org/officeDocument/2006/relationships/hyperlink" Target="https://twitter.com/CaptMarkKelly/status/1321655434302816256" TargetMode="External"/><Relationship Id="rId79" Type="http://schemas.openxmlformats.org/officeDocument/2006/relationships/hyperlink" Target="https://twitter.com/CaptMarkKelly/status/1320909081016594432" TargetMode="External"/><Relationship Id="rId102" Type="http://schemas.openxmlformats.org/officeDocument/2006/relationships/hyperlink" Target="https://twitter.com/CaptMarkKelly/status/1319747563424157696" TargetMode="External"/><Relationship Id="rId123" Type="http://schemas.openxmlformats.org/officeDocument/2006/relationships/hyperlink" Target="https://twitter.com/CaptMarkKelly/status/1318937522425266177" TargetMode="External"/><Relationship Id="rId144" Type="http://schemas.openxmlformats.org/officeDocument/2006/relationships/hyperlink" Target="https://twitter.com/CaptMarkKelly/status/1317573509703323648" TargetMode="External"/><Relationship Id="rId90" Type="http://schemas.openxmlformats.org/officeDocument/2006/relationships/hyperlink" Target="https://twitter.com/CaptMarkKelly/status/1320514556142194692" TargetMode="External"/><Relationship Id="rId165" Type="http://schemas.openxmlformats.org/officeDocument/2006/relationships/hyperlink" Target="https://twitter.com/CaptMarkKelly/status/1315777750330871809" TargetMode="External"/><Relationship Id="rId186" Type="http://schemas.openxmlformats.org/officeDocument/2006/relationships/hyperlink" Target="https://twitter.com/CaptMarkKelly/status/1314251154872827904" TargetMode="External"/><Relationship Id="rId211" Type="http://schemas.openxmlformats.org/officeDocument/2006/relationships/hyperlink" Target="https://twitter.com/CaptMarkKelly/status/1313665819143016454" TargetMode="External"/><Relationship Id="rId232" Type="http://schemas.openxmlformats.org/officeDocument/2006/relationships/hyperlink" Target="https://twitter.com/CaptMarkKelly/status/1312180586824429568" TargetMode="External"/><Relationship Id="rId27" Type="http://schemas.openxmlformats.org/officeDocument/2006/relationships/hyperlink" Target="https://twitter.com/CaptMarkKelly/status/1322726412327907328" TargetMode="External"/><Relationship Id="rId48" Type="http://schemas.openxmlformats.org/officeDocument/2006/relationships/hyperlink" Target="https://twitter.com/CaptMarkKelly/status/1321998380994752513" TargetMode="External"/><Relationship Id="rId69" Type="http://schemas.openxmlformats.org/officeDocument/2006/relationships/hyperlink" Target="https://twitter.com/CaptMarkKelly/status/1321235734234189824" TargetMode="External"/><Relationship Id="rId113" Type="http://schemas.openxmlformats.org/officeDocument/2006/relationships/hyperlink" Target="https://twitter.com/CaptMarkKelly/status/1319378009468514304" TargetMode="External"/><Relationship Id="rId134" Type="http://schemas.openxmlformats.org/officeDocument/2006/relationships/hyperlink" Target="https://twitter.com/CaptMarkKelly/status/1318024397161025537" TargetMode="External"/><Relationship Id="rId80" Type="http://schemas.openxmlformats.org/officeDocument/2006/relationships/hyperlink" Target="https://twitter.com/CaptMarkKelly/status/1320893931756810242" TargetMode="External"/><Relationship Id="rId155" Type="http://schemas.openxmlformats.org/officeDocument/2006/relationships/hyperlink" Target="https://twitter.com/CaptMarkKelly/status/1316514971400855552" TargetMode="External"/><Relationship Id="rId176" Type="http://schemas.openxmlformats.org/officeDocument/2006/relationships/hyperlink" Target="https://twitter.com/CaptMarkKelly/status/1315083075353669632" TargetMode="External"/><Relationship Id="rId197" Type="http://schemas.openxmlformats.org/officeDocument/2006/relationships/hyperlink" Target="https://twitter.com/CaptMarkKelly/status/1313683222916669440" TargetMode="External"/><Relationship Id="rId201" Type="http://schemas.openxmlformats.org/officeDocument/2006/relationships/hyperlink" Target="https://twitter.com/CaptMarkKelly/status/1313677378950852608" TargetMode="External"/><Relationship Id="rId222" Type="http://schemas.openxmlformats.org/officeDocument/2006/relationships/hyperlink" Target="https://twitter.com/CaptMarkKelly/status/1313170700513861634" TargetMode="External"/><Relationship Id="rId17" Type="http://schemas.openxmlformats.org/officeDocument/2006/relationships/hyperlink" Target="https://twitter.com/CaptMarkKelly/status/1323299964248678400" TargetMode="External"/><Relationship Id="rId38" Type="http://schemas.openxmlformats.org/officeDocument/2006/relationships/hyperlink" Target="https://twitter.com/CaptMarkKelly/status/1322350132575133701" TargetMode="External"/><Relationship Id="rId59" Type="http://schemas.openxmlformats.org/officeDocument/2006/relationships/hyperlink" Target="https://twitter.com/CaptMarkKelly/status/1321641361699860483" TargetMode="External"/><Relationship Id="rId103" Type="http://schemas.openxmlformats.org/officeDocument/2006/relationships/hyperlink" Target="https://twitter.com/CaptMarkKelly/status/1319736198563307520" TargetMode="External"/><Relationship Id="rId124" Type="http://schemas.openxmlformats.org/officeDocument/2006/relationships/hyperlink" Target="https://twitter.com/CaptMarkKelly/status/1318738097698336769" TargetMode="External"/><Relationship Id="rId70" Type="http://schemas.openxmlformats.org/officeDocument/2006/relationships/hyperlink" Target="https://twitter.com/CaptMarkKelly/status/1321203052431302656" TargetMode="External"/><Relationship Id="rId91" Type="http://schemas.openxmlformats.org/officeDocument/2006/relationships/hyperlink" Target="https://twitter.com/CaptMarkKelly/status/1320457506678820865" TargetMode="External"/><Relationship Id="rId145" Type="http://schemas.openxmlformats.org/officeDocument/2006/relationships/hyperlink" Target="https://twitter.com/CaptMarkKelly/status/1317498532580962310" TargetMode="External"/><Relationship Id="rId166" Type="http://schemas.openxmlformats.org/officeDocument/2006/relationships/hyperlink" Target="https://twitter.com/CaptMarkKelly/status/1315734904164937728" TargetMode="External"/><Relationship Id="rId187" Type="http://schemas.openxmlformats.org/officeDocument/2006/relationships/hyperlink" Target="https://twitter.com/CaptMarkKelly/status/1313993918254518273" TargetMode="External"/><Relationship Id="rId1" Type="http://schemas.openxmlformats.org/officeDocument/2006/relationships/hyperlink" Target="https://twitter.com/CaptMarkKelly/status/1323763425420275713" TargetMode="External"/><Relationship Id="rId212" Type="http://schemas.openxmlformats.org/officeDocument/2006/relationships/hyperlink" Target="https://twitter.com/CaptMarkKelly/status/1313664065152061441" TargetMode="External"/><Relationship Id="rId233" Type="http://schemas.openxmlformats.org/officeDocument/2006/relationships/table" Target="../tables/table2.xml"/><Relationship Id="rId28" Type="http://schemas.openxmlformats.org/officeDocument/2006/relationships/hyperlink" Target="https://twitter.com/CaptMarkKelly/status/1322710416330432512" TargetMode="External"/><Relationship Id="rId49" Type="http://schemas.openxmlformats.org/officeDocument/2006/relationships/hyperlink" Target="https://twitter.com/CaptMarkKelly/status/1321984222781825030" TargetMode="External"/><Relationship Id="rId114" Type="http://schemas.openxmlformats.org/officeDocument/2006/relationships/hyperlink" Target="https://twitter.com/CaptMarkKelly/status/1319362848456232960" TargetMode="External"/><Relationship Id="rId60" Type="http://schemas.openxmlformats.org/officeDocument/2006/relationships/hyperlink" Target="https://twitter.com/CaptMarkKelly/status/1321631564850098182" TargetMode="External"/><Relationship Id="rId81" Type="http://schemas.openxmlformats.org/officeDocument/2006/relationships/hyperlink" Target="https://twitter.com/CaptMarkKelly/status/1320876324919992320" TargetMode="External"/><Relationship Id="rId135" Type="http://schemas.openxmlformats.org/officeDocument/2006/relationships/hyperlink" Target="https://twitter.com/CaptMarkKelly/status/1318009241790271489" TargetMode="External"/><Relationship Id="rId156" Type="http://schemas.openxmlformats.org/officeDocument/2006/relationships/hyperlink" Target="https://twitter.com/CaptMarkKelly/status/1316485096145186816" TargetMode="External"/><Relationship Id="rId177" Type="http://schemas.openxmlformats.org/officeDocument/2006/relationships/hyperlink" Target="https://twitter.com/CaptMarkKelly/status/1315060999293075457" TargetMode="External"/><Relationship Id="rId198" Type="http://schemas.openxmlformats.org/officeDocument/2006/relationships/hyperlink" Target="https://twitter.com/CaptMarkKelly/status/1313681734626684930" TargetMode="External"/><Relationship Id="rId202" Type="http://schemas.openxmlformats.org/officeDocument/2006/relationships/hyperlink" Target="https://twitter.com/CaptMarkKelly/status/1313675299461173253" TargetMode="External"/><Relationship Id="rId223" Type="http://schemas.openxmlformats.org/officeDocument/2006/relationships/hyperlink" Target="https://twitter.com/CaptMarkKelly/status/1313147462413160453" TargetMode="External"/><Relationship Id="rId18" Type="http://schemas.openxmlformats.org/officeDocument/2006/relationships/hyperlink" Target="https://twitter.com/CaptMarkKelly/status/1323277421869608964" TargetMode="External"/><Relationship Id="rId39" Type="http://schemas.openxmlformats.org/officeDocument/2006/relationships/hyperlink" Target="https://twitter.com/CaptMarkKelly/status/1322330375004119040" TargetMode="External"/><Relationship Id="rId50" Type="http://schemas.openxmlformats.org/officeDocument/2006/relationships/hyperlink" Target="https://twitter.com/CaptMarkKelly/status/1321976620282904579" TargetMode="External"/><Relationship Id="rId104" Type="http://schemas.openxmlformats.org/officeDocument/2006/relationships/hyperlink" Target="https://twitter.com/CaptMarkKelly/status/1319705314925694976" TargetMode="External"/><Relationship Id="rId125" Type="http://schemas.openxmlformats.org/officeDocument/2006/relationships/hyperlink" Target="https://twitter.com/CaptMarkKelly/status/1318698662319386625" TargetMode="External"/><Relationship Id="rId146" Type="http://schemas.openxmlformats.org/officeDocument/2006/relationships/hyperlink" Target="https://twitter.com/CaptMarkKelly/status/1317241449671393280" TargetMode="External"/><Relationship Id="rId167" Type="http://schemas.openxmlformats.org/officeDocument/2006/relationships/hyperlink" Target="https://twitter.com/CaptMarkKelly/status/1315734903388946433" TargetMode="External"/><Relationship Id="rId188" Type="http://schemas.openxmlformats.org/officeDocument/2006/relationships/hyperlink" Target="https://twitter.com/CaptMarkKelly/status/1313968621857587200" TargetMode="External"/><Relationship Id="rId71" Type="http://schemas.openxmlformats.org/officeDocument/2006/relationships/hyperlink" Target="https://twitter.com/CaptMarkKelly/status/1321187926831607809" TargetMode="External"/><Relationship Id="rId92" Type="http://schemas.openxmlformats.org/officeDocument/2006/relationships/hyperlink" Target="https://twitter.com/CaptMarkKelly/status/1320426456514764801" TargetMode="External"/><Relationship Id="rId213" Type="http://schemas.openxmlformats.org/officeDocument/2006/relationships/hyperlink" Target="https://twitter.com/CaptMarkKelly/status/1313662047276597249" TargetMode="External"/><Relationship Id="rId2" Type="http://schemas.openxmlformats.org/officeDocument/2006/relationships/hyperlink" Target="https://twitter.com/CaptMarkKelly/status/1323747636873109504" TargetMode="External"/><Relationship Id="rId29" Type="http://schemas.openxmlformats.org/officeDocument/2006/relationships/hyperlink" Target="https://twitter.com/CaptMarkKelly/status/1322682359892750336" TargetMode="External"/><Relationship Id="rId40" Type="http://schemas.openxmlformats.org/officeDocument/2006/relationships/hyperlink" Target="https://twitter.com/CaptMarkKelly/status/1322315533639798784" TargetMode="External"/><Relationship Id="rId115" Type="http://schemas.openxmlformats.org/officeDocument/2006/relationships/hyperlink" Target="https://twitter.com/CaptMarkKelly/status/1319341235459457026" TargetMode="External"/><Relationship Id="rId136" Type="http://schemas.openxmlformats.org/officeDocument/2006/relationships/hyperlink" Target="https://twitter.com/CaptMarkKelly/status/1317995712668422145" TargetMode="External"/><Relationship Id="rId157" Type="http://schemas.openxmlformats.org/officeDocument/2006/relationships/hyperlink" Target="https://twitter.com/CaptMarkKelly/status/1316440010330169360" TargetMode="External"/><Relationship Id="rId178" Type="http://schemas.openxmlformats.org/officeDocument/2006/relationships/hyperlink" Target="https://twitter.com/CaptMarkKelly/status/1315044783518175232" TargetMode="External"/><Relationship Id="rId61" Type="http://schemas.openxmlformats.org/officeDocument/2006/relationships/hyperlink" Target="https://twitter.com/CaptMarkKelly/status/1321601244301991936" TargetMode="External"/><Relationship Id="rId82" Type="http://schemas.openxmlformats.org/officeDocument/2006/relationships/hyperlink" Target="https://twitter.com/CaptMarkKelly/status/1320860435600453632" TargetMode="External"/><Relationship Id="rId199" Type="http://schemas.openxmlformats.org/officeDocument/2006/relationships/hyperlink" Target="https://twitter.com/CaptMarkKelly/status/1313681562567753729" TargetMode="External"/><Relationship Id="rId203" Type="http://schemas.openxmlformats.org/officeDocument/2006/relationships/hyperlink" Target="https://twitter.com/CaptMarkKelly/status/1313673069970567170" TargetMode="External"/><Relationship Id="rId19" Type="http://schemas.openxmlformats.org/officeDocument/2006/relationships/hyperlink" Target="https://twitter.com/CaptMarkKelly/status/1323069370235416577" TargetMode="External"/><Relationship Id="rId224" Type="http://schemas.openxmlformats.org/officeDocument/2006/relationships/hyperlink" Target="https://twitter.com/CaptMarkKelly/status/1312905772355919877" TargetMode="External"/><Relationship Id="rId30" Type="http://schemas.openxmlformats.org/officeDocument/2006/relationships/hyperlink" Target="https://twitter.com/CaptMarkKelly/status/1322664977946210306" TargetMode="External"/><Relationship Id="rId105" Type="http://schemas.openxmlformats.org/officeDocument/2006/relationships/hyperlink" Target="https://twitter.com/CaptMarkKelly/status/1319672211708481538" TargetMode="External"/><Relationship Id="rId126" Type="http://schemas.openxmlformats.org/officeDocument/2006/relationships/hyperlink" Target="https://twitter.com/CaptMarkKelly/status/1318582944202706945" TargetMode="External"/><Relationship Id="rId147" Type="http://schemas.openxmlformats.org/officeDocument/2006/relationships/hyperlink" Target="https://twitter.com/CaptMarkKelly/status/1317215348504981504" TargetMode="External"/><Relationship Id="rId168" Type="http://schemas.openxmlformats.org/officeDocument/2006/relationships/hyperlink" Target="https://twitter.com/CaptMarkKelly/status/1315734902281707520" TargetMode="External"/><Relationship Id="rId51" Type="http://schemas.openxmlformats.org/officeDocument/2006/relationships/hyperlink" Target="https://twitter.com/CaptMarkKelly/status/1321943218699657217" TargetMode="External"/><Relationship Id="rId72" Type="http://schemas.openxmlformats.org/officeDocument/2006/relationships/hyperlink" Target="https://twitter.com/CaptMarkKelly/status/1321169268487016448" TargetMode="External"/><Relationship Id="rId93" Type="http://schemas.openxmlformats.org/officeDocument/2006/relationships/hyperlink" Target="https://twitter.com/CaptMarkKelly/status/1320187164970266624" TargetMode="External"/><Relationship Id="rId189" Type="http://schemas.openxmlformats.org/officeDocument/2006/relationships/hyperlink" Target="https://twitter.com/CaptMarkKelly/status/1313932360803524608" TargetMode="External"/><Relationship Id="rId3" Type="http://schemas.openxmlformats.org/officeDocument/2006/relationships/hyperlink" Target="https://twitter.com/CaptMarkKelly/status/1323717903544299520" TargetMode="External"/><Relationship Id="rId214" Type="http://schemas.openxmlformats.org/officeDocument/2006/relationships/hyperlink" Target="https://twitter.com/CaptMarkKelly/status/1313648855494225921" TargetMode="External"/><Relationship Id="rId116" Type="http://schemas.openxmlformats.org/officeDocument/2006/relationships/hyperlink" Target="https://twitter.com/CaptMarkKelly/status/1319326020898418693" TargetMode="External"/><Relationship Id="rId137" Type="http://schemas.openxmlformats.org/officeDocument/2006/relationships/hyperlink" Target="https://twitter.com/CaptMarkKelly/status/1317964030250713088" TargetMode="External"/><Relationship Id="rId158" Type="http://schemas.openxmlformats.org/officeDocument/2006/relationships/hyperlink" Target="https://twitter.com/CaptMarkKelly/status/1316209976000512000" TargetMode="External"/></Relationships>
</file>

<file path=xl/worksheets/_rels/sheet20.xml.rels><?xml version="1.0" encoding="UTF-8" standalone="yes"?>
<Relationships xmlns="http://schemas.openxmlformats.org/package/2006/relationships"><Relationship Id="rId117" Type="http://schemas.openxmlformats.org/officeDocument/2006/relationships/hyperlink" Target="https://twitter.com/gadeforvirginia/status/1313278982800973825" TargetMode="External"/><Relationship Id="rId21" Type="http://schemas.openxmlformats.org/officeDocument/2006/relationships/hyperlink" Target="https://twitter.com/gadeforvirginia/status/1322556590252269568" TargetMode="External"/><Relationship Id="rId42" Type="http://schemas.openxmlformats.org/officeDocument/2006/relationships/hyperlink" Target="https://twitter.com/gadeforvirginia/status/1320039563855802369" TargetMode="External"/><Relationship Id="rId63" Type="http://schemas.openxmlformats.org/officeDocument/2006/relationships/hyperlink" Target="https://twitter.com/gadeforvirginia/status/1318255568541392896" TargetMode="External"/><Relationship Id="rId84" Type="http://schemas.openxmlformats.org/officeDocument/2006/relationships/hyperlink" Target="https://twitter.com/gadeforvirginia/status/1316744363586785281" TargetMode="External"/><Relationship Id="rId138" Type="http://schemas.openxmlformats.org/officeDocument/2006/relationships/hyperlink" Target="https://twitter.com/gadeforvirginia/status/1312514384380358659" TargetMode="External"/><Relationship Id="rId107" Type="http://schemas.openxmlformats.org/officeDocument/2006/relationships/hyperlink" Target="https://twitter.com/gadeforvirginia/status/1315773956461391872" TargetMode="External"/><Relationship Id="rId11" Type="http://schemas.openxmlformats.org/officeDocument/2006/relationships/hyperlink" Target="https://twitter.com/gadeforvirginia/status/1323423401088819201" TargetMode="External"/><Relationship Id="rId32" Type="http://schemas.openxmlformats.org/officeDocument/2006/relationships/hyperlink" Target="https://twitter.com/gadeforvirginia/status/1321481731237728256" TargetMode="External"/><Relationship Id="rId53" Type="http://schemas.openxmlformats.org/officeDocument/2006/relationships/hyperlink" Target="https://twitter.com/gadeforvirginia/status/1319061434425348100" TargetMode="External"/><Relationship Id="rId74" Type="http://schemas.openxmlformats.org/officeDocument/2006/relationships/hyperlink" Target="https://twitter.com/gadeforvirginia/status/1317487950511353857" TargetMode="External"/><Relationship Id="rId128" Type="http://schemas.openxmlformats.org/officeDocument/2006/relationships/hyperlink" Target="https://twitter.com/gadeforvirginia/status/1312771744986431496" TargetMode="External"/><Relationship Id="rId149" Type="http://schemas.openxmlformats.org/officeDocument/2006/relationships/hyperlink" Target="https://twitter.com/gadeforvirginia/status/1312502451841298432" TargetMode="External"/><Relationship Id="rId5" Type="http://schemas.openxmlformats.org/officeDocument/2006/relationships/hyperlink" Target="https://twitter.com/gadeforvirginia/status/1323631150917627905" TargetMode="External"/><Relationship Id="rId95" Type="http://schemas.openxmlformats.org/officeDocument/2006/relationships/hyperlink" Target="https://twitter.com/gadeforvirginia/status/1316157829934460928" TargetMode="External"/><Relationship Id="rId22" Type="http://schemas.openxmlformats.org/officeDocument/2006/relationships/hyperlink" Target="https://twitter.com/gadeforvirginia/status/1322556588201250817" TargetMode="External"/><Relationship Id="rId27" Type="http://schemas.openxmlformats.org/officeDocument/2006/relationships/hyperlink" Target="https://twitter.com/gadeforvirginia/status/1321932146597076992" TargetMode="External"/><Relationship Id="rId43" Type="http://schemas.openxmlformats.org/officeDocument/2006/relationships/hyperlink" Target="https://twitter.com/gadeforvirginia/status/1319809525457833985" TargetMode="External"/><Relationship Id="rId48" Type="http://schemas.openxmlformats.org/officeDocument/2006/relationships/hyperlink" Target="https://twitter.com/gadeforvirginia/status/1319404574759915521" TargetMode="External"/><Relationship Id="rId64" Type="http://schemas.openxmlformats.org/officeDocument/2006/relationships/hyperlink" Target="https://twitter.com/gadeforvirginia/status/1318230499610009607" TargetMode="External"/><Relationship Id="rId69" Type="http://schemas.openxmlformats.org/officeDocument/2006/relationships/hyperlink" Target="https://twitter.com/gadeforvirginia/status/1317881634440515584" TargetMode="External"/><Relationship Id="rId113" Type="http://schemas.openxmlformats.org/officeDocument/2006/relationships/hyperlink" Target="https://twitter.com/gadeforvirginia/status/1314028814125748224" TargetMode="External"/><Relationship Id="rId118" Type="http://schemas.openxmlformats.org/officeDocument/2006/relationships/hyperlink" Target="https://twitter.com/gadeforvirginia/status/1313264996898537472" TargetMode="External"/><Relationship Id="rId134" Type="http://schemas.openxmlformats.org/officeDocument/2006/relationships/hyperlink" Target="https://twitter.com/gadeforvirginia/status/1312522724909092864" TargetMode="External"/><Relationship Id="rId139" Type="http://schemas.openxmlformats.org/officeDocument/2006/relationships/hyperlink" Target="https://twitter.com/gadeforvirginia/status/1312514005680832512" TargetMode="External"/><Relationship Id="rId80" Type="http://schemas.openxmlformats.org/officeDocument/2006/relationships/hyperlink" Target="https://twitter.com/gadeforvirginia/status/1316886765031067650" TargetMode="External"/><Relationship Id="rId85" Type="http://schemas.openxmlformats.org/officeDocument/2006/relationships/hyperlink" Target="https://twitter.com/gadeforvirginia/status/1316520245692162049" TargetMode="External"/><Relationship Id="rId150" Type="http://schemas.openxmlformats.org/officeDocument/2006/relationships/hyperlink" Target="https://twitter.com/gadeforvirginia/status/1312500594427351041" TargetMode="External"/><Relationship Id="rId155" Type="http://schemas.openxmlformats.org/officeDocument/2006/relationships/table" Target="../tables/table20.xml"/><Relationship Id="rId12" Type="http://schemas.openxmlformats.org/officeDocument/2006/relationships/hyperlink" Target="https://twitter.com/gadeforvirginia/status/1323402793231781888" TargetMode="External"/><Relationship Id="rId17" Type="http://schemas.openxmlformats.org/officeDocument/2006/relationships/hyperlink" Target="https://twitter.com/gadeforvirginia/status/1322982392999665664" TargetMode="External"/><Relationship Id="rId33" Type="http://schemas.openxmlformats.org/officeDocument/2006/relationships/hyperlink" Target="https://twitter.com/gadeforvirginia/status/1321195272312098822" TargetMode="External"/><Relationship Id="rId38" Type="http://schemas.openxmlformats.org/officeDocument/2006/relationships/hyperlink" Target="https://twitter.com/gadeforvirginia/status/1320878117704093699" TargetMode="External"/><Relationship Id="rId59" Type="http://schemas.openxmlformats.org/officeDocument/2006/relationships/hyperlink" Target="https://twitter.com/gadeforvirginia/status/1318610709287153666" TargetMode="External"/><Relationship Id="rId103" Type="http://schemas.openxmlformats.org/officeDocument/2006/relationships/hyperlink" Target="https://twitter.com/gadeforvirginia/status/1316148782564872193" TargetMode="External"/><Relationship Id="rId108" Type="http://schemas.openxmlformats.org/officeDocument/2006/relationships/hyperlink" Target="https://twitter.com/gadeforvirginia/status/1315704436136775681" TargetMode="External"/><Relationship Id="rId124" Type="http://schemas.openxmlformats.org/officeDocument/2006/relationships/hyperlink" Target="https://twitter.com/gadeforvirginia/status/1313194617618214915" TargetMode="External"/><Relationship Id="rId129" Type="http://schemas.openxmlformats.org/officeDocument/2006/relationships/hyperlink" Target="https://twitter.com/gadeforvirginia/status/1312563386572509187" TargetMode="External"/><Relationship Id="rId54" Type="http://schemas.openxmlformats.org/officeDocument/2006/relationships/hyperlink" Target="https://twitter.com/gadeforvirginia/status/1319040267199107072" TargetMode="External"/><Relationship Id="rId70" Type="http://schemas.openxmlformats.org/officeDocument/2006/relationships/hyperlink" Target="https://twitter.com/gadeforvirginia/status/1317881633169616898" TargetMode="External"/><Relationship Id="rId75" Type="http://schemas.openxmlformats.org/officeDocument/2006/relationships/hyperlink" Target="https://twitter.com/gadeforvirginia/status/1317281260172136448" TargetMode="External"/><Relationship Id="rId91" Type="http://schemas.openxmlformats.org/officeDocument/2006/relationships/hyperlink" Target="https://twitter.com/gadeforvirginia/status/1316164712351100928" TargetMode="External"/><Relationship Id="rId96" Type="http://schemas.openxmlformats.org/officeDocument/2006/relationships/hyperlink" Target="https://twitter.com/gadeforvirginia/status/1316156069345976322" TargetMode="External"/><Relationship Id="rId140" Type="http://schemas.openxmlformats.org/officeDocument/2006/relationships/hyperlink" Target="https://twitter.com/gadeforvirginia/status/1312512779715108864" TargetMode="External"/><Relationship Id="rId145" Type="http://schemas.openxmlformats.org/officeDocument/2006/relationships/hyperlink" Target="https://twitter.com/gadeforvirginia/status/1312505203665428481" TargetMode="External"/><Relationship Id="rId1" Type="http://schemas.openxmlformats.org/officeDocument/2006/relationships/hyperlink" Target="https://twitter.com/gadeforvirginia/status/1323764291854618630" TargetMode="External"/><Relationship Id="rId6" Type="http://schemas.openxmlformats.org/officeDocument/2006/relationships/hyperlink" Target="https://twitter.com/gadeforvirginia/status/1323600507060035586" TargetMode="External"/><Relationship Id="rId23" Type="http://schemas.openxmlformats.org/officeDocument/2006/relationships/hyperlink" Target="https://twitter.com/gadeforvirginia/status/1322224027520421890" TargetMode="External"/><Relationship Id="rId28" Type="http://schemas.openxmlformats.org/officeDocument/2006/relationships/hyperlink" Target="https://twitter.com/gadeforvirginia/status/1321885078834892803" TargetMode="External"/><Relationship Id="rId49" Type="http://schemas.openxmlformats.org/officeDocument/2006/relationships/hyperlink" Target="https://twitter.com/gadeforvirginia/status/1319321533081419781" TargetMode="External"/><Relationship Id="rId114" Type="http://schemas.openxmlformats.org/officeDocument/2006/relationships/hyperlink" Target="https://twitter.com/gadeforvirginia/status/1313600205061840896" TargetMode="External"/><Relationship Id="rId119" Type="http://schemas.openxmlformats.org/officeDocument/2006/relationships/hyperlink" Target="https://twitter.com/gadeforvirginia/status/1313260568116178946" TargetMode="External"/><Relationship Id="rId44" Type="http://schemas.openxmlformats.org/officeDocument/2006/relationships/hyperlink" Target="https://twitter.com/gadeforvirginia/status/1319779806729424897" TargetMode="External"/><Relationship Id="rId60" Type="http://schemas.openxmlformats.org/officeDocument/2006/relationships/hyperlink" Target="https://twitter.com/gadeforvirginia/status/1318592562270248960" TargetMode="External"/><Relationship Id="rId65" Type="http://schemas.openxmlformats.org/officeDocument/2006/relationships/hyperlink" Target="https://twitter.com/gadeforvirginia/status/1318222865905471493" TargetMode="External"/><Relationship Id="rId81" Type="http://schemas.openxmlformats.org/officeDocument/2006/relationships/hyperlink" Target="https://twitter.com/gadeforvirginia/status/1316886764070555648" TargetMode="External"/><Relationship Id="rId86" Type="http://schemas.openxmlformats.org/officeDocument/2006/relationships/hyperlink" Target="https://twitter.com/gadeforvirginia/status/1316444032567062530" TargetMode="External"/><Relationship Id="rId130" Type="http://schemas.openxmlformats.org/officeDocument/2006/relationships/hyperlink" Target="https://twitter.com/gadeforvirginia/status/1312541018500333568" TargetMode="External"/><Relationship Id="rId135" Type="http://schemas.openxmlformats.org/officeDocument/2006/relationships/hyperlink" Target="https://twitter.com/gadeforvirginia/status/1312522333463015424" TargetMode="External"/><Relationship Id="rId151" Type="http://schemas.openxmlformats.org/officeDocument/2006/relationships/hyperlink" Target="https://twitter.com/gadeforvirginia/status/1312497877499822080" TargetMode="External"/><Relationship Id="rId13" Type="http://schemas.openxmlformats.org/officeDocument/2006/relationships/hyperlink" Target="https://twitter.com/gadeforvirginia/status/1323278786616528896" TargetMode="External"/><Relationship Id="rId18" Type="http://schemas.openxmlformats.org/officeDocument/2006/relationships/hyperlink" Target="https://twitter.com/gadeforvirginia/status/1322975655533969410" TargetMode="External"/><Relationship Id="rId39" Type="http://schemas.openxmlformats.org/officeDocument/2006/relationships/hyperlink" Target="https://twitter.com/gadeforvirginia/status/1320878116223463424" TargetMode="External"/><Relationship Id="rId109" Type="http://schemas.openxmlformats.org/officeDocument/2006/relationships/hyperlink" Target="https://twitter.com/gadeforvirginia/status/1315385579673182210" TargetMode="External"/><Relationship Id="rId34" Type="http://schemas.openxmlformats.org/officeDocument/2006/relationships/hyperlink" Target="https://twitter.com/gadeforvirginia/status/1321147540985831424" TargetMode="External"/><Relationship Id="rId50" Type="http://schemas.openxmlformats.org/officeDocument/2006/relationships/hyperlink" Target="https://twitter.com/gadeforvirginia/status/1319272776046235655" TargetMode="External"/><Relationship Id="rId55" Type="http://schemas.openxmlformats.org/officeDocument/2006/relationships/hyperlink" Target="https://twitter.com/gadeforvirginia/status/1318942657557778433" TargetMode="External"/><Relationship Id="rId76" Type="http://schemas.openxmlformats.org/officeDocument/2006/relationships/hyperlink" Target="https://twitter.com/gadeforvirginia/status/1317260316418428929" TargetMode="External"/><Relationship Id="rId97" Type="http://schemas.openxmlformats.org/officeDocument/2006/relationships/hyperlink" Target="https://twitter.com/gadeforvirginia/status/1316155442494611460" TargetMode="External"/><Relationship Id="rId104" Type="http://schemas.openxmlformats.org/officeDocument/2006/relationships/hyperlink" Target="https://twitter.com/gadeforvirginia/status/1316122067809566721" TargetMode="External"/><Relationship Id="rId120" Type="http://schemas.openxmlformats.org/officeDocument/2006/relationships/hyperlink" Target="https://twitter.com/gadeforvirginia/status/1313256744760508416" TargetMode="External"/><Relationship Id="rId125" Type="http://schemas.openxmlformats.org/officeDocument/2006/relationships/hyperlink" Target="https://twitter.com/gadeforvirginia/status/1313168531811454976" TargetMode="External"/><Relationship Id="rId141" Type="http://schemas.openxmlformats.org/officeDocument/2006/relationships/hyperlink" Target="https://twitter.com/gadeforvirginia/status/1312509487907889152" TargetMode="External"/><Relationship Id="rId146" Type="http://schemas.openxmlformats.org/officeDocument/2006/relationships/hyperlink" Target="https://twitter.com/gadeforvirginia/status/1312504943295651840" TargetMode="External"/><Relationship Id="rId7" Type="http://schemas.openxmlformats.org/officeDocument/2006/relationships/hyperlink" Target="https://twitter.com/gadeforvirginia/status/1323580825028464640" TargetMode="External"/><Relationship Id="rId71" Type="http://schemas.openxmlformats.org/officeDocument/2006/relationships/hyperlink" Target="https://twitter.com/gadeforvirginia/status/1317822026267099136" TargetMode="External"/><Relationship Id="rId92" Type="http://schemas.openxmlformats.org/officeDocument/2006/relationships/hyperlink" Target="https://twitter.com/gadeforvirginia/status/1316163385596284928" TargetMode="External"/><Relationship Id="rId2" Type="http://schemas.openxmlformats.org/officeDocument/2006/relationships/hyperlink" Target="https://twitter.com/gadeforvirginia/status/1323716730783485955" TargetMode="External"/><Relationship Id="rId29" Type="http://schemas.openxmlformats.org/officeDocument/2006/relationships/hyperlink" Target="https://twitter.com/gadeforvirginia/status/1321862238261694467" TargetMode="External"/><Relationship Id="rId24" Type="http://schemas.openxmlformats.org/officeDocument/2006/relationships/hyperlink" Target="https://twitter.com/gadeforvirginia/status/1322198223088422912" TargetMode="External"/><Relationship Id="rId40" Type="http://schemas.openxmlformats.org/officeDocument/2006/relationships/hyperlink" Target="https://twitter.com/gadeforvirginia/status/1320717249909579776" TargetMode="External"/><Relationship Id="rId45" Type="http://schemas.openxmlformats.org/officeDocument/2006/relationships/hyperlink" Target="https://twitter.com/gadeforvirginia/status/1319719644316471298" TargetMode="External"/><Relationship Id="rId66" Type="http://schemas.openxmlformats.org/officeDocument/2006/relationships/hyperlink" Target="https://twitter.com/gadeforvirginia/status/1318214908593528832" TargetMode="External"/><Relationship Id="rId87" Type="http://schemas.openxmlformats.org/officeDocument/2006/relationships/hyperlink" Target="https://twitter.com/gadeforvirginia/status/1316363534234800137" TargetMode="External"/><Relationship Id="rId110" Type="http://schemas.openxmlformats.org/officeDocument/2006/relationships/hyperlink" Target="https://twitter.com/gadeforvirginia/status/1314670757855801346" TargetMode="External"/><Relationship Id="rId115" Type="http://schemas.openxmlformats.org/officeDocument/2006/relationships/hyperlink" Target="https://twitter.com/gadeforvirginia/status/1313577703417806848" TargetMode="External"/><Relationship Id="rId131" Type="http://schemas.openxmlformats.org/officeDocument/2006/relationships/hyperlink" Target="https://twitter.com/gadeforvirginia/status/1312540857996906496" TargetMode="External"/><Relationship Id="rId136" Type="http://schemas.openxmlformats.org/officeDocument/2006/relationships/hyperlink" Target="https://twitter.com/gadeforvirginia/status/1312519866100805632" TargetMode="External"/><Relationship Id="rId61" Type="http://schemas.openxmlformats.org/officeDocument/2006/relationships/hyperlink" Target="https://twitter.com/gadeforvirginia/status/1318592561083199489" TargetMode="External"/><Relationship Id="rId82" Type="http://schemas.openxmlformats.org/officeDocument/2006/relationships/hyperlink" Target="https://twitter.com/gadeforvirginia/status/1316886762808107010" TargetMode="External"/><Relationship Id="rId152" Type="http://schemas.openxmlformats.org/officeDocument/2006/relationships/hyperlink" Target="https://twitter.com/gadeforvirginia/status/1312455759926489088" TargetMode="External"/><Relationship Id="rId19" Type="http://schemas.openxmlformats.org/officeDocument/2006/relationships/hyperlink" Target="https://twitter.com/gadeforvirginia/status/1322919265205391360" TargetMode="External"/><Relationship Id="rId14" Type="http://schemas.openxmlformats.org/officeDocument/2006/relationships/hyperlink" Target="https://twitter.com/gadeforvirginia/status/1323278784775266304" TargetMode="External"/><Relationship Id="rId30" Type="http://schemas.openxmlformats.org/officeDocument/2006/relationships/hyperlink" Target="https://twitter.com/gadeforvirginia/status/1321800219886059520" TargetMode="External"/><Relationship Id="rId35" Type="http://schemas.openxmlformats.org/officeDocument/2006/relationships/hyperlink" Target="https://twitter.com/gadeforvirginia/status/1321073860373078017" TargetMode="External"/><Relationship Id="rId56" Type="http://schemas.openxmlformats.org/officeDocument/2006/relationships/hyperlink" Target="https://twitter.com/gadeforvirginia/status/1318913090562424838" TargetMode="External"/><Relationship Id="rId77" Type="http://schemas.openxmlformats.org/officeDocument/2006/relationships/hyperlink" Target="https://twitter.com/gadeforvirginia/status/1317133854172418048" TargetMode="External"/><Relationship Id="rId100" Type="http://schemas.openxmlformats.org/officeDocument/2006/relationships/hyperlink" Target="https://twitter.com/gadeforvirginia/status/1316153357518671877" TargetMode="External"/><Relationship Id="rId105" Type="http://schemas.openxmlformats.org/officeDocument/2006/relationships/hyperlink" Target="https://twitter.com/gadeforvirginia/status/1316097534302007296" TargetMode="External"/><Relationship Id="rId126" Type="http://schemas.openxmlformats.org/officeDocument/2006/relationships/hyperlink" Target="https://twitter.com/gadeforvirginia/status/1312825396916822017" TargetMode="External"/><Relationship Id="rId147" Type="http://schemas.openxmlformats.org/officeDocument/2006/relationships/hyperlink" Target="https://twitter.com/gadeforvirginia/status/1312503923194830848" TargetMode="External"/><Relationship Id="rId8" Type="http://schemas.openxmlformats.org/officeDocument/2006/relationships/hyperlink" Target="https://twitter.com/gadeforvirginia/status/1323457647060918277" TargetMode="External"/><Relationship Id="rId51" Type="http://schemas.openxmlformats.org/officeDocument/2006/relationships/hyperlink" Target="https://twitter.com/gadeforvirginia/status/1319061444009336833" TargetMode="External"/><Relationship Id="rId72" Type="http://schemas.openxmlformats.org/officeDocument/2006/relationships/hyperlink" Target="https://twitter.com/gadeforvirginia/status/1317596534993768450" TargetMode="External"/><Relationship Id="rId93" Type="http://schemas.openxmlformats.org/officeDocument/2006/relationships/hyperlink" Target="https://twitter.com/gadeforvirginia/status/1316161891320967168" TargetMode="External"/><Relationship Id="rId98" Type="http://schemas.openxmlformats.org/officeDocument/2006/relationships/hyperlink" Target="https://twitter.com/gadeforvirginia/status/1316154478983352321" TargetMode="External"/><Relationship Id="rId121" Type="http://schemas.openxmlformats.org/officeDocument/2006/relationships/hyperlink" Target="https://twitter.com/gadeforvirginia/status/1313254474543255552" TargetMode="External"/><Relationship Id="rId142" Type="http://schemas.openxmlformats.org/officeDocument/2006/relationships/hyperlink" Target="https://twitter.com/gadeforvirginia/status/1312507228591587328" TargetMode="External"/><Relationship Id="rId3" Type="http://schemas.openxmlformats.org/officeDocument/2006/relationships/hyperlink" Target="https://twitter.com/gadeforvirginia/status/1323675236714323971" TargetMode="External"/><Relationship Id="rId25" Type="http://schemas.openxmlformats.org/officeDocument/2006/relationships/hyperlink" Target="https://twitter.com/gadeforvirginia/status/1322166365139144705" TargetMode="External"/><Relationship Id="rId46" Type="http://schemas.openxmlformats.org/officeDocument/2006/relationships/hyperlink" Target="https://twitter.com/gadeforvirginia/status/1319674351856254976" TargetMode="External"/><Relationship Id="rId67" Type="http://schemas.openxmlformats.org/officeDocument/2006/relationships/hyperlink" Target="https://twitter.com/gadeforvirginia/status/1318214907528097792" TargetMode="External"/><Relationship Id="rId116" Type="http://schemas.openxmlformats.org/officeDocument/2006/relationships/hyperlink" Target="https://twitter.com/gadeforvirginia/status/1313465901056917505" TargetMode="External"/><Relationship Id="rId137" Type="http://schemas.openxmlformats.org/officeDocument/2006/relationships/hyperlink" Target="https://twitter.com/gadeforvirginia/status/1312515281701408769" TargetMode="External"/><Relationship Id="rId20" Type="http://schemas.openxmlformats.org/officeDocument/2006/relationships/hyperlink" Target="https://twitter.com/gadeforvirginia/status/1322574338135085057" TargetMode="External"/><Relationship Id="rId41" Type="http://schemas.openxmlformats.org/officeDocument/2006/relationships/hyperlink" Target="https://twitter.com/gadeforvirginia/status/1320103672131485697" TargetMode="External"/><Relationship Id="rId62" Type="http://schemas.openxmlformats.org/officeDocument/2006/relationships/hyperlink" Target="https://twitter.com/gadeforvirginia/status/1318325132365004800" TargetMode="External"/><Relationship Id="rId83" Type="http://schemas.openxmlformats.org/officeDocument/2006/relationships/hyperlink" Target="https://twitter.com/gadeforvirginia/status/1316813315692285966" TargetMode="External"/><Relationship Id="rId88" Type="http://schemas.openxmlformats.org/officeDocument/2006/relationships/hyperlink" Target="https://twitter.com/gadeforvirginia/status/1316193890198786049" TargetMode="External"/><Relationship Id="rId111" Type="http://schemas.openxmlformats.org/officeDocument/2006/relationships/hyperlink" Target="https://twitter.com/gadeforvirginia/status/1314579445299195906" TargetMode="External"/><Relationship Id="rId132" Type="http://schemas.openxmlformats.org/officeDocument/2006/relationships/hyperlink" Target="https://twitter.com/gadeforvirginia/status/1312539564137996295" TargetMode="External"/><Relationship Id="rId153" Type="http://schemas.openxmlformats.org/officeDocument/2006/relationships/hyperlink" Target="https://twitter.com/gadeforvirginia/status/1314217306722111488" TargetMode="External"/><Relationship Id="rId15" Type="http://schemas.openxmlformats.org/officeDocument/2006/relationships/hyperlink" Target="https://twitter.com/gadeforvirginia/status/1323052962818727938" TargetMode="External"/><Relationship Id="rId36" Type="http://schemas.openxmlformats.org/officeDocument/2006/relationships/hyperlink" Target="https://twitter.com/gadeforvirginia/status/1320889733250252802" TargetMode="External"/><Relationship Id="rId57" Type="http://schemas.openxmlformats.org/officeDocument/2006/relationships/hyperlink" Target="https://twitter.com/gadeforvirginia/status/1318704518234820611" TargetMode="External"/><Relationship Id="rId106" Type="http://schemas.openxmlformats.org/officeDocument/2006/relationships/hyperlink" Target="https://twitter.com/gadeforvirginia/status/1316058411981828096" TargetMode="External"/><Relationship Id="rId127" Type="http://schemas.openxmlformats.org/officeDocument/2006/relationships/hyperlink" Target="https://twitter.com/gadeforvirginia/status/1312782156305965057" TargetMode="External"/><Relationship Id="rId10" Type="http://schemas.openxmlformats.org/officeDocument/2006/relationships/hyperlink" Target="https://twitter.com/gadeforvirginia/status/1323434620726239232" TargetMode="External"/><Relationship Id="rId31" Type="http://schemas.openxmlformats.org/officeDocument/2006/relationships/hyperlink" Target="https://twitter.com/gadeforvirginia/status/1321609899583983616" TargetMode="External"/><Relationship Id="rId52" Type="http://schemas.openxmlformats.org/officeDocument/2006/relationships/hyperlink" Target="https://twitter.com/gadeforvirginia/status/1319061442402897921" TargetMode="External"/><Relationship Id="rId73" Type="http://schemas.openxmlformats.org/officeDocument/2006/relationships/hyperlink" Target="https://twitter.com/gadeforvirginia/status/1317577315170373633" TargetMode="External"/><Relationship Id="rId78" Type="http://schemas.openxmlformats.org/officeDocument/2006/relationships/hyperlink" Target="https://twitter.com/gadeforvirginia/status/1317090555961200640" TargetMode="External"/><Relationship Id="rId94" Type="http://schemas.openxmlformats.org/officeDocument/2006/relationships/hyperlink" Target="https://twitter.com/gadeforvirginia/status/1316160448866267136" TargetMode="External"/><Relationship Id="rId99" Type="http://schemas.openxmlformats.org/officeDocument/2006/relationships/hyperlink" Target="https://twitter.com/gadeforvirginia/status/1316153810767806465" TargetMode="External"/><Relationship Id="rId101" Type="http://schemas.openxmlformats.org/officeDocument/2006/relationships/hyperlink" Target="https://twitter.com/gadeforvirginia/status/1316152715362394112" TargetMode="External"/><Relationship Id="rId122" Type="http://schemas.openxmlformats.org/officeDocument/2006/relationships/hyperlink" Target="https://twitter.com/gadeforvirginia/status/1313253370883432448" TargetMode="External"/><Relationship Id="rId143" Type="http://schemas.openxmlformats.org/officeDocument/2006/relationships/hyperlink" Target="https://twitter.com/gadeforvirginia/status/1312506652357140480" TargetMode="External"/><Relationship Id="rId148" Type="http://schemas.openxmlformats.org/officeDocument/2006/relationships/hyperlink" Target="https://twitter.com/gadeforvirginia/status/1312502876334219264" TargetMode="External"/><Relationship Id="rId4" Type="http://schemas.openxmlformats.org/officeDocument/2006/relationships/hyperlink" Target="https://twitter.com/gadeforvirginia/status/1323664307947741185" TargetMode="External"/><Relationship Id="rId9" Type="http://schemas.openxmlformats.org/officeDocument/2006/relationships/hyperlink" Target="https://twitter.com/gadeforvirginia/status/1323441609627865093" TargetMode="External"/><Relationship Id="rId26" Type="http://schemas.openxmlformats.org/officeDocument/2006/relationships/hyperlink" Target="https://twitter.com/gadeforvirginia/status/1321969897551896576" TargetMode="External"/><Relationship Id="rId47" Type="http://schemas.openxmlformats.org/officeDocument/2006/relationships/hyperlink" Target="https://twitter.com/gadeforvirginia/status/1319632808562876418" TargetMode="External"/><Relationship Id="rId68" Type="http://schemas.openxmlformats.org/officeDocument/2006/relationships/hyperlink" Target="https://twitter.com/gadeforvirginia/status/1318178607320256513" TargetMode="External"/><Relationship Id="rId89" Type="http://schemas.openxmlformats.org/officeDocument/2006/relationships/hyperlink" Target="https://twitter.com/gadeforvirginia/status/1316165281920757761" TargetMode="External"/><Relationship Id="rId112" Type="http://schemas.openxmlformats.org/officeDocument/2006/relationships/hyperlink" Target="https://twitter.com/gadeforvirginia/status/1314360207221370880" TargetMode="External"/><Relationship Id="rId133" Type="http://schemas.openxmlformats.org/officeDocument/2006/relationships/hyperlink" Target="https://twitter.com/gadeforvirginia/status/1312524348297633792" TargetMode="External"/><Relationship Id="rId154" Type="http://schemas.openxmlformats.org/officeDocument/2006/relationships/printerSettings" Target="../printerSettings/printerSettings2.bin"/><Relationship Id="rId16" Type="http://schemas.openxmlformats.org/officeDocument/2006/relationships/hyperlink" Target="https://twitter.com/gadeforvirginia/status/1323009398810251264" TargetMode="External"/><Relationship Id="rId37" Type="http://schemas.openxmlformats.org/officeDocument/2006/relationships/hyperlink" Target="https://twitter.com/gadeforvirginia/status/1320878118693937153" TargetMode="External"/><Relationship Id="rId58" Type="http://schemas.openxmlformats.org/officeDocument/2006/relationships/hyperlink" Target="https://twitter.com/gadeforvirginia/status/1318644202759163907" TargetMode="External"/><Relationship Id="rId79" Type="http://schemas.openxmlformats.org/officeDocument/2006/relationships/hyperlink" Target="https://twitter.com/gadeforvirginia/status/1316915096573140992" TargetMode="External"/><Relationship Id="rId102" Type="http://schemas.openxmlformats.org/officeDocument/2006/relationships/hyperlink" Target="https://twitter.com/gadeforvirginia/status/1316152714276073473" TargetMode="External"/><Relationship Id="rId123" Type="http://schemas.openxmlformats.org/officeDocument/2006/relationships/hyperlink" Target="https://twitter.com/gadeforvirginia/status/1313252575551029253" TargetMode="External"/><Relationship Id="rId144" Type="http://schemas.openxmlformats.org/officeDocument/2006/relationships/hyperlink" Target="https://twitter.com/gadeforvirginia/status/1312505206593056769" TargetMode="External"/><Relationship Id="rId90" Type="http://schemas.openxmlformats.org/officeDocument/2006/relationships/hyperlink" Target="https://twitter.com/gadeforvirginia/status/1316164823143587851" TargetMode="External"/></Relationships>
</file>

<file path=xl/worksheets/_rels/sheet21.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9.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3.xml.rels><?xml version="1.0" encoding="UTF-8" standalone="yes"?>
<Relationships xmlns="http://schemas.openxmlformats.org/package/2006/relationships"><Relationship Id="rId117" Type="http://schemas.openxmlformats.org/officeDocument/2006/relationships/hyperlink" Target="https://twitter.com/Perduesenate/status/1316532193125109763" TargetMode="External"/><Relationship Id="rId21" Type="http://schemas.openxmlformats.org/officeDocument/2006/relationships/hyperlink" Target="https://twitter.com/Perduesenate/status/1321921275011489793" TargetMode="External"/><Relationship Id="rId42" Type="http://schemas.openxmlformats.org/officeDocument/2006/relationships/hyperlink" Target="https://twitter.com/Perduesenate/status/1321598205373669376" TargetMode="External"/><Relationship Id="rId63" Type="http://schemas.openxmlformats.org/officeDocument/2006/relationships/hyperlink" Target="https://twitter.com/Perduesenate/status/1321265089828343811" TargetMode="External"/><Relationship Id="rId84" Type="http://schemas.openxmlformats.org/officeDocument/2006/relationships/hyperlink" Target="https://twitter.com/Perduesenate/status/1319727191438073858" TargetMode="External"/><Relationship Id="rId138" Type="http://schemas.openxmlformats.org/officeDocument/2006/relationships/hyperlink" Target="https://twitter.com/Perduesenate/status/1315734134296399872" TargetMode="External"/><Relationship Id="rId159" Type="http://schemas.openxmlformats.org/officeDocument/2006/relationships/hyperlink" Target="https://twitter.com/Perduesenate/status/1314350705575186433" TargetMode="External"/><Relationship Id="rId170" Type="http://schemas.openxmlformats.org/officeDocument/2006/relationships/hyperlink" Target="https://twitter.com/Perduesenate/status/1313827854568824838" TargetMode="External"/><Relationship Id="rId191" Type="http://schemas.openxmlformats.org/officeDocument/2006/relationships/hyperlink" Target="https://twitter.com/Perduesenate/status/1312441154944684033" TargetMode="External"/><Relationship Id="rId107" Type="http://schemas.openxmlformats.org/officeDocument/2006/relationships/hyperlink" Target="https://twitter.com/Perduesenate/status/1317111202577813504" TargetMode="External"/><Relationship Id="rId11" Type="http://schemas.openxmlformats.org/officeDocument/2006/relationships/hyperlink" Target="https://twitter.com/Perduesenate/status/1322661024236032006" TargetMode="External"/><Relationship Id="rId32" Type="http://schemas.openxmlformats.org/officeDocument/2006/relationships/hyperlink" Target="https://twitter.com/Perduesenate/status/1321635641864716289" TargetMode="External"/><Relationship Id="rId53" Type="http://schemas.openxmlformats.org/officeDocument/2006/relationships/hyperlink" Target="https://twitter.com/Perduesenate/status/1321591438644314117" TargetMode="External"/><Relationship Id="rId74" Type="http://schemas.openxmlformats.org/officeDocument/2006/relationships/hyperlink" Target="https://twitter.com/Perduesenate/status/1320823959789719558" TargetMode="External"/><Relationship Id="rId128" Type="http://schemas.openxmlformats.org/officeDocument/2006/relationships/hyperlink" Target="https://twitter.com/Perduesenate/status/1316034109920161795" TargetMode="External"/><Relationship Id="rId149" Type="http://schemas.openxmlformats.org/officeDocument/2006/relationships/hyperlink" Target="https://twitter.com/Perduesenate/status/1314999067152351232" TargetMode="External"/><Relationship Id="rId5" Type="http://schemas.openxmlformats.org/officeDocument/2006/relationships/hyperlink" Target="https://twitter.com/Perduesenate/status/1323373494923657216" TargetMode="External"/><Relationship Id="rId95" Type="http://schemas.openxmlformats.org/officeDocument/2006/relationships/hyperlink" Target="https://twitter.com/Perduesenate/status/1319308366569705473" TargetMode="External"/><Relationship Id="rId160" Type="http://schemas.openxmlformats.org/officeDocument/2006/relationships/hyperlink" Target="https://twitter.com/Perduesenate/status/1314325074351194112" TargetMode="External"/><Relationship Id="rId181" Type="http://schemas.openxmlformats.org/officeDocument/2006/relationships/hyperlink" Target="https://twitter.com/Perduesenate/status/1313214091993980928" TargetMode="External"/><Relationship Id="rId22" Type="http://schemas.openxmlformats.org/officeDocument/2006/relationships/hyperlink" Target="https://twitter.com/Perduesenate/status/1321921269646974976" TargetMode="External"/><Relationship Id="rId43" Type="http://schemas.openxmlformats.org/officeDocument/2006/relationships/hyperlink" Target="https://twitter.com/Perduesenate/status/1321597483655614471" TargetMode="External"/><Relationship Id="rId64" Type="http://schemas.openxmlformats.org/officeDocument/2006/relationships/hyperlink" Target="https://twitter.com/Perduesenate/status/1321253578535849985" TargetMode="External"/><Relationship Id="rId118" Type="http://schemas.openxmlformats.org/officeDocument/2006/relationships/hyperlink" Target="https://twitter.com/Perduesenate/status/1316503096604987392" TargetMode="External"/><Relationship Id="rId139" Type="http://schemas.openxmlformats.org/officeDocument/2006/relationships/hyperlink" Target="https://twitter.com/Perduesenate/status/1315733150547484673" TargetMode="External"/><Relationship Id="rId85" Type="http://schemas.openxmlformats.org/officeDocument/2006/relationships/hyperlink" Target="https://twitter.com/Perduesenate/status/1319714598963060737" TargetMode="External"/><Relationship Id="rId150" Type="http://schemas.openxmlformats.org/officeDocument/2006/relationships/hyperlink" Target="https://twitter.com/Perduesenate/status/1314984892015484934" TargetMode="External"/><Relationship Id="rId171" Type="http://schemas.openxmlformats.org/officeDocument/2006/relationships/hyperlink" Target="https://twitter.com/Perduesenate/status/1313657048257753090" TargetMode="External"/><Relationship Id="rId192" Type="http://schemas.openxmlformats.org/officeDocument/2006/relationships/hyperlink" Target="https://twitter.com/Perduesenate/status/1312412114208862210" TargetMode="External"/><Relationship Id="rId12" Type="http://schemas.openxmlformats.org/officeDocument/2006/relationships/hyperlink" Target="https://twitter.com/Perduesenate/status/1322603940110893056" TargetMode="External"/><Relationship Id="rId33" Type="http://schemas.openxmlformats.org/officeDocument/2006/relationships/hyperlink" Target="https://twitter.com/Perduesenate/status/1321617531241697282" TargetMode="External"/><Relationship Id="rId108" Type="http://schemas.openxmlformats.org/officeDocument/2006/relationships/hyperlink" Target="https://twitter.com/Perduesenate/status/1316880867520925698" TargetMode="External"/><Relationship Id="rId129" Type="http://schemas.openxmlformats.org/officeDocument/2006/relationships/hyperlink" Target="https://twitter.com/Perduesenate/status/1316025479921504259" TargetMode="External"/><Relationship Id="rId54" Type="http://schemas.openxmlformats.org/officeDocument/2006/relationships/hyperlink" Target="https://twitter.com/Perduesenate/status/1321590465829969920" TargetMode="External"/><Relationship Id="rId75" Type="http://schemas.openxmlformats.org/officeDocument/2006/relationships/hyperlink" Target="https://twitter.com/Perduesenate/status/1320809472902705158" TargetMode="External"/><Relationship Id="rId96" Type="http://schemas.openxmlformats.org/officeDocument/2006/relationships/hyperlink" Target="https://twitter.com/Perduesenate/status/1319290266096865280" TargetMode="External"/><Relationship Id="rId140" Type="http://schemas.openxmlformats.org/officeDocument/2006/relationships/hyperlink" Target="https://twitter.com/Perduesenate/status/1315729267427246082" TargetMode="External"/><Relationship Id="rId161" Type="http://schemas.openxmlformats.org/officeDocument/2006/relationships/hyperlink" Target="https://twitter.com/Perduesenate/status/1314301209113698318" TargetMode="External"/><Relationship Id="rId182" Type="http://schemas.openxmlformats.org/officeDocument/2006/relationships/hyperlink" Target="https://twitter.com/Perduesenate/status/1313180051668717568" TargetMode="External"/><Relationship Id="rId6" Type="http://schemas.openxmlformats.org/officeDocument/2006/relationships/hyperlink" Target="https://twitter.com/Perduesenate/status/1323344285668954115" TargetMode="External"/><Relationship Id="rId23" Type="http://schemas.openxmlformats.org/officeDocument/2006/relationships/hyperlink" Target="https://twitter.com/Perduesenate/status/1321921264571789318" TargetMode="External"/><Relationship Id="rId119" Type="http://schemas.openxmlformats.org/officeDocument/2006/relationships/hyperlink" Target="https://twitter.com/Perduesenate/status/1316482661624545280" TargetMode="External"/><Relationship Id="rId44" Type="http://schemas.openxmlformats.org/officeDocument/2006/relationships/hyperlink" Target="https://twitter.com/Perduesenate/status/1321596102169288704" TargetMode="External"/><Relationship Id="rId65" Type="http://schemas.openxmlformats.org/officeDocument/2006/relationships/hyperlink" Target="https://twitter.com/Perduesenate/status/1321215149303308290" TargetMode="External"/><Relationship Id="rId86" Type="http://schemas.openxmlformats.org/officeDocument/2006/relationships/hyperlink" Target="https://twitter.com/Perduesenate/status/1319703047052926978" TargetMode="External"/><Relationship Id="rId130" Type="http://schemas.openxmlformats.org/officeDocument/2006/relationships/hyperlink" Target="https://twitter.com/Perduesenate/status/1316003809114681344" TargetMode="External"/><Relationship Id="rId151" Type="http://schemas.openxmlformats.org/officeDocument/2006/relationships/hyperlink" Target="https://twitter.com/Perduesenate/status/1314979402615271425" TargetMode="External"/><Relationship Id="rId172" Type="http://schemas.openxmlformats.org/officeDocument/2006/relationships/hyperlink" Target="https://twitter.com/Perduesenate/status/1313600892160049152" TargetMode="External"/><Relationship Id="rId193" Type="http://schemas.openxmlformats.org/officeDocument/2006/relationships/hyperlink" Target="https://twitter.com/Perduesenate/status/1312209636368347137" TargetMode="External"/><Relationship Id="rId13" Type="http://schemas.openxmlformats.org/officeDocument/2006/relationships/hyperlink" Target="https://twitter.com/Perduesenate/status/1322551877108699137" TargetMode="External"/><Relationship Id="rId109" Type="http://schemas.openxmlformats.org/officeDocument/2006/relationships/hyperlink" Target="https://twitter.com/Perduesenate/status/1316853883847823360" TargetMode="External"/><Relationship Id="rId34" Type="http://schemas.openxmlformats.org/officeDocument/2006/relationships/hyperlink" Target="https://twitter.com/Perduesenate/status/1321616301438177287" TargetMode="External"/><Relationship Id="rId50" Type="http://schemas.openxmlformats.org/officeDocument/2006/relationships/hyperlink" Target="https://twitter.com/Perduesenate/status/1321592808742989833" TargetMode="External"/><Relationship Id="rId55" Type="http://schemas.openxmlformats.org/officeDocument/2006/relationships/hyperlink" Target="https://twitter.com/Perduesenate/status/1321589964732321792" TargetMode="External"/><Relationship Id="rId76" Type="http://schemas.openxmlformats.org/officeDocument/2006/relationships/hyperlink" Target="https://twitter.com/Perduesenate/status/1320782846353723392" TargetMode="External"/><Relationship Id="rId97" Type="http://schemas.openxmlformats.org/officeDocument/2006/relationships/hyperlink" Target="https://twitter.com/Perduesenate/status/1319267632781103106" TargetMode="External"/><Relationship Id="rId104" Type="http://schemas.openxmlformats.org/officeDocument/2006/relationships/hyperlink" Target="https://twitter.com/Perduesenate/status/1317189203625758721" TargetMode="External"/><Relationship Id="rId120" Type="http://schemas.openxmlformats.org/officeDocument/2006/relationships/hyperlink" Target="https://twitter.com/Perduesenate/status/1316474426188328962" TargetMode="External"/><Relationship Id="rId125" Type="http://schemas.openxmlformats.org/officeDocument/2006/relationships/hyperlink" Target="https://twitter.com/Perduesenate/status/1316137612269228033" TargetMode="External"/><Relationship Id="rId141" Type="http://schemas.openxmlformats.org/officeDocument/2006/relationships/hyperlink" Target="https://twitter.com/Perduesenate/status/1315719471433166848" TargetMode="External"/><Relationship Id="rId146" Type="http://schemas.openxmlformats.org/officeDocument/2006/relationships/hyperlink" Target="https://twitter.com/Perduesenate/status/1315305088529952768" TargetMode="External"/><Relationship Id="rId167" Type="http://schemas.openxmlformats.org/officeDocument/2006/relationships/hyperlink" Target="https://twitter.com/Perduesenate/status/1313916946216353793" TargetMode="External"/><Relationship Id="rId188" Type="http://schemas.openxmlformats.org/officeDocument/2006/relationships/hyperlink" Target="https://twitter.com/Perduesenate/status/1312505706352840704" TargetMode="External"/><Relationship Id="rId7" Type="http://schemas.openxmlformats.org/officeDocument/2006/relationships/hyperlink" Target="https://twitter.com/Perduesenate/status/1323328699589079045" TargetMode="External"/><Relationship Id="rId71" Type="http://schemas.openxmlformats.org/officeDocument/2006/relationships/hyperlink" Target="https://twitter.com/Perduesenate/status/1320914133655687168" TargetMode="External"/><Relationship Id="rId92" Type="http://schemas.openxmlformats.org/officeDocument/2006/relationships/hyperlink" Target="https://twitter.com/Perduesenate/status/1319384197543399425" TargetMode="External"/><Relationship Id="rId162" Type="http://schemas.openxmlformats.org/officeDocument/2006/relationships/hyperlink" Target="https://twitter.com/Perduesenate/status/1314271389315145730" TargetMode="External"/><Relationship Id="rId183" Type="http://schemas.openxmlformats.org/officeDocument/2006/relationships/hyperlink" Target="https://twitter.com/Perduesenate/status/1313150103352467456" TargetMode="External"/><Relationship Id="rId2" Type="http://schemas.openxmlformats.org/officeDocument/2006/relationships/hyperlink" Target="https://twitter.com/Perduesenate/status/1323658199069851648" TargetMode="External"/><Relationship Id="rId29" Type="http://schemas.openxmlformats.org/officeDocument/2006/relationships/hyperlink" Target="https://twitter.com/Perduesenate/status/1321899269574463489" TargetMode="External"/><Relationship Id="rId24" Type="http://schemas.openxmlformats.org/officeDocument/2006/relationships/hyperlink" Target="https://twitter.com/Perduesenate/status/1321921259089891328" TargetMode="External"/><Relationship Id="rId40" Type="http://schemas.openxmlformats.org/officeDocument/2006/relationships/hyperlink" Target="https://twitter.com/Perduesenate/status/1321599605826560008" TargetMode="External"/><Relationship Id="rId45" Type="http://schemas.openxmlformats.org/officeDocument/2006/relationships/hyperlink" Target="https://twitter.com/Perduesenate/status/1321595686417256450" TargetMode="External"/><Relationship Id="rId66" Type="http://schemas.openxmlformats.org/officeDocument/2006/relationships/hyperlink" Target="https://twitter.com/Perduesenate/status/1321185328787562497" TargetMode="External"/><Relationship Id="rId87" Type="http://schemas.openxmlformats.org/officeDocument/2006/relationships/hyperlink" Target="https://twitter.com/Perduesenate/status/1319690469635465217" TargetMode="External"/><Relationship Id="rId110" Type="http://schemas.openxmlformats.org/officeDocument/2006/relationships/hyperlink" Target="https://twitter.com/Perduesenate/status/1316836419944488961" TargetMode="External"/><Relationship Id="rId115" Type="http://schemas.openxmlformats.org/officeDocument/2006/relationships/hyperlink" Target="https://twitter.com/Perduesenate/status/1316745590445834241" TargetMode="External"/><Relationship Id="rId131" Type="http://schemas.openxmlformats.org/officeDocument/2006/relationships/hyperlink" Target="https://twitter.com/Perduesenate/status/1315811668987871233" TargetMode="External"/><Relationship Id="rId136" Type="http://schemas.openxmlformats.org/officeDocument/2006/relationships/hyperlink" Target="https://twitter.com/Perduesenate/status/1315736079257997314" TargetMode="External"/><Relationship Id="rId157" Type="http://schemas.openxmlformats.org/officeDocument/2006/relationships/hyperlink" Target="https://twitter.com/Perduesenate/status/1314573966070231041" TargetMode="External"/><Relationship Id="rId178" Type="http://schemas.openxmlformats.org/officeDocument/2006/relationships/hyperlink" Target="https://twitter.com/Perduesenate/status/1313451001404436481" TargetMode="External"/><Relationship Id="rId61" Type="http://schemas.openxmlformats.org/officeDocument/2006/relationships/hyperlink" Target="https://twitter.com/Perduesenate/status/1321463659965620224" TargetMode="External"/><Relationship Id="rId82" Type="http://schemas.openxmlformats.org/officeDocument/2006/relationships/hyperlink" Target="https://twitter.com/Perduesenate/status/1320022750564667392" TargetMode="External"/><Relationship Id="rId152" Type="http://schemas.openxmlformats.org/officeDocument/2006/relationships/hyperlink" Target="https://twitter.com/Perduesenate/status/1314954153404309504" TargetMode="External"/><Relationship Id="rId173" Type="http://schemas.openxmlformats.org/officeDocument/2006/relationships/hyperlink" Target="https://twitter.com/Perduesenate/status/1313589952731582465" TargetMode="External"/><Relationship Id="rId194" Type="http://schemas.openxmlformats.org/officeDocument/2006/relationships/hyperlink" Target="https://twitter.com/Perduesenate/status/1312181682179637249" TargetMode="External"/><Relationship Id="rId19" Type="http://schemas.openxmlformats.org/officeDocument/2006/relationships/hyperlink" Target="https://twitter.com/Perduesenate/status/1321935292778074112" TargetMode="External"/><Relationship Id="rId14" Type="http://schemas.openxmlformats.org/officeDocument/2006/relationships/hyperlink" Target="https://twitter.com/Perduesenate/status/1322530549928497152" TargetMode="External"/><Relationship Id="rId30" Type="http://schemas.openxmlformats.org/officeDocument/2006/relationships/hyperlink" Target="https://twitter.com/Perduesenate/status/1321877958404038657" TargetMode="External"/><Relationship Id="rId35" Type="http://schemas.openxmlformats.org/officeDocument/2006/relationships/hyperlink" Target="https://twitter.com/Perduesenate/status/1321602789680812032" TargetMode="External"/><Relationship Id="rId56" Type="http://schemas.openxmlformats.org/officeDocument/2006/relationships/hyperlink" Target="https://twitter.com/Perduesenate/status/1321588360004194304" TargetMode="External"/><Relationship Id="rId77" Type="http://schemas.openxmlformats.org/officeDocument/2006/relationships/hyperlink" Target="https://twitter.com/Perduesenate/status/1320754020089274375" TargetMode="External"/><Relationship Id="rId100" Type="http://schemas.openxmlformats.org/officeDocument/2006/relationships/hyperlink" Target="https://twitter.com/Perduesenate/status/1318993337655939075" TargetMode="External"/><Relationship Id="rId105" Type="http://schemas.openxmlformats.org/officeDocument/2006/relationships/hyperlink" Target="https://twitter.com/Perduesenate/status/1317156308320178176" TargetMode="External"/><Relationship Id="rId126" Type="http://schemas.openxmlformats.org/officeDocument/2006/relationships/hyperlink" Target="https://twitter.com/Perduesenate/status/1316101542240550919" TargetMode="External"/><Relationship Id="rId147" Type="http://schemas.openxmlformats.org/officeDocument/2006/relationships/hyperlink" Target="https://twitter.com/Perduesenate/status/1315064239397183490" TargetMode="External"/><Relationship Id="rId168" Type="http://schemas.openxmlformats.org/officeDocument/2006/relationships/hyperlink" Target="https://twitter.com/Perduesenate/status/1313883640347193349" TargetMode="External"/><Relationship Id="rId8" Type="http://schemas.openxmlformats.org/officeDocument/2006/relationships/hyperlink" Target="https://twitter.com/Perduesenate/status/1323318145998901248" TargetMode="External"/><Relationship Id="rId51" Type="http://schemas.openxmlformats.org/officeDocument/2006/relationships/hyperlink" Target="https://twitter.com/Perduesenate/status/1321592571534204928" TargetMode="External"/><Relationship Id="rId72" Type="http://schemas.openxmlformats.org/officeDocument/2006/relationships/hyperlink" Target="https://twitter.com/Perduesenate/status/1320902696996659204" TargetMode="External"/><Relationship Id="rId93" Type="http://schemas.openxmlformats.org/officeDocument/2006/relationships/hyperlink" Target="https://twitter.com/Perduesenate/status/1319346669276831745" TargetMode="External"/><Relationship Id="rId98" Type="http://schemas.openxmlformats.org/officeDocument/2006/relationships/hyperlink" Target="https://twitter.com/Perduesenate/status/1319055428253351938" TargetMode="External"/><Relationship Id="rId121" Type="http://schemas.openxmlformats.org/officeDocument/2006/relationships/hyperlink" Target="https://twitter.com/Perduesenate/status/1316411706311159810" TargetMode="External"/><Relationship Id="rId142" Type="http://schemas.openxmlformats.org/officeDocument/2006/relationships/hyperlink" Target="https://twitter.com/Perduesenate/status/1315710219373219840" TargetMode="External"/><Relationship Id="rId163" Type="http://schemas.openxmlformats.org/officeDocument/2006/relationships/hyperlink" Target="https://twitter.com/Perduesenate/status/1314249853350879233" TargetMode="External"/><Relationship Id="rId184" Type="http://schemas.openxmlformats.org/officeDocument/2006/relationships/hyperlink" Target="https://twitter.com/Perduesenate/status/1313102688809345024" TargetMode="External"/><Relationship Id="rId189" Type="http://schemas.openxmlformats.org/officeDocument/2006/relationships/hyperlink" Target="https://twitter.com/Perduesenate/status/1312495672017395712" TargetMode="External"/><Relationship Id="rId3" Type="http://schemas.openxmlformats.org/officeDocument/2006/relationships/hyperlink" Target="https://twitter.com/Perduesenate/status/1323609013255360512" TargetMode="External"/><Relationship Id="rId25" Type="http://schemas.openxmlformats.org/officeDocument/2006/relationships/hyperlink" Target="https://twitter.com/Perduesenate/status/1321921253809205248" TargetMode="External"/><Relationship Id="rId46" Type="http://schemas.openxmlformats.org/officeDocument/2006/relationships/hyperlink" Target="https://twitter.com/Perduesenate/status/1321595154487267329" TargetMode="External"/><Relationship Id="rId67" Type="http://schemas.openxmlformats.org/officeDocument/2006/relationships/hyperlink" Target="https://twitter.com/Perduesenate/status/1321180191482355712" TargetMode="External"/><Relationship Id="rId116" Type="http://schemas.openxmlformats.org/officeDocument/2006/relationships/hyperlink" Target="https://twitter.com/Perduesenate/status/1316726097686523907" TargetMode="External"/><Relationship Id="rId137" Type="http://schemas.openxmlformats.org/officeDocument/2006/relationships/hyperlink" Target="https://twitter.com/Perduesenate/status/1315734809176608773" TargetMode="External"/><Relationship Id="rId158" Type="http://schemas.openxmlformats.org/officeDocument/2006/relationships/hyperlink" Target="https://twitter.com/Perduesenate/status/1314557369255329798" TargetMode="External"/><Relationship Id="rId20" Type="http://schemas.openxmlformats.org/officeDocument/2006/relationships/hyperlink" Target="https://twitter.com/Perduesenate/status/1321922823997263877" TargetMode="External"/><Relationship Id="rId41" Type="http://schemas.openxmlformats.org/officeDocument/2006/relationships/hyperlink" Target="https://twitter.com/Perduesenate/status/1321599266251542528" TargetMode="External"/><Relationship Id="rId62" Type="http://schemas.openxmlformats.org/officeDocument/2006/relationships/hyperlink" Target="https://twitter.com/Perduesenate/status/1321442726827692040" TargetMode="External"/><Relationship Id="rId83" Type="http://schemas.openxmlformats.org/officeDocument/2006/relationships/hyperlink" Target="https://twitter.com/Perduesenate/status/1319772047824834566" TargetMode="External"/><Relationship Id="rId88" Type="http://schemas.openxmlformats.org/officeDocument/2006/relationships/hyperlink" Target="https://twitter.com/Perduesenate/status/1319656572654673926" TargetMode="External"/><Relationship Id="rId111" Type="http://schemas.openxmlformats.org/officeDocument/2006/relationships/hyperlink" Target="https://twitter.com/Perduesenate/status/1316819776845602819" TargetMode="External"/><Relationship Id="rId132" Type="http://schemas.openxmlformats.org/officeDocument/2006/relationships/hyperlink" Target="https://twitter.com/Perduesenate/status/1315804680774131713" TargetMode="External"/><Relationship Id="rId153" Type="http://schemas.openxmlformats.org/officeDocument/2006/relationships/hyperlink" Target="https://twitter.com/Perduesenate/status/1314701125497638915" TargetMode="External"/><Relationship Id="rId174" Type="http://schemas.openxmlformats.org/officeDocument/2006/relationships/hyperlink" Target="https://twitter.com/Perduesenate/status/1313570606525353986" TargetMode="External"/><Relationship Id="rId179" Type="http://schemas.openxmlformats.org/officeDocument/2006/relationships/hyperlink" Target="https://twitter.com/Perduesenate/status/1313282277808496641" TargetMode="External"/><Relationship Id="rId195" Type="http://schemas.openxmlformats.org/officeDocument/2006/relationships/table" Target="../tables/table3.xml"/><Relationship Id="rId190" Type="http://schemas.openxmlformats.org/officeDocument/2006/relationships/hyperlink" Target="https://twitter.com/Perduesenate/status/1312469879891451904" TargetMode="External"/><Relationship Id="rId15" Type="http://schemas.openxmlformats.org/officeDocument/2006/relationships/hyperlink" Target="https://twitter.com/Perduesenate/status/1322335735647768576" TargetMode="External"/><Relationship Id="rId36" Type="http://schemas.openxmlformats.org/officeDocument/2006/relationships/hyperlink" Target="https://twitter.com/Perduesenate/status/1321602294169915392" TargetMode="External"/><Relationship Id="rId57" Type="http://schemas.openxmlformats.org/officeDocument/2006/relationships/hyperlink" Target="https://twitter.com/Perduesenate/status/1321577353634525185" TargetMode="External"/><Relationship Id="rId106" Type="http://schemas.openxmlformats.org/officeDocument/2006/relationships/hyperlink" Target="https://twitter.com/Perduesenate/status/1317122006341570562" TargetMode="External"/><Relationship Id="rId127" Type="http://schemas.openxmlformats.org/officeDocument/2006/relationships/hyperlink" Target="https://twitter.com/Perduesenate/status/1316064907805196288" TargetMode="External"/><Relationship Id="rId10" Type="http://schemas.openxmlformats.org/officeDocument/2006/relationships/hyperlink" Target="https://twitter.com/Perduesenate/status/1322930672395341826" TargetMode="External"/><Relationship Id="rId31" Type="http://schemas.openxmlformats.org/officeDocument/2006/relationships/hyperlink" Target="https://twitter.com/Perduesenate/status/1321864675064193030" TargetMode="External"/><Relationship Id="rId52" Type="http://schemas.openxmlformats.org/officeDocument/2006/relationships/hyperlink" Target="https://twitter.com/Perduesenate/status/1321591650926399489" TargetMode="External"/><Relationship Id="rId73" Type="http://schemas.openxmlformats.org/officeDocument/2006/relationships/hyperlink" Target="https://twitter.com/Perduesenate/status/1320887190021439491" TargetMode="External"/><Relationship Id="rId78" Type="http://schemas.openxmlformats.org/officeDocument/2006/relationships/hyperlink" Target="https://twitter.com/Perduesenate/status/1320720345326854144" TargetMode="External"/><Relationship Id="rId94" Type="http://schemas.openxmlformats.org/officeDocument/2006/relationships/hyperlink" Target="https://twitter.com/Perduesenate/status/1319320197971533824" TargetMode="External"/><Relationship Id="rId99" Type="http://schemas.openxmlformats.org/officeDocument/2006/relationships/hyperlink" Target="https://twitter.com/Perduesenate/status/1319010033443737604" TargetMode="External"/><Relationship Id="rId101" Type="http://schemas.openxmlformats.org/officeDocument/2006/relationships/hyperlink" Target="https://twitter.com/Perduesenate/status/1318959153830912002" TargetMode="External"/><Relationship Id="rId122" Type="http://schemas.openxmlformats.org/officeDocument/2006/relationships/hyperlink" Target="https://twitter.com/Perduesenate/status/1316369710561325056" TargetMode="External"/><Relationship Id="rId143" Type="http://schemas.openxmlformats.org/officeDocument/2006/relationships/hyperlink" Target="https://twitter.com/Perduesenate/status/1315702141907017728" TargetMode="External"/><Relationship Id="rId148" Type="http://schemas.openxmlformats.org/officeDocument/2006/relationships/hyperlink" Target="https://twitter.com/Perduesenate/status/1315025949675712518" TargetMode="External"/><Relationship Id="rId164" Type="http://schemas.openxmlformats.org/officeDocument/2006/relationships/hyperlink" Target="https://twitter.com/Perduesenate/status/1314004464659988480" TargetMode="External"/><Relationship Id="rId169" Type="http://schemas.openxmlformats.org/officeDocument/2006/relationships/hyperlink" Target="https://twitter.com/Perduesenate/status/1313853850701398016" TargetMode="External"/><Relationship Id="rId185" Type="http://schemas.openxmlformats.org/officeDocument/2006/relationships/hyperlink" Target="https://twitter.com/Perduesenate/status/1312829600658075651" TargetMode="External"/><Relationship Id="rId4" Type="http://schemas.openxmlformats.org/officeDocument/2006/relationships/hyperlink" Target="https://twitter.com/Perduesenate/status/1323444924956725248" TargetMode="External"/><Relationship Id="rId9" Type="http://schemas.openxmlformats.org/officeDocument/2006/relationships/hyperlink" Target="https://twitter.com/Perduesenate/status/1323014523381534721" TargetMode="External"/><Relationship Id="rId180" Type="http://schemas.openxmlformats.org/officeDocument/2006/relationships/hyperlink" Target="https://twitter.com/Perduesenate/status/1313248680552660992" TargetMode="External"/><Relationship Id="rId26" Type="http://schemas.openxmlformats.org/officeDocument/2006/relationships/hyperlink" Target="https://twitter.com/Perduesenate/status/1321921248633507840" TargetMode="External"/><Relationship Id="rId47" Type="http://schemas.openxmlformats.org/officeDocument/2006/relationships/hyperlink" Target="https://twitter.com/Perduesenate/status/1321593962256281601" TargetMode="External"/><Relationship Id="rId68" Type="http://schemas.openxmlformats.org/officeDocument/2006/relationships/hyperlink" Target="https://twitter.com/Perduesenate/status/1321156857428283393" TargetMode="External"/><Relationship Id="rId89" Type="http://schemas.openxmlformats.org/officeDocument/2006/relationships/hyperlink" Target="https://twitter.com/Perduesenate/status/1319615172827283456" TargetMode="External"/><Relationship Id="rId112" Type="http://schemas.openxmlformats.org/officeDocument/2006/relationships/hyperlink" Target="https://twitter.com/Perduesenate/status/1316800519327952900" TargetMode="External"/><Relationship Id="rId133" Type="http://schemas.openxmlformats.org/officeDocument/2006/relationships/hyperlink" Target="https://twitter.com/Perduesenate/status/1315746079632130055" TargetMode="External"/><Relationship Id="rId154" Type="http://schemas.openxmlformats.org/officeDocument/2006/relationships/hyperlink" Target="https://twitter.com/Perduesenate/status/1314680527681658884" TargetMode="External"/><Relationship Id="rId175" Type="http://schemas.openxmlformats.org/officeDocument/2006/relationships/hyperlink" Target="https://twitter.com/Perduesenate/status/1313547970177105920" TargetMode="External"/><Relationship Id="rId16" Type="http://schemas.openxmlformats.org/officeDocument/2006/relationships/hyperlink" Target="https://twitter.com/Perduesenate/status/1322272988843167744" TargetMode="External"/><Relationship Id="rId37" Type="http://schemas.openxmlformats.org/officeDocument/2006/relationships/hyperlink" Target="https://twitter.com/Perduesenate/status/1321600724405493760" TargetMode="External"/><Relationship Id="rId58" Type="http://schemas.openxmlformats.org/officeDocument/2006/relationships/hyperlink" Target="https://twitter.com/Perduesenate/status/1321559278575079430" TargetMode="External"/><Relationship Id="rId79" Type="http://schemas.openxmlformats.org/officeDocument/2006/relationships/hyperlink" Target="https://twitter.com/Perduesenate/status/1320357469789573120" TargetMode="External"/><Relationship Id="rId102" Type="http://schemas.openxmlformats.org/officeDocument/2006/relationships/hyperlink" Target="https://twitter.com/Perduesenate/status/1317486278695395328" TargetMode="External"/><Relationship Id="rId123" Type="http://schemas.openxmlformats.org/officeDocument/2006/relationships/hyperlink" Target="https://twitter.com/Perduesenate/status/1316176234569703424" TargetMode="External"/><Relationship Id="rId144" Type="http://schemas.openxmlformats.org/officeDocument/2006/relationships/hyperlink" Target="https://twitter.com/Perduesenate/status/1315667416093995012" TargetMode="External"/><Relationship Id="rId90" Type="http://schemas.openxmlformats.org/officeDocument/2006/relationships/hyperlink" Target="https://twitter.com/Perduesenate/status/1319435897109086209" TargetMode="External"/><Relationship Id="rId165" Type="http://schemas.openxmlformats.org/officeDocument/2006/relationships/hyperlink" Target="https://twitter.com/Perduesenate/status/1313973128218005505" TargetMode="External"/><Relationship Id="rId186" Type="http://schemas.openxmlformats.org/officeDocument/2006/relationships/hyperlink" Target="https://twitter.com/Perduesenate/status/1312782093894799361" TargetMode="External"/><Relationship Id="rId27" Type="http://schemas.openxmlformats.org/officeDocument/2006/relationships/hyperlink" Target="https://twitter.com/Perduesenate/status/1321912733437169668" TargetMode="External"/><Relationship Id="rId48" Type="http://schemas.openxmlformats.org/officeDocument/2006/relationships/hyperlink" Target="https://twitter.com/Perduesenate/status/1321593806077218816" TargetMode="External"/><Relationship Id="rId69" Type="http://schemas.openxmlformats.org/officeDocument/2006/relationships/hyperlink" Target="https://twitter.com/Perduesenate/status/1321119019424976896" TargetMode="External"/><Relationship Id="rId113" Type="http://schemas.openxmlformats.org/officeDocument/2006/relationships/hyperlink" Target="https://twitter.com/Perduesenate/status/1316789436735262720" TargetMode="External"/><Relationship Id="rId134" Type="http://schemas.openxmlformats.org/officeDocument/2006/relationships/hyperlink" Target="https://twitter.com/Perduesenate/status/1315741523678580738" TargetMode="External"/><Relationship Id="rId80" Type="http://schemas.openxmlformats.org/officeDocument/2006/relationships/hyperlink" Target="https://twitter.com/Perduesenate/status/1320064835028176896" TargetMode="External"/><Relationship Id="rId155" Type="http://schemas.openxmlformats.org/officeDocument/2006/relationships/hyperlink" Target="https://twitter.com/Perduesenate/status/1314657152498315264" TargetMode="External"/><Relationship Id="rId176" Type="http://schemas.openxmlformats.org/officeDocument/2006/relationships/hyperlink" Target="https://twitter.com/Perduesenate/status/1313497995535478784" TargetMode="External"/><Relationship Id="rId17" Type="http://schemas.openxmlformats.org/officeDocument/2006/relationships/hyperlink" Target="https://twitter.com/Perduesenate/status/1322211491169394688" TargetMode="External"/><Relationship Id="rId38" Type="http://schemas.openxmlformats.org/officeDocument/2006/relationships/hyperlink" Target="https://twitter.com/Perduesenate/status/1321600297387569152" TargetMode="External"/><Relationship Id="rId59" Type="http://schemas.openxmlformats.org/officeDocument/2006/relationships/hyperlink" Target="https://twitter.com/Perduesenate/status/1321520192049061893" TargetMode="External"/><Relationship Id="rId103" Type="http://schemas.openxmlformats.org/officeDocument/2006/relationships/hyperlink" Target="https://twitter.com/Perduesenate/status/1317216180835393536" TargetMode="External"/><Relationship Id="rId124" Type="http://schemas.openxmlformats.org/officeDocument/2006/relationships/hyperlink" Target="https://twitter.com/Perduesenate/status/1316159860015345665" TargetMode="External"/><Relationship Id="rId70" Type="http://schemas.openxmlformats.org/officeDocument/2006/relationships/hyperlink" Target="https://twitter.com/Perduesenate/status/1321095461768495106" TargetMode="External"/><Relationship Id="rId91" Type="http://schemas.openxmlformats.org/officeDocument/2006/relationships/hyperlink" Target="https://twitter.com/Perduesenate/status/1319409707111645185" TargetMode="External"/><Relationship Id="rId145" Type="http://schemas.openxmlformats.org/officeDocument/2006/relationships/hyperlink" Target="https://twitter.com/Perduesenate/status/1315648899726667777" TargetMode="External"/><Relationship Id="rId166" Type="http://schemas.openxmlformats.org/officeDocument/2006/relationships/hyperlink" Target="https://twitter.com/Perduesenate/status/1313953717427765248" TargetMode="External"/><Relationship Id="rId187" Type="http://schemas.openxmlformats.org/officeDocument/2006/relationships/hyperlink" Target="https://twitter.com/Perduesenate/status/1312545365883842560" TargetMode="External"/><Relationship Id="rId1" Type="http://schemas.openxmlformats.org/officeDocument/2006/relationships/hyperlink" Target="https://twitter.com/Perduesenate/status/1323733772244799488" TargetMode="External"/><Relationship Id="rId28" Type="http://schemas.openxmlformats.org/officeDocument/2006/relationships/hyperlink" Target="https://twitter.com/Perduesenate/status/1321903636335726594" TargetMode="External"/><Relationship Id="rId49" Type="http://schemas.openxmlformats.org/officeDocument/2006/relationships/hyperlink" Target="https://twitter.com/Perduesenate/status/1321593243482628101" TargetMode="External"/><Relationship Id="rId114" Type="http://schemas.openxmlformats.org/officeDocument/2006/relationships/hyperlink" Target="https://twitter.com/Perduesenate/status/1316781508728848390" TargetMode="External"/><Relationship Id="rId60" Type="http://schemas.openxmlformats.org/officeDocument/2006/relationships/hyperlink" Target="https://twitter.com/Perduesenate/status/1321489534689882113" TargetMode="External"/><Relationship Id="rId81" Type="http://schemas.openxmlformats.org/officeDocument/2006/relationships/hyperlink" Target="https://twitter.com/Perduesenate/status/1320052725443416064" TargetMode="External"/><Relationship Id="rId135" Type="http://schemas.openxmlformats.org/officeDocument/2006/relationships/hyperlink" Target="https://twitter.com/Perduesenate/status/1315739506742644737" TargetMode="External"/><Relationship Id="rId156" Type="http://schemas.openxmlformats.org/officeDocument/2006/relationships/hyperlink" Target="https://twitter.com/Perduesenate/status/1314590191877849090" TargetMode="External"/><Relationship Id="rId177" Type="http://schemas.openxmlformats.org/officeDocument/2006/relationships/hyperlink" Target="https://twitter.com/Perduesenate/status/1313487218216968193" TargetMode="External"/><Relationship Id="rId18" Type="http://schemas.openxmlformats.org/officeDocument/2006/relationships/hyperlink" Target="https://twitter.com/Perduesenate/status/1321953097581809665" TargetMode="External"/><Relationship Id="rId39" Type="http://schemas.openxmlformats.org/officeDocument/2006/relationships/hyperlink" Target="https://twitter.com/Perduesenate/status/1321599862450868225" TargetMode="External"/></Relationships>
</file>

<file path=xl/worksheets/_rels/sheet30.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printerSettings" Target="../printerSettings/printerSettings7.bin"/><Relationship Id="rId4" Type="http://schemas.openxmlformats.org/officeDocument/2006/relationships/table" Target="../tables/table27.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17" Type="http://schemas.openxmlformats.org/officeDocument/2006/relationships/hyperlink" Target="https://twitter.com/ossoff/status/1320386095088062465" TargetMode="External"/><Relationship Id="rId21" Type="http://schemas.openxmlformats.org/officeDocument/2006/relationships/hyperlink" Target="https://twitter.com/ossoff/status/1323273949166374912" TargetMode="External"/><Relationship Id="rId42" Type="http://schemas.openxmlformats.org/officeDocument/2006/relationships/hyperlink" Target="https://twitter.com/ossoff/status/1322577955487318016" TargetMode="External"/><Relationship Id="rId63" Type="http://schemas.openxmlformats.org/officeDocument/2006/relationships/hyperlink" Target="https://twitter.com/ossoff/status/1321927290373242880" TargetMode="External"/><Relationship Id="rId84" Type="http://schemas.openxmlformats.org/officeDocument/2006/relationships/hyperlink" Target="https://twitter.com/ossoff/status/1321592923583062019" TargetMode="External"/><Relationship Id="rId138" Type="http://schemas.openxmlformats.org/officeDocument/2006/relationships/hyperlink" Target="https://twitter.com/ossoff/status/1319039912818151425" TargetMode="External"/><Relationship Id="rId159" Type="http://schemas.openxmlformats.org/officeDocument/2006/relationships/hyperlink" Target="https://twitter.com/ossoff/status/1317866451961872386" TargetMode="External"/><Relationship Id="rId170" Type="http://schemas.openxmlformats.org/officeDocument/2006/relationships/hyperlink" Target="https://twitter.com/ossoff/status/1317232370580393985" TargetMode="External"/><Relationship Id="rId191" Type="http://schemas.openxmlformats.org/officeDocument/2006/relationships/hyperlink" Target="https://twitter.com/ossoff/status/1316129232116998145" TargetMode="External"/><Relationship Id="rId205" Type="http://schemas.openxmlformats.org/officeDocument/2006/relationships/hyperlink" Target="https://twitter.com/ossoff/status/1315740745404473346" TargetMode="External"/><Relationship Id="rId226" Type="http://schemas.openxmlformats.org/officeDocument/2006/relationships/hyperlink" Target="https://twitter.com/ossoff/status/1314536094877188098" TargetMode="External"/><Relationship Id="rId247" Type="http://schemas.openxmlformats.org/officeDocument/2006/relationships/hyperlink" Target="https://twitter.com/ossoff/status/1313117381259124737" TargetMode="External"/><Relationship Id="rId107" Type="http://schemas.openxmlformats.org/officeDocument/2006/relationships/hyperlink" Target="https://twitter.com/ossoff/status/1320732430450462720" TargetMode="External"/><Relationship Id="rId11" Type="http://schemas.openxmlformats.org/officeDocument/2006/relationships/hyperlink" Target="https://twitter.com/ossoff/status/1323595786580488194" TargetMode="External"/><Relationship Id="rId32" Type="http://schemas.openxmlformats.org/officeDocument/2006/relationships/hyperlink" Target="https://twitter.com/ossoff/status/1322911794357260305" TargetMode="External"/><Relationship Id="rId53" Type="http://schemas.openxmlformats.org/officeDocument/2006/relationships/hyperlink" Target="https://twitter.com/ossoff/status/1322160855891496961" TargetMode="External"/><Relationship Id="rId74" Type="http://schemas.openxmlformats.org/officeDocument/2006/relationships/hyperlink" Target="https://twitter.com/ossoff/status/1321655331940929543" TargetMode="External"/><Relationship Id="rId128" Type="http://schemas.openxmlformats.org/officeDocument/2006/relationships/hyperlink" Target="https://twitter.com/ossoff/status/1319714320511545344" TargetMode="External"/><Relationship Id="rId149" Type="http://schemas.openxmlformats.org/officeDocument/2006/relationships/hyperlink" Target="https://twitter.com/ossoff/status/1318292315484585985" TargetMode="External"/><Relationship Id="rId5" Type="http://schemas.openxmlformats.org/officeDocument/2006/relationships/hyperlink" Target="https://twitter.com/ossoff/status/1323692498640920580" TargetMode="External"/><Relationship Id="rId95" Type="http://schemas.openxmlformats.org/officeDocument/2006/relationships/hyperlink" Target="https://twitter.com/ossoff/status/1321128035714818053" TargetMode="External"/><Relationship Id="rId160" Type="http://schemas.openxmlformats.org/officeDocument/2006/relationships/hyperlink" Target="https://twitter.com/ossoff/status/1317843192042192896" TargetMode="External"/><Relationship Id="rId181" Type="http://schemas.openxmlformats.org/officeDocument/2006/relationships/hyperlink" Target="https://twitter.com/ossoff/status/1316541963164844032" TargetMode="External"/><Relationship Id="rId216" Type="http://schemas.openxmlformats.org/officeDocument/2006/relationships/hyperlink" Target="https://twitter.com/ossoff/status/1315327356287037440" TargetMode="External"/><Relationship Id="rId237" Type="http://schemas.openxmlformats.org/officeDocument/2006/relationships/hyperlink" Target="https://twitter.com/ossoff/status/1313894409944141824" TargetMode="External"/><Relationship Id="rId22" Type="http://schemas.openxmlformats.org/officeDocument/2006/relationships/hyperlink" Target="https://twitter.com/ossoff/status/1323273195412201473" TargetMode="External"/><Relationship Id="rId43" Type="http://schemas.openxmlformats.org/officeDocument/2006/relationships/hyperlink" Target="https://twitter.com/ossoff/status/1322575386211979264" TargetMode="External"/><Relationship Id="rId64" Type="http://schemas.openxmlformats.org/officeDocument/2006/relationships/hyperlink" Target="https://twitter.com/ossoff/status/1321926559368912896" TargetMode="External"/><Relationship Id="rId118" Type="http://schemas.openxmlformats.org/officeDocument/2006/relationships/hyperlink" Target="https://twitter.com/ossoff/status/1320143788824760320" TargetMode="External"/><Relationship Id="rId139" Type="http://schemas.openxmlformats.org/officeDocument/2006/relationships/hyperlink" Target="https://twitter.com/ossoff/status/1318980667707953154" TargetMode="External"/><Relationship Id="rId85" Type="http://schemas.openxmlformats.org/officeDocument/2006/relationships/hyperlink" Target="https://twitter.com/ossoff/status/1321586602498543617" TargetMode="External"/><Relationship Id="rId150" Type="http://schemas.openxmlformats.org/officeDocument/2006/relationships/hyperlink" Target="https://twitter.com/ossoff/status/1318255975384666118" TargetMode="External"/><Relationship Id="rId171" Type="http://schemas.openxmlformats.org/officeDocument/2006/relationships/hyperlink" Target="https://twitter.com/ossoff/status/1317231042089111552" TargetMode="External"/><Relationship Id="rId192" Type="http://schemas.openxmlformats.org/officeDocument/2006/relationships/hyperlink" Target="https://twitter.com/ossoff/status/1316093212755456001" TargetMode="External"/><Relationship Id="rId206" Type="http://schemas.openxmlformats.org/officeDocument/2006/relationships/hyperlink" Target="https://twitter.com/ossoff/status/1315740414360588289" TargetMode="External"/><Relationship Id="rId227" Type="http://schemas.openxmlformats.org/officeDocument/2006/relationships/hyperlink" Target="https://twitter.com/ossoff/status/1314322786761019394" TargetMode="External"/><Relationship Id="rId248" Type="http://schemas.openxmlformats.org/officeDocument/2006/relationships/hyperlink" Target="https://twitter.com/ossoff/status/1313101641063727106" TargetMode="External"/><Relationship Id="rId12" Type="http://schemas.openxmlformats.org/officeDocument/2006/relationships/hyperlink" Target="https://twitter.com/ossoff/status/1323494710451863558" TargetMode="External"/><Relationship Id="rId33" Type="http://schemas.openxmlformats.org/officeDocument/2006/relationships/hyperlink" Target="https://twitter.com/ossoff/status/1322893656039301120" TargetMode="External"/><Relationship Id="rId108" Type="http://schemas.openxmlformats.org/officeDocument/2006/relationships/hyperlink" Target="https://twitter.com/ossoff/status/1320727708024844288" TargetMode="External"/><Relationship Id="rId129" Type="http://schemas.openxmlformats.org/officeDocument/2006/relationships/hyperlink" Target="https://twitter.com/ossoff/status/1319674858884706304" TargetMode="External"/><Relationship Id="rId54" Type="http://schemas.openxmlformats.org/officeDocument/2006/relationships/hyperlink" Target="https://twitter.com/ossoff/status/1322155524390031360" TargetMode="External"/><Relationship Id="rId75" Type="http://schemas.openxmlformats.org/officeDocument/2006/relationships/hyperlink" Target="https://twitter.com/ossoff/status/1321622983157469185" TargetMode="External"/><Relationship Id="rId96" Type="http://schemas.openxmlformats.org/officeDocument/2006/relationships/hyperlink" Target="https://twitter.com/ossoff/status/1321106374965735425" TargetMode="External"/><Relationship Id="rId140" Type="http://schemas.openxmlformats.org/officeDocument/2006/relationships/hyperlink" Target="https://twitter.com/ossoff/status/1318954323125075968" TargetMode="External"/><Relationship Id="rId161" Type="http://schemas.openxmlformats.org/officeDocument/2006/relationships/hyperlink" Target="https://twitter.com/ossoff/status/1317650985758707712" TargetMode="External"/><Relationship Id="rId182" Type="http://schemas.openxmlformats.org/officeDocument/2006/relationships/hyperlink" Target="https://twitter.com/ossoff/status/1316527004519411713" TargetMode="External"/><Relationship Id="rId217" Type="http://schemas.openxmlformats.org/officeDocument/2006/relationships/hyperlink" Target="https://twitter.com/ossoff/status/1315315832772333568" TargetMode="External"/><Relationship Id="rId6" Type="http://schemas.openxmlformats.org/officeDocument/2006/relationships/hyperlink" Target="https://twitter.com/ossoff/status/1323626848690016256" TargetMode="External"/><Relationship Id="rId238" Type="http://schemas.openxmlformats.org/officeDocument/2006/relationships/hyperlink" Target="https://twitter.com/ossoff/status/1313845102310297607" TargetMode="External"/><Relationship Id="rId23" Type="http://schemas.openxmlformats.org/officeDocument/2006/relationships/hyperlink" Target="https://twitter.com/ossoff/status/1323267295456727040" TargetMode="External"/><Relationship Id="rId119" Type="http://schemas.openxmlformats.org/officeDocument/2006/relationships/hyperlink" Target="https://twitter.com/ossoff/status/1320132297941749764" TargetMode="External"/><Relationship Id="rId44" Type="http://schemas.openxmlformats.org/officeDocument/2006/relationships/hyperlink" Target="https://twitter.com/ossoff/status/1322556081286090752" TargetMode="External"/><Relationship Id="rId65" Type="http://schemas.openxmlformats.org/officeDocument/2006/relationships/hyperlink" Target="https://twitter.com/ossoff/status/1321915627339161602" TargetMode="External"/><Relationship Id="rId86" Type="http://schemas.openxmlformats.org/officeDocument/2006/relationships/hyperlink" Target="https://twitter.com/ossoff/status/1321562693757751297" TargetMode="External"/><Relationship Id="rId130" Type="http://schemas.openxmlformats.org/officeDocument/2006/relationships/hyperlink" Target="https://twitter.com/ossoff/status/1319461609681702912" TargetMode="External"/><Relationship Id="rId151" Type="http://schemas.openxmlformats.org/officeDocument/2006/relationships/hyperlink" Target="https://twitter.com/ossoff/status/1318230124815355905" TargetMode="External"/><Relationship Id="rId172" Type="http://schemas.openxmlformats.org/officeDocument/2006/relationships/hyperlink" Target="https://twitter.com/ossoff/status/1317195414865629184" TargetMode="External"/><Relationship Id="rId193" Type="http://schemas.openxmlformats.org/officeDocument/2006/relationships/hyperlink" Target="https://twitter.com/ossoff/status/1316081129095663617" TargetMode="External"/><Relationship Id="rId207" Type="http://schemas.openxmlformats.org/officeDocument/2006/relationships/hyperlink" Target="https://twitter.com/ossoff/status/1315737618026557442" TargetMode="External"/><Relationship Id="rId228" Type="http://schemas.openxmlformats.org/officeDocument/2006/relationships/hyperlink" Target="https://twitter.com/ossoff/status/1314278836348088322" TargetMode="External"/><Relationship Id="rId249" Type="http://schemas.openxmlformats.org/officeDocument/2006/relationships/hyperlink" Target="https://twitter.com/ossoff/status/1312884448434761728" TargetMode="External"/><Relationship Id="rId13" Type="http://schemas.openxmlformats.org/officeDocument/2006/relationships/hyperlink" Target="https://twitter.com/ossoff/status/1323483521747472390" TargetMode="External"/><Relationship Id="rId109" Type="http://schemas.openxmlformats.org/officeDocument/2006/relationships/hyperlink" Target="https://twitter.com/ossoff/status/1320726079380824066" TargetMode="External"/><Relationship Id="rId34" Type="http://schemas.openxmlformats.org/officeDocument/2006/relationships/hyperlink" Target="https://twitter.com/ossoff/status/1322741165456822277" TargetMode="External"/><Relationship Id="rId55" Type="http://schemas.openxmlformats.org/officeDocument/2006/relationships/hyperlink" Target="https://twitter.com/ossoff/status/1322153781333696512" TargetMode="External"/><Relationship Id="rId76" Type="http://schemas.openxmlformats.org/officeDocument/2006/relationships/hyperlink" Target="https://twitter.com/ossoff/status/1321615639430180865" TargetMode="External"/><Relationship Id="rId97" Type="http://schemas.openxmlformats.org/officeDocument/2006/relationships/hyperlink" Target="https://twitter.com/ossoff/status/1321105292864663552" TargetMode="External"/><Relationship Id="rId120" Type="http://schemas.openxmlformats.org/officeDocument/2006/relationships/hyperlink" Target="https://twitter.com/ossoff/status/1320107328646033408" TargetMode="External"/><Relationship Id="rId141" Type="http://schemas.openxmlformats.org/officeDocument/2006/relationships/hyperlink" Target="https://twitter.com/ossoff/status/1318953931041624065" TargetMode="External"/><Relationship Id="rId7" Type="http://schemas.openxmlformats.org/officeDocument/2006/relationships/hyperlink" Target="https://twitter.com/ossoff/status/1323623222282199040" TargetMode="External"/><Relationship Id="rId162" Type="http://schemas.openxmlformats.org/officeDocument/2006/relationships/hyperlink" Target="https://twitter.com/ossoff/status/1317650206146629632" TargetMode="External"/><Relationship Id="rId183" Type="http://schemas.openxmlformats.org/officeDocument/2006/relationships/hyperlink" Target="https://twitter.com/ossoff/status/1316523624212262912" TargetMode="External"/><Relationship Id="rId218" Type="http://schemas.openxmlformats.org/officeDocument/2006/relationships/hyperlink" Target="https://twitter.com/ossoff/status/1315062212617220100" TargetMode="External"/><Relationship Id="rId239" Type="http://schemas.openxmlformats.org/officeDocument/2006/relationships/hyperlink" Target="https://twitter.com/ossoff/status/1313652959633342464" TargetMode="External"/><Relationship Id="rId250" Type="http://schemas.openxmlformats.org/officeDocument/2006/relationships/hyperlink" Target="https://twitter.com/ossoff/status/1312804055316606978" TargetMode="External"/><Relationship Id="rId24" Type="http://schemas.openxmlformats.org/officeDocument/2006/relationships/hyperlink" Target="https://twitter.com/ossoff/status/1323263593077448704" TargetMode="External"/><Relationship Id="rId45" Type="http://schemas.openxmlformats.org/officeDocument/2006/relationships/hyperlink" Target="https://twitter.com/ossoff/status/1322531267783483393" TargetMode="External"/><Relationship Id="rId66" Type="http://schemas.openxmlformats.org/officeDocument/2006/relationships/hyperlink" Target="https://twitter.com/ossoff/status/1321914463428268033" TargetMode="External"/><Relationship Id="rId87" Type="http://schemas.openxmlformats.org/officeDocument/2006/relationships/hyperlink" Target="https://twitter.com/ossoff/status/1321546691628191744" TargetMode="External"/><Relationship Id="rId110" Type="http://schemas.openxmlformats.org/officeDocument/2006/relationships/hyperlink" Target="https://twitter.com/ossoff/status/1320704229716201472" TargetMode="External"/><Relationship Id="rId131" Type="http://schemas.openxmlformats.org/officeDocument/2006/relationships/hyperlink" Target="https://twitter.com/ossoff/status/1319418410430795778" TargetMode="External"/><Relationship Id="rId152" Type="http://schemas.openxmlformats.org/officeDocument/2006/relationships/hyperlink" Target="https://twitter.com/ossoff/status/1318223509097730049" TargetMode="External"/><Relationship Id="rId173" Type="http://schemas.openxmlformats.org/officeDocument/2006/relationships/hyperlink" Target="https://twitter.com/ossoff/status/1317132586968338432" TargetMode="External"/><Relationship Id="rId194" Type="http://schemas.openxmlformats.org/officeDocument/2006/relationships/hyperlink" Target="https://twitter.com/ossoff/status/1316024810250461185" TargetMode="External"/><Relationship Id="rId208" Type="http://schemas.openxmlformats.org/officeDocument/2006/relationships/hyperlink" Target="https://twitter.com/ossoff/status/1315735369795670017" TargetMode="External"/><Relationship Id="rId229" Type="http://schemas.openxmlformats.org/officeDocument/2006/relationships/hyperlink" Target="https://twitter.com/ossoff/status/1314259097005555715" TargetMode="External"/><Relationship Id="rId240" Type="http://schemas.openxmlformats.org/officeDocument/2006/relationships/hyperlink" Target="https://twitter.com/ossoff/status/1313590192528330754" TargetMode="External"/><Relationship Id="rId14" Type="http://schemas.openxmlformats.org/officeDocument/2006/relationships/hyperlink" Target="https://twitter.com/ossoff/status/1323458634173632513" TargetMode="External"/><Relationship Id="rId35" Type="http://schemas.openxmlformats.org/officeDocument/2006/relationships/hyperlink" Target="https://twitter.com/ossoff/status/1322687226954817539" TargetMode="External"/><Relationship Id="rId56" Type="http://schemas.openxmlformats.org/officeDocument/2006/relationships/hyperlink" Target="https://twitter.com/ossoff/status/1322011148229763073" TargetMode="External"/><Relationship Id="rId77" Type="http://schemas.openxmlformats.org/officeDocument/2006/relationships/hyperlink" Target="https://twitter.com/ossoff/status/1321613904905228288" TargetMode="External"/><Relationship Id="rId100" Type="http://schemas.openxmlformats.org/officeDocument/2006/relationships/hyperlink" Target="https://twitter.com/ossoff/status/1321076617129713664" TargetMode="External"/><Relationship Id="rId8" Type="http://schemas.openxmlformats.org/officeDocument/2006/relationships/hyperlink" Target="https://twitter.com/ossoff/status/1323620695755075585" TargetMode="External"/><Relationship Id="rId98" Type="http://schemas.openxmlformats.org/officeDocument/2006/relationships/hyperlink" Target="https://twitter.com/ossoff/status/1321081483063447554" TargetMode="External"/><Relationship Id="rId121" Type="http://schemas.openxmlformats.org/officeDocument/2006/relationships/hyperlink" Target="https://twitter.com/ossoff/status/1320106781570367488" TargetMode="External"/><Relationship Id="rId142" Type="http://schemas.openxmlformats.org/officeDocument/2006/relationships/hyperlink" Target="https://twitter.com/ossoff/status/1318900730363842562" TargetMode="External"/><Relationship Id="rId163" Type="http://schemas.openxmlformats.org/officeDocument/2006/relationships/hyperlink" Target="https://twitter.com/ossoff/status/1317608586302939136" TargetMode="External"/><Relationship Id="rId184" Type="http://schemas.openxmlformats.org/officeDocument/2006/relationships/hyperlink" Target="https://twitter.com/ossoff/status/1316498393141784576" TargetMode="External"/><Relationship Id="rId219" Type="http://schemas.openxmlformats.org/officeDocument/2006/relationships/hyperlink" Target="https://twitter.com/ossoff/status/1315006769513615360" TargetMode="External"/><Relationship Id="rId230" Type="http://schemas.openxmlformats.org/officeDocument/2006/relationships/hyperlink" Target="https://twitter.com/ossoff/status/1314237659028615173" TargetMode="External"/><Relationship Id="rId251" Type="http://schemas.openxmlformats.org/officeDocument/2006/relationships/hyperlink" Target="https://twitter.com/ossoff/status/1312789109535051777" TargetMode="External"/><Relationship Id="rId25" Type="http://schemas.openxmlformats.org/officeDocument/2006/relationships/hyperlink" Target="https://twitter.com/ossoff/status/1323062597776793600" TargetMode="External"/><Relationship Id="rId46" Type="http://schemas.openxmlformats.org/officeDocument/2006/relationships/hyperlink" Target="https://twitter.com/ossoff/status/1322516168700289025" TargetMode="External"/><Relationship Id="rId67" Type="http://schemas.openxmlformats.org/officeDocument/2006/relationships/hyperlink" Target="https://twitter.com/ossoff/status/1321870255216623619" TargetMode="External"/><Relationship Id="rId88" Type="http://schemas.openxmlformats.org/officeDocument/2006/relationships/hyperlink" Target="https://twitter.com/ossoff/status/1321523750198779906" TargetMode="External"/><Relationship Id="rId111" Type="http://schemas.openxmlformats.org/officeDocument/2006/relationships/hyperlink" Target="https://twitter.com/ossoff/status/1320558487462678528" TargetMode="External"/><Relationship Id="rId132" Type="http://schemas.openxmlformats.org/officeDocument/2006/relationships/hyperlink" Target="https://twitter.com/ossoff/status/1319348835920076800" TargetMode="External"/><Relationship Id="rId153" Type="http://schemas.openxmlformats.org/officeDocument/2006/relationships/hyperlink" Target="https://twitter.com/ossoff/status/1318188434075340806" TargetMode="External"/><Relationship Id="rId174" Type="http://schemas.openxmlformats.org/officeDocument/2006/relationships/hyperlink" Target="https://twitter.com/ossoff/status/1317132352062185473" TargetMode="External"/><Relationship Id="rId195" Type="http://schemas.openxmlformats.org/officeDocument/2006/relationships/hyperlink" Target="https://twitter.com/ossoff/status/1316000736577163264" TargetMode="External"/><Relationship Id="rId209" Type="http://schemas.openxmlformats.org/officeDocument/2006/relationships/hyperlink" Target="https://twitter.com/ossoff/status/1315734670328451075" TargetMode="External"/><Relationship Id="rId220" Type="http://schemas.openxmlformats.org/officeDocument/2006/relationships/hyperlink" Target="https://twitter.com/ossoff/status/1314986915603656705" TargetMode="External"/><Relationship Id="rId241" Type="http://schemas.openxmlformats.org/officeDocument/2006/relationships/hyperlink" Target="https://twitter.com/ossoff/status/1313541498567307264" TargetMode="External"/><Relationship Id="rId15" Type="http://schemas.openxmlformats.org/officeDocument/2006/relationships/hyperlink" Target="https://twitter.com/ossoff/status/1323438562801582082" TargetMode="External"/><Relationship Id="rId36" Type="http://schemas.openxmlformats.org/officeDocument/2006/relationships/hyperlink" Target="https://twitter.com/ossoff/status/1322685784638525441" TargetMode="External"/><Relationship Id="rId57" Type="http://schemas.openxmlformats.org/officeDocument/2006/relationships/hyperlink" Target="https://twitter.com/ossoff/status/1322008643940864002" TargetMode="External"/><Relationship Id="rId78" Type="http://schemas.openxmlformats.org/officeDocument/2006/relationships/hyperlink" Target="https://twitter.com/ossoff/status/1321609275433721857" TargetMode="External"/><Relationship Id="rId99" Type="http://schemas.openxmlformats.org/officeDocument/2006/relationships/hyperlink" Target="https://twitter.com/ossoff/status/1321079797997572104" TargetMode="External"/><Relationship Id="rId101" Type="http://schemas.openxmlformats.org/officeDocument/2006/relationships/hyperlink" Target="https://twitter.com/ossoff/status/1320886226606608384" TargetMode="External"/><Relationship Id="rId122" Type="http://schemas.openxmlformats.org/officeDocument/2006/relationships/hyperlink" Target="https://twitter.com/ossoff/status/1320048882336804864" TargetMode="External"/><Relationship Id="rId143" Type="http://schemas.openxmlformats.org/officeDocument/2006/relationships/hyperlink" Target="https://twitter.com/ossoff/status/1318649415419256840" TargetMode="External"/><Relationship Id="rId164" Type="http://schemas.openxmlformats.org/officeDocument/2006/relationships/hyperlink" Target="https://twitter.com/ossoff/status/1317570403951411207" TargetMode="External"/><Relationship Id="rId185" Type="http://schemas.openxmlformats.org/officeDocument/2006/relationships/hyperlink" Target="https://twitter.com/ossoff/status/1316481561093644294" TargetMode="External"/><Relationship Id="rId9" Type="http://schemas.openxmlformats.org/officeDocument/2006/relationships/hyperlink" Target="https://twitter.com/ossoff/status/1323619354303496193" TargetMode="External"/><Relationship Id="rId210" Type="http://schemas.openxmlformats.org/officeDocument/2006/relationships/hyperlink" Target="https://twitter.com/ossoff/status/1315732586874929152" TargetMode="External"/><Relationship Id="rId26" Type="http://schemas.openxmlformats.org/officeDocument/2006/relationships/hyperlink" Target="https://twitter.com/ossoff/status/1323061192139497472" TargetMode="External"/><Relationship Id="rId231" Type="http://schemas.openxmlformats.org/officeDocument/2006/relationships/hyperlink" Target="https://twitter.com/ossoff/status/1314191381154455552" TargetMode="External"/><Relationship Id="rId252" Type="http://schemas.openxmlformats.org/officeDocument/2006/relationships/hyperlink" Target="https://twitter.com/ossoff/status/1312528279463583745" TargetMode="External"/><Relationship Id="rId47" Type="http://schemas.openxmlformats.org/officeDocument/2006/relationships/hyperlink" Target="https://twitter.com/ossoff/status/1322340566290604039" TargetMode="External"/><Relationship Id="rId68" Type="http://schemas.openxmlformats.org/officeDocument/2006/relationships/hyperlink" Target="https://twitter.com/ossoff/status/1321844017353674752" TargetMode="External"/><Relationship Id="rId89" Type="http://schemas.openxmlformats.org/officeDocument/2006/relationships/hyperlink" Target="https://twitter.com/ossoff/status/1321451812965277701" TargetMode="External"/><Relationship Id="rId112" Type="http://schemas.openxmlformats.org/officeDocument/2006/relationships/hyperlink" Target="https://twitter.com/ossoff/status/1320517832283742215" TargetMode="External"/><Relationship Id="rId133" Type="http://schemas.openxmlformats.org/officeDocument/2006/relationships/hyperlink" Target="https://twitter.com/ossoff/status/1319327316514869254" TargetMode="External"/><Relationship Id="rId154" Type="http://schemas.openxmlformats.org/officeDocument/2006/relationships/hyperlink" Target="https://twitter.com/ossoff/status/1318188024757424129" TargetMode="External"/><Relationship Id="rId175" Type="http://schemas.openxmlformats.org/officeDocument/2006/relationships/hyperlink" Target="https://twitter.com/ossoff/status/1317112375967875072" TargetMode="External"/><Relationship Id="rId196" Type="http://schemas.openxmlformats.org/officeDocument/2006/relationships/hyperlink" Target="https://twitter.com/ossoff/status/1315846428254666755" TargetMode="External"/><Relationship Id="rId200" Type="http://schemas.openxmlformats.org/officeDocument/2006/relationships/hyperlink" Target="https://twitter.com/ossoff/status/1315782696581435392" TargetMode="External"/><Relationship Id="rId16" Type="http://schemas.openxmlformats.org/officeDocument/2006/relationships/hyperlink" Target="https://twitter.com/ossoff/status/1323398672739143683" TargetMode="External"/><Relationship Id="rId221" Type="http://schemas.openxmlformats.org/officeDocument/2006/relationships/hyperlink" Target="https://twitter.com/ossoff/status/1314937256893964293" TargetMode="External"/><Relationship Id="rId242" Type="http://schemas.openxmlformats.org/officeDocument/2006/relationships/hyperlink" Target="https://twitter.com/ossoff/status/1313507395545559041" TargetMode="External"/><Relationship Id="rId37" Type="http://schemas.openxmlformats.org/officeDocument/2006/relationships/hyperlink" Target="https://twitter.com/ossoff/status/1322633841165717509" TargetMode="External"/><Relationship Id="rId58" Type="http://schemas.openxmlformats.org/officeDocument/2006/relationships/hyperlink" Target="https://twitter.com/ossoff/status/1322002980229492738" TargetMode="External"/><Relationship Id="rId79" Type="http://schemas.openxmlformats.org/officeDocument/2006/relationships/hyperlink" Target="https://twitter.com/ossoff/status/1321603398752415746" TargetMode="External"/><Relationship Id="rId102" Type="http://schemas.openxmlformats.org/officeDocument/2006/relationships/hyperlink" Target="https://twitter.com/ossoff/status/1320884835318145025" TargetMode="External"/><Relationship Id="rId123" Type="http://schemas.openxmlformats.org/officeDocument/2006/relationships/hyperlink" Target="https://twitter.com/ossoff/status/1320033364586409986" TargetMode="External"/><Relationship Id="rId144" Type="http://schemas.openxmlformats.org/officeDocument/2006/relationships/hyperlink" Target="https://twitter.com/ossoff/status/1318640790642544641" TargetMode="External"/><Relationship Id="rId90" Type="http://schemas.openxmlformats.org/officeDocument/2006/relationships/hyperlink" Target="https://twitter.com/ossoff/status/1321288113977724932" TargetMode="External"/><Relationship Id="rId165" Type="http://schemas.openxmlformats.org/officeDocument/2006/relationships/hyperlink" Target="https://twitter.com/ossoff/status/1317528476082180099" TargetMode="External"/><Relationship Id="rId186" Type="http://schemas.openxmlformats.org/officeDocument/2006/relationships/hyperlink" Target="https://twitter.com/ossoff/status/1316444984984436736" TargetMode="External"/><Relationship Id="rId211" Type="http://schemas.openxmlformats.org/officeDocument/2006/relationships/hyperlink" Target="https://twitter.com/ossoff/status/1315727686921269249" TargetMode="External"/><Relationship Id="rId232" Type="http://schemas.openxmlformats.org/officeDocument/2006/relationships/hyperlink" Target="https://twitter.com/ossoff/status/1314030045552349184" TargetMode="External"/><Relationship Id="rId253" Type="http://schemas.openxmlformats.org/officeDocument/2006/relationships/hyperlink" Target="https://twitter.com/ossoff/status/1312464971494649857" TargetMode="External"/><Relationship Id="rId27" Type="http://schemas.openxmlformats.org/officeDocument/2006/relationships/hyperlink" Target="https://twitter.com/ossoff/status/1323019265784598529" TargetMode="External"/><Relationship Id="rId48" Type="http://schemas.openxmlformats.org/officeDocument/2006/relationships/hyperlink" Target="https://twitter.com/ossoff/status/1322296629421133824" TargetMode="External"/><Relationship Id="rId69" Type="http://schemas.openxmlformats.org/officeDocument/2006/relationships/hyperlink" Target="https://twitter.com/ossoff/status/1321828009184272384" TargetMode="External"/><Relationship Id="rId113" Type="http://schemas.openxmlformats.org/officeDocument/2006/relationships/hyperlink" Target="https://twitter.com/ossoff/status/1320469727609790469" TargetMode="External"/><Relationship Id="rId134" Type="http://schemas.openxmlformats.org/officeDocument/2006/relationships/hyperlink" Target="https://twitter.com/ossoff/status/1319311793840410625" TargetMode="External"/><Relationship Id="rId80" Type="http://schemas.openxmlformats.org/officeDocument/2006/relationships/hyperlink" Target="https://twitter.com/ossoff/status/1321600667639832576" TargetMode="External"/><Relationship Id="rId155" Type="http://schemas.openxmlformats.org/officeDocument/2006/relationships/hyperlink" Target="https://twitter.com/ossoff/status/1318018731646255104" TargetMode="External"/><Relationship Id="rId176" Type="http://schemas.openxmlformats.org/officeDocument/2006/relationships/hyperlink" Target="https://twitter.com/ossoff/status/1317080352758714370" TargetMode="External"/><Relationship Id="rId197" Type="http://schemas.openxmlformats.org/officeDocument/2006/relationships/hyperlink" Target="https://twitter.com/ossoff/status/1315834979469926400" TargetMode="External"/><Relationship Id="rId201" Type="http://schemas.openxmlformats.org/officeDocument/2006/relationships/hyperlink" Target="https://twitter.com/ossoff/status/1315776753768554496" TargetMode="External"/><Relationship Id="rId222" Type="http://schemas.openxmlformats.org/officeDocument/2006/relationships/hyperlink" Target="https://twitter.com/ossoff/status/1314738812296327170" TargetMode="External"/><Relationship Id="rId243" Type="http://schemas.openxmlformats.org/officeDocument/2006/relationships/hyperlink" Target="https://twitter.com/ossoff/status/1313237310985691143" TargetMode="External"/><Relationship Id="rId17" Type="http://schemas.openxmlformats.org/officeDocument/2006/relationships/hyperlink" Target="https://twitter.com/ossoff/status/1323391066016485376" TargetMode="External"/><Relationship Id="rId38" Type="http://schemas.openxmlformats.org/officeDocument/2006/relationships/hyperlink" Target="https://twitter.com/ossoff/status/1322629414358716416" TargetMode="External"/><Relationship Id="rId59" Type="http://schemas.openxmlformats.org/officeDocument/2006/relationships/hyperlink" Target="https://twitter.com/ossoff/status/1321982157997441024" TargetMode="External"/><Relationship Id="rId103" Type="http://schemas.openxmlformats.org/officeDocument/2006/relationships/hyperlink" Target="https://twitter.com/ossoff/status/1320853637481041922" TargetMode="External"/><Relationship Id="rId124" Type="http://schemas.openxmlformats.org/officeDocument/2006/relationships/hyperlink" Target="https://twitter.com/ossoff/status/1320019599983861761" TargetMode="External"/><Relationship Id="rId70" Type="http://schemas.openxmlformats.org/officeDocument/2006/relationships/hyperlink" Target="https://twitter.com/ossoff/status/1321791393551970305" TargetMode="External"/><Relationship Id="rId91" Type="http://schemas.openxmlformats.org/officeDocument/2006/relationships/hyperlink" Target="https://twitter.com/ossoff/status/1321286410347884552" TargetMode="External"/><Relationship Id="rId145" Type="http://schemas.openxmlformats.org/officeDocument/2006/relationships/hyperlink" Target="https://twitter.com/ossoff/status/1318627949973745666" TargetMode="External"/><Relationship Id="rId166" Type="http://schemas.openxmlformats.org/officeDocument/2006/relationships/hyperlink" Target="https://twitter.com/ossoff/status/1317464377684090882" TargetMode="External"/><Relationship Id="rId187" Type="http://schemas.openxmlformats.org/officeDocument/2006/relationships/hyperlink" Target="https://twitter.com/ossoff/status/1316411322016432128" TargetMode="External"/><Relationship Id="rId1" Type="http://schemas.openxmlformats.org/officeDocument/2006/relationships/hyperlink" Target="https://twitter.com/ossoff/status/1323767015878873091" TargetMode="External"/><Relationship Id="rId212" Type="http://schemas.openxmlformats.org/officeDocument/2006/relationships/hyperlink" Target="https://twitter.com/ossoff/status/1315660997978398720" TargetMode="External"/><Relationship Id="rId233" Type="http://schemas.openxmlformats.org/officeDocument/2006/relationships/hyperlink" Target="https://twitter.com/ossoff/status/1314019882426609664" TargetMode="External"/><Relationship Id="rId254" Type="http://schemas.openxmlformats.org/officeDocument/2006/relationships/hyperlink" Target="https://twitter.com/ossoff/status/1312426433994608642" TargetMode="External"/><Relationship Id="rId28" Type="http://schemas.openxmlformats.org/officeDocument/2006/relationships/hyperlink" Target="https://twitter.com/ossoff/status/1322995588854665216" TargetMode="External"/><Relationship Id="rId49" Type="http://schemas.openxmlformats.org/officeDocument/2006/relationships/hyperlink" Target="https://twitter.com/ossoff/status/1322294253100421125" TargetMode="External"/><Relationship Id="rId114" Type="http://schemas.openxmlformats.org/officeDocument/2006/relationships/hyperlink" Target="https://twitter.com/ossoff/status/1320431044512960515" TargetMode="External"/><Relationship Id="rId60" Type="http://schemas.openxmlformats.org/officeDocument/2006/relationships/hyperlink" Target="https://twitter.com/ossoff/status/1321946138161930242" TargetMode="External"/><Relationship Id="rId81" Type="http://schemas.openxmlformats.org/officeDocument/2006/relationships/hyperlink" Target="https://twitter.com/ossoff/status/1321599070566293515" TargetMode="External"/><Relationship Id="rId135" Type="http://schemas.openxmlformats.org/officeDocument/2006/relationships/hyperlink" Target="https://twitter.com/ossoff/status/1319279394578296836" TargetMode="External"/><Relationship Id="rId156" Type="http://schemas.openxmlformats.org/officeDocument/2006/relationships/hyperlink" Target="https://twitter.com/ossoff/status/1317944385355567105" TargetMode="External"/><Relationship Id="rId177" Type="http://schemas.openxmlformats.org/officeDocument/2006/relationships/hyperlink" Target="https://twitter.com/ossoff/status/1316847990343176192" TargetMode="External"/><Relationship Id="rId198" Type="http://schemas.openxmlformats.org/officeDocument/2006/relationships/hyperlink" Target="https://twitter.com/ossoff/status/1315822964558962694" TargetMode="External"/><Relationship Id="rId202" Type="http://schemas.openxmlformats.org/officeDocument/2006/relationships/hyperlink" Target="https://twitter.com/ossoff/status/1315773535126728712" TargetMode="External"/><Relationship Id="rId223" Type="http://schemas.openxmlformats.org/officeDocument/2006/relationships/hyperlink" Target="https://twitter.com/ossoff/status/1314657889731178496" TargetMode="External"/><Relationship Id="rId244" Type="http://schemas.openxmlformats.org/officeDocument/2006/relationships/hyperlink" Target="https://twitter.com/ossoff/status/1313200643826479111" TargetMode="External"/><Relationship Id="rId18" Type="http://schemas.openxmlformats.org/officeDocument/2006/relationships/hyperlink" Target="https://twitter.com/ossoff/status/1323366096062337024" TargetMode="External"/><Relationship Id="rId39" Type="http://schemas.openxmlformats.org/officeDocument/2006/relationships/hyperlink" Target="https://twitter.com/ossoff/status/1322615453383069697" TargetMode="External"/><Relationship Id="rId50" Type="http://schemas.openxmlformats.org/officeDocument/2006/relationships/hyperlink" Target="https://twitter.com/ossoff/status/1322251931549638657" TargetMode="External"/><Relationship Id="rId104" Type="http://schemas.openxmlformats.org/officeDocument/2006/relationships/hyperlink" Target="https://twitter.com/ossoff/status/1320779222948958208" TargetMode="External"/><Relationship Id="rId125" Type="http://schemas.openxmlformats.org/officeDocument/2006/relationships/hyperlink" Target="https://twitter.com/ossoff/status/1319802166396243968" TargetMode="External"/><Relationship Id="rId146" Type="http://schemas.openxmlformats.org/officeDocument/2006/relationships/hyperlink" Target="https://twitter.com/ossoff/status/1318537451808456705" TargetMode="External"/><Relationship Id="rId167" Type="http://schemas.openxmlformats.org/officeDocument/2006/relationships/hyperlink" Target="https://twitter.com/ossoff/status/1317463841777897473" TargetMode="External"/><Relationship Id="rId188" Type="http://schemas.openxmlformats.org/officeDocument/2006/relationships/hyperlink" Target="https://twitter.com/ossoff/status/1316404765627240450" TargetMode="External"/><Relationship Id="rId71" Type="http://schemas.openxmlformats.org/officeDocument/2006/relationships/hyperlink" Target="https://twitter.com/ossoff/status/1321667044446818310" TargetMode="External"/><Relationship Id="rId92" Type="http://schemas.openxmlformats.org/officeDocument/2006/relationships/hyperlink" Target="https://twitter.com/ossoff/status/1321275468918759425" TargetMode="External"/><Relationship Id="rId213" Type="http://schemas.openxmlformats.org/officeDocument/2006/relationships/hyperlink" Target="https://twitter.com/ossoff/status/1315643573476483072" TargetMode="External"/><Relationship Id="rId234" Type="http://schemas.openxmlformats.org/officeDocument/2006/relationships/hyperlink" Target="https://twitter.com/ossoff/status/1314010987360649217" TargetMode="External"/><Relationship Id="rId2" Type="http://schemas.openxmlformats.org/officeDocument/2006/relationships/hyperlink" Target="https://twitter.com/ossoff/status/1323752503532507141" TargetMode="External"/><Relationship Id="rId29" Type="http://schemas.openxmlformats.org/officeDocument/2006/relationships/hyperlink" Target="https://twitter.com/ossoff/status/1322946505108557826" TargetMode="External"/><Relationship Id="rId255" Type="http://schemas.openxmlformats.org/officeDocument/2006/relationships/hyperlink" Target="https://twitter.com/ossoff/status/1312370062788091906" TargetMode="External"/><Relationship Id="rId40" Type="http://schemas.openxmlformats.org/officeDocument/2006/relationships/hyperlink" Target="https://twitter.com/ossoff/status/1322593353226211331" TargetMode="External"/><Relationship Id="rId115" Type="http://schemas.openxmlformats.org/officeDocument/2006/relationships/hyperlink" Target="https://twitter.com/ossoff/status/1320424340849102850" TargetMode="External"/><Relationship Id="rId136" Type="http://schemas.openxmlformats.org/officeDocument/2006/relationships/hyperlink" Target="https://twitter.com/ossoff/status/1319278902565433347" TargetMode="External"/><Relationship Id="rId157" Type="http://schemas.openxmlformats.org/officeDocument/2006/relationships/hyperlink" Target="https://twitter.com/ossoff/status/1317908336721932288" TargetMode="External"/><Relationship Id="rId178" Type="http://schemas.openxmlformats.org/officeDocument/2006/relationships/hyperlink" Target="https://twitter.com/ossoff/status/1316820760523087873" TargetMode="External"/><Relationship Id="rId61" Type="http://schemas.openxmlformats.org/officeDocument/2006/relationships/hyperlink" Target="https://twitter.com/ossoff/status/1321942387757846529" TargetMode="External"/><Relationship Id="rId82" Type="http://schemas.openxmlformats.org/officeDocument/2006/relationships/hyperlink" Target="https://twitter.com/ossoff/status/1321597833397547008" TargetMode="External"/><Relationship Id="rId199" Type="http://schemas.openxmlformats.org/officeDocument/2006/relationships/hyperlink" Target="https://twitter.com/ossoff/status/1315800068839165959" TargetMode="External"/><Relationship Id="rId203" Type="http://schemas.openxmlformats.org/officeDocument/2006/relationships/hyperlink" Target="https://twitter.com/ossoff/status/1315745207195967488" TargetMode="External"/><Relationship Id="rId19" Type="http://schemas.openxmlformats.org/officeDocument/2006/relationships/hyperlink" Target="https://twitter.com/ossoff/status/1323361332343787521" TargetMode="External"/><Relationship Id="rId224" Type="http://schemas.openxmlformats.org/officeDocument/2006/relationships/hyperlink" Target="https://twitter.com/ossoff/status/1314621512884850688" TargetMode="External"/><Relationship Id="rId245" Type="http://schemas.openxmlformats.org/officeDocument/2006/relationships/hyperlink" Target="https://twitter.com/ossoff/status/1313185033994285057" TargetMode="External"/><Relationship Id="rId30" Type="http://schemas.openxmlformats.org/officeDocument/2006/relationships/hyperlink" Target="https://twitter.com/ossoff/status/1322931403844132868" TargetMode="External"/><Relationship Id="rId105" Type="http://schemas.openxmlformats.org/officeDocument/2006/relationships/hyperlink" Target="https://twitter.com/ossoff/status/1320778885995339777" TargetMode="External"/><Relationship Id="rId126" Type="http://schemas.openxmlformats.org/officeDocument/2006/relationships/hyperlink" Target="https://twitter.com/ossoff/status/1319746951819235336" TargetMode="External"/><Relationship Id="rId147" Type="http://schemas.openxmlformats.org/officeDocument/2006/relationships/hyperlink" Target="https://twitter.com/ossoff/status/1318522358055927808" TargetMode="External"/><Relationship Id="rId168" Type="http://schemas.openxmlformats.org/officeDocument/2006/relationships/hyperlink" Target="https://twitter.com/ossoff/status/1317259038145511427" TargetMode="External"/><Relationship Id="rId51" Type="http://schemas.openxmlformats.org/officeDocument/2006/relationships/hyperlink" Target="https://twitter.com/ossoff/status/1322225052444774402" TargetMode="External"/><Relationship Id="rId72" Type="http://schemas.openxmlformats.org/officeDocument/2006/relationships/hyperlink" Target="https://twitter.com/ossoff/status/1321663557998694400" TargetMode="External"/><Relationship Id="rId93" Type="http://schemas.openxmlformats.org/officeDocument/2006/relationships/hyperlink" Target="https://twitter.com/ossoff/status/1321157213277151232" TargetMode="External"/><Relationship Id="rId189" Type="http://schemas.openxmlformats.org/officeDocument/2006/relationships/hyperlink" Target="https://twitter.com/ossoff/status/1316397166592700416" TargetMode="External"/><Relationship Id="rId3" Type="http://schemas.openxmlformats.org/officeDocument/2006/relationships/hyperlink" Target="https://twitter.com/ossoff/status/1323731232602099712" TargetMode="External"/><Relationship Id="rId214" Type="http://schemas.openxmlformats.org/officeDocument/2006/relationships/hyperlink" Target="https://twitter.com/ossoff/status/1315623250383249408" TargetMode="External"/><Relationship Id="rId235" Type="http://schemas.openxmlformats.org/officeDocument/2006/relationships/hyperlink" Target="https://twitter.com/ossoff/status/1314000365038325760" TargetMode="External"/><Relationship Id="rId256" Type="http://schemas.openxmlformats.org/officeDocument/2006/relationships/table" Target="../tables/table4.xml"/><Relationship Id="rId116" Type="http://schemas.openxmlformats.org/officeDocument/2006/relationships/hyperlink" Target="https://twitter.com/ossoff/status/1320409276209397761" TargetMode="External"/><Relationship Id="rId137" Type="http://schemas.openxmlformats.org/officeDocument/2006/relationships/hyperlink" Target="https://twitter.com/ossoff/status/1319043915530588160" TargetMode="External"/><Relationship Id="rId158" Type="http://schemas.openxmlformats.org/officeDocument/2006/relationships/hyperlink" Target="https://twitter.com/ossoff/status/1317871836949106689" TargetMode="External"/><Relationship Id="rId20" Type="http://schemas.openxmlformats.org/officeDocument/2006/relationships/hyperlink" Target="https://twitter.com/ossoff/status/1323343932906983424" TargetMode="External"/><Relationship Id="rId41" Type="http://schemas.openxmlformats.org/officeDocument/2006/relationships/hyperlink" Target="https://twitter.com/ossoff/status/1322591167813476352" TargetMode="External"/><Relationship Id="rId62" Type="http://schemas.openxmlformats.org/officeDocument/2006/relationships/hyperlink" Target="https://twitter.com/ossoff/status/1321939922652221440" TargetMode="External"/><Relationship Id="rId83" Type="http://schemas.openxmlformats.org/officeDocument/2006/relationships/hyperlink" Target="https://twitter.com/ossoff/status/1321595486411829251" TargetMode="External"/><Relationship Id="rId179" Type="http://schemas.openxmlformats.org/officeDocument/2006/relationships/hyperlink" Target="https://twitter.com/ossoff/status/1316808175392354304" TargetMode="External"/><Relationship Id="rId190" Type="http://schemas.openxmlformats.org/officeDocument/2006/relationships/hyperlink" Target="https://twitter.com/ossoff/status/1316396620355964930" TargetMode="External"/><Relationship Id="rId204" Type="http://schemas.openxmlformats.org/officeDocument/2006/relationships/hyperlink" Target="https://twitter.com/ossoff/status/1315743657220284417" TargetMode="External"/><Relationship Id="rId225" Type="http://schemas.openxmlformats.org/officeDocument/2006/relationships/hyperlink" Target="https://twitter.com/ossoff/status/1314590076735819776" TargetMode="External"/><Relationship Id="rId246" Type="http://schemas.openxmlformats.org/officeDocument/2006/relationships/hyperlink" Target="https://twitter.com/ossoff/status/1313117609659858946" TargetMode="External"/><Relationship Id="rId106" Type="http://schemas.openxmlformats.org/officeDocument/2006/relationships/hyperlink" Target="https://twitter.com/ossoff/status/1320758071677853697" TargetMode="External"/><Relationship Id="rId127" Type="http://schemas.openxmlformats.org/officeDocument/2006/relationships/hyperlink" Target="https://twitter.com/ossoff/status/1319745296130363398" TargetMode="External"/><Relationship Id="rId10" Type="http://schemas.openxmlformats.org/officeDocument/2006/relationships/hyperlink" Target="https://twitter.com/ossoff/status/1323617586223996929" TargetMode="External"/><Relationship Id="rId31" Type="http://schemas.openxmlformats.org/officeDocument/2006/relationships/hyperlink" Target="https://twitter.com/ossoff/status/1322915267161296897" TargetMode="External"/><Relationship Id="rId52" Type="http://schemas.openxmlformats.org/officeDocument/2006/relationships/hyperlink" Target="https://twitter.com/ossoff/status/1322214180418510848" TargetMode="External"/><Relationship Id="rId73" Type="http://schemas.openxmlformats.org/officeDocument/2006/relationships/hyperlink" Target="https://twitter.com/ossoff/status/1321662978475937793" TargetMode="External"/><Relationship Id="rId94" Type="http://schemas.openxmlformats.org/officeDocument/2006/relationships/hyperlink" Target="https://twitter.com/ossoff/status/1321137080811008000" TargetMode="External"/><Relationship Id="rId148" Type="http://schemas.openxmlformats.org/officeDocument/2006/relationships/hyperlink" Target="https://twitter.com/ossoff/status/1318377200048066560" TargetMode="External"/><Relationship Id="rId169" Type="http://schemas.openxmlformats.org/officeDocument/2006/relationships/hyperlink" Target="https://twitter.com/ossoff/status/1317238668919177216" TargetMode="External"/><Relationship Id="rId4" Type="http://schemas.openxmlformats.org/officeDocument/2006/relationships/hyperlink" Target="https://twitter.com/ossoff/status/1323697883397476353" TargetMode="External"/><Relationship Id="rId180" Type="http://schemas.openxmlformats.org/officeDocument/2006/relationships/hyperlink" Target="https://twitter.com/ossoff/status/1316787874965094401" TargetMode="External"/><Relationship Id="rId215" Type="http://schemas.openxmlformats.org/officeDocument/2006/relationships/hyperlink" Target="https://twitter.com/ossoff/status/1315443867739713536" TargetMode="External"/><Relationship Id="rId236" Type="http://schemas.openxmlformats.org/officeDocument/2006/relationships/hyperlink" Target="https://twitter.com/ossoff/status/1313927914296139776"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twitter.com/joniernst/status/1316918312010383362" TargetMode="External"/><Relationship Id="rId21" Type="http://schemas.openxmlformats.org/officeDocument/2006/relationships/hyperlink" Target="https://twitter.com/joniernst/status/1322679749580382208" TargetMode="External"/><Relationship Id="rId42" Type="http://schemas.openxmlformats.org/officeDocument/2006/relationships/hyperlink" Target="https://twitter.com/joniernst/status/1321928103174787074" TargetMode="External"/><Relationship Id="rId63" Type="http://schemas.openxmlformats.org/officeDocument/2006/relationships/hyperlink" Target="https://twitter.com/joniernst/status/1321060326222213122" TargetMode="External"/><Relationship Id="rId84" Type="http://schemas.openxmlformats.org/officeDocument/2006/relationships/hyperlink" Target="https://twitter.com/joniernst/status/1318982663936630790" TargetMode="External"/><Relationship Id="rId138" Type="http://schemas.openxmlformats.org/officeDocument/2006/relationships/hyperlink" Target="https://twitter.com/joniernst/status/1316746633598701570" TargetMode="External"/><Relationship Id="rId159" Type="http://schemas.openxmlformats.org/officeDocument/2006/relationships/hyperlink" Target="https://twitter.com/joniernst/status/1315329031324172289" TargetMode="External"/><Relationship Id="rId170" Type="http://schemas.openxmlformats.org/officeDocument/2006/relationships/hyperlink" Target="https://twitter.com/joniernst/status/1314713080488697857" TargetMode="External"/><Relationship Id="rId191" Type="http://schemas.openxmlformats.org/officeDocument/2006/relationships/hyperlink" Target="https://twitter.com/joniernst/status/1313271791759110144" TargetMode="External"/><Relationship Id="rId205" Type="http://schemas.openxmlformats.org/officeDocument/2006/relationships/hyperlink" Target="https://twitter.com/joniernst/status/1312554561366831104" TargetMode="External"/><Relationship Id="rId107" Type="http://schemas.openxmlformats.org/officeDocument/2006/relationships/hyperlink" Target="https://twitter.com/joniernst/status/1317505269639843840" TargetMode="External"/><Relationship Id="rId11" Type="http://schemas.openxmlformats.org/officeDocument/2006/relationships/hyperlink" Target="https://twitter.com/joniernst/status/1323275709763276800" TargetMode="External"/><Relationship Id="rId32" Type="http://schemas.openxmlformats.org/officeDocument/2006/relationships/hyperlink" Target="https://twitter.com/joniernst/status/1322261874499604481" TargetMode="External"/><Relationship Id="rId53" Type="http://schemas.openxmlformats.org/officeDocument/2006/relationships/hyperlink" Target="https://twitter.com/joniernst/status/1321574263015526409" TargetMode="External"/><Relationship Id="rId74" Type="http://schemas.openxmlformats.org/officeDocument/2006/relationships/hyperlink" Target="https://twitter.com/joniernst/status/1319736698448773126" TargetMode="External"/><Relationship Id="rId128" Type="http://schemas.openxmlformats.org/officeDocument/2006/relationships/hyperlink" Target="https://twitter.com/joniernst/status/1316891951237562369" TargetMode="External"/><Relationship Id="rId149" Type="http://schemas.openxmlformats.org/officeDocument/2006/relationships/hyperlink" Target="https://twitter.com/joniernst/status/1315821254276939776" TargetMode="External"/><Relationship Id="rId5" Type="http://schemas.openxmlformats.org/officeDocument/2006/relationships/hyperlink" Target="https://twitter.com/joniernst/status/1323445409138823169" TargetMode="External"/><Relationship Id="rId95" Type="http://schemas.openxmlformats.org/officeDocument/2006/relationships/hyperlink" Target="https://twitter.com/joniernst/status/1318281879624339456" TargetMode="External"/><Relationship Id="rId160" Type="http://schemas.openxmlformats.org/officeDocument/2006/relationships/hyperlink" Target="https://twitter.com/joniernst/status/1315324251226943490" TargetMode="External"/><Relationship Id="rId181" Type="http://schemas.openxmlformats.org/officeDocument/2006/relationships/hyperlink" Target="https://twitter.com/joniernst/status/1313976715371307008" TargetMode="External"/><Relationship Id="rId216" Type="http://schemas.openxmlformats.org/officeDocument/2006/relationships/hyperlink" Target="https://twitter.com/joniernst/status/1312548260624707589" TargetMode="External"/><Relationship Id="rId22" Type="http://schemas.openxmlformats.org/officeDocument/2006/relationships/hyperlink" Target="https://twitter.com/joniernst/status/1322652630150221827" TargetMode="External"/><Relationship Id="rId43" Type="http://schemas.openxmlformats.org/officeDocument/2006/relationships/hyperlink" Target="https://twitter.com/joniernst/status/1321872745328619520" TargetMode="External"/><Relationship Id="rId64" Type="http://schemas.openxmlformats.org/officeDocument/2006/relationships/hyperlink" Target="https://twitter.com/joniernst/status/1320880769296982019" TargetMode="External"/><Relationship Id="rId118" Type="http://schemas.openxmlformats.org/officeDocument/2006/relationships/hyperlink" Target="https://twitter.com/joniernst/status/1316905373706686464" TargetMode="External"/><Relationship Id="rId139" Type="http://schemas.openxmlformats.org/officeDocument/2006/relationships/hyperlink" Target="https://twitter.com/joniernst/status/1316714922580078592" TargetMode="External"/><Relationship Id="rId85" Type="http://schemas.openxmlformats.org/officeDocument/2006/relationships/hyperlink" Target="https://twitter.com/joniernst/status/1318948726761791488" TargetMode="External"/><Relationship Id="rId150" Type="http://schemas.openxmlformats.org/officeDocument/2006/relationships/hyperlink" Target="https://twitter.com/joniernst/status/1315783345020768258" TargetMode="External"/><Relationship Id="rId171" Type="http://schemas.openxmlformats.org/officeDocument/2006/relationships/hyperlink" Target="https://twitter.com/joniernst/status/1314638083367882753" TargetMode="External"/><Relationship Id="rId192" Type="http://schemas.openxmlformats.org/officeDocument/2006/relationships/hyperlink" Target="https://twitter.com/joniernst/status/1313232729820016641" TargetMode="External"/><Relationship Id="rId206" Type="http://schemas.openxmlformats.org/officeDocument/2006/relationships/hyperlink" Target="https://twitter.com/joniernst/status/1312554270676443136" TargetMode="External"/><Relationship Id="rId12" Type="http://schemas.openxmlformats.org/officeDocument/2006/relationships/hyperlink" Target="https://twitter.com/joniernst/status/1323086077826109444" TargetMode="External"/><Relationship Id="rId33" Type="http://schemas.openxmlformats.org/officeDocument/2006/relationships/hyperlink" Target="https://twitter.com/joniernst/status/1322221996474834946" TargetMode="External"/><Relationship Id="rId108" Type="http://schemas.openxmlformats.org/officeDocument/2006/relationships/hyperlink" Target="https://twitter.com/joniernst/status/1317496693928112132" TargetMode="External"/><Relationship Id="rId129" Type="http://schemas.openxmlformats.org/officeDocument/2006/relationships/hyperlink" Target="https://twitter.com/joniernst/status/1316890705214799872" TargetMode="External"/><Relationship Id="rId54" Type="http://schemas.openxmlformats.org/officeDocument/2006/relationships/hyperlink" Target="https://twitter.com/joniernst/status/1321557543592800256" TargetMode="External"/><Relationship Id="rId75" Type="http://schemas.openxmlformats.org/officeDocument/2006/relationships/hyperlink" Target="https://twitter.com/joniernst/status/1319715822546395136" TargetMode="External"/><Relationship Id="rId96" Type="http://schemas.openxmlformats.org/officeDocument/2006/relationships/hyperlink" Target="https://twitter.com/joniernst/status/1318236501323513857" TargetMode="External"/><Relationship Id="rId140" Type="http://schemas.openxmlformats.org/officeDocument/2006/relationships/hyperlink" Target="https://twitter.com/joniernst/status/1316547649491918848" TargetMode="External"/><Relationship Id="rId161" Type="http://schemas.openxmlformats.org/officeDocument/2006/relationships/hyperlink" Target="https://twitter.com/joniernst/status/1315293146184548352" TargetMode="External"/><Relationship Id="rId182" Type="http://schemas.openxmlformats.org/officeDocument/2006/relationships/hyperlink" Target="https://twitter.com/joniernst/status/1313971416434442242" TargetMode="External"/><Relationship Id="rId217" Type="http://schemas.openxmlformats.org/officeDocument/2006/relationships/hyperlink" Target="https://twitter.com/joniernst/status/1312545846605602816" TargetMode="External"/><Relationship Id="rId6" Type="http://schemas.openxmlformats.org/officeDocument/2006/relationships/hyperlink" Target="https://twitter.com/joniernst/status/1323425718781566988" TargetMode="External"/><Relationship Id="rId23" Type="http://schemas.openxmlformats.org/officeDocument/2006/relationships/hyperlink" Target="https://twitter.com/joniernst/status/1322624907587497984" TargetMode="External"/><Relationship Id="rId119" Type="http://schemas.openxmlformats.org/officeDocument/2006/relationships/hyperlink" Target="https://twitter.com/joniernst/status/1316903683599237120" TargetMode="External"/><Relationship Id="rId44" Type="http://schemas.openxmlformats.org/officeDocument/2006/relationships/hyperlink" Target="https://twitter.com/joniernst/status/1321862285141397510" TargetMode="External"/><Relationship Id="rId65" Type="http://schemas.openxmlformats.org/officeDocument/2006/relationships/hyperlink" Target="https://twitter.com/joniernst/status/1320840873450655745" TargetMode="External"/><Relationship Id="rId86" Type="http://schemas.openxmlformats.org/officeDocument/2006/relationships/hyperlink" Target="https://twitter.com/joniernst/status/1318934538278604800" TargetMode="External"/><Relationship Id="rId130" Type="http://schemas.openxmlformats.org/officeDocument/2006/relationships/hyperlink" Target="https://twitter.com/joniernst/status/1316890211536830465" TargetMode="External"/><Relationship Id="rId151" Type="http://schemas.openxmlformats.org/officeDocument/2006/relationships/hyperlink" Target="https://twitter.com/joniernst/status/1315646987140837381" TargetMode="External"/><Relationship Id="rId172" Type="http://schemas.openxmlformats.org/officeDocument/2006/relationships/hyperlink" Target="https://twitter.com/joniernst/status/1314574454832455680" TargetMode="External"/><Relationship Id="rId193" Type="http://schemas.openxmlformats.org/officeDocument/2006/relationships/hyperlink" Target="https://twitter.com/joniernst/status/1313176518311514112" TargetMode="External"/><Relationship Id="rId207" Type="http://schemas.openxmlformats.org/officeDocument/2006/relationships/hyperlink" Target="https://twitter.com/joniernst/status/1312553983828004865" TargetMode="External"/><Relationship Id="rId13" Type="http://schemas.openxmlformats.org/officeDocument/2006/relationships/hyperlink" Target="https://twitter.com/joniernst/status/1323040819968987136" TargetMode="External"/><Relationship Id="rId109" Type="http://schemas.openxmlformats.org/officeDocument/2006/relationships/hyperlink" Target="https://twitter.com/joniernst/status/1317492754537238528" TargetMode="External"/><Relationship Id="rId34" Type="http://schemas.openxmlformats.org/officeDocument/2006/relationships/hyperlink" Target="https://twitter.com/joniernst/status/1322200076517781504" TargetMode="External"/><Relationship Id="rId55" Type="http://schemas.openxmlformats.org/officeDocument/2006/relationships/hyperlink" Target="https://twitter.com/joniernst/status/1321551213578637315" TargetMode="External"/><Relationship Id="rId76" Type="http://schemas.openxmlformats.org/officeDocument/2006/relationships/hyperlink" Target="https://twitter.com/joniernst/status/1319679829327990784" TargetMode="External"/><Relationship Id="rId97" Type="http://schemas.openxmlformats.org/officeDocument/2006/relationships/hyperlink" Target="https://twitter.com/joniernst/status/1318006144447762432" TargetMode="External"/><Relationship Id="rId120" Type="http://schemas.openxmlformats.org/officeDocument/2006/relationships/hyperlink" Target="https://twitter.com/joniernst/status/1316902857199783937" TargetMode="External"/><Relationship Id="rId141" Type="http://schemas.openxmlformats.org/officeDocument/2006/relationships/hyperlink" Target="https://twitter.com/joniernst/status/1316513804344266753" TargetMode="External"/><Relationship Id="rId7" Type="http://schemas.openxmlformats.org/officeDocument/2006/relationships/hyperlink" Target="https://twitter.com/joniernst/status/1323391105233231872" TargetMode="External"/><Relationship Id="rId162" Type="http://schemas.openxmlformats.org/officeDocument/2006/relationships/hyperlink" Target="https://twitter.com/joniernst/status/1315067747953508353" TargetMode="External"/><Relationship Id="rId183" Type="http://schemas.openxmlformats.org/officeDocument/2006/relationships/hyperlink" Target="https://twitter.com/joniernst/status/1313929816404643841" TargetMode="External"/><Relationship Id="rId218" Type="http://schemas.openxmlformats.org/officeDocument/2006/relationships/hyperlink" Target="https://twitter.com/joniernst/status/1312543908413542400" TargetMode="External"/><Relationship Id="rId24" Type="http://schemas.openxmlformats.org/officeDocument/2006/relationships/hyperlink" Target="https://twitter.com/joniernst/status/1322603735491747840" TargetMode="External"/><Relationship Id="rId45" Type="http://schemas.openxmlformats.org/officeDocument/2006/relationships/hyperlink" Target="https://twitter.com/joniernst/status/1321862232884600834" TargetMode="External"/><Relationship Id="rId66" Type="http://schemas.openxmlformats.org/officeDocument/2006/relationships/hyperlink" Target="https://twitter.com/joniernst/status/1320791978452406273" TargetMode="External"/><Relationship Id="rId87" Type="http://schemas.openxmlformats.org/officeDocument/2006/relationships/hyperlink" Target="https://twitter.com/joniernst/status/1318720863068368896" TargetMode="External"/><Relationship Id="rId110" Type="http://schemas.openxmlformats.org/officeDocument/2006/relationships/hyperlink" Target="https://twitter.com/joniernst/status/1317486059526234113" TargetMode="External"/><Relationship Id="rId131" Type="http://schemas.openxmlformats.org/officeDocument/2006/relationships/hyperlink" Target="https://twitter.com/joniernst/status/1316888860685717505" TargetMode="External"/><Relationship Id="rId152" Type="http://schemas.openxmlformats.org/officeDocument/2006/relationships/hyperlink" Target="https://twitter.com/joniernst/status/1315402862575456256" TargetMode="External"/><Relationship Id="rId173" Type="http://schemas.openxmlformats.org/officeDocument/2006/relationships/hyperlink" Target="https://twitter.com/joniernst/status/1314383904758018049" TargetMode="External"/><Relationship Id="rId194" Type="http://schemas.openxmlformats.org/officeDocument/2006/relationships/hyperlink" Target="https://twitter.com/joniernst/status/1313136161850904576" TargetMode="External"/><Relationship Id="rId208" Type="http://schemas.openxmlformats.org/officeDocument/2006/relationships/hyperlink" Target="https://twitter.com/joniernst/status/1312553537470181376" TargetMode="External"/><Relationship Id="rId14" Type="http://schemas.openxmlformats.org/officeDocument/2006/relationships/hyperlink" Target="https://twitter.com/joniernst/status/1323017226463727616" TargetMode="External"/><Relationship Id="rId35" Type="http://schemas.openxmlformats.org/officeDocument/2006/relationships/hyperlink" Target="https://twitter.com/joniernst/status/1322190456495722496" TargetMode="External"/><Relationship Id="rId56" Type="http://schemas.openxmlformats.org/officeDocument/2006/relationships/hyperlink" Target="https://twitter.com/joniernst/status/1321531145473974272" TargetMode="External"/><Relationship Id="rId77" Type="http://schemas.openxmlformats.org/officeDocument/2006/relationships/hyperlink" Target="https://twitter.com/joniernst/status/1319434370457980928" TargetMode="External"/><Relationship Id="rId100" Type="http://schemas.openxmlformats.org/officeDocument/2006/relationships/hyperlink" Target="https://twitter.com/joniernst/status/1317590605804032002" TargetMode="External"/><Relationship Id="rId8" Type="http://schemas.openxmlformats.org/officeDocument/2006/relationships/hyperlink" Target="https://twitter.com/joniernst/status/1323340848457830401" TargetMode="External"/><Relationship Id="rId51" Type="http://schemas.openxmlformats.org/officeDocument/2006/relationships/hyperlink" Target="https://twitter.com/joniernst/status/1321628967082876928" TargetMode="External"/><Relationship Id="rId72" Type="http://schemas.openxmlformats.org/officeDocument/2006/relationships/hyperlink" Target="https://twitter.com/joniernst/status/1320083070184284160" TargetMode="External"/><Relationship Id="rId93" Type="http://schemas.openxmlformats.org/officeDocument/2006/relationships/hyperlink" Target="https://twitter.com/joniernst/status/1318584213218709504" TargetMode="External"/><Relationship Id="rId98" Type="http://schemas.openxmlformats.org/officeDocument/2006/relationships/hyperlink" Target="https://twitter.com/joniernst/status/1317951600074190848" TargetMode="External"/><Relationship Id="rId121" Type="http://schemas.openxmlformats.org/officeDocument/2006/relationships/hyperlink" Target="https://twitter.com/joniernst/status/1316902016036360195" TargetMode="External"/><Relationship Id="rId142" Type="http://schemas.openxmlformats.org/officeDocument/2006/relationships/hyperlink" Target="https://twitter.com/joniernst/status/1316506909189591041" TargetMode="External"/><Relationship Id="rId163" Type="http://schemas.openxmlformats.org/officeDocument/2006/relationships/hyperlink" Target="https://twitter.com/joniernst/status/1315028402269761539" TargetMode="External"/><Relationship Id="rId184" Type="http://schemas.openxmlformats.org/officeDocument/2006/relationships/hyperlink" Target="https://twitter.com/joniernst/status/1313900967910412288" TargetMode="External"/><Relationship Id="rId189" Type="http://schemas.openxmlformats.org/officeDocument/2006/relationships/hyperlink" Target="https://twitter.com/joniernst/status/1313493815555223558" TargetMode="External"/><Relationship Id="rId219" Type="http://schemas.openxmlformats.org/officeDocument/2006/relationships/hyperlink" Target="https://twitter.com/joniernst/status/1312523561597169664" TargetMode="External"/><Relationship Id="rId3" Type="http://schemas.openxmlformats.org/officeDocument/2006/relationships/hyperlink" Target="https://twitter.com/joniernst/status/1323681568364367872" TargetMode="External"/><Relationship Id="rId214" Type="http://schemas.openxmlformats.org/officeDocument/2006/relationships/hyperlink" Target="https://twitter.com/joniernst/status/1312549462859018242" TargetMode="External"/><Relationship Id="rId25" Type="http://schemas.openxmlformats.org/officeDocument/2006/relationships/hyperlink" Target="https://twitter.com/joniernst/status/1322581496469880834" TargetMode="External"/><Relationship Id="rId46" Type="http://schemas.openxmlformats.org/officeDocument/2006/relationships/hyperlink" Target="https://twitter.com/joniernst/status/1321862181605023745" TargetMode="External"/><Relationship Id="rId67" Type="http://schemas.openxmlformats.org/officeDocument/2006/relationships/hyperlink" Target="https://twitter.com/joniernst/status/1320509380886962179" TargetMode="External"/><Relationship Id="rId116" Type="http://schemas.openxmlformats.org/officeDocument/2006/relationships/hyperlink" Target="https://twitter.com/joniernst/status/1317116940981252097" TargetMode="External"/><Relationship Id="rId137" Type="http://schemas.openxmlformats.org/officeDocument/2006/relationships/hyperlink" Target="https://twitter.com/joniernst/status/1316788047338496000" TargetMode="External"/><Relationship Id="rId158" Type="http://schemas.openxmlformats.org/officeDocument/2006/relationships/hyperlink" Target="https://twitter.com/joniernst/status/1315336967031267328" TargetMode="External"/><Relationship Id="rId20" Type="http://schemas.openxmlformats.org/officeDocument/2006/relationships/hyperlink" Target="https://twitter.com/joniernst/status/1322692792741748737" TargetMode="External"/><Relationship Id="rId41" Type="http://schemas.openxmlformats.org/officeDocument/2006/relationships/hyperlink" Target="https://twitter.com/joniernst/status/1321946467813253124" TargetMode="External"/><Relationship Id="rId62" Type="http://schemas.openxmlformats.org/officeDocument/2006/relationships/hyperlink" Target="https://twitter.com/joniernst/status/1321108093154086913" TargetMode="External"/><Relationship Id="rId83" Type="http://schemas.openxmlformats.org/officeDocument/2006/relationships/hyperlink" Target="https://twitter.com/joniernst/status/1319005184446681089" TargetMode="External"/><Relationship Id="rId88" Type="http://schemas.openxmlformats.org/officeDocument/2006/relationships/hyperlink" Target="https://twitter.com/joniernst/status/1318709725161291777" TargetMode="External"/><Relationship Id="rId111" Type="http://schemas.openxmlformats.org/officeDocument/2006/relationships/hyperlink" Target="https://twitter.com/joniernst/status/1317473106995384325" TargetMode="External"/><Relationship Id="rId132" Type="http://schemas.openxmlformats.org/officeDocument/2006/relationships/hyperlink" Target="https://twitter.com/joniernst/status/1316887367244984323" TargetMode="External"/><Relationship Id="rId153" Type="http://schemas.openxmlformats.org/officeDocument/2006/relationships/hyperlink" Target="https://twitter.com/joniernst/status/1315385282577956864" TargetMode="External"/><Relationship Id="rId174" Type="http://schemas.openxmlformats.org/officeDocument/2006/relationships/hyperlink" Target="https://twitter.com/joniernst/status/1314367765445214208" TargetMode="External"/><Relationship Id="rId179" Type="http://schemas.openxmlformats.org/officeDocument/2006/relationships/hyperlink" Target="https://twitter.com/joniernst/status/1314212398773891076" TargetMode="External"/><Relationship Id="rId195" Type="http://schemas.openxmlformats.org/officeDocument/2006/relationships/hyperlink" Target="https://twitter.com/joniernst/status/1312868818822352896" TargetMode="External"/><Relationship Id="rId209" Type="http://schemas.openxmlformats.org/officeDocument/2006/relationships/hyperlink" Target="https://twitter.com/joniernst/status/1312552826766274562" TargetMode="External"/><Relationship Id="rId190" Type="http://schemas.openxmlformats.org/officeDocument/2006/relationships/hyperlink" Target="https://twitter.com/joniernst/status/1313297528717271041" TargetMode="External"/><Relationship Id="rId204" Type="http://schemas.openxmlformats.org/officeDocument/2006/relationships/hyperlink" Target="https://twitter.com/joniernst/status/1312554771065319425" TargetMode="External"/><Relationship Id="rId220" Type="http://schemas.openxmlformats.org/officeDocument/2006/relationships/hyperlink" Target="https://twitter.com/joniernst/status/1312416807186321409" TargetMode="External"/><Relationship Id="rId15" Type="http://schemas.openxmlformats.org/officeDocument/2006/relationships/hyperlink" Target="https://twitter.com/joniernst/status/1322964060762243074" TargetMode="External"/><Relationship Id="rId36" Type="http://schemas.openxmlformats.org/officeDocument/2006/relationships/hyperlink" Target="https://twitter.com/joniernst/status/1322177503130198016" TargetMode="External"/><Relationship Id="rId57" Type="http://schemas.openxmlformats.org/officeDocument/2006/relationships/hyperlink" Target="https://twitter.com/joniernst/status/1321505537062662144" TargetMode="External"/><Relationship Id="rId106" Type="http://schemas.openxmlformats.org/officeDocument/2006/relationships/hyperlink" Target="https://twitter.com/joniernst/status/1317505278984716288" TargetMode="External"/><Relationship Id="rId127" Type="http://schemas.openxmlformats.org/officeDocument/2006/relationships/hyperlink" Target="https://twitter.com/joniernst/status/1316893098631364608" TargetMode="External"/><Relationship Id="rId10" Type="http://schemas.openxmlformats.org/officeDocument/2006/relationships/hyperlink" Target="https://twitter.com/joniernst/status/1323306707188154370" TargetMode="External"/><Relationship Id="rId31" Type="http://schemas.openxmlformats.org/officeDocument/2006/relationships/hyperlink" Target="https://twitter.com/joniernst/status/1322289358607699969" TargetMode="External"/><Relationship Id="rId52" Type="http://schemas.openxmlformats.org/officeDocument/2006/relationships/hyperlink" Target="https://twitter.com/joniernst/status/1321581875777937410" TargetMode="External"/><Relationship Id="rId73" Type="http://schemas.openxmlformats.org/officeDocument/2006/relationships/hyperlink" Target="https://twitter.com/joniernst/status/1320020855959805959" TargetMode="External"/><Relationship Id="rId78" Type="http://schemas.openxmlformats.org/officeDocument/2006/relationships/hyperlink" Target="https://twitter.com/joniernst/status/1319389711522275337" TargetMode="External"/><Relationship Id="rId94" Type="http://schemas.openxmlformats.org/officeDocument/2006/relationships/hyperlink" Target="https://twitter.com/joniernst/status/1318336095671754752" TargetMode="External"/><Relationship Id="rId99" Type="http://schemas.openxmlformats.org/officeDocument/2006/relationships/hyperlink" Target="https://twitter.com/joniernst/status/1317906509087580163" TargetMode="External"/><Relationship Id="rId101" Type="http://schemas.openxmlformats.org/officeDocument/2006/relationships/hyperlink" Target="https://twitter.com/joniernst/status/1317559531824611333" TargetMode="External"/><Relationship Id="rId122" Type="http://schemas.openxmlformats.org/officeDocument/2006/relationships/hyperlink" Target="https://twitter.com/joniernst/status/1316900495668224000" TargetMode="External"/><Relationship Id="rId143" Type="http://schemas.openxmlformats.org/officeDocument/2006/relationships/hyperlink" Target="https://twitter.com/joniernst/status/1316486260039573509" TargetMode="External"/><Relationship Id="rId148" Type="http://schemas.openxmlformats.org/officeDocument/2006/relationships/hyperlink" Target="https://twitter.com/joniernst/status/1316092250221416450" TargetMode="External"/><Relationship Id="rId164" Type="http://schemas.openxmlformats.org/officeDocument/2006/relationships/hyperlink" Target="https://twitter.com/joniernst/status/1314997703714263049" TargetMode="External"/><Relationship Id="rId169" Type="http://schemas.openxmlformats.org/officeDocument/2006/relationships/hyperlink" Target="https://twitter.com/joniernst/status/1314726438768173057" TargetMode="External"/><Relationship Id="rId185" Type="http://schemas.openxmlformats.org/officeDocument/2006/relationships/hyperlink" Target="https://twitter.com/joniernst/status/1313898122343522307" TargetMode="External"/><Relationship Id="rId4" Type="http://schemas.openxmlformats.org/officeDocument/2006/relationships/hyperlink" Target="https://twitter.com/joniernst/status/1323454294960603138" TargetMode="External"/><Relationship Id="rId9" Type="http://schemas.openxmlformats.org/officeDocument/2006/relationships/hyperlink" Target="https://twitter.com/joniernst/status/1323326380222881794" TargetMode="External"/><Relationship Id="rId180" Type="http://schemas.openxmlformats.org/officeDocument/2006/relationships/hyperlink" Target="https://twitter.com/joniernst/status/1313987381951975424" TargetMode="External"/><Relationship Id="rId210" Type="http://schemas.openxmlformats.org/officeDocument/2006/relationships/hyperlink" Target="https://twitter.com/joniernst/status/1312551780924952580" TargetMode="External"/><Relationship Id="rId215" Type="http://schemas.openxmlformats.org/officeDocument/2006/relationships/hyperlink" Target="https://twitter.com/joniernst/status/1312548926235516930" TargetMode="External"/><Relationship Id="rId26" Type="http://schemas.openxmlformats.org/officeDocument/2006/relationships/hyperlink" Target="https://twitter.com/joniernst/status/1322573660239122433" TargetMode="External"/><Relationship Id="rId47" Type="http://schemas.openxmlformats.org/officeDocument/2006/relationships/hyperlink" Target="https://twitter.com/joniernst/status/1321862136637935618" TargetMode="External"/><Relationship Id="rId68" Type="http://schemas.openxmlformats.org/officeDocument/2006/relationships/hyperlink" Target="https://twitter.com/joniernst/status/1320448562874978307" TargetMode="External"/><Relationship Id="rId89" Type="http://schemas.openxmlformats.org/officeDocument/2006/relationships/hyperlink" Target="https://twitter.com/joniernst/status/1318683766391513090" TargetMode="External"/><Relationship Id="rId112" Type="http://schemas.openxmlformats.org/officeDocument/2006/relationships/hyperlink" Target="https://twitter.com/joniernst/status/1317270056582193152" TargetMode="External"/><Relationship Id="rId133" Type="http://schemas.openxmlformats.org/officeDocument/2006/relationships/hyperlink" Target="https://twitter.com/joniernst/status/1316886954617831424" TargetMode="External"/><Relationship Id="rId154" Type="http://schemas.openxmlformats.org/officeDocument/2006/relationships/hyperlink" Target="https://twitter.com/joniernst/status/1315368071582879749" TargetMode="External"/><Relationship Id="rId175" Type="http://schemas.openxmlformats.org/officeDocument/2006/relationships/hyperlink" Target="https://twitter.com/joniernst/status/1314303257406304256" TargetMode="External"/><Relationship Id="rId196" Type="http://schemas.openxmlformats.org/officeDocument/2006/relationships/hyperlink" Target="https://twitter.com/joniernst/status/1312821264864686080" TargetMode="External"/><Relationship Id="rId200" Type="http://schemas.openxmlformats.org/officeDocument/2006/relationships/hyperlink" Target="https://twitter.com/joniernst/status/1312558343643332609" TargetMode="External"/><Relationship Id="rId16" Type="http://schemas.openxmlformats.org/officeDocument/2006/relationships/hyperlink" Target="https://twitter.com/joniernst/status/1322950420986290177" TargetMode="External"/><Relationship Id="rId221" Type="http://schemas.openxmlformats.org/officeDocument/2006/relationships/table" Target="../tables/table5.xml"/><Relationship Id="rId37" Type="http://schemas.openxmlformats.org/officeDocument/2006/relationships/hyperlink" Target="https://twitter.com/joniernst/status/1322159268234219521" TargetMode="External"/><Relationship Id="rId58" Type="http://schemas.openxmlformats.org/officeDocument/2006/relationships/hyperlink" Target="https://twitter.com/joniernst/status/1321281066120941568" TargetMode="External"/><Relationship Id="rId79" Type="http://schemas.openxmlformats.org/officeDocument/2006/relationships/hyperlink" Target="https://twitter.com/joniernst/status/1319346031570673664" TargetMode="External"/><Relationship Id="rId102" Type="http://schemas.openxmlformats.org/officeDocument/2006/relationships/hyperlink" Target="https://twitter.com/joniernst/status/1317540026272579586" TargetMode="External"/><Relationship Id="rId123" Type="http://schemas.openxmlformats.org/officeDocument/2006/relationships/hyperlink" Target="https://twitter.com/joniernst/status/1316899140408926208" TargetMode="External"/><Relationship Id="rId144" Type="http://schemas.openxmlformats.org/officeDocument/2006/relationships/hyperlink" Target="https://twitter.com/joniernst/status/1316436956914614273" TargetMode="External"/><Relationship Id="rId90" Type="http://schemas.openxmlformats.org/officeDocument/2006/relationships/hyperlink" Target="https://twitter.com/joniernst/status/1318674628487892994" TargetMode="External"/><Relationship Id="rId165" Type="http://schemas.openxmlformats.org/officeDocument/2006/relationships/hyperlink" Target="https://twitter.com/joniernst/status/1314976992387837954" TargetMode="External"/><Relationship Id="rId186" Type="http://schemas.openxmlformats.org/officeDocument/2006/relationships/hyperlink" Target="https://twitter.com/joniernst/status/1313860106690461697" TargetMode="External"/><Relationship Id="rId211" Type="http://schemas.openxmlformats.org/officeDocument/2006/relationships/hyperlink" Target="https://twitter.com/joniernst/status/1312551668383444993" TargetMode="External"/><Relationship Id="rId27" Type="http://schemas.openxmlformats.org/officeDocument/2006/relationships/hyperlink" Target="https://twitter.com/joniernst/status/1322561971867295744" TargetMode="External"/><Relationship Id="rId48" Type="http://schemas.openxmlformats.org/officeDocument/2006/relationships/hyperlink" Target="https://twitter.com/joniernst/status/1321862093180723201" TargetMode="External"/><Relationship Id="rId69" Type="http://schemas.openxmlformats.org/officeDocument/2006/relationships/hyperlink" Target="https://twitter.com/joniernst/status/1320390948141105154" TargetMode="External"/><Relationship Id="rId113" Type="http://schemas.openxmlformats.org/officeDocument/2006/relationships/hyperlink" Target="https://twitter.com/joniernst/status/1317257857520308226" TargetMode="External"/><Relationship Id="rId134" Type="http://schemas.openxmlformats.org/officeDocument/2006/relationships/hyperlink" Target="https://twitter.com/joniernst/status/1316885559743254529" TargetMode="External"/><Relationship Id="rId80" Type="http://schemas.openxmlformats.org/officeDocument/2006/relationships/hyperlink" Target="https://twitter.com/joniernst/status/1319294034599235584" TargetMode="External"/><Relationship Id="rId155" Type="http://schemas.openxmlformats.org/officeDocument/2006/relationships/hyperlink" Target="https://twitter.com/joniernst/status/1315366363838509058" TargetMode="External"/><Relationship Id="rId176" Type="http://schemas.openxmlformats.org/officeDocument/2006/relationships/hyperlink" Target="https://twitter.com/joniernst/status/1314269251977588736" TargetMode="External"/><Relationship Id="rId197" Type="http://schemas.openxmlformats.org/officeDocument/2006/relationships/hyperlink" Target="https://twitter.com/joniernst/status/1312793503622205442" TargetMode="External"/><Relationship Id="rId201" Type="http://schemas.openxmlformats.org/officeDocument/2006/relationships/hyperlink" Target="https://twitter.com/joniernst/status/1312557884987912197" TargetMode="External"/><Relationship Id="rId17" Type="http://schemas.openxmlformats.org/officeDocument/2006/relationships/hyperlink" Target="https://twitter.com/joniernst/status/1322926362739486720" TargetMode="External"/><Relationship Id="rId38" Type="http://schemas.openxmlformats.org/officeDocument/2006/relationships/hyperlink" Target="https://twitter.com/joniernst/status/1321969385196703747" TargetMode="External"/><Relationship Id="rId59" Type="http://schemas.openxmlformats.org/officeDocument/2006/relationships/hyperlink" Target="https://twitter.com/joniernst/status/1321198205154041864" TargetMode="External"/><Relationship Id="rId103" Type="http://schemas.openxmlformats.org/officeDocument/2006/relationships/hyperlink" Target="https://twitter.com/joniernst/status/1317530018122223617" TargetMode="External"/><Relationship Id="rId124" Type="http://schemas.openxmlformats.org/officeDocument/2006/relationships/hyperlink" Target="https://twitter.com/joniernst/status/1316896379286048769" TargetMode="External"/><Relationship Id="rId70" Type="http://schemas.openxmlformats.org/officeDocument/2006/relationships/hyperlink" Target="https://twitter.com/joniernst/status/1320142477685391360" TargetMode="External"/><Relationship Id="rId91" Type="http://schemas.openxmlformats.org/officeDocument/2006/relationships/hyperlink" Target="https://twitter.com/joniernst/status/1318621290438266880" TargetMode="External"/><Relationship Id="rId145" Type="http://schemas.openxmlformats.org/officeDocument/2006/relationships/hyperlink" Target="https://twitter.com/joniernst/status/1316410694775042049" TargetMode="External"/><Relationship Id="rId166" Type="http://schemas.openxmlformats.org/officeDocument/2006/relationships/hyperlink" Target="https://twitter.com/joniernst/status/1314946539656146946" TargetMode="External"/><Relationship Id="rId187" Type="http://schemas.openxmlformats.org/officeDocument/2006/relationships/hyperlink" Target="https://twitter.com/joniernst/status/1313616737397608451" TargetMode="External"/><Relationship Id="rId1" Type="http://schemas.openxmlformats.org/officeDocument/2006/relationships/hyperlink" Target="https://twitter.com/joniernst/status/1323755364806987776" TargetMode="External"/><Relationship Id="rId212" Type="http://schemas.openxmlformats.org/officeDocument/2006/relationships/hyperlink" Target="https://twitter.com/joniernst/status/1312550394871111680" TargetMode="External"/><Relationship Id="rId28" Type="http://schemas.openxmlformats.org/officeDocument/2006/relationships/hyperlink" Target="https://twitter.com/joniernst/status/1322355772240596993" TargetMode="External"/><Relationship Id="rId49" Type="http://schemas.openxmlformats.org/officeDocument/2006/relationships/hyperlink" Target="https://twitter.com/joniernst/status/1321844322321518593" TargetMode="External"/><Relationship Id="rId114" Type="http://schemas.openxmlformats.org/officeDocument/2006/relationships/hyperlink" Target="https://twitter.com/joniernst/status/1317240915275153408" TargetMode="External"/><Relationship Id="rId60" Type="http://schemas.openxmlformats.org/officeDocument/2006/relationships/hyperlink" Target="https://twitter.com/joniernst/status/1321183296554995713" TargetMode="External"/><Relationship Id="rId81" Type="http://schemas.openxmlformats.org/officeDocument/2006/relationships/hyperlink" Target="https://twitter.com/joniernst/status/1319054015729119233" TargetMode="External"/><Relationship Id="rId135" Type="http://schemas.openxmlformats.org/officeDocument/2006/relationships/hyperlink" Target="https://twitter.com/joniernst/status/1316880346227613697" TargetMode="External"/><Relationship Id="rId156" Type="http://schemas.openxmlformats.org/officeDocument/2006/relationships/hyperlink" Target="https://twitter.com/joniernst/status/1315360318961442816" TargetMode="External"/><Relationship Id="rId177" Type="http://schemas.openxmlformats.org/officeDocument/2006/relationships/hyperlink" Target="https://twitter.com/joniernst/status/1314249578028453889" TargetMode="External"/><Relationship Id="rId198" Type="http://schemas.openxmlformats.org/officeDocument/2006/relationships/hyperlink" Target="https://twitter.com/joniernst/status/1312595750967181313" TargetMode="External"/><Relationship Id="rId202" Type="http://schemas.openxmlformats.org/officeDocument/2006/relationships/hyperlink" Target="https://twitter.com/joniernst/status/1312557288406876161" TargetMode="External"/><Relationship Id="rId18" Type="http://schemas.openxmlformats.org/officeDocument/2006/relationships/hyperlink" Target="https://twitter.com/joniernst/status/1322709509991747588" TargetMode="External"/><Relationship Id="rId39" Type="http://schemas.openxmlformats.org/officeDocument/2006/relationships/hyperlink" Target="https://twitter.com/joniernst/status/1321964296373489666" TargetMode="External"/><Relationship Id="rId50" Type="http://schemas.openxmlformats.org/officeDocument/2006/relationships/hyperlink" Target="https://twitter.com/joniernst/status/1321637983318118401" TargetMode="External"/><Relationship Id="rId104" Type="http://schemas.openxmlformats.org/officeDocument/2006/relationships/hyperlink" Target="https://twitter.com/joniernst/status/1317524226329448448" TargetMode="External"/><Relationship Id="rId125" Type="http://schemas.openxmlformats.org/officeDocument/2006/relationships/hyperlink" Target="https://twitter.com/joniernst/status/1316895991497457665" TargetMode="External"/><Relationship Id="rId146" Type="http://schemas.openxmlformats.org/officeDocument/2006/relationships/hyperlink" Target="https://twitter.com/joniernst/status/1316160128169709568" TargetMode="External"/><Relationship Id="rId167" Type="http://schemas.openxmlformats.org/officeDocument/2006/relationships/hyperlink" Target="https://twitter.com/joniernst/status/1314943320271904768" TargetMode="External"/><Relationship Id="rId188" Type="http://schemas.openxmlformats.org/officeDocument/2006/relationships/hyperlink" Target="https://twitter.com/joniernst/status/1313545041978232833" TargetMode="External"/><Relationship Id="rId71" Type="http://schemas.openxmlformats.org/officeDocument/2006/relationships/hyperlink" Target="https://twitter.com/joniernst/status/1320104131533692929" TargetMode="External"/><Relationship Id="rId92" Type="http://schemas.openxmlformats.org/officeDocument/2006/relationships/hyperlink" Target="https://twitter.com/joniernst/status/1318592113769107463" TargetMode="External"/><Relationship Id="rId213" Type="http://schemas.openxmlformats.org/officeDocument/2006/relationships/hyperlink" Target="https://twitter.com/joniernst/status/1312549721328803840" TargetMode="External"/><Relationship Id="rId2" Type="http://schemas.openxmlformats.org/officeDocument/2006/relationships/hyperlink" Target="https://twitter.com/joniernst/status/1323710164218847232" TargetMode="External"/><Relationship Id="rId29" Type="http://schemas.openxmlformats.org/officeDocument/2006/relationships/hyperlink" Target="https://twitter.com/joniernst/status/1322337357618663425" TargetMode="External"/><Relationship Id="rId40" Type="http://schemas.openxmlformats.org/officeDocument/2006/relationships/hyperlink" Target="https://twitter.com/joniernst/status/1321959614213246977" TargetMode="External"/><Relationship Id="rId115" Type="http://schemas.openxmlformats.org/officeDocument/2006/relationships/hyperlink" Target="https://twitter.com/joniernst/status/1317209481999208451" TargetMode="External"/><Relationship Id="rId136" Type="http://schemas.openxmlformats.org/officeDocument/2006/relationships/hyperlink" Target="https://twitter.com/joniernst/status/1316829196308549632" TargetMode="External"/><Relationship Id="rId157" Type="http://schemas.openxmlformats.org/officeDocument/2006/relationships/hyperlink" Target="https://twitter.com/joniernst/status/1315343270881488896" TargetMode="External"/><Relationship Id="rId178" Type="http://schemas.openxmlformats.org/officeDocument/2006/relationships/hyperlink" Target="https://twitter.com/joniernst/status/1314229014194782208" TargetMode="External"/><Relationship Id="rId61" Type="http://schemas.openxmlformats.org/officeDocument/2006/relationships/hyperlink" Target="https://twitter.com/joniernst/status/1321151978861449217" TargetMode="External"/><Relationship Id="rId82" Type="http://schemas.openxmlformats.org/officeDocument/2006/relationships/hyperlink" Target="https://twitter.com/joniernst/status/1319038508376428544" TargetMode="External"/><Relationship Id="rId199" Type="http://schemas.openxmlformats.org/officeDocument/2006/relationships/hyperlink" Target="https://twitter.com/joniernst/status/1312565228014579712" TargetMode="External"/><Relationship Id="rId203" Type="http://schemas.openxmlformats.org/officeDocument/2006/relationships/hyperlink" Target="https://twitter.com/joniernst/status/1312556353706168320" TargetMode="External"/><Relationship Id="rId19" Type="http://schemas.openxmlformats.org/officeDocument/2006/relationships/hyperlink" Target="https://twitter.com/joniernst/status/1322709268122906626" TargetMode="External"/><Relationship Id="rId30" Type="http://schemas.openxmlformats.org/officeDocument/2006/relationships/hyperlink" Target="https://twitter.com/joniernst/status/1322320065526640641" TargetMode="External"/><Relationship Id="rId105" Type="http://schemas.openxmlformats.org/officeDocument/2006/relationships/hyperlink" Target="https://twitter.com/joniernst/status/1317515367321903104" TargetMode="External"/><Relationship Id="rId126" Type="http://schemas.openxmlformats.org/officeDocument/2006/relationships/hyperlink" Target="https://twitter.com/joniernst/status/1316893652971565058" TargetMode="External"/><Relationship Id="rId147" Type="http://schemas.openxmlformats.org/officeDocument/2006/relationships/hyperlink" Target="https://twitter.com/joniernst/status/1316139866804178946" TargetMode="External"/><Relationship Id="rId168" Type="http://schemas.openxmlformats.org/officeDocument/2006/relationships/hyperlink" Target="https://twitter.com/joniernst/status/1314935191383748610"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twitter.com/GreenfieldIowa/status/1316900282144534530" TargetMode="External"/><Relationship Id="rId21" Type="http://schemas.openxmlformats.org/officeDocument/2006/relationships/hyperlink" Target="https://twitter.com/GreenfieldIowa/status/1322624014376935429" TargetMode="External"/><Relationship Id="rId42" Type="http://schemas.openxmlformats.org/officeDocument/2006/relationships/hyperlink" Target="https://twitter.com/GreenfieldIowa/status/1321482504424083458" TargetMode="External"/><Relationship Id="rId63" Type="http://schemas.openxmlformats.org/officeDocument/2006/relationships/hyperlink" Target="https://twitter.com/GreenfieldIowa/status/1320055713436139526" TargetMode="External"/><Relationship Id="rId84" Type="http://schemas.openxmlformats.org/officeDocument/2006/relationships/hyperlink" Target="https://twitter.com/GreenfieldIowa/status/1318680198787796997" TargetMode="External"/><Relationship Id="rId138" Type="http://schemas.openxmlformats.org/officeDocument/2006/relationships/hyperlink" Target="https://twitter.com/GreenfieldIowa/status/1316544391054585858" TargetMode="External"/><Relationship Id="rId159" Type="http://schemas.openxmlformats.org/officeDocument/2006/relationships/hyperlink" Target="https://twitter.com/GreenfieldIowa/status/1315356140465795073" TargetMode="External"/><Relationship Id="rId170" Type="http://schemas.openxmlformats.org/officeDocument/2006/relationships/hyperlink" Target="https://twitter.com/GreenfieldIowa/status/1314656448593436678" TargetMode="External"/><Relationship Id="rId191" Type="http://schemas.openxmlformats.org/officeDocument/2006/relationships/hyperlink" Target="https://twitter.com/GreenfieldIowa/status/1313532435309760513" TargetMode="External"/><Relationship Id="rId205" Type="http://schemas.openxmlformats.org/officeDocument/2006/relationships/hyperlink" Target="https://twitter.com/GreenfieldIowa/status/1312554884277960705" TargetMode="External"/><Relationship Id="rId107" Type="http://schemas.openxmlformats.org/officeDocument/2006/relationships/hyperlink" Target="https://twitter.com/GreenfieldIowa/status/1317198499499380738" TargetMode="External"/><Relationship Id="rId11" Type="http://schemas.openxmlformats.org/officeDocument/2006/relationships/hyperlink" Target="https://twitter.com/GreenfieldIowa/status/1323265644234788864" TargetMode="External"/><Relationship Id="rId32" Type="http://schemas.openxmlformats.org/officeDocument/2006/relationships/hyperlink" Target="https://twitter.com/GreenfieldIowa/status/1321967778883141634" TargetMode="External"/><Relationship Id="rId53" Type="http://schemas.openxmlformats.org/officeDocument/2006/relationships/hyperlink" Target="https://twitter.com/GreenfieldIowa/status/1320741296114409474" TargetMode="External"/><Relationship Id="rId74" Type="http://schemas.openxmlformats.org/officeDocument/2006/relationships/hyperlink" Target="https://twitter.com/GreenfieldIowa/status/1319304779269607426" TargetMode="External"/><Relationship Id="rId128" Type="http://schemas.openxmlformats.org/officeDocument/2006/relationships/hyperlink" Target="https://twitter.com/GreenfieldIowa/status/1316889725739913221" TargetMode="External"/><Relationship Id="rId149" Type="http://schemas.openxmlformats.org/officeDocument/2006/relationships/hyperlink" Target="https://twitter.com/GreenfieldIowa/status/1315791945235660800" TargetMode="External"/><Relationship Id="rId5" Type="http://schemas.openxmlformats.org/officeDocument/2006/relationships/hyperlink" Target="https://twitter.com/GreenfieldIowa/status/1323610920854183937" TargetMode="External"/><Relationship Id="rId95" Type="http://schemas.openxmlformats.org/officeDocument/2006/relationships/hyperlink" Target="https://twitter.com/GreenfieldIowa/status/1318217990261907459" TargetMode="External"/><Relationship Id="rId160" Type="http://schemas.openxmlformats.org/officeDocument/2006/relationships/hyperlink" Target="https://twitter.com/GreenfieldIowa/status/1315322807887237122" TargetMode="External"/><Relationship Id="rId181" Type="http://schemas.openxmlformats.org/officeDocument/2006/relationships/hyperlink" Target="https://twitter.com/GreenfieldIowa/status/1314006463321387009" TargetMode="External"/><Relationship Id="rId216" Type="http://schemas.openxmlformats.org/officeDocument/2006/relationships/hyperlink" Target="https://twitter.com/GreenfieldIowa/status/1312545686882267139" TargetMode="External"/><Relationship Id="rId22" Type="http://schemas.openxmlformats.org/officeDocument/2006/relationships/hyperlink" Target="https://twitter.com/GreenfieldIowa/status/1322606271229546497" TargetMode="External"/><Relationship Id="rId43" Type="http://schemas.openxmlformats.org/officeDocument/2006/relationships/hyperlink" Target="https://twitter.com/GreenfieldIowa/status/1321275300202848258" TargetMode="External"/><Relationship Id="rId64" Type="http://schemas.openxmlformats.org/officeDocument/2006/relationships/hyperlink" Target="https://twitter.com/GreenfieldIowa/status/1320023629577543680" TargetMode="External"/><Relationship Id="rId118" Type="http://schemas.openxmlformats.org/officeDocument/2006/relationships/hyperlink" Target="https://twitter.com/GreenfieldIowa/status/1316899067767758848" TargetMode="External"/><Relationship Id="rId139" Type="http://schemas.openxmlformats.org/officeDocument/2006/relationships/hyperlink" Target="https://twitter.com/GreenfieldIowa/status/1316514516889460736" TargetMode="External"/><Relationship Id="rId85" Type="http://schemas.openxmlformats.org/officeDocument/2006/relationships/hyperlink" Target="https://twitter.com/GreenfieldIowa/status/1318637637977165826" TargetMode="External"/><Relationship Id="rId150" Type="http://schemas.openxmlformats.org/officeDocument/2006/relationships/hyperlink" Target="https://twitter.com/GreenfieldIowa/status/1315771571844382720" TargetMode="External"/><Relationship Id="rId171" Type="http://schemas.openxmlformats.org/officeDocument/2006/relationships/hyperlink" Target="https://twitter.com/GreenfieldIowa/status/1314632450975379461" TargetMode="External"/><Relationship Id="rId192" Type="http://schemas.openxmlformats.org/officeDocument/2006/relationships/hyperlink" Target="https://twitter.com/GreenfieldIowa/status/1313471869488697344" TargetMode="External"/><Relationship Id="rId206" Type="http://schemas.openxmlformats.org/officeDocument/2006/relationships/hyperlink" Target="https://twitter.com/GreenfieldIowa/status/1312554193601933312" TargetMode="External"/><Relationship Id="rId12" Type="http://schemas.openxmlformats.org/officeDocument/2006/relationships/hyperlink" Target="https://twitter.com/GreenfieldIowa/status/1323093840010584065" TargetMode="External"/><Relationship Id="rId33" Type="http://schemas.openxmlformats.org/officeDocument/2006/relationships/hyperlink" Target="https://twitter.com/GreenfieldIowa/status/1321937635284291590" TargetMode="External"/><Relationship Id="rId108" Type="http://schemas.openxmlformats.org/officeDocument/2006/relationships/hyperlink" Target="https://twitter.com/GreenfieldIowa/status/1317174055058001923" TargetMode="External"/><Relationship Id="rId129" Type="http://schemas.openxmlformats.org/officeDocument/2006/relationships/hyperlink" Target="https://twitter.com/GreenfieldIowa/status/1316888723355803649" TargetMode="External"/><Relationship Id="rId54" Type="http://schemas.openxmlformats.org/officeDocument/2006/relationships/hyperlink" Target="https://twitter.com/GreenfieldIowa/status/1320541799681871872" TargetMode="External"/><Relationship Id="rId75" Type="http://schemas.openxmlformats.org/officeDocument/2006/relationships/hyperlink" Target="https://twitter.com/GreenfieldIowa/status/1319265728026083330" TargetMode="External"/><Relationship Id="rId96" Type="http://schemas.openxmlformats.org/officeDocument/2006/relationships/hyperlink" Target="https://twitter.com/GreenfieldIowa/status/1317989758337978368" TargetMode="External"/><Relationship Id="rId140" Type="http://schemas.openxmlformats.org/officeDocument/2006/relationships/hyperlink" Target="https://twitter.com/GreenfieldIowa/status/1316474377031102465" TargetMode="External"/><Relationship Id="rId161" Type="http://schemas.openxmlformats.org/officeDocument/2006/relationships/hyperlink" Target="https://twitter.com/GreenfieldIowa/status/1315087927865675777" TargetMode="External"/><Relationship Id="rId182" Type="http://schemas.openxmlformats.org/officeDocument/2006/relationships/hyperlink" Target="https://twitter.com/GreenfieldIowa/status/1313963079600877569" TargetMode="External"/><Relationship Id="rId217" Type="http://schemas.openxmlformats.org/officeDocument/2006/relationships/hyperlink" Target="https://twitter.com/GreenfieldIowa/status/1312545099864252416" TargetMode="External"/><Relationship Id="rId6" Type="http://schemas.openxmlformats.org/officeDocument/2006/relationships/hyperlink" Target="https://twitter.com/GreenfieldIowa/status/1323475986315431936" TargetMode="External"/><Relationship Id="rId23" Type="http://schemas.openxmlformats.org/officeDocument/2006/relationships/hyperlink" Target="https://twitter.com/GreenfieldIowa/status/1322583956982779905" TargetMode="External"/><Relationship Id="rId119" Type="http://schemas.openxmlformats.org/officeDocument/2006/relationships/hyperlink" Target="https://twitter.com/GreenfieldIowa/status/1316898328668491779" TargetMode="External"/><Relationship Id="rId44" Type="http://schemas.openxmlformats.org/officeDocument/2006/relationships/hyperlink" Target="https://twitter.com/GreenfieldIowa/status/1321255679194243072" TargetMode="External"/><Relationship Id="rId65" Type="http://schemas.openxmlformats.org/officeDocument/2006/relationships/hyperlink" Target="https://twitter.com/GreenfieldIowa/status/1319813667668611073" TargetMode="External"/><Relationship Id="rId86" Type="http://schemas.openxmlformats.org/officeDocument/2006/relationships/hyperlink" Target="https://twitter.com/GreenfieldIowa/status/1318631069923627016" TargetMode="External"/><Relationship Id="rId130" Type="http://schemas.openxmlformats.org/officeDocument/2006/relationships/hyperlink" Target="https://twitter.com/GreenfieldIowa/status/1316887668773576705" TargetMode="External"/><Relationship Id="rId151" Type="http://schemas.openxmlformats.org/officeDocument/2006/relationships/hyperlink" Target="https://twitter.com/GreenfieldIowa/status/1315744173950197760" TargetMode="External"/><Relationship Id="rId172" Type="http://schemas.openxmlformats.org/officeDocument/2006/relationships/hyperlink" Target="https://twitter.com/GreenfieldIowa/status/1314612639557877760" TargetMode="External"/><Relationship Id="rId193" Type="http://schemas.openxmlformats.org/officeDocument/2006/relationships/hyperlink" Target="https://twitter.com/GreenfieldIowa/status/1313275040566259720" TargetMode="External"/><Relationship Id="rId207" Type="http://schemas.openxmlformats.org/officeDocument/2006/relationships/hyperlink" Target="https://twitter.com/GreenfieldIowa/status/1312554019181735936" TargetMode="External"/><Relationship Id="rId13" Type="http://schemas.openxmlformats.org/officeDocument/2006/relationships/hyperlink" Target="https://twitter.com/GreenfieldIowa/status/1323079899201052679" TargetMode="External"/><Relationship Id="rId109" Type="http://schemas.openxmlformats.org/officeDocument/2006/relationships/hyperlink" Target="https://twitter.com/GreenfieldIowa/status/1317156309477822466" TargetMode="External"/><Relationship Id="rId34" Type="http://schemas.openxmlformats.org/officeDocument/2006/relationships/hyperlink" Target="https://twitter.com/GreenfieldIowa/status/1321927918017196035" TargetMode="External"/><Relationship Id="rId55" Type="http://schemas.openxmlformats.org/officeDocument/2006/relationships/hyperlink" Target="https://twitter.com/GreenfieldIowa/status/1320517924390621184" TargetMode="External"/><Relationship Id="rId76" Type="http://schemas.openxmlformats.org/officeDocument/2006/relationships/hyperlink" Target="https://twitter.com/GreenfieldIowa/status/1319094337981042691" TargetMode="External"/><Relationship Id="rId97" Type="http://schemas.openxmlformats.org/officeDocument/2006/relationships/hyperlink" Target="https://twitter.com/GreenfieldIowa/status/1317916016576442368" TargetMode="External"/><Relationship Id="rId120" Type="http://schemas.openxmlformats.org/officeDocument/2006/relationships/hyperlink" Target="https://twitter.com/GreenfieldIowa/status/1316896939686957059" TargetMode="External"/><Relationship Id="rId141" Type="http://schemas.openxmlformats.org/officeDocument/2006/relationships/hyperlink" Target="https://twitter.com/GreenfieldIowa/status/1316425318249398273" TargetMode="External"/><Relationship Id="rId7" Type="http://schemas.openxmlformats.org/officeDocument/2006/relationships/hyperlink" Target="https://twitter.com/GreenfieldIowa/status/1323445775406419970" TargetMode="External"/><Relationship Id="rId162" Type="http://schemas.openxmlformats.org/officeDocument/2006/relationships/hyperlink" Target="https://twitter.com/GreenfieldIowa/status/1315066955963994113" TargetMode="External"/><Relationship Id="rId183" Type="http://schemas.openxmlformats.org/officeDocument/2006/relationships/hyperlink" Target="https://twitter.com/GreenfieldIowa/status/1313934110071676929" TargetMode="External"/><Relationship Id="rId218" Type="http://schemas.openxmlformats.org/officeDocument/2006/relationships/hyperlink" Target="https://twitter.com/GreenfieldIowa/status/1312544752148123648" TargetMode="External"/><Relationship Id="rId24" Type="http://schemas.openxmlformats.org/officeDocument/2006/relationships/hyperlink" Target="https://twitter.com/GreenfieldIowa/status/1322528561396436992" TargetMode="External"/><Relationship Id="rId45" Type="http://schemas.openxmlformats.org/officeDocument/2006/relationships/hyperlink" Target="https://twitter.com/GreenfieldIowa/status/1321210361270456331" TargetMode="External"/><Relationship Id="rId66" Type="http://schemas.openxmlformats.org/officeDocument/2006/relationships/hyperlink" Target="https://twitter.com/GreenfieldIowa/status/1319777252989652992" TargetMode="External"/><Relationship Id="rId87" Type="http://schemas.openxmlformats.org/officeDocument/2006/relationships/hyperlink" Target="https://twitter.com/GreenfieldIowa/status/1318599736463659010" TargetMode="External"/><Relationship Id="rId110" Type="http://schemas.openxmlformats.org/officeDocument/2006/relationships/hyperlink" Target="https://twitter.com/GreenfieldIowa/status/1317117425519910913" TargetMode="External"/><Relationship Id="rId131" Type="http://schemas.openxmlformats.org/officeDocument/2006/relationships/hyperlink" Target="https://twitter.com/GreenfieldIowa/status/1316886836741099520" TargetMode="External"/><Relationship Id="rId152" Type="http://schemas.openxmlformats.org/officeDocument/2006/relationships/hyperlink" Target="https://twitter.com/GreenfieldIowa/status/1315714083463876611" TargetMode="External"/><Relationship Id="rId173" Type="http://schemas.openxmlformats.org/officeDocument/2006/relationships/hyperlink" Target="https://twitter.com/GreenfieldIowa/status/1314577120610451456" TargetMode="External"/><Relationship Id="rId194" Type="http://schemas.openxmlformats.org/officeDocument/2006/relationships/hyperlink" Target="https://twitter.com/GreenfieldIowa/status/1313221310345089025" TargetMode="External"/><Relationship Id="rId208" Type="http://schemas.openxmlformats.org/officeDocument/2006/relationships/hyperlink" Target="https://twitter.com/GreenfieldIowa/status/1312553351696076800" TargetMode="External"/><Relationship Id="rId14" Type="http://schemas.openxmlformats.org/officeDocument/2006/relationships/hyperlink" Target="https://twitter.com/GreenfieldIowa/status/1323050839242625024" TargetMode="External"/><Relationship Id="rId35" Type="http://schemas.openxmlformats.org/officeDocument/2006/relationships/hyperlink" Target="https://twitter.com/GreenfieldIowa/status/1321897376454508544" TargetMode="External"/><Relationship Id="rId56" Type="http://schemas.openxmlformats.org/officeDocument/2006/relationships/hyperlink" Target="https://twitter.com/GreenfieldIowa/status/1320473986313146379" TargetMode="External"/><Relationship Id="rId77" Type="http://schemas.openxmlformats.org/officeDocument/2006/relationships/hyperlink" Target="https://twitter.com/GreenfieldIowa/status/1319056030026862595" TargetMode="External"/><Relationship Id="rId100" Type="http://schemas.openxmlformats.org/officeDocument/2006/relationships/hyperlink" Target="https://twitter.com/GreenfieldIowa/status/1317611733352173568" TargetMode="External"/><Relationship Id="rId8" Type="http://schemas.openxmlformats.org/officeDocument/2006/relationships/hyperlink" Target="https://twitter.com/GreenfieldIowa/status/1323402776873967617" TargetMode="External"/><Relationship Id="rId51" Type="http://schemas.openxmlformats.org/officeDocument/2006/relationships/hyperlink" Target="https://twitter.com/GreenfieldIowa/status/1320841817554853888" TargetMode="External"/><Relationship Id="rId72" Type="http://schemas.openxmlformats.org/officeDocument/2006/relationships/hyperlink" Target="https://twitter.com/GreenfieldIowa/status/1319353152278302720" TargetMode="External"/><Relationship Id="rId93" Type="http://schemas.openxmlformats.org/officeDocument/2006/relationships/hyperlink" Target="https://twitter.com/GreenfieldIowa/status/1318292403535622146" TargetMode="External"/><Relationship Id="rId98" Type="http://schemas.openxmlformats.org/officeDocument/2006/relationships/hyperlink" Target="https://twitter.com/GreenfieldIowa/status/1317856486962434049" TargetMode="External"/><Relationship Id="rId121" Type="http://schemas.openxmlformats.org/officeDocument/2006/relationships/hyperlink" Target="https://twitter.com/GreenfieldIowa/status/1316893995046494210" TargetMode="External"/><Relationship Id="rId142" Type="http://schemas.openxmlformats.org/officeDocument/2006/relationships/hyperlink" Target="https://twitter.com/GreenfieldIowa/status/1316395359703371777" TargetMode="External"/><Relationship Id="rId163" Type="http://schemas.openxmlformats.org/officeDocument/2006/relationships/hyperlink" Target="https://twitter.com/GreenfieldIowa/status/1315036256187879429" TargetMode="External"/><Relationship Id="rId184" Type="http://schemas.openxmlformats.org/officeDocument/2006/relationships/hyperlink" Target="https://twitter.com/GreenfieldIowa/status/1313879123379576832" TargetMode="External"/><Relationship Id="rId189" Type="http://schemas.openxmlformats.org/officeDocument/2006/relationships/hyperlink" Target="https://twitter.com/GreenfieldIowa/status/1313595224686559233" TargetMode="External"/><Relationship Id="rId219" Type="http://schemas.openxmlformats.org/officeDocument/2006/relationships/hyperlink" Target="https://twitter.com/GreenfieldIowa/status/1312539980246462466" TargetMode="External"/><Relationship Id="rId3" Type="http://schemas.openxmlformats.org/officeDocument/2006/relationships/hyperlink" Target="https://twitter.com/GreenfieldIowa/status/1323687508388052993" TargetMode="External"/><Relationship Id="rId214" Type="http://schemas.openxmlformats.org/officeDocument/2006/relationships/hyperlink" Target="https://twitter.com/GreenfieldIowa/status/1312547659291537408" TargetMode="External"/><Relationship Id="rId25" Type="http://schemas.openxmlformats.org/officeDocument/2006/relationships/hyperlink" Target="https://twitter.com/GreenfieldIowa/status/1322339513063100417" TargetMode="External"/><Relationship Id="rId46" Type="http://schemas.openxmlformats.org/officeDocument/2006/relationships/hyperlink" Target="https://twitter.com/GreenfieldIowa/status/1321190230549037059" TargetMode="External"/><Relationship Id="rId67" Type="http://schemas.openxmlformats.org/officeDocument/2006/relationships/hyperlink" Target="https://twitter.com/GreenfieldIowa/status/1319745837312987145" TargetMode="External"/><Relationship Id="rId116" Type="http://schemas.openxmlformats.org/officeDocument/2006/relationships/hyperlink" Target="https://twitter.com/GreenfieldIowa/status/1316900827844456452" TargetMode="External"/><Relationship Id="rId137" Type="http://schemas.openxmlformats.org/officeDocument/2006/relationships/hyperlink" Target="https://twitter.com/GreenfieldIowa/status/1316760535472373760" TargetMode="External"/><Relationship Id="rId158" Type="http://schemas.openxmlformats.org/officeDocument/2006/relationships/hyperlink" Target="https://twitter.com/GreenfieldIowa/status/1315411938537607168" TargetMode="External"/><Relationship Id="rId20" Type="http://schemas.openxmlformats.org/officeDocument/2006/relationships/hyperlink" Target="https://twitter.com/GreenfieldIowa/status/1322644342843052032" TargetMode="External"/><Relationship Id="rId41" Type="http://schemas.openxmlformats.org/officeDocument/2006/relationships/hyperlink" Target="https://twitter.com/GreenfieldIowa/status/1321511204385361921" TargetMode="External"/><Relationship Id="rId62" Type="http://schemas.openxmlformats.org/officeDocument/2006/relationships/hyperlink" Target="https://twitter.com/GreenfieldIowa/status/1320082063974932480" TargetMode="External"/><Relationship Id="rId83" Type="http://schemas.openxmlformats.org/officeDocument/2006/relationships/hyperlink" Target="https://twitter.com/GreenfieldIowa/status/1318703742603190274" TargetMode="External"/><Relationship Id="rId88" Type="http://schemas.openxmlformats.org/officeDocument/2006/relationships/hyperlink" Target="https://twitter.com/GreenfieldIowa/status/1318568409790119937" TargetMode="External"/><Relationship Id="rId111" Type="http://schemas.openxmlformats.org/officeDocument/2006/relationships/hyperlink" Target="https://twitter.com/GreenfieldIowa/status/1316914211574976512" TargetMode="External"/><Relationship Id="rId132" Type="http://schemas.openxmlformats.org/officeDocument/2006/relationships/hyperlink" Target="https://twitter.com/GreenfieldIowa/status/1316884861081260033" TargetMode="External"/><Relationship Id="rId153" Type="http://schemas.openxmlformats.org/officeDocument/2006/relationships/hyperlink" Target="https://twitter.com/GreenfieldIowa/status/1315702697300037632" TargetMode="External"/><Relationship Id="rId174" Type="http://schemas.openxmlformats.org/officeDocument/2006/relationships/hyperlink" Target="https://twitter.com/GreenfieldIowa/status/1314371004760829952" TargetMode="External"/><Relationship Id="rId179" Type="http://schemas.openxmlformats.org/officeDocument/2006/relationships/hyperlink" Target="https://twitter.com/GreenfieldIowa/status/1314173868421111809" TargetMode="External"/><Relationship Id="rId195" Type="http://schemas.openxmlformats.org/officeDocument/2006/relationships/hyperlink" Target="https://twitter.com/GreenfieldIowa/status/1313201417520386069" TargetMode="External"/><Relationship Id="rId209" Type="http://schemas.openxmlformats.org/officeDocument/2006/relationships/hyperlink" Target="https://twitter.com/GreenfieldIowa/status/1312552892885282818" TargetMode="External"/><Relationship Id="rId190" Type="http://schemas.openxmlformats.org/officeDocument/2006/relationships/hyperlink" Target="https://twitter.com/GreenfieldIowa/status/1313562616393015296" TargetMode="External"/><Relationship Id="rId204" Type="http://schemas.openxmlformats.org/officeDocument/2006/relationships/hyperlink" Target="https://twitter.com/GreenfieldIowa/status/1312557016284565505" TargetMode="External"/><Relationship Id="rId220" Type="http://schemas.openxmlformats.org/officeDocument/2006/relationships/hyperlink" Target="https://twitter.com/GreenfieldIowa/status/1312507954181140480" TargetMode="External"/><Relationship Id="rId15" Type="http://schemas.openxmlformats.org/officeDocument/2006/relationships/hyperlink" Target="https://twitter.com/GreenfieldIowa/status/1323006764695080961" TargetMode="External"/><Relationship Id="rId36" Type="http://schemas.openxmlformats.org/officeDocument/2006/relationships/hyperlink" Target="https://twitter.com/GreenfieldIowa/status/1321859277112381441" TargetMode="External"/><Relationship Id="rId57" Type="http://schemas.openxmlformats.org/officeDocument/2006/relationships/hyperlink" Target="https://twitter.com/GreenfieldIowa/status/1320450749931859970" TargetMode="External"/><Relationship Id="rId106" Type="http://schemas.openxmlformats.org/officeDocument/2006/relationships/hyperlink" Target="https://twitter.com/GreenfieldIowa/status/1317216977287565316" TargetMode="External"/><Relationship Id="rId127" Type="http://schemas.openxmlformats.org/officeDocument/2006/relationships/hyperlink" Target="https://twitter.com/GreenfieldIowa/status/1316890070893400064" TargetMode="External"/><Relationship Id="rId10" Type="http://schemas.openxmlformats.org/officeDocument/2006/relationships/hyperlink" Target="https://twitter.com/GreenfieldIowa/status/1323298612869242880" TargetMode="External"/><Relationship Id="rId31" Type="http://schemas.openxmlformats.org/officeDocument/2006/relationships/hyperlink" Target="https://twitter.com/GreenfieldIowa/status/1321992664649256961" TargetMode="External"/><Relationship Id="rId52" Type="http://schemas.openxmlformats.org/officeDocument/2006/relationships/hyperlink" Target="https://twitter.com/GreenfieldIowa/status/1320805222269280258" TargetMode="External"/><Relationship Id="rId73" Type="http://schemas.openxmlformats.org/officeDocument/2006/relationships/hyperlink" Target="https://twitter.com/GreenfieldIowa/status/1319332683990917121" TargetMode="External"/><Relationship Id="rId78" Type="http://schemas.openxmlformats.org/officeDocument/2006/relationships/hyperlink" Target="https://twitter.com/GreenfieldIowa/status/1319016029117403136" TargetMode="External"/><Relationship Id="rId94" Type="http://schemas.openxmlformats.org/officeDocument/2006/relationships/hyperlink" Target="https://twitter.com/GreenfieldIowa/status/1318262496675979265" TargetMode="External"/><Relationship Id="rId99" Type="http://schemas.openxmlformats.org/officeDocument/2006/relationships/hyperlink" Target="https://twitter.com/GreenfieldIowa/status/1317629879958032385" TargetMode="External"/><Relationship Id="rId101" Type="http://schemas.openxmlformats.org/officeDocument/2006/relationships/hyperlink" Target="https://twitter.com/GreenfieldIowa/status/1317592804802105344" TargetMode="External"/><Relationship Id="rId122" Type="http://schemas.openxmlformats.org/officeDocument/2006/relationships/hyperlink" Target="https://twitter.com/GreenfieldIowa/status/1316893025927311362" TargetMode="External"/><Relationship Id="rId143" Type="http://schemas.openxmlformats.org/officeDocument/2006/relationships/hyperlink" Target="https://twitter.com/GreenfieldIowa/status/1316193425096617986" TargetMode="External"/><Relationship Id="rId148" Type="http://schemas.openxmlformats.org/officeDocument/2006/relationships/hyperlink" Target="https://twitter.com/GreenfieldIowa/status/1315816396882927616" TargetMode="External"/><Relationship Id="rId164" Type="http://schemas.openxmlformats.org/officeDocument/2006/relationships/hyperlink" Target="https://twitter.com/GreenfieldIowa/status/1315008223364231170" TargetMode="External"/><Relationship Id="rId169" Type="http://schemas.openxmlformats.org/officeDocument/2006/relationships/hyperlink" Target="https://twitter.com/GreenfieldIowa/status/1314690142653816842" TargetMode="External"/><Relationship Id="rId185" Type="http://schemas.openxmlformats.org/officeDocument/2006/relationships/hyperlink" Target="https://twitter.com/GreenfieldIowa/status/1313823364503437312" TargetMode="External"/><Relationship Id="rId4" Type="http://schemas.openxmlformats.org/officeDocument/2006/relationships/hyperlink" Target="https://twitter.com/GreenfieldIowa/status/1323643318052507653" TargetMode="External"/><Relationship Id="rId9" Type="http://schemas.openxmlformats.org/officeDocument/2006/relationships/hyperlink" Target="https://twitter.com/GreenfieldIowa/status/1323372098107092992" TargetMode="External"/><Relationship Id="rId180" Type="http://schemas.openxmlformats.org/officeDocument/2006/relationships/hyperlink" Target="https://twitter.com/GreenfieldIowa/status/1314020137868034049" TargetMode="External"/><Relationship Id="rId210" Type="http://schemas.openxmlformats.org/officeDocument/2006/relationships/hyperlink" Target="https://twitter.com/GreenfieldIowa/status/1312552176095571968" TargetMode="External"/><Relationship Id="rId215" Type="http://schemas.openxmlformats.org/officeDocument/2006/relationships/hyperlink" Target="https://twitter.com/GreenfieldIowa/status/1312547419742142464" TargetMode="External"/><Relationship Id="rId26" Type="http://schemas.openxmlformats.org/officeDocument/2006/relationships/hyperlink" Target="https://twitter.com/GreenfieldIowa/status/1322316409909764096" TargetMode="External"/><Relationship Id="rId47" Type="http://schemas.openxmlformats.org/officeDocument/2006/relationships/hyperlink" Target="https://twitter.com/GreenfieldIowa/status/1321155621065023498" TargetMode="External"/><Relationship Id="rId68" Type="http://schemas.openxmlformats.org/officeDocument/2006/relationships/hyperlink" Target="https://twitter.com/GreenfieldIowa/status/1319711927094968320" TargetMode="External"/><Relationship Id="rId89" Type="http://schemas.openxmlformats.org/officeDocument/2006/relationships/hyperlink" Target="https://twitter.com/GreenfieldIowa/status/1318539108445192194" TargetMode="External"/><Relationship Id="rId112" Type="http://schemas.openxmlformats.org/officeDocument/2006/relationships/hyperlink" Target="https://twitter.com/GreenfieldIowa/status/1316911419913347072" TargetMode="External"/><Relationship Id="rId133" Type="http://schemas.openxmlformats.org/officeDocument/2006/relationships/hyperlink" Target="https://twitter.com/GreenfieldIowa/status/1316883101986004993" TargetMode="External"/><Relationship Id="rId154" Type="http://schemas.openxmlformats.org/officeDocument/2006/relationships/hyperlink" Target="https://twitter.com/GreenfieldIowa/status/1315686832483577857" TargetMode="External"/><Relationship Id="rId175" Type="http://schemas.openxmlformats.org/officeDocument/2006/relationships/hyperlink" Target="https://twitter.com/GreenfieldIowa/status/1314324629356511232" TargetMode="External"/><Relationship Id="rId196" Type="http://schemas.openxmlformats.org/officeDocument/2006/relationships/hyperlink" Target="https://twitter.com/GreenfieldIowa/status/1313181092057358343" TargetMode="External"/><Relationship Id="rId200" Type="http://schemas.openxmlformats.org/officeDocument/2006/relationships/hyperlink" Target="https://twitter.com/GreenfieldIowa/status/1312782085527089152" TargetMode="External"/><Relationship Id="rId16" Type="http://schemas.openxmlformats.org/officeDocument/2006/relationships/hyperlink" Target="https://twitter.com/GreenfieldIowa/status/1322983275636412424" TargetMode="External"/><Relationship Id="rId221" Type="http://schemas.openxmlformats.org/officeDocument/2006/relationships/hyperlink" Target="https://twitter.com/GreenfieldIowa/status/1312433733081821190" TargetMode="External"/><Relationship Id="rId37" Type="http://schemas.openxmlformats.org/officeDocument/2006/relationships/hyperlink" Target="https://twitter.com/GreenfieldIowa/status/1321834012164476928" TargetMode="External"/><Relationship Id="rId58" Type="http://schemas.openxmlformats.org/officeDocument/2006/relationships/hyperlink" Target="https://twitter.com/GreenfieldIowa/status/1320418519226396672" TargetMode="External"/><Relationship Id="rId79" Type="http://schemas.openxmlformats.org/officeDocument/2006/relationships/hyperlink" Target="https://twitter.com/GreenfieldIowa/status/1318977604083453954" TargetMode="External"/><Relationship Id="rId102" Type="http://schemas.openxmlformats.org/officeDocument/2006/relationships/hyperlink" Target="https://twitter.com/GreenfieldIowa/status/1317560385650700299" TargetMode="External"/><Relationship Id="rId123" Type="http://schemas.openxmlformats.org/officeDocument/2006/relationships/hyperlink" Target="https://twitter.com/GreenfieldIowa/status/1316892474405736448" TargetMode="External"/><Relationship Id="rId144" Type="http://schemas.openxmlformats.org/officeDocument/2006/relationships/hyperlink" Target="https://twitter.com/GreenfieldIowa/status/1316167577668923392" TargetMode="External"/><Relationship Id="rId90" Type="http://schemas.openxmlformats.org/officeDocument/2006/relationships/hyperlink" Target="https://twitter.com/GreenfieldIowa/status/1318366859784310784" TargetMode="External"/><Relationship Id="rId165" Type="http://schemas.openxmlformats.org/officeDocument/2006/relationships/hyperlink" Target="https://twitter.com/GreenfieldIowa/status/1314987840359600133" TargetMode="External"/><Relationship Id="rId186" Type="http://schemas.openxmlformats.org/officeDocument/2006/relationships/hyperlink" Target="https://twitter.com/GreenfieldIowa/status/1313662764146200576" TargetMode="External"/><Relationship Id="rId211" Type="http://schemas.openxmlformats.org/officeDocument/2006/relationships/hyperlink" Target="https://twitter.com/GreenfieldIowa/status/1312549942926422017" TargetMode="External"/><Relationship Id="rId27" Type="http://schemas.openxmlformats.org/officeDocument/2006/relationships/hyperlink" Target="https://twitter.com/GreenfieldIowa/status/1322273684296503296" TargetMode="External"/><Relationship Id="rId48" Type="http://schemas.openxmlformats.org/officeDocument/2006/relationships/hyperlink" Target="https://twitter.com/GreenfieldIowa/status/1321128695088766977" TargetMode="External"/><Relationship Id="rId69" Type="http://schemas.openxmlformats.org/officeDocument/2006/relationships/hyperlink" Target="https://twitter.com/GreenfieldIowa/status/1319655830057353216" TargetMode="External"/><Relationship Id="rId113" Type="http://schemas.openxmlformats.org/officeDocument/2006/relationships/hyperlink" Target="https://twitter.com/GreenfieldIowa/status/1316905993385791488" TargetMode="External"/><Relationship Id="rId134" Type="http://schemas.openxmlformats.org/officeDocument/2006/relationships/hyperlink" Target="https://twitter.com/GreenfieldIowa/status/1316852453929824261" TargetMode="External"/><Relationship Id="rId80" Type="http://schemas.openxmlformats.org/officeDocument/2006/relationships/hyperlink" Target="https://twitter.com/GreenfieldIowa/status/1318938582799781889" TargetMode="External"/><Relationship Id="rId155" Type="http://schemas.openxmlformats.org/officeDocument/2006/relationships/hyperlink" Target="https://twitter.com/GreenfieldIowa/status/1315653593844899842" TargetMode="External"/><Relationship Id="rId176" Type="http://schemas.openxmlformats.org/officeDocument/2006/relationships/hyperlink" Target="https://twitter.com/GreenfieldIowa/status/1314302314849673227" TargetMode="External"/><Relationship Id="rId197" Type="http://schemas.openxmlformats.org/officeDocument/2006/relationships/hyperlink" Target="https://twitter.com/GreenfieldIowa/status/1313116865938567170" TargetMode="External"/><Relationship Id="rId201" Type="http://schemas.openxmlformats.org/officeDocument/2006/relationships/hyperlink" Target="https://twitter.com/GreenfieldIowa/status/1312566918470152197" TargetMode="External"/><Relationship Id="rId222" Type="http://schemas.openxmlformats.org/officeDocument/2006/relationships/hyperlink" Target="https://twitter.com/GreenfieldIowa/status/1312399653242056705" TargetMode="External"/><Relationship Id="rId17" Type="http://schemas.openxmlformats.org/officeDocument/2006/relationships/hyperlink" Target="https://twitter.com/GreenfieldIowa/status/1322917659797839873" TargetMode="External"/><Relationship Id="rId38" Type="http://schemas.openxmlformats.org/officeDocument/2006/relationships/hyperlink" Target="https://twitter.com/GreenfieldIowa/status/1321622356859768833" TargetMode="External"/><Relationship Id="rId59" Type="http://schemas.openxmlformats.org/officeDocument/2006/relationships/hyperlink" Target="https://twitter.com/GreenfieldIowa/status/1320400157788221440" TargetMode="External"/><Relationship Id="rId103" Type="http://schemas.openxmlformats.org/officeDocument/2006/relationships/hyperlink" Target="https://twitter.com/GreenfieldIowa/status/1317553429074612225" TargetMode="External"/><Relationship Id="rId124" Type="http://schemas.openxmlformats.org/officeDocument/2006/relationships/hyperlink" Target="https://twitter.com/GreenfieldIowa/status/1316891920589783040" TargetMode="External"/><Relationship Id="rId70" Type="http://schemas.openxmlformats.org/officeDocument/2006/relationships/hyperlink" Target="https://twitter.com/GreenfieldIowa/status/1319447154264580097" TargetMode="External"/><Relationship Id="rId91" Type="http://schemas.openxmlformats.org/officeDocument/2006/relationships/hyperlink" Target="https://twitter.com/GreenfieldIowa/status/1318336811320659968" TargetMode="External"/><Relationship Id="rId145" Type="http://schemas.openxmlformats.org/officeDocument/2006/relationships/hyperlink" Target="https://twitter.com/GreenfieldIowa/status/1316141226425569281" TargetMode="External"/><Relationship Id="rId166" Type="http://schemas.openxmlformats.org/officeDocument/2006/relationships/hyperlink" Target="https://twitter.com/GreenfieldIowa/status/1314970385901932548" TargetMode="External"/><Relationship Id="rId187" Type="http://schemas.openxmlformats.org/officeDocument/2006/relationships/hyperlink" Target="https://twitter.com/GreenfieldIowa/status/1313635021417218049" TargetMode="External"/><Relationship Id="rId1" Type="http://schemas.openxmlformats.org/officeDocument/2006/relationships/hyperlink" Target="https://twitter.com/GreenfieldIowa/status/1323761000378699776" TargetMode="External"/><Relationship Id="rId212" Type="http://schemas.openxmlformats.org/officeDocument/2006/relationships/hyperlink" Target="https://twitter.com/GreenfieldIowa/status/1312548794920316929" TargetMode="External"/><Relationship Id="rId28" Type="http://schemas.openxmlformats.org/officeDocument/2006/relationships/hyperlink" Target="https://twitter.com/GreenfieldIowa/status/1322265837017903104" TargetMode="External"/><Relationship Id="rId49" Type="http://schemas.openxmlformats.org/officeDocument/2006/relationships/hyperlink" Target="https://twitter.com/GreenfieldIowa/status/1321104776826859520" TargetMode="External"/><Relationship Id="rId114" Type="http://schemas.openxmlformats.org/officeDocument/2006/relationships/hyperlink" Target="https://twitter.com/GreenfieldIowa/status/1316904226296123392" TargetMode="External"/><Relationship Id="rId60" Type="http://schemas.openxmlformats.org/officeDocument/2006/relationships/hyperlink" Target="https://twitter.com/GreenfieldIowa/status/1320160761851875329" TargetMode="External"/><Relationship Id="rId81" Type="http://schemas.openxmlformats.org/officeDocument/2006/relationships/hyperlink" Target="https://twitter.com/GreenfieldIowa/status/1318930145256853507" TargetMode="External"/><Relationship Id="rId135" Type="http://schemas.openxmlformats.org/officeDocument/2006/relationships/hyperlink" Target="https://twitter.com/GreenfieldIowa/status/1316822545384067072" TargetMode="External"/><Relationship Id="rId156" Type="http://schemas.openxmlformats.org/officeDocument/2006/relationships/hyperlink" Target="https://twitter.com/GreenfieldIowa/status/1315473523494842371" TargetMode="External"/><Relationship Id="rId177" Type="http://schemas.openxmlformats.org/officeDocument/2006/relationships/hyperlink" Target="https://twitter.com/GreenfieldIowa/status/1314278368486060033" TargetMode="External"/><Relationship Id="rId198" Type="http://schemas.openxmlformats.org/officeDocument/2006/relationships/hyperlink" Target="https://twitter.com/GreenfieldIowa/status/1312907011248582656" TargetMode="External"/><Relationship Id="rId202" Type="http://schemas.openxmlformats.org/officeDocument/2006/relationships/hyperlink" Target="https://twitter.com/GreenfieldIowa/status/1312558480872607745" TargetMode="External"/><Relationship Id="rId223" Type="http://schemas.openxmlformats.org/officeDocument/2006/relationships/table" Target="../tables/table6.xml"/><Relationship Id="rId18" Type="http://schemas.openxmlformats.org/officeDocument/2006/relationships/hyperlink" Target="https://twitter.com/GreenfieldIowa/status/1322679762561748992" TargetMode="External"/><Relationship Id="rId39" Type="http://schemas.openxmlformats.org/officeDocument/2006/relationships/hyperlink" Target="https://twitter.com/GreenfieldIowa/status/1321576454853922817" TargetMode="External"/><Relationship Id="rId50" Type="http://schemas.openxmlformats.org/officeDocument/2006/relationships/hyperlink" Target="https://twitter.com/GreenfieldIowa/status/1321093045748670464" TargetMode="External"/><Relationship Id="rId104" Type="http://schemas.openxmlformats.org/officeDocument/2006/relationships/hyperlink" Target="https://twitter.com/GreenfieldIowa/status/1317493178644287488" TargetMode="External"/><Relationship Id="rId125" Type="http://schemas.openxmlformats.org/officeDocument/2006/relationships/hyperlink" Target="https://twitter.com/GreenfieldIowa/status/1316891438043508737" TargetMode="External"/><Relationship Id="rId146" Type="http://schemas.openxmlformats.org/officeDocument/2006/relationships/hyperlink" Target="https://twitter.com/GreenfieldIowa/status/1316118135947304960" TargetMode="External"/><Relationship Id="rId167" Type="http://schemas.openxmlformats.org/officeDocument/2006/relationships/hyperlink" Target="https://twitter.com/GreenfieldIowa/status/1314748921294532609" TargetMode="External"/><Relationship Id="rId188" Type="http://schemas.openxmlformats.org/officeDocument/2006/relationships/hyperlink" Target="https://twitter.com/GreenfieldIowa/status/1313604969485008896" TargetMode="External"/><Relationship Id="rId71" Type="http://schemas.openxmlformats.org/officeDocument/2006/relationships/hyperlink" Target="https://twitter.com/GreenfieldIowa/status/1319382396576370689" TargetMode="External"/><Relationship Id="rId92" Type="http://schemas.openxmlformats.org/officeDocument/2006/relationships/hyperlink" Target="https://twitter.com/GreenfieldIowa/status/1318317835798675460" TargetMode="External"/><Relationship Id="rId213" Type="http://schemas.openxmlformats.org/officeDocument/2006/relationships/hyperlink" Target="https://twitter.com/GreenfieldIowa/status/1312548340316467200" TargetMode="External"/><Relationship Id="rId2" Type="http://schemas.openxmlformats.org/officeDocument/2006/relationships/hyperlink" Target="https://twitter.com/GreenfieldIowa/status/1323735506623057920" TargetMode="External"/><Relationship Id="rId29" Type="http://schemas.openxmlformats.org/officeDocument/2006/relationships/hyperlink" Target="https://twitter.com/GreenfieldIowa/status/1322238736365768704" TargetMode="External"/><Relationship Id="rId40" Type="http://schemas.openxmlformats.org/officeDocument/2006/relationships/hyperlink" Target="https://twitter.com/GreenfieldIowa/status/1321536973446750212" TargetMode="External"/><Relationship Id="rId115" Type="http://schemas.openxmlformats.org/officeDocument/2006/relationships/hyperlink" Target="https://twitter.com/GreenfieldIowa/status/1316902359260430341" TargetMode="External"/><Relationship Id="rId136" Type="http://schemas.openxmlformats.org/officeDocument/2006/relationships/hyperlink" Target="https://twitter.com/GreenfieldIowa/status/1316800537254391809" TargetMode="External"/><Relationship Id="rId157" Type="http://schemas.openxmlformats.org/officeDocument/2006/relationships/hyperlink" Target="https://twitter.com/GreenfieldIowa/status/1315443025724821505" TargetMode="External"/><Relationship Id="rId178" Type="http://schemas.openxmlformats.org/officeDocument/2006/relationships/hyperlink" Target="https://twitter.com/GreenfieldIowa/status/1314246505562243073" TargetMode="External"/><Relationship Id="rId61" Type="http://schemas.openxmlformats.org/officeDocument/2006/relationships/hyperlink" Target="https://twitter.com/GreenfieldIowa/status/1320125263401934848" TargetMode="External"/><Relationship Id="rId82" Type="http://schemas.openxmlformats.org/officeDocument/2006/relationships/hyperlink" Target="https://twitter.com/GreenfieldIowa/status/1318734932215300096" TargetMode="External"/><Relationship Id="rId199" Type="http://schemas.openxmlformats.org/officeDocument/2006/relationships/hyperlink" Target="https://twitter.com/GreenfieldIowa/status/1312816407025983495" TargetMode="External"/><Relationship Id="rId203" Type="http://schemas.openxmlformats.org/officeDocument/2006/relationships/hyperlink" Target="https://twitter.com/GreenfieldIowa/status/1312557734525636611" TargetMode="External"/><Relationship Id="rId19" Type="http://schemas.openxmlformats.org/officeDocument/2006/relationships/hyperlink" Target="https://twitter.com/GreenfieldIowa/status/1322662100393746434" TargetMode="External"/><Relationship Id="rId30" Type="http://schemas.openxmlformats.org/officeDocument/2006/relationships/hyperlink" Target="https://twitter.com/GreenfieldIowa/status/1322168184351432705" TargetMode="External"/><Relationship Id="rId105" Type="http://schemas.openxmlformats.org/officeDocument/2006/relationships/hyperlink" Target="https://twitter.com/GreenfieldIowa/status/1317250654352662529" TargetMode="External"/><Relationship Id="rId126" Type="http://schemas.openxmlformats.org/officeDocument/2006/relationships/hyperlink" Target="https://twitter.com/GreenfieldIowa/status/1316890518610153474" TargetMode="External"/><Relationship Id="rId147" Type="http://schemas.openxmlformats.org/officeDocument/2006/relationships/hyperlink" Target="https://twitter.com/GreenfieldIowa/status/1316021738442874886" TargetMode="External"/><Relationship Id="rId168" Type="http://schemas.openxmlformats.org/officeDocument/2006/relationships/hyperlink" Target="https://twitter.com/GreenfieldIowa/status/1314716092871434243"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twitter.com/SenSusanCollins/status/1321080593036226561" TargetMode="External"/><Relationship Id="rId21" Type="http://schemas.openxmlformats.org/officeDocument/2006/relationships/hyperlink" Target="https://twitter.com/SenSusanCollins/status/1323325062557085696" TargetMode="External"/><Relationship Id="rId42" Type="http://schemas.openxmlformats.org/officeDocument/2006/relationships/hyperlink" Target="https://twitter.com/SenSusanCollins/status/1322655838197088257" TargetMode="External"/><Relationship Id="rId63" Type="http://schemas.openxmlformats.org/officeDocument/2006/relationships/hyperlink" Target="https://twitter.com/SenSusanCollins/status/1322181980117762055" TargetMode="External"/><Relationship Id="rId84" Type="http://schemas.openxmlformats.org/officeDocument/2006/relationships/hyperlink" Target="https://twitter.com/SenSusanCollins/status/1321610402619416581" TargetMode="External"/><Relationship Id="rId138" Type="http://schemas.openxmlformats.org/officeDocument/2006/relationships/hyperlink" Target="https://twitter.com/SenSusanCollins/status/1320084736602243073" TargetMode="External"/><Relationship Id="rId159" Type="http://schemas.openxmlformats.org/officeDocument/2006/relationships/hyperlink" Target="https://twitter.com/SenSusanCollins/status/1319414648295260160" TargetMode="External"/><Relationship Id="rId170" Type="http://schemas.openxmlformats.org/officeDocument/2006/relationships/hyperlink" Target="https://twitter.com/SenSusanCollins/status/1319312306862510080" TargetMode="External"/><Relationship Id="rId191" Type="http://schemas.openxmlformats.org/officeDocument/2006/relationships/hyperlink" Target="https://twitter.com/SenSusanCollins/status/1317476300702011393" TargetMode="External"/><Relationship Id="rId205" Type="http://schemas.openxmlformats.org/officeDocument/2006/relationships/hyperlink" Target="https://twitter.com/SenSusanCollins/status/1316899023370989569" TargetMode="External"/><Relationship Id="rId226" Type="http://schemas.openxmlformats.org/officeDocument/2006/relationships/hyperlink" Target="https://twitter.com/SenSusanCollins/status/1316024561939349507" TargetMode="External"/><Relationship Id="rId247" Type="http://schemas.openxmlformats.org/officeDocument/2006/relationships/hyperlink" Target="https://twitter.com/SenSusanCollins/status/1313556567434952704" TargetMode="External"/><Relationship Id="rId107" Type="http://schemas.openxmlformats.org/officeDocument/2006/relationships/hyperlink" Target="https://twitter.com/SenSusanCollins/status/1321445215006240769" TargetMode="External"/><Relationship Id="rId11" Type="http://schemas.openxmlformats.org/officeDocument/2006/relationships/hyperlink" Target="https://twitter.com/SenSusanCollins/status/1323621320295329798" TargetMode="External"/><Relationship Id="rId32" Type="http://schemas.openxmlformats.org/officeDocument/2006/relationships/hyperlink" Target="https://twitter.com/SenSusanCollins/status/1323015088832434178" TargetMode="External"/><Relationship Id="rId53" Type="http://schemas.openxmlformats.org/officeDocument/2006/relationships/hyperlink" Target="https://twitter.com/SenSusanCollins/status/1322300336078553088" TargetMode="External"/><Relationship Id="rId74" Type="http://schemas.openxmlformats.org/officeDocument/2006/relationships/hyperlink" Target="https://twitter.com/SenSusanCollins/status/1321839987692888067" TargetMode="External"/><Relationship Id="rId128" Type="http://schemas.openxmlformats.org/officeDocument/2006/relationships/hyperlink" Target="https://twitter.com/SenSusanCollins/status/1320462991486308358" TargetMode="External"/><Relationship Id="rId149" Type="http://schemas.openxmlformats.org/officeDocument/2006/relationships/hyperlink" Target="https://twitter.com/SenSusanCollins/status/1319426693728174081" TargetMode="External"/><Relationship Id="rId5" Type="http://schemas.openxmlformats.org/officeDocument/2006/relationships/hyperlink" Target="https://twitter.com/SenSusanCollins/status/1323702498570493954" TargetMode="External"/><Relationship Id="rId95" Type="http://schemas.openxmlformats.org/officeDocument/2006/relationships/hyperlink" Target="https://twitter.com/SenSusanCollins/status/1321603535033798656" TargetMode="External"/><Relationship Id="rId160" Type="http://schemas.openxmlformats.org/officeDocument/2006/relationships/hyperlink" Target="https://twitter.com/SenSusanCollins/status/1319412606508158976" TargetMode="External"/><Relationship Id="rId181" Type="http://schemas.openxmlformats.org/officeDocument/2006/relationships/hyperlink" Target="https://twitter.com/SenSusanCollins/status/1317971220399181824" TargetMode="External"/><Relationship Id="rId216" Type="http://schemas.openxmlformats.org/officeDocument/2006/relationships/hyperlink" Target="https://twitter.com/SenSusanCollins/status/1316789869537091584" TargetMode="External"/><Relationship Id="rId237" Type="http://schemas.openxmlformats.org/officeDocument/2006/relationships/hyperlink" Target="https://twitter.com/SenSusanCollins/status/1314601921802571776" TargetMode="External"/><Relationship Id="rId22" Type="http://schemas.openxmlformats.org/officeDocument/2006/relationships/hyperlink" Target="https://twitter.com/SenSusanCollins/status/1323300447915020288" TargetMode="External"/><Relationship Id="rId43" Type="http://schemas.openxmlformats.org/officeDocument/2006/relationships/hyperlink" Target="https://twitter.com/SenSusanCollins/status/1322649510741422081" TargetMode="External"/><Relationship Id="rId64" Type="http://schemas.openxmlformats.org/officeDocument/2006/relationships/hyperlink" Target="https://twitter.com/SenSusanCollins/status/1322168664938958851" TargetMode="External"/><Relationship Id="rId118" Type="http://schemas.openxmlformats.org/officeDocument/2006/relationships/hyperlink" Target="https://twitter.com/SenSusanCollins/status/1320872268923371520" TargetMode="External"/><Relationship Id="rId139" Type="http://schemas.openxmlformats.org/officeDocument/2006/relationships/hyperlink" Target="https://twitter.com/SenSusanCollins/status/1320071126966542337" TargetMode="External"/><Relationship Id="rId85" Type="http://schemas.openxmlformats.org/officeDocument/2006/relationships/hyperlink" Target="https://twitter.com/SenSusanCollins/status/1321609504287588352" TargetMode="External"/><Relationship Id="rId150" Type="http://schemas.openxmlformats.org/officeDocument/2006/relationships/hyperlink" Target="https://twitter.com/SenSusanCollins/status/1319425674969567232" TargetMode="External"/><Relationship Id="rId171" Type="http://schemas.openxmlformats.org/officeDocument/2006/relationships/hyperlink" Target="https://twitter.com/SenSusanCollins/status/1319280696037310468" TargetMode="External"/><Relationship Id="rId192" Type="http://schemas.openxmlformats.org/officeDocument/2006/relationships/hyperlink" Target="https://twitter.com/SenSusanCollins/status/1317463403577937922" TargetMode="External"/><Relationship Id="rId206" Type="http://schemas.openxmlformats.org/officeDocument/2006/relationships/hyperlink" Target="https://twitter.com/SenSusanCollins/status/1316898527835017216" TargetMode="External"/><Relationship Id="rId227" Type="http://schemas.openxmlformats.org/officeDocument/2006/relationships/hyperlink" Target="https://twitter.com/SenSusanCollins/status/1315710130672070662" TargetMode="External"/><Relationship Id="rId248" Type="http://schemas.openxmlformats.org/officeDocument/2006/relationships/hyperlink" Target="https://twitter.com/SenSusanCollins/status/1313484274927099907" TargetMode="External"/><Relationship Id="rId12" Type="http://schemas.openxmlformats.org/officeDocument/2006/relationships/hyperlink" Target="https://twitter.com/SenSusanCollins/status/1323613998890274817" TargetMode="External"/><Relationship Id="rId33" Type="http://schemas.openxmlformats.org/officeDocument/2006/relationships/hyperlink" Target="https://twitter.com/SenSusanCollins/status/1322999033175150592" TargetMode="External"/><Relationship Id="rId108" Type="http://schemas.openxmlformats.org/officeDocument/2006/relationships/hyperlink" Target="https://twitter.com/SenSusanCollins/status/1321406361645813760" TargetMode="External"/><Relationship Id="rId129" Type="http://schemas.openxmlformats.org/officeDocument/2006/relationships/hyperlink" Target="https://twitter.com/SenSusanCollins/status/1320453475520647169" TargetMode="External"/><Relationship Id="rId54" Type="http://schemas.openxmlformats.org/officeDocument/2006/relationships/hyperlink" Target="https://twitter.com/SenSusanCollins/status/1322280122741858306" TargetMode="External"/><Relationship Id="rId75" Type="http://schemas.openxmlformats.org/officeDocument/2006/relationships/hyperlink" Target="https://twitter.com/SenSusanCollins/status/1321826807734296576" TargetMode="External"/><Relationship Id="rId96" Type="http://schemas.openxmlformats.org/officeDocument/2006/relationships/hyperlink" Target="https://twitter.com/SenSusanCollins/status/1321603449855901701" TargetMode="External"/><Relationship Id="rId140" Type="http://schemas.openxmlformats.org/officeDocument/2006/relationships/hyperlink" Target="https://twitter.com/SenSusanCollins/status/1320053482280411136" TargetMode="External"/><Relationship Id="rId161" Type="http://schemas.openxmlformats.org/officeDocument/2006/relationships/hyperlink" Target="https://twitter.com/SenSusanCollins/status/1319410365986426881" TargetMode="External"/><Relationship Id="rId182" Type="http://schemas.openxmlformats.org/officeDocument/2006/relationships/hyperlink" Target="https://twitter.com/SenSusanCollins/status/1317948232199266307" TargetMode="External"/><Relationship Id="rId217" Type="http://schemas.openxmlformats.org/officeDocument/2006/relationships/hyperlink" Target="https://twitter.com/SenSusanCollins/status/1316759219744444417" TargetMode="External"/><Relationship Id="rId6" Type="http://schemas.openxmlformats.org/officeDocument/2006/relationships/hyperlink" Target="https://twitter.com/SenSusanCollins/status/1323690418215755777" TargetMode="External"/><Relationship Id="rId238" Type="http://schemas.openxmlformats.org/officeDocument/2006/relationships/hyperlink" Target="https://twitter.com/SenSusanCollins/status/1314331896868933633" TargetMode="External"/><Relationship Id="rId23" Type="http://schemas.openxmlformats.org/officeDocument/2006/relationships/hyperlink" Target="https://twitter.com/SenSusanCollins/status/1323291621480374274" TargetMode="External"/><Relationship Id="rId119" Type="http://schemas.openxmlformats.org/officeDocument/2006/relationships/hyperlink" Target="https://twitter.com/SenSusanCollins/status/1320855224144302080" TargetMode="External"/><Relationship Id="rId44" Type="http://schemas.openxmlformats.org/officeDocument/2006/relationships/hyperlink" Target="https://twitter.com/SenSusanCollins/status/1322640738635665413" TargetMode="External"/><Relationship Id="rId65" Type="http://schemas.openxmlformats.org/officeDocument/2006/relationships/hyperlink" Target="https://twitter.com/SenSusanCollins/status/1321972586541035522" TargetMode="External"/><Relationship Id="rId86" Type="http://schemas.openxmlformats.org/officeDocument/2006/relationships/hyperlink" Target="https://twitter.com/SenSusanCollins/status/1321609034651340802" TargetMode="External"/><Relationship Id="rId130" Type="http://schemas.openxmlformats.org/officeDocument/2006/relationships/hyperlink" Target="https://twitter.com/SenSusanCollins/status/1320432439022383104" TargetMode="External"/><Relationship Id="rId151" Type="http://schemas.openxmlformats.org/officeDocument/2006/relationships/hyperlink" Target="https://twitter.com/SenSusanCollins/status/1319423875428528128" TargetMode="External"/><Relationship Id="rId172" Type="http://schemas.openxmlformats.org/officeDocument/2006/relationships/hyperlink" Target="https://twitter.com/SenSusanCollins/status/1319023843558776834" TargetMode="External"/><Relationship Id="rId193" Type="http://schemas.openxmlformats.org/officeDocument/2006/relationships/hyperlink" Target="https://twitter.com/SenSusanCollins/status/1317251047505743874" TargetMode="External"/><Relationship Id="rId207" Type="http://schemas.openxmlformats.org/officeDocument/2006/relationships/hyperlink" Target="https://twitter.com/SenSusanCollins/status/1316895713834328065" TargetMode="External"/><Relationship Id="rId228" Type="http://schemas.openxmlformats.org/officeDocument/2006/relationships/hyperlink" Target="https://twitter.com/SenSusanCollins/status/1315660939207868416" TargetMode="External"/><Relationship Id="rId249" Type="http://schemas.openxmlformats.org/officeDocument/2006/relationships/hyperlink" Target="https://twitter.com/SenSusanCollins/status/1313222437480337414" TargetMode="External"/><Relationship Id="rId13" Type="http://schemas.openxmlformats.org/officeDocument/2006/relationships/hyperlink" Target="https://twitter.com/SenSusanCollins/status/1323601140412461056" TargetMode="External"/><Relationship Id="rId109" Type="http://schemas.openxmlformats.org/officeDocument/2006/relationships/hyperlink" Target="https://twitter.com/SenSusanCollins/status/1321232711609008128" TargetMode="External"/><Relationship Id="rId34" Type="http://schemas.openxmlformats.org/officeDocument/2006/relationships/hyperlink" Target="https://twitter.com/SenSusanCollins/status/1322983395505381376" TargetMode="External"/><Relationship Id="rId55" Type="http://schemas.openxmlformats.org/officeDocument/2006/relationships/hyperlink" Target="https://twitter.com/SenSusanCollins/status/1322270127719669762" TargetMode="External"/><Relationship Id="rId76" Type="http://schemas.openxmlformats.org/officeDocument/2006/relationships/hyperlink" Target="https://twitter.com/SenSusanCollins/status/1321806832084512769" TargetMode="External"/><Relationship Id="rId97" Type="http://schemas.openxmlformats.org/officeDocument/2006/relationships/hyperlink" Target="https://twitter.com/SenSusanCollins/status/1321603387285274630" TargetMode="External"/><Relationship Id="rId120" Type="http://schemas.openxmlformats.org/officeDocument/2006/relationships/hyperlink" Target="https://twitter.com/SenSusanCollins/status/1320844888439750658" TargetMode="External"/><Relationship Id="rId141" Type="http://schemas.openxmlformats.org/officeDocument/2006/relationships/hyperlink" Target="https://twitter.com/SenSusanCollins/status/1320038323273011200" TargetMode="External"/><Relationship Id="rId7" Type="http://schemas.openxmlformats.org/officeDocument/2006/relationships/hyperlink" Target="https://twitter.com/SenSusanCollins/status/1323675586410225665" TargetMode="External"/><Relationship Id="rId162" Type="http://schemas.openxmlformats.org/officeDocument/2006/relationships/hyperlink" Target="https://twitter.com/SenSusanCollins/status/1319408644019159040" TargetMode="External"/><Relationship Id="rId183" Type="http://schemas.openxmlformats.org/officeDocument/2006/relationships/hyperlink" Target="https://twitter.com/SenSusanCollins/status/1317884410671386626" TargetMode="External"/><Relationship Id="rId218" Type="http://schemas.openxmlformats.org/officeDocument/2006/relationships/hyperlink" Target="https://twitter.com/SenSusanCollins/status/1316521669553319937" TargetMode="External"/><Relationship Id="rId239" Type="http://schemas.openxmlformats.org/officeDocument/2006/relationships/hyperlink" Target="https://twitter.com/SenSusanCollins/status/1314325125626560521" TargetMode="External"/><Relationship Id="rId250" Type="http://schemas.openxmlformats.org/officeDocument/2006/relationships/hyperlink" Target="https://twitter.com/SenSusanCollins/status/1313207455971708929" TargetMode="External"/><Relationship Id="rId24" Type="http://schemas.openxmlformats.org/officeDocument/2006/relationships/hyperlink" Target="https://twitter.com/SenSusanCollins/status/1323274976686989316" TargetMode="External"/><Relationship Id="rId45" Type="http://schemas.openxmlformats.org/officeDocument/2006/relationships/hyperlink" Target="https://twitter.com/SenSusanCollins/status/1322632984630054912" TargetMode="External"/><Relationship Id="rId66" Type="http://schemas.openxmlformats.org/officeDocument/2006/relationships/hyperlink" Target="https://twitter.com/SenSusanCollins/status/1321949942311723009" TargetMode="External"/><Relationship Id="rId87" Type="http://schemas.openxmlformats.org/officeDocument/2006/relationships/hyperlink" Target="https://twitter.com/SenSusanCollins/status/1321608369355005957" TargetMode="External"/><Relationship Id="rId110" Type="http://schemas.openxmlformats.org/officeDocument/2006/relationships/hyperlink" Target="https://twitter.com/SenSusanCollins/status/1321222111487250432" TargetMode="External"/><Relationship Id="rId131" Type="http://schemas.openxmlformats.org/officeDocument/2006/relationships/hyperlink" Target="https://twitter.com/SenSusanCollins/status/1320418890204270596" TargetMode="External"/><Relationship Id="rId152" Type="http://schemas.openxmlformats.org/officeDocument/2006/relationships/hyperlink" Target="https://twitter.com/SenSusanCollins/status/1319423464193822722" TargetMode="External"/><Relationship Id="rId173" Type="http://schemas.openxmlformats.org/officeDocument/2006/relationships/hyperlink" Target="https://twitter.com/SenSusanCollins/status/1318980288274403329" TargetMode="External"/><Relationship Id="rId194" Type="http://schemas.openxmlformats.org/officeDocument/2006/relationships/hyperlink" Target="https://twitter.com/SenSusanCollins/status/1317198890442067969" TargetMode="External"/><Relationship Id="rId208" Type="http://schemas.openxmlformats.org/officeDocument/2006/relationships/hyperlink" Target="https://twitter.com/SenSusanCollins/status/1316895045274927104" TargetMode="External"/><Relationship Id="rId229" Type="http://schemas.openxmlformats.org/officeDocument/2006/relationships/hyperlink" Target="https://twitter.com/SenSusanCollins/status/1315364975658119170" TargetMode="External"/><Relationship Id="rId240" Type="http://schemas.openxmlformats.org/officeDocument/2006/relationships/hyperlink" Target="https://twitter.com/SenSusanCollins/status/1314286158130667521" TargetMode="External"/><Relationship Id="rId14" Type="http://schemas.openxmlformats.org/officeDocument/2006/relationships/hyperlink" Target="https://twitter.com/SenSusanCollins/status/1323422666162843650" TargetMode="External"/><Relationship Id="rId35" Type="http://schemas.openxmlformats.org/officeDocument/2006/relationships/hyperlink" Target="https://twitter.com/SenSusanCollins/status/1322971392325881856" TargetMode="External"/><Relationship Id="rId56" Type="http://schemas.openxmlformats.org/officeDocument/2006/relationships/hyperlink" Target="https://twitter.com/SenSusanCollins/status/1322261777112014849" TargetMode="External"/><Relationship Id="rId77" Type="http://schemas.openxmlformats.org/officeDocument/2006/relationships/hyperlink" Target="https://twitter.com/SenSusanCollins/status/1321628020923387905" TargetMode="External"/><Relationship Id="rId100" Type="http://schemas.openxmlformats.org/officeDocument/2006/relationships/hyperlink" Target="https://twitter.com/SenSusanCollins/status/1321594719567302659" TargetMode="External"/><Relationship Id="rId8" Type="http://schemas.openxmlformats.org/officeDocument/2006/relationships/hyperlink" Target="https://twitter.com/SenSusanCollins/status/1323666450494689280" TargetMode="External"/><Relationship Id="rId98" Type="http://schemas.openxmlformats.org/officeDocument/2006/relationships/hyperlink" Target="https://twitter.com/SenSusanCollins/status/1321603259560300549" TargetMode="External"/><Relationship Id="rId121" Type="http://schemas.openxmlformats.org/officeDocument/2006/relationships/hyperlink" Target="https://twitter.com/SenSusanCollins/status/1320795649575653382" TargetMode="External"/><Relationship Id="rId142" Type="http://schemas.openxmlformats.org/officeDocument/2006/relationships/hyperlink" Target="https://twitter.com/SenSusanCollins/status/1320030695830573057" TargetMode="External"/><Relationship Id="rId163" Type="http://schemas.openxmlformats.org/officeDocument/2006/relationships/hyperlink" Target="https://twitter.com/SenSusanCollins/status/1319400751085604864" TargetMode="External"/><Relationship Id="rId184" Type="http://schemas.openxmlformats.org/officeDocument/2006/relationships/hyperlink" Target="https://twitter.com/SenSusanCollins/status/1317571083877326848" TargetMode="External"/><Relationship Id="rId219" Type="http://schemas.openxmlformats.org/officeDocument/2006/relationships/hyperlink" Target="https://twitter.com/SenSusanCollins/status/1316464610678013952" TargetMode="External"/><Relationship Id="rId230" Type="http://schemas.openxmlformats.org/officeDocument/2006/relationships/hyperlink" Target="https://twitter.com/SenSusanCollins/status/1315030118952247296" TargetMode="External"/><Relationship Id="rId251" Type="http://schemas.openxmlformats.org/officeDocument/2006/relationships/hyperlink" Target="https://twitter.com/SenSusanCollins/status/1313162383280439297" TargetMode="External"/><Relationship Id="rId25" Type="http://schemas.openxmlformats.org/officeDocument/2006/relationships/hyperlink" Target="https://twitter.com/SenSusanCollins/status/1323261310713368578" TargetMode="External"/><Relationship Id="rId46" Type="http://schemas.openxmlformats.org/officeDocument/2006/relationships/hyperlink" Target="https://twitter.com/SenSusanCollins/status/1322618630811639808" TargetMode="External"/><Relationship Id="rId67" Type="http://schemas.openxmlformats.org/officeDocument/2006/relationships/hyperlink" Target="https://twitter.com/SenSusanCollins/status/1321941128804007936" TargetMode="External"/><Relationship Id="rId88" Type="http://schemas.openxmlformats.org/officeDocument/2006/relationships/hyperlink" Target="https://twitter.com/SenSusanCollins/status/1321607823688695809" TargetMode="External"/><Relationship Id="rId111" Type="http://schemas.openxmlformats.org/officeDocument/2006/relationships/hyperlink" Target="https://twitter.com/SenSusanCollins/status/1321206286629793792" TargetMode="External"/><Relationship Id="rId132" Type="http://schemas.openxmlformats.org/officeDocument/2006/relationships/hyperlink" Target="https://twitter.com/SenSusanCollins/status/1320377414451679235" TargetMode="External"/><Relationship Id="rId153" Type="http://schemas.openxmlformats.org/officeDocument/2006/relationships/hyperlink" Target="https://twitter.com/SenSusanCollins/status/1319420225444610049" TargetMode="External"/><Relationship Id="rId174" Type="http://schemas.openxmlformats.org/officeDocument/2006/relationships/hyperlink" Target="https://twitter.com/SenSusanCollins/status/1318910566883360770" TargetMode="External"/><Relationship Id="rId195" Type="http://schemas.openxmlformats.org/officeDocument/2006/relationships/hyperlink" Target="https://twitter.com/SenSusanCollins/status/1317174201401417728" TargetMode="External"/><Relationship Id="rId209" Type="http://schemas.openxmlformats.org/officeDocument/2006/relationships/hyperlink" Target="https://twitter.com/SenSusanCollins/status/1316890739004051456" TargetMode="External"/><Relationship Id="rId220" Type="http://schemas.openxmlformats.org/officeDocument/2006/relationships/hyperlink" Target="https://twitter.com/SenSusanCollins/status/1316401852309794817" TargetMode="External"/><Relationship Id="rId241" Type="http://schemas.openxmlformats.org/officeDocument/2006/relationships/hyperlink" Target="https://twitter.com/SenSusanCollins/status/1314269499680608259" TargetMode="External"/><Relationship Id="rId15" Type="http://schemas.openxmlformats.org/officeDocument/2006/relationships/hyperlink" Target="https://twitter.com/SenSusanCollins/status/1323398387459379200" TargetMode="External"/><Relationship Id="rId36" Type="http://schemas.openxmlformats.org/officeDocument/2006/relationships/hyperlink" Target="https://twitter.com/SenSusanCollins/status/1322962704353644546" TargetMode="External"/><Relationship Id="rId57" Type="http://schemas.openxmlformats.org/officeDocument/2006/relationships/hyperlink" Target="https://twitter.com/SenSusanCollins/status/1322251653031014400" TargetMode="External"/><Relationship Id="rId78" Type="http://schemas.openxmlformats.org/officeDocument/2006/relationships/hyperlink" Target="https://twitter.com/SenSusanCollins/status/1321615790450376705" TargetMode="External"/><Relationship Id="rId99" Type="http://schemas.openxmlformats.org/officeDocument/2006/relationships/hyperlink" Target="https://twitter.com/SenSusanCollins/status/1321601159400951809" TargetMode="External"/><Relationship Id="rId101" Type="http://schemas.openxmlformats.org/officeDocument/2006/relationships/hyperlink" Target="https://twitter.com/SenSusanCollins/status/1321586646010208259" TargetMode="External"/><Relationship Id="rId122" Type="http://schemas.openxmlformats.org/officeDocument/2006/relationships/hyperlink" Target="https://twitter.com/SenSusanCollins/status/1320762416335101955" TargetMode="External"/><Relationship Id="rId143" Type="http://schemas.openxmlformats.org/officeDocument/2006/relationships/hyperlink" Target="https://twitter.com/SenSusanCollins/status/1319722335931420674" TargetMode="External"/><Relationship Id="rId164" Type="http://schemas.openxmlformats.org/officeDocument/2006/relationships/hyperlink" Target="https://twitter.com/SenSusanCollins/status/1319397745984262150" TargetMode="External"/><Relationship Id="rId185" Type="http://schemas.openxmlformats.org/officeDocument/2006/relationships/hyperlink" Target="https://twitter.com/SenSusanCollins/status/1317564590444761088" TargetMode="External"/><Relationship Id="rId9" Type="http://schemas.openxmlformats.org/officeDocument/2006/relationships/hyperlink" Target="https://twitter.com/SenSusanCollins/status/1323642734926831617" TargetMode="External"/><Relationship Id="rId210" Type="http://schemas.openxmlformats.org/officeDocument/2006/relationships/hyperlink" Target="https://twitter.com/SenSusanCollins/status/1316881379674738706" TargetMode="External"/><Relationship Id="rId26" Type="http://schemas.openxmlformats.org/officeDocument/2006/relationships/hyperlink" Target="https://twitter.com/SenSusanCollins/status/1323256362869104640" TargetMode="External"/><Relationship Id="rId231" Type="http://schemas.openxmlformats.org/officeDocument/2006/relationships/hyperlink" Target="https://twitter.com/SenSusanCollins/status/1314971255322423298" TargetMode="External"/><Relationship Id="rId252" Type="http://schemas.openxmlformats.org/officeDocument/2006/relationships/hyperlink" Target="https://twitter.com/SenSusanCollins/status/1313132035939151872" TargetMode="External"/><Relationship Id="rId47" Type="http://schemas.openxmlformats.org/officeDocument/2006/relationships/hyperlink" Target="https://twitter.com/SenSusanCollins/status/1322600837068296208" TargetMode="External"/><Relationship Id="rId68" Type="http://schemas.openxmlformats.org/officeDocument/2006/relationships/hyperlink" Target="https://twitter.com/SenSusanCollins/status/1321934839805825028" TargetMode="External"/><Relationship Id="rId89" Type="http://schemas.openxmlformats.org/officeDocument/2006/relationships/hyperlink" Target="https://twitter.com/SenSusanCollins/status/1321605596551008256" TargetMode="External"/><Relationship Id="rId112" Type="http://schemas.openxmlformats.org/officeDocument/2006/relationships/hyperlink" Target="https://twitter.com/SenSusanCollins/status/1321195415396589568" TargetMode="External"/><Relationship Id="rId133" Type="http://schemas.openxmlformats.org/officeDocument/2006/relationships/hyperlink" Target="https://twitter.com/SenSusanCollins/status/1320156871844614144" TargetMode="External"/><Relationship Id="rId154" Type="http://schemas.openxmlformats.org/officeDocument/2006/relationships/hyperlink" Target="https://twitter.com/SenSusanCollins/status/1319419785399181313" TargetMode="External"/><Relationship Id="rId175" Type="http://schemas.openxmlformats.org/officeDocument/2006/relationships/hyperlink" Target="https://twitter.com/SenSusanCollins/status/1318622337382703105" TargetMode="External"/><Relationship Id="rId196" Type="http://schemas.openxmlformats.org/officeDocument/2006/relationships/hyperlink" Target="https://twitter.com/SenSusanCollins/status/1317141085873971200" TargetMode="External"/><Relationship Id="rId200" Type="http://schemas.openxmlformats.org/officeDocument/2006/relationships/hyperlink" Target="https://twitter.com/SenSusanCollins/status/1316903961333518336" TargetMode="External"/><Relationship Id="rId16" Type="http://schemas.openxmlformats.org/officeDocument/2006/relationships/hyperlink" Target="https://twitter.com/SenSusanCollins/status/1323377506909671426" TargetMode="External"/><Relationship Id="rId221" Type="http://schemas.openxmlformats.org/officeDocument/2006/relationships/hyperlink" Target="https://twitter.com/SenSusanCollins/status/1316374424589946886" TargetMode="External"/><Relationship Id="rId242" Type="http://schemas.openxmlformats.org/officeDocument/2006/relationships/hyperlink" Target="https://twitter.com/SenSusanCollins/status/1314249613784817664" TargetMode="External"/><Relationship Id="rId37" Type="http://schemas.openxmlformats.org/officeDocument/2006/relationships/hyperlink" Target="https://twitter.com/SenSusanCollins/status/1322951594011467776" TargetMode="External"/><Relationship Id="rId58" Type="http://schemas.openxmlformats.org/officeDocument/2006/relationships/hyperlink" Target="https://twitter.com/SenSusanCollins/status/1322238182470094850" TargetMode="External"/><Relationship Id="rId79" Type="http://schemas.openxmlformats.org/officeDocument/2006/relationships/hyperlink" Target="https://twitter.com/SenSusanCollins/status/1321614812791689222" TargetMode="External"/><Relationship Id="rId102" Type="http://schemas.openxmlformats.org/officeDocument/2006/relationships/hyperlink" Target="https://twitter.com/SenSusanCollins/status/1321582313856184320" TargetMode="External"/><Relationship Id="rId123" Type="http://schemas.openxmlformats.org/officeDocument/2006/relationships/hyperlink" Target="https://twitter.com/SenSusanCollins/status/1320733017107795968" TargetMode="External"/><Relationship Id="rId144" Type="http://schemas.openxmlformats.org/officeDocument/2006/relationships/hyperlink" Target="https://twitter.com/SenSusanCollins/status/1319697923697987595" TargetMode="External"/><Relationship Id="rId90" Type="http://schemas.openxmlformats.org/officeDocument/2006/relationships/hyperlink" Target="https://twitter.com/SenSusanCollins/status/1321605018575884290" TargetMode="External"/><Relationship Id="rId165" Type="http://schemas.openxmlformats.org/officeDocument/2006/relationships/hyperlink" Target="https://twitter.com/SenSusanCollins/status/1319397188984778752" TargetMode="External"/><Relationship Id="rId186" Type="http://schemas.openxmlformats.org/officeDocument/2006/relationships/hyperlink" Target="https://twitter.com/SenSusanCollins/status/1317555038806564866" TargetMode="External"/><Relationship Id="rId211" Type="http://schemas.openxmlformats.org/officeDocument/2006/relationships/hyperlink" Target="https://twitter.com/SenSusanCollins/status/1316880389756100608" TargetMode="External"/><Relationship Id="rId232" Type="http://schemas.openxmlformats.org/officeDocument/2006/relationships/hyperlink" Target="https://twitter.com/SenSusanCollins/status/1314960459657818112" TargetMode="External"/><Relationship Id="rId253" Type="http://schemas.openxmlformats.org/officeDocument/2006/relationships/hyperlink" Target="https://twitter.com/SenSusanCollins/status/1312852862435618816" TargetMode="External"/><Relationship Id="rId27" Type="http://schemas.openxmlformats.org/officeDocument/2006/relationships/hyperlink" Target="https://twitter.com/SenSusanCollins/status/1323248501116014595" TargetMode="External"/><Relationship Id="rId48" Type="http://schemas.openxmlformats.org/officeDocument/2006/relationships/hyperlink" Target="https://twitter.com/SenSusanCollins/status/1322570691397537792" TargetMode="External"/><Relationship Id="rId69" Type="http://schemas.openxmlformats.org/officeDocument/2006/relationships/hyperlink" Target="https://twitter.com/SenSusanCollins/status/1321924232389996546" TargetMode="External"/><Relationship Id="rId113" Type="http://schemas.openxmlformats.org/officeDocument/2006/relationships/hyperlink" Target="https://twitter.com/SenSusanCollins/status/1321183810445344770" TargetMode="External"/><Relationship Id="rId134" Type="http://schemas.openxmlformats.org/officeDocument/2006/relationships/hyperlink" Target="https://twitter.com/SenSusanCollins/status/1320149322193776640" TargetMode="External"/><Relationship Id="rId80" Type="http://schemas.openxmlformats.org/officeDocument/2006/relationships/hyperlink" Target="https://twitter.com/SenSusanCollins/status/1321614479679987713" TargetMode="External"/><Relationship Id="rId155" Type="http://schemas.openxmlformats.org/officeDocument/2006/relationships/hyperlink" Target="https://twitter.com/SenSusanCollins/status/1319419486190133248" TargetMode="External"/><Relationship Id="rId176" Type="http://schemas.openxmlformats.org/officeDocument/2006/relationships/hyperlink" Target="https://twitter.com/SenSusanCollins/status/1318588154643992576" TargetMode="External"/><Relationship Id="rId197" Type="http://schemas.openxmlformats.org/officeDocument/2006/relationships/hyperlink" Target="https://twitter.com/SenSusanCollins/status/1317114465440178179" TargetMode="External"/><Relationship Id="rId201" Type="http://schemas.openxmlformats.org/officeDocument/2006/relationships/hyperlink" Target="https://twitter.com/SenSusanCollins/status/1316903213958893569" TargetMode="External"/><Relationship Id="rId222" Type="http://schemas.openxmlformats.org/officeDocument/2006/relationships/hyperlink" Target="https://twitter.com/SenSusanCollins/status/1316174381295443968" TargetMode="External"/><Relationship Id="rId243" Type="http://schemas.openxmlformats.org/officeDocument/2006/relationships/hyperlink" Target="https://twitter.com/SenSusanCollins/status/1314204620088983554" TargetMode="External"/><Relationship Id="rId17" Type="http://schemas.openxmlformats.org/officeDocument/2006/relationships/hyperlink" Target="https://twitter.com/SenSusanCollins/status/1323367502617939972" TargetMode="External"/><Relationship Id="rId38" Type="http://schemas.openxmlformats.org/officeDocument/2006/relationships/hyperlink" Target="https://twitter.com/SenSusanCollins/status/1322924748825911297" TargetMode="External"/><Relationship Id="rId59" Type="http://schemas.openxmlformats.org/officeDocument/2006/relationships/hyperlink" Target="https://twitter.com/SenSusanCollins/status/1322224669974515713" TargetMode="External"/><Relationship Id="rId103" Type="http://schemas.openxmlformats.org/officeDocument/2006/relationships/hyperlink" Target="https://twitter.com/SenSusanCollins/status/1321574707494342658" TargetMode="External"/><Relationship Id="rId124" Type="http://schemas.openxmlformats.org/officeDocument/2006/relationships/hyperlink" Target="https://twitter.com/SenSusanCollins/status/1320718777726701570" TargetMode="External"/><Relationship Id="rId70" Type="http://schemas.openxmlformats.org/officeDocument/2006/relationships/hyperlink" Target="https://twitter.com/SenSusanCollins/status/1321900864215408640" TargetMode="External"/><Relationship Id="rId91" Type="http://schemas.openxmlformats.org/officeDocument/2006/relationships/hyperlink" Target="https://twitter.com/SenSusanCollins/status/1321604451107561473" TargetMode="External"/><Relationship Id="rId145" Type="http://schemas.openxmlformats.org/officeDocument/2006/relationships/hyperlink" Target="https://twitter.com/SenSusanCollins/status/1319670393045684224" TargetMode="External"/><Relationship Id="rId166" Type="http://schemas.openxmlformats.org/officeDocument/2006/relationships/hyperlink" Target="https://twitter.com/SenSusanCollins/status/1319390804352303106" TargetMode="External"/><Relationship Id="rId187" Type="http://schemas.openxmlformats.org/officeDocument/2006/relationships/hyperlink" Target="https://twitter.com/SenSusanCollins/status/1317539231506587648" TargetMode="External"/><Relationship Id="rId1" Type="http://schemas.openxmlformats.org/officeDocument/2006/relationships/hyperlink" Target="https://twitter.com/SenSusanCollins/status/1323772426111590400" TargetMode="External"/><Relationship Id="rId212" Type="http://schemas.openxmlformats.org/officeDocument/2006/relationships/hyperlink" Target="https://twitter.com/SenSusanCollins/status/1316877461762658304" TargetMode="External"/><Relationship Id="rId233" Type="http://schemas.openxmlformats.org/officeDocument/2006/relationships/hyperlink" Target="https://twitter.com/SenSusanCollins/status/1314713595872120833" TargetMode="External"/><Relationship Id="rId254" Type="http://schemas.openxmlformats.org/officeDocument/2006/relationships/hyperlink" Target="https://twitter.com/SenSusanCollins/status/1312809806319759360" TargetMode="External"/><Relationship Id="rId28" Type="http://schemas.openxmlformats.org/officeDocument/2006/relationships/hyperlink" Target="https://twitter.com/SenSusanCollins/status/1323230804177309698" TargetMode="External"/><Relationship Id="rId49" Type="http://schemas.openxmlformats.org/officeDocument/2006/relationships/hyperlink" Target="https://twitter.com/SenSusanCollins/status/1322551724842909696" TargetMode="External"/><Relationship Id="rId114" Type="http://schemas.openxmlformats.org/officeDocument/2006/relationships/hyperlink" Target="https://twitter.com/SenSusanCollins/status/1321164771652104193" TargetMode="External"/><Relationship Id="rId60" Type="http://schemas.openxmlformats.org/officeDocument/2006/relationships/hyperlink" Target="https://twitter.com/SenSusanCollins/status/1322214735358664705" TargetMode="External"/><Relationship Id="rId81" Type="http://schemas.openxmlformats.org/officeDocument/2006/relationships/hyperlink" Target="https://twitter.com/SenSusanCollins/status/1321612083167973377" TargetMode="External"/><Relationship Id="rId135" Type="http://schemas.openxmlformats.org/officeDocument/2006/relationships/hyperlink" Target="https://twitter.com/SenSusanCollins/status/1320145548708433920" TargetMode="External"/><Relationship Id="rId156" Type="http://schemas.openxmlformats.org/officeDocument/2006/relationships/hyperlink" Target="https://twitter.com/SenSusanCollins/status/1319418558267482115" TargetMode="External"/><Relationship Id="rId177" Type="http://schemas.openxmlformats.org/officeDocument/2006/relationships/hyperlink" Target="https://twitter.com/SenSusanCollins/status/1318544695069388800" TargetMode="External"/><Relationship Id="rId198" Type="http://schemas.openxmlformats.org/officeDocument/2006/relationships/hyperlink" Target="https://twitter.com/SenSusanCollins/status/1316906621004619777" TargetMode="External"/><Relationship Id="rId202" Type="http://schemas.openxmlformats.org/officeDocument/2006/relationships/hyperlink" Target="https://twitter.com/SenSusanCollins/status/1316902341686284289" TargetMode="External"/><Relationship Id="rId223" Type="http://schemas.openxmlformats.org/officeDocument/2006/relationships/hyperlink" Target="https://twitter.com/SenSusanCollins/status/1316156022550155274" TargetMode="External"/><Relationship Id="rId244" Type="http://schemas.openxmlformats.org/officeDocument/2006/relationships/hyperlink" Target="https://twitter.com/SenSusanCollins/status/1313951131618496518" TargetMode="External"/><Relationship Id="rId18" Type="http://schemas.openxmlformats.org/officeDocument/2006/relationships/hyperlink" Target="https://twitter.com/SenSusanCollins/status/1323357779881582595" TargetMode="External"/><Relationship Id="rId39" Type="http://schemas.openxmlformats.org/officeDocument/2006/relationships/hyperlink" Target="https://twitter.com/SenSusanCollins/status/1322902640871825409" TargetMode="External"/><Relationship Id="rId50" Type="http://schemas.openxmlformats.org/officeDocument/2006/relationships/hyperlink" Target="https://twitter.com/SenSusanCollins/status/1322500577826377730" TargetMode="External"/><Relationship Id="rId104" Type="http://schemas.openxmlformats.org/officeDocument/2006/relationships/hyperlink" Target="https://twitter.com/SenSusanCollins/status/1321564599666282499" TargetMode="External"/><Relationship Id="rId125" Type="http://schemas.openxmlformats.org/officeDocument/2006/relationships/hyperlink" Target="https://twitter.com/SenSusanCollins/status/1320518727750868993" TargetMode="External"/><Relationship Id="rId146" Type="http://schemas.openxmlformats.org/officeDocument/2006/relationships/hyperlink" Target="https://twitter.com/SenSusanCollins/status/1319636434895147008" TargetMode="External"/><Relationship Id="rId167" Type="http://schemas.openxmlformats.org/officeDocument/2006/relationships/hyperlink" Target="https://twitter.com/SenSusanCollins/status/1319385572914438145" TargetMode="External"/><Relationship Id="rId188" Type="http://schemas.openxmlformats.org/officeDocument/2006/relationships/hyperlink" Target="https://twitter.com/SenSusanCollins/status/1317524367807549441" TargetMode="External"/><Relationship Id="rId71" Type="http://schemas.openxmlformats.org/officeDocument/2006/relationships/hyperlink" Target="https://twitter.com/SenSusanCollins/status/1321891287201710083" TargetMode="External"/><Relationship Id="rId92" Type="http://schemas.openxmlformats.org/officeDocument/2006/relationships/hyperlink" Target="https://twitter.com/SenSusanCollins/status/1321603888395526145" TargetMode="External"/><Relationship Id="rId213" Type="http://schemas.openxmlformats.org/officeDocument/2006/relationships/hyperlink" Target="https://twitter.com/SenSusanCollins/status/1316853857692131329" TargetMode="External"/><Relationship Id="rId234" Type="http://schemas.openxmlformats.org/officeDocument/2006/relationships/hyperlink" Target="https://twitter.com/SenSusanCollins/status/1314676582108274691" TargetMode="External"/><Relationship Id="rId2" Type="http://schemas.openxmlformats.org/officeDocument/2006/relationships/hyperlink" Target="https://twitter.com/SenSusanCollins/status/1323742167203008514" TargetMode="External"/><Relationship Id="rId29" Type="http://schemas.openxmlformats.org/officeDocument/2006/relationships/hyperlink" Target="https://twitter.com/SenSusanCollins/status/1323089728380567553" TargetMode="External"/><Relationship Id="rId255" Type="http://schemas.openxmlformats.org/officeDocument/2006/relationships/hyperlink" Target="https://twitter.com/SenSusanCollins/status/1312481794021703680" TargetMode="External"/><Relationship Id="rId40" Type="http://schemas.openxmlformats.org/officeDocument/2006/relationships/hyperlink" Target="https://twitter.com/SenSusanCollins/status/1322717946427396096" TargetMode="External"/><Relationship Id="rId115" Type="http://schemas.openxmlformats.org/officeDocument/2006/relationships/hyperlink" Target="https://twitter.com/SenSusanCollins/status/1321148651469680646" TargetMode="External"/><Relationship Id="rId136" Type="http://schemas.openxmlformats.org/officeDocument/2006/relationships/hyperlink" Target="https://twitter.com/SenSusanCollins/status/1320105545546727424" TargetMode="External"/><Relationship Id="rId157" Type="http://schemas.openxmlformats.org/officeDocument/2006/relationships/hyperlink" Target="https://twitter.com/SenSusanCollins/status/1319417441798246402" TargetMode="External"/><Relationship Id="rId178" Type="http://schemas.openxmlformats.org/officeDocument/2006/relationships/hyperlink" Target="https://twitter.com/SenSusanCollins/status/1318305149467623426" TargetMode="External"/><Relationship Id="rId61" Type="http://schemas.openxmlformats.org/officeDocument/2006/relationships/hyperlink" Target="https://twitter.com/SenSusanCollins/status/1322210378089172997" TargetMode="External"/><Relationship Id="rId82" Type="http://schemas.openxmlformats.org/officeDocument/2006/relationships/hyperlink" Target="https://twitter.com/SenSusanCollins/status/1321610870221344769" TargetMode="External"/><Relationship Id="rId199" Type="http://schemas.openxmlformats.org/officeDocument/2006/relationships/hyperlink" Target="https://twitter.com/SenSusanCollins/status/1316904557121835008" TargetMode="External"/><Relationship Id="rId203" Type="http://schemas.openxmlformats.org/officeDocument/2006/relationships/hyperlink" Target="https://twitter.com/SenSusanCollins/status/1316900709149847552" TargetMode="External"/><Relationship Id="rId19" Type="http://schemas.openxmlformats.org/officeDocument/2006/relationships/hyperlink" Target="https://twitter.com/SenSusanCollins/status/1323335226504941572" TargetMode="External"/><Relationship Id="rId224" Type="http://schemas.openxmlformats.org/officeDocument/2006/relationships/hyperlink" Target="https://twitter.com/SenSusanCollins/status/1316135193506467840" TargetMode="External"/><Relationship Id="rId245" Type="http://schemas.openxmlformats.org/officeDocument/2006/relationships/hyperlink" Target="https://twitter.com/SenSusanCollins/status/1313884754874445824" TargetMode="External"/><Relationship Id="rId30" Type="http://schemas.openxmlformats.org/officeDocument/2006/relationships/hyperlink" Target="https://twitter.com/SenSusanCollins/status/1323065033237110785" TargetMode="External"/><Relationship Id="rId105" Type="http://schemas.openxmlformats.org/officeDocument/2006/relationships/hyperlink" Target="https://twitter.com/SenSusanCollins/status/1321528439355117569" TargetMode="External"/><Relationship Id="rId126" Type="http://schemas.openxmlformats.org/officeDocument/2006/relationships/hyperlink" Target="https://twitter.com/SenSusanCollins/status/1320485288464904193" TargetMode="External"/><Relationship Id="rId147" Type="http://schemas.openxmlformats.org/officeDocument/2006/relationships/hyperlink" Target="https://twitter.com/SenSusanCollins/status/1319431795222470661" TargetMode="External"/><Relationship Id="rId168" Type="http://schemas.openxmlformats.org/officeDocument/2006/relationships/hyperlink" Target="https://twitter.com/SenSusanCollins/status/1319369542410358784" TargetMode="External"/><Relationship Id="rId51" Type="http://schemas.openxmlformats.org/officeDocument/2006/relationships/hyperlink" Target="https://twitter.com/SenSusanCollins/status/1322333641498873856" TargetMode="External"/><Relationship Id="rId72" Type="http://schemas.openxmlformats.org/officeDocument/2006/relationships/hyperlink" Target="https://twitter.com/SenSusanCollins/status/1321868542262845440" TargetMode="External"/><Relationship Id="rId93" Type="http://schemas.openxmlformats.org/officeDocument/2006/relationships/hyperlink" Target="https://twitter.com/SenSusanCollins/status/1321603725186748417" TargetMode="External"/><Relationship Id="rId189" Type="http://schemas.openxmlformats.org/officeDocument/2006/relationships/hyperlink" Target="https://twitter.com/SenSusanCollins/status/1317507873577066504" TargetMode="External"/><Relationship Id="rId3" Type="http://schemas.openxmlformats.org/officeDocument/2006/relationships/hyperlink" Target="https://twitter.com/SenSusanCollins/status/1323728024282505216" TargetMode="External"/><Relationship Id="rId214" Type="http://schemas.openxmlformats.org/officeDocument/2006/relationships/hyperlink" Target="https://twitter.com/SenSusanCollins/status/1316839911698370561" TargetMode="External"/><Relationship Id="rId235" Type="http://schemas.openxmlformats.org/officeDocument/2006/relationships/hyperlink" Target="https://twitter.com/SenSusanCollins/status/1314670660128591872" TargetMode="External"/><Relationship Id="rId256" Type="http://schemas.openxmlformats.org/officeDocument/2006/relationships/hyperlink" Target="https://twitter.com/SenSusanCollins/status/1312405372666343427" TargetMode="External"/><Relationship Id="rId116" Type="http://schemas.openxmlformats.org/officeDocument/2006/relationships/hyperlink" Target="https://twitter.com/SenSusanCollins/status/1321127614887661571" TargetMode="External"/><Relationship Id="rId137" Type="http://schemas.openxmlformats.org/officeDocument/2006/relationships/hyperlink" Target="https://twitter.com/SenSusanCollins/status/1320098921029505025" TargetMode="External"/><Relationship Id="rId158" Type="http://schemas.openxmlformats.org/officeDocument/2006/relationships/hyperlink" Target="https://twitter.com/SenSusanCollins/status/1319415082409971712" TargetMode="External"/><Relationship Id="rId20" Type="http://schemas.openxmlformats.org/officeDocument/2006/relationships/hyperlink" Target="https://twitter.com/SenSusanCollins/status/1323330701287182338" TargetMode="External"/><Relationship Id="rId41" Type="http://schemas.openxmlformats.org/officeDocument/2006/relationships/hyperlink" Target="https://twitter.com/SenSusanCollins/status/1322692637317615619" TargetMode="External"/><Relationship Id="rId62" Type="http://schemas.openxmlformats.org/officeDocument/2006/relationships/hyperlink" Target="https://twitter.com/SenSusanCollins/status/1322196562106200064" TargetMode="External"/><Relationship Id="rId83" Type="http://schemas.openxmlformats.org/officeDocument/2006/relationships/hyperlink" Target="https://twitter.com/SenSusanCollins/status/1321610562816671752" TargetMode="External"/><Relationship Id="rId179" Type="http://schemas.openxmlformats.org/officeDocument/2006/relationships/hyperlink" Target="https://twitter.com/SenSusanCollins/status/1318240837252370433" TargetMode="External"/><Relationship Id="rId190" Type="http://schemas.openxmlformats.org/officeDocument/2006/relationships/hyperlink" Target="https://twitter.com/SenSusanCollins/status/1317494222484918272" TargetMode="External"/><Relationship Id="rId204" Type="http://schemas.openxmlformats.org/officeDocument/2006/relationships/hyperlink" Target="https://twitter.com/SenSusanCollins/status/1316899834591367168" TargetMode="External"/><Relationship Id="rId225" Type="http://schemas.openxmlformats.org/officeDocument/2006/relationships/hyperlink" Target="https://twitter.com/SenSusanCollins/status/1316054125185044485" TargetMode="External"/><Relationship Id="rId246" Type="http://schemas.openxmlformats.org/officeDocument/2006/relationships/hyperlink" Target="https://twitter.com/SenSusanCollins/status/1313836184070746112" TargetMode="External"/><Relationship Id="rId106" Type="http://schemas.openxmlformats.org/officeDocument/2006/relationships/hyperlink" Target="https://twitter.com/SenSusanCollins/status/1321498299380211714" TargetMode="External"/><Relationship Id="rId127" Type="http://schemas.openxmlformats.org/officeDocument/2006/relationships/hyperlink" Target="https://twitter.com/SenSusanCollins/status/1320470190157635585" TargetMode="External"/><Relationship Id="rId10" Type="http://schemas.openxmlformats.org/officeDocument/2006/relationships/hyperlink" Target="https://twitter.com/SenSusanCollins/status/1323639745491120128" TargetMode="External"/><Relationship Id="rId31" Type="http://schemas.openxmlformats.org/officeDocument/2006/relationships/hyperlink" Target="https://twitter.com/SenSusanCollins/status/1323048450783645696" TargetMode="External"/><Relationship Id="rId52" Type="http://schemas.openxmlformats.org/officeDocument/2006/relationships/hyperlink" Target="https://twitter.com/SenSusanCollins/status/1322306610023305217" TargetMode="External"/><Relationship Id="rId73" Type="http://schemas.openxmlformats.org/officeDocument/2006/relationships/hyperlink" Target="https://twitter.com/SenSusanCollins/status/1321858648176472064" TargetMode="External"/><Relationship Id="rId94" Type="http://schemas.openxmlformats.org/officeDocument/2006/relationships/hyperlink" Target="https://twitter.com/SenSusanCollins/status/1321603574699347968" TargetMode="External"/><Relationship Id="rId148" Type="http://schemas.openxmlformats.org/officeDocument/2006/relationships/hyperlink" Target="https://twitter.com/SenSusanCollins/status/1319431758954323969" TargetMode="External"/><Relationship Id="rId169" Type="http://schemas.openxmlformats.org/officeDocument/2006/relationships/hyperlink" Target="https://twitter.com/SenSusanCollins/status/1319354579427930117" TargetMode="External"/><Relationship Id="rId4" Type="http://schemas.openxmlformats.org/officeDocument/2006/relationships/hyperlink" Target="https://twitter.com/SenSusanCollins/status/1323710238298722312" TargetMode="External"/><Relationship Id="rId180" Type="http://schemas.openxmlformats.org/officeDocument/2006/relationships/hyperlink" Target="https://twitter.com/SenSusanCollins/status/1318205271060193280" TargetMode="External"/><Relationship Id="rId215" Type="http://schemas.openxmlformats.org/officeDocument/2006/relationships/hyperlink" Target="https://twitter.com/SenSusanCollins/status/1316818039778705417" TargetMode="External"/><Relationship Id="rId236" Type="http://schemas.openxmlformats.org/officeDocument/2006/relationships/hyperlink" Target="https://twitter.com/SenSusanCollins/status/1314636696512847873" TargetMode="External"/><Relationship Id="rId257"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17" Type="http://schemas.openxmlformats.org/officeDocument/2006/relationships/hyperlink" Target="https://twitter.com/SaraGideon/status/1321605585234788354" TargetMode="External"/><Relationship Id="rId299" Type="http://schemas.openxmlformats.org/officeDocument/2006/relationships/hyperlink" Target="https://twitter.com/SaraGideon/status/1316893119338713088" TargetMode="External"/><Relationship Id="rId21" Type="http://schemas.openxmlformats.org/officeDocument/2006/relationships/hyperlink" Target="https://twitter.com/SaraGideon/status/1323409431233765377" TargetMode="External"/><Relationship Id="rId63" Type="http://schemas.openxmlformats.org/officeDocument/2006/relationships/hyperlink" Target="https://twitter.com/SaraGideon/status/1322274711779397633" TargetMode="External"/><Relationship Id="rId159" Type="http://schemas.openxmlformats.org/officeDocument/2006/relationships/hyperlink" Target="https://twitter.com/SaraGideon/status/1320717582270418944" TargetMode="External"/><Relationship Id="rId324" Type="http://schemas.openxmlformats.org/officeDocument/2006/relationships/hyperlink" Target="https://twitter.com/SaraGideon/status/1316033964293984256" TargetMode="External"/><Relationship Id="rId366" Type="http://schemas.openxmlformats.org/officeDocument/2006/relationships/hyperlink" Target="https://twitter.com/SaraGideon/status/1313856653436088320" TargetMode="External"/><Relationship Id="rId170" Type="http://schemas.openxmlformats.org/officeDocument/2006/relationships/hyperlink" Target="https://twitter.com/SaraGideon/status/1320101636660932608" TargetMode="External"/><Relationship Id="rId226" Type="http://schemas.openxmlformats.org/officeDocument/2006/relationships/hyperlink" Target="https://twitter.com/SaraGideon/status/1319306374711562241" TargetMode="External"/><Relationship Id="rId268" Type="http://schemas.openxmlformats.org/officeDocument/2006/relationships/hyperlink" Target="https://twitter.com/SaraGideon/status/1317482545357967360" TargetMode="External"/><Relationship Id="rId32" Type="http://schemas.openxmlformats.org/officeDocument/2006/relationships/hyperlink" Target="https://twitter.com/SaraGideon/status/1323305304831000581" TargetMode="External"/><Relationship Id="rId74" Type="http://schemas.openxmlformats.org/officeDocument/2006/relationships/hyperlink" Target="https://twitter.com/SaraGideon/status/1321985517060345857" TargetMode="External"/><Relationship Id="rId128" Type="http://schemas.openxmlformats.org/officeDocument/2006/relationships/hyperlink" Target="https://twitter.com/SaraGideon/status/1321598234087837696" TargetMode="External"/><Relationship Id="rId335" Type="http://schemas.openxmlformats.org/officeDocument/2006/relationships/hyperlink" Target="https://twitter.com/SaraGideon/status/1315644357027008513" TargetMode="External"/><Relationship Id="rId377" Type="http://schemas.openxmlformats.org/officeDocument/2006/relationships/hyperlink" Target="https://twitter.com/SaraGideon/status/1313236367011393536" TargetMode="External"/><Relationship Id="rId5" Type="http://schemas.openxmlformats.org/officeDocument/2006/relationships/hyperlink" Target="https://twitter.com/SaraGideon/status/1323710789530865666" TargetMode="External"/><Relationship Id="rId181" Type="http://schemas.openxmlformats.org/officeDocument/2006/relationships/hyperlink" Target="https://twitter.com/SaraGideon/status/1319750438183469057" TargetMode="External"/><Relationship Id="rId237" Type="http://schemas.openxmlformats.org/officeDocument/2006/relationships/hyperlink" Target="https://twitter.com/SaraGideon/status/1318925797596532740" TargetMode="External"/><Relationship Id="rId279" Type="http://schemas.openxmlformats.org/officeDocument/2006/relationships/hyperlink" Target="https://twitter.com/SaraGideon/status/1316903572320169985" TargetMode="External"/><Relationship Id="rId43" Type="http://schemas.openxmlformats.org/officeDocument/2006/relationships/hyperlink" Target="https://twitter.com/SaraGideon/status/1323020357096427522" TargetMode="External"/><Relationship Id="rId139" Type="http://schemas.openxmlformats.org/officeDocument/2006/relationships/hyperlink" Target="https://twitter.com/SaraGideon/status/1321247531574190081" TargetMode="External"/><Relationship Id="rId290" Type="http://schemas.openxmlformats.org/officeDocument/2006/relationships/hyperlink" Target="https://twitter.com/SaraGideon/status/1316897676143853569" TargetMode="External"/><Relationship Id="rId304" Type="http://schemas.openxmlformats.org/officeDocument/2006/relationships/hyperlink" Target="https://twitter.com/SaraGideon/status/1316837674376986625" TargetMode="External"/><Relationship Id="rId346" Type="http://schemas.openxmlformats.org/officeDocument/2006/relationships/hyperlink" Target="https://twitter.com/SaraGideon/status/1314710987610546178" TargetMode="External"/><Relationship Id="rId388" Type="http://schemas.openxmlformats.org/officeDocument/2006/relationships/hyperlink" Target="https://twitter.com/SaraGideon/status/1312492871724027910" TargetMode="External"/><Relationship Id="rId85" Type="http://schemas.openxmlformats.org/officeDocument/2006/relationships/hyperlink" Target="https://twitter.com/SaraGideon/status/1321619070245101568" TargetMode="External"/><Relationship Id="rId150" Type="http://schemas.openxmlformats.org/officeDocument/2006/relationships/hyperlink" Target="https://twitter.com/SaraGideon/status/1320899883830792193" TargetMode="External"/><Relationship Id="rId192" Type="http://schemas.openxmlformats.org/officeDocument/2006/relationships/hyperlink" Target="https://twitter.com/SaraGideon/status/1319425757970616320" TargetMode="External"/><Relationship Id="rId206" Type="http://schemas.openxmlformats.org/officeDocument/2006/relationships/hyperlink" Target="https://twitter.com/SaraGideon/status/1319421525884370944" TargetMode="External"/><Relationship Id="rId248" Type="http://schemas.openxmlformats.org/officeDocument/2006/relationships/hyperlink" Target="https://twitter.com/SaraGideon/status/1318291080887009281" TargetMode="External"/><Relationship Id="rId12" Type="http://schemas.openxmlformats.org/officeDocument/2006/relationships/hyperlink" Target="https://twitter.com/SaraGideon/status/1323641089962741765" TargetMode="External"/><Relationship Id="rId108" Type="http://schemas.openxmlformats.org/officeDocument/2006/relationships/hyperlink" Target="https://twitter.com/SaraGideon/status/1321608050894163970" TargetMode="External"/><Relationship Id="rId315" Type="http://schemas.openxmlformats.org/officeDocument/2006/relationships/hyperlink" Target="https://twitter.com/SaraGideon/status/1316383924189376514" TargetMode="External"/><Relationship Id="rId357" Type="http://schemas.openxmlformats.org/officeDocument/2006/relationships/hyperlink" Target="https://twitter.com/SaraGideon/status/1314222541318258701" TargetMode="External"/><Relationship Id="rId54" Type="http://schemas.openxmlformats.org/officeDocument/2006/relationships/hyperlink" Target="https://twitter.com/SaraGideon/status/1322559593214545920" TargetMode="External"/><Relationship Id="rId96" Type="http://schemas.openxmlformats.org/officeDocument/2006/relationships/hyperlink" Target="https://twitter.com/SaraGideon/status/1321612646819504128" TargetMode="External"/><Relationship Id="rId161" Type="http://schemas.openxmlformats.org/officeDocument/2006/relationships/hyperlink" Target="https://twitter.com/SaraGideon/status/1320511255757639680" TargetMode="External"/><Relationship Id="rId217" Type="http://schemas.openxmlformats.org/officeDocument/2006/relationships/hyperlink" Target="https://twitter.com/SaraGideon/status/1319417323632140288" TargetMode="External"/><Relationship Id="rId259" Type="http://schemas.openxmlformats.org/officeDocument/2006/relationships/hyperlink" Target="https://twitter.com/SaraGideon/status/1317601327548162054" TargetMode="External"/><Relationship Id="rId23" Type="http://schemas.openxmlformats.org/officeDocument/2006/relationships/hyperlink" Target="https://twitter.com/SaraGideon/status/1323400189760151553" TargetMode="External"/><Relationship Id="rId119" Type="http://schemas.openxmlformats.org/officeDocument/2006/relationships/hyperlink" Target="https://twitter.com/SaraGideon/status/1321605022518550529" TargetMode="External"/><Relationship Id="rId270" Type="http://schemas.openxmlformats.org/officeDocument/2006/relationships/hyperlink" Target="https://twitter.com/SaraGideon/status/1317233276629749762" TargetMode="External"/><Relationship Id="rId326" Type="http://schemas.openxmlformats.org/officeDocument/2006/relationships/hyperlink" Target="https://twitter.com/SaraGideon/status/1316033953820704769" TargetMode="External"/><Relationship Id="rId65" Type="http://schemas.openxmlformats.org/officeDocument/2006/relationships/hyperlink" Target="https://twitter.com/SaraGideon/status/1322239920795246592" TargetMode="External"/><Relationship Id="rId130" Type="http://schemas.openxmlformats.org/officeDocument/2006/relationships/hyperlink" Target="https://twitter.com/SaraGideon/status/1321551734586617857" TargetMode="External"/><Relationship Id="rId368" Type="http://schemas.openxmlformats.org/officeDocument/2006/relationships/hyperlink" Target="https://twitter.com/SaraGideon/status/1313840832383004672" TargetMode="External"/><Relationship Id="rId172" Type="http://schemas.openxmlformats.org/officeDocument/2006/relationships/hyperlink" Target="https://twitter.com/SaraGideon/status/1320086550974287874" TargetMode="External"/><Relationship Id="rId228" Type="http://schemas.openxmlformats.org/officeDocument/2006/relationships/hyperlink" Target="https://twitter.com/SaraGideon/status/1319286037474996228" TargetMode="External"/><Relationship Id="rId281" Type="http://schemas.openxmlformats.org/officeDocument/2006/relationships/hyperlink" Target="https://twitter.com/SaraGideon/status/1316902337437421568" TargetMode="External"/><Relationship Id="rId337" Type="http://schemas.openxmlformats.org/officeDocument/2006/relationships/hyperlink" Target="https://twitter.com/SaraGideon/status/1315381513865887744" TargetMode="External"/><Relationship Id="rId34" Type="http://schemas.openxmlformats.org/officeDocument/2006/relationships/hyperlink" Target="https://twitter.com/SaraGideon/status/1323294839627198467" TargetMode="External"/><Relationship Id="rId76" Type="http://schemas.openxmlformats.org/officeDocument/2006/relationships/hyperlink" Target="https://twitter.com/SaraGideon/status/1321971490724716546" TargetMode="External"/><Relationship Id="rId141" Type="http://schemas.openxmlformats.org/officeDocument/2006/relationships/hyperlink" Target="https://twitter.com/SaraGideon/status/1321206192622968833" TargetMode="External"/><Relationship Id="rId379" Type="http://schemas.openxmlformats.org/officeDocument/2006/relationships/hyperlink" Target="https://twitter.com/SaraGideon/status/1313170214922735621" TargetMode="External"/><Relationship Id="rId7" Type="http://schemas.openxmlformats.org/officeDocument/2006/relationships/hyperlink" Target="https://twitter.com/SaraGideon/status/1323694855441260554" TargetMode="External"/><Relationship Id="rId183" Type="http://schemas.openxmlformats.org/officeDocument/2006/relationships/hyperlink" Target="https://twitter.com/SaraGideon/status/1319663859725176834" TargetMode="External"/><Relationship Id="rId239" Type="http://schemas.openxmlformats.org/officeDocument/2006/relationships/hyperlink" Target="https://twitter.com/SaraGideon/status/1318716167385763845" TargetMode="External"/><Relationship Id="rId390" Type="http://schemas.openxmlformats.org/officeDocument/2006/relationships/hyperlink" Target="https://twitter.com/SaraGideon/status/1312448103916675075" TargetMode="External"/><Relationship Id="rId250" Type="http://schemas.openxmlformats.org/officeDocument/2006/relationships/hyperlink" Target="https://twitter.com/SaraGideon/status/1318249752207785984" TargetMode="External"/><Relationship Id="rId292" Type="http://schemas.openxmlformats.org/officeDocument/2006/relationships/hyperlink" Target="https://twitter.com/SaraGideon/status/1316897175331360771" TargetMode="External"/><Relationship Id="rId306" Type="http://schemas.openxmlformats.org/officeDocument/2006/relationships/hyperlink" Target="https://twitter.com/SaraGideon/status/1316775431580856320" TargetMode="External"/><Relationship Id="rId45" Type="http://schemas.openxmlformats.org/officeDocument/2006/relationships/hyperlink" Target="https://twitter.com/SaraGideon/status/1322958169501507584" TargetMode="External"/><Relationship Id="rId87" Type="http://schemas.openxmlformats.org/officeDocument/2006/relationships/hyperlink" Target="https://twitter.com/SaraGideon/status/1321617251808780288" TargetMode="External"/><Relationship Id="rId110" Type="http://schemas.openxmlformats.org/officeDocument/2006/relationships/hyperlink" Target="https://twitter.com/SaraGideon/status/1321607501410930688" TargetMode="External"/><Relationship Id="rId348" Type="http://schemas.openxmlformats.org/officeDocument/2006/relationships/hyperlink" Target="https://twitter.com/SaraGideon/status/1314662194475421697" TargetMode="External"/><Relationship Id="rId152" Type="http://schemas.openxmlformats.org/officeDocument/2006/relationships/hyperlink" Target="https://twitter.com/SaraGideon/status/1320858510670876674" TargetMode="External"/><Relationship Id="rId194" Type="http://schemas.openxmlformats.org/officeDocument/2006/relationships/hyperlink" Target="https://twitter.com/SaraGideon/status/1319425026681176064" TargetMode="External"/><Relationship Id="rId208" Type="http://schemas.openxmlformats.org/officeDocument/2006/relationships/hyperlink" Target="https://twitter.com/SaraGideon/status/1319419984741830662" TargetMode="External"/><Relationship Id="rId261" Type="http://schemas.openxmlformats.org/officeDocument/2006/relationships/hyperlink" Target="https://twitter.com/SaraGideon/status/1317569786876989455" TargetMode="External"/><Relationship Id="rId14" Type="http://schemas.openxmlformats.org/officeDocument/2006/relationships/hyperlink" Target="https://twitter.com/SaraGideon/status/1323629959240392706" TargetMode="External"/><Relationship Id="rId56" Type="http://schemas.openxmlformats.org/officeDocument/2006/relationships/hyperlink" Target="https://twitter.com/SaraGideon/status/1322532158016229379" TargetMode="External"/><Relationship Id="rId317" Type="http://schemas.openxmlformats.org/officeDocument/2006/relationships/hyperlink" Target="https://twitter.com/SaraGideon/status/1316138460508499969" TargetMode="External"/><Relationship Id="rId359" Type="http://schemas.openxmlformats.org/officeDocument/2006/relationships/hyperlink" Target="https://twitter.com/SaraGideon/status/1314192303859392513" TargetMode="External"/><Relationship Id="rId98" Type="http://schemas.openxmlformats.org/officeDocument/2006/relationships/hyperlink" Target="https://twitter.com/SaraGideon/status/1321611718980702208" TargetMode="External"/><Relationship Id="rId121" Type="http://schemas.openxmlformats.org/officeDocument/2006/relationships/hyperlink" Target="https://twitter.com/SaraGideon/status/1321604513430720512" TargetMode="External"/><Relationship Id="rId163" Type="http://schemas.openxmlformats.org/officeDocument/2006/relationships/hyperlink" Target="https://twitter.com/SaraGideon/status/1320453593233821696" TargetMode="External"/><Relationship Id="rId219" Type="http://schemas.openxmlformats.org/officeDocument/2006/relationships/hyperlink" Target="https://twitter.com/SaraGideon/status/1319415193697386496" TargetMode="External"/><Relationship Id="rId370" Type="http://schemas.openxmlformats.org/officeDocument/2006/relationships/hyperlink" Target="https://twitter.com/SaraGideon/status/1313610295974268930" TargetMode="External"/><Relationship Id="rId230" Type="http://schemas.openxmlformats.org/officeDocument/2006/relationships/hyperlink" Target="https://twitter.com/SaraGideon/status/1319064330676113408" TargetMode="External"/><Relationship Id="rId25" Type="http://schemas.openxmlformats.org/officeDocument/2006/relationships/hyperlink" Target="https://twitter.com/SaraGideon/status/1323385775975763968" TargetMode="External"/><Relationship Id="rId67" Type="http://schemas.openxmlformats.org/officeDocument/2006/relationships/hyperlink" Target="https://twitter.com/SaraGideon/status/1322206803485167616" TargetMode="External"/><Relationship Id="rId272" Type="http://schemas.openxmlformats.org/officeDocument/2006/relationships/hyperlink" Target="https://twitter.com/SaraGideon/status/1317152203962974209" TargetMode="External"/><Relationship Id="rId328" Type="http://schemas.openxmlformats.org/officeDocument/2006/relationships/hyperlink" Target="https://twitter.com/SaraGideon/status/1315995328533889024" TargetMode="External"/><Relationship Id="rId132" Type="http://schemas.openxmlformats.org/officeDocument/2006/relationships/hyperlink" Target="https://twitter.com/SaraGideon/status/1321519559736786944" TargetMode="External"/><Relationship Id="rId174" Type="http://schemas.openxmlformats.org/officeDocument/2006/relationships/hyperlink" Target="https://twitter.com/SaraGideon/status/1320064261645795331" TargetMode="External"/><Relationship Id="rId381" Type="http://schemas.openxmlformats.org/officeDocument/2006/relationships/hyperlink" Target="https://twitter.com/SaraGideon/status/1313138560413949953" TargetMode="External"/><Relationship Id="rId241" Type="http://schemas.openxmlformats.org/officeDocument/2006/relationships/hyperlink" Target="https://twitter.com/SaraGideon/status/1318656700082245642" TargetMode="External"/><Relationship Id="rId36" Type="http://schemas.openxmlformats.org/officeDocument/2006/relationships/hyperlink" Target="https://twitter.com/SaraGideon/status/1323273910914351105" TargetMode="External"/><Relationship Id="rId283" Type="http://schemas.openxmlformats.org/officeDocument/2006/relationships/hyperlink" Target="https://twitter.com/SaraGideon/status/1316901929772044288" TargetMode="External"/><Relationship Id="rId339" Type="http://schemas.openxmlformats.org/officeDocument/2006/relationships/hyperlink" Target="https://twitter.com/SaraGideon/status/1315321400601841665" TargetMode="External"/><Relationship Id="rId78" Type="http://schemas.openxmlformats.org/officeDocument/2006/relationships/hyperlink" Target="https://twitter.com/SaraGideon/status/1321931629108072448" TargetMode="External"/><Relationship Id="rId101" Type="http://schemas.openxmlformats.org/officeDocument/2006/relationships/hyperlink" Target="https://twitter.com/SaraGideon/status/1321610541316612098" TargetMode="External"/><Relationship Id="rId143" Type="http://schemas.openxmlformats.org/officeDocument/2006/relationships/hyperlink" Target="https://twitter.com/SaraGideon/status/1321164453711388677" TargetMode="External"/><Relationship Id="rId185" Type="http://schemas.openxmlformats.org/officeDocument/2006/relationships/hyperlink" Target="https://twitter.com/SaraGideon/status/1319429328711667719" TargetMode="External"/><Relationship Id="rId350" Type="http://schemas.openxmlformats.org/officeDocument/2006/relationships/hyperlink" Target="https://twitter.com/SaraGideon/status/1314614844105125888" TargetMode="External"/><Relationship Id="rId9" Type="http://schemas.openxmlformats.org/officeDocument/2006/relationships/hyperlink" Target="https://twitter.com/SaraGideon/status/1323680338808315910" TargetMode="External"/><Relationship Id="rId210" Type="http://schemas.openxmlformats.org/officeDocument/2006/relationships/hyperlink" Target="https://twitter.com/SaraGideon/status/1319419037969940487" TargetMode="External"/><Relationship Id="rId392" Type="http://schemas.openxmlformats.org/officeDocument/2006/relationships/hyperlink" Target="https://twitter.com/SaraGideon/status/1312188304876433411" TargetMode="External"/><Relationship Id="rId252" Type="http://schemas.openxmlformats.org/officeDocument/2006/relationships/hyperlink" Target="https://twitter.com/SaraGideon/status/1318206628844404736" TargetMode="External"/><Relationship Id="rId294" Type="http://schemas.openxmlformats.org/officeDocument/2006/relationships/hyperlink" Target="https://twitter.com/SaraGideon/status/1316896142999904257" TargetMode="External"/><Relationship Id="rId308" Type="http://schemas.openxmlformats.org/officeDocument/2006/relationships/hyperlink" Target="https://twitter.com/SaraGideon/status/1316746387816624129" TargetMode="External"/><Relationship Id="rId47" Type="http://schemas.openxmlformats.org/officeDocument/2006/relationships/hyperlink" Target="https://twitter.com/SaraGideon/status/1322912421963509763" TargetMode="External"/><Relationship Id="rId89" Type="http://schemas.openxmlformats.org/officeDocument/2006/relationships/hyperlink" Target="https://twitter.com/SaraGideon/status/1321616590681591809" TargetMode="External"/><Relationship Id="rId112" Type="http://schemas.openxmlformats.org/officeDocument/2006/relationships/hyperlink" Target="https://twitter.com/SaraGideon/status/1321606621823438849" TargetMode="External"/><Relationship Id="rId154" Type="http://schemas.openxmlformats.org/officeDocument/2006/relationships/hyperlink" Target="https://twitter.com/SaraGideon/status/1320822295909355520" TargetMode="External"/><Relationship Id="rId361" Type="http://schemas.openxmlformats.org/officeDocument/2006/relationships/hyperlink" Target="https://twitter.com/SaraGideon/status/1313940768831279104" TargetMode="External"/><Relationship Id="rId196" Type="http://schemas.openxmlformats.org/officeDocument/2006/relationships/hyperlink" Target="https://twitter.com/SaraGideon/status/1319424094379573249" TargetMode="External"/><Relationship Id="rId16" Type="http://schemas.openxmlformats.org/officeDocument/2006/relationships/hyperlink" Target="https://twitter.com/SaraGideon/status/1323604338187534336" TargetMode="External"/><Relationship Id="rId221" Type="http://schemas.openxmlformats.org/officeDocument/2006/relationships/hyperlink" Target="https://twitter.com/SaraGideon/status/1319414416924938240" TargetMode="External"/><Relationship Id="rId242" Type="http://schemas.openxmlformats.org/officeDocument/2006/relationships/hyperlink" Target="https://twitter.com/SaraGideon/status/1318594574365884419" TargetMode="External"/><Relationship Id="rId263" Type="http://schemas.openxmlformats.org/officeDocument/2006/relationships/hyperlink" Target="https://twitter.com/SaraGideon/status/1317527241056727040" TargetMode="External"/><Relationship Id="rId284" Type="http://schemas.openxmlformats.org/officeDocument/2006/relationships/hyperlink" Target="https://twitter.com/SaraGideon/status/1316900262381051906" TargetMode="External"/><Relationship Id="rId319" Type="http://schemas.openxmlformats.org/officeDocument/2006/relationships/hyperlink" Target="https://twitter.com/SaraGideon/status/1316089051636736005" TargetMode="External"/><Relationship Id="rId37" Type="http://schemas.openxmlformats.org/officeDocument/2006/relationships/hyperlink" Target="https://twitter.com/SaraGideon/status/1323266130790723584" TargetMode="External"/><Relationship Id="rId58" Type="http://schemas.openxmlformats.org/officeDocument/2006/relationships/hyperlink" Target="https://twitter.com/SaraGideon/status/1322361866262401024" TargetMode="External"/><Relationship Id="rId79" Type="http://schemas.openxmlformats.org/officeDocument/2006/relationships/hyperlink" Target="https://twitter.com/SaraGideon/status/1321923526828396545" TargetMode="External"/><Relationship Id="rId102" Type="http://schemas.openxmlformats.org/officeDocument/2006/relationships/hyperlink" Target="https://twitter.com/SaraGideon/status/1321610202039373824" TargetMode="External"/><Relationship Id="rId123" Type="http://schemas.openxmlformats.org/officeDocument/2006/relationships/hyperlink" Target="https://twitter.com/SaraGideon/status/1321603924965707783" TargetMode="External"/><Relationship Id="rId144" Type="http://schemas.openxmlformats.org/officeDocument/2006/relationships/hyperlink" Target="https://twitter.com/SaraGideon/status/1321147729733689344" TargetMode="External"/><Relationship Id="rId330" Type="http://schemas.openxmlformats.org/officeDocument/2006/relationships/hyperlink" Target="https://twitter.com/SaraGideon/status/1315755602140897281" TargetMode="External"/><Relationship Id="rId90" Type="http://schemas.openxmlformats.org/officeDocument/2006/relationships/hyperlink" Target="https://twitter.com/SaraGideon/status/1321615367748407297" TargetMode="External"/><Relationship Id="rId165" Type="http://schemas.openxmlformats.org/officeDocument/2006/relationships/hyperlink" Target="https://twitter.com/SaraGideon/status/1320421503591190531" TargetMode="External"/><Relationship Id="rId186" Type="http://schemas.openxmlformats.org/officeDocument/2006/relationships/hyperlink" Target="https://twitter.com/SaraGideon/status/1319427862169079809" TargetMode="External"/><Relationship Id="rId351" Type="http://schemas.openxmlformats.org/officeDocument/2006/relationships/hyperlink" Target="https://twitter.com/SaraGideon/status/1314355531457458176" TargetMode="External"/><Relationship Id="rId372" Type="http://schemas.openxmlformats.org/officeDocument/2006/relationships/hyperlink" Target="https://twitter.com/SaraGideon/status/1313538281536204801" TargetMode="External"/><Relationship Id="rId393" Type="http://schemas.openxmlformats.org/officeDocument/2006/relationships/hyperlink" Target="https://twitter.com/SaraGideon/status/1312181162840739840" TargetMode="External"/><Relationship Id="rId211" Type="http://schemas.openxmlformats.org/officeDocument/2006/relationships/hyperlink" Target="https://twitter.com/SaraGideon/status/1319418573312434177" TargetMode="External"/><Relationship Id="rId232" Type="http://schemas.openxmlformats.org/officeDocument/2006/relationships/hyperlink" Target="https://twitter.com/SaraGideon/status/1319011101321854981" TargetMode="External"/><Relationship Id="rId253" Type="http://schemas.openxmlformats.org/officeDocument/2006/relationships/hyperlink" Target="https://twitter.com/SaraGideon/status/1318191124054421504" TargetMode="External"/><Relationship Id="rId274" Type="http://schemas.openxmlformats.org/officeDocument/2006/relationships/hyperlink" Target="https://twitter.com/SaraGideon/status/1316914810903199749" TargetMode="External"/><Relationship Id="rId295" Type="http://schemas.openxmlformats.org/officeDocument/2006/relationships/hyperlink" Target="https://twitter.com/SaraGideon/status/1316895968084852737" TargetMode="External"/><Relationship Id="rId309" Type="http://schemas.openxmlformats.org/officeDocument/2006/relationships/hyperlink" Target="https://twitter.com/SaraGideon/status/1316732624753299457" TargetMode="External"/><Relationship Id="rId27" Type="http://schemas.openxmlformats.org/officeDocument/2006/relationships/hyperlink" Target="https://twitter.com/SaraGideon/status/1323351323128057863" TargetMode="External"/><Relationship Id="rId48" Type="http://schemas.openxmlformats.org/officeDocument/2006/relationships/hyperlink" Target="https://twitter.com/SaraGideon/status/1322688657325785089" TargetMode="External"/><Relationship Id="rId69" Type="http://schemas.openxmlformats.org/officeDocument/2006/relationships/hyperlink" Target="https://twitter.com/SaraGideon/status/1322200155865665536" TargetMode="External"/><Relationship Id="rId113" Type="http://schemas.openxmlformats.org/officeDocument/2006/relationships/hyperlink" Target="https://twitter.com/SaraGideon/status/1321606221011525634" TargetMode="External"/><Relationship Id="rId134" Type="http://schemas.openxmlformats.org/officeDocument/2006/relationships/hyperlink" Target="https://twitter.com/SaraGideon/status/1321505561440145408" TargetMode="External"/><Relationship Id="rId320" Type="http://schemas.openxmlformats.org/officeDocument/2006/relationships/hyperlink" Target="https://twitter.com/SaraGideon/status/1316055514917330944" TargetMode="External"/><Relationship Id="rId80" Type="http://schemas.openxmlformats.org/officeDocument/2006/relationships/hyperlink" Target="https://twitter.com/SaraGideon/status/1321894120122654720" TargetMode="External"/><Relationship Id="rId155" Type="http://schemas.openxmlformats.org/officeDocument/2006/relationships/hyperlink" Target="https://twitter.com/SaraGideon/status/1320810567481860096" TargetMode="External"/><Relationship Id="rId176" Type="http://schemas.openxmlformats.org/officeDocument/2006/relationships/hyperlink" Target="https://twitter.com/SaraGideon/status/1320035133127348226" TargetMode="External"/><Relationship Id="rId197" Type="http://schemas.openxmlformats.org/officeDocument/2006/relationships/hyperlink" Target="https://twitter.com/SaraGideon/status/1319423931330273280" TargetMode="External"/><Relationship Id="rId341" Type="http://schemas.openxmlformats.org/officeDocument/2006/relationships/hyperlink" Target="https://twitter.com/SaraGideon/status/1315301416311889923" TargetMode="External"/><Relationship Id="rId362" Type="http://schemas.openxmlformats.org/officeDocument/2006/relationships/hyperlink" Target="https://twitter.com/SaraGideon/status/1313916935105589249" TargetMode="External"/><Relationship Id="rId383" Type="http://schemas.openxmlformats.org/officeDocument/2006/relationships/hyperlink" Target="https://twitter.com/SaraGideon/status/1312861042725224450" TargetMode="External"/><Relationship Id="rId201" Type="http://schemas.openxmlformats.org/officeDocument/2006/relationships/hyperlink" Target="https://twitter.com/SaraGideon/status/1319423432644317186" TargetMode="External"/><Relationship Id="rId222" Type="http://schemas.openxmlformats.org/officeDocument/2006/relationships/hyperlink" Target="https://twitter.com/SaraGideon/status/1319399289458655235" TargetMode="External"/><Relationship Id="rId243" Type="http://schemas.openxmlformats.org/officeDocument/2006/relationships/hyperlink" Target="https://twitter.com/SaraGideon/status/1318571045318762496" TargetMode="External"/><Relationship Id="rId264" Type="http://schemas.openxmlformats.org/officeDocument/2006/relationships/hyperlink" Target="https://twitter.com/SaraGideon/status/1317514793809551365" TargetMode="External"/><Relationship Id="rId285" Type="http://schemas.openxmlformats.org/officeDocument/2006/relationships/hyperlink" Target="https://twitter.com/SaraGideon/status/1316899713082400769" TargetMode="External"/><Relationship Id="rId17" Type="http://schemas.openxmlformats.org/officeDocument/2006/relationships/hyperlink" Target="https://twitter.com/SaraGideon/status/1323596771784855553" TargetMode="External"/><Relationship Id="rId38" Type="http://schemas.openxmlformats.org/officeDocument/2006/relationships/hyperlink" Target="https://twitter.com/SaraGideon/status/1323085208757915649" TargetMode="External"/><Relationship Id="rId59" Type="http://schemas.openxmlformats.org/officeDocument/2006/relationships/hyperlink" Target="https://twitter.com/SaraGideon/status/1322351698061512706" TargetMode="External"/><Relationship Id="rId103" Type="http://schemas.openxmlformats.org/officeDocument/2006/relationships/hyperlink" Target="https://twitter.com/SaraGideon/status/1321609320342167554" TargetMode="External"/><Relationship Id="rId124" Type="http://schemas.openxmlformats.org/officeDocument/2006/relationships/hyperlink" Target="https://twitter.com/SaraGideon/status/1321603705490255876" TargetMode="External"/><Relationship Id="rId310" Type="http://schemas.openxmlformats.org/officeDocument/2006/relationships/hyperlink" Target="https://twitter.com/SaraGideon/status/1316526635374587905" TargetMode="External"/><Relationship Id="rId70" Type="http://schemas.openxmlformats.org/officeDocument/2006/relationships/hyperlink" Target="https://twitter.com/SaraGideon/status/1322184641256824834" TargetMode="External"/><Relationship Id="rId91" Type="http://schemas.openxmlformats.org/officeDocument/2006/relationships/hyperlink" Target="https://twitter.com/SaraGideon/status/1321614737571012609" TargetMode="External"/><Relationship Id="rId145" Type="http://schemas.openxmlformats.org/officeDocument/2006/relationships/hyperlink" Target="https://twitter.com/SaraGideon/status/1321118331399712770" TargetMode="External"/><Relationship Id="rId166" Type="http://schemas.openxmlformats.org/officeDocument/2006/relationships/hyperlink" Target="https://twitter.com/SaraGideon/status/1320405816982253568" TargetMode="External"/><Relationship Id="rId187" Type="http://schemas.openxmlformats.org/officeDocument/2006/relationships/hyperlink" Target="https://twitter.com/SaraGideon/status/1319427821220003846" TargetMode="External"/><Relationship Id="rId331" Type="http://schemas.openxmlformats.org/officeDocument/2006/relationships/hyperlink" Target="https://twitter.com/SaraGideon/status/1315718435997978624" TargetMode="External"/><Relationship Id="rId352" Type="http://schemas.openxmlformats.org/officeDocument/2006/relationships/hyperlink" Target="https://twitter.com/SaraGideon/status/1314331386560552960" TargetMode="External"/><Relationship Id="rId373" Type="http://schemas.openxmlformats.org/officeDocument/2006/relationships/hyperlink" Target="https://twitter.com/SaraGideon/status/1313513338400276481" TargetMode="External"/><Relationship Id="rId394" Type="http://schemas.openxmlformats.org/officeDocument/2006/relationships/table" Target="../tables/table8.xml"/><Relationship Id="rId1" Type="http://schemas.openxmlformats.org/officeDocument/2006/relationships/hyperlink" Target="https://twitter.com/SaraGideon/status/1323746273170657283" TargetMode="External"/><Relationship Id="rId212" Type="http://schemas.openxmlformats.org/officeDocument/2006/relationships/hyperlink" Target="https://twitter.com/SaraGideon/status/1319418495814295556" TargetMode="External"/><Relationship Id="rId233" Type="http://schemas.openxmlformats.org/officeDocument/2006/relationships/hyperlink" Target="https://twitter.com/SaraGideon/status/1318991776275902467" TargetMode="External"/><Relationship Id="rId254" Type="http://schemas.openxmlformats.org/officeDocument/2006/relationships/hyperlink" Target="https://twitter.com/SaraGideon/status/1318173152413995008" TargetMode="External"/><Relationship Id="rId28" Type="http://schemas.openxmlformats.org/officeDocument/2006/relationships/hyperlink" Target="https://twitter.com/SaraGideon/status/1323340725644414977" TargetMode="External"/><Relationship Id="rId49" Type="http://schemas.openxmlformats.org/officeDocument/2006/relationships/hyperlink" Target="https://twitter.com/SaraGideon/status/1322656825209196547" TargetMode="External"/><Relationship Id="rId114" Type="http://schemas.openxmlformats.org/officeDocument/2006/relationships/hyperlink" Target="https://twitter.com/SaraGideon/status/1321605965125505026" TargetMode="External"/><Relationship Id="rId275" Type="http://schemas.openxmlformats.org/officeDocument/2006/relationships/hyperlink" Target="https://twitter.com/SaraGideon/status/1316906062088384512" TargetMode="External"/><Relationship Id="rId296" Type="http://schemas.openxmlformats.org/officeDocument/2006/relationships/hyperlink" Target="https://twitter.com/SaraGideon/status/1316895641428217856" TargetMode="External"/><Relationship Id="rId300" Type="http://schemas.openxmlformats.org/officeDocument/2006/relationships/hyperlink" Target="https://twitter.com/SaraGideon/status/1316892884570787840" TargetMode="External"/><Relationship Id="rId60" Type="http://schemas.openxmlformats.org/officeDocument/2006/relationships/hyperlink" Target="https://twitter.com/SaraGideon/status/1322305920530087936" TargetMode="External"/><Relationship Id="rId81" Type="http://schemas.openxmlformats.org/officeDocument/2006/relationships/hyperlink" Target="https://twitter.com/SaraGideon/status/1321871536568082432" TargetMode="External"/><Relationship Id="rId135" Type="http://schemas.openxmlformats.org/officeDocument/2006/relationships/hyperlink" Target="https://twitter.com/SaraGideon/status/1321485280487067655" TargetMode="External"/><Relationship Id="rId156" Type="http://schemas.openxmlformats.org/officeDocument/2006/relationships/hyperlink" Target="https://twitter.com/SaraGideon/status/1320777307162841090" TargetMode="External"/><Relationship Id="rId177" Type="http://schemas.openxmlformats.org/officeDocument/2006/relationships/hyperlink" Target="https://twitter.com/SaraGideon/status/1320011760242405377" TargetMode="External"/><Relationship Id="rId198" Type="http://schemas.openxmlformats.org/officeDocument/2006/relationships/hyperlink" Target="https://twitter.com/SaraGideon/status/1319423837096808455" TargetMode="External"/><Relationship Id="rId321" Type="http://schemas.openxmlformats.org/officeDocument/2006/relationships/hyperlink" Target="https://twitter.com/SaraGideon/status/1316043059893862406" TargetMode="External"/><Relationship Id="rId342" Type="http://schemas.openxmlformats.org/officeDocument/2006/relationships/hyperlink" Target="https://twitter.com/SaraGideon/status/1315052125014065156" TargetMode="External"/><Relationship Id="rId363" Type="http://schemas.openxmlformats.org/officeDocument/2006/relationships/hyperlink" Target="https://twitter.com/SaraGideon/status/1313894877697060866" TargetMode="External"/><Relationship Id="rId384" Type="http://schemas.openxmlformats.org/officeDocument/2006/relationships/hyperlink" Target="https://twitter.com/SaraGideon/status/1312824020618878976" TargetMode="External"/><Relationship Id="rId202" Type="http://schemas.openxmlformats.org/officeDocument/2006/relationships/hyperlink" Target="https://twitter.com/SaraGideon/status/1319423355628494849" TargetMode="External"/><Relationship Id="rId223" Type="http://schemas.openxmlformats.org/officeDocument/2006/relationships/hyperlink" Target="https://twitter.com/SaraGideon/status/1319372018765234176" TargetMode="External"/><Relationship Id="rId244" Type="http://schemas.openxmlformats.org/officeDocument/2006/relationships/hyperlink" Target="https://twitter.com/SaraGideon/status/1318542202126192641" TargetMode="External"/><Relationship Id="rId18" Type="http://schemas.openxmlformats.org/officeDocument/2006/relationships/hyperlink" Target="https://twitter.com/SaraGideon/status/1323467181405982721" TargetMode="External"/><Relationship Id="rId39" Type="http://schemas.openxmlformats.org/officeDocument/2006/relationships/hyperlink" Target="https://twitter.com/SaraGideon/status/1323081430830899200" TargetMode="External"/><Relationship Id="rId265" Type="http://schemas.openxmlformats.org/officeDocument/2006/relationships/hyperlink" Target="https://twitter.com/SaraGideon/status/1317514792547045376" TargetMode="External"/><Relationship Id="rId286" Type="http://schemas.openxmlformats.org/officeDocument/2006/relationships/hyperlink" Target="https://twitter.com/SaraGideon/status/1316899056271196166" TargetMode="External"/><Relationship Id="rId50" Type="http://schemas.openxmlformats.org/officeDocument/2006/relationships/hyperlink" Target="https://twitter.com/SaraGideon/status/1322646705607712768" TargetMode="External"/><Relationship Id="rId104" Type="http://schemas.openxmlformats.org/officeDocument/2006/relationships/hyperlink" Target="https://twitter.com/SaraGideon/status/1321609085704392704" TargetMode="External"/><Relationship Id="rId125" Type="http://schemas.openxmlformats.org/officeDocument/2006/relationships/hyperlink" Target="https://twitter.com/SaraGideon/status/1321603647298510851" TargetMode="External"/><Relationship Id="rId146" Type="http://schemas.openxmlformats.org/officeDocument/2006/relationships/hyperlink" Target="https://twitter.com/SaraGideon/status/1321105995997872128" TargetMode="External"/><Relationship Id="rId167" Type="http://schemas.openxmlformats.org/officeDocument/2006/relationships/hyperlink" Target="https://twitter.com/SaraGideon/status/1320391972134260736" TargetMode="External"/><Relationship Id="rId188" Type="http://schemas.openxmlformats.org/officeDocument/2006/relationships/hyperlink" Target="https://twitter.com/SaraGideon/status/1319426188977242112" TargetMode="External"/><Relationship Id="rId311" Type="http://schemas.openxmlformats.org/officeDocument/2006/relationships/hyperlink" Target="https://twitter.com/SaraGideon/status/1316507429631340546" TargetMode="External"/><Relationship Id="rId332" Type="http://schemas.openxmlformats.org/officeDocument/2006/relationships/hyperlink" Target="https://twitter.com/SaraGideon/status/1315696178516963328" TargetMode="External"/><Relationship Id="rId353" Type="http://schemas.openxmlformats.org/officeDocument/2006/relationships/hyperlink" Target="https://twitter.com/SaraGideon/status/1314316625076776963" TargetMode="External"/><Relationship Id="rId374" Type="http://schemas.openxmlformats.org/officeDocument/2006/relationships/hyperlink" Target="https://twitter.com/SaraGideon/status/1313493366546497537" TargetMode="External"/><Relationship Id="rId71" Type="http://schemas.openxmlformats.org/officeDocument/2006/relationships/hyperlink" Target="https://twitter.com/SaraGideon/status/1322170389494001666" TargetMode="External"/><Relationship Id="rId92" Type="http://schemas.openxmlformats.org/officeDocument/2006/relationships/hyperlink" Target="https://twitter.com/SaraGideon/status/1321614171230904322" TargetMode="External"/><Relationship Id="rId213" Type="http://schemas.openxmlformats.org/officeDocument/2006/relationships/hyperlink" Target="https://twitter.com/SaraGideon/status/1319418369502777345" TargetMode="External"/><Relationship Id="rId234" Type="http://schemas.openxmlformats.org/officeDocument/2006/relationships/hyperlink" Target="https://twitter.com/SaraGideon/status/1318977232271003648" TargetMode="External"/><Relationship Id="rId2" Type="http://schemas.openxmlformats.org/officeDocument/2006/relationships/hyperlink" Target="https://twitter.com/SaraGideon/status/1323736112272166914" TargetMode="External"/><Relationship Id="rId29" Type="http://schemas.openxmlformats.org/officeDocument/2006/relationships/hyperlink" Target="https://twitter.com/SaraGideon/status/1323329882273832961" TargetMode="External"/><Relationship Id="rId255" Type="http://schemas.openxmlformats.org/officeDocument/2006/relationships/hyperlink" Target="https://twitter.com/SaraGideon/status/1318156294956716032" TargetMode="External"/><Relationship Id="rId276" Type="http://schemas.openxmlformats.org/officeDocument/2006/relationships/hyperlink" Target="https://twitter.com/SaraGideon/status/1316905777433616384" TargetMode="External"/><Relationship Id="rId297" Type="http://schemas.openxmlformats.org/officeDocument/2006/relationships/hyperlink" Target="https://twitter.com/SaraGideon/status/1316893633015140352" TargetMode="External"/><Relationship Id="rId40" Type="http://schemas.openxmlformats.org/officeDocument/2006/relationships/hyperlink" Target="https://twitter.com/SaraGideon/status/1323058742007631872" TargetMode="External"/><Relationship Id="rId115" Type="http://schemas.openxmlformats.org/officeDocument/2006/relationships/hyperlink" Target="https://twitter.com/SaraGideon/status/1321605803166572545" TargetMode="External"/><Relationship Id="rId136" Type="http://schemas.openxmlformats.org/officeDocument/2006/relationships/hyperlink" Target="https://twitter.com/SaraGideon/status/1321478798328692741" TargetMode="External"/><Relationship Id="rId157" Type="http://schemas.openxmlformats.org/officeDocument/2006/relationships/hyperlink" Target="https://twitter.com/SaraGideon/status/1320757530935676929" TargetMode="External"/><Relationship Id="rId178" Type="http://schemas.openxmlformats.org/officeDocument/2006/relationships/hyperlink" Target="https://twitter.com/SaraGideon/status/1319957307321585664" TargetMode="External"/><Relationship Id="rId301" Type="http://schemas.openxmlformats.org/officeDocument/2006/relationships/hyperlink" Target="https://twitter.com/SaraGideon/status/1316892801154617344" TargetMode="External"/><Relationship Id="rId322" Type="http://schemas.openxmlformats.org/officeDocument/2006/relationships/hyperlink" Target="https://twitter.com/SaraGideon/status/1316033971474624513" TargetMode="External"/><Relationship Id="rId343" Type="http://schemas.openxmlformats.org/officeDocument/2006/relationships/hyperlink" Target="https://twitter.com/SaraGideon/status/1314993304598085632" TargetMode="External"/><Relationship Id="rId364" Type="http://schemas.openxmlformats.org/officeDocument/2006/relationships/hyperlink" Target="https://twitter.com/SaraGideon/status/1313882880313942016" TargetMode="External"/><Relationship Id="rId61" Type="http://schemas.openxmlformats.org/officeDocument/2006/relationships/hyperlink" Target="https://twitter.com/SaraGideon/status/1322294583066316805" TargetMode="External"/><Relationship Id="rId82" Type="http://schemas.openxmlformats.org/officeDocument/2006/relationships/hyperlink" Target="https://twitter.com/SaraGideon/status/1321845274315313152" TargetMode="External"/><Relationship Id="rId199" Type="http://schemas.openxmlformats.org/officeDocument/2006/relationships/hyperlink" Target="https://twitter.com/SaraGideon/status/1319423614437949440" TargetMode="External"/><Relationship Id="rId203" Type="http://schemas.openxmlformats.org/officeDocument/2006/relationships/hyperlink" Target="https://twitter.com/SaraGideon/status/1319423271872462848" TargetMode="External"/><Relationship Id="rId385" Type="http://schemas.openxmlformats.org/officeDocument/2006/relationships/hyperlink" Target="https://twitter.com/SaraGideon/status/1312792941883265025" TargetMode="External"/><Relationship Id="rId19" Type="http://schemas.openxmlformats.org/officeDocument/2006/relationships/hyperlink" Target="https://twitter.com/SaraGideon/status/1323467173688446978" TargetMode="External"/><Relationship Id="rId224" Type="http://schemas.openxmlformats.org/officeDocument/2006/relationships/hyperlink" Target="https://twitter.com/SaraGideon/status/1319349030846140418" TargetMode="External"/><Relationship Id="rId245" Type="http://schemas.openxmlformats.org/officeDocument/2006/relationships/hyperlink" Target="https://twitter.com/SaraGideon/status/1318344144729800708" TargetMode="External"/><Relationship Id="rId266" Type="http://schemas.openxmlformats.org/officeDocument/2006/relationships/hyperlink" Target="https://twitter.com/SaraGideon/status/1317514791322292224" TargetMode="External"/><Relationship Id="rId287" Type="http://schemas.openxmlformats.org/officeDocument/2006/relationships/hyperlink" Target="https://twitter.com/SaraGideon/status/1316898936100147200" TargetMode="External"/><Relationship Id="rId30" Type="http://schemas.openxmlformats.org/officeDocument/2006/relationships/hyperlink" Target="https://twitter.com/SaraGideon/status/1323321602763796480" TargetMode="External"/><Relationship Id="rId105" Type="http://schemas.openxmlformats.org/officeDocument/2006/relationships/hyperlink" Target="https://twitter.com/SaraGideon/status/1321608813343051776" TargetMode="External"/><Relationship Id="rId126" Type="http://schemas.openxmlformats.org/officeDocument/2006/relationships/hyperlink" Target="https://twitter.com/SaraGideon/status/1321603477924155393" TargetMode="External"/><Relationship Id="rId147" Type="http://schemas.openxmlformats.org/officeDocument/2006/relationships/hyperlink" Target="https://twitter.com/SaraGideon/status/1321089394288320512" TargetMode="External"/><Relationship Id="rId168" Type="http://schemas.openxmlformats.org/officeDocument/2006/relationships/hyperlink" Target="https://twitter.com/SaraGideon/status/1320384164730949632" TargetMode="External"/><Relationship Id="rId312" Type="http://schemas.openxmlformats.org/officeDocument/2006/relationships/hyperlink" Target="https://twitter.com/SaraGideon/status/1316440438698659842" TargetMode="External"/><Relationship Id="rId333" Type="http://schemas.openxmlformats.org/officeDocument/2006/relationships/hyperlink" Target="https://twitter.com/SaraGideon/status/1315679231528050688" TargetMode="External"/><Relationship Id="rId354" Type="http://schemas.openxmlformats.org/officeDocument/2006/relationships/hyperlink" Target="https://twitter.com/SaraGideon/status/1314281071836565504" TargetMode="External"/><Relationship Id="rId51" Type="http://schemas.openxmlformats.org/officeDocument/2006/relationships/hyperlink" Target="https://twitter.com/SaraGideon/status/1322628682612092928" TargetMode="External"/><Relationship Id="rId72" Type="http://schemas.openxmlformats.org/officeDocument/2006/relationships/hyperlink" Target="https://twitter.com/SaraGideon/status/1322164474573426690" TargetMode="External"/><Relationship Id="rId93" Type="http://schemas.openxmlformats.org/officeDocument/2006/relationships/hyperlink" Target="https://twitter.com/SaraGideon/status/1321613770838446085" TargetMode="External"/><Relationship Id="rId189" Type="http://schemas.openxmlformats.org/officeDocument/2006/relationships/hyperlink" Target="https://twitter.com/SaraGideon/status/1319426119075045377" TargetMode="External"/><Relationship Id="rId375" Type="http://schemas.openxmlformats.org/officeDocument/2006/relationships/hyperlink" Target="https://twitter.com/SaraGideon/status/1313479961399963652" TargetMode="External"/><Relationship Id="rId3" Type="http://schemas.openxmlformats.org/officeDocument/2006/relationships/hyperlink" Target="https://twitter.com/SaraGideon/status/1323728864028348416" TargetMode="External"/><Relationship Id="rId214" Type="http://schemas.openxmlformats.org/officeDocument/2006/relationships/hyperlink" Target="https://twitter.com/SaraGideon/status/1319417683213996037" TargetMode="External"/><Relationship Id="rId235" Type="http://schemas.openxmlformats.org/officeDocument/2006/relationships/hyperlink" Target="https://twitter.com/SaraGideon/status/1318958773004832770" TargetMode="External"/><Relationship Id="rId256" Type="http://schemas.openxmlformats.org/officeDocument/2006/relationships/hyperlink" Target="https://twitter.com/SaraGideon/status/1317921865738915840" TargetMode="External"/><Relationship Id="rId277" Type="http://schemas.openxmlformats.org/officeDocument/2006/relationships/hyperlink" Target="https://twitter.com/SaraGideon/status/1316904033672638464" TargetMode="External"/><Relationship Id="rId298" Type="http://schemas.openxmlformats.org/officeDocument/2006/relationships/hyperlink" Target="https://twitter.com/SaraGideon/status/1316893419713810434" TargetMode="External"/><Relationship Id="rId116" Type="http://schemas.openxmlformats.org/officeDocument/2006/relationships/hyperlink" Target="https://twitter.com/SaraGideon/status/1321605667090825219" TargetMode="External"/><Relationship Id="rId137" Type="http://schemas.openxmlformats.org/officeDocument/2006/relationships/hyperlink" Target="https://twitter.com/SaraGideon/status/1321467315293167616" TargetMode="External"/><Relationship Id="rId158" Type="http://schemas.openxmlformats.org/officeDocument/2006/relationships/hyperlink" Target="https://twitter.com/SaraGideon/status/1320733678411091968" TargetMode="External"/><Relationship Id="rId302" Type="http://schemas.openxmlformats.org/officeDocument/2006/relationships/hyperlink" Target="https://twitter.com/SaraGideon/status/1316880498560503808" TargetMode="External"/><Relationship Id="rId323" Type="http://schemas.openxmlformats.org/officeDocument/2006/relationships/hyperlink" Target="https://twitter.com/SaraGideon/status/1316033969775837187" TargetMode="External"/><Relationship Id="rId344" Type="http://schemas.openxmlformats.org/officeDocument/2006/relationships/hyperlink" Target="https://twitter.com/SaraGideon/status/1314977641343131648" TargetMode="External"/><Relationship Id="rId20" Type="http://schemas.openxmlformats.org/officeDocument/2006/relationships/hyperlink" Target="https://twitter.com/SaraGideon/status/1323452336350629889" TargetMode="External"/><Relationship Id="rId41" Type="http://schemas.openxmlformats.org/officeDocument/2006/relationships/hyperlink" Target="https://twitter.com/SaraGideon/status/1323053261688102913" TargetMode="External"/><Relationship Id="rId62" Type="http://schemas.openxmlformats.org/officeDocument/2006/relationships/hyperlink" Target="https://twitter.com/SaraGideon/status/1322282992014970882" TargetMode="External"/><Relationship Id="rId83" Type="http://schemas.openxmlformats.org/officeDocument/2006/relationships/hyperlink" Target="https://twitter.com/SaraGideon/status/1321810959380471808" TargetMode="External"/><Relationship Id="rId179" Type="http://schemas.openxmlformats.org/officeDocument/2006/relationships/hyperlink" Target="https://twitter.com/SaraGideon/status/1319797391583830016" TargetMode="External"/><Relationship Id="rId365" Type="http://schemas.openxmlformats.org/officeDocument/2006/relationships/hyperlink" Target="https://twitter.com/SaraGideon/status/1313865153272741895" TargetMode="External"/><Relationship Id="rId386" Type="http://schemas.openxmlformats.org/officeDocument/2006/relationships/hyperlink" Target="https://twitter.com/SaraGideon/status/1312776412449865728" TargetMode="External"/><Relationship Id="rId190" Type="http://schemas.openxmlformats.org/officeDocument/2006/relationships/hyperlink" Target="https://twitter.com/SaraGideon/status/1319426057234190336" TargetMode="External"/><Relationship Id="rId204" Type="http://schemas.openxmlformats.org/officeDocument/2006/relationships/hyperlink" Target="https://twitter.com/SaraGideon/status/1319422609726017540" TargetMode="External"/><Relationship Id="rId225" Type="http://schemas.openxmlformats.org/officeDocument/2006/relationships/hyperlink" Target="https://twitter.com/SaraGideon/status/1319328366391103490" TargetMode="External"/><Relationship Id="rId246" Type="http://schemas.openxmlformats.org/officeDocument/2006/relationships/hyperlink" Target="https://twitter.com/SaraGideon/status/1318335117912276993" TargetMode="External"/><Relationship Id="rId267" Type="http://schemas.openxmlformats.org/officeDocument/2006/relationships/hyperlink" Target="https://twitter.com/SaraGideon/status/1317494029488193538" TargetMode="External"/><Relationship Id="rId288" Type="http://schemas.openxmlformats.org/officeDocument/2006/relationships/hyperlink" Target="https://twitter.com/SaraGideon/status/1316898655635492866" TargetMode="External"/><Relationship Id="rId106" Type="http://schemas.openxmlformats.org/officeDocument/2006/relationships/hyperlink" Target="https://twitter.com/SaraGideon/status/1321608330121519104" TargetMode="External"/><Relationship Id="rId127" Type="http://schemas.openxmlformats.org/officeDocument/2006/relationships/hyperlink" Target="https://twitter.com/SaraGideon/status/1321603433087074304" TargetMode="External"/><Relationship Id="rId313" Type="http://schemas.openxmlformats.org/officeDocument/2006/relationships/hyperlink" Target="https://twitter.com/SaraGideon/status/1316419935682297859" TargetMode="External"/><Relationship Id="rId10" Type="http://schemas.openxmlformats.org/officeDocument/2006/relationships/hyperlink" Target="https://twitter.com/SaraGideon/status/1323670962416558081" TargetMode="External"/><Relationship Id="rId31" Type="http://schemas.openxmlformats.org/officeDocument/2006/relationships/hyperlink" Target="https://twitter.com/SaraGideon/status/1323308639709405187" TargetMode="External"/><Relationship Id="rId52" Type="http://schemas.openxmlformats.org/officeDocument/2006/relationships/hyperlink" Target="https://twitter.com/SaraGideon/status/1322597500478459907" TargetMode="External"/><Relationship Id="rId73" Type="http://schemas.openxmlformats.org/officeDocument/2006/relationships/hyperlink" Target="https://twitter.com/SaraGideon/status/1322150345313865728" TargetMode="External"/><Relationship Id="rId94" Type="http://schemas.openxmlformats.org/officeDocument/2006/relationships/hyperlink" Target="https://twitter.com/SaraGideon/status/1321613273461043200" TargetMode="External"/><Relationship Id="rId148" Type="http://schemas.openxmlformats.org/officeDocument/2006/relationships/hyperlink" Target="https://twitter.com/SaraGideon/status/1321082028884922368" TargetMode="External"/><Relationship Id="rId169" Type="http://schemas.openxmlformats.org/officeDocument/2006/relationships/hyperlink" Target="https://twitter.com/SaraGideon/status/1320120122707746816" TargetMode="External"/><Relationship Id="rId334" Type="http://schemas.openxmlformats.org/officeDocument/2006/relationships/hyperlink" Target="https://twitter.com/SaraGideon/status/1315667457772838913" TargetMode="External"/><Relationship Id="rId355" Type="http://schemas.openxmlformats.org/officeDocument/2006/relationships/hyperlink" Target="https://twitter.com/SaraGideon/status/1314268375447633920" TargetMode="External"/><Relationship Id="rId376" Type="http://schemas.openxmlformats.org/officeDocument/2006/relationships/hyperlink" Target="https://twitter.com/SaraGideon/status/1313254230568906753" TargetMode="External"/><Relationship Id="rId4" Type="http://schemas.openxmlformats.org/officeDocument/2006/relationships/hyperlink" Target="https://twitter.com/SaraGideon/status/1323722425301934086" TargetMode="External"/><Relationship Id="rId180" Type="http://schemas.openxmlformats.org/officeDocument/2006/relationships/hyperlink" Target="https://twitter.com/SaraGideon/status/1319769810331455490" TargetMode="External"/><Relationship Id="rId215" Type="http://schemas.openxmlformats.org/officeDocument/2006/relationships/hyperlink" Target="https://twitter.com/SaraGideon/status/1319417581233647617" TargetMode="External"/><Relationship Id="rId236" Type="http://schemas.openxmlformats.org/officeDocument/2006/relationships/hyperlink" Target="https://twitter.com/SaraGideon/status/1318941140205305860" TargetMode="External"/><Relationship Id="rId257" Type="http://schemas.openxmlformats.org/officeDocument/2006/relationships/hyperlink" Target="https://twitter.com/SaraGideon/status/1317911884461494280" TargetMode="External"/><Relationship Id="rId278" Type="http://schemas.openxmlformats.org/officeDocument/2006/relationships/hyperlink" Target="https://twitter.com/SaraGideon/status/1316903666792751105" TargetMode="External"/><Relationship Id="rId303" Type="http://schemas.openxmlformats.org/officeDocument/2006/relationships/hyperlink" Target="https://twitter.com/SaraGideon/status/1316852743399706624" TargetMode="External"/><Relationship Id="rId42" Type="http://schemas.openxmlformats.org/officeDocument/2006/relationships/hyperlink" Target="https://twitter.com/SaraGideon/status/1323036417572950018" TargetMode="External"/><Relationship Id="rId84" Type="http://schemas.openxmlformats.org/officeDocument/2006/relationships/hyperlink" Target="https://twitter.com/SaraGideon/status/1321620869513445377" TargetMode="External"/><Relationship Id="rId138" Type="http://schemas.openxmlformats.org/officeDocument/2006/relationships/hyperlink" Target="https://twitter.com/SaraGideon/status/1321456205613703171" TargetMode="External"/><Relationship Id="rId345" Type="http://schemas.openxmlformats.org/officeDocument/2006/relationships/hyperlink" Target="https://twitter.com/SaraGideon/status/1314964823940136960" TargetMode="External"/><Relationship Id="rId387" Type="http://schemas.openxmlformats.org/officeDocument/2006/relationships/hyperlink" Target="https://twitter.com/SaraGideon/status/1312505550865801217" TargetMode="External"/><Relationship Id="rId191" Type="http://schemas.openxmlformats.org/officeDocument/2006/relationships/hyperlink" Target="https://twitter.com/SaraGideon/status/1319425988887900160" TargetMode="External"/><Relationship Id="rId205" Type="http://schemas.openxmlformats.org/officeDocument/2006/relationships/hyperlink" Target="https://twitter.com/SaraGideon/status/1319421527025176577" TargetMode="External"/><Relationship Id="rId247" Type="http://schemas.openxmlformats.org/officeDocument/2006/relationships/hyperlink" Target="https://twitter.com/SaraGideon/status/1318325287088697345" TargetMode="External"/><Relationship Id="rId107" Type="http://schemas.openxmlformats.org/officeDocument/2006/relationships/hyperlink" Target="https://twitter.com/SaraGideon/status/1321608211674341377" TargetMode="External"/><Relationship Id="rId289" Type="http://schemas.openxmlformats.org/officeDocument/2006/relationships/hyperlink" Target="https://twitter.com/SaraGideon/status/1316898226470064128" TargetMode="External"/><Relationship Id="rId11" Type="http://schemas.openxmlformats.org/officeDocument/2006/relationships/hyperlink" Target="https://twitter.com/SaraGideon/status/1323651316095295488" TargetMode="External"/><Relationship Id="rId53" Type="http://schemas.openxmlformats.org/officeDocument/2006/relationships/hyperlink" Target="https://twitter.com/SaraGideon/status/1322590862635925504" TargetMode="External"/><Relationship Id="rId149" Type="http://schemas.openxmlformats.org/officeDocument/2006/relationships/hyperlink" Target="https://twitter.com/SaraGideon/status/1320899885084876800" TargetMode="External"/><Relationship Id="rId314" Type="http://schemas.openxmlformats.org/officeDocument/2006/relationships/hyperlink" Target="https://twitter.com/SaraGideon/status/1316408316139102211" TargetMode="External"/><Relationship Id="rId356" Type="http://schemas.openxmlformats.org/officeDocument/2006/relationships/hyperlink" Target="https://twitter.com/SaraGideon/status/1314229298736377856" TargetMode="External"/><Relationship Id="rId95" Type="http://schemas.openxmlformats.org/officeDocument/2006/relationships/hyperlink" Target="https://twitter.com/SaraGideon/status/1321613034419310592" TargetMode="External"/><Relationship Id="rId160" Type="http://schemas.openxmlformats.org/officeDocument/2006/relationships/hyperlink" Target="https://twitter.com/SaraGideon/status/1320534051669815297" TargetMode="External"/><Relationship Id="rId216" Type="http://schemas.openxmlformats.org/officeDocument/2006/relationships/hyperlink" Target="https://twitter.com/SaraGideon/status/1319417474576678912" TargetMode="External"/><Relationship Id="rId258" Type="http://schemas.openxmlformats.org/officeDocument/2006/relationships/hyperlink" Target="https://twitter.com/SaraGideon/status/1317869414298124288" TargetMode="External"/><Relationship Id="rId22" Type="http://schemas.openxmlformats.org/officeDocument/2006/relationships/hyperlink" Target="https://twitter.com/SaraGideon/status/1323403514819809281" TargetMode="External"/><Relationship Id="rId64" Type="http://schemas.openxmlformats.org/officeDocument/2006/relationships/hyperlink" Target="https://twitter.com/SaraGideon/status/1322250286673596416" TargetMode="External"/><Relationship Id="rId118" Type="http://schemas.openxmlformats.org/officeDocument/2006/relationships/hyperlink" Target="https://twitter.com/SaraGideon/status/1321605123538358274" TargetMode="External"/><Relationship Id="rId325" Type="http://schemas.openxmlformats.org/officeDocument/2006/relationships/hyperlink" Target="https://twitter.com/SaraGideon/status/1316033958598107136" TargetMode="External"/><Relationship Id="rId367" Type="http://schemas.openxmlformats.org/officeDocument/2006/relationships/hyperlink" Target="https://twitter.com/SaraGideon/status/1313848560790761472" TargetMode="External"/><Relationship Id="rId171" Type="http://schemas.openxmlformats.org/officeDocument/2006/relationships/hyperlink" Target="https://twitter.com/SaraGideon/status/1320094209072943104" TargetMode="External"/><Relationship Id="rId227" Type="http://schemas.openxmlformats.org/officeDocument/2006/relationships/hyperlink" Target="https://twitter.com/SaraGideon/status/1319300493068423179" TargetMode="External"/><Relationship Id="rId269" Type="http://schemas.openxmlformats.org/officeDocument/2006/relationships/hyperlink" Target="https://twitter.com/SaraGideon/status/1317466114134282240" TargetMode="External"/><Relationship Id="rId33" Type="http://schemas.openxmlformats.org/officeDocument/2006/relationships/hyperlink" Target="https://twitter.com/SaraGideon/status/1323301232140787714" TargetMode="External"/><Relationship Id="rId129" Type="http://schemas.openxmlformats.org/officeDocument/2006/relationships/hyperlink" Target="https://twitter.com/SaraGideon/status/1321594464750706690" TargetMode="External"/><Relationship Id="rId280" Type="http://schemas.openxmlformats.org/officeDocument/2006/relationships/hyperlink" Target="https://twitter.com/SaraGideon/status/1316902390474440704" TargetMode="External"/><Relationship Id="rId336" Type="http://schemas.openxmlformats.org/officeDocument/2006/relationships/hyperlink" Target="https://twitter.com/SaraGideon/status/1315405550440656898" TargetMode="External"/><Relationship Id="rId75" Type="http://schemas.openxmlformats.org/officeDocument/2006/relationships/hyperlink" Target="https://twitter.com/SaraGideon/status/1321980639361470465" TargetMode="External"/><Relationship Id="rId140" Type="http://schemas.openxmlformats.org/officeDocument/2006/relationships/hyperlink" Target="https://twitter.com/SaraGideon/status/1321216290682511362" TargetMode="External"/><Relationship Id="rId182" Type="http://schemas.openxmlformats.org/officeDocument/2006/relationships/hyperlink" Target="https://twitter.com/SaraGideon/status/1319693021332434944" TargetMode="External"/><Relationship Id="rId378" Type="http://schemas.openxmlformats.org/officeDocument/2006/relationships/hyperlink" Target="https://twitter.com/SaraGideon/status/1313206812355842050" TargetMode="External"/><Relationship Id="rId6" Type="http://schemas.openxmlformats.org/officeDocument/2006/relationships/hyperlink" Target="https://twitter.com/SaraGideon/status/1323702837902217220" TargetMode="External"/><Relationship Id="rId238" Type="http://schemas.openxmlformats.org/officeDocument/2006/relationships/hyperlink" Target="https://twitter.com/SaraGideon/status/1318917229065441282" TargetMode="External"/><Relationship Id="rId291" Type="http://schemas.openxmlformats.org/officeDocument/2006/relationships/hyperlink" Target="https://twitter.com/SaraGideon/status/1316897608971976709" TargetMode="External"/><Relationship Id="rId305" Type="http://schemas.openxmlformats.org/officeDocument/2006/relationships/hyperlink" Target="https://twitter.com/SaraGideon/status/1316798443105509376" TargetMode="External"/><Relationship Id="rId347" Type="http://schemas.openxmlformats.org/officeDocument/2006/relationships/hyperlink" Target="https://twitter.com/SaraGideon/status/1314692793042964482" TargetMode="External"/><Relationship Id="rId44" Type="http://schemas.openxmlformats.org/officeDocument/2006/relationships/hyperlink" Target="https://twitter.com/SaraGideon/status/1322973232614486022" TargetMode="External"/><Relationship Id="rId86" Type="http://schemas.openxmlformats.org/officeDocument/2006/relationships/hyperlink" Target="https://twitter.com/SaraGideon/status/1321617519266963456" TargetMode="External"/><Relationship Id="rId151" Type="http://schemas.openxmlformats.org/officeDocument/2006/relationships/hyperlink" Target="https://twitter.com/SaraGideon/status/1320881446299586565" TargetMode="External"/><Relationship Id="rId389" Type="http://schemas.openxmlformats.org/officeDocument/2006/relationships/hyperlink" Target="https://twitter.com/SaraGideon/status/1312470468171984900" TargetMode="External"/><Relationship Id="rId193" Type="http://schemas.openxmlformats.org/officeDocument/2006/relationships/hyperlink" Target="https://twitter.com/SaraGideon/status/1319425633382993920" TargetMode="External"/><Relationship Id="rId207" Type="http://schemas.openxmlformats.org/officeDocument/2006/relationships/hyperlink" Target="https://twitter.com/SaraGideon/status/1319420048075784193" TargetMode="External"/><Relationship Id="rId249" Type="http://schemas.openxmlformats.org/officeDocument/2006/relationships/hyperlink" Target="https://twitter.com/SaraGideon/status/1318291079519752194" TargetMode="External"/><Relationship Id="rId13" Type="http://schemas.openxmlformats.org/officeDocument/2006/relationships/hyperlink" Target="https://twitter.com/SaraGideon/status/1323637759987326978" TargetMode="External"/><Relationship Id="rId109" Type="http://schemas.openxmlformats.org/officeDocument/2006/relationships/hyperlink" Target="https://twitter.com/SaraGideon/status/1321607878801838080" TargetMode="External"/><Relationship Id="rId260" Type="http://schemas.openxmlformats.org/officeDocument/2006/relationships/hyperlink" Target="https://twitter.com/SaraGideon/status/1317582410234712065" TargetMode="External"/><Relationship Id="rId316" Type="http://schemas.openxmlformats.org/officeDocument/2006/relationships/hyperlink" Target="https://twitter.com/SaraGideon/status/1316161265761427457" TargetMode="External"/><Relationship Id="rId55" Type="http://schemas.openxmlformats.org/officeDocument/2006/relationships/hyperlink" Target="https://twitter.com/SaraGideon/status/1322545759070392320" TargetMode="External"/><Relationship Id="rId97" Type="http://schemas.openxmlformats.org/officeDocument/2006/relationships/hyperlink" Target="https://twitter.com/SaraGideon/status/1321611919237746688" TargetMode="External"/><Relationship Id="rId120" Type="http://schemas.openxmlformats.org/officeDocument/2006/relationships/hyperlink" Target="https://twitter.com/SaraGideon/status/1321604667877609473" TargetMode="External"/><Relationship Id="rId358" Type="http://schemas.openxmlformats.org/officeDocument/2006/relationships/hyperlink" Target="https://twitter.com/SaraGideon/status/1314214492281008129" TargetMode="External"/><Relationship Id="rId162" Type="http://schemas.openxmlformats.org/officeDocument/2006/relationships/hyperlink" Target="https://twitter.com/SaraGideon/status/1320488873848393728" TargetMode="External"/><Relationship Id="rId218" Type="http://schemas.openxmlformats.org/officeDocument/2006/relationships/hyperlink" Target="https://twitter.com/SaraGideon/status/1319415309627949056" TargetMode="External"/><Relationship Id="rId271" Type="http://schemas.openxmlformats.org/officeDocument/2006/relationships/hyperlink" Target="https://twitter.com/SaraGideon/status/1317203436140711937" TargetMode="External"/><Relationship Id="rId24" Type="http://schemas.openxmlformats.org/officeDocument/2006/relationships/hyperlink" Target="https://twitter.com/SaraGideon/status/1323393448293126150" TargetMode="External"/><Relationship Id="rId66" Type="http://schemas.openxmlformats.org/officeDocument/2006/relationships/hyperlink" Target="https://twitter.com/SaraGideon/status/1322224434778877953" TargetMode="External"/><Relationship Id="rId131" Type="http://schemas.openxmlformats.org/officeDocument/2006/relationships/hyperlink" Target="https://twitter.com/SaraGideon/status/1321535601041121282" TargetMode="External"/><Relationship Id="rId327" Type="http://schemas.openxmlformats.org/officeDocument/2006/relationships/hyperlink" Target="https://twitter.com/SaraGideon/status/1316018506521997313" TargetMode="External"/><Relationship Id="rId369" Type="http://schemas.openxmlformats.org/officeDocument/2006/relationships/hyperlink" Target="https://twitter.com/SaraGideon/status/1313632226924470272" TargetMode="External"/><Relationship Id="rId173" Type="http://schemas.openxmlformats.org/officeDocument/2006/relationships/hyperlink" Target="https://twitter.com/SaraGideon/status/1320077419974361090" TargetMode="External"/><Relationship Id="rId229" Type="http://schemas.openxmlformats.org/officeDocument/2006/relationships/hyperlink" Target="https://twitter.com/SaraGideon/status/1319266875319123968" TargetMode="External"/><Relationship Id="rId380" Type="http://schemas.openxmlformats.org/officeDocument/2006/relationships/hyperlink" Target="https://twitter.com/SaraGideon/status/1313149653743960065" TargetMode="External"/><Relationship Id="rId240" Type="http://schemas.openxmlformats.org/officeDocument/2006/relationships/hyperlink" Target="https://twitter.com/SaraGideon/status/1318670628480843778" TargetMode="External"/><Relationship Id="rId35" Type="http://schemas.openxmlformats.org/officeDocument/2006/relationships/hyperlink" Target="https://twitter.com/SaraGideon/status/1323291230810329090" TargetMode="External"/><Relationship Id="rId77" Type="http://schemas.openxmlformats.org/officeDocument/2006/relationships/hyperlink" Target="https://twitter.com/SaraGideon/status/1321970564794298368" TargetMode="External"/><Relationship Id="rId100" Type="http://schemas.openxmlformats.org/officeDocument/2006/relationships/hyperlink" Target="https://twitter.com/SaraGideon/status/1321610667208646656" TargetMode="External"/><Relationship Id="rId282" Type="http://schemas.openxmlformats.org/officeDocument/2006/relationships/hyperlink" Target="https://twitter.com/SaraGideon/status/1316902060147736578" TargetMode="External"/><Relationship Id="rId338" Type="http://schemas.openxmlformats.org/officeDocument/2006/relationships/hyperlink" Target="https://twitter.com/SaraGideon/status/1315353582607241217" TargetMode="External"/><Relationship Id="rId8" Type="http://schemas.openxmlformats.org/officeDocument/2006/relationships/hyperlink" Target="https://twitter.com/SaraGideon/status/1323688023238889473" TargetMode="External"/><Relationship Id="rId142" Type="http://schemas.openxmlformats.org/officeDocument/2006/relationships/hyperlink" Target="https://twitter.com/SaraGideon/status/1321199033617207297" TargetMode="External"/><Relationship Id="rId184" Type="http://schemas.openxmlformats.org/officeDocument/2006/relationships/hyperlink" Target="https://twitter.com/SaraGideon/status/1319430716376162309" TargetMode="External"/><Relationship Id="rId391" Type="http://schemas.openxmlformats.org/officeDocument/2006/relationships/hyperlink" Target="https://twitter.com/SaraGideon/status/1312402440252256256" TargetMode="External"/><Relationship Id="rId251" Type="http://schemas.openxmlformats.org/officeDocument/2006/relationships/hyperlink" Target="https://twitter.com/SaraGideon/status/1318232940883726339" TargetMode="External"/><Relationship Id="rId46" Type="http://schemas.openxmlformats.org/officeDocument/2006/relationships/hyperlink" Target="https://twitter.com/SaraGideon/status/1322926942442655744" TargetMode="External"/><Relationship Id="rId293" Type="http://schemas.openxmlformats.org/officeDocument/2006/relationships/hyperlink" Target="https://twitter.com/SaraGideon/status/1316896482579173376" TargetMode="External"/><Relationship Id="rId307" Type="http://schemas.openxmlformats.org/officeDocument/2006/relationships/hyperlink" Target="https://twitter.com/SaraGideon/status/1316760019782823936" TargetMode="External"/><Relationship Id="rId349" Type="http://schemas.openxmlformats.org/officeDocument/2006/relationships/hyperlink" Target="https://twitter.com/SaraGideon/status/1314641089152811014" TargetMode="External"/><Relationship Id="rId88" Type="http://schemas.openxmlformats.org/officeDocument/2006/relationships/hyperlink" Target="https://twitter.com/SaraGideon/status/1321616810362478593" TargetMode="External"/><Relationship Id="rId111" Type="http://schemas.openxmlformats.org/officeDocument/2006/relationships/hyperlink" Target="https://twitter.com/SaraGideon/status/1321607244031631367" TargetMode="External"/><Relationship Id="rId153" Type="http://schemas.openxmlformats.org/officeDocument/2006/relationships/hyperlink" Target="https://twitter.com/SaraGideon/status/1320841834457956353" TargetMode="External"/><Relationship Id="rId195" Type="http://schemas.openxmlformats.org/officeDocument/2006/relationships/hyperlink" Target="https://twitter.com/SaraGideon/status/1319424397770448896" TargetMode="External"/><Relationship Id="rId209" Type="http://schemas.openxmlformats.org/officeDocument/2006/relationships/hyperlink" Target="https://twitter.com/SaraGideon/status/1319419880861466628" TargetMode="External"/><Relationship Id="rId360" Type="http://schemas.openxmlformats.org/officeDocument/2006/relationships/hyperlink" Target="https://twitter.com/SaraGideon/status/1314008186463150080" TargetMode="External"/><Relationship Id="rId220" Type="http://schemas.openxmlformats.org/officeDocument/2006/relationships/hyperlink" Target="https://twitter.com/SaraGideon/status/1319414715706150912" TargetMode="External"/><Relationship Id="rId15" Type="http://schemas.openxmlformats.org/officeDocument/2006/relationships/hyperlink" Target="https://twitter.com/SaraGideon/status/1323612796052033537" TargetMode="External"/><Relationship Id="rId57" Type="http://schemas.openxmlformats.org/officeDocument/2006/relationships/hyperlink" Target="https://twitter.com/SaraGideon/status/1322368001065312262" TargetMode="External"/><Relationship Id="rId262" Type="http://schemas.openxmlformats.org/officeDocument/2006/relationships/hyperlink" Target="https://twitter.com/SaraGideon/status/1317547370008248320" TargetMode="External"/><Relationship Id="rId318" Type="http://schemas.openxmlformats.org/officeDocument/2006/relationships/hyperlink" Target="https://twitter.com/SaraGideon/status/1316108837762539520" TargetMode="External"/><Relationship Id="rId99" Type="http://schemas.openxmlformats.org/officeDocument/2006/relationships/hyperlink" Target="https://twitter.com/SaraGideon/status/1321611084910964742" TargetMode="External"/><Relationship Id="rId122" Type="http://schemas.openxmlformats.org/officeDocument/2006/relationships/hyperlink" Target="https://twitter.com/SaraGideon/status/1321604343079063558" TargetMode="External"/><Relationship Id="rId164" Type="http://schemas.openxmlformats.org/officeDocument/2006/relationships/hyperlink" Target="https://twitter.com/SaraGideon/status/1320445186653257729" TargetMode="External"/><Relationship Id="rId371" Type="http://schemas.openxmlformats.org/officeDocument/2006/relationships/hyperlink" Target="https://twitter.com/SaraGideon/status/1313589671725760513" TargetMode="External"/><Relationship Id="rId26" Type="http://schemas.openxmlformats.org/officeDocument/2006/relationships/hyperlink" Target="https://twitter.com/SaraGideon/status/1323376199024914432" TargetMode="External"/><Relationship Id="rId231" Type="http://schemas.openxmlformats.org/officeDocument/2006/relationships/hyperlink" Target="https://twitter.com/SaraGideon/status/1319047649899745280" TargetMode="External"/><Relationship Id="rId273" Type="http://schemas.openxmlformats.org/officeDocument/2006/relationships/hyperlink" Target="https://twitter.com/SaraGideon/status/1317118001548791810" TargetMode="External"/><Relationship Id="rId329" Type="http://schemas.openxmlformats.org/officeDocument/2006/relationships/hyperlink" Target="https://twitter.com/SaraGideon/status/1315783126149455872" TargetMode="External"/><Relationship Id="rId68" Type="http://schemas.openxmlformats.org/officeDocument/2006/relationships/hyperlink" Target="https://twitter.com/SaraGideon/status/1322200157362991104" TargetMode="External"/><Relationship Id="rId133" Type="http://schemas.openxmlformats.org/officeDocument/2006/relationships/hyperlink" Target="https://twitter.com/SaraGideon/status/1321512682357510146" TargetMode="External"/><Relationship Id="rId175" Type="http://schemas.openxmlformats.org/officeDocument/2006/relationships/hyperlink" Target="https://twitter.com/SaraGideon/status/1320056293084844032" TargetMode="External"/><Relationship Id="rId340" Type="http://schemas.openxmlformats.org/officeDocument/2006/relationships/hyperlink" Target="https://twitter.com/SaraGideon/status/1315311971772895233" TargetMode="External"/><Relationship Id="rId200" Type="http://schemas.openxmlformats.org/officeDocument/2006/relationships/hyperlink" Target="https://twitter.com/SaraGideon/status/1319423487182839808" TargetMode="External"/><Relationship Id="rId382" Type="http://schemas.openxmlformats.org/officeDocument/2006/relationships/hyperlink" Target="https://twitter.com/SaraGideon/status/1313118306228998144"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s://twitter.com/GaryPeters/status/1319301412891840512" TargetMode="External"/><Relationship Id="rId21" Type="http://schemas.openxmlformats.org/officeDocument/2006/relationships/hyperlink" Target="https://twitter.com/GaryPeters/status/1323325785030144002" TargetMode="External"/><Relationship Id="rId42" Type="http://schemas.openxmlformats.org/officeDocument/2006/relationships/hyperlink" Target="https://twitter.com/GaryPeters/status/1322587361759383552" TargetMode="External"/><Relationship Id="rId63" Type="http://schemas.openxmlformats.org/officeDocument/2006/relationships/hyperlink" Target="https://twitter.com/GaryPeters/status/1321857268267257856" TargetMode="External"/><Relationship Id="rId84" Type="http://schemas.openxmlformats.org/officeDocument/2006/relationships/hyperlink" Target="https://twitter.com/GaryPeters/status/1320845764453609475" TargetMode="External"/><Relationship Id="rId138" Type="http://schemas.openxmlformats.org/officeDocument/2006/relationships/hyperlink" Target="https://twitter.com/GaryPeters/status/1318002477371969537" TargetMode="External"/><Relationship Id="rId159" Type="http://schemas.openxmlformats.org/officeDocument/2006/relationships/hyperlink" Target="https://twitter.com/GaryPeters/status/1317132118703693824" TargetMode="External"/><Relationship Id="rId170" Type="http://schemas.openxmlformats.org/officeDocument/2006/relationships/hyperlink" Target="https://twitter.com/GaryPeters/status/1316370475656904704" TargetMode="External"/><Relationship Id="rId191" Type="http://schemas.openxmlformats.org/officeDocument/2006/relationships/hyperlink" Target="https://twitter.com/GaryPeters/status/1315399111907119111" TargetMode="External"/><Relationship Id="rId205" Type="http://schemas.openxmlformats.org/officeDocument/2006/relationships/hyperlink" Target="https://twitter.com/GaryPeters/status/1314713607637209091" TargetMode="External"/><Relationship Id="rId226" Type="http://schemas.openxmlformats.org/officeDocument/2006/relationships/hyperlink" Target="https://twitter.com/GaryPeters/status/1313618578701201408" TargetMode="External"/><Relationship Id="rId107" Type="http://schemas.openxmlformats.org/officeDocument/2006/relationships/hyperlink" Target="https://twitter.com/GaryPeters/status/1319722800396029952" TargetMode="External"/><Relationship Id="rId11" Type="http://schemas.openxmlformats.org/officeDocument/2006/relationships/hyperlink" Target="https://twitter.com/GaryPeters/status/1323596285438357509" TargetMode="External"/><Relationship Id="rId32" Type="http://schemas.openxmlformats.org/officeDocument/2006/relationships/hyperlink" Target="https://twitter.com/GaryPeters/status/1322985503562567681" TargetMode="External"/><Relationship Id="rId53" Type="http://schemas.openxmlformats.org/officeDocument/2006/relationships/hyperlink" Target="https://twitter.com/GaryPeters/status/1322230609494876162" TargetMode="External"/><Relationship Id="rId74" Type="http://schemas.openxmlformats.org/officeDocument/2006/relationships/hyperlink" Target="https://twitter.com/GaryPeters/status/1321476247873085441" TargetMode="External"/><Relationship Id="rId128" Type="http://schemas.openxmlformats.org/officeDocument/2006/relationships/hyperlink" Target="https://twitter.com/GaryPeters/status/1318671333476192272" TargetMode="External"/><Relationship Id="rId149" Type="http://schemas.openxmlformats.org/officeDocument/2006/relationships/hyperlink" Target="https://twitter.com/GaryPeters/status/1317465817282416642" TargetMode="External"/><Relationship Id="rId5" Type="http://schemas.openxmlformats.org/officeDocument/2006/relationships/hyperlink" Target="https://twitter.com/GaryPeters/status/1323723754892152842" TargetMode="External"/><Relationship Id="rId95" Type="http://schemas.openxmlformats.org/officeDocument/2006/relationships/hyperlink" Target="https://twitter.com/GaryPeters/status/1320171836454412288" TargetMode="External"/><Relationship Id="rId160" Type="http://schemas.openxmlformats.org/officeDocument/2006/relationships/hyperlink" Target="https://twitter.com/GaryPeters/status/1316924129069641728" TargetMode="External"/><Relationship Id="rId181" Type="http://schemas.openxmlformats.org/officeDocument/2006/relationships/hyperlink" Target="https://twitter.com/GaryPeters/status/1315808191326883853" TargetMode="External"/><Relationship Id="rId216" Type="http://schemas.openxmlformats.org/officeDocument/2006/relationships/hyperlink" Target="https://twitter.com/GaryPeters/status/1314316317231648770" TargetMode="External"/><Relationship Id="rId237" Type="http://schemas.openxmlformats.org/officeDocument/2006/relationships/hyperlink" Target="https://twitter.com/GaryPeters/status/1312911708361502721" TargetMode="External"/><Relationship Id="rId22" Type="http://schemas.openxmlformats.org/officeDocument/2006/relationships/hyperlink" Target="https://twitter.com/GaryPeters/status/1323311809554747394" TargetMode="External"/><Relationship Id="rId43" Type="http://schemas.openxmlformats.org/officeDocument/2006/relationships/hyperlink" Target="https://twitter.com/GaryPeters/status/1322582417119563781" TargetMode="External"/><Relationship Id="rId64" Type="http://schemas.openxmlformats.org/officeDocument/2006/relationships/hyperlink" Target="https://twitter.com/GaryPeters/status/1321833869453205506" TargetMode="External"/><Relationship Id="rId118" Type="http://schemas.openxmlformats.org/officeDocument/2006/relationships/hyperlink" Target="https://twitter.com/GaryPeters/status/1319088813503881216" TargetMode="External"/><Relationship Id="rId139" Type="http://schemas.openxmlformats.org/officeDocument/2006/relationships/hyperlink" Target="https://twitter.com/GaryPeters/status/1317970508718219266" TargetMode="External"/><Relationship Id="rId85" Type="http://schemas.openxmlformats.org/officeDocument/2006/relationships/hyperlink" Target="https://twitter.com/GaryPeters/status/1320818760496893960" TargetMode="External"/><Relationship Id="rId150" Type="http://schemas.openxmlformats.org/officeDocument/2006/relationships/hyperlink" Target="https://twitter.com/GaryPeters/status/1317272877838761985" TargetMode="External"/><Relationship Id="rId171" Type="http://schemas.openxmlformats.org/officeDocument/2006/relationships/hyperlink" Target="https://twitter.com/GaryPeters/status/1316219311720140803" TargetMode="External"/><Relationship Id="rId192" Type="http://schemas.openxmlformats.org/officeDocument/2006/relationships/hyperlink" Target="https://twitter.com/GaryPeters/status/1315367405443575814" TargetMode="External"/><Relationship Id="rId206" Type="http://schemas.openxmlformats.org/officeDocument/2006/relationships/hyperlink" Target="https://twitter.com/GaryPeters/status/1314704567867781121" TargetMode="External"/><Relationship Id="rId227" Type="http://schemas.openxmlformats.org/officeDocument/2006/relationships/hyperlink" Target="https://twitter.com/GaryPeters/status/1313611989990756353" TargetMode="External"/><Relationship Id="rId12" Type="http://schemas.openxmlformats.org/officeDocument/2006/relationships/hyperlink" Target="https://twitter.com/GaryPeters/status/1323474261500174336" TargetMode="External"/><Relationship Id="rId33" Type="http://schemas.openxmlformats.org/officeDocument/2006/relationships/hyperlink" Target="https://twitter.com/GaryPeters/status/1322984201176731649" TargetMode="External"/><Relationship Id="rId108" Type="http://schemas.openxmlformats.org/officeDocument/2006/relationships/hyperlink" Target="https://twitter.com/GaryPeters/status/1319699299291271169" TargetMode="External"/><Relationship Id="rId129" Type="http://schemas.openxmlformats.org/officeDocument/2006/relationships/hyperlink" Target="https://twitter.com/GaryPeters/status/1318642526228783105" TargetMode="External"/><Relationship Id="rId54" Type="http://schemas.openxmlformats.org/officeDocument/2006/relationships/hyperlink" Target="https://twitter.com/GaryPeters/status/1322194104869072900" TargetMode="External"/><Relationship Id="rId75" Type="http://schemas.openxmlformats.org/officeDocument/2006/relationships/hyperlink" Target="https://twitter.com/GaryPeters/status/1321456411121979398" TargetMode="External"/><Relationship Id="rId96" Type="http://schemas.openxmlformats.org/officeDocument/2006/relationships/hyperlink" Target="https://twitter.com/GaryPeters/status/1320167076661690368" TargetMode="External"/><Relationship Id="rId140" Type="http://schemas.openxmlformats.org/officeDocument/2006/relationships/hyperlink" Target="https://twitter.com/GaryPeters/status/1317919218478743553" TargetMode="External"/><Relationship Id="rId161" Type="http://schemas.openxmlformats.org/officeDocument/2006/relationships/hyperlink" Target="https://twitter.com/GaryPeters/status/1316901467907903489" TargetMode="External"/><Relationship Id="rId182" Type="http://schemas.openxmlformats.org/officeDocument/2006/relationships/hyperlink" Target="https://twitter.com/GaryPeters/status/1315712264473841664" TargetMode="External"/><Relationship Id="rId217" Type="http://schemas.openxmlformats.org/officeDocument/2006/relationships/hyperlink" Target="https://twitter.com/GaryPeters/status/1314297381496725514" TargetMode="External"/><Relationship Id="rId6" Type="http://schemas.openxmlformats.org/officeDocument/2006/relationships/hyperlink" Target="https://twitter.com/GaryPeters/status/1323719274138128384" TargetMode="External"/><Relationship Id="rId238" Type="http://schemas.openxmlformats.org/officeDocument/2006/relationships/hyperlink" Target="https://twitter.com/GaryPeters/status/1312896955232776194" TargetMode="External"/><Relationship Id="rId23" Type="http://schemas.openxmlformats.org/officeDocument/2006/relationships/hyperlink" Target="https://twitter.com/GaryPeters/status/1323295654203084801" TargetMode="External"/><Relationship Id="rId119" Type="http://schemas.openxmlformats.org/officeDocument/2006/relationships/hyperlink" Target="https://twitter.com/GaryPeters/status/1319065641622581255" TargetMode="External"/><Relationship Id="rId44" Type="http://schemas.openxmlformats.org/officeDocument/2006/relationships/hyperlink" Target="https://twitter.com/GaryPeters/status/1322560286927237120" TargetMode="External"/><Relationship Id="rId65" Type="http://schemas.openxmlformats.org/officeDocument/2006/relationships/hyperlink" Target="https://twitter.com/GaryPeters/status/1321824710569664512" TargetMode="External"/><Relationship Id="rId86" Type="http://schemas.openxmlformats.org/officeDocument/2006/relationships/hyperlink" Target="https://twitter.com/GaryPeters/status/1320807192828792832" TargetMode="External"/><Relationship Id="rId130" Type="http://schemas.openxmlformats.org/officeDocument/2006/relationships/hyperlink" Target="https://twitter.com/GaryPeters/status/1318602503794139137" TargetMode="External"/><Relationship Id="rId151" Type="http://schemas.openxmlformats.org/officeDocument/2006/relationships/hyperlink" Target="https://twitter.com/GaryPeters/status/1317263196512800770" TargetMode="External"/><Relationship Id="rId172" Type="http://schemas.openxmlformats.org/officeDocument/2006/relationships/hyperlink" Target="https://twitter.com/GaryPeters/status/1316218556409937920" TargetMode="External"/><Relationship Id="rId193" Type="http://schemas.openxmlformats.org/officeDocument/2006/relationships/hyperlink" Target="https://twitter.com/GaryPeters/status/1315354410269257729" TargetMode="External"/><Relationship Id="rId207" Type="http://schemas.openxmlformats.org/officeDocument/2006/relationships/hyperlink" Target="https://twitter.com/GaryPeters/status/1314686110241640448" TargetMode="External"/><Relationship Id="rId228" Type="http://schemas.openxmlformats.org/officeDocument/2006/relationships/hyperlink" Target="https://twitter.com/GaryPeters/status/1313590672847441920" TargetMode="External"/><Relationship Id="rId13" Type="http://schemas.openxmlformats.org/officeDocument/2006/relationships/hyperlink" Target="https://twitter.com/GaryPeters/status/1323460273001422848" TargetMode="External"/><Relationship Id="rId109" Type="http://schemas.openxmlformats.org/officeDocument/2006/relationships/hyperlink" Target="https://twitter.com/GaryPeters/status/1319662790194401286" TargetMode="External"/><Relationship Id="rId34" Type="http://schemas.openxmlformats.org/officeDocument/2006/relationships/hyperlink" Target="https://twitter.com/GaryPeters/status/1322962487038324745" TargetMode="External"/><Relationship Id="rId55" Type="http://schemas.openxmlformats.org/officeDocument/2006/relationships/hyperlink" Target="https://twitter.com/GaryPeters/status/1322185908389629952" TargetMode="External"/><Relationship Id="rId76" Type="http://schemas.openxmlformats.org/officeDocument/2006/relationships/hyperlink" Target="https://twitter.com/GaryPeters/status/1321273836856332292" TargetMode="External"/><Relationship Id="rId97" Type="http://schemas.openxmlformats.org/officeDocument/2006/relationships/hyperlink" Target="https://twitter.com/GaryPeters/status/1320154499151953920" TargetMode="External"/><Relationship Id="rId120" Type="http://schemas.openxmlformats.org/officeDocument/2006/relationships/hyperlink" Target="https://twitter.com/GaryPeters/status/1319032767150252033" TargetMode="External"/><Relationship Id="rId141" Type="http://schemas.openxmlformats.org/officeDocument/2006/relationships/hyperlink" Target="https://twitter.com/GaryPeters/status/1317866180296794115" TargetMode="External"/><Relationship Id="rId7" Type="http://schemas.openxmlformats.org/officeDocument/2006/relationships/hyperlink" Target="https://twitter.com/GaryPeters/status/1323683030364495877" TargetMode="External"/><Relationship Id="rId162" Type="http://schemas.openxmlformats.org/officeDocument/2006/relationships/hyperlink" Target="https://twitter.com/GaryPeters/status/1316883130339524611" TargetMode="External"/><Relationship Id="rId183" Type="http://schemas.openxmlformats.org/officeDocument/2006/relationships/hyperlink" Target="https://twitter.com/GaryPeters/status/1315662609832726528" TargetMode="External"/><Relationship Id="rId218" Type="http://schemas.openxmlformats.org/officeDocument/2006/relationships/hyperlink" Target="https://twitter.com/GaryPeters/status/1314263180609232896" TargetMode="External"/><Relationship Id="rId239" Type="http://schemas.openxmlformats.org/officeDocument/2006/relationships/hyperlink" Target="https://twitter.com/GaryPeters/status/1312847468787310594" TargetMode="External"/><Relationship Id="rId24" Type="http://schemas.openxmlformats.org/officeDocument/2006/relationships/hyperlink" Target="https://twitter.com/GaryPeters/status/1323276715028844544" TargetMode="External"/><Relationship Id="rId45" Type="http://schemas.openxmlformats.org/officeDocument/2006/relationships/hyperlink" Target="https://twitter.com/GaryPeters/status/1322531808421040130" TargetMode="External"/><Relationship Id="rId66" Type="http://schemas.openxmlformats.org/officeDocument/2006/relationships/hyperlink" Target="https://twitter.com/GaryPeters/status/1321823573355487233" TargetMode="External"/><Relationship Id="rId87" Type="http://schemas.openxmlformats.org/officeDocument/2006/relationships/hyperlink" Target="https://twitter.com/GaryPeters/status/1320774800655163394" TargetMode="External"/><Relationship Id="rId110" Type="http://schemas.openxmlformats.org/officeDocument/2006/relationships/hyperlink" Target="https://twitter.com/GaryPeters/status/1319642922300678146" TargetMode="External"/><Relationship Id="rId131" Type="http://schemas.openxmlformats.org/officeDocument/2006/relationships/hyperlink" Target="https://twitter.com/GaryPeters/status/1318526166895120386" TargetMode="External"/><Relationship Id="rId152" Type="http://schemas.openxmlformats.org/officeDocument/2006/relationships/hyperlink" Target="https://twitter.com/GaryPeters/status/1317225114610663427" TargetMode="External"/><Relationship Id="rId173" Type="http://schemas.openxmlformats.org/officeDocument/2006/relationships/hyperlink" Target="https://twitter.com/GaryPeters/status/1316197205619994626" TargetMode="External"/><Relationship Id="rId194" Type="http://schemas.openxmlformats.org/officeDocument/2006/relationships/hyperlink" Target="https://twitter.com/GaryPeters/status/1315351912686985218" TargetMode="External"/><Relationship Id="rId208" Type="http://schemas.openxmlformats.org/officeDocument/2006/relationships/hyperlink" Target="https://twitter.com/GaryPeters/status/1314646918413377538" TargetMode="External"/><Relationship Id="rId229" Type="http://schemas.openxmlformats.org/officeDocument/2006/relationships/hyperlink" Target="https://twitter.com/GaryPeters/status/1313519329921634304" TargetMode="External"/><Relationship Id="rId240" Type="http://schemas.openxmlformats.org/officeDocument/2006/relationships/hyperlink" Target="https://twitter.com/GaryPeters/status/1312826782568124417" TargetMode="External"/><Relationship Id="rId14" Type="http://schemas.openxmlformats.org/officeDocument/2006/relationships/hyperlink" Target="https://twitter.com/GaryPeters/status/1323434903632044032" TargetMode="External"/><Relationship Id="rId35" Type="http://schemas.openxmlformats.org/officeDocument/2006/relationships/hyperlink" Target="https://twitter.com/GaryPeters/status/1322911339971489793" TargetMode="External"/><Relationship Id="rId56" Type="http://schemas.openxmlformats.org/officeDocument/2006/relationships/hyperlink" Target="https://twitter.com/GaryPeters/status/1321994578015199232" TargetMode="External"/><Relationship Id="rId77" Type="http://schemas.openxmlformats.org/officeDocument/2006/relationships/hyperlink" Target="https://twitter.com/GaryPeters/status/1321232480406511620" TargetMode="External"/><Relationship Id="rId100" Type="http://schemas.openxmlformats.org/officeDocument/2006/relationships/hyperlink" Target="https://twitter.com/GaryPeters/status/1320086001377828865" TargetMode="External"/><Relationship Id="rId8" Type="http://schemas.openxmlformats.org/officeDocument/2006/relationships/hyperlink" Target="https://twitter.com/GaryPeters/status/1323657494389051393" TargetMode="External"/><Relationship Id="rId98" Type="http://schemas.openxmlformats.org/officeDocument/2006/relationships/hyperlink" Target="https://twitter.com/GaryPeters/status/1320142623970103296" TargetMode="External"/><Relationship Id="rId121" Type="http://schemas.openxmlformats.org/officeDocument/2006/relationships/hyperlink" Target="https://twitter.com/GaryPeters/status/1318981419507613702" TargetMode="External"/><Relationship Id="rId142" Type="http://schemas.openxmlformats.org/officeDocument/2006/relationships/hyperlink" Target="https://twitter.com/GaryPeters/status/1317611771251707905" TargetMode="External"/><Relationship Id="rId163" Type="http://schemas.openxmlformats.org/officeDocument/2006/relationships/hyperlink" Target="https://twitter.com/GaryPeters/status/1316826187289767943" TargetMode="External"/><Relationship Id="rId184" Type="http://schemas.openxmlformats.org/officeDocument/2006/relationships/hyperlink" Target="https://twitter.com/GaryPeters/status/1315650007069085696" TargetMode="External"/><Relationship Id="rId219" Type="http://schemas.openxmlformats.org/officeDocument/2006/relationships/hyperlink" Target="https://twitter.com/GaryPeters/status/1314037805627080706" TargetMode="External"/><Relationship Id="rId230" Type="http://schemas.openxmlformats.org/officeDocument/2006/relationships/hyperlink" Target="https://twitter.com/GaryPeters/status/1313477557149466624" TargetMode="External"/><Relationship Id="rId25" Type="http://schemas.openxmlformats.org/officeDocument/2006/relationships/hyperlink" Target="https://twitter.com/GaryPeters/status/1323249031154487299" TargetMode="External"/><Relationship Id="rId46" Type="http://schemas.openxmlformats.org/officeDocument/2006/relationships/hyperlink" Target="https://twitter.com/GaryPeters/status/1322353823520854016" TargetMode="External"/><Relationship Id="rId67" Type="http://schemas.openxmlformats.org/officeDocument/2006/relationships/hyperlink" Target="https://twitter.com/GaryPeters/status/1321801039310368768" TargetMode="External"/><Relationship Id="rId88" Type="http://schemas.openxmlformats.org/officeDocument/2006/relationships/hyperlink" Target="https://twitter.com/GaryPeters/status/1320745674451935232" TargetMode="External"/><Relationship Id="rId111" Type="http://schemas.openxmlformats.org/officeDocument/2006/relationships/hyperlink" Target="https://twitter.com/GaryPeters/status/1319442662160740352" TargetMode="External"/><Relationship Id="rId132" Type="http://schemas.openxmlformats.org/officeDocument/2006/relationships/hyperlink" Target="https://twitter.com/GaryPeters/status/1318387168872701954" TargetMode="External"/><Relationship Id="rId153" Type="http://schemas.openxmlformats.org/officeDocument/2006/relationships/hyperlink" Target="https://twitter.com/GaryPeters/status/1317188646542446592" TargetMode="External"/><Relationship Id="rId174" Type="http://schemas.openxmlformats.org/officeDocument/2006/relationships/hyperlink" Target="https://twitter.com/GaryPeters/status/1316159328093704194" TargetMode="External"/><Relationship Id="rId195" Type="http://schemas.openxmlformats.org/officeDocument/2006/relationships/hyperlink" Target="https://twitter.com/GaryPeters/status/1315306604204568578" TargetMode="External"/><Relationship Id="rId209" Type="http://schemas.openxmlformats.org/officeDocument/2006/relationships/hyperlink" Target="https://twitter.com/GaryPeters/status/1314597781118554112" TargetMode="External"/><Relationship Id="rId220" Type="http://schemas.openxmlformats.org/officeDocument/2006/relationships/hyperlink" Target="https://twitter.com/GaryPeters/status/1314023299236671490" TargetMode="External"/><Relationship Id="rId241" Type="http://schemas.openxmlformats.org/officeDocument/2006/relationships/hyperlink" Target="https://twitter.com/GaryPeters/status/1312535935108567040" TargetMode="External"/><Relationship Id="rId15" Type="http://schemas.openxmlformats.org/officeDocument/2006/relationships/hyperlink" Target="https://twitter.com/GaryPeters/status/1323427626854264832" TargetMode="External"/><Relationship Id="rId36" Type="http://schemas.openxmlformats.org/officeDocument/2006/relationships/hyperlink" Target="https://twitter.com/GaryPeters/status/1322737026777653248" TargetMode="External"/><Relationship Id="rId57" Type="http://schemas.openxmlformats.org/officeDocument/2006/relationships/hyperlink" Target="https://twitter.com/GaryPeters/status/1321982559153233922" TargetMode="External"/><Relationship Id="rId106" Type="http://schemas.openxmlformats.org/officeDocument/2006/relationships/hyperlink" Target="https://twitter.com/GaryPeters/status/1319749285458608131" TargetMode="External"/><Relationship Id="rId127" Type="http://schemas.openxmlformats.org/officeDocument/2006/relationships/hyperlink" Target="https://twitter.com/GaryPeters/status/1318690068090019841" TargetMode="External"/><Relationship Id="rId10" Type="http://schemas.openxmlformats.org/officeDocument/2006/relationships/hyperlink" Target="https://twitter.com/GaryPeters/status/1323617592729313286" TargetMode="External"/><Relationship Id="rId31" Type="http://schemas.openxmlformats.org/officeDocument/2006/relationships/hyperlink" Target="https://twitter.com/GaryPeters/status/1323005081508339717" TargetMode="External"/><Relationship Id="rId52" Type="http://schemas.openxmlformats.org/officeDocument/2006/relationships/hyperlink" Target="https://twitter.com/GaryPeters/status/1322249007645806593" TargetMode="External"/><Relationship Id="rId73" Type="http://schemas.openxmlformats.org/officeDocument/2006/relationships/hyperlink" Target="https://twitter.com/GaryPeters/status/1321504451690172416" TargetMode="External"/><Relationship Id="rId78" Type="http://schemas.openxmlformats.org/officeDocument/2006/relationships/hyperlink" Target="https://twitter.com/GaryPeters/status/1321201810988797952" TargetMode="External"/><Relationship Id="rId94" Type="http://schemas.openxmlformats.org/officeDocument/2006/relationships/hyperlink" Target="https://twitter.com/GaryPeters/status/1320204278246576130" TargetMode="External"/><Relationship Id="rId99" Type="http://schemas.openxmlformats.org/officeDocument/2006/relationships/hyperlink" Target="https://twitter.com/GaryPeters/status/1320116369493557250" TargetMode="External"/><Relationship Id="rId101" Type="http://schemas.openxmlformats.org/officeDocument/2006/relationships/hyperlink" Target="https://twitter.com/GaryPeters/status/1320045994638266368" TargetMode="External"/><Relationship Id="rId122" Type="http://schemas.openxmlformats.org/officeDocument/2006/relationships/hyperlink" Target="https://twitter.com/GaryPeters/status/1318950499169849346" TargetMode="External"/><Relationship Id="rId143" Type="http://schemas.openxmlformats.org/officeDocument/2006/relationships/hyperlink" Target="https://twitter.com/GaryPeters/status/1317599248196587520" TargetMode="External"/><Relationship Id="rId148" Type="http://schemas.openxmlformats.org/officeDocument/2006/relationships/hyperlink" Target="https://twitter.com/GaryPeters/status/1317525776573620226" TargetMode="External"/><Relationship Id="rId164" Type="http://schemas.openxmlformats.org/officeDocument/2006/relationships/hyperlink" Target="https://twitter.com/GaryPeters/status/1316755010064199681" TargetMode="External"/><Relationship Id="rId169" Type="http://schemas.openxmlformats.org/officeDocument/2006/relationships/hyperlink" Target="https://twitter.com/GaryPeters/status/1316431376179224579" TargetMode="External"/><Relationship Id="rId185" Type="http://schemas.openxmlformats.org/officeDocument/2006/relationships/hyperlink" Target="https://twitter.com/GaryPeters/status/1315650005710049281" TargetMode="External"/><Relationship Id="rId4" Type="http://schemas.openxmlformats.org/officeDocument/2006/relationships/hyperlink" Target="https://twitter.com/GaryPeters/status/1323733577566224384" TargetMode="External"/><Relationship Id="rId9" Type="http://schemas.openxmlformats.org/officeDocument/2006/relationships/hyperlink" Target="https://twitter.com/GaryPeters/status/1323636751328563200" TargetMode="External"/><Relationship Id="rId180" Type="http://schemas.openxmlformats.org/officeDocument/2006/relationships/hyperlink" Target="https://twitter.com/GaryPeters/status/1315833341862707200" TargetMode="External"/><Relationship Id="rId210" Type="http://schemas.openxmlformats.org/officeDocument/2006/relationships/hyperlink" Target="https://twitter.com/GaryPeters/status/1314586715621937152" TargetMode="External"/><Relationship Id="rId215" Type="http://schemas.openxmlformats.org/officeDocument/2006/relationships/hyperlink" Target="https://twitter.com/GaryPeters/status/1314354610795143168" TargetMode="External"/><Relationship Id="rId236" Type="http://schemas.openxmlformats.org/officeDocument/2006/relationships/hyperlink" Target="https://twitter.com/GaryPeters/status/1313116869549871104" TargetMode="External"/><Relationship Id="rId26" Type="http://schemas.openxmlformats.org/officeDocument/2006/relationships/hyperlink" Target="https://twitter.com/GaryPeters/status/1323092347538857984" TargetMode="External"/><Relationship Id="rId231" Type="http://schemas.openxmlformats.org/officeDocument/2006/relationships/hyperlink" Target="https://twitter.com/GaryPeters/status/1313281307548495873" TargetMode="External"/><Relationship Id="rId47" Type="http://schemas.openxmlformats.org/officeDocument/2006/relationships/hyperlink" Target="https://twitter.com/GaryPeters/status/1322335153738403840" TargetMode="External"/><Relationship Id="rId68" Type="http://schemas.openxmlformats.org/officeDocument/2006/relationships/hyperlink" Target="https://twitter.com/GaryPeters/status/1321629574418096129" TargetMode="External"/><Relationship Id="rId89" Type="http://schemas.openxmlformats.org/officeDocument/2006/relationships/hyperlink" Target="https://twitter.com/GaryPeters/status/1320538311157551104" TargetMode="External"/><Relationship Id="rId112" Type="http://schemas.openxmlformats.org/officeDocument/2006/relationships/hyperlink" Target="https://twitter.com/GaryPeters/status/1319434028005588992" TargetMode="External"/><Relationship Id="rId133" Type="http://schemas.openxmlformats.org/officeDocument/2006/relationships/hyperlink" Target="https://twitter.com/GaryPeters/status/1318348203113304068" TargetMode="External"/><Relationship Id="rId154" Type="http://schemas.openxmlformats.org/officeDocument/2006/relationships/hyperlink" Target="https://twitter.com/GaryPeters/status/1317183792801550336" TargetMode="External"/><Relationship Id="rId175" Type="http://schemas.openxmlformats.org/officeDocument/2006/relationships/hyperlink" Target="https://twitter.com/GaryPeters/status/1316146598578204674" TargetMode="External"/><Relationship Id="rId196" Type="http://schemas.openxmlformats.org/officeDocument/2006/relationships/hyperlink" Target="https://twitter.com/GaryPeters/status/1315095417915346944" TargetMode="External"/><Relationship Id="rId200" Type="http://schemas.openxmlformats.org/officeDocument/2006/relationships/hyperlink" Target="https://twitter.com/GaryPeters/status/1315038898574196737" TargetMode="External"/><Relationship Id="rId16" Type="http://schemas.openxmlformats.org/officeDocument/2006/relationships/hyperlink" Target="https://twitter.com/GaryPeters/status/1323414420320624640" TargetMode="External"/><Relationship Id="rId221" Type="http://schemas.openxmlformats.org/officeDocument/2006/relationships/hyperlink" Target="https://twitter.com/GaryPeters/status/1313990593169821696" TargetMode="External"/><Relationship Id="rId242" Type="http://schemas.openxmlformats.org/officeDocument/2006/relationships/hyperlink" Target="https://twitter.com/GaryPeters/status/1312518979835973634" TargetMode="External"/><Relationship Id="rId37" Type="http://schemas.openxmlformats.org/officeDocument/2006/relationships/hyperlink" Target="https://twitter.com/GaryPeters/status/1322704801281564672" TargetMode="External"/><Relationship Id="rId58" Type="http://schemas.openxmlformats.org/officeDocument/2006/relationships/hyperlink" Target="https://twitter.com/GaryPeters/status/1321962532693774337" TargetMode="External"/><Relationship Id="rId79" Type="http://schemas.openxmlformats.org/officeDocument/2006/relationships/hyperlink" Target="https://twitter.com/GaryPeters/status/1321161992179245058" TargetMode="External"/><Relationship Id="rId102" Type="http://schemas.openxmlformats.org/officeDocument/2006/relationships/hyperlink" Target="https://twitter.com/GaryPeters/status/1319832030415343617" TargetMode="External"/><Relationship Id="rId123" Type="http://schemas.openxmlformats.org/officeDocument/2006/relationships/hyperlink" Target="https://twitter.com/GaryPeters/status/1318928151427338241" TargetMode="External"/><Relationship Id="rId144" Type="http://schemas.openxmlformats.org/officeDocument/2006/relationships/hyperlink" Target="https://twitter.com/GaryPeters/status/1317594874452058114" TargetMode="External"/><Relationship Id="rId90" Type="http://schemas.openxmlformats.org/officeDocument/2006/relationships/hyperlink" Target="https://twitter.com/GaryPeters/status/1320486723911065600" TargetMode="External"/><Relationship Id="rId165" Type="http://schemas.openxmlformats.org/officeDocument/2006/relationships/hyperlink" Target="https://twitter.com/GaryPeters/status/1316540488359514116" TargetMode="External"/><Relationship Id="rId186" Type="http://schemas.openxmlformats.org/officeDocument/2006/relationships/hyperlink" Target="https://twitter.com/GaryPeters/status/1315650004481122304" TargetMode="External"/><Relationship Id="rId211" Type="http://schemas.openxmlformats.org/officeDocument/2006/relationships/hyperlink" Target="https://twitter.com/GaryPeters/status/1314548918454190080" TargetMode="External"/><Relationship Id="rId232" Type="http://schemas.openxmlformats.org/officeDocument/2006/relationships/hyperlink" Target="https://twitter.com/GaryPeters/status/1313248550608867328" TargetMode="External"/><Relationship Id="rId27" Type="http://schemas.openxmlformats.org/officeDocument/2006/relationships/hyperlink" Target="https://twitter.com/GaryPeters/status/1323084526227230721" TargetMode="External"/><Relationship Id="rId48" Type="http://schemas.openxmlformats.org/officeDocument/2006/relationships/hyperlink" Target="https://twitter.com/GaryPeters/status/1322314754657034247" TargetMode="External"/><Relationship Id="rId69" Type="http://schemas.openxmlformats.org/officeDocument/2006/relationships/hyperlink" Target="https://twitter.com/GaryPeters/status/1321612864600363010" TargetMode="External"/><Relationship Id="rId113" Type="http://schemas.openxmlformats.org/officeDocument/2006/relationships/hyperlink" Target="https://twitter.com/GaryPeters/status/1319403371359514630" TargetMode="External"/><Relationship Id="rId134" Type="http://schemas.openxmlformats.org/officeDocument/2006/relationships/hyperlink" Target="https://twitter.com/GaryPeters/status/1318313923536441344" TargetMode="External"/><Relationship Id="rId80" Type="http://schemas.openxmlformats.org/officeDocument/2006/relationships/hyperlink" Target="https://twitter.com/GaryPeters/status/1321115897155772418" TargetMode="External"/><Relationship Id="rId155" Type="http://schemas.openxmlformats.org/officeDocument/2006/relationships/hyperlink" Target="https://twitter.com/GaryPeters/status/1317168669017935877" TargetMode="External"/><Relationship Id="rId176" Type="http://schemas.openxmlformats.org/officeDocument/2006/relationships/hyperlink" Target="https://twitter.com/GaryPeters/status/1316127193244860416" TargetMode="External"/><Relationship Id="rId197" Type="http://schemas.openxmlformats.org/officeDocument/2006/relationships/hyperlink" Target="https://twitter.com/GaryPeters/status/1315079026164330499" TargetMode="External"/><Relationship Id="rId201" Type="http://schemas.openxmlformats.org/officeDocument/2006/relationships/hyperlink" Target="https://twitter.com/GaryPeters/status/1315014579626430465" TargetMode="External"/><Relationship Id="rId222" Type="http://schemas.openxmlformats.org/officeDocument/2006/relationships/hyperlink" Target="https://twitter.com/GaryPeters/status/1313943318406017027" TargetMode="External"/><Relationship Id="rId243" Type="http://schemas.openxmlformats.org/officeDocument/2006/relationships/table" Target="../tables/table9.xml"/><Relationship Id="rId17" Type="http://schemas.openxmlformats.org/officeDocument/2006/relationships/hyperlink" Target="https://twitter.com/GaryPeters/status/1323401665509269505" TargetMode="External"/><Relationship Id="rId38" Type="http://schemas.openxmlformats.org/officeDocument/2006/relationships/hyperlink" Target="https://twitter.com/GaryPeters/status/1322688756638502913" TargetMode="External"/><Relationship Id="rId59" Type="http://schemas.openxmlformats.org/officeDocument/2006/relationships/hyperlink" Target="https://twitter.com/GaryPeters/status/1321936816451293187" TargetMode="External"/><Relationship Id="rId103" Type="http://schemas.openxmlformats.org/officeDocument/2006/relationships/hyperlink" Target="https://twitter.com/GaryPeters/status/1319807909170216962" TargetMode="External"/><Relationship Id="rId124" Type="http://schemas.openxmlformats.org/officeDocument/2006/relationships/hyperlink" Target="https://twitter.com/GaryPeters/status/1318729953014353927" TargetMode="External"/><Relationship Id="rId70" Type="http://schemas.openxmlformats.org/officeDocument/2006/relationships/hyperlink" Target="https://twitter.com/GaryPeters/status/1321578239375060992" TargetMode="External"/><Relationship Id="rId91" Type="http://schemas.openxmlformats.org/officeDocument/2006/relationships/hyperlink" Target="https://twitter.com/GaryPeters/status/1320460877393498118" TargetMode="External"/><Relationship Id="rId145" Type="http://schemas.openxmlformats.org/officeDocument/2006/relationships/hyperlink" Target="https://twitter.com/GaryPeters/status/1317572005965725696" TargetMode="External"/><Relationship Id="rId166" Type="http://schemas.openxmlformats.org/officeDocument/2006/relationships/hyperlink" Target="https://twitter.com/GaryPeters/status/1316534670838968320" TargetMode="External"/><Relationship Id="rId187" Type="http://schemas.openxmlformats.org/officeDocument/2006/relationships/hyperlink" Target="https://twitter.com/GaryPeters/status/1315440416922185728" TargetMode="External"/><Relationship Id="rId1" Type="http://schemas.openxmlformats.org/officeDocument/2006/relationships/hyperlink" Target="https://twitter.com/GaryPeters/status/1323767078357270533" TargetMode="External"/><Relationship Id="rId212" Type="http://schemas.openxmlformats.org/officeDocument/2006/relationships/hyperlink" Target="https://twitter.com/GaryPeters/status/1314391747989057536" TargetMode="External"/><Relationship Id="rId233" Type="http://schemas.openxmlformats.org/officeDocument/2006/relationships/hyperlink" Target="https://twitter.com/GaryPeters/status/1313210944235896837" TargetMode="External"/><Relationship Id="rId28" Type="http://schemas.openxmlformats.org/officeDocument/2006/relationships/hyperlink" Target="https://twitter.com/GaryPeters/status/1323082000841015297" TargetMode="External"/><Relationship Id="rId49" Type="http://schemas.openxmlformats.org/officeDocument/2006/relationships/hyperlink" Target="https://twitter.com/GaryPeters/status/1322305171372843008" TargetMode="External"/><Relationship Id="rId114" Type="http://schemas.openxmlformats.org/officeDocument/2006/relationships/hyperlink" Target="https://twitter.com/GaryPeters/status/1319363408983183362" TargetMode="External"/><Relationship Id="rId60" Type="http://schemas.openxmlformats.org/officeDocument/2006/relationships/hyperlink" Target="https://twitter.com/GaryPeters/status/1321920364973334531" TargetMode="External"/><Relationship Id="rId81" Type="http://schemas.openxmlformats.org/officeDocument/2006/relationships/hyperlink" Target="https://twitter.com/GaryPeters/status/1321093109850263560" TargetMode="External"/><Relationship Id="rId135" Type="http://schemas.openxmlformats.org/officeDocument/2006/relationships/hyperlink" Target="https://twitter.com/GaryPeters/status/1318281314932580357" TargetMode="External"/><Relationship Id="rId156" Type="http://schemas.openxmlformats.org/officeDocument/2006/relationships/hyperlink" Target="https://twitter.com/GaryPeters/status/1317162135567388674" TargetMode="External"/><Relationship Id="rId177" Type="http://schemas.openxmlformats.org/officeDocument/2006/relationships/hyperlink" Target="https://twitter.com/GaryPeters/status/1316094661786771457" TargetMode="External"/><Relationship Id="rId198" Type="http://schemas.openxmlformats.org/officeDocument/2006/relationships/hyperlink" Target="https://twitter.com/GaryPeters/status/1315066811768025091" TargetMode="External"/><Relationship Id="rId202" Type="http://schemas.openxmlformats.org/officeDocument/2006/relationships/hyperlink" Target="https://twitter.com/GaryPeters/status/1314978814238355456" TargetMode="External"/><Relationship Id="rId223" Type="http://schemas.openxmlformats.org/officeDocument/2006/relationships/hyperlink" Target="https://twitter.com/GaryPeters/status/1313881914160427010" TargetMode="External"/><Relationship Id="rId18" Type="http://schemas.openxmlformats.org/officeDocument/2006/relationships/hyperlink" Target="https://twitter.com/GaryPeters/status/1323386681643442176" TargetMode="External"/><Relationship Id="rId39" Type="http://schemas.openxmlformats.org/officeDocument/2006/relationships/hyperlink" Target="https://twitter.com/GaryPeters/status/1322639985795883009" TargetMode="External"/><Relationship Id="rId50" Type="http://schemas.openxmlformats.org/officeDocument/2006/relationships/hyperlink" Target="https://twitter.com/GaryPeters/status/1322297260303097864" TargetMode="External"/><Relationship Id="rId104" Type="http://schemas.openxmlformats.org/officeDocument/2006/relationships/hyperlink" Target="https://twitter.com/GaryPeters/status/1319786686742728704" TargetMode="External"/><Relationship Id="rId125" Type="http://schemas.openxmlformats.org/officeDocument/2006/relationships/hyperlink" Target="https://twitter.com/GaryPeters/status/1318716398785482753" TargetMode="External"/><Relationship Id="rId146" Type="http://schemas.openxmlformats.org/officeDocument/2006/relationships/hyperlink" Target="https://twitter.com/GaryPeters/status/1317569736184631296" TargetMode="External"/><Relationship Id="rId167" Type="http://schemas.openxmlformats.org/officeDocument/2006/relationships/hyperlink" Target="https://twitter.com/GaryPeters/status/1316475823214522375" TargetMode="External"/><Relationship Id="rId188" Type="http://schemas.openxmlformats.org/officeDocument/2006/relationships/hyperlink" Target="https://twitter.com/GaryPeters/status/1315440067721256961" TargetMode="External"/><Relationship Id="rId71" Type="http://schemas.openxmlformats.org/officeDocument/2006/relationships/hyperlink" Target="https://twitter.com/GaryPeters/status/1321555030256852992" TargetMode="External"/><Relationship Id="rId92" Type="http://schemas.openxmlformats.org/officeDocument/2006/relationships/hyperlink" Target="https://twitter.com/GaryPeters/status/1320438240009195522" TargetMode="External"/><Relationship Id="rId213" Type="http://schemas.openxmlformats.org/officeDocument/2006/relationships/hyperlink" Target="https://twitter.com/GaryPeters/status/1314379425690062853" TargetMode="External"/><Relationship Id="rId234" Type="http://schemas.openxmlformats.org/officeDocument/2006/relationships/hyperlink" Target="https://twitter.com/GaryPeters/status/1313193086646980608" TargetMode="External"/><Relationship Id="rId2" Type="http://schemas.openxmlformats.org/officeDocument/2006/relationships/hyperlink" Target="https://twitter.com/GaryPeters/status/1323751398979362817" TargetMode="External"/><Relationship Id="rId29" Type="http://schemas.openxmlformats.org/officeDocument/2006/relationships/hyperlink" Target="https://twitter.com/GaryPeters/status/1323051766385180674" TargetMode="External"/><Relationship Id="rId40" Type="http://schemas.openxmlformats.org/officeDocument/2006/relationships/hyperlink" Target="https://twitter.com/GaryPeters/status/1322621996535062531" TargetMode="External"/><Relationship Id="rId115" Type="http://schemas.openxmlformats.org/officeDocument/2006/relationships/hyperlink" Target="https://twitter.com/GaryPeters/status/1319340677407309824" TargetMode="External"/><Relationship Id="rId136" Type="http://schemas.openxmlformats.org/officeDocument/2006/relationships/hyperlink" Target="https://twitter.com/GaryPeters/status/1318261512377696262" TargetMode="External"/><Relationship Id="rId157" Type="http://schemas.openxmlformats.org/officeDocument/2006/relationships/hyperlink" Target="https://twitter.com/GaryPeters/status/1317150528367898630" TargetMode="External"/><Relationship Id="rId178" Type="http://schemas.openxmlformats.org/officeDocument/2006/relationships/hyperlink" Target="https://twitter.com/GaryPeters/status/1316075139889496066" TargetMode="External"/><Relationship Id="rId61" Type="http://schemas.openxmlformats.org/officeDocument/2006/relationships/hyperlink" Target="https://twitter.com/GaryPeters/status/1321892068248178689" TargetMode="External"/><Relationship Id="rId82" Type="http://schemas.openxmlformats.org/officeDocument/2006/relationships/hyperlink" Target="https://twitter.com/GaryPeters/status/1320881758687154176" TargetMode="External"/><Relationship Id="rId199" Type="http://schemas.openxmlformats.org/officeDocument/2006/relationships/hyperlink" Target="https://twitter.com/GaryPeters/status/1315057772640206848" TargetMode="External"/><Relationship Id="rId203" Type="http://schemas.openxmlformats.org/officeDocument/2006/relationships/hyperlink" Target="https://twitter.com/GaryPeters/status/1314945196443000835" TargetMode="External"/><Relationship Id="rId19" Type="http://schemas.openxmlformats.org/officeDocument/2006/relationships/hyperlink" Target="https://twitter.com/GaryPeters/status/1323369371327221760" TargetMode="External"/><Relationship Id="rId224" Type="http://schemas.openxmlformats.org/officeDocument/2006/relationships/hyperlink" Target="https://twitter.com/GaryPeters/status/1313855874142801921" TargetMode="External"/><Relationship Id="rId30" Type="http://schemas.openxmlformats.org/officeDocument/2006/relationships/hyperlink" Target="https://twitter.com/GaryPeters/status/1323027532384555009" TargetMode="External"/><Relationship Id="rId105" Type="http://schemas.openxmlformats.org/officeDocument/2006/relationships/hyperlink" Target="https://twitter.com/GaryPeters/status/1319751310615478280" TargetMode="External"/><Relationship Id="rId126" Type="http://schemas.openxmlformats.org/officeDocument/2006/relationships/hyperlink" Target="https://twitter.com/GaryPeters/status/1318705662172499970" TargetMode="External"/><Relationship Id="rId147" Type="http://schemas.openxmlformats.org/officeDocument/2006/relationships/hyperlink" Target="https://twitter.com/GaryPeters/status/1317562080300474368" TargetMode="External"/><Relationship Id="rId168" Type="http://schemas.openxmlformats.org/officeDocument/2006/relationships/hyperlink" Target="https://twitter.com/GaryPeters/status/1316453638181617667" TargetMode="External"/><Relationship Id="rId51" Type="http://schemas.openxmlformats.org/officeDocument/2006/relationships/hyperlink" Target="https://twitter.com/GaryPeters/status/1322265160594194440" TargetMode="External"/><Relationship Id="rId72" Type="http://schemas.openxmlformats.org/officeDocument/2006/relationships/hyperlink" Target="https://twitter.com/GaryPeters/status/1321512411116015617" TargetMode="External"/><Relationship Id="rId93" Type="http://schemas.openxmlformats.org/officeDocument/2006/relationships/hyperlink" Target="https://twitter.com/GaryPeters/status/1320386912721526785" TargetMode="External"/><Relationship Id="rId189" Type="http://schemas.openxmlformats.org/officeDocument/2006/relationships/hyperlink" Target="https://twitter.com/GaryPeters/status/1315426118577655810" TargetMode="External"/><Relationship Id="rId3" Type="http://schemas.openxmlformats.org/officeDocument/2006/relationships/hyperlink" Target="https://twitter.com/GaryPeters/status/1323741640352215040" TargetMode="External"/><Relationship Id="rId214" Type="http://schemas.openxmlformats.org/officeDocument/2006/relationships/hyperlink" Target="https://twitter.com/GaryPeters/status/1314369736487165953" TargetMode="External"/><Relationship Id="rId235" Type="http://schemas.openxmlformats.org/officeDocument/2006/relationships/hyperlink" Target="https://twitter.com/GaryPeters/status/1313174247045500928" TargetMode="External"/><Relationship Id="rId116" Type="http://schemas.openxmlformats.org/officeDocument/2006/relationships/hyperlink" Target="https://twitter.com/GaryPeters/status/1319337154464591872" TargetMode="External"/><Relationship Id="rId137" Type="http://schemas.openxmlformats.org/officeDocument/2006/relationships/hyperlink" Target="https://twitter.com/GaryPeters/status/1318215366544338948" TargetMode="External"/><Relationship Id="rId158" Type="http://schemas.openxmlformats.org/officeDocument/2006/relationships/hyperlink" Target="https://twitter.com/GaryPeters/status/1317134993618046978" TargetMode="External"/><Relationship Id="rId20" Type="http://schemas.openxmlformats.org/officeDocument/2006/relationships/hyperlink" Target="https://twitter.com/GaryPeters/status/1323360066863595520" TargetMode="External"/><Relationship Id="rId41" Type="http://schemas.openxmlformats.org/officeDocument/2006/relationships/hyperlink" Target="https://twitter.com/GaryPeters/status/1322613743893831681" TargetMode="External"/><Relationship Id="rId62" Type="http://schemas.openxmlformats.org/officeDocument/2006/relationships/hyperlink" Target="https://twitter.com/GaryPeters/status/1321864974126514180" TargetMode="External"/><Relationship Id="rId83" Type="http://schemas.openxmlformats.org/officeDocument/2006/relationships/hyperlink" Target="https://twitter.com/GaryPeters/status/1320866126830751747" TargetMode="External"/><Relationship Id="rId179" Type="http://schemas.openxmlformats.org/officeDocument/2006/relationships/hyperlink" Target="https://twitter.com/GaryPeters/status/1316037726966292480" TargetMode="External"/><Relationship Id="rId190" Type="http://schemas.openxmlformats.org/officeDocument/2006/relationships/hyperlink" Target="https://twitter.com/GaryPeters/status/1315408792453087238" TargetMode="External"/><Relationship Id="rId204" Type="http://schemas.openxmlformats.org/officeDocument/2006/relationships/hyperlink" Target="https://twitter.com/GaryPeters/status/1314724738607054857" TargetMode="External"/><Relationship Id="rId225" Type="http://schemas.openxmlformats.org/officeDocument/2006/relationships/hyperlink" Target="https://twitter.com/GaryPeters/status/131365138204246425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0FBF0-241D-AF43-9A01-ED4880C12AF2}">
  <dimension ref="A1:AD95"/>
  <sheetViews>
    <sheetView topLeftCell="E1" zoomScale="113" zoomScaleNormal="113" workbookViewId="0">
      <selection activeCell="J1" sqref="J1:J1048576"/>
    </sheetView>
  </sheetViews>
  <sheetFormatPr defaultColWidth="11.42578125" defaultRowHeight="15" x14ac:dyDescent="0.25"/>
  <cols>
    <col min="1" max="1" width="13.42578125" customWidth="1"/>
    <col min="2" max="2" width="37.85546875" customWidth="1"/>
    <col min="3" max="3" width="37.85546875" style="26" customWidth="1"/>
    <col min="4" max="4" width="16" customWidth="1"/>
    <col min="5" max="5" width="22.85546875" customWidth="1"/>
    <col min="6" max="6" width="10.28515625" customWidth="1"/>
    <col min="7" max="7" width="14.28515625" customWidth="1"/>
    <col min="8" max="8" width="15.42578125" customWidth="1"/>
    <col min="11" max="11" width="14.140625" customWidth="1"/>
    <col min="12" max="12" width="16.42578125" customWidth="1"/>
    <col min="13" max="13" width="37.140625" customWidth="1"/>
    <col min="14" max="14" width="14.85546875" customWidth="1"/>
    <col min="15" max="15" width="21" customWidth="1"/>
    <col min="16" max="16" width="20" customWidth="1"/>
    <col min="17" max="17" width="16" customWidth="1"/>
    <col min="18" max="20" width="34.7109375" customWidth="1"/>
    <col min="21" max="21" width="21.42578125" customWidth="1"/>
    <col min="22" max="22" width="13.42578125" customWidth="1"/>
    <col min="23" max="23" width="19.42578125" customWidth="1"/>
    <col min="25" max="25" width="26" customWidth="1"/>
    <col min="26" max="26" width="20.140625" customWidth="1"/>
    <col min="28" max="28" width="15.28515625" customWidth="1"/>
  </cols>
  <sheetData>
    <row r="1" spans="1:30" ht="88.5" customHeight="1" x14ac:dyDescent="0.25">
      <c r="A1" s="47" t="s">
        <v>0</v>
      </c>
      <c r="B1" s="48" t="s">
        <v>1</v>
      </c>
      <c r="C1" s="49" t="s">
        <v>2</v>
      </c>
      <c r="D1" s="50" t="s">
        <v>3</v>
      </c>
      <c r="E1" s="50" t="s">
        <v>4</v>
      </c>
      <c r="F1" s="50" t="s">
        <v>5</v>
      </c>
      <c r="G1" s="50" t="s">
        <v>6</v>
      </c>
      <c r="H1" s="48" t="s">
        <v>7</v>
      </c>
      <c r="I1" s="48" t="s">
        <v>8</v>
      </c>
      <c r="J1" s="48" t="s">
        <v>9</v>
      </c>
      <c r="K1" s="48" t="s">
        <v>10</v>
      </c>
      <c r="L1" s="48" t="s">
        <v>11</v>
      </c>
      <c r="M1" s="48" t="s">
        <v>12</v>
      </c>
      <c r="N1" s="48" t="s">
        <v>13</v>
      </c>
      <c r="O1" s="48" t="s">
        <v>14</v>
      </c>
      <c r="P1" s="48" t="s">
        <v>15</v>
      </c>
      <c r="Q1" s="48" t="s">
        <v>16</v>
      </c>
      <c r="R1" s="48" t="s">
        <v>17</v>
      </c>
      <c r="S1" s="48" t="s">
        <v>9149</v>
      </c>
      <c r="T1" s="48" t="s">
        <v>9150</v>
      </c>
      <c r="U1" s="48" t="s">
        <v>18</v>
      </c>
      <c r="V1" s="48" t="s">
        <v>19</v>
      </c>
      <c r="W1" s="48" t="s">
        <v>20</v>
      </c>
      <c r="X1" s="48" t="s">
        <v>21</v>
      </c>
      <c r="Y1" s="48" t="s">
        <v>22</v>
      </c>
      <c r="Z1" s="48" t="s">
        <v>23</v>
      </c>
      <c r="AA1" s="48" t="s">
        <v>24</v>
      </c>
      <c r="AB1" s="48" t="s">
        <v>25</v>
      </c>
      <c r="AC1" s="48" t="s">
        <v>26</v>
      </c>
      <c r="AD1" s="51" t="s">
        <v>27</v>
      </c>
    </row>
    <row r="2" spans="1:30" ht="18.75" customHeight="1" x14ac:dyDescent="0.25">
      <c r="A2" s="36">
        <v>1</v>
      </c>
      <c r="B2" s="14" t="s">
        <v>28</v>
      </c>
      <c r="C2" s="31" t="s">
        <v>29</v>
      </c>
      <c r="D2" s="17">
        <v>44138</v>
      </c>
      <c r="E2" s="14" t="s">
        <v>30</v>
      </c>
      <c r="F2" s="14">
        <v>2356</v>
      </c>
      <c r="G2" s="14">
        <v>477</v>
      </c>
      <c r="H2" s="14">
        <v>1</v>
      </c>
      <c r="I2" s="14">
        <v>1</v>
      </c>
      <c r="J2" s="14" t="s">
        <v>31</v>
      </c>
      <c r="K2" s="14" cm="1">
        <f t="array" ref="K2">INT(SUMPRODUCT(--ISNUMBER(SEARCH(economy,'Martha McSally'!C2)))&gt;0)</f>
        <v>0</v>
      </c>
      <c r="L2" s="14" cm="1">
        <f t="array" ref="L2">INT(SUMPRODUCT(--ISNUMBER(SEARCH(healthcare,'Martha McSally'!C2)))&gt;0)</f>
        <v>0</v>
      </c>
      <c r="M2" s="14" cm="1">
        <f t="array" ref="M2">INT(SUMPRODUCT(--ISNUMBER(SEARCH(supreme,'Martha McSally'!C2)))&gt;0)</f>
        <v>0</v>
      </c>
      <c r="N2" s="14" cm="1">
        <f t="array" ref="N2">INT(SUMPRODUCT(--ISNUMBER(SEARCH(covid,'Martha McSally'!C2)))&gt;0)</f>
        <v>0</v>
      </c>
      <c r="O2" s="14" cm="1">
        <f t="array" ref="O2">INT(SUMPRODUCT(--ISNUMBER(SEARCH(violent,'Martha McSally'!C2)))&gt;0)</f>
        <v>0</v>
      </c>
      <c r="P2" s="14" cm="1">
        <f t="array" ref="P2">INT(SUMPRODUCT(--ISNUMBER(SEARCH(foreign,'Martha McSally'!C2)))&gt;0)</f>
        <v>0</v>
      </c>
      <c r="Q2" s="14" cm="1">
        <f t="array" ref="Q2">INT(SUMPRODUCT(--ISNUMBER(SEARCH(gun,'Martha McSally'!C2)))&gt;0)</f>
        <v>0</v>
      </c>
      <c r="R2" s="14" cm="1">
        <f t="array" ref="R2">INT(SUMPRODUCT(--ISNUMBER(SEARCH(race,'Martha McSally'!C2)))&gt;0)</f>
        <v>0</v>
      </c>
      <c r="S2" s="14" cm="1">
        <f t="array" ref="S2">INT(SUMPRODUCT(--ISNUMBER(SEARCH(immigration,C2)))&gt;0)</f>
        <v>0</v>
      </c>
      <c r="T2" s="14" cm="1">
        <f t="array" ref="T2">INT(SUMPRODUCT(--ISNUMBER(SEARCH(econineq,C2)))&gt;0)</f>
        <v>0</v>
      </c>
      <c r="U2" s="14" cm="1">
        <f t="array" ref="U2">INT(SUMPRODUCT(--ISNUMBER(SEARCH(climate,'Martha McSally'!C2)))&gt;0)</f>
        <v>0</v>
      </c>
      <c r="V2" s="14" cm="1">
        <f t="array" ref="V2">INT(SUMPRODUCT(--ISNUMBER(SEARCH(abortion,'Martha McSally'!C2)))&gt;0)</f>
        <v>0</v>
      </c>
      <c r="W2" s="14" cm="1">
        <f t="array" ref="W2">INT(SUMPRODUCT(--ISNUMBER(SEARCH(trump,'Martha McSally'!C2)))&gt;0)</f>
        <v>0</v>
      </c>
      <c r="X2" s="14" cm="1">
        <f t="array" ref="X2">INT(SUMPRODUCT(--ISNUMBER(SEARCH(voting,'Martha McSally'!C2)))&gt;0)</f>
        <v>1</v>
      </c>
      <c r="Y2" s="14" cm="1">
        <f t="array" ref="Y2">INT(SUMPRODUCT(--ISNUMBER(SEARCH(republicantrigger,'Martha McSally'!C2)))&gt;0)</f>
        <v>0</v>
      </c>
      <c r="Z2" s="23" cm="1">
        <f t="array" ref="Z2">INT(SUMPRODUCT(--ISNUMBER(SEARCH(bipartisan,'Martha McSally'!C2)))&gt;0)</f>
        <v>0</v>
      </c>
      <c r="AA2" s="23">
        <f>INT(IF(COUNTIF(K2:Z2,1)=0,"1","0"))</f>
        <v>0</v>
      </c>
      <c r="AB2" s="29"/>
      <c r="AC2" s="30">
        <v>0</v>
      </c>
      <c r="AD2" s="37">
        <v>0</v>
      </c>
    </row>
    <row r="3" spans="1:30" x14ac:dyDescent="0.25">
      <c r="A3" s="36">
        <v>2</v>
      </c>
      <c r="B3" s="14" t="s">
        <v>32</v>
      </c>
      <c r="C3" s="31" t="s">
        <v>33</v>
      </c>
      <c r="D3" s="17">
        <v>44138</v>
      </c>
      <c r="E3" s="14" t="s">
        <v>30</v>
      </c>
      <c r="F3" s="14">
        <v>5010</v>
      </c>
      <c r="G3" s="14">
        <v>1020</v>
      </c>
      <c r="H3" s="14">
        <v>1</v>
      </c>
      <c r="I3" s="14">
        <v>1</v>
      </c>
      <c r="J3" s="14" t="s">
        <v>31</v>
      </c>
      <c r="K3" s="14" cm="1">
        <f t="array" ref="K3">INT(SUMPRODUCT(--ISNUMBER(SEARCH(economy,'Martha McSally'!C3)))&gt;0)</f>
        <v>0</v>
      </c>
      <c r="L3" s="14" cm="1">
        <f t="array" ref="L3">INT(SUMPRODUCT(--ISNUMBER(SEARCH(healthcare,'Martha McSally'!C3)))&gt;0)</f>
        <v>0</v>
      </c>
      <c r="M3" s="14" cm="1">
        <f t="array" ref="M3">INT(SUMPRODUCT(--ISNUMBER(SEARCH(supreme,'Martha McSally'!C3)))&gt;0)</f>
        <v>0</v>
      </c>
      <c r="N3" s="14" cm="1">
        <f t="array" ref="N3">INT(SUMPRODUCT(--ISNUMBER(SEARCH(covid,'Martha McSally'!C3)))&gt;0)</f>
        <v>0</v>
      </c>
      <c r="O3" s="14" cm="1">
        <f t="array" ref="O3">INT(SUMPRODUCT(--ISNUMBER(SEARCH(violent,'Martha McSally'!C3)))&gt;0)</f>
        <v>0</v>
      </c>
      <c r="P3" s="14" cm="1">
        <f t="array" ref="P3">INT(SUMPRODUCT(--ISNUMBER(SEARCH(foreign,'Martha McSally'!C3)))&gt;0)</f>
        <v>0</v>
      </c>
      <c r="Q3" s="14" cm="1">
        <f t="array" ref="Q3">INT(SUMPRODUCT(--ISNUMBER(SEARCH(gun,'Martha McSally'!C3)))&gt;0)</f>
        <v>0</v>
      </c>
      <c r="R3" s="14" cm="1">
        <f t="array" ref="R3">INT(SUMPRODUCT(--ISNUMBER(SEARCH(race,'Martha McSally'!C3)))&gt;0)</f>
        <v>0</v>
      </c>
      <c r="S3" s="14" cm="1">
        <f t="array" ref="S3">INT(SUMPRODUCT(--ISNUMBER(SEARCH(immigration,C3)))&gt;0)</f>
        <v>1</v>
      </c>
      <c r="T3" s="14" cm="1">
        <f t="array" ref="T3">INT(SUMPRODUCT(--ISNUMBER(SEARCH(econineq,C3)))&gt;0)</f>
        <v>0</v>
      </c>
      <c r="U3" s="14" cm="1">
        <f t="array" ref="U3">INT(SUMPRODUCT(--ISNUMBER(SEARCH(climate,'Martha McSally'!C3)))&gt;0)</f>
        <v>0</v>
      </c>
      <c r="V3" s="14" cm="1">
        <f t="array" ref="V3">INT(SUMPRODUCT(--ISNUMBER(SEARCH(abortion,'Martha McSally'!C3)))&gt;0)</f>
        <v>0</v>
      </c>
      <c r="W3" s="14" cm="1">
        <f t="array" ref="W3">INT(SUMPRODUCT(--ISNUMBER(SEARCH(trump,'Martha McSally'!C3)))&gt;0)</f>
        <v>0</v>
      </c>
      <c r="X3" s="14" cm="1">
        <f t="array" ref="X3">INT(SUMPRODUCT(--ISNUMBER(SEARCH(voting,'Martha McSally'!C3)))&gt;0)</f>
        <v>0</v>
      </c>
      <c r="Y3" s="14" cm="1">
        <f t="array" ref="Y3">INT(SUMPRODUCT(--ISNUMBER(SEARCH(republicantrigger,'Martha McSally'!C3)))&gt;0)</f>
        <v>0</v>
      </c>
      <c r="Z3" s="23" cm="1">
        <f t="array" ref="Z3">INT(SUMPRODUCT(--ISNUMBER(SEARCH(bipartisan,'Martha McSally'!C3)))&gt;0)</f>
        <v>0</v>
      </c>
      <c r="AA3" s="23">
        <f t="shared" ref="AA3:AA66" si="0">INT(IF(COUNTIF(K3:Z3,1)=0,"1","0"))</f>
        <v>0</v>
      </c>
      <c r="AB3" s="15"/>
      <c r="AC3" s="30">
        <v>1</v>
      </c>
      <c r="AD3" s="37">
        <v>0</v>
      </c>
    </row>
    <row r="4" spans="1:30" x14ac:dyDescent="0.25">
      <c r="A4" s="36">
        <v>3</v>
      </c>
      <c r="B4" s="14" t="s">
        <v>34</v>
      </c>
      <c r="C4" s="31" t="s">
        <v>35</v>
      </c>
      <c r="D4" s="17">
        <v>44138</v>
      </c>
      <c r="E4" s="14" t="s">
        <v>30</v>
      </c>
      <c r="F4" s="14">
        <v>339</v>
      </c>
      <c r="G4" s="14">
        <v>75</v>
      </c>
      <c r="H4" s="14">
        <v>1</v>
      </c>
      <c r="I4" s="14">
        <v>1</v>
      </c>
      <c r="J4" s="14" t="s">
        <v>31</v>
      </c>
      <c r="K4" s="14" cm="1">
        <f t="array" ref="K4">INT(SUMPRODUCT(--ISNUMBER(SEARCH(economy,'Martha McSally'!C4)))&gt;0)</f>
        <v>0</v>
      </c>
      <c r="L4" s="14" cm="1">
        <f t="array" ref="L4">INT(SUMPRODUCT(--ISNUMBER(SEARCH(healthcare,'Martha McSally'!C4)))&gt;0)</f>
        <v>0</v>
      </c>
      <c r="M4" s="14" cm="1">
        <f t="array" ref="M4">INT(SUMPRODUCT(--ISNUMBER(SEARCH(supreme,'Martha McSally'!C4)))&gt;0)</f>
        <v>0</v>
      </c>
      <c r="N4" s="14" cm="1">
        <f t="array" ref="N4">INT(SUMPRODUCT(--ISNUMBER(SEARCH(covid,'Martha McSally'!C4)))&gt;0)</f>
        <v>0</v>
      </c>
      <c r="O4" s="14" cm="1">
        <f t="array" ref="O4">INT(SUMPRODUCT(--ISNUMBER(SEARCH(violent,'Martha McSally'!C4)))&gt;0)</f>
        <v>0</v>
      </c>
      <c r="P4" s="14" cm="1">
        <f t="array" ref="P4">INT(SUMPRODUCT(--ISNUMBER(SEARCH(foreign,'Martha McSally'!C4)))&gt;0)</f>
        <v>0</v>
      </c>
      <c r="Q4" s="14" cm="1">
        <f t="array" ref="Q4">INT(SUMPRODUCT(--ISNUMBER(SEARCH(gun,'Martha McSally'!C4)))&gt;0)</f>
        <v>0</v>
      </c>
      <c r="R4" s="14" cm="1">
        <f t="array" ref="R4">INT(SUMPRODUCT(--ISNUMBER(SEARCH(race,'Martha McSally'!C4)))&gt;0)</f>
        <v>0</v>
      </c>
      <c r="S4" s="14" cm="1">
        <f t="array" ref="S4">INT(SUMPRODUCT(--ISNUMBER(SEARCH(immigration,C4)))&gt;0)</f>
        <v>0</v>
      </c>
      <c r="T4" s="14" cm="1">
        <f t="array" ref="T4">INT(SUMPRODUCT(--ISNUMBER(SEARCH(econineq,C4)))&gt;0)</f>
        <v>0</v>
      </c>
      <c r="U4" s="14" cm="1">
        <f t="array" ref="U4">INT(SUMPRODUCT(--ISNUMBER(SEARCH(climate,'Martha McSally'!C4)))&gt;0)</f>
        <v>1</v>
      </c>
      <c r="V4" s="14" cm="1">
        <f t="array" ref="V4">INT(SUMPRODUCT(--ISNUMBER(SEARCH(abortion,'Martha McSally'!C4)))&gt;0)</f>
        <v>0</v>
      </c>
      <c r="W4" s="14" cm="1">
        <f t="array" ref="W4">INT(SUMPRODUCT(--ISNUMBER(SEARCH(trump,'Martha McSally'!C4)))&gt;0)</f>
        <v>0</v>
      </c>
      <c r="X4" s="14" cm="1">
        <f t="array" ref="X4">INT(SUMPRODUCT(--ISNUMBER(SEARCH(voting,'Martha McSally'!C4)))&gt;0)</f>
        <v>0</v>
      </c>
      <c r="Y4" s="14" cm="1">
        <f t="array" ref="Y4">INT(SUMPRODUCT(--ISNUMBER(SEARCH(republicantrigger,'Martha McSally'!C4)))&gt;0)</f>
        <v>0</v>
      </c>
      <c r="Z4" s="23" cm="1">
        <f t="array" ref="Z4">INT(SUMPRODUCT(--ISNUMBER(SEARCH(bipartisan,'Martha McSally'!C4)))&gt;0)</f>
        <v>0</v>
      </c>
      <c r="AA4" s="23">
        <f t="shared" si="0"/>
        <v>0</v>
      </c>
      <c r="AB4" s="15"/>
      <c r="AC4" s="30">
        <v>1</v>
      </c>
      <c r="AD4" s="37">
        <v>0</v>
      </c>
    </row>
    <row r="5" spans="1:30" x14ac:dyDescent="0.25">
      <c r="A5" s="36">
        <v>4</v>
      </c>
      <c r="B5" s="14" t="s">
        <v>36</v>
      </c>
      <c r="C5" s="31" t="s">
        <v>37</v>
      </c>
      <c r="D5" s="17">
        <v>44138</v>
      </c>
      <c r="E5" s="14" t="s">
        <v>30</v>
      </c>
      <c r="F5" s="14">
        <v>488</v>
      </c>
      <c r="G5" s="14">
        <v>97</v>
      </c>
      <c r="H5" s="14">
        <v>1</v>
      </c>
      <c r="I5" s="14">
        <v>1</v>
      </c>
      <c r="J5" s="14" t="s">
        <v>31</v>
      </c>
      <c r="K5" s="14" cm="1">
        <f t="array" ref="K5">INT(SUMPRODUCT(--ISNUMBER(SEARCH(economy,'Martha McSally'!C5)))&gt;0)</f>
        <v>0</v>
      </c>
      <c r="L5" s="14" cm="1">
        <f t="array" ref="L5">INT(SUMPRODUCT(--ISNUMBER(SEARCH(healthcare,'Martha McSally'!C5)))&gt;0)</f>
        <v>0</v>
      </c>
      <c r="M5" s="14" cm="1">
        <f t="array" ref="M5">INT(SUMPRODUCT(--ISNUMBER(SEARCH(supreme,'Martha McSally'!C5)))&gt;0)</f>
        <v>0</v>
      </c>
      <c r="N5" s="14" cm="1">
        <f t="array" ref="N5">INT(SUMPRODUCT(--ISNUMBER(SEARCH(covid,'Martha McSally'!C5)))&gt;0)</f>
        <v>0</v>
      </c>
      <c r="O5" s="14" cm="1">
        <f t="array" ref="O5">INT(SUMPRODUCT(--ISNUMBER(SEARCH(violent,'Martha McSally'!C5)))&gt;0)</f>
        <v>0</v>
      </c>
      <c r="P5" s="14" cm="1">
        <f t="array" ref="P5">INT(SUMPRODUCT(--ISNUMBER(SEARCH(foreign,'Martha McSally'!C5)))&gt;0)</f>
        <v>0</v>
      </c>
      <c r="Q5" s="14" cm="1">
        <f t="array" ref="Q5">INT(SUMPRODUCT(--ISNUMBER(SEARCH(gun,'Martha McSally'!C5)))&gt;0)</f>
        <v>0</v>
      </c>
      <c r="R5" s="14" cm="1">
        <f t="array" ref="R5">INT(SUMPRODUCT(--ISNUMBER(SEARCH(race,'Martha McSally'!C5)))&gt;0)</f>
        <v>0</v>
      </c>
      <c r="S5" s="14" cm="1">
        <f t="array" ref="S5">INT(SUMPRODUCT(--ISNUMBER(SEARCH(immigration,C5)))&gt;0)</f>
        <v>0</v>
      </c>
      <c r="T5" s="14" cm="1">
        <f t="array" ref="T5">INT(SUMPRODUCT(--ISNUMBER(SEARCH(econineq,C5)))&gt;0)</f>
        <v>0</v>
      </c>
      <c r="U5" s="14" cm="1">
        <f t="array" ref="U5">INT(SUMPRODUCT(--ISNUMBER(SEARCH(climate,'Martha McSally'!C5)))&gt;0)</f>
        <v>1</v>
      </c>
      <c r="V5" s="14" cm="1">
        <f t="array" ref="V5">INT(SUMPRODUCT(--ISNUMBER(SEARCH(abortion,'Martha McSally'!C5)))&gt;0)</f>
        <v>0</v>
      </c>
      <c r="W5" s="14" cm="1">
        <f t="array" ref="W5">INT(SUMPRODUCT(--ISNUMBER(SEARCH(trump,'Martha McSally'!C5)))&gt;0)</f>
        <v>0</v>
      </c>
      <c r="X5" s="14" cm="1">
        <f t="array" ref="X5">INT(SUMPRODUCT(--ISNUMBER(SEARCH(voting,'Martha McSally'!C5)))&gt;0)</f>
        <v>0</v>
      </c>
      <c r="Y5" s="14" cm="1">
        <f t="array" ref="Y5">INT(SUMPRODUCT(--ISNUMBER(SEARCH(republicantrigger,'Martha McSally'!C5)))&gt;0)</f>
        <v>0</v>
      </c>
      <c r="Z5" s="23" cm="1">
        <f t="array" ref="Z5">INT(SUMPRODUCT(--ISNUMBER(SEARCH(bipartisan,'Martha McSally'!C5)))&gt;0)</f>
        <v>0</v>
      </c>
      <c r="AA5" s="23">
        <f t="shared" si="0"/>
        <v>0</v>
      </c>
      <c r="AB5" s="15"/>
      <c r="AC5" s="30">
        <v>1</v>
      </c>
      <c r="AD5" s="37">
        <v>0</v>
      </c>
    </row>
    <row r="6" spans="1:30" x14ac:dyDescent="0.25">
      <c r="A6" s="36">
        <v>5</v>
      </c>
      <c r="B6" s="14" t="s">
        <v>38</v>
      </c>
      <c r="C6" s="31" t="s">
        <v>39</v>
      </c>
      <c r="D6" s="17">
        <v>44137</v>
      </c>
      <c r="E6" s="14" t="s">
        <v>30</v>
      </c>
      <c r="F6" s="14">
        <v>1082</v>
      </c>
      <c r="G6" s="14">
        <v>249</v>
      </c>
      <c r="H6" s="14">
        <v>1</v>
      </c>
      <c r="I6" s="14">
        <v>1</v>
      </c>
      <c r="J6" s="14" t="s">
        <v>31</v>
      </c>
      <c r="K6" s="14" cm="1">
        <f t="array" ref="K6">INT(SUMPRODUCT(--ISNUMBER(SEARCH(economy,'Martha McSally'!C6)))&gt;0)</f>
        <v>0</v>
      </c>
      <c r="L6" s="14" cm="1">
        <f t="array" ref="L6">INT(SUMPRODUCT(--ISNUMBER(SEARCH(healthcare,'Martha McSally'!C6)))&gt;0)</f>
        <v>0</v>
      </c>
      <c r="M6" s="14" cm="1">
        <f t="array" ref="M6">INT(SUMPRODUCT(--ISNUMBER(SEARCH(supreme,'Martha McSally'!C6)))&gt;0)</f>
        <v>0</v>
      </c>
      <c r="N6" s="14" cm="1">
        <f t="array" ref="N6">INT(SUMPRODUCT(--ISNUMBER(SEARCH(covid,'Martha McSally'!C6)))&gt;0)</f>
        <v>0</v>
      </c>
      <c r="O6" s="14" cm="1">
        <f t="array" ref="O6">INT(SUMPRODUCT(--ISNUMBER(SEARCH(violent,'Martha McSally'!C6)))&gt;0)</f>
        <v>0</v>
      </c>
      <c r="P6" s="14" cm="1">
        <f t="array" ref="P6">INT(SUMPRODUCT(--ISNUMBER(SEARCH(foreign,'Martha McSally'!C6)))&gt;0)</f>
        <v>0</v>
      </c>
      <c r="Q6" s="14" cm="1">
        <f t="array" ref="Q6">INT(SUMPRODUCT(--ISNUMBER(SEARCH(gun,'Martha McSally'!C6)))&gt;0)</f>
        <v>0</v>
      </c>
      <c r="R6" s="14" cm="1">
        <f t="array" ref="R6">INT(SUMPRODUCT(--ISNUMBER(SEARCH(race,'Martha McSally'!C6)))&gt;0)</f>
        <v>0</v>
      </c>
      <c r="S6" s="14" cm="1">
        <f t="array" ref="S6">INT(SUMPRODUCT(--ISNUMBER(SEARCH(immigration,C6)))&gt;0)</f>
        <v>0</v>
      </c>
      <c r="T6" s="14" cm="1">
        <f t="array" ref="T6">INT(SUMPRODUCT(--ISNUMBER(SEARCH(econineq,C6)))&gt;0)</f>
        <v>0</v>
      </c>
      <c r="U6" s="14" cm="1">
        <f t="array" ref="U6">INT(SUMPRODUCT(--ISNUMBER(SEARCH(climate,'Martha McSally'!C6)))&gt;0)</f>
        <v>0</v>
      </c>
      <c r="V6" s="14" cm="1">
        <f t="array" ref="V6">INT(SUMPRODUCT(--ISNUMBER(SEARCH(abortion,'Martha McSally'!C6)))&gt;0)</f>
        <v>0</v>
      </c>
      <c r="W6" s="14" cm="1">
        <f t="array" ref="W6">INT(SUMPRODUCT(--ISNUMBER(SEARCH(trump,'Martha McSally'!C6)))&gt;0)</f>
        <v>0</v>
      </c>
      <c r="X6" s="14" cm="1">
        <f t="array" ref="X6">INT(SUMPRODUCT(--ISNUMBER(SEARCH(voting,'Martha McSally'!C6)))&gt;0)</f>
        <v>0</v>
      </c>
      <c r="Y6" s="14" cm="1">
        <f t="array" ref="Y6">INT(SUMPRODUCT(--ISNUMBER(SEARCH(republicantrigger,'Martha McSally'!C6)))&gt;0)</f>
        <v>0</v>
      </c>
      <c r="Z6" s="23" cm="1">
        <f t="array" ref="Z6">INT(SUMPRODUCT(--ISNUMBER(SEARCH(bipartisan,'Martha McSally'!C6)))&gt;0)</f>
        <v>0</v>
      </c>
      <c r="AA6" s="23">
        <f t="shared" si="0"/>
        <v>1</v>
      </c>
      <c r="AB6" s="15"/>
      <c r="AC6" s="30">
        <v>1</v>
      </c>
      <c r="AD6" s="37">
        <v>0</v>
      </c>
    </row>
    <row r="7" spans="1:30" x14ac:dyDescent="0.25">
      <c r="A7" s="36">
        <v>6</v>
      </c>
      <c r="B7" s="14" t="s">
        <v>40</v>
      </c>
      <c r="C7" s="31" t="s">
        <v>41</v>
      </c>
      <c r="D7" s="17">
        <v>44137</v>
      </c>
      <c r="E7" s="14" t="s">
        <v>30</v>
      </c>
      <c r="F7" s="14">
        <v>550</v>
      </c>
      <c r="G7" s="14">
        <v>163</v>
      </c>
      <c r="H7" s="14">
        <v>1</v>
      </c>
      <c r="I7" s="14">
        <v>1</v>
      </c>
      <c r="J7" s="14" t="s">
        <v>31</v>
      </c>
      <c r="K7" s="14" cm="1">
        <f t="array" ref="K7">INT(SUMPRODUCT(--ISNUMBER(SEARCH(economy,'Martha McSally'!C7)))&gt;0)</f>
        <v>1</v>
      </c>
      <c r="L7" s="14" cm="1">
        <f t="array" ref="L7">INT(SUMPRODUCT(--ISNUMBER(SEARCH(healthcare,'Martha McSally'!C7)))&gt;0)</f>
        <v>0</v>
      </c>
      <c r="M7" s="14" cm="1">
        <f t="array" ref="M7">INT(SUMPRODUCT(--ISNUMBER(SEARCH(supreme,'Martha McSally'!C7)))&gt;0)</f>
        <v>0</v>
      </c>
      <c r="N7" s="14" cm="1">
        <f t="array" ref="N7">INT(SUMPRODUCT(--ISNUMBER(SEARCH(covid,'Martha McSally'!C7)))&gt;0)</f>
        <v>0</v>
      </c>
      <c r="O7" s="14" cm="1">
        <f t="array" ref="O7">INT(SUMPRODUCT(--ISNUMBER(SEARCH(violent,'Martha McSally'!C7)))&gt;0)</f>
        <v>0</v>
      </c>
      <c r="P7" s="14" cm="1">
        <f t="array" ref="P7">INT(SUMPRODUCT(--ISNUMBER(SEARCH(foreign,'Martha McSally'!C7)))&gt;0)</f>
        <v>0</v>
      </c>
      <c r="Q7" s="14" cm="1">
        <f t="array" ref="Q7">INT(SUMPRODUCT(--ISNUMBER(SEARCH(gun,'Martha McSally'!C7)))&gt;0)</f>
        <v>0</v>
      </c>
      <c r="R7" s="14" cm="1">
        <f t="array" ref="R7">INT(SUMPRODUCT(--ISNUMBER(SEARCH(race,'Martha McSally'!C7)))&gt;0)</f>
        <v>0</v>
      </c>
      <c r="S7" s="14" cm="1">
        <f t="array" ref="S7">INT(SUMPRODUCT(--ISNUMBER(SEARCH(immigration,C7)))&gt;0)</f>
        <v>0</v>
      </c>
      <c r="T7" s="14" cm="1">
        <f t="array" ref="T7">INT(SUMPRODUCT(--ISNUMBER(SEARCH(econineq,C7)))&gt;0)</f>
        <v>0</v>
      </c>
      <c r="U7" s="14" cm="1">
        <f t="array" ref="U7">INT(SUMPRODUCT(--ISNUMBER(SEARCH(climate,'Martha McSally'!C7)))&gt;0)</f>
        <v>0</v>
      </c>
      <c r="V7" s="14" cm="1">
        <f t="array" ref="V7">INT(SUMPRODUCT(--ISNUMBER(SEARCH(abortion,'Martha McSally'!C7)))&gt;0)</f>
        <v>0</v>
      </c>
      <c r="W7" s="14" cm="1">
        <f t="array" ref="W7">INT(SUMPRODUCT(--ISNUMBER(SEARCH(trump,'Martha McSally'!C7)))&gt;0)</f>
        <v>0</v>
      </c>
      <c r="X7" s="14" cm="1">
        <f t="array" ref="X7">INT(SUMPRODUCT(--ISNUMBER(SEARCH(voting,'Martha McSally'!C7)))&gt;0)</f>
        <v>0</v>
      </c>
      <c r="Y7" s="14" cm="1">
        <f t="array" ref="Y7">INT(SUMPRODUCT(--ISNUMBER(SEARCH(republicantrigger,'Martha McSally'!C7)))&gt;0)</f>
        <v>0</v>
      </c>
      <c r="Z7" s="23" cm="1">
        <f t="array" ref="Z7">INT(SUMPRODUCT(--ISNUMBER(SEARCH(bipartisan,'Martha McSally'!C7)))&gt;0)</f>
        <v>0</v>
      </c>
      <c r="AA7" s="23">
        <f t="shared" si="0"/>
        <v>0</v>
      </c>
      <c r="AB7" s="15"/>
      <c r="AC7" s="30">
        <v>0</v>
      </c>
      <c r="AD7" s="37">
        <v>0</v>
      </c>
    </row>
    <row r="8" spans="1:30" x14ac:dyDescent="0.25">
      <c r="A8" s="36">
        <v>7</v>
      </c>
      <c r="B8" s="14" t="s">
        <v>42</v>
      </c>
      <c r="C8" s="31" t="s">
        <v>43</v>
      </c>
      <c r="D8" s="17">
        <v>44137</v>
      </c>
      <c r="E8" s="14" t="s">
        <v>30</v>
      </c>
      <c r="F8" s="14">
        <v>637</v>
      </c>
      <c r="G8" s="14">
        <v>132</v>
      </c>
      <c r="H8" s="14">
        <v>1</v>
      </c>
      <c r="I8" s="14">
        <v>1</v>
      </c>
      <c r="J8" s="14" t="s">
        <v>31</v>
      </c>
      <c r="K8" s="14" cm="1">
        <f t="array" ref="K8">INT(SUMPRODUCT(--ISNUMBER(SEARCH(economy,'Martha McSally'!C8)))&gt;0)</f>
        <v>1</v>
      </c>
      <c r="L8" s="14" cm="1">
        <f t="array" ref="L8">INT(SUMPRODUCT(--ISNUMBER(SEARCH(healthcare,'Martha McSally'!C8)))&gt;0)</f>
        <v>0</v>
      </c>
      <c r="M8" s="14" cm="1">
        <f t="array" ref="M8">INT(SUMPRODUCT(--ISNUMBER(SEARCH(supreme,'Martha McSally'!C8)))&gt;0)</f>
        <v>0</v>
      </c>
      <c r="N8" s="14" cm="1">
        <f t="array" ref="N8">INT(SUMPRODUCT(--ISNUMBER(SEARCH(covid,'Martha McSally'!C8)))&gt;0)</f>
        <v>0</v>
      </c>
      <c r="O8" s="14" cm="1">
        <f t="array" ref="O8">INT(SUMPRODUCT(--ISNUMBER(SEARCH(violent,'Martha McSally'!C8)))&gt;0)</f>
        <v>0</v>
      </c>
      <c r="P8" s="14" cm="1">
        <f t="array" ref="P8">INT(SUMPRODUCT(--ISNUMBER(SEARCH(foreign,'Martha McSally'!C8)))&gt;0)</f>
        <v>1</v>
      </c>
      <c r="Q8" s="14" cm="1">
        <f t="array" ref="Q8">INT(SUMPRODUCT(--ISNUMBER(SEARCH(gun,'Martha McSally'!C8)))&gt;0)</f>
        <v>0</v>
      </c>
      <c r="R8" s="14" cm="1">
        <f t="array" ref="R8">INT(SUMPRODUCT(--ISNUMBER(SEARCH(race,'Martha McSally'!C8)))&gt;0)</f>
        <v>0</v>
      </c>
      <c r="S8" s="14" cm="1">
        <f t="array" ref="S8">INT(SUMPRODUCT(--ISNUMBER(SEARCH(immigration,C8)))&gt;0)</f>
        <v>0</v>
      </c>
      <c r="T8" s="14" cm="1">
        <f t="array" ref="T8">INT(SUMPRODUCT(--ISNUMBER(SEARCH(econineq,C8)))&gt;0)</f>
        <v>0</v>
      </c>
      <c r="U8" s="14" cm="1">
        <f t="array" ref="U8">INT(SUMPRODUCT(--ISNUMBER(SEARCH(climate,'Martha McSally'!C8)))&gt;0)</f>
        <v>0</v>
      </c>
      <c r="V8" s="14" cm="1">
        <f t="array" ref="V8">INT(SUMPRODUCT(--ISNUMBER(SEARCH(abortion,'Martha McSally'!C8)))&gt;0)</f>
        <v>0</v>
      </c>
      <c r="W8" s="14" cm="1">
        <f t="array" ref="W8">INT(SUMPRODUCT(--ISNUMBER(SEARCH(trump,'Martha McSally'!C8)))&gt;0)</f>
        <v>0</v>
      </c>
      <c r="X8" s="14" cm="1">
        <f t="array" ref="X8">INT(SUMPRODUCT(--ISNUMBER(SEARCH(voting,'Martha McSally'!C8)))&gt;0)</f>
        <v>0</v>
      </c>
      <c r="Y8" s="14" cm="1">
        <f t="array" ref="Y8">INT(SUMPRODUCT(--ISNUMBER(SEARCH(republicantrigger,'Martha McSally'!C8)))&gt;0)</f>
        <v>0</v>
      </c>
      <c r="Z8" s="23" cm="1">
        <f t="array" ref="Z8">INT(SUMPRODUCT(--ISNUMBER(SEARCH(bipartisan,'Martha McSally'!C8)))&gt;0)</f>
        <v>0</v>
      </c>
      <c r="AA8" s="23">
        <f t="shared" si="0"/>
        <v>0</v>
      </c>
      <c r="AB8" s="15"/>
      <c r="AC8" s="30">
        <v>1</v>
      </c>
      <c r="AD8" s="37">
        <v>0</v>
      </c>
    </row>
    <row r="9" spans="1:30" x14ac:dyDescent="0.25">
      <c r="A9" s="36">
        <v>8</v>
      </c>
      <c r="B9" s="14" t="s">
        <v>44</v>
      </c>
      <c r="C9" s="31" t="s">
        <v>45</v>
      </c>
      <c r="D9" s="17">
        <v>44137</v>
      </c>
      <c r="E9" s="14" t="s">
        <v>30</v>
      </c>
      <c r="F9" s="14">
        <v>1064</v>
      </c>
      <c r="G9" s="14">
        <v>212</v>
      </c>
      <c r="H9" s="14">
        <v>1</v>
      </c>
      <c r="I9" s="14">
        <v>1</v>
      </c>
      <c r="J9" s="14" t="s">
        <v>31</v>
      </c>
      <c r="K9" s="14" cm="1">
        <f t="array" ref="K9">INT(SUMPRODUCT(--ISNUMBER(SEARCH(economy,'Martha McSally'!C9)))&gt;0)</f>
        <v>0</v>
      </c>
      <c r="L9" s="14" cm="1">
        <f t="array" ref="L9">INT(SUMPRODUCT(--ISNUMBER(SEARCH(healthcare,'Martha McSally'!C9)))&gt;0)</f>
        <v>0</v>
      </c>
      <c r="M9" s="14" cm="1">
        <f t="array" ref="M9">INT(SUMPRODUCT(--ISNUMBER(SEARCH(supreme,'Martha McSally'!C9)))&gt;0)</f>
        <v>1</v>
      </c>
      <c r="N9" s="14" cm="1">
        <f t="array" ref="N9">INT(SUMPRODUCT(--ISNUMBER(SEARCH(covid,'Martha McSally'!C9)))&gt;0)</f>
        <v>0</v>
      </c>
      <c r="O9" s="14" cm="1">
        <f t="array" ref="O9">INT(SUMPRODUCT(--ISNUMBER(SEARCH(violent,'Martha McSally'!C9)))&gt;0)</f>
        <v>0</v>
      </c>
      <c r="P9" s="14" cm="1">
        <f t="array" ref="P9">INT(SUMPRODUCT(--ISNUMBER(SEARCH(foreign,'Martha McSally'!C9)))&gt;0)</f>
        <v>0</v>
      </c>
      <c r="Q9" s="14" cm="1">
        <f t="array" ref="Q9">INT(SUMPRODUCT(--ISNUMBER(SEARCH(gun,'Martha McSally'!C9)))&gt;0)</f>
        <v>0</v>
      </c>
      <c r="R9" s="14" cm="1">
        <f t="array" ref="R9">INT(SUMPRODUCT(--ISNUMBER(SEARCH(race,'Martha McSally'!C9)))&gt;0)</f>
        <v>0</v>
      </c>
      <c r="S9" s="14" cm="1">
        <f t="array" ref="S9">INT(SUMPRODUCT(--ISNUMBER(SEARCH(immigration,C9)))&gt;0)</f>
        <v>0</v>
      </c>
      <c r="T9" s="14" cm="1">
        <f t="array" ref="T9">INT(SUMPRODUCT(--ISNUMBER(SEARCH(econineq,C9)))&gt;0)</f>
        <v>0</v>
      </c>
      <c r="U9" s="14" cm="1">
        <f t="array" ref="U9">INT(SUMPRODUCT(--ISNUMBER(SEARCH(climate,'Martha McSally'!C9)))&gt;0)</f>
        <v>0</v>
      </c>
      <c r="V9" s="14" cm="1">
        <f t="array" ref="V9">INT(SUMPRODUCT(--ISNUMBER(SEARCH(abortion,'Martha McSally'!C9)))&gt;0)</f>
        <v>0</v>
      </c>
      <c r="W9" s="14" cm="1">
        <f t="array" ref="W9">INT(SUMPRODUCT(--ISNUMBER(SEARCH(trump,'Martha McSally'!C9)))&gt;0)</f>
        <v>1</v>
      </c>
      <c r="X9" s="14" cm="1">
        <f t="array" ref="X9">INT(SUMPRODUCT(--ISNUMBER(SEARCH(voting,'Martha McSally'!C9)))&gt;0)</f>
        <v>0</v>
      </c>
      <c r="Y9" s="14" cm="1">
        <f t="array" ref="Y9">INT(SUMPRODUCT(--ISNUMBER(SEARCH(republicantrigger,'Martha McSally'!C9)))&gt;0)</f>
        <v>0</v>
      </c>
      <c r="Z9" s="23" cm="1">
        <f t="array" ref="Z9">INT(SUMPRODUCT(--ISNUMBER(SEARCH(bipartisan,'Martha McSally'!C9)))&gt;0)</f>
        <v>0</v>
      </c>
      <c r="AA9" s="23">
        <f t="shared" si="0"/>
        <v>0</v>
      </c>
      <c r="AB9" s="15"/>
      <c r="AC9" s="30">
        <v>0</v>
      </c>
      <c r="AD9" s="37">
        <v>0</v>
      </c>
    </row>
    <row r="10" spans="1:30" x14ac:dyDescent="0.25">
      <c r="A10" s="36">
        <v>9</v>
      </c>
      <c r="B10" s="14" t="s">
        <v>46</v>
      </c>
      <c r="C10" s="31" t="s">
        <v>47</v>
      </c>
      <c r="D10" s="17">
        <v>44136</v>
      </c>
      <c r="E10" s="14" t="s">
        <v>30</v>
      </c>
      <c r="F10" s="14">
        <v>457</v>
      </c>
      <c r="G10" s="14">
        <v>111</v>
      </c>
      <c r="H10" s="14">
        <v>1</v>
      </c>
      <c r="I10" s="14">
        <v>1</v>
      </c>
      <c r="J10" s="14" t="s">
        <v>31</v>
      </c>
      <c r="K10" s="14" cm="1">
        <f t="array" ref="K10">INT(SUMPRODUCT(--ISNUMBER(SEARCH(economy,'Martha McSally'!C10)))&gt;0)</f>
        <v>0</v>
      </c>
      <c r="L10" s="14" cm="1">
        <f t="array" ref="L10">INT(SUMPRODUCT(--ISNUMBER(SEARCH(healthcare,'Martha McSally'!C10)))&gt;0)</f>
        <v>0</v>
      </c>
      <c r="M10" s="14" cm="1">
        <f t="array" ref="M10">INT(SUMPRODUCT(--ISNUMBER(SEARCH(supreme,'Martha McSally'!C10)))&gt;0)</f>
        <v>0</v>
      </c>
      <c r="N10" s="14" cm="1">
        <f t="array" ref="N10">INT(SUMPRODUCT(--ISNUMBER(SEARCH(covid,'Martha McSally'!C10)))&gt;0)</f>
        <v>0</v>
      </c>
      <c r="O10" s="14" cm="1">
        <f t="array" ref="O10">INT(SUMPRODUCT(--ISNUMBER(SEARCH(violent,'Martha McSally'!C10)))&gt;0)</f>
        <v>0</v>
      </c>
      <c r="P10" s="14" cm="1">
        <f t="array" ref="P10">INT(SUMPRODUCT(--ISNUMBER(SEARCH(foreign,'Martha McSally'!C10)))&gt;0)</f>
        <v>0</v>
      </c>
      <c r="Q10" s="14" cm="1">
        <f t="array" ref="Q10">INT(SUMPRODUCT(--ISNUMBER(SEARCH(gun,'Martha McSally'!C10)))&gt;0)</f>
        <v>0</v>
      </c>
      <c r="R10" s="14" cm="1">
        <f t="array" ref="R10">INT(SUMPRODUCT(--ISNUMBER(SEARCH(race,'Martha McSally'!C10)))&gt;0)</f>
        <v>0</v>
      </c>
      <c r="S10" s="14" cm="1">
        <f t="array" ref="S10">INT(SUMPRODUCT(--ISNUMBER(SEARCH(immigration,C10)))&gt;0)</f>
        <v>0</v>
      </c>
      <c r="T10" s="14" cm="1">
        <f t="array" ref="T10">INT(SUMPRODUCT(--ISNUMBER(SEARCH(econineq,C10)))&gt;0)</f>
        <v>0</v>
      </c>
      <c r="U10" s="14" cm="1">
        <f t="array" ref="U10">INT(SUMPRODUCT(--ISNUMBER(SEARCH(climate,'Martha McSally'!C10)))&gt;0)</f>
        <v>0</v>
      </c>
      <c r="V10" s="14" cm="1">
        <f t="array" ref="V10">INT(SUMPRODUCT(--ISNUMBER(SEARCH(abortion,'Martha McSally'!C10)))&gt;0)</f>
        <v>0</v>
      </c>
      <c r="W10" s="14" cm="1">
        <f t="array" ref="W10">INT(SUMPRODUCT(--ISNUMBER(SEARCH(trump,'Martha McSally'!C10)))&gt;0)</f>
        <v>1</v>
      </c>
      <c r="X10" s="14" cm="1">
        <f t="array" ref="X10">INT(SUMPRODUCT(--ISNUMBER(SEARCH(voting,'Martha McSally'!C10)))&gt;0)</f>
        <v>0</v>
      </c>
      <c r="Y10" s="14" cm="1">
        <f t="array" ref="Y10">INT(SUMPRODUCT(--ISNUMBER(SEARCH(republicantrigger,'Martha McSally'!C10)))&gt;0)</f>
        <v>0</v>
      </c>
      <c r="Z10" s="23" cm="1">
        <f t="array" ref="Z10">INT(SUMPRODUCT(--ISNUMBER(SEARCH(bipartisan,'Martha McSally'!C10)))&gt;0)</f>
        <v>0</v>
      </c>
      <c r="AA10" s="23">
        <f t="shared" si="0"/>
        <v>0</v>
      </c>
      <c r="AB10" s="15"/>
      <c r="AC10" s="30">
        <v>0</v>
      </c>
      <c r="AD10" s="37">
        <v>0</v>
      </c>
    </row>
    <row r="11" spans="1:30" x14ac:dyDescent="0.25">
      <c r="A11" s="36">
        <v>10</v>
      </c>
      <c r="B11" s="14" t="s">
        <v>48</v>
      </c>
      <c r="C11" s="31" t="s">
        <v>49</v>
      </c>
      <c r="D11" s="17">
        <v>44135</v>
      </c>
      <c r="E11" s="14" t="s">
        <v>30</v>
      </c>
      <c r="F11" s="14">
        <v>1675</v>
      </c>
      <c r="G11" s="14">
        <v>343</v>
      </c>
      <c r="H11" s="14">
        <v>1</v>
      </c>
      <c r="I11" s="14">
        <v>1</v>
      </c>
      <c r="J11" s="14" t="s">
        <v>31</v>
      </c>
      <c r="K11" s="14" cm="1">
        <f t="array" ref="K11">INT(SUMPRODUCT(--ISNUMBER(SEARCH(economy,'Martha McSally'!C11)))&gt;0)</f>
        <v>0</v>
      </c>
      <c r="L11" s="14" cm="1">
        <f t="array" ref="L11">INT(SUMPRODUCT(--ISNUMBER(SEARCH(healthcare,'Martha McSally'!C11)))&gt;0)</f>
        <v>0</v>
      </c>
      <c r="M11" s="14" cm="1">
        <f t="array" ref="M11">INT(SUMPRODUCT(--ISNUMBER(SEARCH(supreme,'Martha McSally'!C11)))&gt;0)</f>
        <v>0</v>
      </c>
      <c r="N11" s="14" cm="1">
        <f t="array" ref="N11">INT(SUMPRODUCT(--ISNUMBER(SEARCH(covid,'Martha McSally'!C11)))&gt;0)</f>
        <v>0</v>
      </c>
      <c r="O11" s="14" cm="1">
        <f t="array" ref="O11">INT(SUMPRODUCT(--ISNUMBER(SEARCH(violent,'Martha McSally'!C11)))&gt;0)</f>
        <v>0</v>
      </c>
      <c r="P11" s="14" cm="1">
        <f t="array" ref="P11">INT(SUMPRODUCT(--ISNUMBER(SEARCH(foreign,'Martha McSally'!C11)))&gt;0)</f>
        <v>0</v>
      </c>
      <c r="Q11" s="14" cm="1">
        <f t="array" ref="Q11">INT(SUMPRODUCT(--ISNUMBER(SEARCH(gun,'Martha McSally'!C11)))&gt;0)</f>
        <v>0</v>
      </c>
      <c r="R11" s="14" cm="1">
        <f t="array" ref="R11">INT(SUMPRODUCT(--ISNUMBER(SEARCH(race,'Martha McSally'!C11)))&gt;0)</f>
        <v>0</v>
      </c>
      <c r="S11" s="14" cm="1">
        <f t="array" ref="S11">INT(SUMPRODUCT(--ISNUMBER(SEARCH(immigration,C11)))&gt;0)</f>
        <v>0</v>
      </c>
      <c r="T11" s="14" cm="1">
        <f t="array" ref="T11">INT(SUMPRODUCT(--ISNUMBER(SEARCH(econineq,C11)))&gt;0)</f>
        <v>0</v>
      </c>
      <c r="U11" s="14" cm="1">
        <f t="array" ref="U11">INT(SUMPRODUCT(--ISNUMBER(SEARCH(climate,'Martha McSally'!C11)))&gt;0)</f>
        <v>0</v>
      </c>
      <c r="V11" s="14" cm="1">
        <f t="array" ref="V11">INT(SUMPRODUCT(--ISNUMBER(SEARCH(abortion,'Martha McSally'!C11)))&gt;0)</f>
        <v>0</v>
      </c>
      <c r="W11" s="14" cm="1">
        <f t="array" ref="W11">INT(SUMPRODUCT(--ISNUMBER(SEARCH(trump,'Martha McSally'!C11)))&gt;0)</f>
        <v>0</v>
      </c>
      <c r="X11" s="14" cm="1">
        <f t="array" ref="X11">INT(SUMPRODUCT(--ISNUMBER(SEARCH(voting,'Martha McSally'!C11)))&gt;0)</f>
        <v>0</v>
      </c>
      <c r="Y11" s="14" cm="1">
        <f t="array" ref="Y11">INT(SUMPRODUCT(--ISNUMBER(SEARCH(republicantrigger,'Martha McSally'!C11)))&gt;0)</f>
        <v>0</v>
      </c>
      <c r="Z11" s="23" cm="1">
        <f t="array" ref="Z11">INT(SUMPRODUCT(--ISNUMBER(SEARCH(bipartisan,'Martha McSally'!C11)))&gt;0)</f>
        <v>0</v>
      </c>
      <c r="AA11" s="23">
        <f t="shared" si="0"/>
        <v>1</v>
      </c>
      <c r="AB11" s="15"/>
      <c r="AC11" s="30">
        <v>0</v>
      </c>
      <c r="AD11" s="37">
        <v>0</v>
      </c>
    </row>
    <row r="12" spans="1:30" x14ac:dyDescent="0.25">
      <c r="A12" s="36">
        <v>11</v>
      </c>
      <c r="B12" s="14" t="s">
        <v>50</v>
      </c>
      <c r="C12" s="31" t="s">
        <v>51</v>
      </c>
      <c r="D12" s="17">
        <v>44134</v>
      </c>
      <c r="E12" s="14" t="s">
        <v>30</v>
      </c>
      <c r="F12" s="14">
        <v>632</v>
      </c>
      <c r="G12" s="14">
        <v>207</v>
      </c>
      <c r="H12" s="14">
        <v>1</v>
      </c>
      <c r="I12" s="14">
        <v>1</v>
      </c>
      <c r="J12" s="14" t="s">
        <v>31</v>
      </c>
      <c r="K12" s="14" cm="1">
        <f t="array" ref="K12">INT(SUMPRODUCT(--ISNUMBER(SEARCH(economy,'Martha McSally'!C12)))&gt;0)</f>
        <v>0</v>
      </c>
      <c r="L12" s="14" cm="1">
        <f t="array" ref="L12">INT(SUMPRODUCT(--ISNUMBER(SEARCH(healthcare,'Martha McSally'!C12)))&gt;0)</f>
        <v>1</v>
      </c>
      <c r="M12" s="14" cm="1">
        <f t="array" ref="M12">INT(SUMPRODUCT(--ISNUMBER(SEARCH(supreme,'Martha McSally'!C12)))&gt;0)</f>
        <v>0</v>
      </c>
      <c r="N12" s="14" cm="1">
        <f t="array" ref="N12">INT(SUMPRODUCT(--ISNUMBER(SEARCH(covid,'Martha McSally'!C12)))&gt;0)</f>
        <v>0</v>
      </c>
      <c r="O12" s="14" cm="1">
        <f t="array" ref="O12">INT(SUMPRODUCT(--ISNUMBER(SEARCH(violent,'Martha McSally'!C12)))&gt;0)</f>
        <v>0</v>
      </c>
      <c r="P12" s="14" cm="1">
        <f t="array" ref="P12">INT(SUMPRODUCT(--ISNUMBER(SEARCH(foreign,'Martha McSally'!C12)))&gt;0)</f>
        <v>0</v>
      </c>
      <c r="Q12" s="14" cm="1">
        <f t="array" ref="Q12">INT(SUMPRODUCT(--ISNUMBER(SEARCH(gun,'Martha McSally'!C12)))&gt;0)</f>
        <v>0</v>
      </c>
      <c r="R12" s="14" cm="1">
        <f t="array" ref="R12">INT(SUMPRODUCT(--ISNUMBER(SEARCH(race,'Martha McSally'!C12)))&gt;0)</f>
        <v>0</v>
      </c>
      <c r="S12" s="14" cm="1">
        <f t="array" ref="S12">INT(SUMPRODUCT(--ISNUMBER(SEARCH(immigration,C12)))&gt;0)</f>
        <v>0</v>
      </c>
      <c r="T12" s="14" cm="1">
        <f t="array" ref="T12">INT(SUMPRODUCT(--ISNUMBER(SEARCH(econineq,C12)))&gt;0)</f>
        <v>0</v>
      </c>
      <c r="U12" s="14" cm="1">
        <f t="array" ref="U12">INT(SUMPRODUCT(--ISNUMBER(SEARCH(climate,'Martha McSally'!C12)))&gt;0)</f>
        <v>0</v>
      </c>
      <c r="V12" s="14" cm="1">
        <f t="array" ref="V12">INT(SUMPRODUCT(--ISNUMBER(SEARCH(abortion,'Martha McSally'!C12)))&gt;0)</f>
        <v>0</v>
      </c>
      <c r="W12" s="14" cm="1">
        <f t="array" ref="W12">INT(SUMPRODUCT(--ISNUMBER(SEARCH(trump,'Martha McSally'!C12)))&gt;0)</f>
        <v>0</v>
      </c>
      <c r="X12" s="14" cm="1">
        <f t="array" ref="X12">INT(SUMPRODUCT(--ISNUMBER(SEARCH(voting,'Martha McSally'!C12)))&gt;0)</f>
        <v>0</v>
      </c>
      <c r="Y12" s="14" cm="1">
        <f t="array" ref="Y12">INT(SUMPRODUCT(--ISNUMBER(SEARCH(republicantrigger,'Martha McSally'!C12)))&gt;0)</f>
        <v>0</v>
      </c>
      <c r="Z12" s="23" cm="1">
        <f t="array" ref="Z12">INT(SUMPRODUCT(--ISNUMBER(SEARCH(bipartisan,'Martha McSally'!C12)))&gt;0)</f>
        <v>0</v>
      </c>
      <c r="AA12" s="23">
        <f t="shared" si="0"/>
        <v>0</v>
      </c>
      <c r="AB12" s="15"/>
      <c r="AC12" s="30">
        <v>0</v>
      </c>
      <c r="AD12" s="37">
        <v>0</v>
      </c>
    </row>
    <row r="13" spans="1:30" x14ac:dyDescent="0.25">
      <c r="A13" s="36">
        <v>12</v>
      </c>
      <c r="B13" s="14" t="s">
        <v>52</v>
      </c>
      <c r="C13" s="31" t="s">
        <v>53</v>
      </c>
      <c r="D13" s="17">
        <v>44133</v>
      </c>
      <c r="E13" s="14" t="s">
        <v>30</v>
      </c>
      <c r="F13" s="14">
        <v>1304</v>
      </c>
      <c r="G13" s="14">
        <v>387</v>
      </c>
      <c r="H13" s="14">
        <v>1</v>
      </c>
      <c r="I13" s="14">
        <v>1</v>
      </c>
      <c r="J13" s="14" t="s">
        <v>31</v>
      </c>
      <c r="K13" s="14" cm="1">
        <f t="array" ref="K13">INT(SUMPRODUCT(--ISNUMBER(SEARCH(economy,'Martha McSally'!C13)))&gt;0)</f>
        <v>1</v>
      </c>
      <c r="L13" s="14" cm="1">
        <f t="array" ref="L13">INT(SUMPRODUCT(--ISNUMBER(SEARCH(healthcare,'Martha McSally'!C13)))&gt;0)</f>
        <v>0</v>
      </c>
      <c r="M13" s="14" cm="1">
        <f t="array" ref="M13">INT(SUMPRODUCT(--ISNUMBER(SEARCH(supreme,'Martha McSally'!C13)))&gt;0)</f>
        <v>0</v>
      </c>
      <c r="N13" s="14" cm="1">
        <f t="array" ref="N13">INT(SUMPRODUCT(--ISNUMBER(SEARCH(covid,'Martha McSally'!C13)))&gt;0)</f>
        <v>0</v>
      </c>
      <c r="O13" s="14" cm="1">
        <f t="array" ref="O13">INT(SUMPRODUCT(--ISNUMBER(SEARCH(violent,'Martha McSally'!C13)))&gt;0)</f>
        <v>0</v>
      </c>
      <c r="P13" s="14" cm="1">
        <f t="array" ref="P13">INT(SUMPRODUCT(--ISNUMBER(SEARCH(foreign,'Martha McSally'!C13)))&gt;0)</f>
        <v>0</v>
      </c>
      <c r="Q13" s="14" cm="1">
        <f t="array" ref="Q13">INT(SUMPRODUCT(--ISNUMBER(SEARCH(gun,'Martha McSally'!C13)))&gt;0)</f>
        <v>0</v>
      </c>
      <c r="R13" s="14" cm="1">
        <f t="array" ref="R13">INT(SUMPRODUCT(--ISNUMBER(SEARCH(race,'Martha McSally'!C13)))&gt;0)</f>
        <v>0</v>
      </c>
      <c r="S13" s="14" cm="1">
        <f t="array" ref="S13">INT(SUMPRODUCT(--ISNUMBER(SEARCH(immigration,C13)))&gt;0)</f>
        <v>0</v>
      </c>
      <c r="T13" s="14" cm="1">
        <f t="array" ref="T13">INT(SUMPRODUCT(--ISNUMBER(SEARCH(econineq,C13)))&gt;0)</f>
        <v>0</v>
      </c>
      <c r="U13" s="14" cm="1">
        <f t="array" ref="U13">INT(SUMPRODUCT(--ISNUMBER(SEARCH(climate,'Martha McSally'!C13)))&gt;0)</f>
        <v>0</v>
      </c>
      <c r="V13" s="14" cm="1">
        <f t="array" ref="V13">INT(SUMPRODUCT(--ISNUMBER(SEARCH(abortion,'Martha McSally'!C13)))&gt;0)</f>
        <v>0</v>
      </c>
      <c r="W13" s="14" cm="1">
        <f t="array" ref="W13">INT(SUMPRODUCT(--ISNUMBER(SEARCH(trump,'Martha McSally'!C13)))&gt;0)</f>
        <v>0</v>
      </c>
      <c r="X13" s="14" cm="1">
        <f t="array" ref="X13">INT(SUMPRODUCT(--ISNUMBER(SEARCH(voting,'Martha McSally'!C13)))&gt;0)</f>
        <v>0</v>
      </c>
      <c r="Y13" s="14" cm="1">
        <f t="array" ref="Y13">INT(SUMPRODUCT(--ISNUMBER(SEARCH(republicantrigger,'Martha McSally'!C13)))&gt;0)</f>
        <v>0</v>
      </c>
      <c r="Z13" s="23" cm="1">
        <f t="array" ref="Z13">INT(SUMPRODUCT(--ISNUMBER(SEARCH(bipartisan,'Martha McSally'!C13)))&gt;0)</f>
        <v>0</v>
      </c>
      <c r="AA13" s="23">
        <f t="shared" si="0"/>
        <v>0</v>
      </c>
      <c r="AB13" s="15"/>
      <c r="AC13" s="30">
        <v>0</v>
      </c>
      <c r="AD13" s="37">
        <v>0</v>
      </c>
    </row>
    <row r="14" spans="1:30" x14ac:dyDescent="0.25">
      <c r="A14" s="36">
        <v>13</v>
      </c>
      <c r="B14" s="14" t="s">
        <v>54</v>
      </c>
      <c r="C14" s="31" t="s">
        <v>55</v>
      </c>
      <c r="D14" s="17">
        <v>44133</v>
      </c>
      <c r="E14" s="14" t="s">
        <v>30</v>
      </c>
      <c r="F14" s="14">
        <v>855</v>
      </c>
      <c r="G14" s="14">
        <v>140</v>
      </c>
      <c r="H14" s="14">
        <v>1</v>
      </c>
      <c r="I14" s="14">
        <v>1</v>
      </c>
      <c r="J14" s="14" t="s">
        <v>31</v>
      </c>
      <c r="K14" s="14" cm="1">
        <f t="array" ref="K14">INT(SUMPRODUCT(--ISNUMBER(SEARCH(economy,'Martha McSally'!C14)))&gt;0)</f>
        <v>0</v>
      </c>
      <c r="L14" s="14" cm="1">
        <f t="array" ref="L14">INT(SUMPRODUCT(--ISNUMBER(SEARCH(healthcare,'Martha McSally'!C14)))&gt;0)</f>
        <v>0</v>
      </c>
      <c r="M14" s="14" cm="1">
        <f t="array" ref="M14">INT(SUMPRODUCT(--ISNUMBER(SEARCH(supreme,'Martha McSally'!C14)))&gt;0)</f>
        <v>0</v>
      </c>
      <c r="N14" s="14" cm="1">
        <f t="array" ref="N14">INT(SUMPRODUCT(--ISNUMBER(SEARCH(covid,'Martha McSally'!C14)))&gt;0)</f>
        <v>0</v>
      </c>
      <c r="O14" s="14" cm="1">
        <f t="array" ref="O14">INT(SUMPRODUCT(--ISNUMBER(SEARCH(violent,'Martha McSally'!C14)))&gt;0)</f>
        <v>0</v>
      </c>
      <c r="P14" s="14" cm="1">
        <f t="array" ref="P14">INT(SUMPRODUCT(--ISNUMBER(SEARCH(foreign,'Martha McSally'!C14)))&gt;0)</f>
        <v>0</v>
      </c>
      <c r="Q14" s="14" cm="1">
        <f t="array" ref="Q14">INT(SUMPRODUCT(--ISNUMBER(SEARCH(gun,'Martha McSally'!C14)))&gt;0)</f>
        <v>0</v>
      </c>
      <c r="R14" s="14" cm="1">
        <f t="array" ref="R14">INT(SUMPRODUCT(--ISNUMBER(SEARCH(race,'Martha McSally'!C14)))&gt;0)</f>
        <v>0</v>
      </c>
      <c r="S14" s="14" cm="1">
        <f t="array" ref="S14">INT(SUMPRODUCT(--ISNUMBER(SEARCH(immigration,C14)))&gt;0)</f>
        <v>0</v>
      </c>
      <c r="T14" s="14" cm="1">
        <f t="array" ref="T14">INT(SUMPRODUCT(--ISNUMBER(SEARCH(econineq,C14)))&gt;0)</f>
        <v>0</v>
      </c>
      <c r="U14" s="14" cm="1">
        <f t="array" ref="U14">INT(SUMPRODUCT(--ISNUMBER(SEARCH(climate,'Martha McSally'!C14)))&gt;0)</f>
        <v>0</v>
      </c>
      <c r="V14" s="14" cm="1">
        <f t="array" ref="V14">INT(SUMPRODUCT(--ISNUMBER(SEARCH(abortion,'Martha McSally'!C14)))&gt;0)</f>
        <v>0</v>
      </c>
      <c r="W14" s="14" cm="1">
        <f t="array" ref="W14">INT(SUMPRODUCT(--ISNUMBER(SEARCH(trump,'Martha McSally'!C14)))&gt;0)</f>
        <v>0</v>
      </c>
      <c r="X14" s="14" cm="1">
        <f t="array" ref="X14">INT(SUMPRODUCT(--ISNUMBER(SEARCH(voting,'Martha McSally'!C14)))&gt;0)</f>
        <v>0</v>
      </c>
      <c r="Y14" s="14" cm="1">
        <f t="array" ref="Y14">INT(SUMPRODUCT(--ISNUMBER(SEARCH(republicantrigger,'Martha McSally'!C14)))&gt;0)</f>
        <v>0</v>
      </c>
      <c r="Z14" s="23" cm="1">
        <f t="array" ref="Z14">INT(SUMPRODUCT(--ISNUMBER(SEARCH(bipartisan,'Martha McSally'!C14)))&gt;0)</f>
        <v>0</v>
      </c>
      <c r="AA14" s="23">
        <f t="shared" si="0"/>
        <v>1</v>
      </c>
      <c r="AB14" s="15"/>
      <c r="AC14" s="30">
        <v>1</v>
      </c>
      <c r="AD14" s="37">
        <v>0</v>
      </c>
    </row>
    <row r="15" spans="1:30" x14ac:dyDescent="0.25">
      <c r="A15" s="36">
        <v>14</v>
      </c>
      <c r="B15" s="14" t="s">
        <v>56</v>
      </c>
      <c r="C15" s="31" t="s">
        <v>57</v>
      </c>
      <c r="D15" s="17">
        <v>44132</v>
      </c>
      <c r="E15" s="14" t="s">
        <v>30</v>
      </c>
      <c r="F15" s="14">
        <v>768</v>
      </c>
      <c r="G15" s="14">
        <v>158</v>
      </c>
      <c r="H15" s="14">
        <v>1</v>
      </c>
      <c r="I15" s="14">
        <v>1</v>
      </c>
      <c r="J15" s="14" t="s">
        <v>31</v>
      </c>
      <c r="K15" s="14" cm="1">
        <f t="array" ref="K15">INT(SUMPRODUCT(--ISNUMBER(SEARCH(economy,'Martha McSally'!C15)))&gt;0)</f>
        <v>0</v>
      </c>
      <c r="L15" s="14" cm="1">
        <f t="array" ref="L15">INT(SUMPRODUCT(--ISNUMBER(SEARCH(healthcare,'Martha McSally'!C15)))&gt;0)</f>
        <v>0</v>
      </c>
      <c r="M15" s="14" cm="1">
        <f t="array" ref="M15">INT(SUMPRODUCT(--ISNUMBER(SEARCH(supreme,'Martha McSally'!C15)))&gt;0)</f>
        <v>0</v>
      </c>
      <c r="N15" s="14" cm="1">
        <f t="array" ref="N15">INT(SUMPRODUCT(--ISNUMBER(SEARCH(covid,'Martha McSally'!C15)))&gt;0)</f>
        <v>0</v>
      </c>
      <c r="O15" s="14" cm="1">
        <f t="array" ref="O15">INT(SUMPRODUCT(--ISNUMBER(SEARCH(violent,'Martha McSally'!C15)))&gt;0)</f>
        <v>0</v>
      </c>
      <c r="P15" s="14" cm="1">
        <f t="array" ref="P15">INT(SUMPRODUCT(--ISNUMBER(SEARCH(foreign,'Martha McSally'!C15)))&gt;0)</f>
        <v>0</v>
      </c>
      <c r="Q15" s="14" cm="1">
        <f t="array" ref="Q15">INT(SUMPRODUCT(--ISNUMBER(SEARCH(gun,'Martha McSally'!C15)))&gt;0)</f>
        <v>0</v>
      </c>
      <c r="R15" s="14" cm="1">
        <f t="array" ref="R15">INT(SUMPRODUCT(--ISNUMBER(SEARCH(race,'Martha McSally'!C15)))&gt;0)</f>
        <v>0</v>
      </c>
      <c r="S15" s="14" cm="1">
        <f t="array" ref="S15">INT(SUMPRODUCT(--ISNUMBER(SEARCH(immigration,C15)))&gt;0)</f>
        <v>0</v>
      </c>
      <c r="T15" s="14" cm="1">
        <f t="array" ref="T15">INT(SUMPRODUCT(--ISNUMBER(SEARCH(econineq,C15)))&gt;0)</f>
        <v>0</v>
      </c>
      <c r="U15" s="14" cm="1">
        <f t="array" ref="U15">INT(SUMPRODUCT(--ISNUMBER(SEARCH(climate,'Martha McSally'!C15)))&gt;0)</f>
        <v>1</v>
      </c>
      <c r="V15" s="14" cm="1">
        <f t="array" ref="V15">INT(SUMPRODUCT(--ISNUMBER(SEARCH(abortion,'Martha McSally'!C15)))&gt;0)</f>
        <v>0</v>
      </c>
      <c r="W15" s="14" cm="1">
        <f t="array" ref="W15">INT(SUMPRODUCT(--ISNUMBER(SEARCH(trump,'Martha McSally'!C15)))&gt;0)</f>
        <v>0</v>
      </c>
      <c r="X15" s="14" cm="1">
        <f t="array" ref="X15">INT(SUMPRODUCT(--ISNUMBER(SEARCH(voting,'Martha McSally'!C15)))&gt;0)</f>
        <v>0</v>
      </c>
      <c r="Y15" s="14" cm="1">
        <f t="array" ref="Y15">INT(SUMPRODUCT(--ISNUMBER(SEARCH(republicantrigger,'Martha McSally'!C15)))&gt;0)</f>
        <v>0</v>
      </c>
      <c r="Z15" s="23" cm="1">
        <f t="array" ref="Z15">INT(SUMPRODUCT(--ISNUMBER(SEARCH(bipartisan,'Martha McSally'!C15)))&gt;0)</f>
        <v>0</v>
      </c>
      <c r="AA15" s="23">
        <f t="shared" si="0"/>
        <v>0</v>
      </c>
      <c r="AB15" s="15"/>
      <c r="AC15" s="30">
        <v>0</v>
      </c>
      <c r="AD15" s="37">
        <v>0</v>
      </c>
    </row>
    <row r="16" spans="1:30" x14ac:dyDescent="0.25">
      <c r="A16" s="36">
        <v>15</v>
      </c>
      <c r="B16" s="14" t="s">
        <v>58</v>
      </c>
      <c r="C16" s="31" t="s">
        <v>59</v>
      </c>
      <c r="D16" s="17">
        <v>44131</v>
      </c>
      <c r="E16" s="14" t="s">
        <v>30</v>
      </c>
      <c r="F16" s="14">
        <v>291</v>
      </c>
      <c r="G16" s="14">
        <v>70</v>
      </c>
      <c r="H16" s="14">
        <v>1</v>
      </c>
      <c r="I16" s="14">
        <v>1</v>
      </c>
      <c r="J16" s="14" t="s">
        <v>31</v>
      </c>
      <c r="K16" s="14" cm="1">
        <f t="array" ref="K16">INT(SUMPRODUCT(--ISNUMBER(SEARCH(economy,'Martha McSally'!C16)))&gt;0)</f>
        <v>0</v>
      </c>
      <c r="L16" s="14" cm="1">
        <f t="array" ref="L16">INT(SUMPRODUCT(--ISNUMBER(SEARCH(healthcare,'Martha McSally'!C16)))&gt;0)</f>
        <v>0</v>
      </c>
      <c r="M16" s="14" cm="1">
        <f t="array" ref="M16">INT(SUMPRODUCT(--ISNUMBER(SEARCH(supreme,'Martha McSally'!C16)))&gt;0)</f>
        <v>0</v>
      </c>
      <c r="N16" s="14" cm="1">
        <f t="array" ref="N16">INT(SUMPRODUCT(--ISNUMBER(SEARCH(covid,'Martha McSally'!C16)))&gt;0)</f>
        <v>0</v>
      </c>
      <c r="O16" s="14" cm="1">
        <f t="array" ref="O16">INT(SUMPRODUCT(--ISNUMBER(SEARCH(violent,'Martha McSally'!C16)))&gt;0)</f>
        <v>0</v>
      </c>
      <c r="P16" s="14" cm="1">
        <f t="array" ref="P16">INT(SUMPRODUCT(--ISNUMBER(SEARCH(foreign,'Martha McSally'!C16)))&gt;0)</f>
        <v>0</v>
      </c>
      <c r="Q16" s="14" cm="1">
        <f t="array" ref="Q16">INT(SUMPRODUCT(--ISNUMBER(SEARCH(gun,'Martha McSally'!C16)))&gt;0)</f>
        <v>0</v>
      </c>
      <c r="R16" s="14" cm="1">
        <f t="array" ref="R16">INT(SUMPRODUCT(--ISNUMBER(SEARCH(race,'Martha McSally'!C16)))&gt;0)</f>
        <v>0</v>
      </c>
      <c r="S16" s="14" cm="1">
        <f t="array" ref="S16">INT(SUMPRODUCT(--ISNUMBER(SEARCH(immigration,C16)))&gt;0)</f>
        <v>0</v>
      </c>
      <c r="T16" s="14" cm="1">
        <f t="array" ref="T16">INT(SUMPRODUCT(--ISNUMBER(SEARCH(econineq,C16)))&gt;0)</f>
        <v>0</v>
      </c>
      <c r="U16" s="14" cm="1">
        <f t="array" ref="U16">INT(SUMPRODUCT(--ISNUMBER(SEARCH(climate,'Martha McSally'!C16)))&gt;0)</f>
        <v>0</v>
      </c>
      <c r="V16" s="14" cm="1">
        <f t="array" ref="V16">INT(SUMPRODUCT(--ISNUMBER(SEARCH(abortion,'Martha McSally'!C16)))&gt;0)</f>
        <v>0</v>
      </c>
      <c r="W16" s="14" cm="1">
        <f t="array" ref="W16">INT(SUMPRODUCT(--ISNUMBER(SEARCH(trump,'Martha McSally'!C16)))&gt;0)</f>
        <v>0</v>
      </c>
      <c r="X16" s="14" cm="1">
        <f t="array" ref="X16">INT(SUMPRODUCT(--ISNUMBER(SEARCH(voting,'Martha McSally'!C16)))&gt;0)</f>
        <v>0</v>
      </c>
      <c r="Y16" s="14" cm="1">
        <f t="array" ref="Y16">INT(SUMPRODUCT(--ISNUMBER(SEARCH(republicantrigger,'Martha McSally'!C16)))&gt;0)</f>
        <v>0</v>
      </c>
      <c r="Z16" s="23" cm="1">
        <f t="array" ref="Z16">INT(SUMPRODUCT(--ISNUMBER(SEARCH(bipartisan,'Martha McSally'!C16)))&gt;0)</f>
        <v>0</v>
      </c>
      <c r="AA16" s="23">
        <f t="shared" si="0"/>
        <v>1</v>
      </c>
      <c r="AB16" s="15"/>
      <c r="AC16" s="30">
        <v>1</v>
      </c>
      <c r="AD16" s="37">
        <v>0</v>
      </c>
    </row>
    <row r="17" spans="1:30" x14ac:dyDescent="0.25">
      <c r="A17" s="36">
        <v>16</v>
      </c>
      <c r="B17" s="14" t="s">
        <v>60</v>
      </c>
      <c r="C17" s="31" t="s">
        <v>61</v>
      </c>
      <c r="D17" s="17">
        <v>44131</v>
      </c>
      <c r="E17" s="14" t="s">
        <v>30</v>
      </c>
      <c r="F17" s="14">
        <v>1011</v>
      </c>
      <c r="G17" s="14">
        <v>177</v>
      </c>
      <c r="H17" s="14">
        <v>1</v>
      </c>
      <c r="I17" s="14">
        <v>1</v>
      </c>
      <c r="J17" s="14" t="s">
        <v>31</v>
      </c>
      <c r="K17" s="14" cm="1">
        <f t="array" ref="K17">INT(SUMPRODUCT(--ISNUMBER(SEARCH(economy,'Martha McSally'!C17)))&gt;0)</f>
        <v>0</v>
      </c>
      <c r="L17" s="14" cm="1">
        <f t="array" ref="L17">INT(SUMPRODUCT(--ISNUMBER(SEARCH(healthcare,'Martha McSally'!C17)))&gt;0)</f>
        <v>0</v>
      </c>
      <c r="M17" s="14" cm="1">
        <f t="array" ref="M17">INT(SUMPRODUCT(--ISNUMBER(SEARCH(supreme,'Martha McSally'!C17)))&gt;0)</f>
        <v>1</v>
      </c>
      <c r="N17" s="14" cm="1">
        <f t="array" ref="N17">INT(SUMPRODUCT(--ISNUMBER(SEARCH(covid,'Martha McSally'!C17)))&gt;0)</f>
        <v>0</v>
      </c>
      <c r="O17" s="14" cm="1">
        <f t="array" ref="O17">INT(SUMPRODUCT(--ISNUMBER(SEARCH(violent,'Martha McSally'!C17)))&gt;0)</f>
        <v>0</v>
      </c>
      <c r="P17" s="14" cm="1">
        <f t="array" ref="P17">INT(SUMPRODUCT(--ISNUMBER(SEARCH(foreign,'Martha McSally'!C17)))&gt;0)</f>
        <v>0</v>
      </c>
      <c r="Q17" s="14" cm="1">
        <f t="array" ref="Q17">INT(SUMPRODUCT(--ISNUMBER(SEARCH(gun,'Martha McSally'!C17)))&gt;0)</f>
        <v>0</v>
      </c>
      <c r="R17" s="14" cm="1">
        <f t="array" ref="R17">INT(SUMPRODUCT(--ISNUMBER(SEARCH(race,'Martha McSally'!C17)))&gt;0)</f>
        <v>0</v>
      </c>
      <c r="S17" s="14" cm="1">
        <f t="array" ref="S17">INT(SUMPRODUCT(--ISNUMBER(SEARCH(immigration,C17)))&gt;0)</f>
        <v>0</v>
      </c>
      <c r="T17" s="14" cm="1">
        <f t="array" ref="T17">INT(SUMPRODUCT(--ISNUMBER(SEARCH(econineq,C17)))&gt;0)</f>
        <v>0</v>
      </c>
      <c r="U17" s="14" cm="1">
        <f t="array" ref="U17">INT(SUMPRODUCT(--ISNUMBER(SEARCH(climate,'Martha McSally'!C17)))&gt;0)</f>
        <v>0</v>
      </c>
      <c r="V17" s="14" cm="1">
        <f t="array" ref="V17">INT(SUMPRODUCT(--ISNUMBER(SEARCH(abortion,'Martha McSally'!C17)))&gt;0)</f>
        <v>0</v>
      </c>
      <c r="W17" s="14" cm="1">
        <f t="array" ref="W17">INT(SUMPRODUCT(--ISNUMBER(SEARCH(trump,'Martha McSally'!C17)))&gt;0)</f>
        <v>0</v>
      </c>
      <c r="X17" s="14" cm="1">
        <f t="array" ref="X17">INT(SUMPRODUCT(--ISNUMBER(SEARCH(voting,'Martha McSally'!C17)))&gt;0)</f>
        <v>0</v>
      </c>
      <c r="Y17" s="14" cm="1">
        <f t="array" ref="Y17">INT(SUMPRODUCT(--ISNUMBER(SEARCH(republicantrigger,'Martha McSally'!C17)))&gt;0)</f>
        <v>0</v>
      </c>
      <c r="Z17" s="23" cm="1">
        <f t="array" ref="Z17">INT(SUMPRODUCT(--ISNUMBER(SEARCH(bipartisan,'Martha McSally'!C17)))&gt;0)</f>
        <v>0</v>
      </c>
      <c r="AA17" s="23">
        <f t="shared" si="0"/>
        <v>0</v>
      </c>
      <c r="AB17" s="15"/>
      <c r="AC17" s="30">
        <v>1</v>
      </c>
      <c r="AD17" s="37">
        <v>0</v>
      </c>
    </row>
    <row r="18" spans="1:30" x14ac:dyDescent="0.25">
      <c r="A18" s="36">
        <v>17</v>
      </c>
      <c r="B18" s="14" t="s">
        <v>62</v>
      </c>
      <c r="C18" s="31" t="s">
        <v>63</v>
      </c>
      <c r="D18" s="17">
        <v>44131</v>
      </c>
      <c r="E18" s="14" t="s">
        <v>30</v>
      </c>
      <c r="F18" s="14">
        <v>5289</v>
      </c>
      <c r="G18" s="14">
        <v>580</v>
      </c>
      <c r="H18" s="14">
        <v>1</v>
      </c>
      <c r="I18" s="14">
        <v>1</v>
      </c>
      <c r="J18" s="14" t="s">
        <v>31</v>
      </c>
      <c r="K18" s="14" cm="1">
        <f t="array" ref="K18">INT(SUMPRODUCT(--ISNUMBER(SEARCH(economy,'Martha McSally'!C18)))&gt;0)</f>
        <v>0</v>
      </c>
      <c r="L18" s="14" cm="1">
        <f t="array" ref="L18">INT(SUMPRODUCT(--ISNUMBER(SEARCH(healthcare,'Martha McSally'!C18)))&gt;0)</f>
        <v>0</v>
      </c>
      <c r="M18" s="14" cm="1">
        <f t="array" ref="M18">INT(SUMPRODUCT(--ISNUMBER(SEARCH(supreme,'Martha McSally'!C18)))&gt;0)</f>
        <v>1</v>
      </c>
      <c r="N18" s="14" cm="1">
        <f t="array" ref="N18">INT(SUMPRODUCT(--ISNUMBER(SEARCH(covid,'Martha McSally'!C18)))&gt;0)</f>
        <v>0</v>
      </c>
      <c r="O18" s="14" cm="1">
        <f t="array" ref="O18">INT(SUMPRODUCT(--ISNUMBER(SEARCH(violent,'Martha McSally'!C18)))&gt;0)</f>
        <v>0</v>
      </c>
      <c r="P18" s="14" cm="1">
        <f t="array" ref="P18">INT(SUMPRODUCT(--ISNUMBER(SEARCH(foreign,'Martha McSally'!C18)))&gt;0)</f>
        <v>0</v>
      </c>
      <c r="Q18" s="14" cm="1">
        <f t="array" ref="Q18">INT(SUMPRODUCT(--ISNUMBER(SEARCH(gun,'Martha McSally'!C18)))&gt;0)</f>
        <v>0</v>
      </c>
      <c r="R18" s="14" cm="1">
        <f t="array" ref="R18">INT(SUMPRODUCT(--ISNUMBER(SEARCH(race,'Martha McSally'!C18)))&gt;0)</f>
        <v>0</v>
      </c>
      <c r="S18" s="14" cm="1">
        <f t="array" ref="S18">INT(SUMPRODUCT(--ISNUMBER(SEARCH(immigration,C18)))&gt;0)</f>
        <v>0</v>
      </c>
      <c r="T18" s="14" cm="1">
        <f t="array" ref="T18">INT(SUMPRODUCT(--ISNUMBER(SEARCH(econineq,C18)))&gt;0)</f>
        <v>0</v>
      </c>
      <c r="U18" s="14" cm="1">
        <f t="array" ref="U18">INT(SUMPRODUCT(--ISNUMBER(SEARCH(climate,'Martha McSally'!C18)))&gt;0)</f>
        <v>0</v>
      </c>
      <c r="V18" s="14" cm="1">
        <f t="array" ref="V18">INT(SUMPRODUCT(--ISNUMBER(SEARCH(abortion,'Martha McSally'!C18)))&gt;0)</f>
        <v>0</v>
      </c>
      <c r="W18" s="14" cm="1">
        <f t="array" ref="W18">INT(SUMPRODUCT(--ISNUMBER(SEARCH(trump,'Martha McSally'!C18)))&gt;0)</f>
        <v>0</v>
      </c>
      <c r="X18" s="14" cm="1">
        <f t="array" ref="X18">INT(SUMPRODUCT(--ISNUMBER(SEARCH(voting,'Martha McSally'!C18)))&gt;0)</f>
        <v>0</v>
      </c>
      <c r="Y18" s="14" cm="1">
        <f t="array" ref="Y18">INT(SUMPRODUCT(--ISNUMBER(SEARCH(republicantrigger,'Martha McSally'!C18)))&gt;0)</f>
        <v>0</v>
      </c>
      <c r="Z18" s="23" cm="1">
        <f t="array" ref="Z18">INT(SUMPRODUCT(--ISNUMBER(SEARCH(bipartisan,'Martha McSally'!C18)))&gt;0)</f>
        <v>0</v>
      </c>
      <c r="AA18" s="23">
        <f t="shared" si="0"/>
        <v>0</v>
      </c>
      <c r="AB18" s="15"/>
      <c r="AC18" s="30">
        <v>1</v>
      </c>
      <c r="AD18" s="37">
        <v>0</v>
      </c>
    </row>
    <row r="19" spans="1:30" x14ac:dyDescent="0.25">
      <c r="A19" s="36">
        <v>18</v>
      </c>
      <c r="B19" s="14" t="s">
        <v>64</v>
      </c>
      <c r="C19" s="31" t="s">
        <v>65</v>
      </c>
      <c r="D19" s="17">
        <v>44131</v>
      </c>
      <c r="E19" s="14" t="s">
        <v>30</v>
      </c>
      <c r="F19" s="14">
        <v>5280</v>
      </c>
      <c r="G19" s="14">
        <v>579</v>
      </c>
      <c r="H19" s="14">
        <v>1</v>
      </c>
      <c r="I19" s="14">
        <v>1</v>
      </c>
      <c r="J19" s="14" t="s">
        <v>31</v>
      </c>
      <c r="K19" s="14" cm="1">
        <f t="array" ref="K19">INT(SUMPRODUCT(--ISNUMBER(SEARCH(economy,'Martha McSally'!C19)))&gt;0)</f>
        <v>0</v>
      </c>
      <c r="L19" s="14" cm="1">
        <f t="array" ref="L19">INT(SUMPRODUCT(--ISNUMBER(SEARCH(healthcare,'Martha McSally'!C19)))&gt;0)</f>
        <v>0</v>
      </c>
      <c r="M19" s="14" cm="1">
        <f t="array" ref="M19">INT(SUMPRODUCT(--ISNUMBER(SEARCH(supreme,'Martha McSally'!C19)))&gt;0)</f>
        <v>1</v>
      </c>
      <c r="N19" s="14" cm="1">
        <f t="array" ref="N19">INT(SUMPRODUCT(--ISNUMBER(SEARCH(covid,'Martha McSally'!C19)))&gt;0)</f>
        <v>0</v>
      </c>
      <c r="O19" s="14" cm="1">
        <f t="array" ref="O19">INT(SUMPRODUCT(--ISNUMBER(SEARCH(violent,'Martha McSally'!C19)))&gt;0)</f>
        <v>0</v>
      </c>
      <c r="P19" s="14" cm="1">
        <f t="array" ref="P19">INT(SUMPRODUCT(--ISNUMBER(SEARCH(foreign,'Martha McSally'!C19)))&gt;0)</f>
        <v>0</v>
      </c>
      <c r="Q19" s="14" cm="1">
        <f t="array" ref="Q19">INT(SUMPRODUCT(--ISNUMBER(SEARCH(gun,'Martha McSally'!C19)))&gt;0)</f>
        <v>0</v>
      </c>
      <c r="R19" s="14" cm="1">
        <f t="array" ref="R19">INT(SUMPRODUCT(--ISNUMBER(SEARCH(race,'Martha McSally'!C19)))&gt;0)</f>
        <v>0</v>
      </c>
      <c r="S19" s="14" cm="1">
        <f t="array" ref="S19">INT(SUMPRODUCT(--ISNUMBER(SEARCH(immigration,C19)))&gt;0)</f>
        <v>0</v>
      </c>
      <c r="T19" s="14" cm="1">
        <f t="array" ref="T19">INT(SUMPRODUCT(--ISNUMBER(SEARCH(econineq,C19)))&gt;0)</f>
        <v>0</v>
      </c>
      <c r="U19" s="14" cm="1">
        <f t="array" ref="U19">INT(SUMPRODUCT(--ISNUMBER(SEARCH(climate,'Martha McSally'!C19)))&gt;0)</f>
        <v>0</v>
      </c>
      <c r="V19" s="14" cm="1">
        <f t="array" ref="V19">INT(SUMPRODUCT(--ISNUMBER(SEARCH(abortion,'Martha McSally'!C19)))&gt;0)</f>
        <v>0</v>
      </c>
      <c r="W19" s="14" cm="1">
        <f t="array" ref="W19">INT(SUMPRODUCT(--ISNUMBER(SEARCH(trump,'Martha McSally'!C19)))&gt;0)</f>
        <v>0</v>
      </c>
      <c r="X19" s="14" cm="1">
        <f t="array" ref="X19">INT(SUMPRODUCT(--ISNUMBER(SEARCH(voting,'Martha McSally'!C19)))&gt;0)</f>
        <v>0</v>
      </c>
      <c r="Y19" s="14" cm="1">
        <f t="array" ref="Y19">INT(SUMPRODUCT(--ISNUMBER(SEARCH(republicantrigger,'Martha McSally'!C19)))&gt;0)</f>
        <v>0</v>
      </c>
      <c r="Z19" s="23" cm="1">
        <f t="array" ref="Z19">INT(SUMPRODUCT(--ISNUMBER(SEARCH(bipartisan,'Martha McSally'!C19)))&gt;0)</f>
        <v>0</v>
      </c>
      <c r="AA19" s="23">
        <f t="shared" si="0"/>
        <v>0</v>
      </c>
      <c r="AB19" s="15"/>
      <c r="AC19" s="30">
        <v>1</v>
      </c>
      <c r="AD19" s="37">
        <v>0</v>
      </c>
    </row>
    <row r="20" spans="1:30" x14ac:dyDescent="0.25">
      <c r="A20" s="36">
        <v>19</v>
      </c>
      <c r="B20" s="14" t="s">
        <v>66</v>
      </c>
      <c r="C20" s="31" t="s">
        <v>67</v>
      </c>
      <c r="D20" s="17">
        <v>44131</v>
      </c>
      <c r="E20" s="14" t="s">
        <v>30</v>
      </c>
      <c r="F20" s="14">
        <v>2179</v>
      </c>
      <c r="G20" s="14">
        <v>267</v>
      </c>
      <c r="H20" s="14">
        <v>1</v>
      </c>
      <c r="I20" s="14">
        <v>1</v>
      </c>
      <c r="J20" s="14" t="s">
        <v>31</v>
      </c>
      <c r="K20" s="14" cm="1">
        <f t="array" ref="K20">INT(SUMPRODUCT(--ISNUMBER(SEARCH(economy,'Martha McSally'!C20)))&gt;0)</f>
        <v>0</v>
      </c>
      <c r="L20" s="14" cm="1">
        <f t="array" ref="L20">INT(SUMPRODUCT(--ISNUMBER(SEARCH(healthcare,'Martha McSally'!C20)))&gt;0)</f>
        <v>0</v>
      </c>
      <c r="M20" s="14" cm="1">
        <f t="array" ref="M20">INT(SUMPRODUCT(--ISNUMBER(SEARCH(supreme,'Martha McSally'!C20)))&gt;0)</f>
        <v>1</v>
      </c>
      <c r="N20" s="14" cm="1">
        <f t="array" ref="N20">INT(SUMPRODUCT(--ISNUMBER(SEARCH(covid,'Martha McSally'!C20)))&gt;0)</f>
        <v>0</v>
      </c>
      <c r="O20" s="14" cm="1">
        <f t="array" ref="O20">INT(SUMPRODUCT(--ISNUMBER(SEARCH(violent,'Martha McSally'!C20)))&gt;0)</f>
        <v>0</v>
      </c>
      <c r="P20" s="14" cm="1">
        <f t="array" ref="P20">INT(SUMPRODUCT(--ISNUMBER(SEARCH(foreign,'Martha McSally'!C20)))&gt;0)</f>
        <v>0</v>
      </c>
      <c r="Q20" s="14" cm="1">
        <f t="array" ref="Q20">INT(SUMPRODUCT(--ISNUMBER(SEARCH(gun,'Martha McSally'!C20)))&gt;0)</f>
        <v>0</v>
      </c>
      <c r="R20" s="14" cm="1">
        <f t="array" ref="R20">INT(SUMPRODUCT(--ISNUMBER(SEARCH(race,'Martha McSally'!C20)))&gt;0)</f>
        <v>0</v>
      </c>
      <c r="S20" s="14" cm="1">
        <f t="array" ref="S20">INT(SUMPRODUCT(--ISNUMBER(SEARCH(immigration,C20)))&gt;0)</f>
        <v>0</v>
      </c>
      <c r="T20" s="14" cm="1">
        <f t="array" ref="T20">INT(SUMPRODUCT(--ISNUMBER(SEARCH(econineq,C20)))&gt;0)</f>
        <v>0</v>
      </c>
      <c r="U20" s="14" cm="1">
        <f t="array" ref="U20">INT(SUMPRODUCT(--ISNUMBER(SEARCH(climate,'Martha McSally'!C20)))&gt;0)</f>
        <v>0</v>
      </c>
      <c r="V20" s="14" cm="1">
        <f t="array" ref="V20">INT(SUMPRODUCT(--ISNUMBER(SEARCH(abortion,'Martha McSally'!C20)))&gt;0)</f>
        <v>0</v>
      </c>
      <c r="W20" s="14" cm="1">
        <f t="array" ref="W20">INT(SUMPRODUCT(--ISNUMBER(SEARCH(trump,'Martha McSally'!C20)))&gt;0)</f>
        <v>0</v>
      </c>
      <c r="X20" s="14" cm="1">
        <f t="array" ref="X20">INT(SUMPRODUCT(--ISNUMBER(SEARCH(voting,'Martha McSally'!C20)))&gt;0)</f>
        <v>0</v>
      </c>
      <c r="Y20" s="14" cm="1">
        <f t="array" ref="Y20">INT(SUMPRODUCT(--ISNUMBER(SEARCH(republicantrigger,'Martha McSally'!C20)))&gt;0)</f>
        <v>0</v>
      </c>
      <c r="Z20" s="23" cm="1">
        <f t="array" ref="Z20">INT(SUMPRODUCT(--ISNUMBER(SEARCH(bipartisan,'Martha McSally'!C20)))&gt;0)</f>
        <v>0</v>
      </c>
      <c r="AA20" s="23">
        <f t="shared" si="0"/>
        <v>0</v>
      </c>
      <c r="AB20" s="15"/>
      <c r="AC20" s="30">
        <v>1</v>
      </c>
      <c r="AD20" s="37">
        <v>0</v>
      </c>
    </row>
    <row r="21" spans="1:30" x14ac:dyDescent="0.25">
      <c r="A21" s="36">
        <v>20</v>
      </c>
      <c r="B21" s="14" t="s">
        <v>68</v>
      </c>
      <c r="C21" s="31" t="s">
        <v>69</v>
      </c>
      <c r="D21" s="17">
        <v>44131</v>
      </c>
      <c r="E21" s="14" t="s">
        <v>70</v>
      </c>
      <c r="F21" s="14">
        <v>288</v>
      </c>
      <c r="G21" s="14">
        <v>38</v>
      </c>
      <c r="H21" s="14">
        <v>1</v>
      </c>
      <c r="I21" s="14">
        <v>1</v>
      </c>
      <c r="J21" s="14" t="s">
        <v>31</v>
      </c>
      <c r="K21" s="14">
        <v>0</v>
      </c>
      <c r="L21" s="14">
        <v>0</v>
      </c>
      <c r="M21" s="14">
        <v>1</v>
      </c>
      <c r="N21" s="14">
        <v>0</v>
      </c>
      <c r="O21" s="14">
        <v>0</v>
      </c>
      <c r="P21" s="14">
        <v>0</v>
      </c>
      <c r="Q21" s="14">
        <v>0</v>
      </c>
      <c r="R21" s="14">
        <v>0</v>
      </c>
      <c r="S21" s="14" cm="1">
        <f t="array" ref="S21">INT(SUMPRODUCT(--ISNUMBER(SEARCH(immigration,C21)))&gt;0)</f>
        <v>0</v>
      </c>
      <c r="T21" s="14" cm="1">
        <f t="array" ref="T21">INT(SUMPRODUCT(--ISNUMBER(SEARCH(econineq,C21)))&gt;0)</f>
        <v>0</v>
      </c>
      <c r="U21" s="14">
        <v>0</v>
      </c>
      <c r="V21" s="14">
        <v>0</v>
      </c>
      <c r="W21" s="14">
        <v>0</v>
      </c>
      <c r="X21" s="14">
        <v>0</v>
      </c>
      <c r="Y21" s="14" cm="1">
        <f t="array" ref="Y21">INT(SUMPRODUCT(--ISNUMBER(SEARCH(republicantrigger,'Martha McSally'!C21)))&gt;0)</f>
        <v>0</v>
      </c>
      <c r="Z21" s="23" cm="1">
        <f t="array" ref="Z21">INT(SUMPRODUCT(--ISNUMBER(SEARCH(bipartisan,'Martha McSally'!C21)))&gt;0)</f>
        <v>0</v>
      </c>
      <c r="AA21" s="23">
        <f t="shared" si="0"/>
        <v>0</v>
      </c>
      <c r="AB21" s="15"/>
      <c r="AC21" s="30">
        <v>0</v>
      </c>
      <c r="AD21" s="37">
        <v>0</v>
      </c>
    </row>
    <row r="22" spans="1:30" x14ac:dyDescent="0.25">
      <c r="A22" s="36">
        <v>21</v>
      </c>
      <c r="B22" s="14" t="s">
        <v>71</v>
      </c>
      <c r="C22" s="31" t="s">
        <v>72</v>
      </c>
      <c r="D22" s="17">
        <v>44131</v>
      </c>
      <c r="E22" s="14" t="s">
        <v>30</v>
      </c>
      <c r="F22" s="14">
        <v>2545</v>
      </c>
      <c r="G22" s="14">
        <v>372</v>
      </c>
      <c r="H22" s="14">
        <v>1</v>
      </c>
      <c r="I22" s="14">
        <v>1</v>
      </c>
      <c r="J22" s="14" t="s">
        <v>31</v>
      </c>
      <c r="K22" s="14" cm="1">
        <f t="array" ref="K22">INT(SUMPRODUCT(--ISNUMBER(SEARCH(economy,'Martha McSally'!C22)))&gt;0)</f>
        <v>0</v>
      </c>
      <c r="L22" s="14" cm="1">
        <f t="array" ref="L22">INT(SUMPRODUCT(--ISNUMBER(SEARCH(healthcare,'Martha McSally'!C22)))&gt;0)</f>
        <v>0</v>
      </c>
      <c r="M22" s="14" cm="1">
        <f t="array" ref="M22">INT(SUMPRODUCT(--ISNUMBER(SEARCH(supreme,'Martha McSally'!C22)))&gt;0)</f>
        <v>1</v>
      </c>
      <c r="N22" s="14" cm="1">
        <f t="array" ref="N22">INT(SUMPRODUCT(--ISNUMBER(SEARCH(covid,'Martha McSally'!C22)))&gt;0)</f>
        <v>0</v>
      </c>
      <c r="O22" s="14" cm="1">
        <f t="array" ref="O22">INT(SUMPRODUCT(--ISNUMBER(SEARCH(violent,'Martha McSally'!C22)))&gt;0)</f>
        <v>0</v>
      </c>
      <c r="P22" s="14" cm="1">
        <f t="array" ref="P22">INT(SUMPRODUCT(--ISNUMBER(SEARCH(foreign,'Martha McSally'!C22)))&gt;0)</f>
        <v>0</v>
      </c>
      <c r="Q22" s="14" cm="1">
        <f t="array" ref="Q22">INT(SUMPRODUCT(--ISNUMBER(SEARCH(gun,'Martha McSally'!C22)))&gt;0)</f>
        <v>0</v>
      </c>
      <c r="R22" s="14" cm="1">
        <f t="array" ref="R22">INT(SUMPRODUCT(--ISNUMBER(SEARCH(race,'Martha McSally'!C22)))&gt;0)</f>
        <v>0</v>
      </c>
      <c r="S22" s="14" cm="1">
        <f t="array" ref="S22">INT(SUMPRODUCT(--ISNUMBER(SEARCH(immigration,C22)))&gt;0)</f>
        <v>0</v>
      </c>
      <c r="T22" s="14" cm="1">
        <f t="array" ref="T22">INT(SUMPRODUCT(--ISNUMBER(SEARCH(econineq,C22)))&gt;0)</f>
        <v>0</v>
      </c>
      <c r="U22" s="14" cm="1">
        <f t="array" ref="U22">INT(SUMPRODUCT(--ISNUMBER(SEARCH(climate,'Martha McSally'!C22)))&gt;0)</f>
        <v>0</v>
      </c>
      <c r="V22" s="14" cm="1">
        <f t="array" ref="V22">INT(SUMPRODUCT(--ISNUMBER(SEARCH(abortion,'Martha McSally'!C22)))&gt;0)</f>
        <v>0</v>
      </c>
      <c r="W22" s="14" cm="1">
        <f t="array" ref="W22">INT(SUMPRODUCT(--ISNUMBER(SEARCH(trump,'Martha McSally'!C22)))&gt;0)</f>
        <v>0</v>
      </c>
      <c r="X22" s="14" cm="1">
        <f t="array" ref="X22">INT(SUMPRODUCT(--ISNUMBER(SEARCH(voting,'Martha McSally'!C22)))&gt;0)</f>
        <v>1</v>
      </c>
      <c r="Y22" s="14" cm="1">
        <f t="array" ref="Y22">INT(SUMPRODUCT(--ISNUMBER(SEARCH(republicantrigger,'Martha McSally'!C22)))&gt;0)</f>
        <v>0</v>
      </c>
      <c r="Z22" s="23" cm="1">
        <f t="array" ref="Z22">INT(SUMPRODUCT(--ISNUMBER(SEARCH(bipartisan,'Martha McSally'!C22)))&gt;0)</f>
        <v>0</v>
      </c>
      <c r="AA22" s="23">
        <f t="shared" si="0"/>
        <v>0</v>
      </c>
      <c r="AB22" s="15"/>
      <c r="AC22" s="30">
        <v>0</v>
      </c>
      <c r="AD22" s="37">
        <v>1</v>
      </c>
    </row>
    <row r="23" spans="1:30" x14ac:dyDescent="0.25">
      <c r="A23" s="36">
        <v>22</v>
      </c>
      <c r="B23" s="14" t="s">
        <v>73</v>
      </c>
      <c r="C23" s="31" t="s">
        <v>74</v>
      </c>
      <c r="D23" s="17">
        <v>44130</v>
      </c>
      <c r="E23" s="14" t="s">
        <v>30</v>
      </c>
      <c r="F23" s="14">
        <v>440</v>
      </c>
      <c r="G23" s="14">
        <v>118</v>
      </c>
      <c r="H23" s="14">
        <v>1</v>
      </c>
      <c r="I23" s="14">
        <v>1</v>
      </c>
      <c r="J23" s="14" t="s">
        <v>31</v>
      </c>
      <c r="K23" s="14" cm="1">
        <f t="array" ref="K23">INT(SUMPRODUCT(--ISNUMBER(SEARCH(economy,'Martha McSally'!C23)))&gt;0)</f>
        <v>0</v>
      </c>
      <c r="L23" s="14" cm="1">
        <f t="array" ref="L23">INT(SUMPRODUCT(--ISNUMBER(SEARCH(healthcare,'Martha McSally'!C23)))&gt;0)</f>
        <v>0</v>
      </c>
      <c r="M23" s="14" cm="1">
        <f t="array" ref="M23">INT(SUMPRODUCT(--ISNUMBER(SEARCH(supreme,'Martha McSally'!C23)))&gt;0)</f>
        <v>0</v>
      </c>
      <c r="N23" s="14" cm="1">
        <f t="array" ref="N23">INT(SUMPRODUCT(--ISNUMBER(SEARCH(covid,'Martha McSally'!C23)))&gt;0)</f>
        <v>0</v>
      </c>
      <c r="O23" s="14" cm="1">
        <f t="array" ref="O23">INT(SUMPRODUCT(--ISNUMBER(SEARCH(violent,'Martha McSally'!C23)))&gt;0)</f>
        <v>0</v>
      </c>
      <c r="P23" s="14" cm="1">
        <f t="array" ref="P23">INT(SUMPRODUCT(--ISNUMBER(SEARCH(foreign,'Martha McSally'!C23)))&gt;0)</f>
        <v>0</v>
      </c>
      <c r="Q23" s="14" cm="1">
        <f t="array" ref="Q23">INT(SUMPRODUCT(--ISNUMBER(SEARCH(gun,'Martha McSally'!C23)))&gt;0)</f>
        <v>0</v>
      </c>
      <c r="R23" s="14" cm="1">
        <f t="array" ref="R23">INT(SUMPRODUCT(--ISNUMBER(SEARCH(race,'Martha McSally'!C23)))&gt;0)</f>
        <v>0</v>
      </c>
      <c r="S23" s="14" cm="1">
        <f t="array" ref="S23">INT(SUMPRODUCT(--ISNUMBER(SEARCH(immigration,C23)))&gt;0)</f>
        <v>0</v>
      </c>
      <c r="T23" s="14" cm="1">
        <f t="array" ref="T23">INT(SUMPRODUCT(--ISNUMBER(SEARCH(econineq,C23)))&gt;0)</f>
        <v>0</v>
      </c>
      <c r="U23" s="14" cm="1">
        <f t="array" ref="U23">INT(SUMPRODUCT(--ISNUMBER(SEARCH(climate,'Martha McSally'!C23)))&gt;0)</f>
        <v>0</v>
      </c>
      <c r="V23" s="14" cm="1">
        <f t="array" ref="V23">INT(SUMPRODUCT(--ISNUMBER(SEARCH(abortion,'Martha McSally'!C23)))&gt;0)</f>
        <v>0</v>
      </c>
      <c r="W23" s="14" cm="1">
        <f t="array" ref="W23">INT(SUMPRODUCT(--ISNUMBER(SEARCH(trump,'Martha McSally'!C23)))&gt;0)</f>
        <v>0</v>
      </c>
      <c r="X23" s="14" cm="1">
        <f t="array" ref="X23">INT(SUMPRODUCT(--ISNUMBER(SEARCH(voting,'Martha McSally'!C23)))&gt;0)</f>
        <v>0</v>
      </c>
      <c r="Y23" s="14" cm="1">
        <f t="array" ref="Y23">INT(SUMPRODUCT(--ISNUMBER(SEARCH(republicantrigger,'Martha McSally'!C23)))&gt;0)</f>
        <v>0</v>
      </c>
      <c r="Z23" s="23" cm="1">
        <f t="array" ref="Z23">INT(SUMPRODUCT(--ISNUMBER(SEARCH(bipartisan,'Martha McSally'!C23)))&gt;0)</f>
        <v>0</v>
      </c>
      <c r="AA23" s="23">
        <f t="shared" si="0"/>
        <v>1</v>
      </c>
      <c r="AB23" s="15"/>
      <c r="AC23" s="30">
        <v>0</v>
      </c>
      <c r="AD23" s="37">
        <v>0</v>
      </c>
    </row>
    <row r="24" spans="1:30" x14ac:dyDescent="0.25">
      <c r="A24" s="36">
        <v>23</v>
      </c>
      <c r="B24" s="14" t="s">
        <v>75</v>
      </c>
      <c r="C24" s="31" t="s">
        <v>76</v>
      </c>
      <c r="D24" s="17">
        <v>44130</v>
      </c>
      <c r="E24" s="14" t="s">
        <v>30</v>
      </c>
      <c r="F24" s="14">
        <v>240</v>
      </c>
      <c r="G24" s="14">
        <v>50</v>
      </c>
      <c r="H24" s="14">
        <v>1</v>
      </c>
      <c r="I24" s="14">
        <v>1</v>
      </c>
      <c r="J24" s="14" t="s">
        <v>31</v>
      </c>
      <c r="K24" s="14" cm="1">
        <f t="array" ref="K24">INT(SUMPRODUCT(--ISNUMBER(SEARCH(economy,'Martha McSally'!C24)))&gt;0)</f>
        <v>0</v>
      </c>
      <c r="L24" s="14" cm="1">
        <f t="array" ref="L24">INT(SUMPRODUCT(--ISNUMBER(SEARCH(healthcare,'Martha McSally'!C24)))&gt;0)</f>
        <v>1</v>
      </c>
      <c r="M24" s="14" cm="1">
        <f t="array" ref="M24">INT(SUMPRODUCT(--ISNUMBER(SEARCH(supreme,'Martha McSally'!C24)))&gt;0)</f>
        <v>0</v>
      </c>
      <c r="N24" s="14" cm="1">
        <f t="array" ref="N24">INT(SUMPRODUCT(--ISNUMBER(SEARCH(covid,'Martha McSally'!C24)))&gt;0)</f>
        <v>1</v>
      </c>
      <c r="O24" s="14" cm="1">
        <f t="array" ref="O24">INT(SUMPRODUCT(--ISNUMBER(SEARCH(violent,'Martha McSally'!C24)))&gt;0)</f>
        <v>0</v>
      </c>
      <c r="P24" s="14" cm="1">
        <f t="array" ref="P24">INT(SUMPRODUCT(--ISNUMBER(SEARCH(foreign,'Martha McSally'!C24)))&gt;0)</f>
        <v>0</v>
      </c>
      <c r="Q24" s="14" cm="1">
        <f t="array" ref="Q24">INT(SUMPRODUCT(--ISNUMBER(SEARCH(gun,'Martha McSally'!C24)))&gt;0)</f>
        <v>0</v>
      </c>
      <c r="R24" s="14" cm="1">
        <f t="array" ref="R24">INT(SUMPRODUCT(--ISNUMBER(SEARCH(race,'Martha McSally'!C24)))&gt;0)</f>
        <v>0</v>
      </c>
      <c r="S24" s="14" cm="1">
        <f t="array" ref="S24">INT(SUMPRODUCT(--ISNUMBER(SEARCH(immigration,C24)))&gt;0)</f>
        <v>0</v>
      </c>
      <c r="T24" s="14" cm="1">
        <f t="array" ref="T24">INT(SUMPRODUCT(--ISNUMBER(SEARCH(econineq,C24)))&gt;0)</f>
        <v>0</v>
      </c>
      <c r="U24" s="14" cm="1">
        <f t="array" ref="U24">INT(SUMPRODUCT(--ISNUMBER(SEARCH(climate,'Martha McSally'!C24)))&gt;0)</f>
        <v>0</v>
      </c>
      <c r="V24" s="14" cm="1">
        <f t="array" ref="V24">INT(SUMPRODUCT(--ISNUMBER(SEARCH(abortion,'Martha McSally'!C24)))&gt;0)</f>
        <v>0</v>
      </c>
      <c r="W24" s="14" cm="1">
        <f t="array" ref="W24">INT(SUMPRODUCT(--ISNUMBER(SEARCH(trump,'Martha McSally'!C24)))&gt;0)</f>
        <v>0</v>
      </c>
      <c r="X24" s="14" cm="1">
        <f t="array" ref="X24">INT(SUMPRODUCT(--ISNUMBER(SEARCH(voting,'Martha McSally'!C24)))&gt;0)</f>
        <v>0</v>
      </c>
      <c r="Y24" s="14" cm="1">
        <f t="array" ref="Y24">INT(SUMPRODUCT(--ISNUMBER(SEARCH(republicantrigger,'Martha McSally'!C24)))&gt;0)</f>
        <v>0</v>
      </c>
      <c r="Z24" s="23" cm="1">
        <f t="array" ref="Z24">INT(SUMPRODUCT(--ISNUMBER(SEARCH(bipartisan,'Martha McSally'!C24)))&gt;0)</f>
        <v>0</v>
      </c>
      <c r="AA24" s="23">
        <f t="shared" si="0"/>
        <v>0</v>
      </c>
      <c r="AB24" s="15"/>
      <c r="AC24" s="30">
        <v>0</v>
      </c>
      <c r="AD24" s="37">
        <v>0</v>
      </c>
    </row>
    <row r="25" spans="1:30" x14ac:dyDescent="0.25">
      <c r="A25" s="36">
        <v>24</v>
      </c>
      <c r="B25" s="14" t="s">
        <v>77</v>
      </c>
      <c r="C25" s="31" t="s">
        <v>78</v>
      </c>
      <c r="D25" s="17">
        <v>44130</v>
      </c>
      <c r="E25" s="14" t="s">
        <v>30</v>
      </c>
      <c r="F25" s="14">
        <v>3779</v>
      </c>
      <c r="G25" s="14">
        <v>560</v>
      </c>
      <c r="H25" s="14">
        <v>1</v>
      </c>
      <c r="I25" s="14">
        <v>1</v>
      </c>
      <c r="J25" s="14" t="s">
        <v>31</v>
      </c>
      <c r="K25" s="14">
        <v>0</v>
      </c>
      <c r="L25" s="14">
        <v>0</v>
      </c>
      <c r="M25" s="14">
        <v>1</v>
      </c>
      <c r="N25" s="14">
        <v>0</v>
      </c>
      <c r="O25" s="14">
        <v>0</v>
      </c>
      <c r="P25" s="14">
        <v>0</v>
      </c>
      <c r="Q25" s="14">
        <v>0</v>
      </c>
      <c r="R25" s="14">
        <v>0</v>
      </c>
      <c r="S25" s="14" cm="1">
        <f t="array" ref="S25">INT(SUMPRODUCT(--ISNUMBER(SEARCH(immigration,C25)))&gt;0)</f>
        <v>0</v>
      </c>
      <c r="T25" s="14" cm="1">
        <f t="array" ref="T25">INT(SUMPRODUCT(--ISNUMBER(SEARCH(econineq,C25)))&gt;0)</f>
        <v>0</v>
      </c>
      <c r="U25" s="14">
        <v>0</v>
      </c>
      <c r="V25" s="14">
        <v>0</v>
      </c>
      <c r="W25" s="14">
        <v>0</v>
      </c>
      <c r="X25" s="14">
        <v>0</v>
      </c>
      <c r="Y25" s="14" cm="1">
        <f t="array" ref="Y25">INT(SUMPRODUCT(--ISNUMBER(SEARCH(republicantrigger,'Martha McSally'!C25)))&gt;0)</f>
        <v>0</v>
      </c>
      <c r="Z25" s="23" cm="1">
        <f t="array" ref="Z25">INT(SUMPRODUCT(--ISNUMBER(SEARCH(bipartisan,'Martha McSally'!C25)))&gt;0)</f>
        <v>0</v>
      </c>
      <c r="AA25" s="23">
        <f t="shared" si="0"/>
        <v>0</v>
      </c>
      <c r="AB25" s="15"/>
      <c r="AC25" s="30">
        <v>1</v>
      </c>
      <c r="AD25" s="37">
        <v>0</v>
      </c>
    </row>
    <row r="26" spans="1:30" x14ac:dyDescent="0.25">
      <c r="A26" s="36">
        <v>25</v>
      </c>
      <c r="B26" s="14" t="s">
        <v>79</v>
      </c>
      <c r="C26" s="31" t="s">
        <v>80</v>
      </c>
      <c r="D26" s="17">
        <v>44129</v>
      </c>
      <c r="E26" s="14" t="s">
        <v>30</v>
      </c>
      <c r="F26" s="14">
        <v>4116</v>
      </c>
      <c r="G26" s="14">
        <v>715</v>
      </c>
      <c r="H26" s="14">
        <v>1</v>
      </c>
      <c r="I26" s="14">
        <v>1</v>
      </c>
      <c r="J26" s="14" t="s">
        <v>31</v>
      </c>
      <c r="K26" s="14" cm="1">
        <f t="array" ref="K26">INT(SUMPRODUCT(--ISNUMBER(SEARCH(economy,'Martha McSally'!C26)))&gt;0)</f>
        <v>0</v>
      </c>
      <c r="L26" s="14" cm="1">
        <f t="array" ref="L26">INT(SUMPRODUCT(--ISNUMBER(SEARCH(healthcare,'Martha McSally'!C26)))&gt;0)</f>
        <v>0</v>
      </c>
      <c r="M26" s="14" cm="1">
        <f t="array" ref="M26">INT(SUMPRODUCT(--ISNUMBER(SEARCH(supreme,'Martha McSally'!C26)))&gt;0)</f>
        <v>1</v>
      </c>
      <c r="N26" s="14" cm="1">
        <f t="array" ref="N26">INT(SUMPRODUCT(--ISNUMBER(SEARCH(covid,'Martha McSally'!C26)))&gt;0)</f>
        <v>0</v>
      </c>
      <c r="O26" s="14" cm="1">
        <f t="array" ref="O26">INT(SUMPRODUCT(--ISNUMBER(SEARCH(violent,'Martha McSally'!C26)))&gt;0)</f>
        <v>0</v>
      </c>
      <c r="P26" s="14" cm="1">
        <f t="array" ref="P26">INT(SUMPRODUCT(--ISNUMBER(SEARCH(foreign,'Martha McSally'!C26)))&gt;0)</f>
        <v>0</v>
      </c>
      <c r="Q26" s="14" cm="1">
        <f t="array" ref="Q26">INT(SUMPRODUCT(--ISNUMBER(SEARCH(gun,'Martha McSally'!C26)))&gt;0)</f>
        <v>0</v>
      </c>
      <c r="R26" s="14" cm="1">
        <f t="array" ref="R26">INT(SUMPRODUCT(--ISNUMBER(SEARCH(race,'Martha McSally'!C26)))&gt;0)</f>
        <v>0</v>
      </c>
      <c r="S26" s="14" cm="1">
        <f t="array" ref="S26">INT(SUMPRODUCT(--ISNUMBER(SEARCH(immigration,C26)))&gt;0)</f>
        <v>0</v>
      </c>
      <c r="T26" s="14" cm="1">
        <f t="array" ref="T26">INT(SUMPRODUCT(--ISNUMBER(SEARCH(econineq,C26)))&gt;0)</f>
        <v>0</v>
      </c>
      <c r="U26" s="14" cm="1">
        <f t="array" ref="U26">INT(SUMPRODUCT(--ISNUMBER(SEARCH(climate,'Martha McSally'!C26)))&gt;0)</f>
        <v>0</v>
      </c>
      <c r="V26" s="14" cm="1">
        <f t="array" ref="V26">INT(SUMPRODUCT(--ISNUMBER(SEARCH(abortion,'Martha McSally'!C26)))&gt;0)</f>
        <v>0</v>
      </c>
      <c r="W26" s="14" cm="1">
        <f t="array" ref="W26">INT(SUMPRODUCT(--ISNUMBER(SEARCH(trump,'Martha McSally'!C26)))&gt;0)</f>
        <v>0</v>
      </c>
      <c r="X26" s="14" cm="1">
        <f t="array" ref="X26">INT(SUMPRODUCT(--ISNUMBER(SEARCH(voting,'Martha McSally'!C26)))&gt;0)</f>
        <v>1</v>
      </c>
      <c r="Y26" s="14" cm="1">
        <f t="array" ref="Y26">INT(SUMPRODUCT(--ISNUMBER(SEARCH(republicantrigger,'Martha McSally'!C26)))&gt;0)</f>
        <v>0</v>
      </c>
      <c r="Z26" s="23" cm="1">
        <f t="array" ref="Z26">INT(SUMPRODUCT(--ISNUMBER(SEARCH(bipartisan,'Martha McSally'!C26)))&gt;0)</f>
        <v>0</v>
      </c>
      <c r="AA26" s="23">
        <f t="shared" si="0"/>
        <v>0</v>
      </c>
      <c r="AB26" s="15"/>
      <c r="AC26" s="30">
        <v>0</v>
      </c>
      <c r="AD26" s="37">
        <v>0</v>
      </c>
    </row>
    <row r="27" spans="1:30" x14ac:dyDescent="0.25">
      <c r="A27" s="36">
        <v>26</v>
      </c>
      <c r="B27" s="14" t="s">
        <v>81</v>
      </c>
      <c r="C27" s="31" t="s">
        <v>82</v>
      </c>
      <c r="D27" s="17">
        <v>44128</v>
      </c>
      <c r="E27" s="14" t="s">
        <v>30</v>
      </c>
      <c r="F27" s="14">
        <v>4120</v>
      </c>
      <c r="G27" s="14">
        <v>829</v>
      </c>
      <c r="H27" s="14">
        <v>1</v>
      </c>
      <c r="I27" s="14">
        <v>1</v>
      </c>
      <c r="J27" s="14" t="s">
        <v>31</v>
      </c>
      <c r="K27" s="14" cm="1">
        <f t="array" ref="K27">INT(SUMPRODUCT(--ISNUMBER(SEARCH(economy,'Martha McSally'!C27)))&gt;0)</f>
        <v>0</v>
      </c>
      <c r="L27" s="14" cm="1">
        <f t="array" ref="L27">INT(SUMPRODUCT(--ISNUMBER(SEARCH(healthcare,'Martha McSally'!C27)))&gt;0)</f>
        <v>0</v>
      </c>
      <c r="M27" s="14" cm="1">
        <f t="array" ref="M27">INT(SUMPRODUCT(--ISNUMBER(SEARCH(supreme,'Martha McSally'!C27)))&gt;0)</f>
        <v>1</v>
      </c>
      <c r="N27" s="14" cm="1">
        <f t="array" ref="N27">INT(SUMPRODUCT(--ISNUMBER(SEARCH(covid,'Martha McSally'!C27)))&gt;0)</f>
        <v>0</v>
      </c>
      <c r="O27" s="14" cm="1">
        <f t="array" ref="O27">INT(SUMPRODUCT(--ISNUMBER(SEARCH(violent,'Martha McSally'!C27)))&gt;0)</f>
        <v>0</v>
      </c>
      <c r="P27" s="14" cm="1">
        <f t="array" ref="P27">INT(SUMPRODUCT(--ISNUMBER(SEARCH(foreign,'Martha McSally'!C27)))&gt;0)</f>
        <v>0</v>
      </c>
      <c r="Q27" s="14" cm="1">
        <f t="array" ref="Q27">INT(SUMPRODUCT(--ISNUMBER(SEARCH(gun,'Martha McSally'!C27)))&gt;0)</f>
        <v>0</v>
      </c>
      <c r="R27" s="14" cm="1">
        <f t="array" ref="R27">INT(SUMPRODUCT(--ISNUMBER(SEARCH(race,'Martha McSally'!C27)))&gt;0)</f>
        <v>0</v>
      </c>
      <c r="S27" s="14" cm="1">
        <f t="array" ref="S27">INT(SUMPRODUCT(--ISNUMBER(SEARCH(immigration,C27)))&gt;0)</f>
        <v>0</v>
      </c>
      <c r="T27" s="14" cm="1">
        <f t="array" ref="T27">INT(SUMPRODUCT(--ISNUMBER(SEARCH(econineq,C27)))&gt;0)</f>
        <v>0</v>
      </c>
      <c r="U27" s="14" cm="1">
        <f t="array" ref="U27">INT(SUMPRODUCT(--ISNUMBER(SEARCH(climate,'Martha McSally'!C27)))&gt;0)</f>
        <v>0</v>
      </c>
      <c r="V27" s="14" cm="1">
        <f t="array" ref="V27">INT(SUMPRODUCT(--ISNUMBER(SEARCH(abortion,'Martha McSally'!C27)))&gt;0)</f>
        <v>0</v>
      </c>
      <c r="W27" s="14" cm="1">
        <f t="array" ref="W27">INT(SUMPRODUCT(--ISNUMBER(SEARCH(trump,'Martha McSally'!C27)))&gt;0)</f>
        <v>0</v>
      </c>
      <c r="X27" s="14" cm="1">
        <f t="array" ref="X27">INT(SUMPRODUCT(--ISNUMBER(SEARCH(voting,'Martha McSally'!C27)))&gt;0)</f>
        <v>0</v>
      </c>
      <c r="Y27" s="14" cm="1">
        <f t="array" ref="Y27">INT(SUMPRODUCT(--ISNUMBER(SEARCH(republicantrigger,'Martha McSally'!C27)))&gt;0)</f>
        <v>0</v>
      </c>
      <c r="Z27" s="23" cm="1">
        <f t="array" ref="Z27">INT(SUMPRODUCT(--ISNUMBER(SEARCH(bipartisan,'Martha McSally'!C27)))&gt;0)</f>
        <v>0</v>
      </c>
      <c r="AA27" s="23">
        <f t="shared" si="0"/>
        <v>0</v>
      </c>
      <c r="AB27" s="15"/>
      <c r="AC27" s="30">
        <v>0</v>
      </c>
      <c r="AD27" s="37">
        <v>0</v>
      </c>
    </row>
    <row r="28" spans="1:30" x14ac:dyDescent="0.25">
      <c r="A28" s="36">
        <v>27</v>
      </c>
      <c r="B28" s="14" t="s">
        <v>83</v>
      </c>
      <c r="C28" s="31" t="s">
        <v>84</v>
      </c>
      <c r="D28" s="17">
        <v>44128</v>
      </c>
      <c r="E28" s="14" t="s">
        <v>30</v>
      </c>
      <c r="F28" s="14">
        <v>83</v>
      </c>
      <c r="G28" s="14">
        <v>24</v>
      </c>
      <c r="H28" s="14">
        <v>1</v>
      </c>
      <c r="I28" s="14">
        <v>1</v>
      </c>
      <c r="J28" s="14" t="s">
        <v>31</v>
      </c>
      <c r="K28" s="14" cm="1">
        <f t="array" ref="K28">INT(SUMPRODUCT(--ISNUMBER(SEARCH(economy,'Martha McSally'!C28)))&gt;0)</f>
        <v>0</v>
      </c>
      <c r="L28" s="14" cm="1">
        <f t="array" ref="L28">INT(SUMPRODUCT(--ISNUMBER(SEARCH(healthcare,'Martha McSally'!C28)))&gt;0)</f>
        <v>0</v>
      </c>
      <c r="M28" s="14" cm="1">
        <f t="array" ref="M28">INT(SUMPRODUCT(--ISNUMBER(SEARCH(supreme,'Martha McSally'!C28)))&gt;0)</f>
        <v>0</v>
      </c>
      <c r="N28" s="14" cm="1">
        <f t="array" ref="N28">INT(SUMPRODUCT(--ISNUMBER(SEARCH(covid,'Martha McSally'!C28)))&gt;0)</f>
        <v>0</v>
      </c>
      <c r="O28" s="14" cm="1">
        <f t="array" ref="O28">INT(SUMPRODUCT(--ISNUMBER(SEARCH(violent,'Martha McSally'!C28)))&gt;0)</f>
        <v>0</v>
      </c>
      <c r="P28" s="14" cm="1">
        <f t="array" ref="P28">INT(SUMPRODUCT(--ISNUMBER(SEARCH(foreign,'Martha McSally'!C28)))&gt;0)</f>
        <v>0</v>
      </c>
      <c r="Q28" s="14" cm="1">
        <f t="array" ref="Q28">INT(SUMPRODUCT(--ISNUMBER(SEARCH(gun,'Martha McSally'!C28)))&gt;0)</f>
        <v>0</v>
      </c>
      <c r="R28" s="14" cm="1">
        <f t="array" ref="R28">INT(SUMPRODUCT(--ISNUMBER(SEARCH(race,'Martha McSally'!C28)))&gt;0)</f>
        <v>0</v>
      </c>
      <c r="S28" s="14" cm="1">
        <f t="array" ref="S28">INT(SUMPRODUCT(--ISNUMBER(SEARCH(immigration,C28)))&gt;0)</f>
        <v>0</v>
      </c>
      <c r="T28" s="14" cm="1">
        <f t="array" ref="T28">INT(SUMPRODUCT(--ISNUMBER(SEARCH(econineq,C28)))&gt;0)</f>
        <v>0</v>
      </c>
      <c r="U28" s="14" cm="1">
        <f t="array" ref="U28">INT(SUMPRODUCT(--ISNUMBER(SEARCH(climate,'Martha McSally'!C28)))&gt;0)</f>
        <v>0</v>
      </c>
      <c r="V28" s="14" cm="1">
        <f t="array" ref="V28">INT(SUMPRODUCT(--ISNUMBER(SEARCH(abortion,'Martha McSally'!C28)))&gt;0)</f>
        <v>0</v>
      </c>
      <c r="W28" s="14" cm="1">
        <f t="array" ref="W28">INT(SUMPRODUCT(--ISNUMBER(SEARCH(trump,'Martha McSally'!C28)))&gt;0)</f>
        <v>0</v>
      </c>
      <c r="X28" s="14" cm="1">
        <f t="array" ref="X28">INT(SUMPRODUCT(--ISNUMBER(SEARCH(voting,'Martha McSally'!C28)))&gt;0)</f>
        <v>0</v>
      </c>
      <c r="Y28" s="14" cm="1">
        <f t="array" ref="Y28">INT(SUMPRODUCT(--ISNUMBER(SEARCH(republicantrigger,'Martha McSally'!C28)))&gt;0)</f>
        <v>0</v>
      </c>
      <c r="Z28" s="23" cm="1">
        <f t="array" ref="Z28">INT(SUMPRODUCT(--ISNUMBER(SEARCH(bipartisan,'Martha McSally'!C28)))&gt;0)</f>
        <v>0</v>
      </c>
      <c r="AA28" s="23">
        <f t="shared" si="0"/>
        <v>1</v>
      </c>
      <c r="AB28" s="15"/>
      <c r="AC28" s="30">
        <v>0</v>
      </c>
      <c r="AD28" s="37">
        <v>0</v>
      </c>
    </row>
    <row r="29" spans="1:30" x14ac:dyDescent="0.25">
      <c r="A29" s="36">
        <v>28</v>
      </c>
      <c r="B29" s="14" t="s">
        <v>85</v>
      </c>
      <c r="C29" s="31" t="s">
        <v>86</v>
      </c>
      <c r="D29" s="17">
        <v>44128</v>
      </c>
      <c r="E29" s="14" t="s">
        <v>30</v>
      </c>
      <c r="F29" s="14">
        <v>330</v>
      </c>
      <c r="G29" s="14">
        <v>81</v>
      </c>
      <c r="H29" s="14">
        <v>1</v>
      </c>
      <c r="I29" s="14">
        <v>1</v>
      </c>
      <c r="J29" s="14" t="s">
        <v>31</v>
      </c>
      <c r="K29" s="14" cm="1">
        <f t="array" ref="K29">INT(SUMPRODUCT(--ISNUMBER(SEARCH(economy,'Martha McSally'!C29)))&gt;0)</f>
        <v>0</v>
      </c>
      <c r="L29" s="14" cm="1">
        <f t="array" ref="L29">INT(SUMPRODUCT(--ISNUMBER(SEARCH(healthcare,'Martha McSally'!C29)))&gt;0)</f>
        <v>0</v>
      </c>
      <c r="M29" s="14" cm="1">
        <f t="array" ref="M29">INT(SUMPRODUCT(--ISNUMBER(SEARCH(supreme,'Martha McSally'!C29)))&gt;0)</f>
        <v>0</v>
      </c>
      <c r="N29" s="14" cm="1">
        <f t="array" ref="N29">INT(SUMPRODUCT(--ISNUMBER(SEARCH(covid,'Martha McSally'!C29)))&gt;0)</f>
        <v>0</v>
      </c>
      <c r="O29" s="14" cm="1">
        <f t="array" ref="O29">INT(SUMPRODUCT(--ISNUMBER(SEARCH(violent,'Martha McSally'!C29)))&gt;0)</f>
        <v>0</v>
      </c>
      <c r="P29" s="14" cm="1">
        <f t="array" ref="P29">INT(SUMPRODUCT(--ISNUMBER(SEARCH(foreign,'Martha McSally'!C29)))&gt;0)</f>
        <v>0</v>
      </c>
      <c r="Q29" s="14" cm="1">
        <f t="array" ref="Q29">INT(SUMPRODUCT(--ISNUMBER(SEARCH(gun,'Martha McSally'!C29)))&gt;0)</f>
        <v>0</v>
      </c>
      <c r="R29" s="14" cm="1">
        <f t="array" ref="R29">INT(SUMPRODUCT(--ISNUMBER(SEARCH(race,'Martha McSally'!C29)))&gt;0)</f>
        <v>0</v>
      </c>
      <c r="S29" s="14" cm="1">
        <f t="array" ref="S29">INT(SUMPRODUCT(--ISNUMBER(SEARCH(immigration,C29)))&gt;0)</f>
        <v>0</v>
      </c>
      <c r="T29" s="14" cm="1">
        <f t="array" ref="T29">INT(SUMPRODUCT(--ISNUMBER(SEARCH(econineq,C29)))&gt;0)</f>
        <v>0</v>
      </c>
      <c r="U29" s="14" cm="1">
        <f t="array" ref="U29">INT(SUMPRODUCT(--ISNUMBER(SEARCH(climate,'Martha McSally'!C29)))&gt;0)</f>
        <v>0</v>
      </c>
      <c r="V29" s="14" cm="1">
        <f t="array" ref="V29">INT(SUMPRODUCT(--ISNUMBER(SEARCH(abortion,'Martha McSally'!C29)))&gt;0)</f>
        <v>0</v>
      </c>
      <c r="W29" s="14" cm="1">
        <f t="array" ref="W29">INT(SUMPRODUCT(--ISNUMBER(SEARCH(trump,'Martha McSally'!C29)))&gt;0)</f>
        <v>0</v>
      </c>
      <c r="X29" s="14" cm="1">
        <f t="array" ref="X29">INT(SUMPRODUCT(--ISNUMBER(SEARCH(voting,'Martha McSally'!C29)))&gt;0)</f>
        <v>1</v>
      </c>
      <c r="Y29" s="14" cm="1">
        <f t="array" ref="Y29">INT(SUMPRODUCT(--ISNUMBER(SEARCH(republicantrigger,'Martha McSally'!C29)))&gt;0)</f>
        <v>0</v>
      </c>
      <c r="Z29" s="23" cm="1">
        <f t="array" ref="Z29">INT(SUMPRODUCT(--ISNUMBER(SEARCH(bipartisan,'Martha McSally'!C29)))&gt;0)</f>
        <v>0</v>
      </c>
      <c r="AA29" s="23">
        <f t="shared" si="0"/>
        <v>0</v>
      </c>
      <c r="AB29" s="15"/>
      <c r="AC29" s="30">
        <v>0</v>
      </c>
      <c r="AD29" s="37">
        <v>0</v>
      </c>
    </row>
    <row r="30" spans="1:30" x14ac:dyDescent="0.25">
      <c r="A30" s="36">
        <v>29</v>
      </c>
      <c r="B30" s="14" t="s">
        <v>87</v>
      </c>
      <c r="C30" s="31" t="s">
        <v>88</v>
      </c>
      <c r="D30" s="17">
        <v>44127</v>
      </c>
      <c r="E30" s="14" t="s">
        <v>30</v>
      </c>
      <c r="F30" s="14">
        <v>685</v>
      </c>
      <c r="G30" s="14">
        <v>188</v>
      </c>
      <c r="H30" s="14">
        <v>1</v>
      </c>
      <c r="I30" s="14">
        <v>1</v>
      </c>
      <c r="J30" s="14" t="s">
        <v>31</v>
      </c>
      <c r="K30" s="14" cm="1">
        <f t="array" ref="K30">INT(SUMPRODUCT(--ISNUMBER(SEARCH(economy,'Martha McSally'!C30)))&gt;0)</f>
        <v>0</v>
      </c>
      <c r="L30" s="14" cm="1">
        <f t="array" ref="L30">INT(SUMPRODUCT(--ISNUMBER(SEARCH(healthcare,'Martha McSally'!C30)))&gt;0)</f>
        <v>0</v>
      </c>
      <c r="M30" s="14" cm="1">
        <f t="array" ref="M30">INT(SUMPRODUCT(--ISNUMBER(SEARCH(supreme,'Martha McSally'!C30)))&gt;0)</f>
        <v>0</v>
      </c>
      <c r="N30" s="14" cm="1">
        <f t="array" ref="N30">INT(SUMPRODUCT(--ISNUMBER(SEARCH(covid,'Martha McSally'!C30)))&gt;0)</f>
        <v>0</v>
      </c>
      <c r="O30" s="14" cm="1">
        <f t="array" ref="O30">INT(SUMPRODUCT(--ISNUMBER(SEARCH(violent,'Martha McSally'!C30)))&gt;0)</f>
        <v>0</v>
      </c>
      <c r="P30" s="14" cm="1">
        <f t="array" ref="P30">INT(SUMPRODUCT(--ISNUMBER(SEARCH(foreign,'Martha McSally'!C30)))&gt;0)</f>
        <v>0</v>
      </c>
      <c r="Q30" s="14" cm="1">
        <f t="array" ref="Q30">INT(SUMPRODUCT(--ISNUMBER(SEARCH(gun,'Martha McSally'!C30)))&gt;0)</f>
        <v>0</v>
      </c>
      <c r="R30" s="14" cm="1">
        <f t="array" ref="R30">INT(SUMPRODUCT(--ISNUMBER(SEARCH(race,'Martha McSally'!C30)))&gt;0)</f>
        <v>0</v>
      </c>
      <c r="S30" s="14" cm="1">
        <f t="array" ref="S30">INT(SUMPRODUCT(--ISNUMBER(SEARCH(immigration,C30)))&gt;0)</f>
        <v>0</v>
      </c>
      <c r="T30" s="14" cm="1">
        <f t="array" ref="T30">INT(SUMPRODUCT(--ISNUMBER(SEARCH(econineq,C30)))&gt;0)</f>
        <v>0</v>
      </c>
      <c r="U30" s="14" cm="1">
        <f t="array" ref="U30">INT(SUMPRODUCT(--ISNUMBER(SEARCH(climate,'Martha McSally'!C30)))&gt;0)</f>
        <v>0</v>
      </c>
      <c r="V30" s="14" cm="1">
        <f t="array" ref="V30">INT(SUMPRODUCT(--ISNUMBER(SEARCH(abortion,'Martha McSally'!C30)))&gt;0)</f>
        <v>0</v>
      </c>
      <c r="W30" s="14" cm="1">
        <f t="array" ref="W30">INT(SUMPRODUCT(--ISNUMBER(SEARCH(trump,'Martha McSally'!C30)))&gt;0)</f>
        <v>1</v>
      </c>
      <c r="X30" s="14" cm="1">
        <f t="array" ref="X30">INT(SUMPRODUCT(--ISNUMBER(SEARCH(voting,'Martha McSally'!C30)))&gt;0)</f>
        <v>0</v>
      </c>
      <c r="Y30" s="14" cm="1">
        <f t="array" ref="Y30">INT(SUMPRODUCT(--ISNUMBER(SEARCH(republicantrigger,'Martha McSally'!C30)))&gt;0)</f>
        <v>0</v>
      </c>
      <c r="Z30" s="23" cm="1">
        <f t="array" ref="Z30">INT(SUMPRODUCT(--ISNUMBER(SEARCH(bipartisan,'Martha McSally'!C30)))&gt;0)</f>
        <v>0</v>
      </c>
      <c r="AA30" s="23">
        <f t="shared" si="0"/>
        <v>0</v>
      </c>
      <c r="AB30" s="15"/>
      <c r="AC30" s="30">
        <v>0</v>
      </c>
      <c r="AD30" s="37">
        <v>0</v>
      </c>
    </row>
    <row r="31" spans="1:30" x14ac:dyDescent="0.25">
      <c r="A31" s="36">
        <v>30</v>
      </c>
      <c r="B31" s="14" t="s">
        <v>89</v>
      </c>
      <c r="C31" s="31" t="s">
        <v>90</v>
      </c>
      <c r="D31" s="17">
        <v>44127</v>
      </c>
      <c r="E31" s="14" t="s">
        <v>30</v>
      </c>
      <c r="F31" s="14">
        <v>660</v>
      </c>
      <c r="G31" s="14">
        <v>120</v>
      </c>
      <c r="H31" s="14">
        <v>1</v>
      </c>
      <c r="I31" s="14">
        <v>1</v>
      </c>
      <c r="J31" s="14" t="s">
        <v>31</v>
      </c>
      <c r="K31" s="14">
        <v>0</v>
      </c>
      <c r="L31" s="14">
        <v>0</v>
      </c>
      <c r="M31" s="14">
        <v>1</v>
      </c>
      <c r="N31" s="14">
        <v>0</v>
      </c>
      <c r="O31" s="14">
        <v>0</v>
      </c>
      <c r="P31" s="14">
        <v>0</v>
      </c>
      <c r="Q31" s="14">
        <v>0</v>
      </c>
      <c r="R31" s="14">
        <v>0</v>
      </c>
      <c r="S31" s="14" cm="1">
        <f t="array" ref="S31">INT(SUMPRODUCT(--ISNUMBER(SEARCH(immigration,C31)))&gt;0)</f>
        <v>0</v>
      </c>
      <c r="T31" s="14" cm="1">
        <f t="array" ref="T31">INT(SUMPRODUCT(--ISNUMBER(SEARCH(econineq,C31)))&gt;0)</f>
        <v>0</v>
      </c>
      <c r="U31" s="14">
        <v>0</v>
      </c>
      <c r="V31" s="14">
        <v>0</v>
      </c>
      <c r="W31" s="14">
        <v>0</v>
      </c>
      <c r="X31" s="14">
        <v>0</v>
      </c>
      <c r="Y31" s="14" cm="1">
        <f t="array" ref="Y31">INT(SUMPRODUCT(--ISNUMBER(SEARCH(republicantrigger,'Martha McSally'!C31)))&gt;0)</f>
        <v>0</v>
      </c>
      <c r="Z31" s="23" cm="1">
        <f t="array" ref="Z31">INT(SUMPRODUCT(--ISNUMBER(SEARCH(bipartisan,'Martha McSally'!C31)))&gt;0)</f>
        <v>0</v>
      </c>
      <c r="AA31" s="23">
        <f t="shared" si="0"/>
        <v>0</v>
      </c>
      <c r="AB31" s="15"/>
      <c r="AC31" s="30">
        <v>0</v>
      </c>
      <c r="AD31" s="37">
        <v>0</v>
      </c>
    </row>
    <row r="32" spans="1:30" x14ac:dyDescent="0.25">
      <c r="A32" s="36">
        <v>31</v>
      </c>
      <c r="B32" s="14" t="s">
        <v>91</v>
      </c>
      <c r="C32" s="31" t="s">
        <v>92</v>
      </c>
      <c r="D32" s="17">
        <v>44127</v>
      </c>
      <c r="E32" s="14" t="s">
        <v>30</v>
      </c>
      <c r="F32" s="14">
        <v>153</v>
      </c>
      <c r="G32" s="14">
        <v>54</v>
      </c>
      <c r="H32" s="14">
        <v>1</v>
      </c>
      <c r="I32" s="14">
        <v>1</v>
      </c>
      <c r="J32" s="14" t="s">
        <v>31</v>
      </c>
      <c r="K32" s="14" cm="1">
        <f t="array" ref="K32">INT(SUMPRODUCT(--ISNUMBER(SEARCH(economy,'Martha McSally'!C32)))&gt;0)</f>
        <v>0</v>
      </c>
      <c r="L32" s="14" cm="1">
        <f t="array" ref="L32">INT(SUMPRODUCT(--ISNUMBER(SEARCH(healthcare,'Martha McSally'!C32)))&gt;0)</f>
        <v>0</v>
      </c>
      <c r="M32" s="14" cm="1">
        <f t="array" ref="M32">INT(SUMPRODUCT(--ISNUMBER(SEARCH(supreme,'Martha McSally'!C32)))&gt;0)</f>
        <v>0</v>
      </c>
      <c r="N32" s="14" cm="1">
        <f t="array" ref="N32">INT(SUMPRODUCT(--ISNUMBER(SEARCH(covid,'Martha McSally'!C32)))&gt;0)</f>
        <v>1</v>
      </c>
      <c r="O32" s="14" cm="1">
        <f t="array" ref="O32">INT(SUMPRODUCT(--ISNUMBER(SEARCH(violent,'Martha McSally'!C32)))&gt;0)</f>
        <v>0</v>
      </c>
      <c r="P32" s="14" cm="1">
        <f t="array" ref="P32">INT(SUMPRODUCT(--ISNUMBER(SEARCH(foreign,'Martha McSally'!C32)))&gt;0)</f>
        <v>0</v>
      </c>
      <c r="Q32" s="14" cm="1">
        <f t="array" ref="Q32">INT(SUMPRODUCT(--ISNUMBER(SEARCH(gun,'Martha McSally'!C32)))&gt;0)</f>
        <v>0</v>
      </c>
      <c r="R32" s="14" cm="1">
        <f t="array" ref="R32">INT(SUMPRODUCT(--ISNUMBER(SEARCH(race,'Martha McSally'!C32)))&gt;0)</f>
        <v>0</v>
      </c>
      <c r="S32" s="14" cm="1">
        <f t="array" ref="S32">INT(SUMPRODUCT(--ISNUMBER(SEARCH(immigration,C32)))&gt;0)</f>
        <v>0</v>
      </c>
      <c r="T32" s="14" cm="1">
        <f t="array" ref="T32">INT(SUMPRODUCT(--ISNUMBER(SEARCH(econineq,C32)))&gt;0)</f>
        <v>0</v>
      </c>
      <c r="U32" s="14" cm="1">
        <f t="array" ref="U32">INT(SUMPRODUCT(--ISNUMBER(SEARCH(climate,'Martha McSally'!C32)))&gt;0)</f>
        <v>0</v>
      </c>
      <c r="V32" s="14" cm="1">
        <f t="array" ref="V32">INT(SUMPRODUCT(--ISNUMBER(SEARCH(abortion,'Martha McSally'!C32)))&gt;0)</f>
        <v>0</v>
      </c>
      <c r="W32" s="14" cm="1">
        <f t="array" ref="W32">INT(SUMPRODUCT(--ISNUMBER(SEARCH(trump,'Martha McSally'!C32)))&gt;0)</f>
        <v>0</v>
      </c>
      <c r="X32" s="14" cm="1">
        <f t="array" ref="X32">INT(SUMPRODUCT(--ISNUMBER(SEARCH(voting,'Martha McSally'!C32)))&gt;0)</f>
        <v>0</v>
      </c>
      <c r="Y32" s="14" cm="1">
        <f t="array" ref="Y32">INT(SUMPRODUCT(--ISNUMBER(SEARCH(republicantrigger,'Martha McSally'!C32)))&gt;0)</f>
        <v>1</v>
      </c>
      <c r="Z32" s="23" cm="1">
        <f t="array" ref="Z32">INT(SUMPRODUCT(--ISNUMBER(SEARCH(bipartisan,'Martha McSally'!C32)))&gt;0)</f>
        <v>0</v>
      </c>
      <c r="AA32" s="23">
        <f t="shared" si="0"/>
        <v>0</v>
      </c>
      <c r="AB32" s="15"/>
      <c r="AC32" s="30">
        <v>0</v>
      </c>
      <c r="AD32" s="37">
        <v>0</v>
      </c>
    </row>
    <row r="33" spans="1:30" x14ac:dyDescent="0.25">
      <c r="A33" s="36">
        <v>32</v>
      </c>
      <c r="B33" s="14" t="s">
        <v>93</v>
      </c>
      <c r="C33" s="31" t="s">
        <v>94</v>
      </c>
      <c r="D33" s="17">
        <v>44127</v>
      </c>
      <c r="E33" s="14" t="s">
        <v>30</v>
      </c>
      <c r="F33" s="14">
        <v>74</v>
      </c>
      <c r="G33" s="14">
        <v>23</v>
      </c>
      <c r="H33" s="14">
        <v>1</v>
      </c>
      <c r="I33" s="14">
        <v>1</v>
      </c>
      <c r="J33" s="14" t="s">
        <v>31</v>
      </c>
      <c r="K33" s="14" cm="1">
        <f t="array" ref="K33">INT(SUMPRODUCT(--ISNUMBER(SEARCH(economy,'Martha McSally'!C33)))&gt;0)</f>
        <v>0</v>
      </c>
      <c r="L33" s="14" cm="1">
        <f t="array" ref="L33">INT(SUMPRODUCT(--ISNUMBER(SEARCH(healthcare,'Martha McSally'!C33)))&gt;0)</f>
        <v>0</v>
      </c>
      <c r="M33" s="14" cm="1">
        <f t="array" ref="M33">INT(SUMPRODUCT(--ISNUMBER(SEARCH(supreme,'Martha McSally'!C33)))&gt;0)</f>
        <v>0</v>
      </c>
      <c r="N33" s="14" cm="1">
        <f t="array" ref="N33">INT(SUMPRODUCT(--ISNUMBER(SEARCH(covid,'Martha McSally'!C33)))&gt;0)</f>
        <v>0</v>
      </c>
      <c r="O33" s="14" cm="1">
        <f t="array" ref="O33">INT(SUMPRODUCT(--ISNUMBER(SEARCH(violent,'Martha McSally'!C33)))&gt;0)</f>
        <v>0</v>
      </c>
      <c r="P33" s="14" cm="1">
        <f t="array" ref="P33">INT(SUMPRODUCT(--ISNUMBER(SEARCH(foreign,'Martha McSally'!C33)))&gt;0)</f>
        <v>1</v>
      </c>
      <c r="Q33" s="14" cm="1">
        <f t="array" ref="Q33">INT(SUMPRODUCT(--ISNUMBER(SEARCH(gun,'Martha McSally'!C33)))&gt;0)</f>
        <v>0</v>
      </c>
      <c r="R33" s="14" cm="1">
        <f t="array" ref="R33">INT(SUMPRODUCT(--ISNUMBER(SEARCH(race,'Martha McSally'!C33)))&gt;0)</f>
        <v>0</v>
      </c>
      <c r="S33" s="14" cm="1">
        <f t="array" ref="S33">INT(SUMPRODUCT(--ISNUMBER(SEARCH(immigration,C33)))&gt;0)</f>
        <v>0</v>
      </c>
      <c r="T33" s="14" cm="1">
        <f t="array" ref="T33">INT(SUMPRODUCT(--ISNUMBER(SEARCH(econineq,C33)))&gt;0)</f>
        <v>0</v>
      </c>
      <c r="U33" s="14" cm="1">
        <f t="array" ref="U33">INT(SUMPRODUCT(--ISNUMBER(SEARCH(climate,'Martha McSally'!C33)))&gt;0)</f>
        <v>0</v>
      </c>
      <c r="V33" s="14" cm="1">
        <f t="array" ref="V33">INT(SUMPRODUCT(--ISNUMBER(SEARCH(abortion,'Martha McSally'!C33)))&gt;0)</f>
        <v>0</v>
      </c>
      <c r="W33" s="14" cm="1">
        <f t="array" ref="W33">INT(SUMPRODUCT(--ISNUMBER(SEARCH(trump,'Martha McSally'!C33)))&gt;0)</f>
        <v>0</v>
      </c>
      <c r="X33" s="14" cm="1">
        <f t="array" ref="X33">INT(SUMPRODUCT(--ISNUMBER(SEARCH(voting,'Martha McSally'!C33)))&gt;0)</f>
        <v>1</v>
      </c>
      <c r="Y33" s="14" cm="1">
        <f t="array" ref="Y33">INT(SUMPRODUCT(--ISNUMBER(SEARCH(republicantrigger,'Martha McSally'!C33)))&gt;0)</f>
        <v>0</v>
      </c>
      <c r="Z33" s="23" cm="1">
        <f t="array" ref="Z33">INT(SUMPRODUCT(--ISNUMBER(SEARCH(bipartisan,'Martha McSally'!C33)))&gt;0)</f>
        <v>0</v>
      </c>
      <c r="AA33" s="23">
        <f t="shared" si="0"/>
        <v>0</v>
      </c>
      <c r="AB33" s="15"/>
      <c r="AC33" s="30">
        <v>0</v>
      </c>
      <c r="AD33" s="37">
        <v>0</v>
      </c>
    </row>
    <row r="34" spans="1:30" x14ac:dyDescent="0.25">
      <c r="A34" s="36">
        <v>33</v>
      </c>
      <c r="B34" s="14" t="s">
        <v>95</v>
      </c>
      <c r="C34" s="31" t="s">
        <v>96</v>
      </c>
      <c r="D34" s="17">
        <v>44126</v>
      </c>
      <c r="E34" s="14" t="s">
        <v>30</v>
      </c>
      <c r="F34" s="14">
        <v>161</v>
      </c>
      <c r="G34" s="14">
        <v>33</v>
      </c>
      <c r="H34" s="14">
        <v>1</v>
      </c>
      <c r="I34" s="14">
        <v>1</v>
      </c>
      <c r="J34" s="14" t="s">
        <v>31</v>
      </c>
      <c r="K34" s="14" cm="1">
        <f t="array" ref="K34">INT(SUMPRODUCT(--ISNUMBER(SEARCH(economy,'Martha McSally'!C34)))&gt;0)</f>
        <v>0</v>
      </c>
      <c r="L34" s="14" cm="1">
        <f t="array" ref="L34">INT(SUMPRODUCT(--ISNUMBER(SEARCH(healthcare,'Martha McSally'!C34)))&gt;0)</f>
        <v>0</v>
      </c>
      <c r="M34" s="14" cm="1">
        <f t="array" ref="M34">INT(SUMPRODUCT(--ISNUMBER(SEARCH(supreme,'Martha McSally'!C34)))&gt;0)</f>
        <v>0</v>
      </c>
      <c r="N34" s="14" cm="1">
        <f t="array" ref="N34">INT(SUMPRODUCT(--ISNUMBER(SEARCH(covid,'Martha McSally'!C34)))&gt;0)</f>
        <v>0</v>
      </c>
      <c r="O34" s="14" cm="1">
        <f t="array" ref="O34">INT(SUMPRODUCT(--ISNUMBER(SEARCH(violent,'Martha McSally'!C34)))&gt;0)</f>
        <v>0</v>
      </c>
      <c r="P34" s="14" cm="1">
        <f t="array" ref="P34">INT(SUMPRODUCT(--ISNUMBER(SEARCH(foreign,'Martha McSally'!C34)))&gt;0)</f>
        <v>0</v>
      </c>
      <c r="Q34" s="14" cm="1">
        <f t="array" ref="Q34">INT(SUMPRODUCT(--ISNUMBER(SEARCH(gun,'Martha McSally'!C34)))&gt;0)</f>
        <v>0</v>
      </c>
      <c r="R34" s="14" cm="1">
        <f t="array" ref="R34">INT(SUMPRODUCT(--ISNUMBER(SEARCH(race,'Martha McSally'!C34)))&gt;0)</f>
        <v>0</v>
      </c>
      <c r="S34" s="14" cm="1">
        <f t="array" ref="S34">INT(SUMPRODUCT(--ISNUMBER(SEARCH(immigration,C34)))&gt;0)</f>
        <v>0</v>
      </c>
      <c r="T34" s="14" cm="1">
        <f t="array" ref="T34">INT(SUMPRODUCT(--ISNUMBER(SEARCH(econineq,C34)))&gt;0)</f>
        <v>0</v>
      </c>
      <c r="U34" s="14" cm="1">
        <f t="array" ref="U34">INT(SUMPRODUCT(--ISNUMBER(SEARCH(climate,'Martha McSally'!C34)))&gt;0)</f>
        <v>0</v>
      </c>
      <c r="V34" s="14" cm="1">
        <f t="array" ref="V34">INT(SUMPRODUCT(--ISNUMBER(SEARCH(abortion,'Martha McSally'!C34)))&gt;0)</f>
        <v>0</v>
      </c>
      <c r="W34" s="14" cm="1">
        <f t="array" ref="W34">INT(SUMPRODUCT(--ISNUMBER(SEARCH(trump,'Martha McSally'!C34)))&gt;0)</f>
        <v>0</v>
      </c>
      <c r="X34" s="14" cm="1">
        <f t="array" ref="X34">INT(SUMPRODUCT(--ISNUMBER(SEARCH(voting,'Martha McSally'!C34)))&gt;0)</f>
        <v>0</v>
      </c>
      <c r="Y34" s="14" cm="1">
        <f t="array" ref="Y34">INT(SUMPRODUCT(--ISNUMBER(SEARCH(republicantrigger,'Martha McSally'!C34)))&gt;0)</f>
        <v>0</v>
      </c>
      <c r="Z34" s="23" cm="1">
        <f t="array" ref="Z34">INT(SUMPRODUCT(--ISNUMBER(SEARCH(bipartisan,'Martha McSally'!C34)))&gt;0)</f>
        <v>0</v>
      </c>
      <c r="AA34" s="23">
        <f t="shared" si="0"/>
        <v>1</v>
      </c>
      <c r="AB34" s="15"/>
      <c r="AC34" s="30">
        <v>0</v>
      </c>
      <c r="AD34" s="37">
        <v>0</v>
      </c>
    </row>
    <row r="35" spans="1:30" x14ac:dyDescent="0.25">
      <c r="A35" s="36">
        <v>34</v>
      </c>
      <c r="B35" s="14" t="s">
        <v>97</v>
      </c>
      <c r="C35" s="31" t="s">
        <v>98</v>
      </c>
      <c r="D35" s="17">
        <v>44126</v>
      </c>
      <c r="E35" s="14" t="s">
        <v>30</v>
      </c>
      <c r="F35" s="14">
        <v>126</v>
      </c>
      <c r="G35" s="14">
        <v>37</v>
      </c>
      <c r="H35" s="14">
        <v>1</v>
      </c>
      <c r="I35" s="14">
        <v>1</v>
      </c>
      <c r="J35" s="14" t="s">
        <v>31</v>
      </c>
      <c r="K35" s="14" cm="1">
        <f t="array" ref="K35">INT(SUMPRODUCT(--ISNUMBER(SEARCH(economy,'Martha McSally'!C35)))&gt;0)</f>
        <v>1</v>
      </c>
      <c r="L35" s="14" cm="1">
        <f t="array" ref="L35">INT(SUMPRODUCT(--ISNUMBER(SEARCH(healthcare,'Martha McSally'!C35)))&gt;0)</f>
        <v>0</v>
      </c>
      <c r="M35" s="14" cm="1">
        <f t="array" ref="M35">INT(SUMPRODUCT(--ISNUMBER(SEARCH(supreme,'Martha McSally'!C35)))&gt;0)</f>
        <v>0</v>
      </c>
      <c r="N35" s="14" cm="1">
        <f t="array" ref="N35">INT(SUMPRODUCT(--ISNUMBER(SEARCH(covid,'Martha McSally'!C35)))&gt;0)</f>
        <v>0</v>
      </c>
      <c r="O35" s="14" cm="1">
        <f t="array" ref="O35">INT(SUMPRODUCT(--ISNUMBER(SEARCH(violent,'Martha McSally'!C35)))&gt;0)</f>
        <v>0</v>
      </c>
      <c r="P35" s="14" cm="1">
        <f t="array" ref="P35">INT(SUMPRODUCT(--ISNUMBER(SEARCH(foreign,'Martha McSally'!C35)))&gt;0)</f>
        <v>0</v>
      </c>
      <c r="Q35" s="14" cm="1">
        <f t="array" ref="Q35">INT(SUMPRODUCT(--ISNUMBER(SEARCH(gun,'Martha McSally'!C35)))&gt;0)</f>
        <v>0</v>
      </c>
      <c r="R35" s="14" cm="1">
        <f t="array" ref="R35">INT(SUMPRODUCT(--ISNUMBER(SEARCH(race,'Martha McSally'!C35)))&gt;0)</f>
        <v>0</v>
      </c>
      <c r="S35" s="14" cm="1">
        <f t="array" ref="S35">INT(SUMPRODUCT(--ISNUMBER(SEARCH(immigration,C35)))&gt;0)</f>
        <v>0</v>
      </c>
      <c r="T35" s="14" cm="1">
        <f t="array" ref="T35">INT(SUMPRODUCT(--ISNUMBER(SEARCH(econineq,C35)))&gt;0)</f>
        <v>0</v>
      </c>
      <c r="U35" s="14" cm="1">
        <f t="array" ref="U35">INT(SUMPRODUCT(--ISNUMBER(SEARCH(climate,'Martha McSally'!C35)))&gt;0)</f>
        <v>0</v>
      </c>
      <c r="V35" s="14" cm="1">
        <f t="array" ref="V35">INT(SUMPRODUCT(--ISNUMBER(SEARCH(abortion,'Martha McSally'!C35)))&gt;0)</f>
        <v>0</v>
      </c>
      <c r="W35" s="14" cm="1">
        <f t="array" ref="W35">INT(SUMPRODUCT(--ISNUMBER(SEARCH(trump,'Martha McSally'!C35)))&gt;0)</f>
        <v>0</v>
      </c>
      <c r="X35" s="14" cm="1">
        <f t="array" ref="X35">INT(SUMPRODUCT(--ISNUMBER(SEARCH(voting,'Martha McSally'!C35)))&gt;0)</f>
        <v>1</v>
      </c>
      <c r="Y35" s="14" cm="1">
        <f t="array" ref="Y35">INT(SUMPRODUCT(--ISNUMBER(SEARCH(republicantrigger,'Martha McSally'!C35)))&gt;0)</f>
        <v>0</v>
      </c>
      <c r="Z35" s="23" cm="1">
        <f t="array" ref="Z35">INT(SUMPRODUCT(--ISNUMBER(SEARCH(bipartisan,'Martha McSally'!C35)))&gt;0)</f>
        <v>0</v>
      </c>
      <c r="AA35" s="23">
        <f t="shared" si="0"/>
        <v>0</v>
      </c>
      <c r="AB35" s="15"/>
      <c r="AC35" s="30">
        <v>0</v>
      </c>
      <c r="AD35" s="37">
        <v>0</v>
      </c>
    </row>
    <row r="36" spans="1:30" x14ac:dyDescent="0.25">
      <c r="A36" s="36">
        <v>35</v>
      </c>
      <c r="B36" s="14" t="s">
        <v>99</v>
      </c>
      <c r="C36" s="31" t="s">
        <v>100</v>
      </c>
      <c r="D36" s="17">
        <v>44126</v>
      </c>
      <c r="E36" s="14" t="s">
        <v>30</v>
      </c>
      <c r="F36" s="14">
        <v>1380</v>
      </c>
      <c r="G36" s="14">
        <v>267</v>
      </c>
      <c r="H36" s="14">
        <v>1</v>
      </c>
      <c r="I36" s="14">
        <v>1</v>
      </c>
      <c r="J36" s="14" t="s">
        <v>31</v>
      </c>
      <c r="K36" s="14" cm="1">
        <f t="array" ref="K36">INT(SUMPRODUCT(--ISNUMBER(SEARCH(economy,'Martha McSally'!C36)))&gt;0)</f>
        <v>0</v>
      </c>
      <c r="L36" s="14" cm="1">
        <f t="array" ref="L36">INT(SUMPRODUCT(--ISNUMBER(SEARCH(healthcare,'Martha McSally'!C36)))&gt;0)</f>
        <v>0</v>
      </c>
      <c r="M36" s="14" cm="1">
        <f t="array" ref="M36">INT(SUMPRODUCT(--ISNUMBER(SEARCH(supreme,'Martha McSally'!C36)))&gt;0)</f>
        <v>1</v>
      </c>
      <c r="N36" s="14" cm="1">
        <f t="array" ref="N36">INT(SUMPRODUCT(--ISNUMBER(SEARCH(covid,'Martha McSally'!C36)))&gt;0)</f>
        <v>0</v>
      </c>
      <c r="O36" s="14" cm="1">
        <f t="array" ref="O36">INT(SUMPRODUCT(--ISNUMBER(SEARCH(violent,'Martha McSally'!C36)))&gt;0)</f>
        <v>0</v>
      </c>
      <c r="P36" s="14" cm="1">
        <f t="array" ref="P36">INT(SUMPRODUCT(--ISNUMBER(SEARCH(foreign,'Martha McSally'!C36)))&gt;0)</f>
        <v>0</v>
      </c>
      <c r="Q36" s="14" cm="1">
        <f t="array" ref="Q36">INT(SUMPRODUCT(--ISNUMBER(SEARCH(gun,'Martha McSally'!C36)))&gt;0)</f>
        <v>0</v>
      </c>
      <c r="R36" s="14" cm="1">
        <f t="array" ref="R36">INT(SUMPRODUCT(--ISNUMBER(SEARCH(race,'Martha McSally'!C36)))&gt;0)</f>
        <v>0</v>
      </c>
      <c r="S36" s="14" cm="1">
        <f t="array" ref="S36">INT(SUMPRODUCT(--ISNUMBER(SEARCH(immigration,C36)))&gt;0)</f>
        <v>0</v>
      </c>
      <c r="T36" s="14" cm="1">
        <f t="array" ref="T36">INT(SUMPRODUCT(--ISNUMBER(SEARCH(econineq,C36)))&gt;0)</f>
        <v>0</v>
      </c>
      <c r="U36" s="14" cm="1">
        <f t="array" ref="U36">INT(SUMPRODUCT(--ISNUMBER(SEARCH(climate,'Martha McSally'!C36)))&gt;0)</f>
        <v>0</v>
      </c>
      <c r="V36" s="14" cm="1">
        <f t="array" ref="V36">INT(SUMPRODUCT(--ISNUMBER(SEARCH(abortion,'Martha McSally'!C36)))&gt;0)</f>
        <v>0</v>
      </c>
      <c r="W36" s="14" cm="1">
        <f t="array" ref="W36">INT(SUMPRODUCT(--ISNUMBER(SEARCH(trump,'Martha McSally'!C36)))&gt;0)</f>
        <v>0</v>
      </c>
      <c r="X36" s="14" cm="1">
        <f t="array" ref="X36">INT(SUMPRODUCT(--ISNUMBER(SEARCH(voting,'Martha McSally'!C36)))&gt;0)</f>
        <v>1</v>
      </c>
      <c r="Y36" s="14" cm="1">
        <f t="array" ref="Y36">INT(SUMPRODUCT(--ISNUMBER(SEARCH(republicantrigger,'Martha McSally'!C36)))&gt;0)</f>
        <v>0</v>
      </c>
      <c r="Z36" s="23" cm="1">
        <f t="array" ref="Z36">INT(SUMPRODUCT(--ISNUMBER(SEARCH(bipartisan,'Martha McSally'!C36)))&gt;0)</f>
        <v>0</v>
      </c>
      <c r="AA36" s="23">
        <f t="shared" si="0"/>
        <v>0</v>
      </c>
      <c r="AB36" s="15"/>
      <c r="AC36" s="30">
        <v>1</v>
      </c>
      <c r="AD36" s="37">
        <v>0</v>
      </c>
    </row>
    <row r="37" spans="1:30" x14ac:dyDescent="0.25">
      <c r="A37" s="36">
        <v>36</v>
      </c>
      <c r="B37" s="14" t="s">
        <v>101</v>
      </c>
      <c r="C37" s="31" t="s">
        <v>102</v>
      </c>
      <c r="D37" s="17">
        <v>44125</v>
      </c>
      <c r="E37" s="14" t="s">
        <v>30</v>
      </c>
      <c r="F37" s="14">
        <v>2826</v>
      </c>
      <c r="G37" s="14">
        <v>596</v>
      </c>
      <c r="H37" s="14">
        <v>1</v>
      </c>
      <c r="I37" s="14">
        <v>1</v>
      </c>
      <c r="J37" s="14" t="s">
        <v>31</v>
      </c>
      <c r="K37" s="14" cm="1">
        <f t="array" ref="K37">INT(SUMPRODUCT(--ISNUMBER(SEARCH(economy,'Martha McSally'!C37)))&gt;0)</f>
        <v>0</v>
      </c>
      <c r="L37" s="14" cm="1">
        <f t="array" ref="L37">INT(SUMPRODUCT(--ISNUMBER(SEARCH(healthcare,'Martha McSally'!C37)))&gt;0)</f>
        <v>0</v>
      </c>
      <c r="M37" s="14" cm="1">
        <f t="array" ref="M37">INT(SUMPRODUCT(--ISNUMBER(SEARCH(supreme,'Martha McSally'!C37)))&gt;0)</f>
        <v>1</v>
      </c>
      <c r="N37" s="14" cm="1">
        <f t="array" ref="N37">INT(SUMPRODUCT(--ISNUMBER(SEARCH(covid,'Martha McSally'!C37)))&gt;0)</f>
        <v>0</v>
      </c>
      <c r="O37" s="14" cm="1">
        <f t="array" ref="O37">INT(SUMPRODUCT(--ISNUMBER(SEARCH(violent,'Martha McSally'!C37)))&gt;0)</f>
        <v>0</v>
      </c>
      <c r="P37" s="14" cm="1">
        <f t="array" ref="P37">INT(SUMPRODUCT(--ISNUMBER(SEARCH(foreign,'Martha McSally'!C37)))&gt;0)</f>
        <v>0</v>
      </c>
      <c r="Q37" s="14" cm="1">
        <f t="array" ref="Q37">INT(SUMPRODUCT(--ISNUMBER(SEARCH(gun,'Martha McSally'!C37)))&gt;0)</f>
        <v>0</v>
      </c>
      <c r="R37" s="14" cm="1">
        <f t="array" ref="R37">INT(SUMPRODUCT(--ISNUMBER(SEARCH(race,'Martha McSally'!C37)))&gt;0)</f>
        <v>0</v>
      </c>
      <c r="S37" s="14" cm="1">
        <f t="array" ref="S37">INT(SUMPRODUCT(--ISNUMBER(SEARCH(immigration,C37)))&gt;0)</f>
        <v>0</v>
      </c>
      <c r="T37" s="14" cm="1">
        <f t="array" ref="T37">INT(SUMPRODUCT(--ISNUMBER(SEARCH(econineq,C37)))&gt;0)</f>
        <v>0</v>
      </c>
      <c r="U37" s="14" cm="1">
        <f t="array" ref="U37">INT(SUMPRODUCT(--ISNUMBER(SEARCH(climate,'Martha McSally'!C37)))&gt;0)</f>
        <v>0</v>
      </c>
      <c r="V37" s="14" cm="1">
        <f t="array" ref="V37">INT(SUMPRODUCT(--ISNUMBER(SEARCH(abortion,'Martha McSally'!C37)))&gt;0)</f>
        <v>0</v>
      </c>
      <c r="W37" s="14" cm="1">
        <f t="array" ref="W37">INT(SUMPRODUCT(--ISNUMBER(SEARCH(trump,'Martha McSally'!C37)))&gt;0)</f>
        <v>0</v>
      </c>
      <c r="X37" s="14" cm="1">
        <f t="array" ref="X37">INT(SUMPRODUCT(--ISNUMBER(SEARCH(voting,'Martha McSally'!C37)))&gt;0)</f>
        <v>1</v>
      </c>
      <c r="Y37" s="14" cm="1">
        <f t="array" ref="Y37">INT(SUMPRODUCT(--ISNUMBER(SEARCH(republicantrigger,'Martha McSally'!C37)))&gt;0)</f>
        <v>0</v>
      </c>
      <c r="Z37" s="23" cm="1">
        <f t="array" ref="Z37">INT(SUMPRODUCT(--ISNUMBER(SEARCH(bipartisan,'Martha McSally'!C37)))&gt;0)</f>
        <v>0</v>
      </c>
      <c r="AA37" s="23">
        <f t="shared" si="0"/>
        <v>0</v>
      </c>
      <c r="AB37" s="15"/>
      <c r="AC37" s="30">
        <v>1</v>
      </c>
      <c r="AD37" s="37">
        <v>0</v>
      </c>
    </row>
    <row r="38" spans="1:30" x14ac:dyDescent="0.25">
      <c r="A38" s="36">
        <v>37</v>
      </c>
      <c r="B38" s="14" t="s">
        <v>103</v>
      </c>
      <c r="C38" s="31" t="s">
        <v>104</v>
      </c>
      <c r="D38" s="17">
        <v>44125</v>
      </c>
      <c r="E38" s="14" t="s">
        <v>30</v>
      </c>
      <c r="F38" s="14">
        <v>1397</v>
      </c>
      <c r="G38" s="14">
        <v>303</v>
      </c>
      <c r="H38" s="14">
        <v>1</v>
      </c>
      <c r="I38" s="14">
        <v>1</v>
      </c>
      <c r="J38" s="14" t="s">
        <v>31</v>
      </c>
      <c r="K38" s="14" cm="1">
        <f t="array" ref="K38">INT(SUMPRODUCT(--ISNUMBER(SEARCH(economy,'Martha McSally'!C38)))&gt;0)</f>
        <v>0</v>
      </c>
      <c r="L38" s="14" cm="1">
        <f t="array" ref="L38">INT(SUMPRODUCT(--ISNUMBER(SEARCH(healthcare,'Martha McSally'!C38)))&gt;0)</f>
        <v>0</v>
      </c>
      <c r="M38" s="14" cm="1">
        <f t="array" ref="M38">INT(SUMPRODUCT(--ISNUMBER(SEARCH(supreme,'Martha McSally'!C38)))&gt;0)</f>
        <v>1</v>
      </c>
      <c r="N38" s="14" cm="1">
        <f t="array" ref="N38">INT(SUMPRODUCT(--ISNUMBER(SEARCH(covid,'Martha McSally'!C38)))&gt;0)</f>
        <v>0</v>
      </c>
      <c r="O38" s="14" cm="1">
        <f t="array" ref="O38">INT(SUMPRODUCT(--ISNUMBER(SEARCH(violent,'Martha McSally'!C38)))&gt;0)</f>
        <v>0</v>
      </c>
      <c r="P38" s="14" cm="1">
        <f t="array" ref="P38">INT(SUMPRODUCT(--ISNUMBER(SEARCH(foreign,'Martha McSally'!C38)))&gt;0)</f>
        <v>0</v>
      </c>
      <c r="Q38" s="14" cm="1">
        <f t="array" ref="Q38">INT(SUMPRODUCT(--ISNUMBER(SEARCH(gun,'Martha McSally'!C38)))&gt;0)</f>
        <v>0</v>
      </c>
      <c r="R38" s="14" cm="1">
        <f t="array" ref="R38">INT(SUMPRODUCT(--ISNUMBER(SEARCH(race,'Martha McSally'!C38)))&gt;0)</f>
        <v>0</v>
      </c>
      <c r="S38" s="14" cm="1">
        <f t="array" ref="S38">INT(SUMPRODUCT(--ISNUMBER(SEARCH(immigration,C38)))&gt;0)</f>
        <v>0</v>
      </c>
      <c r="T38" s="14" cm="1">
        <f t="array" ref="T38">INT(SUMPRODUCT(--ISNUMBER(SEARCH(econineq,C38)))&gt;0)</f>
        <v>0</v>
      </c>
      <c r="U38" s="14" cm="1">
        <f t="array" ref="U38">INT(SUMPRODUCT(--ISNUMBER(SEARCH(climate,'Martha McSally'!C38)))&gt;0)</f>
        <v>0</v>
      </c>
      <c r="V38" s="14" cm="1">
        <f t="array" ref="V38">INT(SUMPRODUCT(--ISNUMBER(SEARCH(abortion,'Martha McSally'!C38)))&gt;0)</f>
        <v>0</v>
      </c>
      <c r="W38" s="14" cm="1">
        <f t="array" ref="W38">INT(SUMPRODUCT(--ISNUMBER(SEARCH(trump,'Martha McSally'!C38)))&gt;0)</f>
        <v>0</v>
      </c>
      <c r="X38" s="14" cm="1">
        <f t="array" ref="X38">INT(SUMPRODUCT(--ISNUMBER(SEARCH(voting,'Martha McSally'!C38)))&gt;0)</f>
        <v>1</v>
      </c>
      <c r="Y38" s="14" cm="1">
        <f t="array" ref="Y38">INT(SUMPRODUCT(--ISNUMBER(SEARCH(republicantrigger,'Martha McSally'!C38)))&gt;0)</f>
        <v>0</v>
      </c>
      <c r="Z38" s="23" cm="1">
        <f t="array" ref="Z38">INT(SUMPRODUCT(--ISNUMBER(SEARCH(bipartisan,'Martha McSally'!C38)))&gt;0)</f>
        <v>0</v>
      </c>
      <c r="AA38" s="23">
        <f t="shared" si="0"/>
        <v>0</v>
      </c>
      <c r="AB38" s="15"/>
      <c r="AC38" s="30">
        <v>0</v>
      </c>
      <c r="AD38" s="37">
        <v>0</v>
      </c>
    </row>
    <row r="39" spans="1:30" x14ac:dyDescent="0.25">
      <c r="A39" s="36">
        <v>38</v>
      </c>
      <c r="B39" s="14" t="s">
        <v>105</v>
      </c>
      <c r="C39" s="31" t="s">
        <v>106</v>
      </c>
      <c r="D39" s="17">
        <v>44124</v>
      </c>
      <c r="E39" s="14" t="s">
        <v>70</v>
      </c>
      <c r="F39" s="14">
        <v>228</v>
      </c>
      <c r="G39" s="14">
        <v>61</v>
      </c>
      <c r="H39" s="14">
        <v>1</v>
      </c>
      <c r="I39" s="14">
        <v>1</v>
      </c>
      <c r="J39" s="14" t="s">
        <v>31</v>
      </c>
      <c r="K39" s="14" cm="1">
        <f t="array" ref="K39">INT(SUMPRODUCT(--ISNUMBER(SEARCH(economy,'Martha McSally'!C39)))&gt;0)</f>
        <v>1</v>
      </c>
      <c r="L39" s="14" cm="1">
        <f t="array" ref="L39">INT(SUMPRODUCT(--ISNUMBER(SEARCH(healthcare,'Martha McSally'!C39)))&gt;0)</f>
        <v>0</v>
      </c>
      <c r="M39" s="14" cm="1">
        <f t="array" ref="M39">INT(SUMPRODUCT(--ISNUMBER(SEARCH(supreme,'Martha McSally'!C39)))&gt;0)</f>
        <v>0</v>
      </c>
      <c r="N39" s="14" cm="1">
        <f t="array" ref="N39">INT(SUMPRODUCT(--ISNUMBER(SEARCH(covid,'Martha McSally'!C39)))&gt;0)</f>
        <v>0</v>
      </c>
      <c r="O39" s="14" cm="1">
        <f t="array" ref="O39">INT(SUMPRODUCT(--ISNUMBER(SEARCH(violent,'Martha McSally'!C39)))&gt;0)</f>
        <v>0</v>
      </c>
      <c r="P39" s="14" cm="1">
        <f t="array" ref="P39">INT(SUMPRODUCT(--ISNUMBER(SEARCH(foreign,'Martha McSally'!C39)))&gt;0)</f>
        <v>0</v>
      </c>
      <c r="Q39" s="14" cm="1">
        <f t="array" ref="Q39">INT(SUMPRODUCT(--ISNUMBER(SEARCH(gun,'Martha McSally'!C39)))&gt;0)</f>
        <v>0</v>
      </c>
      <c r="R39" s="14" cm="1">
        <f t="array" ref="R39">INT(SUMPRODUCT(--ISNUMBER(SEARCH(race,'Martha McSally'!C39)))&gt;0)</f>
        <v>0</v>
      </c>
      <c r="S39" s="14" cm="1">
        <f t="array" ref="S39">INT(SUMPRODUCT(--ISNUMBER(SEARCH(immigration,C39)))&gt;0)</f>
        <v>0</v>
      </c>
      <c r="T39" s="14" cm="1">
        <f t="array" ref="T39">INT(SUMPRODUCT(--ISNUMBER(SEARCH(econineq,C39)))&gt;0)</f>
        <v>0</v>
      </c>
      <c r="U39" s="14" cm="1">
        <f t="array" ref="U39">INT(SUMPRODUCT(--ISNUMBER(SEARCH(climate,'Martha McSally'!C39)))&gt;0)</f>
        <v>0</v>
      </c>
      <c r="V39" s="14" cm="1">
        <f t="array" ref="V39">INT(SUMPRODUCT(--ISNUMBER(SEARCH(abortion,'Martha McSally'!C39)))&gt;0)</f>
        <v>0</v>
      </c>
      <c r="W39" s="14" cm="1">
        <f t="array" ref="W39">INT(SUMPRODUCT(--ISNUMBER(SEARCH(trump,'Martha McSally'!C39)))&gt;0)</f>
        <v>0</v>
      </c>
      <c r="X39" s="14" cm="1">
        <f t="array" ref="X39">INT(SUMPRODUCT(--ISNUMBER(SEARCH(voting,'Martha McSally'!C39)))&gt;0)</f>
        <v>0</v>
      </c>
      <c r="Y39" s="14" cm="1">
        <f t="array" ref="Y39">INT(SUMPRODUCT(--ISNUMBER(SEARCH(republicantrigger,'Martha McSally'!C39)))&gt;0)</f>
        <v>0</v>
      </c>
      <c r="Z39" s="23" cm="1">
        <f t="array" ref="Z39">INT(SUMPRODUCT(--ISNUMBER(SEARCH(bipartisan,'Martha McSally'!C39)))&gt;0)</f>
        <v>0</v>
      </c>
      <c r="AA39" s="23">
        <f t="shared" ref="AA39" si="1">INT(IF(COUNTIF(K39:Z39,1)=0,"1","0"))</f>
        <v>0</v>
      </c>
      <c r="AB39" s="15"/>
      <c r="AC39" s="30">
        <v>0</v>
      </c>
      <c r="AD39" s="37">
        <v>0</v>
      </c>
    </row>
    <row r="40" spans="1:30" x14ac:dyDescent="0.25">
      <c r="A40" s="36">
        <v>39</v>
      </c>
      <c r="B40" s="14" t="s">
        <v>107</v>
      </c>
      <c r="C40" s="31" t="s">
        <v>108</v>
      </c>
      <c r="D40" s="17">
        <v>44124</v>
      </c>
      <c r="E40" s="14" t="s">
        <v>30</v>
      </c>
      <c r="F40" s="14">
        <v>1954</v>
      </c>
      <c r="G40" s="14">
        <v>578</v>
      </c>
      <c r="H40" s="14">
        <v>1</v>
      </c>
      <c r="I40" s="14">
        <v>1</v>
      </c>
      <c r="J40" s="14" t="s">
        <v>31</v>
      </c>
      <c r="K40" s="14" cm="1">
        <f t="array" ref="K40">INT(SUMPRODUCT(--ISNUMBER(SEARCH(economy,'Martha McSally'!C40)))&gt;0)</f>
        <v>1</v>
      </c>
      <c r="L40" s="14" cm="1">
        <f t="array" ref="L40">INT(SUMPRODUCT(--ISNUMBER(SEARCH(healthcare,'Martha McSally'!C40)))&gt;0)</f>
        <v>0</v>
      </c>
      <c r="M40" s="14" cm="1">
        <f t="array" ref="M40">INT(SUMPRODUCT(--ISNUMBER(SEARCH(supreme,'Martha McSally'!C40)))&gt;0)</f>
        <v>0</v>
      </c>
      <c r="N40" s="14" cm="1">
        <f t="array" ref="N40">INT(SUMPRODUCT(--ISNUMBER(SEARCH(covid,'Martha McSally'!C40)))&gt;0)</f>
        <v>0</v>
      </c>
      <c r="O40" s="14" cm="1">
        <f t="array" ref="O40">INT(SUMPRODUCT(--ISNUMBER(SEARCH(violent,'Martha McSally'!C40)))&gt;0)</f>
        <v>0</v>
      </c>
      <c r="P40" s="14" cm="1">
        <f t="array" ref="P40">INT(SUMPRODUCT(--ISNUMBER(SEARCH(foreign,'Martha McSally'!C40)))&gt;0)</f>
        <v>0</v>
      </c>
      <c r="Q40" s="14" cm="1">
        <f t="array" ref="Q40">INT(SUMPRODUCT(--ISNUMBER(SEARCH(gun,'Martha McSally'!C40)))&gt;0)</f>
        <v>0</v>
      </c>
      <c r="R40" s="14" cm="1">
        <f t="array" ref="R40">INT(SUMPRODUCT(--ISNUMBER(SEARCH(race,'Martha McSally'!C40)))&gt;0)</f>
        <v>0</v>
      </c>
      <c r="S40" s="14" cm="1">
        <f t="array" ref="S40">INT(SUMPRODUCT(--ISNUMBER(SEARCH(immigration,C40)))&gt;0)</f>
        <v>0</v>
      </c>
      <c r="T40" s="14" cm="1">
        <f t="array" ref="T40">INT(SUMPRODUCT(--ISNUMBER(SEARCH(econineq,C40)))&gt;0)</f>
        <v>0</v>
      </c>
      <c r="U40" s="14" cm="1">
        <f t="array" ref="U40">INT(SUMPRODUCT(--ISNUMBER(SEARCH(climate,'Martha McSally'!C40)))&gt;0)</f>
        <v>0</v>
      </c>
      <c r="V40" s="14" cm="1">
        <f t="array" ref="V40">INT(SUMPRODUCT(--ISNUMBER(SEARCH(abortion,'Martha McSally'!C40)))&gt;0)</f>
        <v>0</v>
      </c>
      <c r="W40" s="14" cm="1">
        <f t="array" ref="W40">INT(SUMPRODUCT(--ISNUMBER(SEARCH(trump,'Martha McSally'!C40)))&gt;0)</f>
        <v>0</v>
      </c>
      <c r="X40" s="14" cm="1">
        <f t="array" ref="X40">INT(SUMPRODUCT(--ISNUMBER(SEARCH(voting,'Martha McSally'!C40)))&gt;0)</f>
        <v>0</v>
      </c>
      <c r="Y40" s="14" cm="1">
        <f t="array" ref="Y40">INT(SUMPRODUCT(--ISNUMBER(SEARCH(republicantrigger,'Martha McSally'!C40)))&gt;0)</f>
        <v>0</v>
      </c>
      <c r="Z40" s="23" cm="1">
        <f t="array" ref="Z40">INT(SUMPRODUCT(--ISNUMBER(SEARCH(bipartisan,'Martha McSally'!C40)))&gt;0)</f>
        <v>0</v>
      </c>
      <c r="AA40" s="23">
        <f t="shared" si="0"/>
        <v>0</v>
      </c>
      <c r="AB40" s="15"/>
      <c r="AC40" s="30">
        <v>0</v>
      </c>
      <c r="AD40" s="37">
        <v>0</v>
      </c>
    </row>
    <row r="41" spans="1:30" x14ac:dyDescent="0.25">
      <c r="A41" s="36">
        <v>40</v>
      </c>
      <c r="B41" s="14" t="s">
        <v>109</v>
      </c>
      <c r="C41" s="31" t="s">
        <v>110</v>
      </c>
      <c r="D41" s="17">
        <v>44124</v>
      </c>
      <c r="E41" s="14" t="s">
        <v>30</v>
      </c>
      <c r="F41" s="14">
        <v>2213</v>
      </c>
      <c r="G41" s="14">
        <v>492</v>
      </c>
      <c r="H41" s="14">
        <v>1</v>
      </c>
      <c r="I41" s="14">
        <v>1</v>
      </c>
      <c r="J41" s="14" t="s">
        <v>31</v>
      </c>
      <c r="K41" s="14" cm="1">
        <f t="array" ref="K41">INT(SUMPRODUCT(--ISNUMBER(SEARCH(economy,'Martha McSally'!C41)))&gt;0)</f>
        <v>0</v>
      </c>
      <c r="L41" s="14" cm="1">
        <f t="array" ref="L41">INT(SUMPRODUCT(--ISNUMBER(SEARCH(healthcare,'Martha McSally'!C41)))&gt;0)</f>
        <v>0</v>
      </c>
      <c r="M41" s="14" cm="1">
        <f t="array" ref="M41">INT(SUMPRODUCT(--ISNUMBER(SEARCH(supreme,'Martha McSally'!C41)))&gt;0)</f>
        <v>1</v>
      </c>
      <c r="N41" s="14" cm="1">
        <f t="array" ref="N41">INT(SUMPRODUCT(--ISNUMBER(SEARCH(covid,'Martha McSally'!C41)))&gt;0)</f>
        <v>0</v>
      </c>
      <c r="O41" s="14" cm="1">
        <f t="array" ref="O41">INT(SUMPRODUCT(--ISNUMBER(SEARCH(violent,'Martha McSally'!C41)))&gt;0)</f>
        <v>0</v>
      </c>
      <c r="P41" s="14" cm="1">
        <f t="array" ref="P41">INT(SUMPRODUCT(--ISNUMBER(SEARCH(foreign,'Martha McSally'!C41)))&gt;0)</f>
        <v>0</v>
      </c>
      <c r="Q41" s="14" cm="1">
        <f t="array" ref="Q41">INT(SUMPRODUCT(--ISNUMBER(SEARCH(gun,'Martha McSally'!C41)))&gt;0)</f>
        <v>0</v>
      </c>
      <c r="R41" s="14" cm="1">
        <f t="array" ref="R41">INT(SUMPRODUCT(--ISNUMBER(SEARCH(race,'Martha McSally'!C41)))&gt;0)</f>
        <v>0</v>
      </c>
      <c r="S41" s="14" cm="1">
        <f t="array" ref="S41">INT(SUMPRODUCT(--ISNUMBER(SEARCH(immigration,C41)))&gt;0)</f>
        <v>0</v>
      </c>
      <c r="T41" s="14" cm="1">
        <f t="array" ref="T41">INT(SUMPRODUCT(--ISNUMBER(SEARCH(econineq,C41)))&gt;0)</f>
        <v>0</v>
      </c>
      <c r="U41" s="14" cm="1">
        <f t="array" ref="U41">INT(SUMPRODUCT(--ISNUMBER(SEARCH(climate,'Martha McSally'!C41)))&gt;0)</f>
        <v>0</v>
      </c>
      <c r="V41" s="14" cm="1">
        <f t="array" ref="V41">INT(SUMPRODUCT(--ISNUMBER(SEARCH(abortion,'Martha McSally'!C41)))&gt;0)</f>
        <v>0</v>
      </c>
      <c r="W41" s="14" cm="1">
        <f t="array" ref="W41">INT(SUMPRODUCT(--ISNUMBER(SEARCH(trump,'Martha McSally'!C41)))&gt;0)</f>
        <v>0</v>
      </c>
      <c r="X41" s="14" cm="1">
        <f t="array" ref="X41">INT(SUMPRODUCT(--ISNUMBER(SEARCH(voting,'Martha McSally'!C41)))&gt;0)</f>
        <v>0</v>
      </c>
      <c r="Y41" s="14" cm="1">
        <f t="array" ref="Y41">INT(SUMPRODUCT(--ISNUMBER(SEARCH(republicantrigger,'Martha McSally'!C41)))&gt;0)</f>
        <v>0</v>
      </c>
      <c r="Z41" s="23" cm="1">
        <f t="array" ref="Z41">INT(SUMPRODUCT(--ISNUMBER(SEARCH(bipartisan,'Martha McSally'!C41)))&gt;0)</f>
        <v>0</v>
      </c>
      <c r="AA41" s="23">
        <f t="shared" si="0"/>
        <v>0</v>
      </c>
      <c r="AB41" s="15"/>
      <c r="AC41" s="30">
        <v>0</v>
      </c>
      <c r="AD41" s="37">
        <v>1</v>
      </c>
    </row>
    <row r="42" spans="1:30" x14ac:dyDescent="0.25">
      <c r="A42" s="36">
        <v>41</v>
      </c>
      <c r="B42" s="14" t="s">
        <v>111</v>
      </c>
      <c r="C42" s="31" t="s">
        <v>112</v>
      </c>
      <c r="D42" s="17">
        <v>44124</v>
      </c>
      <c r="E42" s="14" t="s">
        <v>30</v>
      </c>
      <c r="F42" s="14">
        <v>790</v>
      </c>
      <c r="G42" s="14">
        <v>254</v>
      </c>
      <c r="H42" s="14">
        <v>1</v>
      </c>
      <c r="I42" s="14">
        <v>1</v>
      </c>
      <c r="J42" s="14" t="s">
        <v>31</v>
      </c>
      <c r="K42" s="14" cm="1">
        <f t="array" ref="K42">INT(SUMPRODUCT(--ISNUMBER(SEARCH(economy,'Martha McSally'!C42)))&gt;0)</f>
        <v>0</v>
      </c>
      <c r="L42" s="14" cm="1">
        <f t="array" ref="L42">INT(SUMPRODUCT(--ISNUMBER(SEARCH(healthcare,'Martha McSally'!C42)))&gt;0)</f>
        <v>0</v>
      </c>
      <c r="M42" s="14" cm="1">
        <f t="array" ref="M42">INT(SUMPRODUCT(--ISNUMBER(SEARCH(supreme,'Martha McSally'!C42)))&gt;0)</f>
        <v>1</v>
      </c>
      <c r="N42" s="14" cm="1">
        <f t="array" ref="N42">INT(SUMPRODUCT(--ISNUMBER(SEARCH(covid,'Martha McSally'!C42)))&gt;0)</f>
        <v>0</v>
      </c>
      <c r="O42" s="14" cm="1">
        <f t="array" ref="O42">INT(SUMPRODUCT(--ISNUMBER(SEARCH(violent,'Martha McSally'!C42)))&gt;0)</f>
        <v>0</v>
      </c>
      <c r="P42" s="14" cm="1">
        <f t="array" ref="P42">INT(SUMPRODUCT(--ISNUMBER(SEARCH(foreign,'Martha McSally'!C42)))&gt;0)</f>
        <v>0</v>
      </c>
      <c r="Q42" s="14" cm="1">
        <f t="array" ref="Q42">INT(SUMPRODUCT(--ISNUMBER(SEARCH(gun,'Martha McSally'!C42)))&gt;0)</f>
        <v>0</v>
      </c>
      <c r="R42" s="14" cm="1">
        <f t="array" ref="R42">INT(SUMPRODUCT(--ISNUMBER(SEARCH(race,'Martha McSally'!C42)))&gt;0)</f>
        <v>0</v>
      </c>
      <c r="S42" s="14" cm="1">
        <f t="array" ref="S42">INT(SUMPRODUCT(--ISNUMBER(SEARCH(immigration,C42)))&gt;0)</f>
        <v>0</v>
      </c>
      <c r="T42" s="14" cm="1">
        <f t="array" ref="T42">INT(SUMPRODUCT(--ISNUMBER(SEARCH(econineq,C42)))&gt;0)</f>
        <v>0</v>
      </c>
      <c r="U42" s="14" cm="1">
        <f t="array" ref="U42">INT(SUMPRODUCT(--ISNUMBER(SEARCH(climate,'Martha McSally'!C42)))&gt;0)</f>
        <v>0</v>
      </c>
      <c r="V42" s="14" cm="1">
        <f t="array" ref="V42">INT(SUMPRODUCT(--ISNUMBER(SEARCH(abortion,'Martha McSally'!C42)))&gt;0)</f>
        <v>0</v>
      </c>
      <c r="W42" s="14" cm="1">
        <f t="array" ref="W42">INT(SUMPRODUCT(--ISNUMBER(SEARCH(trump,'Martha McSally'!C42)))&gt;0)</f>
        <v>0</v>
      </c>
      <c r="X42" s="14" cm="1">
        <f t="array" ref="X42">INT(SUMPRODUCT(--ISNUMBER(SEARCH(voting,'Martha McSally'!C42)))&gt;0)</f>
        <v>0</v>
      </c>
      <c r="Y42" s="14" cm="1">
        <f t="array" ref="Y42">INT(SUMPRODUCT(--ISNUMBER(SEARCH(republicantrigger,'Martha McSally'!C42)))&gt;0)</f>
        <v>0</v>
      </c>
      <c r="Z42" s="23" cm="1">
        <f t="array" ref="Z42">INT(SUMPRODUCT(--ISNUMBER(SEARCH(bipartisan,'Martha McSally'!C42)))&gt;0)</f>
        <v>0</v>
      </c>
      <c r="AA42" s="23">
        <f t="shared" si="0"/>
        <v>0</v>
      </c>
      <c r="AB42" s="15"/>
      <c r="AC42" s="30">
        <v>0</v>
      </c>
      <c r="AD42" s="37">
        <v>0</v>
      </c>
    </row>
    <row r="43" spans="1:30" x14ac:dyDescent="0.25">
      <c r="A43" s="36">
        <v>42</v>
      </c>
      <c r="B43" s="14" t="s">
        <v>113</v>
      </c>
      <c r="C43" s="31" t="s">
        <v>114</v>
      </c>
      <c r="D43" s="17">
        <v>44123</v>
      </c>
      <c r="E43" s="14" t="s">
        <v>30</v>
      </c>
      <c r="F43" s="14">
        <v>1907</v>
      </c>
      <c r="G43" s="14">
        <v>662</v>
      </c>
      <c r="H43" s="14">
        <v>1</v>
      </c>
      <c r="I43" s="14">
        <v>1</v>
      </c>
      <c r="J43" s="14" t="s">
        <v>31</v>
      </c>
      <c r="K43" s="14" cm="1">
        <f t="array" ref="K43">INT(SUMPRODUCT(--ISNUMBER(SEARCH(economy,'Martha McSally'!C43)))&gt;0)</f>
        <v>0</v>
      </c>
      <c r="L43" s="14" cm="1">
        <f t="array" ref="L43">INT(SUMPRODUCT(--ISNUMBER(SEARCH(healthcare,'Martha McSally'!C43)))&gt;0)</f>
        <v>0</v>
      </c>
      <c r="M43" s="14" cm="1">
        <f t="array" ref="M43">INT(SUMPRODUCT(--ISNUMBER(SEARCH(supreme,'Martha McSally'!C43)))&gt;0)</f>
        <v>1</v>
      </c>
      <c r="N43" s="14" cm="1">
        <f t="array" ref="N43">INT(SUMPRODUCT(--ISNUMBER(SEARCH(covid,'Martha McSally'!C43)))&gt;0)</f>
        <v>0</v>
      </c>
      <c r="O43" s="14" cm="1">
        <f t="array" ref="O43">INT(SUMPRODUCT(--ISNUMBER(SEARCH(violent,'Martha McSally'!C43)))&gt;0)</f>
        <v>0</v>
      </c>
      <c r="P43" s="14" cm="1">
        <f t="array" ref="P43">INT(SUMPRODUCT(--ISNUMBER(SEARCH(foreign,'Martha McSally'!C43)))&gt;0)</f>
        <v>0</v>
      </c>
      <c r="Q43" s="14" cm="1">
        <f t="array" ref="Q43">INT(SUMPRODUCT(--ISNUMBER(SEARCH(gun,'Martha McSally'!C43)))&gt;0)</f>
        <v>0</v>
      </c>
      <c r="R43" s="14" cm="1">
        <f t="array" ref="R43">INT(SUMPRODUCT(--ISNUMBER(SEARCH(race,'Martha McSally'!C43)))&gt;0)</f>
        <v>0</v>
      </c>
      <c r="S43" s="14" cm="1">
        <f t="array" ref="S43">INT(SUMPRODUCT(--ISNUMBER(SEARCH(immigration,C43)))&gt;0)</f>
        <v>0</v>
      </c>
      <c r="T43" s="14" cm="1">
        <f t="array" ref="T43">INT(SUMPRODUCT(--ISNUMBER(SEARCH(econineq,C43)))&gt;0)</f>
        <v>0</v>
      </c>
      <c r="U43" s="14" cm="1">
        <f t="array" ref="U43">INT(SUMPRODUCT(--ISNUMBER(SEARCH(climate,'Martha McSally'!C43)))&gt;0)</f>
        <v>0</v>
      </c>
      <c r="V43" s="14" cm="1">
        <f t="array" ref="V43">INT(SUMPRODUCT(--ISNUMBER(SEARCH(abortion,'Martha McSally'!C43)))&gt;0)</f>
        <v>0</v>
      </c>
      <c r="W43" s="14" cm="1">
        <f t="array" ref="W43">INT(SUMPRODUCT(--ISNUMBER(SEARCH(trump,'Martha McSally'!C43)))&gt;0)</f>
        <v>0</v>
      </c>
      <c r="X43" s="14" cm="1">
        <f t="array" ref="X43">INT(SUMPRODUCT(--ISNUMBER(SEARCH(voting,'Martha McSally'!C43)))&gt;0)</f>
        <v>0</v>
      </c>
      <c r="Y43" s="14" cm="1">
        <f t="array" ref="Y43">INT(SUMPRODUCT(--ISNUMBER(SEARCH(republicantrigger,'Martha McSally'!C43)))&gt;0)</f>
        <v>1</v>
      </c>
      <c r="Z43" s="23" cm="1">
        <f t="array" ref="Z43">INT(SUMPRODUCT(--ISNUMBER(SEARCH(bipartisan,'Martha McSally'!C43)))&gt;0)</f>
        <v>0</v>
      </c>
      <c r="AA43" s="23">
        <f t="shared" si="0"/>
        <v>0</v>
      </c>
      <c r="AB43" s="15"/>
      <c r="AC43" s="30">
        <v>0</v>
      </c>
      <c r="AD43" s="37">
        <v>0</v>
      </c>
    </row>
    <row r="44" spans="1:30" x14ac:dyDescent="0.25">
      <c r="A44" s="36">
        <v>43</v>
      </c>
      <c r="B44" s="14" t="s">
        <v>115</v>
      </c>
      <c r="C44" s="31" t="s">
        <v>116</v>
      </c>
      <c r="D44" s="17">
        <v>44123</v>
      </c>
      <c r="E44" s="14" t="s">
        <v>30</v>
      </c>
      <c r="F44" s="14">
        <v>112</v>
      </c>
      <c r="G44" s="14">
        <v>36</v>
      </c>
      <c r="H44" s="14">
        <v>1</v>
      </c>
      <c r="I44" s="14">
        <v>1</v>
      </c>
      <c r="J44" s="14" t="s">
        <v>31</v>
      </c>
      <c r="K44" s="14" cm="1">
        <f t="array" ref="K44">INT(SUMPRODUCT(--ISNUMBER(SEARCH(economy,'Martha McSally'!C44)))&gt;0)</f>
        <v>1</v>
      </c>
      <c r="L44" s="14" cm="1">
        <f t="array" ref="L44">INT(SUMPRODUCT(--ISNUMBER(SEARCH(healthcare,'Martha McSally'!C44)))&gt;0)</f>
        <v>0</v>
      </c>
      <c r="M44" s="14" cm="1">
        <f t="array" ref="M44">INT(SUMPRODUCT(--ISNUMBER(SEARCH(supreme,'Martha McSally'!C44)))&gt;0)</f>
        <v>0</v>
      </c>
      <c r="N44" s="14" cm="1">
        <f t="array" ref="N44">INT(SUMPRODUCT(--ISNUMBER(SEARCH(covid,'Martha McSally'!C44)))&gt;0)</f>
        <v>0</v>
      </c>
      <c r="O44" s="14" cm="1">
        <f t="array" ref="O44">INT(SUMPRODUCT(--ISNUMBER(SEARCH(violent,'Martha McSally'!C44)))&gt;0)</f>
        <v>0</v>
      </c>
      <c r="P44" s="14" cm="1">
        <f t="array" ref="P44">INT(SUMPRODUCT(--ISNUMBER(SEARCH(foreign,'Martha McSally'!C44)))&gt;0)</f>
        <v>0</v>
      </c>
      <c r="Q44" s="14" cm="1">
        <f t="array" ref="Q44">INT(SUMPRODUCT(--ISNUMBER(SEARCH(gun,'Martha McSally'!C44)))&gt;0)</f>
        <v>0</v>
      </c>
      <c r="R44" s="14" cm="1">
        <f t="array" ref="R44">INT(SUMPRODUCT(--ISNUMBER(SEARCH(race,'Martha McSally'!C44)))&gt;0)</f>
        <v>0</v>
      </c>
      <c r="S44" s="14" cm="1">
        <f t="array" ref="S44">INT(SUMPRODUCT(--ISNUMBER(SEARCH(immigration,C44)))&gt;0)</f>
        <v>0</v>
      </c>
      <c r="T44" s="14" cm="1">
        <f t="array" ref="T44">INT(SUMPRODUCT(--ISNUMBER(SEARCH(econineq,C44)))&gt;0)</f>
        <v>0</v>
      </c>
      <c r="U44" s="14" cm="1">
        <f t="array" ref="U44">INT(SUMPRODUCT(--ISNUMBER(SEARCH(climate,'Martha McSally'!C44)))&gt;0)</f>
        <v>0</v>
      </c>
      <c r="V44" s="14" cm="1">
        <f t="array" ref="V44">INT(SUMPRODUCT(--ISNUMBER(SEARCH(abortion,'Martha McSally'!C44)))&gt;0)</f>
        <v>0</v>
      </c>
      <c r="W44" s="14" cm="1">
        <f t="array" ref="W44">INT(SUMPRODUCT(--ISNUMBER(SEARCH(trump,'Martha McSally'!C44)))&gt;0)</f>
        <v>0</v>
      </c>
      <c r="X44" s="14" cm="1">
        <f t="array" ref="X44">INT(SUMPRODUCT(--ISNUMBER(SEARCH(voting,'Martha McSally'!C44)))&gt;0)</f>
        <v>0</v>
      </c>
      <c r="Y44" s="14" cm="1">
        <f t="array" ref="Y44">INT(SUMPRODUCT(--ISNUMBER(SEARCH(republicantrigger,'Martha McSally'!C44)))&gt;0)</f>
        <v>0</v>
      </c>
      <c r="Z44" s="23" cm="1">
        <f t="array" ref="Z44">INT(SUMPRODUCT(--ISNUMBER(SEARCH(bipartisan,'Martha McSally'!C44)))&gt;0)</f>
        <v>0</v>
      </c>
      <c r="AA44" s="23">
        <f t="shared" si="0"/>
        <v>0</v>
      </c>
      <c r="AB44" s="15"/>
      <c r="AC44" s="30">
        <v>0</v>
      </c>
      <c r="AD44" s="37">
        <v>0</v>
      </c>
    </row>
    <row r="45" spans="1:30" x14ac:dyDescent="0.25">
      <c r="A45" s="36">
        <v>44</v>
      </c>
      <c r="B45" s="14" t="s">
        <v>117</v>
      </c>
      <c r="C45" s="31" t="s">
        <v>118</v>
      </c>
      <c r="D45" s="17">
        <v>44122</v>
      </c>
      <c r="E45" s="14" t="s">
        <v>30</v>
      </c>
      <c r="F45" s="14">
        <v>177</v>
      </c>
      <c r="G45" s="14">
        <v>57</v>
      </c>
      <c r="H45" s="14">
        <v>1</v>
      </c>
      <c r="I45" s="14">
        <v>1</v>
      </c>
      <c r="J45" s="14" t="s">
        <v>31</v>
      </c>
      <c r="K45" s="14" cm="1">
        <f t="array" ref="K45">INT(SUMPRODUCT(--ISNUMBER(SEARCH(economy,'Martha McSally'!C45)))&gt;0)</f>
        <v>1</v>
      </c>
      <c r="L45" s="14" cm="1">
        <f t="array" ref="L45">INT(SUMPRODUCT(--ISNUMBER(SEARCH(healthcare,'Martha McSally'!C45)))&gt;0)</f>
        <v>0</v>
      </c>
      <c r="M45" s="14" cm="1">
        <f t="array" ref="M45">INT(SUMPRODUCT(--ISNUMBER(SEARCH(supreme,'Martha McSally'!C45)))&gt;0)</f>
        <v>0</v>
      </c>
      <c r="N45" s="14" cm="1">
        <f t="array" ref="N45">INT(SUMPRODUCT(--ISNUMBER(SEARCH(covid,'Martha McSally'!C45)))&gt;0)</f>
        <v>0</v>
      </c>
      <c r="O45" s="14" cm="1">
        <f t="array" ref="O45">INT(SUMPRODUCT(--ISNUMBER(SEARCH(violent,'Martha McSally'!C45)))&gt;0)</f>
        <v>0</v>
      </c>
      <c r="P45" s="14" cm="1">
        <f t="array" ref="P45">INT(SUMPRODUCT(--ISNUMBER(SEARCH(foreign,'Martha McSally'!C45)))&gt;0)</f>
        <v>0</v>
      </c>
      <c r="Q45" s="14" cm="1">
        <f t="array" ref="Q45">INT(SUMPRODUCT(--ISNUMBER(SEARCH(gun,'Martha McSally'!C45)))&gt;0)</f>
        <v>0</v>
      </c>
      <c r="R45" s="14" cm="1">
        <f t="array" ref="R45">INT(SUMPRODUCT(--ISNUMBER(SEARCH(race,'Martha McSally'!C45)))&gt;0)</f>
        <v>0</v>
      </c>
      <c r="S45" s="14" cm="1">
        <f t="array" ref="S45">INT(SUMPRODUCT(--ISNUMBER(SEARCH(immigration,C45)))&gt;0)</f>
        <v>0</v>
      </c>
      <c r="T45" s="14" cm="1">
        <f t="array" ref="T45">INT(SUMPRODUCT(--ISNUMBER(SEARCH(econineq,C45)))&gt;0)</f>
        <v>0</v>
      </c>
      <c r="U45" s="14" cm="1">
        <f t="array" ref="U45">INT(SUMPRODUCT(--ISNUMBER(SEARCH(climate,'Martha McSally'!C45)))&gt;0)</f>
        <v>0</v>
      </c>
      <c r="V45" s="14" cm="1">
        <f t="array" ref="V45">INT(SUMPRODUCT(--ISNUMBER(SEARCH(abortion,'Martha McSally'!C45)))&gt;0)</f>
        <v>0</v>
      </c>
      <c r="W45" s="14" cm="1">
        <f t="array" ref="W45">INT(SUMPRODUCT(--ISNUMBER(SEARCH(trump,'Martha McSally'!C45)))&gt;0)</f>
        <v>0</v>
      </c>
      <c r="X45" s="14" cm="1">
        <f t="array" ref="X45">INT(SUMPRODUCT(--ISNUMBER(SEARCH(voting,'Martha McSally'!C45)))&gt;0)</f>
        <v>0</v>
      </c>
      <c r="Y45" s="14" cm="1">
        <f t="array" ref="Y45">INT(SUMPRODUCT(--ISNUMBER(SEARCH(republicantrigger,'Martha McSally'!C45)))&gt;0)</f>
        <v>0</v>
      </c>
      <c r="Z45" s="23" cm="1">
        <f t="array" ref="Z45">INT(SUMPRODUCT(--ISNUMBER(SEARCH(bipartisan,'Martha McSally'!C45)))&gt;0)</f>
        <v>0</v>
      </c>
      <c r="AA45" s="23">
        <f t="shared" si="0"/>
        <v>0</v>
      </c>
      <c r="AB45" s="15"/>
      <c r="AC45" s="30">
        <v>0</v>
      </c>
      <c r="AD45" s="37">
        <v>0</v>
      </c>
    </row>
    <row r="46" spans="1:30" x14ac:dyDescent="0.25">
      <c r="A46" s="36">
        <v>45</v>
      </c>
      <c r="B46" s="14" t="s">
        <v>119</v>
      </c>
      <c r="C46" s="31" t="s">
        <v>120</v>
      </c>
      <c r="D46" s="17">
        <v>44122</v>
      </c>
      <c r="E46" s="14" t="s">
        <v>30</v>
      </c>
      <c r="F46" s="14">
        <v>339</v>
      </c>
      <c r="G46" s="14">
        <v>131</v>
      </c>
      <c r="H46" s="14">
        <v>1</v>
      </c>
      <c r="I46" s="14">
        <v>1</v>
      </c>
      <c r="J46" s="14" t="s">
        <v>31</v>
      </c>
      <c r="K46" s="14" cm="1">
        <f t="array" ref="K46">INT(SUMPRODUCT(--ISNUMBER(SEARCH(economy,'Martha McSally'!C46)))&gt;0)</f>
        <v>0</v>
      </c>
      <c r="L46" s="14" cm="1">
        <f t="array" ref="L46">INT(SUMPRODUCT(--ISNUMBER(SEARCH(healthcare,'Martha McSally'!C46)))&gt;0)</f>
        <v>1</v>
      </c>
      <c r="M46" s="14" cm="1">
        <f t="array" ref="M46">INT(SUMPRODUCT(--ISNUMBER(SEARCH(supreme,'Martha McSally'!C46)))&gt;0)</f>
        <v>0</v>
      </c>
      <c r="N46" s="14" cm="1">
        <f t="array" ref="N46">INT(SUMPRODUCT(--ISNUMBER(SEARCH(covid,'Martha McSally'!C46)))&gt;0)</f>
        <v>0</v>
      </c>
      <c r="O46" s="14" cm="1">
        <f t="array" ref="O46">INT(SUMPRODUCT(--ISNUMBER(SEARCH(violent,'Martha McSally'!C46)))&gt;0)</f>
        <v>0</v>
      </c>
      <c r="P46" s="14" cm="1">
        <f t="array" ref="P46">INT(SUMPRODUCT(--ISNUMBER(SEARCH(foreign,'Martha McSally'!C46)))&gt;0)</f>
        <v>0</v>
      </c>
      <c r="Q46" s="14" cm="1">
        <f t="array" ref="Q46">INT(SUMPRODUCT(--ISNUMBER(SEARCH(gun,'Martha McSally'!C46)))&gt;0)</f>
        <v>0</v>
      </c>
      <c r="R46" s="14" cm="1">
        <f t="array" ref="R46">INT(SUMPRODUCT(--ISNUMBER(SEARCH(race,'Martha McSally'!C46)))&gt;0)</f>
        <v>0</v>
      </c>
      <c r="S46" s="14" cm="1">
        <f t="array" ref="S46">INT(SUMPRODUCT(--ISNUMBER(SEARCH(immigration,C46)))&gt;0)</f>
        <v>0</v>
      </c>
      <c r="T46" s="14" cm="1">
        <f t="array" ref="T46">INT(SUMPRODUCT(--ISNUMBER(SEARCH(econineq,C46)))&gt;0)</f>
        <v>0</v>
      </c>
      <c r="U46" s="14" cm="1">
        <f t="array" ref="U46">INT(SUMPRODUCT(--ISNUMBER(SEARCH(climate,'Martha McSally'!C46)))&gt;0)</f>
        <v>0</v>
      </c>
      <c r="V46" s="14" cm="1">
        <f t="array" ref="V46">INT(SUMPRODUCT(--ISNUMBER(SEARCH(abortion,'Martha McSally'!C46)))&gt;0)</f>
        <v>0</v>
      </c>
      <c r="W46" s="14" cm="1">
        <f t="array" ref="W46">INT(SUMPRODUCT(--ISNUMBER(SEARCH(trump,'Martha McSally'!C46)))&gt;0)</f>
        <v>0</v>
      </c>
      <c r="X46" s="14" cm="1">
        <f t="array" ref="X46">INT(SUMPRODUCT(--ISNUMBER(SEARCH(voting,'Martha McSally'!C46)))&gt;0)</f>
        <v>0</v>
      </c>
      <c r="Y46" s="14" cm="1">
        <f t="array" ref="Y46">INT(SUMPRODUCT(--ISNUMBER(SEARCH(republicantrigger,'Martha McSally'!C46)))&gt;0)</f>
        <v>0</v>
      </c>
      <c r="Z46" s="23" cm="1">
        <f t="array" ref="Z46">INT(SUMPRODUCT(--ISNUMBER(SEARCH(bipartisan,'Martha McSally'!C46)))&gt;0)</f>
        <v>0</v>
      </c>
      <c r="AA46" s="23">
        <f t="shared" si="0"/>
        <v>0</v>
      </c>
      <c r="AB46" s="15"/>
      <c r="AC46" s="30">
        <v>0</v>
      </c>
      <c r="AD46" s="37">
        <v>0</v>
      </c>
    </row>
    <row r="47" spans="1:30" x14ac:dyDescent="0.25">
      <c r="A47" s="36">
        <v>46</v>
      </c>
      <c r="B47" s="14" t="s">
        <v>121</v>
      </c>
      <c r="C47" s="31" t="s">
        <v>122</v>
      </c>
      <c r="D47" s="17">
        <v>44121</v>
      </c>
      <c r="E47" s="14" t="s">
        <v>30</v>
      </c>
      <c r="F47" s="14">
        <v>177</v>
      </c>
      <c r="G47" s="14">
        <v>91</v>
      </c>
      <c r="H47" s="14">
        <v>1</v>
      </c>
      <c r="I47" s="14">
        <v>1</v>
      </c>
      <c r="J47" s="14" t="s">
        <v>31</v>
      </c>
      <c r="K47" s="14" cm="1">
        <f t="array" ref="K47">INT(SUMPRODUCT(--ISNUMBER(SEARCH(economy,'Martha McSally'!C47)))&gt;0)</f>
        <v>1</v>
      </c>
      <c r="L47" s="14" cm="1">
        <f t="array" ref="L47">INT(SUMPRODUCT(--ISNUMBER(SEARCH(healthcare,'Martha McSally'!C47)))&gt;0)</f>
        <v>0</v>
      </c>
      <c r="M47" s="14" cm="1">
        <f t="array" ref="M47">INT(SUMPRODUCT(--ISNUMBER(SEARCH(supreme,'Martha McSally'!C47)))&gt;0)</f>
        <v>0</v>
      </c>
      <c r="N47" s="14" cm="1">
        <f t="array" ref="N47">INT(SUMPRODUCT(--ISNUMBER(SEARCH(covid,'Martha McSally'!C47)))&gt;0)</f>
        <v>1</v>
      </c>
      <c r="O47" s="14" cm="1">
        <f t="array" ref="O47">INT(SUMPRODUCT(--ISNUMBER(SEARCH(violent,'Martha McSally'!C47)))&gt;0)</f>
        <v>0</v>
      </c>
      <c r="P47" s="14" cm="1">
        <f t="array" ref="P47">INT(SUMPRODUCT(--ISNUMBER(SEARCH(foreign,'Martha McSally'!C47)))&gt;0)</f>
        <v>0</v>
      </c>
      <c r="Q47" s="14" cm="1">
        <f t="array" ref="Q47">INT(SUMPRODUCT(--ISNUMBER(SEARCH(gun,'Martha McSally'!C47)))&gt;0)</f>
        <v>0</v>
      </c>
      <c r="R47" s="14" cm="1">
        <f t="array" ref="R47">INT(SUMPRODUCT(--ISNUMBER(SEARCH(race,'Martha McSally'!C47)))&gt;0)</f>
        <v>0</v>
      </c>
      <c r="S47" s="14" cm="1">
        <f t="array" ref="S47">INT(SUMPRODUCT(--ISNUMBER(SEARCH(immigration,C47)))&gt;0)</f>
        <v>0</v>
      </c>
      <c r="T47" s="14" cm="1">
        <f t="array" ref="T47">INT(SUMPRODUCT(--ISNUMBER(SEARCH(econineq,C47)))&gt;0)</f>
        <v>0</v>
      </c>
      <c r="U47" s="14" cm="1">
        <f t="array" ref="U47">INT(SUMPRODUCT(--ISNUMBER(SEARCH(climate,'Martha McSally'!C47)))&gt;0)</f>
        <v>0</v>
      </c>
      <c r="V47" s="14" cm="1">
        <f t="array" ref="V47">INT(SUMPRODUCT(--ISNUMBER(SEARCH(abortion,'Martha McSally'!C47)))&gt;0)</f>
        <v>0</v>
      </c>
      <c r="W47" s="14" cm="1">
        <f t="array" ref="W47">INT(SUMPRODUCT(--ISNUMBER(SEARCH(trump,'Martha McSally'!C47)))&gt;0)</f>
        <v>0</v>
      </c>
      <c r="X47" s="14" cm="1">
        <f t="array" ref="X47">INT(SUMPRODUCT(--ISNUMBER(SEARCH(voting,'Martha McSally'!C47)))&gt;0)</f>
        <v>0</v>
      </c>
      <c r="Y47" s="14" cm="1">
        <f t="array" ref="Y47">INT(SUMPRODUCT(--ISNUMBER(SEARCH(republicantrigger,'Martha McSally'!C47)))&gt;0)</f>
        <v>0</v>
      </c>
      <c r="Z47" s="23" cm="1">
        <f t="array" ref="Z47">INT(SUMPRODUCT(--ISNUMBER(SEARCH(bipartisan,'Martha McSally'!C47)))&gt;0)</f>
        <v>0</v>
      </c>
      <c r="AA47" s="23">
        <f t="shared" si="0"/>
        <v>0</v>
      </c>
      <c r="AB47" s="15"/>
      <c r="AC47" s="30">
        <v>0</v>
      </c>
      <c r="AD47" s="37">
        <v>0</v>
      </c>
    </row>
    <row r="48" spans="1:30" x14ac:dyDescent="0.25">
      <c r="A48" s="36">
        <v>47</v>
      </c>
      <c r="B48" s="14" t="s">
        <v>123</v>
      </c>
      <c r="C48" s="31" t="s">
        <v>124</v>
      </c>
      <c r="D48" s="17">
        <v>44121</v>
      </c>
      <c r="E48" s="14" t="s">
        <v>30</v>
      </c>
      <c r="F48" s="14">
        <v>524</v>
      </c>
      <c r="G48" s="14">
        <v>217</v>
      </c>
      <c r="H48" s="14">
        <v>1</v>
      </c>
      <c r="I48" s="14">
        <v>1</v>
      </c>
      <c r="J48" s="14" t="s">
        <v>31</v>
      </c>
      <c r="K48" s="14" cm="1">
        <f t="array" ref="K48">INT(SUMPRODUCT(--ISNUMBER(SEARCH(economy,'Martha McSally'!C48)))&gt;0)</f>
        <v>1</v>
      </c>
      <c r="L48" s="14" cm="1">
        <f t="array" ref="L48">INT(SUMPRODUCT(--ISNUMBER(SEARCH(healthcare,'Martha McSally'!C48)))&gt;0)</f>
        <v>0</v>
      </c>
      <c r="M48" s="14" cm="1">
        <f t="array" ref="M48">INT(SUMPRODUCT(--ISNUMBER(SEARCH(supreme,'Martha McSally'!C48)))&gt;0)</f>
        <v>0</v>
      </c>
      <c r="N48" s="14" cm="1">
        <f t="array" ref="N48">INT(SUMPRODUCT(--ISNUMBER(SEARCH(covid,'Martha McSally'!C48)))&gt;0)</f>
        <v>0</v>
      </c>
      <c r="O48" s="14" cm="1">
        <f t="array" ref="O48">INT(SUMPRODUCT(--ISNUMBER(SEARCH(violent,'Martha McSally'!C48)))&gt;0)</f>
        <v>0</v>
      </c>
      <c r="P48" s="14" cm="1">
        <f t="array" ref="P48">INT(SUMPRODUCT(--ISNUMBER(SEARCH(foreign,'Martha McSally'!C48)))&gt;0)</f>
        <v>0</v>
      </c>
      <c r="Q48" s="14" cm="1">
        <f t="array" ref="Q48">INT(SUMPRODUCT(--ISNUMBER(SEARCH(gun,'Martha McSally'!C48)))&gt;0)</f>
        <v>0</v>
      </c>
      <c r="R48" s="14" cm="1">
        <f t="array" ref="R48">INT(SUMPRODUCT(--ISNUMBER(SEARCH(race,'Martha McSally'!C48)))&gt;0)</f>
        <v>0</v>
      </c>
      <c r="S48" s="14" cm="1">
        <f t="array" ref="S48">INT(SUMPRODUCT(--ISNUMBER(SEARCH(immigration,C48)))&gt;0)</f>
        <v>0</v>
      </c>
      <c r="T48" s="14" cm="1">
        <f t="array" ref="T48">INT(SUMPRODUCT(--ISNUMBER(SEARCH(econineq,C48)))&gt;0)</f>
        <v>0</v>
      </c>
      <c r="U48" s="14" cm="1">
        <f t="array" ref="U48">INT(SUMPRODUCT(--ISNUMBER(SEARCH(climate,'Martha McSally'!C48)))&gt;0)</f>
        <v>0</v>
      </c>
      <c r="V48" s="14" cm="1">
        <f t="array" ref="V48">INT(SUMPRODUCT(--ISNUMBER(SEARCH(abortion,'Martha McSally'!C48)))&gt;0)</f>
        <v>0</v>
      </c>
      <c r="W48" s="14" cm="1">
        <f t="array" ref="W48">INT(SUMPRODUCT(--ISNUMBER(SEARCH(trump,'Martha McSally'!C48)))&gt;0)</f>
        <v>0</v>
      </c>
      <c r="X48" s="14" cm="1">
        <f t="array" ref="X48">INT(SUMPRODUCT(--ISNUMBER(SEARCH(voting,'Martha McSally'!C48)))&gt;0)</f>
        <v>0</v>
      </c>
      <c r="Y48" s="14" cm="1">
        <f t="array" ref="Y48">INT(SUMPRODUCT(--ISNUMBER(SEARCH(republicantrigger,'Martha McSally'!C48)))&gt;0)</f>
        <v>0</v>
      </c>
      <c r="Z48" s="23" cm="1">
        <f t="array" ref="Z48">INT(SUMPRODUCT(--ISNUMBER(SEARCH(bipartisan,'Martha McSally'!C48)))&gt;0)</f>
        <v>1</v>
      </c>
      <c r="AA48" s="23">
        <f t="shared" si="0"/>
        <v>0</v>
      </c>
      <c r="AB48" s="15"/>
      <c r="AC48" s="30">
        <v>0</v>
      </c>
      <c r="AD48" s="37">
        <v>0</v>
      </c>
    </row>
    <row r="49" spans="1:30" x14ac:dyDescent="0.25">
      <c r="A49" s="36">
        <v>48</v>
      </c>
      <c r="B49" s="14" t="s">
        <v>125</v>
      </c>
      <c r="C49" s="31" t="s">
        <v>126</v>
      </c>
      <c r="D49" s="17">
        <v>44120</v>
      </c>
      <c r="E49" s="14" t="s">
        <v>30</v>
      </c>
      <c r="F49" s="14">
        <v>76</v>
      </c>
      <c r="G49" s="14">
        <v>44</v>
      </c>
      <c r="H49" s="14">
        <v>1</v>
      </c>
      <c r="I49" s="14">
        <v>1</v>
      </c>
      <c r="J49" s="14" t="s">
        <v>31</v>
      </c>
      <c r="K49" s="14" cm="1">
        <f t="array" ref="K49">INT(SUMPRODUCT(--ISNUMBER(SEARCH(economy,'Martha McSally'!C49)))&gt;0)</f>
        <v>1</v>
      </c>
      <c r="L49" s="14" cm="1">
        <f t="array" ref="L49">INT(SUMPRODUCT(--ISNUMBER(SEARCH(healthcare,'Martha McSally'!C49)))&gt;0)</f>
        <v>0</v>
      </c>
      <c r="M49" s="14" cm="1">
        <f t="array" ref="M49">INT(SUMPRODUCT(--ISNUMBER(SEARCH(supreme,'Martha McSally'!C49)))&gt;0)</f>
        <v>0</v>
      </c>
      <c r="N49" s="14" cm="1">
        <f t="array" ref="N49">INT(SUMPRODUCT(--ISNUMBER(SEARCH(covid,'Martha McSally'!C49)))&gt;0)</f>
        <v>0</v>
      </c>
      <c r="O49" s="14" cm="1">
        <f t="array" ref="O49">INT(SUMPRODUCT(--ISNUMBER(SEARCH(violent,'Martha McSally'!C49)))&gt;0)</f>
        <v>0</v>
      </c>
      <c r="P49" s="14" cm="1">
        <f t="array" ref="P49">INT(SUMPRODUCT(--ISNUMBER(SEARCH(foreign,'Martha McSally'!C49)))&gt;0)</f>
        <v>0</v>
      </c>
      <c r="Q49" s="14" cm="1">
        <f t="array" ref="Q49">INT(SUMPRODUCT(--ISNUMBER(SEARCH(gun,'Martha McSally'!C49)))&gt;0)</f>
        <v>0</v>
      </c>
      <c r="R49" s="14" cm="1">
        <f t="array" ref="R49">INT(SUMPRODUCT(--ISNUMBER(SEARCH(race,'Martha McSally'!C49)))&gt;0)</f>
        <v>0</v>
      </c>
      <c r="S49" s="14" cm="1">
        <f t="array" ref="S49">INT(SUMPRODUCT(--ISNUMBER(SEARCH(immigration,C49)))&gt;0)</f>
        <v>0</v>
      </c>
      <c r="T49" s="14" cm="1">
        <f t="array" ref="T49">INT(SUMPRODUCT(--ISNUMBER(SEARCH(econineq,C49)))&gt;0)</f>
        <v>0</v>
      </c>
      <c r="U49" s="14" cm="1">
        <f t="array" ref="U49">INT(SUMPRODUCT(--ISNUMBER(SEARCH(climate,'Martha McSally'!C49)))&gt;0)</f>
        <v>0</v>
      </c>
      <c r="V49" s="14" cm="1">
        <f t="array" ref="V49">INT(SUMPRODUCT(--ISNUMBER(SEARCH(abortion,'Martha McSally'!C49)))&gt;0)</f>
        <v>0</v>
      </c>
      <c r="W49" s="14" cm="1">
        <f t="array" ref="W49">INT(SUMPRODUCT(--ISNUMBER(SEARCH(trump,'Martha McSally'!C49)))&gt;0)</f>
        <v>0</v>
      </c>
      <c r="X49" s="14" cm="1">
        <f t="array" ref="X49">INT(SUMPRODUCT(--ISNUMBER(SEARCH(voting,'Martha McSally'!C49)))&gt;0)</f>
        <v>0</v>
      </c>
      <c r="Y49" s="14" cm="1">
        <f t="array" ref="Y49">INT(SUMPRODUCT(--ISNUMBER(SEARCH(republicantrigger,'Martha McSally'!C49)))&gt;0)</f>
        <v>0</v>
      </c>
      <c r="Z49" s="23" cm="1">
        <f t="array" ref="Z49">INT(SUMPRODUCT(--ISNUMBER(SEARCH(bipartisan,'Martha McSally'!C49)))&gt;0)</f>
        <v>0</v>
      </c>
      <c r="AA49" s="23">
        <f t="shared" si="0"/>
        <v>0</v>
      </c>
      <c r="AB49" s="15"/>
      <c r="AC49" s="30">
        <v>0</v>
      </c>
      <c r="AD49" s="37">
        <v>0</v>
      </c>
    </row>
    <row r="50" spans="1:30" x14ac:dyDescent="0.25">
      <c r="A50" s="36">
        <v>49</v>
      </c>
      <c r="B50" s="14" t="s">
        <v>127</v>
      </c>
      <c r="C50" s="31" t="s">
        <v>128</v>
      </c>
      <c r="D50" s="17">
        <v>44120</v>
      </c>
      <c r="E50" s="14" t="s">
        <v>30</v>
      </c>
      <c r="F50" s="14">
        <v>346</v>
      </c>
      <c r="G50" s="14">
        <v>95</v>
      </c>
      <c r="H50" s="14">
        <v>1</v>
      </c>
      <c r="I50" s="14">
        <v>1</v>
      </c>
      <c r="J50" s="14" t="s">
        <v>31</v>
      </c>
      <c r="K50" s="14" cm="1">
        <f t="array" ref="K50">INT(SUMPRODUCT(--ISNUMBER(SEARCH(economy,'Martha McSally'!C50)))&gt;0)</f>
        <v>0</v>
      </c>
      <c r="L50" s="14" cm="1">
        <f t="array" ref="L50">INT(SUMPRODUCT(--ISNUMBER(SEARCH(healthcare,'Martha McSally'!C50)))&gt;0)</f>
        <v>0</v>
      </c>
      <c r="M50" s="14" cm="1">
        <f t="array" ref="M50">INT(SUMPRODUCT(--ISNUMBER(SEARCH(supreme,'Martha McSally'!C50)))&gt;0)</f>
        <v>0</v>
      </c>
      <c r="N50" s="14" cm="1">
        <f t="array" ref="N50">INT(SUMPRODUCT(--ISNUMBER(SEARCH(covid,'Martha McSally'!C50)))&gt;0)</f>
        <v>0</v>
      </c>
      <c r="O50" s="14" cm="1">
        <f t="array" ref="O50">INT(SUMPRODUCT(--ISNUMBER(SEARCH(violent,'Martha McSally'!C50)))&gt;0)</f>
        <v>0</v>
      </c>
      <c r="P50" s="14" cm="1">
        <f t="array" ref="P50">INT(SUMPRODUCT(--ISNUMBER(SEARCH(foreign,'Martha McSally'!C50)))&gt;0)</f>
        <v>0</v>
      </c>
      <c r="Q50" s="14" cm="1">
        <f t="array" ref="Q50">INT(SUMPRODUCT(--ISNUMBER(SEARCH(gun,'Martha McSally'!C50)))&gt;0)</f>
        <v>0</v>
      </c>
      <c r="R50" s="14" cm="1">
        <f t="array" ref="R50">INT(SUMPRODUCT(--ISNUMBER(SEARCH(race,'Martha McSally'!C50)))&gt;0)</f>
        <v>0</v>
      </c>
      <c r="S50" s="14" cm="1">
        <f t="array" ref="S50">INT(SUMPRODUCT(--ISNUMBER(SEARCH(immigration,C50)))&gt;0)</f>
        <v>0</v>
      </c>
      <c r="T50" s="14" cm="1">
        <f t="array" ref="T50">INT(SUMPRODUCT(--ISNUMBER(SEARCH(econineq,C50)))&gt;0)</f>
        <v>0</v>
      </c>
      <c r="U50" s="14" cm="1">
        <f t="array" ref="U50">INT(SUMPRODUCT(--ISNUMBER(SEARCH(climate,'Martha McSally'!C50)))&gt;0)</f>
        <v>0</v>
      </c>
      <c r="V50" s="14" cm="1">
        <f t="array" ref="V50">INT(SUMPRODUCT(--ISNUMBER(SEARCH(abortion,'Martha McSally'!C50)))&gt;0)</f>
        <v>0</v>
      </c>
      <c r="W50" s="14" cm="1">
        <f t="array" ref="W50">INT(SUMPRODUCT(--ISNUMBER(SEARCH(trump,'Martha McSally'!C50)))&gt;0)</f>
        <v>1</v>
      </c>
      <c r="X50" s="14" cm="1">
        <f t="array" ref="X50">INT(SUMPRODUCT(--ISNUMBER(SEARCH(voting,'Martha McSally'!C50)))&gt;0)</f>
        <v>0</v>
      </c>
      <c r="Y50" s="14" cm="1">
        <f t="array" ref="Y50">INT(SUMPRODUCT(--ISNUMBER(SEARCH(republicantrigger,'Martha McSally'!C50)))&gt;0)</f>
        <v>0</v>
      </c>
      <c r="Z50" s="23" cm="1">
        <f t="array" ref="Z50">INT(SUMPRODUCT(--ISNUMBER(SEARCH(bipartisan,'Martha McSally'!C50)))&gt;0)</f>
        <v>0</v>
      </c>
      <c r="AA50" s="23">
        <f t="shared" si="0"/>
        <v>0</v>
      </c>
      <c r="AB50" s="15"/>
      <c r="AC50" s="30">
        <v>0</v>
      </c>
      <c r="AD50" s="37">
        <v>0</v>
      </c>
    </row>
    <row r="51" spans="1:30" x14ac:dyDescent="0.25">
      <c r="A51" s="36">
        <v>50</v>
      </c>
      <c r="B51" s="14" t="s">
        <v>129</v>
      </c>
      <c r="C51" s="31" t="s">
        <v>130</v>
      </c>
      <c r="D51" s="17">
        <v>44120</v>
      </c>
      <c r="E51" s="14" t="s">
        <v>30</v>
      </c>
      <c r="F51" s="14">
        <v>122</v>
      </c>
      <c r="G51" s="14">
        <v>34</v>
      </c>
      <c r="H51" s="14">
        <v>1</v>
      </c>
      <c r="I51" s="14">
        <v>1</v>
      </c>
      <c r="J51" s="14" t="s">
        <v>31</v>
      </c>
      <c r="K51" s="14" cm="1">
        <f t="array" ref="K51">INT(SUMPRODUCT(--ISNUMBER(SEARCH(economy,'Martha McSally'!C51)))&gt;0)</f>
        <v>1</v>
      </c>
      <c r="L51" s="14" cm="1">
        <f t="array" ref="L51">INT(SUMPRODUCT(--ISNUMBER(SEARCH(healthcare,'Martha McSally'!C51)))&gt;0)</f>
        <v>0</v>
      </c>
      <c r="M51" s="14" cm="1">
        <f t="array" ref="M51">INT(SUMPRODUCT(--ISNUMBER(SEARCH(supreme,'Martha McSally'!C51)))&gt;0)</f>
        <v>0</v>
      </c>
      <c r="N51" s="14" cm="1">
        <f t="array" ref="N51">INT(SUMPRODUCT(--ISNUMBER(SEARCH(covid,'Martha McSally'!C51)))&gt;0)</f>
        <v>0</v>
      </c>
      <c r="O51" s="14" cm="1">
        <f t="array" ref="O51">INT(SUMPRODUCT(--ISNUMBER(SEARCH(violent,'Martha McSally'!C51)))&gt;0)</f>
        <v>0</v>
      </c>
      <c r="P51" s="14" cm="1">
        <f t="array" ref="P51">INT(SUMPRODUCT(--ISNUMBER(SEARCH(foreign,'Martha McSally'!C51)))&gt;0)</f>
        <v>0</v>
      </c>
      <c r="Q51" s="14" cm="1">
        <f t="array" ref="Q51">INT(SUMPRODUCT(--ISNUMBER(SEARCH(gun,'Martha McSally'!C51)))&gt;0)</f>
        <v>0</v>
      </c>
      <c r="R51" s="14" cm="1">
        <f t="array" ref="R51">INT(SUMPRODUCT(--ISNUMBER(SEARCH(race,'Martha McSally'!C51)))&gt;0)</f>
        <v>0</v>
      </c>
      <c r="S51" s="14" cm="1">
        <f t="array" ref="S51">INT(SUMPRODUCT(--ISNUMBER(SEARCH(immigration,C51)))&gt;0)</f>
        <v>0</v>
      </c>
      <c r="T51" s="14" cm="1">
        <f t="array" ref="T51">INT(SUMPRODUCT(--ISNUMBER(SEARCH(econineq,C51)))&gt;0)</f>
        <v>1</v>
      </c>
      <c r="U51" s="14" cm="1">
        <f t="array" ref="U51">INT(SUMPRODUCT(--ISNUMBER(SEARCH(climate,'Martha McSally'!C51)))&gt;0)</f>
        <v>0</v>
      </c>
      <c r="V51" s="14" cm="1">
        <f t="array" ref="V51">INT(SUMPRODUCT(--ISNUMBER(SEARCH(abortion,'Martha McSally'!C51)))&gt;0)</f>
        <v>0</v>
      </c>
      <c r="W51" s="14" cm="1">
        <f t="array" ref="W51">INT(SUMPRODUCT(--ISNUMBER(SEARCH(trump,'Martha McSally'!C51)))&gt;0)</f>
        <v>0</v>
      </c>
      <c r="X51" s="14" cm="1">
        <f t="array" ref="X51">INT(SUMPRODUCT(--ISNUMBER(SEARCH(voting,'Martha McSally'!C51)))&gt;0)</f>
        <v>0</v>
      </c>
      <c r="Y51" s="14" cm="1">
        <f t="array" ref="Y51">INT(SUMPRODUCT(--ISNUMBER(SEARCH(republicantrigger,'Martha McSally'!C51)))&gt;0)</f>
        <v>0</v>
      </c>
      <c r="Z51" s="23" cm="1">
        <f t="array" ref="Z51">INT(SUMPRODUCT(--ISNUMBER(SEARCH(bipartisan,'Martha McSally'!C51)))&gt;0)</f>
        <v>0</v>
      </c>
      <c r="AA51" s="23">
        <f t="shared" si="0"/>
        <v>0</v>
      </c>
      <c r="AB51" s="15"/>
      <c r="AC51" s="30">
        <v>0</v>
      </c>
      <c r="AD51" s="37">
        <v>0</v>
      </c>
    </row>
    <row r="52" spans="1:30" x14ac:dyDescent="0.25">
      <c r="A52" s="36">
        <v>51</v>
      </c>
      <c r="B52" s="14" t="s">
        <v>131</v>
      </c>
      <c r="C52" s="31" t="s">
        <v>132</v>
      </c>
      <c r="D52" s="17">
        <v>44119</v>
      </c>
      <c r="E52" s="14" t="s">
        <v>30</v>
      </c>
      <c r="F52" s="14">
        <v>138</v>
      </c>
      <c r="G52" s="14">
        <v>61</v>
      </c>
      <c r="H52" s="14">
        <v>1</v>
      </c>
      <c r="I52" s="14">
        <v>1</v>
      </c>
      <c r="J52" s="14" t="s">
        <v>31</v>
      </c>
      <c r="K52" s="14" cm="1">
        <f t="array" ref="K52">INT(SUMPRODUCT(--ISNUMBER(SEARCH(economy,'Martha McSally'!C52)))&gt;0)</f>
        <v>0</v>
      </c>
      <c r="L52" s="14" cm="1">
        <f t="array" ref="L52">INT(SUMPRODUCT(--ISNUMBER(SEARCH(healthcare,'Martha McSally'!C52)))&gt;0)</f>
        <v>0</v>
      </c>
      <c r="M52" s="14" cm="1">
        <f t="array" ref="M52">INT(SUMPRODUCT(--ISNUMBER(SEARCH(supreme,'Martha McSally'!C52)))&gt;0)</f>
        <v>0</v>
      </c>
      <c r="N52" s="14" cm="1">
        <f t="array" ref="N52">INT(SUMPRODUCT(--ISNUMBER(SEARCH(covid,'Martha McSally'!C52)))&gt;0)</f>
        <v>0</v>
      </c>
      <c r="O52" s="14" cm="1">
        <f t="array" ref="O52">INT(SUMPRODUCT(--ISNUMBER(SEARCH(violent,'Martha McSally'!C52)))&gt;0)</f>
        <v>0</v>
      </c>
      <c r="P52" s="14" cm="1">
        <f t="array" ref="P52">INT(SUMPRODUCT(--ISNUMBER(SEARCH(foreign,'Martha McSally'!C52)))&gt;0)</f>
        <v>0</v>
      </c>
      <c r="Q52" s="14" cm="1">
        <f t="array" ref="Q52">INT(SUMPRODUCT(--ISNUMBER(SEARCH(gun,'Martha McSally'!C52)))&gt;0)</f>
        <v>0</v>
      </c>
      <c r="R52" s="14" cm="1">
        <f t="array" ref="R52">INT(SUMPRODUCT(--ISNUMBER(SEARCH(race,'Martha McSally'!C52)))&gt;0)</f>
        <v>0</v>
      </c>
      <c r="S52" s="14" cm="1">
        <f t="array" ref="S52">INT(SUMPRODUCT(--ISNUMBER(SEARCH(immigration,C52)))&gt;0)</f>
        <v>0</v>
      </c>
      <c r="T52" s="14" cm="1">
        <f t="array" ref="T52">INT(SUMPRODUCT(--ISNUMBER(SEARCH(econineq,C52)))&gt;0)</f>
        <v>1</v>
      </c>
      <c r="U52" s="14" cm="1">
        <f t="array" ref="U52">INT(SUMPRODUCT(--ISNUMBER(SEARCH(climate,'Martha McSally'!C52)))&gt;0)</f>
        <v>0</v>
      </c>
      <c r="V52" s="14" cm="1">
        <f t="array" ref="V52">INT(SUMPRODUCT(--ISNUMBER(SEARCH(abortion,'Martha McSally'!C52)))&gt;0)</f>
        <v>0</v>
      </c>
      <c r="W52" s="14" cm="1">
        <f t="array" ref="W52">INT(SUMPRODUCT(--ISNUMBER(SEARCH(trump,'Martha McSally'!C52)))&gt;0)</f>
        <v>0</v>
      </c>
      <c r="X52" s="14" cm="1">
        <f t="array" ref="X52">INT(SUMPRODUCT(--ISNUMBER(SEARCH(voting,'Martha McSally'!C52)))&gt;0)</f>
        <v>0</v>
      </c>
      <c r="Y52" s="14" cm="1">
        <f t="array" ref="Y52">INT(SUMPRODUCT(--ISNUMBER(SEARCH(republicantrigger,'Martha McSally'!C52)))&gt;0)</f>
        <v>0</v>
      </c>
      <c r="Z52" s="23" cm="1">
        <f t="array" ref="Z52">INT(SUMPRODUCT(--ISNUMBER(SEARCH(bipartisan,'Martha McSally'!C52)))&gt;0)</f>
        <v>0</v>
      </c>
      <c r="AA52" s="23">
        <f t="shared" si="0"/>
        <v>0</v>
      </c>
      <c r="AB52" s="15"/>
      <c r="AC52" s="30">
        <v>0</v>
      </c>
      <c r="AD52" s="37">
        <v>0</v>
      </c>
    </row>
    <row r="53" spans="1:30" x14ac:dyDescent="0.25">
      <c r="A53" s="36">
        <v>52</v>
      </c>
      <c r="B53" s="14" t="s">
        <v>133</v>
      </c>
      <c r="C53" s="31" t="s">
        <v>134</v>
      </c>
      <c r="D53" s="17">
        <v>44119</v>
      </c>
      <c r="E53" s="14" t="s">
        <v>30</v>
      </c>
      <c r="F53" s="14">
        <v>151</v>
      </c>
      <c r="G53" s="14">
        <v>56</v>
      </c>
      <c r="H53" s="14">
        <v>1</v>
      </c>
      <c r="I53" s="14">
        <v>1</v>
      </c>
      <c r="J53" s="14" t="s">
        <v>31</v>
      </c>
      <c r="K53" s="14" cm="1">
        <f t="array" ref="K53">INT(SUMPRODUCT(--ISNUMBER(SEARCH(economy,'Martha McSally'!C53)))&gt;0)</f>
        <v>0</v>
      </c>
      <c r="L53" s="14" cm="1">
        <f t="array" ref="L53">INT(SUMPRODUCT(--ISNUMBER(SEARCH(healthcare,'Martha McSally'!C53)))&gt;0)</f>
        <v>0</v>
      </c>
      <c r="M53" s="14" cm="1">
        <f t="array" ref="M53">INT(SUMPRODUCT(--ISNUMBER(SEARCH(supreme,'Martha McSally'!C53)))&gt;0)</f>
        <v>0</v>
      </c>
      <c r="N53" s="14" cm="1">
        <f t="array" ref="N53">INT(SUMPRODUCT(--ISNUMBER(SEARCH(covid,'Martha McSally'!C53)))&gt;0)</f>
        <v>0</v>
      </c>
      <c r="O53" s="14" cm="1">
        <f t="array" ref="O53">INT(SUMPRODUCT(--ISNUMBER(SEARCH(violent,'Martha McSally'!C53)))&gt;0)</f>
        <v>0</v>
      </c>
      <c r="P53" s="14" cm="1">
        <f t="array" ref="P53">INT(SUMPRODUCT(--ISNUMBER(SEARCH(foreign,'Martha McSally'!C53)))&gt;0)</f>
        <v>0</v>
      </c>
      <c r="Q53" s="14" cm="1">
        <f t="array" ref="Q53">INT(SUMPRODUCT(--ISNUMBER(SEARCH(gun,'Martha McSally'!C53)))&gt;0)</f>
        <v>0</v>
      </c>
      <c r="R53" s="14" cm="1">
        <f t="array" ref="R53">INT(SUMPRODUCT(--ISNUMBER(SEARCH(race,'Martha McSally'!C53)))&gt;0)</f>
        <v>0</v>
      </c>
      <c r="S53" s="14" cm="1">
        <f t="array" ref="S53">INT(SUMPRODUCT(--ISNUMBER(SEARCH(immigration,C53)))&gt;0)</f>
        <v>0</v>
      </c>
      <c r="T53" s="14" cm="1">
        <f t="array" ref="T53">INT(SUMPRODUCT(--ISNUMBER(SEARCH(econineq,C53)))&gt;0)</f>
        <v>0</v>
      </c>
      <c r="U53" s="14" cm="1">
        <f t="array" ref="U53">INT(SUMPRODUCT(--ISNUMBER(SEARCH(climate,'Martha McSally'!C53)))&gt;0)</f>
        <v>0</v>
      </c>
      <c r="V53" s="14" cm="1">
        <f t="array" ref="V53">INT(SUMPRODUCT(--ISNUMBER(SEARCH(abortion,'Martha McSally'!C53)))&gt;0)</f>
        <v>0</v>
      </c>
      <c r="W53" s="14" cm="1">
        <f t="array" ref="W53">INT(SUMPRODUCT(--ISNUMBER(SEARCH(trump,'Martha McSally'!C53)))&gt;0)</f>
        <v>0</v>
      </c>
      <c r="X53" s="14" cm="1">
        <f t="array" ref="X53">INT(SUMPRODUCT(--ISNUMBER(SEARCH(voting,'Martha McSally'!C53)))&gt;0)</f>
        <v>0</v>
      </c>
      <c r="Y53" s="14" cm="1">
        <f t="array" ref="Y53">INT(SUMPRODUCT(--ISNUMBER(SEARCH(republicantrigger,'Martha McSally'!C53)))&gt;0)</f>
        <v>0</v>
      </c>
      <c r="Z53" s="23" cm="1">
        <f t="array" ref="Z53">INT(SUMPRODUCT(--ISNUMBER(SEARCH(bipartisan,'Martha McSally'!C53)))&gt;0)</f>
        <v>0</v>
      </c>
      <c r="AA53" s="23">
        <f t="shared" si="0"/>
        <v>1</v>
      </c>
      <c r="AB53" s="15"/>
      <c r="AC53" s="30">
        <v>1</v>
      </c>
      <c r="AD53" s="37">
        <v>0</v>
      </c>
    </row>
    <row r="54" spans="1:30" x14ac:dyDescent="0.25">
      <c r="A54" s="36">
        <v>53</v>
      </c>
      <c r="B54" s="14" t="s">
        <v>135</v>
      </c>
      <c r="C54" s="31" t="s">
        <v>136</v>
      </c>
      <c r="D54" s="17">
        <v>44119</v>
      </c>
      <c r="E54" s="14" t="s">
        <v>30</v>
      </c>
      <c r="F54" s="14">
        <v>162</v>
      </c>
      <c r="G54" s="14">
        <v>66</v>
      </c>
      <c r="H54" s="14">
        <v>1</v>
      </c>
      <c r="I54" s="14">
        <v>1</v>
      </c>
      <c r="J54" s="14" t="s">
        <v>31</v>
      </c>
      <c r="K54" s="14" cm="1">
        <f t="array" ref="K54">INT(SUMPRODUCT(--ISNUMBER(SEARCH(economy,'Martha McSally'!C54)))&gt;0)</f>
        <v>0</v>
      </c>
      <c r="L54" s="14" cm="1">
        <f t="array" ref="L54">INT(SUMPRODUCT(--ISNUMBER(SEARCH(healthcare,'Martha McSally'!C54)))&gt;0)</f>
        <v>1</v>
      </c>
      <c r="M54" s="14" cm="1">
        <f t="array" ref="M54">INT(SUMPRODUCT(--ISNUMBER(SEARCH(supreme,'Martha McSally'!C54)))&gt;0)</f>
        <v>0</v>
      </c>
      <c r="N54" s="14" cm="1">
        <f t="array" ref="N54">INT(SUMPRODUCT(--ISNUMBER(SEARCH(covid,'Martha McSally'!C54)))&gt;0)</f>
        <v>0</v>
      </c>
      <c r="O54" s="14" cm="1">
        <f t="array" ref="O54">INT(SUMPRODUCT(--ISNUMBER(SEARCH(violent,'Martha McSally'!C54)))&gt;0)</f>
        <v>0</v>
      </c>
      <c r="P54" s="14" cm="1">
        <f t="array" ref="P54">INT(SUMPRODUCT(--ISNUMBER(SEARCH(foreign,'Martha McSally'!C54)))&gt;0)</f>
        <v>1</v>
      </c>
      <c r="Q54" s="14" cm="1">
        <f t="array" ref="Q54">INT(SUMPRODUCT(--ISNUMBER(SEARCH(gun,'Martha McSally'!C54)))&gt;0)</f>
        <v>0</v>
      </c>
      <c r="R54" s="14" cm="1">
        <f t="array" ref="R54">INT(SUMPRODUCT(--ISNUMBER(SEARCH(race,'Martha McSally'!C54)))&gt;0)</f>
        <v>0</v>
      </c>
      <c r="S54" s="14" cm="1">
        <f t="array" ref="S54">INT(SUMPRODUCT(--ISNUMBER(SEARCH(immigration,C54)))&gt;0)</f>
        <v>0</v>
      </c>
      <c r="T54" s="14" cm="1">
        <f t="array" ref="T54">INT(SUMPRODUCT(--ISNUMBER(SEARCH(econineq,C54)))&gt;0)</f>
        <v>0</v>
      </c>
      <c r="U54" s="14" cm="1">
        <f t="array" ref="U54">INT(SUMPRODUCT(--ISNUMBER(SEARCH(climate,'Martha McSally'!C54)))&gt;0)</f>
        <v>0</v>
      </c>
      <c r="V54" s="14" cm="1">
        <f t="array" ref="V54">INT(SUMPRODUCT(--ISNUMBER(SEARCH(abortion,'Martha McSally'!C54)))&gt;0)</f>
        <v>0</v>
      </c>
      <c r="W54" s="14" cm="1">
        <f t="array" ref="W54">INT(SUMPRODUCT(--ISNUMBER(SEARCH(trump,'Martha McSally'!C54)))&gt;0)</f>
        <v>0</v>
      </c>
      <c r="X54" s="14" cm="1">
        <f t="array" ref="X54">INT(SUMPRODUCT(--ISNUMBER(SEARCH(voting,'Martha McSally'!C54)))&gt;0)</f>
        <v>0</v>
      </c>
      <c r="Y54" s="14" cm="1">
        <f t="array" ref="Y54">INT(SUMPRODUCT(--ISNUMBER(SEARCH(republicantrigger,'Martha McSally'!C54)))&gt;0)</f>
        <v>1</v>
      </c>
      <c r="Z54" s="23" cm="1">
        <f t="array" ref="Z54">INT(SUMPRODUCT(--ISNUMBER(SEARCH(bipartisan,'Martha McSally'!C54)))&gt;0)</f>
        <v>1</v>
      </c>
      <c r="AA54" s="23">
        <f t="shared" si="0"/>
        <v>0</v>
      </c>
      <c r="AB54" s="15"/>
      <c r="AC54" s="30">
        <v>0</v>
      </c>
      <c r="AD54" s="37">
        <v>0</v>
      </c>
    </row>
    <row r="55" spans="1:30" x14ac:dyDescent="0.25">
      <c r="A55" s="36">
        <v>54</v>
      </c>
      <c r="B55" s="14" t="s">
        <v>137</v>
      </c>
      <c r="C55" s="31" t="s">
        <v>138</v>
      </c>
      <c r="D55" s="17">
        <v>44118</v>
      </c>
      <c r="E55" s="14" t="s">
        <v>30</v>
      </c>
      <c r="F55" s="14">
        <v>59</v>
      </c>
      <c r="G55" s="14">
        <v>26</v>
      </c>
      <c r="H55" s="14">
        <v>1</v>
      </c>
      <c r="I55" s="14">
        <v>1</v>
      </c>
      <c r="J55" s="14" t="s">
        <v>31</v>
      </c>
      <c r="K55" s="14" cm="1">
        <f t="array" ref="K55">INT(SUMPRODUCT(--ISNUMBER(SEARCH(economy,'Martha McSally'!C55)))&gt;0)</f>
        <v>0</v>
      </c>
      <c r="L55" s="14" cm="1">
        <f t="array" ref="L55">INT(SUMPRODUCT(--ISNUMBER(SEARCH(healthcare,'Martha McSally'!C55)))&gt;0)</f>
        <v>0</v>
      </c>
      <c r="M55" s="14" cm="1">
        <f t="array" ref="M55">INT(SUMPRODUCT(--ISNUMBER(SEARCH(supreme,'Martha McSally'!C55)))&gt;0)</f>
        <v>0</v>
      </c>
      <c r="N55" s="14" cm="1">
        <f t="array" ref="N55">INT(SUMPRODUCT(--ISNUMBER(SEARCH(covid,'Martha McSally'!C55)))&gt;0)</f>
        <v>0</v>
      </c>
      <c r="O55" s="14" cm="1">
        <f t="array" ref="O55">INT(SUMPRODUCT(--ISNUMBER(SEARCH(violent,'Martha McSally'!C55)))&gt;0)</f>
        <v>0</v>
      </c>
      <c r="P55" s="14" cm="1">
        <f t="array" ref="P55">INT(SUMPRODUCT(--ISNUMBER(SEARCH(foreign,'Martha McSally'!C55)))&gt;0)</f>
        <v>0</v>
      </c>
      <c r="Q55" s="14" cm="1">
        <f t="array" ref="Q55">INT(SUMPRODUCT(--ISNUMBER(SEARCH(gun,'Martha McSally'!C55)))&gt;0)</f>
        <v>0</v>
      </c>
      <c r="R55" s="14" cm="1">
        <f t="array" ref="R55">INT(SUMPRODUCT(--ISNUMBER(SEARCH(race,'Martha McSally'!C55)))&gt;0)</f>
        <v>0</v>
      </c>
      <c r="S55" s="14" cm="1">
        <f t="array" ref="S55">INT(SUMPRODUCT(--ISNUMBER(SEARCH(immigration,C55)))&gt;0)</f>
        <v>0</v>
      </c>
      <c r="T55" s="14" cm="1">
        <f t="array" ref="T55">INT(SUMPRODUCT(--ISNUMBER(SEARCH(econineq,C55)))&gt;0)</f>
        <v>0</v>
      </c>
      <c r="U55" s="14" cm="1">
        <f t="array" ref="U55">INT(SUMPRODUCT(--ISNUMBER(SEARCH(climate,'Martha McSally'!C55)))&gt;0)</f>
        <v>0</v>
      </c>
      <c r="V55" s="14" cm="1">
        <f t="array" ref="V55">INT(SUMPRODUCT(--ISNUMBER(SEARCH(abortion,'Martha McSally'!C55)))&gt;0)</f>
        <v>0</v>
      </c>
      <c r="W55" s="14" cm="1">
        <f t="array" ref="W55">INT(SUMPRODUCT(--ISNUMBER(SEARCH(trump,'Martha McSally'!C55)))&gt;0)</f>
        <v>0</v>
      </c>
      <c r="X55" s="14" cm="1">
        <f t="array" ref="X55">INT(SUMPRODUCT(--ISNUMBER(SEARCH(voting,'Martha McSally'!C55)))&gt;0)</f>
        <v>0</v>
      </c>
      <c r="Y55" s="14" cm="1">
        <f t="array" ref="Y55">INT(SUMPRODUCT(--ISNUMBER(SEARCH(republicantrigger,'Martha McSally'!C55)))&gt;0)</f>
        <v>0</v>
      </c>
      <c r="Z55" s="23" cm="1">
        <f t="array" ref="Z55">INT(SUMPRODUCT(--ISNUMBER(SEARCH(bipartisan,'Martha McSally'!C55)))&gt;0)</f>
        <v>0</v>
      </c>
      <c r="AA55" s="23">
        <f t="shared" si="0"/>
        <v>1</v>
      </c>
      <c r="AB55" s="15"/>
      <c r="AC55" s="30">
        <v>0</v>
      </c>
      <c r="AD55" s="37">
        <v>0</v>
      </c>
    </row>
    <row r="56" spans="1:30" x14ac:dyDescent="0.25">
      <c r="A56" s="36">
        <v>55</v>
      </c>
      <c r="B56" s="14" t="s">
        <v>139</v>
      </c>
      <c r="C56" s="31" t="s">
        <v>140</v>
      </c>
      <c r="D56" s="17">
        <v>44118</v>
      </c>
      <c r="E56" s="14" t="s">
        <v>30</v>
      </c>
      <c r="F56" s="14">
        <v>102</v>
      </c>
      <c r="G56" s="14">
        <v>54</v>
      </c>
      <c r="H56" s="14">
        <v>1</v>
      </c>
      <c r="I56" s="14">
        <v>1</v>
      </c>
      <c r="J56" s="14" t="s">
        <v>31</v>
      </c>
      <c r="K56" s="14" cm="1">
        <f t="array" ref="K56">INT(SUMPRODUCT(--ISNUMBER(SEARCH(economy,'Martha McSally'!C56)))&gt;0)</f>
        <v>1</v>
      </c>
      <c r="L56" s="14" cm="1">
        <f t="array" ref="L56">INT(SUMPRODUCT(--ISNUMBER(SEARCH(healthcare,'Martha McSally'!C56)))&gt;0)</f>
        <v>0</v>
      </c>
      <c r="M56" s="14" cm="1">
        <f t="array" ref="M56">INT(SUMPRODUCT(--ISNUMBER(SEARCH(supreme,'Martha McSally'!C56)))&gt;0)</f>
        <v>0</v>
      </c>
      <c r="N56" s="14" cm="1">
        <f t="array" ref="N56">INT(SUMPRODUCT(--ISNUMBER(SEARCH(covid,'Martha McSally'!C56)))&gt;0)</f>
        <v>0</v>
      </c>
      <c r="O56" s="14" cm="1">
        <f t="array" ref="O56">INT(SUMPRODUCT(--ISNUMBER(SEARCH(violent,'Martha McSally'!C56)))&gt;0)</f>
        <v>0</v>
      </c>
      <c r="P56" s="14" cm="1">
        <f t="array" ref="P56">INT(SUMPRODUCT(--ISNUMBER(SEARCH(foreign,'Martha McSally'!C56)))&gt;0)</f>
        <v>0</v>
      </c>
      <c r="Q56" s="14" cm="1">
        <f t="array" ref="Q56">INT(SUMPRODUCT(--ISNUMBER(SEARCH(gun,'Martha McSally'!C56)))&gt;0)</f>
        <v>1</v>
      </c>
      <c r="R56" s="14" cm="1">
        <f t="array" ref="R56">INT(SUMPRODUCT(--ISNUMBER(SEARCH(race,'Martha McSally'!C56)))&gt;0)</f>
        <v>0</v>
      </c>
      <c r="S56" s="14" cm="1">
        <f t="array" ref="S56">INT(SUMPRODUCT(--ISNUMBER(SEARCH(immigration,C56)))&gt;0)</f>
        <v>0</v>
      </c>
      <c r="T56" s="14" cm="1">
        <f t="array" ref="T56">INT(SUMPRODUCT(--ISNUMBER(SEARCH(econineq,C56)))&gt;0)</f>
        <v>0</v>
      </c>
      <c r="U56" s="14" cm="1">
        <f t="array" ref="U56">INT(SUMPRODUCT(--ISNUMBER(SEARCH(climate,'Martha McSally'!C56)))&gt;0)</f>
        <v>0</v>
      </c>
      <c r="V56" s="14" cm="1">
        <f t="array" ref="V56">INT(SUMPRODUCT(--ISNUMBER(SEARCH(abortion,'Martha McSally'!C56)))&gt;0)</f>
        <v>0</v>
      </c>
      <c r="W56" s="14" cm="1">
        <f t="array" ref="W56">INT(SUMPRODUCT(--ISNUMBER(SEARCH(trump,'Martha McSally'!C56)))&gt;0)</f>
        <v>0</v>
      </c>
      <c r="X56" s="14" cm="1">
        <f t="array" ref="X56">INT(SUMPRODUCT(--ISNUMBER(SEARCH(voting,'Martha McSally'!C56)))&gt;0)</f>
        <v>0</v>
      </c>
      <c r="Y56" s="14" cm="1">
        <f t="array" ref="Y56">INT(SUMPRODUCT(--ISNUMBER(SEARCH(republicantrigger,'Martha McSally'!C56)))&gt;0)</f>
        <v>0</v>
      </c>
      <c r="Z56" s="23" cm="1">
        <f t="array" ref="Z56">INT(SUMPRODUCT(--ISNUMBER(SEARCH(bipartisan,'Martha McSally'!C56)))&gt;0)</f>
        <v>0</v>
      </c>
      <c r="AA56" s="23">
        <f t="shared" si="0"/>
        <v>0</v>
      </c>
      <c r="AB56" s="15"/>
      <c r="AC56" s="30">
        <v>0</v>
      </c>
      <c r="AD56" s="37">
        <v>0</v>
      </c>
    </row>
    <row r="57" spans="1:30" x14ac:dyDescent="0.25">
      <c r="A57" s="36">
        <v>56</v>
      </c>
      <c r="B57" s="14" t="s">
        <v>141</v>
      </c>
      <c r="C57" s="31" t="s">
        <v>142</v>
      </c>
      <c r="D57" s="17">
        <v>44118</v>
      </c>
      <c r="E57" s="14" t="s">
        <v>30</v>
      </c>
      <c r="F57" s="14">
        <v>80</v>
      </c>
      <c r="G57" s="14">
        <v>23</v>
      </c>
      <c r="H57" s="14">
        <v>1</v>
      </c>
      <c r="I57" s="14">
        <v>1</v>
      </c>
      <c r="J57" s="14" t="s">
        <v>31</v>
      </c>
      <c r="K57" s="14" cm="1">
        <f t="array" ref="K57">INT(SUMPRODUCT(--ISNUMBER(SEARCH(economy,'Martha McSally'!C57)))&gt;0)</f>
        <v>1</v>
      </c>
      <c r="L57" s="14" cm="1">
        <f t="array" ref="L57">INT(SUMPRODUCT(--ISNUMBER(SEARCH(healthcare,'Martha McSally'!C57)))&gt;0)</f>
        <v>0</v>
      </c>
      <c r="M57" s="14" cm="1">
        <f t="array" ref="M57">INT(SUMPRODUCT(--ISNUMBER(SEARCH(supreme,'Martha McSally'!C57)))&gt;0)</f>
        <v>0</v>
      </c>
      <c r="N57" s="14" cm="1">
        <f t="array" ref="N57">INT(SUMPRODUCT(--ISNUMBER(SEARCH(covid,'Martha McSally'!C57)))&gt;0)</f>
        <v>0</v>
      </c>
      <c r="O57" s="14" cm="1">
        <f t="array" ref="O57">INT(SUMPRODUCT(--ISNUMBER(SEARCH(violent,'Martha McSally'!C57)))&gt;0)</f>
        <v>0</v>
      </c>
      <c r="P57" s="14" cm="1">
        <f t="array" ref="P57">INT(SUMPRODUCT(--ISNUMBER(SEARCH(foreign,'Martha McSally'!C57)))&gt;0)</f>
        <v>0</v>
      </c>
      <c r="Q57" s="14" cm="1">
        <f t="array" ref="Q57">INT(SUMPRODUCT(--ISNUMBER(SEARCH(gun,'Martha McSally'!C57)))&gt;0)</f>
        <v>0</v>
      </c>
      <c r="R57" s="14" cm="1">
        <f t="array" ref="R57">INT(SUMPRODUCT(--ISNUMBER(SEARCH(race,'Martha McSally'!C57)))&gt;0)</f>
        <v>0</v>
      </c>
      <c r="S57" s="14" cm="1">
        <f t="array" ref="S57">INT(SUMPRODUCT(--ISNUMBER(SEARCH(immigration,C57)))&gt;0)</f>
        <v>0</v>
      </c>
      <c r="T57" s="14" cm="1">
        <f t="array" ref="T57">INT(SUMPRODUCT(--ISNUMBER(SEARCH(econineq,C57)))&gt;0)</f>
        <v>0</v>
      </c>
      <c r="U57" s="14" cm="1">
        <f t="array" ref="U57">INT(SUMPRODUCT(--ISNUMBER(SEARCH(climate,'Martha McSally'!C57)))&gt;0)</f>
        <v>0</v>
      </c>
      <c r="V57" s="14" cm="1">
        <f t="array" ref="V57">INT(SUMPRODUCT(--ISNUMBER(SEARCH(abortion,'Martha McSally'!C57)))&gt;0)</f>
        <v>0</v>
      </c>
      <c r="W57" s="14" cm="1">
        <f t="array" ref="W57">INT(SUMPRODUCT(--ISNUMBER(SEARCH(trump,'Martha McSally'!C57)))&gt;0)</f>
        <v>0</v>
      </c>
      <c r="X57" s="14" cm="1">
        <f t="array" ref="X57">INT(SUMPRODUCT(--ISNUMBER(SEARCH(voting,'Martha McSally'!C57)))&gt;0)</f>
        <v>0</v>
      </c>
      <c r="Y57" s="14" cm="1">
        <f t="array" ref="Y57">INT(SUMPRODUCT(--ISNUMBER(SEARCH(republicantrigger,'Martha McSally'!C57)))&gt;0)</f>
        <v>0</v>
      </c>
      <c r="Z57" s="23" cm="1">
        <f t="array" ref="Z57">INT(SUMPRODUCT(--ISNUMBER(SEARCH(bipartisan,'Martha McSally'!C57)))&gt;0)</f>
        <v>0</v>
      </c>
      <c r="AA57" s="23">
        <f t="shared" si="0"/>
        <v>0</v>
      </c>
      <c r="AB57" s="15"/>
      <c r="AC57" s="30">
        <v>0</v>
      </c>
      <c r="AD57" s="37">
        <v>0</v>
      </c>
    </row>
    <row r="58" spans="1:30" x14ac:dyDescent="0.25">
      <c r="A58" s="36">
        <v>57</v>
      </c>
      <c r="B58" s="14" t="s">
        <v>143</v>
      </c>
      <c r="C58" s="31" t="s">
        <v>144</v>
      </c>
      <c r="D58" s="17">
        <v>44118</v>
      </c>
      <c r="E58" s="14" t="s">
        <v>30</v>
      </c>
      <c r="F58" s="14">
        <v>103</v>
      </c>
      <c r="G58" s="14">
        <v>38</v>
      </c>
      <c r="H58" s="14">
        <v>1</v>
      </c>
      <c r="I58" s="14">
        <v>1</v>
      </c>
      <c r="J58" s="14" t="s">
        <v>31</v>
      </c>
      <c r="K58" s="14" cm="1">
        <f t="array" ref="K58">INT(SUMPRODUCT(--ISNUMBER(SEARCH(economy,'Martha McSally'!C58)))&gt;0)</f>
        <v>0</v>
      </c>
      <c r="L58" s="14" cm="1">
        <f t="array" ref="L58">INT(SUMPRODUCT(--ISNUMBER(SEARCH(healthcare,'Martha McSally'!C58)))&gt;0)</f>
        <v>1</v>
      </c>
      <c r="M58" s="14" cm="1">
        <f t="array" ref="M58">INT(SUMPRODUCT(--ISNUMBER(SEARCH(supreme,'Martha McSally'!C58)))&gt;0)</f>
        <v>0</v>
      </c>
      <c r="N58" s="14" cm="1">
        <f t="array" ref="N58">INT(SUMPRODUCT(--ISNUMBER(SEARCH(covid,'Martha McSally'!C58)))&gt;0)</f>
        <v>0</v>
      </c>
      <c r="O58" s="14" cm="1">
        <f t="array" ref="O58">INT(SUMPRODUCT(--ISNUMBER(SEARCH(violent,'Martha McSally'!C58)))&gt;0)</f>
        <v>0</v>
      </c>
      <c r="P58" s="14" cm="1">
        <f t="array" ref="P58">INT(SUMPRODUCT(--ISNUMBER(SEARCH(foreign,'Martha McSally'!C58)))&gt;0)</f>
        <v>1</v>
      </c>
      <c r="Q58" s="14" cm="1">
        <f t="array" ref="Q58">INT(SUMPRODUCT(--ISNUMBER(SEARCH(gun,'Martha McSally'!C58)))&gt;0)</f>
        <v>0</v>
      </c>
      <c r="R58" s="14" cm="1">
        <f t="array" ref="R58">INT(SUMPRODUCT(--ISNUMBER(SEARCH(race,'Martha McSally'!C58)))&gt;0)</f>
        <v>0</v>
      </c>
      <c r="S58" s="14" cm="1">
        <f t="array" ref="S58">INT(SUMPRODUCT(--ISNUMBER(SEARCH(immigration,C58)))&gt;0)</f>
        <v>0</v>
      </c>
      <c r="T58" s="14" cm="1">
        <f t="array" ref="T58">INT(SUMPRODUCT(--ISNUMBER(SEARCH(econineq,C58)))&gt;0)</f>
        <v>0</v>
      </c>
      <c r="U58" s="14" cm="1">
        <f t="array" ref="U58">INT(SUMPRODUCT(--ISNUMBER(SEARCH(climate,'Martha McSally'!C58)))&gt;0)</f>
        <v>0</v>
      </c>
      <c r="V58" s="14" cm="1">
        <f t="array" ref="V58">INT(SUMPRODUCT(--ISNUMBER(SEARCH(abortion,'Martha McSally'!C58)))&gt;0)</f>
        <v>0</v>
      </c>
      <c r="W58" s="14" cm="1">
        <f t="array" ref="W58">INT(SUMPRODUCT(--ISNUMBER(SEARCH(trump,'Martha McSally'!C58)))&gt;0)</f>
        <v>0</v>
      </c>
      <c r="X58" s="14" cm="1">
        <f t="array" ref="X58">INT(SUMPRODUCT(--ISNUMBER(SEARCH(voting,'Martha McSally'!C58)))&gt;0)</f>
        <v>0</v>
      </c>
      <c r="Y58" s="14" cm="1">
        <f t="array" ref="Y58">INT(SUMPRODUCT(--ISNUMBER(SEARCH(republicantrigger,'Martha McSally'!C58)))&gt;0)</f>
        <v>1</v>
      </c>
      <c r="Z58" s="23" cm="1">
        <f t="array" ref="Z58">INT(SUMPRODUCT(--ISNUMBER(SEARCH(bipartisan,'Martha McSally'!C58)))&gt;0)</f>
        <v>0</v>
      </c>
      <c r="AA58" s="23">
        <f t="shared" si="0"/>
        <v>0</v>
      </c>
      <c r="AB58" s="15"/>
      <c r="AC58" s="30">
        <v>0</v>
      </c>
      <c r="AD58" s="37">
        <v>0</v>
      </c>
    </row>
    <row r="59" spans="1:30" x14ac:dyDescent="0.25">
      <c r="A59" s="36">
        <v>58</v>
      </c>
      <c r="B59" s="14" t="s">
        <v>145</v>
      </c>
      <c r="C59" s="31" t="s">
        <v>146</v>
      </c>
      <c r="D59" s="17">
        <v>44117</v>
      </c>
      <c r="E59" s="14" t="s">
        <v>30</v>
      </c>
      <c r="F59" s="14">
        <v>114</v>
      </c>
      <c r="G59" s="14">
        <v>45</v>
      </c>
      <c r="H59" s="14">
        <v>1</v>
      </c>
      <c r="I59" s="14">
        <v>1</v>
      </c>
      <c r="J59" s="14" t="s">
        <v>31</v>
      </c>
      <c r="K59" s="14" cm="1">
        <f t="array" ref="K59">INT(SUMPRODUCT(--ISNUMBER(SEARCH(economy,'Martha McSally'!C59)))&gt;0)</f>
        <v>0</v>
      </c>
      <c r="L59" s="14" cm="1">
        <f t="array" ref="L59">INT(SUMPRODUCT(--ISNUMBER(SEARCH(healthcare,'Martha McSally'!C59)))&gt;0)</f>
        <v>0</v>
      </c>
      <c r="M59" s="14" cm="1">
        <f t="array" ref="M59">INT(SUMPRODUCT(--ISNUMBER(SEARCH(supreme,'Martha McSally'!C59)))&gt;0)</f>
        <v>0</v>
      </c>
      <c r="N59" s="14" cm="1">
        <f t="array" ref="N59">INT(SUMPRODUCT(--ISNUMBER(SEARCH(covid,'Martha McSally'!C59)))&gt;0)</f>
        <v>0</v>
      </c>
      <c r="O59" s="14" cm="1">
        <f t="array" ref="O59">INT(SUMPRODUCT(--ISNUMBER(SEARCH(violent,'Martha McSally'!C59)))&gt;0)</f>
        <v>0</v>
      </c>
      <c r="P59" s="14" cm="1">
        <f t="array" ref="P59">INT(SUMPRODUCT(--ISNUMBER(SEARCH(foreign,'Martha McSally'!C59)))&gt;0)</f>
        <v>0</v>
      </c>
      <c r="Q59" s="14" cm="1">
        <f t="array" ref="Q59">INT(SUMPRODUCT(--ISNUMBER(SEARCH(gun,'Martha McSally'!C59)))&gt;0)</f>
        <v>0</v>
      </c>
      <c r="R59" s="14" cm="1">
        <f t="array" ref="R59">INT(SUMPRODUCT(--ISNUMBER(SEARCH(race,'Martha McSally'!C59)))&gt;0)</f>
        <v>0</v>
      </c>
      <c r="S59" s="14" cm="1">
        <f t="array" ref="S59">INT(SUMPRODUCT(--ISNUMBER(SEARCH(immigration,C59)))&gt;0)</f>
        <v>0</v>
      </c>
      <c r="T59" s="14" cm="1">
        <f t="array" ref="T59">INT(SUMPRODUCT(--ISNUMBER(SEARCH(econineq,C59)))&gt;0)</f>
        <v>0</v>
      </c>
      <c r="U59" s="14" cm="1">
        <f t="array" ref="U59">INT(SUMPRODUCT(--ISNUMBER(SEARCH(climate,'Martha McSally'!C59)))&gt;0)</f>
        <v>0</v>
      </c>
      <c r="V59" s="14" cm="1">
        <f t="array" ref="V59">INT(SUMPRODUCT(--ISNUMBER(SEARCH(abortion,'Martha McSally'!C59)))&gt;0)</f>
        <v>0</v>
      </c>
      <c r="W59" s="14" cm="1">
        <f t="array" ref="W59">INT(SUMPRODUCT(--ISNUMBER(SEARCH(trump,'Martha McSally'!C59)))&gt;0)</f>
        <v>0</v>
      </c>
      <c r="X59" s="14" cm="1">
        <f t="array" ref="X59">INT(SUMPRODUCT(--ISNUMBER(SEARCH(voting,'Martha McSally'!C59)))&gt;0)</f>
        <v>0</v>
      </c>
      <c r="Y59" s="14" cm="1">
        <f t="array" ref="Y59">INT(SUMPRODUCT(--ISNUMBER(SEARCH(republicantrigger,'Martha McSally'!C59)))&gt;0)</f>
        <v>0</v>
      </c>
      <c r="Z59" s="23" cm="1">
        <f t="array" ref="Z59">INT(SUMPRODUCT(--ISNUMBER(SEARCH(bipartisan,'Martha McSally'!C59)))&gt;0)</f>
        <v>0</v>
      </c>
      <c r="AA59" s="23">
        <f t="shared" si="0"/>
        <v>1</v>
      </c>
      <c r="AB59" s="15"/>
      <c r="AC59" s="30">
        <v>0</v>
      </c>
      <c r="AD59" s="37">
        <v>0</v>
      </c>
    </row>
    <row r="60" spans="1:30" x14ac:dyDescent="0.25">
      <c r="A60" s="36">
        <v>59</v>
      </c>
      <c r="B60" s="14" t="s">
        <v>147</v>
      </c>
      <c r="C60" s="31" t="s">
        <v>148</v>
      </c>
      <c r="D60" s="17">
        <v>44117</v>
      </c>
      <c r="E60" s="14" t="s">
        <v>30</v>
      </c>
      <c r="F60" s="14">
        <v>156</v>
      </c>
      <c r="G60" s="14">
        <v>53</v>
      </c>
      <c r="H60" s="14">
        <v>1</v>
      </c>
      <c r="I60" s="14">
        <v>1</v>
      </c>
      <c r="J60" s="14" t="s">
        <v>31</v>
      </c>
      <c r="K60" s="14" cm="1">
        <f t="array" ref="K60">INT(SUMPRODUCT(--ISNUMBER(SEARCH(economy,'Martha McSally'!C60)))&gt;0)</f>
        <v>0</v>
      </c>
      <c r="L60" s="14" cm="1">
        <f t="array" ref="L60">INT(SUMPRODUCT(--ISNUMBER(SEARCH(healthcare,'Martha McSally'!C60)))&gt;0)</f>
        <v>0</v>
      </c>
      <c r="M60" s="14" cm="1">
        <f t="array" ref="M60">INT(SUMPRODUCT(--ISNUMBER(SEARCH(supreme,'Martha McSally'!C60)))&gt;0)</f>
        <v>0</v>
      </c>
      <c r="N60" s="14" cm="1">
        <f t="array" ref="N60">INT(SUMPRODUCT(--ISNUMBER(SEARCH(covid,'Martha McSally'!C60)))&gt;0)</f>
        <v>0</v>
      </c>
      <c r="O60" s="14" cm="1">
        <f t="array" ref="O60">INT(SUMPRODUCT(--ISNUMBER(SEARCH(violent,'Martha McSally'!C60)))&gt;0)</f>
        <v>0</v>
      </c>
      <c r="P60" s="14" cm="1">
        <f t="array" ref="P60">INT(SUMPRODUCT(--ISNUMBER(SEARCH(foreign,'Martha McSally'!C60)))&gt;0)</f>
        <v>0</v>
      </c>
      <c r="Q60" s="14" cm="1">
        <f t="array" ref="Q60">INT(SUMPRODUCT(--ISNUMBER(SEARCH(gun,'Martha McSally'!C60)))&gt;0)</f>
        <v>0</v>
      </c>
      <c r="R60" s="14" cm="1">
        <f t="array" ref="R60">INT(SUMPRODUCT(--ISNUMBER(SEARCH(race,'Martha McSally'!C60)))&gt;0)</f>
        <v>0</v>
      </c>
      <c r="S60" s="14" cm="1">
        <f t="array" ref="S60">INT(SUMPRODUCT(--ISNUMBER(SEARCH(immigration,C60)))&gt;0)</f>
        <v>0</v>
      </c>
      <c r="T60" s="14" cm="1">
        <f t="array" ref="T60">INT(SUMPRODUCT(--ISNUMBER(SEARCH(econineq,C60)))&gt;0)</f>
        <v>0</v>
      </c>
      <c r="U60" s="14" cm="1">
        <f t="array" ref="U60">INT(SUMPRODUCT(--ISNUMBER(SEARCH(climate,'Martha McSally'!C60)))&gt;0)</f>
        <v>0</v>
      </c>
      <c r="V60" s="14" cm="1">
        <f t="array" ref="V60">INT(SUMPRODUCT(--ISNUMBER(SEARCH(abortion,'Martha McSally'!C60)))&gt;0)</f>
        <v>0</v>
      </c>
      <c r="W60" s="14" cm="1">
        <f t="array" ref="W60">INT(SUMPRODUCT(--ISNUMBER(SEARCH(trump,'Martha McSally'!C60)))&gt;0)</f>
        <v>0</v>
      </c>
      <c r="X60" s="14" cm="1">
        <f t="array" ref="X60">INT(SUMPRODUCT(--ISNUMBER(SEARCH(voting,'Martha McSally'!C60)))&gt;0)</f>
        <v>0</v>
      </c>
      <c r="Y60" s="14" cm="1">
        <f t="array" ref="Y60">INT(SUMPRODUCT(--ISNUMBER(SEARCH(republicantrigger,'Martha McSally'!C60)))&gt;0)</f>
        <v>0</v>
      </c>
      <c r="Z60" s="23" cm="1">
        <f t="array" ref="Z60">INT(SUMPRODUCT(--ISNUMBER(SEARCH(bipartisan,'Martha McSally'!C60)))&gt;0)</f>
        <v>0</v>
      </c>
      <c r="AA60" s="23">
        <f t="shared" si="0"/>
        <v>1</v>
      </c>
      <c r="AB60" s="15"/>
      <c r="AC60" s="30">
        <v>1</v>
      </c>
      <c r="AD60" s="37">
        <v>0</v>
      </c>
    </row>
    <row r="61" spans="1:30" x14ac:dyDescent="0.25">
      <c r="A61" s="36">
        <v>60</v>
      </c>
      <c r="B61" s="14" t="s">
        <v>149</v>
      </c>
      <c r="C61" s="31" t="s">
        <v>150</v>
      </c>
      <c r="D61" s="17">
        <v>44116</v>
      </c>
      <c r="E61" s="14" t="s">
        <v>30</v>
      </c>
      <c r="F61" s="14">
        <v>157</v>
      </c>
      <c r="G61" s="14">
        <v>30</v>
      </c>
      <c r="H61" s="14">
        <v>1</v>
      </c>
      <c r="I61" s="14">
        <v>1</v>
      </c>
      <c r="J61" s="14" t="s">
        <v>31</v>
      </c>
      <c r="K61" s="14" cm="1">
        <f t="array" ref="K61">INT(SUMPRODUCT(--ISNUMBER(SEARCH(economy,'Martha McSally'!C61)))&gt;0)</f>
        <v>0</v>
      </c>
      <c r="L61" s="14" cm="1">
        <f t="array" ref="L61">INT(SUMPRODUCT(--ISNUMBER(SEARCH(healthcare,'Martha McSally'!C61)))&gt;0)</f>
        <v>0</v>
      </c>
      <c r="M61" s="14" cm="1">
        <f t="array" ref="M61">INT(SUMPRODUCT(--ISNUMBER(SEARCH(supreme,'Martha McSally'!C61)))&gt;0)</f>
        <v>0</v>
      </c>
      <c r="N61" s="14" cm="1">
        <f t="array" ref="N61">INT(SUMPRODUCT(--ISNUMBER(SEARCH(covid,'Martha McSally'!C61)))&gt;0)</f>
        <v>0</v>
      </c>
      <c r="O61" s="14" cm="1">
        <f t="array" ref="O61">INT(SUMPRODUCT(--ISNUMBER(SEARCH(violent,'Martha McSally'!C61)))&gt;0)</f>
        <v>0</v>
      </c>
      <c r="P61" s="14" cm="1">
        <f t="array" ref="P61">INT(SUMPRODUCT(--ISNUMBER(SEARCH(foreign,'Martha McSally'!C61)))&gt;0)</f>
        <v>0</v>
      </c>
      <c r="Q61" s="14" cm="1">
        <f t="array" ref="Q61">INT(SUMPRODUCT(--ISNUMBER(SEARCH(gun,'Martha McSally'!C61)))&gt;0)</f>
        <v>0</v>
      </c>
      <c r="R61" s="14" cm="1">
        <f t="array" ref="R61">INT(SUMPRODUCT(--ISNUMBER(SEARCH(race,'Martha McSally'!C61)))&gt;0)</f>
        <v>0</v>
      </c>
      <c r="S61" s="14" cm="1">
        <f t="array" ref="S61">INT(SUMPRODUCT(--ISNUMBER(SEARCH(immigration,C61)))&gt;0)</f>
        <v>0</v>
      </c>
      <c r="T61" s="14" cm="1">
        <f t="array" ref="T61">INT(SUMPRODUCT(--ISNUMBER(SEARCH(econineq,C61)))&gt;0)</f>
        <v>0</v>
      </c>
      <c r="U61" s="14" cm="1">
        <f t="array" ref="U61">INT(SUMPRODUCT(--ISNUMBER(SEARCH(climate,'Martha McSally'!C61)))&gt;0)</f>
        <v>0</v>
      </c>
      <c r="V61" s="14" cm="1">
        <f t="array" ref="V61">INT(SUMPRODUCT(--ISNUMBER(SEARCH(abortion,'Martha McSally'!C61)))&gt;0)</f>
        <v>0</v>
      </c>
      <c r="W61" s="14" cm="1">
        <f t="array" ref="W61">INT(SUMPRODUCT(--ISNUMBER(SEARCH(trump,'Martha McSally'!C61)))&gt;0)</f>
        <v>0</v>
      </c>
      <c r="X61" s="14" cm="1">
        <f t="array" ref="X61">INT(SUMPRODUCT(--ISNUMBER(SEARCH(voting,'Martha McSally'!C61)))&gt;0)</f>
        <v>0</v>
      </c>
      <c r="Y61" s="14" cm="1">
        <f t="array" ref="Y61">INT(SUMPRODUCT(--ISNUMBER(SEARCH(republicantrigger,'Martha McSally'!C61)))&gt;0)</f>
        <v>0</v>
      </c>
      <c r="Z61" s="23" cm="1">
        <f t="array" ref="Z61">INT(SUMPRODUCT(--ISNUMBER(SEARCH(bipartisan,'Martha McSally'!C61)))&gt;0)</f>
        <v>0</v>
      </c>
      <c r="AA61" s="23">
        <f t="shared" si="0"/>
        <v>1</v>
      </c>
      <c r="AB61" s="15"/>
      <c r="AC61" s="30">
        <v>0</v>
      </c>
      <c r="AD61" s="37">
        <v>0</v>
      </c>
    </row>
    <row r="62" spans="1:30" x14ac:dyDescent="0.25">
      <c r="A62" s="36">
        <v>61</v>
      </c>
      <c r="B62" s="14" t="s">
        <v>151</v>
      </c>
      <c r="C62" s="31" t="s">
        <v>152</v>
      </c>
      <c r="D62" s="17">
        <v>44116</v>
      </c>
      <c r="E62" s="14" t="s">
        <v>30</v>
      </c>
      <c r="F62" s="14">
        <v>223</v>
      </c>
      <c r="G62" s="14">
        <v>95</v>
      </c>
      <c r="H62" s="14">
        <v>1</v>
      </c>
      <c r="I62" s="14">
        <v>1</v>
      </c>
      <c r="J62" s="14" t="s">
        <v>31</v>
      </c>
      <c r="K62" s="14" cm="1">
        <f t="array" ref="K62">INT(SUMPRODUCT(--ISNUMBER(SEARCH(economy,'Martha McSally'!C62)))&gt;0)</f>
        <v>0</v>
      </c>
      <c r="L62" s="14" cm="1">
        <f t="array" ref="L62">INT(SUMPRODUCT(--ISNUMBER(SEARCH(healthcare,'Martha McSally'!C62)))&gt;0)</f>
        <v>1</v>
      </c>
      <c r="M62" s="14" cm="1">
        <f t="array" ref="M62">INT(SUMPRODUCT(--ISNUMBER(SEARCH(supreme,'Martha McSally'!C62)))&gt;0)</f>
        <v>0</v>
      </c>
      <c r="N62" s="14" cm="1">
        <f t="array" ref="N62">INT(SUMPRODUCT(--ISNUMBER(SEARCH(covid,'Martha McSally'!C62)))&gt;0)</f>
        <v>0</v>
      </c>
      <c r="O62" s="14" cm="1">
        <f t="array" ref="O62">INT(SUMPRODUCT(--ISNUMBER(SEARCH(violent,'Martha McSally'!C62)))&gt;0)</f>
        <v>0</v>
      </c>
      <c r="P62" s="14" cm="1">
        <f t="array" ref="P62">INT(SUMPRODUCT(--ISNUMBER(SEARCH(foreign,'Martha McSally'!C62)))&gt;0)</f>
        <v>0</v>
      </c>
      <c r="Q62" s="14" cm="1">
        <f t="array" ref="Q62">INT(SUMPRODUCT(--ISNUMBER(SEARCH(gun,'Martha McSally'!C62)))&gt;0)</f>
        <v>0</v>
      </c>
      <c r="R62" s="14" cm="1">
        <f t="array" ref="R62">INT(SUMPRODUCT(--ISNUMBER(SEARCH(race,'Martha McSally'!C62)))&gt;0)</f>
        <v>0</v>
      </c>
      <c r="S62" s="14" cm="1">
        <f t="array" ref="S62">INT(SUMPRODUCT(--ISNUMBER(SEARCH(immigration,C62)))&gt;0)</f>
        <v>0</v>
      </c>
      <c r="T62" s="14" cm="1">
        <f t="array" ref="T62">INT(SUMPRODUCT(--ISNUMBER(SEARCH(econineq,C62)))&gt;0)</f>
        <v>0</v>
      </c>
      <c r="U62" s="14" cm="1">
        <f t="array" ref="U62">INT(SUMPRODUCT(--ISNUMBER(SEARCH(climate,'Martha McSally'!C62)))&gt;0)</f>
        <v>0</v>
      </c>
      <c r="V62" s="14" cm="1">
        <f t="array" ref="V62">INT(SUMPRODUCT(--ISNUMBER(SEARCH(abortion,'Martha McSally'!C62)))&gt;0)</f>
        <v>0</v>
      </c>
      <c r="W62" s="14" cm="1">
        <f t="array" ref="W62">INT(SUMPRODUCT(--ISNUMBER(SEARCH(trump,'Martha McSally'!C62)))&gt;0)</f>
        <v>0</v>
      </c>
      <c r="X62" s="14" cm="1">
        <f t="array" ref="X62">INT(SUMPRODUCT(--ISNUMBER(SEARCH(voting,'Martha McSally'!C62)))&gt;0)</f>
        <v>0</v>
      </c>
      <c r="Y62" s="14" cm="1">
        <f t="array" ref="Y62">INT(SUMPRODUCT(--ISNUMBER(SEARCH(republicantrigger,'Martha McSally'!C62)))&gt;0)</f>
        <v>0</v>
      </c>
      <c r="Z62" s="23" cm="1">
        <f t="array" ref="Z62">INT(SUMPRODUCT(--ISNUMBER(SEARCH(bipartisan,'Martha McSally'!C62)))&gt;0)</f>
        <v>0</v>
      </c>
      <c r="AA62" s="23">
        <f t="shared" si="0"/>
        <v>0</v>
      </c>
      <c r="AB62" s="15"/>
      <c r="AC62" s="30">
        <v>0</v>
      </c>
      <c r="AD62" s="37">
        <v>0</v>
      </c>
    </row>
    <row r="63" spans="1:30" x14ac:dyDescent="0.25">
      <c r="A63" s="36">
        <v>62</v>
      </c>
      <c r="B63" s="14" t="s">
        <v>153</v>
      </c>
      <c r="C63" s="31" t="s">
        <v>154</v>
      </c>
      <c r="D63" s="17">
        <v>44116</v>
      </c>
      <c r="E63" s="14" t="s">
        <v>30</v>
      </c>
      <c r="F63" s="14">
        <v>132</v>
      </c>
      <c r="G63" s="14">
        <v>44</v>
      </c>
      <c r="H63" s="14">
        <v>1</v>
      </c>
      <c r="I63" s="14">
        <v>1</v>
      </c>
      <c r="J63" s="14" t="s">
        <v>31</v>
      </c>
      <c r="K63" s="14" cm="1">
        <f t="array" ref="K63">INT(SUMPRODUCT(--ISNUMBER(SEARCH(economy,'Martha McSally'!C63)))&gt;0)</f>
        <v>0</v>
      </c>
      <c r="L63" s="14" cm="1">
        <f t="array" ref="L63">INT(SUMPRODUCT(--ISNUMBER(SEARCH(healthcare,'Martha McSally'!C63)))&gt;0)</f>
        <v>0</v>
      </c>
      <c r="M63" s="14" cm="1">
        <f t="array" ref="M63">INT(SUMPRODUCT(--ISNUMBER(SEARCH(supreme,'Martha McSally'!C63)))&gt;0)</f>
        <v>0</v>
      </c>
      <c r="N63" s="14" cm="1">
        <f t="array" ref="N63">INT(SUMPRODUCT(--ISNUMBER(SEARCH(covid,'Martha McSally'!C63)))&gt;0)</f>
        <v>1</v>
      </c>
      <c r="O63" s="14" cm="1">
        <f t="array" ref="O63">INT(SUMPRODUCT(--ISNUMBER(SEARCH(violent,'Martha McSally'!C63)))&gt;0)</f>
        <v>0</v>
      </c>
      <c r="P63" s="14" cm="1">
        <f t="array" ref="P63">INT(SUMPRODUCT(--ISNUMBER(SEARCH(foreign,'Martha McSally'!C63)))&gt;0)</f>
        <v>1</v>
      </c>
      <c r="Q63" s="14" cm="1">
        <f t="array" ref="Q63">INT(SUMPRODUCT(--ISNUMBER(SEARCH(gun,'Martha McSally'!C63)))&gt;0)</f>
        <v>0</v>
      </c>
      <c r="R63" s="14" cm="1">
        <f t="array" ref="R63">INT(SUMPRODUCT(--ISNUMBER(SEARCH(race,'Martha McSally'!C63)))&gt;0)</f>
        <v>0</v>
      </c>
      <c r="S63" s="14" cm="1">
        <f t="array" ref="S63">INT(SUMPRODUCT(--ISNUMBER(SEARCH(immigration,C63)))&gt;0)</f>
        <v>0</v>
      </c>
      <c r="T63" s="14" cm="1">
        <f t="array" ref="T63">INT(SUMPRODUCT(--ISNUMBER(SEARCH(econineq,C63)))&gt;0)</f>
        <v>0</v>
      </c>
      <c r="U63" s="14" cm="1">
        <f t="array" ref="U63">INT(SUMPRODUCT(--ISNUMBER(SEARCH(climate,'Martha McSally'!C63)))&gt;0)</f>
        <v>0</v>
      </c>
      <c r="V63" s="14" cm="1">
        <f t="array" ref="V63">INT(SUMPRODUCT(--ISNUMBER(SEARCH(abortion,'Martha McSally'!C63)))&gt;0)</f>
        <v>0</v>
      </c>
      <c r="W63" s="14" cm="1">
        <f t="array" ref="W63">INT(SUMPRODUCT(--ISNUMBER(SEARCH(trump,'Martha McSally'!C63)))&gt;0)</f>
        <v>0</v>
      </c>
      <c r="X63" s="14" cm="1">
        <f t="array" ref="X63">INT(SUMPRODUCT(--ISNUMBER(SEARCH(voting,'Martha McSally'!C63)))&gt;0)</f>
        <v>0</v>
      </c>
      <c r="Y63" s="14" cm="1">
        <f t="array" ref="Y63">INT(SUMPRODUCT(--ISNUMBER(SEARCH(republicantrigger,'Martha McSally'!C63)))&gt;0)</f>
        <v>0</v>
      </c>
      <c r="Z63" s="23" cm="1">
        <f t="array" ref="Z63">INT(SUMPRODUCT(--ISNUMBER(SEARCH(bipartisan,'Martha McSally'!C63)))&gt;0)</f>
        <v>0</v>
      </c>
      <c r="AA63" s="23">
        <f t="shared" si="0"/>
        <v>0</v>
      </c>
      <c r="AB63" s="15"/>
      <c r="AC63" s="30">
        <v>1</v>
      </c>
      <c r="AD63" s="37">
        <v>0</v>
      </c>
    </row>
    <row r="64" spans="1:30" x14ac:dyDescent="0.25">
      <c r="A64" s="36">
        <v>63</v>
      </c>
      <c r="B64" s="14" t="s">
        <v>155</v>
      </c>
      <c r="C64" s="31" t="s">
        <v>156</v>
      </c>
      <c r="D64" s="17">
        <v>44115</v>
      </c>
      <c r="E64" s="14" t="s">
        <v>30</v>
      </c>
      <c r="F64" s="14">
        <v>1286</v>
      </c>
      <c r="G64" s="14">
        <v>415</v>
      </c>
      <c r="H64" s="14">
        <v>1</v>
      </c>
      <c r="I64" s="14">
        <v>1</v>
      </c>
      <c r="J64" s="14" t="s">
        <v>31</v>
      </c>
      <c r="K64" s="14" cm="1">
        <f t="array" ref="K64">INT(SUMPRODUCT(--ISNUMBER(SEARCH(economy,'Martha McSally'!C64)))&gt;0)</f>
        <v>0</v>
      </c>
      <c r="L64" s="14" cm="1">
        <f t="array" ref="L64">INT(SUMPRODUCT(--ISNUMBER(SEARCH(healthcare,'Martha McSally'!C64)))&gt;0)</f>
        <v>0</v>
      </c>
      <c r="M64" s="14" cm="1">
        <f t="array" ref="M64">INT(SUMPRODUCT(--ISNUMBER(SEARCH(supreme,'Martha McSally'!C64)))&gt;0)</f>
        <v>0</v>
      </c>
      <c r="N64" s="14" cm="1">
        <f t="array" ref="N64">INT(SUMPRODUCT(--ISNUMBER(SEARCH(covid,'Martha McSally'!C64)))&gt;0)</f>
        <v>0</v>
      </c>
      <c r="O64" s="14" cm="1">
        <f t="array" ref="O64">INT(SUMPRODUCT(--ISNUMBER(SEARCH(violent,'Martha McSally'!C64)))&gt;0)</f>
        <v>0</v>
      </c>
      <c r="P64" s="14" cm="1">
        <f t="array" ref="P64">INT(SUMPRODUCT(--ISNUMBER(SEARCH(foreign,'Martha McSally'!C64)))&gt;0)</f>
        <v>0</v>
      </c>
      <c r="Q64" s="14" cm="1">
        <f t="array" ref="Q64">INT(SUMPRODUCT(--ISNUMBER(SEARCH(gun,'Martha McSally'!C64)))&gt;0)</f>
        <v>0</v>
      </c>
      <c r="R64" s="14" cm="1">
        <f t="array" ref="R64">INT(SUMPRODUCT(--ISNUMBER(SEARCH(race,'Martha McSally'!C64)))&gt;0)</f>
        <v>0</v>
      </c>
      <c r="S64" s="14" cm="1">
        <f t="array" ref="S64">INT(SUMPRODUCT(--ISNUMBER(SEARCH(immigration,C64)))&gt;0)</f>
        <v>0</v>
      </c>
      <c r="T64" s="14" cm="1">
        <f t="array" ref="T64">INT(SUMPRODUCT(--ISNUMBER(SEARCH(econineq,C64)))&gt;0)</f>
        <v>0</v>
      </c>
      <c r="U64" s="14" cm="1">
        <f t="array" ref="U64">INT(SUMPRODUCT(--ISNUMBER(SEARCH(climate,'Martha McSally'!C64)))&gt;0)</f>
        <v>0</v>
      </c>
      <c r="V64" s="14" cm="1">
        <f t="array" ref="V64">INT(SUMPRODUCT(--ISNUMBER(SEARCH(abortion,'Martha McSally'!C64)))&gt;0)</f>
        <v>0</v>
      </c>
      <c r="W64" s="14" cm="1">
        <f t="array" ref="W64">INT(SUMPRODUCT(--ISNUMBER(SEARCH(trump,'Martha McSally'!C64)))&gt;0)</f>
        <v>0</v>
      </c>
      <c r="X64" s="14" cm="1">
        <f t="array" ref="X64">INT(SUMPRODUCT(--ISNUMBER(SEARCH(voting,'Martha McSally'!C64)))&gt;0)</f>
        <v>0</v>
      </c>
      <c r="Y64" s="14" cm="1">
        <f t="array" ref="Y64">INT(SUMPRODUCT(--ISNUMBER(SEARCH(republicantrigger,'Martha McSally'!C64)))&gt;0)</f>
        <v>1</v>
      </c>
      <c r="Z64" s="23" cm="1">
        <f t="array" ref="Z64">INT(SUMPRODUCT(--ISNUMBER(SEARCH(bipartisan,'Martha McSally'!C64)))&gt;0)</f>
        <v>1</v>
      </c>
      <c r="AA64" s="23">
        <f t="shared" si="0"/>
        <v>0</v>
      </c>
      <c r="AB64" s="15"/>
      <c r="AC64" s="30">
        <v>0</v>
      </c>
      <c r="AD64" s="37">
        <v>0</v>
      </c>
    </row>
    <row r="65" spans="1:30" x14ac:dyDescent="0.25">
      <c r="A65" s="36">
        <v>64</v>
      </c>
      <c r="B65" s="14" t="s">
        <v>157</v>
      </c>
      <c r="C65" s="31" t="s">
        <v>158</v>
      </c>
      <c r="D65" s="17">
        <v>44115</v>
      </c>
      <c r="E65" s="14" t="s">
        <v>30</v>
      </c>
      <c r="F65" s="14">
        <v>243</v>
      </c>
      <c r="G65" s="14">
        <v>48</v>
      </c>
      <c r="H65" s="14">
        <v>1</v>
      </c>
      <c r="I65" s="14">
        <v>1</v>
      </c>
      <c r="J65" s="14" t="s">
        <v>31</v>
      </c>
      <c r="K65" s="14" cm="1">
        <f t="array" ref="K65">INT(SUMPRODUCT(--ISNUMBER(SEARCH(economy,'Martha McSally'!C65)))&gt;0)</f>
        <v>0</v>
      </c>
      <c r="L65" s="14" cm="1">
        <f t="array" ref="L65">INT(SUMPRODUCT(--ISNUMBER(SEARCH(healthcare,'Martha McSally'!C65)))&gt;0)</f>
        <v>0</v>
      </c>
      <c r="M65" s="14" cm="1">
        <f t="array" ref="M65">INT(SUMPRODUCT(--ISNUMBER(SEARCH(supreme,'Martha McSally'!C65)))&gt;0)</f>
        <v>0</v>
      </c>
      <c r="N65" s="14" cm="1">
        <f t="array" ref="N65">INT(SUMPRODUCT(--ISNUMBER(SEARCH(covid,'Martha McSally'!C65)))&gt;0)</f>
        <v>0</v>
      </c>
      <c r="O65" s="14" cm="1">
        <f t="array" ref="O65">INT(SUMPRODUCT(--ISNUMBER(SEARCH(violent,'Martha McSally'!C65)))&gt;0)</f>
        <v>0</v>
      </c>
      <c r="P65" s="14" cm="1">
        <f t="array" ref="P65">INT(SUMPRODUCT(--ISNUMBER(SEARCH(foreign,'Martha McSally'!C65)))&gt;0)</f>
        <v>0</v>
      </c>
      <c r="Q65" s="14" cm="1">
        <f t="array" ref="Q65">INT(SUMPRODUCT(--ISNUMBER(SEARCH(gun,'Martha McSally'!C65)))&gt;0)</f>
        <v>0</v>
      </c>
      <c r="R65" s="14" cm="1">
        <f t="array" ref="R65">INT(SUMPRODUCT(--ISNUMBER(SEARCH(race,'Martha McSally'!C65)))&gt;0)</f>
        <v>0</v>
      </c>
      <c r="S65" s="14" cm="1">
        <f t="array" ref="S65">INT(SUMPRODUCT(--ISNUMBER(SEARCH(immigration,C65)))&gt;0)</f>
        <v>0</v>
      </c>
      <c r="T65" s="14" cm="1">
        <f t="array" ref="T65">INT(SUMPRODUCT(--ISNUMBER(SEARCH(econineq,C65)))&gt;0)</f>
        <v>0</v>
      </c>
      <c r="U65" s="14" cm="1">
        <f t="array" ref="U65">INT(SUMPRODUCT(--ISNUMBER(SEARCH(climate,'Martha McSally'!C65)))&gt;0)</f>
        <v>0</v>
      </c>
      <c r="V65" s="14" cm="1">
        <f t="array" ref="V65">INT(SUMPRODUCT(--ISNUMBER(SEARCH(abortion,'Martha McSally'!C65)))&gt;0)</f>
        <v>0</v>
      </c>
      <c r="W65" s="14" cm="1">
        <f t="array" ref="W65">INT(SUMPRODUCT(--ISNUMBER(SEARCH(trump,'Martha McSally'!C65)))&gt;0)</f>
        <v>0</v>
      </c>
      <c r="X65" s="14" cm="1">
        <f t="array" ref="X65">INT(SUMPRODUCT(--ISNUMBER(SEARCH(voting,'Martha McSally'!C65)))&gt;0)</f>
        <v>0</v>
      </c>
      <c r="Y65" s="14" cm="1">
        <f t="array" ref="Y65">INT(SUMPRODUCT(--ISNUMBER(SEARCH(republicantrigger,'Martha McSally'!C65)))&gt;0)</f>
        <v>0</v>
      </c>
      <c r="Z65" s="23" cm="1">
        <f t="array" ref="Z65">INT(SUMPRODUCT(--ISNUMBER(SEARCH(bipartisan,'Martha McSally'!C65)))&gt;0)</f>
        <v>0</v>
      </c>
      <c r="AA65" s="23">
        <f t="shared" si="0"/>
        <v>1</v>
      </c>
      <c r="AB65" s="15"/>
      <c r="AC65" s="30">
        <v>0</v>
      </c>
      <c r="AD65" s="37">
        <v>0</v>
      </c>
    </row>
    <row r="66" spans="1:30" x14ac:dyDescent="0.25">
      <c r="A66" s="36">
        <v>65</v>
      </c>
      <c r="B66" s="14" t="s">
        <v>159</v>
      </c>
      <c r="C66" s="31" t="s">
        <v>160</v>
      </c>
      <c r="D66" s="17">
        <v>44115</v>
      </c>
      <c r="E66" s="14" t="s">
        <v>30</v>
      </c>
      <c r="F66" s="14">
        <v>172</v>
      </c>
      <c r="G66" s="14">
        <v>59</v>
      </c>
      <c r="H66" s="14">
        <v>1</v>
      </c>
      <c r="I66" s="14">
        <v>1</v>
      </c>
      <c r="J66" s="14" t="s">
        <v>31</v>
      </c>
      <c r="K66" s="14" cm="1">
        <f t="array" ref="K66">INT(SUMPRODUCT(--ISNUMBER(SEARCH(economy,'Martha McSally'!C66)))&gt;0)</f>
        <v>0</v>
      </c>
      <c r="L66" s="14" cm="1">
        <f t="array" ref="L66">INT(SUMPRODUCT(--ISNUMBER(SEARCH(healthcare,'Martha McSally'!C66)))&gt;0)</f>
        <v>0</v>
      </c>
      <c r="M66" s="14" cm="1">
        <f t="array" ref="M66">INT(SUMPRODUCT(--ISNUMBER(SEARCH(supreme,'Martha McSally'!C66)))&gt;0)</f>
        <v>0</v>
      </c>
      <c r="N66" s="14" cm="1">
        <f t="array" ref="N66">INT(SUMPRODUCT(--ISNUMBER(SEARCH(covid,'Martha McSally'!C66)))&gt;0)</f>
        <v>0</v>
      </c>
      <c r="O66" s="14" cm="1">
        <f t="array" ref="O66">INT(SUMPRODUCT(--ISNUMBER(SEARCH(violent,'Martha McSally'!C66)))&gt;0)</f>
        <v>0</v>
      </c>
      <c r="P66" s="14" cm="1">
        <f t="array" ref="P66">INT(SUMPRODUCT(--ISNUMBER(SEARCH(foreign,'Martha McSally'!C66)))&gt;0)</f>
        <v>0</v>
      </c>
      <c r="Q66" s="14" cm="1">
        <f t="array" ref="Q66">INT(SUMPRODUCT(--ISNUMBER(SEARCH(gun,'Martha McSally'!C66)))&gt;0)</f>
        <v>0</v>
      </c>
      <c r="R66" s="14" cm="1">
        <f t="array" ref="R66">INT(SUMPRODUCT(--ISNUMBER(SEARCH(race,'Martha McSally'!C66)))&gt;0)</f>
        <v>0</v>
      </c>
      <c r="S66" s="14" cm="1">
        <f t="array" ref="S66">INT(SUMPRODUCT(--ISNUMBER(SEARCH(immigration,C66)))&gt;0)</f>
        <v>0</v>
      </c>
      <c r="T66" s="14" cm="1">
        <f t="array" ref="T66">INT(SUMPRODUCT(--ISNUMBER(SEARCH(econineq,C66)))&gt;0)</f>
        <v>0</v>
      </c>
      <c r="U66" s="14" cm="1">
        <f t="array" ref="U66">INT(SUMPRODUCT(--ISNUMBER(SEARCH(climate,'Martha McSally'!C66)))&gt;0)</f>
        <v>0</v>
      </c>
      <c r="V66" s="14" cm="1">
        <f t="array" ref="V66">INT(SUMPRODUCT(--ISNUMBER(SEARCH(abortion,'Martha McSally'!C66)))&gt;0)</f>
        <v>0</v>
      </c>
      <c r="W66" s="14" cm="1">
        <f t="array" ref="W66">INT(SUMPRODUCT(--ISNUMBER(SEARCH(trump,'Martha McSally'!C66)))&gt;0)</f>
        <v>0</v>
      </c>
      <c r="X66" s="14" cm="1">
        <f t="array" ref="X66">INT(SUMPRODUCT(--ISNUMBER(SEARCH(voting,'Martha McSally'!C66)))&gt;0)</f>
        <v>0</v>
      </c>
      <c r="Y66" s="14" cm="1">
        <f t="array" ref="Y66">INT(SUMPRODUCT(--ISNUMBER(SEARCH(republicantrigger,'Martha McSally'!C66)))&gt;0)</f>
        <v>0</v>
      </c>
      <c r="Z66" s="23" cm="1">
        <f t="array" ref="Z66">INT(SUMPRODUCT(--ISNUMBER(SEARCH(bipartisan,'Martha McSally'!C66)))&gt;0)</f>
        <v>0</v>
      </c>
      <c r="AA66" s="23">
        <f t="shared" si="0"/>
        <v>1</v>
      </c>
      <c r="AB66" s="15"/>
      <c r="AC66" s="30">
        <v>0</v>
      </c>
      <c r="AD66" s="37">
        <v>0</v>
      </c>
    </row>
    <row r="67" spans="1:30" x14ac:dyDescent="0.25">
      <c r="A67" s="36">
        <v>66</v>
      </c>
      <c r="B67" s="14" t="s">
        <v>161</v>
      </c>
      <c r="C67" s="31" t="s">
        <v>162</v>
      </c>
      <c r="D67" s="17">
        <v>44114</v>
      </c>
      <c r="E67" s="14" t="s">
        <v>30</v>
      </c>
      <c r="F67" s="14">
        <v>340</v>
      </c>
      <c r="G67" s="14">
        <v>126</v>
      </c>
      <c r="H67" s="14">
        <v>1</v>
      </c>
      <c r="I67" s="14">
        <v>1</v>
      </c>
      <c r="J67" s="14" t="s">
        <v>31</v>
      </c>
      <c r="K67" s="14" cm="1">
        <f t="array" ref="K67">INT(SUMPRODUCT(--ISNUMBER(SEARCH(economy,'Martha McSally'!C67)))&gt;0)</f>
        <v>0</v>
      </c>
      <c r="L67" s="14" cm="1">
        <f t="array" ref="L67">INT(SUMPRODUCT(--ISNUMBER(SEARCH(healthcare,'Martha McSally'!C67)))&gt;0)</f>
        <v>0</v>
      </c>
      <c r="M67" s="14" cm="1">
        <f t="array" ref="M67">INT(SUMPRODUCT(--ISNUMBER(SEARCH(supreme,'Martha McSally'!C67)))&gt;0)</f>
        <v>0</v>
      </c>
      <c r="N67" s="14" cm="1">
        <f t="array" ref="N67">INT(SUMPRODUCT(--ISNUMBER(SEARCH(covid,'Martha McSally'!C67)))&gt;0)</f>
        <v>0</v>
      </c>
      <c r="O67" s="14" cm="1">
        <f t="array" ref="O67">INT(SUMPRODUCT(--ISNUMBER(SEARCH(violent,'Martha McSally'!C67)))&gt;0)</f>
        <v>0</v>
      </c>
      <c r="P67" s="14" cm="1">
        <f t="array" ref="P67">INT(SUMPRODUCT(--ISNUMBER(SEARCH(foreign,'Martha McSally'!C67)))&gt;0)</f>
        <v>1</v>
      </c>
      <c r="Q67" s="14" cm="1">
        <f t="array" ref="Q67">INT(SUMPRODUCT(--ISNUMBER(SEARCH(gun,'Martha McSally'!C67)))&gt;0)</f>
        <v>0</v>
      </c>
      <c r="R67" s="14" cm="1">
        <f t="array" ref="R67">INT(SUMPRODUCT(--ISNUMBER(SEARCH(race,'Martha McSally'!C67)))&gt;0)</f>
        <v>0</v>
      </c>
      <c r="S67" s="14" cm="1">
        <f t="array" ref="S67">INT(SUMPRODUCT(--ISNUMBER(SEARCH(immigration,C67)))&gt;0)</f>
        <v>0</v>
      </c>
      <c r="T67" s="14" cm="1">
        <f t="array" ref="T67">INT(SUMPRODUCT(--ISNUMBER(SEARCH(econineq,C67)))&gt;0)</f>
        <v>0</v>
      </c>
      <c r="U67" s="14" cm="1">
        <f t="array" ref="U67">INT(SUMPRODUCT(--ISNUMBER(SEARCH(climate,'Martha McSally'!C67)))&gt;0)</f>
        <v>0</v>
      </c>
      <c r="V67" s="14" cm="1">
        <f t="array" ref="V67">INT(SUMPRODUCT(--ISNUMBER(SEARCH(abortion,'Martha McSally'!C67)))&gt;0)</f>
        <v>0</v>
      </c>
      <c r="W67" s="14" cm="1">
        <f t="array" ref="W67">INT(SUMPRODUCT(--ISNUMBER(SEARCH(trump,'Martha McSally'!C67)))&gt;0)</f>
        <v>0</v>
      </c>
      <c r="X67" s="14" cm="1">
        <f t="array" ref="X67">INT(SUMPRODUCT(--ISNUMBER(SEARCH(voting,'Martha McSally'!C67)))&gt;0)</f>
        <v>0</v>
      </c>
      <c r="Y67" s="14" cm="1">
        <f t="array" ref="Y67">INT(SUMPRODUCT(--ISNUMBER(SEARCH(republicantrigger,'Martha McSally'!C67)))&gt;0)</f>
        <v>0</v>
      </c>
      <c r="Z67" s="23" cm="1">
        <f t="array" ref="Z67">INT(SUMPRODUCT(--ISNUMBER(SEARCH(bipartisan,'Martha McSally'!C67)))&gt;0)</f>
        <v>1</v>
      </c>
      <c r="AA67" s="23">
        <f t="shared" ref="AA67:AA86" si="2">INT(IF(COUNTIF(K67:Z67,1)=0,"1","0"))</f>
        <v>0</v>
      </c>
      <c r="AB67" s="15"/>
      <c r="AC67" s="30">
        <v>0</v>
      </c>
      <c r="AD67" s="37">
        <v>0</v>
      </c>
    </row>
    <row r="68" spans="1:30" x14ac:dyDescent="0.25">
      <c r="A68" s="36">
        <v>67</v>
      </c>
      <c r="B68" s="14" t="s">
        <v>163</v>
      </c>
      <c r="C68" s="31" t="s">
        <v>164</v>
      </c>
      <c r="D68" s="17">
        <v>44114</v>
      </c>
      <c r="E68" s="14" t="s">
        <v>30</v>
      </c>
      <c r="F68" s="14">
        <v>437</v>
      </c>
      <c r="G68" s="14">
        <v>138</v>
      </c>
      <c r="H68" s="14">
        <v>1</v>
      </c>
      <c r="I68" s="14">
        <v>1</v>
      </c>
      <c r="J68" s="14" t="s">
        <v>31</v>
      </c>
      <c r="K68" s="14" cm="1">
        <f t="array" ref="K68">INT(SUMPRODUCT(--ISNUMBER(SEARCH(economy,'Martha McSally'!C68)))&gt;0)</f>
        <v>0</v>
      </c>
      <c r="L68" s="14" cm="1">
        <f t="array" ref="L68">INT(SUMPRODUCT(--ISNUMBER(SEARCH(healthcare,'Martha McSally'!C68)))&gt;0)</f>
        <v>0</v>
      </c>
      <c r="M68" s="14" cm="1">
        <f t="array" ref="M68">INT(SUMPRODUCT(--ISNUMBER(SEARCH(supreme,'Martha McSally'!C68)))&gt;0)</f>
        <v>0</v>
      </c>
      <c r="N68" s="14" cm="1">
        <f t="array" ref="N68">INT(SUMPRODUCT(--ISNUMBER(SEARCH(covid,'Martha McSally'!C68)))&gt;0)</f>
        <v>0</v>
      </c>
      <c r="O68" s="14" cm="1">
        <f t="array" ref="O68">INT(SUMPRODUCT(--ISNUMBER(SEARCH(violent,'Martha McSally'!C68)))&gt;0)</f>
        <v>0</v>
      </c>
      <c r="P68" s="14" cm="1">
        <f t="array" ref="P68">INT(SUMPRODUCT(--ISNUMBER(SEARCH(foreign,'Martha McSally'!C68)))&gt;0)</f>
        <v>0</v>
      </c>
      <c r="Q68" s="14" cm="1">
        <f t="array" ref="Q68">INT(SUMPRODUCT(--ISNUMBER(SEARCH(gun,'Martha McSally'!C68)))&gt;0)</f>
        <v>0</v>
      </c>
      <c r="R68" s="14" cm="1">
        <f t="array" ref="R68">INT(SUMPRODUCT(--ISNUMBER(SEARCH(race,'Martha McSally'!C68)))&gt;0)</f>
        <v>0</v>
      </c>
      <c r="S68" s="14" cm="1">
        <f t="array" ref="S68">INT(SUMPRODUCT(--ISNUMBER(SEARCH(immigration,C68)))&gt;0)</f>
        <v>0</v>
      </c>
      <c r="T68" s="14" cm="1">
        <f t="array" ref="T68">INT(SUMPRODUCT(--ISNUMBER(SEARCH(econineq,C68)))&gt;0)</f>
        <v>0</v>
      </c>
      <c r="U68" s="14" cm="1">
        <f t="array" ref="U68">INT(SUMPRODUCT(--ISNUMBER(SEARCH(climate,'Martha McSally'!C68)))&gt;0)</f>
        <v>0</v>
      </c>
      <c r="V68" s="14" cm="1">
        <f t="array" ref="V68">INT(SUMPRODUCT(--ISNUMBER(SEARCH(abortion,'Martha McSally'!C68)))&gt;0)</f>
        <v>0</v>
      </c>
      <c r="W68" s="14" cm="1">
        <f t="array" ref="W68">INT(SUMPRODUCT(--ISNUMBER(SEARCH(trump,'Martha McSally'!C68)))&gt;0)</f>
        <v>0</v>
      </c>
      <c r="X68" s="14" cm="1">
        <f t="array" ref="X68">INT(SUMPRODUCT(--ISNUMBER(SEARCH(voting,'Martha McSally'!C68)))&gt;0)</f>
        <v>0</v>
      </c>
      <c r="Y68" s="14" cm="1">
        <f t="array" ref="Y68">INT(SUMPRODUCT(--ISNUMBER(SEARCH(republicantrigger,'Martha McSally'!C68)))&gt;0)</f>
        <v>0</v>
      </c>
      <c r="Z68" s="23" cm="1">
        <f t="array" ref="Z68">INT(SUMPRODUCT(--ISNUMBER(SEARCH(bipartisan,'Martha McSally'!C68)))&gt;0)</f>
        <v>0</v>
      </c>
      <c r="AA68" s="23">
        <f t="shared" si="2"/>
        <v>1</v>
      </c>
      <c r="AB68" s="15"/>
      <c r="AC68" s="30">
        <v>0</v>
      </c>
      <c r="AD68" s="37">
        <v>0</v>
      </c>
    </row>
    <row r="69" spans="1:30" x14ac:dyDescent="0.25">
      <c r="A69" s="36">
        <v>68</v>
      </c>
      <c r="B69" s="14" t="s">
        <v>165</v>
      </c>
      <c r="C69" s="31" t="s">
        <v>166</v>
      </c>
      <c r="D69" s="17">
        <v>44113</v>
      </c>
      <c r="E69" s="14" t="s">
        <v>30</v>
      </c>
      <c r="F69" s="14">
        <v>144</v>
      </c>
      <c r="G69" s="14">
        <v>48</v>
      </c>
      <c r="H69" s="14">
        <v>1</v>
      </c>
      <c r="I69" s="14">
        <v>1</v>
      </c>
      <c r="J69" s="14" t="s">
        <v>31</v>
      </c>
      <c r="K69" s="14" cm="1">
        <f t="array" ref="K69">INT(SUMPRODUCT(--ISNUMBER(SEARCH(economy,'Martha McSally'!C69)))&gt;0)</f>
        <v>0</v>
      </c>
      <c r="L69" s="14" cm="1">
        <f t="array" ref="L69">INT(SUMPRODUCT(--ISNUMBER(SEARCH(healthcare,'Martha McSally'!C69)))&gt;0)</f>
        <v>0</v>
      </c>
      <c r="M69" s="14" cm="1">
        <f t="array" ref="M69">INT(SUMPRODUCT(--ISNUMBER(SEARCH(supreme,'Martha McSally'!C69)))&gt;0)</f>
        <v>0</v>
      </c>
      <c r="N69" s="14" cm="1">
        <f t="array" ref="N69">INT(SUMPRODUCT(--ISNUMBER(SEARCH(covid,'Martha McSally'!C69)))&gt;0)</f>
        <v>0</v>
      </c>
      <c r="O69" s="14" cm="1">
        <f t="array" ref="O69">INT(SUMPRODUCT(--ISNUMBER(SEARCH(violent,'Martha McSally'!C69)))&gt;0)</f>
        <v>0</v>
      </c>
      <c r="P69" s="14" cm="1">
        <f t="array" ref="P69">INT(SUMPRODUCT(--ISNUMBER(SEARCH(foreign,'Martha McSally'!C69)))&gt;0)</f>
        <v>0</v>
      </c>
      <c r="Q69" s="14" cm="1">
        <f t="array" ref="Q69">INT(SUMPRODUCT(--ISNUMBER(SEARCH(gun,'Martha McSally'!C69)))&gt;0)</f>
        <v>0</v>
      </c>
      <c r="R69" s="14" cm="1">
        <f t="array" ref="R69">INT(SUMPRODUCT(--ISNUMBER(SEARCH(race,'Martha McSally'!C69)))&gt;0)</f>
        <v>0</v>
      </c>
      <c r="S69" s="14" cm="1">
        <f t="array" ref="S69">INT(SUMPRODUCT(--ISNUMBER(SEARCH(immigration,C69)))&gt;0)</f>
        <v>0</v>
      </c>
      <c r="T69" s="14" cm="1">
        <f t="array" ref="T69">INT(SUMPRODUCT(--ISNUMBER(SEARCH(econineq,C69)))&gt;0)</f>
        <v>0</v>
      </c>
      <c r="U69" s="14" cm="1">
        <f t="array" ref="U69">INT(SUMPRODUCT(--ISNUMBER(SEARCH(climate,'Martha McSally'!C69)))&gt;0)</f>
        <v>0</v>
      </c>
      <c r="V69" s="14" cm="1">
        <f t="array" ref="V69">INT(SUMPRODUCT(--ISNUMBER(SEARCH(abortion,'Martha McSally'!C69)))&gt;0)</f>
        <v>0</v>
      </c>
      <c r="W69" s="14" cm="1">
        <f t="array" ref="W69">INT(SUMPRODUCT(--ISNUMBER(SEARCH(trump,'Martha McSally'!C69)))&gt;0)</f>
        <v>0</v>
      </c>
      <c r="X69" s="14" cm="1">
        <f t="array" ref="X69">INT(SUMPRODUCT(--ISNUMBER(SEARCH(voting,'Martha McSally'!C69)))&gt;0)</f>
        <v>0</v>
      </c>
      <c r="Y69" s="14" cm="1">
        <f t="array" ref="Y69">INT(SUMPRODUCT(--ISNUMBER(SEARCH(republicantrigger,'Martha McSally'!C69)))&gt;0)</f>
        <v>0</v>
      </c>
      <c r="Z69" s="23" cm="1">
        <f t="array" ref="Z69">INT(SUMPRODUCT(--ISNUMBER(SEARCH(bipartisan,'Martha McSally'!C69)))&gt;0)</f>
        <v>1</v>
      </c>
      <c r="AA69" s="23">
        <f t="shared" si="2"/>
        <v>0</v>
      </c>
      <c r="AB69" s="15"/>
      <c r="AC69" s="30">
        <v>0</v>
      </c>
      <c r="AD69" s="37">
        <v>0</v>
      </c>
    </row>
    <row r="70" spans="1:30" x14ac:dyDescent="0.25">
      <c r="A70" s="36">
        <v>69</v>
      </c>
      <c r="B70" s="14" t="s">
        <v>167</v>
      </c>
      <c r="C70" s="31" t="s">
        <v>168</v>
      </c>
      <c r="D70" s="17">
        <v>44113</v>
      </c>
      <c r="E70" s="14" t="s">
        <v>30</v>
      </c>
      <c r="F70" s="14">
        <v>151</v>
      </c>
      <c r="G70" s="14">
        <v>55</v>
      </c>
      <c r="H70" s="14">
        <v>1</v>
      </c>
      <c r="I70" s="14">
        <v>1</v>
      </c>
      <c r="J70" s="14" t="s">
        <v>31</v>
      </c>
      <c r="K70" s="14" cm="1">
        <f t="array" ref="K70">INT(SUMPRODUCT(--ISNUMBER(SEARCH(economy,'Martha McSally'!C70)))&gt;0)</f>
        <v>0</v>
      </c>
      <c r="L70" s="14" cm="1">
        <f t="array" ref="L70">INT(SUMPRODUCT(--ISNUMBER(SEARCH(healthcare,'Martha McSally'!C70)))&gt;0)</f>
        <v>0</v>
      </c>
      <c r="M70" s="14" cm="1">
        <f t="array" ref="M70">INT(SUMPRODUCT(--ISNUMBER(SEARCH(supreme,'Martha McSally'!C70)))&gt;0)</f>
        <v>0</v>
      </c>
      <c r="N70" s="14" cm="1">
        <f t="array" ref="N70">INT(SUMPRODUCT(--ISNUMBER(SEARCH(covid,'Martha McSally'!C70)))&gt;0)</f>
        <v>0</v>
      </c>
      <c r="O70" s="14" cm="1">
        <f t="array" ref="O70">INT(SUMPRODUCT(--ISNUMBER(SEARCH(violent,'Martha McSally'!C70)))&gt;0)</f>
        <v>0</v>
      </c>
      <c r="P70" s="14" cm="1">
        <f t="array" ref="P70">INT(SUMPRODUCT(--ISNUMBER(SEARCH(foreign,'Martha McSally'!C70)))&gt;0)</f>
        <v>0</v>
      </c>
      <c r="Q70" s="14" cm="1">
        <f t="array" ref="Q70">INT(SUMPRODUCT(--ISNUMBER(SEARCH(gun,'Martha McSally'!C70)))&gt;0)</f>
        <v>0</v>
      </c>
      <c r="R70" s="14" cm="1">
        <f t="array" ref="R70">INT(SUMPRODUCT(--ISNUMBER(SEARCH(race,'Martha McSally'!C70)))&gt;0)</f>
        <v>0</v>
      </c>
      <c r="S70" s="14" cm="1">
        <f t="array" ref="S70">INT(SUMPRODUCT(--ISNUMBER(SEARCH(immigration,C70)))&gt;0)</f>
        <v>0</v>
      </c>
      <c r="T70" s="14" cm="1">
        <f t="array" ref="T70">INT(SUMPRODUCT(--ISNUMBER(SEARCH(econineq,C70)))&gt;0)</f>
        <v>0</v>
      </c>
      <c r="U70" s="14" cm="1">
        <f t="array" ref="U70">INT(SUMPRODUCT(--ISNUMBER(SEARCH(climate,'Martha McSally'!C70)))&gt;0)</f>
        <v>0</v>
      </c>
      <c r="V70" s="14" cm="1">
        <f t="array" ref="V70">INT(SUMPRODUCT(--ISNUMBER(SEARCH(abortion,'Martha McSally'!C70)))&gt;0)</f>
        <v>0</v>
      </c>
      <c r="W70" s="14" cm="1">
        <f t="array" ref="W70">INT(SUMPRODUCT(--ISNUMBER(SEARCH(trump,'Martha McSally'!C70)))&gt;0)</f>
        <v>0</v>
      </c>
      <c r="X70" s="14" cm="1">
        <f t="array" ref="X70">INT(SUMPRODUCT(--ISNUMBER(SEARCH(voting,'Martha McSally'!C70)))&gt;0)</f>
        <v>0</v>
      </c>
      <c r="Y70" s="14" cm="1">
        <f t="array" ref="Y70">INT(SUMPRODUCT(--ISNUMBER(SEARCH(republicantrigger,'Martha McSally'!C70)))&gt;0)</f>
        <v>0</v>
      </c>
      <c r="Z70" s="23" cm="1">
        <f t="array" ref="Z70">INT(SUMPRODUCT(--ISNUMBER(SEARCH(bipartisan,'Martha McSally'!C70)))&gt;0)</f>
        <v>0</v>
      </c>
      <c r="AA70" s="23">
        <f t="shared" si="2"/>
        <v>1</v>
      </c>
      <c r="AB70" s="15"/>
      <c r="AC70" s="30">
        <v>0</v>
      </c>
      <c r="AD70" s="37">
        <v>0</v>
      </c>
    </row>
    <row r="71" spans="1:30" x14ac:dyDescent="0.25">
      <c r="A71" s="36">
        <v>70</v>
      </c>
      <c r="B71" s="14" t="s">
        <v>169</v>
      </c>
      <c r="C71" s="31" t="s">
        <v>170</v>
      </c>
      <c r="D71" s="17">
        <v>44112</v>
      </c>
      <c r="E71" s="14" t="s">
        <v>30</v>
      </c>
      <c r="F71" s="14">
        <v>497</v>
      </c>
      <c r="G71" s="14">
        <v>156</v>
      </c>
      <c r="H71" s="14">
        <v>1</v>
      </c>
      <c r="I71" s="14">
        <v>1</v>
      </c>
      <c r="J71" s="14" t="s">
        <v>31</v>
      </c>
      <c r="K71" s="14" cm="1">
        <f t="array" ref="K71">INT(SUMPRODUCT(--ISNUMBER(SEARCH(economy,'Martha McSally'!C71)))&gt;0)</f>
        <v>0</v>
      </c>
      <c r="L71" s="14" cm="1">
        <f t="array" ref="L71">INT(SUMPRODUCT(--ISNUMBER(SEARCH(healthcare,'Martha McSally'!C71)))&gt;0)</f>
        <v>0</v>
      </c>
      <c r="M71" s="14" cm="1">
        <f t="array" ref="M71">INT(SUMPRODUCT(--ISNUMBER(SEARCH(supreme,'Martha McSally'!C71)))&gt;0)</f>
        <v>0</v>
      </c>
      <c r="N71" s="14" cm="1">
        <f t="array" ref="N71">INT(SUMPRODUCT(--ISNUMBER(SEARCH(covid,'Martha McSally'!C71)))&gt;0)</f>
        <v>0</v>
      </c>
      <c r="O71" s="14" cm="1">
        <f t="array" ref="O71">INT(SUMPRODUCT(--ISNUMBER(SEARCH(violent,'Martha McSally'!C71)))&gt;0)</f>
        <v>0</v>
      </c>
      <c r="P71" s="14" cm="1">
        <f t="array" ref="P71">INT(SUMPRODUCT(--ISNUMBER(SEARCH(foreign,'Martha McSally'!C71)))&gt;0)</f>
        <v>0</v>
      </c>
      <c r="Q71" s="14" cm="1">
        <f t="array" ref="Q71">INT(SUMPRODUCT(--ISNUMBER(SEARCH(gun,'Martha McSally'!C71)))&gt;0)</f>
        <v>0</v>
      </c>
      <c r="R71" s="14" cm="1">
        <f t="array" ref="R71">INT(SUMPRODUCT(--ISNUMBER(SEARCH(race,'Martha McSally'!C71)))&gt;0)</f>
        <v>0</v>
      </c>
      <c r="S71" s="14" cm="1">
        <f t="array" ref="S71">INT(SUMPRODUCT(--ISNUMBER(SEARCH(immigration,C71)))&gt;0)</f>
        <v>0</v>
      </c>
      <c r="T71" s="14" cm="1">
        <f t="array" ref="T71">INT(SUMPRODUCT(--ISNUMBER(SEARCH(econineq,C71)))&gt;0)</f>
        <v>0</v>
      </c>
      <c r="U71" s="14" cm="1">
        <f t="array" ref="U71">INT(SUMPRODUCT(--ISNUMBER(SEARCH(climate,'Martha McSally'!C71)))&gt;0)</f>
        <v>0</v>
      </c>
      <c r="V71" s="14" cm="1">
        <f t="array" ref="V71">INT(SUMPRODUCT(--ISNUMBER(SEARCH(abortion,'Martha McSally'!C71)))&gt;0)</f>
        <v>0</v>
      </c>
      <c r="W71" s="14" cm="1">
        <f t="array" ref="W71">INT(SUMPRODUCT(--ISNUMBER(SEARCH(trump,'Martha McSally'!C71)))&gt;0)</f>
        <v>0</v>
      </c>
      <c r="X71" s="14" cm="1">
        <f t="array" ref="X71">INT(SUMPRODUCT(--ISNUMBER(SEARCH(voting,'Martha McSally'!C71)))&gt;0)</f>
        <v>0</v>
      </c>
      <c r="Y71" s="14" cm="1">
        <f t="array" ref="Y71">INT(SUMPRODUCT(--ISNUMBER(SEARCH(republicantrigger,'Martha McSally'!C71)))&gt;0)</f>
        <v>0</v>
      </c>
      <c r="Z71" s="23" cm="1">
        <f t="array" ref="Z71">INT(SUMPRODUCT(--ISNUMBER(SEARCH(bipartisan,'Martha McSally'!C71)))&gt;0)</f>
        <v>0</v>
      </c>
      <c r="AA71" s="23">
        <f t="shared" si="2"/>
        <v>1</v>
      </c>
      <c r="AB71" s="15"/>
      <c r="AC71" s="30">
        <v>1</v>
      </c>
      <c r="AD71" s="37">
        <v>0</v>
      </c>
    </row>
    <row r="72" spans="1:30" x14ac:dyDescent="0.25">
      <c r="A72" s="36">
        <v>71</v>
      </c>
      <c r="B72" s="14" t="s">
        <v>171</v>
      </c>
      <c r="C72" s="31" t="s">
        <v>172</v>
      </c>
      <c r="D72" s="17">
        <v>44112</v>
      </c>
      <c r="E72" s="14" t="s">
        <v>30</v>
      </c>
      <c r="F72" s="14">
        <v>1086</v>
      </c>
      <c r="G72" s="14">
        <v>235</v>
      </c>
      <c r="H72" s="14">
        <v>1</v>
      </c>
      <c r="I72" s="14">
        <v>1</v>
      </c>
      <c r="J72" s="14" t="s">
        <v>31</v>
      </c>
      <c r="K72" s="14" cm="1">
        <f t="array" ref="K72">INT(SUMPRODUCT(--ISNUMBER(SEARCH(economy,'Martha McSally'!C72)))&gt;0)</f>
        <v>0</v>
      </c>
      <c r="L72" s="14" cm="1">
        <f t="array" ref="L72">INT(SUMPRODUCT(--ISNUMBER(SEARCH(healthcare,'Martha McSally'!C72)))&gt;0)</f>
        <v>0</v>
      </c>
      <c r="M72" s="14" cm="1">
        <f t="array" ref="M72">INT(SUMPRODUCT(--ISNUMBER(SEARCH(supreme,'Martha McSally'!C72)))&gt;0)</f>
        <v>0</v>
      </c>
      <c r="N72" s="14" cm="1">
        <f t="array" ref="N72">INT(SUMPRODUCT(--ISNUMBER(SEARCH(covid,'Martha McSally'!C72)))&gt;0)</f>
        <v>0</v>
      </c>
      <c r="O72" s="14" cm="1">
        <f t="array" ref="O72">INT(SUMPRODUCT(--ISNUMBER(SEARCH(violent,'Martha McSally'!C72)))&gt;0)</f>
        <v>0</v>
      </c>
      <c r="P72" s="14" cm="1">
        <f t="array" ref="P72">INT(SUMPRODUCT(--ISNUMBER(SEARCH(foreign,'Martha McSally'!C72)))&gt;0)</f>
        <v>0</v>
      </c>
      <c r="Q72" s="14" cm="1">
        <f t="array" ref="Q72">INT(SUMPRODUCT(--ISNUMBER(SEARCH(gun,'Martha McSally'!C72)))&gt;0)</f>
        <v>0</v>
      </c>
      <c r="R72" s="14" cm="1">
        <f t="array" ref="R72">INT(SUMPRODUCT(--ISNUMBER(SEARCH(race,'Martha McSally'!C72)))&gt;0)</f>
        <v>0</v>
      </c>
      <c r="S72" s="14" cm="1">
        <f t="array" ref="S72">INT(SUMPRODUCT(--ISNUMBER(SEARCH(immigration,C72)))&gt;0)</f>
        <v>0</v>
      </c>
      <c r="T72" s="14" cm="1">
        <f t="array" ref="T72">INT(SUMPRODUCT(--ISNUMBER(SEARCH(econineq,C72)))&gt;0)</f>
        <v>0</v>
      </c>
      <c r="U72" s="14" cm="1">
        <f t="array" ref="U72">INT(SUMPRODUCT(--ISNUMBER(SEARCH(climate,'Martha McSally'!C72)))&gt;0)</f>
        <v>0</v>
      </c>
      <c r="V72" s="14" cm="1">
        <f t="array" ref="V72">INT(SUMPRODUCT(--ISNUMBER(SEARCH(abortion,'Martha McSally'!C72)))&gt;0)</f>
        <v>0</v>
      </c>
      <c r="W72" s="14" cm="1">
        <f t="array" ref="W72">INT(SUMPRODUCT(--ISNUMBER(SEARCH(trump,'Martha McSally'!C72)))&gt;0)</f>
        <v>0</v>
      </c>
      <c r="X72" s="14" cm="1">
        <f t="array" ref="X72">INT(SUMPRODUCT(--ISNUMBER(SEARCH(voting,'Martha McSally'!C72)))&gt;0)</f>
        <v>0</v>
      </c>
      <c r="Y72" s="14" cm="1">
        <f t="array" ref="Y72">INT(SUMPRODUCT(--ISNUMBER(SEARCH(republicantrigger,'Martha McSally'!C72)))&gt;0)</f>
        <v>0</v>
      </c>
      <c r="Z72" s="23" cm="1">
        <f t="array" ref="Z72">INT(SUMPRODUCT(--ISNUMBER(SEARCH(bipartisan,'Martha McSally'!C72)))&gt;0)</f>
        <v>0</v>
      </c>
      <c r="AA72" s="23">
        <f t="shared" si="2"/>
        <v>1</v>
      </c>
      <c r="AB72" s="15"/>
      <c r="AC72" s="30">
        <v>1</v>
      </c>
      <c r="AD72" s="37">
        <v>0</v>
      </c>
    </row>
    <row r="73" spans="1:30" x14ac:dyDescent="0.25">
      <c r="A73" s="36">
        <v>72</v>
      </c>
      <c r="B73" s="14" t="s">
        <v>173</v>
      </c>
      <c r="C73" s="31" t="s">
        <v>174</v>
      </c>
      <c r="D73" s="17">
        <v>44112</v>
      </c>
      <c r="E73" s="14" t="s">
        <v>30</v>
      </c>
      <c r="F73" s="14">
        <v>80</v>
      </c>
      <c r="G73" s="14">
        <v>28</v>
      </c>
      <c r="H73" s="14">
        <v>1</v>
      </c>
      <c r="I73" s="14">
        <v>1</v>
      </c>
      <c r="J73" s="14" t="s">
        <v>31</v>
      </c>
      <c r="K73" s="14" cm="1">
        <f t="array" ref="K73">INT(SUMPRODUCT(--ISNUMBER(SEARCH(economy,'Martha McSally'!C73)))&gt;0)</f>
        <v>1</v>
      </c>
      <c r="L73" s="14" cm="1">
        <f t="array" ref="L73">INT(SUMPRODUCT(--ISNUMBER(SEARCH(healthcare,'Martha McSally'!C73)))&gt;0)</f>
        <v>1</v>
      </c>
      <c r="M73" s="14" cm="1">
        <f t="array" ref="M73">INT(SUMPRODUCT(--ISNUMBER(SEARCH(supreme,'Martha McSally'!C73)))&gt;0)</f>
        <v>1</v>
      </c>
      <c r="N73" s="14" cm="1">
        <f t="array" ref="N73">INT(SUMPRODUCT(--ISNUMBER(SEARCH(covid,'Martha McSally'!C73)))&gt;0)</f>
        <v>0</v>
      </c>
      <c r="O73" s="14" cm="1">
        <f t="array" ref="O73">INT(SUMPRODUCT(--ISNUMBER(SEARCH(violent,'Martha McSally'!C73)))&gt;0)</f>
        <v>0</v>
      </c>
      <c r="P73" s="14" cm="1">
        <f t="array" ref="P73">INT(SUMPRODUCT(--ISNUMBER(SEARCH(foreign,'Martha McSally'!C73)))&gt;0)</f>
        <v>0</v>
      </c>
      <c r="Q73" s="14" cm="1">
        <f t="array" ref="Q73">INT(SUMPRODUCT(--ISNUMBER(SEARCH(gun,'Martha McSally'!C73)))&gt;0)</f>
        <v>0</v>
      </c>
      <c r="R73" s="14" cm="1">
        <f t="array" ref="R73">INT(SUMPRODUCT(--ISNUMBER(SEARCH(race,'Martha McSally'!C73)))&gt;0)</f>
        <v>0</v>
      </c>
      <c r="S73" s="14" cm="1">
        <f t="array" ref="S73">INT(SUMPRODUCT(--ISNUMBER(SEARCH(immigration,C73)))&gt;0)</f>
        <v>0</v>
      </c>
      <c r="T73" s="14" cm="1">
        <f t="array" ref="T73">INT(SUMPRODUCT(--ISNUMBER(SEARCH(econineq,C73)))&gt;0)</f>
        <v>1</v>
      </c>
      <c r="U73" s="14" cm="1">
        <f t="array" ref="U73">INT(SUMPRODUCT(--ISNUMBER(SEARCH(climate,'Martha McSally'!C73)))&gt;0)</f>
        <v>0</v>
      </c>
      <c r="V73" s="14" cm="1">
        <f t="array" ref="V73">INT(SUMPRODUCT(--ISNUMBER(SEARCH(abortion,'Martha McSally'!C73)))&gt;0)</f>
        <v>0</v>
      </c>
      <c r="W73" s="14" cm="1">
        <f t="array" ref="W73">INT(SUMPRODUCT(--ISNUMBER(SEARCH(trump,'Martha McSally'!C73)))&gt;0)</f>
        <v>0</v>
      </c>
      <c r="X73" s="14" cm="1">
        <f t="array" ref="X73">INT(SUMPRODUCT(--ISNUMBER(SEARCH(voting,'Martha McSally'!C73)))&gt;0)</f>
        <v>0</v>
      </c>
      <c r="Y73" s="14" cm="1">
        <f t="array" ref="Y73">INT(SUMPRODUCT(--ISNUMBER(SEARCH(republicantrigger,'Martha McSally'!C73)))&gt;0)</f>
        <v>0</v>
      </c>
      <c r="Z73" s="23" cm="1">
        <f t="array" ref="Z73">INT(SUMPRODUCT(--ISNUMBER(SEARCH(bipartisan,'Martha McSally'!C73)))&gt;0)</f>
        <v>0</v>
      </c>
      <c r="AA73" s="23">
        <f t="shared" si="2"/>
        <v>0</v>
      </c>
      <c r="AB73" s="15"/>
      <c r="AC73" s="30">
        <v>0</v>
      </c>
      <c r="AD73" s="37">
        <v>0</v>
      </c>
    </row>
    <row r="74" spans="1:30" x14ac:dyDescent="0.25">
      <c r="A74" s="36">
        <v>73</v>
      </c>
      <c r="B74" s="14" t="s">
        <v>175</v>
      </c>
      <c r="C74" s="31" t="s">
        <v>176</v>
      </c>
      <c r="D74" s="17">
        <v>44112</v>
      </c>
      <c r="E74" s="14" t="s">
        <v>30</v>
      </c>
      <c r="F74" s="14">
        <v>268</v>
      </c>
      <c r="G74" s="14">
        <v>103</v>
      </c>
      <c r="H74" s="14">
        <v>1</v>
      </c>
      <c r="I74" s="14">
        <v>1</v>
      </c>
      <c r="J74" s="14" t="s">
        <v>31</v>
      </c>
      <c r="K74" s="14" cm="1">
        <f t="array" ref="K74">INT(SUMPRODUCT(--ISNUMBER(SEARCH(economy,'Martha McSally'!C74)))&gt;0)</f>
        <v>0</v>
      </c>
      <c r="L74" s="14" cm="1">
        <f t="array" ref="L74">INT(SUMPRODUCT(--ISNUMBER(SEARCH(healthcare,'Martha McSally'!C74)))&gt;0)</f>
        <v>0</v>
      </c>
      <c r="M74" s="14" cm="1">
        <f t="array" ref="M74">INT(SUMPRODUCT(--ISNUMBER(SEARCH(supreme,'Martha McSally'!C74)))&gt;0)</f>
        <v>0</v>
      </c>
      <c r="N74" s="14" cm="1">
        <f t="array" ref="N74">INT(SUMPRODUCT(--ISNUMBER(SEARCH(covid,'Martha McSally'!C74)))&gt;0)</f>
        <v>1</v>
      </c>
      <c r="O74" s="14" cm="1">
        <f t="array" ref="O74">INT(SUMPRODUCT(--ISNUMBER(SEARCH(violent,'Martha McSally'!C74)))&gt;0)</f>
        <v>0</v>
      </c>
      <c r="P74" s="14" cm="1">
        <f t="array" ref="P74">INT(SUMPRODUCT(--ISNUMBER(SEARCH(foreign,'Martha McSally'!C74)))&gt;0)</f>
        <v>0</v>
      </c>
      <c r="Q74" s="14" cm="1">
        <f t="array" ref="Q74">INT(SUMPRODUCT(--ISNUMBER(SEARCH(gun,'Martha McSally'!C74)))&gt;0)</f>
        <v>0</v>
      </c>
      <c r="R74" s="14" cm="1">
        <f t="array" ref="R74">INT(SUMPRODUCT(--ISNUMBER(SEARCH(race,'Martha McSally'!C74)))&gt;0)</f>
        <v>0</v>
      </c>
      <c r="S74" s="14" cm="1">
        <f t="array" ref="S74">INT(SUMPRODUCT(--ISNUMBER(SEARCH(immigration,C74)))&gt;0)</f>
        <v>0</v>
      </c>
      <c r="T74" s="14" cm="1">
        <f t="array" ref="T74">INT(SUMPRODUCT(--ISNUMBER(SEARCH(econineq,C74)))&gt;0)</f>
        <v>0</v>
      </c>
      <c r="U74" s="14" cm="1">
        <f t="array" ref="U74">INT(SUMPRODUCT(--ISNUMBER(SEARCH(climate,'Martha McSally'!C74)))&gt;0)</f>
        <v>0</v>
      </c>
      <c r="V74" s="14" cm="1">
        <f t="array" ref="V74">INT(SUMPRODUCT(--ISNUMBER(SEARCH(abortion,'Martha McSally'!C74)))&gt;0)</f>
        <v>0</v>
      </c>
      <c r="W74" s="14" cm="1">
        <f t="array" ref="W74">INT(SUMPRODUCT(--ISNUMBER(SEARCH(trump,'Martha McSally'!C74)))&gt;0)</f>
        <v>0</v>
      </c>
      <c r="X74" s="14" cm="1">
        <f t="array" ref="X74">INT(SUMPRODUCT(--ISNUMBER(SEARCH(voting,'Martha McSally'!C74)))&gt;0)</f>
        <v>0</v>
      </c>
      <c r="Y74" s="14" cm="1">
        <f t="array" ref="Y74">INT(SUMPRODUCT(--ISNUMBER(SEARCH(republicantrigger,'Martha McSally'!C74)))&gt;0)</f>
        <v>0</v>
      </c>
      <c r="Z74" s="23" cm="1">
        <f t="array" ref="Z74">INT(SUMPRODUCT(--ISNUMBER(SEARCH(bipartisan,'Martha McSally'!C74)))&gt;0)</f>
        <v>0</v>
      </c>
      <c r="AA74" s="23">
        <f t="shared" si="2"/>
        <v>0</v>
      </c>
      <c r="AB74" s="15"/>
      <c r="AC74" s="30">
        <v>0</v>
      </c>
      <c r="AD74" s="37">
        <v>0</v>
      </c>
    </row>
    <row r="75" spans="1:30" x14ac:dyDescent="0.25">
      <c r="A75" s="36">
        <v>74</v>
      </c>
      <c r="B75" s="14" t="s">
        <v>177</v>
      </c>
      <c r="C75" s="31" t="s">
        <v>178</v>
      </c>
      <c r="D75" s="17">
        <v>44111</v>
      </c>
      <c r="E75" s="14" t="s">
        <v>30</v>
      </c>
      <c r="F75" s="14">
        <v>104</v>
      </c>
      <c r="G75" s="14">
        <v>44</v>
      </c>
      <c r="H75" s="14">
        <v>1</v>
      </c>
      <c r="I75" s="14">
        <v>1</v>
      </c>
      <c r="J75" s="14" t="s">
        <v>31</v>
      </c>
      <c r="K75" s="14" cm="1">
        <f t="array" ref="K75">INT(SUMPRODUCT(--ISNUMBER(SEARCH(economy,'Martha McSally'!C75)))&gt;0)</f>
        <v>0</v>
      </c>
      <c r="L75" s="14" cm="1">
        <f t="array" ref="L75">INT(SUMPRODUCT(--ISNUMBER(SEARCH(healthcare,'Martha McSally'!C75)))&gt;0)</f>
        <v>0</v>
      </c>
      <c r="M75" s="14" cm="1">
        <f t="array" ref="M75">INT(SUMPRODUCT(--ISNUMBER(SEARCH(supreme,'Martha McSally'!C75)))&gt;0)</f>
        <v>0</v>
      </c>
      <c r="N75" s="14" cm="1">
        <f t="array" ref="N75">INT(SUMPRODUCT(--ISNUMBER(SEARCH(covid,'Martha McSally'!C75)))&gt;0)</f>
        <v>0</v>
      </c>
      <c r="O75" s="14" cm="1">
        <f t="array" ref="O75">INT(SUMPRODUCT(--ISNUMBER(SEARCH(violent,'Martha McSally'!C75)))&gt;0)</f>
        <v>0</v>
      </c>
      <c r="P75" s="14" cm="1">
        <f t="array" ref="P75">INT(SUMPRODUCT(--ISNUMBER(SEARCH(foreign,'Martha McSally'!C75)))&gt;0)</f>
        <v>0</v>
      </c>
      <c r="Q75" s="14" cm="1">
        <f t="array" ref="Q75">INT(SUMPRODUCT(--ISNUMBER(SEARCH(gun,'Martha McSally'!C75)))&gt;0)</f>
        <v>0</v>
      </c>
      <c r="R75" s="14" cm="1">
        <f t="array" ref="R75">INT(SUMPRODUCT(--ISNUMBER(SEARCH(race,'Martha McSally'!C75)))&gt;0)</f>
        <v>0</v>
      </c>
      <c r="S75" s="14" cm="1">
        <f t="array" ref="S75">INT(SUMPRODUCT(--ISNUMBER(SEARCH(immigration,C75)))&gt;0)</f>
        <v>0</v>
      </c>
      <c r="T75" s="14" cm="1">
        <f t="array" ref="T75">INT(SUMPRODUCT(--ISNUMBER(SEARCH(econineq,C75)))&gt;0)</f>
        <v>0</v>
      </c>
      <c r="U75" s="14" cm="1">
        <f t="array" ref="U75">INT(SUMPRODUCT(--ISNUMBER(SEARCH(climate,'Martha McSally'!C75)))&gt;0)</f>
        <v>0</v>
      </c>
      <c r="V75" s="14" cm="1">
        <f t="array" ref="V75">INT(SUMPRODUCT(--ISNUMBER(SEARCH(abortion,'Martha McSally'!C75)))&gt;0)</f>
        <v>0</v>
      </c>
      <c r="W75" s="14" cm="1">
        <f t="array" ref="W75">INT(SUMPRODUCT(--ISNUMBER(SEARCH(trump,'Martha McSally'!C75)))&gt;0)</f>
        <v>0</v>
      </c>
      <c r="X75" s="14" cm="1">
        <f t="array" ref="X75">INT(SUMPRODUCT(--ISNUMBER(SEARCH(voting,'Martha McSally'!C75)))&gt;0)</f>
        <v>0</v>
      </c>
      <c r="Y75" s="14" cm="1">
        <f t="array" ref="Y75">INT(SUMPRODUCT(--ISNUMBER(SEARCH(republicantrigger,'Martha McSally'!C75)))&gt;0)</f>
        <v>0</v>
      </c>
      <c r="Z75" s="23" cm="1">
        <f t="array" ref="Z75">INT(SUMPRODUCT(--ISNUMBER(SEARCH(bipartisan,'Martha McSally'!C75)))&gt;0)</f>
        <v>0</v>
      </c>
      <c r="AA75" s="23">
        <f t="shared" si="2"/>
        <v>1</v>
      </c>
      <c r="AB75" s="15"/>
      <c r="AC75" s="30">
        <v>0</v>
      </c>
      <c r="AD75" s="37">
        <v>0</v>
      </c>
    </row>
    <row r="76" spans="1:30" x14ac:dyDescent="0.25">
      <c r="A76" s="36">
        <v>75</v>
      </c>
      <c r="B76" s="14" t="s">
        <v>179</v>
      </c>
      <c r="C76" s="31" t="s">
        <v>180</v>
      </c>
      <c r="D76" s="17">
        <v>44111</v>
      </c>
      <c r="E76" s="14" t="s">
        <v>30</v>
      </c>
      <c r="F76" s="14">
        <v>152</v>
      </c>
      <c r="G76" s="14">
        <v>48</v>
      </c>
      <c r="H76" s="14">
        <v>1</v>
      </c>
      <c r="I76" s="14">
        <v>1</v>
      </c>
      <c r="J76" s="14" t="s">
        <v>31</v>
      </c>
      <c r="K76" s="14" cm="1">
        <f t="array" ref="K76">INT(SUMPRODUCT(--ISNUMBER(SEARCH(economy,'Martha McSally'!C76)))&gt;0)</f>
        <v>1</v>
      </c>
      <c r="L76" s="14" cm="1">
        <f t="array" ref="L76">INT(SUMPRODUCT(--ISNUMBER(SEARCH(healthcare,'Martha McSally'!C76)))&gt;0)</f>
        <v>1</v>
      </c>
      <c r="M76" s="14" cm="1">
        <f t="array" ref="M76">INT(SUMPRODUCT(--ISNUMBER(SEARCH(supreme,'Martha McSally'!C76)))&gt;0)</f>
        <v>1</v>
      </c>
      <c r="N76" s="14" cm="1">
        <f t="array" ref="N76">INT(SUMPRODUCT(--ISNUMBER(SEARCH(covid,'Martha McSally'!C76)))&gt;0)</f>
        <v>0</v>
      </c>
      <c r="O76" s="14" cm="1">
        <f t="array" ref="O76">INT(SUMPRODUCT(--ISNUMBER(SEARCH(violent,'Martha McSally'!C76)))&gt;0)</f>
        <v>0</v>
      </c>
      <c r="P76" s="14" cm="1">
        <f t="array" ref="P76">INT(SUMPRODUCT(--ISNUMBER(SEARCH(foreign,'Martha McSally'!C76)))&gt;0)</f>
        <v>0</v>
      </c>
      <c r="Q76" s="14" cm="1">
        <f t="array" ref="Q76">INT(SUMPRODUCT(--ISNUMBER(SEARCH(gun,'Martha McSally'!C76)))&gt;0)</f>
        <v>0</v>
      </c>
      <c r="R76" s="14" cm="1">
        <f t="array" ref="R76">INT(SUMPRODUCT(--ISNUMBER(SEARCH(race,'Martha McSally'!C76)))&gt;0)</f>
        <v>0</v>
      </c>
      <c r="S76" s="14" cm="1">
        <f t="array" ref="S76">INT(SUMPRODUCT(--ISNUMBER(SEARCH(immigration,C76)))&gt;0)</f>
        <v>0</v>
      </c>
      <c r="T76" s="14" cm="1">
        <f t="array" ref="T76">INT(SUMPRODUCT(--ISNUMBER(SEARCH(econineq,C76)))&gt;0)</f>
        <v>1</v>
      </c>
      <c r="U76" s="14" cm="1">
        <f t="array" ref="U76">INT(SUMPRODUCT(--ISNUMBER(SEARCH(climate,'Martha McSally'!C76)))&gt;0)</f>
        <v>0</v>
      </c>
      <c r="V76" s="14" cm="1">
        <f t="array" ref="V76">INT(SUMPRODUCT(--ISNUMBER(SEARCH(abortion,'Martha McSally'!C76)))&gt;0)</f>
        <v>0</v>
      </c>
      <c r="W76" s="14" cm="1">
        <f t="array" ref="W76">INT(SUMPRODUCT(--ISNUMBER(SEARCH(trump,'Martha McSally'!C76)))&gt;0)</f>
        <v>0</v>
      </c>
      <c r="X76" s="14" cm="1">
        <f t="array" ref="X76">INT(SUMPRODUCT(--ISNUMBER(SEARCH(voting,'Martha McSally'!C76)))&gt;0)</f>
        <v>0</v>
      </c>
      <c r="Y76" s="14" cm="1">
        <f t="array" ref="Y76">INT(SUMPRODUCT(--ISNUMBER(SEARCH(republicantrigger,'Martha McSally'!C76)))&gt;0)</f>
        <v>0</v>
      </c>
      <c r="Z76" s="23" cm="1">
        <f t="array" ref="Z76">INT(SUMPRODUCT(--ISNUMBER(SEARCH(bipartisan,'Martha McSally'!C76)))&gt;0)</f>
        <v>0</v>
      </c>
      <c r="AA76" s="23">
        <f t="shared" si="2"/>
        <v>0</v>
      </c>
      <c r="AB76" s="15"/>
      <c r="AC76" s="30">
        <v>0</v>
      </c>
      <c r="AD76" s="37">
        <v>0</v>
      </c>
    </row>
    <row r="77" spans="1:30" x14ac:dyDescent="0.25">
      <c r="A77" s="36">
        <v>76</v>
      </c>
      <c r="B77" s="14" t="s">
        <v>181</v>
      </c>
      <c r="C77" s="31" t="s">
        <v>182</v>
      </c>
      <c r="D77" s="17">
        <v>44110</v>
      </c>
      <c r="E77" s="14" t="s">
        <v>30</v>
      </c>
      <c r="F77" s="14">
        <v>130</v>
      </c>
      <c r="G77" s="14">
        <v>41</v>
      </c>
      <c r="H77" s="14">
        <v>1</v>
      </c>
      <c r="I77" s="14">
        <v>1</v>
      </c>
      <c r="J77" s="14" t="s">
        <v>31</v>
      </c>
      <c r="K77" s="14" cm="1">
        <f t="array" ref="K77">INT(SUMPRODUCT(--ISNUMBER(SEARCH(economy,'Martha McSally'!C77)))&gt;0)</f>
        <v>0</v>
      </c>
      <c r="L77" s="14" cm="1">
        <f t="array" ref="L77">INT(SUMPRODUCT(--ISNUMBER(SEARCH(healthcare,'Martha McSally'!C77)))&gt;0)</f>
        <v>1</v>
      </c>
      <c r="M77" s="14" cm="1">
        <f t="array" ref="M77">INT(SUMPRODUCT(--ISNUMBER(SEARCH(supreme,'Martha McSally'!C77)))&gt;0)</f>
        <v>0</v>
      </c>
      <c r="N77" s="14" cm="1">
        <f t="array" ref="N77">INT(SUMPRODUCT(--ISNUMBER(SEARCH(covid,'Martha McSally'!C77)))&gt;0)</f>
        <v>0</v>
      </c>
      <c r="O77" s="14" cm="1">
        <f t="array" ref="O77">INT(SUMPRODUCT(--ISNUMBER(SEARCH(violent,'Martha McSally'!C77)))&gt;0)</f>
        <v>0</v>
      </c>
      <c r="P77" s="14" cm="1">
        <f t="array" ref="P77">INT(SUMPRODUCT(--ISNUMBER(SEARCH(foreign,'Martha McSally'!C77)))&gt;0)</f>
        <v>0</v>
      </c>
      <c r="Q77" s="14" cm="1">
        <f t="array" ref="Q77">INT(SUMPRODUCT(--ISNUMBER(SEARCH(gun,'Martha McSally'!C77)))&gt;0)</f>
        <v>0</v>
      </c>
      <c r="R77" s="14" cm="1">
        <f t="array" ref="R77">INT(SUMPRODUCT(--ISNUMBER(SEARCH(race,'Martha McSally'!C77)))&gt;0)</f>
        <v>0</v>
      </c>
      <c r="S77" s="14" cm="1">
        <f t="array" ref="S77">INT(SUMPRODUCT(--ISNUMBER(SEARCH(immigration,C77)))&gt;0)</f>
        <v>0</v>
      </c>
      <c r="T77" s="14" cm="1">
        <f t="array" ref="T77">INT(SUMPRODUCT(--ISNUMBER(SEARCH(econineq,C77)))&gt;0)</f>
        <v>0</v>
      </c>
      <c r="U77" s="14" cm="1">
        <f t="array" ref="U77">INT(SUMPRODUCT(--ISNUMBER(SEARCH(climate,'Martha McSally'!C77)))&gt;0)</f>
        <v>0</v>
      </c>
      <c r="V77" s="14" cm="1">
        <f t="array" ref="V77">INT(SUMPRODUCT(--ISNUMBER(SEARCH(abortion,'Martha McSally'!C77)))&gt;0)</f>
        <v>0</v>
      </c>
      <c r="W77" s="14" cm="1">
        <f t="array" ref="W77">INT(SUMPRODUCT(--ISNUMBER(SEARCH(trump,'Martha McSally'!C77)))&gt;0)</f>
        <v>0</v>
      </c>
      <c r="X77" s="14" cm="1">
        <f t="array" ref="X77">INT(SUMPRODUCT(--ISNUMBER(SEARCH(voting,'Martha McSally'!C77)))&gt;0)</f>
        <v>0</v>
      </c>
      <c r="Y77" s="14" cm="1">
        <f t="array" ref="Y77">INT(SUMPRODUCT(--ISNUMBER(SEARCH(republicantrigger,'Martha McSally'!C77)))&gt;0)</f>
        <v>0</v>
      </c>
      <c r="Z77" s="23" cm="1">
        <f t="array" ref="Z77">INT(SUMPRODUCT(--ISNUMBER(SEARCH(bipartisan,'Martha McSally'!C77)))&gt;0)</f>
        <v>0</v>
      </c>
      <c r="AA77" s="23">
        <f t="shared" si="2"/>
        <v>0</v>
      </c>
      <c r="AB77" s="15"/>
      <c r="AC77" s="30">
        <v>1</v>
      </c>
      <c r="AD77" s="37">
        <v>0</v>
      </c>
    </row>
    <row r="78" spans="1:30" x14ac:dyDescent="0.25">
      <c r="A78" s="36">
        <v>77</v>
      </c>
      <c r="B78" s="14" t="s">
        <v>183</v>
      </c>
      <c r="C78" s="31" t="s">
        <v>184</v>
      </c>
      <c r="D78" s="17">
        <v>44110</v>
      </c>
      <c r="E78" s="14" t="s">
        <v>30</v>
      </c>
      <c r="F78" s="14">
        <v>205</v>
      </c>
      <c r="G78" s="14">
        <v>84</v>
      </c>
      <c r="H78" s="14">
        <v>1</v>
      </c>
      <c r="I78" s="14">
        <v>1</v>
      </c>
      <c r="J78" s="14" t="s">
        <v>31</v>
      </c>
      <c r="K78" s="14" cm="1">
        <f t="array" ref="K78">INT(SUMPRODUCT(--ISNUMBER(SEARCH(economy,'Martha McSally'!C78)))&gt;0)</f>
        <v>1</v>
      </c>
      <c r="L78" s="14" cm="1">
        <f t="array" ref="L78">INT(SUMPRODUCT(--ISNUMBER(SEARCH(healthcare,'Martha McSally'!C78)))&gt;0)</f>
        <v>0</v>
      </c>
      <c r="M78" s="14" cm="1">
        <f t="array" ref="M78">INT(SUMPRODUCT(--ISNUMBER(SEARCH(supreme,'Martha McSally'!C78)))&gt;0)</f>
        <v>0</v>
      </c>
      <c r="N78" s="14" cm="1">
        <f t="array" ref="N78">INT(SUMPRODUCT(--ISNUMBER(SEARCH(covid,'Martha McSally'!C78)))&gt;0)</f>
        <v>0</v>
      </c>
      <c r="O78" s="14" cm="1">
        <f t="array" ref="O78">INT(SUMPRODUCT(--ISNUMBER(SEARCH(violent,'Martha McSally'!C78)))&gt;0)</f>
        <v>0</v>
      </c>
      <c r="P78" s="14" cm="1">
        <f t="array" ref="P78">INT(SUMPRODUCT(--ISNUMBER(SEARCH(foreign,'Martha McSally'!C78)))&gt;0)</f>
        <v>0</v>
      </c>
      <c r="Q78" s="14" cm="1">
        <f t="array" ref="Q78">INT(SUMPRODUCT(--ISNUMBER(SEARCH(gun,'Martha McSally'!C78)))&gt;0)</f>
        <v>0</v>
      </c>
      <c r="R78" s="14" cm="1">
        <f t="array" ref="R78">INT(SUMPRODUCT(--ISNUMBER(SEARCH(race,'Martha McSally'!C78)))&gt;0)</f>
        <v>0</v>
      </c>
      <c r="S78" s="14" cm="1">
        <f t="array" ref="S78">INT(SUMPRODUCT(--ISNUMBER(SEARCH(immigration,C78)))&gt;0)</f>
        <v>0</v>
      </c>
      <c r="T78" s="14" cm="1">
        <f t="array" ref="T78">INT(SUMPRODUCT(--ISNUMBER(SEARCH(econineq,C78)))&gt;0)</f>
        <v>0</v>
      </c>
      <c r="U78" s="14" cm="1">
        <f t="array" ref="U78">INT(SUMPRODUCT(--ISNUMBER(SEARCH(climate,'Martha McSally'!C78)))&gt;0)</f>
        <v>0</v>
      </c>
      <c r="V78" s="14" cm="1">
        <f t="array" ref="V78">INT(SUMPRODUCT(--ISNUMBER(SEARCH(abortion,'Martha McSally'!C78)))&gt;0)</f>
        <v>0</v>
      </c>
      <c r="W78" s="14" cm="1">
        <f t="array" ref="W78">INT(SUMPRODUCT(--ISNUMBER(SEARCH(trump,'Martha McSally'!C78)))&gt;0)</f>
        <v>0</v>
      </c>
      <c r="X78" s="14" cm="1">
        <f t="array" ref="X78">INT(SUMPRODUCT(--ISNUMBER(SEARCH(voting,'Martha McSally'!C78)))&gt;0)</f>
        <v>0</v>
      </c>
      <c r="Y78" s="14" cm="1">
        <f t="array" ref="Y78">INT(SUMPRODUCT(--ISNUMBER(SEARCH(republicantrigger,'Martha McSally'!C78)))&gt;0)</f>
        <v>0</v>
      </c>
      <c r="Z78" s="23" cm="1">
        <f t="array" ref="Z78">INT(SUMPRODUCT(--ISNUMBER(SEARCH(bipartisan,'Martha McSally'!C78)))&gt;0)</f>
        <v>0</v>
      </c>
      <c r="AA78" s="23">
        <f t="shared" si="2"/>
        <v>0</v>
      </c>
      <c r="AB78" s="15"/>
      <c r="AC78" s="30">
        <v>0</v>
      </c>
      <c r="AD78" s="37">
        <v>0</v>
      </c>
    </row>
    <row r="79" spans="1:30" x14ac:dyDescent="0.25">
      <c r="A79" s="36">
        <v>78</v>
      </c>
      <c r="B79" s="14" t="s">
        <v>185</v>
      </c>
      <c r="C79" s="31" t="s">
        <v>186</v>
      </c>
      <c r="D79" s="17">
        <v>44110</v>
      </c>
      <c r="E79" s="14" t="s">
        <v>30</v>
      </c>
      <c r="F79" s="14">
        <v>206</v>
      </c>
      <c r="G79" s="14">
        <v>70</v>
      </c>
      <c r="H79" s="14">
        <v>1</v>
      </c>
      <c r="I79" s="14">
        <v>1</v>
      </c>
      <c r="J79" s="14" t="s">
        <v>31</v>
      </c>
      <c r="K79" s="14" cm="1">
        <f t="array" ref="K79">INT(SUMPRODUCT(--ISNUMBER(SEARCH(economy,'Martha McSally'!C79)))&gt;0)</f>
        <v>0</v>
      </c>
      <c r="L79" s="14" cm="1">
        <f t="array" ref="L79">INT(SUMPRODUCT(--ISNUMBER(SEARCH(healthcare,'Martha McSally'!C79)))&gt;0)</f>
        <v>0</v>
      </c>
      <c r="M79" s="14" cm="1">
        <f t="array" ref="M79">INT(SUMPRODUCT(--ISNUMBER(SEARCH(supreme,'Martha McSally'!C79)))&gt;0)</f>
        <v>0</v>
      </c>
      <c r="N79" s="14" cm="1">
        <f t="array" ref="N79">INT(SUMPRODUCT(--ISNUMBER(SEARCH(covid,'Martha McSally'!C79)))&gt;0)</f>
        <v>0</v>
      </c>
      <c r="O79" s="14" cm="1">
        <f t="array" ref="O79">INT(SUMPRODUCT(--ISNUMBER(SEARCH(violent,'Martha McSally'!C79)))&gt;0)</f>
        <v>0</v>
      </c>
      <c r="P79" s="14" cm="1">
        <f t="array" ref="P79">INT(SUMPRODUCT(--ISNUMBER(SEARCH(foreign,'Martha McSally'!C79)))&gt;0)</f>
        <v>0</v>
      </c>
      <c r="Q79" s="14" cm="1">
        <f t="array" ref="Q79">INT(SUMPRODUCT(--ISNUMBER(SEARCH(gun,'Martha McSally'!C79)))&gt;0)</f>
        <v>0</v>
      </c>
      <c r="R79" s="14" cm="1">
        <f t="array" ref="R79">INT(SUMPRODUCT(--ISNUMBER(SEARCH(race,'Martha McSally'!C79)))&gt;0)</f>
        <v>0</v>
      </c>
      <c r="S79" s="14" cm="1">
        <f t="array" ref="S79">INT(SUMPRODUCT(--ISNUMBER(SEARCH(immigration,C79)))&gt;0)</f>
        <v>0</v>
      </c>
      <c r="T79" s="14" cm="1">
        <f t="array" ref="T79">INT(SUMPRODUCT(--ISNUMBER(SEARCH(econineq,C79)))&gt;0)</f>
        <v>0</v>
      </c>
      <c r="U79" s="14" cm="1">
        <f t="array" ref="U79">INT(SUMPRODUCT(--ISNUMBER(SEARCH(climate,'Martha McSally'!C79)))&gt;0)</f>
        <v>1</v>
      </c>
      <c r="V79" s="14" cm="1">
        <f t="array" ref="V79">INT(SUMPRODUCT(--ISNUMBER(SEARCH(abortion,'Martha McSally'!C79)))&gt;0)</f>
        <v>0</v>
      </c>
      <c r="W79" s="14" cm="1">
        <f t="array" ref="W79">INT(SUMPRODUCT(--ISNUMBER(SEARCH(trump,'Martha McSally'!C79)))&gt;0)</f>
        <v>0</v>
      </c>
      <c r="X79" s="14" cm="1">
        <f t="array" ref="X79">INT(SUMPRODUCT(--ISNUMBER(SEARCH(voting,'Martha McSally'!C79)))&gt;0)</f>
        <v>0</v>
      </c>
      <c r="Y79" s="14" cm="1">
        <f t="array" ref="Y79">INT(SUMPRODUCT(--ISNUMBER(SEARCH(republicantrigger,'Martha McSally'!C79)))&gt;0)</f>
        <v>0</v>
      </c>
      <c r="Z79" s="23" cm="1">
        <f t="array" ref="Z79">INT(SUMPRODUCT(--ISNUMBER(SEARCH(bipartisan,'Martha McSally'!C79)))&gt;0)</f>
        <v>0</v>
      </c>
      <c r="AA79" s="23">
        <f t="shared" si="2"/>
        <v>0</v>
      </c>
      <c r="AB79" s="15"/>
      <c r="AC79" s="30">
        <v>0</v>
      </c>
      <c r="AD79" s="37">
        <v>0</v>
      </c>
    </row>
    <row r="80" spans="1:30" x14ac:dyDescent="0.25">
      <c r="A80" s="36">
        <v>79</v>
      </c>
      <c r="B80" s="14" t="s">
        <v>187</v>
      </c>
      <c r="C80" s="31" t="s">
        <v>188</v>
      </c>
      <c r="D80" s="17">
        <v>44110</v>
      </c>
      <c r="E80" s="14" t="s">
        <v>30</v>
      </c>
      <c r="F80" s="14">
        <v>364</v>
      </c>
      <c r="G80" s="14">
        <v>67</v>
      </c>
      <c r="H80" s="14">
        <v>1</v>
      </c>
      <c r="I80" s="14">
        <v>1</v>
      </c>
      <c r="J80" s="14" t="s">
        <v>31</v>
      </c>
      <c r="K80" s="14" cm="1">
        <f t="array" ref="K80">INT(SUMPRODUCT(--ISNUMBER(SEARCH(economy,'Martha McSally'!C80)))&gt;0)</f>
        <v>0</v>
      </c>
      <c r="L80" s="14" cm="1">
        <f t="array" ref="L80">INT(SUMPRODUCT(--ISNUMBER(SEARCH(healthcare,'Martha McSally'!C80)))&gt;0)</f>
        <v>0</v>
      </c>
      <c r="M80" s="14" cm="1">
        <f t="array" ref="M80">INT(SUMPRODUCT(--ISNUMBER(SEARCH(supreme,'Martha McSally'!C80)))&gt;0)</f>
        <v>0</v>
      </c>
      <c r="N80" s="14" cm="1">
        <f t="array" ref="N80">INT(SUMPRODUCT(--ISNUMBER(SEARCH(covid,'Martha McSally'!C80)))&gt;0)</f>
        <v>1</v>
      </c>
      <c r="O80" s="14" cm="1">
        <f t="array" ref="O80">INT(SUMPRODUCT(--ISNUMBER(SEARCH(violent,'Martha McSally'!C80)))&gt;0)</f>
        <v>0</v>
      </c>
      <c r="P80" s="14" cm="1">
        <f t="array" ref="P80">INT(SUMPRODUCT(--ISNUMBER(SEARCH(foreign,'Martha McSally'!C80)))&gt;0)</f>
        <v>0</v>
      </c>
      <c r="Q80" s="14" cm="1">
        <f t="array" ref="Q80">INT(SUMPRODUCT(--ISNUMBER(SEARCH(gun,'Martha McSally'!C80)))&gt;0)</f>
        <v>0</v>
      </c>
      <c r="R80" s="14" cm="1">
        <f t="array" ref="R80">INT(SUMPRODUCT(--ISNUMBER(SEARCH(race,'Martha McSally'!C80)))&gt;0)</f>
        <v>0</v>
      </c>
      <c r="S80" s="14" cm="1">
        <f t="array" ref="S80">INT(SUMPRODUCT(--ISNUMBER(SEARCH(immigration,C80)))&gt;0)</f>
        <v>0</v>
      </c>
      <c r="T80" s="14" cm="1">
        <f t="array" ref="T80">INT(SUMPRODUCT(--ISNUMBER(SEARCH(econineq,C80)))&gt;0)</f>
        <v>0</v>
      </c>
      <c r="U80" s="14" cm="1">
        <f t="array" ref="U80">INT(SUMPRODUCT(--ISNUMBER(SEARCH(climate,'Martha McSally'!C80)))&gt;0)</f>
        <v>0</v>
      </c>
      <c r="V80" s="14" cm="1">
        <f t="array" ref="V80">INT(SUMPRODUCT(--ISNUMBER(SEARCH(abortion,'Martha McSally'!C80)))&gt;0)</f>
        <v>0</v>
      </c>
      <c r="W80" s="14" cm="1">
        <f t="array" ref="W80">INT(SUMPRODUCT(--ISNUMBER(SEARCH(trump,'Martha McSally'!C80)))&gt;0)</f>
        <v>0</v>
      </c>
      <c r="X80" s="14" cm="1">
        <f t="array" ref="X80">INT(SUMPRODUCT(--ISNUMBER(SEARCH(voting,'Martha McSally'!C80)))&gt;0)</f>
        <v>0</v>
      </c>
      <c r="Y80" s="14" cm="1">
        <f t="array" ref="Y80">INT(SUMPRODUCT(--ISNUMBER(SEARCH(republicantrigger,'Martha McSally'!C80)))&gt;0)</f>
        <v>0</v>
      </c>
      <c r="Z80" s="23" cm="1">
        <f t="array" ref="Z80">INT(SUMPRODUCT(--ISNUMBER(SEARCH(bipartisan,'Martha McSally'!C80)))&gt;0)</f>
        <v>0</v>
      </c>
      <c r="AA80" s="23">
        <f t="shared" si="2"/>
        <v>0</v>
      </c>
      <c r="AB80" s="15"/>
      <c r="AC80" s="30">
        <v>0</v>
      </c>
      <c r="AD80" s="37">
        <v>0</v>
      </c>
    </row>
    <row r="81" spans="1:30" x14ac:dyDescent="0.25">
      <c r="A81" s="36">
        <v>80</v>
      </c>
      <c r="B81" s="14" t="s">
        <v>189</v>
      </c>
      <c r="C81" s="31" t="s">
        <v>190</v>
      </c>
      <c r="D81" s="17">
        <v>44109</v>
      </c>
      <c r="E81" s="14" t="s">
        <v>30</v>
      </c>
      <c r="F81" s="14">
        <v>366</v>
      </c>
      <c r="G81" s="14">
        <v>139</v>
      </c>
      <c r="H81" s="14">
        <v>1</v>
      </c>
      <c r="I81" s="14">
        <v>1</v>
      </c>
      <c r="J81" s="14" t="s">
        <v>31</v>
      </c>
      <c r="K81" s="14" cm="1">
        <f t="array" ref="K81">INT(SUMPRODUCT(--ISNUMBER(SEARCH(economy,'Martha McSally'!C81)))&gt;0)</f>
        <v>0</v>
      </c>
      <c r="L81" s="14" cm="1">
        <f t="array" ref="L81">INT(SUMPRODUCT(--ISNUMBER(SEARCH(healthcare,'Martha McSally'!C81)))&gt;0)</f>
        <v>1</v>
      </c>
      <c r="M81" s="14" cm="1">
        <f t="array" ref="M81">INT(SUMPRODUCT(--ISNUMBER(SEARCH(supreme,'Martha McSally'!C81)))&gt;0)</f>
        <v>0</v>
      </c>
      <c r="N81" s="14" cm="1">
        <f t="array" ref="N81">INT(SUMPRODUCT(--ISNUMBER(SEARCH(covid,'Martha McSally'!C81)))&gt;0)</f>
        <v>0</v>
      </c>
      <c r="O81" s="14" cm="1">
        <f t="array" ref="O81">INT(SUMPRODUCT(--ISNUMBER(SEARCH(violent,'Martha McSally'!C81)))&gt;0)</f>
        <v>0</v>
      </c>
      <c r="P81" s="14" cm="1">
        <f t="array" ref="P81">INT(SUMPRODUCT(--ISNUMBER(SEARCH(foreign,'Martha McSally'!C81)))&gt;0)</f>
        <v>0</v>
      </c>
      <c r="Q81" s="14" cm="1">
        <f t="array" ref="Q81">INT(SUMPRODUCT(--ISNUMBER(SEARCH(gun,'Martha McSally'!C81)))&gt;0)</f>
        <v>0</v>
      </c>
      <c r="R81" s="14" cm="1">
        <f t="array" ref="R81">INT(SUMPRODUCT(--ISNUMBER(SEARCH(race,'Martha McSally'!C81)))&gt;0)</f>
        <v>0</v>
      </c>
      <c r="S81" s="14" cm="1">
        <f t="array" ref="S81">INT(SUMPRODUCT(--ISNUMBER(SEARCH(immigration,C81)))&gt;0)</f>
        <v>0</v>
      </c>
      <c r="T81" s="14" cm="1">
        <f t="array" ref="T81">INT(SUMPRODUCT(--ISNUMBER(SEARCH(econineq,C81)))&gt;0)</f>
        <v>0</v>
      </c>
      <c r="U81" s="14" cm="1">
        <f t="array" ref="U81">INT(SUMPRODUCT(--ISNUMBER(SEARCH(climate,'Martha McSally'!C81)))&gt;0)</f>
        <v>1</v>
      </c>
      <c r="V81" s="14" cm="1">
        <f t="array" ref="V81">INT(SUMPRODUCT(--ISNUMBER(SEARCH(abortion,'Martha McSally'!C81)))&gt;0)</f>
        <v>0</v>
      </c>
      <c r="W81" s="14" cm="1">
        <f t="array" ref="W81">INT(SUMPRODUCT(--ISNUMBER(SEARCH(trump,'Martha McSally'!C81)))&gt;0)</f>
        <v>0</v>
      </c>
      <c r="X81" s="14" cm="1">
        <f t="array" ref="X81">INT(SUMPRODUCT(--ISNUMBER(SEARCH(voting,'Martha McSally'!C81)))&gt;0)</f>
        <v>0</v>
      </c>
      <c r="Y81" s="14" cm="1">
        <f t="array" ref="Y81">INT(SUMPRODUCT(--ISNUMBER(SEARCH(republicantrigger,'Martha McSally'!C81)))&gt;0)</f>
        <v>0</v>
      </c>
      <c r="Z81" s="23" cm="1">
        <f t="array" ref="Z81">INT(SUMPRODUCT(--ISNUMBER(SEARCH(bipartisan,'Martha McSally'!C81)))&gt;0)</f>
        <v>0</v>
      </c>
      <c r="AA81" s="23">
        <f t="shared" si="2"/>
        <v>0</v>
      </c>
      <c r="AB81" s="15"/>
      <c r="AC81" s="30">
        <v>0</v>
      </c>
      <c r="AD81" s="37">
        <v>0</v>
      </c>
    </row>
    <row r="82" spans="1:30" x14ac:dyDescent="0.25">
      <c r="A82" s="36">
        <v>81</v>
      </c>
      <c r="B82" s="14" t="s">
        <v>191</v>
      </c>
      <c r="C82" s="31" t="s">
        <v>192</v>
      </c>
      <c r="D82" s="17">
        <v>44109</v>
      </c>
      <c r="E82" s="14" t="s">
        <v>30</v>
      </c>
      <c r="F82" s="14">
        <v>124</v>
      </c>
      <c r="G82" s="14">
        <v>36</v>
      </c>
      <c r="H82" s="14">
        <v>1</v>
      </c>
      <c r="I82" s="14">
        <v>1</v>
      </c>
      <c r="J82" s="14" t="s">
        <v>31</v>
      </c>
      <c r="K82" s="14" cm="1">
        <f t="array" ref="K82">INT(SUMPRODUCT(--ISNUMBER(SEARCH(economy,'Martha McSally'!C82)))&gt;0)</f>
        <v>0</v>
      </c>
      <c r="L82" s="14" cm="1">
        <f t="array" ref="L82">INT(SUMPRODUCT(--ISNUMBER(SEARCH(healthcare,'Martha McSally'!C82)))&gt;0)</f>
        <v>0</v>
      </c>
      <c r="M82" s="14" cm="1">
        <f t="array" ref="M82">INT(SUMPRODUCT(--ISNUMBER(SEARCH(supreme,'Martha McSally'!C82)))&gt;0)</f>
        <v>0</v>
      </c>
      <c r="N82" s="14" cm="1">
        <f t="array" ref="N82">INT(SUMPRODUCT(--ISNUMBER(SEARCH(covid,'Martha McSally'!C82)))&gt;0)</f>
        <v>0</v>
      </c>
      <c r="O82" s="14" cm="1">
        <f t="array" ref="O82">INT(SUMPRODUCT(--ISNUMBER(SEARCH(violent,'Martha McSally'!C82)))&gt;0)</f>
        <v>0</v>
      </c>
      <c r="P82" s="14" cm="1">
        <f t="array" ref="P82">INT(SUMPRODUCT(--ISNUMBER(SEARCH(foreign,'Martha McSally'!C82)))&gt;0)</f>
        <v>0</v>
      </c>
      <c r="Q82" s="14" cm="1">
        <f t="array" ref="Q82">INT(SUMPRODUCT(--ISNUMBER(SEARCH(gun,'Martha McSally'!C82)))&gt;0)</f>
        <v>0</v>
      </c>
      <c r="R82" s="14" cm="1">
        <f t="array" ref="R82">INT(SUMPRODUCT(--ISNUMBER(SEARCH(race,'Martha McSally'!C82)))&gt;0)</f>
        <v>0</v>
      </c>
      <c r="S82" s="14" cm="1">
        <f t="array" ref="S82">INT(SUMPRODUCT(--ISNUMBER(SEARCH(immigration,C82)))&gt;0)</f>
        <v>0</v>
      </c>
      <c r="T82" s="14" cm="1">
        <f t="array" ref="T82">INT(SUMPRODUCT(--ISNUMBER(SEARCH(econineq,C82)))&gt;0)</f>
        <v>0</v>
      </c>
      <c r="U82" s="14" cm="1">
        <f t="array" ref="U82">INT(SUMPRODUCT(--ISNUMBER(SEARCH(climate,'Martha McSally'!C82)))&gt;0)</f>
        <v>0</v>
      </c>
      <c r="V82" s="14" cm="1">
        <f t="array" ref="V82">INT(SUMPRODUCT(--ISNUMBER(SEARCH(abortion,'Martha McSally'!C82)))&gt;0)</f>
        <v>0</v>
      </c>
      <c r="W82" s="14" cm="1">
        <f t="array" ref="W82">INT(SUMPRODUCT(--ISNUMBER(SEARCH(trump,'Martha McSally'!C82)))&gt;0)</f>
        <v>0</v>
      </c>
      <c r="X82" s="14" cm="1">
        <f t="array" ref="X82">INT(SUMPRODUCT(--ISNUMBER(SEARCH(voting,'Martha McSally'!C82)))&gt;0)</f>
        <v>0</v>
      </c>
      <c r="Y82" s="14" cm="1">
        <f t="array" ref="Y82">INT(SUMPRODUCT(--ISNUMBER(SEARCH(republicantrigger,'Martha McSally'!C82)))&gt;0)</f>
        <v>0</v>
      </c>
      <c r="Z82" s="23" cm="1">
        <f t="array" ref="Z82">INT(SUMPRODUCT(--ISNUMBER(SEARCH(bipartisan,'Martha McSally'!C82)))&gt;0)</f>
        <v>0</v>
      </c>
      <c r="AA82" s="23">
        <f t="shared" si="2"/>
        <v>1</v>
      </c>
      <c r="AB82" s="15"/>
      <c r="AC82" s="30">
        <v>1</v>
      </c>
      <c r="AD82" s="37">
        <v>0</v>
      </c>
    </row>
    <row r="83" spans="1:30" x14ac:dyDescent="0.25">
      <c r="A83" s="36">
        <v>82</v>
      </c>
      <c r="B83" s="14" t="s">
        <v>193</v>
      </c>
      <c r="C83" s="31" t="s">
        <v>194</v>
      </c>
      <c r="D83" s="17">
        <v>44108</v>
      </c>
      <c r="E83" s="14" t="s">
        <v>30</v>
      </c>
      <c r="F83" s="14">
        <v>158</v>
      </c>
      <c r="G83" s="14">
        <v>54</v>
      </c>
      <c r="H83" s="14">
        <v>1</v>
      </c>
      <c r="I83" s="14">
        <v>1</v>
      </c>
      <c r="J83" s="14" t="s">
        <v>31</v>
      </c>
      <c r="K83" s="14" cm="1">
        <f t="array" ref="K83">INT(SUMPRODUCT(--ISNUMBER(SEARCH(economy,'Martha McSally'!C83)))&gt;0)</f>
        <v>0</v>
      </c>
      <c r="L83" s="14" cm="1">
        <f t="array" ref="L83">INT(SUMPRODUCT(--ISNUMBER(SEARCH(healthcare,'Martha McSally'!C83)))&gt;0)</f>
        <v>0</v>
      </c>
      <c r="M83" s="14" cm="1">
        <f t="array" ref="M83">INT(SUMPRODUCT(--ISNUMBER(SEARCH(supreme,'Martha McSally'!C83)))&gt;0)</f>
        <v>0</v>
      </c>
      <c r="N83" s="14" cm="1">
        <f t="array" ref="N83">INT(SUMPRODUCT(--ISNUMBER(SEARCH(covid,'Martha McSally'!C83)))&gt;0)</f>
        <v>0</v>
      </c>
      <c r="O83" s="14" cm="1">
        <f t="array" ref="O83">INT(SUMPRODUCT(--ISNUMBER(SEARCH(violent,'Martha McSally'!C83)))&gt;0)</f>
        <v>1</v>
      </c>
      <c r="P83" s="14" cm="1">
        <f t="array" ref="P83">INT(SUMPRODUCT(--ISNUMBER(SEARCH(foreign,'Martha McSally'!C83)))&gt;0)</f>
        <v>0</v>
      </c>
      <c r="Q83" s="14" cm="1">
        <f t="array" ref="Q83">INT(SUMPRODUCT(--ISNUMBER(SEARCH(gun,'Martha McSally'!C83)))&gt;0)</f>
        <v>0</v>
      </c>
      <c r="R83" s="14" cm="1">
        <f t="array" ref="R83">INT(SUMPRODUCT(--ISNUMBER(SEARCH(race,'Martha McSally'!C83)))&gt;0)</f>
        <v>0</v>
      </c>
      <c r="S83" s="14" cm="1">
        <f t="array" ref="S83">INT(SUMPRODUCT(--ISNUMBER(SEARCH(immigration,C83)))&gt;0)</f>
        <v>0</v>
      </c>
      <c r="T83" s="14" cm="1">
        <f t="array" ref="T83">INT(SUMPRODUCT(--ISNUMBER(SEARCH(econineq,C83)))&gt;0)</f>
        <v>0</v>
      </c>
      <c r="U83" s="14" cm="1">
        <f t="array" ref="U83">INT(SUMPRODUCT(--ISNUMBER(SEARCH(climate,'Martha McSally'!C83)))&gt;0)</f>
        <v>0</v>
      </c>
      <c r="V83" s="14" cm="1">
        <f t="array" ref="V83">INT(SUMPRODUCT(--ISNUMBER(SEARCH(abortion,'Martha McSally'!C83)))&gt;0)</f>
        <v>0</v>
      </c>
      <c r="W83" s="14" cm="1">
        <f t="array" ref="W83">INT(SUMPRODUCT(--ISNUMBER(SEARCH(trump,'Martha McSally'!C83)))&gt;0)</f>
        <v>0</v>
      </c>
      <c r="X83" s="14" cm="1">
        <f t="array" ref="X83">INT(SUMPRODUCT(--ISNUMBER(SEARCH(voting,'Martha McSally'!C83)))&gt;0)</f>
        <v>0</v>
      </c>
      <c r="Y83" s="14" cm="1">
        <f t="array" ref="Y83">INT(SUMPRODUCT(--ISNUMBER(SEARCH(republicantrigger,'Martha McSally'!C83)))&gt;0)</f>
        <v>1</v>
      </c>
      <c r="Z83" s="23" cm="1">
        <f t="array" ref="Z83">INT(SUMPRODUCT(--ISNUMBER(SEARCH(bipartisan,'Martha McSally'!C83)))&gt;0)</f>
        <v>0</v>
      </c>
      <c r="AA83" s="23">
        <f t="shared" si="2"/>
        <v>0</v>
      </c>
      <c r="AB83" s="15"/>
      <c r="AC83" s="30">
        <v>1</v>
      </c>
      <c r="AD83" s="37">
        <v>0</v>
      </c>
    </row>
    <row r="84" spans="1:30" x14ac:dyDescent="0.25">
      <c r="A84" s="36">
        <v>83</v>
      </c>
      <c r="B84" s="14" t="s">
        <v>195</v>
      </c>
      <c r="C84" s="31" t="s">
        <v>196</v>
      </c>
      <c r="D84" s="17">
        <v>44108</v>
      </c>
      <c r="E84" s="14" t="s">
        <v>30</v>
      </c>
      <c r="F84" s="14">
        <v>827</v>
      </c>
      <c r="G84" s="14">
        <v>293</v>
      </c>
      <c r="H84" s="14">
        <v>1</v>
      </c>
      <c r="I84" s="14">
        <v>1</v>
      </c>
      <c r="J84" s="14" t="s">
        <v>31</v>
      </c>
      <c r="K84" s="14" cm="1">
        <f t="array" ref="K84">INT(SUMPRODUCT(--ISNUMBER(SEARCH(economy,'Martha McSally'!C84)))&gt;0)</f>
        <v>0</v>
      </c>
      <c r="L84" s="14" cm="1">
        <f t="array" ref="L84">INT(SUMPRODUCT(--ISNUMBER(SEARCH(healthcare,'Martha McSally'!C84)))&gt;0)</f>
        <v>0</v>
      </c>
      <c r="M84" s="14" cm="1">
        <f t="array" ref="M84">INT(SUMPRODUCT(--ISNUMBER(SEARCH(supreme,'Martha McSally'!C84)))&gt;0)</f>
        <v>0</v>
      </c>
      <c r="N84" s="14" cm="1">
        <f t="array" ref="N84">INT(SUMPRODUCT(--ISNUMBER(SEARCH(covid,'Martha McSally'!C84)))&gt;0)</f>
        <v>0</v>
      </c>
      <c r="O84" s="14" cm="1">
        <f t="array" ref="O84">INT(SUMPRODUCT(--ISNUMBER(SEARCH(violent,'Martha McSally'!C84)))&gt;0)</f>
        <v>0</v>
      </c>
      <c r="P84" s="14" cm="1">
        <f t="array" ref="P84">INT(SUMPRODUCT(--ISNUMBER(SEARCH(foreign,'Martha McSally'!C84)))&gt;0)</f>
        <v>0</v>
      </c>
      <c r="Q84" s="14" cm="1">
        <f t="array" ref="Q84">INT(SUMPRODUCT(--ISNUMBER(SEARCH(gun,'Martha McSally'!C84)))&gt;0)</f>
        <v>0</v>
      </c>
      <c r="R84" s="14" cm="1">
        <f t="array" ref="R84">INT(SUMPRODUCT(--ISNUMBER(SEARCH(race,'Martha McSally'!C84)))&gt;0)</f>
        <v>0</v>
      </c>
      <c r="S84" s="14" cm="1">
        <f t="array" ref="S84">INT(SUMPRODUCT(--ISNUMBER(SEARCH(immigration,C84)))&gt;0)</f>
        <v>0</v>
      </c>
      <c r="T84" s="14" cm="1">
        <f t="array" ref="T84">INT(SUMPRODUCT(--ISNUMBER(SEARCH(econineq,C84)))&gt;0)</f>
        <v>0</v>
      </c>
      <c r="U84" s="14" cm="1">
        <f t="array" ref="U84">INT(SUMPRODUCT(--ISNUMBER(SEARCH(climate,'Martha McSally'!C84)))&gt;0)</f>
        <v>0</v>
      </c>
      <c r="V84" s="14" cm="1">
        <f t="array" ref="V84">INT(SUMPRODUCT(--ISNUMBER(SEARCH(abortion,'Martha McSally'!C84)))&gt;0)</f>
        <v>0</v>
      </c>
      <c r="W84" s="14" cm="1">
        <f t="array" ref="W84">INT(SUMPRODUCT(--ISNUMBER(SEARCH(trump,'Martha McSally'!C84)))&gt;0)</f>
        <v>0</v>
      </c>
      <c r="X84" s="14" cm="1">
        <f t="array" ref="X84">INT(SUMPRODUCT(--ISNUMBER(SEARCH(voting,'Martha McSally'!C84)))&gt;0)</f>
        <v>0</v>
      </c>
      <c r="Y84" s="14" cm="1">
        <f t="array" ref="Y84">INT(SUMPRODUCT(--ISNUMBER(SEARCH(republicantrigger,'Martha McSally'!C84)))&gt;0)</f>
        <v>0</v>
      </c>
      <c r="Z84" s="23" cm="1">
        <f t="array" ref="Z84">INT(SUMPRODUCT(--ISNUMBER(SEARCH(bipartisan,'Martha McSally'!C84)))&gt;0)</f>
        <v>0</v>
      </c>
      <c r="AA84" s="23">
        <f t="shared" si="2"/>
        <v>1</v>
      </c>
      <c r="AB84" s="15"/>
      <c r="AC84" s="30">
        <v>0</v>
      </c>
      <c r="AD84" s="37">
        <v>0</v>
      </c>
    </row>
    <row r="85" spans="1:30" x14ac:dyDescent="0.25">
      <c r="A85" s="36">
        <v>84</v>
      </c>
      <c r="B85" s="14" t="s">
        <v>197</v>
      </c>
      <c r="C85" s="31" t="s">
        <v>198</v>
      </c>
      <c r="D85" s="17">
        <v>44107</v>
      </c>
      <c r="E85" s="14" t="s">
        <v>30</v>
      </c>
      <c r="F85" s="14">
        <v>154</v>
      </c>
      <c r="G85" s="14">
        <v>53</v>
      </c>
      <c r="H85" s="14">
        <v>1</v>
      </c>
      <c r="I85" s="14">
        <v>1</v>
      </c>
      <c r="J85" s="14" t="s">
        <v>31</v>
      </c>
      <c r="K85" s="14" cm="1">
        <f t="array" ref="K85">INT(SUMPRODUCT(--ISNUMBER(SEARCH(economy,'Martha McSally'!C85)))&gt;0)</f>
        <v>0</v>
      </c>
      <c r="L85" s="14" cm="1">
        <f t="array" ref="L85">INT(SUMPRODUCT(--ISNUMBER(SEARCH(healthcare,'Martha McSally'!C85)))&gt;0)</f>
        <v>0</v>
      </c>
      <c r="M85" s="14" cm="1">
        <f t="array" ref="M85">INT(SUMPRODUCT(--ISNUMBER(SEARCH(supreme,'Martha McSally'!C85)))&gt;0)</f>
        <v>0</v>
      </c>
      <c r="N85" s="14" cm="1">
        <f t="array" ref="N85">INT(SUMPRODUCT(--ISNUMBER(SEARCH(covid,'Martha McSally'!C85)))&gt;0)</f>
        <v>0</v>
      </c>
      <c r="O85" s="14" cm="1">
        <f t="array" ref="O85">INT(SUMPRODUCT(--ISNUMBER(SEARCH(violent,'Martha McSally'!C85)))&gt;0)</f>
        <v>0</v>
      </c>
      <c r="P85" s="14" cm="1">
        <f t="array" ref="P85">INT(SUMPRODUCT(--ISNUMBER(SEARCH(foreign,'Martha McSally'!C85)))&gt;0)</f>
        <v>0</v>
      </c>
      <c r="Q85" s="14" cm="1">
        <f t="array" ref="Q85">INT(SUMPRODUCT(--ISNUMBER(SEARCH(gun,'Martha McSally'!C85)))&gt;0)</f>
        <v>0</v>
      </c>
      <c r="R85" s="14" cm="1">
        <f t="array" ref="R85">INT(SUMPRODUCT(--ISNUMBER(SEARCH(race,'Martha McSally'!C85)))&gt;0)</f>
        <v>0</v>
      </c>
      <c r="S85" s="14" cm="1">
        <f t="array" ref="S85">INT(SUMPRODUCT(--ISNUMBER(SEARCH(immigration,C85)))&gt;0)</f>
        <v>0</v>
      </c>
      <c r="T85" s="14" cm="1">
        <f t="array" ref="T85">INT(SUMPRODUCT(--ISNUMBER(SEARCH(econineq,C85)))&gt;0)</f>
        <v>0</v>
      </c>
      <c r="U85" s="14" cm="1">
        <f t="array" ref="U85">INT(SUMPRODUCT(--ISNUMBER(SEARCH(climate,'Martha McSally'!C85)))&gt;0)</f>
        <v>0</v>
      </c>
      <c r="V85" s="14" cm="1">
        <f t="array" ref="V85">INT(SUMPRODUCT(--ISNUMBER(SEARCH(abortion,'Martha McSally'!C85)))&gt;0)</f>
        <v>0</v>
      </c>
      <c r="W85" s="14" cm="1">
        <f t="array" ref="W85">INT(SUMPRODUCT(--ISNUMBER(SEARCH(trump,'Martha McSally'!C85)))&gt;0)</f>
        <v>0</v>
      </c>
      <c r="X85" s="14" cm="1">
        <f t="array" ref="X85">INT(SUMPRODUCT(--ISNUMBER(SEARCH(voting,'Martha McSally'!C85)))&gt;0)</f>
        <v>0</v>
      </c>
      <c r="Y85" s="14" cm="1">
        <f t="array" ref="Y85">INT(SUMPRODUCT(--ISNUMBER(SEARCH(republicantrigger,'Martha McSally'!C85)))&gt;0)</f>
        <v>0</v>
      </c>
      <c r="Z85" s="23" cm="1">
        <f t="array" ref="Z85">INT(SUMPRODUCT(--ISNUMBER(SEARCH(bipartisan,'Martha McSally'!C85)))&gt;0)</f>
        <v>0</v>
      </c>
      <c r="AA85" s="23">
        <f t="shared" si="2"/>
        <v>1</v>
      </c>
      <c r="AB85" s="15"/>
      <c r="AC85" s="30">
        <v>0</v>
      </c>
      <c r="AD85" s="37">
        <v>0</v>
      </c>
    </row>
    <row r="86" spans="1:30" x14ac:dyDescent="0.25">
      <c r="A86" s="38">
        <v>85</v>
      </c>
      <c r="B86" s="39" t="s">
        <v>199</v>
      </c>
      <c r="C86" s="40" t="s">
        <v>200</v>
      </c>
      <c r="D86" s="41">
        <v>44107</v>
      </c>
      <c r="E86" s="39" t="s">
        <v>30</v>
      </c>
      <c r="F86" s="39">
        <v>366</v>
      </c>
      <c r="G86" s="39">
        <v>133</v>
      </c>
      <c r="H86" s="39">
        <v>1</v>
      </c>
      <c r="I86" s="39">
        <v>1</v>
      </c>
      <c r="J86" s="39" t="s">
        <v>31</v>
      </c>
      <c r="K86" s="39" cm="1">
        <f t="array" ref="K86">INT(SUMPRODUCT(--ISNUMBER(SEARCH(economy,'Martha McSally'!C86)))&gt;0)</f>
        <v>0</v>
      </c>
      <c r="L86" s="39" cm="1">
        <f t="array" ref="L86">INT(SUMPRODUCT(--ISNUMBER(SEARCH(healthcare,'Martha McSally'!C86)))&gt;0)</f>
        <v>0</v>
      </c>
      <c r="M86" s="39" cm="1">
        <f t="array" ref="M86">INT(SUMPRODUCT(--ISNUMBER(SEARCH(supreme,'Martha McSally'!C86)))&gt;0)</f>
        <v>0</v>
      </c>
      <c r="N86" s="39" cm="1">
        <f t="array" ref="N86">INT(SUMPRODUCT(--ISNUMBER(SEARCH(covid,'Martha McSally'!C86)))&gt;0)</f>
        <v>0</v>
      </c>
      <c r="O86" s="39" cm="1">
        <f t="array" ref="O86">INT(SUMPRODUCT(--ISNUMBER(SEARCH(violent,'Martha McSally'!C86)))&gt;0)</f>
        <v>0</v>
      </c>
      <c r="P86" s="39" cm="1">
        <f t="array" ref="P86">INT(SUMPRODUCT(--ISNUMBER(SEARCH(foreign,'Martha McSally'!C86)))&gt;0)</f>
        <v>0</v>
      </c>
      <c r="Q86" s="39" cm="1">
        <f t="array" ref="Q86">INT(SUMPRODUCT(--ISNUMBER(SEARCH(gun,'Martha McSally'!C86)))&gt;0)</f>
        <v>0</v>
      </c>
      <c r="R86" s="39" cm="1">
        <f t="array" ref="R86">INT(SUMPRODUCT(--ISNUMBER(SEARCH(race,'Martha McSally'!C86)))&gt;0)</f>
        <v>0</v>
      </c>
      <c r="S86" s="39" cm="1">
        <f t="array" ref="S86">INT(SUMPRODUCT(--ISNUMBER(SEARCH(immigration,C86)))&gt;0)</f>
        <v>0</v>
      </c>
      <c r="T86" s="39" cm="1">
        <f t="array" ref="T86">INT(SUMPRODUCT(--ISNUMBER(SEARCH(econineq,C86)))&gt;0)</f>
        <v>0</v>
      </c>
      <c r="U86" s="39" cm="1">
        <f t="array" ref="U86">INT(SUMPRODUCT(--ISNUMBER(SEARCH(climate,'Martha McSally'!C86)))&gt;0)</f>
        <v>0</v>
      </c>
      <c r="V86" s="39" cm="1">
        <f t="array" ref="V86">INT(SUMPRODUCT(--ISNUMBER(SEARCH(abortion,'Martha McSally'!C86)))&gt;0)</f>
        <v>0</v>
      </c>
      <c r="W86" s="39" cm="1">
        <f t="array" ref="W86">INT(SUMPRODUCT(--ISNUMBER(SEARCH(trump,'Martha McSally'!C86)))&gt;0)</f>
        <v>0</v>
      </c>
      <c r="X86" s="39" cm="1">
        <f t="array" ref="X86">INT(SUMPRODUCT(--ISNUMBER(SEARCH(voting,'Martha McSally'!C86)))&gt;0)</f>
        <v>0</v>
      </c>
      <c r="Y86" s="39" cm="1">
        <f t="array" ref="Y86">INT(SUMPRODUCT(--ISNUMBER(SEARCH(republicantrigger,'Martha McSally'!C86)))&gt;0)</f>
        <v>1</v>
      </c>
      <c r="Z86" s="42" cm="1">
        <f t="array" ref="Z86">INT(SUMPRODUCT(--ISNUMBER(SEARCH(bipartisan,'Martha McSally'!C86)))&gt;0)</f>
        <v>0</v>
      </c>
      <c r="AA86" s="42">
        <f t="shared" si="2"/>
        <v>0</v>
      </c>
      <c r="AB86" s="43"/>
      <c r="AC86" s="44">
        <v>0</v>
      </c>
      <c r="AD86" s="45">
        <v>0</v>
      </c>
    </row>
    <row r="87" spans="1:30" x14ac:dyDescent="0.25">
      <c r="K87" s="21">
        <f t="shared" ref="K87:AC87" si="3">SUM(K2:K86)</f>
        <v>17</v>
      </c>
      <c r="L87" s="21">
        <f t="shared" si="3"/>
        <v>10</v>
      </c>
      <c r="M87" s="21">
        <f t="shared" si="3"/>
        <v>19</v>
      </c>
      <c r="N87" s="21">
        <f t="shared" si="3"/>
        <v>6</v>
      </c>
      <c r="O87" s="21">
        <f t="shared" si="3"/>
        <v>1</v>
      </c>
      <c r="P87" s="21">
        <f t="shared" si="3"/>
        <v>6</v>
      </c>
      <c r="Q87" s="21">
        <f t="shared" si="3"/>
        <v>1</v>
      </c>
      <c r="R87" s="21">
        <f t="shared" si="3"/>
        <v>0</v>
      </c>
      <c r="S87" s="21">
        <f t="shared" si="3"/>
        <v>1</v>
      </c>
      <c r="T87" s="21">
        <f t="shared" si="3"/>
        <v>4</v>
      </c>
      <c r="U87" s="21">
        <f t="shared" si="3"/>
        <v>5</v>
      </c>
      <c r="V87" s="21">
        <f t="shared" si="3"/>
        <v>0</v>
      </c>
      <c r="W87" s="21">
        <f t="shared" si="3"/>
        <v>4</v>
      </c>
      <c r="X87" s="21">
        <f t="shared" si="3"/>
        <v>9</v>
      </c>
      <c r="Y87" s="21">
        <f t="shared" si="3"/>
        <v>7</v>
      </c>
      <c r="Z87" s="21">
        <f t="shared" si="3"/>
        <v>5</v>
      </c>
      <c r="AA87" s="21">
        <f t="shared" si="3"/>
        <v>22</v>
      </c>
      <c r="AB87" s="21">
        <f t="shared" si="3"/>
        <v>0</v>
      </c>
      <c r="AC87" s="22">
        <f t="shared" si="3"/>
        <v>22</v>
      </c>
      <c r="AD87" s="22">
        <f t="shared" ref="AD87" si="4">SUM(AD2:AD86)</f>
        <v>2</v>
      </c>
    </row>
    <row r="88" spans="1:30" x14ac:dyDescent="0.25">
      <c r="C88"/>
    </row>
    <row r="89" spans="1:30" x14ac:dyDescent="0.25">
      <c r="C89"/>
    </row>
    <row r="90" spans="1:30" x14ac:dyDescent="0.25">
      <c r="C90"/>
    </row>
    <row r="91" spans="1:30" x14ac:dyDescent="0.25">
      <c r="C91"/>
    </row>
    <row r="92" spans="1:30" x14ac:dyDescent="0.25">
      <c r="C92"/>
    </row>
    <row r="93" spans="1:30" x14ac:dyDescent="0.25">
      <c r="C93"/>
    </row>
    <row r="94" spans="1:30" x14ac:dyDescent="0.25">
      <c r="C94"/>
    </row>
    <row r="95" spans="1:30" x14ac:dyDescent="0.25">
      <c r="C95"/>
    </row>
  </sheetData>
  <conditionalFormatting sqref="J2:J86">
    <cfRule type="cellIs" dxfId="23" priority="1" operator="equal">
      <formula>"R"</formula>
    </cfRule>
  </conditionalFormatting>
  <hyperlinks>
    <hyperlink ref="B2" r:id="rId1" xr:uid="{C663BA48-8528-4DE1-8B06-6106989A5B98}"/>
    <hyperlink ref="B3" r:id="rId2" xr:uid="{E0C1D7E1-0B7A-477B-8473-E54CD0F3D4E2}"/>
    <hyperlink ref="B4" r:id="rId3" xr:uid="{5FCD8494-1A41-4314-AD4A-E3DAD7207215}"/>
    <hyperlink ref="B5" r:id="rId4" xr:uid="{F6EE7338-CF0E-4080-916C-0C3754575AE8}"/>
    <hyperlink ref="B6" r:id="rId5" xr:uid="{B432BF63-9FE2-4769-9A7C-FC4AF34FBB0A}"/>
    <hyperlink ref="B7" r:id="rId6" xr:uid="{79FE0923-D23D-4333-985D-879D658ECEA3}"/>
    <hyperlink ref="B8" r:id="rId7" xr:uid="{B34153B3-394B-4681-85E7-420AD4C59213}"/>
    <hyperlink ref="B9" r:id="rId8" xr:uid="{244D4D9F-CC8B-4A15-B4FC-A3C3C794D3ED}"/>
    <hyperlink ref="B10" r:id="rId9" xr:uid="{0DF18D33-93D4-47C3-8772-27F9B4642C55}"/>
    <hyperlink ref="B11" r:id="rId10" xr:uid="{DC9342BE-0DEB-4264-A83D-372138420EDC}"/>
    <hyperlink ref="B12" r:id="rId11" xr:uid="{459FB654-767A-48A6-A814-10761A60AEA1}"/>
    <hyperlink ref="B13" r:id="rId12" xr:uid="{9A7F698E-9B00-4E40-84F7-6E9F1D5E5E13}"/>
    <hyperlink ref="B14" r:id="rId13" xr:uid="{45ACAEB8-4E91-4B7F-822F-326438101CFF}"/>
    <hyperlink ref="B15" r:id="rId14" xr:uid="{0CCF9F94-56E5-4A08-ABAF-E6B4B691A2B8}"/>
    <hyperlink ref="B16" r:id="rId15" xr:uid="{E8EF156C-A658-493C-9623-D18857A4CD71}"/>
    <hyperlink ref="B17" r:id="rId16" xr:uid="{9D3978D4-4B36-481E-BD5A-25108F7866B8}"/>
    <hyperlink ref="B18" r:id="rId17" xr:uid="{FC229A6C-D918-4602-9355-62295BF3EBA2}"/>
    <hyperlink ref="B19" r:id="rId18" xr:uid="{DBF31BF0-EE46-4393-B1C9-D46EA39CA3A8}"/>
    <hyperlink ref="B20" r:id="rId19" xr:uid="{C92624C6-03FA-4CD8-960F-3F1CF6A6AC41}"/>
    <hyperlink ref="B21" r:id="rId20" xr:uid="{A0D1AC51-F6AF-4807-9CFB-D831A7C4FB88}"/>
    <hyperlink ref="B22" r:id="rId21" xr:uid="{2F9C4285-C5B4-4AC3-A905-976389285B53}"/>
    <hyperlink ref="B23" r:id="rId22" xr:uid="{D92A642C-CD7A-43EB-A903-19ACB9CA68AE}"/>
    <hyperlink ref="B24" r:id="rId23" xr:uid="{CDAC9293-D205-49B2-82C0-81D8066B6AAD}"/>
    <hyperlink ref="B25" r:id="rId24" xr:uid="{00FD544C-19F3-4930-9666-B29BEE1AEC33}"/>
    <hyperlink ref="B26" r:id="rId25" xr:uid="{F3C0B8FA-D136-489C-A222-0F1F0553BEDF}"/>
    <hyperlink ref="B27" r:id="rId26" xr:uid="{27E2857E-4DC8-4946-9011-1EAA12E2E882}"/>
    <hyperlink ref="B28" r:id="rId27" xr:uid="{0A359433-C09A-4197-850D-76EB32EE9D9E}"/>
    <hyperlink ref="B29" r:id="rId28" xr:uid="{B40E8FE9-3195-4EC9-9FE5-EDA3859AF1CB}"/>
    <hyperlink ref="B30" r:id="rId29" xr:uid="{83C4869F-1AFF-49C4-9C7C-7C88A5102A71}"/>
    <hyperlink ref="B31" r:id="rId30" xr:uid="{9D27A98E-8C41-4E82-9108-64E52933BDF3}"/>
    <hyperlink ref="B32" r:id="rId31" xr:uid="{74C5857A-9E38-4846-870B-491D667749ED}"/>
    <hyperlink ref="B33" r:id="rId32" xr:uid="{9901DC26-311E-4709-8408-2D750F8C6C21}"/>
    <hyperlink ref="B34" r:id="rId33" xr:uid="{3C486C46-9515-45D6-9F6E-FC0A536925E4}"/>
    <hyperlink ref="B35" r:id="rId34" xr:uid="{742BB3C9-3D34-4AB0-9F76-93364DA75A82}"/>
    <hyperlink ref="B36" r:id="rId35" xr:uid="{6D739CBE-7F65-4562-82EB-9025D1C0B9C5}"/>
    <hyperlink ref="B37" r:id="rId36" xr:uid="{A693ACB5-FDC6-4AA8-A2D8-29183C6EFE93}"/>
    <hyperlink ref="B38" r:id="rId37" xr:uid="{A2CBDDEB-441C-4037-916C-536DBAC624C0}"/>
    <hyperlink ref="B39" r:id="rId38" xr:uid="{19499E6C-D69A-45E4-83F4-2F2BC9E0E84A}"/>
    <hyperlink ref="B40" r:id="rId39" xr:uid="{0C181ED5-20F7-472B-827E-8F17C699131D}"/>
    <hyperlink ref="B41" r:id="rId40" xr:uid="{4ABF746A-11D8-4E41-8E2D-08AFAADCD4DB}"/>
    <hyperlink ref="B42" r:id="rId41" xr:uid="{E3DC1991-C3E3-46E7-95B9-D2F20F315D00}"/>
    <hyperlink ref="B43" r:id="rId42" xr:uid="{5DB43B97-F002-4D2D-B8EE-562616C4EB32}"/>
    <hyperlink ref="B44" r:id="rId43" xr:uid="{D52D7D87-DE7D-48A8-97A5-2C4E9AF39817}"/>
    <hyperlink ref="B45" r:id="rId44" xr:uid="{E72F11F1-BE77-412D-B205-E8353E1D97FD}"/>
    <hyperlink ref="B46" r:id="rId45" xr:uid="{76A4D841-2F3D-4EA4-B542-6609DA1EA49C}"/>
    <hyperlink ref="B47" r:id="rId46" xr:uid="{FF3746A6-FE9D-4320-A29B-3390728ACBD8}"/>
    <hyperlink ref="B48" r:id="rId47" xr:uid="{48E1CF50-1B35-43E1-8160-65725C35FD71}"/>
    <hyperlink ref="B49" r:id="rId48" xr:uid="{A5DCD8E8-E6D3-4CC5-AB8F-7D6CAC4BC64C}"/>
    <hyperlink ref="B50" r:id="rId49" xr:uid="{9B842CB3-E28F-438B-9B60-F1F15394D1B8}"/>
    <hyperlink ref="B51" r:id="rId50" xr:uid="{B22C2F86-34AA-498E-89ED-E62D0C80DC09}"/>
    <hyperlink ref="B52" r:id="rId51" xr:uid="{B72B5724-4E72-41B3-B027-46611148C39B}"/>
    <hyperlink ref="B53" r:id="rId52" xr:uid="{5D28DA23-5905-4CB7-9156-04DC0059BE25}"/>
    <hyperlink ref="B54" r:id="rId53" xr:uid="{7B41A3B4-D1CD-4A1E-8053-BD15D9E62BED}"/>
    <hyperlink ref="B55" r:id="rId54" xr:uid="{56670F59-0689-44E2-A8D4-A9FEC4838761}"/>
    <hyperlink ref="B56" r:id="rId55" xr:uid="{0B1FA477-91C3-4D71-B043-764DFE0F5926}"/>
    <hyperlink ref="B57" r:id="rId56" xr:uid="{6882070C-B81B-4521-A146-51D554248976}"/>
    <hyperlink ref="B58" r:id="rId57" xr:uid="{B84085DB-1320-4469-80D7-824E86242533}"/>
    <hyperlink ref="B59" r:id="rId58" xr:uid="{3E7986D2-15DB-4787-9F59-8EA96C62E915}"/>
    <hyperlink ref="B60" r:id="rId59" xr:uid="{CD3CA6EE-2D66-4643-B534-812F94D616D3}"/>
    <hyperlink ref="B61" r:id="rId60" xr:uid="{8A743637-1AF7-41E4-A6F4-391A092E7658}"/>
    <hyperlink ref="B62" r:id="rId61" xr:uid="{516E078E-A5A2-4C50-8CEF-D757B2C49665}"/>
    <hyperlink ref="B63" r:id="rId62" xr:uid="{4452860F-1C53-4203-A566-7DE4778D5775}"/>
    <hyperlink ref="B64" r:id="rId63" xr:uid="{0B0FD496-7555-4FB8-A40D-18D6DB139DC9}"/>
    <hyperlink ref="B65" r:id="rId64" xr:uid="{F0AE76E4-EFDD-4EB7-8C31-91063BB9E39E}"/>
    <hyperlink ref="B66" r:id="rId65" xr:uid="{E69FF417-5346-497F-8FBB-CB5E5393D581}"/>
    <hyperlink ref="B67" r:id="rId66" xr:uid="{816D4738-2444-4EF7-B612-B0E38BC6F1EE}"/>
    <hyperlink ref="B68" r:id="rId67" xr:uid="{46CB93AE-DB74-4F7E-BC7D-C27A30862D72}"/>
    <hyperlink ref="B69" r:id="rId68" xr:uid="{43A6F7FF-3043-492B-8B50-57E45B8600C7}"/>
    <hyperlink ref="B70" r:id="rId69" xr:uid="{DD91B47F-DAEF-42B2-9761-FCD6AEE932AC}"/>
    <hyperlink ref="B71" r:id="rId70" xr:uid="{1923A56B-04E4-4BC5-A5E6-F498E823849C}"/>
    <hyperlink ref="B72" r:id="rId71" xr:uid="{3C044232-C0DD-4518-A118-A73B5705B1C7}"/>
    <hyperlink ref="B73" r:id="rId72" xr:uid="{3B16C1B6-8A3D-4542-8F65-FB05F3E9FAB6}"/>
    <hyperlink ref="B74" r:id="rId73" xr:uid="{3E5ADF8C-37FC-42E0-8A53-CD6263A481D5}"/>
    <hyperlink ref="B75" r:id="rId74" xr:uid="{18330136-6CDF-4446-ACE9-09A85388D859}"/>
    <hyperlink ref="B76" r:id="rId75" xr:uid="{22DB3421-3FB9-44AD-9C07-D18BDDBD0CA6}"/>
    <hyperlink ref="B77" r:id="rId76" xr:uid="{BE3745E8-702A-48CE-800E-EF35169A892F}"/>
    <hyperlink ref="B78" r:id="rId77" xr:uid="{8531952F-AD9F-447A-9AC4-57883B270F91}"/>
    <hyperlink ref="B79" r:id="rId78" xr:uid="{5CE18BEA-49BC-423E-99E5-B7555779E121}"/>
    <hyperlink ref="B80" r:id="rId79" xr:uid="{5BD373D7-6325-42B3-95FD-408C7033CE3F}"/>
    <hyperlink ref="B81" r:id="rId80" xr:uid="{250AA826-D4E6-4667-A744-19657CB41470}"/>
    <hyperlink ref="B82" r:id="rId81" xr:uid="{9F13F656-6EB5-4B01-A766-AC543844E6B8}"/>
    <hyperlink ref="B83" r:id="rId82" xr:uid="{96705E2F-CEC5-4E96-B98A-188E37FA4777}"/>
    <hyperlink ref="B84" r:id="rId83" xr:uid="{ED9471C8-01EE-4608-8F3B-F94DB2426946}"/>
    <hyperlink ref="B85" r:id="rId84" xr:uid="{0D6F3BD8-1CCA-4624-B184-CB06D2AC5C23}"/>
    <hyperlink ref="B86" r:id="rId85" xr:uid="{584404B8-A4C9-4E67-8A83-9DCF4D014015}"/>
  </hyperlinks>
  <pageMargins left="0.7" right="0.7" top="0.75" bottom="0.75" header="0.3" footer="0.3"/>
  <pageSetup orientation="portrait" r:id="rId86"/>
  <tableParts count="1">
    <tablePart r:id="rId87"/>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31D1E-5AE8-4EF1-B58B-3E05E56C38B4}">
  <dimension ref="A1:AD550"/>
  <sheetViews>
    <sheetView topLeftCell="M37" workbookViewId="0">
      <selection activeCell="S57" sqref="S57:T57"/>
    </sheetView>
  </sheetViews>
  <sheetFormatPr defaultColWidth="11.42578125" defaultRowHeight="15" x14ac:dyDescent="0.25"/>
  <cols>
    <col min="2" max="2" width="37.85546875" customWidth="1"/>
    <col min="3" max="3" width="49" customWidth="1"/>
    <col min="4" max="4" width="16.42578125" customWidth="1"/>
    <col min="5" max="5" width="31.85546875" customWidth="1"/>
    <col min="6" max="6" width="8.42578125" customWidth="1"/>
    <col min="7" max="7" width="11.42578125" customWidth="1"/>
    <col min="8" max="8" width="12.140625" customWidth="1"/>
    <col min="9" max="10" width="7.7109375" customWidth="1"/>
    <col min="12" max="12" width="12.7109375" customWidth="1"/>
    <col min="13" max="13" width="29.28515625" customWidth="1"/>
    <col min="14" max="14" width="11.42578125" customWidth="1"/>
    <col min="15" max="15" width="20" customWidth="1"/>
    <col min="16" max="16" width="15.42578125" customWidth="1"/>
    <col min="17" max="17" width="12.42578125" customWidth="1"/>
    <col min="18" max="20" width="26.42578125" customWidth="1"/>
    <col min="21" max="21" width="16.7109375" customWidth="1"/>
    <col min="23" max="23" width="15.42578125" customWidth="1"/>
    <col min="25" max="25" width="19.85546875" customWidth="1"/>
    <col min="26" max="26" width="15.7109375" customWidth="1"/>
    <col min="27" max="27" width="15.42578125" customWidth="1"/>
    <col min="28" max="28" width="12" customWidth="1"/>
    <col min="29" max="29" width="12.42578125" customWidth="1"/>
  </cols>
  <sheetData>
    <row r="1" spans="1:30" ht="60" customHeight="1" x14ac:dyDescent="0.25">
      <c r="A1" s="53" t="s">
        <v>0</v>
      </c>
      <c r="B1" s="52" t="s">
        <v>1</v>
      </c>
      <c r="C1" s="49" t="s">
        <v>2</v>
      </c>
      <c r="D1" s="52" t="s">
        <v>3</v>
      </c>
      <c r="E1" s="50" t="s">
        <v>4</v>
      </c>
      <c r="F1" s="52" t="s">
        <v>5</v>
      </c>
      <c r="G1" s="52" t="s">
        <v>6</v>
      </c>
      <c r="H1" s="52" t="s">
        <v>7</v>
      </c>
      <c r="I1" s="52" t="s">
        <v>8</v>
      </c>
      <c r="J1" s="52" t="s">
        <v>9</v>
      </c>
      <c r="K1" s="48" t="s">
        <v>10</v>
      </c>
      <c r="L1" s="48" t="s">
        <v>11</v>
      </c>
      <c r="M1" s="48" t="s">
        <v>12</v>
      </c>
      <c r="N1" s="48" t="s">
        <v>13</v>
      </c>
      <c r="O1" s="48" t="s">
        <v>14</v>
      </c>
      <c r="P1" s="48" t="s">
        <v>15</v>
      </c>
      <c r="Q1" s="48" t="s">
        <v>16</v>
      </c>
      <c r="R1" s="48" t="s">
        <v>17</v>
      </c>
      <c r="S1" s="48" t="s">
        <v>9149</v>
      </c>
      <c r="T1" s="48" t="s">
        <v>9150</v>
      </c>
      <c r="U1" s="48" t="s">
        <v>18</v>
      </c>
      <c r="V1" s="48" t="s">
        <v>19</v>
      </c>
      <c r="W1" s="48" t="s">
        <v>20</v>
      </c>
      <c r="X1" s="48" t="s">
        <v>21</v>
      </c>
      <c r="Y1" s="48" t="s">
        <v>22</v>
      </c>
      <c r="Z1" s="48" t="s">
        <v>23</v>
      </c>
      <c r="AA1" s="48" t="s">
        <v>24</v>
      </c>
      <c r="AB1" s="48" t="s">
        <v>25</v>
      </c>
      <c r="AC1" s="48" t="s">
        <v>201</v>
      </c>
      <c r="AD1" s="51" t="s">
        <v>27</v>
      </c>
    </row>
    <row r="2" spans="1:30" x14ac:dyDescent="0.25">
      <c r="A2" s="36">
        <v>2100</v>
      </c>
      <c r="B2" s="14" t="s">
        <v>4226</v>
      </c>
      <c r="C2" s="14" t="s">
        <v>4227</v>
      </c>
      <c r="D2" s="17">
        <v>44138</v>
      </c>
      <c r="E2" s="14" t="s">
        <v>30</v>
      </c>
      <c r="F2" s="14">
        <v>8509</v>
      </c>
      <c r="G2" s="14">
        <v>2002</v>
      </c>
      <c r="H2" s="14">
        <v>10</v>
      </c>
      <c r="I2" s="14">
        <v>5</v>
      </c>
      <c r="J2" s="14" t="s">
        <v>31</v>
      </c>
      <c r="K2" s="35">
        <v>1</v>
      </c>
      <c r="L2" s="35" cm="1">
        <f t="array" ref="L2">INT(SUMPRODUCT(--ISNUMBER(SEARCH(healthcare,C2)))&gt;0)</f>
        <v>0</v>
      </c>
      <c r="M2" s="35" cm="1">
        <f t="array" ref="M2">INT(SUMPRODUCT(--ISNUMBER(SEARCH(supreme,C2)))&gt;0)</f>
        <v>0</v>
      </c>
      <c r="N2" s="35" cm="1">
        <f t="array" ref="N2">INT(SUMPRODUCT(--ISNUMBER(SEARCH(covid,C2)))&gt;0)</f>
        <v>0</v>
      </c>
      <c r="O2" s="35" cm="1">
        <f t="array" ref="O2">INT(SUMPRODUCT(--ISNUMBER(SEARCH(violent,C2)))&gt;0)</f>
        <v>0</v>
      </c>
      <c r="P2" s="35" cm="1">
        <f t="array" ref="P2">INT(SUMPRODUCT(--ISNUMBER(SEARCH(foreign,C2)))&gt;0)</f>
        <v>0</v>
      </c>
      <c r="Q2" s="35" cm="1">
        <f t="array" ref="Q2">INT(SUMPRODUCT(--ISNUMBER(SEARCH(gun,C2)))&gt;0)</f>
        <v>0</v>
      </c>
      <c r="R2" s="35" cm="1">
        <f t="array" ref="R2">INT(SUMPRODUCT(--ISNUMBER(SEARCH(race,C2)))&gt;0)</f>
        <v>1</v>
      </c>
      <c r="S2" s="14" cm="1">
        <f t="array" ref="S2">INT(SUMPRODUCT(--ISNUMBER(SEARCH(immigration,C2)))&gt;0)</f>
        <v>0</v>
      </c>
      <c r="T2" s="14" cm="1">
        <f t="array" ref="T2">INT(SUMPRODUCT(--ISNUMBER(SEARCH(econineq,C3)))&gt;0)</f>
        <v>0</v>
      </c>
      <c r="U2" s="35" cm="1">
        <f t="array" ref="U2">INT(SUMPRODUCT(--ISNUMBER(SEARCH(climate,C2)))&gt;0)</f>
        <v>0</v>
      </c>
      <c r="V2" s="35" cm="1">
        <f t="array" ref="V2">INT(SUMPRODUCT(--ISNUMBER(SEARCH(abortion,C2)))&gt;0)</f>
        <v>0</v>
      </c>
      <c r="W2" s="35" cm="1">
        <f t="array" ref="W2">INT(SUMPRODUCT(--ISNUMBER(SEARCH(trump,C2)))&gt;0)</f>
        <v>0</v>
      </c>
      <c r="X2" s="35" cm="1">
        <f t="array" ref="X2">INT(SUMPRODUCT(--ISNUMBER(SEARCH(voting,C2)))&gt;0)</f>
        <v>0</v>
      </c>
      <c r="Y2" s="35" cm="1">
        <f t="array" ref="Y2">INT(SUMPRODUCT(--ISNUMBER(SEARCH(republicantrigger,C2)))&gt;0)</f>
        <v>0</v>
      </c>
      <c r="Z2" s="35" cm="1">
        <f t="array" ref="Z2">INT(SUMPRODUCT(--ISNUMBER(SEARCH(bipartisan,C2)))&gt;0)</f>
        <v>0</v>
      </c>
      <c r="AA2" s="35">
        <f>INT(IF(COUNTIF(K2:Z2,1)=0,"1","0"))</f>
        <v>0</v>
      </c>
      <c r="AB2" s="35"/>
      <c r="AC2" s="35">
        <v>0</v>
      </c>
      <c r="AD2" s="92">
        <v>1</v>
      </c>
    </row>
    <row r="3" spans="1:30" x14ac:dyDescent="0.25">
      <c r="A3" s="36">
        <v>2101</v>
      </c>
      <c r="B3" s="14" t="s">
        <v>4228</v>
      </c>
      <c r="C3" s="14" t="s">
        <v>4229</v>
      </c>
      <c r="D3" s="17">
        <v>44138</v>
      </c>
      <c r="E3" s="14" t="s">
        <v>30</v>
      </c>
      <c r="F3" s="14">
        <v>8559</v>
      </c>
      <c r="G3" s="14">
        <v>2190</v>
      </c>
      <c r="H3" s="14">
        <v>10</v>
      </c>
      <c r="I3" s="14">
        <v>5</v>
      </c>
      <c r="J3" s="14" t="s">
        <v>31</v>
      </c>
      <c r="K3" s="35" cm="1">
        <f t="array" ref="K3">INT(SUMPRODUCT(--ISNUMBER(SEARCH(economy,C3)))&gt;0)</f>
        <v>0</v>
      </c>
      <c r="L3" s="35" cm="1">
        <f t="array" ref="L3">INT(SUMPRODUCT(--ISNUMBER(SEARCH(healthcare,C3)))&gt;0)</f>
        <v>0</v>
      </c>
      <c r="M3" s="35" cm="1">
        <f t="array" ref="M3">INT(SUMPRODUCT(--ISNUMBER(SEARCH(supreme,C3)))&gt;0)</f>
        <v>0</v>
      </c>
      <c r="N3" s="35" cm="1">
        <f t="array" ref="N3">INT(SUMPRODUCT(--ISNUMBER(SEARCH(covid,C3)))&gt;0)</f>
        <v>0</v>
      </c>
      <c r="O3" s="35" cm="1">
        <f t="array" ref="O3">INT(SUMPRODUCT(--ISNUMBER(SEARCH(violent,C3)))&gt;0)</f>
        <v>0</v>
      </c>
      <c r="P3" s="35" cm="1">
        <f t="array" ref="P3">INT(SUMPRODUCT(--ISNUMBER(SEARCH(foreign,C3)))&gt;0)</f>
        <v>0</v>
      </c>
      <c r="Q3" s="35" cm="1">
        <f t="array" ref="Q3">INT(SUMPRODUCT(--ISNUMBER(SEARCH(gun,C3)))&gt;0)</f>
        <v>0</v>
      </c>
      <c r="R3" s="35" cm="1">
        <f t="array" ref="R3">INT(SUMPRODUCT(--ISNUMBER(SEARCH(race,C3)))&gt;0)</f>
        <v>0</v>
      </c>
      <c r="S3" s="35" cm="1">
        <f t="array" ref="S3">INT(SUMPRODUCT(--ISNUMBER(SEARCH(immigration,C3)))&gt;0)</f>
        <v>0</v>
      </c>
      <c r="T3" s="35" cm="1">
        <f t="array" ref="T3">INT(SUMPRODUCT(--ISNUMBER(SEARCH(econineq,C4)))&gt;0)</f>
        <v>0</v>
      </c>
      <c r="U3" s="35" cm="1">
        <f t="array" ref="U3">INT(SUMPRODUCT(--ISNUMBER(SEARCH(climate,C3)))&gt;0)</f>
        <v>0</v>
      </c>
      <c r="V3" s="35" cm="1">
        <f t="array" ref="V3">INT(SUMPRODUCT(--ISNUMBER(SEARCH(abortion,C3)))&gt;0)</f>
        <v>0</v>
      </c>
      <c r="W3" s="35" cm="1">
        <f t="array" ref="W3">INT(SUMPRODUCT(--ISNUMBER(SEARCH(trump,C3)))&gt;0)</f>
        <v>0</v>
      </c>
      <c r="X3" s="35" cm="1">
        <f t="array" ref="X3">INT(SUMPRODUCT(--ISNUMBER(SEARCH(voting,C3)))&gt;0)</f>
        <v>1</v>
      </c>
      <c r="Y3" s="35" cm="1">
        <f t="array" ref="Y3">INT(SUMPRODUCT(--ISNUMBER(SEARCH(republicantrigger,C3)))&gt;0)</f>
        <v>0</v>
      </c>
      <c r="Z3" s="35" cm="1">
        <f t="array" ref="Z3">INT(SUMPRODUCT(--ISNUMBER(SEARCH(bipartisan,C3)))&gt;0)</f>
        <v>0</v>
      </c>
      <c r="AA3" s="35">
        <f t="shared" ref="AA3:AA56" si="0">INT(IF(COUNTIF(K3:Z3,1)=0,"1","0"))</f>
        <v>0</v>
      </c>
      <c r="AB3" s="35"/>
      <c r="AC3" s="35">
        <v>0</v>
      </c>
      <c r="AD3" s="92">
        <v>1</v>
      </c>
    </row>
    <row r="4" spans="1:30" x14ac:dyDescent="0.25">
      <c r="A4" s="36">
        <v>2102</v>
      </c>
      <c r="B4" s="91">
        <v>1.3234253269496901E+18</v>
      </c>
      <c r="C4" s="14" t="s">
        <v>4230</v>
      </c>
      <c r="D4" s="17">
        <v>44138</v>
      </c>
      <c r="E4" s="14" t="s">
        <v>30</v>
      </c>
      <c r="F4" s="14">
        <v>12529</v>
      </c>
      <c r="G4" s="14">
        <v>3444</v>
      </c>
      <c r="H4" s="14">
        <v>10</v>
      </c>
      <c r="I4" s="14">
        <v>5</v>
      </c>
      <c r="J4" s="14" t="s">
        <v>31</v>
      </c>
      <c r="K4" s="35" cm="1">
        <f t="array" ref="K4">INT(SUMPRODUCT(--ISNUMBER(SEARCH(economy,C4)))&gt;0)</f>
        <v>0</v>
      </c>
      <c r="L4" s="35" cm="1">
        <f t="array" ref="L4">INT(SUMPRODUCT(--ISNUMBER(SEARCH(healthcare,C4)))&gt;0)</f>
        <v>0</v>
      </c>
      <c r="M4" s="35" cm="1">
        <f t="array" ref="M4">INT(SUMPRODUCT(--ISNUMBER(SEARCH(supreme,C4)))&gt;0)</f>
        <v>0</v>
      </c>
      <c r="N4" s="35" cm="1">
        <f t="array" ref="N4">INT(SUMPRODUCT(--ISNUMBER(SEARCH(covid,C4)))&gt;0)</f>
        <v>0</v>
      </c>
      <c r="O4" s="35" cm="1">
        <f t="array" ref="O4">INT(SUMPRODUCT(--ISNUMBER(SEARCH(violent,C4)))&gt;0)</f>
        <v>0</v>
      </c>
      <c r="P4" s="35" cm="1">
        <f t="array" ref="P4">INT(SUMPRODUCT(--ISNUMBER(SEARCH(foreign,C4)))&gt;0)</f>
        <v>0</v>
      </c>
      <c r="Q4" s="35" cm="1">
        <f t="array" ref="Q4">INT(SUMPRODUCT(--ISNUMBER(SEARCH(gun,C4)))&gt;0)</f>
        <v>0</v>
      </c>
      <c r="R4" s="35" cm="1">
        <f t="array" ref="R4">INT(SUMPRODUCT(--ISNUMBER(SEARCH(race,C4)))&gt;0)</f>
        <v>0</v>
      </c>
      <c r="S4" s="35" cm="1">
        <f t="array" ref="S4">INT(SUMPRODUCT(--ISNUMBER(SEARCH(immigration,C4)))&gt;0)</f>
        <v>0</v>
      </c>
      <c r="T4" s="35" cm="1">
        <f t="array" ref="T4">INT(SUMPRODUCT(--ISNUMBER(SEARCH(econineq,C5)))&gt;0)</f>
        <v>0</v>
      </c>
      <c r="U4" s="35" cm="1">
        <f t="array" ref="U4">INT(SUMPRODUCT(--ISNUMBER(SEARCH(climate,C4)))&gt;0)</f>
        <v>0</v>
      </c>
      <c r="V4" s="35" cm="1">
        <f t="array" ref="V4">INT(SUMPRODUCT(--ISNUMBER(SEARCH(abortion,C4)))&gt;0)</f>
        <v>0</v>
      </c>
      <c r="W4" s="35">
        <v>1</v>
      </c>
      <c r="X4" s="35" cm="1">
        <f t="array" ref="X4">INT(SUMPRODUCT(--ISNUMBER(SEARCH(voting,C4)))&gt;0)</f>
        <v>0</v>
      </c>
      <c r="Y4" s="35" cm="1">
        <f t="array" ref="Y4">INT(SUMPRODUCT(--ISNUMBER(SEARCH(republicantrigger,C4)))&gt;0)</f>
        <v>1</v>
      </c>
      <c r="Z4" s="35" cm="1">
        <f t="array" ref="Z4">INT(SUMPRODUCT(--ISNUMBER(SEARCH(bipartisan,C4)))&gt;0)</f>
        <v>0</v>
      </c>
      <c r="AA4" s="35">
        <f t="shared" si="0"/>
        <v>0</v>
      </c>
      <c r="AB4" s="35"/>
      <c r="AC4" s="35">
        <v>0</v>
      </c>
      <c r="AD4" s="92">
        <v>1</v>
      </c>
    </row>
    <row r="5" spans="1:30" x14ac:dyDescent="0.25">
      <c r="A5" s="36">
        <v>2103</v>
      </c>
      <c r="B5" s="14" t="s">
        <v>4231</v>
      </c>
      <c r="C5" s="14" t="s">
        <v>4232</v>
      </c>
      <c r="D5" s="17">
        <v>44137</v>
      </c>
      <c r="E5" s="14" t="s">
        <v>30</v>
      </c>
      <c r="F5" s="14">
        <v>1098</v>
      </c>
      <c r="G5" s="14">
        <v>237</v>
      </c>
      <c r="H5" s="14">
        <v>10</v>
      </c>
      <c r="I5" s="14">
        <v>5</v>
      </c>
      <c r="J5" s="14" t="s">
        <v>31</v>
      </c>
      <c r="K5" s="14" cm="1">
        <f t="array" ref="K5">INT(SUMPRODUCT(--ISNUMBER(SEARCH(economy,C5)))&gt;0)</f>
        <v>0</v>
      </c>
      <c r="L5" s="14" cm="1">
        <f t="array" ref="L5">INT(SUMPRODUCT(--ISNUMBER(SEARCH(healthcare,C5)))&gt;0)</f>
        <v>0</v>
      </c>
      <c r="M5" s="14" cm="1">
        <f t="array" ref="M5">INT(SUMPRODUCT(--ISNUMBER(SEARCH(supreme,C5)))&gt;0)</f>
        <v>0</v>
      </c>
      <c r="N5" s="14" cm="1">
        <f t="array" ref="N5">INT(SUMPRODUCT(--ISNUMBER(SEARCH(covid,C5)))&gt;0)</f>
        <v>0</v>
      </c>
      <c r="O5" s="14" cm="1">
        <f t="array" ref="O5">INT(SUMPRODUCT(--ISNUMBER(SEARCH(violent,C5)))&gt;0)</f>
        <v>0</v>
      </c>
      <c r="P5" s="14" cm="1">
        <f t="array" ref="P5">INT(SUMPRODUCT(--ISNUMBER(SEARCH(foreign,C5)))&gt;0)</f>
        <v>0</v>
      </c>
      <c r="Q5" s="14" cm="1">
        <f t="array" ref="Q5">INT(SUMPRODUCT(--ISNUMBER(SEARCH(gun,C5)))&gt;0)</f>
        <v>0</v>
      </c>
      <c r="R5" s="14" cm="1">
        <f t="array" ref="R5">INT(SUMPRODUCT(--ISNUMBER(SEARCH(race,C5)))&gt;0)</f>
        <v>0</v>
      </c>
      <c r="S5" s="14" cm="1">
        <f t="array" ref="S5">INT(SUMPRODUCT(--ISNUMBER(SEARCH(immigration,C5)))&gt;0)</f>
        <v>0</v>
      </c>
      <c r="T5" s="14" cm="1">
        <f t="array" ref="T5">INT(SUMPRODUCT(--ISNUMBER(SEARCH(econineq,C6)))&gt;0)</f>
        <v>0</v>
      </c>
      <c r="U5" s="14" cm="1">
        <f t="array" ref="U5">INT(SUMPRODUCT(--ISNUMBER(SEARCH(climate,C5)))&gt;0)</f>
        <v>0</v>
      </c>
      <c r="V5" s="14" cm="1">
        <f t="array" ref="V5">INT(SUMPRODUCT(--ISNUMBER(SEARCH(abortion,C5)))&gt;0)</f>
        <v>0</v>
      </c>
      <c r="W5" s="14" cm="1">
        <f t="array" ref="W5">INT(SUMPRODUCT(--ISNUMBER(SEARCH(trump,C5)))&gt;0)</f>
        <v>0</v>
      </c>
      <c r="X5" s="14" cm="1">
        <f t="array" ref="X5">INT(SUMPRODUCT(--ISNUMBER(SEARCH(voting,C5)))&gt;0)</f>
        <v>1</v>
      </c>
      <c r="Y5" s="14" cm="1">
        <f t="array" ref="Y5">INT(SUMPRODUCT(--ISNUMBER(SEARCH(republicantrigger,C5)))&gt;0)</f>
        <v>0</v>
      </c>
      <c r="Z5" s="14" cm="1">
        <f t="array" ref="Z5">INT(SUMPRODUCT(--ISNUMBER(SEARCH(bipartisan,C5)))&gt;0)</f>
        <v>0</v>
      </c>
      <c r="AA5" s="14">
        <f t="shared" si="0"/>
        <v>0</v>
      </c>
      <c r="AB5" s="14"/>
      <c r="AC5" s="30">
        <v>1</v>
      </c>
      <c r="AD5" s="37">
        <v>0</v>
      </c>
    </row>
    <row r="6" spans="1:30" x14ac:dyDescent="0.25">
      <c r="A6" s="36">
        <v>2104</v>
      </c>
      <c r="B6" s="14" t="s">
        <v>4233</v>
      </c>
      <c r="C6" s="14" t="s">
        <v>4234</v>
      </c>
      <c r="D6" s="17">
        <v>44137</v>
      </c>
      <c r="E6" s="14" t="s">
        <v>30</v>
      </c>
      <c r="F6" s="14">
        <v>15254</v>
      </c>
      <c r="G6" s="14">
        <v>4871</v>
      </c>
      <c r="H6" s="14">
        <v>10</v>
      </c>
      <c r="I6" s="14">
        <v>5</v>
      </c>
      <c r="J6" s="14" t="s">
        <v>31</v>
      </c>
      <c r="K6" s="35" cm="1">
        <f t="array" ref="K6">INT(SUMPRODUCT(--ISNUMBER(SEARCH(economy,C6)))&gt;0)</f>
        <v>0</v>
      </c>
      <c r="L6" s="35" cm="1">
        <f t="array" ref="L6">INT(SUMPRODUCT(--ISNUMBER(SEARCH(healthcare,C6)))&gt;0)</f>
        <v>0</v>
      </c>
      <c r="M6" s="35" cm="1">
        <f t="array" ref="M6">INT(SUMPRODUCT(--ISNUMBER(SEARCH(supreme,C6)))&gt;0)</f>
        <v>0</v>
      </c>
      <c r="N6" s="35" cm="1">
        <f t="array" ref="N6">INT(SUMPRODUCT(--ISNUMBER(SEARCH(covid,C6)))&gt;0)</f>
        <v>0</v>
      </c>
      <c r="O6" s="35" cm="1">
        <f t="array" ref="O6">INT(SUMPRODUCT(--ISNUMBER(SEARCH(violent,C6)))&gt;0)</f>
        <v>0</v>
      </c>
      <c r="P6" s="35" cm="1">
        <f t="array" ref="P6">INT(SUMPRODUCT(--ISNUMBER(SEARCH(foreign,C6)))&gt;0)</f>
        <v>0</v>
      </c>
      <c r="Q6" s="35" cm="1">
        <f t="array" ref="Q6">INT(SUMPRODUCT(--ISNUMBER(SEARCH(gun,C6)))&gt;0)</f>
        <v>0</v>
      </c>
      <c r="R6" s="35" cm="1">
        <f t="array" ref="R6">INT(SUMPRODUCT(--ISNUMBER(SEARCH(race,C6)))&gt;0)</f>
        <v>0</v>
      </c>
      <c r="S6" s="35" cm="1">
        <f t="array" ref="S6">INT(SUMPRODUCT(--ISNUMBER(SEARCH(immigration,C6)))&gt;0)</f>
        <v>0</v>
      </c>
      <c r="T6" s="35" cm="1">
        <f t="array" ref="T6">INT(SUMPRODUCT(--ISNUMBER(SEARCH(econineq,C7)))&gt;0)</f>
        <v>0</v>
      </c>
      <c r="U6" s="35" cm="1">
        <f t="array" ref="U6">INT(SUMPRODUCT(--ISNUMBER(SEARCH(climate,C6)))&gt;0)</f>
        <v>0</v>
      </c>
      <c r="V6" s="35" cm="1">
        <f t="array" ref="V6">INT(SUMPRODUCT(--ISNUMBER(SEARCH(abortion,C6)))&gt;0)</f>
        <v>0</v>
      </c>
      <c r="W6" s="35" cm="1">
        <f t="array" ref="W6">INT(SUMPRODUCT(--ISNUMBER(SEARCH(trump,C6)))&gt;0)</f>
        <v>0</v>
      </c>
      <c r="X6" s="35" cm="1">
        <f t="array" ref="X6">INT(SUMPRODUCT(--ISNUMBER(SEARCH(voting,C6)))&gt;0)</f>
        <v>1</v>
      </c>
      <c r="Y6" s="35" cm="1">
        <f t="array" ref="Y6">INT(SUMPRODUCT(--ISNUMBER(SEARCH(republicantrigger,C6)))&gt;0)</f>
        <v>0</v>
      </c>
      <c r="Z6" s="35" cm="1">
        <f t="array" ref="Z6">INT(SUMPRODUCT(--ISNUMBER(SEARCH(bipartisan,C6)))&gt;0)</f>
        <v>0</v>
      </c>
      <c r="AA6" s="35">
        <f t="shared" si="0"/>
        <v>0</v>
      </c>
      <c r="AB6" s="35"/>
      <c r="AC6" s="35">
        <v>0</v>
      </c>
      <c r="AD6" s="92">
        <v>1</v>
      </c>
    </row>
    <row r="7" spans="1:30" x14ac:dyDescent="0.25">
      <c r="A7" s="36">
        <v>2105</v>
      </c>
      <c r="B7" s="14" t="s">
        <v>4235</v>
      </c>
      <c r="C7" s="14" t="s">
        <v>4236</v>
      </c>
      <c r="D7" s="17">
        <v>44137</v>
      </c>
      <c r="E7" s="14" t="s">
        <v>30</v>
      </c>
      <c r="F7" s="14">
        <v>13993</v>
      </c>
      <c r="G7" s="14">
        <v>3916</v>
      </c>
      <c r="H7" s="14">
        <v>10</v>
      </c>
      <c r="I7" s="14">
        <v>5</v>
      </c>
      <c r="J7" s="14" t="s">
        <v>31</v>
      </c>
      <c r="K7" s="35" cm="1">
        <f t="array" ref="K7">INT(SUMPRODUCT(--ISNUMBER(SEARCH(economy,C7)))&gt;0)</f>
        <v>0</v>
      </c>
      <c r="L7" s="35" cm="1">
        <f t="array" ref="L7">INT(SUMPRODUCT(--ISNUMBER(SEARCH(healthcare,C7)))&gt;0)</f>
        <v>0</v>
      </c>
      <c r="M7" s="35" cm="1">
        <f t="array" ref="M7">INT(SUMPRODUCT(--ISNUMBER(SEARCH(supreme,C7)))&gt;0)</f>
        <v>0</v>
      </c>
      <c r="N7" s="35" cm="1">
        <f t="array" ref="N7">INT(SUMPRODUCT(--ISNUMBER(SEARCH(covid,C7)))&gt;0)</f>
        <v>0</v>
      </c>
      <c r="O7" s="35" cm="1">
        <f t="array" ref="O7">INT(SUMPRODUCT(--ISNUMBER(SEARCH(violent,C7)))&gt;0)</f>
        <v>0</v>
      </c>
      <c r="P7" s="35" cm="1">
        <f t="array" ref="P7">INT(SUMPRODUCT(--ISNUMBER(SEARCH(foreign,C7)))&gt;0)</f>
        <v>0</v>
      </c>
      <c r="Q7" s="35" cm="1">
        <f t="array" ref="Q7">INT(SUMPRODUCT(--ISNUMBER(SEARCH(gun,C7)))&gt;0)</f>
        <v>0</v>
      </c>
      <c r="R7" s="35" cm="1">
        <f t="array" ref="R7">INT(SUMPRODUCT(--ISNUMBER(SEARCH(race,C7)))&gt;0)</f>
        <v>1</v>
      </c>
      <c r="S7" s="35" cm="1">
        <f t="array" ref="S7">INT(SUMPRODUCT(--ISNUMBER(SEARCH(immigration,C7)))&gt;0)</f>
        <v>0</v>
      </c>
      <c r="T7" s="35" cm="1">
        <f t="array" ref="T7">INT(SUMPRODUCT(--ISNUMBER(SEARCH(econineq,C8)))&gt;0)</f>
        <v>0</v>
      </c>
      <c r="U7" s="35" cm="1">
        <f t="array" ref="U7">INT(SUMPRODUCT(--ISNUMBER(SEARCH(climate,C7)))&gt;0)</f>
        <v>0</v>
      </c>
      <c r="V7" s="35" cm="1">
        <f t="array" ref="V7">INT(SUMPRODUCT(--ISNUMBER(SEARCH(abortion,C7)))&gt;0)</f>
        <v>0</v>
      </c>
      <c r="W7" s="35" cm="1">
        <f t="array" ref="W7">INT(SUMPRODUCT(--ISNUMBER(SEARCH(trump,C7)))&gt;0)</f>
        <v>0</v>
      </c>
      <c r="X7" s="35" cm="1">
        <f t="array" ref="X7">INT(SUMPRODUCT(--ISNUMBER(SEARCH(voting,C7)))&gt;0)</f>
        <v>1</v>
      </c>
      <c r="Y7" s="35" cm="1">
        <f t="array" ref="Y7">INT(SUMPRODUCT(--ISNUMBER(SEARCH(republicantrigger,C7)))&gt;0)</f>
        <v>1</v>
      </c>
      <c r="Z7" s="35" cm="1">
        <f t="array" ref="Z7">INT(SUMPRODUCT(--ISNUMBER(SEARCH(bipartisan,C7)))&gt;0)</f>
        <v>0</v>
      </c>
      <c r="AA7" s="35">
        <f t="shared" si="0"/>
        <v>0</v>
      </c>
      <c r="AB7" s="35"/>
      <c r="AC7" s="35">
        <v>0</v>
      </c>
      <c r="AD7" s="92">
        <v>1</v>
      </c>
    </row>
    <row r="8" spans="1:30" x14ac:dyDescent="0.25">
      <c r="A8" s="36">
        <v>2106</v>
      </c>
      <c r="B8" s="14" t="s">
        <v>4237</v>
      </c>
      <c r="C8" s="14" t="s">
        <v>4238</v>
      </c>
      <c r="D8" s="17">
        <v>44135</v>
      </c>
      <c r="E8" s="14" t="s">
        <v>30</v>
      </c>
      <c r="F8" s="14">
        <v>26974</v>
      </c>
      <c r="G8" s="14">
        <v>6417</v>
      </c>
      <c r="H8" s="14">
        <v>10</v>
      </c>
      <c r="I8" s="14">
        <v>5</v>
      </c>
      <c r="J8" s="14" t="s">
        <v>31</v>
      </c>
      <c r="K8" s="14" cm="1">
        <f t="array" ref="K8">INT(SUMPRODUCT(--ISNUMBER(SEARCH(economy,C8)))&gt;0)</f>
        <v>0</v>
      </c>
      <c r="L8" s="14" cm="1">
        <f t="array" ref="L8">INT(SUMPRODUCT(--ISNUMBER(SEARCH(healthcare,C8)))&gt;0)</f>
        <v>0</v>
      </c>
      <c r="M8" s="14" cm="1">
        <f t="array" ref="M8">INT(SUMPRODUCT(--ISNUMBER(SEARCH(supreme,C8)))&gt;0)</f>
        <v>0</v>
      </c>
      <c r="N8" s="14" cm="1">
        <f t="array" ref="N8">INT(SUMPRODUCT(--ISNUMBER(SEARCH(covid,C8)))&gt;0)</f>
        <v>0</v>
      </c>
      <c r="O8" s="14" cm="1">
        <f t="array" ref="O8">INT(SUMPRODUCT(--ISNUMBER(SEARCH(violent,C8)))&gt;0)</f>
        <v>0</v>
      </c>
      <c r="P8" s="14" cm="1">
        <f t="array" ref="P8">INT(SUMPRODUCT(--ISNUMBER(SEARCH(foreign,C8)))&gt;0)</f>
        <v>0</v>
      </c>
      <c r="Q8" s="14" cm="1">
        <f t="array" ref="Q8">INT(SUMPRODUCT(--ISNUMBER(SEARCH(gun,C8)))&gt;0)</f>
        <v>0</v>
      </c>
      <c r="R8" s="14" cm="1">
        <f t="array" ref="R8">INT(SUMPRODUCT(--ISNUMBER(SEARCH(race,C8)))&gt;0)</f>
        <v>0</v>
      </c>
      <c r="S8" s="14" cm="1">
        <f t="array" ref="S8">INT(SUMPRODUCT(--ISNUMBER(SEARCH(immigration,C8)))&gt;0)</f>
        <v>0</v>
      </c>
      <c r="T8" s="14" cm="1">
        <f t="array" ref="T8">INT(SUMPRODUCT(--ISNUMBER(SEARCH(econineq,C9)))&gt;0)</f>
        <v>0</v>
      </c>
      <c r="U8" s="14" cm="1">
        <f t="array" ref="U8">INT(SUMPRODUCT(--ISNUMBER(SEARCH(climate,C8)))&gt;0)</f>
        <v>0</v>
      </c>
      <c r="V8" s="14" cm="1">
        <f t="array" ref="V8">INT(SUMPRODUCT(--ISNUMBER(SEARCH(abortion,C8)))&gt;0)</f>
        <v>0</v>
      </c>
      <c r="W8" s="14" cm="1">
        <f t="array" ref="W8">INT(SUMPRODUCT(--ISNUMBER(SEARCH(trump,C8)))&gt;0)</f>
        <v>0</v>
      </c>
      <c r="X8" s="14" cm="1">
        <f t="array" ref="X8">INT(SUMPRODUCT(--ISNUMBER(SEARCH(voting,C8)))&gt;0)</f>
        <v>0</v>
      </c>
      <c r="Y8" s="14" cm="1">
        <f t="array" ref="Y8">INT(SUMPRODUCT(--ISNUMBER(SEARCH(republicantrigger,C8)))&gt;0)</f>
        <v>0</v>
      </c>
      <c r="Z8" s="14" cm="1">
        <f t="array" ref="Z8">INT(SUMPRODUCT(--ISNUMBER(SEARCH(bipartisan,C8)))&gt;0)</f>
        <v>0</v>
      </c>
      <c r="AA8" s="14">
        <f t="shared" si="0"/>
        <v>1</v>
      </c>
      <c r="AB8" s="14"/>
      <c r="AC8" s="30">
        <v>1</v>
      </c>
      <c r="AD8" s="37">
        <v>0</v>
      </c>
    </row>
    <row r="9" spans="1:30" x14ac:dyDescent="0.25">
      <c r="A9" s="36">
        <v>2107</v>
      </c>
      <c r="B9" s="14" t="s">
        <v>4239</v>
      </c>
      <c r="C9" s="14" t="s">
        <v>4240</v>
      </c>
      <c r="D9" s="17">
        <v>44135</v>
      </c>
      <c r="E9" s="14" t="s">
        <v>30</v>
      </c>
      <c r="F9" s="14">
        <v>2631</v>
      </c>
      <c r="G9" s="14">
        <v>1002</v>
      </c>
      <c r="H9" s="14">
        <v>10</v>
      </c>
      <c r="I9" s="14">
        <v>5</v>
      </c>
      <c r="J9" s="14" t="s">
        <v>31</v>
      </c>
      <c r="K9" s="35">
        <v>1</v>
      </c>
      <c r="L9" s="35" cm="1">
        <f t="array" ref="L9">INT(SUMPRODUCT(--ISNUMBER(SEARCH(healthcare,C9)))&gt;0)</f>
        <v>0</v>
      </c>
      <c r="M9" s="35" cm="1">
        <f t="array" ref="M9">INT(SUMPRODUCT(--ISNUMBER(SEARCH(supreme,C9)))&gt;0)</f>
        <v>0</v>
      </c>
      <c r="N9" s="35" cm="1">
        <f t="array" ref="N9">INT(SUMPRODUCT(--ISNUMBER(SEARCH(covid,C9)))&gt;0)</f>
        <v>0</v>
      </c>
      <c r="O9" s="35" cm="1">
        <f t="array" ref="O9">INT(SUMPRODUCT(--ISNUMBER(SEARCH(violent,C9)))&gt;0)</f>
        <v>0</v>
      </c>
      <c r="P9" s="35">
        <v>1</v>
      </c>
      <c r="Q9" s="35" cm="1">
        <f t="array" ref="Q9">INT(SUMPRODUCT(--ISNUMBER(SEARCH(gun,C9)))&gt;0)</f>
        <v>0</v>
      </c>
      <c r="R9" s="35" cm="1">
        <f t="array" ref="R9">INT(SUMPRODUCT(--ISNUMBER(SEARCH(race,C9)))&gt;0)</f>
        <v>0</v>
      </c>
      <c r="S9" s="35" cm="1">
        <f t="array" ref="S9">INT(SUMPRODUCT(--ISNUMBER(SEARCH(immigration,C9)))&gt;0)</f>
        <v>0</v>
      </c>
      <c r="T9" s="35" cm="1">
        <f t="array" ref="T9">INT(SUMPRODUCT(--ISNUMBER(SEARCH(econineq,C10)))&gt;0)</f>
        <v>0</v>
      </c>
      <c r="U9" s="35" cm="1">
        <f t="array" ref="U9">INT(SUMPRODUCT(--ISNUMBER(SEARCH(climate,C9)))&gt;0)</f>
        <v>0</v>
      </c>
      <c r="V9" s="35" cm="1">
        <f t="array" ref="V9">INT(SUMPRODUCT(--ISNUMBER(SEARCH(abortion,C9)))&gt;0)</f>
        <v>0</v>
      </c>
      <c r="W9" s="35" cm="1">
        <f t="array" ref="W9">INT(SUMPRODUCT(--ISNUMBER(SEARCH(trump,C9)))&gt;0)</f>
        <v>0</v>
      </c>
      <c r="X9" s="35" cm="1">
        <f t="array" ref="X9">INT(SUMPRODUCT(--ISNUMBER(SEARCH(voting,C9)))&gt;0)</f>
        <v>0</v>
      </c>
      <c r="Y9" s="35" cm="1">
        <f t="array" ref="Y9">INT(SUMPRODUCT(--ISNUMBER(SEARCH(republicantrigger,C9)))&gt;0)</f>
        <v>1</v>
      </c>
      <c r="Z9" s="35" cm="1">
        <f t="array" ref="Z9">INT(SUMPRODUCT(--ISNUMBER(SEARCH(bipartisan,C9)))&gt;0)</f>
        <v>0</v>
      </c>
      <c r="AA9" s="35">
        <f t="shared" si="0"/>
        <v>0</v>
      </c>
      <c r="AB9" s="35"/>
      <c r="AC9" s="35">
        <v>0</v>
      </c>
      <c r="AD9" s="92">
        <v>1</v>
      </c>
    </row>
    <row r="10" spans="1:30" x14ac:dyDescent="0.25">
      <c r="A10" s="36">
        <v>2108</v>
      </c>
      <c r="B10" s="14" t="s">
        <v>4241</v>
      </c>
      <c r="C10" s="14" t="s">
        <v>4242</v>
      </c>
      <c r="D10" s="17">
        <v>44135</v>
      </c>
      <c r="E10" s="14" t="s">
        <v>30</v>
      </c>
      <c r="F10" s="14">
        <v>3274</v>
      </c>
      <c r="G10" s="14">
        <v>748</v>
      </c>
      <c r="H10" s="14">
        <v>10</v>
      </c>
      <c r="I10" s="14">
        <v>5</v>
      </c>
      <c r="J10" s="14" t="s">
        <v>31</v>
      </c>
      <c r="K10" s="14" cm="1">
        <f t="array" ref="K10">INT(SUMPRODUCT(--ISNUMBER(SEARCH(economy,C10)))&gt;0)</f>
        <v>0</v>
      </c>
      <c r="L10" s="14" cm="1">
        <f t="array" ref="L10">INT(SUMPRODUCT(--ISNUMBER(SEARCH(healthcare,C10)))&gt;0)</f>
        <v>0</v>
      </c>
      <c r="M10" s="14" cm="1">
        <f t="array" ref="M10">INT(SUMPRODUCT(--ISNUMBER(SEARCH(supreme,C10)))&gt;0)</f>
        <v>0</v>
      </c>
      <c r="N10" s="14" cm="1">
        <f t="array" ref="N10">INT(SUMPRODUCT(--ISNUMBER(SEARCH(covid,C10)))&gt;0)</f>
        <v>0</v>
      </c>
      <c r="O10" s="14" cm="1">
        <f t="array" ref="O10">INT(SUMPRODUCT(--ISNUMBER(SEARCH(violent,C10)))&gt;0)</f>
        <v>0</v>
      </c>
      <c r="P10" s="14" cm="1">
        <f t="array" ref="P10">INT(SUMPRODUCT(--ISNUMBER(SEARCH(foreign,C10)))&gt;0)</f>
        <v>0</v>
      </c>
      <c r="Q10" s="14" cm="1">
        <f t="array" ref="Q10">INT(SUMPRODUCT(--ISNUMBER(SEARCH(gun,C10)))&gt;0)</f>
        <v>0</v>
      </c>
      <c r="R10" s="14" cm="1">
        <f t="array" ref="R10">INT(SUMPRODUCT(--ISNUMBER(SEARCH(race,C10)))&gt;0)</f>
        <v>0</v>
      </c>
      <c r="S10" s="14" cm="1">
        <f t="array" ref="S10">INT(SUMPRODUCT(--ISNUMBER(SEARCH(immigration,C10)))&gt;0)</f>
        <v>0</v>
      </c>
      <c r="T10" s="14" cm="1">
        <f t="array" ref="T10">INT(SUMPRODUCT(--ISNUMBER(SEARCH(econineq,C11)))&gt;0)</f>
        <v>0</v>
      </c>
      <c r="U10" s="14" cm="1">
        <f t="array" ref="U10">INT(SUMPRODUCT(--ISNUMBER(SEARCH(climate,C10)))&gt;0)</f>
        <v>0</v>
      </c>
      <c r="V10" s="14" cm="1">
        <f t="array" ref="V10">INT(SUMPRODUCT(--ISNUMBER(SEARCH(abortion,C10)))&gt;0)</f>
        <v>0</v>
      </c>
      <c r="W10" s="14" cm="1">
        <f t="array" ref="W10">INT(SUMPRODUCT(--ISNUMBER(SEARCH(trump,C10)))&gt;0)</f>
        <v>0</v>
      </c>
      <c r="X10" s="14" cm="1">
        <f t="array" ref="X10">INT(SUMPRODUCT(--ISNUMBER(SEARCH(voting,C10)))&gt;0)</f>
        <v>0</v>
      </c>
      <c r="Y10" s="14" cm="1">
        <f t="array" ref="Y10">INT(SUMPRODUCT(--ISNUMBER(SEARCH(republicantrigger,C10)))&gt;0)</f>
        <v>0</v>
      </c>
      <c r="Z10" s="14" cm="1">
        <f t="array" ref="Z10">INT(SUMPRODUCT(--ISNUMBER(SEARCH(bipartisan,C10)))&gt;0)</f>
        <v>0</v>
      </c>
      <c r="AA10" s="14">
        <f t="shared" si="0"/>
        <v>1</v>
      </c>
      <c r="AB10" s="14"/>
      <c r="AC10" s="30">
        <v>1</v>
      </c>
      <c r="AD10" s="37">
        <v>0</v>
      </c>
    </row>
    <row r="11" spans="1:30" x14ac:dyDescent="0.25">
      <c r="A11" s="36">
        <v>2109</v>
      </c>
      <c r="B11" s="14" t="s">
        <v>4243</v>
      </c>
      <c r="C11" s="14" t="s">
        <v>4244</v>
      </c>
      <c r="D11" s="17">
        <v>44135</v>
      </c>
      <c r="E11" s="14" t="s">
        <v>30</v>
      </c>
      <c r="F11" s="14">
        <v>2338</v>
      </c>
      <c r="G11" s="14">
        <v>796</v>
      </c>
      <c r="H11" s="14">
        <v>10</v>
      </c>
      <c r="I11" s="14">
        <v>5</v>
      </c>
      <c r="J11" s="14" t="s">
        <v>31</v>
      </c>
      <c r="K11" s="14" cm="1">
        <f t="array" ref="K11">INT(SUMPRODUCT(--ISNUMBER(SEARCH(economy,C11)))&gt;0)</f>
        <v>0</v>
      </c>
      <c r="L11" s="14" cm="1">
        <f t="array" ref="L11">INT(SUMPRODUCT(--ISNUMBER(SEARCH(healthcare,C11)))&gt;0)</f>
        <v>0</v>
      </c>
      <c r="M11" s="14" cm="1">
        <f t="array" ref="M11">INT(SUMPRODUCT(--ISNUMBER(SEARCH(supreme,C11)))&gt;0)</f>
        <v>0</v>
      </c>
      <c r="N11" s="14" cm="1">
        <f t="array" ref="N11">INT(SUMPRODUCT(--ISNUMBER(SEARCH(covid,C11)))&gt;0)</f>
        <v>0</v>
      </c>
      <c r="O11" s="14" cm="1">
        <f t="array" ref="O11">INT(SUMPRODUCT(--ISNUMBER(SEARCH(violent,C11)))&gt;0)</f>
        <v>0</v>
      </c>
      <c r="P11" s="14" cm="1">
        <f t="array" ref="P11">INT(SUMPRODUCT(--ISNUMBER(SEARCH(foreign,C11)))&gt;0)</f>
        <v>0</v>
      </c>
      <c r="Q11" s="14" cm="1">
        <f t="array" ref="Q11">INT(SUMPRODUCT(--ISNUMBER(SEARCH(gun,C11)))&gt;0)</f>
        <v>0</v>
      </c>
      <c r="R11" s="14" cm="1">
        <f t="array" ref="R11">INT(SUMPRODUCT(--ISNUMBER(SEARCH(race,C11)))&gt;0)</f>
        <v>0</v>
      </c>
      <c r="S11" s="14" cm="1">
        <f t="array" ref="S11">INT(SUMPRODUCT(--ISNUMBER(SEARCH(immigration,C11)))&gt;0)</f>
        <v>0</v>
      </c>
      <c r="T11" s="14" cm="1">
        <f t="array" ref="T11">INT(SUMPRODUCT(--ISNUMBER(SEARCH(econineq,C12)))&gt;0)</f>
        <v>0</v>
      </c>
      <c r="U11" s="14" cm="1">
        <f t="array" ref="U11">INT(SUMPRODUCT(--ISNUMBER(SEARCH(climate,C11)))&gt;0)</f>
        <v>0</v>
      </c>
      <c r="V11" s="14" cm="1">
        <f t="array" ref="V11">INT(SUMPRODUCT(--ISNUMBER(SEARCH(abortion,C11)))&gt;0)</f>
        <v>0</v>
      </c>
      <c r="W11" s="14" cm="1">
        <f t="array" ref="W11">INT(SUMPRODUCT(--ISNUMBER(SEARCH(trump,C11)))&gt;0)</f>
        <v>0</v>
      </c>
      <c r="X11" s="14" cm="1">
        <f t="array" ref="X11">INT(SUMPRODUCT(--ISNUMBER(SEARCH(voting,C11)))&gt;0)</f>
        <v>1</v>
      </c>
      <c r="Y11" s="14" cm="1">
        <f t="array" ref="Y11">INT(SUMPRODUCT(--ISNUMBER(SEARCH(republicantrigger,C11)))&gt;0)</f>
        <v>1</v>
      </c>
      <c r="Z11" s="14" cm="1">
        <f t="array" ref="Z11">INT(SUMPRODUCT(--ISNUMBER(SEARCH(bipartisan,C11)))&gt;0)</f>
        <v>0</v>
      </c>
      <c r="AA11" s="14">
        <f t="shared" si="0"/>
        <v>0</v>
      </c>
      <c r="AB11" s="14"/>
      <c r="AC11" s="30" t="s">
        <v>223</v>
      </c>
      <c r="AD11" s="37" t="s">
        <v>223</v>
      </c>
    </row>
    <row r="12" spans="1:30" x14ac:dyDescent="0.25">
      <c r="A12" s="36">
        <v>2110</v>
      </c>
      <c r="B12" s="14" t="s">
        <v>4245</v>
      </c>
      <c r="C12" s="14" t="s">
        <v>4246</v>
      </c>
      <c r="D12" s="17">
        <v>44135</v>
      </c>
      <c r="E12" s="14" t="s">
        <v>30</v>
      </c>
      <c r="F12" s="14">
        <v>2932</v>
      </c>
      <c r="G12" s="14">
        <v>751</v>
      </c>
      <c r="H12" s="14">
        <v>10</v>
      </c>
      <c r="I12" s="14">
        <v>5</v>
      </c>
      <c r="J12" s="14" t="s">
        <v>31</v>
      </c>
      <c r="K12" s="35">
        <v>1</v>
      </c>
      <c r="L12" s="35" cm="1">
        <f t="array" ref="L12">INT(SUMPRODUCT(--ISNUMBER(SEARCH(healthcare,C12)))&gt;0)</f>
        <v>1</v>
      </c>
      <c r="M12" s="35" cm="1">
        <f t="array" ref="M12">INT(SUMPRODUCT(--ISNUMBER(SEARCH(supreme,C12)))&gt;0)</f>
        <v>0</v>
      </c>
      <c r="N12" s="35" cm="1">
        <f t="array" ref="N12">INT(SUMPRODUCT(--ISNUMBER(SEARCH(covid,C12)))&gt;0)</f>
        <v>0</v>
      </c>
      <c r="O12" s="35" cm="1">
        <f t="array" ref="O12">INT(SUMPRODUCT(--ISNUMBER(SEARCH(violent,C12)))&gt;0)</f>
        <v>0</v>
      </c>
      <c r="P12" s="35" cm="1">
        <f t="array" ref="P12">INT(SUMPRODUCT(--ISNUMBER(SEARCH(foreign,C12)))&gt;0)</f>
        <v>0</v>
      </c>
      <c r="Q12" s="35" cm="1">
        <f t="array" ref="Q12">INT(SUMPRODUCT(--ISNUMBER(SEARCH(gun,C12)))&gt;0)</f>
        <v>0</v>
      </c>
      <c r="R12" s="35" cm="1">
        <f t="array" ref="R12">INT(SUMPRODUCT(--ISNUMBER(SEARCH(race,C12)))&gt;0)</f>
        <v>0</v>
      </c>
      <c r="S12" s="35" cm="1">
        <f t="array" ref="S12">INT(SUMPRODUCT(--ISNUMBER(SEARCH(immigration,C12)))&gt;0)</f>
        <v>0</v>
      </c>
      <c r="T12" s="35" cm="1">
        <f t="array" ref="T12">INT(SUMPRODUCT(--ISNUMBER(SEARCH(econineq,C13)))&gt;0)</f>
        <v>0</v>
      </c>
      <c r="U12" s="35" cm="1">
        <f t="array" ref="U12">INT(SUMPRODUCT(--ISNUMBER(SEARCH(climate,C12)))&gt;0)</f>
        <v>0</v>
      </c>
      <c r="V12" s="35" cm="1">
        <f t="array" ref="V12">INT(SUMPRODUCT(--ISNUMBER(SEARCH(abortion,C12)))&gt;0)</f>
        <v>0</v>
      </c>
      <c r="W12" s="35" cm="1">
        <f t="array" ref="W12">INT(SUMPRODUCT(--ISNUMBER(SEARCH(trump,C12)))&gt;0)</f>
        <v>0</v>
      </c>
      <c r="X12" s="35" cm="1">
        <f t="array" ref="X12">INT(SUMPRODUCT(--ISNUMBER(SEARCH(voting,C12)))&gt;0)</f>
        <v>1</v>
      </c>
      <c r="Y12" s="35" cm="1">
        <f t="array" ref="Y12">INT(SUMPRODUCT(--ISNUMBER(SEARCH(republicantrigger,C12)))&gt;0)</f>
        <v>1</v>
      </c>
      <c r="Z12" s="35" cm="1">
        <f t="array" ref="Z12">INT(SUMPRODUCT(--ISNUMBER(SEARCH(bipartisan,C12)))&gt;0)</f>
        <v>0</v>
      </c>
      <c r="AA12" s="35">
        <f t="shared" si="0"/>
        <v>0</v>
      </c>
      <c r="AB12" s="35"/>
      <c r="AC12" s="35">
        <v>0</v>
      </c>
      <c r="AD12" s="92">
        <v>1</v>
      </c>
    </row>
    <row r="13" spans="1:30" x14ac:dyDescent="0.25">
      <c r="A13" s="36">
        <v>2111</v>
      </c>
      <c r="B13" s="14" t="s">
        <v>4247</v>
      </c>
      <c r="C13" s="14" t="s">
        <v>4248</v>
      </c>
      <c r="D13" s="17">
        <v>44134</v>
      </c>
      <c r="E13" s="14" t="s">
        <v>30</v>
      </c>
      <c r="F13" s="14">
        <v>2953</v>
      </c>
      <c r="G13" s="14">
        <v>812</v>
      </c>
      <c r="H13" s="14">
        <v>10</v>
      </c>
      <c r="I13" s="14">
        <v>5</v>
      </c>
      <c r="J13" s="14" t="s">
        <v>31</v>
      </c>
      <c r="K13" s="35" cm="1">
        <f t="array" ref="K13">INT(SUMPRODUCT(--ISNUMBER(SEARCH(economy,C13)))&gt;0)</f>
        <v>0</v>
      </c>
      <c r="L13" s="35" cm="1">
        <f t="array" ref="L13">INT(SUMPRODUCT(--ISNUMBER(SEARCH(healthcare,C13)))&gt;0)</f>
        <v>0</v>
      </c>
      <c r="M13" s="35" cm="1">
        <f t="array" ref="M13">INT(SUMPRODUCT(--ISNUMBER(SEARCH(supreme,C13)))&gt;0)</f>
        <v>0</v>
      </c>
      <c r="N13" s="35" cm="1">
        <f t="array" ref="N13">INT(SUMPRODUCT(--ISNUMBER(SEARCH(covid,C13)))&gt;0)</f>
        <v>0</v>
      </c>
      <c r="O13" s="35" cm="1">
        <f t="array" ref="O13">INT(SUMPRODUCT(--ISNUMBER(SEARCH(violent,C13)))&gt;0)</f>
        <v>0</v>
      </c>
      <c r="P13" s="35" cm="1">
        <f t="array" ref="P13">INT(SUMPRODUCT(--ISNUMBER(SEARCH(foreign,C13)))&gt;0)</f>
        <v>0</v>
      </c>
      <c r="Q13" s="35" cm="1">
        <f t="array" ref="Q13">INT(SUMPRODUCT(--ISNUMBER(SEARCH(gun,C13)))&gt;0)</f>
        <v>0</v>
      </c>
      <c r="R13" s="35" cm="1">
        <f t="array" ref="R13">INT(SUMPRODUCT(--ISNUMBER(SEARCH(race,C13)))&gt;0)</f>
        <v>0</v>
      </c>
      <c r="S13" s="35" cm="1">
        <f t="array" ref="S13">INT(SUMPRODUCT(--ISNUMBER(SEARCH(immigration,C13)))&gt;0)</f>
        <v>0</v>
      </c>
      <c r="T13" s="35" cm="1">
        <f t="array" ref="T13">INT(SUMPRODUCT(--ISNUMBER(SEARCH(econineq,C14)))&gt;0)</f>
        <v>0</v>
      </c>
      <c r="U13" s="35" cm="1">
        <f t="array" ref="U13">INT(SUMPRODUCT(--ISNUMBER(SEARCH(climate,C13)))&gt;0)</f>
        <v>0</v>
      </c>
      <c r="V13" s="35" cm="1">
        <f t="array" ref="V13">INT(SUMPRODUCT(--ISNUMBER(SEARCH(abortion,C13)))&gt;0)</f>
        <v>0</v>
      </c>
      <c r="W13" s="35" cm="1">
        <f t="array" ref="W13">INT(SUMPRODUCT(--ISNUMBER(SEARCH(trump,C13)))&gt;0)</f>
        <v>0</v>
      </c>
      <c r="X13" s="35" cm="1">
        <f t="array" ref="X13">INT(SUMPRODUCT(--ISNUMBER(SEARCH(voting,C13)))&gt;0)</f>
        <v>0</v>
      </c>
      <c r="Y13" s="35" cm="1">
        <f t="array" ref="Y13">INT(SUMPRODUCT(--ISNUMBER(SEARCH(republicantrigger,C13)))&gt;0)</f>
        <v>1</v>
      </c>
      <c r="Z13" s="35" cm="1">
        <f t="array" ref="Z13">INT(SUMPRODUCT(--ISNUMBER(SEARCH(bipartisan,C13)))&gt;0)</f>
        <v>0</v>
      </c>
      <c r="AA13" s="35">
        <f t="shared" si="0"/>
        <v>0</v>
      </c>
      <c r="AB13" s="35"/>
      <c r="AC13" s="35">
        <v>0</v>
      </c>
      <c r="AD13" s="92">
        <v>1</v>
      </c>
    </row>
    <row r="14" spans="1:30" x14ac:dyDescent="0.25">
      <c r="A14" s="36">
        <v>2112</v>
      </c>
      <c r="B14" s="14" t="s">
        <v>4249</v>
      </c>
      <c r="C14" s="14" t="s">
        <v>4250</v>
      </c>
      <c r="D14" s="17">
        <v>44133</v>
      </c>
      <c r="E14" s="14" t="s">
        <v>30</v>
      </c>
      <c r="F14" s="14">
        <v>1910</v>
      </c>
      <c r="G14" s="14">
        <v>479</v>
      </c>
      <c r="H14" s="14">
        <v>10</v>
      </c>
      <c r="I14" s="14">
        <v>5</v>
      </c>
      <c r="J14" s="14" t="s">
        <v>31</v>
      </c>
      <c r="K14" s="35" cm="1">
        <f t="array" ref="K14">INT(SUMPRODUCT(--ISNUMBER(SEARCH(economy,C14)))&gt;0)</f>
        <v>0</v>
      </c>
      <c r="L14" s="35" cm="1">
        <f t="array" ref="L14">INT(SUMPRODUCT(--ISNUMBER(SEARCH(healthcare,C14)))&gt;0)</f>
        <v>0</v>
      </c>
      <c r="M14" s="35" cm="1">
        <f t="array" ref="M14">INT(SUMPRODUCT(--ISNUMBER(SEARCH(supreme,C14)))&gt;0)</f>
        <v>0</v>
      </c>
      <c r="N14" s="35" cm="1">
        <f t="array" ref="N14">INT(SUMPRODUCT(--ISNUMBER(SEARCH(covid,C14)))&gt;0)</f>
        <v>0</v>
      </c>
      <c r="O14" s="35" cm="1">
        <f t="array" ref="O14">INT(SUMPRODUCT(--ISNUMBER(SEARCH(violent,C14)))&gt;0)</f>
        <v>0</v>
      </c>
      <c r="P14" s="35" cm="1">
        <f t="array" ref="P14">INT(SUMPRODUCT(--ISNUMBER(SEARCH(foreign,C14)))&gt;0)</f>
        <v>0</v>
      </c>
      <c r="Q14" s="35" cm="1">
        <f t="array" ref="Q14">INT(SUMPRODUCT(--ISNUMBER(SEARCH(gun,C14)))&gt;0)</f>
        <v>0</v>
      </c>
      <c r="R14" s="35" cm="1">
        <f t="array" ref="R14">INT(SUMPRODUCT(--ISNUMBER(SEARCH(race,C14)))&gt;0)</f>
        <v>0</v>
      </c>
      <c r="S14" s="35" cm="1">
        <f t="array" ref="S14">INT(SUMPRODUCT(--ISNUMBER(SEARCH(immigration,C14)))&gt;0)</f>
        <v>0</v>
      </c>
      <c r="T14" s="35" cm="1">
        <f t="array" ref="T14">INT(SUMPRODUCT(--ISNUMBER(SEARCH(econineq,C15)))&gt;0)</f>
        <v>0</v>
      </c>
      <c r="U14" s="35" cm="1">
        <f t="array" ref="U14">INT(SUMPRODUCT(--ISNUMBER(SEARCH(climate,C14)))&gt;0)</f>
        <v>0</v>
      </c>
      <c r="V14" s="35" cm="1">
        <f t="array" ref="V14">INT(SUMPRODUCT(--ISNUMBER(SEARCH(abortion,C14)))&gt;0)</f>
        <v>0</v>
      </c>
      <c r="W14" s="35" cm="1">
        <f t="array" ref="W14">INT(SUMPRODUCT(--ISNUMBER(SEARCH(trump,C14)))&gt;0)</f>
        <v>0</v>
      </c>
      <c r="X14" s="35" cm="1">
        <f t="array" ref="X14">INT(SUMPRODUCT(--ISNUMBER(SEARCH(voting,C14)))&gt;0)</f>
        <v>1</v>
      </c>
      <c r="Y14" s="35">
        <v>1</v>
      </c>
      <c r="Z14" s="35">
        <v>1</v>
      </c>
      <c r="AA14" s="35">
        <f t="shared" si="0"/>
        <v>0</v>
      </c>
      <c r="AB14" s="35"/>
      <c r="AC14" s="35">
        <v>0</v>
      </c>
      <c r="AD14" s="92">
        <v>1</v>
      </c>
    </row>
    <row r="15" spans="1:30" x14ac:dyDescent="0.25">
      <c r="A15" s="36">
        <v>2113</v>
      </c>
      <c r="B15" s="14" t="s">
        <v>4251</v>
      </c>
      <c r="C15" s="14" t="s">
        <v>4252</v>
      </c>
      <c r="D15" s="17">
        <v>44133</v>
      </c>
      <c r="E15" s="14" t="s">
        <v>30</v>
      </c>
      <c r="F15" s="14">
        <v>5594</v>
      </c>
      <c r="G15" s="14">
        <v>1924</v>
      </c>
      <c r="H15" s="14">
        <v>10</v>
      </c>
      <c r="I15" s="14">
        <v>5</v>
      </c>
      <c r="J15" s="14" t="s">
        <v>31</v>
      </c>
      <c r="K15" s="35">
        <v>1</v>
      </c>
      <c r="L15" s="35" cm="1">
        <f t="array" ref="L15">INT(SUMPRODUCT(--ISNUMBER(SEARCH(healthcare,C15)))&gt;0)</f>
        <v>0</v>
      </c>
      <c r="M15" s="35" cm="1">
        <f t="array" ref="M15">INT(SUMPRODUCT(--ISNUMBER(SEARCH(supreme,C15)))&gt;0)</f>
        <v>0</v>
      </c>
      <c r="N15" s="35" cm="1">
        <f t="array" ref="N15">INT(SUMPRODUCT(--ISNUMBER(SEARCH(covid,C15)))&gt;0)</f>
        <v>0</v>
      </c>
      <c r="O15" s="35" cm="1">
        <f t="array" ref="O15">INT(SUMPRODUCT(--ISNUMBER(SEARCH(violent,C15)))&gt;0)</f>
        <v>0</v>
      </c>
      <c r="P15" s="35" cm="1">
        <f t="array" ref="P15">INT(SUMPRODUCT(--ISNUMBER(SEARCH(foreign,C15)))&gt;0)</f>
        <v>0</v>
      </c>
      <c r="Q15" s="35" cm="1">
        <f t="array" ref="Q15">INT(SUMPRODUCT(--ISNUMBER(SEARCH(gun,C15)))&gt;0)</f>
        <v>0</v>
      </c>
      <c r="R15" s="35" cm="1">
        <f t="array" ref="R15">INT(SUMPRODUCT(--ISNUMBER(SEARCH(race,C15)))&gt;0)</f>
        <v>0</v>
      </c>
      <c r="S15" s="35" cm="1">
        <f t="array" ref="S15">INT(SUMPRODUCT(--ISNUMBER(SEARCH(immigration,C15)))&gt;0)</f>
        <v>0</v>
      </c>
      <c r="T15" s="35" cm="1">
        <f t="array" ref="T15">INT(SUMPRODUCT(--ISNUMBER(SEARCH(econineq,C16)))&gt;0)</f>
        <v>0</v>
      </c>
      <c r="U15" s="35" cm="1">
        <f t="array" ref="U15">INT(SUMPRODUCT(--ISNUMBER(SEARCH(climate,C15)))&gt;0)</f>
        <v>0</v>
      </c>
      <c r="V15" s="35" cm="1">
        <f t="array" ref="V15">INT(SUMPRODUCT(--ISNUMBER(SEARCH(abortion,C15)))&gt;0)</f>
        <v>0</v>
      </c>
      <c r="W15" s="35" cm="1">
        <f t="array" ref="W15">INT(SUMPRODUCT(--ISNUMBER(SEARCH(trump,C15)))&gt;0)</f>
        <v>0</v>
      </c>
      <c r="X15" s="35">
        <v>1</v>
      </c>
      <c r="Y15" s="35" cm="1">
        <f t="array" ref="Y15">INT(SUMPRODUCT(--ISNUMBER(SEARCH(republicantrigger,C15)))&gt;0)</f>
        <v>1</v>
      </c>
      <c r="Z15" s="35" cm="1">
        <f t="array" ref="Z15">INT(SUMPRODUCT(--ISNUMBER(SEARCH(bipartisan,C15)))&gt;0)</f>
        <v>0</v>
      </c>
      <c r="AA15" s="35">
        <f t="shared" si="0"/>
        <v>0</v>
      </c>
      <c r="AB15" s="35"/>
      <c r="AC15" s="35">
        <v>0</v>
      </c>
      <c r="AD15" s="92">
        <v>1</v>
      </c>
    </row>
    <row r="16" spans="1:30" x14ac:dyDescent="0.25">
      <c r="A16" s="36">
        <v>2114</v>
      </c>
      <c r="B16" s="14" t="s">
        <v>4253</v>
      </c>
      <c r="C16" s="14" t="s">
        <v>4254</v>
      </c>
      <c r="D16" s="17">
        <v>44132</v>
      </c>
      <c r="E16" s="14" t="s">
        <v>30</v>
      </c>
      <c r="F16" s="14">
        <v>6484</v>
      </c>
      <c r="G16" s="14">
        <v>2044</v>
      </c>
      <c r="H16" s="14">
        <v>10</v>
      </c>
      <c r="I16" s="14">
        <v>5</v>
      </c>
      <c r="J16" s="14" t="s">
        <v>31</v>
      </c>
      <c r="K16" s="35">
        <v>1</v>
      </c>
      <c r="L16" s="35" cm="1">
        <f t="array" ref="L16">INT(SUMPRODUCT(--ISNUMBER(SEARCH(healthcare,C16)))&gt;0)</f>
        <v>0</v>
      </c>
      <c r="M16" s="35" cm="1">
        <f t="array" ref="M16">INT(SUMPRODUCT(--ISNUMBER(SEARCH(supreme,C16)))&gt;0)</f>
        <v>0</v>
      </c>
      <c r="N16" s="35" cm="1">
        <f t="array" ref="N16">INT(SUMPRODUCT(--ISNUMBER(SEARCH(covid,C16)))&gt;0)</f>
        <v>0</v>
      </c>
      <c r="O16" s="35" cm="1">
        <f t="array" ref="O16">INT(SUMPRODUCT(--ISNUMBER(SEARCH(violent,C16)))&gt;0)</f>
        <v>0</v>
      </c>
      <c r="P16" s="35" cm="1">
        <f t="array" ref="P16">INT(SUMPRODUCT(--ISNUMBER(SEARCH(foreign,C16)))&gt;0)</f>
        <v>0</v>
      </c>
      <c r="Q16" s="35" cm="1">
        <f t="array" ref="Q16">INT(SUMPRODUCT(--ISNUMBER(SEARCH(gun,C16)))&gt;0)</f>
        <v>0</v>
      </c>
      <c r="R16" s="35" cm="1">
        <f t="array" ref="R16">INT(SUMPRODUCT(--ISNUMBER(SEARCH(race,C16)))&gt;0)</f>
        <v>0</v>
      </c>
      <c r="S16" s="35" cm="1">
        <f t="array" ref="S16">INT(SUMPRODUCT(--ISNUMBER(SEARCH(immigration,C16)))&gt;0)</f>
        <v>0</v>
      </c>
      <c r="T16" s="35" cm="1">
        <f t="array" ref="T16">INT(SUMPRODUCT(--ISNUMBER(SEARCH(econineq,C17)))&gt;0)</f>
        <v>0</v>
      </c>
      <c r="U16" s="35" cm="1">
        <f t="array" ref="U16">INT(SUMPRODUCT(--ISNUMBER(SEARCH(climate,C16)))&gt;0)</f>
        <v>0</v>
      </c>
      <c r="V16" s="35" cm="1">
        <f t="array" ref="V16">INT(SUMPRODUCT(--ISNUMBER(SEARCH(abortion,C16)))&gt;0)</f>
        <v>0</v>
      </c>
      <c r="W16" s="35" cm="1">
        <f t="array" ref="W16">INT(SUMPRODUCT(--ISNUMBER(SEARCH(trump,C16)))&gt;0)</f>
        <v>0</v>
      </c>
      <c r="X16" s="35" cm="1">
        <f t="array" ref="X16">INT(SUMPRODUCT(--ISNUMBER(SEARCH(voting,C16)))&gt;0)</f>
        <v>0</v>
      </c>
      <c r="Y16" s="35" cm="1">
        <f t="array" ref="Y16">INT(SUMPRODUCT(--ISNUMBER(SEARCH(republicantrigger,C16)))&gt;0)</f>
        <v>0</v>
      </c>
      <c r="Z16" s="35" cm="1">
        <f t="array" ref="Z16">INT(SUMPRODUCT(--ISNUMBER(SEARCH(bipartisan,C16)))&gt;0)</f>
        <v>0</v>
      </c>
      <c r="AA16" s="35">
        <f t="shared" si="0"/>
        <v>0</v>
      </c>
      <c r="AB16" s="35"/>
      <c r="AC16" s="35">
        <v>0</v>
      </c>
      <c r="AD16" s="92">
        <v>1</v>
      </c>
    </row>
    <row r="17" spans="1:30" x14ac:dyDescent="0.25">
      <c r="A17" s="36">
        <v>2115</v>
      </c>
      <c r="B17" s="14" t="s">
        <v>4255</v>
      </c>
      <c r="C17" s="14" t="s">
        <v>4256</v>
      </c>
      <c r="D17" s="17">
        <v>44131</v>
      </c>
      <c r="E17" s="14" t="s">
        <v>30</v>
      </c>
      <c r="F17" s="14">
        <v>2933</v>
      </c>
      <c r="G17" s="14">
        <v>584</v>
      </c>
      <c r="H17" s="14">
        <v>10</v>
      </c>
      <c r="I17" s="14">
        <v>5</v>
      </c>
      <c r="J17" s="14" t="s">
        <v>31</v>
      </c>
      <c r="K17" s="14" cm="1">
        <f t="array" ref="K17">INT(SUMPRODUCT(--ISNUMBER(SEARCH(economy,C17)))&gt;0)</f>
        <v>0</v>
      </c>
      <c r="L17" s="14" cm="1">
        <f t="array" ref="L17">INT(SUMPRODUCT(--ISNUMBER(SEARCH(healthcare,C17)))&gt;0)</f>
        <v>0</v>
      </c>
      <c r="M17" s="14" cm="1">
        <f t="array" ref="M17">INT(SUMPRODUCT(--ISNUMBER(SEARCH(supreme,C17)))&gt;0)</f>
        <v>0</v>
      </c>
      <c r="N17" s="14" cm="1">
        <f t="array" ref="N17">INT(SUMPRODUCT(--ISNUMBER(SEARCH(covid,C17)))&gt;0)</f>
        <v>0</v>
      </c>
      <c r="O17" s="14" cm="1">
        <f t="array" ref="O17">INT(SUMPRODUCT(--ISNUMBER(SEARCH(violent,C17)))&gt;0)</f>
        <v>0</v>
      </c>
      <c r="P17" s="14" cm="1">
        <f t="array" ref="P17">INT(SUMPRODUCT(--ISNUMBER(SEARCH(foreign,C17)))&gt;0)</f>
        <v>1</v>
      </c>
      <c r="Q17" s="14" cm="1">
        <f t="array" ref="Q17">INT(SUMPRODUCT(--ISNUMBER(SEARCH(gun,C17)))&gt;0)</f>
        <v>0</v>
      </c>
      <c r="R17" s="14" cm="1">
        <f t="array" ref="R17">INT(SUMPRODUCT(--ISNUMBER(SEARCH(race,C17)))&gt;0)</f>
        <v>0</v>
      </c>
      <c r="S17" s="14" cm="1">
        <f t="array" ref="S17">INT(SUMPRODUCT(--ISNUMBER(SEARCH(immigration,C17)))&gt;0)</f>
        <v>0</v>
      </c>
      <c r="T17" s="14" cm="1">
        <f t="array" ref="T17">INT(SUMPRODUCT(--ISNUMBER(SEARCH(econineq,C18)))&gt;0)</f>
        <v>0</v>
      </c>
      <c r="U17" s="14" cm="1">
        <f t="array" ref="U17">INT(SUMPRODUCT(--ISNUMBER(SEARCH(climate,C17)))&gt;0)</f>
        <v>0</v>
      </c>
      <c r="V17" s="14" cm="1">
        <f t="array" ref="V17">INT(SUMPRODUCT(--ISNUMBER(SEARCH(abortion,C17)))&gt;0)</f>
        <v>0</v>
      </c>
      <c r="W17" s="14" cm="1">
        <f t="array" ref="W17">INT(SUMPRODUCT(--ISNUMBER(SEARCH(trump,C17)))&gt;0)</f>
        <v>0</v>
      </c>
      <c r="X17" s="14" cm="1">
        <f t="array" ref="X17">INT(SUMPRODUCT(--ISNUMBER(SEARCH(voting,C17)))&gt;0)</f>
        <v>1</v>
      </c>
      <c r="Y17" s="14" cm="1">
        <f t="array" ref="Y17">INT(SUMPRODUCT(--ISNUMBER(SEARCH(republicantrigger,C17)))&gt;0)</f>
        <v>0</v>
      </c>
      <c r="Z17" s="14" cm="1">
        <f t="array" ref="Z17">INT(SUMPRODUCT(--ISNUMBER(SEARCH(bipartisan,C17)))&gt;0)</f>
        <v>0</v>
      </c>
      <c r="AA17" s="14">
        <f t="shared" si="0"/>
        <v>0</v>
      </c>
      <c r="AB17" s="14"/>
      <c r="AC17" s="30" t="s">
        <v>223</v>
      </c>
      <c r="AD17" s="37" t="s">
        <v>223</v>
      </c>
    </row>
    <row r="18" spans="1:30" x14ac:dyDescent="0.25">
      <c r="A18" s="36">
        <v>2116</v>
      </c>
      <c r="B18" s="14" t="s">
        <v>4257</v>
      </c>
      <c r="C18" s="14" t="s">
        <v>4258</v>
      </c>
      <c r="D18" s="17">
        <v>44131</v>
      </c>
      <c r="E18" s="14" t="s">
        <v>30</v>
      </c>
      <c r="F18" s="14">
        <v>1748</v>
      </c>
      <c r="G18" s="14">
        <v>658</v>
      </c>
      <c r="H18" s="14">
        <v>10</v>
      </c>
      <c r="I18" s="14">
        <v>5</v>
      </c>
      <c r="J18" s="14" t="s">
        <v>31</v>
      </c>
      <c r="K18" s="33" cm="1">
        <f t="array" ref="K18">INT(SUMPRODUCT(--ISNUMBER(SEARCH(economy,C18)))&gt;0)</f>
        <v>1</v>
      </c>
      <c r="L18" s="33" cm="1">
        <f t="array" ref="L18">INT(SUMPRODUCT(--ISNUMBER(SEARCH(healthcare,C18)))&gt;0)</f>
        <v>0</v>
      </c>
      <c r="M18" s="33" cm="1">
        <f t="array" ref="M18">INT(SUMPRODUCT(--ISNUMBER(SEARCH(supreme,C18)))&gt;0)</f>
        <v>0</v>
      </c>
      <c r="N18" s="33" cm="1">
        <f t="array" ref="N18">INT(SUMPRODUCT(--ISNUMBER(SEARCH(covid,C18)))&gt;0)</f>
        <v>0</v>
      </c>
      <c r="O18" s="33" cm="1">
        <f t="array" ref="O18">INT(SUMPRODUCT(--ISNUMBER(SEARCH(violent,C18)))&gt;0)</f>
        <v>0</v>
      </c>
      <c r="P18" s="33" cm="1">
        <f t="array" ref="P18">INT(SUMPRODUCT(--ISNUMBER(SEARCH(foreign,C18)))&gt;0)</f>
        <v>0</v>
      </c>
      <c r="Q18" s="33" cm="1">
        <f t="array" ref="Q18">INT(SUMPRODUCT(--ISNUMBER(SEARCH(gun,C18)))&gt;0)</f>
        <v>0</v>
      </c>
      <c r="R18" s="33" cm="1">
        <f t="array" ref="R18">INT(SUMPRODUCT(--ISNUMBER(SEARCH(race,C18)))&gt;0)</f>
        <v>0</v>
      </c>
      <c r="S18" s="33" cm="1">
        <f t="array" ref="S18">INT(SUMPRODUCT(--ISNUMBER(SEARCH(immigration,C18)))&gt;0)</f>
        <v>0</v>
      </c>
      <c r="T18" s="33" cm="1">
        <f t="array" ref="T18">INT(SUMPRODUCT(--ISNUMBER(SEARCH(econineq,C19)))&gt;0)</f>
        <v>0</v>
      </c>
      <c r="U18" s="33" cm="1">
        <f t="array" ref="U18">INT(SUMPRODUCT(--ISNUMBER(SEARCH(climate,C18)))&gt;0)</f>
        <v>0</v>
      </c>
      <c r="V18" s="33" cm="1">
        <f t="array" ref="V18">INT(SUMPRODUCT(--ISNUMBER(SEARCH(abortion,C18)))&gt;0)</f>
        <v>0</v>
      </c>
      <c r="W18" s="33" cm="1">
        <f t="array" ref="W18">INT(SUMPRODUCT(--ISNUMBER(SEARCH(trump,C18)))&gt;0)</f>
        <v>0</v>
      </c>
      <c r="X18" s="33" cm="1">
        <f t="array" ref="X18">INT(SUMPRODUCT(--ISNUMBER(SEARCH(voting,C18)))&gt;0)</f>
        <v>0</v>
      </c>
      <c r="Y18" s="33" cm="1">
        <f t="array" ref="Y18">INT(SUMPRODUCT(--ISNUMBER(SEARCH(republicantrigger,C18)))&gt;0)</f>
        <v>1</v>
      </c>
      <c r="Z18" s="33" cm="1">
        <f t="array" ref="Z18">INT(SUMPRODUCT(--ISNUMBER(SEARCH(bipartisan,C18)))&gt;0)</f>
        <v>0</v>
      </c>
      <c r="AA18" s="33">
        <f t="shared" si="0"/>
        <v>0</v>
      </c>
      <c r="AB18" s="33"/>
      <c r="AC18" s="33">
        <v>0</v>
      </c>
      <c r="AD18" s="56">
        <v>1</v>
      </c>
    </row>
    <row r="19" spans="1:30" x14ac:dyDescent="0.25">
      <c r="A19" s="36">
        <v>2117</v>
      </c>
      <c r="B19" s="14" t="s">
        <v>4259</v>
      </c>
      <c r="C19" s="14" t="s">
        <v>4260</v>
      </c>
      <c r="D19" s="17">
        <v>44130</v>
      </c>
      <c r="E19" s="14" t="s">
        <v>30</v>
      </c>
      <c r="F19" s="14">
        <v>1662</v>
      </c>
      <c r="G19" s="14">
        <v>432</v>
      </c>
      <c r="H19" s="14">
        <v>10</v>
      </c>
      <c r="I19" s="14">
        <v>5</v>
      </c>
      <c r="J19" s="14" t="s">
        <v>31</v>
      </c>
      <c r="K19" s="14" cm="1">
        <f t="array" ref="K19">INT(SUMPRODUCT(--ISNUMBER(SEARCH(economy,C19)))&gt;0)</f>
        <v>0</v>
      </c>
      <c r="L19" s="14" cm="1">
        <f t="array" ref="L19">INT(SUMPRODUCT(--ISNUMBER(SEARCH(healthcare,C19)))&gt;0)</f>
        <v>0</v>
      </c>
      <c r="M19" s="14" cm="1">
        <f t="array" ref="M19">INT(SUMPRODUCT(--ISNUMBER(SEARCH(supreme,C19)))&gt;0)</f>
        <v>0</v>
      </c>
      <c r="N19" s="14" cm="1">
        <f t="array" ref="N19">INT(SUMPRODUCT(--ISNUMBER(SEARCH(covid,C19)))&gt;0)</f>
        <v>0</v>
      </c>
      <c r="O19" s="14" cm="1">
        <f t="array" ref="O19">INT(SUMPRODUCT(--ISNUMBER(SEARCH(violent,C19)))&gt;0)</f>
        <v>0</v>
      </c>
      <c r="P19" s="14" cm="1">
        <f t="array" ref="P19">INT(SUMPRODUCT(--ISNUMBER(SEARCH(foreign,C19)))&gt;0)</f>
        <v>0</v>
      </c>
      <c r="Q19" s="14" cm="1">
        <f t="array" ref="Q19">INT(SUMPRODUCT(--ISNUMBER(SEARCH(gun,C19)))&gt;0)</f>
        <v>1</v>
      </c>
      <c r="R19" s="14" cm="1">
        <f t="array" ref="R19">INT(SUMPRODUCT(--ISNUMBER(SEARCH(race,C19)))&gt;0)</f>
        <v>0</v>
      </c>
      <c r="S19" s="14" cm="1">
        <f t="array" ref="S19">INT(SUMPRODUCT(--ISNUMBER(SEARCH(immigration,C19)))&gt;0)</f>
        <v>0</v>
      </c>
      <c r="T19" s="14" cm="1">
        <f t="array" ref="T19">INT(SUMPRODUCT(--ISNUMBER(SEARCH(econineq,C20)))&gt;0)</f>
        <v>0</v>
      </c>
      <c r="U19" s="14" cm="1">
        <f t="array" ref="U19">INT(SUMPRODUCT(--ISNUMBER(SEARCH(climate,C19)))&gt;0)</f>
        <v>0</v>
      </c>
      <c r="V19" s="14" cm="1">
        <f t="array" ref="V19">INT(SUMPRODUCT(--ISNUMBER(SEARCH(abortion,C19)))&gt;0)</f>
        <v>0</v>
      </c>
      <c r="W19" s="14" cm="1">
        <f t="array" ref="W19">INT(SUMPRODUCT(--ISNUMBER(SEARCH(trump,C19)))&gt;0)</f>
        <v>0</v>
      </c>
      <c r="X19" s="14" cm="1">
        <f t="array" ref="X19">INT(SUMPRODUCT(--ISNUMBER(SEARCH(voting,C19)))&gt;0)</f>
        <v>0</v>
      </c>
      <c r="Y19" s="14" cm="1">
        <f t="array" ref="Y19">INT(SUMPRODUCT(--ISNUMBER(SEARCH(republicantrigger,C19)))&gt;0)</f>
        <v>0</v>
      </c>
      <c r="Z19" s="14" cm="1">
        <f t="array" ref="Z19">INT(SUMPRODUCT(--ISNUMBER(SEARCH(bipartisan,C19)))&gt;0)</f>
        <v>0</v>
      </c>
      <c r="AA19" s="14">
        <f t="shared" si="0"/>
        <v>0</v>
      </c>
      <c r="AB19" s="14"/>
      <c r="AC19" s="30">
        <v>1</v>
      </c>
      <c r="AD19" s="37">
        <v>0</v>
      </c>
    </row>
    <row r="20" spans="1:30" x14ac:dyDescent="0.25">
      <c r="A20" s="36">
        <v>2118</v>
      </c>
      <c r="B20" s="14" t="s">
        <v>4261</v>
      </c>
      <c r="C20" s="14" t="s">
        <v>4262</v>
      </c>
      <c r="D20" s="17">
        <v>44128</v>
      </c>
      <c r="E20" s="14" t="s">
        <v>30</v>
      </c>
      <c r="F20" s="14">
        <v>1801</v>
      </c>
      <c r="G20" s="14">
        <v>230</v>
      </c>
      <c r="H20" s="14">
        <v>10</v>
      </c>
      <c r="I20" s="14">
        <v>5</v>
      </c>
      <c r="J20" s="14" t="s">
        <v>31</v>
      </c>
      <c r="K20" s="14" cm="1">
        <f t="array" ref="K20">INT(SUMPRODUCT(--ISNUMBER(SEARCH(economy,C20)))&gt;0)</f>
        <v>0</v>
      </c>
      <c r="L20" s="14" cm="1">
        <f t="array" ref="L20">INT(SUMPRODUCT(--ISNUMBER(SEARCH(healthcare,C20)))&gt;0)</f>
        <v>0</v>
      </c>
      <c r="M20" s="14" cm="1">
        <f t="array" ref="M20">INT(SUMPRODUCT(--ISNUMBER(SEARCH(supreme,C20)))&gt;0)</f>
        <v>0</v>
      </c>
      <c r="N20" s="14" cm="1">
        <f t="array" ref="N20">INT(SUMPRODUCT(--ISNUMBER(SEARCH(covid,C20)))&gt;0)</f>
        <v>0</v>
      </c>
      <c r="O20" s="14" cm="1">
        <f t="array" ref="O20">INT(SUMPRODUCT(--ISNUMBER(SEARCH(violent,C20)))&gt;0)</f>
        <v>0</v>
      </c>
      <c r="P20" s="14" cm="1">
        <f t="array" ref="P20">INT(SUMPRODUCT(--ISNUMBER(SEARCH(foreign,C20)))&gt;0)</f>
        <v>1</v>
      </c>
      <c r="Q20" s="14" cm="1">
        <f t="array" ref="Q20">INT(SUMPRODUCT(--ISNUMBER(SEARCH(gun,C20)))&gt;0)</f>
        <v>0</v>
      </c>
      <c r="R20" s="14" cm="1">
        <f t="array" ref="R20">INT(SUMPRODUCT(--ISNUMBER(SEARCH(race,C20)))&gt;0)</f>
        <v>0</v>
      </c>
      <c r="S20" s="14" cm="1">
        <f t="array" ref="S20">INT(SUMPRODUCT(--ISNUMBER(SEARCH(immigration,C20)))&gt;0)</f>
        <v>0</v>
      </c>
      <c r="T20" s="14" cm="1">
        <f t="array" ref="T20">INT(SUMPRODUCT(--ISNUMBER(SEARCH(econineq,C21)))&gt;0)</f>
        <v>0</v>
      </c>
      <c r="U20" s="14" cm="1">
        <f t="array" ref="U20">INT(SUMPRODUCT(--ISNUMBER(SEARCH(climate,C20)))&gt;0)</f>
        <v>0</v>
      </c>
      <c r="V20" s="14" cm="1">
        <f t="array" ref="V20">INT(SUMPRODUCT(--ISNUMBER(SEARCH(abortion,C20)))&gt;0)</f>
        <v>0</v>
      </c>
      <c r="W20" s="14" cm="1">
        <f t="array" ref="W20">INT(SUMPRODUCT(--ISNUMBER(SEARCH(trump,C20)))&gt;0)</f>
        <v>0</v>
      </c>
      <c r="X20" s="14" cm="1">
        <f t="array" ref="X20">INT(SUMPRODUCT(--ISNUMBER(SEARCH(voting,C20)))&gt;0)</f>
        <v>0</v>
      </c>
      <c r="Y20" s="14" cm="1">
        <f t="array" ref="Y20">INT(SUMPRODUCT(--ISNUMBER(SEARCH(republicantrigger,C20)))&gt;0)</f>
        <v>0</v>
      </c>
      <c r="Z20" s="14" cm="1">
        <f t="array" ref="Z20">INT(SUMPRODUCT(--ISNUMBER(SEARCH(bipartisan,C20)))&gt;0)</f>
        <v>0</v>
      </c>
      <c r="AA20" s="14">
        <f t="shared" si="0"/>
        <v>0</v>
      </c>
      <c r="AB20" s="14"/>
      <c r="AC20" s="30">
        <v>1</v>
      </c>
      <c r="AD20" s="37">
        <v>0</v>
      </c>
    </row>
    <row r="21" spans="1:30" x14ac:dyDescent="0.25">
      <c r="A21" s="36">
        <v>2119</v>
      </c>
      <c r="B21" s="14" t="s">
        <v>4263</v>
      </c>
      <c r="C21" s="14" t="s">
        <v>4264</v>
      </c>
      <c r="D21" s="17">
        <v>44128</v>
      </c>
      <c r="E21" s="14" t="s">
        <v>30</v>
      </c>
      <c r="F21" s="14">
        <v>2514</v>
      </c>
      <c r="G21" s="14">
        <v>585</v>
      </c>
      <c r="H21" s="14">
        <v>10</v>
      </c>
      <c r="I21" s="14">
        <v>5</v>
      </c>
      <c r="J21" s="14" t="s">
        <v>31</v>
      </c>
      <c r="K21" s="14" cm="1">
        <f t="array" ref="K21">INT(SUMPRODUCT(--ISNUMBER(SEARCH(economy,C21)))&gt;0)</f>
        <v>0</v>
      </c>
      <c r="L21" s="14" cm="1">
        <f t="array" ref="L21">INT(SUMPRODUCT(--ISNUMBER(SEARCH(healthcare,C21)))&gt;0)</f>
        <v>0</v>
      </c>
      <c r="M21" s="14" cm="1">
        <f t="array" ref="M21">INT(SUMPRODUCT(--ISNUMBER(SEARCH(supreme,C21)))&gt;0)</f>
        <v>0</v>
      </c>
      <c r="N21" s="14" cm="1">
        <f t="array" ref="N21">INT(SUMPRODUCT(--ISNUMBER(SEARCH(covid,C21)))&gt;0)</f>
        <v>0</v>
      </c>
      <c r="O21" s="14" cm="1">
        <f t="array" ref="O21">INT(SUMPRODUCT(--ISNUMBER(SEARCH(violent,C21)))&gt;0)</f>
        <v>0</v>
      </c>
      <c r="P21" s="14" cm="1">
        <f t="array" ref="P21">INT(SUMPRODUCT(--ISNUMBER(SEARCH(foreign,C21)))&gt;0)</f>
        <v>1</v>
      </c>
      <c r="Q21" s="14" cm="1">
        <f t="array" ref="Q21">INT(SUMPRODUCT(--ISNUMBER(SEARCH(gun,C21)))&gt;0)</f>
        <v>0</v>
      </c>
      <c r="R21" s="14" cm="1">
        <f t="array" ref="R21">INT(SUMPRODUCT(--ISNUMBER(SEARCH(race,C21)))&gt;0)</f>
        <v>0</v>
      </c>
      <c r="S21" s="14" cm="1">
        <f t="array" ref="S21">INT(SUMPRODUCT(--ISNUMBER(SEARCH(immigration,C21)))&gt;0)</f>
        <v>0</v>
      </c>
      <c r="T21" s="14" cm="1">
        <f t="array" ref="T21">INT(SUMPRODUCT(--ISNUMBER(SEARCH(econineq,C22)))&gt;0)</f>
        <v>0</v>
      </c>
      <c r="U21" s="14" cm="1">
        <f t="array" ref="U21">INT(SUMPRODUCT(--ISNUMBER(SEARCH(climate,C21)))&gt;0)</f>
        <v>0</v>
      </c>
      <c r="V21" s="14" cm="1">
        <f t="array" ref="V21">INT(SUMPRODUCT(--ISNUMBER(SEARCH(abortion,C21)))&gt;0)</f>
        <v>0</v>
      </c>
      <c r="W21" s="14" cm="1">
        <f t="array" ref="W21">INT(SUMPRODUCT(--ISNUMBER(SEARCH(trump,C21)))&gt;0)</f>
        <v>0</v>
      </c>
      <c r="X21" s="14" cm="1">
        <f t="array" ref="X21">INT(SUMPRODUCT(--ISNUMBER(SEARCH(voting,C21)))&gt;0)</f>
        <v>1</v>
      </c>
      <c r="Y21" s="14" cm="1">
        <f t="array" ref="Y21">INT(SUMPRODUCT(--ISNUMBER(SEARCH(republicantrigger,C21)))&gt;0)</f>
        <v>1</v>
      </c>
      <c r="Z21" s="14" cm="1">
        <f t="array" ref="Z21">INT(SUMPRODUCT(--ISNUMBER(SEARCH(bipartisan,C21)))&gt;0)</f>
        <v>0</v>
      </c>
      <c r="AA21" s="14">
        <f t="shared" si="0"/>
        <v>0</v>
      </c>
      <c r="AB21" s="14"/>
      <c r="AC21" s="30">
        <v>1</v>
      </c>
      <c r="AD21" s="37">
        <v>0</v>
      </c>
    </row>
    <row r="22" spans="1:30" x14ac:dyDescent="0.25">
      <c r="A22" s="36">
        <v>2120</v>
      </c>
      <c r="B22" s="14" t="s">
        <v>4265</v>
      </c>
      <c r="C22" s="14" t="s">
        <v>4266</v>
      </c>
      <c r="D22" s="17">
        <v>44128</v>
      </c>
      <c r="E22" s="14" t="s">
        <v>30</v>
      </c>
      <c r="F22" s="14">
        <v>1108</v>
      </c>
      <c r="G22" s="14">
        <v>348</v>
      </c>
      <c r="H22" s="14">
        <v>10</v>
      </c>
      <c r="I22" s="14">
        <v>5</v>
      </c>
      <c r="J22" s="14" t="s">
        <v>31</v>
      </c>
      <c r="K22" s="14" cm="1">
        <f t="array" ref="K22">INT(SUMPRODUCT(--ISNUMBER(SEARCH(economy,C22)))&gt;0)</f>
        <v>0</v>
      </c>
      <c r="L22" s="14" cm="1">
        <f t="array" ref="L22">INT(SUMPRODUCT(--ISNUMBER(SEARCH(healthcare,C22)))&gt;0)</f>
        <v>0</v>
      </c>
      <c r="M22" s="14" cm="1">
        <f t="array" ref="M22">INT(SUMPRODUCT(--ISNUMBER(SEARCH(supreme,C22)))&gt;0)</f>
        <v>0</v>
      </c>
      <c r="N22" s="14" cm="1">
        <f t="array" ref="N22">INT(SUMPRODUCT(--ISNUMBER(SEARCH(covid,C22)))&gt;0)</f>
        <v>0</v>
      </c>
      <c r="O22" s="14" cm="1">
        <f t="array" ref="O22">INT(SUMPRODUCT(--ISNUMBER(SEARCH(violent,C22)))&gt;0)</f>
        <v>0</v>
      </c>
      <c r="P22" s="14" cm="1">
        <f t="array" ref="P22">INT(SUMPRODUCT(--ISNUMBER(SEARCH(foreign,C22)))&gt;0)</f>
        <v>0</v>
      </c>
      <c r="Q22" s="14" cm="1">
        <f t="array" ref="Q22">INT(SUMPRODUCT(--ISNUMBER(SEARCH(gun,C22)))&gt;0)</f>
        <v>0</v>
      </c>
      <c r="R22" s="14" cm="1">
        <f t="array" ref="R22">INT(SUMPRODUCT(--ISNUMBER(SEARCH(race,C22)))&gt;0)</f>
        <v>0</v>
      </c>
      <c r="S22" s="14" cm="1">
        <f t="array" ref="S22">INT(SUMPRODUCT(--ISNUMBER(SEARCH(immigration,C22)))&gt;0)</f>
        <v>0</v>
      </c>
      <c r="T22" s="14" cm="1">
        <f t="array" ref="T22">INT(SUMPRODUCT(--ISNUMBER(SEARCH(econineq,C23)))&gt;0)</f>
        <v>0</v>
      </c>
      <c r="U22" s="14" cm="1">
        <f t="array" ref="U22">INT(SUMPRODUCT(--ISNUMBER(SEARCH(climate,C22)))&gt;0)</f>
        <v>0</v>
      </c>
      <c r="V22" s="14" cm="1">
        <f t="array" ref="V22">INT(SUMPRODUCT(--ISNUMBER(SEARCH(abortion,C22)))&gt;0)</f>
        <v>0</v>
      </c>
      <c r="W22" s="14" cm="1">
        <f t="array" ref="W22">INT(SUMPRODUCT(--ISNUMBER(SEARCH(trump,C22)))&gt;0)</f>
        <v>0</v>
      </c>
      <c r="X22" s="14" cm="1">
        <f t="array" ref="X22">INT(SUMPRODUCT(--ISNUMBER(SEARCH(voting,C22)))&gt;0)</f>
        <v>1</v>
      </c>
      <c r="Y22" s="14" cm="1">
        <f t="array" ref="Y22">INT(SUMPRODUCT(--ISNUMBER(SEARCH(republicantrigger,C22)))&gt;0)</f>
        <v>0</v>
      </c>
      <c r="Z22" s="14" cm="1">
        <f t="array" ref="Z22">INT(SUMPRODUCT(--ISNUMBER(SEARCH(bipartisan,C22)))&gt;0)</f>
        <v>0</v>
      </c>
      <c r="AA22" s="14">
        <f t="shared" si="0"/>
        <v>0</v>
      </c>
      <c r="AB22" s="14"/>
      <c r="AC22" s="30" t="s">
        <v>223</v>
      </c>
      <c r="AD22" s="37" t="s">
        <v>223</v>
      </c>
    </row>
    <row r="23" spans="1:30" x14ac:dyDescent="0.25">
      <c r="A23" s="36">
        <v>2121</v>
      </c>
      <c r="B23" s="14" t="s">
        <v>4267</v>
      </c>
      <c r="C23" s="14" t="s">
        <v>4268</v>
      </c>
      <c r="D23" s="17">
        <v>44128</v>
      </c>
      <c r="E23" s="14" t="s">
        <v>30</v>
      </c>
      <c r="F23" s="14">
        <v>1932</v>
      </c>
      <c r="G23" s="14">
        <v>422</v>
      </c>
      <c r="H23" s="14">
        <v>10</v>
      </c>
      <c r="I23" s="14">
        <v>5</v>
      </c>
      <c r="J23" s="14" t="s">
        <v>31</v>
      </c>
      <c r="K23" s="14" cm="1">
        <f t="array" ref="K23">INT(SUMPRODUCT(--ISNUMBER(SEARCH(economy,C23)))&gt;0)</f>
        <v>0</v>
      </c>
      <c r="L23" s="14" cm="1">
        <f t="array" ref="L23">INT(SUMPRODUCT(--ISNUMBER(SEARCH(healthcare,C23)))&gt;0)</f>
        <v>0</v>
      </c>
      <c r="M23" s="14" cm="1">
        <f t="array" ref="M23">INT(SUMPRODUCT(--ISNUMBER(SEARCH(supreme,C23)))&gt;0)</f>
        <v>0</v>
      </c>
      <c r="N23" s="14" cm="1">
        <f t="array" ref="N23">INT(SUMPRODUCT(--ISNUMBER(SEARCH(covid,C23)))&gt;0)</f>
        <v>0</v>
      </c>
      <c r="O23" s="14" cm="1">
        <f t="array" ref="O23">INT(SUMPRODUCT(--ISNUMBER(SEARCH(violent,C23)))&gt;0)</f>
        <v>0</v>
      </c>
      <c r="P23" s="14" cm="1">
        <f t="array" ref="P23">INT(SUMPRODUCT(--ISNUMBER(SEARCH(foreign,C23)))&gt;0)</f>
        <v>0</v>
      </c>
      <c r="Q23" s="14" cm="1">
        <f t="array" ref="Q23">INT(SUMPRODUCT(--ISNUMBER(SEARCH(gun,C23)))&gt;0)</f>
        <v>0</v>
      </c>
      <c r="R23" s="14" cm="1">
        <f t="array" ref="R23">INT(SUMPRODUCT(--ISNUMBER(SEARCH(race,C23)))&gt;0)</f>
        <v>0</v>
      </c>
      <c r="S23" s="14" cm="1">
        <f t="array" ref="S23">INT(SUMPRODUCT(--ISNUMBER(SEARCH(immigration,C23)))&gt;0)</f>
        <v>0</v>
      </c>
      <c r="T23" s="14" cm="1">
        <f t="array" ref="T23">INT(SUMPRODUCT(--ISNUMBER(SEARCH(econineq,C24)))&gt;0)</f>
        <v>0</v>
      </c>
      <c r="U23" s="14" cm="1">
        <f t="array" ref="U23">INT(SUMPRODUCT(--ISNUMBER(SEARCH(climate,C23)))&gt;0)</f>
        <v>0</v>
      </c>
      <c r="V23" s="14" cm="1">
        <f t="array" ref="V23">INT(SUMPRODUCT(--ISNUMBER(SEARCH(abortion,C23)))&gt;0)</f>
        <v>0</v>
      </c>
      <c r="W23" s="14" cm="1">
        <f t="array" ref="W23">INT(SUMPRODUCT(--ISNUMBER(SEARCH(trump,C23)))&gt;0)</f>
        <v>0</v>
      </c>
      <c r="X23" s="14" cm="1">
        <f t="array" ref="X23">INT(SUMPRODUCT(--ISNUMBER(SEARCH(voting,C23)))&gt;0)</f>
        <v>1</v>
      </c>
      <c r="Y23" s="14" cm="1">
        <f t="array" ref="Y23">INT(SUMPRODUCT(--ISNUMBER(SEARCH(republicantrigger,C23)))&gt;0)</f>
        <v>0</v>
      </c>
      <c r="Z23" s="14" cm="1">
        <f t="array" ref="Z23">INT(SUMPRODUCT(--ISNUMBER(SEARCH(bipartisan,C23)))&gt;0)</f>
        <v>0</v>
      </c>
      <c r="AA23" s="14">
        <f t="shared" si="0"/>
        <v>0</v>
      </c>
      <c r="AB23" s="14"/>
      <c r="AC23" s="30">
        <v>1</v>
      </c>
      <c r="AD23" s="37">
        <v>0</v>
      </c>
    </row>
    <row r="24" spans="1:30" x14ac:dyDescent="0.25">
      <c r="A24" s="36">
        <v>2122</v>
      </c>
      <c r="B24" s="14" t="s">
        <v>4269</v>
      </c>
      <c r="C24" s="14" t="s">
        <v>4270</v>
      </c>
      <c r="D24" s="17">
        <v>44126</v>
      </c>
      <c r="E24" s="14" t="s">
        <v>30</v>
      </c>
      <c r="F24" s="14">
        <v>1437</v>
      </c>
      <c r="G24" s="14">
        <v>431</v>
      </c>
      <c r="H24" s="14">
        <v>10</v>
      </c>
      <c r="I24" s="14">
        <v>5</v>
      </c>
      <c r="J24" s="14" t="s">
        <v>31</v>
      </c>
      <c r="K24" s="14" cm="1">
        <f t="array" ref="K24">INT(SUMPRODUCT(--ISNUMBER(SEARCH(economy,C24)))&gt;0)</f>
        <v>0</v>
      </c>
      <c r="L24" s="14" cm="1">
        <f t="array" ref="L24">INT(SUMPRODUCT(--ISNUMBER(SEARCH(healthcare,C24)))&gt;0)</f>
        <v>0</v>
      </c>
      <c r="M24" s="14" cm="1">
        <f t="array" ref="M24">INT(SUMPRODUCT(--ISNUMBER(SEARCH(supreme,C24)))&gt;0)</f>
        <v>0</v>
      </c>
      <c r="N24" s="14" cm="1">
        <f t="array" ref="N24">INT(SUMPRODUCT(--ISNUMBER(SEARCH(covid,C24)))&gt;0)</f>
        <v>0</v>
      </c>
      <c r="O24" s="14" cm="1">
        <f t="array" ref="O24">INT(SUMPRODUCT(--ISNUMBER(SEARCH(violent,C24)))&gt;0)</f>
        <v>0</v>
      </c>
      <c r="P24" s="14" cm="1">
        <f t="array" ref="P24">INT(SUMPRODUCT(--ISNUMBER(SEARCH(foreign,C24)))&gt;0)</f>
        <v>0</v>
      </c>
      <c r="Q24" s="14" cm="1">
        <f t="array" ref="Q24">INT(SUMPRODUCT(--ISNUMBER(SEARCH(gun,C24)))&gt;0)</f>
        <v>0</v>
      </c>
      <c r="R24" s="14" cm="1">
        <f t="array" ref="R24">INT(SUMPRODUCT(--ISNUMBER(SEARCH(race,C24)))&gt;0)</f>
        <v>0</v>
      </c>
      <c r="S24" s="14" cm="1">
        <f t="array" ref="S24">INT(SUMPRODUCT(--ISNUMBER(SEARCH(immigration,C24)))&gt;0)</f>
        <v>0</v>
      </c>
      <c r="T24" s="14" cm="1">
        <f t="array" ref="T24">INT(SUMPRODUCT(--ISNUMBER(SEARCH(econineq,C25)))&gt;0)</f>
        <v>0</v>
      </c>
      <c r="U24" s="14" cm="1">
        <f t="array" ref="U24">INT(SUMPRODUCT(--ISNUMBER(SEARCH(climate,C24)))&gt;0)</f>
        <v>0</v>
      </c>
      <c r="V24" s="14" cm="1">
        <f t="array" ref="V24">INT(SUMPRODUCT(--ISNUMBER(SEARCH(abortion,C24)))&gt;0)</f>
        <v>0</v>
      </c>
      <c r="W24" s="14" cm="1">
        <f t="array" ref="W24">INT(SUMPRODUCT(--ISNUMBER(SEARCH(trump,C24)))&gt;0)</f>
        <v>0</v>
      </c>
      <c r="X24" s="14" cm="1">
        <f t="array" ref="X24">INT(SUMPRODUCT(--ISNUMBER(SEARCH(voting,C24)))&gt;0)</f>
        <v>1</v>
      </c>
      <c r="Y24" s="14" cm="1">
        <f t="array" ref="Y24">INT(SUMPRODUCT(--ISNUMBER(SEARCH(republicantrigger,C24)))&gt;0)</f>
        <v>1</v>
      </c>
      <c r="Z24" s="14" cm="1">
        <f t="array" ref="Z24">INT(SUMPRODUCT(--ISNUMBER(SEARCH(bipartisan,C24)))&gt;0)</f>
        <v>0</v>
      </c>
      <c r="AA24" s="14">
        <f t="shared" si="0"/>
        <v>0</v>
      </c>
      <c r="AB24" s="14"/>
      <c r="AC24" s="30">
        <v>1</v>
      </c>
      <c r="AD24" s="37">
        <v>0</v>
      </c>
    </row>
    <row r="25" spans="1:30" x14ac:dyDescent="0.25">
      <c r="A25" s="36">
        <v>2123</v>
      </c>
      <c r="B25" s="14" t="s">
        <v>4271</v>
      </c>
      <c r="C25" s="14" t="s">
        <v>4272</v>
      </c>
      <c r="D25" s="17">
        <v>44126</v>
      </c>
      <c r="E25" s="14" t="s">
        <v>30</v>
      </c>
      <c r="F25" s="14">
        <v>4519</v>
      </c>
      <c r="G25" s="14">
        <v>1289</v>
      </c>
      <c r="H25" s="14">
        <v>10</v>
      </c>
      <c r="I25" s="14">
        <v>5</v>
      </c>
      <c r="J25" s="14" t="s">
        <v>31</v>
      </c>
      <c r="K25" s="14" cm="1">
        <f t="array" ref="K25">INT(SUMPRODUCT(--ISNUMBER(SEARCH(economy,C25)))&gt;0)</f>
        <v>1</v>
      </c>
      <c r="L25" s="14" cm="1">
        <f t="array" ref="L25">INT(SUMPRODUCT(--ISNUMBER(SEARCH(healthcare,C25)))&gt;0)</f>
        <v>0</v>
      </c>
      <c r="M25" s="14" cm="1">
        <f t="array" ref="M25">INT(SUMPRODUCT(--ISNUMBER(SEARCH(supreme,C25)))&gt;0)</f>
        <v>0</v>
      </c>
      <c r="N25" s="14" cm="1">
        <f t="array" ref="N25">INT(SUMPRODUCT(--ISNUMBER(SEARCH(covid,C25)))&gt;0)</f>
        <v>1</v>
      </c>
      <c r="O25" s="14" cm="1">
        <f t="array" ref="O25">INT(SUMPRODUCT(--ISNUMBER(SEARCH(violent,C25)))&gt;0)</f>
        <v>0</v>
      </c>
      <c r="P25" s="14" cm="1">
        <f t="array" ref="P25">INT(SUMPRODUCT(--ISNUMBER(SEARCH(foreign,C25)))&gt;0)</f>
        <v>0</v>
      </c>
      <c r="Q25" s="14" cm="1">
        <f t="array" ref="Q25">INT(SUMPRODUCT(--ISNUMBER(SEARCH(gun,C25)))&gt;0)</f>
        <v>0</v>
      </c>
      <c r="R25" s="14" cm="1">
        <f t="array" ref="R25">INT(SUMPRODUCT(--ISNUMBER(SEARCH(race,C25)))&gt;0)</f>
        <v>0</v>
      </c>
      <c r="S25" s="14" cm="1">
        <f t="array" ref="S25">INT(SUMPRODUCT(--ISNUMBER(SEARCH(immigration,C25)))&gt;0)</f>
        <v>0</v>
      </c>
      <c r="T25" s="14" cm="1">
        <f t="array" ref="T25">INT(SUMPRODUCT(--ISNUMBER(SEARCH(econineq,C26)))&gt;0)</f>
        <v>0</v>
      </c>
      <c r="U25" s="14" cm="1">
        <f t="array" ref="U25">INT(SUMPRODUCT(--ISNUMBER(SEARCH(climate,C25)))&gt;0)</f>
        <v>0</v>
      </c>
      <c r="V25" s="14" cm="1">
        <f t="array" ref="V25">INT(SUMPRODUCT(--ISNUMBER(SEARCH(abortion,C25)))&gt;0)</f>
        <v>0</v>
      </c>
      <c r="W25" s="14" cm="1">
        <f t="array" ref="W25">INT(SUMPRODUCT(--ISNUMBER(SEARCH(trump,C25)))&gt;0)</f>
        <v>0</v>
      </c>
      <c r="X25" s="14" cm="1">
        <f t="array" ref="X25">INT(SUMPRODUCT(--ISNUMBER(SEARCH(voting,C25)))&gt;0)</f>
        <v>0</v>
      </c>
      <c r="Y25" s="14" cm="1">
        <f t="array" ref="Y25">INT(SUMPRODUCT(--ISNUMBER(SEARCH(republicantrigger,C25)))&gt;0)</f>
        <v>0</v>
      </c>
      <c r="Z25" s="14" cm="1">
        <f t="array" ref="Z25">INT(SUMPRODUCT(--ISNUMBER(SEARCH(bipartisan,C25)))&gt;0)</f>
        <v>0</v>
      </c>
      <c r="AA25" s="14">
        <f t="shared" si="0"/>
        <v>0</v>
      </c>
      <c r="AB25" s="14"/>
      <c r="AC25" s="30" t="s">
        <v>223</v>
      </c>
      <c r="AD25" s="37" t="s">
        <v>223</v>
      </c>
    </row>
    <row r="26" spans="1:30" x14ac:dyDescent="0.25">
      <c r="A26" s="36">
        <v>2124</v>
      </c>
      <c r="B26" s="14" t="s">
        <v>4273</v>
      </c>
      <c r="C26" s="14" t="s">
        <v>4274</v>
      </c>
      <c r="D26" s="17">
        <v>44125</v>
      </c>
      <c r="E26" s="14" t="s">
        <v>30</v>
      </c>
      <c r="F26" s="14">
        <v>596</v>
      </c>
      <c r="G26" s="14">
        <v>79</v>
      </c>
      <c r="H26" s="14">
        <v>10</v>
      </c>
      <c r="I26" s="14">
        <v>5</v>
      </c>
      <c r="J26" s="14" t="s">
        <v>31</v>
      </c>
      <c r="K26" s="14" cm="1">
        <f t="array" ref="K26">INT(SUMPRODUCT(--ISNUMBER(SEARCH(economy,C26)))&gt;0)</f>
        <v>0</v>
      </c>
      <c r="L26" s="14" cm="1">
        <f t="array" ref="L26">INT(SUMPRODUCT(--ISNUMBER(SEARCH(healthcare,C26)))&gt;0)</f>
        <v>0</v>
      </c>
      <c r="M26" s="14" cm="1">
        <f t="array" ref="M26">INT(SUMPRODUCT(--ISNUMBER(SEARCH(supreme,C26)))&gt;0)</f>
        <v>0</v>
      </c>
      <c r="N26" s="14" cm="1">
        <f t="array" ref="N26">INT(SUMPRODUCT(--ISNUMBER(SEARCH(covid,C26)))&gt;0)</f>
        <v>0</v>
      </c>
      <c r="O26" s="14" cm="1">
        <f t="array" ref="O26">INT(SUMPRODUCT(--ISNUMBER(SEARCH(violent,C26)))&gt;0)</f>
        <v>0</v>
      </c>
      <c r="P26" s="14" cm="1">
        <f t="array" ref="P26">INT(SUMPRODUCT(--ISNUMBER(SEARCH(foreign,C26)))&gt;0)</f>
        <v>1</v>
      </c>
      <c r="Q26" s="14" cm="1">
        <f t="array" ref="Q26">INT(SUMPRODUCT(--ISNUMBER(SEARCH(gun,C26)))&gt;0)</f>
        <v>0</v>
      </c>
      <c r="R26" s="14" cm="1">
        <f t="array" ref="R26">INT(SUMPRODUCT(--ISNUMBER(SEARCH(race,C26)))&gt;0)</f>
        <v>0</v>
      </c>
      <c r="S26" s="14" cm="1">
        <f t="array" ref="S26">INT(SUMPRODUCT(--ISNUMBER(SEARCH(immigration,C26)))&gt;0)</f>
        <v>0</v>
      </c>
      <c r="T26" s="14" cm="1">
        <f t="array" ref="T26">INT(SUMPRODUCT(--ISNUMBER(SEARCH(econineq,C27)))&gt;0)</f>
        <v>0</v>
      </c>
      <c r="U26" s="14" cm="1">
        <f t="array" ref="U26">INT(SUMPRODUCT(--ISNUMBER(SEARCH(climate,C26)))&gt;0)</f>
        <v>0</v>
      </c>
      <c r="V26" s="14" cm="1">
        <f t="array" ref="V26">INT(SUMPRODUCT(--ISNUMBER(SEARCH(abortion,C26)))&gt;0)</f>
        <v>0</v>
      </c>
      <c r="W26" s="14" cm="1">
        <f t="array" ref="W26">INT(SUMPRODUCT(--ISNUMBER(SEARCH(trump,C26)))&gt;0)</f>
        <v>0</v>
      </c>
      <c r="X26" s="14" cm="1">
        <f t="array" ref="X26">INT(SUMPRODUCT(--ISNUMBER(SEARCH(voting,C26)))&gt;0)</f>
        <v>0</v>
      </c>
      <c r="Y26" s="14" cm="1">
        <f t="array" ref="Y26">INT(SUMPRODUCT(--ISNUMBER(SEARCH(republicantrigger,C26)))&gt;0)</f>
        <v>0</v>
      </c>
      <c r="Z26" s="14" cm="1">
        <f t="array" ref="Z26">INT(SUMPRODUCT(--ISNUMBER(SEARCH(bipartisan,C26)))&gt;0)</f>
        <v>0</v>
      </c>
      <c r="AA26" s="14">
        <f t="shared" si="0"/>
        <v>0</v>
      </c>
      <c r="AB26" s="14"/>
      <c r="AC26" s="30" t="s">
        <v>223</v>
      </c>
      <c r="AD26" s="37" t="s">
        <v>223</v>
      </c>
    </row>
    <row r="27" spans="1:30" x14ac:dyDescent="0.25">
      <c r="A27" s="36">
        <v>2125</v>
      </c>
      <c r="B27" s="14" t="s">
        <v>4275</v>
      </c>
      <c r="C27" s="14" t="s">
        <v>4276</v>
      </c>
      <c r="D27" s="17">
        <v>44124</v>
      </c>
      <c r="E27" s="14" t="s">
        <v>30</v>
      </c>
      <c r="F27" s="14">
        <v>6670</v>
      </c>
      <c r="G27" s="14">
        <v>2292</v>
      </c>
      <c r="H27" s="14">
        <v>10</v>
      </c>
      <c r="I27" s="14">
        <v>5</v>
      </c>
      <c r="J27" s="14" t="s">
        <v>31</v>
      </c>
      <c r="K27" s="14" cm="1">
        <f t="array" ref="K27">INT(SUMPRODUCT(--ISNUMBER(SEARCH(economy,C27)))&gt;0)</f>
        <v>0</v>
      </c>
      <c r="L27" s="14" cm="1">
        <f t="array" ref="L27">INT(SUMPRODUCT(--ISNUMBER(SEARCH(healthcare,C27)))&gt;0)</f>
        <v>1</v>
      </c>
      <c r="M27" s="14" cm="1">
        <f t="array" ref="M27">INT(SUMPRODUCT(--ISNUMBER(SEARCH(supreme,C27)))&gt;0)</f>
        <v>0</v>
      </c>
      <c r="N27" s="14" cm="1">
        <f t="array" ref="N27">INT(SUMPRODUCT(--ISNUMBER(SEARCH(covid,C27)))&gt;0)</f>
        <v>0</v>
      </c>
      <c r="O27" s="14" cm="1">
        <f t="array" ref="O27">INT(SUMPRODUCT(--ISNUMBER(SEARCH(violent,C27)))&gt;0)</f>
        <v>0</v>
      </c>
      <c r="P27" s="14" cm="1">
        <f t="array" ref="P27">INT(SUMPRODUCT(--ISNUMBER(SEARCH(foreign,C27)))&gt;0)</f>
        <v>0</v>
      </c>
      <c r="Q27" s="14" cm="1">
        <f t="array" ref="Q27">INT(SUMPRODUCT(--ISNUMBER(SEARCH(gun,C27)))&gt;0)</f>
        <v>0</v>
      </c>
      <c r="R27" s="14" cm="1">
        <f t="array" ref="R27">INT(SUMPRODUCT(--ISNUMBER(SEARCH(race,C27)))&gt;0)</f>
        <v>0</v>
      </c>
      <c r="S27" s="14" cm="1">
        <f t="array" ref="S27">INT(SUMPRODUCT(--ISNUMBER(SEARCH(immigration,C27)))&gt;0)</f>
        <v>0</v>
      </c>
      <c r="T27" s="14" cm="1">
        <f t="array" ref="T27">INT(SUMPRODUCT(--ISNUMBER(SEARCH(econineq,C28)))&gt;0)</f>
        <v>0</v>
      </c>
      <c r="U27" s="14" cm="1">
        <f t="array" ref="U27">INT(SUMPRODUCT(--ISNUMBER(SEARCH(climate,C27)))&gt;0)</f>
        <v>0</v>
      </c>
      <c r="V27" s="14" cm="1">
        <f t="array" ref="V27">INT(SUMPRODUCT(--ISNUMBER(SEARCH(abortion,C27)))&gt;0)</f>
        <v>0</v>
      </c>
      <c r="W27" s="14" cm="1">
        <f t="array" ref="W27">INT(SUMPRODUCT(--ISNUMBER(SEARCH(trump,C27)))&gt;0)</f>
        <v>0</v>
      </c>
      <c r="X27" s="14" cm="1">
        <f t="array" ref="X27">INT(SUMPRODUCT(--ISNUMBER(SEARCH(voting,C27)))&gt;0)</f>
        <v>0</v>
      </c>
      <c r="Y27" s="14" cm="1">
        <f t="array" ref="Y27">INT(SUMPRODUCT(--ISNUMBER(SEARCH(republicantrigger,C27)))&gt;0)</f>
        <v>0</v>
      </c>
      <c r="Z27" s="14" cm="1">
        <f t="array" ref="Z27">INT(SUMPRODUCT(--ISNUMBER(SEARCH(bipartisan,C27)))&gt;0)</f>
        <v>0</v>
      </c>
      <c r="AA27" s="14">
        <f t="shared" si="0"/>
        <v>0</v>
      </c>
      <c r="AB27" s="14"/>
      <c r="AC27" s="30">
        <v>0</v>
      </c>
      <c r="AD27" s="37">
        <v>1</v>
      </c>
    </row>
    <row r="28" spans="1:30" x14ac:dyDescent="0.25">
      <c r="A28" s="36">
        <v>2126</v>
      </c>
      <c r="B28" s="14" t="s">
        <v>4277</v>
      </c>
      <c r="C28" s="14" t="s">
        <v>4278</v>
      </c>
      <c r="D28" s="17">
        <v>44123</v>
      </c>
      <c r="E28" s="14" t="s">
        <v>30</v>
      </c>
      <c r="F28" s="14">
        <v>3245</v>
      </c>
      <c r="G28" s="14">
        <v>1517</v>
      </c>
      <c r="H28" s="14">
        <v>10</v>
      </c>
      <c r="I28" s="14">
        <v>5</v>
      </c>
      <c r="J28" s="14" t="s">
        <v>31</v>
      </c>
      <c r="K28" s="14" cm="1">
        <f t="array" ref="K28">INT(SUMPRODUCT(--ISNUMBER(SEARCH(economy,C28)))&gt;0)</f>
        <v>0</v>
      </c>
      <c r="L28" s="14" cm="1">
        <f t="array" ref="L28">INT(SUMPRODUCT(--ISNUMBER(SEARCH(healthcare,C28)))&gt;0)</f>
        <v>1</v>
      </c>
      <c r="M28" s="14" cm="1">
        <f t="array" ref="M28">INT(SUMPRODUCT(--ISNUMBER(SEARCH(supreme,C28)))&gt;0)</f>
        <v>0</v>
      </c>
      <c r="N28" s="14" cm="1">
        <f t="array" ref="N28">INT(SUMPRODUCT(--ISNUMBER(SEARCH(covid,C28)))&gt;0)</f>
        <v>0</v>
      </c>
      <c r="O28" s="14" cm="1">
        <f t="array" ref="O28">INT(SUMPRODUCT(--ISNUMBER(SEARCH(violent,C28)))&gt;0)</f>
        <v>0</v>
      </c>
      <c r="P28" s="14" cm="1">
        <f t="array" ref="P28">INT(SUMPRODUCT(--ISNUMBER(SEARCH(foreign,C28)))&gt;0)</f>
        <v>0</v>
      </c>
      <c r="Q28" s="14" cm="1">
        <f t="array" ref="Q28">INT(SUMPRODUCT(--ISNUMBER(SEARCH(gun,C28)))&gt;0)</f>
        <v>0</v>
      </c>
      <c r="R28" s="14" cm="1">
        <f t="array" ref="R28">INT(SUMPRODUCT(--ISNUMBER(SEARCH(race,C28)))&gt;0)</f>
        <v>0</v>
      </c>
      <c r="S28" s="14" cm="1">
        <f t="array" ref="S28">INT(SUMPRODUCT(--ISNUMBER(SEARCH(immigration,C28)))&gt;0)</f>
        <v>0</v>
      </c>
      <c r="T28" s="14" cm="1">
        <f t="array" ref="T28">INT(SUMPRODUCT(--ISNUMBER(SEARCH(econineq,C29)))&gt;0)</f>
        <v>0</v>
      </c>
      <c r="U28" s="14" cm="1">
        <f t="array" ref="U28">INT(SUMPRODUCT(--ISNUMBER(SEARCH(climate,C28)))&gt;0)</f>
        <v>0</v>
      </c>
      <c r="V28" s="14" cm="1">
        <f t="array" ref="V28">INT(SUMPRODUCT(--ISNUMBER(SEARCH(abortion,C28)))&gt;0)</f>
        <v>0</v>
      </c>
      <c r="W28" s="14" cm="1">
        <f t="array" ref="W28">INT(SUMPRODUCT(--ISNUMBER(SEARCH(trump,C28)))&gt;0)</f>
        <v>0</v>
      </c>
      <c r="X28" s="14" cm="1">
        <f t="array" ref="X28">INT(SUMPRODUCT(--ISNUMBER(SEARCH(voting,C28)))&gt;0)</f>
        <v>0</v>
      </c>
      <c r="Y28" s="14" cm="1">
        <f t="array" ref="Y28">INT(SUMPRODUCT(--ISNUMBER(SEARCH(republicantrigger,C28)))&gt;0)</f>
        <v>1</v>
      </c>
      <c r="Z28" s="14" cm="1">
        <f t="array" ref="Z28">INT(SUMPRODUCT(--ISNUMBER(SEARCH(bipartisan,C28)))&gt;0)</f>
        <v>0</v>
      </c>
      <c r="AA28" s="14">
        <f t="shared" si="0"/>
        <v>0</v>
      </c>
      <c r="AB28" s="14"/>
      <c r="AC28" s="30">
        <v>0</v>
      </c>
      <c r="AD28" s="37">
        <v>1</v>
      </c>
    </row>
    <row r="29" spans="1:30" x14ac:dyDescent="0.25">
      <c r="A29" s="36">
        <v>2127</v>
      </c>
      <c r="B29" s="14" t="s">
        <v>4279</v>
      </c>
      <c r="C29" s="14" t="s">
        <v>4280</v>
      </c>
      <c r="D29" s="17">
        <v>44122</v>
      </c>
      <c r="E29" s="14" t="s">
        <v>30</v>
      </c>
      <c r="F29" s="14">
        <v>4472</v>
      </c>
      <c r="G29" s="14">
        <v>2264</v>
      </c>
      <c r="H29" s="14">
        <v>10</v>
      </c>
      <c r="I29" s="14">
        <v>5</v>
      </c>
      <c r="J29" s="14" t="s">
        <v>31</v>
      </c>
      <c r="K29" s="14" cm="1">
        <f t="array" ref="K29">INT(SUMPRODUCT(--ISNUMBER(SEARCH(economy,C29)))&gt;0)</f>
        <v>0</v>
      </c>
      <c r="L29" s="14" cm="1">
        <f t="array" ref="L29">INT(SUMPRODUCT(--ISNUMBER(SEARCH(healthcare,C29)))&gt;0)</f>
        <v>0</v>
      </c>
      <c r="M29" s="14" cm="1">
        <f t="array" ref="M29">INT(SUMPRODUCT(--ISNUMBER(SEARCH(supreme,C29)))&gt;0)</f>
        <v>0</v>
      </c>
      <c r="N29" s="14" cm="1">
        <f t="array" ref="N29">INT(SUMPRODUCT(--ISNUMBER(SEARCH(covid,C29)))&gt;0)</f>
        <v>0</v>
      </c>
      <c r="O29" s="14" cm="1">
        <f t="array" ref="O29">INT(SUMPRODUCT(--ISNUMBER(SEARCH(violent,C29)))&gt;0)</f>
        <v>0</v>
      </c>
      <c r="P29" s="14" cm="1">
        <f t="array" ref="P29">INT(SUMPRODUCT(--ISNUMBER(SEARCH(foreign,C29)))&gt;0)</f>
        <v>0</v>
      </c>
      <c r="Q29" s="14" cm="1">
        <f t="array" ref="Q29">INT(SUMPRODUCT(--ISNUMBER(SEARCH(gun,C29)))&gt;0)</f>
        <v>0</v>
      </c>
      <c r="R29" s="14" cm="1">
        <f t="array" ref="R29">INT(SUMPRODUCT(--ISNUMBER(SEARCH(race,C29)))&gt;0)</f>
        <v>0</v>
      </c>
      <c r="S29" s="14" cm="1">
        <f t="array" ref="S29">INT(SUMPRODUCT(--ISNUMBER(SEARCH(immigration,C29)))&gt;0)</f>
        <v>0</v>
      </c>
      <c r="T29" s="14" cm="1">
        <f t="array" ref="T29">INT(SUMPRODUCT(--ISNUMBER(SEARCH(econineq,C30)))&gt;0)</f>
        <v>0</v>
      </c>
      <c r="U29" s="14" cm="1">
        <f t="array" ref="U29">INT(SUMPRODUCT(--ISNUMBER(SEARCH(climate,C29)))&gt;0)</f>
        <v>0</v>
      </c>
      <c r="V29" s="14" cm="1">
        <f t="array" ref="V29">INT(SUMPRODUCT(--ISNUMBER(SEARCH(abortion,C29)))&gt;0)</f>
        <v>0</v>
      </c>
      <c r="W29" s="14" cm="1">
        <f t="array" ref="W29">INT(SUMPRODUCT(--ISNUMBER(SEARCH(trump,C29)))&gt;0)</f>
        <v>0</v>
      </c>
      <c r="X29" s="14" cm="1">
        <f t="array" ref="X29">INT(SUMPRODUCT(--ISNUMBER(SEARCH(voting,C29)))&gt;0)</f>
        <v>0</v>
      </c>
      <c r="Y29" s="14" cm="1">
        <f t="array" ref="Y29">INT(SUMPRODUCT(--ISNUMBER(SEARCH(republicantrigger,C29)))&gt;0)</f>
        <v>1</v>
      </c>
      <c r="Z29" s="14" cm="1">
        <f t="array" ref="Z29">INT(SUMPRODUCT(--ISNUMBER(SEARCH(bipartisan,C29)))&gt;0)</f>
        <v>0</v>
      </c>
      <c r="AA29" s="14">
        <f t="shared" si="0"/>
        <v>0</v>
      </c>
      <c r="AB29" s="14"/>
      <c r="AC29" s="30">
        <v>0</v>
      </c>
      <c r="AD29" s="37">
        <v>1</v>
      </c>
    </row>
    <row r="30" spans="1:30" x14ac:dyDescent="0.25">
      <c r="A30" s="36">
        <v>2128</v>
      </c>
      <c r="B30" s="14" t="s">
        <v>4281</v>
      </c>
      <c r="C30" s="14" t="s">
        <v>4282</v>
      </c>
      <c r="D30" s="17">
        <v>44122</v>
      </c>
      <c r="E30" s="14" t="s">
        <v>30</v>
      </c>
      <c r="F30" s="14">
        <v>1962</v>
      </c>
      <c r="G30" s="14">
        <v>816</v>
      </c>
      <c r="H30" s="14">
        <v>10</v>
      </c>
      <c r="I30" s="14">
        <v>5</v>
      </c>
      <c r="J30" s="14" t="s">
        <v>31</v>
      </c>
      <c r="K30" s="14" cm="1">
        <f t="array" ref="K30">INT(SUMPRODUCT(--ISNUMBER(SEARCH(economy,C30)))&gt;0)</f>
        <v>0</v>
      </c>
      <c r="L30" s="14" cm="1">
        <f t="array" ref="L30">INT(SUMPRODUCT(--ISNUMBER(SEARCH(healthcare,C30)))&gt;0)</f>
        <v>1</v>
      </c>
      <c r="M30" s="14" cm="1">
        <f t="array" ref="M30">INT(SUMPRODUCT(--ISNUMBER(SEARCH(supreme,C30)))&gt;0)</f>
        <v>0</v>
      </c>
      <c r="N30" s="14" cm="1">
        <f t="array" ref="N30">INT(SUMPRODUCT(--ISNUMBER(SEARCH(covid,C30)))&gt;0)</f>
        <v>0</v>
      </c>
      <c r="O30" s="14" cm="1">
        <f t="array" ref="O30">INT(SUMPRODUCT(--ISNUMBER(SEARCH(violent,C30)))&gt;0)</f>
        <v>0</v>
      </c>
      <c r="P30" s="14" cm="1">
        <f t="array" ref="P30">INT(SUMPRODUCT(--ISNUMBER(SEARCH(foreign,C30)))&gt;0)</f>
        <v>0</v>
      </c>
      <c r="Q30" s="14" cm="1">
        <f t="array" ref="Q30">INT(SUMPRODUCT(--ISNUMBER(SEARCH(gun,C30)))&gt;0)</f>
        <v>0</v>
      </c>
      <c r="R30" s="14" cm="1">
        <f t="array" ref="R30">INT(SUMPRODUCT(--ISNUMBER(SEARCH(race,C30)))&gt;0)</f>
        <v>0</v>
      </c>
      <c r="S30" s="14" cm="1">
        <f t="array" ref="S30">INT(SUMPRODUCT(--ISNUMBER(SEARCH(immigration,C30)))&gt;0)</f>
        <v>0</v>
      </c>
      <c r="T30" s="14" cm="1">
        <f t="array" ref="T30">INT(SUMPRODUCT(--ISNUMBER(SEARCH(econineq,C31)))&gt;0)</f>
        <v>0</v>
      </c>
      <c r="U30" s="14" cm="1">
        <f t="array" ref="U30">INT(SUMPRODUCT(--ISNUMBER(SEARCH(climate,C30)))&gt;0)</f>
        <v>0</v>
      </c>
      <c r="V30" s="14" cm="1">
        <f t="array" ref="V30">INT(SUMPRODUCT(--ISNUMBER(SEARCH(abortion,C30)))&gt;0)</f>
        <v>0</v>
      </c>
      <c r="W30" s="14" cm="1">
        <f t="array" ref="W30">INT(SUMPRODUCT(--ISNUMBER(SEARCH(trump,C30)))&gt;0)</f>
        <v>0</v>
      </c>
      <c r="X30" s="14" cm="1">
        <f t="array" ref="X30">INT(SUMPRODUCT(--ISNUMBER(SEARCH(voting,C30)))&gt;0)</f>
        <v>0</v>
      </c>
      <c r="Y30" s="14" cm="1">
        <f t="array" ref="Y30">INT(SUMPRODUCT(--ISNUMBER(SEARCH(republicantrigger,C30)))&gt;0)</f>
        <v>1</v>
      </c>
      <c r="Z30" s="14" cm="1">
        <f t="array" ref="Z30">INT(SUMPRODUCT(--ISNUMBER(SEARCH(bipartisan,C30)))&gt;0)</f>
        <v>0</v>
      </c>
      <c r="AA30" s="14">
        <f t="shared" si="0"/>
        <v>0</v>
      </c>
      <c r="AB30" s="14"/>
      <c r="AC30" s="30">
        <v>0</v>
      </c>
      <c r="AD30" s="37">
        <v>1</v>
      </c>
    </row>
    <row r="31" spans="1:30" x14ac:dyDescent="0.25">
      <c r="A31" s="36">
        <v>2129</v>
      </c>
      <c r="B31" s="14" t="s">
        <v>4283</v>
      </c>
      <c r="C31" s="14" t="s">
        <v>4284</v>
      </c>
      <c r="D31" s="17">
        <v>44122</v>
      </c>
      <c r="E31" s="14" t="s">
        <v>30</v>
      </c>
      <c r="F31" s="14">
        <v>5909</v>
      </c>
      <c r="G31" s="14">
        <v>2005</v>
      </c>
      <c r="H31" s="14">
        <v>10</v>
      </c>
      <c r="I31" s="14">
        <v>5</v>
      </c>
      <c r="J31" s="14" t="s">
        <v>31</v>
      </c>
      <c r="K31" s="14" cm="1">
        <f t="array" ref="K31">INT(SUMPRODUCT(--ISNUMBER(SEARCH(economy,C31)))&gt;0)</f>
        <v>0</v>
      </c>
      <c r="L31" s="14" cm="1">
        <f t="array" ref="L31">INT(SUMPRODUCT(--ISNUMBER(SEARCH(healthcare,C31)))&gt;0)</f>
        <v>1</v>
      </c>
      <c r="M31" s="14" cm="1">
        <f t="array" ref="M31">INT(SUMPRODUCT(--ISNUMBER(SEARCH(supreme,C31)))&gt;0)</f>
        <v>0</v>
      </c>
      <c r="N31" s="14" cm="1">
        <f t="array" ref="N31">INT(SUMPRODUCT(--ISNUMBER(SEARCH(covid,C31)))&gt;0)</f>
        <v>0</v>
      </c>
      <c r="O31" s="14" cm="1">
        <f t="array" ref="O31">INT(SUMPRODUCT(--ISNUMBER(SEARCH(violent,C31)))&gt;0)</f>
        <v>0</v>
      </c>
      <c r="P31" s="14" cm="1">
        <f t="array" ref="P31">INT(SUMPRODUCT(--ISNUMBER(SEARCH(foreign,C31)))&gt;0)</f>
        <v>0</v>
      </c>
      <c r="Q31" s="14" cm="1">
        <f t="array" ref="Q31">INT(SUMPRODUCT(--ISNUMBER(SEARCH(gun,C31)))&gt;0)</f>
        <v>0</v>
      </c>
      <c r="R31" s="14" cm="1">
        <f t="array" ref="R31">INT(SUMPRODUCT(--ISNUMBER(SEARCH(race,C31)))&gt;0)</f>
        <v>0</v>
      </c>
      <c r="S31" s="14" cm="1">
        <f t="array" ref="S31">INT(SUMPRODUCT(--ISNUMBER(SEARCH(immigration,C31)))&gt;0)</f>
        <v>0</v>
      </c>
      <c r="T31" s="14" cm="1">
        <f t="array" ref="T31">INT(SUMPRODUCT(--ISNUMBER(SEARCH(econineq,C32)))&gt;0)</f>
        <v>0</v>
      </c>
      <c r="U31" s="14" cm="1">
        <f t="array" ref="U31">INT(SUMPRODUCT(--ISNUMBER(SEARCH(climate,C31)))&gt;0)</f>
        <v>0</v>
      </c>
      <c r="V31" s="14" cm="1">
        <f t="array" ref="V31">INT(SUMPRODUCT(--ISNUMBER(SEARCH(abortion,C31)))&gt;0)</f>
        <v>0</v>
      </c>
      <c r="W31" s="14" cm="1">
        <f t="array" ref="W31">INT(SUMPRODUCT(--ISNUMBER(SEARCH(trump,C31)))&gt;0)</f>
        <v>0</v>
      </c>
      <c r="X31" s="14" cm="1">
        <f t="array" ref="X31">INT(SUMPRODUCT(--ISNUMBER(SEARCH(voting,C31)))&gt;0)</f>
        <v>0</v>
      </c>
      <c r="Y31" s="14" cm="1">
        <f t="array" ref="Y31">INT(SUMPRODUCT(--ISNUMBER(SEARCH(republicantrigger,C31)))&gt;0)</f>
        <v>0</v>
      </c>
      <c r="Z31" s="14" cm="1">
        <f t="array" ref="Z31">INT(SUMPRODUCT(--ISNUMBER(SEARCH(bipartisan,C31)))&gt;0)</f>
        <v>0</v>
      </c>
      <c r="AA31" s="14">
        <f t="shared" si="0"/>
        <v>0</v>
      </c>
      <c r="AB31" s="14"/>
      <c r="AC31" s="30">
        <v>0</v>
      </c>
      <c r="AD31" s="37">
        <v>1</v>
      </c>
    </row>
    <row r="32" spans="1:30" x14ac:dyDescent="0.25">
      <c r="A32" s="36">
        <v>2130</v>
      </c>
      <c r="B32" s="14" t="s">
        <v>4285</v>
      </c>
      <c r="C32" s="14" t="s">
        <v>4286</v>
      </c>
      <c r="D32" s="17">
        <v>44121</v>
      </c>
      <c r="E32" s="14" t="s">
        <v>30</v>
      </c>
      <c r="F32" s="14">
        <v>2424</v>
      </c>
      <c r="G32" s="14">
        <v>786</v>
      </c>
      <c r="H32" s="14">
        <v>10</v>
      </c>
      <c r="I32" s="14">
        <v>5</v>
      </c>
      <c r="J32" s="14" t="s">
        <v>31</v>
      </c>
      <c r="K32" s="14" cm="1">
        <f t="array" ref="K32">INT(SUMPRODUCT(--ISNUMBER(SEARCH(economy,C32)))&gt;0)</f>
        <v>0</v>
      </c>
      <c r="L32" s="14" cm="1">
        <f t="array" ref="L32">INT(SUMPRODUCT(--ISNUMBER(SEARCH(healthcare,C32)))&gt;0)</f>
        <v>0</v>
      </c>
      <c r="M32" s="14" cm="1">
        <f t="array" ref="M32">INT(SUMPRODUCT(--ISNUMBER(SEARCH(supreme,C32)))&gt;0)</f>
        <v>0</v>
      </c>
      <c r="N32" s="14" cm="1">
        <f t="array" ref="N32">INT(SUMPRODUCT(--ISNUMBER(SEARCH(covid,C32)))&gt;0)</f>
        <v>0</v>
      </c>
      <c r="O32" s="14" cm="1">
        <f t="array" ref="O32">INT(SUMPRODUCT(--ISNUMBER(SEARCH(violent,C32)))&gt;0)</f>
        <v>0</v>
      </c>
      <c r="P32" s="14" cm="1">
        <f t="array" ref="P32">INT(SUMPRODUCT(--ISNUMBER(SEARCH(foreign,C32)))&gt;0)</f>
        <v>0</v>
      </c>
      <c r="Q32" s="14" cm="1">
        <f t="array" ref="Q32">INT(SUMPRODUCT(--ISNUMBER(SEARCH(gun,C32)))&gt;0)</f>
        <v>0</v>
      </c>
      <c r="R32" s="14" cm="1">
        <f t="array" ref="R32">INT(SUMPRODUCT(--ISNUMBER(SEARCH(race,C32)))&gt;0)</f>
        <v>0</v>
      </c>
      <c r="S32" s="14" cm="1">
        <f t="array" ref="S32">INT(SUMPRODUCT(--ISNUMBER(SEARCH(immigration,C32)))&gt;0)</f>
        <v>0</v>
      </c>
      <c r="T32" s="14" cm="1">
        <f t="array" ref="T32">INT(SUMPRODUCT(--ISNUMBER(SEARCH(econineq,C33)))&gt;0)</f>
        <v>0</v>
      </c>
      <c r="U32" s="14" cm="1">
        <f t="array" ref="U32">INT(SUMPRODUCT(--ISNUMBER(SEARCH(climate,C32)))&gt;0)</f>
        <v>0</v>
      </c>
      <c r="V32" s="14" cm="1">
        <f t="array" ref="V32">INT(SUMPRODUCT(--ISNUMBER(SEARCH(abortion,C32)))&gt;0)</f>
        <v>0</v>
      </c>
      <c r="W32" s="14" cm="1">
        <f t="array" ref="W32">INT(SUMPRODUCT(--ISNUMBER(SEARCH(trump,C32)))&gt;0)</f>
        <v>0</v>
      </c>
      <c r="X32" s="14" cm="1">
        <f t="array" ref="X32">INT(SUMPRODUCT(--ISNUMBER(SEARCH(voting,C32)))&gt;0)</f>
        <v>1</v>
      </c>
      <c r="Y32" s="14" cm="1">
        <f t="array" ref="Y32">INT(SUMPRODUCT(--ISNUMBER(SEARCH(republicantrigger,C32)))&gt;0)</f>
        <v>0</v>
      </c>
      <c r="Z32" s="14" cm="1">
        <f t="array" ref="Z32">INT(SUMPRODUCT(--ISNUMBER(SEARCH(bipartisan,C32)))&gt;0)</f>
        <v>0</v>
      </c>
      <c r="AA32" s="14">
        <f t="shared" si="0"/>
        <v>0</v>
      </c>
      <c r="AB32" s="14"/>
      <c r="AC32" s="30">
        <v>1</v>
      </c>
      <c r="AD32" s="37">
        <v>0</v>
      </c>
    </row>
    <row r="33" spans="1:30" x14ac:dyDescent="0.25">
      <c r="A33" s="36">
        <v>2131</v>
      </c>
      <c r="B33" s="14" t="s">
        <v>4287</v>
      </c>
      <c r="C33" s="14" t="s">
        <v>4288</v>
      </c>
      <c r="D33" s="17">
        <v>44121</v>
      </c>
      <c r="E33" s="14" t="s">
        <v>30</v>
      </c>
      <c r="F33" s="14">
        <v>1525</v>
      </c>
      <c r="G33" s="14">
        <v>463</v>
      </c>
      <c r="H33" s="14">
        <v>10</v>
      </c>
      <c r="I33" s="14">
        <v>5</v>
      </c>
      <c r="J33" s="14" t="s">
        <v>31</v>
      </c>
      <c r="K33" s="14" cm="1">
        <f t="array" ref="K33">INT(SUMPRODUCT(--ISNUMBER(SEARCH(economy,C33)))&gt;0)</f>
        <v>0</v>
      </c>
      <c r="L33" s="14" cm="1">
        <f t="array" ref="L33">INT(SUMPRODUCT(--ISNUMBER(SEARCH(healthcare,C33)))&gt;0)</f>
        <v>0</v>
      </c>
      <c r="M33" s="14" cm="1">
        <f t="array" ref="M33">INT(SUMPRODUCT(--ISNUMBER(SEARCH(supreme,C33)))&gt;0)</f>
        <v>0</v>
      </c>
      <c r="N33" s="14" cm="1">
        <f t="array" ref="N33">INT(SUMPRODUCT(--ISNUMBER(SEARCH(covid,C33)))&gt;0)</f>
        <v>0</v>
      </c>
      <c r="O33" s="14" cm="1">
        <f t="array" ref="O33">INT(SUMPRODUCT(--ISNUMBER(SEARCH(violent,C33)))&gt;0)</f>
        <v>0</v>
      </c>
      <c r="P33" s="14" cm="1">
        <f t="array" ref="P33">INT(SUMPRODUCT(--ISNUMBER(SEARCH(foreign,C33)))&gt;0)</f>
        <v>0</v>
      </c>
      <c r="Q33" s="14" cm="1">
        <f t="array" ref="Q33">INT(SUMPRODUCT(--ISNUMBER(SEARCH(gun,C33)))&gt;0)</f>
        <v>0</v>
      </c>
      <c r="R33" s="14" cm="1">
        <f t="array" ref="R33">INT(SUMPRODUCT(--ISNUMBER(SEARCH(race,C33)))&gt;0)</f>
        <v>0</v>
      </c>
      <c r="S33" s="14" cm="1">
        <f t="array" ref="S33">INT(SUMPRODUCT(--ISNUMBER(SEARCH(immigration,C33)))&gt;0)</f>
        <v>0</v>
      </c>
      <c r="T33" s="14" cm="1">
        <f t="array" ref="T33">INT(SUMPRODUCT(--ISNUMBER(SEARCH(econineq,C34)))&gt;0)</f>
        <v>0</v>
      </c>
      <c r="U33" s="14" cm="1">
        <f t="array" ref="U33">INT(SUMPRODUCT(--ISNUMBER(SEARCH(climate,C33)))&gt;0)</f>
        <v>0</v>
      </c>
      <c r="V33" s="14" cm="1">
        <f t="array" ref="V33">INT(SUMPRODUCT(--ISNUMBER(SEARCH(abortion,C33)))&gt;0)</f>
        <v>0</v>
      </c>
      <c r="W33" s="14" cm="1">
        <f t="array" ref="W33">INT(SUMPRODUCT(--ISNUMBER(SEARCH(trump,C33)))&gt;0)</f>
        <v>0</v>
      </c>
      <c r="X33" s="14" cm="1">
        <f t="array" ref="X33">INT(SUMPRODUCT(--ISNUMBER(SEARCH(voting,C33)))&gt;0)</f>
        <v>0</v>
      </c>
      <c r="Y33" s="14" cm="1">
        <f t="array" ref="Y33">INT(SUMPRODUCT(--ISNUMBER(SEARCH(republicantrigger,C33)))&gt;0)</f>
        <v>0</v>
      </c>
      <c r="Z33" s="14" cm="1">
        <f t="array" ref="Z33">INT(SUMPRODUCT(--ISNUMBER(SEARCH(bipartisan,C33)))&gt;0)</f>
        <v>0</v>
      </c>
      <c r="AA33" s="14">
        <f t="shared" si="0"/>
        <v>1</v>
      </c>
      <c r="AB33" s="14"/>
      <c r="AC33" s="30">
        <v>1</v>
      </c>
      <c r="AD33" s="37">
        <v>0</v>
      </c>
    </row>
    <row r="34" spans="1:30" x14ac:dyDescent="0.25">
      <c r="A34" s="36">
        <v>2132</v>
      </c>
      <c r="B34" s="14" t="s">
        <v>4289</v>
      </c>
      <c r="C34" s="14" t="s">
        <v>4290</v>
      </c>
      <c r="D34" s="17">
        <v>44120</v>
      </c>
      <c r="E34" s="14" t="s">
        <v>30</v>
      </c>
      <c r="F34" s="14">
        <v>34148</v>
      </c>
      <c r="G34" s="14">
        <v>14992</v>
      </c>
      <c r="H34" s="14">
        <v>10</v>
      </c>
      <c r="I34" s="14">
        <v>5</v>
      </c>
      <c r="J34" s="14" t="s">
        <v>31</v>
      </c>
      <c r="K34" s="33" cm="1">
        <f t="array" ref="K34">INT(SUMPRODUCT(--ISNUMBER(SEARCH(economy,C34)))&gt;0)</f>
        <v>0</v>
      </c>
      <c r="L34" s="33" cm="1">
        <f t="array" ref="L34">INT(SUMPRODUCT(--ISNUMBER(SEARCH(healthcare,C34)))&gt;0)</f>
        <v>0</v>
      </c>
      <c r="M34" s="33" cm="1">
        <f t="array" ref="M34">INT(SUMPRODUCT(--ISNUMBER(SEARCH(supreme,C34)))&gt;0)</f>
        <v>0</v>
      </c>
      <c r="N34" s="33" cm="1">
        <f t="array" ref="N34">INT(SUMPRODUCT(--ISNUMBER(SEARCH(covid,C34)))&gt;0)</f>
        <v>0</v>
      </c>
      <c r="O34" s="33" cm="1">
        <f t="array" ref="O34">INT(SUMPRODUCT(--ISNUMBER(SEARCH(violent,C34)))&gt;0)</f>
        <v>0</v>
      </c>
      <c r="P34" s="33" cm="1">
        <f t="array" ref="P34">INT(SUMPRODUCT(--ISNUMBER(SEARCH(foreign,C34)))&gt;0)</f>
        <v>0</v>
      </c>
      <c r="Q34" s="33" cm="1">
        <f t="array" ref="Q34">INT(SUMPRODUCT(--ISNUMBER(SEARCH(gun,C34)))&gt;0)</f>
        <v>0</v>
      </c>
      <c r="R34" s="33" cm="1">
        <f t="array" ref="R34">INT(SUMPRODUCT(--ISNUMBER(SEARCH(race,C34)))&gt;0)</f>
        <v>1</v>
      </c>
      <c r="S34" s="33" cm="1">
        <f t="array" ref="S34">INT(SUMPRODUCT(--ISNUMBER(SEARCH(immigration,C34)))&gt;0)</f>
        <v>0</v>
      </c>
      <c r="T34" s="33" cm="1">
        <f t="array" ref="T34">INT(SUMPRODUCT(--ISNUMBER(SEARCH(econineq,C35)))&gt;0)</f>
        <v>0</v>
      </c>
      <c r="U34" s="33" cm="1">
        <f t="array" ref="U34">INT(SUMPRODUCT(--ISNUMBER(SEARCH(climate,C34)))&gt;0)</f>
        <v>0</v>
      </c>
      <c r="V34" s="33" cm="1">
        <f t="array" ref="V34">INT(SUMPRODUCT(--ISNUMBER(SEARCH(abortion,C34)))&gt;0)</f>
        <v>0</v>
      </c>
      <c r="W34" s="33" cm="1">
        <f t="array" ref="W34">INT(SUMPRODUCT(--ISNUMBER(SEARCH(trump,C34)))&gt;0)</f>
        <v>0</v>
      </c>
      <c r="X34" s="33" cm="1">
        <f t="array" ref="X34">INT(SUMPRODUCT(--ISNUMBER(SEARCH(voting,C34)))&gt;0)</f>
        <v>0</v>
      </c>
      <c r="Y34" s="33" cm="1">
        <f t="array" ref="Y34">INT(SUMPRODUCT(--ISNUMBER(SEARCH(republicantrigger,C34)))&gt;0)</f>
        <v>1</v>
      </c>
      <c r="Z34" s="33" cm="1">
        <f t="array" ref="Z34">INT(SUMPRODUCT(--ISNUMBER(SEARCH(bipartisan,C34)))&gt;0)</f>
        <v>0</v>
      </c>
      <c r="AA34" s="33">
        <f t="shared" si="0"/>
        <v>0</v>
      </c>
      <c r="AB34" s="33"/>
      <c r="AC34" s="33">
        <v>0</v>
      </c>
      <c r="AD34" s="56">
        <v>1</v>
      </c>
    </row>
    <row r="35" spans="1:30" x14ac:dyDescent="0.25">
      <c r="A35" s="36">
        <v>2133</v>
      </c>
      <c r="B35" s="14" t="s">
        <v>4291</v>
      </c>
      <c r="C35" s="14" t="s">
        <v>4292</v>
      </c>
      <c r="D35" s="17">
        <v>44120</v>
      </c>
      <c r="E35" s="14" t="s">
        <v>30</v>
      </c>
      <c r="F35" s="14">
        <v>9627</v>
      </c>
      <c r="G35" s="14">
        <v>3800</v>
      </c>
      <c r="H35" s="14">
        <v>10</v>
      </c>
      <c r="I35" s="14">
        <v>5</v>
      </c>
      <c r="J35" s="14" t="s">
        <v>31</v>
      </c>
      <c r="K35" s="14" cm="1">
        <f t="array" ref="K35">INT(SUMPRODUCT(--ISNUMBER(SEARCH(economy,C35)))&gt;0)</f>
        <v>0</v>
      </c>
      <c r="L35" s="14" cm="1">
        <f t="array" ref="L35">INT(SUMPRODUCT(--ISNUMBER(SEARCH(healthcare,C35)))&gt;0)</f>
        <v>0</v>
      </c>
      <c r="M35" s="14" cm="1">
        <f t="array" ref="M35">INT(SUMPRODUCT(--ISNUMBER(SEARCH(supreme,C35)))&gt;0)</f>
        <v>0</v>
      </c>
      <c r="N35" s="14" cm="1">
        <f t="array" ref="N35">INT(SUMPRODUCT(--ISNUMBER(SEARCH(covid,C35)))&gt;0)</f>
        <v>0</v>
      </c>
      <c r="O35" s="14" cm="1">
        <f t="array" ref="O35">INT(SUMPRODUCT(--ISNUMBER(SEARCH(violent,C35)))&gt;0)</f>
        <v>0</v>
      </c>
      <c r="P35" s="14" cm="1">
        <f t="array" ref="P35">INT(SUMPRODUCT(--ISNUMBER(SEARCH(foreign,C35)))&gt;0)</f>
        <v>0</v>
      </c>
      <c r="Q35" s="14" cm="1">
        <f t="array" ref="Q35">INT(SUMPRODUCT(--ISNUMBER(SEARCH(gun,C35)))&gt;0)</f>
        <v>0</v>
      </c>
      <c r="R35" s="14" cm="1">
        <f t="array" ref="R35">INT(SUMPRODUCT(--ISNUMBER(SEARCH(race,C35)))&gt;0)</f>
        <v>0</v>
      </c>
      <c r="S35" s="14" cm="1">
        <f t="array" ref="S35">INT(SUMPRODUCT(--ISNUMBER(SEARCH(immigration,C35)))&gt;0)</f>
        <v>0</v>
      </c>
      <c r="T35" s="14" cm="1">
        <f t="array" ref="T35">INT(SUMPRODUCT(--ISNUMBER(SEARCH(econineq,C36)))&gt;0)</f>
        <v>0</v>
      </c>
      <c r="U35" s="14" cm="1">
        <f t="array" ref="U35">INT(SUMPRODUCT(--ISNUMBER(SEARCH(climate,C35)))&gt;0)</f>
        <v>0</v>
      </c>
      <c r="V35" s="14" cm="1">
        <f t="array" ref="V35">INT(SUMPRODUCT(--ISNUMBER(SEARCH(abortion,C35)))&gt;0)</f>
        <v>0</v>
      </c>
      <c r="W35" s="14" cm="1">
        <f t="array" ref="W35">INT(SUMPRODUCT(--ISNUMBER(SEARCH(trump,C35)))&gt;0)</f>
        <v>0</v>
      </c>
      <c r="X35" s="14" cm="1">
        <f t="array" ref="X35">INT(SUMPRODUCT(--ISNUMBER(SEARCH(voting,C35)))&gt;0)</f>
        <v>0</v>
      </c>
      <c r="Y35" s="14" cm="1">
        <f t="array" ref="Y35">INT(SUMPRODUCT(--ISNUMBER(SEARCH(republicantrigger,C35)))&gt;0)</f>
        <v>1</v>
      </c>
      <c r="Z35" s="14" cm="1">
        <f t="array" ref="Z35">INT(SUMPRODUCT(--ISNUMBER(SEARCH(bipartisan,C35)))&gt;0)</f>
        <v>0</v>
      </c>
      <c r="AA35" s="14">
        <f t="shared" si="0"/>
        <v>0</v>
      </c>
      <c r="AB35" s="14"/>
      <c r="AC35" s="30">
        <v>0</v>
      </c>
      <c r="AD35" s="37">
        <v>1</v>
      </c>
    </row>
    <row r="36" spans="1:30" x14ac:dyDescent="0.25">
      <c r="A36" s="36">
        <v>2134</v>
      </c>
      <c r="B36" s="14" t="s">
        <v>4293</v>
      </c>
      <c r="C36" s="14" t="s">
        <v>4294</v>
      </c>
      <c r="D36" s="17">
        <v>44120</v>
      </c>
      <c r="E36" s="14" t="s">
        <v>30</v>
      </c>
      <c r="F36" s="14">
        <v>1796</v>
      </c>
      <c r="G36" s="14">
        <v>511</v>
      </c>
      <c r="H36" s="14">
        <v>10</v>
      </c>
      <c r="I36" s="14">
        <v>5</v>
      </c>
      <c r="J36" s="14" t="s">
        <v>31</v>
      </c>
      <c r="K36" s="14" cm="1">
        <f t="array" ref="K36">INT(SUMPRODUCT(--ISNUMBER(SEARCH(economy,C36)))&gt;0)</f>
        <v>0</v>
      </c>
      <c r="L36" s="14" cm="1">
        <f t="array" ref="L36">INT(SUMPRODUCT(--ISNUMBER(SEARCH(healthcare,C36)))&gt;0)</f>
        <v>0</v>
      </c>
      <c r="M36" s="14" cm="1">
        <f t="array" ref="M36">INT(SUMPRODUCT(--ISNUMBER(SEARCH(supreme,C36)))&gt;0)</f>
        <v>0</v>
      </c>
      <c r="N36" s="14" cm="1">
        <f t="array" ref="N36">INT(SUMPRODUCT(--ISNUMBER(SEARCH(covid,C36)))&gt;0)</f>
        <v>0</v>
      </c>
      <c r="O36" s="14" cm="1">
        <f t="array" ref="O36">INT(SUMPRODUCT(--ISNUMBER(SEARCH(violent,C36)))&gt;0)</f>
        <v>0</v>
      </c>
      <c r="P36" s="14" cm="1">
        <f t="array" ref="P36">INT(SUMPRODUCT(--ISNUMBER(SEARCH(foreign,C36)))&gt;0)</f>
        <v>0</v>
      </c>
      <c r="Q36" s="14" cm="1">
        <f t="array" ref="Q36">INT(SUMPRODUCT(--ISNUMBER(SEARCH(gun,C36)))&gt;0)</f>
        <v>0</v>
      </c>
      <c r="R36" s="14" cm="1">
        <f t="array" ref="R36">INT(SUMPRODUCT(--ISNUMBER(SEARCH(race,C36)))&gt;0)</f>
        <v>0</v>
      </c>
      <c r="S36" s="14" cm="1">
        <f t="array" ref="S36">INT(SUMPRODUCT(--ISNUMBER(SEARCH(immigration,C36)))&gt;0)</f>
        <v>0</v>
      </c>
      <c r="T36" s="14" cm="1">
        <f t="array" ref="T36">INT(SUMPRODUCT(--ISNUMBER(SEARCH(econineq,C37)))&gt;0)</f>
        <v>0</v>
      </c>
      <c r="U36" s="14" cm="1">
        <f t="array" ref="U36">INT(SUMPRODUCT(--ISNUMBER(SEARCH(climate,C36)))&gt;0)</f>
        <v>0</v>
      </c>
      <c r="V36" s="14" cm="1">
        <f t="array" ref="V36">INT(SUMPRODUCT(--ISNUMBER(SEARCH(abortion,C36)))&gt;0)</f>
        <v>0</v>
      </c>
      <c r="W36" s="14" cm="1">
        <f t="array" ref="W36">INT(SUMPRODUCT(--ISNUMBER(SEARCH(trump,C36)))&gt;0)</f>
        <v>0</v>
      </c>
      <c r="X36" s="14" cm="1">
        <f t="array" ref="X36">INT(SUMPRODUCT(--ISNUMBER(SEARCH(voting,C36)))&gt;0)</f>
        <v>1</v>
      </c>
      <c r="Y36" s="14" cm="1">
        <f t="array" ref="Y36">INT(SUMPRODUCT(--ISNUMBER(SEARCH(republicantrigger,C36)))&gt;0)</f>
        <v>1</v>
      </c>
      <c r="Z36" s="14" cm="1">
        <f t="array" ref="Z36">INT(SUMPRODUCT(--ISNUMBER(SEARCH(bipartisan,C36)))&gt;0)</f>
        <v>0</v>
      </c>
      <c r="AA36" s="14">
        <f t="shared" si="0"/>
        <v>0</v>
      </c>
      <c r="AB36" s="14"/>
      <c r="AC36" s="30" t="s">
        <v>223</v>
      </c>
      <c r="AD36" s="37" t="s">
        <v>223</v>
      </c>
    </row>
    <row r="37" spans="1:30" x14ac:dyDescent="0.25">
      <c r="A37" s="36">
        <v>2135</v>
      </c>
      <c r="B37" s="14" t="s">
        <v>4295</v>
      </c>
      <c r="C37" s="14" t="s">
        <v>4296</v>
      </c>
      <c r="D37" s="17">
        <v>44120</v>
      </c>
      <c r="E37" s="14" t="s">
        <v>30</v>
      </c>
      <c r="F37" s="14">
        <v>545</v>
      </c>
      <c r="G37" s="14">
        <v>165</v>
      </c>
      <c r="H37" s="14">
        <v>10</v>
      </c>
      <c r="I37" s="14">
        <v>5</v>
      </c>
      <c r="J37" s="14" t="s">
        <v>31</v>
      </c>
      <c r="K37" s="14" cm="1">
        <f t="array" ref="K37">INT(SUMPRODUCT(--ISNUMBER(SEARCH(economy,C37)))&gt;0)</f>
        <v>0</v>
      </c>
      <c r="L37" s="14" cm="1">
        <f t="array" ref="L37">INT(SUMPRODUCT(--ISNUMBER(SEARCH(healthcare,C37)))&gt;0)</f>
        <v>0</v>
      </c>
      <c r="M37" s="14" cm="1">
        <f t="array" ref="M37">INT(SUMPRODUCT(--ISNUMBER(SEARCH(supreme,C37)))&gt;0)</f>
        <v>0</v>
      </c>
      <c r="N37" s="14" cm="1">
        <f t="array" ref="N37">INT(SUMPRODUCT(--ISNUMBER(SEARCH(covid,C37)))&gt;0)</f>
        <v>0</v>
      </c>
      <c r="O37" s="14" cm="1">
        <f t="array" ref="O37">INT(SUMPRODUCT(--ISNUMBER(SEARCH(violent,C37)))&gt;0)</f>
        <v>0</v>
      </c>
      <c r="P37" s="14" cm="1">
        <f t="array" ref="P37">INT(SUMPRODUCT(--ISNUMBER(SEARCH(foreign,C37)))&gt;0)</f>
        <v>0</v>
      </c>
      <c r="Q37" s="14" cm="1">
        <f t="array" ref="Q37">INT(SUMPRODUCT(--ISNUMBER(SEARCH(gun,C37)))&gt;0)</f>
        <v>0</v>
      </c>
      <c r="R37" s="14" cm="1">
        <f t="array" ref="R37">INT(SUMPRODUCT(--ISNUMBER(SEARCH(race,C37)))&gt;0)</f>
        <v>0</v>
      </c>
      <c r="S37" s="14" cm="1">
        <f t="array" ref="S37">INT(SUMPRODUCT(--ISNUMBER(SEARCH(immigration,C37)))&gt;0)</f>
        <v>0</v>
      </c>
      <c r="T37" s="14" cm="1">
        <f t="array" ref="T37">INT(SUMPRODUCT(--ISNUMBER(SEARCH(econineq,C38)))&gt;0)</f>
        <v>0</v>
      </c>
      <c r="U37" s="14" cm="1">
        <f t="array" ref="U37">INT(SUMPRODUCT(--ISNUMBER(SEARCH(climate,C37)))&gt;0)</f>
        <v>0</v>
      </c>
      <c r="V37" s="14" cm="1">
        <f t="array" ref="V37">INT(SUMPRODUCT(--ISNUMBER(SEARCH(abortion,C37)))&gt;0)</f>
        <v>0</v>
      </c>
      <c r="W37" s="14" cm="1">
        <f t="array" ref="W37">INT(SUMPRODUCT(--ISNUMBER(SEARCH(trump,C37)))&gt;0)</f>
        <v>0</v>
      </c>
      <c r="X37" s="14" cm="1">
        <f t="array" ref="X37">INT(SUMPRODUCT(--ISNUMBER(SEARCH(voting,C37)))&gt;0)</f>
        <v>0</v>
      </c>
      <c r="Y37" s="14" cm="1">
        <f t="array" ref="Y37">INT(SUMPRODUCT(--ISNUMBER(SEARCH(republicantrigger,C37)))&gt;0)</f>
        <v>0</v>
      </c>
      <c r="Z37" s="14" cm="1">
        <f t="array" ref="Z37">INT(SUMPRODUCT(--ISNUMBER(SEARCH(bipartisan,C37)))&gt;0)</f>
        <v>0</v>
      </c>
      <c r="AA37" s="14">
        <f t="shared" si="0"/>
        <v>1</v>
      </c>
      <c r="AB37" s="14"/>
      <c r="AC37" s="30">
        <v>1</v>
      </c>
      <c r="AD37" s="37">
        <v>0</v>
      </c>
    </row>
    <row r="38" spans="1:30" x14ac:dyDescent="0.25">
      <c r="A38" s="36">
        <v>2136</v>
      </c>
      <c r="B38" s="14" t="s">
        <v>4297</v>
      </c>
      <c r="C38" s="14" t="s">
        <v>4298</v>
      </c>
      <c r="D38" s="17">
        <v>44119</v>
      </c>
      <c r="E38" s="14" t="s">
        <v>30</v>
      </c>
      <c r="F38" s="14">
        <v>1221</v>
      </c>
      <c r="G38" s="14">
        <v>427</v>
      </c>
      <c r="H38" s="14">
        <v>10</v>
      </c>
      <c r="I38" s="14">
        <v>5</v>
      </c>
      <c r="J38" s="14" t="s">
        <v>31</v>
      </c>
      <c r="K38" s="33" cm="1">
        <f t="array" ref="K38">INT(SUMPRODUCT(--ISNUMBER(SEARCH(economy,C38)))&gt;0)</f>
        <v>0</v>
      </c>
      <c r="L38" s="33" cm="1">
        <f t="array" ref="L38">INT(SUMPRODUCT(--ISNUMBER(SEARCH(healthcare,C38)))&gt;0)</f>
        <v>0</v>
      </c>
      <c r="M38" s="33" cm="1">
        <f t="array" ref="M38">INT(SUMPRODUCT(--ISNUMBER(SEARCH(supreme,C38)))&gt;0)</f>
        <v>0</v>
      </c>
      <c r="N38" s="33" cm="1">
        <f t="array" ref="N38">INT(SUMPRODUCT(--ISNUMBER(SEARCH(covid,C38)))&gt;0)</f>
        <v>0</v>
      </c>
      <c r="O38" s="33" cm="1">
        <f t="array" ref="O38">INT(SUMPRODUCT(--ISNUMBER(SEARCH(violent,C38)))&gt;0)</f>
        <v>0</v>
      </c>
      <c r="P38" s="33" cm="1">
        <f t="array" ref="P38">INT(SUMPRODUCT(--ISNUMBER(SEARCH(foreign,C38)))&gt;0)</f>
        <v>0</v>
      </c>
      <c r="Q38" s="33" cm="1">
        <f t="array" ref="Q38">INT(SUMPRODUCT(--ISNUMBER(SEARCH(gun,C38)))&gt;0)</f>
        <v>0</v>
      </c>
      <c r="R38" s="33" cm="1">
        <f t="array" ref="R38">INT(SUMPRODUCT(--ISNUMBER(SEARCH(race,C38)))&gt;0)</f>
        <v>0</v>
      </c>
      <c r="S38" s="33" cm="1">
        <f t="array" ref="S38">INT(SUMPRODUCT(--ISNUMBER(SEARCH(immigration,C38)))&gt;0)</f>
        <v>0</v>
      </c>
      <c r="T38" s="33" cm="1">
        <f t="array" ref="T38">INT(SUMPRODUCT(--ISNUMBER(SEARCH(econineq,C39)))&gt;0)</f>
        <v>0</v>
      </c>
      <c r="U38" s="33" cm="1">
        <f t="array" ref="U38">INT(SUMPRODUCT(--ISNUMBER(SEARCH(climate,C38)))&gt;0)</f>
        <v>0</v>
      </c>
      <c r="V38" s="33" cm="1">
        <f t="array" ref="V38">INT(SUMPRODUCT(--ISNUMBER(SEARCH(abortion,C38)))&gt;0)</f>
        <v>0</v>
      </c>
      <c r="W38" s="33" cm="1">
        <f t="array" ref="W38">INT(SUMPRODUCT(--ISNUMBER(SEARCH(trump,C38)))&gt;0)</f>
        <v>0</v>
      </c>
      <c r="X38" s="33" cm="1">
        <f t="array" ref="X38">INT(SUMPRODUCT(--ISNUMBER(SEARCH(voting,C38)))&gt;0)</f>
        <v>0</v>
      </c>
      <c r="Y38" s="33" cm="1">
        <f t="array" ref="Y38">INT(SUMPRODUCT(--ISNUMBER(SEARCH(republicantrigger,C38)))&gt;0)</f>
        <v>1</v>
      </c>
      <c r="Z38" s="33" cm="1">
        <f t="array" ref="Z38">INT(SUMPRODUCT(--ISNUMBER(SEARCH(bipartisan,C38)))&gt;0)</f>
        <v>0</v>
      </c>
      <c r="AA38" s="33">
        <f t="shared" si="0"/>
        <v>0</v>
      </c>
      <c r="AB38" s="33"/>
      <c r="AC38" s="33">
        <v>0</v>
      </c>
      <c r="AD38" s="56">
        <v>1</v>
      </c>
    </row>
    <row r="39" spans="1:30" x14ac:dyDescent="0.25">
      <c r="A39" s="36">
        <v>2137</v>
      </c>
      <c r="B39" s="14" t="s">
        <v>4299</v>
      </c>
      <c r="C39" s="14" t="s">
        <v>4300</v>
      </c>
      <c r="D39" s="17">
        <v>44119</v>
      </c>
      <c r="E39" s="14" t="s">
        <v>30</v>
      </c>
      <c r="F39" s="14">
        <v>3466</v>
      </c>
      <c r="G39" s="14">
        <v>920</v>
      </c>
      <c r="H39" s="14">
        <v>10</v>
      </c>
      <c r="I39" s="14">
        <v>5</v>
      </c>
      <c r="J39" s="14" t="s">
        <v>31</v>
      </c>
      <c r="K39" s="14" cm="1">
        <f t="array" ref="K39">INT(SUMPRODUCT(--ISNUMBER(SEARCH(economy,C39)))&gt;0)</f>
        <v>0</v>
      </c>
      <c r="L39" s="14" cm="1">
        <f t="array" ref="L39">INT(SUMPRODUCT(--ISNUMBER(SEARCH(healthcare,C39)))&gt;0)</f>
        <v>0</v>
      </c>
      <c r="M39" s="14" cm="1">
        <f t="array" ref="M39">INT(SUMPRODUCT(--ISNUMBER(SEARCH(supreme,C39)))&gt;0)</f>
        <v>0</v>
      </c>
      <c r="N39" s="14" cm="1">
        <f t="array" ref="N39">INT(SUMPRODUCT(--ISNUMBER(SEARCH(covid,C39)))&gt;0)</f>
        <v>0</v>
      </c>
      <c r="O39" s="14" cm="1">
        <f t="array" ref="O39">INT(SUMPRODUCT(--ISNUMBER(SEARCH(violent,C39)))&gt;0)</f>
        <v>0</v>
      </c>
      <c r="P39" s="14" cm="1">
        <f t="array" ref="P39">INT(SUMPRODUCT(--ISNUMBER(SEARCH(foreign,C39)))&gt;0)</f>
        <v>0</v>
      </c>
      <c r="Q39" s="14" cm="1">
        <f t="array" ref="Q39">INT(SUMPRODUCT(--ISNUMBER(SEARCH(gun,C39)))&gt;0)</f>
        <v>0</v>
      </c>
      <c r="R39" s="14" cm="1">
        <f t="array" ref="R39">INT(SUMPRODUCT(--ISNUMBER(SEARCH(race,C39)))&gt;0)</f>
        <v>1</v>
      </c>
      <c r="S39" s="14" cm="1">
        <f t="array" ref="S39">INT(SUMPRODUCT(--ISNUMBER(SEARCH(immigration,C39)))&gt;0)</f>
        <v>0</v>
      </c>
      <c r="T39" s="14" cm="1">
        <f t="array" ref="T39">INT(SUMPRODUCT(--ISNUMBER(SEARCH(econineq,C40)))&gt;0)</f>
        <v>0</v>
      </c>
      <c r="U39" s="14" cm="1">
        <f t="array" ref="U39">INT(SUMPRODUCT(--ISNUMBER(SEARCH(climate,C39)))&gt;0)</f>
        <v>0</v>
      </c>
      <c r="V39" s="14" cm="1">
        <f t="array" ref="V39">INT(SUMPRODUCT(--ISNUMBER(SEARCH(abortion,C39)))&gt;0)</f>
        <v>0</v>
      </c>
      <c r="W39" s="14" cm="1">
        <f t="array" ref="W39">INT(SUMPRODUCT(--ISNUMBER(SEARCH(trump,C39)))&gt;0)</f>
        <v>1</v>
      </c>
      <c r="X39" s="14" cm="1">
        <f t="array" ref="X39">INT(SUMPRODUCT(--ISNUMBER(SEARCH(voting,C39)))&gt;0)</f>
        <v>0</v>
      </c>
      <c r="Y39" s="14" cm="1">
        <f t="array" ref="Y39">INT(SUMPRODUCT(--ISNUMBER(SEARCH(republicantrigger,C39)))&gt;0)</f>
        <v>0</v>
      </c>
      <c r="Z39" s="14" cm="1">
        <f t="array" ref="Z39">INT(SUMPRODUCT(--ISNUMBER(SEARCH(bipartisan,C39)))&gt;0)</f>
        <v>0</v>
      </c>
      <c r="AA39" s="14">
        <f t="shared" si="0"/>
        <v>0</v>
      </c>
      <c r="AB39" s="14"/>
      <c r="AC39" s="30" t="s">
        <v>223</v>
      </c>
      <c r="AD39" s="37" t="s">
        <v>223</v>
      </c>
    </row>
    <row r="40" spans="1:30" x14ac:dyDescent="0.25">
      <c r="A40" s="36">
        <v>2138</v>
      </c>
      <c r="B40" s="14" t="s">
        <v>4301</v>
      </c>
      <c r="C40" s="14" t="s">
        <v>4302</v>
      </c>
      <c r="D40" s="17">
        <v>44119</v>
      </c>
      <c r="E40" s="14" t="s">
        <v>30</v>
      </c>
      <c r="F40" s="14">
        <v>2229</v>
      </c>
      <c r="G40" s="14">
        <v>993</v>
      </c>
      <c r="H40" s="14">
        <v>10</v>
      </c>
      <c r="I40" s="14">
        <v>5</v>
      </c>
      <c r="J40" s="14" t="s">
        <v>31</v>
      </c>
      <c r="K40" s="33" cm="1">
        <f t="array" ref="K40">INT(SUMPRODUCT(--ISNUMBER(SEARCH(economy,C40)))&gt;0)</f>
        <v>0</v>
      </c>
      <c r="L40" s="33" cm="1">
        <f t="array" ref="L40">INT(SUMPRODUCT(--ISNUMBER(SEARCH(healthcare,C40)))&gt;0)</f>
        <v>0</v>
      </c>
      <c r="M40" s="33" cm="1">
        <f t="array" ref="M40">INT(SUMPRODUCT(--ISNUMBER(SEARCH(supreme,C40)))&gt;0)</f>
        <v>0</v>
      </c>
      <c r="N40" s="33" cm="1">
        <f t="array" ref="N40">INT(SUMPRODUCT(--ISNUMBER(SEARCH(covid,C40)))&gt;0)</f>
        <v>0</v>
      </c>
      <c r="O40" s="33" cm="1">
        <f t="array" ref="O40">INT(SUMPRODUCT(--ISNUMBER(SEARCH(violent,C40)))&gt;0)</f>
        <v>0</v>
      </c>
      <c r="P40" s="33" cm="1">
        <f t="array" ref="P40">INT(SUMPRODUCT(--ISNUMBER(SEARCH(foreign,C40)))&gt;0)</f>
        <v>0</v>
      </c>
      <c r="Q40" s="33" cm="1">
        <f t="array" ref="Q40">INT(SUMPRODUCT(--ISNUMBER(SEARCH(gun,C40)))&gt;0)</f>
        <v>0</v>
      </c>
      <c r="R40" s="33" cm="1">
        <f t="array" ref="R40">INT(SUMPRODUCT(--ISNUMBER(SEARCH(race,C40)))&gt;0)</f>
        <v>0</v>
      </c>
      <c r="S40" s="33" cm="1">
        <f t="array" ref="S40">INT(SUMPRODUCT(--ISNUMBER(SEARCH(immigration,C40)))&gt;0)</f>
        <v>0</v>
      </c>
      <c r="T40" s="33" cm="1">
        <f t="array" ref="T40">INT(SUMPRODUCT(--ISNUMBER(SEARCH(econineq,C41)))&gt;0)</f>
        <v>0</v>
      </c>
      <c r="U40" s="33" cm="1">
        <f t="array" ref="U40">INT(SUMPRODUCT(--ISNUMBER(SEARCH(climate,C40)))&gt;0)</f>
        <v>0</v>
      </c>
      <c r="V40" s="33" cm="1">
        <f t="array" ref="V40">INT(SUMPRODUCT(--ISNUMBER(SEARCH(abortion,C40)))&gt;0)</f>
        <v>0</v>
      </c>
      <c r="W40" s="33" cm="1">
        <f t="array" ref="W40">INT(SUMPRODUCT(--ISNUMBER(SEARCH(trump,C40)))&gt;0)</f>
        <v>0</v>
      </c>
      <c r="X40" s="33" cm="1">
        <f t="array" ref="X40">INT(SUMPRODUCT(--ISNUMBER(SEARCH(voting,C40)))&gt;0)</f>
        <v>1</v>
      </c>
      <c r="Y40" s="33" cm="1">
        <f t="array" ref="Y40">INT(SUMPRODUCT(--ISNUMBER(SEARCH(republicantrigger,C40)))&gt;0)</f>
        <v>1</v>
      </c>
      <c r="Z40" s="33" cm="1">
        <f t="array" ref="Z40">INT(SUMPRODUCT(--ISNUMBER(SEARCH(bipartisan,C40)))&gt;0)</f>
        <v>0</v>
      </c>
      <c r="AA40" s="33">
        <f t="shared" si="0"/>
        <v>0</v>
      </c>
      <c r="AB40" s="33"/>
      <c r="AC40" s="33">
        <v>0</v>
      </c>
      <c r="AD40" s="56">
        <v>1</v>
      </c>
    </row>
    <row r="41" spans="1:30" x14ac:dyDescent="0.25">
      <c r="A41" s="36">
        <v>2139</v>
      </c>
      <c r="B41" s="14" t="s">
        <v>4303</v>
      </c>
      <c r="C41" s="14" t="s">
        <v>4304</v>
      </c>
      <c r="D41" s="17">
        <v>44119</v>
      </c>
      <c r="E41" s="14" t="s">
        <v>30</v>
      </c>
      <c r="F41" s="14">
        <v>1388</v>
      </c>
      <c r="G41" s="14">
        <v>335</v>
      </c>
      <c r="H41" s="14">
        <v>10</v>
      </c>
      <c r="I41" s="14">
        <v>5</v>
      </c>
      <c r="J41" s="14" t="s">
        <v>31</v>
      </c>
      <c r="K41" s="14" cm="1">
        <f t="array" ref="K41">INT(SUMPRODUCT(--ISNUMBER(SEARCH(economy,C41)))&gt;0)</f>
        <v>0</v>
      </c>
      <c r="L41" s="14" cm="1">
        <f t="array" ref="L41">INT(SUMPRODUCT(--ISNUMBER(SEARCH(healthcare,C41)))&gt;0)</f>
        <v>0</v>
      </c>
      <c r="M41" s="14" cm="1">
        <f t="array" ref="M41">INT(SUMPRODUCT(--ISNUMBER(SEARCH(supreme,C41)))&gt;0)</f>
        <v>0</v>
      </c>
      <c r="N41" s="14" cm="1">
        <f t="array" ref="N41">INT(SUMPRODUCT(--ISNUMBER(SEARCH(covid,C41)))&gt;0)</f>
        <v>0</v>
      </c>
      <c r="O41" s="14" cm="1">
        <f t="array" ref="O41">INT(SUMPRODUCT(--ISNUMBER(SEARCH(violent,C41)))&gt;0)</f>
        <v>0</v>
      </c>
      <c r="P41" s="14" cm="1">
        <f t="array" ref="P41">INT(SUMPRODUCT(--ISNUMBER(SEARCH(foreign,C41)))&gt;0)</f>
        <v>0</v>
      </c>
      <c r="Q41" s="14" cm="1">
        <f t="array" ref="Q41">INT(SUMPRODUCT(--ISNUMBER(SEARCH(gun,C41)))&gt;0)</f>
        <v>0</v>
      </c>
      <c r="R41" s="14" cm="1">
        <f t="array" ref="R41">INT(SUMPRODUCT(--ISNUMBER(SEARCH(race,C41)))&gt;0)</f>
        <v>0</v>
      </c>
      <c r="S41" s="14" cm="1">
        <f t="array" ref="S41">INT(SUMPRODUCT(--ISNUMBER(SEARCH(immigration,C41)))&gt;0)</f>
        <v>0</v>
      </c>
      <c r="T41" s="14" cm="1">
        <f t="array" ref="T41">INT(SUMPRODUCT(--ISNUMBER(SEARCH(econineq,C42)))&gt;0)</f>
        <v>0</v>
      </c>
      <c r="U41" s="14" cm="1">
        <f t="array" ref="U41">INT(SUMPRODUCT(--ISNUMBER(SEARCH(climate,C41)))&gt;0)</f>
        <v>0</v>
      </c>
      <c r="V41" s="14" cm="1">
        <f t="array" ref="V41">INT(SUMPRODUCT(--ISNUMBER(SEARCH(abortion,C41)))&gt;0)</f>
        <v>0</v>
      </c>
      <c r="W41" s="14" cm="1">
        <f t="array" ref="W41">INT(SUMPRODUCT(--ISNUMBER(SEARCH(trump,C41)))&gt;0)</f>
        <v>0</v>
      </c>
      <c r="X41" s="14" cm="1">
        <f t="array" ref="X41">INT(SUMPRODUCT(--ISNUMBER(SEARCH(voting,C41)))&gt;0)</f>
        <v>1</v>
      </c>
      <c r="Y41" s="14" cm="1">
        <f t="array" ref="Y41">INT(SUMPRODUCT(--ISNUMBER(SEARCH(republicantrigger,C41)))&gt;0)</f>
        <v>0</v>
      </c>
      <c r="Z41" s="14" cm="1">
        <f t="array" ref="Z41">INT(SUMPRODUCT(--ISNUMBER(SEARCH(bipartisan,C41)))&gt;0)</f>
        <v>0</v>
      </c>
      <c r="AA41" s="14">
        <f t="shared" si="0"/>
        <v>0</v>
      </c>
      <c r="AB41" s="14"/>
      <c r="AC41" s="30">
        <v>1</v>
      </c>
      <c r="AD41" s="37">
        <v>0</v>
      </c>
    </row>
    <row r="42" spans="1:30" x14ac:dyDescent="0.25">
      <c r="A42" s="36">
        <v>2140</v>
      </c>
      <c r="B42" s="14" t="s">
        <v>4305</v>
      </c>
      <c r="C42" s="14" t="s">
        <v>4306</v>
      </c>
      <c r="D42" s="17">
        <v>44117</v>
      </c>
      <c r="E42" s="14" t="s">
        <v>30</v>
      </c>
      <c r="F42" s="14">
        <v>2396</v>
      </c>
      <c r="G42" s="14">
        <v>914</v>
      </c>
      <c r="H42" s="14">
        <v>10</v>
      </c>
      <c r="I42" s="14">
        <v>5</v>
      </c>
      <c r="J42" s="14" t="s">
        <v>31</v>
      </c>
      <c r="K42" s="14" cm="1">
        <f t="array" ref="K42">INT(SUMPRODUCT(--ISNUMBER(SEARCH(economy,C42)))&gt;0)</f>
        <v>0</v>
      </c>
      <c r="L42" s="14" cm="1">
        <f t="array" ref="L42">INT(SUMPRODUCT(--ISNUMBER(SEARCH(healthcare,C42)))&gt;0)</f>
        <v>0</v>
      </c>
      <c r="M42" s="14" cm="1">
        <f t="array" ref="M42">INT(SUMPRODUCT(--ISNUMBER(SEARCH(supreme,C42)))&gt;0)</f>
        <v>0</v>
      </c>
      <c r="N42" s="14" cm="1">
        <f t="array" ref="N42">INT(SUMPRODUCT(--ISNUMBER(SEARCH(covid,C42)))&gt;0)</f>
        <v>0</v>
      </c>
      <c r="O42" s="14" cm="1">
        <f t="array" ref="O42">INT(SUMPRODUCT(--ISNUMBER(SEARCH(violent,C42)))&gt;0)</f>
        <v>0</v>
      </c>
      <c r="P42" s="14" cm="1">
        <f t="array" ref="P42">INT(SUMPRODUCT(--ISNUMBER(SEARCH(foreign,C42)))&gt;0)</f>
        <v>0</v>
      </c>
      <c r="Q42" s="14" cm="1">
        <f t="array" ref="Q42">INT(SUMPRODUCT(--ISNUMBER(SEARCH(gun,C42)))&gt;0)</f>
        <v>0</v>
      </c>
      <c r="R42" s="14" cm="1">
        <f t="array" ref="R42">INT(SUMPRODUCT(--ISNUMBER(SEARCH(race,C42)))&gt;0)</f>
        <v>0</v>
      </c>
      <c r="S42" s="14" cm="1">
        <f t="array" ref="S42">INT(SUMPRODUCT(--ISNUMBER(SEARCH(immigration,C42)))&gt;0)</f>
        <v>0</v>
      </c>
      <c r="T42" s="14" cm="1">
        <f t="array" ref="T42">INT(SUMPRODUCT(--ISNUMBER(SEARCH(econineq,C43)))&gt;0)</f>
        <v>0</v>
      </c>
      <c r="U42" s="14" cm="1">
        <f t="array" ref="U42">INT(SUMPRODUCT(--ISNUMBER(SEARCH(climate,C42)))&gt;0)</f>
        <v>0</v>
      </c>
      <c r="V42" s="14" cm="1">
        <f t="array" ref="V42">INT(SUMPRODUCT(--ISNUMBER(SEARCH(abortion,C42)))&gt;0)</f>
        <v>0</v>
      </c>
      <c r="W42" s="14" cm="1">
        <f t="array" ref="W42">INT(SUMPRODUCT(--ISNUMBER(SEARCH(trump,C42)))&gt;0)</f>
        <v>0</v>
      </c>
      <c r="X42" s="14" cm="1">
        <f t="array" ref="X42">INT(SUMPRODUCT(--ISNUMBER(SEARCH(voting,C42)))&gt;0)</f>
        <v>1</v>
      </c>
      <c r="Y42" s="14" cm="1">
        <f t="array" ref="Y42">INT(SUMPRODUCT(--ISNUMBER(SEARCH(republicantrigger,C42)))&gt;0)</f>
        <v>1</v>
      </c>
      <c r="Z42" s="14" cm="1">
        <f t="array" ref="Z42">INT(SUMPRODUCT(--ISNUMBER(SEARCH(bipartisan,C42)))&gt;0)</f>
        <v>0</v>
      </c>
      <c r="AA42" s="14">
        <f t="shared" si="0"/>
        <v>0</v>
      </c>
      <c r="AB42" s="14"/>
      <c r="AC42" s="30">
        <v>1</v>
      </c>
      <c r="AD42" s="37">
        <v>0</v>
      </c>
    </row>
    <row r="43" spans="1:30" x14ac:dyDescent="0.25">
      <c r="A43" s="36">
        <v>2141</v>
      </c>
      <c r="B43" s="14" t="s">
        <v>4307</v>
      </c>
      <c r="C43" s="14" t="s">
        <v>4308</v>
      </c>
      <c r="D43" s="17">
        <v>44116</v>
      </c>
      <c r="E43" s="14" t="s">
        <v>30</v>
      </c>
      <c r="F43" s="14">
        <v>1559</v>
      </c>
      <c r="G43" s="14">
        <v>452</v>
      </c>
      <c r="H43" s="14">
        <v>10</v>
      </c>
      <c r="I43" s="14">
        <v>5</v>
      </c>
      <c r="J43" s="14" t="s">
        <v>31</v>
      </c>
      <c r="K43" s="14" cm="1">
        <f t="array" ref="K43">INT(SUMPRODUCT(--ISNUMBER(SEARCH(economy,C43)))&gt;0)</f>
        <v>0</v>
      </c>
      <c r="L43" s="14" cm="1">
        <f t="array" ref="L43">INT(SUMPRODUCT(--ISNUMBER(SEARCH(healthcare,C43)))&gt;0)</f>
        <v>0</v>
      </c>
      <c r="M43" s="14" cm="1">
        <f t="array" ref="M43">INT(SUMPRODUCT(--ISNUMBER(SEARCH(supreme,C43)))&gt;0)</f>
        <v>0</v>
      </c>
      <c r="N43" s="14" cm="1">
        <f t="array" ref="N43">INT(SUMPRODUCT(--ISNUMBER(SEARCH(covid,C43)))&gt;0)</f>
        <v>0</v>
      </c>
      <c r="O43" s="14" cm="1">
        <f t="array" ref="O43">INT(SUMPRODUCT(--ISNUMBER(SEARCH(violent,C43)))&gt;0)</f>
        <v>0</v>
      </c>
      <c r="P43" s="14" cm="1">
        <f t="array" ref="P43">INT(SUMPRODUCT(--ISNUMBER(SEARCH(foreign,C43)))&gt;0)</f>
        <v>0</v>
      </c>
      <c r="Q43" s="14" cm="1">
        <f t="array" ref="Q43">INT(SUMPRODUCT(--ISNUMBER(SEARCH(gun,C43)))&gt;0)</f>
        <v>1</v>
      </c>
      <c r="R43" s="14" cm="1">
        <f t="array" ref="R43">INT(SUMPRODUCT(--ISNUMBER(SEARCH(race,C43)))&gt;0)</f>
        <v>0</v>
      </c>
      <c r="S43" s="14" cm="1">
        <f t="array" ref="S43">INT(SUMPRODUCT(--ISNUMBER(SEARCH(immigration,C43)))&gt;0)</f>
        <v>0</v>
      </c>
      <c r="T43" s="14" cm="1">
        <f t="array" ref="T43">INT(SUMPRODUCT(--ISNUMBER(SEARCH(econineq,C44)))&gt;0)</f>
        <v>1</v>
      </c>
      <c r="U43" s="14" cm="1">
        <f t="array" ref="U43">INT(SUMPRODUCT(--ISNUMBER(SEARCH(climate,C43)))&gt;0)</f>
        <v>0</v>
      </c>
      <c r="V43" s="14" cm="1">
        <f t="array" ref="V43">INT(SUMPRODUCT(--ISNUMBER(SEARCH(abortion,C43)))&gt;0)</f>
        <v>0</v>
      </c>
      <c r="W43" s="14" cm="1">
        <f t="array" ref="W43">INT(SUMPRODUCT(--ISNUMBER(SEARCH(trump,C43)))&gt;0)</f>
        <v>0</v>
      </c>
      <c r="X43" s="14" cm="1">
        <f t="array" ref="X43">INT(SUMPRODUCT(--ISNUMBER(SEARCH(voting,C43)))&gt;0)</f>
        <v>0</v>
      </c>
      <c r="Y43" s="14" cm="1">
        <f t="array" ref="Y43">INT(SUMPRODUCT(--ISNUMBER(SEARCH(republicantrigger,C43)))&gt;0)</f>
        <v>0</v>
      </c>
      <c r="Z43" s="14" cm="1">
        <f t="array" ref="Z43">INT(SUMPRODUCT(--ISNUMBER(SEARCH(bipartisan,C43)))&gt;0)</f>
        <v>0</v>
      </c>
      <c r="AA43" s="14">
        <f t="shared" si="0"/>
        <v>0</v>
      </c>
      <c r="AB43" s="14"/>
      <c r="AC43" s="30">
        <v>1</v>
      </c>
      <c r="AD43" s="37">
        <v>0</v>
      </c>
    </row>
    <row r="44" spans="1:30" x14ac:dyDescent="0.25">
      <c r="A44" s="36">
        <v>2142</v>
      </c>
      <c r="B44" s="14" t="s">
        <v>4309</v>
      </c>
      <c r="C44" s="14" t="s">
        <v>4310</v>
      </c>
      <c r="D44" s="17">
        <v>44116</v>
      </c>
      <c r="E44" s="14" t="s">
        <v>30</v>
      </c>
      <c r="F44" s="14">
        <v>1874</v>
      </c>
      <c r="G44" s="14">
        <v>918</v>
      </c>
      <c r="H44" s="14">
        <v>10</v>
      </c>
      <c r="I44" s="14">
        <v>5</v>
      </c>
      <c r="J44" s="14" t="s">
        <v>31</v>
      </c>
      <c r="K44" s="33" cm="1">
        <f t="array" ref="K44">INT(SUMPRODUCT(--ISNUMBER(SEARCH(economy,C44)))&gt;0)</f>
        <v>1</v>
      </c>
      <c r="L44" s="33" cm="1">
        <f t="array" ref="L44">INT(SUMPRODUCT(--ISNUMBER(SEARCH(healthcare,C44)))&gt;0)</f>
        <v>0</v>
      </c>
      <c r="M44" s="33" cm="1">
        <f t="array" ref="M44">INT(SUMPRODUCT(--ISNUMBER(SEARCH(supreme,C44)))&gt;0)</f>
        <v>0</v>
      </c>
      <c r="N44" s="33" cm="1">
        <f t="array" ref="N44">INT(SUMPRODUCT(--ISNUMBER(SEARCH(covid,C44)))&gt;0)</f>
        <v>0</v>
      </c>
      <c r="O44" s="33" cm="1">
        <f t="array" ref="O44">INT(SUMPRODUCT(--ISNUMBER(SEARCH(violent,C44)))&gt;0)</f>
        <v>0</v>
      </c>
      <c r="P44" s="33" cm="1">
        <f t="array" ref="P44">INT(SUMPRODUCT(--ISNUMBER(SEARCH(foreign,C44)))&gt;0)</f>
        <v>0</v>
      </c>
      <c r="Q44" s="33" cm="1">
        <f t="array" ref="Q44">INT(SUMPRODUCT(--ISNUMBER(SEARCH(gun,C44)))&gt;0)</f>
        <v>0</v>
      </c>
      <c r="R44" s="33" cm="1">
        <f t="array" ref="R44">INT(SUMPRODUCT(--ISNUMBER(SEARCH(race,C44)))&gt;0)</f>
        <v>0</v>
      </c>
      <c r="S44" s="33" cm="1">
        <f t="array" ref="S44">INT(SUMPRODUCT(--ISNUMBER(SEARCH(immigration,C44)))&gt;0)</f>
        <v>0</v>
      </c>
      <c r="T44" s="33" cm="1">
        <f t="array" ref="T44">INT(SUMPRODUCT(--ISNUMBER(SEARCH(econineq,C45)))&gt;0)</f>
        <v>0</v>
      </c>
      <c r="U44" s="33" cm="1">
        <f t="array" ref="U44">INT(SUMPRODUCT(--ISNUMBER(SEARCH(climate,C44)))&gt;0)</f>
        <v>0</v>
      </c>
      <c r="V44" s="33" cm="1">
        <f t="array" ref="V44">INT(SUMPRODUCT(--ISNUMBER(SEARCH(abortion,C44)))&gt;0)</f>
        <v>0</v>
      </c>
      <c r="W44" s="33" cm="1">
        <f t="array" ref="W44">INT(SUMPRODUCT(--ISNUMBER(SEARCH(trump,C44)))&gt;0)</f>
        <v>0</v>
      </c>
      <c r="X44" s="33" cm="1">
        <f t="array" ref="X44">INT(SUMPRODUCT(--ISNUMBER(SEARCH(voting,C44)))&gt;0)</f>
        <v>0</v>
      </c>
      <c r="Y44" s="33" cm="1">
        <f t="array" ref="Y44">INT(SUMPRODUCT(--ISNUMBER(SEARCH(republicantrigger,C44)))&gt;0)</f>
        <v>1</v>
      </c>
      <c r="Z44" s="33" cm="1">
        <f t="array" ref="Z44">INT(SUMPRODUCT(--ISNUMBER(SEARCH(bipartisan,C44)))&gt;0)</f>
        <v>0</v>
      </c>
      <c r="AA44" s="33">
        <f t="shared" si="0"/>
        <v>0</v>
      </c>
      <c r="AB44" s="33"/>
      <c r="AC44" s="33">
        <v>0</v>
      </c>
      <c r="AD44" s="56">
        <v>1</v>
      </c>
    </row>
    <row r="45" spans="1:30" x14ac:dyDescent="0.25">
      <c r="A45" s="36">
        <v>2143</v>
      </c>
      <c r="B45" s="14" t="s">
        <v>4311</v>
      </c>
      <c r="C45" s="14" t="s">
        <v>4312</v>
      </c>
      <c r="D45" s="17">
        <v>44115</v>
      </c>
      <c r="E45" s="14" t="s">
        <v>30</v>
      </c>
      <c r="F45" s="14">
        <v>3375</v>
      </c>
      <c r="G45" s="14">
        <v>930</v>
      </c>
      <c r="H45" s="14">
        <v>10</v>
      </c>
      <c r="I45" s="14">
        <v>5</v>
      </c>
      <c r="J45" s="14" t="s">
        <v>31</v>
      </c>
      <c r="K45" s="14" cm="1">
        <f t="array" ref="K45">INT(SUMPRODUCT(--ISNUMBER(SEARCH(economy,C45)))&gt;0)</f>
        <v>0</v>
      </c>
      <c r="L45" s="14" cm="1">
        <f t="array" ref="L45">INT(SUMPRODUCT(--ISNUMBER(SEARCH(healthcare,C45)))&gt;0)</f>
        <v>0</v>
      </c>
      <c r="M45" s="14" cm="1">
        <f t="array" ref="M45">INT(SUMPRODUCT(--ISNUMBER(SEARCH(supreme,C45)))&gt;0)</f>
        <v>0</v>
      </c>
      <c r="N45" s="14" cm="1">
        <f t="array" ref="N45">INT(SUMPRODUCT(--ISNUMBER(SEARCH(covid,C45)))&gt;0)</f>
        <v>0</v>
      </c>
      <c r="O45" s="14" cm="1">
        <f t="array" ref="O45">INT(SUMPRODUCT(--ISNUMBER(SEARCH(violent,C45)))&gt;0)</f>
        <v>0</v>
      </c>
      <c r="P45" s="14" cm="1">
        <f t="array" ref="P45">INT(SUMPRODUCT(--ISNUMBER(SEARCH(foreign,C45)))&gt;0)</f>
        <v>0</v>
      </c>
      <c r="Q45" s="14" cm="1">
        <f t="array" ref="Q45">INT(SUMPRODUCT(--ISNUMBER(SEARCH(gun,C45)))&gt;0)</f>
        <v>0</v>
      </c>
      <c r="R45" s="14" cm="1">
        <f t="array" ref="R45">INT(SUMPRODUCT(--ISNUMBER(SEARCH(race,C45)))&gt;0)</f>
        <v>0</v>
      </c>
      <c r="S45" s="14" cm="1">
        <f t="array" ref="S45">INT(SUMPRODUCT(--ISNUMBER(SEARCH(immigration,C45)))&gt;0)</f>
        <v>0</v>
      </c>
      <c r="T45" s="14" cm="1">
        <f t="array" ref="T45">INT(SUMPRODUCT(--ISNUMBER(SEARCH(econineq,C46)))&gt;0)</f>
        <v>0</v>
      </c>
      <c r="U45" s="14" cm="1">
        <f t="array" ref="U45">INT(SUMPRODUCT(--ISNUMBER(SEARCH(climate,C45)))&gt;0)</f>
        <v>0</v>
      </c>
      <c r="V45" s="14" cm="1">
        <f t="array" ref="V45">INT(SUMPRODUCT(--ISNUMBER(SEARCH(abortion,C45)))&gt;0)</f>
        <v>0</v>
      </c>
      <c r="W45" s="14" cm="1">
        <f t="array" ref="W45">INT(SUMPRODUCT(--ISNUMBER(SEARCH(trump,C45)))&gt;0)</f>
        <v>0</v>
      </c>
      <c r="X45" s="14" cm="1">
        <f t="array" ref="X45">INT(SUMPRODUCT(--ISNUMBER(SEARCH(voting,C45)))&gt;0)</f>
        <v>0</v>
      </c>
      <c r="Y45" s="14" cm="1">
        <f t="array" ref="Y45">INT(SUMPRODUCT(--ISNUMBER(SEARCH(republicantrigger,C45)))&gt;0)</f>
        <v>0</v>
      </c>
      <c r="Z45" s="14" cm="1">
        <f t="array" ref="Z45">INT(SUMPRODUCT(--ISNUMBER(SEARCH(bipartisan,C45)))&gt;0)</f>
        <v>0</v>
      </c>
      <c r="AA45" s="14">
        <f t="shared" si="0"/>
        <v>1</v>
      </c>
      <c r="AB45" s="14"/>
      <c r="AC45" s="30">
        <v>1</v>
      </c>
      <c r="AD45" s="37">
        <v>0</v>
      </c>
    </row>
    <row r="46" spans="1:30" x14ac:dyDescent="0.25">
      <c r="A46" s="36">
        <v>2144</v>
      </c>
      <c r="B46" s="14" t="s">
        <v>4313</v>
      </c>
      <c r="C46" s="14" t="s">
        <v>4314</v>
      </c>
      <c r="D46" s="17">
        <v>44114</v>
      </c>
      <c r="E46" s="14" t="s">
        <v>30</v>
      </c>
      <c r="F46" s="14">
        <v>1608</v>
      </c>
      <c r="G46" s="14">
        <v>417</v>
      </c>
      <c r="H46" s="14">
        <v>10</v>
      </c>
      <c r="I46" s="14">
        <v>5</v>
      </c>
      <c r="J46" s="14" t="s">
        <v>31</v>
      </c>
      <c r="K46" s="33" cm="1">
        <f t="array" ref="K46">INT(SUMPRODUCT(--ISNUMBER(SEARCH(economy,C46)))&gt;0)</f>
        <v>0</v>
      </c>
      <c r="L46" s="33" cm="1">
        <f t="array" ref="L46">INT(SUMPRODUCT(--ISNUMBER(SEARCH(healthcare,C46)))&gt;0)</f>
        <v>0</v>
      </c>
      <c r="M46" s="33" cm="1">
        <f t="array" ref="M46">INT(SUMPRODUCT(--ISNUMBER(SEARCH(supreme,C46)))&gt;0)</f>
        <v>0</v>
      </c>
      <c r="N46" s="33" cm="1">
        <f t="array" ref="N46">INT(SUMPRODUCT(--ISNUMBER(SEARCH(covid,C46)))&gt;0)</f>
        <v>0</v>
      </c>
      <c r="O46" s="33" cm="1">
        <f t="array" ref="O46">INT(SUMPRODUCT(--ISNUMBER(SEARCH(violent,C46)))&gt;0)</f>
        <v>1</v>
      </c>
      <c r="P46" s="33" cm="1">
        <f t="array" ref="P46">INT(SUMPRODUCT(--ISNUMBER(SEARCH(foreign,C46)))&gt;0)</f>
        <v>0</v>
      </c>
      <c r="Q46" s="33" cm="1">
        <f t="array" ref="Q46">INT(SUMPRODUCT(--ISNUMBER(SEARCH(gun,C46)))&gt;0)</f>
        <v>0</v>
      </c>
      <c r="R46" s="33" cm="1">
        <f t="array" ref="R46">INT(SUMPRODUCT(--ISNUMBER(SEARCH(race,C46)))&gt;0)</f>
        <v>0</v>
      </c>
      <c r="S46" s="33" cm="1">
        <f t="array" ref="S46">INT(SUMPRODUCT(--ISNUMBER(SEARCH(immigration,C46)))&gt;0)</f>
        <v>0</v>
      </c>
      <c r="T46" s="33" cm="1">
        <f t="array" ref="T46">INT(SUMPRODUCT(--ISNUMBER(SEARCH(econineq,C47)))&gt;0)</f>
        <v>0</v>
      </c>
      <c r="U46" s="33" cm="1">
        <f t="array" ref="U46">INT(SUMPRODUCT(--ISNUMBER(SEARCH(climate,C46)))&gt;0)</f>
        <v>0</v>
      </c>
      <c r="V46" s="33" cm="1">
        <f t="array" ref="V46">INT(SUMPRODUCT(--ISNUMBER(SEARCH(abortion,C46)))&gt;0)</f>
        <v>0</v>
      </c>
      <c r="W46" s="33" cm="1">
        <f t="array" ref="W46">INT(SUMPRODUCT(--ISNUMBER(SEARCH(trump,C46)))&gt;0)</f>
        <v>0</v>
      </c>
      <c r="X46" s="33" cm="1">
        <f t="array" ref="X46">INT(SUMPRODUCT(--ISNUMBER(SEARCH(voting,C46)))&gt;0)</f>
        <v>0</v>
      </c>
      <c r="Y46" s="33" cm="1">
        <f t="array" ref="Y46">INT(SUMPRODUCT(--ISNUMBER(SEARCH(republicantrigger,C46)))&gt;0)</f>
        <v>0</v>
      </c>
      <c r="Z46" s="33" cm="1">
        <f t="array" ref="Z46">INT(SUMPRODUCT(--ISNUMBER(SEARCH(bipartisan,C46)))&gt;0)</f>
        <v>0</v>
      </c>
      <c r="AA46" s="33">
        <f t="shared" si="0"/>
        <v>0</v>
      </c>
      <c r="AB46" s="33"/>
      <c r="AC46" s="33">
        <v>0</v>
      </c>
      <c r="AD46" s="56">
        <v>1</v>
      </c>
    </row>
    <row r="47" spans="1:30" x14ac:dyDescent="0.25">
      <c r="A47" s="36">
        <v>2145</v>
      </c>
      <c r="B47" s="14" t="s">
        <v>4315</v>
      </c>
      <c r="C47" s="14" t="s">
        <v>4316</v>
      </c>
      <c r="D47" s="17">
        <v>44113</v>
      </c>
      <c r="E47" s="14" t="s">
        <v>30</v>
      </c>
      <c r="F47" s="14">
        <v>5734</v>
      </c>
      <c r="G47" s="14">
        <v>2822</v>
      </c>
      <c r="H47" s="14">
        <v>10</v>
      </c>
      <c r="I47" s="14">
        <v>5</v>
      </c>
      <c r="J47" s="14" t="s">
        <v>31</v>
      </c>
      <c r="K47" s="33" cm="1">
        <f t="array" ref="K47">INT(SUMPRODUCT(--ISNUMBER(SEARCH(economy,C47)))&gt;0)</f>
        <v>0</v>
      </c>
      <c r="L47" s="33" cm="1">
        <f t="array" ref="L47">INT(SUMPRODUCT(--ISNUMBER(SEARCH(healthcare,C47)))&gt;0)</f>
        <v>0</v>
      </c>
      <c r="M47" s="33" cm="1">
        <f t="array" ref="M47">INT(SUMPRODUCT(--ISNUMBER(SEARCH(supreme,C47)))&gt;0)</f>
        <v>0</v>
      </c>
      <c r="N47" s="33" cm="1">
        <f t="array" ref="N47">INT(SUMPRODUCT(--ISNUMBER(SEARCH(covid,C47)))&gt;0)</f>
        <v>0</v>
      </c>
      <c r="O47" s="33" cm="1">
        <f t="array" ref="O47">INT(SUMPRODUCT(--ISNUMBER(SEARCH(violent,C47)))&gt;0)</f>
        <v>0</v>
      </c>
      <c r="P47" s="33" cm="1">
        <f t="array" ref="P47">INT(SUMPRODUCT(--ISNUMBER(SEARCH(foreign,C47)))&gt;0)</f>
        <v>0</v>
      </c>
      <c r="Q47" s="33" cm="1">
        <f t="array" ref="Q47">INT(SUMPRODUCT(--ISNUMBER(SEARCH(gun,C47)))&gt;0)</f>
        <v>0</v>
      </c>
      <c r="R47" s="33" cm="1">
        <f t="array" ref="R47">INT(SUMPRODUCT(--ISNUMBER(SEARCH(race,C47)))&gt;0)</f>
        <v>0</v>
      </c>
      <c r="S47" s="33" cm="1">
        <f t="array" ref="S47">INT(SUMPRODUCT(--ISNUMBER(SEARCH(immigration,C47)))&gt;0)</f>
        <v>0</v>
      </c>
      <c r="T47" s="33" cm="1">
        <f t="array" ref="T47">INT(SUMPRODUCT(--ISNUMBER(SEARCH(econineq,C48)))&gt;0)</f>
        <v>0</v>
      </c>
      <c r="U47" s="33" cm="1">
        <f t="array" ref="U47">INT(SUMPRODUCT(--ISNUMBER(SEARCH(climate,C47)))&gt;0)</f>
        <v>0</v>
      </c>
      <c r="V47" s="33" cm="1">
        <f t="array" ref="V47">INT(SUMPRODUCT(--ISNUMBER(SEARCH(abortion,C47)))&gt;0)</f>
        <v>0</v>
      </c>
      <c r="W47" s="33" cm="1">
        <f t="array" ref="W47">INT(SUMPRODUCT(--ISNUMBER(SEARCH(trump,C47)))&gt;0)</f>
        <v>0</v>
      </c>
      <c r="X47" s="33" cm="1">
        <f t="array" ref="X47">INT(SUMPRODUCT(--ISNUMBER(SEARCH(voting,C47)))&gt;0)</f>
        <v>0</v>
      </c>
      <c r="Y47" s="33" cm="1">
        <f t="array" ref="Y47">INT(SUMPRODUCT(--ISNUMBER(SEARCH(republicantrigger,C47)))&gt;0)</f>
        <v>1</v>
      </c>
      <c r="Z47" s="33" cm="1">
        <f t="array" ref="Z47">INT(SUMPRODUCT(--ISNUMBER(SEARCH(bipartisan,C47)))&gt;0)</f>
        <v>0</v>
      </c>
      <c r="AA47" s="33">
        <f t="shared" si="0"/>
        <v>0</v>
      </c>
      <c r="AB47" s="33"/>
      <c r="AC47" s="33">
        <v>0</v>
      </c>
      <c r="AD47" s="56">
        <v>1</v>
      </c>
    </row>
    <row r="48" spans="1:30" x14ac:dyDescent="0.25">
      <c r="A48" s="36">
        <v>2146</v>
      </c>
      <c r="B48" s="14" t="s">
        <v>4317</v>
      </c>
      <c r="C48" s="14" t="s">
        <v>4318</v>
      </c>
      <c r="D48" s="17">
        <v>44113</v>
      </c>
      <c r="E48" s="14" t="s">
        <v>30</v>
      </c>
      <c r="F48" s="14">
        <v>1345</v>
      </c>
      <c r="G48" s="14">
        <v>344</v>
      </c>
      <c r="H48" s="14">
        <v>10</v>
      </c>
      <c r="I48" s="14">
        <v>5</v>
      </c>
      <c r="J48" s="14" t="s">
        <v>31</v>
      </c>
      <c r="K48" s="14" cm="1">
        <f t="array" ref="K48">INT(SUMPRODUCT(--ISNUMBER(SEARCH(economy,C48)))&gt;0)</f>
        <v>0</v>
      </c>
      <c r="L48" s="14" cm="1">
        <f t="array" ref="L48">INT(SUMPRODUCT(--ISNUMBER(SEARCH(healthcare,C48)))&gt;0)</f>
        <v>0</v>
      </c>
      <c r="M48" s="14" cm="1">
        <f t="array" ref="M48">INT(SUMPRODUCT(--ISNUMBER(SEARCH(supreme,C48)))&gt;0)</f>
        <v>0</v>
      </c>
      <c r="N48" s="14" cm="1">
        <f t="array" ref="N48">INT(SUMPRODUCT(--ISNUMBER(SEARCH(covid,C48)))&gt;0)</f>
        <v>0</v>
      </c>
      <c r="O48" s="14" cm="1">
        <f t="array" ref="O48">INT(SUMPRODUCT(--ISNUMBER(SEARCH(violent,C48)))&gt;0)</f>
        <v>0</v>
      </c>
      <c r="P48" s="14" cm="1">
        <f t="array" ref="P48">INT(SUMPRODUCT(--ISNUMBER(SEARCH(foreign,C48)))&gt;0)</f>
        <v>0</v>
      </c>
      <c r="Q48" s="14" cm="1">
        <f t="array" ref="Q48">INT(SUMPRODUCT(--ISNUMBER(SEARCH(gun,C48)))&gt;0)</f>
        <v>0</v>
      </c>
      <c r="R48" s="14" cm="1">
        <f t="array" ref="R48">INT(SUMPRODUCT(--ISNUMBER(SEARCH(race,C48)))&gt;0)</f>
        <v>0</v>
      </c>
      <c r="S48" s="14" cm="1">
        <f t="array" ref="S48">INT(SUMPRODUCT(--ISNUMBER(SEARCH(immigration,C48)))&gt;0)</f>
        <v>0</v>
      </c>
      <c r="T48" s="14" cm="1">
        <f t="array" ref="T48">INT(SUMPRODUCT(--ISNUMBER(SEARCH(econineq,C49)))&gt;0)</f>
        <v>0</v>
      </c>
      <c r="U48" s="14" cm="1">
        <f t="array" ref="U48">INT(SUMPRODUCT(--ISNUMBER(SEARCH(climate,C48)))&gt;0)</f>
        <v>0</v>
      </c>
      <c r="V48" s="14" cm="1">
        <f t="array" ref="V48">INT(SUMPRODUCT(--ISNUMBER(SEARCH(abortion,C48)))&gt;0)</f>
        <v>0</v>
      </c>
      <c r="W48" s="14" cm="1">
        <f t="array" ref="W48">INT(SUMPRODUCT(--ISNUMBER(SEARCH(trump,C48)))&gt;0)</f>
        <v>0</v>
      </c>
      <c r="X48" s="14" cm="1">
        <f t="array" ref="X48">INT(SUMPRODUCT(--ISNUMBER(SEARCH(voting,C48)))&gt;0)</f>
        <v>0</v>
      </c>
      <c r="Y48" s="14" cm="1">
        <f t="array" ref="Y48">INT(SUMPRODUCT(--ISNUMBER(SEARCH(republicantrigger,C48)))&gt;0)</f>
        <v>0</v>
      </c>
      <c r="Z48" s="14" cm="1">
        <f t="array" ref="Z48">INT(SUMPRODUCT(--ISNUMBER(SEARCH(bipartisan,C48)))&gt;0)</f>
        <v>0</v>
      </c>
      <c r="AA48" s="14">
        <f t="shared" si="0"/>
        <v>1</v>
      </c>
      <c r="AB48" s="14"/>
      <c r="AC48" s="30">
        <v>1</v>
      </c>
      <c r="AD48" s="37">
        <v>0</v>
      </c>
    </row>
    <row r="49" spans="1:30" x14ac:dyDescent="0.25">
      <c r="A49" s="36">
        <v>2147</v>
      </c>
      <c r="B49" s="14" t="s">
        <v>4319</v>
      </c>
      <c r="C49" s="14" t="s">
        <v>4320</v>
      </c>
      <c r="D49" s="17">
        <v>44113</v>
      </c>
      <c r="E49" s="14" t="s">
        <v>30</v>
      </c>
      <c r="F49" s="14">
        <v>1100</v>
      </c>
      <c r="G49" s="14">
        <v>328</v>
      </c>
      <c r="H49" s="14">
        <v>10</v>
      </c>
      <c r="I49" s="14">
        <v>5</v>
      </c>
      <c r="J49" s="14" t="s">
        <v>31</v>
      </c>
      <c r="K49" s="14" cm="1">
        <f t="array" ref="K49">INT(SUMPRODUCT(--ISNUMBER(SEARCH(economy,C49)))&gt;0)</f>
        <v>0</v>
      </c>
      <c r="L49" s="14" cm="1">
        <f t="array" ref="L49">INT(SUMPRODUCT(--ISNUMBER(SEARCH(healthcare,C49)))&gt;0)</f>
        <v>0</v>
      </c>
      <c r="M49" s="14" cm="1">
        <f t="array" ref="M49">INT(SUMPRODUCT(--ISNUMBER(SEARCH(supreme,C49)))&gt;0)</f>
        <v>0</v>
      </c>
      <c r="N49" s="14" cm="1">
        <f t="array" ref="N49">INT(SUMPRODUCT(--ISNUMBER(SEARCH(covid,C49)))&gt;0)</f>
        <v>0</v>
      </c>
      <c r="O49" s="14" cm="1">
        <f t="array" ref="O49">INT(SUMPRODUCT(--ISNUMBER(SEARCH(violent,C49)))&gt;0)</f>
        <v>0</v>
      </c>
      <c r="P49" s="14" cm="1">
        <f t="array" ref="P49">INT(SUMPRODUCT(--ISNUMBER(SEARCH(foreign,C49)))&gt;0)</f>
        <v>0</v>
      </c>
      <c r="Q49" s="14" cm="1">
        <f t="array" ref="Q49">INT(SUMPRODUCT(--ISNUMBER(SEARCH(gun,C49)))&gt;0)</f>
        <v>0</v>
      </c>
      <c r="R49" s="14" cm="1">
        <f t="array" ref="R49">INT(SUMPRODUCT(--ISNUMBER(SEARCH(race,C49)))&gt;0)</f>
        <v>0</v>
      </c>
      <c r="S49" s="14" cm="1">
        <f t="array" ref="S49">INT(SUMPRODUCT(--ISNUMBER(SEARCH(immigration,C49)))&gt;0)</f>
        <v>0</v>
      </c>
      <c r="T49" s="14" cm="1">
        <f t="array" ref="T49">INT(SUMPRODUCT(--ISNUMBER(SEARCH(econineq,C50)))&gt;0)</f>
        <v>0</v>
      </c>
      <c r="U49" s="14" cm="1">
        <f t="array" ref="U49">INT(SUMPRODUCT(--ISNUMBER(SEARCH(climate,C49)))&gt;0)</f>
        <v>0</v>
      </c>
      <c r="V49" s="14" cm="1">
        <f t="array" ref="V49">INT(SUMPRODUCT(--ISNUMBER(SEARCH(abortion,C49)))&gt;0)</f>
        <v>0</v>
      </c>
      <c r="W49" s="14" cm="1">
        <f t="array" ref="W49">INT(SUMPRODUCT(--ISNUMBER(SEARCH(trump,C49)))&gt;0)</f>
        <v>0</v>
      </c>
      <c r="X49" s="14" cm="1">
        <f t="array" ref="X49">INT(SUMPRODUCT(--ISNUMBER(SEARCH(voting,C49)))&gt;0)</f>
        <v>0</v>
      </c>
      <c r="Y49" s="14" cm="1">
        <f t="array" ref="Y49">INT(SUMPRODUCT(--ISNUMBER(SEARCH(republicantrigger,C49)))&gt;0)</f>
        <v>0</v>
      </c>
      <c r="Z49" s="14" cm="1">
        <f t="array" ref="Z49">INT(SUMPRODUCT(--ISNUMBER(SEARCH(bipartisan,C49)))&gt;0)</f>
        <v>0</v>
      </c>
      <c r="AA49" s="14">
        <f t="shared" si="0"/>
        <v>1</v>
      </c>
      <c r="AB49" s="14"/>
      <c r="AC49" s="30">
        <v>1</v>
      </c>
      <c r="AD49" s="37">
        <v>0</v>
      </c>
    </row>
    <row r="50" spans="1:30" x14ac:dyDescent="0.25">
      <c r="A50" s="36">
        <v>2148</v>
      </c>
      <c r="B50" s="14" t="s">
        <v>4321</v>
      </c>
      <c r="C50" s="14" t="s">
        <v>4322</v>
      </c>
      <c r="D50" s="17">
        <v>44112</v>
      </c>
      <c r="E50" s="14" t="s">
        <v>30</v>
      </c>
      <c r="F50" s="14">
        <v>567</v>
      </c>
      <c r="G50" s="14">
        <v>175</v>
      </c>
      <c r="H50" s="14">
        <v>10</v>
      </c>
      <c r="I50" s="14">
        <v>5</v>
      </c>
      <c r="J50" s="14" t="s">
        <v>31</v>
      </c>
      <c r="K50" s="14" cm="1">
        <f t="array" ref="K50">INT(SUMPRODUCT(--ISNUMBER(SEARCH(economy,C50)))&gt;0)</f>
        <v>0</v>
      </c>
      <c r="L50" s="14" cm="1">
        <f t="array" ref="L50">INT(SUMPRODUCT(--ISNUMBER(SEARCH(healthcare,C50)))&gt;0)</f>
        <v>0</v>
      </c>
      <c r="M50" s="14" cm="1">
        <f t="array" ref="M50">INT(SUMPRODUCT(--ISNUMBER(SEARCH(supreme,C50)))&gt;0)</f>
        <v>0</v>
      </c>
      <c r="N50" s="14" cm="1">
        <f t="array" ref="N50">INT(SUMPRODUCT(--ISNUMBER(SEARCH(covid,C50)))&gt;0)</f>
        <v>0</v>
      </c>
      <c r="O50" s="14" cm="1">
        <f t="array" ref="O50">INT(SUMPRODUCT(--ISNUMBER(SEARCH(violent,C50)))&gt;0)</f>
        <v>0</v>
      </c>
      <c r="P50" s="14" cm="1">
        <f t="array" ref="P50">INT(SUMPRODUCT(--ISNUMBER(SEARCH(foreign,C50)))&gt;0)</f>
        <v>0</v>
      </c>
      <c r="Q50" s="14" cm="1">
        <f t="array" ref="Q50">INT(SUMPRODUCT(--ISNUMBER(SEARCH(gun,C50)))&gt;0)</f>
        <v>0</v>
      </c>
      <c r="R50" s="14" cm="1">
        <f t="array" ref="R50">INT(SUMPRODUCT(--ISNUMBER(SEARCH(race,C50)))&gt;0)</f>
        <v>0</v>
      </c>
      <c r="S50" s="14" cm="1">
        <f t="array" ref="S50">INT(SUMPRODUCT(--ISNUMBER(SEARCH(immigration,C50)))&gt;0)</f>
        <v>0</v>
      </c>
      <c r="T50" s="14" cm="1">
        <f t="array" ref="T50">INT(SUMPRODUCT(--ISNUMBER(SEARCH(econineq,C51)))&gt;0)</f>
        <v>0</v>
      </c>
      <c r="U50" s="14" cm="1">
        <f t="array" ref="U50">INT(SUMPRODUCT(--ISNUMBER(SEARCH(climate,C50)))&gt;0)</f>
        <v>0</v>
      </c>
      <c r="V50" s="14" cm="1">
        <f t="array" ref="V50">INT(SUMPRODUCT(--ISNUMBER(SEARCH(abortion,C50)))&gt;0)</f>
        <v>0</v>
      </c>
      <c r="W50" s="14" cm="1">
        <f t="array" ref="W50">INT(SUMPRODUCT(--ISNUMBER(SEARCH(trump,C50)))&gt;0)</f>
        <v>0</v>
      </c>
      <c r="X50" s="14" cm="1">
        <f t="array" ref="X50">INT(SUMPRODUCT(--ISNUMBER(SEARCH(voting,C50)))&gt;0)</f>
        <v>0</v>
      </c>
      <c r="Y50" s="14" cm="1">
        <f t="array" ref="Y50">INT(SUMPRODUCT(--ISNUMBER(SEARCH(republicantrigger,C50)))&gt;0)</f>
        <v>0</v>
      </c>
      <c r="Z50" s="14" cm="1">
        <f t="array" ref="Z50">INT(SUMPRODUCT(--ISNUMBER(SEARCH(bipartisan,C50)))&gt;0)</f>
        <v>0</v>
      </c>
      <c r="AA50" s="14">
        <f t="shared" si="0"/>
        <v>1</v>
      </c>
      <c r="AB50" s="14"/>
      <c r="AC50" s="30">
        <v>1</v>
      </c>
      <c r="AD50" s="37">
        <v>0</v>
      </c>
    </row>
    <row r="51" spans="1:30" x14ac:dyDescent="0.25">
      <c r="A51" s="36">
        <v>2149</v>
      </c>
      <c r="B51" s="14" t="s">
        <v>4323</v>
      </c>
      <c r="C51" s="14" t="s">
        <v>4324</v>
      </c>
      <c r="D51" s="17">
        <v>44112</v>
      </c>
      <c r="E51" s="14" t="s">
        <v>30</v>
      </c>
      <c r="F51" s="14">
        <v>8282</v>
      </c>
      <c r="G51" s="14">
        <v>1801</v>
      </c>
      <c r="H51" s="14">
        <v>10</v>
      </c>
      <c r="I51" s="14">
        <v>5</v>
      </c>
      <c r="J51" s="14" t="s">
        <v>31</v>
      </c>
      <c r="K51" s="14" cm="1">
        <f t="array" ref="K51">INT(SUMPRODUCT(--ISNUMBER(SEARCH(economy,C51)))&gt;0)</f>
        <v>0</v>
      </c>
      <c r="L51" s="14" cm="1">
        <f t="array" ref="L51">INT(SUMPRODUCT(--ISNUMBER(SEARCH(healthcare,C51)))&gt;0)</f>
        <v>0</v>
      </c>
      <c r="M51" s="14" cm="1">
        <f t="array" ref="M51">INT(SUMPRODUCT(--ISNUMBER(SEARCH(supreme,C51)))&gt;0)</f>
        <v>0</v>
      </c>
      <c r="N51" s="14" cm="1">
        <f t="array" ref="N51">INT(SUMPRODUCT(--ISNUMBER(SEARCH(covid,C51)))&gt;0)</f>
        <v>0</v>
      </c>
      <c r="O51" s="14" cm="1">
        <f t="array" ref="O51">INT(SUMPRODUCT(--ISNUMBER(SEARCH(violent,C51)))&gt;0)</f>
        <v>0</v>
      </c>
      <c r="P51" s="14" cm="1">
        <f t="array" ref="P51">INT(SUMPRODUCT(--ISNUMBER(SEARCH(foreign,C51)))&gt;0)</f>
        <v>1</v>
      </c>
      <c r="Q51" s="14" cm="1">
        <f t="array" ref="Q51">INT(SUMPRODUCT(--ISNUMBER(SEARCH(gun,C51)))&gt;0)</f>
        <v>0</v>
      </c>
      <c r="R51" s="14" cm="1">
        <f t="array" ref="R51">INT(SUMPRODUCT(--ISNUMBER(SEARCH(race,C51)))&gt;0)</f>
        <v>0</v>
      </c>
      <c r="S51" s="14" cm="1">
        <f t="array" ref="S51">INT(SUMPRODUCT(--ISNUMBER(SEARCH(immigration,C51)))&gt;0)</f>
        <v>0</v>
      </c>
      <c r="T51" s="14" cm="1">
        <f t="array" ref="T51">INT(SUMPRODUCT(--ISNUMBER(SEARCH(econineq,C52)))&gt;0)</f>
        <v>0</v>
      </c>
      <c r="U51" s="14" cm="1">
        <f t="array" ref="U51">INT(SUMPRODUCT(--ISNUMBER(SEARCH(climate,C51)))&gt;0)</f>
        <v>0</v>
      </c>
      <c r="V51" s="14" cm="1">
        <f t="array" ref="V51">INT(SUMPRODUCT(--ISNUMBER(SEARCH(abortion,C51)))&gt;0)</f>
        <v>0</v>
      </c>
      <c r="W51" s="14" cm="1">
        <f t="array" ref="W51">INT(SUMPRODUCT(--ISNUMBER(SEARCH(trump,C51)))&gt;0)</f>
        <v>0</v>
      </c>
      <c r="X51" s="14" cm="1">
        <f t="array" ref="X51">INT(SUMPRODUCT(--ISNUMBER(SEARCH(voting,C51)))&gt;0)</f>
        <v>0</v>
      </c>
      <c r="Y51" s="14" cm="1">
        <f t="array" ref="Y51">INT(SUMPRODUCT(--ISNUMBER(SEARCH(republicantrigger,C51)))&gt;0)</f>
        <v>0</v>
      </c>
      <c r="Z51" s="14" cm="1">
        <f t="array" ref="Z51">INT(SUMPRODUCT(--ISNUMBER(SEARCH(bipartisan,C51)))&gt;0)</f>
        <v>0</v>
      </c>
      <c r="AA51" s="14">
        <f t="shared" si="0"/>
        <v>0</v>
      </c>
      <c r="AB51" s="14"/>
      <c r="AC51" s="30" t="s">
        <v>223</v>
      </c>
      <c r="AD51" s="37" t="s">
        <v>223</v>
      </c>
    </row>
    <row r="52" spans="1:30" x14ac:dyDescent="0.25">
      <c r="A52" s="36">
        <v>2150</v>
      </c>
      <c r="B52" s="14" t="s">
        <v>4325</v>
      </c>
      <c r="C52" s="14" t="s">
        <v>4326</v>
      </c>
      <c r="D52" s="17">
        <v>44112</v>
      </c>
      <c r="E52" s="14" t="s">
        <v>30</v>
      </c>
      <c r="F52" s="14">
        <v>560</v>
      </c>
      <c r="G52" s="14">
        <v>181</v>
      </c>
      <c r="H52" s="14">
        <v>10</v>
      </c>
      <c r="I52" s="14">
        <v>5</v>
      </c>
      <c r="J52" s="14" t="s">
        <v>31</v>
      </c>
      <c r="K52" s="14" cm="1">
        <f t="array" ref="K52">INT(SUMPRODUCT(--ISNUMBER(SEARCH(economy,C52)))&gt;0)</f>
        <v>1</v>
      </c>
      <c r="L52" s="14" cm="1">
        <f t="array" ref="L52">INT(SUMPRODUCT(--ISNUMBER(SEARCH(healthcare,C52)))&gt;0)</f>
        <v>0</v>
      </c>
      <c r="M52" s="14" cm="1">
        <f t="array" ref="M52">INT(SUMPRODUCT(--ISNUMBER(SEARCH(supreme,C52)))&gt;0)</f>
        <v>0</v>
      </c>
      <c r="N52" s="14" cm="1">
        <f t="array" ref="N52">INT(SUMPRODUCT(--ISNUMBER(SEARCH(covid,C52)))&gt;0)</f>
        <v>0</v>
      </c>
      <c r="O52" s="14" cm="1">
        <f t="array" ref="O52">INT(SUMPRODUCT(--ISNUMBER(SEARCH(violent,C52)))&gt;0)</f>
        <v>0</v>
      </c>
      <c r="P52" s="14" cm="1">
        <f t="array" ref="P52">INT(SUMPRODUCT(--ISNUMBER(SEARCH(foreign,C52)))&gt;0)</f>
        <v>0</v>
      </c>
      <c r="Q52" s="14" cm="1">
        <f t="array" ref="Q52">INT(SUMPRODUCT(--ISNUMBER(SEARCH(gun,C52)))&gt;0)</f>
        <v>0</v>
      </c>
      <c r="R52" s="14" cm="1">
        <f t="array" ref="R52">INT(SUMPRODUCT(--ISNUMBER(SEARCH(race,C52)))&gt;0)</f>
        <v>0</v>
      </c>
      <c r="S52" s="14" cm="1">
        <f t="array" ref="S52">INT(SUMPRODUCT(--ISNUMBER(SEARCH(immigration,C52)))&gt;0)</f>
        <v>0</v>
      </c>
      <c r="T52" s="14" cm="1">
        <f t="array" ref="T52">INT(SUMPRODUCT(--ISNUMBER(SEARCH(econineq,C53)))&gt;0)</f>
        <v>0</v>
      </c>
      <c r="U52" s="14" cm="1">
        <f t="array" ref="U52">INT(SUMPRODUCT(--ISNUMBER(SEARCH(climate,C52)))&gt;0)</f>
        <v>0</v>
      </c>
      <c r="V52" s="14" cm="1">
        <f t="array" ref="V52">INT(SUMPRODUCT(--ISNUMBER(SEARCH(abortion,C52)))&gt;0)</f>
        <v>0</v>
      </c>
      <c r="W52" s="14" cm="1">
        <f t="array" ref="W52">INT(SUMPRODUCT(--ISNUMBER(SEARCH(trump,C52)))&gt;0)</f>
        <v>0</v>
      </c>
      <c r="X52" s="14" cm="1">
        <f t="array" ref="X52">INT(SUMPRODUCT(--ISNUMBER(SEARCH(voting,C52)))&gt;0)</f>
        <v>0</v>
      </c>
      <c r="Y52" s="14" cm="1">
        <f t="array" ref="Y52">INT(SUMPRODUCT(--ISNUMBER(SEARCH(republicantrigger,C52)))&gt;0)</f>
        <v>0</v>
      </c>
      <c r="Z52" s="14" cm="1">
        <f t="array" ref="Z52">INT(SUMPRODUCT(--ISNUMBER(SEARCH(bipartisan,C52)))&gt;0)</f>
        <v>0</v>
      </c>
      <c r="AA52" s="14">
        <f t="shared" si="0"/>
        <v>0</v>
      </c>
      <c r="AB52" s="14"/>
      <c r="AC52" s="30">
        <v>1</v>
      </c>
      <c r="AD52" s="37">
        <v>0</v>
      </c>
    </row>
    <row r="53" spans="1:30" x14ac:dyDescent="0.25">
      <c r="A53" s="36">
        <v>2151</v>
      </c>
      <c r="B53" s="14" t="s">
        <v>4327</v>
      </c>
      <c r="C53" s="14" t="s">
        <v>4328</v>
      </c>
      <c r="D53" s="17">
        <v>44109</v>
      </c>
      <c r="E53" s="14" t="s">
        <v>30</v>
      </c>
      <c r="F53" s="14">
        <v>4224</v>
      </c>
      <c r="G53" s="14">
        <v>1466</v>
      </c>
      <c r="H53" s="14">
        <v>10</v>
      </c>
      <c r="I53" s="14">
        <v>5</v>
      </c>
      <c r="J53" s="14" t="s">
        <v>31</v>
      </c>
      <c r="K53" s="33" cm="1">
        <f t="array" ref="K53">INT(SUMPRODUCT(--ISNUMBER(SEARCH(economy,C53)))&gt;0)</f>
        <v>0</v>
      </c>
      <c r="L53" s="33" cm="1">
        <f t="array" ref="L53">INT(SUMPRODUCT(--ISNUMBER(SEARCH(healthcare,C53)))&gt;0)</f>
        <v>0</v>
      </c>
      <c r="M53" s="33" cm="1">
        <f t="array" ref="M53">INT(SUMPRODUCT(--ISNUMBER(SEARCH(supreme,C53)))&gt;0)</f>
        <v>0</v>
      </c>
      <c r="N53" s="33" cm="1">
        <f t="array" ref="N53">INT(SUMPRODUCT(--ISNUMBER(SEARCH(covid,C53)))&gt;0)</f>
        <v>0</v>
      </c>
      <c r="O53" s="33" cm="1">
        <f t="array" ref="O53">INT(SUMPRODUCT(--ISNUMBER(SEARCH(violent,C53)))&gt;0)</f>
        <v>0</v>
      </c>
      <c r="P53" s="33" cm="1">
        <f t="array" ref="P53">INT(SUMPRODUCT(--ISNUMBER(SEARCH(foreign,C53)))&gt;0)</f>
        <v>0</v>
      </c>
      <c r="Q53" s="33" cm="1">
        <f t="array" ref="Q53">INT(SUMPRODUCT(--ISNUMBER(SEARCH(gun,C53)))&gt;0)</f>
        <v>0</v>
      </c>
      <c r="R53" s="33" cm="1">
        <f t="array" ref="R53">INT(SUMPRODUCT(--ISNUMBER(SEARCH(race,C53)))&gt;0)</f>
        <v>0</v>
      </c>
      <c r="S53" s="33" cm="1">
        <f t="array" ref="S53">INT(SUMPRODUCT(--ISNUMBER(SEARCH(immigration,C53)))&gt;0)</f>
        <v>0</v>
      </c>
      <c r="T53" s="33" cm="1">
        <f t="array" ref="T53">INT(SUMPRODUCT(--ISNUMBER(SEARCH(econineq,C54)))&gt;0)</f>
        <v>0</v>
      </c>
      <c r="U53" s="33" cm="1">
        <f t="array" ref="U53">INT(SUMPRODUCT(--ISNUMBER(SEARCH(climate,C53)))&gt;0)</f>
        <v>0</v>
      </c>
      <c r="V53" s="33" cm="1">
        <f t="array" ref="V53">INT(SUMPRODUCT(--ISNUMBER(SEARCH(abortion,C53)))&gt;0)</f>
        <v>0</v>
      </c>
      <c r="W53" s="33" cm="1">
        <f t="array" ref="W53">INT(SUMPRODUCT(--ISNUMBER(SEARCH(trump,C53)))&gt;0)</f>
        <v>0</v>
      </c>
      <c r="X53" s="33" cm="1">
        <f t="array" ref="X53">INT(SUMPRODUCT(--ISNUMBER(SEARCH(voting,C53)))&gt;0)</f>
        <v>0</v>
      </c>
      <c r="Y53" s="33" cm="1">
        <f t="array" ref="Y53">INT(SUMPRODUCT(--ISNUMBER(SEARCH(republicantrigger,C53)))&gt;0)</f>
        <v>0</v>
      </c>
      <c r="Z53" s="33" cm="1">
        <f t="array" ref="Z53">INT(SUMPRODUCT(--ISNUMBER(SEARCH(bipartisan,C53)))&gt;0)</f>
        <v>0</v>
      </c>
      <c r="AA53" s="33">
        <f t="shared" si="0"/>
        <v>1</v>
      </c>
      <c r="AB53" s="33"/>
      <c r="AC53" s="33">
        <v>0</v>
      </c>
      <c r="AD53" s="56">
        <v>1</v>
      </c>
    </row>
    <row r="54" spans="1:30" x14ac:dyDescent="0.25">
      <c r="A54" s="36">
        <v>2152</v>
      </c>
      <c r="B54" s="14" t="s">
        <v>4329</v>
      </c>
      <c r="C54" s="14" t="s">
        <v>4330</v>
      </c>
      <c r="D54" s="17">
        <v>44109</v>
      </c>
      <c r="E54" s="14" t="s">
        <v>30</v>
      </c>
      <c r="F54" s="14">
        <v>782</v>
      </c>
      <c r="G54" s="14">
        <v>247</v>
      </c>
      <c r="H54" s="14">
        <v>10</v>
      </c>
      <c r="I54" s="14">
        <v>5</v>
      </c>
      <c r="J54" s="14" t="s">
        <v>31</v>
      </c>
      <c r="K54" s="14" cm="1">
        <f t="array" ref="K54">INT(SUMPRODUCT(--ISNUMBER(SEARCH(economy,C54)))&gt;0)</f>
        <v>0</v>
      </c>
      <c r="L54" s="14" cm="1">
        <f t="array" ref="L54">INT(SUMPRODUCT(--ISNUMBER(SEARCH(healthcare,C54)))&gt;0)</f>
        <v>0</v>
      </c>
      <c r="M54" s="14" cm="1">
        <f t="array" ref="M54">INT(SUMPRODUCT(--ISNUMBER(SEARCH(supreme,C54)))&gt;0)</f>
        <v>0</v>
      </c>
      <c r="N54" s="14" cm="1">
        <f t="array" ref="N54">INT(SUMPRODUCT(--ISNUMBER(SEARCH(covid,C54)))&gt;0)</f>
        <v>0</v>
      </c>
      <c r="O54" s="14" cm="1">
        <f t="array" ref="O54">INT(SUMPRODUCT(--ISNUMBER(SEARCH(violent,C54)))&gt;0)</f>
        <v>0</v>
      </c>
      <c r="P54" s="14" cm="1">
        <f t="array" ref="P54">INT(SUMPRODUCT(--ISNUMBER(SEARCH(foreign,C54)))&gt;0)</f>
        <v>0</v>
      </c>
      <c r="Q54" s="14" cm="1">
        <f t="array" ref="Q54">INT(SUMPRODUCT(--ISNUMBER(SEARCH(gun,C54)))&gt;0)</f>
        <v>0</v>
      </c>
      <c r="R54" s="14" cm="1">
        <f t="array" ref="R54">INT(SUMPRODUCT(--ISNUMBER(SEARCH(race,C54)))&gt;0)</f>
        <v>0</v>
      </c>
      <c r="S54" s="14" cm="1">
        <f t="array" ref="S54">INT(SUMPRODUCT(--ISNUMBER(SEARCH(immigration,C54)))&gt;0)</f>
        <v>0</v>
      </c>
      <c r="T54" s="14" cm="1">
        <f t="array" ref="T54">INT(SUMPRODUCT(--ISNUMBER(SEARCH(econineq,C55)))&gt;0)</f>
        <v>0</v>
      </c>
      <c r="U54" s="14" cm="1">
        <f t="array" ref="U54">INT(SUMPRODUCT(--ISNUMBER(SEARCH(climate,C54)))&gt;0)</f>
        <v>0</v>
      </c>
      <c r="V54" s="14" cm="1">
        <f t="array" ref="V54">INT(SUMPRODUCT(--ISNUMBER(SEARCH(abortion,C54)))&gt;0)</f>
        <v>0</v>
      </c>
      <c r="W54" s="14" cm="1">
        <f t="array" ref="W54">INT(SUMPRODUCT(--ISNUMBER(SEARCH(trump,C54)))&gt;0)</f>
        <v>0</v>
      </c>
      <c r="X54" s="14" cm="1">
        <f t="array" ref="X54">INT(SUMPRODUCT(--ISNUMBER(SEARCH(voting,C54)))&gt;0)</f>
        <v>1</v>
      </c>
      <c r="Y54" s="14" cm="1">
        <f t="array" ref="Y54">INT(SUMPRODUCT(--ISNUMBER(SEARCH(republicantrigger,C54)))&gt;0)</f>
        <v>0</v>
      </c>
      <c r="Z54" s="14" cm="1">
        <f t="array" ref="Z54">INT(SUMPRODUCT(--ISNUMBER(SEARCH(bipartisan,C54)))&gt;0)</f>
        <v>0</v>
      </c>
      <c r="AA54" s="14">
        <f t="shared" si="0"/>
        <v>0</v>
      </c>
      <c r="AB54" s="14"/>
      <c r="AC54" s="30">
        <v>1</v>
      </c>
      <c r="AD54" s="37">
        <v>0</v>
      </c>
    </row>
    <row r="55" spans="1:30" x14ac:dyDescent="0.25">
      <c r="A55" s="36">
        <v>2153</v>
      </c>
      <c r="B55" s="14" t="s">
        <v>4331</v>
      </c>
      <c r="C55" s="14" t="s">
        <v>4332</v>
      </c>
      <c r="D55" s="17">
        <v>44108</v>
      </c>
      <c r="E55" s="14" t="s">
        <v>30</v>
      </c>
      <c r="F55" s="14">
        <v>2935</v>
      </c>
      <c r="G55" s="14">
        <v>1278</v>
      </c>
      <c r="H55" s="14">
        <v>10</v>
      </c>
      <c r="I55" s="14">
        <v>5</v>
      </c>
      <c r="J55" s="14" t="s">
        <v>31</v>
      </c>
      <c r="K55" s="33" cm="1">
        <f t="array" ref="K55">INT(SUMPRODUCT(--ISNUMBER(SEARCH(economy,C55)))&gt;0)</f>
        <v>0</v>
      </c>
      <c r="L55" s="33" cm="1">
        <f t="array" ref="L55">INT(SUMPRODUCT(--ISNUMBER(SEARCH(healthcare,C55)))&gt;0)</f>
        <v>0</v>
      </c>
      <c r="M55" s="33" cm="1">
        <f t="array" ref="M55">INT(SUMPRODUCT(--ISNUMBER(SEARCH(supreme,C55)))&gt;0)</f>
        <v>0</v>
      </c>
      <c r="N55" s="33" cm="1">
        <f t="array" ref="N55">INT(SUMPRODUCT(--ISNUMBER(SEARCH(covid,C55)))&gt;0)</f>
        <v>0</v>
      </c>
      <c r="O55" s="33" cm="1">
        <f t="array" ref="O55">INT(SUMPRODUCT(--ISNUMBER(SEARCH(violent,C55)))&gt;0)</f>
        <v>0</v>
      </c>
      <c r="P55" s="33" cm="1">
        <f t="array" ref="P55">INT(SUMPRODUCT(--ISNUMBER(SEARCH(foreign,C55)))&gt;0)</f>
        <v>0</v>
      </c>
      <c r="Q55" s="33" cm="1">
        <f t="array" ref="Q55">INT(SUMPRODUCT(--ISNUMBER(SEARCH(gun,C55)))&gt;0)</f>
        <v>0</v>
      </c>
      <c r="R55" s="33" cm="1">
        <f t="array" ref="R55">INT(SUMPRODUCT(--ISNUMBER(SEARCH(race,C55)))&gt;0)</f>
        <v>0</v>
      </c>
      <c r="S55" s="33" cm="1">
        <f t="array" ref="S55">INT(SUMPRODUCT(--ISNUMBER(SEARCH(immigration,C55)))&gt;0)</f>
        <v>0</v>
      </c>
      <c r="T55" s="33" cm="1">
        <f t="array" ref="T55">INT(SUMPRODUCT(--ISNUMBER(SEARCH(econineq,C56)))&gt;0)</f>
        <v>0</v>
      </c>
      <c r="U55" s="33" cm="1">
        <f t="array" ref="U55">INT(SUMPRODUCT(--ISNUMBER(SEARCH(climate,C55)))&gt;0)</f>
        <v>0</v>
      </c>
      <c r="V55" s="33" cm="1">
        <f t="array" ref="V55">INT(SUMPRODUCT(--ISNUMBER(SEARCH(abortion,C55)))&gt;0)</f>
        <v>0</v>
      </c>
      <c r="W55" s="33" cm="1">
        <f t="array" ref="W55">INT(SUMPRODUCT(--ISNUMBER(SEARCH(trump,C55)))&gt;0)</f>
        <v>0</v>
      </c>
      <c r="X55" s="33" cm="1">
        <f t="array" ref="X55">INT(SUMPRODUCT(--ISNUMBER(SEARCH(voting,C55)))&gt;0)</f>
        <v>1</v>
      </c>
      <c r="Y55" s="33" cm="1">
        <f t="array" ref="Y55">INT(SUMPRODUCT(--ISNUMBER(SEARCH(republicantrigger,C55)))&gt;0)</f>
        <v>0</v>
      </c>
      <c r="Z55" s="33" cm="1">
        <f t="array" ref="Z55">INT(SUMPRODUCT(--ISNUMBER(SEARCH(bipartisan,C55)))&gt;0)</f>
        <v>0</v>
      </c>
      <c r="AA55" s="33">
        <f t="shared" si="0"/>
        <v>0</v>
      </c>
      <c r="AB55" s="33"/>
      <c r="AC55" s="33">
        <v>0</v>
      </c>
      <c r="AD55" s="56">
        <v>1</v>
      </c>
    </row>
    <row r="56" spans="1:30" x14ac:dyDescent="0.25">
      <c r="A56" s="38">
        <v>2154</v>
      </c>
      <c r="B56" s="39" t="s">
        <v>4333</v>
      </c>
      <c r="C56" s="39" t="s">
        <v>4334</v>
      </c>
      <c r="D56" s="41">
        <v>44107</v>
      </c>
      <c r="E56" s="39" t="s">
        <v>30</v>
      </c>
      <c r="F56" s="39">
        <v>1845</v>
      </c>
      <c r="G56" s="39">
        <v>338</v>
      </c>
      <c r="H56" s="39">
        <v>10</v>
      </c>
      <c r="I56" s="39">
        <v>5</v>
      </c>
      <c r="J56" s="39" t="s">
        <v>31</v>
      </c>
      <c r="K56" s="57" cm="1">
        <f t="array" ref="K56">INT(SUMPRODUCT(--ISNUMBER(SEARCH(economy,C56)))&gt;0)</f>
        <v>0</v>
      </c>
      <c r="L56" s="57" cm="1">
        <f t="array" ref="L56">INT(SUMPRODUCT(--ISNUMBER(SEARCH(healthcare,C56)))&gt;0)</f>
        <v>1</v>
      </c>
      <c r="M56" s="57" cm="1">
        <f t="array" ref="M56">INT(SUMPRODUCT(--ISNUMBER(SEARCH(supreme,C56)))&gt;0)</f>
        <v>0</v>
      </c>
      <c r="N56" s="57" cm="1">
        <f t="array" ref="N56">INT(SUMPRODUCT(--ISNUMBER(SEARCH(covid,C56)))&gt;0)</f>
        <v>1</v>
      </c>
      <c r="O56" s="57" cm="1">
        <f t="array" ref="O56">INT(SUMPRODUCT(--ISNUMBER(SEARCH(violent,C56)))&gt;0)</f>
        <v>0</v>
      </c>
      <c r="P56" s="57" cm="1">
        <f t="array" ref="P56">INT(SUMPRODUCT(--ISNUMBER(SEARCH(foreign,C56)))&gt;0)</f>
        <v>0</v>
      </c>
      <c r="Q56" s="57" cm="1">
        <f t="array" ref="Q56">INT(SUMPRODUCT(--ISNUMBER(SEARCH(gun,C56)))&gt;0)</f>
        <v>0</v>
      </c>
      <c r="R56" s="57" cm="1">
        <f t="array" ref="R56">INT(SUMPRODUCT(--ISNUMBER(SEARCH(race,C56)))&gt;0)</f>
        <v>0</v>
      </c>
      <c r="S56" s="57" cm="1">
        <f t="array" ref="S56">INT(SUMPRODUCT(--ISNUMBER(SEARCH(immigration,C56)))&gt;0)</f>
        <v>0</v>
      </c>
      <c r="T56" s="57" cm="1">
        <f t="array" ref="T56">INT(SUMPRODUCT(--ISNUMBER(SEARCH(econineq,C57)))&gt;0)</f>
        <v>0</v>
      </c>
      <c r="U56" s="57" cm="1">
        <f t="array" ref="U56">INT(SUMPRODUCT(--ISNUMBER(SEARCH(climate,C56)))&gt;0)</f>
        <v>0</v>
      </c>
      <c r="V56" s="57" cm="1">
        <f t="array" ref="V56">INT(SUMPRODUCT(--ISNUMBER(SEARCH(abortion,C56)))&gt;0)</f>
        <v>0</v>
      </c>
      <c r="W56" s="57" cm="1">
        <f t="array" ref="W56">INT(SUMPRODUCT(--ISNUMBER(SEARCH(trump,C56)))&gt;0)</f>
        <v>0</v>
      </c>
      <c r="X56" s="57" cm="1">
        <f t="array" ref="X56">INT(SUMPRODUCT(--ISNUMBER(SEARCH(voting,C56)))&gt;0)</f>
        <v>0</v>
      </c>
      <c r="Y56" s="57" cm="1">
        <f t="array" ref="Y56">INT(SUMPRODUCT(--ISNUMBER(SEARCH(republicantrigger,C56)))&gt;0)</f>
        <v>0</v>
      </c>
      <c r="Z56" s="57" cm="1">
        <f t="array" ref="Z56">INT(SUMPRODUCT(--ISNUMBER(SEARCH(bipartisan,C56)))&gt;0)</f>
        <v>0</v>
      </c>
      <c r="AA56" s="57">
        <f t="shared" si="0"/>
        <v>0</v>
      </c>
      <c r="AB56" s="57"/>
      <c r="AC56" s="57">
        <v>0</v>
      </c>
      <c r="AD56" s="58">
        <v>1</v>
      </c>
    </row>
    <row r="57" spans="1:30" x14ac:dyDescent="0.25">
      <c r="A57" s="16"/>
      <c r="B57" s="16"/>
      <c r="C57" s="16"/>
      <c r="D57" s="16"/>
      <c r="E57" s="16"/>
      <c r="F57" s="16"/>
      <c r="G57" s="16"/>
      <c r="H57" s="16"/>
      <c r="I57" s="16"/>
      <c r="J57" s="16"/>
      <c r="K57" s="22">
        <f t="shared" ref="K57:AD57" si="1">SUM(K2:K56)</f>
        <v>9</v>
      </c>
      <c r="L57" s="22">
        <f t="shared" si="1"/>
        <v>6</v>
      </c>
      <c r="M57" s="22">
        <f t="shared" si="1"/>
        <v>0</v>
      </c>
      <c r="N57" s="22">
        <f t="shared" si="1"/>
        <v>2</v>
      </c>
      <c r="O57" s="22">
        <f t="shared" si="1"/>
        <v>1</v>
      </c>
      <c r="P57" s="22">
        <f t="shared" si="1"/>
        <v>6</v>
      </c>
      <c r="Q57" s="22">
        <f t="shared" si="1"/>
        <v>2</v>
      </c>
      <c r="R57" s="22">
        <f t="shared" si="1"/>
        <v>4</v>
      </c>
      <c r="S57" s="22">
        <f t="shared" si="1"/>
        <v>0</v>
      </c>
      <c r="T57" s="22">
        <f t="shared" si="1"/>
        <v>1</v>
      </c>
      <c r="U57" s="22">
        <f t="shared" si="1"/>
        <v>0</v>
      </c>
      <c r="V57" s="22">
        <f t="shared" si="1"/>
        <v>0</v>
      </c>
      <c r="W57" s="22">
        <f t="shared" si="1"/>
        <v>2</v>
      </c>
      <c r="X57" s="22">
        <f t="shared" si="1"/>
        <v>20</v>
      </c>
      <c r="Y57" s="22">
        <f t="shared" si="1"/>
        <v>22</v>
      </c>
      <c r="Z57" s="22">
        <f t="shared" si="1"/>
        <v>1</v>
      </c>
      <c r="AA57" s="22">
        <f t="shared" si="1"/>
        <v>9</v>
      </c>
      <c r="AB57" s="22">
        <f t="shared" si="1"/>
        <v>0</v>
      </c>
      <c r="AC57" s="22">
        <f t="shared" si="1"/>
        <v>20</v>
      </c>
      <c r="AD57" s="22">
        <f t="shared" si="1"/>
        <v>27</v>
      </c>
    </row>
    <row r="58" spans="1:30" x14ac:dyDescent="0.2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row>
    <row r="59" spans="1:30" x14ac:dyDescent="0.25">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row>
    <row r="60" spans="1:30" x14ac:dyDescent="0.2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row>
    <row r="61" spans="1:30" x14ac:dyDescent="0.2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row>
    <row r="62" spans="1:30" x14ac:dyDescent="0.2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row>
    <row r="63" spans="1:30" x14ac:dyDescent="0.2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row>
    <row r="64" spans="1:30"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row>
    <row r="65" spans="1:30"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row>
    <row r="66" spans="1:30" x14ac:dyDescent="0.2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row>
    <row r="67" spans="1:30"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row>
    <row r="68" spans="1:30" x14ac:dyDescent="0.2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row>
    <row r="69" spans="1:30"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row>
    <row r="70" spans="1:30"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row>
    <row r="71" spans="1:30" x14ac:dyDescent="0.2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row>
    <row r="72" spans="1:30" x14ac:dyDescent="0.2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row>
    <row r="73" spans="1:30" x14ac:dyDescent="0.2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row>
    <row r="74" spans="1:30" x14ac:dyDescent="0.2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row>
    <row r="75" spans="1:30" x14ac:dyDescent="0.2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row>
    <row r="76" spans="1:30" x14ac:dyDescent="0.2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row>
    <row r="77" spans="1:30" x14ac:dyDescent="0.2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row>
    <row r="78" spans="1:30" x14ac:dyDescent="0.2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row>
    <row r="79" spans="1:30"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row>
    <row r="80" spans="1:30"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row>
    <row r="81" spans="1:30"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row>
    <row r="82" spans="1:30"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row>
    <row r="83" spans="1:30" x14ac:dyDescent="0.2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row>
    <row r="84" spans="1:30" x14ac:dyDescent="0.2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row>
    <row r="85" spans="1:30" x14ac:dyDescent="0.2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row>
    <row r="86" spans="1:30"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row>
    <row r="87" spans="1:30" x14ac:dyDescent="0.2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row>
    <row r="88" spans="1:30" x14ac:dyDescent="0.2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row>
    <row r="89" spans="1:30" x14ac:dyDescent="0.2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x14ac:dyDescent="0.25">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row>
    <row r="91" spans="1:30" x14ac:dyDescent="0.25">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row>
    <row r="92" spans="1:30" x14ac:dyDescent="0.2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row>
    <row r="93" spans="1:30" x14ac:dyDescent="0.25">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row>
    <row r="94" spans="1:30" x14ac:dyDescent="0.25">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row>
    <row r="95" spans="1:30" x14ac:dyDescent="0.2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row>
    <row r="96" spans="1:30" x14ac:dyDescent="0.25">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row>
    <row r="97" spans="1:30" x14ac:dyDescent="0.25">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row>
    <row r="98" spans="1:30" x14ac:dyDescent="0.25">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row>
    <row r="99" spans="1:30" x14ac:dyDescent="0.25">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row>
    <row r="100" spans="1:30" x14ac:dyDescent="0.25">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row>
    <row r="101" spans="1:30" x14ac:dyDescent="0.25">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row>
    <row r="102" spans="1:30" x14ac:dyDescent="0.25">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row>
    <row r="103" spans="1:30" x14ac:dyDescent="0.25">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row>
    <row r="104" spans="1:30" x14ac:dyDescent="0.25">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row>
    <row r="105" spans="1:30" x14ac:dyDescent="0.2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x14ac:dyDescent="0.25">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x14ac:dyDescent="0.25">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x14ac:dyDescent="0.25">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x14ac:dyDescent="0.25">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x14ac:dyDescent="0.25">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x14ac:dyDescent="0.25">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row>
    <row r="112" spans="1:30" x14ac:dyDescent="0.25">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row>
    <row r="113" spans="1:30" x14ac:dyDescent="0.25">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row>
    <row r="114" spans="1:30" x14ac:dyDescent="0.2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row>
    <row r="115" spans="1:30" x14ac:dyDescent="0.2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row>
    <row r="116" spans="1:30" x14ac:dyDescent="0.25">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row>
    <row r="117" spans="1:30"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row>
    <row r="118" spans="1:30"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row>
    <row r="119" spans="1:30" x14ac:dyDescent="0.25">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row>
    <row r="120" spans="1:30" x14ac:dyDescent="0.25">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row>
    <row r="121" spans="1:30" x14ac:dyDescent="0.25">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row>
    <row r="122" spans="1:30" x14ac:dyDescent="0.25">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row>
    <row r="123" spans="1:30" x14ac:dyDescent="0.25">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row>
    <row r="124" spans="1:30" x14ac:dyDescent="0.25">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row>
    <row r="125" spans="1:30" x14ac:dyDescent="0.2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row>
    <row r="126" spans="1:30" x14ac:dyDescent="0.25">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row>
    <row r="127" spans="1:30" x14ac:dyDescent="0.25">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row>
    <row r="128" spans="1:30" x14ac:dyDescent="0.25">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row>
    <row r="129" spans="1:30" x14ac:dyDescent="0.25">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row>
    <row r="130" spans="1:30" x14ac:dyDescent="0.25">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row>
    <row r="131" spans="1:30" x14ac:dyDescent="0.25">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row>
    <row r="132" spans="1:30" x14ac:dyDescent="0.25">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row>
    <row r="133" spans="1:30" x14ac:dyDescent="0.25">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row>
    <row r="134" spans="1:30" x14ac:dyDescent="0.25">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x14ac:dyDescent="0.2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x14ac:dyDescent="0.25">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x14ac:dyDescent="0.25">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x14ac:dyDescent="0.25">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row>
    <row r="139" spans="1:30" x14ac:dyDescent="0.25">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row>
    <row r="140" spans="1:30" x14ac:dyDescent="0.25">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row>
    <row r="141" spans="1:30" x14ac:dyDescent="0.25">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row>
    <row r="142" spans="1:30" x14ac:dyDescent="0.25">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row>
    <row r="143" spans="1:30" x14ac:dyDescent="0.25">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row>
    <row r="144" spans="1:30" x14ac:dyDescent="0.25">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row>
    <row r="145" spans="1:30" x14ac:dyDescent="0.2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row>
    <row r="146" spans="1:30" x14ac:dyDescent="0.25">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row>
    <row r="147" spans="1:30" x14ac:dyDescent="0.25">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row>
    <row r="148" spans="1:30" x14ac:dyDescent="0.25">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row>
    <row r="149" spans="1:30" x14ac:dyDescent="0.25">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row>
    <row r="150" spans="1:30" x14ac:dyDescent="0.25">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row>
    <row r="151" spans="1:30" x14ac:dyDescent="0.25">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x14ac:dyDescent="0.25">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row>
    <row r="153" spans="1:30" x14ac:dyDescent="0.25">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x14ac:dyDescent="0.25">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x14ac:dyDescent="0.2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row>
    <row r="156" spans="1:30" x14ac:dyDescent="0.25">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row>
    <row r="157" spans="1:30" x14ac:dyDescent="0.25">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row>
    <row r="158" spans="1:30" x14ac:dyDescent="0.25">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row>
    <row r="159" spans="1:30" x14ac:dyDescent="0.25">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row>
    <row r="160" spans="1:30" x14ac:dyDescent="0.25">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row>
    <row r="161" spans="1:30" x14ac:dyDescent="0.25">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row>
    <row r="162" spans="1:30" x14ac:dyDescent="0.25">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row>
    <row r="163" spans="1:30" x14ac:dyDescent="0.25">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row>
    <row r="164" spans="1:30" x14ac:dyDescent="0.25">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row>
    <row r="165" spans="1:30" x14ac:dyDescent="0.2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row>
    <row r="166" spans="1:30" x14ac:dyDescent="0.25">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row>
    <row r="167" spans="1:30" x14ac:dyDescent="0.25">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row>
    <row r="168" spans="1:30" x14ac:dyDescent="0.25">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x14ac:dyDescent="0.25">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x14ac:dyDescent="0.25">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x14ac:dyDescent="0.25">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x14ac:dyDescent="0.25">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x14ac:dyDescent="0.25">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x14ac:dyDescent="0.25">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x14ac:dyDescent="0.2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x14ac:dyDescent="0.25">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x14ac:dyDescent="0.25">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x14ac:dyDescent="0.25">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x14ac:dyDescent="0.25">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x14ac:dyDescent="0.25">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x14ac:dyDescent="0.25">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x14ac:dyDescent="0.25">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x14ac:dyDescent="0.25">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x14ac:dyDescent="0.2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x14ac:dyDescent="0.2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x14ac:dyDescent="0.25">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x14ac:dyDescent="0.25">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x14ac:dyDescent="0.25">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x14ac:dyDescent="0.25">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x14ac:dyDescent="0.25">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x14ac:dyDescent="0.25">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x14ac:dyDescent="0.25">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x14ac:dyDescent="0.25">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x14ac:dyDescent="0.25">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x14ac:dyDescent="0.2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x14ac:dyDescent="0.25">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x14ac:dyDescent="0.25">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x14ac:dyDescent="0.25">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x14ac:dyDescent="0.25">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x14ac:dyDescent="0.25">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x14ac:dyDescent="0.25">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x14ac:dyDescent="0.25">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x14ac:dyDescent="0.25">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x14ac:dyDescent="0.25">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x14ac:dyDescent="0.2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x14ac:dyDescent="0.25">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x14ac:dyDescent="0.25">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x14ac:dyDescent="0.25">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x14ac:dyDescent="0.25">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x14ac:dyDescent="0.25">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x14ac:dyDescent="0.25">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x14ac:dyDescent="0.25">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x14ac:dyDescent="0.25">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x14ac:dyDescent="0.25">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x14ac:dyDescent="0.2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x14ac:dyDescent="0.25">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x14ac:dyDescent="0.25">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x14ac:dyDescent="0.25">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x14ac:dyDescent="0.25">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x14ac:dyDescent="0.25">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x14ac:dyDescent="0.25">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x14ac:dyDescent="0.25">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x14ac:dyDescent="0.25">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x14ac:dyDescent="0.25">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x14ac:dyDescent="0.2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x14ac:dyDescent="0.25">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x14ac:dyDescent="0.25">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x14ac:dyDescent="0.25">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x14ac:dyDescent="0.25">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x14ac:dyDescent="0.25">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x14ac:dyDescent="0.25">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x14ac:dyDescent="0.25">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x14ac:dyDescent="0.25">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x14ac:dyDescent="0.25">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x14ac:dyDescent="0.2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x14ac:dyDescent="0.25">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x14ac:dyDescent="0.25">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x14ac:dyDescent="0.25">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x14ac:dyDescent="0.25">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x14ac:dyDescent="0.25">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x14ac:dyDescent="0.25">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x14ac:dyDescent="0.25">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x14ac:dyDescent="0.25">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x14ac:dyDescent="0.25">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x14ac:dyDescent="0.2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x14ac:dyDescent="0.25">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x14ac:dyDescent="0.25">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x14ac:dyDescent="0.25">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x14ac:dyDescent="0.25">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x14ac:dyDescent="0.25">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x14ac:dyDescent="0.25">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x14ac:dyDescent="0.25">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x14ac:dyDescent="0.25">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x14ac:dyDescent="0.25">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x14ac:dyDescent="0.2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x14ac:dyDescent="0.25">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x14ac:dyDescent="0.25">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x14ac:dyDescent="0.25">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x14ac:dyDescent="0.25">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x14ac:dyDescent="0.25">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x14ac:dyDescent="0.25">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x14ac:dyDescent="0.25">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x14ac:dyDescent="0.25">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x14ac:dyDescent="0.25">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x14ac:dyDescent="0.2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x14ac:dyDescent="0.25">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x14ac:dyDescent="0.25">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x14ac:dyDescent="0.25">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x14ac:dyDescent="0.25">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x14ac:dyDescent="0.25">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x14ac:dyDescent="0.25">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x14ac:dyDescent="0.25">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x14ac:dyDescent="0.25">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x14ac:dyDescent="0.25">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x14ac:dyDescent="0.2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x14ac:dyDescent="0.25">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x14ac:dyDescent="0.25">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x14ac:dyDescent="0.25">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x14ac:dyDescent="0.25">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x14ac:dyDescent="0.25">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x14ac:dyDescent="0.25">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x14ac:dyDescent="0.25">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x14ac:dyDescent="0.25">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x14ac:dyDescent="0.25">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x14ac:dyDescent="0.2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x14ac:dyDescent="0.25">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x14ac:dyDescent="0.25">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x14ac:dyDescent="0.25">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x14ac:dyDescent="0.25">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x14ac:dyDescent="0.25">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x14ac:dyDescent="0.25">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x14ac:dyDescent="0.25">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x14ac:dyDescent="0.25">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x14ac:dyDescent="0.25">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x14ac:dyDescent="0.2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x14ac:dyDescent="0.25">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x14ac:dyDescent="0.25">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x14ac:dyDescent="0.25">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x14ac:dyDescent="0.25">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x14ac:dyDescent="0.25">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x14ac:dyDescent="0.25">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x14ac:dyDescent="0.25">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x14ac:dyDescent="0.2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x14ac:dyDescent="0.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x14ac:dyDescent="0.2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x14ac:dyDescent="0.2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x14ac:dyDescent="0.2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x14ac:dyDescent="0.2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x14ac:dyDescent="0.2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x14ac:dyDescent="0.2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x14ac:dyDescent="0.2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x14ac:dyDescent="0.2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x14ac:dyDescent="0.2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x14ac:dyDescent="0.2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x14ac:dyDescent="0.2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x14ac:dyDescent="0.25">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x14ac:dyDescent="0.25">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x14ac:dyDescent="0.25">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x14ac:dyDescent="0.25">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x14ac:dyDescent="0.25">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x14ac:dyDescent="0.25">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x14ac:dyDescent="0.25">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x14ac:dyDescent="0.25">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x14ac:dyDescent="0.25">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x14ac:dyDescent="0.2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x14ac:dyDescent="0.25">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x14ac:dyDescent="0.25">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x14ac:dyDescent="0.25">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x14ac:dyDescent="0.25">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x14ac:dyDescent="0.25">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x14ac:dyDescent="0.25">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x14ac:dyDescent="0.25">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x14ac:dyDescent="0.25">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x14ac:dyDescent="0.25">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row>
    <row r="335" spans="1:30" x14ac:dyDescent="0.2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row>
    <row r="336" spans="1:30" x14ac:dyDescent="0.25">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row>
    <row r="337" spans="1:30" x14ac:dyDescent="0.25">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row>
    <row r="338" spans="1:30" x14ac:dyDescent="0.25">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row>
    <row r="339" spans="1:30" x14ac:dyDescent="0.25">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row>
    <row r="340" spans="1:30" x14ac:dyDescent="0.25">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row>
    <row r="341" spans="1:30" x14ac:dyDescent="0.25">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row>
    <row r="342" spans="1:30" x14ac:dyDescent="0.25">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row>
    <row r="343" spans="1:30" x14ac:dyDescent="0.25">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row>
    <row r="344" spans="1:30" x14ac:dyDescent="0.25">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row>
    <row r="345" spans="1:30" x14ac:dyDescent="0.2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row>
    <row r="346" spans="1:30" x14ac:dyDescent="0.25">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row>
    <row r="347" spans="1:30" x14ac:dyDescent="0.25">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row>
    <row r="348" spans="1:30" x14ac:dyDescent="0.25">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row>
    <row r="349" spans="1:30" x14ac:dyDescent="0.25">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row>
    <row r="350" spans="1:30" x14ac:dyDescent="0.25">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row>
    <row r="351" spans="1:30" x14ac:dyDescent="0.25">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row>
    <row r="352" spans="1:30" x14ac:dyDescent="0.25">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row>
    <row r="353" spans="1:30" x14ac:dyDescent="0.25">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row>
    <row r="354" spans="1:30" x14ac:dyDescent="0.25">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row>
    <row r="355" spans="1:30" x14ac:dyDescent="0.2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row>
    <row r="356" spans="1:30" x14ac:dyDescent="0.25">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row>
    <row r="357" spans="1:30" x14ac:dyDescent="0.25">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row>
    <row r="358" spans="1:30" x14ac:dyDescent="0.25">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row>
    <row r="359" spans="1:30" x14ac:dyDescent="0.25">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row>
    <row r="360" spans="1:30" x14ac:dyDescent="0.25">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row>
    <row r="361" spans="1:30" x14ac:dyDescent="0.25">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row>
    <row r="362" spans="1:30" x14ac:dyDescent="0.25">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row>
    <row r="363" spans="1:30" x14ac:dyDescent="0.25">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row>
    <row r="364" spans="1:30" x14ac:dyDescent="0.25">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row>
    <row r="365" spans="1:30" x14ac:dyDescent="0.2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row>
    <row r="366" spans="1:30" x14ac:dyDescent="0.25">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row>
    <row r="367" spans="1:30" x14ac:dyDescent="0.25">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row>
    <row r="368" spans="1:30" x14ac:dyDescent="0.25">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row>
    <row r="369" spans="1:30" x14ac:dyDescent="0.25">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row>
    <row r="370" spans="1:30" x14ac:dyDescent="0.25">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row>
    <row r="371" spans="1:30" x14ac:dyDescent="0.25">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row>
    <row r="372" spans="1:30" x14ac:dyDescent="0.25">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row>
    <row r="373" spans="1:30" x14ac:dyDescent="0.25">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row>
    <row r="374" spans="1:30" x14ac:dyDescent="0.25">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row>
    <row r="375" spans="1:30" x14ac:dyDescent="0.2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row>
    <row r="376" spans="1:30" x14ac:dyDescent="0.25">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row>
    <row r="377" spans="1:30" x14ac:dyDescent="0.25">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row>
    <row r="378" spans="1:30" x14ac:dyDescent="0.25">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row>
    <row r="379" spans="1:30" x14ac:dyDescent="0.25">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row>
    <row r="380" spans="1:30" x14ac:dyDescent="0.25">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row>
    <row r="381" spans="1:30" x14ac:dyDescent="0.25">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row>
    <row r="382" spans="1:30" x14ac:dyDescent="0.25">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row>
    <row r="383" spans="1:30" x14ac:dyDescent="0.25">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row>
    <row r="384" spans="1:30" x14ac:dyDescent="0.25">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row>
    <row r="385" spans="1:30" x14ac:dyDescent="0.2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row>
    <row r="386" spans="1:30" x14ac:dyDescent="0.25">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row>
    <row r="387" spans="1:30" x14ac:dyDescent="0.25">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row>
    <row r="388" spans="1:30" x14ac:dyDescent="0.25">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row>
    <row r="389" spans="1:30" x14ac:dyDescent="0.25">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row>
    <row r="390" spans="1:30" x14ac:dyDescent="0.25">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row>
    <row r="391" spans="1:30" x14ac:dyDescent="0.25">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row>
    <row r="392" spans="1:30" x14ac:dyDescent="0.25">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row>
    <row r="393" spans="1:30" x14ac:dyDescent="0.25">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row>
    <row r="394" spans="1:30" x14ac:dyDescent="0.25">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row>
    <row r="395" spans="1:30" x14ac:dyDescent="0.2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row>
    <row r="396" spans="1:30" x14ac:dyDescent="0.25">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row>
    <row r="397" spans="1:30" x14ac:dyDescent="0.25">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row>
    <row r="398" spans="1:30" x14ac:dyDescent="0.25">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row>
    <row r="399" spans="1:30" x14ac:dyDescent="0.25">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row>
    <row r="400" spans="1:30" x14ac:dyDescent="0.25">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row>
    <row r="401" spans="1:30" x14ac:dyDescent="0.25">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row>
    <row r="402" spans="1:30" x14ac:dyDescent="0.25">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row>
    <row r="403" spans="1:30" x14ac:dyDescent="0.25">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row>
    <row r="404" spans="1:30" x14ac:dyDescent="0.25">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row>
    <row r="405" spans="1:30" x14ac:dyDescent="0.2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row>
    <row r="406" spans="1:30" x14ac:dyDescent="0.25">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row>
    <row r="407" spans="1:30" x14ac:dyDescent="0.25">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row>
    <row r="408" spans="1:30" x14ac:dyDescent="0.25">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row>
    <row r="409" spans="1:30" x14ac:dyDescent="0.25">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row>
    <row r="410" spans="1:30" x14ac:dyDescent="0.25">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row>
    <row r="411" spans="1:30" x14ac:dyDescent="0.25">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row>
    <row r="412" spans="1:30" x14ac:dyDescent="0.25">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row>
    <row r="413" spans="1:30" x14ac:dyDescent="0.25">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row>
    <row r="414" spans="1:30" x14ac:dyDescent="0.25">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row>
    <row r="415" spans="1:30" x14ac:dyDescent="0.2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row>
    <row r="416" spans="1:30" x14ac:dyDescent="0.25">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row>
    <row r="417" spans="1:30" x14ac:dyDescent="0.25">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row>
    <row r="418" spans="1:30" x14ac:dyDescent="0.25">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row>
    <row r="419" spans="1:30" x14ac:dyDescent="0.25">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row>
    <row r="420" spans="1:30" x14ac:dyDescent="0.25">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row>
    <row r="421" spans="1:30" x14ac:dyDescent="0.25">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row>
    <row r="422" spans="1:30" x14ac:dyDescent="0.25">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row>
    <row r="423" spans="1:30" x14ac:dyDescent="0.25">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row>
    <row r="424" spans="1:30" x14ac:dyDescent="0.25">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row>
    <row r="425" spans="1:30" x14ac:dyDescent="0.2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row>
    <row r="426" spans="1:30" x14ac:dyDescent="0.25">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row>
    <row r="427" spans="1:30" x14ac:dyDescent="0.25">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row>
    <row r="428" spans="1:30" x14ac:dyDescent="0.25">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row>
    <row r="429" spans="1:30" x14ac:dyDescent="0.25">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row>
    <row r="430" spans="1:30" x14ac:dyDescent="0.25">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row>
    <row r="431" spans="1:30" x14ac:dyDescent="0.25">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row>
    <row r="432" spans="1:30" x14ac:dyDescent="0.25">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row>
    <row r="433" spans="1:30" x14ac:dyDescent="0.25">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row>
    <row r="434" spans="1:30" x14ac:dyDescent="0.25">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row>
    <row r="435" spans="1:30" x14ac:dyDescent="0.2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row>
    <row r="436" spans="1:30" x14ac:dyDescent="0.25">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row>
    <row r="437" spans="1:30" x14ac:dyDescent="0.25">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row>
    <row r="438" spans="1:30" x14ac:dyDescent="0.25">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row>
    <row r="439" spans="1:30" x14ac:dyDescent="0.25">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row>
    <row r="440" spans="1:30" x14ac:dyDescent="0.25">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row>
    <row r="441" spans="1:30" x14ac:dyDescent="0.25">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row>
    <row r="442" spans="1:30" x14ac:dyDescent="0.25">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row>
    <row r="443" spans="1:30" x14ac:dyDescent="0.25">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row>
    <row r="444" spans="1:30" x14ac:dyDescent="0.25">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row>
    <row r="445" spans="1:30" x14ac:dyDescent="0.2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row>
    <row r="446" spans="1:30" x14ac:dyDescent="0.25">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row>
    <row r="447" spans="1:30" x14ac:dyDescent="0.25">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row>
    <row r="448" spans="1:30" x14ac:dyDescent="0.25">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row>
    <row r="449" spans="1:30" x14ac:dyDescent="0.25">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row>
    <row r="450" spans="1:30" x14ac:dyDescent="0.25">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row>
    <row r="451" spans="1:30" x14ac:dyDescent="0.25">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row>
    <row r="452" spans="1:30" x14ac:dyDescent="0.25">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row>
    <row r="453" spans="1:30" x14ac:dyDescent="0.25">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row>
    <row r="454" spans="1:30" x14ac:dyDescent="0.25">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row>
    <row r="455" spans="1:30" x14ac:dyDescent="0.2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row>
    <row r="456" spans="1:30" x14ac:dyDescent="0.25">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row>
    <row r="457" spans="1:30" x14ac:dyDescent="0.25">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row>
    <row r="458" spans="1:30" x14ac:dyDescent="0.25">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row>
    <row r="459" spans="1:30" x14ac:dyDescent="0.25">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row>
    <row r="460" spans="1:30" x14ac:dyDescent="0.25">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row>
    <row r="461" spans="1:30" x14ac:dyDescent="0.25">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row>
    <row r="462" spans="1:30" x14ac:dyDescent="0.25">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row>
    <row r="463" spans="1:30" x14ac:dyDescent="0.25">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row>
    <row r="464" spans="1:30" x14ac:dyDescent="0.25">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row>
    <row r="465" spans="1:30" x14ac:dyDescent="0.2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row>
    <row r="466" spans="1:30" x14ac:dyDescent="0.25">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row>
    <row r="467" spans="1:30" x14ac:dyDescent="0.25">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row>
    <row r="468" spans="1:30" x14ac:dyDescent="0.25">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row>
    <row r="469" spans="1:30" x14ac:dyDescent="0.25">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row>
    <row r="470" spans="1:30" x14ac:dyDescent="0.25">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row>
    <row r="471" spans="1:30" x14ac:dyDescent="0.25">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row>
    <row r="472" spans="1:30" x14ac:dyDescent="0.25">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row>
    <row r="473" spans="1:30" x14ac:dyDescent="0.25">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row>
    <row r="474" spans="1:30" x14ac:dyDescent="0.25">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row>
    <row r="475" spans="1:30" x14ac:dyDescent="0.2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row>
    <row r="476" spans="1:30" x14ac:dyDescent="0.25">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row>
    <row r="477" spans="1:30" x14ac:dyDescent="0.25">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row>
    <row r="478" spans="1:30" x14ac:dyDescent="0.25">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row>
    <row r="479" spans="1:30" x14ac:dyDescent="0.25">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row>
    <row r="480" spans="1:30" x14ac:dyDescent="0.25">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row>
    <row r="481" spans="1:30" x14ac:dyDescent="0.25">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row>
    <row r="482" spans="1:30" x14ac:dyDescent="0.25">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row>
    <row r="483" spans="1:30" x14ac:dyDescent="0.25">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row>
    <row r="484" spans="1:30" x14ac:dyDescent="0.25">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row>
    <row r="485" spans="1:30" x14ac:dyDescent="0.2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row>
    <row r="486" spans="1:30" x14ac:dyDescent="0.25">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row>
    <row r="487" spans="1:30" x14ac:dyDescent="0.25">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row>
    <row r="488" spans="1:30" x14ac:dyDescent="0.25">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row>
    <row r="489" spans="1:30" x14ac:dyDescent="0.25">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row>
    <row r="490" spans="1:30" x14ac:dyDescent="0.25">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row>
    <row r="491" spans="1:30" x14ac:dyDescent="0.25">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row>
    <row r="492" spans="1:30" x14ac:dyDescent="0.25">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row>
    <row r="493" spans="1:30" x14ac:dyDescent="0.25">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row>
    <row r="494" spans="1:30" x14ac:dyDescent="0.25">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row>
    <row r="495" spans="1:30" x14ac:dyDescent="0.2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row>
    <row r="496" spans="1:30" x14ac:dyDescent="0.25">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row>
    <row r="497" spans="1:30" x14ac:dyDescent="0.25">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row>
    <row r="498" spans="1:30" x14ac:dyDescent="0.25">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row>
    <row r="499" spans="1:30" x14ac:dyDescent="0.25">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row>
    <row r="500" spans="1:30" x14ac:dyDescent="0.25">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row>
    <row r="501" spans="1:30" x14ac:dyDescent="0.25">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row>
    <row r="502" spans="1:30" x14ac:dyDescent="0.25">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row>
    <row r="503" spans="1:30" x14ac:dyDescent="0.25">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row>
    <row r="504" spans="1:30" x14ac:dyDescent="0.25">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row>
    <row r="505" spans="1:30" x14ac:dyDescent="0.2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row>
    <row r="506" spans="1:30" x14ac:dyDescent="0.25">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row>
    <row r="507" spans="1:30" x14ac:dyDescent="0.25">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row>
    <row r="508" spans="1:30" x14ac:dyDescent="0.25">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row>
    <row r="509" spans="1:30" x14ac:dyDescent="0.25">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row>
    <row r="510" spans="1:30" x14ac:dyDescent="0.25">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row>
    <row r="511" spans="1:30" x14ac:dyDescent="0.25">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row>
    <row r="512" spans="1:30" x14ac:dyDescent="0.25">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row>
    <row r="513" spans="1:30" x14ac:dyDescent="0.25">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row>
    <row r="514" spans="1:30" x14ac:dyDescent="0.25">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row>
    <row r="515" spans="1:30" x14ac:dyDescent="0.2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row>
    <row r="516" spans="1:30" x14ac:dyDescent="0.25">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row>
    <row r="517" spans="1:30" x14ac:dyDescent="0.25">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row>
    <row r="518" spans="1:30" x14ac:dyDescent="0.25">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row>
    <row r="519" spans="1:30" x14ac:dyDescent="0.25">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row>
    <row r="520" spans="1:30" x14ac:dyDescent="0.25">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row>
    <row r="521" spans="1:30" x14ac:dyDescent="0.25">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row>
    <row r="522" spans="1:30" x14ac:dyDescent="0.25">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row>
    <row r="523" spans="1:30" x14ac:dyDescent="0.25">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row>
    <row r="524" spans="1:30" x14ac:dyDescent="0.25">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row>
    <row r="525" spans="1:30" x14ac:dyDescent="0.2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row>
    <row r="526" spans="1:30" x14ac:dyDescent="0.25">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row>
    <row r="527" spans="1:30" x14ac:dyDescent="0.25">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row>
    <row r="528" spans="1:30" x14ac:dyDescent="0.25">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row>
    <row r="529" spans="1:30" x14ac:dyDescent="0.25">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row>
    <row r="530" spans="1:30" x14ac:dyDescent="0.25">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row>
    <row r="531" spans="1:30" x14ac:dyDescent="0.25">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row>
    <row r="532" spans="1:30" x14ac:dyDescent="0.25">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row>
    <row r="533" spans="1:30" x14ac:dyDescent="0.25">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row>
    <row r="534" spans="1:30" x14ac:dyDescent="0.25">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row>
    <row r="535" spans="1:30" x14ac:dyDescent="0.2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row>
    <row r="536" spans="1:30" x14ac:dyDescent="0.25">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row>
    <row r="537" spans="1:30" x14ac:dyDescent="0.25">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row>
    <row r="538" spans="1:30" x14ac:dyDescent="0.25">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row>
    <row r="539" spans="1:30" x14ac:dyDescent="0.25">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row>
    <row r="540" spans="1:30" x14ac:dyDescent="0.25">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row>
    <row r="541" spans="1:30" x14ac:dyDescent="0.25">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row>
    <row r="542" spans="1:30" x14ac:dyDescent="0.25">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row>
    <row r="543" spans="1:30" x14ac:dyDescent="0.25">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row>
    <row r="544" spans="1:30" x14ac:dyDescent="0.25">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row>
    <row r="545" spans="1:30" x14ac:dyDescent="0.2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row>
    <row r="546" spans="1:30" x14ac:dyDescent="0.25">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row>
    <row r="547" spans="1:30" x14ac:dyDescent="0.25">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row>
    <row r="548" spans="1:30" x14ac:dyDescent="0.25">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row>
    <row r="549" spans="1:30" x14ac:dyDescent="0.25">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row>
    <row r="550" spans="1:30" x14ac:dyDescent="0.25">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row>
  </sheetData>
  <conditionalFormatting sqref="J2:J56">
    <cfRule type="cellIs" dxfId="14" priority="1" operator="equal">
      <formula>"R"</formula>
    </cfRule>
  </conditionalFormatting>
  <hyperlinks>
    <hyperlink ref="B2" r:id="rId1" xr:uid="{ACB76835-89BC-4C09-86C9-3DDFDE723B41}"/>
    <hyperlink ref="B3" r:id="rId2" xr:uid="{BD47416D-755D-4BF7-BD9F-A2068CE16321}"/>
    <hyperlink ref="B4" r:id="rId3" display="1323425326949695489" xr:uid="{2B1CB63E-119B-4C3D-9F87-2853EB100DF4}"/>
    <hyperlink ref="B5" r:id="rId4" xr:uid="{1090A61A-7E49-4B05-9F3A-F363B03AAA88}"/>
    <hyperlink ref="B6" r:id="rId5" xr:uid="{5ECAFBA9-BB2A-4E09-A941-D1794F5787E9}"/>
    <hyperlink ref="B7" r:id="rId6" xr:uid="{756437DB-F293-4CE4-9F29-421E93A118FB}"/>
    <hyperlink ref="B8" r:id="rId7" xr:uid="{A2B4CD17-0847-4A6F-889B-CEFA84D26D23}"/>
    <hyperlink ref="B9" r:id="rId8" xr:uid="{480939ED-B21B-4094-9537-27F24E78AE33}"/>
    <hyperlink ref="B10" r:id="rId9" xr:uid="{40E90076-3B19-4FC4-9BD5-FB9205AC8B17}"/>
    <hyperlink ref="B11" r:id="rId10" xr:uid="{D2B1B0B4-EB1B-4F71-83C8-0CBA4B9EC647}"/>
    <hyperlink ref="B12" r:id="rId11" xr:uid="{1C7081E3-0A60-47B7-BF5A-D63DA0F6B741}"/>
    <hyperlink ref="B13" r:id="rId12" xr:uid="{9898F1B4-D568-4DBC-A805-E4D5AAF24357}"/>
    <hyperlink ref="B14" r:id="rId13" xr:uid="{DDC7063A-C435-4965-BE3C-9EA8F3220177}"/>
    <hyperlink ref="B15" r:id="rId14" xr:uid="{7FE3A424-B47B-4913-A217-650E72B2D9F2}"/>
    <hyperlink ref="B16" r:id="rId15" xr:uid="{05FCC11E-9E09-4369-94C9-311A0FCE47D1}"/>
    <hyperlink ref="B17" r:id="rId16" xr:uid="{972015CC-C67F-4B45-A953-E98E6DFFA258}"/>
    <hyperlink ref="B18" r:id="rId17" xr:uid="{A07FCB00-A7A8-4AE3-9016-C4A4E475B075}"/>
    <hyperlink ref="B19" r:id="rId18" xr:uid="{2D530D6F-0F61-460F-86E0-093C080FE7A1}"/>
    <hyperlink ref="B20" r:id="rId19" xr:uid="{CF46045C-CA0A-4AEF-9911-D91D9B27A0C3}"/>
    <hyperlink ref="B21" r:id="rId20" xr:uid="{AFE9AB2C-B73D-4F64-8B75-CBF9D78F30FB}"/>
    <hyperlink ref="B22" r:id="rId21" xr:uid="{11F29B95-23A8-4535-9D60-03F28B7C52CE}"/>
    <hyperlink ref="B23" r:id="rId22" xr:uid="{9647DC4B-CCD7-4A7A-9F1D-5D0F36B0FE80}"/>
    <hyperlink ref="B24" r:id="rId23" xr:uid="{80A5C75B-4985-414F-AF3E-0C57F86F305A}"/>
    <hyperlink ref="B25" r:id="rId24" xr:uid="{497D15D8-A9DB-4279-B475-FC610680B1BC}"/>
    <hyperlink ref="B26" r:id="rId25" xr:uid="{04825B47-913C-4B61-9336-2F6A0018E9E3}"/>
    <hyperlink ref="B27" r:id="rId26" xr:uid="{C9C52046-BD58-4AF3-83A3-CD82DF260C37}"/>
    <hyperlink ref="B28" r:id="rId27" xr:uid="{66B4DF99-C6A9-4CFE-9BC5-F0A70DCC7CF1}"/>
    <hyperlink ref="B29" r:id="rId28" xr:uid="{9DBE14CC-FAC2-4683-BAEA-6EC3F874EFED}"/>
    <hyperlink ref="B30" r:id="rId29" xr:uid="{29E099FA-2CC9-4B82-B908-53DB3B142021}"/>
    <hyperlink ref="B31" r:id="rId30" xr:uid="{2DFC39D9-9E32-4A41-927A-29BE0011E3FD}"/>
    <hyperlink ref="B32" r:id="rId31" xr:uid="{AB80EBA5-DC52-45E1-9FF5-D4F857F157AD}"/>
    <hyperlink ref="B33" r:id="rId32" xr:uid="{0B980D45-AA98-46E8-9C4F-A0465066AA99}"/>
    <hyperlink ref="B34" r:id="rId33" xr:uid="{F2831848-86FD-47E2-A1FA-D06B0BC6655B}"/>
    <hyperlink ref="B35" r:id="rId34" xr:uid="{AFD08955-9B1C-4536-A871-C4F9197EF661}"/>
    <hyperlink ref="B36" r:id="rId35" xr:uid="{3A67E89B-F935-4D4A-B2F4-801F247380F5}"/>
    <hyperlink ref="B37" r:id="rId36" xr:uid="{29EBAF71-ED71-4094-BEBA-FC2D49B6F092}"/>
    <hyperlink ref="B38" r:id="rId37" xr:uid="{3FC96623-014A-4163-8C87-4F7590BDB9C6}"/>
    <hyperlink ref="B39" r:id="rId38" xr:uid="{86157CAD-E9AB-46B7-938A-68813B4D1013}"/>
    <hyperlink ref="B40" r:id="rId39" xr:uid="{63363FE1-3878-41A6-95AF-F80A6E17E82B}"/>
    <hyperlink ref="B41" r:id="rId40" xr:uid="{EE23D773-ABCB-4160-A0D0-07EF71E9E571}"/>
    <hyperlink ref="B42" r:id="rId41" xr:uid="{9207BB96-41D4-467F-A646-C80BD1FB09CA}"/>
    <hyperlink ref="B43" r:id="rId42" xr:uid="{93F50344-C10E-4158-A6FF-4D970BAC8D02}"/>
    <hyperlink ref="B44" r:id="rId43" xr:uid="{927620FA-F8E5-4AA2-B7D9-06CFA3A02DDA}"/>
    <hyperlink ref="B45" r:id="rId44" xr:uid="{FCDDFBF8-DAB5-434F-AABB-D31F958A91CE}"/>
    <hyperlink ref="B46" r:id="rId45" xr:uid="{3D770EA6-31F9-469F-A3B6-509EE3363202}"/>
    <hyperlink ref="B47" r:id="rId46" xr:uid="{026C7122-4BAF-440F-BE24-1A4A0AC9A145}"/>
    <hyperlink ref="B48" r:id="rId47" xr:uid="{AAAC86B6-A99C-4AF1-B4A8-8DAC8E1807C5}"/>
    <hyperlink ref="B49" r:id="rId48" xr:uid="{C1178E62-176E-4657-8BBF-503129E50556}"/>
    <hyperlink ref="B50" r:id="rId49" xr:uid="{4E97F7D6-F1A6-4CBA-979A-B8361C41BD7D}"/>
    <hyperlink ref="B51" r:id="rId50" xr:uid="{600F5682-B0E6-4675-B40E-CB028A59DB8F}"/>
    <hyperlink ref="B52" r:id="rId51" xr:uid="{F993E91C-3374-48F5-9B4A-8DB75BAA2E9B}"/>
    <hyperlink ref="B53" r:id="rId52" xr:uid="{D3D03F72-144E-4436-93DE-DA1F6B632E22}"/>
    <hyperlink ref="B54" r:id="rId53" xr:uid="{250ACE36-A92D-49BD-B4F6-8C5695DA25E8}"/>
    <hyperlink ref="B55" r:id="rId54" xr:uid="{CC494403-4C61-4CE5-95DA-451061E83043}"/>
    <hyperlink ref="B56" r:id="rId55" xr:uid="{AC8FAA77-638B-42B5-9265-15441780C1B6}"/>
  </hyperlinks>
  <pageMargins left="0.7" right="0.7" top="0.75" bottom="0.75" header="0.3" footer="0.3"/>
  <tableParts count="1">
    <tablePart r:id="rId56"/>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22CDD-AC6B-49BF-A279-AC8C2FA3C363}">
  <dimension ref="A1:AD355"/>
  <sheetViews>
    <sheetView topLeftCell="O321" workbookViewId="0">
      <selection activeCell="S355" sqref="S355:T355"/>
    </sheetView>
  </sheetViews>
  <sheetFormatPr defaultColWidth="11.42578125" defaultRowHeight="15" x14ac:dyDescent="0.25"/>
  <cols>
    <col min="2" max="2" width="37.85546875" customWidth="1"/>
    <col min="3" max="3" width="67" customWidth="1"/>
    <col min="4" max="4" width="37.85546875" customWidth="1"/>
    <col min="5" max="5" width="31.85546875" customWidth="1"/>
    <col min="6" max="7" width="21.85546875" customWidth="1"/>
    <col min="8" max="8" width="12.140625" customWidth="1"/>
    <col min="12" max="12" width="12.7109375" customWidth="1"/>
    <col min="13" max="13" width="29.28515625" customWidth="1"/>
    <col min="14" max="14" width="20" customWidth="1"/>
    <col min="15" max="16" width="15.42578125" customWidth="1"/>
    <col min="17" max="17" width="12.42578125" customWidth="1"/>
    <col min="18" max="20" width="26.42578125" customWidth="1"/>
    <col min="21" max="21" width="16.7109375" customWidth="1"/>
    <col min="23" max="23" width="15.42578125" customWidth="1"/>
    <col min="25" max="25" width="19.85546875" customWidth="1"/>
    <col min="26" max="26" width="15.7109375" customWidth="1"/>
    <col min="28" max="28" width="16" customWidth="1"/>
  </cols>
  <sheetData>
    <row r="1" spans="1:30" ht="60" customHeight="1" x14ac:dyDescent="0.25">
      <c r="A1" s="53" t="s">
        <v>0</v>
      </c>
      <c r="B1" s="52" t="s">
        <v>1</v>
      </c>
      <c r="C1" s="49" t="s">
        <v>2</v>
      </c>
      <c r="D1" s="52" t="s">
        <v>3</v>
      </c>
      <c r="E1" s="50" t="s">
        <v>4</v>
      </c>
      <c r="F1" s="52" t="s">
        <v>5</v>
      </c>
      <c r="G1" s="52" t="s">
        <v>6</v>
      </c>
      <c r="H1" s="52" t="s">
        <v>7</v>
      </c>
      <c r="I1" s="52" t="s">
        <v>8</v>
      </c>
      <c r="J1" s="52" t="s">
        <v>9</v>
      </c>
      <c r="K1" s="48" t="s">
        <v>10</v>
      </c>
      <c r="L1" s="48" t="s">
        <v>11</v>
      </c>
      <c r="M1" s="48" t="s">
        <v>12</v>
      </c>
      <c r="N1" s="48" t="s">
        <v>13</v>
      </c>
      <c r="O1" s="48" t="s">
        <v>14</v>
      </c>
      <c r="P1" s="48" t="s">
        <v>15</v>
      </c>
      <c r="Q1" s="48" t="s">
        <v>16</v>
      </c>
      <c r="R1" s="48" t="s">
        <v>17</v>
      </c>
      <c r="S1" s="48" t="s">
        <v>9149</v>
      </c>
      <c r="T1" s="48" t="s">
        <v>9150</v>
      </c>
      <c r="U1" s="48" t="s">
        <v>18</v>
      </c>
      <c r="V1" s="48" t="s">
        <v>19</v>
      </c>
      <c r="W1" s="48" t="s">
        <v>20</v>
      </c>
      <c r="X1" s="48" t="s">
        <v>21</v>
      </c>
      <c r="Y1" s="48" t="s">
        <v>22</v>
      </c>
      <c r="Z1" s="48" t="s">
        <v>23</v>
      </c>
      <c r="AA1" s="48" t="s">
        <v>24</v>
      </c>
      <c r="AB1" s="48" t="s">
        <v>25</v>
      </c>
      <c r="AC1" s="48" t="s">
        <v>201</v>
      </c>
      <c r="AD1" s="51" t="s">
        <v>27</v>
      </c>
    </row>
    <row r="2" spans="1:30" x14ac:dyDescent="0.25">
      <c r="A2" s="36">
        <v>2155</v>
      </c>
      <c r="B2" s="14" t="s">
        <v>4335</v>
      </c>
      <c r="C2" s="14" t="s">
        <v>4336</v>
      </c>
      <c r="D2" s="17">
        <v>44138</v>
      </c>
      <c r="E2" s="14" t="s">
        <v>30</v>
      </c>
      <c r="F2" s="14">
        <v>85</v>
      </c>
      <c r="G2" s="14">
        <v>25</v>
      </c>
      <c r="H2" s="14">
        <v>11</v>
      </c>
      <c r="I2" s="14">
        <v>6</v>
      </c>
      <c r="J2" s="14" t="s">
        <v>204</v>
      </c>
      <c r="K2" s="14" cm="1">
        <f t="array" ref="K2">INT(SUMPRODUCT(--ISNUMBER(SEARCH(economy,C2)))&gt;0)</f>
        <v>0</v>
      </c>
      <c r="L2" s="14" cm="1">
        <f t="array" ref="L2">INT(SUMPRODUCT(--ISNUMBER(SEARCH(healthcare,C2)))&gt;0)</f>
        <v>0</v>
      </c>
      <c r="M2" s="14" cm="1">
        <f t="array" ref="M2">INT(SUMPRODUCT(--ISNUMBER(SEARCH(supreme,C2)))&gt;0)</f>
        <v>0</v>
      </c>
      <c r="N2" s="14" cm="1">
        <f t="array" ref="N2">INT(SUMPRODUCT(--ISNUMBER(SEARCH(covid,C2)))&gt;0)</f>
        <v>0</v>
      </c>
      <c r="O2" s="14" cm="1">
        <f t="array" ref="O2">INT(SUMPRODUCT(--ISNUMBER(SEARCH(violent,C2)))&gt;0)</f>
        <v>0</v>
      </c>
      <c r="P2" s="14" cm="1">
        <f t="array" ref="P2">INT(SUMPRODUCT(--ISNUMBER(SEARCH(foreign,C2)))&gt;0)</f>
        <v>1</v>
      </c>
      <c r="Q2" s="14" cm="1">
        <f t="array" ref="Q2">INT(SUMPRODUCT(--ISNUMBER(SEARCH(gun,C2)))&gt;0)</f>
        <v>0</v>
      </c>
      <c r="R2" s="14" cm="1">
        <f t="array" ref="R2">INT(SUMPRODUCT(--ISNUMBER(SEARCH(race,C2)))&gt;0)</f>
        <v>0</v>
      </c>
      <c r="S2" s="14" cm="1">
        <f t="array" ref="S2">INT(SUMPRODUCT(--ISNUMBER(SEARCH(immigration,C2)))&gt;0)</f>
        <v>0</v>
      </c>
      <c r="T2" s="14" cm="1">
        <f t="array" ref="T2">INT(SUMPRODUCT(--ISNUMBER(SEARCH(econineq,C3)))&gt;0)</f>
        <v>0</v>
      </c>
      <c r="U2" s="14" cm="1">
        <f t="array" ref="U2">INT(SUMPRODUCT(--ISNUMBER(SEARCH(climate,C2)))&gt;0)</f>
        <v>0</v>
      </c>
      <c r="V2" s="14" cm="1">
        <f t="array" ref="V2">INT(SUMPRODUCT(--ISNUMBER(SEARCH(abortion,C2)))&gt;0)</f>
        <v>0</v>
      </c>
      <c r="W2" s="14" cm="1">
        <f t="array" ref="W2">INT(SUMPRODUCT(--ISNUMBER(SEARCH(trump,C2)))&gt;0)</f>
        <v>0</v>
      </c>
      <c r="X2" s="14" cm="1">
        <f t="array" ref="X2">INT(SUMPRODUCT(--ISNUMBER(SEARCH(voting,C2)))&gt;0)</f>
        <v>1</v>
      </c>
      <c r="Y2" s="14" cm="1">
        <f t="array" ref="Y2">INT(SUMPRODUCT(--ISNUMBER(SEARCH(democrattrigger,C2)))&gt;0)</f>
        <v>0</v>
      </c>
      <c r="Z2" s="14" cm="1">
        <f t="array" ref="Z2">INT(SUMPRODUCT(--ISNUMBER(SEARCH(bipartisan,C2)))&gt;0)</f>
        <v>0</v>
      </c>
      <c r="AA2" s="14">
        <f>INT(IF(COUNTIF(K2:Z2,1)=0,"1","0"))</f>
        <v>0</v>
      </c>
      <c r="AB2" s="14"/>
      <c r="AC2" s="30">
        <v>1</v>
      </c>
      <c r="AD2" s="37">
        <v>0</v>
      </c>
    </row>
    <row r="3" spans="1:30" x14ac:dyDescent="0.25">
      <c r="A3" s="36">
        <v>2156</v>
      </c>
      <c r="B3" s="14" t="s">
        <v>4337</v>
      </c>
      <c r="C3" s="14" t="s">
        <v>4338</v>
      </c>
      <c r="D3" s="17">
        <v>44138</v>
      </c>
      <c r="E3" s="14" t="s">
        <v>30</v>
      </c>
      <c r="F3" s="14">
        <v>229</v>
      </c>
      <c r="G3" s="14">
        <v>17</v>
      </c>
      <c r="H3" s="14">
        <v>11</v>
      </c>
      <c r="I3" s="14">
        <v>6</v>
      </c>
      <c r="J3" s="14" t="s">
        <v>204</v>
      </c>
      <c r="K3" s="14" cm="1">
        <f t="array" ref="K3">INT(SUMPRODUCT(--ISNUMBER(SEARCH(economy,C3)))&gt;0)</f>
        <v>0</v>
      </c>
      <c r="L3" s="14" cm="1">
        <f t="array" ref="L3">INT(SUMPRODUCT(--ISNUMBER(SEARCH(healthcare,C3)))&gt;0)</f>
        <v>0</v>
      </c>
      <c r="M3" s="14" cm="1">
        <f t="array" ref="M3">INT(SUMPRODUCT(--ISNUMBER(SEARCH(supreme,C3)))&gt;0)</f>
        <v>0</v>
      </c>
      <c r="N3" s="14" cm="1">
        <f t="array" ref="N3">INT(SUMPRODUCT(--ISNUMBER(SEARCH(covid,C3)))&gt;0)</f>
        <v>0</v>
      </c>
      <c r="O3" s="14" cm="1">
        <f t="array" ref="O3">INT(SUMPRODUCT(--ISNUMBER(SEARCH(violent,C3)))&gt;0)</f>
        <v>0</v>
      </c>
      <c r="P3" s="14" cm="1">
        <f t="array" ref="P3">INT(SUMPRODUCT(--ISNUMBER(SEARCH(foreign,C3)))&gt;0)</f>
        <v>0</v>
      </c>
      <c r="Q3" s="14" cm="1">
        <f t="array" ref="Q3">INT(SUMPRODUCT(--ISNUMBER(SEARCH(gun,C3)))&gt;0)</f>
        <v>0</v>
      </c>
      <c r="R3" s="14" cm="1">
        <f t="array" ref="R3">INT(SUMPRODUCT(--ISNUMBER(SEARCH(race,C3)))&gt;0)</f>
        <v>0</v>
      </c>
      <c r="S3" s="14" cm="1">
        <f t="array" ref="S3">INT(SUMPRODUCT(--ISNUMBER(SEARCH(immigration,C3)))&gt;0)</f>
        <v>0</v>
      </c>
      <c r="T3" s="14" cm="1">
        <f t="array" ref="T3">INT(SUMPRODUCT(--ISNUMBER(SEARCH(econineq,C4)))&gt;0)</f>
        <v>0</v>
      </c>
      <c r="U3" s="14" cm="1">
        <f t="array" ref="U3">INT(SUMPRODUCT(--ISNUMBER(SEARCH(climate,C3)))&gt;0)</f>
        <v>0</v>
      </c>
      <c r="V3" s="14" cm="1">
        <f t="array" ref="V3">INT(SUMPRODUCT(--ISNUMBER(SEARCH(abortion,C3)))&gt;0)</f>
        <v>0</v>
      </c>
      <c r="W3" s="14" cm="1">
        <f t="array" ref="W3">INT(SUMPRODUCT(--ISNUMBER(SEARCH(trump,C3)))&gt;0)</f>
        <v>0</v>
      </c>
      <c r="X3" s="14" cm="1">
        <f t="array" ref="X3">INT(SUMPRODUCT(--ISNUMBER(SEARCH(voting,C3)))&gt;0)</f>
        <v>0</v>
      </c>
      <c r="Y3" s="14" cm="1">
        <f t="array" ref="Y3">INT(SUMPRODUCT(--ISNUMBER(SEARCH(democrattrigger,C3)))&gt;0)</f>
        <v>0</v>
      </c>
      <c r="Z3" s="14" cm="1">
        <f t="array" ref="Z3">INT(SUMPRODUCT(--ISNUMBER(SEARCH(bipartisan,C3)))&gt;0)</f>
        <v>0</v>
      </c>
      <c r="AA3" s="14">
        <f t="shared" ref="AA3:AA66" si="0">INT(IF(COUNTIF(K3:Z3,1)=0,"1","0"))</f>
        <v>1</v>
      </c>
      <c r="AB3" s="14"/>
      <c r="AC3" s="30" t="s">
        <v>223</v>
      </c>
      <c r="AD3" s="37" t="s">
        <v>223</v>
      </c>
    </row>
    <row r="4" spans="1:30" x14ac:dyDescent="0.25">
      <c r="A4" s="36">
        <v>2157</v>
      </c>
      <c r="B4" s="14" t="s">
        <v>4339</v>
      </c>
      <c r="C4" s="14" t="s">
        <v>4340</v>
      </c>
      <c r="D4" s="17">
        <v>44138</v>
      </c>
      <c r="E4" s="14" t="s">
        <v>30</v>
      </c>
      <c r="F4" s="14">
        <v>190</v>
      </c>
      <c r="G4" s="14">
        <v>13</v>
      </c>
      <c r="H4" s="14">
        <v>11</v>
      </c>
      <c r="I4" s="14">
        <v>6</v>
      </c>
      <c r="J4" s="14" t="s">
        <v>204</v>
      </c>
      <c r="K4" s="14" cm="1">
        <f t="array" ref="K4">INT(SUMPRODUCT(--ISNUMBER(SEARCH(economy,C4)))&gt;0)</f>
        <v>0</v>
      </c>
      <c r="L4" s="14" cm="1">
        <f t="array" ref="L4">INT(SUMPRODUCT(--ISNUMBER(SEARCH(healthcare,C4)))&gt;0)</f>
        <v>0</v>
      </c>
      <c r="M4" s="14" cm="1">
        <f t="array" ref="M4">INT(SUMPRODUCT(--ISNUMBER(SEARCH(supreme,C4)))&gt;0)</f>
        <v>0</v>
      </c>
      <c r="N4" s="14" cm="1">
        <f t="array" ref="N4">INT(SUMPRODUCT(--ISNUMBER(SEARCH(covid,C4)))&gt;0)</f>
        <v>0</v>
      </c>
      <c r="O4" s="14" cm="1">
        <f t="array" ref="O4">INT(SUMPRODUCT(--ISNUMBER(SEARCH(violent,C4)))&gt;0)</f>
        <v>0</v>
      </c>
      <c r="P4" s="14" cm="1">
        <f t="array" ref="P4">INT(SUMPRODUCT(--ISNUMBER(SEARCH(foreign,C4)))&gt;0)</f>
        <v>0</v>
      </c>
      <c r="Q4" s="14" cm="1">
        <f t="array" ref="Q4">INT(SUMPRODUCT(--ISNUMBER(SEARCH(gun,C4)))&gt;0)</f>
        <v>0</v>
      </c>
      <c r="R4" s="14" cm="1">
        <f t="array" ref="R4">INT(SUMPRODUCT(--ISNUMBER(SEARCH(race,C4)))&gt;0)</f>
        <v>0</v>
      </c>
      <c r="S4" s="14" cm="1">
        <f t="array" ref="S4">INT(SUMPRODUCT(--ISNUMBER(SEARCH(immigration,C4)))&gt;0)</f>
        <v>0</v>
      </c>
      <c r="T4" s="14" cm="1">
        <f t="array" ref="T4">INT(SUMPRODUCT(--ISNUMBER(SEARCH(econineq,C5)))&gt;0)</f>
        <v>0</v>
      </c>
      <c r="U4" s="14" cm="1">
        <f t="array" ref="U4">INT(SUMPRODUCT(--ISNUMBER(SEARCH(climate,C4)))&gt;0)</f>
        <v>0</v>
      </c>
      <c r="V4" s="14" cm="1">
        <f t="array" ref="V4">INT(SUMPRODUCT(--ISNUMBER(SEARCH(abortion,C4)))&gt;0)</f>
        <v>0</v>
      </c>
      <c r="W4" s="14" cm="1">
        <f t="array" ref="W4">INT(SUMPRODUCT(--ISNUMBER(SEARCH(trump,C4)))&gt;0)</f>
        <v>0</v>
      </c>
      <c r="X4" s="14" cm="1">
        <f t="array" ref="X4">INT(SUMPRODUCT(--ISNUMBER(SEARCH(voting,C4)))&gt;0)</f>
        <v>1</v>
      </c>
      <c r="Y4" s="14" cm="1">
        <f t="array" ref="Y4">INT(SUMPRODUCT(--ISNUMBER(SEARCH(democrattrigger,C4)))&gt;0)</f>
        <v>0</v>
      </c>
      <c r="Z4" s="14" cm="1">
        <f t="array" ref="Z4">INT(SUMPRODUCT(--ISNUMBER(SEARCH(bipartisan,C4)))&gt;0)</f>
        <v>0</v>
      </c>
      <c r="AA4" s="14">
        <f t="shared" si="0"/>
        <v>0</v>
      </c>
      <c r="AB4" s="14"/>
      <c r="AC4" s="30">
        <v>1</v>
      </c>
      <c r="AD4" s="37">
        <v>0</v>
      </c>
    </row>
    <row r="5" spans="1:30" x14ac:dyDescent="0.25">
      <c r="A5" s="36">
        <v>2158</v>
      </c>
      <c r="B5" s="14" t="s">
        <v>4341</v>
      </c>
      <c r="C5" s="14" t="s">
        <v>4342</v>
      </c>
      <c r="D5" s="17">
        <v>44138</v>
      </c>
      <c r="E5" s="14" t="s">
        <v>30</v>
      </c>
      <c r="F5" s="14">
        <v>293</v>
      </c>
      <c r="G5" s="14">
        <v>21</v>
      </c>
      <c r="H5" s="14">
        <v>11</v>
      </c>
      <c r="I5" s="14">
        <v>6</v>
      </c>
      <c r="J5" s="14" t="s">
        <v>204</v>
      </c>
      <c r="K5" s="14" cm="1">
        <f t="array" ref="K5">INT(SUMPRODUCT(--ISNUMBER(SEARCH(economy,C5)))&gt;0)</f>
        <v>0</v>
      </c>
      <c r="L5" s="14" cm="1">
        <f t="array" ref="L5">INT(SUMPRODUCT(--ISNUMBER(SEARCH(healthcare,C5)))&gt;0)</f>
        <v>0</v>
      </c>
      <c r="M5" s="14" cm="1">
        <f t="array" ref="M5">INT(SUMPRODUCT(--ISNUMBER(SEARCH(supreme,C5)))&gt;0)</f>
        <v>0</v>
      </c>
      <c r="N5" s="14" cm="1">
        <f t="array" ref="N5">INT(SUMPRODUCT(--ISNUMBER(SEARCH(covid,C5)))&gt;0)</f>
        <v>0</v>
      </c>
      <c r="O5" s="14" cm="1">
        <f t="array" ref="O5">INT(SUMPRODUCT(--ISNUMBER(SEARCH(violent,C5)))&gt;0)</f>
        <v>0</v>
      </c>
      <c r="P5" s="14" cm="1">
        <f t="array" ref="P5">INT(SUMPRODUCT(--ISNUMBER(SEARCH(foreign,C5)))&gt;0)</f>
        <v>0</v>
      </c>
      <c r="Q5" s="14" cm="1">
        <f t="array" ref="Q5">INT(SUMPRODUCT(--ISNUMBER(SEARCH(gun,C5)))&gt;0)</f>
        <v>0</v>
      </c>
      <c r="R5" s="14" cm="1">
        <f t="array" ref="R5">INT(SUMPRODUCT(--ISNUMBER(SEARCH(race,C5)))&gt;0)</f>
        <v>0</v>
      </c>
      <c r="S5" s="14" cm="1">
        <f t="array" ref="S5">INT(SUMPRODUCT(--ISNUMBER(SEARCH(immigration,C5)))&gt;0)</f>
        <v>0</v>
      </c>
      <c r="T5" s="14" cm="1">
        <f t="array" ref="T5">INT(SUMPRODUCT(--ISNUMBER(SEARCH(econineq,C6)))&gt;0)</f>
        <v>1</v>
      </c>
      <c r="U5" s="14" cm="1">
        <f t="array" ref="U5">INT(SUMPRODUCT(--ISNUMBER(SEARCH(climate,C5)))&gt;0)</f>
        <v>0</v>
      </c>
      <c r="V5" s="14" cm="1">
        <f t="array" ref="V5">INT(SUMPRODUCT(--ISNUMBER(SEARCH(abortion,C5)))&gt;0)</f>
        <v>0</v>
      </c>
      <c r="W5" s="14" cm="1">
        <f t="array" ref="W5">INT(SUMPRODUCT(--ISNUMBER(SEARCH(trump,C5)))&gt;0)</f>
        <v>0</v>
      </c>
      <c r="X5" s="14" cm="1">
        <f t="array" ref="X5">INT(SUMPRODUCT(--ISNUMBER(SEARCH(voting,C5)))&gt;0)</f>
        <v>1</v>
      </c>
      <c r="Y5" s="14" cm="1">
        <f t="array" ref="Y5">INT(SUMPRODUCT(--ISNUMBER(SEARCH(democrattrigger,C5)))&gt;0)</f>
        <v>0</v>
      </c>
      <c r="Z5" s="14" cm="1">
        <f t="array" ref="Z5">INT(SUMPRODUCT(--ISNUMBER(SEARCH(bipartisan,C5)))&gt;0)</f>
        <v>0</v>
      </c>
      <c r="AA5" s="14">
        <f t="shared" si="0"/>
        <v>0</v>
      </c>
      <c r="AB5" s="14"/>
      <c r="AC5" s="30" t="s">
        <v>223</v>
      </c>
      <c r="AD5" s="37" t="s">
        <v>223</v>
      </c>
    </row>
    <row r="6" spans="1:30" x14ac:dyDescent="0.25">
      <c r="A6" s="36">
        <v>2159</v>
      </c>
      <c r="B6" s="14" t="s">
        <v>4343</v>
      </c>
      <c r="C6" s="14" t="s">
        <v>4344</v>
      </c>
      <c r="D6" s="17">
        <v>44138</v>
      </c>
      <c r="E6" s="14" t="s">
        <v>30</v>
      </c>
      <c r="F6" s="14">
        <v>123</v>
      </c>
      <c r="G6" s="14">
        <v>17</v>
      </c>
      <c r="H6" s="14">
        <v>11</v>
      </c>
      <c r="I6" s="14">
        <v>6</v>
      </c>
      <c r="J6" s="14" t="s">
        <v>204</v>
      </c>
      <c r="K6" s="14" cm="1">
        <f t="array" ref="K6">INT(SUMPRODUCT(--ISNUMBER(SEARCH(economy,C6)))&gt;0)</f>
        <v>0</v>
      </c>
      <c r="L6" s="14" cm="1">
        <f t="array" ref="L6">INT(SUMPRODUCT(--ISNUMBER(SEARCH(healthcare,C6)))&gt;0)</f>
        <v>1</v>
      </c>
      <c r="M6" s="14" cm="1">
        <f t="array" ref="M6">INT(SUMPRODUCT(--ISNUMBER(SEARCH(supreme,C6)))&gt;0)</f>
        <v>0</v>
      </c>
      <c r="N6" s="14" cm="1">
        <f t="array" ref="N6">INT(SUMPRODUCT(--ISNUMBER(SEARCH(covid,C6)))&gt;0)</f>
        <v>1</v>
      </c>
      <c r="O6" s="14" cm="1">
        <f t="array" ref="O6">INT(SUMPRODUCT(--ISNUMBER(SEARCH(violent,C6)))&gt;0)</f>
        <v>0</v>
      </c>
      <c r="P6" s="14" cm="1">
        <f t="array" ref="P6">INT(SUMPRODUCT(--ISNUMBER(SEARCH(foreign,C6)))&gt;0)</f>
        <v>0</v>
      </c>
      <c r="Q6" s="14" cm="1">
        <f t="array" ref="Q6">INT(SUMPRODUCT(--ISNUMBER(SEARCH(gun,C6)))&gt;0)</f>
        <v>0</v>
      </c>
      <c r="R6" s="14" cm="1">
        <f t="array" ref="R6">INT(SUMPRODUCT(--ISNUMBER(SEARCH(race,C6)))&gt;0)</f>
        <v>0</v>
      </c>
      <c r="S6" s="14" cm="1">
        <f t="array" ref="S6">INT(SUMPRODUCT(--ISNUMBER(SEARCH(immigration,C6)))&gt;0)</f>
        <v>0</v>
      </c>
      <c r="T6" s="14" cm="1">
        <f t="array" ref="T6">INT(SUMPRODUCT(--ISNUMBER(SEARCH(econineq,C7)))&gt;0)</f>
        <v>0</v>
      </c>
      <c r="U6" s="14" cm="1">
        <f t="array" ref="U6">INT(SUMPRODUCT(--ISNUMBER(SEARCH(climate,C6)))&gt;0)</f>
        <v>0</v>
      </c>
      <c r="V6" s="14" cm="1">
        <f t="array" ref="V6">INT(SUMPRODUCT(--ISNUMBER(SEARCH(abortion,C6)))&gt;0)</f>
        <v>0</v>
      </c>
      <c r="W6" s="14" cm="1">
        <f t="array" ref="W6">INT(SUMPRODUCT(--ISNUMBER(SEARCH(trump,C6)))&gt;0)</f>
        <v>0</v>
      </c>
      <c r="X6" s="14" cm="1">
        <f t="array" ref="X6">INT(SUMPRODUCT(--ISNUMBER(SEARCH(voting,C6)))&gt;0)</f>
        <v>1</v>
      </c>
      <c r="Y6" s="14" cm="1">
        <f t="array" ref="Y6">INT(SUMPRODUCT(--ISNUMBER(SEARCH(democrattrigger,C6)))&gt;0)</f>
        <v>0</v>
      </c>
      <c r="Z6" s="14" cm="1">
        <f t="array" ref="Z6">INT(SUMPRODUCT(--ISNUMBER(SEARCH(bipartisan,C6)))&gt;0)</f>
        <v>0</v>
      </c>
      <c r="AA6" s="14">
        <f t="shared" si="0"/>
        <v>0</v>
      </c>
      <c r="AB6" s="14"/>
      <c r="AC6" s="30" t="s">
        <v>223</v>
      </c>
      <c r="AD6" s="37" t="s">
        <v>223</v>
      </c>
    </row>
    <row r="7" spans="1:30" x14ac:dyDescent="0.25">
      <c r="A7" s="36">
        <v>2160</v>
      </c>
      <c r="B7" s="14" t="s">
        <v>4345</v>
      </c>
      <c r="C7" s="14" t="s">
        <v>4346</v>
      </c>
      <c r="D7" s="17">
        <v>44138</v>
      </c>
      <c r="E7" s="14" t="s">
        <v>30</v>
      </c>
      <c r="F7" s="14">
        <v>169</v>
      </c>
      <c r="G7" s="14">
        <v>22</v>
      </c>
      <c r="H7" s="14">
        <v>11</v>
      </c>
      <c r="I7" s="14">
        <v>6</v>
      </c>
      <c r="J7" s="14" t="s">
        <v>204</v>
      </c>
      <c r="K7" s="14" cm="1">
        <f t="array" ref="K7">INT(SUMPRODUCT(--ISNUMBER(SEARCH(economy,C7)))&gt;0)</f>
        <v>0</v>
      </c>
      <c r="L7" s="14" cm="1">
        <f t="array" ref="L7">INT(SUMPRODUCT(--ISNUMBER(SEARCH(healthcare,C7)))&gt;0)</f>
        <v>0</v>
      </c>
      <c r="M7" s="14" cm="1">
        <f t="array" ref="M7">INT(SUMPRODUCT(--ISNUMBER(SEARCH(supreme,C7)))&gt;0)</f>
        <v>0</v>
      </c>
      <c r="N7" s="14" cm="1">
        <f t="array" ref="N7">INT(SUMPRODUCT(--ISNUMBER(SEARCH(covid,C7)))&gt;0)</f>
        <v>0</v>
      </c>
      <c r="O7" s="14" cm="1">
        <f t="array" ref="O7">INT(SUMPRODUCT(--ISNUMBER(SEARCH(violent,C7)))&gt;0)</f>
        <v>0</v>
      </c>
      <c r="P7" s="14" cm="1">
        <f t="array" ref="P7">INT(SUMPRODUCT(--ISNUMBER(SEARCH(foreign,C7)))&gt;0)</f>
        <v>0</v>
      </c>
      <c r="Q7" s="14" cm="1">
        <f t="array" ref="Q7">INT(SUMPRODUCT(--ISNUMBER(SEARCH(gun,C7)))&gt;0)</f>
        <v>0</v>
      </c>
      <c r="R7" s="14" cm="1">
        <f t="array" ref="R7">INT(SUMPRODUCT(--ISNUMBER(SEARCH(race,C7)))&gt;0)</f>
        <v>0</v>
      </c>
      <c r="S7" s="14" cm="1">
        <f t="array" ref="S7">INT(SUMPRODUCT(--ISNUMBER(SEARCH(immigration,C7)))&gt;0)</f>
        <v>0</v>
      </c>
      <c r="T7" s="14" cm="1">
        <f t="array" ref="T7">INT(SUMPRODUCT(--ISNUMBER(SEARCH(econineq,C8)))&gt;0)</f>
        <v>0</v>
      </c>
      <c r="U7" s="14" cm="1">
        <f t="array" ref="U7">INT(SUMPRODUCT(--ISNUMBER(SEARCH(climate,C7)))&gt;0)</f>
        <v>0</v>
      </c>
      <c r="V7" s="14" cm="1">
        <f t="array" ref="V7">INT(SUMPRODUCT(--ISNUMBER(SEARCH(abortion,C7)))&gt;0)</f>
        <v>0</v>
      </c>
      <c r="W7" s="14" cm="1">
        <f t="array" ref="W7">INT(SUMPRODUCT(--ISNUMBER(SEARCH(trump,C7)))&gt;0)</f>
        <v>0</v>
      </c>
      <c r="X7" s="14" cm="1">
        <f t="array" ref="X7">INT(SUMPRODUCT(--ISNUMBER(SEARCH(voting,C7)))&gt;0)</f>
        <v>1</v>
      </c>
      <c r="Y7" s="14" cm="1">
        <f t="array" ref="Y7">INT(SUMPRODUCT(--ISNUMBER(SEARCH(democrattrigger,C7)))&gt;0)</f>
        <v>0</v>
      </c>
      <c r="Z7" s="14" cm="1">
        <f t="array" ref="Z7">INT(SUMPRODUCT(--ISNUMBER(SEARCH(bipartisan,C7)))&gt;0)</f>
        <v>0</v>
      </c>
      <c r="AA7" s="14">
        <f t="shared" si="0"/>
        <v>0</v>
      </c>
      <c r="AB7" s="14"/>
      <c r="AC7" s="30" t="s">
        <v>223</v>
      </c>
      <c r="AD7" s="37" t="s">
        <v>223</v>
      </c>
    </row>
    <row r="8" spans="1:30" x14ac:dyDescent="0.25">
      <c r="A8" s="36">
        <v>2161</v>
      </c>
      <c r="B8" s="14" t="s">
        <v>4347</v>
      </c>
      <c r="C8" s="14" t="s">
        <v>4348</v>
      </c>
      <c r="D8" s="17">
        <v>44138</v>
      </c>
      <c r="E8" s="14" t="s">
        <v>30</v>
      </c>
      <c r="F8" s="14">
        <v>110</v>
      </c>
      <c r="G8" s="14">
        <v>14</v>
      </c>
      <c r="H8" s="14">
        <v>11</v>
      </c>
      <c r="I8" s="14">
        <v>6</v>
      </c>
      <c r="J8" s="14" t="s">
        <v>204</v>
      </c>
      <c r="K8" s="14" cm="1">
        <f t="array" ref="K8">INT(SUMPRODUCT(--ISNUMBER(SEARCH(economy,C8)))&gt;0)</f>
        <v>1</v>
      </c>
      <c r="L8" s="14" cm="1">
        <f t="array" ref="L8">INT(SUMPRODUCT(--ISNUMBER(SEARCH(healthcare,C8)))&gt;0)</f>
        <v>0</v>
      </c>
      <c r="M8" s="14" cm="1">
        <f t="array" ref="M8">INT(SUMPRODUCT(--ISNUMBER(SEARCH(supreme,C8)))&gt;0)</f>
        <v>0</v>
      </c>
      <c r="N8" s="14" cm="1">
        <f t="array" ref="N8">INT(SUMPRODUCT(--ISNUMBER(SEARCH(covid,C8)))&gt;0)</f>
        <v>0</v>
      </c>
      <c r="O8" s="14" cm="1">
        <f t="array" ref="O8">INT(SUMPRODUCT(--ISNUMBER(SEARCH(violent,C8)))&gt;0)</f>
        <v>0</v>
      </c>
      <c r="P8" s="14" cm="1">
        <f t="array" ref="P8">INT(SUMPRODUCT(--ISNUMBER(SEARCH(foreign,C8)))&gt;0)</f>
        <v>0</v>
      </c>
      <c r="Q8" s="14" cm="1">
        <f t="array" ref="Q8">INT(SUMPRODUCT(--ISNUMBER(SEARCH(gun,C8)))&gt;0)</f>
        <v>0</v>
      </c>
      <c r="R8" s="14" cm="1">
        <f t="array" ref="R8">INT(SUMPRODUCT(--ISNUMBER(SEARCH(race,C8)))&gt;0)</f>
        <v>0</v>
      </c>
      <c r="S8" s="14" cm="1">
        <f t="array" ref="S8">INT(SUMPRODUCT(--ISNUMBER(SEARCH(immigration,C8)))&gt;0)</f>
        <v>0</v>
      </c>
      <c r="T8" s="14" cm="1">
        <f t="array" ref="T8">INT(SUMPRODUCT(--ISNUMBER(SEARCH(econineq,C9)))&gt;0)</f>
        <v>0</v>
      </c>
      <c r="U8" s="14" cm="1">
        <f t="array" ref="U8">INT(SUMPRODUCT(--ISNUMBER(SEARCH(climate,C8)))&gt;0)</f>
        <v>0</v>
      </c>
      <c r="V8" s="14" cm="1">
        <f t="array" ref="V8">INT(SUMPRODUCT(--ISNUMBER(SEARCH(abortion,C8)))&gt;0)</f>
        <v>0</v>
      </c>
      <c r="W8" s="14" cm="1">
        <f t="array" ref="W8">INT(SUMPRODUCT(--ISNUMBER(SEARCH(trump,C8)))&gt;0)</f>
        <v>0</v>
      </c>
      <c r="X8" s="14" cm="1">
        <f t="array" ref="X8">INT(SUMPRODUCT(--ISNUMBER(SEARCH(voting,C8)))&gt;0)</f>
        <v>1</v>
      </c>
      <c r="Y8" s="14" cm="1">
        <f t="array" ref="Y8">INT(SUMPRODUCT(--ISNUMBER(SEARCH(democrattrigger,C8)))&gt;0)</f>
        <v>0</v>
      </c>
      <c r="Z8" s="14" cm="1">
        <f t="array" ref="Z8">INT(SUMPRODUCT(--ISNUMBER(SEARCH(bipartisan,C8)))&gt;0)</f>
        <v>0</v>
      </c>
      <c r="AA8" s="14">
        <f t="shared" si="0"/>
        <v>0</v>
      </c>
      <c r="AB8" s="14"/>
      <c r="AC8" s="30">
        <v>1</v>
      </c>
      <c r="AD8" s="37">
        <v>0</v>
      </c>
    </row>
    <row r="9" spans="1:30" x14ac:dyDescent="0.25">
      <c r="A9" s="36">
        <v>2162</v>
      </c>
      <c r="B9" s="14" t="s">
        <v>4349</v>
      </c>
      <c r="C9" s="14" t="s">
        <v>4350</v>
      </c>
      <c r="D9" s="17">
        <v>44138</v>
      </c>
      <c r="E9" s="14" t="s">
        <v>30</v>
      </c>
      <c r="F9" s="14">
        <v>47</v>
      </c>
      <c r="G9" s="14">
        <v>9</v>
      </c>
      <c r="H9" s="14">
        <v>11</v>
      </c>
      <c r="I9" s="14">
        <v>6</v>
      </c>
      <c r="J9" s="14" t="s">
        <v>204</v>
      </c>
      <c r="K9" s="14" cm="1">
        <f t="array" ref="K9">INT(SUMPRODUCT(--ISNUMBER(SEARCH(economy,C9)))&gt;0)</f>
        <v>0</v>
      </c>
      <c r="L9" s="14" cm="1">
        <f t="array" ref="L9">INT(SUMPRODUCT(--ISNUMBER(SEARCH(healthcare,C9)))&gt;0)</f>
        <v>0</v>
      </c>
      <c r="M9" s="14" cm="1">
        <f t="array" ref="M9">INT(SUMPRODUCT(--ISNUMBER(SEARCH(supreme,C9)))&gt;0)</f>
        <v>0</v>
      </c>
      <c r="N9" s="14" cm="1">
        <f t="array" ref="N9">INT(SUMPRODUCT(--ISNUMBER(SEARCH(covid,C9)))&gt;0)</f>
        <v>0</v>
      </c>
      <c r="O9" s="14" cm="1">
        <f t="array" ref="O9">INT(SUMPRODUCT(--ISNUMBER(SEARCH(violent,C9)))&gt;0)</f>
        <v>0</v>
      </c>
      <c r="P9" s="14" cm="1">
        <f t="array" ref="P9">INT(SUMPRODUCT(--ISNUMBER(SEARCH(foreign,C9)))&gt;0)</f>
        <v>1</v>
      </c>
      <c r="Q9" s="14" cm="1">
        <f t="array" ref="Q9">INT(SUMPRODUCT(--ISNUMBER(SEARCH(gun,C9)))&gt;0)</f>
        <v>0</v>
      </c>
      <c r="R9" s="14" cm="1">
        <f t="array" ref="R9">INT(SUMPRODUCT(--ISNUMBER(SEARCH(race,C9)))&gt;0)</f>
        <v>0</v>
      </c>
      <c r="S9" s="14" cm="1">
        <f t="array" ref="S9">INT(SUMPRODUCT(--ISNUMBER(SEARCH(immigration,C9)))&gt;0)</f>
        <v>0</v>
      </c>
      <c r="T9" s="14" cm="1">
        <f t="array" ref="T9">INT(SUMPRODUCT(--ISNUMBER(SEARCH(econineq,C10)))&gt;0)</f>
        <v>0</v>
      </c>
      <c r="U9" s="14" cm="1">
        <f t="array" ref="U9">INT(SUMPRODUCT(--ISNUMBER(SEARCH(climate,C9)))&gt;0)</f>
        <v>0</v>
      </c>
      <c r="V9" s="14" cm="1">
        <f t="array" ref="V9">INT(SUMPRODUCT(--ISNUMBER(SEARCH(abortion,C9)))&gt;0)</f>
        <v>0</v>
      </c>
      <c r="W9" s="14" cm="1">
        <f t="array" ref="W9">INT(SUMPRODUCT(--ISNUMBER(SEARCH(trump,C9)))&gt;0)</f>
        <v>0</v>
      </c>
      <c r="X9" s="14" cm="1">
        <f t="array" ref="X9">INT(SUMPRODUCT(--ISNUMBER(SEARCH(voting,C9)))&gt;0)</f>
        <v>1</v>
      </c>
      <c r="Y9" s="14" cm="1">
        <f t="array" ref="Y9">INT(SUMPRODUCT(--ISNUMBER(SEARCH(democrattrigger,C9)))&gt;0)</f>
        <v>0</v>
      </c>
      <c r="Z9" s="14" cm="1">
        <f t="array" ref="Z9">INT(SUMPRODUCT(--ISNUMBER(SEARCH(bipartisan,C9)))&gt;0)</f>
        <v>0</v>
      </c>
      <c r="AA9" s="14">
        <f t="shared" si="0"/>
        <v>0</v>
      </c>
      <c r="AB9" s="14"/>
      <c r="AC9" s="30">
        <v>0</v>
      </c>
      <c r="AD9" s="37">
        <v>1</v>
      </c>
    </row>
    <row r="10" spans="1:30" x14ac:dyDescent="0.25">
      <c r="A10" s="36">
        <v>2163</v>
      </c>
      <c r="B10" s="14" t="s">
        <v>4351</v>
      </c>
      <c r="C10" s="14" t="s">
        <v>4352</v>
      </c>
      <c r="D10" s="17">
        <v>44138</v>
      </c>
      <c r="E10" s="14" t="s">
        <v>30</v>
      </c>
      <c r="F10" s="14">
        <v>39</v>
      </c>
      <c r="G10" s="14">
        <v>15</v>
      </c>
      <c r="H10" s="14">
        <v>11</v>
      </c>
      <c r="I10" s="14">
        <v>6</v>
      </c>
      <c r="J10" s="14" t="s">
        <v>204</v>
      </c>
      <c r="K10" s="14" cm="1">
        <f t="array" ref="K10">INT(SUMPRODUCT(--ISNUMBER(SEARCH(economy,C10)))&gt;0)</f>
        <v>0</v>
      </c>
      <c r="L10" s="14" cm="1">
        <f t="array" ref="L10">INT(SUMPRODUCT(--ISNUMBER(SEARCH(healthcare,C10)))&gt;0)</f>
        <v>0</v>
      </c>
      <c r="M10" s="14" cm="1">
        <f t="array" ref="M10">INT(SUMPRODUCT(--ISNUMBER(SEARCH(supreme,C10)))&gt;0)</f>
        <v>0</v>
      </c>
      <c r="N10" s="14" cm="1">
        <f t="array" ref="N10">INT(SUMPRODUCT(--ISNUMBER(SEARCH(covid,C10)))&gt;0)</f>
        <v>0</v>
      </c>
      <c r="O10" s="14" cm="1">
        <f t="array" ref="O10">INT(SUMPRODUCT(--ISNUMBER(SEARCH(violent,C10)))&gt;0)</f>
        <v>0</v>
      </c>
      <c r="P10" s="14" cm="1">
        <f t="array" ref="P10">INT(SUMPRODUCT(--ISNUMBER(SEARCH(foreign,C10)))&gt;0)</f>
        <v>1</v>
      </c>
      <c r="Q10" s="14" cm="1">
        <f t="array" ref="Q10">INT(SUMPRODUCT(--ISNUMBER(SEARCH(gun,C10)))&gt;0)</f>
        <v>0</v>
      </c>
      <c r="R10" s="14" cm="1">
        <f t="array" ref="R10">INT(SUMPRODUCT(--ISNUMBER(SEARCH(race,C10)))&gt;0)</f>
        <v>0</v>
      </c>
      <c r="S10" s="14" cm="1">
        <f t="array" ref="S10">INT(SUMPRODUCT(--ISNUMBER(SEARCH(immigration,C10)))&gt;0)</f>
        <v>0</v>
      </c>
      <c r="T10" s="14" cm="1">
        <f t="array" ref="T10">INT(SUMPRODUCT(--ISNUMBER(SEARCH(econineq,C11)))&gt;0)</f>
        <v>0</v>
      </c>
      <c r="U10" s="14" cm="1">
        <f t="array" ref="U10">INT(SUMPRODUCT(--ISNUMBER(SEARCH(climate,C10)))&gt;0)</f>
        <v>0</v>
      </c>
      <c r="V10" s="14" cm="1">
        <f t="array" ref="V10">INT(SUMPRODUCT(--ISNUMBER(SEARCH(abortion,C10)))&gt;0)</f>
        <v>0</v>
      </c>
      <c r="W10" s="14" cm="1">
        <f t="array" ref="W10">INT(SUMPRODUCT(--ISNUMBER(SEARCH(trump,C10)))&gt;0)</f>
        <v>0</v>
      </c>
      <c r="X10" s="14" cm="1">
        <f t="array" ref="X10">INT(SUMPRODUCT(--ISNUMBER(SEARCH(voting,C10)))&gt;0)</f>
        <v>1</v>
      </c>
      <c r="Y10" s="14" cm="1">
        <f t="array" ref="Y10">INT(SUMPRODUCT(--ISNUMBER(SEARCH(democrattrigger,C10)))&gt;0)</f>
        <v>0</v>
      </c>
      <c r="Z10" s="14" cm="1">
        <f t="array" ref="Z10">INT(SUMPRODUCT(--ISNUMBER(SEARCH(bipartisan,C10)))&gt;0)</f>
        <v>0</v>
      </c>
      <c r="AA10" s="14">
        <f t="shared" si="0"/>
        <v>0</v>
      </c>
      <c r="AB10" s="14"/>
      <c r="AC10" s="30" t="s">
        <v>223</v>
      </c>
      <c r="AD10" s="37" t="s">
        <v>223</v>
      </c>
    </row>
    <row r="11" spans="1:30" x14ac:dyDescent="0.25">
      <c r="A11" s="36">
        <v>2164</v>
      </c>
      <c r="B11" s="14" t="s">
        <v>4353</v>
      </c>
      <c r="C11" s="14" t="s">
        <v>4354</v>
      </c>
      <c r="D11" s="17">
        <v>44138</v>
      </c>
      <c r="E11" s="14" t="s">
        <v>30</v>
      </c>
      <c r="F11" s="14">
        <v>247</v>
      </c>
      <c r="G11" s="14">
        <v>66</v>
      </c>
      <c r="H11" s="14">
        <v>11</v>
      </c>
      <c r="I11" s="14">
        <v>6</v>
      </c>
      <c r="J11" s="14" t="s">
        <v>204</v>
      </c>
      <c r="K11" s="14" cm="1">
        <f t="array" ref="K11">INT(SUMPRODUCT(--ISNUMBER(SEARCH(economy,C11)))&gt;0)</f>
        <v>0</v>
      </c>
      <c r="L11" s="14" cm="1">
        <f t="array" ref="L11">INT(SUMPRODUCT(--ISNUMBER(SEARCH(healthcare,C11)))&gt;0)</f>
        <v>0</v>
      </c>
      <c r="M11" s="14" cm="1">
        <f t="array" ref="M11">INT(SUMPRODUCT(--ISNUMBER(SEARCH(supreme,C11)))&gt;0)</f>
        <v>0</v>
      </c>
      <c r="N11" s="14" cm="1">
        <f t="array" ref="N11">INT(SUMPRODUCT(--ISNUMBER(SEARCH(covid,C11)))&gt;0)</f>
        <v>0</v>
      </c>
      <c r="O11" s="14" cm="1">
        <f t="array" ref="O11">INT(SUMPRODUCT(--ISNUMBER(SEARCH(violent,C11)))&gt;0)</f>
        <v>0</v>
      </c>
      <c r="P11" s="14" cm="1">
        <f t="array" ref="P11">INT(SUMPRODUCT(--ISNUMBER(SEARCH(foreign,C11)))&gt;0)</f>
        <v>1</v>
      </c>
      <c r="Q11" s="14" cm="1">
        <f t="array" ref="Q11">INT(SUMPRODUCT(--ISNUMBER(SEARCH(gun,C11)))&gt;0)</f>
        <v>0</v>
      </c>
      <c r="R11" s="14" cm="1">
        <f t="array" ref="R11">INT(SUMPRODUCT(--ISNUMBER(SEARCH(race,C11)))&gt;0)</f>
        <v>0</v>
      </c>
      <c r="S11" s="14" cm="1">
        <f t="array" ref="S11">INT(SUMPRODUCT(--ISNUMBER(SEARCH(immigration,C11)))&gt;0)</f>
        <v>0</v>
      </c>
      <c r="T11" s="14" cm="1">
        <f t="array" ref="T11">INT(SUMPRODUCT(--ISNUMBER(SEARCH(econineq,C12)))&gt;0)</f>
        <v>0</v>
      </c>
      <c r="U11" s="14" cm="1">
        <f t="array" ref="U11">INT(SUMPRODUCT(--ISNUMBER(SEARCH(climate,C11)))&gt;0)</f>
        <v>0</v>
      </c>
      <c r="V11" s="14" cm="1">
        <f t="array" ref="V11">INT(SUMPRODUCT(--ISNUMBER(SEARCH(abortion,C11)))&gt;0)</f>
        <v>0</v>
      </c>
      <c r="W11" s="14" cm="1">
        <f t="array" ref="W11">INT(SUMPRODUCT(--ISNUMBER(SEARCH(trump,C11)))&gt;0)</f>
        <v>0</v>
      </c>
      <c r="X11" s="14" cm="1">
        <f t="array" ref="X11">INT(SUMPRODUCT(--ISNUMBER(SEARCH(voting,C11)))&gt;0)</f>
        <v>1</v>
      </c>
      <c r="Y11" s="14" cm="1">
        <f t="array" ref="Y11">INT(SUMPRODUCT(--ISNUMBER(SEARCH(democrattrigger,C11)))&gt;0)</f>
        <v>0</v>
      </c>
      <c r="Z11" s="14" cm="1">
        <f t="array" ref="Z11">INT(SUMPRODUCT(--ISNUMBER(SEARCH(bipartisan,C11)))&gt;0)</f>
        <v>0</v>
      </c>
      <c r="AA11" s="14">
        <f t="shared" si="0"/>
        <v>0</v>
      </c>
      <c r="AB11" s="14"/>
      <c r="AC11" s="30">
        <v>1</v>
      </c>
      <c r="AD11" s="37">
        <v>0</v>
      </c>
    </row>
    <row r="12" spans="1:30" x14ac:dyDescent="0.25">
      <c r="A12" s="36">
        <v>2165</v>
      </c>
      <c r="B12" s="14" t="s">
        <v>4355</v>
      </c>
      <c r="C12" s="14" t="s">
        <v>4356</v>
      </c>
      <c r="D12" s="17">
        <v>44138</v>
      </c>
      <c r="E12" s="14" t="s">
        <v>30</v>
      </c>
      <c r="F12" s="14">
        <v>224</v>
      </c>
      <c r="G12" s="14">
        <v>42</v>
      </c>
      <c r="H12" s="14">
        <v>11</v>
      </c>
      <c r="I12" s="14">
        <v>6</v>
      </c>
      <c r="J12" s="14" t="s">
        <v>204</v>
      </c>
      <c r="K12" s="14" cm="1">
        <f t="array" ref="K12">INT(SUMPRODUCT(--ISNUMBER(SEARCH(economy,C12)))&gt;0)</f>
        <v>0</v>
      </c>
      <c r="L12" s="14" cm="1">
        <f t="array" ref="L12">INT(SUMPRODUCT(--ISNUMBER(SEARCH(healthcare,C12)))&gt;0)</f>
        <v>0</v>
      </c>
      <c r="M12" s="14" cm="1">
        <f t="array" ref="M12">INT(SUMPRODUCT(--ISNUMBER(SEARCH(supreme,C12)))&gt;0)</f>
        <v>0</v>
      </c>
      <c r="N12" s="14" cm="1">
        <f t="array" ref="N12">INT(SUMPRODUCT(--ISNUMBER(SEARCH(covid,C12)))&gt;0)</f>
        <v>0</v>
      </c>
      <c r="O12" s="14" cm="1">
        <f t="array" ref="O12">INT(SUMPRODUCT(--ISNUMBER(SEARCH(violent,C12)))&gt;0)</f>
        <v>0</v>
      </c>
      <c r="P12" s="14" cm="1">
        <f t="array" ref="P12">INT(SUMPRODUCT(--ISNUMBER(SEARCH(foreign,C12)))&gt;0)</f>
        <v>0</v>
      </c>
      <c r="Q12" s="14" cm="1">
        <f t="array" ref="Q12">INT(SUMPRODUCT(--ISNUMBER(SEARCH(gun,C12)))&gt;0)</f>
        <v>0</v>
      </c>
      <c r="R12" s="14" cm="1">
        <f t="array" ref="R12">INT(SUMPRODUCT(--ISNUMBER(SEARCH(race,C12)))&gt;0)</f>
        <v>0</v>
      </c>
      <c r="S12" s="14" cm="1">
        <f t="array" ref="S12">INT(SUMPRODUCT(--ISNUMBER(SEARCH(immigration,C12)))&gt;0)</f>
        <v>0</v>
      </c>
      <c r="T12" s="14" cm="1">
        <f t="array" ref="T12">INT(SUMPRODUCT(--ISNUMBER(SEARCH(econineq,C13)))&gt;0)</f>
        <v>0</v>
      </c>
      <c r="U12" s="14" cm="1">
        <f t="array" ref="U12">INT(SUMPRODUCT(--ISNUMBER(SEARCH(climate,C12)))&gt;0)</f>
        <v>0</v>
      </c>
      <c r="V12" s="14" cm="1">
        <f t="array" ref="V12">INT(SUMPRODUCT(--ISNUMBER(SEARCH(abortion,C12)))&gt;0)</f>
        <v>0</v>
      </c>
      <c r="W12" s="14" cm="1">
        <f t="array" ref="W12">INT(SUMPRODUCT(--ISNUMBER(SEARCH(trump,C12)))&gt;0)</f>
        <v>0</v>
      </c>
      <c r="X12" s="14" cm="1">
        <f t="array" ref="X12">INT(SUMPRODUCT(--ISNUMBER(SEARCH(voting,C12)))&gt;0)</f>
        <v>1</v>
      </c>
      <c r="Y12" s="14" cm="1">
        <f t="array" ref="Y12">INT(SUMPRODUCT(--ISNUMBER(SEARCH(democrattrigger,C12)))&gt;0)</f>
        <v>0</v>
      </c>
      <c r="Z12" s="14" cm="1">
        <f t="array" ref="Z12">INT(SUMPRODUCT(--ISNUMBER(SEARCH(bipartisan,C12)))&gt;0)</f>
        <v>0</v>
      </c>
      <c r="AA12" s="14">
        <f t="shared" si="0"/>
        <v>0</v>
      </c>
      <c r="AB12" s="14"/>
      <c r="AC12" s="30">
        <v>1</v>
      </c>
      <c r="AD12" s="37">
        <v>0</v>
      </c>
    </row>
    <row r="13" spans="1:30" x14ac:dyDescent="0.25">
      <c r="A13" s="36">
        <v>2166</v>
      </c>
      <c r="B13" s="14" t="s">
        <v>4357</v>
      </c>
      <c r="C13" s="14" t="s">
        <v>4358</v>
      </c>
      <c r="D13" s="17">
        <v>44138</v>
      </c>
      <c r="E13" s="14" t="s">
        <v>30</v>
      </c>
      <c r="F13" s="14">
        <v>384</v>
      </c>
      <c r="G13" s="14">
        <v>45</v>
      </c>
      <c r="H13" s="14">
        <v>11</v>
      </c>
      <c r="I13" s="14">
        <v>6</v>
      </c>
      <c r="J13" s="14" t="s">
        <v>204</v>
      </c>
      <c r="K13" s="14" cm="1">
        <f t="array" ref="K13">INT(SUMPRODUCT(--ISNUMBER(SEARCH(economy,C13)))&gt;0)</f>
        <v>0</v>
      </c>
      <c r="L13" s="14" cm="1">
        <f t="array" ref="L13">INT(SUMPRODUCT(--ISNUMBER(SEARCH(healthcare,C13)))&gt;0)</f>
        <v>0</v>
      </c>
      <c r="M13" s="14" cm="1">
        <f t="array" ref="M13">INT(SUMPRODUCT(--ISNUMBER(SEARCH(supreme,C13)))&gt;0)</f>
        <v>0</v>
      </c>
      <c r="N13" s="14" cm="1">
        <f t="array" ref="N13">INT(SUMPRODUCT(--ISNUMBER(SEARCH(covid,C13)))&gt;0)</f>
        <v>0</v>
      </c>
      <c r="O13" s="14" cm="1">
        <f t="array" ref="O13">INT(SUMPRODUCT(--ISNUMBER(SEARCH(violent,C13)))&gt;0)</f>
        <v>0</v>
      </c>
      <c r="P13" s="14" cm="1">
        <f t="array" ref="P13">INT(SUMPRODUCT(--ISNUMBER(SEARCH(foreign,C13)))&gt;0)</f>
        <v>0</v>
      </c>
      <c r="Q13" s="14" cm="1">
        <f t="array" ref="Q13">INT(SUMPRODUCT(--ISNUMBER(SEARCH(gun,C13)))&gt;0)</f>
        <v>0</v>
      </c>
      <c r="R13" s="14" cm="1">
        <f t="array" ref="R13">INT(SUMPRODUCT(--ISNUMBER(SEARCH(race,C13)))&gt;0)</f>
        <v>0</v>
      </c>
      <c r="S13" s="14" cm="1">
        <f t="array" ref="S13">INT(SUMPRODUCT(--ISNUMBER(SEARCH(immigration,C13)))&gt;0)</f>
        <v>0</v>
      </c>
      <c r="T13" s="14" cm="1">
        <f t="array" ref="T13">INT(SUMPRODUCT(--ISNUMBER(SEARCH(econineq,C14)))&gt;0)</f>
        <v>0</v>
      </c>
      <c r="U13" s="14" cm="1">
        <f t="array" ref="U13">INT(SUMPRODUCT(--ISNUMBER(SEARCH(climate,C13)))&gt;0)</f>
        <v>0</v>
      </c>
      <c r="V13" s="14" cm="1">
        <f t="array" ref="V13">INT(SUMPRODUCT(--ISNUMBER(SEARCH(abortion,C13)))&gt;0)</f>
        <v>0</v>
      </c>
      <c r="W13" s="14" cm="1">
        <f t="array" ref="W13">INT(SUMPRODUCT(--ISNUMBER(SEARCH(trump,C13)))&gt;0)</f>
        <v>0</v>
      </c>
      <c r="X13" s="14" cm="1">
        <f t="array" ref="X13">INT(SUMPRODUCT(--ISNUMBER(SEARCH(voting,C13)))&gt;0)</f>
        <v>1</v>
      </c>
      <c r="Y13" s="14" cm="1">
        <f t="array" ref="Y13">INT(SUMPRODUCT(--ISNUMBER(SEARCH(democrattrigger,C13)))&gt;0)</f>
        <v>0</v>
      </c>
      <c r="Z13" s="14" cm="1">
        <f t="array" ref="Z13">INT(SUMPRODUCT(--ISNUMBER(SEARCH(bipartisan,C13)))&gt;0)</f>
        <v>0</v>
      </c>
      <c r="AA13" s="14">
        <f t="shared" si="0"/>
        <v>0</v>
      </c>
      <c r="AB13" s="14"/>
      <c r="AC13" s="30" t="s">
        <v>223</v>
      </c>
      <c r="AD13" s="37" t="s">
        <v>223</v>
      </c>
    </row>
    <row r="14" spans="1:30" x14ac:dyDescent="0.25">
      <c r="A14" s="36">
        <v>2167</v>
      </c>
      <c r="B14" s="14" t="s">
        <v>4359</v>
      </c>
      <c r="C14" s="14" t="s">
        <v>4360</v>
      </c>
      <c r="D14" s="17">
        <v>44138</v>
      </c>
      <c r="E14" s="14" t="s">
        <v>30</v>
      </c>
      <c r="F14" s="14">
        <v>177</v>
      </c>
      <c r="G14" s="14">
        <v>58</v>
      </c>
      <c r="H14" s="14">
        <v>11</v>
      </c>
      <c r="I14" s="14">
        <v>6</v>
      </c>
      <c r="J14" s="14" t="s">
        <v>204</v>
      </c>
      <c r="K14" s="14" cm="1">
        <f t="array" ref="K14">INT(SUMPRODUCT(--ISNUMBER(SEARCH(economy,C14)))&gt;0)</f>
        <v>0</v>
      </c>
      <c r="L14" s="14" cm="1">
        <f t="array" ref="L14">INT(SUMPRODUCT(--ISNUMBER(SEARCH(healthcare,C14)))&gt;0)</f>
        <v>0</v>
      </c>
      <c r="M14" s="14" cm="1">
        <f t="array" ref="M14">INT(SUMPRODUCT(--ISNUMBER(SEARCH(supreme,C14)))&gt;0)</f>
        <v>0</v>
      </c>
      <c r="N14" s="14" cm="1">
        <f t="array" ref="N14">INT(SUMPRODUCT(--ISNUMBER(SEARCH(covid,C14)))&gt;0)</f>
        <v>0</v>
      </c>
      <c r="O14" s="14" cm="1">
        <f t="array" ref="O14">INT(SUMPRODUCT(--ISNUMBER(SEARCH(violent,C14)))&gt;0)</f>
        <v>0</v>
      </c>
      <c r="P14" s="14" cm="1">
        <f t="array" ref="P14">INT(SUMPRODUCT(--ISNUMBER(SEARCH(foreign,C14)))&gt;0)</f>
        <v>1</v>
      </c>
      <c r="Q14" s="14" cm="1">
        <f t="array" ref="Q14">INT(SUMPRODUCT(--ISNUMBER(SEARCH(gun,C14)))&gt;0)</f>
        <v>0</v>
      </c>
      <c r="R14" s="14" cm="1">
        <f t="array" ref="R14">INT(SUMPRODUCT(--ISNUMBER(SEARCH(race,C14)))&gt;0)</f>
        <v>0</v>
      </c>
      <c r="S14" s="14" cm="1">
        <f t="array" ref="S14">INT(SUMPRODUCT(--ISNUMBER(SEARCH(immigration,C14)))&gt;0)</f>
        <v>0</v>
      </c>
      <c r="T14" s="14" cm="1">
        <f t="array" ref="T14">INT(SUMPRODUCT(--ISNUMBER(SEARCH(econineq,C15)))&gt;0)</f>
        <v>0</v>
      </c>
      <c r="U14" s="14" cm="1">
        <f t="array" ref="U14">INT(SUMPRODUCT(--ISNUMBER(SEARCH(climate,C14)))&gt;0)</f>
        <v>0</v>
      </c>
      <c r="V14" s="14" cm="1">
        <f t="array" ref="V14">INT(SUMPRODUCT(--ISNUMBER(SEARCH(abortion,C14)))&gt;0)</f>
        <v>0</v>
      </c>
      <c r="W14" s="14" cm="1">
        <f t="array" ref="W14">INT(SUMPRODUCT(--ISNUMBER(SEARCH(trump,C14)))&gt;0)</f>
        <v>0</v>
      </c>
      <c r="X14" s="14" cm="1">
        <f t="array" ref="X14">INT(SUMPRODUCT(--ISNUMBER(SEARCH(voting,C14)))&gt;0)</f>
        <v>1</v>
      </c>
      <c r="Y14" s="14" cm="1">
        <f t="array" ref="Y14">INT(SUMPRODUCT(--ISNUMBER(SEARCH(democrattrigger,C14)))&gt;0)</f>
        <v>0</v>
      </c>
      <c r="Z14" s="14" cm="1">
        <f t="array" ref="Z14">INT(SUMPRODUCT(--ISNUMBER(SEARCH(bipartisan,C14)))&gt;0)</f>
        <v>0</v>
      </c>
      <c r="AA14" s="14">
        <f t="shared" si="0"/>
        <v>0</v>
      </c>
      <c r="AB14" s="14"/>
      <c r="AC14" s="30" t="s">
        <v>223</v>
      </c>
      <c r="AD14" s="37" t="s">
        <v>223</v>
      </c>
    </row>
    <row r="15" spans="1:30" x14ac:dyDescent="0.25">
      <c r="A15" s="36">
        <v>2168</v>
      </c>
      <c r="B15" s="14" t="s">
        <v>4361</v>
      </c>
      <c r="C15" s="14" t="s">
        <v>4362</v>
      </c>
      <c r="D15" s="17">
        <v>44138</v>
      </c>
      <c r="E15" s="14" t="s">
        <v>30</v>
      </c>
      <c r="F15" s="14">
        <v>85</v>
      </c>
      <c r="G15" s="14">
        <v>20</v>
      </c>
      <c r="H15" s="14">
        <v>11</v>
      </c>
      <c r="I15" s="14">
        <v>6</v>
      </c>
      <c r="J15" s="14" t="s">
        <v>204</v>
      </c>
      <c r="K15" s="14" cm="1">
        <f t="array" ref="K15">INT(SUMPRODUCT(--ISNUMBER(SEARCH(economy,C15)))&gt;0)</f>
        <v>0</v>
      </c>
      <c r="L15" s="14" cm="1">
        <f t="array" ref="L15">INT(SUMPRODUCT(--ISNUMBER(SEARCH(healthcare,C15)))&gt;0)</f>
        <v>0</v>
      </c>
      <c r="M15" s="14" cm="1">
        <f t="array" ref="M15">INT(SUMPRODUCT(--ISNUMBER(SEARCH(supreme,C15)))&gt;0)</f>
        <v>0</v>
      </c>
      <c r="N15" s="14" cm="1">
        <f t="array" ref="N15">INT(SUMPRODUCT(--ISNUMBER(SEARCH(covid,C15)))&gt;0)</f>
        <v>0</v>
      </c>
      <c r="O15" s="14" cm="1">
        <f t="array" ref="O15">INT(SUMPRODUCT(--ISNUMBER(SEARCH(violent,C15)))&gt;0)</f>
        <v>0</v>
      </c>
      <c r="P15" s="14" cm="1">
        <f t="array" ref="P15">INT(SUMPRODUCT(--ISNUMBER(SEARCH(foreign,C15)))&gt;0)</f>
        <v>1</v>
      </c>
      <c r="Q15" s="14" cm="1">
        <f t="array" ref="Q15">INT(SUMPRODUCT(--ISNUMBER(SEARCH(gun,C15)))&gt;0)</f>
        <v>0</v>
      </c>
      <c r="R15" s="14" cm="1">
        <f t="array" ref="R15">INT(SUMPRODUCT(--ISNUMBER(SEARCH(race,C15)))&gt;0)</f>
        <v>0</v>
      </c>
      <c r="S15" s="14" cm="1">
        <f t="array" ref="S15">INT(SUMPRODUCT(--ISNUMBER(SEARCH(immigration,C15)))&gt;0)</f>
        <v>0</v>
      </c>
      <c r="T15" s="14" cm="1">
        <f t="array" ref="T15">INT(SUMPRODUCT(--ISNUMBER(SEARCH(econineq,C16)))&gt;0)</f>
        <v>0</v>
      </c>
      <c r="U15" s="14" cm="1">
        <f t="array" ref="U15">INT(SUMPRODUCT(--ISNUMBER(SEARCH(climate,C15)))&gt;0)</f>
        <v>0</v>
      </c>
      <c r="V15" s="14" cm="1">
        <f t="array" ref="V15">INT(SUMPRODUCT(--ISNUMBER(SEARCH(abortion,C15)))&gt;0)</f>
        <v>0</v>
      </c>
      <c r="W15" s="14" cm="1">
        <f t="array" ref="W15">INT(SUMPRODUCT(--ISNUMBER(SEARCH(trump,C15)))&gt;0)</f>
        <v>0</v>
      </c>
      <c r="X15" s="14" cm="1">
        <f t="array" ref="X15">INT(SUMPRODUCT(--ISNUMBER(SEARCH(voting,C15)))&gt;0)</f>
        <v>1</v>
      </c>
      <c r="Y15" s="14" cm="1">
        <f t="array" ref="Y15">INT(SUMPRODUCT(--ISNUMBER(SEARCH(democrattrigger,C15)))&gt;0)</f>
        <v>0</v>
      </c>
      <c r="Z15" s="14" cm="1">
        <f t="array" ref="Z15">INT(SUMPRODUCT(--ISNUMBER(SEARCH(bipartisan,C15)))&gt;0)</f>
        <v>0</v>
      </c>
      <c r="AA15" s="14">
        <f t="shared" si="0"/>
        <v>0</v>
      </c>
      <c r="AB15" s="14"/>
      <c r="AC15" s="30">
        <v>0</v>
      </c>
      <c r="AD15" s="37">
        <v>1</v>
      </c>
    </row>
    <row r="16" spans="1:30" x14ac:dyDescent="0.25">
      <c r="A16" s="36">
        <v>2169</v>
      </c>
      <c r="B16" s="14" t="s">
        <v>4363</v>
      </c>
      <c r="C16" s="14" t="s">
        <v>4364</v>
      </c>
      <c r="D16" s="17">
        <v>44138</v>
      </c>
      <c r="E16" s="14" t="s">
        <v>30</v>
      </c>
      <c r="F16" s="14">
        <v>406</v>
      </c>
      <c r="G16" s="14">
        <v>178</v>
      </c>
      <c r="H16" s="14">
        <v>11</v>
      </c>
      <c r="I16" s="14">
        <v>6</v>
      </c>
      <c r="J16" s="14" t="s">
        <v>204</v>
      </c>
      <c r="K16" s="14" cm="1">
        <f t="array" ref="K16">INT(SUMPRODUCT(--ISNUMBER(SEARCH(economy,C16)))&gt;0)</f>
        <v>0</v>
      </c>
      <c r="L16" s="14" cm="1">
        <f t="array" ref="L16">INT(SUMPRODUCT(--ISNUMBER(SEARCH(healthcare,C16)))&gt;0)</f>
        <v>0</v>
      </c>
      <c r="M16" s="14" cm="1">
        <f t="array" ref="M16">INT(SUMPRODUCT(--ISNUMBER(SEARCH(supreme,C16)))&gt;0)</f>
        <v>0</v>
      </c>
      <c r="N16" s="14" cm="1">
        <f t="array" ref="N16">INT(SUMPRODUCT(--ISNUMBER(SEARCH(covid,C16)))&gt;0)</f>
        <v>0</v>
      </c>
      <c r="O16" s="14" cm="1">
        <f t="array" ref="O16">INT(SUMPRODUCT(--ISNUMBER(SEARCH(violent,C16)))&gt;0)</f>
        <v>0</v>
      </c>
      <c r="P16" s="14" cm="1">
        <f t="array" ref="P16">INT(SUMPRODUCT(--ISNUMBER(SEARCH(foreign,C16)))&gt;0)</f>
        <v>0</v>
      </c>
      <c r="Q16" s="14" cm="1">
        <f t="array" ref="Q16">INT(SUMPRODUCT(--ISNUMBER(SEARCH(gun,C16)))&gt;0)</f>
        <v>0</v>
      </c>
      <c r="R16" s="14" cm="1">
        <f t="array" ref="R16">INT(SUMPRODUCT(--ISNUMBER(SEARCH(race,C16)))&gt;0)</f>
        <v>0</v>
      </c>
      <c r="S16" s="14" cm="1">
        <f t="array" ref="S16">INT(SUMPRODUCT(--ISNUMBER(SEARCH(immigration,C16)))&gt;0)</f>
        <v>0</v>
      </c>
      <c r="T16" s="14" cm="1">
        <f t="array" ref="T16">INT(SUMPRODUCT(--ISNUMBER(SEARCH(econineq,C17)))&gt;0)</f>
        <v>0</v>
      </c>
      <c r="U16" s="14" cm="1">
        <f t="array" ref="U16">INT(SUMPRODUCT(--ISNUMBER(SEARCH(climate,C16)))&gt;0)</f>
        <v>0</v>
      </c>
      <c r="V16" s="14" cm="1">
        <f t="array" ref="V16">INT(SUMPRODUCT(--ISNUMBER(SEARCH(abortion,C16)))&gt;0)</f>
        <v>0</v>
      </c>
      <c r="W16" s="14" cm="1">
        <f t="array" ref="W16">INT(SUMPRODUCT(--ISNUMBER(SEARCH(trump,C16)))&gt;0)</f>
        <v>0</v>
      </c>
      <c r="X16" s="14" cm="1">
        <f t="array" ref="X16">INT(SUMPRODUCT(--ISNUMBER(SEARCH(voting,C16)))&gt;0)</f>
        <v>1</v>
      </c>
      <c r="Y16" s="14" cm="1">
        <f t="array" ref="Y16">INT(SUMPRODUCT(--ISNUMBER(SEARCH(democrattrigger,C16)))&gt;0)</f>
        <v>0</v>
      </c>
      <c r="Z16" s="14" cm="1">
        <f t="array" ref="Z16">INT(SUMPRODUCT(--ISNUMBER(SEARCH(bipartisan,C16)))&gt;0)</f>
        <v>0</v>
      </c>
      <c r="AA16" s="14">
        <f t="shared" si="0"/>
        <v>0</v>
      </c>
      <c r="AB16" s="14"/>
      <c r="AC16" s="30" t="s">
        <v>223</v>
      </c>
      <c r="AD16" s="37" t="s">
        <v>223</v>
      </c>
    </row>
    <row r="17" spans="1:30" x14ac:dyDescent="0.25">
      <c r="A17" s="36">
        <v>2170</v>
      </c>
      <c r="B17" s="14" t="s">
        <v>4365</v>
      </c>
      <c r="C17" s="14" t="s">
        <v>4366</v>
      </c>
      <c r="D17" s="17">
        <v>44138</v>
      </c>
      <c r="E17" s="14" t="s">
        <v>30</v>
      </c>
      <c r="F17" s="14">
        <v>385</v>
      </c>
      <c r="G17" s="14">
        <v>54</v>
      </c>
      <c r="H17" s="14">
        <v>11</v>
      </c>
      <c r="I17" s="14">
        <v>6</v>
      </c>
      <c r="J17" s="14" t="s">
        <v>204</v>
      </c>
      <c r="K17" s="14" cm="1">
        <f t="array" ref="K17">INT(SUMPRODUCT(--ISNUMBER(SEARCH(economy,C17)))&gt;0)</f>
        <v>1</v>
      </c>
      <c r="L17" s="14" cm="1">
        <f t="array" ref="L17">INT(SUMPRODUCT(--ISNUMBER(SEARCH(healthcare,C17)))&gt;0)</f>
        <v>0</v>
      </c>
      <c r="M17" s="14" cm="1">
        <f t="array" ref="M17">INT(SUMPRODUCT(--ISNUMBER(SEARCH(supreme,C17)))&gt;0)</f>
        <v>0</v>
      </c>
      <c r="N17" s="14" cm="1">
        <f t="array" ref="N17">INT(SUMPRODUCT(--ISNUMBER(SEARCH(covid,C17)))&gt;0)</f>
        <v>0</v>
      </c>
      <c r="O17" s="14" cm="1">
        <f t="array" ref="O17">INT(SUMPRODUCT(--ISNUMBER(SEARCH(violent,C17)))&gt;0)</f>
        <v>0</v>
      </c>
      <c r="P17" s="14" cm="1">
        <f t="array" ref="P17">INT(SUMPRODUCT(--ISNUMBER(SEARCH(foreign,C17)))&gt;0)</f>
        <v>0</v>
      </c>
      <c r="Q17" s="14" cm="1">
        <f t="array" ref="Q17">INT(SUMPRODUCT(--ISNUMBER(SEARCH(gun,C17)))&gt;0)</f>
        <v>0</v>
      </c>
      <c r="R17" s="14" cm="1">
        <f t="array" ref="R17">INT(SUMPRODUCT(--ISNUMBER(SEARCH(race,C17)))&gt;0)</f>
        <v>0</v>
      </c>
      <c r="S17" s="14" cm="1">
        <f t="array" ref="S17">INT(SUMPRODUCT(--ISNUMBER(SEARCH(immigration,C17)))&gt;0)</f>
        <v>0</v>
      </c>
      <c r="T17" s="14" cm="1">
        <f t="array" ref="T17">INT(SUMPRODUCT(--ISNUMBER(SEARCH(econineq,C18)))&gt;0)</f>
        <v>0</v>
      </c>
      <c r="U17" s="14" cm="1">
        <f t="array" ref="U17">INT(SUMPRODUCT(--ISNUMBER(SEARCH(climate,C17)))&gt;0)</f>
        <v>0</v>
      </c>
      <c r="V17" s="14" cm="1">
        <f t="array" ref="V17">INT(SUMPRODUCT(--ISNUMBER(SEARCH(abortion,C17)))&gt;0)</f>
        <v>0</v>
      </c>
      <c r="W17" s="14" cm="1">
        <f t="array" ref="W17">INT(SUMPRODUCT(--ISNUMBER(SEARCH(trump,C17)))&gt;0)</f>
        <v>0</v>
      </c>
      <c r="X17" s="14" cm="1">
        <f t="array" ref="X17">INT(SUMPRODUCT(--ISNUMBER(SEARCH(voting,C17)))&gt;0)</f>
        <v>1</v>
      </c>
      <c r="Y17" s="14" cm="1">
        <f t="array" ref="Y17">INT(SUMPRODUCT(--ISNUMBER(SEARCH(democrattrigger,C17)))&gt;0)</f>
        <v>0</v>
      </c>
      <c r="Z17" s="14" cm="1">
        <f t="array" ref="Z17">INT(SUMPRODUCT(--ISNUMBER(SEARCH(bipartisan,C17)))&gt;0)</f>
        <v>0</v>
      </c>
      <c r="AA17" s="14">
        <f t="shared" si="0"/>
        <v>0</v>
      </c>
      <c r="AB17" s="14"/>
      <c r="AC17" s="30" t="s">
        <v>223</v>
      </c>
      <c r="AD17" s="37" t="s">
        <v>223</v>
      </c>
    </row>
    <row r="18" spans="1:30" x14ac:dyDescent="0.25">
      <c r="A18" s="36">
        <v>2171</v>
      </c>
      <c r="B18" s="14" t="s">
        <v>4367</v>
      </c>
      <c r="C18" s="14" t="s">
        <v>4368</v>
      </c>
      <c r="D18" s="17">
        <v>44138</v>
      </c>
      <c r="E18" s="14" t="s">
        <v>30</v>
      </c>
      <c r="F18" s="14">
        <v>139</v>
      </c>
      <c r="G18" s="14">
        <v>17</v>
      </c>
      <c r="H18" s="14">
        <v>11</v>
      </c>
      <c r="I18" s="14">
        <v>6</v>
      </c>
      <c r="J18" s="14" t="s">
        <v>204</v>
      </c>
      <c r="K18" s="14" cm="1">
        <f t="array" ref="K18">INT(SUMPRODUCT(--ISNUMBER(SEARCH(economy,C18)))&gt;0)</f>
        <v>0</v>
      </c>
      <c r="L18" s="14" cm="1">
        <f t="array" ref="L18">INT(SUMPRODUCT(--ISNUMBER(SEARCH(healthcare,C18)))&gt;0)</f>
        <v>0</v>
      </c>
      <c r="M18" s="14" cm="1">
        <f t="array" ref="M18">INT(SUMPRODUCT(--ISNUMBER(SEARCH(supreme,C18)))&gt;0)</f>
        <v>1</v>
      </c>
      <c r="N18" s="14" cm="1">
        <f t="array" ref="N18">INT(SUMPRODUCT(--ISNUMBER(SEARCH(covid,C18)))&gt;0)</f>
        <v>0</v>
      </c>
      <c r="O18" s="14" cm="1">
        <f t="array" ref="O18">INT(SUMPRODUCT(--ISNUMBER(SEARCH(violent,C18)))&gt;0)</f>
        <v>0</v>
      </c>
      <c r="P18" s="14" cm="1">
        <f t="array" ref="P18">INT(SUMPRODUCT(--ISNUMBER(SEARCH(foreign,C18)))&gt;0)</f>
        <v>0</v>
      </c>
      <c r="Q18" s="14" cm="1">
        <f t="array" ref="Q18">INT(SUMPRODUCT(--ISNUMBER(SEARCH(gun,C18)))&gt;0)</f>
        <v>0</v>
      </c>
      <c r="R18" s="14" cm="1">
        <f t="array" ref="R18">INT(SUMPRODUCT(--ISNUMBER(SEARCH(race,C18)))&gt;0)</f>
        <v>0</v>
      </c>
      <c r="S18" s="14" cm="1">
        <f t="array" ref="S18">INT(SUMPRODUCT(--ISNUMBER(SEARCH(immigration,C18)))&gt;0)</f>
        <v>0</v>
      </c>
      <c r="T18" s="14" cm="1">
        <f t="array" ref="T18">INT(SUMPRODUCT(--ISNUMBER(SEARCH(econineq,C19)))&gt;0)</f>
        <v>0</v>
      </c>
      <c r="U18" s="14" cm="1">
        <f t="array" ref="U18">INT(SUMPRODUCT(--ISNUMBER(SEARCH(climate,C18)))&gt;0)</f>
        <v>0</v>
      </c>
      <c r="V18" s="14" cm="1">
        <f t="array" ref="V18">INT(SUMPRODUCT(--ISNUMBER(SEARCH(abortion,C18)))&gt;0)</f>
        <v>0</v>
      </c>
      <c r="W18" s="14" cm="1">
        <f t="array" ref="W18">INT(SUMPRODUCT(--ISNUMBER(SEARCH(trump,C18)))&gt;0)</f>
        <v>0</v>
      </c>
      <c r="X18" s="14" cm="1">
        <f t="array" ref="X18">INT(SUMPRODUCT(--ISNUMBER(SEARCH(voting,C18)))&gt;0)</f>
        <v>0</v>
      </c>
      <c r="Y18" s="14" cm="1">
        <f t="array" ref="Y18">INT(SUMPRODUCT(--ISNUMBER(SEARCH(democrattrigger,C18)))&gt;0)</f>
        <v>0</v>
      </c>
      <c r="Z18" s="14" cm="1">
        <f t="array" ref="Z18">INT(SUMPRODUCT(--ISNUMBER(SEARCH(bipartisan,C18)))&gt;0)</f>
        <v>0</v>
      </c>
      <c r="AA18" s="14">
        <f t="shared" si="0"/>
        <v>0</v>
      </c>
      <c r="AB18" s="14"/>
      <c r="AC18" s="30">
        <v>1</v>
      </c>
      <c r="AD18" s="37">
        <v>0</v>
      </c>
    </row>
    <row r="19" spans="1:30" x14ac:dyDescent="0.25">
      <c r="A19" s="36">
        <v>2172</v>
      </c>
      <c r="B19" s="14" t="s">
        <v>4369</v>
      </c>
      <c r="C19" s="14" t="s">
        <v>4370</v>
      </c>
      <c r="D19" s="17">
        <v>44138</v>
      </c>
      <c r="E19" s="14" t="s">
        <v>30</v>
      </c>
      <c r="F19" s="14">
        <v>51</v>
      </c>
      <c r="G19" s="14">
        <v>7</v>
      </c>
      <c r="H19" s="14">
        <v>11</v>
      </c>
      <c r="I19" s="14">
        <v>6</v>
      </c>
      <c r="J19" s="14" t="s">
        <v>204</v>
      </c>
      <c r="K19" s="14" cm="1">
        <f t="array" ref="K19">INT(SUMPRODUCT(--ISNUMBER(SEARCH(economy,C19)))&gt;0)</f>
        <v>0</v>
      </c>
      <c r="L19" s="14" cm="1">
        <f t="array" ref="L19">INT(SUMPRODUCT(--ISNUMBER(SEARCH(healthcare,C19)))&gt;0)</f>
        <v>0</v>
      </c>
      <c r="M19" s="14" cm="1">
        <f t="array" ref="M19">INT(SUMPRODUCT(--ISNUMBER(SEARCH(supreme,C19)))&gt;0)</f>
        <v>0</v>
      </c>
      <c r="N19" s="14" cm="1">
        <f t="array" ref="N19">INT(SUMPRODUCT(--ISNUMBER(SEARCH(covid,C19)))&gt;0)</f>
        <v>0</v>
      </c>
      <c r="O19" s="14" cm="1">
        <f t="array" ref="O19">INT(SUMPRODUCT(--ISNUMBER(SEARCH(violent,C19)))&gt;0)</f>
        <v>0</v>
      </c>
      <c r="P19" s="14" cm="1">
        <f t="array" ref="P19">INT(SUMPRODUCT(--ISNUMBER(SEARCH(foreign,C19)))&gt;0)</f>
        <v>0</v>
      </c>
      <c r="Q19" s="14" cm="1">
        <f t="array" ref="Q19">INT(SUMPRODUCT(--ISNUMBER(SEARCH(gun,C19)))&gt;0)</f>
        <v>0</v>
      </c>
      <c r="R19" s="14" cm="1">
        <f t="array" ref="R19">INT(SUMPRODUCT(--ISNUMBER(SEARCH(race,C19)))&gt;0)</f>
        <v>0</v>
      </c>
      <c r="S19" s="14" cm="1">
        <f t="array" ref="S19">INT(SUMPRODUCT(--ISNUMBER(SEARCH(immigration,C19)))&gt;0)</f>
        <v>0</v>
      </c>
      <c r="T19" s="14" cm="1">
        <f t="array" ref="T19">INT(SUMPRODUCT(--ISNUMBER(SEARCH(econineq,C20)))&gt;0)</f>
        <v>0</v>
      </c>
      <c r="U19" s="14" cm="1">
        <f t="array" ref="U19">INT(SUMPRODUCT(--ISNUMBER(SEARCH(climate,C19)))&gt;0)</f>
        <v>0</v>
      </c>
      <c r="V19" s="14" cm="1">
        <f t="array" ref="V19">INT(SUMPRODUCT(--ISNUMBER(SEARCH(abortion,C19)))&gt;0)</f>
        <v>0</v>
      </c>
      <c r="W19" s="14" cm="1">
        <f t="array" ref="W19">INT(SUMPRODUCT(--ISNUMBER(SEARCH(trump,C19)))&gt;0)</f>
        <v>0</v>
      </c>
      <c r="X19" s="14" cm="1">
        <f t="array" ref="X19">INT(SUMPRODUCT(--ISNUMBER(SEARCH(voting,C19)))&gt;0)</f>
        <v>0</v>
      </c>
      <c r="Y19" s="14" cm="1">
        <f t="array" ref="Y19">INT(SUMPRODUCT(--ISNUMBER(SEARCH(democrattrigger,C19)))&gt;0)</f>
        <v>0</v>
      </c>
      <c r="Z19" s="14" cm="1">
        <f t="array" ref="Z19">INT(SUMPRODUCT(--ISNUMBER(SEARCH(bipartisan,C19)))&gt;0)</f>
        <v>0</v>
      </c>
      <c r="AA19" s="14">
        <f t="shared" si="0"/>
        <v>1</v>
      </c>
      <c r="AB19" s="14"/>
      <c r="AC19" s="30">
        <v>0</v>
      </c>
      <c r="AD19" s="37">
        <v>1</v>
      </c>
    </row>
    <row r="20" spans="1:30" x14ac:dyDescent="0.25">
      <c r="A20" s="36">
        <v>2173</v>
      </c>
      <c r="B20" s="14" t="s">
        <v>4371</v>
      </c>
      <c r="C20" s="14" t="s">
        <v>4372</v>
      </c>
      <c r="D20" s="17">
        <v>44137</v>
      </c>
      <c r="E20" s="14" t="s">
        <v>30</v>
      </c>
      <c r="F20" s="14">
        <v>134</v>
      </c>
      <c r="G20" s="14">
        <v>11</v>
      </c>
      <c r="H20" s="14">
        <v>11</v>
      </c>
      <c r="I20" s="14">
        <v>6</v>
      </c>
      <c r="J20" s="14" t="s">
        <v>204</v>
      </c>
      <c r="K20" s="14" cm="1">
        <f t="array" ref="K20">INT(SUMPRODUCT(--ISNUMBER(SEARCH(economy,C20)))&gt;0)</f>
        <v>0</v>
      </c>
      <c r="L20" s="14" cm="1">
        <f t="array" ref="L20">INT(SUMPRODUCT(--ISNUMBER(SEARCH(healthcare,C20)))&gt;0)</f>
        <v>0</v>
      </c>
      <c r="M20" s="14" cm="1">
        <f t="array" ref="M20">INT(SUMPRODUCT(--ISNUMBER(SEARCH(supreme,C20)))&gt;0)</f>
        <v>0</v>
      </c>
      <c r="N20" s="14" cm="1">
        <f t="array" ref="N20">INT(SUMPRODUCT(--ISNUMBER(SEARCH(covid,C20)))&gt;0)</f>
        <v>0</v>
      </c>
      <c r="O20" s="14" cm="1">
        <f t="array" ref="O20">INT(SUMPRODUCT(--ISNUMBER(SEARCH(violent,C20)))&gt;0)</f>
        <v>0</v>
      </c>
      <c r="P20" s="14" cm="1">
        <f t="array" ref="P20">INT(SUMPRODUCT(--ISNUMBER(SEARCH(foreign,C20)))&gt;0)</f>
        <v>0</v>
      </c>
      <c r="Q20" s="14" cm="1">
        <f t="array" ref="Q20">INT(SUMPRODUCT(--ISNUMBER(SEARCH(gun,C20)))&gt;0)</f>
        <v>0</v>
      </c>
      <c r="R20" s="14" cm="1">
        <f t="array" ref="R20">INT(SUMPRODUCT(--ISNUMBER(SEARCH(race,C20)))&gt;0)</f>
        <v>0</v>
      </c>
      <c r="S20" s="14" cm="1">
        <f t="array" ref="S20">INT(SUMPRODUCT(--ISNUMBER(SEARCH(immigration,C20)))&gt;0)</f>
        <v>0</v>
      </c>
      <c r="T20" s="14" cm="1">
        <f t="array" ref="T20">INT(SUMPRODUCT(--ISNUMBER(SEARCH(econineq,C21)))&gt;0)</f>
        <v>0</v>
      </c>
      <c r="U20" s="14" cm="1">
        <f t="array" ref="U20">INT(SUMPRODUCT(--ISNUMBER(SEARCH(climate,C20)))&gt;0)</f>
        <v>0</v>
      </c>
      <c r="V20" s="14" cm="1">
        <f t="array" ref="V20">INT(SUMPRODUCT(--ISNUMBER(SEARCH(abortion,C20)))&gt;0)</f>
        <v>0</v>
      </c>
      <c r="W20" s="14" cm="1">
        <f t="array" ref="W20">INT(SUMPRODUCT(--ISNUMBER(SEARCH(trump,C20)))&gt;0)</f>
        <v>0</v>
      </c>
      <c r="X20" s="14" cm="1">
        <f t="array" ref="X20">INT(SUMPRODUCT(--ISNUMBER(SEARCH(voting,C20)))&gt;0)</f>
        <v>0</v>
      </c>
      <c r="Y20" s="14" cm="1">
        <f t="array" ref="Y20">INT(SUMPRODUCT(--ISNUMBER(SEARCH(democrattrigger,C20)))&gt;0)</f>
        <v>0</v>
      </c>
      <c r="Z20" s="14" cm="1">
        <f t="array" ref="Z20">INT(SUMPRODUCT(--ISNUMBER(SEARCH(bipartisan,C20)))&gt;0)</f>
        <v>0</v>
      </c>
      <c r="AA20" s="14">
        <f t="shared" si="0"/>
        <v>1</v>
      </c>
      <c r="AB20" s="14"/>
      <c r="AC20" s="30">
        <v>1</v>
      </c>
      <c r="AD20" s="37">
        <v>0</v>
      </c>
    </row>
    <row r="21" spans="1:30" x14ac:dyDescent="0.25">
      <c r="A21" s="36">
        <v>2174</v>
      </c>
      <c r="B21" s="14" t="s">
        <v>4373</v>
      </c>
      <c r="C21" s="14" t="s">
        <v>4374</v>
      </c>
      <c r="D21" s="17">
        <v>44137</v>
      </c>
      <c r="E21" s="14" t="s">
        <v>30</v>
      </c>
      <c r="F21" s="14">
        <v>45</v>
      </c>
      <c r="G21" s="14">
        <v>9</v>
      </c>
      <c r="H21" s="14">
        <v>11</v>
      </c>
      <c r="I21" s="14">
        <v>6</v>
      </c>
      <c r="J21" s="14" t="s">
        <v>204</v>
      </c>
      <c r="K21" s="14" cm="1">
        <f t="array" ref="K21">INT(SUMPRODUCT(--ISNUMBER(SEARCH(economy,C21)))&gt;0)</f>
        <v>0</v>
      </c>
      <c r="L21" s="14" cm="1">
        <f t="array" ref="L21">INT(SUMPRODUCT(--ISNUMBER(SEARCH(healthcare,C21)))&gt;0)</f>
        <v>0</v>
      </c>
      <c r="M21" s="14" cm="1">
        <f t="array" ref="M21">INT(SUMPRODUCT(--ISNUMBER(SEARCH(supreme,C21)))&gt;0)</f>
        <v>0</v>
      </c>
      <c r="N21" s="14" cm="1">
        <f t="array" ref="N21">INT(SUMPRODUCT(--ISNUMBER(SEARCH(covid,C21)))&gt;0)</f>
        <v>0</v>
      </c>
      <c r="O21" s="14" cm="1">
        <f t="array" ref="O21">INT(SUMPRODUCT(--ISNUMBER(SEARCH(violent,C21)))&gt;0)</f>
        <v>0</v>
      </c>
      <c r="P21" s="14" cm="1">
        <f t="array" ref="P21">INT(SUMPRODUCT(--ISNUMBER(SEARCH(foreign,C21)))&gt;0)</f>
        <v>1</v>
      </c>
      <c r="Q21" s="14" cm="1">
        <f t="array" ref="Q21">INT(SUMPRODUCT(--ISNUMBER(SEARCH(gun,C21)))&gt;0)</f>
        <v>0</v>
      </c>
      <c r="R21" s="14" cm="1">
        <f t="array" ref="R21">INT(SUMPRODUCT(--ISNUMBER(SEARCH(race,C21)))&gt;0)</f>
        <v>0</v>
      </c>
      <c r="S21" s="14" cm="1">
        <f t="array" ref="S21">INT(SUMPRODUCT(--ISNUMBER(SEARCH(immigration,C21)))&gt;0)</f>
        <v>0</v>
      </c>
      <c r="T21" s="14" cm="1">
        <f t="array" ref="T21">INT(SUMPRODUCT(--ISNUMBER(SEARCH(econineq,C22)))&gt;0)</f>
        <v>0</v>
      </c>
      <c r="U21" s="14" cm="1">
        <f t="array" ref="U21">INT(SUMPRODUCT(--ISNUMBER(SEARCH(climate,C21)))&gt;0)</f>
        <v>0</v>
      </c>
      <c r="V21" s="14" cm="1">
        <f t="array" ref="V21">INT(SUMPRODUCT(--ISNUMBER(SEARCH(abortion,C21)))&gt;0)</f>
        <v>0</v>
      </c>
      <c r="W21" s="14" cm="1">
        <f t="array" ref="W21">INT(SUMPRODUCT(--ISNUMBER(SEARCH(trump,C21)))&gt;0)</f>
        <v>0</v>
      </c>
      <c r="X21" s="14" cm="1">
        <f t="array" ref="X21">INT(SUMPRODUCT(--ISNUMBER(SEARCH(voting,C21)))&gt;0)</f>
        <v>1</v>
      </c>
      <c r="Y21" s="14" cm="1">
        <f t="array" ref="Y21">INT(SUMPRODUCT(--ISNUMBER(SEARCH(democrattrigger,C21)))&gt;0)</f>
        <v>0</v>
      </c>
      <c r="Z21" s="14" cm="1">
        <f t="array" ref="Z21">INT(SUMPRODUCT(--ISNUMBER(SEARCH(bipartisan,C21)))&gt;0)</f>
        <v>0</v>
      </c>
      <c r="AA21" s="14">
        <f t="shared" si="0"/>
        <v>0</v>
      </c>
      <c r="AB21" s="14"/>
      <c r="AC21" s="30">
        <v>0</v>
      </c>
      <c r="AD21" s="37">
        <v>1</v>
      </c>
    </row>
    <row r="22" spans="1:30" x14ac:dyDescent="0.25">
      <c r="A22" s="36">
        <v>2175</v>
      </c>
      <c r="B22" s="14" t="s">
        <v>4375</v>
      </c>
      <c r="C22" s="14" t="s">
        <v>4376</v>
      </c>
      <c r="D22" s="17">
        <v>44137</v>
      </c>
      <c r="E22" s="14" t="s">
        <v>30</v>
      </c>
      <c r="F22" s="14">
        <v>75</v>
      </c>
      <c r="G22" s="14">
        <v>14</v>
      </c>
      <c r="H22" s="14">
        <v>11</v>
      </c>
      <c r="I22" s="14">
        <v>6</v>
      </c>
      <c r="J22" s="14" t="s">
        <v>204</v>
      </c>
      <c r="K22" s="14" cm="1">
        <f t="array" ref="K22">INT(SUMPRODUCT(--ISNUMBER(SEARCH(economy,C22)))&gt;0)</f>
        <v>0</v>
      </c>
      <c r="L22" s="14" cm="1">
        <f t="array" ref="L22">INT(SUMPRODUCT(--ISNUMBER(SEARCH(healthcare,C22)))&gt;0)</f>
        <v>0</v>
      </c>
      <c r="M22" s="14" cm="1">
        <f t="array" ref="M22">INT(SUMPRODUCT(--ISNUMBER(SEARCH(supreme,C22)))&gt;0)</f>
        <v>0</v>
      </c>
      <c r="N22" s="14" cm="1">
        <f t="array" ref="N22">INT(SUMPRODUCT(--ISNUMBER(SEARCH(covid,C22)))&gt;0)</f>
        <v>0</v>
      </c>
      <c r="O22" s="14" cm="1">
        <f t="array" ref="O22">INT(SUMPRODUCT(--ISNUMBER(SEARCH(violent,C22)))&gt;0)</f>
        <v>0</v>
      </c>
      <c r="P22" s="14" cm="1">
        <f t="array" ref="P22">INT(SUMPRODUCT(--ISNUMBER(SEARCH(foreign,C22)))&gt;0)</f>
        <v>0</v>
      </c>
      <c r="Q22" s="14" cm="1">
        <f t="array" ref="Q22">INT(SUMPRODUCT(--ISNUMBER(SEARCH(gun,C22)))&gt;0)</f>
        <v>0</v>
      </c>
      <c r="R22" s="14" cm="1">
        <f t="array" ref="R22">INT(SUMPRODUCT(--ISNUMBER(SEARCH(race,C22)))&gt;0)</f>
        <v>0</v>
      </c>
      <c r="S22" s="14" cm="1">
        <f t="array" ref="S22">INT(SUMPRODUCT(--ISNUMBER(SEARCH(immigration,C22)))&gt;0)</f>
        <v>0</v>
      </c>
      <c r="T22" s="14" cm="1">
        <f t="array" ref="T22">INT(SUMPRODUCT(--ISNUMBER(SEARCH(econineq,C23)))&gt;0)</f>
        <v>0</v>
      </c>
      <c r="U22" s="14" cm="1">
        <f t="array" ref="U22">INT(SUMPRODUCT(--ISNUMBER(SEARCH(climate,C22)))&gt;0)</f>
        <v>0</v>
      </c>
      <c r="V22" s="14" cm="1">
        <f t="array" ref="V22">INT(SUMPRODUCT(--ISNUMBER(SEARCH(abortion,C22)))&gt;0)</f>
        <v>0</v>
      </c>
      <c r="W22" s="14" cm="1">
        <f t="array" ref="W22">INT(SUMPRODUCT(--ISNUMBER(SEARCH(trump,C22)))&gt;0)</f>
        <v>0</v>
      </c>
      <c r="X22" s="14" cm="1">
        <f t="array" ref="X22">INT(SUMPRODUCT(--ISNUMBER(SEARCH(voting,C22)))&gt;0)</f>
        <v>0</v>
      </c>
      <c r="Y22" s="14" cm="1">
        <f t="array" ref="Y22">INT(SUMPRODUCT(--ISNUMBER(SEARCH(democrattrigger,C22)))&gt;0)</f>
        <v>0</v>
      </c>
      <c r="Z22" s="14" cm="1">
        <f t="array" ref="Z22">INT(SUMPRODUCT(--ISNUMBER(SEARCH(bipartisan,C22)))&gt;0)</f>
        <v>0</v>
      </c>
      <c r="AA22" s="14">
        <f t="shared" si="0"/>
        <v>1</v>
      </c>
      <c r="AB22" s="14"/>
      <c r="AC22" s="30" t="s">
        <v>223</v>
      </c>
      <c r="AD22" s="37" t="s">
        <v>223</v>
      </c>
    </row>
    <row r="23" spans="1:30" x14ac:dyDescent="0.25">
      <c r="A23" s="36">
        <v>2176</v>
      </c>
      <c r="B23" s="14" t="s">
        <v>4377</v>
      </c>
      <c r="C23" s="14" t="s">
        <v>4378</v>
      </c>
      <c r="D23" s="17">
        <v>44137</v>
      </c>
      <c r="E23" s="14" t="s">
        <v>30</v>
      </c>
      <c r="F23" s="14">
        <v>61</v>
      </c>
      <c r="G23" s="14">
        <v>13</v>
      </c>
      <c r="H23" s="14">
        <v>11</v>
      </c>
      <c r="I23" s="14">
        <v>6</v>
      </c>
      <c r="J23" s="14" t="s">
        <v>204</v>
      </c>
      <c r="K23" s="14" cm="1">
        <f t="array" ref="K23">INT(SUMPRODUCT(--ISNUMBER(SEARCH(economy,C23)))&gt;0)</f>
        <v>0</v>
      </c>
      <c r="L23" s="14" cm="1">
        <f t="array" ref="L23">INT(SUMPRODUCT(--ISNUMBER(SEARCH(healthcare,C23)))&gt;0)</f>
        <v>0</v>
      </c>
      <c r="M23" s="14" cm="1">
        <f t="array" ref="M23">INT(SUMPRODUCT(--ISNUMBER(SEARCH(supreme,C23)))&gt;0)</f>
        <v>0</v>
      </c>
      <c r="N23" s="14" cm="1">
        <f t="array" ref="N23">INT(SUMPRODUCT(--ISNUMBER(SEARCH(covid,C23)))&gt;0)</f>
        <v>0</v>
      </c>
      <c r="O23" s="14" cm="1">
        <f t="array" ref="O23">INT(SUMPRODUCT(--ISNUMBER(SEARCH(violent,C23)))&gt;0)</f>
        <v>0</v>
      </c>
      <c r="P23" s="14" cm="1">
        <f t="array" ref="P23">INT(SUMPRODUCT(--ISNUMBER(SEARCH(foreign,C23)))&gt;0)</f>
        <v>0</v>
      </c>
      <c r="Q23" s="14" cm="1">
        <f t="array" ref="Q23">INT(SUMPRODUCT(--ISNUMBER(SEARCH(gun,C23)))&gt;0)</f>
        <v>0</v>
      </c>
      <c r="R23" s="14" cm="1">
        <f t="array" ref="R23">INT(SUMPRODUCT(--ISNUMBER(SEARCH(race,C23)))&gt;0)</f>
        <v>0</v>
      </c>
      <c r="S23" s="14" cm="1">
        <f t="array" ref="S23">INT(SUMPRODUCT(--ISNUMBER(SEARCH(immigration,C23)))&gt;0)</f>
        <v>0</v>
      </c>
      <c r="T23" s="14" cm="1">
        <f t="array" ref="T23">INT(SUMPRODUCT(--ISNUMBER(SEARCH(econineq,C24)))&gt;0)</f>
        <v>0</v>
      </c>
      <c r="U23" s="14" cm="1">
        <f t="array" ref="U23">INT(SUMPRODUCT(--ISNUMBER(SEARCH(climate,C23)))&gt;0)</f>
        <v>0</v>
      </c>
      <c r="V23" s="14" cm="1">
        <f t="array" ref="V23">INT(SUMPRODUCT(--ISNUMBER(SEARCH(abortion,C23)))&gt;0)</f>
        <v>0</v>
      </c>
      <c r="W23" s="14" cm="1">
        <f t="array" ref="W23">INT(SUMPRODUCT(--ISNUMBER(SEARCH(trump,C23)))&gt;0)</f>
        <v>0</v>
      </c>
      <c r="X23" s="14" cm="1">
        <f t="array" ref="X23">INT(SUMPRODUCT(--ISNUMBER(SEARCH(voting,C23)))&gt;0)</f>
        <v>1</v>
      </c>
      <c r="Y23" s="14" cm="1">
        <f t="array" ref="Y23">INT(SUMPRODUCT(--ISNUMBER(SEARCH(democrattrigger,C23)))&gt;0)</f>
        <v>0</v>
      </c>
      <c r="Z23" s="14" cm="1">
        <f t="array" ref="Z23">INT(SUMPRODUCT(--ISNUMBER(SEARCH(bipartisan,C23)))&gt;0)</f>
        <v>0</v>
      </c>
      <c r="AA23" s="14">
        <f t="shared" si="0"/>
        <v>0</v>
      </c>
      <c r="AB23" s="14"/>
      <c r="AC23" s="30">
        <v>1</v>
      </c>
      <c r="AD23" s="37">
        <v>0</v>
      </c>
    </row>
    <row r="24" spans="1:30" x14ac:dyDescent="0.25">
      <c r="A24" s="36">
        <v>2177</v>
      </c>
      <c r="B24" s="14" t="s">
        <v>4379</v>
      </c>
      <c r="C24" s="14" t="s">
        <v>4380</v>
      </c>
      <c r="D24" s="17">
        <v>44137</v>
      </c>
      <c r="E24" s="14" t="s">
        <v>30</v>
      </c>
      <c r="F24" s="14">
        <v>118</v>
      </c>
      <c r="G24" s="14">
        <v>18</v>
      </c>
      <c r="H24" s="14">
        <v>11</v>
      </c>
      <c r="I24" s="14">
        <v>6</v>
      </c>
      <c r="J24" s="14" t="s">
        <v>204</v>
      </c>
      <c r="K24" s="14" cm="1">
        <f t="array" ref="K24">INT(SUMPRODUCT(--ISNUMBER(SEARCH(economy,C24)))&gt;0)</f>
        <v>0</v>
      </c>
      <c r="L24" s="14" cm="1">
        <f t="array" ref="L24">INT(SUMPRODUCT(--ISNUMBER(SEARCH(healthcare,C24)))&gt;0)</f>
        <v>1</v>
      </c>
      <c r="M24" s="14" cm="1">
        <f t="array" ref="M24">INT(SUMPRODUCT(--ISNUMBER(SEARCH(supreme,C24)))&gt;0)</f>
        <v>0</v>
      </c>
      <c r="N24" s="14" cm="1">
        <f t="array" ref="N24">INT(SUMPRODUCT(--ISNUMBER(SEARCH(covid,C24)))&gt;0)</f>
        <v>0</v>
      </c>
      <c r="O24" s="14" cm="1">
        <f t="array" ref="O24">INT(SUMPRODUCT(--ISNUMBER(SEARCH(violent,C24)))&gt;0)</f>
        <v>0</v>
      </c>
      <c r="P24" s="14" cm="1">
        <f t="array" ref="P24">INT(SUMPRODUCT(--ISNUMBER(SEARCH(foreign,C24)))&gt;0)</f>
        <v>0</v>
      </c>
      <c r="Q24" s="14" cm="1">
        <f t="array" ref="Q24">INT(SUMPRODUCT(--ISNUMBER(SEARCH(gun,C24)))&gt;0)</f>
        <v>0</v>
      </c>
      <c r="R24" s="14" cm="1">
        <f t="array" ref="R24">INT(SUMPRODUCT(--ISNUMBER(SEARCH(race,C24)))&gt;0)</f>
        <v>0</v>
      </c>
      <c r="S24" s="14" cm="1">
        <f t="array" ref="S24">INT(SUMPRODUCT(--ISNUMBER(SEARCH(immigration,C24)))&gt;0)</f>
        <v>0</v>
      </c>
      <c r="T24" s="14" cm="1">
        <f t="array" ref="T24">INT(SUMPRODUCT(--ISNUMBER(SEARCH(econineq,C25)))&gt;0)</f>
        <v>0</v>
      </c>
      <c r="U24" s="14" cm="1">
        <f t="array" ref="U24">INT(SUMPRODUCT(--ISNUMBER(SEARCH(climate,C24)))&gt;0)</f>
        <v>0</v>
      </c>
      <c r="V24" s="14" cm="1">
        <f t="array" ref="V24">INT(SUMPRODUCT(--ISNUMBER(SEARCH(abortion,C24)))&gt;0)</f>
        <v>0</v>
      </c>
      <c r="W24" s="14" cm="1">
        <f t="array" ref="W24">INT(SUMPRODUCT(--ISNUMBER(SEARCH(trump,C24)))&gt;0)</f>
        <v>0</v>
      </c>
      <c r="X24" s="14" cm="1">
        <f t="array" ref="X24">INT(SUMPRODUCT(--ISNUMBER(SEARCH(voting,C24)))&gt;0)</f>
        <v>0</v>
      </c>
      <c r="Y24" s="14" cm="1">
        <f t="array" ref="Y24">INT(SUMPRODUCT(--ISNUMBER(SEARCH(democrattrigger,C24)))&gt;0)</f>
        <v>0</v>
      </c>
      <c r="Z24" s="14" cm="1">
        <f t="array" ref="Z24">INT(SUMPRODUCT(--ISNUMBER(SEARCH(bipartisan,C24)))&gt;0)</f>
        <v>0</v>
      </c>
      <c r="AA24" s="14">
        <f t="shared" si="0"/>
        <v>0</v>
      </c>
      <c r="AB24" s="14"/>
      <c r="AC24" s="30" t="s">
        <v>223</v>
      </c>
      <c r="AD24" s="37" t="s">
        <v>223</v>
      </c>
    </row>
    <row r="25" spans="1:30" x14ac:dyDescent="0.25">
      <c r="A25" s="36">
        <v>2178</v>
      </c>
      <c r="B25" s="14" t="s">
        <v>4381</v>
      </c>
      <c r="C25" s="14" t="s">
        <v>4382</v>
      </c>
      <c r="D25" s="17">
        <v>44137</v>
      </c>
      <c r="E25" s="14" t="s">
        <v>30</v>
      </c>
      <c r="F25" s="14">
        <v>124</v>
      </c>
      <c r="G25" s="14">
        <v>18</v>
      </c>
      <c r="H25" s="14">
        <v>11</v>
      </c>
      <c r="I25" s="14">
        <v>6</v>
      </c>
      <c r="J25" s="14" t="s">
        <v>204</v>
      </c>
      <c r="K25" s="14" cm="1">
        <f t="array" ref="K25">INT(SUMPRODUCT(--ISNUMBER(SEARCH(economy,C25)))&gt;0)</f>
        <v>0</v>
      </c>
      <c r="L25" s="14" cm="1">
        <f t="array" ref="L25">INT(SUMPRODUCT(--ISNUMBER(SEARCH(healthcare,C25)))&gt;0)</f>
        <v>0</v>
      </c>
      <c r="M25" s="14" cm="1">
        <f t="array" ref="M25">INT(SUMPRODUCT(--ISNUMBER(SEARCH(supreme,C25)))&gt;0)</f>
        <v>0</v>
      </c>
      <c r="N25" s="14" cm="1">
        <f t="array" ref="N25">INT(SUMPRODUCT(--ISNUMBER(SEARCH(covid,C25)))&gt;0)</f>
        <v>0</v>
      </c>
      <c r="O25" s="14" cm="1">
        <f t="array" ref="O25">INT(SUMPRODUCT(--ISNUMBER(SEARCH(violent,C25)))&gt;0)</f>
        <v>0</v>
      </c>
      <c r="P25" s="14" cm="1">
        <f t="array" ref="P25">INT(SUMPRODUCT(--ISNUMBER(SEARCH(foreign,C25)))&gt;0)</f>
        <v>0</v>
      </c>
      <c r="Q25" s="14" cm="1">
        <f t="array" ref="Q25">INT(SUMPRODUCT(--ISNUMBER(SEARCH(gun,C25)))&gt;0)</f>
        <v>0</v>
      </c>
      <c r="R25" s="14" cm="1">
        <f t="array" ref="R25">INT(SUMPRODUCT(--ISNUMBER(SEARCH(race,C25)))&gt;0)</f>
        <v>0</v>
      </c>
      <c r="S25" s="14" cm="1">
        <f t="array" ref="S25">INT(SUMPRODUCT(--ISNUMBER(SEARCH(immigration,C25)))&gt;0)</f>
        <v>0</v>
      </c>
      <c r="T25" s="14" cm="1">
        <f t="array" ref="T25">INT(SUMPRODUCT(--ISNUMBER(SEARCH(econineq,C26)))&gt;0)</f>
        <v>1</v>
      </c>
      <c r="U25" s="14" cm="1">
        <f t="array" ref="U25">INT(SUMPRODUCT(--ISNUMBER(SEARCH(climate,C25)))&gt;0)</f>
        <v>0</v>
      </c>
      <c r="V25" s="14" cm="1">
        <f t="array" ref="V25">INT(SUMPRODUCT(--ISNUMBER(SEARCH(abortion,C25)))&gt;0)</f>
        <v>0</v>
      </c>
      <c r="W25" s="14" cm="1">
        <f t="array" ref="W25">INT(SUMPRODUCT(--ISNUMBER(SEARCH(trump,C25)))&gt;0)</f>
        <v>0</v>
      </c>
      <c r="X25" s="14" cm="1">
        <f t="array" ref="X25">INT(SUMPRODUCT(--ISNUMBER(SEARCH(voting,C25)))&gt;0)</f>
        <v>1</v>
      </c>
      <c r="Y25" s="14" cm="1">
        <f t="array" ref="Y25">INT(SUMPRODUCT(--ISNUMBER(SEARCH(democrattrigger,C25)))&gt;0)</f>
        <v>0</v>
      </c>
      <c r="Z25" s="14" cm="1">
        <f t="array" ref="Z25">INT(SUMPRODUCT(--ISNUMBER(SEARCH(bipartisan,C25)))&gt;0)</f>
        <v>0</v>
      </c>
      <c r="AA25" s="14">
        <f t="shared" si="0"/>
        <v>0</v>
      </c>
      <c r="AB25" s="14"/>
      <c r="AC25" s="30">
        <v>1</v>
      </c>
      <c r="AD25" s="37">
        <v>0</v>
      </c>
    </row>
    <row r="26" spans="1:30" x14ac:dyDescent="0.25">
      <c r="A26" s="36">
        <v>2179</v>
      </c>
      <c r="B26" s="14" t="s">
        <v>4383</v>
      </c>
      <c r="C26" s="14" t="s">
        <v>4384</v>
      </c>
      <c r="D26" s="17">
        <v>44137</v>
      </c>
      <c r="E26" s="14" t="s">
        <v>30</v>
      </c>
      <c r="F26" s="14">
        <v>94</v>
      </c>
      <c r="G26" s="14">
        <v>17</v>
      </c>
      <c r="H26" s="14">
        <v>11</v>
      </c>
      <c r="I26" s="14">
        <v>6</v>
      </c>
      <c r="J26" s="14" t="s">
        <v>204</v>
      </c>
      <c r="K26" s="14" cm="1">
        <f t="array" ref="K26">INT(SUMPRODUCT(--ISNUMBER(SEARCH(economy,C26)))&gt;0)</f>
        <v>0</v>
      </c>
      <c r="L26" s="14" cm="1">
        <f t="array" ref="L26">INT(SUMPRODUCT(--ISNUMBER(SEARCH(healthcare,C26)))&gt;0)</f>
        <v>1</v>
      </c>
      <c r="M26" s="14" cm="1">
        <f t="array" ref="M26">INT(SUMPRODUCT(--ISNUMBER(SEARCH(supreme,C26)))&gt;0)</f>
        <v>0</v>
      </c>
      <c r="N26" s="14" cm="1">
        <f t="array" ref="N26">INT(SUMPRODUCT(--ISNUMBER(SEARCH(covid,C26)))&gt;0)</f>
        <v>0</v>
      </c>
      <c r="O26" s="14" cm="1">
        <f t="array" ref="O26">INT(SUMPRODUCT(--ISNUMBER(SEARCH(violent,C26)))&gt;0)</f>
        <v>0</v>
      </c>
      <c r="P26" s="14" cm="1">
        <f t="array" ref="P26">INT(SUMPRODUCT(--ISNUMBER(SEARCH(foreign,C26)))&gt;0)</f>
        <v>0</v>
      </c>
      <c r="Q26" s="14" cm="1">
        <f t="array" ref="Q26">INT(SUMPRODUCT(--ISNUMBER(SEARCH(gun,C26)))&gt;0)</f>
        <v>0</v>
      </c>
      <c r="R26" s="14" cm="1">
        <f t="array" ref="R26">INT(SUMPRODUCT(--ISNUMBER(SEARCH(race,C26)))&gt;0)</f>
        <v>0</v>
      </c>
      <c r="S26" s="14" cm="1">
        <f t="array" ref="S26">INT(SUMPRODUCT(--ISNUMBER(SEARCH(immigration,C26)))&gt;0)</f>
        <v>0</v>
      </c>
      <c r="T26" s="14" cm="1">
        <f t="array" ref="T26">INT(SUMPRODUCT(--ISNUMBER(SEARCH(econineq,C27)))&gt;0)</f>
        <v>0</v>
      </c>
      <c r="U26" s="14" cm="1">
        <f t="array" ref="U26">INT(SUMPRODUCT(--ISNUMBER(SEARCH(climate,C26)))&gt;0)</f>
        <v>0</v>
      </c>
      <c r="V26" s="14" cm="1">
        <f t="array" ref="V26">INT(SUMPRODUCT(--ISNUMBER(SEARCH(abortion,C26)))&gt;0)</f>
        <v>0</v>
      </c>
      <c r="W26" s="14" cm="1">
        <f t="array" ref="W26">INT(SUMPRODUCT(--ISNUMBER(SEARCH(trump,C26)))&gt;0)</f>
        <v>0</v>
      </c>
      <c r="X26" s="14" cm="1">
        <f t="array" ref="X26">INT(SUMPRODUCT(--ISNUMBER(SEARCH(voting,C26)))&gt;0)</f>
        <v>1</v>
      </c>
      <c r="Y26" s="14" cm="1">
        <f t="array" ref="Y26">INT(SUMPRODUCT(--ISNUMBER(SEARCH(democrattrigger,C26)))&gt;0)</f>
        <v>0</v>
      </c>
      <c r="Z26" s="14" cm="1">
        <f t="array" ref="Z26">INT(SUMPRODUCT(--ISNUMBER(SEARCH(bipartisan,C26)))&gt;0)</f>
        <v>0</v>
      </c>
      <c r="AA26" s="14">
        <f t="shared" si="0"/>
        <v>0</v>
      </c>
      <c r="AB26" s="14"/>
      <c r="AC26" s="30">
        <v>1</v>
      </c>
      <c r="AD26" s="37">
        <v>0</v>
      </c>
    </row>
    <row r="27" spans="1:30" x14ac:dyDescent="0.25">
      <c r="A27" s="36">
        <v>2180</v>
      </c>
      <c r="B27" s="14" t="s">
        <v>4385</v>
      </c>
      <c r="C27" s="14" t="s">
        <v>4386</v>
      </c>
      <c r="D27" s="17">
        <v>44137</v>
      </c>
      <c r="E27" s="14" t="s">
        <v>30</v>
      </c>
      <c r="F27" s="14">
        <v>57</v>
      </c>
      <c r="G27" s="14">
        <v>10</v>
      </c>
      <c r="H27" s="14">
        <v>11</v>
      </c>
      <c r="I27" s="14">
        <v>6</v>
      </c>
      <c r="J27" s="14" t="s">
        <v>204</v>
      </c>
      <c r="K27" s="14" cm="1">
        <f t="array" ref="K27">INT(SUMPRODUCT(--ISNUMBER(SEARCH(economy,C27)))&gt;0)</f>
        <v>0</v>
      </c>
      <c r="L27" s="14" cm="1">
        <f t="array" ref="L27">INT(SUMPRODUCT(--ISNUMBER(SEARCH(healthcare,C27)))&gt;0)</f>
        <v>0</v>
      </c>
      <c r="M27" s="14" cm="1">
        <f t="array" ref="M27">INT(SUMPRODUCT(--ISNUMBER(SEARCH(supreme,C27)))&gt;0)</f>
        <v>0</v>
      </c>
      <c r="N27" s="14" cm="1">
        <f t="array" ref="N27">INT(SUMPRODUCT(--ISNUMBER(SEARCH(covid,C27)))&gt;0)</f>
        <v>0</v>
      </c>
      <c r="O27" s="14" cm="1">
        <f t="array" ref="O27">INT(SUMPRODUCT(--ISNUMBER(SEARCH(violent,C27)))&gt;0)</f>
        <v>0</v>
      </c>
      <c r="P27" s="14" cm="1">
        <f t="array" ref="P27">INT(SUMPRODUCT(--ISNUMBER(SEARCH(foreign,C27)))&gt;0)</f>
        <v>0</v>
      </c>
      <c r="Q27" s="14" cm="1">
        <f t="array" ref="Q27">INT(SUMPRODUCT(--ISNUMBER(SEARCH(gun,C27)))&gt;0)</f>
        <v>0</v>
      </c>
      <c r="R27" s="14" cm="1">
        <f t="array" ref="R27">INT(SUMPRODUCT(--ISNUMBER(SEARCH(race,C27)))&gt;0)</f>
        <v>0</v>
      </c>
      <c r="S27" s="14" cm="1">
        <f t="array" ref="S27">INT(SUMPRODUCT(--ISNUMBER(SEARCH(immigration,C27)))&gt;0)</f>
        <v>0</v>
      </c>
      <c r="T27" s="14" cm="1">
        <f t="array" ref="T27">INT(SUMPRODUCT(--ISNUMBER(SEARCH(econineq,C28)))&gt;0)</f>
        <v>0</v>
      </c>
      <c r="U27" s="14" cm="1">
        <f t="array" ref="U27">INT(SUMPRODUCT(--ISNUMBER(SEARCH(climate,C27)))&gt;0)</f>
        <v>0</v>
      </c>
      <c r="V27" s="14" cm="1">
        <f t="array" ref="V27">INT(SUMPRODUCT(--ISNUMBER(SEARCH(abortion,C27)))&gt;0)</f>
        <v>0</v>
      </c>
      <c r="W27" s="14" cm="1">
        <f t="array" ref="W27">INT(SUMPRODUCT(--ISNUMBER(SEARCH(trump,C27)))&gt;0)</f>
        <v>0</v>
      </c>
      <c r="X27" s="14" cm="1">
        <f t="array" ref="X27">INT(SUMPRODUCT(--ISNUMBER(SEARCH(voting,C27)))&gt;0)</f>
        <v>1</v>
      </c>
      <c r="Y27" s="14" cm="1">
        <f t="array" ref="Y27">INT(SUMPRODUCT(--ISNUMBER(SEARCH(democrattrigger,C27)))&gt;0)</f>
        <v>0</v>
      </c>
      <c r="Z27" s="14" cm="1">
        <f t="array" ref="Z27">INT(SUMPRODUCT(--ISNUMBER(SEARCH(bipartisan,C27)))&gt;0)</f>
        <v>0</v>
      </c>
      <c r="AA27" s="14">
        <f t="shared" si="0"/>
        <v>0</v>
      </c>
      <c r="AB27" s="14"/>
      <c r="AC27" s="30">
        <v>1</v>
      </c>
      <c r="AD27" s="37">
        <v>0</v>
      </c>
    </row>
    <row r="28" spans="1:30" x14ac:dyDescent="0.25">
      <c r="A28" s="36">
        <v>2181</v>
      </c>
      <c r="B28" s="14" t="s">
        <v>4387</v>
      </c>
      <c r="C28" s="14" t="s">
        <v>4388</v>
      </c>
      <c r="D28" s="17">
        <v>44137</v>
      </c>
      <c r="E28" s="14" t="s">
        <v>30</v>
      </c>
      <c r="F28" s="14">
        <v>430</v>
      </c>
      <c r="G28" s="14">
        <v>65</v>
      </c>
      <c r="H28" s="14">
        <v>11</v>
      </c>
      <c r="I28" s="14">
        <v>6</v>
      </c>
      <c r="J28" s="14" t="s">
        <v>204</v>
      </c>
      <c r="K28" s="14" cm="1">
        <f t="array" ref="K28">INT(SUMPRODUCT(--ISNUMBER(SEARCH(economy,C28)))&gt;0)</f>
        <v>0</v>
      </c>
      <c r="L28" s="14" cm="1">
        <f t="array" ref="L28">INT(SUMPRODUCT(--ISNUMBER(SEARCH(healthcare,C28)))&gt;0)</f>
        <v>0</v>
      </c>
      <c r="M28" s="14" cm="1">
        <f t="array" ref="M28">INT(SUMPRODUCT(--ISNUMBER(SEARCH(supreme,C28)))&gt;0)</f>
        <v>0</v>
      </c>
      <c r="N28" s="14" cm="1">
        <f t="array" ref="N28">INT(SUMPRODUCT(--ISNUMBER(SEARCH(covid,C28)))&gt;0)</f>
        <v>0</v>
      </c>
      <c r="O28" s="14" cm="1">
        <f t="array" ref="O28">INT(SUMPRODUCT(--ISNUMBER(SEARCH(violent,C28)))&gt;0)</f>
        <v>0</v>
      </c>
      <c r="P28" s="14" cm="1">
        <f t="array" ref="P28">INT(SUMPRODUCT(--ISNUMBER(SEARCH(foreign,C28)))&gt;0)</f>
        <v>0</v>
      </c>
      <c r="Q28" s="14" cm="1">
        <f t="array" ref="Q28">INT(SUMPRODUCT(--ISNUMBER(SEARCH(gun,C28)))&gt;0)</f>
        <v>0</v>
      </c>
      <c r="R28" s="14" cm="1">
        <f t="array" ref="R28">INT(SUMPRODUCT(--ISNUMBER(SEARCH(race,C28)))&gt;0)</f>
        <v>0</v>
      </c>
      <c r="S28" s="14" cm="1">
        <f t="array" ref="S28">INT(SUMPRODUCT(--ISNUMBER(SEARCH(immigration,C28)))&gt;0)</f>
        <v>0</v>
      </c>
      <c r="T28" s="14" cm="1">
        <f t="array" ref="T28">INT(SUMPRODUCT(--ISNUMBER(SEARCH(econineq,C29)))&gt;0)</f>
        <v>0</v>
      </c>
      <c r="U28" s="14" cm="1">
        <f t="array" ref="U28">INT(SUMPRODUCT(--ISNUMBER(SEARCH(climate,C28)))&gt;0)</f>
        <v>0</v>
      </c>
      <c r="V28" s="14" cm="1">
        <f t="array" ref="V28">INT(SUMPRODUCT(--ISNUMBER(SEARCH(abortion,C28)))&gt;0)</f>
        <v>0</v>
      </c>
      <c r="W28" s="14" cm="1">
        <f t="array" ref="W28">INT(SUMPRODUCT(--ISNUMBER(SEARCH(trump,C28)))&gt;0)</f>
        <v>0</v>
      </c>
      <c r="X28" s="14" cm="1">
        <f t="array" ref="X28">INT(SUMPRODUCT(--ISNUMBER(SEARCH(voting,C28)))&gt;0)</f>
        <v>1</v>
      </c>
      <c r="Y28" s="14" cm="1">
        <f t="array" ref="Y28">INT(SUMPRODUCT(--ISNUMBER(SEARCH(democrattrigger,C28)))&gt;0)</f>
        <v>0</v>
      </c>
      <c r="Z28" s="14" cm="1">
        <f t="array" ref="Z28">INT(SUMPRODUCT(--ISNUMBER(SEARCH(bipartisan,C28)))&gt;0)</f>
        <v>0</v>
      </c>
      <c r="AA28" s="14">
        <f t="shared" si="0"/>
        <v>0</v>
      </c>
      <c r="AB28" s="14"/>
      <c r="AC28" s="30" t="s">
        <v>223</v>
      </c>
      <c r="AD28" s="37" t="s">
        <v>223</v>
      </c>
    </row>
    <row r="29" spans="1:30" x14ac:dyDescent="0.25">
      <c r="A29" s="36">
        <v>2182</v>
      </c>
      <c r="B29" s="14" t="s">
        <v>4389</v>
      </c>
      <c r="C29" s="14" t="s">
        <v>4390</v>
      </c>
      <c r="D29" s="17">
        <v>44137</v>
      </c>
      <c r="E29" s="14" t="s">
        <v>30</v>
      </c>
      <c r="F29" s="14">
        <v>72</v>
      </c>
      <c r="G29" s="14">
        <v>13</v>
      </c>
      <c r="H29" s="14">
        <v>11</v>
      </c>
      <c r="I29" s="14">
        <v>6</v>
      </c>
      <c r="J29" s="14" t="s">
        <v>204</v>
      </c>
      <c r="K29" s="14" cm="1">
        <f t="array" ref="K29">INT(SUMPRODUCT(--ISNUMBER(SEARCH(economy,C29)))&gt;0)</f>
        <v>0</v>
      </c>
      <c r="L29" s="14" cm="1">
        <f t="array" ref="L29">INT(SUMPRODUCT(--ISNUMBER(SEARCH(healthcare,C29)))&gt;0)</f>
        <v>0</v>
      </c>
      <c r="M29" s="14" cm="1">
        <f t="array" ref="M29">INT(SUMPRODUCT(--ISNUMBER(SEARCH(supreme,C29)))&gt;0)</f>
        <v>0</v>
      </c>
      <c r="N29" s="14" cm="1">
        <f t="array" ref="N29">INT(SUMPRODUCT(--ISNUMBER(SEARCH(covid,C29)))&gt;0)</f>
        <v>0</v>
      </c>
      <c r="O29" s="14" cm="1">
        <f t="array" ref="O29">INT(SUMPRODUCT(--ISNUMBER(SEARCH(violent,C29)))&gt;0)</f>
        <v>0</v>
      </c>
      <c r="P29" s="14" cm="1">
        <f t="array" ref="P29">INT(SUMPRODUCT(--ISNUMBER(SEARCH(foreign,C29)))&gt;0)</f>
        <v>0</v>
      </c>
      <c r="Q29" s="14" cm="1">
        <f t="array" ref="Q29">INT(SUMPRODUCT(--ISNUMBER(SEARCH(gun,C29)))&gt;0)</f>
        <v>0</v>
      </c>
      <c r="R29" s="14" cm="1">
        <f t="array" ref="R29">INT(SUMPRODUCT(--ISNUMBER(SEARCH(race,C29)))&gt;0)</f>
        <v>0</v>
      </c>
      <c r="S29" s="14" cm="1">
        <f t="array" ref="S29">INT(SUMPRODUCT(--ISNUMBER(SEARCH(immigration,C29)))&gt;0)</f>
        <v>0</v>
      </c>
      <c r="T29" s="14" cm="1">
        <f t="array" ref="T29">INT(SUMPRODUCT(--ISNUMBER(SEARCH(econineq,C30)))&gt;0)</f>
        <v>0</v>
      </c>
      <c r="U29" s="14" cm="1">
        <f t="array" ref="U29">INT(SUMPRODUCT(--ISNUMBER(SEARCH(climate,C29)))&gt;0)</f>
        <v>0</v>
      </c>
      <c r="V29" s="14" cm="1">
        <f t="array" ref="V29">INT(SUMPRODUCT(--ISNUMBER(SEARCH(abortion,C29)))&gt;0)</f>
        <v>0</v>
      </c>
      <c r="W29" s="14" cm="1">
        <f t="array" ref="W29">INT(SUMPRODUCT(--ISNUMBER(SEARCH(trump,C29)))&gt;0)</f>
        <v>0</v>
      </c>
      <c r="X29" s="14" cm="1">
        <f t="array" ref="X29">INT(SUMPRODUCT(--ISNUMBER(SEARCH(voting,C29)))&gt;0)</f>
        <v>0</v>
      </c>
      <c r="Y29" s="14" cm="1">
        <f t="array" ref="Y29">INT(SUMPRODUCT(--ISNUMBER(SEARCH(democrattrigger,C29)))&gt;0)</f>
        <v>0</v>
      </c>
      <c r="Z29" s="14" cm="1">
        <f t="array" ref="Z29">INT(SUMPRODUCT(--ISNUMBER(SEARCH(bipartisan,C29)))&gt;0)</f>
        <v>0</v>
      </c>
      <c r="AA29" s="14">
        <f t="shared" si="0"/>
        <v>1</v>
      </c>
      <c r="AB29" s="14"/>
      <c r="AC29" s="30">
        <v>0</v>
      </c>
      <c r="AD29" s="37">
        <v>1</v>
      </c>
    </row>
    <row r="30" spans="1:30" x14ac:dyDescent="0.25">
      <c r="A30" s="36">
        <v>2183</v>
      </c>
      <c r="B30" s="14" t="s">
        <v>4391</v>
      </c>
      <c r="C30" s="14" t="s">
        <v>4392</v>
      </c>
      <c r="D30" s="17">
        <v>44137</v>
      </c>
      <c r="E30" s="14" t="s">
        <v>30</v>
      </c>
      <c r="F30" s="14">
        <v>120</v>
      </c>
      <c r="G30" s="14">
        <v>24</v>
      </c>
      <c r="H30" s="14">
        <v>11</v>
      </c>
      <c r="I30" s="14">
        <v>6</v>
      </c>
      <c r="J30" s="14" t="s">
        <v>204</v>
      </c>
      <c r="K30" s="14" cm="1">
        <f t="array" ref="K30">INT(SUMPRODUCT(--ISNUMBER(SEARCH(economy,C30)))&gt;0)</f>
        <v>0</v>
      </c>
      <c r="L30" s="14" cm="1">
        <f t="array" ref="L30">INT(SUMPRODUCT(--ISNUMBER(SEARCH(healthcare,C30)))&gt;0)</f>
        <v>0</v>
      </c>
      <c r="M30" s="14" cm="1">
        <f t="array" ref="M30">INT(SUMPRODUCT(--ISNUMBER(SEARCH(supreme,C30)))&gt;0)</f>
        <v>0</v>
      </c>
      <c r="N30" s="14" cm="1">
        <f t="array" ref="N30">INT(SUMPRODUCT(--ISNUMBER(SEARCH(covid,C30)))&gt;0)</f>
        <v>0</v>
      </c>
      <c r="O30" s="14" cm="1">
        <f t="array" ref="O30">INT(SUMPRODUCT(--ISNUMBER(SEARCH(violent,C30)))&gt;0)</f>
        <v>0</v>
      </c>
      <c r="P30" s="14" cm="1">
        <f t="array" ref="P30">INT(SUMPRODUCT(--ISNUMBER(SEARCH(foreign,C30)))&gt;0)</f>
        <v>1</v>
      </c>
      <c r="Q30" s="14" cm="1">
        <f t="array" ref="Q30">INT(SUMPRODUCT(--ISNUMBER(SEARCH(gun,C30)))&gt;0)</f>
        <v>0</v>
      </c>
      <c r="R30" s="14" cm="1">
        <f t="array" ref="R30">INT(SUMPRODUCT(--ISNUMBER(SEARCH(race,C30)))&gt;0)</f>
        <v>0</v>
      </c>
      <c r="S30" s="14" cm="1">
        <f t="array" ref="S30">INT(SUMPRODUCT(--ISNUMBER(SEARCH(immigration,C30)))&gt;0)</f>
        <v>0</v>
      </c>
      <c r="T30" s="14" cm="1">
        <f t="array" ref="T30">INT(SUMPRODUCT(--ISNUMBER(SEARCH(econineq,C31)))&gt;0)</f>
        <v>0</v>
      </c>
      <c r="U30" s="14" cm="1">
        <f t="array" ref="U30">INT(SUMPRODUCT(--ISNUMBER(SEARCH(climate,C30)))&gt;0)</f>
        <v>0</v>
      </c>
      <c r="V30" s="14" cm="1">
        <f t="array" ref="V30">INT(SUMPRODUCT(--ISNUMBER(SEARCH(abortion,C30)))&gt;0)</f>
        <v>0</v>
      </c>
      <c r="W30" s="14" cm="1">
        <f t="array" ref="W30">INT(SUMPRODUCT(--ISNUMBER(SEARCH(trump,C30)))&gt;0)</f>
        <v>0</v>
      </c>
      <c r="X30" s="14" cm="1">
        <f t="array" ref="X30">INT(SUMPRODUCT(--ISNUMBER(SEARCH(voting,C30)))&gt;0)</f>
        <v>0</v>
      </c>
      <c r="Y30" s="14" cm="1">
        <f t="array" ref="Y30">INT(SUMPRODUCT(--ISNUMBER(SEARCH(democrattrigger,C30)))&gt;0)</f>
        <v>0</v>
      </c>
      <c r="Z30" s="14" cm="1">
        <f t="array" ref="Z30">INT(SUMPRODUCT(--ISNUMBER(SEARCH(bipartisan,C30)))&gt;0)</f>
        <v>0</v>
      </c>
      <c r="AA30" s="14">
        <f t="shared" si="0"/>
        <v>0</v>
      </c>
      <c r="AB30" s="14"/>
      <c r="AC30" s="30" t="s">
        <v>223</v>
      </c>
      <c r="AD30" s="37" t="s">
        <v>223</v>
      </c>
    </row>
    <row r="31" spans="1:30" x14ac:dyDescent="0.25">
      <c r="A31" s="36">
        <v>2184</v>
      </c>
      <c r="B31" s="14" t="s">
        <v>4393</v>
      </c>
      <c r="C31" s="14" t="s">
        <v>4394</v>
      </c>
      <c r="D31" s="17">
        <v>44137</v>
      </c>
      <c r="E31" s="14" t="s">
        <v>30</v>
      </c>
      <c r="F31" s="14">
        <v>59</v>
      </c>
      <c r="G31" s="14">
        <v>11</v>
      </c>
      <c r="H31" s="14">
        <v>11</v>
      </c>
      <c r="I31" s="14">
        <v>6</v>
      </c>
      <c r="J31" s="14" t="s">
        <v>204</v>
      </c>
      <c r="K31" s="14" cm="1">
        <f t="array" ref="K31">INT(SUMPRODUCT(--ISNUMBER(SEARCH(economy,C31)))&gt;0)</f>
        <v>0</v>
      </c>
      <c r="L31" s="14" cm="1">
        <f t="array" ref="L31">INT(SUMPRODUCT(--ISNUMBER(SEARCH(healthcare,C31)))&gt;0)</f>
        <v>0</v>
      </c>
      <c r="M31" s="14" cm="1">
        <f t="array" ref="M31">INT(SUMPRODUCT(--ISNUMBER(SEARCH(supreme,C31)))&gt;0)</f>
        <v>0</v>
      </c>
      <c r="N31" s="14" cm="1">
        <f t="array" ref="N31">INT(SUMPRODUCT(--ISNUMBER(SEARCH(covid,C31)))&gt;0)</f>
        <v>0</v>
      </c>
      <c r="O31" s="14" cm="1">
        <f t="array" ref="O31">INT(SUMPRODUCT(--ISNUMBER(SEARCH(violent,C31)))&gt;0)</f>
        <v>0</v>
      </c>
      <c r="P31" s="14" cm="1">
        <f t="array" ref="P31">INT(SUMPRODUCT(--ISNUMBER(SEARCH(foreign,C31)))&gt;0)</f>
        <v>0</v>
      </c>
      <c r="Q31" s="14" cm="1">
        <f t="array" ref="Q31">INT(SUMPRODUCT(--ISNUMBER(SEARCH(gun,C31)))&gt;0)</f>
        <v>0</v>
      </c>
      <c r="R31" s="14" cm="1">
        <f t="array" ref="R31">INT(SUMPRODUCT(--ISNUMBER(SEARCH(race,C31)))&gt;0)</f>
        <v>0</v>
      </c>
      <c r="S31" s="14" cm="1">
        <f t="array" ref="S31">INT(SUMPRODUCT(--ISNUMBER(SEARCH(immigration,C31)))&gt;0)</f>
        <v>0</v>
      </c>
      <c r="T31" s="14" cm="1">
        <f t="array" ref="T31">INT(SUMPRODUCT(--ISNUMBER(SEARCH(econineq,C32)))&gt;0)</f>
        <v>0</v>
      </c>
      <c r="U31" s="14" cm="1">
        <f t="array" ref="U31">INT(SUMPRODUCT(--ISNUMBER(SEARCH(climate,C31)))&gt;0)</f>
        <v>0</v>
      </c>
      <c r="V31" s="14" cm="1">
        <f t="array" ref="V31">INT(SUMPRODUCT(--ISNUMBER(SEARCH(abortion,C31)))&gt;0)</f>
        <v>1</v>
      </c>
      <c r="W31" s="14" cm="1">
        <f t="array" ref="W31">INT(SUMPRODUCT(--ISNUMBER(SEARCH(trump,C31)))&gt;0)</f>
        <v>0</v>
      </c>
      <c r="X31" s="14" cm="1">
        <f t="array" ref="X31">INT(SUMPRODUCT(--ISNUMBER(SEARCH(voting,C31)))&gt;0)</f>
        <v>1</v>
      </c>
      <c r="Y31" s="14" cm="1">
        <f t="array" ref="Y31">INT(SUMPRODUCT(--ISNUMBER(SEARCH(democrattrigger,C31)))&gt;0)</f>
        <v>0</v>
      </c>
      <c r="Z31" s="14" cm="1">
        <f t="array" ref="Z31">INT(SUMPRODUCT(--ISNUMBER(SEARCH(bipartisan,C31)))&gt;0)</f>
        <v>0</v>
      </c>
      <c r="AA31" s="14">
        <f t="shared" si="0"/>
        <v>0</v>
      </c>
      <c r="AB31" s="14"/>
      <c r="AC31" s="30">
        <v>1</v>
      </c>
      <c r="AD31" s="37">
        <v>0</v>
      </c>
    </row>
    <row r="32" spans="1:30" x14ac:dyDescent="0.25">
      <c r="A32" s="36">
        <v>2185</v>
      </c>
      <c r="B32" s="14" t="s">
        <v>4395</v>
      </c>
      <c r="C32" s="14" t="s">
        <v>4396</v>
      </c>
      <c r="D32" s="17">
        <v>44137</v>
      </c>
      <c r="E32" s="14" t="s">
        <v>30</v>
      </c>
      <c r="F32" s="14">
        <v>78</v>
      </c>
      <c r="G32" s="14">
        <v>14</v>
      </c>
      <c r="H32" s="14">
        <v>11</v>
      </c>
      <c r="I32" s="14">
        <v>6</v>
      </c>
      <c r="J32" s="14" t="s">
        <v>204</v>
      </c>
      <c r="K32" s="14" cm="1">
        <f t="array" ref="K32">INT(SUMPRODUCT(--ISNUMBER(SEARCH(economy,C32)))&gt;0)</f>
        <v>0</v>
      </c>
      <c r="L32" s="14" cm="1">
        <f t="array" ref="L32">INT(SUMPRODUCT(--ISNUMBER(SEARCH(healthcare,C32)))&gt;0)</f>
        <v>0</v>
      </c>
      <c r="M32" s="14" cm="1">
        <f t="array" ref="M32">INT(SUMPRODUCT(--ISNUMBER(SEARCH(supreme,C32)))&gt;0)</f>
        <v>0</v>
      </c>
      <c r="N32" s="14" cm="1">
        <f t="array" ref="N32">INT(SUMPRODUCT(--ISNUMBER(SEARCH(covid,C32)))&gt;0)</f>
        <v>0</v>
      </c>
      <c r="O32" s="14" cm="1">
        <f t="array" ref="O32">INT(SUMPRODUCT(--ISNUMBER(SEARCH(violent,C32)))&gt;0)</f>
        <v>0</v>
      </c>
      <c r="P32" s="14" cm="1">
        <f t="array" ref="P32">INT(SUMPRODUCT(--ISNUMBER(SEARCH(foreign,C32)))&gt;0)</f>
        <v>0</v>
      </c>
      <c r="Q32" s="14" cm="1">
        <f t="array" ref="Q32">INT(SUMPRODUCT(--ISNUMBER(SEARCH(gun,C32)))&gt;0)</f>
        <v>0</v>
      </c>
      <c r="R32" s="14" cm="1">
        <f t="array" ref="R32">INT(SUMPRODUCT(--ISNUMBER(SEARCH(race,C32)))&gt;0)</f>
        <v>0</v>
      </c>
      <c r="S32" s="14" cm="1">
        <f t="array" ref="S32">INT(SUMPRODUCT(--ISNUMBER(SEARCH(immigration,C32)))&gt;0)</f>
        <v>0</v>
      </c>
      <c r="T32" s="14" cm="1">
        <f t="array" ref="T32">INT(SUMPRODUCT(--ISNUMBER(SEARCH(econineq,C33)))&gt;0)</f>
        <v>0</v>
      </c>
      <c r="U32" s="14" cm="1">
        <f t="array" ref="U32">INT(SUMPRODUCT(--ISNUMBER(SEARCH(climate,C32)))&gt;0)</f>
        <v>0</v>
      </c>
      <c r="V32" s="14" cm="1">
        <f t="array" ref="V32">INT(SUMPRODUCT(--ISNUMBER(SEARCH(abortion,C32)))&gt;0)</f>
        <v>0</v>
      </c>
      <c r="W32" s="14" cm="1">
        <f t="array" ref="W32">INT(SUMPRODUCT(--ISNUMBER(SEARCH(trump,C32)))&gt;0)</f>
        <v>0</v>
      </c>
      <c r="X32" s="14" cm="1">
        <f t="array" ref="X32">INT(SUMPRODUCT(--ISNUMBER(SEARCH(voting,C32)))&gt;0)</f>
        <v>1</v>
      </c>
      <c r="Y32" s="14" cm="1">
        <f t="array" ref="Y32">INT(SUMPRODUCT(--ISNUMBER(SEARCH(democrattrigger,C32)))&gt;0)</f>
        <v>0</v>
      </c>
      <c r="Z32" s="14" cm="1">
        <f t="array" ref="Z32">INT(SUMPRODUCT(--ISNUMBER(SEARCH(bipartisan,C32)))&gt;0)</f>
        <v>0</v>
      </c>
      <c r="AA32" s="14">
        <f t="shared" si="0"/>
        <v>0</v>
      </c>
      <c r="AB32" s="14"/>
      <c r="AC32" s="30">
        <v>0</v>
      </c>
      <c r="AD32" s="37">
        <v>1</v>
      </c>
    </row>
    <row r="33" spans="1:30" x14ac:dyDescent="0.25">
      <c r="A33" s="36">
        <v>2186</v>
      </c>
      <c r="B33" s="14" t="s">
        <v>4397</v>
      </c>
      <c r="C33" s="14" t="s">
        <v>4398</v>
      </c>
      <c r="D33" s="17">
        <v>44137</v>
      </c>
      <c r="E33" s="14" t="s">
        <v>30</v>
      </c>
      <c r="F33" s="14">
        <v>171</v>
      </c>
      <c r="G33" s="14">
        <v>24</v>
      </c>
      <c r="H33" s="14">
        <v>11</v>
      </c>
      <c r="I33" s="14">
        <v>6</v>
      </c>
      <c r="J33" s="14" t="s">
        <v>204</v>
      </c>
      <c r="K33" s="14" cm="1">
        <f t="array" ref="K33">INT(SUMPRODUCT(--ISNUMBER(SEARCH(economy,C33)))&gt;0)</f>
        <v>0</v>
      </c>
      <c r="L33" s="14" cm="1">
        <f t="array" ref="L33">INT(SUMPRODUCT(--ISNUMBER(SEARCH(healthcare,C33)))&gt;0)</f>
        <v>0</v>
      </c>
      <c r="M33" s="14" cm="1">
        <f t="array" ref="M33">INT(SUMPRODUCT(--ISNUMBER(SEARCH(supreme,C33)))&gt;0)</f>
        <v>0</v>
      </c>
      <c r="N33" s="14" cm="1">
        <f t="array" ref="N33">INT(SUMPRODUCT(--ISNUMBER(SEARCH(covid,C33)))&gt;0)</f>
        <v>0</v>
      </c>
      <c r="O33" s="14" cm="1">
        <f t="array" ref="O33">INT(SUMPRODUCT(--ISNUMBER(SEARCH(violent,C33)))&gt;0)</f>
        <v>0</v>
      </c>
      <c r="P33" s="14" cm="1">
        <f t="array" ref="P33">INT(SUMPRODUCT(--ISNUMBER(SEARCH(foreign,C33)))&gt;0)</f>
        <v>0</v>
      </c>
      <c r="Q33" s="14" cm="1">
        <f t="array" ref="Q33">INT(SUMPRODUCT(--ISNUMBER(SEARCH(gun,C33)))&gt;0)</f>
        <v>0</v>
      </c>
      <c r="R33" s="14" cm="1">
        <f t="array" ref="R33">INT(SUMPRODUCT(--ISNUMBER(SEARCH(race,C33)))&gt;0)</f>
        <v>0</v>
      </c>
      <c r="S33" s="14" cm="1">
        <f t="array" ref="S33">INT(SUMPRODUCT(--ISNUMBER(SEARCH(immigration,C33)))&gt;0)</f>
        <v>0</v>
      </c>
      <c r="T33" s="14" cm="1">
        <f t="array" ref="T33">INT(SUMPRODUCT(--ISNUMBER(SEARCH(econineq,C34)))&gt;0)</f>
        <v>0</v>
      </c>
      <c r="U33" s="14" cm="1">
        <f t="array" ref="U33">INT(SUMPRODUCT(--ISNUMBER(SEARCH(climate,C33)))&gt;0)</f>
        <v>1</v>
      </c>
      <c r="V33" s="14" cm="1">
        <f t="array" ref="V33">INT(SUMPRODUCT(--ISNUMBER(SEARCH(abortion,C33)))&gt;0)</f>
        <v>0</v>
      </c>
      <c r="W33" s="14" cm="1">
        <f t="array" ref="W33">INT(SUMPRODUCT(--ISNUMBER(SEARCH(trump,C33)))&gt;0)</f>
        <v>0</v>
      </c>
      <c r="X33" s="14" cm="1">
        <f t="array" ref="X33">INT(SUMPRODUCT(--ISNUMBER(SEARCH(voting,C33)))&gt;0)</f>
        <v>1</v>
      </c>
      <c r="Y33" s="14" cm="1">
        <f t="array" ref="Y33">INT(SUMPRODUCT(--ISNUMBER(SEARCH(democrattrigger,C33)))&gt;0)</f>
        <v>0</v>
      </c>
      <c r="Z33" s="14" cm="1">
        <f t="array" ref="Z33">INT(SUMPRODUCT(--ISNUMBER(SEARCH(bipartisan,C33)))&gt;0)</f>
        <v>0</v>
      </c>
      <c r="AA33" s="14">
        <f t="shared" si="0"/>
        <v>0</v>
      </c>
      <c r="AB33" s="14"/>
      <c r="AC33" s="30">
        <v>1</v>
      </c>
      <c r="AD33" s="37">
        <v>0</v>
      </c>
    </row>
    <row r="34" spans="1:30" x14ac:dyDescent="0.25">
      <c r="A34" s="36">
        <v>2187</v>
      </c>
      <c r="B34" s="14" t="s">
        <v>4399</v>
      </c>
      <c r="C34" s="14" t="s">
        <v>4400</v>
      </c>
      <c r="D34" s="17">
        <v>44136</v>
      </c>
      <c r="E34" s="14" t="s">
        <v>30</v>
      </c>
      <c r="F34" s="14">
        <v>54</v>
      </c>
      <c r="G34" s="14">
        <v>11</v>
      </c>
      <c r="H34" s="14">
        <v>11</v>
      </c>
      <c r="I34" s="14">
        <v>6</v>
      </c>
      <c r="J34" s="14" t="s">
        <v>204</v>
      </c>
      <c r="K34" s="14" cm="1">
        <f t="array" ref="K34">INT(SUMPRODUCT(--ISNUMBER(SEARCH(economy,C34)))&gt;0)</f>
        <v>0</v>
      </c>
      <c r="L34" s="14" cm="1">
        <f t="array" ref="L34">INT(SUMPRODUCT(--ISNUMBER(SEARCH(healthcare,C34)))&gt;0)</f>
        <v>0</v>
      </c>
      <c r="M34" s="14" cm="1">
        <f t="array" ref="M34">INT(SUMPRODUCT(--ISNUMBER(SEARCH(supreme,C34)))&gt;0)</f>
        <v>0</v>
      </c>
      <c r="N34" s="14" cm="1">
        <f t="array" ref="N34">INT(SUMPRODUCT(--ISNUMBER(SEARCH(covid,C34)))&gt;0)</f>
        <v>1</v>
      </c>
      <c r="O34" s="14" cm="1">
        <f t="array" ref="O34">INT(SUMPRODUCT(--ISNUMBER(SEARCH(violent,C34)))&gt;0)</f>
        <v>0</v>
      </c>
      <c r="P34" s="14" cm="1">
        <f t="array" ref="P34">INT(SUMPRODUCT(--ISNUMBER(SEARCH(foreign,C34)))&gt;0)</f>
        <v>1</v>
      </c>
      <c r="Q34" s="14" cm="1">
        <f t="array" ref="Q34">INT(SUMPRODUCT(--ISNUMBER(SEARCH(gun,C34)))&gt;0)</f>
        <v>0</v>
      </c>
      <c r="R34" s="14" cm="1">
        <f t="array" ref="R34">INT(SUMPRODUCT(--ISNUMBER(SEARCH(race,C34)))&gt;0)</f>
        <v>0</v>
      </c>
      <c r="S34" s="14" cm="1">
        <f t="array" ref="S34">INT(SUMPRODUCT(--ISNUMBER(SEARCH(immigration,C34)))&gt;0)</f>
        <v>0</v>
      </c>
      <c r="T34" s="14" cm="1">
        <f t="array" ref="T34">INT(SUMPRODUCT(--ISNUMBER(SEARCH(econineq,C35)))&gt;0)</f>
        <v>0</v>
      </c>
      <c r="U34" s="14" cm="1">
        <f t="array" ref="U34">INT(SUMPRODUCT(--ISNUMBER(SEARCH(climate,C34)))&gt;0)</f>
        <v>0</v>
      </c>
      <c r="V34" s="14" cm="1">
        <f t="array" ref="V34">INT(SUMPRODUCT(--ISNUMBER(SEARCH(abortion,C34)))&gt;0)</f>
        <v>0</v>
      </c>
      <c r="W34" s="14" cm="1">
        <f t="array" ref="W34">INT(SUMPRODUCT(--ISNUMBER(SEARCH(trump,C34)))&gt;0)</f>
        <v>0</v>
      </c>
      <c r="X34" s="14" cm="1">
        <f t="array" ref="X34">INT(SUMPRODUCT(--ISNUMBER(SEARCH(voting,C34)))&gt;0)</f>
        <v>1</v>
      </c>
      <c r="Y34" s="14" cm="1">
        <f t="array" ref="Y34">INT(SUMPRODUCT(--ISNUMBER(SEARCH(democrattrigger,C34)))&gt;0)</f>
        <v>0</v>
      </c>
      <c r="Z34" s="14" cm="1">
        <f t="array" ref="Z34">INT(SUMPRODUCT(--ISNUMBER(SEARCH(bipartisan,C34)))&gt;0)</f>
        <v>0</v>
      </c>
      <c r="AA34" s="14">
        <f t="shared" si="0"/>
        <v>0</v>
      </c>
      <c r="AB34" s="14"/>
      <c r="AC34" s="30">
        <v>0</v>
      </c>
      <c r="AD34" s="37">
        <v>1</v>
      </c>
    </row>
    <row r="35" spans="1:30" x14ac:dyDescent="0.25">
      <c r="A35" s="36">
        <v>2188</v>
      </c>
      <c r="B35" s="14" t="s">
        <v>4401</v>
      </c>
      <c r="C35" s="14" t="s">
        <v>4402</v>
      </c>
      <c r="D35" s="17">
        <v>44136</v>
      </c>
      <c r="E35" s="14" t="s">
        <v>30</v>
      </c>
      <c r="F35" s="14">
        <v>163</v>
      </c>
      <c r="G35" s="14">
        <v>26</v>
      </c>
      <c r="H35" s="14">
        <v>11</v>
      </c>
      <c r="I35" s="14">
        <v>6</v>
      </c>
      <c r="J35" s="14" t="s">
        <v>204</v>
      </c>
      <c r="K35" s="14" cm="1">
        <f t="array" ref="K35">INT(SUMPRODUCT(--ISNUMBER(SEARCH(economy,C35)))&gt;0)</f>
        <v>0</v>
      </c>
      <c r="L35" s="14" cm="1">
        <f t="array" ref="L35">INT(SUMPRODUCT(--ISNUMBER(SEARCH(healthcare,C35)))&gt;0)</f>
        <v>0</v>
      </c>
      <c r="M35" s="14" cm="1">
        <f t="array" ref="M35">INT(SUMPRODUCT(--ISNUMBER(SEARCH(supreme,C35)))&gt;0)</f>
        <v>0</v>
      </c>
      <c r="N35" s="14" cm="1">
        <f t="array" ref="N35">INT(SUMPRODUCT(--ISNUMBER(SEARCH(covid,C35)))&gt;0)</f>
        <v>0</v>
      </c>
      <c r="O35" s="14" cm="1">
        <f t="array" ref="O35">INT(SUMPRODUCT(--ISNUMBER(SEARCH(violent,C35)))&gt;0)</f>
        <v>0</v>
      </c>
      <c r="P35" s="14" cm="1">
        <f t="array" ref="P35">INT(SUMPRODUCT(--ISNUMBER(SEARCH(foreign,C35)))&gt;0)</f>
        <v>0</v>
      </c>
      <c r="Q35" s="14" cm="1">
        <f t="array" ref="Q35">INT(SUMPRODUCT(--ISNUMBER(SEARCH(gun,C35)))&gt;0)</f>
        <v>0</v>
      </c>
      <c r="R35" s="14" cm="1">
        <f t="array" ref="R35">INT(SUMPRODUCT(--ISNUMBER(SEARCH(race,C35)))&gt;0)</f>
        <v>0</v>
      </c>
      <c r="S35" s="14" cm="1">
        <f t="array" ref="S35">INT(SUMPRODUCT(--ISNUMBER(SEARCH(immigration,C35)))&gt;0)</f>
        <v>0</v>
      </c>
      <c r="T35" s="14" cm="1">
        <f t="array" ref="T35">INT(SUMPRODUCT(--ISNUMBER(SEARCH(econineq,C36)))&gt;0)</f>
        <v>0</v>
      </c>
      <c r="U35" s="14" cm="1">
        <f t="array" ref="U35">INT(SUMPRODUCT(--ISNUMBER(SEARCH(climate,C35)))&gt;0)</f>
        <v>0</v>
      </c>
      <c r="V35" s="14" cm="1">
        <f t="array" ref="V35">INT(SUMPRODUCT(--ISNUMBER(SEARCH(abortion,C35)))&gt;0)</f>
        <v>0</v>
      </c>
      <c r="W35" s="14" cm="1">
        <f t="array" ref="W35">INT(SUMPRODUCT(--ISNUMBER(SEARCH(trump,C35)))&gt;0)</f>
        <v>0</v>
      </c>
      <c r="X35" s="14" cm="1">
        <f t="array" ref="X35">INT(SUMPRODUCT(--ISNUMBER(SEARCH(voting,C35)))&gt;0)</f>
        <v>1</v>
      </c>
      <c r="Y35" s="14" cm="1">
        <f t="array" ref="Y35">INT(SUMPRODUCT(--ISNUMBER(SEARCH(democrattrigger,C35)))&gt;0)</f>
        <v>0</v>
      </c>
      <c r="Z35" s="14" cm="1">
        <f t="array" ref="Z35">INT(SUMPRODUCT(--ISNUMBER(SEARCH(bipartisan,C35)))&gt;0)</f>
        <v>0</v>
      </c>
      <c r="AA35" s="14">
        <f t="shared" si="0"/>
        <v>0</v>
      </c>
      <c r="AB35" s="14"/>
      <c r="AC35" s="30">
        <v>1</v>
      </c>
      <c r="AD35" s="37">
        <v>0</v>
      </c>
    </row>
    <row r="36" spans="1:30" x14ac:dyDescent="0.25">
      <c r="A36" s="36">
        <v>2189</v>
      </c>
      <c r="B36" s="14" t="s">
        <v>4403</v>
      </c>
      <c r="C36" s="14" t="s">
        <v>4404</v>
      </c>
      <c r="D36" s="17">
        <v>44136</v>
      </c>
      <c r="E36" s="14" t="s">
        <v>30</v>
      </c>
      <c r="F36" s="14">
        <v>98</v>
      </c>
      <c r="G36" s="14">
        <v>20</v>
      </c>
      <c r="H36" s="14">
        <v>11</v>
      </c>
      <c r="I36" s="14">
        <v>6</v>
      </c>
      <c r="J36" s="14" t="s">
        <v>204</v>
      </c>
      <c r="K36" s="14" cm="1">
        <f t="array" ref="K36">INT(SUMPRODUCT(--ISNUMBER(SEARCH(economy,C36)))&gt;0)</f>
        <v>0</v>
      </c>
      <c r="L36" s="14" cm="1">
        <f t="array" ref="L36">INT(SUMPRODUCT(--ISNUMBER(SEARCH(healthcare,C36)))&gt;0)</f>
        <v>0</v>
      </c>
      <c r="M36" s="14" cm="1">
        <f t="array" ref="M36">INT(SUMPRODUCT(--ISNUMBER(SEARCH(supreme,C36)))&gt;0)</f>
        <v>0</v>
      </c>
      <c r="N36" s="14" cm="1">
        <f t="array" ref="N36">INT(SUMPRODUCT(--ISNUMBER(SEARCH(covid,C36)))&gt;0)</f>
        <v>0</v>
      </c>
      <c r="O36" s="14" cm="1">
        <f t="array" ref="O36">INT(SUMPRODUCT(--ISNUMBER(SEARCH(violent,C36)))&gt;0)</f>
        <v>0</v>
      </c>
      <c r="P36" s="14" cm="1">
        <f t="array" ref="P36">INT(SUMPRODUCT(--ISNUMBER(SEARCH(foreign,C36)))&gt;0)</f>
        <v>1</v>
      </c>
      <c r="Q36" s="14" cm="1">
        <f t="array" ref="Q36">INT(SUMPRODUCT(--ISNUMBER(SEARCH(gun,C36)))&gt;0)</f>
        <v>0</v>
      </c>
      <c r="R36" s="14" cm="1">
        <f t="array" ref="R36">INT(SUMPRODUCT(--ISNUMBER(SEARCH(race,C36)))&gt;0)</f>
        <v>0</v>
      </c>
      <c r="S36" s="14" cm="1">
        <f t="array" ref="S36">INT(SUMPRODUCT(--ISNUMBER(SEARCH(immigration,C36)))&gt;0)</f>
        <v>0</v>
      </c>
      <c r="T36" s="14" cm="1">
        <f t="array" ref="T36">INT(SUMPRODUCT(--ISNUMBER(SEARCH(econineq,C37)))&gt;0)</f>
        <v>0</v>
      </c>
      <c r="U36" s="14" cm="1">
        <f t="array" ref="U36">INT(SUMPRODUCT(--ISNUMBER(SEARCH(climate,C36)))&gt;0)</f>
        <v>0</v>
      </c>
      <c r="V36" s="14" cm="1">
        <f t="array" ref="V36">INT(SUMPRODUCT(--ISNUMBER(SEARCH(abortion,C36)))&gt;0)</f>
        <v>0</v>
      </c>
      <c r="W36" s="14" cm="1">
        <f t="array" ref="W36">INT(SUMPRODUCT(--ISNUMBER(SEARCH(trump,C36)))&gt;0)</f>
        <v>0</v>
      </c>
      <c r="X36" s="14" cm="1">
        <f t="array" ref="X36">INT(SUMPRODUCT(--ISNUMBER(SEARCH(voting,C36)))&gt;0)</f>
        <v>1</v>
      </c>
      <c r="Y36" s="14" cm="1">
        <f t="array" ref="Y36">INT(SUMPRODUCT(--ISNUMBER(SEARCH(democrattrigger,C36)))&gt;0)</f>
        <v>0</v>
      </c>
      <c r="Z36" s="14" cm="1">
        <f t="array" ref="Z36">INT(SUMPRODUCT(--ISNUMBER(SEARCH(bipartisan,C36)))&gt;0)</f>
        <v>0</v>
      </c>
      <c r="AA36" s="14">
        <f t="shared" si="0"/>
        <v>0</v>
      </c>
      <c r="AB36" s="14"/>
      <c r="AC36" s="30">
        <v>1</v>
      </c>
      <c r="AD36" s="37">
        <v>0</v>
      </c>
    </row>
    <row r="37" spans="1:30" x14ac:dyDescent="0.25">
      <c r="A37" s="36">
        <v>2190</v>
      </c>
      <c r="B37" s="14" t="s">
        <v>4405</v>
      </c>
      <c r="C37" s="14" t="s">
        <v>4406</v>
      </c>
      <c r="D37" s="17">
        <v>44136</v>
      </c>
      <c r="E37" s="14" t="s">
        <v>30</v>
      </c>
      <c r="F37" s="14">
        <v>114</v>
      </c>
      <c r="G37" s="14">
        <v>20</v>
      </c>
      <c r="H37" s="14">
        <v>11</v>
      </c>
      <c r="I37" s="14">
        <v>6</v>
      </c>
      <c r="J37" s="14" t="s">
        <v>204</v>
      </c>
      <c r="K37" s="14" cm="1">
        <f t="array" ref="K37">INT(SUMPRODUCT(--ISNUMBER(SEARCH(economy,C37)))&gt;0)</f>
        <v>0</v>
      </c>
      <c r="L37" s="14" cm="1">
        <f t="array" ref="L37">INT(SUMPRODUCT(--ISNUMBER(SEARCH(healthcare,C37)))&gt;0)</f>
        <v>0</v>
      </c>
      <c r="M37" s="14" cm="1">
        <f t="array" ref="M37">INT(SUMPRODUCT(--ISNUMBER(SEARCH(supreme,C37)))&gt;0)</f>
        <v>1</v>
      </c>
      <c r="N37" s="14" cm="1">
        <f t="array" ref="N37">INT(SUMPRODUCT(--ISNUMBER(SEARCH(covid,C37)))&gt;0)</f>
        <v>0</v>
      </c>
      <c r="O37" s="14" cm="1">
        <f t="array" ref="O37">INT(SUMPRODUCT(--ISNUMBER(SEARCH(violent,C37)))&gt;0)</f>
        <v>0</v>
      </c>
      <c r="P37" s="14" cm="1">
        <f t="array" ref="P37">INT(SUMPRODUCT(--ISNUMBER(SEARCH(foreign,C37)))&gt;0)</f>
        <v>0</v>
      </c>
      <c r="Q37" s="14" cm="1">
        <f t="array" ref="Q37">INT(SUMPRODUCT(--ISNUMBER(SEARCH(gun,C37)))&gt;0)</f>
        <v>0</v>
      </c>
      <c r="R37" s="14" cm="1">
        <f t="array" ref="R37">INT(SUMPRODUCT(--ISNUMBER(SEARCH(race,C37)))&gt;0)</f>
        <v>0</v>
      </c>
      <c r="S37" s="14" cm="1">
        <f t="array" ref="S37">INT(SUMPRODUCT(--ISNUMBER(SEARCH(immigration,C37)))&gt;0)</f>
        <v>0</v>
      </c>
      <c r="T37" s="14" cm="1">
        <f t="array" ref="T37">INT(SUMPRODUCT(--ISNUMBER(SEARCH(econineq,C38)))&gt;0)</f>
        <v>0</v>
      </c>
      <c r="U37" s="14" cm="1">
        <f t="array" ref="U37">INT(SUMPRODUCT(--ISNUMBER(SEARCH(climate,C37)))&gt;0)</f>
        <v>0</v>
      </c>
      <c r="V37" s="14" cm="1">
        <f t="array" ref="V37">INT(SUMPRODUCT(--ISNUMBER(SEARCH(abortion,C37)))&gt;0)</f>
        <v>0</v>
      </c>
      <c r="W37" s="14" cm="1">
        <f t="array" ref="W37">INT(SUMPRODUCT(--ISNUMBER(SEARCH(trump,C37)))&gt;0)</f>
        <v>0</v>
      </c>
      <c r="X37" s="14" cm="1">
        <f t="array" ref="X37">INT(SUMPRODUCT(--ISNUMBER(SEARCH(voting,C37)))&gt;0)</f>
        <v>1</v>
      </c>
      <c r="Y37" s="14" cm="1">
        <f t="array" ref="Y37">INT(SUMPRODUCT(--ISNUMBER(SEARCH(democrattrigger,C37)))&gt;0)</f>
        <v>0</v>
      </c>
      <c r="Z37" s="14" cm="1">
        <f t="array" ref="Z37">INT(SUMPRODUCT(--ISNUMBER(SEARCH(bipartisan,C37)))&gt;0)</f>
        <v>0</v>
      </c>
      <c r="AA37" s="14">
        <f t="shared" si="0"/>
        <v>0</v>
      </c>
      <c r="AB37" s="14"/>
      <c r="AC37" s="30">
        <v>1</v>
      </c>
      <c r="AD37" s="37">
        <v>0</v>
      </c>
    </row>
    <row r="38" spans="1:30" x14ac:dyDescent="0.25">
      <c r="A38" s="36">
        <v>2191</v>
      </c>
      <c r="B38" s="14" t="s">
        <v>4407</v>
      </c>
      <c r="C38" s="14" t="s">
        <v>4408</v>
      </c>
      <c r="D38" s="17">
        <v>44136</v>
      </c>
      <c r="E38" s="14" t="s">
        <v>30</v>
      </c>
      <c r="F38" s="14">
        <v>58</v>
      </c>
      <c r="G38" s="14">
        <v>15</v>
      </c>
      <c r="H38" s="14">
        <v>11</v>
      </c>
      <c r="I38" s="14">
        <v>6</v>
      </c>
      <c r="J38" s="14" t="s">
        <v>204</v>
      </c>
      <c r="K38" s="14" cm="1">
        <f t="array" ref="K38">INT(SUMPRODUCT(--ISNUMBER(SEARCH(economy,C38)))&gt;0)</f>
        <v>0</v>
      </c>
      <c r="L38" s="14" cm="1">
        <f t="array" ref="L38">INT(SUMPRODUCT(--ISNUMBER(SEARCH(healthcare,C38)))&gt;0)</f>
        <v>0</v>
      </c>
      <c r="M38" s="14" cm="1">
        <f t="array" ref="M38">INT(SUMPRODUCT(--ISNUMBER(SEARCH(supreme,C38)))&gt;0)</f>
        <v>0</v>
      </c>
      <c r="N38" s="14" cm="1">
        <f t="array" ref="N38">INT(SUMPRODUCT(--ISNUMBER(SEARCH(covid,C38)))&gt;0)</f>
        <v>0</v>
      </c>
      <c r="O38" s="14" cm="1">
        <f t="array" ref="O38">INT(SUMPRODUCT(--ISNUMBER(SEARCH(violent,C38)))&gt;0)</f>
        <v>0</v>
      </c>
      <c r="P38" s="14" cm="1">
        <f t="array" ref="P38">INT(SUMPRODUCT(--ISNUMBER(SEARCH(foreign,C38)))&gt;0)</f>
        <v>1</v>
      </c>
      <c r="Q38" s="14" cm="1">
        <f t="array" ref="Q38">INT(SUMPRODUCT(--ISNUMBER(SEARCH(gun,C38)))&gt;0)</f>
        <v>0</v>
      </c>
      <c r="R38" s="14" cm="1">
        <f t="array" ref="R38">INT(SUMPRODUCT(--ISNUMBER(SEARCH(race,C38)))&gt;0)</f>
        <v>0</v>
      </c>
      <c r="S38" s="14" cm="1">
        <f t="array" ref="S38">INT(SUMPRODUCT(--ISNUMBER(SEARCH(immigration,C38)))&gt;0)</f>
        <v>0</v>
      </c>
      <c r="T38" s="14" cm="1">
        <f t="array" ref="T38">INT(SUMPRODUCT(--ISNUMBER(SEARCH(econineq,C39)))&gt;0)</f>
        <v>0</v>
      </c>
      <c r="U38" s="14" cm="1">
        <f t="array" ref="U38">INT(SUMPRODUCT(--ISNUMBER(SEARCH(climate,C38)))&gt;0)</f>
        <v>0</v>
      </c>
      <c r="V38" s="14" cm="1">
        <f t="array" ref="V38">INT(SUMPRODUCT(--ISNUMBER(SEARCH(abortion,C38)))&gt;0)</f>
        <v>0</v>
      </c>
      <c r="W38" s="14" cm="1">
        <f t="array" ref="W38">INT(SUMPRODUCT(--ISNUMBER(SEARCH(trump,C38)))&gt;0)</f>
        <v>0</v>
      </c>
      <c r="X38" s="14" cm="1">
        <f t="array" ref="X38">INT(SUMPRODUCT(--ISNUMBER(SEARCH(voting,C38)))&gt;0)</f>
        <v>1</v>
      </c>
      <c r="Y38" s="14" cm="1">
        <f t="array" ref="Y38">INT(SUMPRODUCT(--ISNUMBER(SEARCH(democrattrigger,C38)))&gt;0)</f>
        <v>0</v>
      </c>
      <c r="Z38" s="14" cm="1">
        <f t="array" ref="Z38">INT(SUMPRODUCT(--ISNUMBER(SEARCH(bipartisan,C38)))&gt;0)</f>
        <v>0</v>
      </c>
      <c r="AA38" s="14">
        <f t="shared" si="0"/>
        <v>0</v>
      </c>
      <c r="AB38" s="14"/>
      <c r="AC38" s="30">
        <v>0</v>
      </c>
      <c r="AD38" s="37">
        <v>1</v>
      </c>
    </row>
    <row r="39" spans="1:30" x14ac:dyDescent="0.25">
      <c r="A39" s="36">
        <v>2192</v>
      </c>
      <c r="B39" s="14" t="s">
        <v>4409</v>
      </c>
      <c r="C39" s="14" t="s">
        <v>4410</v>
      </c>
      <c r="D39" s="17">
        <v>44136</v>
      </c>
      <c r="E39" s="14" t="s">
        <v>30</v>
      </c>
      <c r="F39" s="14">
        <v>84</v>
      </c>
      <c r="G39" s="14">
        <v>18</v>
      </c>
      <c r="H39" s="14">
        <v>11</v>
      </c>
      <c r="I39" s="14">
        <v>6</v>
      </c>
      <c r="J39" s="14" t="s">
        <v>204</v>
      </c>
      <c r="K39" s="14" cm="1">
        <f t="array" ref="K39">INT(SUMPRODUCT(--ISNUMBER(SEARCH(economy,C39)))&gt;0)</f>
        <v>0</v>
      </c>
      <c r="L39" s="14" cm="1">
        <f t="array" ref="L39">INT(SUMPRODUCT(--ISNUMBER(SEARCH(healthcare,C39)))&gt;0)</f>
        <v>0</v>
      </c>
      <c r="M39" s="14" cm="1">
        <f t="array" ref="M39">INT(SUMPRODUCT(--ISNUMBER(SEARCH(supreme,C39)))&gt;0)</f>
        <v>0</v>
      </c>
      <c r="N39" s="14" cm="1">
        <f t="array" ref="N39">INT(SUMPRODUCT(--ISNUMBER(SEARCH(covid,C39)))&gt;0)</f>
        <v>0</v>
      </c>
      <c r="O39" s="14" cm="1">
        <f t="array" ref="O39">INT(SUMPRODUCT(--ISNUMBER(SEARCH(violent,C39)))&gt;0)</f>
        <v>0</v>
      </c>
      <c r="P39" s="14" cm="1">
        <f t="array" ref="P39">INT(SUMPRODUCT(--ISNUMBER(SEARCH(foreign,C39)))&gt;0)</f>
        <v>0</v>
      </c>
      <c r="Q39" s="14" cm="1">
        <f t="array" ref="Q39">INT(SUMPRODUCT(--ISNUMBER(SEARCH(gun,C39)))&gt;0)</f>
        <v>0</v>
      </c>
      <c r="R39" s="14" cm="1">
        <f t="array" ref="R39">INT(SUMPRODUCT(--ISNUMBER(SEARCH(race,C39)))&gt;0)</f>
        <v>0</v>
      </c>
      <c r="S39" s="14" cm="1">
        <f t="array" ref="S39">INT(SUMPRODUCT(--ISNUMBER(SEARCH(immigration,C39)))&gt;0)</f>
        <v>0</v>
      </c>
      <c r="T39" s="14" cm="1">
        <f t="array" ref="T39">INT(SUMPRODUCT(--ISNUMBER(SEARCH(econineq,C40)))&gt;0)</f>
        <v>0</v>
      </c>
      <c r="U39" s="14" cm="1">
        <f t="array" ref="U39">INT(SUMPRODUCT(--ISNUMBER(SEARCH(climate,C39)))&gt;0)</f>
        <v>0</v>
      </c>
      <c r="V39" s="14" cm="1">
        <f t="array" ref="V39">INT(SUMPRODUCT(--ISNUMBER(SEARCH(abortion,C39)))&gt;0)</f>
        <v>0</v>
      </c>
      <c r="W39" s="14" cm="1">
        <f t="array" ref="W39">INT(SUMPRODUCT(--ISNUMBER(SEARCH(trump,C39)))&gt;0)</f>
        <v>0</v>
      </c>
      <c r="X39" s="14" cm="1">
        <f t="array" ref="X39">INT(SUMPRODUCT(--ISNUMBER(SEARCH(voting,C39)))&gt;0)</f>
        <v>0</v>
      </c>
      <c r="Y39" s="14" cm="1">
        <f t="array" ref="Y39">INT(SUMPRODUCT(--ISNUMBER(SEARCH(democrattrigger,C39)))&gt;0)</f>
        <v>0</v>
      </c>
      <c r="Z39" s="14" cm="1">
        <f t="array" ref="Z39">INT(SUMPRODUCT(--ISNUMBER(SEARCH(bipartisan,C39)))&gt;0)</f>
        <v>0</v>
      </c>
      <c r="AA39" s="14">
        <f t="shared" si="0"/>
        <v>1</v>
      </c>
      <c r="AB39" s="14"/>
      <c r="AC39" s="30">
        <v>0</v>
      </c>
      <c r="AD39" s="37">
        <v>1</v>
      </c>
    </row>
    <row r="40" spans="1:30" x14ac:dyDescent="0.25">
      <c r="A40" s="36">
        <v>2193</v>
      </c>
      <c r="B40" s="14" t="s">
        <v>4411</v>
      </c>
      <c r="C40" s="14" t="s">
        <v>4412</v>
      </c>
      <c r="D40" s="17">
        <v>44136</v>
      </c>
      <c r="E40" s="14" t="s">
        <v>30</v>
      </c>
      <c r="F40" s="14">
        <v>50</v>
      </c>
      <c r="G40" s="14">
        <v>7</v>
      </c>
      <c r="H40" s="14">
        <v>11</v>
      </c>
      <c r="I40" s="14">
        <v>6</v>
      </c>
      <c r="J40" s="14" t="s">
        <v>204</v>
      </c>
      <c r="K40" s="14" cm="1">
        <f t="array" ref="K40">INT(SUMPRODUCT(--ISNUMBER(SEARCH(economy,C40)))&gt;0)</f>
        <v>0</v>
      </c>
      <c r="L40" s="14" cm="1">
        <f t="array" ref="L40">INT(SUMPRODUCT(--ISNUMBER(SEARCH(healthcare,C40)))&gt;0)</f>
        <v>0</v>
      </c>
      <c r="M40" s="14" cm="1">
        <f t="array" ref="M40">INT(SUMPRODUCT(--ISNUMBER(SEARCH(supreme,C40)))&gt;0)</f>
        <v>0</v>
      </c>
      <c r="N40" s="14" cm="1">
        <f t="array" ref="N40">INT(SUMPRODUCT(--ISNUMBER(SEARCH(covid,C40)))&gt;0)</f>
        <v>0</v>
      </c>
      <c r="O40" s="14" cm="1">
        <f t="array" ref="O40">INT(SUMPRODUCT(--ISNUMBER(SEARCH(violent,C40)))&gt;0)</f>
        <v>0</v>
      </c>
      <c r="P40" s="14" cm="1">
        <f t="array" ref="P40">INT(SUMPRODUCT(--ISNUMBER(SEARCH(foreign,C40)))&gt;0)</f>
        <v>0</v>
      </c>
      <c r="Q40" s="14" cm="1">
        <f t="array" ref="Q40">INT(SUMPRODUCT(--ISNUMBER(SEARCH(gun,C40)))&gt;0)</f>
        <v>0</v>
      </c>
      <c r="R40" s="14" cm="1">
        <f t="array" ref="R40">INT(SUMPRODUCT(--ISNUMBER(SEARCH(race,C40)))&gt;0)</f>
        <v>0</v>
      </c>
      <c r="S40" s="14" cm="1">
        <f t="array" ref="S40">INT(SUMPRODUCT(--ISNUMBER(SEARCH(immigration,C40)))&gt;0)</f>
        <v>0</v>
      </c>
      <c r="T40" s="14" cm="1">
        <f t="array" ref="T40">INT(SUMPRODUCT(--ISNUMBER(SEARCH(econineq,C41)))&gt;0)</f>
        <v>0</v>
      </c>
      <c r="U40" s="14" cm="1">
        <f t="array" ref="U40">INT(SUMPRODUCT(--ISNUMBER(SEARCH(climate,C40)))&gt;0)</f>
        <v>0</v>
      </c>
      <c r="V40" s="14" cm="1">
        <f t="array" ref="V40">INT(SUMPRODUCT(--ISNUMBER(SEARCH(abortion,C40)))&gt;0)</f>
        <v>0</v>
      </c>
      <c r="W40" s="14" cm="1">
        <f t="array" ref="W40">INT(SUMPRODUCT(--ISNUMBER(SEARCH(trump,C40)))&gt;0)</f>
        <v>0</v>
      </c>
      <c r="X40" s="14" cm="1">
        <f t="array" ref="X40">INT(SUMPRODUCT(--ISNUMBER(SEARCH(voting,C40)))&gt;0)</f>
        <v>0</v>
      </c>
      <c r="Y40" s="14" cm="1">
        <f t="array" ref="Y40">INT(SUMPRODUCT(--ISNUMBER(SEARCH(democrattrigger,C40)))&gt;0)</f>
        <v>0</v>
      </c>
      <c r="Z40" s="14" cm="1">
        <f t="array" ref="Z40">INT(SUMPRODUCT(--ISNUMBER(SEARCH(bipartisan,C40)))&gt;0)</f>
        <v>0</v>
      </c>
      <c r="AA40" s="14">
        <f t="shared" si="0"/>
        <v>1</v>
      </c>
      <c r="AB40" s="14"/>
      <c r="AC40" s="30">
        <v>0</v>
      </c>
      <c r="AD40" s="37">
        <v>1</v>
      </c>
    </row>
    <row r="41" spans="1:30" x14ac:dyDescent="0.25">
      <c r="A41" s="36">
        <v>2194</v>
      </c>
      <c r="B41" s="14" t="s">
        <v>4413</v>
      </c>
      <c r="C41" s="14" t="s">
        <v>4414</v>
      </c>
      <c r="D41" s="17">
        <v>44136</v>
      </c>
      <c r="E41" s="14" t="s">
        <v>30</v>
      </c>
      <c r="F41" s="14">
        <v>114</v>
      </c>
      <c r="G41" s="14">
        <v>43</v>
      </c>
      <c r="H41" s="14">
        <v>11</v>
      </c>
      <c r="I41" s="14">
        <v>6</v>
      </c>
      <c r="J41" s="14" t="s">
        <v>204</v>
      </c>
      <c r="K41" s="14" cm="1">
        <f t="array" ref="K41">INT(SUMPRODUCT(--ISNUMBER(SEARCH(economy,C41)))&gt;0)</f>
        <v>0</v>
      </c>
      <c r="L41" s="14" cm="1">
        <f t="array" ref="L41">INT(SUMPRODUCT(--ISNUMBER(SEARCH(healthcare,C41)))&gt;0)</f>
        <v>0</v>
      </c>
      <c r="M41" s="14" cm="1">
        <f t="array" ref="M41">INT(SUMPRODUCT(--ISNUMBER(SEARCH(supreme,C41)))&gt;0)</f>
        <v>0</v>
      </c>
      <c r="N41" s="14" cm="1">
        <f t="array" ref="N41">INT(SUMPRODUCT(--ISNUMBER(SEARCH(covid,C41)))&gt;0)</f>
        <v>0</v>
      </c>
      <c r="O41" s="14" cm="1">
        <f t="array" ref="O41">INT(SUMPRODUCT(--ISNUMBER(SEARCH(violent,C41)))&gt;0)</f>
        <v>0</v>
      </c>
      <c r="P41" s="14" cm="1">
        <f t="array" ref="P41">INT(SUMPRODUCT(--ISNUMBER(SEARCH(foreign,C41)))&gt;0)</f>
        <v>0</v>
      </c>
      <c r="Q41" s="14" cm="1">
        <f t="array" ref="Q41">INT(SUMPRODUCT(--ISNUMBER(SEARCH(gun,C41)))&gt;0)</f>
        <v>0</v>
      </c>
      <c r="R41" s="14" cm="1">
        <f t="array" ref="R41">INT(SUMPRODUCT(--ISNUMBER(SEARCH(race,C41)))&gt;0)</f>
        <v>0</v>
      </c>
      <c r="S41" s="14" cm="1">
        <f t="array" ref="S41">INT(SUMPRODUCT(--ISNUMBER(SEARCH(immigration,C41)))&gt;0)</f>
        <v>0</v>
      </c>
      <c r="T41" s="14" cm="1">
        <f t="array" ref="T41">INT(SUMPRODUCT(--ISNUMBER(SEARCH(econineq,C42)))&gt;0)</f>
        <v>0</v>
      </c>
      <c r="U41" s="14" cm="1">
        <f t="array" ref="U41">INT(SUMPRODUCT(--ISNUMBER(SEARCH(climate,C41)))&gt;0)</f>
        <v>0</v>
      </c>
      <c r="V41" s="14" cm="1">
        <f t="array" ref="V41">INT(SUMPRODUCT(--ISNUMBER(SEARCH(abortion,C41)))&gt;0)</f>
        <v>0</v>
      </c>
      <c r="W41" s="14" cm="1">
        <f t="array" ref="W41">INT(SUMPRODUCT(--ISNUMBER(SEARCH(trump,C41)))&gt;0)</f>
        <v>0</v>
      </c>
      <c r="X41" s="14" cm="1">
        <f t="array" ref="X41">INT(SUMPRODUCT(--ISNUMBER(SEARCH(voting,C41)))&gt;0)</f>
        <v>1</v>
      </c>
      <c r="Y41" s="14" cm="1">
        <f t="array" ref="Y41">INT(SUMPRODUCT(--ISNUMBER(SEARCH(democrattrigger,C41)))&gt;0)</f>
        <v>0</v>
      </c>
      <c r="Z41" s="14" cm="1">
        <f t="array" ref="Z41">INT(SUMPRODUCT(--ISNUMBER(SEARCH(bipartisan,C41)))&gt;0)</f>
        <v>0</v>
      </c>
      <c r="AA41" s="14">
        <f t="shared" si="0"/>
        <v>0</v>
      </c>
      <c r="AB41" s="14"/>
      <c r="AC41" s="30" t="s">
        <v>223</v>
      </c>
      <c r="AD41" s="37" t="s">
        <v>223</v>
      </c>
    </row>
    <row r="42" spans="1:30" x14ac:dyDescent="0.25">
      <c r="A42" s="36">
        <v>2195</v>
      </c>
      <c r="B42" s="14" t="s">
        <v>4415</v>
      </c>
      <c r="C42" s="14" t="s">
        <v>4416</v>
      </c>
      <c r="D42" s="17">
        <v>44136</v>
      </c>
      <c r="E42" s="14" t="s">
        <v>30</v>
      </c>
      <c r="F42" s="14">
        <v>54</v>
      </c>
      <c r="G42" s="14">
        <v>12</v>
      </c>
      <c r="H42" s="14">
        <v>11</v>
      </c>
      <c r="I42" s="14">
        <v>6</v>
      </c>
      <c r="J42" s="14" t="s">
        <v>204</v>
      </c>
      <c r="K42" s="14" cm="1">
        <f t="array" ref="K42">INT(SUMPRODUCT(--ISNUMBER(SEARCH(economy,C42)))&gt;0)</f>
        <v>1</v>
      </c>
      <c r="L42" s="14" cm="1">
        <f t="array" ref="L42">INT(SUMPRODUCT(--ISNUMBER(SEARCH(healthcare,C42)))&gt;0)</f>
        <v>0</v>
      </c>
      <c r="M42" s="14" cm="1">
        <f t="array" ref="M42">INT(SUMPRODUCT(--ISNUMBER(SEARCH(supreme,C42)))&gt;0)</f>
        <v>0</v>
      </c>
      <c r="N42" s="14" cm="1">
        <f t="array" ref="N42">INT(SUMPRODUCT(--ISNUMBER(SEARCH(covid,C42)))&gt;0)</f>
        <v>0</v>
      </c>
      <c r="O42" s="14" cm="1">
        <f t="array" ref="O42">INT(SUMPRODUCT(--ISNUMBER(SEARCH(violent,C42)))&gt;0)</f>
        <v>0</v>
      </c>
      <c r="P42" s="14" cm="1">
        <f t="array" ref="P42">INT(SUMPRODUCT(--ISNUMBER(SEARCH(foreign,C42)))&gt;0)</f>
        <v>0</v>
      </c>
      <c r="Q42" s="14" cm="1">
        <f t="array" ref="Q42">INT(SUMPRODUCT(--ISNUMBER(SEARCH(gun,C42)))&gt;0)</f>
        <v>0</v>
      </c>
      <c r="R42" s="14" cm="1">
        <f t="array" ref="R42">INT(SUMPRODUCT(--ISNUMBER(SEARCH(race,C42)))&gt;0)</f>
        <v>0</v>
      </c>
      <c r="S42" s="14" cm="1">
        <f t="array" ref="S42">INT(SUMPRODUCT(--ISNUMBER(SEARCH(immigration,C42)))&gt;0)</f>
        <v>0</v>
      </c>
      <c r="T42" s="14" cm="1">
        <f t="array" ref="T42">INT(SUMPRODUCT(--ISNUMBER(SEARCH(econineq,C43)))&gt;0)</f>
        <v>0</v>
      </c>
      <c r="U42" s="14" cm="1">
        <f t="array" ref="U42">INT(SUMPRODUCT(--ISNUMBER(SEARCH(climate,C42)))&gt;0)</f>
        <v>0</v>
      </c>
      <c r="V42" s="14" cm="1">
        <f t="array" ref="V42">INT(SUMPRODUCT(--ISNUMBER(SEARCH(abortion,C42)))&gt;0)</f>
        <v>0</v>
      </c>
      <c r="W42" s="14" cm="1">
        <f t="array" ref="W42">INT(SUMPRODUCT(--ISNUMBER(SEARCH(trump,C42)))&gt;0)</f>
        <v>0</v>
      </c>
      <c r="X42" s="14" cm="1">
        <f t="array" ref="X42">INT(SUMPRODUCT(--ISNUMBER(SEARCH(voting,C42)))&gt;0)</f>
        <v>0</v>
      </c>
      <c r="Y42" s="14" cm="1">
        <f t="array" ref="Y42">INT(SUMPRODUCT(--ISNUMBER(SEARCH(democrattrigger,C42)))&gt;0)</f>
        <v>0</v>
      </c>
      <c r="Z42" s="14" cm="1">
        <f t="array" ref="Z42">INT(SUMPRODUCT(--ISNUMBER(SEARCH(bipartisan,C42)))&gt;0)</f>
        <v>0</v>
      </c>
      <c r="AA42" s="14">
        <f t="shared" si="0"/>
        <v>0</v>
      </c>
      <c r="AB42" s="14"/>
      <c r="AC42" s="30">
        <v>0</v>
      </c>
      <c r="AD42" s="37">
        <v>1</v>
      </c>
    </row>
    <row r="43" spans="1:30" x14ac:dyDescent="0.25">
      <c r="A43" s="36">
        <v>2196</v>
      </c>
      <c r="B43" s="14" t="s">
        <v>4417</v>
      </c>
      <c r="C43" s="14" t="s">
        <v>4418</v>
      </c>
      <c r="D43" s="17">
        <v>44136</v>
      </c>
      <c r="E43" s="14" t="s">
        <v>30</v>
      </c>
      <c r="F43" s="14">
        <v>141</v>
      </c>
      <c r="G43" s="14">
        <v>16</v>
      </c>
      <c r="H43" s="14">
        <v>11</v>
      </c>
      <c r="I43" s="14">
        <v>6</v>
      </c>
      <c r="J43" s="14" t="s">
        <v>204</v>
      </c>
      <c r="K43" s="14" cm="1">
        <f t="array" ref="K43">INT(SUMPRODUCT(--ISNUMBER(SEARCH(economy,C43)))&gt;0)</f>
        <v>0</v>
      </c>
      <c r="L43" s="14" cm="1">
        <f t="array" ref="L43">INT(SUMPRODUCT(--ISNUMBER(SEARCH(healthcare,C43)))&gt;0)</f>
        <v>0</v>
      </c>
      <c r="M43" s="14" cm="1">
        <f t="array" ref="M43">INT(SUMPRODUCT(--ISNUMBER(SEARCH(supreme,C43)))&gt;0)</f>
        <v>0</v>
      </c>
      <c r="N43" s="14" cm="1">
        <f t="array" ref="N43">INT(SUMPRODUCT(--ISNUMBER(SEARCH(covid,C43)))&gt;0)</f>
        <v>0</v>
      </c>
      <c r="O43" s="14" cm="1">
        <f t="array" ref="O43">INT(SUMPRODUCT(--ISNUMBER(SEARCH(violent,C43)))&gt;0)</f>
        <v>0</v>
      </c>
      <c r="P43" s="14" cm="1">
        <f t="array" ref="P43">INT(SUMPRODUCT(--ISNUMBER(SEARCH(foreign,C43)))&gt;0)</f>
        <v>0</v>
      </c>
      <c r="Q43" s="14" cm="1">
        <f t="array" ref="Q43">INT(SUMPRODUCT(--ISNUMBER(SEARCH(gun,C43)))&gt;0)</f>
        <v>0</v>
      </c>
      <c r="R43" s="14" cm="1">
        <f t="array" ref="R43">INT(SUMPRODUCT(--ISNUMBER(SEARCH(race,C43)))&gt;0)</f>
        <v>0</v>
      </c>
      <c r="S43" s="14" cm="1">
        <f t="array" ref="S43">INT(SUMPRODUCT(--ISNUMBER(SEARCH(immigration,C43)))&gt;0)</f>
        <v>0</v>
      </c>
      <c r="T43" s="14" cm="1">
        <f t="array" ref="T43">INT(SUMPRODUCT(--ISNUMBER(SEARCH(econineq,C44)))&gt;0)</f>
        <v>0</v>
      </c>
      <c r="U43" s="14" cm="1">
        <f t="array" ref="U43">INT(SUMPRODUCT(--ISNUMBER(SEARCH(climate,C43)))&gt;0)</f>
        <v>1</v>
      </c>
      <c r="V43" s="14" cm="1">
        <f t="array" ref="V43">INT(SUMPRODUCT(--ISNUMBER(SEARCH(abortion,C43)))&gt;0)</f>
        <v>0</v>
      </c>
      <c r="W43" s="14" cm="1">
        <f t="array" ref="W43">INT(SUMPRODUCT(--ISNUMBER(SEARCH(trump,C43)))&gt;0)</f>
        <v>0</v>
      </c>
      <c r="X43" s="14" cm="1">
        <f t="array" ref="X43">INT(SUMPRODUCT(--ISNUMBER(SEARCH(voting,C43)))&gt;0)</f>
        <v>0</v>
      </c>
      <c r="Y43" s="14" cm="1">
        <f t="array" ref="Y43">INT(SUMPRODUCT(--ISNUMBER(SEARCH(democrattrigger,C43)))&gt;0)</f>
        <v>0</v>
      </c>
      <c r="Z43" s="14" cm="1">
        <f t="array" ref="Z43">INT(SUMPRODUCT(--ISNUMBER(SEARCH(bipartisan,C43)))&gt;0)</f>
        <v>0</v>
      </c>
      <c r="AA43" s="14">
        <f t="shared" si="0"/>
        <v>0</v>
      </c>
      <c r="AB43" s="14"/>
      <c r="AC43" s="30">
        <v>1</v>
      </c>
      <c r="AD43" s="37">
        <v>0</v>
      </c>
    </row>
    <row r="44" spans="1:30" x14ac:dyDescent="0.25">
      <c r="A44" s="36">
        <v>2197</v>
      </c>
      <c r="B44" s="14" t="s">
        <v>4419</v>
      </c>
      <c r="C44" s="14" t="s">
        <v>4420</v>
      </c>
      <c r="D44" s="17">
        <v>44136</v>
      </c>
      <c r="E44" s="14" t="s">
        <v>30</v>
      </c>
      <c r="F44" s="14">
        <v>62</v>
      </c>
      <c r="G44" s="14">
        <v>11</v>
      </c>
      <c r="H44" s="14">
        <v>11</v>
      </c>
      <c r="I44" s="14">
        <v>6</v>
      </c>
      <c r="J44" s="14" t="s">
        <v>204</v>
      </c>
      <c r="K44" s="14" cm="1">
        <f t="array" ref="K44">INT(SUMPRODUCT(--ISNUMBER(SEARCH(economy,C44)))&gt;0)</f>
        <v>0</v>
      </c>
      <c r="L44" s="14" cm="1">
        <f t="array" ref="L44">INT(SUMPRODUCT(--ISNUMBER(SEARCH(healthcare,C44)))&gt;0)</f>
        <v>1</v>
      </c>
      <c r="M44" s="14" cm="1">
        <f t="array" ref="M44">INT(SUMPRODUCT(--ISNUMBER(SEARCH(supreme,C44)))&gt;0)</f>
        <v>0</v>
      </c>
      <c r="N44" s="14" cm="1">
        <f t="array" ref="N44">INT(SUMPRODUCT(--ISNUMBER(SEARCH(covid,C44)))&gt;0)</f>
        <v>0</v>
      </c>
      <c r="O44" s="14" cm="1">
        <f t="array" ref="O44">INT(SUMPRODUCT(--ISNUMBER(SEARCH(violent,C44)))&gt;0)</f>
        <v>0</v>
      </c>
      <c r="P44" s="14" cm="1">
        <f t="array" ref="P44">INT(SUMPRODUCT(--ISNUMBER(SEARCH(foreign,C44)))&gt;0)</f>
        <v>0</v>
      </c>
      <c r="Q44" s="14" cm="1">
        <f t="array" ref="Q44">INT(SUMPRODUCT(--ISNUMBER(SEARCH(gun,C44)))&gt;0)</f>
        <v>0</v>
      </c>
      <c r="R44" s="14" cm="1">
        <f t="array" ref="R44">INT(SUMPRODUCT(--ISNUMBER(SEARCH(race,C44)))&gt;0)</f>
        <v>0</v>
      </c>
      <c r="S44" s="14" cm="1">
        <f t="array" ref="S44">INT(SUMPRODUCT(--ISNUMBER(SEARCH(immigration,C44)))&gt;0)</f>
        <v>0</v>
      </c>
      <c r="T44" s="14" cm="1">
        <f t="array" ref="T44">INT(SUMPRODUCT(--ISNUMBER(SEARCH(econineq,C45)))&gt;0)</f>
        <v>0</v>
      </c>
      <c r="U44" s="14" cm="1">
        <f t="array" ref="U44">INT(SUMPRODUCT(--ISNUMBER(SEARCH(climate,C44)))&gt;0)</f>
        <v>0</v>
      </c>
      <c r="V44" s="14" cm="1">
        <f t="array" ref="V44">INT(SUMPRODUCT(--ISNUMBER(SEARCH(abortion,C44)))&gt;0)</f>
        <v>0</v>
      </c>
      <c r="W44" s="14" cm="1">
        <f t="array" ref="W44">INT(SUMPRODUCT(--ISNUMBER(SEARCH(trump,C44)))&gt;0)</f>
        <v>0</v>
      </c>
      <c r="X44" s="14" cm="1">
        <f t="array" ref="X44">INT(SUMPRODUCT(--ISNUMBER(SEARCH(voting,C44)))&gt;0)</f>
        <v>0</v>
      </c>
      <c r="Y44" s="14" cm="1">
        <f t="array" ref="Y44">INT(SUMPRODUCT(--ISNUMBER(SEARCH(democrattrigger,C44)))&gt;0)</f>
        <v>0</v>
      </c>
      <c r="Z44" s="14" cm="1">
        <f t="array" ref="Z44">INT(SUMPRODUCT(--ISNUMBER(SEARCH(bipartisan,C44)))&gt;0)</f>
        <v>0</v>
      </c>
      <c r="AA44" s="14">
        <f t="shared" si="0"/>
        <v>0</v>
      </c>
      <c r="AB44" s="14"/>
      <c r="AC44" s="30">
        <v>0</v>
      </c>
      <c r="AD44" s="37">
        <v>1</v>
      </c>
    </row>
    <row r="45" spans="1:30" x14ac:dyDescent="0.25">
      <c r="A45" s="36">
        <v>2198</v>
      </c>
      <c r="B45" s="14" t="s">
        <v>4421</v>
      </c>
      <c r="C45" s="14" t="s">
        <v>4422</v>
      </c>
      <c r="D45" s="17">
        <v>44136</v>
      </c>
      <c r="E45" s="14" t="s">
        <v>30</v>
      </c>
      <c r="F45" s="14">
        <v>50</v>
      </c>
      <c r="G45" s="14">
        <v>6</v>
      </c>
      <c r="H45" s="14">
        <v>11</v>
      </c>
      <c r="I45" s="14">
        <v>6</v>
      </c>
      <c r="J45" s="14" t="s">
        <v>204</v>
      </c>
      <c r="K45" s="14" cm="1">
        <f t="array" ref="K45">INT(SUMPRODUCT(--ISNUMBER(SEARCH(economy,C45)))&gt;0)</f>
        <v>0</v>
      </c>
      <c r="L45" s="14" cm="1">
        <f t="array" ref="L45">INT(SUMPRODUCT(--ISNUMBER(SEARCH(healthcare,C45)))&gt;0)</f>
        <v>0</v>
      </c>
      <c r="M45" s="14" cm="1">
        <f t="array" ref="M45">INT(SUMPRODUCT(--ISNUMBER(SEARCH(supreme,C45)))&gt;0)</f>
        <v>0</v>
      </c>
      <c r="N45" s="14" cm="1">
        <f t="array" ref="N45">INT(SUMPRODUCT(--ISNUMBER(SEARCH(covid,C45)))&gt;0)</f>
        <v>0</v>
      </c>
      <c r="O45" s="14" cm="1">
        <f t="array" ref="O45">INT(SUMPRODUCT(--ISNUMBER(SEARCH(violent,C45)))&gt;0)</f>
        <v>0</v>
      </c>
      <c r="P45" s="14" cm="1">
        <f t="array" ref="P45">INT(SUMPRODUCT(--ISNUMBER(SEARCH(foreign,C45)))&gt;0)</f>
        <v>0</v>
      </c>
      <c r="Q45" s="14" cm="1">
        <f t="array" ref="Q45">INT(SUMPRODUCT(--ISNUMBER(SEARCH(gun,C45)))&gt;0)</f>
        <v>0</v>
      </c>
      <c r="R45" s="14" cm="1">
        <f t="array" ref="R45">INT(SUMPRODUCT(--ISNUMBER(SEARCH(race,C45)))&gt;0)</f>
        <v>1</v>
      </c>
      <c r="S45" s="14" cm="1">
        <f t="array" ref="S45">INT(SUMPRODUCT(--ISNUMBER(SEARCH(immigration,C45)))&gt;0)</f>
        <v>0</v>
      </c>
      <c r="T45" s="14" cm="1">
        <f t="array" ref="T45">INT(SUMPRODUCT(--ISNUMBER(SEARCH(econineq,C46)))&gt;0)</f>
        <v>0</v>
      </c>
      <c r="U45" s="14" cm="1">
        <f t="array" ref="U45">INT(SUMPRODUCT(--ISNUMBER(SEARCH(climate,C45)))&gt;0)</f>
        <v>0</v>
      </c>
      <c r="V45" s="14" cm="1">
        <f t="array" ref="V45">INT(SUMPRODUCT(--ISNUMBER(SEARCH(abortion,C45)))&gt;0)</f>
        <v>0</v>
      </c>
      <c r="W45" s="14" cm="1">
        <f t="array" ref="W45">INT(SUMPRODUCT(--ISNUMBER(SEARCH(trump,C45)))&gt;0)</f>
        <v>0</v>
      </c>
      <c r="X45" s="14" cm="1">
        <f t="array" ref="X45">INT(SUMPRODUCT(--ISNUMBER(SEARCH(voting,C45)))&gt;0)</f>
        <v>0</v>
      </c>
      <c r="Y45" s="14" cm="1">
        <f t="array" ref="Y45">INT(SUMPRODUCT(--ISNUMBER(SEARCH(democrattrigger,C45)))&gt;0)</f>
        <v>0</v>
      </c>
      <c r="Z45" s="14" cm="1">
        <f t="array" ref="Z45">INT(SUMPRODUCT(--ISNUMBER(SEARCH(bipartisan,C45)))&gt;0)</f>
        <v>0</v>
      </c>
      <c r="AA45" s="14">
        <f t="shared" si="0"/>
        <v>0</v>
      </c>
      <c r="AB45" s="14"/>
      <c r="AC45" s="30">
        <v>1</v>
      </c>
      <c r="AD45" s="37">
        <v>0</v>
      </c>
    </row>
    <row r="46" spans="1:30" x14ac:dyDescent="0.25">
      <c r="A46" s="36">
        <v>2199</v>
      </c>
      <c r="B46" s="14" t="s">
        <v>4423</v>
      </c>
      <c r="C46" s="14" t="s">
        <v>4424</v>
      </c>
      <c r="D46" s="17">
        <v>44136</v>
      </c>
      <c r="E46" s="14" t="s">
        <v>30</v>
      </c>
      <c r="F46" s="14">
        <v>188</v>
      </c>
      <c r="G46" s="14">
        <v>26</v>
      </c>
      <c r="H46" s="14">
        <v>11</v>
      </c>
      <c r="I46" s="14">
        <v>6</v>
      </c>
      <c r="J46" s="14" t="s">
        <v>204</v>
      </c>
      <c r="K46" s="14" cm="1">
        <f t="array" ref="K46">INT(SUMPRODUCT(--ISNUMBER(SEARCH(economy,C46)))&gt;0)</f>
        <v>0</v>
      </c>
      <c r="L46" s="14" cm="1">
        <f t="array" ref="L46">INT(SUMPRODUCT(--ISNUMBER(SEARCH(healthcare,C46)))&gt;0)</f>
        <v>0</v>
      </c>
      <c r="M46" s="14" cm="1">
        <f t="array" ref="M46">INT(SUMPRODUCT(--ISNUMBER(SEARCH(supreme,C46)))&gt;0)</f>
        <v>0</v>
      </c>
      <c r="N46" s="14" cm="1">
        <f t="array" ref="N46">INT(SUMPRODUCT(--ISNUMBER(SEARCH(covid,C46)))&gt;0)</f>
        <v>0</v>
      </c>
      <c r="O46" s="14" cm="1">
        <f t="array" ref="O46">INT(SUMPRODUCT(--ISNUMBER(SEARCH(violent,C46)))&gt;0)</f>
        <v>0</v>
      </c>
      <c r="P46" s="14" cm="1">
        <f t="array" ref="P46">INT(SUMPRODUCT(--ISNUMBER(SEARCH(foreign,C46)))&gt;0)</f>
        <v>0</v>
      </c>
      <c r="Q46" s="14" cm="1">
        <f t="array" ref="Q46">INT(SUMPRODUCT(--ISNUMBER(SEARCH(gun,C46)))&gt;0)</f>
        <v>0</v>
      </c>
      <c r="R46" s="14" cm="1">
        <f t="array" ref="R46">INT(SUMPRODUCT(--ISNUMBER(SEARCH(race,C46)))&gt;0)</f>
        <v>0</v>
      </c>
      <c r="S46" s="14" cm="1">
        <f t="array" ref="S46">INT(SUMPRODUCT(--ISNUMBER(SEARCH(immigration,C46)))&gt;0)</f>
        <v>0</v>
      </c>
      <c r="T46" s="14" cm="1">
        <f t="array" ref="T46">INT(SUMPRODUCT(--ISNUMBER(SEARCH(econineq,C47)))&gt;0)</f>
        <v>0</v>
      </c>
      <c r="U46" s="14" cm="1">
        <f t="array" ref="U46">INT(SUMPRODUCT(--ISNUMBER(SEARCH(climate,C46)))&gt;0)</f>
        <v>0</v>
      </c>
      <c r="V46" s="14" cm="1">
        <f t="array" ref="V46">INT(SUMPRODUCT(--ISNUMBER(SEARCH(abortion,C46)))&gt;0)</f>
        <v>0</v>
      </c>
      <c r="W46" s="14" cm="1">
        <f t="array" ref="W46">INT(SUMPRODUCT(--ISNUMBER(SEARCH(trump,C46)))&gt;0)</f>
        <v>0</v>
      </c>
      <c r="X46" s="14" cm="1">
        <f t="array" ref="X46">INT(SUMPRODUCT(--ISNUMBER(SEARCH(voting,C46)))&gt;0)</f>
        <v>1</v>
      </c>
      <c r="Y46" s="14" cm="1">
        <f t="array" ref="Y46">INT(SUMPRODUCT(--ISNUMBER(SEARCH(democrattrigger,C46)))&gt;0)</f>
        <v>0</v>
      </c>
      <c r="Z46" s="14" cm="1">
        <f t="array" ref="Z46">INT(SUMPRODUCT(--ISNUMBER(SEARCH(bipartisan,C46)))&gt;0)</f>
        <v>0</v>
      </c>
      <c r="AA46" s="14">
        <f t="shared" si="0"/>
        <v>0</v>
      </c>
      <c r="AB46" s="14"/>
      <c r="AC46" s="30">
        <v>1</v>
      </c>
      <c r="AD46" s="37">
        <v>0</v>
      </c>
    </row>
    <row r="47" spans="1:30" x14ac:dyDescent="0.25">
      <c r="A47" s="36">
        <v>2200</v>
      </c>
      <c r="B47" s="14" t="s">
        <v>4425</v>
      </c>
      <c r="C47" s="14" t="s">
        <v>4426</v>
      </c>
      <c r="D47" s="17">
        <v>44136</v>
      </c>
      <c r="E47" s="14" t="s">
        <v>30</v>
      </c>
      <c r="F47" s="14">
        <v>111</v>
      </c>
      <c r="G47" s="14">
        <v>11</v>
      </c>
      <c r="H47" s="14">
        <v>11</v>
      </c>
      <c r="I47" s="14">
        <v>6</v>
      </c>
      <c r="J47" s="14" t="s">
        <v>204</v>
      </c>
      <c r="K47" s="14" cm="1">
        <f t="array" ref="K47">INT(SUMPRODUCT(--ISNUMBER(SEARCH(economy,C47)))&gt;0)</f>
        <v>0</v>
      </c>
      <c r="L47" s="14" cm="1">
        <f t="array" ref="L47">INT(SUMPRODUCT(--ISNUMBER(SEARCH(healthcare,C47)))&gt;0)</f>
        <v>0</v>
      </c>
      <c r="M47" s="14" cm="1">
        <f t="array" ref="M47">INT(SUMPRODUCT(--ISNUMBER(SEARCH(supreme,C47)))&gt;0)</f>
        <v>0</v>
      </c>
      <c r="N47" s="14" cm="1">
        <f t="array" ref="N47">INT(SUMPRODUCT(--ISNUMBER(SEARCH(covid,C47)))&gt;0)</f>
        <v>0</v>
      </c>
      <c r="O47" s="14" cm="1">
        <f t="array" ref="O47">INT(SUMPRODUCT(--ISNUMBER(SEARCH(violent,C47)))&gt;0)</f>
        <v>0</v>
      </c>
      <c r="P47" s="14" cm="1">
        <f t="array" ref="P47">INT(SUMPRODUCT(--ISNUMBER(SEARCH(foreign,C47)))&gt;0)</f>
        <v>0</v>
      </c>
      <c r="Q47" s="14" cm="1">
        <f t="array" ref="Q47">INT(SUMPRODUCT(--ISNUMBER(SEARCH(gun,C47)))&gt;0)</f>
        <v>0</v>
      </c>
      <c r="R47" s="14" cm="1">
        <f t="array" ref="R47">INT(SUMPRODUCT(--ISNUMBER(SEARCH(race,C47)))&gt;0)</f>
        <v>0</v>
      </c>
      <c r="S47" s="14" cm="1">
        <f t="array" ref="S47">INT(SUMPRODUCT(--ISNUMBER(SEARCH(immigration,C47)))&gt;0)</f>
        <v>0</v>
      </c>
      <c r="T47" s="14" cm="1">
        <f t="array" ref="T47">INT(SUMPRODUCT(--ISNUMBER(SEARCH(econineq,C48)))&gt;0)</f>
        <v>0</v>
      </c>
      <c r="U47" s="14" cm="1">
        <f t="array" ref="U47">INT(SUMPRODUCT(--ISNUMBER(SEARCH(climate,C47)))&gt;0)</f>
        <v>0</v>
      </c>
      <c r="V47" s="14" cm="1">
        <f t="array" ref="V47">INT(SUMPRODUCT(--ISNUMBER(SEARCH(abortion,C47)))&gt;0)</f>
        <v>0</v>
      </c>
      <c r="W47" s="14" cm="1">
        <f t="array" ref="W47">INT(SUMPRODUCT(--ISNUMBER(SEARCH(trump,C47)))&gt;0)</f>
        <v>0</v>
      </c>
      <c r="X47" s="14" cm="1">
        <f t="array" ref="X47">INT(SUMPRODUCT(--ISNUMBER(SEARCH(voting,C47)))&gt;0)</f>
        <v>1</v>
      </c>
      <c r="Y47" s="14" cm="1">
        <f t="array" ref="Y47">INT(SUMPRODUCT(--ISNUMBER(SEARCH(democrattrigger,C47)))&gt;0)</f>
        <v>0</v>
      </c>
      <c r="Z47" s="14" cm="1">
        <f t="array" ref="Z47">INT(SUMPRODUCT(--ISNUMBER(SEARCH(bipartisan,C47)))&gt;0)</f>
        <v>0</v>
      </c>
      <c r="AA47" s="14">
        <f t="shared" si="0"/>
        <v>0</v>
      </c>
      <c r="AB47" s="14"/>
      <c r="AC47" s="30">
        <v>1</v>
      </c>
      <c r="AD47" s="37">
        <v>0</v>
      </c>
    </row>
    <row r="48" spans="1:30" x14ac:dyDescent="0.25">
      <c r="A48" s="36">
        <v>2201</v>
      </c>
      <c r="B48" s="14" t="s">
        <v>4427</v>
      </c>
      <c r="C48" s="14" t="s">
        <v>4428</v>
      </c>
      <c r="D48" s="17">
        <v>44136</v>
      </c>
      <c r="E48" s="14" t="s">
        <v>30</v>
      </c>
      <c r="F48" s="14">
        <v>102</v>
      </c>
      <c r="G48" s="14">
        <v>22</v>
      </c>
      <c r="H48" s="14">
        <v>11</v>
      </c>
      <c r="I48" s="14">
        <v>6</v>
      </c>
      <c r="J48" s="14" t="s">
        <v>204</v>
      </c>
      <c r="K48" s="14" cm="1">
        <f t="array" ref="K48">INT(SUMPRODUCT(--ISNUMBER(SEARCH(economy,C48)))&gt;0)</f>
        <v>0</v>
      </c>
      <c r="L48" s="14" cm="1">
        <f t="array" ref="L48">INT(SUMPRODUCT(--ISNUMBER(SEARCH(healthcare,C48)))&gt;0)</f>
        <v>0</v>
      </c>
      <c r="M48" s="14" cm="1">
        <f t="array" ref="M48">INT(SUMPRODUCT(--ISNUMBER(SEARCH(supreme,C48)))&gt;0)</f>
        <v>0</v>
      </c>
      <c r="N48" s="14" cm="1">
        <f t="array" ref="N48">INT(SUMPRODUCT(--ISNUMBER(SEARCH(covid,C48)))&gt;0)</f>
        <v>0</v>
      </c>
      <c r="O48" s="14" cm="1">
        <f t="array" ref="O48">INT(SUMPRODUCT(--ISNUMBER(SEARCH(violent,C48)))&gt;0)</f>
        <v>0</v>
      </c>
      <c r="P48" s="14" cm="1">
        <f t="array" ref="P48">INT(SUMPRODUCT(--ISNUMBER(SEARCH(foreign,C48)))&gt;0)</f>
        <v>0</v>
      </c>
      <c r="Q48" s="14" cm="1">
        <f t="array" ref="Q48">INT(SUMPRODUCT(--ISNUMBER(SEARCH(gun,C48)))&gt;0)</f>
        <v>0</v>
      </c>
      <c r="R48" s="14" cm="1">
        <f t="array" ref="R48">INT(SUMPRODUCT(--ISNUMBER(SEARCH(race,C48)))&gt;0)</f>
        <v>0</v>
      </c>
      <c r="S48" s="14" cm="1">
        <f t="array" ref="S48">INT(SUMPRODUCT(--ISNUMBER(SEARCH(immigration,C48)))&gt;0)</f>
        <v>0</v>
      </c>
      <c r="T48" s="14" cm="1">
        <f t="array" ref="T48">INT(SUMPRODUCT(--ISNUMBER(SEARCH(econineq,C49)))&gt;0)</f>
        <v>0</v>
      </c>
      <c r="U48" s="14" cm="1">
        <f t="array" ref="U48">INT(SUMPRODUCT(--ISNUMBER(SEARCH(climate,C48)))&gt;0)</f>
        <v>0</v>
      </c>
      <c r="V48" s="14" cm="1">
        <f t="array" ref="V48">INT(SUMPRODUCT(--ISNUMBER(SEARCH(abortion,C48)))&gt;0)</f>
        <v>0</v>
      </c>
      <c r="W48" s="14" cm="1">
        <f t="array" ref="W48">INT(SUMPRODUCT(--ISNUMBER(SEARCH(trump,C48)))&gt;0)</f>
        <v>0</v>
      </c>
      <c r="X48" s="14" cm="1">
        <f t="array" ref="X48">INT(SUMPRODUCT(--ISNUMBER(SEARCH(voting,C48)))&gt;0)</f>
        <v>0</v>
      </c>
      <c r="Y48" s="14" cm="1">
        <f t="array" ref="Y48">INT(SUMPRODUCT(--ISNUMBER(SEARCH(democrattrigger,C48)))&gt;0)</f>
        <v>0</v>
      </c>
      <c r="Z48" s="14" cm="1">
        <f t="array" ref="Z48">INT(SUMPRODUCT(--ISNUMBER(SEARCH(bipartisan,C48)))&gt;0)</f>
        <v>0</v>
      </c>
      <c r="AA48" s="14">
        <f t="shared" si="0"/>
        <v>1</v>
      </c>
      <c r="AB48" s="14"/>
      <c r="AC48" s="30" t="s">
        <v>223</v>
      </c>
      <c r="AD48" s="37" t="s">
        <v>223</v>
      </c>
    </row>
    <row r="49" spans="1:30" x14ac:dyDescent="0.25">
      <c r="A49" s="36">
        <v>2202</v>
      </c>
      <c r="B49" s="14" t="s">
        <v>4429</v>
      </c>
      <c r="C49" s="14" t="s">
        <v>4430</v>
      </c>
      <c r="D49" s="17">
        <v>44136</v>
      </c>
      <c r="E49" s="14" t="s">
        <v>30</v>
      </c>
      <c r="F49" s="14">
        <v>138</v>
      </c>
      <c r="G49" s="14">
        <v>21</v>
      </c>
      <c r="H49" s="14">
        <v>11</v>
      </c>
      <c r="I49" s="14">
        <v>6</v>
      </c>
      <c r="J49" s="14" t="s">
        <v>204</v>
      </c>
      <c r="K49" s="14" cm="1">
        <f t="array" ref="K49">INT(SUMPRODUCT(--ISNUMBER(SEARCH(economy,C49)))&gt;0)</f>
        <v>0</v>
      </c>
      <c r="L49" s="14" cm="1">
        <f t="array" ref="L49">INT(SUMPRODUCT(--ISNUMBER(SEARCH(healthcare,C49)))&gt;0)</f>
        <v>0</v>
      </c>
      <c r="M49" s="14" cm="1">
        <f t="array" ref="M49">INT(SUMPRODUCT(--ISNUMBER(SEARCH(supreme,C49)))&gt;0)</f>
        <v>0</v>
      </c>
      <c r="N49" s="14" cm="1">
        <f t="array" ref="N49">INT(SUMPRODUCT(--ISNUMBER(SEARCH(covid,C49)))&gt;0)</f>
        <v>0</v>
      </c>
      <c r="O49" s="14" cm="1">
        <f t="array" ref="O49">INT(SUMPRODUCT(--ISNUMBER(SEARCH(violent,C49)))&gt;0)</f>
        <v>0</v>
      </c>
      <c r="P49" s="14" cm="1">
        <f t="array" ref="P49">INT(SUMPRODUCT(--ISNUMBER(SEARCH(foreign,C49)))&gt;0)</f>
        <v>0</v>
      </c>
      <c r="Q49" s="14" cm="1">
        <f t="array" ref="Q49">INT(SUMPRODUCT(--ISNUMBER(SEARCH(gun,C49)))&gt;0)</f>
        <v>0</v>
      </c>
      <c r="R49" s="14" cm="1">
        <f t="array" ref="R49">INT(SUMPRODUCT(--ISNUMBER(SEARCH(race,C49)))&gt;0)</f>
        <v>0</v>
      </c>
      <c r="S49" s="14" cm="1">
        <f t="array" ref="S49">INT(SUMPRODUCT(--ISNUMBER(SEARCH(immigration,C49)))&gt;0)</f>
        <v>0</v>
      </c>
      <c r="T49" s="14" cm="1">
        <f t="array" ref="T49">INT(SUMPRODUCT(--ISNUMBER(SEARCH(econineq,C50)))&gt;0)</f>
        <v>0</v>
      </c>
      <c r="U49" s="14" cm="1">
        <f t="array" ref="U49">INT(SUMPRODUCT(--ISNUMBER(SEARCH(climate,C49)))&gt;0)</f>
        <v>0</v>
      </c>
      <c r="V49" s="14" cm="1">
        <f t="array" ref="V49">INT(SUMPRODUCT(--ISNUMBER(SEARCH(abortion,C49)))&gt;0)</f>
        <v>0</v>
      </c>
      <c r="W49" s="14" cm="1">
        <f t="array" ref="W49">INT(SUMPRODUCT(--ISNUMBER(SEARCH(trump,C49)))&gt;0)</f>
        <v>0</v>
      </c>
      <c r="X49" s="14" cm="1">
        <f t="array" ref="X49">INT(SUMPRODUCT(--ISNUMBER(SEARCH(voting,C49)))&gt;0)</f>
        <v>0</v>
      </c>
      <c r="Y49" s="14" cm="1">
        <f t="array" ref="Y49">INT(SUMPRODUCT(--ISNUMBER(SEARCH(democrattrigger,C49)))&gt;0)</f>
        <v>0</v>
      </c>
      <c r="Z49" s="14" cm="1">
        <f t="array" ref="Z49">INT(SUMPRODUCT(--ISNUMBER(SEARCH(bipartisan,C49)))&gt;0)</f>
        <v>0</v>
      </c>
      <c r="AA49" s="14">
        <f t="shared" si="0"/>
        <v>1</v>
      </c>
      <c r="AB49" s="14"/>
      <c r="AC49" s="30" t="s">
        <v>223</v>
      </c>
      <c r="AD49" s="37" t="s">
        <v>223</v>
      </c>
    </row>
    <row r="50" spans="1:30" x14ac:dyDescent="0.25">
      <c r="A50" s="36">
        <v>2203</v>
      </c>
      <c r="B50" s="14" t="s">
        <v>4431</v>
      </c>
      <c r="C50" s="14" t="s">
        <v>4432</v>
      </c>
      <c r="D50" s="17">
        <v>44136</v>
      </c>
      <c r="E50" s="14" t="s">
        <v>30</v>
      </c>
      <c r="F50" s="14">
        <v>88</v>
      </c>
      <c r="G50" s="14">
        <v>17</v>
      </c>
      <c r="H50" s="14">
        <v>11</v>
      </c>
      <c r="I50" s="14">
        <v>6</v>
      </c>
      <c r="J50" s="14" t="s">
        <v>204</v>
      </c>
      <c r="K50" s="14" cm="1">
        <f t="array" ref="K50">INT(SUMPRODUCT(--ISNUMBER(SEARCH(economy,C50)))&gt;0)</f>
        <v>0</v>
      </c>
      <c r="L50" s="14" cm="1">
        <f t="array" ref="L50">INT(SUMPRODUCT(--ISNUMBER(SEARCH(healthcare,C50)))&gt;0)</f>
        <v>0</v>
      </c>
      <c r="M50" s="14" cm="1">
        <f t="array" ref="M50">INT(SUMPRODUCT(--ISNUMBER(SEARCH(supreme,C50)))&gt;0)</f>
        <v>0</v>
      </c>
      <c r="N50" s="14" cm="1">
        <f t="array" ref="N50">INT(SUMPRODUCT(--ISNUMBER(SEARCH(covid,C50)))&gt;0)</f>
        <v>0</v>
      </c>
      <c r="O50" s="14" cm="1">
        <f t="array" ref="O50">INT(SUMPRODUCT(--ISNUMBER(SEARCH(violent,C50)))&gt;0)</f>
        <v>0</v>
      </c>
      <c r="P50" s="14" cm="1">
        <f t="array" ref="P50">INT(SUMPRODUCT(--ISNUMBER(SEARCH(foreign,C50)))&gt;0)</f>
        <v>0</v>
      </c>
      <c r="Q50" s="14" cm="1">
        <f t="array" ref="Q50">INT(SUMPRODUCT(--ISNUMBER(SEARCH(gun,C50)))&gt;0)</f>
        <v>0</v>
      </c>
      <c r="R50" s="14" cm="1">
        <f t="array" ref="R50">INT(SUMPRODUCT(--ISNUMBER(SEARCH(race,C50)))&gt;0)</f>
        <v>0</v>
      </c>
      <c r="S50" s="14" cm="1">
        <f t="array" ref="S50">INT(SUMPRODUCT(--ISNUMBER(SEARCH(immigration,C50)))&gt;0)</f>
        <v>0</v>
      </c>
      <c r="T50" s="14" cm="1">
        <f t="array" ref="T50">INT(SUMPRODUCT(--ISNUMBER(SEARCH(econineq,C51)))&gt;0)</f>
        <v>0</v>
      </c>
      <c r="U50" s="14" cm="1">
        <f t="array" ref="U50">INT(SUMPRODUCT(--ISNUMBER(SEARCH(climate,C50)))&gt;0)</f>
        <v>0</v>
      </c>
      <c r="V50" s="14" cm="1">
        <f t="array" ref="V50">INT(SUMPRODUCT(--ISNUMBER(SEARCH(abortion,C50)))&gt;0)</f>
        <v>0</v>
      </c>
      <c r="W50" s="14" cm="1">
        <f t="array" ref="W50">INT(SUMPRODUCT(--ISNUMBER(SEARCH(trump,C50)))&gt;0)</f>
        <v>0</v>
      </c>
      <c r="X50" s="14" cm="1">
        <f t="array" ref="X50">INT(SUMPRODUCT(--ISNUMBER(SEARCH(voting,C50)))&gt;0)</f>
        <v>1</v>
      </c>
      <c r="Y50" s="14" cm="1">
        <f t="array" ref="Y50">INT(SUMPRODUCT(--ISNUMBER(SEARCH(democrattrigger,C50)))&gt;0)</f>
        <v>0</v>
      </c>
      <c r="Z50" s="14" cm="1">
        <f t="array" ref="Z50">INT(SUMPRODUCT(--ISNUMBER(SEARCH(bipartisan,C50)))&gt;0)</f>
        <v>0</v>
      </c>
      <c r="AA50" s="14">
        <f t="shared" si="0"/>
        <v>0</v>
      </c>
      <c r="AB50" s="14"/>
      <c r="AC50" s="30">
        <v>1</v>
      </c>
      <c r="AD50" s="37">
        <v>0</v>
      </c>
    </row>
    <row r="51" spans="1:30" x14ac:dyDescent="0.25">
      <c r="A51" s="36">
        <v>2204</v>
      </c>
      <c r="B51" s="14" t="s">
        <v>4433</v>
      </c>
      <c r="C51" s="14" t="s">
        <v>4434</v>
      </c>
      <c r="D51" s="17">
        <v>44135</v>
      </c>
      <c r="E51" s="14" t="s">
        <v>30</v>
      </c>
      <c r="F51" s="14">
        <v>59</v>
      </c>
      <c r="G51" s="14">
        <v>15</v>
      </c>
      <c r="H51" s="14">
        <v>11</v>
      </c>
      <c r="I51" s="14">
        <v>6</v>
      </c>
      <c r="J51" s="14" t="s">
        <v>204</v>
      </c>
      <c r="K51" s="14" cm="1">
        <f t="array" ref="K51">INT(SUMPRODUCT(--ISNUMBER(SEARCH(economy,C51)))&gt;0)</f>
        <v>0</v>
      </c>
      <c r="L51" s="14" cm="1">
        <f t="array" ref="L51">INT(SUMPRODUCT(--ISNUMBER(SEARCH(healthcare,C51)))&gt;0)</f>
        <v>0</v>
      </c>
      <c r="M51" s="14" cm="1">
        <f t="array" ref="M51">INT(SUMPRODUCT(--ISNUMBER(SEARCH(supreme,C51)))&gt;0)</f>
        <v>0</v>
      </c>
      <c r="N51" s="14" cm="1">
        <f t="array" ref="N51">INT(SUMPRODUCT(--ISNUMBER(SEARCH(covid,C51)))&gt;0)</f>
        <v>0</v>
      </c>
      <c r="O51" s="14" cm="1">
        <f t="array" ref="O51">INT(SUMPRODUCT(--ISNUMBER(SEARCH(violent,C51)))&gt;0)</f>
        <v>0</v>
      </c>
      <c r="P51" s="14" cm="1">
        <f t="array" ref="P51">INT(SUMPRODUCT(--ISNUMBER(SEARCH(foreign,C51)))&gt;0)</f>
        <v>1</v>
      </c>
      <c r="Q51" s="14" cm="1">
        <f t="array" ref="Q51">INT(SUMPRODUCT(--ISNUMBER(SEARCH(gun,C51)))&gt;0)</f>
        <v>0</v>
      </c>
      <c r="R51" s="14" cm="1">
        <f t="array" ref="R51">INT(SUMPRODUCT(--ISNUMBER(SEARCH(race,C51)))&gt;0)</f>
        <v>0</v>
      </c>
      <c r="S51" s="14" cm="1">
        <f t="array" ref="S51">INT(SUMPRODUCT(--ISNUMBER(SEARCH(immigration,C51)))&gt;0)</f>
        <v>0</v>
      </c>
      <c r="T51" s="14" cm="1">
        <f t="array" ref="T51">INT(SUMPRODUCT(--ISNUMBER(SEARCH(econineq,C52)))&gt;0)</f>
        <v>0</v>
      </c>
      <c r="U51" s="14" cm="1">
        <f t="array" ref="U51">INT(SUMPRODUCT(--ISNUMBER(SEARCH(climate,C51)))&gt;0)</f>
        <v>0</v>
      </c>
      <c r="V51" s="14" cm="1">
        <f t="array" ref="V51">INT(SUMPRODUCT(--ISNUMBER(SEARCH(abortion,C51)))&gt;0)</f>
        <v>0</v>
      </c>
      <c r="W51" s="14" cm="1">
        <f t="array" ref="W51">INT(SUMPRODUCT(--ISNUMBER(SEARCH(trump,C51)))&gt;0)</f>
        <v>0</v>
      </c>
      <c r="X51" s="14" cm="1">
        <f t="array" ref="X51">INT(SUMPRODUCT(--ISNUMBER(SEARCH(voting,C51)))&gt;0)</f>
        <v>1</v>
      </c>
      <c r="Y51" s="14" cm="1">
        <f t="array" ref="Y51">INT(SUMPRODUCT(--ISNUMBER(SEARCH(democrattrigger,C51)))&gt;0)</f>
        <v>0</v>
      </c>
      <c r="Z51" s="14" cm="1">
        <f t="array" ref="Z51">INT(SUMPRODUCT(--ISNUMBER(SEARCH(bipartisan,C51)))&gt;0)</f>
        <v>0</v>
      </c>
      <c r="AA51" s="14">
        <f t="shared" si="0"/>
        <v>0</v>
      </c>
      <c r="AB51" s="14"/>
      <c r="AC51" s="30">
        <v>0</v>
      </c>
      <c r="AD51" s="37">
        <v>1</v>
      </c>
    </row>
    <row r="52" spans="1:30" x14ac:dyDescent="0.25">
      <c r="A52" s="36">
        <v>2205</v>
      </c>
      <c r="B52" s="14" t="s">
        <v>4435</v>
      </c>
      <c r="C52" s="14" t="s">
        <v>4436</v>
      </c>
      <c r="D52" s="17">
        <v>44135</v>
      </c>
      <c r="E52" s="14" t="s">
        <v>30</v>
      </c>
      <c r="F52" s="14">
        <v>73</v>
      </c>
      <c r="G52" s="14">
        <v>15</v>
      </c>
      <c r="H52" s="14">
        <v>11</v>
      </c>
      <c r="I52" s="14">
        <v>6</v>
      </c>
      <c r="J52" s="14" t="s">
        <v>204</v>
      </c>
      <c r="K52" s="14" cm="1">
        <f t="array" ref="K52">INT(SUMPRODUCT(--ISNUMBER(SEARCH(economy,C52)))&gt;0)</f>
        <v>0</v>
      </c>
      <c r="L52" s="14" cm="1">
        <f t="array" ref="L52">INT(SUMPRODUCT(--ISNUMBER(SEARCH(healthcare,C52)))&gt;0)</f>
        <v>0</v>
      </c>
      <c r="M52" s="14" cm="1">
        <f t="array" ref="M52">INT(SUMPRODUCT(--ISNUMBER(SEARCH(supreme,C52)))&gt;0)</f>
        <v>0</v>
      </c>
      <c r="N52" s="14" cm="1">
        <f t="array" ref="N52">INT(SUMPRODUCT(--ISNUMBER(SEARCH(covid,C52)))&gt;0)</f>
        <v>0</v>
      </c>
      <c r="O52" s="14" cm="1">
        <f t="array" ref="O52">INT(SUMPRODUCT(--ISNUMBER(SEARCH(violent,C52)))&gt;0)</f>
        <v>0</v>
      </c>
      <c r="P52" s="14" cm="1">
        <f t="array" ref="P52">INT(SUMPRODUCT(--ISNUMBER(SEARCH(foreign,C52)))&gt;0)</f>
        <v>1</v>
      </c>
      <c r="Q52" s="14" cm="1">
        <f t="array" ref="Q52">INT(SUMPRODUCT(--ISNUMBER(SEARCH(gun,C52)))&gt;0)</f>
        <v>0</v>
      </c>
      <c r="R52" s="14" cm="1">
        <f t="array" ref="R52">INT(SUMPRODUCT(--ISNUMBER(SEARCH(race,C52)))&gt;0)</f>
        <v>0</v>
      </c>
      <c r="S52" s="14" cm="1">
        <f t="array" ref="S52">INT(SUMPRODUCT(--ISNUMBER(SEARCH(immigration,C52)))&gt;0)</f>
        <v>0</v>
      </c>
      <c r="T52" s="14" cm="1">
        <f t="array" ref="T52">INT(SUMPRODUCT(--ISNUMBER(SEARCH(econineq,C53)))&gt;0)</f>
        <v>0</v>
      </c>
      <c r="U52" s="14" cm="1">
        <f t="array" ref="U52">INT(SUMPRODUCT(--ISNUMBER(SEARCH(climate,C52)))&gt;0)</f>
        <v>0</v>
      </c>
      <c r="V52" s="14" cm="1">
        <f t="array" ref="V52">INT(SUMPRODUCT(--ISNUMBER(SEARCH(abortion,C52)))&gt;0)</f>
        <v>0</v>
      </c>
      <c r="W52" s="14" cm="1">
        <f t="array" ref="W52">INT(SUMPRODUCT(--ISNUMBER(SEARCH(trump,C52)))&gt;0)</f>
        <v>0</v>
      </c>
      <c r="X52" s="14" cm="1">
        <f t="array" ref="X52">INT(SUMPRODUCT(--ISNUMBER(SEARCH(voting,C52)))&gt;0)</f>
        <v>1</v>
      </c>
      <c r="Y52" s="14" cm="1">
        <f t="array" ref="Y52">INT(SUMPRODUCT(--ISNUMBER(SEARCH(democrattrigger,C52)))&gt;0)</f>
        <v>0</v>
      </c>
      <c r="Z52" s="14" cm="1">
        <f t="array" ref="Z52">INT(SUMPRODUCT(--ISNUMBER(SEARCH(bipartisan,C52)))&gt;0)</f>
        <v>0</v>
      </c>
      <c r="AA52" s="14">
        <f t="shared" si="0"/>
        <v>0</v>
      </c>
      <c r="AB52" s="14"/>
      <c r="AC52" s="30">
        <v>1</v>
      </c>
      <c r="AD52" s="37">
        <v>0</v>
      </c>
    </row>
    <row r="53" spans="1:30" x14ac:dyDescent="0.25">
      <c r="A53" s="36">
        <v>2206</v>
      </c>
      <c r="B53" s="14" t="s">
        <v>4437</v>
      </c>
      <c r="C53" s="14" t="s">
        <v>4438</v>
      </c>
      <c r="D53" s="17">
        <v>44135</v>
      </c>
      <c r="E53" s="14" t="s">
        <v>30</v>
      </c>
      <c r="F53" s="14">
        <v>52</v>
      </c>
      <c r="G53" s="14">
        <v>12</v>
      </c>
      <c r="H53" s="14">
        <v>11</v>
      </c>
      <c r="I53" s="14">
        <v>6</v>
      </c>
      <c r="J53" s="14" t="s">
        <v>204</v>
      </c>
      <c r="K53" s="14" cm="1">
        <f t="array" ref="K53">INT(SUMPRODUCT(--ISNUMBER(SEARCH(economy,C53)))&gt;0)</f>
        <v>0</v>
      </c>
      <c r="L53" s="14" cm="1">
        <f t="array" ref="L53">INT(SUMPRODUCT(--ISNUMBER(SEARCH(healthcare,C53)))&gt;0)</f>
        <v>0</v>
      </c>
      <c r="M53" s="14" cm="1">
        <f t="array" ref="M53">INT(SUMPRODUCT(--ISNUMBER(SEARCH(supreme,C53)))&gt;0)</f>
        <v>0</v>
      </c>
      <c r="N53" s="14" cm="1">
        <f t="array" ref="N53">INT(SUMPRODUCT(--ISNUMBER(SEARCH(covid,C53)))&gt;0)</f>
        <v>0</v>
      </c>
      <c r="O53" s="14" cm="1">
        <f t="array" ref="O53">INT(SUMPRODUCT(--ISNUMBER(SEARCH(violent,C53)))&gt;0)</f>
        <v>0</v>
      </c>
      <c r="P53" s="14" cm="1">
        <f t="array" ref="P53">INT(SUMPRODUCT(--ISNUMBER(SEARCH(foreign,C53)))&gt;0)</f>
        <v>1</v>
      </c>
      <c r="Q53" s="14" cm="1">
        <f t="array" ref="Q53">INT(SUMPRODUCT(--ISNUMBER(SEARCH(gun,C53)))&gt;0)</f>
        <v>0</v>
      </c>
      <c r="R53" s="14" cm="1">
        <f t="array" ref="R53">INT(SUMPRODUCT(--ISNUMBER(SEARCH(race,C53)))&gt;0)</f>
        <v>0</v>
      </c>
      <c r="S53" s="14" cm="1">
        <f t="array" ref="S53">INT(SUMPRODUCT(--ISNUMBER(SEARCH(immigration,C53)))&gt;0)</f>
        <v>0</v>
      </c>
      <c r="T53" s="14" cm="1">
        <f t="array" ref="T53">INT(SUMPRODUCT(--ISNUMBER(SEARCH(econineq,C54)))&gt;0)</f>
        <v>0</v>
      </c>
      <c r="U53" s="14" cm="1">
        <f t="array" ref="U53">INT(SUMPRODUCT(--ISNUMBER(SEARCH(climate,C53)))&gt;0)</f>
        <v>0</v>
      </c>
      <c r="V53" s="14" cm="1">
        <f t="array" ref="V53">INT(SUMPRODUCT(--ISNUMBER(SEARCH(abortion,C53)))&gt;0)</f>
        <v>0</v>
      </c>
      <c r="W53" s="14" cm="1">
        <f t="array" ref="W53">INT(SUMPRODUCT(--ISNUMBER(SEARCH(trump,C53)))&gt;0)</f>
        <v>0</v>
      </c>
      <c r="X53" s="14" cm="1">
        <f t="array" ref="X53">INT(SUMPRODUCT(--ISNUMBER(SEARCH(voting,C53)))&gt;0)</f>
        <v>1</v>
      </c>
      <c r="Y53" s="14" cm="1">
        <f t="array" ref="Y53">INT(SUMPRODUCT(--ISNUMBER(SEARCH(democrattrigger,C53)))&gt;0)</f>
        <v>0</v>
      </c>
      <c r="Z53" s="14" cm="1">
        <f t="array" ref="Z53">INT(SUMPRODUCT(--ISNUMBER(SEARCH(bipartisan,C53)))&gt;0)</f>
        <v>0</v>
      </c>
      <c r="AA53" s="14">
        <f t="shared" si="0"/>
        <v>0</v>
      </c>
      <c r="AB53" s="14"/>
      <c r="AC53" s="30" t="s">
        <v>223</v>
      </c>
      <c r="AD53" s="37" t="s">
        <v>223</v>
      </c>
    </row>
    <row r="54" spans="1:30" x14ac:dyDescent="0.25">
      <c r="A54" s="36">
        <v>2207</v>
      </c>
      <c r="B54" s="14" t="s">
        <v>4439</v>
      </c>
      <c r="C54" s="14" t="s">
        <v>4440</v>
      </c>
      <c r="D54" s="17">
        <v>44135</v>
      </c>
      <c r="E54" s="14" t="s">
        <v>30</v>
      </c>
      <c r="F54" s="14">
        <v>73</v>
      </c>
      <c r="G54" s="14">
        <v>10</v>
      </c>
      <c r="H54" s="14">
        <v>11</v>
      </c>
      <c r="I54" s="14">
        <v>6</v>
      </c>
      <c r="J54" s="14" t="s">
        <v>204</v>
      </c>
      <c r="K54" s="14" cm="1">
        <f t="array" ref="K54">INT(SUMPRODUCT(--ISNUMBER(SEARCH(economy,C54)))&gt;0)</f>
        <v>0</v>
      </c>
      <c r="L54" s="14" cm="1">
        <f t="array" ref="L54">INT(SUMPRODUCT(--ISNUMBER(SEARCH(healthcare,C54)))&gt;0)</f>
        <v>0</v>
      </c>
      <c r="M54" s="14" cm="1">
        <f t="array" ref="M54">INT(SUMPRODUCT(--ISNUMBER(SEARCH(supreme,C54)))&gt;0)</f>
        <v>0</v>
      </c>
      <c r="N54" s="14" cm="1">
        <f t="array" ref="N54">INT(SUMPRODUCT(--ISNUMBER(SEARCH(covid,C54)))&gt;0)</f>
        <v>0</v>
      </c>
      <c r="O54" s="14" cm="1">
        <f t="array" ref="O54">INT(SUMPRODUCT(--ISNUMBER(SEARCH(violent,C54)))&gt;0)</f>
        <v>0</v>
      </c>
      <c r="P54" s="14" cm="1">
        <f t="array" ref="P54">INT(SUMPRODUCT(--ISNUMBER(SEARCH(foreign,C54)))&gt;0)</f>
        <v>0</v>
      </c>
      <c r="Q54" s="14" cm="1">
        <f t="array" ref="Q54">INT(SUMPRODUCT(--ISNUMBER(SEARCH(gun,C54)))&gt;0)</f>
        <v>0</v>
      </c>
      <c r="R54" s="14" cm="1">
        <f t="array" ref="R54">INT(SUMPRODUCT(--ISNUMBER(SEARCH(race,C54)))&gt;0)</f>
        <v>0</v>
      </c>
      <c r="S54" s="14" cm="1">
        <f t="array" ref="S54">INT(SUMPRODUCT(--ISNUMBER(SEARCH(immigration,C54)))&gt;0)</f>
        <v>0</v>
      </c>
      <c r="T54" s="14" cm="1">
        <f t="array" ref="T54">INT(SUMPRODUCT(--ISNUMBER(SEARCH(econineq,C55)))&gt;0)</f>
        <v>0</v>
      </c>
      <c r="U54" s="14" cm="1">
        <f t="array" ref="U54">INT(SUMPRODUCT(--ISNUMBER(SEARCH(climate,C54)))&gt;0)</f>
        <v>0</v>
      </c>
      <c r="V54" s="14" cm="1">
        <f t="array" ref="V54">INT(SUMPRODUCT(--ISNUMBER(SEARCH(abortion,C54)))&gt;0)</f>
        <v>0</v>
      </c>
      <c r="W54" s="14" cm="1">
        <f t="array" ref="W54">INT(SUMPRODUCT(--ISNUMBER(SEARCH(trump,C54)))&gt;0)</f>
        <v>0</v>
      </c>
      <c r="X54" s="14" cm="1">
        <f t="array" ref="X54">INT(SUMPRODUCT(--ISNUMBER(SEARCH(voting,C54)))&gt;0)</f>
        <v>1</v>
      </c>
      <c r="Y54" s="14" cm="1">
        <f t="array" ref="Y54">INT(SUMPRODUCT(--ISNUMBER(SEARCH(democrattrigger,C54)))&gt;0)</f>
        <v>0</v>
      </c>
      <c r="Z54" s="14" cm="1">
        <f t="array" ref="Z54">INT(SUMPRODUCT(--ISNUMBER(SEARCH(bipartisan,C54)))&gt;0)</f>
        <v>0</v>
      </c>
      <c r="AA54" s="14">
        <f t="shared" si="0"/>
        <v>0</v>
      </c>
      <c r="AB54" s="14"/>
      <c r="AC54" s="30">
        <v>0</v>
      </c>
      <c r="AD54" s="37">
        <v>1</v>
      </c>
    </row>
    <row r="55" spans="1:30" x14ac:dyDescent="0.25">
      <c r="A55" s="36">
        <v>2208</v>
      </c>
      <c r="B55" s="14" t="s">
        <v>4441</v>
      </c>
      <c r="C55" s="14" t="s">
        <v>4442</v>
      </c>
      <c r="D55" s="17">
        <v>44135</v>
      </c>
      <c r="E55" s="14" t="s">
        <v>30</v>
      </c>
      <c r="F55" s="14">
        <v>62</v>
      </c>
      <c r="G55" s="14">
        <v>13</v>
      </c>
      <c r="H55" s="14">
        <v>11</v>
      </c>
      <c r="I55" s="14">
        <v>6</v>
      </c>
      <c r="J55" s="14" t="s">
        <v>204</v>
      </c>
      <c r="K55" s="14" cm="1">
        <f t="array" ref="K55">INT(SUMPRODUCT(--ISNUMBER(SEARCH(economy,C55)))&gt;0)</f>
        <v>0</v>
      </c>
      <c r="L55" s="14" cm="1">
        <f t="array" ref="L55">INT(SUMPRODUCT(--ISNUMBER(SEARCH(healthcare,C55)))&gt;0)</f>
        <v>0</v>
      </c>
      <c r="M55" s="14" cm="1">
        <f t="array" ref="M55">INT(SUMPRODUCT(--ISNUMBER(SEARCH(supreme,C55)))&gt;0)</f>
        <v>0</v>
      </c>
      <c r="N55" s="14" cm="1">
        <f t="array" ref="N55">INT(SUMPRODUCT(--ISNUMBER(SEARCH(covid,C55)))&gt;0)</f>
        <v>0</v>
      </c>
      <c r="O55" s="14" cm="1">
        <f t="array" ref="O55">INT(SUMPRODUCT(--ISNUMBER(SEARCH(violent,C55)))&gt;0)</f>
        <v>0</v>
      </c>
      <c r="P55" s="14" cm="1">
        <f t="array" ref="P55">INT(SUMPRODUCT(--ISNUMBER(SEARCH(foreign,C55)))&gt;0)</f>
        <v>0</v>
      </c>
      <c r="Q55" s="14" cm="1">
        <f t="array" ref="Q55">INT(SUMPRODUCT(--ISNUMBER(SEARCH(gun,C55)))&gt;0)</f>
        <v>0</v>
      </c>
      <c r="R55" s="14" cm="1">
        <f t="array" ref="R55">INT(SUMPRODUCT(--ISNUMBER(SEARCH(race,C55)))&gt;0)</f>
        <v>0</v>
      </c>
      <c r="S55" s="14" cm="1">
        <f t="array" ref="S55">INT(SUMPRODUCT(--ISNUMBER(SEARCH(immigration,C55)))&gt;0)</f>
        <v>0</v>
      </c>
      <c r="T55" s="14" cm="1">
        <f t="array" ref="T55">INT(SUMPRODUCT(--ISNUMBER(SEARCH(econineq,C56)))&gt;0)</f>
        <v>0</v>
      </c>
      <c r="U55" s="14" cm="1">
        <f t="array" ref="U55">INT(SUMPRODUCT(--ISNUMBER(SEARCH(climate,C55)))&gt;0)</f>
        <v>0</v>
      </c>
      <c r="V55" s="14" cm="1">
        <f t="array" ref="V55">INT(SUMPRODUCT(--ISNUMBER(SEARCH(abortion,C55)))&gt;0)</f>
        <v>0</v>
      </c>
      <c r="W55" s="14" cm="1">
        <f t="array" ref="W55">INT(SUMPRODUCT(--ISNUMBER(SEARCH(trump,C55)))&gt;0)</f>
        <v>0</v>
      </c>
      <c r="X55" s="14" cm="1">
        <f t="array" ref="X55">INT(SUMPRODUCT(--ISNUMBER(SEARCH(voting,C55)))&gt;0)</f>
        <v>1</v>
      </c>
      <c r="Y55" s="14" cm="1">
        <f t="array" ref="Y55">INT(SUMPRODUCT(--ISNUMBER(SEARCH(democrattrigger,C55)))&gt;0)</f>
        <v>0</v>
      </c>
      <c r="Z55" s="14" cm="1">
        <f t="array" ref="Z55">INT(SUMPRODUCT(--ISNUMBER(SEARCH(bipartisan,C55)))&gt;0)</f>
        <v>0</v>
      </c>
      <c r="AA55" s="14">
        <f t="shared" si="0"/>
        <v>0</v>
      </c>
      <c r="AB55" s="14"/>
      <c r="AC55" s="30">
        <v>1</v>
      </c>
      <c r="AD55" s="37">
        <v>0</v>
      </c>
    </row>
    <row r="56" spans="1:30" x14ac:dyDescent="0.25">
      <c r="A56" s="36">
        <v>2209</v>
      </c>
      <c r="B56" s="14" t="s">
        <v>4443</v>
      </c>
      <c r="C56" s="14" t="s">
        <v>4444</v>
      </c>
      <c r="D56" s="17">
        <v>44135</v>
      </c>
      <c r="E56" s="14" t="s">
        <v>30</v>
      </c>
      <c r="F56" s="14">
        <v>33</v>
      </c>
      <c r="G56" s="14">
        <v>11</v>
      </c>
      <c r="H56" s="14">
        <v>11</v>
      </c>
      <c r="I56" s="14">
        <v>6</v>
      </c>
      <c r="J56" s="14" t="s">
        <v>204</v>
      </c>
      <c r="K56" s="14" cm="1">
        <f t="array" ref="K56">INT(SUMPRODUCT(--ISNUMBER(SEARCH(economy,C56)))&gt;0)</f>
        <v>0</v>
      </c>
      <c r="L56" s="14" cm="1">
        <f t="array" ref="L56">INT(SUMPRODUCT(--ISNUMBER(SEARCH(healthcare,C56)))&gt;0)</f>
        <v>0</v>
      </c>
      <c r="M56" s="14" cm="1">
        <f t="array" ref="M56">INT(SUMPRODUCT(--ISNUMBER(SEARCH(supreme,C56)))&gt;0)</f>
        <v>0</v>
      </c>
      <c r="N56" s="14" cm="1">
        <f t="array" ref="N56">INT(SUMPRODUCT(--ISNUMBER(SEARCH(covid,C56)))&gt;0)</f>
        <v>0</v>
      </c>
      <c r="O56" s="14" cm="1">
        <f t="array" ref="O56">INT(SUMPRODUCT(--ISNUMBER(SEARCH(violent,C56)))&gt;0)</f>
        <v>0</v>
      </c>
      <c r="P56" s="14" cm="1">
        <f t="array" ref="P56">INT(SUMPRODUCT(--ISNUMBER(SEARCH(foreign,C56)))&gt;0)</f>
        <v>1</v>
      </c>
      <c r="Q56" s="14" cm="1">
        <f t="array" ref="Q56">INT(SUMPRODUCT(--ISNUMBER(SEARCH(gun,C56)))&gt;0)</f>
        <v>0</v>
      </c>
      <c r="R56" s="14" cm="1">
        <f t="array" ref="R56">INT(SUMPRODUCT(--ISNUMBER(SEARCH(race,C56)))&gt;0)</f>
        <v>0</v>
      </c>
      <c r="S56" s="14" cm="1">
        <f t="array" ref="S56">INT(SUMPRODUCT(--ISNUMBER(SEARCH(immigration,C56)))&gt;0)</f>
        <v>0</v>
      </c>
      <c r="T56" s="14" cm="1">
        <f t="array" ref="T56">INT(SUMPRODUCT(--ISNUMBER(SEARCH(econineq,C57)))&gt;0)</f>
        <v>0</v>
      </c>
      <c r="U56" s="14" cm="1">
        <f t="array" ref="U56">INT(SUMPRODUCT(--ISNUMBER(SEARCH(climate,C56)))&gt;0)</f>
        <v>0</v>
      </c>
      <c r="V56" s="14" cm="1">
        <f t="array" ref="V56">INT(SUMPRODUCT(--ISNUMBER(SEARCH(abortion,C56)))&gt;0)</f>
        <v>0</v>
      </c>
      <c r="W56" s="14" cm="1">
        <f t="array" ref="W56">INT(SUMPRODUCT(--ISNUMBER(SEARCH(trump,C56)))&gt;0)</f>
        <v>0</v>
      </c>
      <c r="X56" s="14" cm="1">
        <f t="array" ref="X56">INT(SUMPRODUCT(--ISNUMBER(SEARCH(voting,C56)))&gt;0)</f>
        <v>1</v>
      </c>
      <c r="Y56" s="14" cm="1">
        <f t="array" ref="Y56">INT(SUMPRODUCT(--ISNUMBER(SEARCH(democrattrigger,C56)))&gt;0)</f>
        <v>0</v>
      </c>
      <c r="Z56" s="14" cm="1">
        <f t="array" ref="Z56">INT(SUMPRODUCT(--ISNUMBER(SEARCH(bipartisan,C56)))&gt;0)</f>
        <v>0</v>
      </c>
      <c r="AA56" s="14">
        <f t="shared" si="0"/>
        <v>0</v>
      </c>
      <c r="AB56" s="14"/>
      <c r="AC56" s="30">
        <v>0</v>
      </c>
      <c r="AD56" s="37">
        <v>1</v>
      </c>
    </row>
    <row r="57" spans="1:30" x14ac:dyDescent="0.25">
      <c r="A57" s="36">
        <v>2210</v>
      </c>
      <c r="B57" s="14" t="s">
        <v>4445</v>
      </c>
      <c r="C57" s="14" t="s">
        <v>4446</v>
      </c>
      <c r="D57" s="17">
        <v>44135</v>
      </c>
      <c r="E57" s="14" t="s">
        <v>30</v>
      </c>
      <c r="F57" s="14">
        <v>142</v>
      </c>
      <c r="G57" s="14">
        <v>18</v>
      </c>
      <c r="H57" s="14">
        <v>11</v>
      </c>
      <c r="I57" s="14">
        <v>6</v>
      </c>
      <c r="J57" s="14" t="s">
        <v>204</v>
      </c>
      <c r="K57" s="14" cm="1">
        <f t="array" ref="K57">INT(SUMPRODUCT(--ISNUMBER(SEARCH(economy,C57)))&gt;0)</f>
        <v>0</v>
      </c>
      <c r="L57" s="14" cm="1">
        <f t="array" ref="L57">INT(SUMPRODUCT(--ISNUMBER(SEARCH(healthcare,C57)))&gt;0)</f>
        <v>0</v>
      </c>
      <c r="M57" s="14" cm="1">
        <f t="array" ref="M57">INT(SUMPRODUCT(--ISNUMBER(SEARCH(supreme,C57)))&gt;0)</f>
        <v>0</v>
      </c>
      <c r="N57" s="14" cm="1">
        <f t="array" ref="N57">INT(SUMPRODUCT(--ISNUMBER(SEARCH(covid,C57)))&gt;0)</f>
        <v>0</v>
      </c>
      <c r="O57" s="14" cm="1">
        <f t="array" ref="O57">INT(SUMPRODUCT(--ISNUMBER(SEARCH(violent,C57)))&gt;0)</f>
        <v>0</v>
      </c>
      <c r="P57" s="14" cm="1">
        <f t="array" ref="P57">INT(SUMPRODUCT(--ISNUMBER(SEARCH(foreign,C57)))&gt;0)</f>
        <v>0</v>
      </c>
      <c r="Q57" s="14" cm="1">
        <f t="array" ref="Q57">INT(SUMPRODUCT(--ISNUMBER(SEARCH(gun,C57)))&gt;0)</f>
        <v>0</v>
      </c>
      <c r="R57" s="14" cm="1">
        <f t="array" ref="R57">INT(SUMPRODUCT(--ISNUMBER(SEARCH(race,C57)))&gt;0)</f>
        <v>0</v>
      </c>
      <c r="S57" s="14" cm="1">
        <f t="array" ref="S57">INT(SUMPRODUCT(--ISNUMBER(SEARCH(immigration,C57)))&gt;0)</f>
        <v>0</v>
      </c>
      <c r="T57" s="14" cm="1">
        <f t="array" ref="T57">INT(SUMPRODUCT(--ISNUMBER(SEARCH(econineq,C58)))&gt;0)</f>
        <v>0</v>
      </c>
      <c r="U57" s="14" cm="1">
        <f t="array" ref="U57">INT(SUMPRODUCT(--ISNUMBER(SEARCH(climate,C57)))&gt;0)</f>
        <v>1</v>
      </c>
      <c r="V57" s="14" cm="1">
        <f t="array" ref="V57">INT(SUMPRODUCT(--ISNUMBER(SEARCH(abortion,C57)))&gt;0)</f>
        <v>0</v>
      </c>
      <c r="W57" s="14" cm="1">
        <f t="array" ref="W57">INT(SUMPRODUCT(--ISNUMBER(SEARCH(trump,C57)))&gt;0)</f>
        <v>0</v>
      </c>
      <c r="X57" s="14" cm="1">
        <f t="array" ref="X57">INT(SUMPRODUCT(--ISNUMBER(SEARCH(voting,C57)))&gt;0)</f>
        <v>1</v>
      </c>
      <c r="Y57" s="14" cm="1">
        <f t="array" ref="Y57">INT(SUMPRODUCT(--ISNUMBER(SEARCH(democrattrigger,C57)))&gt;0)</f>
        <v>0</v>
      </c>
      <c r="Z57" s="14" cm="1">
        <f t="array" ref="Z57">INT(SUMPRODUCT(--ISNUMBER(SEARCH(bipartisan,C57)))&gt;0)</f>
        <v>0</v>
      </c>
      <c r="AA57" s="14">
        <f t="shared" si="0"/>
        <v>0</v>
      </c>
      <c r="AB57" s="14"/>
      <c r="AC57" s="30">
        <v>1</v>
      </c>
      <c r="AD57" s="37">
        <v>0</v>
      </c>
    </row>
    <row r="58" spans="1:30" x14ac:dyDescent="0.25">
      <c r="A58" s="36">
        <v>2211</v>
      </c>
      <c r="B58" s="14" t="s">
        <v>4447</v>
      </c>
      <c r="C58" s="14" t="s">
        <v>4448</v>
      </c>
      <c r="D58" s="17">
        <v>44135</v>
      </c>
      <c r="E58" s="14" t="s">
        <v>30</v>
      </c>
      <c r="F58" s="14">
        <v>67</v>
      </c>
      <c r="G58" s="14">
        <v>11</v>
      </c>
      <c r="H58" s="14">
        <v>11</v>
      </c>
      <c r="I58" s="14">
        <v>6</v>
      </c>
      <c r="J58" s="14" t="s">
        <v>204</v>
      </c>
      <c r="K58" s="14" cm="1">
        <f t="array" ref="K58">INT(SUMPRODUCT(--ISNUMBER(SEARCH(economy,C58)))&gt;0)</f>
        <v>0</v>
      </c>
      <c r="L58" s="14" cm="1">
        <f t="array" ref="L58">INT(SUMPRODUCT(--ISNUMBER(SEARCH(healthcare,C58)))&gt;0)</f>
        <v>0</v>
      </c>
      <c r="M58" s="14" cm="1">
        <f t="array" ref="M58">INT(SUMPRODUCT(--ISNUMBER(SEARCH(supreme,C58)))&gt;0)</f>
        <v>0</v>
      </c>
      <c r="N58" s="14" cm="1">
        <f t="array" ref="N58">INT(SUMPRODUCT(--ISNUMBER(SEARCH(covid,C58)))&gt;0)</f>
        <v>0</v>
      </c>
      <c r="O58" s="14" cm="1">
        <f t="array" ref="O58">INT(SUMPRODUCT(--ISNUMBER(SEARCH(violent,C58)))&gt;0)</f>
        <v>0</v>
      </c>
      <c r="P58" s="14" cm="1">
        <f t="array" ref="P58">INT(SUMPRODUCT(--ISNUMBER(SEARCH(foreign,C58)))&gt;0)</f>
        <v>0</v>
      </c>
      <c r="Q58" s="14" cm="1">
        <f t="array" ref="Q58">INT(SUMPRODUCT(--ISNUMBER(SEARCH(gun,C58)))&gt;0)</f>
        <v>0</v>
      </c>
      <c r="R58" s="14" cm="1">
        <f t="array" ref="R58">INT(SUMPRODUCT(--ISNUMBER(SEARCH(race,C58)))&gt;0)</f>
        <v>0</v>
      </c>
      <c r="S58" s="14" cm="1">
        <f t="array" ref="S58">INT(SUMPRODUCT(--ISNUMBER(SEARCH(immigration,C58)))&gt;0)</f>
        <v>0</v>
      </c>
      <c r="T58" s="14" cm="1">
        <f t="array" ref="T58">INT(SUMPRODUCT(--ISNUMBER(SEARCH(econineq,C59)))&gt;0)</f>
        <v>0</v>
      </c>
      <c r="U58" s="14" cm="1">
        <f t="array" ref="U58">INT(SUMPRODUCT(--ISNUMBER(SEARCH(climate,C58)))&gt;0)</f>
        <v>0</v>
      </c>
      <c r="V58" s="14" cm="1">
        <f t="array" ref="V58">INT(SUMPRODUCT(--ISNUMBER(SEARCH(abortion,C58)))&gt;0)</f>
        <v>0</v>
      </c>
      <c r="W58" s="14" cm="1">
        <f t="array" ref="W58">INT(SUMPRODUCT(--ISNUMBER(SEARCH(trump,C58)))&gt;0)</f>
        <v>0</v>
      </c>
      <c r="X58" s="14" cm="1">
        <f t="array" ref="X58">INT(SUMPRODUCT(--ISNUMBER(SEARCH(voting,C58)))&gt;0)</f>
        <v>0</v>
      </c>
      <c r="Y58" s="14" cm="1">
        <f t="array" ref="Y58">INT(SUMPRODUCT(--ISNUMBER(SEARCH(democrattrigger,C58)))&gt;0)</f>
        <v>0</v>
      </c>
      <c r="Z58" s="14" cm="1">
        <f t="array" ref="Z58">INT(SUMPRODUCT(--ISNUMBER(SEARCH(bipartisan,C58)))&gt;0)</f>
        <v>0</v>
      </c>
      <c r="AA58" s="14">
        <f t="shared" si="0"/>
        <v>1</v>
      </c>
      <c r="AB58" s="14"/>
      <c r="AC58" s="30">
        <v>0</v>
      </c>
      <c r="AD58" s="37">
        <v>1</v>
      </c>
    </row>
    <row r="59" spans="1:30" x14ac:dyDescent="0.25">
      <c r="A59" s="36">
        <v>2212</v>
      </c>
      <c r="B59" s="14" t="s">
        <v>4449</v>
      </c>
      <c r="C59" s="14" t="s">
        <v>4450</v>
      </c>
      <c r="D59" s="17">
        <v>44135</v>
      </c>
      <c r="E59" s="14" t="s">
        <v>30</v>
      </c>
      <c r="F59" s="14">
        <v>268</v>
      </c>
      <c r="G59" s="14">
        <v>46</v>
      </c>
      <c r="H59" s="14">
        <v>11</v>
      </c>
      <c r="I59" s="14">
        <v>6</v>
      </c>
      <c r="J59" s="14" t="s">
        <v>204</v>
      </c>
      <c r="K59" s="14" cm="1">
        <f t="array" ref="K59">INT(SUMPRODUCT(--ISNUMBER(SEARCH(economy,C59)))&gt;0)</f>
        <v>0</v>
      </c>
      <c r="L59" s="14" cm="1">
        <f t="array" ref="L59">INT(SUMPRODUCT(--ISNUMBER(SEARCH(healthcare,C59)))&gt;0)</f>
        <v>0</v>
      </c>
      <c r="M59" s="14" cm="1">
        <f t="array" ref="M59">INT(SUMPRODUCT(--ISNUMBER(SEARCH(supreme,C59)))&gt;0)</f>
        <v>0</v>
      </c>
      <c r="N59" s="14" cm="1">
        <f t="array" ref="N59">INT(SUMPRODUCT(--ISNUMBER(SEARCH(covid,C59)))&gt;0)</f>
        <v>0</v>
      </c>
      <c r="O59" s="14" cm="1">
        <f t="array" ref="O59">INT(SUMPRODUCT(--ISNUMBER(SEARCH(violent,C59)))&gt;0)</f>
        <v>0</v>
      </c>
      <c r="P59" s="14" cm="1">
        <f t="array" ref="P59">INT(SUMPRODUCT(--ISNUMBER(SEARCH(foreign,C59)))&gt;0)</f>
        <v>0</v>
      </c>
      <c r="Q59" s="14" cm="1">
        <f t="array" ref="Q59">INT(SUMPRODUCT(--ISNUMBER(SEARCH(gun,C59)))&gt;0)</f>
        <v>0</v>
      </c>
      <c r="R59" s="14" cm="1">
        <f t="array" ref="R59">INT(SUMPRODUCT(--ISNUMBER(SEARCH(race,C59)))&gt;0)</f>
        <v>0</v>
      </c>
      <c r="S59" s="14" cm="1">
        <f t="array" ref="S59">INT(SUMPRODUCT(--ISNUMBER(SEARCH(immigration,C59)))&gt;0)</f>
        <v>0</v>
      </c>
      <c r="T59" s="14" cm="1">
        <f t="array" ref="T59">INT(SUMPRODUCT(--ISNUMBER(SEARCH(econineq,C60)))&gt;0)</f>
        <v>0</v>
      </c>
      <c r="U59" s="14" cm="1">
        <f t="array" ref="U59">INT(SUMPRODUCT(--ISNUMBER(SEARCH(climate,C59)))&gt;0)</f>
        <v>0</v>
      </c>
      <c r="V59" s="14" cm="1">
        <f t="array" ref="V59">INT(SUMPRODUCT(--ISNUMBER(SEARCH(abortion,C59)))&gt;0)</f>
        <v>0</v>
      </c>
      <c r="W59" s="14" cm="1">
        <f t="array" ref="W59">INT(SUMPRODUCT(--ISNUMBER(SEARCH(trump,C59)))&gt;0)</f>
        <v>0</v>
      </c>
      <c r="X59" s="14" cm="1">
        <f t="array" ref="X59">INT(SUMPRODUCT(--ISNUMBER(SEARCH(voting,C59)))&gt;0)</f>
        <v>1</v>
      </c>
      <c r="Y59" s="14" cm="1">
        <f t="array" ref="Y59">INT(SUMPRODUCT(--ISNUMBER(SEARCH(democrattrigger,C59)))&gt;0)</f>
        <v>0</v>
      </c>
      <c r="Z59" s="14" cm="1">
        <f t="array" ref="Z59">INT(SUMPRODUCT(--ISNUMBER(SEARCH(bipartisan,C59)))&gt;0)</f>
        <v>0</v>
      </c>
      <c r="AA59" s="14">
        <f t="shared" si="0"/>
        <v>0</v>
      </c>
      <c r="AB59" s="14"/>
      <c r="AC59" s="30">
        <v>0</v>
      </c>
      <c r="AD59" s="37">
        <v>1</v>
      </c>
    </row>
    <row r="60" spans="1:30" x14ac:dyDescent="0.25">
      <c r="A60" s="36">
        <v>2213</v>
      </c>
      <c r="B60" s="14" t="s">
        <v>4451</v>
      </c>
      <c r="C60" s="14" t="s">
        <v>4452</v>
      </c>
      <c r="D60" s="17">
        <v>44135</v>
      </c>
      <c r="E60" s="14" t="s">
        <v>30</v>
      </c>
      <c r="F60" s="14">
        <v>109</v>
      </c>
      <c r="G60" s="14">
        <v>30</v>
      </c>
      <c r="H60" s="14">
        <v>11</v>
      </c>
      <c r="I60" s="14">
        <v>6</v>
      </c>
      <c r="J60" s="14" t="s">
        <v>204</v>
      </c>
      <c r="K60" s="14" cm="1">
        <f t="array" ref="K60">INT(SUMPRODUCT(--ISNUMBER(SEARCH(economy,C60)))&gt;0)</f>
        <v>0</v>
      </c>
      <c r="L60" s="14" cm="1">
        <f t="array" ref="L60">INT(SUMPRODUCT(--ISNUMBER(SEARCH(healthcare,C60)))&gt;0)</f>
        <v>0</v>
      </c>
      <c r="M60" s="14" cm="1">
        <f t="array" ref="M60">INT(SUMPRODUCT(--ISNUMBER(SEARCH(supreme,C60)))&gt;0)</f>
        <v>0</v>
      </c>
      <c r="N60" s="14" cm="1">
        <f t="array" ref="N60">INT(SUMPRODUCT(--ISNUMBER(SEARCH(covid,C60)))&gt;0)</f>
        <v>0</v>
      </c>
      <c r="O60" s="14" cm="1">
        <f t="array" ref="O60">INT(SUMPRODUCT(--ISNUMBER(SEARCH(violent,C60)))&gt;0)</f>
        <v>0</v>
      </c>
      <c r="P60" s="14" cm="1">
        <f t="array" ref="P60">INT(SUMPRODUCT(--ISNUMBER(SEARCH(foreign,C60)))&gt;0)</f>
        <v>1</v>
      </c>
      <c r="Q60" s="14" cm="1">
        <f t="array" ref="Q60">INT(SUMPRODUCT(--ISNUMBER(SEARCH(gun,C60)))&gt;0)</f>
        <v>0</v>
      </c>
      <c r="R60" s="14" cm="1">
        <f t="array" ref="R60">INT(SUMPRODUCT(--ISNUMBER(SEARCH(race,C60)))&gt;0)</f>
        <v>0</v>
      </c>
      <c r="S60" s="14" cm="1">
        <f t="array" ref="S60">INT(SUMPRODUCT(--ISNUMBER(SEARCH(immigration,C60)))&gt;0)</f>
        <v>0</v>
      </c>
      <c r="T60" s="14" cm="1">
        <f t="array" ref="T60">INT(SUMPRODUCT(--ISNUMBER(SEARCH(econineq,C61)))&gt;0)</f>
        <v>0</v>
      </c>
      <c r="U60" s="14" cm="1">
        <f t="array" ref="U60">INT(SUMPRODUCT(--ISNUMBER(SEARCH(climate,C60)))&gt;0)</f>
        <v>0</v>
      </c>
      <c r="V60" s="14" cm="1">
        <f t="array" ref="V60">INT(SUMPRODUCT(--ISNUMBER(SEARCH(abortion,C60)))&gt;0)</f>
        <v>0</v>
      </c>
      <c r="W60" s="14" cm="1">
        <f t="array" ref="W60">INT(SUMPRODUCT(--ISNUMBER(SEARCH(trump,C60)))&gt;0)</f>
        <v>0</v>
      </c>
      <c r="X60" s="14" cm="1">
        <f t="array" ref="X60">INT(SUMPRODUCT(--ISNUMBER(SEARCH(voting,C60)))&gt;0)</f>
        <v>1</v>
      </c>
      <c r="Y60" s="14" cm="1">
        <f t="array" ref="Y60">INT(SUMPRODUCT(--ISNUMBER(SEARCH(democrattrigger,C60)))&gt;0)</f>
        <v>0</v>
      </c>
      <c r="Z60" s="14" cm="1">
        <f t="array" ref="Z60">INT(SUMPRODUCT(--ISNUMBER(SEARCH(bipartisan,C60)))&gt;0)</f>
        <v>0</v>
      </c>
      <c r="AA60" s="14">
        <f t="shared" si="0"/>
        <v>0</v>
      </c>
      <c r="AB60" s="14"/>
      <c r="AC60" s="30" t="s">
        <v>223</v>
      </c>
      <c r="AD60" s="37" t="s">
        <v>223</v>
      </c>
    </row>
    <row r="61" spans="1:30" x14ac:dyDescent="0.25">
      <c r="A61" s="36">
        <v>2214</v>
      </c>
      <c r="B61" s="14" t="s">
        <v>4453</v>
      </c>
      <c r="C61" s="14" t="s">
        <v>4454</v>
      </c>
      <c r="D61" s="17">
        <v>44135</v>
      </c>
      <c r="E61" s="14" t="s">
        <v>30</v>
      </c>
      <c r="F61" s="14">
        <v>344</v>
      </c>
      <c r="G61" s="14">
        <v>45</v>
      </c>
      <c r="H61" s="14">
        <v>11</v>
      </c>
      <c r="I61" s="14">
        <v>6</v>
      </c>
      <c r="J61" s="14" t="s">
        <v>204</v>
      </c>
      <c r="K61" s="14" cm="1">
        <f t="array" ref="K61">INT(SUMPRODUCT(--ISNUMBER(SEARCH(economy,C61)))&gt;0)</f>
        <v>0</v>
      </c>
      <c r="L61" s="14" cm="1">
        <f t="array" ref="L61">INT(SUMPRODUCT(--ISNUMBER(SEARCH(healthcare,C61)))&gt;0)</f>
        <v>0</v>
      </c>
      <c r="M61" s="14" cm="1">
        <f t="array" ref="M61">INT(SUMPRODUCT(--ISNUMBER(SEARCH(supreme,C61)))&gt;0)</f>
        <v>0</v>
      </c>
      <c r="N61" s="14" cm="1">
        <f t="array" ref="N61">INT(SUMPRODUCT(--ISNUMBER(SEARCH(covid,C61)))&gt;0)</f>
        <v>0</v>
      </c>
      <c r="O61" s="14" cm="1">
        <f t="array" ref="O61">INT(SUMPRODUCT(--ISNUMBER(SEARCH(violent,C61)))&gt;0)</f>
        <v>0</v>
      </c>
      <c r="P61" s="14" cm="1">
        <f t="array" ref="P61">INT(SUMPRODUCT(--ISNUMBER(SEARCH(foreign,C61)))&gt;0)</f>
        <v>0</v>
      </c>
      <c r="Q61" s="14" cm="1">
        <f t="array" ref="Q61">INT(SUMPRODUCT(--ISNUMBER(SEARCH(gun,C61)))&gt;0)</f>
        <v>0</v>
      </c>
      <c r="R61" s="14" cm="1">
        <f t="array" ref="R61">INT(SUMPRODUCT(--ISNUMBER(SEARCH(race,C61)))&gt;0)</f>
        <v>0</v>
      </c>
      <c r="S61" s="14" cm="1">
        <f t="array" ref="S61">INT(SUMPRODUCT(--ISNUMBER(SEARCH(immigration,C61)))&gt;0)</f>
        <v>0</v>
      </c>
      <c r="T61" s="14" cm="1">
        <f t="array" ref="T61">INT(SUMPRODUCT(--ISNUMBER(SEARCH(econineq,C62)))&gt;0)</f>
        <v>0</v>
      </c>
      <c r="U61" s="14" cm="1">
        <f t="array" ref="U61">INT(SUMPRODUCT(--ISNUMBER(SEARCH(climate,C61)))&gt;0)</f>
        <v>0</v>
      </c>
      <c r="V61" s="14" cm="1">
        <f t="array" ref="V61">INT(SUMPRODUCT(--ISNUMBER(SEARCH(abortion,C61)))&gt;0)</f>
        <v>0</v>
      </c>
      <c r="W61" s="14" cm="1">
        <f t="array" ref="W61">INT(SUMPRODUCT(--ISNUMBER(SEARCH(trump,C61)))&gt;0)</f>
        <v>0</v>
      </c>
      <c r="X61" s="14" cm="1">
        <f t="array" ref="X61">INT(SUMPRODUCT(--ISNUMBER(SEARCH(voting,C61)))&gt;0)</f>
        <v>1</v>
      </c>
      <c r="Y61" s="14" cm="1">
        <f t="array" ref="Y61">INT(SUMPRODUCT(--ISNUMBER(SEARCH(democrattrigger,C61)))&gt;0)</f>
        <v>0</v>
      </c>
      <c r="Z61" s="14" cm="1">
        <f t="array" ref="Z61">INT(SUMPRODUCT(--ISNUMBER(SEARCH(bipartisan,C61)))&gt;0)</f>
        <v>0</v>
      </c>
      <c r="AA61" s="14">
        <f t="shared" si="0"/>
        <v>0</v>
      </c>
      <c r="AB61" s="14"/>
      <c r="AC61" s="30" t="s">
        <v>223</v>
      </c>
      <c r="AD61" s="37" t="s">
        <v>223</v>
      </c>
    </row>
    <row r="62" spans="1:30" x14ac:dyDescent="0.25">
      <c r="A62" s="36">
        <v>2215</v>
      </c>
      <c r="B62" s="14" t="s">
        <v>4455</v>
      </c>
      <c r="C62" s="14" t="s">
        <v>4456</v>
      </c>
      <c r="D62" s="17">
        <v>44135</v>
      </c>
      <c r="E62" s="14" t="s">
        <v>30</v>
      </c>
      <c r="F62" s="14">
        <v>161</v>
      </c>
      <c r="G62" s="14">
        <v>25</v>
      </c>
      <c r="H62" s="14">
        <v>11</v>
      </c>
      <c r="I62" s="14">
        <v>6</v>
      </c>
      <c r="J62" s="14" t="s">
        <v>204</v>
      </c>
      <c r="K62" s="14" cm="1">
        <f t="array" ref="K62">INT(SUMPRODUCT(--ISNUMBER(SEARCH(economy,C62)))&gt;0)</f>
        <v>0</v>
      </c>
      <c r="L62" s="14" cm="1">
        <f t="array" ref="L62">INT(SUMPRODUCT(--ISNUMBER(SEARCH(healthcare,C62)))&gt;0)</f>
        <v>0</v>
      </c>
      <c r="M62" s="14" cm="1">
        <f t="array" ref="M62">INT(SUMPRODUCT(--ISNUMBER(SEARCH(supreme,C62)))&gt;0)</f>
        <v>0</v>
      </c>
      <c r="N62" s="14" cm="1">
        <f t="array" ref="N62">INT(SUMPRODUCT(--ISNUMBER(SEARCH(covid,C62)))&gt;0)</f>
        <v>0</v>
      </c>
      <c r="O62" s="14" cm="1">
        <f t="array" ref="O62">INT(SUMPRODUCT(--ISNUMBER(SEARCH(violent,C62)))&gt;0)</f>
        <v>0</v>
      </c>
      <c r="P62" s="14" cm="1">
        <f t="array" ref="P62">INT(SUMPRODUCT(--ISNUMBER(SEARCH(foreign,C62)))&gt;0)</f>
        <v>1</v>
      </c>
      <c r="Q62" s="14" cm="1">
        <f t="array" ref="Q62">INT(SUMPRODUCT(--ISNUMBER(SEARCH(gun,C62)))&gt;0)</f>
        <v>0</v>
      </c>
      <c r="R62" s="14" cm="1">
        <f t="array" ref="R62">INT(SUMPRODUCT(--ISNUMBER(SEARCH(race,C62)))&gt;0)</f>
        <v>0</v>
      </c>
      <c r="S62" s="14" cm="1">
        <f t="array" ref="S62">INT(SUMPRODUCT(--ISNUMBER(SEARCH(immigration,C62)))&gt;0)</f>
        <v>0</v>
      </c>
      <c r="T62" s="14" cm="1">
        <f t="array" ref="T62">INT(SUMPRODUCT(--ISNUMBER(SEARCH(econineq,C63)))&gt;0)</f>
        <v>0</v>
      </c>
      <c r="U62" s="14" cm="1">
        <f t="array" ref="U62">INT(SUMPRODUCT(--ISNUMBER(SEARCH(climate,C62)))&gt;0)</f>
        <v>0</v>
      </c>
      <c r="V62" s="14" cm="1">
        <f t="array" ref="V62">INT(SUMPRODUCT(--ISNUMBER(SEARCH(abortion,C62)))&gt;0)</f>
        <v>0</v>
      </c>
      <c r="W62" s="14" cm="1">
        <f t="array" ref="W62">INT(SUMPRODUCT(--ISNUMBER(SEARCH(trump,C62)))&gt;0)</f>
        <v>0</v>
      </c>
      <c r="X62" s="14" cm="1">
        <f t="array" ref="X62">INT(SUMPRODUCT(--ISNUMBER(SEARCH(voting,C62)))&gt;0)</f>
        <v>1</v>
      </c>
      <c r="Y62" s="14" cm="1">
        <f t="array" ref="Y62">INT(SUMPRODUCT(--ISNUMBER(SEARCH(democrattrigger,C62)))&gt;0)</f>
        <v>0</v>
      </c>
      <c r="Z62" s="14" cm="1">
        <f t="array" ref="Z62">INT(SUMPRODUCT(--ISNUMBER(SEARCH(bipartisan,C62)))&gt;0)</f>
        <v>0</v>
      </c>
      <c r="AA62" s="14">
        <f t="shared" si="0"/>
        <v>0</v>
      </c>
      <c r="AB62" s="14"/>
      <c r="AC62" s="30">
        <v>1</v>
      </c>
      <c r="AD62" s="37">
        <v>0</v>
      </c>
    </row>
    <row r="63" spans="1:30" x14ac:dyDescent="0.25">
      <c r="A63" s="36">
        <v>2216</v>
      </c>
      <c r="B63" s="14" t="s">
        <v>4457</v>
      </c>
      <c r="C63" s="14" t="s">
        <v>4458</v>
      </c>
      <c r="D63" s="17">
        <v>44135</v>
      </c>
      <c r="E63" s="14" t="s">
        <v>30</v>
      </c>
      <c r="F63" s="14">
        <v>384</v>
      </c>
      <c r="G63" s="14">
        <v>50</v>
      </c>
      <c r="H63" s="14">
        <v>11</v>
      </c>
      <c r="I63" s="14">
        <v>6</v>
      </c>
      <c r="J63" s="14" t="s">
        <v>204</v>
      </c>
      <c r="K63" s="14" cm="1">
        <f t="array" ref="K63">INT(SUMPRODUCT(--ISNUMBER(SEARCH(economy,C63)))&gt;0)</f>
        <v>0</v>
      </c>
      <c r="L63" s="14" cm="1">
        <f t="array" ref="L63">INT(SUMPRODUCT(--ISNUMBER(SEARCH(healthcare,C63)))&gt;0)</f>
        <v>0</v>
      </c>
      <c r="M63" s="14" cm="1">
        <f t="array" ref="M63">INT(SUMPRODUCT(--ISNUMBER(SEARCH(supreme,C63)))&gt;0)</f>
        <v>0</v>
      </c>
      <c r="N63" s="14" cm="1">
        <f t="array" ref="N63">INT(SUMPRODUCT(--ISNUMBER(SEARCH(covid,C63)))&gt;0)</f>
        <v>0</v>
      </c>
      <c r="O63" s="14" cm="1">
        <f t="array" ref="O63">INT(SUMPRODUCT(--ISNUMBER(SEARCH(violent,C63)))&gt;0)</f>
        <v>0</v>
      </c>
      <c r="P63" s="14" cm="1">
        <f t="array" ref="P63">INT(SUMPRODUCT(--ISNUMBER(SEARCH(foreign,C63)))&gt;0)</f>
        <v>1</v>
      </c>
      <c r="Q63" s="14" cm="1">
        <f t="array" ref="Q63">INT(SUMPRODUCT(--ISNUMBER(SEARCH(gun,C63)))&gt;0)</f>
        <v>0</v>
      </c>
      <c r="R63" s="14" cm="1">
        <f t="array" ref="R63">INT(SUMPRODUCT(--ISNUMBER(SEARCH(race,C63)))&gt;0)</f>
        <v>0</v>
      </c>
      <c r="S63" s="14" cm="1">
        <f t="array" ref="S63">INT(SUMPRODUCT(--ISNUMBER(SEARCH(immigration,C63)))&gt;0)</f>
        <v>0</v>
      </c>
      <c r="T63" s="14" cm="1">
        <f t="array" ref="T63">INT(SUMPRODUCT(--ISNUMBER(SEARCH(econineq,C64)))&gt;0)</f>
        <v>0</v>
      </c>
      <c r="U63" s="14" cm="1">
        <f t="array" ref="U63">INT(SUMPRODUCT(--ISNUMBER(SEARCH(climate,C63)))&gt;0)</f>
        <v>0</v>
      </c>
      <c r="V63" s="14" cm="1">
        <f t="array" ref="V63">INT(SUMPRODUCT(--ISNUMBER(SEARCH(abortion,C63)))&gt;0)</f>
        <v>0</v>
      </c>
      <c r="W63" s="14" cm="1">
        <f t="array" ref="W63">INT(SUMPRODUCT(--ISNUMBER(SEARCH(trump,C63)))&gt;0)</f>
        <v>1</v>
      </c>
      <c r="X63" s="14" cm="1">
        <f t="array" ref="X63">INT(SUMPRODUCT(--ISNUMBER(SEARCH(voting,C63)))&gt;0)</f>
        <v>0</v>
      </c>
      <c r="Y63" s="14" cm="1">
        <f t="array" ref="Y63">INT(SUMPRODUCT(--ISNUMBER(SEARCH(democrattrigger,C63)))&gt;0)</f>
        <v>0</v>
      </c>
      <c r="Z63" s="14" cm="1">
        <f t="array" ref="Z63">INT(SUMPRODUCT(--ISNUMBER(SEARCH(bipartisan,C63)))&gt;0)</f>
        <v>0</v>
      </c>
      <c r="AA63" s="14">
        <f t="shared" si="0"/>
        <v>0</v>
      </c>
      <c r="AB63" s="14"/>
      <c r="AC63" s="30">
        <v>1</v>
      </c>
      <c r="AD63" s="37">
        <v>0</v>
      </c>
    </row>
    <row r="64" spans="1:30" x14ac:dyDescent="0.25">
      <c r="A64" s="36">
        <v>2217</v>
      </c>
      <c r="B64" s="14" t="s">
        <v>4459</v>
      </c>
      <c r="C64" s="14" t="s">
        <v>4460</v>
      </c>
      <c r="D64" s="17">
        <v>44135</v>
      </c>
      <c r="E64" s="14" t="s">
        <v>30</v>
      </c>
      <c r="F64" s="14">
        <v>305</v>
      </c>
      <c r="G64" s="14">
        <v>42</v>
      </c>
      <c r="H64" s="14">
        <v>11</v>
      </c>
      <c r="I64" s="14">
        <v>6</v>
      </c>
      <c r="J64" s="14" t="s">
        <v>204</v>
      </c>
      <c r="K64" s="14" cm="1">
        <f t="array" ref="K64">INT(SUMPRODUCT(--ISNUMBER(SEARCH(economy,C64)))&gt;0)</f>
        <v>0</v>
      </c>
      <c r="L64" s="14" cm="1">
        <f t="array" ref="L64">INT(SUMPRODUCT(--ISNUMBER(SEARCH(healthcare,C64)))&gt;0)</f>
        <v>0</v>
      </c>
      <c r="M64" s="14" cm="1">
        <f t="array" ref="M64">INT(SUMPRODUCT(--ISNUMBER(SEARCH(supreme,C64)))&gt;0)</f>
        <v>0</v>
      </c>
      <c r="N64" s="14" cm="1">
        <f t="array" ref="N64">INT(SUMPRODUCT(--ISNUMBER(SEARCH(covid,C64)))&gt;0)</f>
        <v>0</v>
      </c>
      <c r="O64" s="14" cm="1">
        <f t="array" ref="O64">INT(SUMPRODUCT(--ISNUMBER(SEARCH(violent,C64)))&gt;0)</f>
        <v>0</v>
      </c>
      <c r="P64" s="14" cm="1">
        <f t="array" ref="P64">INT(SUMPRODUCT(--ISNUMBER(SEARCH(foreign,C64)))&gt;0)</f>
        <v>0</v>
      </c>
      <c r="Q64" s="14" cm="1">
        <f t="array" ref="Q64">INT(SUMPRODUCT(--ISNUMBER(SEARCH(gun,C64)))&gt;0)</f>
        <v>0</v>
      </c>
      <c r="R64" s="14" cm="1">
        <f t="array" ref="R64">INT(SUMPRODUCT(--ISNUMBER(SEARCH(race,C64)))&gt;0)</f>
        <v>0</v>
      </c>
      <c r="S64" s="14" cm="1">
        <f t="array" ref="S64">INT(SUMPRODUCT(--ISNUMBER(SEARCH(immigration,C64)))&gt;0)</f>
        <v>0</v>
      </c>
      <c r="T64" s="14" cm="1">
        <f t="array" ref="T64">INT(SUMPRODUCT(--ISNUMBER(SEARCH(econineq,C65)))&gt;0)</f>
        <v>0</v>
      </c>
      <c r="U64" s="14" cm="1">
        <f t="array" ref="U64">INT(SUMPRODUCT(--ISNUMBER(SEARCH(climate,C64)))&gt;0)</f>
        <v>0</v>
      </c>
      <c r="V64" s="14" cm="1">
        <f t="array" ref="V64">INT(SUMPRODUCT(--ISNUMBER(SEARCH(abortion,C64)))&gt;0)</f>
        <v>0</v>
      </c>
      <c r="W64" s="14" cm="1">
        <f t="array" ref="W64">INT(SUMPRODUCT(--ISNUMBER(SEARCH(trump,C64)))&gt;0)</f>
        <v>0</v>
      </c>
      <c r="X64" s="14" cm="1">
        <f t="array" ref="X64">INT(SUMPRODUCT(--ISNUMBER(SEARCH(voting,C64)))&gt;0)</f>
        <v>1</v>
      </c>
      <c r="Y64" s="14" cm="1">
        <f t="array" ref="Y64">INT(SUMPRODUCT(--ISNUMBER(SEARCH(democrattrigger,C64)))&gt;0)</f>
        <v>0</v>
      </c>
      <c r="Z64" s="14" cm="1">
        <f t="array" ref="Z64">INT(SUMPRODUCT(--ISNUMBER(SEARCH(bipartisan,C64)))&gt;0)</f>
        <v>0</v>
      </c>
      <c r="AA64" s="14">
        <f t="shared" si="0"/>
        <v>0</v>
      </c>
      <c r="AB64" s="14"/>
      <c r="AC64" s="30" t="s">
        <v>223</v>
      </c>
      <c r="AD64" s="37" t="s">
        <v>223</v>
      </c>
    </row>
    <row r="65" spans="1:30" x14ac:dyDescent="0.25">
      <c r="A65" s="36">
        <v>2218</v>
      </c>
      <c r="B65" s="14" t="s">
        <v>4461</v>
      </c>
      <c r="C65" s="14" t="s">
        <v>4462</v>
      </c>
      <c r="D65" s="17">
        <v>44135</v>
      </c>
      <c r="E65" s="14" t="s">
        <v>30</v>
      </c>
      <c r="F65" s="14">
        <v>63</v>
      </c>
      <c r="G65" s="14">
        <v>19</v>
      </c>
      <c r="H65" s="14">
        <v>11</v>
      </c>
      <c r="I65" s="14">
        <v>6</v>
      </c>
      <c r="J65" s="14" t="s">
        <v>204</v>
      </c>
      <c r="K65" s="14" cm="1">
        <f t="array" ref="K65">INT(SUMPRODUCT(--ISNUMBER(SEARCH(economy,C65)))&gt;0)</f>
        <v>0</v>
      </c>
      <c r="L65" s="14" cm="1">
        <f t="array" ref="L65">INT(SUMPRODUCT(--ISNUMBER(SEARCH(healthcare,C65)))&gt;0)</f>
        <v>0</v>
      </c>
      <c r="M65" s="14" cm="1">
        <f t="array" ref="M65">INT(SUMPRODUCT(--ISNUMBER(SEARCH(supreme,C65)))&gt;0)</f>
        <v>0</v>
      </c>
      <c r="N65" s="14" cm="1">
        <f t="array" ref="N65">INT(SUMPRODUCT(--ISNUMBER(SEARCH(covid,C65)))&gt;0)</f>
        <v>0</v>
      </c>
      <c r="O65" s="14" cm="1">
        <f t="array" ref="O65">INT(SUMPRODUCT(--ISNUMBER(SEARCH(violent,C65)))&gt;0)</f>
        <v>0</v>
      </c>
      <c r="P65" s="14" cm="1">
        <f t="array" ref="P65">INT(SUMPRODUCT(--ISNUMBER(SEARCH(foreign,C65)))&gt;0)</f>
        <v>1</v>
      </c>
      <c r="Q65" s="14" cm="1">
        <f t="array" ref="Q65">INT(SUMPRODUCT(--ISNUMBER(SEARCH(gun,C65)))&gt;0)</f>
        <v>0</v>
      </c>
      <c r="R65" s="14" cm="1">
        <f t="array" ref="R65">INT(SUMPRODUCT(--ISNUMBER(SEARCH(race,C65)))&gt;0)</f>
        <v>0</v>
      </c>
      <c r="S65" s="14" cm="1">
        <f t="array" ref="S65">INT(SUMPRODUCT(--ISNUMBER(SEARCH(immigration,C65)))&gt;0)</f>
        <v>0</v>
      </c>
      <c r="T65" s="14" cm="1">
        <f t="array" ref="T65">INT(SUMPRODUCT(--ISNUMBER(SEARCH(econineq,C66)))&gt;0)</f>
        <v>0</v>
      </c>
      <c r="U65" s="14" cm="1">
        <f t="array" ref="U65">INT(SUMPRODUCT(--ISNUMBER(SEARCH(climate,C65)))&gt;0)</f>
        <v>0</v>
      </c>
      <c r="V65" s="14" cm="1">
        <f t="array" ref="V65">INT(SUMPRODUCT(--ISNUMBER(SEARCH(abortion,C65)))&gt;0)</f>
        <v>0</v>
      </c>
      <c r="W65" s="14" cm="1">
        <f t="array" ref="W65">INT(SUMPRODUCT(--ISNUMBER(SEARCH(trump,C65)))&gt;0)</f>
        <v>0</v>
      </c>
      <c r="X65" s="14" cm="1">
        <f t="array" ref="X65">INT(SUMPRODUCT(--ISNUMBER(SEARCH(voting,C65)))&gt;0)</f>
        <v>1</v>
      </c>
      <c r="Y65" s="14" cm="1">
        <f t="array" ref="Y65">INT(SUMPRODUCT(--ISNUMBER(SEARCH(democrattrigger,C65)))&gt;0)</f>
        <v>0</v>
      </c>
      <c r="Z65" s="14" cm="1">
        <f t="array" ref="Z65">INT(SUMPRODUCT(--ISNUMBER(SEARCH(bipartisan,C65)))&gt;0)</f>
        <v>0</v>
      </c>
      <c r="AA65" s="14">
        <f t="shared" si="0"/>
        <v>0</v>
      </c>
      <c r="AB65" s="14"/>
      <c r="AC65" s="30">
        <v>0</v>
      </c>
      <c r="AD65" s="37">
        <v>1</v>
      </c>
    </row>
    <row r="66" spans="1:30" x14ac:dyDescent="0.25">
      <c r="A66" s="36">
        <v>2219</v>
      </c>
      <c r="B66" s="14" t="s">
        <v>4463</v>
      </c>
      <c r="C66" s="14" t="s">
        <v>4464</v>
      </c>
      <c r="D66" s="17">
        <v>44135</v>
      </c>
      <c r="E66" s="14" t="s">
        <v>30</v>
      </c>
      <c r="F66" s="14">
        <v>80</v>
      </c>
      <c r="G66" s="14">
        <v>16</v>
      </c>
      <c r="H66" s="14">
        <v>11</v>
      </c>
      <c r="I66" s="14">
        <v>6</v>
      </c>
      <c r="J66" s="14" t="s">
        <v>204</v>
      </c>
      <c r="K66" s="14" cm="1">
        <f t="array" ref="K66">INT(SUMPRODUCT(--ISNUMBER(SEARCH(economy,C66)))&gt;0)</f>
        <v>0</v>
      </c>
      <c r="L66" s="14" cm="1">
        <f t="array" ref="L66">INT(SUMPRODUCT(--ISNUMBER(SEARCH(healthcare,C66)))&gt;0)</f>
        <v>0</v>
      </c>
      <c r="M66" s="14" cm="1">
        <f t="array" ref="M66">INT(SUMPRODUCT(--ISNUMBER(SEARCH(supreme,C66)))&gt;0)</f>
        <v>0</v>
      </c>
      <c r="N66" s="14" cm="1">
        <f t="array" ref="N66">INT(SUMPRODUCT(--ISNUMBER(SEARCH(covid,C66)))&gt;0)</f>
        <v>0</v>
      </c>
      <c r="O66" s="14" cm="1">
        <f t="array" ref="O66">INT(SUMPRODUCT(--ISNUMBER(SEARCH(violent,C66)))&gt;0)</f>
        <v>0</v>
      </c>
      <c r="P66" s="14" cm="1">
        <f t="array" ref="P66">INT(SUMPRODUCT(--ISNUMBER(SEARCH(foreign,C66)))&gt;0)</f>
        <v>0</v>
      </c>
      <c r="Q66" s="14" cm="1">
        <f t="array" ref="Q66">INT(SUMPRODUCT(--ISNUMBER(SEARCH(gun,C66)))&gt;0)</f>
        <v>0</v>
      </c>
      <c r="R66" s="14" cm="1">
        <f t="array" ref="R66">INT(SUMPRODUCT(--ISNUMBER(SEARCH(race,C66)))&gt;0)</f>
        <v>0</v>
      </c>
      <c r="S66" s="14" cm="1">
        <f t="array" ref="S66">INT(SUMPRODUCT(--ISNUMBER(SEARCH(immigration,C66)))&gt;0)</f>
        <v>0</v>
      </c>
      <c r="T66" s="14" cm="1">
        <f t="array" ref="T66">INT(SUMPRODUCT(--ISNUMBER(SEARCH(econineq,C67)))&gt;0)</f>
        <v>0</v>
      </c>
      <c r="U66" s="14" cm="1">
        <f t="array" ref="U66">INT(SUMPRODUCT(--ISNUMBER(SEARCH(climate,C66)))&gt;0)</f>
        <v>0</v>
      </c>
      <c r="V66" s="14" cm="1">
        <f t="array" ref="V66">INT(SUMPRODUCT(--ISNUMBER(SEARCH(abortion,C66)))&gt;0)</f>
        <v>0</v>
      </c>
      <c r="W66" s="14" cm="1">
        <f t="array" ref="W66">INT(SUMPRODUCT(--ISNUMBER(SEARCH(trump,C66)))&gt;0)</f>
        <v>0</v>
      </c>
      <c r="X66" s="14" cm="1">
        <f t="array" ref="X66">INT(SUMPRODUCT(--ISNUMBER(SEARCH(voting,C66)))&gt;0)</f>
        <v>0</v>
      </c>
      <c r="Y66" s="14" cm="1">
        <f t="array" ref="Y66">INT(SUMPRODUCT(--ISNUMBER(SEARCH(democrattrigger,C66)))&gt;0)</f>
        <v>0</v>
      </c>
      <c r="Z66" s="14" cm="1">
        <f t="array" ref="Z66">INT(SUMPRODUCT(--ISNUMBER(SEARCH(bipartisan,C66)))&gt;0)</f>
        <v>0</v>
      </c>
      <c r="AA66" s="14">
        <f t="shared" si="0"/>
        <v>1</v>
      </c>
      <c r="AB66" s="14"/>
      <c r="AC66" s="30" t="s">
        <v>223</v>
      </c>
      <c r="AD66" s="37" t="s">
        <v>223</v>
      </c>
    </row>
    <row r="67" spans="1:30" x14ac:dyDescent="0.25">
      <c r="A67" s="36">
        <v>2220</v>
      </c>
      <c r="B67" s="14" t="s">
        <v>4465</v>
      </c>
      <c r="C67" s="14" t="s">
        <v>4466</v>
      </c>
      <c r="D67" s="17">
        <v>44135</v>
      </c>
      <c r="E67" s="14" t="s">
        <v>30</v>
      </c>
      <c r="F67" s="14">
        <v>65</v>
      </c>
      <c r="G67" s="14">
        <v>20</v>
      </c>
      <c r="H67" s="14">
        <v>11</v>
      </c>
      <c r="I67" s="14">
        <v>6</v>
      </c>
      <c r="J67" s="14" t="s">
        <v>204</v>
      </c>
      <c r="K67" s="14" cm="1">
        <f t="array" ref="K67">INT(SUMPRODUCT(--ISNUMBER(SEARCH(economy,C67)))&gt;0)</f>
        <v>0</v>
      </c>
      <c r="L67" s="14" cm="1">
        <f t="array" ref="L67">INT(SUMPRODUCT(--ISNUMBER(SEARCH(healthcare,C67)))&gt;0)</f>
        <v>0</v>
      </c>
      <c r="M67" s="14" cm="1">
        <f t="array" ref="M67">INT(SUMPRODUCT(--ISNUMBER(SEARCH(supreme,C67)))&gt;0)</f>
        <v>0</v>
      </c>
      <c r="N67" s="14" cm="1">
        <f t="array" ref="N67">INT(SUMPRODUCT(--ISNUMBER(SEARCH(covid,C67)))&gt;0)</f>
        <v>0</v>
      </c>
      <c r="O67" s="14" cm="1">
        <f t="array" ref="O67">INT(SUMPRODUCT(--ISNUMBER(SEARCH(violent,C67)))&gt;0)</f>
        <v>0</v>
      </c>
      <c r="P67" s="14" cm="1">
        <f t="array" ref="P67">INT(SUMPRODUCT(--ISNUMBER(SEARCH(foreign,C67)))&gt;0)</f>
        <v>0</v>
      </c>
      <c r="Q67" s="14" cm="1">
        <f t="array" ref="Q67">INT(SUMPRODUCT(--ISNUMBER(SEARCH(gun,C67)))&gt;0)</f>
        <v>0</v>
      </c>
      <c r="R67" s="14" cm="1">
        <f t="array" ref="R67">INT(SUMPRODUCT(--ISNUMBER(SEARCH(race,C67)))&gt;0)</f>
        <v>0</v>
      </c>
      <c r="S67" s="14" cm="1">
        <f t="array" ref="S67">INT(SUMPRODUCT(--ISNUMBER(SEARCH(immigration,C67)))&gt;0)</f>
        <v>0</v>
      </c>
      <c r="T67" s="14" cm="1">
        <f t="array" ref="T67">INT(SUMPRODUCT(--ISNUMBER(SEARCH(econineq,C68)))&gt;0)</f>
        <v>0</v>
      </c>
      <c r="U67" s="14" cm="1">
        <f t="array" ref="U67">INT(SUMPRODUCT(--ISNUMBER(SEARCH(climate,C67)))&gt;0)</f>
        <v>0</v>
      </c>
      <c r="V67" s="14" cm="1">
        <f t="array" ref="V67">INT(SUMPRODUCT(--ISNUMBER(SEARCH(abortion,C67)))&gt;0)</f>
        <v>0</v>
      </c>
      <c r="W67" s="14" cm="1">
        <f t="array" ref="W67">INT(SUMPRODUCT(--ISNUMBER(SEARCH(trump,C67)))&gt;0)</f>
        <v>0</v>
      </c>
      <c r="X67" s="14" cm="1">
        <f t="array" ref="X67">INT(SUMPRODUCT(--ISNUMBER(SEARCH(voting,C67)))&gt;0)</f>
        <v>1</v>
      </c>
      <c r="Y67" s="14" cm="1">
        <f t="array" ref="Y67">INT(SUMPRODUCT(--ISNUMBER(SEARCH(democrattrigger,C67)))&gt;0)</f>
        <v>0</v>
      </c>
      <c r="Z67" s="14" cm="1">
        <f t="array" ref="Z67">INT(SUMPRODUCT(--ISNUMBER(SEARCH(bipartisan,C67)))&gt;0)</f>
        <v>0</v>
      </c>
      <c r="AA67" s="14">
        <f t="shared" ref="AA67:AA130" si="1">INT(IF(COUNTIF(K67:Z67,1)=0,"1","0"))</f>
        <v>0</v>
      </c>
      <c r="AB67" s="14"/>
      <c r="AC67" s="30" t="s">
        <v>223</v>
      </c>
      <c r="AD67" s="37" t="s">
        <v>223</v>
      </c>
    </row>
    <row r="68" spans="1:30" x14ac:dyDescent="0.25">
      <c r="A68" s="36">
        <v>2221</v>
      </c>
      <c r="B68" s="14" t="s">
        <v>4467</v>
      </c>
      <c r="C68" s="14" t="s">
        <v>4468</v>
      </c>
      <c r="D68" s="17">
        <v>44135</v>
      </c>
      <c r="E68" s="14" t="s">
        <v>30</v>
      </c>
      <c r="F68" s="14">
        <v>158</v>
      </c>
      <c r="G68" s="14">
        <v>27</v>
      </c>
      <c r="H68" s="14">
        <v>11</v>
      </c>
      <c r="I68" s="14">
        <v>6</v>
      </c>
      <c r="J68" s="14" t="s">
        <v>204</v>
      </c>
      <c r="K68" s="14" cm="1">
        <f t="array" ref="K68">INT(SUMPRODUCT(--ISNUMBER(SEARCH(economy,C68)))&gt;0)</f>
        <v>0</v>
      </c>
      <c r="L68" s="14" cm="1">
        <f t="array" ref="L68">INT(SUMPRODUCT(--ISNUMBER(SEARCH(healthcare,C68)))&gt;0)</f>
        <v>0</v>
      </c>
      <c r="M68" s="14" cm="1">
        <f t="array" ref="M68">INT(SUMPRODUCT(--ISNUMBER(SEARCH(supreme,C68)))&gt;0)</f>
        <v>0</v>
      </c>
      <c r="N68" s="14" cm="1">
        <f t="array" ref="N68">INT(SUMPRODUCT(--ISNUMBER(SEARCH(covid,C68)))&gt;0)</f>
        <v>0</v>
      </c>
      <c r="O68" s="14" cm="1">
        <f t="array" ref="O68">INT(SUMPRODUCT(--ISNUMBER(SEARCH(violent,C68)))&gt;0)</f>
        <v>0</v>
      </c>
      <c r="P68" s="14" cm="1">
        <f t="array" ref="P68">INT(SUMPRODUCT(--ISNUMBER(SEARCH(foreign,C68)))&gt;0)</f>
        <v>0</v>
      </c>
      <c r="Q68" s="14" cm="1">
        <f t="array" ref="Q68">INT(SUMPRODUCT(--ISNUMBER(SEARCH(gun,C68)))&gt;0)</f>
        <v>0</v>
      </c>
      <c r="R68" s="14" cm="1">
        <f t="array" ref="R68">INT(SUMPRODUCT(--ISNUMBER(SEARCH(race,C68)))&gt;0)</f>
        <v>0</v>
      </c>
      <c r="S68" s="14" cm="1">
        <f t="array" ref="S68">INT(SUMPRODUCT(--ISNUMBER(SEARCH(immigration,C68)))&gt;0)</f>
        <v>0</v>
      </c>
      <c r="T68" s="14" cm="1">
        <f t="array" ref="T68">INT(SUMPRODUCT(--ISNUMBER(SEARCH(econineq,C69)))&gt;0)</f>
        <v>0</v>
      </c>
      <c r="U68" s="14" cm="1">
        <f t="array" ref="U68">INT(SUMPRODUCT(--ISNUMBER(SEARCH(climate,C68)))&gt;0)</f>
        <v>0</v>
      </c>
      <c r="V68" s="14" cm="1">
        <f t="array" ref="V68">INT(SUMPRODUCT(--ISNUMBER(SEARCH(abortion,C68)))&gt;0)</f>
        <v>0</v>
      </c>
      <c r="W68" s="14" cm="1">
        <f t="array" ref="W68">INT(SUMPRODUCT(--ISNUMBER(SEARCH(trump,C68)))&gt;0)</f>
        <v>0</v>
      </c>
      <c r="X68" s="14" cm="1">
        <f t="array" ref="X68">INT(SUMPRODUCT(--ISNUMBER(SEARCH(voting,C68)))&gt;0)</f>
        <v>0</v>
      </c>
      <c r="Y68" s="14" cm="1">
        <f t="array" ref="Y68">INT(SUMPRODUCT(--ISNUMBER(SEARCH(democrattrigger,C68)))&gt;0)</f>
        <v>0</v>
      </c>
      <c r="Z68" s="14" cm="1">
        <f t="array" ref="Z68">INT(SUMPRODUCT(--ISNUMBER(SEARCH(bipartisan,C68)))&gt;0)</f>
        <v>0</v>
      </c>
      <c r="AA68" s="14">
        <f t="shared" si="1"/>
        <v>1</v>
      </c>
      <c r="AB68" s="14"/>
      <c r="AC68" s="30">
        <v>1</v>
      </c>
      <c r="AD68" s="37">
        <v>0</v>
      </c>
    </row>
    <row r="69" spans="1:30" x14ac:dyDescent="0.25">
      <c r="A69" s="36">
        <v>2222</v>
      </c>
      <c r="B69" s="14" t="s">
        <v>4469</v>
      </c>
      <c r="C69" s="14" t="s">
        <v>4470</v>
      </c>
      <c r="D69" s="17">
        <v>44134</v>
      </c>
      <c r="E69" s="14" t="s">
        <v>30</v>
      </c>
      <c r="F69" s="14">
        <v>52</v>
      </c>
      <c r="G69" s="14">
        <v>21</v>
      </c>
      <c r="H69" s="14">
        <v>11</v>
      </c>
      <c r="I69" s="14">
        <v>6</v>
      </c>
      <c r="J69" s="14" t="s">
        <v>204</v>
      </c>
      <c r="K69" s="14" cm="1">
        <f t="array" ref="K69">INT(SUMPRODUCT(--ISNUMBER(SEARCH(economy,C69)))&gt;0)</f>
        <v>0</v>
      </c>
      <c r="L69" s="14" cm="1">
        <f t="array" ref="L69">INT(SUMPRODUCT(--ISNUMBER(SEARCH(healthcare,C69)))&gt;0)</f>
        <v>0</v>
      </c>
      <c r="M69" s="14" cm="1">
        <f t="array" ref="M69">INT(SUMPRODUCT(--ISNUMBER(SEARCH(supreme,C69)))&gt;0)</f>
        <v>0</v>
      </c>
      <c r="N69" s="14" cm="1">
        <f t="array" ref="N69">INT(SUMPRODUCT(--ISNUMBER(SEARCH(covid,C69)))&gt;0)</f>
        <v>0</v>
      </c>
      <c r="O69" s="14" cm="1">
        <f t="array" ref="O69">INT(SUMPRODUCT(--ISNUMBER(SEARCH(violent,C69)))&gt;0)</f>
        <v>0</v>
      </c>
      <c r="P69" s="14" cm="1">
        <f t="array" ref="P69">INT(SUMPRODUCT(--ISNUMBER(SEARCH(foreign,C69)))&gt;0)</f>
        <v>1</v>
      </c>
      <c r="Q69" s="14" cm="1">
        <f t="array" ref="Q69">INT(SUMPRODUCT(--ISNUMBER(SEARCH(gun,C69)))&gt;0)</f>
        <v>0</v>
      </c>
      <c r="R69" s="14" cm="1">
        <f t="array" ref="R69">INT(SUMPRODUCT(--ISNUMBER(SEARCH(race,C69)))&gt;0)</f>
        <v>0</v>
      </c>
      <c r="S69" s="14" cm="1">
        <f t="array" ref="S69">INT(SUMPRODUCT(--ISNUMBER(SEARCH(immigration,C69)))&gt;0)</f>
        <v>0</v>
      </c>
      <c r="T69" s="14" cm="1">
        <f t="array" ref="T69">INT(SUMPRODUCT(--ISNUMBER(SEARCH(econineq,C70)))&gt;0)</f>
        <v>0</v>
      </c>
      <c r="U69" s="14" cm="1">
        <f t="array" ref="U69">INT(SUMPRODUCT(--ISNUMBER(SEARCH(climate,C69)))&gt;0)</f>
        <v>0</v>
      </c>
      <c r="V69" s="14" cm="1">
        <f t="array" ref="V69">INT(SUMPRODUCT(--ISNUMBER(SEARCH(abortion,C69)))&gt;0)</f>
        <v>0</v>
      </c>
      <c r="W69" s="14" cm="1">
        <f t="array" ref="W69">INT(SUMPRODUCT(--ISNUMBER(SEARCH(trump,C69)))&gt;0)</f>
        <v>0</v>
      </c>
      <c r="X69" s="14" cm="1">
        <f t="array" ref="X69">INT(SUMPRODUCT(--ISNUMBER(SEARCH(voting,C69)))&gt;0)</f>
        <v>1</v>
      </c>
      <c r="Y69" s="14" cm="1">
        <f t="array" ref="Y69">INT(SUMPRODUCT(--ISNUMBER(SEARCH(democrattrigger,C69)))&gt;0)</f>
        <v>0</v>
      </c>
      <c r="Z69" s="14" cm="1">
        <f t="array" ref="Z69">INT(SUMPRODUCT(--ISNUMBER(SEARCH(bipartisan,C69)))&gt;0)</f>
        <v>0</v>
      </c>
      <c r="AA69" s="14">
        <f t="shared" si="1"/>
        <v>0</v>
      </c>
      <c r="AB69" s="14"/>
      <c r="AC69" s="30">
        <v>0</v>
      </c>
      <c r="AD69" s="37">
        <v>1</v>
      </c>
    </row>
    <row r="70" spans="1:30" x14ac:dyDescent="0.25">
      <c r="A70" s="36">
        <v>2223</v>
      </c>
      <c r="B70" s="14" t="s">
        <v>4471</v>
      </c>
      <c r="C70" s="14" t="s">
        <v>4472</v>
      </c>
      <c r="D70" s="17">
        <v>44134</v>
      </c>
      <c r="E70" s="14" t="s">
        <v>30</v>
      </c>
      <c r="F70" s="14">
        <v>41</v>
      </c>
      <c r="G70" s="14">
        <v>10</v>
      </c>
      <c r="H70" s="14">
        <v>11</v>
      </c>
      <c r="I70" s="14">
        <v>6</v>
      </c>
      <c r="J70" s="14" t="s">
        <v>204</v>
      </c>
      <c r="K70" s="14" cm="1">
        <f t="array" ref="K70">INT(SUMPRODUCT(--ISNUMBER(SEARCH(economy,C70)))&gt;0)</f>
        <v>0</v>
      </c>
      <c r="L70" s="14" cm="1">
        <f t="array" ref="L70">INT(SUMPRODUCT(--ISNUMBER(SEARCH(healthcare,C70)))&gt;0)</f>
        <v>0</v>
      </c>
      <c r="M70" s="14" cm="1">
        <f t="array" ref="M70">INT(SUMPRODUCT(--ISNUMBER(SEARCH(supreme,C70)))&gt;0)</f>
        <v>0</v>
      </c>
      <c r="N70" s="14" cm="1">
        <f t="array" ref="N70">INT(SUMPRODUCT(--ISNUMBER(SEARCH(covid,C70)))&gt;0)</f>
        <v>0</v>
      </c>
      <c r="O70" s="14" cm="1">
        <f t="array" ref="O70">INT(SUMPRODUCT(--ISNUMBER(SEARCH(violent,C70)))&gt;0)</f>
        <v>0</v>
      </c>
      <c r="P70" s="14" cm="1">
        <f t="array" ref="P70">INT(SUMPRODUCT(--ISNUMBER(SEARCH(foreign,C70)))&gt;0)</f>
        <v>0</v>
      </c>
      <c r="Q70" s="14" cm="1">
        <f t="array" ref="Q70">INT(SUMPRODUCT(--ISNUMBER(SEARCH(gun,C70)))&gt;0)</f>
        <v>0</v>
      </c>
      <c r="R70" s="14" cm="1">
        <f t="array" ref="R70">INT(SUMPRODUCT(--ISNUMBER(SEARCH(race,C70)))&gt;0)</f>
        <v>0</v>
      </c>
      <c r="S70" s="14" cm="1">
        <f t="array" ref="S70">INT(SUMPRODUCT(--ISNUMBER(SEARCH(immigration,C70)))&gt;0)</f>
        <v>0</v>
      </c>
      <c r="T70" s="14" cm="1">
        <f t="array" ref="T70">INT(SUMPRODUCT(--ISNUMBER(SEARCH(econineq,C71)))&gt;0)</f>
        <v>0</v>
      </c>
      <c r="U70" s="14" cm="1">
        <f t="array" ref="U70">INT(SUMPRODUCT(--ISNUMBER(SEARCH(climate,C70)))&gt;0)</f>
        <v>0</v>
      </c>
      <c r="V70" s="14" cm="1">
        <f t="array" ref="V70">INT(SUMPRODUCT(--ISNUMBER(SEARCH(abortion,C70)))&gt;0)</f>
        <v>0</v>
      </c>
      <c r="W70" s="14" cm="1">
        <f t="array" ref="W70">INT(SUMPRODUCT(--ISNUMBER(SEARCH(trump,C70)))&gt;0)</f>
        <v>0</v>
      </c>
      <c r="X70" s="14" cm="1">
        <f t="array" ref="X70">INT(SUMPRODUCT(--ISNUMBER(SEARCH(voting,C70)))&gt;0)</f>
        <v>1</v>
      </c>
      <c r="Y70" s="14" cm="1">
        <f t="array" ref="Y70">INT(SUMPRODUCT(--ISNUMBER(SEARCH(democrattrigger,C70)))&gt;0)</f>
        <v>0</v>
      </c>
      <c r="Z70" s="14" cm="1">
        <f t="array" ref="Z70">INT(SUMPRODUCT(--ISNUMBER(SEARCH(bipartisan,C70)))&gt;0)</f>
        <v>0</v>
      </c>
      <c r="AA70" s="14">
        <f t="shared" si="1"/>
        <v>0</v>
      </c>
      <c r="AB70" s="14"/>
      <c r="AC70" s="30" t="s">
        <v>223</v>
      </c>
      <c r="AD70" s="37" t="s">
        <v>223</v>
      </c>
    </row>
    <row r="71" spans="1:30" x14ac:dyDescent="0.25">
      <c r="A71" s="36">
        <v>2224</v>
      </c>
      <c r="B71" s="14" t="s">
        <v>4473</v>
      </c>
      <c r="C71" s="14" t="s">
        <v>4474</v>
      </c>
      <c r="D71" s="17">
        <v>44134</v>
      </c>
      <c r="E71" s="14" t="s">
        <v>30</v>
      </c>
      <c r="F71" s="14">
        <v>136</v>
      </c>
      <c r="G71" s="14">
        <v>50</v>
      </c>
      <c r="H71" s="14">
        <v>11</v>
      </c>
      <c r="I71" s="14">
        <v>6</v>
      </c>
      <c r="J71" s="14" t="s">
        <v>204</v>
      </c>
      <c r="K71" s="14" cm="1">
        <f t="array" ref="K71">INT(SUMPRODUCT(--ISNUMBER(SEARCH(economy,C71)))&gt;0)</f>
        <v>0</v>
      </c>
      <c r="L71" s="14" cm="1">
        <f t="array" ref="L71">INT(SUMPRODUCT(--ISNUMBER(SEARCH(healthcare,C71)))&gt;0)</f>
        <v>0</v>
      </c>
      <c r="M71" s="14" cm="1">
        <f t="array" ref="M71">INT(SUMPRODUCT(--ISNUMBER(SEARCH(supreme,C71)))&gt;0)</f>
        <v>0</v>
      </c>
      <c r="N71" s="14" cm="1">
        <f t="array" ref="N71">INT(SUMPRODUCT(--ISNUMBER(SEARCH(covid,C71)))&gt;0)</f>
        <v>0</v>
      </c>
      <c r="O71" s="14" cm="1">
        <f t="array" ref="O71">INT(SUMPRODUCT(--ISNUMBER(SEARCH(violent,C71)))&gt;0)</f>
        <v>0</v>
      </c>
      <c r="P71" s="14" cm="1">
        <f t="array" ref="P71">INT(SUMPRODUCT(--ISNUMBER(SEARCH(foreign,C71)))&gt;0)</f>
        <v>1</v>
      </c>
      <c r="Q71" s="14" cm="1">
        <f t="array" ref="Q71">INT(SUMPRODUCT(--ISNUMBER(SEARCH(gun,C71)))&gt;0)</f>
        <v>0</v>
      </c>
      <c r="R71" s="14" cm="1">
        <f t="array" ref="R71">INT(SUMPRODUCT(--ISNUMBER(SEARCH(race,C71)))&gt;0)</f>
        <v>0</v>
      </c>
      <c r="S71" s="14" cm="1">
        <f t="array" ref="S71">INT(SUMPRODUCT(--ISNUMBER(SEARCH(immigration,C71)))&gt;0)</f>
        <v>0</v>
      </c>
      <c r="T71" s="14" cm="1">
        <f t="array" ref="T71">INT(SUMPRODUCT(--ISNUMBER(SEARCH(econineq,C72)))&gt;0)</f>
        <v>0</v>
      </c>
      <c r="U71" s="14" cm="1">
        <f t="array" ref="U71">INT(SUMPRODUCT(--ISNUMBER(SEARCH(climate,C71)))&gt;0)</f>
        <v>0</v>
      </c>
      <c r="V71" s="14" cm="1">
        <f t="array" ref="V71">INT(SUMPRODUCT(--ISNUMBER(SEARCH(abortion,C71)))&gt;0)</f>
        <v>0</v>
      </c>
      <c r="W71" s="14" cm="1">
        <f t="array" ref="W71">INT(SUMPRODUCT(--ISNUMBER(SEARCH(trump,C71)))&gt;0)</f>
        <v>0</v>
      </c>
      <c r="X71" s="14" cm="1">
        <f t="array" ref="X71">INT(SUMPRODUCT(--ISNUMBER(SEARCH(voting,C71)))&gt;0)</f>
        <v>1</v>
      </c>
      <c r="Y71" s="14" cm="1">
        <f t="array" ref="Y71">INT(SUMPRODUCT(--ISNUMBER(SEARCH(democrattrigger,C71)))&gt;0)</f>
        <v>0</v>
      </c>
      <c r="Z71" s="14" cm="1">
        <f t="array" ref="Z71">INT(SUMPRODUCT(--ISNUMBER(SEARCH(bipartisan,C71)))&gt;0)</f>
        <v>0</v>
      </c>
      <c r="AA71" s="14">
        <f t="shared" si="1"/>
        <v>0</v>
      </c>
      <c r="AB71" s="14"/>
      <c r="AC71" s="30" t="s">
        <v>223</v>
      </c>
      <c r="AD71" s="37" t="s">
        <v>223</v>
      </c>
    </row>
    <row r="72" spans="1:30" x14ac:dyDescent="0.25">
      <c r="A72" s="36">
        <v>2225</v>
      </c>
      <c r="B72" s="14" t="s">
        <v>4475</v>
      </c>
      <c r="C72" s="14" t="s">
        <v>4476</v>
      </c>
      <c r="D72" s="17">
        <v>44134</v>
      </c>
      <c r="E72" s="14" t="s">
        <v>30</v>
      </c>
      <c r="F72" s="14">
        <v>114</v>
      </c>
      <c r="G72" s="14">
        <v>21</v>
      </c>
      <c r="H72" s="14">
        <v>11</v>
      </c>
      <c r="I72" s="14">
        <v>6</v>
      </c>
      <c r="J72" s="14" t="s">
        <v>204</v>
      </c>
      <c r="K72" s="14" cm="1">
        <f t="array" ref="K72">INT(SUMPRODUCT(--ISNUMBER(SEARCH(economy,C72)))&gt;0)</f>
        <v>0</v>
      </c>
      <c r="L72" s="14" cm="1">
        <f t="array" ref="L72">INT(SUMPRODUCT(--ISNUMBER(SEARCH(healthcare,C72)))&gt;0)</f>
        <v>0</v>
      </c>
      <c r="M72" s="14" cm="1">
        <f t="array" ref="M72">INT(SUMPRODUCT(--ISNUMBER(SEARCH(supreme,C72)))&gt;0)</f>
        <v>0</v>
      </c>
      <c r="N72" s="14" cm="1">
        <f t="array" ref="N72">INT(SUMPRODUCT(--ISNUMBER(SEARCH(covid,C72)))&gt;0)</f>
        <v>0</v>
      </c>
      <c r="O72" s="14" cm="1">
        <f t="array" ref="O72">INT(SUMPRODUCT(--ISNUMBER(SEARCH(violent,C72)))&gt;0)</f>
        <v>0</v>
      </c>
      <c r="P72" s="14" cm="1">
        <f t="array" ref="P72">INT(SUMPRODUCT(--ISNUMBER(SEARCH(foreign,C72)))&gt;0)</f>
        <v>0</v>
      </c>
      <c r="Q72" s="14" cm="1">
        <f t="array" ref="Q72">INT(SUMPRODUCT(--ISNUMBER(SEARCH(gun,C72)))&gt;0)</f>
        <v>0</v>
      </c>
      <c r="R72" s="14" cm="1">
        <f t="array" ref="R72">INT(SUMPRODUCT(--ISNUMBER(SEARCH(race,C72)))&gt;0)</f>
        <v>0</v>
      </c>
      <c r="S72" s="14" cm="1">
        <f t="array" ref="S72">INT(SUMPRODUCT(--ISNUMBER(SEARCH(immigration,C72)))&gt;0)</f>
        <v>0</v>
      </c>
      <c r="T72" s="14" cm="1">
        <f t="array" ref="T72">INT(SUMPRODUCT(--ISNUMBER(SEARCH(econineq,C73)))&gt;0)</f>
        <v>0</v>
      </c>
      <c r="U72" s="14" cm="1">
        <f t="array" ref="U72">INT(SUMPRODUCT(--ISNUMBER(SEARCH(climate,C72)))&gt;0)</f>
        <v>0</v>
      </c>
      <c r="V72" s="14" cm="1">
        <f t="array" ref="V72">INT(SUMPRODUCT(--ISNUMBER(SEARCH(abortion,C72)))&gt;0)</f>
        <v>0</v>
      </c>
      <c r="W72" s="14" cm="1">
        <f t="array" ref="W72">INT(SUMPRODUCT(--ISNUMBER(SEARCH(trump,C72)))&gt;0)</f>
        <v>0</v>
      </c>
      <c r="X72" s="14" cm="1">
        <f t="array" ref="X72">INT(SUMPRODUCT(--ISNUMBER(SEARCH(voting,C72)))&gt;0)</f>
        <v>0</v>
      </c>
      <c r="Y72" s="14" cm="1">
        <f t="array" ref="Y72">INT(SUMPRODUCT(--ISNUMBER(SEARCH(democrattrigger,C72)))&gt;0)</f>
        <v>0</v>
      </c>
      <c r="Z72" s="14" cm="1">
        <f t="array" ref="Z72">INT(SUMPRODUCT(--ISNUMBER(SEARCH(bipartisan,C72)))&gt;0)</f>
        <v>1</v>
      </c>
      <c r="AA72" s="14">
        <f t="shared" si="1"/>
        <v>0</v>
      </c>
      <c r="AB72" s="14"/>
      <c r="AC72" s="30">
        <v>0</v>
      </c>
      <c r="AD72" s="37">
        <v>1</v>
      </c>
    </row>
    <row r="73" spans="1:30" x14ac:dyDescent="0.25">
      <c r="A73" s="36">
        <v>2226</v>
      </c>
      <c r="B73" s="14" t="s">
        <v>4477</v>
      </c>
      <c r="C73" s="14" t="s">
        <v>4478</v>
      </c>
      <c r="D73" s="17">
        <v>44134</v>
      </c>
      <c r="E73" s="14" t="s">
        <v>30</v>
      </c>
      <c r="F73" s="14">
        <v>556</v>
      </c>
      <c r="G73" s="14">
        <v>118</v>
      </c>
      <c r="H73" s="14">
        <v>11</v>
      </c>
      <c r="I73" s="14">
        <v>6</v>
      </c>
      <c r="J73" s="14" t="s">
        <v>204</v>
      </c>
      <c r="K73" s="14" cm="1">
        <f t="array" ref="K73">INT(SUMPRODUCT(--ISNUMBER(SEARCH(economy,C73)))&gt;0)</f>
        <v>0</v>
      </c>
      <c r="L73" s="14" cm="1">
        <f t="array" ref="L73">INT(SUMPRODUCT(--ISNUMBER(SEARCH(healthcare,C73)))&gt;0)</f>
        <v>0</v>
      </c>
      <c r="M73" s="14" cm="1">
        <f t="array" ref="M73">INT(SUMPRODUCT(--ISNUMBER(SEARCH(supreme,C73)))&gt;0)</f>
        <v>0</v>
      </c>
      <c r="N73" s="14" cm="1">
        <f t="array" ref="N73">INT(SUMPRODUCT(--ISNUMBER(SEARCH(covid,C73)))&gt;0)</f>
        <v>0</v>
      </c>
      <c r="O73" s="14" cm="1">
        <f t="array" ref="O73">INT(SUMPRODUCT(--ISNUMBER(SEARCH(violent,C73)))&gt;0)</f>
        <v>0</v>
      </c>
      <c r="P73" s="14" cm="1">
        <f t="array" ref="P73">INT(SUMPRODUCT(--ISNUMBER(SEARCH(foreign,C73)))&gt;0)</f>
        <v>0</v>
      </c>
      <c r="Q73" s="14" cm="1">
        <f t="array" ref="Q73">INT(SUMPRODUCT(--ISNUMBER(SEARCH(gun,C73)))&gt;0)</f>
        <v>0</v>
      </c>
      <c r="R73" s="14" cm="1">
        <f t="array" ref="R73">INT(SUMPRODUCT(--ISNUMBER(SEARCH(race,C73)))&gt;0)</f>
        <v>0</v>
      </c>
      <c r="S73" s="14" cm="1">
        <f t="array" ref="S73">INT(SUMPRODUCT(--ISNUMBER(SEARCH(immigration,C73)))&gt;0)</f>
        <v>0</v>
      </c>
      <c r="T73" s="14" cm="1">
        <f t="array" ref="T73">INT(SUMPRODUCT(--ISNUMBER(SEARCH(econineq,C74)))&gt;0)</f>
        <v>0</v>
      </c>
      <c r="U73" s="14" cm="1">
        <f t="array" ref="U73">INT(SUMPRODUCT(--ISNUMBER(SEARCH(climate,C73)))&gt;0)</f>
        <v>0</v>
      </c>
      <c r="V73" s="14" cm="1">
        <f t="array" ref="V73">INT(SUMPRODUCT(--ISNUMBER(SEARCH(abortion,C73)))&gt;0)</f>
        <v>0</v>
      </c>
      <c r="W73" s="14" cm="1">
        <f t="array" ref="W73">INT(SUMPRODUCT(--ISNUMBER(SEARCH(trump,C73)))&gt;0)</f>
        <v>0</v>
      </c>
      <c r="X73" s="14" cm="1">
        <f t="array" ref="X73">INT(SUMPRODUCT(--ISNUMBER(SEARCH(voting,C73)))&gt;0)</f>
        <v>0</v>
      </c>
      <c r="Y73" s="14" cm="1">
        <f t="array" ref="Y73">INT(SUMPRODUCT(--ISNUMBER(SEARCH(democrattrigger,C73)))&gt;0)</f>
        <v>0</v>
      </c>
      <c r="Z73" s="14" cm="1">
        <f t="array" ref="Z73">INT(SUMPRODUCT(--ISNUMBER(SEARCH(bipartisan,C73)))&gt;0)</f>
        <v>0</v>
      </c>
      <c r="AA73" s="14">
        <f t="shared" si="1"/>
        <v>1</v>
      </c>
      <c r="AB73" s="14"/>
      <c r="AC73" s="30" t="s">
        <v>223</v>
      </c>
      <c r="AD73" s="37" t="s">
        <v>223</v>
      </c>
    </row>
    <row r="74" spans="1:30" x14ac:dyDescent="0.25">
      <c r="A74" s="36">
        <v>2227</v>
      </c>
      <c r="B74" s="14" t="s">
        <v>4479</v>
      </c>
      <c r="C74" s="14" t="s">
        <v>4480</v>
      </c>
      <c r="D74" s="17">
        <v>44134</v>
      </c>
      <c r="E74" s="14" t="s">
        <v>30</v>
      </c>
      <c r="F74" s="14">
        <v>205</v>
      </c>
      <c r="G74" s="14">
        <v>14</v>
      </c>
      <c r="H74" s="14">
        <v>11</v>
      </c>
      <c r="I74" s="14">
        <v>6</v>
      </c>
      <c r="J74" s="14" t="s">
        <v>204</v>
      </c>
      <c r="K74" s="14" cm="1">
        <f t="array" ref="K74">INT(SUMPRODUCT(--ISNUMBER(SEARCH(economy,C74)))&gt;0)</f>
        <v>0</v>
      </c>
      <c r="L74" s="14" cm="1">
        <f t="array" ref="L74">INT(SUMPRODUCT(--ISNUMBER(SEARCH(healthcare,C74)))&gt;0)</f>
        <v>0</v>
      </c>
      <c r="M74" s="14" cm="1">
        <f t="array" ref="M74">INT(SUMPRODUCT(--ISNUMBER(SEARCH(supreme,C74)))&gt;0)</f>
        <v>0</v>
      </c>
      <c r="N74" s="14" cm="1">
        <f t="array" ref="N74">INT(SUMPRODUCT(--ISNUMBER(SEARCH(covid,C74)))&gt;0)</f>
        <v>0</v>
      </c>
      <c r="O74" s="14" cm="1">
        <f t="array" ref="O74">INT(SUMPRODUCT(--ISNUMBER(SEARCH(violent,C74)))&gt;0)</f>
        <v>0</v>
      </c>
      <c r="P74" s="14" cm="1">
        <f t="array" ref="P74">INT(SUMPRODUCT(--ISNUMBER(SEARCH(foreign,C74)))&gt;0)</f>
        <v>0</v>
      </c>
      <c r="Q74" s="14" cm="1">
        <f t="array" ref="Q74">INT(SUMPRODUCT(--ISNUMBER(SEARCH(gun,C74)))&gt;0)</f>
        <v>0</v>
      </c>
      <c r="R74" s="14" cm="1">
        <f t="array" ref="R74">INT(SUMPRODUCT(--ISNUMBER(SEARCH(race,C74)))&gt;0)</f>
        <v>0</v>
      </c>
      <c r="S74" s="14" cm="1">
        <f t="array" ref="S74">INT(SUMPRODUCT(--ISNUMBER(SEARCH(immigration,C74)))&gt;0)</f>
        <v>0</v>
      </c>
      <c r="T74" s="14" cm="1">
        <f t="array" ref="T74">INT(SUMPRODUCT(--ISNUMBER(SEARCH(econineq,C75)))&gt;0)</f>
        <v>0</v>
      </c>
      <c r="U74" s="14" cm="1">
        <f t="array" ref="U74">INT(SUMPRODUCT(--ISNUMBER(SEARCH(climate,C74)))&gt;0)</f>
        <v>0</v>
      </c>
      <c r="V74" s="14" cm="1">
        <f t="array" ref="V74">INT(SUMPRODUCT(--ISNUMBER(SEARCH(abortion,C74)))&gt;0)</f>
        <v>0</v>
      </c>
      <c r="W74" s="14" cm="1">
        <f t="array" ref="W74">INT(SUMPRODUCT(--ISNUMBER(SEARCH(trump,C74)))&gt;0)</f>
        <v>0</v>
      </c>
      <c r="X74" s="14" cm="1">
        <f t="array" ref="X74">INT(SUMPRODUCT(--ISNUMBER(SEARCH(voting,C74)))&gt;0)</f>
        <v>0</v>
      </c>
      <c r="Y74" s="14" cm="1">
        <f t="array" ref="Y74">INT(SUMPRODUCT(--ISNUMBER(SEARCH(democrattrigger,C74)))&gt;0)</f>
        <v>0</v>
      </c>
      <c r="Z74" s="14" cm="1">
        <f t="array" ref="Z74">INT(SUMPRODUCT(--ISNUMBER(SEARCH(bipartisan,C74)))&gt;0)</f>
        <v>0</v>
      </c>
      <c r="AA74" s="14">
        <f t="shared" si="1"/>
        <v>1</v>
      </c>
      <c r="AB74" s="14"/>
      <c r="AC74" s="30" t="s">
        <v>223</v>
      </c>
      <c r="AD74" s="37" t="s">
        <v>223</v>
      </c>
    </row>
    <row r="75" spans="1:30" x14ac:dyDescent="0.25">
      <c r="A75" s="36">
        <v>2228</v>
      </c>
      <c r="B75" s="14" t="s">
        <v>4481</v>
      </c>
      <c r="C75" s="14" t="s">
        <v>4482</v>
      </c>
      <c r="D75" s="17">
        <v>44134</v>
      </c>
      <c r="E75" s="14" t="s">
        <v>30</v>
      </c>
      <c r="F75" s="14">
        <v>1098</v>
      </c>
      <c r="G75" s="14">
        <v>704</v>
      </c>
      <c r="H75" s="14">
        <v>11</v>
      </c>
      <c r="I75" s="14">
        <v>6</v>
      </c>
      <c r="J75" s="14" t="s">
        <v>204</v>
      </c>
      <c r="K75" s="14" cm="1">
        <f t="array" ref="K75">INT(SUMPRODUCT(--ISNUMBER(SEARCH(economy,C75)))&gt;0)</f>
        <v>0</v>
      </c>
      <c r="L75" s="14" cm="1">
        <f t="array" ref="L75">INT(SUMPRODUCT(--ISNUMBER(SEARCH(healthcare,C75)))&gt;0)</f>
        <v>0</v>
      </c>
      <c r="M75" s="14" cm="1">
        <f t="array" ref="M75">INT(SUMPRODUCT(--ISNUMBER(SEARCH(supreme,C75)))&gt;0)</f>
        <v>0</v>
      </c>
      <c r="N75" s="14" cm="1">
        <f t="array" ref="N75">INT(SUMPRODUCT(--ISNUMBER(SEARCH(covid,C75)))&gt;0)</f>
        <v>0</v>
      </c>
      <c r="O75" s="14" cm="1">
        <f t="array" ref="O75">INT(SUMPRODUCT(--ISNUMBER(SEARCH(violent,C75)))&gt;0)</f>
        <v>0</v>
      </c>
      <c r="P75" s="14" cm="1">
        <f t="array" ref="P75">INT(SUMPRODUCT(--ISNUMBER(SEARCH(foreign,C75)))&gt;0)</f>
        <v>1</v>
      </c>
      <c r="Q75" s="14" cm="1">
        <f t="array" ref="Q75">INT(SUMPRODUCT(--ISNUMBER(SEARCH(gun,C75)))&gt;0)</f>
        <v>0</v>
      </c>
      <c r="R75" s="14" cm="1">
        <f t="array" ref="R75">INT(SUMPRODUCT(--ISNUMBER(SEARCH(race,C75)))&gt;0)</f>
        <v>0</v>
      </c>
      <c r="S75" s="14" cm="1">
        <f t="array" ref="S75">INT(SUMPRODUCT(--ISNUMBER(SEARCH(immigration,C75)))&gt;0)</f>
        <v>0</v>
      </c>
      <c r="T75" s="14" cm="1">
        <f t="array" ref="T75">INT(SUMPRODUCT(--ISNUMBER(SEARCH(econineq,C76)))&gt;0)</f>
        <v>0</v>
      </c>
      <c r="U75" s="14" cm="1">
        <f t="array" ref="U75">INT(SUMPRODUCT(--ISNUMBER(SEARCH(climate,C75)))&gt;0)</f>
        <v>0</v>
      </c>
      <c r="V75" s="14" cm="1">
        <f t="array" ref="V75">INT(SUMPRODUCT(--ISNUMBER(SEARCH(abortion,C75)))&gt;0)</f>
        <v>0</v>
      </c>
      <c r="W75" s="14" cm="1">
        <f t="array" ref="W75">INT(SUMPRODUCT(--ISNUMBER(SEARCH(trump,C75)))&gt;0)</f>
        <v>0</v>
      </c>
      <c r="X75" s="14" cm="1">
        <f t="array" ref="X75">INT(SUMPRODUCT(--ISNUMBER(SEARCH(voting,C75)))&gt;0)</f>
        <v>1</v>
      </c>
      <c r="Y75" s="14" cm="1">
        <f t="array" ref="Y75">INT(SUMPRODUCT(--ISNUMBER(SEARCH(democrattrigger,C75)))&gt;0)</f>
        <v>0</v>
      </c>
      <c r="Z75" s="14" cm="1">
        <f t="array" ref="Z75">INT(SUMPRODUCT(--ISNUMBER(SEARCH(bipartisan,C75)))&gt;0)</f>
        <v>0</v>
      </c>
      <c r="AA75" s="14">
        <f t="shared" si="1"/>
        <v>0</v>
      </c>
      <c r="AB75" s="14"/>
      <c r="AC75" s="30">
        <v>0</v>
      </c>
      <c r="AD75" s="37">
        <v>1</v>
      </c>
    </row>
    <row r="76" spans="1:30" x14ac:dyDescent="0.25">
      <c r="A76" s="36">
        <v>2229</v>
      </c>
      <c r="B76" s="14" t="s">
        <v>4483</v>
      </c>
      <c r="C76" s="14" t="s">
        <v>4484</v>
      </c>
      <c r="D76" s="17">
        <v>44134</v>
      </c>
      <c r="E76" s="14" t="s">
        <v>30</v>
      </c>
      <c r="F76" s="14">
        <v>100</v>
      </c>
      <c r="G76" s="14">
        <v>42</v>
      </c>
      <c r="H76" s="14">
        <v>11</v>
      </c>
      <c r="I76" s="14">
        <v>6</v>
      </c>
      <c r="J76" s="14" t="s">
        <v>204</v>
      </c>
      <c r="K76" s="14" cm="1">
        <f t="array" ref="K76">INT(SUMPRODUCT(--ISNUMBER(SEARCH(economy,C76)))&gt;0)</f>
        <v>0</v>
      </c>
      <c r="L76" s="14" cm="1">
        <f t="array" ref="L76">INT(SUMPRODUCT(--ISNUMBER(SEARCH(healthcare,C76)))&gt;0)</f>
        <v>0</v>
      </c>
      <c r="M76" s="14" cm="1">
        <f t="array" ref="M76">INT(SUMPRODUCT(--ISNUMBER(SEARCH(supreme,C76)))&gt;0)</f>
        <v>0</v>
      </c>
      <c r="N76" s="14" cm="1">
        <f t="array" ref="N76">INT(SUMPRODUCT(--ISNUMBER(SEARCH(covid,C76)))&gt;0)</f>
        <v>0</v>
      </c>
      <c r="O76" s="14" cm="1">
        <f t="array" ref="O76">INT(SUMPRODUCT(--ISNUMBER(SEARCH(violent,C76)))&gt;0)</f>
        <v>0</v>
      </c>
      <c r="P76" s="14" cm="1">
        <f t="array" ref="P76">INT(SUMPRODUCT(--ISNUMBER(SEARCH(foreign,C76)))&gt;0)</f>
        <v>0</v>
      </c>
      <c r="Q76" s="14" cm="1">
        <f t="array" ref="Q76">INT(SUMPRODUCT(--ISNUMBER(SEARCH(gun,C76)))&gt;0)</f>
        <v>0</v>
      </c>
      <c r="R76" s="14" cm="1">
        <f t="array" ref="R76">INT(SUMPRODUCT(--ISNUMBER(SEARCH(race,C76)))&gt;0)</f>
        <v>0</v>
      </c>
      <c r="S76" s="14" cm="1">
        <f t="array" ref="S76">INT(SUMPRODUCT(--ISNUMBER(SEARCH(immigration,C76)))&gt;0)</f>
        <v>0</v>
      </c>
      <c r="T76" s="14" cm="1">
        <f t="array" ref="T76">INT(SUMPRODUCT(--ISNUMBER(SEARCH(econineq,C77)))&gt;0)</f>
        <v>0</v>
      </c>
      <c r="U76" s="14" cm="1">
        <f t="array" ref="U76">INT(SUMPRODUCT(--ISNUMBER(SEARCH(climate,C76)))&gt;0)</f>
        <v>0</v>
      </c>
      <c r="V76" s="14" cm="1">
        <f t="array" ref="V76">INT(SUMPRODUCT(--ISNUMBER(SEARCH(abortion,C76)))&gt;0)</f>
        <v>0</v>
      </c>
      <c r="W76" s="14" cm="1">
        <f t="array" ref="W76">INT(SUMPRODUCT(--ISNUMBER(SEARCH(trump,C76)))&gt;0)</f>
        <v>1</v>
      </c>
      <c r="X76" s="14" cm="1">
        <f t="array" ref="X76">INT(SUMPRODUCT(--ISNUMBER(SEARCH(voting,C76)))&gt;0)</f>
        <v>0</v>
      </c>
      <c r="Y76" s="14" cm="1">
        <f t="array" ref="Y76">INT(SUMPRODUCT(--ISNUMBER(SEARCH(democrattrigger,C76)))&gt;0)</f>
        <v>1</v>
      </c>
      <c r="Z76" s="14" cm="1">
        <f t="array" ref="Z76">INT(SUMPRODUCT(--ISNUMBER(SEARCH(bipartisan,C76)))&gt;0)</f>
        <v>0</v>
      </c>
      <c r="AA76" s="14">
        <f t="shared" si="1"/>
        <v>0</v>
      </c>
      <c r="AB76" s="14"/>
      <c r="AC76" s="30" t="s">
        <v>223</v>
      </c>
      <c r="AD76" s="37" t="s">
        <v>223</v>
      </c>
    </row>
    <row r="77" spans="1:30" x14ac:dyDescent="0.25">
      <c r="A77" s="36">
        <v>2230</v>
      </c>
      <c r="B77" s="14" t="s">
        <v>4485</v>
      </c>
      <c r="C77" s="14" t="s">
        <v>4486</v>
      </c>
      <c r="D77" s="17">
        <v>44134</v>
      </c>
      <c r="E77" s="14" t="s">
        <v>30</v>
      </c>
      <c r="F77" s="14">
        <v>132</v>
      </c>
      <c r="G77" s="14">
        <v>22</v>
      </c>
      <c r="H77" s="14">
        <v>11</v>
      </c>
      <c r="I77" s="14">
        <v>6</v>
      </c>
      <c r="J77" s="14" t="s">
        <v>204</v>
      </c>
      <c r="K77" s="14" cm="1">
        <f t="array" ref="K77">INT(SUMPRODUCT(--ISNUMBER(SEARCH(economy,C77)))&gt;0)</f>
        <v>0</v>
      </c>
      <c r="L77" s="14" cm="1">
        <f t="array" ref="L77">INT(SUMPRODUCT(--ISNUMBER(SEARCH(healthcare,C77)))&gt;0)</f>
        <v>1</v>
      </c>
      <c r="M77" s="14" cm="1">
        <f t="array" ref="M77">INT(SUMPRODUCT(--ISNUMBER(SEARCH(supreme,C77)))&gt;0)</f>
        <v>0</v>
      </c>
      <c r="N77" s="14" cm="1">
        <f t="array" ref="N77">INT(SUMPRODUCT(--ISNUMBER(SEARCH(covid,C77)))&gt;0)</f>
        <v>0</v>
      </c>
      <c r="O77" s="14" cm="1">
        <f t="array" ref="O77">INT(SUMPRODUCT(--ISNUMBER(SEARCH(violent,C77)))&gt;0)</f>
        <v>0</v>
      </c>
      <c r="P77" s="14" cm="1">
        <f t="array" ref="P77">INT(SUMPRODUCT(--ISNUMBER(SEARCH(foreign,C77)))&gt;0)</f>
        <v>0</v>
      </c>
      <c r="Q77" s="14" cm="1">
        <f t="array" ref="Q77">INT(SUMPRODUCT(--ISNUMBER(SEARCH(gun,C77)))&gt;0)</f>
        <v>0</v>
      </c>
      <c r="R77" s="14" cm="1">
        <f t="array" ref="R77">INT(SUMPRODUCT(--ISNUMBER(SEARCH(race,C77)))&gt;0)</f>
        <v>0</v>
      </c>
      <c r="S77" s="14" cm="1">
        <f t="array" ref="S77">INT(SUMPRODUCT(--ISNUMBER(SEARCH(immigration,C77)))&gt;0)</f>
        <v>0</v>
      </c>
      <c r="T77" s="14" cm="1">
        <f t="array" ref="T77">INT(SUMPRODUCT(--ISNUMBER(SEARCH(econineq,C78)))&gt;0)</f>
        <v>0</v>
      </c>
      <c r="U77" s="14" cm="1">
        <f t="array" ref="U77">INT(SUMPRODUCT(--ISNUMBER(SEARCH(climate,C77)))&gt;0)</f>
        <v>0</v>
      </c>
      <c r="V77" s="14" cm="1">
        <f t="array" ref="V77">INT(SUMPRODUCT(--ISNUMBER(SEARCH(abortion,C77)))&gt;0)</f>
        <v>0</v>
      </c>
      <c r="W77" s="14" cm="1">
        <f t="array" ref="W77">INT(SUMPRODUCT(--ISNUMBER(SEARCH(trump,C77)))&gt;0)</f>
        <v>0</v>
      </c>
      <c r="X77" s="14" cm="1">
        <f t="array" ref="X77">INT(SUMPRODUCT(--ISNUMBER(SEARCH(voting,C77)))&gt;0)</f>
        <v>0</v>
      </c>
      <c r="Y77" s="14" cm="1">
        <f t="array" ref="Y77">INT(SUMPRODUCT(--ISNUMBER(SEARCH(democrattrigger,C77)))&gt;0)</f>
        <v>0</v>
      </c>
      <c r="Z77" s="14" cm="1">
        <f t="array" ref="Z77">INT(SUMPRODUCT(--ISNUMBER(SEARCH(bipartisan,C77)))&gt;0)</f>
        <v>0</v>
      </c>
      <c r="AA77" s="14">
        <f t="shared" si="1"/>
        <v>0</v>
      </c>
      <c r="AB77" s="14"/>
      <c r="AC77" s="30">
        <v>0</v>
      </c>
      <c r="AD77" s="37">
        <v>1</v>
      </c>
    </row>
    <row r="78" spans="1:30" x14ac:dyDescent="0.25">
      <c r="A78" s="36">
        <v>2231</v>
      </c>
      <c r="B78" s="14" t="s">
        <v>4487</v>
      </c>
      <c r="C78" s="14" t="s">
        <v>4488</v>
      </c>
      <c r="D78" s="17">
        <v>44134</v>
      </c>
      <c r="E78" s="14" t="s">
        <v>30</v>
      </c>
      <c r="F78" s="14">
        <v>80</v>
      </c>
      <c r="G78" s="14">
        <v>17</v>
      </c>
      <c r="H78" s="14">
        <v>11</v>
      </c>
      <c r="I78" s="14">
        <v>6</v>
      </c>
      <c r="J78" s="14" t="s">
        <v>204</v>
      </c>
      <c r="K78" s="14" cm="1">
        <f t="array" ref="K78">INT(SUMPRODUCT(--ISNUMBER(SEARCH(economy,C78)))&gt;0)</f>
        <v>0</v>
      </c>
      <c r="L78" s="14" cm="1">
        <f t="array" ref="L78">INT(SUMPRODUCT(--ISNUMBER(SEARCH(healthcare,C78)))&gt;0)</f>
        <v>0</v>
      </c>
      <c r="M78" s="14" cm="1">
        <f t="array" ref="M78">INT(SUMPRODUCT(--ISNUMBER(SEARCH(supreme,C78)))&gt;0)</f>
        <v>0</v>
      </c>
      <c r="N78" s="14" cm="1">
        <f t="array" ref="N78">INT(SUMPRODUCT(--ISNUMBER(SEARCH(covid,C78)))&gt;0)</f>
        <v>0</v>
      </c>
      <c r="O78" s="14" cm="1">
        <f t="array" ref="O78">INT(SUMPRODUCT(--ISNUMBER(SEARCH(violent,C78)))&gt;0)</f>
        <v>0</v>
      </c>
      <c r="P78" s="14" cm="1">
        <f t="array" ref="P78">INT(SUMPRODUCT(--ISNUMBER(SEARCH(foreign,C78)))&gt;0)</f>
        <v>0</v>
      </c>
      <c r="Q78" s="14" cm="1">
        <f t="array" ref="Q78">INT(SUMPRODUCT(--ISNUMBER(SEARCH(gun,C78)))&gt;0)</f>
        <v>0</v>
      </c>
      <c r="R78" s="14" cm="1">
        <f t="array" ref="R78">INT(SUMPRODUCT(--ISNUMBER(SEARCH(race,C78)))&gt;0)</f>
        <v>0</v>
      </c>
      <c r="S78" s="14" cm="1">
        <f t="array" ref="S78">INT(SUMPRODUCT(--ISNUMBER(SEARCH(immigration,C78)))&gt;0)</f>
        <v>0</v>
      </c>
      <c r="T78" s="14" cm="1">
        <f t="array" ref="T78">INT(SUMPRODUCT(--ISNUMBER(SEARCH(econineq,C79)))&gt;0)</f>
        <v>0</v>
      </c>
      <c r="U78" s="14" cm="1">
        <f t="array" ref="U78">INT(SUMPRODUCT(--ISNUMBER(SEARCH(climate,C78)))&gt;0)</f>
        <v>0</v>
      </c>
      <c r="V78" s="14" cm="1">
        <f t="array" ref="V78">INT(SUMPRODUCT(--ISNUMBER(SEARCH(abortion,C78)))&gt;0)</f>
        <v>0</v>
      </c>
      <c r="W78" s="14" cm="1">
        <f t="array" ref="W78">INT(SUMPRODUCT(--ISNUMBER(SEARCH(trump,C78)))&gt;0)</f>
        <v>0</v>
      </c>
      <c r="X78" s="14" cm="1">
        <f t="array" ref="X78">INT(SUMPRODUCT(--ISNUMBER(SEARCH(voting,C78)))&gt;0)</f>
        <v>1</v>
      </c>
      <c r="Y78" s="14" cm="1">
        <f t="array" ref="Y78">INT(SUMPRODUCT(--ISNUMBER(SEARCH(democrattrigger,C78)))&gt;0)</f>
        <v>0</v>
      </c>
      <c r="Z78" s="14" cm="1">
        <f t="array" ref="Z78">INT(SUMPRODUCT(--ISNUMBER(SEARCH(bipartisan,C78)))&gt;0)</f>
        <v>0</v>
      </c>
      <c r="AA78" s="14">
        <f t="shared" si="1"/>
        <v>0</v>
      </c>
      <c r="AB78" s="14"/>
      <c r="AC78" s="30">
        <v>1</v>
      </c>
      <c r="AD78" s="37">
        <v>0</v>
      </c>
    </row>
    <row r="79" spans="1:30" x14ac:dyDescent="0.25">
      <c r="A79" s="36">
        <v>2232</v>
      </c>
      <c r="B79" s="14" t="s">
        <v>4489</v>
      </c>
      <c r="C79" s="14" t="s">
        <v>4490</v>
      </c>
      <c r="D79" s="17">
        <v>44134</v>
      </c>
      <c r="E79" s="14" t="s">
        <v>30</v>
      </c>
      <c r="F79" s="14">
        <v>125</v>
      </c>
      <c r="G79" s="14">
        <v>20</v>
      </c>
      <c r="H79" s="14">
        <v>11</v>
      </c>
      <c r="I79" s="14">
        <v>6</v>
      </c>
      <c r="J79" s="14" t="s">
        <v>204</v>
      </c>
      <c r="K79" s="14" cm="1">
        <f t="array" ref="K79">INT(SUMPRODUCT(--ISNUMBER(SEARCH(economy,C79)))&gt;0)</f>
        <v>0</v>
      </c>
      <c r="L79" s="14" cm="1">
        <f t="array" ref="L79">INT(SUMPRODUCT(--ISNUMBER(SEARCH(healthcare,C79)))&gt;0)</f>
        <v>0</v>
      </c>
      <c r="M79" s="14" cm="1">
        <f t="array" ref="M79">INT(SUMPRODUCT(--ISNUMBER(SEARCH(supreme,C79)))&gt;0)</f>
        <v>0</v>
      </c>
      <c r="N79" s="14" cm="1">
        <f t="array" ref="N79">INT(SUMPRODUCT(--ISNUMBER(SEARCH(covid,C79)))&gt;0)</f>
        <v>0</v>
      </c>
      <c r="O79" s="14" cm="1">
        <f t="array" ref="O79">INT(SUMPRODUCT(--ISNUMBER(SEARCH(violent,C79)))&gt;0)</f>
        <v>0</v>
      </c>
      <c r="P79" s="14" cm="1">
        <f t="array" ref="P79">INT(SUMPRODUCT(--ISNUMBER(SEARCH(foreign,C79)))&gt;0)</f>
        <v>0</v>
      </c>
      <c r="Q79" s="14" cm="1">
        <f t="array" ref="Q79">INT(SUMPRODUCT(--ISNUMBER(SEARCH(gun,C79)))&gt;0)</f>
        <v>0</v>
      </c>
      <c r="R79" s="14" cm="1">
        <f t="array" ref="R79">INT(SUMPRODUCT(--ISNUMBER(SEARCH(race,C79)))&gt;0)</f>
        <v>0</v>
      </c>
      <c r="S79" s="14" cm="1">
        <f t="array" ref="S79">INT(SUMPRODUCT(--ISNUMBER(SEARCH(immigration,C79)))&gt;0)</f>
        <v>0</v>
      </c>
      <c r="T79" s="14" cm="1">
        <f t="array" ref="T79">INT(SUMPRODUCT(--ISNUMBER(SEARCH(econineq,C80)))&gt;0)</f>
        <v>0</v>
      </c>
      <c r="U79" s="14" cm="1">
        <f t="array" ref="U79">INT(SUMPRODUCT(--ISNUMBER(SEARCH(climate,C79)))&gt;0)</f>
        <v>1</v>
      </c>
      <c r="V79" s="14" cm="1">
        <f t="array" ref="V79">INT(SUMPRODUCT(--ISNUMBER(SEARCH(abortion,C79)))&gt;0)</f>
        <v>0</v>
      </c>
      <c r="W79" s="14" cm="1">
        <f t="array" ref="W79">INT(SUMPRODUCT(--ISNUMBER(SEARCH(trump,C79)))&gt;0)</f>
        <v>0</v>
      </c>
      <c r="X79" s="14" cm="1">
        <f t="array" ref="X79">INT(SUMPRODUCT(--ISNUMBER(SEARCH(voting,C79)))&gt;0)</f>
        <v>1</v>
      </c>
      <c r="Y79" s="14" cm="1">
        <f t="array" ref="Y79">INT(SUMPRODUCT(--ISNUMBER(SEARCH(democrattrigger,C79)))&gt;0)</f>
        <v>0</v>
      </c>
      <c r="Z79" s="14" cm="1">
        <f t="array" ref="Z79">INT(SUMPRODUCT(--ISNUMBER(SEARCH(bipartisan,C79)))&gt;0)</f>
        <v>0</v>
      </c>
      <c r="AA79" s="14">
        <f t="shared" si="1"/>
        <v>0</v>
      </c>
      <c r="AB79" s="14"/>
      <c r="AC79" s="30">
        <v>0</v>
      </c>
      <c r="AD79" s="37">
        <v>1</v>
      </c>
    </row>
    <row r="80" spans="1:30" x14ac:dyDescent="0.25">
      <c r="A80" s="36">
        <v>2233</v>
      </c>
      <c r="B80" s="14" t="s">
        <v>4491</v>
      </c>
      <c r="C80" s="14" t="s">
        <v>4492</v>
      </c>
      <c r="D80" s="17">
        <v>44134</v>
      </c>
      <c r="E80" s="14" t="s">
        <v>30</v>
      </c>
      <c r="F80" s="14">
        <v>45</v>
      </c>
      <c r="G80" s="14">
        <v>9</v>
      </c>
      <c r="H80" s="14">
        <v>11</v>
      </c>
      <c r="I80" s="14">
        <v>6</v>
      </c>
      <c r="J80" s="14" t="s">
        <v>204</v>
      </c>
      <c r="K80" s="14" cm="1">
        <f t="array" ref="K80">INT(SUMPRODUCT(--ISNUMBER(SEARCH(economy,C80)))&gt;0)</f>
        <v>0</v>
      </c>
      <c r="L80" s="14" cm="1">
        <f t="array" ref="L80">INT(SUMPRODUCT(--ISNUMBER(SEARCH(healthcare,C80)))&gt;0)</f>
        <v>0</v>
      </c>
      <c r="M80" s="14" cm="1">
        <f t="array" ref="M80">INT(SUMPRODUCT(--ISNUMBER(SEARCH(supreme,C80)))&gt;0)</f>
        <v>0</v>
      </c>
      <c r="N80" s="14" cm="1">
        <f t="array" ref="N80">INT(SUMPRODUCT(--ISNUMBER(SEARCH(covid,C80)))&gt;0)</f>
        <v>0</v>
      </c>
      <c r="O80" s="14" cm="1">
        <f t="array" ref="O80">INT(SUMPRODUCT(--ISNUMBER(SEARCH(violent,C80)))&gt;0)</f>
        <v>0</v>
      </c>
      <c r="P80" s="14" cm="1">
        <f t="array" ref="P80">INT(SUMPRODUCT(--ISNUMBER(SEARCH(foreign,C80)))&gt;0)</f>
        <v>0</v>
      </c>
      <c r="Q80" s="14" cm="1">
        <f t="array" ref="Q80">INT(SUMPRODUCT(--ISNUMBER(SEARCH(gun,C80)))&gt;0)</f>
        <v>0</v>
      </c>
      <c r="R80" s="14" cm="1">
        <f t="array" ref="R80">INT(SUMPRODUCT(--ISNUMBER(SEARCH(race,C80)))&gt;0)</f>
        <v>0</v>
      </c>
      <c r="S80" s="14" cm="1">
        <f t="array" ref="S80">INT(SUMPRODUCT(--ISNUMBER(SEARCH(immigration,C80)))&gt;0)</f>
        <v>0</v>
      </c>
      <c r="T80" s="14" cm="1">
        <f t="array" ref="T80">INT(SUMPRODUCT(--ISNUMBER(SEARCH(econineq,C81)))&gt;0)</f>
        <v>0</v>
      </c>
      <c r="U80" s="14" cm="1">
        <f t="array" ref="U80">INT(SUMPRODUCT(--ISNUMBER(SEARCH(climate,C80)))&gt;0)</f>
        <v>0</v>
      </c>
      <c r="V80" s="14" cm="1">
        <f t="array" ref="V80">INT(SUMPRODUCT(--ISNUMBER(SEARCH(abortion,C80)))&gt;0)</f>
        <v>0</v>
      </c>
      <c r="W80" s="14" cm="1">
        <f t="array" ref="W80">INT(SUMPRODUCT(--ISNUMBER(SEARCH(trump,C80)))&gt;0)</f>
        <v>0</v>
      </c>
      <c r="X80" s="14" cm="1">
        <f t="array" ref="X80">INT(SUMPRODUCT(--ISNUMBER(SEARCH(voting,C80)))&gt;0)</f>
        <v>0</v>
      </c>
      <c r="Y80" s="14" cm="1">
        <f t="array" ref="Y80">INT(SUMPRODUCT(--ISNUMBER(SEARCH(democrattrigger,C80)))&gt;0)</f>
        <v>0</v>
      </c>
      <c r="Z80" s="14" cm="1">
        <f t="array" ref="Z80">INT(SUMPRODUCT(--ISNUMBER(SEARCH(bipartisan,C80)))&gt;0)</f>
        <v>0</v>
      </c>
      <c r="AA80" s="14">
        <f t="shared" si="1"/>
        <v>1</v>
      </c>
      <c r="AB80" s="14"/>
      <c r="AC80" s="30" t="s">
        <v>223</v>
      </c>
      <c r="AD80" s="37" t="s">
        <v>223</v>
      </c>
    </row>
    <row r="81" spans="1:30" x14ac:dyDescent="0.25">
      <c r="A81" s="36">
        <v>2234</v>
      </c>
      <c r="B81" s="14" t="s">
        <v>4493</v>
      </c>
      <c r="C81" s="14" t="s">
        <v>4494</v>
      </c>
      <c r="D81" s="17">
        <v>44134</v>
      </c>
      <c r="E81" s="14" t="s">
        <v>30</v>
      </c>
      <c r="F81" s="14">
        <v>848</v>
      </c>
      <c r="G81" s="14">
        <v>479</v>
      </c>
      <c r="H81" s="14">
        <v>11</v>
      </c>
      <c r="I81" s="14">
        <v>6</v>
      </c>
      <c r="J81" s="14" t="s">
        <v>204</v>
      </c>
      <c r="K81" s="14" cm="1">
        <f t="array" ref="K81">INT(SUMPRODUCT(--ISNUMBER(SEARCH(economy,C81)))&gt;0)</f>
        <v>0</v>
      </c>
      <c r="L81" s="14" cm="1">
        <f t="array" ref="L81">INT(SUMPRODUCT(--ISNUMBER(SEARCH(healthcare,C81)))&gt;0)</f>
        <v>0</v>
      </c>
      <c r="M81" s="14" cm="1">
        <f t="array" ref="M81">INT(SUMPRODUCT(--ISNUMBER(SEARCH(supreme,C81)))&gt;0)</f>
        <v>1</v>
      </c>
      <c r="N81" s="14" cm="1">
        <f t="array" ref="N81">INT(SUMPRODUCT(--ISNUMBER(SEARCH(covid,C81)))&gt;0)</f>
        <v>0</v>
      </c>
      <c r="O81" s="14" cm="1">
        <f t="array" ref="O81">INT(SUMPRODUCT(--ISNUMBER(SEARCH(violent,C81)))&gt;0)</f>
        <v>0</v>
      </c>
      <c r="P81" s="14" cm="1">
        <f t="array" ref="P81">INT(SUMPRODUCT(--ISNUMBER(SEARCH(foreign,C81)))&gt;0)</f>
        <v>0</v>
      </c>
      <c r="Q81" s="14" cm="1">
        <f t="array" ref="Q81">INT(SUMPRODUCT(--ISNUMBER(SEARCH(gun,C81)))&gt;0)</f>
        <v>0</v>
      </c>
      <c r="R81" s="14" cm="1">
        <f t="array" ref="R81">INT(SUMPRODUCT(--ISNUMBER(SEARCH(race,C81)))&gt;0)</f>
        <v>0</v>
      </c>
      <c r="S81" s="14" cm="1">
        <f t="array" ref="S81">INT(SUMPRODUCT(--ISNUMBER(SEARCH(immigration,C81)))&gt;0)</f>
        <v>0</v>
      </c>
      <c r="T81" s="14" cm="1">
        <f t="array" ref="T81">INT(SUMPRODUCT(--ISNUMBER(SEARCH(econineq,C82)))&gt;0)</f>
        <v>0</v>
      </c>
      <c r="U81" s="14" cm="1">
        <f t="array" ref="U81">INT(SUMPRODUCT(--ISNUMBER(SEARCH(climate,C81)))&gt;0)</f>
        <v>0</v>
      </c>
      <c r="V81" s="14" cm="1">
        <f t="array" ref="V81">INT(SUMPRODUCT(--ISNUMBER(SEARCH(abortion,C81)))&gt;0)</f>
        <v>0</v>
      </c>
      <c r="W81" s="14" cm="1">
        <f t="array" ref="W81">INT(SUMPRODUCT(--ISNUMBER(SEARCH(trump,C81)))&gt;0)</f>
        <v>0</v>
      </c>
      <c r="X81" s="14" cm="1">
        <f t="array" ref="X81">INT(SUMPRODUCT(--ISNUMBER(SEARCH(voting,C81)))&gt;0)</f>
        <v>1</v>
      </c>
      <c r="Y81" s="14" cm="1">
        <f t="array" ref="Y81">INT(SUMPRODUCT(--ISNUMBER(SEARCH(democrattrigger,C81)))&gt;0)</f>
        <v>0</v>
      </c>
      <c r="Z81" s="14" cm="1">
        <f t="array" ref="Z81">INT(SUMPRODUCT(--ISNUMBER(SEARCH(bipartisan,C81)))&gt;0)</f>
        <v>0</v>
      </c>
      <c r="AA81" s="14">
        <f t="shared" si="1"/>
        <v>0</v>
      </c>
      <c r="AB81" s="14"/>
      <c r="AC81" s="30" t="s">
        <v>223</v>
      </c>
      <c r="AD81" s="37" t="s">
        <v>223</v>
      </c>
    </row>
    <row r="82" spans="1:30" x14ac:dyDescent="0.25">
      <c r="A82" s="36">
        <v>2235</v>
      </c>
      <c r="B82" s="14" t="s">
        <v>4495</v>
      </c>
      <c r="C82" s="14" t="s">
        <v>4496</v>
      </c>
      <c r="D82" s="17">
        <v>44133</v>
      </c>
      <c r="E82" s="14" t="s">
        <v>30</v>
      </c>
      <c r="F82" s="14">
        <v>116</v>
      </c>
      <c r="G82" s="14">
        <v>27</v>
      </c>
      <c r="H82" s="14">
        <v>11</v>
      </c>
      <c r="I82" s="14">
        <v>6</v>
      </c>
      <c r="J82" s="14" t="s">
        <v>204</v>
      </c>
      <c r="K82" s="14" cm="1">
        <f t="array" ref="K82">INT(SUMPRODUCT(--ISNUMBER(SEARCH(economy,C82)))&gt;0)</f>
        <v>0</v>
      </c>
      <c r="L82" s="14" cm="1">
        <f t="array" ref="L82">INT(SUMPRODUCT(--ISNUMBER(SEARCH(healthcare,C82)))&gt;0)</f>
        <v>0</v>
      </c>
      <c r="M82" s="14" cm="1">
        <f t="array" ref="M82">INT(SUMPRODUCT(--ISNUMBER(SEARCH(supreme,C82)))&gt;0)</f>
        <v>1</v>
      </c>
      <c r="N82" s="14" cm="1">
        <f t="array" ref="N82">INT(SUMPRODUCT(--ISNUMBER(SEARCH(covid,C82)))&gt;0)</f>
        <v>0</v>
      </c>
      <c r="O82" s="14" cm="1">
        <f t="array" ref="O82">INT(SUMPRODUCT(--ISNUMBER(SEARCH(violent,C82)))&gt;0)</f>
        <v>0</v>
      </c>
      <c r="P82" s="14" cm="1">
        <f t="array" ref="P82">INT(SUMPRODUCT(--ISNUMBER(SEARCH(foreign,C82)))&gt;0)</f>
        <v>1</v>
      </c>
      <c r="Q82" s="14" cm="1">
        <f t="array" ref="Q82">INT(SUMPRODUCT(--ISNUMBER(SEARCH(gun,C82)))&gt;0)</f>
        <v>0</v>
      </c>
      <c r="R82" s="14" cm="1">
        <f t="array" ref="R82">INT(SUMPRODUCT(--ISNUMBER(SEARCH(race,C82)))&gt;0)</f>
        <v>0</v>
      </c>
      <c r="S82" s="14" cm="1">
        <f t="array" ref="S82">INT(SUMPRODUCT(--ISNUMBER(SEARCH(immigration,C82)))&gt;0)</f>
        <v>0</v>
      </c>
      <c r="T82" s="14" cm="1">
        <f t="array" ref="T82">INT(SUMPRODUCT(--ISNUMBER(SEARCH(econineq,C83)))&gt;0)</f>
        <v>0</v>
      </c>
      <c r="U82" s="14" cm="1">
        <f t="array" ref="U82">INT(SUMPRODUCT(--ISNUMBER(SEARCH(climate,C82)))&gt;0)</f>
        <v>0</v>
      </c>
      <c r="V82" s="14" cm="1">
        <f t="array" ref="V82">INT(SUMPRODUCT(--ISNUMBER(SEARCH(abortion,C82)))&gt;0)</f>
        <v>0</v>
      </c>
      <c r="W82" s="14" cm="1">
        <f t="array" ref="W82">INT(SUMPRODUCT(--ISNUMBER(SEARCH(trump,C82)))&gt;0)</f>
        <v>0</v>
      </c>
      <c r="X82" s="14" cm="1">
        <f t="array" ref="X82">INT(SUMPRODUCT(--ISNUMBER(SEARCH(voting,C82)))&gt;0)</f>
        <v>1</v>
      </c>
      <c r="Y82" s="14" cm="1">
        <f t="array" ref="Y82">INT(SUMPRODUCT(--ISNUMBER(SEARCH(democrattrigger,C82)))&gt;0)</f>
        <v>0</v>
      </c>
      <c r="Z82" s="14" cm="1">
        <f t="array" ref="Z82">INT(SUMPRODUCT(--ISNUMBER(SEARCH(bipartisan,C82)))&gt;0)</f>
        <v>0</v>
      </c>
      <c r="AA82" s="14">
        <f t="shared" si="1"/>
        <v>0</v>
      </c>
      <c r="AB82" s="14"/>
      <c r="AC82" s="30">
        <v>1</v>
      </c>
      <c r="AD82" s="37">
        <v>0</v>
      </c>
    </row>
    <row r="83" spans="1:30" x14ac:dyDescent="0.25">
      <c r="A83" s="36">
        <v>2236</v>
      </c>
      <c r="B83" s="14" t="s">
        <v>4497</v>
      </c>
      <c r="C83" s="14" t="s">
        <v>4498</v>
      </c>
      <c r="D83" s="17">
        <v>44133</v>
      </c>
      <c r="E83" s="14" t="s">
        <v>30</v>
      </c>
      <c r="F83" s="14">
        <v>509</v>
      </c>
      <c r="G83" s="14">
        <v>100</v>
      </c>
      <c r="H83" s="14">
        <v>11</v>
      </c>
      <c r="I83" s="14">
        <v>6</v>
      </c>
      <c r="J83" s="14" t="s">
        <v>204</v>
      </c>
      <c r="K83" s="14" cm="1">
        <f t="array" ref="K83">INT(SUMPRODUCT(--ISNUMBER(SEARCH(economy,C83)))&gt;0)</f>
        <v>0</v>
      </c>
      <c r="L83" s="14" cm="1">
        <f t="array" ref="L83">INT(SUMPRODUCT(--ISNUMBER(SEARCH(healthcare,C83)))&gt;0)</f>
        <v>0</v>
      </c>
      <c r="M83" s="14" cm="1">
        <f t="array" ref="M83">INT(SUMPRODUCT(--ISNUMBER(SEARCH(supreme,C83)))&gt;0)</f>
        <v>0</v>
      </c>
      <c r="N83" s="14" cm="1">
        <f t="array" ref="N83">INT(SUMPRODUCT(--ISNUMBER(SEARCH(covid,C83)))&gt;0)</f>
        <v>0</v>
      </c>
      <c r="O83" s="14" cm="1">
        <f t="array" ref="O83">INT(SUMPRODUCT(--ISNUMBER(SEARCH(violent,C83)))&gt;0)</f>
        <v>0</v>
      </c>
      <c r="P83" s="14" cm="1">
        <f t="array" ref="P83">INT(SUMPRODUCT(--ISNUMBER(SEARCH(foreign,C83)))&gt;0)</f>
        <v>0</v>
      </c>
      <c r="Q83" s="14" cm="1">
        <f t="array" ref="Q83">INT(SUMPRODUCT(--ISNUMBER(SEARCH(gun,C83)))&gt;0)</f>
        <v>0</v>
      </c>
      <c r="R83" s="14" cm="1">
        <f t="array" ref="R83">INT(SUMPRODUCT(--ISNUMBER(SEARCH(race,C83)))&gt;0)</f>
        <v>0</v>
      </c>
      <c r="S83" s="14" cm="1">
        <f t="array" ref="S83">INT(SUMPRODUCT(--ISNUMBER(SEARCH(immigration,C83)))&gt;0)</f>
        <v>0</v>
      </c>
      <c r="T83" s="14" cm="1">
        <f t="array" ref="T83">INT(SUMPRODUCT(--ISNUMBER(SEARCH(econineq,C84)))&gt;0)</f>
        <v>0</v>
      </c>
      <c r="U83" s="14" cm="1">
        <f t="array" ref="U83">INT(SUMPRODUCT(--ISNUMBER(SEARCH(climate,C83)))&gt;0)</f>
        <v>0</v>
      </c>
      <c r="V83" s="14" cm="1">
        <f t="array" ref="V83">INT(SUMPRODUCT(--ISNUMBER(SEARCH(abortion,C83)))&gt;0)</f>
        <v>0</v>
      </c>
      <c r="W83" s="14" cm="1">
        <f t="array" ref="W83">INT(SUMPRODUCT(--ISNUMBER(SEARCH(trump,C83)))&gt;0)</f>
        <v>0</v>
      </c>
      <c r="X83" s="14" cm="1">
        <f t="array" ref="X83">INT(SUMPRODUCT(--ISNUMBER(SEARCH(voting,C83)))&gt;0)</f>
        <v>1</v>
      </c>
      <c r="Y83" s="14" cm="1">
        <f t="array" ref="Y83">INT(SUMPRODUCT(--ISNUMBER(SEARCH(democrattrigger,C83)))&gt;0)</f>
        <v>0</v>
      </c>
      <c r="Z83" s="14" cm="1">
        <f t="array" ref="Z83">INT(SUMPRODUCT(--ISNUMBER(SEARCH(bipartisan,C83)))&gt;0)</f>
        <v>0</v>
      </c>
      <c r="AA83" s="14">
        <f t="shared" si="1"/>
        <v>0</v>
      </c>
      <c r="AB83" s="14"/>
      <c r="AC83" s="30" t="s">
        <v>223</v>
      </c>
      <c r="AD83" s="37" t="s">
        <v>223</v>
      </c>
    </row>
    <row r="84" spans="1:30" x14ac:dyDescent="0.25">
      <c r="A84" s="36">
        <v>2237</v>
      </c>
      <c r="B84" s="14" t="s">
        <v>4499</v>
      </c>
      <c r="C84" s="14" t="s">
        <v>4500</v>
      </c>
      <c r="D84" s="17">
        <v>44133</v>
      </c>
      <c r="E84" s="14" t="s">
        <v>30</v>
      </c>
      <c r="F84" s="14">
        <v>61</v>
      </c>
      <c r="G84" s="14">
        <v>16</v>
      </c>
      <c r="H84" s="14">
        <v>11</v>
      </c>
      <c r="I84" s="14">
        <v>6</v>
      </c>
      <c r="J84" s="14" t="s">
        <v>204</v>
      </c>
      <c r="K84" s="14" cm="1">
        <f t="array" ref="K84">INT(SUMPRODUCT(--ISNUMBER(SEARCH(economy,C84)))&gt;0)</f>
        <v>0</v>
      </c>
      <c r="L84" s="14" cm="1">
        <f t="array" ref="L84">INT(SUMPRODUCT(--ISNUMBER(SEARCH(healthcare,C84)))&gt;0)</f>
        <v>0</v>
      </c>
      <c r="M84" s="14" cm="1">
        <f t="array" ref="M84">INT(SUMPRODUCT(--ISNUMBER(SEARCH(supreme,C84)))&gt;0)</f>
        <v>0</v>
      </c>
      <c r="N84" s="14" cm="1">
        <f t="array" ref="N84">INT(SUMPRODUCT(--ISNUMBER(SEARCH(covid,C84)))&gt;0)</f>
        <v>0</v>
      </c>
      <c r="O84" s="14" cm="1">
        <f t="array" ref="O84">INT(SUMPRODUCT(--ISNUMBER(SEARCH(violent,C84)))&gt;0)</f>
        <v>0</v>
      </c>
      <c r="P84" s="14" cm="1">
        <f t="array" ref="P84">INT(SUMPRODUCT(--ISNUMBER(SEARCH(foreign,C84)))&gt;0)</f>
        <v>0</v>
      </c>
      <c r="Q84" s="14" cm="1">
        <f t="array" ref="Q84">INT(SUMPRODUCT(--ISNUMBER(SEARCH(gun,C84)))&gt;0)</f>
        <v>0</v>
      </c>
      <c r="R84" s="14" cm="1">
        <f t="array" ref="R84">INT(SUMPRODUCT(--ISNUMBER(SEARCH(race,C84)))&gt;0)</f>
        <v>0</v>
      </c>
      <c r="S84" s="14" cm="1">
        <f t="array" ref="S84">INT(SUMPRODUCT(--ISNUMBER(SEARCH(immigration,C84)))&gt;0)</f>
        <v>0</v>
      </c>
      <c r="T84" s="14" cm="1">
        <f t="array" ref="T84">INT(SUMPRODUCT(--ISNUMBER(SEARCH(econineq,C85)))&gt;0)</f>
        <v>0</v>
      </c>
      <c r="U84" s="14" cm="1">
        <f t="array" ref="U84">INT(SUMPRODUCT(--ISNUMBER(SEARCH(climate,C84)))&gt;0)</f>
        <v>0</v>
      </c>
      <c r="V84" s="14" cm="1">
        <f t="array" ref="V84">INT(SUMPRODUCT(--ISNUMBER(SEARCH(abortion,C84)))&gt;0)</f>
        <v>0</v>
      </c>
      <c r="W84" s="14" cm="1">
        <f t="array" ref="W84">INT(SUMPRODUCT(--ISNUMBER(SEARCH(trump,C84)))&gt;0)</f>
        <v>0</v>
      </c>
      <c r="X84" s="14" cm="1">
        <f t="array" ref="X84">INT(SUMPRODUCT(--ISNUMBER(SEARCH(voting,C84)))&gt;0)</f>
        <v>1</v>
      </c>
      <c r="Y84" s="14" cm="1">
        <f t="array" ref="Y84">INT(SUMPRODUCT(--ISNUMBER(SEARCH(democrattrigger,C84)))&gt;0)</f>
        <v>0</v>
      </c>
      <c r="Z84" s="14" cm="1">
        <f t="array" ref="Z84">INT(SUMPRODUCT(--ISNUMBER(SEARCH(bipartisan,C84)))&gt;0)</f>
        <v>0</v>
      </c>
      <c r="AA84" s="14">
        <f t="shared" si="1"/>
        <v>0</v>
      </c>
      <c r="AB84" s="14"/>
      <c r="AC84" s="30">
        <v>0</v>
      </c>
      <c r="AD84" s="37">
        <v>1</v>
      </c>
    </row>
    <row r="85" spans="1:30" x14ac:dyDescent="0.25">
      <c r="A85" s="36">
        <v>2238</v>
      </c>
      <c r="B85" s="14" t="s">
        <v>4501</v>
      </c>
      <c r="C85" s="14" t="s">
        <v>4502</v>
      </c>
      <c r="D85" s="17">
        <v>44133</v>
      </c>
      <c r="E85" s="14" t="s">
        <v>30</v>
      </c>
      <c r="F85" s="14">
        <v>141</v>
      </c>
      <c r="G85" s="14">
        <v>21</v>
      </c>
      <c r="H85" s="14">
        <v>11</v>
      </c>
      <c r="I85" s="14">
        <v>6</v>
      </c>
      <c r="J85" s="14" t="s">
        <v>204</v>
      </c>
      <c r="K85" s="14" cm="1">
        <f t="array" ref="K85">INT(SUMPRODUCT(--ISNUMBER(SEARCH(economy,C85)))&gt;0)</f>
        <v>0</v>
      </c>
      <c r="L85" s="14" cm="1">
        <f t="array" ref="L85">INT(SUMPRODUCT(--ISNUMBER(SEARCH(healthcare,C85)))&gt;0)</f>
        <v>0</v>
      </c>
      <c r="M85" s="14" cm="1">
        <f t="array" ref="M85">INT(SUMPRODUCT(--ISNUMBER(SEARCH(supreme,C85)))&gt;0)</f>
        <v>0</v>
      </c>
      <c r="N85" s="14" cm="1">
        <f t="array" ref="N85">INT(SUMPRODUCT(--ISNUMBER(SEARCH(covid,C85)))&gt;0)</f>
        <v>0</v>
      </c>
      <c r="O85" s="14" cm="1">
        <f t="array" ref="O85">INT(SUMPRODUCT(--ISNUMBER(SEARCH(violent,C85)))&gt;0)</f>
        <v>0</v>
      </c>
      <c r="P85" s="14" cm="1">
        <f t="array" ref="P85">INT(SUMPRODUCT(--ISNUMBER(SEARCH(foreign,C85)))&gt;0)</f>
        <v>0</v>
      </c>
      <c r="Q85" s="14" cm="1">
        <f t="array" ref="Q85">INT(SUMPRODUCT(--ISNUMBER(SEARCH(gun,C85)))&gt;0)</f>
        <v>0</v>
      </c>
      <c r="R85" s="14" cm="1">
        <f t="array" ref="R85">INT(SUMPRODUCT(--ISNUMBER(SEARCH(race,C85)))&gt;0)</f>
        <v>0</v>
      </c>
      <c r="S85" s="14" cm="1">
        <f t="array" ref="S85">INT(SUMPRODUCT(--ISNUMBER(SEARCH(immigration,C85)))&gt;0)</f>
        <v>0</v>
      </c>
      <c r="T85" s="14" cm="1">
        <f t="array" ref="T85">INT(SUMPRODUCT(--ISNUMBER(SEARCH(econineq,C86)))&gt;0)</f>
        <v>0</v>
      </c>
      <c r="U85" s="14" cm="1">
        <f t="array" ref="U85">INT(SUMPRODUCT(--ISNUMBER(SEARCH(climate,C85)))&gt;0)</f>
        <v>0</v>
      </c>
      <c r="V85" s="14" cm="1">
        <f t="array" ref="V85">INT(SUMPRODUCT(--ISNUMBER(SEARCH(abortion,C85)))&gt;0)</f>
        <v>0</v>
      </c>
      <c r="W85" s="14" cm="1">
        <f t="array" ref="W85">INT(SUMPRODUCT(--ISNUMBER(SEARCH(trump,C85)))&gt;0)</f>
        <v>0</v>
      </c>
      <c r="X85" s="14" cm="1">
        <f t="array" ref="X85">INT(SUMPRODUCT(--ISNUMBER(SEARCH(voting,C85)))&gt;0)</f>
        <v>0</v>
      </c>
      <c r="Y85" s="14" cm="1">
        <f t="array" ref="Y85">INT(SUMPRODUCT(--ISNUMBER(SEARCH(democrattrigger,C85)))&gt;0)</f>
        <v>0</v>
      </c>
      <c r="Z85" s="14" cm="1">
        <f t="array" ref="Z85">INT(SUMPRODUCT(--ISNUMBER(SEARCH(bipartisan,C85)))&gt;0)</f>
        <v>0</v>
      </c>
      <c r="AA85" s="14">
        <f t="shared" si="1"/>
        <v>1</v>
      </c>
      <c r="AB85" s="14"/>
      <c r="AC85" s="30">
        <v>1</v>
      </c>
      <c r="AD85" s="37">
        <v>0</v>
      </c>
    </row>
    <row r="86" spans="1:30" x14ac:dyDescent="0.25">
      <c r="A86" s="36">
        <v>2239</v>
      </c>
      <c r="B86" s="14" t="s">
        <v>4503</v>
      </c>
      <c r="C86" s="14" t="s">
        <v>4504</v>
      </c>
      <c r="D86" s="17">
        <v>44133</v>
      </c>
      <c r="E86" s="14" t="s">
        <v>30</v>
      </c>
      <c r="F86" s="14">
        <v>139</v>
      </c>
      <c r="G86" s="14">
        <v>16</v>
      </c>
      <c r="H86" s="14">
        <v>11</v>
      </c>
      <c r="I86" s="14">
        <v>6</v>
      </c>
      <c r="J86" s="14" t="s">
        <v>204</v>
      </c>
      <c r="K86" s="14" cm="1">
        <f t="array" ref="K86">INT(SUMPRODUCT(--ISNUMBER(SEARCH(economy,C86)))&gt;0)</f>
        <v>0</v>
      </c>
      <c r="L86" s="14" cm="1">
        <f t="array" ref="L86">INT(SUMPRODUCT(--ISNUMBER(SEARCH(healthcare,C86)))&gt;0)</f>
        <v>0</v>
      </c>
      <c r="M86" s="14" cm="1">
        <f t="array" ref="M86">INT(SUMPRODUCT(--ISNUMBER(SEARCH(supreme,C86)))&gt;0)</f>
        <v>0</v>
      </c>
      <c r="N86" s="14" cm="1">
        <f t="array" ref="N86">INT(SUMPRODUCT(--ISNUMBER(SEARCH(covid,C86)))&gt;0)</f>
        <v>0</v>
      </c>
      <c r="O86" s="14" cm="1">
        <f t="array" ref="O86">INT(SUMPRODUCT(--ISNUMBER(SEARCH(violent,C86)))&gt;0)</f>
        <v>0</v>
      </c>
      <c r="P86" s="14" cm="1">
        <f t="array" ref="P86">INT(SUMPRODUCT(--ISNUMBER(SEARCH(foreign,C86)))&gt;0)</f>
        <v>0</v>
      </c>
      <c r="Q86" s="14" cm="1">
        <f t="array" ref="Q86">INT(SUMPRODUCT(--ISNUMBER(SEARCH(gun,C86)))&gt;0)</f>
        <v>0</v>
      </c>
      <c r="R86" s="14" cm="1">
        <f t="array" ref="R86">INT(SUMPRODUCT(--ISNUMBER(SEARCH(race,C86)))&gt;0)</f>
        <v>0</v>
      </c>
      <c r="S86" s="14" cm="1">
        <f t="array" ref="S86">INT(SUMPRODUCT(--ISNUMBER(SEARCH(immigration,C86)))&gt;0)</f>
        <v>0</v>
      </c>
      <c r="T86" s="14" cm="1">
        <f t="array" ref="T86">INT(SUMPRODUCT(--ISNUMBER(SEARCH(econineq,C87)))&gt;0)</f>
        <v>0</v>
      </c>
      <c r="U86" s="14" cm="1">
        <f t="array" ref="U86">INT(SUMPRODUCT(--ISNUMBER(SEARCH(climate,C86)))&gt;0)</f>
        <v>0</v>
      </c>
      <c r="V86" s="14" cm="1">
        <f t="array" ref="V86">INT(SUMPRODUCT(--ISNUMBER(SEARCH(abortion,C86)))&gt;0)</f>
        <v>0</v>
      </c>
      <c r="W86" s="14" cm="1">
        <f t="array" ref="W86">INT(SUMPRODUCT(--ISNUMBER(SEARCH(trump,C86)))&gt;0)</f>
        <v>0</v>
      </c>
      <c r="X86" s="14" cm="1">
        <f t="array" ref="X86">INT(SUMPRODUCT(--ISNUMBER(SEARCH(voting,C86)))&gt;0)</f>
        <v>1</v>
      </c>
      <c r="Y86" s="14" cm="1">
        <f t="array" ref="Y86">INT(SUMPRODUCT(--ISNUMBER(SEARCH(democrattrigger,C86)))&gt;0)</f>
        <v>0</v>
      </c>
      <c r="Z86" s="14" cm="1">
        <f t="array" ref="Z86">INT(SUMPRODUCT(--ISNUMBER(SEARCH(bipartisan,C86)))&gt;0)</f>
        <v>0</v>
      </c>
      <c r="AA86" s="14">
        <f t="shared" si="1"/>
        <v>0</v>
      </c>
      <c r="AB86" s="14"/>
      <c r="AC86" s="30">
        <v>1</v>
      </c>
      <c r="AD86" s="37">
        <v>0</v>
      </c>
    </row>
    <row r="87" spans="1:30" x14ac:dyDescent="0.25">
      <c r="A87" s="36">
        <v>2240</v>
      </c>
      <c r="B87" s="14" t="s">
        <v>4505</v>
      </c>
      <c r="C87" s="14" t="s">
        <v>4506</v>
      </c>
      <c r="D87" s="17">
        <v>44133</v>
      </c>
      <c r="E87" s="14" t="s">
        <v>30</v>
      </c>
      <c r="F87" s="14">
        <v>105</v>
      </c>
      <c r="G87" s="14">
        <v>18</v>
      </c>
      <c r="H87" s="14">
        <v>11</v>
      </c>
      <c r="I87" s="14">
        <v>6</v>
      </c>
      <c r="J87" s="14" t="s">
        <v>204</v>
      </c>
      <c r="K87" s="14" cm="1">
        <f t="array" ref="K87">INT(SUMPRODUCT(--ISNUMBER(SEARCH(economy,C87)))&gt;0)</f>
        <v>0</v>
      </c>
      <c r="L87" s="14" cm="1">
        <f t="array" ref="L87">INT(SUMPRODUCT(--ISNUMBER(SEARCH(healthcare,C87)))&gt;0)</f>
        <v>1</v>
      </c>
      <c r="M87" s="14" cm="1">
        <f t="array" ref="M87">INT(SUMPRODUCT(--ISNUMBER(SEARCH(supreme,C87)))&gt;0)</f>
        <v>0</v>
      </c>
      <c r="N87" s="14" cm="1">
        <f t="array" ref="N87">INT(SUMPRODUCT(--ISNUMBER(SEARCH(covid,C87)))&gt;0)</f>
        <v>1</v>
      </c>
      <c r="O87" s="14" cm="1">
        <f t="array" ref="O87">INT(SUMPRODUCT(--ISNUMBER(SEARCH(violent,C87)))&gt;0)</f>
        <v>0</v>
      </c>
      <c r="P87" s="14" cm="1">
        <f t="array" ref="P87">INT(SUMPRODUCT(--ISNUMBER(SEARCH(foreign,C87)))&gt;0)</f>
        <v>0</v>
      </c>
      <c r="Q87" s="14" cm="1">
        <f t="array" ref="Q87">INT(SUMPRODUCT(--ISNUMBER(SEARCH(gun,C87)))&gt;0)</f>
        <v>0</v>
      </c>
      <c r="R87" s="14" cm="1">
        <f t="array" ref="R87">INT(SUMPRODUCT(--ISNUMBER(SEARCH(race,C87)))&gt;0)</f>
        <v>0</v>
      </c>
      <c r="S87" s="14" cm="1">
        <f t="array" ref="S87">INT(SUMPRODUCT(--ISNUMBER(SEARCH(immigration,C87)))&gt;0)</f>
        <v>0</v>
      </c>
      <c r="T87" s="14" cm="1">
        <f t="array" ref="T87">INT(SUMPRODUCT(--ISNUMBER(SEARCH(econineq,C88)))&gt;0)</f>
        <v>0</v>
      </c>
      <c r="U87" s="14" cm="1">
        <f t="array" ref="U87">INT(SUMPRODUCT(--ISNUMBER(SEARCH(climate,C87)))&gt;0)</f>
        <v>0</v>
      </c>
      <c r="V87" s="14" cm="1">
        <f t="array" ref="V87">INT(SUMPRODUCT(--ISNUMBER(SEARCH(abortion,C87)))&gt;0)</f>
        <v>0</v>
      </c>
      <c r="W87" s="14" cm="1">
        <f t="array" ref="W87">INT(SUMPRODUCT(--ISNUMBER(SEARCH(trump,C87)))&gt;0)</f>
        <v>0</v>
      </c>
      <c r="X87" s="14" cm="1">
        <f t="array" ref="X87">INT(SUMPRODUCT(--ISNUMBER(SEARCH(voting,C87)))&gt;0)</f>
        <v>0</v>
      </c>
      <c r="Y87" s="14" cm="1">
        <f t="array" ref="Y87">INT(SUMPRODUCT(--ISNUMBER(SEARCH(democrattrigger,C87)))&gt;0)</f>
        <v>0</v>
      </c>
      <c r="Z87" s="14" cm="1">
        <f t="array" ref="Z87">INT(SUMPRODUCT(--ISNUMBER(SEARCH(bipartisan,C87)))&gt;0)</f>
        <v>0</v>
      </c>
      <c r="AA87" s="14">
        <f t="shared" si="1"/>
        <v>0</v>
      </c>
      <c r="AB87" s="14"/>
      <c r="AC87" s="30" t="s">
        <v>223</v>
      </c>
      <c r="AD87" s="37" t="s">
        <v>223</v>
      </c>
    </row>
    <row r="88" spans="1:30" x14ac:dyDescent="0.25">
      <c r="A88" s="36">
        <v>2241</v>
      </c>
      <c r="B88" s="14" t="s">
        <v>4507</v>
      </c>
      <c r="C88" s="14" t="s">
        <v>4508</v>
      </c>
      <c r="D88" s="17">
        <v>44133</v>
      </c>
      <c r="E88" s="14" t="s">
        <v>30</v>
      </c>
      <c r="F88" s="14">
        <v>192</v>
      </c>
      <c r="G88" s="14">
        <v>33</v>
      </c>
      <c r="H88" s="14">
        <v>11</v>
      </c>
      <c r="I88" s="14">
        <v>6</v>
      </c>
      <c r="J88" s="14" t="s">
        <v>204</v>
      </c>
      <c r="K88" s="14" cm="1">
        <f t="array" ref="K88">INT(SUMPRODUCT(--ISNUMBER(SEARCH(economy,C88)))&gt;0)</f>
        <v>0</v>
      </c>
      <c r="L88" s="14" cm="1">
        <f t="array" ref="L88">INT(SUMPRODUCT(--ISNUMBER(SEARCH(healthcare,C88)))&gt;0)</f>
        <v>0</v>
      </c>
      <c r="M88" s="14" cm="1">
        <f t="array" ref="M88">INT(SUMPRODUCT(--ISNUMBER(SEARCH(supreme,C88)))&gt;0)</f>
        <v>1</v>
      </c>
      <c r="N88" s="14" cm="1">
        <f t="array" ref="N88">INT(SUMPRODUCT(--ISNUMBER(SEARCH(covid,C88)))&gt;0)</f>
        <v>0</v>
      </c>
      <c r="O88" s="14" cm="1">
        <f t="array" ref="O88">INT(SUMPRODUCT(--ISNUMBER(SEARCH(violent,C88)))&gt;0)</f>
        <v>0</v>
      </c>
      <c r="P88" s="14" cm="1">
        <f t="array" ref="P88">INT(SUMPRODUCT(--ISNUMBER(SEARCH(foreign,C88)))&gt;0)</f>
        <v>0</v>
      </c>
      <c r="Q88" s="14" cm="1">
        <f t="array" ref="Q88">INT(SUMPRODUCT(--ISNUMBER(SEARCH(gun,C88)))&gt;0)</f>
        <v>0</v>
      </c>
      <c r="R88" s="14" cm="1">
        <f t="array" ref="R88">INT(SUMPRODUCT(--ISNUMBER(SEARCH(race,C88)))&gt;0)</f>
        <v>0</v>
      </c>
      <c r="S88" s="14" cm="1">
        <f t="array" ref="S88">INT(SUMPRODUCT(--ISNUMBER(SEARCH(immigration,C88)))&gt;0)</f>
        <v>0</v>
      </c>
      <c r="T88" s="14" cm="1">
        <f t="array" ref="T88">INT(SUMPRODUCT(--ISNUMBER(SEARCH(econineq,C89)))&gt;0)</f>
        <v>0</v>
      </c>
      <c r="U88" s="14" cm="1">
        <f t="array" ref="U88">INT(SUMPRODUCT(--ISNUMBER(SEARCH(climate,C88)))&gt;0)</f>
        <v>0</v>
      </c>
      <c r="V88" s="14" cm="1">
        <f t="array" ref="V88">INT(SUMPRODUCT(--ISNUMBER(SEARCH(abortion,C88)))&gt;0)</f>
        <v>0</v>
      </c>
      <c r="W88" s="14" cm="1">
        <f t="array" ref="W88">INT(SUMPRODUCT(--ISNUMBER(SEARCH(trump,C88)))&gt;0)</f>
        <v>0</v>
      </c>
      <c r="X88" s="14" cm="1">
        <f t="array" ref="X88">INT(SUMPRODUCT(--ISNUMBER(SEARCH(voting,C88)))&gt;0)</f>
        <v>0</v>
      </c>
      <c r="Y88" s="14" cm="1">
        <f t="array" ref="Y88">INT(SUMPRODUCT(--ISNUMBER(SEARCH(democrattrigger,C88)))&gt;0)</f>
        <v>0</v>
      </c>
      <c r="Z88" s="14" cm="1">
        <f t="array" ref="Z88">INT(SUMPRODUCT(--ISNUMBER(SEARCH(bipartisan,C88)))&gt;0)</f>
        <v>0</v>
      </c>
      <c r="AA88" s="14">
        <f t="shared" si="1"/>
        <v>0</v>
      </c>
      <c r="AB88" s="14"/>
      <c r="AC88" s="30">
        <v>1</v>
      </c>
      <c r="AD88" s="37">
        <v>0</v>
      </c>
    </row>
    <row r="89" spans="1:30" x14ac:dyDescent="0.25">
      <c r="A89" s="36">
        <v>2242</v>
      </c>
      <c r="B89" s="14" t="s">
        <v>4509</v>
      </c>
      <c r="C89" s="14" t="s">
        <v>4510</v>
      </c>
      <c r="D89" s="17">
        <v>44133</v>
      </c>
      <c r="E89" s="14" t="s">
        <v>30</v>
      </c>
      <c r="F89" s="14">
        <v>74</v>
      </c>
      <c r="G89" s="14">
        <v>22</v>
      </c>
      <c r="H89" s="14">
        <v>11</v>
      </c>
      <c r="I89" s="14">
        <v>6</v>
      </c>
      <c r="J89" s="14" t="s">
        <v>204</v>
      </c>
      <c r="K89" s="14" cm="1">
        <f t="array" ref="K89">INT(SUMPRODUCT(--ISNUMBER(SEARCH(economy,C89)))&gt;0)</f>
        <v>0</v>
      </c>
      <c r="L89" s="14" cm="1">
        <f t="array" ref="L89">INT(SUMPRODUCT(--ISNUMBER(SEARCH(healthcare,C89)))&gt;0)</f>
        <v>0</v>
      </c>
      <c r="M89" s="14" cm="1">
        <f t="array" ref="M89">INT(SUMPRODUCT(--ISNUMBER(SEARCH(supreme,C89)))&gt;0)</f>
        <v>0</v>
      </c>
      <c r="N89" s="14" cm="1">
        <f t="array" ref="N89">INT(SUMPRODUCT(--ISNUMBER(SEARCH(covid,C89)))&gt;0)</f>
        <v>0</v>
      </c>
      <c r="O89" s="14" cm="1">
        <f t="array" ref="O89">INT(SUMPRODUCT(--ISNUMBER(SEARCH(violent,C89)))&gt;0)</f>
        <v>0</v>
      </c>
      <c r="P89" s="14" cm="1">
        <f t="array" ref="P89">INT(SUMPRODUCT(--ISNUMBER(SEARCH(foreign,C89)))&gt;0)</f>
        <v>1</v>
      </c>
      <c r="Q89" s="14" cm="1">
        <f t="array" ref="Q89">INT(SUMPRODUCT(--ISNUMBER(SEARCH(gun,C89)))&gt;0)</f>
        <v>0</v>
      </c>
      <c r="R89" s="14" cm="1">
        <f t="array" ref="R89">INT(SUMPRODUCT(--ISNUMBER(SEARCH(race,C89)))&gt;0)</f>
        <v>0</v>
      </c>
      <c r="S89" s="14" cm="1">
        <f t="array" ref="S89">INT(SUMPRODUCT(--ISNUMBER(SEARCH(immigration,C89)))&gt;0)</f>
        <v>0</v>
      </c>
      <c r="T89" s="14" cm="1">
        <f t="array" ref="T89">INT(SUMPRODUCT(--ISNUMBER(SEARCH(econineq,C90)))&gt;0)</f>
        <v>0</v>
      </c>
      <c r="U89" s="14" cm="1">
        <f t="array" ref="U89">INT(SUMPRODUCT(--ISNUMBER(SEARCH(climate,C89)))&gt;0)</f>
        <v>0</v>
      </c>
      <c r="V89" s="14" cm="1">
        <f t="array" ref="V89">INT(SUMPRODUCT(--ISNUMBER(SEARCH(abortion,C89)))&gt;0)</f>
        <v>0</v>
      </c>
      <c r="W89" s="14" cm="1">
        <f t="array" ref="W89">INT(SUMPRODUCT(--ISNUMBER(SEARCH(trump,C89)))&gt;0)</f>
        <v>0</v>
      </c>
      <c r="X89" s="14" cm="1">
        <f t="array" ref="X89">INT(SUMPRODUCT(--ISNUMBER(SEARCH(voting,C89)))&gt;0)</f>
        <v>1</v>
      </c>
      <c r="Y89" s="14" cm="1">
        <f t="array" ref="Y89">INT(SUMPRODUCT(--ISNUMBER(SEARCH(democrattrigger,C89)))&gt;0)</f>
        <v>0</v>
      </c>
      <c r="Z89" s="14" cm="1">
        <f t="array" ref="Z89">INT(SUMPRODUCT(--ISNUMBER(SEARCH(bipartisan,C89)))&gt;0)</f>
        <v>0</v>
      </c>
      <c r="AA89" s="14">
        <f t="shared" si="1"/>
        <v>0</v>
      </c>
      <c r="AB89" s="14"/>
      <c r="AC89" s="30" t="s">
        <v>223</v>
      </c>
      <c r="AD89" s="37" t="s">
        <v>223</v>
      </c>
    </row>
    <row r="90" spans="1:30" x14ac:dyDescent="0.25">
      <c r="A90" s="36">
        <v>2243</v>
      </c>
      <c r="B90" s="14" t="s">
        <v>4511</v>
      </c>
      <c r="C90" s="14" t="s">
        <v>4512</v>
      </c>
      <c r="D90" s="17">
        <v>44133</v>
      </c>
      <c r="E90" s="14" t="s">
        <v>30</v>
      </c>
      <c r="F90" s="14">
        <v>80</v>
      </c>
      <c r="G90" s="14">
        <v>13</v>
      </c>
      <c r="H90" s="14">
        <v>11</v>
      </c>
      <c r="I90" s="14">
        <v>6</v>
      </c>
      <c r="J90" s="14" t="s">
        <v>204</v>
      </c>
      <c r="K90" s="14" cm="1">
        <f t="array" ref="K90">INT(SUMPRODUCT(--ISNUMBER(SEARCH(economy,C90)))&gt;0)</f>
        <v>0</v>
      </c>
      <c r="L90" s="14" cm="1">
        <f t="array" ref="L90">INT(SUMPRODUCT(--ISNUMBER(SEARCH(healthcare,C90)))&gt;0)</f>
        <v>0</v>
      </c>
      <c r="M90" s="14" cm="1">
        <f t="array" ref="M90">INT(SUMPRODUCT(--ISNUMBER(SEARCH(supreme,C90)))&gt;0)</f>
        <v>0</v>
      </c>
      <c r="N90" s="14" cm="1">
        <f t="array" ref="N90">INT(SUMPRODUCT(--ISNUMBER(SEARCH(covid,C90)))&gt;0)</f>
        <v>1</v>
      </c>
      <c r="O90" s="14" cm="1">
        <f t="array" ref="O90">INT(SUMPRODUCT(--ISNUMBER(SEARCH(violent,C90)))&gt;0)</f>
        <v>0</v>
      </c>
      <c r="P90" s="14" cm="1">
        <f t="array" ref="P90">INT(SUMPRODUCT(--ISNUMBER(SEARCH(foreign,C90)))&gt;0)</f>
        <v>0</v>
      </c>
      <c r="Q90" s="14" cm="1">
        <f t="array" ref="Q90">INT(SUMPRODUCT(--ISNUMBER(SEARCH(gun,C90)))&gt;0)</f>
        <v>0</v>
      </c>
      <c r="R90" s="14" cm="1">
        <f t="array" ref="R90">INT(SUMPRODUCT(--ISNUMBER(SEARCH(race,C90)))&gt;0)</f>
        <v>0</v>
      </c>
      <c r="S90" s="14" cm="1">
        <f t="array" ref="S90">INT(SUMPRODUCT(--ISNUMBER(SEARCH(immigration,C90)))&gt;0)</f>
        <v>0</v>
      </c>
      <c r="T90" s="14" cm="1">
        <f t="array" ref="T90">INT(SUMPRODUCT(--ISNUMBER(SEARCH(econineq,C91)))&gt;0)</f>
        <v>0</v>
      </c>
      <c r="U90" s="14" cm="1">
        <f t="array" ref="U90">INT(SUMPRODUCT(--ISNUMBER(SEARCH(climate,C90)))&gt;0)</f>
        <v>1</v>
      </c>
      <c r="V90" s="14" cm="1">
        <f t="array" ref="V90">INT(SUMPRODUCT(--ISNUMBER(SEARCH(abortion,C90)))&gt;0)</f>
        <v>0</v>
      </c>
      <c r="W90" s="14" cm="1">
        <f t="array" ref="W90">INT(SUMPRODUCT(--ISNUMBER(SEARCH(trump,C90)))&gt;0)</f>
        <v>0</v>
      </c>
      <c r="X90" s="14" cm="1">
        <f t="array" ref="X90">INT(SUMPRODUCT(--ISNUMBER(SEARCH(voting,C90)))&gt;0)</f>
        <v>0</v>
      </c>
      <c r="Y90" s="14" cm="1">
        <f t="array" ref="Y90">INT(SUMPRODUCT(--ISNUMBER(SEARCH(democrattrigger,C90)))&gt;0)</f>
        <v>0</v>
      </c>
      <c r="Z90" s="14" cm="1">
        <f t="array" ref="Z90">INT(SUMPRODUCT(--ISNUMBER(SEARCH(bipartisan,C90)))&gt;0)</f>
        <v>0</v>
      </c>
      <c r="AA90" s="14">
        <f t="shared" si="1"/>
        <v>0</v>
      </c>
      <c r="AB90" s="14"/>
      <c r="AC90" s="30">
        <v>1</v>
      </c>
      <c r="AD90" s="37">
        <v>0</v>
      </c>
    </row>
    <row r="91" spans="1:30" x14ac:dyDescent="0.25">
      <c r="A91" s="36">
        <v>2244</v>
      </c>
      <c r="B91" s="14" t="s">
        <v>4513</v>
      </c>
      <c r="C91" s="14" t="s">
        <v>4514</v>
      </c>
      <c r="D91" s="17">
        <v>44133</v>
      </c>
      <c r="E91" s="14" t="s">
        <v>30</v>
      </c>
      <c r="F91" s="14">
        <v>124</v>
      </c>
      <c r="G91" s="14">
        <v>18</v>
      </c>
      <c r="H91" s="14">
        <v>11</v>
      </c>
      <c r="I91" s="14">
        <v>6</v>
      </c>
      <c r="J91" s="14" t="s">
        <v>204</v>
      </c>
      <c r="K91" s="14" cm="1">
        <f t="array" ref="K91">INT(SUMPRODUCT(--ISNUMBER(SEARCH(economy,C91)))&gt;0)</f>
        <v>0</v>
      </c>
      <c r="L91" s="14" cm="1">
        <f t="array" ref="L91">INT(SUMPRODUCT(--ISNUMBER(SEARCH(healthcare,C91)))&gt;0)</f>
        <v>0</v>
      </c>
      <c r="M91" s="14" cm="1">
        <f t="array" ref="M91">INT(SUMPRODUCT(--ISNUMBER(SEARCH(supreme,C91)))&gt;0)</f>
        <v>0</v>
      </c>
      <c r="N91" s="14" cm="1">
        <f t="array" ref="N91">INT(SUMPRODUCT(--ISNUMBER(SEARCH(covid,C91)))&gt;0)</f>
        <v>0</v>
      </c>
      <c r="O91" s="14" cm="1">
        <f t="array" ref="O91">INT(SUMPRODUCT(--ISNUMBER(SEARCH(violent,C91)))&gt;0)</f>
        <v>0</v>
      </c>
      <c r="P91" s="14" cm="1">
        <f t="array" ref="P91">INT(SUMPRODUCT(--ISNUMBER(SEARCH(foreign,C91)))&gt;0)</f>
        <v>0</v>
      </c>
      <c r="Q91" s="14" cm="1">
        <f t="array" ref="Q91">INT(SUMPRODUCT(--ISNUMBER(SEARCH(gun,C91)))&gt;0)</f>
        <v>0</v>
      </c>
      <c r="R91" s="14" cm="1">
        <f t="array" ref="R91">INT(SUMPRODUCT(--ISNUMBER(SEARCH(race,C91)))&gt;0)</f>
        <v>0</v>
      </c>
      <c r="S91" s="14" cm="1">
        <f t="array" ref="S91">INT(SUMPRODUCT(--ISNUMBER(SEARCH(immigration,C91)))&gt;0)</f>
        <v>0</v>
      </c>
      <c r="T91" s="14" cm="1">
        <f t="array" ref="T91">INT(SUMPRODUCT(--ISNUMBER(SEARCH(econineq,C92)))&gt;0)</f>
        <v>0</v>
      </c>
      <c r="U91" s="14" cm="1">
        <f t="array" ref="U91">INT(SUMPRODUCT(--ISNUMBER(SEARCH(climate,C91)))&gt;0)</f>
        <v>0</v>
      </c>
      <c r="V91" s="14" cm="1">
        <f t="array" ref="V91">INT(SUMPRODUCT(--ISNUMBER(SEARCH(abortion,C91)))&gt;0)</f>
        <v>0</v>
      </c>
      <c r="W91" s="14" cm="1">
        <f t="array" ref="W91">INT(SUMPRODUCT(--ISNUMBER(SEARCH(trump,C91)))&gt;0)</f>
        <v>0</v>
      </c>
      <c r="X91" s="14" cm="1">
        <f t="array" ref="X91">INT(SUMPRODUCT(--ISNUMBER(SEARCH(voting,C91)))&gt;0)</f>
        <v>0</v>
      </c>
      <c r="Y91" s="14" cm="1">
        <f t="array" ref="Y91">INT(SUMPRODUCT(--ISNUMBER(SEARCH(democrattrigger,C91)))&gt;0)</f>
        <v>0</v>
      </c>
      <c r="Z91" s="14" cm="1">
        <f t="array" ref="Z91">INT(SUMPRODUCT(--ISNUMBER(SEARCH(bipartisan,C91)))&gt;0)</f>
        <v>0</v>
      </c>
      <c r="AA91" s="14">
        <f t="shared" si="1"/>
        <v>1</v>
      </c>
      <c r="AB91" s="14"/>
      <c r="AC91" s="30">
        <v>1</v>
      </c>
      <c r="AD91" s="37">
        <v>0</v>
      </c>
    </row>
    <row r="92" spans="1:30" x14ac:dyDescent="0.25">
      <c r="A92" s="36">
        <v>2245</v>
      </c>
      <c r="B92" s="14" t="s">
        <v>4515</v>
      </c>
      <c r="C92" s="14" t="s">
        <v>4516</v>
      </c>
      <c r="D92" s="17">
        <v>44133</v>
      </c>
      <c r="E92" s="14" t="s">
        <v>30</v>
      </c>
      <c r="F92" s="14">
        <v>664</v>
      </c>
      <c r="G92" s="14">
        <v>58</v>
      </c>
      <c r="H92" s="14">
        <v>11</v>
      </c>
      <c r="I92" s="14">
        <v>6</v>
      </c>
      <c r="J92" s="14" t="s">
        <v>204</v>
      </c>
      <c r="K92" s="14" cm="1">
        <f t="array" ref="K92">INT(SUMPRODUCT(--ISNUMBER(SEARCH(economy,C92)))&gt;0)</f>
        <v>0</v>
      </c>
      <c r="L92" s="14" cm="1">
        <f t="array" ref="L92">INT(SUMPRODUCT(--ISNUMBER(SEARCH(healthcare,C92)))&gt;0)</f>
        <v>0</v>
      </c>
      <c r="M92" s="14" cm="1">
        <f t="array" ref="M92">INT(SUMPRODUCT(--ISNUMBER(SEARCH(supreme,C92)))&gt;0)</f>
        <v>0</v>
      </c>
      <c r="N92" s="14" cm="1">
        <f t="array" ref="N92">INT(SUMPRODUCT(--ISNUMBER(SEARCH(covid,C92)))&gt;0)</f>
        <v>0</v>
      </c>
      <c r="O92" s="14" cm="1">
        <f t="array" ref="O92">INT(SUMPRODUCT(--ISNUMBER(SEARCH(violent,C92)))&gt;0)</f>
        <v>0</v>
      </c>
      <c r="P92" s="14" cm="1">
        <f t="array" ref="P92">INT(SUMPRODUCT(--ISNUMBER(SEARCH(foreign,C92)))&gt;0)</f>
        <v>0</v>
      </c>
      <c r="Q92" s="14" cm="1">
        <f t="array" ref="Q92">INT(SUMPRODUCT(--ISNUMBER(SEARCH(gun,C92)))&gt;0)</f>
        <v>0</v>
      </c>
      <c r="R92" s="14" cm="1">
        <f t="array" ref="R92">INT(SUMPRODUCT(--ISNUMBER(SEARCH(race,C92)))&gt;0)</f>
        <v>0</v>
      </c>
      <c r="S92" s="14" cm="1">
        <f t="array" ref="S92">INT(SUMPRODUCT(--ISNUMBER(SEARCH(immigration,C92)))&gt;0)</f>
        <v>0</v>
      </c>
      <c r="T92" s="14" cm="1">
        <f t="array" ref="T92">INT(SUMPRODUCT(--ISNUMBER(SEARCH(econineq,C93)))&gt;0)</f>
        <v>0</v>
      </c>
      <c r="U92" s="14" cm="1">
        <f t="array" ref="U92">INT(SUMPRODUCT(--ISNUMBER(SEARCH(climate,C92)))&gt;0)</f>
        <v>0</v>
      </c>
      <c r="V92" s="14" cm="1">
        <f t="array" ref="V92">INT(SUMPRODUCT(--ISNUMBER(SEARCH(abortion,C92)))&gt;0)</f>
        <v>0</v>
      </c>
      <c r="W92" s="14" cm="1">
        <f t="array" ref="W92">INT(SUMPRODUCT(--ISNUMBER(SEARCH(trump,C92)))&gt;0)</f>
        <v>0</v>
      </c>
      <c r="X92" s="14" cm="1">
        <f t="array" ref="X92">INT(SUMPRODUCT(--ISNUMBER(SEARCH(voting,C92)))&gt;0)</f>
        <v>0</v>
      </c>
      <c r="Y92" s="14" cm="1">
        <f t="array" ref="Y92">INT(SUMPRODUCT(--ISNUMBER(SEARCH(democrattrigger,C92)))&gt;0)</f>
        <v>0</v>
      </c>
      <c r="Z92" s="14" cm="1">
        <f t="array" ref="Z92">INT(SUMPRODUCT(--ISNUMBER(SEARCH(bipartisan,C92)))&gt;0)</f>
        <v>0</v>
      </c>
      <c r="AA92" s="14">
        <f t="shared" si="1"/>
        <v>1</v>
      </c>
      <c r="AB92" s="14"/>
      <c r="AC92" s="30" t="s">
        <v>223</v>
      </c>
      <c r="AD92" s="37" t="s">
        <v>223</v>
      </c>
    </row>
    <row r="93" spans="1:30" x14ac:dyDescent="0.25">
      <c r="A93" s="36">
        <v>2246</v>
      </c>
      <c r="B93" s="14" t="s">
        <v>4517</v>
      </c>
      <c r="C93" s="14" t="s">
        <v>4518</v>
      </c>
      <c r="D93" s="17">
        <v>44133</v>
      </c>
      <c r="E93" s="14" t="s">
        <v>30</v>
      </c>
      <c r="F93" s="14">
        <v>105</v>
      </c>
      <c r="G93" s="14">
        <v>17</v>
      </c>
      <c r="H93" s="14">
        <v>11</v>
      </c>
      <c r="I93" s="14">
        <v>6</v>
      </c>
      <c r="J93" s="14" t="s">
        <v>204</v>
      </c>
      <c r="K93" s="14" cm="1">
        <f t="array" ref="K93">INT(SUMPRODUCT(--ISNUMBER(SEARCH(economy,C93)))&gt;0)</f>
        <v>1</v>
      </c>
      <c r="L93" s="14" cm="1">
        <f t="array" ref="L93">INT(SUMPRODUCT(--ISNUMBER(SEARCH(healthcare,C93)))&gt;0)</f>
        <v>0</v>
      </c>
      <c r="M93" s="14" cm="1">
        <f t="array" ref="M93">INT(SUMPRODUCT(--ISNUMBER(SEARCH(supreme,C93)))&gt;0)</f>
        <v>0</v>
      </c>
      <c r="N93" s="14" cm="1">
        <f t="array" ref="N93">INT(SUMPRODUCT(--ISNUMBER(SEARCH(covid,C93)))&gt;0)</f>
        <v>1</v>
      </c>
      <c r="O93" s="14" cm="1">
        <f t="array" ref="O93">INT(SUMPRODUCT(--ISNUMBER(SEARCH(violent,C93)))&gt;0)</f>
        <v>0</v>
      </c>
      <c r="P93" s="14" cm="1">
        <f t="array" ref="P93">INT(SUMPRODUCT(--ISNUMBER(SEARCH(foreign,C93)))&gt;0)</f>
        <v>0</v>
      </c>
      <c r="Q93" s="14" cm="1">
        <f t="array" ref="Q93">INT(SUMPRODUCT(--ISNUMBER(SEARCH(gun,C93)))&gt;0)</f>
        <v>0</v>
      </c>
      <c r="R93" s="14" cm="1">
        <f t="array" ref="R93">INT(SUMPRODUCT(--ISNUMBER(SEARCH(race,C93)))&gt;0)</f>
        <v>0</v>
      </c>
      <c r="S93" s="14" cm="1">
        <f t="array" ref="S93">INT(SUMPRODUCT(--ISNUMBER(SEARCH(immigration,C93)))&gt;0)</f>
        <v>0</v>
      </c>
      <c r="T93" s="14" cm="1">
        <f t="array" ref="T93">INT(SUMPRODUCT(--ISNUMBER(SEARCH(econineq,C94)))&gt;0)</f>
        <v>0</v>
      </c>
      <c r="U93" s="14" cm="1">
        <f t="array" ref="U93">INT(SUMPRODUCT(--ISNUMBER(SEARCH(climate,C93)))&gt;0)</f>
        <v>0</v>
      </c>
      <c r="V93" s="14" cm="1">
        <f t="array" ref="V93">INT(SUMPRODUCT(--ISNUMBER(SEARCH(abortion,C93)))&gt;0)</f>
        <v>0</v>
      </c>
      <c r="W93" s="14" cm="1">
        <f t="array" ref="W93">INT(SUMPRODUCT(--ISNUMBER(SEARCH(trump,C93)))&gt;0)</f>
        <v>0</v>
      </c>
      <c r="X93" s="14" cm="1">
        <f t="array" ref="X93">INT(SUMPRODUCT(--ISNUMBER(SEARCH(voting,C93)))&gt;0)</f>
        <v>0</v>
      </c>
      <c r="Y93" s="14" cm="1">
        <f t="array" ref="Y93">INT(SUMPRODUCT(--ISNUMBER(SEARCH(democrattrigger,C93)))&gt;0)</f>
        <v>0</v>
      </c>
      <c r="Z93" s="14" cm="1">
        <f t="array" ref="Z93">INT(SUMPRODUCT(--ISNUMBER(SEARCH(bipartisan,C93)))&gt;0)</f>
        <v>0</v>
      </c>
      <c r="AA93" s="14">
        <f t="shared" si="1"/>
        <v>0</v>
      </c>
      <c r="AB93" s="14"/>
      <c r="AC93" s="30">
        <v>1</v>
      </c>
      <c r="AD93" s="37">
        <v>0</v>
      </c>
    </row>
    <row r="94" spans="1:30" x14ac:dyDescent="0.25">
      <c r="A94" s="36">
        <v>2247</v>
      </c>
      <c r="B94" s="14" t="s">
        <v>4519</v>
      </c>
      <c r="C94" s="14" t="s">
        <v>4520</v>
      </c>
      <c r="D94" s="17">
        <v>44133</v>
      </c>
      <c r="E94" s="14" t="s">
        <v>30</v>
      </c>
      <c r="F94" s="14">
        <v>69</v>
      </c>
      <c r="G94" s="14">
        <v>15</v>
      </c>
      <c r="H94" s="14">
        <v>11</v>
      </c>
      <c r="I94" s="14">
        <v>6</v>
      </c>
      <c r="J94" s="14" t="s">
        <v>204</v>
      </c>
      <c r="K94" s="14" cm="1">
        <f t="array" ref="K94">INT(SUMPRODUCT(--ISNUMBER(SEARCH(economy,C94)))&gt;0)</f>
        <v>0</v>
      </c>
      <c r="L94" s="14" cm="1">
        <f t="array" ref="L94">INT(SUMPRODUCT(--ISNUMBER(SEARCH(healthcare,C94)))&gt;0)</f>
        <v>1</v>
      </c>
      <c r="M94" s="14" cm="1">
        <f t="array" ref="M94">INT(SUMPRODUCT(--ISNUMBER(SEARCH(supreme,C94)))&gt;0)</f>
        <v>0</v>
      </c>
      <c r="N94" s="14" cm="1">
        <f t="array" ref="N94">INT(SUMPRODUCT(--ISNUMBER(SEARCH(covid,C94)))&gt;0)</f>
        <v>0</v>
      </c>
      <c r="O94" s="14" cm="1">
        <f t="array" ref="O94">INT(SUMPRODUCT(--ISNUMBER(SEARCH(violent,C94)))&gt;0)</f>
        <v>0</v>
      </c>
      <c r="P94" s="14" cm="1">
        <f t="array" ref="P94">INT(SUMPRODUCT(--ISNUMBER(SEARCH(foreign,C94)))&gt;0)</f>
        <v>0</v>
      </c>
      <c r="Q94" s="14" cm="1">
        <f t="array" ref="Q94">INT(SUMPRODUCT(--ISNUMBER(SEARCH(gun,C94)))&gt;0)</f>
        <v>0</v>
      </c>
      <c r="R94" s="14" cm="1">
        <f t="array" ref="R94">INT(SUMPRODUCT(--ISNUMBER(SEARCH(race,C94)))&gt;0)</f>
        <v>0</v>
      </c>
      <c r="S94" s="14" cm="1">
        <f t="array" ref="S94">INT(SUMPRODUCT(--ISNUMBER(SEARCH(immigration,C94)))&gt;0)</f>
        <v>0</v>
      </c>
      <c r="T94" s="14" cm="1">
        <f t="array" ref="T94">INT(SUMPRODUCT(--ISNUMBER(SEARCH(econineq,C95)))&gt;0)</f>
        <v>0</v>
      </c>
      <c r="U94" s="14" cm="1">
        <f t="array" ref="U94">INT(SUMPRODUCT(--ISNUMBER(SEARCH(climate,C94)))&gt;0)</f>
        <v>1</v>
      </c>
      <c r="V94" s="14" cm="1">
        <f t="array" ref="V94">INT(SUMPRODUCT(--ISNUMBER(SEARCH(abortion,C94)))&gt;0)</f>
        <v>0</v>
      </c>
      <c r="W94" s="14" cm="1">
        <f t="array" ref="W94">INT(SUMPRODUCT(--ISNUMBER(SEARCH(trump,C94)))&gt;0)</f>
        <v>0</v>
      </c>
      <c r="X94" s="14" cm="1">
        <f t="array" ref="X94">INT(SUMPRODUCT(--ISNUMBER(SEARCH(voting,C94)))&gt;0)</f>
        <v>1</v>
      </c>
      <c r="Y94" s="14" cm="1">
        <f t="array" ref="Y94">INT(SUMPRODUCT(--ISNUMBER(SEARCH(democrattrigger,C94)))&gt;0)</f>
        <v>0</v>
      </c>
      <c r="Z94" s="14" cm="1">
        <f t="array" ref="Z94">INT(SUMPRODUCT(--ISNUMBER(SEARCH(bipartisan,C94)))&gt;0)</f>
        <v>0</v>
      </c>
      <c r="AA94" s="14">
        <f t="shared" si="1"/>
        <v>0</v>
      </c>
      <c r="AB94" s="14"/>
      <c r="AC94" s="30">
        <v>0</v>
      </c>
      <c r="AD94" s="37">
        <v>1</v>
      </c>
    </row>
    <row r="95" spans="1:30" x14ac:dyDescent="0.25">
      <c r="A95" s="36">
        <v>2248</v>
      </c>
      <c r="B95" s="14" t="s">
        <v>4521</v>
      </c>
      <c r="C95" s="14" t="s">
        <v>4522</v>
      </c>
      <c r="D95" s="17">
        <v>44132</v>
      </c>
      <c r="E95" s="14" t="s">
        <v>30</v>
      </c>
      <c r="F95" s="14">
        <v>102</v>
      </c>
      <c r="G95" s="14">
        <v>19</v>
      </c>
      <c r="H95" s="14">
        <v>11</v>
      </c>
      <c r="I95" s="14">
        <v>6</v>
      </c>
      <c r="J95" s="14" t="s">
        <v>204</v>
      </c>
      <c r="K95" s="14" cm="1">
        <f t="array" ref="K95">INT(SUMPRODUCT(--ISNUMBER(SEARCH(economy,C95)))&gt;0)</f>
        <v>0</v>
      </c>
      <c r="L95" s="14" cm="1">
        <f t="array" ref="L95">INT(SUMPRODUCT(--ISNUMBER(SEARCH(healthcare,C95)))&gt;0)</f>
        <v>0</v>
      </c>
      <c r="M95" s="14" cm="1">
        <f t="array" ref="M95">INT(SUMPRODUCT(--ISNUMBER(SEARCH(supreme,C95)))&gt;0)</f>
        <v>0</v>
      </c>
      <c r="N95" s="14" cm="1">
        <f t="array" ref="N95">INT(SUMPRODUCT(--ISNUMBER(SEARCH(covid,C95)))&gt;0)</f>
        <v>0</v>
      </c>
      <c r="O95" s="14" cm="1">
        <f t="array" ref="O95">INT(SUMPRODUCT(--ISNUMBER(SEARCH(violent,C95)))&gt;0)</f>
        <v>0</v>
      </c>
      <c r="P95" s="14" cm="1">
        <f t="array" ref="P95">INT(SUMPRODUCT(--ISNUMBER(SEARCH(foreign,C95)))&gt;0)</f>
        <v>0</v>
      </c>
      <c r="Q95" s="14" cm="1">
        <f t="array" ref="Q95">INT(SUMPRODUCT(--ISNUMBER(SEARCH(gun,C95)))&gt;0)</f>
        <v>0</v>
      </c>
      <c r="R95" s="14" cm="1">
        <f t="array" ref="R95">INT(SUMPRODUCT(--ISNUMBER(SEARCH(race,C95)))&gt;0)</f>
        <v>0</v>
      </c>
      <c r="S95" s="14" cm="1">
        <f t="array" ref="S95">INT(SUMPRODUCT(--ISNUMBER(SEARCH(immigration,C95)))&gt;0)</f>
        <v>0</v>
      </c>
      <c r="T95" s="14" cm="1">
        <f t="array" ref="T95">INT(SUMPRODUCT(--ISNUMBER(SEARCH(econineq,C96)))&gt;0)</f>
        <v>0</v>
      </c>
      <c r="U95" s="14" cm="1">
        <f t="array" ref="U95">INT(SUMPRODUCT(--ISNUMBER(SEARCH(climate,C95)))&gt;0)</f>
        <v>0</v>
      </c>
      <c r="V95" s="14" cm="1">
        <f t="array" ref="V95">INT(SUMPRODUCT(--ISNUMBER(SEARCH(abortion,C95)))&gt;0)</f>
        <v>0</v>
      </c>
      <c r="W95" s="14" cm="1">
        <f t="array" ref="W95">INT(SUMPRODUCT(--ISNUMBER(SEARCH(trump,C95)))&gt;0)</f>
        <v>0</v>
      </c>
      <c r="X95" s="14" cm="1">
        <f t="array" ref="X95">INT(SUMPRODUCT(--ISNUMBER(SEARCH(voting,C95)))&gt;0)</f>
        <v>0</v>
      </c>
      <c r="Y95" s="14" cm="1">
        <f t="array" ref="Y95">INT(SUMPRODUCT(--ISNUMBER(SEARCH(democrattrigger,C95)))&gt;0)</f>
        <v>0</v>
      </c>
      <c r="Z95" s="14" cm="1">
        <f t="array" ref="Z95">INT(SUMPRODUCT(--ISNUMBER(SEARCH(bipartisan,C95)))&gt;0)</f>
        <v>0</v>
      </c>
      <c r="AA95" s="14">
        <f t="shared" si="1"/>
        <v>1</v>
      </c>
      <c r="AB95" s="14"/>
      <c r="AC95" s="30">
        <v>1</v>
      </c>
      <c r="AD95" s="37">
        <v>0</v>
      </c>
    </row>
    <row r="96" spans="1:30" x14ac:dyDescent="0.25">
      <c r="A96" s="36">
        <v>2249</v>
      </c>
      <c r="B96" s="14" t="s">
        <v>4523</v>
      </c>
      <c r="C96" s="14" t="s">
        <v>4524</v>
      </c>
      <c r="D96" s="17">
        <v>44132</v>
      </c>
      <c r="E96" s="14" t="s">
        <v>30</v>
      </c>
      <c r="F96" s="14">
        <v>109</v>
      </c>
      <c r="G96" s="14">
        <v>34</v>
      </c>
      <c r="H96" s="14">
        <v>11</v>
      </c>
      <c r="I96" s="14">
        <v>6</v>
      </c>
      <c r="J96" s="14" t="s">
        <v>204</v>
      </c>
      <c r="K96" s="14" cm="1">
        <f t="array" ref="K96">INT(SUMPRODUCT(--ISNUMBER(SEARCH(economy,C96)))&gt;0)</f>
        <v>0</v>
      </c>
      <c r="L96" s="14" cm="1">
        <f t="array" ref="L96">INT(SUMPRODUCT(--ISNUMBER(SEARCH(healthcare,C96)))&gt;0)</f>
        <v>0</v>
      </c>
      <c r="M96" s="14" cm="1">
        <f t="array" ref="M96">INT(SUMPRODUCT(--ISNUMBER(SEARCH(supreme,C96)))&gt;0)</f>
        <v>0</v>
      </c>
      <c r="N96" s="14" cm="1">
        <f t="array" ref="N96">INT(SUMPRODUCT(--ISNUMBER(SEARCH(covid,C96)))&gt;0)</f>
        <v>0</v>
      </c>
      <c r="O96" s="14" cm="1">
        <f t="array" ref="O96">INT(SUMPRODUCT(--ISNUMBER(SEARCH(violent,C96)))&gt;0)</f>
        <v>0</v>
      </c>
      <c r="P96" s="14" cm="1">
        <f t="array" ref="P96">INT(SUMPRODUCT(--ISNUMBER(SEARCH(foreign,C96)))&gt;0)</f>
        <v>1</v>
      </c>
      <c r="Q96" s="14" cm="1">
        <f t="array" ref="Q96">INT(SUMPRODUCT(--ISNUMBER(SEARCH(gun,C96)))&gt;0)</f>
        <v>0</v>
      </c>
      <c r="R96" s="14" cm="1">
        <f t="array" ref="R96">INT(SUMPRODUCT(--ISNUMBER(SEARCH(race,C96)))&gt;0)</f>
        <v>0</v>
      </c>
      <c r="S96" s="14" cm="1">
        <f t="array" ref="S96">INT(SUMPRODUCT(--ISNUMBER(SEARCH(immigration,C96)))&gt;0)</f>
        <v>0</v>
      </c>
      <c r="T96" s="14" cm="1">
        <f t="array" ref="T96">INT(SUMPRODUCT(--ISNUMBER(SEARCH(econineq,C97)))&gt;0)</f>
        <v>0</v>
      </c>
      <c r="U96" s="14" cm="1">
        <f t="array" ref="U96">INT(SUMPRODUCT(--ISNUMBER(SEARCH(climate,C96)))&gt;0)</f>
        <v>0</v>
      </c>
      <c r="V96" s="14" cm="1">
        <f t="array" ref="V96">INT(SUMPRODUCT(--ISNUMBER(SEARCH(abortion,C96)))&gt;0)</f>
        <v>0</v>
      </c>
      <c r="W96" s="14" cm="1">
        <f t="array" ref="W96">INT(SUMPRODUCT(--ISNUMBER(SEARCH(trump,C96)))&gt;0)</f>
        <v>0</v>
      </c>
      <c r="X96" s="14" cm="1">
        <f t="array" ref="X96">INT(SUMPRODUCT(--ISNUMBER(SEARCH(voting,C96)))&gt;0)</f>
        <v>1</v>
      </c>
      <c r="Y96" s="14" cm="1">
        <f t="array" ref="Y96">INT(SUMPRODUCT(--ISNUMBER(SEARCH(democrattrigger,C96)))&gt;0)</f>
        <v>0</v>
      </c>
      <c r="Z96" s="14" cm="1">
        <f t="array" ref="Z96">INT(SUMPRODUCT(--ISNUMBER(SEARCH(bipartisan,C96)))&gt;0)</f>
        <v>0</v>
      </c>
      <c r="AA96" s="14">
        <f t="shared" si="1"/>
        <v>0</v>
      </c>
      <c r="AB96" s="14"/>
      <c r="AC96" s="30" t="s">
        <v>223</v>
      </c>
      <c r="AD96" s="37" t="s">
        <v>223</v>
      </c>
    </row>
    <row r="97" spans="1:30" x14ac:dyDescent="0.25">
      <c r="A97" s="36">
        <v>2250</v>
      </c>
      <c r="B97" s="14" t="s">
        <v>4525</v>
      </c>
      <c r="C97" s="14" t="s">
        <v>4526</v>
      </c>
      <c r="D97" s="17">
        <v>44132</v>
      </c>
      <c r="E97" s="14" t="s">
        <v>30</v>
      </c>
      <c r="F97" s="14">
        <v>28</v>
      </c>
      <c r="G97" s="14">
        <v>8</v>
      </c>
      <c r="H97" s="14">
        <v>11</v>
      </c>
      <c r="I97" s="14">
        <v>6</v>
      </c>
      <c r="J97" s="14" t="s">
        <v>204</v>
      </c>
      <c r="K97" s="14" cm="1">
        <f t="array" ref="K97">INT(SUMPRODUCT(--ISNUMBER(SEARCH(economy,C97)))&gt;0)</f>
        <v>0</v>
      </c>
      <c r="L97" s="14" cm="1">
        <f t="array" ref="L97">INT(SUMPRODUCT(--ISNUMBER(SEARCH(healthcare,C97)))&gt;0)</f>
        <v>1</v>
      </c>
      <c r="M97" s="14" cm="1">
        <f t="array" ref="M97">INT(SUMPRODUCT(--ISNUMBER(SEARCH(supreme,C97)))&gt;0)</f>
        <v>0</v>
      </c>
      <c r="N97" s="14" cm="1">
        <f t="array" ref="N97">INT(SUMPRODUCT(--ISNUMBER(SEARCH(covid,C97)))&gt;0)</f>
        <v>1</v>
      </c>
      <c r="O97" s="14" cm="1">
        <f t="array" ref="O97">INT(SUMPRODUCT(--ISNUMBER(SEARCH(violent,C97)))&gt;0)</f>
        <v>0</v>
      </c>
      <c r="P97" s="14" cm="1">
        <f t="array" ref="P97">INT(SUMPRODUCT(--ISNUMBER(SEARCH(foreign,C97)))&gt;0)</f>
        <v>0</v>
      </c>
      <c r="Q97" s="14" cm="1">
        <f t="array" ref="Q97">INT(SUMPRODUCT(--ISNUMBER(SEARCH(gun,C97)))&gt;0)</f>
        <v>0</v>
      </c>
      <c r="R97" s="14" cm="1">
        <f t="array" ref="R97">INT(SUMPRODUCT(--ISNUMBER(SEARCH(race,C97)))&gt;0)</f>
        <v>0</v>
      </c>
      <c r="S97" s="14" cm="1">
        <f t="array" ref="S97">INT(SUMPRODUCT(--ISNUMBER(SEARCH(immigration,C97)))&gt;0)</f>
        <v>0</v>
      </c>
      <c r="T97" s="14" cm="1">
        <f t="array" ref="T97">INT(SUMPRODUCT(--ISNUMBER(SEARCH(econineq,C98)))&gt;0)</f>
        <v>0</v>
      </c>
      <c r="U97" s="14" cm="1">
        <f t="array" ref="U97">INT(SUMPRODUCT(--ISNUMBER(SEARCH(climate,C97)))&gt;0)</f>
        <v>1</v>
      </c>
      <c r="V97" s="14" cm="1">
        <f t="array" ref="V97">INT(SUMPRODUCT(--ISNUMBER(SEARCH(abortion,C97)))&gt;0)</f>
        <v>0</v>
      </c>
      <c r="W97" s="14" cm="1">
        <f t="array" ref="W97">INT(SUMPRODUCT(--ISNUMBER(SEARCH(trump,C97)))&gt;0)</f>
        <v>0</v>
      </c>
      <c r="X97" s="14" cm="1">
        <f t="array" ref="X97">INT(SUMPRODUCT(--ISNUMBER(SEARCH(voting,C97)))&gt;0)</f>
        <v>1</v>
      </c>
      <c r="Y97" s="14" cm="1">
        <f t="array" ref="Y97">INT(SUMPRODUCT(--ISNUMBER(SEARCH(democrattrigger,C97)))&gt;0)</f>
        <v>0</v>
      </c>
      <c r="Z97" s="14" cm="1">
        <f t="array" ref="Z97">INT(SUMPRODUCT(--ISNUMBER(SEARCH(bipartisan,C97)))&gt;0)</f>
        <v>0</v>
      </c>
      <c r="AA97" s="14">
        <f t="shared" si="1"/>
        <v>0</v>
      </c>
      <c r="AB97" s="14"/>
      <c r="AC97" s="30">
        <v>1</v>
      </c>
      <c r="AD97" s="37">
        <v>0</v>
      </c>
    </row>
    <row r="98" spans="1:30" x14ac:dyDescent="0.25">
      <c r="A98" s="36">
        <v>2251</v>
      </c>
      <c r="B98" s="14" t="s">
        <v>4527</v>
      </c>
      <c r="C98" s="14" t="s">
        <v>4528</v>
      </c>
      <c r="D98" s="17">
        <v>44132</v>
      </c>
      <c r="E98" s="14" t="s">
        <v>30</v>
      </c>
      <c r="F98" s="14">
        <v>258</v>
      </c>
      <c r="G98" s="14">
        <v>34</v>
      </c>
      <c r="H98" s="14">
        <v>11</v>
      </c>
      <c r="I98" s="14">
        <v>6</v>
      </c>
      <c r="J98" s="14" t="s">
        <v>204</v>
      </c>
      <c r="K98" s="14" cm="1">
        <f t="array" ref="K98">INT(SUMPRODUCT(--ISNUMBER(SEARCH(economy,C98)))&gt;0)</f>
        <v>0</v>
      </c>
      <c r="L98" s="14" cm="1">
        <f t="array" ref="L98">INT(SUMPRODUCT(--ISNUMBER(SEARCH(healthcare,C98)))&gt;0)</f>
        <v>0</v>
      </c>
      <c r="M98" s="14" cm="1">
        <f t="array" ref="M98">INT(SUMPRODUCT(--ISNUMBER(SEARCH(supreme,C98)))&gt;0)</f>
        <v>0</v>
      </c>
      <c r="N98" s="14" cm="1">
        <f t="array" ref="N98">INT(SUMPRODUCT(--ISNUMBER(SEARCH(covid,C98)))&gt;0)</f>
        <v>0</v>
      </c>
      <c r="O98" s="14" cm="1">
        <f t="array" ref="O98">INT(SUMPRODUCT(--ISNUMBER(SEARCH(violent,C98)))&gt;0)</f>
        <v>0</v>
      </c>
      <c r="P98" s="14" cm="1">
        <f t="array" ref="P98">INT(SUMPRODUCT(--ISNUMBER(SEARCH(foreign,C98)))&gt;0)</f>
        <v>0</v>
      </c>
      <c r="Q98" s="14" cm="1">
        <f t="array" ref="Q98">INT(SUMPRODUCT(--ISNUMBER(SEARCH(gun,C98)))&gt;0)</f>
        <v>0</v>
      </c>
      <c r="R98" s="14" cm="1">
        <f t="array" ref="R98">INT(SUMPRODUCT(--ISNUMBER(SEARCH(race,C98)))&gt;0)</f>
        <v>0</v>
      </c>
      <c r="S98" s="14" cm="1">
        <f t="array" ref="S98">INT(SUMPRODUCT(--ISNUMBER(SEARCH(immigration,C98)))&gt;0)</f>
        <v>0</v>
      </c>
      <c r="T98" s="14" cm="1">
        <f t="array" ref="T98">INT(SUMPRODUCT(--ISNUMBER(SEARCH(econineq,C99)))&gt;0)</f>
        <v>0</v>
      </c>
      <c r="U98" s="14" cm="1">
        <f t="array" ref="U98">INT(SUMPRODUCT(--ISNUMBER(SEARCH(climate,C98)))&gt;0)</f>
        <v>0</v>
      </c>
      <c r="V98" s="14" cm="1">
        <f t="array" ref="V98">INT(SUMPRODUCT(--ISNUMBER(SEARCH(abortion,C98)))&gt;0)</f>
        <v>0</v>
      </c>
      <c r="W98" s="14" cm="1">
        <f t="array" ref="W98">INT(SUMPRODUCT(--ISNUMBER(SEARCH(trump,C98)))&gt;0)</f>
        <v>0</v>
      </c>
      <c r="X98" s="14" cm="1">
        <f t="array" ref="X98">INT(SUMPRODUCT(--ISNUMBER(SEARCH(voting,C98)))&gt;0)</f>
        <v>0</v>
      </c>
      <c r="Y98" s="14" cm="1">
        <f t="array" ref="Y98">INT(SUMPRODUCT(--ISNUMBER(SEARCH(democrattrigger,C98)))&gt;0)</f>
        <v>0</v>
      </c>
      <c r="Z98" s="14" cm="1">
        <f t="array" ref="Z98">INT(SUMPRODUCT(--ISNUMBER(SEARCH(bipartisan,C98)))&gt;0)</f>
        <v>0</v>
      </c>
      <c r="AA98" s="14">
        <f t="shared" si="1"/>
        <v>1</v>
      </c>
      <c r="AB98" s="14"/>
      <c r="AC98" s="30" t="s">
        <v>223</v>
      </c>
      <c r="AD98" s="37" t="s">
        <v>223</v>
      </c>
    </row>
    <row r="99" spans="1:30" x14ac:dyDescent="0.25">
      <c r="A99" s="36">
        <v>2252</v>
      </c>
      <c r="B99" s="14" t="s">
        <v>4529</v>
      </c>
      <c r="C99" s="14" t="s">
        <v>4530</v>
      </c>
      <c r="D99" s="17">
        <v>44132</v>
      </c>
      <c r="E99" s="14" t="s">
        <v>30</v>
      </c>
      <c r="F99" s="14">
        <v>109</v>
      </c>
      <c r="G99" s="14">
        <v>38</v>
      </c>
      <c r="H99" s="14">
        <v>11</v>
      </c>
      <c r="I99" s="14">
        <v>6</v>
      </c>
      <c r="J99" s="14" t="s">
        <v>204</v>
      </c>
      <c r="K99" s="14" cm="1">
        <f t="array" ref="K99">INT(SUMPRODUCT(--ISNUMBER(SEARCH(economy,C99)))&gt;0)</f>
        <v>0</v>
      </c>
      <c r="L99" s="14" cm="1">
        <f t="array" ref="L99">INT(SUMPRODUCT(--ISNUMBER(SEARCH(healthcare,C99)))&gt;0)</f>
        <v>0</v>
      </c>
      <c r="M99" s="14" cm="1">
        <f t="array" ref="M99">INT(SUMPRODUCT(--ISNUMBER(SEARCH(supreme,C99)))&gt;0)</f>
        <v>0</v>
      </c>
      <c r="N99" s="14" cm="1">
        <f t="array" ref="N99">INT(SUMPRODUCT(--ISNUMBER(SEARCH(covid,C99)))&gt;0)</f>
        <v>0</v>
      </c>
      <c r="O99" s="14" cm="1">
        <f t="array" ref="O99">INT(SUMPRODUCT(--ISNUMBER(SEARCH(violent,C99)))&gt;0)</f>
        <v>0</v>
      </c>
      <c r="P99" s="14" cm="1">
        <f t="array" ref="P99">INT(SUMPRODUCT(--ISNUMBER(SEARCH(foreign,C99)))&gt;0)</f>
        <v>0</v>
      </c>
      <c r="Q99" s="14" cm="1">
        <f t="array" ref="Q99">INT(SUMPRODUCT(--ISNUMBER(SEARCH(gun,C99)))&gt;0)</f>
        <v>0</v>
      </c>
      <c r="R99" s="14" cm="1">
        <f t="array" ref="R99">INT(SUMPRODUCT(--ISNUMBER(SEARCH(race,C99)))&gt;0)</f>
        <v>0</v>
      </c>
      <c r="S99" s="14" cm="1">
        <f t="array" ref="S99">INT(SUMPRODUCT(--ISNUMBER(SEARCH(immigration,C99)))&gt;0)</f>
        <v>0</v>
      </c>
      <c r="T99" s="14" cm="1">
        <f t="array" ref="T99">INT(SUMPRODUCT(--ISNUMBER(SEARCH(econineq,C100)))&gt;0)</f>
        <v>0</v>
      </c>
      <c r="U99" s="14" cm="1">
        <f t="array" ref="U99">INT(SUMPRODUCT(--ISNUMBER(SEARCH(climate,C99)))&gt;0)</f>
        <v>0</v>
      </c>
      <c r="V99" s="14" cm="1">
        <f t="array" ref="V99">INT(SUMPRODUCT(--ISNUMBER(SEARCH(abortion,C99)))&gt;0)</f>
        <v>0</v>
      </c>
      <c r="W99" s="14" cm="1">
        <f t="array" ref="W99">INT(SUMPRODUCT(--ISNUMBER(SEARCH(trump,C99)))&gt;0)</f>
        <v>1</v>
      </c>
      <c r="X99" s="14" cm="1">
        <f t="array" ref="X99">INT(SUMPRODUCT(--ISNUMBER(SEARCH(voting,C99)))&gt;0)</f>
        <v>1</v>
      </c>
      <c r="Y99" s="14" cm="1">
        <f t="array" ref="Y99">INT(SUMPRODUCT(--ISNUMBER(SEARCH(democrattrigger,C99)))&gt;0)</f>
        <v>1</v>
      </c>
      <c r="Z99" s="14" cm="1">
        <f t="array" ref="Z99">INT(SUMPRODUCT(--ISNUMBER(SEARCH(bipartisan,C99)))&gt;0)</f>
        <v>0</v>
      </c>
      <c r="AA99" s="14">
        <f t="shared" si="1"/>
        <v>0</v>
      </c>
      <c r="AB99" s="14"/>
      <c r="AC99" s="30" t="s">
        <v>223</v>
      </c>
      <c r="AD99" s="37" t="s">
        <v>223</v>
      </c>
    </row>
    <row r="100" spans="1:30" x14ac:dyDescent="0.25">
      <c r="A100" s="36">
        <v>2253</v>
      </c>
      <c r="B100" s="14" t="s">
        <v>4531</v>
      </c>
      <c r="C100" s="14" t="s">
        <v>4532</v>
      </c>
      <c r="D100" s="17">
        <v>44132</v>
      </c>
      <c r="E100" s="14" t="s">
        <v>30</v>
      </c>
      <c r="F100" s="14">
        <v>37</v>
      </c>
      <c r="G100" s="14">
        <v>9</v>
      </c>
      <c r="H100" s="14">
        <v>11</v>
      </c>
      <c r="I100" s="14">
        <v>6</v>
      </c>
      <c r="J100" s="14" t="s">
        <v>204</v>
      </c>
      <c r="K100" s="14" cm="1">
        <f t="array" ref="K100">INT(SUMPRODUCT(--ISNUMBER(SEARCH(economy,C100)))&gt;0)</f>
        <v>0</v>
      </c>
      <c r="L100" s="14" cm="1">
        <f t="array" ref="L100">INT(SUMPRODUCT(--ISNUMBER(SEARCH(healthcare,C100)))&gt;0)</f>
        <v>0</v>
      </c>
      <c r="M100" s="14" cm="1">
        <f t="array" ref="M100">INT(SUMPRODUCT(--ISNUMBER(SEARCH(supreme,C100)))&gt;0)</f>
        <v>0</v>
      </c>
      <c r="N100" s="14" cm="1">
        <f t="array" ref="N100">INT(SUMPRODUCT(--ISNUMBER(SEARCH(covid,C100)))&gt;0)</f>
        <v>0</v>
      </c>
      <c r="O100" s="14" cm="1">
        <f t="array" ref="O100">INT(SUMPRODUCT(--ISNUMBER(SEARCH(violent,C100)))&gt;0)</f>
        <v>0</v>
      </c>
      <c r="P100" s="14" cm="1">
        <f t="array" ref="P100">INT(SUMPRODUCT(--ISNUMBER(SEARCH(foreign,C100)))&gt;0)</f>
        <v>1</v>
      </c>
      <c r="Q100" s="14" cm="1">
        <f t="array" ref="Q100">INT(SUMPRODUCT(--ISNUMBER(SEARCH(gun,C100)))&gt;0)</f>
        <v>0</v>
      </c>
      <c r="R100" s="14" cm="1">
        <f t="array" ref="R100">INT(SUMPRODUCT(--ISNUMBER(SEARCH(race,C100)))&gt;0)</f>
        <v>0</v>
      </c>
      <c r="S100" s="14" cm="1">
        <f t="array" ref="S100">INT(SUMPRODUCT(--ISNUMBER(SEARCH(immigration,C100)))&gt;0)</f>
        <v>0</v>
      </c>
      <c r="T100" s="14" cm="1">
        <f t="array" ref="T100">INT(SUMPRODUCT(--ISNUMBER(SEARCH(econineq,C101)))&gt;0)</f>
        <v>0</v>
      </c>
      <c r="U100" s="14" cm="1">
        <f t="array" ref="U100">INT(SUMPRODUCT(--ISNUMBER(SEARCH(climate,C100)))&gt;0)</f>
        <v>0</v>
      </c>
      <c r="V100" s="14" cm="1">
        <f t="array" ref="V100">INT(SUMPRODUCT(--ISNUMBER(SEARCH(abortion,C100)))&gt;0)</f>
        <v>0</v>
      </c>
      <c r="W100" s="14" cm="1">
        <f t="array" ref="W100">INT(SUMPRODUCT(--ISNUMBER(SEARCH(trump,C100)))&gt;0)</f>
        <v>0</v>
      </c>
      <c r="X100" s="14" cm="1">
        <f t="array" ref="X100">INT(SUMPRODUCT(--ISNUMBER(SEARCH(voting,C100)))&gt;0)</f>
        <v>1</v>
      </c>
      <c r="Y100" s="14" cm="1">
        <f t="array" ref="Y100">INT(SUMPRODUCT(--ISNUMBER(SEARCH(democrattrigger,C100)))&gt;0)</f>
        <v>0</v>
      </c>
      <c r="Z100" s="14" cm="1">
        <f t="array" ref="Z100">INT(SUMPRODUCT(--ISNUMBER(SEARCH(bipartisan,C100)))&gt;0)</f>
        <v>0</v>
      </c>
      <c r="AA100" s="14">
        <f t="shared" si="1"/>
        <v>0</v>
      </c>
      <c r="AB100" s="14"/>
      <c r="AC100" s="30">
        <v>0</v>
      </c>
      <c r="AD100" s="37">
        <v>1</v>
      </c>
    </row>
    <row r="101" spans="1:30" x14ac:dyDescent="0.25">
      <c r="A101" s="36">
        <v>2254</v>
      </c>
      <c r="B101" s="14" t="s">
        <v>4533</v>
      </c>
      <c r="C101" s="14" t="s">
        <v>4534</v>
      </c>
      <c r="D101" s="17">
        <v>44132</v>
      </c>
      <c r="E101" s="14" t="s">
        <v>30</v>
      </c>
      <c r="F101" s="14">
        <v>60</v>
      </c>
      <c r="G101" s="14">
        <v>15</v>
      </c>
      <c r="H101" s="14">
        <v>11</v>
      </c>
      <c r="I101" s="14">
        <v>6</v>
      </c>
      <c r="J101" s="14" t="s">
        <v>204</v>
      </c>
      <c r="K101" s="14" cm="1">
        <f t="array" ref="K101">INT(SUMPRODUCT(--ISNUMBER(SEARCH(economy,C101)))&gt;0)</f>
        <v>0</v>
      </c>
      <c r="L101" s="14" cm="1">
        <f t="array" ref="L101">INT(SUMPRODUCT(--ISNUMBER(SEARCH(healthcare,C101)))&gt;0)</f>
        <v>0</v>
      </c>
      <c r="M101" s="14" cm="1">
        <f t="array" ref="M101">INT(SUMPRODUCT(--ISNUMBER(SEARCH(supreme,C101)))&gt;0)</f>
        <v>0</v>
      </c>
      <c r="N101" s="14" cm="1">
        <f t="array" ref="N101">INT(SUMPRODUCT(--ISNUMBER(SEARCH(covid,C101)))&gt;0)</f>
        <v>0</v>
      </c>
      <c r="O101" s="14" cm="1">
        <f t="array" ref="O101">INT(SUMPRODUCT(--ISNUMBER(SEARCH(violent,C101)))&gt;0)</f>
        <v>0</v>
      </c>
      <c r="P101" s="14" cm="1">
        <f t="array" ref="P101">INT(SUMPRODUCT(--ISNUMBER(SEARCH(foreign,C101)))&gt;0)</f>
        <v>1</v>
      </c>
      <c r="Q101" s="14" cm="1">
        <f t="array" ref="Q101">INT(SUMPRODUCT(--ISNUMBER(SEARCH(gun,C101)))&gt;0)</f>
        <v>0</v>
      </c>
      <c r="R101" s="14" cm="1">
        <f t="array" ref="R101">INT(SUMPRODUCT(--ISNUMBER(SEARCH(race,C101)))&gt;0)</f>
        <v>0</v>
      </c>
      <c r="S101" s="14" cm="1">
        <f t="array" ref="S101">INT(SUMPRODUCT(--ISNUMBER(SEARCH(immigration,C101)))&gt;0)</f>
        <v>0</v>
      </c>
      <c r="T101" s="14" cm="1">
        <f t="array" ref="T101">INT(SUMPRODUCT(--ISNUMBER(SEARCH(econineq,C102)))&gt;0)</f>
        <v>0</v>
      </c>
      <c r="U101" s="14" cm="1">
        <f t="array" ref="U101">INT(SUMPRODUCT(--ISNUMBER(SEARCH(climate,C101)))&gt;0)</f>
        <v>0</v>
      </c>
      <c r="V101" s="14" cm="1">
        <f t="array" ref="V101">INT(SUMPRODUCT(--ISNUMBER(SEARCH(abortion,C101)))&gt;0)</f>
        <v>0</v>
      </c>
      <c r="W101" s="14" cm="1">
        <f t="array" ref="W101">INT(SUMPRODUCT(--ISNUMBER(SEARCH(trump,C101)))&gt;0)</f>
        <v>0</v>
      </c>
      <c r="X101" s="14" cm="1">
        <f t="array" ref="X101">INT(SUMPRODUCT(--ISNUMBER(SEARCH(voting,C101)))&gt;0)</f>
        <v>1</v>
      </c>
      <c r="Y101" s="14" cm="1">
        <f t="array" ref="Y101">INT(SUMPRODUCT(--ISNUMBER(SEARCH(democrattrigger,C101)))&gt;0)</f>
        <v>0</v>
      </c>
      <c r="Z101" s="14" cm="1">
        <f t="array" ref="Z101">INT(SUMPRODUCT(--ISNUMBER(SEARCH(bipartisan,C101)))&gt;0)</f>
        <v>0</v>
      </c>
      <c r="AA101" s="14">
        <f t="shared" si="1"/>
        <v>0</v>
      </c>
      <c r="AB101" s="14"/>
      <c r="AC101" s="30" t="s">
        <v>223</v>
      </c>
      <c r="AD101" s="37" t="s">
        <v>223</v>
      </c>
    </row>
    <row r="102" spans="1:30" x14ac:dyDescent="0.25">
      <c r="A102" s="36">
        <v>2255</v>
      </c>
      <c r="B102" s="14" t="s">
        <v>4535</v>
      </c>
      <c r="C102" s="14" t="s">
        <v>4536</v>
      </c>
      <c r="D102" s="17">
        <v>44132</v>
      </c>
      <c r="E102" s="14" t="s">
        <v>30</v>
      </c>
      <c r="F102" s="14">
        <v>121</v>
      </c>
      <c r="G102" s="14">
        <v>30</v>
      </c>
      <c r="H102" s="14">
        <v>11</v>
      </c>
      <c r="I102" s="14">
        <v>6</v>
      </c>
      <c r="J102" s="14" t="s">
        <v>204</v>
      </c>
      <c r="K102" s="14" cm="1">
        <f t="array" ref="K102">INT(SUMPRODUCT(--ISNUMBER(SEARCH(economy,C102)))&gt;0)</f>
        <v>0</v>
      </c>
      <c r="L102" s="14" cm="1">
        <f t="array" ref="L102">INT(SUMPRODUCT(--ISNUMBER(SEARCH(healthcare,C102)))&gt;0)</f>
        <v>1</v>
      </c>
      <c r="M102" s="14" cm="1">
        <f t="array" ref="M102">INT(SUMPRODUCT(--ISNUMBER(SEARCH(supreme,C102)))&gt;0)</f>
        <v>0</v>
      </c>
      <c r="N102" s="14" cm="1">
        <f t="array" ref="N102">INT(SUMPRODUCT(--ISNUMBER(SEARCH(covid,C102)))&gt;0)</f>
        <v>0</v>
      </c>
      <c r="O102" s="14" cm="1">
        <f t="array" ref="O102">INT(SUMPRODUCT(--ISNUMBER(SEARCH(violent,C102)))&gt;0)</f>
        <v>0</v>
      </c>
      <c r="P102" s="14" cm="1">
        <f t="array" ref="P102">INT(SUMPRODUCT(--ISNUMBER(SEARCH(foreign,C102)))&gt;0)</f>
        <v>0</v>
      </c>
      <c r="Q102" s="14" cm="1">
        <f t="array" ref="Q102">INT(SUMPRODUCT(--ISNUMBER(SEARCH(gun,C102)))&gt;0)</f>
        <v>0</v>
      </c>
      <c r="R102" s="14" cm="1">
        <f t="array" ref="R102">INT(SUMPRODUCT(--ISNUMBER(SEARCH(race,C102)))&gt;0)</f>
        <v>0</v>
      </c>
      <c r="S102" s="14" cm="1">
        <f t="array" ref="S102">INT(SUMPRODUCT(--ISNUMBER(SEARCH(immigration,C102)))&gt;0)</f>
        <v>0</v>
      </c>
      <c r="T102" s="14" cm="1">
        <f t="array" ref="T102">INT(SUMPRODUCT(--ISNUMBER(SEARCH(econineq,C103)))&gt;0)</f>
        <v>0</v>
      </c>
      <c r="U102" s="14" cm="1">
        <f t="array" ref="U102">INT(SUMPRODUCT(--ISNUMBER(SEARCH(climate,C102)))&gt;0)</f>
        <v>0</v>
      </c>
      <c r="V102" s="14" cm="1">
        <f t="array" ref="V102">INT(SUMPRODUCT(--ISNUMBER(SEARCH(abortion,C102)))&gt;0)</f>
        <v>0</v>
      </c>
      <c r="W102" s="14" cm="1">
        <f t="array" ref="W102">INT(SUMPRODUCT(--ISNUMBER(SEARCH(trump,C102)))&gt;0)</f>
        <v>0</v>
      </c>
      <c r="X102" s="14" cm="1">
        <f t="array" ref="X102">INT(SUMPRODUCT(--ISNUMBER(SEARCH(voting,C102)))&gt;0)</f>
        <v>0</v>
      </c>
      <c r="Y102" s="14" cm="1">
        <f t="array" ref="Y102">INT(SUMPRODUCT(--ISNUMBER(SEARCH(democrattrigger,C102)))&gt;0)</f>
        <v>0</v>
      </c>
      <c r="Z102" s="14" cm="1">
        <f t="array" ref="Z102">INT(SUMPRODUCT(--ISNUMBER(SEARCH(bipartisan,C102)))&gt;0)</f>
        <v>1</v>
      </c>
      <c r="AA102" s="14">
        <f t="shared" si="1"/>
        <v>0</v>
      </c>
      <c r="AB102" s="14"/>
      <c r="AC102" s="30">
        <v>1</v>
      </c>
      <c r="AD102" s="37">
        <v>0</v>
      </c>
    </row>
    <row r="103" spans="1:30" x14ac:dyDescent="0.25">
      <c r="A103" s="36">
        <v>2256</v>
      </c>
      <c r="B103" s="14" t="s">
        <v>4537</v>
      </c>
      <c r="C103" s="14" t="s">
        <v>4538</v>
      </c>
      <c r="D103" s="17">
        <v>44132</v>
      </c>
      <c r="E103" s="14" t="s">
        <v>30</v>
      </c>
      <c r="F103" s="14">
        <v>84</v>
      </c>
      <c r="G103" s="14">
        <v>11</v>
      </c>
      <c r="H103" s="14">
        <v>11</v>
      </c>
      <c r="I103" s="14">
        <v>6</v>
      </c>
      <c r="J103" s="14" t="s">
        <v>204</v>
      </c>
      <c r="K103" s="14" cm="1">
        <f t="array" ref="K103">INT(SUMPRODUCT(--ISNUMBER(SEARCH(economy,C103)))&gt;0)</f>
        <v>0</v>
      </c>
      <c r="L103" s="14" cm="1">
        <f t="array" ref="L103">INT(SUMPRODUCT(--ISNUMBER(SEARCH(healthcare,C103)))&gt;0)</f>
        <v>0</v>
      </c>
      <c r="M103" s="14" cm="1">
        <f t="array" ref="M103">INT(SUMPRODUCT(--ISNUMBER(SEARCH(supreme,C103)))&gt;0)</f>
        <v>0</v>
      </c>
      <c r="N103" s="14" cm="1">
        <f t="array" ref="N103">INT(SUMPRODUCT(--ISNUMBER(SEARCH(covid,C103)))&gt;0)</f>
        <v>0</v>
      </c>
      <c r="O103" s="14" cm="1">
        <f t="array" ref="O103">INT(SUMPRODUCT(--ISNUMBER(SEARCH(violent,C103)))&gt;0)</f>
        <v>0</v>
      </c>
      <c r="P103" s="14" cm="1">
        <f t="array" ref="P103">INT(SUMPRODUCT(--ISNUMBER(SEARCH(foreign,C103)))&gt;0)</f>
        <v>0</v>
      </c>
      <c r="Q103" s="14" cm="1">
        <f t="array" ref="Q103">INT(SUMPRODUCT(--ISNUMBER(SEARCH(gun,C103)))&gt;0)</f>
        <v>0</v>
      </c>
      <c r="R103" s="14" cm="1">
        <f t="array" ref="R103">INT(SUMPRODUCT(--ISNUMBER(SEARCH(race,C103)))&gt;0)</f>
        <v>0</v>
      </c>
      <c r="S103" s="14" cm="1">
        <f t="array" ref="S103">INT(SUMPRODUCT(--ISNUMBER(SEARCH(immigration,C103)))&gt;0)</f>
        <v>0</v>
      </c>
      <c r="T103" s="14" cm="1">
        <f t="array" ref="T103">INT(SUMPRODUCT(--ISNUMBER(SEARCH(econineq,C104)))&gt;0)</f>
        <v>0</v>
      </c>
      <c r="U103" s="14" cm="1">
        <f t="array" ref="U103">INT(SUMPRODUCT(--ISNUMBER(SEARCH(climate,C103)))&gt;0)</f>
        <v>0</v>
      </c>
      <c r="V103" s="14" cm="1">
        <f t="array" ref="V103">INT(SUMPRODUCT(--ISNUMBER(SEARCH(abortion,C103)))&gt;0)</f>
        <v>0</v>
      </c>
      <c r="W103" s="14" cm="1">
        <f t="array" ref="W103">INT(SUMPRODUCT(--ISNUMBER(SEARCH(trump,C103)))&gt;0)</f>
        <v>0</v>
      </c>
      <c r="X103" s="14" cm="1">
        <f t="array" ref="X103">INT(SUMPRODUCT(--ISNUMBER(SEARCH(voting,C103)))&gt;0)</f>
        <v>0</v>
      </c>
      <c r="Y103" s="14" cm="1">
        <f t="array" ref="Y103">INT(SUMPRODUCT(--ISNUMBER(SEARCH(democrattrigger,C103)))&gt;0)</f>
        <v>0</v>
      </c>
      <c r="Z103" s="14" cm="1">
        <f t="array" ref="Z103">INT(SUMPRODUCT(--ISNUMBER(SEARCH(bipartisan,C103)))&gt;0)</f>
        <v>0</v>
      </c>
      <c r="AA103" s="14">
        <f t="shared" si="1"/>
        <v>1</v>
      </c>
      <c r="AB103" s="14"/>
      <c r="AC103" s="30" t="s">
        <v>223</v>
      </c>
      <c r="AD103" s="37" t="s">
        <v>223</v>
      </c>
    </row>
    <row r="104" spans="1:30" x14ac:dyDescent="0.25">
      <c r="A104" s="36">
        <v>2257</v>
      </c>
      <c r="B104" s="14" t="s">
        <v>4539</v>
      </c>
      <c r="C104" s="14" t="s">
        <v>4540</v>
      </c>
      <c r="D104" s="17">
        <v>44132</v>
      </c>
      <c r="E104" s="14" t="s">
        <v>30</v>
      </c>
      <c r="F104" s="14">
        <v>111</v>
      </c>
      <c r="G104" s="14">
        <v>21</v>
      </c>
      <c r="H104" s="14">
        <v>11</v>
      </c>
      <c r="I104" s="14">
        <v>6</v>
      </c>
      <c r="J104" s="14" t="s">
        <v>204</v>
      </c>
      <c r="K104" s="14" cm="1">
        <f t="array" ref="K104">INT(SUMPRODUCT(--ISNUMBER(SEARCH(economy,C104)))&gt;0)</f>
        <v>0</v>
      </c>
      <c r="L104" s="14" cm="1">
        <f t="array" ref="L104">INT(SUMPRODUCT(--ISNUMBER(SEARCH(healthcare,C104)))&gt;0)</f>
        <v>0</v>
      </c>
      <c r="M104" s="14" cm="1">
        <f t="array" ref="M104">INT(SUMPRODUCT(--ISNUMBER(SEARCH(supreme,C104)))&gt;0)</f>
        <v>0</v>
      </c>
      <c r="N104" s="14" cm="1">
        <f t="array" ref="N104">INT(SUMPRODUCT(--ISNUMBER(SEARCH(covid,C104)))&gt;0)</f>
        <v>0</v>
      </c>
      <c r="O104" s="14" cm="1">
        <f t="array" ref="O104">INT(SUMPRODUCT(--ISNUMBER(SEARCH(violent,C104)))&gt;0)</f>
        <v>0</v>
      </c>
      <c r="P104" s="14" cm="1">
        <f t="array" ref="P104">INT(SUMPRODUCT(--ISNUMBER(SEARCH(foreign,C104)))&gt;0)</f>
        <v>0</v>
      </c>
      <c r="Q104" s="14" cm="1">
        <f t="array" ref="Q104">INT(SUMPRODUCT(--ISNUMBER(SEARCH(gun,C104)))&gt;0)</f>
        <v>0</v>
      </c>
      <c r="R104" s="14" cm="1">
        <f t="array" ref="R104">INT(SUMPRODUCT(--ISNUMBER(SEARCH(race,C104)))&gt;0)</f>
        <v>0</v>
      </c>
      <c r="S104" s="14" cm="1">
        <f t="array" ref="S104">INT(SUMPRODUCT(--ISNUMBER(SEARCH(immigration,C104)))&gt;0)</f>
        <v>0</v>
      </c>
      <c r="T104" s="14" cm="1">
        <f t="array" ref="T104">INT(SUMPRODUCT(--ISNUMBER(SEARCH(econineq,C105)))&gt;0)</f>
        <v>0</v>
      </c>
      <c r="U104" s="14" cm="1">
        <f t="array" ref="U104">INT(SUMPRODUCT(--ISNUMBER(SEARCH(climate,C104)))&gt;0)</f>
        <v>1</v>
      </c>
      <c r="V104" s="14" cm="1">
        <f t="array" ref="V104">INT(SUMPRODUCT(--ISNUMBER(SEARCH(abortion,C104)))&gt;0)</f>
        <v>0</v>
      </c>
      <c r="W104" s="14" cm="1">
        <f t="array" ref="W104">INT(SUMPRODUCT(--ISNUMBER(SEARCH(trump,C104)))&gt;0)</f>
        <v>0</v>
      </c>
      <c r="X104" s="14" cm="1">
        <f t="array" ref="X104">INT(SUMPRODUCT(--ISNUMBER(SEARCH(voting,C104)))&gt;0)</f>
        <v>0</v>
      </c>
      <c r="Y104" s="14" cm="1">
        <f t="array" ref="Y104">INT(SUMPRODUCT(--ISNUMBER(SEARCH(democrattrigger,C104)))&gt;0)</f>
        <v>0</v>
      </c>
      <c r="Z104" s="14" cm="1">
        <f t="array" ref="Z104">INT(SUMPRODUCT(--ISNUMBER(SEARCH(bipartisan,C104)))&gt;0)</f>
        <v>0</v>
      </c>
      <c r="AA104" s="14">
        <f t="shared" si="1"/>
        <v>0</v>
      </c>
      <c r="AB104" s="14"/>
      <c r="AC104" s="30">
        <v>1</v>
      </c>
      <c r="AD104" s="37">
        <v>0</v>
      </c>
    </row>
    <row r="105" spans="1:30" x14ac:dyDescent="0.25">
      <c r="A105" s="36">
        <v>2258</v>
      </c>
      <c r="B105" s="14" t="s">
        <v>4541</v>
      </c>
      <c r="C105" s="14" t="s">
        <v>4542</v>
      </c>
      <c r="D105" s="17">
        <v>44132</v>
      </c>
      <c r="E105" s="14" t="s">
        <v>30</v>
      </c>
      <c r="F105" s="14">
        <v>61</v>
      </c>
      <c r="G105" s="14">
        <v>15</v>
      </c>
      <c r="H105" s="14">
        <v>11</v>
      </c>
      <c r="I105" s="14">
        <v>6</v>
      </c>
      <c r="J105" s="14" t="s">
        <v>204</v>
      </c>
      <c r="K105" s="14" cm="1">
        <f t="array" ref="K105">INT(SUMPRODUCT(--ISNUMBER(SEARCH(economy,C105)))&gt;0)</f>
        <v>0</v>
      </c>
      <c r="L105" s="14" cm="1">
        <f t="array" ref="L105">INT(SUMPRODUCT(--ISNUMBER(SEARCH(healthcare,C105)))&gt;0)</f>
        <v>0</v>
      </c>
      <c r="M105" s="14" cm="1">
        <f t="array" ref="M105">INT(SUMPRODUCT(--ISNUMBER(SEARCH(supreme,C105)))&gt;0)</f>
        <v>0</v>
      </c>
      <c r="N105" s="14" cm="1">
        <f t="array" ref="N105">INT(SUMPRODUCT(--ISNUMBER(SEARCH(covid,C105)))&gt;0)</f>
        <v>0</v>
      </c>
      <c r="O105" s="14" cm="1">
        <f t="array" ref="O105">INT(SUMPRODUCT(--ISNUMBER(SEARCH(violent,C105)))&gt;0)</f>
        <v>0</v>
      </c>
      <c r="P105" s="14" cm="1">
        <f t="array" ref="P105">INT(SUMPRODUCT(--ISNUMBER(SEARCH(foreign,C105)))&gt;0)</f>
        <v>1</v>
      </c>
      <c r="Q105" s="14" cm="1">
        <f t="array" ref="Q105">INT(SUMPRODUCT(--ISNUMBER(SEARCH(gun,C105)))&gt;0)</f>
        <v>0</v>
      </c>
      <c r="R105" s="14" cm="1">
        <f t="array" ref="R105">INT(SUMPRODUCT(--ISNUMBER(SEARCH(race,C105)))&gt;0)</f>
        <v>0</v>
      </c>
      <c r="S105" s="14" cm="1">
        <f t="array" ref="S105">INT(SUMPRODUCT(--ISNUMBER(SEARCH(immigration,C105)))&gt;0)</f>
        <v>0</v>
      </c>
      <c r="T105" s="14" cm="1">
        <f t="array" ref="T105">INT(SUMPRODUCT(--ISNUMBER(SEARCH(econineq,C106)))&gt;0)</f>
        <v>0</v>
      </c>
      <c r="U105" s="14" cm="1">
        <f t="array" ref="U105">INT(SUMPRODUCT(--ISNUMBER(SEARCH(climate,C105)))&gt;0)</f>
        <v>0</v>
      </c>
      <c r="V105" s="14" cm="1">
        <f t="array" ref="V105">INT(SUMPRODUCT(--ISNUMBER(SEARCH(abortion,C105)))&gt;0)</f>
        <v>0</v>
      </c>
      <c r="W105" s="14" cm="1">
        <f t="array" ref="W105">INT(SUMPRODUCT(--ISNUMBER(SEARCH(trump,C105)))&gt;0)</f>
        <v>0</v>
      </c>
      <c r="X105" s="14" cm="1">
        <f t="array" ref="X105">INT(SUMPRODUCT(--ISNUMBER(SEARCH(voting,C105)))&gt;0)</f>
        <v>1</v>
      </c>
      <c r="Y105" s="14" cm="1">
        <f t="array" ref="Y105">INT(SUMPRODUCT(--ISNUMBER(SEARCH(democrattrigger,C105)))&gt;0)</f>
        <v>0</v>
      </c>
      <c r="Z105" s="14" cm="1">
        <f t="array" ref="Z105">INT(SUMPRODUCT(--ISNUMBER(SEARCH(bipartisan,C105)))&gt;0)</f>
        <v>0</v>
      </c>
      <c r="AA105" s="14">
        <f t="shared" si="1"/>
        <v>0</v>
      </c>
      <c r="AB105" s="14"/>
      <c r="AC105" s="30">
        <v>0</v>
      </c>
      <c r="AD105" s="37">
        <v>1</v>
      </c>
    </row>
    <row r="106" spans="1:30" x14ac:dyDescent="0.25">
      <c r="A106" s="36">
        <v>2259</v>
      </c>
      <c r="B106" s="14" t="s">
        <v>4543</v>
      </c>
      <c r="C106" s="14" t="s">
        <v>4544</v>
      </c>
      <c r="D106" s="17">
        <v>44132</v>
      </c>
      <c r="E106" s="14" t="s">
        <v>30</v>
      </c>
      <c r="F106" s="14">
        <v>95</v>
      </c>
      <c r="G106" s="14">
        <v>31</v>
      </c>
      <c r="H106" s="14">
        <v>11</v>
      </c>
      <c r="I106" s="14">
        <v>6</v>
      </c>
      <c r="J106" s="14" t="s">
        <v>204</v>
      </c>
      <c r="K106" s="14" cm="1">
        <f t="array" ref="K106">INT(SUMPRODUCT(--ISNUMBER(SEARCH(economy,C106)))&gt;0)</f>
        <v>0</v>
      </c>
      <c r="L106" s="14" cm="1">
        <f t="array" ref="L106">INT(SUMPRODUCT(--ISNUMBER(SEARCH(healthcare,C106)))&gt;0)</f>
        <v>0</v>
      </c>
      <c r="M106" s="14" cm="1">
        <f t="array" ref="M106">INT(SUMPRODUCT(--ISNUMBER(SEARCH(supreme,C106)))&gt;0)</f>
        <v>0</v>
      </c>
      <c r="N106" s="14" cm="1">
        <f t="array" ref="N106">INT(SUMPRODUCT(--ISNUMBER(SEARCH(covid,C106)))&gt;0)</f>
        <v>0</v>
      </c>
      <c r="O106" s="14" cm="1">
        <f t="array" ref="O106">INT(SUMPRODUCT(--ISNUMBER(SEARCH(violent,C106)))&gt;0)</f>
        <v>0</v>
      </c>
      <c r="P106" s="14" cm="1">
        <f t="array" ref="P106">INT(SUMPRODUCT(--ISNUMBER(SEARCH(foreign,C106)))&gt;0)</f>
        <v>0</v>
      </c>
      <c r="Q106" s="14" cm="1">
        <f t="array" ref="Q106">INT(SUMPRODUCT(--ISNUMBER(SEARCH(gun,C106)))&gt;0)</f>
        <v>0</v>
      </c>
      <c r="R106" s="14" cm="1">
        <f t="array" ref="R106">INT(SUMPRODUCT(--ISNUMBER(SEARCH(race,C106)))&gt;0)</f>
        <v>0</v>
      </c>
      <c r="S106" s="14" cm="1">
        <f t="array" ref="S106">INT(SUMPRODUCT(--ISNUMBER(SEARCH(immigration,C106)))&gt;0)</f>
        <v>0</v>
      </c>
      <c r="T106" s="14" cm="1">
        <f t="array" ref="T106">INT(SUMPRODUCT(--ISNUMBER(SEARCH(econineq,C107)))&gt;0)</f>
        <v>0</v>
      </c>
      <c r="U106" s="14" cm="1">
        <f t="array" ref="U106">INT(SUMPRODUCT(--ISNUMBER(SEARCH(climate,C106)))&gt;0)</f>
        <v>0</v>
      </c>
      <c r="V106" s="14" cm="1">
        <f t="array" ref="V106">INT(SUMPRODUCT(--ISNUMBER(SEARCH(abortion,C106)))&gt;0)</f>
        <v>0</v>
      </c>
      <c r="W106" s="14" cm="1">
        <f t="array" ref="W106">INT(SUMPRODUCT(--ISNUMBER(SEARCH(trump,C106)))&gt;0)</f>
        <v>1</v>
      </c>
      <c r="X106" s="14" cm="1">
        <f t="array" ref="X106">INT(SUMPRODUCT(--ISNUMBER(SEARCH(voting,C106)))&gt;0)</f>
        <v>1</v>
      </c>
      <c r="Y106" s="14" cm="1">
        <f t="array" ref="Y106">INT(SUMPRODUCT(--ISNUMBER(SEARCH(democrattrigger,C106)))&gt;0)</f>
        <v>1</v>
      </c>
      <c r="Z106" s="14" cm="1">
        <f t="array" ref="Z106">INT(SUMPRODUCT(--ISNUMBER(SEARCH(bipartisan,C106)))&gt;0)</f>
        <v>0</v>
      </c>
      <c r="AA106" s="14">
        <f t="shared" si="1"/>
        <v>0</v>
      </c>
      <c r="AB106" s="14"/>
      <c r="AC106" s="30" t="s">
        <v>223</v>
      </c>
      <c r="AD106" s="37" t="s">
        <v>223</v>
      </c>
    </row>
    <row r="107" spans="1:30" x14ac:dyDescent="0.25">
      <c r="A107" s="36">
        <v>2260</v>
      </c>
      <c r="B107" s="14" t="s">
        <v>4545</v>
      </c>
      <c r="C107" s="14" t="s">
        <v>4546</v>
      </c>
      <c r="D107" s="17">
        <v>44132</v>
      </c>
      <c r="E107" s="14" t="s">
        <v>30</v>
      </c>
      <c r="F107" s="14">
        <v>37</v>
      </c>
      <c r="G107" s="14">
        <v>10</v>
      </c>
      <c r="H107" s="14">
        <v>11</v>
      </c>
      <c r="I107" s="14">
        <v>6</v>
      </c>
      <c r="J107" s="14" t="s">
        <v>204</v>
      </c>
      <c r="K107" s="14" cm="1">
        <f t="array" ref="K107">INT(SUMPRODUCT(--ISNUMBER(SEARCH(economy,C107)))&gt;0)</f>
        <v>0</v>
      </c>
      <c r="L107" s="14" cm="1">
        <f t="array" ref="L107">INT(SUMPRODUCT(--ISNUMBER(SEARCH(healthcare,C107)))&gt;0)</f>
        <v>1</v>
      </c>
      <c r="M107" s="14" cm="1">
        <f t="array" ref="M107">INT(SUMPRODUCT(--ISNUMBER(SEARCH(supreme,C107)))&gt;0)</f>
        <v>0</v>
      </c>
      <c r="N107" s="14" cm="1">
        <f t="array" ref="N107">INT(SUMPRODUCT(--ISNUMBER(SEARCH(covid,C107)))&gt;0)</f>
        <v>1</v>
      </c>
      <c r="O107" s="14" cm="1">
        <f t="array" ref="O107">INT(SUMPRODUCT(--ISNUMBER(SEARCH(violent,C107)))&gt;0)</f>
        <v>0</v>
      </c>
      <c r="P107" s="14" cm="1">
        <f t="array" ref="P107">INT(SUMPRODUCT(--ISNUMBER(SEARCH(foreign,C107)))&gt;0)</f>
        <v>0</v>
      </c>
      <c r="Q107" s="14" cm="1">
        <f t="array" ref="Q107">INT(SUMPRODUCT(--ISNUMBER(SEARCH(gun,C107)))&gt;0)</f>
        <v>0</v>
      </c>
      <c r="R107" s="14" cm="1">
        <f t="array" ref="R107">INT(SUMPRODUCT(--ISNUMBER(SEARCH(race,C107)))&gt;0)</f>
        <v>0</v>
      </c>
      <c r="S107" s="14" cm="1">
        <f t="array" ref="S107">INT(SUMPRODUCT(--ISNUMBER(SEARCH(immigration,C107)))&gt;0)</f>
        <v>0</v>
      </c>
      <c r="T107" s="14" cm="1">
        <f t="array" ref="T107">INT(SUMPRODUCT(--ISNUMBER(SEARCH(econineq,C108)))&gt;0)</f>
        <v>0</v>
      </c>
      <c r="U107" s="14" cm="1">
        <f t="array" ref="U107">INT(SUMPRODUCT(--ISNUMBER(SEARCH(climate,C107)))&gt;0)</f>
        <v>0</v>
      </c>
      <c r="V107" s="14" cm="1">
        <f t="array" ref="V107">INT(SUMPRODUCT(--ISNUMBER(SEARCH(abortion,C107)))&gt;0)</f>
        <v>0</v>
      </c>
      <c r="W107" s="14" cm="1">
        <f t="array" ref="W107">INT(SUMPRODUCT(--ISNUMBER(SEARCH(trump,C107)))&gt;0)</f>
        <v>0</v>
      </c>
      <c r="X107" s="14" cm="1">
        <f t="array" ref="X107">INT(SUMPRODUCT(--ISNUMBER(SEARCH(voting,C107)))&gt;0)</f>
        <v>0</v>
      </c>
      <c r="Y107" s="14" cm="1">
        <f t="array" ref="Y107">INT(SUMPRODUCT(--ISNUMBER(SEARCH(democrattrigger,C107)))&gt;0)</f>
        <v>0</v>
      </c>
      <c r="Z107" s="14" cm="1">
        <f t="array" ref="Z107">INT(SUMPRODUCT(--ISNUMBER(SEARCH(bipartisan,C107)))&gt;0)</f>
        <v>0</v>
      </c>
      <c r="AA107" s="14">
        <f t="shared" si="1"/>
        <v>0</v>
      </c>
      <c r="AB107" s="14"/>
      <c r="AC107" s="30" t="s">
        <v>223</v>
      </c>
      <c r="AD107" s="37" t="s">
        <v>223</v>
      </c>
    </row>
    <row r="108" spans="1:30" x14ac:dyDescent="0.25">
      <c r="A108" s="36">
        <v>2261</v>
      </c>
      <c r="B108" s="14" t="s">
        <v>4547</v>
      </c>
      <c r="C108" s="14" t="s">
        <v>4548</v>
      </c>
      <c r="D108" s="17">
        <v>44131</v>
      </c>
      <c r="E108" s="14" t="s">
        <v>30</v>
      </c>
      <c r="F108" s="14">
        <v>170</v>
      </c>
      <c r="G108" s="14">
        <v>42</v>
      </c>
      <c r="H108" s="14">
        <v>11</v>
      </c>
      <c r="I108" s="14">
        <v>6</v>
      </c>
      <c r="J108" s="14" t="s">
        <v>204</v>
      </c>
      <c r="K108" s="14" cm="1">
        <f t="array" ref="K108">INT(SUMPRODUCT(--ISNUMBER(SEARCH(economy,C108)))&gt;0)</f>
        <v>0</v>
      </c>
      <c r="L108" s="14" cm="1">
        <f t="array" ref="L108">INT(SUMPRODUCT(--ISNUMBER(SEARCH(healthcare,C108)))&gt;0)</f>
        <v>0</v>
      </c>
      <c r="M108" s="14" cm="1">
        <f t="array" ref="M108">INT(SUMPRODUCT(--ISNUMBER(SEARCH(supreme,C108)))&gt;0)</f>
        <v>0</v>
      </c>
      <c r="N108" s="14" cm="1">
        <f t="array" ref="N108">INT(SUMPRODUCT(--ISNUMBER(SEARCH(covid,C108)))&gt;0)</f>
        <v>0</v>
      </c>
      <c r="O108" s="14" cm="1">
        <f t="array" ref="O108">INT(SUMPRODUCT(--ISNUMBER(SEARCH(violent,C108)))&gt;0)</f>
        <v>0</v>
      </c>
      <c r="P108" s="14" cm="1">
        <f t="array" ref="P108">INT(SUMPRODUCT(--ISNUMBER(SEARCH(foreign,C108)))&gt;0)</f>
        <v>0</v>
      </c>
      <c r="Q108" s="14" cm="1">
        <f t="array" ref="Q108">INT(SUMPRODUCT(--ISNUMBER(SEARCH(gun,C108)))&gt;0)</f>
        <v>0</v>
      </c>
      <c r="R108" s="14" cm="1">
        <f t="array" ref="R108">INT(SUMPRODUCT(--ISNUMBER(SEARCH(race,C108)))&gt;0)</f>
        <v>0</v>
      </c>
      <c r="S108" s="14" cm="1">
        <f t="array" ref="S108">INT(SUMPRODUCT(--ISNUMBER(SEARCH(immigration,C108)))&gt;0)</f>
        <v>0</v>
      </c>
      <c r="T108" s="14" cm="1">
        <f t="array" ref="T108">INT(SUMPRODUCT(--ISNUMBER(SEARCH(econineq,C109)))&gt;0)</f>
        <v>0</v>
      </c>
      <c r="U108" s="14" cm="1">
        <f t="array" ref="U108">INT(SUMPRODUCT(--ISNUMBER(SEARCH(climate,C108)))&gt;0)</f>
        <v>0</v>
      </c>
      <c r="V108" s="14" cm="1">
        <f t="array" ref="V108">INT(SUMPRODUCT(--ISNUMBER(SEARCH(abortion,C108)))&gt;0)</f>
        <v>0</v>
      </c>
      <c r="W108" s="14" cm="1">
        <f t="array" ref="W108">INT(SUMPRODUCT(--ISNUMBER(SEARCH(trump,C108)))&gt;0)</f>
        <v>0</v>
      </c>
      <c r="X108" s="14" cm="1">
        <f t="array" ref="X108">INT(SUMPRODUCT(--ISNUMBER(SEARCH(voting,C108)))&gt;0)</f>
        <v>0</v>
      </c>
      <c r="Y108" s="14" cm="1">
        <f t="array" ref="Y108">INT(SUMPRODUCT(--ISNUMBER(SEARCH(democrattrigger,C108)))&gt;0)</f>
        <v>0</v>
      </c>
      <c r="Z108" s="14" cm="1">
        <f t="array" ref="Z108">INT(SUMPRODUCT(--ISNUMBER(SEARCH(bipartisan,C108)))&gt;0)</f>
        <v>0</v>
      </c>
      <c r="AA108" s="14">
        <f t="shared" si="1"/>
        <v>1</v>
      </c>
      <c r="AB108" s="14"/>
      <c r="AC108" s="30" t="s">
        <v>223</v>
      </c>
      <c r="AD108" s="37" t="s">
        <v>223</v>
      </c>
    </row>
    <row r="109" spans="1:30" x14ac:dyDescent="0.25">
      <c r="A109" s="36">
        <v>2262</v>
      </c>
      <c r="B109" s="14" t="s">
        <v>4549</v>
      </c>
      <c r="C109" s="14" t="s">
        <v>4550</v>
      </c>
      <c r="D109" s="17">
        <v>44131</v>
      </c>
      <c r="E109" s="14" t="s">
        <v>30</v>
      </c>
      <c r="F109" s="14">
        <v>200</v>
      </c>
      <c r="G109" s="14">
        <v>19</v>
      </c>
      <c r="H109" s="14">
        <v>11</v>
      </c>
      <c r="I109" s="14">
        <v>6</v>
      </c>
      <c r="J109" s="14" t="s">
        <v>204</v>
      </c>
      <c r="K109" s="14" cm="1">
        <f t="array" ref="K109">INT(SUMPRODUCT(--ISNUMBER(SEARCH(economy,C109)))&gt;0)</f>
        <v>0</v>
      </c>
      <c r="L109" s="14" cm="1">
        <f t="array" ref="L109">INT(SUMPRODUCT(--ISNUMBER(SEARCH(healthcare,C109)))&gt;0)</f>
        <v>0</v>
      </c>
      <c r="M109" s="14" cm="1">
        <f t="array" ref="M109">INT(SUMPRODUCT(--ISNUMBER(SEARCH(supreme,C109)))&gt;0)</f>
        <v>0</v>
      </c>
      <c r="N109" s="14" cm="1">
        <f t="array" ref="N109">INT(SUMPRODUCT(--ISNUMBER(SEARCH(covid,C109)))&gt;0)</f>
        <v>0</v>
      </c>
      <c r="O109" s="14" cm="1">
        <f t="array" ref="O109">INT(SUMPRODUCT(--ISNUMBER(SEARCH(violent,C109)))&gt;0)</f>
        <v>0</v>
      </c>
      <c r="P109" s="14" cm="1">
        <f t="array" ref="P109">INT(SUMPRODUCT(--ISNUMBER(SEARCH(foreign,C109)))&gt;0)</f>
        <v>0</v>
      </c>
      <c r="Q109" s="14" cm="1">
        <f t="array" ref="Q109">INT(SUMPRODUCT(--ISNUMBER(SEARCH(gun,C109)))&gt;0)</f>
        <v>0</v>
      </c>
      <c r="R109" s="14" cm="1">
        <f t="array" ref="R109">INT(SUMPRODUCT(--ISNUMBER(SEARCH(race,C109)))&gt;0)</f>
        <v>0</v>
      </c>
      <c r="S109" s="14" cm="1">
        <f t="array" ref="S109">INT(SUMPRODUCT(--ISNUMBER(SEARCH(immigration,C109)))&gt;0)</f>
        <v>0</v>
      </c>
      <c r="T109" s="14" cm="1">
        <f t="array" ref="T109">INT(SUMPRODUCT(--ISNUMBER(SEARCH(econineq,C110)))&gt;0)</f>
        <v>0</v>
      </c>
      <c r="U109" s="14" cm="1">
        <f t="array" ref="U109">INT(SUMPRODUCT(--ISNUMBER(SEARCH(climate,C109)))&gt;0)</f>
        <v>1</v>
      </c>
      <c r="V109" s="14" cm="1">
        <f t="array" ref="V109">INT(SUMPRODUCT(--ISNUMBER(SEARCH(abortion,C109)))&gt;0)</f>
        <v>0</v>
      </c>
      <c r="W109" s="14" cm="1">
        <f t="array" ref="W109">INT(SUMPRODUCT(--ISNUMBER(SEARCH(trump,C109)))&gt;0)</f>
        <v>0</v>
      </c>
      <c r="X109" s="14" cm="1">
        <f t="array" ref="X109">INT(SUMPRODUCT(--ISNUMBER(SEARCH(voting,C109)))&gt;0)</f>
        <v>0</v>
      </c>
      <c r="Y109" s="14" cm="1">
        <f t="array" ref="Y109">INT(SUMPRODUCT(--ISNUMBER(SEARCH(democrattrigger,C109)))&gt;0)</f>
        <v>0</v>
      </c>
      <c r="Z109" s="14" cm="1">
        <f t="array" ref="Z109">INT(SUMPRODUCT(--ISNUMBER(SEARCH(bipartisan,C109)))&gt;0)</f>
        <v>0</v>
      </c>
      <c r="AA109" s="14">
        <f t="shared" si="1"/>
        <v>0</v>
      </c>
      <c r="AB109" s="14"/>
      <c r="AC109" s="30" t="s">
        <v>223</v>
      </c>
      <c r="AD109" s="37" t="s">
        <v>223</v>
      </c>
    </row>
    <row r="110" spans="1:30" x14ac:dyDescent="0.25">
      <c r="A110" s="36">
        <v>2263</v>
      </c>
      <c r="B110" s="14" t="s">
        <v>4551</v>
      </c>
      <c r="C110" s="14" t="s">
        <v>4552</v>
      </c>
      <c r="D110" s="17">
        <v>44131</v>
      </c>
      <c r="E110" s="14" t="s">
        <v>30</v>
      </c>
      <c r="F110" s="14">
        <v>178</v>
      </c>
      <c r="G110" s="14">
        <v>38</v>
      </c>
      <c r="H110" s="14">
        <v>11</v>
      </c>
      <c r="I110" s="14">
        <v>6</v>
      </c>
      <c r="J110" s="14" t="s">
        <v>204</v>
      </c>
      <c r="K110" s="14" cm="1">
        <f t="array" ref="K110">INT(SUMPRODUCT(--ISNUMBER(SEARCH(economy,C110)))&gt;0)</f>
        <v>0</v>
      </c>
      <c r="L110" s="14" cm="1">
        <f t="array" ref="L110">INT(SUMPRODUCT(--ISNUMBER(SEARCH(healthcare,C110)))&gt;0)</f>
        <v>0</v>
      </c>
      <c r="M110" s="14" cm="1">
        <f t="array" ref="M110">INT(SUMPRODUCT(--ISNUMBER(SEARCH(supreme,C110)))&gt;0)</f>
        <v>0</v>
      </c>
      <c r="N110" s="14" cm="1">
        <f t="array" ref="N110">INT(SUMPRODUCT(--ISNUMBER(SEARCH(covid,C110)))&gt;0)</f>
        <v>0</v>
      </c>
      <c r="O110" s="14" cm="1">
        <f t="array" ref="O110">INT(SUMPRODUCT(--ISNUMBER(SEARCH(violent,C110)))&gt;0)</f>
        <v>0</v>
      </c>
      <c r="P110" s="14" cm="1">
        <f t="array" ref="P110">INT(SUMPRODUCT(--ISNUMBER(SEARCH(foreign,C110)))&gt;0)</f>
        <v>0</v>
      </c>
      <c r="Q110" s="14" cm="1">
        <f t="array" ref="Q110">INT(SUMPRODUCT(--ISNUMBER(SEARCH(gun,C110)))&gt;0)</f>
        <v>0</v>
      </c>
      <c r="R110" s="14" cm="1">
        <f t="array" ref="R110">INT(SUMPRODUCT(--ISNUMBER(SEARCH(race,C110)))&gt;0)</f>
        <v>0</v>
      </c>
      <c r="S110" s="14" cm="1">
        <f t="array" ref="S110">INT(SUMPRODUCT(--ISNUMBER(SEARCH(immigration,C110)))&gt;0)</f>
        <v>0</v>
      </c>
      <c r="T110" s="14" cm="1">
        <f t="array" ref="T110">INT(SUMPRODUCT(--ISNUMBER(SEARCH(econineq,C111)))&gt;0)</f>
        <v>0</v>
      </c>
      <c r="U110" s="14" cm="1">
        <f t="array" ref="U110">INT(SUMPRODUCT(--ISNUMBER(SEARCH(climate,C110)))&gt;0)</f>
        <v>0</v>
      </c>
      <c r="V110" s="14" cm="1">
        <f t="array" ref="V110">INT(SUMPRODUCT(--ISNUMBER(SEARCH(abortion,C110)))&gt;0)</f>
        <v>0</v>
      </c>
      <c r="W110" s="14" cm="1">
        <f t="array" ref="W110">INT(SUMPRODUCT(--ISNUMBER(SEARCH(trump,C110)))&gt;0)</f>
        <v>0</v>
      </c>
      <c r="X110" s="14" cm="1">
        <f t="array" ref="X110">INT(SUMPRODUCT(--ISNUMBER(SEARCH(voting,C110)))&gt;0)</f>
        <v>1</v>
      </c>
      <c r="Y110" s="14" cm="1">
        <f t="array" ref="Y110">INT(SUMPRODUCT(--ISNUMBER(SEARCH(democrattrigger,C110)))&gt;0)</f>
        <v>0</v>
      </c>
      <c r="Z110" s="14" cm="1">
        <f t="array" ref="Z110">INT(SUMPRODUCT(--ISNUMBER(SEARCH(bipartisan,C110)))&gt;0)</f>
        <v>0</v>
      </c>
      <c r="AA110" s="14">
        <f t="shared" si="1"/>
        <v>0</v>
      </c>
      <c r="AB110" s="14"/>
      <c r="AC110" s="30" t="s">
        <v>223</v>
      </c>
      <c r="AD110" s="37" t="s">
        <v>223</v>
      </c>
    </row>
    <row r="111" spans="1:30" x14ac:dyDescent="0.25">
      <c r="A111" s="36">
        <v>2264</v>
      </c>
      <c r="B111" s="14" t="s">
        <v>4553</v>
      </c>
      <c r="C111" s="14" t="s">
        <v>4554</v>
      </c>
      <c r="D111" s="17">
        <v>44131</v>
      </c>
      <c r="E111" s="14" t="s">
        <v>30</v>
      </c>
      <c r="F111" s="14">
        <v>237</v>
      </c>
      <c r="G111" s="14">
        <v>31</v>
      </c>
      <c r="H111" s="14">
        <v>11</v>
      </c>
      <c r="I111" s="14">
        <v>6</v>
      </c>
      <c r="J111" s="14" t="s">
        <v>204</v>
      </c>
      <c r="K111" s="14" cm="1">
        <f t="array" ref="K111">INT(SUMPRODUCT(--ISNUMBER(SEARCH(economy,C111)))&gt;0)</f>
        <v>0</v>
      </c>
      <c r="L111" s="14" cm="1">
        <f t="array" ref="L111">INT(SUMPRODUCT(--ISNUMBER(SEARCH(healthcare,C111)))&gt;0)</f>
        <v>0</v>
      </c>
      <c r="M111" s="14" cm="1">
        <f t="array" ref="M111">INT(SUMPRODUCT(--ISNUMBER(SEARCH(supreme,C111)))&gt;0)</f>
        <v>0</v>
      </c>
      <c r="N111" s="14" cm="1">
        <f t="array" ref="N111">INT(SUMPRODUCT(--ISNUMBER(SEARCH(covid,C111)))&gt;0)</f>
        <v>0</v>
      </c>
      <c r="O111" s="14" cm="1">
        <f t="array" ref="O111">INT(SUMPRODUCT(--ISNUMBER(SEARCH(violent,C111)))&gt;0)</f>
        <v>1</v>
      </c>
      <c r="P111" s="14" cm="1">
        <f t="array" ref="P111">INT(SUMPRODUCT(--ISNUMBER(SEARCH(foreign,C111)))&gt;0)</f>
        <v>0</v>
      </c>
      <c r="Q111" s="14" cm="1">
        <f t="array" ref="Q111">INT(SUMPRODUCT(--ISNUMBER(SEARCH(gun,C111)))&gt;0)</f>
        <v>0</v>
      </c>
      <c r="R111" s="14" cm="1">
        <f t="array" ref="R111">INT(SUMPRODUCT(--ISNUMBER(SEARCH(race,C111)))&gt;0)</f>
        <v>0</v>
      </c>
      <c r="S111" s="14" cm="1">
        <f t="array" ref="S111">INT(SUMPRODUCT(--ISNUMBER(SEARCH(immigration,C111)))&gt;0)</f>
        <v>0</v>
      </c>
      <c r="T111" s="14" cm="1">
        <f t="array" ref="T111">INT(SUMPRODUCT(--ISNUMBER(SEARCH(econineq,C112)))&gt;0)</f>
        <v>0</v>
      </c>
      <c r="U111" s="14" cm="1">
        <f t="array" ref="U111">INT(SUMPRODUCT(--ISNUMBER(SEARCH(climate,C111)))&gt;0)</f>
        <v>0</v>
      </c>
      <c r="V111" s="14" cm="1">
        <f t="array" ref="V111">INT(SUMPRODUCT(--ISNUMBER(SEARCH(abortion,C111)))&gt;0)</f>
        <v>0</v>
      </c>
      <c r="W111" s="14" cm="1">
        <f t="array" ref="W111">INT(SUMPRODUCT(--ISNUMBER(SEARCH(trump,C111)))&gt;0)</f>
        <v>0</v>
      </c>
      <c r="X111" s="14" cm="1">
        <f t="array" ref="X111">INT(SUMPRODUCT(--ISNUMBER(SEARCH(voting,C111)))&gt;0)</f>
        <v>0</v>
      </c>
      <c r="Y111" s="14" cm="1">
        <f t="array" ref="Y111">INT(SUMPRODUCT(--ISNUMBER(SEARCH(democrattrigger,C111)))&gt;0)</f>
        <v>0</v>
      </c>
      <c r="Z111" s="14" cm="1">
        <f t="array" ref="Z111">INT(SUMPRODUCT(--ISNUMBER(SEARCH(bipartisan,C111)))&gt;0)</f>
        <v>0</v>
      </c>
      <c r="AA111" s="14">
        <f t="shared" si="1"/>
        <v>0</v>
      </c>
      <c r="AB111" s="14"/>
      <c r="AC111" s="30" t="s">
        <v>223</v>
      </c>
      <c r="AD111" s="37" t="s">
        <v>223</v>
      </c>
    </row>
    <row r="112" spans="1:30" x14ac:dyDescent="0.25">
      <c r="A112" s="36">
        <v>2265</v>
      </c>
      <c r="B112" s="14" t="s">
        <v>4555</v>
      </c>
      <c r="C112" s="14" t="s">
        <v>4556</v>
      </c>
      <c r="D112" s="17">
        <v>44131</v>
      </c>
      <c r="E112" s="14" t="s">
        <v>30</v>
      </c>
      <c r="F112" s="14">
        <v>138</v>
      </c>
      <c r="G112" s="14">
        <v>25</v>
      </c>
      <c r="H112" s="14">
        <v>11</v>
      </c>
      <c r="I112" s="14">
        <v>6</v>
      </c>
      <c r="J112" s="14" t="s">
        <v>204</v>
      </c>
      <c r="K112" s="14" cm="1">
        <f t="array" ref="K112">INT(SUMPRODUCT(--ISNUMBER(SEARCH(economy,C112)))&gt;0)</f>
        <v>0</v>
      </c>
      <c r="L112" s="14" cm="1">
        <f t="array" ref="L112">INT(SUMPRODUCT(--ISNUMBER(SEARCH(healthcare,C112)))&gt;0)</f>
        <v>0</v>
      </c>
      <c r="M112" s="14" cm="1">
        <f t="array" ref="M112">INT(SUMPRODUCT(--ISNUMBER(SEARCH(supreme,C112)))&gt;0)</f>
        <v>0</v>
      </c>
      <c r="N112" s="14" cm="1">
        <f t="array" ref="N112">INT(SUMPRODUCT(--ISNUMBER(SEARCH(covid,C112)))&gt;0)</f>
        <v>0</v>
      </c>
      <c r="O112" s="14" cm="1">
        <f t="array" ref="O112">INT(SUMPRODUCT(--ISNUMBER(SEARCH(violent,C112)))&gt;0)</f>
        <v>0</v>
      </c>
      <c r="P112" s="14" cm="1">
        <f t="array" ref="P112">INT(SUMPRODUCT(--ISNUMBER(SEARCH(foreign,C112)))&gt;0)</f>
        <v>0</v>
      </c>
      <c r="Q112" s="14" cm="1">
        <f t="array" ref="Q112">INT(SUMPRODUCT(--ISNUMBER(SEARCH(gun,C112)))&gt;0)</f>
        <v>0</v>
      </c>
      <c r="R112" s="14" cm="1">
        <f t="array" ref="R112">INT(SUMPRODUCT(--ISNUMBER(SEARCH(race,C112)))&gt;0)</f>
        <v>0</v>
      </c>
      <c r="S112" s="14" cm="1">
        <f t="array" ref="S112">INT(SUMPRODUCT(--ISNUMBER(SEARCH(immigration,C112)))&gt;0)</f>
        <v>0</v>
      </c>
      <c r="T112" s="14" cm="1">
        <f t="array" ref="T112">INT(SUMPRODUCT(--ISNUMBER(SEARCH(econineq,C113)))&gt;0)</f>
        <v>0</v>
      </c>
      <c r="U112" s="14" cm="1">
        <f t="array" ref="U112">INT(SUMPRODUCT(--ISNUMBER(SEARCH(climate,C112)))&gt;0)</f>
        <v>0</v>
      </c>
      <c r="V112" s="14" cm="1">
        <f t="array" ref="V112">INT(SUMPRODUCT(--ISNUMBER(SEARCH(abortion,C112)))&gt;0)</f>
        <v>0</v>
      </c>
      <c r="W112" s="14" cm="1">
        <f t="array" ref="W112">INT(SUMPRODUCT(--ISNUMBER(SEARCH(trump,C112)))&gt;0)</f>
        <v>0</v>
      </c>
      <c r="X112" s="14" cm="1">
        <f t="array" ref="X112">INT(SUMPRODUCT(--ISNUMBER(SEARCH(voting,C112)))&gt;0)</f>
        <v>1</v>
      </c>
      <c r="Y112" s="14" cm="1">
        <f t="array" ref="Y112">INT(SUMPRODUCT(--ISNUMBER(SEARCH(democrattrigger,C112)))&gt;0)</f>
        <v>0</v>
      </c>
      <c r="Z112" s="14" cm="1">
        <f t="array" ref="Z112">INT(SUMPRODUCT(--ISNUMBER(SEARCH(bipartisan,C112)))&gt;0)</f>
        <v>0</v>
      </c>
      <c r="AA112" s="14">
        <f t="shared" si="1"/>
        <v>0</v>
      </c>
      <c r="AB112" s="14"/>
      <c r="AC112" s="30">
        <v>0</v>
      </c>
      <c r="AD112" s="37">
        <v>1</v>
      </c>
    </row>
    <row r="113" spans="1:30" x14ac:dyDescent="0.25">
      <c r="A113" s="36">
        <v>2266</v>
      </c>
      <c r="B113" s="14" t="s">
        <v>4557</v>
      </c>
      <c r="C113" s="14" t="s">
        <v>4558</v>
      </c>
      <c r="D113" s="17">
        <v>44131</v>
      </c>
      <c r="E113" s="14" t="s">
        <v>30</v>
      </c>
      <c r="F113" s="14">
        <v>111</v>
      </c>
      <c r="G113" s="14">
        <v>27</v>
      </c>
      <c r="H113" s="14">
        <v>11</v>
      </c>
      <c r="I113" s="14">
        <v>6</v>
      </c>
      <c r="J113" s="14" t="s">
        <v>204</v>
      </c>
      <c r="K113" s="14" cm="1">
        <f t="array" ref="K113">INT(SUMPRODUCT(--ISNUMBER(SEARCH(economy,C113)))&gt;0)</f>
        <v>1</v>
      </c>
      <c r="L113" s="14" cm="1">
        <f t="array" ref="L113">INT(SUMPRODUCT(--ISNUMBER(SEARCH(healthcare,C113)))&gt;0)</f>
        <v>0</v>
      </c>
      <c r="M113" s="14" cm="1">
        <f t="array" ref="M113">INT(SUMPRODUCT(--ISNUMBER(SEARCH(supreme,C113)))&gt;0)</f>
        <v>0</v>
      </c>
      <c r="N113" s="14" cm="1">
        <f t="array" ref="N113">INT(SUMPRODUCT(--ISNUMBER(SEARCH(covid,C113)))&gt;0)</f>
        <v>0</v>
      </c>
      <c r="O113" s="14" cm="1">
        <f t="array" ref="O113">INT(SUMPRODUCT(--ISNUMBER(SEARCH(violent,C113)))&gt;0)</f>
        <v>1</v>
      </c>
      <c r="P113" s="14" cm="1">
        <f t="array" ref="P113">INT(SUMPRODUCT(--ISNUMBER(SEARCH(foreign,C113)))&gt;0)</f>
        <v>0</v>
      </c>
      <c r="Q113" s="14" cm="1">
        <f t="array" ref="Q113">INT(SUMPRODUCT(--ISNUMBER(SEARCH(gun,C113)))&gt;0)</f>
        <v>1</v>
      </c>
      <c r="R113" s="14" cm="1">
        <f t="array" ref="R113">INT(SUMPRODUCT(--ISNUMBER(SEARCH(race,C113)))&gt;0)</f>
        <v>0</v>
      </c>
      <c r="S113" s="14" cm="1">
        <f t="array" ref="S113">INT(SUMPRODUCT(--ISNUMBER(SEARCH(immigration,C113)))&gt;0)</f>
        <v>0</v>
      </c>
      <c r="T113" s="14" cm="1">
        <f t="array" ref="T113">INT(SUMPRODUCT(--ISNUMBER(SEARCH(econineq,C114)))&gt;0)</f>
        <v>0</v>
      </c>
      <c r="U113" s="14" cm="1">
        <f t="array" ref="U113">INT(SUMPRODUCT(--ISNUMBER(SEARCH(climate,C113)))&gt;0)</f>
        <v>0</v>
      </c>
      <c r="V113" s="14" cm="1">
        <f t="array" ref="V113">INT(SUMPRODUCT(--ISNUMBER(SEARCH(abortion,C113)))&gt;0)</f>
        <v>0</v>
      </c>
      <c r="W113" s="14" cm="1">
        <f t="array" ref="W113">INT(SUMPRODUCT(--ISNUMBER(SEARCH(trump,C113)))&gt;0)</f>
        <v>0</v>
      </c>
      <c r="X113" s="14" cm="1">
        <f t="array" ref="X113">INT(SUMPRODUCT(--ISNUMBER(SEARCH(voting,C113)))&gt;0)</f>
        <v>0</v>
      </c>
      <c r="Y113" s="14" cm="1">
        <f t="array" ref="Y113">INT(SUMPRODUCT(--ISNUMBER(SEARCH(democrattrigger,C113)))&gt;0)</f>
        <v>0</v>
      </c>
      <c r="Z113" s="14" cm="1">
        <f t="array" ref="Z113">INT(SUMPRODUCT(--ISNUMBER(SEARCH(bipartisan,C113)))&gt;0)</f>
        <v>0</v>
      </c>
      <c r="AA113" s="14">
        <f t="shared" si="1"/>
        <v>0</v>
      </c>
      <c r="AB113" s="14"/>
      <c r="AC113" s="30">
        <v>1</v>
      </c>
      <c r="AD113" s="37">
        <v>0</v>
      </c>
    </row>
    <row r="114" spans="1:30" x14ac:dyDescent="0.25">
      <c r="A114" s="36">
        <v>2267</v>
      </c>
      <c r="B114" s="14" t="s">
        <v>4559</v>
      </c>
      <c r="C114" s="14" t="s">
        <v>4560</v>
      </c>
      <c r="D114" s="17">
        <v>44131</v>
      </c>
      <c r="E114" s="14" t="s">
        <v>30</v>
      </c>
      <c r="F114" s="14">
        <v>137</v>
      </c>
      <c r="G114" s="14">
        <v>23</v>
      </c>
      <c r="H114" s="14">
        <v>11</v>
      </c>
      <c r="I114" s="14">
        <v>6</v>
      </c>
      <c r="J114" s="14" t="s">
        <v>204</v>
      </c>
      <c r="K114" s="14" cm="1">
        <f t="array" ref="K114">INT(SUMPRODUCT(--ISNUMBER(SEARCH(economy,C114)))&gt;0)</f>
        <v>0</v>
      </c>
      <c r="L114" s="14" cm="1">
        <f t="array" ref="L114">INT(SUMPRODUCT(--ISNUMBER(SEARCH(healthcare,C114)))&gt;0)</f>
        <v>0</v>
      </c>
      <c r="M114" s="14" cm="1">
        <f t="array" ref="M114">INT(SUMPRODUCT(--ISNUMBER(SEARCH(supreme,C114)))&gt;0)</f>
        <v>0</v>
      </c>
      <c r="N114" s="14" cm="1">
        <f t="array" ref="N114">INT(SUMPRODUCT(--ISNUMBER(SEARCH(covid,C114)))&gt;0)</f>
        <v>0</v>
      </c>
      <c r="O114" s="14" cm="1">
        <f t="array" ref="O114">INT(SUMPRODUCT(--ISNUMBER(SEARCH(violent,C114)))&gt;0)</f>
        <v>0</v>
      </c>
      <c r="P114" s="14" cm="1">
        <f t="array" ref="P114">INT(SUMPRODUCT(--ISNUMBER(SEARCH(foreign,C114)))&gt;0)</f>
        <v>0</v>
      </c>
      <c r="Q114" s="14" cm="1">
        <f t="array" ref="Q114">INT(SUMPRODUCT(--ISNUMBER(SEARCH(gun,C114)))&gt;0)</f>
        <v>0</v>
      </c>
      <c r="R114" s="14" cm="1">
        <f t="array" ref="R114">INT(SUMPRODUCT(--ISNUMBER(SEARCH(race,C114)))&gt;0)</f>
        <v>0</v>
      </c>
      <c r="S114" s="14" cm="1">
        <f t="array" ref="S114">INT(SUMPRODUCT(--ISNUMBER(SEARCH(immigration,C114)))&gt;0)</f>
        <v>0</v>
      </c>
      <c r="T114" s="14" cm="1">
        <f t="array" ref="T114">INT(SUMPRODUCT(--ISNUMBER(SEARCH(econineq,C115)))&gt;0)</f>
        <v>0</v>
      </c>
      <c r="U114" s="14" cm="1">
        <f t="array" ref="U114">INT(SUMPRODUCT(--ISNUMBER(SEARCH(climate,C114)))&gt;0)</f>
        <v>0</v>
      </c>
      <c r="V114" s="14" cm="1">
        <f t="array" ref="V114">INT(SUMPRODUCT(--ISNUMBER(SEARCH(abortion,C114)))&gt;0)</f>
        <v>0</v>
      </c>
      <c r="W114" s="14" cm="1">
        <f t="array" ref="W114">INT(SUMPRODUCT(--ISNUMBER(SEARCH(trump,C114)))&gt;0)</f>
        <v>0</v>
      </c>
      <c r="X114" s="14" cm="1">
        <f t="array" ref="X114">INT(SUMPRODUCT(--ISNUMBER(SEARCH(voting,C114)))&gt;0)</f>
        <v>1</v>
      </c>
      <c r="Y114" s="14" cm="1">
        <f t="array" ref="Y114">INT(SUMPRODUCT(--ISNUMBER(SEARCH(democrattrigger,C114)))&gt;0)</f>
        <v>0</v>
      </c>
      <c r="Z114" s="14" cm="1">
        <f t="array" ref="Z114">INT(SUMPRODUCT(--ISNUMBER(SEARCH(bipartisan,C114)))&gt;0)</f>
        <v>0</v>
      </c>
      <c r="AA114" s="14">
        <f t="shared" si="1"/>
        <v>0</v>
      </c>
      <c r="AB114" s="14"/>
      <c r="AC114" s="30">
        <v>1</v>
      </c>
      <c r="AD114" s="37">
        <v>0</v>
      </c>
    </row>
    <row r="115" spans="1:30" x14ac:dyDescent="0.25">
      <c r="A115" s="36">
        <v>2268</v>
      </c>
      <c r="B115" s="14" t="s">
        <v>4561</v>
      </c>
      <c r="C115" s="14" t="s">
        <v>4562</v>
      </c>
      <c r="D115" s="17">
        <v>44131</v>
      </c>
      <c r="E115" s="14" t="s">
        <v>30</v>
      </c>
      <c r="F115" s="14">
        <v>87</v>
      </c>
      <c r="G115" s="14">
        <v>13</v>
      </c>
      <c r="H115" s="14">
        <v>11</v>
      </c>
      <c r="I115" s="14">
        <v>6</v>
      </c>
      <c r="J115" s="14" t="s">
        <v>204</v>
      </c>
      <c r="K115" s="14" cm="1">
        <f t="array" ref="K115">INT(SUMPRODUCT(--ISNUMBER(SEARCH(economy,C115)))&gt;0)</f>
        <v>0</v>
      </c>
      <c r="L115" s="14" cm="1">
        <f t="array" ref="L115">INT(SUMPRODUCT(--ISNUMBER(SEARCH(healthcare,C115)))&gt;0)</f>
        <v>1</v>
      </c>
      <c r="M115" s="14" cm="1">
        <f t="array" ref="M115">INT(SUMPRODUCT(--ISNUMBER(SEARCH(supreme,C115)))&gt;0)</f>
        <v>0</v>
      </c>
      <c r="N115" s="14" cm="1">
        <f t="array" ref="N115">INT(SUMPRODUCT(--ISNUMBER(SEARCH(covid,C115)))&gt;0)</f>
        <v>0</v>
      </c>
      <c r="O115" s="14" cm="1">
        <f t="array" ref="O115">INT(SUMPRODUCT(--ISNUMBER(SEARCH(violent,C115)))&gt;0)</f>
        <v>0</v>
      </c>
      <c r="P115" s="14" cm="1">
        <f t="array" ref="P115">INT(SUMPRODUCT(--ISNUMBER(SEARCH(foreign,C115)))&gt;0)</f>
        <v>0</v>
      </c>
      <c r="Q115" s="14" cm="1">
        <f t="array" ref="Q115">INT(SUMPRODUCT(--ISNUMBER(SEARCH(gun,C115)))&gt;0)</f>
        <v>0</v>
      </c>
      <c r="R115" s="14" cm="1">
        <f t="array" ref="R115">INT(SUMPRODUCT(--ISNUMBER(SEARCH(race,C115)))&gt;0)</f>
        <v>0</v>
      </c>
      <c r="S115" s="14" cm="1">
        <f t="array" ref="S115">INT(SUMPRODUCT(--ISNUMBER(SEARCH(immigration,C115)))&gt;0)</f>
        <v>0</v>
      </c>
      <c r="T115" s="14" cm="1">
        <f t="array" ref="T115">INT(SUMPRODUCT(--ISNUMBER(SEARCH(econineq,C116)))&gt;0)</f>
        <v>0</v>
      </c>
      <c r="U115" s="14" cm="1">
        <f t="array" ref="U115">INT(SUMPRODUCT(--ISNUMBER(SEARCH(climate,C115)))&gt;0)</f>
        <v>0</v>
      </c>
      <c r="V115" s="14" cm="1">
        <f t="array" ref="V115">INT(SUMPRODUCT(--ISNUMBER(SEARCH(abortion,C115)))&gt;0)</f>
        <v>0</v>
      </c>
      <c r="W115" s="14" cm="1">
        <f t="array" ref="W115">INT(SUMPRODUCT(--ISNUMBER(SEARCH(trump,C115)))&gt;0)</f>
        <v>0</v>
      </c>
      <c r="X115" s="14" cm="1">
        <f t="array" ref="X115">INT(SUMPRODUCT(--ISNUMBER(SEARCH(voting,C115)))&gt;0)</f>
        <v>0</v>
      </c>
      <c r="Y115" s="14" cm="1">
        <f t="array" ref="Y115">INT(SUMPRODUCT(--ISNUMBER(SEARCH(democrattrigger,C115)))&gt;0)</f>
        <v>0</v>
      </c>
      <c r="Z115" s="14" cm="1">
        <f t="array" ref="Z115">INT(SUMPRODUCT(--ISNUMBER(SEARCH(bipartisan,C115)))&gt;0)</f>
        <v>0</v>
      </c>
      <c r="AA115" s="14">
        <f t="shared" si="1"/>
        <v>0</v>
      </c>
      <c r="AB115" s="14"/>
      <c r="AC115" s="30" t="s">
        <v>223</v>
      </c>
      <c r="AD115" s="37" t="s">
        <v>223</v>
      </c>
    </row>
    <row r="116" spans="1:30" x14ac:dyDescent="0.25">
      <c r="A116" s="36">
        <v>2269</v>
      </c>
      <c r="B116" s="14" t="s">
        <v>4563</v>
      </c>
      <c r="C116" s="14" t="s">
        <v>4564</v>
      </c>
      <c r="D116" s="17">
        <v>44131</v>
      </c>
      <c r="E116" s="14" t="s">
        <v>30</v>
      </c>
      <c r="F116" s="14">
        <v>224</v>
      </c>
      <c r="G116" s="14">
        <v>52</v>
      </c>
      <c r="H116" s="14">
        <v>11</v>
      </c>
      <c r="I116" s="14">
        <v>6</v>
      </c>
      <c r="J116" s="14" t="s">
        <v>204</v>
      </c>
      <c r="K116" s="14" cm="1">
        <f t="array" ref="K116">INT(SUMPRODUCT(--ISNUMBER(SEARCH(economy,C116)))&gt;0)</f>
        <v>0</v>
      </c>
      <c r="L116" s="14" cm="1">
        <f t="array" ref="L116">INT(SUMPRODUCT(--ISNUMBER(SEARCH(healthcare,C116)))&gt;0)</f>
        <v>0</v>
      </c>
      <c r="M116" s="14" cm="1">
        <f t="array" ref="M116">INT(SUMPRODUCT(--ISNUMBER(SEARCH(supreme,C116)))&gt;0)</f>
        <v>1</v>
      </c>
      <c r="N116" s="14" cm="1">
        <f t="array" ref="N116">INT(SUMPRODUCT(--ISNUMBER(SEARCH(covid,C116)))&gt;0)</f>
        <v>0</v>
      </c>
      <c r="O116" s="14" cm="1">
        <f t="array" ref="O116">INT(SUMPRODUCT(--ISNUMBER(SEARCH(violent,C116)))&gt;0)</f>
        <v>0</v>
      </c>
      <c r="P116" s="14" cm="1">
        <f t="array" ref="P116">INT(SUMPRODUCT(--ISNUMBER(SEARCH(foreign,C116)))&gt;0)</f>
        <v>1</v>
      </c>
      <c r="Q116" s="14" cm="1">
        <f t="array" ref="Q116">INT(SUMPRODUCT(--ISNUMBER(SEARCH(gun,C116)))&gt;0)</f>
        <v>0</v>
      </c>
      <c r="R116" s="14" cm="1">
        <f t="array" ref="R116">INT(SUMPRODUCT(--ISNUMBER(SEARCH(race,C116)))&gt;0)</f>
        <v>0</v>
      </c>
      <c r="S116" s="14" cm="1">
        <f t="array" ref="S116">INT(SUMPRODUCT(--ISNUMBER(SEARCH(immigration,C116)))&gt;0)</f>
        <v>0</v>
      </c>
      <c r="T116" s="14" cm="1">
        <f t="array" ref="T116">INT(SUMPRODUCT(--ISNUMBER(SEARCH(econineq,C117)))&gt;0)</f>
        <v>0</v>
      </c>
      <c r="U116" s="14" cm="1">
        <f t="array" ref="U116">INT(SUMPRODUCT(--ISNUMBER(SEARCH(climate,C116)))&gt;0)</f>
        <v>0</v>
      </c>
      <c r="V116" s="14" cm="1">
        <f t="array" ref="V116">INT(SUMPRODUCT(--ISNUMBER(SEARCH(abortion,C116)))&gt;0)</f>
        <v>0</v>
      </c>
      <c r="W116" s="14" cm="1">
        <f t="array" ref="W116">INT(SUMPRODUCT(--ISNUMBER(SEARCH(trump,C116)))&gt;0)</f>
        <v>0</v>
      </c>
      <c r="X116" s="14" cm="1">
        <f t="array" ref="X116">INT(SUMPRODUCT(--ISNUMBER(SEARCH(voting,C116)))&gt;0)</f>
        <v>1</v>
      </c>
      <c r="Y116" s="14" cm="1">
        <f t="array" ref="Y116">INT(SUMPRODUCT(--ISNUMBER(SEARCH(democrattrigger,C116)))&gt;0)</f>
        <v>1</v>
      </c>
      <c r="Z116" s="14" cm="1">
        <f t="array" ref="Z116">INT(SUMPRODUCT(--ISNUMBER(SEARCH(bipartisan,C116)))&gt;0)</f>
        <v>0</v>
      </c>
      <c r="AA116" s="14">
        <f t="shared" si="1"/>
        <v>0</v>
      </c>
      <c r="AB116" s="14"/>
      <c r="AC116" s="30" t="s">
        <v>223</v>
      </c>
      <c r="AD116" s="37" t="s">
        <v>223</v>
      </c>
    </row>
    <row r="117" spans="1:30" x14ac:dyDescent="0.25">
      <c r="A117" s="36">
        <v>2270</v>
      </c>
      <c r="B117" s="14" t="s">
        <v>4565</v>
      </c>
      <c r="C117" s="14" t="s">
        <v>4566</v>
      </c>
      <c r="D117" s="17">
        <v>44131</v>
      </c>
      <c r="E117" s="14" t="s">
        <v>30</v>
      </c>
      <c r="F117" s="14">
        <v>186</v>
      </c>
      <c r="G117" s="14">
        <v>31</v>
      </c>
      <c r="H117" s="14">
        <v>11</v>
      </c>
      <c r="I117" s="14">
        <v>6</v>
      </c>
      <c r="J117" s="14" t="s">
        <v>204</v>
      </c>
      <c r="K117" s="14" cm="1">
        <f t="array" ref="K117">INT(SUMPRODUCT(--ISNUMBER(SEARCH(economy,C117)))&gt;0)</f>
        <v>0</v>
      </c>
      <c r="L117" s="14" cm="1">
        <f t="array" ref="L117">INT(SUMPRODUCT(--ISNUMBER(SEARCH(healthcare,C117)))&gt;0)</f>
        <v>0</v>
      </c>
      <c r="M117" s="14" cm="1">
        <f t="array" ref="M117">INT(SUMPRODUCT(--ISNUMBER(SEARCH(supreme,C117)))&gt;0)</f>
        <v>0</v>
      </c>
      <c r="N117" s="14" cm="1">
        <f t="array" ref="N117">INT(SUMPRODUCT(--ISNUMBER(SEARCH(covid,C117)))&gt;0)</f>
        <v>0</v>
      </c>
      <c r="O117" s="14" cm="1">
        <f t="array" ref="O117">INT(SUMPRODUCT(--ISNUMBER(SEARCH(violent,C117)))&gt;0)</f>
        <v>0</v>
      </c>
      <c r="P117" s="14" cm="1">
        <f t="array" ref="P117">INT(SUMPRODUCT(--ISNUMBER(SEARCH(foreign,C117)))&gt;0)</f>
        <v>1</v>
      </c>
      <c r="Q117" s="14" cm="1">
        <f t="array" ref="Q117">INT(SUMPRODUCT(--ISNUMBER(SEARCH(gun,C117)))&gt;0)</f>
        <v>0</v>
      </c>
      <c r="R117" s="14" cm="1">
        <f t="array" ref="R117">INT(SUMPRODUCT(--ISNUMBER(SEARCH(race,C117)))&gt;0)</f>
        <v>0</v>
      </c>
      <c r="S117" s="14" cm="1">
        <f t="array" ref="S117">INT(SUMPRODUCT(--ISNUMBER(SEARCH(immigration,C117)))&gt;0)</f>
        <v>0</v>
      </c>
      <c r="T117" s="14" cm="1">
        <f t="array" ref="T117">INT(SUMPRODUCT(--ISNUMBER(SEARCH(econineq,C118)))&gt;0)</f>
        <v>0</v>
      </c>
      <c r="U117" s="14" cm="1">
        <f t="array" ref="U117">INT(SUMPRODUCT(--ISNUMBER(SEARCH(climate,C117)))&gt;0)</f>
        <v>0</v>
      </c>
      <c r="V117" s="14" cm="1">
        <f t="array" ref="V117">INT(SUMPRODUCT(--ISNUMBER(SEARCH(abortion,C117)))&gt;0)</f>
        <v>0</v>
      </c>
      <c r="W117" s="14" cm="1">
        <f t="array" ref="W117">INT(SUMPRODUCT(--ISNUMBER(SEARCH(trump,C117)))&gt;0)</f>
        <v>0</v>
      </c>
      <c r="X117" s="14" cm="1">
        <f t="array" ref="X117">INT(SUMPRODUCT(--ISNUMBER(SEARCH(voting,C117)))&gt;0)</f>
        <v>1</v>
      </c>
      <c r="Y117" s="14" cm="1">
        <f t="array" ref="Y117">INT(SUMPRODUCT(--ISNUMBER(SEARCH(democrattrigger,C117)))&gt;0)</f>
        <v>0</v>
      </c>
      <c r="Z117" s="14" cm="1">
        <f t="array" ref="Z117">INT(SUMPRODUCT(--ISNUMBER(SEARCH(bipartisan,C117)))&gt;0)</f>
        <v>0</v>
      </c>
      <c r="AA117" s="14">
        <f t="shared" si="1"/>
        <v>0</v>
      </c>
      <c r="AB117" s="14"/>
      <c r="AC117" s="30" t="s">
        <v>223</v>
      </c>
      <c r="AD117" s="37" t="s">
        <v>223</v>
      </c>
    </row>
    <row r="118" spans="1:30" x14ac:dyDescent="0.25">
      <c r="A118" s="36">
        <v>2271</v>
      </c>
      <c r="B118" s="14" t="s">
        <v>4567</v>
      </c>
      <c r="C118" s="14" t="s">
        <v>4568</v>
      </c>
      <c r="D118" s="17">
        <v>44131</v>
      </c>
      <c r="E118" s="14" t="s">
        <v>70</v>
      </c>
      <c r="F118" s="14">
        <v>233</v>
      </c>
      <c r="G118" s="14">
        <v>30</v>
      </c>
      <c r="H118" s="14">
        <v>11</v>
      </c>
      <c r="I118" s="14">
        <v>6</v>
      </c>
      <c r="J118" s="14" t="s">
        <v>204</v>
      </c>
      <c r="K118" s="14" cm="1">
        <f t="array" ref="K118">INT(SUMPRODUCT(--ISNUMBER(SEARCH(economy,C118)))&gt;0)</f>
        <v>0</v>
      </c>
      <c r="L118" s="14" cm="1">
        <f t="array" ref="L118">INT(SUMPRODUCT(--ISNUMBER(SEARCH(healthcare,C118)))&gt;0)</f>
        <v>0</v>
      </c>
      <c r="M118" s="14" cm="1">
        <f t="array" ref="M118">INT(SUMPRODUCT(--ISNUMBER(SEARCH(supreme,C118)))&gt;0)</f>
        <v>1</v>
      </c>
      <c r="N118" s="14" cm="1">
        <f t="array" ref="N118">INT(SUMPRODUCT(--ISNUMBER(SEARCH(covid,C118)))&gt;0)</f>
        <v>0</v>
      </c>
      <c r="O118" s="14" cm="1">
        <f t="array" ref="O118">INT(SUMPRODUCT(--ISNUMBER(SEARCH(violent,C118)))&gt;0)</f>
        <v>0</v>
      </c>
      <c r="P118" s="14" cm="1">
        <f t="array" ref="P118">INT(SUMPRODUCT(--ISNUMBER(SEARCH(foreign,C118)))&gt;0)</f>
        <v>0</v>
      </c>
      <c r="Q118" s="14" cm="1">
        <f t="array" ref="Q118">INT(SUMPRODUCT(--ISNUMBER(SEARCH(gun,C118)))&gt;0)</f>
        <v>0</v>
      </c>
      <c r="R118" s="14" cm="1">
        <f t="array" ref="R118">INT(SUMPRODUCT(--ISNUMBER(SEARCH(race,C118)))&gt;0)</f>
        <v>0</v>
      </c>
      <c r="S118" s="14" cm="1">
        <f t="array" ref="S118">INT(SUMPRODUCT(--ISNUMBER(SEARCH(immigration,C118)))&gt;0)</f>
        <v>0</v>
      </c>
      <c r="T118" s="14" cm="1">
        <f t="array" ref="T118">INT(SUMPRODUCT(--ISNUMBER(SEARCH(econineq,C119)))&gt;0)</f>
        <v>1</v>
      </c>
      <c r="U118" s="14" cm="1">
        <f t="array" ref="U118">INT(SUMPRODUCT(--ISNUMBER(SEARCH(climate,C118)))&gt;0)</f>
        <v>0</v>
      </c>
      <c r="V118" s="14" cm="1">
        <f t="array" ref="V118">INT(SUMPRODUCT(--ISNUMBER(SEARCH(abortion,C118)))&gt;0)</f>
        <v>0</v>
      </c>
      <c r="W118" s="14" cm="1">
        <f t="array" ref="W118">INT(SUMPRODUCT(--ISNUMBER(SEARCH(trump,C118)))&gt;0)</f>
        <v>0</v>
      </c>
      <c r="X118" s="14" cm="1">
        <f t="array" ref="X118">INT(SUMPRODUCT(--ISNUMBER(SEARCH(voting,C118)))&gt;0)</f>
        <v>1</v>
      </c>
      <c r="Y118" s="14" cm="1">
        <f t="array" ref="Y118">INT(SUMPRODUCT(--ISNUMBER(SEARCH(democrattrigger,C118)))&gt;0)</f>
        <v>0</v>
      </c>
      <c r="Z118" s="14" cm="1">
        <f t="array" ref="Z118">INT(SUMPRODUCT(--ISNUMBER(SEARCH(bipartisan,C118)))&gt;0)</f>
        <v>0</v>
      </c>
      <c r="AA118" s="14">
        <f t="shared" si="1"/>
        <v>0</v>
      </c>
      <c r="AB118" s="14"/>
      <c r="AC118" s="30" t="s">
        <v>223</v>
      </c>
      <c r="AD118" s="37" t="s">
        <v>223</v>
      </c>
    </row>
    <row r="119" spans="1:30" x14ac:dyDescent="0.25">
      <c r="A119" s="36">
        <v>2272</v>
      </c>
      <c r="B119" s="14" t="s">
        <v>4569</v>
      </c>
      <c r="C119" s="14" t="s">
        <v>4570</v>
      </c>
      <c r="D119" s="17">
        <v>44131</v>
      </c>
      <c r="E119" s="14" t="s">
        <v>70</v>
      </c>
      <c r="F119" s="14">
        <v>225</v>
      </c>
      <c r="G119" s="14">
        <v>26</v>
      </c>
      <c r="H119" s="14">
        <v>11</v>
      </c>
      <c r="I119" s="14">
        <v>6</v>
      </c>
      <c r="J119" s="14" t="s">
        <v>204</v>
      </c>
      <c r="K119" s="14" cm="1">
        <f t="array" ref="K119">INT(SUMPRODUCT(--ISNUMBER(SEARCH(economy,C119)))&gt;0)</f>
        <v>0</v>
      </c>
      <c r="L119" s="14" cm="1">
        <f t="array" ref="L119">INT(SUMPRODUCT(--ISNUMBER(SEARCH(healthcare,C119)))&gt;0)</f>
        <v>1</v>
      </c>
      <c r="M119" s="14" cm="1">
        <f t="array" ref="M119">INT(SUMPRODUCT(--ISNUMBER(SEARCH(supreme,C119)))&gt;0)</f>
        <v>1</v>
      </c>
      <c r="N119" s="14" cm="1">
        <f t="array" ref="N119">INT(SUMPRODUCT(--ISNUMBER(SEARCH(covid,C119)))&gt;0)</f>
        <v>0</v>
      </c>
      <c r="O119" s="14" cm="1">
        <f t="array" ref="O119">INT(SUMPRODUCT(--ISNUMBER(SEARCH(violent,C119)))&gt;0)</f>
        <v>0</v>
      </c>
      <c r="P119" s="14" cm="1">
        <f t="array" ref="P119">INT(SUMPRODUCT(--ISNUMBER(SEARCH(foreign,C119)))&gt;0)</f>
        <v>0</v>
      </c>
      <c r="Q119" s="14" cm="1">
        <f t="array" ref="Q119">INT(SUMPRODUCT(--ISNUMBER(SEARCH(gun,C119)))&gt;0)</f>
        <v>0</v>
      </c>
      <c r="R119" s="14" cm="1">
        <f t="array" ref="R119">INT(SUMPRODUCT(--ISNUMBER(SEARCH(race,C119)))&gt;0)</f>
        <v>1</v>
      </c>
      <c r="S119" s="14" cm="1">
        <f t="array" ref="S119">INT(SUMPRODUCT(--ISNUMBER(SEARCH(immigration,C119)))&gt;0)</f>
        <v>1</v>
      </c>
      <c r="T119" s="14" cm="1">
        <f t="array" ref="T119">INT(SUMPRODUCT(--ISNUMBER(SEARCH(econineq,C120)))&gt;0)</f>
        <v>0</v>
      </c>
      <c r="U119" s="14" cm="1">
        <f t="array" ref="U119">INT(SUMPRODUCT(--ISNUMBER(SEARCH(climate,C119)))&gt;0)</f>
        <v>0</v>
      </c>
      <c r="V119" s="14" cm="1">
        <f t="array" ref="V119">INT(SUMPRODUCT(--ISNUMBER(SEARCH(abortion,C119)))&gt;0)</f>
        <v>0</v>
      </c>
      <c r="W119" s="14" cm="1">
        <f t="array" ref="W119">INT(SUMPRODUCT(--ISNUMBER(SEARCH(trump,C119)))&gt;0)</f>
        <v>0</v>
      </c>
      <c r="X119" s="14" cm="1">
        <f t="array" ref="X119">INT(SUMPRODUCT(--ISNUMBER(SEARCH(voting,C119)))&gt;0)</f>
        <v>1</v>
      </c>
      <c r="Y119" s="14" cm="1">
        <f t="array" ref="Y119">INT(SUMPRODUCT(--ISNUMBER(SEARCH(democrattrigger,C119)))&gt;0)</f>
        <v>0</v>
      </c>
      <c r="Z119" s="14" cm="1">
        <f t="array" ref="Z119">INT(SUMPRODUCT(--ISNUMBER(SEARCH(bipartisan,C119)))&gt;0)</f>
        <v>0</v>
      </c>
      <c r="AA119" s="14">
        <f t="shared" si="1"/>
        <v>0</v>
      </c>
      <c r="AB119" s="14"/>
      <c r="AC119" s="30" t="s">
        <v>223</v>
      </c>
      <c r="AD119" s="37" t="s">
        <v>223</v>
      </c>
    </row>
    <row r="120" spans="1:30" x14ac:dyDescent="0.25">
      <c r="A120" s="36">
        <v>2273</v>
      </c>
      <c r="B120" s="14" t="s">
        <v>4571</v>
      </c>
      <c r="C120" s="14" t="s">
        <v>4572</v>
      </c>
      <c r="D120" s="17">
        <v>44131</v>
      </c>
      <c r="E120" s="14" t="s">
        <v>30</v>
      </c>
      <c r="F120" s="14">
        <v>1224</v>
      </c>
      <c r="G120" s="14">
        <v>115</v>
      </c>
      <c r="H120" s="14">
        <v>11</v>
      </c>
      <c r="I120" s="14">
        <v>6</v>
      </c>
      <c r="J120" s="14" t="s">
        <v>204</v>
      </c>
      <c r="K120" s="14" cm="1">
        <f t="array" ref="K120">INT(SUMPRODUCT(--ISNUMBER(SEARCH(economy,C120)))&gt;0)</f>
        <v>0</v>
      </c>
      <c r="L120" s="14" cm="1">
        <f t="array" ref="L120">INT(SUMPRODUCT(--ISNUMBER(SEARCH(healthcare,C120)))&gt;0)</f>
        <v>0</v>
      </c>
      <c r="M120" s="14" cm="1">
        <f t="array" ref="M120">INT(SUMPRODUCT(--ISNUMBER(SEARCH(supreme,C120)))&gt;0)</f>
        <v>1</v>
      </c>
      <c r="N120" s="14" cm="1">
        <f t="array" ref="N120">INT(SUMPRODUCT(--ISNUMBER(SEARCH(covid,C120)))&gt;0)</f>
        <v>0</v>
      </c>
      <c r="O120" s="14" cm="1">
        <f t="array" ref="O120">INT(SUMPRODUCT(--ISNUMBER(SEARCH(violent,C120)))&gt;0)</f>
        <v>0</v>
      </c>
      <c r="P120" s="14" cm="1">
        <f t="array" ref="P120">INT(SUMPRODUCT(--ISNUMBER(SEARCH(foreign,C120)))&gt;0)</f>
        <v>0</v>
      </c>
      <c r="Q120" s="14" cm="1">
        <f t="array" ref="Q120">INT(SUMPRODUCT(--ISNUMBER(SEARCH(gun,C120)))&gt;0)</f>
        <v>0</v>
      </c>
      <c r="R120" s="14" cm="1">
        <f t="array" ref="R120">INT(SUMPRODUCT(--ISNUMBER(SEARCH(race,C120)))&gt;0)</f>
        <v>0</v>
      </c>
      <c r="S120" s="14" cm="1">
        <f t="array" ref="S120">INT(SUMPRODUCT(--ISNUMBER(SEARCH(immigration,C120)))&gt;0)</f>
        <v>0</v>
      </c>
      <c r="T120" s="14" cm="1">
        <f t="array" ref="T120">INT(SUMPRODUCT(--ISNUMBER(SEARCH(econineq,C121)))&gt;0)</f>
        <v>0</v>
      </c>
      <c r="U120" s="14" cm="1">
        <f t="array" ref="U120">INT(SUMPRODUCT(--ISNUMBER(SEARCH(climate,C120)))&gt;0)</f>
        <v>0</v>
      </c>
      <c r="V120" s="14" cm="1">
        <f t="array" ref="V120">INT(SUMPRODUCT(--ISNUMBER(SEARCH(abortion,C120)))&gt;0)</f>
        <v>0</v>
      </c>
      <c r="W120" s="14" cm="1">
        <f t="array" ref="W120">INT(SUMPRODUCT(--ISNUMBER(SEARCH(trump,C120)))&gt;0)</f>
        <v>0</v>
      </c>
      <c r="X120" s="14" cm="1">
        <f t="array" ref="X120">INT(SUMPRODUCT(--ISNUMBER(SEARCH(voting,C120)))&gt;0)</f>
        <v>1</v>
      </c>
      <c r="Y120" s="14" cm="1">
        <f t="array" ref="Y120">INT(SUMPRODUCT(--ISNUMBER(SEARCH(democrattrigger,C120)))&gt;0)</f>
        <v>0</v>
      </c>
      <c r="Z120" s="14" cm="1">
        <f t="array" ref="Z120">INT(SUMPRODUCT(--ISNUMBER(SEARCH(bipartisan,C120)))&gt;0)</f>
        <v>0</v>
      </c>
      <c r="AA120" s="14">
        <f t="shared" si="1"/>
        <v>0</v>
      </c>
      <c r="AB120" s="14"/>
      <c r="AC120" s="30" t="s">
        <v>223</v>
      </c>
      <c r="AD120" s="37" t="s">
        <v>223</v>
      </c>
    </row>
    <row r="121" spans="1:30" x14ac:dyDescent="0.25">
      <c r="A121" s="36">
        <v>2274</v>
      </c>
      <c r="B121" s="14" t="s">
        <v>4573</v>
      </c>
      <c r="C121" s="14" t="s">
        <v>4574</v>
      </c>
      <c r="D121" s="17">
        <v>44130</v>
      </c>
      <c r="E121" s="14" t="s">
        <v>30</v>
      </c>
      <c r="F121" s="14">
        <v>185</v>
      </c>
      <c r="G121" s="14">
        <v>38</v>
      </c>
      <c r="H121" s="14">
        <v>11</v>
      </c>
      <c r="I121" s="14">
        <v>6</v>
      </c>
      <c r="J121" s="14" t="s">
        <v>204</v>
      </c>
      <c r="K121" s="14" cm="1">
        <f t="array" ref="K121">INT(SUMPRODUCT(--ISNUMBER(SEARCH(economy,C121)))&gt;0)</f>
        <v>0</v>
      </c>
      <c r="L121" s="14" cm="1">
        <f t="array" ref="L121">INT(SUMPRODUCT(--ISNUMBER(SEARCH(healthcare,C121)))&gt;0)</f>
        <v>1</v>
      </c>
      <c r="M121" s="14" cm="1">
        <f t="array" ref="M121">INT(SUMPRODUCT(--ISNUMBER(SEARCH(supreme,C121)))&gt;0)</f>
        <v>0</v>
      </c>
      <c r="N121" s="14" cm="1">
        <f t="array" ref="N121">INT(SUMPRODUCT(--ISNUMBER(SEARCH(covid,C121)))&gt;0)</f>
        <v>0</v>
      </c>
      <c r="O121" s="14" cm="1">
        <f t="array" ref="O121">INT(SUMPRODUCT(--ISNUMBER(SEARCH(violent,C121)))&gt;0)</f>
        <v>0</v>
      </c>
      <c r="P121" s="14" cm="1">
        <f t="array" ref="P121">INT(SUMPRODUCT(--ISNUMBER(SEARCH(foreign,C121)))&gt;0)</f>
        <v>0</v>
      </c>
      <c r="Q121" s="14" cm="1">
        <f t="array" ref="Q121">INT(SUMPRODUCT(--ISNUMBER(SEARCH(gun,C121)))&gt;0)</f>
        <v>0</v>
      </c>
      <c r="R121" s="14" cm="1">
        <f t="array" ref="R121">INT(SUMPRODUCT(--ISNUMBER(SEARCH(race,C121)))&gt;0)</f>
        <v>0</v>
      </c>
      <c r="S121" s="14" cm="1">
        <f t="array" ref="S121">INT(SUMPRODUCT(--ISNUMBER(SEARCH(immigration,C121)))&gt;0)</f>
        <v>0</v>
      </c>
      <c r="T121" s="14" cm="1">
        <f t="array" ref="T121">INT(SUMPRODUCT(--ISNUMBER(SEARCH(econineq,C122)))&gt;0)</f>
        <v>1</v>
      </c>
      <c r="U121" s="14" cm="1">
        <f t="array" ref="U121">INT(SUMPRODUCT(--ISNUMBER(SEARCH(climate,C121)))&gt;0)</f>
        <v>0</v>
      </c>
      <c r="V121" s="14" cm="1">
        <f t="array" ref="V121">INT(SUMPRODUCT(--ISNUMBER(SEARCH(abortion,C121)))&gt;0)</f>
        <v>0</v>
      </c>
      <c r="W121" s="14" cm="1">
        <f t="array" ref="W121">INT(SUMPRODUCT(--ISNUMBER(SEARCH(trump,C121)))&gt;0)</f>
        <v>0</v>
      </c>
      <c r="X121" s="14" cm="1">
        <f t="array" ref="X121">INT(SUMPRODUCT(--ISNUMBER(SEARCH(voting,C121)))&gt;0)</f>
        <v>0</v>
      </c>
      <c r="Y121" s="14" cm="1">
        <f t="array" ref="Y121">INT(SUMPRODUCT(--ISNUMBER(SEARCH(democrattrigger,C121)))&gt;0)</f>
        <v>0</v>
      </c>
      <c r="Z121" s="14" cm="1">
        <f t="array" ref="Z121">INT(SUMPRODUCT(--ISNUMBER(SEARCH(bipartisan,C121)))&gt;0)</f>
        <v>0</v>
      </c>
      <c r="AA121" s="14">
        <f t="shared" si="1"/>
        <v>0</v>
      </c>
      <c r="AB121" s="14"/>
      <c r="AC121" s="30" t="s">
        <v>223</v>
      </c>
      <c r="AD121" s="37" t="s">
        <v>223</v>
      </c>
    </row>
    <row r="122" spans="1:30" x14ac:dyDescent="0.25">
      <c r="A122" s="36">
        <v>2275</v>
      </c>
      <c r="B122" s="14" t="s">
        <v>4575</v>
      </c>
      <c r="C122" s="14" t="s">
        <v>4576</v>
      </c>
      <c r="D122" s="17">
        <v>44130</v>
      </c>
      <c r="E122" s="14" t="s">
        <v>30</v>
      </c>
      <c r="F122" s="14">
        <v>77</v>
      </c>
      <c r="G122" s="14">
        <v>18</v>
      </c>
      <c r="H122" s="14">
        <v>11</v>
      </c>
      <c r="I122" s="14">
        <v>6</v>
      </c>
      <c r="J122" s="14" t="s">
        <v>204</v>
      </c>
      <c r="K122" s="14" cm="1">
        <f t="array" ref="K122">INT(SUMPRODUCT(--ISNUMBER(SEARCH(economy,C122)))&gt;0)</f>
        <v>0</v>
      </c>
      <c r="L122" s="14" cm="1">
        <f t="array" ref="L122">INT(SUMPRODUCT(--ISNUMBER(SEARCH(healthcare,C122)))&gt;0)</f>
        <v>1</v>
      </c>
      <c r="M122" s="14" cm="1">
        <f t="array" ref="M122">INT(SUMPRODUCT(--ISNUMBER(SEARCH(supreme,C122)))&gt;0)</f>
        <v>0</v>
      </c>
      <c r="N122" s="14" cm="1">
        <f t="array" ref="N122">INT(SUMPRODUCT(--ISNUMBER(SEARCH(covid,C122)))&gt;0)</f>
        <v>0</v>
      </c>
      <c r="O122" s="14" cm="1">
        <f t="array" ref="O122">INT(SUMPRODUCT(--ISNUMBER(SEARCH(violent,C122)))&gt;0)</f>
        <v>0</v>
      </c>
      <c r="P122" s="14" cm="1">
        <f t="array" ref="P122">INT(SUMPRODUCT(--ISNUMBER(SEARCH(foreign,C122)))&gt;0)</f>
        <v>0</v>
      </c>
      <c r="Q122" s="14" cm="1">
        <f t="array" ref="Q122">INT(SUMPRODUCT(--ISNUMBER(SEARCH(gun,C122)))&gt;0)</f>
        <v>0</v>
      </c>
      <c r="R122" s="14" cm="1">
        <f t="array" ref="R122">INT(SUMPRODUCT(--ISNUMBER(SEARCH(race,C122)))&gt;0)</f>
        <v>0</v>
      </c>
      <c r="S122" s="14" cm="1">
        <f t="array" ref="S122">INT(SUMPRODUCT(--ISNUMBER(SEARCH(immigration,C122)))&gt;0)</f>
        <v>0</v>
      </c>
      <c r="T122" s="14" cm="1">
        <f t="array" ref="T122">INT(SUMPRODUCT(--ISNUMBER(SEARCH(econineq,C123)))&gt;0)</f>
        <v>0</v>
      </c>
      <c r="U122" s="14" cm="1">
        <f t="array" ref="U122">INT(SUMPRODUCT(--ISNUMBER(SEARCH(climate,C122)))&gt;0)</f>
        <v>0</v>
      </c>
      <c r="V122" s="14" cm="1">
        <f t="array" ref="V122">INT(SUMPRODUCT(--ISNUMBER(SEARCH(abortion,C122)))&gt;0)</f>
        <v>0</v>
      </c>
      <c r="W122" s="14" cm="1">
        <f t="array" ref="W122">INT(SUMPRODUCT(--ISNUMBER(SEARCH(trump,C122)))&gt;0)</f>
        <v>0</v>
      </c>
      <c r="X122" s="14" cm="1">
        <f t="array" ref="X122">INT(SUMPRODUCT(--ISNUMBER(SEARCH(voting,C122)))&gt;0)</f>
        <v>0</v>
      </c>
      <c r="Y122" s="14" cm="1">
        <f t="array" ref="Y122">INT(SUMPRODUCT(--ISNUMBER(SEARCH(democrattrigger,C122)))&gt;0)</f>
        <v>0</v>
      </c>
      <c r="Z122" s="14" cm="1">
        <f t="array" ref="Z122">INT(SUMPRODUCT(--ISNUMBER(SEARCH(bipartisan,C122)))&gt;0)</f>
        <v>0</v>
      </c>
      <c r="AA122" s="14">
        <f t="shared" si="1"/>
        <v>0</v>
      </c>
      <c r="AB122" s="14"/>
      <c r="AC122" s="30">
        <v>1</v>
      </c>
      <c r="AD122" s="37">
        <v>0</v>
      </c>
    </row>
    <row r="123" spans="1:30" x14ac:dyDescent="0.25">
      <c r="A123" s="36">
        <v>2276</v>
      </c>
      <c r="B123" s="14" t="s">
        <v>4577</v>
      </c>
      <c r="C123" s="14" t="s">
        <v>4578</v>
      </c>
      <c r="D123" s="17">
        <v>44130</v>
      </c>
      <c r="E123" s="14" t="s">
        <v>30</v>
      </c>
      <c r="F123" s="14">
        <v>57</v>
      </c>
      <c r="G123" s="14">
        <v>19</v>
      </c>
      <c r="H123" s="14">
        <v>11</v>
      </c>
      <c r="I123" s="14">
        <v>6</v>
      </c>
      <c r="J123" s="14" t="s">
        <v>204</v>
      </c>
      <c r="K123" s="14" cm="1">
        <f t="array" ref="K123">INT(SUMPRODUCT(--ISNUMBER(SEARCH(economy,C123)))&gt;0)</f>
        <v>0</v>
      </c>
      <c r="L123" s="14" cm="1">
        <f t="array" ref="L123">INT(SUMPRODUCT(--ISNUMBER(SEARCH(healthcare,C123)))&gt;0)</f>
        <v>0</v>
      </c>
      <c r="M123" s="14" cm="1">
        <f t="array" ref="M123">INT(SUMPRODUCT(--ISNUMBER(SEARCH(supreme,C123)))&gt;0)</f>
        <v>0</v>
      </c>
      <c r="N123" s="14" cm="1">
        <f t="array" ref="N123">INT(SUMPRODUCT(--ISNUMBER(SEARCH(covid,C123)))&gt;0)</f>
        <v>0</v>
      </c>
      <c r="O123" s="14" cm="1">
        <f t="array" ref="O123">INT(SUMPRODUCT(--ISNUMBER(SEARCH(violent,C123)))&gt;0)</f>
        <v>0</v>
      </c>
      <c r="P123" s="14" cm="1">
        <f t="array" ref="P123">INT(SUMPRODUCT(--ISNUMBER(SEARCH(foreign,C123)))&gt;0)</f>
        <v>0</v>
      </c>
      <c r="Q123" s="14" cm="1">
        <f t="array" ref="Q123">INT(SUMPRODUCT(--ISNUMBER(SEARCH(gun,C123)))&gt;0)</f>
        <v>0</v>
      </c>
      <c r="R123" s="14" cm="1">
        <f t="array" ref="R123">INT(SUMPRODUCT(--ISNUMBER(SEARCH(race,C123)))&gt;0)</f>
        <v>0</v>
      </c>
      <c r="S123" s="14" cm="1">
        <f t="array" ref="S123">INT(SUMPRODUCT(--ISNUMBER(SEARCH(immigration,C123)))&gt;0)</f>
        <v>0</v>
      </c>
      <c r="T123" s="14" cm="1">
        <f t="array" ref="T123">INT(SUMPRODUCT(--ISNUMBER(SEARCH(econineq,C124)))&gt;0)</f>
        <v>0</v>
      </c>
      <c r="U123" s="14" cm="1">
        <f t="array" ref="U123">INT(SUMPRODUCT(--ISNUMBER(SEARCH(climate,C123)))&gt;0)</f>
        <v>0</v>
      </c>
      <c r="V123" s="14" cm="1">
        <f t="array" ref="V123">INT(SUMPRODUCT(--ISNUMBER(SEARCH(abortion,C123)))&gt;0)</f>
        <v>0</v>
      </c>
      <c r="W123" s="14" cm="1">
        <f t="array" ref="W123">INT(SUMPRODUCT(--ISNUMBER(SEARCH(trump,C123)))&gt;0)</f>
        <v>0</v>
      </c>
      <c r="X123" s="14" cm="1">
        <f t="array" ref="X123">INT(SUMPRODUCT(--ISNUMBER(SEARCH(voting,C123)))&gt;0)</f>
        <v>0</v>
      </c>
      <c r="Y123" s="14" cm="1">
        <f t="array" ref="Y123">INT(SUMPRODUCT(--ISNUMBER(SEARCH(democrattrigger,C123)))&gt;0)</f>
        <v>0</v>
      </c>
      <c r="Z123" s="14" cm="1">
        <f t="array" ref="Z123">INT(SUMPRODUCT(--ISNUMBER(SEARCH(bipartisan,C123)))&gt;0)</f>
        <v>0</v>
      </c>
      <c r="AA123" s="14">
        <f t="shared" si="1"/>
        <v>1</v>
      </c>
      <c r="AB123" s="14"/>
      <c r="AC123" s="30" t="s">
        <v>223</v>
      </c>
      <c r="AD123" s="37" t="s">
        <v>223</v>
      </c>
    </row>
    <row r="124" spans="1:30" x14ac:dyDescent="0.25">
      <c r="A124" s="36">
        <v>2277</v>
      </c>
      <c r="B124" s="14" t="s">
        <v>4579</v>
      </c>
      <c r="C124" s="14" t="s">
        <v>4580</v>
      </c>
      <c r="D124" s="17">
        <v>44130</v>
      </c>
      <c r="E124" s="14" t="s">
        <v>30</v>
      </c>
      <c r="F124" s="14">
        <v>1116</v>
      </c>
      <c r="G124" s="14">
        <v>106</v>
      </c>
      <c r="H124" s="14">
        <v>11</v>
      </c>
      <c r="I124" s="14">
        <v>6</v>
      </c>
      <c r="J124" s="14" t="s">
        <v>204</v>
      </c>
      <c r="K124" s="14" cm="1">
        <f t="array" ref="K124">INT(SUMPRODUCT(--ISNUMBER(SEARCH(economy,C124)))&gt;0)</f>
        <v>0</v>
      </c>
      <c r="L124" s="14" cm="1">
        <f t="array" ref="L124">INT(SUMPRODUCT(--ISNUMBER(SEARCH(healthcare,C124)))&gt;0)</f>
        <v>0</v>
      </c>
      <c r="M124" s="14" cm="1">
        <f t="array" ref="M124">INT(SUMPRODUCT(--ISNUMBER(SEARCH(supreme,C124)))&gt;0)</f>
        <v>0</v>
      </c>
      <c r="N124" s="14" cm="1">
        <f t="array" ref="N124">INT(SUMPRODUCT(--ISNUMBER(SEARCH(covid,C124)))&gt;0)</f>
        <v>0</v>
      </c>
      <c r="O124" s="14" cm="1">
        <f t="array" ref="O124">INT(SUMPRODUCT(--ISNUMBER(SEARCH(violent,C124)))&gt;0)</f>
        <v>0</v>
      </c>
      <c r="P124" s="14" cm="1">
        <f t="array" ref="P124">INT(SUMPRODUCT(--ISNUMBER(SEARCH(foreign,C124)))&gt;0)</f>
        <v>0</v>
      </c>
      <c r="Q124" s="14" cm="1">
        <f t="array" ref="Q124">INT(SUMPRODUCT(--ISNUMBER(SEARCH(gun,C124)))&gt;0)</f>
        <v>0</v>
      </c>
      <c r="R124" s="14" cm="1">
        <f t="array" ref="R124">INT(SUMPRODUCT(--ISNUMBER(SEARCH(race,C124)))&gt;0)</f>
        <v>0</v>
      </c>
      <c r="S124" s="14" cm="1">
        <f t="array" ref="S124">INT(SUMPRODUCT(--ISNUMBER(SEARCH(immigration,C124)))&gt;0)</f>
        <v>0</v>
      </c>
      <c r="T124" s="14" cm="1">
        <f t="array" ref="T124">INT(SUMPRODUCT(--ISNUMBER(SEARCH(econineq,C125)))&gt;0)</f>
        <v>0</v>
      </c>
      <c r="U124" s="14" cm="1">
        <f t="array" ref="U124">INT(SUMPRODUCT(--ISNUMBER(SEARCH(climate,C124)))&gt;0)</f>
        <v>0</v>
      </c>
      <c r="V124" s="14" cm="1">
        <f t="array" ref="V124">INT(SUMPRODUCT(--ISNUMBER(SEARCH(abortion,C124)))&gt;0)</f>
        <v>0</v>
      </c>
      <c r="W124" s="14" cm="1">
        <f t="array" ref="W124">INT(SUMPRODUCT(--ISNUMBER(SEARCH(trump,C124)))&gt;0)</f>
        <v>0</v>
      </c>
      <c r="X124" s="14" cm="1">
        <f t="array" ref="X124">INT(SUMPRODUCT(--ISNUMBER(SEARCH(voting,C124)))&gt;0)</f>
        <v>0</v>
      </c>
      <c r="Y124" s="14" cm="1">
        <f t="array" ref="Y124">INT(SUMPRODUCT(--ISNUMBER(SEARCH(democrattrigger,C124)))&gt;0)</f>
        <v>1</v>
      </c>
      <c r="Z124" s="14" cm="1">
        <f t="array" ref="Z124">INT(SUMPRODUCT(--ISNUMBER(SEARCH(bipartisan,C124)))&gt;0)</f>
        <v>0</v>
      </c>
      <c r="AA124" s="14">
        <f t="shared" si="1"/>
        <v>0</v>
      </c>
      <c r="AB124" s="14"/>
      <c r="AC124" s="30" t="s">
        <v>223</v>
      </c>
      <c r="AD124" s="37" t="s">
        <v>223</v>
      </c>
    </row>
    <row r="125" spans="1:30" x14ac:dyDescent="0.25">
      <c r="A125" s="36">
        <v>2278</v>
      </c>
      <c r="B125" s="14" t="s">
        <v>4581</v>
      </c>
      <c r="C125" s="14" t="s">
        <v>4582</v>
      </c>
      <c r="D125" s="17">
        <v>44130</v>
      </c>
      <c r="E125" s="14" t="s">
        <v>30</v>
      </c>
      <c r="F125" s="14">
        <v>169</v>
      </c>
      <c r="G125" s="14">
        <v>40</v>
      </c>
      <c r="H125" s="14">
        <v>11</v>
      </c>
      <c r="I125" s="14">
        <v>6</v>
      </c>
      <c r="J125" s="14" t="s">
        <v>204</v>
      </c>
      <c r="K125" s="14" cm="1">
        <f t="array" ref="K125">INT(SUMPRODUCT(--ISNUMBER(SEARCH(economy,C125)))&gt;0)</f>
        <v>0</v>
      </c>
      <c r="L125" s="14" cm="1">
        <f t="array" ref="L125">INT(SUMPRODUCT(--ISNUMBER(SEARCH(healthcare,C125)))&gt;0)</f>
        <v>0</v>
      </c>
      <c r="M125" s="14" cm="1">
        <f t="array" ref="M125">INT(SUMPRODUCT(--ISNUMBER(SEARCH(supreme,C125)))&gt;0)</f>
        <v>0</v>
      </c>
      <c r="N125" s="14" cm="1">
        <f t="array" ref="N125">INT(SUMPRODUCT(--ISNUMBER(SEARCH(covid,C125)))&gt;0)</f>
        <v>0</v>
      </c>
      <c r="O125" s="14" cm="1">
        <f t="array" ref="O125">INT(SUMPRODUCT(--ISNUMBER(SEARCH(violent,C125)))&gt;0)</f>
        <v>0</v>
      </c>
      <c r="P125" s="14" cm="1">
        <f t="array" ref="P125">INT(SUMPRODUCT(--ISNUMBER(SEARCH(foreign,C125)))&gt;0)</f>
        <v>0</v>
      </c>
      <c r="Q125" s="14" cm="1">
        <f t="array" ref="Q125">INT(SUMPRODUCT(--ISNUMBER(SEARCH(gun,C125)))&gt;0)</f>
        <v>0</v>
      </c>
      <c r="R125" s="14" cm="1">
        <f t="array" ref="R125">INT(SUMPRODUCT(--ISNUMBER(SEARCH(race,C125)))&gt;0)</f>
        <v>0</v>
      </c>
      <c r="S125" s="14" cm="1">
        <f t="array" ref="S125">INT(SUMPRODUCT(--ISNUMBER(SEARCH(immigration,C125)))&gt;0)</f>
        <v>0</v>
      </c>
      <c r="T125" s="14" cm="1">
        <f t="array" ref="T125">INT(SUMPRODUCT(--ISNUMBER(SEARCH(econineq,C126)))&gt;0)</f>
        <v>0</v>
      </c>
      <c r="U125" s="14" cm="1">
        <f t="array" ref="U125">INT(SUMPRODUCT(--ISNUMBER(SEARCH(climate,C125)))&gt;0)</f>
        <v>0</v>
      </c>
      <c r="V125" s="14" cm="1">
        <f t="array" ref="V125">INT(SUMPRODUCT(--ISNUMBER(SEARCH(abortion,C125)))&gt;0)</f>
        <v>0</v>
      </c>
      <c r="W125" s="14" cm="1">
        <f t="array" ref="W125">INT(SUMPRODUCT(--ISNUMBER(SEARCH(trump,C125)))&gt;0)</f>
        <v>0</v>
      </c>
      <c r="X125" s="14" cm="1">
        <f t="array" ref="X125">INT(SUMPRODUCT(--ISNUMBER(SEARCH(voting,C125)))&gt;0)</f>
        <v>0</v>
      </c>
      <c r="Y125" s="14" cm="1">
        <f t="array" ref="Y125">INT(SUMPRODUCT(--ISNUMBER(SEARCH(democrattrigger,C125)))&gt;0)</f>
        <v>0</v>
      </c>
      <c r="Z125" s="14" cm="1">
        <f t="array" ref="Z125">INT(SUMPRODUCT(--ISNUMBER(SEARCH(bipartisan,C125)))&gt;0)</f>
        <v>0</v>
      </c>
      <c r="AA125" s="14">
        <f t="shared" si="1"/>
        <v>1</v>
      </c>
      <c r="AB125" s="14"/>
      <c r="AC125" s="30">
        <v>0</v>
      </c>
      <c r="AD125" s="37">
        <v>1</v>
      </c>
    </row>
    <row r="126" spans="1:30" x14ac:dyDescent="0.25">
      <c r="A126" s="36">
        <v>2279</v>
      </c>
      <c r="B126" s="14" t="s">
        <v>4583</v>
      </c>
      <c r="C126" s="14" t="s">
        <v>4584</v>
      </c>
      <c r="D126" s="17">
        <v>44130</v>
      </c>
      <c r="E126" s="14" t="s">
        <v>30</v>
      </c>
      <c r="F126" s="14">
        <v>615</v>
      </c>
      <c r="G126" s="14">
        <v>98</v>
      </c>
      <c r="H126" s="14">
        <v>11</v>
      </c>
      <c r="I126" s="14">
        <v>6</v>
      </c>
      <c r="J126" s="14" t="s">
        <v>204</v>
      </c>
      <c r="K126" s="14" cm="1">
        <f t="array" ref="K126">INT(SUMPRODUCT(--ISNUMBER(SEARCH(economy,C126)))&gt;0)</f>
        <v>0</v>
      </c>
      <c r="L126" s="14" cm="1">
        <f t="array" ref="L126">INT(SUMPRODUCT(--ISNUMBER(SEARCH(healthcare,C126)))&gt;0)</f>
        <v>1</v>
      </c>
      <c r="M126" s="14" cm="1">
        <f t="array" ref="M126">INT(SUMPRODUCT(--ISNUMBER(SEARCH(supreme,C126)))&gt;0)</f>
        <v>1</v>
      </c>
      <c r="N126" s="14" cm="1">
        <f t="array" ref="N126">INT(SUMPRODUCT(--ISNUMBER(SEARCH(covid,C126)))&gt;0)</f>
        <v>0</v>
      </c>
      <c r="O126" s="14" cm="1">
        <f t="array" ref="O126">INT(SUMPRODUCT(--ISNUMBER(SEARCH(violent,C126)))&gt;0)</f>
        <v>0</v>
      </c>
      <c r="P126" s="14" cm="1">
        <f t="array" ref="P126">INT(SUMPRODUCT(--ISNUMBER(SEARCH(foreign,C126)))&gt;0)</f>
        <v>0</v>
      </c>
      <c r="Q126" s="14" cm="1">
        <f t="array" ref="Q126">INT(SUMPRODUCT(--ISNUMBER(SEARCH(gun,C126)))&gt;0)</f>
        <v>0</v>
      </c>
      <c r="R126" s="14" cm="1">
        <f t="array" ref="R126">INT(SUMPRODUCT(--ISNUMBER(SEARCH(race,C126)))&gt;0)</f>
        <v>0</v>
      </c>
      <c r="S126" s="14" cm="1">
        <f t="array" ref="S126">INT(SUMPRODUCT(--ISNUMBER(SEARCH(immigration,C126)))&gt;0)</f>
        <v>0</v>
      </c>
      <c r="T126" s="14" cm="1">
        <f t="array" ref="T126">INT(SUMPRODUCT(--ISNUMBER(SEARCH(econineq,C127)))&gt;0)</f>
        <v>0</v>
      </c>
      <c r="U126" s="14" cm="1">
        <f t="array" ref="U126">INT(SUMPRODUCT(--ISNUMBER(SEARCH(climate,C126)))&gt;0)</f>
        <v>0</v>
      </c>
      <c r="V126" s="14" cm="1">
        <f t="array" ref="V126">INT(SUMPRODUCT(--ISNUMBER(SEARCH(abortion,C126)))&gt;0)</f>
        <v>1</v>
      </c>
      <c r="W126" s="14" cm="1">
        <f t="array" ref="W126">INT(SUMPRODUCT(--ISNUMBER(SEARCH(trump,C126)))&gt;0)</f>
        <v>0</v>
      </c>
      <c r="X126" s="14" cm="1">
        <f t="array" ref="X126">INT(SUMPRODUCT(--ISNUMBER(SEARCH(voting,C126)))&gt;0)</f>
        <v>1</v>
      </c>
      <c r="Y126" s="14" cm="1">
        <f t="array" ref="Y126">INT(SUMPRODUCT(--ISNUMBER(SEARCH(democrattrigger,C126)))&gt;0)</f>
        <v>1</v>
      </c>
      <c r="Z126" s="14" cm="1">
        <f t="array" ref="Z126">INT(SUMPRODUCT(--ISNUMBER(SEARCH(bipartisan,C126)))&gt;0)</f>
        <v>0</v>
      </c>
      <c r="AA126" s="14">
        <f t="shared" si="1"/>
        <v>0</v>
      </c>
      <c r="AB126" s="14"/>
      <c r="AC126" s="30" t="s">
        <v>223</v>
      </c>
      <c r="AD126" s="37" t="s">
        <v>223</v>
      </c>
    </row>
    <row r="127" spans="1:30" x14ac:dyDescent="0.25">
      <c r="A127" s="36">
        <v>2280</v>
      </c>
      <c r="B127" s="14" t="s">
        <v>4585</v>
      </c>
      <c r="C127" s="14" t="s">
        <v>4586</v>
      </c>
      <c r="D127" s="17">
        <v>44130</v>
      </c>
      <c r="E127" s="14" t="s">
        <v>30</v>
      </c>
      <c r="F127" s="14">
        <v>303</v>
      </c>
      <c r="G127" s="14">
        <v>55</v>
      </c>
      <c r="H127" s="14">
        <v>11</v>
      </c>
      <c r="I127" s="14">
        <v>6</v>
      </c>
      <c r="J127" s="14" t="s">
        <v>204</v>
      </c>
      <c r="K127" s="14" cm="1">
        <f t="array" ref="K127">INT(SUMPRODUCT(--ISNUMBER(SEARCH(economy,C127)))&gt;0)</f>
        <v>0</v>
      </c>
      <c r="L127" s="14" cm="1">
        <f t="array" ref="L127">INT(SUMPRODUCT(--ISNUMBER(SEARCH(healthcare,C127)))&gt;0)</f>
        <v>0</v>
      </c>
      <c r="M127" s="14" cm="1">
        <f t="array" ref="M127">INT(SUMPRODUCT(--ISNUMBER(SEARCH(supreme,C127)))&gt;0)</f>
        <v>0</v>
      </c>
      <c r="N127" s="14" cm="1">
        <f t="array" ref="N127">INT(SUMPRODUCT(--ISNUMBER(SEARCH(covid,C127)))&gt;0)</f>
        <v>0</v>
      </c>
      <c r="O127" s="14" cm="1">
        <f t="array" ref="O127">INT(SUMPRODUCT(--ISNUMBER(SEARCH(violent,C127)))&gt;0)</f>
        <v>0</v>
      </c>
      <c r="P127" s="14" cm="1">
        <f t="array" ref="P127">INT(SUMPRODUCT(--ISNUMBER(SEARCH(foreign,C127)))&gt;0)</f>
        <v>0</v>
      </c>
      <c r="Q127" s="14" cm="1">
        <f t="array" ref="Q127">INT(SUMPRODUCT(--ISNUMBER(SEARCH(gun,C127)))&gt;0)</f>
        <v>0</v>
      </c>
      <c r="R127" s="14" cm="1">
        <f t="array" ref="R127">INT(SUMPRODUCT(--ISNUMBER(SEARCH(race,C127)))&gt;0)</f>
        <v>1</v>
      </c>
      <c r="S127" s="14" cm="1">
        <f t="array" ref="S127">INT(SUMPRODUCT(--ISNUMBER(SEARCH(immigration,C127)))&gt;0)</f>
        <v>0</v>
      </c>
      <c r="T127" s="14" cm="1">
        <f t="array" ref="T127">INT(SUMPRODUCT(--ISNUMBER(SEARCH(econineq,C128)))&gt;0)</f>
        <v>1</v>
      </c>
      <c r="U127" s="14" cm="1">
        <f t="array" ref="U127">INT(SUMPRODUCT(--ISNUMBER(SEARCH(climate,C127)))&gt;0)</f>
        <v>0</v>
      </c>
      <c r="V127" s="14" cm="1">
        <f t="array" ref="V127">INT(SUMPRODUCT(--ISNUMBER(SEARCH(abortion,C127)))&gt;0)</f>
        <v>0</v>
      </c>
      <c r="W127" s="14" cm="1">
        <f t="array" ref="W127">INT(SUMPRODUCT(--ISNUMBER(SEARCH(trump,C127)))&gt;0)</f>
        <v>0</v>
      </c>
      <c r="X127" s="14" cm="1">
        <f t="array" ref="X127">INT(SUMPRODUCT(--ISNUMBER(SEARCH(voting,C127)))&gt;0)</f>
        <v>0</v>
      </c>
      <c r="Y127" s="14" cm="1">
        <f t="array" ref="Y127">INT(SUMPRODUCT(--ISNUMBER(SEARCH(democrattrigger,C127)))&gt;0)</f>
        <v>0</v>
      </c>
      <c r="Z127" s="14" cm="1">
        <f t="array" ref="Z127">INT(SUMPRODUCT(--ISNUMBER(SEARCH(bipartisan,C127)))&gt;0)</f>
        <v>0</v>
      </c>
      <c r="AA127" s="14">
        <f t="shared" si="1"/>
        <v>0</v>
      </c>
      <c r="AB127" s="14"/>
      <c r="AC127" s="30">
        <v>1</v>
      </c>
      <c r="AD127" s="37">
        <v>0</v>
      </c>
    </row>
    <row r="128" spans="1:30" x14ac:dyDescent="0.25">
      <c r="A128" s="36">
        <v>2281</v>
      </c>
      <c r="B128" s="14" t="s">
        <v>4587</v>
      </c>
      <c r="C128" s="14" t="s">
        <v>4588</v>
      </c>
      <c r="D128" s="17">
        <v>44130</v>
      </c>
      <c r="E128" s="14" t="s">
        <v>30</v>
      </c>
      <c r="F128" s="14">
        <v>372</v>
      </c>
      <c r="G128" s="14">
        <v>84</v>
      </c>
      <c r="H128" s="14">
        <v>11</v>
      </c>
      <c r="I128" s="14">
        <v>6</v>
      </c>
      <c r="J128" s="14" t="s">
        <v>204</v>
      </c>
      <c r="K128" s="14" cm="1">
        <f t="array" ref="K128">INT(SUMPRODUCT(--ISNUMBER(SEARCH(economy,C128)))&gt;0)</f>
        <v>1</v>
      </c>
      <c r="L128" s="14" cm="1">
        <f t="array" ref="L128">INT(SUMPRODUCT(--ISNUMBER(SEARCH(healthcare,C128)))&gt;0)</f>
        <v>1</v>
      </c>
      <c r="M128" s="14" cm="1">
        <f t="array" ref="M128">INT(SUMPRODUCT(--ISNUMBER(SEARCH(supreme,C128)))&gt;0)</f>
        <v>0</v>
      </c>
      <c r="N128" s="14" cm="1">
        <f t="array" ref="N128">INT(SUMPRODUCT(--ISNUMBER(SEARCH(covid,C128)))&gt;0)</f>
        <v>0</v>
      </c>
      <c r="O128" s="14" cm="1">
        <f t="array" ref="O128">INT(SUMPRODUCT(--ISNUMBER(SEARCH(violent,C128)))&gt;0)</f>
        <v>0</v>
      </c>
      <c r="P128" s="14" cm="1">
        <f t="array" ref="P128">INT(SUMPRODUCT(--ISNUMBER(SEARCH(foreign,C128)))&gt;0)</f>
        <v>0</v>
      </c>
      <c r="Q128" s="14" cm="1">
        <f t="array" ref="Q128">INT(SUMPRODUCT(--ISNUMBER(SEARCH(gun,C128)))&gt;0)</f>
        <v>0</v>
      </c>
      <c r="R128" s="14" cm="1">
        <f t="array" ref="R128">INT(SUMPRODUCT(--ISNUMBER(SEARCH(race,C128)))&gt;0)</f>
        <v>0</v>
      </c>
      <c r="S128" s="14" cm="1">
        <f t="array" ref="S128">INT(SUMPRODUCT(--ISNUMBER(SEARCH(immigration,C128)))&gt;0)</f>
        <v>0</v>
      </c>
      <c r="T128" s="14" cm="1">
        <f t="array" ref="T128">INT(SUMPRODUCT(--ISNUMBER(SEARCH(econineq,C129)))&gt;0)</f>
        <v>0</v>
      </c>
      <c r="U128" s="14" cm="1">
        <f t="array" ref="U128">INT(SUMPRODUCT(--ISNUMBER(SEARCH(climate,C128)))&gt;0)</f>
        <v>0</v>
      </c>
      <c r="V128" s="14" cm="1">
        <f t="array" ref="V128">INT(SUMPRODUCT(--ISNUMBER(SEARCH(abortion,C128)))&gt;0)</f>
        <v>0</v>
      </c>
      <c r="W128" s="14" cm="1">
        <f t="array" ref="W128">INT(SUMPRODUCT(--ISNUMBER(SEARCH(trump,C128)))&gt;0)</f>
        <v>0</v>
      </c>
      <c r="X128" s="14" cm="1">
        <f t="array" ref="X128">INT(SUMPRODUCT(--ISNUMBER(SEARCH(voting,C128)))&gt;0)</f>
        <v>0</v>
      </c>
      <c r="Y128" s="14" cm="1">
        <f t="array" ref="Y128">INT(SUMPRODUCT(--ISNUMBER(SEARCH(democrattrigger,C128)))&gt;0)</f>
        <v>0</v>
      </c>
      <c r="Z128" s="14" cm="1">
        <f t="array" ref="Z128">INT(SUMPRODUCT(--ISNUMBER(SEARCH(bipartisan,C128)))&gt;0)</f>
        <v>0</v>
      </c>
      <c r="AA128" s="14">
        <f t="shared" si="1"/>
        <v>0</v>
      </c>
      <c r="AB128" s="14"/>
      <c r="AC128" s="30" t="s">
        <v>223</v>
      </c>
      <c r="AD128" s="37" t="s">
        <v>223</v>
      </c>
    </row>
    <row r="129" spans="1:30" x14ac:dyDescent="0.25">
      <c r="A129" s="36">
        <v>2282</v>
      </c>
      <c r="B129" s="14" t="s">
        <v>4589</v>
      </c>
      <c r="C129" s="14" t="s">
        <v>4590</v>
      </c>
      <c r="D129" s="17">
        <v>44129</v>
      </c>
      <c r="E129" s="14" t="s">
        <v>30</v>
      </c>
      <c r="F129" s="14">
        <v>128</v>
      </c>
      <c r="G129" s="14">
        <v>32</v>
      </c>
      <c r="H129" s="14">
        <v>11</v>
      </c>
      <c r="I129" s="14">
        <v>6</v>
      </c>
      <c r="J129" s="14" t="s">
        <v>204</v>
      </c>
      <c r="K129" s="14" cm="1">
        <f t="array" ref="K129">INT(SUMPRODUCT(--ISNUMBER(SEARCH(economy,C129)))&gt;0)</f>
        <v>0</v>
      </c>
      <c r="L129" s="14" cm="1">
        <f t="array" ref="L129">INT(SUMPRODUCT(--ISNUMBER(SEARCH(healthcare,C129)))&gt;0)</f>
        <v>0</v>
      </c>
      <c r="M129" s="14" cm="1">
        <f t="array" ref="M129">INT(SUMPRODUCT(--ISNUMBER(SEARCH(supreme,C129)))&gt;0)</f>
        <v>0</v>
      </c>
      <c r="N129" s="14" cm="1">
        <f t="array" ref="N129">INT(SUMPRODUCT(--ISNUMBER(SEARCH(covid,C129)))&gt;0)</f>
        <v>0</v>
      </c>
      <c r="O129" s="14" cm="1">
        <f t="array" ref="O129">INT(SUMPRODUCT(--ISNUMBER(SEARCH(violent,C129)))&gt;0)</f>
        <v>0</v>
      </c>
      <c r="P129" s="14" cm="1">
        <f t="array" ref="P129">INT(SUMPRODUCT(--ISNUMBER(SEARCH(foreign,C129)))&gt;0)</f>
        <v>0</v>
      </c>
      <c r="Q129" s="14" cm="1">
        <f t="array" ref="Q129">INT(SUMPRODUCT(--ISNUMBER(SEARCH(gun,C129)))&gt;0)</f>
        <v>0</v>
      </c>
      <c r="R129" s="14" cm="1">
        <f t="array" ref="R129">INT(SUMPRODUCT(--ISNUMBER(SEARCH(race,C129)))&gt;0)</f>
        <v>0</v>
      </c>
      <c r="S129" s="14" cm="1">
        <f t="array" ref="S129">INT(SUMPRODUCT(--ISNUMBER(SEARCH(immigration,C129)))&gt;0)</f>
        <v>0</v>
      </c>
      <c r="T129" s="14" cm="1">
        <f t="array" ref="T129">INT(SUMPRODUCT(--ISNUMBER(SEARCH(econineq,C130)))&gt;0)</f>
        <v>0</v>
      </c>
      <c r="U129" s="14" cm="1">
        <f t="array" ref="U129">INT(SUMPRODUCT(--ISNUMBER(SEARCH(climate,C129)))&gt;0)</f>
        <v>0</v>
      </c>
      <c r="V129" s="14" cm="1">
        <f t="array" ref="V129">INT(SUMPRODUCT(--ISNUMBER(SEARCH(abortion,C129)))&gt;0)</f>
        <v>0</v>
      </c>
      <c r="W129" s="14" cm="1">
        <f t="array" ref="W129">INT(SUMPRODUCT(--ISNUMBER(SEARCH(trump,C129)))&gt;0)</f>
        <v>0</v>
      </c>
      <c r="X129" s="14" cm="1">
        <f t="array" ref="X129">INT(SUMPRODUCT(--ISNUMBER(SEARCH(voting,C129)))&gt;0)</f>
        <v>1</v>
      </c>
      <c r="Y129" s="14" cm="1">
        <f t="array" ref="Y129">INT(SUMPRODUCT(--ISNUMBER(SEARCH(democrattrigger,C129)))&gt;0)</f>
        <v>0</v>
      </c>
      <c r="Z129" s="14" cm="1">
        <f t="array" ref="Z129">INT(SUMPRODUCT(--ISNUMBER(SEARCH(bipartisan,C129)))&gt;0)</f>
        <v>0</v>
      </c>
      <c r="AA129" s="14">
        <f t="shared" si="1"/>
        <v>0</v>
      </c>
      <c r="AB129" s="14"/>
      <c r="AC129" s="30" t="s">
        <v>223</v>
      </c>
      <c r="AD129" s="37" t="s">
        <v>223</v>
      </c>
    </row>
    <row r="130" spans="1:30" x14ac:dyDescent="0.25">
      <c r="A130" s="36">
        <v>2283</v>
      </c>
      <c r="B130" s="14" t="s">
        <v>4591</v>
      </c>
      <c r="C130" s="14" t="s">
        <v>4592</v>
      </c>
      <c r="D130" s="17">
        <v>44129</v>
      </c>
      <c r="E130" s="14" t="s">
        <v>30</v>
      </c>
      <c r="F130" s="14">
        <v>81</v>
      </c>
      <c r="G130" s="14">
        <v>20</v>
      </c>
      <c r="H130" s="14">
        <v>11</v>
      </c>
      <c r="I130" s="14">
        <v>6</v>
      </c>
      <c r="J130" s="14" t="s">
        <v>204</v>
      </c>
      <c r="K130" s="14" cm="1">
        <f t="array" ref="K130">INT(SUMPRODUCT(--ISNUMBER(SEARCH(economy,C130)))&gt;0)</f>
        <v>0</v>
      </c>
      <c r="L130" s="14" cm="1">
        <f t="array" ref="L130">INT(SUMPRODUCT(--ISNUMBER(SEARCH(healthcare,C130)))&gt;0)</f>
        <v>0</v>
      </c>
      <c r="M130" s="14" cm="1">
        <f t="array" ref="M130">INT(SUMPRODUCT(--ISNUMBER(SEARCH(supreme,C130)))&gt;0)</f>
        <v>0</v>
      </c>
      <c r="N130" s="14" cm="1">
        <f t="array" ref="N130">INT(SUMPRODUCT(--ISNUMBER(SEARCH(covid,C130)))&gt;0)</f>
        <v>1</v>
      </c>
      <c r="O130" s="14" cm="1">
        <f t="array" ref="O130">INT(SUMPRODUCT(--ISNUMBER(SEARCH(violent,C130)))&gt;0)</f>
        <v>0</v>
      </c>
      <c r="P130" s="14" cm="1">
        <f t="array" ref="P130">INT(SUMPRODUCT(--ISNUMBER(SEARCH(foreign,C130)))&gt;0)</f>
        <v>0</v>
      </c>
      <c r="Q130" s="14" cm="1">
        <f t="array" ref="Q130">INT(SUMPRODUCT(--ISNUMBER(SEARCH(gun,C130)))&gt;0)</f>
        <v>0</v>
      </c>
      <c r="R130" s="14" cm="1">
        <f t="array" ref="R130">INT(SUMPRODUCT(--ISNUMBER(SEARCH(race,C130)))&gt;0)</f>
        <v>0</v>
      </c>
      <c r="S130" s="14" cm="1">
        <f t="array" ref="S130">INT(SUMPRODUCT(--ISNUMBER(SEARCH(immigration,C130)))&gt;0)</f>
        <v>0</v>
      </c>
      <c r="T130" s="14" cm="1">
        <f t="array" ref="T130">INT(SUMPRODUCT(--ISNUMBER(SEARCH(econineq,C131)))&gt;0)</f>
        <v>0</v>
      </c>
      <c r="U130" s="14" cm="1">
        <f t="array" ref="U130">INT(SUMPRODUCT(--ISNUMBER(SEARCH(climate,C130)))&gt;0)</f>
        <v>0</v>
      </c>
      <c r="V130" s="14" cm="1">
        <f t="array" ref="V130">INT(SUMPRODUCT(--ISNUMBER(SEARCH(abortion,C130)))&gt;0)</f>
        <v>0</v>
      </c>
      <c r="W130" s="14" cm="1">
        <f t="array" ref="W130">INT(SUMPRODUCT(--ISNUMBER(SEARCH(trump,C130)))&gt;0)</f>
        <v>0</v>
      </c>
      <c r="X130" s="14" cm="1">
        <f t="array" ref="X130">INT(SUMPRODUCT(--ISNUMBER(SEARCH(voting,C130)))&gt;0)</f>
        <v>1</v>
      </c>
      <c r="Y130" s="14" cm="1">
        <f t="array" ref="Y130">INT(SUMPRODUCT(--ISNUMBER(SEARCH(democrattrigger,C130)))&gt;0)</f>
        <v>0</v>
      </c>
      <c r="Z130" s="14" cm="1">
        <f t="array" ref="Z130">INT(SUMPRODUCT(--ISNUMBER(SEARCH(bipartisan,C130)))&gt;0)</f>
        <v>0</v>
      </c>
      <c r="AA130" s="14">
        <f t="shared" si="1"/>
        <v>0</v>
      </c>
      <c r="AB130" s="14"/>
      <c r="AC130" s="30">
        <v>0</v>
      </c>
      <c r="AD130" s="37">
        <v>1</v>
      </c>
    </row>
    <row r="131" spans="1:30" x14ac:dyDescent="0.25">
      <c r="A131" s="36">
        <v>2284</v>
      </c>
      <c r="B131" s="14" t="s">
        <v>4593</v>
      </c>
      <c r="C131" s="14" t="s">
        <v>4594</v>
      </c>
      <c r="D131" s="17">
        <v>44129</v>
      </c>
      <c r="E131" s="14" t="s">
        <v>30</v>
      </c>
      <c r="F131" s="14">
        <v>211</v>
      </c>
      <c r="G131" s="14">
        <v>38</v>
      </c>
      <c r="H131" s="14">
        <v>11</v>
      </c>
      <c r="I131" s="14">
        <v>6</v>
      </c>
      <c r="J131" s="14" t="s">
        <v>204</v>
      </c>
      <c r="K131" s="14" cm="1">
        <f t="array" ref="K131">INT(SUMPRODUCT(--ISNUMBER(SEARCH(economy,C131)))&gt;0)</f>
        <v>0</v>
      </c>
      <c r="L131" s="14" cm="1">
        <f t="array" ref="L131">INT(SUMPRODUCT(--ISNUMBER(SEARCH(healthcare,C131)))&gt;0)</f>
        <v>0</v>
      </c>
      <c r="M131" s="14" cm="1">
        <f t="array" ref="M131">INT(SUMPRODUCT(--ISNUMBER(SEARCH(supreme,C131)))&gt;0)</f>
        <v>0</v>
      </c>
      <c r="N131" s="14" cm="1">
        <f t="array" ref="N131">INT(SUMPRODUCT(--ISNUMBER(SEARCH(covid,C131)))&gt;0)</f>
        <v>0</v>
      </c>
      <c r="O131" s="14" cm="1">
        <f t="array" ref="O131">INT(SUMPRODUCT(--ISNUMBER(SEARCH(violent,C131)))&gt;0)</f>
        <v>0</v>
      </c>
      <c r="P131" s="14" cm="1">
        <f t="array" ref="P131">INT(SUMPRODUCT(--ISNUMBER(SEARCH(foreign,C131)))&gt;0)</f>
        <v>1</v>
      </c>
      <c r="Q131" s="14" cm="1">
        <f t="array" ref="Q131">INT(SUMPRODUCT(--ISNUMBER(SEARCH(gun,C131)))&gt;0)</f>
        <v>0</v>
      </c>
      <c r="R131" s="14" cm="1">
        <f t="array" ref="R131">INT(SUMPRODUCT(--ISNUMBER(SEARCH(race,C131)))&gt;0)</f>
        <v>0</v>
      </c>
      <c r="S131" s="14" cm="1">
        <f t="array" ref="S131">INT(SUMPRODUCT(--ISNUMBER(SEARCH(immigration,C131)))&gt;0)</f>
        <v>0</v>
      </c>
      <c r="T131" s="14" cm="1">
        <f t="array" ref="T131">INT(SUMPRODUCT(--ISNUMBER(SEARCH(econineq,C132)))&gt;0)</f>
        <v>0</v>
      </c>
      <c r="U131" s="14" cm="1">
        <f t="array" ref="U131">INT(SUMPRODUCT(--ISNUMBER(SEARCH(climate,C131)))&gt;0)</f>
        <v>0</v>
      </c>
      <c r="V131" s="14" cm="1">
        <f t="array" ref="V131">INT(SUMPRODUCT(--ISNUMBER(SEARCH(abortion,C131)))&gt;0)</f>
        <v>0</v>
      </c>
      <c r="W131" s="14" cm="1">
        <f t="array" ref="W131">INT(SUMPRODUCT(--ISNUMBER(SEARCH(trump,C131)))&gt;0)</f>
        <v>0</v>
      </c>
      <c r="X131" s="14" cm="1">
        <f t="array" ref="X131">INT(SUMPRODUCT(--ISNUMBER(SEARCH(voting,C131)))&gt;0)</f>
        <v>1</v>
      </c>
      <c r="Y131" s="14" cm="1">
        <f t="array" ref="Y131">INT(SUMPRODUCT(--ISNUMBER(SEARCH(democrattrigger,C131)))&gt;0)</f>
        <v>0</v>
      </c>
      <c r="Z131" s="14" cm="1">
        <f t="array" ref="Z131">INT(SUMPRODUCT(--ISNUMBER(SEARCH(bipartisan,C131)))&gt;0)</f>
        <v>0</v>
      </c>
      <c r="AA131" s="14">
        <f t="shared" ref="AA131:AA194" si="2">INT(IF(COUNTIF(K131:Z131,1)=0,"1","0"))</f>
        <v>0</v>
      </c>
      <c r="AB131" s="14"/>
      <c r="AC131" s="30" t="s">
        <v>223</v>
      </c>
      <c r="AD131" s="37" t="s">
        <v>223</v>
      </c>
    </row>
    <row r="132" spans="1:30" x14ac:dyDescent="0.25">
      <c r="A132" s="36">
        <v>2285</v>
      </c>
      <c r="B132" s="14" t="s">
        <v>4595</v>
      </c>
      <c r="C132" s="14" t="s">
        <v>4596</v>
      </c>
      <c r="D132" s="17">
        <v>44129</v>
      </c>
      <c r="E132" s="14" t="s">
        <v>30</v>
      </c>
      <c r="F132" s="14">
        <v>262</v>
      </c>
      <c r="G132" s="14">
        <v>75</v>
      </c>
      <c r="H132" s="14">
        <v>11</v>
      </c>
      <c r="I132" s="14">
        <v>6</v>
      </c>
      <c r="J132" s="14" t="s">
        <v>204</v>
      </c>
      <c r="K132" s="14" cm="1">
        <f t="array" ref="K132">INT(SUMPRODUCT(--ISNUMBER(SEARCH(economy,C132)))&gt;0)</f>
        <v>0</v>
      </c>
      <c r="L132" s="14" cm="1">
        <f t="array" ref="L132">INT(SUMPRODUCT(--ISNUMBER(SEARCH(healthcare,C132)))&gt;0)</f>
        <v>0</v>
      </c>
      <c r="M132" s="14" cm="1">
        <f t="array" ref="M132">INT(SUMPRODUCT(--ISNUMBER(SEARCH(supreme,C132)))&gt;0)</f>
        <v>0</v>
      </c>
      <c r="N132" s="14" cm="1">
        <f t="array" ref="N132">INT(SUMPRODUCT(--ISNUMBER(SEARCH(covid,C132)))&gt;0)</f>
        <v>1</v>
      </c>
      <c r="O132" s="14" cm="1">
        <f t="array" ref="O132">INT(SUMPRODUCT(--ISNUMBER(SEARCH(violent,C132)))&gt;0)</f>
        <v>0</v>
      </c>
      <c r="P132" s="14" cm="1">
        <f t="array" ref="P132">INT(SUMPRODUCT(--ISNUMBER(SEARCH(foreign,C132)))&gt;0)</f>
        <v>0</v>
      </c>
      <c r="Q132" s="14" cm="1">
        <f t="array" ref="Q132">INT(SUMPRODUCT(--ISNUMBER(SEARCH(gun,C132)))&gt;0)</f>
        <v>0</v>
      </c>
      <c r="R132" s="14" cm="1">
        <f t="array" ref="R132">INT(SUMPRODUCT(--ISNUMBER(SEARCH(race,C132)))&gt;0)</f>
        <v>0</v>
      </c>
      <c r="S132" s="14" cm="1">
        <f t="array" ref="S132">INT(SUMPRODUCT(--ISNUMBER(SEARCH(immigration,C132)))&gt;0)</f>
        <v>0</v>
      </c>
      <c r="T132" s="14" cm="1">
        <f t="array" ref="T132">INT(SUMPRODUCT(--ISNUMBER(SEARCH(econineq,C133)))&gt;0)</f>
        <v>0</v>
      </c>
      <c r="U132" s="14" cm="1">
        <f t="array" ref="U132">INT(SUMPRODUCT(--ISNUMBER(SEARCH(climate,C132)))&gt;0)</f>
        <v>0</v>
      </c>
      <c r="V132" s="14" cm="1">
        <f t="array" ref="V132">INT(SUMPRODUCT(--ISNUMBER(SEARCH(abortion,C132)))&gt;0)</f>
        <v>0</v>
      </c>
      <c r="W132" s="14" cm="1">
        <f t="array" ref="W132">INT(SUMPRODUCT(--ISNUMBER(SEARCH(trump,C132)))&gt;0)</f>
        <v>1</v>
      </c>
      <c r="X132" s="14" cm="1">
        <f t="array" ref="X132">INT(SUMPRODUCT(--ISNUMBER(SEARCH(voting,C132)))&gt;0)</f>
        <v>1</v>
      </c>
      <c r="Y132" s="14" cm="1">
        <f t="array" ref="Y132">INT(SUMPRODUCT(--ISNUMBER(SEARCH(democrattrigger,C132)))&gt;0)</f>
        <v>1</v>
      </c>
      <c r="Z132" s="14" cm="1">
        <f t="array" ref="Z132">INT(SUMPRODUCT(--ISNUMBER(SEARCH(bipartisan,C132)))&gt;0)</f>
        <v>0</v>
      </c>
      <c r="AA132" s="14">
        <f t="shared" si="2"/>
        <v>0</v>
      </c>
      <c r="AB132" s="14"/>
      <c r="AC132" s="30" t="s">
        <v>223</v>
      </c>
      <c r="AD132" s="37" t="s">
        <v>223</v>
      </c>
    </row>
    <row r="133" spans="1:30" x14ac:dyDescent="0.25">
      <c r="A133" s="36">
        <v>2286</v>
      </c>
      <c r="B133" s="14" t="s">
        <v>4597</v>
      </c>
      <c r="C133" s="14" t="s">
        <v>4598</v>
      </c>
      <c r="D133" s="17">
        <v>44129</v>
      </c>
      <c r="E133" s="14" t="s">
        <v>30</v>
      </c>
      <c r="F133" s="14">
        <v>181</v>
      </c>
      <c r="G133" s="14">
        <v>46</v>
      </c>
      <c r="H133" s="14">
        <v>11</v>
      </c>
      <c r="I133" s="14">
        <v>6</v>
      </c>
      <c r="J133" s="14" t="s">
        <v>204</v>
      </c>
      <c r="K133" s="14" cm="1">
        <f t="array" ref="K133">INT(SUMPRODUCT(--ISNUMBER(SEARCH(economy,C133)))&gt;0)</f>
        <v>0</v>
      </c>
      <c r="L133" s="14" cm="1">
        <f t="array" ref="L133">INT(SUMPRODUCT(--ISNUMBER(SEARCH(healthcare,C133)))&gt;0)</f>
        <v>0</v>
      </c>
      <c r="M133" s="14" cm="1">
        <f t="array" ref="M133">INT(SUMPRODUCT(--ISNUMBER(SEARCH(supreme,C133)))&gt;0)</f>
        <v>0</v>
      </c>
      <c r="N133" s="14" cm="1">
        <f t="array" ref="N133">INT(SUMPRODUCT(--ISNUMBER(SEARCH(covid,C133)))&gt;0)</f>
        <v>0</v>
      </c>
      <c r="O133" s="14" cm="1">
        <f t="array" ref="O133">INT(SUMPRODUCT(--ISNUMBER(SEARCH(violent,C133)))&gt;0)</f>
        <v>0</v>
      </c>
      <c r="P133" s="14" cm="1">
        <f t="array" ref="P133">INT(SUMPRODUCT(--ISNUMBER(SEARCH(foreign,C133)))&gt;0)</f>
        <v>0</v>
      </c>
      <c r="Q133" s="14" cm="1">
        <f t="array" ref="Q133">INT(SUMPRODUCT(--ISNUMBER(SEARCH(gun,C133)))&gt;0)</f>
        <v>0</v>
      </c>
      <c r="R133" s="14" cm="1">
        <f t="array" ref="R133">INT(SUMPRODUCT(--ISNUMBER(SEARCH(race,C133)))&gt;0)</f>
        <v>0</v>
      </c>
      <c r="S133" s="14" cm="1">
        <f t="array" ref="S133">INT(SUMPRODUCT(--ISNUMBER(SEARCH(immigration,C133)))&gt;0)</f>
        <v>0</v>
      </c>
      <c r="T133" s="14" cm="1">
        <f t="array" ref="T133">INT(SUMPRODUCT(--ISNUMBER(SEARCH(econineq,C134)))&gt;0)</f>
        <v>0</v>
      </c>
      <c r="U133" s="14" cm="1">
        <f t="array" ref="U133">INT(SUMPRODUCT(--ISNUMBER(SEARCH(climate,C133)))&gt;0)</f>
        <v>0</v>
      </c>
      <c r="V133" s="14" cm="1">
        <f t="array" ref="V133">INT(SUMPRODUCT(--ISNUMBER(SEARCH(abortion,C133)))&gt;0)</f>
        <v>0</v>
      </c>
      <c r="W133" s="14" cm="1">
        <f t="array" ref="W133">INT(SUMPRODUCT(--ISNUMBER(SEARCH(trump,C133)))&gt;0)</f>
        <v>0</v>
      </c>
      <c r="X133" s="14" cm="1">
        <f t="array" ref="X133">INT(SUMPRODUCT(--ISNUMBER(SEARCH(voting,C133)))&gt;0)</f>
        <v>1</v>
      </c>
      <c r="Y133" s="14" cm="1">
        <f t="array" ref="Y133">INT(SUMPRODUCT(--ISNUMBER(SEARCH(democrattrigger,C133)))&gt;0)</f>
        <v>0</v>
      </c>
      <c r="Z133" s="14" cm="1">
        <f t="array" ref="Z133">INT(SUMPRODUCT(--ISNUMBER(SEARCH(bipartisan,C133)))&gt;0)</f>
        <v>0</v>
      </c>
      <c r="AA133" s="14">
        <f t="shared" si="2"/>
        <v>0</v>
      </c>
      <c r="AB133" s="14"/>
      <c r="AC133" s="30" t="s">
        <v>223</v>
      </c>
      <c r="AD133" s="37" t="s">
        <v>223</v>
      </c>
    </row>
    <row r="134" spans="1:30" x14ac:dyDescent="0.25">
      <c r="A134" s="36">
        <v>2287</v>
      </c>
      <c r="B134" s="14" t="s">
        <v>4599</v>
      </c>
      <c r="C134" s="14" t="s">
        <v>4600</v>
      </c>
      <c r="D134" s="17">
        <v>44129</v>
      </c>
      <c r="E134" s="14" t="s">
        <v>30</v>
      </c>
      <c r="F134" s="14">
        <v>765</v>
      </c>
      <c r="G134" s="14">
        <v>88</v>
      </c>
      <c r="H134" s="14">
        <v>11</v>
      </c>
      <c r="I134" s="14">
        <v>6</v>
      </c>
      <c r="J134" s="14" t="s">
        <v>204</v>
      </c>
      <c r="K134" s="14" cm="1">
        <f t="array" ref="K134">INT(SUMPRODUCT(--ISNUMBER(SEARCH(economy,C134)))&gt;0)</f>
        <v>0</v>
      </c>
      <c r="L134" s="14" cm="1">
        <f t="array" ref="L134">INT(SUMPRODUCT(--ISNUMBER(SEARCH(healthcare,C134)))&gt;0)</f>
        <v>1</v>
      </c>
      <c r="M134" s="14" cm="1">
        <f t="array" ref="M134">INT(SUMPRODUCT(--ISNUMBER(SEARCH(supreme,C134)))&gt;0)</f>
        <v>1</v>
      </c>
      <c r="N134" s="14" cm="1">
        <f t="array" ref="N134">INT(SUMPRODUCT(--ISNUMBER(SEARCH(covid,C134)))&gt;0)</f>
        <v>0</v>
      </c>
      <c r="O134" s="14" cm="1">
        <f t="array" ref="O134">INT(SUMPRODUCT(--ISNUMBER(SEARCH(violent,C134)))&gt;0)</f>
        <v>0</v>
      </c>
      <c r="P134" s="14" cm="1">
        <f t="array" ref="P134">INT(SUMPRODUCT(--ISNUMBER(SEARCH(foreign,C134)))&gt;0)</f>
        <v>0</v>
      </c>
      <c r="Q134" s="14" cm="1">
        <f t="array" ref="Q134">INT(SUMPRODUCT(--ISNUMBER(SEARCH(gun,C134)))&gt;0)</f>
        <v>0</v>
      </c>
      <c r="R134" s="14" cm="1">
        <f t="array" ref="R134">INT(SUMPRODUCT(--ISNUMBER(SEARCH(race,C134)))&gt;0)</f>
        <v>0</v>
      </c>
      <c r="S134" s="14" cm="1">
        <f t="array" ref="S134">INT(SUMPRODUCT(--ISNUMBER(SEARCH(immigration,C134)))&gt;0)</f>
        <v>0</v>
      </c>
      <c r="T134" s="14" cm="1">
        <f t="array" ref="T134">INT(SUMPRODUCT(--ISNUMBER(SEARCH(econineq,C135)))&gt;0)</f>
        <v>0</v>
      </c>
      <c r="U134" s="14" cm="1">
        <f t="array" ref="U134">INT(SUMPRODUCT(--ISNUMBER(SEARCH(climate,C134)))&gt;0)</f>
        <v>0</v>
      </c>
      <c r="V134" s="14" cm="1">
        <f t="array" ref="V134">INT(SUMPRODUCT(--ISNUMBER(SEARCH(abortion,C134)))&gt;0)</f>
        <v>0</v>
      </c>
      <c r="W134" s="14" cm="1">
        <f t="array" ref="W134">INT(SUMPRODUCT(--ISNUMBER(SEARCH(trump,C134)))&gt;0)</f>
        <v>0</v>
      </c>
      <c r="X134" s="14" cm="1">
        <f t="array" ref="X134">INT(SUMPRODUCT(--ISNUMBER(SEARCH(voting,C134)))&gt;0)</f>
        <v>1</v>
      </c>
      <c r="Y134" s="14" cm="1">
        <f t="array" ref="Y134">INT(SUMPRODUCT(--ISNUMBER(SEARCH(democrattrigger,C134)))&gt;0)</f>
        <v>1</v>
      </c>
      <c r="Z134" s="14" cm="1">
        <f t="array" ref="Z134">INT(SUMPRODUCT(--ISNUMBER(SEARCH(bipartisan,C134)))&gt;0)</f>
        <v>0</v>
      </c>
      <c r="AA134" s="14">
        <f t="shared" si="2"/>
        <v>0</v>
      </c>
      <c r="AB134" s="14"/>
      <c r="AC134" s="30" t="s">
        <v>223</v>
      </c>
      <c r="AD134" s="37" t="s">
        <v>223</v>
      </c>
    </row>
    <row r="135" spans="1:30" x14ac:dyDescent="0.25">
      <c r="A135" s="36">
        <v>2288</v>
      </c>
      <c r="B135" s="14" t="s">
        <v>4601</v>
      </c>
      <c r="C135" s="14" t="s">
        <v>4602</v>
      </c>
      <c r="D135" s="17">
        <v>44129</v>
      </c>
      <c r="E135" s="14" t="s">
        <v>30</v>
      </c>
      <c r="F135" s="14">
        <v>169</v>
      </c>
      <c r="G135" s="14">
        <v>35</v>
      </c>
      <c r="H135" s="14">
        <v>11</v>
      </c>
      <c r="I135" s="14">
        <v>6</v>
      </c>
      <c r="J135" s="14" t="s">
        <v>204</v>
      </c>
      <c r="K135" s="14" cm="1">
        <f t="array" ref="K135">INT(SUMPRODUCT(--ISNUMBER(SEARCH(economy,C135)))&gt;0)</f>
        <v>0</v>
      </c>
      <c r="L135" s="14" cm="1">
        <f t="array" ref="L135">INT(SUMPRODUCT(--ISNUMBER(SEARCH(healthcare,C135)))&gt;0)</f>
        <v>0</v>
      </c>
      <c r="M135" s="14" cm="1">
        <f t="array" ref="M135">INT(SUMPRODUCT(--ISNUMBER(SEARCH(supreme,C135)))&gt;0)</f>
        <v>0</v>
      </c>
      <c r="N135" s="14" cm="1">
        <f t="array" ref="N135">INT(SUMPRODUCT(--ISNUMBER(SEARCH(covid,C135)))&gt;0)</f>
        <v>0</v>
      </c>
      <c r="O135" s="14" cm="1">
        <f t="array" ref="O135">INT(SUMPRODUCT(--ISNUMBER(SEARCH(violent,C135)))&gt;0)</f>
        <v>0</v>
      </c>
      <c r="P135" s="14" cm="1">
        <f t="array" ref="P135">INT(SUMPRODUCT(--ISNUMBER(SEARCH(foreign,C135)))&gt;0)</f>
        <v>1</v>
      </c>
      <c r="Q135" s="14" cm="1">
        <f t="array" ref="Q135">INT(SUMPRODUCT(--ISNUMBER(SEARCH(gun,C135)))&gt;0)</f>
        <v>0</v>
      </c>
      <c r="R135" s="14" cm="1">
        <f t="array" ref="R135">INT(SUMPRODUCT(--ISNUMBER(SEARCH(race,C135)))&gt;0)</f>
        <v>0</v>
      </c>
      <c r="S135" s="14" cm="1">
        <f t="array" ref="S135">INT(SUMPRODUCT(--ISNUMBER(SEARCH(immigration,C135)))&gt;0)</f>
        <v>0</v>
      </c>
      <c r="T135" s="14" cm="1">
        <f t="array" ref="T135">INT(SUMPRODUCT(--ISNUMBER(SEARCH(econineq,C136)))&gt;0)</f>
        <v>0</v>
      </c>
      <c r="U135" s="14" cm="1">
        <f t="array" ref="U135">INT(SUMPRODUCT(--ISNUMBER(SEARCH(climate,C135)))&gt;0)</f>
        <v>0</v>
      </c>
      <c r="V135" s="14" cm="1">
        <f t="array" ref="V135">INT(SUMPRODUCT(--ISNUMBER(SEARCH(abortion,C135)))&gt;0)</f>
        <v>0</v>
      </c>
      <c r="W135" s="14" cm="1">
        <f t="array" ref="W135">INT(SUMPRODUCT(--ISNUMBER(SEARCH(trump,C135)))&gt;0)</f>
        <v>0</v>
      </c>
      <c r="X135" s="14" cm="1">
        <f t="array" ref="X135">INT(SUMPRODUCT(--ISNUMBER(SEARCH(voting,C135)))&gt;0)</f>
        <v>1</v>
      </c>
      <c r="Y135" s="14" cm="1">
        <f t="array" ref="Y135">INT(SUMPRODUCT(--ISNUMBER(SEARCH(democrattrigger,C135)))&gt;0)</f>
        <v>0</v>
      </c>
      <c r="Z135" s="14" cm="1">
        <f t="array" ref="Z135">INT(SUMPRODUCT(--ISNUMBER(SEARCH(bipartisan,C135)))&gt;0)</f>
        <v>0</v>
      </c>
      <c r="AA135" s="14">
        <f t="shared" si="2"/>
        <v>0</v>
      </c>
      <c r="AB135" s="14"/>
      <c r="AC135" s="30">
        <v>1</v>
      </c>
      <c r="AD135" s="37">
        <v>0</v>
      </c>
    </row>
    <row r="136" spans="1:30" x14ac:dyDescent="0.25">
      <c r="A136" s="36">
        <v>2289</v>
      </c>
      <c r="B136" s="14" t="s">
        <v>4603</v>
      </c>
      <c r="C136" s="14" t="s">
        <v>4604</v>
      </c>
      <c r="D136" s="17">
        <v>44129</v>
      </c>
      <c r="E136" s="14" t="s">
        <v>70</v>
      </c>
      <c r="F136" s="14">
        <v>145</v>
      </c>
      <c r="G136" s="14">
        <v>9</v>
      </c>
      <c r="H136" s="14">
        <v>11</v>
      </c>
      <c r="I136" s="14">
        <v>6</v>
      </c>
      <c r="J136" s="14" t="s">
        <v>204</v>
      </c>
      <c r="K136" s="14" cm="1">
        <f t="array" ref="K136">INT(SUMPRODUCT(--ISNUMBER(SEARCH(economy,C136)))&gt;0)</f>
        <v>0</v>
      </c>
      <c r="L136" s="14" cm="1">
        <f t="array" ref="L136">INT(SUMPRODUCT(--ISNUMBER(SEARCH(healthcare,C136)))&gt;0)</f>
        <v>0</v>
      </c>
      <c r="M136" s="14" cm="1">
        <f t="array" ref="M136">INT(SUMPRODUCT(--ISNUMBER(SEARCH(supreme,C136)))&gt;0)</f>
        <v>0</v>
      </c>
      <c r="N136" s="14" cm="1">
        <f t="array" ref="N136">INT(SUMPRODUCT(--ISNUMBER(SEARCH(covid,C136)))&gt;0)</f>
        <v>0</v>
      </c>
      <c r="O136" s="14" cm="1">
        <f t="array" ref="O136">INT(SUMPRODUCT(--ISNUMBER(SEARCH(violent,C136)))&gt;0)</f>
        <v>0</v>
      </c>
      <c r="P136" s="14" cm="1">
        <f t="array" ref="P136">INT(SUMPRODUCT(--ISNUMBER(SEARCH(foreign,C136)))&gt;0)</f>
        <v>0</v>
      </c>
      <c r="Q136" s="14" cm="1">
        <f t="array" ref="Q136">INT(SUMPRODUCT(--ISNUMBER(SEARCH(gun,C136)))&gt;0)</f>
        <v>0</v>
      </c>
      <c r="R136" s="14" cm="1">
        <f t="array" ref="R136">INT(SUMPRODUCT(--ISNUMBER(SEARCH(race,C136)))&gt;0)</f>
        <v>0</v>
      </c>
      <c r="S136" s="14" cm="1">
        <f t="array" ref="S136">INT(SUMPRODUCT(--ISNUMBER(SEARCH(immigration,C136)))&gt;0)</f>
        <v>0</v>
      </c>
      <c r="T136" s="14" cm="1">
        <f t="array" ref="T136">INT(SUMPRODUCT(--ISNUMBER(SEARCH(econineq,C137)))&gt;0)</f>
        <v>0</v>
      </c>
      <c r="U136" s="14" cm="1">
        <f t="array" ref="U136">INT(SUMPRODUCT(--ISNUMBER(SEARCH(climate,C136)))&gt;0)</f>
        <v>0</v>
      </c>
      <c r="V136" s="14" cm="1">
        <f t="array" ref="V136">INT(SUMPRODUCT(--ISNUMBER(SEARCH(abortion,C136)))&gt;0)</f>
        <v>0</v>
      </c>
      <c r="W136" s="14" cm="1">
        <f t="array" ref="W136">INT(SUMPRODUCT(--ISNUMBER(SEARCH(trump,C136)))&gt;0)</f>
        <v>0</v>
      </c>
      <c r="X136" s="14" cm="1">
        <f t="array" ref="X136">INT(SUMPRODUCT(--ISNUMBER(SEARCH(voting,C136)))&gt;0)</f>
        <v>0</v>
      </c>
      <c r="Y136" s="14" cm="1">
        <f t="array" ref="Y136">INT(SUMPRODUCT(--ISNUMBER(SEARCH(democrattrigger,C136)))&gt;0)</f>
        <v>0</v>
      </c>
      <c r="Z136" s="14" cm="1">
        <f t="array" ref="Z136">INT(SUMPRODUCT(--ISNUMBER(SEARCH(bipartisan,C136)))&gt;0)</f>
        <v>0</v>
      </c>
      <c r="AA136" s="14">
        <f t="shared" si="2"/>
        <v>1</v>
      </c>
      <c r="AB136" s="14"/>
      <c r="AC136" s="30" t="s">
        <v>223</v>
      </c>
      <c r="AD136" s="37" t="s">
        <v>223</v>
      </c>
    </row>
    <row r="137" spans="1:30" x14ac:dyDescent="0.25">
      <c r="A137" s="36">
        <v>2290</v>
      </c>
      <c r="B137" s="14" t="s">
        <v>4605</v>
      </c>
      <c r="C137" s="14" t="s">
        <v>4606</v>
      </c>
      <c r="D137" s="17">
        <v>44129</v>
      </c>
      <c r="E137" s="14" t="s">
        <v>70</v>
      </c>
      <c r="F137" s="14">
        <v>127</v>
      </c>
      <c r="G137" s="14">
        <v>16</v>
      </c>
      <c r="H137" s="14">
        <v>11</v>
      </c>
      <c r="I137" s="14">
        <v>6</v>
      </c>
      <c r="J137" s="14" t="s">
        <v>204</v>
      </c>
      <c r="K137" s="14" cm="1">
        <f t="array" ref="K137">INT(SUMPRODUCT(--ISNUMBER(SEARCH(economy,C137)))&gt;0)</f>
        <v>0</v>
      </c>
      <c r="L137" s="14" cm="1">
        <f t="array" ref="L137">INT(SUMPRODUCT(--ISNUMBER(SEARCH(healthcare,C137)))&gt;0)</f>
        <v>0</v>
      </c>
      <c r="M137" s="14" cm="1">
        <f t="array" ref="M137">INT(SUMPRODUCT(--ISNUMBER(SEARCH(supreme,C137)))&gt;0)</f>
        <v>0</v>
      </c>
      <c r="N137" s="14" cm="1">
        <f t="array" ref="N137">INT(SUMPRODUCT(--ISNUMBER(SEARCH(covid,C137)))&gt;0)</f>
        <v>0</v>
      </c>
      <c r="O137" s="14" cm="1">
        <f t="array" ref="O137">INT(SUMPRODUCT(--ISNUMBER(SEARCH(violent,C137)))&gt;0)</f>
        <v>0</v>
      </c>
      <c r="P137" s="14" cm="1">
        <f t="array" ref="P137">INT(SUMPRODUCT(--ISNUMBER(SEARCH(foreign,C137)))&gt;0)</f>
        <v>0</v>
      </c>
      <c r="Q137" s="14" cm="1">
        <f t="array" ref="Q137">INT(SUMPRODUCT(--ISNUMBER(SEARCH(gun,C137)))&gt;0)</f>
        <v>0</v>
      </c>
      <c r="R137" s="14" cm="1">
        <f t="array" ref="R137">INT(SUMPRODUCT(--ISNUMBER(SEARCH(race,C137)))&gt;0)</f>
        <v>0</v>
      </c>
      <c r="S137" s="14" cm="1">
        <f t="array" ref="S137">INT(SUMPRODUCT(--ISNUMBER(SEARCH(immigration,C137)))&gt;0)</f>
        <v>0</v>
      </c>
      <c r="T137" s="14" cm="1">
        <f t="array" ref="T137">INT(SUMPRODUCT(--ISNUMBER(SEARCH(econineq,C138)))&gt;0)</f>
        <v>0</v>
      </c>
      <c r="U137" s="14" cm="1">
        <f t="array" ref="U137">INT(SUMPRODUCT(--ISNUMBER(SEARCH(climate,C137)))&gt;0)</f>
        <v>0</v>
      </c>
      <c r="V137" s="14" cm="1">
        <f t="array" ref="V137">INT(SUMPRODUCT(--ISNUMBER(SEARCH(abortion,C137)))&gt;0)</f>
        <v>0</v>
      </c>
      <c r="W137" s="14" cm="1">
        <f t="array" ref="W137">INT(SUMPRODUCT(--ISNUMBER(SEARCH(trump,C137)))&gt;0)</f>
        <v>0</v>
      </c>
      <c r="X137" s="14" cm="1">
        <f t="array" ref="X137">INT(SUMPRODUCT(--ISNUMBER(SEARCH(voting,C137)))&gt;0)</f>
        <v>1</v>
      </c>
      <c r="Y137" s="14" cm="1">
        <f t="array" ref="Y137">INT(SUMPRODUCT(--ISNUMBER(SEARCH(democrattrigger,C137)))&gt;0)</f>
        <v>0</v>
      </c>
      <c r="Z137" s="14" cm="1">
        <f t="array" ref="Z137">INT(SUMPRODUCT(--ISNUMBER(SEARCH(bipartisan,C137)))&gt;0)</f>
        <v>0</v>
      </c>
      <c r="AA137" s="14">
        <f t="shared" si="2"/>
        <v>0</v>
      </c>
      <c r="AB137" s="14"/>
      <c r="AC137" s="30" t="s">
        <v>223</v>
      </c>
      <c r="AD137" s="37" t="s">
        <v>223</v>
      </c>
    </row>
    <row r="138" spans="1:30" x14ac:dyDescent="0.25">
      <c r="A138" s="36">
        <v>2291</v>
      </c>
      <c r="B138" s="14" t="s">
        <v>4607</v>
      </c>
      <c r="C138" s="14" t="s">
        <v>4608</v>
      </c>
      <c r="D138" s="17">
        <v>44129</v>
      </c>
      <c r="E138" s="14" t="s">
        <v>70</v>
      </c>
      <c r="F138" s="14">
        <v>69</v>
      </c>
      <c r="G138" s="14">
        <v>8</v>
      </c>
      <c r="H138" s="14">
        <v>11</v>
      </c>
      <c r="I138" s="14">
        <v>6</v>
      </c>
      <c r="J138" s="14" t="s">
        <v>204</v>
      </c>
      <c r="K138" s="14" cm="1">
        <f t="array" ref="K138">INT(SUMPRODUCT(--ISNUMBER(SEARCH(economy,C138)))&gt;0)</f>
        <v>0</v>
      </c>
      <c r="L138" s="14" cm="1">
        <f t="array" ref="L138">INT(SUMPRODUCT(--ISNUMBER(SEARCH(healthcare,C138)))&gt;0)</f>
        <v>0</v>
      </c>
      <c r="M138" s="14" cm="1">
        <f t="array" ref="M138">INT(SUMPRODUCT(--ISNUMBER(SEARCH(supreme,C138)))&gt;0)</f>
        <v>0</v>
      </c>
      <c r="N138" s="14" cm="1">
        <f t="array" ref="N138">INT(SUMPRODUCT(--ISNUMBER(SEARCH(covid,C138)))&gt;0)</f>
        <v>0</v>
      </c>
      <c r="O138" s="14" cm="1">
        <f t="array" ref="O138">INT(SUMPRODUCT(--ISNUMBER(SEARCH(violent,C138)))&gt;0)</f>
        <v>0</v>
      </c>
      <c r="P138" s="14" cm="1">
        <f t="array" ref="P138">INT(SUMPRODUCT(--ISNUMBER(SEARCH(foreign,C138)))&gt;0)</f>
        <v>0</v>
      </c>
      <c r="Q138" s="14" cm="1">
        <f t="array" ref="Q138">INT(SUMPRODUCT(--ISNUMBER(SEARCH(gun,C138)))&gt;0)</f>
        <v>0</v>
      </c>
      <c r="R138" s="14" cm="1">
        <f t="array" ref="R138">INT(SUMPRODUCT(--ISNUMBER(SEARCH(race,C138)))&gt;0)</f>
        <v>0</v>
      </c>
      <c r="S138" s="14" cm="1">
        <f t="array" ref="S138">INT(SUMPRODUCT(--ISNUMBER(SEARCH(immigration,C138)))&gt;0)</f>
        <v>0</v>
      </c>
      <c r="T138" s="14" cm="1">
        <f t="array" ref="T138">INT(SUMPRODUCT(--ISNUMBER(SEARCH(econineq,C139)))&gt;0)</f>
        <v>0</v>
      </c>
      <c r="U138" s="14" cm="1">
        <f t="array" ref="U138">INT(SUMPRODUCT(--ISNUMBER(SEARCH(climate,C138)))&gt;0)</f>
        <v>0</v>
      </c>
      <c r="V138" s="14" cm="1">
        <f t="array" ref="V138">INT(SUMPRODUCT(--ISNUMBER(SEARCH(abortion,C138)))&gt;0)</f>
        <v>0</v>
      </c>
      <c r="W138" s="14" cm="1">
        <f t="array" ref="W138">INT(SUMPRODUCT(--ISNUMBER(SEARCH(trump,C138)))&gt;0)</f>
        <v>0</v>
      </c>
      <c r="X138" s="14" cm="1">
        <f t="array" ref="X138">INT(SUMPRODUCT(--ISNUMBER(SEARCH(voting,C138)))&gt;0)</f>
        <v>0</v>
      </c>
      <c r="Y138" s="14" cm="1">
        <f t="array" ref="Y138">INT(SUMPRODUCT(--ISNUMBER(SEARCH(democrattrigger,C138)))&gt;0)</f>
        <v>0</v>
      </c>
      <c r="Z138" s="14" cm="1">
        <f t="array" ref="Z138">INT(SUMPRODUCT(--ISNUMBER(SEARCH(bipartisan,C138)))&gt;0)</f>
        <v>0</v>
      </c>
      <c r="AA138" s="14">
        <f t="shared" si="2"/>
        <v>1</v>
      </c>
      <c r="AB138" s="14"/>
      <c r="AC138" s="30" t="s">
        <v>223</v>
      </c>
      <c r="AD138" s="37" t="s">
        <v>223</v>
      </c>
    </row>
    <row r="139" spans="1:30" x14ac:dyDescent="0.25">
      <c r="A139" s="36">
        <v>2292</v>
      </c>
      <c r="B139" s="14" t="s">
        <v>4609</v>
      </c>
      <c r="C139" s="14" t="s">
        <v>4610</v>
      </c>
      <c r="D139" s="17">
        <v>44129</v>
      </c>
      <c r="E139" s="14" t="s">
        <v>70</v>
      </c>
      <c r="F139" s="14">
        <v>46</v>
      </c>
      <c r="G139" s="14">
        <v>7</v>
      </c>
      <c r="H139" s="14">
        <v>11</v>
      </c>
      <c r="I139" s="14">
        <v>6</v>
      </c>
      <c r="J139" s="14" t="s">
        <v>204</v>
      </c>
      <c r="K139" s="14" cm="1">
        <f t="array" ref="K139">INT(SUMPRODUCT(--ISNUMBER(SEARCH(economy,C139)))&gt;0)</f>
        <v>0</v>
      </c>
      <c r="L139" s="14" cm="1">
        <f t="array" ref="L139">INT(SUMPRODUCT(--ISNUMBER(SEARCH(healthcare,C139)))&gt;0)</f>
        <v>0</v>
      </c>
      <c r="M139" s="14" cm="1">
        <f t="array" ref="M139">INT(SUMPRODUCT(--ISNUMBER(SEARCH(supreme,C139)))&gt;0)</f>
        <v>0</v>
      </c>
      <c r="N139" s="14" cm="1">
        <f t="array" ref="N139">INT(SUMPRODUCT(--ISNUMBER(SEARCH(covid,C139)))&gt;0)</f>
        <v>0</v>
      </c>
      <c r="O139" s="14" cm="1">
        <f t="array" ref="O139">INT(SUMPRODUCT(--ISNUMBER(SEARCH(violent,C139)))&gt;0)</f>
        <v>0</v>
      </c>
      <c r="P139" s="14" cm="1">
        <f t="array" ref="P139">INT(SUMPRODUCT(--ISNUMBER(SEARCH(foreign,C139)))&gt;0)</f>
        <v>0</v>
      </c>
      <c r="Q139" s="14" cm="1">
        <f t="array" ref="Q139">INT(SUMPRODUCT(--ISNUMBER(SEARCH(gun,C139)))&gt;0)</f>
        <v>0</v>
      </c>
      <c r="R139" s="14" cm="1">
        <f t="array" ref="R139">INT(SUMPRODUCT(--ISNUMBER(SEARCH(race,C139)))&gt;0)</f>
        <v>0</v>
      </c>
      <c r="S139" s="14" cm="1">
        <f t="array" ref="S139">INT(SUMPRODUCT(--ISNUMBER(SEARCH(immigration,C139)))&gt;0)</f>
        <v>0</v>
      </c>
      <c r="T139" s="14" cm="1">
        <f t="array" ref="T139">INT(SUMPRODUCT(--ISNUMBER(SEARCH(econineq,C140)))&gt;0)</f>
        <v>0</v>
      </c>
      <c r="U139" s="14" cm="1">
        <f t="array" ref="U139">INT(SUMPRODUCT(--ISNUMBER(SEARCH(climate,C139)))&gt;0)</f>
        <v>0</v>
      </c>
      <c r="V139" s="14" cm="1">
        <f t="array" ref="V139">INT(SUMPRODUCT(--ISNUMBER(SEARCH(abortion,C139)))&gt;0)</f>
        <v>0</v>
      </c>
      <c r="W139" s="14" cm="1">
        <f t="array" ref="W139">INT(SUMPRODUCT(--ISNUMBER(SEARCH(trump,C139)))&gt;0)</f>
        <v>0</v>
      </c>
      <c r="X139" s="14" cm="1">
        <f t="array" ref="X139">INT(SUMPRODUCT(--ISNUMBER(SEARCH(voting,C139)))&gt;0)</f>
        <v>0</v>
      </c>
      <c r="Y139" s="14" cm="1">
        <f t="array" ref="Y139">INT(SUMPRODUCT(--ISNUMBER(SEARCH(democrattrigger,C139)))&gt;0)</f>
        <v>1</v>
      </c>
      <c r="Z139" s="14" cm="1">
        <f t="array" ref="Z139">INT(SUMPRODUCT(--ISNUMBER(SEARCH(bipartisan,C139)))&gt;0)</f>
        <v>0</v>
      </c>
      <c r="AA139" s="14">
        <f t="shared" si="2"/>
        <v>0</v>
      </c>
      <c r="AB139" s="14"/>
      <c r="AC139" s="30" t="s">
        <v>223</v>
      </c>
      <c r="AD139" s="37" t="s">
        <v>223</v>
      </c>
    </row>
    <row r="140" spans="1:30" x14ac:dyDescent="0.25">
      <c r="A140" s="36">
        <v>2293</v>
      </c>
      <c r="B140" s="14" t="s">
        <v>4611</v>
      </c>
      <c r="C140" s="14" t="s">
        <v>4612</v>
      </c>
      <c r="D140" s="17">
        <v>44129</v>
      </c>
      <c r="E140" s="14" t="s">
        <v>70</v>
      </c>
      <c r="F140" s="14">
        <v>56</v>
      </c>
      <c r="G140" s="14">
        <v>5</v>
      </c>
      <c r="H140" s="14">
        <v>11</v>
      </c>
      <c r="I140" s="14">
        <v>6</v>
      </c>
      <c r="J140" s="14" t="s">
        <v>204</v>
      </c>
      <c r="K140" s="14" cm="1">
        <f t="array" ref="K140">INT(SUMPRODUCT(--ISNUMBER(SEARCH(economy,C140)))&gt;0)</f>
        <v>0</v>
      </c>
      <c r="L140" s="14" cm="1">
        <f t="array" ref="L140">INT(SUMPRODUCT(--ISNUMBER(SEARCH(healthcare,C140)))&gt;0)</f>
        <v>0</v>
      </c>
      <c r="M140" s="14" cm="1">
        <f t="array" ref="M140">INT(SUMPRODUCT(--ISNUMBER(SEARCH(supreme,C140)))&gt;0)</f>
        <v>0</v>
      </c>
      <c r="N140" s="14" cm="1">
        <f t="array" ref="N140">INT(SUMPRODUCT(--ISNUMBER(SEARCH(covid,C140)))&gt;0)</f>
        <v>0</v>
      </c>
      <c r="O140" s="14" cm="1">
        <f t="array" ref="O140">INT(SUMPRODUCT(--ISNUMBER(SEARCH(violent,C140)))&gt;0)</f>
        <v>0</v>
      </c>
      <c r="P140" s="14" cm="1">
        <f t="array" ref="P140">INT(SUMPRODUCT(--ISNUMBER(SEARCH(foreign,C140)))&gt;0)</f>
        <v>0</v>
      </c>
      <c r="Q140" s="14" cm="1">
        <f t="array" ref="Q140">INT(SUMPRODUCT(--ISNUMBER(SEARCH(gun,C140)))&gt;0)</f>
        <v>0</v>
      </c>
      <c r="R140" s="14" cm="1">
        <f t="array" ref="R140">INT(SUMPRODUCT(--ISNUMBER(SEARCH(race,C140)))&gt;0)</f>
        <v>0</v>
      </c>
      <c r="S140" s="14" cm="1">
        <f t="array" ref="S140">INT(SUMPRODUCT(--ISNUMBER(SEARCH(immigration,C140)))&gt;0)</f>
        <v>0</v>
      </c>
      <c r="T140" s="14" cm="1">
        <f t="array" ref="T140">INT(SUMPRODUCT(--ISNUMBER(SEARCH(econineq,C141)))&gt;0)</f>
        <v>0</v>
      </c>
      <c r="U140" s="14" cm="1">
        <f t="array" ref="U140">INT(SUMPRODUCT(--ISNUMBER(SEARCH(climate,C140)))&gt;0)</f>
        <v>0</v>
      </c>
      <c r="V140" s="14" cm="1">
        <f t="array" ref="V140">INT(SUMPRODUCT(--ISNUMBER(SEARCH(abortion,C140)))&gt;0)</f>
        <v>0</v>
      </c>
      <c r="W140" s="14" cm="1">
        <f t="array" ref="W140">INT(SUMPRODUCT(--ISNUMBER(SEARCH(trump,C140)))&gt;0)</f>
        <v>0</v>
      </c>
      <c r="X140" s="14" cm="1">
        <f t="array" ref="X140">INT(SUMPRODUCT(--ISNUMBER(SEARCH(voting,C140)))&gt;0)</f>
        <v>1</v>
      </c>
      <c r="Y140" s="14" cm="1">
        <f t="array" ref="Y140">INT(SUMPRODUCT(--ISNUMBER(SEARCH(democrattrigger,C140)))&gt;0)</f>
        <v>0</v>
      </c>
      <c r="Z140" s="14" cm="1">
        <f t="array" ref="Z140">INT(SUMPRODUCT(--ISNUMBER(SEARCH(bipartisan,C140)))&gt;0)</f>
        <v>0</v>
      </c>
      <c r="AA140" s="14">
        <f t="shared" si="2"/>
        <v>0</v>
      </c>
      <c r="AB140" s="14"/>
      <c r="AC140" s="30" t="s">
        <v>223</v>
      </c>
      <c r="AD140" s="37" t="s">
        <v>223</v>
      </c>
    </row>
    <row r="141" spans="1:30" x14ac:dyDescent="0.25">
      <c r="A141" s="36">
        <v>2294</v>
      </c>
      <c r="B141" s="14" t="s">
        <v>4613</v>
      </c>
      <c r="C141" s="14" t="s">
        <v>4614</v>
      </c>
      <c r="D141" s="17">
        <v>44129</v>
      </c>
      <c r="E141" s="14" t="s">
        <v>70</v>
      </c>
      <c r="F141" s="14">
        <v>64</v>
      </c>
      <c r="G141" s="14">
        <v>5</v>
      </c>
      <c r="H141" s="14">
        <v>11</v>
      </c>
      <c r="I141" s="14">
        <v>6</v>
      </c>
      <c r="J141" s="14" t="s">
        <v>204</v>
      </c>
      <c r="K141" s="14" cm="1">
        <f t="array" ref="K141">INT(SUMPRODUCT(--ISNUMBER(SEARCH(economy,C141)))&gt;0)</f>
        <v>0</v>
      </c>
      <c r="L141" s="14" cm="1">
        <f t="array" ref="L141">INT(SUMPRODUCT(--ISNUMBER(SEARCH(healthcare,C141)))&gt;0)</f>
        <v>0</v>
      </c>
      <c r="M141" s="14" cm="1">
        <f t="array" ref="M141">INT(SUMPRODUCT(--ISNUMBER(SEARCH(supreme,C141)))&gt;0)</f>
        <v>0</v>
      </c>
      <c r="N141" s="14" cm="1">
        <f t="array" ref="N141">INT(SUMPRODUCT(--ISNUMBER(SEARCH(covid,C141)))&gt;0)</f>
        <v>0</v>
      </c>
      <c r="O141" s="14" cm="1">
        <f t="array" ref="O141">INT(SUMPRODUCT(--ISNUMBER(SEARCH(violent,C141)))&gt;0)</f>
        <v>0</v>
      </c>
      <c r="P141" s="14" cm="1">
        <f t="array" ref="P141">INT(SUMPRODUCT(--ISNUMBER(SEARCH(foreign,C141)))&gt;0)</f>
        <v>0</v>
      </c>
      <c r="Q141" s="14" cm="1">
        <f t="array" ref="Q141">INT(SUMPRODUCT(--ISNUMBER(SEARCH(gun,C141)))&gt;0)</f>
        <v>0</v>
      </c>
      <c r="R141" s="14" cm="1">
        <f t="array" ref="R141">INT(SUMPRODUCT(--ISNUMBER(SEARCH(race,C141)))&gt;0)</f>
        <v>0</v>
      </c>
      <c r="S141" s="14" cm="1">
        <f t="array" ref="S141">INT(SUMPRODUCT(--ISNUMBER(SEARCH(immigration,C141)))&gt;0)</f>
        <v>0</v>
      </c>
      <c r="T141" s="14" cm="1">
        <f t="array" ref="T141">INT(SUMPRODUCT(--ISNUMBER(SEARCH(econineq,C142)))&gt;0)</f>
        <v>0</v>
      </c>
      <c r="U141" s="14" cm="1">
        <f t="array" ref="U141">INT(SUMPRODUCT(--ISNUMBER(SEARCH(climate,C141)))&gt;0)</f>
        <v>0</v>
      </c>
      <c r="V141" s="14" cm="1">
        <f t="array" ref="V141">INT(SUMPRODUCT(--ISNUMBER(SEARCH(abortion,C141)))&gt;0)</f>
        <v>0</v>
      </c>
      <c r="W141" s="14" cm="1">
        <f t="array" ref="W141">INT(SUMPRODUCT(--ISNUMBER(SEARCH(trump,C141)))&gt;0)</f>
        <v>0</v>
      </c>
      <c r="X141" s="14" cm="1">
        <f t="array" ref="X141">INT(SUMPRODUCT(--ISNUMBER(SEARCH(voting,C141)))&gt;0)</f>
        <v>0</v>
      </c>
      <c r="Y141" s="14" cm="1">
        <f t="array" ref="Y141">INT(SUMPRODUCT(--ISNUMBER(SEARCH(democrattrigger,C141)))&gt;0)</f>
        <v>0</v>
      </c>
      <c r="Z141" s="14" cm="1">
        <f t="array" ref="Z141">INT(SUMPRODUCT(--ISNUMBER(SEARCH(bipartisan,C141)))&gt;0)</f>
        <v>0</v>
      </c>
      <c r="AA141" s="14">
        <f t="shared" si="2"/>
        <v>1</v>
      </c>
      <c r="AB141" s="14"/>
      <c r="AC141" s="30" t="s">
        <v>223</v>
      </c>
      <c r="AD141" s="37" t="s">
        <v>223</v>
      </c>
    </row>
    <row r="142" spans="1:30" x14ac:dyDescent="0.25">
      <c r="A142" s="36">
        <v>2295</v>
      </c>
      <c r="B142" s="14" t="s">
        <v>4615</v>
      </c>
      <c r="C142" s="14" t="s">
        <v>4616</v>
      </c>
      <c r="D142" s="17">
        <v>44129</v>
      </c>
      <c r="E142" s="14" t="s">
        <v>30</v>
      </c>
      <c r="F142" s="14">
        <v>811</v>
      </c>
      <c r="G142" s="14">
        <v>74</v>
      </c>
      <c r="H142" s="14">
        <v>11</v>
      </c>
      <c r="I142" s="14">
        <v>6</v>
      </c>
      <c r="J142" s="14" t="s">
        <v>204</v>
      </c>
      <c r="K142" s="14" cm="1">
        <f t="array" ref="K142">INT(SUMPRODUCT(--ISNUMBER(SEARCH(economy,C142)))&gt;0)</f>
        <v>0</v>
      </c>
      <c r="L142" s="14" cm="1">
        <f t="array" ref="L142">INT(SUMPRODUCT(--ISNUMBER(SEARCH(healthcare,C142)))&gt;0)</f>
        <v>0</v>
      </c>
      <c r="M142" s="14" cm="1">
        <f t="array" ref="M142">INT(SUMPRODUCT(--ISNUMBER(SEARCH(supreme,C142)))&gt;0)</f>
        <v>0</v>
      </c>
      <c r="N142" s="14" cm="1">
        <f t="array" ref="N142">INT(SUMPRODUCT(--ISNUMBER(SEARCH(covid,C142)))&gt;0)</f>
        <v>0</v>
      </c>
      <c r="O142" s="14" cm="1">
        <f t="array" ref="O142">INT(SUMPRODUCT(--ISNUMBER(SEARCH(violent,C142)))&gt;0)</f>
        <v>0</v>
      </c>
      <c r="P142" s="14" cm="1">
        <f t="array" ref="P142">INT(SUMPRODUCT(--ISNUMBER(SEARCH(foreign,C142)))&gt;0)</f>
        <v>0</v>
      </c>
      <c r="Q142" s="14" cm="1">
        <f t="array" ref="Q142">INT(SUMPRODUCT(--ISNUMBER(SEARCH(gun,C142)))&gt;0)</f>
        <v>0</v>
      </c>
      <c r="R142" s="14" cm="1">
        <f t="array" ref="R142">INT(SUMPRODUCT(--ISNUMBER(SEARCH(race,C142)))&gt;0)</f>
        <v>1</v>
      </c>
      <c r="S142" s="14" cm="1">
        <f t="array" ref="S142">INT(SUMPRODUCT(--ISNUMBER(SEARCH(immigration,C142)))&gt;0)</f>
        <v>0</v>
      </c>
      <c r="T142" s="14" cm="1">
        <f t="array" ref="T142">INT(SUMPRODUCT(--ISNUMBER(SEARCH(econineq,C143)))&gt;0)</f>
        <v>0</v>
      </c>
      <c r="U142" s="14" cm="1">
        <f t="array" ref="U142">INT(SUMPRODUCT(--ISNUMBER(SEARCH(climate,C142)))&gt;0)</f>
        <v>0</v>
      </c>
      <c r="V142" s="14" cm="1">
        <f t="array" ref="V142">INT(SUMPRODUCT(--ISNUMBER(SEARCH(abortion,C142)))&gt;0)</f>
        <v>0</v>
      </c>
      <c r="W142" s="14" cm="1">
        <f t="array" ref="W142">INT(SUMPRODUCT(--ISNUMBER(SEARCH(trump,C142)))&gt;0)</f>
        <v>0</v>
      </c>
      <c r="X142" s="14" cm="1">
        <f t="array" ref="X142">INT(SUMPRODUCT(--ISNUMBER(SEARCH(voting,C142)))&gt;0)</f>
        <v>0</v>
      </c>
      <c r="Y142" s="14" cm="1">
        <f t="array" ref="Y142">INT(SUMPRODUCT(--ISNUMBER(SEARCH(democrattrigger,C142)))&gt;0)</f>
        <v>0</v>
      </c>
      <c r="Z142" s="14" cm="1">
        <f t="array" ref="Z142">INT(SUMPRODUCT(--ISNUMBER(SEARCH(bipartisan,C142)))&gt;0)</f>
        <v>0</v>
      </c>
      <c r="AA142" s="14">
        <f t="shared" si="2"/>
        <v>0</v>
      </c>
      <c r="AB142" s="14"/>
      <c r="AC142" s="30">
        <v>1</v>
      </c>
      <c r="AD142" s="37">
        <v>0</v>
      </c>
    </row>
    <row r="143" spans="1:30" x14ac:dyDescent="0.25">
      <c r="A143" s="36">
        <v>2296</v>
      </c>
      <c r="B143" s="14" t="s">
        <v>4617</v>
      </c>
      <c r="C143" s="14" t="s">
        <v>4618</v>
      </c>
      <c r="D143" s="17">
        <v>44129</v>
      </c>
      <c r="E143" s="14" t="s">
        <v>30</v>
      </c>
      <c r="F143" s="14">
        <v>94</v>
      </c>
      <c r="G143" s="14">
        <v>15</v>
      </c>
      <c r="H143" s="14">
        <v>11</v>
      </c>
      <c r="I143" s="14">
        <v>6</v>
      </c>
      <c r="J143" s="14" t="s">
        <v>204</v>
      </c>
      <c r="K143" s="14" cm="1">
        <f t="array" ref="K143">INT(SUMPRODUCT(--ISNUMBER(SEARCH(economy,C143)))&gt;0)</f>
        <v>0</v>
      </c>
      <c r="L143" s="14" cm="1">
        <f t="array" ref="L143">INT(SUMPRODUCT(--ISNUMBER(SEARCH(healthcare,C143)))&gt;0)</f>
        <v>0</v>
      </c>
      <c r="M143" s="14" cm="1">
        <f t="array" ref="M143">INT(SUMPRODUCT(--ISNUMBER(SEARCH(supreme,C143)))&gt;0)</f>
        <v>0</v>
      </c>
      <c r="N143" s="14" cm="1">
        <f t="array" ref="N143">INT(SUMPRODUCT(--ISNUMBER(SEARCH(covid,C143)))&gt;0)</f>
        <v>0</v>
      </c>
      <c r="O143" s="14" cm="1">
        <f t="array" ref="O143">INT(SUMPRODUCT(--ISNUMBER(SEARCH(violent,C143)))&gt;0)</f>
        <v>0</v>
      </c>
      <c r="P143" s="14" cm="1">
        <f t="array" ref="P143">INT(SUMPRODUCT(--ISNUMBER(SEARCH(foreign,C143)))&gt;0)</f>
        <v>0</v>
      </c>
      <c r="Q143" s="14" cm="1">
        <f t="array" ref="Q143">INT(SUMPRODUCT(--ISNUMBER(SEARCH(gun,C143)))&gt;0)</f>
        <v>0</v>
      </c>
      <c r="R143" s="14" cm="1">
        <f t="array" ref="R143">INT(SUMPRODUCT(--ISNUMBER(SEARCH(race,C143)))&gt;0)</f>
        <v>0</v>
      </c>
      <c r="S143" s="14" cm="1">
        <f t="array" ref="S143">INT(SUMPRODUCT(--ISNUMBER(SEARCH(immigration,C143)))&gt;0)</f>
        <v>0</v>
      </c>
      <c r="T143" s="14" cm="1">
        <f t="array" ref="T143">INT(SUMPRODUCT(--ISNUMBER(SEARCH(econineq,C144)))&gt;0)</f>
        <v>0</v>
      </c>
      <c r="U143" s="14" cm="1">
        <f t="array" ref="U143">INT(SUMPRODUCT(--ISNUMBER(SEARCH(climate,C143)))&gt;0)</f>
        <v>0</v>
      </c>
      <c r="V143" s="14" cm="1">
        <f t="array" ref="V143">INT(SUMPRODUCT(--ISNUMBER(SEARCH(abortion,C143)))&gt;0)</f>
        <v>0</v>
      </c>
      <c r="W143" s="14" cm="1">
        <f t="array" ref="W143">INT(SUMPRODUCT(--ISNUMBER(SEARCH(trump,C143)))&gt;0)</f>
        <v>0</v>
      </c>
      <c r="X143" s="14" cm="1">
        <f t="array" ref="X143">INT(SUMPRODUCT(--ISNUMBER(SEARCH(voting,C143)))&gt;0)</f>
        <v>1</v>
      </c>
      <c r="Y143" s="14" cm="1">
        <f t="array" ref="Y143">INT(SUMPRODUCT(--ISNUMBER(SEARCH(democrattrigger,C143)))&gt;0)</f>
        <v>0</v>
      </c>
      <c r="Z143" s="14" cm="1">
        <f t="array" ref="Z143">INT(SUMPRODUCT(--ISNUMBER(SEARCH(bipartisan,C143)))&gt;0)</f>
        <v>0</v>
      </c>
      <c r="AA143" s="14">
        <f t="shared" si="2"/>
        <v>0</v>
      </c>
      <c r="AB143" s="14"/>
      <c r="AC143" s="30">
        <v>1</v>
      </c>
      <c r="AD143" s="37">
        <v>0</v>
      </c>
    </row>
    <row r="144" spans="1:30" x14ac:dyDescent="0.25">
      <c r="A144" s="36">
        <v>2297</v>
      </c>
      <c r="B144" s="14" t="s">
        <v>4619</v>
      </c>
      <c r="C144" s="14" t="s">
        <v>4620</v>
      </c>
      <c r="D144" s="17">
        <v>44128</v>
      </c>
      <c r="E144" s="14" t="s">
        <v>30</v>
      </c>
      <c r="F144" s="14">
        <v>128</v>
      </c>
      <c r="G144" s="14">
        <v>64</v>
      </c>
      <c r="H144" s="14">
        <v>11</v>
      </c>
      <c r="I144" s="14">
        <v>6</v>
      </c>
      <c r="J144" s="14" t="s">
        <v>204</v>
      </c>
      <c r="K144" s="14" cm="1">
        <f t="array" ref="K144">INT(SUMPRODUCT(--ISNUMBER(SEARCH(economy,C144)))&gt;0)</f>
        <v>0</v>
      </c>
      <c r="L144" s="14" cm="1">
        <f t="array" ref="L144">INT(SUMPRODUCT(--ISNUMBER(SEARCH(healthcare,C144)))&gt;0)</f>
        <v>0</v>
      </c>
      <c r="M144" s="14" cm="1">
        <f t="array" ref="M144">INT(SUMPRODUCT(--ISNUMBER(SEARCH(supreme,C144)))&gt;0)</f>
        <v>0</v>
      </c>
      <c r="N144" s="14" cm="1">
        <f t="array" ref="N144">INT(SUMPRODUCT(--ISNUMBER(SEARCH(covid,C144)))&gt;0)</f>
        <v>0</v>
      </c>
      <c r="O144" s="14" cm="1">
        <f t="array" ref="O144">INT(SUMPRODUCT(--ISNUMBER(SEARCH(violent,C144)))&gt;0)</f>
        <v>0</v>
      </c>
      <c r="P144" s="14" cm="1">
        <f t="array" ref="P144">INT(SUMPRODUCT(--ISNUMBER(SEARCH(foreign,C144)))&gt;0)</f>
        <v>0</v>
      </c>
      <c r="Q144" s="14" cm="1">
        <f t="array" ref="Q144">INT(SUMPRODUCT(--ISNUMBER(SEARCH(gun,C144)))&gt;0)</f>
        <v>0</v>
      </c>
      <c r="R144" s="14" cm="1">
        <f t="array" ref="R144">INT(SUMPRODUCT(--ISNUMBER(SEARCH(race,C144)))&gt;0)</f>
        <v>0</v>
      </c>
      <c r="S144" s="14" cm="1">
        <f t="array" ref="S144">INT(SUMPRODUCT(--ISNUMBER(SEARCH(immigration,C144)))&gt;0)</f>
        <v>0</v>
      </c>
      <c r="T144" s="14" cm="1">
        <f t="array" ref="T144">INT(SUMPRODUCT(--ISNUMBER(SEARCH(econineq,C145)))&gt;0)</f>
        <v>0</v>
      </c>
      <c r="U144" s="14" cm="1">
        <f t="array" ref="U144">INT(SUMPRODUCT(--ISNUMBER(SEARCH(climate,C144)))&gt;0)</f>
        <v>0</v>
      </c>
      <c r="V144" s="14" cm="1">
        <f t="array" ref="V144">INT(SUMPRODUCT(--ISNUMBER(SEARCH(abortion,C144)))&gt;0)</f>
        <v>0</v>
      </c>
      <c r="W144" s="14" cm="1">
        <f t="array" ref="W144">INT(SUMPRODUCT(--ISNUMBER(SEARCH(trump,C144)))&gt;0)</f>
        <v>1</v>
      </c>
      <c r="X144" s="14" cm="1">
        <f t="array" ref="X144">INT(SUMPRODUCT(--ISNUMBER(SEARCH(voting,C144)))&gt;0)</f>
        <v>1</v>
      </c>
      <c r="Y144" s="14" cm="1">
        <f t="array" ref="Y144">INT(SUMPRODUCT(--ISNUMBER(SEARCH(democrattrigger,C144)))&gt;0)</f>
        <v>1</v>
      </c>
      <c r="Z144" s="14" cm="1">
        <f t="array" ref="Z144">INT(SUMPRODUCT(--ISNUMBER(SEARCH(bipartisan,C144)))&gt;0)</f>
        <v>0</v>
      </c>
      <c r="AA144" s="14">
        <f t="shared" si="2"/>
        <v>0</v>
      </c>
      <c r="AB144" s="14"/>
      <c r="AC144" s="30" t="s">
        <v>223</v>
      </c>
      <c r="AD144" s="37" t="s">
        <v>223</v>
      </c>
    </row>
    <row r="145" spans="1:30" x14ac:dyDescent="0.25">
      <c r="A145" s="36">
        <v>2298</v>
      </c>
      <c r="B145" s="14" t="s">
        <v>4621</v>
      </c>
      <c r="C145" s="14" t="s">
        <v>4622</v>
      </c>
      <c r="D145" s="17">
        <v>44128</v>
      </c>
      <c r="E145" s="14" t="s">
        <v>30</v>
      </c>
      <c r="F145" s="14">
        <v>51</v>
      </c>
      <c r="G145" s="14">
        <v>6</v>
      </c>
      <c r="H145" s="14">
        <v>11</v>
      </c>
      <c r="I145" s="14">
        <v>6</v>
      </c>
      <c r="J145" s="14" t="s">
        <v>204</v>
      </c>
      <c r="K145" s="14" cm="1">
        <f t="array" ref="K145">INT(SUMPRODUCT(--ISNUMBER(SEARCH(economy,C145)))&gt;0)</f>
        <v>0</v>
      </c>
      <c r="L145" s="14" cm="1">
        <f t="array" ref="L145">INT(SUMPRODUCT(--ISNUMBER(SEARCH(healthcare,C145)))&gt;0)</f>
        <v>0</v>
      </c>
      <c r="M145" s="14" cm="1">
        <f t="array" ref="M145">INT(SUMPRODUCT(--ISNUMBER(SEARCH(supreme,C145)))&gt;0)</f>
        <v>0</v>
      </c>
      <c r="N145" s="14" cm="1">
        <f t="array" ref="N145">INT(SUMPRODUCT(--ISNUMBER(SEARCH(covid,C145)))&gt;0)</f>
        <v>0</v>
      </c>
      <c r="O145" s="14" cm="1">
        <f t="array" ref="O145">INT(SUMPRODUCT(--ISNUMBER(SEARCH(violent,C145)))&gt;0)</f>
        <v>0</v>
      </c>
      <c r="P145" s="14" cm="1">
        <f t="array" ref="P145">INT(SUMPRODUCT(--ISNUMBER(SEARCH(foreign,C145)))&gt;0)</f>
        <v>0</v>
      </c>
      <c r="Q145" s="14" cm="1">
        <f t="array" ref="Q145">INT(SUMPRODUCT(--ISNUMBER(SEARCH(gun,C145)))&gt;0)</f>
        <v>0</v>
      </c>
      <c r="R145" s="14" cm="1">
        <f t="array" ref="R145">INT(SUMPRODUCT(--ISNUMBER(SEARCH(race,C145)))&gt;0)</f>
        <v>0</v>
      </c>
      <c r="S145" s="14" cm="1">
        <f t="array" ref="S145">INT(SUMPRODUCT(--ISNUMBER(SEARCH(immigration,C145)))&gt;0)</f>
        <v>0</v>
      </c>
      <c r="T145" s="14" cm="1">
        <f t="array" ref="T145">INT(SUMPRODUCT(--ISNUMBER(SEARCH(econineq,C146)))&gt;0)</f>
        <v>0</v>
      </c>
      <c r="U145" s="14" cm="1">
        <f t="array" ref="U145">INT(SUMPRODUCT(--ISNUMBER(SEARCH(climate,C145)))&gt;0)</f>
        <v>0</v>
      </c>
      <c r="V145" s="14" cm="1">
        <f t="array" ref="V145">INT(SUMPRODUCT(--ISNUMBER(SEARCH(abortion,C145)))&gt;0)</f>
        <v>0</v>
      </c>
      <c r="W145" s="14" cm="1">
        <f t="array" ref="W145">INT(SUMPRODUCT(--ISNUMBER(SEARCH(trump,C145)))&gt;0)</f>
        <v>0</v>
      </c>
      <c r="X145" s="14" cm="1">
        <f t="array" ref="X145">INT(SUMPRODUCT(--ISNUMBER(SEARCH(voting,C145)))&gt;0)</f>
        <v>0</v>
      </c>
      <c r="Y145" s="14" cm="1">
        <f t="array" ref="Y145">INT(SUMPRODUCT(--ISNUMBER(SEARCH(democrattrigger,C145)))&gt;0)</f>
        <v>0</v>
      </c>
      <c r="Z145" s="14" cm="1">
        <f t="array" ref="Z145">INT(SUMPRODUCT(--ISNUMBER(SEARCH(bipartisan,C145)))&gt;0)</f>
        <v>0</v>
      </c>
      <c r="AA145" s="14">
        <f t="shared" si="2"/>
        <v>1</v>
      </c>
      <c r="AB145" s="14"/>
      <c r="AC145" s="30" t="s">
        <v>223</v>
      </c>
      <c r="AD145" s="37" t="s">
        <v>223</v>
      </c>
    </row>
    <row r="146" spans="1:30" x14ac:dyDescent="0.25">
      <c r="A146" s="36">
        <v>2299</v>
      </c>
      <c r="B146" s="14" t="s">
        <v>4623</v>
      </c>
      <c r="C146" s="14" t="s">
        <v>4624</v>
      </c>
      <c r="D146" s="17">
        <v>44128</v>
      </c>
      <c r="E146" s="14" t="s">
        <v>30</v>
      </c>
      <c r="F146" s="14">
        <v>127</v>
      </c>
      <c r="G146" s="14">
        <v>16</v>
      </c>
      <c r="H146" s="14">
        <v>11</v>
      </c>
      <c r="I146" s="14">
        <v>6</v>
      </c>
      <c r="J146" s="14" t="s">
        <v>204</v>
      </c>
      <c r="K146" s="14" cm="1">
        <f t="array" ref="K146">INT(SUMPRODUCT(--ISNUMBER(SEARCH(economy,C146)))&gt;0)</f>
        <v>0</v>
      </c>
      <c r="L146" s="14" cm="1">
        <f t="array" ref="L146">INT(SUMPRODUCT(--ISNUMBER(SEARCH(healthcare,C146)))&gt;0)</f>
        <v>0</v>
      </c>
      <c r="M146" s="14" cm="1">
        <f t="array" ref="M146">INT(SUMPRODUCT(--ISNUMBER(SEARCH(supreme,C146)))&gt;0)</f>
        <v>0</v>
      </c>
      <c r="N146" s="14" cm="1">
        <f t="array" ref="N146">INT(SUMPRODUCT(--ISNUMBER(SEARCH(covid,C146)))&gt;0)</f>
        <v>0</v>
      </c>
      <c r="O146" s="14" cm="1">
        <f t="array" ref="O146">INT(SUMPRODUCT(--ISNUMBER(SEARCH(violent,C146)))&gt;0)</f>
        <v>0</v>
      </c>
      <c r="P146" s="14" cm="1">
        <f t="array" ref="P146">INT(SUMPRODUCT(--ISNUMBER(SEARCH(foreign,C146)))&gt;0)</f>
        <v>0</v>
      </c>
      <c r="Q146" s="14" cm="1">
        <f t="array" ref="Q146">INT(SUMPRODUCT(--ISNUMBER(SEARCH(gun,C146)))&gt;0)</f>
        <v>0</v>
      </c>
      <c r="R146" s="14" cm="1">
        <f t="array" ref="R146">INT(SUMPRODUCT(--ISNUMBER(SEARCH(race,C146)))&gt;0)</f>
        <v>0</v>
      </c>
      <c r="S146" s="14" cm="1">
        <f t="array" ref="S146">INT(SUMPRODUCT(--ISNUMBER(SEARCH(immigration,C146)))&gt;0)</f>
        <v>0</v>
      </c>
      <c r="T146" s="14" cm="1">
        <f t="array" ref="T146">INT(SUMPRODUCT(--ISNUMBER(SEARCH(econineq,C147)))&gt;0)</f>
        <v>0</v>
      </c>
      <c r="U146" s="14" cm="1">
        <f t="array" ref="U146">INT(SUMPRODUCT(--ISNUMBER(SEARCH(climate,C146)))&gt;0)</f>
        <v>0</v>
      </c>
      <c r="V146" s="14" cm="1">
        <f t="array" ref="V146">INT(SUMPRODUCT(--ISNUMBER(SEARCH(abortion,C146)))&gt;0)</f>
        <v>0</v>
      </c>
      <c r="W146" s="14" cm="1">
        <f t="array" ref="W146">INT(SUMPRODUCT(--ISNUMBER(SEARCH(trump,C146)))&gt;0)</f>
        <v>0</v>
      </c>
      <c r="X146" s="14" cm="1">
        <f t="array" ref="X146">INT(SUMPRODUCT(--ISNUMBER(SEARCH(voting,C146)))&gt;0)</f>
        <v>0</v>
      </c>
      <c r="Y146" s="14" cm="1">
        <f t="array" ref="Y146">INT(SUMPRODUCT(--ISNUMBER(SEARCH(democrattrigger,C146)))&gt;0)</f>
        <v>0</v>
      </c>
      <c r="Z146" s="14" cm="1">
        <f t="array" ref="Z146">INT(SUMPRODUCT(--ISNUMBER(SEARCH(bipartisan,C146)))&gt;0)</f>
        <v>0</v>
      </c>
      <c r="AA146" s="14">
        <f t="shared" si="2"/>
        <v>1</v>
      </c>
      <c r="AB146" s="14"/>
      <c r="AC146" s="30">
        <v>0</v>
      </c>
      <c r="AD146" s="37">
        <v>1</v>
      </c>
    </row>
    <row r="147" spans="1:30" x14ac:dyDescent="0.25">
      <c r="A147" s="36">
        <v>2300</v>
      </c>
      <c r="B147" s="14" t="s">
        <v>4625</v>
      </c>
      <c r="C147" s="14" t="s">
        <v>4626</v>
      </c>
      <c r="D147" s="17">
        <v>44128</v>
      </c>
      <c r="E147" s="14" t="s">
        <v>70</v>
      </c>
      <c r="F147" s="14">
        <v>4</v>
      </c>
      <c r="G147" s="14">
        <v>0</v>
      </c>
      <c r="H147" s="14">
        <v>11</v>
      </c>
      <c r="I147" s="14">
        <v>6</v>
      </c>
      <c r="J147" s="14" t="s">
        <v>204</v>
      </c>
      <c r="K147" s="14" cm="1">
        <f t="array" ref="K147">INT(SUMPRODUCT(--ISNUMBER(SEARCH(economy,C147)))&gt;0)</f>
        <v>0</v>
      </c>
      <c r="L147" s="14" cm="1">
        <f t="array" ref="L147">INT(SUMPRODUCT(--ISNUMBER(SEARCH(healthcare,C147)))&gt;0)</f>
        <v>0</v>
      </c>
      <c r="M147" s="14" cm="1">
        <f t="array" ref="M147">INT(SUMPRODUCT(--ISNUMBER(SEARCH(supreme,C147)))&gt;0)</f>
        <v>0</v>
      </c>
      <c r="N147" s="14" cm="1">
        <f t="array" ref="N147">INT(SUMPRODUCT(--ISNUMBER(SEARCH(covid,C147)))&gt;0)</f>
        <v>0</v>
      </c>
      <c r="O147" s="14" cm="1">
        <f t="array" ref="O147">INT(SUMPRODUCT(--ISNUMBER(SEARCH(violent,C147)))&gt;0)</f>
        <v>0</v>
      </c>
      <c r="P147" s="14" cm="1">
        <f t="array" ref="P147">INT(SUMPRODUCT(--ISNUMBER(SEARCH(foreign,C147)))&gt;0)</f>
        <v>0</v>
      </c>
      <c r="Q147" s="14" cm="1">
        <f t="array" ref="Q147">INT(SUMPRODUCT(--ISNUMBER(SEARCH(gun,C147)))&gt;0)</f>
        <v>0</v>
      </c>
      <c r="R147" s="14" cm="1">
        <f t="array" ref="R147">INT(SUMPRODUCT(--ISNUMBER(SEARCH(race,C147)))&gt;0)</f>
        <v>1</v>
      </c>
      <c r="S147" s="14" cm="1">
        <f t="array" ref="S147">INT(SUMPRODUCT(--ISNUMBER(SEARCH(immigration,C147)))&gt;0)</f>
        <v>0</v>
      </c>
      <c r="T147" s="14" cm="1">
        <f t="array" ref="T147">INT(SUMPRODUCT(--ISNUMBER(SEARCH(econineq,C148)))&gt;0)</f>
        <v>0</v>
      </c>
      <c r="U147" s="14" cm="1">
        <f t="array" ref="U147">INT(SUMPRODUCT(--ISNUMBER(SEARCH(climate,C147)))&gt;0)</f>
        <v>0</v>
      </c>
      <c r="V147" s="14" cm="1">
        <f t="array" ref="V147">INT(SUMPRODUCT(--ISNUMBER(SEARCH(abortion,C147)))&gt;0)</f>
        <v>0</v>
      </c>
      <c r="W147" s="14" cm="1">
        <f t="array" ref="W147">INT(SUMPRODUCT(--ISNUMBER(SEARCH(trump,C147)))&gt;0)</f>
        <v>0</v>
      </c>
      <c r="X147" s="14" cm="1">
        <f t="array" ref="X147">INT(SUMPRODUCT(--ISNUMBER(SEARCH(voting,C147)))&gt;0)</f>
        <v>0</v>
      </c>
      <c r="Y147" s="14" cm="1">
        <f t="array" ref="Y147">INT(SUMPRODUCT(--ISNUMBER(SEARCH(democrattrigger,C147)))&gt;0)</f>
        <v>1</v>
      </c>
      <c r="Z147" s="14" cm="1">
        <f t="array" ref="Z147">INT(SUMPRODUCT(--ISNUMBER(SEARCH(bipartisan,C147)))&gt;0)</f>
        <v>0</v>
      </c>
      <c r="AA147" s="14">
        <f t="shared" si="2"/>
        <v>0</v>
      </c>
      <c r="AB147" s="14"/>
      <c r="AC147" s="30" t="s">
        <v>223</v>
      </c>
      <c r="AD147" s="37" t="s">
        <v>223</v>
      </c>
    </row>
    <row r="148" spans="1:30" x14ac:dyDescent="0.25">
      <c r="A148" s="36">
        <v>2301</v>
      </c>
      <c r="B148" s="14" t="s">
        <v>4627</v>
      </c>
      <c r="C148" s="14" t="s">
        <v>4628</v>
      </c>
      <c r="D148" s="17">
        <v>44128</v>
      </c>
      <c r="E148" s="14" t="s">
        <v>70</v>
      </c>
      <c r="F148" s="14">
        <v>5</v>
      </c>
      <c r="G148" s="14">
        <v>0</v>
      </c>
      <c r="H148" s="14">
        <v>11</v>
      </c>
      <c r="I148" s="14">
        <v>6</v>
      </c>
      <c r="J148" s="14" t="s">
        <v>204</v>
      </c>
      <c r="K148" s="14" cm="1">
        <f t="array" ref="K148">INT(SUMPRODUCT(--ISNUMBER(SEARCH(economy,C148)))&gt;0)</f>
        <v>0</v>
      </c>
      <c r="L148" s="14" cm="1">
        <f t="array" ref="L148">INT(SUMPRODUCT(--ISNUMBER(SEARCH(healthcare,C148)))&gt;0)</f>
        <v>0</v>
      </c>
      <c r="M148" s="14" cm="1">
        <f t="array" ref="M148">INT(SUMPRODUCT(--ISNUMBER(SEARCH(supreme,C148)))&gt;0)</f>
        <v>0</v>
      </c>
      <c r="N148" s="14" cm="1">
        <f t="array" ref="N148">INT(SUMPRODUCT(--ISNUMBER(SEARCH(covid,C148)))&gt;0)</f>
        <v>0</v>
      </c>
      <c r="O148" s="14" cm="1">
        <f t="array" ref="O148">INT(SUMPRODUCT(--ISNUMBER(SEARCH(violent,C148)))&gt;0)</f>
        <v>0</v>
      </c>
      <c r="P148" s="14" cm="1">
        <f t="array" ref="P148">INT(SUMPRODUCT(--ISNUMBER(SEARCH(foreign,C148)))&gt;0)</f>
        <v>0</v>
      </c>
      <c r="Q148" s="14" cm="1">
        <f t="array" ref="Q148">INT(SUMPRODUCT(--ISNUMBER(SEARCH(gun,C148)))&gt;0)</f>
        <v>0</v>
      </c>
      <c r="R148" s="14" cm="1">
        <f t="array" ref="R148">INT(SUMPRODUCT(--ISNUMBER(SEARCH(race,C148)))&gt;0)</f>
        <v>0</v>
      </c>
      <c r="S148" s="14" cm="1">
        <f t="array" ref="S148">INT(SUMPRODUCT(--ISNUMBER(SEARCH(immigration,C148)))&gt;0)</f>
        <v>0</v>
      </c>
      <c r="T148" s="14" cm="1">
        <f t="array" ref="T148">INT(SUMPRODUCT(--ISNUMBER(SEARCH(econineq,C149)))&gt;0)</f>
        <v>0</v>
      </c>
      <c r="U148" s="14" cm="1">
        <f t="array" ref="U148">INT(SUMPRODUCT(--ISNUMBER(SEARCH(climate,C148)))&gt;0)</f>
        <v>0</v>
      </c>
      <c r="V148" s="14" cm="1">
        <f t="array" ref="V148">INT(SUMPRODUCT(--ISNUMBER(SEARCH(abortion,C148)))&gt;0)</f>
        <v>0</v>
      </c>
      <c r="W148" s="14" cm="1">
        <f t="array" ref="W148">INT(SUMPRODUCT(--ISNUMBER(SEARCH(trump,C148)))&gt;0)</f>
        <v>0</v>
      </c>
      <c r="X148" s="14" cm="1">
        <f t="array" ref="X148">INT(SUMPRODUCT(--ISNUMBER(SEARCH(voting,C148)))&gt;0)</f>
        <v>1</v>
      </c>
      <c r="Y148" s="14" cm="1">
        <f t="array" ref="Y148">INT(SUMPRODUCT(--ISNUMBER(SEARCH(democrattrigger,C148)))&gt;0)</f>
        <v>1</v>
      </c>
      <c r="Z148" s="14" cm="1">
        <f t="array" ref="Z148">INT(SUMPRODUCT(--ISNUMBER(SEARCH(bipartisan,C148)))&gt;0)</f>
        <v>0</v>
      </c>
      <c r="AA148" s="14">
        <f t="shared" si="2"/>
        <v>0</v>
      </c>
      <c r="AB148" s="14"/>
      <c r="AC148" s="30" t="s">
        <v>223</v>
      </c>
      <c r="AD148" s="37" t="s">
        <v>223</v>
      </c>
    </row>
    <row r="149" spans="1:30" x14ac:dyDescent="0.25">
      <c r="A149" s="36">
        <v>2302</v>
      </c>
      <c r="B149" s="14" t="s">
        <v>4629</v>
      </c>
      <c r="C149" s="14" t="s">
        <v>4630</v>
      </c>
      <c r="D149" s="17">
        <v>44128</v>
      </c>
      <c r="E149" s="14" t="s">
        <v>30</v>
      </c>
      <c r="F149" s="14">
        <v>99</v>
      </c>
      <c r="G149" s="14">
        <v>19</v>
      </c>
      <c r="H149" s="14">
        <v>11</v>
      </c>
      <c r="I149" s="14">
        <v>6</v>
      </c>
      <c r="J149" s="14" t="s">
        <v>204</v>
      </c>
      <c r="K149" s="14" cm="1">
        <f t="array" ref="K149">INT(SUMPRODUCT(--ISNUMBER(SEARCH(economy,C149)))&gt;0)</f>
        <v>0</v>
      </c>
      <c r="L149" s="14" cm="1">
        <f t="array" ref="L149">INT(SUMPRODUCT(--ISNUMBER(SEARCH(healthcare,C149)))&gt;0)</f>
        <v>0</v>
      </c>
      <c r="M149" s="14" cm="1">
        <f t="array" ref="M149">INT(SUMPRODUCT(--ISNUMBER(SEARCH(supreme,C149)))&gt;0)</f>
        <v>0</v>
      </c>
      <c r="N149" s="14" cm="1">
        <f t="array" ref="N149">INT(SUMPRODUCT(--ISNUMBER(SEARCH(covid,C149)))&gt;0)</f>
        <v>0</v>
      </c>
      <c r="O149" s="14" cm="1">
        <f t="array" ref="O149">INT(SUMPRODUCT(--ISNUMBER(SEARCH(violent,C149)))&gt;0)</f>
        <v>0</v>
      </c>
      <c r="P149" s="14" cm="1">
        <f t="array" ref="P149">INT(SUMPRODUCT(--ISNUMBER(SEARCH(foreign,C149)))&gt;0)</f>
        <v>1</v>
      </c>
      <c r="Q149" s="14" cm="1">
        <f t="array" ref="Q149">INT(SUMPRODUCT(--ISNUMBER(SEARCH(gun,C149)))&gt;0)</f>
        <v>1</v>
      </c>
      <c r="R149" s="14" cm="1">
        <f t="array" ref="R149">INT(SUMPRODUCT(--ISNUMBER(SEARCH(race,C149)))&gt;0)</f>
        <v>0</v>
      </c>
      <c r="S149" s="14" cm="1">
        <f t="array" ref="S149">INT(SUMPRODUCT(--ISNUMBER(SEARCH(immigration,C149)))&gt;0)</f>
        <v>0</v>
      </c>
      <c r="T149" s="14" cm="1">
        <f t="array" ref="T149">INT(SUMPRODUCT(--ISNUMBER(SEARCH(econineq,C150)))&gt;0)</f>
        <v>0</v>
      </c>
      <c r="U149" s="14" cm="1">
        <f t="array" ref="U149">INT(SUMPRODUCT(--ISNUMBER(SEARCH(climate,C149)))&gt;0)</f>
        <v>1</v>
      </c>
      <c r="V149" s="14" cm="1">
        <f t="array" ref="V149">INT(SUMPRODUCT(--ISNUMBER(SEARCH(abortion,C149)))&gt;0)</f>
        <v>0</v>
      </c>
      <c r="W149" s="14" cm="1">
        <f t="array" ref="W149">INT(SUMPRODUCT(--ISNUMBER(SEARCH(trump,C149)))&gt;0)</f>
        <v>0</v>
      </c>
      <c r="X149" s="14" cm="1">
        <f t="array" ref="X149">INT(SUMPRODUCT(--ISNUMBER(SEARCH(voting,C149)))&gt;0)</f>
        <v>0</v>
      </c>
      <c r="Y149" s="14" cm="1">
        <f t="array" ref="Y149">INT(SUMPRODUCT(--ISNUMBER(SEARCH(democrattrigger,C149)))&gt;0)</f>
        <v>0</v>
      </c>
      <c r="Z149" s="14" cm="1">
        <f t="array" ref="Z149">INT(SUMPRODUCT(--ISNUMBER(SEARCH(bipartisan,C149)))&gt;0)</f>
        <v>0</v>
      </c>
      <c r="AA149" s="14">
        <f t="shared" si="2"/>
        <v>0</v>
      </c>
      <c r="AB149" s="14"/>
      <c r="AC149" s="30">
        <v>1</v>
      </c>
      <c r="AD149" s="37">
        <v>0</v>
      </c>
    </row>
    <row r="150" spans="1:30" x14ac:dyDescent="0.25">
      <c r="A150" s="36">
        <v>2303</v>
      </c>
      <c r="B150" s="14" t="s">
        <v>4631</v>
      </c>
      <c r="C150" s="14" t="s">
        <v>4632</v>
      </c>
      <c r="D150" s="17">
        <v>44128</v>
      </c>
      <c r="E150" s="14" t="s">
        <v>30</v>
      </c>
      <c r="F150" s="14">
        <v>43</v>
      </c>
      <c r="G150" s="14">
        <v>11</v>
      </c>
      <c r="H150" s="14">
        <v>11</v>
      </c>
      <c r="I150" s="14">
        <v>6</v>
      </c>
      <c r="J150" s="14" t="s">
        <v>204</v>
      </c>
      <c r="K150" s="14" cm="1">
        <f t="array" ref="K150">INT(SUMPRODUCT(--ISNUMBER(SEARCH(economy,C150)))&gt;0)</f>
        <v>0</v>
      </c>
      <c r="L150" s="14" cm="1">
        <f t="array" ref="L150">INT(SUMPRODUCT(--ISNUMBER(SEARCH(healthcare,C150)))&gt;0)</f>
        <v>0</v>
      </c>
      <c r="M150" s="14" cm="1">
        <f t="array" ref="M150">INT(SUMPRODUCT(--ISNUMBER(SEARCH(supreme,C150)))&gt;0)</f>
        <v>0</v>
      </c>
      <c r="N150" s="14" cm="1">
        <f t="array" ref="N150">INT(SUMPRODUCT(--ISNUMBER(SEARCH(covid,C150)))&gt;0)</f>
        <v>0</v>
      </c>
      <c r="O150" s="14" cm="1">
        <f t="array" ref="O150">INT(SUMPRODUCT(--ISNUMBER(SEARCH(violent,C150)))&gt;0)</f>
        <v>0</v>
      </c>
      <c r="P150" s="14" cm="1">
        <f t="array" ref="P150">INT(SUMPRODUCT(--ISNUMBER(SEARCH(foreign,C150)))&gt;0)</f>
        <v>0</v>
      </c>
      <c r="Q150" s="14" cm="1">
        <f t="array" ref="Q150">INT(SUMPRODUCT(--ISNUMBER(SEARCH(gun,C150)))&gt;0)</f>
        <v>0</v>
      </c>
      <c r="R150" s="14" cm="1">
        <f t="array" ref="R150">INT(SUMPRODUCT(--ISNUMBER(SEARCH(race,C150)))&gt;0)</f>
        <v>0</v>
      </c>
      <c r="S150" s="14" cm="1">
        <f t="array" ref="S150">INT(SUMPRODUCT(--ISNUMBER(SEARCH(immigration,C150)))&gt;0)</f>
        <v>0</v>
      </c>
      <c r="T150" s="14" cm="1">
        <f t="array" ref="T150">INT(SUMPRODUCT(--ISNUMBER(SEARCH(econineq,C151)))&gt;0)</f>
        <v>0</v>
      </c>
      <c r="U150" s="14" cm="1">
        <f t="array" ref="U150">INT(SUMPRODUCT(--ISNUMBER(SEARCH(climate,C150)))&gt;0)</f>
        <v>0</v>
      </c>
      <c r="V150" s="14" cm="1">
        <f t="array" ref="V150">INT(SUMPRODUCT(--ISNUMBER(SEARCH(abortion,C150)))&gt;0)</f>
        <v>0</v>
      </c>
      <c r="W150" s="14" cm="1">
        <f t="array" ref="W150">INT(SUMPRODUCT(--ISNUMBER(SEARCH(trump,C150)))&gt;0)</f>
        <v>0</v>
      </c>
      <c r="X150" s="14" cm="1">
        <f t="array" ref="X150">INT(SUMPRODUCT(--ISNUMBER(SEARCH(voting,C150)))&gt;0)</f>
        <v>1</v>
      </c>
      <c r="Y150" s="14" cm="1">
        <f t="array" ref="Y150">INT(SUMPRODUCT(--ISNUMBER(SEARCH(democrattrigger,C150)))&gt;0)</f>
        <v>0</v>
      </c>
      <c r="Z150" s="14" cm="1">
        <f t="array" ref="Z150">INT(SUMPRODUCT(--ISNUMBER(SEARCH(bipartisan,C150)))&gt;0)</f>
        <v>0</v>
      </c>
      <c r="AA150" s="14">
        <f t="shared" si="2"/>
        <v>0</v>
      </c>
      <c r="AB150" s="14"/>
      <c r="AC150" s="30">
        <v>1</v>
      </c>
      <c r="AD150" s="37">
        <v>0</v>
      </c>
    </row>
    <row r="151" spans="1:30" x14ac:dyDescent="0.25">
      <c r="A151" s="36">
        <v>2304</v>
      </c>
      <c r="B151" s="14" t="s">
        <v>4633</v>
      </c>
      <c r="C151" s="14" t="s">
        <v>4634</v>
      </c>
      <c r="D151" s="17">
        <v>44128</v>
      </c>
      <c r="E151" s="14" t="s">
        <v>30</v>
      </c>
      <c r="F151" s="14">
        <v>44</v>
      </c>
      <c r="G151" s="14">
        <v>22</v>
      </c>
      <c r="H151" s="14">
        <v>11</v>
      </c>
      <c r="I151" s="14">
        <v>6</v>
      </c>
      <c r="J151" s="14" t="s">
        <v>204</v>
      </c>
      <c r="K151" s="14" cm="1">
        <f t="array" ref="K151">INT(SUMPRODUCT(--ISNUMBER(SEARCH(economy,C151)))&gt;0)</f>
        <v>0</v>
      </c>
      <c r="L151" s="14" cm="1">
        <f t="array" ref="L151">INT(SUMPRODUCT(--ISNUMBER(SEARCH(healthcare,C151)))&gt;0)</f>
        <v>0</v>
      </c>
      <c r="M151" s="14" cm="1">
        <f t="array" ref="M151">INT(SUMPRODUCT(--ISNUMBER(SEARCH(supreme,C151)))&gt;0)</f>
        <v>0</v>
      </c>
      <c r="N151" s="14" cm="1">
        <f t="array" ref="N151">INT(SUMPRODUCT(--ISNUMBER(SEARCH(covid,C151)))&gt;0)</f>
        <v>0</v>
      </c>
      <c r="O151" s="14" cm="1">
        <f t="array" ref="O151">INT(SUMPRODUCT(--ISNUMBER(SEARCH(violent,C151)))&gt;0)</f>
        <v>0</v>
      </c>
      <c r="P151" s="14" cm="1">
        <f t="array" ref="P151">INT(SUMPRODUCT(--ISNUMBER(SEARCH(foreign,C151)))&gt;0)</f>
        <v>1</v>
      </c>
      <c r="Q151" s="14" cm="1">
        <f t="array" ref="Q151">INT(SUMPRODUCT(--ISNUMBER(SEARCH(gun,C151)))&gt;0)</f>
        <v>0</v>
      </c>
      <c r="R151" s="14" cm="1">
        <f t="array" ref="R151">INT(SUMPRODUCT(--ISNUMBER(SEARCH(race,C151)))&gt;0)</f>
        <v>0</v>
      </c>
      <c r="S151" s="14" cm="1">
        <f t="array" ref="S151">INT(SUMPRODUCT(--ISNUMBER(SEARCH(immigration,C151)))&gt;0)</f>
        <v>0</v>
      </c>
      <c r="T151" s="14" cm="1">
        <f t="array" ref="T151">INT(SUMPRODUCT(--ISNUMBER(SEARCH(econineq,C152)))&gt;0)</f>
        <v>0</v>
      </c>
      <c r="U151" s="14" cm="1">
        <f t="array" ref="U151">INT(SUMPRODUCT(--ISNUMBER(SEARCH(climate,C151)))&gt;0)</f>
        <v>0</v>
      </c>
      <c r="V151" s="14" cm="1">
        <f t="array" ref="V151">INT(SUMPRODUCT(--ISNUMBER(SEARCH(abortion,C151)))&gt;0)</f>
        <v>0</v>
      </c>
      <c r="W151" s="14" cm="1">
        <f t="array" ref="W151">INT(SUMPRODUCT(--ISNUMBER(SEARCH(trump,C151)))&gt;0)</f>
        <v>0</v>
      </c>
      <c r="X151" s="14" cm="1">
        <f t="array" ref="X151">INT(SUMPRODUCT(--ISNUMBER(SEARCH(voting,C151)))&gt;0)</f>
        <v>1</v>
      </c>
      <c r="Y151" s="14" cm="1">
        <f t="array" ref="Y151">INT(SUMPRODUCT(--ISNUMBER(SEARCH(democrattrigger,C151)))&gt;0)</f>
        <v>0</v>
      </c>
      <c r="Z151" s="14" cm="1">
        <f t="array" ref="Z151">INT(SUMPRODUCT(--ISNUMBER(SEARCH(bipartisan,C151)))&gt;0)</f>
        <v>0</v>
      </c>
      <c r="AA151" s="14">
        <f t="shared" si="2"/>
        <v>0</v>
      </c>
      <c r="AB151" s="14"/>
      <c r="AC151" s="30" t="s">
        <v>223</v>
      </c>
      <c r="AD151" s="37" t="s">
        <v>223</v>
      </c>
    </row>
    <row r="152" spans="1:30" x14ac:dyDescent="0.25">
      <c r="A152" s="36">
        <v>2305</v>
      </c>
      <c r="B152" s="14" t="s">
        <v>4635</v>
      </c>
      <c r="C152" s="14" t="s">
        <v>4636</v>
      </c>
      <c r="D152" s="17">
        <v>44128</v>
      </c>
      <c r="E152" s="14" t="s">
        <v>30</v>
      </c>
      <c r="F152" s="14">
        <v>96</v>
      </c>
      <c r="G152" s="14">
        <v>27</v>
      </c>
      <c r="H152" s="14">
        <v>11</v>
      </c>
      <c r="I152" s="14">
        <v>6</v>
      </c>
      <c r="J152" s="14" t="s">
        <v>204</v>
      </c>
      <c r="K152" s="14" cm="1">
        <f t="array" ref="K152">INT(SUMPRODUCT(--ISNUMBER(SEARCH(economy,C152)))&gt;0)</f>
        <v>1</v>
      </c>
      <c r="L152" s="14" cm="1">
        <f t="array" ref="L152">INT(SUMPRODUCT(--ISNUMBER(SEARCH(healthcare,C152)))&gt;0)</f>
        <v>0</v>
      </c>
      <c r="M152" s="14" cm="1">
        <f t="array" ref="M152">INT(SUMPRODUCT(--ISNUMBER(SEARCH(supreme,C152)))&gt;0)</f>
        <v>0</v>
      </c>
      <c r="N152" s="14" cm="1">
        <f t="array" ref="N152">INT(SUMPRODUCT(--ISNUMBER(SEARCH(covid,C152)))&gt;0)</f>
        <v>0</v>
      </c>
      <c r="O152" s="14" cm="1">
        <f t="array" ref="O152">INT(SUMPRODUCT(--ISNUMBER(SEARCH(violent,C152)))&gt;0)</f>
        <v>0</v>
      </c>
      <c r="P152" s="14" cm="1">
        <f t="array" ref="P152">INT(SUMPRODUCT(--ISNUMBER(SEARCH(foreign,C152)))&gt;0)</f>
        <v>0</v>
      </c>
      <c r="Q152" s="14" cm="1">
        <f t="array" ref="Q152">INT(SUMPRODUCT(--ISNUMBER(SEARCH(gun,C152)))&gt;0)</f>
        <v>0</v>
      </c>
      <c r="R152" s="14" cm="1">
        <f t="array" ref="R152">INT(SUMPRODUCT(--ISNUMBER(SEARCH(race,C152)))&gt;0)</f>
        <v>0</v>
      </c>
      <c r="S152" s="14" cm="1">
        <f t="array" ref="S152">INT(SUMPRODUCT(--ISNUMBER(SEARCH(immigration,C152)))&gt;0)</f>
        <v>0</v>
      </c>
      <c r="T152" s="14" cm="1">
        <f t="array" ref="T152">INT(SUMPRODUCT(--ISNUMBER(SEARCH(econineq,C153)))&gt;0)</f>
        <v>0</v>
      </c>
      <c r="U152" s="14" cm="1">
        <f t="array" ref="U152">INT(SUMPRODUCT(--ISNUMBER(SEARCH(climate,C152)))&gt;0)</f>
        <v>0</v>
      </c>
      <c r="V152" s="14" cm="1">
        <f t="array" ref="V152">INT(SUMPRODUCT(--ISNUMBER(SEARCH(abortion,C152)))&gt;0)</f>
        <v>0</v>
      </c>
      <c r="W152" s="14" cm="1">
        <f t="array" ref="W152">INT(SUMPRODUCT(--ISNUMBER(SEARCH(trump,C152)))&gt;0)</f>
        <v>0</v>
      </c>
      <c r="X152" s="14" cm="1">
        <f t="array" ref="X152">INT(SUMPRODUCT(--ISNUMBER(SEARCH(voting,C152)))&gt;0)</f>
        <v>0</v>
      </c>
      <c r="Y152" s="14" cm="1">
        <f t="array" ref="Y152">INT(SUMPRODUCT(--ISNUMBER(SEARCH(democrattrigger,C152)))&gt;0)</f>
        <v>0</v>
      </c>
      <c r="Z152" s="14" cm="1">
        <f t="array" ref="Z152">INT(SUMPRODUCT(--ISNUMBER(SEARCH(bipartisan,C152)))&gt;0)</f>
        <v>0</v>
      </c>
      <c r="AA152" s="14">
        <f t="shared" si="2"/>
        <v>0</v>
      </c>
      <c r="AB152" s="14"/>
      <c r="AC152" s="30" t="s">
        <v>223</v>
      </c>
      <c r="AD152" s="37" t="s">
        <v>223</v>
      </c>
    </row>
    <row r="153" spans="1:30" x14ac:dyDescent="0.25">
      <c r="A153" s="36">
        <v>2306</v>
      </c>
      <c r="B153" s="14" t="s">
        <v>4637</v>
      </c>
      <c r="C153" s="14" t="s">
        <v>4638</v>
      </c>
      <c r="D153" s="17">
        <v>44128</v>
      </c>
      <c r="E153" s="14" t="s">
        <v>30</v>
      </c>
      <c r="F153" s="14">
        <v>164</v>
      </c>
      <c r="G153" s="14">
        <v>36</v>
      </c>
      <c r="H153" s="14">
        <v>11</v>
      </c>
      <c r="I153" s="14">
        <v>6</v>
      </c>
      <c r="J153" s="14" t="s">
        <v>204</v>
      </c>
      <c r="K153" s="14" cm="1">
        <f t="array" ref="K153">INT(SUMPRODUCT(--ISNUMBER(SEARCH(economy,C153)))&gt;0)</f>
        <v>0</v>
      </c>
      <c r="L153" s="14" cm="1">
        <f t="array" ref="L153">INT(SUMPRODUCT(--ISNUMBER(SEARCH(healthcare,C153)))&gt;0)</f>
        <v>0</v>
      </c>
      <c r="M153" s="14" cm="1">
        <f t="array" ref="M153">INT(SUMPRODUCT(--ISNUMBER(SEARCH(supreme,C153)))&gt;0)</f>
        <v>0</v>
      </c>
      <c r="N153" s="14" cm="1">
        <f t="array" ref="N153">INT(SUMPRODUCT(--ISNUMBER(SEARCH(covid,C153)))&gt;0)</f>
        <v>1</v>
      </c>
      <c r="O153" s="14" cm="1">
        <f t="array" ref="O153">INT(SUMPRODUCT(--ISNUMBER(SEARCH(violent,C153)))&gt;0)</f>
        <v>0</v>
      </c>
      <c r="P153" s="14" cm="1">
        <f t="array" ref="P153">INT(SUMPRODUCT(--ISNUMBER(SEARCH(foreign,C153)))&gt;0)</f>
        <v>0</v>
      </c>
      <c r="Q153" s="14" cm="1">
        <f t="array" ref="Q153">INT(SUMPRODUCT(--ISNUMBER(SEARCH(gun,C153)))&gt;0)</f>
        <v>0</v>
      </c>
      <c r="R153" s="14" cm="1">
        <f t="array" ref="R153">INT(SUMPRODUCT(--ISNUMBER(SEARCH(race,C153)))&gt;0)</f>
        <v>0</v>
      </c>
      <c r="S153" s="14" cm="1">
        <f t="array" ref="S153">INT(SUMPRODUCT(--ISNUMBER(SEARCH(immigration,C153)))&gt;0)</f>
        <v>0</v>
      </c>
      <c r="T153" s="14" cm="1">
        <f t="array" ref="T153">INT(SUMPRODUCT(--ISNUMBER(SEARCH(econineq,C154)))&gt;0)</f>
        <v>0</v>
      </c>
      <c r="U153" s="14" cm="1">
        <f t="array" ref="U153">INT(SUMPRODUCT(--ISNUMBER(SEARCH(climate,C153)))&gt;0)</f>
        <v>0</v>
      </c>
      <c r="V153" s="14" cm="1">
        <f t="array" ref="V153">INT(SUMPRODUCT(--ISNUMBER(SEARCH(abortion,C153)))&gt;0)</f>
        <v>0</v>
      </c>
      <c r="W153" s="14" cm="1">
        <f t="array" ref="W153">INT(SUMPRODUCT(--ISNUMBER(SEARCH(trump,C153)))&gt;0)</f>
        <v>1</v>
      </c>
      <c r="X153" s="14" cm="1">
        <f t="array" ref="X153">INT(SUMPRODUCT(--ISNUMBER(SEARCH(voting,C153)))&gt;0)</f>
        <v>0</v>
      </c>
      <c r="Y153" s="14" cm="1">
        <f t="array" ref="Y153">INT(SUMPRODUCT(--ISNUMBER(SEARCH(democrattrigger,C153)))&gt;0)</f>
        <v>1</v>
      </c>
      <c r="Z153" s="14" cm="1">
        <f t="array" ref="Z153">INT(SUMPRODUCT(--ISNUMBER(SEARCH(bipartisan,C153)))&gt;0)</f>
        <v>1</v>
      </c>
      <c r="AA153" s="14">
        <f t="shared" si="2"/>
        <v>0</v>
      </c>
      <c r="AB153" s="14"/>
      <c r="AC153" s="30" t="s">
        <v>223</v>
      </c>
      <c r="AD153" s="37" t="s">
        <v>223</v>
      </c>
    </row>
    <row r="154" spans="1:30" x14ac:dyDescent="0.25">
      <c r="A154" s="36">
        <v>2307</v>
      </c>
      <c r="B154" s="14" t="s">
        <v>4639</v>
      </c>
      <c r="C154" s="14" t="s">
        <v>4640</v>
      </c>
      <c r="D154" s="17">
        <v>44128</v>
      </c>
      <c r="E154" s="14" t="s">
        <v>30</v>
      </c>
      <c r="F154" s="14">
        <v>217</v>
      </c>
      <c r="G154" s="14">
        <v>35</v>
      </c>
      <c r="H154" s="14">
        <v>11</v>
      </c>
      <c r="I154" s="14">
        <v>6</v>
      </c>
      <c r="J154" s="14" t="s">
        <v>204</v>
      </c>
      <c r="K154" s="14" cm="1">
        <f t="array" ref="K154">INT(SUMPRODUCT(--ISNUMBER(SEARCH(economy,C154)))&gt;0)</f>
        <v>1</v>
      </c>
      <c r="L154" s="14" cm="1">
        <f t="array" ref="L154">INT(SUMPRODUCT(--ISNUMBER(SEARCH(healthcare,C154)))&gt;0)</f>
        <v>0</v>
      </c>
      <c r="M154" s="14" cm="1">
        <f t="array" ref="M154">INT(SUMPRODUCT(--ISNUMBER(SEARCH(supreme,C154)))&gt;0)</f>
        <v>0</v>
      </c>
      <c r="N154" s="14" cm="1">
        <f t="array" ref="N154">INT(SUMPRODUCT(--ISNUMBER(SEARCH(covid,C154)))&gt;0)</f>
        <v>1</v>
      </c>
      <c r="O154" s="14" cm="1">
        <f t="array" ref="O154">INT(SUMPRODUCT(--ISNUMBER(SEARCH(violent,C154)))&gt;0)</f>
        <v>0</v>
      </c>
      <c r="P154" s="14" cm="1">
        <f t="array" ref="P154">INT(SUMPRODUCT(--ISNUMBER(SEARCH(foreign,C154)))&gt;0)</f>
        <v>0</v>
      </c>
      <c r="Q154" s="14" cm="1">
        <f t="array" ref="Q154">INT(SUMPRODUCT(--ISNUMBER(SEARCH(gun,C154)))&gt;0)</f>
        <v>0</v>
      </c>
      <c r="R154" s="14" cm="1">
        <f t="array" ref="R154">INT(SUMPRODUCT(--ISNUMBER(SEARCH(race,C154)))&gt;0)</f>
        <v>0</v>
      </c>
      <c r="S154" s="14" cm="1">
        <f t="array" ref="S154">INT(SUMPRODUCT(--ISNUMBER(SEARCH(immigration,C154)))&gt;0)</f>
        <v>0</v>
      </c>
      <c r="T154" s="14" cm="1">
        <f t="array" ref="T154">INT(SUMPRODUCT(--ISNUMBER(SEARCH(econineq,C155)))&gt;0)</f>
        <v>0</v>
      </c>
      <c r="U154" s="14" cm="1">
        <f t="array" ref="U154">INT(SUMPRODUCT(--ISNUMBER(SEARCH(climate,C154)))&gt;0)</f>
        <v>0</v>
      </c>
      <c r="V154" s="14" cm="1">
        <f t="array" ref="V154">INT(SUMPRODUCT(--ISNUMBER(SEARCH(abortion,C154)))&gt;0)</f>
        <v>0</v>
      </c>
      <c r="W154" s="14" cm="1">
        <f t="array" ref="W154">INT(SUMPRODUCT(--ISNUMBER(SEARCH(trump,C154)))&gt;0)</f>
        <v>0</v>
      </c>
      <c r="X154" s="14" cm="1">
        <f t="array" ref="X154">INT(SUMPRODUCT(--ISNUMBER(SEARCH(voting,C154)))&gt;0)</f>
        <v>1</v>
      </c>
      <c r="Y154" s="14" cm="1">
        <f t="array" ref="Y154">INT(SUMPRODUCT(--ISNUMBER(SEARCH(democrattrigger,C154)))&gt;0)</f>
        <v>0</v>
      </c>
      <c r="Z154" s="14" cm="1">
        <f t="array" ref="Z154">INT(SUMPRODUCT(--ISNUMBER(SEARCH(bipartisan,C154)))&gt;0)</f>
        <v>0</v>
      </c>
      <c r="AA154" s="14">
        <f t="shared" si="2"/>
        <v>0</v>
      </c>
      <c r="AB154" s="14"/>
      <c r="AC154" s="30">
        <v>1</v>
      </c>
      <c r="AD154" s="37">
        <v>0</v>
      </c>
    </row>
    <row r="155" spans="1:30" x14ac:dyDescent="0.25">
      <c r="A155" s="36">
        <v>2308</v>
      </c>
      <c r="B155" s="14" t="s">
        <v>4641</v>
      </c>
      <c r="C155" s="14" t="s">
        <v>4642</v>
      </c>
      <c r="D155" s="17">
        <v>44128</v>
      </c>
      <c r="E155" s="14" t="s">
        <v>30</v>
      </c>
      <c r="F155" s="14">
        <v>86</v>
      </c>
      <c r="G155" s="14">
        <v>19</v>
      </c>
      <c r="H155" s="14">
        <v>11</v>
      </c>
      <c r="I155" s="14">
        <v>6</v>
      </c>
      <c r="J155" s="14" t="s">
        <v>204</v>
      </c>
      <c r="K155" s="14" cm="1">
        <f t="array" ref="K155">INT(SUMPRODUCT(--ISNUMBER(SEARCH(economy,C155)))&gt;0)</f>
        <v>0</v>
      </c>
      <c r="L155" s="14" cm="1">
        <f t="array" ref="L155">INT(SUMPRODUCT(--ISNUMBER(SEARCH(healthcare,C155)))&gt;0)</f>
        <v>0</v>
      </c>
      <c r="M155" s="14" cm="1">
        <f t="array" ref="M155">INT(SUMPRODUCT(--ISNUMBER(SEARCH(supreme,C155)))&gt;0)</f>
        <v>0</v>
      </c>
      <c r="N155" s="14" cm="1">
        <f t="array" ref="N155">INT(SUMPRODUCT(--ISNUMBER(SEARCH(covid,C155)))&gt;0)</f>
        <v>0</v>
      </c>
      <c r="O155" s="14" cm="1">
        <f t="array" ref="O155">INT(SUMPRODUCT(--ISNUMBER(SEARCH(violent,C155)))&gt;0)</f>
        <v>0</v>
      </c>
      <c r="P155" s="14" cm="1">
        <f t="array" ref="P155">INT(SUMPRODUCT(--ISNUMBER(SEARCH(foreign,C155)))&gt;0)</f>
        <v>0</v>
      </c>
      <c r="Q155" s="14" cm="1">
        <f t="array" ref="Q155">INT(SUMPRODUCT(--ISNUMBER(SEARCH(gun,C155)))&gt;0)</f>
        <v>0</v>
      </c>
      <c r="R155" s="14" cm="1">
        <f t="array" ref="R155">INT(SUMPRODUCT(--ISNUMBER(SEARCH(race,C155)))&gt;0)</f>
        <v>0</v>
      </c>
      <c r="S155" s="14" cm="1">
        <f t="array" ref="S155">INT(SUMPRODUCT(--ISNUMBER(SEARCH(immigration,C155)))&gt;0)</f>
        <v>0</v>
      </c>
      <c r="T155" s="14" cm="1">
        <f t="array" ref="T155">INT(SUMPRODUCT(--ISNUMBER(SEARCH(econineq,C156)))&gt;0)</f>
        <v>0</v>
      </c>
      <c r="U155" s="14" cm="1">
        <f t="array" ref="U155">INT(SUMPRODUCT(--ISNUMBER(SEARCH(climate,C155)))&gt;0)</f>
        <v>0</v>
      </c>
      <c r="V155" s="14" cm="1">
        <f t="array" ref="V155">INT(SUMPRODUCT(--ISNUMBER(SEARCH(abortion,C155)))&gt;0)</f>
        <v>0</v>
      </c>
      <c r="W155" s="14" cm="1">
        <f t="array" ref="W155">INT(SUMPRODUCT(--ISNUMBER(SEARCH(trump,C155)))&gt;0)</f>
        <v>0</v>
      </c>
      <c r="X155" s="14" cm="1">
        <f t="array" ref="X155">INT(SUMPRODUCT(--ISNUMBER(SEARCH(voting,C155)))&gt;0)</f>
        <v>0</v>
      </c>
      <c r="Y155" s="14" cm="1">
        <f t="array" ref="Y155">INT(SUMPRODUCT(--ISNUMBER(SEARCH(democrattrigger,C155)))&gt;0)</f>
        <v>0</v>
      </c>
      <c r="Z155" s="14" cm="1">
        <f t="array" ref="Z155">INT(SUMPRODUCT(--ISNUMBER(SEARCH(bipartisan,C155)))&gt;0)</f>
        <v>0</v>
      </c>
      <c r="AA155" s="14">
        <f t="shared" si="2"/>
        <v>1</v>
      </c>
      <c r="AB155" s="14"/>
      <c r="AC155" s="30">
        <v>1</v>
      </c>
      <c r="AD155" s="37">
        <v>0</v>
      </c>
    </row>
    <row r="156" spans="1:30" x14ac:dyDescent="0.25">
      <c r="A156" s="36">
        <v>2309</v>
      </c>
      <c r="B156" s="14" t="s">
        <v>4643</v>
      </c>
      <c r="C156" s="14" t="s">
        <v>4644</v>
      </c>
      <c r="D156" s="17">
        <v>44127</v>
      </c>
      <c r="E156" s="14" t="s">
        <v>30</v>
      </c>
      <c r="F156" s="14">
        <v>215</v>
      </c>
      <c r="G156" s="14">
        <v>31</v>
      </c>
      <c r="H156" s="14">
        <v>11</v>
      </c>
      <c r="I156" s="14">
        <v>6</v>
      </c>
      <c r="J156" s="14" t="s">
        <v>204</v>
      </c>
      <c r="K156" s="14" cm="1">
        <f t="array" ref="K156">INT(SUMPRODUCT(--ISNUMBER(SEARCH(economy,C156)))&gt;0)</f>
        <v>1</v>
      </c>
      <c r="L156" s="14" cm="1">
        <f t="array" ref="L156">INT(SUMPRODUCT(--ISNUMBER(SEARCH(healthcare,C156)))&gt;0)</f>
        <v>0</v>
      </c>
      <c r="M156" s="14" cm="1">
        <f t="array" ref="M156">INT(SUMPRODUCT(--ISNUMBER(SEARCH(supreme,C156)))&gt;0)</f>
        <v>0</v>
      </c>
      <c r="N156" s="14" cm="1">
        <f t="array" ref="N156">INT(SUMPRODUCT(--ISNUMBER(SEARCH(covid,C156)))&gt;0)</f>
        <v>1</v>
      </c>
      <c r="O156" s="14" cm="1">
        <f t="array" ref="O156">INT(SUMPRODUCT(--ISNUMBER(SEARCH(violent,C156)))&gt;0)</f>
        <v>0</v>
      </c>
      <c r="P156" s="14" cm="1">
        <f t="array" ref="P156">INT(SUMPRODUCT(--ISNUMBER(SEARCH(foreign,C156)))&gt;0)</f>
        <v>0</v>
      </c>
      <c r="Q156" s="14" cm="1">
        <f t="array" ref="Q156">INT(SUMPRODUCT(--ISNUMBER(SEARCH(gun,C156)))&gt;0)</f>
        <v>0</v>
      </c>
      <c r="R156" s="14" cm="1">
        <f t="array" ref="R156">INT(SUMPRODUCT(--ISNUMBER(SEARCH(race,C156)))&gt;0)</f>
        <v>0</v>
      </c>
      <c r="S156" s="14" cm="1">
        <f t="array" ref="S156">INT(SUMPRODUCT(--ISNUMBER(SEARCH(immigration,C156)))&gt;0)</f>
        <v>0</v>
      </c>
      <c r="T156" s="14" cm="1">
        <f t="array" ref="T156">INT(SUMPRODUCT(--ISNUMBER(SEARCH(econineq,C157)))&gt;0)</f>
        <v>0</v>
      </c>
      <c r="U156" s="14" cm="1">
        <f t="array" ref="U156">INT(SUMPRODUCT(--ISNUMBER(SEARCH(climate,C156)))&gt;0)</f>
        <v>0</v>
      </c>
      <c r="V156" s="14" cm="1">
        <f t="array" ref="V156">INT(SUMPRODUCT(--ISNUMBER(SEARCH(abortion,C156)))&gt;0)</f>
        <v>0</v>
      </c>
      <c r="W156" s="14" cm="1">
        <f t="array" ref="W156">INT(SUMPRODUCT(--ISNUMBER(SEARCH(trump,C156)))&gt;0)</f>
        <v>0</v>
      </c>
      <c r="X156" s="14" cm="1">
        <f t="array" ref="X156">INT(SUMPRODUCT(--ISNUMBER(SEARCH(voting,C156)))&gt;0)</f>
        <v>0</v>
      </c>
      <c r="Y156" s="14" cm="1">
        <f t="array" ref="Y156">INT(SUMPRODUCT(--ISNUMBER(SEARCH(democrattrigger,C156)))&gt;0)</f>
        <v>0</v>
      </c>
      <c r="Z156" s="14" cm="1">
        <f t="array" ref="Z156">INT(SUMPRODUCT(--ISNUMBER(SEARCH(bipartisan,C156)))&gt;0)</f>
        <v>0</v>
      </c>
      <c r="AA156" s="14">
        <f t="shared" si="2"/>
        <v>0</v>
      </c>
      <c r="AB156" s="14"/>
      <c r="AC156" s="30" t="s">
        <v>223</v>
      </c>
      <c r="AD156" s="37" t="s">
        <v>223</v>
      </c>
    </row>
    <row r="157" spans="1:30" x14ac:dyDescent="0.25">
      <c r="A157" s="36">
        <v>2310</v>
      </c>
      <c r="B157" s="14" t="s">
        <v>4645</v>
      </c>
      <c r="C157" s="14" t="s">
        <v>4646</v>
      </c>
      <c r="D157" s="17">
        <v>44127</v>
      </c>
      <c r="E157" s="14" t="s">
        <v>30</v>
      </c>
      <c r="F157" s="14">
        <v>119</v>
      </c>
      <c r="G157" s="14">
        <v>34</v>
      </c>
      <c r="H157" s="14">
        <v>11</v>
      </c>
      <c r="I157" s="14">
        <v>6</v>
      </c>
      <c r="J157" s="14" t="s">
        <v>204</v>
      </c>
      <c r="K157" s="14" cm="1">
        <f t="array" ref="K157">INT(SUMPRODUCT(--ISNUMBER(SEARCH(economy,C157)))&gt;0)</f>
        <v>0</v>
      </c>
      <c r="L157" s="14" cm="1">
        <f t="array" ref="L157">INT(SUMPRODUCT(--ISNUMBER(SEARCH(healthcare,C157)))&gt;0)</f>
        <v>0</v>
      </c>
      <c r="M157" s="14" cm="1">
        <f t="array" ref="M157">INT(SUMPRODUCT(--ISNUMBER(SEARCH(supreme,C157)))&gt;0)</f>
        <v>0</v>
      </c>
      <c r="N157" s="14" cm="1">
        <f t="array" ref="N157">INT(SUMPRODUCT(--ISNUMBER(SEARCH(covid,C157)))&gt;0)</f>
        <v>0</v>
      </c>
      <c r="O157" s="14" cm="1">
        <f t="array" ref="O157">INT(SUMPRODUCT(--ISNUMBER(SEARCH(violent,C157)))&gt;0)</f>
        <v>0</v>
      </c>
      <c r="P157" s="14" cm="1">
        <f t="array" ref="P157">INT(SUMPRODUCT(--ISNUMBER(SEARCH(foreign,C157)))&gt;0)</f>
        <v>0</v>
      </c>
      <c r="Q157" s="14" cm="1">
        <f t="array" ref="Q157">INT(SUMPRODUCT(--ISNUMBER(SEARCH(gun,C157)))&gt;0)</f>
        <v>0</v>
      </c>
      <c r="R157" s="14" cm="1">
        <f t="array" ref="R157">INT(SUMPRODUCT(--ISNUMBER(SEARCH(race,C157)))&gt;0)</f>
        <v>0</v>
      </c>
      <c r="S157" s="14" cm="1">
        <f t="array" ref="S157">INT(SUMPRODUCT(--ISNUMBER(SEARCH(immigration,C157)))&gt;0)</f>
        <v>0</v>
      </c>
      <c r="T157" s="14" cm="1">
        <f t="array" ref="T157">INT(SUMPRODUCT(--ISNUMBER(SEARCH(econineq,C158)))&gt;0)</f>
        <v>0</v>
      </c>
      <c r="U157" s="14" cm="1">
        <f t="array" ref="U157">INT(SUMPRODUCT(--ISNUMBER(SEARCH(climate,C157)))&gt;0)</f>
        <v>0</v>
      </c>
      <c r="V157" s="14" cm="1">
        <f t="array" ref="V157">INT(SUMPRODUCT(--ISNUMBER(SEARCH(abortion,C157)))&gt;0)</f>
        <v>0</v>
      </c>
      <c r="W157" s="14" cm="1">
        <f t="array" ref="W157">INT(SUMPRODUCT(--ISNUMBER(SEARCH(trump,C157)))&gt;0)</f>
        <v>0</v>
      </c>
      <c r="X157" s="14" cm="1">
        <f t="array" ref="X157">INT(SUMPRODUCT(--ISNUMBER(SEARCH(voting,C157)))&gt;0)</f>
        <v>0</v>
      </c>
      <c r="Y157" s="14" cm="1">
        <f t="array" ref="Y157">INT(SUMPRODUCT(--ISNUMBER(SEARCH(democrattrigger,C157)))&gt;0)</f>
        <v>0</v>
      </c>
      <c r="Z157" s="14" cm="1">
        <f t="array" ref="Z157">INT(SUMPRODUCT(--ISNUMBER(SEARCH(bipartisan,C157)))&gt;0)</f>
        <v>0</v>
      </c>
      <c r="AA157" s="14">
        <f t="shared" si="2"/>
        <v>1</v>
      </c>
      <c r="AB157" s="14"/>
      <c r="AC157" s="30" t="s">
        <v>223</v>
      </c>
      <c r="AD157" s="37" t="s">
        <v>223</v>
      </c>
    </row>
    <row r="158" spans="1:30" x14ac:dyDescent="0.25">
      <c r="A158" s="36">
        <v>2311</v>
      </c>
      <c r="B158" s="14" t="s">
        <v>4647</v>
      </c>
      <c r="C158" s="14" t="s">
        <v>4648</v>
      </c>
      <c r="D158" s="17">
        <v>44127</v>
      </c>
      <c r="E158" s="14" t="s">
        <v>30</v>
      </c>
      <c r="F158" s="14">
        <v>166</v>
      </c>
      <c r="G158" s="14">
        <v>41</v>
      </c>
      <c r="H158" s="14">
        <v>11</v>
      </c>
      <c r="I158" s="14">
        <v>6</v>
      </c>
      <c r="J158" s="14" t="s">
        <v>204</v>
      </c>
      <c r="K158" s="14" cm="1">
        <f t="array" ref="K158">INT(SUMPRODUCT(--ISNUMBER(SEARCH(economy,C158)))&gt;0)</f>
        <v>0</v>
      </c>
      <c r="L158" s="14" cm="1">
        <f t="array" ref="L158">INT(SUMPRODUCT(--ISNUMBER(SEARCH(healthcare,C158)))&gt;0)</f>
        <v>0</v>
      </c>
      <c r="M158" s="14" cm="1">
        <f t="array" ref="M158">INT(SUMPRODUCT(--ISNUMBER(SEARCH(supreme,C158)))&gt;0)</f>
        <v>0</v>
      </c>
      <c r="N158" s="14" cm="1">
        <f t="array" ref="N158">INT(SUMPRODUCT(--ISNUMBER(SEARCH(covid,C158)))&gt;0)</f>
        <v>1</v>
      </c>
      <c r="O158" s="14" cm="1">
        <f t="array" ref="O158">INT(SUMPRODUCT(--ISNUMBER(SEARCH(violent,C158)))&gt;0)</f>
        <v>0</v>
      </c>
      <c r="P158" s="14" cm="1">
        <f t="array" ref="P158">INT(SUMPRODUCT(--ISNUMBER(SEARCH(foreign,C158)))&gt;0)</f>
        <v>0</v>
      </c>
      <c r="Q158" s="14" cm="1">
        <f t="array" ref="Q158">INT(SUMPRODUCT(--ISNUMBER(SEARCH(gun,C158)))&gt;0)</f>
        <v>0</v>
      </c>
      <c r="R158" s="14" cm="1">
        <f t="array" ref="R158">INT(SUMPRODUCT(--ISNUMBER(SEARCH(race,C158)))&gt;0)</f>
        <v>0</v>
      </c>
      <c r="S158" s="14" cm="1">
        <f t="array" ref="S158">INT(SUMPRODUCT(--ISNUMBER(SEARCH(immigration,C158)))&gt;0)</f>
        <v>0</v>
      </c>
      <c r="T158" s="14" cm="1">
        <f t="array" ref="T158">INT(SUMPRODUCT(--ISNUMBER(SEARCH(econineq,C159)))&gt;0)</f>
        <v>0</v>
      </c>
      <c r="U158" s="14" cm="1">
        <f t="array" ref="U158">INT(SUMPRODUCT(--ISNUMBER(SEARCH(climate,C158)))&gt;0)</f>
        <v>0</v>
      </c>
      <c r="V158" s="14" cm="1">
        <f t="array" ref="V158">INT(SUMPRODUCT(--ISNUMBER(SEARCH(abortion,C158)))&gt;0)</f>
        <v>0</v>
      </c>
      <c r="W158" s="14" cm="1">
        <f t="array" ref="W158">INT(SUMPRODUCT(--ISNUMBER(SEARCH(trump,C158)))&gt;0)</f>
        <v>0</v>
      </c>
      <c r="X158" s="14" cm="1">
        <f t="array" ref="X158">INT(SUMPRODUCT(--ISNUMBER(SEARCH(voting,C158)))&gt;0)</f>
        <v>0</v>
      </c>
      <c r="Y158" s="14" cm="1">
        <f t="array" ref="Y158">INT(SUMPRODUCT(--ISNUMBER(SEARCH(democrattrigger,C158)))&gt;0)</f>
        <v>0</v>
      </c>
      <c r="Z158" s="14" cm="1">
        <f t="array" ref="Z158">INT(SUMPRODUCT(--ISNUMBER(SEARCH(bipartisan,C158)))&gt;0)</f>
        <v>0</v>
      </c>
      <c r="AA158" s="14">
        <f t="shared" si="2"/>
        <v>0</v>
      </c>
      <c r="AB158" s="14"/>
      <c r="AC158" s="30">
        <v>1</v>
      </c>
      <c r="AD158" s="37">
        <v>0</v>
      </c>
    </row>
    <row r="159" spans="1:30" x14ac:dyDescent="0.25">
      <c r="A159" s="36">
        <v>2312</v>
      </c>
      <c r="B159" s="14" t="s">
        <v>4649</v>
      </c>
      <c r="C159" s="14" t="s">
        <v>4650</v>
      </c>
      <c r="D159" s="17">
        <v>44127</v>
      </c>
      <c r="E159" s="14" t="s">
        <v>30</v>
      </c>
      <c r="F159" s="14">
        <v>108</v>
      </c>
      <c r="G159" s="14">
        <v>38</v>
      </c>
      <c r="H159" s="14">
        <v>11</v>
      </c>
      <c r="I159" s="14">
        <v>6</v>
      </c>
      <c r="J159" s="14" t="s">
        <v>204</v>
      </c>
      <c r="K159" s="14" cm="1">
        <f t="array" ref="K159">INT(SUMPRODUCT(--ISNUMBER(SEARCH(economy,C159)))&gt;0)</f>
        <v>0</v>
      </c>
      <c r="L159" s="14" cm="1">
        <f t="array" ref="L159">INT(SUMPRODUCT(--ISNUMBER(SEARCH(healthcare,C159)))&gt;0)</f>
        <v>0</v>
      </c>
      <c r="M159" s="14" cm="1">
        <f t="array" ref="M159">INT(SUMPRODUCT(--ISNUMBER(SEARCH(supreme,C159)))&gt;0)</f>
        <v>1</v>
      </c>
      <c r="N159" s="14" cm="1">
        <f t="array" ref="N159">INT(SUMPRODUCT(--ISNUMBER(SEARCH(covid,C159)))&gt;0)</f>
        <v>0</v>
      </c>
      <c r="O159" s="14" cm="1">
        <f t="array" ref="O159">INT(SUMPRODUCT(--ISNUMBER(SEARCH(violent,C159)))&gt;0)</f>
        <v>0</v>
      </c>
      <c r="P159" s="14" cm="1">
        <f t="array" ref="P159">INT(SUMPRODUCT(--ISNUMBER(SEARCH(foreign,C159)))&gt;0)</f>
        <v>0</v>
      </c>
      <c r="Q159" s="14" cm="1">
        <f t="array" ref="Q159">INT(SUMPRODUCT(--ISNUMBER(SEARCH(gun,C159)))&gt;0)</f>
        <v>0</v>
      </c>
      <c r="R159" s="14" cm="1">
        <f t="array" ref="R159">INT(SUMPRODUCT(--ISNUMBER(SEARCH(race,C159)))&gt;0)</f>
        <v>0</v>
      </c>
      <c r="S159" s="14" cm="1">
        <f t="array" ref="S159">INT(SUMPRODUCT(--ISNUMBER(SEARCH(immigration,C159)))&gt;0)</f>
        <v>0</v>
      </c>
      <c r="T159" s="14" cm="1">
        <f t="array" ref="T159">INT(SUMPRODUCT(--ISNUMBER(SEARCH(econineq,C160)))&gt;0)</f>
        <v>0</v>
      </c>
      <c r="U159" s="14" cm="1">
        <f t="array" ref="U159">INT(SUMPRODUCT(--ISNUMBER(SEARCH(climate,C159)))&gt;0)</f>
        <v>0</v>
      </c>
      <c r="V159" s="14" cm="1">
        <f t="array" ref="V159">INT(SUMPRODUCT(--ISNUMBER(SEARCH(abortion,C159)))&gt;0)</f>
        <v>1</v>
      </c>
      <c r="W159" s="14" cm="1">
        <f t="array" ref="W159">INT(SUMPRODUCT(--ISNUMBER(SEARCH(trump,C159)))&gt;0)</f>
        <v>1</v>
      </c>
      <c r="X159" s="14" cm="1">
        <f t="array" ref="X159">INT(SUMPRODUCT(--ISNUMBER(SEARCH(voting,C159)))&gt;0)</f>
        <v>0</v>
      </c>
      <c r="Y159" s="14" cm="1">
        <f t="array" ref="Y159">INT(SUMPRODUCT(--ISNUMBER(SEARCH(democrattrigger,C159)))&gt;0)</f>
        <v>1</v>
      </c>
      <c r="Z159" s="14" cm="1">
        <f t="array" ref="Z159">INT(SUMPRODUCT(--ISNUMBER(SEARCH(bipartisan,C159)))&gt;0)</f>
        <v>0</v>
      </c>
      <c r="AA159" s="14">
        <f t="shared" si="2"/>
        <v>0</v>
      </c>
      <c r="AB159" s="14"/>
      <c r="AC159" s="30" t="s">
        <v>223</v>
      </c>
      <c r="AD159" s="37" t="s">
        <v>223</v>
      </c>
    </row>
    <row r="160" spans="1:30" x14ac:dyDescent="0.25">
      <c r="A160" s="36">
        <v>2313</v>
      </c>
      <c r="B160" s="14" t="s">
        <v>4651</v>
      </c>
      <c r="C160" s="14" t="s">
        <v>4652</v>
      </c>
      <c r="D160" s="17">
        <v>44127</v>
      </c>
      <c r="E160" s="14" t="s">
        <v>30</v>
      </c>
      <c r="F160" s="14">
        <v>73</v>
      </c>
      <c r="G160" s="14">
        <v>37</v>
      </c>
      <c r="H160" s="14">
        <v>11</v>
      </c>
      <c r="I160" s="14">
        <v>6</v>
      </c>
      <c r="J160" s="14" t="s">
        <v>204</v>
      </c>
      <c r="K160" s="14" cm="1">
        <f t="array" ref="K160">INT(SUMPRODUCT(--ISNUMBER(SEARCH(economy,C160)))&gt;0)</f>
        <v>0</v>
      </c>
      <c r="L160" s="14" cm="1">
        <f t="array" ref="L160">INT(SUMPRODUCT(--ISNUMBER(SEARCH(healthcare,C160)))&gt;0)</f>
        <v>0</v>
      </c>
      <c r="M160" s="14" cm="1">
        <f t="array" ref="M160">INT(SUMPRODUCT(--ISNUMBER(SEARCH(supreme,C160)))&gt;0)</f>
        <v>0</v>
      </c>
      <c r="N160" s="14" cm="1">
        <f t="array" ref="N160">INT(SUMPRODUCT(--ISNUMBER(SEARCH(covid,C160)))&gt;0)</f>
        <v>0</v>
      </c>
      <c r="O160" s="14" cm="1">
        <f t="array" ref="O160">INT(SUMPRODUCT(--ISNUMBER(SEARCH(violent,C160)))&gt;0)</f>
        <v>0</v>
      </c>
      <c r="P160" s="14" cm="1">
        <f t="array" ref="P160">INT(SUMPRODUCT(--ISNUMBER(SEARCH(foreign,C160)))&gt;0)</f>
        <v>0</v>
      </c>
      <c r="Q160" s="14" cm="1">
        <f t="array" ref="Q160">INT(SUMPRODUCT(--ISNUMBER(SEARCH(gun,C160)))&gt;0)</f>
        <v>0</v>
      </c>
      <c r="R160" s="14" cm="1">
        <f t="array" ref="R160">INT(SUMPRODUCT(--ISNUMBER(SEARCH(race,C160)))&gt;0)</f>
        <v>0</v>
      </c>
      <c r="S160" s="14" cm="1">
        <f t="array" ref="S160">INT(SUMPRODUCT(--ISNUMBER(SEARCH(immigration,C160)))&gt;0)</f>
        <v>0</v>
      </c>
      <c r="T160" s="14" cm="1">
        <f t="array" ref="T160">INT(SUMPRODUCT(--ISNUMBER(SEARCH(econineq,C161)))&gt;0)</f>
        <v>0</v>
      </c>
      <c r="U160" s="14" cm="1">
        <f t="array" ref="U160">INT(SUMPRODUCT(--ISNUMBER(SEARCH(climate,C160)))&gt;0)</f>
        <v>0</v>
      </c>
      <c r="V160" s="14" cm="1">
        <f t="array" ref="V160">INT(SUMPRODUCT(--ISNUMBER(SEARCH(abortion,C160)))&gt;0)</f>
        <v>0</v>
      </c>
      <c r="W160" s="14" cm="1">
        <f t="array" ref="W160">INT(SUMPRODUCT(--ISNUMBER(SEARCH(trump,C160)))&gt;0)</f>
        <v>1</v>
      </c>
      <c r="X160" s="14" cm="1">
        <f t="array" ref="X160">INT(SUMPRODUCT(--ISNUMBER(SEARCH(voting,C160)))&gt;0)</f>
        <v>1</v>
      </c>
      <c r="Y160" s="14" cm="1">
        <f t="array" ref="Y160">INT(SUMPRODUCT(--ISNUMBER(SEARCH(democrattrigger,C160)))&gt;0)</f>
        <v>1</v>
      </c>
      <c r="Z160" s="14" cm="1">
        <f t="array" ref="Z160">INT(SUMPRODUCT(--ISNUMBER(SEARCH(bipartisan,C160)))&gt;0)</f>
        <v>0</v>
      </c>
      <c r="AA160" s="14">
        <f t="shared" si="2"/>
        <v>0</v>
      </c>
      <c r="AB160" s="14"/>
      <c r="AC160" s="30" t="s">
        <v>223</v>
      </c>
      <c r="AD160" s="37" t="s">
        <v>223</v>
      </c>
    </row>
    <row r="161" spans="1:30" x14ac:dyDescent="0.25">
      <c r="A161" s="36">
        <v>2314</v>
      </c>
      <c r="B161" s="14" t="s">
        <v>4653</v>
      </c>
      <c r="C161" s="14" t="s">
        <v>4654</v>
      </c>
      <c r="D161" s="17">
        <v>44127</v>
      </c>
      <c r="E161" s="14" t="s">
        <v>30</v>
      </c>
      <c r="F161" s="14">
        <v>423</v>
      </c>
      <c r="G161" s="14">
        <v>56</v>
      </c>
      <c r="H161" s="14">
        <v>11</v>
      </c>
      <c r="I161" s="14">
        <v>6</v>
      </c>
      <c r="J161" s="14" t="s">
        <v>204</v>
      </c>
      <c r="K161" s="14" cm="1">
        <f t="array" ref="K161">INT(SUMPRODUCT(--ISNUMBER(SEARCH(economy,C161)))&gt;0)</f>
        <v>0</v>
      </c>
      <c r="L161" s="14" cm="1">
        <f t="array" ref="L161">INT(SUMPRODUCT(--ISNUMBER(SEARCH(healthcare,C161)))&gt;0)</f>
        <v>0</v>
      </c>
      <c r="M161" s="14" cm="1">
        <f t="array" ref="M161">INT(SUMPRODUCT(--ISNUMBER(SEARCH(supreme,C161)))&gt;0)</f>
        <v>0</v>
      </c>
      <c r="N161" s="14" cm="1">
        <f t="array" ref="N161">INT(SUMPRODUCT(--ISNUMBER(SEARCH(covid,C161)))&gt;0)</f>
        <v>0</v>
      </c>
      <c r="O161" s="14" cm="1">
        <f t="array" ref="O161">INT(SUMPRODUCT(--ISNUMBER(SEARCH(violent,C161)))&gt;0)</f>
        <v>0</v>
      </c>
      <c r="P161" s="14" cm="1">
        <f t="array" ref="P161">INT(SUMPRODUCT(--ISNUMBER(SEARCH(foreign,C161)))&gt;0)</f>
        <v>0</v>
      </c>
      <c r="Q161" s="14" cm="1">
        <f t="array" ref="Q161">INT(SUMPRODUCT(--ISNUMBER(SEARCH(gun,C161)))&gt;0)</f>
        <v>0</v>
      </c>
      <c r="R161" s="14" cm="1">
        <f t="array" ref="R161">INT(SUMPRODUCT(--ISNUMBER(SEARCH(race,C161)))&gt;0)</f>
        <v>0</v>
      </c>
      <c r="S161" s="14" cm="1">
        <f t="array" ref="S161">INT(SUMPRODUCT(--ISNUMBER(SEARCH(immigration,C161)))&gt;0)</f>
        <v>0</v>
      </c>
      <c r="T161" s="14" cm="1">
        <f t="array" ref="T161">INT(SUMPRODUCT(--ISNUMBER(SEARCH(econineq,C162)))&gt;0)</f>
        <v>0</v>
      </c>
      <c r="U161" s="14" cm="1">
        <f t="array" ref="U161">INT(SUMPRODUCT(--ISNUMBER(SEARCH(climate,C161)))&gt;0)</f>
        <v>0</v>
      </c>
      <c r="V161" s="14" cm="1">
        <f t="array" ref="V161">INT(SUMPRODUCT(--ISNUMBER(SEARCH(abortion,C161)))&gt;0)</f>
        <v>0</v>
      </c>
      <c r="W161" s="14" cm="1">
        <f t="array" ref="W161">INT(SUMPRODUCT(--ISNUMBER(SEARCH(trump,C161)))&gt;0)</f>
        <v>0</v>
      </c>
      <c r="X161" s="14" cm="1">
        <f t="array" ref="X161">INT(SUMPRODUCT(--ISNUMBER(SEARCH(voting,C161)))&gt;0)</f>
        <v>1</v>
      </c>
      <c r="Y161" s="14" cm="1">
        <f t="array" ref="Y161">INT(SUMPRODUCT(--ISNUMBER(SEARCH(democrattrigger,C161)))&gt;0)</f>
        <v>0</v>
      </c>
      <c r="Z161" s="14" cm="1">
        <f t="array" ref="Z161">INT(SUMPRODUCT(--ISNUMBER(SEARCH(bipartisan,C161)))&gt;0)</f>
        <v>0</v>
      </c>
      <c r="AA161" s="14">
        <f t="shared" si="2"/>
        <v>0</v>
      </c>
      <c r="AB161" s="14"/>
      <c r="AC161" s="30">
        <v>1</v>
      </c>
      <c r="AD161" s="37">
        <v>0</v>
      </c>
    </row>
    <row r="162" spans="1:30" x14ac:dyDescent="0.25">
      <c r="A162" s="36">
        <v>2315</v>
      </c>
      <c r="B162" s="14" t="s">
        <v>4655</v>
      </c>
      <c r="C162" s="14" t="s">
        <v>4656</v>
      </c>
      <c r="D162" s="17">
        <v>44127</v>
      </c>
      <c r="E162" s="14" t="s">
        <v>30</v>
      </c>
      <c r="F162" s="14">
        <v>130</v>
      </c>
      <c r="G162" s="14">
        <v>25</v>
      </c>
      <c r="H162" s="14">
        <v>11</v>
      </c>
      <c r="I162" s="14">
        <v>6</v>
      </c>
      <c r="J162" s="14" t="s">
        <v>204</v>
      </c>
      <c r="K162" s="14" cm="1">
        <f t="array" ref="K162">INT(SUMPRODUCT(--ISNUMBER(SEARCH(economy,C162)))&gt;0)</f>
        <v>0</v>
      </c>
      <c r="L162" s="14" cm="1">
        <f t="array" ref="L162">INT(SUMPRODUCT(--ISNUMBER(SEARCH(healthcare,C162)))&gt;0)</f>
        <v>0</v>
      </c>
      <c r="M162" s="14" cm="1">
        <f t="array" ref="M162">INT(SUMPRODUCT(--ISNUMBER(SEARCH(supreme,C162)))&gt;0)</f>
        <v>0</v>
      </c>
      <c r="N162" s="14" cm="1">
        <f t="array" ref="N162">INT(SUMPRODUCT(--ISNUMBER(SEARCH(covid,C162)))&gt;0)</f>
        <v>0</v>
      </c>
      <c r="O162" s="14" cm="1">
        <f t="array" ref="O162">INT(SUMPRODUCT(--ISNUMBER(SEARCH(violent,C162)))&gt;0)</f>
        <v>0</v>
      </c>
      <c r="P162" s="14" cm="1">
        <f t="array" ref="P162">INT(SUMPRODUCT(--ISNUMBER(SEARCH(foreign,C162)))&gt;0)</f>
        <v>1</v>
      </c>
      <c r="Q162" s="14" cm="1">
        <f t="array" ref="Q162">INT(SUMPRODUCT(--ISNUMBER(SEARCH(gun,C162)))&gt;0)</f>
        <v>0</v>
      </c>
      <c r="R162" s="14" cm="1">
        <f t="array" ref="R162">INT(SUMPRODUCT(--ISNUMBER(SEARCH(race,C162)))&gt;0)</f>
        <v>0</v>
      </c>
      <c r="S162" s="14" cm="1">
        <f t="array" ref="S162">INT(SUMPRODUCT(--ISNUMBER(SEARCH(immigration,C162)))&gt;0)</f>
        <v>0</v>
      </c>
      <c r="T162" s="14" cm="1">
        <f t="array" ref="T162">INT(SUMPRODUCT(--ISNUMBER(SEARCH(econineq,C163)))&gt;0)</f>
        <v>0</v>
      </c>
      <c r="U162" s="14" cm="1">
        <f t="array" ref="U162">INT(SUMPRODUCT(--ISNUMBER(SEARCH(climate,C162)))&gt;0)</f>
        <v>0</v>
      </c>
      <c r="V162" s="14" cm="1">
        <f t="array" ref="V162">INT(SUMPRODUCT(--ISNUMBER(SEARCH(abortion,C162)))&gt;0)</f>
        <v>0</v>
      </c>
      <c r="W162" s="14" cm="1">
        <f t="array" ref="W162">INT(SUMPRODUCT(--ISNUMBER(SEARCH(trump,C162)))&gt;0)</f>
        <v>0</v>
      </c>
      <c r="X162" s="14" cm="1">
        <f t="array" ref="X162">INT(SUMPRODUCT(--ISNUMBER(SEARCH(voting,C162)))&gt;0)</f>
        <v>1</v>
      </c>
      <c r="Y162" s="14" cm="1">
        <f t="array" ref="Y162">INT(SUMPRODUCT(--ISNUMBER(SEARCH(democrattrigger,C162)))&gt;0)</f>
        <v>0</v>
      </c>
      <c r="Z162" s="14" cm="1">
        <f t="array" ref="Z162">INT(SUMPRODUCT(--ISNUMBER(SEARCH(bipartisan,C162)))&gt;0)</f>
        <v>0</v>
      </c>
      <c r="AA162" s="14">
        <f t="shared" si="2"/>
        <v>0</v>
      </c>
      <c r="AB162" s="14"/>
      <c r="AC162" s="30" t="s">
        <v>223</v>
      </c>
      <c r="AD162" s="37" t="s">
        <v>223</v>
      </c>
    </row>
    <row r="163" spans="1:30" x14ac:dyDescent="0.25">
      <c r="A163" s="36">
        <v>2316</v>
      </c>
      <c r="B163" s="14" t="s">
        <v>4657</v>
      </c>
      <c r="C163" s="14" t="s">
        <v>4658</v>
      </c>
      <c r="D163" s="17">
        <v>44127</v>
      </c>
      <c r="E163" s="14" t="s">
        <v>30</v>
      </c>
      <c r="F163" s="14">
        <v>1027</v>
      </c>
      <c r="G163" s="14">
        <v>144</v>
      </c>
      <c r="H163" s="14">
        <v>11</v>
      </c>
      <c r="I163" s="14">
        <v>6</v>
      </c>
      <c r="J163" s="14" t="s">
        <v>204</v>
      </c>
      <c r="K163" s="14" cm="1">
        <f t="array" ref="K163">INT(SUMPRODUCT(--ISNUMBER(SEARCH(economy,C163)))&gt;0)</f>
        <v>0</v>
      </c>
      <c r="L163" s="14" cm="1">
        <f t="array" ref="L163">INT(SUMPRODUCT(--ISNUMBER(SEARCH(healthcare,C163)))&gt;0)</f>
        <v>0</v>
      </c>
      <c r="M163" s="14" cm="1">
        <f t="array" ref="M163">INT(SUMPRODUCT(--ISNUMBER(SEARCH(supreme,C163)))&gt;0)</f>
        <v>0</v>
      </c>
      <c r="N163" s="14" cm="1">
        <f t="array" ref="N163">INT(SUMPRODUCT(--ISNUMBER(SEARCH(covid,C163)))&gt;0)</f>
        <v>0</v>
      </c>
      <c r="O163" s="14" cm="1">
        <f t="array" ref="O163">INT(SUMPRODUCT(--ISNUMBER(SEARCH(violent,C163)))&gt;0)</f>
        <v>0</v>
      </c>
      <c r="P163" s="14" cm="1">
        <f t="array" ref="P163">INT(SUMPRODUCT(--ISNUMBER(SEARCH(foreign,C163)))&gt;0)</f>
        <v>0</v>
      </c>
      <c r="Q163" s="14" cm="1">
        <f t="array" ref="Q163">INT(SUMPRODUCT(--ISNUMBER(SEARCH(gun,C163)))&gt;0)</f>
        <v>0</v>
      </c>
      <c r="R163" s="14" cm="1">
        <f t="array" ref="R163">INT(SUMPRODUCT(--ISNUMBER(SEARCH(race,C163)))&gt;0)</f>
        <v>0</v>
      </c>
      <c r="S163" s="14" cm="1">
        <f t="array" ref="S163">INT(SUMPRODUCT(--ISNUMBER(SEARCH(immigration,C163)))&gt;0)</f>
        <v>0</v>
      </c>
      <c r="T163" s="14" cm="1">
        <f t="array" ref="T163">INT(SUMPRODUCT(--ISNUMBER(SEARCH(econineq,C164)))&gt;0)</f>
        <v>0</v>
      </c>
      <c r="U163" s="14" cm="1">
        <f t="array" ref="U163">INT(SUMPRODUCT(--ISNUMBER(SEARCH(climate,C163)))&gt;0)</f>
        <v>0</v>
      </c>
      <c r="V163" s="14" cm="1">
        <f t="array" ref="V163">INT(SUMPRODUCT(--ISNUMBER(SEARCH(abortion,C163)))&gt;0)</f>
        <v>0</v>
      </c>
      <c r="W163" s="14" cm="1">
        <f t="array" ref="W163">INT(SUMPRODUCT(--ISNUMBER(SEARCH(trump,C163)))&gt;0)</f>
        <v>1</v>
      </c>
      <c r="X163" s="14" cm="1">
        <f t="array" ref="X163">INT(SUMPRODUCT(--ISNUMBER(SEARCH(voting,C163)))&gt;0)</f>
        <v>0</v>
      </c>
      <c r="Y163" s="14" cm="1">
        <f t="array" ref="Y163">INT(SUMPRODUCT(--ISNUMBER(SEARCH(democrattrigger,C163)))&gt;0)</f>
        <v>1</v>
      </c>
      <c r="Z163" s="14" cm="1">
        <f t="array" ref="Z163">INT(SUMPRODUCT(--ISNUMBER(SEARCH(bipartisan,C163)))&gt;0)</f>
        <v>0</v>
      </c>
      <c r="AA163" s="14">
        <f t="shared" si="2"/>
        <v>0</v>
      </c>
      <c r="AB163" s="14"/>
      <c r="AC163" s="30" t="s">
        <v>223</v>
      </c>
      <c r="AD163" s="37" t="s">
        <v>223</v>
      </c>
    </row>
    <row r="164" spans="1:30" x14ac:dyDescent="0.25">
      <c r="A164" s="36">
        <v>2317</v>
      </c>
      <c r="B164" s="14" t="s">
        <v>4659</v>
      </c>
      <c r="C164" s="14" t="s">
        <v>4660</v>
      </c>
      <c r="D164" s="17">
        <v>44127</v>
      </c>
      <c r="E164" s="14" t="s">
        <v>30</v>
      </c>
      <c r="F164" s="14">
        <v>249</v>
      </c>
      <c r="G164" s="14">
        <v>35</v>
      </c>
      <c r="H164" s="14">
        <v>11</v>
      </c>
      <c r="I164" s="14">
        <v>6</v>
      </c>
      <c r="J164" s="14" t="s">
        <v>204</v>
      </c>
      <c r="K164" s="14" cm="1">
        <f t="array" ref="K164">INT(SUMPRODUCT(--ISNUMBER(SEARCH(economy,C164)))&gt;0)</f>
        <v>0</v>
      </c>
      <c r="L164" s="14" cm="1">
        <f t="array" ref="L164">INT(SUMPRODUCT(--ISNUMBER(SEARCH(healthcare,C164)))&gt;0)</f>
        <v>0</v>
      </c>
      <c r="M164" s="14" cm="1">
        <f t="array" ref="M164">INT(SUMPRODUCT(--ISNUMBER(SEARCH(supreme,C164)))&gt;0)</f>
        <v>0</v>
      </c>
      <c r="N164" s="14" cm="1">
        <f t="array" ref="N164">INT(SUMPRODUCT(--ISNUMBER(SEARCH(covid,C164)))&gt;0)</f>
        <v>0</v>
      </c>
      <c r="O164" s="14" cm="1">
        <f t="array" ref="O164">INT(SUMPRODUCT(--ISNUMBER(SEARCH(violent,C164)))&gt;0)</f>
        <v>0</v>
      </c>
      <c r="P164" s="14" cm="1">
        <f t="array" ref="P164">INT(SUMPRODUCT(--ISNUMBER(SEARCH(foreign,C164)))&gt;0)</f>
        <v>0</v>
      </c>
      <c r="Q164" s="14" cm="1">
        <f t="array" ref="Q164">INT(SUMPRODUCT(--ISNUMBER(SEARCH(gun,C164)))&gt;0)</f>
        <v>0</v>
      </c>
      <c r="R164" s="14" cm="1">
        <f t="array" ref="R164">INT(SUMPRODUCT(--ISNUMBER(SEARCH(race,C164)))&gt;0)</f>
        <v>0</v>
      </c>
      <c r="S164" s="14" cm="1">
        <f t="array" ref="S164">INT(SUMPRODUCT(--ISNUMBER(SEARCH(immigration,C164)))&gt;0)</f>
        <v>0</v>
      </c>
      <c r="T164" s="14" cm="1">
        <f t="array" ref="T164">INT(SUMPRODUCT(--ISNUMBER(SEARCH(econineq,C165)))&gt;0)</f>
        <v>0</v>
      </c>
      <c r="U164" s="14" cm="1">
        <f t="array" ref="U164">INT(SUMPRODUCT(--ISNUMBER(SEARCH(climate,C164)))&gt;0)</f>
        <v>0</v>
      </c>
      <c r="V164" s="14" cm="1">
        <f t="array" ref="V164">INT(SUMPRODUCT(--ISNUMBER(SEARCH(abortion,C164)))&gt;0)</f>
        <v>0</v>
      </c>
      <c r="W164" s="14" cm="1">
        <f t="array" ref="W164">INT(SUMPRODUCT(--ISNUMBER(SEARCH(trump,C164)))&gt;0)</f>
        <v>0</v>
      </c>
      <c r="X164" s="14" cm="1">
        <f t="array" ref="X164">INT(SUMPRODUCT(--ISNUMBER(SEARCH(voting,C164)))&gt;0)</f>
        <v>0</v>
      </c>
      <c r="Y164" s="14" cm="1">
        <f t="array" ref="Y164">INT(SUMPRODUCT(--ISNUMBER(SEARCH(democrattrigger,C164)))&gt;0)</f>
        <v>0</v>
      </c>
      <c r="Z164" s="14" cm="1">
        <f t="array" ref="Z164">INT(SUMPRODUCT(--ISNUMBER(SEARCH(bipartisan,C164)))&gt;0)</f>
        <v>0</v>
      </c>
      <c r="AA164" s="14">
        <f t="shared" si="2"/>
        <v>1</v>
      </c>
      <c r="AB164" s="14"/>
      <c r="AC164" s="30">
        <v>1</v>
      </c>
      <c r="AD164" s="37">
        <v>0</v>
      </c>
    </row>
    <row r="165" spans="1:30" x14ac:dyDescent="0.25">
      <c r="A165" s="36">
        <v>2318</v>
      </c>
      <c r="B165" s="14" t="s">
        <v>4661</v>
      </c>
      <c r="C165" s="14" t="s">
        <v>4662</v>
      </c>
      <c r="D165" s="17">
        <v>44127</v>
      </c>
      <c r="E165" s="14" t="s">
        <v>30</v>
      </c>
      <c r="F165" s="14">
        <v>52</v>
      </c>
      <c r="G165" s="14">
        <v>23</v>
      </c>
      <c r="H165" s="14">
        <v>11</v>
      </c>
      <c r="I165" s="14">
        <v>6</v>
      </c>
      <c r="J165" s="14" t="s">
        <v>204</v>
      </c>
      <c r="K165" s="14" cm="1">
        <f t="array" ref="K165">INT(SUMPRODUCT(--ISNUMBER(SEARCH(economy,C165)))&gt;0)</f>
        <v>0</v>
      </c>
      <c r="L165" s="14" cm="1">
        <f t="array" ref="L165">INT(SUMPRODUCT(--ISNUMBER(SEARCH(healthcare,C165)))&gt;0)</f>
        <v>0</v>
      </c>
      <c r="M165" s="14" cm="1">
        <f t="array" ref="M165">INT(SUMPRODUCT(--ISNUMBER(SEARCH(supreme,C165)))&gt;0)</f>
        <v>0</v>
      </c>
      <c r="N165" s="14" cm="1">
        <f t="array" ref="N165">INT(SUMPRODUCT(--ISNUMBER(SEARCH(covid,C165)))&gt;0)</f>
        <v>0</v>
      </c>
      <c r="O165" s="14" cm="1">
        <f t="array" ref="O165">INT(SUMPRODUCT(--ISNUMBER(SEARCH(violent,C165)))&gt;0)</f>
        <v>0</v>
      </c>
      <c r="P165" s="14" cm="1">
        <f t="array" ref="P165">INT(SUMPRODUCT(--ISNUMBER(SEARCH(foreign,C165)))&gt;0)</f>
        <v>0</v>
      </c>
      <c r="Q165" s="14" cm="1">
        <f t="array" ref="Q165">INT(SUMPRODUCT(--ISNUMBER(SEARCH(gun,C165)))&gt;0)</f>
        <v>0</v>
      </c>
      <c r="R165" s="14" cm="1">
        <f t="array" ref="R165">INT(SUMPRODUCT(--ISNUMBER(SEARCH(race,C165)))&gt;0)</f>
        <v>0</v>
      </c>
      <c r="S165" s="14" cm="1">
        <f t="array" ref="S165">INT(SUMPRODUCT(--ISNUMBER(SEARCH(immigration,C165)))&gt;0)</f>
        <v>0</v>
      </c>
      <c r="T165" s="14" cm="1">
        <f t="array" ref="T165">INT(SUMPRODUCT(--ISNUMBER(SEARCH(econineq,C166)))&gt;0)</f>
        <v>0</v>
      </c>
      <c r="U165" s="14" cm="1">
        <f t="array" ref="U165">INT(SUMPRODUCT(--ISNUMBER(SEARCH(climate,C165)))&gt;0)</f>
        <v>0</v>
      </c>
      <c r="V165" s="14" cm="1">
        <f t="array" ref="V165">INT(SUMPRODUCT(--ISNUMBER(SEARCH(abortion,C165)))&gt;0)</f>
        <v>0</v>
      </c>
      <c r="W165" s="14" cm="1">
        <f t="array" ref="W165">INT(SUMPRODUCT(--ISNUMBER(SEARCH(trump,C165)))&gt;0)</f>
        <v>0</v>
      </c>
      <c r="X165" s="14" cm="1">
        <f t="array" ref="X165">INT(SUMPRODUCT(--ISNUMBER(SEARCH(voting,C165)))&gt;0)</f>
        <v>0</v>
      </c>
      <c r="Y165" s="14" cm="1">
        <f t="array" ref="Y165">INT(SUMPRODUCT(--ISNUMBER(SEARCH(democrattrigger,C165)))&gt;0)</f>
        <v>0</v>
      </c>
      <c r="Z165" s="14" cm="1">
        <f t="array" ref="Z165">INT(SUMPRODUCT(--ISNUMBER(SEARCH(bipartisan,C165)))&gt;0)</f>
        <v>0</v>
      </c>
      <c r="AA165" s="14">
        <f t="shared" si="2"/>
        <v>1</v>
      </c>
      <c r="AB165" s="14"/>
      <c r="AC165" s="30" t="s">
        <v>223</v>
      </c>
      <c r="AD165" s="37" t="s">
        <v>223</v>
      </c>
    </row>
    <row r="166" spans="1:30" x14ac:dyDescent="0.25">
      <c r="A166" s="36">
        <v>2319</v>
      </c>
      <c r="B166" s="14" t="s">
        <v>4663</v>
      </c>
      <c r="C166" s="14" t="s">
        <v>4664</v>
      </c>
      <c r="D166" s="17">
        <v>44126</v>
      </c>
      <c r="E166" s="14" t="s">
        <v>30</v>
      </c>
      <c r="F166" s="14">
        <v>95</v>
      </c>
      <c r="G166" s="14">
        <v>19</v>
      </c>
      <c r="H166" s="14">
        <v>11</v>
      </c>
      <c r="I166" s="14">
        <v>6</v>
      </c>
      <c r="J166" s="14" t="s">
        <v>204</v>
      </c>
      <c r="K166" s="14" cm="1">
        <f t="array" ref="K166">INT(SUMPRODUCT(--ISNUMBER(SEARCH(economy,C166)))&gt;0)</f>
        <v>0</v>
      </c>
      <c r="L166" s="14" cm="1">
        <f t="array" ref="L166">INT(SUMPRODUCT(--ISNUMBER(SEARCH(healthcare,C166)))&gt;0)</f>
        <v>1</v>
      </c>
      <c r="M166" s="14" cm="1">
        <f t="array" ref="M166">INT(SUMPRODUCT(--ISNUMBER(SEARCH(supreme,C166)))&gt;0)</f>
        <v>0</v>
      </c>
      <c r="N166" s="14" cm="1">
        <f t="array" ref="N166">INT(SUMPRODUCT(--ISNUMBER(SEARCH(covid,C166)))&gt;0)</f>
        <v>1</v>
      </c>
      <c r="O166" s="14" cm="1">
        <f t="array" ref="O166">INT(SUMPRODUCT(--ISNUMBER(SEARCH(violent,C166)))&gt;0)</f>
        <v>0</v>
      </c>
      <c r="P166" s="14" cm="1">
        <f t="array" ref="P166">INT(SUMPRODUCT(--ISNUMBER(SEARCH(foreign,C166)))&gt;0)</f>
        <v>0</v>
      </c>
      <c r="Q166" s="14" cm="1">
        <f t="array" ref="Q166">INT(SUMPRODUCT(--ISNUMBER(SEARCH(gun,C166)))&gt;0)</f>
        <v>0</v>
      </c>
      <c r="R166" s="14" cm="1">
        <f t="array" ref="R166">INT(SUMPRODUCT(--ISNUMBER(SEARCH(race,C166)))&gt;0)</f>
        <v>0</v>
      </c>
      <c r="S166" s="14" cm="1">
        <f t="array" ref="S166">INT(SUMPRODUCT(--ISNUMBER(SEARCH(immigration,C166)))&gt;0)</f>
        <v>0</v>
      </c>
      <c r="T166" s="14" cm="1">
        <f t="array" ref="T166">INT(SUMPRODUCT(--ISNUMBER(SEARCH(econineq,C167)))&gt;0)</f>
        <v>0</v>
      </c>
      <c r="U166" s="14" cm="1">
        <f t="array" ref="U166">INT(SUMPRODUCT(--ISNUMBER(SEARCH(climate,C166)))&gt;0)</f>
        <v>0</v>
      </c>
      <c r="V166" s="14" cm="1">
        <f t="array" ref="V166">INT(SUMPRODUCT(--ISNUMBER(SEARCH(abortion,C166)))&gt;0)</f>
        <v>0</v>
      </c>
      <c r="W166" s="14" cm="1">
        <f t="array" ref="W166">INT(SUMPRODUCT(--ISNUMBER(SEARCH(trump,C166)))&gt;0)</f>
        <v>0</v>
      </c>
      <c r="X166" s="14" cm="1">
        <f t="array" ref="X166">INT(SUMPRODUCT(--ISNUMBER(SEARCH(voting,C166)))&gt;0)</f>
        <v>0</v>
      </c>
      <c r="Y166" s="14" cm="1">
        <f t="array" ref="Y166">INT(SUMPRODUCT(--ISNUMBER(SEARCH(democrattrigger,C166)))&gt;0)</f>
        <v>0</v>
      </c>
      <c r="Z166" s="14" cm="1">
        <f t="array" ref="Z166">INT(SUMPRODUCT(--ISNUMBER(SEARCH(bipartisan,C166)))&gt;0)</f>
        <v>0</v>
      </c>
      <c r="AA166" s="14">
        <f t="shared" si="2"/>
        <v>0</v>
      </c>
      <c r="AB166" s="14"/>
      <c r="AC166" s="30" t="s">
        <v>223</v>
      </c>
      <c r="AD166" s="37" t="s">
        <v>223</v>
      </c>
    </row>
    <row r="167" spans="1:30" x14ac:dyDescent="0.25">
      <c r="A167" s="36">
        <v>2320</v>
      </c>
      <c r="B167" s="14" t="s">
        <v>4665</v>
      </c>
      <c r="C167" s="14" t="s">
        <v>4666</v>
      </c>
      <c r="D167" s="17">
        <v>44126</v>
      </c>
      <c r="E167" s="14" t="s">
        <v>30</v>
      </c>
      <c r="F167" s="14">
        <v>67</v>
      </c>
      <c r="G167" s="14">
        <v>25</v>
      </c>
      <c r="H167" s="14">
        <v>11</v>
      </c>
      <c r="I167" s="14">
        <v>6</v>
      </c>
      <c r="J167" s="14" t="s">
        <v>204</v>
      </c>
      <c r="K167" s="14" cm="1">
        <f t="array" ref="K167">INT(SUMPRODUCT(--ISNUMBER(SEARCH(economy,C167)))&gt;0)</f>
        <v>0</v>
      </c>
      <c r="L167" s="14" cm="1">
        <f t="array" ref="L167">INT(SUMPRODUCT(--ISNUMBER(SEARCH(healthcare,C167)))&gt;0)</f>
        <v>0</v>
      </c>
      <c r="M167" s="14" cm="1">
        <f t="array" ref="M167">INT(SUMPRODUCT(--ISNUMBER(SEARCH(supreme,C167)))&gt;0)</f>
        <v>0</v>
      </c>
      <c r="N167" s="14" cm="1">
        <f t="array" ref="N167">INT(SUMPRODUCT(--ISNUMBER(SEARCH(covid,C167)))&gt;0)</f>
        <v>0</v>
      </c>
      <c r="O167" s="14" cm="1">
        <f t="array" ref="O167">INT(SUMPRODUCT(--ISNUMBER(SEARCH(violent,C167)))&gt;0)</f>
        <v>0</v>
      </c>
      <c r="P167" s="14" cm="1">
        <f t="array" ref="P167">INT(SUMPRODUCT(--ISNUMBER(SEARCH(foreign,C167)))&gt;0)</f>
        <v>0</v>
      </c>
      <c r="Q167" s="14" cm="1">
        <f t="array" ref="Q167">INT(SUMPRODUCT(--ISNUMBER(SEARCH(gun,C167)))&gt;0)</f>
        <v>0</v>
      </c>
      <c r="R167" s="14" cm="1">
        <f t="array" ref="R167">INT(SUMPRODUCT(--ISNUMBER(SEARCH(race,C167)))&gt;0)</f>
        <v>0</v>
      </c>
      <c r="S167" s="14" cm="1">
        <f t="array" ref="S167">INT(SUMPRODUCT(--ISNUMBER(SEARCH(immigration,C167)))&gt;0)</f>
        <v>0</v>
      </c>
      <c r="T167" s="14" cm="1">
        <f t="array" ref="T167">INT(SUMPRODUCT(--ISNUMBER(SEARCH(econineq,C168)))&gt;0)</f>
        <v>0</v>
      </c>
      <c r="U167" s="14" cm="1">
        <f t="array" ref="U167">INT(SUMPRODUCT(--ISNUMBER(SEARCH(climate,C167)))&gt;0)</f>
        <v>0</v>
      </c>
      <c r="V167" s="14" cm="1">
        <f t="array" ref="V167">INT(SUMPRODUCT(--ISNUMBER(SEARCH(abortion,C167)))&gt;0)</f>
        <v>0</v>
      </c>
      <c r="W167" s="14" cm="1">
        <f t="array" ref="W167">INT(SUMPRODUCT(--ISNUMBER(SEARCH(trump,C167)))&gt;0)</f>
        <v>0</v>
      </c>
      <c r="X167" s="14" cm="1">
        <f t="array" ref="X167">INT(SUMPRODUCT(--ISNUMBER(SEARCH(voting,C167)))&gt;0)</f>
        <v>1</v>
      </c>
      <c r="Y167" s="14" cm="1">
        <f t="array" ref="Y167">INT(SUMPRODUCT(--ISNUMBER(SEARCH(democrattrigger,C167)))&gt;0)</f>
        <v>0</v>
      </c>
      <c r="Z167" s="14" cm="1">
        <f t="array" ref="Z167">INT(SUMPRODUCT(--ISNUMBER(SEARCH(bipartisan,C167)))&gt;0)</f>
        <v>0</v>
      </c>
      <c r="AA167" s="14">
        <f t="shared" si="2"/>
        <v>0</v>
      </c>
      <c r="AB167" s="14"/>
      <c r="AC167" s="30" t="s">
        <v>223</v>
      </c>
      <c r="AD167" s="37" t="s">
        <v>223</v>
      </c>
    </row>
    <row r="168" spans="1:30" x14ac:dyDescent="0.25">
      <c r="A168" s="36">
        <v>2321</v>
      </c>
      <c r="B168" s="14" t="s">
        <v>4667</v>
      </c>
      <c r="C168" s="14" t="s">
        <v>4668</v>
      </c>
      <c r="D168" s="17">
        <v>44126</v>
      </c>
      <c r="E168" s="14" t="s">
        <v>30</v>
      </c>
      <c r="F168" s="14">
        <v>370</v>
      </c>
      <c r="G168" s="14">
        <v>56</v>
      </c>
      <c r="H168" s="14">
        <v>11</v>
      </c>
      <c r="I168" s="14">
        <v>6</v>
      </c>
      <c r="J168" s="14" t="s">
        <v>204</v>
      </c>
      <c r="K168" s="14" cm="1">
        <f t="array" ref="K168">INT(SUMPRODUCT(--ISNUMBER(SEARCH(economy,C168)))&gt;0)</f>
        <v>0</v>
      </c>
      <c r="L168" s="14" cm="1">
        <f t="array" ref="L168">INT(SUMPRODUCT(--ISNUMBER(SEARCH(healthcare,C168)))&gt;0)</f>
        <v>1</v>
      </c>
      <c r="M168" s="14" cm="1">
        <f t="array" ref="M168">INT(SUMPRODUCT(--ISNUMBER(SEARCH(supreme,C168)))&gt;0)</f>
        <v>1</v>
      </c>
      <c r="N168" s="14" cm="1">
        <f t="array" ref="N168">INT(SUMPRODUCT(--ISNUMBER(SEARCH(covid,C168)))&gt;0)</f>
        <v>0</v>
      </c>
      <c r="O168" s="14" cm="1">
        <f t="array" ref="O168">INT(SUMPRODUCT(--ISNUMBER(SEARCH(violent,C168)))&gt;0)</f>
        <v>0</v>
      </c>
      <c r="P168" s="14" cm="1">
        <f t="array" ref="P168">INT(SUMPRODUCT(--ISNUMBER(SEARCH(foreign,C168)))&gt;0)</f>
        <v>0</v>
      </c>
      <c r="Q168" s="14" cm="1">
        <f t="array" ref="Q168">INT(SUMPRODUCT(--ISNUMBER(SEARCH(gun,C168)))&gt;0)</f>
        <v>0</v>
      </c>
      <c r="R168" s="14" cm="1">
        <f t="array" ref="R168">INT(SUMPRODUCT(--ISNUMBER(SEARCH(race,C168)))&gt;0)</f>
        <v>1</v>
      </c>
      <c r="S168" s="14" cm="1">
        <f t="array" ref="S168">INT(SUMPRODUCT(--ISNUMBER(SEARCH(immigration,C168)))&gt;0)</f>
        <v>0</v>
      </c>
      <c r="T168" s="14" cm="1">
        <f t="array" ref="T168">INT(SUMPRODUCT(--ISNUMBER(SEARCH(econineq,C169)))&gt;0)</f>
        <v>0</v>
      </c>
      <c r="U168" s="14" cm="1">
        <f t="array" ref="U168">INT(SUMPRODUCT(--ISNUMBER(SEARCH(climate,C168)))&gt;0)</f>
        <v>0</v>
      </c>
      <c r="V168" s="14" cm="1">
        <f t="array" ref="V168">INT(SUMPRODUCT(--ISNUMBER(SEARCH(abortion,C168)))&gt;0)</f>
        <v>1</v>
      </c>
      <c r="W168" s="14" cm="1">
        <f t="array" ref="W168">INT(SUMPRODUCT(--ISNUMBER(SEARCH(trump,C168)))&gt;0)</f>
        <v>0</v>
      </c>
      <c r="X168" s="14" cm="1">
        <f t="array" ref="X168">INT(SUMPRODUCT(--ISNUMBER(SEARCH(voting,C168)))&gt;0)</f>
        <v>1</v>
      </c>
      <c r="Y168" s="14" cm="1">
        <f t="array" ref="Y168">INT(SUMPRODUCT(--ISNUMBER(SEARCH(democrattrigger,C168)))&gt;0)</f>
        <v>0</v>
      </c>
      <c r="Z168" s="14" cm="1">
        <f t="array" ref="Z168">INT(SUMPRODUCT(--ISNUMBER(SEARCH(bipartisan,C168)))&gt;0)</f>
        <v>0</v>
      </c>
      <c r="AA168" s="14">
        <f t="shared" si="2"/>
        <v>0</v>
      </c>
      <c r="AB168" s="14"/>
      <c r="AC168" s="30">
        <v>0</v>
      </c>
      <c r="AD168" s="37">
        <v>1</v>
      </c>
    </row>
    <row r="169" spans="1:30" x14ac:dyDescent="0.25">
      <c r="A169" s="36">
        <v>2322</v>
      </c>
      <c r="B169" s="14" t="s">
        <v>4669</v>
      </c>
      <c r="C169" s="14" t="s">
        <v>4670</v>
      </c>
      <c r="D169" s="17">
        <v>44126</v>
      </c>
      <c r="E169" s="14" t="s">
        <v>30</v>
      </c>
      <c r="F169" s="14">
        <v>87</v>
      </c>
      <c r="G169" s="14">
        <v>14</v>
      </c>
      <c r="H169" s="14">
        <v>11</v>
      </c>
      <c r="I169" s="14">
        <v>6</v>
      </c>
      <c r="J169" s="14" t="s">
        <v>204</v>
      </c>
      <c r="K169" s="14" cm="1">
        <f t="array" ref="K169">INT(SUMPRODUCT(--ISNUMBER(SEARCH(economy,C169)))&gt;0)</f>
        <v>1</v>
      </c>
      <c r="L169" s="14" cm="1">
        <f t="array" ref="L169">INT(SUMPRODUCT(--ISNUMBER(SEARCH(healthcare,C169)))&gt;0)</f>
        <v>0</v>
      </c>
      <c r="M169" s="14" cm="1">
        <f t="array" ref="M169">INT(SUMPRODUCT(--ISNUMBER(SEARCH(supreme,C169)))&gt;0)</f>
        <v>0</v>
      </c>
      <c r="N169" s="14" cm="1">
        <f t="array" ref="N169">INT(SUMPRODUCT(--ISNUMBER(SEARCH(covid,C169)))&gt;0)</f>
        <v>0</v>
      </c>
      <c r="O169" s="14" cm="1">
        <f t="array" ref="O169">INT(SUMPRODUCT(--ISNUMBER(SEARCH(violent,C169)))&gt;0)</f>
        <v>0</v>
      </c>
      <c r="P169" s="14" cm="1">
        <f t="array" ref="P169">INT(SUMPRODUCT(--ISNUMBER(SEARCH(foreign,C169)))&gt;0)</f>
        <v>0</v>
      </c>
      <c r="Q169" s="14" cm="1">
        <f t="array" ref="Q169">INT(SUMPRODUCT(--ISNUMBER(SEARCH(gun,C169)))&gt;0)</f>
        <v>0</v>
      </c>
      <c r="R169" s="14" cm="1">
        <f t="array" ref="R169">INT(SUMPRODUCT(--ISNUMBER(SEARCH(race,C169)))&gt;0)</f>
        <v>1</v>
      </c>
      <c r="S169" s="14" cm="1">
        <f t="array" ref="S169">INT(SUMPRODUCT(--ISNUMBER(SEARCH(immigration,C169)))&gt;0)</f>
        <v>0</v>
      </c>
      <c r="T169" s="14" cm="1">
        <f t="array" ref="T169">INT(SUMPRODUCT(--ISNUMBER(SEARCH(econineq,C170)))&gt;0)</f>
        <v>1</v>
      </c>
      <c r="U169" s="14" cm="1">
        <f t="array" ref="U169">INT(SUMPRODUCT(--ISNUMBER(SEARCH(climate,C169)))&gt;0)</f>
        <v>0</v>
      </c>
      <c r="V169" s="14" cm="1">
        <f t="array" ref="V169">INT(SUMPRODUCT(--ISNUMBER(SEARCH(abortion,C169)))&gt;0)</f>
        <v>0</v>
      </c>
      <c r="W169" s="14" cm="1">
        <f t="array" ref="W169">INT(SUMPRODUCT(--ISNUMBER(SEARCH(trump,C169)))&gt;0)</f>
        <v>0</v>
      </c>
      <c r="X169" s="14" cm="1">
        <f t="array" ref="X169">INT(SUMPRODUCT(--ISNUMBER(SEARCH(voting,C169)))&gt;0)</f>
        <v>0</v>
      </c>
      <c r="Y169" s="14" cm="1">
        <f t="array" ref="Y169">INT(SUMPRODUCT(--ISNUMBER(SEARCH(democrattrigger,C169)))&gt;0)</f>
        <v>0</v>
      </c>
      <c r="Z169" s="14" cm="1">
        <f t="array" ref="Z169">INT(SUMPRODUCT(--ISNUMBER(SEARCH(bipartisan,C169)))&gt;0)</f>
        <v>0</v>
      </c>
      <c r="AA169" s="14">
        <f t="shared" si="2"/>
        <v>0</v>
      </c>
      <c r="AB169" s="14"/>
      <c r="AC169" s="30" t="s">
        <v>223</v>
      </c>
      <c r="AD169" s="37" t="s">
        <v>223</v>
      </c>
    </row>
    <row r="170" spans="1:30" x14ac:dyDescent="0.25">
      <c r="A170" s="36">
        <v>2323</v>
      </c>
      <c r="B170" s="14" t="s">
        <v>4671</v>
      </c>
      <c r="C170" s="14" t="s">
        <v>4672</v>
      </c>
      <c r="D170" s="17">
        <v>44126</v>
      </c>
      <c r="E170" s="14" t="s">
        <v>30</v>
      </c>
      <c r="F170" s="14">
        <v>276</v>
      </c>
      <c r="G170" s="14">
        <v>45</v>
      </c>
      <c r="H170" s="14">
        <v>11</v>
      </c>
      <c r="I170" s="14">
        <v>6</v>
      </c>
      <c r="J170" s="14" t="s">
        <v>204</v>
      </c>
      <c r="K170" s="14" cm="1">
        <f t="array" ref="K170">INT(SUMPRODUCT(--ISNUMBER(SEARCH(economy,C170)))&gt;0)</f>
        <v>0</v>
      </c>
      <c r="L170" s="14" cm="1">
        <f t="array" ref="L170">INT(SUMPRODUCT(--ISNUMBER(SEARCH(healthcare,C170)))&gt;0)</f>
        <v>0</v>
      </c>
      <c r="M170" s="14" cm="1">
        <f t="array" ref="M170">INT(SUMPRODUCT(--ISNUMBER(SEARCH(supreme,C170)))&gt;0)</f>
        <v>0</v>
      </c>
      <c r="N170" s="14" cm="1">
        <f t="array" ref="N170">INT(SUMPRODUCT(--ISNUMBER(SEARCH(covid,C170)))&gt;0)</f>
        <v>0</v>
      </c>
      <c r="O170" s="14" cm="1">
        <f t="array" ref="O170">INT(SUMPRODUCT(--ISNUMBER(SEARCH(violent,C170)))&gt;0)</f>
        <v>0</v>
      </c>
      <c r="P170" s="14" cm="1">
        <f t="array" ref="P170">INT(SUMPRODUCT(--ISNUMBER(SEARCH(foreign,C170)))&gt;0)</f>
        <v>0</v>
      </c>
      <c r="Q170" s="14" cm="1">
        <f t="array" ref="Q170">INT(SUMPRODUCT(--ISNUMBER(SEARCH(gun,C170)))&gt;0)</f>
        <v>0</v>
      </c>
      <c r="R170" s="14" cm="1">
        <f t="array" ref="R170">INT(SUMPRODUCT(--ISNUMBER(SEARCH(race,C170)))&gt;0)</f>
        <v>0</v>
      </c>
      <c r="S170" s="14" cm="1">
        <f t="array" ref="S170">INT(SUMPRODUCT(--ISNUMBER(SEARCH(immigration,C170)))&gt;0)</f>
        <v>0</v>
      </c>
      <c r="T170" s="14" cm="1">
        <f t="array" ref="T170">INT(SUMPRODUCT(--ISNUMBER(SEARCH(econineq,C171)))&gt;0)</f>
        <v>0</v>
      </c>
      <c r="U170" s="14" cm="1">
        <f t="array" ref="U170">INT(SUMPRODUCT(--ISNUMBER(SEARCH(climate,C170)))&gt;0)</f>
        <v>0</v>
      </c>
      <c r="V170" s="14" cm="1">
        <f t="array" ref="V170">INT(SUMPRODUCT(--ISNUMBER(SEARCH(abortion,C170)))&gt;0)</f>
        <v>0</v>
      </c>
      <c r="W170" s="14" cm="1">
        <f t="array" ref="W170">INT(SUMPRODUCT(--ISNUMBER(SEARCH(trump,C170)))&gt;0)</f>
        <v>0</v>
      </c>
      <c r="X170" s="14" cm="1">
        <f t="array" ref="X170">INT(SUMPRODUCT(--ISNUMBER(SEARCH(voting,C170)))&gt;0)</f>
        <v>0</v>
      </c>
      <c r="Y170" s="14" cm="1">
        <f t="array" ref="Y170">INT(SUMPRODUCT(--ISNUMBER(SEARCH(democrattrigger,C170)))&gt;0)</f>
        <v>0</v>
      </c>
      <c r="Z170" s="14" cm="1">
        <f t="array" ref="Z170">INT(SUMPRODUCT(--ISNUMBER(SEARCH(bipartisan,C170)))&gt;0)</f>
        <v>0</v>
      </c>
      <c r="AA170" s="14">
        <f t="shared" si="2"/>
        <v>1</v>
      </c>
      <c r="AB170" s="14"/>
      <c r="AC170" s="30">
        <v>1</v>
      </c>
      <c r="AD170" s="37">
        <v>0</v>
      </c>
    </row>
    <row r="171" spans="1:30" x14ac:dyDescent="0.25">
      <c r="A171" s="36">
        <v>2324</v>
      </c>
      <c r="B171" s="14" t="s">
        <v>4673</v>
      </c>
      <c r="C171" s="14" t="s">
        <v>4674</v>
      </c>
      <c r="D171" s="17">
        <v>44126</v>
      </c>
      <c r="E171" s="14" t="s">
        <v>30</v>
      </c>
      <c r="F171" s="14">
        <v>119</v>
      </c>
      <c r="G171" s="14">
        <v>35</v>
      </c>
      <c r="H171" s="14">
        <v>11</v>
      </c>
      <c r="I171" s="14">
        <v>6</v>
      </c>
      <c r="J171" s="14" t="s">
        <v>204</v>
      </c>
      <c r="K171" s="14" cm="1">
        <f t="array" ref="K171">INT(SUMPRODUCT(--ISNUMBER(SEARCH(economy,C171)))&gt;0)</f>
        <v>0</v>
      </c>
      <c r="L171" s="14" cm="1">
        <f t="array" ref="L171">INT(SUMPRODUCT(--ISNUMBER(SEARCH(healthcare,C171)))&gt;0)</f>
        <v>1</v>
      </c>
      <c r="M171" s="14" cm="1">
        <f t="array" ref="M171">INT(SUMPRODUCT(--ISNUMBER(SEARCH(supreme,C171)))&gt;0)</f>
        <v>1</v>
      </c>
      <c r="N171" s="14" cm="1">
        <f t="array" ref="N171">INT(SUMPRODUCT(--ISNUMBER(SEARCH(covid,C171)))&gt;0)</f>
        <v>0</v>
      </c>
      <c r="O171" s="14" cm="1">
        <f t="array" ref="O171">INT(SUMPRODUCT(--ISNUMBER(SEARCH(violent,C171)))&gt;0)</f>
        <v>0</v>
      </c>
      <c r="P171" s="14" cm="1">
        <f t="array" ref="P171">INT(SUMPRODUCT(--ISNUMBER(SEARCH(foreign,C171)))&gt;0)</f>
        <v>0</v>
      </c>
      <c r="Q171" s="14" cm="1">
        <f t="array" ref="Q171">INT(SUMPRODUCT(--ISNUMBER(SEARCH(gun,C171)))&gt;0)</f>
        <v>0</v>
      </c>
      <c r="R171" s="14" cm="1">
        <f t="array" ref="R171">INT(SUMPRODUCT(--ISNUMBER(SEARCH(race,C171)))&gt;0)</f>
        <v>1</v>
      </c>
      <c r="S171" s="14" cm="1">
        <f t="array" ref="S171">INT(SUMPRODUCT(--ISNUMBER(SEARCH(immigration,C171)))&gt;0)</f>
        <v>0</v>
      </c>
      <c r="T171" s="14" cm="1">
        <f t="array" ref="T171">INT(SUMPRODUCT(--ISNUMBER(SEARCH(econineq,C172)))&gt;0)</f>
        <v>1</v>
      </c>
      <c r="U171" s="14" cm="1">
        <f t="array" ref="U171">INT(SUMPRODUCT(--ISNUMBER(SEARCH(climate,C171)))&gt;0)</f>
        <v>0</v>
      </c>
      <c r="V171" s="14" cm="1">
        <f t="array" ref="V171">INT(SUMPRODUCT(--ISNUMBER(SEARCH(abortion,C171)))&gt;0)</f>
        <v>1</v>
      </c>
      <c r="W171" s="14" cm="1">
        <f t="array" ref="W171">INT(SUMPRODUCT(--ISNUMBER(SEARCH(trump,C171)))&gt;0)</f>
        <v>0</v>
      </c>
      <c r="X171" s="14" cm="1">
        <f t="array" ref="X171">INT(SUMPRODUCT(--ISNUMBER(SEARCH(voting,C171)))&gt;0)</f>
        <v>0</v>
      </c>
      <c r="Y171" s="14" cm="1">
        <f t="array" ref="Y171">INT(SUMPRODUCT(--ISNUMBER(SEARCH(democrattrigger,C171)))&gt;0)</f>
        <v>0</v>
      </c>
      <c r="Z171" s="14" cm="1">
        <f t="array" ref="Z171">INT(SUMPRODUCT(--ISNUMBER(SEARCH(bipartisan,C171)))&gt;0)</f>
        <v>0</v>
      </c>
      <c r="AA171" s="14">
        <f t="shared" si="2"/>
        <v>0</v>
      </c>
      <c r="AB171" s="14"/>
      <c r="AC171" s="30" t="s">
        <v>223</v>
      </c>
      <c r="AD171" s="37" t="s">
        <v>223</v>
      </c>
    </row>
    <row r="172" spans="1:30" x14ac:dyDescent="0.25">
      <c r="A172" s="36">
        <v>2325</v>
      </c>
      <c r="B172" s="14" t="s">
        <v>4675</v>
      </c>
      <c r="C172" s="14" t="s">
        <v>4676</v>
      </c>
      <c r="D172" s="17">
        <v>44126</v>
      </c>
      <c r="E172" s="14" t="s">
        <v>30</v>
      </c>
      <c r="F172" s="14">
        <v>331</v>
      </c>
      <c r="G172" s="14">
        <v>72</v>
      </c>
      <c r="H172" s="14">
        <v>11</v>
      </c>
      <c r="I172" s="14">
        <v>6</v>
      </c>
      <c r="J172" s="14" t="s">
        <v>204</v>
      </c>
      <c r="K172" s="14" cm="1">
        <f t="array" ref="K172">INT(SUMPRODUCT(--ISNUMBER(SEARCH(economy,C172)))&gt;0)</f>
        <v>0</v>
      </c>
      <c r="L172" s="14" cm="1">
        <f t="array" ref="L172">INT(SUMPRODUCT(--ISNUMBER(SEARCH(healthcare,C172)))&gt;0)</f>
        <v>1</v>
      </c>
      <c r="M172" s="14" cm="1">
        <f t="array" ref="M172">INT(SUMPRODUCT(--ISNUMBER(SEARCH(supreme,C172)))&gt;0)</f>
        <v>0</v>
      </c>
      <c r="N172" s="14" cm="1">
        <f t="array" ref="N172">INT(SUMPRODUCT(--ISNUMBER(SEARCH(covid,C172)))&gt;0)</f>
        <v>0</v>
      </c>
      <c r="O172" s="14" cm="1">
        <f t="array" ref="O172">INT(SUMPRODUCT(--ISNUMBER(SEARCH(violent,C172)))&gt;0)</f>
        <v>0</v>
      </c>
      <c r="P172" s="14" cm="1">
        <f t="array" ref="P172">INT(SUMPRODUCT(--ISNUMBER(SEARCH(foreign,C172)))&gt;0)</f>
        <v>0</v>
      </c>
      <c r="Q172" s="14" cm="1">
        <f t="array" ref="Q172">INT(SUMPRODUCT(--ISNUMBER(SEARCH(gun,C172)))&gt;0)</f>
        <v>0</v>
      </c>
      <c r="R172" s="14" cm="1">
        <f t="array" ref="R172">INT(SUMPRODUCT(--ISNUMBER(SEARCH(race,C172)))&gt;0)</f>
        <v>1</v>
      </c>
      <c r="S172" s="14" cm="1">
        <f t="array" ref="S172">INT(SUMPRODUCT(--ISNUMBER(SEARCH(immigration,C172)))&gt;0)</f>
        <v>0</v>
      </c>
      <c r="T172" s="14" cm="1">
        <f t="array" ref="T172">INT(SUMPRODUCT(--ISNUMBER(SEARCH(econineq,C173)))&gt;0)</f>
        <v>0</v>
      </c>
      <c r="U172" s="14" cm="1">
        <f t="array" ref="U172">INT(SUMPRODUCT(--ISNUMBER(SEARCH(climate,C172)))&gt;0)</f>
        <v>0</v>
      </c>
      <c r="V172" s="14" cm="1">
        <f t="array" ref="V172">INT(SUMPRODUCT(--ISNUMBER(SEARCH(abortion,C172)))&gt;0)</f>
        <v>0</v>
      </c>
      <c r="W172" s="14" cm="1">
        <f t="array" ref="W172">INT(SUMPRODUCT(--ISNUMBER(SEARCH(trump,C172)))&gt;0)</f>
        <v>0</v>
      </c>
      <c r="X172" s="14" cm="1">
        <f t="array" ref="X172">INT(SUMPRODUCT(--ISNUMBER(SEARCH(voting,C172)))&gt;0)</f>
        <v>0</v>
      </c>
      <c r="Y172" s="14" cm="1">
        <f t="array" ref="Y172">INT(SUMPRODUCT(--ISNUMBER(SEARCH(democrattrigger,C172)))&gt;0)</f>
        <v>0</v>
      </c>
      <c r="Z172" s="14" cm="1">
        <f t="array" ref="Z172">INT(SUMPRODUCT(--ISNUMBER(SEARCH(bipartisan,C172)))&gt;0)</f>
        <v>0</v>
      </c>
      <c r="AA172" s="14">
        <f t="shared" si="2"/>
        <v>0</v>
      </c>
      <c r="AB172" s="14"/>
      <c r="AC172" s="30" t="s">
        <v>223</v>
      </c>
      <c r="AD172" s="37" t="s">
        <v>223</v>
      </c>
    </row>
    <row r="173" spans="1:30" x14ac:dyDescent="0.25">
      <c r="A173" s="36">
        <v>2326</v>
      </c>
      <c r="B173" s="14" t="s">
        <v>4677</v>
      </c>
      <c r="C173" s="14" t="s">
        <v>4678</v>
      </c>
      <c r="D173" s="17">
        <v>44126</v>
      </c>
      <c r="E173" s="14" t="s">
        <v>30</v>
      </c>
      <c r="F173" s="14">
        <v>1171</v>
      </c>
      <c r="G173" s="14">
        <v>381</v>
      </c>
      <c r="H173" s="14">
        <v>11</v>
      </c>
      <c r="I173" s="14">
        <v>6</v>
      </c>
      <c r="J173" s="14" t="s">
        <v>204</v>
      </c>
      <c r="K173" s="14" cm="1">
        <f t="array" ref="K173">INT(SUMPRODUCT(--ISNUMBER(SEARCH(economy,C173)))&gt;0)</f>
        <v>0</v>
      </c>
      <c r="L173" s="14" cm="1">
        <f t="array" ref="L173">INT(SUMPRODUCT(--ISNUMBER(SEARCH(healthcare,C173)))&gt;0)</f>
        <v>0</v>
      </c>
      <c r="M173" s="14" cm="1">
        <f t="array" ref="M173">INT(SUMPRODUCT(--ISNUMBER(SEARCH(supreme,C173)))&gt;0)</f>
        <v>0</v>
      </c>
      <c r="N173" s="14" cm="1">
        <f t="array" ref="N173">INT(SUMPRODUCT(--ISNUMBER(SEARCH(covid,C173)))&gt;0)</f>
        <v>0</v>
      </c>
      <c r="O173" s="14" cm="1">
        <f t="array" ref="O173">INT(SUMPRODUCT(--ISNUMBER(SEARCH(violent,C173)))&gt;0)</f>
        <v>0</v>
      </c>
      <c r="P173" s="14" cm="1">
        <f t="array" ref="P173">INT(SUMPRODUCT(--ISNUMBER(SEARCH(foreign,C173)))&gt;0)</f>
        <v>0</v>
      </c>
      <c r="Q173" s="14" cm="1">
        <f t="array" ref="Q173">INT(SUMPRODUCT(--ISNUMBER(SEARCH(gun,C173)))&gt;0)</f>
        <v>0</v>
      </c>
      <c r="R173" s="14" cm="1">
        <f t="array" ref="R173">INT(SUMPRODUCT(--ISNUMBER(SEARCH(race,C173)))&gt;0)</f>
        <v>0</v>
      </c>
      <c r="S173" s="14" cm="1">
        <f t="array" ref="S173">INT(SUMPRODUCT(--ISNUMBER(SEARCH(immigration,C173)))&gt;0)</f>
        <v>0</v>
      </c>
      <c r="T173" s="14" cm="1">
        <f t="array" ref="T173">INT(SUMPRODUCT(--ISNUMBER(SEARCH(econineq,C174)))&gt;0)</f>
        <v>0</v>
      </c>
      <c r="U173" s="14" cm="1">
        <f t="array" ref="U173">INT(SUMPRODUCT(--ISNUMBER(SEARCH(climate,C173)))&gt;0)</f>
        <v>0</v>
      </c>
      <c r="V173" s="14" cm="1">
        <f t="array" ref="V173">INT(SUMPRODUCT(--ISNUMBER(SEARCH(abortion,C173)))&gt;0)</f>
        <v>0</v>
      </c>
      <c r="W173" s="14" cm="1">
        <f t="array" ref="W173">INT(SUMPRODUCT(--ISNUMBER(SEARCH(trump,C173)))&gt;0)</f>
        <v>0</v>
      </c>
      <c r="X173" s="14" cm="1">
        <f t="array" ref="X173">INT(SUMPRODUCT(--ISNUMBER(SEARCH(voting,C173)))&gt;0)</f>
        <v>1</v>
      </c>
      <c r="Y173" s="14" cm="1">
        <f t="array" ref="Y173">INT(SUMPRODUCT(--ISNUMBER(SEARCH(democrattrigger,C173)))&gt;0)</f>
        <v>1</v>
      </c>
      <c r="Z173" s="14" cm="1">
        <f t="array" ref="Z173">INT(SUMPRODUCT(--ISNUMBER(SEARCH(bipartisan,C173)))&gt;0)</f>
        <v>0</v>
      </c>
      <c r="AA173" s="14">
        <f t="shared" si="2"/>
        <v>0</v>
      </c>
      <c r="AB173" s="14"/>
      <c r="AC173" s="30" t="s">
        <v>223</v>
      </c>
      <c r="AD173" s="37" t="s">
        <v>223</v>
      </c>
    </row>
    <row r="174" spans="1:30" x14ac:dyDescent="0.25">
      <c r="A174" s="36">
        <v>2327</v>
      </c>
      <c r="B174" s="14" t="s">
        <v>4679</v>
      </c>
      <c r="C174" s="14" t="s">
        <v>4680</v>
      </c>
      <c r="D174" s="17">
        <v>44125</v>
      </c>
      <c r="E174" s="14" t="s">
        <v>30</v>
      </c>
      <c r="F174" s="14">
        <v>83</v>
      </c>
      <c r="G174" s="14">
        <v>11</v>
      </c>
      <c r="H174" s="14">
        <v>11</v>
      </c>
      <c r="I174" s="14">
        <v>6</v>
      </c>
      <c r="J174" s="14" t="s">
        <v>204</v>
      </c>
      <c r="K174" s="14" cm="1">
        <f t="array" ref="K174">INT(SUMPRODUCT(--ISNUMBER(SEARCH(economy,C174)))&gt;0)</f>
        <v>0</v>
      </c>
      <c r="L174" s="14" cm="1">
        <f t="array" ref="L174">INT(SUMPRODUCT(--ISNUMBER(SEARCH(healthcare,C174)))&gt;0)</f>
        <v>0</v>
      </c>
      <c r="M174" s="14" cm="1">
        <f t="array" ref="M174">INT(SUMPRODUCT(--ISNUMBER(SEARCH(supreme,C174)))&gt;0)</f>
        <v>0</v>
      </c>
      <c r="N174" s="14" cm="1">
        <f t="array" ref="N174">INT(SUMPRODUCT(--ISNUMBER(SEARCH(covid,C174)))&gt;0)</f>
        <v>0</v>
      </c>
      <c r="O174" s="14" cm="1">
        <f t="array" ref="O174">INT(SUMPRODUCT(--ISNUMBER(SEARCH(violent,C174)))&gt;0)</f>
        <v>0</v>
      </c>
      <c r="P174" s="14" cm="1">
        <f t="array" ref="P174">INT(SUMPRODUCT(--ISNUMBER(SEARCH(foreign,C174)))&gt;0)</f>
        <v>0</v>
      </c>
      <c r="Q174" s="14" cm="1">
        <f t="array" ref="Q174">INT(SUMPRODUCT(--ISNUMBER(SEARCH(gun,C174)))&gt;0)</f>
        <v>0</v>
      </c>
      <c r="R174" s="14" cm="1">
        <f t="array" ref="R174">INT(SUMPRODUCT(--ISNUMBER(SEARCH(race,C174)))&gt;0)</f>
        <v>0</v>
      </c>
      <c r="S174" s="14" cm="1">
        <f t="array" ref="S174">INT(SUMPRODUCT(--ISNUMBER(SEARCH(immigration,C174)))&gt;0)</f>
        <v>0</v>
      </c>
      <c r="T174" s="14" cm="1">
        <f t="array" ref="T174">INT(SUMPRODUCT(--ISNUMBER(SEARCH(econineq,C175)))&gt;0)</f>
        <v>0</v>
      </c>
      <c r="U174" s="14" cm="1">
        <f t="array" ref="U174">INT(SUMPRODUCT(--ISNUMBER(SEARCH(climate,C174)))&gt;0)</f>
        <v>0</v>
      </c>
      <c r="V174" s="14" cm="1">
        <f t="array" ref="V174">INT(SUMPRODUCT(--ISNUMBER(SEARCH(abortion,C174)))&gt;0)</f>
        <v>0</v>
      </c>
      <c r="W174" s="14" cm="1">
        <f t="array" ref="W174">INT(SUMPRODUCT(--ISNUMBER(SEARCH(trump,C174)))&gt;0)</f>
        <v>0</v>
      </c>
      <c r="X174" s="14" cm="1">
        <f t="array" ref="X174">INT(SUMPRODUCT(--ISNUMBER(SEARCH(voting,C174)))&gt;0)</f>
        <v>0</v>
      </c>
      <c r="Y174" s="14" cm="1">
        <f t="array" ref="Y174">INT(SUMPRODUCT(--ISNUMBER(SEARCH(democrattrigger,C174)))&gt;0)</f>
        <v>0</v>
      </c>
      <c r="Z174" s="14" cm="1">
        <f t="array" ref="Z174">INT(SUMPRODUCT(--ISNUMBER(SEARCH(bipartisan,C174)))&gt;0)</f>
        <v>0</v>
      </c>
      <c r="AA174" s="14">
        <f t="shared" si="2"/>
        <v>1</v>
      </c>
      <c r="AB174" s="14"/>
      <c r="AC174" s="30" t="s">
        <v>223</v>
      </c>
      <c r="AD174" s="37" t="s">
        <v>223</v>
      </c>
    </row>
    <row r="175" spans="1:30" x14ac:dyDescent="0.25">
      <c r="A175" s="36">
        <v>2328</v>
      </c>
      <c r="B175" s="14" t="s">
        <v>4681</v>
      </c>
      <c r="C175" s="14" t="s">
        <v>4682</v>
      </c>
      <c r="D175" s="17">
        <v>44125</v>
      </c>
      <c r="E175" s="14" t="s">
        <v>30</v>
      </c>
      <c r="F175" s="14">
        <v>444</v>
      </c>
      <c r="G175" s="14">
        <v>63</v>
      </c>
      <c r="H175" s="14">
        <v>11</v>
      </c>
      <c r="I175" s="14">
        <v>6</v>
      </c>
      <c r="J175" s="14" t="s">
        <v>204</v>
      </c>
      <c r="K175" s="14" cm="1">
        <f t="array" ref="K175">INT(SUMPRODUCT(--ISNUMBER(SEARCH(economy,C175)))&gt;0)</f>
        <v>0</v>
      </c>
      <c r="L175" s="14" cm="1">
        <f t="array" ref="L175">INT(SUMPRODUCT(--ISNUMBER(SEARCH(healthcare,C175)))&gt;0)</f>
        <v>1</v>
      </c>
      <c r="M175" s="14" cm="1">
        <f t="array" ref="M175">INT(SUMPRODUCT(--ISNUMBER(SEARCH(supreme,C175)))&gt;0)</f>
        <v>1</v>
      </c>
      <c r="N175" s="14" cm="1">
        <f t="array" ref="N175">INT(SUMPRODUCT(--ISNUMBER(SEARCH(covid,C175)))&gt;0)</f>
        <v>0</v>
      </c>
      <c r="O175" s="14" cm="1">
        <f t="array" ref="O175">INT(SUMPRODUCT(--ISNUMBER(SEARCH(violent,C175)))&gt;0)</f>
        <v>0</v>
      </c>
      <c r="P175" s="14" cm="1">
        <f t="array" ref="P175">INT(SUMPRODUCT(--ISNUMBER(SEARCH(foreign,C175)))&gt;0)</f>
        <v>0</v>
      </c>
      <c r="Q175" s="14" cm="1">
        <f t="array" ref="Q175">INT(SUMPRODUCT(--ISNUMBER(SEARCH(gun,C175)))&gt;0)</f>
        <v>0</v>
      </c>
      <c r="R175" s="14" cm="1">
        <f t="array" ref="R175">INT(SUMPRODUCT(--ISNUMBER(SEARCH(race,C175)))&gt;0)</f>
        <v>0</v>
      </c>
      <c r="S175" s="14" cm="1">
        <f t="array" ref="S175">INT(SUMPRODUCT(--ISNUMBER(SEARCH(immigration,C175)))&gt;0)</f>
        <v>0</v>
      </c>
      <c r="T175" s="14" cm="1">
        <f t="array" ref="T175">INT(SUMPRODUCT(--ISNUMBER(SEARCH(econineq,C176)))&gt;0)</f>
        <v>0</v>
      </c>
      <c r="U175" s="14" cm="1">
        <f t="array" ref="U175">INT(SUMPRODUCT(--ISNUMBER(SEARCH(climate,C175)))&gt;0)</f>
        <v>0</v>
      </c>
      <c r="V175" s="14" cm="1">
        <f t="array" ref="V175">INT(SUMPRODUCT(--ISNUMBER(SEARCH(abortion,C175)))&gt;0)</f>
        <v>0</v>
      </c>
      <c r="W175" s="14" cm="1">
        <f t="array" ref="W175">INT(SUMPRODUCT(--ISNUMBER(SEARCH(trump,C175)))&gt;0)</f>
        <v>0</v>
      </c>
      <c r="X175" s="14" cm="1">
        <f t="array" ref="X175">INT(SUMPRODUCT(--ISNUMBER(SEARCH(voting,C175)))&gt;0)</f>
        <v>1</v>
      </c>
      <c r="Y175" s="14" cm="1">
        <f t="array" ref="Y175">INT(SUMPRODUCT(--ISNUMBER(SEARCH(democrattrigger,C175)))&gt;0)</f>
        <v>0</v>
      </c>
      <c r="Z175" s="14" cm="1">
        <f t="array" ref="Z175">INT(SUMPRODUCT(--ISNUMBER(SEARCH(bipartisan,C175)))&gt;0)</f>
        <v>0</v>
      </c>
      <c r="AA175" s="14">
        <f t="shared" si="2"/>
        <v>0</v>
      </c>
      <c r="AB175" s="14"/>
      <c r="AC175" s="30" t="s">
        <v>223</v>
      </c>
      <c r="AD175" s="37" t="s">
        <v>223</v>
      </c>
    </row>
    <row r="176" spans="1:30" x14ac:dyDescent="0.25">
      <c r="A176" s="36">
        <v>2329</v>
      </c>
      <c r="B176" s="14" t="s">
        <v>4683</v>
      </c>
      <c r="C176" s="14" t="s">
        <v>4684</v>
      </c>
      <c r="D176" s="17">
        <v>44125</v>
      </c>
      <c r="E176" s="14" t="s">
        <v>30</v>
      </c>
      <c r="F176" s="14">
        <v>58</v>
      </c>
      <c r="G176" s="14">
        <v>22</v>
      </c>
      <c r="H176" s="14">
        <v>11</v>
      </c>
      <c r="I176" s="14">
        <v>6</v>
      </c>
      <c r="J176" s="14" t="s">
        <v>204</v>
      </c>
      <c r="K176" s="14" cm="1">
        <f t="array" ref="K176">INT(SUMPRODUCT(--ISNUMBER(SEARCH(economy,C176)))&gt;0)</f>
        <v>0</v>
      </c>
      <c r="L176" s="14" cm="1">
        <f t="array" ref="L176">INT(SUMPRODUCT(--ISNUMBER(SEARCH(healthcare,C176)))&gt;0)</f>
        <v>0</v>
      </c>
      <c r="M176" s="14" cm="1">
        <f t="array" ref="M176">INT(SUMPRODUCT(--ISNUMBER(SEARCH(supreme,C176)))&gt;0)</f>
        <v>0</v>
      </c>
      <c r="N176" s="14" cm="1">
        <f t="array" ref="N176">INT(SUMPRODUCT(--ISNUMBER(SEARCH(covid,C176)))&gt;0)</f>
        <v>0</v>
      </c>
      <c r="O176" s="14" cm="1">
        <f t="array" ref="O176">INT(SUMPRODUCT(--ISNUMBER(SEARCH(violent,C176)))&gt;0)</f>
        <v>0</v>
      </c>
      <c r="P176" s="14" cm="1">
        <f t="array" ref="P176">INT(SUMPRODUCT(--ISNUMBER(SEARCH(foreign,C176)))&gt;0)</f>
        <v>0</v>
      </c>
      <c r="Q176" s="14" cm="1">
        <f t="array" ref="Q176">INT(SUMPRODUCT(--ISNUMBER(SEARCH(gun,C176)))&gt;0)</f>
        <v>0</v>
      </c>
      <c r="R176" s="14" cm="1">
        <f t="array" ref="R176">INT(SUMPRODUCT(--ISNUMBER(SEARCH(race,C176)))&gt;0)</f>
        <v>0</v>
      </c>
      <c r="S176" s="14" cm="1">
        <f t="array" ref="S176">INT(SUMPRODUCT(--ISNUMBER(SEARCH(immigration,C176)))&gt;0)</f>
        <v>0</v>
      </c>
      <c r="T176" s="14" cm="1">
        <f t="array" ref="T176">INT(SUMPRODUCT(--ISNUMBER(SEARCH(econineq,C177)))&gt;0)</f>
        <v>0</v>
      </c>
      <c r="U176" s="14" cm="1">
        <f t="array" ref="U176">INT(SUMPRODUCT(--ISNUMBER(SEARCH(climate,C176)))&gt;0)</f>
        <v>0</v>
      </c>
      <c r="V176" s="14" cm="1">
        <f t="array" ref="V176">INT(SUMPRODUCT(--ISNUMBER(SEARCH(abortion,C176)))&gt;0)</f>
        <v>0</v>
      </c>
      <c r="W176" s="14" cm="1">
        <f t="array" ref="W176">INT(SUMPRODUCT(--ISNUMBER(SEARCH(trump,C176)))&gt;0)</f>
        <v>0</v>
      </c>
      <c r="X176" s="14" cm="1">
        <f t="array" ref="X176">INT(SUMPRODUCT(--ISNUMBER(SEARCH(voting,C176)))&gt;0)</f>
        <v>1</v>
      </c>
      <c r="Y176" s="14" cm="1">
        <f t="array" ref="Y176">INT(SUMPRODUCT(--ISNUMBER(SEARCH(democrattrigger,C176)))&gt;0)</f>
        <v>0</v>
      </c>
      <c r="Z176" s="14" cm="1">
        <f t="array" ref="Z176">INT(SUMPRODUCT(--ISNUMBER(SEARCH(bipartisan,C176)))&gt;0)</f>
        <v>0</v>
      </c>
      <c r="AA176" s="14">
        <f t="shared" si="2"/>
        <v>0</v>
      </c>
      <c r="AB176" s="14"/>
      <c r="AC176" s="30" t="s">
        <v>223</v>
      </c>
      <c r="AD176" s="37" t="s">
        <v>223</v>
      </c>
    </row>
    <row r="177" spans="1:30" x14ac:dyDescent="0.25">
      <c r="A177" s="36">
        <v>2330</v>
      </c>
      <c r="B177" s="14" t="s">
        <v>4685</v>
      </c>
      <c r="C177" s="14" t="s">
        <v>4686</v>
      </c>
      <c r="D177" s="17">
        <v>44125</v>
      </c>
      <c r="E177" s="14" t="s">
        <v>30</v>
      </c>
      <c r="F177" s="14">
        <v>204</v>
      </c>
      <c r="G177" s="14">
        <v>29</v>
      </c>
      <c r="H177" s="14">
        <v>11</v>
      </c>
      <c r="I177" s="14">
        <v>6</v>
      </c>
      <c r="J177" s="14" t="s">
        <v>204</v>
      </c>
      <c r="K177" s="14" cm="1">
        <f t="array" ref="K177">INT(SUMPRODUCT(--ISNUMBER(SEARCH(economy,C177)))&gt;0)</f>
        <v>0</v>
      </c>
      <c r="L177" s="14" cm="1">
        <f t="array" ref="L177">INT(SUMPRODUCT(--ISNUMBER(SEARCH(healthcare,C177)))&gt;0)</f>
        <v>0</v>
      </c>
      <c r="M177" s="14" cm="1">
        <f t="array" ref="M177">INT(SUMPRODUCT(--ISNUMBER(SEARCH(supreme,C177)))&gt;0)</f>
        <v>0</v>
      </c>
      <c r="N177" s="14" cm="1">
        <f t="array" ref="N177">INT(SUMPRODUCT(--ISNUMBER(SEARCH(covid,C177)))&gt;0)</f>
        <v>0</v>
      </c>
      <c r="O177" s="14" cm="1">
        <f t="array" ref="O177">INT(SUMPRODUCT(--ISNUMBER(SEARCH(violent,C177)))&gt;0)</f>
        <v>0</v>
      </c>
      <c r="P177" s="14" cm="1">
        <f t="array" ref="P177">INT(SUMPRODUCT(--ISNUMBER(SEARCH(foreign,C177)))&gt;0)</f>
        <v>0</v>
      </c>
      <c r="Q177" s="14" cm="1">
        <f t="array" ref="Q177">INT(SUMPRODUCT(--ISNUMBER(SEARCH(gun,C177)))&gt;0)</f>
        <v>0</v>
      </c>
      <c r="R177" s="14" cm="1">
        <f t="array" ref="R177">INT(SUMPRODUCT(--ISNUMBER(SEARCH(race,C177)))&gt;0)</f>
        <v>0</v>
      </c>
      <c r="S177" s="14" cm="1">
        <f t="array" ref="S177">INT(SUMPRODUCT(--ISNUMBER(SEARCH(immigration,C177)))&gt;0)</f>
        <v>0</v>
      </c>
      <c r="T177" s="14" cm="1">
        <f t="array" ref="T177">INT(SUMPRODUCT(--ISNUMBER(SEARCH(econineq,C178)))&gt;0)</f>
        <v>0</v>
      </c>
      <c r="U177" s="14" cm="1">
        <f t="array" ref="U177">INT(SUMPRODUCT(--ISNUMBER(SEARCH(climate,C177)))&gt;0)</f>
        <v>0</v>
      </c>
      <c r="V177" s="14" cm="1">
        <f t="array" ref="V177">INT(SUMPRODUCT(--ISNUMBER(SEARCH(abortion,C177)))&gt;0)</f>
        <v>0</v>
      </c>
      <c r="W177" s="14" cm="1">
        <f t="array" ref="W177">INT(SUMPRODUCT(--ISNUMBER(SEARCH(trump,C177)))&gt;0)</f>
        <v>0</v>
      </c>
      <c r="X177" s="14" cm="1">
        <f t="array" ref="X177">INT(SUMPRODUCT(--ISNUMBER(SEARCH(voting,C177)))&gt;0)</f>
        <v>0</v>
      </c>
      <c r="Y177" s="14" cm="1">
        <f t="array" ref="Y177">INT(SUMPRODUCT(--ISNUMBER(SEARCH(democrattrigger,C177)))&gt;0)</f>
        <v>0</v>
      </c>
      <c r="Z177" s="14" cm="1">
        <f t="array" ref="Z177">INT(SUMPRODUCT(--ISNUMBER(SEARCH(bipartisan,C177)))&gt;0)</f>
        <v>0</v>
      </c>
      <c r="AA177" s="14">
        <f t="shared" si="2"/>
        <v>1</v>
      </c>
      <c r="AB177" s="14"/>
      <c r="AC177" s="30" t="s">
        <v>223</v>
      </c>
      <c r="AD177" s="37" t="s">
        <v>223</v>
      </c>
    </row>
    <row r="178" spans="1:30" x14ac:dyDescent="0.25">
      <c r="A178" s="36">
        <v>2331</v>
      </c>
      <c r="B178" s="14" t="s">
        <v>4687</v>
      </c>
      <c r="C178" s="14" t="s">
        <v>4688</v>
      </c>
      <c r="D178" s="17">
        <v>44125</v>
      </c>
      <c r="E178" s="14" t="s">
        <v>30</v>
      </c>
      <c r="F178" s="14">
        <v>40</v>
      </c>
      <c r="G178" s="14">
        <v>7</v>
      </c>
      <c r="H178" s="14">
        <v>11</v>
      </c>
      <c r="I178" s="14">
        <v>6</v>
      </c>
      <c r="J178" s="14" t="s">
        <v>204</v>
      </c>
      <c r="K178" s="14" cm="1">
        <f t="array" ref="K178">INT(SUMPRODUCT(--ISNUMBER(SEARCH(economy,C178)))&gt;0)</f>
        <v>0</v>
      </c>
      <c r="L178" s="14" cm="1">
        <f t="array" ref="L178">INT(SUMPRODUCT(--ISNUMBER(SEARCH(healthcare,C178)))&gt;0)</f>
        <v>0</v>
      </c>
      <c r="M178" s="14" cm="1">
        <f t="array" ref="M178">INT(SUMPRODUCT(--ISNUMBER(SEARCH(supreme,C178)))&gt;0)</f>
        <v>0</v>
      </c>
      <c r="N178" s="14" cm="1">
        <f t="array" ref="N178">INT(SUMPRODUCT(--ISNUMBER(SEARCH(covid,C178)))&gt;0)</f>
        <v>0</v>
      </c>
      <c r="O178" s="14" cm="1">
        <f t="array" ref="O178">INT(SUMPRODUCT(--ISNUMBER(SEARCH(violent,C178)))&gt;0)</f>
        <v>0</v>
      </c>
      <c r="P178" s="14" cm="1">
        <f t="array" ref="P178">INT(SUMPRODUCT(--ISNUMBER(SEARCH(foreign,C178)))&gt;0)</f>
        <v>0</v>
      </c>
      <c r="Q178" s="14" cm="1">
        <f t="array" ref="Q178">INT(SUMPRODUCT(--ISNUMBER(SEARCH(gun,C178)))&gt;0)</f>
        <v>0</v>
      </c>
      <c r="R178" s="14" cm="1">
        <f t="array" ref="R178">INT(SUMPRODUCT(--ISNUMBER(SEARCH(race,C178)))&gt;0)</f>
        <v>0</v>
      </c>
      <c r="S178" s="14" cm="1">
        <f t="array" ref="S178">INT(SUMPRODUCT(--ISNUMBER(SEARCH(immigration,C178)))&gt;0)</f>
        <v>0</v>
      </c>
      <c r="T178" s="14" cm="1">
        <f t="array" ref="T178">INT(SUMPRODUCT(--ISNUMBER(SEARCH(econineq,C179)))&gt;0)</f>
        <v>0</v>
      </c>
      <c r="U178" s="14" cm="1">
        <f t="array" ref="U178">INT(SUMPRODUCT(--ISNUMBER(SEARCH(climate,C178)))&gt;0)</f>
        <v>0</v>
      </c>
      <c r="V178" s="14" cm="1">
        <f t="array" ref="V178">INT(SUMPRODUCT(--ISNUMBER(SEARCH(abortion,C178)))&gt;0)</f>
        <v>0</v>
      </c>
      <c r="W178" s="14" cm="1">
        <f t="array" ref="W178">INT(SUMPRODUCT(--ISNUMBER(SEARCH(trump,C178)))&gt;0)</f>
        <v>0</v>
      </c>
      <c r="X178" s="14" cm="1">
        <f t="array" ref="X178">INT(SUMPRODUCT(--ISNUMBER(SEARCH(voting,C178)))&gt;0)</f>
        <v>0</v>
      </c>
      <c r="Y178" s="14" cm="1">
        <f t="array" ref="Y178">INT(SUMPRODUCT(--ISNUMBER(SEARCH(democrattrigger,C178)))&gt;0)</f>
        <v>0</v>
      </c>
      <c r="Z178" s="14" cm="1">
        <f t="array" ref="Z178">INT(SUMPRODUCT(--ISNUMBER(SEARCH(bipartisan,C178)))&gt;0)</f>
        <v>0</v>
      </c>
      <c r="AA178" s="14">
        <f t="shared" si="2"/>
        <v>1</v>
      </c>
      <c r="AB178" s="14"/>
      <c r="AC178" s="30" t="s">
        <v>223</v>
      </c>
      <c r="AD178" s="37" t="s">
        <v>223</v>
      </c>
    </row>
    <row r="179" spans="1:30" x14ac:dyDescent="0.25">
      <c r="A179" s="36">
        <v>2332</v>
      </c>
      <c r="B179" s="14" t="s">
        <v>4689</v>
      </c>
      <c r="C179" s="14" t="s">
        <v>4690</v>
      </c>
      <c r="D179" s="17">
        <v>44125</v>
      </c>
      <c r="E179" s="14" t="s">
        <v>30</v>
      </c>
      <c r="F179" s="14">
        <v>104</v>
      </c>
      <c r="G179" s="14">
        <v>30</v>
      </c>
      <c r="H179" s="14">
        <v>11</v>
      </c>
      <c r="I179" s="14">
        <v>6</v>
      </c>
      <c r="J179" s="14" t="s">
        <v>204</v>
      </c>
      <c r="K179" s="14" cm="1">
        <f t="array" ref="K179">INT(SUMPRODUCT(--ISNUMBER(SEARCH(economy,C179)))&gt;0)</f>
        <v>0</v>
      </c>
      <c r="L179" s="14" cm="1">
        <f t="array" ref="L179">INT(SUMPRODUCT(--ISNUMBER(SEARCH(healthcare,C179)))&gt;0)</f>
        <v>0</v>
      </c>
      <c r="M179" s="14" cm="1">
        <f t="array" ref="M179">INT(SUMPRODUCT(--ISNUMBER(SEARCH(supreme,C179)))&gt;0)</f>
        <v>0</v>
      </c>
      <c r="N179" s="14" cm="1">
        <f t="array" ref="N179">INT(SUMPRODUCT(--ISNUMBER(SEARCH(covid,C179)))&gt;0)</f>
        <v>0</v>
      </c>
      <c r="O179" s="14" cm="1">
        <f t="array" ref="O179">INT(SUMPRODUCT(--ISNUMBER(SEARCH(violent,C179)))&gt;0)</f>
        <v>0</v>
      </c>
      <c r="P179" s="14" cm="1">
        <f t="array" ref="P179">INT(SUMPRODUCT(--ISNUMBER(SEARCH(foreign,C179)))&gt;0)</f>
        <v>0</v>
      </c>
      <c r="Q179" s="14" cm="1">
        <f t="array" ref="Q179">INT(SUMPRODUCT(--ISNUMBER(SEARCH(gun,C179)))&gt;0)</f>
        <v>0</v>
      </c>
      <c r="R179" s="14" cm="1">
        <f t="array" ref="R179">INT(SUMPRODUCT(--ISNUMBER(SEARCH(race,C179)))&gt;0)</f>
        <v>0</v>
      </c>
      <c r="S179" s="14" cm="1">
        <f t="array" ref="S179">INT(SUMPRODUCT(--ISNUMBER(SEARCH(immigration,C179)))&gt;0)</f>
        <v>0</v>
      </c>
      <c r="T179" s="14" cm="1">
        <f t="array" ref="T179">INT(SUMPRODUCT(--ISNUMBER(SEARCH(econineq,C180)))&gt;0)</f>
        <v>0</v>
      </c>
      <c r="U179" s="14" cm="1">
        <f t="array" ref="U179">INT(SUMPRODUCT(--ISNUMBER(SEARCH(climate,C179)))&gt;0)</f>
        <v>0</v>
      </c>
      <c r="V179" s="14" cm="1">
        <f t="array" ref="V179">INT(SUMPRODUCT(--ISNUMBER(SEARCH(abortion,C179)))&gt;0)</f>
        <v>0</v>
      </c>
      <c r="W179" s="14" cm="1">
        <f t="array" ref="W179">INT(SUMPRODUCT(--ISNUMBER(SEARCH(trump,C179)))&gt;0)</f>
        <v>1</v>
      </c>
      <c r="X179" s="14" cm="1">
        <f t="array" ref="X179">INT(SUMPRODUCT(--ISNUMBER(SEARCH(voting,C179)))&gt;0)</f>
        <v>0</v>
      </c>
      <c r="Y179" s="14" cm="1">
        <f t="array" ref="Y179">INT(SUMPRODUCT(--ISNUMBER(SEARCH(democrattrigger,C179)))&gt;0)</f>
        <v>1</v>
      </c>
      <c r="Z179" s="14" cm="1">
        <f t="array" ref="Z179">INT(SUMPRODUCT(--ISNUMBER(SEARCH(bipartisan,C179)))&gt;0)</f>
        <v>0</v>
      </c>
      <c r="AA179" s="14">
        <f t="shared" si="2"/>
        <v>0</v>
      </c>
      <c r="AB179" s="14"/>
      <c r="AC179" s="30" t="s">
        <v>223</v>
      </c>
      <c r="AD179" s="37" t="s">
        <v>223</v>
      </c>
    </row>
    <row r="180" spans="1:30" x14ac:dyDescent="0.25">
      <c r="A180" s="36">
        <v>2333</v>
      </c>
      <c r="B180" s="14" t="s">
        <v>4691</v>
      </c>
      <c r="C180" s="14" t="s">
        <v>4692</v>
      </c>
      <c r="D180" s="17">
        <v>44125</v>
      </c>
      <c r="E180" s="14" t="s">
        <v>30</v>
      </c>
      <c r="F180" s="14">
        <v>761</v>
      </c>
      <c r="G180" s="14">
        <v>68</v>
      </c>
      <c r="H180" s="14">
        <v>11</v>
      </c>
      <c r="I180" s="14">
        <v>6</v>
      </c>
      <c r="J180" s="14" t="s">
        <v>204</v>
      </c>
      <c r="K180" s="14" cm="1">
        <f t="array" ref="K180">INT(SUMPRODUCT(--ISNUMBER(SEARCH(economy,C180)))&gt;0)</f>
        <v>0</v>
      </c>
      <c r="L180" s="14" cm="1">
        <f t="array" ref="L180">INT(SUMPRODUCT(--ISNUMBER(SEARCH(healthcare,C180)))&gt;0)</f>
        <v>0</v>
      </c>
      <c r="M180" s="14" cm="1">
        <f t="array" ref="M180">INT(SUMPRODUCT(--ISNUMBER(SEARCH(supreme,C180)))&gt;0)</f>
        <v>0</v>
      </c>
      <c r="N180" s="14" cm="1">
        <f t="array" ref="N180">INT(SUMPRODUCT(--ISNUMBER(SEARCH(covid,C180)))&gt;0)</f>
        <v>1</v>
      </c>
      <c r="O180" s="14" cm="1">
        <f t="array" ref="O180">INT(SUMPRODUCT(--ISNUMBER(SEARCH(violent,C180)))&gt;0)</f>
        <v>0</v>
      </c>
      <c r="P180" s="14" cm="1">
        <f t="array" ref="P180">INT(SUMPRODUCT(--ISNUMBER(SEARCH(foreign,C180)))&gt;0)</f>
        <v>0</v>
      </c>
      <c r="Q180" s="14" cm="1">
        <f t="array" ref="Q180">INT(SUMPRODUCT(--ISNUMBER(SEARCH(gun,C180)))&gt;0)</f>
        <v>0</v>
      </c>
      <c r="R180" s="14" cm="1">
        <f t="array" ref="R180">INT(SUMPRODUCT(--ISNUMBER(SEARCH(race,C180)))&gt;0)</f>
        <v>0</v>
      </c>
      <c r="S180" s="14" cm="1">
        <f t="array" ref="S180">INT(SUMPRODUCT(--ISNUMBER(SEARCH(immigration,C180)))&gt;0)</f>
        <v>0</v>
      </c>
      <c r="T180" s="14" cm="1">
        <f t="array" ref="T180">INT(SUMPRODUCT(--ISNUMBER(SEARCH(econineq,C181)))&gt;0)</f>
        <v>0</v>
      </c>
      <c r="U180" s="14" cm="1">
        <f t="array" ref="U180">INT(SUMPRODUCT(--ISNUMBER(SEARCH(climate,C180)))&gt;0)</f>
        <v>0</v>
      </c>
      <c r="V180" s="14" cm="1">
        <f t="array" ref="V180">INT(SUMPRODUCT(--ISNUMBER(SEARCH(abortion,C180)))&gt;0)</f>
        <v>0</v>
      </c>
      <c r="W180" s="14" cm="1">
        <f t="array" ref="W180">INT(SUMPRODUCT(--ISNUMBER(SEARCH(trump,C180)))&gt;0)</f>
        <v>0</v>
      </c>
      <c r="X180" s="14" cm="1">
        <f t="array" ref="X180">INT(SUMPRODUCT(--ISNUMBER(SEARCH(voting,C180)))&gt;0)</f>
        <v>0</v>
      </c>
      <c r="Y180" s="14" cm="1">
        <f t="array" ref="Y180">INT(SUMPRODUCT(--ISNUMBER(SEARCH(democrattrigger,C180)))&gt;0)</f>
        <v>0</v>
      </c>
      <c r="Z180" s="14" cm="1">
        <f t="array" ref="Z180">INT(SUMPRODUCT(--ISNUMBER(SEARCH(bipartisan,C180)))&gt;0)</f>
        <v>0</v>
      </c>
      <c r="AA180" s="14">
        <f t="shared" si="2"/>
        <v>0</v>
      </c>
      <c r="AB180" s="14"/>
      <c r="AC180" s="30" t="s">
        <v>223</v>
      </c>
      <c r="AD180" s="37" t="s">
        <v>223</v>
      </c>
    </row>
    <row r="181" spans="1:30" x14ac:dyDescent="0.25">
      <c r="A181" s="36">
        <v>2334</v>
      </c>
      <c r="B181" s="14" t="s">
        <v>4693</v>
      </c>
      <c r="C181" s="14" t="s">
        <v>4694</v>
      </c>
      <c r="D181" s="17">
        <v>44125</v>
      </c>
      <c r="E181" s="14" t="s">
        <v>30</v>
      </c>
      <c r="F181" s="14">
        <v>84</v>
      </c>
      <c r="G181" s="14">
        <v>11</v>
      </c>
      <c r="H181" s="14">
        <v>11</v>
      </c>
      <c r="I181" s="14">
        <v>6</v>
      </c>
      <c r="J181" s="14" t="s">
        <v>204</v>
      </c>
      <c r="K181" s="14" cm="1">
        <f t="array" ref="K181">INT(SUMPRODUCT(--ISNUMBER(SEARCH(economy,C181)))&gt;0)</f>
        <v>0</v>
      </c>
      <c r="L181" s="14" cm="1">
        <f t="array" ref="L181">INT(SUMPRODUCT(--ISNUMBER(SEARCH(healthcare,C181)))&gt;0)</f>
        <v>0</v>
      </c>
      <c r="M181" s="14" cm="1">
        <f t="array" ref="M181">INT(SUMPRODUCT(--ISNUMBER(SEARCH(supreme,C181)))&gt;0)</f>
        <v>0</v>
      </c>
      <c r="N181" s="14" cm="1">
        <f t="array" ref="N181">INT(SUMPRODUCT(--ISNUMBER(SEARCH(covid,C181)))&gt;0)</f>
        <v>0</v>
      </c>
      <c r="O181" s="14" cm="1">
        <f t="array" ref="O181">INT(SUMPRODUCT(--ISNUMBER(SEARCH(violent,C181)))&gt;0)</f>
        <v>0</v>
      </c>
      <c r="P181" s="14" cm="1">
        <f t="array" ref="P181">INT(SUMPRODUCT(--ISNUMBER(SEARCH(foreign,C181)))&gt;0)</f>
        <v>0</v>
      </c>
      <c r="Q181" s="14" cm="1">
        <f t="array" ref="Q181">INT(SUMPRODUCT(--ISNUMBER(SEARCH(gun,C181)))&gt;0)</f>
        <v>0</v>
      </c>
      <c r="R181" s="14" cm="1">
        <f t="array" ref="R181">INT(SUMPRODUCT(--ISNUMBER(SEARCH(race,C181)))&gt;0)</f>
        <v>0</v>
      </c>
      <c r="S181" s="14" cm="1">
        <f t="array" ref="S181">INT(SUMPRODUCT(--ISNUMBER(SEARCH(immigration,C181)))&gt;0)</f>
        <v>0</v>
      </c>
      <c r="T181" s="14" cm="1">
        <f t="array" ref="T181">INT(SUMPRODUCT(--ISNUMBER(SEARCH(econineq,C182)))&gt;0)</f>
        <v>0</v>
      </c>
      <c r="U181" s="14" cm="1">
        <f t="array" ref="U181">INT(SUMPRODUCT(--ISNUMBER(SEARCH(climate,C181)))&gt;0)</f>
        <v>0</v>
      </c>
      <c r="V181" s="14" cm="1">
        <f t="array" ref="V181">INT(SUMPRODUCT(--ISNUMBER(SEARCH(abortion,C181)))&gt;0)</f>
        <v>0</v>
      </c>
      <c r="W181" s="14" cm="1">
        <f t="array" ref="W181">INT(SUMPRODUCT(--ISNUMBER(SEARCH(trump,C181)))&gt;0)</f>
        <v>0</v>
      </c>
      <c r="X181" s="14" cm="1">
        <f t="array" ref="X181">INT(SUMPRODUCT(--ISNUMBER(SEARCH(voting,C181)))&gt;0)</f>
        <v>1</v>
      </c>
      <c r="Y181" s="14" cm="1">
        <f t="array" ref="Y181">INT(SUMPRODUCT(--ISNUMBER(SEARCH(democrattrigger,C181)))&gt;0)</f>
        <v>0</v>
      </c>
      <c r="Z181" s="14" cm="1">
        <f t="array" ref="Z181">INT(SUMPRODUCT(--ISNUMBER(SEARCH(bipartisan,C181)))&gt;0)</f>
        <v>0</v>
      </c>
      <c r="AA181" s="14">
        <f t="shared" si="2"/>
        <v>0</v>
      </c>
      <c r="AB181" s="14"/>
      <c r="AC181" s="30" t="s">
        <v>223</v>
      </c>
      <c r="AD181" s="37" t="s">
        <v>223</v>
      </c>
    </row>
    <row r="182" spans="1:30" x14ac:dyDescent="0.25">
      <c r="A182" s="36">
        <v>2335</v>
      </c>
      <c r="B182" s="14" t="s">
        <v>4695</v>
      </c>
      <c r="C182" s="14" t="s">
        <v>4696</v>
      </c>
      <c r="D182" s="17">
        <v>44125</v>
      </c>
      <c r="E182" s="14" t="s">
        <v>30</v>
      </c>
      <c r="F182" s="14">
        <v>176</v>
      </c>
      <c r="G182" s="14">
        <v>28</v>
      </c>
      <c r="H182" s="14">
        <v>11</v>
      </c>
      <c r="I182" s="14">
        <v>6</v>
      </c>
      <c r="J182" s="14" t="s">
        <v>204</v>
      </c>
      <c r="K182" s="14" cm="1">
        <f t="array" ref="K182">INT(SUMPRODUCT(--ISNUMBER(SEARCH(economy,C182)))&gt;0)</f>
        <v>0</v>
      </c>
      <c r="L182" s="14" cm="1">
        <f t="array" ref="L182">INT(SUMPRODUCT(--ISNUMBER(SEARCH(healthcare,C182)))&gt;0)</f>
        <v>1</v>
      </c>
      <c r="M182" s="14" cm="1">
        <f t="array" ref="M182">INT(SUMPRODUCT(--ISNUMBER(SEARCH(supreme,C182)))&gt;0)</f>
        <v>0</v>
      </c>
      <c r="N182" s="14" cm="1">
        <f t="array" ref="N182">INT(SUMPRODUCT(--ISNUMBER(SEARCH(covid,C182)))&gt;0)</f>
        <v>0</v>
      </c>
      <c r="O182" s="14" cm="1">
        <f t="array" ref="O182">INT(SUMPRODUCT(--ISNUMBER(SEARCH(violent,C182)))&gt;0)</f>
        <v>0</v>
      </c>
      <c r="P182" s="14" cm="1">
        <f t="array" ref="P182">INT(SUMPRODUCT(--ISNUMBER(SEARCH(foreign,C182)))&gt;0)</f>
        <v>0</v>
      </c>
      <c r="Q182" s="14" cm="1">
        <f t="array" ref="Q182">INT(SUMPRODUCT(--ISNUMBER(SEARCH(gun,C182)))&gt;0)</f>
        <v>0</v>
      </c>
      <c r="R182" s="14" cm="1">
        <f t="array" ref="R182">INT(SUMPRODUCT(--ISNUMBER(SEARCH(race,C182)))&gt;0)</f>
        <v>0</v>
      </c>
      <c r="S182" s="14" cm="1">
        <f t="array" ref="S182">INT(SUMPRODUCT(--ISNUMBER(SEARCH(immigration,C182)))&gt;0)</f>
        <v>0</v>
      </c>
      <c r="T182" s="14" cm="1">
        <f t="array" ref="T182">INT(SUMPRODUCT(--ISNUMBER(SEARCH(econineq,C183)))&gt;0)</f>
        <v>0</v>
      </c>
      <c r="U182" s="14" cm="1">
        <f t="array" ref="U182">INT(SUMPRODUCT(--ISNUMBER(SEARCH(climate,C182)))&gt;0)</f>
        <v>0</v>
      </c>
      <c r="V182" s="14" cm="1">
        <f t="array" ref="V182">INT(SUMPRODUCT(--ISNUMBER(SEARCH(abortion,C182)))&gt;0)</f>
        <v>0</v>
      </c>
      <c r="W182" s="14" cm="1">
        <f t="array" ref="W182">INT(SUMPRODUCT(--ISNUMBER(SEARCH(trump,C182)))&gt;0)</f>
        <v>0</v>
      </c>
      <c r="X182" s="14" cm="1">
        <f t="array" ref="X182">INT(SUMPRODUCT(--ISNUMBER(SEARCH(voting,C182)))&gt;0)</f>
        <v>0</v>
      </c>
      <c r="Y182" s="14" cm="1">
        <f t="array" ref="Y182">INT(SUMPRODUCT(--ISNUMBER(SEARCH(democrattrigger,C182)))&gt;0)</f>
        <v>0</v>
      </c>
      <c r="Z182" s="14" cm="1">
        <f t="array" ref="Z182">INT(SUMPRODUCT(--ISNUMBER(SEARCH(bipartisan,C182)))&gt;0)</f>
        <v>0</v>
      </c>
      <c r="AA182" s="14">
        <f t="shared" si="2"/>
        <v>0</v>
      </c>
      <c r="AB182" s="14"/>
      <c r="AC182" s="30" t="s">
        <v>223</v>
      </c>
      <c r="AD182" s="37" t="s">
        <v>223</v>
      </c>
    </row>
    <row r="183" spans="1:30" x14ac:dyDescent="0.25">
      <c r="A183" s="36">
        <v>2336</v>
      </c>
      <c r="B183" s="14" t="s">
        <v>4697</v>
      </c>
      <c r="C183" s="14" t="s">
        <v>4698</v>
      </c>
      <c r="D183" s="17">
        <v>44125</v>
      </c>
      <c r="E183" s="14" t="s">
        <v>30</v>
      </c>
      <c r="F183" s="14">
        <v>62</v>
      </c>
      <c r="G183" s="14">
        <v>12</v>
      </c>
      <c r="H183" s="14">
        <v>11</v>
      </c>
      <c r="I183" s="14">
        <v>6</v>
      </c>
      <c r="J183" s="14" t="s">
        <v>204</v>
      </c>
      <c r="K183" s="14" cm="1">
        <f t="array" ref="K183">INT(SUMPRODUCT(--ISNUMBER(SEARCH(economy,C183)))&gt;0)</f>
        <v>0</v>
      </c>
      <c r="L183" s="14" cm="1">
        <f t="array" ref="L183">INT(SUMPRODUCT(--ISNUMBER(SEARCH(healthcare,C183)))&gt;0)</f>
        <v>0</v>
      </c>
      <c r="M183" s="14" cm="1">
        <f t="array" ref="M183">INT(SUMPRODUCT(--ISNUMBER(SEARCH(supreme,C183)))&gt;0)</f>
        <v>0</v>
      </c>
      <c r="N183" s="14" cm="1">
        <f t="array" ref="N183">INT(SUMPRODUCT(--ISNUMBER(SEARCH(covid,C183)))&gt;0)</f>
        <v>0</v>
      </c>
      <c r="O183" s="14" cm="1">
        <f t="array" ref="O183">INT(SUMPRODUCT(--ISNUMBER(SEARCH(violent,C183)))&gt;0)</f>
        <v>0</v>
      </c>
      <c r="P183" s="14" cm="1">
        <f t="array" ref="P183">INT(SUMPRODUCT(--ISNUMBER(SEARCH(foreign,C183)))&gt;0)</f>
        <v>0</v>
      </c>
      <c r="Q183" s="14" cm="1">
        <f t="array" ref="Q183">INT(SUMPRODUCT(--ISNUMBER(SEARCH(gun,C183)))&gt;0)</f>
        <v>0</v>
      </c>
      <c r="R183" s="14" cm="1">
        <f t="array" ref="R183">INT(SUMPRODUCT(--ISNUMBER(SEARCH(race,C183)))&gt;0)</f>
        <v>1</v>
      </c>
      <c r="S183" s="14" cm="1">
        <f t="array" ref="S183">INT(SUMPRODUCT(--ISNUMBER(SEARCH(immigration,C183)))&gt;0)</f>
        <v>0</v>
      </c>
      <c r="T183" s="14" cm="1">
        <f t="array" ref="T183">INT(SUMPRODUCT(--ISNUMBER(SEARCH(econineq,C184)))&gt;0)</f>
        <v>0</v>
      </c>
      <c r="U183" s="14" cm="1">
        <f t="array" ref="U183">INT(SUMPRODUCT(--ISNUMBER(SEARCH(climate,C183)))&gt;0)</f>
        <v>0</v>
      </c>
      <c r="V183" s="14" cm="1">
        <f t="array" ref="V183">INT(SUMPRODUCT(--ISNUMBER(SEARCH(abortion,C183)))&gt;0)</f>
        <v>0</v>
      </c>
      <c r="W183" s="14" cm="1">
        <f t="array" ref="W183">INT(SUMPRODUCT(--ISNUMBER(SEARCH(trump,C183)))&gt;0)</f>
        <v>0</v>
      </c>
      <c r="X183" s="14" cm="1">
        <f t="array" ref="X183">INT(SUMPRODUCT(--ISNUMBER(SEARCH(voting,C183)))&gt;0)</f>
        <v>0</v>
      </c>
      <c r="Y183" s="14" cm="1">
        <f t="array" ref="Y183">INT(SUMPRODUCT(--ISNUMBER(SEARCH(democrattrigger,C183)))&gt;0)</f>
        <v>0</v>
      </c>
      <c r="Z183" s="14" cm="1">
        <f t="array" ref="Z183">INT(SUMPRODUCT(--ISNUMBER(SEARCH(bipartisan,C183)))&gt;0)</f>
        <v>0</v>
      </c>
      <c r="AA183" s="14">
        <f t="shared" si="2"/>
        <v>0</v>
      </c>
      <c r="AB183" s="14"/>
      <c r="AC183" s="30" t="s">
        <v>223</v>
      </c>
      <c r="AD183" s="37" t="s">
        <v>223</v>
      </c>
    </row>
    <row r="184" spans="1:30" x14ac:dyDescent="0.25">
      <c r="A184" s="36">
        <v>2337</v>
      </c>
      <c r="B184" s="14" t="s">
        <v>4699</v>
      </c>
      <c r="C184" s="14" t="s">
        <v>4700</v>
      </c>
      <c r="D184" s="17">
        <v>44125</v>
      </c>
      <c r="E184" s="14" t="s">
        <v>30</v>
      </c>
      <c r="F184" s="14">
        <v>55</v>
      </c>
      <c r="G184" s="14">
        <v>13</v>
      </c>
      <c r="H184" s="14">
        <v>11</v>
      </c>
      <c r="I184" s="14">
        <v>6</v>
      </c>
      <c r="J184" s="14" t="s">
        <v>204</v>
      </c>
      <c r="K184" s="14" cm="1">
        <f t="array" ref="K184">INT(SUMPRODUCT(--ISNUMBER(SEARCH(economy,C184)))&gt;0)</f>
        <v>0</v>
      </c>
      <c r="L184" s="14" cm="1">
        <f t="array" ref="L184">INT(SUMPRODUCT(--ISNUMBER(SEARCH(healthcare,C184)))&gt;0)</f>
        <v>0</v>
      </c>
      <c r="M184" s="14" cm="1">
        <f t="array" ref="M184">INT(SUMPRODUCT(--ISNUMBER(SEARCH(supreme,C184)))&gt;0)</f>
        <v>0</v>
      </c>
      <c r="N184" s="14" cm="1">
        <f t="array" ref="N184">INT(SUMPRODUCT(--ISNUMBER(SEARCH(covid,C184)))&gt;0)</f>
        <v>0</v>
      </c>
      <c r="O184" s="14" cm="1">
        <f t="array" ref="O184">INT(SUMPRODUCT(--ISNUMBER(SEARCH(violent,C184)))&gt;0)</f>
        <v>0</v>
      </c>
      <c r="P184" s="14" cm="1">
        <f t="array" ref="P184">INT(SUMPRODUCT(--ISNUMBER(SEARCH(foreign,C184)))&gt;0)</f>
        <v>0</v>
      </c>
      <c r="Q184" s="14" cm="1">
        <f t="array" ref="Q184">INT(SUMPRODUCT(--ISNUMBER(SEARCH(gun,C184)))&gt;0)</f>
        <v>0</v>
      </c>
      <c r="R184" s="14" cm="1">
        <f t="array" ref="R184">INT(SUMPRODUCT(--ISNUMBER(SEARCH(race,C184)))&gt;0)</f>
        <v>0</v>
      </c>
      <c r="S184" s="14" cm="1">
        <f t="array" ref="S184">INT(SUMPRODUCT(--ISNUMBER(SEARCH(immigration,C184)))&gt;0)</f>
        <v>0</v>
      </c>
      <c r="T184" s="14" cm="1">
        <f t="array" ref="T184">INT(SUMPRODUCT(--ISNUMBER(SEARCH(econineq,C185)))&gt;0)</f>
        <v>0</v>
      </c>
      <c r="U184" s="14" cm="1">
        <f t="array" ref="U184">INT(SUMPRODUCT(--ISNUMBER(SEARCH(climate,C184)))&gt;0)</f>
        <v>0</v>
      </c>
      <c r="V184" s="14" cm="1">
        <f t="array" ref="V184">INT(SUMPRODUCT(--ISNUMBER(SEARCH(abortion,C184)))&gt;0)</f>
        <v>0</v>
      </c>
      <c r="W184" s="14" cm="1">
        <f t="array" ref="W184">INT(SUMPRODUCT(--ISNUMBER(SEARCH(trump,C184)))&gt;0)</f>
        <v>0</v>
      </c>
      <c r="X184" s="14" cm="1">
        <f t="array" ref="X184">INT(SUMPRODUCT(--ISNUMBER(SEARCH(voting,C184)))&gt;0)</f>
        <v>0</v>
      </c>
      <c r="Y184" s="14" cm="1">
        <f t="array" ref="Y184">INT(SUMPRODUCT(--ISNUMBER(SEARCH(democrattrigger,C184)))&gt;0)</f>
        <v>0</v>
      </c>
      <c r="Z184" s="14" cm="1">
        <f t="array" ref="Z184">INT(SUMPRODUCT(--ISNUMBER(SEARCH(bipartisan,C184)))&gt;0)</f>
        <v>0</v>
      </c>
      <c r="AA184" s="14">
        <f t="shared" si="2"/>
        <v>1</v>
      </c>
      <c r="AB184" s="14"/>
      <c r="AC184" s="30" t="s">
        <v>223</v>
      </c>
      <c r="AD184" s="37" t="s">
        <v>223</v>
      </c>
    </row>
    <row r="185" spans="1:30" x14ac:dyDescent="0.25">
      <c r="A185" s="36">
        <v>2338</v>
      </c>
      <c r="B185" s="14" t="s">
        <v>4701</v>
      </c>
      <c r="C185" s="14" t="s">
        <v>4702</v>
      </c>
      <c r="D185" s="17">
        <v>44125</v>
      </c>
      <c r="E185" s="14" t="s">
        <v>30</v>
      </c>
      <c r="F185" s="14">
        <v>40</v>
      </c>
      <c r="G185" s="14">
        <v>10</v>
      </c>
      <c r="H185" s="14">
        <v>11</v>
      </c>
      <c r="I185" s="14">
        <v>6</v>
      </c>
      <c r="J185" s="14" t="s">
        <v>204</v>
      </c>
      <c r="K185" s="14" cm="1">
        <f t="array" ref="K185">INT(SUMPRODUCT(--ISNUMBER(SEARCH(economy,C185)))&gt;0)</f>
        <v>0</v>
      </c>
      <c r="L185" s="14" cm="1">
        <f t="array" ref="L185">INT(SUMPRODUCT(--ISNUMBER(SEARCH(healthcare,C185)))&gt;0)</f>
        <v>1</v>
      </c>
      <c r="M185" s="14" cm="1">
        <f t="array" ref="M185">INT(SUMPRODUCT(--ISNUMBER(SEARCH(supreme,C185)))&gt;0)</f>
        <v>0</v>
      </c>
      <c r="N185" s="14" cm="1">
        <f t="array" ref="N185">INT(SUMPRODUCT(--ISNUMBER(SEARCH(covid,C185)))&gt;0)</f>
        <v>0</v>
      </c>
      <c r="O185" s="14" cm="1">
        <f t="array" ref="O185">INT(SUMPRODUCT(--ISNUMBER(SEARCH(violent,C185)))&gt;0)</f>
        <v>0</v>
      </c>
      <c r="P185" s="14" cm="1">
        <f t="array" ref="P185">INT(SUMPRODUCT(--ISNUMBER(SEARCH(foreign,C185)))&gt;0)</f>
        <v>0</v>
      </c>
      <c r="Q185" s="14" cm="1">
        <f t="array" ref="Q185">INT(SUMPRODUCT(--ISNUMBER(SEARCH(gun,C185)))&gt;0)</f>
        <v>0</v>
      </c>
      <c r="R185" s="14" cm="1">
        <f t="array" ref="R185">INT(SUMPRODUCT(--ISNUMBER(SEARCH(race,C185)))&gt;0)</f>
        <v>0</v>
      </c>
      <c r="S185" s="14" cm="1">
        <f t="array" ref="S185">INT(SUMPRODUCT(--ISNUMBER(SEARCH(immigration,C185)))&gt;0)</f>
        <v>0</v>
      </c>
      <c r="T185" s="14" cm="1">
        <f t="array" ref="T185">INT(SUMPRODUCT(--ISNUMBER(SEARCH(econineq,C186)))&gt;0)</f>
        <v>0</v>
      </c>
      <c r="U185" s="14" cm="1">
        <f t="array" ref="U185">INT(SUMPRODUCT(--ISNUMBER(SEARCH(climate,C185)))&gt;0)</f>
        <v>0</v>
      </c>
      <c r="V185" s="14" cm="1">
        <f t="array" ref="V185">INT(SUMPRODUCT(--ISNUMBER(SEARCH(abortion,C185)))&gt;0)</f>
        <v>0</v>
      </c>
      <c r="W185" s="14" cm="1">
        <f t="array" ref="W185">INT(SUMPRODUCT(--ISNUMBER(SEARCH(trump,C185)))&gt;0)</f>
        <v>0</v>
      </c>
      <c r="X185" s="14" cm="1">
        <f t="array" ref="X185">INT(SUMPRODUCT(--ISNUMBER(SEARCH(voting,C185)))&gt;0)</f>
        <v>0</v>
      </c>
      <c r="Y185" s="14" cm="1">
        <f t="array" ref="Y185">INT(SUMPRODUCT(--ISNUMBER(SEARCH(democrattrigger,C185)))&gt;0)</f>
        <v>0</v>
      </c>
      <c r="Z185" s="14" cm="1">
        <f t="array" ref="Z185">INT(SUMPRODUCT(--ISNUMBER(SEARCH(bipartisan,C185)))&gt;0)</f>
        <v>1</v>
      </c>
      <c r="AA185" s="14">
        <f t="shared" si="2"/>
        <v>0</v>
      </c>
      <c r="AB185" s="14"/>
      <c r="AC185" s="30" t="s">
        <v>223</v>
      </c>
      <c r="AD185" s="37" t="s">
        <v>223</v>
      </c>
    </row>
    <row r="186" spans="1:30" x14ac:dyDescent="0.25">
      <c r="A186" s="36">
        <v>2339</v>
      </c>
      <c r="B186" s="14" t="s">
        <v>4703</v>
      </c>
      <c r="C186" s="14" t="s">
        <v>4704</v>
      </c>
      <c r="D186" s="17">
        <v>44125</v>
      </c>
      <c r="E186" s="14" t="s">
        <v>30</v>
      </c>
      <c r="F186" s="14">
        <v>263</v>
      </c>
      <c r="G186" s="14">
        <v>24</v>
      </c>
      <c r="H186" s="14">
        <v>11</v>
      </c>
      <c r="I186" s="14">
        <v>6</v>
      </c>
      <c r="J186" s="14" t="s">
        <v>204</v>
      </c>
      <c r="K186" s="14" cm="1">
        <f t="array" ref="K186">INT(SUMPRODUCT(--ISNUMBER(SEARCH(economy,C186)))&gt;0)</f>
        <v>0</v>
      </c>
      <c r="L186" s="14" cm="1">
        <f t="array" ref="L186">INT(SUMPRODUCT(--ISNUMBER(SEARCH(healthcare,C186)))&gt;0)</f>
        <v>0</v>
      </c>
      <c r="M186" s="14" cm="1">
        <f t="array" ref="M186">INT(SUMPRODUCT(--ISNUMBER(SEARCH(supreme,C186)))&gt;0)</f>
        <v>0</v>
      </c>
      <c r="N186" s="14" cm="1">
        <f t="array" ref="N186">INT(SUMPRODUCT(--ISNUMBER(SEARCH(covid,C186)))&gt;0)</f>
        <v>0</v>
      </c>
      <c r="O186" s="14" cm="1">
        <f t="array" ref="O186">INT(SUMPRODUCT(--ISNUMBER(SEARCH(violent,C186)))&gt;0)</f>
        <v>0</v>
      </c>
      <c r="P186" s="14" cm="1">
        <f t="array" ref="P186">INT(SUMPRODUCT(--ISNUMBER(SEARCH(foreign,C186)))&gt;0)</f>
        <v>0</v>
      </c>
      <c r="Q186" s="14" cm="1">
        <f t="array" ref="Q186">INT(SUMPRODUCT(--ISNUMBER(SEARCH(gun,C186)))&gt;0)</f>
        <v>0</v>
      </c>
      <c r="R186" s="14" cm="1">
        <f t="array" ref="R186">INT(SUMPRODUCT(--ISNUMBER(SEARCH(race,C186)))&gt;0)</f>
        <v>0</v>
      </c>
      <c r="S186" s="14" cm="1">
        <f t="array" ref="S186">INT(SUMPRODUCT(--ISNUMBER(SEARCH(immigration,C186)))&gt;0)</f>
        <v>0</v>
      </c>
      <c r="T186" s="14" cm="1">
        <f t="array" ref="T186">INT(SUMPRODUCT(--ISNUMBER(SEARCH(econineq,C187)))&gt;0)</f>
        <v>0</v>
      </c>
      <c r="U186" s="14" cm="1">
        <f t="array" ref="U186">INT(SUMPRODUCT(--ISNUMBER(SEARCH(climate,C186)))&gt;0)</f>
        <v>0</v>
      </c>
      <c r="V186" s="14" cm="1">
        <f t="array" ref="V186">INT(SUMPRODUCT(--ISNUMBER(SEARCH(abortion,C186)))&gt;0)</f>
        <v>0</v>
      </c>
      <c r="W186" s="14" cm="1">
        <f t="array" ref="W186">INT(SUMPRODUCT(--ISNUMBER(SEARCH(trump,C186)))&gt;0)</f>
        <v>0</v>
      </c>
      <c r="X186" s="14" cm="1">
        <f t="array" ref="X186">INT(SUMPRODUCT(--ISNUMBER(SEARCH(voting,C186)))&gt;0)</f>
        <v>0</v>
      </c>
      <c r="Y186" s="14" cm="1">
        <f t="array" ref="Y186">INT(SUMPRODUCT(--ISNUMBER(SEARCH(democrattrigger,C186)))&gt;0)</f>
        <v>1</v>
      </c>
      <c r="Z186" s="14" cm="1">
        <f t="array" ref="Z186">INT(SUMPRODUCT(--ISNUMBER(SEARCH(bipartisan,C186)))&gt;0)</f>
        <v>0</v>
      </c>
      <c r="AA186" s="14">
        <f t="shared" si="2"/>
        <v>0</v>
      </c>
      <c r="AB186" s="14"/>
      <c r="AC186" s="30" t="s">
        <v>223</v>
      </c>
      <c r="AD186" s="37" t="s">
        <v>223</v>
      </c>
    </row>
    <row r="187" spans="1:30" x14ac:dyDescent="0.25">
      <c r="A187" s="36">
        <v>2340</v>
      </c>
      <c r="B187" s="14" t="s">
        <v>4705</v>
      </c>
      <c r="C187" s="14" t="s">
        <v>4706</v>
      </c>
      <c r="D187" s="17">
        <v>44125</v>
      </c>
      <c r="E187" s="14" t="s">
        <v>30</v>
      </c>
      <c r="F187" s="14">
        <v>13</v>
      </c>
      <c r="G187" s="14">
        <v>3</v>
      </c>
      <c r="H187" s="14">
        <v>11</v>
      </c>
      <c r="I187" s="14">
        <v>6</v>
      </c>
      <c r="J187" s="14" t="s">
        <v>204</v>
      </c>
      <c r="K187" s="14" cm="1">
        <f t="array" ref="K187">INT(SUMPRODUCT(--ISNUMBER(SEARCH(economy,C187)))&gt;0)</f>
        <v>0</v>
      </c>
      <c r="L187" s="14" cm="1">
        <f t="array" ref="L187">INT(SUMPRODUCT(--ISNUMBER(SEARCH(healthcare,C187)))&gt;0)</f>
        <v>0</v>
      </c>
      <c r="M187" s="14" cm="1">
        <f t="array" ref="M187">INT(SUMPRODUCT(--ISNUMBER(SEARCH(supreme,C187)))&gt;0)</f>
        <v>0</v>
      </c>
      <c r="N187" s="14" cm="1">
        <f t="array" ref="N187">INT(SUMPRODUCT(--ISNUMBER(SEARCH(covid,C187)))&gt;0)</f>
        <v>0</v>
      </c>
      <c r="O187" s="14" cm="1">
        <f t="array" ref="O187">INT(SUMPRODUCT(--ISNUMBER(SEARCH(violent,C187)))&gt;0)</f>
        <v>0</v>
      </c>
      <c r="P187" s="14" cm="1">
        <f t="array" ref="P187">INT(SUMPRODUCT(--ISNUMBER(SEARCH(foreign,C187)))&gt;0)</f>
        <v>0</v>
      </c>
      <c r="Q187" s="14" cm="1">
        <f t="array" ref="Q187">INT(SUMPRODUCT(--ISNUMBER(SEARCH(gun,C187)))&gt;0)</f>
        <v>0</v>
      </c>
      <c r="R187" s="14" cm="1">
        <f t="array" ref="R187">INT(SUMPRODUCT(--ISNUMBER(SEARCH(race,C187)))&gt;0)</f>
        <v>0</v>
      </c>
      <c r="S187" s="14" cm="1">
        <f t="array" ref="S187">INT(SUMPRODUCT(--ISNUMBER(SEARCH(immigration,C187)))&gt;0)</f>
        <v>0</v>
      </c>
      <c r="T187" s="14" cm="1">
        <f t="array" ref="T187">INT(SUMPRODUCT(--ISNUMBER(SEARCH(econineq,C188)))&gt;0)</f>
        <v>0</v>
      </c>
      <c r="U187" s="14" cm="1">
        <f t="array" ref="U187">INT(SUMPRODUCT(--ISNUMBER(SEARCH(climate,C187)))&gt;0)</f>
        <v>0</v>
      </c>
      <c r="V187" s="14" cm="1">
        <f t="array" ref="V187">INT(SUMPRODUCT(--ISNUMBER(SEARCH(abortion,C187)))&gt;0)</f>
        <v>0</v>
      </c>
      <c r="W187" s="14" cm="1">
        <f t="array" ref="W187">INT(SUMPRODUCT(--ISNUMBER(SEARCH(trump,C187)))&gt;0)</f>
        <v>0</v>
      </c>
      <c r="X187" s="14" cm="1">
        <f t="array" ref="X187">INT(SUMPRODUCT(--ISNUMBER(SEARCH(voting,C187)))&gt;0)</f>
        <v>0</v>
      </c>
      <c r="Y187" s="14" cm="1">
        <f t="array" ref="Y187">INT(SUMPRODUCT(--ISNUMBER(SEARCH(democrattrigger,C187)))&gt;0)</f>
        <v>0</v>
      </c>
      <c r="Z187" s="14" cm="1">
        <f t="array" ref="Z187">INT(SUMPRODUCT(--ISNUMBER(SEARCH(bipartisan,C187)))&gt;0)</f>
        <v>0</v>
      </c>
      <c r="AA187" s="14">
        <f t="shared" si="2"/>
        <v>1</v>
      </c>
      <c r="AB187" s="14"/>
      <c r="AC187" s="30" t="s">
        <v>223</v>
      </c>
      <c r="AD187" s="37" t="s">
        <v>223</v>
      </c>
    </row>
    <row r="188" spans="1:30" x14ac:dyDescent="0.25">
      <c r="A188" s="36">
        <v>2341</v>
      </c>
      <c r="B188" s="14" t="s">
        <v>4707</v>
      </c>
      <c r="C188" s="14" t="s">
        <v>4708</v>
      </c>
      <c r="D188" s="17">
        <v>44125</v>
      </c>
      <c r="E188" s="14" t="s">
        <v>30</v>
      </c>
      <c r="F188" s="14">
        <v>164</v>
      </c>
      <c r="G188" s="14">
        <v>34</v>
      </c>
      <c r="H188" s="14">
        <v>11</v>
      </c>
      <c r="I188" s="14">
        <v>6</v>
      </c>
      <c r="J188" s="14" t="s">
        <v>204</v>
      </c>
      <c r="K188" s="14" cm="1">
        <f t="array" ref="K188">INT(SUMPRODUCT(--ISNUMBER(SEARCH(economy,C188)))&gt;0)</f>
        <v>0</v>
      </c>
      <c r="L188" s="14" cm="1">
        <f t="array" ref="L188">INT(SUMPRODUCT(--ISNUMBER(SEARCH(healthcare,C188)))&gt;0)</f>
        <v>0</v>
      </c>
      <c r="M188" s="14" cm="1">
        <f t="array" ref="M188">INT(SUMPRODUCT(--ISNUMBER(SEARCH(supreme,C188)))&gt;0)</f>
        <v>0</v>
      </c>
      <c r="N188" s="14" cm="1">
        <f t="array" ref="N188">INT(SUMPRODUCT(--ISNUMBER(SEARCH(covid,C188)))&gt;0)</f>
        <v>0</v>
      </c>
      <c r="O188" s="14" cm="1">
        <f t="array" ref="O188">INT(SUMPRODUCT(--ISNUMBER(SEARCH(violent,C188)))&gt;0)</f>
        <v>0</v>
      </c>
      <c r="P188" s="14" cm="1">
        <f t="array" ref="P188">INT(SUMPRODUCT(--ISNUMBER(SEARCH(foreign,C188)))&gt;0)</f>
        <v>0</v>
      </c>
      <c r="Q188" s="14" cm="1">
        <f t="array" ref="Q188">INT(SUMPRODUCT(--ISNUMBER(SEARCH(gun,C188)))&gt;0)</f>
        <v>0</v>
      </c>
      <c r="R188" s="14" cm="1">
        <f t="array" ref="R188">INT(SUMPRODUCT(--ISNUMBER(SEARCH(race,C188)))&gt;0)</f>
        <v>0</v>
      </c>
      <c r="S188" s="14" cm="1">
        <f t="array" ref="S188">INT(SUMPRODUCT(--ISNUMBER(SEARCH(immigration,C188)))&gt;0)</f>
        <v>0</v>
      </c>
      <c r="T188" s="14" cm="1">
        <f t="array" ref="T188">INT(SUMPRODUCT(--ISNUMBER(SEARCH(econineq,C189)))&gt;0)</f>
        <v>0</v>
      </c>
      <c r="U188" s="14" cm="1">
        <f t="array" ref="U188">INT(SUMPRODUCT(--ISNUMBER(SEARCH(climate,C188)))&gt;0)</f>
        <v>0</v>
      </c>
      <c r="V188" s="14" cm="1">
        <f t="array" ref="V188">INT(SUMPRODUCT(--ISNUMBER(SEARCH(abortion,C188)))&gt;0)</f>
        <v>1</v>
      </c>
      <c r="W188" s="14" cm="1">
        <f t="array" ref="W188">INT(SUMPRODUCT(--ISNUMBER(SEARCH(trump,C188)))&gt;0)</f>
        <v>0</v>
      </c>
      <c r="X188" s="14" cm="1">
        <f t="array" ref="X188">INT(SUMPRODUCT(--ISNUMBER(SEARCH(voting,C188)))&gt;0)</f>
        <v>0</v>
      </c>
      <c r="Y188" s="14" cm="1">
        <f t="array" ref="Y188">INT(SUMPRODUCT(--ISNUMBER(SEARCH(democrattrigger,C188)))&gt;0)</f>
        <v>0</v>
      </c>
      <c r="Z188" s="14" cm="1">
        <f t="array" ref="Z188">INT(SUMPRODUCT(--ISNUMBER(SEARCH(bipartisan,C188)))&gt;0)</f>
        <v>0</v>
      </c>
      <c r="AA188" s="14">
        <f t="shared" si="2"/>
        <v>0</v>
      </c>
      <c r="AB188" s="14"/>
      <c r="AC188" s="30">
        <v>1</v>
      </c>
      <c r="AD188" s="37">
        <v>0</v>
      </c>
    </row>
    <row r="189" spans="1:30" x14ac:dyDescent="0.25">
      <c r="A189" s="36">
        <v>2342</v>
      </c>
      <c r="B189" s="14" t="s">
        <v>4709</v>
      </c>
      <c r="C189" s="14" t="s">
        <v>4710</v>
      </c>
      <c r="D189" s="17">
        <v>44124</v>
      </c>
      <c r="E189" s="14" t="s">
        <v>30</v>
      </c>
      <c r="F189" s="14">
        <v>479</v>
      </c>
      <c r="G189" s="14">
        <v>50</v>
      </c>
      <c r="H189" s="14">
        <v>11</v>
      </c>
      <c r="I189" s="14">
        <v>6</v>
      </c>
      <c r="J189" s="14" t="s">
        <v>204</v>
      </c>
      <c r="K189" s="14" cm="1">
        <f t="array" ref="K189">INT(SUMPRODUCT(--ISNUMBER(SEARCH(economy,C189)))&gt;0)</f>
        <v>0</v>
      </c>
      <c r="L189" s="14" cm="1">
        <f t="array" ref="L189">INT(SUMPRODUCT(--ISNUMBER(SEARCH(healthcare,C189)))&gt;0)</f>
        <v>0</v>
      </c>
      <c r="M189" s="14" cm="1">
        <f t="array" ref="M189">INT(SUMPRODUCT(--ISNUMBER(SEARCH(supreme,C189)))&gt;0)</f>
        <v>0</v>
      </c>
      <c r="N189" s="14" cm="1">
        <f t="array" ref="N189">INT(SUMPRODUCT(--ISNUMBER(SEARCH(covid,C189)))&gt;0)</f>
        <v>0</v>
      </c>
      <c r="O189" s="14" cm="1">
        <f t="array" ref="O189">INT(SUMPRODUCT(--ISNUMBER(SEARCH(violent,C189)))&gt;0)</f>
        <v>0</v>
      </c>
      <c r="P189" s="14" cm="1">
        <f t="array" ref="P189">INT(SUMPRODUCT(--ISNUMBER(SEARCH(foreign,C189)))&gt;0)</f>
        <v>0</v>
      </c>
      <c r="Q189" s="14" cm="1">
        <f t="array" ref="Q189">INT(SUMPRODUCT(--ISNUMBER(SEARCH(gun,C189)))&gt;0)</f>
        <v>0</v>
      </c>
      <c r="R189" s="14" cm="1">
        <f t="array" ref="R189">INT(SUMPRODUCT(--ISNUMBER(SEARCH(race,C189)))&gt;0)</f>
        <v>0</v>
      </c>
      <c r="S189" s="14" cm="1">
        <f t="array" ref="S189">INT(SUMPRODUCT(--ISNUMBER(SEARCH(immigration,C189)))&gt;0)</f>
        <v>0</v>
      </c>
      <c r="T189" s="14" cm="1">
        <f t="array" ref="T189">INT(SUMPRODUCT(--ISNUMBER(SEARCH(econineq,C190)))&gt;0)</f>
        <v>0</v>
      </c>
      <c r="U189" s="14" cm="1">
        <f t="array" ref="U189">INT(SUMPRODUCT(--ISNUMBER(SEARCH(climate,C189)))&gt;0)</f>
        <v>0</v>
      </c>
      <c r="V189" s="14" cm="1">
        <f t="array" ref="V189">INT(SUMPRODUCT(--ISNUMBER(SEARCH(abortion,C189)))&gt;0)</f>
        <v>0</v>
      </c>
      <c r="W189" s="14" cm="1">
        <f t="array" ref="W189">INT(SUMPRODUCT(--ISNUMBER(SEARCH(trump,C189)))&gt;0)</f>
        <v>0</v>
      </c>
      <c r="X189" s="14" cm="1">
        <f t="array" ref="X189">INT(SUMPRODUCT(--ISNUMBER(SEARCH(voting,C189)))&gt;0)</f>
        <v>0</v>
      </c>
      <c r="Y189" s="14" cm="1">
        <f t="array" ref="Y189">INT(SUMPRODUCT(--ISNUMBER(SEARCH(democrattrigger,C189)))&gt;0)</f>
        <v>0</v>
      </c>
      <c r="Z189" s="14" cm="1">
        <f t="array" ref="Z189">INT(SUMPRODUCT(--ISNUMBER(SEARCH(bipartisan,C189)))&gt;0)</f>
        <v>0</v>
      </c>
      <c r="AA189" s="14">
        <f t="shared" si="2"/>
        <v>1</v>
      </c>
      <c r="AB189" s="14"/>
      <c r="AC189" s="30" t="s">
        <v>223</v>
      </c>
      <c r="AD189" s="37" t="s">
        <v>223</v>
      </c>
    </row>
    <row r="190" spans="1:30" x14ac:dyDescent="0.25">
      <c r="A190" s="36">
        <v>2343</v>
      </c>
      <c r="B190" s="14" t="s">
        <v>4711</v>
      </c>
      <c r="C190" s="14" t="s">
        <v>4712</v>
      </c>
      <c r="D190" s="17">
        <v>44124</v>
      </c>
      <c r="E190" s="14" t="s">
        <v>30</v>
      </c>
      <c r="F190" s="14">
        <v>57</v>
      </c>
      <c r="G190" s="14">
        <v>21</v>
      </c>
      <c r="H190" s="14">
        <v>11</v>
      </c>
      <c r="I190" s="14">
        <v>6</v>
      </c>
      <c r="J190" s="14" t="s">
        <v>204</v>
      </c>
      <c r="K190" s="14" cm="1">
        <f t="array" ref="K190">INT(SUMPRODUCT(--ISNUMBER(SEARCH(economy,C190)))&gt;0)</f>
        <v>0</v>
      </c>
      <c r="L190" s="14" cm="1">
        <f t="array" ref="L190">INT(SUMPRODUCT(--ISNUMBER(SEARCH(healthcare,C190)))&gt;0)</f>
        <v>0</v>
      </c>
      <c r="M190" s="14" cm="1">
        <f t="array" ref="M190">INT(SUMPRODUCT(--ISNUMBER(SEARCH(supreme,C190)))&gt;0)</f>
        <v>0</v>
      </c>
      <c r="N190" s="14" cm="1">
        <f t="array" ref="N190">INT(SUMPRODUCT(--ISNUMBER(SEARCH(covid,C190)))&gt;0)</f>
        <v>0</v>
      </c>
      <c r="O190" s="14" cm="1">
        <f t="array" ref="O190">INT(SUMPRODUCT(--ISNUMBER(SEARCH(violent,C190)))&gt;0)</f>
        <v>0</v>
      </c>
      <c r="P190" s="14" cm="1">
        <f t="array" ref="P190">INT(SUMPRODUCT(--ISNUMBER(SEARCH(foreign,C190)))&gt;0)</f>
        <v>0</v>
      </c>
      <c r="Q190" s="14" cm="1">
        <f t="array" ref="Q190">INT(SUMPRODUCT(--ISNUMBER(SEARCH(gun,C190)))&gt;0)</f>
        <v>0</v>
      </c>
      <c r="R190" s="14" cm="1">
        <f t="array" ref="R190">INT(SUMPRODUCT(--ISNUMBER(SEARCH(race,C190)))&gt;0)</f>
        <v>0</v>
      </c>
      <c r="S190" s="14" cm="1">
        <f t="array" ref="S190">INT(SUMPRODUCT(--ISNUMBER(SEARCH(immigration,C190)))&gt;0)</f>
        <v>0</v>
      </c>
      <c r="T190" s="14" cm="1">
        <f t="array" ref="T190">INT(SUMPRODUCT(--ISNUMBER(SEARCH(econineq,C191)))&gt;0)</f>
        <v>0</v>
      </c>
      <c r="U190" s="14" cm="1">
        <f t="array" ref="U190">INT(SUMPRODUCT(--ISNUMBER(SEARCH(climate,C190)))&gt;0)</f>
        <v>0</v>
      </c>
      <c r="V190" s="14" cm="1">
        <f t="array" ref="V190">INT(SUMPRODUCT(--ISNUMBER(SEARCH(abortion,C190)))&gt;0)</f>
        <v>0</v>
      </c>
      <c r="W190" s="14" cm="1">
        <f t="array" ref="W190">INT(SUMPRODUCT(--ISNUMBER(SEARCH(trump,C190)))&gt;0)</f>
        <v>0</v>
      </c>
      <c r="X190" s="14" cm="1">
        <f t="array" ref="X190">INT(SUMPRODUCT(--ISNUMBER(SEARCH(voting,C190)))&gt;0)</f>
        <v>1</v>
      </c>
      <c r="Y190" s="14" cm="1">
        <f t="array" ref="Y190">INT(SUMPRODUCT(--ISNUMBER(SEARCH(democrattrigger,C190)))&gt;0)</f>
        <v>0</v>
      </c>
      <c r="Z190" s="14" cm="1">
        <f t="array" ref="Z190">INT(SUMPRODUCT(--ISNUMBER(SEARCH(bipartisan,C190)))&gt;0)</f>
        <v>0</v>
      </c>
      <c r="AA190" s="14">
        <f t="shared" si="2"/>
        <v>0</v>
      </c>
      <c r="AB190" s="14"/>
      <c r="AC190" s="30" t="s">
        <v>223</v>
      </c>
      <c r="AD190" s="37" t="s">
        <v>223</v>
      </c>
    </row>
    <row r="191" spans="1:30" x14ac:dyDescent="0.25">
      <c r="A191" s="36">
        <v>2344</v>
      </c>
      <c r="B191" s="14" t="s">
        <v>4713</v>
      </c>
      <c r="C191" s="14" t="s">
        <v>4714</v>
      </c>
      <c r="D191" s="17">
        <v>44124</v>
      </c>
      <c r="E191" s="14" t="s">
        <v>30</v>
      </c>
      <c r="F191" s="14">
        <v>247</v>
      </c>
      <c r="G191" s="14">
        <v>20</v>
      </c>
      <c r="H191" s="14">
        <v>11</v>
      </c>
      <c r="I191" s="14">
        <v>6</v>
      </c>
      <c r="J191" s="14" t="s">
        <v>204</v>
      </c>
      <c r="K191" s="14" cm="1">
        <f t="array" ref="K191">INT(SUMPRODUCT(--ISNUMBER(SEARCH(economy,C191)))&gt;0)</f>
        <v>0</v>
      </c>
      <c r="L191" s="14" cm="1">
        <f t="array" ref="L191">INT(SUMPRODUCT(--ISNUMBER(SEARCH(healthcare,C191)))&gt;0)</f>
        <v>0</v>
      </c>
      <c r="M191" s="14" cm="1">
        <f t="array" ref="M191">INT(SUMPRODUCT(--ISNUMBER(SEARCH(supreme,C191)))&gt;0)</f>
        <v>0</v>
      </c>
      <c r="N191" s="14" cm="1">
        <f t="array" ref="N191">INT(SUMPRODUCT(--ISNUMBER(SEARCH(covid,C191)))&gt;0)</f>
        <v>0</v>
      </c>
      <c r="O191" s="14" cm="1">
        <f t="array" ref="O191">INT(SUMPRODUCT(--ISNUMBER(SEARCH(violent,C191)))&gt;0)</f>
        <v>0</v>
      </c>
      <c r="P191" s="14" cm="1">
        <f t="array" ref="P191">INT(SUMPRODUCT(--ISNUMBER(SEARCH(foreign,C191)))&gt;0)</f>
        <v>0</v>
      </c>
      <c r="Q191" s="14" cm="1">
        <f t="array" ref="Q191">INT(SUMPRODUCT(--ISNUMBER(SEARCH(gun,C191)))&gt;0)</f>
        <v>0</v>
      </c>
      <c r="R191" s="14" cm="1">
        <f t="array" ref="R191">INT(SUMPRODUCT(--ISNUMBER(SEARCH(race,C191)))&gt;0)</f>
        <v>0</v>
      </c>
      <c r="S191" s="14" cm="1">
        <f t="array" ref="S191">INT(SUMPRODUCT(--ISNUMBER(SEARCH(immigration,C191)))&gt;0)</f>
        <v>0</v>
      </c>
      <c r="T191" s="14" cm="1">
        <f t="array" ref="T191">INT(SUMPRODUCT(--ISNUMBER(SEARCH(econineq,C192)))&gt;0)</f>
        <v>0</v>
      </c>
      <c r="U191" s="14" cm="1">
        <f t="array" ref="U191">INT(SUMPRODUCT(--ISNUMBER(SEARCH(climate,C191)))&gt;0)</f>
        <v>0</v>
      </c>
      <c r="V191" s="14" cm="1">
        <f t="array" ref="V191">INT(SUMPRODUCT(--ISNUMBER(SEARCH(abortion,C191)))&gt;0)</f>
        <v>0</v>
      </c>
      <c r="W191" s="14" cm="1">
        <f t="array" ref="W191">INT(SUMPRODUCT(--ISNUMBER(SEARCH(trump,C191)))&gt;0)</f>
        <v>1</v>
      </c>
      <c r="X191" s="14" cm="1">
        <f t="array" ref="X191">INT(SUMPRODUCT(--ISNUMBER(SEARCH(voting,C191)))&gt;0)</f>
        <v>0</v>
      </c>
      <c r="Y191" s="14" cm="1">
        <f t="array" ref="Y191">INT(SUMPRODUCT(--ISNUMBER(SEARCH(democrattrigger,C191)))&gt;0)</f>
        <v>0</v>
      </c>
      <c r="Z191" s="14" cm="1">
        <f t="array" ref="Z191">INT(SUMPRODUCT(--ISNUMBER(SEARCH(bipartisan,C191)))&gt;0)</f>
        <v>0</v>
      </c>
      <c r="AA191" s="14">
        <f t="shared" si="2"/>
        <v>0</v>
      </c>
      <c r="AB191" s="14"/>
      <c r="AC191" s="30" t="s">
        <v>223</v>
      </c>
      <c r="AD191" s="37" t="s">
        <v>223</v>
      </c>
    </row>
    <row r="192" spans="1:30" x14ac:dyDescent="0.25">
      <c r="A192" s="36">
        <v>2345</v>
      </c>
      <c r="B192" s="14" t="s">
        <v>4715</v>
      </c>
      <c r="C192" s="14" t="s">
        <v>4716</v>
      </c>
      <c r="D192" s="17">
        <v>44124</v>
      </c>
      <c r="E192" s="14" t="s">
        <v>30</v>
      </c>
      <c r="F192" s="14">
        <v>143</v>
      </c>
      <c r="G192" s="14">
        <v>44</v>
      </c>
      <c r="H192" s="14">
        <v>11</v>
      </c>
      <c r="I192" s="14">
        <v>6</v>
      </c>
      <c r="J192" s="14" t="s">
        <v>204</v>
      </c>
      <c r="K192" s="14" cm="1">
        <f t="array" ref="K192">INT(SUMPRODUCT(--ISNUMBER(SEARCH(economy,C192)))&gt;0)</f>
        <v>0</v>
      </c>
      <c r="L192" s="14" cm="1">
        <f t="array" ref="L192">INT(SUMPRODUCT(--ISNUMBER(SEARCH(healthcare,C192)))&gt;0)</f>
        <v>1</v>
      </c>
      <c r="M192" s="14" cm="1">
        <f t="array" ref="M192">INT(SUMPRODUCT(--ISNUMBER(SEARCH(supreme,C192)))&gt;0)</f>
        <v>1</v>
      </c>
      <c r="N192" s="14" cm="1">
        <f t="array" ref="N192">INT(SUMPRODUCT(--ISNUMBER(SEARCH(covid,C192)))&gt;0)</f>
        <v>0</v>
      </c>
      <c r="O192" s="14" cm="1">
        <f t="array" ref="O192">INT(SUMPRODUCT(--ISNUMBER(SEARCH(violent,C192)))&gt;0)</f>
        <v>0</v>
      </c>
      <c r="P192" s="14" cm="1">
        <f t="array" ref="P192">INT(SUMPRODUCT(--ISNUMBER(SEARCH(foreign,C192)))&gt;0)</f>
        <v>0</v>
      </c>
      <c r="Q192" s="14" cm="1">
        <f t="array" ref="Q192">INT(SUMPRODUCT(--ISNUMBER(SEARCH(gun,C192)))&gt;0)</f>
        <v>0</v>
      </c>
      <c r="R192" s="14" cm="1">
        <f t="array" ref="R192">INT(SUMPRODUCT(--ISNUMBER(SEARCH(race,C192)))&gt;0)</f>
        <v>0</v>
      </c>
      <c r="S192" s="14" cm="1">
        <f t="array" ref="S192">INT(SUMPRODUCT(--ISNUMBER(SEARCH(immigration,C192)))&gt;0)</f>
        <v>0</v>
      </c>
      <c r="T192" s="14" cm="1">
        <f t="array" ref="T192">INT(SUMPRODUCT(--ISNUMBER(SEARCH(econineq,C193)))&gt;0)</f>
        <v>0</v>
      </c>
      <c r="U192" s="14" cm="1">
        <f t="array" ref="U192">INT(SUMPRODUCT(--ISNUMBER(SEARCH(climate,C192)))&gt;0)</f>
        <v>0</v>
      </c>
      <c r="V192" s="14" cm="1">
        <f t="array" ref="V192">INT(SUMPRODUCT(--ISNUMBER(SEARCH(abortion,C192)))&gt;0)</f>
        <v>0</v>
      </c>
      <c r="W192" s="14" cm="1">
        <f t="array" ref="W192">INT(SUMPRODUCT(--ISNUMBER(SEARCH(trump,C192)))&gt;0)</f>
        <v>0</v>
      </c>
      <c r="X192" s="14" cm="1">
        <f t="array" ref="X192">INT(SUMPRODUCT(--ISNUMBER(SEARCH(voting,C192)))&gt;0)</f>
        <v>0</v>
      </c>
      <c r="Y192" s="14" cm="1">
        <f t="array" ref="Y192">INT(SUMPRODUCT(--ISNUMBER(SEARCH(democrattrigger,C192)))&gt;0)</f>
        <v>0</v>
      </c>
      <c r="Z192" s="14" cm="1">
        <f t="array" ref="Z192">INT(SUMPRODUCT(--ISNUMBER(SEARCH(bipartisan,C192)))&gt;0)</f>
        <v>0</v>
      </c>
      <c r="AA192" s="14">
        <f t="shared" si="2"/>
        <v>0</v>
      </c>
      <c r="AB192" s="14"/>
      <c r="AC192" s="30" t="s">
        <v>223</v>
      </c>
      <c r="AD192" s="37" t="s">
        <v>223</v>
      </c>
    </row>
    <row r="193" spans="1:30" x14ac:dyDescent="0.25">
      <c r="A193" s="36">
        <v>2346</v>
      </c>
      <c r="B193" s="14" t="s">
        <v>4717</v>
      </c>
      <c r="C193" s="14" t="s">
        <v>4718</v>
      </c>
      <c r="D193" s="17">
        <v>44124</v>
      </c>
      <c r="E193" s="14" t="s">
        <v>30</v>
      </c>
      <c r="F193" s="14">
        <v>118</v>
      </c>
      <c r="G193" s="14">
        <v>32</v>
      </c>
      <c r="H193" s="14">
        <v>11</v>
      </c>
      <c r="I193" s="14">
        <v>6</v>
      </c>
      <c r="J193" s="14" t="s">
        <v>204</v>
      </c>
      <c r="K193" s="14" cm="1">
        <f t="array" ref="K193">INT(SUMPRODUCT(--ISNUMBER(SEARCH(economy,C193)))&gt;0)</f>
        <v>0</v>
      </c>
      <c r="L193" s="14" cm="1">
        <f t="array" ref="L193">INT(SUMPRODUCT(--ISNUMBER(SEARCH(healthcare,C193)))&gt;0)</f>
        <v>0</v>
      </c>
      <c r="M193" s="14" cm="1">
        <f t="array" ref="M193">INT(SUMPRODUCT(--ISNUMBER(SEARCH(supreme,C193)))&gt;0)</f>
        <v>0</v>
      </c>
      <c r="N193" s="14" cm="1">
        <f t="array" ref="N193">INT(SUMPRODUCT(--ISNUMBER(SEARCH(covid,C193)))&gt;0)</f>
        <v>0</v>
      </c>
      <c r="O193" s="14" cm="1">
        <f t="array" ref="O193">INT(SUMPRODUCT(--ISNUMBER(SEARCH(violent,C193)))&gt;0)</f>
        <v>0</v>
      </c>
      <c r="P193" s="14" cm="1">
        <f t="array" ref="P193">INT(SUMPRODUCT(--ISNUMBER(SEARCH(foreign,C193)))&gt;0)</f>
        <v>1</v>
      </c>
      <c r="Q193" s="14" cm="1">
        <f t="array" ref="Q193">INT(SUMPRODUCT(--ISNUMBER(SEARCH(gun,C193)))&gt;0)</f>
        <v>0</v>
      </c>
      <c r="R193" s="14" cm="1">
        <f t="array" ref="R193">INT(SUMPRODUCT(--ISNUMBER(SEARCH(race,C193)))&gt;0)</f>
        <v>0</v>
      </c>
      <c r="S193" s="14" cm="1">
        <f t="array" ref="S193">INT(SUMPRODUCT(--ISNUMBER(SEARCH(immigration,C193)))&gt;0)</f>
        <v>0</v>
      </c>
      <c r="T193" s="14" cm="1">
        <f t="array" ref="T193">INT(SUMPRODUCT(--ISNUMBER(SEARCH(econineq,C194)))&gt;0)</f>
        <v>0</v>
      </c>
      <c r="U193" s="14" cm="1">
        <f t="array" ref="U193">INT(SUMPRODUCT(--ISNUMBER(SEARCH(climate,C193)))&gt;0)</f>
        <v>0</v>
      </c>
      <c r="V193" s="14" cm="1">
        <f t="array" ref="V193">INT(SUMPRODUCT(--ISNUMBER(SEARCH(abortion,C193)))&gt;0)</f>
        <v>0</v>
      </c>
      <c r="W193" s="14" cm="1">
        <f t="array" ref="W193">INT(SUMPRODUCT(--ISNUMBER(SEARCH(trump,C193)))&gt;0)</f>
        <v>0</v>
      </c>
      <c r="X193" s="14" cm="1">
        <f t="array" ref="X193">INT(SUMPRODUCT(--ISNUMBER(SEARCH(voting,C193)))&gt;0)</f>
        <v>1</v>
      </c>
      <c r="Y193" s="14" cm="1">
        <f t="array" ref="Y193">INT(SUMPRODUCT(--ISNUMBER(SEARCH(democrattrigger,C193)))&gt;0)</f>
        <v>0</v>
      </c>
      <c r="Z193" s="14" cm="1">
        <f t="array" ref="Z193">INT(SUMPRODUCT(--ISNUMBER(SEARCH(bipartisan,C193)))&gt;0)</f>
        <v>0</v>
      </c>
      <c r="AA193" s="14">
        <f t="shared" si="2"/>
        <v>0</v>
      </c>
      <c r="AB193" s="14"/>
      <c r="AC193" s="30">
        <v>1</v>
      </c>
      <c r="AD193" s="37">
        <v>0</v>
      </c>
    </row>
    <row r="194" spans="1:30" x14ac:dyDescent="0.25">
      <c r="A194" s="36">
        <v>2347</v>
      </c>
      <c r="B194" s="14" t="s">
        <v>4719</v>
      </c>
      <c r="C194" s="14" t="s">
        <v>4720</v>
      </c>
      <c r="D194" s="17">
        <v>44124</v>
      </c>
      <c r="E194" s="14" t="s">
        <v>30</v>
      </c>
      <c r="F194" s="14">
        <v>196</v>
      </c>
      <c r="G194" s="14">
        <v>43</v>
      </c>
      <c r="H194" s="14">
        <v>11</v>
      </c>
      <c r="I194" s="14">
        <v>6</v>
      </c>
      <c r="J194" s="14" t="s">
        <v>204</v>
      </c>
      <c r="K194" s="14" cm="1">
        <f t="array" ref="K194">INT(SUMPRODUCT(--ISNUMBER(SEARCH(economy,C194)))&gt;0)</f>
        <v>0</v>
      </c>
      <c r="L194" s="14" cm="1">
        <f t="array" ref="L194">INT(SUMPRODUCT(--ISNUMBER(SEARCH(healthcare,C194)))&gt;0)</f>
        <v>1</v>
      </c>
      <c r="M194" s="14" cm="1">
        <f t="array" ref="M194">INT(SUMPRODUCT(--ISNUMBER(SEARCH(supreme,C194)))&gt;0)</f>
        <v>0</v>
      </c>
      <c r="N194" s="14" cm="1">
        <f t="array" ref="N194">INT(SUMPRODUCT(--ISNUMBER(SEARCH(covid,C194)))&gt;0)</f>
        <v>0</v>
      </c>
      <c r="O194" s="14" cm="1">
        <f t="array" ref="O194">INT(SUMPRODUCT(--ISNUMBER(SEARCH(violent,C194)))&gt;0)</f>
        <v>0</v>
      </c>
      <c r="P194" s="14" cm="1">
        <f t="array" ref="P194">INT(SUMPRODUCT(--ISNUMBER(SEARCH(foreign,C194)))&gt;0)</f>
        <v>0</v>
      </c>
      <c r="Q194" s="14" cm="1">
        <f t="array" ref="Q194">INT(SUMPRODUCT(--ISNUMBER(SEARCH(gun,C194)))&gt;0)</f>
        <v>0</v>
      </c>
      <c r="R194" s="14" cm="1">
        <f t="array" ref="R194">INT(SUMPRODUCT(--ISNUMBER(SEARCH(race,C194)))&gt;0)</f>
        <v>1</v>
      </c>
      <c r="S194" s="14" cm="1">
        <f t="array" ref="S194">INT(SUMPRODUCT(--ISNUMBER(SEARCH(immigration,C194)))&gt;0)</f>
        <v>0</v>
      </c>
      <c r="T194" s="14" cm="1">
        <f t="array" ref="T194">INT(SUMPRODUCT(--ISNUMBER(SEARCH(econineq,C195)))&gt;0)</f>
        <v>1</v>
      </c>
      <c r="U194" s="14" cm="1">
        <f t="array" ref="U194">INT(SUMPRODUCT(--ISNUMBER(SEARCH(climate,C194)))&gt;0)</f>
        <v>0</v>
      </c>
      <c r="V194" s="14" cm="1">
        <f t="array" ref="V194">INT(SUMPRODUCT(--ISNUMBER(SEARCH(abortion,C194)))&gt;0)</f>
        <v>0</v>
      </c>
      <c r="W194" s="14" cm="1">
        <f t="array" ref="W194">INT(SUMPRODUCT(--ISNUMBER(SEARCH(trump,C194)))&gt;0)</f>
        <v>0</v>
      </c>
      <c r="X194" s="14" cm="1">
        <f t="array" ref="X194">INT(SUMPRODUCT(--ISNUMBER(SEARCH(voting,C194)))&gt;0)</f>
        <v>0</v>
      </c>
      <c r="Y194" s="14" cm="1">
        <f t="array" ref="Y194">INT(SUMPRODUCT(--ISNUMBER(SEARCH(democrattrigger,C194)))&gt;0)</f>
        <v>0</v>
      </c>
      <c r="Z194" s="14" cm="1">
        <f t="array" ref="Z194">INT(SUMPRODUCT(--ISNUMBER(SEARCH(bipartisan,C194)))&gt;0)</f>
        <v>0</v>
      </c>
      <c r="AA194" s="14">
        <f t="shared" si="2"/>
        <v>0</v>
      </c>
      <c r="AB194" s="14"/>
      <c r="AC194" s="30" t="s">
        <v>223</v>
      </c>
      <c r="AD194" s="37" t="s">
        <v>223</v>
      </c>
    </row>
    <row r="195" spans="1:30" x14ac:dyDescent="0.25">
      <c r="A195" s="36">
        <v>2348</v>
      </c>
      <c r="B195" s="14" t="s">
        <v>4721</v>
      </c>
      <c r="C195" s="14" t="s">
        <v>4722</v>
      </c>
      <c r="D195" s="17">
        <v>44124</v>
      </c>
      <c r="E195" s="14" t="s">
        <v>30</v>
      </c>
      <c r="F195" s="14">
        <v>373</v>
      </c>
      <c r="G195" s="14">
        <v>34</v>
      </c>
      <c r="H195" s="14">
        <v>11</v>
      </c>
      <c r="I195" s="14">
        <v>6</v>
      </c>
      <c r="J195" s="14" t="s">
        <v>204</v>
      </c>
      <c r="K195" s="14" cm="1">
        <f t="array" ref="K195">INT(SUMPRODUCT(--ISNUMBER(SEARCH(economy,C195)))&gt;0)</f>
        <v>0</v>
      </c>
      <c r="L195" s="14" cm="1">
        <f t="array" ref="L195">INT(SUMPRODUCT(--ISNUMBER(SEARCH(healthcare,C195)))&gt;0)</f>
        <v>0</v>
      </c>
      <c r="M195" s="14" cm="1">
        <f t="array" ref="M195">INT(SUMPRODUCT(--ISNUMBER(SEARCH(supreme,C195)))&gt;0)</f>
        <v>0</v>
      </c>
      <c r="N195" s="14" cm="1">
        <f t="array" ref="N195">INT(SUMPRODUCT(--ISNUMBER(SEARCH(covid,C195)))&gt;0)</f>
        <v>0</v>
      </c>
      <c r="O195" s="14" cm="1">
        <f t="array" ref="O195">INT(SUMPRODUCT(--ISNUMBER(SEARCH(violent,C195)))&gt;0)</f>
        <v>0</v>
      </c>
      <c r="P195" s="14" cm="1">
        <f t="array" ref="P195">INT(SUMPRODUCT(--ISNUMBER(SEARCH(foreign,C195)))&gt;0)</f>
        <v>0</v>
      </c>
      <c r="Q195" s="14" cm="1">
        <f t="array" ref="Q195">INT(SUMPRODUCT(--ISNUMBER(SEARCH(gun,C195)))&gt;0)</f>
        <v>0</v>
      </c>
      <c r="R195" s="14" cm="1">
        <f t="array" ref="R195">INT(SUMPRODUCT(--ISNUMBER(SEARCH(race,C195)))&gt;0)</f>
        <v>0</v>
      </c>
      <c r="S195" s="14" cm="1">
        <f t="array" ref="S195">INT(SUMPRODUCT(--ISNUMBER(SEARCH(immigration,C195)))&gt;0)</f>
        <v>0</v>
      </c>
      <c r="T195" s="14" cm="1">
        <f t="array" ref="T195">INT(SUMPRODUCT(--ISNUMBER(SEARCH(econineq,C196)))&gt;0)</f>
        <v>0</v>
      </c>
      <c r="U195" s="14" cm="1">
        <f t="array" ref="U195">INT(SUMPRODUCT(--ISNUMBER(SEARCH(climate,C195)))&gt;0)</f>
        <v>0</v>
      </c>
      <c r="V195" s="14" cm="1">
        <f t="array" ref="V195">INT(SUMPRODUCT(--ISNUMBER(SEARCH(abortion,C195)))&gt;0)</f>
        <v>0</v>
      </c>
      <c r="W195" s="14" cm="1">
        <f t="array" ref="W195">INT(SUMPRODUCT(--ISNUMBER(SEARCH(trump,C195)))&gt;0)</f>
        <v>0</v>
      </c>
      <c r="X195" s="14" cm="1">
        <f t="array" ref="X195">INT(SUMPRODUCT(--ISNUMBER(SEARCH(voting,C195)))&gt;0)</f>
        <v>0</v>
      </c>
      <c r="Y195" s="14" cm="1">
        <f t="array" ref="Y195">INT(SUMPRODUCT(--ISNUMBER(SEARCH(democrattrigger,C195)))&gt;0)</f>
        <v>0</v>
      </c>
      <c r="Z195" s="14" cm="1">
        <f t="array" ref="Z195">INT(SUMPRODUCT(--ISNUMBER(SEARCH(bipartisan,C195)))&gt;0)</f>
        <v>0</v>
      </c>
      <c r="AA195" s="14">
        <f t="shared" ref="AA195:AA258" si="3">INT(IF(COUNTIF(K195:Z195,1)=0,"1","0"))</f>
        <v>1</v>
      </c>
      <c r="AB195" s="14"/>
      <c r="AC195" s="30">
        <v>1</v>
      </c>
      <c r="AD195" s="37">
        <v>0</v>
      </c>
    </row>
    <row r="196" spans="1:30" x14ac:dyDescent="0.25">
      <c r="A196" s="36">
        <v>2349</v>
      </c>
      <c r="B196" s="14" t="s">
        <v>4723</v>
      </c>
      <c r="C196" s="14" t="s">
        <v>4724</v>
      </c>
      <c r="D196" s="17">
        <v>44124</v>
      </c>
      <c r="E196" s="14" t="s">
        <v>30</v>
      </c>
      <c r="F196" s="14">
        <v>84</v>
      </c>
      <c r="G196" s="14">
        <v>12</v>
      </c>
      <c r="H196" s="14">
        <v>11</v>
      </c>
      <c r="I196" s="14">
        <v>6</v>
      </c>
      <c r="J196" s="14" t="s">
        <v>204</v>
      </c>
      <c r="K196" s="14" cm="1">
        <f t="array" ref="K196">INT(SUMPRODUCT(--ISNUMBER(SEARCH(economy,C196)))&gt;0)</f>
        <v>0</v>
      </c>
      <c r="L196" s="14" cm="1">
        <f t="array" ref="L196">INT(SUMPRODUCT(--ISNUMBER(SEARCH(healthcare,C196)))&gt;0)</f>
        <v>0</v>
      </c>
      <c r="M196" s="14" cm="1">
        <f t="array" ref="M196">INT(SUMPRODUCT(--ISNUMBER(SEARCH(supreme,C196)))&gt;0)</f>
        <v>0</v>
      </c>
      <c r="N196" s="14" cm="1">
        <f t="array" ref="N196">INT(SUMPRODUCT(--ISNUMBER(SEARCH(covid,C196)))&gt;0)</f>
        <v>0</v>
      </c>
      <c r="O196" s="14" cm="1">
        <f t="array" ref="O196">INT(SUMPRODUCT(--ISNUMBER(SEARCH(violent,C196)))&gt;0)</f>
        <v>0</v>
      </c>
      <c r="P196" s="14" cm="1">
        <f t="array" ref="P196">INT(SUMPRODUCT(--ISNUMBER(SEARCH(foreign,C196)))&gt;0)</f>
        <v>0</v>
      </c>
      <c r="Q196" s="14" cm="1">
        <f t="array" ref="Q196">INT(SUMPRODUCT(--ISNUMBER(SEARCH(gun,C196)))&gt;0)</f>
        <v>0</v>
      </c>
      <c r="R196" s="14" cm="1">
        <f t="array" ref="R196">INT(SUMPRODUCT(--ISNUMBER(SEARCH(race,C196)))&gt;0)</f>
        <v>0</v>
      </c>
      <c r="S196" s="14" cm="1">
        <f t="array" ref="S196">INT(SUMPRODUCT(--ISNUMBER(SEARCH(immigration,C196)))&gt;0)</f>
        <v>0</v>
      </c>
      <c r="T196" s="14" cm="1">
        <f t="array" ref="T196">INT(SUMPRODUCT(--ISNUMBER(SEARCH(econineq,C197)))&gt;0)</f>
        <v>0</v>
      </c>
      <c r="U196" s="14" cm="1">
        <f t="array" ref="U196">INT(SUMPRODUCT(--ISNUMBER(SEARCH(climate,C196)))&gt;0)</f>
        <v>0</v>
      </c>
      <c r="V196" s="14" cm="1">
        <f t="array" ref="V196">INT(SUMPRODUCT(--ISNUMBER(SEARCH(abortion,C196)))&gt;0)</f>
        <v>0</v>
      </c>
      <c r="W196" s="14" cm="1">
        <f t="array" ref="W196">INT(SUMPRODUCT(--ISNUMBER(SEARCH(trump,C196)))&gt;0)</f>
        <v>0</v>
      </c>
      <c r="X196" s="14" cm="1">
        <f t="array" ref="X196">INT(SUMPRODUCT(--ISNUMBER(SEARCH(voting,C196)))&gt;0)</f>
        <v>0</v>
      </c>
      <c r="Y196" s="14" cm="1">
        <f t="array" ref="Y196">INT(SUMPRODUCT(--ISNUMBER(SEARCH(democrattrigger,C196)))&gt;0)</f>
        <v>0</v>
      </c>
      <c r="Z196" s="14" cm="1">
        <f t="array" ref="Z196">INT(SUMPRODUCT(--ISNUMBER(SEARCH(bipartisan,C196)))&gt;0)</f>
        <v>0</v>
      </c>
      <c r="AA196" s="14">
        <f t="shared" si="3"/>
        <v>1</v>
      </c>
      <c r="AB196" s="14"/>
      <c r="AC196" s="30">
        <v>0</v>
      </c>
      <c r="AD196" s="37">
        <v>1</v>
      </c>
    </row>
    <row r="197" spans="1:30" x14ac:dyDescent="0.25">
      <c r="A197" s="36">
        <v>2350</v>
      </c>
      <c r="B197" s="14" t="s">
        <v>4725</v>
      </c>
      <c r="C197" s="14" t="s">
        <v>4726</v>
      </c>
      <c r="D197" s="17">
        <v>44124</v>
      </c>
      <c r="E197" s="14" t="s">
        <v>30</v>
      </c>
      <c r="F197" s="14">
        <v>39</v>
      </c>
      <c r="G197" s="14">
        <v>7</v>
      </c>
      <c r="H197" s="14">
        <v>11</v>
      </c>
      <c r="I197" s="14">
        <v>6</v>
      </c>
      <c r="J197" s="14" t="s">
        <v>204</v>
      </c>
      <c r="K197" s="14" cm="1">
        <f t="array" ref="K197">INT(SUMPRODUCT(--ISNUMBER(SEARCH(economy,C197)))&gt;0)</f>
        <v>0</v>
      </c>
      <c r="L197" s="14" cm="1">
        <f t="array" ref="L197">INT(SUMPRODUCT(--ISNUMBER(SEARCH(healthcare,C197)))&gt;0)</f>
        <v>0</v>
      </c>
      <c r="M197" s="14" cm="1">
        <f t="array" ref="M197">INT(SUMPRODUCT(--ISNUMBER(SEARCH(supreme,C197)))&gt;0)</f>
        <v>0</v>
      </c>
      <c r="N197" s="14" cm="1">
        <f t="array" ref="N197">INT(SUMPRODUCT(--ISNUMBER(SEARCH(covid,C197)))&gt;0)</f>
        <v>0</v>
      </c>
      <c r="O197" s="14" cm="1">
        <f t="array" ref="O197">INT(SUMPRODUCT(--ISNUMBER(SEARCH(violent,C197)))&gt;0)</f>
        <v>0</v>
      </c>
      <c r="P197" s="14" cm="1">
        <f t="array" ref="P197">INT(SUMPRODUCT(--ISNUMBER(SEARCH(foreign,C197)))&gt;0)</f>
        <v>1</v>
      </c>
      <c r="Q197" s="14" cm="1">
        <f t="array" ref="Q197">INT(SUMPRODUCT(--ISNUMBER(SEARCH(gun,C197)))&gt;0)</f>
        <v>0</v>
      </c>
      <c r="R197" s="14" cm="1">
        <f t="array" ref="R197">INT(SUMPRODUCT(--ISNUMBER(SEARCH(race,C197)))&gt;0)</f>
        <v>0</v>
      </c>
      <c r="S197" s="14" cm="1">
        <f t="array" ref="S197">INT(SUMPRODUCT(--ISNUMBER(SEARCH(immigration,C197)))&gt;0)</f>
        <v>0</v>
      </c>
      <c r="T197" s="14" cm="1">
        <f t="array" ref="T197">INT(SUMPRODUCT(--ISNUMBER(SEARCH(econineq,C198)))&gt;0)</f>
        <v>0</v>
      </c>
      <c r="U197" s="14" cm="1">
        <f t="array" ref="U197">INT(SUMPRODUCT(--ISNUMBER(SEARCH(climate,C197)))&gt;0)</f>
        <v>0</v>
      </c>
      <c r="V197" s="14" cm="1">
        <f t="array" ref="V197">INT(SUMPRODUCT(--ISNUMBER(SEARCH(abortion,C197)))&gt;0)</f>
        <v>0</v>
      </c>
      <c r="W197" s="14" cm="1">
        <f t="array" ref="W197">INT(SUMPRODUCT(--ISNUMBER(SEARCH(trump,C197)))&gt;0)</f>
        <v>0</v>
      </c>
      <c r="X197" s="14" cm="1">
        <f t="array" ref="X197">INT(SUMPRODUCT(--ISNUMBER(SEARCH(voting,C197)))&gt;0)</f>
        <v>1</v>
      </c>
      <c r="Y197" s="14" cm="1">
        <f t="array" ref="Y197">INT(SUMPRODUCT(--ISNUMBER(SEARCH(democrattrigger,C197)))&gt;0)</f>
        <v>0</v>
      </c>
      <c r="Z197" s="14" cm="1">
        <f t="array" ref="Z197">INT(SUMPRODUCT(--ISNUMBER(SEARCH(bipartisan,C197)))&gt;0)</f>
        <v>0</v>
      </c>
      <c r="AA197" s="14">
        <f t="shared" si="3"/>
        <v>0</v>
      </c>
      <c r="AB197" s="14"/>
      <c r="AC197" s="30" t="s">
        <v>223</v>
      </c>
      <c r="AD197" s="37" t="s">
        <v>223</v>
      </c>
    </row>
    <row r="198" spans="1:30" x14ac:dyDescent="0.25">
      <c r="A198" s="36">
        <v>2351</v>
      </c>
      <c r="B198" s="14" t="s">
        <v>4727</v>
      </c>
      <c r="C198" s="14" t="s">
        <v>4728</v>
      </c>
      <c r="D198" s="17">
        <v>44124</v>
      </c>
      <c r="E198" s="14" t="s">
        <v>30</v>
      </c>
      <c r="F198" s="14">
        <v>180</v>
      </c>
      <c r="G198" s="14">
        <v>21</v>
      </c>
      <c r="H198" s="14">
        <v>11</v>
      </c>
      <c r="I198" s="14">
        <v>6</v>
      </c>
      <c r="J198" s="14" t="s">
        <v>204</v>
      </c>
      <c r="K198" s="14" cm="1">
        <f t="array" ref="K198">INT(SUMPRODUCT(--ISNUMBER(SEARCH(economy,C198)))&gt;0)</f>
        <v>0</v>
      </c>
      <c r="L198" s="14" cm="1">
        <f t="array" ref="L198">INT(SUMPRODUCT(--ISNUMBER(SEARCH(healthcare,C198)))&gt;0)</f>
        <v>1</v>
      </c>
      <c r="M198" s="14" cm="1">
        <f t="array" ref="M198">INT(SUMPRODUCT(--ISNUMBER(SEARCH(supreme,C198)))&gt;0)</f>
        <v>0</v>
      </c>
      <c r="N198" s="14" cm="1">
        <f t="array" ref="N198">INT(SUMPRODUCT(--ISNUMBER(SEARCH(covid,C198)))&gt;0)</f>
        <v>0</v>
      </c>
      <c r="O198" s="14" cm="1">
        <f t="array" ref="O198">INT(SUMPRODUCT(--ISNUMBER(SEARCH(violent,C198)))&gt;0)</f>
        <v>0</v>
      </c>
      <c r="P198" s="14" cm="1">
        <f t="array" ref="P198">INT(SUMPRODUCT(--ISNUMBER(SEARCH(foreign,C198)))&gt;0)</f>
        <v>0</v>
      </c>
      <c r="Q198" s="14" cm="1">
        <f t="array" ref="Q198">INT(SUMPRODUCT(--ISNUMBER(SEARCH(gun,C198)))&gt;0)</f>
        <v>0</v>
      </c>
      <c r="R198" s="14" cm="1">
        <f t="array" ref="R198">INT(SUMPRODUCT(--ISNUMBER(SEARCH(race,C198)))&gt;0)</f>
        <v>0</v>
      </c>
      <c r="S198" s="14" cm="1">
        <f t="array" ref="S198">INT(SUMPRODUCT(--ISNUMBER(SEARCH(immigration,C198)))&gt;0)</f>
        <v>0</v>
      </c>
      <c r="T198" s="14" cm="1">
        <f t="array" ref="T198">INT(SUMPRODUCT(--ISNUMBER(SEARCH(econineq,C199)))&gt;0)</f>
        <v>0</v>
      </c>
      <c r="U198" s="14" cm="1">
        <f t="array" ref="U198">INT(SUMPRODUCT(--ISNUMBER(SEARCH(climate,C198)))&gt;0)</f>
        <v>0</v>
      </c>
      <c r="V198" s="14" cm="1">
        <f t="array" ref="V198">INT(SUMPRODUCT(--ISNUMBER(SEARCH(abortion,C198)))&gt;0)</f>
        <v>0</v>
      </c>
      <c r="W198" s="14" cm="1">
        <f t="array" ref="W198">INT(SUMPRODUCT(--ISNUMBER(SEARCH(trump,C198)))&gt;0)</f>
        <v>0</v>
      </c>
      <c r="X198" s="14" cm="1">
        <f t="array" ref="X198">INT(SUMPRODUCT(--ISNUMBER(SEARCH(voting,C198)))&gt;0)</f>
        <v>0</v>
      </c>
      <c r="Y198" s="14" cm="1">
        <f t="array" ref="Y198">INT(SUMPRODUCT(--ISNUMBER(SEARCH(democrattrigger,C198)))&gt;0)</f>
        <v>0</v>
      </c>
      <c r="Z198" s="14" cm="1">
        <f t="array" ref="Z198">INT(SUMPRODUCT(--ISNUMBER(SEARCH(bipartisan,C198)))&gt;0)</f>
        <v>0</v>
      </c>
      <c r="AA198" s="14">
        <f t="shared" si="3"/>
        <v>0</v>
      </c>
      <c r="AB198" s="14"/>
      <c r="AC198" s="30">
        <v>1</v>
      </c>
      <c r="AD198" s="37">
        <v>0</v>
      </c>
    </row>
    <row r="199" spans="1:30" x14ac:dyDescent="0.25">
      <c r="A199" s="36">
        <v>2352</v>
      </c>
      <c r="B199" s="14" t="s">
        <v>4729</v>
      </c>
      <c r="C199" s="14" t="s">
        <v>4730</v>
      </c>
      <c r="D199" s="17">
        <v>44124</v>
      </c>
      <c r="E199" s="14" t="s">
        <v>30</v>
      </c>
      <c r="F199" s="14">
        <v>473</v>
      </c>
      <c r="G199" s="14">
        <v>74</v>
      </c>
      <c r="H199" s="14">
        <v>11</v>
      </c>
      <c r="I199" s="14">
        <v>6</v>
      </c>
      <c r="J199" s="14" t="s">
        <v>204</v>
      </c>
      <c r="K199" s="14" cm="1">
        <f t="array" ref="K199">INT(SUMPRODUCT(--ISNUMBER(SEARCH(economy,C199)))&gt;0)</f>
        <v>0</v>
      </c>
      <c r="L199" s="14" cm="1">
        <f t="array" ref="L199">INT(SUMPRODUCT(--ISNUMBER(SEARCH(healthcare,C199)))&gt;0)</f>
        <v>0</v>
      </c>
      <c r="M199" s="14" cm="1">
        <f t="array" ref="M199">INT(SUMPRODUCT(--ISNUMBER(SEARCH(supreme,C199)))&gt;0)</f>
        <v>0</v>
      </c>
      <c r="N199" s="14" cm="1">
        <f t="array" ref="N199">INT(SUMPRODUCT(--ISNUMBER(SEARCH(covid,C199)))&gt;0)</f>
        <v>0</v>
      </c>
      <c r="O199" s="14" cm="1">
        <f t="array" ref="O199">INT(SUMPRODUCT(--ISNUMBER(SEARCH(violent,C199)))&gt;0)</f>
        <v>0</v>
      </c>
      <c r="P199" s="14" cm="1">
        <f t="array" ref="P199">INT(SUMPRODUCT(--ISNUMBER(SEARCH(foreign,C199)))&gt;0)</f>
        <v>0</v>
      </c>
      <c r="Q199" s="14" cm="1">
        <f t="array" ref="Q199">INT(SUMPRODUCT(--ISNUMBER(SEARCH(gun,C199)))&gt;0)</f>
        <v>0</v>
      </c>
      <c r="R199" s="14" cm="1">
        <f t="array" ref="R199">INT(SUMPRODUCT(--ISNUMBER(SEARCH(race,C199)))&gt;0)</f>
        <v>0</v>
      </c>
      <c r="S199" s="14" cm="1">
        <f t="array" ref="S199">INT(SUMPRODUCT(--ISNUMBER(SEARCH(immigration,C199)))&gt;0)</f>
        <v>0</v>
      </c>
      <c r="T199" s="14" cm="1">
        <f t="array" ref="T199">INT(SUMPRODUCT(--ISNUMBER(SEARCH(econineq,C200)))&gt;0)</f>
        <v>0</v>
      </c>
      <c r="U199" s="14" cm="1">
        <f t="array" ref="U199">INT(SUMPRODUCT(--ISNUMBER(SEARCH(climate,C199)))&gt;0)</f>
        <v>0</v>
      </c>
      <c r="V199" s="14" cm="1">
        <f t="array" ref="V199">INT(SUMPRODUCT(--ISNUMBER(SEARCH(abortion,C199)))&gt;0)</f>
        <v>0</v>
      </c>
      <c r="W199" s="14" cm="1">
        <f t="array" ref="W199">INT(SUMPRODUCT(--ISNUMBER(SEARCH(trump,C199)))&gt;0)</f>
        <v>1</v>
      </c>
      <c r="X199" s="14" cm="1">
        <f t="array" ref="X199">INT(SUMPRODUCT(--ISNUMBER(SEARCH(voting,C199)))&gt;0)</f>
        <v>0</v>
      </c>
      <c r="Y199" s="14" cm="1">
        <f t="array" ref="Y199">INT(SUMPRODUCT(--ISNUMBER(SEARCH(democrattrigger,C199)))&gt;0)</f>
        <v>1</v>
      </c>
      <c r="Z199" s="14" cm="1">
        <f t="array" ref="Z199">INT(SUMPRODUCT(--ISNUMBER(SEARCH(bipartisan,C199)))&gt;0)</f>
        <v>0</v>
      </c>
      <c r="AA199" s="14">
        <f t="shared" si="3"/>
        <v>0</v>
      </c>
      <c r="AB199" s="14"/>
      <c r="AC199" s="30" t="s">
        <v>223</v>
      </c>
      <c r="AD199" s="37" t="s">
        <v>223</v>
      </c>
    </row>
    <row r="200" spans="1:30" x14ac:dyDescent="0.25">
      <c r="A200" s="36">
        <v>2353</v>
      </c>
      <c r="B200" s="14" t="s">
        <v>4731</v>
      </c>
      <c r="C200" s="14" t="s">
        <v>4732</v>
      </c>
      <c r="D200" s="17">
        <v>44123</v>
      </c>
      <c r="E200" s="14" t="s">
        <v>30</v>
      </c>
      <c r="F200" s="14">
        <v>141</v>
      </c>
      <c r="G200" s="14">
        <v>34</v>
      </c>
      <c r="H200" s="14">
        <v>11</v>
      </c>
      <c r="I200" s="14">
        <v>6</v>
      </c>
      <c r="J200" s="14" t="s">
        <v>204</v>
      </c>
      <c r="K200" s="14" cm="1">
        <f t="array" ref="K200">INT(SUMPRODUCT(--ISNUMBER(SEARCH(economy,C200)))&gt;0)</f>
        <v>0</v>
      </c>
      <c r="L200" s="14" cm="1">
        <f t="array" ref="L200">INT(SUMPRODUCT(--ISNUMBER(SEARCH(healthcare,C200)))&gt;0)</f>
        <v>0</v>
      </c>
      <c r="M200" s="14" cm="1">
        <f t="array" ref="M200">INT(SUMPRODUCT(--ISNUMBER(SEARCH(supreme,C200)))&gt;0)</f>
        <v>0</v>
      </c>
      <c r="N200" s="14" cm="1">
        <f t="array" ref="N200">INT(SUMPRODUCT(--ISNUMBER(SEARCH(covid,C200)))&gt;0)</f>
        <v>0</v>
      </c>
      <c r="O200" s="14" cm="1">
        <f t="array" ref="O200">INT(SUMPRODUCT(--ISNUMBER(SEARCH(violent,C200)))&gt;0)</f>
        <v>0</v>
      </c>
      <c r="P200" s="14" cm="1">
        <f t="array" ref="P200">INT(SUMPRODUCT(--ISNUMBER(SEARCH(foreign,C200)))&gt;0)</f>
        <v>0</v>
      </c>
      <c r="Q200" s="14" cm="1">
        <f t="array" ref="Q200">INT(SUMPRODUCT(--ISNUMBER(SEARCH(gun,C200)))&gt;0)</f>
        <v>0</v>
      </c>
      <c r="R200" s="14" cm="1">
        <f t="array" ref="R200">INT(SUMPRODUCT(--ISNUMBER(SEARCH(race,C200)))&gt;0)</f>
        <v>0</v>
      </c>
      <c r="S200" s="14" cm="1">
        <f t="array" ref="S200">INT(SUMPRODUCT(--ISNUMBER(SEARCH(immigration,C200)))&gt;0)</f>
        <v>0</v>
      </c>
      <c r="T200" s="14" cm="1">
        <f t="array" ref="T200">INT(SUMPRODUCT(--ISNUMBER(SEARCH(econineq,C201)))&gt;0)</f>
        <v>0</v>
      </c>
      <c r="U200" s="14" cm="1">
        <f t="array" ref="U200">INT(SUMPRODUCT(--ISNUMBER(SEARCH(climate,C200)))&gt;0)</f>
        <v>0</v>
      </c>
      <c r="V200" s="14" cm="1">
        <f t="array" ref="V200">INT(SUMPRODUCT(--ISNUMBER(SEARCH(abortion,C200)))&gt;0)</f>
        <v>0</v>
      </c>
      <c r="W200" s="14" cm="1">
        <f t="array" ref="W200">INT(SUMPRODUCT(--ISNUMBER(SEARCH(trump,C200)))&gt;0)</f>
        <v>0</v>
      </c>
      <c r="X200" s="14" cm="1">
        <f t="array" ref="X200">INT(SUMPRODUCT(--ISNUMBER(SEARCH(voting,C200)))&gt;0)</f>
        <v>0</v>
      </c>
      <c r="Y200" s="14" cm="1">
        <f t="array" ref="Y200">INT(SUMPRODUCT(--ISNUMBER(SEARCH(democrattrigger,C200)))&gt;0)</f>
        <v>1</v>
      </c>
      <c r="Z200" s="14" cm="1">
        <f t="array" ref="Z200">INT(SUMPRODUCT(--ISNUMBER(SEARCH(bipartisan,C200)))&gt;0)</f>
        <v>0</v>
      </c>
      <c r="AA200" s="14">
        <f t="shared" si="3"/>
        <v>0</v>
      </c>
      <c r="AB200" s="14"/>
      <c r="AC200" s="30">
        <v>0</v>
      </c>
      <c r="AD200" s="37">
        <v>1</v>
      </c>
    </row>
    <row r="201" spans="1:30" x14ac:dyDescent="0.25">
      <c r="A201" s="36">
        <v>2354</v>
      </c>
      <c r="B201" s="14" t="s">
        <v>4733</v>
      </c>
      <c r="C201" s="14" t="s">
        <v>4734</v>
      </c>
      <c r="D201" s="17">
        <v>44123</v>
      </c>
      <c r="E201" s="14" t="s">
        <v>30</v>
      </c>
      <c r="F201" s="14">
        <v>325</v>
      </c>
      <c r="G201" s="14">
        <v>63</v>
      </c>
      <c r="H201" s="14">
        <v>11</v>
      </c>
      <c r="I201" s="14">
        <v>6</v>
      </c>
      <c r="J201" s="14" t="s">
        <v>204</v>
      </c>
      <c r="K201" s="14" cm="1">
        <f t="array" ref="K201">INT(SUMPRODUCT(--ISNUMBER(SEARCH(economy,C201)))&gt;0)</f>
        <v>0</v>
      </c>
      <c r="L201" s="14" cm="1">
        <f t="array" ref="L201">INT(SUMPRODUCT(--ISNUMBER(SEARCH(healthcare,C201)))&gt;0)</f>
        <v>0</v>
      </c>
      <c r="M201" s="14" cm="1">
        <f t="array" ref="M201">INT(SUMPRODUCT(--ISNUMBER(SEARCH(supreme,C201)))&gt;0)</f>
        <v>1</v>
      </c>
      <c r="N201" s="14" cm="1">
        <f t="array" ref="N201">INT(SUMPRODUCT(--ISNUMBER(SEARCH(covid,C201)))&gt;0)</f>
        <v>0</v>
      </c>
      <c r="O201" s="14" cm="1">
        <f t="array" ref="O201">INT(SUMPRODUCT(--ISNUMBER(SEARCH(violent,C201)))&gt;0)</f>
        <v>0</v>
      </c>
      <c r="P201" s="14" cm="1">
        <f t="array" ref="P201">INT(SUMPRODUCT(--ISNUMBER(SEARCH(foreign,C201)))&gt;0)</f>
        <v>0</v>
      </c>
      <c r="Q201" s="14" cm="1">
        <f t="array" ref="Q201">INT(SUMPRODUCT(--ISNUMBER(SEARCH(gun,C201)))&gt;0)</f>
        <v>0</v>
      </c>
      <c r="R201" s="14" cm="1">
        <f t="array" ref="R201">INT(SUMPRODUCT(--ISNUMBER(SEARCH(race,C201)))&gt;0)</f>
        <v>0</v>
      </c>
      <c r="S201" s="14" cm="1">
        <f t="array" ref="S201">INT(SUMPRODUCT(--ISNUMBER(SEARCH(immigration,C201)))&gt;0)</f>
        <v>0</v>
      </c>
      <c r="T201" s="14" cm="1">
        <f t="array" ref="T201">INT(SUMPRODUCT(--ISNUMBER(SEARCH(econineq,C202)))&gt;0)</f>
        <v>0</v>
      </c>
      <c r="U201" s="14" cm="1">
        <f t="array" ref="U201">INT(SUMPRODUCT(--ISNUMBER(SEARCH(climate,C201)))&gt;0)</f>
        <v>0</v>
      </c>
      <c r="V201" s="14" cm="1">
        <f t="array" ref="V201">INT(SUMPRODUCT(--ISNUMBER(SEARCH(abortion,C201)))&gt;0)</f>
        <v>0</v>
      </c>
      <c r="W201" s="14" cm="1">
        <f t="array" ref="W201">INT(SUMPRODUCT(--ISNUMBER(SEARCH(trump,C201)))&gt;0)</f>
        <v>0</v>
      </c>
      <c r="X201" s="14" cm="1">
        <f t="array" ref="X201">INT(SUMPRODUCT(--ISNUMBER(SEARCH(voting,C201)))&gt;0)</f>
        <v>0</v>
      </c>
      <c r="Y201" s="14" cm="1">
        <f t="array" ref="Y201">INT(SUMPRODUCT(--ISNUMBER(SEARCH(democrattrigger,C201)))&gt;0)</f>
        <v>0</v>
      </c>
      <c r="Z201" s="14" cm="1">
        <f t="array" ref="Z201">INT(SUMPRODUCT(--ISNUMBER(SEARCH(bipartisan,C201)))&gt;0)</f>
        <v>0</v>
      </c>
      <c r="AA201" s="14">
        <f t="shared" si="3"/>
        <v>0</v>
      </c>
      <c r="AB201" s="14"/>
      <c r="AC201" s="30">
        <v>1</v>
      </c>
      <c r="AD201" s="37">
        <v>0</v>
      </c>
    </row>
    <row r="202" spans="1:30" x14ac:dyDescent="0.25">
      <c r="A202" s="36">
        <v>2355</v>
      </c>
      <c r="B202" s="14" t="s">
        <v>4735</v>
      </c>
      <c r="C202" s="14" t="s">
        <v>4736</v>
      </c>
      <c r="D202" s="17">
        <v>44123</v>
      </c>
      <c r="E202" s="14" t="s">
        <v>30</v>
      </c>
      <c r="F202" s="14">
        <v>52</v>
      </c>
      <c r="G202" s="14">
        <v>17</v>
      </c>
      <c r="H202" s="14">
        <v>11</v>
      </c>
      <c r="I202" s="14">
        <v>6</v>
      </c>
      <c r="J202" s="14" t="s">
        <v>204</v>
      </c>
      <c r="K202" s="14" cm="1">
        <f t="array" ref="K202">INT(SUMPRODUCT(--ISNUMBER(SEARCH(economy,C202)))&gt;0)</f>
        <v>0</v>
      </c>
      <c r="L202" s="14" cm="1">
        <f t="array" ref="L202">INT(SUMPRODUCT(--ISNUMBER(SEARCH(healthcare,C202)))&gt;0)</f>
        <v>1</v>
      </c>
      <c r="M202" s="14" cm="1">
        <f t="array" ref="M202">INT(SUMPRODUCT(--ISNUMBER(SEARCH(supreme,C202)))&gt;0)</f>
        <v>0</v>
      </c>
      <c r="N202" s="14" cm="1">
        <f t="array" ref="N202">INT(SUMPRODUCT(--ISNUMBER(SEARCH(covid,C202)))&gt;0)</f>
        <v>1</v>
      </c>
      <c r="O202" s="14" cm="1">
        <f t="array" ref="O202">INT(SUMPRODUCT(--ISNUMBER(SEARCH(violent,C202)))&gt;0)</f>
        <v>0</v>
      </c>
      <c r="P202" s="14" cm="1">
        <f t="array" ref="P202">INT(SUMPRODUCT(--ISNUMBER(SEARCH(foreign,C202)))&gt;0)</f>
        <v>0</v>
      </c>
      <c r="Q202" s="14" cm="1">
        <f t="array" ref="Q202">INT(SUMPRODUCT(--ISNUMBER(SEARCH(gun,C202)))&gt;0)</f>
        <v>0</v>
      </c>
      <c r="R202" s="14" cm="1">
        <f t="array" ref="R202">INT(SUMPRODUCT(--ISNUMBER(SEARCH(race,C202)))&gt;0)</f>
        <v>0</v>
      </c>
      <c r="S202" s="14" cm="1">
        <f t="array" ref="S202">INT(SUMPRODUCT(--ISNUMBER(SEARCH(immigration,C202)))&gt;0)</f>
        <v>0</v>
      </c>
      <c r="T202" s="14" cm="1">
        <f t="array" ref="T202">INT(SUMPRODUCT(--ISNUMBER(SEARCH(econineq,C203)))&gt;0)</f>
        <v>0</v>
      </c>
      <c r="U202" s="14" cm="1">
        <f t="array" ref="U202">INT(SUMPRODUCT(--ISNUMBER(SEARCH(climate,C202)))&gt;0)</f>
        <v>0</v>
      </c>
      <c r="V202" s="14" cm="1">
        <f t="array" ref="V202">INT(SUMPRODUCT(--ISNUMBER(SEARCH(abortion,C202)))&gt;0)</f>
        <v>0</v>
      </c>
      <c r="W202" s="14" cm="1">
        <f t="array" ref="W202">INT(SUMPRODUCT(--ISNUMBER(SEARCH(trump,C202)))&gt;0)</f>
        <v>0</v>
      </c>
      <c r="X202" s="14" cm="1">
        <f t="array" ref="X202">INT(SUMPRODUCT(--ISNUMBER(SEARCH(voting,C202)))&gt;0)</f>
        <v>0</v>
      </c>
      <c r="Y202" s="14" cm="1">
        <f t="array" ref="Y202">INT(SUMPRODUCT(--ISNUMBER(SEARCH(democrattrigger,C202)))&gt;0)</f>
        <v>0</v>
      </c>
      <c r="Z202" s="14" cm="1">
        <f t="array" ref="Z202">INT(SUMPRODUCT(--ISNUMBER(SEARCH(bipartisan,C202)))&gt;0)</f>
        <v>1</v>
      </c>
      <c r="AA202" s="14">
        <f t="shared" si="3"/>
        <v>0</v>
      </c>
      <c r="AB202" s="14"/>
      <c r="AC202" s="30" t="s">
        <v>223</v>
      </c>
      <c r="AD202" s="37" t="s">
        <v>223</v>
      </c>
    </row>
    <row r="203" spans="1:30" x14ac:dyDescent="0.25">
      <c r="A203" s="36">
        <v>2356</v>
      </c>
      <c r="B203" s="14" t="s">
        <v>4737</v>
      </c>
      <c r="C203" s="14" t="s">
        <v>4738</v>
      </c>
      <c r="D203" s="17">
        <v>44123</v>
      </c>
      <c r="E203" s="14" t="s">
        <v>30</v>
      </c>
      <c r="F203" s="14">
        <v>58</v>
      </c>
      <c r="G203" s="14">
        <v>22</v>
      </c>
      <c r="H203" s="14">
        <v>11</v>
      </c>
      <c r="I203" s="14">
        <v>6</v>
      </c>
      <c r="J203" s="14" t="s">
        <v>204</v>
      </c>
      <c r="K203" s="14" cm="1">
        <f t="array" ref="K203">INT(SUMPRODUCT(--ISNUMBER(SEARCH(economy,C203)))&gt;0)</f>
        <v>0</v>
      </c>
      <c r="L203" s="14" cm="1">
        <f t="array" ref="L203">INT(SUMPRODUCT(--ISNUMBER(SEARCH(healthcare,C203)))&gt;0)</f>
        <v>0</v>
      </c>
      <c r="M203" s="14" cm="1">
        <f t="array" ref="M203">INT(SUMPRODUCT(--ISNUMBER(SEARCH(supreme,C203)))&gt;0)</f>
        <v>0</v>
      </c>
      <c r="N203" s="14" cm="1">
        <f t="array" ref="N203">INT(SUMPRODUCT(--ISNUMBER(SEARCH(covid,C203)))&gt;0)</f>
        <v>0</v>
      </c>
      <c r="O203" s="14" cm="1">
        <f t="array" ref="O203">INT(SUMPRODUCT(--ISNUMBER(SEARCH(violent,C203)))&gt;0)</f>
        <v>0</v>
      </c>
      <c r="P203" s="14" cm="1">
        <f t="array" ref="P203">INT(SUMPRODUCT(--ISNUMBER(SEARCH(foreign,C203)))&gt;0)</f>
        <v>0</v>
      </c>
      <c r="Q203" s="14" cm="1">
        <f t="array" ref="Q203">INT(SUMPRODUCT(--ISNUMBER(SEARCH(gun,C203)))&gt;0)</f>
        <v>0</v>
      </c>
      <c r="R203" s="14" cm="1">
        <f t="array" ref="R203">INT(SUMPRODUCT(--ISNUMBER(SEARCH(race,C203)))&gt;0)</f>
        <v>0</v>
      </c>
      <c r="S203" s="14" cm="1">
        <f t="array" ref="S203">INT(SUMPRODUCT(--ISNUMBER(SEARCH(immigration,C203)))&gt;0)</f>
        <v>0</v>
      </c>
      <c r="T203" s="14" cm="1">
        <f t="array" ref="T203">INT(SUMPRODUCT(--ISNUMBER(SEARCH(econineq,C204)))&gt;0)</f>
        <v>0</v>
      </c>
      <c r="U203" s="14" cm="1">
        <f t="array" ref="U203">INT(SUMPRODUCT(--ISNUMBER(SEARCH(climate,C203)))&gt;0)</f>
        <v>0</v>
      </c>
      <c r="V203" s="14" cm="1">
        <f t="array" ref="V203">INT(SUMPRODUCT(--ISNUMBER(SEARCH(abortion,C203)))&gt;0)</f>
        <v>0</v>
      </c>
      <c r="W203" s="14" cm="1">
        <f t="array" ref="W203">INT(SUMPRODUCT(--ISNUMBER(SEARCH(trump,C203)))&gt;0)</f>
        <v>0</v>
      </c>
      <c r="X203" s="14" cm="1">
        <f t="array" ref="X203">INT(SUMPRODUCT(--ISNUMBER(SEARCH(voting,C203)))&gt;0)</f>
        <v>0</v>
      </c>
      <c r="Y203" s="14" cm="1">
        <f t="array" ref="Y203">INT(SUMPRODUCT(--ISNUMBER(SEARCH(democrattrigger,C203)))&gt;0)</f>
        <v>0</v>
      </c>
      <c r="Z203" s="14" cm="1">
        <f t="array" ref="Z203">INT(SUMPRODUCT(--ISNUMBER(SEARCH(bipartisan,C203)))&gt;0)</f>
        <v>0</v>
      </c>
      <c r="AA203" s="14">
        <f t="shared" si="3"/>
        <v>1</v>
      </c>
      <c r="AB203" s="14"/>
      <c r="AC203" s="30">
        <v>0</v>
      </c>
      <c r="AD203" s="37">
        <v>1</v>
      </c>
    </row>
    <row r="204" spans="1:30" x14ac:dyDescent="0.25">
      <c r="A204" s="36">
        <v>2357</v>
      </c>
      <c r="B204" s="14" t="s">
        <v>4739</v>
      </c>
      <c r="C204" s="14" t="s">
        <v>4740</v>
      </c>
      <c r="D204" s="17">
        <v>44123</v>
      </c>
      <c r="E204" s="14" t="s">
        <v>30</v>
      </c>
      <c r="F204" s="14">
        <v>989</v>
      </c>
      <c r="G204" s="14">
        <v>50</v>
      </c>
      <c r="H204" s="14">
        <v>11</v>
      </c>
      <c r="I204" s="14">
        <v>6</v>
      </c>
      <c r="J204" s="14" t="s">
        <v>204</v>
      </c>
      <c r="K204" s="14" cm="1">
        <f t="array" ref="K204">INT(SUMPRODUCT(--ISNUMBER(SEARCH(economy,C204)))&gt;0)</f>
        <v>0</v>
      </c>
      <c r="L204" s="14" cm="1">
        <f t="array" ref="L204">INT(SUMPRODUCT(--ISNUMBER(SEARCH(healthcare,C204)))&gt;0)</f>
        <v>0</v>
      </c>
      <c r="M204" s="14" cm="1">
        <f t="array" ref="M204">INT(SUMPRODUCT(--ISNUMBER(SEARCH(supreme,C204)))&gt;0)</f>
        <v>0</v>
      </c>
      <c r="N204" s="14" cm="1">
        <f t="array" ref="N204">INT(SUMPRODUCT(--ISNUMBER(SEARCH(covid,C204)))&gt;0)</f>
        <v>1</v>
      </c>
      <c r="O204" s="14" cm="1">
        <f t="array" ref="O204">INT(SUMPRODUCT(--ISNUMBER(SEARCH(violent,C204)))&gt;0)</f>
        <v>0</v>
      </c>
      <c r="P204" s="14" cm="1">
        <f t="array" ref="P204">INT(SUMPRODUCT(--ISNUMBER(SEARCH(foreign,C204)))&gt;0)</f>
        <v>0</v>
      </c>
      <c r="Q204" s="14" cm="1">
        <f t="array" ref="Q204">INT(SUMPRODUCT(--ISNUMBER(SEARCH(gun,C204)))&gt;0)</f>
        <v>0</v>
      </c>
      <c r="R204" s="14" cm="1">
        <f t="array" ref="R204">INT(SUMPRODUCT(--ISNUMBER(SEARCH(race,C204)))&gt;0)</f>
        <v>0</v>
      </c>
      <c r="S204" s="14" cm="1">
        <f t="array" ref="S204">INT(SUMPRODUCT(--ISNUMBER(SEARCH(immigration,C204)))&gt;0)</f>
        <v>0</v>
      </c>
      <c r="T204" s="14" cm="1">
        <f t="array" ref="T204">INT(SUMPRODUCT(--ISNUMBER(SEARCH(econineq,C205)))&gt;0)</f>
        <v>0</v>
      </c>
      <c r="U204" s="14" cm="1">
        <f t="array" ref="U204">INT(SUMPRODUCT(--ISNUMBER(SEARCH(climate,C204)))&gt;0)</f>
        <v>0</v>
      </c>
      <c r="V204" s="14" cm="1">
        <f t="array" ref="V204">INT(SUMPRODUCT(--ISNUMBER(SEARCH(abortion,C204)))&gt;0)</f>
        <v>0</v>
      </c>
      <c r="W204" s="14" cm="1">
        <f t="array" ref="W204">INT(SUMPRODUCT(--ISNUMBER(SEARCH(trump,C204)))&gt;0)</f>
        <v>0</v>
      </c>
      <c r="X204" s="14" cm="1">
        <f t="array" ref="X204">INT(SUMPRODUCT(--ISNUMBER(SEARCH(voting,C204)))&gt;0)</f>
        <v>0</v>
      </c>
      <c r="Y204" s="14" cm="1">
        <f t="array" ref="Y204">INT(SUMPRODUCT(--ISNUMBER(SEARCH(democrattrigger,C204)))&gt;0)</f>
        <v>0</v>
      </c>
      <c r="Z204" s="14" cm="1">
        <f t="array" ref="Z204">INT(SUMPRODUCT(--ISNUMBER(SEARCH(bipartisan,C204)))&gt;0)</f>
        <v>0</v>
      </c>
      <c r="AA204" s="14">
        <f t="shared" si="3"/>
        <v>0</v>
      </c>
      <c r="AB204" s="14"/>
      <c r="AC204" s="30" t="s">
        <v>223</v>
      </c>
      <c r="AD204" s="37" t="s">
        <v>223</v>
      </c>
    </row>
    <row r="205" spans="1:30" x14ac:dyDescent="0.25">
      <c r="A205" s="36">
        <v>2358</v>
      </c>
      <c r="B205" s="14" t="s">
        <v>4741</v>
      </c>
      <c r="C205" s="14" t="s">
        <v>4742</v>
      </c>
      <c r="D205" s="17">
        <v>44123</v>
      </c>
      <c r="E205" s="14" t="s">
        <v>30</v>
      </c>
      <c r="F205" s="14">
        <v>1298</v>
      </c>
      <c r="G205" s="14">
        <v>113</v>
      </c>
      <c r="H205" s="14">
        <v>11</v>
      </c>
      <c r="I205" s="14">
        <v>6</v>
      </c>
      <c r="J205" s="14" t="s">
        <v>204</v>
      </c>
      <c r="K205" s="14" cm="1">
        <f t="array" ref="K205">INT(SUMPRODUCT(--ISNUMBER(SEARCH(economy,C205)))&gt;0)</f>
        <v>0</v>
      </c>
      <c r="L205" s="14" cm="1">
        <f t="array" ref="L205">INT(SUMPRODUCT(--ISNUMBER(SEARCH(healthcare,C205)))&gt;0)</f>
        <v>0</v>
      </c>
      <c r="M205" s="14" cm="1">
        <f t="array" ref="M205">INT(SUMPRODUCT(--ISNUMBER(SEARCH(supreme,C205)))&gt;0)</f>
        <v>0</v>
      </c>
      <c r="N205" s="14" cm="1">
        <f t="array" ref="N205">INT(SUMPRODUCT(--ISNUMBER(SEARCH(covid,C205)))&gt;0)</f>
        <v>1</v>
      </c>
      <c r="O205" s="14" cm="1">
        <f t="array" ref="O205">INT(SUMPRODUCT(--ISNUMBER(SEARCH(violent,C205)))&gt;0)</f>
        <v>0</v>
      </c>
      <c r="P205" s="14" cm="1">
        <f t="array" ref="P205">INT(SUMPRODUCT(--ISNUMBER(SEARCH(foreign,C205)))&gt;0)</f>
        <v>0</v>
      </c>
      <c r="Q205" s="14" cm="1">
        <f t="array" ref="Q205">INT(SUMPRODUCT(--ISNUMBER(SEARCH(gun,C205)))&gt;0)</f>
        <v>0</v>
      </c>
      <c r="R205" s="14" cm="1">
        <f t="array" ref="R205">INT(SUMPRODUCT(--ISNUMBER(SEARCH(race,C205)))&gt;0)</f>
        <v>0</v>
      </c>
      <c r="S205" s="14" cm="1">
        <f t="array" ref="S205">INT(SUMPRODUCT(--ISNUMBER(SEARCH(immigration,C205)))&gt;0)</f>
        <v>0</v>
      </c>
      <c r="T205" s="14" cm="1">
        <f t="array" ref="T205">INT(SUMPRODUCT(--ISNUMBER(SEARCH(econineq,C206)))&gt;0)</f>
        <v>0</v>
      </c>
      <c r="U205" s="14" cm="1">
        <f t="array" ref="U205">INT(SUMPRODUCT(--ISNUMBER(SEARCH(climate,C205)))&gt;0)</f>
        <v>0</v>
      </c>
      <c r="V205" s="14" cm="1">
        <f t="array" ref="V205">INT(SUMPRODUCT(--ISNUMBER(SEARCH(abortion,C205)))&gt;0)</f>
        <v>0</v>
      </c>
      <c r="W205" s="14" cm="1">
        <f t="array" ref="W205">INT(SUMPRODUCT(--ISNUMBER(SEARCH(trump,C205)))&gt;0)</f>
        <v>0</v>
      </c>
      <c r="X205" s="14" cm="1">
        <f t="array" ref="X205">INT(SUMPRODUCT(--ISNUMBER(SEARCH(voting,C205)))&gt;0)</f>
        <v>1</v>
      </c>
      <c r="Y205" s="14" cm="1">
        <f t="array" ref="Y205">INT(SUMPRODUCT(--ISNUMBER(SEARCH(democrattrigger,C205)))&gt;0)</f>
        <v>0</v>
      </c>
      <c r="Z205" s="14" cm="1">
        <f t="array" ref="Z205">INT(SUMPRODUCT(--ISNUMBER(SEARCH(bipartisan,C205)))&gt;0)</f>
        <v>0</v>
      </c>
      <c r="AA205" s="14">
        <f t="shared" si="3"/>
        <v>0</v>
      </c>
      <c r="AB205" s="14"/>
      <c r="AC205" s="30" t="s">
        <v>223</v>
      </c>
      <c r="AD205" s="37" t="s">
        <v>223</v>
      </c>
    </row>
    <row r="206" spans="1:30" x14ac:dyDescent="0.25">
      <c r="A206" s="36">
        <v>2359</v>
      </c>
      <c r="B206" s="14" t="s">
        <v>4743</v>
      </c>
      <c r="C206" s="14" t="s">
        <v>4744</v>
      </c>
      <c r="D206" s="17">
        <v>44123</v>
      </c>
      <c r="E206" s="14" t="s">
        <v>30</v>
      </c>
      <c r="F206" s="14">
        <v>71</v>
      </c>
      <c r="G206" s="14">
        <v>13</v>
      </c>
      <c r="H206" s="14">
        <v>11</v>
      </c>
      <c r="I206" s="14">
        <v>6</v>
      </c>
      <c r="J206" s="14" t="s">
        <v>204</v>
      </c>
      <c r="K206" s="14" cm="1">
        <f t="array" ref="K206">INT(SUMPRODUCT(--ISNUMBER(SEARCH(economy,C206)))&gt;0)</f>
        <v>0</v>
      </c>
      <c r="L206" s="14" cm="1">
        <f t="array" ref="L206">INT(SUMPRODUCT(--ISNUMBER(SEARCH(healthcare,C206)))&gt;0)</f>
        <v>0</v>
      </c>
      <c r="M206" s="14" cm="1">
        <f t="array" ref="M206">INT(SUMPRODUCT(--ISNUMBER(SEARCH(supreme,C206)))&gt;0)</f>
        <v>0</v>
      </c>
      <c r="N206" s="14" cm="1">
        <f t="array" ref="N206">INT(SUMPRODUCT(--ISNUMBER(SEARCH(covid,C206)))&gt;0)</f>
        <v>0</v>
      </c>
      <c r="O206" s="14" cm="1">
        <f t="array" ref="O206">INT(SUMPRODUCT(--ISNUMBER(SEARCH(violent,C206)))&gt;0)</f>
        <v>0</v>
      </c>
      <c r="P206" s="14" cm="1">
        <f t="array" ref="P206">INT(SUMPRODUCT(--ISNUMBER(SEARCH(foreign,C206)))&gt;0)</f>
        <v>0</v>
      </c>
      <c r="Q206" s="14" cm="1">
        <f t="array" ref="Q206">INT(SUMPRODUCT(--ISNUMBER(SEARCH(gun,C206)))&gt;0)</f>
        <v>0</v>
      </c>
      <c r="R206" s="14" cm="1">
        <f t="array" ref="R206">INT(SUMPRODUCT(--ISNUMBER(SEARCH(race,C206)))&gt;0)</f>
        <v>0</v>
      </c>
      <c r="S206" s="14" cm="1">
        <f t="array" ref="S206">INT(SUMPRODUCT(--ISNUMBER(SEARCH(immigration,C206)))&gt;0)</f>
        <v>0</v>
      </c>
      <c r="T206" s="14" cm="1">
        <f t="array" ref="T206">INT(SUMPRODUCT(--ISNUMBER(SEARCH(econineq,C207)))&gt;0)</f>
        <v>0</v>
      </c>
      <c r="U206" s="14" cm="1">
        <f t="array" ref="U206">INT(SUMPRODUCT(--ISNUMBER(SEARCH(climate,C206)))&gt;0)</f>
        <v>0</v>
      </c>
      <c r="V206" s="14" cm="1">
        <f t="array" ref="V206">INT(SUMPRODUCT(--ISNUMBER(SEARCH(abortion,C206)))&gt;0)</f>
        <v>0</v>
      </c>
      <c r="W206" s="14" cm="1">
        <f t="array" ref="W206">INT(SUMPRODUCT(--ISNUMBER(SEARCH(trump,C206)))&gt;0)</f>
        <v>0</v>
      </c>
      <c r="X206" s="14" cm="1">
        <f t="array" ref="X206">INT(SUMPRODUCT(--ISNUMBER(SEARCH(voting,C206)))&gt;0)</f>
        <v>0</v>
      </c>
      <c r="Y206" s="14" cm="1">
        <f t="array" ref="Y206">INT(SUMPRODUCT(--ISNUMBER(SEARCH(democrattrigger,C206)))&gt;0)</f>
        <v>0</v>
      </c>
      <c r="Z206" s="14" cm="1">
        <f t="array" ref="Z206">INT(SUMPRODUCT(--ISNUMBER(SEARCH(bipartisan,C206)))&gt;0)</f>
        <v>0</v>
      </c>
      <c r="AA206" s="14">
        <f t="shared" si="3"/>
        <v>1</v>
      </c>
      <c r="AB206" s="14"/>
      <c r="AC206" s="30">
        <v>1</v>
      </c>
      <c r="AD206" s="37">
        <v>0</v>
      </c>
    </row>
    <row r="207" spans="1:30" x14ac:dyDescent="0.25">
      <c r="A207" s="36">
        <v>2360</v>
      </c>
      <c r="B207" s="14" t="s">
        <v>4745</v>
      </c>
      <c r="C207" s="14" t="s">
        <v>4746</v>
      </c>
      <c r="D207" s="17">
        <v>44122</v>
      </c>
      <c r="E207" s="14" t="s">
        <v>30</v>
      </c>
      <c r="F207" s="14">
        <v>75</v>
      </c>
      <c r="G207" s="14">
        <v>15</v>
      </c>
      <c r="H207" s="14">
        <v>11</v>
      </c>
      <c r="I207" s="14">
        <v>6</v>
      </c>
      <c r="J207" s="14" t="s">
        <v>204</v>
      </c>
      <c r="K207" s="14" cm="1">
        <f t="array" ref="K207">INT(SUMPRODUCT(--ISNUMBER(SEARCH(economy,C207)))&gt;0)</f>
        <v>0</v>
      </c>
      <c r="L207" s="14" cm="1">
        <f t="array" ref="L207">INT(SUMPRODUCT(--ISNUMBER(SEARCH(healthcare,C207)))&gt;0)</f>
        <v>0</v>
      </c>
      <c r="M207" s="14" cm="1">
        <f t="array" ref="M207">INT(SUMPRODUCT(--ISNUMBER(SEARCH(supreme,C207)))&gt;0)</f>
        <v>0</v>
      </c>
      <c r="N207" s="14" cm="1">
        <f t="array" ref="N207">INT(SUMPRODUCT(--ISNUMBER(SEARCH(covid,C207)))&gt;0)</f>
        <v>0</v>
      </c>
      <c r="O207" s="14" cm="1">
        <f t="array" ref="O207">INT(SUMPRODUCT(--ISNUMBER(SEARCH(violent,C207)))&gt;0)</f>
        <v>0</v>
      </c>
      <c r="P207" s="14" cm="1">
        <f t="array" ref="P207">INT(SUMPRODUCT(--ISNUMBER(SEARCH(foreign,C207)))&gt;0)</f>
        <v>0</v>
      </c>
      <c r="Q207" s="14" cm="1">
        <f t="array" ref="Q207">INT(SUMPRODUCT(--ISNUMBER(SEARCH(gun,C207)))&gt;0)</f>
        <v>0</v>
      </c>
      <c r="R207" s="14" cm="1">
        <f t="array" ref="R207">INT(SUMPRODUCT(--ISNUMBER(SEARCH(race,C207)))&gt;0)</f>
        <v>1</v>
      </c>
      <c r="S207" s="14" cm="1">
        <f t="array" ref="S207">INT(SUMPRODUCT(--ISNUMBER(SEARCH(immigration,C207)))&gt;0)</f>
        <v>0</v>
      </c>
      <c r="T207" s="14" cm="1">
        <f t="array" ref="T207">INT(SUMPRODUCT(--ISNUMBER(SEARCH(econineq,C208)))&gt;0)</f>
        <v>0</v>
      </c>
      <c r="U207" s="14" cm="1">
        <f t="array" ref="U207">INT(SUMPRODUCT(--ISNUMBER(SEARCH(climate,C207)))&gt;0)</f>
        <v>0</v>
      </c>
      <c r="V207" s="14" cm="1">
        <f t="array" ref="V207">INT(SUMPRODUCT(--ISNUMBER(SEARCH(abortion,C207)))&gt;0)</f>
        <v>0</v>
      </c>
      <c r="W207" s="14" cm="1">
        <f t="array" ref="W207">INT(SUMPRODUCT(--ISNUMBER(SEARCH(trump,C207)))&gt;0)</f>
        <v>0</v>
      </c>
      <c r="X207" s="14" cm="1">
        <f t="array" ref="X207">INT(SUMPRODUCT(--ISNUMBER(SEARCH(voting,C207)))&gt;0)</f>
        <v>1</v>
      </c>
      <c r="Y207" s="14" cm="1">
        <f t="array" ref="Y207">INT(SUMPRODUCT(--ISNUMBER(SEARCH(democrattrigger,C207)))&gt;0)</f>
        <v>0</v>
      </c>
      <c r="Z207" s="14" cm="1">
        <f t="array" ref="Z207">INT(SUMPRODUCT(--ISNUMBER(SEARCH(bipartisan,C207)))&gt;0)</f>
        <v>0</v>
      </c>
      <c r="AA207" s="14">
        <f t="shared" si="3"/>
        <v>0</v>
      </c>
      <c r="AB207" s="14"/>
      <c r="AC207" s="30">
        <v>1</v>
      </c>
      <c r="AD207" s="37">
        <v>0</v>
      </c>
    </row>
    <row r="208" spans="1:30" x14ac:dyDescent="0.25">
      <c r="A208" s="36">
        <v>2361</v>
      </c>
      <c r="B208" s="14" t="s">
        <v>4747</v>
      </c>
      <c r="C208" s="14" t="s">
        <v>4748</v>
      </c>
      <c r="D208" s="17">
        <v>44122</v>
      </c>
      <c r="E208" s="14" t="s">
        <v>30</v>
      </c>
      <c r="F208" s="14">
        <v>203</v>
      </c>
      <c r="G208" s="14">
        <v>56</v>
      </c>
      <c r="H208" s="14">
        <v>11</v>
      </c>
      <c r="I208" s="14">
        <v>6</v>
      </c>
      <c r="J208" s="14" t="s">
        <v>204</v>
      </c>
      <c r="K208" s="14" cm="1">
        <f t="array" ref="K208">INT(SUMPRODUCT(--ISNUMBER(SEARCH(economy,C208)))&gt;0)</f>
        <v>0</v>
      </c>
      <c r="L208" s="14" cm="1">
        <f t="array" ref="L208">INT(SUMPRODUCT(--ISNUMBER(SEARCH(healthcare,C208)))&gt;0)</f>
        <v>0</v>
      </c>
      <c r="M208" s="14" cm="1">
        <f t="array" ref="M208">INT(SUMPRODUCT(--ISNUMBER(SEARCH(supreme,C208)))&gt;0)</f>
        <v>0</v>
      </c>
      <c r="N208" s="14" cm="1">
        <f t="array" ref="N208">INT(SUMPRODUCT(--ISNUMBER(SEARCH(covid,C208)))&gt;0)</f>
        <v>1</v>
      </c>
      <c r="O208" s="14" cm="1">
        <f t="array" ref="O208">INT(SUMPRODUCT(--ISNUMBER(SEARCH(violent,C208)))&gt;0)</f>
        <v>0</v>
      </c>
      <c r="P208" s="14" cm="1">
        <f t="array" ref="P208">INT(SUMPRODUCT(--ISNUMBER(SEARCH(foreign,C208)))&gt;0)</f>
        <v>0</v>
      </c>
      <c r="Q208" s="14" cm="1">
        <f t="array" ref="Q208">INT(SUMPRODUCT(--ISNUMBER(SEARCH(gun,C208)))&gt;0)</f>
        <v>0</v>
      </c>
      <c r="R208" s="14" cm="1">
        <f t="array" ref="R208">INT(SUMPRODUCT(--ISNUMBER(SEARCH(race,C208)))&gt;0)</f>
        <v>0</v>
      </c>
      <c r="S208" s="14" cm="1">
        <f t="array" ref="S208">INT(SUMPRODUCT(--ISNUMBER(SEARCH(immigration,C208)))&gt;0)</f>
        <v>0</v>
      </c>
      <c r="T208" s="14" cm="1">
        <f t="array" ref="T208">INT(SUMPRODUCT(--ISNUMBER(SEARCH(econineq,C209)))&gt;0)</f>
        <v>0</v>
      </c>
      <c r="U208" s="14" cm="1">
        <f t="array" ref="U208">INT(SUMPRODUCT(--ISNUMBER(SEARCH(climate,C208)))&gt;0)</f>
        <v>0</v>
      </c>
      <c r="V208" s="14" cm="1">
        <f t="array" ref="V208">INT(SUMPRODUCT(--ISNUMBER(SEARCH(abortion,C208)))&gt;0)</f>
        <v>0</v>
      </c>
      <c r="W208" s="14" cm="1">
        <f t="array" ref="W208">INT(SUMPRODUCT(--ISNUMBER(SEARCH(trump,C208)))&gt;0)</f>
        <v>0</v>
      </c>
      <c r="X208" s="14" cm="1">
        <f t="array" ref="X208">INT(SUMPRODUCT(--ISNUMBER(SEARCH(voting,C208)))&gt;0)</f>
        <v>0</v>
      </c>
      <c r="Y208" s="14" cm="1">
        <f t="array" ref="Y208">INT(SUMPRODUCT(--ISNUMBER(SEARCH(democrattrigger,C208)))&gt;0)</f>
        <v>0</v>
      </c>
      <c r="Z208" s="14" cm="1">
        <f t="array" ref="Z208">INT(SUMPRODUCT(--ISNUMBER(SEARCH(bipartisan,C208)))&gt;0)</f>
        <v>0</v>
      </c>
      <c r="AA208" s="14">
        <f t="shared" si="3"/>
        <v>0</v>
      </c>
      <c r="AB208" s="14"/>
      <c r="AC208" s="30" t="s">
        <v>223</v>
      </c>
      <c r="AD208" s="37" t="s">
        <v>223</v>
      </c>
    </row>
    <row r="209" spans="1:30" x14ac:dyDescent="0.25">
      <c r="A209" s="36">
        <v>2362</v>
      </c>
      <c r="B209" s="14" t="s">
        <v>4749</v>
      </c>
      <c r="C209" s="14" t="s">
        <v>4750</v>
      </c>
      <c r="D209" s="17">
        <v>44122</v>
      </c>
      <c r="E209" s="14" t="s">
        <v>30</v>
      </c>
      <c r="F209" s="14">
        <v>164</v>
      </c>
      <c r="G209" s="14">
        <v>11</v>
      </c>
      <c r="H209" s="14">
        <v>11</v>
      </c>
      <c r="I209" s="14">
        <v>6</v>
      </c>
      <c r="J209" s="14" t="s">
        <v>204</v>
      </c>
      <c r="K209" s="14" cm="1">
        <f t="array" ref="K209">INT(SUMPRODUCT(--ISNUMBER(SEARCH(economy,C209)))&gt;0)</f>
        <v>0</v>
      </c>
      <c r="L209" s="14" cm="1">
        <f t="array" ref="L209">INT(SUMPRODUCT(--ISNUMBER(SEARCH(healthcare,C209)))&gt;0)</f>
        <v>0</v>
      </c>
      <c r="M209" s="14" cm="1">
        <f t="array" ref="M209">INT(SUMPRODUCT(--ISNUMBER(SEARCH(supreme,C209)))&gt;0)</f>
        <v>0</v>
      </c>
      <c r="N209" s="14" cm="1">
        <f t="array" ref="N209">INT(SUMPRODUCT(--ISNUMBER(SEARCH(covid,C209)))&gt;0)</f>
        <v>0</v>
      </c>
      <c r="O209" s="14" cm="1">
        <f t="array" ref="O209">INT(SUMPRODUCT(--ISNUMBER(SEARCH(violent,C209)))&gt;0)</f>
        <v>0</v>
      </c>
      <c r="P209" s="14" cm="1">
        <f t="array" ref="P209">INT(SUMPRODUCT(--ISNUMBER(SEARCH(foreign,C209)))&gt;0)</f>
        <v>0</v>
      </c>
      <c r="Q209" s="14" cm="1">
        <f t="array" ref="Q209">INT(SUMPRODUCT(--ISNUMBER(SEARCH(gun,C209)))&gt;0)</f>
        <v>0</v>
      </c>
      <c r="R209" s="14" cm="1">
        <f t="array" ref="R209">INT(SUMPRODUCT(--ISNUMBER(SEARCH(race,C209)))&gt;0)</f>
        <v>0</v>
      </c>
      <c r="S209" s="14" cm="1">
        <f t="array" ref="S209">INT(SUMPRODUCT(--ISNUMBER(SEARCH(immigration,C209)))&gt;0)</f>
        <v>0</v>
      </c>
      <c r="T209" s="14" cm="1">
        <f t="array" ref="T209">INT(SUMPRODUCT(--ISNUMBER(SEARCH(econineq,C210)))&gt;0)</f>
        <v>0</v>
      </c>
      <c r="U209" s="14" cm="1">
        <f t="array" ref="U209">INT(SUMPRODUCT(--ISNUMBER(SEARCH(climate,C209)))&gt;0)</f>
        <v>0</v>
      </c>
      <c r="V209" s="14" cm="1">
        <f t="array" ref="V209">INT(SUMPRODUCT(--ISNUMBER(SEARCH(abortion,C209)))&gt;0)</f>
        <v>0</v>
      </c>
      <c r="W209" s="14" cm="1">
        <f t="array" ref="W209">INT(SUMPRODUCT(--ISNUMBER(SEARCH(trump,C209)))&gt;0)</f>
        <v>0</v>
      </c>
      <c r="X209" s="14" cm="1">
        <f t="array" ref="X209">INT(SUMPRODUCT(--ISNUMBER(SEARCH(voting,C209)))&gt;0)</f>
        <v>0</v>
      </c>
      <c r="Y209" s="14" cm="1">
        <f t="array" ref="Y209">INT(SUMPRODUCT(--ISNUMBER(SEARCH(democrattrigger,C209)))&gt;0)</f>
        <v>0</v>
      </c>
      <c r="Z209" s="14" cm="1">
        <f t="array" ref="Z209">INT(SUMPRODUCT(--ISNUMBER(SEARCH(bipartisan,C209)))&gt;0)</f>
        <v>0</v>
      </c>
      <c r="AA209" s="14">
        <f t="shared" si="3"/>
        <v>1</v>
      </c>
      <c r="AB209" s="14"/>
      <c r="AC209" s="30" t="s">
        <v>223</v>
      </c>
      <c r="AD209" s="37" t="s">
        <v>223</v>
      </c>
    </row>
    <row r="210" spans="1:30" x14ac:dyDescent="0.25">
      <c r="A210" s="36">
        <v>2363</v>
      </c>
      <c r="B210" s="14" t="s">
        <v>4751</v>
      </c>
      <c r="C210" s="14" t="s">
        <v>4752</v>
      </c>
      <c r="D210" s="17">
        <v>44122</v>
      </c>
      <c r="E210" s="14" t="s">
        <v>30</v>
      </c>
      <c r="F210" s="14">
        <v>191</v>
      </c>
      <c r="G210" s="14">
        <v>46</v>
      </c>
      <c r="H210" s="14">
        <v>11</v>
      </c>
      <c r="I210" s="14">
        <v>6</v>
      </c>
      <c r="J210" s="14" t="s">
        <v>204</v>
      </c>
      <c r="K210" s="14" cm="1">
        <f t="array" ref="K210">INT(SUMPRODUCT(--ISNUMBER(SEARCH(economy,C210)))&gt;0)</f>
        <v>0</v>
      </c>
      <c r="L210" s="14" cm="1">
        <f t="array" ref="L210">INT(SUMPRODUCT(--ISNUMBER(SEARCH(healthcare,C210)))&gt;0)</f>
        <v>1</v>
      </c>
      <c r="M210" s="14" cm="1">
        <f t="array" ref="M210">INT(SUMPRODUCT(--ISNUMBER(SEARCH(supreme,C210)))&gt;0)</f>
        <v>0</v>
      </c>
      <c r="N210" s="14" cm="1">
        <f t="array" ref="N210">INT(SUMPRODUCT(--ISNUMBER(SEARCH(covid,C210)))&gt;0)</f>
        <v>0</v>
      </c>
      <c r="O210" s="14" cm="1">
        <f t="array" ref="O210">INT(SUMPRODUCT(--ISNUMBER(SEARCH(violent,C210)))&gt;0)</f>
        <v>0</v>
      </c>
      <c r="P210" s="14" cm="1">
        <f t="array" ref="P210">INT(SUMPRODUCT(--ISNUMBER(SEARCH(foreign,C210)))&gt;0)</f>
        <v>0</v>
      </c>
      <c r="Q210" s="14" cm="1">
        <f t="array" ref="Q210">INT(SUMPRODUCT(--ISNUMBER(SEARCH(gun,C210)))&gt;0)</f>
        <v>0</v>
      </c>
      <c r="R210" s="14" cm="1">
        <f t="array" ref="R210">INT(SUMPRODUCT(--ISNUMBER(SEARCH(race,C210)))&gt;0)</f>
        <v>0</v>
      </c>
      <c r="S210" s="14" cm="1">
        <f t="array" ref="S210">INT(SUMPRODUCT(--ISNUMBER(SEARCH(immigration,C210)))&gt;0)</f>
        <v>0</v>
      </c>
      <c r="T210" s="14" cm="1">
        <f t="array" ref="T210">INT(SUMPRODUCT(--ISNUMBER(SEARCH(econineq,C211)))&gt;0)</f>
        <v>0</v>
      </c>
      <c r="U210" s="14" cm="1">
        <f t="array" ref="U210">INT(SUMPRODUCT(--ISNUMBER(SEARCH(climate,C210)))&gt;0)</f>
        <v>0</v>
      </c>
      <c r="V210" s="14" cm="1">
        <f t="array" ref="V210">INT(SUMPRODUCT(--ISNUMBER(SEARCH(abortion,C210)))&gt;0)</f>
        <v>0</v>
      </c>
      <c r="W210" s="14" cm="1">
        <f t="array" ref="W210">INT(SUMPRODUCT(--ISNUMBER(SEARCH(trump,C210)))&gt;0)</f>
        <v>0</v>
      </c>
      <c r="X210" s="14" cm="1">
        <f t="array" ref="X210">INT(SUMPRODUCT(--ISNUMBER(SEARCH(voting,C210)))&gt;0)</f>
        <v>1</v>
      </c>
      <c r="Y210" s="14" cm="1">
        <f t="array" ref="Y210">INT(SUMPRODUCT(--ISNUMBER(SEARCH(democrattrigger,C210)))&gt;0)</f>
        <v>0</v>
      </c>
      <c r="Z210" s="14" cm="1">
        <f t="array" ref="Z210">INT(SUMPRODUCT(--ISNUMBER(SEARCH(bipartisan,C210)))&gt;0)</f>
        <v>0</v>
      </c>
      <c r="AA210" s="14">
        <f t="shared" si="3"/>
        <v>0</v>
      </c>
      <c r="AB210" s="14"/>
      <c r="AC210" s="30">
        <v>1</v>
      </c>
      <c r="AD210" s="37">
        <v>0</v>
      </c>
    </row>
    <row r="211" spans="1:30" x14ac:dyDescent="0.25">
      <c r="A211" s="36">
        <v>2364</v>
      </c>
      <c r="B211" s="14" t="s">
        <v>4753</v>
      </c>
      <c r="C211" s="14" t="s">
        <v>4754</v>
      </c>
      <c r="D211" s="17">
        <v>44122</v>
      </c>
      <c r="E211" s="14" t="s">
        <v>30</v>
      </c>
      <c r="F211" s="14">
        <v>106</v>
      </c>
      <c r="G211" s="14">
        <v>23</v>
      </c>
      <c r="H211" s="14">
        <v>11</v>
      </c>
      <c r="I211" s="14">
        <v>6</v>
      </c>
      <c r="J211" s="14" t="s">
        <v>204</v>
      </c>
      <c r="K211" s="14" cm="1">
        <f t="array" ref="K211">INT(SUMPRODUCT(--ISNUMBER(SEARCH(economy,C211)))&gt;0)</f>
        <v>0</v>
      </c>
      <c r="L211" s="14" cm="1">
        <f t="array" ref="L211">INT(SUMPRODUCT(--ISNUMBER(SEARCH(healthcare,C211)))&gt;0)</f>
        <v>0</v>
      </c>
      <c r="M211" s="14" cm="1">
        <f t="array" ref="M211">INT(SUMPRODUCT(--ISNUMBER(SEARCH(supreme,C211)))&gt;0)</f>
        <v>0</v>
      </c>
      <c r="N211" s="14" cm="1">
        <f t="array" ref="N211">INT(SUMPRODUCT(--ISNUMBER(SEARCH(covid,C211)))&gt;0)</f>
        <v>0</v>
      </c>
      <c r="O211" s="14" cm="1">
        <f t="array" ref="O211">INT(SUMPRODUCT(--ISNUMBER(SEARCH(violent,C211)))&gt;0)</f>
        <v>0</v>
      </c>
      <c r="P211" s="14" cm="1">
        <f t="array" ref="P211">INT(SUMPRODUCT(--ISNUMBER(SEARCH(foreign,C211)))&gt;0)</f>
        <v>0</v>
      </c>
      <c r="Q211" s="14" cm="1">
        <f t="array" ref="Q211">INT(SUMPRODUCT(--ISNUMBER(SEARCH(gun,C211)))&gt;0)</f>
        <v>0</v>
      </c>
      <c r="R211" s="14" cm="1">
        <f t="array" ref="R211">INT(SUMPRODUCT(--ISNUMBER(SEARCH(race,C211)))&gt;0)</f>
        <v>0</v>
      </c>
      <c r="S211" s="14" cm="1">
        <f t="array" ref="S211">INT(SUMPRODUCT(--ISNUMBER(SEARCH(immigration,C211)))&gt;0)</f>
        <v>0</v>
      </c>
      <c r="T211" s="14" cm="1">
        <f t="array" ref="T211">INT(SUMPRODUCT(--ISNUMBER(SEARCH(econineq,C212)))&gt;0)</f>
        <v>0</v>
      </c>
      <c r="U211" s="14" cm="1">
        <f t="array" ref="U211">INT(SUMPRODUCT(--ISNUMBER(SEARCH(climate,C211)))&gt;0)</f>
        <v>0</v>
      </c>
      <c r="V211" s="14" cm="1">
        <f t="array" ref="V211">INT(SUMPRODUCT(--ISNUMBER(SEARCH(abortion,C211)))&gt;0)</f>
        <v>0</v>
      </c>
      <c r="W211" s="14" cm="1">
        <f t="array" ref="W211">INT(SUMPRODUCT(--ISNUMBER(SEARCH(trump,C211)))&gt;0)</f>
        <v>0</v>
      </c>
      <c r="X211" s="14" cm="1">
        <f t="array" ref="X211">INT(SUMPRODUCT(--ISNUMBER(SEARCH(voting,C211)))&gt;0)</f>
        <v>0</v>
      </c>
      <c r="Y211" s="14" cm="1">
        <f t="array" ref="Y211">INT(SUMPRODUCT(--ISNUMBER(SEARCH(democrattrigger,C211)))&gt;0)</f>
        <v>0</v>
      </c>
      <c r="Z211" s="14" cm="1">
        <f t="array" ref="Z211">INT(SUMPRODUCT(--ISNUMBER(SEARCH(bipartisan,C211)))&gt;0)</f>
        <v>0</v>
      </c>
      <c r="AA211" s="14">
        <f t="shared" si="3"/>
        <v>1</v>
      </c>
      <c r="AB211" s="14"/>
      <c r="AC211" s="30">
        <v>1</v>
      </c>
      <c r="AD211" s="37">
        <v>0</v>
      </c>
    </row>
    <row r="212" spans="1:30" x14ac:dyDescent="0.25">
      <c r="A212" s="36">
        <v>2365</v>
      </c>
      <c r="B212" s="14" t="s">
        <v>4755</v>
      </c>
      <c r="C212" s="14" t="s">
        <v>4756</v>
      </c>
      <c r="D212" s="17">
        <v>44122</v>
      </c>
      <c r="E212" s="14" t="s">
        <v>30</v>
      </c>
      <c r="F212" s="14">
        <v>125</v>
      </c>
      <c r="G212" s="14">
        <v>23</v>
      </c>
      <c r="H212" s="14">
        <v>11</v>
      </c>
      <c r="I212" s="14">
        <v>6</v>
      </c>
      <c r="J212" s="14" t="s">
        <v>204</v>
      </c>
      <c r="K212" s="14" cm="1">
        <f t="array" ref="K212">INT(SUMPRODUCT(--ISNUMBER(SEARCH(economy,C212)))&gt;0)</f>
        <v>0</v>
      </c>
      <c r="L212" s="14" cm="1">
        <f t="array" ref="L212">INT(SUMPRODUCT(--ISNUMBER(SEARCH(healthcare,C212)))&gt;0)</f>
        <v>0</v>
      </c>
      <c r="M212" s="14" cm="1">
        <f t="array" ref="M212">INT(SUMPRODUCT(--ISNUMBER(SEARCH(supreme,C212)))&gt;0)</f>
        <v>0</v>
      </c>
      <c r="N212" s="14" cm="1">
        <f t="array" ref="N212">INT(SUMPRODUCT(--ISNUMBER(SEARCH(covid,C212)))&gt;0)</f>
        <v>1</v>
      </c>
      <c r="O212" s="14" cm="1">
        <f t="array" ref="O212">INT(SUMPRODUCT(--ISNUMBER(SEARCH(violent,C212)))&gt;0)</f>
        <v>0</v>
      </c>
      <c r="P212" s="14" cm="1">
        <f t="array" ref="P212">INT(SUMPRODUCT(--ISNUMBER(SEARCH(foreign,C212)))&gt;0)</f>
        <v>0</v>
      </c>
      <c r="Q212" s="14" cm="1">
        <f t="array" ref="Q212">INT(SUMPRODUCT(--ISNUMBER(SEARCH(gun,C212)))&gt;0)</f>
        <v>0</v>
      </c>
      <c r="R212" s="14" cm="1">
        <f t="array" ref="R212">INT(SUMPRODUCT(--ISNUMBER(SEARCH(race,C212)))&gt;0)</f>
        <v>0</v>
      </c>
      <c r="S212" s="14" cm="1">
        <f t="array" ref="S212">INT(SUMPRODUCT(--ISNUMBER(SEARCH(immigration,C212)))&gt;0)</f>
        <v>0</v>
      </c>
      <c r="T212" s="14" cm="1">
        <f t="array" ref="T212">INT(SUMPRODUCT(--ISNUMBER(SEARCH(econineq,C213)))&gt;0)</f>
        <v>0</v>
      </c>
      <c r="U212" s="14" cm="1">
        <f t="array" ref="U212">INT(SUMPRODUCT(--ISNUMBER(SEARCH(climate,C212)))&gt;0)</f>
        <v>1</v>
      </c>
      <c r="V212" s="14" cm="1">
        <f t="array" ref="V212">INT(SUMPRODUCT(--ISNUMBER(SEARCH(abortion,C212)))&gt;0)</f>
        <v>0</v>
      </c>
      <c r="W212" s="14" cm="1">
        <f t="array" ref="W212">INT(SUMPRODUCT(--ISNUMBER(SEARCH(trump,C212)))&gt;0)</f>
        <v>0</v>
      </c>
      <c r="X212" s="14" cm="1">
        <f t="array" ref="X212">INT(SUMPRODUCT(--ISNUMBER(SEARCH(voting,C212)))&gt;0)</f>
        <v>0</v>
      </c>
      <c r="Y212" s="14" cm="1">
        <f t="array" ref="Y212">INT(SUMPRODUCT(--ISNUMBER(SEARCH(democrattrigger,C212)))&gt;0)</f>
        <v>0</v>
      </c>
      <c r="Z212" s="14" cm="1">
        <f t="array" ref="Z212">INT(SUMPRODUCT(--ISNUMBER(SEARCH(bipartisan,C212)))&gt;0)</f>
        <v>1</v>
      </c>
      <c r="AA212" s="14">
        <f t="shared" si="3"/>
        <v>0</v>
      </c>
      <c r="AB212" s="14"/>
      <c r="AC212" s="30" t="s">
        <v>223</v>
      </c>
      <c r="AD212" s="37" t="s">
        <v>223</v>
      </c>
    </row>
    <row r="213" spans="1:30" x14ac:dyDescent="0.25">
      <c r="A213" s="36">
        <v>2366</v>
      </c>
      <c r="B213" s="14" t="s">
        <v>4757</v>
      </c>
      <c r="C213" s="14" t="s">
        <v>4758</v>
      </c>
      <c r="D213" s="17">
        <v>44122</v>
      </c>
      <c r="E213" s="14" t="s">
        <v>30</v>
      </c>
      <c r="F213" s="14">
        <v>312</v>
      </c>
      <c r="G213" s="14">
        <v>69</v>
      </c>
      <c r="H213" s="14">
        <v>11</v>
      </c>
      <c r="I213" s="14">
        <v>6</v>
      </c>
      <c r="J213" s="14" t="s">
        <v>204</v>
      </c>
      <c r="K213" s="14" cm="1">
        <f t="array" ref="K213">INT(SUMPRODUCT(--ISNUMBER(SEARCH(economy,C213)))&gt;0)</f>
        <v>0</v>
      </c>
      <c r="L213" s="14" cm="1">
        <f t="array" ref="L213">INT(SUMPRODUCT(--ISNUMBER(SEARCH(healthcare,C213)))&gt;0)</f>
        <v>0</v>
      </c>
      <c r="M213" s="14" cm="1">
        <f t="array" ref="M213">INT(SUMPRODUCT(--ISNUMBER(SEARCH(supreme,C213)))&gt;0)</f>
        <v>0</v>
      </c>
      <c r="N213" s="14" cm="1">
        <f t="array" ref="N213">INT(SUMPRODUCT(--ISNUMBER(SEARCH(covid,C213)))&gt;0)</f>
        <v>1</v>
      </c>
      <c r="O213" s="14" cm="1">
        <f t="array" ref="O213">INT(SUMPRODUCT(--ISNUMBER(SEARCH(violent,C213)))&gt;0)</f>
        <v>0</v>
      </c>
      <c r="P213" s="14" cm="1">
        <f t="array" ref="P213">INT(SUMPRODUCT(--ISNUMBER(SEARCH(foreign,C213)))&gt;0)</f>
        <v>0</v>
      </c>
      <c r="Q213" s="14" cm="1">
        <f t="array" ref="Q213">INT(SUMPRODUCT(--ISNUMBER(SEARCH(gun,C213)))&gt;0)</f>
        <v>0</v>
      </c>
      <c r="R213" s="14" cm="1">
        <f t="array" ref="R213">INT(SUMPRODUCT(--ISNUMBER(SEARCH(race,C213)))&gt;0)</f>
        <v>0</v>
      </c>
      <c r="S213" s="14" cm="1">
        <f t="array" ref="S213">INT(SUMPRODUCT(--ISNUMBER(SEARCH(immigration,C213)))&gt;0)</f>
        <v>0</v>
      </c>
      <c r="T213" s="14" cm="1">
        <f t="array" ref="T213">INT(SUMPRODUCT(--ISNUMBER(SEARCH(econineq,C214)))&gt;0)</f>
        <v>0</v>
      </c>
      <c r="U213" s="14" cm="1">
        <f t="array" ref="U213">INT(SUMPRODUCT(--ISNUMBER(SEARCH(climate,C213)))&gt;0)</f>
        <v>0</v>
      </c>
      <c r="V213" s="14" cm="1">
        <f t="array" ref="V213">INT(SUMPRODUCT(--ISNUMBER(SEARCH(abortion,C213)))&gt;0)</f>
        <v>0</v>
      </c>
      <c r="W213" s="14" cm="1">
        <f t="array" ref="W213">INT(SUMPRODUCT(--ISNUMBER(SEARCH(trump,C213)))&gt;0)</f>
        <v>0</v>
      </c>
      <c r="X213" s="14" cm="1">
        <f t="array" ref="X213">INT(SUMPRODUCT(--ISNUMBER(SEARCH(voting,C213)))&gt;0)</f>
        <v>0</v>
      </c>
      <c r="Y213" s="14" cm="1">
        <f t="array" ref="Y213">INT(SUMPRODUCT(--ISNUMBER(SEARCH(democrattrigger,C213)))&gt;0)</f>
        <v>0</v>
      </c>
      <c r="Z213" s="14" cm="1">
        <f t="array" ref="Z213">INT(SUMPRODUCT(--ISNUMBER(SEARCH(bipartisan,C213)))&gt;0)</f>
        <v>0</v>
      </c>
      <c r="AA213" s="14">
        <f t="shared" si="3"/>
        <v>0</v>
      </c>
      <c r="AB213" s="14"/>
      <c r="AC213" s="30" t="s">
        <v>223</v>
      </c>
      <c r="AD213" s="37" t="s">
        <v>223</v>
      </c>
    </row>
    <row r="214" spans="1:30" x14ac:dyDescent="0.25">
      <c r="A214" s="36">
        <v>2367</v>
      </c>
      <c r="B214" s="14" t="s">
        <v>4759</v>
      </c>
      <c r="C214" s="14" t="s">
        <v>4760</v>
      </c>
      <c r="D214" s="17">
        <v>44122</v>
      </c>
      <c r="E214" s="14" t="s">
        <v>30</v>
      </c>
      <c r="F214" s="14">
        <v>36</v>
      </c>
      <c r="G214" s="14">
        <v>10</v>
      </c>
      <c r="H214" s="14">
        <v>11</v>
      </c>
      <c r="I214" s="14">
        <v>6</v>
      </c>
      <c r="J214" s="14" t="s">
        <v>204</v>
      </c>
      <c r="K214" s="14" cm="1">
        <f t="array" ref="K214">INT(SUMPRODUCT(--ISNUMBER(SEARCH(economy,C214)))&gt;0)</f>
        <v>0</v>
      </c>
      <c r="L214" s="14" cm="1">
        <f t="array" ref="L214">INT(SUMPRODUCT(--ISNUMBER(SEARCH(healthcare,C214)))&gt;0)</f>
        <v>0</v>
      </c>
      <c r="M214" s="14" cm="1">
        <f t="array" ref="M214">INT(SUMPRODUCT(--ISNUMBER(SEARCH(supreme,C214)))&gt;0)</f>
        <v>0</v>
      </c>
      <c r="N214" s="14" cm="1">
        <f t="array" ref="N214">INT(SUMPRODUCT(--ISNUMBER(SEARCH(covid,C214)))&gt;0)</f>
        <v>0</v>
      </c>
      <c r="O214" s="14" cm="1">
        <f t="array" ref="O214">INT(SUMPRODUCT(--ISNUMBER(SEARCH(violent,C214)))&gt;0)</f>
        <v>0</v>
      </c>
      <c r="P214" s="14" cm="1">
        <f t="array" ref="P214">INT(SUMPRODUCT(--ISNUMBER(SEARCH(foreign,C214)))&gt;0)</f>
        <v>0</v>
      </c>
      <c r="Q214" s="14" cm="1">
        <f t="array" ref="Q214">INT(SUMPRODUCT(--ISNUMBER(SEARCH(gun,C214)))&gt;0)</f>
        <v>0</v>
      </c>
      <c r="R214" s="14" cm="1">
        <f t="array" ref="R214">INT(SUMPRODUCT(--ISNUMBER(SEARCH(race,C214)))&gt;0)</f>
        <v>0</v>
      </c>
      <c r="S214" s="14" cm="1">
        <f t="array" ref="S214">INT(SUMPRODUCT(--ISNUMBER(SEARCH(immigration,C214)))&gt;0)</f>
        <v>0</v>
      </c>
      <c r="T214" s="14" cm="1">
        <f t="array" ref="T214">INT(SUMPRODUCT(--ISNUMBER(SEARCH(econineq,C215)))&gt;0)</f>
        <v>0</v>
      </c>
      <c r="U214" s="14" cm="1">
        <f t="array" ref="U214">INT(SUMPRODUCT(--ISNUMBER(SEARCH(climate,C214)))&gt;0)</f>
        <v>0</v>
      </c>
      <c r="V214" s="14" cm="1">
        <f t="array" ref="V214">INT(SUMPRODUCT(--ISNUMBER(SEARCH(abortion,C214)))&gt;0)</f>
        <v>0</v>
      </c>
      <c r="W214" s="14" cm="1">
        <f t="array" ref="W214">INT(SUMPRODUCT(--ISNUMBER(SEARCH(trump,C214)))&gt;0)</f>
        <v>0</v>
      </c>
      <c r="X214" s="14" cm="1">
        <f t="array" ref="X214">INT(SUMPRODUCT(--ISNUMBER(SEARCH(voting,C214)))&gt;0)</f>
        <v>1</v>
      </c>
      <c r="Y214" s="14" cm="1">
        <f t="array" ref="Y214">INT(SUMPRODUCT(--ISNUMBER(SEARCH(democrattrigger,C214)))&gt;0)</f>
        <v>0</v>
      </c>
      <c r="Z214" s="14" cm="1">
        <f t="array" ref="Z214">INT(SUMPRODUCT(--ISNUMBER(SEARCH(bipartisan,C214)))&gt;0)</f>
        <v>0</v>
      </c>
      <c r="AA214" s="14">
        <f t="shared" si="3"/>
        <v>0</v>
      </c>
      <c r="AB214" s="14"/>
      <c r="AC214" s="30" t="s">
        <v>223</v>
      </c>
      <c r="AD214" s="37" t="s">
        <v>223</v>
      </c>
    </row>
    <row r="215" spans="1:30" x14ac:dyDescent="0.25">
      <c r="A215" s="36">
        <v>2368</v>
      </c>
      <c r="B215" s="14" t="s">
        <v>4761</v>
      </c>
      <c r="C215" s="14" t="s">
        <v>4762</v>
      </c>
      <c r="D215" s="17">
        <v>44122</v>
      </c>
      <c r="E215" s="14" t="s">
        <v>70</v>
      </c>
      <c r="F215" s="14">
        <v>49</v>
      </c>
      <c r="G215" s="14">
        <v>17</v>
      </c>
      <c r="H215" s="14">
        <v>11</v>
      </c>
      <c r="I215" s="14">
        <v>6</v>
      </c>
      <c r="J215" s="14" t="s">
        <v>204</v>
      </c>
      <c r="K215" s="14" cm="1">
        <f t="array" ref="K215">INT(SUMPRODUCT(--ISNUMBER(SEARCH(economy,C215)))&gt;0)</f>
        <v>0</v>
      </c>
      <c r="L215" s="14" cm="1">
        <f t="array" ref="L215">INT(SUMPRODUCT(--ISNUMBER(SEARCH(healthcare,C215)))&gt;0)</f>
        <v>0</v>
      </c>
      <c r="M215" s="14" cm="1">
        <f t="array" ref="M215">INT(SUMPRODUCT(--ISNUMBER(SEARCH(supreme,C215)))&gt;0)</f>
        <v>0</v>
      </c>
      <c r="N215" s="14" cm="1">
        <f t="array" ref="N215">INT(SUMPRODUCT(--ISNUMBER(SEARCH(covid,C215)))&gt;0)</f>
        <v>0</v>
      </c>
      <c r="O215" s="14" cm="1">
        <f t="array" ref="O215">INT(SUMPRODUCT(--ISNUMBER(SEARCH(violent,C215)))&gt;0)</f>
        <v>0</v>
      </c>
      <c r="P215" s="14" cm="1">
        <f t="array" ref="P215">INT(SUMPRODUCT(--ISNUMBER(SEARCH(foreign,C215)))&gt;0)</f>
        <v>0</v>
      </c>
      <c r="Q215" s="14" cm="1">
        <f t="array" ref="Q215">INT(SUMPRODUCT(--ISNUMBER(SEARCH(gun,C215)))&gt;0)</f>
        <v>0</v>
      </c>
      <c r="R215" s="14" cm="1">
        <f t="array" ref="R215">INT(SUMPRODUCT(--ISNUMBER(SEARCH(race,C215)))&gt;0)</f>
        <v>0</v>
      </c>
      <c r="S215" s="14" cm="1">
        <f t="array" ref="S215">INT(SUMPRODUCT(--ISNUMBER(SEARCH(immigration,C215)))&gt;0)</f>
        <v>0</v>
      </c>
      <c r="T215" s="14" cm="1">
        <f t="array" ref="T215">INT(SUMPRODUCT(--ISNUMBER(SEARCH(econineq,C216)))&gt;0)</f>
        <v>0</v>
      </c>
      <c r="U215" s="14" cm="1">
        <f t="array" ref="U215">INT(SUMPRODUCT(--ISNUMBER(SEARCH(climate,C215)))&gt;0)</f>
        <v>1</v>
      </c>
      <c r="V215" s="14" cm="1">
        <f t="array" ref="V215">INT(SUMPRODUCT(--ISNUMBER(SEARCH(abortion,C215)))&gt;0)</f>
        <v>0</v>
      </c>
      <c r="W215" s="14" cm="1">
        <f t="array" ref="W215">INT(SUMPRODUCT(--ISNUMBER(SEARCH(trump,C215)))&gt;0)</f>
        <v>0</v>
      </c>
      <c r="X215" s="14" cm="1">
        <f t="array" ref="X215">INT(SUMPRODUCT(--ISNUMBER(SEARCH(voting,C215)))&gt;0)</f>
        <v>0</v>
      </c>
      <c r="Y215" s="14" cm="1">
        <f t="array" ref="Y215">INT(SUMPRODUCT(--ISNUMBER(SEARCH(democrattrigger,C215)))&gt;0)</f>
        <v>0</v>
      </c>
      <c r="Z215" s="14" cm="1">
        <f t="array" ref="Z215">INT(SUMPRODUCT(--ISNUMBER(SEARCH(bipartisan,C215)))&gt;0)</f>
        <v>0</v>
      </c>
      <c r="AA215" s="14">
        <f t="shared" si="3"/>
        <v>0</v>
      </c>
      <c r="AB215" s="14"/>
      <c r="AC215" s="30" t="s">
        <v>223</v>
      </c>
      <c r="AD215" s="37" t="s">
        <v>223</v>
      </c>
    </row>
    <row r="216" spans="1:30" x14ac:dyDescent="0.25">
      <c r="A216" s="36">
        <v>2369</v>
      </c>
      <c r="B216" s="14" t="s">
        <v>4763</v>
      </c>
      <c r="C216" s="14" t="s">
        <v>4764</v>
      </c>
      <c r="D216" s="17">
        <v>44122</v>
      </c>
      <c r="E216" s="14" t="s">
        <v>70</v>
      </c>
      <c r="F216" s="14">
        <v>59</v>
      </c>
      <c r="G216" s="14">
        <v>13</v>
      </c>
      <c r="H216" s="14">
        <v>11</v>
      </c>
      <c r="I216" s="14">
        <v>6</v>
      </c>
      <c r="J216" s="14" t="s">
        <v>204</v>
      </c>
      <c r="K216" s="14" cm="1">
        <f t="array" ref="K216">INT(SUMPRODUCT(--ISNUMBER(SEARCH(economy,C216)))&gt;0)</f>
        <v>0</v>
      </c>
      <c r="L216" s="14" cm="1">
        <f t="array" ref="L216">INT(SUMPRODUCT(--ISNUMBER(SEARCH(healthcare,C216)))&gt;0)</f>
        <v>0</v>
      </c>
      <c r="M216" s="14" cm="1">
        <f t="array" ref="M216">INT(SUMPRODUCT(--ISNUMBER(SEARCH(supreme,C216)))&gt;0)</f>
        <v>0</v>
      </c>
      <c r="N216" s="14" cm="1">
        <f t="array" ref="N216">INT(SUMPRODUCT(--ISNUMBER(SEARCH(covid,C216)))&gt;0)</f>
        <v>0</v>
      </c>
      <c r="O216" s="14" cm="1">
        <f t="array" ref="O216">INT(SUMPRODUCT(--ISNUMBER(SEARCH(violent,C216)))&gt;0)</f>
        <v>0</v>
      </c>
      <c r="P216" s="14" cm="1">
        <f t="array" ref="P216">INT(SUMPRODUCT(--ISNUMBER(SEARCH(foreign,C216)))&gt;0)</f>
        <v>0</v>
      </c>
      <c r="Q216" s="14" cm="1">
        <f t="array" ref="Q216">INT(SUMPRODUCT(--ISNUMBER(SEARCH(gun,C216)))&gt;0)</f>
        <v>0</v>
      </c>
      <c r="R216" s="14" cm="1">
        <f t="array" ref="R216">INT(SUMPRODUCT(--ISNUMBER(SEARCH(race,C216)))&gt;0)</f>
        <v>0</v>
      </c>
      <c r="S216" s="14" cm="1">
        <f t="array" ref="S216">INT(SUMPRODUCT(--ISNUMBER(SEARCH(immigration,C216)))&gt;0)</f>
        <v>0</v>
      </c>
      <c r="T216" s="14" cm="1">
        <f t="array" ref="T216">INT(SUMPRODUCT(--ISNUMBER(SEARCH(econineq,C217)))&gt;0)</f>
        <v>0</v>
      </c>
      <c r="U216" s="14" cm="1">
        <f t="array" ref="U216">INT(SUMPRODUCT(--ISNUMBER(SEARCH(climate,C216)))&gt;0)</f>
        <v>0</v>
      </c>
      <c r="V216" s="14" cm="1">
        <f t="array" ref="V216">INT(SUMPRODUCT(--ISNUMBER(SEARCH(abortion,C216)))&gt;0)</f>
        <v>0</v>
      </c>
      <c r="W216" s="14" cm="1">
        <f t="array" ref="W216">INT(SUMPRODUCT(--ISNUMBER(SEARCH(trump,C216)))&gt;0)</f>
        <v>0</v>
      </c>
      <c r="X216" s="14" cm="1">
        <f t="array" ref="X216">INT(SUMPRODUCT(--ISNUMBER(SEARCH(voting,C216)))&gt;0)</f>
        <v>0</v>
      </c>
      <c r="Y216" s="14" cm="1">
        <f t="array" ref="Y216">INT(SUMPRODUCT(--ISNUMBER(SEARCH(democrattrigger,C216)))&gt;0)</f>
        <v>0</v>
      </c>
      <c r="Z216" s="14" cm="1">
        <f t="array" ref="Z216">INT(SUMPRODUCT(--ISNUMBER(SEARCH(bipartisan,C216)))&gt;0)</f>
        <v>0</v>
      </c>
      <c r="AA216" s="14">
        <f t="shared" si="3"/>
        <v>1</v>
      </c>
      <c r="AB216" s="14"/>
      <c r="AC216" s="30" t="s">
        <v>223</v>
      </c>
      <c r="AD216" s="37" t="s">
        <v>223</v>
      </c>
    </row>
    <row r="217" spans="1:30" x14ac:dyDescent="0.25">
      <c r="A217" s="36">
        <v>2370</v>
      </c>
      <c r="B217" s="14" t="s">
        <v>4765</v>
      </c>
      <c r="C217" s="14" t="s">
        <v>4766</v>
      </c>
      <c r="D217" s="17">
        <v>44122</v>
      </c>
      <c r="E217" s="14" t="s">
        <v>70</v>
      </c>
      <c r="F217" s="14">
        <v>21</v>
      </c>
      <c r="G217" s="14">
        <v>5</v>
      </c>
      <c r="H217" s="14">
        <v>11</v>
      </c>
      <c r="I217" s="14">
        <v>6</v>
      </c>
      <c r="J217" s="14" t="s">
        <v>204</v>
      </c>
      <c r="K217" s="14" cm="1">
        <f t="array" ref="K217">INT(SUMPRODUCT(--ISNUMBER(SEARCH(economy,C217)))&gt;0)</f>
        <v>0</v>
      </c>
      <c r="L217" s="14" cm="1">
        <f t="array" ref="L217">INT(SUMPRODUCT(--ISNUMBER(SEARCH(healthcare,C217)))&gt;0)</f>
        <v>0</v>
      </c>
      <c r="M217" s="14" cm="1">
        <f t="array" ref="M217">INT(SUMPRODUCT(--ISNUMBER(SEARCH(supreme,C217)))&gt;0)</f>
        <v>0</v>
      </c>
      <c r="N217" s="14" cm="1">
        <f t="array" ref="N217">INT(SUMPRODUCT(--ISNUMBER(SEARCH(covid,C217)))&gt;0)</f>
        <v>0</v>
      </c>
      <c r="O217" s="14" cm="1">
        <f t="array" ref="O217">INT(SUMPRODUCT(--ISNUMBER(SEARCH(violent,C217)))&gt;0)</f>
        <v>1</v>
      </c>
      <c r="P217" s="14" cm="1">
        <f t="array" ref="P217">INT(SUMPRODUCT(--ISNUMBER(SEARCH(foreign,C217)))&gt;0)</f>
        <v>0</v>
      </c>
      <c r="Q217" s="14" cm="1">
        <f t="array" ref="Q217">INT(SUMPRODUCT(--ISNUMBER(SEARCH(gun,C217)))&gt;0)</f>
        <v>0</v>
      </c>
      <c r="R217" s="14" cm="1">
        <f t="array" ref="R217">INT(SUMPRODUCT(--ISNUMBER(SEARCH(race,C217)))&gt;0)</f>
        <v>0</v>
      </c>
      <c r="S217" s="14" cm="1">
        <f t="array" ref="S217">INT(SUMPRODUCT(--ISNUMBER(SEARCH(immigration,C217)))&gt;0)</f>
        <v>0</v>
      </c>
      <c r="T217" s="14" cm="1">
        <f t="array" ref="T217">INT(SUMPRODUCT(--ISNUMBER(SEARCH(econineq,C218)))&gt;0)</f>
        <v>0</v>
      </c>
      <c r="U217" s="14" cm="1">
        <f t="array" ref="U217">INT(SUMPRODUCT(--ISNUMBER(SEARCH(climate,C217)))&gt;0)</f>
        <v>0</v>
      </c>
      <c r="V217" s="14" cm="1">
        <f t="array" ref="V217">INT(SUMPRODUCT(--ISNUMBER(SEARCH(abortion,C217)))&gt;0)</f>
        <v>0</v>
      </c>
      <c r="W217" s="14" cm="1">
        <f t="array" ref="W217">INT(SUMPRODUCT(--ISNUMBER(SEARCH(trump,C217)))&gt;0)</f>
        <v>0</v>
      </c>
      <c r="X217" s="14" cm="1">
        <f t="array" ref="X217">INT(SUMPRODUCT(--ISNUMBER(SEARCH(voting,C217)))&gt;0)</f>
        <v>0</v>
      </c>
      <c r="Y217" s="14" cm="1">
        <f t="array" ref="Y217">INT(SUMPRODUCT(--ISNUMBER(SEARCH(democrattrigger,C217)))&gt;0)</f>
        <v>0</v>
      </c>
      <c r="Z217" s="14" cm="1">
        <f t="array" ref="Z217">INT(SUMPRODUCT(--ISNUMBER(SEARCH(bipartisan,C217)))&gt;0)</f>
        <v>0</v>
      </c>
      <c r="AA217" s="14">
        <f t="shared" si="3"/>
        <v>0</v>
      </c>
      <c r="AB217" s="14"/>
      <c r="AC217" s="30" t="s">
        <v>223</v>
      </c>
      <c r="AD217" s="37" t="s">
        <v>223</v>
      </c>
    </row>
    <row r="218" spans="1:30" x14ac:dyDescent="0.25">
      <c r="A218" s="36">
        <v>2371</v>
      </c>
      <c r="B218" s="14" t="s">
        <v>4767</v>
      </c>
      <c r="C218" s="14" t="s">
        <v>4768</v>
      </c>
      <c r="D218" s="17">
        <v>44122</v>
      </c>
      <c r="E218" s="14" t="s">
        <v>70</v>
      </c>
      <c r="F218" s="14">
        <v>19</v>
      </c>
      <c r="G218" s="14">
        <v>5</v>
      </c>
      <c r="H218" s="14">
        <v>11</v>
      </c>
      <c r="I218" s="14">
        <v>6</v>
      </c>
      <c r="J218" s="14" t="s">
        <v>204</v>
      </c>
      <c r="K218" s="14" cm="1">
        <f t="array" ref="K218">INT(SUMPRODUCT(--ISNUMBER(SEARCH(economy,C218)))&gt;0)</f>
        <v>0</v>
      </c>
      <c r="L218" s="14" cm="1">
        <f t="array" ref="L218">INT(SUMPRODUCT(--ISNUMBER(SEARCH(healthcare,C218)))&gt;0)</f>
        <v>0</v>
      </c>
      <c r="M218" s="14" cm="1">
        <f t="array" ref="M218">INT(SUMPRODUCT(--ISNUMBER(SEARCH(supreme,C218)))&gt;0)</f>
        <v>0</v>
      </c>
      <c r="N218" s="14" cm="1">
        <f t="array" ref="N218">INT(SUMPRODUCT(--ISNUMBER(SEARCH(covid,C218)))&gt;0)</f>
        <v>0</v>
      </c>
      <c r="O218" s="14" cm="1">
        <f t="array" ref="O218">INT(SUMPRODUCT(--ISNUMBER(SEARCH(violent,C218)))&gt;0)</f>
        <v>0</v>
      </c>
      <c r="P218" s="14" cm="1">
        <f t="array" ref="P218">INT(SUMPRODUCT(--ISNUMBER(SEARCH(foreign,C218)))&gt;0)</f>
        <v>0</v>
      </c>
      <c r="Q218" s="14" cm="1">
        <f t="array" ref="Q218">INT(SUMPRODUCT(--ISNUMBER(SEARCH(gun,C218)))&gt;0)</f>
        <v>0</v>
      </c>
      <c r="R218" s="14" cm="1">
        <f t="array" ref="R218">INT(SUMPRODUCT(--ISNUMBER(SEARCH(race,C218)))&gt;0)</f>
        <v>0</v>
      </c>
      <c r="S218" s="14" cm="1">
        <f t="array" ref="S218">INT(SUMPRODUCT(--ISNUMBER(SEARCH(immigration,C218)))&gt;0)</f>
        <v>0</v>
      </c>
      <c r="T218" s="14" cm="1">
        <f t="array" ref="T218">INT(SUMPRODUCT(--ISNUMBER(SEARCH(econineq,C219)))&gt;0)</f>
        <v>0</v>
      </c>
      <c r="U218" s="14" cm="1">
        <f t="array" ref="U218">INT(SUMPRODUCT(--ISNUMBER(SEARCH(climate,C218)))&gt;0)</f>
        <v>0</v>
      </c>
      <c r="V218" s="14" cm="1">
        <f t="array" ref="V218">INT(SUMPRODUCT(--ISNUMBER(SEARCH(abortion,C218)))&gt;0)</f>
        <v>0</v>
      </c>
      <c r="W218" s="14" cm="1">
        <f t="array" ref="W218">INT(SUMPRODUCT(--ISNUMBER(SEARCH(trump,C218)))&gt;0)</f>
        <v>0</v>
      </c>
      <c r="X218" s="14" cm="1">
        <f t="array" ref="X218">INT(SUMPRODUCT(--ISNUMBER(SEARCH(voting,C218)))&gt;0)</f>
        <v>0</v>
      </c>
      <c r="Y218" s="14" cm="1">
        <f t="array" ref="Y218">INT(SUMPRODUCT(--ISNUMBER(SEARCH(democrattrigger,C218)))&gt;0)</f>
        <v>0</v>
      </c>
      <c r="Z218" s="14" cm="1">
        <f t="array" ref="Z218">INT(SUMPRODUCT(--ISNUMBER(SEARCH(bipartisan,C218)))&gt;0)</f>
        <v>0</v>
      </c>
      <c r="AA218" s="14">
        <f t="shared" si="3"/>
        <v>1</v>
      </c>
      <c r="AB218" s="14"/>
      <c r="AC218" s="30" t="s">
        <v>223</v>
      </c>
      <c r="AD218" s="37" t="s">
        <v>223</v>
      </c>
    </row>
    <row r="219" spans="1:30" x14ac:dyDescent="0.25">
      <c r="A219" s="36">
        <v>2372</v>
      </c>
      <c r="B219" s="14" t="s">
        <v>4769</v>
      </c>
      <c r="C219" s="14" t="s">
        <v>4770</v>
      </c>
      <c r="D219" s="17">
        <v>44122</v>
      </c>
      <c r="E219" s="14" t="s">
        <v>70</v>
      </c>
      <c r="F219" s="14">
        <v>20</v>
      </c>
      <c r="G219" s="14">
        <v>6</v>
      </c>
      <c r="H219" s="14">
        <v>11</v>
      </c>
      <c r="I219" s="14">
        <v>6</v>
      </c>
      <c r="J219" s="14" t="s">
        <v>204</v>
      </c>
      <c r="K219" s="14" cm="1">
        <f t="array" ref="K219">INT(SUMPRODUCT(--ISNUMBER(SEARCH(economy,C219)))&gt;0)</f>
        <v>0</v>
      </c>
      <c r="L219" s="14" cm="1">
        <f t="array" ref="L219">INT(SUMPRODUCT(--ISNUMBER(SEARCH(healthcare,C219)))&gt;0)</f>
        <v>0</v>
      </c>
      <c r="M219" s="14" cm="1">
        <f t="array" ref="M219">INT(SUMPRODUCT(--ISNUMBER(SEARCH(supreme,C219)))&gt;0)</f>
        <v>0</v>
      </c>
      <c r="N219" s="14" cm="1">
        <f t="array" ref="N219">INT(SUMPRODUCT(--ISNUMBER(SEARCH(covid,C219)))&gt;0)</f>
        <v>0</v>
      </c>
      <c r="O219" s="14" cm="1">
        <f t="array" ref="O219">INT(SUMPRODUCT(--ISNUMBER(SEARCH(violent,C219)))&gt;0)</f>
        <v>0</v>
      </c>
      <c r="P219" s="14" cm="1">
        <f t="array" ref="P219">INT(SUMPRODUCT(--ISNUMBER(SEARCH(foreign,C219)))&gt;0)</f>
        <v>0</v>
      </c>
      <c r="Q219" s="14" cm="1">
        <f t="array" ref="Q219">INT(SUMPRODUCT(--ISNUMBER(SEARCH(gun,C219)))&gt;0)</f>
        <v>0</v>
      </c>
      <c r="R219" s="14" cm="1">
        <f t="array" ref="R219">INT(SUMPRODUCT(--ISNUMBER(SEARCH(race,C219)))&gt;0)</f>
        <v>0</v>
      </c>
      <c r="S219" s="14" cm="1">
        <f t="array" ref="S219">INT(SUMPRODUCT(--ISNUMBER(SEARCH(immigration,C219)))&gt;0)</f>
        <v>0</v>
      </c>
      <c r="T219" s="14" cm="1">
        <f t="array" ref="T219">INT(SUMPRODUCT(--ISNUMBER(SEARCH(econineq,C220)))&gt;0)</f>
        <v>0</v>
      </c>
      <c r="U219" s="14" cm="1">
        <f t="array" ref="U219">INT(SUMPRODUCT(--ISNUMBER(SEARCH(climate,C219)))&gt;0)</f>
        <v>0</v>
      </c>
      <c r="V219" s="14" cm="1">
        <f t="array" ref="V219">INT(SUMPRODUCT(--ISNUMBER(SEARCH(abortion,C219)))&gt;0)</f>
        <v>0</v>
      </c>
      <c r="W219" s="14" cm="1">
        <f t="array" ref="W219">INT(SUMPRODUCT(--ISNUMBER(SEARCH(trump,C219)))&gt;0)</f>
        <v>0</v>
      </c>
      <c r="X219" s="14" cm="1">
        <f t="array" ref="X219">INT(SUMPRODUCT(--ISNUMBER(SEARCH(voting,C219)))&gt;0)</f>
        <v>0</v>
      </c>
      <c r="Y219" s="14" cm="1">
        <f t="array" ref="Y219">INT(SUMPRODUCT(--ISNUMBER(SEARCH(democrattrigger,C219)))&gt;0)</f>
        <v>0</v>
      </c>
      <c r="Z219" s="14" cm="1">
        <f t="array" ref="Z219">INT(SUMPRODUCT(--ISNUMBER(SEARCH(bipartisan,C219)))&gt;0)</f>
        <v>0</v>
      </c>
      <c r="AA219" s="14">
        <f t="shared" si="3"/>
        <v>1</v>
      </c>
      <c r="AB219" s="14"/>
      <c r="AC219" s="30" t="s">
        <v>223</v>
      </c>
      <c r="AD219" s="37" t="s">
        <v>223</v>
      </c>
    </row>
    <row r="220" spans="1:30" x14ac:dyDescent="0.25">
      <c r="A220" s="36">
        <v>2373</v>
      </c>
      <c r="B220" s="14" t="s">
        <v>4771</v>
      </c>
      <c r="C220" s="14" t="s">
        <v>4772</v>
      </c>
      <c r="D220" s="17">
        <v>44122</v>
      </c>
      <c r="E220" s="14" t="s">
        <v>70</v>
      </c>
      <c r="F220" s="14">
        <v>17</v>
      </c>
      <c r="G220" s="14">
        <v>7</v>
      </c>
      <c r="H220" s="14">
        <v>11</v>
      </c>
      <c r="I220" s="14">
        <v>6</v>
      </c>
      <c r="J220" s="14" t="s">
        <v>204</v>
      </c>
      <c r="K220" s="14" cm="1">
        <f t="array" ref="K220">INT(SUMPRODUCT(--ISNUMBER(SEARCH(economy,C220)))&gt;0)</f>
        <v>0</v>
      </c>
      <c r="L220" s="14" cm="1">
        <f t="array" ref="L220">INT(SUMPRODUCT(--ISNUMBER(SEARCH(healthcare,C220)))&gt;0)</f>
        <v>0</v>
      </c>
      <c r="M220" s="14" cm="1">
        <f t="array" ref="M220">INT(SUMPRODUCT(--ISNUMBER(SEARCH(supreme,C220)))&gt;0)</f>
        <v>0</v>
      </c>
      <c r="N220" s="14" cm="1">
        <f t="array" ref="N220">INT(SUMPRODUCT(--ISNUMBER(SEARCH(covid,C220)))&gt;0)</f>
        <v>1</v>
      </c>
      <c r="O220" s="14" cm="1">
        <f t="array" ref="O220">INT(SUMPRODUCT(--ISNUMBER(SEARCH(violent,C220)))&gt;0)</f>
        <v>0</v>
      </c>
      <c r="P220" s="14" cm="1">
        <f t="array" ref="P220">INT(SUMPRODUCT(--ISNUMBER(SEARCH(foreign,C220)))&gt;0)</f>
        <v>0</v>
      </c>
      <c r="Q220" s="14" cm="1">
        <f t="array" ref="Q220">INT(SUMPRODUCT(--ISNUMBER(SEARCH(gun,C220)))&gt;0)</f>
        <v>0</v>
      </c>
      <c r="R220" s="14" cm="1">
        <f t="array" ref="R220">INT(SUMPRODUCT(--ISNUMBER(SEARCH(race,C220)))&gt;0)</f>
        <v>0</v>
      </c>
      <c r="S220" s="14" cm="1">
        <f t="array" ref="S220">INT(SUMPRODUCT(--ISNUMBER(SEARCH(immigration,C220)))&gt;0)</f>
        <v>0</v>
      </c>
      <c r="T220" s="14" cm="1">
        <f t="array" ref="T220">INT(SUMPRODUCT(--ISNUMBER(SEARCH(econineq,C221)))&gt;0)</f>
        <v>0</v>
      </c>
      <c r="U220" s="14" cm="1">
        <f t="array" ref="U220">INT(SUMPRODUCT(--ISNUMBER(SEARCH(climate,C220)))&gt;0)</f>
        <v>0</v>
      </c>
      <c r="V220" s="14" cm="1">
        <f t="array" ref="V220">INT(SUMPRODUCT(--ISNUMBER(SEARCH(abortion,C220)))&gt;0)</f>
        <v>0</v>
      </c>
      <c r="W220" s="14" cm="1">
        <f t="array" ref="W220">INT(SUMPRODUCT(--ISNUMBER(SEARCH(trump,C220)))&gt;0)</f>
        <v>0</v>
      </c>
      <c r="X220" s="14" cm="1">
        <f t="array" ref="X220">INT(SUMPRODUCT(--ISNUMBER(SEARCH(voting,C220)))&gt;0)</f>
        <v>0</v>
      </c>
      <c r="Y220" s="14" cm="1">
        <f t="array" ref="Y220">INT(SUMPRODUCT(--ISNUMBER(SEARCH(democrattrigger,C220)))&gt;0)</f>
        <v>0</v>
      </c>
      <c r="Z220" s="14" cm="1">
        <f t="array" ref="Z220">INT(SUMPRODUCT(--ISNUMBER(SEARCH(bipartisan,C220)))&gt;0)</f>
        <v>0</v>
      </c>
      <c r="AA220" s="14">
        <f t="shared" si="3"/>
        <v>0</v>
      </c>
      <c r="AB220" s="14"/>
      <c r="AC220" s="30" t="s">
        <v>223</v>
      </c>
      <c r="AD220" s="37" t="s">
        <v>223</v>
      </c>
    </row>
    <row r="221" spans="1:30" x14ac:dyDescent="0.25">
      <c r="A221" s="36">
        <v>2374</v>
      </c>
      <c r="B221" s="14" t="s">
        <v>4773</v>
      </c>
      <c r="C221" s="14" t="s">
        <v>4774</v>
      </c>
      <c r="D221" s="17">
        <v>44122</v>
      </c>
      <c r="E221" s="14" t="s">
        <v>30</v>
      </c>
      <c r="F221" s="14">
        <v>179</v>
      </c>
      <c r="G221" s="14">
        <v>37</v>
      </c>
      <c r="H221" s="14">
        <v>11</v>
      </c>
      <c r="I221" s="14">
        <v>6</v>
      </c>
      <c r="J221" s="14" t="s">
        <v>204</v>
      </c>
      <c r="K221" s="14" cm="1">
        <f t="array" ref="K221">INT(SUMPRODUCT(--ISNUMBER(SEARCH(economy,C221)))&gt;0)</f>
        <v>0</v>
      </c>
      <c r="L221" s="14" cm="1">
        <f t="array" ref="L221">INT(SUMPRODUCT(--ISNUMBER(SEARCH(healthcare,C221)))&gt;0)</f>
        <v>0</v>
      </c>
      <c r="M221" s="14" cm="1">
        <f t="array" ref="M221">INT(SUMPRODUCT(--ISNUMBER(SEARCH(supreme,C221)))&gt;0)</f>
        <v>0</v>
      </c>
      <c r="N221" s="14" cm="1">
        <f t="array" ref="N221">INT(SUMPRODUCT(--ISNUMBER(SEARCH(covid,C221)))&gt;0)</f>
        <v>0</v>
      </c>
      <c r="O221" s="14" cm="1">
        <f t="array" ref="O221">INT(SUMPRODUCT(--ISNUMBER(SEARCH(violent,C221)))&gt;0)</f>
        <v>0</v>
      </c>
      <c r="P221" s="14" cm="1">
        <f t="array" ref="P221">INT(SUMPRODUCT(--ISNUMBER(SEARCH(foreign,C221)))&gt;0)</f>
        <v>0</v>
      </c>
      <c r="Q221" s="14" cm="1">
        <f t="array" ref="Q221">INT(SUMPRODUCT(--ISNUMBER(SEARCH(gun,C221)))&gt;0)</f>
        <v>0</v>
      </c>
      <c r="R221" s="14" cm="1">
        <f t="array" ref="R221">INT(SUMPRODUCT(--ISNUMBER(SEARCH(race,C221)))&gt;0)</f>
        <v>0</v>
      </c>
      <c r="S221" s="14" cm="1">
        <f t="array" ref="S221">INT(SUMPRODUCT(--ISNUMBER(SEARCH(immigration,C221)))&gt;0)</f>
        <v>0</v>
      </c>
      <c r="T221" s="14" cm="1">
        <f t="array" ref="T221">INT(SUMPRODUCT(--ISNUMBER(SEARCH(econineq,C222)))&gt;0)</f>
        <v>0</v>
      </c>
      <c r="U221" s="14" cm="1">
        <f t="array" ref="U221">INT(SUMPRODUCT(--ISNUMBER(SEARCH(climate,C221)))&gt;0)</f>
        <v>1</v>
      </c>
      <c r="V221" s="14" cm="1">
        <f t="array" ref="V221">INT(SUMPRODUCT(--ISNUMBER(SEARCH(abortion,C221)))&gt;0)</f>
        <v>0</v>
      </c>
      <c r="W221" s="14" cm="1">
        <f t="array" ref="W221">INT(SUMPRODUCT(--ISNUMBER(SEARCH(trump,C221)))&gt;0)</f>
        <v>1</v>
      </c>
      <c r="X221" s="14" cm="1">
        <f t="array" ref="X221">INT(SUMPRODUCT(--ISNUMBER(SEARCH(voting,C221)))&gt;0)</f>
        <v>0</v>
      </c>
      <c r="Y221" s="14" cm="1">
        <f t="array" ref="Y221">INT(SUMPRODUCT(--ISNUMBER(SEARCH(democrattrigger,C221)))&gt;0)</f>
        <v>1</v>
      </c>
      <c r="Z221" s="14" cm="1">
        <f t="array" ref="Z221">INT(SUMPRODUCT(--ISNUMBER(SEARCH(bipartisan,C221)))&gt;0)</f>
        <v>0</v>
      </c>
      <c r="AA221" s="14">
        <f t="shared" si="3"/>
        <v>0</v>
      </c>
      <c r="AB221" s="14"/>
      <c r="AC221" s="30" t="s">
        <v>223</v>
      </c>
      <c r="AD221" s="37" t="s">
        <v>223</v>
      </c>
    </row>
    <row r="222" spans="1:30" x14ac:dyDescent="0.25">
      <c r="A222" s="36">
        <v>2375</v>
      </c>
      <c r="B222" s="14" t="s">
        <v>4775</v>
      </c>
      <c r="C222" s="14" t="s">
        <v>4776</v>
      </c>
      <c r="D222" s="17">
        <v>44121</v>
      </c>
      <c r="E222" s="14" t="s">
        <v>30</v>
      </c>
      <c r="F222" s="14">
        <v>439</v>
      </c>
      <c r="G222" s="14">
        <v>72</v>
      </c>
      <c r="H222" s="14">
        <v>11</v>
      </c>
      <c r="I222" s="14">
        <v>6</v>
      </c>
      <c r="J222" s="14" t="s">
        <v>204</v>
      </c>
      <c r="K222" s="14" cm="1">
        <f t="array" ref="K222">INT(SUMPRODUCT(--ISNUMBER(SEARCH(economy,C222)))&gt;0)</f>
        <v>0</v>
      </c>
      <c r="L222" s="14" cm="1">
        <f t="array" ref="L222">INT(SUMPRODUCT(--ISNUMBER(SEARCH(healthcare,C222)))&gt;0)</f>
        <v>0</v>
      </c>
      <c r="M222" s="14" cm="1">
        <f t="array" ref="M222">INT(SUMPRODUCT(--ISNUMBER(SEARCH(supreme,C222)))&gt;0)</f>
        <v>1</v>
      </c>
      <c r="N222" s="14" cm="1">
        <f t="array" ref="N222">INT(SUMPRODUCT(--ISNUMBER(SEARCH(covid,C222)))&gt;0)</f>
        <v>0</v>
      </c>
      <c r="O222" s="14" cm="1">
        <f t="array" ref="O222">INT(SUMPRODUCT(--ISNUMBER(SEARCH(violent,C222)))&gt;0)</f>
        <v>0</v>
      </c>
      <c r="P222" s="14" cm="1">
        <f t="array" ref="P222">INT(SUMPRODUCT(--ISNUMBER(SEARCH(foreign,C222)))&gt;0)</f>
        <v>0</v>
      </c>
      <c r="Q222" s="14" cm="1">
        <f t="array" ref="Q222">INT(SUMPRODUCT(--ISNUMBER(SEARCH(gun,C222)))&gt;0)</f>
        <v>0</v>
      </c>
      <c r="R222" s="14" cm="1">
        <f t="array" ref="R222">INT(SUMPRODUCT(--ISNUMBER(SEARCH(race,C222)))&gt;0)</f>
        <v>0</v>
      </c>
      <c r="S222" s="14" cm="1">
        <f t="array" ref="S222">INT(SUMPRODUCT(--ISNUMBER(SEARCH(immigration,C222)))&gt;0)</f>
        <v>0</v>
      </c>
      <c r="T222" s="14" cm="1">
        <f t="array" ref="T222">INT(SUMPRODUCT(--ISNUMBER(SEARCH(econineq,C223)))&gt;0)</f>
        <v>0</v>
      </c>
      <c r="U222" s="14" cm="1">
        <f t="array" ref="U222">INT(SUMPRODUCT(--ISNUMBER(SEARCH(climate,C222)))&gt;0)</f>
        <v>1</v>
      </c>
      <c r="V222" s="14" cm="1">
        <f t="array" ref="V222">INT(SUMPRODUCT(--ISNUMBER(SEARCH(abortion,C222)))&gt;0)</f>
        <v>0</v>
      </c>
      <c r="W222" s="14" cm="1">
        <f t="array" ref="W222">INT(SUMPRODUCT(--ISNUMBER(SEARCH(trump,C222)))&gt;0)</f>
        <v>0</v>
      </c>
      <c r="X222" s="14" cm="1">
        <f t="array" ref="X222">INT(SUMPRODUCT(--ISNUMBER(SEARCH(voting,C222)))&gt;0)</f>
        <v>1</v>
      </c>
      <c r="Y222" s="14" cm="1">
        <f t="array" ref="Y222">INT(SUMPRODUCT(--ISNUMBER(SEARCH(democrattrigger,C222)))&gt;0)</f>
        <v>0</v>
      </c>
      <c r="Z222" s="14" cm="1">
        <f t="array" ref="Z222">INT(SUMPRODUCT(--ISNUMBER(SEARCH(bipartisan,C222)))&gt;0)</f>
        <v>0</v>
      </c>
      <c r="AA222" s="14">
        <f t="shared" si="3"/>
        <v>0</v>
      </c>
      <c r="AB222" s="14"/>
      <c r="AC222" s="30">
        <v>1</v>
      </c>
      <c r="AD222" s="37">
        <v>0</v>
      </c>
    </row>
    <row r="223" spans="1:30" x14ac:dyDescent="0.25">
      <c r="A223" s="36">
        <v>2376</v>
      </c>
      <c r="B223" s="14" t="s">
        <v>4777</v>
      </c>
      <c r="C223" s="14" t="s">
        <v>4778</v>
      </c>
      <c r="D223" s="17">
        <v>44121</v>
      </c>
      <c r="E223" s="14" t="s">
        <v>30</v>
      </c>
      <c r="F223" s="14">
        <v>50</v>
      </c>
      <c r="G223" s="14">
        <v>12</v>
      </c>
      <c r="H223" s="14">
        <v>11</v>
      </c>
      <c r="I223" s="14">
        <v>6</v>
      </c>
      <c r="J223" s="14" t="s">
        <v>204</v>
      </c>
      <c r="K223" s="14" cm="1">
        <f t="array" ref="K223">INT(SUMPRODUCT(--ISNUMBER(SEARCH(economy,C223)))&gt;0)</f>
        <v>0</v>
      </c>
      <c r="L223" s="14" cm="1">
        <f t="array" ref="L223">INT(SUMPRODUCT(--ISNUMBER(SEARCH(healthcare,C223)))&gt;0)</f>
        <v>0</v>
      </c>
      <c r="M223" s="14" cm="1">
        <f t="array" ref="M223">INT(SUMPRODUCT(--ISNUMBER(SEARCH(supreme,C223)))&gt;0)</f>
        <v>0</v>
      </c>
      <c r="N223" s="14" cm="1">
        <f t="array" ref="N223">INT(SUMPRODUCT(--ISNUMBER(SEARCH(covid,C223)))&gt;0)</f>
        <v>1</v>
      </c>
      <c r="O223" s="14" cm="1">
        <f t="array" ref="O223">INT(SUMPRODUCT(--ISNUMBER(SEARCH(violent,C223)))&gt;0)</f>
        <v>0</v>
      </c>
      <c r="P223" s="14" cm="1">
        <f t="array" ref="P223">INT(SUMPRODUCT(--ISNUMBER(SEARCH(foreign,C223)))&gt;0)</f>
        <v>0</v>
      </c>
      <c r="Q223" s="14" cm="1">
        <f t="array" ref="Q223">INT(SUMPRODUCT(--ISNUMBER(SEARCH(gun,C223)))&gt;0)</f>
        <v>0</v>
      </c>
      <c r="R223" s="14" cm="1">
        <f t="array" ref="R223">INT(SUMPRODUCT(--ISNUMBER(SEARCH(race,C223)))&gt;0)</f>
        <v>0</v>
      </c>
      <c r="S223" s="14" cm="1">
        <f t="array" ref="S223">INT(SUMPRODUCT(--ISNUMBER(SEARCH(immigration,C223)))&gt;0)</f>
        <v>0</v>
      </c>
      <c r="T223" s="14" cm="1">
        <f t="array" ref="T223">INT(SUMPRODUCT(--ISNUMBER(SEARCH(econineq,C224)))&gt;0)</f>
        <v>1</v>
      </c>
      <c r="U223" s="14" cm="1">
        <f t="array" ref="U223">INT(SUMPRODUCT(--ISNUMBER(SEARCH(climate,C223)))&gt;0)</f>
        <v>0</v>
      </c>
      <c r="V223" s="14" cm="1">
        <f t="array" ref="V223">INT(SUMPRODUCT(--ISNUMBER(SEARCH(abortion,C223)))&gt;0)</f>
        <v>0</v>
      </c>
      <c r="W223" s="14" cm="1">
        <f t="array" ref="W223">INT(SUMPRODUCT(--ISNUMBER(SEARCH(trump,C223)))&gt;0)</f>
        <v>1</v>
      </c>
      <c r="X223" s="14" cm="1">
        <f t="array" ref="X223">INT(SUMPRODUCT(--ISNUMBER(SEARCH(voting,C223)))&gt;0)</f>
        <v>0</v>
      </c>
      <c r="Y223" s="14" cm="1">
        <f t="array" ref="Y223">INT(SUMPRODUCT(--ISNUMBER(SEARCH(democrattrigger,C223)))&gt;0)</f>
        <v>1</v>
      </c>
      <c r="Z223" s="14" cm="1">
        <f t="array" ref="Z223">INT(SUMPRODUCT(--ISNUMBER(SEARCH(bipartisan,C223)))&gt;0)</f>
        <v>0</v>
      </c>
      <c r="AA223" s="14">
        <f t="shared" si="3"/>
        <v>0</v>
      </c>
      <c r="AB223" s="14"/>
      <c r="AC223" s="30" t="s">
        <v>223</v>
      </c>
      <c r="AD223" s="37" t="s">
        <v>223</v>
      </c>
    </row>
    <row r="224" spans="1:30" x14ac:dyDescent="0.25">
      <c r="A224" s="36">
        <v>2377</v>
      </c>
      <c r="B224" s="14" t="s">
        <v>4779</v>
      </c>
      <c r="C224" s="14" t="s">
        <v>4780</v>
      </c>
      <c r="D224" s="17">
        <v>44121</v>
      </c>
      <c r="E224" s="14" t="s">
        <v>30</v>
      </c>
      <c r="F224" s="14">
        <v>98</v>
      </c>
      <c r="G224" s="14">
        <v>23</v>
      </c>
      <c r="H224" s="14">
        <v>11</v>
      </c>
      <c r="I224" s="14">
        <v>6</v>
      </c>
      <c r="J224" s="14" t="s">
        <v>204</v>
      </c>
      <c r="K224" s="14" cm="1">
        <f t="array" ref="K224">INT(SUMPRODUCT(--ISNUMBER(SEARCH(economy,C224)))&gt;0)</f>
        <v>1</v>
      </c>
      <c r="L224" s="14" cm="1">
        <f t="array" ref="L224">INT(SUMPRODUCT(--ISNUMBER(SEARCH(healthcare,C224)))&gt;0)</f>
        <v>0</v>
      </c>
      <c r="M224" s="14" cm="1">
        <f t="array" ref="M224">INT(SUMPRODUCT(--ISNUMBER(SEARCH(supreme,C224)))&gt;0)</f>
        <v>0</v>
      </c>
      <c r="N224" s="14" cm="1">
        <f t="array" ref="N224">INT(SUMPRODUCT(--ISNUMBER(SEARCH(covid,C224)))&gt;0)</f>
        <v>0</v>
      </c>
      <c r="O224" s="14" cm="1">
        <f t="array" ref="O224">INT(SUMPRODUCT(--ISNUMBER(SEARCH(violent,C224)))&gt;0)</f>
        <v>0</v>
      </c>
      <c r="P224" s="14" cm="1">
        <f t="array" ref="P224">INT(SUMPRODUCT(--ISNUMBER(SEARCH(foreign,C224)))&gt;0)</f>
        <v>0</v>
      </c>
      <c r="Q224" s="14" cm="1">
        <f t="array" ref="Q224">INT(SUMPRODUCT(--ISNUMBER(SEARCH(gun,C224)))&gt;0)</f>
        <v>0</v>
      </c>
      <c r="R224" s="14" cm="1">
        <f t="array" ref="R224">INT(SUMPRODUCT(--ISNUMBER(SEARCH(race,C224)))&gt;0)</f>
        <v>0</v>
      </c>
      <c r="S224" s="14" cm="1">
        <f t="array" ref="S224">INT(SUMPRODUCT(--ISNUMBER(SEARCH(immigration,C224)))&gt;0)</f>
        <v>0</v>
      </c>
      <c r="T224" s="14" cm="1">
        <f t="array" ref="T224">INT(SUMPRODUCT(--ISNUMBER(SEARCH(econineq,C225)))&gt;0)</f>
        <v>0</v>
      </c>
      <c r="U224" s="14" cm="1">
        <f t="array" ref="U224">INT(SUMPRODUCT(--ISNUMBER(SEARCH(climate,C224)))&gt;0)</f>
        <v>0</v>
      </c>
      <c r="V224" s="14" cm="1">
        <f t="array" ref="V224">INT(SUMPRODUCT(--ISNUMBER(SEARCH(abortion,C224)))&gt;0)</f>
        <v>0</v>
      </c>
      <c r="W224" s="14" cm="1">
        <f t="array" ref="W224">INT(SUMPRODUCT(--ISNUMBER(SEARCH(trump,C224)))&gt;0)</f>
        <v>0</v>
      </c>
      <c r="X224" s="14" cm="1">
        <f t="array" ref="X224">INT(SUMPRODUCT(--ISNUMBER(SEARCH(voting,C224)))&gt;0)</f>
        <v>1</v>
      </c>
      <c r="Y224" s="14" cm="1">
        <f t="array" ref="Y224">INT(SUMPRODUCT(--ISNUMBER(SEARCH(democrattrigger,C224)))&gt;0)</f>
        <v>0</v>
      </c>
      <c r="Z224" s="14" cm="1">
        <f t="array" ref="Z224">INT(SUMPRODUCT(--ISNUMBER(SEARCH(bipartisan,C224)))&gt;0)</f>
        <v>0</v>
      </c>
      <c r="AA224" s="14">
        <f t="shared" si="3"/>
        <v>0</v>
      </c>
      <c r="AB224" s="14"/>
      <c r="AC224" s="30" t="s">
        <v>223</v>
      </c>
      <c r="AD224" s="37" t="s">
        <v>223</v>
      </c>
    </row>
    <row r="225" spans="1:30" x14ac:dyDescent="0.25">
      <c r="A225" s="36">
        <v>2378</v>
      </c>
      <c r="B225" s="14" t="s">
        <v>4781</v>
      </c>
      <c r="C225" s="14" t="s">
        <v>4782</v>
      </c>
      <c r="D225" s="17">
        <v>44121</v>
      </c>
      <c r="E225" s="14" t="s">
        <v>30</v>
      </c>
      <c r="F225" s="14">
        <v>82</v>
      </c>
      <c r="G225" s="14">
        <v>19</v>
      </c>
      <c r="H225" s="14">
        <v>11</v>
      </c>
      <c r="I225" s="14">
        <v>6</v>
      </c>
      <c r="J225" s="14" t="s">
        <v>204</v>
      </c>
      <c r="K225" s="14" cm="1">
        <f t="array" ref="K225">INT(SUMPRODUCT(--ISNUMBER(SEARCH(economy,C225)))&gt;0)</f>
        <v>0</v>
      </c>
      <c r="L225" s="14" cm="1">
        <f t="array" ref="L225">INT(SUMPRODUCT(--ISNUMBER(SEARCH(healthcare,C225)))&gt;0)</f>
        <v>0</v>
      </c>
      <c r="M225" s="14" cm="1">
        <f t="array" ref="M225">INT(SUMPRODUCT(--ISNUMBER(SEARCH(supreme,C225)))&gt;0)</f>
        <v>0</v>
      </c>
      <c r="N225" s="14" cm="1">
        <f t="array" ref="N225">INT(SUMPRODUCT(--ISNUMBER(SEARCH(covid,C225)))&gt;0)</f>
        <v>0</v>
      </c>
      <c r="O225" s="14" cm="1">
        <f t="array" ref="O225">INT(SUMPRODUCT(--ISNUMBER(SEARCH(violent,C225)))&gt;0)</f>
        <v>0</v>
      </c>
      <c r="P225" s="14" cm="1">
        <f t="array" ref="P225">INT(SUMPRODUCT(--ISNUMBER(SEARCH(foreign,C225)))&gt;0)</f>
        <v>0</v>
      </c>
      <c r="Q225" s="14" cm="1">
        <f t="array" ref="Q225">INT(SUMPRODUCT(--ISNUMBER(SEARCH(gun,C225)))&gt;0)</f>
        <v>0</v>
      </c>
      <c r="R225" s="14" cm="1">
        <f t="array" ref="R225">INT(SUMPRODUCT(--ISNUMBER(SEARCH(race,C225)))&gt;0)</f>
        <v>0</v>
      </c>
      <c r="S225" s="14" cm="1">
        <f t="array" ref="S225">INT(SUMPRODUCT(--ISNUMBER(SEARCH(immigration,C225)))&gt;0)</f>
        <v>0</v>
      </c>
      <c r="T225" s="14" cm="1">
        <f t="array" ref="T225">INT(SUMPRODUCT(--ISNUMBER(SEARCH(econineq,C226)))&gt;0)</f>
        <v>0</v>
      </c>
      <c r="U225" s="14" cm="1">
        <f t="array" ref="U225">INT(SUMPRODUCT(--ISNUMBER(SEARCH(climate,C225)))&gt;0)</f>
        <v>0</v>
      </c>
      <c r="V225" s="14" cm="1">
        <f t="array" ref="V225">INT(SUMPRODUCT(--ISNUMBER(SEARCH(abortion,C225)))&gt;0)</f>
        <v>0</v>
      </c>
      <c r="W225" s="14" cm="1">
        <f t="array" ref="W225">INT(SUMPRODUCT(--ISNUMBER(SEARCH(trump,C225)))&gt;0)</f>
        <v>0</v>
      </c>
      <c r="X225" s="14" cm="1">
        <f t="array" ref="X225">INT(SUMPRODUCT(--ISNUMBER(SEARCH(voting,C225)))&gt;0)</f>
        <v>0</v>
      </c>
      <c r="Y225" s="14" cm="1">
        <f t="array" ref="Y225">INT(SUMPRODUCT(--ISNUMBER(SEARCH(democrattrigger,C225)))&gt;0)</f>
        <v>0</v>
      </c>
      <c r="Z225" s="14" cm="1">
        <f t="array" ref="Z225">INT(SUMPRODUCT(--ISNUMBER(SEARCH(bipartisan,C225)))&gt;0)</f>
        <v>0</v>
      </c>
      <c r="AA225" s="14">
        <f t="shared" si="3"/>
        <v>1</v>
      </c>
      <c r="AB225" s="14"/>
      <c r="AC225" s="30" t="s">
        <v>223</v>
      </c>
      <c r="AD225" s="37" t="s">
        <v>223</v>
      </c>
    </row>
    <row r="226" spans="1:30" x14ac:dyDescent="0.25">
      <c r="A226" s="36">
        <v>2379</v>
      </c>
      <c r="B226" s="14" t="s">
        <v>4783</v>
      </c>
      <c r="C226" s="14" t="s">
        <v>4784</v>
      </c>
      <c r="D226" s="17">
        <v>44121</v>
      </c>
      <c r="E226" s="14" t="s">
        <v>30</v>
      </c>
      <c r="F226" s="14">
        <v>168</v>
      </c>
      <c r="G226" s="14">
        <v>43</v>
      </c>
      <c r="H226" s="14">
        <v>11</v>
      </c>
      <c r="I226" s="14">
        <v>6</v>
      </c>
      <c r="J226" s="14" t="s">
        <v>204</v>
      </c>
      <c r="K226" s="14" cm="1">
        <f t="array" ref="K226">INT(SUMPRODUCT(--ISNUMBER(SEARCH(economy,C226)))&gt;0)</f>
        <v>0</v>
      </c>
      <c r="L226" s="14" cm="1">
        <f t="array" ref="L226">INT(SUMPRODUCT(--ISNUMBER(SEARCH(healthcare,C226)))&gt;0)</f>
        <v>0</v>
      </c>
      <c r="M226" s="14" cm="1">
        <f t="array" ref="M226">INT(SUMPRODUCT(--ISNUMBER(SEARCH(supreme,C226)))&gt;0)</f>
        <v>0</v>
      </c>
      <c r="N226" s="14" cm="1">
        <f t="array" ref="N226">INT(SUMPRODUCT(--ISNUMBER(SEARCH(covid,C226)))&gt;0)</f>
        <v>0</v>
      </c>
      <c r="O226" s="14" cm="1">
        <f t="array" ref="O226">INT(SUMPRODUCT(--ISNUMBER(SEARCH(violent,C226)))&gt;0)</f>
        <v>0</v>
      </c>
      <c r="P226" s="14" cm="1">
        <f t="array" ref="P226">INT(SUMPRODUCT(--ISNUMBER(SEARCH(foreign,C226)))&gt;0)</f>
        <v>0</v>
      </c>
      <c r="Q226" s="14" cm="1">
        <f t="array" ref="Q226">INT(SUMPRODUCT(--ISNUMBER(SEARCH(gun,C226)))&gt;0)</f>
        <v>0</v>
      </c>
      <c r="R226" s="14" cm="1">
        <f t="array" ref="R226">INT(SUMPRODUCT(--ISNUMBER(SEARCH(race,C226)))&gt;0)</f>
        <v>0</v>
      </c>
      <c r="S226" s="14" cm="1">
        <f t="array" ref="S226">INT(SUMPRODUCT(--ISNUMBER(SEARCH(immigration,C226)))&gt;0)</f>
        <v>0</v>
      </c>
      <c r="T226" s="14" cm="1">
        <f t="array" ref="T226">INT(SUMPRODUCT(--ISNUMBER(SEARCH(econineq,C227)))&gt;0)</f>
        <v>1</v>
      </c>
      <c r="U226" s="14" cm="1">
        <f t="array" ref="U226">INT(SUMPRODUCT(--ISNUMBER(SEARCH(climate,C226)))&gt;0)</f>
        <v>0</v>
      </c>
      <c r="V226" s="14" cm="1">
        <f t="array" ref="V226">INT(SUMPRODUCT(--ISNUMBER(SEARCH(abortion,C226)))&gt;0)</f>
        <v>0</v>
      </c>
      <c r="W226" s="14" cm="1">
        <f t="array" ref="W226">INT(SUMPRODUCT(--ISNUMBER(SEARCH(trump,C226)))&gt;0)</f>
        <v>0</v>
      </c>
      <c r="X226" s="14" cm="1">
        <f t="array" ref="X226">INT(SUMPRODUCT(--ISNUMBER(SEARCH(voting,C226)))&gt;0)</f>
        <v>0</v>
      </c>
      <c r="Y226" s="14" cm="1">
        <f t="array" ref="Y226">INT(SUMPRODUCT(--ISNUMBER(SEARCH(democrattrigger,C226)))&gt;0)</f>
        <v>0</v>
      </c>
      <c r="Z226" s="14" cm="1">
        <f t="array" ref="Z226">INT(SUMPRODUCT(--ISNUMBER(SEARCH(bipartisan,C226)))&gt;0)</f>
        <v>0</v>
      </c>
      <c r="AA226" s="14">
        <f t="shared" si="3"/>
        <v>0</v>
      </c>
      <c r="AB226" s="14"/>
      <c r="AC226" s="30" t="s">
        <v>223</v>
      </c>
      <c r="AD226" s="37" t="s">
        <v>223</v>
      </c>
    </row>
    <row r="227" spans="1:30" x14ac:dyDescent="0.25">
      <c r="A227" s="36">
        <v>2380</v>
      </c>
      <c r="B227" s="14" t="s">
        <v>4785</v>
      </c>
      <c r="C227" s="14" t="s">
        <v>4786</v>
      </c>
      <c r="D227" s="17">
        <v>44121</v>
      </c>
      <c r="E227" s="14" t="s">
        <v>30</v>
      </c>
      <c r="F227" s="14">
        <v>127</v>
      </c>
      <c r="G227" s="14">
        <v>22</v>
      </c>
      <c r="H227" s="14">
        <v>11</v>
      </c>
      <c r="I227" s="14">
        <v>6</v>
      </c>
      <c r="J227" s="14" t="s">
        <v>204</v>
      </c>
      <c r="K227" s="14" cm="1">
        <f t="array" ref="K227">INT(SUMPRODUCT(--ISNUMBER(SEARCH(economy,C227)))&gt;0)</f>
        <v>1</v>
      </c>
      <c r="L227" s="14" cm="1">
        <f t="array" ref="L227">INT(SUMPRODUCT(--ISNUMBER(SEARCH(healthcare,C227)))&gt;0)</f>
        <v>1</v>
      </c>
      <c r="M227" s="14" cm="1">
        <f t="array" ref="M227">INT(SUMPRODUCT(--ISNUMBER(SEARCH(supreme,C227)))&gt;0)</f>
        <v>0</v>
      </c>
      <c r="N227" s="14" cm="1">
        <f t="array" ref="N227">INT(SUMPRODUCT(--ISNUMBER(SEARCH(covid,C227)))&gt;0)</f>
        <v>0</v>
      </c>
      <c r="O227" s="14" cm="1">
        <f t="array" ref="O227">INT(SUMPRODUCT(--ISNUMBER(SEARCH(violent,C227)))&gt;0)</f>
        <v>0</v>
      </c>
      <c r="P227" s="14" cm="1">
        <f t="array" ref="P227">INT(SUMPRODUCT(--ISNUMBER(SEARCH(foreign,C227)))&gt;0)</f>
        <v>0</v>
      </c>
      <c r="Q227" s="14" cm="1">
        <f t="array" ref="Q227">INT(SUMPRODUCT(--ISNUMBER(SEARCH(gun,C227)))&gt;0)</f>
        <v>0</v>
      </c>
      <c r="R227" s="14" cm="1">
        <f t="array" ref="R227">INT(SUMPRODUCT(--ISNUMBER(SEARCH(race,C227)))&gt;0)</f>
        <v>0</v>
      </c>
      <c r="S227" s="14" cm="1">
        <f t="array" ref="S227">INT(SUMPRODUCT(--ISNUMBER(SEARCH(immigration,C227)))&gt;0)</f>
        <v>0</v>
      </c>
      <c r="T227" s="14" cm="1">
        <f t="array" ref="T227">INT(SUMPRODUCT(--ISNUMBER(SEARCH(econineq,C228)))&gt;0)</f>
        <v>0</v>
      </c>
      <c r="U227" s="14" cm="1">
        <f t="array" ref="U227">INT(SUMPRODUCT(--ISNUMBER(SEARCH(climate,C227)))&gt;0)</f>
        <v>0</v>
      </c>
      <c r="V227" s="14" cm="1">
        <f t="array" ref="V227">INT(SUMPRODUCT(--ISNUMBER(SEARCH(abortion,C227)))&gt;0)</f>
        <v>0</v>
      </c>
      <c r="W227" s="14" cm="1">
        <f t="array" ref="W227">INT(SUMPRODUCT(--ISNUMBER(SEARCH(trump,C227)))&gt;0)</f>
        <v>0</v>
      </c>
      <c r="X227" s="14" cm="1">
        <f t="array" ref="X227">INT(SUMPRODUCT(--ISNUMBER(SEARCH(voting,C227)))&gt;0)</f>
        <v>0</v>
      </c>
      <c r="Y227" s="14" cm="1">
        <f t="array" ref="Y227">INT(SUMPRODUCT(--ISNUMBER(SEARCH(democrattrigger,C227)))&gt;0)</f>
        <v>0</v>
      </c>
      <c r="Z227" s="14" cm="1">
        <f t="array" ref="Z227">INT(SUMPRODUCT(--ISNUMBER(SEARCH(bipartisan,C227)))&gt;0)</f>
        <v>0</v>
      </c>
      <c r="AA227" s="14">
        <f t="shared" si="3"/>
        <v>0</v>
      </c>
      <c r="AB227" s="14"/>
      <c r="AC227" s="30">
        <v>1</v>
      </c>
      <c r="AD227" s="37">
        <v>0</v>
      </c>
    </row>
    <row r="228" spans="1:30" x14ac:dyDescent="0.25">
      <c r="A228" s="36">
        <v>2381</v>
      </c>
      <c r="B228" s="14" t="s">
        <v>4787</v>
      </c>
      <c r="C228" s="14" t="s">
        <v>4788</v>
      </c>
      <c r="D228" s="17">
        <v>44121</v>
      </c>
      <c r="E228" s="14" t="s">
        <v>30</v>
      </c>
      <c r="F228" s="14">
        <v>340</v>
      </c>
      <c r="G228" s="14">
        <v>83</v>
      </c>
      <c r="H228" s="14">
        <v>11</v>
      </c>
      <c r="I228" s="14">
        <v>6</v>
      </c>
      <c r="J228" s="14" t="s">
        <v>204</v>
      </c>
      <c r="K228" s="14" cm="1">
        <f t="array" ref="K228">INT(SUMPRODUCT(--ISNUMBER(SEARCH(economy,C228)))&gt;0)</f>
        <v>0</v>
      </c>
      <c r="L228" s="14" cm="1">
        <f t="array" ref="L228">INT(SUMPRODUCT(--ISNUMBER(SEARCH(healthcare,C228)))&gt;0)</f>
        <v>0</v>
      </c>
      <c r="M228" s="14" cm="1">
        <f t="array" ref="M228">INT(SUMPRODUCT(--ISNUMBER(SEARCH(supreme,C228)))&gt;0)</f>
        <v>0</v>
      </c>
      <c r="N228" s="14" cm="1">
        <f t="array" ref="N228">INT(SUMPRODUCT(--ISNUMBER(SEARCH(covid,C228)))&gt;0)</f>
        <v>0</v>
      </c>
      <c r="O228" s="14" cm="1">
        <f t="array" ref="O228">INT(SUMPRODUCT(--ISNUMBER(SEARCH(violent,C228)))&gt;0)</f>
        <v>0</v>
      </c>
      <c r="P228" s="14" cm="1">
        <f t="array" ref="P228">INT(SUMPRODUCT(--ISNUMBER(SEARCH(foreign,C228)))&gt;0)</f>
        <v>0</v>
      </c>
      <c r="Q228" s="14" cm="1">
        <f t="array" ref="Q228">INT(SUMPRODUCT(--ISNUMBER(SEARCH(gun,C228)))&gt;0)</f>
        <v>0</v>
      </c>
      <c r="R228" s="14" cm="1">
        <f t="array" ref="R228">INT(SUMPRODUCT(--ISNUMBER(SEARCH(race,C228)))&gt;0)</f>
        <v>0</v>
      </c>
      <c r="S228" s="14" cm="1">
        <f t="array" ref="S228">INT(SUMPRODUCT(--ISNUMBER(SEARCH(immigration,C228)))&gt;0)</f>
        <v>0</v>
      </c>
      <c r="T228" s="14" cm="1">
        <f t="array" ref="T228">INT(SUMPRODUCT(--ISNUMBER(SEARCH(econineq,C229)))&gt;0)</f>
        <v>0</v>
      </c>
      <c r="U228" s="14" cm="1">
        <f t="array" ref="U228">INT(SUMPRODUCT(--ISNUMBER(SEARCH(climate,C228)))&gt;0)</f>
        <v>0</v>
      </c>
      <c r="V228" s="14" cm="1">
        <f t="array" ref="V228">INT(SUMPRODUCT(--ISNUMBER(SEARCH(abortion,C228)))&gt;0)</f>
        <v>0</v>
      </c>
      <c r="W228" s="14" cm="1">
        <f t="array" ref="W228">INT(SUMPRODUCT(--ISNUMBER(SEARCH(trump,C228)))&gt;0)</f>
        <v>1</v>
      </c>
      <c r="X228" s="14" cm="1">
        <f t="array" ref="X228">INT(SUMPRODUCT(--ISNUMBER(SEARCH(voting,C228)))&gt;0)</f>
        <v>0</v>
      </c>
      <c r="Y228" s="14" cm="1">
        <f t="array" ref="Y228">INT(SUMPRODUCT(--ISNUMBER(SEARCH(democrattrigger,C228)))&gt;0)</f>
        <v>1</v>
      </c>
      <c r="Z228" s="14" cm="1">
        <f t="array" ref="Z228">INT(SUMPRODUCT(--ISNUMBER(SEARCH(bipartisan,C228)))&gt;0)</f>
        <v>0</v>
      </c>
      <c r="AA228" s="14">
        <f t="shared" si="3"/>
        <v>0</v>
      </c>
      <c r="AB228" s="14"/>
      <c r="AC228" s="30">
        <v>0</v>
      </c>
      <c r="AD228" s="37">
        <v>1</v>
      </c>
    </row>
    <row r="229" spans="1:30" x14ac:dyDescent="0.25">
      <c r="A229" s="36">
        <v>2382</v>
      </c>
      <c r="B229" s="14" t="s">
        <v>4789</v>
      </c>
      <c r="C229" s="14" t="s">
        <v>4790</v>
      </c>
      <c r="D229" s="17">
        <v>44121</v>
      </c>
      <c r="E229" s="14" t="s">
        <v>30</v>
      </c>
      <c r="F229" s="14">
        <v>203</v>
      </c>
      <c r="G229" s="14">
        <v>49</v>
      </c>
      <c r="H229" s="14">
        <v>11</v>
      </c>
      <c r="I229" s="14">
        <v>6</v>
      </c>
      <c r="J229" s="14" t="s">
        <v>204</v>
      </c>
      <c r="K229" s="14" cm="1">
        <f t="array" ref="K229">INT(SUMPRODUCT(--ISNUMBER(SEARCH(economy,C229)))&gt;0)</f>
        <v>1</v>
      </c>
      <c r="L229" s="14" cm="1">
        <f t="array" ref="L229">INT(SUMPRODUCT(--ISNUMBER(SEARCH(healthcare,C229)))&gt;0)</f>
        <v>0</v>
      </c>
      <c r="M229" s="14" cm="1">
        <f t="array" ref="M229">INT(SUMPRODUCT(--ISNUMBER(SEARCH(supreme,C229)))&gt;0)</f>
        <v>0</v>
      </c>
      <c r="N229" s="14" cm="1">
        <f t="array" ref="N229">INT(SUMPRODUCT(--ISNUMBER(SEARCH(covid,C229)))&gt;0)</f>
        <v>1</v>
      </c>
      <c r="O229" s="14" cm="1">
        <f t="array" ref="O229">INT(SUMPRODUCT(--ISNUMBER(SEARCH(violent,C229)))&gt;0)</f>
        <v>0</v>
      </c>
      <c r="P229" s="14" cm="1">
        <f t="array" ref="P229">INT(SUMPRODUCT(--ISNUMBER(SEARCH(foreign,C229)))&gt;0)</f>
        <v>0</v>
      </c>
      <c r="Q229" s="14" cm="1">
        <f t="array" ref="Q229">INT(SUMPRODUCT(--ISNUMBER(SEARCH(gun,C229)))&gt;0)</f>
        <v>0</v>
      </c>
      <c r="R229" s="14" cm="1">
        <f t="array" ref="R229">INT(SUMPRODUCT(--ISNUMBER(SEARCH(race,C229)))&gt;0)</f>
        <v>0</v>
      </c>
      <c r="S229" s="14" cm="1">
        <f t="array" ref="S229">INT(SUMPRODUCT(--ISNUMBER(SEARCH(immigration,C229)))&gt;0)</f>
        <v>0</v>
      </c>
      <c r="T229" s="14" cm="1">
        <f t="array" ref="T229">INT(SUMPRODUCT(--ISNUMBER(SEARCH(econineq,C230)))&gt;0)</f>
        <v>0</v>
      </c>
      <c r="U229" s="14" cm="1">
        <f t="array" ref="U229">INT(SUMPRODUCT(--ISNUMBER(SEARCH(climate,C229)))&gt;0)</f>
        <v>0</v>
      </c>
      <c r="V229" s="14" cm="1">
        <f t="array" ref="V229">INT(SUMPRODUCT(--ISNUMBER(SEARCH(abortion,C229)))&gt;0)</f>
        <v>0</v>
      </c>
      <c r="W229" s="14" cm="1">
        <f t="array" ref="W229">INT(SUMPRODUCT(--ISNUMBER(SEARCH(trump,C229)))&gt;0)</f>
        <v>0</v>
      </c>
      <c r="X229" s="14" cm="1">
        <f t="array" ref="X229">INT(SUMPRODUCT(--ISNUMBER(SEARCH(voting,C229)))&gt;0)</f>
        <v>0</v>
      </c>
      <c r="Y229" s="14" cm="1">
        <f t="array" ref="Y229">INT(SUMPRODUCT(--ISNUMBER(SEARCH(democrattrigger,C229)))&gt;0)</f>
        <v>0</v>
      </c>
      <c r="Z229" s="14" cm="1">
        <f t="array" ref="Z229">INT(SUMPRODUCT(--ISNUMBER(SEARCH(bipartisan,C229)))&gt;0)</f>
        <v>0</v>
      </c>
      <c r="AA229" s="14">
        <f t="shared" si="3"/>
        <v>0</v>
      </c>
      <c r="AB229" s="14"/>
      <c r="AC229" s="30" t="s">
        <v>223</v>
      </c>
      <c r="AD229" s="37" t="s">
        <v>223</v>
      </c>
    </row>
    <row r="230" spans="1:30" x14ac:dyDescent="0.25">
      <c r="A230" s="36">
        <v>2383</v>
      </c>
      <c r="B230" s="14" t="s">
        <v>4791</v>
      </c>
      <c r="C230" s="14" t="s">
        <v>4792</v>
      </c>
      <c r="D230" s="17">
        <v>44121</v>
      </c>
      <c r="E230" s="14" t="s">
        <v>30</v>
      </c>
      <c r="F230" s="14">
        <v>50</v>
      </c>
      <c r="G230" s="14">
        <v>12</v>
      </c>
      <c r="H230" s="14">
        <v>11</v>
      </c>
      <c r="I230" s="14">
        <v>6</v>
      </c>
      <c r="J230" s="14" t="s">
        <v>204</v>
      </c>
      <c r="K230" s="14" cm="1">
        <f t="array" ref="K230">INT(SUMPRODUCT(--ISNUMBER(SEARCH(economy,C230)))&gt;0)</f>
        <v>0</v>
      </c>
      <c r="L230" s="14" cm="1">
        <f t="array" ref="L230">INT(SUMPRODUCT(--ISNUMBER(SEARCH(healthcare,C230)))&gt;0)</f>
        <v>0</v>
      </c>
      <c r="M230" s="14" cm="1">
        <f t="array" ref="M230">INT(SUMPRODUCT(--ISNUMBER(SEARCH(supreme,C230)))&gt;0)</f>
        <v>0</v>
      </c>
      <c r="N230" s="14" cm="1">
        <f t="array" ref="N230">INT(SUMPRODUCT(--ISNUMBER(SEARCH(covid,C230)))&gt;0)</f>
        <v>0</v>
      </c>
      <c r="O230" s="14" cm="1">
        <f t="array" ref="O230">INT(SUMPRODUCT(--ISNUMBER(SEARCH(violent,C230)))&gt;0)</f>
        <v>0</v>
      </c>
      <c r="P230" s="14" cm="1">
        <f t="array" ref="P230">INT(SUMPRODUCT(--ISNUMBER(SEARCH(foreign,C230)))&gt;0)</f>
        <v>0</v>
      </c>
      <c r="Q230" s="14" cm="1">
        <f t="array" ref="Q230">INT(SUMPRODUCT(--ISNUMBER(SEARCH(gun,C230)))&gt;0)</f>
        <v>0</v>
      </c>
      <c r="R230" s="14" cm="1">
        <f t="array" ref="R230">INT(SUMPRODUCT(--ISNUMBER(SEARCH(race,C230)))&gt;0)</f>
        <v>0</v>
      </c>
      <c r="S230" s="14" cm="1">
        <f t="array" ref="S230">INT(SUMPRODUCT(--ISNUMBER(SEARCH(immigration,C230)))&gt;0)</f>
        <v>0</v>
      </c>
      <c r="T230" s="14" cm="1">
        <f t="array" ref="T230">INT(SUMPRODUCT(--ISNUMBER(SEARCH(econineq,C231)))&gt;0)</f>
        <v>0</v>
      </c>
      <c r="U230" s="14" cm="1">
        <f t="array" ref="U230">INT(SUMPRODUCT(--ISNUMBER(SEARCH(climate,C230)))&gt;0)</f>
        <v>0</v>
      </c>
      <c r="V230" s="14" cm="1">
        <f t="array" ref="V230">INT(SUMPRODUCT(--ISNUMBER(SEARCH(abortion,C230)))&gt;0)</f>
        <v>0</v>
      </c>
      <c r="W230" s="14" cm="1">
        <f t="array" ref="W230">INT(SUMPRODUCT(--ISNUMBER(SEARCH(trump,C230)))&gt;0)</f>
        <v>0</v>
      </c>
      <c r="X230" s="14" cm="1">
        <f t="array" ref="X230">INT(SUMPRODUCT(--ISNUMBER(SEARCH(voting,C230)))&gt;0)</f>
        <v>0</v>
      </c>
      <c r="Y230" s="14" cm="1">
        <f t="array" ref="Y230">INT(SUMPRODUCT(--ISNUMBER(SEARCH(democrattrigger,C230)))&gt;0)</f>
        <v>0</v>
      </c>
      <c r="Z230" s="14" cm="1">
        <f t="array" ref="Z230">INT(SUMPRODUCT(--ISNUMBER(SEARCH(bipartisan,C230)))&gt;0)</f>
        <v>0</v>
      </c>
      <c r="AA230" s="14">
        <f t="shared" si="3"/>
        <v>1</v>
      </c>
      <c r="AB230" s="14"/>
      <c r="AC230" s="30" t="s">
        <v>223</v>
      </c>
      <c r="AD230" s="37" t="s">
        <v>223</v>
      </c>
    </row>
    <row r="231" spans="1:30" x14ac:dyDescent="0.25">
      <c r="A231" s="36">
        <v>2384</v>
      </c>
      <c r="B231" s="14" t="s">
        <v>4793</v>
      </c>
      <c r="C231" s="14" t="s">
        <v>4794</v>
      </c>
      <c r="D231" s="17">
        <v>44120</v>
      </c>
      <c r="E231" s="14" t="s">
        <v>30</v>
      </c>
      <c r="F231" s="14">
        <v>18</v>
      </c>
      <c r="G231" s="14">
        <v>6</v>
      </c>
      <c r="H231" s="14">
        <v>11</v>
      </c>
      <c r="I231" s="14">
        <v>6</v>
      </c>
      <c r="J231" s="14" t="s">
        <v>204</v>
      </c>
      <c r="K231" s="14" cm="1">
        <f t="array" ref="K231">INT(SUMPRODUCT(--ISNUMBER(SEARCH(economy,C231)))&gt;0)</f>
        <v>0</v>
      </c>
      <c r="L231" s="14" cm="1">
        <f t="array" ref="L231">INT(SUMPRODUCT(--ISNUMBER(SEARCH(healthcare,C231)))&gt;0)</f>
        <v>0</v>
      </c>
      <c r="M231" s="14" cm="1">
        <f t="array" ref="M231">INT(SUMPRODUCT(--ISNUMBER(SEARCH(supreme,C231)))&gt;0)</f>
        <v>0</v>
      </c>
      <c r="N231" s="14" cm="1">
        <f t="array" ref="N231">INT(SUMPRODUCT(--ISNUMBER(SEARCH(covid,C231)))&gt;0)</f>
        <v>0</v>
      </c>
      <c r="O231" s="14" cm="1">
        <f t="array" ref="O231">INT(SUMPRODUCT(--ISNUMBER(SEARCH(violent,C231)))&gt;0)</f>
        <v>0</v>
      </c>
      <c r="P231" s="14" cm="1">
        <f t="array" ref="P231">INT(SUMPRODUCT(--ISNUMBER(SEARCH(foreign,C231)))&gt;0)</f>
        <v>0</v>
      </c>
      <c r="Q231" s="14" cm="1">
        <f t="array" ref="Q231">INT(SUMPRODUCT(--ISNUMBER(SEARCH(gun,C231)))&gt;0)</f>
        <v>0</v>
      </c>
      <c r="R231" s="14" cm="1">
        <f t="array" ref="R231">INT(SUMPRODUCT(--ISNUMBER(SEARCH(race,C231)))&gt;0)</f>
        <v>0</v>
      </c>
      <c r="S231" s="14" cm="1">
        <f t="array" ref="S231">INT(SUMPRODUCT(--ISNUMBER(SEARCH(immigration,C231)))&gt;0)</f>
        <v>0</v>
      </c>
      <c r="T231" s="14" cm="1">
        <f t="array" ref="T231">INT(SUMPRODUCT(--ISNUMBER(SEARCH(econineq,C232)))&gt;0)</f>
        <v>0</v>
      </c>
      <c r="U231" s="14" cm="1">
        <f t="array" ref="U231">INT(SUMPRODUCT(--ISNUMBER(SEARCH(climate,C231)))&gt;0)</f>
        <v>0</v>
      </c>
      <c r="V231" s="14" cm="1">
        <f t="array" ref="V231">INT(SUMPRODUCT(--ISNUMBER(SEARCH(abortion,C231)))&gt;0)</f>
        <v>0</v>
      </c>
      <c r="W231" s="14" cm="1">
        <f t="array" ref="W231">INT(SUMPRODUCT(--ISNUMBER(SEARCH(trump,C231)))&gt;0)</f>
        <v>0</v>
      </c>
      <c r="X231" s="14" cm="1">
        <f t="array" ref="X231">INT(SUMPRODUCT(--ISNUMBER(SEARCH(voting,C231)))&gt;0)</f>
        <v>0</v>
      </c>
      <c r="Y231" s="14" cm="1">
        <f t="array" ref="Y231">INT(SUMPRODUCT(--ISNUMBER(SEARCH(democrattrigger,C231)))&gt;0)</f>
        <v>0</v>
      </c>
      <c r="Z231" s="14" cm="1">
        <f t="array" ref="Z231">INT(SUMPRODUCT(--ISNUMBER(SEARCH(bipartisan,C231)))&gt;0)</f>
        <v>0</v>
      </c>
      <c r="AA231" s="14">
        <f t="shared" si="3"/>
        <v>1</v>
      </c>
      <c r="AB231" s="14"/>
      <c r="AC231" s="30" t="s">
        <v>223</v>
      </c>
      <c r="AD231" s="37" t="s">
        <v>223</v>
      </c>
    </row>
    <row r="232" spans="1:30" x14ac:dyDescent="0.25">
      <c r="A232" s="36">
        <v>2385</v>
      </c>
      <c r="B232" s="14" t="s">
        <v>4795</v>
      </c>
      <c r="C232" s="14" t="s">
        <v>4796</v>
      </c>
      <c r="D232" s="17">
        <v>44120</v>
      </c>
      <c r="E232" s="14" t="s">
        <v>30</v>
      </c>
      <c r="F232" s="14">
        <v>105</v>
      </c>
      <c r="G232" s="14">
        <v>20</v>
      </c>
      <c r="H232" s="14">
        <v>11</v>
      </c>
      <c r="I232" s="14">
        <v>6</v>
      </c>
      <c r="J232" s="14" t="s">
        <v>204</v>
      </c>
      <c r="K232" s="14" cm="1">
        <f t="array" ref="K232">INT(SUMPRODUCT(--ISNUMBER(SEARCH(economy,C232)))&gt;0)</f>
        <v>0</v>
      </c>
      <c r="L232" s="14" cm="1">
        <f t="array" ref="L232">INT(SUMPRODUCT(--ISNUMBER(SEARCH(healthcare,C232)))&gt;0)</f>
        <v>0</v>
      </c>
      <c r="M232" s="14" cm="1">
        <f t="array" ref="M232">INT(SUMPRODUCT(--ISNUMBER(SEARCH(supreme,C232)))&gt;0)</f>
        <v>0</v>
      </c>
      <c r="N232" s="14" cm="1">
        <f t="array" ref="N232">INT(SUMPRODUCT(--ISNUMBER(SEARCH(covid,C232)))&gt;0)</f>
        <v>0</v>
      </c>
      <c r="O232" s="14" cm="1">
        <f t="array" ref="O232">INT(SUMPRODUCT(--ISNUMBER(SEARCH(violent,C232)))&gt;0)</f>
        <v>0</v>
      </c>
      <c r="P232" s="14" cm="1">
        <f t="array" ref="P232">INT(SUMPRODUCT(--ISNUMBER(SEARCH(foreign,C232)))&gt;0)</f>
        <v>0</v>
      </c>
      <c r="Q232" s="14" cm="1">
        <f t="array" ref="Q232">INT(SUMPRODUCT(--ISNUMBER(SEARCH(gun,C232)))&gt;0)</f>
        <v>0</v>
      </c>
      <c r="R232" s="14" cm="1">
        <f t="array" ref="R232">INT(SUMPRODUCT(--ISNUMBER(SEARCH(race,C232)))&gt;0)</f>
        <v>1</v>
      </c>
      <c r="S232" s="14" cm="1">
        <f t="array" ref="S232">INT(SUMPRODUCT(--ISNUMBER(SEARCH(immigration,C232)))&gt;0)</f>
        <v>0</v>
      </c>
      <c r="T232" s="14" cm="1">
        <f t="array" ref="T232">INT(SUMPRODUCT(--ISNUMBER(SEARCH(econineq,C233)))&gt;0)</f>
        <v>0</v>
      </c>
      <c r="U232" s="14" cm="1">
        <f t="array" ref="U232">INT(SUMPRODUCT(--ISNUMBER(SEARCH(climate,C232)))&gt;0)</f>
        <v>1</v>
      </c>
      <c r="V232" s="14" cm="1">
        <f t="array" ref="V232">INT(SUMPRODUCT(--ISNUMBER(SEARCH(abortion,C232)))&gt;0)</f>
        <v>0</v>
      </c>
      <c r="W232" s="14" cm="1">
        <f t="array" ref="W232">INT(SUMPRODUCT(--ISNUMBER(SEARCH(trump,C232)))&gt;0)</f>
        <v>0</v>
      </c>
      <c r="X232" s="14" cm="1">
        <f t="array" ref="X232">INT(SUMPRODUCT(--ISNUMBER(SEARCH(voting,C232)))&gt;0)</f>
        <v>0</v>
      </c>
      <c r="Y232" s="14" cm="1">
        <f t="array" ref="Y232">INT(SUMPRODUCT(--ISNUMBER(SEARCH(democrattrigger,C232)))&gt;0)</f>
        <v>0</v>
      </c>
      <c r="Z232" s="14" cm="1">
        <f t="array" ref="Z232">INT(SUMPRODUCT(--ISNUMBER(SEARCH(bipartisan,C232)))&gt;0)</f>
        <v>0</v>
      </c>
      <c r="AA232" s="14">
        <f t="shared" si="3"/>
        <v>0</v>
      </c>
      <c r="AB232" s="14"/>
      <c r="AC232" s="30">
        <v>0</v>
      </c>
      <c r="AD232" s="37">
        <v>1</v>
      </c>
    </row>
    <row r="233" spans="1:30" x14ac:dyDescent="0.25">
      <c r="A233" s="36">
        <v>2386</v>
      </c>
      <c r="B233" s="14" t="s">
        <v>4797</v>
      </c>
      <c r="C233" s="14" t="s">
        <v>4798</v>
      </c>
      <c r="D233" s="17">
        <v>44120</v>
      </c>
      <c r="E233" s="14" t="s">
        <v>30</v>
      </c>
      <c r="F233" s="14">
        <v>36</v>
      </c>
      <c r="G233" s="14">
        <v>10</v>
      </c>
      <c r="H233" s="14">
        <v>11</v>
      </c>
      <c r="I233" s="14">
        <v>6</v>
      </c>
      <c r="J233" s="14" t="s">
        <v>204</v>
      </c>
      <c r="K233" s="14" cm="1">
        <f t="array" ref="K233">INT(SUMPRODUCT(--ISNUMBER(SEARCH(economy,C233)))&gt;0)</f>
        <v>0</v>
      </c>
      <c r="L233" s="14" cm="1">
        <f t="array" ref="L233">INT(SUMPRODUCT(--ISNUMBER(SEARCH(healthcare,C233)))&gt;0)</f>
        <v>0</v>
      </c>
      <c r="M233" s="14" cm="1">
        <f t="array" ref="M233">INT(SUMPRODUCT(--ISNUMBER(SEARCH(supreme,C233)))&gt;0)</f>
        <v>0</v>
      </c>
      <c r="N233" s="14" cm="1">
        <f t="array" ref="N233">INT(SUMPRODUCT(--ISNUMBER(SEARCH(covid,C233)))&gt;0)</f>
        <v>0</v>
      </c>
      <c r="O233" s="14" cm="1">
        <f t="array" ref="O233">INT(SUMPRODUCT(--ISNUMBER(SEARCH(violent,C233)))&gt;0)</f>
        <v>0</v>
      </c>
      <c r="P233" s="14" cm="1">
        <f t="array" ref="P233">INT(SUMPRODUCT(--ISNUMBER(SEARCH(foreign,C233)))&gt;0)</f>
        <v>0</v>
      </c>
      <c r="Q233" s="14" cm="1">
        <f t="array" ref="Q233">INT(SUMPRODUCT(--ISNUMBER(SEARCH(gun,C233)))&gt;0)</f>
        <v>0</v>
      </c>
      <c r="R233" s="14" cm="1">
        <f t="array" ref="R233">INT(SUMPRODUCT(--ISNUMBER(SEARCH(race,C233)))&gt;0)</f>
        <v>0</v>
      </c>
      <c r="S233" s="14" cm="1">
        <f t="array" ref="S233">INT(SUMPRODUCT(--ISNUMBER(SEARCH(immigration,C233)))&gt;0)</f>
        <v>0</v>
      </c>
      <c r="T233" s="14" cm="1">
        <f t="array" ref="T233">INT(SUMPRODUCT(--ISNUMBER(SEARCH(econineq,C234)))&gt;0)</f>
        <v>0</v>
      </c>
      <c r="U233" s="14" cm="1">
        <f t="array" ref="U233">INT(SUMPRODUCT(--ISNUMBER(SEARCH(climate,C233)))&gt;0)</f>
        <v>0</v>
      </c>
      <c r="V233" s="14" cm="1">
        <f t="array" ref="V233">INT(SUMPRODUCT(--ISNUMBER(SEARCH(abortion,C233)))&gt;0)</f>
        <v>0</v>
      </c>
      <c r="W233" s="14" cm="1">
        <f t="array" ref="W233">INT(SUMPRODUCT(--ISNUMBER(SEARCH(trump,C233)))&gt;0)</f>
        <v>0</v>
      </c>
      <c r="X233" s="14" cm="1">
        <f t="array" ref="X233">INT(SUMPRODUCT(--ISNUMBER(SEARCH(voting,C233)))&gt;0)</f>
        <v>0</v>
      </c>
      <c r="Y233" s="14" cm="1">
        <f t="array" ref="Y233">INT(SUMPRODUCT(--ISNUMBER(SEARCH(democrattrigger,C233)))&gt;0)</f>
        <v>0</v>
      </c>
      <c r="Z233" s="14" cm="1">
        <f t="array" ref="Z233">INT(SUMPRODUCT(--ISNUMBER(SEARCH(bipartisan,C233)))&gt;0)</f>
        <v>0</v>
      </c>
      <c r="AA233" s="14">
        <f t="shared" si="3"/>
        <v>1</v>
      </c>
      <c r="AB233" s="14"/>
      <c r="AC233" s="30" t="s">
        <v>223</v>
      </c>
      <c r="AD233" s="37" t="s">
        <v>223</v>
      </c>
    </row>
    <row r="234" spans="1:30" x14ac:dyDescent="0.25">
      <c r="A234" s="36">
        <v>2387</v>
      </c>
      <c r="B234" s="14" t="s">
        <v>4799</v>
      </c>
      <c r="C234" s="14" t="s">
        <v>4800</v>
      </c>
      <c r="D234" s="17">
        <v>44120</v>
      </c>
      <c r="E234" s="14" t="s">
        <v>30</v>
      </c>
      <c r="F234" s="14">
        <v>98</v>
      </c>
      <c r="G234" s="14">
        <v>7</v>
      </c>
      <c r="H234" s="14">
        <v>11</v>
      </c>
      <c r="I234" s="14">
        <v>6</v>
      </c>
      <c r="J234" s="14" t="s">
        <v>204</v>
      </c>
      <c r="K234" s="14" cm="1">
        <f t="array" ref="K234">INT(SUMPRODUCT(--ISNUMBER(SEARCH(economy,C234)))&gt;0)</f>
        <v>0</v>
      </c>
      <c r="L234" s="14" cm="1">
        <f t="array" ref="L234">INT(SUMPRODUCT(--ISNUMBER(SEARCH(healthcare,C234)))&gt;0)</f>
        <v>0</v>
      </c>
      <c r="M234" s="14" cm="1">
        <f t="array" ref="M234">INT(SUMPRODUCT(--ISNUMBER(SEARCH(supreme,C234)))&gt;0)</f>
        <v>0</v>
      </c>
      <c r="N234" s="14" cm="1">
        <f t="array" ref="N234">INT(SUMPRODUCT(--ISNUMBER(SEARCH(covid,C234)))&gt;0)</f>
        <v>0</v>
      </c>
      <c r="O234" s="14" cm="1">
        <f t="array" ref="O234">INT(SUMPRODUCT(--ISNUMBER(SEARCH(violent,C234)))&gt;0)</f>
        <v>0</v>
      </c>
      <c r="P234" s="14" cm="1">
        <f t="array" ref="P234">INT(SUMPRODUCT(--ISNUMBER(SEARCH(foreign,C234)))&gt;0)</f>
        <v>0</v>
      </c>
      <c r="Q234" s="14" cm="1">
        <f t="array" ref="Q234">INT(SUMPRODUCT(--ISNUMBER(SEARCH(gun,C234)))&gt;0)</f>
        <v>0</v>
      </c>
      <c r="R234" s="14" cm="1">
        <f t="array" ref="R234">INT(SUMPRODUCT(--ISNUMBER(SEARCH(race,C234)))&gt;0)</f>
        <v>0</v>
      </c>
      <c r="S234" s="14" cm="1">
        <f t="array" ref="S234">INT(SUMPRODUCT(--ISNUMBER(SEARCH(immigration,C234)))&gt;0)</f>
        <v>0</v>
      </c>
      <c r="T234" s="14" cm="1">
        <f t="array" ref="T234">INT(SUMPRODUCT(--ISNUMBER(SEARCH(econineq,C235)))&gt;0)</f>
        <v>0</v>
      </c>
      <c r="U234" s="14" cm="1">
        <f t="array" ref="U234">INT(SUMPRODUCT(--ISNUMBER(SEARCH(climate,C234)))&gt;0)</f>
        <v>0</v>
      </c>
      <c r="V234" s="14" cm="1">
        <f t="array" ref="V234">INT(SUMPRODUCT(--ISNUMBER(SEARCH(abortion,C234)))&gt;0)</f>
        <v>0</v>
      </c>
      <c r="W234" s="14" cm="1">
        <f t="array" ref="W234">INT(SUMPRODUCT(--ISNUMBER(SEARCH(trump,C234)))&gt;0)</f>
        <v>0</v>
      </c>
      <c r="X234" s="14" cm="1">
        <f t="array" ref="X234">INT(SUMPRODUCT(--ISNUMBER(SEARCH(voting,C234)))&gt;0)</f>
        <v>0</v>
      </c>
      <c r="Y234" s="14" cm="1">
        <f t="array" ref="Y234">INT(SUMPRODUCT(--ISNUMBER(SEARCH(democrattrigger,C234)))&gt;0)</f>
        <v>0</v>
      </c>
      <c r="Z234" s="14" cm="1">
        <f t="array" ref="Z234">INT(SUMPRODUCT(--ISNUMBER(SEARCH(bipartisan,C234)))&gt;0)</f>
        <v>0</v>
      </c>
      <c r="AA234" s="14">
        <f t="shared" si="3"/>
        <v>1</v>
      </c>
      <c r="AB234" s="14"/>
      <c r="AC234" s="30" t="s">
        <v>223</v>
      </c>
      <c r="AD234" s="37" t="s">
        <v>223</v>
      </c>
    </row>
    <row r="235" spans="1:30" x14ac:dyDescent="0.25">
      <c r="A235" s="36">
        <v>2388</v>
      </c>
      <c r="B235" s="14" t="s">
        <v>4801</v>
      </c>
      <c r="C235" s="14" t="s">
        <v>4802</v>
      </c>
      <c r="D235" s="17">
        <v>44120</v>
      </c>
      <c r="E235" s="14" t="s">
        <v>30</v>
      </c>
      <c r="F235" s="14">
        <v>75</v>
      </c>
      <c r="G235" s="14">
        <v>8</v>
      </c>
      <c r="H235" s="14">
        <v>11</v>
      </c>
      <c r="I235" s="14">
        <v>6</v>
      </c>
      <c r="J235" s="14" t="s">
        <v>204</v>
      </c>
      <c r="K235" s="14" cm="1">
        <f t="array" ref="K235">INT(SUMPRODUCT(--ISNUMBER(SEARCH(economy,C235)))&gt;0)</f>
        <v>0</v>
      </c>
      <c r="L235" s="14" cm="1">
        <f t="array" ref="L235">INT(SUMPRODUCT(--ISNUMBER(SEARCH(healthcare,C235)))&gt;0)</f>
        <v>0</v>
      </c>
      <c r="M235" s="14" cm="1">
        <f t="array" ref="M235">INT(SUMPRODUCT(--ISNUMBER(SEARCH(supreme,C235)))&gt;0)</f>
        <v>0</v>
      </c>
      <c r="N235" s="14" cm="1">
        <f t="array" ref="N235">INT(SUMPRODUCT(--ISNUMBER(SEARCH(covid,C235)))&gt;0)</f>
        <v>1</v>
      </c>
      <c r="O235" s="14" cm="1">
        <f t="array" ref="O235">INT(SUMPRODUCT(--ISNUMBER(SEARCH(violent,C235)))&gt;0)</f>
        <v>0</v>
      </c>
      <c r="P235" s="14" cm="1">
        <f t="array" ref="P235">INT(SUMPRODUCT(--ISNUMBER(SEARCH(foreign,C235)))&gt;0)</f>
        <v>0</v>
      </c>
      <c r="Q235" s="14" cm="1">
        <f t="array" ref="Q235">INT(SUMPRODUCT(--ISNUMBER(SEARCH(gun,C235)))&gt;0)</f>
        <v>0</v>
      </c>
      <c r="R235" s="14" cm="1">
        <f t="array" ref="R235">INT(SUMPRODUCT(--ISNUMBER(SEARCH(race,C235)))&gt;0)</f>
        <v>0</v>
      </c>
      <c r="S235" s="14" cm="1">
        <f t="array" ref="S235">INT(SUMPRODUCT(--ISNUMBER(SEARCH(immigration,C235)))&gt;0)</f>
        <v>0</v>
      </c>
      <c r="T235" s="14" cm="1">
        <f t="array" ref="T235">INT(SUMPRODUCT(--ISNUMBER(SEARCH(econineq,C236)))&gt;0)</f>
        <v>0</v>
      </c>
      <c r="U235" s="14" cm="1">
        <f t="array" ref="U235">INT(SUMPRODUCT(--ISNUMBER(SEARCH(climate,C235)))&gt;0)</f>
        <v>0</v>
      </c>
      <c r="V235" s="14" cm="1">
        <f t="array" ref="V235">INT(SUMPRODUCT(--ISNUMBER(SEARCH(abortion,C235)))&gt;0)</f>
        <v>0</v>
      </c>
      <c r="W235" s="14" cm="1">
        <f t="array" ref="W235">INT(SUMPRODUCT(--ISNUMBER(SEARCH(trump,C235)))&gt;0)</f>
        <v>0</v>
      </c>
      <c r="X235" s="14" cm="1">
        <f t="array" ref="X235">INT(SUMPRODUCT(--ISNUMBER(SEARCH(voting,C235)))&gt;0)</f>
        <v>0</v>
      </c>
      <c r="Y235" s="14" cm="1">
        <f t="array" ref="Y235">INT(SUMPRODUCT(--ISNUMBER(SEARCH(democrattrigger,C235)))&gt;0)</f>
        <v>0</v>
      </c>
      <c r="Z235" s="14" cm="1">
        <f t="array" ref="Z235">INT(SUMPRODUCT(--ISNUMBER(SEARCH(bipartisan,C235)))&gt;0)</f>
        <v>1</v>
      </c>
      <c r="AA235" s="14">
        <f t="shared" si="3"/>
        <v>0</v>
      </c>
      <c r="AB235" s="14"/>
      <c r="AC235" s="30" t="s">
        <v>223</v>
      </c>
      <c r="AD235" s="37" t="s">
        <v>223</v>
      </c>
    </row>
    <row r="236" spans="1:30" x14ac:dyDescent="0.25">
      <c r="A236" s="36">
        <v>2389</v>
      </c>
      <c r="B236" s="14" t="s">
        <v>4803</v>
      </c>
      <c r="C236" s="14" t="s">
        <v>4804</v>
      </c>
      <c r="D236" s="17">
        <v>44120</v>
      </c>
      <c r="E236" s="14" t="s">
        <v>30</v>
      </c>
      <c r="F236" s="14">
        <v>79</v>
      </c>
      <c r="G236" s="14">
        <v>31</v>
      </c>
      <c r="H236" s="14">
        <v>11</v>
      </c>
      <c r="I236" s="14">
        <v>6</v>
      </c>
      <c r="J236" s="14" t="s">
        <v>204</v>
      </c>
      <c r="K236" s="14" cm="1">
        <f t="array" ref="K236">INT(SUMPRODUCT(--ISNUMBER(SEARCH(economy,C236)))&gt;0)</f>
        <v>0</v>
      </c>
      <c r="L236" s="14" cm="1">
        <f t="array" ref="L236">INT(SUMPRODUCT(--ISNUMBER(SEARCH(healthcare,C236)))&gt;0)</f>
        <v>0</v>
      </c>
      <c r="M236" s="14" cm="1">
        <f t="array" ref="M236">INT(SUMPRODUCT(--ISNUMBER(SEARCH(supreme,C236)))&gt;0)</f>
        <v>1</v>
      </c>
      <c r="N236" s="14" cm="1">
        <f t="array" ref="N236">INT(SUMPRODUCT(--ISNUMBER(SEARCH(covid,C236)))&gt;0)</f>
        <v>0</v>
      </c>
      <c r="O236" s="14" cm="1">
        <f t="array" ref="O236">INT(SUMPRODUCT(--ISNUMBER(SEARCH(violent,C236)))&gt;0)</f>
        <v>0</v>
      </c>
      <c r="P236" s="14" cm="1">
        <f t="array" ref="P236">INT(SUMPRODUCT(--ISNUMBER(SEARCH(foreign,C236)))&gt;0)</f>
        <v>0</v>
      </c>
      <c r="Q236" s="14" cm="1">
        <f t="array" ref="Q236">INT(SUMPRODUCT(--ISNUMBER(SEARCH(gun,C236)))&gt;0)</f>
        <v>0</v>
      </c>
      <c r="R236" s="14" cm="1">
        <f t="array" ref="R236">INT(SUMPRODUCT(--ISNUMBER(SEARCH(race,C236)))&gt;0)</f>
        <v>0</v>
      </c>
      <c r="S236" s="14" cm="1">
        <f t="array" ref="S236">INT(SUMPRODUCT(--ISNUMBER(SEARCH(immigration,C236)))&gt;0)</f>
        <v>0</v>
      </c>
      <c r="T236" s="14" cm="1">
        <f t="array" ref="T236">INT(SUMPRODUCT(--ISNUMBER(SEARCH(econineq,C237)))&gt;0)</f>
        <v>0</v>
      </c>
      <c r="U236" s="14" cm="1">
        <f t="array" ref="U236">INT(SUMPRODUCT(--ISNUMBER(SEARCH(climate,C236)))&gt;0)</f>
        <v>0</v>
      </c>
      <c r="V236" s="14" cm="1">
        <f t="array" ref="V236">INT(SUMPRODUCT(--ISNUMBER(SEARCH(abortion,C236)))&gt;0)</f>
        <v>0</v>
      </c>
      <c r="W236" s="14" cm="1">
        <f t="array" ref="W236">INT(SUMPRODUCT(--ISNUMBER(SEARCH(trump,C236)))&gt;0)</f>
        <v>0</v>
      </c>
      <c r="X236" s="14" cm="1">
        <f t="array" ref="X236">INT(SUMPRODUCT(--ISNUMBER(SEARCH(voting,C236)))&gt;0)</f>
        <v>1</v>
      </c>
      <c r="Y236" s="14" cm="1">
        <f t="array" ref="Y236">INT(SUMPRODUCT(--ISNUMBER(SEARCH(democrattrigger,C236)))&gt;0)</f>
        <v>1</v>
      </c>
      <c r="Z236" s="14" cm="1">
        <f t="array" ref="Z236">INT(SUMPRODUCT(--ISNUMBER(SEARCH(bipartisan,C236)))&gt;0)</f>
        <v>0</v>
      </c>
      <c r="AA236" s="14">
        <f t="shared" si="3"/>
        <v>0</v>
      </c>
      <c r="AB236" s="14"/>
      <c r="AC236" s="30" t="s">
        <v>223</v>
      </c>
      <c r="AD236" s="37" t="s">
        <v>223</v>
      </c>
    </row>
    <row r="237" spans="1:30" x14ac:dyDescent="0.25">
      <c r="A237" s="36">
        <v>2390</v>
      </c>
      <c r="B237" s="14" t="s">
        <v>4805</v>
      </c>
      <c r="C237" s="14" t="s">
        <v>4806</v>
      </c>
      <c r="D237" s="17">
        <v>44120</v>
      </c>
      <c r="E237" s="14" t="s">
        <v>30</v>
      </c>
      <c r="F237" s="14">
        <v>630</v>
      </c>
      <c r="G237" s="14">
        <v>74</v>
      </c>
      <c r="H237" s="14">
        <v>11</v>
      </c>
      <c r="I237" s="14">
        <v>6</v>
      </c>
      <c r="J237" s="14" t="s">
        <v>204</v>
      </c>
      <c r="K237" s="14" cm="1">
        <f t="array" ref="K237">INT(SUMPRODUCT(--ISNUMBER(SEARCH(economy,C237)))&gt;0)</f>
        <v>0</v>
      </c>
      <c r="L237" s="14" cm="1">
        <f t="array" ref="L237">INT(SUMPRODUCT(--ISNUMBER(SEARCH(healthcare,C237)))&gt;0)</f>
        <v>0</v>
      </c>
      <c r="M237" s="14" cm="1">
        <f t="array" ref="M237">INT(SUMPRODUCT(--ISNUMBER(SEARCH(supreme,C237)))&gt;0)</f>
        <v>0</v>
      </c>
      <c r="N237" s="14" cm="1">
        <f t="array" ref="N237">INT(SUMPRODUCT(--ISNUMBER(SEARCH(covid,C237)))&gt;0)</f>
        <v>0</v>
      </c>
      <c r="O237" s="14" cm="1">
        <f t="array" ref="O237">INT(SUMPRODUCT(--ISNUMBER(SEARCH(violent,C237)))&gt;0)</f>
        <v>0</v>
      </c>
      <c r="P237" s="14" cm="1">
        <f t="array" ref="P237">INT(SUMPRODUCT(--ISNUMBER(SEARCH(foreign,C237)))&gt;0)</f>
        <v>0</v>
      </c>
      <c r="Q237" s="14" cm="1">
        <f t="array" ref="Q237">INT(SUMPRODUCT(--ISNUMBER(SEARCH(gun,C237)))&gt;0)</f>
        <v>0</v>
      </c>
      <c r="R237" s="14" cm="1">
        <f t="array" ref="R237">INT(SUMPRODUCT(--ISNUMBER(SEARCH(race,C237)))&gt;0)</f>
        <v>0</v>
      </c>
      <c r="S237" s="14" cm="1">
        <f t="array" ref="S237">INT(SUMPRODUCT(--ISNUMBER(SEARCH(immigration,C237)))&gt;0)</f>
        <v>0</v>
      </c>
      <c r="T237" s="14" cm="1">
        <f t="array" ref="T237">INT(SUMPRODUCT(--ISNUMBER(SEARCH(econineq,C238)))&gt;0)</f>
        <v>0</v>
      </c>
      <c r="U237" s="14" cm="1">
        <f t="array" ref="U237">INT(SUMPRODUCT(--ISNUMBER(SEARCH(climate,C237)))&gt;0)</f>
        <v>1</v>
      </c>
      <c r="V237" s="14" cm="1">
        <f t="array" ref="V237">INT(SUMPRODUCT(--ISNUMBER(SEARCH(abortion,C237)))&gt;0)</f>
        <v>0</v>
      </c>
      <c r="W237" s="14" cm="1">
        <f t="array" ref="W237">INT(SUMPRODUCT(--ISNUMBER(SEARCH(trump,C237)))&gt;0)</f>
        <v>1</v>
      </c>
      <c r="X237" s="14" cm="1">
        <f t="array" ref="X237">INT(SUMPRODUCT(--ISNUMBER(SEARCH(voting,C237)))&gt;0)</f>
        <v>0</v>
      </c>
      <c r="Y237" s="14" cm="1">
        <f t="array" ref="Y237">INT(SUMPRODUCT(--ISNUMBER(SEARCH(democrattrigger,C237)))&gt;0)</f>
        <v>0</v>
      </c>
      <c r="Z237" s="14" cm="1">
        <f t="array" ref="Z237">INT(SUMPRODUCT(--ISNUMBER(SEARCH(bipartisan,C237)))&gt;0)</f>
        <v>0</v>
      </c>
      <c r="AA237" s="14">
        <f t="shared" si="3"/>
        <v>0</v>
      </c>
      <c r="AB237" s="14"/>
      <c r="AC237" s="30">
        <v>1</v>
      </c>
      <c r="AD237" s="37">
        <v>0</v>
      </c>
    </row>
    <row r="238" spans="1:30" x14ac:dyDescent="0.25">
      <c r="A238" s="36">
        <v>2391</v>
      </c>
      <c r="B238" s="14" t="s">
        <v>4807</v>
      </c>
      <c r="C238" s="14" t="s">
        <v>4808</v>
      </c>
      <c r="D238" s="17">
        <v>44120</v>
      </c>
      <c r="E238" s="14" t="s">
        <v>30</v>
      </c>
      <c r="F238" s="14">
        <v>68</v>
      </c>
      <c r="G238" s="14">
        <v>19</v>
      </c>
      <c r="H238" s="14">
        <v>11</v>
      </c>
      <c r="I238" s="14">
        <v>6</v>
      </c>
      <c r="J238" s="14" t="s">
        <v>204</v>
      </c>
      <c r="K238" s="14" cm="1">
        <f t="array" ref="K238">INT(SUMPRODUCT(--ISNUMBER(SEARCH(economy,C238)))&gt;0)</f>
        <v>0</v>
      </c>
      <c r="L238" s="14" cm="1">
        <f t="array" ref="L238">INT(SUMPRODUCT(--ISNUMBER(SEARCH(healthcare,C238)))&gt;0)</f>
        <v>0</v>
      </c>
      <c r="M238" s="14" cm="1">
        <f t="array" ref="M238">INT(SUMPRODUCT(--ISNUMBER(SEARCH(supreme,C238)))&gt;0)</f>
        <v>1</v>
      </c>
      <c r="N238" s="14" cm="1">
        <f t="array" ref="N238">INT(SUMPRODUCT(--ISNUMBER(SEARCH(covid,C238)))&gt;0)</f>
        <v>0</v>
      </c>
      <c r="O238" s="14" cm="1">
        <f t="array" ref="O238">INT(SUMPRODUCT(--ISNUMBER(SEARCH(violent,C238)))&gt;0)</f>
        <v>0</v>
      </c>
      <c r="P238" s="14" cm="1">
        <f t="array" ref="P238">INT(SUMPRODUCT(--ISNUMBER(SEARCH(foreign,C238)))&gt;0)</f>
        <v>0</v>
      </c>
      <c r="Q238" s="14" cm="1">
        <f t="array" ref="Q238">INT(SUMPRODUCT(--ISNUMBER(SEARCH(gun,C238)))&gt;0)</f>
        <v>0</v>
      </c>
      <c r="R238" s="14" cm="1">
        <f t="array" ref="R238">INT(SUMPRODUCT(--ISNUMBER(SEARCH(race,C238)))&gt;0)</f>
        <v>0</v>
      </c>
      <c r="S238" s="14" cm="1">
        <f t="array" ref="S238">INT(SUMPRODUCT(--ISNUMBER(SEARCH(immigration,C238)))&gt;0)</f>
        <v>0</v>
      </c>
      <c r="T238" s="14" cm="1">
        <f t="array" ref="T238">INT(SUMPRODUCT(--ISNUMBER(SEARCH(econineq,C239)))&gt;0)</f>
        <v>0</v>
      </c>
      <c r="U238" s="14" cm="1">
        <f t="array" ref="U238">INT(SUMPRODUCT(--ISNUMBER(SEARCH(climate,C238)))&gt;0)</f>
        <v>0</v>
      </c>
      <c r="V238" s="14" cm="1">
        <f t="array" ref="V238">INT(SUMPRODUCT(--ISNUMBER(SEARCH(abortion,C238)))&gt;0)</f>
        <v>0</v>
      </c>
      <c r="W238" s="14" cm="1">
        <f t="array" ref="W238">INT(SUMPRODUCT(--ISNUMBER(SEARCH(trump,C238)))&gt;0)</f>
        <v>0</v>
      </c>
      <c r="X238" s="14" cm="1">
        <f t="array" ref="X238">INT(SUMPRODUCT(--ISNUMBER(SEARCH(voting,C238)))&gt;0)</f>
        <v>1</v>
      </c>
      <c r="Y238" s="14" cm="1">
        <f t="array" ref="Y238">INT(SUMPRODUCT(--ISNUMBER(SEARCH(democrattrigger,C238)))&gt;0)</f>
        <v>0</v>
      </c>
      <c r="Z238" s="14" cm="1">
        <f t="array" ref="Z238">INT(SUMPRODUCT(--ISNUMBER(SEARCH(bipartisan,C238)))&gt;0)</f>
        <v>0</v>
      </c>
      <c r="AA238" s="14">
        <f t="shared" si="3"/>
        <v>0</v>
      </c>
      <c r="AB238" s="14"/>
      <c r="AC238" s="30" t="s">
        <v>223</v>
      </c>
      <c r="AD238" s="37" t="s">
        <v>223</v>
      </c>
    </row>
    <row r="239" spans="1:30" x14ac:dyDescent="0.25">
      <c r="A239" s="36">
        <v>2392</v>
      </c>
      <c r="B239" s="14" t="s">
        <v>4809</v>
      </c>
      <c r="C239" s="14" t="s">
        <v>4810</v>
      </c>
      <c r="D239" s="17">
        <v>44120</v>
      </c>
      <c r="E239" s="14" t="s">
        <v>30</v>
      </c>
      <c r="F239" s="14">
        <v>75</v>
      </c>
      <c r="G239" s="14">
        <v>10</v>
      </c>
      <c r="H239" s="14">
        <v>11</v>
      </c>
      <c r="I239" s="14">
        <v>6</v>
      </c>
      <c r="J239" s="14" t="s">
        <v>204</v>
      </c>
      <c r="K239" s="14" cm="1">
        <f t="array" ref="K239">INT(SUMPRODUCT(--ISNUMBER(SEARCH(economy,C239)))&gt;0)</f>
        <v>0</v>
      </c>
      <c r="L239" s="14" cm="1">
        <f t="array" ref="L239">INT(SUMPRODUCT(--ISNUMBER(SEARCH(healthcare,C239)))&gt;0)</f>
        <v>0</v>
      </c>
      <c r="M239" s="14" cm="1">
        <f t="array" ref="M239">INT(SUMPRODUCT(--ISNUMBER(SEARCH(supreme,C239)))&gt;0)</f>
        <v>0</v>
      </c>
      <c r="N239" s="14" cm="1">
        <f t="array" ref="N239">INT(SUMPRODUCT(--ISNUMBER(SEARCH(covid,C239)))&gt;0)</f>
        <v>0</v>
      </c>
      <c r="O239" s="14" cm="1">
        <f t="array" ref="O239">INT(SUMPRODUCT(--ISNUMBER(SEARCH(violent,C239)))&gt;0)</f>
        <v>0</v>
      </c>
      <c r="P239" s="14" cm="1">
        <f t="array" ref="P239">INT(SUMPRODUCT(--ISNUMBER(SEARCH(foreign,C239)))&gt;0)</f>
        <v>0</v>
      </c>
      <c r="Q239" s="14" cm="1">
        <f t="array" ref="Q239">INT(SUMPRODUCT(--ISNUMBER(SEARCH(gun,C239)))&gt;0)</f>
        <v>0</v>
      </c>
      <c r="R239" s="14" cm="1">
        <f t="array" ref="R239">INT(SUMPRODUCT(--ISNUMBER(SEARCH(race,C239)))&gt;0)</f>
        <v>0</v>
      </c>
      <c r="S239" s="14" cm="1">
        <f t="array" ref="S239">INT(SUMPRODUCT(--ISNUMBER(SEARCH(immigration,C239)))&gt;0)</f>
        <v>0</v>
      </c>
      <c r="T239" s="14" cm="1">
        <f t="array" ref="T239">INT(SUMPRODUCT(--ISNUMBER(SEARCH(econineq,C240)))&gt;0)</f>
        <v>0</v>
      </c>
      <c r="U239" s="14" cm="1">
        <f t="array" ref="U239">INT(SUMPRODUCT(--ISNUMBER(SEARCH(climate,C239)))&gt;0)</f>
        <v>0</v>
      </c>
      <c r="V239" s="14" cm="1">
        <f t="array" ref="V239">INT(SUMPRODUCT(--ISNUMBER(SEARCH(abortion,C239)))&gt;0)</f>
        <v>0</v>
      </c>
      <c r="W239" s="14" cm="1">
        <f t="array" ref="W239">INT(SUMPRODUCT(--ISNUMBER(SEARCH(trump,C239)))&gt;0)</f>
        <v>0</v>
      </c>
      <c r="X239" s="14" cm="1">
        <f t="array" ref="X239">INT(SUMPRODUCT(--ISNUMBER(SEARCH(voting,C239)))&gt;0)</f>
        <v>0</v>
      </c>
      <c r="Y239" s="14" cm="1">
        <f t="array" ref="Y239">INT(SUMPRODUCT(--ISNUMBER(SEARCH(democrattrigger,C239)))&gt;0)</f>
        <v>0</v>
      </c>
      <c r="Z239" s="14" cm="1">
        <f t="array" ref="Z239">INT(SUMPRODUCT(--ISNUMBER(SEARCH(bipartisan,C239)))&gt;0)</f>
        <v>0</v>
      </c>
      <c r="AA239" s="14">
        <f t="shared" si="3"/>
        <v>1</v>
      </c>
      <c r="AB239" s="14"/>
      <c r="AC239" s="30">
        <v>0</v>
      </c>
      <c r="AD239" s="37">
        <v>1</v>
      </c>
    </row>
    <row r="240" spans="1:30" x14ac:dyDescent="0.25">
      <c r="A240" s="36">
        <v>2393</v>
      </c>
      <c r="B240" s="14" t="s">
        <v>4811</v>
      </c>
      <c r="C240" s="14" t="s">
        <v>4812</v>
      </c>
      <c r="D240" s="17">
        <v>44120</v>
      </c>
      <c r="E240" s="14" t="s">
        <v>30</v>
      </c>
      <c r="F240" s="14">
        <v>52</v>
      </c>
      <c r="G240" s="14">
        <v>21</v>
      </c>
      <c r="H240" s="14">
        <v>11</v>
      </c>
      <c r="I240" s="14">
        <v>6</v>
      </c>
      <c r="J240" s="14" t="s">
        <v>204</v>
      </c>
      <c r="K240" s="14" cm="1">
        <f t="array" ref="K240">INT(SUMPRODUCT(--ISNUMBER(SEARCH(economy,C240)))&gt;0)</f>
        <v>0</v>
      </c>
      <c r="L240" s="14" cm="1">
        <f t="array" ref="L240">INT(SUMPRODUCT(--ISNUMBER(SEARCH(healthcare,C240)))&gt;0)</f>
        <v>0</v>
      </c>
      <c r="M240" s="14" cm="1">
        <f t="array" ref="M240">INT(SUMPRODUCT(--ISNUMBER(SEARCH(supreme,C240)))&gt;0)</f>
        <v>0</v>
      </c>
      <c r="N240" s="14" cm="1">
        <f t="array" ref="N240">INT(SUMPRODUCT(--ISNUMBER(SEARCH(covid,C240)))&gt;0)</f>
        <v>1</v>
      </c>
      <c r="O240" s="14" cm="1">
        <f t="array" ref="O240">INT(SUMPRODUCT(--ISNUMBER(SEARCH(violent,C240)))&gt;0)</f>
        <v>0</v>
      </c>
      <c r="P240" s="14" cm="1">
        <f t="array" ref="P240">INT(SUMPRODUCT(--ISNUMBER(SEARCH(foreign,C240)))&gt;0)</f>
        <v>0</v>
      </c>
      <c r="Q240" s="14" cm="1">
        <f t="array" ref="Q240">INT(SUMPRODUCT(--ISNUMBER(SEARCH(gun,C240)))&gt;0)</f>
        <v>0</v>
      </c>
      <c r="R240" s="14" cm="1">
        <f t="array" ref="R240">INT(SUMPRODUCT(--ISNUMBER(SEARCH(race,C240)))&gt;0)</f>
        <v>0</v>
      </c>
      <c r="S240" s="14" cm="1">
        <f t="array" ref="S240">INT(SUMPRODUCT(--ISNUMBER(SEARCH(immigration,C240)))&gt;0)</f>
        <v>0</v>
      </c>
      <c r="T240" s="14" cm="1">
        <f t="array" ref="T240">INT(SUMPRODUCT(--ISNUMBER(SEARCH(econineq,C241)))&gt;0)</f>
        <v>0</v>
      </c>
      <c r="U240" s="14" cm="1">
        <f t="array" ref="U240">INT(SUMPRODUCT(--ISNUMBER(SEARCH(climate,C240)))&gt;0)</f>
        <v>0</v>
      </c>
      <c r="V240" s="14" cm="1">
        <f t="array" ref="V240">INT(SUMPRODUCT(--ISNUMBER(SEARCH(abortion,C240)))&gt;0)</f>
        <v>0</v>
      </c>
      <c r="W240" s="14" cm="1">
        <f t="array" ref="W240">INT(SUMPRODUCT(--ISNUMBER(SEARCH(trump,C240)))&gt;0)</f>
        <v>0</v>
      </c>
      <c r="X240" s="14" cm="1">
        <f t="array" ref="X240">INT(SUMPRODUCT(--ISNUMBER(SEARCH(voting,C240)))&gt;0)</f>
        <v>0</v>
      </c>
      <c r="Y240" s="14" cm="1">
        <f t="array" ref="Y240">INT(SUMPRODUCT(--ISNUMBER(SEARCH(democrattrigger,C240)))&gt;0)</f>
        <v>0</v>
      </c>
      <c r="Z240" s="14" cm="1">
        <f t="array" ref="Z240">INT(SUMPRODUCT(--ISNUMBER(SEARCH(bipartisan,C240)))&gt;0)</f>
        <v>1</v>
      </c>
      <c r="AA240" s="14">
        <f t="shared" si="3"/>
        <v>0</v>
      </c>
      <c r="AB240" s="14"/>
      <c r="AC240" s="30" t="s">
        <v>223</v>
      </c>
      <c r="AD240" s="37" t="s">
        <v>223</v>
      </c>
    </row>
    <row r="241" spans="1:30" x14ac:dyDescent="0.25">
      <c r="A241" s="36">
        <v>2394</v>
      </c>
      <c r="B241" s="14" t="s">
        <v>4813</v>
      </c>
      <c r="C241" s="14" t="s">
        <v>4814</v>
      </c>
      <c r="D241" s="17">
        <v>44120</v>
      </c>
      <c r="E241" s="14" t="s">
        <v>30</v>
      </c>
      <c r="F241" s="14">
        <v>114</v>
      </c>
      <c r="G241" s="14">
        <v>35</v>
      </c>
      <c r="H241" s="14">
        <v>11</v>
      </c>
      <c r="I241" s="14">
        <v>6</v>
      </c>
      <c r="J241" s="14" t="s">
        <v>204</v>
      </c>
      <c r="K241" s="14" cm="1">
        <f t="array" ref="K241">INT(SUMPRODUCT(--ISNUMBER(SEARCH(economy,C241)))&gt;0)</f>
        <v>0</v>
      </c>
      <c r="L241" s="14" cm="1">
        <f t="array" ref="L241">INT(SUMPRODUCT(--ISNUMBER(SEARCH(healthcare,C241)))&gt;0)</f>
        <v>0</v>
      </c>
      <c r="M241" s="14" cm="1">
        <f t="array" ref="M241">INT(SUMPRODUCT(--ISNUMBER(SEARCH(supreme,C241)))&gt;0)</f>
        <v>0</v>
      </c>
      <c r="N241" s="14" cm="1">
        <f t="array" ref="N241">INT(SUMPRODUCT(--ISNUMBER(SEARCH(covid,C241)))&gt;0)</f>
        <v>0</v>
      </c>
      <c r="O241" s="14" cm="1">
        <f t="array" ref="O241">INT(SUMPRODUCT(--ISNUMBER(SEARCH(violent,C241)))&gt;0)</f>
        <v>0</v>
      </c>
      <c r="P241" s="14" cm="1">
        <f t="array" ref="P241">INT(SUMPRODUCT(--ISNUMBER(SEARCH(foreign,C241)))&gt;0)</f>
        <v>0</v>
      </c>
      <c r="Q241" s="14" cm="1">
        <f t="array" ref="Q241">INT(SUMPRODUCT(--ISNUMBER(SEARCH(gun,C241)))&gt;0)</f>
        <v>0</v>
      </c>
      <c r="R241" s="14" cm="1">
        <f t="array" ref="R241">INT(SUMPRODUCT(--ISNUMBER(SEARCH(race,C241)))&gt;0)</f>
        <v>0</v>
      </c>
      <c r="S241" s="14" cm="1">
        <f t="array" ref="S241">INT(SUMPRODUCT(--ISNUMBER(SEARCH(immigration,C241)))&gt;0)</f>
        <v>0</v>
      </c>
      <c r="T241" s="14" cm="1">
        <f t="array" ref="T241">INT(SUMPRODUCT(--ISNUMBER(SEARCH(econineq,C242)))&gt;0)</f>
        <v>0</v>
      </c>
      <c r="U241" s="14" cm="1">
        <f t="array" ref="U241">INT(SUMPRODUCT(--ISNUMBER(SEARCH(climate,C241)))&gt;0)</f>
        <v>0</v>
      </c>
      <c r="V241" s="14" cm="1">
        <f t="array" ref="V241">INT(SUMPRODUCT(--ISNUMBER(SEARCH(abortion,C241)))&gt;0)</f>
        <v>0</v>
      </c>
      <c r="W241" s="14" cm="1">
        <f t="array" ref="W241">INT(SUMPRODUCT(--ISNUMBER(SEARCH(trump,C241)))&gt;0)</f>
        <v>1</v>
      </c>
      <c r="X241" s="14" cm="1">
        <f t="array" ref="X241">INT(SUMPRODUCT(--ISNUMBER(SEARCH(voting,C241)))&gt;0)</f>
        <v>1</v>
      </c>
      <c r="Y241" s="14" cm="1">
        <f t="array" ref="Y241">INT(SUMPRODUCT(--ISNUMBER(SEARCH(democrattrigger,C241)))&gt;0)</f>
        <v>1</v>
      </c>
      <c r="Z241" s="14" cm="1">
        <f t="array" ref="Z241">INT(SUMPRODUCT(--ISNUMBER(SEARCH(bipartisan,C241)))&gt;0)</f>
        <v>0</v>
      </c>
      <c r="AA241" s="14">
        <f t="shared" si="3"/>
        <v>0</v>
      </c>
      <c r="AB241" s="14"/>
      <c r="AC241" s="30" t="s">
        <v>223</v>
      </c>
      <c r="AD241" s="37" t="s">
        <v>223</v>
      </c>
    </row>
    <row r="242" spans="1:30" x14ac:dyDescent="0.25">
      <c r="A242" s="36">
        <v>2395</v>
      </c>
      <c r="B242" s="14" t="s">
        <v>4815</v>
      </c>
      <c r="C242" s="14" t="s">
        <v>4816</v>
      </c>
      <c r="D242" s="17">
        <v>44119</v>
      </c>
      <c r="E242" s="14" t="s">
        <v>30</v>
      </c>
      <c r="F242" s="14">
        <v>27</v>
      </c>
      <c r="G242" s="14">
        <v>21</v>
      </c>
      <c r="H242" s="14">
        <v>11</v>
      </c>
      <c r="I242" s="14">
        <v>6</v>
      </c>
      <c r="J242" s="14" t="s">
        <v>204</v>
      </c>
      <c r="K242" s="14" cm="1">
        <f t="array" ref="K242">INT(SUMPRODUCT(--ISNUMBER(SEARCH(economy,C242)))&gt;0)</f>
        <v>0</v>
      </c>
      <c r="L242" s="14" cm="1">
        <f t="array" ref="L242">INT(SUMPRODUCT(--ISNUMBER(SEARCH(healthcare,C242)))&gt;0)</f>
        <v>1</v>
      </c>
      <c r="M242" s="14" cm="1">
        <f t="array" ref="M242">INT(SUMPRODUCT(--ISNUMBER(SEARCH(supreme,C242)))&gt;0)</f>
        <v>1</v>
      </c>
      <c r="N242" s="14" cm="1">
        <f t="array" ref="N242">INT(SUMPRODUCT(--ISNUMBER(SEARCH(covid,C242)))&gt;0)</f>
        <v>0</v>
      </c>
      <c r="O242" s="14" cm="1">
        <f t="array" ref="O242">INT(SUMPRODUCT(--ISNUMBER(SEARCH(violent,C242)))&gt;0)</f>
        <v>0</v>
      </c>
      <c r="P242" s="14" cm="1">
        <f t="array" ref="P242">INT(SUMPRODUCT(--ISNUMBER(SEARCH(foreign,C242)))&gt;0)</f>
        <v>0</v>
      </c>
      <c r="Q242" s="14" cm="1">
        <f t="array" ref="Q242">INT(SUMPRODUCT(--ISNUMBER(SEARCH(gun,C242)))&gt;0)</f>
        <v>0</v>
      </c>
      <c r="R242" s="14" cm="1">
        <f t="array" ref="R242">INT(SUMPRODUCT(--ISNUMBER(SEARCH(race,C242)))&gt;0)</f>
        <v>0</v>
      </c>
      <c r="S242" s="14" cm="1">
        <f t="array" ref="S242">INT(SUMPRODUCT(--ISNUMBER(SEARCH(immigration,C242)))&gt;0)</f>
        <v>0</v>
      </c>
      <c r="T242" s="14" cm="1">
        <f t="array" ref="T242">INT(SUMPRODUCT(--ISNUMBER(SEARCH(econineq,C243)))&gt;0)</f>
        <v>1</v>
      </c>
      <c r="U242" s="14" cm="1">
        <f t="array" ref="U242">INT(SUMPRODUCT(--ISNUMBER(SEARCH(climate,C242)))&gt;0)</f>
        <v>0</v>
      </c>
      <c r="V242" s="14" cm="1">
        <f t="array" ref="V242">INT(SUMPRODUCT(--ISNUMBER(SEARCH(abortion,C242)))&gt;0)</f>
        <v>0</v>
      </c>
      <c r="W242" s="14" cm="1">
        <f t="array" ref="W242">INT(SUMPRODUCT(--ISNUMBER(SEARCH(trump,C242)))&gt;0)</f>
        <v>0</v>
      </c>
      <c r="X242" s="14" cm="1">
        <f t="array" ref="X242">INT(SUMPRODUCT(--ISNUMBER(SEARCH(voting,C242)))&gt;0)</f>
        <v>1</v>
      </c>
      <c r="Y242" s="14" cm="1">
        <f t="array" ref="Y242">INT(SUMPRODUCT(--ISNUMBER(SEARCH(democrattrigger,C242)))&gt;0)</f>
        <v>0</v>
      </c>
      <c r="Z242" s="14" cm="1">
        <f t="array" ref="Z242">INT(SUMPRODUCT(--ISNUMBER(SEARCH(bipartisan,C242)))&gt;0)</f>
        <v>0</v>
      </c>
      <c r="AA242" s="14">
        <f t="shared" si="3"/>
        <v>0</v>
      </c>
      <c r="AB242" s="14"/>
      <c r="AC242" s="30" t="s">
        <v>223</v>
      </c>
      <c r="AD242" s="37" t="s">
        <v>223</v>
      </c>
    </row>
    <row r="243" spans="1:30" x14ac:dyDescent="0.25">
      <c r="A243" s="36">
        <v>2396</v>
      </c>
      <c r="B243" s="14" t="s">
        <v>4817</v>
      </c>
      <c r="C243" s="14" t="s">
        <v>4818</v>
      </c>
      <c r="D243" s="17">
        <v>44119</v>
      </c>
      <c r="E243" s="14" t="s">
        <v>30</v>
      </c>
      <c r="F243" s="14">
        <v>53</v>
      </c>
      <c r="G243" s="14">
        <v>17</v>
      </c>
      <c r="H243" s="14">
        <v>11</v>
      </c>
      <c r="I243" s="14">
        <v>6</v>
      </c>
      <c r="J243" s="14" t="s">
        <v>204</v>
      </c>
      <c r="K243" s="14" cm="1">
        <f t="array" ref="K243">INT(SUMPRODUCT(--ISNUMBER(SEARCH(economy,C243)))&gt;0)</f>
        <v>0</v>
      </c>
      <c r="L243" s="14" cm="1">
        <f t="array" ref="L243">INT(SUMPRODUCT(--ISNUMBER(SEARCH(healthcare,C243)))&gt;0)</f>
        <v>1</v>
      </c>
      <c r="M243" s="14" cm="1">
        <f t="array" ref="M243">INT(SUMPRODUCT(--ISNUMBER(SEARCH(supreme,C243)))&gt;0)</f>
        <v>0</v>
      </c>
      <c r="N243" s="14" cm="1">
        <f t="array" ref="N243">INT(SUMPRODUCT(--ISNUMBER(SEARCH(covid,C243)))&gt;0)</f>
        <v>0</v>
      </c>
      <c r="O243" s="14" cm="1">
        <f t="array" ref="O243">INT(SUMPRODUCT(--ISNUMBER(SEARCH(violent,C243)))&gt;0)</f>
        <v>0</v>
      </c>
      <c r="P243" s="14" cm="1">
        <f t="array" ref="P243">INT(SUMPRODUCT(--ISNUMBER(SEARCH(foreign,C243)))&gt;0)</f>
        <v>0</v>
      </c>
      <c r="Q243" s="14" cm="1">
        <f t="array" ref="Q243">INT(SUMPRODUCT(--ISNUMBER(SEARCH(gun,C243)))&gt;0)</f>
        <v>0</v>
      </c>
      <c r="R243" s="14" cm="1">
        <f t="array" ref="R243">INT(SUMPRODUCT(--ISNUMBER(SEARCH(race,C243)))&gt;0)</f>
        <v>0</v>
      </c>
      <c r="S243" s="14" cm="1">
        <f t="array" ref="S243">INT(SUMPRODUCT(--ISNUMBER(SEARCH(immigration,C243)))&gt;0)</f>
        <v>0</v>
      </c>
      <c r="T243" s="14" cm="1">
        <f t="array" ref="T243">INT(SUMPRODUCT(--ISNUMBER(SEARCH(econineq,C244)))&gt;0)</f>
        <v>0</v>
      </c>
      <c r="U243" s="14" cm="1">
        <f t="array" ref="U243">INT(SUMPRODUCT(--ISNUMBER(SEARCH(climate,C243)))&gt;0)</f>
        <v>0</v>
      </c>
      <c r="V243" s="14" cm="1">
        <f t="array" ref="V243">INT(SUMPRODUCT(--ISNUMBER(SEARCH(abortion,C243)))&gt;0)</f>
        <v>0</v>
      </c>
      <c r="W243" s="14" cm="1">
        <f t="array" ref="W243">INT(SUMPRODUCT(--ISNUMBER(SEARCH(trump,C243)))&gt;0)</f>
        <v>0</v>
      </c>
      <c r="X243" s="14" cm="1">
        <f t="array" ref="X243">INT(SUMPRODUCT(--ISNUMBER(SEARCH(voting,C243)))&gt;0)</f>
        <v>1</v>
      </c>
      <c r="Y243" s="14" cm="1">
        <f t="array" ref="Y243">INT(SUMPRODUCT(--ISNUMBER(SEARCH(democrattrigger,C243)))&gt;0)</f>
        <v>0</v>
      </c>
      <c r="Z243" s="14" cm="1">
        <f t="array" ref="Z243">INT(SUMPRODUCT(--ISNUMBER(SEARCH(bipartisan,C243)))&gt;0)</f>
        <v>0</v>
      </c>
      <c r="AA243" s="14">
        <f t="shared" si="3"/>
        <v>0</v>
      </c>
      <c r="AB243" s="14"/>
      <c r="AC243" s="30">
        <v>1</v>
      </c>
      <c r="AD243" s="37">
        <v>0</v>
      </c>
    </row>
    <row r="244" spans="1:30" x14ac:dyDescent="0.25">
      <c r="A244" s="36">
        <v>2397</v>
      </c>
      <c r="B244" s="14" t="s">
        <v>4819</v>
      </c>
      <c r="C244" s="14" t="s">
        <v>4820</v>
      </c>
      <c r="D244" s="17">
        <v>44119</v>
      </c>
      <c r="E244" s="14" t="s">
        <v>30</v>
      </c>
      <c r="F244" s="14">
        <v>346</v>
      </c>
      <c r="G244" s="14">
        <v>30</v>
      </c>
      <c r="H244" s="14">
        <v>11</v>
      </c>
      <c r="I244" s="14">
        <v>6</v>
      </c>
      <c r="J244" s="14" t="s">
        <v>204</v>
      </c>
      <c r="K244" s="14" cm="1">
        <f t="array" ref="K244">INT(SUMPRODUCT(--ISNUMBER(SEARCH(economy,C244)))&gt;0)</f>
        <v>0</v>
      </c>
      <c r="L244" s="14" cm="1">
        <f t="array" ref="L244">INT(SUMPRODUCT(--ISNUMBER(SEARCH(healthcare,C244)))&gt;0)</f>
        <v>1</v>
      </c>
      <c r="M244" s="14" cm="1">
        <f t="array" ref="M244">INT(SUMPRODUCT(--ISNUMBER(SEARCH(supreme,C244)))&gt;0)</f>
        <v>0</v>
      </c>
      <c r="N244" s="14" cm="1">
        <f t="array" ref="N244">INT(SUMPRODUCT(--ISNUMBER(SEARCH(covid,C244)))&gt;0)</f>
        <v>0</v>
      </c>
      <c r="O244" s="14" cm="1">
        <f t="array" ref="O244">INT(SUMPRODUCT(--ISNUMBER(SEARCH(violent,C244)))&gt;0)</f>
        <v>0</v>
      </c>
      <c r="P244" s="14" cm="1">
        <f t="array" ref="P244">INT(SUMPRODUCT(--ISNUMBER(SEARCH(foreign,C244)))&gt;0)</f>
        <v>0</v>
      </c>
      <c r="Q244" s="14" cm="1">
        <f t="array" ref="Q244">INT(SUMPRODUCT(--ISNUMBER(SEARCH(gun,C244)))&gt;0)</f>
        <v>0</v>
      </c>
      <c r="R244" s="14" cm="1">
        <f t="array" ref="R244">INT(SUMPRODUCT(--ISNUMBER(SEARCH(race,C244)))&gt;0)</f>
        <v>0</v>
      </c>
      <c r="S244" s="14" cm="1">
        <f t="array" ref="S244">INT(SUMPRODUCT(--ISNUMBER(SEARCH(immigration,C244)))&gt;0)</f>
        <v>0</v>
      </c>
      <c r="T244" s="14" cm="1">
        <f t="array" ref="T244">INT(SUMPRODUCT(--ISNUMBER(SEARCH(econineq,C245)))&gt;0)</f>
        <v>0</v>
      </c>
      <c r="U244" s="14" cm="1">
        <f t="array" ref="U244">INT(SUMPRODUCT(--ISNUMBER(SEARCH(climate,C244)))&gt;0)</f>
        <v>0</v>
      </c>
      <c r="V244" s="14" cm="1">
        <f t="array" ref="V244">INT(SUMPRODUCT(--ISNUMBER(SEARCH(abortion,C244)))&gt;0)</f>
        <v>0</v>
      </c>
      <c r="W244" s="14" cm="1">
        <f t="array" ref="W244">INT(SUMPRODUCT(--ISNUMBER(SEARCH(trump,C244)))&gt;0)</f>
        <v>0</v>
      </c>
      <c r="X244" s="14" cm="1">
        <f t="array" ref="X244">INT(SUMPRODUCT(--ISNUMBER(SEARCH(voting,C244)))&gt;0)</f>
        <v>0</v>
      </c>
      <c r="Y244" s="14" cm="1">
        <f t="array" ref="Y244">INT(SUMPRODUCT(--ISNUMBER(SEARCH(democrattrigger,C244)))&gt;0)</f>
        <v>0</v>
      </c>
      <c r="Z244" s="14" cm="1">
        <f t="array" ref="Z244">INT(SUMPRODUCT(--ISNUMBER(SEARCH(bipartisan,C244)))&gt;0)</f>
        <v>0</v>
      </c>
      <c r="AA244" s="14">
        <f t="shared" si="3"/>
        <v>0</v>
      </c>
      <c r="AB244" s="14"/>
      <c r="AC244" s="30" t="s">
        <v>223</v>
      </c>
      <c r="AD244" s="37" t="s">
        <v>223</v>
      </c>
    </row>
    <row r="245" spans="1:30" x14ac:dyDescent="0.25">
      <c r="A245" s="36">
        <v>2398</v>
      </c>
      <c r="B245" s="14" t="s">
        <v>4821</v>
      </c>
      <c r="C245" s="14" t="s">
        <v>4822</v>
      </c>
      <c r="D245" s="17">
        <v>44119</v>
      </c>
      <c r="E245" s="14" t="s">
        <v>30</v>
      </c>
      <c r="F245" s="14">
        <v>231</v>
      </c>
      <c r="G245" s="14">
        <v>35</v>
      </c>
      <c r="H245" s="14">
        <v>11</v>
      </c>
      <c r="I245" s="14">
        <v>6</v>
      </c>
      <c r="J245" s="14" t="s">
        <v>204</v>
      </c>
      <c r="K245" s="14" cm="1">
        <f t="array" ref="K245">INT(SUMPRODUCT(--ISNUMBER(SEARCH(economy,C245)))&gt;0)</f>
        <v>0</v>
      </c>
      <c r="L245" s="14" cm="1">
        <f t="array" ref="L245">INT(SUMPRODUCT(--ISNUMBER(SEARCH(healthcare,C245)))&gt;0)</f>
        <v>0</v>
      </c>
      <c r="M245" s="14" cm="1">
        <f t="array" ref="M245">INT(SUMPRODUCT(--ISNUMBER(SEARCH(supreme,C245)))&gt;0)</f>
        <v>0</v>
      </c>
      <c r="N245" s="14" cm="1">
        <f t="array" ref="N245">INT(SUMPRODUCT(--ISNUMBER(SEARCH(covid,C245)))&gt;0)</f>
        <v>0</v>
      </c>
      <c r="O245" s="14" cm="1">
        <f t="array" ref="O245">INT(SUMPRODUCT(--ISNUMBER(SEARCH(violent,C245)))&gt;0)</f>
        <v>0</v>
      </c>
      <c r="P245" s="14" cm="1">
        <f t="array" ref="P245">INT(SUMPRODUCT(--ISNUMBER(SEARCH(foreign,C245)))&gt;0)</f>
        <v>0</v>
      </c>
      <c r="Q245" s="14" cm="1">
        <f t="array" ref="Q245">INT(SUMPRODUCT(--ISNUMBER(SEARCH(gun,C245)))&gt;0)</f>
        <v>0</v>
      </c>
      <c r="R245" s="14" cm="1">
        <f t="array" ref="R245">INT(SUMPRODUCT(--ISNUMBER(SEARCH(race,C245)))&gt;0)</f>
        <v>0</v>
      </c>
      <c r="S245" s="14" cm="1">
        <f t="array" ref="S245">INT(SUMPRODUCT(--ISNUMBER(SEARCH(immigration,C245)))&gt;0)</f>
        <v>0</v>
      </c>
      <c r="T245" s="14" cm="1">
        <f t="array" ref="T245">INT(SUMPRODUCT(--ISNUMBER(SEARCH(econineq,C246)))&gt;0)</f>
        <v>0</v>
      </c>
      <c r="U245" s="14" cm="1">
        <f t="array" ref="U245">INT(SUMPRODUCT(--ISNUMBER(SEARCH(climate,C245)))&gt;0)</f>
        <v>0</v>
      </c>
      <c r="V245" s="14" cm="1">
        <f t="array" ref="V245">INT(SUMPRODUCT(--ISNUMBER(SEARCH(abortion,C245)))&gt;0)</f>
        <v>0</v>
      </c>
      <c r="W245" s="14" cm="1">
        <f t="array" ref="W245">INT(SUMPRODUCT(--ISNUMBER(SEARCH(trump,C245)))&gt;0)</f>
        <v>0</v>
      </c>
      <c r="X245" s="14" cm="1">
        <f t="array" ref="X245">INT(SUMPRODUCT(--ISNUMBER(SEARCH(voting,C245)))&gt;0)</f>
        <v>0</v>
      </c>
      <c r="Y245" s="14" cm="1">
        <f t="array" ref="Y245">INT(SUMPRODUCT(--ISNUMBER(SEARCH(democrattrigger,C245)))&gt;0)</f>
        <v>0</v>
      </c>
      <c r="Z245" s="14" cm="1">
        <f t="array" ref="Z245">INT(SUMPRODUCT(--ISNUMBER(SEARCH(bipartisan,C245)))&gt;0)</f>
        <v>0</v>
      </c>
      <c r="AA245" s="14">
        <f t="shared" si="3"/>
        <v>1</v>
      </c>
      <c r="AB245" s="14"/>
      <c r="AC245" s="30" t="s">
        <v>223</v>
      </c>
      <c r="AD245" s="37" t="s">
        <v>223</v>
      </c>
    </row>
    <row r="246" spans="1:30" x14ac:dyDescent="0.25">
      <c r="A246" s="36">
        <v>2399</v>
      </c>
      <c r="B246" s="14" t="s">
        <v>4823</v>
      </c>
      <c r="C246" s="14" t="s">
        <v>4824</v>
      </c>
      <c r="D246" s="17">
        <v>44119</v>
      </c>
      <c r="E246" s="14" t="s">
        <v>30</v>
      </c>
      <c r="F246" s="14">
        <v>86</v>
      </c>
      <c r="G246" s="14">
        <v>16</v>
      </c>
      <c r="H246" s="14">
        <v>11</v>
      </c>
      <c r="I246" s="14">
        <v>6</v>
      </c>
      <c r="J246" s="14" t="s">
        <v>204</v>
      </c>
      <c r="K246" s="14" cm="1">
        <f t="array" ref="K246">INT(SUMPRODUCT(--ISNUMBER(SEARCH(economy,C246)))&gt;0)</f>
        <v>1</v>
      </c>
      <c r="L246" s="14" cm="1">
        <f t="array" ref="L246">INT(SUMPRODUCT(--ISNUMBER(SEARCH(healthcare,C246)))&gt;0)</f>
        <v>1</v>
      </c>
      <c r="M246" s="14" cm="1">
        <f t="array" ref="M246">INT(SUMPRODUCT(--ISNUMBER(SEARCH(supreme,C246)))&gt;0)</f>
        <v>0</v>
      </c>
      <c r="N246" s="14" cm="1">
        <f t="array" ref="N246">INT(SUMPRODUCT(--ISNUMBER(SEARCH(covid,C246)))&gt;0)</f>
        <v>0</v>
      </c>
      <c r="O246" s="14" cm="1">
        <f t="array" ref="O246">INT(SUMPRODUCT(--ISNUMBER(SEARCH(violent,C246)))&gt;0)</f>
        <v>0</v>
      </c>
      <c r="P246" s="14" cm="1">
        <f t="array" ref="P246">INT(SUMPRODUCT(--ISNUMBER(SEARCH(foreign,C246)))&gt;0)</f>
        <v>0</v>
      </c>
      <c r="Q246" s="14" cm="1">
        <f t="array" ref="Q246">INT(SUMPRODUCT(--ISNUMBER(SEARCH(gun,C246)))&gt;0)</f>
        <v>0</v>
      </c>
      <c r="R246" s="14" cm="1">
        <f t="array" ref="R246">INT(SUMPRODUCT(--ISNUMBER(SEARCH(race,C246)))&gt;0)</f>
        <v>0</v>
      </c>
      <c r="S246" s="14" cm="1">
        <f t="array" ref="S246">INT(SUMPRODUCT(--ISNUMBER(SEARCH(immigration,C246)))&gt;0)</f>
        <v>0</v>
      </c>
      <c r="T246" s="14" cm="1">
        <f t="array" ref="T246">INT(SUMPRODUCT(--ISNUMBER(SEARCH(econineq,C247)))&gt;0)</f>
        <v>0</v>
      </c>
      <c r="U246" s="14" cm="1">
        <f t="array" ref="U246">INT(SUMPRODUCT(--ISNUMBER(SEARCH(climate,C246)))&gt;0)</f>
        <v>0</v>
      </c>
      <c r="V246" s="14" cm="1">
        <f t="array" ref="V246">INT(SUMPRODUCT(--ISNUMBER(SEARCH(abortion,C246)))&gt;0)</f>
        <v>0</v>
      </c>
      <c r="W246" s="14" cm="1">
        <f t="array" ref="W246">INT(SUMPRODUCT(--ISNUMBER(SEARCH(trump,C246)))&gt;0)</f>
        <v>0</v>
      </c>
      <c r="X246" s="14" cm="1">
        <f t="array" ref="X246">INT(SUMPRODUCT(--ISNUMBER(SEARCH(voting,C246)))&gt;0)</f>
        <v>1</v>
      </c>
      <c r="Y246" s="14" cm="1">
        <f t="array" ref="Y246">INT(SUMPRODUCT(--ISNUMBER(SEARCH(democrattrigger,C246)))&gt;0)</f>
        <v>0</v>
      </c>
      <c r="Z246" s="14" cm="1">
        <f t="array" ref="Z246">INT(SUMPRODUCT(--ISNUMBER(SEARCH(bipartisan,C246)))&gt;0)</f>
        <v>0</v>
      </c>
      <c r="AA246" s="14">
        <f t="shared" si="3"/>
        <v>0</v>
      </c>
      <c r="AB246" s="14"/>
      <c r="AC246" s="30" t="s">
        <v>223</v>
      </c>
      <c r="AD246" s="37" t="s">
        <v>223</v>
      </c>
    </row>
    <row r="247" spans="1:30" x14ac:dyDescent="0.25">
      <c r="A247" s="36">
        <v>2400</v>
      </c>
      <c r="B247" s="14" t="s">
        <v>4825</v>
      </c>
      <c r="C247" s="14" t="s">
        <v>4826</v>
      </c>
      <c r="D247" s="17">
        <v>44119</v>
      </c>
      <c r="E247" s="14" t="s">
        <v>30</v>
      </c>
      <c r="F247" s="14">
        <v>134</v>
      </c>
      <c r="G247" s="14">
        <v>30</v>
      </c>
      <c r="H247" s="14">
        <v>11</v>
      </c>
      <c r="I247" s="14">
        <v>6</v>
      </c>
      <c r="J247" s="14" t="s">
        <v>204</v>
      </c>
      <c r="K247" s="14" cm="1">
        <f t="array" ref="K247">INT(SUMPRODUCT(--ISNUMBER(SEARCH(economy,C247)))&gt;0)</f>
        <v>0</v>
      </c>
      <c r="L247" s="14" cm="1">
        <f t="array" ref="L247">INT(SUMPRODUCT(--ISNUMBER(SEARCH(healthcare,C247)))&gt;0)</f>
        <v>1</v>
      </c>
      <c r="M247" s="14" cm="1">
        <f t="array" ref="M247">INT(SUMPRODUCT(--ISNUMBER(SEARCH(supreme,C247)))&gt;0)</f>
        <v>0</v>
      </c>
      <c r="N247" s="14" cm="1">
        <f t="array" ref="N247">INT(SUMPRODUCT(--ISNUMBER(SEARCH(covid,C247)))&gt;0)</f>
        <v>0</v>
      </c>
      <c r="O247" s="14" cm="1">
        <f t="array" ref="O247">INT(SUMPRODUCT(--ISNUMBER(SEARCH(violent,C247)))&gt;0)</f>
        <v>0</v>
      </c>
      <c r="P247" s="14" cm="1">
        <f t="array" ref="P247">INT(SUMPRODUCT(--ISNUMBER(SEARCH(foreign,C247)))&gt;0)</f>
        <v>0</v>
      </c>
      <c r="Q247" s="14" cm="1">
        <f t="array" ref="Q247">INT(SUMPRODUCT(--ISNUMBER(SEARCH(gun,C247)))&gt;0)</f>
        <v>0</v>
      </c>
      <c r="R247" s="14" cm="1">
        <f t="array" ref="R247">INT(SUMPRODUCT(--ISNUMBER(SEARCH(race,C247)))&gt;0)</f>
        <v>0</v>
      </c>
      <c r="S247" s="14" cm="1">
        <f t="array" ref="S247">INT(SUMPRODUCT(--ISNUMBER(SEARCH(immigration,C247)))&gt;0)</f>
        <v>0</v>
      </c>
      <c r="T247" s="14" cm="1">
        <f t="array" ref="T247">INT(SUMPRODUCT(--ISNUMBER(SEARCH(econineq,C248)))&gt;0)</f>
        <v>0</v>
      </c>
      <c r="U247" s="14" cm="1">
        <f t="array" ref="U247">INT(SUMPRODUCT(--ISNUMBER(SEARCH(climate,C247)))&gt;0)</f>
        <v>0</v>
      </c>
      <c r="V247" s="14" cm="1">
        <f t="array" ref="V247">INT(SUMPRODUCT(--ISNUMBER(SEARCH(abortion,C247)))&gt;0)</f>
        <v>0</v>
      </c>
      <c r="W247" s="14" cm="1">
        <f t="array" ref="W247">INT(SUMPRODUCT(--ISNUMBER(SEARCH(trump,C247)))&gt;0)</f>
        <v>0</v>
      </c>
      <c r="X247" s="14" cm="1">
        <f t="array" ref="X247">INT(SUMPRODUCT(--ISNUMBER(SEARCH(voting,C247)))&gt;0)</f>
        <v>1</v>
      </c>
      <c r="Y247" s="14" cm="1">
        <f t="array" ref="Y247">INT(SUMPRODUCT(--ISNUMBER(SEARCH(democrattrigger,C247)))&gt;0)</f>
        <v>1</v>
      </c>
      <c r="Z247" s="14" cm="1">
        <f t="array" ref="Z247">INT(SUMPRODUCT(--ISNUMBER(SEARCH(bipartisan,C247)))&gt;0)</f>
        <v>0</v>
      </c>
      <c r="AA247" s="14">
        <f t="shared" si="3"/>
        <v>0</v>
      </c>
      <c r="AB247" s="14"/>
      <c r="AC247" s="30" t="s">
        <v>223</v>
      </c>
      <c r="AD247" s="37" t="s">
        <v>223</v>
      </c>
    </row>
    <row r="248" spans="1:30" x14ac:dyDescent="0.25">
      <c r="A248" s="36">
        <v>2401</v>
      </c>
      <c r="B248" s="14" t="s">
        <v>4827</v>
      </c>
      <c r="C248" s="14" t="s">
        <v>4828</v>
      </c>
      <c r="D248" s="17">
        <v>44118</v>
      </c>
      <c r="E248" s="14" t="s">
        <v>30</v>
      </c>
      <c r="F248" s="14">
        <v>43</v>
      </c>
      <c r="G248" s="14">
        <v>15</v>
      </c>
      <c r="H248" s="14">
        <v>11</v>
      </c>
      <c r="I248" s="14">
        <v>6</v>
      </c>
      <c r="J248" s="14" t="s">
        <v>204</v>
      </c>
      <c r="K248" s="14" cm="1">
        <f t="array" ref="K248">INT(SUMPRODUCT(--ISNUMBER(SEARCH(economy,C248)))&gt;0)</f>
        <v>0</v>
      </c>
      <c r="L248" s="14" cm="1">
        <f t="array" ref="L248">INT(SUMPRODUCT(--ISNUMBER(SEARCH(healthcare,C248)))&gt;0)</f>
        <v>0</v>
      </c>
      <c r="M248" s="14" cm="1">
        <f t="array" ref="M248">INT(SUMPRODUCT(--ISNUMBER(SEARCH(supreme,C248)))&gt;0)</f>
        <v>0</v>
      </c>
      <c r="N248" s="14" cm="1">
        <f t="array" ref="N248">INT(SUMPRODUCT(--ISNUMBER(SEARCH(covid,C248)))&gt;0)</f>
        <v>0</v>
      </c>
      <c r="O248" s="14" cm="1">
        <f t="array" ref="O248">INT(SUMPRODUCT(--ISNUMBER(SEARCH(violent,C248)))&gt;0)</f>
        <v>0</v>
      </c>
      <c r="P248" s="14" cm="1">
        <f t="array" ref="P248">INT(SUMPRODUCT(--ISNUMBER(SEARCH(foreign,C248)))&gt;0)</f>
        <v>0</v>
      </c>
      <c r="Q248" s="14" cm="1">
        <f t="array" ref="Q248">INT(SUMPRODUCT(--ISNUMBER(SEARCH(gun,C248)))&gt;0)</f>
        <v>0</v>
      </c>
      <c r="R248" s="14" cm="1">
        <f t="array" ref="R248">INT(SUMPRODUCT(--ISNUMBER(SEARCH(race,C248)))&gt;0)</f>
        <v>0</v>
      </c>
      <c r="S248" s="14" cm="1">
        <f t="array" ref="S248">INT(SUMPRODUCT(--ISNUMBER(SEARCH(immigration,C248)))&gt;0)</f>
        <v>0</v>
      </c>
      <c r="T248" s="14" cm="1">
        <f t="array" ref="T248">INT(SUMPRODUCT(--ISNUMBER(SEARCH(econineq,C249)))&gt;0)</f>
        <v>0</v>
      </c>
      <c r="U248" s="14" cm="1">
        <f t="array" ref="U248">INT(SUMPRODUCT(--ISNUMBER(SEARCH(climate,C248)))&gt;0)</f>
        <v>0</v>
      </c>
      <c r="V248" s="14" cm="1">
        <f t="array" ref="V248">INT(SUMPRODUCT(--ISNUMBER(SEARCH(abortion,C248)))&gt;0)</f>
        <v>0</v>
      </c>
      <c r="W248" s="14" cm="1">
        <f t="array" ref="W248">INT(SUMPRODUCT(--ISNUMBER(SEARCH(trump,C248)))&gt;0)</f>
        <v>1</v>
      </c>
      <c r="X248" s="14" cm="1">
        <f t="array" ref="X248">INT(SUMPRODUCT(--ISNUMBER(SEARCH(voting,C248)))&gt;0)</f>
        <v>1</v>
      </c>
      <c r="Y248" s="14" cm="1">
        <f t="array" ref="Y248">INT(SUMPRODUCT(--ISNUMBER(SEARCH(democrattrigger,C248)))&gt;0)</f>
        <v>1</v>
      </c>
      <c r="Z248" s="14" cm="1">
        <f t="array" ref="Z248">INT(SUMPRODUCT(--ISNUMBER(SEARCH(bipartisan,C248)))&gt;0)</f>
        <v>0</v>
      </c>
      <c r="AA248" s="14">
        <f t="shared" si="3"/>
        <v>0</v>
      </c>
      <c r="AB248" s="14"/>
      <c r="AC248" s="30" t="s">
        <v>223</v>
      </c>
      <c r="AD248" s="37" t="s">
        <v>223</v>
      </c>
    </row>
    <row r="249" spans="1:30" x14ac:dyDescent="0.25">
      <c r="A249" s="36">
        <v>2402</v>
      </c>
      <c r="B249" s="14" t="s">
        <v>4829</v>
      </c>
      <c r="C249" s="14" t="s">
        <v>4830</v>
      </c>
      <c r="D249" s="17">
        <v>44118</v>
      </c>
      <c r="E249" s="14" t="s">
        <v>30</v>
      </c>
      <c r="F249" s="14">
        <v>136</v>
      </c>
      <c r="G249" s="14">
        <v>17</v>
      </c>
      <c r="H249" s="14">
        <v>11</v>
      </c>
      <c r="I249" s="14">
        <v>6</v>
      </c>
      <c r="J249" s="14" t="s">
        <v>204</v>
      </c>
      <c r="K249" s="14" cm="1">
        <f t="array" ref="K249">INT(SUMPRODUCT(--ISNUMBER(SEARCH(economy,C249)))&gt;0)</f>
        <v>0</v>
      </c>
      <c r="L249" s="14" cm="1">
        <f t="array" ref="L249">INT(SUMPRODUCT(--ISNUMBER(SEARCH(healthcare,C249)))&gt;0)</f>
        <v>0</v>
      </c>
      <c r="M249" s="14" cm="1">
        <f t="array" ref="M249">INT(SUMPRODUCT(--ISNUMBER(SEARCH(supreme,C249)))&gt;0)</f>
        <v>0</v>
      </c>
      <c r="N249" s="14" cm="1">
        <f t="array" ref="N249">INT(SUMPRODUCT(--ISNUMBER(SEARCH(covid,C249)))&gt;0)</f>
        <v>0</v>
      </c>
      <c r="O249" s="14" cm="1">
        <f t="array" ref="O249">INT(SUMPRODUCT(--ISNUMBER(SEARCH(violent,C249)))&gt;0)</f>
        <v>0</v>
      </c>
      <c r="P249" s="14" cm="1">
        <f t="array" ref="P249">INT(SUMPRODUCT(--ISNUMBER(SEARCH(foreign,C249)))&gt;0)</f>
        <v>0</v>
      </c>
      <c r="Q249" s="14" cm="1">
        <f t="array" ref="Q249">INT(SUMPRODUCT(--ISNUMBER(SEARCH(gun,C249)))&gt;0)</f>
        <v>0</v>
      </c>
      <c r="R249" s="14" cm="1">
        <f t="array" ref="R249">INT(SUMPRODUCT(--ISNUMBER(SEARCH(race,C249)))&gt;0)</f>
        <v>0</v>
      </c>
      <c r="S249" s="14" cm="1">
        <f t="array" ref="S249">INT(SUMPRODUCT(--ISNUMBER(SEARCH(immigration,C249)))&gt;0)</f>
        <v>0</v>
      </c>
      <c r="T249" s="14" cm="1">
        <f t="array" ref="T249">INT(SUMPRODUCT(--ISNUMBER(SEARCH(econineq,C250)))&gt;0)</f>
        <v>0</v>
      </c>
      <c r="U249" s="14" cm="1">
        <f t="array" ref="U249">INT(SUMPRODUCT(--ISNUMBER(SEARCH(climate,C249)))&gt;0)</f>
        <v>0</v>
      </c>
      <c r="V249" s="14" cm="1">
        <f t="array" ref="V249">INT(SUMPRODUCT(--ISNUMBER(SEARCH(abortion,C249)))&gt;0)</f>
        <v>0</v>
      </c>
      <c r="W249" s="14" cm="1">
        <f t="array" ref="W249">INT(SUMPRODUCT(--ISNUMBER(SEARCH(trump,C249)))&gt;0)</f>
        <v>0</v>
      </c>
      <c r="X249" s="14" cm="1">
        <f t="array" ref="X249">INT(SUMPRODUCT(--ISNUMBER(SEARCH(voting,C249)))&gt;0)</f>
        <v>0</v>
      </c>
      <c r="Y249" s="14" cm="1">
        <f t="array" ref="Y249">INT(SUMPRODUCT(--ISNUMBER(SEARCH(democrattrigger,C249)))&gt;0)</f>
        <v>0</v>
      </c>
      <c r="Z249" s="14" cm="1">
        <f t="array" ref="Z249">INT(SUMPRODUCT(--ISNUMBER(SEARCH(bipartisan,C249)))&gt;0)</f>
        <v>0</v>
      </c>
      <c r="AA249" s="14">
        <f t="shared" si="3"/>
        <v>1</v>
      </c>
      <c r="AB249" s="14"/>
      <c r="AC249" s="30" t="s">
        <v>223</v>
      </c>
      <c r="AD249" s="37" t="s">
        <v>223</v>
      </c>
    </row>
    <row r="250" spans="1:30" x14ac:dyDescent="0.25">
      <c r="A250" s="36">
        <v>2403</v>
      </c>
      <c r="B250" s="14" t="s">
        <v>4831</v>
      </c>
      <c r="C250" s="14" t="s">
        <v>4832</v>
      </c>
      <c r="D250" s="17">
        <v>44118</v>
      </c>
      <c r="E250" s="14" t="s">
        <v>30</v>
      </c>
      <c r="F250" s="14">
        <v>172</v>
      </c>
      <c r="G250" s="14">
        <v>45</v>
      </c>
      <c r="H250" s="14">
        <v>11</v>
      </c>
      <c r="I250" s="14">
        <v>6</v>
      </c>
      <c r="J250" s="14" t="s">
        <v>204</v>
      </c>
      <c r="K250" s="14" cm="1">
        <f t="array" ref="K250">INT(SUMPRODUCT(--ISNUMBER(SEARCH(economy,C250)))&gt;0)</f>
        <v>0</v>
      </c>
      <c r="L250" s="14" cm="1">
        <f t="array" ref="L250">INT(SUMPRODUCT(--ISNUMBER(SEARCH(healthcare,C250)))&gt;0)</f>
        <v>0</v>
      </c>
      <c r="M250" s="14" cm="1">
        <f t="array" ref="M250">INT(SUMPRODUCT(--ISNUMBER(SEARCH(supreme,C250)))&gt;0)</f>
        <v>0</v>
      </c>
      <c r="N250" s="14" cm="1">
        <f t="array" ref="N250">INT(SUMPRODUCT(--ISNUMBER(SEARCH(covid,C250)))&gt;0)</f>
        <v>0</v>
      </c>
      <c r="O250" s="14" cm="1">
        <f t="array" ref="O250">INT(SUMPRODUCT(--ISNUMBER(SEARCH(violent,C250)))&gt;0)</f>
        <v>0</v>
      </c>
      <c r="P250" s="14" cm="1">
        <f t="array" ref="P250">INT(SUMPRODUCT(--ISNUMBER(SEARCH(foreign,C250)))&gt;0)</f>
        <v>0</v>
      </c>
      <c r="Q250" s="14" cm="1">
        <f t="array" ref="Q250">INT(SUMPRODUCT(--ISNUMBER(SEARCH(gun,C250)))&gt;0)</f>
        <v>0</v>
      </c>
      <c r="R250" s="14" cm="1">
        <f t="array" ref="R250">INT(SUMPRODUCT(--ISNUMBER(SEARCH(race,C250)))&gt;0)</f>
        <v>0</v>
      </c>
      <c r="S250" s="14" cm="1">
        <f t="array" ref="S250">INT(SUMPRODUCT(--ISNUMBER(SEARCH(immigration,C250)))&gt;0)</f>
        <v>0</v>
      </c>
      <c r="T250" s="14" cm="1">
        <f t="array" ref="T250">INT(SUMPRODUCT(--ISNUMBER(SEARCH(econineq,C251)))&gt;0)</f>
        <v>0</v>
      </c>
      <c r="U250" s="14" cm="1">
        <f t="array" ref="U250">INT(SUMPRODUCT(--ISNUMBER(SEARCH(climate,C250)))&gt;0)</f>
        <v>0</v>
      </c>
      <c r="V250" s="14" cm="1">
        <f t="array" ref="V250">INT(SUMPRODUCT(--ISNUMBER(SEARCH(abortion,C250)))&gt;0)</f>
        <v>0</v>
      </c>
      <c r="W250" s="14" cm="1">
        <f t="array" ref="W250">INT(SUMPRODUCT(--ISNUMBER(SEARCH(trump,C250)))&gt;0)</f>
        <v>1</v>
      </c>
      <c r="X250" s="14" cm="1">
        <f t="array" ref="X250">INT(SUMPRODUCT(--ISNUMBER(SEARCH(voting,C250)))&gt;0)</f>
        <v>1</v>
      </c>
      <c r="Y250" s="14" cm="1">
        <f t="array" ref="Y250">INT(SUMPRODUCT(--ISNUMBER(SEARCH(democrattrigger,C250)))&gt;0)</f>
        <v>1</v>
      </c>
      <c r="Z250" s="14" cm="1">
        <f t="array" ref="Z250">INT(SUMPRODUCT(--ISNUMBER(SEARCH(bipartisan,C250)))&gt;0)</f>
        <v>0</v>
      </c>
      <c r="AA250" s="14">
        <f t="shared" si="3"/>
        <v>0</v>
      </c>
      <c r="AB250" s="14"/>
      <c r="AC250" s="30" t="s">
        <v>223</v>
      </c>
      <c r="AD250" s="37" t="s">
        <v>223</v>
      </c>
    </row>
    <row r="251" spans="1:30" x14ac:dyDescent="0.25">
      <c r="A251" s="36">
        <v>2404</v>
      </c>
      <c r="B251" s="14" t="s">
        <v>4833</v>
      </c>
      <c r="C251" s="14" t="s">
        <v>4834</v>
      </c>
      <c r="D251" s="17">
        <v>44118</v>
      </c>
      <c r="E251" s="14" t="s">
        <v>30</v>
      </c>
      <c r="F251" s="14">
        <v>65</v>
      </c>
      <c r="G251" s="14">
        <v>16</v>
      </c>
      <c r="H251" s="14">
        <v>11</v>
      </c>
      <c r="I251" s="14">
        <v>6</v>
      </c>
      <c r="J251" s="14" t="s">
        <v>204</v>
      </c>
      <c r="K251" s="14" cm="1">
        <f t="array" ref="K251">INT(SUMPRODUCT(--ISNUMBER(SEARCH(economy,C251)))&gt;0)</f>
        <v>0</v>
      </c>
      <c r="L251" s="14" cm="1">
        <f t="array" ref="L251">INT(SUMPRODUCT(--ISNUMBER(SEARCH(healthcare,C251)))&gt;0)</f>
        <v>0</v>
      </c>
      <c r="M251" s="14" cm="1">
        <f t="array" ref="M251">INT(SUMPRODUCT(--ISNUMBER(SEARCH(supreme,C251)))&gt;0)</f>
        <v>0</v>
      </c>
      <c r="N251" s="14" cm="1">
        <f t="array" ref="N251">INT(SUMPRODUCT(--ISNUMBER(SEARCH(covid,C251)))&gt;0)</f>
        <v>0</v>
      </c>
      <c r="O251" s="14" cm="1">
        <f t="array" ref="O251">INT(SUMPRODUCT(--ISNUMBER(SEARCH(violent,C251)))&gt;0)</f>
        <v>0</v>
      </c>
      <c r="P251" s="14" cm="1">
        <f t="array" ref="P251">INT(SUMPRODUCT(--ISNUMBER(SEARCH(foreign,C251)))&gt;0)</f>
        <v>0</v>
      </c>
      <c r="Q251" s="14" cm="1">
        <f t="array" ref="Q251">INT(SUMPRODUCT(--ISNUMBER(SEARCH(gun,C251)))&gt;0)</f>
        <v>0</v>
      </c>
      <c r="R251" s="14" cm="1">
        <f t="array" ref="R251">INT(SUMPRODUCT(--ISNUMBER(SEARCH(race,C251)))&gt;0)</f>
        <v>0</v>
      </c>
      <c r="S251" s="14" cm="1">
        <f t="array" ref="S251">INT(SUMPRODUCT(--ISNUMBER(SEARCH(immigration,C251)))&gt;0)</f>
        <v>0</v>
      </c>
      <c r="T251" s="14" cm="1">
        <f t="array" ref="T251">INT(SUMPRODUCT(--ISNUMBER(SEARCH(econineq,C252)))&gt;0)</f>
        <v>0</v>
      </c>
      <c r="U251" s="14" cm="1">
        <f t="array" ref="U251">INT(SUMPRODUCT(--ISNUMBER(SEARCH(climate,C251)))&gt;0)</f>
        <v>0</v>
      </c>
      <c r="V251" s="14" cm="1">
        <f t="array" ref="V251">INT(SUMPRODUCT(--ISNUMBER(SEARCH(abortion,C251)))&gt;0)</f>
        <v>0</v>
      </c>
      <c r="W251" s="14" cm="1">
        <f t="array" ref="W251">INT(SUMPRODUCT(--ISNUMBER(SEARCH(trump,C251)))&gt;0)</f>
        <v>0</v>
      </c>
      <c r="X251" s="14" cm="1">
        <f t="array" ref="X251">INT(SUMPRODUCT(--ISNUMBER(SEARCH(voting,C251)))&gt;0)</f>
        <v>0</v>
      </c>
      <c r="Y251" s="14" cm="1">
        <f t="array" ref="Y251">INT(SUMPRODUCT(--ISNUMBER(SEARCH(democrattrigger,C251)))&gt;0)</f>
        <v>0</v>
      </c>
      <c r="Z251" s="14" cm="1">
        <f t="array" ref="Z251">INT(SUMPRODUCT(--ISNUMBER(SEARCH(bipartisan,C251)))&gt;0)</f>
        <v>0</v>
      </c>
      <c r="AA251" s="14">
        <f t="shared" si="3"/>
        <v>1</v>
      </c>
      <c r="AB251" s="14"/>
      <c r="AC251" s="30" t="s">
        <v>223</v>
      </c>
      <c r="AD251" s="37" t="s">
        <v>223</v>
      </c>
    </row>
    <row r="252" spans="1:30" x14ac:dyDescent="0.25">
      <c r="A252" s="36">
        <v>2405</v>
      </c>
      <c r="B252" s="14" t="s">
        <v>4835</v>
      </c>
      <c r="C252" s="14" t="s">
        <v>4836</v>
      </c>
      <c r="D252" s="17">
        <v>44118</v>
      </c>
      <c r="E252" s="14" t="s">
        <v>30</v>
      </c>
      <c r="F252" s="14">
        <v>217</v>
      </c>
      <c r="G252" s="14">
        <v>33</v>
      </c>
      <c r="H252" s="14">
        <v>11</v>
      </c>
      <c r="I252" s="14">
        <v>6</v>
      </c>
      <c r="J252" s="14" t="s">
        <v>204</v>
      </c>
      <c r="K252" s="14" cm="1">
        <f t="array" ref="K252">INT(SUMPRODUCT(--ISNUMBER(SEARCH(economy,C252)))&gt;0)</f>
        <v>0</v>
      </c>
      <c r="L252" s="14" cm="1">
        <f t="array" ref="L252">INT(SUMPRODUCT(--ISNUMBER(SEARCH(healthcare,C252)))&gt;0)</f>
        <v>0</v>
      </c>
      <c r="M252" s="14" cm="1">
        <f t="array" ref="M252">INT(SUMPRODUCT(--ISNUMBER(SEARCH(supreme,C252)))&gt;0)</f>
        <v>0</v>
      </c>
      <c r="N252" s="14" cm="1">
        <f t="array" ref="N252">INT(SUMPRODUCT(--ISNUMBER(SEARCH(covid,C252)))&gt;0)</f>
        <v>0</v>
      </c>
      <c r="O252" s="14" cm="1">
        <f t="array" ref="O252">INT(SUMPRODUCT(--ISNUMBER(SEARCH(violent,C252)))&gt;0)</f>
        <v>0</v>
      </c>
      <c r="P252" s="14" cm="1">
        <f t="array" ref="P252">INT(SUMPRODUCT(--ISNUMBER(SEARCH(foreign,C252)))&gt;0)</f>
        <v>0</v>
      </c>
      <c r="Q252" s="14" cm="1">
        <f t="array" ref="Q252">INT(SUMPRODUCT(--ISNUMBER(SEARCH(gun,C252)))&gt;0)</f>
        <v>0</v>
      </c>
      <c r="R252" s="14" cm="1">
        <f t="array" ref="R252">INT(SUMPRODUCT(--ISNUMBER(SEARCH(race,C252)))&gt;0)</f>
        <v>1</v>
      </c>
      <c r="S252" s="14" cm="1">
        <f t="array" ref="S252">INT(SUMPRODUCT(--ISNUMBER(SEARCH(immigration,C252)))&gt;0)</f>
        <v>0</v>
      </c>
      <c r="T252" s="14" cm="1">
        <f t="array" ref="T252">INT(SUMPRODUCT(--ISNUMBER(SEARCH(econineq,C253)))&gt;0)</f>
        <v>0</v>
      </c>
      <c r="U252" s="14" cm="1">
        <f t="array" ref="U252">INT(SUMPRODUCT(--ISNUMBER(SEARCH(climate,C252)))&gt;0)</f>
        <v>0</v>
      </c>
      <c r="V252" s="14" cm="1">
        <f t="array" ref="V252">INT(SUMPRODUCT(--ISNUMBER(SEARCH(abortion,C252)))&gt;0)</f>
        <v>0</v>
      </c>
      <c r="W252" s="14" cm="1">
        <f t="array" ref="W252">INT(SUMPRODUCT(--ISNUMBER(SEARCH(trump,C252)))&gt;0)</f>
        <v>0</v>
      </c>
      <c r="X252" s="14" cm="1">
        <f t="array" ref="X252">INT(SUMPRODUCT(--ISNUMBER(SEARCH(voting,C252)))&gt;0)</f>
        <v>0</v>
      </c>
      <c r="Y252" s="14" cm="1">
        <f t="array" ref="Y252">INT(SUMPRODUCT(--ISNUMBER(SEARCH(democrattrigger,C252)))&gt;0)</f>
        <v>0</v>
      </c>
      <c r="Z252" s="14" cm="1">
        <f t="array" ref="Z252">INT(SUMPRODUCT(--ISNUMBER(SEARCH(bipartisan,C252)))&gt;0)</f>
        <v>0</v>
      </c>
      <c r="AA252" s="14">
        <f t="shared" si="3"/>
        <v>0</v>
      </c>
      <c r="AB252" s="14"/>
      <c r="AC252" s="30" t="s">
        <v>223</v>
      </c>
      <c r="AD252" s="37" t="s">
        <v>223</v>
      </c>
    </row>
    <row r="253" spans="1:30" x14ac:dyDescent="0.25">
      <c r="A253" s="36">
        <v>2406</v>
      </c>
      <c r="B253" s="14" t="s">
        <v>4837</v>
      </c>
      <c r="C253" s="14" t="s">
        <v>4838</v>
      </c>
      <c r="D253" s="17">
        <v>44118</v>
      </c>
      <c r="E253" s="14" t="s">
        <v>30</v>
      </c>
      <c r="F253" s="14">
        <v>53</v>
      </c>
      <c r="G253" s="14">
        <v>8</v>
      </c>
      <c r="H253" s="14">
        <v>11</v>
      </c>
      <c r="I253" s="14">
        <v>6</v>
      </c>
      <c r="J253" s="14" t="s">
        <v>204</v>
      </c>
      <c r="K253" s="14" cm="1">
        <f t="array" ref="K253">INT(SUMPRODUCT(--ISNUMBER(SEARCH(economy,C253)))&gt;0)</f>
        <v>0</v>
      </c>
      <c r="L253" s="14" cm="1">
        <f t="array" ref="L253">INT(SUMPRODUCT(--ISNUMBER(SEARCH(healthcare,C253)))&gt;0)</f>
        <v>0</v>
      </c>
      <c r="M253" s="14" cm="1">
        <f t="array" ref="M253">INT(SUMPRODUCT(--ISNUMBER(SEARCH(supreme,C253)))&gt;0)</f>
        <v>0</v>
      </c>
      <c r="N253" s="14" cm="1">
        <f t="array" ref="N253">INT(SUMPRODUCT(--ISNUMBER(SEARCH(covid,C253)))&gt;0)</f>
        <v>0</v>
      </c>
      <c r="O253" s="14" cm="1">
        <f t="array" ref="O253">INT(SUMPRODUCT(--ISNUMBER(SEARCH(violent,C253)))&gt;0)</f>
        <v>0</v>
      </c>
      <c r="P253" s="14" cm="1">
        <f t="array" ref="P253">INT(SUMPRODUCT(--ISNUMBER(SEARCH(foreign,C253)))&gt;0)</f>
        <v>0</v>
      </c>
      <c r="Q253" s="14" cm="1">
        <f t="array" ref="Q253">INT(SUMPRODUCT(--ISNUMBER(SEARCH(gun,C253)))&gt;0)</f>
        <v>0</v>
      </c>
      <c r="R253" s="14" cm="1">
        <f t="array" ref="R253">INT(SUMPRODUCT(--ISNUMBER(SEARCH(race,C253)))&gt;0)</f>
        <v>0</v>
      </c>
      <c r="S253" s="14" cm="1">
        <f t="array" ref="S253">INT(SUMPRODUCT(--ISNUMBER(SEARCH(immigration,C253)))&gt;0)</f>
        <v>0</v>
      </c>
      <c r="T253" s="14" cm="1">
        <f t="array" ref="T253">INT(SUMPRODUCT(--ISNUMBER(SEARCH(econineq,C254)))&gt;0)</f>
        <v>0</v>
      </c>
      <c r="U253" s="14" cm="1">
        <f t="array" ref="U253">INT(SUMPRODUCT(--ISNUMBER(SEARCH(climate,C253)))&gt;0)</f>
        <v>0</v>
      </c>
      <c r="V253" s="14" cm="1">
        <f t="array" ref="V253">INT(SUMPRODUCT(--ISNUMBER(SEARCH(abortion,C253)))&gt;0)</f>
        <v>0</v>
      </c>
      <c r="W253" s="14" cm="1">
        <f t="array" ref="W253">INT(SUMPRODUCT(--ISNUMBER(SEARCH(trump,C253)))&gt;0)</f>
        <v>0</v>
      </c>
      <c r="X253" s="14" cm="1">
        <f t="array" ref="X253">INT(SUMPRODUCT(--ISNUMBER(SEARCH(voting,C253)))&gt;0)</f>
        <v>0</v>
      </c>
      <c r="Y253" s="14" cm="1">
        <f t="array" ref="Y253">INT(SUMPRODUCT(--ISNUMBER(SEARCH(democrattrigger,C253)))&gt;0)</f>
        <v>0</v>
      </c>
      <c r="Z253" s="14" cm="1">
        <f t="array" ref="Z253">INT(SUMPRODUCT(--ISNUMBER(SEARCH(bipartisan,C253)))&gt;0)</f>
        <v>0</v>
      </c>
      <c r="AA253" s="14">
        <f t="shared" si="3"/>
        <v>1</v>
      </c>
      <c r="AB253" s="14"/>
      <c r="AC253" s="30" t="s">
        <v>223</v>
      </c>
      <c r="AD253" s="37" t="s">
        <v>223</v>
      </c>
    </row>
    <row r="254" spans="1:30" x14ac:dyDescent="0.25">
      <c r="A254" s="36">
        <v>2407</v>
      </c>
      <c r="B254" s="14" t="s">
        <v>4839</v>
      </c>
      <c r="C254" s="14" t="s">
        <v>4840</v>
      </c>
      <c r="D254" s="17">
        <v>44118</v>
      </c>
      <c r="E254" s="14" t="s">
        <v>30</v>
      </c>
      <c r="F254" s="14">
        <v>196</v>
      </c>
      <c r="G254" s="14">
        <v>33</v>
      </c>
      <c r="H254" s="14">
        <v>11</v>
      </c>
      <c r="I254" s="14">
        <v>6</v>
      </c>
      <c r="J254" s="14" t="s">
        <v>204</v>
      </c>
      <c r="K254" s="14" cm="1">
        <f t="array" ref="K254">INT(SUMPRODUCT(--ISNUMBER(SEARCH(economy,C254)))&gt;0)</f>
        <v>0</v>
      </c>
      <c r="L254" s="14" cm="1">
        <f t="array" ref="L254">INT(SUMPRODUCT(--ISNUMBER(SEARCH(healthcare,C254)))&gt;0)</f>
        <v>1</v>
      </c>
      <c r="M254" s="14" cm="1">
        <f t="array" ref="M254">INT(SUMPRODUCT(--ISNUMBER(SEARCH(supreme,C254)))&gt;0)</f>
        <v>0</v>
      </c>
      <c r="N254" s="14" cm="1">
        <f t="array" ref="N254">INT(SUMPRODUCT(--ISNUMBER(SEARCH(covid,C254)))&gt;0)</f>
        <v>0</v>
      </c>
      <c r="O254" s="14" cm="1">
        <f t="array" ref="O254">INT(SUMPRODUCT(--ISNUMBER(SEARCH(violent,C254)))&gt;0)</f>
        <v>0</v>
      </c>
      <c r="P254" s="14" cm="1">
        <f t="array" ref="P254">INT(SUMPRODUCT(--ISNUMBER(SEARCH(foreign,C254)))&gt;0)</f>
        <v>0</v>
      </c>
      <c r="Q254" s="14" cm="1">
        <f t="array" ref="Q254">INT(SUMPRODUCT(--ISNUMBER(SEARCH(gun,C254)))&gt;0)</f>
        <v>0</v>
      </c>
      <c r="R254" s="14" cm="1">
        <f t="array" ref="R254">INT(SUMPRODUCT(--ISNUMBER(SEARCH(race,C254)))&gt;0)</f>
        <v>0</v>
      </c>
      <c r="S254" s="14" cm="1">
        <f t="array" ref="S254">INT(SUMPRODUCT(--ISNUMBER(SEARCH(immigration,C254)))&gt;0)</f>
        <v>0</v>
      </c>
      <c r="T254" s="14" cm="1">
        <f t="array" ref="T254">INT(SUMPRODUCT(--ISNUMBER(SEARCH(econineq,C255)))&gt;0)</f>
        <v>0</v>
      </c>
      <c r="U254" s="14" cm="1">
        <f t="array" ref="U254">INT(SUMPRODUCT(--ISNUMBER(SEARCH(climate,C254)))&gt;0)</f>
        <v>0</v>
      </c>
      <c r="V254" s="14" cm="1">
        <f t="array" ref="V254">INT(SUMPRODUCT(--ISNUMBER(SEARCH(abortion,C254)))&gt;0)</f>
        <v>0</v>
      </c>
      <c r="W254" s="14" cm="1">
        <f t="array" ref="W254">INT(SUMPRODUCT(--ISNUMBER(SEARCH(trump,C254)))&gt;0)</f>
        <v>0</v>
      </c>
      <c r="X254" s="14" cm="1">
        <f t="array" ref="X254">INT(SUMPRODUCT(--ISNUMBER(SEARCH(voting,C254)))&gt;0)</f>
        <v>0</v>
      </c>
      <c r="Y254" s="14" cm="1">
        <f t="array" ref="Y254">INT(SUMPRODUCT(--ISNUMBER(SEARCH(democrattrigger,C254)))&gt;0)</f>
        <v>0</v>
      </c>
      <c r="Z254" s="14" cm="1">
        <f t="array" ref="Z254">INT(SUMPRODUCT(--ISNUMBER(SEARCH(bipartisan,C254)))&gt;0)</f>
        <v>0</v>
      </c>
      <c r="AA254" s="14">
        <f t="shared" si="3"/>
        <v>0</v>
      </c>
      <c r="AB254" s="14"/>
      <c r="AC254" s="30" t="s">
        <v>223</v>
      </c>
      <c r="AD254" s="37" t="s">
        <v>223</v>
      </c>
    </row>
    <row r="255" spans="1:30" x14ac:dyDescent="0.25">
      <c r="A255" s="36">
        <v>2408</v>
      </c>
      <c r="B255" s="14" t="s">
        <v>4841</v>
      </c>
      <c r="C255" s="14" t="s">
        <v>4842</v>
      </c>
      <c r="D255" s="17">
        <v>44118</v>
      </c>
      <c r="E255" s="14" t="s">
        <v>30</v>
      </c>
      <c r="F255" s="14">
        <v>174</v>
      </c>
      <c r="G255" s="14">
        <v>34</v>
      </c>
      <c r="H255" s="14">
        <v>11</v>
      </c>
      <c r="I255" s="14">
        <v>6</v>
      </c>
      <c r="J255" s="14" t="s">
        <v>204</v>
      </c>
      <c r="K255" s="14" cm="1">
        <f t="array" ref="K255">INT(SUMPRODUCT(--ISNUMBER(SEARCH(economy,C255)))&gt;0)</f>
        <v>0</v>
      </c>
      <c r="L255" s="14" cm="1">
        <f t="array" ref="L255">INT(SUMPRODUCT(--ISNUMBER(SEARCH(healthcare,C255)))&gt;0)</f>
        <v>0</v>
      </c>
      <c r="M255" s="14" cm="1">
        <f t="array" ref="M255">INT(SUMPRODUCT(--ISNUMBER(SEARCH(supreme,C255)))&gt;0)</f>
        <v>1</v>
      </c>
      <c r="N255" s="14" cm="1">
        <f t="array" ref="N255">INT(SUMPRODUCT(--ISNUMBER(SEARCH(covid,C255)))&gt;0)</f>
        <v>1</v>
      </c>
      <c r="O255" s="14" cm="1">
        <f t="array" ref="O255">INT(SUMPRODUCT(--ISNUMBER(SEARCH(violent,C255)))&gt;0)</f>
        <v>0</v>
      </c>
      <c r="P255" s="14" cm="1">
        <f t="array" ref="P255">INT(SUMPRODUCT(--ISNUMBER(SEARCH(foreign,C255)))&gt;0)</f>
        <v>0</v>
      </c>
      <c r="Q255" s="14" cm="1">
        <f t="array" ref="Q255">INT(SUMPRODUCT(--ISNUMBER(SEARCH(gun,C255)))&gt;0)</f>
        <v>0</v>
      </c>
      <c r="R255" s="14" cm="1">
        <f t="array" ref="R255">INT(SUMPRODUCT(--ISNUMBER(SEARCH(race,C255)))&gt;0)</f>
        <v>0</v>
      </c>
      <c r="S255" s="14" cm="1">
        <f t="array" ref="S255">INT(SUMPRODUCT(--ISNUMBER(SEARCH(immigration,C255)))&gt;0)</f>
        <v>0</v>
      </c>
      <c r="T255" s="14" cm="1">
        <f t="array" ref="T255">INT(SUMPRODUCT(--ISNUMBER(SEARCH(econineq,C256)))&gt;0)</f>
        <v>0</v>
      </c>
      <c r="U255" s="14" cm="1">
        <f t="array" ref="U255">INT(SUMPRODUCT(--ISNUMBER(SEARCH(climate,C255)))&gt;0)</f>
        <v>0</v>
      </c>
      <c r="V255" s="14" cm="1">
        <f t="array" ref="V255">INT(SUMPRODUCT(--ISNUMBER(SEARCH(abortion,C255)))&gt;0)</f>
        <v>0</v>
      </c>
      <c r="W255" s="14" cm="1">
        <f t="array" ref="W255">INT(SUMPRODUCT(--ISNUMBER(SEARCH(trump,C255)))&gt;0)</f>
        <v>0</v>
      </c>
      <c r="X255" s="14" cm="1">
        <f t="array" ref="X255">INT(SUMPRODUCT(--ISNUMBER(SEARCH(voting,C255)))&gt;0)</f>
        <v>0</v>
      </c>
      <c r="Y255" s="14" cm="1">
        <f t="array" ref="Y255">INT(SUMPRODUCT(--ISNUMBER(SEARCH(democrattrigger,C255)))&gt;0)</f>
        <v>1</v>
      </c>
      <c r="Z255" s="14" cm="1">
        <f t="array" ref="Z255">INT(SUMPRODUCT(--ISNUMBER(SEARCH(bipartisan,C255)))&gt;0)</f>
        <v>0</v>
      </c>
      <c r="AA255" s="14">
        <f t="shared" si="3"/>
        <v>0</v>
      </c>
      <c r="AB255" s="14"/>
      <c r="AC255" s="30" t="s">
        <v>223</v>
      </c>
      <c r="AD255" s="37" t="s">
        <v>223</v>
      </c>
    </row>
    <row r="256" spans="1:30" x14ac:dyDescent="0.25">
      <c r="A256" s="36">
        <v>2409</v>
      </c>
      <c r="B256" s="14" t="s">
        <v>4843</v>
      </c>
      <c r="C256" s="14" t="s">
        <v>4844</v>
      </c>
      <c r="D256" s="17">
        <v>44118</v>
      </c>
      <c r="E256" s="14" t="s">
        <v>30</v>
      </c>
      <c r="F256" s="14">
        <v>57</v>
      </c>
      <c r="G256" s="14">
        <v>8</v>
      </c>
      <c r="H256" s="14">
        <v>11</v>
      </c>
      <c r="I256" s="14">
        <v>6</v>
      </c>
      <c r="J256" s="14" t="s">
        <v>204</v>
      </c>
      <c r="K256" s="14" cm="1">
        <f t="array" ref="K256">INT(SUMPRODUCT(--ISNUMBER(SEARCH(economy,C256)))&gt;0)</f>
        <v>1</v>
      </c>
      <c r="L256" s="14" cm="1">
        <f t="array" ref="L256">INT(SUMPRODUCT(--ISNUMBER(SEARCH(healthcare,C256)))&gt;0)</f>
        <v>1</v>
      </c>
      <c r="M256" s="14" cm="1">
        <f t="array" ref="M256">INT(SUMPRODUCT(--ISNUMBER(SEARCH(supreme,C256)))&gt;0)</f>
        <v>0</v>
      </c>
      <c r="N256" s="14" cm="1">
        <f t="array" ref="N256">INT(SUMPRODUCT(--ISNUMBER(SEARCH(covid,C256)))&gt;0)</f>
        <v>1</v>
      </c>
      <c r="O256" s="14" cm="1">
        <f t="array" ref="O256">INT(SUMPRODUCT(--ISNUMBER(SEARCH(violent,C256)))&gt;0)</f>
        <v>0</v>
      </c>
      <c r="P256" s="14" cm="1">
        <f t="array" ref="P256">INT(SUMPRODUCT(--ISNUMBER(SEARCH(foreign,C256)))&gt;0)</f>
        <v>0</v>
      </c>
      <c r="Q256" s="14" cm="1">
        <f t="array" ref="Q256">INT(SUMPRODUCT(--ISNUMBER(SEARCH(gun,C256)))&gt;0)</f>
        <v>0</v>
      </c>
      <c r="R256" s="14" cm="1">
        <f t="array" ref="R256">INT(SUMPRODUCT(--ISNUMBER(SEARCH(race,C256)))&gt;0)</f>
        <v>1</v>
      </c>
      <c r="S256" s="14" cm="1">
        <f t="array" ref="S256">INT(SUMPRODUCT(--ISNUMBER(SEARCH(immigration,C256)))&gt;0)</f>
        <v>0</v>
      </c>
      <c r="T256" s="14" cm="1">
        <f t="array" ref="T256">INT(SUMPRODUCT(--ISNUMBER(SEARCH(econineq,C257)))&gt;0)</f>
        <v>0</v>
      </c>
      <c r="U256" s="14" cm="1">
        <f t="array" ref="U256">INT(SUMPRODUCT(--ISNUMBER(SEARCH(climate,C256)))&gt;0)</f>
        <v>0</v>
      </c>
      <c r="V256" s="14" cm="1">
        <f t="array" ref="V256">INT(SUMPRODUCT(--ISNUMBER(SEARCH(abortion,C256)))&gt;0)</f>
        <v>0</v>
      </c>
      <c r="W256" s="14" cm="1">
        <f t="array" ref="W256">INT(SUMPRODUCT(--ISNUMBER(SEARCH(trump,C256)))&gt;0)</f>
        <v>0</v>
      </c>
      <c r="X256" s="14" cm="1">
        <f t="array" ref="X256">INT(SUMPRODUCT(--ISNUMBER(SEARCH(voting,C256)))&gt;0)</f>
        <v>0</v>
      </c>
      <c r="Y256" s="14" cm="1">
        <f t="array" ref="Y256">INT(SUMPRODUCT(--ISNUMBER(SEARCH(democrattrigger,C256)))&gt;0)</f>
        <v>0</v>
      </c>
      <c r="Z256" s="14" cm="1">
        <f t="array" ref="Z256">INT(SUMPRODUCT(--ISNUMBER(SEARCH(bipartisan,C256)))&gt;0)</f>
        <v>0</v>
      </c>
      <c r="AA256" s="14">
        <f t="shared" si="3"/>
        <v>0</v>
      </c>
      <c r="AB256" s="14"/>
      <c r="AC256" s="30">
        <v>1</v>
      </c>
      <c r="AD256" s="37">
        <v>0</v>
      </c>
    </row>
    <row r="257" spans="1:30" x14ac:dyDescent="0.25">
      <c r="A257" s="36">
        <v>2410</v>
      </c>
      <c r="B257" s="14" t="s">
        <v>4845</v>
      </c>
      <c r="C257" s="14" t="s">
        <v>4846</v>
      </c>
      <c r="D257" s="17">
        <v>44118</v>
      </c>
      <c r="E257" s="14" t="s">
        <v>30</v>
      </c>
      <c r="F257" s="14">
        <v>152</v>
      </c>
      <c r="G257" s="14">
        <v>17</v>
      </c>
      <c r="H257" s="14">
        <v>11</v>
      </c>
      <c r="I257" s="14">
        <v>6</v>
      </c>
      <c r="J257" s="14" t="s">
        <v>204</v>
      </c>
      <c r="K257" s="14" cm="1">
        <f t="array" ref="K257">INT(SUMPRODUCT(--ISNUMBER(SEARCH(economy,C257)))&gt;0)</f>
        <v>0</v>
      </c>
      <c r="L257" s="14" cm="1">
        <f t="array" ref="L257">INT(SUMPRODUCT(--ISNUMBER(SEARCH(healthcare,C257)))&gt;0)</f>
        <v>0</v>
      </c>
      <c r="M257" s="14" cm="1">
        <f t="array" ref="M257">INT(SUMPRODUCT(--ISNUMBER(SEARCH(supreme,C257)))&gt;0)</f>
        <v>0</v>
      </c>
      <c r="N257" s="14" cm="1">
        <f t="array" ref="N257">INT(SUMPRODUCT(--ISNUMBER(SEARCH(covid,C257)))&gt;0)</f>
        <v>0</v>
      </c>
      <c r="O257" s="14" cm="1">
        <f t="array" ref="O257">INT(SUMPRODUCT(--ISNUMBER(SEARCH(violent,C257)))&gt;0)</f>
        <v>0</v>
      </c>
      <c r="P257" s="14" cm="1">
        <f t="array" ref="P257">INT(SUMPRODUCT(--ISNUMBER(SEARCH(foreign,C257)))&gt;0)</f>
        <v>0</v>
      </c>
      <c r="Q257" s="14" cm="1">
        <f t="array" ref="Q257">INT(SUMPRODUCT(--ISNUMBER(SEARCH(gun,C257)))&gt;0)</f>
        <v>0</v>
      </c>
      <c r="R257" s="14" cm="1">
        <f t="array" ref="R257">INT(SUMPRODUCT(--ISNUMBER(SEARCH(race,C257)))&gt;0)</f>
        <v>0</v>
      </c>
      <c r="S257" s="14" cm="1">
        <f t="array" ref="S257">INT(SUMPRODUCT(--ISNUMBER(SEARCH(immigration,C257)))&gt;0)</f>
        <v>0</v>
      </c>
      <c r="T257" s="14" cm="1">
        <f t="array" ref="T257">INT(SUMPRODUCT(--ISNUMBER(SEARCH(econineq,C258)))&gt;0)</f>
        <v>0</v>
      </c>
      <c r="U257" s="14" cm="1">
        <f t="array" ref="U257">INT(SUMPRODUCT(--ISNUMBER(SEARCH(climate,C257)))&gt;0)</f>
        <v>0</v>
      </c>
      <c r="V257" s="14" cm="1">
        <f t="array" ref="V257">INT(SUMPRODUCT(--ISNUMBER(SEARCH(abortion,C257)))&gt;0)</f>
        <v>0</v>
      </c>
      <c r="W257" s="14" cm="1">
        <f t="array" ref="W257">INT(SUMPRODUCT(--ISNUMBER(SEARCH(trump,C257)))&gt;0)</f>
        <v>0</v>
      </c>
      <c r="X257" s="14" cm="1">
        <f t="array" ref="X257">INT(SUMPRODUCT(--ISNUMBER(SEARCH(voting,C257)))&gt;0)</f>
        <v>1</v>
      </c>
      <c r="Y257" s="14" cm="1">
        <f t="array" ref="Y257">INT(SUMPRODUCT(--ISNUMBER(SEARCH(democrattrigger,C257)))&gt;0)</f>
        <v>0</v>
      </c>
      <c r="Z257" s="14" cm="1">
        <f t="array" ref="Z257">INT(SUMPRODUCT(--ISNUMBER(SEARCH(bipartisan,C257)))&gt;0)</f>
        <v>0</v>
      </c>
      <c r="AA257" s="14">
        <f t="shared" si="3"/>
        <v>0</v>
      </c>
      <c r="AB257" s="14"/>
      <c r="AC257" s="30">
        <v>1</v>
      </c>
      <c r="AD257" s="37">
        <v>0</v>
      </c>
    </row>
    <row r="258" spans="1:30" x14ac:dyDescent="0.25">
      <c r="A258" s="36">
        <v>2411</v>
      </c>
      <c r="B258" s="14" t="s">
        <v>4847</v>
      </c>
      <c r="C258" s="14" t="s">
        <v>4848</v>
      </c>
      <c r="D258" s="17">
        <v>44118</v>
      </c>
      <c r="E258" s="14" t="s">
        <v>30</v>
      </c>
      <c r="F258" s="14">
        <v>53</v>
      </c>
      <c r="G258" s="14">
        <v>12</v>
      </c>
      <c r="H258" s="14">
        <v>11</v>
      </c>
      <c r="I258" s="14">
        <v>6</v>
      </c>
      <c r="J258" s="14" t="s">
        <v>204</v>
      </c>
      <c r="K258" s="14" cm="1">
        <f t="array" ref="K258">INT(SUMPRODUCT(--ISNUMBER(SEARCH(economy,C258)))&gt;0)</f>
        <v>0</v>
      </c>
      <c r="L258" s="14" cm="1">
        <f t="array" ref="L258">INT(SUMPRODUCT(--ISNUMBER(SEARCH(healthcare,C258)))&gt;0)</f>
        <v>0</v>
      </c>
      <c r="M258" s="14" cm="1">
        <f t="array" ref="M258">INT(SUMPRODUCT(--ISNUMBER(SEARCH(supreme,C258)))&gt;0)</f>
        <v>0</v>
      </c>
      <c r="N258" s="14" cm="1">
        <f t="array" ref="N258">INT(SUMPRODUCT(--ISNUMBER(SEARCH(covid,C258)))&gt;0)</f>
        <v>0</v>
      </c>
      <c r="O258" s="14" cm="1">
        <f t="array" ref="O258">INT(SUMPRODUCT(--ISNUMBER(SEARCH(violent,C258)))&gt;0)</f>
        <v>0</v>
      </c>
      <c r="P258" s="14" cm="1">
        <f t="array" ref="P258">INT(SUMPRODUCT(--ISNUMBER(SEARCH(foreign,C258)))&gt;0)</f>
        <v>0</v>
      </c>
      <c r="Q258" s="14" cm="1">
        <f t="array" ref="Q258">INT(SUMPRODUCT(--ISNUMBER(SEARCH(gun,C258)))&gt;0)</f>
        <v>0</v>
      </c>
      <c r="R258" s="14" cm="1">
        <f t="array" ref="R258">INT(SUMPRODUCT(--ISNUMBER(SEARCH(race,C258)))&gt;0)</f>
        <v>0</v>
      </c>
      <c r="S258" s="14" cm="1">
        <f t="array" ref="S258">INT(SUMPRODUCT(--ISNUMBER(SEARCH(immigration,C258)))&gt;0)</f>
        <v>0</v>
      </c>
      <c r="T258" s="14" cm="1">
        <f t="array" ref="T258">INT(SUMPRODUCT(--ISNUMBER(SEARCH(econineq,C259)))&gt;0)</f>
        <v>0</v>
      </c>
      <c r="U258" s="14" cm="1">
        <f t="array" ref="U258">INT(SUMPRODUCT(--ISNUMBER(SEARCH(climate,C258)))&gt;0)</f>
        <v>0</v>
      </c>
      <c r="V258" s="14" cm="1">
        <f t="array" ref="V258">INT(SUMPRODUCT(--ISNUMBER(SEARCH(abortion,C258)))&gt;0)</f>
        <v>0</v>
      </c>
      <c r="W258" s="14" cm="1">
        <f t="array" ref="W258">INT(SUMPRODUCT(--ISNUMBER(SEARCH(trump,C258)))&gt;0)</f>
        <v>0</v>
      </c>
      <c r="X258" s="14" cm="1">
        <f t="array" ref="X258">INT(SUMPRODUCT(--ISNUMBER(SEARCH(voting,C258)))&gt;0)</f>
        <v>0</v>
      </c>
      <c r="Y258" s="14" cm="1">
        <f t="array" ref="Y258">INT(SUMPRODUCT(--ISNUMBER(SEARCH(democrattrigger,C258)))&gt;0)</f>
        <v>0</v>
      </c>
      <c r="Z258" s="14" cm="1">
        <f t="array" ref="Z258">INT(SUMPRODUCT(--ISNUMBER(SEARCH(bipartisan,C258)))&gt;0)</f>
        <v>0</v>
      </c>
      <c r="AA258" s="14">
        <f t="shared" si="3"/>
        <v>1</v>
      </c>
      <c r="AB258" s="14"/>
      <c r="AC258" s="30">
        <v>0</v>
      </c>
      <c r="AD258" s="37">
        <v>1</v>
      </c>
    </row>
    <row r="259" spans="1:30" x14ac:dyDescent="0.25">
      <c r="A259" s="36">
        <v>2412</v>
      </c>
      <c r="B259" s="14" t="s">
        <v>4849</v>
      </c>
      <c r="C259" s="14" t="s">
        <v>4850</v>
      </c>
      <c r="D259" s="17">
        <v>44118</v>
      </c>
      <c r="E259" s="14" t="s">
        <v>30</v>
      </c>
      <c r="F259" s="14">
        <v>99</v>
      </c>
      <c r="G259" s="14">
        <v>11</v>
      </c>
      <c r="H259" s="14">
        <v>11</v>
      </c>
      <c r="I259" s="14">
        <v>6</v>
      </c>
      <c r="J259" s="14" t="s">
        <v>204</v>
      </c>
      <c r="K259" s="14" cm="1">
        <f t="array" ref="K259">INT(SUMPRODUCT(--ISNUMBER(SEARCH(economy,C259)))&gt;0)</f>
        <v>0</v>
      </c>
      <c r="L259" s="14" cm="1">
        <f t="array" ref="L259">INT(SUMPRODUCT(--ISNUMBER(SEARCH(healthcare,C259)))&gt;0)</f>
        <v>0</v>
      </c>
      <c r="M259" s="14" cm="1">
        <f t="array" ref="M259">INT(SUMPRODUCT(--ISNUMBER(SEARCH(supreme,C259)))&gt;0)</f>
        <v>0</v>
      </c>
      <c r="N259" s="14" cm="1">
        <f t="array" ref="N259">INT(SUMPRODUCT(--ISNUMBER(SEARCH(covid,C259)))&gt;0)</f>
        <v>0</v>
      </c>
      <c r="O259" s="14" cm="1">
        <f t="array" ref="O259">INT(SUMPRODUCT(--ISNUMBER(SEARCH(violent,C259)))&gt;0)</f>
        <v>0</v>
      </c>
      <c r="P259" s="14" cm="1">
        <f t="array" ref="P259">INT(SUMPRODUCT(--ISNUMBER(SEARCH(foreign,C259)))&gt;0)</f>
        <v>0</v>
      </c>
      <c r="Q259" s="14" cm="1">
        <f t="array" ref="Q259">INT(SUMPRODUCT(--ISNUMBER(SEARCH(gun,C259)))&gt;0)</f>
        <v>0</v>
      </c>
      <c r="R259" s="14" cm="1">
        <f t="array" ref="R259">INT(SUMPRODUCT(--ISNUMBER(SEARCH(race,C259)))&gt;0)</f>
        <v>0</v>
      </c>
      <c r="S259" s="14" cm="1">
        <f t="array" ref="S259">INT(SUMPRODUCT(--ISNUMBER(SEARCH(immigration,C259)))&gt;0)</f>
        <v>0</v>
      </c>
      <c r="T259" s="14" cm="1">
        <f t="array" ref="T259">INT(SUMPRODUCT(--ISNUMBER(SEARCH(econineq,C260)))&gt;0)</f>
        <v>1</v>
      </c>
      <c r="U259" s="14" cm="1">
        <f t="array" ref="U259">INT(SUMPRODUCT(--ISNUMBER(SEARCH(climate,C259)))&gt;0)</f>
        <v>0</v>
      </c>
      <c r="V259" s="14" cm="1">
        <f t="array" ref="V259">INT(SUMPRODUCT(--ISNUMBER(SEARCH(abortion,C259)))&gt;0)</f>
        <v>0</v>
      </c>
      <c r="W259" s="14" cm="1">
        <f t="array" ref="W259">INT(SUMPRODUCT(--ISNUMBER(SEARCH(trump,C259)))&gt;0)</f>
        <v>0</v>
      </c>
      <c r="X259" s="14" cm="1">
        <f t="array" ref="X259">INT(SUMPRODUCT(--ISNUMBER(SEARCH(voting,C259)))&gt;0)</f>
        <v>1</v>
      </c>
      <c r="Y259" s="14" cm="1">
        <f t="array" ref="Y259">INT(SUMPRODUCT(--ISNUMBER(SEARCH(democrattrigger,C259)))&gt;0)</f>
        <v>0</v>
      </c>
      <c r="Z259" s="14" cm="1">
        <f t="array" ref="Z259">INT(SUMPRODUCT(--ISNUMBER(SEARCH(bipartisan,C259)))&gt;0)</f>
        <v>0</v>
      </c>
      <c r="AA259" s="14">
        <f t="shared" ref="AA259:AA322" si="4">INT(IF(COUNTIF(K259:Z259,1)=0,"1","0"))</f>
        <v>0</v>
      </c>
      <c r="AB259" s="14"/>
      <c r="AC259" s="30" t="s">
        <v>223</v>
      </c>
      <c r="AD259" s="37" t="s">
        <v>223</v>
      </c>
    </row>
    <row r="260" spans="1:30" x14ac:dyDescent="0.25">
      <c r="A260" s="36">
        <v>2413</v>
      </c>
      <c r="B260" s="14" t="s">
        <v>4851</v>
      </c>
      <c r="C260" s="14" t="s">
        <v>4852</v>
      </c>
      <c r="D260" s="17">
        <v>44118</v>
      </c>
      <c r="E260" s="14" t="s">
        <v>30</v>
      </c>
      <c r="F260" s="14">
        <v>221</v>
      </c>
      <c r="G260" s="14">
        <v>34</v>
      </c>
      <c r="H260" s="14">
        <v>11</v>
      </c>
      <c r="I260" s="14">
        <v>6</v>
      </c>
      <c r="J260" s="14" t="s">
        <v>204</v>
      </c>
      <c r="K260" s="14" cm="1">
        <f t="array" ref="K260">INT(SUMPRODUCT(--ISNUMBER(SEARCH(economy,C260)))&gt;0)</f>
        <v>0</v>
      </c>
      <c r="L260" s="14" cm="1">
        <f t="array" ref="L260">INT(SUMPRODUCT(--ISNUMBER(SEARCH(healthcare,C260)))&gt;0)</f>
        <v>1</v>
      </c>
      <c r="M260" s="14" cm="1">
        <f t="array" ref="M260">INT(SUMPRODUCT(--ISNUMBER(SEARCH(supreme,C260)))&gt;0)</f>
        <v>0</v>
      </c>
      <c r="N260" s="14" cm="1">
        <f t="array" ref="N260">INT(SUMPRODUCT(--ISNUMBER(SEARCH(covid,C260)))&gt;0)</f>
        <v>0</v>
      </c>
      <c r="O260" s="14" cm="1">
        <f t="array" ref="O260">INT(SUMPRODUCT(--ISNUMBER(SEARCH(violent,C260)))&gt;0)</f>
        <v>0</v>
      </c>
      <c r="P260" s="14" cm="1">
        <f t="array" ref="P260">INT(SUMPRODUCT(--ISNUMBER(SEARCH(foreign,C260)))&gt;0)</f>
        <v>0</v>
      </c>
      <c r="Q260" s="14" cm="1">
        <f t="array" ref="Q260">INT(SUMPRODUCT(--ISNUMBER(SEARCH(gun,C260)))&gt;0)</f>
        <v>0</v>
      </c>
      <c r="R260" s="14" cm="1">
        <f t="array" ref="R260">INT(SUMPRODUCT(--ISNUMBER(SEARCH(race,C260)))&gt;0)</f>
        <v>1</v>
      </c>
      <c r="S260" s="14" cm="1">
        <f t="array" ref="S260">INT(SUMPRODUCT(--ISNUMBER(SEARCH(immigration,C260)))&gt;0)</f>
        <v>0</v>
      </c>
      <c r="T260" s="14" cm="1">
        <f t="array" ref="T260">INT(SUMPRODUCT(--ISNUMBER(SEARCH(econineq,C261)))&gt;0)</f>
        <v>0</v>
      </c>
      <c r="U260" s="14" cm="1">
        <f t="array" ref="U260">INT(SUMPRODUCT(--ISNUMBER(SEARCH(climate,C260)))&gt;0)</f>
        <v>0</v>
      </c>
      <c r="V260" s="14" cm="1">
        <f t="array" ref="V260">INT(SUMPRODUCT(--ISNUMBER(SEARCH(abortion,C260)))&gt;0)</f>
        <v>0</v>
      </c>
      <c r="W260" s="14" cm="1">
        <f t="array" ref="W260">INT(SUMPRODUCT(--ISNUMBER(SEARCH(trump,C260)))&gt;0)</f>
        <v>0</v>
      </c>
      <c r="X260" s="14" cm="1">
        <f t="array" ref="X260">INT(SUMPRODUCT(--ISNUMBER(SEARCH(voting,C260)))&gt;0)</f>
        <v>0</v>
      </c>
      <c r="Y260" s="14" cm="1">
        <f t="array" ref="Y260">INT(SUMPRODUCT(--ISNUMBER(SEARCH(democrattrigger,C260)))&gt;0)</f>
        <v>0</v>
      </c>
      <c r="Z260" s="14" cm="1">
        <f t="array" ref="Z260">INT(SUMPRODUCT(--ISNUMBER(SEARCH(bipartisan,C260)))&gt;0)</f>
        <v>0</v>
      </c>
      <c r="AA260" s="14">
        <f t="shared" si="4"/>
        <v>0</v>
      </c>
      <c r="AB260" s="14"/>
      <c r="AC260" s="30" t="s">
        <v>223</v>
      </c>
      <c r="AD260" s="37" t="s">
        <v>223</v>
      </c>
    </row>
    <row r="261" spans="1:30" x14ac:dyDescent="0.25">
      <c r="A261" s="36">
        <v>2414</v>
      </c>
      <c r="B261" s="14" t="s">
        <v>4853</v>
      </c>
      <c r="C261" s="14" t="s">
        <v>4854</v>
      </c>
      <c r="D261" s="17">
        <v>44117</v>
      </c>
      <c r="E261" s="14" t="s">
        <v>30</v>
      </c>
      <c r="F261" s="14">
        <v>221</v>
      </c>
      <c r="G261" s="14">
        <v>66</v>
      </c>
      <c r="H261" s="14">
        <v>11</v>
      </c>
      <c r="I261" s="14">
        <v>6</v>
      </c>
      <c r="J261" s="14" t="s">
        <v>204</v>
      </c>
      <c r="K261" s="14" cm="1">
        <f t="array" ref="K261">INT(SUMPRODUCT(--ISNUMBER(SEARCH(economy,C261)))&gt;0)</f>
        <v>0</v>
      </c>
      <c r="L261" s="14" cm="1">
        <f t="array" ref="L261">INT(SUMPRODUCT(--ISNUMBER(SEARCH(healthcare,C261)))&gt;0)</f>
        <v>0</v>
      </c>
      <c r="M261" s="14" cm="1">
        <f t="array" ref="M261">INT(SUMPRODUCT(--ISNUMBER(SEARCH(supreme,C261)))&gt;0)</f>
        <v>0</v>
      </c>
      <c r="N261" s="14" cm="1">
        <f t="array" ref="N261">INT(SUMPRODUCT(--ISNUMBER(SEARCH(covid,C261)))&gt;0)</f>
        <v>0</v>
      </c>
      <c r="O261" s="14" cm="1">
        <f t="array" ref="O261">INT(SUMPRODUCT(--ISNUMBER(SEARCH(violent,C261)))&gt;0)</f>
        <v>0</v>
      </c>
      <c r="P261" s="14" cm="1">
        <f t="array" ref="P261">INT(SUMPRODUCT(--ISNUMBER(SEARCH(foreign,C261)))&gt;0)</f>
        <v>1</v>
      </c>
      <c r="Q261" s="14" cm="1">
        <f t="array" ref="Q261">INT(SUMPRODUCT(--ISNUMBER(SEARCH(gun,C261)))&gt;0)</f>
        <v>0</v>
      </c>
      <c r="R261" s="14" cm="1">
        <f t="array" ref="R261">INT(SUMPRODUCT(--ISNUMBER(SEARCH(race,C261)))&gt;0)</f>
        <v>0</v>
      </c>
      <c r="S261" s="14" cm="1">
        <f t="array" ref="S261">INT(SUMPRODUCT(--ISNUMBER(SEARCH(immigration,C261)))&gt;0)</f>
        <v>0</v>
      </c>
      <c r="T261" s="14" cm="1">
        <f t="array" ref="T261">INT(SUMPRODUCT(--ISNUMBER(SEARCH(econineq,C262)))&gt;0)</f>
        <v>0</v>
      </c>
      <c r="U261" s="14" cm="1">
        <f t="array" ref="U261">INT(SUMPRODUCT(--ISNUMBER(SEARCH(climate,C261)))&gt;0)</f>
        <v>0</v>
      </c>
      <c r="V261" s="14" cm="1">
        <f t="array" ref="V261">INT(SUMPRODUCT(--ISNUMBER(SEARCH(abortion,C261)))&gt;0)</f>
        <v>0</v>
      </c>
      <c r="W261" s="14" cm="1">
        <f t="array" ref="W261">INT(SUMPRODUCT(--ISNUMBER(SEARCH(trump,C261)))&gt;0)</f>
        <v>0</v>
      </c>
      <c r="X261" s="14" cm="1">
        <f t="array" ref="X261">INT(SUMPRODUCT(--ISNUMBER(SEARCH(voting,C261)))&gt;0)</f>
        <v>1</v>
      </c>
      <c r="Y261" s="14" cm="1">
        <f t="array" ref="Y261">INT(SUMPRODUCT(--ISNUMBER(SEARCH(democrattrigger,C261)))&gt;0)</f>
        <v>0</v>
      </c>
      <c r="Z261" s="14" cm="1">
        <f t="array" ref="Z261">INT(SUMPRODUCT(--ISNUMBER(SEARCH(bipartisan,C261)))&gt;0)</f>
        <v>0</v>
      </c>
      <c r="AA261" s="14">
        <f t="shared" si="4"/>
        <v>0</v>
      </c>
      <c r="AB261" s="14"/>
      <c r="AC261" s="30">
        <v>0</v>
      </c>
      <c r="AD261" s="37">
        <v>1</v>
      </c>
    </row>
    <row r="262" spans="1:30" x14ac:dyDescent="0.25">
      <c r="A262" s="36">
        <v>2415</v>
      </c>
      <c r="B262" s="14" t="s">
        <v>4855</v>
      </c>
      <c r="C262" s="14" t="s">
        <v>4856</v>
      </c>
      <c r="D262" s="17">
        <v>44117</v>
      </c>
      <c r="E262" s="14" t="s">
        <v>30</v>
      </c>
      <c r="F262" s="14">
        <v>60</v>
      </c>
      <c r="G262" s="14">
        <v>16</v>
      </c>
      <c r="H262" s="14">
        <v>11</v>
      </c>
      <c r="I262" s="14">
        <v>6</v>
      </c>
      <c r="J262" s="14" t="s">
        <v>204</v>
      </c>
      <c r="K262" s="14" cm="1">
        <f t="array" ref="K262">INT(SUMPRODUCT(--ISNUMBER(SEARCH(economy,C262)))&gt;0)</f>
        <v>0</v>
      </c>
      <c r="L262" s="14" cm="1">
        <f t="array" ref="L262">INT(SUMPRODUCT(--ISNUMBER(SEARCH(healthcare,C262)))&gt;0)</f>
        <v>0</v>
      </c>
      <c r="M262" s="14" cm="1">
        <f t="array" ref="M262">INT(SUMPRODUCT(--ISNUMBER(SEARCH(supreme,C262)))&gt;0)</f>
        <v>0</v>
      </c>
      <c r="N262" s="14" cm="1">
        <f t="array" ref="N262">INT(SUMPRODUCT(--ISNUMBER(SEARCH(covid,C262)))&gt;0)</f>
        <v>0</v>
      </c>
      <c r="O262" s="14" cm="1">
        <f t="array" ref="O262">INT(SUMPRODUCT(--ISNUMBER(SEARCH(violent,C262)))&gt;0)</f>
        <v>0</v>
      </c>
      <c r="P262" s="14" cm="1">
        <f t="array" ref="P262">INT(SUMPRODUCT(--ISNUMBER(SEARCH(foreign,C262)))&gt;0)</f>
        <v>0</v>
      </c>
      <c r="Q262" s="14" cm="1">
        <f t="array" ref="Q262">INT(SUMPRODUCT(--ISNUMBER(SEARCH(gun,C262)))&gt;0)</f>
        <v>0</v>
      </c>
      <c r="R262" s="14" cm="1">
        <f t="array" ref="R262">INT(SUMPRODUCT(--ISNUMBER(SEARCH(race,C262)))&gt;0)</f>
        <v>0</v>
      </c>
      <c r="S262" s="14" cm="1">
        <f t="array" ref="S262">INT(SUMPRODUCT(--ISNUMBER(SEARCH(immigration,C262)))&gt;0)</f>
        <v>0</v>
      </c>
      <c r="T262" s="14" cm="1">
        <f t="array" ref="T262">INT(SUMPRODUCT(--ISNUMBER(SEARCH(econineq,C263)))&gt;0)</f>
        <v>0</v>
      </c>
      <c r="U262" s="14" cm="1">
        <f t="array" ref="U262">INT(SUMPRODUCT(--ISNUMBER(SEARCH(climate,C262)))&gt;0)</f>
        <v>0</v>
      </c>
      <c r="V262" s="14" cm="1">
        <f t="array" ref="V262">INT(SUMPRODUCT(--ISNUMBER(SEARCH(abortion,C262)))&gt;0)</f>
        <v>0</v>
      </c>
      <c r="W262" s="14" cm="1">
        <f t="array" ref="W262">INT(SUMPRODUCT(--ISNUMBER(SEARCH(trump,C262)))&gt;0)</f>
        <v>1</v>
      </c>
      <c r="X262" s="14" cm="1">
        <f t="array" ref="X262">INT(SUMPRODUCT(--ISNUMBER(SEARCH(voting,C262)))&gt;0)</f>
        <v>1</v>
      </c>
      <c r="Y262" s="14" cm="1">
        <f t="array" ref="Y262">INT(SUMPRODUCT(--ISNUMBER(SEARCH(democrattrigger,C262)))&gt;0)</f>
        <v>0</v>
      </c>
      <c r="Z262" s="14" cm="1">
        <f t="array" ref="Z262">INT(SUMPRODUCT(--ISNUMBER(SEARCH(bipartisan,C262)))&gt;0)</f>
        <v>0</v>
      </c>
      <c r="AA262" s="14">
        <f t="shared" si="4"/>
        <v>0</v>
      </c>
      <c r="AB262" s="14"/>
      <c r="AC262" s="30" t="s">
        <v>223</v>
      </c>
      <c r="AD262" s="37" t="s">
        <v>223</v>
      </c>
    </row>
    <row r="263" spans="1:30" x14ac:dyDescent="0.25">
      <c r="A263" s="36">
        <v>2416</v>
      </c>
      <c r="B263" s="14" t="s">
        <v>4857</v>
      </c>
      <c r="C263" s="14" t="s">
        <v>4858</v>
      </c>
      <c r="D263" s="17">
        <v>44117</v>
      </c>
      <c r="E263" s="14" t="s">
        <v>30</v>
      </c>
      <c r="F263" s="14">
        <v>49</v>
      </c>
      <c r="G263" s="14">
        <v>15</v>
      </c>
      <c r="H263" s="14">
        <v>11</v>
      </c>
      <c r="I263" s="14">
        <v>6</v>
      </c>
      <c r="J263" s="14" t="s">
        <v>204</v>
      </c>
      <c r="K263" s="14" cm="1">
        <f t="array" ref="K263">INT(SUMPRODUCT(--ISNUMBER(SEARCH(economy,C263)))&gt;0)</f>
        <v>0</v>
      </c>
      <c r="L263" s="14" cm="1">
        <f t="array" ref="L263">INT(SUMPRODUCT(--ISNUMBER(SEARCH(healthcare,C263)))&gt;0)</f>
        <v>0</v>
      </c>
      <c r="M263" s="14" cm="1">
        <f t="array" ref="M263">INT(SUMPRODUCT(--ISNUMBER(SEARCH(supreme,C263)))&gt;0)</f>
        <v>0</v>
      </c>
      <c r="N263" s="14" cm="1">
        <f t="array" ref="N263">INT(SUMPRODUCT(--ISNUMBER(SEARCH(covid,C263)))&gt;0)</f>
        <v>0</v>
      </c>
      <c r="O263" s="14" cm="1">
        <f t="array" ref="O263">INT(SUMPRODUCT(--ISNUMBER(SEARCH(violent,C263)))&gt;0)</f>
        <v>0</v>
      </c>
      <c r="P263" s="14" cm="1">
        <f t="array" ref="P263">INT(SUMPRODUCT(--ISNUMBER(SEARCH(foreign,C263)))&gt;0)</f>
        <v>0</v>
      </c>
      <c r="Q263" s="14" cm="1">
        <f t="array" ref="Q263">INT(SUMPRODUCT(--ISNUMBER(SEARCH(gun,C263)))&gt;0)</f>
        <v>0</v>
      </c>
      <c r="R263" s="14" cm="1">
        <f t="array" ref="R263">INT(SUMPRODUCT(--ISNUMBER(SEARCH(race,C263)))&gt;0)</f>
        <v>0</v>
      </c>
      <c r="S263" s="14" cm="1">
        <f t="array" ref="S263">INT(SUMPRODUCT(--ISNUMBER(SEARCH(immigration,C263)))&gt;0)</f>
        <v>0</v>
      </c>
      <c r="T263" s="14" cm="1">
        <f t="array" ref="T263">INT(SUMPRODUCT(--ISNUMBER(SEARCH(econineq,C264)))&gt;0)</f>
        <v>0</v>
      </c>
      <c r="U263" s="14" cm="1">
        <f t="array" ref="U263">INT(SUMPRODUCT(--ISNUMBER(SEARCH(climate,C263)))&gt;0)</f>
        <v>0</v>
      </c>
      <c r="V263" s="14" cm="1">
        <f t="array" ref="V263">INT(SUMPRODUCT(--ISNUMBER(SEARCH(abortion,C263)))&gt;0)</f>
        <v>0</v>
      </c>
      <c r="W263" s="14" cm="1">
        <f t="array" ref="W263">INT(SUMPRODUCT(--ISNUMBER(SEARCH(trump,C263)))&gt;0)</f>
        <v>0</v>
      </c>
      <c r="X263" s="14" cm="1">
        <f t="array" ref="X263">INT(SUMPRODUCT(--ISNUMBER(SEARCH(voting,C263)))&gt;0)</f>
        <v>0</v>
      </c>
      <c r="Y263" s="14" cm="1">
        <f t="array" ref="Y263">INT(SUMPRODUCT(--ISNUMBER(SEARCH(democrattrigger,C263)))&gt;0)</f>
        <v>0</v>
      </c>
      <c r="Z263" s="14" cm="1">
        <f t="array" ref="Z263">INT(SUMPRODUCT(--ISNUMBER(SEARCH(bipartisan,C263)))&gt;0)</f>
        <v>1</v>
      </c>
      <c r="AA263" s="14">
        <f t="shared" si="4"/>
        <v>0</v>
      </c>
      <c r="AB263" s="14"/>
      <c r="AC263" s="30" t="s">
        <v>223</v>
      </c>
      <c r="AD263" s="37" t="s">
        <v>223</v>
      </c>
    </row>
    <row r="264" spans="1:30" x14ac:dyDescent="0.25">
      <c r="A264" s="36">
        <v>2417</v>
      </c>
      <c r="B264" s="14" t="s">
        <v>4859</v>
      </c>
      <c r="C264" s="14" t="s">
        <v>4860</v>
      </c>
      <c r="D264" s="17">
        <v>44117</v>
      </c>
      <c r="E264" s="14" t="s">
        <v>30</v>
      </c>
      <c r="F264" s="14">
        <v>30</v>
      </c>
      <c r="G264" s="14">
        <v>9</v>
      </c>
      <c r="H264" s="14">
        <v>11</v>
      </c>
      <c r="I264" s="14">
        <v>6</v>
      </c>
      <c r="J264" s="14" t="s">
        <v>204</v>
      </c>
      <c r="K264" s="14" cm="1">
        <f t="array" ref="K264">INT(SUMPRODUCT(--ISNUMBER(SEARCH(economy,C264)))&gt;0)</f>
        <v>0</v>
      </c>
      <c r="L264" s="14" cm="1">
        <f t="array" ref="L264">INT(SUMPRODUCT(--ISNUMBER(SEARCH(healthcare,C264)))&gt;0)</f>
        <v>0</v>
      </c>
      <c r="M264" s="14" cm="1">
        <f t="array" ref="M264">INT(SUMPRODUCT(--ISNUMBER(SEARCH(supreme,C264)))&gt;0)</f>
        <v>1</v>
      </c>
      <c r="N264" s="14" cm="1">
        <f t="array" ref="N264">INT(SUMPRODUCT(--ISNUMBER(SEARCH(covid,C264)))&gt;0)</f>
        <v>0</v>
      </c>
      <c r="O264" s="14" cm="1">
        <f t="array" ref="O264">INT(SUMPRODUCT(--ISNUMBER(SEARCH(violent,C264)))&gt;0)</f>
        <v>0</v>
      </c>
      <c r="P264" s="14" cm="1">
        <f t="array" ref="P264">INT(SUMPRODUCT(--ISNUMBER(SEARCH(foreign,C264)))&gt;0)</f>
        <v>0</v>
      </c>
      <c r="Q264" s="14" cm="1">
        <f t="array" ref="Q264">INT(SUMPRODUCT(--ISNUMBER(SEARCH(gun,C264)))&gt;0)</f>
        <v>0</v>
      </c>
      <c r="R264" s="14" cm="1">
        <f t="array" ref="R264">INT(SUMPRODUCT(--ISNUMBER(SEARCH(race,C264)))&gt;0)</f>
        <v>0</v>
      </c>
      <c r="S264" s="14" cm="1">
        <f t="array" ref="S264">INT(SUMPRODUCT(--ISNUMBER(SEARCH(immigration,C264)))&gt;0)</f>
        <v>0</v>
      </c>
      <c r="T264" s="14" cm="1">
        <f t="array" ref="T264">INT(SUMPRODUCT(--ISNUMBER(SEARCH(econineq,C265)))&gt;0)</f>
        <v>0</v>
      </c>
      <c r="U264" s="14" cm="1">
        <f t="array" ref="U264">INT(SUMPRODUCT(--ISNUMBER(SEARCH(climate,C264)))&gt;0)</f>
        <v>0</v>
      </c>
      <c r="V264" s="14" cm="1">
        <f t="array" ref="V264">INT(SUMPRODUCT(--ISNUMBER(SEARCH(abortion,C264)))&gt;0)</f>
        <v>0</v>
      </c>
      <c r="W264" s="14" cm="1">
        <f t="array" ref="W264">INT(SUMPRODUCT(--ISNUMBER(SEARCH(trump,C264)))&gt;0)</f>
        <v>0</v>
      </c>
      <c r="X264" s="14" cm="1">
        <f t="array" ref="X264">INT(SUMPRODUCT(--ISNUMBER(SEARCH(voting,C264)))&gt;0)</f>
        <v>0</v>
      </c>
      <c r="Y264" s="14" cm="1">
        <f t="array" ref="Y264">INT(SUMPRODUCT(--ISNUMBER(SEARCH(democrattrigger,C264)))&gt;0)</f>
        <v>0</v>
      </c>
      <c r="Z264" s="14" cm="1">
        <f t="array" ref="Z264">INT(SUMPRODUCT(--ISNUMBER(SEARCH(bipartisan,C264)))&gt;0)</f>
        <v>0</v>
      </c>
      <c r="AA264" s="14">
        <f t="shared" si="4"/>
        <v>0</v>
      </c>
      <c r="AB264" s="14"/>
      <c r="AC264" s="30" t="s">
        <v>223</v>
      </c>
      <c r="AD264" s="37" t="s">
        <v>223</v>
      </c>
    </row>
    <row r="265" spans="1:30" x14ac:dyDescent="0.25">
      <c r="A265" s="36">
        <v>2418</v>
      </c>
      <c r="B265" s="14" t="s">
        <v>4861</v>
      </c>
      <c r="C265" s="14" t="s">
        <v>4862</v>
      </c>
      <c r="D265" s="17">
        <v>44117</v>
      </c>
      <c r="E265" s="14" t="s">
        <v>30</v>
      </c>
      <c r="F265" s="14">
        <v>66</v>
      </c>
      <c r="G265" s="14">
        <v>20</v>
      </c>
      <c r="H265" s="14">
        <v>11</v>
      </c>
      <c r="I265" s="14">
        <v>6</v>
      </c>
      <c r="J265" s="14" t="s">
        <v>204</v>
      </c>
      <c r="K265" s="14" cm="1">
        <f t="array" ref="K265">INT(SUMPRODUCT(--ISNUMBER(SEARCH(economy,C265)))&gt;0)</f>
        <v>0</v>
      </c>
      <c r="L265" s="14" cm="1">
        <f t="array" ref="L265">INT(SUMPRODUCT(--ISNUMBER(SEARCH(healthcare,C265)))&gt;0)</f>
        <v>0</v>
      </c>
      <c r="M265" s="14" cm="1">
        <f t="array" ref="M265">INT(SUMPRODUCT(--ISNUMBER(SEARCH(supreme,C265)))&gt;0)</f>
        <v>0</v>
      </c>
      <c r="N265" s="14" cm="1">
        <f t="array" ref="N265">INT(SUMPRODUCT(--ISNUMBER(SEARCH(covid,C265)))&gt;0)</f>
        <v>0</v>
      </c>
      <c r="O265" s="14" cm="1">
        <f t="array" ref="O265">INT(SUMPRODUCT(--ISNUMBER(SEARCH(violent,C265)))&gt;0)</f>
        <v>0</v>
      </c>
      <c r="P265" s="14" cm="1">
        <f t="array" ref="P265">INT(SUMPRODUCT(--ISNUMBER(SEARCH(foreign,C265)))&gt;0)</f>
        <v>0</v>
      </c>
      <c r="Q265" s="14" cm="1">
        <f t="array" ref="Q265">INT(SUMPRODUCT(--ISNUMBER(SEARCH(gun,C265)))&gt;0)</f>
        <v>0</v>
      </c>
      <c r="R265" s="14" cm="1">
        <f t="array" ref="R265">INT(SUMPRODUCT(--ISNUMBER(SEARCH(race,C265)))&gt;0)</f>
        <v>0</v>
      </c>
      <c r="S265" s="14" cm="1">
        <f t="array" ref="S265">INT(SUMPRODUCT(--ISNUMBER(SEARCH(immigration,C265)))&gt;0)</f>
        <v>0</v>
      </c>
      <c r="T265" s="14" cm="1">
        <f t="array" ref="T265">INT(SUMPRODUCT(--ISNUMBER(SEARCH(econineq,C266)))&gt;0)</f>
        <v>0</v>
      </c>
      <c r="U265" s="14" cm="1">
        <f t="array" ref="U265">INT(SUMPRODUCT(--ISNUMBER(SEARCH(climate,C265)))&gt;0)</f>
        <v>0</v>
      </c>
      <c r="V265" s="14" cm="1">
        <f t="array" ref="V265">INT(SUMPRODUCT(--ISNUMBER(SEARCH(abortion,C265)))&gt;0)</f>
        <v>0</v>
      </c>
      <c r="W265" s="14" cm="1">
        <f t="array" ref="W265">INT(SUMPRODUCT(--ISNUMBER(SEARCH(trump,C265)))&gt;0)</f>
        <v>1</v>
      </c>
      <c r="X265" s="14" cm="1">
        <f t="array" ref="X265">INT(SUMPRODUCT(--ISNUMBER(SEARCH(voting,C265)))&gt;0)</f>
        <v>0</v>
      </c>
      <c r="Y265" s="14" cm="1">
        <f t="array" ref="Y265">INT(SUMPRODUCT(--ISNUMBER(SEARCH(democrattrigger,C265)))&gt;0)</f>
        <v>1</v>
      </c>
      <c r="Z265" s="14" cm="1">
        <f t="array" ref="Z265">INT(SUMPRODUCT(--ISNUMBER(SEARCH(bipartisan,C265)))&gt;0)</f>
        <v>0</v>
      </c>
      <c r="AA265" s="14">
        <f t="shared" si="4"/>
        <v>0</v>
      </c>
      <c r="AB265" s="14"/>
      <c r="AC265" s="30" t="s">
        <v>223</v>
      </c>
      <c r="AD265" s="37" t="s">
        <v>223</v>
      </c>
    </row>
    <row r="266" spans="1:30" x14ac:dyDescent="0.25">
      <c r="A266" s="36">
        <v>2419</v>
      </c>
      <c r="B266" s="14" t="s">
        <v>4863</v>
      </c>
      <c r="C266" s="14" t="s">
        <v>4864</v>
      </c>
      <c r="D266" s="17">
        <v>44117</v>
      </c>
      <c r="E266" s="14" t="s">
        <v>30</v>
      </c>
      <c r="F266" s="14">
        <v>50</v>
      </c>
      <c r="G266" s="14">
        <v>14</v>
      </c>
      <c r="H266" s="14">
        <v>11</v>
      </c>
      <c r="I266" s="14">
        <v>6</v>
      </c>
      <c r="J266" s="14" t="s">
        <v>204</v>
      </c>
      <c r="K266" s="14" cm="1">
        <f t="array" ref="K266">INT(SUMPRODUCT(--ISNUMBER(SEARCH(economy,C266)))&gt;0)</f>
        <v>0</v>
      </c>
      <c r="L266" s="14" cm="1">
        <f t="array" ref="L266">INT(SUMPRODUCT(--ISNUMBER(SEARCH(healthcare,C266)))&gt;0)</f>
        <v>0</v>
      </c>
      <c r="M266" s="14" cm="1">
        <f t="array" ref="M266">INT(SUMPRODUCT(--ISNUMBER(SEARCH(supreme,C266)))&gt;0)</f>
        <v>0</v>
      </c>
      <c r="N266" s="14" cm="1">
        <f t="array" ref="N266">INT(SUMPRODUCT(--ISNUMBER(SEARCH(covid,C266)))&gt;0)</f>
        <v>1</v>
      </c>
      <c r="O266" s="14" cm="1">
        <f t="array" ref="O266">INT(SUMPRODUCT(--ISNUMBER(SEARCH(violent,C266)))&gt;0)</f>
        <v>0</v>
      </c>
      <c r="P266" s="14" cm="1">
        <f t="array" ref="P266">INT(SUMPRODUCT(--ISNUMBER(SEARCH(foreign,C266)))&gt;0)</f>
        <v>0</v>
      </c>
      <c r="Q266" s="14" cm="1">
        <f t="array" ref="Q266">INT(SUMPRODUCT(--ISNUMBER(SEARCH(gun,C266)))&gt;0)</f>
        <v>0</v>
      </c>
      <c r="R266" s="14" cm="1">
        <f t="array" ref="R266">INT(SUMPRODUCT(--ISNUMBER(SEARCH(race,C266)))&gt;0)</f>
        <v>0</v>
      </c>
      <c r="S266" s="14" cm="1">
        <f t="array" ref="S266">INT(SUMPRODUCT(--ISNUMBER(SEARCH(immigration,C266)))&gt;0)</f>
        <v>0</v>
      </c>
      <c r="T266" s="14" cm="1">
        <f t="array" ref="T266">INT(SUMPRODUCT(--ISNUMBER(SEARCH(econineq,C267)))&gt;0)</f>
        <v>0</v>
      </c>
      <c r="U266" s="14" cm="1">
        <f t="array" ref="U266">INT(SUMPRODUCT(--ISNUMBER(SEARCH(climate,C266)))&gt;0)</f>
        <v>0</v>
      </c>
      <c r="V266" s="14" cm="1">
        <f t="array" ref="V266">INT(SUMPRODUCT(--ISNUMBER(SEARCH(abortion,C266)))&gt;0)</f>
        <v>0</v>
      </c>
      <c r="W266" s="14" cm="1">
        <f t="array" ref="W266">INT(SUMPRODUCT(--ISNUMBER(SEARCH(trump,C266)))&gt;0)</f>
        <v>0</v>
      </c>
      <c r="X266" s="14" cm="1">
        <f t="array" ref="X266">INT(SUMPRODUCT(--ISNUMBER(SEARCH(voting,C266)))&gt;0)</f>
        <v>0</v>
      </c>
      <c r="Y266" s="14" cm="1">
        <f t="array" ref="Y266">INT(SUMPRODUCT(--ISNUMBER(SEARCH(democrattrigger,C266)))&gt;0)</f>
        <v>0</v>
      </c>
      <c r="Z266" s="14" cm="1">
        <f t="array" ref="Z266">INT(SUMPRODUCT(--ISNUMBER(SEARCH(bipartisan,C266)))&gt;0)</f>
        <v>0</v>
      </c>
      <c r="AA266" s="14">
        <f t="shared" si="4"/>
        <v>0</v>
      </c>
      <c r="AB266" s="14"/>
      <c r="AC266" s="30" t="s">
        <v>223</v>
      </c>
      <c r="AD266" s="37" t="s">
        <v>223</v>
      </c>
    </row>
    <row r="267" spans="1:30" x14ac:dyDescent="0.25">
      <c r="A267" s="36">
        <v>2420</v>
      </c>
      <c r="B267" s="14" t="s">
        <v>4865</v>
      </c>
      <c r="C267" s="14" t="s">
        <v>4866</v>
      </c>
      <c r="D267" s="17">
        <v>44117</v>
      </c>
      <c r="E267" s="14" t="s">
        <v>70</v>
      </c>
      <c r="F267" s="14">
        <v>6</v>
      </c>
      <c r="G267" s="14">
        <v>0</v>
      </c>
      <c r="H267" s="14">
        <v>11</v>
      </c>
      <c r="I267" s="14">
        <v>6</v>
      </c>
      <c r="J267" s="14" t="s">
        <v>204</v>
      </c>
      <c r="K267" s="14" cm="1">
        <f t="array" ref="K267">INT(SUMPRODUCT(--ISNUMBER(SEARCH(economy,C267)))&gt;0)</f>
        <v>0</v>
      </c>
      <c r="L267" s="14" cm="1">
        <f t="array" ref="L267">INT(SUMPRODUCT(--ISNUMBER(SEARCH(healthcare,C267)))&gt;0)</f>
        <v>0</v>
      </c>
      <c r="M267" s="14" cm="1">
        <f t="array" ref="M267">INT(SUMPRODUCT(--ISNUMBER(SEARCH(supreme,C267)))&gt;0)</f>
        <v>0</v>
      </c>
      <c r="N267" s="14" cm="1">
        <f t="array" ref="N267">INT(SUMPRODUCT(--ISNUMBER(SEARCH(covid,C267)))&gt;0)</f>
        <v>0</v>
      </c>
      <c r="O267" s="14" cm="1">
        <f t="array" ref="O267">INT(SUMPRODUCT(--ISNUMBER(SEARCH(violent,C267)))&gt;0)</f>
        <v>0</v>
      </c>
      <c r="P267" s="14" cm="1">
        <f t="array" ref="P267">INT(SUMPRODUCT(--ISNUMBER(SEARCH(foreign,C267)))&gt;0)</f>
        <v>0</v>
      </c>
      <c r="Q267" s="14" cm="1">
        <f t="array" ref="Q267">INT(SUMPRODUCT(--ISNUMBER(SEARCH(gun,C267)))&gt;0)</f>
        <v>0</v>
      </c>
      <c r="R267" s="14" cm="1">
        <f t="array" ref="R267">INT(SUMPRODUCT(--ISNUMBER(SEARCH(race,C267)))&gt;0)</f>
        <v>0</v>
      </c>
      <c r="S267" s="14" cm="1">
        <f t="array" ref="S267">INT(SUMPRODUCT(--ISNUMBER(SEARCH(immigration,C267)))&gt;0)</f>
        <v>0</v>
      </c>
      <c r="T267" s="14" cm="1">
        <f t="array" ref="T267">INT(SUMPRODUCT(--ISNUMBER(SEARCH(econineq,C268)))&gt;0)</f>
        <v>0</v>
      </c>
      <c r="U267" s="14" cm="1">
        <f t="array" ref="U267">INT(SUMPRODUCT(--ISNUMBER(SEARCH(climate,C267)))&gt;0)</f>
        <v>0</v>
      </c>
      <c r="V267" s="14" cm="1">
        <f t="array" ref="V267">INT(SUMPRODUCT(--ISNUMBER(SEARCH(abortion,C267)))&gt;0)</f>
        <v>0</v>
      </c>
      <c r="W267" s="14" cm="1">
        <f t="array" ref="W267">INT(SUMPRODUCT(--ISNUMBER(SEARCH(trump,C267)))&gt;0)</f>
        <v>0</v>
      </c>
      <c r="X267" s="14" cm="1">
        <f t="array" ref="X267">INT(SUMPRODUCT(--ISNUMBER(SEARCH(voting,C267)))&gt;0)</f>
        <v>1</v>
      </c>
      <c r="Y267" s="14" cm="1">
        <f t="array" ref="Y267">INT(SUMPRODUCT(--ISNUMBER(SEARCH(democrattrigger,C267)))&gt;0)</f>
        <v>0</v>
      </c>
      <c r="Z267" s="14" cm="1">
        <f t="array" ref="Z267">INT(SUMPRODUCT(--ISNUMBER(SEARCH(bipartisan,C267)))&gt;0)</f>
        <v>0</v>
      </c>
      <c r="AA267" s="14">
        <f t="shared" si="4"/>
        <v>0</v>
      </c>
      <c r="AB267" s="14"/>
      <c r="AC267" s="30" t="s">
        <v>223</v>
      </c>
      <c r="AD267" s="37" t="s">
        <v>223</v>
      </c>
    </row>
    <row r="268" spans="1:30" x14ac:dyDescent="0.25">
      <c r="A268" s="36">
        <v>2421</v>
      </c>
      <c r="B268" s="14" t="s">
        <v>4867</v>
      </c>
      <c r="C268" s="14" t="s">
        <v>4868</v>
      </c>
      <c r="D268" s="17">
        <v>44117</v>
      </c>
      <c r="E268" s="14" t="s">
        <v>30</v>
      </c>
      <c r="F268" s="14">
        <v>52</v>
      </c>
      <c r="G268" s="14">
        <v>21</v>
      </c>
      <c r="H268" s="14">
        <v>11</v>
      </c>
      <c r="I268" s="14">
        <v>6</v>
      </c>
      <c r="J268" s="14" t="s">
        <v>204</v>
      </c>
      <c r="K268" s="14" cm="1">
        <f t="array" ref="K268">INT(SUMPRODUCT(--ISNUMBER(SEARCH(economy,C268)))&gt;0)</f>
        <v>0</v>
      </c>
      <c r="L268" s="14" cm="1">
        <f t="array" ref="L268">INT(SUMPRODUCT(--ISNUMBER(SEARCH(healthcare,C268)))&gt;0)</f>
        <v>0</v>
      </c>
      <c r="M268" s="14" cm="1">
        <f t="array" ref="M268">INT(SUMPRODUCT(--ISNUMBER(SEARCH(supreme,C268)))&gt;0)</f>
        <v>0</v>
      </c>
      <c r="N268" s="14" cm="1">
        <f t="array" ref="N268">INT(SUMPRODUCT(--ISNUMBER(SEARCH(covid,C268)))&gt;0)</f>
        <v>0</v>
      </c>
      <c r="O268" s="14" cm="1">
        <f t="array" ref="O268">INT(SUMPRODUCT(--ISNUMBER(SEARCH(violent,C268)))&gt;0)</f>
        <v>0</v>
      </c>
      <c r="P268" s="14" cm="1">
        <f t="array" ref="P268">INT(SUMPRODUCT(--ISNUMBER(SEARCH(foreign,C268)))&gt;0)</f>
        <v>0</v>
      </c>
      <c r="Q268" s="14" cm="1">
        <f t="array" ref="Q268">INT(SUMPRODUCT(--ISNUMBER(SEARCH(gun,C268)))&gt;0)</f>
        <v>0</v>
      </c>
      <c r="R268" s="14" cm="1">
        <f t="array" ref="R268">INT(SUMPRODUCT(--ISNUMBER(SEARCH(race,C268)))&gt;0)</f>
        <v>0</v>
      </c>
      <c r="S268" s="14" cm="1">
        <f t="array" ref="S268">INT(SUMPRODUCT(--ISNUMBER(SEARCH(immigration,C268)))&gt;0)</f>
        <v>0</v>
      </c>
      <c r="T268" s="14" cm="1">
        <f t="array" ref="T268">INT(SUMPRODUCT(--ISNUMBER(SEARCH(econineq,C269)))&gt;0)</f>
        <v>0</v>
      </c>
      <c r="U268" s="14" cm="1">
        <f t="array" ref="U268">INT(SUMPRODUCT(--ISNUMBER(SEARCH(climate,C268)))&gt;0)</f>
        <v>0</v>
      </c>
      <c r="V268" s="14" cm="1">
        <f t="array" ref="V268">INT(SUMPRODUCT(--ISNUMBER(SEARCH(abortion,C268)))&gt;0)</f>
        <v>0</v>
      </c>
      <c r="W268" s="14" cm="1">
        <f t="array" ref="W268">INT(SUMPRODUCT(--ISNUMBER(SEARCH(trump,C268)))&gt;0)</f>
        <v>0</v>
      </c>
      <c r="X268" s="14" cm="1">
        <f t="array" ref="X268">INT(SUMPRODUCT(--ISNUMBER(SEARCH(voting,C268)))&gt;0)</f>
        <v>1</v>
      </c>
      <c r="Y268" s="14" cm="1">
        <f t="array" ref="Y268">INT(SUMPRODUCT(--ISNUMBER(SEARCH(democrattrigger,C268)))&gt;0)</f>
        <v>0</v>
      </c>
      <c r="Z268" s="14" cm="1">
        <f t="array" ref="Z268">INT(SUMPRODUCT(--ISNUMBER(SEARCH(bipartisan,C268)))&gt;0)</f>
        <v>0</v>
      </c>
      <c r="AA268" s="14">
        <f t="shared" si="4"/>
        <v>0</v>
      </c>
      <c r="AB268" s="14"/>
      <c r="AC268" s="30" t="s">
        <v>223</v>
      </c>
      <c r="AD268" s="37" t="s">
        <v>223</v>
      </c>
    </row>
    <row r="269" spans="1:30" x14ac:dyDescent="0.25">
      <c r="A269" s="36">
        <v>2422</v>
      </c>
      <c r="B269" s="14" t="s">
        <v>4869</v>
      </c>
      <c r="C269" s="14" t="s">
        <v>4870</v>
      </c>
      <c r="D269" s="17">
        <v>44117</v>
      </c>
      <c r="E269" s="14" t="s">
        <v>30</v>
      </c>
      <c r="F269" s="14">
        <v>74</v>
      </c>
      <c r="G269" s="14">
        <v>22</v>
      </c>
      <c r="H269" s="14">
        <v>11</v>
      </c>
      <c r="I269" s="14">
        <v>6</v>
      </c>
      <c r="J269" s="14" t="s">
        <v>204</v>
      </c>
      <c r="K269" s="14" cm="1">
        <f t="array" ref="K269">INT(SUMPRODUCT(--ISNUMBER(SEARCH(economy,C269)))&gt;0)</f>
        <v>0</v>
      </c>
      <c r="L269" s="14" cm="1">
        <f t="array" ref="L269">INT(SUMPRODUCT(--ISNUMBER(SEARCH(healthcare,C269)))&gt;0)</f>
        <v>0</v>
      </c>
      <c r="M269" s="14" cm="1">
        <f t="array" ref="M269">INT(SUMPRODUCT(--ISNUMBER(SEARCH(supreme,C269)))&gt;0)</f>
        <v>0</v>
      </c>
      <c r="N269" s="14" cm="1">
        <f t="array" ref="N269">INT(SUMPRODUCT(--ISNUMBER(SEARCH(covid,C269)))&gt;0)</f>
        <v>1</v>
      </c>
      <c r="O269" s="14" cm="1">
        <f t="array" ref="O269">INT(SUMPRODUCT(--ISNUMBER(SEARCH(violent,C269)))&gt;0)</f>
        <v>0</v>
      </c>
      <c r="P269" s="14" cm="1">
        <f t="array" ref="P269">INT(SUMPRODUCT(--ISNUMBER(SEARCH(foreign,C269)))&gt;0)</f>
        <v>0</v>
      </c>
      <c r="Q269" s="14" cm="1">
        <f t="array" ref="Q269">INT(SUMPRODUCT(--ISNUMBER(SEARCH(gun,C269)))&gt;0)</f>
        <v>0</v>
      </c>
      <c r="R269" s="14" cm="1">
        <f t="array" ref="R269">INT(SUMPRODUCT(--ISNUMBER(SEARCH(race,C269)))&gt;0)</f>
        <v>0</v>
      </c>
      <c r="S269" s="14" cm="1">
        <f t="array" ref="S269">INT(SUMPRODUCT(--ISNUMBER(SEARCH(immigration,C269)))&gt;0)</f>
        <v>0</v>
      </c>
      <c r="T269" s="14" cm="1">
        <f t="array" ref="T269">INT(SUMPRODUCT(--ISNUMBER(SEARCH(econineq,C270)))&gt;0)</f>
        <v>0</v>
      </c>
      <c r="U269" s="14" cm="1">
        <f t="array" ref="U269">INT(SUMPRODUCT(--ISNUMBER(SEARCH(climate,C269)))&gt;0)</f>
        <v>0</v>
      </c>
      <c r="V269" s="14" cm="1">
        <f t="array" ref="V269">INT(SUMPRODUCT(--ISNUMBER(SEARCH(abortion,C269)))&gt;0)</f>
        <v>0</v>
      </c>
      <c r="W269" s="14" cm="1">
        <f t="array" ref="W269">INT(SUMPRODUCT(--ISNUMBER(SEARCH(trump,C269)))&gt;0)</f>
        <v>0</v>
      </c>
      <c r="X269" s="14" cm="1">
        <f t="array" ref="X269">INT(SUMPRODUCT(--ISNUMBER(SEARCH(voting,C269)))&gt;0)</f>
        <v>0</v>
      </c>
      <c r="Y269" s="14" cm="1">
        <f t="array" ref="Y269">INT(SUMPRODUCT(--ISNUMBER(SEARCH(democrattrigger,C269)))&gt;0)</f>
        <v>0</v>
      </c>
      <c r="Z269" s="14" cm="1">
        <f t="array" ref="Z269">INT(SUMPRODUCT(--ISNUMBER(SEARCH(bipartisan,C269)))&gt;0)</f>
        <v>0</v>
      </c>
      <c r="AA269" s="14">
        <f t="shared" si="4"/>
        <v>0</v>
      </c>
      <c r="AB269" s="14"/>
      <c r="AC269" s="30" t="s">
        <v>223</v>
      </c>
      <c r="AD269" s="37" t="s">
        <v>223</v>
      </c>
    </row>
    <row r="270" spans="1:30" x14ac:dyDescent="0.25">
      <c r="A270" s="36">
        <v>2423</v>
      </c>
      <c r="B270" s="14" t="s">
        <v>4871</v>
      </c>
      <c r="C270" s="14" t="s">
        <v>4872</v>
      </c>
      <c r="D270" s="17">
        <v>44117</v>
      </c>
      <c r="E270" s="14" t="s">
        <v>30</v>
      </c>
      <c r="F270" s="14">
        <v>26</v>
      </c>
      <c r="G270" s="14">
        <v>22</v>
      </c>
      <c r="H270" s="14">
        <v>11</v>
      </c>
      <c r="I270" s="14">
        <v>6</v>
      </c>
      <c r="J270" s="14" t="s">
        <v>204</v>
      </c>
      <c r="K270" s="14" cm="1">
        <f t="array" ref="K270">INT(SUMPRODUCT(--ISNUMBER(SEARCH(economy,C270)))&gt;0)</f>
        <v>0</v>
      </c>
      <c r="L270" s="14" cm="1">
        <f t="array" ref="L270">INT(SUMPRODUCT(--ISNUMBER(SEARCH(healthcare,C270)))&gt;0)</f>
        <v>0</v>
      </c>
      <c r="M270" s="14" cm="1">
        <f t="array" ref="M270">INT(SUMPRODUCT(--ISNUMBER(SEARCH(supreme,C270)))&gt;0)</f>
        <v>0</v>
      </c>
      <c r="N270" s="14" cm="1">
        <f t="array" ref="N270">INT(SUMPRODUCT(--ISNUMBER(SEARCH(covid,C270)))&gt;0)</f>
        <v>0</v>
      </c>
      <c r="O270" s="14" cm="1">
        <f t="array" ref="O270">INT(SUMPRODUCT(--ISNUMBER(SEARCH(violent,C270)))&gt;0)</f>
        <v>0</v>
      </c>
      <c r="P270" s="14" cm="1">
        <f t="array" ref="P270">INT(SUMPRODUCT(--ISNUMBER(SEARCH(foreign,C270)))&gt;0)</f>
        <v>1</v>
      </c>
      <c r="Q270" s="14" cm="1">
        <f t="array" ref="Q270">INT(SUMPRODUCT(--ISNUMBER(SEARCH(gun,C270)))&gt;0)</f>
        <v>0</v>
      </c>
      <c r="R270" s="14" cm="1">
        <f t="array" ref="R270">INT(SUMPRODUCT(--ISNUMBER(SEARCH(race,C270)))&gt;0)</f>
        <v>0</v>
      </c>
      <c r="S270" s="14" cm="1">
        <f t="array" ref="S270">INT(SUMPRODUCT(--ISNUMBER(SEARCH(immigration,C270)))&gt;0)</f>
        <v>0</v>
      </c>
      <c r="T270" s="14" cm="1">
        <f t="array" ref="T270">INT(SUMPRODUCT(--ISNUMBER(SEARCH(econineq,C271)))&gt;0)</f>
        <v>0</v>
      </c>
      <c r="U270" s="14" cm="1">
        <f t="array" ref="U270">INT(SUMPRODUCT(--ISNUMBER(SEARCH(climate,C270)))&gt;0)</f>
        <v>0</v>
      </c>
      <c r="V270" s="14" cm="1">
        <f t="array" ref="V270">INT(SUMPRODUCT(--ISNUMBER(SEARCH(abortion,C270)))&gt;0)</f>
        <v>0</v>
      </c>
      <c r="W270" s="14" cm="1">
        <f t="array" ref="W270">INT(SUMPRODUCT(--ISNUMBER(SEARCH(trump,C270)))&gt;0)</f>
        <v>0</v>
      </c>
      <c r="X270" s="14" cm="1">
        <f t="array" ref="X270">INT(SUMPRODUCT(--ISNUMBER(SEARCH(voting,C270)))&gt;0)</f>
        <v>1</v>
      </c>
      <c r="Y270" s="14" cm="1">
        <f t="array" ref="Y270">INT(SUMPRODUCT(--ISNUMBER(SEARCH(democrattrigger,C270)))&gt;0)</f>
        <v>0</v>
      </c>
      <c r="Z270" s="14" cm="1">
        <f t="array" ref="Z270">INT(SUMPRODUCT(--ISNUMBER(SEARCH(bipartisan,C270)))&gt;0)</f>
        <v>0</v>
      </c>
      <c r="AA270" s="14">
        <f t="shared" si="4"/>
        <v>0</v>
      </c>
      <c r="AB270" s="14"/>
      <c r="AC270" s="30" t="s">
        <v>223</v>
      </c>
      <c r="AD270" s="37" t="s">
        <v>223</v>
      </c>
    </row>
    <row r="271" spans="1:30" x14ac:dyDescent="0.25">
      <c r="A271" s="36">
        <v>2424</v>
      </c>
      <c r="B271" s="14" t="s">
        <v>4873</v>
      </c>
      <c r="C271" s="14" t="s">
        <v>4874</v>
      </c>
      <c r="D271" s="17">
        <v>44117</v>
      </c>
      <c r="E271" s="14" t="s">
        <v>30</v>
      </c>
      <c r="F271" s="14">
        <v>86</v>
      </c>
      <c r="G271" s="14">
        <v>20</v>
      </c>
      <c r="H271" s="14">
        <v>11</v>
      </c>
      <c r="I271" s="14">
        <v>6</v>
      </c>
      <c r="J271" s="14" t="s">
        <v>204</v>
      </c>
      <c r="K271" s="14" cm="1">
        <f t="array" ref="K271">INT(SUMPRODUCT(--ISNUMBER(SEARCH(economy,C271)))&gt;0)</f>
        <v>0</v>
      </c>
      <c r="L271" s="14" cm="1">
        <f t="array" ref="L271">INT(SUMPRODUCT(--ISNUMBER(SEARCH(healthcare,C271)))&gt;0)</f>
        <v>0</v>
      </c>
      <c r="M271" s="14" cm="1">
        <f t="array" ref="M271">INT(SUMPRODUCT(--ISNUMBER(SEARCH(supreme,C271)))&gt;0)</f>
        <v>0</v>
      </c>
      <c r="N271" s="14" cm="1">
        <f t="array" ref="N271">INT(SUMPRODUCT(--ISNUMBER(SEARCH(covid,C271)))&gt;0)</f>
        <v>1</v>
      </c>
      <c r="O271" s="14" cm="1">
        <f t="array" ref="O271">INT(SUMPRODUCT(--ISNUMBER(SEARCH(violent,C271)))&gt;0)</f>
        <v>0</v>
      </c>
      <c r="P271" s="14" cm="1">
        <f t="array" ref="P271">INT(SUMPRODUCT(--ISNUMBER(SEARCH(foreign,C271)))&gt;0)</f>
        <v>0</v>
      </c>
      <c r="Q271" s="14" cm="1">
        <f t="array" ref="Q271">INT(SUMPRODUCT(--ISNUMBER(SEARCH(gun,C271)))&gt;0)</f>
        <v>0</v>
      </c>
      <c r="R271" s="14" cm="1">
        <f t="array" ref="R271">INT(SUMPRODUCT(--ISNUMBER(SEARCH(race,C271)))&gt;0)</f>
        <v>0</v>
      </c>
      <c r="S271" s="14" cm="1">
        <f t="array" ref="S271">INT(SUMPRODUCT(--ISNUMBER(SEARCH(immigration,C271)))&gt;0)</f>
        <v>0</v>
      </c>
      <c r="T271" s="14" cm="1">
        <f t="array" ref="T271">INT(SUMPRODUCT(--ISNUMBER(SEARCH(econineq,C272)))&gt;0)</f>
        <v>0</v>
      </c>
      <c r="U271" s="14" cm="1">
        <f t="array" ref="U271">INT(SUMPRODUCT(--ISNUMBER(SEARCH(climate,C271)))&gt;0)</f>
        <v>0</v>
      </c>
      <c r="V271" s="14" cm="1">
        <f t="array" ref="V271">INT(SUMPRODUCT(--ISNUMBER(SEARCH(abortion,C271)))&gt;0)</f>
        <v>0</v>
      </c>
      <c r="W271" s="14" cm="1">
        <f t="array" ref="W271">INT(SUMPRODUCT(--ISNUMBER(SEARCH(trump,C271)))&gt;0)</f>
        <v>0</v>
      </c>
      <c r="X271" s="14" cm="1">
        <f t="array" ref="X271">INT(SUMPRODUCT(--ISNUMBER(SEARCH(voting,C271)))&gt;0)</f>
        <v>1</v>
      </c>
      <c r="Y271" s="14" cm="1">
        <f t="array" ref="Y271">INT(SUMPRODUCT(--ISNUMBER(SEARCH(democrattrigger,C271)))&gt;0)</f>
        <v>0</v>
      </c>
      <c r="Z271" s="14" cm="1">
        <f t="array" ref="Z271">INT(SUMPRODUCT(--ISNUMBER(SEARCH(bipartisan,C271)))&gt;0)</f>
        <v>0</v>
      </c>
      <c r="AA271" s="14">
        <f t="shared" si="4"/>
        <v>0</v>
      </c>
      <c r="AB271" s="14"/>
      <c r="AC271" s="30">
        <v>1</v>
      </c>
      <c r="AD271" s="37">
        <v>0</v>
      </c>
    </row>
    <row r="272" spans="1:30" x14ac:dyDescent="0.25">
      <c r="A272" s="36">
        <v>2425</v>
      </c>
      <c r="B272" s="14" t="s">
        <v>4875</v>
      </c>
      <c r="C272" s="14" t="s">
        <v>4876</v>
      </c>
      <c r="D272" s="17">
        <v>44117</v>
      </c>
      <c r="E272" s="14" t="s">
        <v>30</v>
      </c>
      <c r="F272" s="14">
        <v>51</v>
      </c>
      <c r="G272" s="14">
        <v>20</v>
      </c>
      <c r="H272" s="14">
        <v>11</v>
      </c>
      <c r="I272" s="14">
        <v>6</v>
      </c>
      <c r="J272" s="14" t="s">
        <v>204</v>
      </c>
      <c r="K272" s="14" cm="1">
        <f t="array" ref="K272">INT(SUMPRODUCT(--ISNUMBER(SEARCH(economy,C272)))&gt;0)</f>
        <v>0</v>
      </c>
      <c r="L272" s="14" cm="1">
        <f t="array" ref="L272">INT(SUMPRODUCT(--ISNUMBER(SEARCH(healthcare,C272)))&gt;0)</f>
        <v>1</v>
      </c>
      <c r="M272" s="14" cm="1">
        <f t="array" ref="M272">INT(SUMPRODUCT(--ISNUMBER(SEARCH(supreme,C272)))&gt;0)</f>
        <v>1</v>
      </c>
      <c r="N272" s="14" cm="1">
        <f t="array" ref="N272">INT(SUMPRODUCT(--ISNUMBER(SEARCH(covid,C272)))&gt;0)</f>
        <v>0</v>
      </c>
      <c r="O272" s="14" cm="1">
        <f t="array" ref="O272">INT(SUMPRODUCT(--ISNUMBER(SEARCH(violent,C272)))&gt;0)</f>
        <v>0</v>
      </c>
      <c r="P272" s="14" cm="1">
        <f t="array" ref="P272">INT(SUMPRODUCT(--ISNUMBER(SEARCH(foreign,C272)))&gt;0)</f>
        <v>0</v>
      </c>
      <c r="Q272" s="14" cm="1">
        <f t="array" ref="Q272">INT(SUMPRODUCT(--ISNUMBER(SEARCH(gun,C272)))&gt;0)</f>
        <v>0</v>
      </c>
      <c r="R272" s="14" cm="1">
        <f t="array" ref="R272">INT(SUMPRODUCT(--ISNUMBER(SEARCH(race,C272)))&gt;0)</f>
        <v>0</v>
      </c>
      <c r="S272" s="14" cm="1">
        <f t="array" ref="S272">INT(SUMPRODUCT(--ISNUMBER(SEARCH(immigration,C272)))&gt;0)</f>
        <v>0</v>
      </c>
      <c r="T272" s="14" cm="1">
        <f t="array" ref="T272">INT(SUMPRODUCT(--ISNUMBER(SEARCH(econineq,C273)))&gt;0)</f>
        <v>0</v>
      </c>
      <c r="U272" s="14" cm="1">
        <f t="array" ref="U272">INT(SUMPRODUCT(--ISNUMBER(SEARCH(climate,C272)))&gt;0)</f>
        <v>0</v>
      </c>
      <c r="V272" s="14" cm="1">
        <f t="array" ref="V272">INT(SUMPRODUCT(--ISNUMBER(SEARCH(abortion,C272)))&gt;0)</f>
        <v>0</v>
      </c>
      <c r="W272" s="14" cm="1">
        <f t="array" ref="W272">INT(SUMPRODUCT(--ISNUMBER(SEARCH(trump,C272)))&gt;0)</f>
        <v>0</v>
      </c>
      <c r="X272" s="14" cm="1">
        <f t="array" ref="X272">INT(SUMPRODUCT(--ISNUMBER(SEARCH(voting,C272)))&gt;0)</f>
        <v>0</v>
      </c>
      <c r="Y272" s="14" cm="1">
        <f t="array" ref="Y272">INT(SUMPRODUCT(--ISNUMBER(SEARCH(democrattrigger,C272)))&gt;0)</f>
        <v>0</v>
      </c>
      <c r="Z272" s="14" cm="1">
        <f t="array" ref="Z272">INT(SUMPRODUCT(--ISNUMBER(SEARCH(bipartisan,C272)))&gt;0)</f>
        <v>0</v>
      </c>
      <c r="AA272" s="14">
        <f t="shared" si="4"/>
        <v>0</v>
      </c>
      <c r="AB272" s="14"/>
      <c r="AC272" s="30" t="s">
        <v>223</v>
      </c>
      <c r="AD272" s="37" t="s">
        <v>223</v>
      </c>
    </row>
    <row r="273" spans="1:30" x14ac:dyDescent="0.25">
      <c r="A273" s="36">
        <v>2426</v>
      </c>
      <c r="B273" s="14" t="s">
        <v>4877</v>
      </c>
      <c r="C273" s="14" t="s">
        <v>4878</v>
      </c>
      <c r="D273" s="17">
        <v>44117</v>
      </c>
      <c r="E273" s="14" t="s">
        <v>30</v>
      </c>
      <c r="F273" s="14">
        <v>271</v>
      </c>
      <c r="G273" s="14">
        <v>47</v>
      </c>
      <c r="H273" s="14">
        <v>11</v>
      </c>
      <c r="I273" s="14">
        <v>6</v>
      </c>
      <c r="J273" s="14" t="s">
        <v>204</v>
      </c>
      <c r="K273" s="14" cm="1">
        <f t="array" ref="K273">INT(SUMPRODUCT(--ISNUMBER(SEARCH(economy,C273)))&gt;0)</f>
        <v>0</v>
      </c>
      <c r="L273" s="14" cm="1">
        <f t="array" ref="L273">INT(SUMPRODUCT(--ISNUMBER(SEARCH(healthcare,C273)))&gt;0)</f>
        <v>0</v>
      </c>
      <c r="M273" s="14" cm="1">
        <f t="array" ref="M273">INT(SUMPRODUCT(--ISNUMBER(SEARCH(supreme,C273)))&gt;0)</f>
        <v>0</v>
      </c>
      <c r="N273" s="14" cm="1">
        <f t="array" ref="N273">INT(SUMPRODUCT(--ISNUMBER(SEARCH(covid,C273)))&gt;0)</f>
        <v>0</v>
      </c>
      <c r="O273" s="14" cm="1">
        <f t="array" ref="O273">INT(SUMPRODUCT(--ISNUMBER(SEARCH(violent,C273)))&gt;0)</f>
        <v>0</v>
      </c>
      <c r="P273" s="14" cm="1">
        <f t="array" ref="P273">INT(SUMPRODUCT(--ISNUMBER(SEARCH(foreign,C273)))&gt;0)</f>
        <v>0</v>
      </c>
      <c r="Q273" s="14" cm="1">
        <f t="array" ref="Q273">INT(SUMPRODUCT(--ISNUMBER(SEARCH(gun,C273)))&gt;0)</f>
        <v>0</v>
      </c>
      <c r="R273" s="14" cm="1">
        <f t="array" ref="R273">INT(SUMPRODUCT(--ISNUMBER(SEARCH(race,C273)))&gt;0)</f>
        <v>0</v>
      </c>
      <c r="S273" s="14" cm="1">
        <f t="array" ref="S273">INT(SUMPRODUCT(--ISNUMBER(SEARCH(immigration,C273)))&gt;0)</f>
        <v>0</v>
      </c>
      <c r="T273" s="14" cm="1">
        <f t="array" ref="T273">INT(SUMPRODUCT(--ISNUMBER(SEARCH(econineq,C274)))&gt;0)</f>
        <v>0</v>
      </c>
      <c r="U273" s="14" cm="1">
        <f t="array" ref="U273">INT(SUMPRODUCT(--ISNUMBER(SEARCH(climate,C273)))&gt;0)</f>
        <v>0</v>
      </c>
      <c r="V273" s="14" cm="1">
        <f t="array" ref="V273">INT(SUMPRODUCT(--ISNUMBER(SEARCH(abortion,C273)))&gt;0)</f>
        <v>0</v>
      </c>
      <c r="W273" s="14" cm="1">
        <f t="array" ref="W273">INT(SUMPRODUCT(--ISNUMBER(SEARCH(trump,C273)))&gt;0)</f>
        <v>0</v>
      </c>
      <c r="X273" s="14" cm="1">
        <f t="array" ref="X273">INT(SUMPRODUCT(--ISNUMBER(SEARCH(voting,C273)))&gt;0)</f>
        <v>1</v>
      </c>
      <c r="Y273" s="14" cm="1">
        <f t="array" ref="Y273">INT(SUMPRODUCT(--ISNUMBER(SEARCH(democrattrigger,C273)))&gt;0)</f>
        <v>0</v>
      </c>
      <c r="Z273" s="14" cm="1">
        <f t="array" ref="Z273">INT(SUMPRODUCT(--ISNUMBER(SEARCH(bipartisan,C273)))&gt;0)</f>
        <v>0</v>
      </c>
      <c r="AA273" s="14">
        <f t="shared" si="4"/>
        <v>0</v>
      </c>
      <c r="AB273" s="14"/>
      <c r="AC273" s="30" t="s">
        <v>223</v>
      </c>
      <c r="AD273" s="37" t="s">
        <v>223</v>
      </c>
    </row>
    <row r="274" spans="1:30" x14ac:dyDescent="0.25">
      <c r="A274" s="36">
        <v>2427</v>
      </c>
      <c r="B274" s="14" t="s">
        <v>4879</v>
      </c>
      <c r="C274" s="14" t="s">
        <v>4880</v>
      </c>
      <c r="D274" s="17">
        <v>44116</v>
      </c>
      <c r="E274" s="14" t="s">
        <v>30</v>
      </c>
      <c r="F274" s="14">
        <v>31</v>
      </c>
      <c r="G274" s="14">
        <v>9</v>
      </c>
      <c r="H274" s="14">
        <v>11</v>
      </c>
      <c r="I274" s="14">
        <v>6</v>
      </c>
      <c r="J274" s="14" t="s">
        <v>204</v>
      </c>
      <c r="K274" s="14" cm="1">
        <f t="array" ref="K274">INT(SUMPRODUCT(--ISNUMBER(SEARCH(economy,C274)))&gt;0)</f>
        <v>0</v>
      </c>
      <c r="L274" s="14" cm="1">
        <f t="array" ref="L274">INT(SUMPRODUCT(--ISNUMBER(SEARCH(healthcare,C274)))&gt;0)</f>
        <v>0</v>
      </c>
      <c r="M274" s="14" cm="1">
        <f t="array" ref="M274">INT(SUMPRODUCT(--ISNUMBER(SEARCH(supreme,C274)))&gt;0)</f>
        <v>0</v>
      </c>
      <c r="N274" s="14" cm="1">
        <f t="array" ref="N274">INT(SUMPRODUCT(--ISNUMBER(SEARCH(covid,C274)))&gt;0)</f>
        <v>0</v>
      </c>
      <c r="O274" s="14" cm="1">
        <f t="array" ref="O274">INT(SUMPRODUCT(--ISNUMBER(SEARCH(violent,C274)))&gt;0)</f>
        <v>0</v>
      </c>
      <c r="P274" s="14" cm="1">
        <f t="array" ref="P274">INT(SUMPRODUCT(--ISNUMBER(SEARCH(foreign,C274)))&gt;0)</f>
        <v>0</v>
      </c>
      <c r="Q274" s="14" cm="1">
        <f t="array" ref="Q274">INT(SUMPRODUCT(--ISNUMBER(SEARCH(gun,C274)))&gt;0)</f>
        <v>0</v>
      </c>
      <c r="R274" s="14" cm="1">
        <f t="array" ref="R274">INT(SUMPRODUCT(--ISNUMBER(SEARCH(race,C274)))&gt;0)</f>
        <v>0</v>
      </c>
      <c r="S274" s="14" cm="1">
        <f t="array" ref="S274">INT(SUMPRODUCT(--ISNUMBER(SEARCH(immigration,C274)))&gt;0)</f>
        <v>0</v>
      </c>
      <c r="T274" s="14" cm="1">
        <f t="array" ref="T274">INT(SUMPRODUCT(--ISNUMBER(SEARCH(econineq,C275)))&gt;0)</f>
        <v>0</v>
      </c>
      <c r="U274" s="14" cm="1">
        <f t="array" ref="U274">INT(SUMPRODUCT(--ISNUMBER(SEARCH(climate,C274)))&gt;0)</f>
        <v>0</v>
      </c>
      <c r="V274" s="14" cm="1">
        <f t="array" ref="V274">INT(SUMPRODUCT(--ISNUMBER(SEARCH(abortion,C274)))&gt;0)</f>
        <v>0</v>
      </c>
      <c r="W274" s="14" cm="1">
        <f t="array" ref="W274">INT(SUMPRODUCT(--ISNUMBER(SEARCH(trump,C274)))&gt;0)</f>
        <v>0</v>
      </c>
      <c r="X274" s="14" cm="1">
        <f t="array" ref="X274">INT(SUMPRODUCT(--ISNUMBER(SEARCH(voting,C274)))&gt;0)</f>
        <v>1</v>
      </c>
      <c r="Y274" s="14" cm="1">
        <f t="array" ref="Y274">INT(SUMPRODUCT(--ISNUMBER(SEARCH(democrattrigger,C274)))&gt;0)</f>
        <v>0</v>
      </c>
      <c r="Z274" s="14" cm="1">
        <f t="array" ref="Z274">INT(SUMPRODUCT(--ISNUMBER(SEARCH(bipartisan,C274)))&gt;0)</f>
        <v>0</v>
      </c>
      <c r="AA274" s="14">
        <f t="shared" si="4"/>
        <v>0</v>
      </c>
      <c r="AB274" s="14"/>
      <c r="AC274" s="30">
        <v>1</v>
      </c>
      <c r="AD274" s="37">
        <v>0</v>
      </c>
    </row>
    <row r="275" spans="1:30" x14ac:dyDescent="0.25">
      <c r="A275" s="36">
        <v>2428</v>
      </c>
      <c r="B275" s="14" t="s">
        <v>4881</v>
      </c>
      <c r="C275" s="14" t="s">
        <v>4882</v>
      </c>
      <c r="D275" s="17">
        <v>44116</v>
      </c>
      <c r="E275" s="14" t="s">
        <v>30</v>
      </c>
      <c r="F275" s="14">
        <v>2583</v>
      </c>
      <c r="G275" s="14">
        <v>387</v>
      </c>
      <c r="H275" s="14">
        <v>11</v>
      </c>
      <c r="I275" s="14">
        <v>6</v>
      </c>
      <c r="J275" s="14" t="s">
        <v>204</v>
      </c>
      <c r="K275" s="14" cm="1">
        <f t="array" ref="K275">INT(SUMPRODUCT(--ISNUMBER(SEARCH(economy,C275)))&gt;0)</f>
        <v>0</v>
      </c>
      <c r="L275" s="14" cm="1">
        <f t="array" ref="L275">INT(SUMPRODUCT(--ISNUMBER(SEARCH(healthcare,C275)))&gt;0)</f>
        <v>1</v>
      </c>
      <c r="M275" s="14" cm="1">
        <f t="array" ref="M275">INT(SUMPRODUCT(--ISNUMBER(SEARCH(supreme,C275)))&gt;0)</f>
        <v>1</v>
      </c>
      <c r="N275" s="14" cm="1">
        <f t="array" ref="N275">INT(SUMPRODUCT(--ISNUMBER(SEARCH(covid,C275)))&gt;0)</f>
        <v>0</v>
      </c>
      <c r="O275" s="14" cm="1">
        <f t="array" ref="O275">INT(SUMPRODUCT(--ISNUMBER(SEARCH(violent,C275)))&gt;0)</f>
        <v>0</v>
      </c>
      <c r="P275" s="14" cm="1">
        <f t="array" ref="P275">INT(SUMPRODUCT(--ISNUMBER(SEARCH(foreign,C275)))&gt;0)</f>
        <v>0</v>
      </c>
      <c r="Q275" s="14" cm="1">
        <f t="array" ref="Q275">INT(SUMPRODUCT(--ISNUMBER(SEARCH(gun,C275)))&gt;0)</f>
        <v>0</v>
      </c>
      <c r="R275" s="14" cm="1">
        <f t="array" ref="R275">INT(SUMPRODUCT(--ISNUMBER(SEARCH(race,C275)))&gt;0)</f>
        <v>0</v>
      </c>
      <c r="S275" s="14" cm="1">
        <f t="array" ref="S275">INT(SUMPRODUCT(--ISNUMBER(SEARCH(immigration,C275)))&gt;0)</f>
        <v>0</v>
      </c>
      <c r="T275" s="14" cm="1">
        <f t="array" ref="T275">INT(SUMPRODUCT(--ISNUMBER(SEARCH(econineq,C276)))&gt;0)</f>
        <v>0</v>
      </c>
      <c r="U275" s="14" cm="1">
        <f t="array" ref="U275">INT(SUMPRODUCT(--ISNUMBER(SEARCH(climate,C275)))&gt;0)</f>
        <v>0</v>
      </c>
      <c r="V275" s="14" cm="1">
        <f t="array" ref="V275">INT(SUMPRODUCT(--ISNUMBER(SEARCH(abortion,C275)))&gt;0)</f>
        <v>0</v>
      </c>
      <c r="W275" s="14" cm="1">
        <f t="array" ref="W275">INT(SUMPRODUCT(--ISNUMBER(SEARCH(trump,C275)))&gt;0)</f>
        <v>0</v>
      </c>
      <c r="X275" s="14" cm="1">
        <f t="array" ref="X275">INT(SUMPRODUCT(--ISNUMBER(SEARCH(voting,C275)))&gt;0)</f>
        <v>1</v>
      </c>
      <c r="Y275" s="14" cm="1">
        <f t="array" ref="Y275">INT(SUMPRODUCT(--ISNUMBER(SEARCH(democrattrigger,C275)))&gt;0)</f>
        <v>0</v>
      </c>
      <c r="Z275" s="14" cm="1">
        <f t="array" ref="Z275">INT(SUMPRODUCT(--ISNUMBER(SEARCH(bipartisan,C275)))&gt;0)</f>
        <v>0</v>
      </c>
      <c r="AA275" s="14">
        <f t="shared" si="4"/>
        <v>0</v>
      </c>
      <c r="AB275" s="14"/>
      <c r="AC275" s="30" t="s">
        <v>223</v>
      </c>
      <c r="AD275" s="37" t="s">
        <v>223</v>
      </c>
    </row>
    <row r="276" spans="1:30" x14ac:dyDescent="0.25">
      <c r="A276" s="36">
        <v>2429</v>
      </c>
      <c r="B276" s="14" t="s">
        <v>4883</v>
      </c>
      <c r="C276" s="14" t="s">
        <v>4884</v>
      </c>
      <c r="D276" s="17">
        <v>44116</v>
      </c>
      <c r="E276" s="14" t="s">
        <v>30</v>
      </c>
      <c r="F276" s="14">
        <v>51</v>
      </c>
      <c r="G276" s="14">
        <v>10</v>
      </c>
      <c r="H276" s="14">
        <v>11</v>
      </c>
      <c r="I276" s="14">
        <v>6</v>
      </c>
      <c r="J276" s="14" t="s">
        <v>204</v>
      </c>
      <c r="K276" s="14" cm="1">
        <f t="array" ref="K276">INT(SUMPRODUCT(--ISNUMBER(SEARCH(economy,C276)))&gt;0)</f>
        <v>0</v>
      </c>
      <c r="L276" s="14" cm="1">
        <f t="array" ref="L276">INT(SUMPRODUCT(--ISNUMBER(SEARCH(healthcare,C276)))&gt;0)</f>
        <v>0</v>
      </c>
      <c r="M276" s="14" cm="1">
        <f t="array" ref="M276">INT(SUMPRODUCT(--ISNUMBER(SEARCH(supreme,C276)))&gt;0)</f>
        <v>0</v>
      </c>
      <c r="N276" s="14" cm="1">
        <f t="array" ref="N276">INT(SUMPRODUCT(--ISNUMBER(SEARCH(covid,C276)))&gt;0)</f>
        <v>0</v>
      </c>
      <c r="O276" s="14" cm="1">
        <f t="array" ref="O276">INT(SUMPRODUCT(--ISNUMBER(SEARCH(violent,C276)))&gt;0)</f>
        <v>0</v>
      </c>
      <c r="P276" s="14" cm="1">
        <f t="array" ref="P276">INT(SUMPRODUCT(--ISNUMBER(SEARCH(foreign,C276)))&gt;0)</f>
        <v>0</v>
      </c>
      <c r="Q276" s="14" cm="1">
        <f t="array" ref="Q276">INT(SUMPRODUCT(--ISNUMBER(SEARCH(gun,C276)))&gt;0)</f>
        <v>0</v>
      </c>
      <c r="R276" s="14" cm="1">
        <f t="array" ref="R276">INT(SUMPRODUCT(--ISNUMBER(SEARCH(race,C276)))&gt;0)</f>
        <v>0</v>
      </c>
      <c r="S276" s="14" cm="1">
        <f t="array" ref="S276">INT(SUMPRODUCT(--ISNUMBER(SEARCH(immigration,C276)))&gt;0)</f>
        <v>0</v>
      </c>
      <c r="T276" s="14" cm="1">
        <f t="array" ref="T276">INT(SUMPRODUCT(--ISNUMBER(SEARCH(econineq,C277)))&gt;0)</f>
        <v>0</v>
      </c>
      <c r="U276" s="14" cm="1">
        <f t="array" ref="U276">INT(SUMPRODUCT(--ISNUMBER(SEARCH(climate,C276)))&gt;0)</f>
        <v>0</v>
      </c>
      <c r="V276" s="14" cm="1">
        <f t="array" ref="V276">INT(SUMPRODUCT(--ISNUMBER(SEARCH(abortion,C276)))&gt;0)</f>
        <v>0</v>
      </c>
      <c r="W276" s="14" cm="1">
        <f t="array" ref="W276">INT(SUMPRODUCT(--ISNUMBER(SEARCH(trump,C276)))&gt;0)</f>
        <v>0</v>
      </c>
      <c r="X276" s="14" cm="1">
        <f t="array" ref="X276">INT(SUMPRODUCT(--ISNUMBER(SEARCH(voting,C276)))&gt;0)</f>
        <v>0</v>
      </c>
      <c r="Y276" s="14" cm="1">
        <f t="array" ref="Y276">INT(SUMPRODUCT(--ISNUMBER(SEARCH(democrattrigger,C276)))&gt;0)</f>
        <v>0</v>
      </c>
      <c r="Z276" s="14" cm="1">
        <f t="array" ref="Z276">INT(SUMPRODUCT(--ISNUMBER(SEARCH(bipartisan,C276)))&gt;0)</f>
        <v>0</v>
      </c>
      <c r="AA276" s="14">
        <f t="shared" si="4"/>
        <v>1</v>
      </c>
      <c r="AB276" s="14"/>
      <c r="AC276" s="30">
        <v>1</v>
      </c>
      <c r="AD276" s="37">
        <v>0</v>
      </c>
    </row>
    <row r="277" spans="1:30" x14ac:dyDescent="0.25">
      <c r="A277" s="36">
        <v>2430</v>
      </c>
      <c r="B277" s="14" t="s">
        <v>4885</v>
      </c>
      <c r="C277" s="14" t="s">
        <v>4886</v>
      </c>
      <c r="D277" s="17">
        <v>44116</v>
      </c>
      <c r="E277" s="14" t="s">
        <v>30</v>
      </c>
      <c r="F277" s="14">
        <v>55</v>
      </c>
      <c r="G277" s="14">
        <v>27</v>
      </c>
      <c r="H277" s="14">
        <v>11</v>
      </c>
      <c r="I277" s="14">
        <v>6</v>
      </c>
      <c r="J277" s="14" t="s">
        <v>204</v>
      </c>
      <c r="K277" s="14" cm="1">
        <f t="array" ref="K277">INT(SUMPRODUCT(--ISNUMBER(SEARCH(economy,C277)))&gt;0)</f>
        <v>0</v>
      </c>
      <c r="L277" s="14" cm="1">
        <f t="array" ref="L277">INT(SUMPRODUCT(--ISNUMBER(SEARCH(healthcare,C277)))&gt;0)</f>
        <v>0</v>
      </c>
      <c r="M277" s="14" cm="1">
        <f t="array" ref="M277">INT(SUMPRODUCT(--ISNUMBER(SEARCH(supreme,C277)))&gt;0)</f>
        <v>0</v>
      </c>
      <c r="N277" s="14" cm="1">
        <f t="array" ref="N277">INT(SUMPRODUCT(--ISNUMBER(SEARCH(covid,C277)))&gt;0)</f>
        <v>0</v>
      </c>
      <c r="O277" s="14" cm="1">
        <f t="array" ref="O277">INT(SUMPRODUCT(--ISNUMBER(SEARCH(violent,C277)))&gt;0)</f>
        <v>0</v>
      </c>
      <c r="P277" s="14" cm="1">
        <f t="array" ref="P277">INT(SUMPRODUCT(--ISNUMBER(SEARCH(foreign,C277)))&gt;0)</f>
        <v>1</v>
      </c>
      <c r="Q277" s="14" cm="1">
        <f t="array" ref="Q277">INT(SUMPRODUCT(--ISNUMBER(SEARCH(gun,C277)))&gt;0)</f>
        <v>0</v>
      </c>
      <c r="R277" s="14" cm="1">
        <f t="array" ref="R277">INT(SUMPRODUCT(--ISNUMBER(SEARCH(race,C277)))&gt;0)</f>
        <v>0</v>
      </c>
      <c r="S277" s="14" cm="1">
        <f t="array" ref="S277">INT(SUMPRODUCT(--ISNUMBER(SEARCH(immigration,C277)))&gt;0)</f>
        <v>0</v>
      </c>
      <c r="T277" s="14" cm="1">
        <f t="array" ref="T277">INT(SUMPRODUCT(--ISNUMBER(SEARCH(econineq,C278)))&gt;0)</f>
        <v>0</v>
      </c>
      <c r="U277" s="14" cm="1">
        <f t="array" ref="U277">INT(SUMPRODUCT(--ISNUMBER(SEARCH(climate,C277)))&gt;0)</f>
        <v>0</v>
      </c>
      <c r="V277" s="14" cm="1">
        <f t="array" ref="V277">INT(SUMPRODUCT(--ISNUMBER(SEARCH(abortion,C277)))&gt;0)</f>
        <v>0</v>
      </c>
      <c r="W277" s="14" cm="1">
        <f t="array" ref="W277">INT(SUMPRODUCT(--ISNUMBER(SEARCH(trump,C277)))&gt;0)</f>
        <v>0</v>
      </c>
      <c r="X277" s="14" cm="1">
        <f t="array" ref="X277">INT(SUMPRODUCT(--ISNUMBER(SEARCH(voting,C277)))&gt;0)</f>
        <v>1</v>
      </c>
      <c r="Y277" s="14" cm="1">
        <f t="array" ref="Y277">INT(SUMPRODUCT(--ISNUMBER(SEARCH(democrattrigger,C277)))&gt;0)</f>
        <v>0</v>
      </c>
      <c r="Z277" s="14" cm="1">
        <f t="array" ref="Z277">INT(SUMPRODUCT(--ISNUMBER(SEARCH(bipartisan,C277)))&gt;0)</f>
        <v>0</v>
      </c>
      <c r="AA277" s="14">
        <f t="shared" si="4"/>
        <v>0</v>
      </c>
      <c r="AB277" s="14"/>
      <c r="AC277" s="30" t="s">
        <v>223</v>
      </c>
      <c r="AD277" s="37" t="s">
        <v>223</v>
      </c>
    </row>
    <row r="278" spans="1:30" x14ac:dyDescent="0.25">
      <c r="A278" s="36">
        <v>2431</v>
      </c>
      <c r="B278" s="14" t="s">
        <v>4887</v>
      </c>
      <c r="C278" s="14" t="s">
        <v>4888</v>
      </c>
      <c r="D278" s="17">
        <v>44116</v>
      </c>
      <c r="E278" s="14" t="s">
        <v>30</v>
      </c>
      <c r="F278" s="14">
        <v>51</v>
      </c>
      <c r="G278" s="14">
        <v>16</v>
      </c>
      <c r="H278" s="14">
        <v>11</v>
      </c>
      <c r="I278" s="14">
        <v>6</v>
      </c>
      <c r="J278" s="14" t="s">
        <v>204</v>
      </c>
      <c r="K278" s="14" cm="1">
        <f t="array" ref="K278">INT(SUMPRODUCT(--ISNUMBER(SEARCH(economy,C278)))&gt;0)</f>
        <v>0</v>
      </c>
      <c r="L278" s="14" cm="1">
        <f t="array" ref="L278">INT(SUMPRODUCT(--ISNUMBER(SEARCH(healthcare,C278)))&gt;0)</f>
        <v>0</v>
      </c>
      <c r="M278" s="14" cm="1">
        <f t="array" ref="M278">INT(SUMPRODUCT(--ISNUMBER(SEARCH(supreme,C278)))&gt;0)</f>
        <v>0</v>
      </c>
      <c r="N278" s="14" cm="1">
        <f t="array" ref="N278">INT(SUMPRODUCT(--ISNUMBER(SEARCH(covid,C278)))&gt;0)</f>
        <v>0</v>
      </c>
      <c r="O278" s="14" cm="1">
        <f t="array" ref="O278">INT(SUMPRODUCT(--ISNUMBER(SEARCH(violent,C278)))&gt;0)</f>
        <v>0</v>
      </c>
      <c r="P278" s="14" cm="1">
        <f t="array" ref="P278">INT(SUMPRODUCT(--ISNUMBER(SEARCH(foreign,C278)))&gt;0)</f>
        <v>0</v>
      </c>
      <c r="Q278" s="14" cm="1">
        <f t="array" ref="Q278">INT(SUMPRODUCT(--ISNUMBER(SEARCH(gun,C278)))&gt;0)</f>
        <v>0</v>
      </c>
      <c r="R278" s="14" cm="1">
        <f t="array" ref="R278">INT(SUMPRODUCT(--ISNUMBER(SEARCH(race,C278)))&gt;0)</f>
        <v>0</v>
      </c>
      <c r="S278" s="14" cm="1">
        <f t="array" ref="S278">INT(SUMPRODUCT(--ISNUMBER(SEARCH(immigration,C278)))&gt;0)</f>
        <v>0</v>
      </c>
      <c r="T278" s="14" cm="1">
        <f t="array" ref="T278">INT(SUMPRODUCT(--ISNUMBER(SEARCH(econineq,C279)))&gt;0)</f>
        <v>0</v>
      </c>
      <c r="U278" s="14" cm="1">
        <f t="array" ref="U278">INT(SUMPRODUCT(--ISNUMBER(SEARCH(climate,C278)))&gt;0)</f>
        <v>0</v>
      </c>
      <c r="V278" s="14" cm="1">
        <f t="array" ref="V278">INT(SUMPRODUCT(--ISNUMBER(SEARCH(abortion,C278)))&gt;0)</f>
        <v>0</v>
      </c>
      <c r="W278" s="14" cm="1">
        <f t="array" ref="W278">INT(SUMPRODUCT(--ISNUMBER(SEARCH(trump,C278)))&gt;0)</f>
        <v>0</v>
      </c>
      <c r="X278" s="14" cm="1">
        <f t="array" ref="X278">INT(SUMPRODUCT(--ISNUMBER(SEARCH(voting,C278)))&gt;0)</f>
        <v>0</v>
      </c>
      <c r="Y278" s="14" cm="1">
        <f t="array" ref="Y278">INT(SUMPRODUCT(--ISNUMBER(SEARCH(democrattrigger,C278)))&gt;0)</f>
        <v>0</v>
      </c>
      <c r="Z278" s="14" cm="1">
        <f t="array" ref="Z278">INT(SUMPRODUCT(--ISNUMBER(SEARCH(bipartisan,C278)))&gt;0)</f>
        <v>0</v>
      </c>
      <c r="AA278" s="14">
        <f t="shared" si="4"/>
        <v>1</v>
      </c>
      <c r="AB278" s="14"/>
      <c r="AC278" s="30" t="s">
        <v>223</v>
      </c>
      <c r="AD278" s="37" t="s">
        <v>223</v>
      </c>
    </row>
    <row r="279" spans="1:30" x14ac:dyDescent="0.25">
      <c r="A279" s="36">
        <v>2432</v>
      </c>
      <c r="B279" s="14" t="s">
        <v>4889</v>
      </c>
      <c r="C279" s="14" t="s">
        <v>4890</v>
      </c>
      <c r="D279" s="17">
        <v>44116</v>
      </c>
      <c r="E279" s="14" t="s">
        <v>30</v>
      </c>
      <c r="F279" s="14">
        <v>260</v>
      </c>
      <c r="G279" s="14">
        <v>53</v>
      </c>
      <c r="H279" s="14">
        <v>11</v>
      </c>
      <c r="I279" s="14">
        <v>6</v>
      </c>
      <c r="J279" s="14" t="s">
        <v>204</v>
      </c>
      <c r="K279" s="14" cm="1">
        <f t="array" ref="K279">INT(SUMPRODUCT(--ISNUMBER(SEARCH(economy,C279)))&gt;0)</f>
        <v>0</v>
      </c>
      <c r="L279" s="14" cm="1">
        <f t="array" ref="L279">INT(SUMPRODUCT(--ISNUMBER(SEARCH(healthcare,C279)))&gt;0)</f>
        <v>1</v>
      </c>
      <c r="M279" s="14" cm="1">
        <f t="array" ref="M279">INT(SUMPRODUCT(--ISNUMBER(SEARCH(supreme,C279)))&gt;0)</f>
        <v>1</v>
      </c>
      <c r="N279" s="14" cm="1">
        <f t="array" ref="N279">INT(SUMPRODUCT(--ISNUMBER(SEARCH(covid,C279)))&gt;0)</f>
        <v>0</v>
      </c>
      <c r="O279" s="14" cm="1">
        <f t="array" ref="O279">INT(SUMPRODUCT(--ISNUMBER(SEARCH(violent,C279)))&gt;0)</f>
        <v>0</v>
      </c>
      <c r="P279" s="14" cm="1">
        <f t="array" ref="P279">INT(SUMPRODUCT(--ISNUMBER(SEARCH(foreign,C279)))&gt;0)</f>
        <v>0</v>
      </c>
      <c r="Q279" s="14" cm="1">
        <f t="array" ref="Q279">INT(SUMPRODUCT(--ISNUMBER(SEARCH(gun,C279)))&gt;0)</f>
        <v>0</v>
      </c>
      <c r="R279" s="14" cm="1">
        <f t="array" ref="R279">INT(SUMPRODUCT(--ISNUMBER(SEARCH(race,C279)))&gt;0)</f>
        <v>0</v>
      </c>
      <c r="S279" s="14" cm="1">
        <f t="array" ref="S279">INT(SUMPRODUCT(--ISNUMBER(SEARCH(immigration,C279)))&gt;0)</f>
        <v>0</v>
      </c>
      <c r="T279" s="14" cm="1">
        <f t="array" ref="T279">INT(SUMPRODUCT(--ISNUMBER(SEARCH(econineq,C280)))&gt;0)</f>
        <v>0</v>
      </c>
      <c r="U279" s="14" cm="1">
        <f t="array" ref="U279">INT(SUMPRODUCT(--ISNUMBER(SEARCH(climate,C279)))&gt;0)</f>
        <v>0</v>
      </c>
      <c r="V279" s="14" cm="1">
        <f t="array" ref="V279">INT(SUMPRODUCT(--ISNUMBER(SEARCH(abortion,C279)))&gt;0)</f>
        <v>0</v>
      </c>
      <c r="W279" s="14" cm="1">
        <f t="array" ref="W279">INT(SUMPRODUCT(--ISNUMBER(SEARCH(trump,C279)))&gt;0)</f>
        <v>0</v>
      </c>
      <c r="X279" s="14" cm="1">
        <f t="array" ref="X279">INT(SUMPRODUCT(--ISNUMBER(SEARCH(voting,C279)))&gt;0)</f>
        <v>0</v>
      </c>
      <c r="Y279" s="14" cm="1">
        <f t="array" ref="Y279">INT(SUMPRODUCT(--ISNUMBER(SEARCH(democrattrigger,C279)))&gt;0)</f>
        <v>0</v>
      </c>
      <c r="Z279" s="14" cm="1">
        <f t="array" ref="Z279">INT(SUMPRODUCT(--ISNUMBER(SEARCH(bipartisan,C279)))&gt;0)</f>
        <v>0</v>
      </c>
      <c r="AA279" s="14">
        <f t="shared" si="4"/>
        <v>0</v>
      </c>
      <c r="AB279" s="14"/>
      <c r="AC279" s="30" t="s">
        <v>223</v>
      </c>
      <c r="AD279" s="37" t="s">
        <v>223</v>
      </c>
    </row>
    <row r="280" spans="1:30" x14ac:dyDescent="0.25">
      <c r="A280" s="36">
        <v>2433</v>
      </c>
      <c r="B280" s="14" t="s">
        <v>4891</v>
      </c>
      <c r="C280" s="14" t="s">
        <v>4892</v>
      </c>
      <c r="D280" s="17">
        <v>44116</v>
      </c>
      <c r="E280" s="14" t="s">
        <v>30</v>
      </c>
      <c r="F280" s="14">
        <v>175</v>
      </c>
      <c r="G280" s="14">
        <v>30</v>
      </c>
      <c r="H280" s="14">
        <v>11</v>
      </c>
      <c r="I280" s="14">
        <v>6</v>
      </c>
      <c r="J280" s="14" t="s">
        <v>204</v>
      </c>
      <c r="K280" s="14" cm="1">
        <f t="array" ref="K280">INT(SUMPRODUCT(--ISNUMBER(SEARCH(economy,C280)))&gt;0)</f>
        <v>0</v>
      </c>
      <c r="L280" s="14" cm="1">
        <f t="array" ref="L280">INT(SUMPRODUCT(--ISNUMBER(SEARCH(healthcare,C280)))&gt;0)</f>
        <v>0</v>
      </c>
      <c r="M280" s="14" cm="1">
        <f t="array" ref="M280">INT(SUMPRODUCT(--ISNUMBER(SEARCH(supreme,C280)))&gt;0)</f>
        <v>0</v>
      </c>
      <c r="N280" s="14" cm="1">
        <f t="array" ref="N280">INT(SUMPRODUCT(--ISNUMBER(SEARCH(covid,C280)))&gt;0)</f>
        <v>0</v>
      </c>
      <c r="O280" s="14" cm="1">
        <f t="array" ref="O280">INT(SUMPRODUCT(--ISNUMBER(SEARCH(violent,C280)))&gt;0)</f>
        <v>0</v>
      </c>
      <c r="P280" s="14" cm="1">
        <f t="array" ref="P280">INT(SUMPRODUCT(--ISNUMBER(SEARCH(foreign,C280)))&gt;0)</f>
        <v>0</v>
      </c>
      <c r="Q280" s="14" cm="1">
        <f t="array" ref="Q280">INT(SUMPRODUCT(--ISNUMBER(SEARCH(gun,C280)))&gt;0)</f>
        <v>0</v>
      </c>
      <c r="R280" s="14" cm="1">
        <f t="array" ref="R280">INT(SUMPRODUCT(--ISNUMBER(SEARCH(race,C280)))&gt;0)</f>
        <v>0</v>
      </c>
      <c r="S280" s="14" cm="1">
        <f t="array" ref="S280">INT(SUMPRODUCT(--ISNUMBER(SEARCH(immigration,C280)))&gt;0)</f>
        <v>0</v>
      </c>
      <c r="T280" s="14" cm="1">
        <f t="array" ref="T280">INT(SUMPRODUCT(--ISNUMBER(SEARCH(econineq,C281)))&gt;0)</f>
        <v>0</v>
      </c>
      <c r="U280" s="14" cm="1">
        <f t="array" ref="U280">INT(SUMPRODUCT(--ISNUMBER(SEARCH(climate,C280)))&gt;0)</f>
        <v>0</v>
      </c>
      <c r="V280" s="14" cm="1">
        <f t="array" ref="V280">INT(SUMPRODUCT(--ISNUMBER(SEARCH(abortion,C280)))&gt;0)</f>
        <v>0</v>
      </c>
      <c r="W280" s="14" cm="1">
        <f t="array" ref="W280">INT(SUMPRODUCT(--ISNUMBER(SEARCH(trump,C280)))&gt;0)</f>
        <v>0</v>
      </c>
      <c r="X280" s="14" cm="1">
        <f t="array" ref="X280">INT(SUMPRODUCT(--ISNUMBER(SEARCH(voting,C280)))&gt;0)</f>
        <v>0</v>
      </c>
      <c r="Y280" s="14" cm="1">
        <f t="array" ref="Y280">INT(SUMPRODUCT(--ISNUMBER(SEARCH(democrattrigger,C280)))&gt;0)</f>
        <v>0</v>
      </c>
      <c r="Z280" s="14" cm="1">
        <f t="array" ref="Z280">INT(SUMPRODUCT(--ISNUMBER(SEARCH(bipartisan,C280)))&gt;0)</f>
        <v>0</v>
      </c>
      <c r="AA280" s="14">
        <f t="shared" si="4"/>
        <v>1</v>
      </c>
      <c r="AB280" s="14"/>
      <c r="AC280" s="30" t="s">
        <v>223</v>
      </c>
      <c r="AD280" s="37" t="s">
        <v>223</v>
      </c>
    </row>
    <row r="281" spans="1:30" x14ac:dyDescent="0.25">
      <c r="A281" s="36">
        <v>2434</v>
      </c>
      <c r="B281" s="14" t="s">
        <v>4893</v>
      </c>
      <c r="C281" s="14" t="s">
        <v>4894</v>
      </c>
      <c r="D281" s="17">
        <v>44116</v>
      </c>
      <c r="E281" s="14" t="s">
        <v>30</v>
      </c>
      <c r="F281" s="14">
        <v>166</v>
      </c>
      <c r="G281" s="14">
        <v>33</v>
      </c>
      <c r="H281" s="14">
        <v>11</v>
      </c>
      <c r="I281" s="14">
        <v>6</v>
      </c>
      <c r="J281" s="14" t="s">
        <v>204</v>
      </c>
      <c r="K281" s="14" cm="1">
        <f t="array" ref="K281">INT(SUMPRODUCT(--ISNUMBER(SEARCH(economy,C281)))&gt;0)</f>
        <v>0</v>
      </c>
      <c r="L281" s="14" cm="1">
        <f t="array" ref="L281">INT(SUMPRODUCT(--ISNUMBER(SEARCH(healthcare,C281)))&gt;0)</f>
        <v>0</v>
      </c>
      <c r="M281" s="14" cm="1">
        <f t="array" ref="M281">INT(SUMPRODUCT(--ISNUMBER(SEARCH(supreme,C281)))&gt;0)</f>
        <v>0</v>
      </c>
      <c r="N281" s="14" cm="1">
        <f t="array" ref="N281">INT(SUMPRODUCT(--ISNUMBER(SEARCH(covid,C281)))&gt;0)</f>
        <v>0</v>
      </c>
      <c r="O281" s="14" cm="1">
        <f t="array" ref="O281">INT(SUMPRODUCT(--ISNUMBER(SEARCH(violent,C281)))&gt;0)</f>
        <v>0</v>
      </c>
      <c r="P281" s="14" cm="1">
        <f t="array" ref="P281">INT(SUMPRODUCT(--ISNUMBER(SEARCH(foreign,C281)))&gt;0)</f>
        <v>0</v>
      </c>
      <c r="Q281" s="14" cm="1">
        <f t="array" ref="Q281">INT(SUMPRODUCT(--ISNUMBER(SEARCH(gun,C281)))&gt;0)</f>
        <v>0</v>
      </c>
      <c r="R281" s="14" cm="1">
        <f t="array" ref="R281">INT(SUMPRODUCT(--ISNUMBER(SEARCH(race,C281)))&gt;0)</f>
        <v>0</v>
      </c>
      <c r="S281" s="14" cm="1">
        <f t="array" ref="S281">INT(SUMPRODUCT(--ISNUMBER(SEARCH(immigration,C281)))&gt;0)</f>
        <v>0</v>
      </c>
      <c r="T281" s="14" cm="1">
        <f t="array" ref="T281">INT(SUMPRODUCT(--ISNUMBER(SEARCH(econineq,C282)))&gt;0)</f>
        <v>0</v>
      </c>
      <c r="U281" s="14" cm="1">
        <f t="array" ref="U281">INT(SUMPRODUCT(--ISNUMBER(SEARCH(climate,C281)))&gt;0)</f>
        <v>0</v>
      </c>
      <c r="V281" s="14" cm="1">
        <f t="array" ref="V281">INT(SUMPRODUCT(--ISNUMBER(SEARCH(abortion,C281)))&gt;0)</f>
        <v>0</v>
      </c>
      <c r="W281" s="14" cm="1">
        <f t="array" ref="W281">INT(SUMPRODUCT(--ISNUMBER(SEARCH(trump,C281)))&gt;0)</f>
        <v>0</v>
      </c>
      <c r="X281" s="14" cm="1">
        <f t="array" ref="X281">INT(SUMPRODUCT(--ISNUMBER(SEARCH(voting,C281)))&gt;0)</f>
        <v>0</v>
      </c>
      <c r="Y281" s="14" cm="1">
        <f t="array" ref="Y281">INT(SUMPRODUCT(--ISNUMBER(SEARCH(democrattrigger,C281)))&gt;0)</f>
        <v>0</v>
      </c>
      <c r="Z281" s="14" cm="1">
        <f t="array" ref="Z281">INT(SUMPRODUCT(--ISNUMBER(SEARCH(bipartisan,C281)))&gt;0)</f>
        <v>0</v>
      </c>
      <c r="AA281" s="14">
        <f t="shared" si="4"/>
        <v>1</v>
      </c>
      <c r="AB281" s="14"/>
      <c r="AC281" s="30" t="s">
        <v>223</v>
      </c>
      <c r="AD281" s="37" t="s">
        <v>223</v>
      </c>
    </row>
    <row r="282" spans="1:30" x14ac:dyDescent="0.25">
      <c r="A282" s="36">
        <v>2435</v>
      </c>
      <c r="B282" s="14" t="s">
        <v>4895</v>
      </c>
      <c r="C282" s="14" t="s">
        <v>4896</v>
      </c>
      <c r="D282" s="17">
        <v>44116</v>
      </c>
      <c r="E282" s="14" t="s">
        <v>30</v>
      </c>
      <c r="F282" s="14">
        <v>671</v>
      </c>
      <c r="G282" s="14">
        <v>49</v>
      </c>
      <c r="H282" s="14">
        <v>11</v>
      </c>
      <c r="I282" s="14">
        <v>6</v>
      </c>
      <c r="J282" s="14" t="s">
        <v>204</v>
      </c>
      <c r="K282" s="14" cm="1">
        <f t="array" ref="K282">INT(SUMPRODUCT(--ISNUMBER(SEARCH(economy,C282)))&gt;0)</f>
        <v>0</v>
      </c>
      <c r="L282" s="14" cm="1">
        <f t="array" ref="L282">INT(SUMPRODUCT(--ISNUMBER(SEARCH(healthcare,C282)))&gt;0)</f>
        <v>0</v>
      </c>
      <c r="M282" s="14" cm="1">
        <f t="array" ref="M282">INT(SUMPRODUCT(--ISNUMBER(SEARCH(supreme,C282)))&gt;0)</f>
        <v>0</v>
      </c>
      <c r="N282" s="14" cm="1">
        <f t="array" ref="N282">INT(SUMPRODUCT(--ISNUMBER(SEARCH(covid,C282)))&gt;0)</f>
        <v>0</v>
      </c>
      <c r="O282" s="14" cm="1">
        <f t="array" ref="O282">INT(SUMPRODUCT(--ISNUMBER(SEARCH(violent,C282)))&gt;0)</f>
        <v>0</v>
      </c>
      <c r="P282" s="14" cm="1">
        <f t="array" ref="P282">INT(SUMPRODUCT(--ISNUMBER(SEARCH(foreign,C282)))&gt;0)</f>
        <v>0</v>
      </c>
      <c r="Q282" s="14" cm="1">
        <f t="array" ref="Q282">INT(SUMPRODUCT(--ISNUMBER(SEARCH(gun,C282)))&gt;0)</f>
        <v>0</v>
      </c>
      <c r="R282" s="14" cm="1">
        <f t="array" ref="R282">INT(SUMPRODUCT(--ISNUMBER(SEARCH(race,C282)))&gt;0)</f>
        <v>0</v>
      </c>
      <c r="S282" s="14" cm="1">
        <f t="array" ref="S282">INT(SUMPRODUCT(--ISNUMBER(SEARCH(immigration,C282)))&gt;0)</f>
        <v>0</v>
      </c>
      <c r="T282" s="14" cm="1">
        <f t="array" ref="T282">INT(SUMPRODUCT(--ISNUMBER(SEARCH(econineq,C283)))&gt;0)</f>
        <v>0</v>
      </c>
      <c r="U282" s="14" cm="1">
        <f t="array" ref="U282">INT(SUMPRODUCT(--ISNUMBER(SEARCH(climate,C282)))&gt;0)</f>
        <v>0</v>
      </c>
      <c r="V282" s="14" cm="1">
        <f t="array" ref="V282">INT(SUMPRODUCT(--ISNUMBER(SEARCH(abortion,C282)))&gt;0)</f>
        <v>0</v>
      </c>
      <c r="W282" s="14" cm="1">
        <f t="array" ref="W282">INT(SUMPRODUCT(--ISNUMBER(SEARCH(trump,C282)))&gt;0)</f>
        <v>0</v>
      </c>
      <c r="X282" s="14" cm="1">
        <f t="array" ref="X282">INT(SUMPRODUCT(--ISNUMBER(SEARCH(voting,C282)))&gt;0)</f>
        <v>1</v>
      </c>
      <c r="Y282" s="14" cm="1">
        <f t="array" ref="Y282">INT(SUMPRODUCT(--ISNUMBER(SEARCH(democrattrigger,C282)))&gt;0)</f>
        <v>0</v>
      </c>
      <c r="Z282" s="14" cm="1">
        <f t="array" ref="Z282">INT(SUMPRODUCT(--ISNUMBER(SEARCH(bipartisan,C282)))&gt;0)</f>
        <v>0</v>
      </c>
      <c r="AA282" s="14">
        <f t="shared" si="4"/>
        <v>0</v>
      </c>
      <c r="AB282" s="14"/>
      <c r="AC282" s="30">
        <v>1</v>
      </c>
      <c r="AD282" s="37">
        <v>0</v>
      </c>
    </row>
    <row r="283" spans="1:30" x14ac:dyDescent="0.25">
      <c r="A283" s="36">
        <v>2436</v>
      </c>
      <c r="B283" s="14" t="s">
        <v>4897</v>
      </c>
      <c r="C283" s="14" t="s">
        <v>4898</v>
      </c>
      <c r="D283" s="17">
        <v>44116</v>
      </c>
      <c r="E283" s="14" t="s">
        <v>30</v>
      </c>
      <c r="F283" s="14">
        <v>43</v>
      </c>
      <c r="G283" s="14">
        <v>5</v>
      </c>
      <c r="H283" s="14">
        <v>11</v>
      </c>
      <c r="I283" s="14">
        <v>6</v>
      </c>
      <c r="J283" s="14" t="s">
        <v>204</v>
      </c>
      <c r="K283" s="14" cm="1">
        <f t="array" ref="K283">INT(SUMPRODUCT(--ISNUMBER(SEARCH(economy,C283)))&gt;0)</f>
        <v>0</v>
      </c>
      <c r="L283" s="14" cm="1">
        <f t="array" ref="L283">INT(SUMPRODUCT(--ISNUMBER(SEARCH(healthcare,C283)))&gt;0)</f>
        <v>0</v>
      </c>
      <c r="M283" s="14" cm="1">
        <f t="array" ref="M283">INT(SUMPRODUCT(--ISNUMBER(SEARCH(supreme,C283)))&gt;0)</f>
        <v>0</v>
      </c>
      <c r="N283" s="14" cm="1">
        <f t="array" ref="N283">INT(SUMPRODUCT(--ISNUMBER(SEARCH(covid,C283)))&gt;0)</f>
        <v>0</v>
      </c>
      <c r="O283" s="14" cm="1">
        <f t="array" ref="O283">INT(SUMPRODUCT(--ISNUMBER(SEARCH(violent,C283)))&gt;0)</f>
        <v>0</v>
      </c>
      <c r="P283" s="14" cm="1">
        <f t="array" ref="P283">INT(SUMPRODUCT(--ISNUMBER(SEARCH(foreign,C283)))&gt;0)</f>
        <v>1</v>
      </c>
      <c r="Q283" s="14" cm="1">
        <f t="array" ref="Q283">INT(SUMPRODUCT(--ISNUMBER(SEARCH(gun,C283)))&gt;0)</f>
        <v>0</v>
      </c>
      <c r="R283" s="14" cm="1">
        <f t="array" ref="R283">INT(SUMPRODUCT(--ISNUMBER(SEARCH(race,C283)))&gt;0)</f>
        <v>0</v>
      </c>
      <c r="S283" s="14" cm="1">
        <f t="array" ref="S283">INT(SUMPRODUCT(--ISNUMBER(SEARCH(immigration,C283)))&gt;0)</f>
        <v>0</v>
      </c>
      <c r="T283" s="14" cm="1">
        <f t="array" ref="T283">INT(SUMPRODUCT(--ISNUMBER(SEARCH(econineq,C284)))&gt;0)</f>
        <v>0</v>
      </c>
      <c r="U283" s="14" cm="1">
        <f t="array" ref="U283">INT(SUMPRODUCT(--ISNUMBER(SEARCH(climate,C283)))&gt;0)</f>
        <v>1</v>
      </c>
      <c r="V283" s="14" cm="1">
        <f t="array" ref="V283">INT(SUMPRODUCT(--ISNUMBER(SEARCH(abortion,C283)))&gt;0)</f>
        <v>0</v>
      </c>
      <c r="W283" s="14" cm="1">
        <f t="array" ref="W283">INT(SUMPRODUCT(--ISNUMBER(SEARCH(trump,C283)))&gt;0)</f>
        <v>0</v>
      </c>
      <c r="X283" s="14" cm="1">
        <f t="array" ref="X283">INT(SUMPRODUCT(--ISNUMBER(SEARCH(voting,C283)))&gt;0)</f>
        <v>0</v>
      </c>
      <c r="Y283" s="14" cm="1">
        <f t="array" ref="Y283">INT(SUMPRODUCT(--ISNUMBER(SEARCH(democrattrigger,C283)))&gt;0)</f>
        <v>0</v>
      </c>
      <c r="Z283" s="14" cm="1">
        <f t="array" ref="Z283">INT(SUMPRODUCT(--ISNUMBER(SEARCH(bipartisan,C283)))&gt;0)</f>
        <v>0</v>
      </c>
      <c r="AA283" s="14">
        <f t="shared" si="4"/>
        <v>0</v>
      </c>
      <c r="AB283" s="14"/>
      <c r="AC283" s="30">
        <v>1</v>
      </c>
      <c r="AD283" s="37">
        <v>0</v>
      </c>
    </row>
    <row r="284" spans="1:30" x14ac:dyDescent="0.25">
      <c r="A284" s="36">
        <v>2437</v>
      </c>
      <c r="B284" s="14" t="s">
        <v>4899</v>
      </c>
      <c r="C284" s="14" t="s">
        <v>4900</v>
      </c>
      <c r="D284" s="17">
        <v>44116</v>
      </c>
      <c r="E284" s="14" t="s">
        <v>30</v>
      </c>
      <c r="F284" s="14">
        <v>217</v>
      </c>
      <c r="G284" s="14">
        <v>59</v>
      </c>
      <c r="H284" s="14">
        <v>11</v>
      </c>
      <c r="I284" s="14">
        <v>6</v>
      </c>
      <c r="J284" s="14" t="s">
        <v>204</v>
      </c>
      <c r="K284" s="14" cm="1">
        <f t="array" ref="K284">INT(SUMPRODUCT(--ISNUMBER(SEARCH(economy,C284)))&gt;0)</f>
        <v>0</v>
      </c>
      <c r="L284" s="14" cm="1">
        <f t="array" ref="L284">INT(SUMPRODUCT(--ISNUMBER(SEARCH(healthcare,C284)))&gt;0)</f>
        <v>0</v>
      </c>
      <c r="M284" s="14" cm="1">
        <f t="array" ref="M284">INT(SUMPRODUCT(--ISNUMBER(SEARCH(supreme,C284)))&gt;0)</f>
        <v>1</v>
      </c>
      <c r="N284" s="14" cm="1">
        <f t="array" ref="N284">INT(SUMPRODUCT(--ISNUMBER(SEARCH(covid,C284)))&gt;0)</f>
        <v>0</v>
      </c>
      <c r="O284" s="14" cm="1">
        <f t="array" ref="O284">INT(SUMPRODUCT(--ISNUMBER(SEARCH(violent,C284)))&gt;0)</f>
        <v>0</v>
      </c>
      <c r="P284" s="14" cm="1">
        <f t="array" ref="P284">INT(SUMPRODUCT(--ISNUMBER(SEARCH(foreign,C284)))&gt;0)</f>
        <v>0</v>
      </c>
      <c r="Q284" s="14" cm="1">
        <f t="array" ref="Q284">INT(SUMPRODUCT(--ISNUMBER(SEARCH(gun,C284)))&gt;0)</f>
        <v>0</v>
      </c>
      <c r="R284" s="14" cm="1">
        <f t="array" ref="R284">INT(SUMPRODUCT(--ISNUMBER(SEARCH(race,C284)))&gt;0)</f>
        <v>0</v>
      </c>
      <c r="S284" s="14" cm="1">
        <f t="array" ref="S284">INT(SUMPRODUCT(--ISNUMBER(SEARCH(immigration,C284)))&gt;0)</f>
        <v>0</v>
      </c>
      <c r="T284" s="14" cm="1">
        <f t="array" ref="T284">INT(SUMPRODUCT(--ISNUMBER(SEARCH(econineq,C285)))&gt;0)</f>
        <v>0</v>
      </c>
      <c r="U284" s="14" cm="1">
        <f t="array" ref="U284">INT(SUMPRODUCT(--ISNUMBER(SEARCH(climate,C284)))&gt;0)</f>
        <v>0</v>
      </c>
      <c r="V284" s="14" cm="1">
        <f t="array" ref="V284">INT(SUMPRODUCT(--ISNUMBER(SEARCH(abortion,C284)))&gt;0)</f>
        <v>0</v>
      </c>
      <c r="W284" s="14" cm="1">
        <f t="array" ref="W284">INT(SUMPRODUCT(--ISNUMBER(SEARCH(trump,C284)))&gt;0)</f>
        <v>0</v>
      </c>
      <c r="X284" s="14" cm="1">
        <f t="array" ref="X284">INT(SUMPRODUCT(--ISNUMBER(SEARCH(voting,C284)))&gt;0)</f>
        <v>1</v>
      </c>
      <c r="Y284" s="14" cm="1">
        <f t="array" ref="Y284">INT(SUMPRODUCT(--ISNUMBER(SEARCH(democrattrigger,C284)))&gt;0)</f>
        <v>0</v>
      </c>
      <c r="Z284" s="14" cm="1">
        <f t="array" ref="Z284">INT(SUMPRODUCT(--ISNUMBER(SEARCH(bipartisan,C284)))&gt;0)</f>
        <v>0</v>
      </c>
      <c r="AA284" s="14">
        <f t="shared" si="4"/>
        <v>0</v>
      </c>
      <c r="AB284" s="14"/>
      <c r="AC284" s="30" t="s">
        <v>223</v>
      </c>
      <c r="AD284" s="37" t="s">
        <v>223</v>
      </c>
    </row>
    <row r="285" spans="1:30" x14ac:dyDescent="0.25">
      <c r="A285" s="36">
        <v>2438</v>
      </c>
      <c r="B285" s="14" t="s">
        <v>4901</v>
      </c>
      <c r="C285" s="14" t="s">
        <v>4902</v>
      </c>
      <c r="D285" s="17">
        <v>44115</v>
      </c>
      <c r="E285" s="14" t="s">
        <v>30</v>
      </c>
      <c r="F285" s="14">
        <v>124</v>
      </c>
      <c r="G285" s="14">
        <v>21</v>
      </c>
      <c r="H285" s="14">
        <v>11</v>
      </c>
      <c r="I285" s="14">
        <v>6</v>
      </c>
      <c r="J285" s="14" t="s">
        <v>204</v>
      </c>
      <c r="K285" s="14" cm="1">
        <f t="array" ref="K285">INT(SUMPRODUCT(--ISNUMBER(SEARCH(economy,C285)))&gt;0)</f>
        <v>0</v>
      </c>
      <c r="L285" s="14" cm="1">
        <f t="array" ref="L285">INT(SUMPRODUCT(--ISNUMBER(SEARCH(healthcare,C285)))&gt;0)</f>
        <v>0</v>
      </c>
      <c r="M285" s="14" cm="1">
        <f t="array" ref="M285">INT(SUMPRODUCT(--ISNUMBER(SEARCH(supreme,C285)))&gt;0)</f>
        <v>0</v>
      </c>
      <c r="N285" s="14" cm="1">
        <f t="array" ref="N285">INT(SUMPRODUCT(--ISNUMBER(SEARCH(covid,C285)))&gt;0)</f>
        <v>0</v>
      </c>
      <c r="O285" s="14" cm="1">
        <f t="array" ref="O285">INT(SUMPRODUCT(--ISNUMBER(SEARCH(violent,C285)))&gt;0)</f>
        <v>0</v>
      </c>
      <c r="P285" s="14" cm="1">
        <f t="array" ref="P285">INT(SUMPRODUCT(--ISNUMBER(SEARCH(foreign,C285)))&gt;0)</f>
        <v>0</v>
      </c>
      <c r="Q285" s="14" cm="1">
        <f t="array" ref="Q285">INT(SUMPRODUCT(--ISNUMBER(SEARCH(gun,C285)))&gt;0)</f>
        <v>0</v>
      </c>
      <c r="R285" s="14" cm="1">
        <f t="array" ref="R285">INT(SUMPRODUCT(--ISNUMBER(SEARCH(race,C285)))&gt;0)</f>
        <v>0</v>
      </c>
      <c r="S285" s="14" cm="1">
        <f t="array" ref="S285">INT(SUMPRODUCT(--ISNUMBER(SEARCH(immigration,C285)))&gt;0)</f>
        <v>0</v>
      </c>
      <c r="T285" s="14" cm="1">
        <f t="array" ref="T285">INT(SUMPRODUCT(--ISNUMBER(SEARCH(econineq,C286)))&gt;0)</f>
        <v>0</v>
      </c>
      <c r="U285" s="14" cm="1">
        <f t="array" ref="U285">INT(SUMPRODUCT(--ISNUMBER(SEARCH(climate,C285)))&gt;0)</f>
        <v>1</v>
      </c>
      <c r="V285" s="14" cm="1">
        <f t="array" ref="V285">INT(SUMPRODUCT(--ISNUMBER(SEARCH(abortion,C285)))&gt;0)</f>
        <v>0</v>
      </c>
      <c r="W285" s="14" cm="1">
        <f t="array" ref="W285">INT(SUMPRODUCT(--ISNUMBER(SEARCH(trump,C285)))&gt;0)</f>
        <v>0</v>
      </c>
      <c r="X285" s="14" cm="1">
        <f t="array" ref="X285">INT(SUMPRODUCT(--ISNUMBER(SEARCH(voting,C285)))&gt;0)</f>
        <v>0</v>
      </c>
      <c r="Y285" s="14" cm="1">
        <f t="array" ref="Y285">INT(SUMPRODUCT(--ISNUMBER(SEARCH(democrattrigger,C285)))&gt;0)</f>
        <v>0</v>
      </c>
      <c r="Z285" s="14" cm="1">
        <f t="array" ref="Z285">INT(SUMPRODUCT(--ISNUMBER(SEARCH(bipartisan,C285)))&gt;0)</f>
        <v>0</v>
      </c>
      <c r="AA285" s="14">
        <f t="shared" si="4"/>
        <v>0</v>
      </c>
      <c r="AB285" s="14"/>
      <c r="AC285" s="30">
        <v>1</v>
      </c>
      <c r="AD285" s="37">
        <v>0</v>
      </c>
    </row>
    <row r="286" spans="1:30" x14ac:dyDescent="0.25">
      <c r="A286" s="36">
        <v>2439</v>
      </c>
      <c r="B286" s="14" t="s">
        <v>4903</v>
      </c>
      <c r="C286" s="14" t="s">
        <v>4904</v>
      </c>
      <c r="D286" s="17">
        <v>44115</v>
      </c>
      <c r="E286" s="14" t="s">
        <v>30</v>
      </c>
      <c r="F286" s="14">
        <v>317</v>
      </c>
      <c r="G286" s="14">
        <v>52</v>
      </c>
      <c r="H286" s="14">
        <v>11</v>
      </c>
      <c r="I286" s="14">
        <v>6</v>
      </c>
      <c r="J286" s="14" t="s">
        <v>204</v>
      </c>
      <c r="K286" s="14" cm="1">
        <f t="array" ref="K286">INT(SUMPRODUCT(--ISNUMBER(SEARCH(economy,C286)))&gt;0)</f>
        <v>0</v>
      </c>
      <c r="L286" s="14" cm="1">
        <f t="array" ref="L286">INT(SUMPRODUCT(--ISNUMBER(SEARCH(healthcare,C286)))&gt;0)</f>
        <v>0</v>
      </c>
      <c r="M286" s="14" cm="1">
        <f t="array" ref="M286">INT(SUMPRODUCT(--ISNUMBER(SEARCH(supreme,C286)))&gt;0)</f>
        <v>0</v>
      </c>
      <c r="N286" s="14" cm="1">
        <f t="array" ref="N286">INT(SUMPRODUCT(--ISNUMBER(SEARCH(covid,C286)))&gt;0)</f>
        <v>0</v>
      </c>
      <c r="O286" s="14" cm="1">
        <f t="array" ref="O286">INT(SUMPRODUCT(--ISNUMBER(SEARCH(violent,C286)))&gt;0)</f>
        <v>0</v>
      </c>
      <c r="P286" s="14" cm="1">
        <f t="array" ref="P286">INT(SUMPRODUCT(--ISNUMBER(SEARCH(foreign,C286)))&gt;0)</f>
        <v>1</v>
      </c>
      <c r="Q286" s="14" cm="1">
        <f t="array" ref="Q286">INT(SUMPRODUCT(--ISNUMBER(SEARCH(gun,C286)))&gt;0)</f>
        <v>0</v>
      </c>
      <c r="R286" s="14" cm="1">
        <f t="array" ref="R286">INT(SUMPRODUCT(--ISNUMBER(SEARCH(race,C286)))&gt;0)</f>
        <v>0</v>
      </c>
      <c r="S286" s="14" cm="1">
        <f t="array" ref="S286">INT(SUMPRODUCT(--ISNUMBER(SEARCH(immigration,C286)))&gt;0)</f>
        <v>0</v>
      </c>
      <c r="T286" s="14" cm="1">
        <f t="array" ref="T286">INT(SUMPRODUCT(--ISNUMBER(SEARCH(econineq,C287)))&gt;0)</f>
        <v>0</v>
      </c>
      <c r="U286" s="14" cm="1">
        <f t="array" ref="U286">INT(SUMPRODUCT(--ISNUMBER(SEARCH(climate,C286)))&gt;0)</f>
        <v>0</v>
      </c>
      <c r="V286" s="14" cm="1">
        <f t="array" ref="V286">INT(SUMPRODUCT(--ISNUMBER(SEARCH(abortion,C286)))&gt;0)</f>
        <v>0</v>
      </c>
      <c r="W286" s="14" cm="1">
        <f t="array" ref="W286">INT(SUMPRODUCT(--ISNUMBER(SEARCH(trump,C286)))&gt;0)</f>
        <v>0</v>
      </c>
      <c r="X286" s="14" cm="1">
        <f t="array" ref="X286">INT(SUMPRODUCT(--ISNUMBER(SEARCH(voting,C286)))&gt;0)</f>
        <v>0</v>
      </c>
      <c r="Y286" s="14" cm="1">
        <f t="array" ref="Y286">INT(SUMPRODUCT(--ISNUMBER(SEARCH(democrattrigger,C286)))&gt;0)</f>
        <v>0</v>
      </c>
      <c r="Z286" s="14" cm="1">
        <f t="array" ref="Z286">INT(SUMPRODUCT(--ISNUMBER(SEARCH(bipartisan,C286)))&gt;0)</f>
        <v>0</v>
      </c>
      <c r="AA286" s="14">
        <f t="shared" si="4"/>
        <v>0</v>
      </c>
      <c r="AB286" s="14"/>
      <c r="AC286" s="30" t="s">
        <v>223</v>
      </c>
      <c r="AD286" s="37" t="s">
        <v>223</v>
      </c>
    </row>
    <row r="287" spans="1:30" x14ac:dyDescent="0.25">
      <c r="A287" s="36">
        <v>2440</v>
      </c>
      <c r="B287" s="14" t="s">
        <v>4905</v>
      </c>
      <c r="C287" s="14" t="s">
        <v>4906</v>
      </c>
      <c r="D287" s="17">
        <v>44115</v>
      </c>
      <c r="E287" s="14" t="s">
        <v>30</v>
      </c>
      <c r="F287" s="14">
        <v>111</v>
      </c>
      <c r="G287" s="14">
        <v>18</v>
      </c>
      <c r="H287" s="14">
        <v>11</v>
      </c>
      <c r="I287" s="14">
        <v>6</v>
      </c>
      <c r="J287" s="14" t="s">
        <v>204</v>
      </c>
      <c r="K287" s="14" cm="1">
        <f t="array" ref="K287">INT(SUMPRODUCT(--ISNUMBER(SEARCH(economy,C287)))&gt;0)</f>
        <v>0</v>
      </c>
      <c r="L287" s="14" cm="1">
        <f t="array" ref="L287">INT(SUMPRODUCT(--ISNUMBER(SEARCH(healthcare,C287)))&gt;0)</f>
        <v>0</v>
      </c>
      <c r="M287" s="14" cm="1">
        <f t="array" ref="M287">INT(SUMPRODUCT(--ISNUMBER(SEARCH(supreme,C287)))&gt;0)</f>
        <v>0</v>
      </c>
      <c r="N287" s="14" cm="1">
        <f t="array" ref="N287">INT(SUMPRODUCT(--ISNUMBER(SEARCH(covid,C287)))&gt;0)</f>
        <v>0</v>
      </c>
      <c r="O287" s="14" cm="1">
        <f t="array" ref="O287">INT(SUMPRODUCT(--ISNUMBER(SEARCH(violent,C287)))&gt;0)</f>
        <v>0</v>
      </c>
      <c r="P287" s="14" cm="1">
        <f t="array" ref="P287">INT(SUMPRODUCT(--ISNUMBER(SEARCH(foreign,C287)))&gt;0)</f>
        <v>0</v>
      </c>
      <c r="Q287" s="14" cm="1">
        <f t="array" ref="Q287">INT(SUMPRODUCT(--ISNUMBER(SEARCH(gun,C287)))&gt;0)</f>
        <v>0</v>
      </c>
      <c r="R287" s="14" cm="1">
        <f t="array" ref="R287">INT(SUMPRODUCT(--ISNUMBER(SEARCH(race,C287)))&gt;0)</f>
        <v>0</v>
      </c>
      <c r="S287" s="14" cm="1">
        <f t="array" ref="S287">INT(SUMPRODUCT(--ISNUMBER(SEARCH(immigration,C287)))&gt;0)</f>
        <v>0</v>
      </c>
      <c r="T287" s="14" cm="1">
        <f t="array" ref="T287">INT(SUMPRODUCT(--ISNUMBER(SEARCH(econineq,C288)))&gt;0)</f>
        <v>0</v>
      </c>
      <c r="U287" s="14" cm="1">
        <f t="array" ref="U287">INT(SUMPRODUCT(--ISNUMBER(SEARCH(climate,C287)))&gt;0)</f>
        <v>0</v>
      </c>
      <c r="V287" s="14" cm="1">
        <f t="array" ref="V287">INT(SUMPRODUCT(--ISNUMBER(SEARCH(abortion,C287)))&gt;0)</f>
        <v>0</v>
      </c>
      <c r="W287" s="14" cm="1">
        <f t="array" ref="W287">INT(SUMPRODUCT(--ISNUMBER(SEARCH(trump,C287)))&gt;0)</f>
        <v>0</v>
      </c>
      <c r="X287" s="14" cm="1">
        <f t="array" ref="X287">INT(SUMPRODUCT(--ISNUMBER(SEARCH(voting,C287)))&gt;0)</f>
        <v>0</v>
      </c>
      <c r="Y287" s="14" cm="1">
        <f t="array" ref="Y287">INT(SUMPRODUCT(--ISNUMBER(SEARCH(democrattrigger,C287)))&gt;0)</f>
        <v>0</v>
      </c>
      <c r="Z287" s="14" cm="1">
        <f t="array" ref="Z287">INT(SUMPRODUCT(--ISNUMBER(SEARCH(bipartisan,C287)))&gt;0)</f>
        <v>0</v>
      </c>
      <c r="AA287" s="14">
        <f t="shared" si="4"/>
        <v>1</v>
      </c>
      <c r="AB287" s="14"/>
      <c r="AC287" s="30" t="s">
        <v>223</v>
      </c>
      <c r="AD287" s="37" t="s">
        <v>223</v>
      </c>
    </row>
    <row r="288" spans="1:30" x14ac:dyDescent="0.25">
      <c r="A288" s="36">
        <v>2441</v>
      </c>
      <c r="B288" s="14" t="s">
        <v>4907</v>
      </c>
      <c r="C288" s="14" t="s">
        <v>4908</v>
      </c>
      <c r="D288" s="17">
        <v>44115</v>
      </c>
      <c r="E288" s="14" t="s">
        <v>30</v>
      </c>
      <c r="F288" s="14">
        <v>159</v>
      </c>
      <c r="G288" s="14">
        <v>31</v>
      </c>
      <c r="H288" s="14">
        <v>11</v>
      </c>
      <c r="I288" s="14">
        <v>6</v>
      </c>
      <c r="J288" s="14" t="s">
        <v>204</v>
      </c>
      <c r="K288" s="14" cm="1">
        <f t="array" ref="K288">INT(SUMPRODUCT(--ISNUMBER(SEARCH(economy,C288)))&gt;0)</f>
        <v>0</v>
      </c>
      <c r="L288" s="14" cm="1">
        <f t="array" ref="L288">INT(SUMPRODUCT(--ISNUMBER(SEARCH(healthcare,C288)))&gt;0)</f>
        <v>0</v>
      </c>
      <c r="M288" s="14" cm="1">
        <f t="array" ref="M288">INT(SUMPRODUCT(--ISNUMBER(SEARCH(supreme,C288)))&gt;0)</f>
        <v>0</v>
      </c>
      <c r="N288" s="14" cm="1">
        <f t="array" ref="N288">INT(SUMPRODUCT(--ISNUMBER(SEARCH(covid,C288)))&gt;0)</f>
        <v>0</v>
      </c>
      <c r="O288" s="14" cm="1">
        <f t="array" ref="O288">INT(SUMPRODUCT(--ISNUMBER(SEARCH(violent,C288)))&gt;0)</f>
        <v>0</v>
      </c>
      <c r="P288" s="14" cm="1">
        <f t="array" ref="P288">INT(SUMPRODUCT(--ISNUMBER(SEARCH(foreign,C288)))&gt;0)</f>
        <v>0</v>
      </c>
      <c r="Q288" s="14" cm="1">
        <f t="array" ref="Q288">INT(SUMPRODUCT(--ISNUMBER(SEARCH(gun,C288)))&gt;0)</f>
        <v>0</v>
      </c>
      <c r="R288" s="14" cm="1">
        <f t="array" ref="R288">INT(SUMPRODUCT(--ISNUMBER(SEARCH(race,C288)))&gt;0)</f>
        <v>0</v>
      </c>
      <c r="S288" s="14" cm="1">
        <f t="array" ref="S288">INT(SUMPRODUCT(--ISNUMBER(SEARCH(immigration,C288)))&gt;0)</f>
        <v>0</v>
      </c>
      <c r="T288" s="14" cm="1">
        <f t="array" ref="T288">INT(SUMPRODUCT(--ISNUMBER(SEARCH(econineq,C289)))&gt;0)</f>
        <v>0</v>
      </c>
      <c r="U288" s="14" cm="1">
        <f t="array" ref="U288">INT(SUMPRODUCT(--ISNUMBER(SEARCH(climate,C288)))&gt;0)</f>
        <v>0</v>
      </c>
      <c r="V288" s="14" cm="1">
        <f t="array" ref="V288">INT(SUMPRODUCT(--ISNUMBER(SEARCH(abortion,C288)))&gt;0)</f>
        <v>0</v>
      </c>
      <c r="W288" s="14" cm="1">
        <f t="array" ref="W288">INT(SUMPRODUCT(--ISNUMBER(SEARCH(trump,C288)))&gt;0)</f>
        <v>0</v>
      </c>
      <c r="X288" s="14" cm="1">
        <f t="array" ref="X288">INT(SUMPRODUCT(--ISNUMBER(SEARCH(voting,C288)))&gt;0)</f>
        <v>0</v>
      </c>
      <c r="Y288" s="14" cm="1">
        <f t="array" ref="Y288">INT(SUMPRODUCT(--ISNUMBER(SEARCH(democrattrigger,C288)))&gt;0)</f>
        <v>0</v>
      </c>
      <c r="Z288" s="14" cm="1">
        <f t="array" ref="Z288">INT(SUMPRODUCT(--ISNUMBER(SEARCH(bipartisan,C288)))&gt;0)</f>
        <v>0</v>
      </c>
      <c r="AA288" s="14">
        <f t="shared" si="4"/>
        <v>1</v>
      </c>
      <c r="AB288" s="14"/>
      <c r="AC288" s="30" t="s">
        <v>223</v>
      </c>
      <c r="AD288" s="37" t="s">
        <v>223</v>
      </c>
    </row>
    <row r="289" spans="1:30" x14ac:dyDescent="0.25">
      <c r="A289" s="36">
        <v>2442</v>
      </c>
      <c r="B289" s="14" t="s">
        <v>4909</v>
      </c>
      <c r="C289" s="14" t="s">
        <v>4910</v>
      </c>
      <c r="D289" s="17">
        <v>44115</v>
      </c>
      <c r="E289" s="14" t="s">
        <v>30</v>
      </c>
      <c r="F289" s="14">
        <v>95</v>
      </c>
      <c r="G289" s="14">
        <v>17</v>
      </c>
      <c r="H289" s="14">
        <v>11</v>
      </c>
      <c r="I289" s="14">
        <v>6</v>
      </c>
      <c r="J289" s="14" t="s">
        <v>204</v>
      </c>
      <c r="K289" s="14" cm="1">
        <f t="array" ref="K289">INT(SUMPRODUCT(--ISNUMBER(SEARCH(economy,C289)))&gt;0)</f>
        <v>0</v>
      </c>
      <c r="L289" s="14" cm="1">
        <f t="array" ref="L289">INT(SUMPRODUCT(--ISNUMBER(SEARCH(healthcare,C289)))&gt;0)</f>
        <v>0</v>
      </c>
      <c r="M289" s="14" cm="1">
        <f t="array" ref="M289">INT(SUMPRODUCT(--ISNUMBER(SEARCH(supreme,C289)))&gt;0)</f>
        <v>0</v>
      </c>
      <c r="N289" s="14" cm="1">
        <f t="array" ref="N289">INT(SUMPRODUCT(--ISNUMBER(SEARCH(covid,C289)))&gt;0)</f>
        <v>0</v>
      </c>
      <c r="O289" s="14" cm="1">
        <f t="array" ref="O289">INT(SUMPRODUCT(--ISNUMBER(SEARCH(violent,C289)))&gt;0)</f>
        <v>0</v>
      </c>
      <c r="P289" s="14" cm="1">
        <f t="array" ref="P289">INT(SUMPRODUCT(--ISNUMBER(SEARCH(foreign,C289)))&gt;0)</f>
        <v>0</v>
      </c>
      <c r="Q289" s="14" cm="1">
        <f t="array" ref="Q289">INT(SUMPRODUCT(--ISNUMBER(SEARCH(gun,C289)))&gt;0)</f>
        <v>0</v>
      </c>
      <c r="R289" s="14" cm="1">
        <f t="array" ref="R289">INT(SUMPRODUCT(--ISNUMBER(SEARCH(race,C289)))&gt;0)</f>
        <v>0</v>
      </c>
      <c r="S289" s="14" cm="1">
        <f t="array" ref="S289">INT(SUMPRODUCT(--ISNUMBER(SEARCH(immigration,C289)))&gt;0)</f>
        <v>0</v>
      </c>
      <c r="T289" s="14" cm="1">
        <f t="array" ref="T289">INT(SUMPRODUCT(--ISNUMBER(SEARCH(econineq,C290)))&gt;0)</f>
        <v>0</v>
      </c>
      <c r="U289" s="14" cm="1">
        <f t="array" ref="U289">INT(SUMPRODUCT(--ISNUMBER(SEARCH(climate,C289)))&gt;0)</f>
        <v>0</v>
      </c>
      <c r="V289" s="14" cm="1">
        <f t="array" ref="V289">INT(SUMPRODUCT(--ISNUMBER(SEARCH(abortion,C289)))&gt;0)</f>
        <v>0</v>
      </c>
      <c r="W289" s="14" cm="1">
        <f t="array" ref="W289">INT(SUMPRODUCT(--ISNUMBER(SEARCH(trump,C289)))&gt;0)</f>
        <v>0</v>
      </c>
      <c r="X289" s="14" cm="1">
        <f t="array" ref="X289">INT(SUMPRODUCT(--ISNUMBER(SEARCH(voting,C289)))&gt;0)</f>
        <v>0</v>
      </c>
      <c r="Y289" s="14" cm="1">
        <f t="array" ref="Y289">INT(SUMPRODUCT(--ISNUMBER(SEARCH(democrattrigger,C289)))&gt;0)</f>
        <v>0</v>
      </c>
      <c r="Z289" s="14" cm="1">
        <f t="array" ref="Z289">INT(SUMPRODUCT(--ISNUMBER(SEARCH(bipartisan,C289)))&gt;0)</f>
        <v>0</v>
      </c>
      <c r="AA289" s="14">
        <f t="shared" si="4"/>
        <v>1</v>
      </c>
      <c r="AB289" s="14"/>
      <c r="AC289" s="30" t="s">
        <v>223</v>
      </c>
      <c r="AD289" s="37" t="s">
        <v>223</v>
      </c>
    </row>
    <row r="290" spans="1:30" x14ac:dyDescent="0.25">
      <c r="A290" s="36">
        <v>2443</v>
      </c>
      <c r="B290" s="14" t="s">
        <v>4911</v>
      </c>
      <c r="C290" s="14" t="s">
        <v>4912</v>
      </c>
      <c r="D290" s="17">
        <v>44115</v>
      </c>
      <c r="E290" s="14" t="s">
        <v>30</v>
      </c>
      <c r="F290" s="14">
        <v>87</v>
      </c>
      <c r="G290" s="14">
        <v>12</v>
      </c>
      <c r="H290" s="14">
        <v>11</v>
      </c>
      <c r="I290" s="14">
        <v>6</v>
      </c>
      <c r="J290" s="14" t="s">
        <v>204</v>
      </c>
      <c r="K290" s="14" cm="1">
        <f t="array" ref="K290">INT(SUMPRODUCT(--ISNUMBER(SEARCH(economy,C290)))&gt;0)</f>
        <v>0</v>
      </c>
      <c r="L290" s="14" cm="1">
        <f t="array" ref="L290">INT(SUMPRODUCT(--ISNUMBER(SEARCH(healthcare,C290)))&gt;0)</f>
        <v>0</v>
      </c>
      <c r="M290" s="14" cm="1">
        <f t="array" ref="M290">INT(SUMPRODUCT(--ISNUMBER(SEARCH(supreme,C290)))&gt;0)</f>
        <v>0</v>
      </c>
      <c r="N290" s="14" cm="1">
        <f t="array" ref="N290">INT(SUMPRODUCT(--ISNUMBER(SEARCH(covid,C290)))&gt;0)</f>
        <v>0</v>
      </c>
      <c r="O290" s="14" cm="1">
        <f t="array" ref="O290">INT(SUMPRODUCT(--ISNUMBER(SEARCH(violent,C290)))&gt;0)</f>
        <v>0</v>
      </c>
      <c r="P290" s="14" cm="1">
        <f t="array" ref="P290">INT(SUMPRODUCT(--ISNUMBER(SEARCH(foreign,C290)))&gt;0)</f>
        <v>0</v>
      </c>
      <c r="Q290" s="14" cm="1">
        <f t="array" ref="Q290">INT(SUMPRODUCT(--ISNUMBER(SEARCH(gun,C290)))&gt;0)</f>
        <v>0</v>
      </c>
      <c r="R290" s="14" cm="1">
        <f t="array" ref="R290">INT(SUMPRODUCT(--ISNUMBER(SEARCH(race,C290)))&gt;0)</f>
        <v>0</v>
      </c>
      <c r="S290" s="14" cm="1">
        <f t="array" ref="S290">INT(SUMPRODUCT(--ISNUMBER(SEARCH(immigration,C290)))&gt;0)</f>
        <v>0</v>
      </c>
      <c r="T290" s="14" cm="1">
        <f t="array" ref="T290">INT(SUMPRODUCT(--ISNUMBER(SEARCH(econineq,C291)))&gt;0)</f>
        <v>0</v>
      </c>
      <c r="U290" s="14" cm="1">
        <f t="array" ref="U290">INT(SUMPRODUCT(--ISNUMBER(SEARCH(climate,C290)))&gt;0)</f>
        <v>0</v>
      </c>
      <c r="V290" s="14" cm="1">
        <f t="array" ref="V290">INT(SUMPRODUCT(--ISNUMBER(SEARCH(abortion,C290)))&gt;0)</f>
        <v>0</v>
      </c>
      <c r="W290" s="14" cm="1">
        <f t="array" ref="W290">INT(SUMPRODUCT(--ISNUMBER(SEARCH(trump,C290)))&gt;0)</f>
        <v>0</v>
      </c>
      <c r="X290" s="14" cm="1">
        <f t="array" ref="X290">INT(SUMPRODUCT(--ISNUMBER(SEARCH(voting,C290)))&gt;0)</f>
        <v>0</v>
      </c>
      <c r="Y290" s="14" cm="1">
        <f t="array" ref="Y290">INT(SUMPRODUCT(--ISNUMBER(SEARCH(democrattrigger,C290)))&gt;0)</f>
        <v>0</v>
      </c>
      <c r="Z290" s="14" cm="1">
        <f t="array" ref="Z290">INT(SUMPRODUCT(--ISNUMBER(SEARCH(bipartisan,C290)))&gt;0)</f>
        <v>0</v>
      </c>
      <c r="AA290" s="14">
        <f t="shared" si="4"/>
        <v>1</v>
      </c>
      <c r="AB290" s="14"/>
      <c r="AC290" s="30" t="s">
        <v>223</v>
      </c>
      <c r="AD290" s="37" t="s">
        <v>223</v>
      </c>
    </row>
    <row r="291" spans="1:30" x14ac:dyDescent="0.25">
      <c r="A291" s="36">
        <v>2444</v>
      </c>
      <c r="B291" s="14" t="s">
        <v>4913</v>
      </c>
      <c r="C291" s="14" t="s">
        <v>4914</v>
      </c>
      <c r="D291" s="17">
        <v>44115</v>
      </c>
      <c r="E291" s="14" t="s">
        <v>30</v>
      </c>
      <c r="F291" s="14">
        <v>103</v>
      </c>
      <c r="G291" s="14">
        <v>15</v>
      </c>
      <c r="H291" s="14">
        <v>11</v>
      </c>
      <c r="I291" s="14">
        <v>6</v>
      </c>
      <c r="J291" s="14" t="s">
        <v>204</v>
      </c>
      <c r="K291" s="14" cm="1">
        <f t="array" ref="K291">INT(SUMPRODUCT(--ISNUMBER(SEARCH(economy,C291)))&gt;0)</f>
        <v>1</v>
      </c>
      <c r="L291" s="14" cm="1">
        <f t="array" ref="L291">INT(SUMPRODUCT(--ISNUMBER(SEARCH(healthcare,C291)))&gt;0)</f>
        <v>0</v>
      </c>
      <c r="M291" s="14" cm="1">
        <f t="array" ref="M291">INT(SUMPRODUCT(--ISNUMBER(SEARCH(supreme,C291)))&gt;0)</f>
        <v>0</v>
      </c>
      <c r="N291" s="14" cm="1">
        <f t="array" ref="N291">INT(SUMPRODUCT(--ISNUMBER(SEARCH(covid,C291)))&gt;0)</f>
        <v>0</v>
      </c>
      <c r="O291" s="14" cm="1">
        <f t="array" ref="O291">INT(SUMPRODUCT(--ISNUMBER(SEARCH(violent,C291)))&gt;0)</f>
        <v>0</v>
      </c>
      <c r="P291" s="14" cm="1">
        <f t="array" ref="P291">INT(SUMPRODUCT(--ISNUMBER(SEARCH(foreign,C291)))&gt;0)</f>
        <v>0</v>
      </c>
      <c r="Q291" s="14" cm="1">
        <f t="array" ref="Q291">INT(SUMPRODUCT(--ISNUMBER(SEARCH(gun,C291)))&gt;0)</f>
        <v>0</v>
      </c>
      <c r="R291" s="14" cm="1">
        <f t="array" ref="R291">INT(SUMPRODUCT(--ISNUMBER(SEARCH(race,C291)))&gt;0)</f>
        <v>0</v>
      </c>
      <c r="S291" s="14" cm="1">
        <f t="array" ref="S291">INT(SUMPRODUCT(--ISNUMBER(SEARCH(immigration,C291)))&gt;0)</f>
        <v>0</v>
      </c>
      <c r="T291" s="14" cm="1">
        <f t="array" ref="T291">INT(SUMPRODUCT(--ISNUMBER(SEARCH(econineq,C292)))&gt;0)</f>
        <v>0</v>
      </c>
      <c r="U291" s="14" cm="1">
        <f t="array" ref="U291">INT(SUMPRODUCT(--ISNUMBER(SEARCH(climate,C291)))&gt;0)</f>
        <v>0</v>
      </c>
      <c r="V291" s="14" cm="1">
        <f t="array" ref="V291">INT(SUMPRODUCT(--ISNUMBER(SEARCH(abortion,C291)))&gt;0)</f>
        <v>0</v>
      </c>
      <c r="W291" s="14" cm="1">
        <f t="array" ref="W291">INT(SUMPRODUCT(--ISNUMBER(SEARCH(trump,C291)))&gt;0)</f>
        <v>0</v>
      </c>
      <c r="X291" s="14" cm="1">
        <f t="array" ref="X291">INT(SUMPRODUCT(--ISNUMBER(SEARCH(voting,C291)))&gt;0)</f>
        <v>0</v>
      </c>
      <c r="Y291" s="14" cm="1">
        <f t="array" ref="Y291">INT(SUMPRODUCT(--ISNUMBER(SEARCH(democrattrigger,C291)))&gt;0)</f>
        <v>0</v>
      </c>
      <c r="Z291" s="14" cm="1">
        <f t="array" ref="Z291">INT(SUMPRODUCT(--ISNUMBER(SEARCH(bipartisan,C291)))&gt;0)</f>
        <v>0</v>
      </c>
      <c r="AA291" s="14">
        <f t="shared" si="4"/>
        <v>0</v>
      </c>
      <c r="AB291" s="14"/>
      <c r="AC291" s="30" t="s">
        <v>223</v>
      </c>
      <c r="AD291" s="37" t="s">
        <v>223</v>
      </c>
    </row>
    <row r="292" spans="1:30" x14ac:dyDescent="0.25">
      <c r="A292" s="36">
        <v>2445</v>
      </c>
      <c r="B292" s="14" t="s">
        <v>4915</v>
      </c>
      <c r="C292" s="14" t="s">
        <v>4916</v>
      </c>
      <c r="D292" s="17">
        <v>44115</v>
      </c>
      <c r="E292" s="14" t="s">
        <v>30</v>
      </c>
      <c r="F292" s="14">
        <v>30</v>
      </c>
      <c r="G292" s="14">
        <v>8</v>
      </c>
      <c r="H292" s="14">
        <v>11</v>
      </c>
      <c r="I292" s="14">
        <v>6</v>
      </c>
      <c r="J292" s="14" t="s">
        <v>204</v>
      </c>
      <c r="K292" s="14" cm="1">
        <f t="array" ref="K292">INT(SUMPRODUCT(--ISNUMBER(SEARCH(economy,C292)))&gt;0)</f>
        <v>0</v>
      </c>
      <c r="L292" s="14" cm="1">
        <f t="array" ref="L292">INT(SUMPRODUCT(--ISNUMBER(SEARCH(healthcare,C292)))&gt;0)</f>
        <v>0</v>
      </c>
      <c r="M292" s="14" cm="1">
        <f t="array" ref="M292">INT(SUMPRODUCT(--ISNUMBER(SEARCH(supreme,C292)))&gt;0)</f>
        <v>0</v>
      </c>
      <c r="N292" s="14" cm="1">
        <f t="array" ref="N292">INT(SUMPRODUCT(--ISNUMBER(SEARCH(covid,C292)))&gt;0)</f>
        <v>0</v>
      </c>
      <c r="O292" s="14" cm="1">
        <f t="array" ref="O292">INT(SUMPRODUCT(--ISNUMBER(SEARCH(violent,C292)))&gt;0)</f>
        <v>0</v>
      </c>
      <c r="P292" s="14" cm="1">
        <f t="array" ref="P292">INT(SUMPRODUCT(--ISNUMBER(SEARCH(foreign,C292)))&gt;0)</f>
        <v>0</v>
      </c>
      <c r="Q292" s="14" cm="1">
        <f t="array" ref="Q292">INT(SUMPRODUCT(--ISNUMBER(SEARCH(gun,C292)))&gt;0)</f>
        <v>0</v>
      </c>
      <c r="R292" s="14" cm="1">
        <f t="array" ref="R292">INT(SUMPRODUCT(--ISNUMBER(SEARCH(race,C292)))&gt;0)</f>
        <v>0</v>
      </c>
      <c r="S292" s="14" cm="1">
        <f t="array" ref="S292">INT(SUMPRODUCT(--ISNUMBER(SEARCH(immigration,C292)))&gt;0)</f>
        <v>0</v>
      </c>
      <c r="T292" s="14" cm="1">
        <f t="array" ref="T292">INT(SUMPRODUCT(--ISNUMBER(SEARCH(econineq,C293)))&gt;0)</f>
        <v>0</v>
      </c>
      <c r="U292" s="14" cm="1">
        <f t="array" ref="U292">INT(SUMPRODUCT(--ISNUMBER(SEARCH(climate,C292)))&gt;0)</f>
        <v>0</v>
      </c>
      <c r="V292" s="14" cm="1">
        <f t="array" ref="V292">INT(SUMPRODUCT(--ISNUMBER(SEARCH(abortion,C292)))&gt;0)</f>
        <v>0</v>
      </c>
      <c r="W292" s="14" cm="1">
        <f t="array" ref="W292">INT(SUMPRODUCT(--ISNUMBER(SEARCH(trump,C292)))&gt;0)</f>
        <v>0</v>
      </c>
      <c r="X292" s="14" cm="1">
        <f t="array" ref="X292">INT(SUMPRODUCT(--ISNUMBER(SEARCH(voting,C292)))&gt;0)</f>
        <v>0</v>
      </c>
      <c r="Y292" s="14" cm="1">
        <f t="array" ref="Y292">INT(SUMPRODUCT(--ISNUMBER(SEARCH(democrattrigger,C292)))&gt;0)</f>
        <v>0</v>
      </c>
      <c r="Z292" s="14" cm="1">
        <f t="array" ref="Z292">INT(SUMPRODUCT(--ISNUMBER(SEARCH(bipartisan,C292)))&gt;0)</f>
        <v>0</v>
      </c>
      <c r="AA292" s="14">
        <f t="shared" si="4"/>
        <v>1</v>
      </c>
      <c r="AB292" s="14"/>
      <c r="AC292" s="30">
        <v>0</v>
      </c>
      <c r="AD292" s="37">
        <v>1</v>
      </c>
    </row>
    <row r="293" spans="1:30" x14ac:dyDescent="0.25">
      <c r="A293" s="36">
        <v>2446</v>
      </c>
      <c r="B293" s="14" t="s">
        <v>4917</v>
      </c>
      <c r="C293" s="14" t="s">
        <v>4918</v>
      </c>
      <c r="D293" s="17">
        <v>44115</v>
      </c>
      <c r="E293" s="14" t="s">
        <v>30</v>
      </c>
      <c r="F293" s="14">
        <v>265</v>
      </c>
      <c r="G293" s="14">
        <v>60</v>
      </c>
      <c r="H293" s="14">
        <v>11</v>
      </c>
      <c r="I293" s="14">
        <v>6</v>
      </c>
      <c r="J293" s="14" t="s">
        <v>204</v>
      </c>
      <c r="K293" s="14" cm="1">
        <f t="array" ref="K293">INT(SUMPRODUCT(--ISNUMBER(SEARCH(economy,C293)))&gt;0)</f>
        <v>0</v>
      </c>
      <c r="L293" s="14" cm="1">
        <f t="array" ref="L293">INT(SUMPRODUCT(--ISNUMBER(SEARCH(healthcare,C293)))&gt;0)</f>
        <v>1</v>
      </c>
      <c r="M293" s="14" cm="1">
        <f t="array" ref="M293">INT(SUMPRODUCT(--ISNUMBER(SEARCH(supreme,C293)))&gt;0)</f>
        <v>1</v>
      </c>
      <c r="N293" s="14" cm="1">
        <f t="array" ref="N293">INT(SUMPRODUCT(--ISNUMBER(SEARCH(covid,C293)))&gt;0)</f>
        <v>0</v>
      </c>
      <c r="O293" s="14" cm="1">
        <f t="array" ref="O293">INT(SUMPRODUCT(--ISNUMBER(SEARCH(violent,C293)))&gt;0)</f>
        <v>0</v>
      </c>
      <c r="P293" s="14" cm="1">
        <f t="array" ref="P293">INT(SUMPRODUCT(--ISNUMBER(SEARCH(foreign,C293)))&gt;0)</f>
        <v>0</v>
      </c>
      <c r="Q293" s="14" cm="1">
        <f t="array" ref="Q293">INT(SUMPRODUCT(--ISNUMBER(SEARCH(gun,C293)))&gt;0)</f>
        <v>0</v>
      </c>
      <c r="R293" s="14" cm="1">
        <f t="array" ref="R293">INT(SUMPRODUCT(--ISNUMBER(SEARCH(race,C293)))&gt;0)</f>
        <v>0</v>
      </c>
      <c r="S293" s="14" cm="1">
        <f t="array" ref="S293">INT(SUMPRODUCT(--ISNUMBER(SEARCH(immigration,C293)))&gt;0)</f>
        <v>0</v>
      </c>
      <c r="T293" s="14" cm="1">
        <f t="array" ref="T293">INT(SUMPRODUCT(--ISNUMBER(SEARCH(econineq,C294)))&gt;0)</f>
        <v>0</v>
      </c>
      <c r="U293" s="14" cm="1">
        <f t="array" ref="U293">INT(SUMPRODUCT(--ISNUMBER(SEARCH(climate,C293)))&gt;0)</f>
        <v>0</v>
      </c>
      <c r="V293" s="14" cm="1">
        <f t="array" ref="V293">INT(SUMPRODUCT(--ISNUMBER(SEARCH(abortion,C293)))&gt;0)</f>
        <v>0</v>
      </c>
      <c r="W293" s="14" cm="1">
        <f t="array" ref="W293">INT(SUMPRODUCT(--ISNUMBER(SEARCH(trump,C293)))&gt;0)</f>
        <v>0</v>
      </c>
      <c r="X293" s="14" cm="1">
        <f t="array" ref="X293">INT(SUMPRODUCT(--ISNUMBER(SEARCH(voting,C293)))&gt;0)</f>
        <v>0</v>
      </c>
      <c r="Y293" s="14" cm="1">
        <f t="array" ref="Y293">INT(SUMPRODUCT(--ISNUMBER(SEARCH(democrattrigger,C293)))&gt;0)</f>
        <v>0</v>
      </c>
      <c r="Z293" s="14" cm="1">
        <f t="array" ref="Z293">INT(SUMPRODUCT(--ISNUMBER(SEARCH(bipartisan,C293)))&gt;0)</f>
        <v>0</v>
      </c>
      <c r="AA293" s="14">
        <f t="shared" si="4"/>
        <v>0</v>
      </c>
      <c r="AB293" s="14"/>
      <c r="AC293" s="30" t="s">
        <v>223</v>
      </c>
      <c r="AD293" s="37" t="s">
        <v>223</v>
      </c>
    </row>
    <row r="294" spans="1:30" x14ac:dyDescent="0.25">
      <c r="A294" s="36">
        <v>2447</v>
      </c>
      <c r="B294" s="14" t="s">
        <v>4919</v>
      </c>
      <c r="C294" s="14" t="s">
        <v>4920</v>
      </c>
      <c r="D294" s="17">
        <v>44115</v>
      </c>
      <c r="E294" s="14" t="s">
        <v>30</v>
      </c>
      <c r="F294" s="14">
        <v>16</v>
      </c>
      <c r="G294" s="14">
        <v>8</v>
      </c>
      <c r="H294" s="14">
        <v>11</v>
      </c>
      <c r="I294" s="14">
        <v>6</v>
      </c>
      <c r="J294" s="14" t="s">
        <v>204</v>
      </c>
      <c r="K294" s="14" cm="1">
        <f t="array" ref="K294">INT(SUMPRODUCT(--ISNUMBER(SEARCH(economy,C294)))&gt;0)</f>
        <v>0</v>
      </c>
      <c r="L294" s="14" cm="1">
        <f t="array" ref="L294">INT(SUMPRODUCT(--ISNUMBER(SEARCH(healthcare,C294)))&gt;0)</f>
        <v>0</v>
      </c>
      <c r="M294" s="14" cm="1">
        <f t="array" ref="M294">INT(SUMPRODUCT(--ISNUMBER(SEARCH(supreme,C294)))&gt;0)</f>
        <v>0</v>
      </c>
      <c r="N294" s="14" cm="1">
        <f t="array" ref="N294">INT(SUMPRODUCT(--ISNUMBER(SEARCH(covid,C294)))&gt;0)</f>
        <v>0</v>
      </c>
      <c r="O294" s="14" cm="1">
        <f t="array" ref="O294">INT(SUMPRODUCT(--ISNUMBER(SEARCH(violent,C294)))&gt;0)</f>
        <v>0</v>
      </c>
      <c r="P294" s="14" cm="1">
        <f t="array" ref="P294">INT(SUMPRODUCT(--ISNUMBER(SEARCH(foreign,C294)))&gt;0)</f>
        <v>0</v>
      </c>
      <c r="Q294" s="14" cm="1">
        <f t="array" ref="Q294">INT(SUMPRODUCT(--ISNUMBER(SEARCH(gun,C294)))&gt;0)</f>
        <v>0</v>
      </c>
      <c r="R294" s="14" cm="1">
        <f t="array" ref="R294">INT(SUMPRODUCT(--ISNUMBER(SEARCH(race,C294)))&gt;0)</f>
        <v>0</v>
      </c>
      <c r="S294" s="14" cm="1">
        <f t="array" ref="S294">INT(SUMPRODUCT(--ISNUMBER(SEARCH(immigration,C294)))&gt;0)</f>
        <v>0</v>
      </c>
      <c r="T294" s="14" cm="1">
        <f t="array" ref="T294">INT(SUMPRODUCT(--ISNUMBER(SEARCH(econineq,C295)))&gt;0)</f>
        <v>0</v>
      </c>
      <c r="U294" s="14" cm="1">
        <f t="array" ref="U294">INT(SUMPRODUCT(--ISNUMBER(SEARCH(climate,C294)))&gt;0)</f>
        <v>0</v>
      </c>
      <c r="V294" s="14" cm="1">
        <f t="array" ref="V294">INT(SUMPRODUCT(--ISNUMBER(SEARCH(abortion,C294)))&gt;0)</f>
        <v>0</v>
      </c>
      <c r="W294" s="14" cm="1">
        <f t="array" ref="W294">INT(SUMPRODUCT(--ISNUMBER(SEARCH(trump,C294)))&gt;0)</f>
        <v>0</v>
      </c>
      <c r="X294" s="14" cm="1">
        <f t="array" ref="X294">INT(SUMPRODUCT(--ISNUMBER(SEARCH(voting,C294)))&gt;0)</f>
        <v>1</v>
      </c>
      <c r="Y294" s="14" cm="1">
        <f t="array" ref="Y294">INT(SUMPRODUCT(--ISNUMBER(SEARCH(democrattrigger,C294)))&gt;0)</f>
        <v>0</v>
      </c>
      <c r="Z294" s="14" cm="1">
        <f t="array" ref="Z294">INT(SUMPRODUCT(--ISNUMBER(SEARCH(bipartisan,C294)))&gt;0)</f>
        <v>0</v>
      </c>
      <c r="AA294" s="14">
        <f t="shared" si="4"/>
        <v>0</v>
      </c>
      <c r="AB294" s="14"/>
      <c r="AC294" s="30">
        <v>1</v>
      </c>
      <c r="AD294" s="37">
        <v>0</v>
      </c>
    </row>
    <row r="295" spans="1:30" x14ac:dyDescent="0.25">
      <c r="A295" s="36">
        <v>2448</v>
      </c>
      <c r="B295" s="14" t="s">
        <v>4921</v>
      </c>
      <c r="C295" s="14" t="s">
        <v>4922</v>
      </c>
      <c r="D295" s="17">
        <v>44115</v>
      </c>
      <c r="E295" s="14" t="s">
        <v>30</v>
      </c>
      <c r="F295" s="14">
        <v>245</v>
      </c>
      <c r="G295" s="14">
        <v>88</v>
      </c>
      <c r="H295" s="14">
        <v>11</v>
      </c>
      <c r="I295" s="14">
        <v>6</v>
      </c>
      <c r="J295" s="14" t="s">
        <v>204</v>
      </c>
      <c r="K295" s="14" cm="1">
        <f t="array" ref="K295">INT(SUMPRODUCT(--ISNUMBER(SEARCH(economy,C295)))&gt;0)</f>
        <v>0</v>
      </c>
      <c r="L295" s="14" cm="1">
        <f t="array" ref="L295">INT(SUMPRODUCT(--ISNUMBER(SEARCH(healthcare,C295)))&gt;0)</f>
        <v>0</v>
      </c>
      <c r="M295" s="14" cm="1">
        <f t="array" ref="M295">INT(SUMPRODUCT(--ISNUMBER(SEARCH(supreme,C295)))&gt;0)</f>
        <v>1</v>
      </c>
      <c r="N295" s="14" cm="1">
        <f t="array" ref="N295">INT(SUMPRODUCT(--ISNUMBER(SEARCH(covid,C295)))&gt;0)</f>
        <v>1</v>
      </c>
      <c r="O295" s="14" cm="1">
        <f t="array" ref="O295">INT(SUMPRODUCT(--ISNUMBER(SEARCH(violent,C295)))&gt;0)</f>
        <v>0</v>
      </c>
      <c r="P295" s="14" cm="1">
        <f t="array" ref="P295">INT(SUMPRODUCT(--ISNUMBER(SEARCH(foreign,C295)))&gt;0)</f>
        <v>0</v>
      </c>
      <c r="Q295" s="14" cm="1">
        <f t="array" ref="Q295">INT(SUMPRODUCT(--ISNUMBER(SEARCH(gun,C295)))&gt;0)</f>
        <v>0</v>
      </c>
      <c r="R295" s="14" cm="1">
        <f t="array" ref="R295">INT(SUMPRODUCT(--ISNUMBER(SEARCH(race,C295)))&gt;0)</f>
        <v>0</v>
      </c>
      <c r="S295" s="14" cm="1">
        <f t="array" ref="S295">INT(SUMPRODUCT(--ISNUMBER(SEARCH(immigration,C295)))&gt;0)</f>
        <v>0</v>
      </c>
      <c r="T295" s="14" cm="1">
        <f t="array" ref="T295">INT(SUMPRODUCT(--ISNUMBER(SEARCH(econineq,C296)))&gt;0)</f>
        <v>0</v>
      </c>
      <c r="U295" s="14" cm="1">
        <f t="array" ref="U295">INT(SUMPRODUCT(--ISNUMBER(SEARCH(climate,C295)))&gt;0)</f>
        <v>0</v>
      </c>
      <c r="V295" s="14" cm="1">
        <f t="array" ref="V295">INT(SUMPRODUCT(--ISNUMBER(SEARCH(abortion,C295)))&gt;0)</f>
        <v>0</v>
      </c>
      <c r="W295" s="14" cm="1">
        <f t="array" ref="W295">INT(SUMPRODUCT(--ISNUMBER(SEARCH(trump,C295)))&gt;0)</f>
        <v>0</v>
      </c>
      <c r="X295" s="14" cm="1">
        <f t="array" ref="X295">INT(SUMPRODUCT(--ISNUMBER(SEARCH(voting,C295)))&gt;0)</f>
        <v>0</v>
      </c>
      <c r="Y295" s="14" cm="1">
        <f t="array" ref="Y295">INT(SUMPRODUCT(--ISNUMBER(SEARCH(democrattrigger,C295)))&gt;0)</f>
        <v>1</v>
      </c>
      <c r="Z295" s="14" cm="1">
        <f t="array" ref="Z295">INT(SUMPRODUCT(--ISNUMBER(SEARCH(bipartisan,C295)))&gt;0)</f>
        <v>0</v>
      </c>
      <c r="AA295" s="14">
        <f t="shared" si="4"/>
        <v>0</v>
      </c>
      <c r="AB295" s="14"/>
      <c r="AC295" s="30" t="s">
        <v>223</v>
      </c>
      <c r="AD295" s="37" t="s">
        <v>223</v>
      </c>
    </row>
    <row r="296" spans="1:30" x14ac:dyDescent="0.25">
      <c r="A296" s="36">
        <v>2449</v>
      </c>
      <c r="B296" s="14" t="s">
        <v>4923</v>
      </c>
      <c r="C296" s="14" t="s">
        <v>4924</v>
      </c>
      <c r="D296" s="17">
        <v>44115</v>
      </c>
      <c r="E296" s="14" t="s">
        <v>30</v>
      </c>
      <c r="F296" s="14">
        <v>94</v>
      </c>
      <c r="G296" s="14">
        <v>18</v>
      </c>
      <c r="H296" s="14">
        <v>11</v>
      </c>
      <c r="I296" s="14">
        <v>6</v>
      </c>
      <c r="J296" s="14" t="s">
        <v>204</v>
      </c>
      <c r="K296" s="14" cm="1">
        <f t="array" ref="K296">INT(SUMPRODUCT(--ISNUMBER(SEARCH(economy,C296)))&gt;0)</f>
        <v>0</v>
      </c>
      <c r="L296" s="14" cm="1">
        <f t="array" ref="L296">INT(SUMPRODUCT(--ISNUMBER(SEARCH(healthcare,C296)))&gt;0)</f>
        <v>0</v>
      </c>
      <c r="M296" s="14" cm="1">
        <f t="array" ref="M296">INT(SUMPRODUCT(--ISNUMBER(SEARCH(supreme,C296)))&gt;0)</f>
        <v>0</v>
      </c>
      <c r="N296" s="14" cm="1">
        <f t="array" ref="N296">INT(SUMPRODUCT(--ISNUMBER(SEARCH(covid,C296)))&gt;0)</f>
        <v>0</v>
      </c>
      <c r="O296" s="14" cm="1">
        <f t="array" ref="O296">INT(SUMPRODUCT(--ISNUMBER(SEARCH(violent,C296)))&gt;0)</f>
        <v>0</v>
      </c>
      <c r="P296" s="14" cm="1">
        <f t="array" ref="P296">INT(SUMPRODUCT(--ISNUMBER(SEARCH(foreign,C296)))&gt;0)</f>
        <v>0</v>
      </c>
      <c r="Q296" s="14" cm="1">
        <f t="array" ref="Q296">INT(SUMPRODUCT(--ISNUMBER(SEARCH(gun,C296)))&gt;0)</f>
        <v>0</v>
      </c>
      <c r="R296" s="14" cm="1">
        <f t="array" ref="R296">INT(SUMPRODUCT(--ISNUMBER(SEARCH(race,C296)))&gt;0)</f>
        <v>0</v>
      </c>
      <c r="S296" s="14" cm="1">
        <f t="array" ref="S296">INT(SUMPRODUCT(--ISNUMBER(SEARCH(immigration,C296)))&gt;0)</f>
        <v>0</v>
      </c>
      <c r="T296" s="14" cm="1">
        <f t="array" ref="T296">INT(SUMPRODUCT(--ISNUMBER(SEARCH(econineq,C297)))&gt;0)</f>
        <v>0</v>
      </c>
      <c r="U296" s="14" cm="1">
        <f t="array" ref="U296">INT(SUMPRODUCT(--ISNUMBER(SEARCH(climate,C296)))&gt;0)</f>
        <v>0</v>
      </c>
      <c r="V296" s="14" cm="1">
        <f t="array" ref="V296">INT(SUMPRODUCT(--ISNUMBER(SEARCH(abortion,C296)))&gt;0)</f>
        <v>0</v>
      </c>
      <c r="W296" s="14" cm="1">
        <f t="array" ref="W296">INT(SUMPRODUCT(--ISNUMBER(SEARCH(trump,C296)))&gt;0)</f>
        <v>0</v>
      </c>
      <c r="X296" s="14" cm="1">
        <f t="array" ref="X296">INT(SUMPRODUCT(--ISNUMBER(SEARCH(voting,C296)))&gt;0)</f>
        <v>0</v>
      </c>
      <c r="Y296" s="14" cm="1">
        <f t="array" ref="Y296">INT(SUMPRODUCT(--ISNUMBER(SEARCH(democrattrigger,C296)))&gt;0)</f>
        <v>0</v>
      </c>
      <c r="Z296" s="14" cm="1">
        <f t="array" ref="Z296">INT(SUMPRODUCT(--ISNUMBER(SEARCH(bipartisan,C296)))&gt;0)</f>
        <v>0</v>
      </c>
      <c r="AA296" s="14">
        <f t="shared" si="4"/>
        <v>1</v>
      </c>
      <c r="AB296" s="14"/>
      <c r="AC296" s="30">
        <v>1</v>
      </c>
      <c r="AD296" s="37">
        <v>0</v>
      </c>
    </row>
    <row r="297" spans="1:30" x14ac:dyDescent="0.25">
      <c r="A297" s="36">
        <v>2450</v>
      </c>
      <c r="B297" s="14" t="s">
        <v>4925</v>
      </c>
      <c r="C297" s="14" t="s">
        <v>4926</v>
      </c>
      <c r="D297" s="17">
        <v>44115</v>
      </c>
      <c r="E297" s="14" t="s">
        <v>30</v>
      </c>
      <c r="F297" s="14">
        <v>89</v>
      </c>
      <c r="G297" s="14">
        <v>13</v>
      </c>
      <c r="H297" s="14">
        <v>11</v>
      </c>
      <c r="I297" s="14">
        <v>6</v>
      </c>
      <c r="J297" s="14" t="s">
        <v>204</v>
      </c>
      <c r="K297" s="14" cm="1">
        <f t="array" ref="K297">INT(SUMPRODUCT(--ISNUMBER(SEARCH(economy,C297)))&gt;0)</f>
        <v>0</v>
      </c>
      <c r="L297" s="14" cm="1">
        <f t="array" ref="L297">INT(SUMPRODUCT(--ISNUMBER(SEARCH(healthcare,C297)))&gt;0)</f>
        <v>1</v>
      </c>
      <c r="M297" s="14" cm="1">
        <f t="array" ref="M297">INT(SUMPRODUCT(--ISNUMBER(SEARCH(supreme,C297)))&gt;0)</f>
        <v>0</v>
      </c>
      <c r="N297" s="14" cm="1">
        <f t="array" ref="N297">INT(SUMPRODUCT(--ISNUMBER(SEARCH(covid,C297)))&gt;0)</f>
        <v>1</v>
      </c>
      <c r="O297" s="14" cm="1">
        <f t="array" ref="O297">INT(SUMPRODUCT(--ISNUMBER(SEARCH(violent,C297)))&gt;0)</f>
        <v>0</v>
      </c>
      <c r="P297" s="14" cm="1">
        <f t="array" ref="P297">INT(SUMPRODUCT(--ISNUMBER(SEARCH(foreign,C297)))&gt;0)</f>
        <v>0</v>
      </c>
      <c r="Q297" s="14" cm="1">
        <f t="array" ref="Q297">INT(SUMPRODUCT(--ISNUMBER(SEARCH(gun,C297)))&gt;0)</f>
        <v>0</v>
      </c>
      <c r="R297" s="14" cm="1">
        <f t="array" ref="R297">INT(SUMPRODUCT(--ISNUMBER(SEARCH(race,C297)))&gt;0)</f>
        <v>0</v>
      </c>
      <c r="S297" s="14" cm="1">
        <f t="array" ref="S297">INT(SUMPRODUCT(--ISNUMBER(SEARCH(immigration,C297)))&gt;0)</f>
        <v>0</v>
      </c>
      <c r="T297" s="14" cm="1">
        <f t="array" ref="T297">INT(SUMPRODUCT(--ISNUMBER(SEARCH(econineq,C298)))&gt;0)</f>
        <v>0</v>
      </c>
      <c r="U297" s="14" cm="1">
        <f t="array" ref="U297">INT(SUMPRODUCT(--ISNUMBER(SEARCH(climate,C297)))&gt;0)</f>
        <v>0</v>
      </c>
      <c r="V297" s="14" cm="1">
        <f t="array" ref="V297">INT(SUMPRODUCT(--ISNUMBER(SEARCH(abortion,C297)))&gt;0)</f>
        <v>0</v>
      </c>
      <c r="W297" s="14" cm="1">
        <f t="array" ref="W297">INT(SUMPRODUCT(--ISNUMBER(SEARCH(trump,C297)))&gt;0)</f>
        <v>0</v>
      </c>
      <c r="X297" s="14" cm="1">
        <f t="array" ref="X297">INT(SUMPRODUCT(--ISNUMBER(SEARCH(voting,C297)))&gt;0)</f>
        <v>0</v>
      </c>
      <c r="Y297" s="14" cm="1">
        <f t="array" ref="Y297">INT(SUMPRODUCT(--ISNUMBER(SEARCH(democrattrigger,C297)))&gt;0)</f>
        <v>0</v>
      </c>
      <c r="Z297" s="14" cm="1">
        <f t="array" ref="Z297">INT(SUMPRODUCT(--ISNUMBER(SEARCH(bipartisan,C297)))&gt;0)</f>
        <v>0</v>
      </c>
      <c r="AA297" s="14">
        <f t="shared" si="4"/>
        <v>0</v>
      </c>
      <c r="AB297" s="14"/>
      <c r="AC297" s="30" t="s">
        <v>223</v>
      </c>
      <c r="AD297" s="37" t="s">
        <v>223</v>
      </c>
    </row>
    <row r="298" spans="1:30" x14ac:dyDescent="0.25">
      <c r="A298" s="36">
        <v>2451</v>
      </c>
      <c r="B298" s="14" t="s">
        <v>4927</v>
      </c>
      <c r="C298" s="14" t="s">
        <v>4928</v>
      </c>
      <c r="D298" s="17">
        <v>44115</v>
      </c>
      <c r="E298" s="14" t="s">
        <v>30</v>
      </c>
      <c r="F298" s="14">
        <v>54</v>
      </c>
      <c r="G298" s="14">
        <v>11</v>
      </c>
      <c r="H298" s="14">
        <v>11</v>
      </c>
      <c r="I298" s="14">
        <v>6</v>
      </c>
      <c r="J298" s="14" t="s">
        <v>204</v>
      </c>
      <c r="K298" s="14" cm="1">
        <f t="array" ref="K298">INT(SUMPRODUCT(--ISNUMBER(SEARCH(economy,C298)))&gt;0)</f>
        <v>0</v>
      </c>
      <c r="L298" s="14" cm="1">
        <f t="array" ref="L298">INT(SUMPRODUCT(--ISNUMBER(SEARCH(healthcare,C298)))&gt;0)</f>
        <v>0</v>
      </c>
      <c r="M298" s="14" cm="1">
        <f t="array" ref="M298">INT(SUMPRODUCT(--ISNUMBER(SEARCH(supreme,C298)))&gt;0)</f>
        <v>0</v>
      </c>
      <c r="N298" s="14" cm="1">
        <f t="array" ref="N298">INT(SUMPRODUCT(--ISNUMBER(SEARCH(covid,C298)))&gt;0)</f>
        <v>0</v>
      </c>
      <c r="O298" s="14" cm="1">
        <f t="array" ref="O298">INT(SUMPRODUCT(--ISNUMBER(SEARCH(violent,C298)))&gt;0)</f>
        <v>0</v>
      </c>
      <c r="P298" s="14" cm="1">
        <f t="array" ref="P298">INT(SUMPRODUCT(--ISNUMBER(SEARCH(foreign,C298)))&gt;0)</f>
        <v>0</v>
      </c>
      <c r="Q298" s="14" cm="1">
        <f t="array" ref="Q298">INT(SUMPRODUCT(--ISNUMBER(SEARCH(gun,C298)))&gt;0)</f>
        <v>0</v>
      </c>
      <c r="R298" s="14" cm="1">
        <f t="array" ref="R298">INT(SUMPRODUCT(--ISNUMBER(SEARCH(race,C298)))&gt;0)</f>
        <v>0</v>
      </c>
      <c r="S298" s="14" cm="1">
        <f t="array" ref="S298">INT(SUMPRODUCT(--ISNUMBER(SEARCH(immigration,C298)))&gt;0)</f>
        <v>0</v>
      </c>
      <c r="T298" s="14" cm="1">
        <f t="array" ref="T298">INT(SUMPRODUCT(--ISNUMBER(SEARCH(econineq,C299)))&gt;0)</f>
        <v>0</v>
      </c>
      <c r="U298" s="14" cm="1">
        <f t="array" ref="U298">INT(SUMPRODUCT(--ISNUMBER(SEARCH(climate,C298)))&gt;0)</f>
        <v>0</v>
      </c>
      <c r="V298" s="14" cm="1">
        <f t="array" ref="V298">INT(SUMPRODUCT(--ISNUMBER(SEARCH(abortion,C298)))&gt;0)</f>
        <v>0</v>
      </c>
      <c r="W298" s="14" cm="1">
        <f t="array" ref="W298">INT(SUMPRODUCT(--ISNUMBER(SEARCH(trump,C298)))&gt;0)</f>
        <v>0</v>
      </c>
      <c r="X298" s="14" cm="1">
        <f t="array" ref="X298">INT(SUMPRODUCT(--ISNUMBER(SEARCH(voting,C298)))&gt;0)</f>
        <v>1</v>
      </c>
      <c r="Y298" s="14" cm="1">
        <f t="array" ref="Y298">INT(SUMPRODUCT(--ISNUMBER(SEARCH(democrattrigger,C298)))&gt;0)</f>
        <v>0</v>
      </c>
      <c r="Z298" s="14" cm="1">
        <f t="array" ref="Z298">INT(SUMPRODUCT(--ISNUMBER(SEARCH(bipartisan,C298)))&gt;0)</f>
        <v>0</v>
      </c>
      <c r="AA298" s="14">
        <f t="shared" si="4"/>
        <v>0</v>
      </c>
      <c r="AB298" s="14"/>
      <c r="AC298" s="30">
        <v>1</v>
      </c>
      <c r="AD298" s="37">
        <v>0</v>
      </c>
    </row>
    <row r="299" spans="1:30" x14ac:dyDescent="0.25">
      <c r="A299" s="36">
        <v>2452</v>
      </c>
      <c r="B299" s="14" t="s">
        <v>4929</v>
      </c>
      <c r="C299" s="14" t="s">
        <v>4930</v>
      </c>
      <c r="D299" s="17">
        <v>44114</v>
      </c>
      <c r="E299" s="14" t="s">
        <v>30</v>
      </c>
      <c r="F299" s="14">
        <v>249</v>
      </c>
      <c r="G299" s="14">
        <v>34</v>
      </c>
      <c r="H299" s="14">
        <v>11</v>
      </c>
      <c r="I299" s="14">
        <v>6</v>
      </c>
      <c r="J299" s="14" t="s">
        <v>204</v>
      </c>
      <c r="K299" s="14" cm="1">
        <f t="array" ref="K299">INT(SUMPRODUCT(--ISNUMBER(SEARCH(economy,C299)))&gt;0)</f>
        <v>0</v>
      </c>
      <c r="L299" s="14" cm="1">
        <f t="array" ref="L299">INT(SUMPRODUCT(--ISNUMBER(SEARCH(healthcare,C299)))&gt;0)</f>
        <v>0</v>
      </c>
      <c r="M299" s="14" cm="1">
        <f t="array" ref="M299">INT(SUMPRODUCT(--ISNUMBER(SEARCH(supreme,C299)))&gt;0)</f>
        <v>0</v>
      </c>
      <c r="N299" s="14" cm="1">
        <f t="array" ref="N299">INT(SUMPRODUCT(--ISNUMBER(SEARCH(covid,C299)))&gt;0)</f>
        <v>0</v>
      </c>
      <c r="O299" s="14" cm="1">
        <f t="array" ref="O299">INT(SUMPRODUCT(--ISNUMBER(SEARCH(violent,C299)))&gt;0)</f>
        <v>0</v>
      </c>
      <c r="P299" s="14" cm="1">
        <f t="array" ref="P299">INT(SUMPRODUCT(--ISNUMBER(SEARCH(foreign,C299)))&gt;0)</f>
        <v>0</v>
      </c>
      <c r="Q299" s="14" cm="1">
        <f t="array" ref="Q299">INT(SUMPRODUCT(--ISNUMBER(SEARCH(gun,C299)))&gt;0)</f>
        <v>0</v>
      </c>
      <c r="R299" s="14" cm="1">
        <f t="array" ref="R299">INT(SUMPRODUCT(--ISNUMBER(SEARCH(race,C299)))&gt;0)</f>
        <v>0</v>
      </c>
      <c r="S299" s="14" cm="1">
        <f t="array" ref="S299">INT(SUMPRODUCT(--ISNUMBER(SEARCH(immigration,C299)))&gt;0)</f>
        <v>0</v>
      </c>
      <c r="T299" s="14" cm="1">
        <f t="array" ref="T299">INT(SUMPRODUCT(--ISNUMBER(SEARCH(econineq,C300)))&gt;0)</f>
        <v>0</v>
      </c>
      <c r="U299" s="14" cm="1">
        <f t="array" ref="U299">INT(SUMPRODUCT(--ISNUMBER(SEARCH(climate,C299)))&gt;0)</f>
        <v>0</v>
      </c>
      <c r="V299" s="14" cm="1">
        <f t="array" ref="V299">INT(SUMPRODUCT(--ISNUMBER(SEARCH(abortion,C299)))&gt;0)</f>
        <v>0</v>
      </c>
      <c r="W299" s="14" cm="1">
        <f t="array" ref="W299">INT(SUMPRODUCT(--ISNUMBER(SEARCH(trump,C299)))&gt;0)</f>
        <v>0</v>
      </c>
      <c r="X299" s="14" cm="1">
        <f t="array" ref="X299">INT(SUMPRODUCT(--ISNUMBER(SEARCH(voting,C299)))&gt;0)</f>
        <v>0</v>
      </c>
      <c r="Y299" s="14" cm="1">
        <f t="array" ref="Y299">INT(SUMPRODUCT(--ISNUMBER(SEARCH(democrattrigger,C299)))&gt;0)</f>
        <v>0</v>
      </c>
      <c r="Z299" s="14" cm="1">
        <f t="array" ref="Z299">INT(SUMPRODUCT(--ISNUMBER(SEARCH(bipartisan,C299)))&gt;0)</f>
        <v>0</v>
      </c>
      <c r="AA299" s="14">
        <f t="shared" si="4"/>
        <v>1</v>
      </c>
      <c r="AB299" s="14"/>
      <c r="AC299" s="30">
        <v>1</v>
      </c>
      <c r="AD299" s="37">
        <v>0</v>
      </c>
    </row>
    <row r="300" spans="1:30" x14ac:dyDescent="0.25">
      <c r="A300" s="36">
        <v>2453</v>
      </c>
      <c r="B300" s="14" t="s">
        <v>4931</v>
      </c>
      <c r="C300" s="14" t="s">
        <v>4932</v>
      </c>
      <c r="D300" s="17">
        <v>44114</v>
      </c>
      <c r="E300" s="14" t="s">
        <v>30</v>
      </c>
      <c r="F300" s="14">
        <v>30</v>
      </c>
      <c r="G300" s="14">
        <v>8</v>
      </c>
      <c r="H300" s="14">
        <v>11</v>
      </c>
      <c r="I300" s="14">
        <v>6</v>
      </c>
      <c r="J300" s="14" t="s">
        <v>204</v>
      </c>
      <c r="K300" s="14" cm="1">
        <f t="array" ref="K300">INT(SUMPRODUCT(--ISNUMBER(SEARCH(economy,C300)))&gt;0)</f>
        <v>1</v>
      </c>
      <c r="L300" s="14" cm="1">
        <f t="array" ref="L300">INT(SUMPRODUCT(--ISNUMBER(SEARCH(healthcare,C300)))&gt;0)</f>
        <v>0</v>
      </c>
      <c r="M300" s="14" cm="1">
        <f t="array" ref="M300">INT(SUMPRODUCT(--ISNUMBER(SEARCH(supreme,C300)))&gt;0)</f>
        <v>0</v>
      </c>
      <c r="N300" s="14" cm="1">
        <f t="array" ref="N300">INT(SUMPRODUCT(--ISNUMBER(SEARCH(covid,C300)))&gt;0)</f>
        <v>1</v>
      </c>
      <c r="O300" s="14" cm="1">
        <f t="array" ref="O300">INT(SUMPRODUCT(--ISNUMBER(SEARCH(violent,C300)))&gt;0)</f>
        <v>0</v>
      </c>
      <c r="P300" s="14" cm="1">
        <f t="array" ref="P300">INT(SUMPRODUCT(--ISNUMBER(SEARCH(foreign,C300)))&gt;0)</f>
        <v>0</v>
      </c>
      <c r="Q300" s="14" cm="1">
        <f t="array" ref="Q300">INT(SUMPRODUCT(--ISNUMBER(SEARCH(gun,C300)))&gt;0)</f>
        <v>0</v>
      </c>
      <c r="R300" s="14" cm="1">
        <f t="array" ref="R300">INT(SUMPRODUCT(--ISNUMBER(SEARCH(race,C300)))&gt;0)</f>
        <v>0</v>
      </c>
      <c r="S300" s="14" cm="1">
        <f t="array" ref="S300">INT(SUMPRODUCT(--ISNUMBER(SEARCH(immigration,C300)))&gt;0)</f>
        <v>0</v>
      </c>
      <c r="T300" s="14" cm="1">
        <f t="array" ref="T300">INT(SUMPRODUCT(--ISNUMBER(SEARCH(econineq,C301)))&gt;0)</f>
        <v>0</v>
      </c>
      <c r="U300" s="14" cm="1">
        <f t="array" ref="U300">INT(SUMPRODUCT(--ISNUMBER(SEARCH(climate,C300)))&gt;0)</f>
        <v>0</v>
      </c>
      <c r="V300" s="14" cm="1">
        <f t="array" ref="V300">INT(SUMPRODUCT(--ISNUMBER(SEARCH(abortion,C300)))&gt;0)</f>
        <v>0</v>
      </c>
      <c r="W300" s="14" cm="1">
        <f t="array" ref="W300">INT(SUMPRODUCT(--ISNUMBER(SEARCH(trump,C300)))&gt;0)</f>
        <v>0</v>
      </c>
      <c r="X300" s="14" cm="1">
        <f t="array" ref="X300">INT(SUMPRODUCT(--ISNUMBER(SEARCH(voting,C300)))&gt;0)</f>
        <v>1</v>
      </c>
      <c r="Y300" s="14" cm="1">
        <f t="array" ref="Y300">INT(SUMPRODUCT(--ISNUMBER(SEARCH(democrattrigger,C300)))&gt;0)</f>
        <v>0</v>
      </c>
      <c r="Z300" s="14" cm="1">
        <f t="array" ref="Z300">INT(SUMPRODUCT(--ISNUMBER(SEARCH(bipartisan,C300)))&gt;0)</f>
        <v>0</v>
      </c>
      <c r="AA300" s="14">
        <f t="shared" si="4"/>
        <v>0</v>
      </c>
      <c r="AB300" s="14"/>
      <c r="AC300" s="30">
        <v>1</v>
      </c>
      <c r="AD300" s="37">
        <v>0</v>
      </c>
    </row>
    <row r="301" spans="1:30" x14ac:dyDescent="0.25">
      <c r="A301" s="36">
        <v>2454</v>
      </c>
      <c r="B301" s="14" t="s">
        <v>4933</v>
      </c>
      <c r="C301" s="14" t="s">
        <v>4934</v>
      </c>
      <c r="D301" s="17">
        <v>44114</v>
      </c>
      <c r="E301" s="14" t="s">
        <v>30</v>
      </c>
      <c r="F301" s="14">
        <v>194</v>
      </c>
      <c r="G301" s="14">
        <v>56</v>
      </c>
      <c r="H301" s="14">
        <v>11</v>
      </c>
      <c r="I301" s="14">
        <v>6</v>
      </c>
      <c r="J301" s="14" t="s">
        <v>204</v>
      </c>
      <c r="K301" s="14" cm="1">
        <f t="array" ref="K301">INT(SUMPRODUCT(--ISNUMBER(SEARCH(economy,C301)))&gt;0)</f>
        <v>0</v>
      </c>
      <c r="L301" s="14" cm="1">
        <f t="array" ref="L301">INT(SUMPRODUCT(--ISNUMBER(SEARCH(healthcare,C301)))&gt;0)</f>
        <v>0</v>
      </c>
      <c r="M301" s="14" cm="1">
        <f t="array" ref="M301">INT(SUMPRODUCT(--ISNUMBER(SEARCH(supreme,C301)))&gt;0)</f>
        <v>0</v>
      </c>
      <c r="N301" s="14" cm="1">
        <f t="array" ref="N301">INT(SUMPRODUCT(--ISNUMBER(SEARCH(covid,C301)))&gt;0)</f>
        <v>0</v>
      </c>
      <c r="O301" s="14" cm="1">
        <f t="array" ref="O301">INT(SUMPRODUCT(--ISNUMBER(SEARCH(violent,C301)))&gt;0)</f>
        <v>0</v>
      </c>
      <c r="P301" s="14" cm="1">
        <f t="array" ref="P301">INT(SUMPRODUCT(--ISNUMBER(SEARCH(foreign,C301)))&gt;0)</f>
        <v>0</v>
      </c>
      <c r="Q301" s="14" cm="1">
        <f t="array" ref="Q301">INT(SUMPRODUCT(--ISNUMBER(SEARCH(gun,C301)))&gt;0)</f>
        <v>0</v>
      </c>
      <c r="R301" s="14" cm="1">
        <f t="array" ref="R301">INT(SUMPRODUCT(--ISNUMBER(SEARCH(race,C301)))&gt;0)</f>
        <v>0</v>
      </c>
      <c r="S301" s="14" cm="1">
        <f t="array" ref="S301">INT(SUMPRODUCT(--ISNUMBER(SEARCH(immigration,C301)))&gt;0)</f>
        <v>0</v>
      </c>
      <c r="T301" s="14" cm="1">
        <f t="array" ref="T301">INT(SUMPRODUCT(--ISNUMBER(SEARCH(econineq,C302)))&gt;0)</f>
        <v>0</v>
      </c>
      <c r="U301" s="14" cm="1">
        <f t="array" ref="U301">INT(SUMPRODUCT(--ISNUMBER(SEARCH(climate,C301)))&gt;0)</f>
        <v>0</v>
      </c>
      <c r="V301" s="14" cm="1">
        <f t="array" ref="V301">INT(SUMPRODUCT(--ISNUMBER(SEARCH(abortion,C301)))&gt;0)</f>
        <v>0</v>
      </c>
      <c r="W301" s="14" cm="1">
        <f t="array" ref="W301">INT(SUMPRODUCT(--ISNUMBER(SEARCH(trump,C301)))&gt;0)</f>
        <v>0</v>
      </c>
      <c r="X301" s="14" cm="1">
        <f t="array" ref="X301">INT(SUMPRODUCT(--ISNUMBER(SEARCH(voting,C301)))&gt;0)</f>
        <v>0</v>
      </c>
      <c r="Y301" s="14" cm="1">
        <f t="array" ref="Y301">INT(SUMPRODUCT(--ISNUMBER(SEARCH(democrattrigger,C301)))&gt;0)</f>
        <v>0</v>
      </c>
      <c r="Z301" s="14" cm="1">
        <f t="array" ref="Z301">INT(SUMPRODUCT(--ISNUMBER(SEARCH(bipartisan,C301)))&gt;0)</f>
        <v>0</v>
      </c>
      <c r="AA301" s="14">
        <f t="shared" si="4"/>
        <v>1</v>
      </c>
      <c r="AB301" s="14"/>
      <c r="AC301" s="30">
        <v>0</v>
      </c>
      <c r="AD301" s="37">
        <v>1</v>
      </c>
    </row>
    <row r="302" spans="1:30" x14ac:dyDescent="0.25">
      <c r="A302" s="36">
        <v>2455</v>
      </c>
      <c r="B302" s="14" t="s">
        <v>4935</v>
      </c>
      <c r="C302" s="14" t="s">
        <v>4936</v>
      </c>
      <c r="D302" s="17">
        <v>44114</v>
      </c>
      <c r="E302" s="14" t="s">
        <v>30</v>
      </c>
      <c r="F302" s="14">
        <v>51</v>
      </c>
      <c r="G302" s="14">
        <v>11</v>
      </c>
      <c r="H302" s="14">
        <v>11</v>
      </c>
      <c r="I302" s="14">
        <v>6</v>
      </c>
      <c r="J302" s="14" t="s">
        <v>204</v>
      </c>
      <c r="K302" s="14" cm="1">
        <f t="array" ref="K302">INT(SUMPRODUCT(--ISNUMBER(SEARCH(economy,C302)))&gt;0)</f>
        <v>0</v>
      </c>
      <c r="L302" s="14" cm="1">
        <f t="array" ref="L302">INT(SUMPRODUCT(--ISNUMBER(SEARCH(healthcare,C302)))&gt;0)</f>
        <v>0</v>
      </c>
      <c r="M302" s="14" cm="1">
        <f t="array" ref="M302">INT(SUMPRODUCT(--ISNUMBER(SEARCH(supreme,C302)))&gt;0)</f>
        <v>0</v>
      </c>
      <c r="N302" s="14" cm="1">
        <f t="array" ref="N302">INT(SUMPRODUCT(--ISNUMBER(SEARCH(covid,C302)))&gt;0)</f>
        <v>0</v>
      </c>
      <c r="O302" s="14" cm="1">
        <f t="array" ref="O302">INT(SUMPRODUCT(--ISNUMBER(SEARCH(violent,C302)))&gt;0)</f>
        <v>0</v>
      </c>
      <c r="P302" s="14" cm="1">
        <f t="array" ref="P302">INT(SUMPRODUCT(--ISNUMBER(SEARCH(foreign,C302)))&gt;0)</f>
        <v>0</v>
      </c>
      <c r="Q302" s="14" cm="1">
        <f t="array" ref="Q302">INT(SUMPRODUCT(--ISNUMBER(SEARCH(gun,C302)))&gt;0)</f>
        <v>0</v>
      </c>
      <c r="R302" s="14" cm="1">
        <f t="array" ref="R302">INT(SUMPRODUCT(--ISNUMBER(SEARCH(race,C302)))&gt;0)</f>
        <v>0</v>
      </c>
      <c r="S302" s="14" cm="1">
        <f t="array" ref="S302">INT(SUMPRODUCT(--ISNUMBER(SEARCH(immigration,C302)))&gt;0)</f>
        <v>0</v>
      </c>
      <c r="T302" s="14" cm="1">
        <f t="array" ref="T302">INT(SUMPRODUCT(--ISNUMBER(SEARCH(econineq,C303)))&gt;0)</f>
        <v>0</v>
      </c>
      <c r="U302" s="14" cm="1">
        <f t="array" ref="U302">INT(SUMPRODUCT(--ISNUMBER(SEARCH(climate,C302)))&gt;0)</f>
        <v>0</v>
      </c>
      <c r="V302" s="14" cm="1">
        <f t="array" ref="V302">INT(SUMPRODUCT(--ISNUMBER(SEARCH(abortion,C302)))&gt;0)</f>
        <v>0</v>
      </c>
      <c r="W302" s="14" cm="1">
        <f t="array" ref="W302">INT(SUMPRODUCT(--ISNUMBER(SEARCH(trump,C302)))&gt;0)</f>
        <v>0</v>
      </c>
      <c r="X302" s="14" cm="1">
        <f t="array" ref="X302">INT(SUMPRODUCT(--ISNUMBER(SEARCH(voting,C302)))&gt;0)</f>
        <v>1</v>
      </c>
      <c r="Y302" s="14" cm="1">
        <f t="array" ref="Y302">INT(SUMPRODUCT(--ISNUMBER(SEARCH(democrattrigger,C302)))&gt;0)</f>
        <v>0</v>
      </c>
      <c r="Z302" s="14" cm="1">
        <f t="array" ref="Z302">INT(SUMPRODUCT(--ISNUMBER(SEARCH(bipartisan,C302)))&gt;0)</f>
        <v>0</v>
      </c>
      <c r="AA302" s="14">
        <f t="shared" si="4"/>
        <v>0</v>
      </c>
      <c r="AB302" s="14"/>
      <c r="AC302" s="30" t="s">
        <v>223</v>
      </c>
      <c r="AD302" s="37" t="s">
        <v>223</v>
      </c>
    </row>
    <row r="303" spans="1:30" x14ac:dyDescent="0.25">
      <c r="A303" s="36">
        <v>2456</v>
      </c>
      <c r="B303" s="14" t="s">
        <v>4937</v>
      </c>
      <c r="C303" s="14" t="s">
        <v>4938</v>
      </c>
      <c r="D303" s="17">
        <v>44114</v>
      </c>
      <c r="E303" s="14" t="s">
        <v>30</v>
      </c>
      <c r="F303" s="14">
        <v>275</v>
      </c>
      <c r="G303" s="14">
        <v>47</v>
      </c>
      <c r="H303" s="14">
        <v>11</v>
      </c>
      <c r="I303" s="14">
        <v>6</v>
      </c>
      <c r="J303" s="14" t="s">
        <v>204</v>
      </c>
      <c r="K303" s="14" cm="1">
        <f t="array" ref="K303">INT(SUMPRODUCT(--ISNUMBER(SEARCH(economy,C303)))&gt;0)</f>
        <v>0</v>
      </c>
      <c r="L303" s="14" cm="1">
        <f t="array" ref="L303">INT(SUMPRODUCT(--ISNUMBER(SEARCH(healthcare,C303)))&gt;0)</f>
        <v>0</v>
      </c>
      <c r="M303" s="14" cm="1">
        <f t="array" ref="M303">INT(SUMPRODUCT(--ISNUMBER(SEARCH(supreme,C303)))&gt;0)</f>
        <v>0</v>
      </c>
      <c r="N303" s="14" cm="1">
        <f t="array" ref="N303">INT(SUMPRODUCT(--ISNUMBER(SEARCH(covid,C303)))&gt;0)</f>
        <v>0</v>
      </c>
      <c r="O303" s="14" cm="1">
        <f t="array" ref="O303">INT(SUMPRODUCT(--ISNUMBER(SEARCH(violent,C303)))&gt;0)</f>
        <v>1</v>
      </c>
      <c r="P303" s="14" cm="1">
        <f t="array" ref="P303">INT(SUMPRODUCT(--ISNUMBER(SEARCH(foreign,C303)))&gt;0)</f>
        <v>0</v>
      </c>
      <c r="Q303" s="14" cm="1">
        <f t="array" ref="Q303">INT(SUMPRODUCT(--ISNUMBER(SEARCH(gun,C303)))&gt;0)</f>
        <v>1</v>
      </c>
      <c r="R303" s="14" cm="1">
        <f t="array" ref="R303">INT(SUMPRODUCT(--ISNUMBER(SEARCH(race,C303)))&gt;0)</f>
        <v>0</v>
      </c>
      <c r="S303" s="14" cm="1">
        <f t="array" ref="S303">INT(SUMPRODUCT(--ISNUMBER(SEARCH(immigration,C303)))&gt;0)</f>
        <v>0</v>
      </c>
      <c r="T303" s="14" cm="1">
        <f t="array" ref="T303">INT(SUMPRODUCT(--ISNUMBER(SEARCH(econineq,C304)))&gt;0)</f>
        <v>0</v>
      </c>
      <c r="U303" s="14" cm="1">
        <f t="array" ref="U303">INT(SUMPRODUCT(--ISNUMBER(SEARCH(climate,C303)))&gt;0)</f>
        <v>0</v>
      </c>
      <c r="V303" s="14" cm="1">
        <f t="array" ref="V303">INT(SUMPRODUCT(--ISNUMBER(SEARCH(abortion,C303)))&gt;0)</f>
        <v>0</v>
      </c>
      <c r="W303" s="14" cm="1">
        <f t="array" ref="W303">INT(SUMPRODUCT(--ISNUMBER(SEARCH(trump,C303)))&gt;0)</f>
        <v>0</v>
      </c>
      <c r="X303" s="14" cm="1">
        <f t="array" ref="X303">INT(SUMPRODUCT(--ISNUMBER(SEARCH(voting,C303)))&gt;0)</f>
        <v>1</v>
      </c>
      <c r="Y303" s="14" cm="1">
        <f t="array" ref="Y303">INT(SUMPRODUCT(--ISNUMBER(SEARCH(democrattrigger,C303)))&gt;0)</f>
        <v>0</v>
      </c>
      <c r="Z303" s="14" cm="1">
        <f t="array" ref="Z303">INT(SUMPRODUCT(--ISNUMBER(SEARCH(bipartisan,C303)))&gt;0)</f>
        <v>0</v>
      </c>
      <c r="AA303" s="14">
        <f t="shared" si="4"/>
        <v>0</v>
      </c>
      <c r="AB303" s="14"/>
      <c r="AC303" s="30">
        <v>1</v>
      </c>
      <c r="AD303" s="37">
        <v>0</v>
      </c>
    </row>
    <row r="304" spans="1:30" x14ac:dyDescent="0.25">
      <c r="A304" s="36">
        <v>2457</v>
      </c>
      <c r="B304" s="14" t="s">
        <v>4939</v>
      </c>
      <c r="C304" s="14" t="s">
        <v>4940</v>
      </c>
      <c r="D304" s="17">
        <v>44113</v>
      </c>
      <c r="E304" s="14" t="s">
        <v>30</v>
      </c>
      <c r="F304" s="14">
        <v>78</v>
      </c>
      <c r="G304" s="14">
        <v>15</v>
      </c>
      <c r="H304" s="14">
        <v>11</v>
      </c>
      <c r="I304" s="14">
        <v>6</v>
      </c>
      <c r="J304" s="14" t="s">
        <v>204</v>
      </c>
      <c r="K304" s="14" cm="1">
        <f t="array" ref="K304">INT(SUMPRODUCT(--ISNUMBER(SEARCH(economy,C304)))&gt;0)</f>
        <v>0</v>
      </c>
      <c r="L304" s="14" cm="1">
        <f t="array" ref="L304">INT(SUMPRODUCT(--ISNUMBER(SEARCH(healthcare,C304)))&gt;0)</f>
        <v>0</v>
      </c>
      <c r="M304" s="14" cm="1">
        <f t="array" ref="M304">INT(SUMPRODUCT(--ISNUMBER(SEARCH(supreme,C304)))&gt;0)</f>
        <v>0</v>
      </c>
      <c r="N304" s="14" cm="1">
        <f t="array" ref="N304">INT(SUMPRODUCT(--ISNUMBER(SEARCH(covid,C304)))&gt;0)</f>
        <v>0</v>
      </c>
      <c r="O304" s="14" cm="1">
        <f t="array" ref="O304">INT(SUMPRODUCT(--ISNUMBER(SEARCH(violent,C304)))&gt;0)</f>
        <v>0</v>
      </c>
      <c r="P304" s="14" cm="1">
        <f t="array" ref="P304">INT(SUMPRODUCT(--ISNUMBER(SEARCH(foreign,C304)))&gt;0)</f>
        <v>1</v>
      </c>
      <c r="Q304" s="14" cm="1">
        <f t="array" ref="Q304">INT(SUMPRODUCT(--ISNUMBER(SEARCH(gun,C304)))&gt;0)</f>
        <v>0</v>
      </c>
      <c r="R304" s="14" cm="1">
        <f t="array" ref="R304">INT(SUMPRODUCT(--ISNUMBER(SEARCH(race,C304)))&gt;0)</f>
        <v>0</v>
      </c>
      <c r="S304" s="14" cm="1">
        <f t="array" ref="S304">INT(SUMPRODUCT(--ISNUMBER(SEARCH(immigration,C304)))&gt;0)</f>
        <v>0</v>
      </c>
      <c r="T304" s="14" cm="1">
        <f t="array" ref="T304">INT(SUMPRODUCT(--ISNUMBER(SEARCH(econineq,C305)))&gt;0)</f>
        <v>0</v>
      </c>
      <c r="U304" s="14" cm="1">
        <f t="array" ref="U304">INT(SUMPRODUCT(--ISNUMBER(SEARCH(climate,C304)))&gt;0)</f>
        <v>0</v>
      </c>
      <c r="V304" s="14" cm="1">
        <f t="array" ref="V304">INT(SUMPRODUCT(--ISNUMBER(SEARCH(abortion,C304)))&gt;0)</f>
        <v>0</v>
      </c>
      <c r="W304" s="14" cm="1">
        <f t="array" ref="W304">INT(SUMPRODUCT(--ISNUMBER(SEARCH(trump,C304)))&gt;0)</f>
        <v>0</v>
      </c>
      <c r="X304" s="14" cm="1">
        <f t="array" ref="X304">INT(SUMPRODUCT(--ISNUMBER(SEARCH(voting,C304)))&gt;0)</f>
        <v>1</v>
      </c>
      <c r="Y304" s="14" cm="1">
        <f t="array" ref="Y304">INT(SUMPRODUCT(--ISNUMBER(SEARCH(democrattrigger,C304)))&gt;0)</f>
        <v>0</v>
      </c>
      <c r="Z304" s="14" cm="1">
        <f t="array" ref="Z304">INT(SUMPRODUCT(--ISNUMBER(SEARCH(bipartisan,C304)))&gt;0)</f>
        <v>0</v>
      </c>
      <c r="AA304" s="14">
        <f t="shared" si="4"/>
        <v>0</v>
      </c>
      <c r="AB304" s="14"/>
      <c r="AC304" s="30">
        <v>1</v>
      </c>
      <c r="AD304" s="37">
        <v>0</v>
      </c>
    </row>
    <row r="305" spans="1:30" x14ac:dyDescent="0.25">
      <c r="A305" s="36">
        <v>2458</v>
      </c>
      <c r="B305" s="14" t="s">
        <v>4941</v>
      </c>
      <c r="C305" s="14" t="s">
        <v>4942</v>
      </c>
      <c r="D305" s="17">
        <v>44113</v>
      </c>
      <c r="E305" s="14" t="s">
        <v>30</v>
      </c>
      <c r="F305" s="14">
        <v>84</v>
      </c>
      <c r="G305" s="14">
        <v>13</v>
      </c>
      <c r="H305" s="14">
        <v>11</v>
      </c>
      <c r="I305" s="14">
        <v>6</v>
      </c>
      <c r="J305" s="14" t="s">
        <v>204</v>
      </c>
      <c r="K305" s="14" cm="1">
        <f t="array" ref="K305">INT(SUMPRODUCT(--ISNUMBER(SEARCH(economy,C305)))&gt;0)</f>
        <v>0</v>
      </c>
      <c r="L305" s="14" cm="1">
        <f t="array" ref="L305">INT(SUMPRODUCT(--ISNUMBER(SEARCH(healthcare,C305)))&gt;0)</f>
        <v>0</v>
      </c>
      <c r="M305" s="14" cm="1">
        <f t="array" ref="M305">INT(SUMPRODUCT(--ISNUMBER(SEARCH(supreme,C305)))&gt;0)</f>
        <v>0</v>
      </c>
      <c r="N305" s="14" cm="1">
        <f t="array" ref="N305">INT(SUMPRODUCT(--ISNUMBER(SEARCH(covid,C305)))&gt;0)</f>
        <v>1</v>
      </c>
      <c r="O305" s="14" cm="1">
        <f t="array" ref="O305">INT(SUMPRODUCT(--ISNUMBER(SEARCH(violent,C305)))&gt;0)</f>
        <v>0</v>
      </c>
      <c r="P305" s="14" cm="1">
        <f t="array" ref="P305">INT(SUMPRODUCT(--ISNUMBER(SEARCH(foreign,C305)))&gt;0)</f>
        <v>0</v>
      </c>
      <c r="Q305" s="14" cm="1">
        <f t="array" ref="Q305">INT(SUMPRODUCT(--ISNUMBER(SEARCH(gun,C305)))&gt;0)</f>
        <v>0</v>
      </c>
      <c r="R305" s="14" cm="1">
        <f t="array" ref="R305">INT(SUMPRODUCT(--ISNUMBER(SEARCH(race,C305)))&gt;0)</f>
        <v>0</v>
      </c>
      <c r="S305" s="14" cm="1">
        <f t="array" ref="S305">INT(SUMPRODUCT(--ISNUMBER(SEARCH(immigration,C305)))&gt;0)</f>
        <v>0</v>
      </c>
      <c r="T305" s="14" cm="1">
        <f t="array" ref="T305">INT(SUMPRODUCT(--ISNUMBER(SEARCH(econineq,C306)))&gt;0)</f>
        <v>0</v>
      </c>
      <c r="U305" s="14" cm="1">
        <f t="array" ref="U305">INT(SUMPRODUCT(--ISNUMBER(SEARCH(climate,C305)))&gt;0)</f>
        <v>0</v>
      </c>
      <c r="V305" s="14" cm="1">
        <f t="array" ref="V305">INT(SUMPRODUCT(--ISNUMBER(SEARCH(abortion,C305)))&gt;0)</f>
        <v>0</v>
      </c>
      <c r="W305" s="14" cm="1">
        <f t="array" ref="W305">INT(SUMPRODUCT(--ISNUMBER(SEARCH(trump,C305)))&gt;0)</f>
        <v>0</v>
      </c>
      <c r="X305" s="14" cm="1">
        <f t="array" ref="X305">INT(SUMPRODUCT(--ISNUMBER(SEARCH(voting,C305)))&gt;0)</f>
        <v>0</v>
      </c>
      <c r="Y305" s="14" cm="1">
        <f t="array" ref="Y305">INT(SUMPRODUCT(--ISNUMBER(SEARCH(democrattrigger,C305)))&gt;0)</f>
        <v>0</v>
      </c>
      <c r="Z305" s="14" cm="1">
        <f t="array" ref="Z305">INT(SUMPRODUCT(--ISNUMBER(SEARCH(bipartisan,C305)))&gt;0)</f>
        <v>1</v>
      </c>
      <c r="AA305" s="14">
        <f t="shared" si="4"/>
        <v>0</v>
      </c>
      <c r="AB305" s="14"/>
      <c r="AC305" s="30" t="s">
        <v>223</v>
      </c>
      <c r="AD305" s="37" t="s">
        <v>223</v>
      </c>
    </row>
    <row r="306" spans="1:30" x14ac:dyDescent="0.25">
      <c r="A306" s="36">
        <v>2459</v>
      </c>
      <c r="B306" s="14" t="s">
        <v>4943</v>
      </c>
      <c r="C306" s="14" t="s">
        <v>4944</v>
      </c>
      <c r="D306" s="17">
        <v>44113</v>
      </c>
      <c r="E306" s="14" t="s">
        <v>30</v>
      </c>
      <c r="F306" s="14">
        <v>85</v>
      </c>
      <c r="G306" s="14">
        <v>17</v>
      </c>
      <c r="H306" s="14">
        <v>11</v>
      </c>
      <c r="I306" s="14">
        <v>6</v>
      </c>
      <c r="J306" s="14" t="s">
        <v>204</v>
      </c>
      <c r="K306" s="14" cm="1">
        <f t="array" ref="K306">INT(SUMPRODUCT(--ISNUMBER(SEARCH(economy,C306)))&gt;0)</f>
        <v>0</v>
      </c>
      <c r="L306" s="14" cm="1">
        <f t="array" ref="L306">INT(SUMPRODUCT(--ISNUMBER(SEARCH(healthcare,C306)))&gt;0)</f>
        <v>0</v>
      </c>
      <c r="M306" s="14" cm="1">
        <f t="array" ref="M306">INT(SUMPRODUCT(--ISNUMBER(SEARCH(supreme,C306)))&gt;0)</f>
        <v>0</v>
      </c>
      <c r="N306" s="14" cm="1">
        <f t="array" ref="N306">INT(SUMPRODUCT(--ISNUMBER(SEARCH(covid,C306)))&gt;0)</f>
        <v>0</v>
      </c>
      <c r="O306" s="14" cm="1">
        <f t="array" ref="O306">INT(SUMPRODUCT(--ISNUMBER(SEARCH(violent,C306)))&gt;0)</f>
        <v>0</v>
      </c>
      <c r="P306" s="14" cm="1">
        <f t="array" ref="P306">INT(SUMPRODUCT(--ISNUMBER(SEARCH(foreign,C306)))&gt;0)</f>
        <v>1</v>
      </c>
      <c r="Q306" s="14" cm="1">
        <f t="array" ref="Q306">INT(SUMPRODUCT(--ISNUMBER(SEARCH(gun,C306)))&gt;0)</f>
        <v>0</v>
      </c>
      <c r="R306" s="14" cm="1">
        <f t="array" ref="R306">INT(SUMPRODUCT(--ISNUMBER(SEARCH(race,C306)))&gt;0)</f>
        <v>0</v>
      </c>
      <c r="S306" s="14" cm="1">
        <f t="array" ref="S306">INT(SUMPRODUCT(--ISNUMBER(SEARCH(immigration,C306)))&gt;0)</f>
        <v>0</v>
      </c>
      <c r="T306" s="14" cm="1">
        <f t="array" ref="T306">INT(SUMPRODUCT(--ISNUMBER(SEARCH(econineq,C307)))&gt;0)</f>
        <v>0</v>
      </c>
      <c r="U306" s="14" cm="1">
        <f t="array" ref="U306">INT(SUMPRODUCT(--ISNUMBER(SEARCH(climate,C306)))&gt;0)</f>
        <v>0</v>
      </c>
      <c r="V306" s="14" cm="1">
        <f t="array" ref="V306">INT(SUMPRODUCT(--ISNUMBER(SEARCH(abortion,C306)))&gt;0)</f>
        <v>0</v>
      </c>
      <c r="W306" s="14" cm="1">
        <f t="array" ref="W306">INT(SUMPRODUCT(--ISNUMBER(SEARCH(trump,C306)))&gt;0)</f>
        <v>1</v>
      </c>
      <c r="X306" s="14" cm="1">
        <f t="array" ref="X306">INT(SUMPRODUCT(--ISNUMBER(SEARCH(voting,C306)))&gt;0)</f>
        <v>1</v>
      </c>
      <c r="Y306" s="14" cm="1">
        <f t="array" ref="Y306">INT(SUMPRODUCT(--ISNUMBER(SEARCH(democrattrigger,C306)))&gt;0)</f>
        <v>1</v>
      </c>
      <c r="Z306" s="14" cm="1">
        <f t="array" ref="Z306">INT(SUMPRODUCT(--ISNUMBER(SEARCH(bipartisan,C306)))&gt;0)</f>
        <v>0</v>
      </c>
      <c r="AA306" s="14">
        <f t="shared" si="4"/>
        <v>0</v>
      </c>
      <c r="AB306" s="14"/>
      <c r="AC306" s="30" t="s">
        <v>223</v>
      </c>
      <c r="AD306" s="37" t="s">
        <v>223</v>
      </c>
    </row>
    <row r="307" spans="1:30" x14ac:dyDescent="0.25">
      <c r="A307" s="36">
        <v>2460</v>
      </c>
      <c r="B307" s="14" t="s">
        <v>4945</v>
      </c>
      <c r="C307" s="14" t="s">
        <v>4946</v>
      </c>
      <c r="D307" s="17">
        <v>44113</v>
      </c>
      <c r="E307" s="14" t="s">
        <v>30</v>
      </c>
      <c r="F307" s="14">
        <v>63</v>
      </c>
      <c r="G307" s="14">
        <v>11</v>
      </c>
      <c r="H307" s="14">
        <v>11</v>
      </c>
      <c r="I307" s="14">
        <v>6</v>
      </c>
      <c r="J307" s="14" t="s">
        <v>204</v>
      </c>
      <c r="K307" s="14" cm="1">
        <f t="array" ref="K307">INT(SUMPRODUCT(--ISNUMBER(SEARCH(economy,C307)))&gt;0)</f>
        <v>0</v>
      </c>
      <c r="L307" s="14" cm="1">
        <f t="array" ref="L307">INT(SUMPRODUCT(--ISNUMBER(SEARCH(healthcare,C307)))&gt;0)</f>
        <v>0</v>
      </c>
      <c r="M307" s="14" cm="1">
        <f t="array" ref="M307">INT(SUMPRODUCT(--ISNUMBER(SEARCH(supreme,C307)))&gt;0)</f>
        <v>0</v>
      </c>
      <c r="N307" s="14" cm="1">
        <f t="array" ref="N307">INT(SUMPRODUCT(--ISNUMBER(SEARCH(covid,C307)))&gt;0)</f>
        <v>0</v>
      </c>
      <c r="O307" s="14" cm="1">
        <f t="array" ref="O307">INT(SUMPRODUCT(--ISNUMBER(SEARCH(violent,C307)))&gt;0)</f>
        <v>0</v>
      </c>
      <c r="P307" s="14" cm="1">
        <f t="array" ref="P307">INT(SUMPRODUCT(--ISNUMBER(SEARCH(foreign,C307)))&gt;0)</f>
        <v>0</v>
      </c>
      <c r="Q307" s="14" cm="1">
        <f t="array" ref="Q307">INT(SUMPRODUCT(--ISNUMBER(SEARCH(gun,C307)))&gt;0)</f>
        <v>0</v>
      </c>
      <c r="R307" s="14" cm="1">
        <f t="array" ref="R307">INT(SUMPRODUCT(--ISNUMBER(SEARCH(race,C307)))&gt;0)</f>
        <v>0</v>
      </c>
      <c r="S307" s="14" cm="1">
        <f t="array" ref="S307">INT(SUMPRODUCT(--ISNUMBER(SEARCH(immigration,C307)))&gt;0)</f>
        <v>0</v>
      </c>
      <c r="T307" s="14" cm="1">
        <f t="array" ref="T307">INT(SUMPRODUCT(--ISNUMBER(SEARCH(econineq,C308)))&gt;0)</f>
        <v>0</v>
      </c>
      <c r="U307" s="14" cm="1">
        <f t="array" ref="U307">INT(SUMPRODUCT(--ISNUMBER(SEARCH(climate,C307)))&gt;0)</f>
        <v>0</v>
      </c>
      <c r="V307" s="14" cm="1">
        <f t="array" ref="V307">INT(SUMPRODUCT(--ISNUMBER(SEARCH(abortion,C307)))&gt;0)</f>
        <v>0</v>
      </c>
      <c r="W307" s="14" cm="1">
        <f t="array" ref="W307">INT(SUMPRODUCT(--ISNUMBER(SEARCH(trump,C307)))&gt;0)</f>
        <v>0</v>
      </c>
      <c r="X307" s="14" cm="1">
        <f t="array" ref="X307">INT(SUMPRODUCT(--ISNUMBER(SEARCH(voting,C307)))&gt;0)</f>
        <v>0</v>
      </c>
      <c r="Y307" s="14" cm="1">
        <f t="array" ref="Y307">INT(SUMPRODUCT(--ISNUMBER(SEARCH(democrattrigger,C307)))&gt;0)</f>
        <v>0</v>
      </c>
      <c r="Z307" s="14" cm="1">
        <f t="array" ref="Z307">INT(SUMPRODUCT(--ISNUMBER(SEARCH(bipartisan,C307)))&gt;0)</f>
        <v>0</v>
      </c>
      <c r="AA307" s="14">
        <f t="shared" si="4"/>
        <v>1</v>
      </c>
      <c r="AB307" s="14"/>
      <c r="AC307" s="30" t="s">
        <v>223</v>
      </c>
      <c r="AD307" s="37" t="s">
        <v>223</v>
      </c>
    </row>
    <row r="308" spans="1:30" x14ac:dyDescent="0.25">
      <c r="A308" s="36">
        <v>2461</v>
      </c>
      <c r="B308" s="14" t="s">
        <v>4947</v>
      </c>
      <c r="C308" s="14" t="s">
        <v>4948</v>
      </c>
      <c r="D308" s="17">
        <v>44113</v>
      </c>
      <c r="E308" s="14" t="s">
        <v>30</v>
      </c>
      <c r="F308" s="14">
        <v>104</v>
      </c>
      <c r="G308" s="14">
        <v>25</v>
      </c>
      <c r="H308" s="14">
        <v>11</v>
      </c>
      <c r="I308" s="14">
        <v>6</v>
      </c>
      <c r="J308" s="14" t="s">
        <v>204</v>
      </c>
      <c r="K308" s="14" cm="1">
        <f t="array" ref="K308">INT(SUMPRODUCT(--ISNUMBER(SEARCH(economy,C308)))&gt;0)</f>
        <v>0</v>
      </c>
      <c r="L308" s="14" cm="1">
        <f t="array" ref="L308">INT(SUMPRODUCT(--ISNUMBER(SEARCH(healthcare,C308)))&gt;0)</f>
        <v>0</v>
      </c>
      <c r="M308" s="14" cm="1">
        <f t="array" ref="M308">INT(SUMPRODUCT(--ISNUMBER(SEARCH(supreme,C308)))&gt;0)</f>
        <v>0</v>
      </c>
      <c r="N308" s="14" cm="1">
        <f t="array" ref="N308">INT(SUMPRODUCT(--ISNUMBER(SEARCH(covid,C308)))&gt;0)</f>
        <v>1</v>
      </c>
      <c r="O308" s="14" cm="1">
        <f t="array" ref="O308">INT(SUMPRODUCT(--ISNUMBER(SEARCH(violent,C308)))&gt;0)</f>
        <v>0</v>
      </c>
      <c r="P308" s="14" cm="1">
        <f t="array" ref="P308">INT(SUMPRODUCT(--ISNUMBER(SEARCH(foreign,C308)))&gt;0)</f>
        <v>0</v>
      </c>
      <c r="Q308" s="14" cm="1">
        <f t="array" ref="Q308">INT(SUMPRODUCT(--ISNUMBER(SEARCH(gun,C308)))&gt;0)</f>
        <v>0</v>
      </c>
      <c r="R308" s="14" cm="1">
        <f t="array" ref="R308">INT(SUMPRODUCT(--ISNUMBER(SEARCH(race,C308)))&gt;0)</f>
        <v>0</v>
      </c>
      <c r="S308" s="14" cm="1">
        <f t="array" ref="S308">INT(SUMPRODUCT(--ISNUMBER(SEARCH(immigration,C308)))&gt;0)</f>
        <v>0</v>
      </c>
      <c r="T308" s="14" cm="1">
        <f t="array" ref="T308">INT(SUMPRODUCT(--ISNUMBER(SEARCH(econineq,C309)))&gt;0)</f>
        <v>0</v>
      </c>
      <c r="U308" s="14" cm="1">
        <f t="array" ref="U308">INT(SUMPRODUCT(--ISNUMBER(SEARCH(climate,C308)))&gt;0)</f>
        <v>0</v>
      </c>
      <c r="V308" s="14" cm="1">
        <f t="array" ref="V308">INT(SUMPRODUCT(--ISNUMBER(SEARCH(abortion,C308)))&gt;0)</f>
        <v>0</v>
      </c>
      <c r="W308" s="14" cm="1">
        <f t="array" ref="W308">INT(SUMPRODUCT(--ISNUMBER(SEARCH(trump,C308)))&gt;0)</f>
        <v>0</v>
      </c>
      <c r="X308" s="14" cm="1">
        <f t="array" ref="X308">INT(SUMPRODUCT(--ISNUMBER(SEARCH(voting,C308)))&gt;0)</f>
        <v>0</v>
      </c>
      <c r="Y308" s="14" cm="1">
        <f t="array" ref="Y308">INT(SUMPRODUCT(--ISNUMBER(SEARCH(democrattrigger,C308)))&gt;0)</f>
        <v>0</v>
      </c>
      <c r="Z308" s="14" cm="1">
        <f t="array" ref="Z308">INT(SUMPRODUCT(--ISNUMBER(SEARCH(bipartisan,C308)))&gt;0)</f>
        <v>0</v>
      </c>
      <c r="AA308" s="14">
        <f t="shared" si="4"/>
        <v>0</v>
      </c>
      <c r="AB308" s="14"/>
      <c r="AC308" s="30">
        <v>0</v>
      </c>
      <c r="AD308" s="37">
        <v>1</v>
      </c>
    </row>
    <row r="309" spans="1:30" x14ac:dyDescent="0.25">
      <c r="A309" s="36">
        <v>2462</v>
      </c>
      <c r="B309" s="14" t="s">
        <v>4949</v>
      </c>
      <c r="C309" s="14" t="s">
        <v>4950</v>
      </c>
      <c r="D309" s="17">
        <v>44113</v>
      </c>
      <c r="E309" s="14" t="s">
        <v>30</v>
      </c>
      <c r="F309" s="14">
        <v>47</v>
      </c>
      <c r="G309" s="14">
        <v>10</v>
      </c>
      <c r="H309" s="14">
        <v>11</v>
      </c>
      <c r="I309" s="14">
        <v>6</v>
      </c>
      <c r="J309" s="14" t="s">
        <v>204</v>
      </c>
      <c r="K309" s="14" cm="1">
        <f t="array" ref="K309">INT(SUMPRODUCT(--ISNUMBER(SEARCH(economy,C309)))&gt;0)</f>
        <v>0</v>
      </c>
      <c r="L309" s="14" cm="1">
        <f t="array" ref="L309">INT(SUMPRODUCT(--ISNUMBER(SEARCH(healthcare,C309)))&gt;0)</f>
        <v>0</v>
      </c>
      <c r="M309" s="14" cm="1">
        <f t="array" ref="M309">INT(SUMPRODUCT(--ISNUMBER(SEARCH(supreme,C309)))&gt;0)</f>
        <v>0</v>
      </c>
      <c r="N309" s="14" cm="1">
        <f t="array" ref="N309">INT(SUMPRODUCT(--ISNUMBER(SEARCH(covid,C309)))&gt;0)</f>
        <v>0</v>
      </c>
      <c r="O309" s="14" cm="1">
        <f t="array" ref="O309">INT(SUMPRODUCT(--ISNUMBER(SEARCH(violent,C309)))&gt;0)</f>
        <v>0</v>
      </c>
      <c r="P309" s="14" cm="1">
        <f t="array" ref="P309">INT(SUMPRODUCT(--ISNUMBER(SEARCH(foreign,C309)))&gt;0)</f>
        <v>0</v>
      </c>
      <c r="Q309" s="14" cm="1">
        <f t="array" ref="Q309">INT(SUMPRODUCT(--ISNUMBER(SEARCH(gun,C309)))&gt;0)</f>
        <v>0</v>
      </c>
      <c r="R309" s="14" cm="1">
        <f t="array" ref="R309">INT(SUMPRODUCT(--ISNUMBER(SEARCH(race,C309)))&gt;0)</f>
        <v>0</v>
      </c>
      <c r="S309" s="14" cm="1">
        <f t="array" ref="S309">INT(SUMPRODUCT(--ISNUMBER(SEARCH(immigration,C309)))&gt;0)</f>
        <v>0</v>
      </c>
      <c r="T309" s="14" cm="1">
        <f t="array" ref="T309">INT(SUMPRODUCT(--ISNUMBER(SEARCH(econineq,C310)))&gt;0)</f>
        <v>0</v>
      </c>
      <c r="U309" s="14" cm="1">
        <f t="array" ref="U309">INT(SUMPRODUCT(--ISNUMBER(SEARCH(climate,C309)))&gt;0)</f>
        <v>1</v>
      </c>
      <c r="V309" s="14" cm="1">
        <f t="array" ref="V309">INT(SUMPRODUCT(--ISNUMBER(SEARCH(abortion,C309)))&gt;0)</f>
        <v>0</v>
      </c>
      <c r="W309" s="14" cm="1">
        <f t="array" ref="W309">INT(SUMPRODUCT(--ISNUMBER(SEARCH(trump,C309)))&gt;0)</f>
        <v>0</v>
      </c>
      <c r="X309" s="14" cm="1">
        <f t="array" ref="X309">INT(SUMPRODUCT(--ISNUMBER(SEARCH(voting,C309)))&gt;0)</f>
        <v>0</v>
      </c>
      <c r="Y309" s="14" cm="1">
        <f t="array" ref="Y309">INT(SUMPRODUCT(--ISNUMBER(SEARCH(democrattrigger,C309)))&gt;0)</f>
        <v>0</v>
      </c>
      <c r="Z309" s="14" cm="1">
        <f t="array" ref="Z309">INT(SUMPRODUCT(--ISNUMBER(SEARCH(bipartisan,C309)))&gt;0)</f>
        <v>0</v>
      </c>
      <c r="AA309" s="14">
        <f t="shared" si="4"/>
        <v>0</v>
      </c>
      <c r="AB309" s="14"/>
      <c r="AC309" s="30">
        <v>0</v>
      </c>
      <c r="AD309" s="37">
        <v>1</v>
      </c>
    </row>
    <row r="310" spans="1:30" x14ac:dyDescent="0.25">
      <c r="A310" s="36">
        <v>2463</v>
      </c>
      <c r="B310" s="14" t="s">
        <v>4951</v>
      </c>
      <c r="C310" s="14" t="s">
        <v>4952</v>
      </c>
      <c r="D310" s="17">
        <v>44113</v>
      </c>
      <c r="E310" s="14" t="s">
        <v>30</v>
      </c>
      <c r="F310" s="14">
        <v>445</v>
      </c>
      <c r="G310" s="14">
        <v>108</v>
      </c>
      <c r="H310" s="14">
        <v>11</v>
      </c>
      <c r="I310" s="14">
        <v>6</v>
      </c>
      <c r="J310" s="14" t="s">
        <v>204</v>
      </c>
      <c r="K310" s="14" cm="1">
        <f t="array" ref="K310">INT(SUMPRODUCT(--ISNUMBER(SEARCH(economy,C310)))&gt;0)</f>
        <v>0</v>
      </c>
      <c r="L310" s="14" cm="1">
        <f t="array" ref="L310">INT(SUMPRODUCT(--ISNUMBER(SEARCH(healthcare,C310)))&gt;0)</f>
        <v>0</v>
      </c>
      <c r="M310" s="14" cm="1">
        <f t="array" ref="M310">INT(SUMPRODUCT(--ISNUMBER(SEARCH(supreme,C310)))&gt;0)</f>
        <v>1</v>
      </c>
      <c r="N310" s="14" cm="1">
        <f t="array" ref="N310">INT(SUMPRODUCT(--ISNUMBER(SEARCH(covid,C310)))&gt;0)</f>
        <v>0</v>
      </c>
      <c r="O310" s="14" cm="1">
        <f t="array" ref="O310">INT(SUMPRODUCT(--ISNUMBER(SEARCH(violent,C310)))&gt;0)</f>
        <v>0</v>
      </c>
      <c r="P310" s="14" cm="1">
        <f t="array" ref="P310">INT(SUMPRODUCT(--ISNUMBER(SEARCH(foreign,C310)))&gt;0)</f>
        <v>0</v>
      </c>
      <c r="Q310" s="14" cm="1">
        <f t="array" ref="Q310">INT(SUMPRODUCT(--ISNUMBER(SEARCH(gun,C310)))&gt;0)</f>
        <v>0</v>
      </c>
      <c r="R310" s="14" cm="1">
        <f t="array" ref="R310">INT(SUMPRODUCT(--ISNUMBER(SEARCH(race,C310)))&gt;0)</f>
        <v>0</v>
      </c>
      <c r="S310" s="14" cm="1">
        <f t="array" ref="S310">INT(SUMPRODUCT(--ISNUMBER(SEARCH(immigration,C310)))&gt;0)</f>
        <v>0</v>
      </c>
      <c r="T310" s="14" cm="1">
        <f t="array" ref="T310">INT(SUMPRODUCT(--ISNUMBER(SEARCH(econineq,C311)))&gt;0)</f>
        <v>0</v>
      </c>
      <c r="U310" s="14" cm="1">
        <f t="array" ref="U310">INT(SUMPRODUCT(--ISNUMBER(SEARCH(climate,C310)))&gt;0)</f>
        <v>0</v>
      </c>
      <c r="V310" s="14" cm="1">
        <f t="array" ref="V310">INT(SUMPRODUCT(--ISNUMBER(SEARCH(abortion,C310)))&gt;0)</f>
        <v>0</v>
      </c>
      <c r="W310" s="14" cm="1">
        <f t="array" ref="W310">INT(SUMPRODUCT(--ISNUMBER(SEARCH(trump,C310)))&gt;0)</f>
        <v>1</v>
      </c>
      <c r="X310" s="14" cm="1">
        <f t="array" ref="X310">INT(SUMPRODUCT(--ISNUMBER(SEARCH(voting,C310)))&gt;0)</f>
        <v>0</v>
      </c>
      <c r="Y310" s="14" cm="1">
        <f t="array" ref="Y310">INT(SUMPRODUCT(--ISNUMBER(SEARCH(democrattrigger,C310)))&gt;0)</f>
        <v>1</v>
      </c>
      <c r="Z310" s="14" cm="1">
        <f t="array" ref="Z310">INT(SUMPRODUCT(--ISNUMBER(SEARCH(bipartisan,C310)))&gt;0)</f>
        <v>0</v>
      </c>
      <c r="AA310" s="14">
        <f t="shared" si="4"/>
        <v>0</v>
      </c>
      <c r="AB310" s="14"/>
      <c r="AC310" s="30" t="s">
        <v>223</v>
      </c>
      <c r="AD310" s="37" t="s">
        <v>223</v>
      </c>
    </row>
    <row r="311" spans="1:30" x14ac:dyDescent="0.25">
      <c r="A311" s="36">
        <v>2464</v>
      </c>
      <c r="B311" s="14" t="s">
        <v>4953</v>
      </c>
      <c r="C311" s="14" t="s">
        <v>4954</v>
      </c>
      <c r="D311" s="17">
        <v>44112</v>
      </c>
      <c r="E311" s="14" t="s">
        <v>30</v>
      </c>
      <c r="F311" s="14">
        <v>184</v>
      </c>
      <c r="G311" s="14">
        <v>78</v>
      </c>
      <c r="H311" s="14">
        <v>11</v>
      </c>
      <c r="I311" s="14">
        <v>6</v>
      </c>
      <c r="J311" s="14" t="s">
        <v>204</v>
      </c>
      <c r="K311" s="14" cm="1">
        <f t="array" ref="K311">INT(SUMPRODUCT(--ISNUMBER(SEARCH(economy,C311)))&gt;0)</f>
        <v>0</v>
      </c>
      <c r="L311" s="14" cm="1">
        <f t="array" ref="L311">INT(SUMPRODUCT(--ISNUMBER(SEARCH(healthcare,C311)))&gt;0)</f>
        <v>0</v>
      </c>
      <c r="M311" s="14" cm="1">
        <f t="array" ref="M311">INT(SUMPRODUCT(--ISNUMBER(SEARCH(supreme,C311)))&gt;0)</f>
        <v>0</v>
      </c>
      <c r="N311" s="14" cm="1">
        <f t="array" ref="N311">INT(SUMPRODUCT(--ISNUMBER(SEARCH(covid,C311)))&gt;0)</f>
        <v>0</v>
      </c>
      <c r="O311" s="14" cm="1">
        <f t="array" ref="O311">INT(SUMPRODUCT(--ISNUMBER(SEARCH(violent,C311)))&gt;0)</f>
        <v>0</v>
      </c>
      <c r="P311" s="14" cm="1">
        <f t="array" ref="P311">INT(SUMPRODUCT(--ISNUMBER(SEARCH(foreign,C311)))&gt;0)</f>
        <v>1</v>
      </c>
      <c r="Q311" s="14" cm="1">
        <f t="array" ref="Q311">INT(SUMPRODUCT(--ISNUMBER(SEARCH(gun,C311)))&gt;0)</f>
        <v>0</v>
      </c>
      <c r="R311" s="14" cm="1">
        <f t="array" ref="R311">INT(SUMPRODUCT(--ISNUMBER(SEARCH(race,C311)))&gt;0)</f>
        <v>0</v>
      </c>
      <c r="S311" s="14" cm="1">
        <f t="array" ref="S311">INT(SUMPRODUCT(--ISNUMBER(SEARCH(immigration,C311)))&gt;0)</f>
        <v>0</v>
      </c>
      <c r="T311" s="14" cm="1">
        <f t="array" ref="T311">INT(SUMPRODUCT(--ISNUMBER(SEARCH(econineq,C312)))&gt;0)</f>
        <v>0</v>
      </c>
      <c r="U311" s="14" cm="1">
        <f t="array" ref="U311">INT(SUMPRODUCT(--ISNUMBER(SEARCH(climate,C311)))&gt;0)</f>
        <v>0</v>
      </c>
      <c r="V311" s="14" cm="1">
        <f t="array" ref="V311">INT(SUMPRODUCT(--ISNUMBER(SEARCH(abortion,C311)))&gt;0)</f>
        <v>0</v>
      </c>
      <c r="W311" s="14" cm="1">
        <f t="array" ref="W311">INT(SUMPRODUCT(--ISNUMBER(SEARCH(trump,C311)))&gt;0)</f>
        <v>0</v>
      </c>
      <c r="X311" s="14" cm="1">
        <f t="array" ref="X311">INT(SUMPRODUCT(--ISNUMBER(SEARCH(voting,C311)))&gt;0)</f>
        <v>1</v>
      </c>
      <c r="Y311" s="14" cm="1">
        <f t="array" ref="Y311">INT(SUMPRODUCT(--ISNUMBER(SEARCH(democrattrigger,C311)))&gt;0)</f>
        <v>0</v>
      </c>
      <c r="Z311" s="14" cm="1">
        <f t="array" ref="Z311">INT(SUMPRODUCT(--ISNUMBER(SEARCH(bipartisan,C311)))&gt;0)</f>
        <v>0</v>
      </c>
      <c r="AA311" s="14">
        <f t="shared" si="4"/>
        <v>0</v>
      </c>
      <c r="AB311" s="14"/>
      <c r="AC311" s="30">
        <v>0</v>
      </c>
      <c r="AD311" s="37">
        <v>1</v>
      </c>
    </row>
    <row r="312" spans="1:30" x14ac:dyDescent="0.25">
      <c r="A312" s="36">
        <v>2465</v>
      </c>
      <c r="B312" s="14" t="s">
        <v>4955</v>
      </c>
      <c r="C312" s="14" t="s">
        <v>4956</v>
      </c>
      <c r="D312" s="17">
        <v>44112</v>
      </c>
      <c r="E312" s="14" t="s">
        <v>30</v>
      </c>
      <c r="F312" s="14">
        <v>28</v>
      </c>
      <c r="G312" s="14">
        <v>8</v>
      </c>
      <c r="H312" s="14">
        <v>11</v>
      </c>
      <c r="I312" s="14">
        <v>6</v>
      </c>
      <c r="J312" s="14" t="s">
        <v>204</v>
      </c>
      <c r="K312" s="14" cm="1">
        <f t="array" ref="K312">INT(SUMPRODUCT(--ISNUMBER(SEARCH(economy,C312)))&gt;0)</f>
        <v>0</v>
      </c>
      <c r="L312" s="14" cm="1">
        <f t="array" ref="L312">INT(SUMPRODUCT(--ISNUMBER(SEARCH(healthcare,C312)))&gt;0)</f>
        <v>1</v>
      </c>
      <c r="M312" s="14" cm="1">
        <f t="array" ref="M312">INT(SUMPRODUCT(--ISNUMBER(SEARCH(supreme,C312)))&gt;0)</f>
        <v>1</v>
      </c>
      <c r="N312" s="14" cm="1">
        <f t="array" ref="N312">INT(SUMPRODUCT(--ISNUMBER(SEARCH(covid,C312)))&gt;0)</f>
        <v>0</v>
      </c>
      <c r="O312" s="14" cm="1">
        <f t="array" ref="O312">INT(SUMPRODUCT(--ISNUMBER(SEARCH(violent,C312)))&gt;0)</f>
        <v>0</v>
      </c>
      <c r="P312" s="14" cm="1">
        <f t="array" ref="P312">INT(SUMPRODUCT(--ISNUMBER(SEARCH(foreign,C312)))&gt;0)</f>
        <v>0</v>
      </c>
      <c r="Q312" s="14" cm="1">
        <f t="array" ref="Q312">INT(SUMPRODUCT(--ISNUMBER(SEARCH(gun,C312)))&gt;0)</f>
        <v>0</v>
      </c>
      <c r="R312" s="14" cm="1">
        <f t="array" ref="R312">INT(SUMPRODUCT(--ISNUMBER(SEARCH(race,C312)))&gt;0)</f>
        <v>0</v>
      </c>
      <c r="S312" s="14" cm="1">
        <f t="array" ref="S312">INT(SUMPRODUCT(--ISNUMBER(SEARCH(immigration,C312)))&gt;0)</f>
        <v>1</v>
      </c>
      <c r="T312" s="14" cm="1">
        <f t="array" ref="T312">INT(SUMPRODUCT(--ISNUMBER(SEARCH(econineq,C313)))&gt;0)</f>
        <v>0</v>
      </c>
      <c r="U312" s="14" cm="1">
        <f t="array" ref="U312">INT(SUMPRODUCT(--ISNUMBER(SEARCH(climate,C312)))&gt;0)</f>
        <v>0</v>
      </c>
      <c r="V312" s="14" cm="1">
        <f t="array" ref="V312">INT(SUMPRODUCT(--ISNUMBER(SEARCH(abortion,C312)))&gt;0)</f>
        <v>0</v>
      </c>
      <c r="W312" s="14" cm="1">
        <f t="array" ref="W312">INT(SUMPRODUCT(--ISNUMBER(SEARCH(trump,C312)))&gt;0)</f>
        <v>0</v>
      </c>
      <c r="X312" s="14" cm="1">
        <f t="array" ref="X312">INT(SUMPRODUCT(--ISNUMBER(SEARCH(voting,C312)))&gt;0)</f>
        <v>0</v>
      </c>
      <c r="Y312" s="14" cm="1">
        <f t="array" ref="Y312">INT(SUMPRODUCT(--ISNUMBER(SEARCH(democrattrigger,C312)))&gt;0)</f>
        <v>0</v>
      </c>
      <c r="Z312" s="14" cm="1">
        <f t="array" ref="Z312">INT(SUMPRODUCT(--ISNUMBER(SEARCH(bipartisan,C312)))&gt;0)</f>
        <v>0</v>
      </c>
      <c r="AA312" s="14">
        <f t="shared" si="4"/>
        <v>0</v>
      </c>
      <c r="AB312" s="14"/>
      <c r="AC312" s="30" t="s">
        <v>223</v>
      </c>
      <c r="AD312" s="37" t="s">
        <v>223</v>
      </c>
    </row>
    <row r="313" spans="1:30" x14ac:dyDescent="0.25">
      <c r="A313" s="36">
        <v>2466</v>
      </c>
      <c r="B313" s="14" t="s">
        <v>4957</v>
      </c>
      <c r="C313" s="14" t="s">
        <v>4958</v>
      </c>
      <c r="D313" s="17">
        <v>44112</v>
      </c>
      <c r="E313" s="14" t="s">
        <v>30</v>
      </c>
      <c r="F313" s="14">
        <v>47</v>
      </c>
      <c r="G313" s="14">
        <v>12</v>
      </c>
      <c r="H313" s="14">
        <v>11</v>
      </c>
      <c r="I313" s="14">
        <v>6</v>
      </c>
      <c r="J313" s="14" t="s">
        <v>204</v>
      </c>
      <c r="K313" s="14" cm="1">
        <f t="array" ref="K313">INT(SUMPRODUCT(--ISNUMBER(SEARCH(economy,C313)))&gt;0)</f>
        <v>1</v>
      </c>
      <c r="L313" s="14" cm="1">
        <f t="array" ref="L313">INT(SUMPRODUCT(--ISNUMBER(SEARCH(healthcare,C313)))&gt;0)</f>
        <v>0</v>
      </c>
      <c r="M313" s="14" cm="1">
        <f t="array" ref="M313">INT(SUMPRODUCT(--ISNUMBER(SEARCH(supreme,C313)))&gt;0)</f>
        <v>0</v>
      </c>
      <c r="N313" s="14" cm="1">
        <f t="array" ref="N313">INT(SUMPRODUCT(--ISNUMBER(SEARCH(covid,C313)))&gt;0)</f>
        <v>0</v>
      </c>
      <c r="O313" s="14" cm="1">
        <f t="array" ref="O313">INT(SUMPRODUCT(--ISNUMBER(SEARCH(violent,C313)))&gt;0)</f>
        <v>0</v>
      </c>
      <c r="P313" s="14" cm="1">
        <f t="array" ref="P313">INT(SUMPRODUCT(--ISNUMBER(SEARCH(foreign,C313)))&gt;0)</f>
        <v>0</v>
      </c>
      <c r="Q313" s="14" cm="1">
        <f t="array" ref="Q313">INT(SUMPRODUCT(--ISNUMBER(SEARCH(gun,C313)))&gt;0)</f>
        <v>0</v>
      </c>
      <c r="R313" s="14" cm="1">
        <f t="array" ref="R313">INT(SUMPRODUCT(--ISNUMBER(SEARCH(race,C313)))&gt;0)</f>
        <v>0</v>
      </c>
      <c r="S313" s="14" cm="1">
        <f t="array" ref="S313">INT(SUMPRODUCT(--ISNUMBER(SEARCH(immigration,C313)))&gt;0)</f>
        <v>0</v>
      </c>
      <c r="T313" s="14" cm="1">
        <f t="array" ref="T313">INT(SUMPRODUCT(--ISNUMBER(SEARCH(econineq,C314)))&gt;0)</f>
        <v>0</v>
      </c>
      <c r="U313" s="14" cm="1">
        <f t="array" ref="U313">INT(SUMPRODUCT(--ISNUMBER(SEARCH(climate,C313)))&gt;0)</f>
        <v>1</v>
      </c>
      <c r="V313" s="14" cm="1">
        <f t="array" ref="V313">INT(SUMPRODUCT(--ISNUMBER(SEARCH(abortion,C313)))&gt;0)</f>
        <v>0</v>
      </c>
      <c r="W313" s="14" cm="1">
        <f t="array" ref="W313">INT(SUMPRODUCT(--ISNUMBER(SEARCH(trump,C313)))&gt;0)</f>
        <v>0</v>
      </c>
      <c r="X313" s="14" cm="1">
        <f t="array" ref="X313">INT(SUMPRODUCT(--ISNUMBER(SEARCH(voting,C313)))&gt;0)</f>
        <v>0</v>
      </c>
      <c r="Y313" s="14" cm="1">
        <f t="array" ref="Y313">INT(SUMPRODUCT(--ISNUMBER(SEARCH(democrattrigger,C313)))&gt;0)</f>
        <v>0</v>
      </c>
      <c r="Z313" s="14" cm="1">
        <f t="array" ref="Z313">INT(SUMPRODUCT(--ISNUMBER(SEARCH(bipartisan,C313)))&gt;0)</f>
        <v>0</v>
      </c>
      <c r="AA313" s="14">
        <f t="shared" si="4"/>
        <v>0</v>
      </c>
      <c r="AB313" s="14"/>
      <c r="AC313" s="30" t="s">
        <v>223</v>
      </c>
      <c r="AD313" s="37" t="s">
        <v>223</v>
      </c>
    </row>
    <row r="314" spans="1:30" x14ac:dyDescent="0.25">
      <c r="A314" s="36">
        <v>2467</v>
      </c>
      <c r="B314" s="14" t="s">
        <v>4959</v>
      </c>
      <c r="C314" s="14" t="s">
        <v>4960</v>
      </c>
      <c r="D314" s="17">
        <v>44112</v>
      </c>
      <c r="E314" s="14" t="s">
        <v>30</v>
      </c>
      <c r="F314" s="14">
        <v>29</v>
      </c>
      <c r="G314" s="14">
        <v>11</v>
      </c>
      <c r="H314" s="14">
        <v>11</v>
      </c>
      <c r="I314" s="14">
        <v>6</v>
      </c>
      <c r="J314" s="14" t="s">
        <v>204</v>
      </c>
      <c r="K314" s="14" cm="1">
        <f t="array" ref="K314">INT(SUMPRODUCT(--ISNUMBER(SEARCH(economy,C314)))&gt;0)</f>
        <v>0</v>
      </c>
      <c r="L314" s="14" cm="1">
        <f t="array" ref="L314">INT(SUMPRODUCT(--ISNUMBER(SEARCH(healthcare,C314)))&gt;0)</f>
        <v>0</v>
      </c>
      <c r="M314" s="14" cm="1">
        <f t="array" ref="M314">INT(SUMPRODUCT(--ISNUMBER(SEARCH(supreme,C314)))&gt;0)</f>
        <v>0</v>
      </c>
      <c r="N314" s="14" cm="1">
        <f t="array" ref="N314">INT(SUMPRODUCT(--ISNUMBER(SEARCH(covid,C314)))&gt;0)</f>
        <v>1</v>
      </c>
      <c r="O314" s="14" cm="1">
        <f t="array" ref="O314">INT(SUMPRODUCT(--ISNUMBER(SEARCH(violent,C314)))&gt;0)</f>
        <v>0</v>
      </c>
      <c r="P314" s="14" cm="1">
        <f t="array" ref="P314">INT(SUMPRODUCT(--ISNUMBER(SEARCH(foreign,C314)))&gt;0)</f>
        <v>0</v>
      </c>
      <c r="Q314" s="14" cm="1">
        <f t="array" ref="Q314">INT(SUMPRODUCT(--ISNUMBER(SEARCH(gun,C314)))&gt;0)</f>
        <v>0</v>
      </c>
      <c r="R314" s="14" cm="1">
        <f t="array" ref="R314">INT(SUMPRODUCT(--ISNUMBER(SEARCH(race,C314)))&gt;0)</f>
        <v>0</v>
      </c>
      <c r="S314" s="14" cm="1">
        <f t="array" ref="S314">INT(SUMPRODUCT(--ISNUMBER(SEARCH(immigration,C314)))&gt;0)</f>
        <v>0</v>
      </c>
      <c r="T314" s="14" cm="1">
        <f t="array" ref="T314">INT(SUMPRODUCT(--ISNUMBER(SEARCH(econineq,C315)))&gt;0)</f>
        <v>1</v>
      </c>
      <c r="U314" s="14" cm="1">
        <f t="array" ref="U314">INT(SUMPRODUCT(--ISNUMBER(SEARCH(climate,C314)))&gt;0)</f>
        <v>0</v>
      </c>
      <c r="V314" s="14" cm="1">
        <f t="array" ref="V314">INT(SUMPRODUCT(--ISNUMBER(SEARCH(abortion,C314)))&gt;0)</f>
        <v>0</v>
      </c>
      <c r="W314" s="14" cm="1">
        <f t="array" ref="W314">INT(SUMPRODUCT(--ISNUMBER(SEARCH(trump,C314)))&gt;0)</f>
        <v>0</v>
      </c>
      <c r="X314" s="14" cm="1">
        <f t="array" ref="X314">INT(SUMPRODUCT(--ISNUMBER(SEARCH(voting,C314)))&gt;0)</f>
        <v>0</v>
      </c>
      <c r="Y314" s="14" cm="1">
        <f t="array" ref="Y314">INT(SUMPRODUCT(--ISNUMBER(SEARCH(democrattrigger,C314)))&gt;0)</f>
        <v>0</v>
      </c>
      <c r="Z314" s="14" cm="1">
        <f t="array" ref="Z314">INT(SUMPRODUCT(--ISNUMBER(SEARCH(bipartisan,C314)))&gt;0)</f>
        <v>0</v>
      </c>
      <c r="AA314" s="14">
        <f t="shared" si="4"/>
        <v>0</v>
      </c>
      <c r="AB314" s="14"/>
      <c r="AC314" s="30" t="s">
        <v>223</v>
      </c>
      <c r="AD314" s="37" t="s">
        <v>223</v>
      </c>
    </row>
    <row r="315" spans="1:30" x14ac:dyDescent="0.25">
      <c r="A315" s="36">
        <v>2468</v>
      </c>
      <c r="B315" s="14" t="s">
        <v>4961</v>
      </c>
      <c r="C315" s="14" t="s">
        <v>4962</v>
      </c>
      <c r="D315" s="17">
        <v>44112</v>
      </c>
      <c r="E315" s="14" t="s">
        <v>30</v>
      </c>
      <c r="F315" s="14">
        <v>156</v>
      </c>
      <c r="G315" s="14">
        <v>33</v>
      </c>
      <c r="H315" s="14">
        <v>11</v>
      </c>
      <c r="I315" s="14">
        <v>6</v>
      </c>
      <c r="J315" s="14" t="s">
        <v>204</v>
      </c>
      <c r="K315" s="14" cm="1">
        <f t="array" ref="K315">INT(SUMPRODUCT(--ISNUMBER(SEARCH(economy,C315)))&gt;0)</f>
        <v>1</v>
      </c>
      <c r="L315" s="14" cm="1">
        <f t="array" ref="L315">INT(SUMPRODUCT(--ISNUMBER(SEARCH(healthcare,C315)))&gt;0)</f>
        <v>0</v>
      </c>
      <c r="M315" s="14" cm="1">
        <f t="array" ref="M315">INT(SUMPRODUCT(--ISNUMBER(SEARCH(supreme,C315)))&gt;0)</f>
        <v>1</v>
      </c>
      <c r="N315" s="14" cm="1">
        <f t="array" ref="N315">INT(SUMPRODUCT(--ISNUMBER(SEARCH(covid,C315)))&gt;0)</f>
        <v>0</v>
      </c>
      <c r="O315" s="14" cm="1">
        <f t="array" ref="O315">INT(SUMPRODUCT(--ISNUMBER(SEARCH(violent,C315)))&gt;0)</f>
        <v>0</v>
      </c>
      <c r="P315" s="14" cm="1">
        <f t="array" ref="P315">INT(SUMPRODUCT(--ISNUMBER(SEARCH(foreign,C315)))&gt;0)</f>
        <v>0</v>
      </c>
      <c r="Q315" s="14" cm="1">
        <f t="array" ref="Q315">INT(SUMPRODUCT(--ISNUMBER(SEARCH(gun,C315)))&gt;0)</f>
        <v>0</v>
      </c>
      <c r="R315" s="14" cm="1">
        <f t="array" ref="R315">INT(SUMPRODUCT(--ISNUMBER(SEARCH(race,C315)))&gt;0)</f>
        <v>0</v>
      </c>
      <c r="S315" s="14" cm="1">
        <f t="array" ref="S315">INT(SUMPRODUCT(--ISNUMBER(SEARCH(immigration,C315)))&gt;0)</f>
        <v>0</v>
      </c>
      <c r="T315" s="14" cm="1">
        <f t="array" ref="T315">INT(SUMPRODUCT(--ISNUMBER(SEARCH(econineq,C316)))&gt;0)</f>
        <v>0</v>
      </c>
      <c r="U315" s="14" cm="1">
        <f t="array" ref="U315">INT(SUMPRODUCT(--ISNUMBER(SEARCH(climate,C315)))&gt;0)</f>
        <v>0</v>
      </c>
      <c r="V315" s="14" cm="1">
        <f t="array" ref="V315">INT(SUMPRODUCT(--ISNUMBER(SEARCH(abortion,C315)))&gt;0)</f>
        <v>0</v>
      </c>
      <c r="W315" s="14" cm="1">
        <f t="array" ref="W315">INT(SUMPRODUCT(--ISNUMBER(SEARCH(trump,C315)))&gt;0)</f>
        <v>0</v>
      </c>
      <c r="X315" s="14" cm="1">
        <f t="array" ref="X315">INT(SUMPRODUCT(--ISNUMBER(SEARCH(voting,C315)))&gt;0)</f>
        <v>0</v>
      </c>
      <c r="Y315" s="14" cm="1">
        <f t="array" ref="Y315">INT(SUMPRODUCT(--ISNUMBER(SEARCH(democrattrigger,C315)))&gt;0)</f>
        <v>1</v>
      </c>
      <c r="Z315" s="14" cm="1">
        <f t="array" ref="Z315">INT(SUMPRODUCT(--ISNUMBER(SEARCH(bipartisan,C315)))&gt;0)</f>
        <v>0</v>
      </c>
      <c r="AA315" s="14">
        <f t="shared" si="4"/>
        <v>0</v>
      </c>
      <c r="AB315" s="14"/>
      <c r="AC315" s="30" t="s">
        <v>223</v>
      </c>
      <c r="AD315" s="37" t="s">
        <v>223</v>
      </c>
    </row>
    <row r="316" spans="1:30" x14ac:dyDescent="0.25">
      <c r="A316" s="36">
        <v>2469</v>
      </c>
      <c r="B316" s="14" t="s">
        <v>4963</v>
      </c>
      <c r="C316" s="14" t="s">
        <v>4964</v>
      </c>
      <c r="D316" s="17">
        <v>44112</v>
      </c>
      <c r="E316" s="14" t="s">
        <v>30</v>
      </c>
      <c r="F316" s="14">
        <v>118</v>
      </c>
      <c r="G316" s="14">
        <v>30</v>
      </c>
      <c r="H316" s="14">
        <v>11</v>
      </c>
      <c r="I316" s="14">
        <v>6</v>
      </c>
      <c r="J316" s="14" t="s">
        <v>204</v>
      </c>
      <c r="K316" s="14" cm="1">
        <f t="array" ref="K316">INT(SUMPRODUCT(--ISNUMBER(SEARCH(economy,C316)))&gt;0)</f>
        <v>0</v>
      </c>
      <c r="L316" s="14" cm="1">
        <f t="array" ref="L316">INT(SUMPRODUCT(--ISNUMBER(SEARCH(healthcare,C316)))&gt;0)</f>
        <v>0</v>
      </c>
      <c r="M316" s="14" cm="1">
        <f t="array" ref="M316">INT(SUMPRODUCT(--ISNUMBER(SEARCH(supreme,C316)))&gt;0)</f>
        <v>0</v>
      </c>
      <c r="N316" s="14" cm="1">
        <f t="array" ref="N316">INT(SUMPRODUCT(--ISNUMBER(SEARCH(covid,C316)))&gt;0)</f>
        <v>0</v>
      </c>
      <c r="O316" s="14" cm="1">
        <f t="array" ref="O316">INT(SUMPRODUCT(--ISNUMBER(SEARCH(violent,C316)))&gt;0)</f>
        <v>0</v>
      </c>
      <c r="P316" s="14" cm="1">
        <f t="array" ref="P316">INT(SUMPRODUCT(--ISNUMBER(SEARCH(foreign,C316)))&gt;0)</f>
        <v>1</v>
      </c>
      <c r="Q316" s="14" cm="1">
        <f t="array" ref="Q316">INT(SUMPRODUCT(--ISNUMBER(SEARCH(gun,C316)))&gt;0)</f>
        <v>0</v>
      </c>
      <c r="R316" s="14" cm="1">
        <f t="array" ref="R316">INT(SUMPRODUCT(--ISNUMBER(SEARCH(race,C316)))&gt;0)</f>
        <v>0</v>
      </c>
      <c r="S316" s="14" cm="1">
        <f t="array" ref="S316">INT(SUMPRODUCT(--ISNUMBER(SEARCH(immigration,C316)))&gt;0)</f>
        <v>0</v>
      </c>
      <c r="T316" s="14" cm="1">
        <f t="array" ref="T316">INT(SUMPRODUCT(--ISNUMBER(SEARCH(econineq,C317)))&gt;0)</f>
        <v>0</v>
      </c>
      <c r="U316" s="14" cm="1">
        <f t="array" ref="U316">INT(SUMPRODUCT(--ISNUMBER(SEARCH(climate,C316)))&gt;0)</f>
        <v>0</v>
      </c>
      <c r="V316" s="14" cm="1">
        <f t="array" ref="V316">INT(SUMPRODUCT(--ISNUMBER(SEARCH(abortion,C316)))&gt;0)</f>
        <v>0</v>
      </c>
      <c r="W316" s="14" cm="1">
        <f t="array" ref="W316">INT(SUMPRODUCT(--ISNUMBER(SEARCH(trump,C316)))&gt;0)</f>
        <v>0</v>
      </c>
      <c r="X316" s="14" cm="1">
        <f t="array" ref="X316">INT(SUMPRODUCT(--ISNUMBER(SEARCH(voting,C316)))&gt;0)</f>
        <v>1</v>
      </c>
      <c r="Y316" s="14" cm="1">
        <f t="array" ref="Y316">INT(SUMPRODUCT(--ISNUMBER(SEARCH(democrattrigger,C316)))&gt;0)</f>
        <v>0</v>
      </c>
      <c r="Z316" s="14" cm="1">
        <f t="array" ref="Z316">INT(SUMPRODUCT(--ISNUMBER(SEARCH(bipartisan,C316)))&gt;0)</f>
        <v>0</v>
      </c>
      <c r="AA316" s="14">
        <f t="shared" si="4"/>
        <v>0</v>
      </c>
      <c r="AB316" s="14"/>
      <c r="AC316" s="30" t="s">
        <v>223</v>
      </c>
      <c r="AD316" s="37" t="s">
        <v>223</v>
      </c>
    </row>
    <row r="317" spans="1:30" x14ac:dyDescent="0.25">
      <c r="A317" s="36">
        <v>2470</v>
      </c>
      <c r="B317" s="14" t="s">
        <v>4965</v>
      </c>
      <c r="C317" s="14" t="s">
        <v>4966</v>
      </c>
      <c r="D317" s="17">
        <v>44112</v>
      </c>
      <c r="E317" s="14" t="s">
        <v>30</v>
      </c>
      <c r="F317" s="14">
        <v>6297</v>
      </c>
      <c r="G317" s="14">
        <v>743</v>
      </c>
      <c r="H317" s="14">
        <v>11</v>
      </c>
      <c r="I317" s="14">
        <v>6</v>
      </c>
      <c r="J317" s="14" t="s">
        <v>204</v>
      </c>
      <c r="K317" s="14" cm="1">
        <f t="array" ref="K317">INT(SUMPRODUCT(--ISNUMBER(SEARCH(economy,C317)))&gt;0)</f>
        <v>0</v>
      </c>
      <c r="L317" s="14" cm="1">
        <f t="array" ref="L317">INT(SUMPRODUCT(--ISNUMBER(SEARCH(healthcare,C317)))&gt;0)</f>
        <v>0</v>
      </c>
      <c r="M317" s="14" cm="1">
        <f t="array" ref="M317">INT(SUMPRODUCT(--ISNUMBER(SEARCH(supreme,C317)))&gt;0)</f>
        <v>0</v>
      </c>
      <c r="N317" s="14" cm="1">
        <f t="array" ref="N317">INT(SUMPRODUCT(--ISNUMBER(SEARCH(covid,C317)))&gt;0)</f>
        <v>0</v>
      </c>
      <c r="O317" s="14" cm="1">
        <f t="array" ref="O317">INT(SUMPRODUCT(--ISNUMBER(SEARCH(violent,C317)))&gt;0)</f>
        <v>0</v>
      </c>
      <c r="P317" s="14" cm="1">
        <f t="array" ref="P317">INT(SUMPRODUCT(--ISNUMBER(SEARCH(foreign,C317)))&gt;0)</f>
        <v>0</v>
      </c>
      <c r="Q317" s="14" cm="1">
        <f t="array" ref="Q317">INT(SUMPRODUCT(--ISNUMBER(SEARCH(gun,C317)))&gt;0)</f>
        <v>0</v>
      </c>
      <c r="R317" s="14" cm="1">
        <f t="array" ref="R317">INT(SUMPRODUCT(--ISNUMBER(SEARCH(race,C317)))&gt;0)</f>
        <v>0</v>
      </c>
      <c r="S317" s="14" cm="1">
        <f t="array" ref="S317">INT(SUMPRODUCT(--ISNUMBER(SEARCH(immigration,C317)))&gt;0)</f>
        <v>0</v>
      </c>
      <c r="T317" s="14" cm="1">
        <f t="array" ref="T317">INT(SUMPRODUCT(--ISNUMBER(SEARCH(econineq,C318)))&gt;0)</f>
        <v>0</v>
      </c>
      <c r="U317" s="14" cm="1">
        <f t="array" ref="U317">INT(SUMPRODUCT(--ISNUMBER(SEARCH(climate,C317)))&gt;0)</f>
        <v>0</v>
      </c>
      <c r="V317" s="14" cm="1">
        <f t="array" ref="V317">INT(SUMPRODUCT(--ISNUMBER(SEARCH(abortion,C317)))&gt;0)</f>
        <v>0</v>
      </c>
      <c r="W317" s="14" cm="1">
        <f t="array" ref="W317">INT(SUMPRODUCT(--ISNUMBER(SEARCH(trump,C317)))&gt;0)</f>
        <v>0</v>
      </c>
      <c r="X317" s="14" cm="1">
        <f t="array" ref="X317">INT(SUMPRODUCT(--ISNUMBER(SEARCH(voting,C317)))&gt;0)</f>
        <v>0</v>
      </c>
      <c r="Y317" s="14" cm="1">
        <f t="array" ref="Y317">INT(SUMPRODUCT(--ISNUMBER(SEARCH(democrattrigger,C317)))&gt;0)</f>
        <v>0</v>
      </c>
      <c r="Z317" s="14" cm="1">
        <f t="array" ref="Z317">INT(SUMPRODUCT(--ISNUMBER(SEARCH(bipartisan,C317)))&gt;0)</f>
        <v>0</v>
      </c>
      <c r="AA317" s="14">
        <f t="shared" si="4"/>
        <v>1</v>
      </c>
      <c r="AB317" s="14"/>
      <c r="AC317" s="30" t="s">
        <v>223</v>
      </c>
      <c r="AD317" s="37" t="s">
        <v>223</v>
      </c>
    </row>
    <row r="318" spans="1:30" x14ac:dyDescent="0.25">
      <c r="A318" s="36">
        <v>2471</v>
      </c>
      <c r="B318" s="14" t="s">
        <v>4967</v>
      </c>
      <c r="C318" s="14" t="s">
        <v>4968</v>
      </c>
      <c r="D318" s="17">
        <v>44112</v>
      </c>
      <c r="E318" s="14" t="s">
        <v>30</v>
      </c>
      <c r="F318" s="14">
        <v>1281</v>
      </c>
      <c r="G318" s="14">
        <v>201</v>
      </c>
      <c r="H318" s="14">
        <v>11</v>
      </c>
      <c r="I318" s="14">
        <v>6</v>
      </c>
      <c r="J318" s="14" t="s">
        <v>204</v>
      </c>
      <c r="K318" s="14" cm="1">
        <f t="array" ref="K318">INT(SUMPRODUCT(--ISNUMBER(SEARCH(economy,C318)))&gt;0)</f>
        <v>0</v>
      </c>
      <c r="L318" s="14" cm="1">
        <f t="array" ref="L318">INT(SUMPRODUCT(--ISNUMBER(SEARCH(healthcare,C318)))&gt;0)</f>
        <v>0</v>
      </c>
      <c r="M318" s="14" cm="1">
        <f t="array" ref="M318">INT(SUMPRODUCT(--ISNUMBER(SEARCH(supreme,C318)))&gt;0)</f>
        <v>0</v>
      </c>
      <c r="N318" s="14" cm="1">
        <f t="array" ref="N318">INT(SUMPRODUCT(--ISNUMBER(SEARCH(covid,C318)))&gt;0)</f>
        <v>0</v>
      </c>
      <c r="O318" s="14" cm="1">
        <f t="array" ref="O318">INT(SUMPRODUCT(--ISNUMBER(SEARCH(violent,C318)))&gt;0)</f>
        <v>0</v>
      </c>
      <c r="P318" s="14" cm="1">
        <f t="array" ref="P318">INT(SUMPRODUCT(--ISNUMBER(SEARCH(foreign,C318)))&gt;0)</f>
        <v>0</v>
      </c>
      <c r="Q318" s="14" cm="1">
        <f t="array" ref="Q318">INT(SUMPRODUCT(--ISNUMBER(SEARCH(gun,C318)))&gt;0)</f>
        <v>0</v>
      </c>
      <c r="R318" s="14" cm="1">
        <f t="array" ref="R318">INT(SUMPRODUCT(--ISNUMBER(SEARCH(race,C318)))&gt;0)</f>
        <v>0</v>
      </c>
      <c r="S318" s="14" cm="1">
        <f t="array" ref="S318">INT(SUMPRODUCT(--ISNUMBER(SEARCH(immigration,C318)))&gt;0)</f>
        <v>0</v>
      </c>
      <c r="T318" s="14" cm="1">
        <f t="array" ref="T318">INT(SUMPRODUCT(--ISNUMBER(SEARCH(econineq,C319)))&gt;0)</f>
        <v>0</v>
      </c>
      <c r="U318" s="14" cm="1">
        <f t="array" ref="U318">INT(SUMPRODUCT(--ISNUMBER(SEARCH(climate,C318)))&gt;0)</f>
        <v>0</v>
      </c>
      <c r="V318" s="14" cm="1">
        <f t="array" ref="V318">INT(SUMPRODUCT(--ISNUMBER(SEARCH(abortion,C318)))&gt;0)</f>
        <v>0</v>
      </c>
      <c r="W318" s="14" cm="1">
        <f t="array" ref="W318">INT(SUMPRODUCT(--ISNUMBER(SEARCH(trump,C318)))&gt;0)</f>
        <v>1</v>
      </c>
      <c r="X318" s="14" cm="1">
        <f t="array" ref="X318">INT(SUMPRODUCT(--ISNUMBER(SEARCH(voting,C318)))&gt;0)</f>
        <v>0</v>
      </c>
      <c r="Y318" s="14" cm="1">
        <f t="array" ref="Y318">INT(SUMPRODUCT(--ISNUMBER(SEARCH(democrattrigger,C318)))&gt;0)</f>
        <v>1</v>
      </c>
      <c r="Z318" s="14" cm="1">
        <f t="array" ref="Z318">INT(SUMPRODUCT(--ISNUMBER(SEARCH(bipartisan,C318)))&gt;0)</f>
        <v>0</v>
      </c>
      <c r="AA318" s="14">
        <f t="shared" si="4"/>
        <v>0</v>
      </c>
      <c r="AB318" s="14"/>
      <c r="AC318" s="30" t="s">
        <v>223</v>
      </c>
      <c r="AD318" s="37" t="s">
        <v>223</v>
      </c>
    </row>
    <row r="319" spans="1:30" x14ac:dyDescent="0.25">
      <c r="A319" s="36">
        <v>2472</v>
      </c>
      <c r="B319" s="14" t="s">
        <v>4969</v>
      </c>
      <c r="C319" s="14" t="s">
        <v>4970</v>
      </c>
      <c r="D319" s="17">
        <v>44112</v>
      </c>
      <c r="E319" s="14" t="s">
        <v>30</v>
      </c>
      <c r="F319" s="14">
        <v>252</v>
      </c>
      <c r="G319" s="14">
        <v>28</v>
      </c>
      <c r="H319" s="14">
        <v>11</v>
      </c>
      <c r="I319" s="14">
        <v>6</v>
      </c>
      <c r="J319" s="14" t="s">
        <v>204</v>
      </c>
      <c r="K319" s="14" cm="1">
        <f t="array" ref="K319">INT(SUMPRODUCT(--ISNUMBER(SEARCH(economy,C319)))&gt;0)</f>
        <v>0</v>
      </c>
      <c r="L319" s="14" cm="1">
        <f t="array" ref="L319">INT(SUMPRODUCT(--ISNUMBER(SEARCH(healthcare,C319)))&gt;0)</f>
        <v>0</v>
      </c>
      <c r="M319" s="14" cm="1">
        <f t="array" ref="M319">INT(SUMPRODUCT(--ISNUMBER(SEARCH(supreme,C319)))&gt;0)</f>
        <v>0</v>
      </c>
      <c r="N319" s="14" cm="1">
        <f t="array" ref="N319">INT(SUMPRODUCT(--ISNUMBER(SEARCH(covid,C319)))&gt;0)</f>
        <v>0</v>
      </c>
      <c r="O319" s="14" cm="1">
        <f t="array" ref="O319">INT(SUMPRODUCT(--ISNUMBER(SEARCH(violent,C319)))&gt;0)</f>
        <v>0</v>
      </c>
      <c r="P319" s="14" cm="1">
        <f t="array" ref="P319">INT(SUMPRODUCT(--ISNUMBER(SEARCH(foreign,C319)))&gt;0)</f>
        <v>0</v>
      </c>
      <c r="Q319" s="14" cm="1">
        <f t="array" ref="Q319">INT(SUMPRODUCT(--ISNUMBER(SEARCH(gun,C319)))&gt;0)</f>
        <v>0</v>
      </c>
      <c r="R319" s="14" cm="1">
        <f t="array" ref="R319">INT(SUMPRODUCT(--ISNUMBER(SEARCH(race,C319)))&gt;0)</f>
        <v>0</v>
      </c>
      <c r="S319" s="14" cm="1">
        <f t="array" ref="S319">INT(SUMPRODUCT(--ISNUMBER(SEARCH(immigration,C319)))&gt;0)</f>
        <v>0</v>
      </c>
      <c r="T319" s="14" cm="1">
        <f t="array" ref="T319">INT(SUMPRODUCT(--ISNUMBER(SEARCH(econineq,C320)))&gt;0)</f>
        <v>0</v>
      </c>
      <c r="U319" s="14" cm="1">
        <f t="array" ref="U319">INT(SUMPRODUCT(--ISNUMBER(SEARCH(climate,C319)))&gt;0)</f>
        <v>0</v>
      </c>
      <c r="V319" s="14" cm="1">
        <f t="array" ref="V319">INT(SUMPRODUCT(--ISNUMBER(SEARCH(abortion,C319)))&gt;0)</f>
        <v>0</v>
      </c>
      <c r="W319" s="14" cm="1">
        <f t="array" ref="W319">INT(SUMPRODUCT(--ISNUMBER(SEARCH(trump,C319)))&gt;0)</f>
        <v>1</v>
      </c>
      <c r="X319" s="14" cm="1">
        <f t="array" ref="X319">INT(SUMPRODUCT(--ISNUMBER(SEARCH(voting,C319)))&gt;0)</f>
        <v>0</v>
      </c>
      <c r="Y319" s="14" cm="1">
        <f t="array" ref="Y319">INT(SUMPRODUCT(--ISNUMBER(SEARCH(democrattrigger,C319)))&gt;0)</f>
        <v>1</v>
      </c>
      <c r="Z319" s="14" cm="1">
        <f t="array" ref="Z319">INT(SUMPRODUCT(--ISNUMBER(SEARCH(bipartisan,C319)))&gt;0)</f>
        <v>0</v>
      </c>
      <c r="AA319" s="14">
        <f t="shared" si="4"/>
        <v>0</v>
      </c>
      <c r="AB319" s="14"/>
      <c r="AC319" s="30" t="s">
        <v>223</v>
      </c>
      <c r="AD319" s="37" t="s">
        <v>223</v>
      </c>
    </row>
    <row r="320" spans="1:30" x14ac:dyDescent="0.25">
      <c r="A320" s="36">
        <v>2473</v>
      </c>
      <c r="B320" s="14" t="s">
        <v>4971</v>
      </c>
      <c r="C320" s="14" t="s">
        <v>4972</v>
      </c>
      <c r="D320" s="17">
        <v>44111</v>
      </c>
      <c r="E320" s="14" t="s">
        <v>30</v>
      </c>
      <c r="F320" s="14">
        <v>128</v>
      </c>
      <c r="G320" s="14">
        <v>14</v>
      </c>
      <c r="H320" s="14">
        <v>11</v>
      </c>
      <c r="I320" s="14">
        <v>6</v>
      </c>
      <c r="J320" s="14" t="s">
        <v>204</v>
      </c>
      <c r="K320" s="14" cm="1">
        <f t="array" ref="K320">INT(SUMPRODUCT(--ISNUMBER(SEARCH(economy,C320)))&gt;0)</f>
        <v>0</v>
      </c>
      <c r="L320" s="14" cm="1">
        <f t="array" ref="L320">INT(SUMPRODUCT(--ISNUMBER(SEARCH(healthcare,C320)))&gt;0)</f>
        <v>0</v>
      </c>
      <c r="M320" s="14" cm="1">
        <f t="array" ref="M320">INT(SUMPRODUCT(--ISNUMBER(SEARCH(supreme,C320)))&gt;0)</f>
        <v>0</v>
      </c>
      <c r="N320" s="14" cm="1">
        <f t="array" ref="N320">INT(SUMPRODUCT(--ISNUMBER(SEARCH(covid,C320)))&gt;0)</f>
        <v>0</v>
      </c>
      <c r="O320" s="14" cm="1">
        <f t="array" ref="O320">INT(SUMPRODUCT(--ISNUMBER(SEARCH(violent,C320)))&gt;0)</f>
        <v>0</v>
      </c>
      <c r="P320" s="14" cm="1">
        <f t="array" ref="P320">INT(SUMPRODUCT(--ISNUMBER(SEARCH(foreign,C320)))&gt;0)</f>
        <v>0</v>
      </c>
      <c r="Q320" s="14" cm="1">
        <f t="array" ref="Q320">INT(SUMPRODUCT(--ISNUMBER(SEARCH(gun,C320)))&gt;0)</f>
        <v>0</v>
      </c>
      <c r="R320" s="14" cm="1">
        <f t="array" ref="R320">INT(SUMPRODUCT(--ISNUMBER(SEARCH(race,C320)))&gt;0)</f>
        <v>0</v>
      </c>
      <c r="S320" s="14" cm="1">
        <f t="array" ref="S320">INT(SUMPRODUCT(--ISNUMBER(SEARCH(immigration,C320)))&gt;0)</f>
        <v>0</v>
      </c>
      <c r="T320" s="14" cm="1">
        <f t="array" ref="T320">INT(SUMPRODUCT(--ISNUMBER(SEARCH(econineq,C321)))&gt;0)</f>
        <v>0</v>
      </c>
      <c r="U320" s="14" cm="1">
        <f t="array" ref="U320">INT(SUMPRODUCT(--ISNUMBER(SEARCH(climate,C320)))&gt;0)</f>
        <v>0</v>
      </c>
      <c r="V320" s="14" cm="1">
        <f t="array" ref="V320">INT(SUMPRODUCT(--ISNUMBER(SEARCH(abortion,C320)))&gt;0)</f>
        <v>0</v>
      </c>
      <c r="W320" s="14" cm="1">
        <f t="array" ref="W320">INT(SUMPRODUCT(--ISNUMBER(SEARCH(trump,C320)))&gt;0)</f>
        <v>0</v>
      </c>
      <c r="X320" s="14" cm="1">
        <f t="array" ref="X320">INT(SUMPRODUCT(--ISNUMBER(SEARCH(voting,C320)))&gt;0)</f>
        <v>0</v>
      </c>
      <c r="Y320" s="14" cm="1">
        <f t="array" ref="Y320">INT(SUMPRODUCT(--ISNUMBER(SEARCH(democrattrigger,C320)))&gt;0)</f>
        <v>0</v>
      </c>
      <c r="Z320" s="14" cm="1">
        <f t="array" ref="Z320">INT(SUMPRODUCT(--ISNUMBER(SEARCH(bipartisan,C320)))&gt;0)</f>
        <v>0</v>
      </c>
      <c r="AA320" s="14">
        <f t="shared" si="4"/>
        <v>1</v>
      </c>
      <c r="AB320" s="14"/>
      <c r="AC320" s="30" t="s">
        <v>223</v>
      </c>
      <c r="AD320" s="37" t="s">
        <v>223</v>
      </c>
    </row>
    <row r="321" spans="1:30" x14ac:dyDescent="0.25">
      <c r="A321" s="36">
        <v>2474</v>
      </c>
      <c r="B321" s="14" t="s">
        <v>4973</v>
      </c>
      <c r="C321" s="14" t="s">
        <v>4974</v>
      </c>
      <c r="D321" s="17">
        <v>44111</v>
      </c>
      <c r="E321" s="14" t="s">
        <v>30</v>
      </c>
      <c r="F321" s="14">
        <v>49</v>
      </c>
      <c r="G321" s="14">
        <v>22</v>
      </c>
      <c r="H321" s="14">
        <v>11</v>
      </c>
      <c r="I321" s="14">
        <v>6</v>
      </c>
      <c r="J321" s="14" t="s">
        <v>204</v>
      </c>
      <c r="K321" s="14" cm="1">
        <f t="array" ref="K321">INT(SUMPRODUCT(--ISNUMBER(SEARCH(economy,C321)))&gt;0)</f>
        <v>0</v>
      </c>
      <c r="L321" s="14" cm="1">
        <f t="array" ref="L321">INT(SUMPRODUCT(--ISNUMBER(SEARCH(healthcare,C321)))&gt;0)</f>
        <v>0</v>
      </c>
      <c r="M321" s="14" cm="1">
        <f t="array" ref="M321">INT(SUMPRODUCT(--ISNUMBER(SEARCH(supreme,C321)))&gt;0)</f>
        <v>0</v>
      </c>
      <c r="N321" s="14" cm="1">
        <f t="array" ref="N321">INT(SUMPRODUCT(--ISNUMBER(SEARCH(covid,C321)))&gt;0)</f>
        <v>0</v>
      </c>
      <c r="O321" s="14" cm="1">
        <f t="array" ref="O321">INT(SUMPRODUCT(--ISNUMBER(SEARCH(violent,C321)))&gt;0)</f>
        <v>0</v>
      </c>
      <c r="P321" s="14" cm="1">
        <f t="array" ref="P321">INT(SUMPRODUCT(--ISNUMBER(SEARCH(foreign,C321)))&gt;0)</f>
        <v>0</v>
      </c>
      <c r="Q321" s="14" cm="1">
        <f t="array" ref="Q321">INT(SUMPRODUCT(--ISNUMBER(SEARCH(gun,C321)))&gt;0)</f>
        <v>0</v>
      </c>
      <c r="R321" s="14" cm="1">
        <f t="array" ref="R321">INT(SUMPRODUCT(--ISNUMBER(SEARCH(race,C321)))&gt;0)</f>
        <v>0</v>
      </c>
      <c r="S321" s="14" cm="1">
        <f t="array" ref="S321">INT(SUMPRODUCT(--ISNUMBER(SEARCH(immigration,C321)))&gt;0)</f>
        <v>0</v>
      </c>
      <c r="T321" s="14" cm="1">
        <f t="array" ref="T321">INT(SUMPRODUCT(--ISNUMBER(SEARCH(econineq,C322)))&gt;0)</f>
        <v>0</v>
      </c>
      <c r="U321" s="14" cm="1">
        <f t="array" ref="U321">INT(SUMPRODUCT(--ISNUMBER(SEARCH(climate,C321)))&gt;0)</f>
        <v>0</v>
      </c>
      <c r="V321" s="14" cm="1">
        <f t="array" ref="V321">INT(SUMPRODUCT(--ISNUMBER(SEARCH(abortion,C321)))&gt;0)</f>
        <v>0</v>
      </c>
      <c r="W321" s="14" cm="1">
        <f t="array" ref="W321">INT(SUMPRODUCT(--ISNUMBER(SEARCH(trump,C321)))&gt;0)</f>
        <v>0</v>
      </c>
      <c r="X321" s="14" cm="1">
        <f t="array" ref="X321">INT(SUMPRODUCT(--ISNUMBER(SEARCH(voting,C321)))&gt;0)</f>
        <v>1</v>
      </c>
      <c r="Y321" s="14" cm="1">
        <f t="array" ref="Y321">INT(SUMPRODUCT(--ISNUMBER(SEARCH(democrattrigger,C321)))&gt;0)</f>
        <v>0</v>
      </c>
      <c r="Z321" s="14" cm="1">
        <f t="array" ref="Z321">INT(SUMPRODUCT(--ISNUMBER(SEARCH(bipartisan,C321)))&gt;0)</f>
        <v>0</v>
      </c>
      <c r="AA321" s="14">
        <f t="shared" si="4"/>
        <v>0</v>
      </c>
      <c r="AB321" s="14"/>
      <c r="AC321" s="30" t="s">
        <v>223</v>
      </c>
      <c r="AD321" s="37" t="s">
        <v>223</v>
      </c>
    </row>
    <row r="322" spans="1:30" x14ac:dyDescent="0.25">
      <c r="A322" s="36">
        <v>2475</v>
      </c>
      <c r="B322" s="14" t="s">
        <v>4975</v>
      </c>
      <c r="C322" s="14" t="s">
        <v>4976</v>
      </c>
      <c r="D322" s="17">
        <v>44111</v>
      </c>
      <c r="E322" s="14" t="s">
        <v>30</v>
      </c>
      <c r="F322" s="14">
        <v>51</v>
      </c>
      <c r="G322" s="14">
        <v>18</v>
      </c>
      <c r="H322" s="14">
        <v>11</v>
      </c>
      <c r="I322" s="14">
        <v>6</v>
      </c>
      <c r="J322" s="14" t="s">
        <v>204</v>
      </c>
      <c r="K322" s="14" cm="1">
        <f t="array" ref="K322">INT(SUMPRODUCT(--ISNUMBER(SEARCH(economy,C322)))&gt;0)</f>
        <v>1</v>
      </c>
      <c r="L322" s="14" cm="1">
        <f t="array" ref="L322">INT(SUMPRODUCT(--ISNUMBER(SEARCH(healthcare,C322)))&gt;0)</f>
        <v>0</v>
      </c>
      <c r="M322" s="14" cm="1">
        <f t="array" ref="M322">INT(SUMPRODUCT(--ISNUMBER(SEARCH(supreme,C322)))&gt;0)</f>
        <v>0</v>
      </c>
      <c r="N322" s="14" cm="1">
        <f t="array" ref="N322">INT(SUMPRODUCT(--ISNUMBER(SEARCH(covid,C322)))&gt;0)</f>
        <v>1</v>
      </c>
      <c r="O322" s="14" cm="1">
        <f t="array" ref="O322">INT(SUMPRODUCT(--ISNUMBER(SEARCH(violent,C322)))&gt;0)</f>
        <v>0</v>
      </c>
      <c r="P322" s="14" cm="1">
        <f t="array" ref="P322">INT(SUMPRODUCT(--ISNUMBER(SEARCH(foreign,C322)))&gt;0)</f>
        <v>0</v>
      </c>
      <c r="Q322" s="14" cm="1">
        <f t="array" ref="Q322">INT(SUMPRODUCT(--ISNUMBER(SEARCH(gun,C322)))&gt;0)</f>
        <v>0</v>
      </c>
      <c r="R322" s="14" cm="1">
        <f t="array" ref="R322">INT(SUMPRODUCT(--ISNUMBER(SEARCH(race,C322)))&gt;0)</f>
        <v>0</v>
      </c>
      <c r="S322" s="14" cm="1">
        <f t="array" ref="S322">INT(SUMPRODUCT(--ISNUMBER(SEARCH(immigration,C322)))&gt;0)</f>
        <v>0</v>
      </c>
      <c r="T322" s="14" cm="1">
        <f t="array" ref="T322">INT(SUMPRODUCT(--ISNUMBER(SEARCH(econineq,C323)))&gt;0)</f>
        <v>0</v>
      </c>
      <c r="U322" s="14" cm="1">
        <f t="array" ref="U322">INT(SUMPRODUCT(--ISNUMBER(SEARCH(climate,C322)))&gt;0)</f>
        <v>0</v>
      </c>
      <c r="V322" s="14" cm="1">
        <f t="array" ref="V322">INT(SUMPRODUCT(--ISNUMBER(SEARCH(abortion,C322)))&gt;0)</f>
        <v>0</v>
      </c>
      <c r="W322" s="14" cm="1">
        <f t="array" ref="W322">INT(SUMPRODUCT(--ISNUMBER(SEARCH(trump,C322)))&gt;0)</f>
        <v>1</v>
      </c>
      <c r="X322" s="14" cm="1">
        <f t="array" ref="X322">INT(SUMPRODUCT(--ISNUMBER(SEARCH(voting,C322)))&gt;0)</f>
        <v>0</v>
      </c>
      <c r="Y322" s="14" cm="1">
        <f t="array" ref="Y322">INT(SUMPRODUCT(--ISNUMBER(SEARCH(democrattrigger,C322)))&gt;0)</f>
        <v>1</v>
      </c>
      <c r="Z322" s="14" cm="1">
        <f t="array" ref="Z322">INT(SUMPRODUCT(--ISNUMBER(SEARCH(bipartisan,C322)))&gt;0)</f>
        <v>0</v>
      </c>
      <c r="AA322" s="14">
        <f t="shared" si="4"/>
        <v>0</v>
      </c>
      <c r="AB322" s="14"/>
      <c r="AC322" s="30" t="s">
        <v>223</v>
      </c>
      <c r="AD322" s="37" t="s">
        <v>223</v>
      </c>
    </row>
    <row r="323" spans="1:30" x14ac:dyDescent="0.25">
      <c r="A323" s="36">
        <v>2476</v>
      </c>
      <c r="B323" s="14" t="s">
        <v>4977</v>
      </c>
      <c r="C323" s="14" t="s">
        <v>4978</v>
      </c>
      <c r="D323" s="17">
        <v>44111</v>
      </c>
      <c r="E323" s="14" t="s">
        <v>30</v>
      </c>
      <c r="F323" s="14">
        <v>105</v>
      </c>
      <c r="G323" s="14">
        <v>39</v>
      </c>
      <c r="H323" s="14">
        <v>11</v>
      </c>
      <c r="I323" s="14">
        <v>6</v>
      </c>
      <c r="J323" s="14" t="s">
        <v>204</v>
      </c>
      <c r="K323" s="14" cm="1">
        <f t="array" ref="K323">INT(SUMPRODUCT(--ISNUMBER(SEARCH(economy,C323)))&gt;0)</f>
        <v>0</v>
      </c>
      <c r="L323" s="14" cm="1">
        <f t="array" ref="L323">INT(SUMPRODUCT(--ISNUMBER(SEARCH(healthcare,C323)))&gt;0)</f>
        <v>0</v>
      </c>
      <c r="M323" s="14" cm="1">
        <f t="array" ref="M323">INT(SUMPRODUCT(--ISNUMBER(SEARCH(supreme,C323)))&gt;0)</f>
        <v>0</v>
      </c>
      <c r="N323" s="14" cm="1">
        <f t="array" ref="N323">INT(SUMPRODUCT(--ISNUMBER(SEARCH(covid,C323)))&gt;0)</f>
        <v>0</v>
      </c>
      <c r="O323" s="14" cm="1">
        <f t="array" ref="O323">INT(SUMPRODUCT(--ISNUMBER(SEARCH(violent,C323)))&gt;0)</f>
        <v>1</v>
      </c>
      <c r="P323" s="14" cm="1">
        <f t="array" ref="P323">INT(SUMPRODUCT(--ISNUMBER(SEARCH(foreign,C323)))&gt;0)</f>
        <v>0</v>
      </c>
      <c r="Q323" s="14" cm="1">
        <f t="array" ref="Q323">INT(SUMPRODUCT(--ISNUMBER(SEARCH(gun,C323)))&gt;0)</f>
        <v>1</v>
      </c>
      <c r="R323" s="14" cm="1">
        <f t="array" ref="R323">INT(SUMPRODUCT(--ISNUMBER(SEARCH(race,C323)))&gt;0)</f>
        <v>0</v>
      </c>
      <c r="S323" s="14" cm="1">
        <f t="array" ref="S323">INT(SUMPRODUCT(--ISNUMBER(SEARCH(immigration,C323)))&gt;0)</f>
        <v>0</v>
      </c>
      <c r="T323" s="14" cm="1">
        <f t="array" ref="T323">INT(SUMPRODUCT(--ISNUMBER(SEARCH(econineq,C324)))&gt;0)</f>
        <v>0</v>
      </c>
      <c r="U323" s="14" cm="1">
        <f t="array" ref="U323">INT(SUMPRODUCT(--ISNUMBER(SEARCH(climate,C323)))&gt;0)</f>
        <v>0</v>
      </c>
      <c r="V323" s="14" cm="1">
        <f t="array" ref="V323">INT(SUMPRODUCT(--ISNUMBER(SEARCH(abortion,C323)))&gt;0)</f>
        <v>0</v>
      </c>
      <c r="W323" s="14" cm="1">
        <f t="array" ref="W323">INT(SUMPRODUCT(--ISNUMBER(SEARCH(trump,C323)))&gt;0)</f>
        <v>0</v>
      </c>
      <c r="X323" s="14" cm="1">
        <f t="array" ref="X323">INT(SUMPRODUCT(--ISNUMBER(SEARCH(voting,C323)))&gt;0)</f>
        <v>1</v>
      </c>
      <c r="Y323" s="14" cm="1">
        <f t="array" ref="Y323">INT(SUMPRODUCT(--ISNUMBER(SEARCH(democrattrigger,C323)))&gt;0)</f>
        <v>0</v>
      </c>
      <c r="Z323" s="14" cm="1">
        <f t="array" ref="Z323">INT(SUMPRODUCT(--ISNUMBER(SEARCH(bipartisan,C323)))&gt;0)</f>
        <v>0</v>
      </c>
      <c r="AA323" s="14">
        <f t="shared" ref="AA323:AA354" si="5">INT(IF(COUNTIF(K323:Z323,1)=0,"1","0"))</f>
        <v>0</v>
      </c>
      <c r="AB323" s="14"/>
      <c r="AC323" s="30" t="s">
        <v>223</v>
      </c>
      <c r="AD323" s="37" t="s">
        <v>223</v>
      </c>
    </row>
    <row r="324" spans="1:30" x14ac:dyDescent="0.25">
      <c r="A324" s="36">
        <v>2477</v>
      </c>
      <c r="B324" s="14" t="s">
        <v>4979</v>
      </c>
      <c r="C324" s="14" t="s">
        <v>4980</v>
      </c>
      <c r="D324" s="17">
        <v>44111</v>
      </c>
      <c r="E324" s="14" t="s">
        <v>30</v>
      </c>
      <c r="F324" s="14">
        <v>229</v>
      </c>
      <c r="G324" s="14">
        <v>24</v>
      </c>
      <c r="H324" s="14">
        <v>11</v>
      </c>
      <c r="I324" s="14">
        <v>6</v>
      </c>
      <c r="J324" s="14" t="s">
        <v>204</v>
      </c>
      <c r="K324" s="14" cm="1">
        <f t="array" ref="K324">INT(SUMPRODUCT(--ISNUMBER(SEARCH(economy,C324)))&gt;0)</f>
        <v>0</v>
      </c>
      <c r="L324" s="14" cm="1">
        <f t="array" ref="L324">INT(SUMPRODUCT(--ISNUMBER(SEARCH(healthcare,C324)))&gt;0)</f>
        <v>0</v>
      </c>
      <c r="M324" s="14" cm="1">
        <f t="array" ref="M324">INT(SUMPRODUCT(--ISNUMBER(SEARCH(supreme,C324)))&gt;0)</f>
        <v>0</v>
      </c>
      <c r="N324" s="14" cm="1">
        <f t="array" ref="N324">INT(SUMPRODUCT(--ISNUMBER(SEARCH(covid,C324)))&gt;0)</f>
        <v>0</v>
      </c>
      <c r="O324" s="14" cm="1">
        <f t="array" ref="O324">INT(SUMPRODUCT(--ISNUMBER(SEARCH(violent,C324)))&gt;0)</f>
        <v>0</v>
      </c>
      <c r="P324" s="14" cm="1">
        <f t="array" ref="P324">INT(SUMPRODUCT(--ISNUMBER(SEARCH(foreign,C324)))&gt;0)</f>
        <v>0</v>
      </c>
      <c r="Q324" s="14" cm="1">
        <f t="array" ref="Q324">INT(SUMPRODUCT(--ISNUMBER(SEARCH(gun,C324)))&gt;0)</f>
        <v>0</v>
      </c>
      <c r="R324" s="14" cm="1">
        <f t="array" ref="R324">INT(SUMPRODUCT(--ISNUMBER(SEARCH(race,C324)))&gt;0)</f>
        <v>0</v>
      </c>
      <c r="S324" s="14" cm="1">
        <f t="array" ref="S324">INT(SUMPRODUCT(--ISNUMBER(SEARCH(immigration,C324)))&gt;0)</f>
        <v>0</v>
      </c>
      <c r="T324" s="14" cm="1">
        <f t="array" ref="T324">INT(SUMPRODUCT(--ISNUMBER(SEARCH(econineq,C325)))&gt;0)</f>
        <v>0</v>
      </c>
      <c r="U324" s="14" cm="1">
        <f t="array" ref="U324">INT(SUMPRODUCT(--ISNUMBER(SEARCH(climate,C324)))&gt;0)</f>
        <v>0</v>
      </c>
      <c r="V324" s="14" cm="1">
        <f t="array" ref="V324">INT(SUMPRODUCT(--ISNUMBER(SEARCH(abortion,C324)))&gt;0)</f>
        <v>0</v>
      </c>
      <c r="W324" s="14" cm="1">
        <f t="array" ref="W324">INT(SUMPRODUCT(--ISNUMBER(SEARCH(trump,C324)))&gt;0)</f>
        <v>1</v>
      </c>
      <c r="X324" s="14" cm="1">
        <f t="array" ref="X324">INT(SUMPRODUCT(--ISNUMBER(SEARCH(voting,C324)))&gt;0)</f>
        <v>0</v>
      </c>
      <c r="Y324" s="14" cm="1">
        <f t="array" ref="Y324">INT(SUMPRODUCT(--ISNUMBER(SEARCH(democrattrigger,C324)))&gt;0)</f>
        <v>0</v>
      </c>
      <c r="Z324" s="14" cm="1">
        <f t="array" ref="Z324">INT(SUMPRODUCT(--ISNUMBER(SEARCH(bipartisan,C324)))&gt;0)</f>
        <v>0</v>
      </c>
      <c r="AA324" s="14">
        <f t="shared" si="5"/>
        <v>0</v>
      </c>
      <c r="AB324" s="14"/>
      <c r="AC324" s="30" t="s">
        <v>223</v>
      </c>
      <c r="AD324" s="37" t="s">
        <v>223</v>
      </c>
    </row>
    <row r="325" spans="1:30" x14ac:dyDescent="0.25">
      <c r="A325" s="36">
        <v>2478</v>
      </c>
      <c r="B325" s="14" t="s">
        <v>4981</v>
      </c>
      <c r="C325" s="14" t="s">
        <v>4982</v>
      </c>
      <c r="D325" s="17">
        <v>44111</v>
      </c>
      <c r="E325" s="14" t="s">
        <v>30</v>
      </c>
      <c r="F325" s="14">
        <v>130</v>
      </c>
      <c r="G325" s="14">
        <v>23</v>
      </c>
      <c r="H325" s="14">
        <v>11</v>
      </c>
      <c r="I325" s="14">
        <v>6</v>
      </c>
      <c r="J325" s="14" t="s">
        <v>204</v>
      </c>
      <c r="K325" s="14" cm="1">
        <f t="array" ref="K325">INT(SUMPRODUCT(--ISNUMBER(SEARCH(economy,C325)))&gt;0)</f>
        <v>0</v>
      </c>
      <c r="L325" s="14" cm="1">
        <f t="array" ref="L325">INT(SUMPRODUCT(--ISNUMBER(SEARCH(healthcare,C325)))&gt;0)</f>
        <v>0</v>
      </c>
      <c r="M325" s="14" cm="1">
        <f t="array" ref="M325">INT(SUMPRODUCT(--ISNUMBER(SEARCH(supreme,C325)))&gt;0)</f>
        <v>1</v>
      </c>
      <c r="N325" s="14" cm="1">
        <f t="array" ref="N325">INT(SUMPRODUCT(--ISNUMBER(SEARCH(covid,C325)))&gt;0)</f>
        <v>0</v>
      </c>
      <c r="O325" s="14" cm="1">
        <f t="array" ref="O325">INT(SUMPRODUCT(--ISNUMBER(SEARCH(violent,C325)))&gt;0)</f>
        <v>0</v>
      </c>
      <c r="P325" s="14" cm="1">
        <f t="array" ref="P325">INT(SUMPRODUCT(--ISNUMBER(SEARCH(foreign,C325)))&gt;0)</f>
        <v>0</v>
      </c>
      <c r="Q325" s="14" cm="1">
        <f t="array" ref="Q325">INT(SUMPRODUCT(--ISNUMBER(SEARCH(gun,C325)))&gt;0)</f>
        <v>0</v>
      </c>
      <c r="R325" s="14" cm="1">
        <f t="array" ref="R325">INT(SUMPRODUCT(--ISNUMBER(SEARCH(race,C325)))&gt;0)</f>
        <v>0</v>
      </c>
      <c r="S325" s="14" cm="1">
        <f t="array" ref="S325">INT(SUMPRODUCT(--ISNUMBER(SEARCH(immigration,C325)))&gt;0)</f>
        <v>0</v>
      </c>
      <c r="T325" s="14" cm="1">
        <f t="array" ref="T325">INT(SUMPRODUCT(--ISNUMBER(SEARCH(econineq,C326)))&gt;0)</f>
        <v>0</v>
      </c>
      <c r="U325" s="14" cm="1">
        <f t="array" ref="U325">INT(SUMPRODUCT(--ISNUMBER(SEARCH(climate,C325)))&gt;0)</f>
        <v>0</v>
      </c>
      <c r="V325" s="14" cm="1">
        <f t="array" ref="V325">INT(SUMPRODUCT(--ISNUMBER(SEARCH(abortion,C325)))&gt;0)</f>
        <v>1</v>
      </c>
      <c r="W325" s="14" cm="1">
        <f t="array" ref="W325">INT(SUMPRODUCT(--ISNUMBER(SEARCH(trump,C325)))&gt;0)</f>
        <v>0</v>
      </c>
      <c r="X325" s="14" cm="1">
        <f t="array" ref="X325">INT(SUMPRODUCT(--ISNUMBER(SEARCH(voting,C325)))&gt;0)</f>
        <v>0</v>
      </c>
      <c r="Y325" s="14" cm="1">
        <f t="array" ref="Y325">INT(SUMPRODUCT(--ISNUMBER(SEARCH(democrattrigger,C325)))&gt;0)</f>
        <v>0</v>
      </c>
      <c r="Z325" s="14" cm="1">
        <f t="array" ref="Z325">INT(SUMPRODUCT(--ISNUMBER(SEARCH(bipartisan,C325)))&gt;0)</f>
        <v>0</v>
      </c>
      <c r="AA325" s="14">
        <f t="shared" si="5"/>
        <v>0</v>
      </c>
      <c r="AB325" s="14"/>
      <c r="AC325" s="30" t="s">
        <v>223</v>
      </c>
      <c r="AD325" s="37" t="s">
        <v>223</v>
      </c>
    </row>
    <row r="326" spans="1:30" x14ac:dyDescent="0.25">
      <c r="A326" s="36">
        <v>2479</v>
      </c>
      <c r="B326" s="14" t="s">
        <v>4983</v>
      </c>
      <c r="C326" s="14" t="s">
        <v>4984</v>
      </c>
      <c r="D326" s="17">
        <v>44111</v>
      </c>
      <c r="E326" s="14" t="s">
        <v>30</v>
      </c>
      <c r="F326" s="14">
        <v>45</v>
      </c>
      <c r="G326" s="14">
        <v>9</v>
      </c>
      <c r="H326" s="14">
        <v>11</v>
      </c>
      <c r="I326" s="14">
        <v>6</v>
      </c>
      <c r="J326" s="14" t="s">
        <v>204</v>
      </c>
      <c r="K326" s="14" cm="1">
        <f t="array" ref="K326">INT(SUMPRODUCT(--ISNUMBER(SEARCH(economy,C326)))&gt;0)</f>
        <v>0</v>
      </c>
      <c r="L326" s="14" cm="1">
        <f t="array" ref="L326">INT(SUMPRODUCT(--ISNUMBER(SEARCH(healthcare,C326)))&gt;0)</f>
        <v>0</v>
      </c>
      <c r="M326" s="14" cm="1">
        <f t="array" ref="M326">INT(SUMPRODUCT(--ISNUMBER(SEARCH(supreme,C326)))&gt;0)</f>
        <v>0</v>
      </c>
      <c r="N326" s="14" cm="1">
        <f t="array" ref="N326">INT(SUMPRODUCT(--ISNUMBER(SEARCH(covid,C326)))&gt;0)</f>
        <v>0</v>
      </c>
      <c r="O326" s="14" cm="1">
        <f t="array" ref="O326">INT(SUMPRODUCT(--ISNUMBER(SEARCH(violent,C326)))&gt;0)</f>
        <v>0</v>
      </c>
      <c r="P326" s="14" cm="1">
        <f t="array" ref="P326">INT(SUMPRODUCT(--ISNUMBER(SEARCH(foreign,C326)))&gt;0)</f>
        <v>0</v>
      </c>
      <c r="Q326" s="14" cm="1">
        <f t="array" ref="Q326">INT(SUMPRODUCT(--ISNUMBER(SEARCH(gun,C326)))&gt;0)</f>
        <v>0</v>
      </c>
      <c r="R326" s="14" cm="1">
        <f t="array" ref="R326">INT(SUMPRODUCT(--ISNUMBER(SEARCH(race,C326)))&gt;0)</f>
        <v>0</v>
      </c>
      <c r="S326" s="14" cm="1">
        <f t="array" ref="S326">INT(SUMPRODUCT(--ISNUMBER(SEARCH(immigration,C326)))&gt;0)</f>
        <v>0</v>
      </c>
      <c r="T326" s="14" cm="1">
        <f t="array" ref="T326">INT(SUMPRODUCT(--ISNUMBER(SEARCH(econineq,C327)))&gt;0)</f>
        <v>0</v>
      </c>
      <c r="U326" s="14" cm="1">
        <f t="array" ref="U326">INT(SUMPRODUCT(--ISNUMBER(SEARCH(climate,C326)))&gt;0)</f>
        <v>0</v>
      </c>
      <c r="V326" s="14" cm="1">
        <f t="array" ref="V326">INT(SUMPRODUCT(--ISNUMBER(SEARCH(abortion,C326)))&gt;0)</f>
        <v>0</v>
      </c>
      <c r="W326" s="14" cm="1">
        <f t="array" ref="W326">INT(SUMPRODUCT(--ISNUMBER(SEARCH(trump,C326)))&gt;0)</f>
        <v>0</v>
      </c>
      <c r="X326" s="14" cm="1">
        <f t="array" ref="X326">INT(SUMPRODUCT(--ISNUMBER(SEARCH(voting,C326)))&gt;0)</f>
        <v>0</v>
      </c>
      <c r="Y326" s="14" cm="1">
        <f t="array" ref="Y326">INT(SUMPRODUCT(--ISNUMBER(SEARCH(democrattrigger,C326)))&gt;0)</f>
        <v>0</v>
      </c>
      <c r="Z326" s="14" cm="1">
        <f t="array" ref="Z326">INT(SUMPRODUCT(--ISNUMBER(SEARCH(bipartisan,C326)))&gt;0)</f>
        <v>0</v>
      </c>
      <c r="AA326" s="14">
        <f t="shared" si="5"/>
        <v>1</v>
      </c>
      <c r="AB326" s="14"/>
      <c r="AC326" s="30" t="s">
        <v>223</v>
      </c>
      <c r="AD326" s="37" t="s">
        <v>223</v>
      </c>
    </row>
    <row r="327" spans="1:30" x14ac:dyDescent="0.25">
      <c r="A327" s="36">
        <v>2480</v>
      </c>
      <c r="B327" s="14" t="s">
        <v>4985</v>
      </c>
      <c r="C327" s="14" t="s">
        <v>4986</v>
      </c>
      <c r="D327" s="17">
        <v>44111</v>
      </c>
      <c r="E327" s="14" t="s">
        <v>30</v>
      </c>
      <c r="F327" s="14">
        <v>170</v>
      </c>
      <c r="G327" s="14">
        <v>43</v>
      </c>
      <c r="H327" s="14">
        <v>11</v>
      </c>
      <c r="I327" s="14">
        <v>6</v>
      </c>
      <c r="J327" s="14" t="s">
        <v>204</v>
      </c>
      <c r="K327" s="14" cm="1">
        <f t="array" ref="K327">INT(SUMPRODUCT(--ISNUMBER(SEARCH(economy,C327)))&gt;0)</f>
        <v>0</v>
      </c>
      <c r="L327" s="14" cm="1">
        <f t="array" ref="L327">INT(SUMPRODUCT(--ISNUMBER(SEARCH(healthcare,C327)))&gt;0)</f>
        <v>0</v>
      </c>
      <c r="M327" s="14" cm="1">
        <f t="array" ref="M327">INT(SUMPRODUCT(--ISNUMBER(SEARCH(supreme,C327)))&gt;0)</f>
        <v>0</v>
      </c>
      <c r="N327" s="14" cm="1">
        <f t="array" ref="N327">INT(SUMPRODUCT(--ISNUMBER(SEARCH(covid,C327)))&gt;0)</f>
        <v>0</v>
      </c>
      <c r="O327" s="14" cm="1">
        <f t="array" ref="O327">INT(SUMPRODUCT(--ISNUMBER(SEARCH(violent,C327)))&gt;0)</f>
        <v>0</v>
      </c>
      <c r="P327" s="14" cm="1">
        <f t="array" ref="P327">INT(SUMPRODUCT(--ISNUMBER(SEARCH(foreign,C327)))&gt;0)</f>
        <v>1</v>
      </c>
      <c r="Q327" s="14" cm="1">
        <f t="array" ref="Q327">INT(SUMPRODUCT(--ISNUMBER(SEARCH(gun,C327)))&gt;0)</f>
        <v>0</v>
      </c>
      <c r="R327" s="14" cm="1">
        <f t="array" ref="R327">INT(SUMPRODUCT(--ISNUMBER(SEARCH(race,C327)))&gt;0)</f>
        <v>0</v>
      </c>
      <c r="S327" s="14" cm="1">
        <f t="array" ref="S327">INT(SUMPRODUCT(--ISNUMBER(SEARCH(immigration,C327)))&gt;0)</f>
        <v>0</v>
      </c>
      <c r="T327" s="14" cm="1">
        <f t="array" ref="T327">INT(SUMPRODUCT(--ISNUMBER(SEARCH(econineq,C328)))&gt;0)</f>
        <v>0</v>
      </c>
      <c r="U327" s="14" cm="1">
        <f t="array" ref="U327">INT(SUMPRODUCT(--ISNUMBER(SEARCH(climate,C327)))&gt;0)</f>
        <v>0</v>
      </c>
      <c r="V327" s="14" cm="1">
        <f t="array" ref="V327">INT(SUMPRODUCT(--ISNUMBER(SEARCH(abortion,C327)))&gt;0)</f>
        <v>0</v>
      </c>
      <c r="W327" s="14" cm="1">
        <f t="array" ref="W327">INT(SUMPRODUCT(--ISNUMBER(SEARCH(trump,C327)))&gt;0)</f>
        <v>0</v>
      </c>
      <c r="X327" s="14" cm="1">
        <f t="array" ref="X327">INT(SUMPRODUCT(--ISNUMBER(SEARCH(voting,C327)))&gt;0)</f>
        <v>1</v>
      </c>
      <c r="Y327" s="14" cm="1">
        <f t="array" ref="Y327">INT(SUMPRODUCT(--ISNUMBER(SEARCH(democrattrigger,C327)))&gt;0)</f>
        <v>0</v>
      </c>
      <c r="Z327" s="14" cm="1">
        <f t="array" ref="Z327">INT(SUMPRODUCT(--ISNUMBER(SEARCH(bipartisan,C327)))&gt;0)</f>
        <v>0</v>
      </c>
      <c r="AA327" s="14">
        <f t="shared" si="5"/>
        <v>0</v>
      </c>
      <c r="AB327" s="14"/>
      <c r="AC327" s="30">
        <v>1</v>
      </c>
      <c r="AD327" s="37">
        <v>0</v>
      </c>
    </row>
    <row r="328" spans="1:30" x14ac:dyDescent="0.25">
      <c r="A328" s="36">
        <v>2481</v>
      </c>
      <c r="B328" s="14" t="s">
        <v>4987</v>
      </c>
      <c r="C328" s="14" t="s">
        <v>4988</v>
      </c>
      <c r="D328" s="17">
        <v>44111</v>
      </c>
      <c r="E328" s="14" t="s">
        <v>30</v>
      </c>
      <c r="F328" s="14">
        <v>52</v>
      </c>
      <c r="G328" s="14">
        <v>18</v>
      </c>
      <c r="H328" s="14">
        <v>11</v>
      </c>
      <c r="I328" s="14">
        <v>6</v>
      </c>
      <c r="J328" s="14" t="s">
        <v>204</v>
      </c>
      <c r="K328" s="14" cm="1">
        <f t="array" ref="K328">INT(SUMPRODUCT(--ISNUMBER(SEARCH(economy,C328)))&gt;0)</f>
        <v>0</v>
      </c>
      <c r="L328" s="14" cm="1">
        <f t="array" ref="L328">INT(SUMPRODUCT(--ISNUMBER(SEARCH(healthcare,C328)))&gt;0)</f>
        <v>0</v>
      </c>
      <c r="M328" s="14" cm="1">
        <f t="array" ref="M328">INT(SUMPRODUCT(--ISNUMBER(SEARCH(supreme,C328)))&gt;0)</f>
        <v>0</v>
      </c>
      <c r="N328" s="14" cm="1">
        <f t="array" ref="N328">INT(SUMPRODUCT(--ISNUMBER(SEARCH(covid,C328)))&gt;0)</f>
        <v>0</v>
      </c>
      <c r="O328" s="14" cm="1">
        <f t="array" ref="O328">INT(SUMPRODUCT(--ISNUMBER(SEARCH(violent,C328)))&gt;0)</f>
        <v>0</v>
      </c>
      <c r="P328" s="14" cm="1">
        <f t="array" ref="P328">INT(SUMPRODUCT(--ISNUMBER(SEARCH(foreign,C328)))&gt;0)</f>
        <v>1</v>
      </c>
      <c r="Q328" s="14" cm="1">
        <f t="array" ref="Q328">INT(SUMPRODUCT(--ISNUMBER(SEARCH(gun,C328)))&gt;0)</f>
        <v>0</v>
      </c>
      <c r="R328" s="14" cm="1">
        <f t="array" ref="R328">INT(SUMPRODUCT(--ISNUMBER(SEARCH(race,C328)))&gt;0)</f>
        <v>0</v>
      </c>
      <c r="S328" s="14" cm="1">
        <f t="array" ref="S328">INT(SUMPRODUCT(--ISNUMBER(SEARCH(immigration,C328)))&gt;0)</f>
        <v>0</v>
      </c>
      <c r="T328" s="14" cm="1">
        <f t="array" ref="T328">INT(SUMPRODUCT(--ISNUMBER(SEARCH(econineq,C329)))&gt;0)</f>
        <v>0</v>
      </c>
      <c r="U328" s="14" cm="1">
        <f t="array" ref="U328">INT(SUMPRODUCT(--ISNUMBER(SEARCH(climate,C328)))&gt;0)</f>
        <v>0</v>
      </c>
      <c r="V328" s="14" cm="1">
        <f t="array" ref="V328">INT(SUMPRODUCT(--ISNUMBER(SEARCH(abortion,C328)))&gt;0)</f>
        <v>0</v>
      </c>
      <c r="W328" s="14" cm="1">
        <f t="array" ref="W328">INT(SUMPRODUCT(--ISNUMBER(SEARCH(trump,C328)))&gt;0)</f>
        <v>0</v>
      </c>
      <c r="X328" s="14" cm="1">
        <f t="array" ref="X328">INT(SUMPRODUCT(--ISNUMBER(SEARCH(voting,C328)))&gt;0)</f>
        <v>1</v>
      </c>
      <c r="Y328" s="14" cm="1">
        <f t="array" ref="Y328">INT(SUMPRODUCT(--ISNUMBER(SEARCH(democrattrigger,C328)))&gt;0)</f>
        <v>0</v>
      </c>
      <c r="Z328" s="14" cm="1">
        <f t="array" ref="Z328">INT(SUMPRODUCT(--ISNUMBER(SEARCH(bipartisan,C328)))&gt;0)</f>
        <v>0</v>
      </c>
      <c r="AA328" s="14">
        <f t="shared" si="5"/>
        <v>0</v>
      </c>
      <c r="AB328" s="14"/>
      <c r="AC328" s="30">
        <v>0</v>
      </c>
      <c r="AD328" s="37">
        <v>1</v>
      </c>
    </row>
    <row r="329" spans="1:30" x14ac:dyDescent="0.25">
      <c r="A329" s="36">
        <v>2482</v>
      </c>
      <c r="B329" s="14" t="s">
        <v>4989</v>
      </c>
      <c r="C329" s="14" t="s">
        <v>4990</v>
      </c>
      <c r="D329" s="17">
        <v>44111</v>
      </c>
      <c r="E329" s="14" t="s">
        <v>30</v>
      </c>
      <c r="F329" s="14">
        <v>60</v>
      </c>
      <c r="G329" s="14">
        <v>23</v>
      </c>
      <c r="H329" s="14">
        <v>11</v>
      </c>
      <c r="I329" s="14">
        <v>6</v>
      </c>
      <c r="J329" s="14" t="s">
        <v>204</v>
      </c>
      <c r="K329" s="14" cm="1">
        <f t="array" ref="K329">INT(SUMPRODUCT(--ISNUMBER(SEARCH(economy,C329)))&gt;0)</f>
        <v>0</v>
      </c>
      <c r="L329" s="14" cm="1">
        <f t="array" ref="L329">INT(SUMPRODUCT(--ISNUMBER(SEARCH(healthcare,C329)))&gt;0)</f>
        <v>0</v>
      </c>
      <c r="M329" s="14" cm="1">
        <f t="array" ref="M329">INT(SUMPRODUCT(--ISNUMBER(SEARCH(supreme,C329)))&gt;0)</f>
        <v>0</v>
      </c>
      <c r="N329" s="14" cm="1">
        <f t="array" ref="N329">INT(SUMPRODUCT(--ISNUMBER(SEARCH(covid,C329)))&gt;0)</f>
        <v>0</v>
      </c>
      <c r="O329" s="14" cm="1">
        <f t="array" ref="O329">INT(SUMPRODUCT(--ISNUMBER(SEARCH(violent,C329)))&gt;0)</f>
        <v>0</v>
      </c>
      <c r="P329" s="14" cm="1">
        <f t="array" ref="P329">INT(SUMPRODUCT(--ISNUMBER(SEARCH(foreign,C329)))&gt;0)</f>
        <v>0</v>
      </c>
      <c r="Q329" s="14" cm="1">
        <f t="array" ref="Q329">INT(SUMPRODUCT(--ISNUMBER(SEARCH(gun,C329)))&gt;0)</f>
        <v>0</v>
      </c>
      <c r="R329" s="14" cm="1">
        <f t="array" ref="R329">INT(SUMPRODUCT(--ISNUMBER(SEARCH(race,C329)))&gt;0)</f>
        <v>0</v>
      </c>
      <c r="S329" s="14" cm="1">
        <f t="array" ref="S329">INT(SUMPRODUCT(--ISNUMBER(SEARCH(immigration,C329)))&gt;0)</f>
        <v>0</v>
      </c>
      <c r="T329" s="14" cm="1">
        <f t="array" ref="T329">INT(SUMPRODUCT(--ISNUMBER(SEARCH(econineq,C330)))&gt;0)</f>
        <v>0</v>
      </c>
      <c r="U329" s="14" cm="1">
        <f t="array" ref="U329">INT(SUMPRODUCT(--ISNUMBER(SEARCH(climate,C329)))&gt;0)</f>
        <v>0</v>
      </c>
      <c r="V329" s="14" cm="1">
        <f t="array" ref="V329">INT(SUMPRODUCT(--ISNUMBER(SEARCH(abortion,C329)))&gt;0)</f>
        <v>0</v>
      </c>
      <c r="W329" s="14" cm="1">
        <f t="array" ref="W329">INT(SUMPRODUCT(--ISNUMBER(SEARCH(trump,C329)))&gt;0)</f>
        <v>0</v>
      </c>
      <c r="X329" s="14" cm="1">
        <f t="array" ref="X329">INT(SUMPRODUCT(--ISNUMBER(SEARCH(voting,C329)))&gt;0)</f>
        <v>1</v>
      </c>
      <c r="Y329" s="14" cm="1">
        <f t="array" ref="Y329">INT(SUMPRODUCT(--ISNUMBER(SEARCH(democrattrigger,C329)))&gt;0)</f>
        <v>0</v>
      </c>
      <c r="Z329" s="14" cm="1">
        <f t="array" ref="Z329">INT(SUMPRODUCT(--ISNUMBER(SEARCH(bipartisan,C329)))&gt;0)</f>
        <v>0</v>
      </c>
      <c r="AA329" s="14">
        <f t="shared" si="5"/>
        <v>0</v>
      </c>
      <c r="AB329" s="14"/>
      <c r="AC329" s="30" t="s">
        <v>223</v>
      </c>
      <c r="AD329" s="37" t="s">
        <v>223</v>
      </c>
    </row>
    <row r="330" spans="1:30" x14ac:dyDescent="0.25">
      <c r="A330" s="36">
        <v>2483</v>
      </c>
      <c r="B330" s="14" t="s">
        <v>4991</v>
      </c>
      <c r="C330" s="14" t="s">
        <v>4992</v>
      </c>
      <c r="D330" s="17">
        <v>44111</v>
      </c>
      <c r="E330" s="14" t="s">
        <v>30</v>
      </c>
      <c r="F330" s="14">
        <v>291</v>
      </c>
      <c r="G330" s="14">
        <v>46</v>
      </c>
      <c r="H330" s="14">
        <v>11</v>
      </c>
      <c r="I330" s="14">
        <v>6</v>
      </c>
      <c r="J330" s="14" t="s">
        <v>204</v>
      </c>
      <c r="K330" s="14" cm="1">
        <f t="array" ref="K330">INT(SUMPRODUCT(--ISNUMBER(SEARCH(economy,C330)))&gt;0)</f>
        <v>0</v>
      </c>
      <c r="L330" s="14" cm="1">
        <f t="array" ref="L330">INT(SUMPRODUCT(--ISNUMBER(SEARCH(healthcare,C330)))&gt;0)</f>
        <v>0</v>
      </c>
      <c r="M330" s="14" cm="1">
        <f t="array" ref="M330">INT(SUMPRODUCT(--ISNUMBER(SEARCH(supreme,C330)))&gt;0)</f>
        <v>0</v>
      </c>
      <c r="N330" s="14" cm="1">
        <f t="array" ref="N330">INT(SUMPRODUCT(--ISNUMBER(SEARCH(covid,C330)))&gt;0)</f>
        <v>0</v>
      </c>
      <c r="O330" s="14" cm="1">
        <f t="array" ref="O330">INT(SUMPRODUCT(--ISNUMBER(SEARCH(violent,C330)))&gt;0)</f>
        <v>0</v>
      </c>
      <c r="P330" s="14" cm="1">
        <f t="array" ref="P330">INT(SUMPRODUCT(--ISNUMBER(SEARCH(foreign,C330)))&gt;0)</f>
        <v>0</v>
      </c>
      <c r="Q330" s="14" cm="1">
        <f t="array" ref="Q330">INT(SUMPRODUCT(--ISNUMBER(SEARCH(gun,C330)))&gt;0)</f>
        <v>0</v>
      </c>
      <c r="R330" s="14" cm="1">
        <f t="array" ref="R330">INT(SUMPRODUCT(--ISNUMBER(SEARCH(race,C330)))&gt;0)</f>
        <v>0</v>
      </c>
      <c r="S330" s="14" cm="1">
        <f t="array" ref="S330">INT(SUMPRODUCT(--ISNUMBER(SEARCH(immigration,C330)))&gt;0)</f>
        <v>0</v>
      </c>
      <c r="T330" s="14" cm="1">
        <f t="array" ref="T330">INT(SUMPRODUCT(--ISNUMBER(SEARCH(econineq,C331)))&gt;0)</f>
        <v>0</v>
      </c>
      <c r="U330" s="14" cm="1">
        <f t="array" ref="U330">INT(SUMPRODUCT(--ISNUMBER(SEARCH(climate,C330)))&gt;0)</f>
        <v>0</v>
      </c>
      <c r="V330" s="14" cm="1">
        <f t="array" ref="V330">INT(SUMPRODUCT(--ISNUMBER(SEARCH(abortion,C330)))&gt;0)</f>
        <v>0</v>
      </c>
      <c r="W330" s="14" cm="1">
        <f t="array" ref="W330">INT(SUMPRODUCT(--ISNUMBER(SEARCH(trump,C330)))&gt;0)</f>
        <v>0</v>
      </c>
      <c r="X330" s="14" cm="1">
        <f t="array" ref="X330">INT(SUMPRODUCT(--ISNUMBER(SEARCH(voting,C330)))&gt;0)</f>
        <v>0</v>
      </c>
      <c r="Y330" s="14" cm="1">
        <f t="array" ref="Y330">INT(SUMPRODUCT(--ISNUMBER(SEARCH(democrattrigger,C330)))&gt;0)</f>
        <v>0</v>
      </c>
      <c r="Z330" s="14" cm="1">
        <f t="array" ref="Z330">INT(SUMPRODUCT(--ISNUMBER(SEARCH(bipartisan,C330)))&gt;0)</f>
        <v>0</v>
      </c>
      <c r="AA330" s="14">
        <f t="shared" si="5"/>
        <v>1</v>
      </c>
      <c r="AB330" s="14"/>
      <c r="AC330" s="30" t="s">
        <v>223</v>
      </c>
      <c r="AD330" s="37" t="s">
        <v>223</v>
      </c>
    </row>
    <row r="331" spans="1:30" x14ac:dyDescent="0.25">
      <c r="A331" s="36">
        <v>2484</v>
      </c>
      <c r="B331" s="14" t="s">
        <v>4993</v>
      </c>
      <c r="C331" s="14" t="s">
        <v>4994</v>
      </c>
      <c r="D331" s="17">
        <v>44110</v>
      </c>
      <c r="E331" s="14" t="s">
        <v>30</v>
      </c>
      <c r="F331" s="14">
        <v>184</v>
      </c>
      <c r="G331" s="14">
        <v>33</v>
      </c>
      <c r="H331" s="14">
        <v>11</v>
      </c>
      <c r="I331" s="14">
        <v>6</v>
      </c>
      <c r="J331" s="14" t="s">
        <v>204</v>
      </c>
      <c r="K331" s="14" cm="1">
        <f t="array" ref="K331">INT(SUMPRODUCT(--ISNUMBER(SEARCH(economy,C331)))&gt;0)</f>
        <v>1</v>
      </c>
      <c r="L331" s="14" cm="1">
        <f t="array" ref="L331">INT(SUMPRODUCT(--ISNUMBER(SEARCH(healthcare,C331)))&gt;0)</f>
        <v>1</v>
      </c>
      <c r="M331" s="14" cm="1">
        <f t="array" ref="M331">INT(SUMPRODUCT(--ISNUMBER(SEARCH(supreme,C331)))&gt;0)</f>
        <v>0</v>
      </c>
      <c r="N331" s="14" cm="1">
        <f t="array" ref="N331">INT(SUMPRODUCT(--ISNUMBER(SEARCH(covid,C331)))&gt;0)</f>
        <v>0</v>
      </c>
      <c r="O331" s="14" cm="1">
        <f t="array" ref="O331">INT(SUMPRODUCT(--ISNUMBER(SEARCH(violent,C331)))&gt;0)</f>
        <v>0</v>
      </c>
      <c r="P331" s="14" cm="1">
        <f t="array" ref="P331">INT(SUMPRODUCT(--ISNUMBER(SEARCH(foreign,C331)))&gt;0)</f>
        <v>0</v>
      </c>
      <c r="Q331" s="14" cm="1">
        <f t="array" ref="Q331">INT(SUMPRODUCT(--ISNUMBER(SEARCH(gun,C331)))&gt;0)</f>
        <v>0</v>
      </c>
      <c r="R331" s="14" cm="1">
        <f t="array" ref="R331">INT(SUMPRODUCT(--ISNUMBER(SEARCH(race,C331)))&gt;0)</f>
        <v>0</v>
      </c>
      <c r="S331" s="14" cm="1">
        <f t="array" ref="S331">INT(SUMPRODUCT(--ISNUMBER(SEARCH(immigration,C331)))&gt;0)</f>
        <v>0</v>
      </c>
      <c r="T331" s="14" cm="1">
        <f t="array" ref="T331">INT(SUMPRODUCT(--ISNUMBER(SEARCH(econineq,C332)))&gt;0)</f>
        <v>0</v>
      </c>
      <c r="U331" s="14" cm="1">
        <f t="array" ref="U331">INT(SUMPRODUCT(--ISNUMBER(SEARCH(climate,C331)))&gt;0)</f>
        <v>0</v>
      </c>
      <c r="V331" s="14" cm="1">
        <f t="array" ref="V331">INT(SUMPRODUCT(--ISNUMBER(SEARCH(abortion,C331)))&gt;0)</f>
        <v>0</v>
      </c>
      <c r="W331" s="14" cm="1">
        <f t="array" ref="W331">INT(SUMPRODUCT(--ISNUMBER(SEARCH(trump,C331)))&gt;0)</f>
        <v>0</v>
      </c>
      <c r="X331" s="14" cm="1">
        <f t="array" ref="X331">INT(SUMPRODUCT(--ISNUMBER(SEARCH(voting,C331)))&gt;0)</f>
        <v>0</v>
      </c>
      <c r="Y331" s="14" cm="1">
        <f t="array" ref="Y331">INT(SUMPRODUCT(--ISNUMBER(SEARCH(democrattrigger,C331)))&gt;0)</f>
        <v>0</v>
      </c>
      <c r="Z331" s="14" cm="1">
        <f t="array" ref="Z331">INT(SUMPRODUCT(--ISNUMBER(SEARCH(bipartisan,C331)))&gt;0)</f>
        <v>0</v>
      </c>
      <c r="AA331" s="14">
        <f t="shared" si="5"/>
        <v>0</v>
      </c>
      <c r="AB331" s="14"/>
      <c r="AC331" s="30" t="s">
        <v>223</v>
      </c>
      <c r="AD331" s="37" t="s">
        <v>223</v>
      </c>
    </row>
    <row r="332" spans="1:30" x14ac:dyDescent="0.25">
      <c r="A332" s="36">
        <v>2485</v>
      </c>
      <c r="B332" s="14" t="s">
        <v>4995</v>
      </c>
      <c r="C332" s="14" t="s">
        <v>4996</v>
      </c>
      <c r="D332" s="17">
        <v>44110</v>
      </c>
      <c r="E332" s="14" t="s">
        <v>30</v>
      </c>
      <c r="F332" s="14">
        <v>164</v>
      </c>
      <c r="G332" s="14">
        <v>38</v>
      </c>
      <c r="H332" s="14">
        <v>11</v>
      </c>
      <c r="I332" s="14">
        <v>6</v>
      </c>
      <c r="J332" s="14" t="s">
        <v>204</v>
      </c>
      <c r="K332" s="14" cm="1">
        <f t="array" ref="K332">INT(SUMPRODUCT(--ISNUMBER(SEARCH(economy,C332)))&gt;0)</f>
        <v>0</v>
      </c>
      <c r="L332" s="14" cm="1">
        <f t="array" ref="L332">INT(SUMPRODUCT(--ISNUMBER(SEARCH(healthcare,C332)))&gt;0)</f>
        <v>1</v>
      </c>
      <c r="M332" s="14" cm="1">
        <f t="array" ref="M332">INT(SUMPRODUCT(--ISNUMBER(SEARCH(supreme,C332)))&gt;0)</f>
        <v>1</v>
      </c>
      <c r="N332" s="14" cm="1">
        <f t="array" ref="N332">INT(SUMPRODUCT(--ISNUMBER(SEARCH(covid,C332)))&gt;0)</f>
        <v>0</v>
      </c>
      <c r="O332" s="14" cm="1">
        <f t="array" ref="O332">INT(SUMPRODUCT(--ISNUMBER(SEARCH(violent,C332)))&gt;0)</f>
        <v>0</v>
      </c>
      <c r="P332" s="14" cm="1">
        <f t="array" ref="P332">INT(SUMPRODUCT(--ISNUMBER(SEARCH(foreign,C332)))&gt;0)</f>
        <v>0</v>
      </c>
      <c r="Q332" s="14" cm="1">
        <f t="array" ref="Q332">INT(SUMPRODUCT(--ISNUMBER(SEARCH(gun,C332)))&gt;0)</f>
        <v>0</v>
      </c>
      <c r="R332" s="14" cm="1">
        <f t="array" ref="R332">INT(SUMPRODUCT(--ISNUMBER(SEARCH(race,C332)))&gt;0)</f>
        <v>0</v>
      </c>
      <c r="S332" s="14" cm="1">
        <f t="array" ref="S332">INT(SUMPRODUCT(--ISNUMBER(SEARCH(immigration,C332)))&gt;0)</f>
        <v>0</v>
      </c>
      <c r="T332" s="14" cm="1">
        <f t="array" ref="T332">INT(SUMPRODUCT(--ISNUMBER(SEARCH(econineq,C333)))&gt;0)</f>
        <v>0</v>
      </c>
      <c r="U332" s="14" cm="1">
        <f t="array" ref="U332">INT(SUMPRODUCT(--ISNUMBER(SEARCH(climate,C332)))&gt;0)</f>
        <v>0</v>
      </c>
      <c r="V332" s="14" cm="1">
        <f t="array" ref="V332">INT(SUMPRODUCT(--ISNUMBER(SEARCH(abortion,C332)))&gt;0)</f>
        <v>0</v>
      </c>
      <c r="W332" s="14" cm="1">
        <f t="array" ref="W332">INT(SUMPRODUCT(--ISNUMBER(SEARCH(trump,C332)))&gt;0)</f>
        <v>0</v>
      </c>
      <c r="X332" s="14" cm="1">
        <f t="array" ref="X332">INT(SUMPRODUCT(--ISNUMBER(SEARCH(voting,C332)))&gt;0)</f>
        <v>1</v>
      </c>
      <c r="Y332" s="14" cm="1">
        <f t="array" ref="Y332">INT(SUMPRODUCT(--ISNUMBER(SEARCH(democrattrigger,C332)))&gt;0)</f>
        <v>0</v>
      </c>
      <c r="Z332" s="14" cm="1">
        <f t="array" ref="Z332">INT(SUMPRODUCT(--ISNUMBER(SEARCH(bipartisan,C332)))&gt;0)</f>
        <v>0</v>
      </c>
      <c r="AA332" s="14">
        <f t="shared" si="5"/>
        <v>0</v>
      </c>
      <c r="AB332" s="14"/>
      <c r="AC332" s="30" t="s">
        <v>223</v>
      </c>
      <c r="AD332" s="37" t="s">
        <v>223</v>
      </c>
    </row>
    <row r="333" spans="1:30" x14ac:dyDescent="0.25">
      <c r="A333" s="36">
        <v>2486</v>
      </c>
      <c r="B333" s="14" t="s">
        <v>4997</v>
      </c>
      <c r="C333" s="14" t="s">
        <v>4998</v>
      </c>
      <c r="D333" s="17">
        <v>44110</v>
      </c>
      <c r="E333" s="14" t="s">
        <v>30</v>
      </c>
      <c r="F333" s="14">
        <v>163</v>
      </c>
      <c r="G333" s="14">
        <v>31</v>
      </c>
      <c r="H333" s="14">
        <v>11</v>
      </c>
      <c r="I333" s="14">
        <v>6</v>
      </c>
      <c r="J333" s="14" t="s">
        <v>204</v>
      </c>
      <c r="K333" s="14" cm="1">
        <f t="array" ref="K333">INT(SUMPRODUCT(--ISNUMBER(SEARCH(economy,C333)))&gt;0)</f>
        <v>0</v>
      </c>
      <c r="L333" s="14" cm="1">
        <f t="array" ref="L333">INT(SUMPRODUCT(--ISNUMBER(SEARCH(healthcare,C333)))&gt;0)</f>
        <v>0</v>
      </c>
      <c r="M333" s="14" cm="1">
        <f t="array" ref="M333">INT(SUMPRODUCT(--ISNUMBER(SEARCH(supreme,C333)))&gt;0)</f>
        <v>0</v>
      </c>
      <c r="N333" s="14" cm="1">
        <f t="array" ref="N333">INT(SUMPRODUCT(--ISNUMBER(SEARCH(covid,C333)))&gt;0)</f>
        <v>1</v>
      </c>
      <c r="O333" s="14" cm="1">
        <f t="array" ref="O333">INT(SUMPRODUCT(--ISNUMBER(SEARCH(violent,C333)))&gt;0)</f>
        <v>0</v>
      </c>
      <c r="P333" s="14" cm="1">
        <f t="array" ref="P333">INT(SUMPRODUCT(--ISNUMBER(SEARCH(foreign,C333)))&gt;0)</f>
        <v>0</v>
      </c>
      <c r="Q333" s="14" cm="1">
        <f t="array" ref="Q333">INT(SUMPRODUCT(--ISNUMBER(SEARCH(gun,C333)))&gt;0)</f>
        <v>0</v>
      </c>
      <c r="R333" s="14" cm="1">
        <f t="array" ref="R333">INT(SUMPRODUCT(--ISNUMBER(SEARCH(race,C333)))&gt;0)</f>
        <v>0</v>
      </c>
      <c r="S333" s="14" cm="1">
        <f t="array" ref="S333">INT(SUMPRODUCT(--ISNUMBER(SEARCH(immigration,C333)))&gt;0)</f>
        <v>0</v>
      </c>
      <c r="T333" s="14" cm="1">
        <f t="array" ref="T333">INT(SUMPRODUCT(--ISNUMBER(SEARCH(econineq,C334)))&gt;0)</f>
        <v>0</v>
      </c>
      <c r="U333" s="14" cm="1">
        <f t="array" ref="U333">INT(SUMPRODUCT(--ISNUMBER(SEARCH(climate,C333)))&gt;0)</f>
        <v>0</v>
      </c>
      <c r="V333" s="14" cm="1">
        <f t="array" ref="V333">INT(SUMPRODUCT(--ISNUMBER(SEARCH(abortion,C333)))&gt;0)</f>
        <v>0</v>
      </c>
      <c r="W333" s="14" cm="1">
        <f t="array" ref="W333">INT(SUMPRODUCT(--ISNUMBER(SEARCH(trump,C333)))&gt;0)</f>
        <v>0</v>
      </c>
      <c r="X333" s="14" cm="1">
        <f t="array" ref="X333">INT(SUMPRODUCT(--ISNUMBER(SEARCH(voting,C333)))&gt;0)</f>
        <v>0</v>
      </c>
      <c r="Y333" s="14" cm="1">
        <f t="array" ref="Y333">INT(SUMPRODUCT(--ISNUMBER(SEARCH(democrattrigger,C333)))&gt;0)</f>
        <v>0</v>
      </c>
      <c r="Z333" s="14" cm="1">
        <f t="array" ref="Z333">INT(SUMPRODUCT(--ISNUMBER(SEARCH(bipartisan,C333)))&gt;0)</f>
        <v>0</v>
      </c>
      <c r="AA333" s="14">
        <f t="shared" si="5"/>
        <v>0</v>
      </c>
      <c r="AB333" s="14"/>
      <c r="AC333" s="30" t="s">
        <v>223</v>
      </c>
      <c r="AD333" s="37" t="s">
        <v>223</v>
      </c>
    </row>
    <row r="334" spans="1:30" x14ac:dyDescent="0.25">
      <c r="A334" s="36">
        <v>2487</v>
      </c>
      <c r="B334" s="14" t="s">
        <v>4999</v>
      </c>
      <c r="C334" s="14" t="s">
        <v>5000</v>
      </c>
      <c r="D334" s="17">
        <v>44110</v>
      </c>
      <c r="E334" s="14" t="s">
        <v>30</v>
      </c>
      <c r="F334" s="14">
        <v>78</v>
      </c>
      <c r="G334" s="14">
        <v>16</v>
      </c>
      <c r="H334" s="14">
        <v>11</v>
      </c>
      <c r="I334" s="14">
        <v>6</v>
      </c>
      <c r="J334" s="14" t="s">
        <v>204</v>
      </c>
      <c r="K334" s="14" cm="1">
        <f t="array" ref="K334">INT(SUMPRODUCT(--ISNUMBER(SEARCH(economy,C334)))&gt;0)</f>
        <v>0</v>
      </c>
      <c r="L334" s="14" cm="1">
        <f t="array" ref="L334">INT(SUMPRODUCT(--ISNUMBER(SEARCH(healthcare,C334)))&gt;0)</f>
        <v>0</v>
      </c>
      <c r="M334" s="14" cm="1">
        <f t="array" ref="M334">INT(SUMPRODUCT(--ISNUMBER(SEARCH(supreme,C334)))&gt;0)</f>
        <v>0</v>
      </c>
      <c r="N334" s="14" cm="1">
        <f t="array" ref="N334">INT(SUMPRODUCT(--ISNUMBER(SEARCH(covid,C334)))&gt;0)</f>
        <v>0</v>
      </c>
      <c r="O334" s="14" cm="1">
        <f t="array" ref="O334">INT(SUMPRODUCT(--ISNUMBER(SEARCH(violent,C334)))&gt;0)</f>
        <v>0</v>
      </c>
      <c r="P334" s="14" cm="1">
        <f t="array" ref="P334">INT(SUMPRODUCT(--ISNUMBER(SEARCH(foreign,C334)))&gt;0)</f>
        <v>0</v>
      </c>
      <c r="Q334" s="14" cm="1">
        <f t="array" ref="Q334">INT(SUMPRODUCT(--ISNUMBER(SEARCH(gun,C334)))&gt;0)</f>
        <v>0</v>
      </c>
      <c r="R334" s="14" cm="1">
        <f t="array" ref="R334">INT(SUMPRODUCT(--ISNUMBER(SEARCH(race,C334)))&gt;0)</f>
        <v>0</v>
      </c>
      <c r="S334" s="14" cm="1">
        <f t="array" ref="S334">INT(SUMPRODUCT(--ISNUMBER(SEARCH(immigration,C334)))&gt;0)</f>
        <v>0</v>
      </c>
      <c r="T334" s="14" cm="1">
        <f t="array" ref="T334">INT(SUMPRODUCT(--ISNUMBER(SEARCH(econineq,C335)))&gt;0)</f>
        <v>0</v>
      </c>
      <c r="U334" s="14" cm="1">
        <f t="array" ref="U334">INT(SUMPRODUCT(--ISNUMBER(SEARCH(climate,C334)))&gt;0)</f>
        <v>0</v>
      </c>
      <c r="V334" s="14" cm="1">
        <f t="array" ref="V334">INT(SUMPRODUCT(--ISNUMBER(SEARCH(abortion,C334)))&gt;0)</f>
        <v>0</v>
      </c>
      <c r="W334" s="14" cm="1">
        <f t="array" ref="W334">INT(SUMPRODUCT(--ISNUMBER(SEARCH(trump,C334)))&gt;0)</f>
        <v>0</v>
      </c>
      <c r="X334" s="14" cm="1">
        <f t="array" ref="X334">INT(SUMPRODUCT(--ISNUMBER(SEARCH(voting,C334)))&gt;0)</f>
        <v>0</v>
      </c>
      <c r="Y334" s="14" cm="1">
        <f t="array" ref="Y334">INT(SUMPRODUCT(--ISNUMBER(SEARCH(democrattrigger,C334)))&gt;0)</f>
        <v>0</v>
      </c>
      <c r="Z334" s="14" cm="1">
        <f t="array" ref="Z334">INT(SUMPRODUCT(--ISNUMBER(SEARCH(bipartisan,C334)))&gt;0)</f>
        <v>0</v>
      </c>
      <c r="AA334" s="14">
        <f t="shared" si="5"/>
        <v>1</v>
      </c>
      <c r="AB334" s="14"/>
      <c r="AC334" s="30">
        <v>0</v>
      </c>
      <c r="AD334" s="37">
        <v>1</v>
      </c>
    </row>
    <row r="335" spans="1:30" x14ac:dyDescent="0.25">
      <c r="A335" s="36">
        <v>2488</v>
      </c>
      <c r="B335" s="14" t="s">
        <v>5001</v>
      </c>
      <c r="C335" s="14" t="s">
        <v>5002</v>
      </c>
      <c r="D335" s="17">
        <v>44110</v>
      </c>
      <c r="E335" s="14" t="s">
        <v>30</v>
      </c>
      <c r="F335" s="14">
        <v>275</v>
      </c>
      <c r="G335" s="14">
        <v>53</v>
      </c>
      <c r="H335" s="14">
        <v>11</v>
      </c>
      <c r="I335" s="14">
        <v>6</v>
      </c>
      <c r="J335" s="14" t="s">
        <v>204</v>
      </c>
      <c r="K335" s="14" cm="1">
        <f t="array" ref="K335">INT(SUMPRODUCT(--ISNUMBER(SEARCH(economy,C335)))&gt;0)</f>
        <v>0</v>
      </c>
      <c r="L335" s="14" cm="1">
        <f t="array" ref="L335">INT(SUMPRODUCT(--ISNUMBER(SEARCH(healthcare,C335)))&gt;0)</f>
        <v>0</v>
      </c>
      <c r="M335" s="14" cm="1">
        <f t="array" ref="M335">INT(SUMPRODUCT(--ISNUMBER(SEARCH(supreme,C335)))&gt;0)</f>
        <v>1</v>
      </c>
      <c r="N335" s="14" cm="1">
        <f t="array" ref="N335">INT(SUMPRODUCT(--ISNUMBER(SEARCH(covid,C335)))&gt;0)</f>
        <v>0</v>
      </c>
      <c r="O335" s="14" cm="1">
        <f t="array" ref="O335">INT(SUMPRODUCT(--ISNUMBER(SEARCH(violent,C335)))&gt;0)</f>
        <v>0</v>
      </c>
      <c r="P335" s="14" cm="1">
        <f t="array" ref="P335">INT(SUMPRODUCT(--ISNUMBER(SEARCH(foreign,C335)))&gt;0)</f>
        <v>0</v>
      </c>
      <c r="Q335" s="14" cm="1">
        <f t="array" ref="Q335">INT(SUMPRODUCT(--ISNUMBER(SEARCH(gun,C335)))&gt;0)</f>
        <v>0</v>
      </c>
      <c r="R335" s="14" cm="1">
        <f t="array" ref="R335">INT(SUMPRODUCT(--ISNUMBER(SEARCH(race,C335)))&gt;0)</f>
        <v>0</v>
      </c>
      <c r="S335" s="14" cm="1">
        <f t="array" ref="S335">INT(SUMPRODUCT(--ISNUMBER(SEARCH(immigration,C335)))&gt;0)</f>
        <v>0</v>
      </c>
      <c r="T335" s="14" cm="1">
        <f t="array" ref="T335">INT(SUMPRODUCT(--ISNUMBER(SEARCH(econineq,C336)))&gt;0)</f>
        <v>0</v>
      </c>
      <c r="U335" s="14" cm="1">
        <f t="array" ref="U335">INT(SUMPRODUCT(--ISNUMBER(SEARCH(climate,C335)))&gt;0)</f>
        <v>0</v>
      </c>
      <c r="V335" s="14" cm="1">
        <f t="array" ref="V335">INT(SUMPRODUCT(--ISNUMBER(SEARCH(abortion,C335)))&gt;0)</f>
        <v>0</v>
      </c>
      <c r="W335" s="14" cm="1">
        <f t="array" ref="W335">INT(SUMPRODUCT(--ISNUMBER(SEARCH(trump,C335)))&gt;0)</f>
        <v>0</v>
      </c>
      <c r="X335" s="14" cm="1">
        <f t="array" ref="X335">INT(SUMPRODUCT(--ISNUMBER(SEARCH(voting,C335)))&gt;0)</f>
        <v>0</v>
      </c>
      <c r="Y335" s="14" cm="1">
        <f t="array" ref="Y335">INT(SUMPRODUCT(--ISNUMBER(SEARCH(democrattrigger,C335)))&gt;0)</f>
        <v>0</v>
      </c>
      <c r="Z335" s="14" cm="1">
        <f t="array" ref="Z335">INT(SUMPRODUCT(--ISNUMBER(SEARCH(bipartisan,C335)))&gt;0)</f>
        <v>0</v>
      </c>
      <c r="AA335" s="14">
        <f t="shared" si="5"/>
        <v>0</v>
      </c>
      <c r="AB335" s="14"/>
      <c r="AC335" s="30" t="s">
        <v>223</v>
      </c>
      <c r="AD335" s="37" t="s">
        <v>223</v>
      </c>
    </row>
    <row r="336" spans="1:30" x14ac:dyDescent="0.25">
      <c r="A336" s="36">
        <v>2489</v>
      </c>
      <c r="B336" s="14" t="s">
        <v>5003</v>
      </c>
      <c r="C336" s="14" t="s">
        <v>5004</v>
      </c>
      <c r="D336" s="17">
        <v>44109</v>
      </c>
      <c r="E336" s="14" t="s">
        <v>30</v>
      </c>
      <c r="F336" s="14">
        <v>200</v>
      </c>
      <c r="G336" s="14">
        <v>23</v>
      </c>
      <c r="H336" s="14">
        <v>11</v>
      </c>
      <c r="I336" s="14">
        <v>6</v>
      </c>
      <c r="J336" s="14" t="s">
        <v>204</v>
      </c>
      <c r="K336" s="14" cm="1">
        <f t="array" ref="K336">INT(SUMPRODUCT(--ISNUMBER(SEARCH(economy,C336)))&gt;0)</f>
        <v>0</v>
      </c>
      <c r="L336" s="14" cm="1">
        <f t="array" ref="L336">INT(SUMPRODUCT(--ISNUMBER(SEARCH(healthcare,C336)))&gt;0)</f>
        <v>0</v>
      </c>
      <c r="M336" s="14" cm="1">
        <f t="array" ref="M336">INT(SUMPRODUCT(--ISNUMBER(SEARCH(supreme,C336)))&gt;0)</f>
        <v>0</v>
      </c>
      <c r="N336" s="14" cm="1">
        <f t="array" ref="N336">INT(SUMPRODUCT(--ISNUMBER(SEARCH(covid,C336)))&gt;0)</f>
        <v>0</v>
      </c>
      <c r="O336" s="14" cm="1">
        <f t="array" ref="O336">INT(SUMPRODUCT(--ISNUMBER(SEARCH(violent,C336)))&gt;0)</f>
        <v>0</v>
      </c>
      <c r="P336" s="14" cm="1">
        <f t="array" ref="P336">INT(SUMPRODUCT(--ISNUMBER(SEARCH(foreign,C336)))&gt;0)</f>
        <v>1</v>
      </c>
      <c r="Q336" s="14" cm="1">
        <f t="array" ref="Q336">INT(SUMPRODUCT(--ISNUMBER(SEARCH(gun,C336)))&gt;0)</f>
        <v>0</v>
      </c>
      <c r="R336" s="14" cm="1">
        <f t="array" ref="R336">INT(SUMPRODUCT(--ISNUMBER(SEARCH(race,C336)))&gt;0)</f>
        <v>0</v>
      </c>
      <c r="S336" s="14" cm="1">
        <f t="array" ref="S336">INT(SUMPRODUCT(--ISNUMBER(SEARCH(immigration,C336)))&gt;0)</f>
        <v>0</v>
      </c>
      <c r="T336" s="14" cm="1">
        <f t="array" ref="T336">INT(SUMPRODUCT(--ISNUMBER(SEARCH(econineq,C337)))&gt;0)</f>
        <v>0</v>
      </c>
      <c r="U336" s="14" cm="1">
        <f t="array" ref="U336">INT(SUMPRODUCT(--ISNUMBER(SEARCH(climate,C336)))&gt;0)</f>
        <v>0</v>
      </c>
      <c r="V336" s="14" cm="1">
        <f t="array" ref="V336">INT(SUMPRODUCT(--ISNUMBER(SEARCH(abortion,C336)))&gt;0)</f>
        <v>0</v>
      </c>
      <c r="W336" s="14" cm="1">
        <f t="array" ref="W336">INT(SUMPRODUCT(--ISNUMBER(SEARCH(trump,C336)))&gt;0)</f>
        <v>0</v>
      </c>
      <c r="X336" s="14" cm="1">
        <f t="array" ref="X336">INT(SUMPRODUCT(--ISNUMBER(SEARCH(voting,C336)))&gt;0)</f>
        <v>1</v>
      </c>
      <c r="Y336" s="14" cm="1">
        <f t="array" ref="Y336">INT(SUMPRODUCT(--ISNUMBER(SEARCH(democrattrigger,C336)))&gt;0)</f>
        <v>0</v>
      </c>
      <c r="Z336" s="14" cm="1">
        <f t="array" ref="Z336">INT(SUMPRODUCT(--ISNUMBER(SEARCH(bipartisan,C336)))&gt;0)</f>
        <v>0</v>
      </c>
      <c r="AA336" s="14">
        <f t="shared" si="5"/>
        <v>0</v>
      </c>
      <c r="AB336" s="14"/>
      <c r="AC336" s="30">
        <v>1</v>
      </c>
      <c r="AD336" s="37">
        <v>0</v>
      </c>
    </row>
    <row r="337" spans="1:30" x14ac:dyDescent="0.25">
      <c r="A337" s="36">
        <v>2490</v>
      </c>
      <c r="B337" s="14" t="s">
        <v>5005</v>
      </c>
      <c r="C337" s="14" t="s">
        <v>5006</v>
      </c>
      <c r="D337" s="17">
        <v>44109</v>
      </c>
      <c r="E337" s="14" t="s">
        <v>30</v>
      </c>
      <c r="F337" s="14">
        <v>466</v>
      </c>
      <c r="G337" s="14">
        <v>23</v>
      </c>
      <c r="H337" s="14">
        <v>11</v>
      </c>
      <c r="I337" s="14">
        <v>6</v>
      </c>
      <c r="J337" s="14" t="s">
        <v>204</v>
      </c>
      <c r="K337" s="14" cm="1">
        <f t="array" ref="K337">INT(SUMPRODUCT(--ISNUMBER(SEARCH(economy,C337)))&gt;0)</f>
        <v>0</v>
      </c>
      <c r="L337" s="14" cm="1">
        <f t="array" ref="L337">INT(SUMPRODUCT(--ISNUMBER(SEARCH(healthcare,C337)))&gt;0)</f>
        <v>0</v>
      </c>
      <c r="M337" s="14" cm="1">
        <f t="array" ref="M337">INT(SUMPRODUCT(--ISNUMBER(SEARCH(supreme,C337)))&gt;0)</f>
        <v>0</v>
      </c>
      <c r="N337" s="14" cm="1">
        <f t="array" ref="N337">INT(SUMPRODUCT(--ISNUMBER(SEARCH(covid,C337)))&gt;0)</f>
        <v>0</v>
      </c>
      <c r="O337" s="14" cm="1">
        <f t="array" ref="O337">INT(SUMPRODUCT(--ISNUMBER(SEARCH(violent,C337)))&gt;0)</f>
        <v>0</v>
      </c>
      <c r="P337" s="14" cm="1">
        <f t="array" ref="P337">INT(SUMPRODUCT(--ISNUMBER(SEARCH(foreign,C337)))&gt;0)</f>
        <v>0</v>
      </c>
      <c r="Q337" s="14" cm="1">
        <f t="array" ref="Q337">INT(SUMPRODUCT(--ISNUMBER(SEARCH(gun,C337)))&gt;0)</f>
        <v>0</v>
      </c>
      <c r="R337" s="14" cm="1">
        <f t="array" ref="R337">INT(SUMPRODUCT(--ISNUMBER(SEARCH(race,C337)))&gt;0)</f>
        <v>0</v>
      </c>
      <c r="S337" s="14" cm="1">
        <f t="array" ref="S337">INT(SUMPRODUCT(--ISNUMBER(SEARCH(immigration,C337)))&gt;0)</f>
        <v>0</v>
      </c>
      <c r="T337" s="14" cm="1">
        <f t="array" ref="T337">INT(SUMPRODUCT(--ISNUMBER(SEARCH(econineq,C338)))&gt;0)</f>
        <v>0</v>
      </c>
      <c r="U337" s="14" cm="1">
        <f t="array" ref="U337">INT(SUMPRODUCT(--ISNUMBER(SEARCH(climate,C337)))&gt;0)</f>
        <v>0</v>
      </c>
      <c r="V337" s="14" cm="1">
        <f t="array" ref="V337">INT(SUMPRODUCT(--ISNUMBER(SEARCH(abortion,C337)))&gt;0)</f>
        <v>0</v>
      </c>
      <c r="W337" s="14" cm="1">
        <f t="array" ref="W337">INT(SUMPRODUCT(--ISNUMBER(SEARCH(trump,C337)))&gt;0)</f>
        <v>0</v>
      </c>
      <c r="X337" s="14" cm="1">
        <f t="array" ref="X337">INT(SUMPRODUCT(--ISNUMBER(SEARCH(voting,C337)))&gt;0)</f>
        <v>0</v>
      </c>
      <c r="Y337" s="14" cm="1">
        <f t="array" ref="Y337">INT(SUMPRODUCT(--ISNUMBER(SEARCH(democrattrigger,C337)))&gt;0)</f>
        <v>0</v>
      </c>
      <c r="Z337" s="14" cm="1">
        <f t="array" ref="Z337">INT(SUMPRODUCT(--ISNUMBER(SEARCH(bipartisan,C337)))&gt;0)</f>
        <v>0</v>
      </c>
      <c r="AA337" s="14">
        <f t="shared" si="5"/>
        <v>1</v>
      </c>
      <c r="AB337" s="14"/>
      <c r="AC337" s="30">
        <v>1</v>
      </c>
      <c r="AD337" s="37">
        <v>0</v>
      </c>
    </row>
    <row r="338" spans="1:30" x14ac:dyDescent="0.25">
      <c r="A338" s="36">
        <v>2491</v>
      </c>
      <c r="B338" s="14" t="s">
        <v>5007</v>
      </c>
      <c r="C338" s="14" t="s">
        <v>5008</v>
      </c>
      <c r="D338" s="17">
        <v>44109</v>
      </c>
      <c r="E338" s="14" t="s">
        <v>30</v>
      </c>
      <c r="F338" s="14">
        <v>492</v>
      </c>
      <c r="G338" s="14">
        <v>94</v>
      </c>
      <c r="H338" s="14">
        <v>11</v>
      </c>
      <c r="I338" s="14">
        <v>6</v>
      </c>
      <c r="J338" s="14" t="s">
        <v>204</v>
      </c>
      <c r="K338" s="14" cm="1">
        <f t="array" ref="K338">INT(SUMPRODUCT(--ISNUMBER(SEARCH(economy,C338)))&gt;0)</f>
        <v>0</v>
      </c>
      <c r="L338" s="14" cm="1">
        <f t="array" ref="L338">INT(SUMPRODUCT(--ISNUMBER(SEARCH(healthcare,C338)))&gt;0)</f>
        <v>0</v>
      </c>
      <c r="M338" s="14" cm="1">
        <f t="array" ref="M338">INT(SUMPRODUCT(--ISNUMBER(SEARCH(supreme,C338)))&gt;0)</f>
        <v>1</v>
      </c>
      <c r="N338" s="14" cm="1">
        <f t="array" ref="N338">INT(SUMPRODUCT(--ISNUMBER(SEARCH(covid,C338)))&gt;0)</f>
        <v>0</v>
      </c>
      <c r="O338" s="14" cm="1">
        <f t="array" ref="O338">INT(SUMPRODUCT(--ISNUMBER(SEARCH(violent,C338)))&gt;0)</f>
        <v>0</v>
      </c>
      <c r="P338" s="14" cm="1">
        <f t="array" ref="P338">INT(SUMPRODUCT(--ISNUMBER(SEARCH(foreign,C338)))&gt;0)</f>
        <v>0</v>
      </c>
      <c r="Q338" s="14" cm="1">
        <f t="array" ref="Q338">INT(SUMPRODUCT(--ISNUMBER(SEARCH(gun,C338)))&gt;0)</f>
        <v>0</v>
      </c>
      <c r="R338" s="14" cm="1">
        <f t="array" ref="R338">INT(SUMPRODUCT(--ISNUMBER(SEARCH(race,C338)))&gt;0)</f>
        <v>0</v>
      </c>
      <c r="S338" s="14" cm="1">
        <f t="array" ref="S338">INT(SUMPRODUCT(--ISNUMBER(SEARCH(immigration,C338)))&gt;0)</f>
        <v>0</v>
      </c>
      <c r="T338" s="14" cm="1">
        <f t="array" ref="T338">INT(SUMPRODUCT(--ISNUMBER(SEARCH(econineq,C339)))&gt;0)</f>
        <v>0</v>
      </c>
      <c r="U338" s="14" cm="1">
        <f t="array" ref="U338">INT(SUMPRODUCT(--ISNUMBER(SEARCH(climate,C338)))&gt;0)</f>
        <v>0</v>
      </c>
      <c r="V338" s="14" cm="1">
        <f t="array" ref="V338">INT(SUMPRODUCT(--ISNUMBER(SEARCH(abortion,C338)))&gt;0)</f>
        <v>1</v>
      </c>
      <c r="W338" s="14" cm="1">
        <f t="array" ref="W338">INT(SUMPRODUCT(--ISNUMBER(SEARCH(trump,C338)))&gt;0)</f>
        <v>0</v>
      </c>
      <c r="X338" s="14" cm="1">
        <f t="array" ref="X338">INT(SUMPRODUCT(--ISNUMBER(SEARCH(voting,C338)))&gt;0)</f>
        <v>0</v>
      </c>
      <c r="Y338" s="14" cm="1">
        <f t="array" ref="Y338">INT(SUMPRODUCT(--ISNUMBER(SEARCH(democrattrigger,C338)))&gt;0)</f>
        <v>1</v>
      </c>
      <c r="Z338" s="14" cm="1">
        <f t="array" ref="Z338">INT(SUMPRODUCT(--ISNUMBER(SEARCH(bipartisan,C338)))&gt;0)</f>
        <v>0</v>
      </c>
      <c r="AA338" s="14">
        <f t="shared" si="5"/>
        <v>0</v>
      </c>
      <c r="AB338" s="14"/>
      <c r="AC338" s="30" t="s">
        <v>223</v>
      </c>
      <c r="AD338" s="37" t="s">
        <v>223</v>
      </c>
    </row>
    <row r="339" spans="1:30" x14ac:dyDescent="0.25">
      <c r="A339" s="36">
        <v>2492</v>
      </c>
      <c r="B339" s="14" t="s">
        <v>5009</v>
      </c>
      <c r="C339" s="14" t="s">
        <v>5010</v>
      </c>
      <c r="D339" s="17">
        <v>44109</v>
      </c>
      <c r="E339" s="14" t="s">
        <v>30</v>
      </c>
      <c r="F339" s="14">
        <v>74</v>
      </c>
      <c r="G339" s="14">
        <v>16</v>
      </c>
      <c r="H339" s="14">
        <v>11</v>
      </c>
      <c r="I339" s="14">
        <v>6</v>
      </c>
      <c r="J339" s="14" t="s">
        <v>204</v>
      </c>
      <c r="K339" s="14" cm="1">
        <f t="array" ref="K339">INT(SUMPRODUCT(--ISNUMBER(SEARCH(economy,C339)))&gt;0)</f>
        <v>0</v>
      </c>
      <c r="L339" s="14" cm="1">
        <f t="array" ref="L339">INT(SUMPRODUCT(--ISNUMBER(SEARCH(healthcare,C339)))&gt;0)</f>
        <v>0</v>
      </c>
      <c r="M339" s="14" cm="1">
        <f t="array" ref="M339">INT(SUMPRODUCT(--ISNUMBER(SEARCH(supreme,C339)))&gt;0)</f>
        <v>0</v>
      </c>
      <c r="N339" s="14" cm="1">
        <f t="array" ref="N339">INT(SUMPRODUCT(--ISNUMBER(SEARCH(covid,C339)))&gt;0)</f>
        <v>0</v>
      </c>
      <c r="O339" s="14" cm="1">
        <f t="array" ref="O339">INT(SUMPRODUCT(--ISNUMBER(SEARCH(violent,C339)))&gt;0)</f>
        <v>0</v>
      </c>
      <c r="P339" s="14" cm="1">
        <f t="array" ref="P339">INT(SUMPRODUCT(--ISNUMBER(SEARCH(foreign,C339)))&gt;0)</f>
        <v>1</v>
      </c>
      <c r="Q339" s="14" cm="1">
        <f t="array" ref="Q339">INT(SUMPRODUCT(--ISNUMBER(SEARCH(gun,C339)))&gt;0)</f>
        <v>0</v>
      </c>
      <c r="R339" s="14" cm="1">
        <f t="array" ref="R339">INT(SUMPRODUCT(--ISNUMBER(SEARCH(race,C339)))&gt;0)</f>
        <v>0</v>
      </c>
      <c r="S339" s="14" cm="1">
        <f t="array" ref="S339">INT(SUMPRODUCT(--ISNUMBER(SEARCH(immigration,C339)))&gt;0)</f>
        <v>0</v>
      </c>
      <c r="T339" s="14" cm="1">
        <f t="array" ref="T339">INT(SUMPRODUCT(--ISNUMBER(SEARCH(econineq,C340)))&gt;0)</f>
        <v>0</v>
      </c>
      <c r="U339" s="14" cm="1">
        <f t="array" ref="U339">INT(SUMPRODUCT(--ISNUMBER(SEARCH(climate,C339)))&gt;0)</f>
        <v>0</v>
      </c>
      <c r="V339" s="14" cm="1">
        <f t="array" ref="V339">INT(SUMPRODUCT(--ISNUMBER(SEARCH(abortion,C339)))&gt;0)</f>
        <v>0</v>
      </c>
      <c r="W339" s="14" cm="1">
        <f t="array" ref="W339">INT(SUMPRODUCT(--ISNUMBER(SEARCH(trump,C339)))&gt;0)</f>
        <v>0</v>
      </c>
      <c r="X339" s="14" cm="1">
        <f t="array" ref="X339">INT(SUMPRODUCT(--ISNUMBER(SEARCH(voting,C339)))&gt;0)</f>
        <v>1</v>
      </c>
      <c r="Y339" s="14" cm="1">
        <f t="array" ref="Y339">INT(SUMPRODUCT(--ISNUMBER(SEARCH(democrattrigger,C339)))&gt;0)</f>
        <v>0</v>
      </c>
      <c r="Z339" s="14" cm="1">
        <f t="array" ref="Z339">INT(SUMPRODUCT(--ISNUMBER(SEARCH(bipartisan,C339)))&gt;0)</f>
        <v>0</v>
      </c>
      <c r="AA339" s="14">
        <f t="shared" si="5"/>
        <v>0</v>
      </c>
      <c r="AB339" s="14"/>
      <c r="AC339" s="30">
        <v>1</v>
      </c>
      <c r="AD339" s="37">
        <v>0</v>
      </c>
    </row>
    <row r="340" spans="1:30" x14ac:dyDescent="0.25">
      <c r="A340" s="36">
        <v>2493</v>
      </c>
      <c r="B340" s="14" t="s">
        <v>5011</v>
      </c>
      <c r="C340" s="14" t="s">
        <v>5012</v>
      </c>
      <c r="D340" s="17">
        <v>44109</v>
      </c>
      <c r="E340" s="14" t="s">
        <v>30</v>
      </c>
      <c r="F340" s="14">
        <v>360</v>
      </c>
      <c r="G340" s="14">
        <v>78</v>
      </c>
      <c r="H340" s="14">
        <v>11</v>
      </c>
      <c r="I340" s="14">
        <v>6</v>
      </c>
      <c r="J340" s="14" t="s">
        <v>204</v>
      </c>
      <c r="K340" s="14" cm="1">
        <f t="array" ref="K340">INT(SUMPRODUCT(--ISNUMBER(SEARCH(economy,C340)))&gt;0)</f>
        <v>0</v>
      </c>
      <c r="L340" s="14" cm="1">
        <f t="array" ref="L340">INT(SUMPRODUCT(--ISNUMBER(SEARCH(healthcare,C340)))&gt;0)</f>
        <v>0</v>
      </c>
      <c r="M340" s="14" cm="1">
        <f t="array" ref="M340">INT(SUMPRODUCT(--ISNUMBER(SEARCH(supreme,C340)))&gt;0)</f>
        <v>1</v>
      </c>
      <c r="N340" s="14" cm="1">
        <f t="array" ref="N340">INT(SUMPRODUCT(--ISNUMBER(SEARCH(covid,C340)))&gt;0)</f>
        <v>0</v>
      </c>
      <c r="O340" s="14" cm="1">
        <f t="array" ref="O340">INT(SUMPRODUCT(--ISNUMBER(SEARCH(violent,C340)))&gt;0)</f>
        <v>0</v>
      </c>
      <c r="P340" s="14" cm="1">
        <f t="array" ref="P340">INT(SUMPRODUCT(--ISNUMBER(SEARCH(foreign,C340)))&gt;0)</f>
        <v>0</v>
      </c>
      <c r="Q340" s="14" cm="1">
        <f t="array" ref="Q340">INT(SUMPRODUCT(--ISNUMBER(SEARCH(gun,C340)))&gt;0)</f>
        <v>0</v>
      </c>
      <c r="R340" s="14" cm="1">
        <f t="array" ref="R340">INT(SUMPRODUCT(--ISNUMBER(SEARCH(race,C340)))&gt;0)</f>
        <v>0</v>
      </c>
      <c r="S340" s="14" cm="1">
        <f t="array" ref="S340">INT(SUMPRODUCT(--ISNUMBER(SEARCH(immigration,C340)))&gt;0)</f>
        <v>0</v>
      </c>
      <c r="T340" s="14" cm="1">
        <f t="array" ref="T340">INT(SUMPRODUCT(--ISNUMBER(SEARCH(econineq,C341)))&gt;0)</f>
        <v>0</v>
      </c>
      <c r="U340" s="14" cm="1">
        <f t="array" ref="U340">INT(SUMPRODUCT(--ISNUMBER(SEARCH(climate,C340)))&gt;0)</f>
        <v>0</v>
      </c>
      <c r="V340" s="14" cm="1">
        <f t="array" ref="V340">INT(SUMPRODUCT(--ISNUMBER(SEARCH(abortion,C340)))&gt;0)</f>
        <v>1</v>
      </c>
      <c r="W340" s="14" cm="1">
        <f t="array" ref="W340">INT(SUMPRODUCT(--ISNUMBER(SEARCH(trump,C340)))&gt;0)</f>
        <v>0</v>
      </c>
      <c r="X340" s="14" cm="1">
        <f t="array" ref="X340">INT(SUMPRODUCT(--ISNUMBER(SEARCH(voting,C340)))&gt;0)</f>
        <v>0</v>
      </c>
      <c r="Y340" s="14" cm="1">
        <f t="array" ref="Y340">INT(SUMPRODUCT(--ISNUMBER(SEARCH(democrattrigger,C340)))&gt;0)</f>
        <v>0</v>
      </c>
      <c r="Z340" s="14" cm="1">
        <f t="array" ref="Z340">INT(SUMPRODUCT(--ISNUMBER(SEARCH(bipartisan,C340)))&gt;0)</f>
        <v>0</v>
      </c>
      <c r="AA340" s="14">
        <f t="shared" si="5"/>
        <v>0</v>
      </c>
      <c r="AB340" s="14"/>
      <c r="AC340" s="30" t="s">
        <v>223</v>
      </c>
      <c r="AD340" s="37" t="s">
        <v>223</v>
      </c>
    </row>
    <row r="341" spans="1:30" x14ac:dyDescent="0.25">
      <c r="A341" s="36">
        <v>2494</v>
      </c>
      <c r="B341" s="14" t="s">
        <v>5013</v>
      </c>
      <c r="C341" s="14" t="s">
        <v>5014</v>
      </c>
      <c r="D341" s="17">
        <v>44108</v>
      </c>
      <c r="E341" s="14" t="s">
        <v>30</v>
      </c>
      <c r="F341" s="14">
        <v>59</v>
      </c>
      <c r="G341" s="14">
        <v>13</v>
      </c>
      <c r="H341" s="14">
        <v>11</v>
      </c>
      <c r="I341" s="14">
        <v>6</v>
      </c>
      <c r="J341" s="14" t="s">
        <v>204</v>
      </c>
      <c r="K341" s="14" cm="1">
        <f t="array" ref="K341">INT(SUMPRODUCT(--ISNUMBER(SEARCH(economy,C341)))&gt;0)</f>
        <v>1</v>
      </c>
      <c r="L341" s="14" cm="1">
        <f t="array" ref="L341">INT(SUMPRODUCT(--ISNUMBER(SEARCH(healthcare,C341)))&gt;0)</f>
        <v>0</v>
      </c>
      <c r="M341" s="14" cm="1">
        <f t="array" ref="M341">INT(SUMPRODUCT(--ISNUMBER(SEARCH(supreme,C341)))&gt;0)</f>
        <v>0</v>
      </c>
      <c r="N341" s="14" cm="1">
        <f t="array" ref="N341">INT(SUMPRODUCT(--ISNUMBER(SEARCH(covid,C341)))&gt;0)</f>
        <v>1</v>
      </c>
      <c r="O341" s="14" cm="1">
        <f t="array" ref="O341">INT(SUMPRODUCT(--ISNUMBER(SEARCH(violent,C341)))&gt;0)</f>
        <v>0</v>
      </c>
      <c r="P341" s="14" cm="1">
        <f t="array" ref="P341">INT(SUMPRODUCT(--ISNUMBER(SEARCH(foreign,C341)))&gt;0)</f>
        <v>0</v>
      </c>
      <c r="Q341" s="14" cm="1">
        <f t="array" ref="Q341">INT(SUMPRODUCT(--ISNUMBER(SEARCH(gun,C341)))&gt;0)</f>
        <v>0</v>
      </c>
      <c r="R341" s="14" cm="1">
        <f t="array" ref="R341">INT(SUMPRODUCT(--ISNUMBER(SEARCH(race,C341)))&gt;0)</f>
        <v>0</v>
      </c>
      <c r="S341" s="14" cm="1">
        <f t="array" ref="S341">INT(SUMPRODUCT(--ISNUMBER(SEARCH(immigration,C341)))&gt;0)</f>
        <v>0</v>
      </c>
      <c r="T341" s="14" cm="1">
        <f t="array" ref="T341">INT(SUMPRODUCT(--ISNUMBER(SEARCH(econineq,C342)))&gt;0)</f>
        <v>0</v>
      </c>
      <c r="U341" s="14" cm="1">
        <f t="array" ref="U341">INT(SUMPRODUCT(--ISNUMBER(SEARCH(climate,C341)))&gt;0)</f>
        <v>0</v>
      </c>
      <c r="V341" s="14" cm="1">
        <f t="array" ref="V341">INT(SUMPRODUCT(--ISNUMBER(SEARCH(abortion,C341)))&gt;0)</f>
        <v>0</v>
      </c>
      <c r="W341" s="14" cm="1">
        <f t="array" ref="W341">INT(SUMPRODUCT(--ISNUMBER(SEARCH(trump,C341)))&gt;0)</f>
        <v>0</v>
      </c>
      <c r="X341" s="14" cm="1">
        <f t="array" ref="X341">INT(SUMPRODUCT(--ISNUMBER(SEARCH(voting,C341)))&gt;0)</f>
        <v>0</v>
      </c>
      <c r="Y341" s="14" cm="1">
        <f t="array" ref="Y341">INT(SUMPRODUCT(--ISNUMBER(SEARCH(democrattrigger,C341)))&gt;0)</f>
        <v>0</v>
      </c>
      <c r="Z341" s="14" cm="1">
        <f t="array" ref="Z341">INT(SUMPRODUCT(--ISNUMBER(SEARCH(bipartisan,C341)))&gt;0)</f>
        <v>0</v>
      </c>
      <c r="AA341" s="14">
        <f t="shared" si="5"/>
        <v>0</v>
      </c>
      <c r="AB341" s="14"/>
      <c r="AC341" s="30">
        <v>1</v>
      </c>
      <c r="AD341" s="37">
        <v>0</v>
      </c>
    </row>
    <row r="342" spans="1:30" x14ac:dyDescent="0.25">
      <c r="A342" s="36">
        <v>2495</v>
      </c>
      <c r="B342" s="14" t="s">
        <v>5015</v>
      </c>
      <c r="C342" s="14" t="s">
        <v>5016</v>
      </c>
      <c r="D342" s="17">
        <v>44108</v>
      </c>
      <c r="E342" s="14" t="s">
        <v>30</v>
      </c>
      <c r="F342" s="14">
        <v>77</v>
      </c>
      <c r="G342" s="14">
        <v>3</v>
      </c>
      <c r="H342" s="14">
        <v>11</v>
      </c>
      <c r="I342" s="14">
        <v>6</v>
      </c>
      <c r="J342" s="14" t="s">
        <v>204</v>
      </c>
      <c r="K342" s="14" cm="1">
        <f t="array" ref="K342">INT(SUMPRODUCT(--ISNUMBER(SEARCH(economy,C342)))&gt;0)</f>
        <v>0</v>
      </c>
      <c r="L342" s="14" cm="1">
        <f t="array" ref="L342">INT(SUMPRODUCT(--ISNUMBER(SEARCH(healthcare,C342)))&gt;0)</f>
        <v>0</v>
      </c>
      <c r="M342" s="14" cm="1">
        <f t="array" ref="M342">INT(SUMPRODUCT(--ISNUMBER(SEARCH(supreme,C342)))&gt;0)</f>
        <v>0</v>
      </c>
      <c r="N342" s="14" cm="1">
        <f t="array" ref="N342">INT(SUMPRODUCT(--ISNUMBER(SEARCH(covid,C342)))&gt;0)</f>
        <v>0</v>
      </c>
      <c r="O342" s="14" cm="1">
        <f t="array" ref="O342">INT(SUMPRODUCT(--ISNUMBER(SEARCH(violent,C342)))&gt;0)</f>
        <v>0</v>
      </c>
      <c r="P342" s="14" cm="1">
        <f t="array" ref="P342">INT(SUMPRODUCT(--ISNUMBER(SEARCH(foreign,C342)))&gt;0)</f>
        <v>0</v>
      </c>
      <c r="Q342" s="14" cm="1">
        <f t="array" ref="Q342">INT(SUMPRODUCT(--ISNUMBER(SEARCH(gun,C342)))&gt;0)</f>
        <v>0</v>
      </c>
      <c r="R342" s="14" cm="1">
        <f t="array" ref="R342">INT(SUMPRODUCT(--ISNUMBER(SEARCH(race,C342)))&gt;0)</f>
        <v>0</v>
      </c>
      <c r="S342" s="14" cm="1">
        <f t="array" ref="S342">INT(SUMPRODUCT(--ISNUMBER(SEARCH(immigration,C342)))&gt;0)</f>
        <v>0</v>
      </c>
      <c r="T342" s="14" cm="1">
        <f t="array" ref="T342">INT(SUMPRODUCT(--ISNUMBER(SEARCH(econineq,C343)))&gt;0)</f>
        <v>0</v>
      </c>
      <c r="U342" s="14" cm="1">
        <f t="array" ref="U342">INT(SUMPRODUCT(--ISNUMBER(SEARCH(climate,C342)))&gt;0)</f>
        <v>0</v>
      </c>
      <c r="V342" s="14" cm="1">
        <f t="array" ref="V342">INT(SUMPRODUCT(--ISNUMBER(SEARCH(abortion,C342)))&gt;0)</f>
        <v>0</v>
      </c>
      <c r="W342" s="14" cm="1">
        <f t="array" ref="W342">INT(SUMPRODUCT(--ISNUMBER(SEARCH(trump,C342)))&gt;0)</f>
        <v>0</v>
      </c>
      <c r="X342" s="14" cm="1">
        <f t="array" ref="X342">INT(SUMPRODUCT(--ISNUMBER(SEARCH(voting,C342)))&gt;0)</f>
        <v>0</v>
      </c>
      <c r="Y342" s="14" cm="1">
        <f t="array" ref="Y342">INT(SUMPRODUCT(--ISNUMBER(SEARCH(democrattrigger,C342)))&gt;0)</f>
        <v>0</v>
      </c>
      <c r="Z342" s="14" cm="1">
        <f t="array" ref="Z342">INT(SUMPRODUCT(--ISNUMBER(SEARCH(bipartisan,C342)))&gt;0)</f>
        <v>0</v>
      </c>
      <c r="AA342" s="14">
        <f t="shared" si="5"/>
        <v>1</v>
      </c>
      <c r="AB342" s="14"/>
      <c r="AC342" s="30" t="s">
        <v>223</v>
      </c>
      <c r="AD342" s="37" t="s">
        <v>223</v>
      </c>
    </row>
    <row r="343" spans="1:30" x14ac:dyDescent="0.25">
      <c r="A343" s="36">
        <v>2496</v>
      </c>
      <c r="B343" s="14" t="s">
        <v>5017</v>
      </c>
      <c r="C343" s="14" t="s">
        <v>5018</v>
      </c>
      <c r="D343" s="17">
        <v>44108</v>
      </c>
      <c r="E343" s="14" t="s">
        <v>30</v>
      </c>
      <c r="F343" s="14">
        <v>62</v>
      </c>
      <c r="G343" s="14">
        <v>16</v>
      </c>
      <c r="H343" s="14">
        <v>11</v>
      </c>
      <c r="I343" s="14">
        <v>6</v>
      </c>
      <c r="J343" s="14" t="s">
        <v>204</v>
      </c>
      <c r="K343" s="14" cm="1">
        <f t="array" ref="K343">INT(SUMPRODUCT(--ISNUMBER(SEARCH(economy,C343)))&gt;0)</f>
        <v>0</v>
      </c>
      <c r="L343" s="14" cm="1">
        <f t="array" ref="L343">INT(SUMPRODUCT(--ISNUMBER(SEARCH(healthcare,C343)))&gt;0)</f>
        <v>0</v>
      </c>
      <c r="M343" s="14" cm="1">
        <f t="array" ref="M343">INT(SUMPRODUCT(--ISNUMBER(SEARCH(supreme,C343)))&gt;0)</f>
        <v>0</v>
      </c>
      <c r="N343" s="14" cm="1">
        <f t="array" ref="N343">INT(SUMPRODUCT(--ISNUMBER(SEARCH(covid,C343)))&gt;0)</f>
        <v>0</v>
      </c>
      <c r="O343" s="14" cm="1">
        <f t="array" ref="O343">INT(SUMPRODUCT(--ISNUMBER(SEARCH(violent,C343)))&gt;0)</f>
        <v>0</v>
      </c>
      <c r="P343" s="14" cm="1">
        <f t="array" ref="P343">INT(SUMPRODUCT(--ISNUMBER(SEARCH(foreign,C343)))&gt;0)</f>
        <v>0</v>
      </c>
      <c r="Q343" s="14" cm="1">
        <f t="array" ref="Q343">INT(SUMPRODUCT(--ISNUMBER(SEARCH(gun,C343)))&gt;0)</f>
        <v>0</v>
      </c>
      <c r="R343" s="14" cm="1">
        <f t="array" ref="R343">INT(SUMPRODUCT(--ISNUMBER(SEARCH(race,C343)))&gt;0)</f>
        <v>0</v>
      </c>
      <c r="S343" s="14" cm="1">
        <f t="array" ref="S343">INT(SUMPRODUCT(--ISNUMBER(SEARCH(immigration,C343)))&gt;0)</f>
        <v>0</v>
      </c>
      <c r="T343" s="14" cm="1">
        <f t="array" ref="T343">INT(SUMPRODUCT(--ISNUMBER(SEARCH(econineq,C344)))&gt;0)</f>
        <v>0</v>
      </c>
      <c r="U343" s="14" cm="1">
        <f t="array" ref="U343">INT(SUMPRODUCT(--ISNUMBER(SEARCH(climate,C343)))&gt;0)</f>
        <v>0</v>
      </c>
      <c r="V343" s="14" cm="1">
        <f t="array" ref="V343">INT(SUMPRODUCT(--ISNUMBER(SEARCH(abortion,C343)))&gt;0)</f>
        <v>0</v>
      </c>
      <c r="W343" s="14" cm="1">
        <f t="array" ref="W343">INT(SUMPRODUCT(--ISNUMBER(SEARCH(trump,C343)))&gt;0)</f>
        <v>0</v>
      </c>
      <c r="X343" s="14" cm="1">
        <f t="array" ref="X343">INT(SUMPRODUCT(--ISNUMBER(SEARCH(voting,C343)))&gt;0)</f>
        <v>0</v>
      </c>
      <c r="Y343" s="14" cm="1">
        <f t="array" ref="Y343">INT(SUMPRODUCT(--ISNUMBER(SEARCH(democrattrigger,C343)))&gt;0)</f>
        <v>0</v>
      </c>
      <c r="Z343" s="14" cm="1">
        <f t="array" ref="Z343">INT(SUMPRODUCT(--ISNUMBER(SEARCH(bipartisan,C343)))&gt;0)</f>
        <v>0</v>
      </c>
      <c r="AA343" s="14">
        <f t="shared" si="5"/>
        <v>1</v>
      </c>
      <c r="AB343" s="14"/>
      <c r="AC343" s="30">
        <v>1</v>
      </c>
      <c r="AD343" s="37">
        <v>0</v>
      </c>
    </row>
    <row r="344" spans="1:30" x14ac:dyDescent="0.25">
      <c r="A344" s="36">
        <v>2497</v>
      </c>
      <c r="B344" s="14" t="s">
        <v>5019</v>
      </c>
      <c r="C344" s="14" t="s">
        <v>5020</v>
      </c>
      <c r="D344" s="17">
        <v>44108</v>
      </c>
      <c r="E344" s="14" t="s">
        <v>30</v>
      </c>
      <c r="F344" s="14">
        <v>46</v>
      </c>
      <c r="G344" s="14">
        <v>14</v>
      </c>
      <c r="H344" s="14">
        <v>11</v>
      </c>
      <c r="I344" s="14">
        <v>6</v>
      </c>
      <c r="J344" s="14" t="s">
        <v>204</v>
      </c>
      <c r="K344" s="14" cm="1">
        <f t="array" ref="K344">INT(SUMPRODUCT(--ISNUMBER(SEARCH(economy,C344)))&gt;0)</f>
        <v>0</v>
      </c>
      <c r="L344" s="14" cm="1">
        <f t="array" ref="L344">INT(SUMPRODUCT(--ISNUMBER(SEARCH(healthcare,C344)))&gt;0)</f>
        <v>0</v>
      </c>
      <c r="M344" s="14" cm="1">
        <f t="array" ref="M344">INT(SUMPRODUCT(--ISNUMBER(SEARCH(supreme,C344)))&gt;0)</f>
        <v>0</v>
      </c>
      <c r="N344" s="14" cm="1">
        <f t="array" ref="N344">INT(SUMPRODUCT(--ISNUMBER(SEARCH(covid,C344)))&gt;0)</f>
        <v>1</v>
      </c>
      <c r="O344" s="14" cm="1">
        <f t="array" ref="O344">INT(SUMPRODUCT(--ISNUMBER(SEARCH(violent,C344)))&gt;0)</f>
        <v>0</v>
      </c>
      <c r="P344" s="14" cm="1">
        <f t="array" ref="P344">INT(SUMPRODUCT(--ISNUMBER(SEARCH(foreign,C344)))&gt;0)</f>
        <v>0</v>
      </c>
      <c r="Q344" s="14" cm="1">
        <f t="array" ref="Q344">INT(SUMPRODUCT(--ISNUMBER(SEARCH(gun,C344)))&gt;0)</f>
        <v>0</v>
      </c>
      <c r="R344" s="14" cm="1">
        <f t="array" ref="R344">INT(SUMPRODUCT(--ISNUMBER(SEARCH(race,C344)))&gt;0)</f>
        <v>0</v>
      </c>
      <c r="S344" s="14" cm="1">
        <f t="array" ref="S344">INT(SUMPRODUCT(--ISNUMBER(SEARCH(immigration,C344)))&gt;0)</f>
        <v>0</v>
      </c>
      <c r="T344" s="14" cm="1">
        <f t="array" ref="T344">INT(SUMPRODUCT(--ISNUMBER(SEARCH(econineq,C345)))&gt;0)</f>
        <v>0</v>
      </c>
      <c r="U344" s="14" cm="1">
        <f t="array" ref="U344">INT(SUMPRODUCT(--ISNUMBER(SEARCH(climate,C344)))&gt;0)</f>
        <v>0</v>
      </c>
      <c r="V344" s="14" cm="1">
        <f t="array" ref="V344">INT(SUMPRODUCT(--ISNUMBER(SEARCH(abortion,C344)))&gt;0)</f>
        <v>0</v>
      </c>
      <c r="W344" s="14" cm="1">
        <f t="array" ref="W344">INT(SUMPRODUCT(--ISNUMBER(SEARCH(trump,C344)))&gt;0)</f>
        <v>0</v>
      </c>
      <c r="X344" s="14" cm="1">
        <f t="array" ref="X344">INT(SUMPRODUCT(--ISNUMBER(SEARCH(voting,C344)))&gt;0)</f>
        <v>0</v>
      </c>
      <c r="Y344" s="14" cm="1">
        <f t="array" ref="Y344">INT(SUMPRODUCT(--ISNUMBER(SEARCH(democrattrigger,C344)))&gt;0)</f>
        <v>0</v>
      </c>
      <c r="Z344" s="14" cm="1">
        <f t="array" ref="Z344">INT(SUMPRODUCT(--ISNUMBER(SEARCH(bipartisan,C344)))&gt;0)</f>
        <v>0</v>
      </c>
      <c r="AA344" s="14">
        <f t="shared" si="5"/>
        <v>0</v>
      </c>
      <c r="AB344" s="14"/>
      <c r="AC344" s="30">
        <v>1</v>
      </c>
      <c r="AD344" s="37">
        <v>0</v>
      </c>
    </row>
    <row r="345" spans="1:30" x14ac:dyDescent="0.25">
      <c r="A345" s="36">
        <v>2498</v>
      </c>
      <c r="B345" s="14" t="s">
        <v>5021</v>
      </c>
      <c r="C345" s="14" t="s">
        <v>5022</v>
      </c>
      <c r="D345" s="17">
        <v>44108</v>
      </c>
      <c r="E345" s="14" t="s">
        <v>30</v>
      </c>
      <c r="F345" s="14">
        <v>608</v>
      </c>
      <c r="G345" s="14">
        <v>83</v>
      </c>
      <c r="H345" s="14">
        <v>11</v>
      </c>
      <c r="I345" s="14">
        <v>6</v>
      </c>
      <c r="J345" s="14" t="s">
        <v>204</v>
      </c>
      <c r="K345" s="14" cm="1">
        <f t="array" ref="K345">INT(SUMPRODUCT(--ISNUMBER(SEARCH(economy,C345)))&gt;0)</f>
        <v>0</v>
      </c>
      <c r="L345" s="14" cm="1">
        <f t="array" ref="L345">INT(SUMPRODUCT(--ISNUMBER(SEARCH(healthcare,C345)))&gt;0)</f>
        <v>0</v>
      </c>
      <c r="M345" s="14" cm="1">
        <f t="array" ref="M345">INT(SUMPRODUCT(--ISNUMBER(SEARCH(supreme,C345)))&gt;0)</f>
        <v>0</v>
      </c>
      <c r="N345" s="14" cm="1">
        <f t="array" ref="N345">INT(SUMPRODUCT(--ISNUMBER(SEARCH(covid,C345)))&gt;0)</f>
        <v>0</v>
      </c>
      <c r="O345" s="14" cm="1">
        <f t="array" ref="O345">INT(SUMPRODUCT(--ISNUMBER(SEARCH(violent,C345)))&gt;0)</f>
        <v>0</v>
      </c>
      <c r="P345" s="14" cm="1">
        <f t="array" ref="P345">INT(SUMPRODUCT(--ISNUMBER(SEARCH(foreign,C345)))&gt;0)</f>
        <v>0</v>
      </c>
      <c r="Q345" s="14" cm="1">
        <f t="array" ref="Q345">INT(SUMPRODUCT(--ISNUMBER(SEARCH(gun,C345)))&gt;0)</f>
        <v>0</v>
      </c>
      <c r="R345" s="14" cm="1">
        <f t="array" ref="R345">INT(SUMPRODUCT(--ISNUMBER(SEARCH(race,C345)))&gt;0)</f>
        <v>0</v>
      </c>
      <c r="S345" s="14" cm="1">
        <f t="array" ref="S345">INT(SUMPRODUCT(--ISNUMBER(SEARCH(immigration,C345)))&gt;0)</f>
        <v>0</v>
      </c>
      <c r="T345" s="14" cm="1">
        <f t="array" ref="T345">INT(SUMPRODUCT(--ISNUMBER(SEARCH(econineq,C346)))&gt;0)</f>
        <v>0</v>
      </c>
      <c r="U345" s="14" cm="1">
        <f t="array" ref="U345">INT(SUMPRODUCT(--ISNUMBER(SEARCH(climate,C345)))&gt;0)</f>
        <v>0</v>
      </c>
      <c r="V345" s="14" cm="1">
        <f t="array" ref="V345">INT(SUMPRODUCT(--ISNUMBER(SEARCH(abortion,C345)))&gt;0)</f>
        <v>0</v>
      </c>
      <c r="W345" s="14" cm="1">
        <f t="array" ref="W345">INT(SUMPRODUCT(--ISNUMBER(SEARCH(trump,C345)))&gt;0)</f>
        <v>0</v>
      </c>
      <c r="X345" s="14" cm="1">
        <f t="array" ref="X345">INT(SUMPRODUCT(--ISNUMBER(SEARCH(voting,C345)))&gt;0)</f>
        <v>1</v>
      </c>
      <c r="Y345" s="14" cm="1">
        <f t="array" ref="Y345">INT(SUMPRODUCT(--ISNUMBER(SEARCH(democrattrigger,C345)))&gt;0)</f>
        <v>0</v>
      </c>
      <c r="Z345" s="14" cm="1">
        <f t="array" ref="Z345">INT(SUMPRODUCT(--ISNUMBER(SEARCH(bipartisan,C345)))&gt;0)</f>
        <v>0</v>
      </c>
      <c r="AA345" s="14">
        <f t="shared" si="5"/>
        <v>0</v>
      </c>
      <c r="AB345" s="14"/>
      <c r="AC345" s="30" t="s">
        <v>223</v>
      </c>
      <c r="AD345" s="37" t="s">
        <v>223</v>
      </c>
    </row>
    <row r="346" spans="1:30" x14ac:dyDescent="0.25">
      <c r="A346" s="36">
        <v>2499</v>
      </c>
      <c r="B346" s="14" t="s">
        <v>5023</v>
      </c>
      <c r="C346" s="14" t="s">
        <v>5024</v>
      </c>
      <c r="D346" s="17">
        <v>44108</v>
      </c>
      <c r="E346" s="14" t="s">
        <v>30</v>
      </c>
      <c r="F346" s="14">
        <v>1028</v>
      </c>
      <c r="G346" s="14">
        <v>111</v>
      </c>
      <c r="H346" s="14">
        <v>11</v>
      </c>
      <c r="I346" s="14">
        <v>6</v>
      </c>
      <c r="J346" s="14" t="s">
        <v>204</v>
      </c>
      <c r="K346" s="14" cm="1">
        <f t="array" ref="K346">INT(SUMPRODUCT(--ISNUMBER(SEARCH(economy,C346)))&gt;0)</f>
        <v>0</v>
      </c>
      <c r="L346" s="14" cm="1">
        <f t="array" ref="L346">INT(SUMPRODUCT(--ISNUMBER(SEARCH(healthcare,C346)))&gt;0)</f>
        <v>0</v>
      </c>
      <c r="M346" s="14" cm="1">
        <f t="array" ref="M346">INT(SUMPRODUCT(--ISNUMBER(SEARCH(supreme,C346)))&gt;0)</f>
        <v>0</v>
      </c>
      <c r="N346" s="14" cm="1">
        <f t="array" ref="N346">INT(SUMPRODUCT(--ISNUMBER(SEARCH(covid,C346)))&gt;0)</f>
        <v>0</v>
      </c>
      <c r="O346" s="14" cm="1">
        <f t="array" ref="O346">INT(SUMPRODUCT(--ISNUMBER(SEARCH(violent,C346)))&gt;0)</f>
        <v>0</v>
      </c>
      <c r="P346" s="14" cm="1">
        <f t="array" ref="P346">INT(SUMPRODUCT(--ISNUMBER(SEARCH(foreign,C346)))&gt;0)</f>
        <v>0</v>
      </c>
      <c r="Q346" s="14" cm="1">
        <f t="array" ref="Q346">INT(SUMPRODUCT(--ISNUMBER(SEARCH(gun,C346)))&gt;0)</f>
        <v>0</v>
      </c>
      <c r="R346" s="14" cm="1">
        <f t="array" ref="R346">INT(SUMPRODUCT(--ISNUMBER(SEARCH(race,C346)))&gt;0)</f>
        <v>0</v>
      </c>
      <c r="S346" s="14" cm="1">
        <f t="array" ref="S346">INT(SUMPRODUCT(--ISNUMBER(SEARCH(immigration,C346)))&gt;0)</f>
        <v>0</v>
      </c>
      <c r="T346" s="14" cm="1">
        <f t="array" ref="T346">INT(SUMPRODUCT(--ISNUMBER(SEARCH(econineq,C347)))&gt;0)</f>
        <v>0</v>
      </c>
      <c r="U346" s="14" cm="1">
        <f t="array" ref="U346">INT(SUMPRODUCT(--ISNUMBER(SEARCH(climate,C346)))&gt;0)</f>
        <v>0</v>
      </c>
      <c r="V346" s="14" cm="1">
        <f t="array" ref="V346">INT(SUMPRODUCT(--ISNUMBER(SEARCH(abortion,C346)))&gt;0)</f>
        <v>0</v>
      </c>
      <c r="W346" s="14" cm="1">
        <f t="array" ref="W346">INT(SUMPRODUCT(--ISNUMBER(SEARCH(trump,C346)))&gt;0)</f>
        <v>0</v>
      </c>
      <c r="X346" s="14" cm="1">
        <f t="array" ref="X346">INT(SUMPRODUCT(--ISNUMBER(SEARCH(voting,C346)))&gt;0)</f>
        <v>1</v>
      </c>
      <c r="Y346" s="14" cm="1">
        <f t="array" ref="Y346">INT(SUMPRODUCT(--ISNUMBER(SEARCH(democrattrigger,C346)))&gt;0)</f>
        <v>0</v>
      </c>
      <c r="Z346" s="14" cm="1">
        <f t="array" ref="Z346">INT(SUMPRODUCT(--ISNUMBER(SEARCH(bipartisan,C346)))&gt;0)</f>
        <v>0</v>
      </c>
      <c r="AA346" s="14">
        <f t="shared" si="5"/>
        <v>0</v>
      </c>
      <c r="AB346" s="14"/>
      <c r="AC346" s="30">
        <v>1</v>
      </c>
      <c r="AD346" s="37">
        <v>0</v>
      </c>
    </row>
    <row r="347" spans="1:30" x14ac:dyDescent="0.25">
      <c r="A347" s="36">
        <v>2500</v>
      </c>
      <c r="B347" s="14" t="s">
        <v>5025</v>
      </c>
      <c r="C347" s="14" t="s">
        <v>5026</v>
      </c>
      <c r="D347" s="17">
        <v>44107</v>
      </c>
      <c r="E347" s="14" t="s">
        <v>30</v>
      </c>
      <c r="F347" s="14">
        <v>193</v>
      </c>
      <c r="G347" s="14">
        <v>43</v>
      </c>
      <c r="H347" s="14">
        <v>11</v>
      </c>
      <c r="I347" s="14">
        <v>6</v>
      </c>
      <c r="J347" s="14" t="s">
        <v>204</v>
      </c>
      <c r="K347" s="14" cm="1">
        <f t="array" ref="K347">INT(SUMPRODUCT(--ISNUMBER(SEARCH(economy,C347)))&gt;0)</f>
        <v>0</v>
      </c>
      <c r="L347" s="14" cm="1">
        <f t="array" ref="L347">INT(SUMPRODUCT(--ISNUMBER(SEARCH(healthcare,C347)))&gt;0)</f>
        <v>0</v>
      </c>
      <c r="M347" s="14" cm="1">
        <f t="array" ref="M347">INT(SUMPRODUCT(--ISNUMBER(SEARCH(supreme,C347)))&gt;0)</f>
        <v>1</v>
      </c>
      <c r="N347" s="14" cm="1">
        <f t="array" ref="N347">INT(SUMPRODUCT(--ISNUMBER(SEARCH(covid,C347)))&gt;0)</f>
        <v>0</v>
      </c>
      <c r="O347" s="14" cm="1">
        <f t="array" ref="O347">INT(SUMPRODUCT(--ISNUMBER(SEARCH(violent,C347)))&gt;0)</f>
        <v>0</v>
      </c>
      <c r="P347" s="14" cm="1">
        <f t="array" ref="P347">INT(SUMPRODUCT(--ISNUMBER(SEARCH(foreign,C347)))&gt;0)</f>
        <v>0</v>
      </c>
      <c r="Q347" s="14" cm="1">
        <f t="array" ref="Q347">INT(SUMPRODUCT(--ISNUMBER(SEARCH(gun,C347)))&gt;0)</f>
        <v>0</v>
      </c>
      <c r="R347" s="14" cm="1">
        <f t="array" ref="R347">INT(SUMPRODUCT(--ISNUMBER(SEARCH(race,C347)))&gt;0)</f>
        <v>0</v>
      </c>
      <c r="S347" s="14" cm="1">
        <f t="array" ref="S347">INT(SUMPRODUCT(--ISNUMBER(SEARCH(immigration,C347)))&gt;0)</f>
        <v>0</v>
      </c>
      <c r="T347" s="14" cm="1">
        <f t="array" ref="T347">INT(SUMPRODUCT(--ISNUMBER(SEARCH(econineq,C348)))&gt;0)</f>
        <v>0</v>
      </c>
      <c r="U347" s="14" cm="1">
        <f t="array" ref="U347">INT(SUMPRODUCT(--ISNUMBER(SEARCH(climate,C347)))&gt;0)</f>
        <v>0</v>
      </c>
      <c r="V347" s="14" cm="1">
        <f t="array" ref="V347">INT(SUMPRODUCT(--ISNUMBER(SEARCH(abortion,C347)))&gt;0)</f>
        <v>0</v>
      </c>
      <c r="W347" s="14" cm="1">
        <f t="array" ref="W347">INT(SUMPRODUCT(--ISNUMBER(SEARCH(trump,C347)))&gt;0)</f>
        <v>0</v>
      </c>
      <c r="X347" s="14" cm="1">
        <f t="array" ref="X347">INT(SUMPRODUCT(--ISNUMBER(SEARCH(voting,C347)))&gt;0)</f>
        <v>1</v>
      </c>
      <c r="Y347" s="14" cm="1">
        <f t="array" ref="Y347">INT(SUMPRODUCT(--ISNUMBER(SEARCH(democrattrigger,C347)))&gt;0)</f>
        <v>1</v>
      </c>
      <c r="Z347" s="14" cm="1">
        <f t="array" ref="Z347">INT(SUMPRODUCT(--ISNUMBER(SEARCH(bipartisan,C347)))&gt;0)</f>
        <v>0</v>
      </c>
      <c r="AA347" s="14">
        <f t="shared" si="5"/>
        <v>0</v>
      </c>
      <c r="AB347" s="14"/>
      <c r="AC347" s="30" t="s">
        <v>223</v>
      </c>
      <c r="AD347" s="37" t="s">
        <v>223</v>
      </c>
    </row>
    <row r="348" spans="1:30" x14ac:dyDescent="0.25">
      <c r="A348" s="36">
        <v>2501</v>
      </c>
      <c r="B348" s="14" t="s">
        <v>5027</v>
      </c>
      <c r="C348" s="14" t="s">
        <v>5028</v>
      </c>
      <c r="D348" s="17">
        <v>44107</v>
      </c>
      <c r="E348" s="14" t="s">
        <v>30</v>
      </c>
      <c r="F348" s="14">
        <v>262</v>
      </c>
      <c r="G348" s="14">
        <v>52</v>
      </c>
      <c r="H348" s="14">
        <v>11</v>
      </c>
      <c r="I348" s="14">
        <v>6</v>
      </c>
      <c r="J348" s="14" t="s">
        <v>204</v>
      </c>
      <c r="K348" s="14" cm="1">
        <f t="array" ref="K348">INT(SUMPRODUCT(--ISNUMBER(SEARCH(economy,C348)))&gt;0)</f>
        <v>0</v>
      </c>
      <c r="L348" s="14" cm="1">
        <f t="array" ref="L348">INT(SUMPRODUCT(--ISNUMBER(SEARCH(healthcare,C348)))&gt;0)</f>
        <v>1</v>
      </c>
      <c r="M348" s="14" cm="1">
        <f t="array" ref="M348">INT(SUMPRODUCT(--ISNUMBER(SEARCH(supreme,C348)))&gt;0)</f>
        <v>1</v>
      </c>
      <c r="N348" s="14" cm="1">
        <f t="array" ref="N348">INT(SUMPRODUCT(--ISNUMBER(SEARCH(covid,C348)))&gt;0)</f>
        <v>1</v>
      </c>
      <c r="O348" s="14" cm="1">
        <f t="array" ref="O348">INT(SUMPRODUCT(--ISNUMBER(SEARCH(violent,C348)))&gt;0)</f>
        <v>0</v>
      </c>
      <c r="P348" s="14" cm="1">
        <f t="array" ref="P348">INT(SUMPRODUCT(--ISNUMBER(SEARCH(foreign,C348)))&gt;0)</f>
        <v>0</v>
      </c>
      <c r="Q348" s="14" cm="1">
        <f t="array" ref="Q348">INT(SUMPRODUCT(--ISNUMBER(SEARCH(gun,C348)))&gt;0)</f>
        <v>0</v>
      </c>
      <c r="R348" s="14" cm="1">
        <f t="array" ref="R348">INT(SUMPRODUCT(--ISNUMBER(SEARCH(race,C348)))&gt;0)</f>
        <v>0</v>
      </c>
      <c r="S348" s="14" cm="1">
        <f t="array" ref="S348">INT(SUMPRODUCT(--ISNUMBER(SEARCH(immigration,C348)))&gt;0)</f>
        <v>0</v>
      </c>
      <c r="T348" s="14" cm="1">
        <f t="array" ref="T348">INT(SUMPRODUCT(--ISNUMBER(SEARCH(econineq,C349)))&gt;0)</f>
        <v>0</v>
      </c>
      <c r="U348" s="14" cm="1">
        <f t="array" ref="U348">INT(SUMPRODUCT(--ISNUMBER(SEARCH(climate,C348)))&gt;0)</f>
        <v>0</v>
      </c>
      <c r="V348" s="14" cm="1">
        <f t="array" ref="V348">INT(SUMPRODUCT(--ISNUMBER(SEARCH(abortion,C348)))&gt;0)</f>
        <v>0</v>
      </c>
      <c r="W348" s="14" cm="1">
        <f t="array" ref="W348">INT(SUMPRODUCT(--ISNUMBER(SEARCH(trump,C348)))&gt;0)</f>
        <v>0</v>
      </c>
      <c r="X348" s="14" cm="1">
        <f t="array" ref="X348">INT(SUMPRODUCT(--ISNUMBER(SEARCH(voting,C348)))&gt;0)</f>
        <v>0</v>
      </c>
      <c r="Y348" s="14" cm="1">
        <f t="array" ref="Y348">INT(SUMPRODUCT(--ISNUMBER(SEARCH(democrattrigger,C348)))&gt;0)</f>
        <v>0</v>
      </c>
      <c r="Z348" s="14" cm="1">
        <f t="array" ref="Z348">INT(SUMPRODUCT(--ISNUMBER(SEARCH(bipartisan,C348)))&gt;0)</f>
        <v>0</v>
      </c>
      <c r="AA348" s="14">
        <f t="shared" si="5"/>
        <v>0</v>
      </c>
      <c r="AB348" s="14"/>
      <c r="AC348" s="30" t="s">
        <v>223</v>
      </c>
      <c r="AD348" s="37" t="s">
        <v>223</v>
      </c>
    </row>
    <row r="349" spans="1:30" x14ac:dyDescent="0.25">
      <c r="A349" s="36">
        <v>2502</v>
      </c>
      <c r="B349" s="14" t="s">
        <v>5029</v>
      </c>
      <c r="C349" s="14" t="s">
        <v>5030</v>
      </c>
      <c r="D349" s="17">
        <v>44107</v>
      </c>
      <c r="E349" s="14" t="s">
        <v>30</v>
      </c>
      <c r="F349" s="14">
        <v>122</v>
      </c>
      <c r="G349" s="14">
        <v>19</v>
      </c>
      <c r="H349" s="14">
        <v>11</v>
      </c>
      <c r="I349" s="14">
        <v>6</v>
      </c>
      <c r="J349" s="14" t="s">
        <v>204</v>
      </c>
      <c r="K349" s="14" cm="1">
        <f t="array" ref="K349">INT(SUMPRODUCT(--ISNUMBER(SEARCH(economy,C349)))&gt;0)</f>
        <v>0</v>
      </c>
      <c r="L349" s="14" cm="1">
        <f t="array" ref="L349">INT(SUMPRODUCT(--ISNUMBER(SEARCH(healthcare,C349)))&gt;0)</f>
        <v>0</v>
      </c>
      <c r="M349" s="14" cm="1">
        <f t="array" ref="M349">INT(SUMPRODUCT(--ISNUMBER(SEARCH(supreme,C349)))&gt;0)</f>
        <v>0</v>
      </c>
      <c r="N349" s="14" cm="1">
        <f t="array" ref="N349">INT(SUMPRODUCT(--ISNUMBER(SEARCH(covid,C349)))&gt;0)</f>
        <v>0</v>
      </c>
      <c r="O349" s="14" cm="1">
        <f t="array" ref="O349">INT(SUMPRODUCT(--ISNUMBER(SEARCH(violent,C349)))&gt;0)</f>
        <v>0</v>
      </c>
      <c r="P349" s="14" cm="1">
        <f t="array" ref="P349">INT(SUMPRODUCT(--ISNUMBER(SEARCH(foreign,C349)))&gt;0)</f>
        <v>0</v>
      </c>
      <c r="Q349" s="14" cm="1">
        <f t="array" ref="Q349">INT(SUMPRODUCT(--ISNUMBER(SEARCH(gun,C349)))&gt;0)</f>
        <v>0</v>
      </c>
      <c r="R349" s="14" cm="1">
        <f t="array" ref="R349">INT(SUMPRODUCT(--ISNUMBER(SEARCH(race,C349)))&gt;0)</f>
        <v>0</v>
      </c>
      <c r="S349" s="14" cm="1">
        <f t="array" ref="S349">INT(SUMPRODUCT(--ISNUMBER(SEARCH(immigration,C349)))&gt;0)</f>
        <v>0</v>
      </c>
      <c r="T349" s="14" cm="1">
        <f t="array" ref="T349">INT(SUMPRODUCT(--ISNUMBER(SEARCH(econineq,C350)))&gt;0)</f>
        <v>0</v>
      </c>
      <c r="U349" s="14" cm="1">
        <f t="array" ref="U349">INT(SUMPRODUCT(--ISNUMBER(SEARCH(climate,C349)))&gt;0)</f>
        <v>0</v>
      </c>
      <c r="V349" s="14" cm="1">
        <f t="array" ref="V349">INT(SUMPRODUCT(--ISNUMBER(SEARCH(abortion,C349)))&gt;0)</f>
        <v>0</v>
      </c>
      <c r="W349" s="14" cm="1">
        <f t="array" ref="W349">INT(SUMPRODUCT(--ISNUMBER(SEARCH(trump,C349)))&gt;0)</f>
        <v>0</v>
      </c>
      <c r="X349" s="14" cm="1">
        <f t="array" ref="X349">INT(SUMPRODUCT(--ISNUMBER(SEARCH(voting,C349)))&gt;0)</f>
        <v>1</v>
      </c>
      <c r="Y349" s="14" cm="1">
        <f t="array" ref="Y349">INT(SUMPRODUCT(--ISNUMBER(SEARCH(democrattrigger,C349)))&gt;0)</f>
        <v>0</v>
      </c>
      <c r="Z349" s="14" cm="1">
        <f t="array" ref="Z349">INT(SUMPRODUCT(--ISNUMBER(SEARCH(bipartisan,C349)))&gt;0)</f>
        <v>0</v>
      </c>
      <c r="AA349" s="14">
        <f t="shared" si="5"/>
        <v>0</v>
      </c>
      <c r="AB349" s="14"/>
      <c r="AC349" s="30" t="s">
        <v>223</v>
      </c>
      <c r="AD349" s="37" t="s">
        <v>223</v>
      </c>
    </row>
    <row r="350" spans="1:30" x14ac:dyDescent="0.25">
      <c r="A350" s="36">
        <v>2503</v>
      </c>
      <c r="B350" s="14" t="s">
        <v>5031</v>
      </c>
      <c r="C350" s="14" t="s">
        <v>5032</v>
      </c>
      <c r="D350" s="17">
        <v>44107</v>
      </c>
      <c r="E350" s="14" t="s">
        <v>30</v>
      </c>
      <c r="F350" s="14">
        <v>120</v>
      </c>
      <c r="G350" s="14">
        <v>21</v>
      </c>
      <c r="H350" s="14">
        <v>11</v>
      </c>
      <c r="I350" s="14">
        <v>6</v>
      </c>
      <c r="J350" s="14" t="s">
        <v>204</v>
      </c>
      <c r="K350" s="14" cm="1">
        <f t="array" ref="K350">INT(SUMPRODUCT(--ISNUMBER(SEARCH(economy,C350)))&gt;0)</f>
        <v>0</v>
      </c>
      <c r="L350" s="14" cm="1">
        <f t="array" ref="L350">INT(SUMPRODUCT(--ISNUMBER(SEARCH(healthcare,C350)))&gt;0)</f>
        <v>0</v>
      </c>
      <c r="M350" s="14" cm="1">
        <f t="array" ref="M350">INT(SUMPRODUCT(--ISNUMBER(SEARCH(supreme,C350)))&gt;0)</f>
        <v>0</v>
      </c>
      <c r="N350" s="14" cm="1">
        <f t="array" ref="N350">INT(SUMPRODUCT(--ISNUMBER(SEARCH(covid,C350)))&gt;0)</f>
        <v>0</v>
      </c>
      <c r="O350" s="14" cm="1">
        <f t="array" ref="O350">INT(SUMPRODUCT(--ISNUMBER(SEARCH(violent,C350)))&gt;0)</f>
        <v>0</v>
      </c>
      <c r="P350" s="14" cm="1">
        <f t="array" ref="P350">INT(SUMPRODUCT(--ISNUMBER(SEARCH(foreign,C350)))&gt;0)</f>
        <v>0</v>
      </c>
      <c r="Q350" s="14" cm="1">
        <f t="array" ref="Q350">INT(SUMPRODUCT(--ISNUMBER(SEARCH(gun,C350)))&gt;0)</f>
        <v>0</v>
      </c>
      <c r="R350" s="14" cm="1">
        <f t="array" ref="R350">INT(SUMPRODUCT(--ISNUMBER(SEARCH(race,C350)))&gt;0)</f>
        <v>0</v>
      </c>
      <c r="S350" s="14" cm="1">
        <f t="array" ref="S350">INT(SUMPRODUCT(--ISNUMBER(SEARCH(immigration,C350)))&gt;0)</f>
        <v>0</v>
      </c>
      <c r="T350" s="14" cm="1">
        <f t="array" ref="T350">INT(SUMPRODUCT(--ISNUMBER(SEARCH(econineq,C351)))&gt;0)</f>
        <v>0</v>
      </c>
      <c r="U350" s="14" cm="1">
        <f t="array" ref="U350">INT(SUMPRODUCT(--ISNUMBER(SEARCH(climate,C350)))&gt;0)</f>
        <v>0</v>
      </c>
      <c r="V350" s="14" cm="1">
        <f t="array" ref="V350">INT(SUMPRODUCT(--ISNUMBER(SEARCH(abortion,C350)))&gt;0)</f>
        <v>0</v>
      </c>
      <c r="W350" s="14" cm="1">
        <f t="array" ref="W350">INT(SUMPRODUCT(--ISNUMBER(SEARCH(trump,C350)))&gt;0)</f>
        <v>0</v>
      </c>
      <c r="X350" s="14" cm="1">
        <f t="array" ref="X350">INT(SUMPRODUCT(--ISNUMBER(SEARCH(voting,C350)))&gt;0)</f>
        <v>0</v>
      </c>
      <c r="Y350" s="14" cm="1">
        <f t="array" ref="Y350">INT(SUMPRODUCT(--ISNUMBER(SEARCH(democrattrigger,C350)))&gt;0)</f>
        <v>0</v>
      </c>
      <c r="Z350" s="14" cm="1">
        <f t="array" ref="Z350">INT(SUMPRODUCT(--ISNUMBER(SEARCH(bipartisan,C350)))&gt;0)</f>
        <v>0</v>
      </c>
      <c r="AA350" s="14">
        <f t="shared" si="5"/>
        <v>1</v>
      </c>
      <c r="AB350" s="14"/>
      <c r="AC350" s="30" t="s">
        <v>223</v>
      </c>
      <c r="AD350" s="37" t="s">
        <v>223</v>
      </c>
    </row>
    <row r="351" spans="1:30" x14ac:dyDescent="0.25">
      <c r="A351" s="36">
        <v>2504</v>
      </c>
      <c r="B351" s="14" t="s">
        <v>5033</v>
      </c>
      <c r="C351" s="14" t="s">
        <v>5034</v>
      </c>
      <c r="D351" s="17">
        <v>44107</v>
      </c>
      <c r="E351" s="14" t="s">
        <v>30</v>
      </c>
      <c r="F351" s="14">
        <v>62</v>
      </c>
      <c r="G351" s="14">
        <v>13</v>
      </c>
      <c r="H351" s="14">
        <v>11</v>
      </c>
      <c r="I351" s="14">
        <v>6</v>
      </c>
      <c r="J351" s="14" t="s">
        <v>204</v>
      </c>
      <c r="K351" s="14" cm="1">
        <f t="array" ref="K351">INT(SUMPRODUCT(--ISNUMBER(SEARCH(economy,C351)))&gt;0)</f>
        <v>0</v>
      </c>
      <c r="L351" s="14" cm="1">
        <f t="array" ref="L351">INT(SUMPRODUCT(--ISNUMBER(SEARCH(healthcare,C351)))&gt;0)</f>
        <v>0</v>
      </c>
      <c r="M351" s="14" cm="1">
        <f t="array" ref="M351">INT(SUMPRODUCT(--ISNUMBER(SEARCH(supreme,C351)))&gt;0)</f>
        <v>0</v>
      </c>
      <c r="N351" s="14" cm="1">
        <f t="array" ref="N351">INT(SUMPRODUCT(--ISNUMBER(SEARCH(covid,C351)))&gt;0)</f>
        <v>0</v>
      </c>
      <c r="O351" s="14" cm="1">
        <f t="array" ref="O351">INT(SUMPRODUCT(--ISNUMBER(SEARCH(violent,C351)))&gt;0)</f>
        <v>0</v>
      </c>
      <c r="P351" s="14" cm="1">
        <f t="array" ref="P351">INT(SUMPRODUCT(--ISNUMBER(SEARCH(foreign,C351)))&gt;0)</f>
        <v>1</v>
      </c>
      <c r="Q351" s="14" cm="1">
        <f t="array" ref="Q351">INT(SUMPRODUCT(--ISNUMBER(SEARCH(gun,C351)))&gt;0)</f>
        <v>0</v>
      </c>
      <c r="R351" s="14" cm="1">
        <f t="array" ref="R351">INT(SUMPRODUCT(--ISNUMBER(SEARCH(race,C351)))&gt;0)</f>
        <v>0</v>
      </c>
      <c r="S351" s="14" cm="1">
        <f t="array" ref="S351">INT(SUMPRODUCT(--ISNUMBER(SEARCH(immigration,C351)))&gt;0)</f>
        <v>0</v>
      </c>
      <c r="T351" s="14" cm="1">
        <f t="array" ref="T351">INT(SUMPRODUCT(--ISNUMBER(SEARCH(econineq,C352)))&gt;0)</f>
        <v>0</v>
      </c>
      <c r="U351" s="14" cm="1">
        <f t="array" ref="U351">INT(SUMPRODUCT(--ISNUMBER(SEARCH(climate,C351)))&gt;0)</f>
        <v>0</v>
      </c>
      <c r="V351" s="14" cm="1">
        <f t="array" ref="V351">INT(SUMPRODUCT(--ISNUMBER(SEARCH(abortion,C351)))&gt;0)</f>
        <v>0</v>
      </c>
      <c r="W351" s="14" cm="1">
        <f t="array" ref="W351">INT(SUMPRODUCT(--ISNUMBER(SEARCH(trump,C351)))&gt;0)</f>
        <v>0</v>
      </c>
      <c r="X351" s="14" cm="1">
        <f t="array" ref="X351">INT(SUMPRODUCT(--ISNUMBER(SEARCH(voting,C351)))&gt;0)</f>
        <v>1</v>
      </c>
      <c r="Y351" s="14" cm="1">
        <f t="array" ref="Y351">INT(SUMPRODUCT(--ISNUMBER(SEARCH(democrattrigger,C351)))&gt;0)</f>
        <v>0</v>
      </c>
      <c r="Z351" s="14" cm="1">
        <f t="array" ref="Z351">INT(SUMPRODUCT(--ISNUMBER(SEARCH(bipartisan,C351)))&gt;0)</f>
        <v>0</v>
      </c>
      <c r="AA351" s="14">
        <f t="shared" si="5"/>
        <v>0</v>
      </c>
      <c r="AB351" s="14"/>
      <c r="AC351" s="30">
        <v>1</v>
      </c>
      <c r="AD351" s="37">
        <v>1</v>
      </c>
    </row>
    <row r="352" spans="1:30" x14ac:dyDescent="0.25">
      <c r="A352" s="36">
        <v>2505</v>
      </c>
      <c r="B352" s="14" t="s">
        <v>5035</v>
      </c>
      <c r="C352" s="14" t="s">
        <v>5036</v>
      </c>
      <c r="D352" s="17">
        <v>44107</v>
      </c>
      <c r="E352" s="14" t="s">
        <v>30</v>
      </c>
      <c r="F352" s="14">
        <v>133</v>
      </c>
      <c r="G352" s="14">
        <v>29</v>
      </c>
      <c r="H352" s="14">
        <v>11</v>
      </c>
      <c r="I352" s="14">
        <v>6</v>
      </c>
      <c r="J352" s="14" t="s">
        <v>204</v>
      </c>
      <c r="K352" s="14" cm="1">
        <f t="array" ref="K352">INT(SUMPRODUCT(--ISNUMBER(SEARCH(economy,C352)))&gt;0)</f>
        <v>0</v>
      </c>
      <c r="L352" s="14" cm="1">
        <f t="array" ref="L352">INT(SUMPRODUCT(--ISNUMBER(SEARCH(healthcare,C352)))&gt;0)</f>
        <v>0</v>
      </c>
      <c r="M352" s="14" cm="1">
        <f t="array" ref="M352">INT(SUMPRODUCT(--ISNUMBER(SEARCH(supreme,C352)))&gt;0)</f>
        <v>0</v>
      </c>
      <c r="N352" s="14" cm="1">
        <f t="array" ref="N352">INT(SUMPRODUCT(--ISNUMBER(SEARCH(covid,C352)))&gt;0)</f>
        <v>0</v>
      </c>
      <c r="O352" s="14" cm="1">
        <f t="array" ref="O352">INT(SUMPRODUCT(--ISNUMBER(SEARCH(violent,C352)))&gt;0)</f>
        <v>0</v>
      </c>
      <c r="P352" s="14" cm="1">
        <f t="array" ref="P352">INT(SUMPRODUCT(--ISNUMBER(SEARCH(foreign,C352)))&gt;0)</f>
        <v>0</v>
      </c>
      <c r="Q352" s="14" cm="1">
        <f t="array" ref="Q352">INT(SUMPRODUCT(--ISNUMBER(SEARCH(gun,C352)))&gt;0)</f>
        <v>0</v>
      </c>
      <c r="R352" s="14" cm="1">
        <f t="array" ref="R352">INT(SUMPRODUCT(--ISNUMBER(SEARCH(race,C352)))&gt;0)</f>
        <v>0</v>
      </c>
      <c r="S352" s="14" cm="1">
        <f t="array" ref="S352">INT(SUMPRODUCT(--ISNUMBER(SEARCH(immigration,C352)))&gt;0)</f>
        <v>0</v>
      </c>
      <c r="T352" s="14" cm="1">
        <f t="array" ref="T352">INT(SUMPRODUCT(--ISNUMBER(SEARCH(econineq,C353)))&gt;0)</f>
        <v>0</v>
      </c>
      <c r="U352" s="14" cm="1">
        <f t="array" ref="U352">INT(SUMPRODUCT(--ISNUMBER(SEARCH(climate,C352)))&gt;0)</f>
        <v>1</v>
      </c>
      <c r="V352" s="14" cm="1">
        <f t="array" ref="V352">INT(SUMPRODUCT(--ISNUMBER(SEARCH(abortion,C352)))&gt;0)</f>
        <v>0</v>
      </c>
      <c r="W352" s="14" cm="1">
        <f t="array" ref="W352">INT(SUMPRODUCT(--ISNUMBER(SEARCH(trump,C352)))&gt;0)</f>
        <v>0</v>
      </c>
      <c r="X352" s="14" cm="1">
        <f t="array" ref="X352">INT(SUMPRODUCT(--ISNUMBER(SEARCH(voting,C352)))&gt;0)</f>
        <v>0</v>
      </c>
      <c r="Y352" s="14" cm="1">
        <f t="array" ref="Y352">INT(SUMPRODUCT(--ISNUMBER(SEARCH(democrattrigger,C352)))&gt;0)</f>
        <v>0</v>
      </c>
      <c r="Z352" s="14" cm="1">
        <f t="array" ref="Z352">INT(SUMPRODUCT(--ISNUMBER(SEARCH(bipartisan,C352)))&gt;0)</f>
        <v>0</v>
      </c>
      <c r="AA352" s="14">
        <f t="shared" si="5"/>
        <v>0</v>
      </c>
      <c r="AB352" s="14"/>
      <c r="AC352" s="30">
        <v>0</v>
      </c>
      <c r="AD352" s="37">
        <v>1</v>
      </c>
    </row>
    <row r="353" spans="1:30" x14ac:dyDescent="0.25">
      <c r="A353" s="36">
        <v>2506</v>
      </c>
      <c r="B353" s="14" t="s">
        <v>5037</v>
      </c>
      <c r="C353" s="14" t="s">
        <v>5038</v>
      </c>
      <c r="D353" s="17">
        <v>44107</v>
      </c>
      <c r="E353" s="14" t="s">
        <v>30</v>
      </c>
      <c r="F353" s="14">
        <v>154</v>
      </c>
      <c r="G353" s="14">
        <v>32</v>
      </c>
      <c r="H353" s="14">
        <v>11</v>
      </c>
      <c r="I353" s="14">
        <v>6</v>
      </c>
      <c r="J353" s="14" t="s">
        <v>204</v>
      </c>
      <c r="K353" s="14" cm="1">
        <f t="array" ref="K353">INT(SUMPRODUCT(--ISNUMBER(SEARCH(economy,C353)))&gt;0)</f>
        <v>0</v>
      </c>
      <c r="L353" s="14" cm="1">
        <f t="array" ref="L353">INT(SUMPRODUCT(--ISNUMBER(SEARCH(healthcare,C353)))&gt;0)</f>
        <v>1</v>
      </c>
      <c r="M353" s="14" cm="1">
        <f t="array" ref="M353">INT(SUMPRODUCT(--ISNUMBER(SEARCH(supreme,C353)))&gt;0)</f>
        <v>1</v>
      </c>
      <c r="N353" s="14" cm="1">
        <f t="array" ref="N353">INT(SUMPRODUCT(--ISNUMBER(SEARCH(covid,C353)))&gt;0)</f>
        <v>0</v>
      </c>
      <c r="O353" s="14" cm="1">
        <f t="array" ref="O353">INT(SUMPRODUCT(--ISNUMBER(SEARCH(violent,C353)))&gt;0)</f>
        <v>0</v>
      </c>
      <c r="P353" s="14" cm="1">
        <f t="array" ref="P353">INT(SUMPRODUCT(--ISNUMBER(SEARCH(foreign,C353)))&gt;0)</f>
        <v>0</v>
      </c>
      <c r="Q353" s="14" cm="1">
        <f t="array" ref="Q353">INT(SUMPRODUCT(--ISNUMBER(SEARCH(gun,C353)))&gt;0)</f>
        <v>0</v>
      </c>
      <c r="R353" s="14" cm="1">
        <f t="array" ref="R353">INT(SUMPRODUCT(--ISNUMBER(SEARCH(race,C353)))&gt;0)</f>
        <v>0</v>
      </c>
      <c r="S353" s="14" cm="1">
        <f t="array" ref="S353">INT(SUMPRODUCT(--ISNUMBER(SEARCH(immigration,C353)))&gt;0)</f>
        <v>0</v>
      </c>
      <c r="T353" s="14" cm="1">
        <f t="array" ref="T353">INT(SUMPRODUCT(--ISNUMBER(SEARCH(econineq,C354)))&gt;0)</f>
        <v>0</v>
      </c>
      <c r="U353" s="14" cm="1">
        <f t="array" ref="U353">INT(SUMPRODUCT(--ISNUMBER(SEARCH(climate,C353)))&gt;0)</f>
        <v>0</v>
      </c>
      <c r="V353" s="14" cm="1">
        <f t="array" ref="V353">INT(SUMPRODUCT(--ISNUMBER(SEARCH(abortion,C353)))&gt;0)</f>
        <v>1</v>
      </c>
      <c r="W353" s="14" cm="1">
        <f t="array" ref="W353">INT(SUMPRODUCT(--ISNUMBER(SEARCH(trump,C353)))&gt;0)</f>
        <v>0</v>
      </c>
      <c r="X353" s="14" cm="1">
        <f t="array" ref="X353">INT(SUMPRODUCT(--ISNUMBER(SEARCH(voting,C353)))&gt;0)</f>
        <v>0</v>
      </c>
      <c r="Y353" s="14" cm="1">
        <f t="array" ref="Y353">INT(SUMPRODUCT(--ISNUMBER(SEARCH(democrattrigger,C353)))&gt;0)</f>
        <v>0</v>
      </c>
      <c r="Z353" s="14" cm="1">
        <f t="array" ref="Z353">INT(SUMPRODUCT(--ISNUMBER(SEARCH(bipartisan,C353)))&gt;0)</f>
        <v>0</v>
      </c>
      <c r="AA353" s="14">
        <f t="shared" si="5"/>
        <v>0</v>
      </c>
      <c r="AB353" s="14"/>
      <c r="AC353" s="30">
        <v>0</v>
      </c>
      <c r="AD353" s="37">
        <v>1</v>
      </c>
    </row>
    <row r="354" spans="1:30" x14ac:dyDescent="0.25">
      <c r="A354" s="38">
        <v>2507</v>
      </c>
      <c r="B354" s="39" t="s">
        <v>5039</v>
      </c>
      <c r="C354" s="39" t="s">
        <v>5040</v>
      </c>
      <c r="D354" s="41">
        <v>44107</v>
      </c>
      <c r="E354" s="39" t="s">
        <v>30</v>
      </c>
      <c r="F354" s="39">
        <v>140</v>
      </c>
      <c r="G354" s="39">
        <v>25</v>
      </c>
      <c r="H354" s="39">
        <v>11</v>
      </c>
      <c r="I354" s="39">
        <v>6</v>
      </c>
      <c r="J354" s="39" t="s">
        <v>204</v>
      </c>
      <c r="K354" s="39" cm="1">
        <f t="array" ref="K354">INT(SUMPRODUCT(--ISNUMBER(SEARCH(economy,C354)))&gt;0)</f>
        <v>0</v>
      </c>
      <c r="L354" s="39" cm="1">
        <f t="array" ref="L354">INT(SUMPRODUCT(--ISNUMBER(SEARCH(healthcare,C354)))&gt;0)</f>
        <v>0</v>
      </c>
      <c r="M354" s="39" cm="1">
        <f t="array" ref="M354">INT(SUMPRODUCT(--ISNUMBER(SEARCH(supreme,C354)))&gt;0)</f>
        <v>0</v>
      </c>
      <c r="N354" s="39" cm="1">
        <f t="array" ref="N354">INT(SUMPRODUCT(--ISNUMBER(SEARCH(covid,C354)))&gt;0)</f>
        <v>0</v>
      </c>
      <c r="O354" s="39" cm="1">
        <f t="array" ref="O354">INT(SUMPRODUCT(--ISNUMBER(SEARCH(violent,C354)))&gt;0)</f>
        <v>0</v>
      </c>
      <c r="P354" s="39" cm="1">
        <f t="array" ref="P354">INT(SUMPRODUCT(--ISNUMBER(SEARCH(foreign,C354)))&gt;0)</f>
        <v>0</v>
      </c>
      <c r="Q354" s="39" cm="1">
        <f t="array" ref="Q354">INT(SUMPRODUCT(--ISNUMBER(SEARCH(gun,C354)))&gt;0)</f>
        <v>0</v>
      </c>
      <c r="R354" s="39" cm="1">
        <f t="array" ref="R354">INT(SUMPRODUCT(--ISNUMBER(SEARCH(race,C354)))&gt;0)</f>
        <v>0</v>
      </c>
      <c r="S354" s="39" cm="1">
        <f t="array" ref="S354">INT(SUMPRODUCT(--ISNUMBER(SEARCH(immigration,C354)))&gt;0)</f>
        <v>0</v>
      </c>
      <c r="T354" s="39" cm="1">
        <f t="array" ref="T354">INT(SUMPRODUCT(--ISNUMBER(SEARCH(econineq,C355)))&gt;0)</f>
        <v>0</v>
      </c>
      <c r="U354" s="39" cm="1">
        <f t="array" ref="U354">INT(SUMPRODUCT(--ISNUMBER(SEARCH(climate,C354)))&gt;0)</f>
        <v>0</v>
      </c>
      <c r="V354" s="39" cm="1">
        <f t="array" ref="V354">INT(SUMPRODUCT(--ISNUMBER(SEARCH(abortion,C354)))&gt;0)</f>
        <v>0</v>
      </c>
      <c r="W354" s="39" cm="1">
        <f t="array" ref="W354">INT(SUMPRODUCT(--ISNUMBER(SEARCH(trump,C354)))&gt;0)</f>
        <v>0</v>
      </c>
      <c r="X354" s="39" cm="1">
        <f t="array" ref="X354">INT(SUMPRODUCT(--ISNUMBER(SEARCH(voting,C354)))&gt;0)</f>
        <v>0</v>
      </c>
      <c r="Y354" s="39" cm="1">
        <f t="array" ref="Y354">INT(SUMPRODUCT(--ISNUMBER(SEARCH(democrattrigger,C354)))&gt;0)</f>
        <v>0</v>
      </c>
      <c r="Z354" s="39" cm="1">
        <f t="array" ref="Z354">INT(SUMPRODUCT(--ISNUMBER(SEARCH(bipartisan,C354)))&gt;0)</f>
        <v>0</v>
      </c>
      <c r="AA354" s="39">
        <f t="shared" si="5"/>
        <v>1</v>
      </c>
      <c r="AB354" s="39"/>
      <c r="AC354" s="44">
        <v>0</v>
      </c>
      <c r="AD354" s="45">
        <v>1</v>
      </c>
    </row>
    <row r="355" spans="1:30" x14ac:dyDescent="0.25">
      <c r="K355" s="21">
        <f t="shared" ref="K355:AD355" si="6">SUM(K2:K354)</f>
        <v>22</v>
      </c>
      <c r="L355" s="21">
        <f t="shared" si="6"/>
        <v>48</v>
      </c>
      <c r="M355" s="21">
        <f t="shared" si="6"/>
        <v>40</v>
      </c>
      <c r="N355" s="21">
        <f t="shared" si="6"/>
        <v>42</v>
      </c>
      <c r="O355" s="21">
        <f t="shared" si="6"/>
        <v>5</v>
      </c>
      <c r="P355" s="21">
        <f t="shared" si="6"/>
        <v>51</v>
      </c>
      <c r="Q355" s="21">
        <f t="shared" si="6"/>
        <v>4</v>
      </c>
      <c r="R355" s="21">
        <f t="shared" si="6"/>
        <v>16</v>
      </c>
      <c r="S355" s="21">
        <f t="shared" si="6"/>
        <v>2</v>
      </c>
      <c r="T355" s="21">
        <f t="shared" si="6"/>
        <v>13</v>
      </c>
      <c r="U355" s="21">
        <f t="shared" si="6"/>
        <v>21</v>
      </c>
      <c r="V355" s="21">
        <f t="shared" si="6"/>
        <v>10</v>
      </c>
      <c r="W355" s="21">
        <f t="shared" si="6"/>
        <v>28</v>
      </c>
      <c r="X355" s="21">
        <f t="shared" si="6"/>
        <v>154</v>
      </c>
      <c r="Y355" s="21">
        <f t="shared" si="6"/>
        <v>40</v>
      </c>
      <c r="Z355" s="21">
        <f t="shared" si="6"/>
        <v>10</v>
      </c>
      <c r="AA355" s="21">
        <f t="shared" si="6"/>
        <v>83</v>
      </c>
      <c r="AB355" s="21">
        <f t="shared" si="6"/>
        <v>0</v>
      </c>
      <c r="AC355" s="21">
        <f t="shared" si="6"/>
        <v>91</v>
      </c>
      <c r="AD355" s="21">
        <f t="shared" si="6"/>
        <v>51</v>
      </c>
    </row>
  </sheetData>
  <conditionalFormatting sqref="J2:J354">
    <cfRule type="cellIs" dxfId="13" priority="1" operator="equal">
      <formula>"D"</formula>
    </cfRule>
  </conditionalFormatting>
  <hyperlinks>
    <hyperlink ref="B2" r:id="rId1" xr:uid="{47D7941C-95D2-4F73-AEB6-FA5DF4BB90A3}"/>
    <hyperlink ref="B3" r:id="rId2" xr:uid="{B41CCF91-885D-4A5A-8BD9-50186773017E}"/>
    <hyperlink ref="B4" r:id="rId3" xr:uid="{47F00CD7-76E3-484B-BD6E-EB4D96F36FC3}"/>
    <hyperlink ref="B5" r:id="rId4" xr:uid="{1A053954-B035-4D17-9701-8A6BA026FEEC}"/>
    <hyperlink ref="B6" r:id="rId5" xr:uid="{687A52B4-2899-4DB9-BA24-371CB846457F}"/>
    <hyperlink ref="B7" r:id="rId6" xr:uid="{D38E2F66-D797-49BA-A867-52462D3D4B6A}"/>
    <hyperlink ref="B8" r:id="rId7" xr:uid="{C69ACCD4-8625-416B-AEE4-A202ADA3D624}"/>
    <hyperlink ref="B9" r:id="rId8" xr:uid="{3BC72B61-D16A-4186-8AA9-43FD8D21E691}"/>
    <hyperlink ref="B10" r:id="rId9" xr:uid="{14CA7440-38CA-442E-92A9-C669E60881F6}"/>
    <hyperlink ref="B11" r:id="rId10" xr:uid="{9F05C5AE-7A8D-45D6-99FE-FF5A0F87C0E3}"/>
    <hyperlink ref="B12" r:id="rId11" xr:uid="{5080F9E9-A24F-4D2E-B80D-797216E0988F}"/>
    <hyperlink ref="B13" r:id="rId12" xr:uid="{6DAF4300-153C-4488-99D9-8DC6D735974C}"/>
    <hyperlink ref="B14" r:id="rId13" xr:uid="{19898EA4-5628-4A4A-B0EB-8EA8CD2C629C}"/>
    <hyperlink ref="B15" r:id="rId14" xr:uid="{B08A68E3-E934-4E03-ABA0-74784B76296C}"/>
    <hyperlink ref="B16" r:id="rId15" xr:uid="{1C3EF5B7-5911-4A30-999C-01FF1277FD79}"/>
    <hyperlink ref="B17" r:id="rId16" xr:uid="{DF856B29-CB4F-4138-911E-AFEA8E2E536E}"/>
    <hyperlink ref="B18" r:id="rId17" xr:uid="{81EBB314-6123-4737-B24D-983D57A79316}"/>
    <hyperlink ref="B19" r:id="rId18" xr:uid="{2CA39744-295D-40CE-B275-7B65E41DB447}"/>
    <hyperlink ref="B20" r:id="rId19" xr:uid="{BA03ECFF-CCC5-4F9F-AEB1-9CF3A40828C8}"/>
    <hyperlink ref="B21" r:id="rId20" xr:uid="{F039F04A-9B32-4A34-BAAD-6C812D225A41}"/>
    <hyperlink ref="B22" r:id="rId21" xr:uid="{AD736710-E808-4625-BD89-08417C369190}"/>
    <hyperlink ref="B23" r:id="rId22" xr:uid="{157D2283-323B-486B-A7D8-3CDCBE6A1187}"/>
    <hyperlink ref="B24" r:id="rId23" xr:uid="{956A0A6B-E3ED-4719-AE90-1026D464096E}"/>
    <hyperlink ref="B25" r:id="rId24" xr:uid="{53C587DD-DA45-472F-B4B0-1E1249887E86}"/>
    <hyperlink ref="B26" r:id="rId25" xr:uid="{C570DBE6-AEAE-40E1-B0CD-F42467C50C2E}"/>
    <hyperlink ref="B27" r:id="rId26" xr:uid="{BDD320F2-B855-4262-9B7A-81BEC5249080}"/>
    <hyperlink ref="B28" r:id="rId27" xr:uid="{C3995AC6-D804-472F-BDCE-8BC9370C480A}"/>
    <hyperlink ref="B29" r:id="rId28" xr:uid="{5EE6816F-432D-4F52-82FF-ECE6492EB5B2}"/>
    <hyperlink ref="B30" r:id="rId29" xr:uid="{2CA7E411-C695-40D5-9EFB-F4AE17CB3853}"/>
    <hyperlink ref="B31" r:id="rId30" xr:uid="{8E5A2B8D-061C-47B3-A809-3F10F5CBCBA0}"/>
    <hyperlink ref="B32" r:id="rId31" xr:uid="{D78B095A-7A2D-47D7-8077-530C60A1FA1F}"/>
    <hyperlink ref="B33" r:id="rId32" xr:uid="{47656914-6E6D-4D0F-AD2E-4327C44D0243}"/>
    <hyperlink ref="B34" r:id="rId33" xr:uid="{2FECC095-4D01-4138-BB35-70255AE30ACC}"/>
    <hyperlink ref="B35" r:id="rId34" xr:uid="{454FD6FD-FA7B-48D6-9121-D5731AC10090}"/>
    <hyperlink ref="B36" r:id="rId35" xr:uid="{0E4758C2-45E3-49F1-B086-4D7BA8D169C7}"/>
    <hyperlink ref="B37" r:id="rId36" xr:uid="{D1ADB144-5673-4F18-8A84-60F63EF3A942}"/>
    <hyperlink ref="B38" r:id="rId37" xr:uid="{AB0090AB-9413-470D-B414-4485E6095EA3}"/>
    <hyperlink ref="B39" r:id="rId38" xr:uid="{C9CAC4D5-F5CF-462F-8BDA-144F996EC765}"/>
    <hyperlink ref="B40" r:id="rId39" xr:uid="{6EECB16B-653E-49D9-8421-95F143149670}"/>
    <hyperlink ref="B41" r:id="rId40" xr:uid="{E388AC69-16E8-4123-8B53-4ECD5E54EFF0}"/>
    <hyperlink ref="B42" r:id="rId41" xr:uid="{AC425937-DC7E-446D-A8B3-CA14272174B4}"/>
    <hyperlink ref="B43" r:id="rId42" xr:uid="{B3E5A429-4450-4500-B807-9CE1B5A3F62A}"/>
    <hyperlink ref="B44" r:id="rId43" xr:uid="{514C2D0B-7F36-495F-8D35-A784361AE46F}"/>
    <hyperlink ref="B45" r:id="rId44" xr:uid="{836B9402-FF0F-4840-9551-3691518472A6}"/>
    <hyperlink ref="B46" r:id="rId45" xr:uid="{51706372-FAF1-4F9C-8BC1-5235AD033B6E}"/>
    <hyperlink ref="B47" r:id="rId46" xr:uid="{8F463948-6411-4532-9022-60461E359F67}"/>
    <hyperlink ref="B48" r:id="rId47" xr:uid="{A3788720-6973-400A-A397-F482D4881853}"/>
    <hyperlink ref="B49" r:id="rId48" xr:uid="{105DC5AA-A9DA-4B0C-9434-537E09D5A7A0}"/>
    <hyperlink ref="B50" r:id="rId49" xr:uid="{37019304-129B-4D34-8286-C3E6EF12A78A}"/>
    <hyperlink ref="B51" r:id="rId50" xr:uid="{63C1DF83-7D63-4EE2-B5E3-91EC2F3219B8}"/>
    <hyperlink ref="B52" r:id="rId51" xr:uid="{049AD227-20C8-4EE4-90F4-050070A416DC}"/>
    <hyperlink ref="B53" r:id="rId52" xr:uid="{592702F3-C421-4F9A-AD14-B14745A7B78D}"/>
    <hyperlink ref="B54" r:id="rId53" xr:uid="{044A4629-DA1E-4A54-B007-3E844B1FCA7D}"/>
    <hyperlink ref="B55" r:id="rId54" xr:uid="{9C519A95-17A6-4B5B-83B5-50B9721E64E2}"/>
    <hyperlink ref="B56" r:id="rId55" xr:uid="{4D49B37B-A4D1-44AF-A445-C5CC1661B404}"/>
    <hyperlink ref="B57" r:id="rId56" xr:uid="{670142BC-F2E6-4EE9-AE3E-6604AA8463BA}"/>
    <hyperlink ref="B58" r:id="rId57" xr:uid="{7A2E3998-6BD5-472E-90EA-722D8FCF2C09}"/>
    <hyperlink ref="B59" r:id="rId58" xr:uid="{06E7DEEA-B0A5-4F39-A94C-CDD8A7E8D6FA}"/>
    <hyperlink ref="B60" r:id="rId59" xr:uid="{9EC69590-5D80-454B-93A4-63CB3C254430}"/>
    <hyperlink ref="B61" r:id="rId60" xr:uid="{76F10B27-D88B-44EA-AECE-BCD5E5DD15F0}"/>
    <hyperlink ref="B62" r:id="rId61" xr:uid="{36D585ED-97E4-4BF0-99F8-8D61858D2392}"/>
    <hyperlink ref="B63" r:id="rId62" xr:uid="{EAEEDB27-96E2-4C3E-A6B8-8DB614B2A597}"/>
    <hyperlink ref="B64" r:id="rId63" xr:uid="{954F4E24-8BEC-4BFE-927D-217061BD69C6}"/>
    <hyperlink ref="B65" r:id="rId64" xr:uid="{61179FC4-1877-4444-ADCE-64D530645765}"/>
    <hyperlink ref="B66" r:id="rId65" xr:uid="{0B8FDB25-7DDD-47E3-8EB2-E73136AC6F23}"/>
    <hyperlink ref="B67" r:id="rId66" xr:uid="{2AB78742-7AB6-46B4-8B02-06F6B3170D0A}"/>
    <hyperlink ref="B68" r:id="rId67" xr:uid="{F3A403CD-C5DA-4D0C-86F8-D020FC6CBA27}"/>
    <hyperlink ref="B69" r:id="rId68" xr:uid="{6C95C87D-D584-45E5-8877-C1F07D04F53E}"/>
    <hyperlink ref="B70" r:id="rId69" xr:uid="{54B0BA7E-4D61-448B-8447-20E8780DC65D}"/>
    <hyperlink ref="B71" r:id="rId70" xr:uid="{3EFD78C4-1681-41B8-AE5A-47104730540E}"/>
    <hyperlink ref="B72" r:id="rId71" xr:uid="{8109821C-85E0-42AF-9010-6DA384D5EEEA}"/>
    <hyperlink ref="B73" r:id="rId72" xr:uid="{F3B8E50A-8649-4715-8638-6988BABEB67D}"/>
    <hyperlink ref="B74" r:id="rId73" xr:uid="{0E3EE5D9-0C49-4042-9707-32ECE0CC4422}"/>
    <hyperlink ref="B75" r:id="rId74" xr:uid="{FBCF010C-5CF3-4F88-873F-1FA602193D4E}"/>
    <hyperlink ref="B76" r:id="rId75" xr:uid="{1057C419-4D21-49CC-B4A1-EA9937BEDDD4}"/>
    <hyperlink ref="B77" r:id="rId76" xr:uid="{821DED91-9601-4B42-8ACC-C97DD84A11FA}"/>
    <hyperlink ref="B78" r:id="rId77" xr:uid="{94DE5E61-079E-404C-B71D-DCCEA932C899}"/>
    <hyperlink ref="B79" r:id="rId78" xr:uid="{B86BC81B-BF76-4EFD-AA37-F781EDDC6326}"/>
    <hyperlink ref="B80" r:id="rId79" xr:uid="{0BCCFE7D-54BB-488F-A47A-FD7D267F41E6}"/>
    <hyperlink ref="B81" r:id="rId80" xr:uid="{64C63CE3-EA5C-4A4B-9309-17C346B36C17}"/>
    <hyperlink ref="B82" r:id="rId81" xr:uid="{B73A1CA3-53D8-48B7-A538-106F5021C0F9}"/>
    <hyperlink ref="B83" r:id="rId82" xr:uid="{4CECC939-A525-4D38-84CA-1CE6F95A75A2}"/>
    <hyperlink ref="B84" r:id="rId83" xr:uid="{56AFE212-6B21-4FC9-830C-4D4487A9822C}"/>
    <hyperlink ref="B85" r:id="rId84" xr:uid="{0996E7FE-57EA-4AB1-84AB-783AE1712541}"/>
    <hyperlink ref="B86" r:id="rId85" xr:uid="{0D1559D6-9EF6-43FC-81F9-8B0F37BEEC94}"/>
    <hyperlink ref="B87" r:id="rId86" xr:uid="{1A06F8A2-7AC9-4E0C-89CF-58D64A8C98E5}"/>
    <hyperlink ref="B88" r:id="rId87" xr:uid="{4550D78B-D122-46B3-963C-1F9AF18B39EE}"/>
    <hyperlink ref="B89" r:id="rId88" xr:uid="{FBF7E30F-CC7B-4EEB-AAD1-232D771DC25E}"/>
    <hyperlink ref="B90" r:id="rId89" xr:uid="{3640ACDA-F0F5-4BFE-82DF-E6298658C6D6}"/>
    <hyperlink ref="B91" r:id="rId90" xr:uid="{D41661E7-60FD-421C-9A9A-26FEF5110D1A}"/>
    <hyperlink ref="B92" r:id="rId91" xr:uid="{A40EED8C-509B-412E-9EDB-3D6F697A5B5F}"/>
    <hyperlink ref="B93" r:id="rId92" xr:uid="{E2F50DE3-E3C4-474C-B686-8D4BFFE69F03}"/>
    <hyperlink ref="B94" r:id="rId93" xr:uid="{56F03320-8321-4796-AE9F-020B5B9EB3BC}"/>
    <hyperlink ref="B95" r:id="rId94" xr:uid="{567A2D70-7CAE-4792-B2B0-CE2601A01B4D}"/>
    <hyperlink ref="B96" r:id="rId95" xr:uid="{08ECB49B-C16C-49C2-9F16-4637CBB8164F}"/>
    <hyperlink ref="B97" r:id="rId96" xr:uid="{2CA23C9B-59FD-4D53-95A3-979C67C4C40F}"/>
    <hyperlink ref="B98" r:id="rId97" xr:uid="{227222E0-C694-4148-BC1B-6529E2691FEF}"/>
    <hyperlink ref="B99" r:id="rId98" xr:uid="{1A9091E1-20B4-4B31-8705-6B1C180460AF}"/>
    <hyperlink ref="B100" r:id="rId99" xr:uid="{CC404E0A-46AE-413C-9EC5-B9510EE6C58F}"/>
    <hyperlink ref="B101" r:id="rId100" xr:uid="{EF74246A-4E0B-415A-B190-C38FDA77EB24}"/>
    <hyperlink ref="B102" r:id="rId101" xr:uid="{C67D0600-1CFB-4C3B-B903-A895B7E6F585}"/>
    <hyperlink ref="B103" r:id="rId102" xr:uid="{8488C4D2-9504-4A1E-AB1E-0A4A474FDF47}"/>
    <hyperlink ref="B104" r:id="rId103" xr:uid="{854A3A44-429B-4492-B9D0-3897879D4CD8}"/>
    <hyperlink ref="B105" r:id="rId104" xr:uid="{CAEC4AD0-4332-441E-910C-76B76BAC398B}"/>
    <hyperlink ref="B106" r:id="rId105" xr:uid="{7018DEF6-93D8-49A7-AC4E-4C2DFF0A95B6}"/>
    <hyperlink ref="B107" r:id="rId106" xr:uid="{EF89D6CB-5BE6-4269-9C1F-EAABF04D5AFA}"/>
    <hyperlink ref="B108" r:id="rId107" xr:uid="{CE20ADE7-23BB-4481-B684-FD4185097787}"/>
    <hyperlink ref="B109" r:id="rId108" xr:uid="{05CEAB91-8830-4D54-83BE-F49516CE770C}"/>
    <hyperlink ref="B110" r:id="rId109" xr:uid="{952B1E2D-C38A-42A1-A529-528A390BFFF7}"/>
    <hyperlink ref="B111" r:id="rId110" xr:uid="{FD285B5A-B578-44D9-9073-774A2C631F1E}"/>
    <hyperlink ref="B112" r:id="rId111" xr:uid="{B4A71F82-10D7-4338-B954-5A7B66E51CB9}"/>
    <hyperlink ref="B113" r:id="rId112" xr:uid="{05BD58E8-5745-44AC-A13A-E80A0E9E67FA}"/>
    <hyperlink ref="B114" r:id="rId113" xr:uid="{7537FEE3-1216-41F1-A87B-9617F6B97FF0}"/>
    <hyperlink ref="B115" r:id="rId114" xr:uid="{5727E2BB-CF7C-4078-A6E6-E882BAA3A37C}"/>
    <hyperlink ref="B116" r:id="rId115" xr:uid="{8FC3C232-AEFC-421C-9C5C-6F05BC9DF14E}"/>
    <hyperlink ref="B117" r:id="rId116" xr:uid="{F03A2419-86D4-4DB4-B23D-59629CDC4DAE}"/>
    <hyperlink ref="B118" r:id="rId117" xr:uid="{94855E18-E16C-42B6-A9A2-EA31F2D5A6AF}"/>
    <hyperlink ref="B119" r:id="rId118" xr:uid="{D3046B8F-9CDD-4A16-9965-040F255CBC32}"/>
    <hyperlink ref="B120" r:id="rId119" xr:uid="{281D916F-233E-4A02-8232-A2B7FA969BDE}"/>
    <hyperlink ref="B121" r:id="rId120" xr:uid="{E94CC6A7-5482-456A-9A59-780627ADC8CD}"/>
    <hyperlink ref="B122" r:id="rId121" xr:uid="{69C06DDF-9672-4BD3-9B71-4357DE7EE3B7}"/>
    <hyperlink ref="B123" r:id="rId122" xr:uid="{0FD7F8CF-3F59-4A14-96CC-41B852AEBEED}"/>
    <hyperlink ref="B124" r:id="rId123" xr:uid="{0068FC4C-0584-478B-8ABF-3E5F035D5FDB}"/>
    <hyperlink ref="B125" r:id="rId124" xr:uid="{0AC4E93C-29EB-4DF3-909D-0E35F97A7416}"/>
    <hyperlink ref="B126" r:id="rId125" xr:uid="{6B5A610D-F23D-46FD-B46B-A9E5D3842C24}"/>
    <hyperlink ref="B127" r:id="rId126" xr:uid="{56CA935A-6818-4E22-AE4F-9F9DE0609709}"/>
    <hyperlink ref="B128" r:id="rId127" xr:uid="{D849E38C-BD15-4499-BEEF-A9746173CA37}"/>
    <hyperlink ref="B129" r:id="rId128" xr:uid="{CD99C1E7-41B5-4B27-9025-8B0D459B307D}"/>
    <hyperlink ref="B130" r:id="rId129" xr:uid="{C116F5E0-6027-49E3-8129-7EE666426FD9}"/>
    <hyperlink ref="B131" r:id="rId130" xr:uid="{0EC4181B-DAB1-4DCC-AA2D-EC5204ACBD4B}"/>
    <hyperlink ref="B132" r:id="rId131" xr:uid="{D7FFD3C6-22B5-4880-A09B-CAA081946AE5}"/>
    <hyperlink ref="B133" r:id="rId132" xr:uid="{640499C0-192D-4841-922E-A54F7F307241}"/>
    <hyperlink ref="B134" r:id="rId133" xr:uid="{FBEFA4B9-18D6-4D49-A816-97647AD07432}"/>
    <hyperlink ref="B135" r:id="rId134" xr:uid="{4C06F6A2-2E63-4C44-97F1-3DBB6DA99D79}"/>
    <hyperlink ref="B136" r:id="rId135" xr:uid="{BE420604-657A-4B4A-A38A-7B0CB15A3D54}"/>
    <hyperlink ref="B137" r:id="rId136" xr:uid="{EC7C4C33-9895-44AF-A73C-3531A00AEADF}"/>
    <hyperlink ref="B138" r:id="rId137" xr:uid="{26947745-6AFB-4DE0-8920-229CA10F2E9F}"/>
    <hyperlink ref="B139" r:id="rId138" xr:uid="{3D7FC7E1-92E5-47CF-887B-2EA30A6AF4B1}"/>
    <hyperlink ref="B140" r:id="rId139" xr:uid="{12516ADE-4AFD-4634-B18F-97C4380F9F1E}"/>
    <hyperlink ref="B141" r:id="rId140" xr:uid="{B4F98348-9DAD-4AB6-ADE1-6B54108EDE5B}"/>
    <hyperlink ref="B142" r:id="rId141" xr:uid="{087FCEEF-84F1-432F-BF2C-1A12902CA2C7}"/>
    <hyperlink ref="B143" r:id="rId142" xr:uid="{39F12179-0998-481D-A9AE-84AD72413B19}"/>
    <hyperlink ref="B144" r:id="rId143" xr:uid="{60289C2F-BC2E-4C0F-9F22-D0BBF7573C94}"/>
    <hyperlink ref="B145" r:id="rId144" xr:uid="{BD40F81E-6CBB-4104-95B2-DEFCBD4A2012}"/>
    <hyperlink ref="B146" r:id="rId145" xr:uid="{198DD95B-F951-420C-863C-7C1B3B2DD4C7}"/>
    <hyperlink ref="B147" r:id="rId146" xr:uid="{DE74A5B6-FC14-459D-8C78-A96FB304FD2A}"/>
    <hyperlink ref="B148" r:id="rId147" xr:uid="{C065C4D3-7B3E-4977-AA18-91617631F52C}"/>
    <hyperlink ref="B149" r:id="rId148" xr:uid="{8E126CFA-7652-4381-9E1A-2D318591E146}"/>
    <hyperlink ref="B150" r:id="rId149" xr:uid="{320D19E3-2F2D-451B-93FD-F42989C0E26C}"/>
    <hyperlink ref="B151" r:id="rId150" xr:uid="{DCE0970E-B6C4-4C96-9BF5-A2B074D2F682}"/>
    <hyperlink ref="B152" r:id="rId151" xr:uid="{17E44F22-A8BB-4342-A248-4C717EDA9D35}"/>
    <hyperlink ref="B153" r:id="rId152" xr:uid="{95D84C21-C612-4BF9-A76E-FDDFD3781FFE}"/>
    <hyperlink ref="B154" r:id="rId153" xr:uid="{FFB7D670-CAD9-4D57-9197-8C52D55BDA4F}"/>
    <hyperlink ref="B155" r:id="rId154" xr:uid="{27645945-6D40-46F9-ADEE-8C3A5CFD61B5}"/>
    <hyperlink ref="B156" r:id="rId155" xr:uid="{0E53EDFD-55A1-4693-9757-C9A974638521}"/>
    <hyperlink ref="B157" r:id="rId156" xr:uid="{49B3F877-0744-41FD-BCB7-A1F328B1E526}"/>
    <hyperlink ref="B158" r:id="rId157" xr:uid="{17547FEC-DD17-4897-9820-938BBCA9896E}"/>
    <hyperlink ref="B159" r:id="rId158" xr:uid="{F3262DC1-FCC1-4777-B2EB-5F5AABB883EE}"/>
    <hyperlink ref="B160" r:id="rId159" xr:uid="{283AEA8E-27DC-4CE0-B25F-FAB584F07374}"/>
    <hyperlink ref="B161" r:id="rId160" xr:uid="{F416FC3F-BB37-4003-B9C2-3AD9E0760FF3}"/>
    <hyperlink ref="B162" r:id="rId161" xr:uid="{CA6C8E10-A4BE-441F-8E24-6D32526A9C13}"/>
    <hyperlink ref="B163" r:id="rId162" xr:uid="{D2B249D5-3F9F-423F-814B-50AF0BA49668}"/>
    <hyperlink ref="B164" r:id="rId163" xr:uid="{DEC4E8EC-2CDE-4D1E-8D89-B46E7E848395}"/>
    <hyperlink ref="B165" r:id="rId164" xr:uid="{0EF369CF-DD9B-4A2F-B077-CE51684A69AC}"/>
    <hyperlink ref="B166" r:id="rId165" xr:uid="{2F27425A-47BF-49E8-9AF6-82B7FCBBA891}"/>
    <hyperlink ref="B167" r:id="rId166" xr:uid="{83C56C02-2F23-4D39-B275-A6422FB87FC6}"/>
    <hyperlink ref="B168" r:id="rId167" xr:uid="{D36EA30D-2DCB-43B7-96C1-76F0E05A2CCF}"/>
    <hyperlink ref="B169" r:id="rId168" xr:uid="{A96A5F3E-3B72-4D28-9C6B-21CAB6D4BF2D}"/>
    <hyperlink ref="B170" r:id="rId169" xr:uid="{E9017FA2-067E-4F8C-BA2C-4647E79E87CA}"/>
    <hyperlink ref="B171" r:id="rId170" xr:uid="{1AD1734A-E240-48A1-A768-D2F5FA8B61D8}"/>
    <hyperlink ref="B172" r:id="rId171" xr:uid="{4E6F8031-D939-4E70-8DDB-A1CC4E6ACF78}"/>
    <hyperlink ref="B173" r:id="rId172" xr:uid="{E3AD74CA-1B72-4A33-91E5-7B5945929B86}"/>
    <hyperlink ref="B174" r:id="rId173" xr:uid="{00748DCD-FA04-4B0A-8D63-465E5AB993D1}"/>
    <hyperlink ref="B175" r:id="rId174" xr:uid="{EA8EC2C2-6928-41CA-82C3-A158308E770C}"/>
    <hyperlink ref="B176" r:id="rId175" xr:uid="{A9B0770A-F7D9-4EA0-B7C9-3E717AD3C650}"/>
    <hyperlink ref="B177" r:id="rId176" xr:uid="{9186A6A8-EA29-430D-B3CE-7DDED9EA1D47}"/>
    <hyperlink ref="B178" r:id="rId177" xr:uid="{0F074D66-4FAB-4DFC-BDA5-FA17DB098BDF}"/>
    <hyperlink ref="B179" r:id="rId178" xr:uid="{F5ADC61D-0D07-4084-A798-B8DEABF9A76B}"/>
    <hyperlink ref="B180" r:id="rId179" xr:uid="{149717EB-1F5C-4513-910E-B02538AA694D}"/>
    <hyperlink ref="B181" r:id="rId180" xr:uid="{F8214A7D-F936-4369-B325-4B1095073AB2}"/>
    <hyperlink ref="B182" r:id="rId181" xr:uid="{D59306A9-AF33-4808-B30D-2C751331E9CD}"/>
    <hyperlink ref="B183" r:id="rId182" xr:uid="{ED2BEA79-0962-4FE8-8A23-298A09E692B9}"/>
    <hyperlink ref="B184" r:id="rId183" xr:uid="{6FFC77DA-C149-494A-9130-7F564CC3046D}"/>
    <hyperlink ref="B185" r:id="rId184" xr:uid="{7D9A3217-783A-474A-BF45-14509DDB6E09}"/>
    <hyperlink ref="B186" r:id="rId185" xr:uid="{1CDD3305-B4D3-476B-8F15-43B05C385C92}"/>
    <hyperlink ref="B187" r:id="rId186" xr:uid="{F0885FEC-2216-4573-A430-E90DD06B72C2}"/>
    <hyperlink ref="B188" r:id="rId187" xr:uid="{A05BE667-7C11-4B70-8853-3FFC34213868}"/>
    <hyperlink ref="B189" r:id="rId188" xr:uid="{25BD6B9B-EC27-4899-A645-95AA86E9FADB}"/>
    <hyperlink ref="B190" r:id="rId189" xr:uid="{49ADC361-4F76-4A91-99B8-23F14B474B0F}"/>
    <hyperlink ref="B191" r:id="rId190" xr:uid="{36B42A76-2857-49E4-8437-84142ACED868}"/>
    <hyperlink ref="B192" r:id="rId191" xr:uid="{F2224339-0F74-44E0-93FE-066140C14809}"/>
    <hyperlink ref="B193" r:id="rId192" xr:uid="{40F0C41C-BDE9-4C69-82B1-955B12416327}"/>
    <hyperlink ref="B194" r:id="rId193" xr:uid="{D03E1705-2ADD-40A8-A9D9-5310742CF608}"/>
    <hyperlink ref="B195" r:id="rId194" xr:uid="{D6E99FD5-44C5-4381-AA46-9D428F5BEE72}"/>
    <hyperlink ref="B196" r:id="rId195" xr:uid="{6C14202B-E320-4AD5-96E0-6A33D9B5E2A8}"/>
    <hyperlink ref="B197" r:id="rId196" xr:uid="{869D2F00-230B-43E7-B0DE-645624A14B05}"/>
    <hyperlink ref="B198" r:id="rId197" xr:uid="{4D126185-3D73-48E8-8B1A-F96BA3A7883E}"/>
    <hyperlink ref="B199" r:id="rId198" xr:uid="{B6BF8BD1-76FD-48A3-B53D-DF2AEA60047F}"/>
    <hyperlink ref="B200" r:id="rId199" xr:uid="{8A89AC83-F433-440A-9075-4CF4231FFC89}"/>
    <hyperlink ref="B201" r:id="rId200" xr:uid="{41C9967C-DF7F-4B55-8899-1BF9D174AB19}"/>
    <hyperlink ref="B202" r:id="rId201" xr:uid="{65D31C7B-169B-400F-853F-9BFEE1F722A8}"/>
    <hyperlink ref="B203" r:id="rId202" xr:uid="{FF66E695-B1B2-48EE-B7FB-03A0169A18E3}"/>
    <hyperlink ref="B204" r:id="rId203" xr:uid="{C787C8ED-4878-463E-B2F9-C2E0512A4FA1}"/>
    <hyperlink ref="B205" r:id="rId204" xr:uid="{E3DF59AE-ECD8-41CC-8DC0-B8968C6F0596}"/>
    <hyperlink ref="B206" r:id="rId205" xr:uid="{1F17790F-D15E-4A71-AD64-D61C49CEE332}"/>
    <hyperlink ref="B207" r:id="rId206" xr:uid="{9BB241BE-49A2-48AB-B89B-F7BC6B137B4F}"/>
    <hyperlink ref="B208" r:id="rId207" xr:uid="{CC68DFFD-F0C5-4480-B421-3ECF43A9F8B2}"/>
    <hyperlink ref="B209" r:id="rId208" xr:uid="{1AA9473A-1D74-40DB-AA91-A56BAEB26DB6}"/>
    <hyperlink ref="B210" r:id="rId209" xr:uid="{D2004BB1-02AD-47D7-8FC6-7C3AA82E0E54}"/>
    <hyperlink ref="B211" r:id="rId210" xr:uid="{EBD49A19-9BA9-4534-B712-E1EEE812088E}"/>
    <hyperlink ref="B212" r:id="rId211" xr:uid="{E72006F1-8740-48B7-B8AA-8416563A90F4}"/>
    <hyperlink ref="B213" r:id="rId212" xr:uid="{821DA2E7-B2C9-42D0-9367-B389F1FA154B}"/>
    <hyperlink ref="B214" r:id="rId213" xr:uid="{35D7F83D-8094-4664-937D-DC2436B42A15}"/>
    <hyperlink ref="B215" r:id="rId214" xr:uid="{04C9E81F-2ABD-4542-9E6B-F8ABCD1A5483}"/>
    <hyperlink ref="B216" r:id="rId215" xr:uid="{1670E1CC-7682-4EFE-99D1-9AE245CDA979}"/>
    <hyperlink ref="B217" r:id="rId216" xr:uid="{CB6182EA-E3C2-469C-B6F8-CFA72E929922}"/>
    <hyperlink ref="B218" r:id="rId217" xr:uid="{BB34E77E-C70E-41C5-8F0C-6F25A8183CE7}"/>
    <hyperlink ref="B219" r:id="rId218" xr:uid="{943C9BE9-661B-48B4-8353-82C4DC365296}"/>
    <hyperlink ref="B220" r:id="rId219" xr:uid="{C3EBCA44-491E-49A9-920E-CD3661C56DAB}"/>
    <hyperlink ref="B221" r:id="rId220" xr:uid="{5B90B61F-3E36-45AA-8742-250DF2A92533}"/>
    <hyperlink ref="B222" r:id="rId221" xr:uid="{60409FA6-27EB-4DF9-8719-9B334EBFB5BB}"/>
    <hyperlink ref="B223" r:id="rId222" xr:uid="{BDAAFB58-70C5-4488-B436-A679D24FACFE}"/>
    <hyperlink ref="B224" r:id="rId223" xr:uid="{45D284A3-FC09-4D08-AC6E-FEA639F91498}"/>
    <hyperlink ref="B225" r:id="rId224" xr:uid="{418AA5ED-F087-4B37-AFA7-58DBA1899E12}"/>
    <hyperlink ref="B226" r:id="rId225" xr:uid="{579E2015-7EF9-47BF-8751-B11367E27C81}"/>
    <hyperlink ref="B227" r:id="rId226" xr:uid="{5F8678E6-1C13-4A3D-8267-3FFA610D2815}"/>
    <hyperlink ref="B228" r:id="rId227" xr:uid="{ABB011B0-8992-4792-8E22-CA0071431281}"/>
    <hyperlink ref="B229" r:id="rId228" xr:uid="{A705977E-CF81-4340-B6C5-0DD3EF87D146}"/>
    <hyperlink ref="B230" r:id="rId229" xr:uid="{5732C9E9-01B7-4DD6-AFE1-ED11447AB9D5}"/>
    <hyperlink ref="B231" r:id="rId230" xr:uid="{5CC08B22-8B75-46AF-94B3-269C0181ED6F}"/>
    <hyperlink ref="B232" r:id="rId231" xr:uid="{B18743B8-F02B-4AF2-8423-7720ACEF3AD9}"/>
    <hyperlink ref="B233" r:id="rId232" xr:uid="{C4F4EFEE-779F-4E7A-8F30-9DDBEAED8820}"/>
    <hyperlink ref="B234" r:id="rId233" xr:uid="{753FA4A9-3309-4C5D-AA9F-21AA1DE76958}"/>
    <hyperlink ref="B235" r:id="rId234" xr:uid="{39B3D2C1-BEB9-40D0-A8B7-F9812C6FDC28}"/>
    <hyperlink ref="B236" r:id="rId235" xr:uid="{B60ECC71-B5AF-404B-90D5-3F1B44F6BAC0}"/>
    <hyperlink ref="B237" r:id="rId236" xr:uid="{BAD7AFD7-DF49-4621-BDE1-2434BD174F53}"/>
    <hyperlink ref="B238" r:id="rId237" xr:uid="{E5CB89A8-63F3-4489-98AA-CDCB96F9CDAF}"/>
    <hyperlink ref="B239" r:id="rId238" xr:uid="{7B87343E-8C85-4FC4-8F45-2F553A9C7EBF}"/>
    <hyperlink ref="B240" r:id="rId239" xr:uid="{240AFC0F-ADC4-4D14-966C-BBD903BC0B5B}"/>
    <hyperlink ref="B241" r:id="rId240" xr:uid="{2A384F0F-9634-4957-815D-3DBA1E61F604}"/>
    <hyperlink ref="B242" r:id="rId241" xr:uid="{99161D4C-19EE-4782-909F-67E2C9238A85}"/>
    <hyperlink ref="B243" r:id="rId242" xr:uid="{0C32EA07-2F3E-450A-AB39-73C688DCF13A}"/>
    <hyperlink ref="B244" r:id="rId243" xr:uid="{62C21C4F-5238-4DD9-B1C7-A8712AED8528}"/>
    <hyperlink ref="B245" r:id="rId244" xr:uid="{3630160F-77A7-4560-9B61-F261ECF26525}"/>
    <hyperlink ref="B246" r:id="rId245" xr:uid="{533B1A1E-AE63-4339-BB18-6CD77B041071}"/>
    <hyperlink ref="B247" r:id="rId246" xr:uid="{33564B77-C54B-4D0D-A59B-0F2BF19F7627}"/>
    <hyperlink ref="B248" r:id="rId247" xr:uid="{5EEE10DE-9A01-4F67-BB72-BECD51A63C19}"/>
    <hyperlink ref="B249" r:id="rId248" xr:uid="{EDA12BC9-7F09-4522-95E2-88022D0572A2}"/>
    <hyperlink ref="B250" r:id="rId249" xr:uid="{F74202A4-1854-41E2-ACEE-19B6E435731B}"/>
    <hyperlink ref="B251" r:id="rId250" xr:uid="{5CB763A6-D7A1-4A54-AC7D-5F3D98E56EE4}"/>
    <hyperlink ref="B252" r:id="rId251" xr:uid="{DE9408BF-496A-48FB-853F-AA9F65D23A3F}"/>
    <hyperlink ref="B253" r:id="rId252" xr:uid="{EF3B6739-E17D-426B-A118-EC62F409E7E9}"/>
    <hyperlink ref="B254" r:id="rId253" xr:uid="{7A46A7FF-E32D-455C-A277-ADC3284BE8DE}"/>
    <hyperlink ref="B255" r:id="rId254" xr:uid="{9BD7A2EA-0B03-446E-B95F-511A4D6C7A93}"/>
    <hyperlink ref="B256" r:id="rId255" xr:uid="{BE32E4B9-A4FB-4133-819F-B07626D38F17}"/>
    <hyperlink ref="B257" r:id="rId256" xr:uid="{C982FEF2-12E5-48E0-8A7D-22438153DC9E}"/>
    <hyperlink ref="B258" r:id="rId257" xr:uid="{4F70583B-86C5-437F-9A9A-B1476926ED82}"/>
    <hyperlink ref="B259" r:id="rId258" xr:uid="{5D673232-D125-4CB6-A843-81C5A1870390}"/>
    <hyperlink ref="B260" r:id="rId259" xr:uid="{DA618157-3D1B-4DB5-8D6A-8DCBE3F5C995}"/>
    <hyperlink ref="B261" r:id="rId260" xr:uid="{D9408319-1D0C-478A-B22D-E7E8963B597F}"/>
    <hyperlink ref="B262" r:id="rId261" xr:uid="{49A3B344-D81A-4C1C-8D3D-D712C82B9EC1}"/>
    <hyperlink ref="B263" r:id="rId262" xr:uid="{7854CE20-6BDB-47AD-AE07-63BD83107C5E}"/>
    <hyperlink ref="B264" r:id="rId263" xr:uid="{F8CDA751-978B-40EA-8165-A1D16CBE33CB}"/>
    <hyperlink ref="B265" r:id="rId264" xr:uid="{2316370C-CB9F-436C-BD20-952C87BD1B78}"/>
    <hyperlink ref="B266" r:id="rId265" xr:uid="{B47A3393-0E4C-4FAA-9D66-2042FB6C51BD}"/>
    <hyperlink ref="B267" r:id="rId266" xr:uid="{294E71D7-82CC-4FE9-9DE0-14A7EAFDE79F}"/>
    <hyperlink ref="B268" r:id="rId267" xr:uid="{404DF1BB-26D4-4A1D-8057-E8E628C9E9A6}"/>
    <hyperlink ref="B269" r:id="rId268" xr:uid="{3373A34B-5A5E-4E23-AD32-E66518B82D39}"/>
    <hyperlink ref="B270" r:id="rId269" xr:uid="{6E2B624F-2D58-463B-8798-524ACA4FB51F}"/>
    <hyperlink ref="B271" r:id="rId270" xr:uid="{7C1186C6-6B80-4A06-ACC9-034118CE4BE8}"/>
    <hyperlink ref="B272" r:id="rId271" xr:uid="{28BD24B8-334E-4B78-A9E6-06AB4D1E7C5A}"/>
    <hyperlink ref="B273" r:id="rId272" xr:uid="{B96E888B-4C13-4B7F-8D32-82D9C16B0B93}"/>
    <hyperlink ref="B274" r:id="rId273" xr:uid="{2DBFD0C6-A83D-4754-8B32-64E7EB75269E}"/>
    <hyperlink ref="B275" r:id="rId274" xr:uid="{58D8765E-CA49-4006-ADC0-C3E1DADC967D}"/>
    <hyperlink ref="B276" r:id="rId275" xr:uid="{A414B8EE-0398-4B74-B981-22FFAE2EADC1}"/>
    <hyperlink ref="B277" r:id="rId276" xr:uid="{4B0BE374-6DD4-423D-BB6D-F51D20B218F8}"/>
    <hyperlink ref="B278" r:id="rId277" xr:uid="{ADADF00A-5A27-464D-8E65-7C10D3ACD786}"/>
    <hyperlink ref="B279" r:id="rId278" xr:uid="{147F33E3-B01B-4A4C-8066-29F03EE5A9C2}"/>
    <hyperlink ref="B280" r:id="rId279" xr:uid="{8072075B-EF39-49F8-A2DF-5E86A9C1BDFD}"/>
    <hyperlink ref="B281" r:id="rId280" xr:uid="{10C70C3B-6B36-4691-BC19-D9D9DF721E2B}"/>
    <hyperlink ref="B282" r:id="rId281" xr:uid="{CC124F2A-56BF-4559-9A6D-E4BB0A3C8499}"/>
    <hyperlink ref="B283" r:id="rId282" xr:uid="{47376FEC-BA4A-463E-8ED6-19080C4D0B41}"/>
    <hyperlink ref="B284" r:id="rId283" xr:uid="{3A396F2F-50F7-424B-A0C3-500B8A46B034}"/>
    <hyperlink ref="B285" r:id="rId284" xr:uid="{D530FEB1-9C14-4812-AFFD-F3ED4FA67BA7}"/>
    <hyperlink ref="B286" r:id="rId285" xr:uid="{73818673-A87A-449A-8F16-4CCAFC3CC3A1}"/>
    <hyperlink ref="B287" r:id="rId286" xr:uid="{6E69A750-5E64-467E-B24D-9558F8010530}"/>
    <hyperlink ref="B288" r:id="rId287" xr:uid="{B48D1395-61F5-40DE-BD6B-962A0FB1BA1B}"/>
    <hyperlink ref="B289" r:id="rId288" xr:uid="{5BC868AA-EE27-4003-92F2-E045DC27B8E0}"/>
    <hyperlink ref="B290" r:id="rId289" xr:uid="{5659FB75-C29B-413A-8270-DFAA3D4C0C23}"/>
    <hyperlink ref="B291" r:id="rId290" xr:uid="{E2DFB741-1D23-491D-9AC4-7A94CA35760B}"/>
    <hyperlink ref="B292" r:id="rId291" xr:uid="{FD566D98-DF79-42C5-A961-B6C532023B00}"/>
    <hyperlink ref="B293" r:id="rId292" xr:uid="{64FB56CB-CF6D-4A65-896A-3794C7018428}"/>
    <hyperlink ref="B294" r:id="rId293" xr:uid="{DE587CD5-D426-41F3-94F7-6A5A518F1008}"/>
    <hyperlink ref="B295" r:id="rId294" xr:uid="{5CE41878-F1AD-4C90-B53E-C0C00FF58439}"/>
    <hyperlink ref="B296" r:id="rId295" xr:uid="{05531B6F-F4EF-46F2-AC72-2FDC45012E33}"/>
    <hyperlink ref="B297" r:id="rId296" xr:uid="{FCE2F12B-D3E7-4C83-9154-53EEA342D07C}"/>
    <hyperlink ref="B298" r:id="rId297" xr:uid="{D781C1BD-6196-4098-BB9F-8568F4F40B5F}"/>
    <hyperlink ref="B299" r:id="rId298" xr:uid="{F168FCC3-CE53-4F34-B5DC-C41C34CEE796}"/>
    <hyperlink ref="B300" r:id="rId299" xr:uid="{3CA3A34B-9710-45EC-83C3-D2623052570A}"/>
    <hyperlink ref="B301" r:id="rId300" xr:uid="{48F41DD7-12D7-435C-AD90-509E7F01CB20}"/>
    <hyperlink ref="B302" r:id="rId301" xr:uid="{5FD69E87-7A22-4E8C-8C39-BD3D088B48D7}"/>
    <hyperlink ref="B303" r:id="rId302" xr:uid="{8EC53453-8CD1-4732-9440-10E5CA3CD555}"/>
    <hyperlink ref="B304" r:id="rId303" xr:uid="{E1A569D2-8643-4761-A2FA-5337608850BC}"/>
    <hyperlink ref="B305" r:id="rId304" xr:uid="{4EB3E78D-4A99-4284-AF8C-94E712256AC1}"/>
    <hyperlink ref="B306" r:id="rId305" xr:uid="{D546D0A4-C5AD-4147-8AC6-17651B9A55F8}"/>
    <hyperlink ref="B307" r:id="rId306" xr:uid="{A08CCE4F-E4C6-4908-98E5-D64CC7E66A9E}"/>
    <hyperlink ref="B308" r:id="rId307" xr:uid="{5F6A1B5B-A6F0-4954-A01A-A25BBF0235A6}"/>
    <hyperlink ref="B309" r:id="rId308" xr:uid="{C930FCA2-485D-4EBC-A214-3DF2849508F1}"/>
    <hyperlink ref="B310" r:id="rId309" xr:uid="{C8B226B0-46B1-4D66-BACA-96DFE72B609E}"/>
    <hyperlink ref="B311" r:id="rId310" xr:uid="{0CB13219-FD73-4025-919B-9E2F6F33B4D5}"/>
    <hyperlink ref="B312" r:id="rId311" xr:uid="{BC10F33A-2214-4D09-95AD-E6603264CF64}"/>
    <hyperlink ref="B313" r:id="rId312" xr:uid="{CA89BA7D-668B-4C28-B3A6-21BECE2E4CF8}"/>
    <hyperlink ref="B314" r:id="rId313" xr:uid="{38BB1649-96FC-4CBD-8FD3-EF155B06CF6D}"/>
    <hyperlink ref="B315" r:id="rId314" xr:uid="{B987D42B-8082-4DA5-A88D-A2EEDA2962BC}"/>
    <hyperlink ref="B316" r:id="rId315" xr:uid="{07DC1A69-2191-4E83-8293-D76CB5CEFABA}"/>
    <hyperlink ref="B317" r:id="rId316" xr:uid="{2EEE4A0F-F3FB-4E56-A64F-0F5137BB892D}"/>
    <hyperlink ref="B318" r:id="rId317" xr:uid="{957C037D-9428-4FDB-99EE-5664FB433259}"/>
    <hyperlink ref="B319" r:id="rId318" xr:uid="{692E7C9D-CB84-4806-B135-8E828952C369}"/>
    <hyperlink ref="B320" r:id="rId319" xr:uid="{B0F5A03F-79B5-439F-9791-A53AE7019D99}"/>
    <hyperlink ref="B321" r:id="rId320" xr:uid="{4648457A-1431-4240-BC1D-2B0A42702604}"/>
    <hyperlink ref="B322" r:id="rId321" xr:uid="{6E67B158-359F-4913-863A-C2D1F639AE0C}"/>
    <hyperlink ref="B323" r:id="rId322" xr:uid="{B8930825-C602-4F29-87E3-16384F57E30A}"/>
    <hyperlink ref="B324" r:id="rId323" xr:uid="{255F843A-26A4-4EE9-B330-406D80AE406F}"/>
    <hyperlink ref="B325" r:id="rId324" xr:uid="{C52F6E20-A591-4267-A8D5-B84F5DF2A556}"/>
    <hyperlink ref="B326" r:id="rId325" xr:uid="{CA5A5C99-FF5C-4C62-8595-C9D746DCC66E}"/>
    <hyperlink ref="B327" r:id="rId326" xr:uid="{B8228BFC-72C9-451B-8B81-AB73FEE3C2AF}"/>
    <hyperlink ref="B328" r:id="rId327" xr:uid="{F8F9A9E8-4E21-4645-9EE3-E939324FE514}"/>
    <hyperlink ref="B329" r:id="rId328" xr:uid="{A1AE1F0B-1C2A-4D77-A4D1-DA0A1A3B1474}"/>
    <hyperlink ref="B330" r:id="rId329" xr:uid="{96C6E55D-0B7F-43EE-A09B-6CCCBA03328F}"/>
    <hyperlink ref="B331" r:id="rId330" xr:uid="{ACB424AE-F50D-4633-836C-EFDDE31E3FDE}"/>
    <hyperlink ref="B332" r:id="rId331" xr:uid="{AD54D829-8D86-48D3-9F41-344E6EA7709D}"/>
    <hyperlink ref="B333" r:id="rId332" xr:uid="{A2486B31-E05C-4E34-85A0-8203F3FFADC6}"/>
    <hyperlink ref="B334" r:id="rId333" xr:uid="{45BCCF61-F7C8-4664-AFF4-81D676D63894}"/>
    <hyperlink ref="B335" r:id="rId334" xr:uid="{E416F6D9-281A-4F67-BE2D-BF6782540189}"/>
    <hyperlink ref="B336" r:id="rId335" xr:uid="{AD3A2055-7E0F-431A-9B32-6B97FC759307}"/>
    <hyperlink ref="B337" r:id="rId336" xr:uid="{CDA3BFBD-F201-4845-BFC8-EF8F9B25176F}"/>
    <hyperlink ref="B338" r:id="rId337" xr:uid="{9AE0D707-55A4-4E47-894B-E818F5D66A42}"/>
    <hyperlink ref="B339" r:id="rId338" xr:uid="{3A54E183-E4C6-494E-A106-35ADCDD60303}"/>
    <hyperlink ref="B340" r:id="rId339" xr:uid="{8BB858E5-0377-49D0-8A42-96925633CE08}"/>
    <hyperlink ref="B341" r:id="rId340" xr:uid="{F62F5273-FF4F-4B90-AE96-6494922D4192}"/>
    <hyperlink ref="B342" r:id="rId341" xr:uid="{94D2018B-949E-427E-8DDE-47182BB1D687}"/>
    <hyperlink ref="B343" r:id="rId342" xr:uid="{12F16340-549B-4903-99EB-9621AFBBB7C3}"/>
    <hyperlink ref="B344" r:id="rId343" xr:uid="{FDB9A3E0-478A-4F82-A530-334A526609A1}"/>
    <hyperlink ref="B345" r:id="rId344" xr:uid="{20E0A150-D5D1-4DDB-9AED-0D52F8C76EED}"/>
    <hyperlink ref="B346" r:id="rId345" xr:uid="{181EAF19-EA50-462E-ADC2-36C1A2C89AF6}"/>
    <hyperlink ref="B347" r:id="rId346" xr:uid="{34194592-05B4-458C-8A63-020723F92FFE}"/>
    <hyperlink ref="B348" r:id="rId347" xr:uid="{F77BFA07-FAB3-4DD0-9B8E-E2B15074B1BF}"/>
    <hyperlink ref="B349" r:id="rId348" xr:uid="{4F69AF36-ABC4-46AF-971A-642B8C6AC2A7}"/>
    <hyperlink ref="B350" r:id="rId349" xr:uid="{4972719F-99ED-456C-BCF6-4AEFE91C0683}"/>
    <hyperlink ref="B351" r:id="rId350" xr:uid="{01581D1E-6A78-4331-9B26-66BA53E6873E}"/>
    <hyperlink ref="B352" r:id="rId351" xr:uid="{63789463-30C1-4291-A3ED-52006A46D567}"/>
    <hyperlink ref="B353" r:id="rId352" xr:uid="{5EAC17E2-23B2-41B6-AC9E-34372FCB63EC}"/>
    <hyperlink ref="B354" r:id="rId353" xr:uid="{10BC94BC-9396-46AF-A7D1-F4004E4C42B7}"/>
  </hyperlinks>
  <pageMargins left="0.7" right="0.7" top="0.75" bottom="0.75" header="0.3" footer="0.3"/>
  <tableParts count="1">
    <tablePart r:id="rId35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C76A6-416F-430B-B0EC-ADB66B4BB6F4}">
  <dimension ref="A1:AD288"/>
  <sheetViews>
    <sheetView topLeftCell="N254" workbookViewId="0">
      <selection activeCell="S288" sqref="S288:T288"/>
    </sheetView>
  </sheetViews>
  <sheetFormatPr defaultColWidth="11.42578125" defaultRowHeight="15" x14ac:dyDescent="0.25"/>
  <cols>
    <col min="2" max="4" width="37.85546875" customWidth="1"/>
    <col min="5" max="5" width="31.85546875" customWidth="1"/>
    <col min="6" max="7" width="21.85546875" customWidth="1"/>
    <col min="8" max="8" width="12.140625" customWidth="1"/>
    <col min="12" max="12" width="12.7109375" customWidth="1"/>
    <col min="13" max="13" width="29.28515625" customWidth="1"/>
    <col min="14" max="14" width="20" customWidth="1"/>
    <col min="15" max="16" width="15.42578125" customWidth="1"/>
    <col min="17" max="17" width="12.42578125" customWidth="1"/>
    <col min="18" max="20" width="26.42578125" customWidth="1"/>
    <col min="21" max="21" width="16.7109375" customWidth="1"/>
    <col min="23" max="23" width="15.42578125" customWidth="1"/>
    <col min="25" max="25" width="19.85546875" customWidth="1"/>
    <col min="26" max="26" width="15.7109375" customWidth="1"/>
    <col min="28" max="28" width="16" customWidth="1"/>
  </cols>
  <sheetData>
    <row r="1" spans="1:30" ht="60" customHeight="1" x14ac:dyDescent="0.25">
      <c r="A1" s="53" t="s">
        <v>0</v>
      </c>
      <c r="B1" s="52" t="s">
        <v>1</v>
      </c>
      <c r="C1" s="49" t="s">
        <v>2</v>
      </c>
      <c r="D1" s="52" t="s">
        <v>3</v>
      </c>
      <c r="E1" s="50" t="s">
        <v>4</v>
      </c>
      <c r="F1" s="52" t="s">
        <v>5</v>
      </c>
      <c r="G1" s="52" t="s">
        <v>6</v>
      </c>
      <c r="H1" s="52" t="s">
        <v>7</v>
      </c>
      <c r="I1" s="52" t="s">
        <v>8</v>
      </c>
      <c r="J1" s="52" t="s">
        <v>9</v>
      </c>
      <c r="K1" s="48" t="s">
        <v>10</v>
      </c>
      <c r="L1" s="48" t="s">
        <v>11</v>
      </c>
      <c r="M1" s="48" t="s">
        <v>12</v>
      </c>
      <c r="N1" s="48" t="s">
        <v>13</v>
      </c>
      <c r="O1" s="48" t="s">
        <v>14</v>
      </c>
      <c r="P1" s="48" t="s">
        <v>15</v>
      </c>
      <c r="Q1" s="48" t="s">
        <v>16</v>
      </c>
      <c r="R1" s="48" t="s">
        <v>17</v>
      </c>
      <c r="S1" s="48" t="s">
        <v>9149</v>
      </c>
      <c r="T1" s="48" t="s">
        <v>9150</v>
      </c>
      <c r="U1" s="48" t="s">
        <v>18</v>
      </c>
      <c r="V1" s="48" t="s">
        <v>19</v>
      </c>
      <c r="W1" s="48" t="s">
        <v>20</v>
      </c>
      <c r="X1" s="48" t="s">
        <v>21</v>
      </c>
      <c r="Y1" s="48" t="s">
        <v>22</v>
      </c>
      <c r="Z1" s="48" t="s">
        <v>23</v>
      </c>
      <c r="AA1" s="48" t="s">
        <v>24</v>
      </c>
      <c r="AB1" s="48" t="s">
        <v>25</v>
      </c>
      <c r="AC1" s="48" t="s">
        <v>201</v>
      </c>
      <c r="AD1" s="51" t="s">
        <v>27</v>
      </c>
    </row>
    <row r="2" spans="1:30" x14ac:dyDescent="0.25">
      <c r="A2" s="36">
        <v>2508</v>
      </c>
      <c r="B2" s="14" t="s">
        <v>5041</v>
      </c>
      <c r="C2" s="14" t="s">
        <v>5042</v>
      </c>
      <c r="D2" s="17">
        <v>44138</v>
      </c>
      <c r="E2" s="14" t="s">
        <v>30</v>
      </c>
      <c r="F2" s="14">
        <v>152</v>
      </c>
      <c r="G2" s="14">
        <v>49</v>
      </c>
      <c r="H2" s="14">
        <v>12</v>
      </c>
      <c r="I2" s="14">
        <v>6</v>
      </c>
      <c r="J2" s="14" t="s">
        <v>31</v>
      </c>
      <c r="K2" s="14" cm="1">
        <f t="array" ref="K2">INT(SUMPRODUCT(--ISNUMBER(SEARCH(economy,C2)))&gt;0)</f>
        <v>0</v>
      </c>
      <c r="L2" s="14" cm="1">
        <f t="array" ref="L2">INT(SUMPRODUCT(--ISNUMBER(SEARCH(healthcare,C2)))&gt;0)</f>
        <v>0</v>
      </c>
      <c r="M2" s="14" cm="1">
        <f t="array" ref="M2">INT(SUMPRODUCT(--ISNUMBER(SEARCH(supreme,C2)))&gt;0)</f>
        <v>0</v>
      </c>
      <c r="N2" s="14" cm="1">
        <f t="array" ref="N2">INT(SUMPRODUCT(--ISNUMBER(SEARCH(covid,C2)))&gt;0)</f>
        <v>0</v>
      </c>
      <c r="O2" s="14" cm="1">
        <f t="array" ref="O2">INT(SUMPRODUCT(--ISNUMBER(SEARCH(violent,C2)))&gt;0)</f>
        <v>0</v>
      </c>
      <c r="P2" s="14" cm="1">
        <f t="array" ref="P2">INT(SUMPRODUCT(--ISNUMBER(SEARCH(foreign,C2)))&gt;0)</f>
        <v>0</v>
      </c>
      <c r="Q2" s="14" cm="1">
        <f t="array" ref="Q2">INT(SUMPRODUCT(--ISNUMBER(SEARCH(gun,C2)))&gt;0)</f>
        <v>0</v>
      </c>
      <c r="R2" s="14" cm="1">
        <f t="array" ref="R2">INT(SUMPRODUCT(--ISNUMBER(SEARCH(race,C2)))&gt;0)</f>
        <v>0</v>
      </c>
      <c r="S2" s="14" cm="1">
        <f t="array" ref="S2">INT(SUMPRODUCT(--ISNUMBER(SEARCH(immigration,C2)))&gt;0)</f>
        <v>0</v>
      </c>
      <c r="T2" s="14" cm="1">
        <f t="array" ref="T2">INT(SUMPRODUCT(--ISNUMBER(SEARCH(econineq,C3)))&gt;0)</f>
        <v>0</v>
      </c>
      <c r="U2" s="14" cm="1">
        <f t="array" ref="U2">INT(SUMPRODUCT(--ISNUMBER(SEARCH(climate,C2)))&gt;0)</f>
        <v>0</v>
      </c>
      <c r="V2" s="14" cm="1">
        <f t="array" ref="V2">INT(SUMPRODUCT(--ISNUMBER(SEARCH(abortion,C2)))&gt;0)</f>
        <v>0</v>
      </c>
      <c r="W2" s="14" cm="1">
        <f t="array" ref="W2">INT(SUMPRODUCT(--ISNUMBER(SEARCH(trump,C2)))&gt;0)</f>
        <v>0</v>
      </c>
      <c r="X2" s="14" cm="1">
        <f t="array" ref="X2">INT(SUMPRODUCT(--ISNUMBER(SEARCH(voting,C2)))&gt;0)</f>
        <v>1</v>
      </c>
      <c r="Y2" s="35" cm="1">
        <f t="array" ref="Y2">INT(SUMPRODUCT(--ISNUMBER(SEARCH(republicantrigger,C2)))&gt;0)</f>
        <v>0</v>
      </c>
      <c r="Z2" s="35" cm="1">
        <f t="array" ref="Z2">INT(SUMPRODUCT(--ISNUMBER(SEARCH(bipartisan,C2)))&gt;0)</f>
        <v>0</v>
      </c>
      <c r="AA2" s="35">
        <f>INT(IF(COUNTIF(K2:Z2,1)=0,"1","0"))</f>
        <v>0</v>
      </c>
      <c r="AB2" s="14"/>
      <c r="AC2" s="30">
        <v>1</v>
      </c>
      <c r="AD2" s="37">
        <v>0</v>
      </c>
    </row>
    <row r="3" spans="1:30" x14ac:dyDescent="0.25">
      <c r="A3" s="36">
        <v>2509</v>
      </c>
      <c r="B3" s="14" t="s">
        <v>5043</v>
      </c>
      <c r="C3" s="14" t="s">
        <v>5044</v>
      </c>
      <c r="D3" s="17">
        <v>44138</v>
      </c>
      <c r="E3" s="14" t="s">
        <v>30</v>
      </c>
      <c r="F3" s="14">
        <v>114</v>
      </c>
      <c r="G3" s="14">
        <v>40</v>
      </c>
      <c r="H3" s="14">
        <v>12</v>
      </c>
      <c r="I3" s="14">
        <v>6</v>
      </c>
      <c r="J3" s="14" t="s">
        <v>31</v>
      </c>
      <c r="K3" s="14" cm="1">
        <f t="array" ref="K3">INT(SUMPRODUCT(--ISNUMBER(SEARCH(economy,C3)))&gt;0)</f>
        <v>0</v>
      </c>
      <c r="L3" s="14" cm="1">
        <f t="array" ref="L3">INT(SUMPRODUCT(--ISNUMBER(SEARCH(healthcare,C3)))&gt;0)</f>
        <v>0</v>
      </c>
      <c r="M3" s="14" cm="1">
        <f t="array" ref="M3">INT(SUMPRODUCT(--ISNUMBER(SEARCH(supreme,C3)))&gt;0)</f>
        <v>0</v>
      </c>
      <c r="N3" s="14" cm="1">
        <f t="array" ref="N3">INT(SUMPRODUCT(--ISNUMBER(SEARCH(covid,C3)))&gt;0)</f>
        <v>0</v>
      </c>
      <c r="O3" s="14" cm="1">
        <f t="array" ref="O3">INT(SUMPRODUCT(--ISNUMBER(SEARCH(violent,C3)))&gt;0)</f>
        <v>0</v>
      </c>
      <c r="P3" s="14" cm="1">
        <f t="array" ref="P3">INT(SUMPRODUCT(--ISNUMBER(SEARCH(foreign,C3)))&gt;0)</f>
        <v>0</v>
      </c>
      <c r="Q3" s="14" cm="1">
        <f t="array" ref="Q3">INT(SUMPRODUCT(--ISNUMBER(SEARCH(gun,C3)))&gt;0)</f>
        <v>0</v>
      </c>
      <c r="R3" s="14" cm="1">
        <f t="array" ref="R3">INT(SUMPRODUCT(--ISNUMBER(SEARCH(race,C3)))&gt;0)</f>
        <v>0</v>
      </c>
      <c r="S3" s="14" cm="1">
        <f t="array" ref="S3">INT(SUMPRODUCT(--ISNUMBER(SEARCH(immigration,C3)))&gt;0)</f>
        <v>0</v>
      </c>
      <c r="T3" s="14" cm="1">
        <f t="array" ref="T3">INT(SUMPRODUCT(--ISNUMBER(SEARCH(econineq,C4)))&gt;0)</f>
        <v>0</v>
      </c>
      <c r="U3" s="14" cm="1">
        <f t="array" ref="U3">INT(SUMPRODUCT(--ISNUMBER(SEARCH(climate,C3)))&gt;0)</f>
        <v>0</v>
      </c>
      <c r="V3" s="14" cm="1">
        <f t="array" ref="V3">INT(SUMPRODUCT(--ISNUMBER(SEARCH(abortion,C3)))&gt;0)</f>
        <v>0</v>
      </c>
      <c r="W3" s="14" cm="1">
        <f t="array" ref="W3">INT(SUMPRODUCT(--ISNUMBER(SEARCH(trump,C3)))&gt;0)</f>
        <v>0</v>
      </c>
      <c r="X3" s="14" cm="1">
        <f t="array" ref="X3">INT(SUMPRODUCT(--ISNUMBER(SEARCH(voting,C3)))&gt;0)</f>
        <v>1</v>
      </c>
      <c r="Y3" s="35" cm="1">
        <f t="array" ref="Y3">INT(SUMPRODUCT(--ISNUMBER(SEARCH(republicantrigger,C3)))&gt;0)</f>
        <v>0</v>
      </c>
      <c r="Z3" s="35" cm="1">
        <f t="array" ref="Z3">INT(SUMPRODUCT(--ISNUMBER(SEARCH(bipartisan,C3)))&gt;0)</f>
        <v>0</v>
      </c>
      <c r="AA3" s="35">
        <f t="shared" ref="AA3:AA66" si="0">INT(IF(COUNTIF(K3:Z3,1)=0,"1","0"))</f>
        <v>0</v>
      </c>
      <c r="AB3" s="14"/>
      <c r="AC3" s="30">
        <v>1</v>
      </c>
      <c r="AD3" s="37">
        <v>0</v>
      </c>
    </row>
    <row r="4" spans="1:30" x14ac:dyDescent="0.25">
      <c r="A4" s="36">
        <v>2510</v>
      </c>
      <c r="B4" s="14" t="s">
        <v>5045</v>
      </c>
      <c r="C4" s="14" t="s">
        <v>5046</v>
      </c>
      <c r="D4" s="17">
        <v>44138</v>
      </c>
      <c r="E4" s="14" t="s">
        <v>30</v>
      </c>
      <c r="F4" s="14">
        <v>124</v>
      </c>
      <c r="G4" s="14">
        <v>27</v>
      </c>
      <c r="H4" s="14">
        <v>12</v>
      </c>
      <c r="I4" s="14">
        <v>6</v>
      </c>
      <c r="J4" s="14" t="s">
        <v>31</v>
      </c>
      <c r="K4" s="14" cm="1">
        <f t="array" ref="K4">INT(SUMPRODUCT(--ISNUMBER(SEARCH(economy,C4)))&gt;0)</f>
        <v>0</v>
      </c>
      <c r="L4" s="14" cm="1">
        <f t="array" ref="L4">INT(SUMPRODUCT(--ISNUMBER(SEARCH(healthcare,C4)))&gt;0)</f>
        <v>0</v>
      </c>
      <c r="M4" s="14" cm="1">
        <f t="array" ref="M4">INT(SUMPRODUCT(--ISNUMBER(SEARCH(supreme,C4)))&gt;0)</f>
        <v>0</v>
      </c>
      <c r="N4" s="14" cm="1">
        <f t="array" ref="N4">INT(SUMPRODUCT(--ISNUMBER(SEARCH(covid,C4)))&gt;0)</f>
        <v>0</v>
      </c>
      <c r="O4" s="14" cm="1">
        <f t="array" ref="O4">INT(SUMPRODUCT(--ISNUMBER(SEARCH(violent,C4)))&gt;0)</f>
        <v>0</v>
      </c>
      <c r="P4" s="14" cm="1">
        <f t="array" ref="P4">INT(SUMPRODUCT(--ISNUMBER(SEARCH(foreign,C4)))&gt;0)</f>
        <v>0</v>
      </c>
      <c r="Q4" s="14" cm="1">
        <f t="array" ref="Q4">INT(SUMPRODUCT(--ISNUMBER(SEARCH(gun,C4)))&gt;0)</f>
        <v>0</v>
      </c>
      <c r="R4" s="14" cm="1">
        <f t="array" ref="R4">INT(SUMPRODUCT(--ISNUMBER(SEARCH(race,C4)))&gt;0)</f>
        <v>1</v>
      </c>
      <c r="S4" s="14" cm="1">
        <f t="array" ref="S4">INT(SUMPRODUCT(--ISNUMBER(SEARCH(immigration,C4)))&gt;0)</f>
        <v>0</v>
      </c>
      <c r="T4" s="14" cm="1">
        <f t="array" ref="T4">INT(SUMPRODUCT(--ISNUMBER(SEARCH(econineq,C5)))&gt;0)</f>
        <v>0</v>
      </c>
      <c r="U4" s="14" cm="1">
        <f t="array" ref="U4">INT(SUMPRODUCT(--ISNUMBER(SEARCH(climate,C4)))&gt;0)</f>
        <v>0</v>
      </c>
      <c r="V4" s="14" cm="1">
        <f t="array" ref="V4">INT(SUMPRODUCT(--ISNUMBER(SEARCH(abortion,C4)))&gt;0)</f>
        <v>0</v>
      </c>
      <c r="W4" s="14" cm="1">
        <f t="array" ref="W4">INT(SUMPRODUCT(--ISNUMBER(SEARCH(trump,C4)))&gt;0)</f>
        <v>0</v>
      </c>
      <c r="X4" s="14" cm="1">
        <f t="array" ref="X4">INT(SUMPRODUCT(--ISNUMBER(SEARCH(voting,C4)))&gt;0)</f>
        <v>1</v>
      </c>
      <c r="Y4" s="35" cm="1">
        <f t="array" ref="Y4">INT(SUMPRODUCT(--ISNUMBER(SEARCH(republicantrigger,C4)))&gt;0)</f>
        <v>1</v>
      </c>
      <c r="Z4" s="35" cm="1">
        <f t="array" ref="Z4">INT(SUMPRODUCT(--ISNUMBER(SEARCH(bipartisan,C4)))&gt;0)</f>
        <v>0</v>
      </c>
      <c r="AA4" s="35">
        <f t="shared" si="0"/>
        <v>0</v>
      </c>
      <c r="AB4" s="14"/>
      <c r="AC4" s="30" t="s">
        <v>223</v>
      </c>
      <c r="AD4" s="37" t="s">
        <v>223</v>
      </c>
    </row>
    <row r="5" spans="1:30" x14ac:dyDescent="0.25">
      <c r="A5" s="36">
        <v>2511</v>
      </c>
      <c r="B5" s="14" t="s">
        <v>5047</v>
      </c>
      <c r="C5" s="14" t="s">
        <v>5048</v>
      </c>
      <c r="D5" s="17">
        <v>44138</v>
      </c>
      <c r="E5" s="14" t="s">
        <v>30</v>
      </c>
      <c r="F5" s="14">
        <v>196</v>
      </c>
      <c r="G5" s="14">
        <v>59</v>
      </c>
      <c r="H5" s="14">
        <v>12</v>
      </c>
      <c r="I5" s="14">
        <v>6</v>
      </c>
      <c r="J5" s="14" t="s">
        <v>31</v>
      </c>
      <c r="K5" s="14" cm="1">
        <f t="array" ref="K5">INT(SUMPRODUCT(--ISNUMBER(SEARCH(economy,C5)))&gt;0)</f>
        <v>1</v>
      </c>
      <c r="L5" s="14" cm="1">
        <f t="array" ref="L5">INT(SUMPRODUCT(--ISNUMBER(SEARCH(healthcare,C5)))&gt;0)</f>
        <v>0</v>
      </c>
      <c r="M5" s="14" cm="1">
        <f t="array" ref="M5">INT(SUMPRODUCT(--ISNUMBER(SEARCH(supreme,C5)))&gt;0)</f>
        <v>0</v>
      </c>
      <c r="N5" s="14" cm="1">
        <f t="array" ref="N5">INT(SUMPRODUCT(--ISNUMBER(SEARCH(covid,C5)))&gt;0)</f>
        <v>0</v>
      </c>
      <c r="O5" s="14" cm="1">
        <f t="array" ref="O5">INT(SUMPRODUCT(--ISNUMBER(SEARCH(violent,C5)))&gt;0)</f>
        <v>0</v>
      </c>
      <c r="P5" s="14" cm="1">
        <f t="array" ref="P5">INT(SUMPRODUCT(--ISNUMBER(SEARCH(foreign,C5)))&gt;0)</f>
        <v>0</v>
      </c>
      <c r="Q5" s="14" cm="1">
        <f t="array" ref="Q5">INT(SUMPRODUCT(--ISNUMBER(SEARCH(gun,C5)))&gt;0)</f>
        <v>0</v>
      </c>
      <c r="R5" s="14" cm="1">
        <f t="array" ref="R5">INT(SUMPRODUCT(--ISNUMBER(SEARCH(race,C5)))&gt;0)</f>
        <v>0</v>
      </c>
      <c r="S5" s="14" cm="1">
        <f t="array" ref="S5">INT(SUMPRODUCT(--ISNUMBER(SEARCH(immigration,C5)))&gt;0)</f>
        <v>0</v>
      </c>
      <c r="T5" s="14" cm="1">
        <f t="array" ref="T5">INT(SUMPRODUCT(--ISNUMBER(SEARCH(econineq,C6)))&gt;0)</f>
        <v>0</v>
      </c>
      <c r="U5" s="14" cm="1">
        <f t="array" ref="U5">INT(SUMPRODUCT(--ISNUMBER(SEARCH(climate,C5)))&gt;0)</f>
        <v>0</v>
      </c>
      <c r="V5" s="14" cm="1">
        <f t="array" ref="V5">INT(SUMPRODUCT(--ISNUMBER(SEARCH(abortion,C5)))&gt;0)</f>
        <v>0</v>
      </c>
      <c r="W5" s="14" cm="1">
        <f t="array" ref="W5">INT(SUMPRODUCT(--ISNUMBER(SEARCH(trump,C5)))&gt;0)</f>
        <v>1</v>
      </c>
      <c r="X5" s="14" cm="1">
        <f t="array" ref="X5">INT(SUMPRODUCT(--ISNUMBER(SEARCH(voting,C5)))&gt;0)</f>
        <v>1</v>
      </c>
      <c r="Y5" s="35" cm="1">
        <f t="array" ref="Y5">INT(SUMPRODUCT(--ISNUMBER(SEARCH(republicantrigger,C5)))&gt;0)</f>
        <v>1</v>
      </c>
      <c r="Z5" s="35" cm="1">
        <f t="array" ref="Z5">INT(SUMPRODUCT(--ISNUMBER(SEARCH(bipartisan,C5)))&gt;0)</f>
        <v>0</v>
      </c>
      <c r="AA5" s="35">
        <f t="shared" si="0"/>
        <v>0</v>
      </c>
      <c r="AB5" s="14"/>
      <c r="AC5" s="30">
        <v>0</v>
      </c>
      <c r="AD5" s="37">
        <v>1</v>
      </c>
    </row>
    <row r="6" spans="1:30" x14ac:dyDescent="0.25">
      <c r="A6" s="36">
        <v>2512</v>
      </c>
      <c r="B6" s="14" t="s">
        <v>5049</v>
      </c>
      <c r="C6" s="14" t="s">
        <v>5050</v>
      </c>
      <c r="D6" s="17">
        <v>44138</v>
      </c>
      <c r="E6" s="14" t="s">
        <v>30</v>
      </c>
      <c r="F6" s="14">
        <v>264</v>
      </c>
      <c r="G6" s="14">
        <v>83</v>
      </c>
      <c r="H6" s="14">
        <v>12</v>
      </c>
      <c r="I6" s="14">
        <v>6</v>
      </c>
      <c r="J6" s="14" t="s">
        <v>31</v>
      </c>
      <c r="K6" s="14" cm="1">
        <f t="array" ref="K6">INT(SUMPRODUCT(--ISNUMBER(SEARCH(economy,C6)))&gt;0)</f>
        <v>1</v>
      </c>
      <c r="L6" s="14" cm="1">
        <f t="array" ref="L6">INT(SUMPRODUCT(--ISNUMBER(SEARCH(healthcare,C6)))&gt;0)</f>
        <v>0</v>
      </c>
      <c r="M6" s="14" cm="1">
        <f t="array" ref="M6">INT(SUMPRODUCT(--ISNUMBER(SEARCH(supreme,C6)))&gt;0)</f>
        <v>0</v>
      </c>
      <c r="N6" s="14" cm="1">
        <f t="array" ref="N6">INT(SUMPRODUCT(--ISNUMBER(SEARCH(covid,C6)))&gt;0)</f>
        <v>0</v>
      </c>
      <c r="O6" s="14" cm="1">
        <f t="array" ref="O6">INT(SUMPRODUCT(--ISNUMBER(SEARCH(violent,C6)))&gt;0)</f>
        <v>0</v>
      </c>
      <c r="P6" s="14" cm="1">
        <f t="array" ref="P6">INT(SUMPRODUCT(--ISNUMBER(SEARCH(foreign,C6)))&gt;0)</f>
        <v>0</v>
      </c>
      <c r="Q6" s="14" cm="1">
        <f t="array" ref="Q6">INT(SUMPRODUCT(--ISNUMBER(SEARCH(gun,C6)))&gt;0)</f>
        <v>1</v>
      </c>
      <c r="R6" s="14" cm="1">
        <f t="array" ref="R6">INT(SUMPRODUCT(--ISNUMBER(SEARCH(race,C6)))&gt;0)</f>
        <v>0</v>
      </c>
      <c r="S6" s="14" cm="1">
        <f t="array" ref="S6">INT(SUMPRODUCT(--ISNUMBER(SEARCH(immigration,C6)))&gt;0)</f>
        <v>0</v>
      </c>
      <c r="T6" s="14" cm="1">
        <f t="array" ref="T6">INT(SUMPRODUCT(--ISNUMBER(SEARCH(econineq,C7)))&gt;0)</f>
        <v>0</v>
      </c>
      <c r="U6" s="14" cm="1">
        <f t="array" ref="U6">INT(SUMPRODUCT(--ISNUMBER(SEARCH(climate,C6)))&gt;0)</f>
        <v>0</v>
      </c>
      <c r="V6" s="14" cm="1">
        <f t="array" ref="V6">INT(SUMPRODUCT(--ISNUMBER(SEARCH(abortion,C6)))&gt;0)</f>
        <v>0</v>
      </c>
      <c r="W6" s="14" cm="1">
        <f t="array" ref="W6">INT(SUMPRODUCT(--ISNUMBER(SEARCH(trump,C6)))&gt;0)</f>
        <v>0</v>
      </c>
      <c r="X6" s="14" cm="1">
        <f t="array" ref="X6">INT(SUMPRODUCT(--ISNUMBER(SEARCH(voting,C6)))&gt;0)</f>
        <v>1</v>
      </c>
      <c r="Y6" s="35" cm="1">
        <f t="array" ref="Y6">INT(SUMPRODUCT(--ISNUMBER(SEARCH(republicantrigger,C6)))&gt;0)</f>
        <v>0</v>
      </c>
      <c r="Z6" s="35" cm="1">
        <f t="array" ref="Z6">INT(SUMPRODUCT(--ISNUMBER(SEARCH(bipartisan,C6)))&gt;0)</f>
        <v>0</v>
      </c>
      <c r="AA6" s="35">
        <f t="shared" si="0"/>
        <v>0</v>
      </c>
      <c r="AB6" s="14"/>
      <c r="AC6" s="30">
        <v>0</v>
      </c>
      <c r="AD6" s="37">
        <v>1</v>
      </c>
    </row>
    <row r="7" spans="1:30" x14ac:dyDescent="0.25">
      <c r="A7" s="36">
        <v>2513</v>
      </c>
      <c r="B7" s="14" t="s">
        <v>5051</v>
      </c>
      <c r="C7" s="14" t="s">
        <v>5052</v>
      </c>
      <c r="D7" s="17">
        <v>44138</v>
      </c>
      <c r="E7" s="14" t="s">
        <v>30</v>
      </c>
      <c r="F7" s="14">
        <v>178</v>
      </c>
      <c r="G7" s="14">
        <v>36</v>
      </c>
      <c r="H7" s="14">
        <v>12</v>
      </c>
      <c r="I7" s="14">
        <v>6</v>
      </c>
      <c r="J7" s="14" t="s">
        <v>31</v>
      </c>
      <c r="K7" s="14" cm="1">
        <f t="array" ref="K7">INT(SUMPRODUCT(--ISNUMBER(SEARCH(economy,C7)))&gt;0)</f>
        <v>0</v>
      </c>
      <c r="L7" s="14" cm="1">
        <f t="array" ref="L7">INT(SUMPRODUCT(--ISNUMBER(SEARCH(healthcare,C7)))&gt;0)</f>
        <v>0</v>
      </c>
      <c r="M7" s="14" cm="1">
        <f t="array" ref="M7">INT(SUMPRODUCT(--ISNUMBER(SEARCH(supreme,C7)))&gt;0)</f>
        <v>0</v>
      </c>
      <c r="N7" s="14" cm="1">
        <f t="array" ref="N7">INT(SUMPRODUCT(--ISNUMBER(SEARCH(covid,C7)))&gt;0)</f>
        <v>0</v>
      </c>
      <c r="O7" s="14" cm="1">
        <f t="array" ref="O7">INT(SUMPRODUCT(--ISNUMBER(SEARCH(violent,C7)))&gt;0)</f>
        <v>0</v>
      </c>
      <c r="P7" s="14" cm="1">
        <f t="array" ref="P7">INT(SUMPRODUCT(--ISNUMBER(SEARCH(foreign,C7)))&gt;0)</f>
        <v>0</v>
      </c>
      <c r="Q7" s="14" cm="1">
        <f t="array" ref="Q7">INT(SUMPRODUCT(--ISNUMBER(SEARCH(gun,C7)))&gt;0)</f>
        <v>0</v>
      </c>
      <c r="R7" s="14" cm="1">
        <f t="array" ref="R7">INT(SUMPRODUCT(--ISNUMBER(SEARCH(race,C7)))&gt;0)</f>
        <v>0</v>
      </c>
      <c r="S7" s="14" cm="1">
        <f t="array" ref="S7">INT(SUMPRODUCT(--ISNUMBER(SEARCH(immigration,C7)))&gt;0)</f>
        <v>0</v>
      </c>
      <c r="T7" s="14" cm="1">
        <f t="array" ref="T7">INT(SUMPRODUCT(--ISNUMBER(SEARCH(econineq,C8)))&gt;0)</f>
        <v>0</v>
      </c>
      <c r="U7" s="14" cm="1">
        <f t="array" ref="U7">INT(SUMPRODUCT(--ISNUMBER(SEARCH(climate,C7)))&gt;0)</f>
        <v>0</v>
      </c>
      <c r="V7" s="14" cm="1">
        <f t="array" ref="V7">INT(SUMPRODUCT(--ISNUMBER(SEARCH(abortion,C7)))&gt;0)</f>
        <v>0</v>
      </c>
      <c r="W7" s="14" cm="1">
        <f t="array" ref="W7">INT(SUMPRODUCT(--ISNUMBER(SEARCH(trump,C7)))&gt;0)</f>
        <v>0</v>
      </c>
      <c r="X7" s="14" cm="1">
        <f t="array" ref="X7">INT(SUMPRODUCT(--ISNUMBER(SEARCH(voting,C7)))&gt;0)</f>
        <v>1</v>
      </c>
      <c r="Y7" s="35" cm="1">
        <f t="array" ref="Y7">INT(SUMPRODUCT(--ISNUMBER(SEARCH(republicantrigger,C7)))&gt;0)</f>
        <v>0</v>
      </c>
      <c r="Z7" s="35" cm="1">
        <f t="array" ref="Z7">INT(SUMPRODUCT(--ISNUMBER(SEARCH(bipartisan,C7)))&gt;0)</f>
        <v>0</v>
      </c>
      <c r="AA7" s="35">
        <f t="shared" si="0"/>
        <v>0</v>
      </c>
      <c r="AB7" s="14"/>
      <c r="AC7" s="30">
        <v>1</v>
      </c>
      <c r="AD7" s="37">
        <v>0</v>
      </c>
    </row>
    <row r="8" spans="1:30" x14ac:dyDescent="0.25">
      <c r="A8" s="36">
        <v>2514</v>
      </c>
      <c r="B8" s="14" t="s">
        <v>5053</v>
      </c>
      <c r="C8" s="14" t="s">
        <v>5054</v>
      </c>
      <c r="D8" s="17">
        <v>44138</v>
      </c>
      <c r="E8" s="14" t="s">
        <v>30</v>
      </c>
      <c r="F8" s="14">
        <v>174</v>
      </c>
      <c r="G8" s="14">
        <v>48</v>
      </c>
      <c r="H8" s="14">
        <v>12</v>
      </c>
      <c r="I8" s="14">
        <v>6</v>
      </c>
      <c r="J8" s="14" t="s">
        <v>31</v>
      </c>
      <c r="K8" s="14" cm="1">
        <f t="array" ref="K8">INT(SUMPRODUCT(--ISNUMBER(SEARCH(economy,C8)))&gt;0)</f>
        <v>0</v>
      </c>
      <c r="L8" s="14" cm="1">
        <f t="array" ref="L8">INT(SUMPRODUCT(--ISNUMBER(SEARCH(healthcare,C8)))&gt;0)</f>
        <v>0</v>
      </c>
      <c r="M8" s="14" cm="1">
        <f t="array" ref="M8">INT(SUMPRODUCT(--ISNUMBER(SEARCH(supreme,C8)))&gt;0)</f>
        <v>0</v>
      </c>
      <c r="N8" s="14" cm="1">
        <f t="array" ref="N8">INT(SUMPRODUCT(--ISNUMBER(SEARCH(covid,C8)))&gt;0)</f>
        <v>0</v>
      </c>
      <c r="O8" s="14" cm="1">
        <f t="array" ref="O8">INT(SUMPRODUCT(--ISNUMBER(SEARCH(violent,C8)))&gt;0)</f>
        <v>0</v>
      </c>
      <c r="P8" s="14" cm="1">
        <f t="array" ref="P8">INT(SUMPRODUCT(--ISNUMBER(SEARCH(foreign,C8)))&gt;0)</f>
        <v>0</v>
      </c>
      <c r="Q8" s="14" cm="1">
        <f t="array" ref="Q8">INT(SUMPRODUCT(--ISNUMBER(SEARCH(gun,C8)))&gt;0)</f>
        <v>0</v>
      </c>
      <c r="R8" s="14" cm="1">
        <f t="array" ref="R8">INT(SUMPRODUCT(--ISNUMBER(SEARCH(race,C8)))&gt;0)</f>
        <v>1</v>
      </c>
      <c r="S8" s="14" cm="1">
        <f t="array" ref="S8">INT(SUMPRODUCT(--ISNUMBER(SEARCH(immigration,C8)))&gt;0)</f>
        <v>0</v>
      </c>
      <c r="T8" s="14" cm="1">
        <f t="array" ref="T8">INT(SUMPRODUCT(--ISNUMBER(SEARCH(econineq,C9)))&gt;0)</f>
        <v>0</v>
      </c>
      <c r="U8" s="14" cm="1">
        <f t="array" ref="U8">INT(SUMPRODUCT(--ISNUMBER(SEARCH(climate,C8)))&gt;0)</f>
        <v>1</v>
      </c>
      <c r="V8" s="14" cm="1">
        <f t="array" ref="V8">INT(SUMPRODUCT(--ISNUMBER(SEARCH(abortion,C8)))&gt;0)</f>
        <v>0</v>
      </c>
      <c r="W8" s="14" cm="1">
        <f t="array" ref="W8">INT(SUMPRODUCT(--ISNUMBER(SEARCH(trump,C8)))&gt;0)</f>
        <v>0</v>
      </c>
      <c r="X8" s="14" cm="1">
        <f t="array" ref="X8">INT(SUMPRODUCT(--ISNUMBER(SEARCH(voting,C8)))&gt;0)</f>
        <v>1</v>
      </c>
      <c r="Y8" s="35" cm="1">
        <f t="array" ref="Y8">INT(SUMPRODUCT(--ISNUMBER(SEARCH(republicantrigger,C8)))&gt;0)</f>
        <v>1</v>
      </c>
      <c r="Z8" s="35" cm="1">
        <f t="array" ref="Z8">INT(SUMPRODUCT(--ISNUMBER(SEARCH(bipartisan,C8)))&gt;0)</f>
        <v>0</v>
      </c>
      <c r="AA8" s="35">
        <f t="shared" si="0"/>
        <v>0</v>
      </c>
      <c r="AB8" s="14"/>
      <c r="AC8" s="30">
        <v>0</v>
      </c>
      <c r="AD8" s="37">
        <v>1</v>
      </c>
    </row>
    <row r="9" spans="1:30" x14ac:dyDescent="0.25">
      <c r="A9" s="36">
        <v>2515</v>
      </c>
      <c r="B9" s="14" t="s">
        <v>5055</v>
      </c>
      <c r="C9" s="14" t="s">
        <v>5056</v>
      </c>
      <c r="D9" s="17">
        <v>44138</v>
      </c>
      <c r="E9" s="14" t="s">
        <v>30</v>
      </c>
      <c r="F9" s="14">
        <v>321</v>
      </c>
      <c r="G9" s="14">
        <v>88</v>
      </c>
      <c r="H9" s="14">
        <v>12</v>
      </c>
      <c r="I9" s="14">
        <v>6</v>
      </c>
      <c r="J9" s="14" t="s">
        <v>31</v>
      </c>
      <c r="K9" s="14" cm="1">
        <f t="array" ref="K9">INT(SUMPRODUCT(--ISNUMBER(SEARCH(economy,C9)))&gt;0)</f>
        <v>0</v>
      </c>
      <c r="L9" s="14" cm="1">
        <f t="array" ref="L9">INT(SUMPRODUCT(--ISNUMBER(SEARCH(healthcare,C9)))&gt;0)</f>
        <v>0</v>
      </c>
      <c r="M9" s="14" cm="1">
        <f t="array" ref="M9">INT(SUMPRODUCT(--ISNUMBER(SEARCH(supreme,C9)))&gt;0)</f>
        <v>0</v>
      </c>
      <c r="N9" s="14" cm="1">
        <f t="array" ref="N9">INT(SUMPRODUCT(--ISNUMBER(SEARCH(covid,C9)))&gt;0)</f>
        <v>0</v>
      </c>
      <c r="O9" s="14" cm="1">
        <f t="array" ref="O9">INT(SUMPRODUCT(--ISNUMBER(SEARCH(violent,C9)))&gt;0)</f>
        <v>0</v>
      </c>
      <c r="P9" s="14" cm="1">
        <f t="array" ref="P9">INT(SUMPRODUCT(--ISNUMBER(SEARCH(foreign,C9)))&gt;0)</f>
        <v>0</v>
      </c>
      <c r="Q9" s="14" cm="1">
        <f t="array" ref="Q9">INT(SUMPRODUCT(--ISNUMBER(SEARCH(gun,C9)))&gt;0)</f>
        <v>0</v>
      </c>
      <c r="R9" s="14" cm="1">
        <f t="array" ref="R9">INT(SUMPRODUCT(--ISNUMBER(SEARCH(race,C9)))&gt;0)</f>
        <v>0</v>
      </c>
      <c r="S9" s="14" cm="1">
        <f t="array" ref="S9">INT(SUMPRODUCT(--ISNUMBER(SEARCH(immigration,C9)))&gt;0)</f>
        <v>0</v>
      </c>
      <c r="T9" s="14" cm="1">
        <f t="array" ref="T9">INT(SUMPRODUCT(--ISNUMBER(SEARCH(econineq,C10)))&gt;0)</f>
        <v>0</v>
      </c>
      <c r="U9" s="14" cm="1">
        <f t="array" ref="U9">INT(SUMPRODUCT(--ISNUMBER(SEARCH(climate,C9)))&gt;0)</f>
        <v>0</v>
      </c>
      <c r="V9" s="14" cm="1">
        <f t="array" ref="V9">INT(SUMPRODUCT(--ISNUMBER(SEARCH(abortion,C9)))&gt;0)</f>
        <v>0</v>
      </c>
      <c r="W9" s="14" cm="1">
        <f t="array" ref="W9">INT(SUMPRODUCT(--ISNUMBER(SEARCH(trump,C9)))&gt;0)</f>
        <v>0</v>
      </c>
      <c r="X9" s="14" cm="1">
        <f t="array" ref="X9">INT(SUMPRODUCT(--ISNUMBER(SEARCH(voting,C9)))&gt;0)</f>
        <v>1</v>
      </c>
      <c r="Y9" s="35" cm="1">
        <f t="array" ref="Y9">INT(SUMPRODUCT(--ISNUMBER(SEARCH(republicantrigger,C9)))&gt;0)</f>
        <v>0</v>
      </c>
      <c r="Z9" s="35" cm="1">
        <f t="array" ref="Z9">INT(SUMPRODUCT(--ISNUMBER(SEARCH(bipartisan,C9)))&gt;0)</f>
        <v>0</v>
      </c>
      <c r="AA9" s="35">
        <f t="shared" si="0"/>
        <v>0</v>
      </c>
      <c r="AB9" s="14"/>
      <c r="AC9" s="30">
        <v>1</v>
      </c>
      <c r="AD9" s="37">
        <v>0</v>
      </c>
    </row>
    <row r="10" spans="1:30" x14ac:dyDescent="0.25">
      <c r="A10" s="36">
        <v>2516</v>
      </c>
      <c r="B10" s="14" t="s">
        <v>5057</v>
      </c>
      <c r="C10" s="14" t="s">
        <v>5058</v>
      </c>
      <c r="D10" s="17">
        <v>44138</v>
      </c>
      <c r="E10" s="14" t="s">
        <v>30</v>
      </c>
      <c r="F10" s="14">
        <v>207</v>
      </c>
      <c r="G10" s="14">
        <v>48</v>
      </c>
      <c r="H10" s="14">
        <v>12</v>
      </c>
      <c r="I10" s="14">
        <v>6</v>
      </c>
      <c r="J10" s="14" t="s">
        <v>31</v>
      </c>
      <c r="K10" s="14" cm="1">
        <f t="array" ref="K10">INT(SUMPRODUCT(--ISNUMBER(SEARCH(economy,C10)))&gt;0)</f>
        <v>1</v>
      </c>
      <c r="L10" s="14" cm="1">
        <f t="array" ref="L10">INT(SUMPRODUCT(--ISNUMBER(SEARCH(healthcare,C10)))&gt;0)</f>
        <v>0</v>
      </c>
      <c r="M10" s="14" cm="1">
        <f t="array" ref="M10">INT(SUMPRODUCT(--ISNUMBER(SEARCH(supreme,C10)))&gt;0)</f>
        <v>0</v>
      </c>
      <c r="N10" s="14" cm="1">
        <f t="array" ref="N10">INT(SUMPRODUCT(--ISNUMBER(SEARCH(covid,C10)))&gt;0)</f>
        <v>0</v>
      </c>
      <c r="O10" s="14" cm="1">
        <f t="array" ref="O10">INT(SUMPRODUCT(--ISNUMBER(SEARCH(violent,C10)))&gt;0)</f>
        <v>1</v>
      </c>
      <c r="P10" s="14" cm="1">
        <f t="array" ref="P10">INT(SUMPRODUCT(--ISNUMBER(SEARCH(foreign,C10)))&gt;0)</f>
        <v>0</v>
      </c>
      <c r="Q10" s="14" cm="1">
        <f t="array" ref="Q10">INT(SUMPRODUCT(--ISNUMBER(SEARCH(gun,C10)))&gt;0)</f>
        <v>0</v>
      </c>
      <c r="R10" s="14" cm="1">
        <f t="array" ref="R10">INT(SUMPRODUCT(--ISNUMBER(SEARCH(race,C10)))&gt;0)</f>
        <v>0</v>
      </c>
      <c r="S10" s="14" cm="1">
        <f t="array" ref="S10">INT(SUMPRODUCT(--ISNUMBER(SEARCH(immigration,C10)))&gt;0)</f>
        <v>0</v>
      </c>
      <c r="T10" s="14" cm="1">
        <f t="array" ref="T10">INT(SUMPRODUCT(--ISNUMBER(SEARCH(econineq,C11)))&gt;0)</f>
        <v>0</v>
      </c>
      <c r="U10" s="14" cm="1">
        <f t="array" ref="U10">INT(SUMPRODUCT(--ISNUMBER(SEARCH(climate,C10)))&gt;0)</f>
        <v>0</v>
      </c>
      <c r="V10" s="14" cm="1">
        <f t="array" ref="V10">INT(SUMPRODUCT(--ISNUMBER(SEARCH(abortion,C10)))&gt;0)</f>
        <v>0</v>
      </c>
      <c r="W10" s="14" cm="1">
        <f t="array" ref="W10">INT(SUMPRODUCT(--ISNUMBER(SEARCH(trump,C10)))&gt;0)</f>
        <v>0</v>
      </c>
      <c r="X10" s="14" cm="1">
        <f t="array" ref="X10">INT(SUMPRODUCT(--ISNUMBER(SEARCH(voting,C10)))&gt;0)</f>
        <v>1</v>
      </c>
      <c r="Y10" s="35" cm="1">
        <f t="array" ref="Y10">INT(SUMPRODUCT(--ISNUMBER(SEARCH(republicantrigger,C10)))&gt;0)</f>
        <v>0</v>
      </c>
      <c r="Z10" s="35" cm="1">
        <f t="array" ref="Z10">INT(SUMPRODUCT(--ISNUMBER(SEARCH(bipartisan,C10)))&gt;0)</f>
        <v>0</v>
      </c>
      <c r="AA10" s="35">
        <f t="shared" si="0"/>
        <v>0</v>
      </c>
      <c r="AB10" s="14"/>
      <c r="AC10" s="30">
        <v>1</v>
      </c>
      <c r="AD10" s="37">
        <v>0</v>
      </c>
    </row>
    <row r="11" spans="1:30" x14ac:dyDescent="0.25">
      <c r="A11" s="36">
        <v>2517</v>
      </c>
      <c r="B11" s="14" t="s">
        <v>5059</v>
      </c>
      <c r="C11" s="14" t="s">
        <v>5060</v>
      </c>
      <c r="D11" s="17">
        <v>44138</v>
      </c>
      <c r="E11" s="14" t="s">
        <v>30</v>
      </c>
      <c r="F11" s="14">
        <v>407</v>
      </c>
      <c r="G11" s="14">
        <v>91</v>
      </c>
      <c r="H11" s="14">
        <v>12</v>
      </c>
      <c r="I11" s="14">
        <v>6</v>
      </c>
      <c r="J11" s="14" t="s">
        <v>31</v>
      </c>
      <c r="K11" s="14" cm="1">
        <f t="array" ref="K11">INT(SUMPRODUCT(--ISNUMBER(SEARCH(economy,C11)))&gt;0)</f>
        <v>0</v>
      </c>
      <c r="L11" s="14" cm="1">
        <f t="array" ref="L11">INT(SUMPRODUCT(--ISNUMBER(SEARCH(healthcare,C11)))&gt;0)</f>
        <v>0</v>
      </c>
      <c r="M11" s="14" cm="1">
        <f t="array" ref="M11">INT(SUMPRODUCT(--ISNUMBER(SEARCH(supreme,C11)))&gt;0)</f>
        <v>0</v>
      </c>
      <c r="N11" s="14" cm="1">
        <f t="array" ref="N11">INT(SUMPRODUCT(--ISNUMBER(SEARCH(covid,C11)))&gt;0)</f>
        <v>0</v>
      </c>
      <c r="O11" s="14" cm="1">
        <f t="array" ref="O11">INT(SUMPRODUCT(--ISNUMBER(SEARCH(violent,C11)))&gt;0)</f>
        <v>0</v>
      </c>
      <c r="P11" s="14" cm="1">
        <f t="array" ref="P11">INT(SUMPRODUCT(--ISNUMBER(SEARCH(foreign,C11)))&gt;0)</f>
        <v>0</v>
      </c>
      <c r="Q11" s="14" cm="1">
        <f t="array" ref="Q11">INT(SUMPRODUCT(--ISNUMBER(SEARCH(gun,C11)))&gt;0)</f>
        <v>0</v>
      </c>
      <c r="R11" s="14" cm="1">
        <f t="array" ref="R11">INT(SUMPRODUCT(--ISNUMBER(SEARCH(race,C11)))&gt;0)</f>
        <v>0</v>
      </c>
      <c r="S11" s="14" cm="1">
        <f t="array" ref="S11">INT(SUMPRODUCT(--ISNUMBER(SEARCH(immigration,C11)))&gt;0)</f>
        <v>0</v>
      </c>
      <c r="T11" s="14" cm="1">
        <f t="array" ref="T11">INT(SUMPRODUCT(--ISNUMBER(SEARCH(econineq,C12)))&gt;0)</f>
        <v>0</v>
      </c>
      <c r="U11" s="14" cm="1">
        <f t="array" ref="U11">INT(SUMPRODUCT(--ISNUMBER(SEARCH(climate,C11)))&gt;0)</f>
        <v>0</v>
      </c>
      <c r="V11" s="14" cm="1">
        <f t="array" ref="V11">INT(SUMPRODUCT(--ISNUMBER(SEARCH(abortion,C11)))&gt;0)</f>
        <v>0</v>
      </c>
      <c r="W11" s="14" cm="1">
        <f t="array" ref="W11">INT(SUMPRODUCT(--ISNUMBER(SEARCH(trump,C11)))&gt;0)</f>
        <v>1</v>
      </c>
      <c r="X11" s="14" cm="1">
        <f t="array" ref="X11">INT(SUMPRODUCT(--ISNUMBER(SEARCH(voting,C11)))&gt;0)</f>
        <v>1</v>
      </c>
      <c r="Y11" s="35" cm="1">
        <f t="array" ref="Y11">INT(SUMPRODUCT(--ISNUMBER(SEARCH(republicantrigger,C11)))&gt;0)</f>
        <v>0</v>
      </c>
      <c r="Z11" s="35" cm="1">
        <f t="array" ref="Z11">INT(SUMPRODUCT(--ISNUMBER(SEARCH(bipartisan,C11)))&gt;0)</f>
        <v>0</v>
      </c>
      <c r="AA11" s="35">
        <f t="shared" si="0"/>
        <v>0</v>
      </c>
      <c r="AB11" s="14"/>
      <c r="AC11" s="30">
        <v>0</v>
      </c>
      <c r="AD11" s="37">
        <v>1</v>
      </c>
    </row>
    <row r="12" spans="1:30" x14ac:dyDescent="0.25">
      <c r="A12" s="36">
        <v>2518</v>
      </c>
      <c r="B12" s="14" t="s">
        <v>5061</v>
      </c>
      <c r="C12" s="14" t="s">
        <v>5062</v>
      </c>
      <c r="D12" s="17">
        <v>44138</v>
      </c>
      <c r="E12" s="14" t="s">
        <v>30</v>
      </c>
      <c r="F12" s="14">
        <v>836</v>
      </c>
      <c r="G12" s="14">
        <v>333</v>
      </c>
      <c r="H12" s="14">
        <v>12</v>
      </c>
      <c r="I12" s="14">
        <v>6</v>
      </c>
      <c r="J12" s="14" t="s">
        <v>31</v>
      </c>
      <c r="K12" s="14" cm="1">
        <f t="array" ref="K12">INT(SUMPRODUCT(--ISNUMBER(SEARCH(economy,C12)))&gt;0)</f>
        <v>0</v>
      </c>
      <c r="L12" s="14" cm="1">
        <f t="array" ref="L12">INT(SUMPRODUCT(--ISNUMBER(SEARCH(healthcare,C12)))&gt;0)</f>
        <v>0</v>
      </c>
      <c r="M12" s="14" cm="1">
        <f t="array" ref="M12">INT(SUMPRODUCT(--ISNUMBER(SEARCH(supreme,C12)))&gt;0)</f>
        <v>0</v>
      </c>
      <c r="N12" s="14" cm="1">
        <f t="array" ref="N12">INT(SUMPRODUCT(--ISNUMBER(SEARCH(covid,C12)))&gt;0)</f>
        <v>0</v>
      </c>
      <c r="O12" s="14" cm="1">
        <f t="array" ref="O12">INT(SUMPRODUCT(--ISNUMBER(SEARCH(violent,C12)))&gt;0)</f>
        <v>0</v>
      </c>
      <c r="P12" s="14" cm="1">
        <f t="array" ref="P12">INT(SUMPRODUCT(--ISNUMBER(SEARCH(foreign,C12)))&gt;0)</f>
        <v>0</v>
      </c>
      <c r="Q12" s="14" cm="1">
        <f t="array" ref="Q12">INT(SUMPRODUCT(--ISNUMBER(SEARCH(gun,C12)))&gt;0)</f>
        <v>0</v>
      </c>
      <c r="R12" s="14" cm="1">
        <f t="array" ref="R12">INT(SUMPRODUCT(--ISNUMBER(SEARCH(race,C12)))&gt;0)</f>
        <v>0</v>
      </c>
      <c r="S12" s="14" cm="1">
        <f t="array" ref="S12">INT(SUMPRODUCT(--ISNUMBER(SEARCH(immigration,C12)))&gt;0)</f>
        <v>0</v>
      </c>
      <c r="T12" s="14" cm="1">
        <f t="array" ref="T12">INT(SUMPRODUCT(--ISNUMBER(SEARCH(econineq,C13)))&gt;0)</f>
        <v>0</v>
      </c>
      <c r="U12" s="14" cm="1">
        <f t="array" ref="U12">INT(SUMPRODUCT(--ISNUMBER(SEARCH(climate,C12)))&gt;0)</f>
        <v>0</v>
      </c>
      <c r="V12" s="14" cm="1">
        <f t="array" ref="V12">INT(SUMPRODUCT(--ISNUMBER(SEARCH(abortion,C12)))&gt;0)</f>
        <v>0</v>
      </c>
      <c r="W12" s="14" cm="1">
        <f t="array" ref="W12">INT(SUMPRODUCT(--ISNUMBER(SEARCH(trump,C12)))&gt;0)</f>
        <v>0</v>
      </c>
      <c r="X12" s="14" cm="1">
        <f t="array" ref="X12">INT(SUMPRODUCT(--ISNUMBER(SEARCH(voting,C12)))&gt;0)</f>
        <v>0</v>
      </c>
      <c r="Y12" s="35" cm="1">
        <f t="array" ref="Y12">INT(SUMPRODUCT(--ISNUMBER(SEARCH(republicantrigger,C12)))&gt;0)</f>
        <v>1</v>
      </c>
      <c r="Z12" s="35" cm="1">
        <f t="array" ref="Z12">INT(SUMPRODUCT(--ISNUMBER(SEARCH(bipartisan,C12)))&gt;0)</f>
        <v>0</v>
      </c>
      <c r="AA12" s="35">
        <f t="shared" si="0"/>
        <v>0</v>
      </c>
      <c r="AB12" s="14"/>
      <c r="AC12" s="30" t="s">
        <v>223</v>
      </c>
      <c r="AD12" s="37" t="s">
        <v>223</v>
      </c>
    </row>
    <row r="13" spans="1:30" x14ac:dyDescent="0.25">
      <c r="A13" s="36">
        <v>2519</v>
      </c>
      <c r="B13" s="14" t="s">
        <v>5063</v>
      </c>
      <c r="C13" s="14" t="s">
        <v>5064</v>
      </c>
      <c r="D13" s="17">
        <v>44137</v>
      </c>
      <c r="E13" s="14" t="s">
        <v>30</v>
      </c>
      <c r="F13" s="14">
        <v>234</v>
      </c>
      <c r="G13" s="14">
        <v>105</v>
      </c>
      <c r="H13" s="14">
        <v>12</v>
      </c>
      <c r="I13" s="14">
        <v>6</v>
      </c>
      <c r="J13" s="14" t="s">
        <v>31</v>
      </c>
      <c r="K13" s="14" cm="1">
        <f t="array" ref="K13">INT(SUMPRODUCT(--ISNUMBER(SEARCH(economy,C13)))&gt;0)</f>
        <v>0</v>
      </c>
      <c r="L13" s="14" cm="1">
        <f t="array" ref="L13">INT(SUMPRODUCT(--ISNUMBER(SEARCH(healthcare,C13)))&gt;0)</f>
        <v>0</v>
      </c>
      <c r="M13" s="14" cm="1">
        <f t="array" ref="M13">INT(SUMPRODUCT(--ISNUMBER(SEARCH(supreme,C13)))&gt;0)</f>
        <v>0</v>
      </c>
      <c r="N13" s="14" cm="1">
        <f t="array" ref="N13">INT(SUMPRODUCT(--ISNUMBER(SEARCH(covid,C13)))&gt;0)</f>
        <v>0</v>
      </c>
      <c r="O13" s="14" cm="1">
        <f t="array" ref="O13">INT(SUMPRODUCT(--ISNUMBER(SEARCH(violent,C13)))&gt;0)</f>
        <v>0</v>
      </c>
      <c r="P13" s="14" cm="1">
        <f t="array" ref="P13">INT(SUMPRODUCT(--ISNUMBER(SEARCH(foreign,C13)))&gt;0)</f>
        <v>0</v>
      </c>
      <c r="Q13" s="14" cm="1">
        <f t="array" ref="Q13">INT(SUMPRODUCT(--ISNUMBER(SEARCH(gun,C13)))&gt;0)</f>
        <v>0</v>
      </c>
      <c r="R13" s="14" cm="1">
        <f t="array" ref="R13">INT(SUMPRODUCT(--ISNUMBER(SEARCH(race,C13)))&gt;0)</f>
        <v>0</v>
      </c>
      <c r="S13" s="14" cm="1">
        <f t="array" ref="S13">INT(SUMPRODUCT(--ISNUMBER(SEARCH(immigration,C13)))&gt;0)</f>
        <v>0</v>
      </c>
      <c r="T13" s="14" cm="1">
        <f t="array" ref="T13">INT(SUMPRODUCT(--ISNUMBER(SEARCH(econineq,C14)))&gt;0)</f>
        <v>0</v>
      </c>
      <c r="U13" s="14" cm="1">
        <f t="array" ref="U13">INT(SUMPRODUCT(--ISNUMBER(SEARCH(climate,C13)))&gt;0)</f>
        <v>0</v>
      </c>
      <c r="V13" s="14" cm="1">
        <f t="array" ref="V13">INT(SUMPRODUCT(--ISNUMBER(SEARCH(abortion,C13)))&gt;0)</f>
        <v>0</v>
      </c>
      <c r="W13" s="14" cm="1">
        <f t="array" ref="W13">INT(SUMPRODUCT(--ISNUMBER(SEARCH(trump,C13)))&gt;0)</f>
        <v>1</v>
      </c>
      <c r="X13" s="14" cm="1">
        <f t="array" ref="X13">INT(SUMPRODUCT(--ISNUMBER(SEARCH(voting,C13)))&gt;0)</f>
        <v>1</v>
      </c>
      <c r="Y13" s="35" cm="1">
        <f t="array" ref="Y13">INT(SUMPRODUCT(--ISNUMBER(SEARCH(republicantrigger,C13)))&gt;0)</f>
        <v>0</v>
      </c>
      <c r="Z13" s="35" cm="1">
        <f t="array" ref="Z13">INT(SUMPRODUCT(--ISNUMBER(SEARCH(bipartisan,C13)))&gt;0)</f>
        <v>0</v>
      </c>
      <c r="AA13" s="35">
        <f t="shared" si="0"/>
        <v>0</v>
      </c>
      <c r="AB13" s="14"/>
      <c r="AC13" s="30" t="s">
        <v>223</v>
      </c>
      <c r="AD13" s="37" t="s">
        <v>223</v>
      </c>
    </row>
    <row r="14" spans="1:30" x14ac:dyDescent="0.25">
      <c r="A14" s="36">
        <v>2520</v>
      </c>
      <c r="B14" s="14" t="s">
        <v>5065</v>
      </c>
      <c r="C14" s="14" t="s">
        <v>5066</v>
      </c>
      <c r="D14" s="17">
        <v>44137</v>
      </c>
      <c r="E14" s="14" t="s">
        <v>30</v>
      </c>
      <c r="F14" s="14">
        <v>110</v>
      </c>
      <c r="G14" s="14">
        <v>33</v>
      </c>
      <c r="H14" s="14">
        <v>12</v>
      </c>
      <c r="I14" s="14">
        <v>6</v>
      </c>
      <c r="J14" s="14" t="s">
        <v>31</v>
      </c>
      <c r="K14" s="14" cm="1">
        <f t="array" ref="K14">INT(SUMPRODUCT(--ISNUMBER(SEARCH(economy,C14)))&gt;0)</f>
        <v>0</v>
      </c>
      <c r="L14" s="14" cm="1">
        <f t="array" ref="L14">INT(SUMPRODUCT(--ISNUMBER(SEARCH(healthcare,C14)))&gt;0)</f>
        <v>0</v>
      </c>
      <c r="M14" s="14" cm="1">
        <f t="array" ref="M14">INT(SUMPRODUCT(--ISNUMBER(SEARCH(supreme,C14)))&gt;0)</f>
        <v>0</v>
      </c>
      <c r="N14" s="14" cm="1">
        <f t="array" ref="N14">INT(SUMPRODUCT(--ISNUMBER(SEARCH(covid,C14)))&gt;0)</f>
        <v>0</v>
      </c>
      <c r="O14" s="14" cm="1">
        <f t="array" ref="O14">INT(SUMPRODUCT(--ISNUMBER(SEARCH(violent,C14)))&gt;0)</f>
        <v>0</v>
      </c>
      <c r="P14" s="14" cm="1">
        <f t="array" ref="P14">INT(SUMPRODUCT(--ISNUMBER(SEARCH(foreign,C14)))&gt;0)</f>
        <v>0</v>
      </c>
      <c r="Q14" s="14" cm="1">
        <f t="array" ref="Q14">INT(SUMPRODUCT(--ISNUMBER(SEARCH(gun,C14)))&gt;0)</f>
        <v>0</v>
      </c>
      <c r="R14" s="14" cm="1">
        <f t="array" ref="R14">INT(SUMPRODUCT(--ISNUMBER(SEARCH(race,C14)))&gt;0)</f>
        <v>0</v>
      </c>
      <c r="S14" s="14" cm="1">
        <f t="array" ref="S14">INT(SUMPRODUCT(--ISNUMBER(SEARCH(immigration,C14)))&gt;0)</f>
        <v>0</v>
      </c>
      <c r="T14" s="14" cm="1">
        <f t="array" ref="T14">INT(SUMPRODUCT(--ISNUMBER(SEARCH(econineq,C15)))&gt;0)</f>
        <v>0</v>
      </c>
      <c r="U14" s="14" cm="1">
        <f t="array" ref="U14">INT(SUMPRODUCT(--ISNUMBER(SEARCH(climate,C14)))&gt;0)</f>
        <v>1</v>
      </c>
      <c r="V14" s="14" cm="1">
        <f t="array" ref="V14">INT(SUMPRODUCT(--ISNUMBER(SEARCH(abortion,C14)))&gt;0)</f>
        <v>0</v>
      </c>
      <c r="W14" s="14" cm="1">
        <f t="array" ref="W14">INT(SUMPRODUCT(--ISNUMBER(SEARCH(trump,C14)))&gt;0)</f>
        <v>1</v>
      </c>
      <c r="X14" s="14" cm="1">
        <f t="array" ref="X14">INT(SUMPRODUCT(--ISNUMBER(SEARCH(voting,C14)))&gt;0)</f>
        <v>0</v>
      </c>
      <c r="Y14" s="35" cm="1">
        <f t="array" ref="Y14">INT(SUMPRODUCT(--ISNUMBER(SEARCH(republicantrigger,C14)))&gt;0)</f>
        <v>1</v>
      </c>
      <c r="Z14" s="35" cm="1">
        <f t="array" ref="Z14">INT(SUMPRODUCT(--ISNUMBER(SEARCH(bipartisan,C14)))&gt;0)</f>
        <v>0</v>
      </c>
      <c r="AA14" s="35">
        <f t="shared" si="0"/>
        <v>0</v>
      </c>
      <c r="AB14" s="14"/>
      <c r="AC14" s="30" t="s">
        <v>223</v>
      </c>
      <c r="AD14" s="37" t="s">
        <v>223</v>
      </c>
    </row>
    <row r="15" spans="1:30" x14ac:dyDescent="0.25">
      <c r="A15" s="36">
        <v>2521</v>
      </c>
      <c r="B15" s="14" t="s">
        <v>5067</v>
      </c>
      <c r="C15" s="14" t="s">
        <v>5068</v>
      </c>
      <c r="D15" s="17">
        <v>44137</v>
      </c>
      <c r="E15" s="14" t="s">
        <v>30</v>
      </c>
      <c r="F15" s="14">
        <v>50</v>
      </c>
      <c r="G15" s="14">
        <v>13</v>
      </c>
      <c r="H15" s="14">
        <v>12</v>
      </c>
      <c r="I15" s="14">
        <v>6</v>
      </c>
      <c r="J15" s="14" t="s">
        <v>31</v>
      </c>
      <c r="K15" s="14" cm="1">
        <f t="array" ref="K15">INT(SUMPRODUCT(--ISNUMBER(SEARCH(economy,C15)))&gt;0)</f>
        <v>0</v>
      </c>
      <c r="L15" s="14" cm="1">
        <f t="array" ref="L15">INT(SUMPRODUCT(--ISNUMBER(SEARCH(healthcare,C15)))&gt;0)</f>
        <v>0</v>
      </c>
      <c r="M15" s="14" cm="1">
        <f t="array" ref="M15">INT(SUMPRODUCT(--ISNUMBER(SEARCH(supreme,C15)))&gt;0)</f>
        <v>0</v>
      </c>
      <c r="N15" s="14" cm="1">
        <f t="array" ref="N15">INT(SUMPRODUCT(--ISNUMBER(SEARCH(covid,C15)))&gt;0)</f>
        <v>0</v>
      </c>
      <c r="O15" s="14" cm="1">
        <f t="array" ref="O15">INT(SUMPRODUCT(--ISNUMBER(SEARCH(violent,C15)))&gt;0)</f>
        <v>0</v>
      </c>
      <c r="P15" s="14" cm="1">
        <f t="array" ref="P15">INT(SUMPRODUCT(--ISNUMBER(SEARCH(foreign,C15)))&gt;0)</f>
        <v>0</v>
      </c>
      <c r="Q15" s="14" cm="1">
        <f t="array" ref="Q15">INT(SUMPRODUCT(--ISNUMBER(SEARCH(gun,C15)))&gt;0)</f>
        <v>0</v>
      </c>
      <c r="R15" s="14" cm="1">
        <f t="array" ref="R15">INT(SUMPRODUCT(--ISNUMBER(SEARCH(race,C15)))&gt;0)</f>
        <v>0</v>
      </c>
      <c r="S15" s="14" cm="1">
        <f t="array" ref="S15">INT(SUMPRODUCT(--ISNUMBER(SEARCH(immigration,C15)))&gt;0)</f>
        <v>0</v>
      </c>
      <c r="T15" s="14" cm="1">
        <f t="array" ref="T15">INT(SUMPRODUCT(--ISNUMBER(SEARCH(econineq,C16)))&gt;0)</f>
        <v>0</v>
      </c>
      <c r="U15" s="14" cm="1">
        <f t="array" ref="U15">INT(SUMPRODUCT(--ISNUMBER(SEARCH(climate,C15)))&gt;0)</f>
        <v>0</v>
      </c>
      <c r="V15" s="14" cm="1">
        <f t="array" ref="V15">INT(SUMPRODUCT(--ISNUMBER(SEARCH(abortion,C15)))&gt;0)</f>
        <v>0</v>
      </c>
      <c r="W15" s="14" cm="1">
        <f t="array" ref="W15">INT(SUMPRODUCT(--ISNUMBER(SEARCH(trump,C15)))&gt;0)</f>
        <v>0</v>
      </c>
      <c r="X15" s="14" cm="1">
        <f t="array" ref="X15">INT(SUMPRODUCT(--ISNUMBER(SEARCH(voting,C15)))&gt;0)</f>
        <v>0</v>
      </c>
      <c r="Y15" s="35" cm="1">
        <f t="array" ref="Y15">INT(SUMPRODUCT(--ISNUMBER(SEARCH(republicantrigger,C15)))&gt;0)</f>
        <v>0</v>
      </c>
      <c r="Z15" s="35" cm="1">
        <f t="array" ref="Z15">INT(SUMPRODUCT(--ISNUMBER(SEARCH(bipartisan,C15)))&gt;0)</f>
        <v>0</v>
      </c>
      <c r="AA15" s="35">
        <f t="shared" si="0"/>
        <v>1</v>
      </c>
      <c r="AB15" s="14"/>
      <c r="AC15" s="30" t="s">
        <v>223</v>
      </c>
      <c r="AD15" s="37" t="s">
        <v>223</v>
      </c>
    </row>
    <row r="16" spans="1:30" x14ac:dyDescent="0.25">
      <c r="A16" s="36">
        <v>2522</v>
      </c>
      <c r="B16" s="14" t="s">
        <v>5069</v>
      </c>
      <c r="C16" s="14" t="s">
        <v>5070</v>
      </c>
      <c r="D16" s="17">
        <v>44137</v>
      </c>
      <c r="E16" s="14" t="s">
        <v>30</v>
      </c>
      <c r="F16" s="14">
        <v>159</v>
      </c>
      <c r="G16" s="14">
        <v>53</v>
      </c>
      <c r="H16" s="14">
        <v>12</v>
      </c>
      <c r="I16" s="14">
        <v>6</v>
      </c>
      <c r="J16" s="14" t="s">
        <v>31</v>
      </c>
      <c r="K16" s="14" cm="1">
        <f t="array" ref="K16">INT(SUMPRODUCT(--ISNUMBER(SEARCH(economy,C16)))&gt;0)</f>
        <v>0</v>
      </c>
      <c r="L16" s="14" cm="1">
        <f t="array" ref="L16">INT(SUMPRODUCT(--ISNUMBER(SEARCH(healthcare,C16)))&gt;0)</f>
        <v>0</v>
      </c>
      <c r="M16" s="14" cm="1">
        <f t="array" ref="M16">INT(SUMPRODUCT(--ISNUMBER(SEARCH(supreme,C16)))&gt;0)</f>
        <v>0</v>
      </c>
      <c r="N16" s="14" cm="1">
        <f t="array" ref="N16">INT(SUMPRODUCT(--ISNUMBER(SEARCH(covid,C16)))&gt;0)</f>
        <v>0</v>
      </c>
      <c r="O16" s="14" cm="1">
        <f t="array" ref="O16">INT(SUMPRODUCT(--ISNUMBER(SEARCH(violent,C16)))&gt;0)</f>
        <v>0</v>
      </c>
      <c r="P16" s="14" cm="1">
        <f t="array" ref="P16">INT(SUMPRODUCT(--ISNUMBER(SEARCH(foreign,C16)))&gt;0)</f>
        <v>0</v>
      </c>
      <c r="Q16" s="14" cm="1">
        <f t="array" ref="Q16">INT(SUMPRODUCT(--ISNUMBER(SEARCH(gun,C16)))&gt;0)</f>
        <v>0</v>
      </c>
      <c r="R16" s="14" cm="1">
        <f t="array" ref="R16">INT(SUMPRODUCT(--ISNUMBER(SEARCH(race,C16)))&gt;0)</f>
        <v>0</v>
      </c>
      <c r="S16" s="14" cm="1">
        <f t="array" ref="S16">INT(SUMPRODUCT(--ISNUMBER(SEARCH(immigration,C16)))&gt;0)</f>
        <v>0</v>
      </c>
      <c r="T16" s="14" cm="1">
        <f t="array" ref="T16">INT(SUMPRODUCT(--ISNUMBER(SEARCH(econineq,C17)))&gt;0)</f>
        <v>0</v>
      </c>
      <c r="U16" s="14" cm="1">
        <f t="array" ref="U16">INT(SUMPRODUCT(--ISNUMBER(SEARCH(climate,C16)))&gt;0)</f>
        <v>0</v>
      </c>
      <c r="V16" s="14" cm="1">
        <f t="array" ref="V16">INT(SUMPRODUCT(--ISNUMBER(SEARCH(abortion,C16)))&gt;0)</f>
        <v>0</v>
      </c>
      <c r="W16" s="14" cm="1">
        <f t="array" ref="W16">INT(SUMPRODUCT(--ISNUMBER(SEARCH(trump,C16)))&gt;0)</f>
        <v>0</v>
      </c>
      <c r="X16" s="14" cm="1">
        <f t="array" ref="X16">INT(SUMPRODUCT(--ISNUMBER(SEARCH(voting,C16)))&gt;0)</f>
        <v>0</v>
      </c>
      <c r="Y16" s="35" cm="1">
        <f t="array" ref="Y16">INT(SUMPRODUCT(--ISNUMBER(SEARCH(republicantrigger,C16)))&gt;0)</f>
        <v>1</v>
      </c>
      <c r="Z16" s="35" cm="1">
        <f t="array" ref="Z16">INT(SUMPRODUCT(--ISNUMBER(SEARCH(bipartisan,C16)))&gt;0)</f>
        <v>0</v>
      </c>
      <c r="AA16" s="35">
        <f t="shared" si="0"/>
        <v>0</v>
      </c>
      <c r="AB16" s="14"/>
      <c r="AC16" s="30" t="s">
        <v>223</v>
      </c>
      <c r="AD16" s="37" t="s">
        <v>223</v>
      </c>
    </row>
    <row r="17" spans="1:30" x14ac:dyDescent="0.25">
      <c r="A17" s="36">
        <v>2523</v>
      </c>
      <c r="B17" s="14" t="s">
        <v>5071</v>
      </c>
      <c r="C17" s="14" t="s">
        <v>5072</v>
      </c>
      <c r="D17" s="17">
        <v>44137</v>
      </c>
      <c r="E17" s="14" t="s">
        <v>30</v>
      </c>
      <c r="F17" s="14">
        <v>204</v>
      </c>
      <c r="G17" s="14">
        <v>59</v>
      </c>
      <c r="H17" s="14">
        <v>12</v>
      </c>
      <c r="I17" s="14">
        <v>6</v>
      </c>
      <c r="J17" s="14" t="s">
        <v>31</v>
      </c>
      <c r="K17" s="14" cm="1">
        <f t="array" ref="K17">INT(SUMPRODUCT(--ISNUMBER(SEARCH(economy,C17)))&gt;0)</f>
        <v>0</v>
      </c>
      <c r="L17" s="14" cm="1">
        <f t="array" ref="L17">INT(SUMPRODUCT(--ISNUMBER(SEARCH(healthcare,C17)))&gt;0)</f>
        <v>0</v>
      </c>
      <c r="M17" s="14" cm="1">
        <f t="array" ref="M17">INT(SUMPRODUCT(--ISNUMBER(SEARCH(supreme,C17)))&gt;0)</f>
        <v>0</v>
      </c>
      <c r="N17" s="14" cm="1">
        <f t="array" ref="N17">INT(SUMPRODUCT(--ISNUMBER(SEARCH(covid,C17)))&gt;0)</f>
        <v>0</v>
      </c>
      <c r="O17" s="14" cm="1">
        <f t="array" ref="O17">INT(SUMPRODUCT(--ISNUMBER(SEARCH(violent,C17)))&gt;0)</f>
        <v>0</v>
      </c>
      <c r="P17" s="14" cm="1">
        <f t="array" ref="P17">INT(SUMPRODUCT(--ISNUMBER(SEARCH(foreign,C17)))&gt;0)</f>
        <v>0</v>
      </c>
      <c r="Q17" s="14" cm="1">
        <f t="array" ref="Q17">INT(SUMPRODUCT(--ISNUMBER(SEARCH(gun,C17)))&gt;0)</f>
        <v>0</v>
      </c>
      <c r="R17" s="14" cm="1">
        <f t="array" ref="R17">INT(SUMPRODUCT(--ISNUMBER(SEARCH(race,C17)))&gt;0)</f>
        <v>0</v>
      </c>
      <c r="S17" s="14" cm="1">
        <f t="array" ref="S17">INT(SUMPRODUCT(--ISNUMBER(SEARCH(immigration,C17)))&gt;0)</f>
        <v>0</v>
      </c>
      <c r="T17" s="14" cm="1">
        <f t="array" ref="T17">INT(SUMPRODUCT(--ISNUMBER(SEARCH(econineq,C18)))&gt;0)</f>
        <v>0</v>
      </c>
      <c r="U17" s="14" cm="1">
        <f t="array" ref="U17">INT(SUMPRODUCT(--ISNUMBER(SEARCH(climate,C17)))&gt;0)</f>
        <v>0</v>
      </c>
      <c r="V17" s="14" cm="1">
        <f t="array" ref="V17">INT(SUMPRODUCT(--ISNUMBER(SEARCH(abortion,C17)))&gt;0)</f>
        <v>0</v>
      </c>
      <c r="W17" s="14" cm="1">
        <f t="array" ref="W17">INT(SUMPRODUCT(--ISNUMBER(SEARCH(trump,C17)))&gt;0)</f>
        <v>0</v>
      </c>
      <c r="X17" s="14" cm="1">
        <f t="array" ref="X17">INT(SUMPRODUCT(--ISNUMBER(SEARCH(voting,C17)))&gt;0)</f>
        <v>0</v>
      </c>
      <c r="Y17" s="35" cm="1">
        <f t="array" ref="Y17">INT(SUMPRODUCT(--ISNUMBER(SEARCH(republicantrigger,C17)))&gt;0)</f>
        <v>1</v>
      </c>
      <c r="Z17" s="35" cm="1">
        <f t="array" ref="Z17">INT(SUMPRODUCT(--ISNUMBER(SEARCH(bipartisan,C17)))&gt;0)</f>
        <v>0</v>
      </c>
      <c r="AA17" s="35">
        <f t="shared" si="0"/>
        <v>0</v>
      </c>
      <c r="AB17" s="14"/>
      <c r="AC17" s="30" t="s">
        <v>223</v>
      </c>
      <c r="AD17" s="37" t="s">
        <v>223</v>
      </c>
    </row>
    <row r="18" spans="1:30" x14ac:dyDescent="0.25">
      <c r="A18" s="36">
        <v>2524</v>
      </c>
      <c r="B18" s="14" t="s">
        <v>5073</v>
      </c>
      <c r="C18" s="14" t="s">
        <v>5074</v>
      </c>
      <c r="D18" s="17">
        <v>44137</v>
      </c>
      <c r="E18" s="14" t="s">
        <v>30</v>
      </c>
      <c r="F18" s="14">
        <v>250</v>
      </c>
      <c r="G18" s="14">
        <v>72</v>
      </c>
      <c r="H18" s="14">
        <v>12</v>
      </c>
      <c r="I18" s="14">
        <v>6</v>
      </c>
      <c r="J18" s="14" t="s">
        <v>31</v>
      </c>
      <c r="K18" s="14" cm="1">
        <f t="array" ref="K18">INT(SUMPRODUCT(--ISNUMBER(SEARCH(economy,C18)))&gt;0)</f>
        <v>0</v>
      </c>
      <c r="L18" s="14" cm="1">
        <f t="array" ref="L18">INT(SUMPRODUCT(--ISNUMBER(SEARCH(healthcare,C18)))&gt;0)</f>
        <v>0</v>
      </c>
      <c r="M18" s="14" cm="1">
        <f t="array" ref="M18">INT(SUMPRODUCT(--ISNUMBER(SEARCH(supreme,C18)))&gt;0)</f>
        <v>0</v>
      </c>
      <c r="N18" s="14" cm="1">
        <f t="array" ref="N18">INT(SUMPRODUCT(--ISNUMBER(SEARCH(covid,C18)))&gt;0)</f>
        <v>0</v>
      </c>
      <c r="O18" s="14" cm="1">
        <f t="array" ref="O18">INT(SUMPRODUCT(--ISNUMBER(SEARCH(violent,C18)))&gt;0)</f>
        <v>0</v>
      </c>
      <c r="P18" s="14" cm="1">
        <f t="array" ref="P18">INT(SUMPRODUCT(--ISNUMBER(SEARCH(foreign,C18)))&gt;0)</f>
        <v>0</v>
      </c>
      <c r="Q18" s="14" cm="1">
        <f t="array" ref="Q18">INT(SUMPRODUCT(--ISNUMBER(SEARCH(gun,C18)))&gt;0)</f>
        <v>0</v>
      </c>
      <c r="R18" s="14" cm="1">
        <f t="array" ref="R18">INT(SUMPRODUCT(--ISNUMBER(SEARCH(race,C18)))&gt;0)</f>
        <v>0</v>
      </c>
      <c r="S18" s="14" cm="1">
        <f t="array" ref="S18">INT(SUMPRODUCT(--ISNUMBER(SEARCH(immigration,C18)))&gt;0)</f>
        <v>0</v>
      </c>
      <c r="T18" s="14" cm="1">
        <f t="array" ref="T18">INT(SUMPRODUCT(--ISNUMBER(SEARCH(econineq,C19)))&gt;0)</f>
        <v>0</v>
      </c>
      <c r="U18" s="14" cm="1">
        <f t="array" ref="U18">INT(SUMPRODUCT(--ISNUMBER(SEARCH(climate,C18)))&gt;0)</f>
        <v>0</v>
      </c>
      <c r="V18" s="14" cm="1">
        <f t="array" ref="V18">INT(SUMPRODUCT(--ISNUMBER(SEARCH(abortion,C18)))&gt;0)</f>
        <v>0</v>
      </c>
      <c r="W18" s="14" cm="1">
        <f t="array" ref="W18">INT(SUMPRODUCT(--ISNUMBER(SEARCH(trump,C18)))&gt;0)</f>
        <v>0</v>
      </c>
      <c r="X18" s="14" cm="1">
        <f t="array" ref="X18">INT(SUMPRODUCT(--ISNUMBER(SEARCH(voting,C18)))&gt;0)</f>
        <v>1</v>
      </c>
      <c r="Y18" s="35" cm="1">
        <f t="array" ref="Y18">INT(SUMPRODUCT(--ISNUMBER(SEARCH(republicantrigger,C18)))&gt;0)</f>
        <v>1</v>
      </c>
      <c r="Z18" s="35" cm="1">
        <f t="array" ref="Z18">INT(SUMPRODUCT(--ISNUMBER(SEARCH(bipartisan,C18)))&gt;0)</f>
        <v>0</v>
      </c>
      <c r="AA18" s="35">
        <f t="shared" si="0"/>
        <v>0</v>
      </c>
      <c r="AB18" s="14"/>
      <c r="AC18" s="30" t="s">
        <v>223</v>
      </c>
      <c r="AD18" s="37" t="s">
        <v>223</v>
      </c>
    </row>
    <row r="19" spans="1:30" x14ac:dyDescent="0.25">
      <c r="A19" s="36">
        <v>2525</v>
      </c>
      <c r="B19" s="14" t="s">
        <v>5075</v>
      </c>
      <c r="C19" s="14" t="s">
        <v>5076</v>
      </c>
      <c r="D19" s="17">
        <v>44137</v>
      </c>
      <c r="E19" s="14" t="s">
        <v>30</v>
      </c>
      <c r="F19" s="14">
        <v>46</v>
      </c>
      <c r="G19" s="14">
        <v>9</v>
      </c>
      <c r="H19" s="14">
        <v>12</v>
      </c>
      <c r="I19" s="14">
        <v>6</v>
      </c>
      <c r="J19" s="14" t="s">
        <v>31</v>
      </c>
      <c r="K19" s="14" cm="1">
        <f t="array" ref="K19">INT(SUMPRODUCT(--ISNUMBER(SEARCH(economy,C19)))&gt;0)</f>
        <v>1</v>
      </c>
      <c r="L19" s="14" cm="1">
        <f t="array" ref="L19">INT(SUMPRODUCT(--ISNUMBER(SEARCH(healthcare,C19)))&gt;0)</f>
        <v>0</v>
      </c>
      <c r="M19" s="14" cm="1">
        <f t="array" ref="M19">INT(SUMPRODUCT(--ISNUMBER(SEARCH(supreme,C19)))&gt;0)</f>
        <v>0</v>
      </c>
      <c r="N19" s="14" cm="1">
        <f t="array" ref="N19">INT(SUMPRODUCT(--ISNUMBER(SEARCH(covid,C19)))&gt;0)</f>
        <v>0</v>
      </c>
      <c r="O19" s="14" cm="1">
        <f t="array" ref="O19">INT(SUMPRODUCT(--ISNUMBER(SEARCH(violent,C19)))&gt;0)</f>
        <v>0</v>
      </c>
      <c r="P19" s="14" cm="1">
        <f t="array" ref="P19">INT(SUMPRODUCT(--ISNUMBER(SEARCH(foreign,C19)))&gt;0)</f>
        <v>0</v>
      </c>
      <c r="Q19" s="14" cm="1">
        <f t="array" ref="Q19">INT(SUMPRODUCT(--ISNUMBER(SEARCH(gun,C19)))&gt;0)</f>
        <v>1</v>
      </c>
      <c r="R19" s="14" cm="1">
        <f t="array" ref="R19">INT(SUMPRODUCT(--ISNUMBER(SEARCH(race,C19)))&gt;0)</f>
        <v>0</v>
      </c>
      <c r="S19" s="14" cm="1">
        <f t="array" ref="S19">INT(SUMPRODUCT(--ISNUMBER(SEARCH(immigration,C19)))&gt;0)</f>
        <v>0</v>
      </c>
      <c r="T19" s="14" cm="1">
        <f t="array" ref="T19">INT(SUMPRODUCT(--ISNUMBER(SEARCH(econineq,C20)))&gt;0)</f>
        <v>0</v>
      </c>
      <c r="U19" s="14" cm="1">
        <f t="array" ref="U19">INT(SUMPRODUCT(--ISNUMBER(SEARCH(climate,C19)))&gt;0)</f>
        <v>0</v>
      </c>
      <c r="V19" s="14" cm="1">
        <f t="array" ref="V19">INT(SUMPRODUCT(--ISNUMBER(SEARCH(abortion,C19)))&gt;0)</f>
        <v>0</v>
      </c>
      <c r="W19" s="14" cm="1">
        <f t="array" ref="W19">INT(SUMPRODUCT(--ISNUMBER(SEARCH(trump,C19)))&gt;0)</f>
        <v>1</v>
      </c>
      <c r="X19" s="14" cm="1">
        <f t="array" ref="X19">INT(SUMPRODUCT(--ISNUMBER(SEARCH(voting,C19)))&gt;0)</f>
        <v>1</v>
      </c>
      <c r="Y19" s="35" cm="1">
        <f t="array" ref="Y19">INT(SUMPRODUCT(--ISNUMBER(SEARCH(republicantrigger,C19)))&gt;0)</f>
        <v>0</v>
      </c>
      <c r="Z19" s="35" cm="1">
        <f t="array" ref="Z19">INT(SUMPRODUCT(--ISNUMBER(SEARCH(bipartisan,C19)))&gt;0)</f>
        <v>0</v>
      </c>
      <c r="AA19" s="35">
        <f t="shared" si="0"/>
        <v>0</v>
      </c>
      <c r="AB19" s="14"/>
      <c r="AC19" s="30" t="s">
        <v>223</v>
      </c>
      <c r="AD19" s="37" t="s">
        <v>223</v>
      </c>
    </row>
    <row r="20" spans="1:30" x14ac:dyDescent="0.25">
      <c r="A20" s="36">
        <v>2526</v>
      </c>
      <c r="B20" s="14" t="s">
        <v>5077</v>
      </c>
      <c r="C20" s="14" t="s">
        <v>5078</v>
      </c>
      <c r="D20" s="17">
        <v>44137</v>
      </c>
      <c r="E20" s="14" t="s">
        <v>30</v>
      </c>
      <c r="F20" s="14">
        <v>30</v>
      </c>
      <c r="G20" s="14">
        <v>4</v>
      </c>
      <c r="H20" s="14">
        <v>12</v>
      </c>
      <c r="I20" s="14">
        <v>6</v>
      </c>
      <c r="J20" s="14" t="s">
        <v>31</v>
      </c>
      <c r="K20" s="14" cm="1">
        <f t="array" ref="K20">INT(SUMPRODUCT(--ISNUMBER(SEARCH(economy,C20)))&gt;0)</f>
        <v>0</v>
      </c>
      <c r="L20" s="14" cm="1">
        <f t="array" ref="L20">INT(SUMPRODUCT(--ISNUMBER(SEARCH(healthcare,C20)))&gt;0)</f>
        <v>0</v>
      </c>
      <c r="M20" s="14" cm="1">
        <f t="array" ref="M20">INT(SUMPRODUCT(--ISNUMBER(SEARCH(supreme,C20)))&gt;0)</f>
        <v>0</v>
      </c>
      <c r="N20" s="14" cm="1">
        <f t="array" ref="N20">INT(SUMPRODUCT(--ISNUMBER(SEARCH(covid,C20)))&gt;0)</f>
        <v>0</v>
      </c>
      <c r="O20" s="14" cm="1">
        <f t="array" ref="O20">INT(SUMPRODUCT(--ISNUMBER(SEARCH(violent,C20)))&gt;0)</f>
        <v>0</v>
      </c>
      <c r="P20" s="14" cm="1">
        <f t="array" ref="P20">INT(SUMPRODUCT(--ISNUMBER(SEARCH(foreign,C20)))&gt;0)</f>
        <v>0</v>
      </c>
      <c r="Q20" s="14" cm="1">
        <f t="array" ref="Q20">INT(SUMPRODUCT(--ISNUMBER(SEARCH(gun,C20)))&gt;0)</f>
        <v>0</v>
      </c>
      <c r="R20" s="14" cm="1">
        <f t="array" ref="R20">INT(SUMPRODUCT(--ISNUMBER(SEARCH(race,C20)))&gt;0)</f>
        <v>0</v>
      </c>
      <c r="S20" s="14" cm="1">
        <f t="array" ref="S20">INT(SUMPRODUCT(--ISNUMBER(SEARCH(immigration,C20)))&gt;0)</f>
        <v>0</v>
      </c>
      <c r="T20" s="14" cm="1">
        <f t="array" ref="T20">INT(SUMPRODUCT(--ISNUMBER(SEARCH(econineq,C21)))&gt;0)</f>
        <v>0</v>
      </c>
      <c r="U20" s="14" cm="1">
        <f t="array" ref="U20">INT(SUMPRODUCT(--ISNUMBER(SEARCH(climate,C20)))&gt;0)</f>
        <v>0</v>
      </c>
      <c r="V20" s="14" cm="1">
        <f t="array" ref="V20">INT(SUMPRODUCT(--ISNUMBER(SEARCH(abortion,C20)))&gt;0)</f>
        <v>0</v>
      </c>
      <c r="W20" s="14" cm="1">
        <f t="array" ref="W20">INT(SUMPRODUCT(--ISNUMBER(SEARCH(trump,C20)))&gt;0)</f>
        <v>0</v>
      </c>
      <c r="X20" s="14" cm="1">
        <f t="array" ref="X20">INT(SUMPRODUCT(--ISNUMBER(SEARCH(voting,C20)))&gt;0)</f>
        <v>1</v>
      </c>
      <c r="Y20" s="35" cm="1">
        <f t="array" ref="Y20">INT(SUMPRODUCT(--ISNUMBER(SEARCH(republicantrigger,C20)))&gt;0)</f>
        <v>0</v>
      </c>
      <c r="Z20" s="35" cm="1">
        <f t="array" ref="Z20">INT(SUMPRODUCT(--ISNUMBER(SEARCH(bipartisan,C20)))&gt;0)</f>
        <v>0</v>
      </c>
      <c r="AA20" s="35">
        <f t="shared" si="0"/>
        <v>0</v>
      </c>
      <c r="AB20" s="14"/>
      <c r="AC20" s="30" t="s">
        <v>223</v>
      </c>
      <c r="AD20" s="37" t="s">
        <v>223</v>
      </c>
    </row>
    <row r="21" spans="1:30" x14ac:dyDescent="0.25">
      <c r="A21" s="36">
        <v>2527</v>
      </c>
      <c r="B21" s="14" t="s">
        <v>5079</v>
      </c>
      <c r="C21" s="14" t="s">
        <v>5080</v>
      </c>
      <c r="D21" s="17">
        <v>44137</v>
      </c>
      <c r="E21" s="14" t="s">
        <v>30</v>
      </c>
      <c r="F21" s="14">
        <v>309</v>
      </c>
      <c r="G21" s="14">
        <v>65</v>
      </c>
      <c r="H21" s="14">
        <v>12</v>
      </c>
      <c r="I21" s="14">
        <v>6</v>
      </c>
      <c r="J21" s="14" t="s">
        <v>31</v>
      </c>
      <c r="K21" s="14" cm="1">
        <f t="array" ref="K21">INT(SUMPRODUCT(--ISNUMBER(SEARCH(economy,C21)))&gt;0)</f>
        <v>0</v>
      </c>
      <c r="L21" s="14" cm="1">
        <f t="array" ref="L21">INT(SUMPRODUCT(--ISNUMBER(SEARCH(healthcare,C21)))&gt;0)</f>
        <v>0</v>
      </c>
      <c r="M21" s="14" cm="1">
        <f t="array" ref="M21">INT(SUMPRODUCT(--ISNUMBER(SEARCH(supreme,C21)))&gt;0)</f>
        <v>0</v>
      </c>
      <c r="N21" s="14" cm="1">
        <f t="array" ref="N21">INT(SUMPRODUCT(--ISNUMBER(SEARCH(covid,C21)))&gt;0)</f>
        <v>0</v>
      </c>
      <c r="O21" s="14" cm="1">
        <f t="array" ref="O21">INT(SUMPRODUCT(--ISNUMBER(SEARCH(violent,C21)))&gt;0)</f>
        <v>0</v>
      </c>
      <c r="P21" s="14" cm="1">
        <f t="array" ref="P21">INT(SUMPRODUCT(--ISNUMBER(SEARCH(foreign,C21)))&gt;0)</f>
        <v>0</v>
      </c>
      <c r="Q21" s="14" cm="1">
        <f t="array" ref="Q21">INT(SUMPRODUCT(--ISNUMBER(SEARCH(gun,C21)))&gt;0)</f>
        <v>0</v>
      </c>
      <c r="R21" s="14" cm="1">
        <f t="array" ref="R21">INT(SUMPRODUCT(--ISNUMBER(SEARCH(race,C21)))&gt;0)</f>
        <v>0</v>
      </c>
      <c r="S21" s="14" cm="1">
        <f t="array" ref="S21">INT(SUMPRODUCT(--ISNUMBER(SEARCH(immigration,C21)))&gt;0)</f>
        <v>0</v>
      </c>
      <c r="T21" s="14" cm="1">
        <f t="array" ref="T21">INT(SUMPRODUCT(--ISNUMBER(SEARCH(econineq,C22)))&gt;0)</f>
        <v>0</v>
      </c>
      <c r="U21" s="14" cm="1">
        <f t="array" ref="U21">INT(SUMPRODUCT(--ISNUMBER(SEARCH(climate,C21)))&gt;0)</f>
        <v>0</v>
      </c>
      <c r="V21" s="14" cm="1">
        <f t="array" ref="V21">INT(SUMPRODUCT(--ISNUMBER(SEARCH(abortion,C21)))&gt;0)</f>
        <v>0</v>
      </c>
      <c r="W21" s="14" cm="1">
        <f t="array" ref="W21">INT(SUMPRODUCT(--ISNUMBER(SEARCH(trump,C21)))&gt;0)</f>
        <v>1</v>
      </c>
      <c r="X21" s="14" cm="1">
        <f t="array" ref="X21">INT(SUMPRODUCT(--ISNUMBER(SEARCH(voting,C21)))&gt;0)</f>
        <v>1</v>
      </c>
      <c r="Y21" s="35" cm="1">
        <f t="array" ref="Y21">INT(SUMPRODUCT(--ISNUMBER(SEARCH(republicantrigger,C21)))&gt;0)</f>
        <v>1</v>
      </c>
      <c r="Z21" s="35" cm="1">
        <f t="array" ref="Z21">INT(SUMPRODUCT(--ISNUMBER(SEARCH(bipartisan,C21)))&gt;0)</f>
        <v>0</v>
      </c>
      <c r="AA21" s="35">
        <f t="shared" si="0"/>
        <v>0</v>
      </c>
      <c r="AB21" s="14"/>
      <c r="AC21" s="30" t="s">
        <v>223</v>
      </c>
      <c r="AD21" s="37" t="s">
        <v>223</v>
      </c>
    </row>
    <row r="22" spans="1:30" x14ac:dyDescent="0.25">
      <c r="A22" s="36">
        <v>2528</v>
      </c>
      <c r="B22" s="14" t="s">
        <v>5081</v>
      </c>
      <c r="C22" s="14" t="s">
        <v>5082</v>
      </c>
      <c r="D22" s="17">
        <v>44137</v>
      </c>
      <c r="E22" s="14" t="s">
        <v>30</v>
      </c>
      <c r="F22" s="14">
        <v>126</v>
      </c>
      <c r="G22" s="14">
        <v>28</v>
      </c>
      <c r="H22" s="14">
        <v>12</v>
      </c>
      <c r="I22" s="14">
        <v>6</v>
      </c>
      <c r="J22" s="14" t="s">
        <v>31</v>
      </c>
      <c r="K22" s="14" cm="1">
        <f t="array" ref="K22">INT(SUMPRODUCT(--ISNUMBER(SEARCH(economy,C22)))&gt;0)</f>
        <v>1</v>
      </c>
      <c r="L22" s="14" cm="1">
        <f t="array" ref="L22">INT(SUMPRODUCT(--ISNUMBER(SEARCH(healthcare,C22)))&gt;0)</f>
        <v>0</v>
      </c>
      <c r="M22" s="14" cm="1">
        <f t="array" ref="M22">INT(SUMPRODUCT(--ISNUMBER(SEARCH(supreme,C22)))&gt;0)</f>
        <v>0</v>
      </c>
      <c r="N22" s="14" cm="1">
        <f t="array" ref="N22">INT(SUMPRODUCT(--ISNUMBER(SEARCH(covid,C22)))&gt;0)</f>
        <v>0</v>
      </c>
      <c r="O22" s="14" cm="1">
        <f t="array" ref="O22">INT(SUMPRODUCT(--ISNUMBER(SEARCH(violent,C22)))&gt;0)</f>
        <v>1</v>
      </c>
      <c r="P22" s="14" cm="1">
        <f t="array" ref="P22">INT(SUMPRODUCT(--ISNUMBER(SEARCH(foreign,C22)))&gt;0)</f>
        <v>0</v>
      </c>
      <c r="Q22" s="14" cm="1">
        <f t="array" ref="Q22">INT(SUMPRODUCT(--ISNUMBER(SEARCH(gun,C22)))&gt;0)</f>
        <v>1</v>
      </c>
      <c r="R22" s="14" cm="1">
        <f t="array" ref="R22">INT(SUMPRODUCT(--ISNUMBER(SEARCH(race,C22)))&gt;0)</f>
        <v>1</v>
      </c>
      <c r="S22" s="14" cm="1">
        <f t="array" ref="S22">INT(SUMPRODUCT(--ISNUMBER(SEARCH(immigration,C22)))&gt;0)</f>
        <v>0</v>
      </c>
      <c r="T22" s="14" cm="1">
        <f t="array" ref="T22">INT(SUMPRODUCT(--ISNUMBER(SEARCH(econineq,C23)))&gt;0)</f>
        <v>0</v>
      </c>
      <c r="U22" s="14" cm="1">
        <f t="array" ref="U22">INT(SUMPRODUCT(--ISNUMBER(SEARCH(climate,C22)))&gt;0)</f>
        <v>1</v>
      </c>
      <c r="V22" s="14" cm="1">
        <f t="array" ref="V22">INT(SUMPRODUCT(--ISNUMBER(SEARCH(abortion,C22)))&gt;0)</f>
        <v>0</v>
      </c>
      <c r="W22" s="14" cm="1">
        <f t="array" ref="W22">INT(SUMPRODUCT(--ISNUMBER(SEARCH(trump,C22)))&gt;0)</f>
        <v>0</v>
      </c>
      <c r="X22" s="14" cm="1">
        <f t="array" ref="X22">INT(SUMPRODUCT(--ISNUMBER(SEARCH(voting,C22)))&gt;0)</f>
        <v>0</v>
      </c>
      <c r="Y22" s="35" cm="1">
        <f t="array" ref="Y22">INT(SUMPRODUCT(--ISNUMBER(SEARCH(republicantrigger,C22)))&gt;0)</f>
        <v>1</v>
      </c>
      <c r="Z22" s="35" cm="1">
        <f t="array" ref="Z22">INT(SUMPRODUCT(--ISNUMBER(SEARCH(bipartisan,C22)))&gt;0)</f>
        <v>0</v>
      </c>
      <c r="AA22" s="35">
        <f t="shared" si="0"/>
        <v>0</v>
      </c>
      <c r="AB22" s="14"/>
      <c r="AC22" s="30" t="s">
        <v>223</v>
      </c>
      <c r="AD22" s="37" t="s">
        <v>223</v>
      </c>
    </row>
    <row r="23" spans="1:30" x14ac:dyDescent="0.25">
      <c r="A23" s="36">
        <v>2529</v>
      </c>
      <c r="B23" s="14" t="s">
        <v>5083</v>
      </c>
      <c r="C23" s="14" t="s">
        <v>5084</v>
      </c>
      <c r="D23" s="17">
        <v>44137</v>
      </c>
      <c r="E23" s="14" t="s">
        <v>30</v>
      </c>
      <c r="F23" s="14">
        <v>75</v>
      </c>
      <c r="G23" s="14">
        <v>23</v>
      </c>
      <c r="H23" s="14">
        <v>12</v>
      </c>
      <c r="I23" s="14">
        <v>6</v>
      </c>
      <c r="J23" s="14" t="s">
        <v>31</v>
      </c>
      <c r="K23" s="14" cm="1">
        <f t="array" ref="K23">INT(SUMPRODUCT(--ISNUMBER(SEARCH(economy,C23)))&gt;0)</f>
        <v>1</v>
      </c>
      <c r="L23" s="14" cm="1">
        <f t="array" ref="L23">INT(SUMPRODUCT(--ISNUMBER(SEARCH(healthcare,C23)))&gt;0)</f>
        <v>0</v>
      </c>
      <c r="M23" s="14" cm="1">
        <f t="array" ref="M23">INT(SUMPRODUCT(--ISNUMBER(SEARCH(supreme,C23)))&gt;0)</f>
        <v>0</v>
      </c>
      <c r="N23" s="14" cm="1">
        <f t="array" ref="N23">INT(SUMPRODUCT(--ISNUMBER(SEARCH(covid,C23)))&gt;0)</f>
        <v>0</v>
      </c>
      <c r="O23" s="14" cm="1">
        <f t="array" ref="O23">INT(SUMPRODUCT(--ISNUMBER(SEARCH(violent,C23)))&gt;0)</f>
        <v>0</v>
      </c>
      <c r="P23" s="14" cm="1">
        <f t="array" ref="P23">INT(SUMPRODUCT(--ISNUMBER(SEARCH(foreign,C23)))&gt;0)</f>
        <v>0</v>
      </c>
      <c r="Q23" s="14" cm="1">
        <f t="array" ref="Q23">INT(SUMPRODUCT(--ISNUMBER(SEARCH(gun,C23)))&gt;0)</f>
        <v>1</v>
      </c>
      <c r="R23" s="14" cm="1">
        <f t="array" ref="R23">INT(SUMPRODUCT(--ISNUMBER(SEARCH(race,C23)))&gt;0)</f>
        <v>0</v>
      </c>
      <c r="S23" s="14" cm="1">
        <f t="array" ref="S23">INT(SUMPRODUCT(--ISNUMBER(SEARCH(immigration,C23)))&gt;0)</f>
        <v>0</v>
      </c>
      <c r="T23" s="14" cm="1">
        <f t="array" ref="T23">INT(SUMPRODUCT(--ISNUMBER(SEARCH(econineq,C24)))&gt;0)</f>
        <v>0</v>
      </c>
      <c r="U23" s="14" cm="1">
        <f t="array" ref="U23">INT(SUMPRODUCT(--ISNUMBER(SEARCH(climate,C23)))&gt;0)</f>
        <v>1</v>
      </c>
      <c r="V23" s="14" cm="1">
        <f t="array" ref="V23">INT(SUMPRODUCT(--ISNUMBER(SEARCH(abortion,C23)))&gt;0)</f>
        <v>0</v>
      </c>
      <c r="W23" s="14" cm="1">
        <f t="array" ref="W23">INT(SUMPRODUCT(--ISNUMBER(SEARCH(trump,C23)))&gt;0)</f>
        <v>0</v>
      </c>
      <c r="X23" s="14" cm="1">
        <f t="array" ref="X23">INT(SUMPRODUCT(--ISNUMBER(SEARCH(voting,C23)))&gt;0)</f>
        <v>0</v>
      </c>
      <c r="Y23" s="35" cm="1">
        <f t="array" ref="Y23">INT(SUMPRODUCT(--ISNUMBER(SEARCH(republicantrigger,C23)))&gt;0)</f>
        <v>1</v>
      </c>
      <c r="Z23" s="35" cm="1">
        <f t="array" ref="Z23">INT(SUMPRODUCT(--ISNUMBER(SEARCH(bipartisan,C23)))&gt;0)</f>
        <v>0</v>
      </c>
      <c r="AA23" s="35">
        <f t="shared" si="0"/>
        <v>0</v>
      </c>
      <c r="AB23" s="14"/>
      <c r="AC23" s="30" t="s">
        <v>223</v>
      </c>
      <c r="AD23" s="37" t="s">
        <v>223</v>
      </c>
    </row>
    <row r="24" spans="1:30" x14ac:dyDescent="0.25">
      <c r="A24" s="36">
        <v>2530</v>
      </c>
      <c r="B24" s="14" t="s">
        <v>5085</v>
      </c>
      <c r="C24" s="14" t="s">
        <v>5086</v>
      </c>
      <c r="D24" s="17">
        <v>44137</v>
      </c>
      <c r="E24" s="14" t="s">
        <v>30</v>
      </c>
      <c r="F24" s="14">
        <v>63</v>
      </c>
      <c r="G24" s="14">
        <v>22</v>
      </c>
      <c r="H24" s="14">
        <v>12</v>
      </c>
      <c r="I24" s="14">
        <v>6</v>
      </c>
      <c r="J24" s="14" t="s">
        <v>31</v>
      </c>
      <c r="K24" s="14" cm="1">
        <f t="array" ref="K24">INT(SUMPRODUCT(--ISNUMBER(SEARCH(economy,C24)))&gt;0)</f>
        <v>0</v>
      </c>
      <c r="L24" s="14" cm="1">
        <f t="array" ref="L24">INT(SUMPRODUCT(--ISNUMBER(SEARCH(healthcare,C24)))&gt;0)</f>
        <v>0</v>
      </c>
      <c r="M24" s="14" cm="1">
        <f t="array" ref="M24">INT(SUMPRODUCT(--ISNUMBER(SEARCH(supreme,C24)))&gt;0)</f>
        <v>0</v>
      </c>
      <c r="N24" s="14" cm="1">
        <f t="array" ref="N24">INT(SUMPRODUCT(--ISNUMBER(SEARCH(covid,C24)))&gt;0)</f>
        <v>0</v>
      </c>
      <c r="O24" s="14" cm="1">
        <f t="array" ref="O24">INT(SUMPRODUCT(--ISNUMBER(SEARCH(violent,C24)))&gt;0)</f>
        <v>0</v>
      </c>
      <c r="P24" s="14" cm="1">
        <f t="array" ref="P24">INT(SUMPRODUCT(--ISNUMBER(SEARCH(foreign,C24)))&gt;0)</f>
        <v>0</v>
      </c>
      <c r="Q24" s="14" cm="1">
        <f t="array" ref="Q24">INT(SUMPRODUCT(--ISNUMBER(SEARCH(gun,C24)))&gt;0)</f>
        <v>0</v>
      </c>
      <c r="R24" s="14" cm="1">
        <f t="array" ref="R24">INT(SUMPRODUCT(--ISNUMBER(SEARCH(race,C24)))&gt;0)</f>
        <v>0</v>
      </c>
      <c r="S24" s="14" cm="1">
        <f t="array" ref="S24">INT(SUMPRODUCT(--ISNUMBER(SEARCH(immigration,C24)))&gt;0)</f>
        <v>0</v>
      </c>
      <c r="T24" s="14" cm="1">
        <f t="array" ref="T24">INT(SUMPRODUCT(--ISNUMBER(SEARCH(econineq,C25)))&gt;0)</f>
        <v>0</v>
      </c>
      <c r="U24" s="14" cm="1">
        <f t="array" ref="U24">INT(SUMPRODUCT(--ISNUMBER(SEARCH(climate,C24)))&gt;0)</f>
        <v>0</v>
      </c>
      <c r="V24" s="14" cm="1">
        <f t="array" ref="V24">INT(SUMPRODUCT(--ISNUMBER(SEARCH(abortion,C24)))&gt;0)</f>
        <v>0</v>
      </c>
      <c r="W24" s="14" cm="1">
        <f t="array" ref="W24">INT(SUMPRODUCT(--ISNUMBER(SEARCH(trump,C24)))&gt;0)</f>
        <v>0</v>
      </c>
      <c r="X24" s="14" cm="1">
        <f t="array" ref="X24">INT(SUMPRODUCT(--ISNUMBER(SEARCH(voting,C24)))&gt;0)</f>
        <v>1</v>
      </c>
      <c r="Y24" s="35" cm="1">
        <f t="array" ref="Y24">INT(SUMPRODUCT(--ISNUMBER(SEARCH(republicantrigger,C24)))&gt;0)</f>
        <v>0</v>
      </c>
      <c r="Z24" s="35" cm="1">
        <f t="array" ref="Z24">INT(SUMPRODUCT(--ISNUMBER(SEARCH(bipartisan,C24)))&gt;0)</f>
        <v>0</v>
      </c>
      <c r="AA24" s="35">
        <f t="shared" si="0"/>
        <v>0</v>
      </c>
      <c r="AB24" s="14"/>
      <c r="AC24" s="30" t="s">
        <v>223</v>
      </c>
      <c r="AD24" s="37" t="s">
        <v>223</v>
      </c>
    </row>
    <row r="25" spans="1:30" x14ac:dyDescent="0.25">
      <c r="A25" s="36">
        <v>2531</v>
      </c>
      <c r="B25" s="14" t="s">
        <v>5087</v>
      </c>
      <c r="C25" s="14" t="s">
        <v>5088</v>
      </c>
      <c r="D25" s="17">
        <v>44137</v>
      </c>
      <c r="E25" s="14" t="s">
        <v>30</v>
      </c>
      <c r="F25" s="14">
        <v>298</v>
      </c>
      <c r="G25" s="14">
        <v>92</v>
      </c>
      <c r="H25" s="14">
        <v>12</v>
      </c>
      <c r="I25" s="14">
        <v>6</v>
      </c>
      <c r="J25" s="14" t="s">
        <v>31</v>
      </c>
      <c r="K25" s="14" cm="1">
        <f t="array" ref="K25">INT(SUMPRODUCT(--ISNUMBER(SEARCH(economy,C25)))&gt;0)</f>
        <v>0</v>
      </c>
      <c r="L25" s="14" cm="1">
        <f t="array" ref="L25">INT(SUMPRODUCT(--ISNUMBER(SEARCH(healthcare,C25)))&gt;0)</f>
        <v>1</v>
      </c>
      <c r="M25" s="14" cm="1">
        <f t="array" ref="M25">INT(SUMPRODUCT(--ISNUMBER(SEARCH(supreme,C25)))&gt;0)</f>
        <v>0</v>
      </c>
      <c r="N25" s="14" cm="1">
        <f t="array" ref="N25">INT(SUMPRODUCT(--ISNUMBER(SEARCH(covid,C25)))&gt;0)</f>
        <v>0</v>
      </c>
      <c r="O25" s="14" cm="1">
        <f t="array" ref="O25">INT(SUMPRODUCT(--ISNUMBER(SEARCH(violent,C25)))&gt;0)</f>
        <v>0</v>
      </c>
      <c r="P25" s="14" cm="1">
        <f t="array" ref="P25">INT(SUMPRODUCT(--ISNUMBER(SEARCH(foreign,C25)))&gt;0)</f>
        <v>0</v>
      </c>
      <c r="Q25" s="14" cm="1">
        <f t="array" ref="Q25">INT(SUMPRODUCT(--ISNUMBER(SEARCH(gun,C25)))&gt;0)</f>
        <v>0</v>
      </c>
      <c r="R25" s="14" cm="1">
        <f t="array" ref="R25">INT(SUMPRODUCT(--ISNUMBER(SEARCH(race,C25)))&gt;0)</f>
        <v>0</v>
      </c>
      <c r="S25" s="14" cm="1">
        <f t="array" ref="S25">INT(SUMPRODUCT(--ISNUMBER(SEARCH(immigration,C25)))&gt;0)</f>
        <v>0</v>
      </c>
      <c r="T25" s="14" cm="1">
        <f t="array" ref="T25">INT(SUMPRODUCT(--ISNUMBER(SEARCH(econineq,C26)))&gt;0)</f>
        <v>0</v>
      </c>
      <c r="U25" s="14" cm="1">
        <f t="array" ref="U25">INT(SUMPRODUCT(--ISNUMBER(SEARCH(climate,C25)))&gt;0)</f>
        <v>0</v>
      </c>
      <c r="V25" s="14" cm="1">
        <f t="array" ref="V25">INT(SUMPRODUCT(--ISNUMBER(SEARCH(abortion,C25)))&gt;0)</f>
        <v>0</v>
      </c>
      <c r="W25" s="14" cm="1">
        <f t="array" ref="W25">INT(SUMPRODUCT(--ISNUMBER(SEARCH(trump,C25)))&gt;0)</f>
        <v>0</v>
      </c>
      <c r="X25" s="14" cm="1">
        <f t="array" ref="X25">INT(SUMPRODUCT(--ISNUMBER(SEARCH(voting,C25)))&gt;0)</f>
        <v>1</v>
      </c>
      <c r="Y25" s="35" cm="1">
        <f t="array" ref="Y25">INT(SUMPRODUCT(--ISNUMBER(SEARCH(republicantrigger,C25)))&gt;0)</f>
        <v>1</v>
      </c>
      <c r="Z25" s="35" cm="1">
        <f t="array" ref="Z25">INT(SUMPRODUCT(--ISNUMBER(SEARCH(bipartisan,C25)))&gt;0)</f>
        <v>0</v>
      </c>
      <c r="AA25" s="35">
        <f t="shared" si="0"/>
        <v>0</v>
      </c>
      <c r="AB25" s="14"/>
      <c r="AC25" s="30" t="s">
        <v>223</v>
      </c>
      <c r="AD25" s="37" t="s">
        <v>223</v>
      </c>
    </row>
    <row r="26" spans="1:30" x14ac:dyDescent="0.25">
      <c r="A26" s="36">
        <v>2532</v>
      </c>
      <c r="B26" s="14" t="s">
        <v>5089</v>
      </c>
      <c r="C26" s="14" t="s">
        <v>5090</v>
      </c>
      <c r="D26" s="17">
        <v>44136</v>
      </c>
      <c r="E26" s="14" t="s">
        <v>30</v>
      </c>
      <c r="F26" s="14">
        <v>97</v>
      </c>
      <c r="G26" s="14">
        <v>21</v>
      </c>
      <c r="H26" s="14">
        <v>12</v>
      </c>
      <c r="I26" s="14">
        <v>6</v>
      </c>
      <c r="J26" s="14" t="s">
        <v>31</v>
      </c>
      <c r="K26" s="14" cm="1">
        <f t="array" ref="K26">INT(SUMPRODUCT(--ISNUMBER(SEARCH(economy,C26)))&gt;0)</f>
        <v>0</v>
      </c>
      <c r="L26" s="14" cm="1">
        <f t="array" ref="L26">INT(SUMPRODUCT(--ISNUMBER(SEARCH(healthcare,C26)))&gt;0)</f>
        <v>0</v>
      </c>
      <c r="M26" s="14" cm="1">
        <f t="array" ref="M26">INT(SUMPRODUCT(--ISNUMBER(SEARCH(supreme,C26)))&gt;0)</f>
        <v>0</v>
      </c>
      <c r="N26" s="14" cm="1">
        <f t="array" ref="N26">INT(SUMPRODUCT(--ISNUMBER(SEARCH(covid,C26)))&gt;0)</f>
        <v>1</v>
      </c>
      <c r="O26" s="14" cm="1">
        <f t="array" ref="O26">INT(SUMPRODUCT(--ISNUMBER(SEARCH(violent,C26)))&gt;0)</f>
        <v>0</v>
      </c>
      <c r="P26" s="14" cm="1">
        <f t="array" ref="P26">INT(SUMPRODUCT(--ISNUMBER(SEARCH(foreign,C26)))&gt;0)</f>
        <v>0</v>
      </c>
      <c r="Q26" s="14" cm="1">
        <f t="array" ref="Q26">INT(SUMPRODUCT(--ISNUMBER(SEARCH(gun,C26)))&gt;0)</f>
        <v>0</v>
      </c>
      <c r="R26" s="14" cm="1">
        <f t="array" ref="R26">INT(SUMPRODUCT(--ISNUMBER(SEARCH(race,C26)))&gt;0)</f>
        <v>0</v>
      </c>
      <c r="S26" s="14" cm="1">
        <f t="array" ref="S26">INT(SUMPRODUCT(--ISNUMBER(SEARCH(immigration,C26)))&gt;0)</f>
        <v>0</v>
      </c>
      <c r="T26" s="14" cm="1">
        <f t="array" ref="T26">INT(SUMPRODUCT(--ISNUMBER(SEARCH(econineq,C27)))&gt;0)</f>
        <v>0</v>
      </c>
      <c r="U26" s="14" cm="1">
        <f t="array" ref="U26">INT(SUMPRODUCT(--ISNUMBER(SEARCH(climate,C26)))&gt;0)</f>
        <v>0</v>
      </c>
      <c r="V26" s="14" cm="1">
        <f t="array" ref="V26">INT(SUMPRODUCT(--ISNUMBER(SEARCH(abortion,C26)))&gt;0)</f>
        <v>0</v>
      </c>
      <c r="W26" s="14" cm="1">
        <f t="array" ref="W26">INT(SUMPRODUCT(--ISNUMBER(SEARCH(trump,C26)))&gt;0)</f>
        <v>1</v>
      </c>
      <c r="X26" s="14" cm="1">
        <f t="array" ref="X26">INT(SUMPRODUCT(--ISNUMBER(SEARCH(voting,C26)))&gt;0)</f>
        <v>0</v>
      </c>
      <c r="Y26" s="35" cm="1">
        <f t="array" ref="Y26">INT(SUMPRODUCT(--ISNUMBER(SEARCH(republicantrigger,C26)))&gt;0)</f>
        <v>0</v>
      </c>
      <c r="Z26" s="35" cm="1">
        <f t="array" ref="Z26">INT(SUMPRODUCT(--ISNUMBER(SEARCH(bipartisan,C26)))&gt;0)</f>
        <v>0</v>
      </c>
      <c r="AA26" s="35">
        <f t="shared" si="0"/>
        <v>0</v>
      </c>
      <c r="AB26" s="14"/>
      <c r="AC26" s="30" t="s">
        <v>223</v>
      </c>
      <c r="AD26" s="37" t="s">
        <v>223</v>
      </c>
    </row>
    <row r="27" spans="1:30" x14ac:dyDescent="0.25">
      <c r="A27" s="36">
        <v>2533</v>
      </c>
      <c r="B27" s="14" t="s">
        <v>5091</v>
      </c>
      <c r="C27" s="14" t="s">
        <v>5092</v>
      </c>
      <c r="D27" s="17">
        <v>44136</v>
      </c>
      <c r="E27" s="14" t="s">
        <v>30</v>
      </c>
      <c r="F27" s="14">
        <v>318</v>
      </c>
      <c r="G27" s="14">
        <v>90</v>
      </c>
      <c r="H27" s="14">
        <v>12</v>
      </c>
      <c r="I27" s="14">
        <v>6</v>
      </c>
      <c r="J27" s="14" t="s">
        <v>31</v>
      </c>
      <c r="K27" s="14" cm="1">
        <f t="array" ref="K27">INT(SUMPRODUCT(--ISNUMBER(SEARCH(economy,C27)))&gt;0)</f>
        <v>0</v>
      </c>
      <c r="L27" s="14" cm="1">
        <f t="array" ref="L27">INT(SUMPRODUCT(--ISNUMBER(SEARCH(healthcare,C27)))&gt;0)</f>
        <v>0</v>
      </c>
      <c r="M27" s="14" cm="1">
        <f t="array" ref="M27">INT(SUMPRODUCT(--ISNUMBER(SEARCH(supreme,C27)))&gt;0)</f>
        <v>0</v>
      </c>
      <c r="N27" s="14" cm="1">
        <f t="array" ref="N27">INT(SUMPRODUCT(--ISNUMBER(SEARCH(covid,C27)))&gt;0)</f>
        <v>0</v>
      </c>
      <c r="O27" s="14" cm="1">
        <f t="array" ref="O27">INT(SUMPRODUCT(--ISNUMBER(SEARCH(violent,C27)))&gt;0)</f>
        <v>0</v>
      </c>
      <c r="P27" s="14" cm="1">
        <f t="array" ref="P27">INT(SUMPRODUCT(--ISNUMBER(SEARCH(foreign,C27)))&gt;0)</f>
        <v>0</v>
      </c>
      <c r="Q27" s="14" cm="1">
        <f t="array" ref="Q27">INT(SUMPRODUCT(--ISNUMBER(SEARCH(gun,C27)))&gt;0)</f>
        <v>0</v>
      </c>
      <c r="R27" s="14" cm="1">
        <f t="array" ref="R27">INT(SUMPRODUCT(--ISNUMBER(SEARCH(race,C27)))&gt;0)</f>
        <v>0</v>
      </c>
      <c r="S27" s="14" cm="1">
        <f t="array" ref="S27">INT(SUMPRODUCT(--ISNUMBER(SEARCH(immigration,C27)))&gt;0)</f>
        <v>0</v>
      </c>
      <c r="T27" s="14" cm="1">
        <f t="array" ref="T27">INT(SUMPRODUCT(--ISNUMBER(SEARCH(econineq,C28)))&gt;0)</f>
        <v>0</v>
      </c>
      <c r="U27" s="14" cm="1">
        <f t="array" ref="U27">INT(SUMPRODUCT(--ISNUMBER(SEARCH(climate,C27)))&gt;0)</f>
        <v>0</v>
      </c>
      <c r="V27" s="14" cm="1">
        <f t="array" ref="V27">INT(SUMPRODUCT(--ISNUMBER(SEARCH(abortion,C27)))&gt;0)</f>
        <v>0</v>
      </c>
      <c r="W27" s="14" cm="1">
        <f t="array" ref="W27">INT(SUMPRODUCT(--ISNUMBER(SEARCH(trump,C27)))&gt;0)</f>
        <v>0</v>
      </c>
      <c r="X27" s="14" cm="1">
        <f t="array" ref="X27">INT(SUMPRODUCT(--ISNUMBER(SEARCH(voting,C27)))&gt;0)</f>
        <v>0</v>
      </c>
      <c r="Y27" s="35" cm="1">
        <f t="array" ref="Y27">INT(SUMPRODUCT(--ISNUMBER(SEARCH(republicantrigger,C27)))&gt;0)</f>
        <v>1</v>
      </c>
      <c r="Z27" s="35" cm="1">
        <f t="array" ref="Z27">INT(SUMPRODUCT(--ISNUMBER(SEARCH(bipartisan,C27)))&gt;0)</f>
        <v>0</v>
      </c>
      <c r="AA27" s="35">
        <f t="shared" si="0"/>
        <v>0</v>
      </c>
      <c r="AB27" s="14"/>
      <c r="AC27" s="30" t="s">
        <v>223</v>
      </c>
      <c r="AD27" s="37" t="s">
        <v>223</v>
      </c>
    </row>
    <row r="28" spans="1:30" x14ac:dyDescent="0.25">
      <c r="A28" s="36">
        <v>2534</v>
      </c>
      <c r="B28" s="14" t="s">
        <v>5093</v>
      </c>
      <c r="C28" s="14" t="s">
        <v>5094</v>
      </c>
      <c r="D28" s="17">
        <v>44136</v>
      </c>
      <c r="E28" s="14" t="s">
        <v>30</v>
      </c>
      <c r="F28" s="14">
        <v>94</v>
      </c>
      <c r="G28" s="14">
        <v>12</v>
      </c>
      <c r="H28" s="14">
        <v>12</v>
      </c>
      <c r="I28" s="14">
        <v>6</v>
      </c>
      <c r="J28" s="14" t="s">
        <v>31</v>
      </c>
      <c r="K28" s="14" cm="1">
        <f t="array" ref="K28">INT(SUMPRODUCT(--ISNUMBER(SEARCH(economy,C28)))&gt;0)</f>
        <v>0</v>
      </c>
      <c r="L28" s="14" cm="1">
        <f t="array" ref="L28">INT(SUMPRODUCT(--ISNUMBER(SEARCH(healthcare,C28)))&gt;0)</f>
        <v>0</v>
      </c>
      <c r="M28" s="14" cm="1">
        <f t="array" ref="M28">INT(SUMPRODUCT(--ISNUMBER(SEARCH(supreme,C28)))&gt;0)</f>
        <v>0</v>
      </c>
      <c r="N28" s="14" cm="1">
        <f t="array" ref="N28">INT(SUMPRODUCT(--ISNUMBER(SEARCH(covid,C28)))&gt;0)</f>
        <v>0</v>
      </c>
      <c r="O28" s="14" cm="1">
        <f t="array" ref="O28">INT(SUMPRODUCT(--ISNUMBER(SEARCH(violent,C28)))&gt;0)</f>
        <v>0</v>
      </c>
      <c r="P28" s="14" cm="1">
        <f t="array" ref="P28">INT(SUMPRODUCT(--ISNUMBER(SEARCH(foreign,C28)))&gt;0)</f>
        <v>0</v>
      </c>
      <c r="Q28" s="14" cm="1">
        <f t="array" ref="Q28">INT(SUMPRODUCT(--ISNUMBER(SEARCH(gun,C28)))&gt;0)</f>
        <v>0</v>
      </c>
      <c r="R28" s="14" cm="1">
        <f t="array" ref="R28">INT(SUMPRODUCT(--ISNUMBER(SEARCH(race,C28)))&gt;0)</f>
        <v>0</v>
      </c>
      <c r="S28" s="14" cm="1">
        <f t="array" ref="S28">INT(SUMPRODUCT(--ISNUMBER(SEARCH(immigration,C28)))&gt;0)</f>
        <v>0</v>
      </c>
      <c r="T28" s="14" cm="1">
        <f t="array" ref="T28">INT(SUMPRODUCT(--ISNUMBER(SEARCH(econineq,C29)))&gt;0)</f>
        <v>0</v>
      </c>
      <c r="U28" s="14" cm="1">
        <f t="array" ref="U28">INT(SUMPRODUCT(--ISNUMBER(SEARCH(climate,C28)))&gt;0)</f>
        <v>0</v>
      </c>
      <c r="V28" s="14" cm="1">
        <f t="array" ref="V28">INT(SUMPRODUCT(--ISNUMBER(SEARCH(abortion,C28)))&gt;0)</f>
        <v>0</v>
      </c>
      <c r="W28" s="14" cm="1">
        <f t="array" ref="W28">INT(SUMPRODUCT(--ISNUMBER(SEARCH(trump,C28)))&gt;0)</f>
        <v>0</v>
      </c>
      <c r="X28" s="14" cm="1">
        <f t="array" ref="X28">INT(SUMPRODUCT(--ISNUMBER(SEARCH(voting,C28)))&gt;0)</f>
        <v>0</v>
      </c>
      <c r="Y28" s="35" cm="1">
        <f t="array" ref="Y28">INT(SUMPRODUCT(--ISNUMBER(SEARCH(republicantrigger,C28)))&gt;0)</f>
        <v>0</v>
      </c>
      <c r="Z28" s="35" cm="1">
        <f t="array" ref="Z28">INT(SUMPRODUCT(--ISNUMBER(SEARCH(bipartisan,C28)))&gt;0)</f>
        <v>0</v>
      </c>
      <c r="AA28" s="35">
        <f t="shared" si="0"/>
        <v>1</v>
      </c>
      <c r="AB28" s="14"/>
      <c r="AC28" s="30" t="s">
        <v>223</v>
      </c>
      <c r="AD28" s="37" t="s">
        <v>223</v>
      </c>
    </row>
    <row r="29" spans="1:30" x14ac:dyDescent="0.25">
      <c r="A29" s="36">
        <v>2535</v>
      </c>
      <c r="B29" s="14" t="s">
        <v>5095</v>
      </c>
      <c r="C29" s="14" t="s">
        <v>5096</v>
      </c>
      <c r="D29" s="17">
        <v>44136</v>
      </c>
      <c r="E29" s="14" t="s">
        <v>30</v>
      </c>
      <c r="F29" s="14">
        <v>58</v>
      </c>
      <c r="G29" s="14">
        <v>15</v>
      </c>
      <c r="H29" s="14">
        <v>12</v>
      </c>
      <c r="I29" s="14">
        <v>6</v>
      </c>
      <c r="J29" s="14" t="s">
        <v>31</v>
      </c>
      <c r="K29" s="14" cm="1">
        <f t="array" ref="K29">INT(SUMPRODUCT(--ISNUMBER(SEARCH(economy,C29)))&gt;0)</f>
        <v>0</v>
      </c>
      <c r="L29" s="14" cm="1">
        <f t="array" ref="L29">INT(SUMPRODUCT(--ISNUMBER(SEARCH(healthcare,C29)))&gt;0)</f>
        <v>0</v>
      </c>
      <c r="M29" s="14" cm="1">
        <f t="array" ref="M29">INT(SUMPRODUCT(--ISNUMBER(SEARCH(supreme,C29)))&gt;0)</f>
        <v>0</v>
      </c>
      <c r="N29" s="14" cm="1">
        <f t="array" ref="N29">INT(SUMPRODUCT(--ISNUMBER(SEARCH(covid,C29)))&gt;0)</f>
        <v>0</v>
      </c>
      <c r="O29" s="14" cm="1">
        <f t="array" ref="O29">INT(SUMPRODUCT(--ISNUMBER(SEARCH(violent,C29)))&gt;0)</f>
        <v>0</v>
      </c>
      <c r="P29" s="14" cm="1">
        <f t="array" ref="P29">INT(SUMPRODUCT(--ISNUMBER(SEARCH(foreign,C29)))&gt;0)</f>
        <v>0</v>
      </c>
      <c r="Q29" s="14" cm="1">
        <f t="array" ref="Q29">INT(SUMPRODUCT(--ISNUMBER(SEARCH(gun,C29)))&gt;0)</f>
        <v>0</v>
      </c>
      <c r="R29" s="14" cm="1">
        <f t="array" ref="R29">INT(SUMPRODUCT(--ISNUMBER(SEARCH(race,C29)))&gt;0)</f>
        <v>0</v>
      </c>
      <c r="S29" s="14" cm="1">
        <f t="array" ref="S29">INT(SUMPRODUCT(--ISNUMBER(SEARCH(immigration,C29)))&gt;0)</f>
        <v>0</v>
      </c>
      <c r="T29" s="14" cm="1">
        <f t="array" ref="T29">INT(SUMPRODUCT(--ISNUMBER(SEARCH(econineq,C30)))&gt;0)</f>
        <v>0</v>
      </c>
      <c r="U29" s="14" cm="1">
        <f t="array" ref="U29">INT(SUMPRODUCT(--ISNUMBER(SEARCH(climate,C29)))&gt;0)</f>
        <v>0</v>
      </c>
      <c r="V29" s="14" cm="1">
        <f t="array" ref="V29">INT(SUMPRODUCT(--ISNUMBER(SEARCH(abortion,C29)))&gt;0)</f>
        <v>0</v>
      </c>
      <c r="W29" s="14" cm="1">
        <f t="array" ref="W29">INT(SUMPRODUCT(--ISNUMBER(SEARCH(trump,C29)))&gt;0)</f>
        <v>0</v>
      </c>
      <c r="X29" s="14" cm="1">
        <f t="array" ref="X29">INT(SUMPRODUCT(--ISNUMBER(SEARCH(voting,C29)))&gt;0)</f>
        <v>0</v>
      </c>
      <c r="Y29" s="35" cm="1">
        <f t="array" ref="Y29">INT(SUMPRODUCT(--ISNUMBER(SEARCH(republicantrigger,C29)))&gt;0)</f>
        <v>0</v>
      </c>
      <c r="Z29" s="35" cm="1">
        <f t="array" ref="Z29">INT(SUMPRODUCT(--ISNUMBER(SEARCH(bipartisan,C29)))&gt;0)</f>
        <v>0</v>
      </c>
      <c r="AA29" s="35">
        <f t="shared" si="0"/>
        <v>1</v>
      </c>
      <c r="AB29" s="14"/>
      <c r="AC29" s="30" t="s">
        <v>223</v>
      </c>
      <c r="AD29" s="37" t="s">
        <v>223</v>
      </c>
    </row>
    <row r="30" spans="1:30" x14ac:dyDescent="0.25">
      <c r="A30" s="36">
        <v>2536</v>
      </c>
      <c r="B30" s="14" t="s">
        <v>5097</v>
      </c>
      <c r="C30" s="14" t="s">
        <v>5098</v>
      </c>
      <c r="D30" s="17">
        <v>44136</v>
      </c>
      <c r="E30" s="14" t="s">
        <v>30</v>
      </c>
      <c r="F30" s="14">
        <v>93</v>
      </c>
      <c r="G30" s="14">
        <v>18</v>
      </c>
      <c r="H30" s="14">
        <v>12</v>
      </c>
      <c r="I30" s="14">
        <v>6</v>
      </c>
      <c r="J30" s="14" t="s">
        <v>31</v>
      </c>
      <c r="K30" s="14" cm="1">
        <f t="array" ref="K30">INT(SUMPRODUCT(--ISNUMBER(SEARCH(economy,C30)))&gt;0)</f>
        <v>1</v>
      </c>
      <c r="L30" s="14" cm="1">
        <f t="array" ref="L30">INT(SUMPRODUCT(--ISNUMBER(SEARCH(healthcare,C30)))&gt;0)</f>
        <v>0</v>
      </c>
      <c r="M30" s="14" cm="1">
        <f t="array" ref="M30">INT(SUMPRODUCT(--ISNUMBER(SEARCH(supreme,C30)))&gt;0)</f>
        <v>0</v>
      </c>
      <c r="N30" s="14" cm="1">
        <f t="array" ref="N30">INT(SUMPRODUCT(--ISNUMBER(SEARCH(covid,C30)))&gt;0)</f>
        <v>0</v>
      </c>
      <c r="O30" s="14" cm="1">
        <f t="array" ref="O30">INT(SUMPRODUCT(--ISNUMBER(SEARCH(violent,C30)))&gt;0)</f>
        <v>0</v>
      </c>
      <c r="P30" s="14" cm="1">
        <f t="array" ref="P30">INT(SUMPRODUCT(--ISNUMBER(SEARCH(foreign,C30)))&gt;0)</f>
        <v>0</v>
      </c>
      <c r="Q30" s="14" cm="1">
        <f t="array" ref="Q30">INT(SUMPRODUCT(--ISNUMBER(SEARCH(gun,C30)))&gt;0)</f>
        <v>0</v>
      </c>
      <c r="R30" s="14" cm="1">
        <f t="array" ref="R30">INT(SUMPRODUCT(--ISNUMBER(SEARCH(race,C30)))&gt;0)</f>
        <v>0</v>
      </c>
      <c r="S30" s="14" cm="1">
        <f t="array" ref="S30">INT(SUMPRODUCT(--ISNUMBER(SEARCH(immigration,C30)))&gt;0)</f>
        <v>0</v>
      </c>
      <c r="T30" s="14" cm="1">
        <f t="array" ref="T30">INT(SUMPRODUCT(--ISNUMBER(SEARCH(econineq,C31)))&gt;0)</f>
        <v>0</v>
      </c>
      <c r="U30" s="14" cm="1">
        <f t="array" ref="U30">INT(SUMPRODUCT(--ISNUMBER(SEARCH(climate,C30)))&gt;0)</f>
        <v>0</v>
      </c>
      <c r="V30" s="14" cm="1">
        <f t="array" ref="V30">INT(SUMPRODUCT(--ISNUMBER(SEARCH(abortion,C30)))&gt;0)</f>
        <v>0</v>
      </c>
      <c r="W30" s="14" cm="1">
        <f t="array" ref="W30">INT(SUMPRODUCT(--ISNUMBER(SEARCH(trump,C30)))&gt;0)</f>
        <v>1</v>
      </c>
      <c r="X30" s="14" cm="1">
        <f t="array" ref="X30">INT(SUMPRODUCT(--ISNUMBER(SEARCH(voting,C30)))&gt;0)</f>
        <v>1</v>
      </c>
      <c r="Y30" s="35" cm="1">
        <f t="array" ref="Y30">INT(SUMPRODUCT(--ISNUMBER(SEARCH(republicantrigger,C30)))&gt;0)</f>
        <v>1</v>
      </c>
      <c r="Z30" s="35" cm="1">
        <f t="array" ref="Z30">INT(SUMPRODUCT(--ISNUMBER(SEARCH(bipartisan,C30)))&gt;0)</f>
        <v>0</v>
      </c>
      <c r="AA30" s="35">
        <f t="shared" si="0"/>
        <v>0</v>
      </c>
      <c r="AB30" s="14"/>
      <c r="AC30" s="30" t="s">
        <v>223</v>
      </c>
      <c r="AD30" s="37" t="s">
        <v>223</v>
      </c>
    </row>
    <row r="31" spans="1:30" x14ac:dyDescent="0.25">
      <c r="A31" s="36">
        <v>2537</v>
      </c>
      <c r="B31" s="14" t="s">
        <v>5099</v>
      </c>
      <c r="C31" s="14" t="s">
        <v>5100</v>
      </c>
      <c r="D31" s="17">
        <v>44136</v>
      </c>
      <c r="E31" s="14" t="s">
        <v>30</v>
      </c>
      <c r="F31" s="14">
        <v>232</v>
      </c>
      <c r="G31" s="14">
        <v>64</v>
      </c>
      <c r="H31" s="14">
        <v>12</v>
      </c>
      <c r="I31" s="14">
        <v>6</v>
      </c>
      <c r="J31" s="14" t="s">
        <v>31</v>
      </c>
      <c r="K31" s="14" cm="1">
        <f t="array" ref="K31">INT(SUMPRODUCT(--ISNUMBER(SEARCH(economy,C31)))&gt;0)</f>
        <v>0</v>
      </c>
      <c r="L31" s="14" cm="1">
        <f t="array" ref="L31">INT(SUMPRODUCT(--ISNUMBER(SEARCH(healthcare,C31)))&gt;0)</f>
        <v>0</v>
      </c>
      <c r="M31" s="14" cm="1">
        <f t="array" ref="M31">INT(SUMPRODUCT(--ISNUMBER(SEARCH(supreme,C31)))&gt;0)</f>
        <v>0</v>
      </c>
      <c r="N31" s="14" cm="1">
        <f t="array" ref="N31">INT(SUMPRODUCT(--ISNUMBER(SEARCH(covid,C31)))&gt;0)</f>
        <v>0</v>
      </c>
      <c r="O31" s="14" cm="1">
        <f t="array" ref="O31">INT(SUMPRODUCT(--ISNUMBER(SEARCH(violent,C31)))&gt;0)</f>
        <v>0</v>
      </c>
      <c r="P31" s="14" cm="1">
        <f t="array" ref="P31">INT(SUMPRODUCT(--ISNUMBER(SEARCH(foreign,C31)))&gt;0)</f>
        <v>0</v>
      </c>
      <c r="Q31" s="14" cm="1">
        <f t="array" ref="Q31">INT(SUMPRODUCT(--ISNUMBER(SEARCH(gun,C31)))&gt;0)</f>
        <v>0</v>
      </c>
      <c r="R31" s="14" cm="1">
        <f t="array" ref="R31">INT(SUMPRODUCT(--ISNUMBER(SEARCH(race,C31)))&gt;0)</f>
        <v>0</v>
      </c>
      <c r="S31" s="14" cm="1">
        <f t="array" ref="S31">INT(SUMPRODUCT(--ISNUMBER(SEARCH(immigration,C31)))&gt;0)</f>
        <v>0</v>
      </c>
      <c r="T31" s="14" cm="1">
        <f t="array" ref="T31">INT(SUMPRODUCT(--ISNUMBER(SEARCH(econineq,C32)))&gt;0)</f>
        <v>0</v>
      </c>
      <c r="U31" s="14" cm="1">
        <f t="array" ref="U31">INT(SUMPRODUCT(--ISNUMBER(SEARCH(climate,C31)))&gt;0)</f>
        <v>0</v>
      </c>
      <c r="V31" s="14" cm="1">
        <f t="array" ref="V31">INT(SUMPRODUCT(--ISNUMBER(SEARCH(abortion,C31)))&gt;0)</f>
        <v>0</v>
      </c>
      <c r="W31" s="14" cm="1">
        <f t="array" ref="W31">INT(SUMPRODUCT(--ISNUMBER(SEARCH(trump,C31)))&gt;0)</f>
        <v>0</v>
      </c>
      <c r="X31" s="14" cm="1">
        <f t="array" ref="X31">INT(SUMPRODUCT(--ISNUMBER(SEARCH(voting,C31)))&gt;0)</f>
        <v>0</v>
      </c>
      <c r="Y31" s="35" cm="1">
        <f t="array" ref="Y31">INT(SUMPRODUCT(--ISNUMBER(SEARCH(republicantrigger,C31)))&gt;0)</f>
        <v>1</v>
      </c>
      <c r="Z31" s="35" cm="1">
        <f t="array" ref="Z31">INT(SUMPRODUCT(--ISNUMBER(SEARCH(bipartisan,C31)))&gt;0)</f>
        <v>0</v>
      </c>
      <c r="AA31" s="35">
        <f t="shared" si="0"/>
        <v>0</v>
      </c>
      <c r="AB31" s="14"/>
      <c r="AC31" s="30" t="s">
        <v>223</v>
      </c>
      <c r="AD31" s="37" t="s">
        <v>223</v>
      </c>
    </row>
    <row r="32" spans="1:30" x14ac:dyDescent="0.25">
      <c r="A32" s="36">
        <v>2538</v>
      </c>
      <c r="B32" s="14" t="s">
        <v>5101</v>
      </c>
      <c r="C32" s="14" t="s">
        <v>5102</v>
      </c>
      <c r="D32" s="17">
        <v>44136</v>
      </c>
      <c r="E32" s="14" t="s">
        <v>30</v>
      </c>
      <c r="F32" s="14">
        <v>6486</v>
      </c>
      <c r="G32" s="14">
        <v>1131</v>
      </c>
      <c r="H32" s="14">
        <v>12</v>
      </c>
      <c r="I32" s="14">
        <v>6</v>
      </c>
      <c r="J32" s="14" t="s">
        <v>31</v>
      </c>
      <c r="K32" s="14" cm="1">
        <f t="array" ref="K32">INT(SUMPRODUCT(--ISNUMBER(SEARCH(economy,C32)))&gt;0)</f>
        <v>0</v>
      </c>
      <c r="L32" s="14" cm="1">
        <f t="array" ref="L32">INT(SUMPRODUCT(--ISNUMBER(SEARCH(healthcare,C32)))&gt;0)</f>
        <v>0</v>
      </c>
      <c r="M32" s="14" cm="1">
        <f t="array" ref="M32">INT(SUMPRODUCT(--ISNUMBER(SEARCH(supreme,C32)))&gt;0)</f>
        <v>0</v>
      </c>
      <c r="N32" s="14" cm="1">
        <f t="array" ref="N32">INT(SUMPRODUCT(--ISNUMBER(SEARCH(covid,C32)))&gt;0)</f>
        <v>0</v>
      </c>
      <c r="O32" s="14" cm="1">
        <f t="array" ref="O32">INT(SUMPRODUCT(--ISNUMBER(SEARCH(violent,C32)))&gt;0)</f>
        <v>0</v>
      </c>
      <c r="P32" s="14" cm="1">
        <f t="array" ref="P32">INT(SUMPRODUCT(--ISNUMBER(SEARCH(foreign,C32)))&gt;0)</f>
        <v>0</v>
      </c>
      <c r="Q32" s="14" cm="1">
        <f t="array" ref="Q32">INT(SUMPRODUCT(--ISNUMBER(SEARCH(gun,C32)))&gt;0)</f>
        <v>0</v>
      </c>
      <c r="R32" s="14" cm="1">
        <f t="array" ref="R32">INT(SUMPRODUCT(--ISNUMBER(SEARCH(race,C32)))&gt;0)</f>
        <v>0</v>
      </c>
      <c r="S32" s="14" cm="1">
        <f t="array" ref="S32">INT(SUMPRODUCT(--ISNUMBER(SEARCH(immigration,C32)))&gt;0)</f>
        <v>0</v>
      </c>
      <c r="T32" s="14" cm="1">
        <f t="array" ref="T32">INT(SUMPRODUCT(--ISNUMBER(SEARCH(econineq,C33)))&gt;0)</f>
        <v>0</v>
      </c>
      <c r="U32" s="14" cm="1">
        <f t="array" ref="U32">INT(SUMPRODUCT(--ISNUMBER(SEARCH(climate,C32)))&gt;0)</f>
        <v>0</v>
      </c>
      <c r="V32" s="14" cm="1">
        <f t="array" ref="V32">INT(SUMPRODUCT(--ISNUMBER(SEARCH(abortion,C32)))&gt;0)</f>
        <v>0</v>
      </c>
      <c r="W32" s="14" cm="1">
        <f t="array" ref="W32">INT(SUMPRODUCT(--ISNUMBER(SEARCH(trump,C32)))&gt;0)</f>
        <v>0</v>
      </c>
      <c r="X32" s="14" cm="1">
        <f t="array" ref="X32">INT(SUMPRODUCT(--ISNUMBER(SEARCH(voting,C32)))&gt;0)</f>
        <v>0</v>
      </c>
      <c r="Y32" s="35" cm="1">
        <f t="array" ref="Y32">INT(SUMPRODUCT(--ISNUMBER(SEARCH(republicantrigger,C32)))&gt;0)</f>
        <v>0</v>
      </c>
      <c r="Z32" s="35" cm="1">
        <f t="array" ref="Z32">INT(SUMPRODUCT(--ISNUMBER(SEARCH(bipartisan,C32)))&gt;0)</f>
        <v>0</v>
      </c>
      <c r="AA32" s="35">
        <f t="shared" si="0"/>
        <v>1</v>
      </c>
      <c r="AB32" s="14"/>
      <c r="AC32" s="30" t="s">
        <v>223</v>
      </c>
      <c r="AD32" s="37" t="s">
        <v>223</v>
      </c>
    </row>
    <row r="33" spans="1:30" x14ac:dyDescent="0.25">
      <c r="A33" s="36">
        <v>2539</v>
      </c>
      <c r="B33" s="14" t="s">
        <v>5103</v>
      </c>
      <c r="C33" s="14" t="s">
        <v>5104</v>
      </c>
      <c r="D33" s="17">
        <v>44136</v>
      </c>
      <c r="E33" s="14" t="s">
        <v>30</v>
      </c>
      <c r="F33" s="14">
        <v>795</v>
      </c>
      <c r="G33" s="14">
        <v>222</v>
      </c>
      <c r="H33" s="14">
        <v>12</v>
      </c>
      <c r="I33" s="14">
        <v>6</v>
      </c>
      <c r="J33" s="14" t="s">
        <v>31</v>
      </c>
      <c r="K33" s="14" cm="1">
        <f t="array" ref="K33">INT(SUMPRODUCT(--ISNUMBER(SEARCH(economy,C33)))&gt;0)</f>
        <v>0</v>
      </c>
      <c r="L33" s="14" cm="1">
        <f t="array" ref="L33">INT(SUMPRODUCT(--ISNUMBER(SEARCH(healthcare,C33)))&gt;0)</f>
        <v>0</v>
      </c>
      <c r="M33" s="14" cm="1">
        <f t="array" ref="M33">INT(SUMPRODUCT(--ISNUMBER(SEARCH(supreme,C33)))&gt;0)</f>
        <v>0</v>
      </c>
      <c r="N33" s="14" cm="1">
        <f t="array" ref="N33">INT(SUMPRODUCT(--ISNUMBER(SEARCH(covid,C33)))&gt;0)</f>
        <v>1</v>
      </c>
      <c r="O33" s="14" cm="1">
        <f t="array" ref="O33">INT(SUMPRODUCT(--ISNUMBER(SEARCH(violent,C33)))&gt;0)</f>
        <v>0</v>
      </c>
      <c r="P33" s="14" cm="1">
        <f t="array" ref="P33">INT(SUMPRODUCT(--ISNUMBER(SEARCH(foreign,C33)))&gt;0)</f>
        <v>0</v>
      </c>
      <c r="Q33" s="14" cm="1">
        <f t="array" ref="Q33">INT(SUMPRODUCT(--ISNUMBER(SEARCH(gun,C33)))&gt;0)</f>
        <v>0</v>
      </c>
      <c r="R33" s="14" cm="1">
        <f t="array" ref="R33">INT(SUMPRODUCT(--ISNUMBER(SEARCH(race,C33)))&gt;0)</f>
        <v>0</v>
      </c>
      <c r="S33" s="14" cm="1">
        <f t="array" ref="S33">INT(SUMPRODUCT(--ISNUMBER(SEARCH(immigration,C33)))&gt;0)</f>
        <v>0</v>
      </c>
      <c r="T33" s="14" cm="1">
        <f t="array" ref="T33">INT(SUMPRODUCT(--ISNUMBER(SEARCH(econineq,C34)))&gt;0)</f>
        <v>0</v>
      </c>
      <c r="U33" s="14" cm="1">
        <f t="array" ref="U33">INT(SUMPRODUCT(--ISNUMBER(SEARCH(climate,C33)))&gt;0)</f>
        <v>0</v>
      </c>
      <c r="V33" s="14" cm="1">
        <f t="array" ref="V33">INT(SUMPRODUCT(--ISNUMBER(SEARCH(abortion,C33)))&gt;0)</f>
        <v>0</v>
      </c>
      <c r="W33" s="14" cm="1">
        <f t="array" ref="W33">INT(SUMPRODUCT(--ISNUMBER(SEARCH(trump,C33)))&gt;0)</f>
        <v>1</v>
      </c>
      <c r="X33" s="14" cm="1">
        <f t="array" ref="X33">INT(SUMPRODUCT(--ISNUMBER(SEARCH(voting,C33)))&gt;0)</f>
        <v>1</v>
      </c>
      <c r="Y33" s="35" cm="1">
        <f t="array" ref="Y33">INT(SUMPRODUCT(--ISNUMBER(SEARCH(republicantrigger,C33)))&gt;0)</f>
        <v>1</v>
      </c>
      <c r="Z33" s="35" cm="1">
        <f t="array" ref="Z33">INT(SUMPRODUCT(--ISNUMBER(SEARCH(bipartisan,C33)))&gt;0)</f>
        <v>0</v>
      </c>
      <c r="AA33" s="35">
        <f t="shared" si="0"/>
        <v>0</v>
      </c>
      <c r="AB33" s="14"/>
      <c r="AC33" s="30">
        <v>0</v>
      </c>
      <c r="AD33" s="37">
        <v>1</v>
      </c>
    </row>
    <row r="34" spans="1:30" x14ac:dyDescent="0.25">
      <c r="A34" s="36">
        <v>2540</v>
      </c>
      <c r="B34" s="14" t="s">
        <v>5105</v>
      </c>
      <c r="C34" s="14" t="s">
        <v>5106</v>
      </c>
      <c r="D34" s="17">
        <v>44135</v>
      </c>
      <c r="E34" s="14" t="s">
        <v>30</v>
      </c>
      <c r="F34" s="14">
        <v>276</v>
      </c>
      <c r="G34" s="14">
        <v>87</v>
      </c>
      <c r="H34" s="14">
        <v>12</v>
      </c>
      <c r="I34" s="14">
        <v>6</v>
      </c>
      <c r="J34" s="14" t="s">
        <v>31</v>
      </c>
      <c r="K34" s="14" cm="1">
        <f t="array" ref="K34">INT(SUMPRODUCT(--ISNUMBER(SEARCH(economy,C34)))&gt;0)</f>
        <v>0</v>
      </c>
      <c r="L34" s="14" cm="1">
        <f t="array" ref="L34">INT(SUMPRODUCT(--ISNUMBER(SEARCH(healthcare,C34)))&gt;0)</f>
        <v>1</v>
      </c>
      <c r="M34" s="14" cm="1">
        <f t="array" ref="M34">INT(SUMPRODUCT(--ISNUMBER(SEARCH(supreme,C34)))&gt;0)</f>
        <v>0</v>
      </c>
      <c r="N34" s="14" cm="1">
        <f t="array" ref="N34">INT(SUMPRODUCT(--ISNUMBER(SEARCH(covid,C34)))&gt;0)</f>
        <v>0</v>
      </c>
      <c r="O34" s="14" cm="1">
        <f t="array" ref="O34">INT(SUMPRODUCT(--ISNUMBER(SEARCH(violent,C34)))&gt;0)</f>
        <v>0</v>
      </c>
      <c r="P34" s="14" cm="1">
        <f t="array" ref="P34">INT(SUMPRODUCT(--ISNUMBER(SEARCH(foreign,C34)))&gt;0)</f>
        <v>0</v>
      </c>
      <c r="Q34" s="14" cm="1">
        <f t="array" ref="Q34">INT(SUMPRODUCT(--ISNUMBER(SEARCH(gun,C34)))&gt;0)</f>
        <v>0</v>
      </c>
      <c r="R34" s="14" cm="1">
        <f t="array" ref="R34">INT(SUMPRODUCT(--ISNUMBER(SEARCH(race,C34)))&gt;0)</f>
        <v>0</v>
      </c>
      <c r="S34" s="14" cm="1">
        <f t="array" ref="S34">INT(SUMPRODUCT(--ISNUMBER(SEARCH(immigration,C34)))&gt;0)</f>
        <v>0</v>
      </c>
      <c r="T34" s="14" cm="1">
        <f t="array" ref="T34">INT(SUMPRODUCT(--ISNUMBER(SEARCH(econineq,C35)))&gt;0)</f>
        <v>0</v>
      </c>
      <c r="U34" s="14" cm="1">
        <f t="array" ref="U34">INT(SUMPRODUCT(--ISNUMBER(SEARCH(climate,C34)))&gt;0)</f>
        <v>1</v>
      </c>
      <c r="V34" s="14" cm="1">
        <f t="array" ref="V34">INT(SUMPRODUCT(--ISNUMBER(SEARCH(abortion,C34)))&gt;0)</f>
        <v>0</v>
      </c>
      <c r="W34" s="14" cm="1">
        <f t="array" ref="W34">INT(SUMPRODUCT(--ISNUMBER(SEARCH(trump,C34)))&gt;0)</f>
        <v>0</v>
      </c>
      <c r="X34" s="14" cm="1">
        <f t="array" ref="X34">INT(SUMPRODUCT(--ISNUMBER(SEARCH(voting,C34)))&gt;0)</f>
        <v>0</v>
      </c>
      <c r="Y34" s="35" cm="1">
        <f t="array" ref="Y34">INT(SUMPRODUCT(--ISNUMBER(SEARCH(republicantrigger,C34)))&gt;0)</f>
        <v>0</v>
      </c>
      <c r="Z34" s="35" cm="1">
        <f t="array" ref="Z34">INT(SUMPRODUCT(--ISNUMBER(SEARCH(bipartisan,C34)))&gt;0)</f>
        <v>0</v>
      </c>
      <c r="AA34" s="35">
        <f t="shared" si="0"/>
        <v>0</v>
      </c>
      <c r="AB34" s="14"/>
      <c r="AC34" s="30" t="s">
        <v>223</v>
      </c>
      <c r="AD34" s="37" t="s">
        <v>223</v>
      </c>
    </row>
    <row r="35" spans="1:30" x14ac:dyDescent="0.25">
      <c r="A35" s="36">
        <v>2541</v>
      </c>
      <c r="B35" s="14" t="s">
        <v>5107</v>
      </c>
      <c r="C35" s="14" t="s">
        <v>5108</v>
      </c>
      <c r="D35" s="17">
        <v>44135</v>
      </c>
      <c r="E35" s="14" t="s">
        <v>30</v>
      </c>
      <c r="F35" s="14">
        <v>226</v>
      </c>
      <c r="G35" s="14">
        <v>42</v>
      </c>
      <c r="H35" s="14">
        <v>12</v>
      </c>
      <c r="I35" s="14">
        <v>6</v>
      </c>
      <c r="J35" s="14" t="s">
        <v>31</v>
      </c>
      <c r="K35" s="14" cm="1">
        <f t="array" ref="K35">INT(SUMPRODUCT(--ISNUMBER(SEARCH(economy,C35)))&gt;0)</f>
        <v>1</v>
      </c>
      <c r="L35" s="14" cm="1">
        <f t="array" ref="L35">INT(SUMPRODUCT(--ISNUMBER(SEARCH(healthcare,C35)))&gt;0)</f>
        <v>0</v>
      </c>
      <c r="M35" s="14" cm="1">
        <f t="array" ref="M35">INT(SUMPRODUCT(--ISNUMBER(SEARCH(supreme,C35)))&gt;0)</f>
        <v>0</v>
      </c>
      <c r="N35" s="14" cm="1">
        <f t="array" ref="N35">INT(SUMPRODUCT(--ISNUMBER(SEARCH(covid,C35)))&gt;0)</f>
        <v>0</v>
      </c>
      <c r="O35" s="14" cm="1">
        <f t="array" ref="O35">INT(SUMPRODUCT(--ISNUMBER(SEARCH(violent,C35)))&gt;0)</f>
        <v>0</v>
      </c>
      <c r="P35" s="14" cm="1">
        <f t="array" ref="P35">INT(SUMPRODUCT(--ISNUMBER(SEARCH(foreign,C35)))&gt;0)</f>
        <v>0</v>
      </c>
      <c r="Q35" s="14" cm="1">
        <f t="array" ref="Q35">INT(SUMPRODUCT(--ISNUMBER(SEARCH(gun,C35)))&gt;0)</f>
        <v>1</v>
      </c>
      <c r="R35" s="14" cm="1">
        <f t="array" ref="R35">INT(SUMPRODUCT(--ISNUMBER(SEARCH(race,C35)))&gt;0)</f>
        <v>0</v>
      </c>
      <c r="S35" s="14" cm="1">
        <f t="array" ref="S35">INT(SUMPRODUCT(--ISNUMBER(SEARCH(immigration,C35)))&gt;0)</f>
        <v>0</v>
      </c>
      <c r="T35" s="14" cm="1">
        <f t="array" ref="T35">INT(SUMPRODUCT(--ISNUMBER(SEARCH(econineq,C36)))&gt;0)</f>
        <v>0</v>
      </c>
      <c r="U35" s="14" cm="1">
        <f t="array" ref="U35">INT(SUMPRODUCT(--ISNUMBER(SEARCH(climate,C35)))&gt;0)</f>
        <v>0</v>
      </c>
      <c r="V35" s="14" cm="1">
        <f t="array" ref="V35">INT(SUMPRODUCT(--ISNUMBER(SEARCH(abortion,C35)))&gt;0)</f>
        <v>0</v>
      </c>
      <c r="W35" s="14" cm="1">
        <f t="array" ref="W35">INT(SUMPRODUCT(--ISNUMBER(SEARCH(trump,C35)))&gt;0)</f>
        <v>0</v>
      </c>
      <c r="X35" s="14" cm="1">
        <f t="array" ref="X35">INT(SUMPRODUCT(--ISNUMBER(SEARCH(voting,C35)))&gt;0)</f>
        <v>1</v>
      </c>
      <c r="Y35" s="35" cm="1">
        <f t="array" ref="Y35">INT(SUMPRODUCT(--ISNUMBER(SEARCH(republicantrigger,C35)))&gt;0)</f>
        <v>1</v>
      </c>
      <c r="Z35" s="35" cm="1">
        <f t="array" ref="Z35">INT(SUMPRODUCT(--ISNUMBER(SEARCH(bipartisan,C35)))&gt;0)</f>
        <v>0</v>
      </c>
      <c r="AA35" s="35">
        <f t="shared" si="0"/>
        <v>0</v>
      </c>
      <c r="AB35" s="14"/>
      <c r="AC35" s="30" t="s">
        <v>223</v>
      </c>
      <c r="AD35" s="37" t="s">
        <v>223</v>
      </c>
    </row>
    <row r="36" spans="1:30" x14ac:dyDescent="0.25">
      <c r="A36" s="36">
        <v>2542</v>
      </c>
      <c r="B36" s="14" t="s">
        <v>5109</v>
      </c>
      <c r="C36" s="14" t="s">
        <v>5110</v>
      </c>
      <c r="D36" s="17">
        <v>44135</v>
      </c>
      <c r="E36" s="14" t="s">
        <v>30</v>
      </c>
      <c r="F36" s="14">
        <v>88</v>
      </c>
      <c r="G36" s="14">
        <v>13</v>
      </c>
      <c r="H36" s="14">
        <v>12</v>
      </c>
      <c r="I36" s="14">
        <v>6</v>
      </c>
      <c r="J36" s="14" t="s">
        <v>31</v>
      </c>
      <c r="K36" s="14" cm="1">
        <f t="array" ref="K36">INT(SUMPRODUCT(--ISNUMBER(SEARCH(economy,C36)))&gt;0)</f>
        <v>0</v>
      </c>
      <c r="L36" s="14" cm="1">
        <f t="array" ref="L36">INT(SUMPRODUCT(--ISNUMBER(SEARCH(healthcare,C36)))&gt;0)</f>
        <v>0</v>
      </c>
      <c r="M36" s="14" cm="1">
        <f t="array" ref="M36">INT(SUMPRODUCT(--ISNUMBER(SEARCH(supreme,C36)))&gt;0)</f>
        <v>0</v>
      </c>
      <c r="N36" s="14" cm="1">
        <f t="array" ref="N36">INT(SUMPRODUCT(--ISNUMBER(SEARCH(covid,C36)))&gt;0)</f>
        <v>0</v>
      </c>
      <c r="O36" s="14" cm="1">
        <f t="array" ref="O36">INT(SUMPRODUCT(--ISNUMBER(SEARCH(violent,C36)))&gt;0)</f>
        <v>0</v>
      </c>
      <c r="P36" s="14" cm="1">
        <f t="array" ref="P36">INT(SUMPRODUCT(--ISNUMBER(SEARCH(foreign,C36)))&gt;0)</f>
        <v>0</v>
      </c>
      <c r="Q36" s="14" cm="1">
        <f t="array" ref="Q36">INT(SUMPRODUCT(--ISNUMBER(SEARCH(gun,C36)))&gt;0)</f>
        <v>0</v>
      </c>
      <c r="R36" s="14" cm="1">
        <f t="array" ref="R36">INT(SUMPRODUCT(--ISNUMBER(SEARCH(race,C36)))&gt;0)</f>
        <v>0</v>
      </c>
      <c r="S36" s="14" cm="1">
        <f t="array" ref="S36">INT(SUMPRODUCT(--ISNUMBER(SEARCH(immigration,C36)))&gt;0)</f>
        <v>0</v>
      </c>
      <c r="T36" s="14" cm="1">
        <f t="array" ref="T36">INT(SUMPRODUCT(--ISNUMBER(SEARCH(econineq,C37)))&gt;0)</f>
        <v>0</v>
      </c>
      <c r="U36" s="14" cm="1">
        <f t="array" ref="U36">INT(SUMPRODUCT(--ISNUMBER(SEARCH(climate,C36)))&gt;0)</f>
        <v>0</v>
      </c>
      <c r="V36" s="14" cm="1">
        <f t="array" ref="V36">INT(SUMPRODUCT(--ISNUMBER(SEARCH(abortion,C36)))&gt;0)</f>
        <v>0</v>
      </c>
      <c r="W36" s="14" cm="1">
        <f t="array" ref="W36">INT(SUMPRODUCT(--ISNUMBER(SEARCH(trump,C36)))&gt;0)</f>
        <v>0</v>
      </c>
      <c r="X36" s="14" cm="1">
        <f t="array" ref="X36">INT(SUMPRODUCT(--ISNUMBER(SEARCH(voting,C36)))&gt;0)</f>
        <v>1</v>
      </c>
      <c r="Y36" s="35" cm="1">
        <f t="array" ref="Y36">INT(SUMPRODUCT(--ISNUMBER(SEARCH(republicantrigger,C36)))&gt;0)</f>
        <v>0</v>
      </c>
      <c r="Z36" s="35" cm="1">
        <f t="array" ref="Z36">INT(SUMPRODUCT(--ISNUMBER(SEARCH(bipartisan,C36)))&gt;0)</f>
        <v>0</v>
      </c>
      <c r="AA36" s="35">
        <f t="shared" si="0"/>
        <v>0</v>
      </c>
      <c r="AB36" s="14"/>
      <c r="AC36" s="30" t="s">
        <v>223</v>
      </c>
      <c r="AD36" s="37" t="s">
        <v>223</v>
      </c>
    </row>
    <row r="37" spans="1:30" x14ac:dyDescent="0.25">
      <c r="A37" s="36">
        <v>2543</v>
      </c>
      <c r="B37" s="14" t="s">
        <v>5111</v>
      </c>
      <c r="C37" s="14" t="s">
        <v>5112</v>
      </c>
      <c r="D37" s="17">
        <v>44135</v>
      </c>
      <c r="E37" s="14" t="s">
        <v>30</v>
      </c>
      <c r="F37" s="14">
        <v>475</v>
      </c>
      <c r="G37" s="14">
        <v>103</v>
      </c>
      <c r="H37" s="14">
        <v>12</v>
      </c>
      <c r="I37" s="14">
        <v>6</v>
      </c>
      <c r="J37" s="14" t="s">
        <v>31</v>
      </c>
      <c r="K37" s="14" cm="1">
        <f t="array" ref="K37">INT(SUMPRODUCT(--ISNUMBER(SEARCH(economy,C37)))&gt;0)</f>
        <v>0</v>
      </c>
      <c r="L37" s="14" cm="1">
        <f t="array" ref="L37">INT(SUMPRODUCT(--ISNUMBER(SEARCH(healthcare,C37)))&gt;0)</f>
        <v>0</v>
      </c>
      <c r="M37" s="14" cm="1">
        <f t="array" ref="M37">INT(SUMPRODUCT(--ISNUMBER(SEARCH(supreme,C37)))&gt;0)</f>
        <v>0</v>
      </c>
      <c r="N37" s="14" cm="1">
        <f t="array" ref="N37">INT(SUMPRODUCT(--ISNUMBER(SEARCH(covid,C37)))&gt;0)</f>
        <v>0</v>
      </c>
      <c r="O37" s="14" cm="1">
        <f t="array" ref="O37">INT(SUMPRODUCT(--ISNUMBER(SEARCH(violent,C37)))&gt;0)</f>
        <v>0</v>
      </c>
      <c r="P37" s="14" cm="1">
        <f t="array" ref="P37">INT(SUMPRODUCT(--ISNUMBER(SEARCH(foreign,C37)))&gt;0)</f>
        <v>0</v>
      </c>
      <c r="Q37" s="14" cm="1">
        <f t="array" ref="Q37">INT(SUMPRODUCT(--ISNUMBER(SEARCH(gun,C37)))&gt;0)</f>
        <v>0</v>
      </c>
      <c r="R37" s="14" cm="1">
        <f t="array" ref="R37">INT(SUMPRODUCT(--ISNUMBER(SEARCH(race,C37)))&gt;0)</f>
        <v>0</v>
      </c>
      <c r="S37" s="14" cm="1">
        <f t="array" ref="S37">INT(SUMPRODUCT(--ISNUMBER(SEARCH(immigration,C37)))&gt;0)</f>
        <v>0</v>
      </c>
      <c r="T37" s="14" cm="1">
        <f t="array" ref="T37">INT(SUMPRODUCT(--ISNUMBER(SEARCH(econineq,C38)))&gt;0)</f>
        <v>0</v>
      </c>
      <c r="U37" s="14" cm="1">
        <f t="array" ref="U37">INT(SUMPRODUCT(--ISNUMBER(SEARCH(climate,C37)))&gt;0)</f>
        <v>0</v>
      </c>
      <c r="V37" s="14" cm="1">
        <f t="array" ref="V37">INT(SUMPRODUCT(--ISNUMBER(SEARCH(abortion,C37)))&gt;0)</f>
        <v>0</v>
      </c>
      <c r="W37" s="14" cm="1">
        <f t="array" ref="W37">INT(SUMPRODUCT(--ISNUMBER(SEARCH(trump,C37)))&gt;0)</f>
        <v>1</v>
      </c>
      <c r="X37" s="14" cm="1">
        <f t="array" ref="X37">INT(SUMPRODUCT(--ISNUMBER(SEARCH(voting,C37)))&gt;0)</f>
        <v>1</v>
      </c>
      <c r="Y37" s="35" cm="1">
        <f t="array" ref="Y37">INT(SUMPRODUCT(--ISNUMBER(SEARCH(republicantrigger,C37)))&gt;0)</f>
        <v>0</v>
      </c>
      <c r="Z37" s="35" cm="1">
        <f t="array" ref="Z37">INT(SUMPRODUCT(--ISNUMBER(SEARCH(bipartisan,C37)))&gt;0)</f>
        <v>0</v>
      </c>
      <c r="AA37" s="35">
        <f t="shared" si="0"/>
        <v>0</v>
      </c>
      <c r="AB37" s="14"/>
      <c r="AC37" s="30">
        <v>1</v>
      </c>
      <c r="AD37" s="37">
        <v>0</v>
      </c>
    </row>
    <row r="38" spans="1:30" x14ac:dyDescent="0.25">
      <c r="A38" s="36">
        <v>2544</v>
      </c>
      <c r="B38" s="14" t="s">
        <v>5113</v>
      </c>
      <c r="C38" s="14" t="s">
        <v>5114</v>
      </c>
      <c r="D38" s="17">
        <v>44135</v>
      </c>
      <c r="E38" s="14" t="s">
        <v>30</v>
      </c>
      <c r="F38" s="14">
        <v>87</v>
      </c>
      <c r="G38" s="14">
        <v>17</v>
      </c>
      <c r="H38" s="14">
        <v>12</v>
      </c>
      <c r="I38" s="14">
        <v>6</v>
      </c>
      <c r="J38" s="14" t="s">
        <v>31</v>
      </c>
      <c r="K38" s="14" cm="1">
        <f t="array" ref="K38">INT(SUMPRODUCT(--ISNUMBER(SEARCH(economy,C38)))&gt;0)</f>
        <v>1</v>
      </c>
      <c r="L38" s="14" cm="1">
        <f t="array" ref="L38">INT(SUMPRODUCT(--ISNUMBER(SEARCH(healthcare,C38)))&gt;0)</f>
        <v>0</v>
      </c>
      <c r="M38" s="14" cm="1">
        <f t="array" ref="M38">INT(SUMPRODUCT(--ISNUMBER(SEARCH(supreme,C38)))&gt;0)</f>
        <v>0</v>
      </c>
      <c r="N38" s="14" cm="1">
        <f t="array" ref="N38">INT(SUMPRODUCT(--ISNUMBER(SEARCH(covid,C38)))&gt;0)</f>
        <v>0</v>
      </c>
      <c r="O38" s="14" cm="1">
        <f t="array" ref="O38">INT(SUMPRODUCT(--ISNUMBER(SEARCH(violent,C38)))&gt;0)</f>
        <v>0</v>
      </c>
      <c r="P38" s="14" cm="1">
        <f t="array" ref="P38">INT(SUMPRODUCT(--ISNUMBER(SEARCH(foreign,C38)))&gt;0)</f>
        <v>0</v>
      </c>
      <c r="Q38" s="14" cm="1">
        <f t="array" ref="Q38">INT(SUMPRODUCT(--ISNUMBER(SEARCH(gun,C38)))&gt;0)</f>
        <v>0</v>
      </c>
      <c r="R38" s="14" cm="1">
        <f t="array" ref="R38">INT(SUMPRODUCT(--ISNUMBER(SEARCH(race,C38)))&gt;0)</f>
        <v>0</v>
      </c>
      <c r="S38" s="14" cm="1">
        <f t="array" ref="S38">INT(SUMPRODUCT(--ISNUMBER(SEARCH(immigration,C38)))&gt;0)</f>
        <v>0</v>
      </c>
      <c r="T38" s="14" cm="1">
        <f t="array" ref="T38">INT(SUMPRODUCT(--ISNUMBER(SEARCH(econineq,C39)))&gt;0)</f>
        <v>0</v>
      </c>
      <c r="U38" s="14" cm="1">
        <f t="array" ref="U38">INT(SUMPRODUCT(--ISNUMBER(SEARCH(climate,C38)))&gt;0)</f>
        <v>0</v>
      </c>
      <c r="V38" s="14" cm="1">
        <f t="array" ref="V38">INT(SUMPRODUCT(--ISNUMBER(SEARCH(abortion,C38)))&gt;0)</f>
        <v>0</v>
      </c>
      <c r="W38" s="14" cm="1">
        <f t="array" ref="W38">INT(SUMPRODUCT(--ISNUMBER(SEARCH(trump,C38)))&gt;0)</f>
        <v>0</v>
      </c>
      <c r="X38" s="14" cm="1">
        <f t="array" ref="X38">INT(SUMPRODUCT(--ISNUMBER(SEARCH(voting,C38)))&gt;0)</f>
        <v>0</v>
      </c>
      <c r="Y38" s="35" cm="1">
        <f t="array" ref="Y38">INT(SUMPRODUCT(--ISNUMBER(SEARCH(republicantrigger,C38)))&gt;0)</f>
        <v>0</v>
      </c>
      <c r="Z38" s="35" cm="1">
        <f t="array" ref="Z38">INT(SUMPRODUCT(--ISNUMBER(SEARCH(bipartisan,C38)))&gt;0)</f>
        <v>0</v>
      </c>
      <c r="AA38" s="35">
        <f t="shared" si="0"/>
        <v>0</v>
      </c>
      <c r="AB38" s="14"/>
      <c r="AC38" s="30" t="s">
        <v>223</v>
      </c>
      <c r="AD38" s="37" t="s">
        <v>223</v>
      </c>
    </row>
    <row r="39" spans="1:30" x14ac:dyDescent="0.25">
      <c r="A39" s="36">
        <v>2545</v>
      </c>
      <c r="B39" s="14" t="s">
        <v>5115</v>
      </c>
      <c r="C39" s="14" t="s">
        <v>5116</v>
      </c>
      <c r="D39" s="17">
        <v>44135</v>
      </c>
      <c r="E39" s="14" t="s">
        <v>30</v>
      </c>
      <c r="F39" s="14">
        <v>242</v>
      </c>
      <c r="G39" s="14">
        <v>54</v>
      </c>
      <c r="H39" s="14">
        <v>12</v>
      </c>
      <c r="I39" s="14">
        <v>6</v>
      </c>
      <c r="J39" s="14" t="s">
        <v>31</v>
      </c>
      <c r="K39" s="14" cm="1">
        <f t="array" ref="K39">INT(SUMPRODUCT(--ISNUMBER(SEARCH(economy,C39)))&gt;0)</f>
        <v>0</v>
      </c>
      <c r="L39" s="14" cm="1">
        <f t="array" ref="L39">INT(SUMPRODUCT(--ISNUMBER(SEARCH(healthcare,C39)))&gt;0)</f>
        <v>0</v>
      </c>
      <c r="M39" s="14" cm="1">
        <f t="array" ref="M39">INT(SUMPRODUCT(--ISNUMBER(SEARCH(supreme,C39)))&gt;0)</f>
        <v>0</v>
      </c>
      <c r="N39" s="14" cm="1">
        <f t="array" ref="N39">INT(SUMPRODUCT(--ISNUMBER(SEARCH(covid,C39)))&gt;0)</f>
        <v>0</v>
      </c>
      <c r="O39" s="14" cm="1">
        <f t="array" ref="O39">INT(SUMPRODUCT(--ISNUMBER(SEARCH(violent,C39)))&gt;0)</f>
        <v>0</v>
      </c>
      <c r="P39" s="14" cm="1">
        <f t="array" ref="P39">INT(SUMPRODUCT(--ISNUMBER(SEARCH(foreign,C39)))&gt;0)</f>
        <v>0</v>
      </c>
      <c r="Q39" s="14" cm="1">
        <f t="array" ref="Q39">INT(SUMPRODUCT(--ISNUMBER(SEARCH(gun,C39)))&gt;0)</f>
        <v>0</v>
      </c>
      <c r="R39" s="14" cm="1">
        <f t="array" ref="R39">INT(SUMPRODUCT(--ISNUMBER(SEARCH(race,C39)))&gt;0)</f>
        <v>0</v>
      </c>
      <c r="S39" s="14" cm="1">
        <f t="array" ref="S39">INT(SUMPRODUCT(--ISNUMBER(SEARCH(immigration,C39)))&gt;0)</f>
        <v>0</v>
      </c>
      <c r="T39" s="14" cm="1">
        <f t="array" ref="T39">INT(SUMPRODUCT(--ISNUMBER(SEARCH(econineq,C40)))&gt;0)</f>
        <v>0</v>
      </c>
      <c r="U39" s="14" cm="1">
        <f t="array" ref="U39">INT(SUMPRODUCT(--ISNUMBER(SEARCH(climate,C39)))&gt;0)</f>
        <v>0</v>
      </c>
      <c r="V39" s="14" cm="1">
        <f t="array" ref="V39">INT(SUMPRODUCT(--ISNUMBER(SEARCH(abortion,C39)))&gt;0)</f>
        <v>0</v>
      </c>
      <c r="W39" s="14" cm="1">
        <f t="array" ref="W39">INT(SUMPRODUCT(--ISNUMBER(SEARCH(trump,C39)))&gt;0)</f>
        <v>0</v>
      </c>
      <c r="X39" s="14" cm="1">
        <f t="array" ref="X39">INT(SUMPRODUCT(--ISNUMBER(SEARCH(voting,C39)))&gt;0)</f>
        <v>0</v>
      </c>
      <c r="Y39" s="35" cm="1">
        <f t="array" ref="Y39">INT(SUMPRODUCT(--ISNUMBER(SEARCH(republicantrigger,C39)))&gt;0)</f>
        <v>1</v>
      </c>
      <c r="Z39" s="35" cm="1">
        <f t="array" ref="Z39">INT(SUMPRODUCT(--ISNUMBER(SEARCH(bipartisan,C39)))&gt;0)</f>
        <v>0</v>
      </c>
      <c r="AA39" s="35">
        <f t="shared" si="0"/>
        <v>0</v>
      </c>
      <c r="AB39" s="14"/>
      <c r="AC39" s="30" t="s">
        <v>223</v>
      </c>
      <c r="AD39" s="37" t="s">
        <v>223</v>
      </c>
    </row>
    <row r="40" spans="1:30" x14ac:dyDescent="0.25">
      <c r="A40" s="36">
        <v>2546</v>
      </c>
      <c r="B40" s="14" t="s">
        <v>5117</v>
      </c>
      <c r="C40" s="14" t="s">
        <v>5118</v>
      </c>
      <c r="D40" s="17">
        <v>44135</v>
      </c>
      <c r="E40" s="14" t="s">
        <v>30</v>
      </c>
      <c r="F40" s="14">
        <v>2907</v>
      </c>
      <c r="G40" s="14">
        <v>754</v>
      </c>
      <c r="H40" s="14">
        <v>12</v>
      </c>
      <c r="I40" s="14">
        <v>6</v>
      </c>
      <c r="J40" s="14" t="s">
        <v>31</v>
      </c>
      <c r="K40" s="14" cm="1">
        <f t="array" ref="K40">INT(SUMPRODUCT(--ISNUMBER(SEARCH(economy,C40)))&gt;0)</f>
        <v>0</v>
      </c>
      <c r="L40" s="14" cm="1">
        <f t="array" ref="L40">INT(SUMPRODUCT(--ISNUMBER(SEARCH(healthcare,C40)))&gt;0)</f>
        <v>0</v>
      </c>
      <c r="M40" s="14" cm="1">
        <f t="array" ref="M40">INT(SUMPRODUCT(--ISNUMBER(SEARCH(supreme,C40)))&gt;0)</f>
        <v>0</v>
      </c>
      <c r="N40" s="14" cm="1">
        <f t="array" ref="N40">INT(SUMPRODUCT(--ISNUMBER(SEARCH(covid,C40)))&gt;0)</f>
        <v>0</v>
      </c>
      <c r="O40" s="14" cm="1">
        <f t="array" ref="O40">INT(SUMPRODUCT(--ISNUMBER(SEARCH(violent,C40)))&gt;0)</f>
        <v>0</v>
      </c>
      <c r="P40" s="14" cm="1">
        <f t="array" ref="P40">INT(SUMPRODUCT(--ISNUMBER(SEARCH(foreign,C40)))&gt;0)</f>
        <v>0</v>
      </c>
      <c r="Q40" s="14" cm="1">
        <f t="array" ref="Q40">INT(SUMPRODUCT(--ISNUMBER(SEARCH(gun,C40)))&gt;0)</f>
        <v>0</v>
      </c>
      <c r="R40" s="14" cm="1">
        <f t="array" ref="R40">INT(SUMPRODUCT(--ISNUMBER(SEARCH(race,C40)))&gt;0)</f>
        <v>0</v>
      </c>
      <c r="S40" s="14" cm="1">
        <f t="array" ref="S40">INT(SUMPRODUCT(--ISNUMBER(SEARCH(immigration,C40)))&gt;0)</f>
        <v>0</v>
      </c>
      <c r="T40" s="14" cm="1">
        <f t="array" ref="T40">INT(SUMPRODUCT(--ISNUMBER(SEARCH(econineq,C41)))&gt;0)</f>
        <v>0</v>
      </c>
      <c r="U40" s="14" cm="1">
        <f t="array" ref="U40">INT(SUMPRODUCT(--ISNUMBER(SEARCH(climate,C40)))&gt;0)</f>
        <v>0</v>
      </c>
      <c r="V40" s="14" cm="1">
        <f t="array" ref="V40">INT(SUMPRODUCT(--ISNUMBER(SEARCH(abortion,C40)))&gt;0)</f>
        <v>0</v>
      </c>
      <c r="W40" s="14" cm="1">
        <f t="array" ref="W40">INT(SUMPRODUCT(--ISNUMBER(SEARCH(trump,C40)))&gt;0)</f>
        <v>0</v>
      </c>
      <c r="X40" s="14" cm="1">
        <f t="array" ref="X40">INT(SUMPRODUCT(--ISNUMBER(SEARCH(voting,C40)))&gt;0)</f>
        <v>0</v>
      </c>
      <c r="Y40" s="35" cm="1">
        <f t="array" ref="Y40">INT(SUMPRODUCT(--ISNUMBER(SEARCH(republicantrigger,C40)))&gt;0)</f>
        <v>1</v>
      </c>
      <c r="Z40" s="35" cm="1">
        <f t="array" ref="Z40">INT(SUMPRODUCT(--ISNUMBER(SEARCH(bipartisan,C40)))&gt;0)</f>
        <v>0</v>
      </c>
      <c r="AA40" s="35">
        <f t="shared" si="0"/>
        <v>0</v>
      </c>
      <c r="AB40" s="14"/>
      <c r="AC40" s="30" t="s">
        <v>223</v>
      </c>
      <c r="AD40" s="37" t="s">
        <v>223</v>
      </c>
    </row>
    <row r="41" spans="1:30" x14ac:dyDescent="0.25">
      <c r="A41" s="36">
        <v>2547</v>
      </c>
      <c r="B41" s="14" t="s">
        <v>5119</v>
      </c>
      <c r="C41" s="14" t="s">
        <v>5120</v>
      </c>
      <c r="D41" s="17">
        <v>44135</v>
      </c>
      <c r="E41" s="14" t="s">
        <v>30</v>
      </c>
      <c r="F41" s="14">
        <v>272</v>
      </c>
      <c r="G41" s="14">
        <v>131</v>
      </c>
      <c r="H41" s="14">
        <v>12</v>
      </c>
      <c r="I41" s="14">
        <v>6</v>
      </c>
      <c r="J41" s="14" t="s">
        <v>31</v>
      </c>
      <c r="K41" s="14" cm="1">
        <f t="array" ref="K41">INT(SUMPRODUCT(--ISNUMBER(SEARCH(economy,C41)))&gt;0)</f>
        <v>0</v>
      </c>
      <c r="L41" s="14" cm="1">
        <f t="array" ref="L41">INT(SUMPRODUCT(--ISNUMBER(SEARCH(healthcare,C41)))&gt;0)</f>
        <v>0</v>
      </c>
      <c r="M41" s="14" cm="1">
        <f t="array" ref="M41">INT(SUMPRODUCT(--ISNUMBER(SEARCH(supreme,C41)))&gt;0)</f>
        <v>0</v>
      </c>
      <c r="N41" s="14" cm="1">
        <f t="array" ref="N41">INT(SUMPRODUCT(--ISNUMBER(SEARCH(covid,C41)))&gt;0)</f>
        <v>0</v>
      </c>
      <c r="O41" s="14" cm="1">
        <f t="array" ref="O41">INT(SUMPRODUCT(--ISNUMBER(SEARCH(violent,C41)))&gt;0)</f>
        <v>0</v>
      </c>
      <c r="P41" s="14" cm="1">
        <f t="array" ref="P41">INT(SUMPRODUCT(--ISNUMBER(SEARCH(foreign,C41)))&gt;0)</f>
        <v>0</v>
      </c>
      <c r="Q41" s="14" cm="1">
        <f t="array" ref="Q41">INT(SUMPRODUCT(--ISNUMBER(SEARCH(gun,C41)))&gt;0)</f>
        <v>0</v>
      </c>
      <c r="R41" s="14" cm="1">
        <f t="array" ref="R41">INT(SUMPRODUCT(--ISNUMBER(SEARCH(race,C41)))&gt;0)</f>
        <v>0</v>
      </c>
      <c r="S41" s="14" cm="1">
        <f t="array" ref="S41">INT(SUMPRODUCT(--ISNUMBER(SEARCH(immigration,C41)))&gt;0)</f>
        <v>0</v>
      </c>
      <c r="T41" s="14" cm="1">
        <f t="array" ref="T41">INT(SUMPRODUCT(--ISNUMBER(SEARCH(econineq,C42)))&gt;0)</f>
        <v>0</v>
      </c>
      <c r="U41" s="14" cm="1">
        <f t="array" ref="U41">INT(SUMPRODUCT(--ISNUMBER(SEARCH(climate,C41)))&gt;0)</f>
        <v>0</v>
      </c>
      <c r="V41" s="14" cm="1">
        <f t="array" ref="V41">INT(SUMPRODUCT(--ISNUMBER(SEARCH(abortion,C41)))&gt;0)</f>
        <v>0</v>
      </c>
      <c r="W41" s="14" cm="1">
        <f t="array" ref="W41">INT(SUMPRODUCT(--ISNUMBER(SEARCH(trump,C41)))&gt;0)</f>
        <v>0</v>
      </c>
      <c r="X41" s="14" cm="1">
        <f t="array" ref="X41">INT(SUMPRODUCT(--ISNUMBER(SEARCH(voting,C41)))&gt;0)</f>
        <v>0</v>
      </c>
      <c r="Y41" s="35" cm="1">
        <f t="array" ref="Y41">INT(SUMPRODUCT(--ISNUMBER(SEARCH(republicantrigger,C41)))&gt;0)</f>
        <v>1</v>
      </c>
      <c r="Z41" s="35" cm="1">
        <f t="array" ref="Z41">INT(SUMPRODUCT(--ISNUMBER(SEARCH(bipartisan,C41)))&gt;0)</f>
        <v>0</v>
      </c>
      <c r="AA41" s="35">
        <f t="shared" si="0"/>
        <v>0</v>
      </c>
      <c r="AB41" s="14"/>
      <c r="AC41" s="30" t="s">
        <v>223</v>
      </c>
      <c r="AD41" s="37" t="s">
        <v>223</v>
      </c>
    </row>
    <row r="42" spans="1:30" x14ac:dyDescent="0.25">
      <c r="A42" s="36">
        <v>2548</v>
      </c>
      <c r="B42" s="14" t="s">
        <v>5121</v>
      </c>
      <c r="C42" s="14" t="s">
        <v>5122</v>
      </c>
      <c r="D42" s="17">
        <v>44135</v>
      </c>
      <c r="E42" s="14" t="s">
        <v>30</v>
      </c>
      <c r="F42" s="14">
        <v>259</v>
      </c>
      <c r="G42" s="14">
        <v>33</v>
      </c>
      <c r="H42" s="14">
        <v>12</v>
      </c>
      <c r="I42" s="14">
        <v>6</v>
      </c>
      <c r="J42" s="14" t="s">
        <v>31</v>
      </c>
      <c r="K42" s="14" cm="1">
        <f t="array" ref="K42">INT(SUMPRODUCT(--ISNUMBER(SEARCH(economy,C42)))&gt;0)</f>
        <v>0</v>
      </c>
      <c r="L42" s="14" cm="1">
        <f t="array" ref="L42">INT(SUMPRODUCT(--ISNUMBER(SEARCH(healthcare,C42)))&gt;0)</f>
        <v>0</v>
      </c>
      <c r="M42" s="14" cm="1">
        <f t="array" ref="M42">INT(SUMPRODUCT(--ISNUMBER(SEARCH(supreme,C42)))&gt;0)</f>
        <v>0</v>
      </c>
      <c r="N42" s="14" cm="1">
        <f t="array" ref="N42">INT(SUMPRODUCT(--ISNUMBER(SEARCH(covid,C42)))&gt;0)</f>
        <v>0</v>
      </c>
      <c r="O42" s="14" cm="1">
        <f t="array" ref="O42">INT(SUMPRODUCT(--ISNUMBER(SEARCH(violent,C42)))&gt;0)</f>
        <v>0</v>
      </c>
      <c r="P42" s="14" cm="1">
        <f t="array" ref="P42">INT(SUMPRODUCT(--ISNUMBER(SEARCH(foreign,C42)))&gt;0)</f>
        <v>0</v>
      </c>
      <c r="Q42" s="14" cm="1">
        <f t="array" ref="Q42">INT(SUMPRODUCT(--ISNUMBER(SEARCH(gun,C42)))&gt;0)</f>
        <v>0</v>
      </c>
      <c r="R42" s="14" cm="1">
        <f t="array" ref="R42">INT(SUMPRODUCT(--ISNUMBER(SEARCH(race,C42)))&gt;0)</f>
        <v>0</v>
      </c>
      <c r="S42" s="14" cm="1">
        <f t="array" ref="S42">INT(SUMPRODUCT(--ISNUMBER(SEARCH(immigration,C42)))&gt;0)</f>
        <v>0</v>
      </c>
      <c r="T42" s="14" cm="1">
        <f t="array" ref="T42">INT(SUMPRODUCT(--ISNUMBER(SEARCH(econineq,C43)))&gt;0)</f>
        <v>0</v>
      </c>
      <c r="U42" s="14" cm="1">
        <f t="array" ref="U42">INT(SUMPRODUCT(--ISNUMBER(SEARCH(climate,C42)))&gt;0)</f>
        <v>0</v>
      </c>
      <c r="V42" s="14" cm="1">
        <f t="array" ref="V42">INT(SUMPRODUCT(--ISNUMBER(SEARCH(abortion,C42)))&gt;0)</f>
        <v>0</v>
      </c>
      <c r="W42" s="14" cm="1">
        <f t="array" ref="W42">INT(SUMPRODUCT(--ISNUMBER(SEARCH(trump,C42)))&gt;0)</f>
        <v>0</v>
      </c>
      <c r="X42" s="14" cm="1">
        <f t="array" ref="X42">INT(SUMPRODUCT(--ISNUMBER(SEARCH(voting,C42)))&gt;0)</f>
        <v>1</v>
      </c>
      <c r="Y42" s="35" cm="1">
        <f t="array" ref="Y42">INT(SUMPRODUCT(--ISNUMBER(SEARCH(republicantrigger,C42)))&gt;0)</f>
        <v>1</v>
      </c>
      <c r="Z42" s="35" cm="1">
        <f t="array" ref="Z42">INT(SUMPRODUCT(--ISNUMBER(SEARCH(bipartisan,C42)))&gt;0)</f>
        <v>0</v>
      </c>
      <c r="AA42" s="35">
        <f t="shared" si="0"/>
        <v>0</v>
      </c>
      <c r="AB42" s="14"/>
      <c r="AC42" s="30">
        <v>1</v>
      </c>
      <c r="AD42" s="37">
        <v>0</v>
      </c>
    </row>
    <row r="43" spans="1:30" x14ac:dyDescent="0.25">
      <c r="A43" s="36">
        <v>2549</v>
      </c>
      <c r="B43" s="14" t="s">
        <v>5123</v>
      </c>
      <c r="C43" s="14" t="s">
        <v>5124</v>
      </c>
      <c r="D43" s="17">
        <v>44134</v>
      </c>
      <c r="E43" s="14" t="s">
        <v>30</v>
      </c>
      <c r="F43" s="14">
        <v>317</v>
      </c>
      <c r="G43" s="14">
        <v>129</v>
      </c>
      <c r="H43" s="14">
        <v>12</v>
      </c>
      <c r="I43" s="14">
        <v>6</v>
      </c>
      <c r="J43" s="14" t="s">
        <v>31</v>
      </c>
      <c r="K43" s="14" cm="1">
        <f t="array" ref="K43">INT(SUMPRODUCT(--ISNUMBER(SEARCH(economy,C43)))&gt;0)</f>
        <v>0</v>
      </c>
      <c r="L43" s="14" cm="1">
        <f t="array" ref="L43">INT(SUMPRODUCT(--ISNUMBER(SEARCH(healthcare,C43)))&gt;0)</f>
        <v>0</v>
      </c>
      <c r="M43" s="14" cm="1">
        <f t="array" ref="M43">INT(SUMPRODUCT(--ISNUMBER(SEARCH(supreme,C43)))&gt;0)</f>
        <v>0</v>
      </c>
      <c r="N43" s="14" cm="1">
        <f t="array" ref="N43">INT(SUMPRODUCT(--ISNUMBER(SEARCH(covid,C43)))&gt;0)</f>
        <v>0</v>
      </c>
      <c r="O43" s="14" cm="1">
        <f t="array" ref="O43">INT(SUMPRODUCT(--ISNUMBER(SEARCH(violent,C43)))&gt;0)</f>
        <v>0</v>
      </c>
      <c r="P43" s="14" cm="1">
        <f t="array" ref="P43">INT(SUMPRODUCT(--ISNUMBER(SEARCH(foreign,C43)))&gt;0)</f>
        <v>0</v>
      </c>
      <c r="Q43" s="14" cm="1">
        <f t="array" ref="Q43">INT(SUMPRODUCT(--ISNUMBER(SEARCH(gun,C43)))&gt;0)</f>
        <v>0</v>
      </c>
      <c r="R43" s="14" cm="1">
        <f t="array" ref="R43">INT(SUMPRODUCT(--ISNUMBER(SEARCH(race,C43)))&gt;0)</f>
        <v>0</v>
      </c>
      <c r="S43" s="14" cm="1">
        <f t="array" ref="S43">INT(SUMPRODUCT(--ISNUMBER(SEARCH(immigration,C43)))&gt;0)</f>
        <v>0</v>
      </c>
      <c r="T43" s="14" cm="1">
        <f t="array" ref="T43">INT(SUMPRODUCT(--ISNUMBER(SEARCH(econineq,C44)))&gt;0)</f>
        <v>0</v>
      </c>
      <c r="U43" s="14" cm="1">
        <f t="array" ref="U43">INT(SUMPRODUCT(--ISNUMBER(SEARCH(climate,C43)))&gt;0)</f>
        <v>0</v>
      </c>
      <c r="V43" s="14" cm="1">
        <f t="array" ref="V43">INT(SUMPRODUCT(--ISNUMBER(SEARCH(abortion,C43)))&gt;0)</f>
        <v>0</v>
      </c>
      <c r="W43" s="14" cm="1">
        <f t="array" ref="W43">INT(SUMPRODUCT(--ISNUMBER(SEARCH(trump,C43)))&gt;0)</f>
        <v>1</v>
      </c>
      <c r="X43" s="14" cm="1">
        <f t="array" ref="X43">INT(SUMPRODUCT(--ISNUMBER(SEARCH(voting,C43)))&gt;0)</f>
        <v>1</v>
      </c>
      <c r="Y43" s="35" cm="1">
        <f t="array" ref="Y43">INT(SUMPRODUCT(--ISNUMBER(SEARCH(republicantrigger,C43)))&gt;0)</f>
        <v>1</v>
      </c>
      <c r="Z43" s="35" cm="1">
        <f t="array" ref="Z43">INT(SUMPRODUCT(--ISNUMBER(SEARCH(bipartisan,C43)))&gt;0)</f>
        <v>0</v>
      </c>
      <c r="AA43" s="35">
        <f t="shared" si="0"/>
        <v>0</v>
      </c>
      <c r="AB43" s="14"/>
      <c r="AC43" s="30">
        <v>0</v>
      </c>
      <c r="AD43" s="37">
        <v>1</v>
      </c>
    </row>
    <row r="44" spans="1:30" x14ac:dyDescent="0.25">
      <c r="A44" s="36">
        <v>2550</v>
      </c>
      <c r="B44" s="14" t="s">
        <v>5125</v>
      </c>
      <c r="C44" s="14" t="s">
        <v>5126</v>
      </c>
      <c r="D44" s="17">
        <v>44134</v>
      </c>
      <c r="E44" s="14" t="s">
        <v>30</v>
      </c>
      <c r="F44" s="14">
        <v>671</v>
      </c>
      <c r="G44" s="14">
        <v>206</v>
      </c>
      <c r="H44" s="14">
        <v>12</v>
      </c>
      <c r="I44" s="14">
        <v>6</v>
      </c>
      <c r="J44" s="14" t="s">
        <v>31</v>
      </c>
      <c r="K44" s="14" cm="1">
        <f t="array" ref="K44">INT(SUMPRODUCT(--ISNUMBER(SEARCH(economy,C44)))&gt;0)</f>
        <v>0</v>
      </c>
      <c r="L44" s="14" cm="1">
        <f t="array" ref="L44">INT(SUMPRODUCT(--ISNUMBER(SEARCH(healthcare,C44)))&gt;0)</f>
        <v>0</v>
      </c>
      <c r="M44" s="14" cm="1">
        <f t="array" ref="M44">INT(SUMPRODUCT(--ISNUMBER(SEARCH(supreme,C44)))&gt;0)</f>
        <v>0</v>
      </c>
      <c r="N44" s="14" cm="1">
        <f t="array" ref="N44">INT(SUMPRODUCT(--ISNUMBER(SEARCH(covid,C44)))&gt;0)</f>
        <v>0</v>
      </c>
      <c r="O44" s="14" cm="1">
        <f t="array" ref="O44">INT(SUMPRODUCT(--ISNUMBER(SEARCH(violent,C44)))&gt;0)</f>
        <v>0</v>
      </c>
      <c r="P44" s="14" cm="1">
        <f t="array" ref="P44">INT(SUMPRODUCT(--ISNUMBER(SEARCH(foreign,C44)))&gt;0)</f>
        <v>0</v>
      </c>
      <c r="Q44" s="14" cm="1">
        <f t="array" ref="Q44">INT(SUMPRODUCT(--ISNUMBER(SEARCH(gun,C44)))&gt;0)</f>
        <v>0</v>
      </c>
      <c r="R44" s="14" cm="1">
        <f t="array" ref="R44">INT(SUMPRODUCT(--ISNUMBER(SEARCH(race,C44)))&gt;0)</f>
        <v>1</v>
      </c>
      <c r="S44" s="14" cm="1">
        <f t="array" ref="S44">INT(SUMPRODUCT(--ISNUMBER(SEARCH(immigration,C44)))&gt;0)</f>
        <v>0</v>
      </c>
      <c r="T44" s="14" cm="1">
        <f t="array" ref="T44">INT(SUMPRODUCT(--ISNUMBER(SEARCH(econineq,C45)))&gt;0)</f>
        <v>0</v>
      </c>
      <c r="U44" s="14" cm="1">
        <f t="array" ref="U44">INT(SUMPRODUCT(--ISNUMBER(SEARCH(climate,C44)))&gt;0)</f>
        <v>0</v>
      </c>
      <c r="V44" s="14" cm="1">
        <f t="array" ref="V44">INT(SUMPRODUCT(--ISNUMBER(SEARCH(abortion,C44)))&gt;0)</f>
        <v>0</v>
      </c>
      <c r="W44" s="14" cm="1">
        <f t="array" ref="W44">INT(SUMPRODUCT(--ISNUMBER(SEARCH(trump,C44)))&gt;0)</f>
        <v>1</v>
      </c>
      <c r="X44" s="14" cm="1">
        <f t="array" ref="X44">INT(SUMPRODUCT(--ISNUMBER(SEARCH(voting,C44)))&gt;0)</f>
        <v>0</v>
      </c>
      <c r="Y44" s="35" cm="1">
        <f t="array" ref="Y44">INT(SUMPRODUCT(--ISNUMBER(SEARCH(republicantrigger,C44)))&gt;0)</f>
        <v>1</v>
      </c>
      <c r="Z44" s="35" cm="1">
        <f t="array" ref="Z44">INT(SUMPRODUCT(--ISNUMBER(SEARCH(bipartisan,C44)))&gt;0)</f>
        <v>0</v>
      </c>
      <c r="AA44" s="35">
        <f t="shared" si="0"/>
        <v>0</v>
      </c>
      <c r="AB44" s="14"/>
      <c r="AC44" s="30">
        <v>1</v>
      </c>
      <c r="AD44" s="37">
        <v>0</v>
      </c>
    </row>
    <row r="45" spans="1:30" x14ac:dyDescent="0.25">
      <c r="A45" s="36">
        <v>2551</v>
      </c>
      <c r="B45" s="14" t="s">
        <v>5127</v>
      </c>
      <c r="C45" s="14" t="s">
        <v>5128</v>
      </c>
      <c r="D45" s="17">
        <v>44134</v>
      </c>
      <c r="E45" s="14" t="s">
        <v>70</v>
      </c>
      <c r="F45" s="14">
        <v>7</v>
      </c>
      <c r="G45" s="14">
        <v>1</v>
      </c>
      <c r="H45" s="14">
        <v>12</v>
      </c>
      <c r="I45" s="14">
        <v>6</v>
      </c>
      <c r="J45" s="14" t="s">
        <v>31</v>
      </c>
      <c r="K45" s="14" cm="1">
        <f t="array" ref="K45">INT(SUMPRODUCT(--ISNUMBER(SEARCH(economy,C45)))&gt;0)</f>
        <v>0</v>
      </c>
      <c r="L45" s="14" cm="1">
        <f t="array" ref="L45">INT(SUMPRODUCT(--ISNUMBER(SEARCH(healthcare,C45)))&gt;0)</f>
        <v>0</v>
      </c>
      <c r="M45" s="14" cm="1">
        <f t="array" ref="M45">INT(SUMPRODUCT(--ISNUMBER(SEARCH(supreme,C45)))&gt;0)</f>
        <v>0</v>
      </c>
      <c r="N45" s="14" cm="1">
        <f t="array" ref="N45">INT(SUMPRODUCT(--ISNUMBER(SEARCH(covid,C45)))&gt;0)</f>
        <v>0</v>
      </c>
      <c r="O45" s="14" cm="1">
        <f t="array" ref="O45">INT(SUMPRODUCT(--ISNUMBER(SEARCH(violent,C45)))&gt;0)</f>
        <v>0</v>
      </c>
      <c r="P45" s="14" cm="1">
        <f t="array" ref="P45">INT(SUMPRODUCT(--ISNUMBER(SEARCH(foreign,C45)))&gt;0)</f>
        <v>0</v>
      </c>
      <c r="Q45" s="14" cm="1">
        <f t="array" ref="Q45">INT(SUMPRODUCT(--ISNUMBER(SEARCH(gun,C45)))&gt;0)</f>
        <v>0</v>
      </c>
      <c r="R45" s="14" cm="1">
        <f t="array" ref="R45">INT(SUMPRODUCT(--ISNUMBER(SEARCH(race,C45)))&gt;0)</f>
        <v>0</v>
      </c>
      <c r="S45" s="14" cm="1">
        <f t="array" ref="S45">INT(SUMPRODUCT(--ISNUMBER(SEARCH(immigration,C45)))&gt;0)</f>
        <v>0</v>
      </c>
      <c r="T45" s="14" cm="1">
        <f t="array" ref="T45">INT(SUMPRODUCT(--ISNUMBER(SEARCH(econineq,C46)))&gt;0)</f>
        <v>0</v>
      </c>
      <c r="U45" s="14" cm="1">
        <f t="array" ref="U45">INT(SUMPRODUCT(--ISNUMBER(SEARCH(climate,C45)))&gt;0)</f>
        <v>0</v>
      </c>
      <c r="V45" s="14" cm="1">
        <f t="array" ref="V45">INT(SUMPRODUCT(--ISNUMBER(SEARCH(abortion,C45)))&gt;0)</f>
        <v>0</v>
      </c>
      <c r="W45" s="14" cm="1">
        <f t="array" ref="W45">INT(SUMPRODUCT(--ISNUMBER(SEARCH(trump,C45)))&gt;0)</f>
        <v>0</v>
      </c>
      <c r="X45" s="14" cm="1">
        <f t="array" ref="X45">INT(SUMPRODUCT(--ISNUMBER(SEARCH(voting,C45)))&gt;0)</f>
        <v>0</v>
      </c>
      <c r="Y45" s="35" cm="1">
        <f t="array" ref="Y45">INT(SUMPRODUCT(--ISNUMBER(SEARCH(republicantrigger,C45)))&gt;0)</f>
        <v>1</v>
      </c>
      <c r="Z45" s="35" cm="1">
        <f t="array" ref="Z45">INT(SUMPRODUCT(--ISNUMBER(SEARCH(bipartisan,C45)))&gt;0)</f>
        <v>0</v>
      </c>
      <c r="AA45" s="35">
        <f t="shared" si="0"/>
        <v>0</v>
      </c>
      <c r="AB45" s="14"/>
      <c r="AC45" s="30">
        <v>1</v>
      </c>
      <c r="AD45" s="37">
        <v>1</v>
      </c>
    </row>
    <row r="46" spans="1:30" x14ac:dyDescent="0.25">
      <c r="A46" s="36">
        <v>2552</v>
      </c>
      <c r="B46" s="14" t="s">
        <v>5129</v>
      </c>
      <c r="C46" s="14" t="s">
        <v>5130</v>
      </c>
      <c r="D46" s="17">
        <v>44134</v>
      </c>
      <c r="E46" s="14" t="s">
        <v>30</v>
      </c>
      <c r="F46" s="14">
        <v>612</v>
      </c>
      <c r="G46" s="14">
        <v>243</v>
      </c>
      <c r="H46" s="14">
        <v>12</v>
      </c>
      <c r="I46" s="14">
        <v>6</v>
      </c>
      <c r="J46" s="14" t="s">
        <v>31</v>
      </c>
      <c r="K46" s="14" cm="1">
        <f t="array" ref="K46">INT(SUMPRODUCT(--ISNUMBER(SEARCH(economy,C46)))&gt;0)</f>
        <v>0</v>
      </c>
      <c r="L46" s="14" cm="1">
        <f t="array" ref="L46">INT(SUMPRODUCT(--ISNUMBER(SEARCH(healthcare,C46)))&gt;0)</f>
        <v>0</v>
      </c>
      <c r="M46" s="14" cm="1">
        <f t="array" ref="M46">INT(SUMPRODUCT(--ISNUMBER(SEARCH(supreme,C46)))&gt;0)</f>
        <v>0</v>
      </c>
      <c r="N46" s="14" cm="1">
        <f t="array" ref="N46">INT(SUMPRODUCT(--ISNUMBER(SEARCH(covid,C46)))&gt;0)</f>
        <v>1</v>
      </c>
      <c r="O46" s="14" cm="1">
        <f t="array" ref="O46">INT(SUMPRODUCT(--ISNUMBER(SEARCH(violent,C46)))&gt;0)</f>
        <v>0</v>
      </c>
      <c r="P46" s="14" cm="1">
        <f t="array" ref="P46">INT(SUMPRODUCT(--ISNUMBER(SEARCH(foreign,C46)))&gt;0)</f>
        <v>0</v>
      </c>
      <c r="Q46" s="14" cm="1">
        <f t="array" ref="Q46">INT(SUMPRODUCT(--ISNUMBER(SEARCH(gun,C46)))&gt;0)</f>
        <v>0</v>
      </c>
      <c r="R46" s="14" cm="1">
        <f t="array" ref="R46">INT(SUMPRODUCT(--ISNUMBER(SEARCH(race,C46)))&gt;0)</f>
        <v>0</v>
      </c>
      <c r="S46" s="14" cm="1">
        <f t="array" ref="S46">INT(SUMPRODUCT(--ISNUMBER(SEARCH(immigration,C46)))&gt;0)</f>
        <v>0</v>
      </c>
      <c r="T46" s="14" cm="1">
        <f t="array" ref="T46">INT(SUMPRODUCT(--ISNUMBER(SEARCH(econineq,C47)))&gt;0)</f>
        <v>0</v>
      </c>
      <c r="U46" s="14" cm="1">
        <f t="array" ref="U46">INT(SUMPRODUCT(--ISNUMBER(SEARCH(climate,C46)))&gt;0)</f>
        <v>0</v>
      </c>
      <c r="V46" s="14" cm="1">
        <f t="array" ref="V46">INT(SUMPRODUCT(--ISNUMBER(SEARCH(abortion,C46)))&gt;0)</f>
        <v>0</v>
      </c>
      <c r="W46" s="14" cm="1">
        <f t="array" ref="W46">INT(SUMPRODUCT(--ISNUMBER(SEARCH(trump,C46)))&gt;0)</f>
        <v>0</v>
      </c>
      <c r="X46" s="14" cm="1">
        <f t="array" ref="X46">INT(SUMPRODUCT(--ISNUMBER(SEARCH(voting,C46)))&gt;0)</f>
        <v>1</v>
      </c>
      <c r="Y46" s="35" cm="1">
        <f t="array" ref="Y46">INT(SUMPRODUCT(--ISNUMBER(SEARCH(republicantrigger,C46)))&gt;0)</f>
        <v>1</v>
      </c>
      <c r="Z46" s="35" cm="1">
        <f t="array" ref="Z46">INT(SUMPRODUCT(--ISNUMBER(SEARCH(bipartisan,C46)))&gt;0)</f>
        <v>0</v>
      </c>
      <c r="AA46" s="35">
        <f t="shared" si="0"/>
        <v>0</v>
      </c>
      <c r="AB46" s="14"/>
      <c r="AC46" s="30" t="s">
        <v>223</v>
      </c>
      <c r="AD46" s="37" t="s">
        <v>223</v>
      </c>
    </row>
    <row r="47" spans="1:30" x14ac:dyDescent="0.25">
      <c r="A47" s="36">
        <v>2553</v>
      </c>
      <c r="B47" s="14" t="s">
        <v>5131</v>
      </c>
      <c r="C47" s="14" t="s">
        <v>5132</v>
      </c>
      <c r="D47" s="17">
        <v>44134</v>
      </c>
      <c r="E47" s="14" t="s">
        <v>30</v>
      </c>
      <c r="F47" s="14">
        <v>547</v>
      </c>
      <c r="G47" s="14">
        <v>145</v>
      </c>
      <c r="H47" s="14">
        <v>12</v>
      </c>
      <c r="I47" s="14">
        <v>6</v>
      </c>
      <c r="J47" s="14" t="s">
        <v>31</v>
      </c>
      <c r="K47" s="14" cm="1">
        <f t="array" ref="K47">INT(SUMPRODUCT(--ISNUMBER(SEARCH(economy,C47)))&gt;0)</f>
        <v>0</v>
      </c>
      <c r="L47" s="14" cm="1">
        <f t="array" ref="L47">INT(SUMPRODUCT(--ISNUMBER(SEARCH(healthcare,C47)))&gt;0)</f>
        <v>0</v>
      </c>
      <c r="M47" s="14" cm="1">
        <f t="array" ref="M47">INT(SUMPRODUCT(--ISNUMBER(SEARCH(supreme,C47)))&gt;0)</f>
        <v>0</v>
      </c>
      <c r="N47" s="14" cm="1">
        <f t="array" ref="N47">INT(SUMPRODUCT(--ISNUMBER(SEARCH(covid,C47)))&gt;0)</f>
        <v>1</v>
      </c>
      <c r="O47" s="14" cm="1">
        <f t="array" ref="O47">INT(SUMPRODUCT(--ISNUMBER(SEARCH(violent,C47)))&gt;0)</f>
        <v>0</v>
      </c>
      <c r="P47" s="14" cm="1">
        <f t="array" ref="P47">INT(SUMPRODUCT(--ISNUMBER(SEARCH(foreign,C47)))&gt;0)</f>
        <v>0</v>
      </c>
      <c r="Q47" s="14" cm="1">
        <f t="array" ref="Q47">INT(SUMPRODUCT(--ISNUMBER(SEARCH(gun,C47)))&gt;0)</f>
        <v>0</v>
      </c>
      <c r="R47" s="14" cm="1">
        <f t="array" ref="R47">INT(SUMPRODUCT(--ISNUMBER(SEARCH(race,C47)))&gt;0)</f>
        <v>0</v>
      </c>
      <c r="S47" s="14" cm="1">
        <f t="array" ref="S47">INT(SUMPRODUCT(--ISNUMBER(SEARCH(immigration,C47)))&gt;0)</f>
        <v>0</v>
      </c>
      <c r="T47" s="14" cm="1">
        <f t="array" ref="T47">INT(SUMPRODUCT(--ISNUMBER(SEARCH(econineq,C48)))&gt;0)</f>
        <v>0</v>
      </c>
      <c r="U47" s="14" cm="1">
        <f t="array" ref="U47">INT(SUMPRODUCT(--ISNUMBER(SEARCH(climate,C47)))&gt;0)</f>
        <v>0</v>
      </c>
      <c r="V47" s="14" cm="1">
        <f t="array" ref="V47">INT(SUMPRODUCT(--ISNUMBER(SEARCH(abortion,C47)))&gt;0)</f>
        <v>0</v>
      </c>
      <c r="W47" s="14" cm="1">
        <f t="array" ref="W47">INT(SUMPRODUCT(--ISNUMBER(SEARCH(trump,C47)))&gt;0)</f>
        <v>1</v>
      </c>
      <c r="X47" s="14" cm="1">
        <f t="array" ref="X47">INT(SUMPRODUCT(--ISNUMBER(SEARCH(voting,C47)))&gt;0)</f>
        <v>1</v>
      </c>
      <c r="Y47" s="35" cm="1">
        <f t="array" ref="Y47">INT(SUMPRODUCT(--ISNUMBER(SEARCH(republicantrigger,C47)))&gt;0)</f>
        <v>1</v>
      </c>
      <c r="Z47" s="35" cm="1">
        <f t="array" ref="Z47">INT(SUMPRODUCT(--ISNUMBER(SEARCH(bipartisan,C47)))&gt;0)</f>
        <v>0</v>
      </c>
      <c r="AA47" s="35">
        <f t="shared" si="0"/>
        <v>0</v>
      </c>
      <c r="AB47" s="14"/>
      <c r="AC47" s="30" t="s">
        <v>223</v>
      </c>
      <c r="AD47" s="37" t="s">
        <v>223</v>
      </c>
    </row>
    <row r="48" spans="1:30" x14ac:dyDescent="0.25">
      <c r="A48" s="36">
        <v>2554</v>
      </c>
      <c r="B48" s="14" t="s">
        <v>5133</v>
      </c>
      <c r="C48" s="14" t="s">
        <v>5134</v>
      </c>
      <c r="D48" s="17">
        <v>44134</v>
      </c>
      <c r="E48" s="14" t="s">
        <v>30</v>
      </c>
      <c r="F48" s="14">
        <v>337</v>
      </c>
      <c r="G48" s="14">
        <v>145</v>
      </c>
      <c r="H48" s="14">
        <v>12</v>
      </c>
      <c r="I48" s="14">
        <v>6</v>
      </c>
      <c r="J48" s="14" t="s">
        <v>31</v>
      </c>
      <c r="K48" s="14" cm="1">
        <f t="array" ref="K48">INT(SUMPRODUCT(--ISNUMBER(SEARCH(economy,C48)))&gt;0)</f>
        <v>0</v>
      </c>
      <c r="L48" s="14" cm="1">
        <f t="array" ref="L48">INT(SUMPRODUCT(--ISNUMBER(SEARCH(healthcare,C48)))&gt;0)</f>
        <v>0</v>
      </c>
      <c r="M48" s="14" cm="1">
        <f t="array" ref="M48">INT(SUMPRODUCT(--ISNUMBER(SEARCH(supreme,C48)))&gt;0)</f>
        <v>0</v>
      </c>
      <c r="N48" s="14" cm="1">
        <f t="array" ref="N48">INT(SUMPRODUCT(--ISNUMBER(SEARCH(covid,C48)))&gt;0)</f>
        <v>0</v>
      </c>
      <c r="O48" s="14" cm="1">
        <f t="array" ref="O48">INT(SUMPRODUCT(--ISNUMBER(SEARCH(violent,C48)))&gt;0)</f>
        <v>1</v>
      </c>
      <c r="P48" s="14" cm="1">
        <f t="array" ref="P48">INT(SUMPRODUCT(--ISNUMBER(SEARCH(foreign,C48)))&gt;0)</f>
        <v>0</v>
      </c>
      <c r="Q48" s="14" cm="1">
        <f t="array" ref="Q48">INT(SUMPRODUCT(--ISNUMBER(SEARCH(gun,C48)))&gt;0)</f>
        <v>0</v>
      </c>
      <c r="R48" s="14" cm="1">
        <f t="array" ref="R48">INT(SUMPRODUCT(--ISNUMBER(SEARCH(race,C48)))&gt;0)</f>
        <v>1</v>
      </c>
      <c r="S48" s="14" cm="1">
        <f t="array" ref="S48">INT(SUMPRODUCT(--ISNUMBER(SEARCH(immigration,C48)))&gt;0)</f>
        <v>0</v>
      </c>
      <c r="T48" s="14" cm="1">
        <f t="array" ref="T48">INT(SUMPRODUCT(--ISNUMBER(SEARCH(econineq,C49)))&gt;0)</f>
        <v>0</v>
      </c>
      <c r="U48" s="14" cm="1">
        <f t="array" ref="U48">INT(SUMPRODUCT(--ISNUMBER(SEARCH(climate,C48)))&gt;0)</f>
        <v>0</v>
      </c>
      <c r="V48" s="14" cm="1">
        <f t="array" ref="V48">INT(SUMPRODUCT(--ISNUMBER(SEARCH(abortion,C48)))&gt;0)</f>
        <v>0</v>
      </c>
      <c r="W48" s="14" cm="1">
        <f t="array" ref="W48">INT(SUMPRODUCT(--ISNUMBER(SEARCH(trump,C48)))&gt;0)</f>
        <v>1</v>
      </c>
      <c r="X48" s="14" cm="1">
        <f t="array" ref="X48">INT(SUMPRODUCT(--ISNUMBER(SEARCH(voting,C48)))&gt;0)</f>
        <v>0</v>
      </c>
      <c r="Y48" s="35" cm="1">
        <f t="array" ref="Y48">INT(SUMPRODUCT(--ISNUMBER(SEARCH(republicantrigger,C48)))&gt;0)</f>
        <v>1</v>
      </c>
      <c r="Z48" s="35" cm="1">
        <f t="array" ref="Z48">INT(SUMPRODUCT(--ISNUMBER(SEARCH(bipartisan,C48)))&gt;0)</f>
        <v>0</v>
      </c>
      <c r="AA48" s="35">
        <f t="shared" si="0"/>
        <v>0</v>
      </c>
      <c r="AB48" s="14"/>
      <c r="AC48" s="30" t="s">
        <v>223</v>
      </c>
      <c r="AD48" s="37" t="s">
        <v>223</v>
      </c>
    </row>
    <row r="49" spans="1:30" x14ac:dyDescent="0.25">
      <c r="A49" s="36">
        <v>2555</v>
      </c>
      <c r="B49" s="14" t="s">
        <v>5135</v>
      </c>
      <c r="C49" s="14" t="s">
        <v>5136</v>
      </c>
      <c r="D49" s="17">
        <v>44134</v>
      </c>
      <c r="E49" s="14" t="s">
        <v>30</v>
      </c>
      <c r="F49" s="14">
        <v>505</v>
      </c>
      <c r="G49" s="14">
        <v>279</v>
      </c>
      <c r="H49" s="14">
        <v>12</v>
      </c>
      <c r="I49" s="14">
        <v>6</v>
      </c>
      <c r="J49" s="14" t="s">
        <v>31</v>
      </c>
      <c r="K49" s="14" cm="1">
        <f t="array" ref="K49">INT(SUMPRODUCT(--ISNUMBER(SEARCH(economy,C49)))&gt;0)</f>
        <v>1</v>
      </c>
      <c r="L49" s="14" cm="1">
        <f t="array" ref="L49">INT(SUMPRODUCT(--ISNUMBER(SEARCH(healthcare,C49)))&gt;0)</f>
        <v>0</v>
      </c>
      <c r="M49" s="14" cm="1">
        <f t="array" ref="M49">INT(SUMPRODUCT(--ISNUMBER(SEARCH(supreme,C49)))&gt;0)</f>
        <v>0</v>
      </c>
      <c r="N49" s="14" cm="1">
        <f t="array" ref="N49">INT(SUMPRODUCT(--ISNUMBER(SEARCH(covid,C49)))&gt;0)</f>
        <v>0</v>
      </c>
      <c r="O49" s="14" cm="1">
        <f t="array" ref="O49">INT(SUMPRODUCT(--ISNUMBER(SEARCH(violent,C49)))&gt;0)</f>
        <v>1</v>
      </c>
      <c r="P49" s="14" cm="1">
        <f t="array" ref="P49">INT(SUMPRODUCT(--ISNUMBER(SEARCH(foreign,C49)))&gt;0)</f>
        <v>0</v>
      </c>
      <c r="Q49" s="14" cm="1">
        <f t="array" ref="Q49">INT(SUMPRODUCT(--ISNUMBER(SEARCH(gun,C49)))&gt;0)</f>
        <v>0</v>
      </c>
      <c r="R49" s="14" cm="1">
        <f t="array" ref="R49">INT(SUMPRODUCT(--ISNUMBER(SEARCH(race,C49)))&gt;0)</f>
        <v>0</v>
      </c>
      <c r="S49" s="14" cm="1">
        <f t="array" ref="S49">INT(SUMPRODUCT(--ISNUMBER(SEARCH(immigration,C49)))&gt;0)</f>
        <v>0</v>
      </c>
      <c r="T49" s="14" cm="1">
        <f t="array" ref="T49">INT(SUMPRODUCT(--ISNUMBER(SEARCH(econineq,C50)))&gt;0)</f>
        <v>0</v>
      </c>
      <c r="U49" s="14" cm="1">
        <f t="array" ref="U49">INT(SUMPRODUCT(--ISNUMBER(SEARCH(climate,C49)))&gt;0)</f>
        <v>0</v>
      </c>
      <c r="V49" s="14" cm="1">
        <f t="array" ref="V49">INT(SUMPRODUCT(--ISNUMBER(SEARCH(abortion,C49)))&gt;0)</f>
        <v>0</v>
      </c>
      <c r="W49" s="14" cm="1">
        <f t="array" ref="W49">INT(SUMPRODUCT(--ISNUMBER(SEARCH(trump,C49)))&gt;0)</f>
        <v>1</v>
      </c>
      <c r="X49" s="14" cm="1">
        <f t="array" ref="X49">INT(SUMPRODUCT(--ISNUMBER(SEARCH(voting,C49)))&gt;0)</f>
        <v>1</v>
      </c>
      <c r="Y49" s="35" cm="1">
        <f t="array" ref="Y49">INT(SUMPRODUCT(--ISNUMBER(SEARCH(republicantrigger,C49)))&gt;0)</f>
        <v>1</v>
      </c>
      <c r="Z49" s="35" cm="1">
        <f t="array" ref="Z49">INT(SUMPRODUCT(--ISNUMBER(SEARCH(bipartisan,C49)))&gt;0)</f>
        <v>0</v>
      </c>
      <c r="AA49" s="35">
        <f t="shared" si="0"/>
        <v>0</v>
      </c>
      <c r="AB49" s="14"/>
      <c r="AC49" s="30" t="s">
        <v>223</v>
      </c>
      <c r="AD49" s="37" t="s">
        <v>223</v>
      </c>
    </row>
    <row r="50" spans="1:30" x14ac:dyDescent="0.25">
      <c r="A50" s="36">
        <v>2556</v>
      </c>
      <c r="B50" s="14" t="s">
        <v>5137</v>
      </c>
      <c r="C50" s="14" t="s">
        <v>5138</v>
      </c>
      <c r="D50" s="17">
        <v>44134</v>
      </c>
      <c r="E50" s="14" t="s">
        <v>30</v>
      </c>
      <c r="F50" s="14">
        <v>103</v>
      </c>
      <c r="G50" s="14">
        <v>47</v>
      </c>
      <c r="H50" s="14">
        <v>12</v>
      </c>
      <c r="I50" s="14">
        <v>6</v>
      </c>
      <c r="J50" s="14" t="s">
        <v>31</v>
      </c>
      <c r="K50" s="14" cm="1">
        <f t="array" ref="K50">INT(SUMPRODUCT(--ISNUMBER(SEARCH(economy,C50)))&gt;0)</f>
        <v>0</v>
      </c>
      <c r="L50" s="14" cm="1">
        <f t="array" ref="L50">INT(SUMPRODUCT(--ISNUMBER(SEARCH(healthcare,C50)))&gt;0)</f>
        <v>0</v>
      </c>
      <c r="M50" s="14" cm="1">
        <f t="array" ref="M50">INT(SUMPRODUCT(--ISNUMBER(SEARCH(supreme,C50)))&gt;0)</f>
        <v>0</v>
      </c>
      <c r="N50" s="14" cm="1">
        <f t="array" ref="N50">INT(SUMPRODUCT(--ISNUMBER(SEARCH(covid,C50)))&gt;0)</f>
        <v>0</v>
      </c>
      <c r="O50" s="14" cm="1">
        <f t="array" ref="O50">INT(SUMPRODUCT(--ISNUMBER(SEARCH(violent,C50)))&gt;0)</f>
        <v>0</v>
      </c>
      <c r="P50" s="14" cm="1">
        <f t="array" ref="P50">INT(SUMPRODUCT(--ISNUMBER(SEARCH(foreign,C50)))&gt;0)</f>
        <v>0</v>
      </c>
      <c r="Q50" s="14" cm="1">
        <f t="array" ref="Q50">INT(SUMPRODUCT(--ISNUMBER(SEARCH(gun,C50)))&gt;0)</f>
        <v>1</v>
      </c>
      <c r="R50" s="14" cm="1">
        <f t="array" ref="R50">INT(SUMPRODUCT(--ISNUMBER(SEARCH(race,C50)))&gt;0)</f>
        <v>0</v>
      </c>
      <c r="S50" s="14" cm="1">
        <f t="array" ref="S50">INT(SUMPRODUCT(--ISNUMBER(SEARCH(immigration,C50)))&gt;0)</f>
        <v>0</v>
      </c>
      <c r="T50" s="14" cm="1">
        <f t="array" ref="T50">INT(SUMPRODUCT(--ISNUMBER(SEARCH(econineq,C51)))&gt;0)</f>
        <v>0</v>
      </c>
      <c r="U50" s="14" cm="1">
        <f t="array" ref="U50">INT(SUMPRODUCT(--ISNUMBER(SEARCH(climate,C50)))&gt;0)</f>
        <v>0</v>
      </c>
      <c r="V50" s="14" cm="1">
        <f t="array" ref="V50">INT(SUMPRODUCT(--ISNUMBER(SEARCH(abortion,C50)))&gt;0)</f>
        <v>0</v>
      </c>
      <c r="W50" s="14" cm="1">
        <f t="array" ref="W50">INT(SUMPRODUCT(--ISNUMBER(SEARCH(trump,C50)))&gt;0)</f>
        <v>0</v>
      </c>
      <c r="X50" s="14" cm="1">
        <f t="array" ref="X50">INT(SUMPRODUCT(--ISNUMBER(SEARCH(voting,C50)))&gt;0)</f>
        <v>1</v>
      </c>
      <c r="Y50" s="35" cm="1">
        <f t="array" ref="Y50">INT(SUMPRODUCT(--ISNUMBER(SEARCH(republicantrigger,C50)))&gt;0)</f>
        <v>1</v>
      </c>
      <c r="Z50" s="35" cm="1">
        <f t="array" ref="Z50">INT(SUMPRODUCT(--ISNUMBER(SEARCH(bipartisan,C50)))&gt;0)</f>
        <v>0</v>
      </c>
      <c r="AA50" s="35">
        <f t="shared" si="0"/>
        <v>0</v>
      </c>
      <c r="AB50" s="14"/>
      <c r="AC50" s="30" t="s">
        <v>223</v>
      </c>
      <c r="AD50" s="37" t="s">
        <v>223</v>
      </c>
    </row>
    <row r="51" spans="1:30" x14ac:dyDescent="0.25">
      <c r="A51" s="36">
        <v>2557</v>
      </c>
      <c r="B51" s="14" t="s">
        <v>5139</v>
      </c>
      <c r="C51" s="14" t="s">
        <v>5140</v>
      </c>
      <c r="D51" s="17">
        <v>44134</v>
      </c>
      <c r="E51" s="14" t="s">
        <v>30</v>
      </c>
      <c r="F51" s="14">
        <v>188</v>
      </c>
      <c r="G51" s="14">
        <v>47</v>
      </c>
      <c r="H51" s="14">
        <v>12</v>
      </c>
      <c r="I51" s="14">
        <v>6</v>
      </c>
      <c r="J51" s="14" t="s">
        <v>31</v>
      </c>
      <c r="K51" s="14" cm="1">
        <f t="array" ref="K51">INT(SUMPRODUCT(--ISNUMBER(SEARCH(economy,C51)))&gt;0)</f>
        <v>0</v>
      </c>
      <c r="L51" s="14" cm="1">
        <f t="array" ref="L51">INT(SUMPRODUCT(--ISNUMBER(SEARCH(healthcare,C51)))&gt;0)</f>
        <v>0</v>
      </c>
      <c r="M51" s="14" cm="1">
        <f t="array" ref="M51">INT(SUMPRODUCT(--ISNUMBER(SEARCH(supreme,C51)))&gt;0)</f>
        <v>0</v>
      </c>
      <c r="N51" s="14" cm="1">
        <f t="array" ref="N51">INT(SUMPRODUCT(--ISNUMBER(SEARCH(covid,C51)))&gt;0)</f>
        <v>0</v>
      </c>
      <c r="O51" s="14" cm="1">
        <f t="array" ref="O51">INT(SUMPRODUCT(--ISNUMBER(SEARCH(violent,C51)))&gt;0)</f>
        <v>0</v>
      </c>
      <c r="P51" s="14" cm="1">
        <f t="array" ref="P51">INT(SUMPRODUCT(--ISNUMBER(SEARCH(foreign,C51)))&gt;0)</f>
        <v>0</v>
      </c>
      <c r="Q51" s="14" cm="1">
        <f t="array" ref="Q51">INT(SUMPRODUCT(--ISNUMBER(SEARCH(gun,C51)))&gt;0)</f>
        <v>0</v>
      </c>
      <c r="R51" s="14" cm="1">
        <f t="array" ref="R51">INT(SUMPRODUCT(--ISNUMBER(SEARCH(race,C51)))&gt;0)</f>
        <v>0</v>
      </c>
      <c r="S51" s="14" cm="1">
        <f t="array" ref="S51">INT(SUMPRODUCT(--ISNUMBER(SEARCH(immigration,C51)))&gt;0)</f>
        <v>0</v>
      </c>
      <c r="T51" s="14" cm="1">
        <f t="array" ref="T51">INT(SUMPRODUCT(--ISNUMBER(SEARCH(econineq,C52)))&gt;0)</f>
        <v>0</v>
      </c>
      <c r="U51" s="14" cm="1">
        <f t="array" ref="U51">INT(SUMPRODUCT(--ISNUMBER(SEARCH(climate,C51)))&gt;0)</f>
        <v>0</v>
      </c>
      <c r="V51" s="14" cm="1">
        <f t="array" ref="V51">INT(SUMPRODUCT(--ISNUMBER(SEARCH(abortion,C51)))&gt;0)</f>
        <v>0</v>
      </c>
      <c r="W51" s="14" cm="1">
        <f t="array" ref="W51">INT(SUMPRODUCT(--ISNUMBER(SEARCH(trump,C51)))&gt;0)</f>
        <v>0</v>
      </c>
      <c r="X51" s="14" cm="1">
        <f t="array" ref="X51">INT(SUMPRODUCT(--ISNUMBER(SEARCH(voting,C51)))&gt;0)</f>
        <v>0</v>
      </c>
      <c r="Y51" s="35" cm="1">
        <f t="array" ref="Y51">INT(SUMPRODUCT(--ISNUMBER(SEARCH(republicantrigger,C51)))&gt;0)</f>
        <v>1</v>
      </c>
      <c r="Z51" s="35" cm="1">
        <f t="array" ref="Z51">INT(SUMPRODUCT(--ISNUMBER(SEARCH(bipartisan,C51)))&gt;0)</f>
        <v>0</v>
      </c>
      <c r="AA51" s="35">
        <f t="shared" si="0"/>
        <v>0</v>
      </c>
      <c r="AB51" s="14"/>
      <c r="AC51" s="30" t="s">
        <v>223</v>
      </c>
      <c r="AD51" s="37" t="s">
        <v>223</v>
      </c>
    </row>
    <row r="52" spans="1:30" x14ac:dyDescent="0.25">
      <c r="A52" s="36">
        <v>2558</v>
      </c>
      <c r="B52" s="14" t="s">
        <v>5141</v>
      </c>
      <c r="C52" s="14" t="s">
        <v>5142</v>
      </c>
      <c r="D52" s="17">
        <v>44133</v>
      </c>
      <c r="E52" s="14" t="s">
        <v>30</v>
      </c>
      <c r="F52" s="14">
        <v>167</v>
      </c>
      <c r="G52" s="14">
        <v>47</v>
      </c>
      <c r="H52" s="14">
        <v>12</v>
      </c>
      <c r="I52" s="14">
        <v>6</v>
      </c>
      <c r="J52" s="14" t="s">
        <v>31</v>
      </c>
      <c r="K52" s="14" cm="1">
        <f t="array" ref="K52">INT(SUMPRODUCT(--ISNUMBER(SEARCH(economy,C52)))&gt;0)</f>
        <v>0</v>
      </c>
      <c r="L52" s="14" cm="1">
        <f t="array" ref="L52">INT(SUMPRODUCT(--ISNUMBER(SEARCH(healthcare,C52)))&gt;0)</f>
        <v>0</v>
      </c>
      <c r="M52" s="14" cm="1">
        <f t="array" ref="M52">INT(SUMPRODUCT(--ISNUMBER(SEARCH(supreme,C52)))&gt;0)</f>
        <v>0</v>
      </c>
      <c r="N52" s="14" cm="1">
        <f t="array" ref="N52">INT(SUMPRODUCT(--ISNUMBER(SEARCH(covid,C52)))&gt;0)</f>
        <v>0</v>
      </c>
      <c r="O52" s="14" cm="1">
        <f t="array" ref="O52">INT(SUMPRODUCT(--ISNUMBER(SEARCH(violent,C52)))&gt;0)</f>
        <v>0</v>
      </c>
      <c r="P52" s="14" cm="1">
        <f t="array" ref="P52">INT(SUMPRODUCT(--ISNUMBER(SEARCH(foreign,C52)))&gt;0)</f>
        <v>0</v>
      </c>
      <c r="Q52" s="14" cm="1">
        <f t="array" ref="Q52">INT(SUMPRODUCT(--ISNUMBER(SEARCH(gun,C52)))&gt;0)</f>
        <v>0</v>
      </c>
      <c r="R52" s="14" cm="1">
        <f t="array" ref="R52">INT(SUMPRODUCT(--ISNUMBER(SEARCH(race,C52)))&gt;0)</f>
        <v>0</v>
      </c>
      <c r="S52" s="14" cm="1">
        <f t="array" ref="S52">INT(SUMPRODUCT(--ISNUMBER(SEARCH(immigration,C52)))&gt;0)</f>
        <v>0</v>
      </c>
      <c r="T52" s="14" cm="1">
        <f t="array" ref="T52">INT(SUMPRODUCT(--ISNUMBER(SEARCH(econineq,C53)))&gt;0)</f>
        <v>0</v>
      </c>
      <c r="U52" s="14" cm="1">
        <f t="array" ref="U52">INT(SUMPRODUCT(--ISNUMBER(SEARCH(climate,C52)))&gt;0)</f>
        <v>0</v>
      </c>
      <c r="V52" s="14" cm="1">
        <f t="array" ref="V52">INT(SUMPRODUCT(--ISNUMBER(SEARCH(abortion,C52)))&gt;0)</f>
        <v>0</v>
      </c>
      <c r="W52" s="14" cm="1">
        <f t="array" ref="W52">INT(SUMPRODUCT(--ISNUMBER(SEARCH(trump,C52)))&gt;0)</f>
        <v>1</v>
      </c>
      <c r="X52" s="14" cm="1">
        <f t="array" ref="X52">INT(SUMPRODUCT(--ISNUMBER(SEARCH(voting,C52)))&gt;0)</f>
        <v>0</v>
      </c>
      <c r="Y52" s="35" cm="1">
        <f t="array" ref="Y52">INT(SUMPRODUCT(--ISNUMBER(SEARCH(republicantrigger,C52)))&gt;0)</f>
        <v>0</v>
      </c>
      <c r="Z52" s="35" cm="1">
        <f t="array" ref="Z52">INT(SUMPRODUCT(--ISNUMBER(SEARCH(bipartisan,C52)))&gt;0)</f>
        <v>0</v>
      </c>
      <c r="AA52" s="35">
        <f t="shared" si="0"/>
        <v>0</v>
      </c>
      <c r="AB52" s="14"/>
      <c r="AC52" s="30">
        <v>1</v>
      </c>
      <c r="AD52" s="37">
        <v>0</v>
      </c>
    </row>
    <row r="53" spans="1:30" x14ac:dyDescent="0.25">
      <c r="A53" s="36">
        <v>2559</v>
      </c>
      <c r="B53" s="14" t="s">
        <v>5143</v>
      </c>
      <c r="C53" s="14" t="s">
        <v>5144</v>
      </c>
      <c r="D53" s="17">
        <v>44133</v>
      </c>
      <c r="E53" s="14" t="s">
        <v>30</v>
      </c>
      <c r="F53" s="14">
        <v>188</v>
      </c>
      <c r="G53" s="14">
        <v>45</v>
      </c>
      <c r="H53" s="14">
        <v>12</v>
      </c>
      <c r="I53" s="14">
        <v>6</v>
      </c>
      <c r="J53" s="14" t="s">
        <v>31</v>
      </c>
      <c r="K53" s="14" cm="1">
        <f t="array" ref="K53">INT(SUMPRODUCT(--ISNUMBER(SEARCH(economy,C53)))&gt;0)</f>
        <v>1</v>
      </c>
      <c r="L53" s="14" cm="1">
        <f t="array" ref="L53">INT(SUMPRODUCT(--ISNUMBER(SEARCH(healthcare,C53)))&gt;0)</f>
        <v>0</v>
      </c>
      <c r="M53" s="14" cm="1">
        <f t="array" ref="M53">INT(SUMPRODUCT(--ISNUMBER(SEARCH(supreme,C53)))&gt;0)</f>
        <v>0</v>
      </c>
      <c r="N53" s="14" cm="1">
        <f t="array" ref="N53">INT(SUMPRODUCT(--ISNUMBER(SEARCH(covid,C53)))&gt;0)</f>
        <v>0</v>
      </c>
      <c r="O53" s="14" cm="1">
        <f t="array" ref="O53">INT(SUMPRODUCT(--ISNUMBER(SEARCH(violent,C53)))&gt;0)</f>
        <v>0</v>
      </c>
      <c r="P53" s="14" cm="1">
        <f t="array" ref="P53">INT(SUMPRODUCT(--ISNUMBER(SEARCH(foreign,C53)))&gt;0)</f>
        <v>0</v>
      </c>
      <c r="Q53" s="14" cm="1">
        <f t="array" ref="Q53">INT(SUMPRODUCT(--ISNUMBER(SEARCH(gun,C53)))&gt;0)</f>
        <v>0</v>
      </c>
      <c r="R53" s="14" cm="1">
        <f t="array" ref="R53">INT(SUMPRODUCT(--ISNUMBER(SEARCH(race,C53)))&gt;0)</f>
        <v>0</v>
      </c>
      <c r="S53" s="14" cm="1">
        <f t="array" ref="S53">INT(SUMPRODUCT(--ISNUMBER(SEARCH(immigration,C53)))&gt;0)</f>
        <v>0</v>
      </c>
      <c r="T53" s="14" cm="1">
        <f t="array" ref="T53">INT(SUMPRODUCT(--ISNUMBER(SEARCH(econineq,C54)))&gt;0)</f>
        <v>0</v>
      </c>
      <c r="U53" s="14" cm="1">
        <f t="array" ref="U53">INT(SUMPRODUCT(--ISNUMBER(SEARCH(climate,C53)))&gt;0)</f>
        <v>0</v>
      </c>
      <c r="V53" s="14" cm="1">
        <f t="array" ref="V53">INT(SUMPRODUCT(--ISNUMBER(SEARCH(abortion,C53)))&gt;0)</f>
        <v>0</v>
      </c>
      <c r="W53" s="14" cm="1">
        <f t="array" ref="W53">INT(SUMPRODUCT(--ISNUMBER(SEARCH(trump,C53)))&gt;0)</f>
        <v>0</v>
      </c>
      <c r="X53" s="14" cm="1">
        <f t="array" ref="X53">INT(SUMPRODUCT(--ISNUMBER(SEARCH(voting,C53)))&gt;0)</f>
        <v>0</v>
      </c>
      <c r="Y53" s="35" cm="1">
        <f t="array" ref="Y53">INT(SUMPRODUCT(--ISNUMBER(SEARCH(republicantrigger,C53)))&gt;0)</f>
        <v>1</v>
      </c>
      <c r="Z53" s="35" cm="1">
        <f t="array" ref="Z53">INT(SUMPRODUCT(--ISNUMBER(SEARCH(bipartisan,C53)))&gt;0)</f>
        <v>0</v>
      </c>
      <c r="AA53" s="35">
        <f t="shared" si="0"/>
        <v>0</v>
      </c>
      <c r="AB53" s="14"/>
      <c r="AC53" s="30">
        <v>1</v>
      </c>
      <c r="AD53" s="37">
        <v>0</v>
      </c>
    </row>
    <row r="54" spans="1:30" x14ac:dyDescent="0.25">
      <c r="A54" s="36">
        <v>2560</v>
      </c>
      <c r="B54" s="14" t="s">
        <v>5145</v>
      </c>
      <c r="C54" s="14" t="s">
        <v>5146</v>
      </c>
      <c r="D54" s="17">
        <v>44133</v>
      </c>
      <c r="E54" s="14" t="s">
        <v>30</v>
      </c>
      <c r="F54" s="14">
        <v>86</v>
      </c>
      <c r="G54" s="14">
        <v>35</v>
      </c>
      <c r="H54" s="14">
        <v>12</v>
      </c>
      <c r="I54" s="14">
        <v>6</v>
      </c>
      <c r="J54" s="14" t="s">
        <v>31</v>
      </c>
      <c r="K54" s="14" cm="1">
        <f t="array" ref="K54">INT(SUMPRODUCT(--ISNUMBER(SEARCH(economy,C54)))&gt;0)</f>
        <v>0</v>
      </c>
      <c r="L54" s="14" cm="1">
        <f t="array" ref="L54">INT(SUMPRODUCT(--ISNUMBER(SEARCH(healthcare,C54)))&gt;0)</f>
        <v>0</v>
      </c>
      <c r="M54" s="14" cm="1">
        <f t="array" ref="M54">INT(SUMPRODUCT(--ISNUMBER(SEARCH(supreme,C54)))&gt;0)</f>
        <v>0</v>
      </c>
      <c r="N54" s="14" cm="1">
        <f t="array" ref="N54">INT(SUMPRODUCT(--ISNUMBER(SEARCH(covid,C54)))&gt;0)</f>
        <v>0</v>
      </c>
      <c r="O54" s="14" cm="1">
        <f t="array" ref="O54">INT(SUMPRODUCT(--ISNUMBER(SEARCH(violent,C54)))&gt;0)</f>
        <v>0</v>
      </c>
      <c r="P54" s="14" cm="1">
        <f t="array" ref="P54">INT(SUMPRODUCT(--ISNUMBER(SEARCH(foreign,C54)))&gt;0)</f>
        <v>0</v>
      </c>
      <c r="Q54" s="14" cm="1">
        <f t="array" ref="Q54">INT(SUMPRODUCT(--ISNUMBER(SEARCH(gun,C54)))&gt;0)</f>
        <v>0</v>
      </c>
      <c r="R54" s="14" cm="1">
        <f t="array" ref="R54">INT(SUMPRODUCT(--ISNUMBER(SEARCH(race,C54)))&gt;0)</f>
        <v>0</v>
      </c>
      <c r="S54" s="14" cm="1">
        <f t="array" ref="S54">INT(SUMPRODUCT(--ISNUMBER(SEARCH(immigration,C54)))&gt;0)</f>
        <v>0</v>
      </c>
      <c r="T54" s="14" cm="1">
        <f t="array" ref="T54">INT(SUMPRODUCT(--ISNUMBER(SEARCH(econineq,C55)))&gt;0)</f>
        <v>0</v>
      </c>
      <c r="U54" s="14" cm="1">
        <f t="array" ref="U54">INT(SUMPRODUCT(--ISNUMBER(SEARCH(climate,C54)))&gt;0)</f>
        <v>0</v>
      </c>
      <c r="V54" s="14" cm="1">
        <f t="array" ref="V54">INT(SUMPRODUCT(--ISNUMBER(SEARCH(abortion,C54)))&gt;0)</f>
        <v>0</v>
      </c>
      <c r="W54" s="14" cm="1">
        <f t="array" ref="W54">INT(SUMPRODUCT(--ISNUMBER(SEARCH(trump,C54)))&gt;0)</f>
        <v>0</v>
      </c>
      <c r="X54" s="14" cm="1">
        <f t="array" ref="X54">INT(SUMPRODUCT(--ISNUMBER(SEARCH(voting,C54)))&gt;0)</f>
        <v>0</v>
      </c>
      <c r="Y54" s="35" cm="1">
        <f t="array" ref="Y54">INT(SUMPRODUCT(--ISNUMBER(SEARCH(republicantrigger,C54)))&gt;0)</f>
        <v>1</v>
      </c>
      <c r="Z54" s="35" cm="1">
        <f t="array" ref="Z54">INT(SUMPRODUCT(--ISNUMBER(SEARCH(bipartisan,C54)))&gt;0)</f>
        <v>0</v>
      </c>
      <c r="AA54" s="35">
        <f t="shared" si="0"/>
        <v>0</v>
      </c>
      <c r="AB54" s="14"/>
      <c r="AC54" s="30">
        <v>1</v>
      </c>
      <c r="AD54" s="37">
        <v>0</v>
      </c>
    </row>
    <row r="55" spans="1:30" x14ac:dyDescent="0.25">
      <c r="A55" s="36">
        <v>2561</v>
      </c>
      <c r="B55" s="14" t="s">
        <v>5147</v>
      </c>
      <c r="C55" s="14" t="s">
        <v>5148</v>
      </c>
      <c r="D55" s="17">
        <v>44133</v>
      </c>
      <c r="E55" s="14" t="s">
        <v>30</v>
      </c>
      <c r="F55" s="14">
        <v>108</v>
      </c>
      <c r="G55" s="14">
        <v>26</v>
      </c>
      <c r="H55" s="14">
        <v>12</v>
      </c>
      <c r="I55" s="14">
        <v>6</v>
      </c>
      <c r="J55" s="14" t="s">
        <v>31</v>
      </c>
      <c r="K55" s="14" cm="1">
        <f t="array" ref="K55">INT(SUMPRODUCT(--ISNUMBER(SEARCH(economy,C55)))&gt;0)</f>
        <v>0</v>
      </c>
      <c r="L55" s="14" cm="1">
        <f t="array" ref="L55">INT(SUMPRODUCT(--ISNUMBER(SEARCH(healthcare,C55)))&gt;0)</f>
        <v>0</v>
      </c>
      <c r="M55" s="14" cm="1">
        <f t="array" ref="M55">INT(SUMPRODUCT(--ISNUMBER(SEARCH(supreme,C55)))&gt;0)</f>
        <v>0</v>
      </c>
      <c r="N55" s="14" cm="1">
        <f t="array" ref="N55">INT(SUMPRODUCT(--ISNUMBER(SEARCH(covid,C55)))&gt;0)</f>
        <v>0</v>
      </c>
      <c r="O55" s="14" cm="1">
        <f t="array" ref="O55">INT(SUMPRODUCT(--ISNUMBER(SEARCH(violent,C55)))&gt;0)</f>
        <v>0</v>
      </c>
      <c r="P55" s="14" cm="1">
        <f t="array" ref="P55">INT(SUMPRODUCT(--ISNUMBER(SEARCH(foreign,C55)))&gt;0)</f>
        <v>0</v>
      </c>
      <c r="Q55" s="14" cm="1">
        <f t="array" ref="Q55">INT(SUMPRODUCT(--ISNUMBER(SEARCH(gun,C55)))&gt;0)</f>
        <v>0</v>
      </c>
      <c r="R55" s="14" cm="1">
        <f t="array" ref="R55">INT(SUMPRODUCT(--ISNUMBER(SEARCH(race,C55)))&gt;0)</f>
        <v>0</v>
      </c>
      <c r="S55" s="14" cm="1">
        <f t="array" ref="S55">INT(SUMPRODUCT(--ISNUMBER(SEARCH(immigration,C55)))&gt;0)</f>
        <v>0</v>
      </c>
      <c r="T55" s="14" cm="1">
        <f t="array" ref="T55">INT(SUMPRODUCT(--ISNUMBER(SEARCH(econineq,C56)))&gt;0)</f>
        <v>0</v>
      </c>
      <c r="U55" s="14" cm="1">
        <f t="array" ref="U55">INT(SUMPRODUCT(--ISNUMBER(SEARCH(climate,C55)))&gt;0)</f>
        <v>0</v>
      </c>
      <c r="V55" s="14" cm="1">
        <f t="array" ref="V55">INT(SUMPRODUCT(--ISNUMBER(SEARCH(abortion,C55)))&gt;0)</f>
        <v>0</v>
      </c>
      <c r="W55" s="14" cm="1">
        <f t="array" ref="W55">INT(SUMPRODUCT(--ISNUMBER(SEARCH(trump,C55)))&gt;0)</f>
        <v>0</v>
      </c>
      <c r="X55" s="14" cm="1">
        <f t="array" ref="X55">INT(SUMPRODUCT(--ISNUMBER(SEARCH(voting,C55)))&gt;0)</f>
        <v>0</v>
      </c>
      <c r="Y55" s="35" cm="1">
        <f t="array" ref="Y55">INT(SUMPRODUCT(--ISNUMBER(SEARCH(republicantrigger,C55)))&gt;0)</f>
        <v>1</v>
      </c>
      <c r="Z55" s="35" cm="1">
        <f t="array" ref="Z55">INT(SUMPRODUCT(--ISNUMBER(SEARCH(bipartisan,C55)))&gt;0)</f>
        <v>0</v>
      </c>
      <c r="AA55" s="35">
        <f t="shared" si="0"/>
        <v>0</v>
      </c>
      <c r="AB55" s="14"/>
      <c r="AC55" s="30" t="s">
        <v>223</v>
      </c>
      <c r="AD55" s="37" t="s">
        <v>223</v>
      </c>
    </row>
    <row r="56" spans="1:30" x14ac:dyDescent="0.25">
      <c r="A56" s="36">
        <v>2562</v>
      </c>
      <c r="B56" s="14" t="s">
        <v>5149</v>
      </c>
      <c r="C56" s="14" t="s">
        <v>5150</v>
      </c>
      <c r="D56" s="17">
        <v>44133</v>
      </c>
      <c r="E56" s="14" t="s">
        <v>30</v>
      </c>
      <c r="F56" s="14">
        <v>122</v>
      </c>
      <c r="G56" s="14">
        <v>36</v>
      </c>
      <c r="H56" s="14">
        <v>12</v>
      </c>
      <c r="I56" s="14">
        <v>6</v>
      </c>
      <c r="J56" s="14" t="s">
        <v>31</v>
      </c>
      <c r="K56" s="14" cm="1">
        <f t="array" ref="K56">INT(SUMPRODUCT(--ISNUMBER(SEARCH(economy,C56)))&gt;0)</f>
        <v>1</v>
      </c>
      <c r="L56" s="14" cm="1">
        <f t="array" ref="L56">INT(SUMPRODUCT(--ISNUMBER(SEARCH(healthcare,C56)))&gt;0)</f>
        <v>0</v>
      </c>
      <c r="M56" s="14" cm="1">
        <f t="array" ref="M56">INT(SUMPRODUCT(--ISNUMBER(SEARCH(supreme,C56)))&gt;0)</f>
        <v>0</v>
      </c>
      <c r="N56" s="14" cm="1">
        <f t="array" ref="N56">INT(SUMPRODUCT(--ISNUMBER(SEARCH(covid,C56)))&gt;0)</f>
        <v>0</v>
      </c>
      <c r="O56" s="14" cm="1">
        <f t="array" ref="O56">INT(SUMPRODUCT(--ISNUMBER(SEARCH(violent,C56)))&gt;0)</f>
        <v>0</v>
      </c>
      <c r="P56" s="14" cm="1">
        <f t="array" ref="P56">INT(SUMPRODUCT(--ISNUMBER(SEARCH(foreign,C56)))&gt;0)</f>
        <v>0</v>
      </c>
      <c r="Q56" s="14" cm="1">
        <f t="array" ref="Q56">INT(SUMPRODUCT(--ISNUMBER(SEARCH(gun,C56)))&gt;0)</f>
        <v>0</v>
      </c>
      <c r="R56" s="14" cm="1">
        <f t="array" ref="R56">INT(SUMPRODUCT(--ISNUMBER(SEARCH(race,C56)))&gt;0)</f>
        <v>0</v>
      </c>
      <c r="S56" s="14" cm="1">
        <f t="array" ref="S56">INT(SUMPRODUCT(--ISNUMBER(SEARCH(immigration,C56)))&gt;0)</f>
        <v>0</v>
      </c>
      <c r="T56" s="14" cm="1">
        <f t="array" ref="T56">INT(SUMPRODUCT(--ISNUMBER(SEARCH(econineq,C57)))&gt;0)</f>
        <v>0</v>
      </c>
      <c r="U56" s="14" cm="1">
        <f t="array" ref="U56">INT(SUMPRODUCT(--ISNUMBER(SEARCH(climate,C56)))&gt;0)</f>
        <v>0</v>
      </c>
      <c r="V56" s="14" cm="1">
        <f t="array" ref="V56">INT(SUMPRODUCT(--ISNUMBER(SEARCH(abortion,C56)))&gt;0)</f>
        <v>0</v>
      </c>
      <c r="W56" s="14" cm="1">
        <f t="array" ref="W56">INT(SUMPRODUCT(--ISNUMBER(SEARCH(trump,C56)))&gt;0)</f>
        <v>1</v>
      </c>
      <c r="X56" s="14" cm="1">
        <f t="array" ref="X56">INT(SUMPRODUCT(--ISNUMBER(SEARCH(voting,C56)))&gt;0)</f>
        <v>0</v>
      </c>
      <c r="Y56" s="35" cm="1">
        <f t="array" ref="Y56">INT(SUMPRODUCT(--ISNUMBER(SEARCH(republicantrigger,C56)))&gt;0)</f>
        <v>1</v>
      </c>
      <c r="Z56" s="35" cm="1">
        <f t="array" ref="Z56">INT(SUMPRODUCT(--ISNUMBER(SEARCH(bipartisan,C56)))&gt;0)</f>
        <v>0</v>
      </c>
      <c r="AA56" s="35">
        <f t="shared" si="0"/>
        <v>0</v>
      </c>
      <c r="AB56" s="14"/>
      <c r="AC56" s="30">
        <v>1</v>
      </c>
      <c r="AD56" s="37">
        <v>0</v>
      </c>
    </row>
    <row r="57" spans="1:30" x14ac:dyDescent="0.25">
      <c r="A57" s="36">
        <v>2563</v>
      </c>
      <c r="B57" s="14" t="s">
        <v>5151</v>
      </c>
      <c r="C57" s="14" t="s">
        <v>5152</v>
      </c>
      <c r="D57" s="17">
        <v>44133</v>
      </c>
      <c r="E57" s="14" t="s">
        <v>30</v>
      </c>
      <c r="F57" s="14">
        <v>245</v>
      </c>
      <c r="G57" s="14">
        <v>90</v>
      </c>
      <c r="H57" s="14">
        <v>12</v>
      </c>
      <c r="I57" s="14">
        <v>6</v>
      </c>
      <c r="J57" s="14" t="s">
        <v>31</v>
      </c>
      <c r="K57" s="14" cm="1">
        <f t="array" ref="K57">INT(SUMPRODUCT(--ISNUMBER(SEARCH(economy,C57)))&gt;0)</f>
        <v>1</v>
      </c>
      <c r="L57" s="14" cm="1">
        <f t="array" ref="L57">INT(SUMPRODUCT(--ISNUMBER(SEARCH(healthcare,C57)))&gt;0)</f>
        <v>0</v>
      </c>
      <c r="M57" s="14" cm="1">
        <f t="array" ref="M57">INT(SUMPRODUCT(--ISNUMBER(SEARCH(supreme,C57)))&gt;0)</f>
        <v>0</v>
      </c>
      <c r="N57" s="14" cm="1">
        <f t="array" ref="N57">INT(SUMPRODUCT(--ISNUMBER(SEARCH(covid,C57)))&gt;0)</f>
        <v>0</v>
      </c>
      <c r="O57" s="14" cm="1">
        <f t="array" ref="O57">INT(SUMPRODUCT(--ISNUMBER(SEARCH(violent,C57)))&gt;0)</f>
        <v>0</v>
      </c>
      <c r="P57" s="14" cm="1">
        <f t="array" ref="P57">INT(SUMPRODUCT(--ISNUMBER(SEARCH(foreign,C57)))&gt;0)</f>
        <v>0</v>
      </c>
      <c r="Q57" s="14" cm="1">
        <f t="array" ref="Q57">INT(SUMPRODUCT(--ISNUMBER(SEARCH(gun,C57)))&gt;0)</f>
        <v>0</v>
      </c>
      <c r="R57" s="14" cm="1">
        <f t="array" ref="R57">INT(SUMPRODUCT(--ISNUMBER(SEARCH(race,C57)))&gt;0)</f>
        <v>0</v>
      </c>
      <c r="S57" s="14" cm="1">
        <f t="array" ref="S57">INT(SUMPRODUCT(--ISNUMBER(SEARCH(immigration,C57)))&gt;0)</f>
        <v>0</v>
      </c>
      <c r="T57" s="14" cm="1">
        <f t="array" ref="T57">INT(SUMPRODUCT(--ISNUMBER(SEARCH(econineq,C58)))&gt;0)</f>
        <v>0</v>
      </c>
      <c r="U57" s="14" cm="1">
        <f t="array" ref="U57">INT(SUMPRODUCT(--ISNUMBER(SEARCH(climate,C57)))&gt;0)</f>
        <v>0</v>
      </c>
      <c r="V57" s="14" cm="1">
        <f t="array" ref="V57">INT(SUMPRODUCT(--ISNUMBER(SEARCH(abortion,C57)))&gt;0)</f>
        <v>0</v>
      </c>
      <c r="W57" s="14" cm="1">
        <f t="array" ref="W57">INT(SUMPRODUCT(--ISNUMBER(SEARCH(trump,C57)))&gt;0)</f>
        <v>0</v>
      </c>
      <c r="X57" s="14" cm="1">
        <f t="array" ref="X57">INT(SUMPRODUCT(--ISNUMBER(SEARCH(voting,C57)))&gt;0)</f>
        <v>0</v>
      </c>
      <c r="Y57" s="35" cm="1">
        <f t="array" ref="Y57">INT(SUMPRODUCT(--ISNUMBER(SEARCH(republicantrigger,C57)))&gt;0)</f>
        <v>0</v>
      </c>
      <c r="Z57" s="35" cm="1">
        <f t="array" ref="Z57">INT(SUMPRODUCT(--ISNUMBER(SEARCH(bipartisan,C57)))&gt;0)</f>
        <v>0</v>
      </c>
      <c r="AA57" s="35">
        <f t="shared" si="0"/>
        <v>0</v>
      </c>
      <c r="AB57" s="14"/>
      <c r="AC57" s="30" t="s">
        <v>223</v>
      </c>
      <c r="AD57" s="37" t="s">
        <v>223</v>
      </c>
    </row>
    <row r="58" spans="1:30" x14ac:dyDescent="0.25">
      <c r="A58" s="36">
        <v>2564</v>
      </c>
      <c r="B58" s="14" t="s">
        <v>5153</v>
      </c>
      <c r="C58" s="14" t="s">
        <v>5154</v>
      </c>
      <c r="D58" s="17">
        <v>44133</v>
      </c>
      <c r="E58" s="14" t="s">
        <v>30</v>
      </c>
      <c r="F58" s="14">
        <v>145</v>
      </c>
      <c r="G58" s="14">
        <v>20</v>
      </c>
      <c r="H58" s="14">
        <v>12</v>
      </c>
      <c r="I58" s="14">
        <v>6</v>
      </c>
      <c r="J58" s="14" t="s">
        <v>31</v>
      </c>
      <c r="K58" s="14" cm="1">
        <f t="array" ref="K58">INT(SUMPRODUCT(--ISNUMBER(SEARCH(economy,C58)))&gt;0)</f>
        <v>0</v>
      </c>
      <c r="L58" s="14" cm="1">
        <f t="array" ref="L58">INT(SUMPRODUCT(--ISNUMBER(SEARCH(healthcare,C58)))&gt;0)</f>
        <v>0</v>
      </c>
      <c r="M58" s="14" cm="1">
        <f t="array" ref="M58">INT(SUMPRODUCT(--ISNUMBER(SEARCH(supreme,C58)))&gt;0)</f>
        <v>0</v>
      </c>
      <c r="N58" s="14" cm="1">
        <f t="array" ref="N58">INT(SUMPRODUCT(--ISNUMBER(SEARCH(covid,C58)))&gt;0)</f>
        <v>0</v>
      </c>
      <c r="O58" s="14" cm="1">
        <f t="array" ref="O58">INT(SUMPRODUCT(--ISNUMBER(SEARCH(violent,C58)))&gt;0)</f>
        <v>0</v>
      </c>
      <c r="P58" s="14" cm="1">
        <f t="array" ref="P58">INT(SUMPRODUCT(--ISNUMBER(SEARCH(foreign,C58)))&gt;0)</f>
        <v>0</v>
      </c>
      <c r="Q58" s="14" cm="1">
        <f t="array" ref="Q58">INT(SUMPRODUCT(--ISNUMBER(SEARCH(gun,C58)))&gt;0)</f>
        <v>0</v>
      </c>
      <c r="R58" s="14" cm="1">
        <f t="array" ref="R58">INT(SUMPRODUCT(--ISNUMBER(SEARCH(race,C58)))&gt;0)</f>
        <v>0</v>
      </c>
      <c r="S58" s="14" cm="1">
        <f t="array" ref="S58">INT(SUMPRODUCT(--ISNUMBER(SEARCH(immigration,C58)))&gt;0)</f>
        <v>0</v>
      </c>
      <c r="T58" s="14" cm="1">
        <f t="array" ref="T58">INT(SUMPRODUCT(--ISNUMBER(SEARCH(econineq,C59)))&gt;0)</f>
        <v>0</v>
      </c>
      <c r="U58" s="14" cm="1">
        <f t="array" ref="U58">INT(SUMPRODUCT(--ISNUMBER(SEARCH(climate,C58)))&gt;0)</f>
        <v>0</v>
      </c>
      <c r="V58" s="14" cm="1">
        <f t="array" ref="V58">INT(SUMPRODUCT(--ISNUMBER(SEARCH(abortion,C58)))&gt;0)</f>
        <v>0</v>
      </c>
      <c r="W58" s="14" cm="1">
        <f t="array" ref="W58">INT(SUMPRODUCT(--ISNUMBER(SEARCH(trump,C58)))&gt;0)</f>
        <v>0</v>
      </c>
      <c r="X58" s="14" cm="1">
        <f t="array" ref="X58">INT(SUMPRODUCT(--ISNUMBER(SEARCH(voting,C58)))&gt;0)</f>
        <v>1</v>
      </c>
      <c r="Y58" s="35" cm="1">
        <f t="array" ref="Y58">INT(SUMPRODUCT(--ISNUMBER(SEARCH(republicantrigger,C58)))&gt;0)</f>
        <v>0</v>
      </c>
      <c r="Z58" s="35" cm="1">
        <f t="array" ref="Z58">INT(SUMPRODUCT(--ISNUMBER(SEARCH(bipartisan,C58)))&gt;0)</f>
        <v>0</v>
      </c>
      <c r="AA58" s="35">
        <f t="shared" si="0"/>
        <v>0</v>
      </c>
      <c r="AB58" s="14"/>
      <c r="AC58" s="30" t="s">
        <v>223</v>
      </c>
      <c r="AD58" s="37" t="s">
        <v>223</v>
      </c>
    </row>
    <row r="59" spans="1:30" x14ac:dyDescent="0.25">
      <c r="A59" s="36">
        <v>2565</v>
      </c>
      <c r="B59" s="14" t="s">
        <v>5155</v>
      </c>
      <c r="C59" s="14" t="s">
        <v>5156</v>
      </c>
      <c r="D59" s="17">
        <v>44133</v>
      </c>
      <c r="E59" s="14" t="s">
        <v>30</v>
      </c>
      <c r="F59" s="14">
        <v>92</v>
      </c>
      <c r="G59" s="14">
        <v>26</v>
      </c>
      <c r="H59" s="14">
        <v>12</v>
      </c>
      <c r="I59" s="14">
        <v>6</v>
      </c>
      <c r="J59" s="14" t="s">
        <v>31</v>
      </c>
      <c r="K59" s="14" cm="1">
        <f t="array" ref="K59">INT(SUMPRODUCT(--ISNUMBER(SEARCH(economy,C59)))&gt;0)</f>
        <v>0</v>
      </c>
      <c r="L59" s="14" cm="1">
        <f t="array" ref="L59">INT(SUMPRODUCT(--ISNUMBER(SEARCH(healthcare,C59)))&gt;0)</f>
        <v>0</v>
      </c>
      <c r="M59" s="14" cm="1">
        <f t="array" ref="M59">INT(SUMPRODUCT(--ISNUMBER(SEARCH(supreme,C59)))&gt;0)</f>
        <v>0</v>
      </c>
      <c r="N59" s="14" cm="1">
        <f t="array" ref="N59">INT(SUMPRODUCT(--ISNUMBER(SEARCH(covid,C59)))&gt;0)</f>
        <v>0</v>
      </c>
      <c r="O59" s="14" cm="1">
        <f t="array" ref="O59">INT(SUMPRODUCT(--ISNUMBER(SEARCH(violent,C59)))&gt;0)</f>
        <v>0</v>
      </c>
      <c r="P59" s="14" cm="1">
        <f t="array" ref="P59">INT(SUMPRODUCT(--ISNUMBER(SEARCH(foreign,C59)))&gt;0)</f>
        <v>0</v>
      </c>
      <c r="Q59" s="14" cm="1">
        <f t="array" ref="Q59">INT(SUMPRODUCT(--ISNUMBER(SEARCH(gun,C59)))&gt;0)</f>
        <v>0</v>
      </c>
      <c r="R59" s="14" cm="1">
        <f t="array" ref="R59">INT(SUMPRODUCT(--ISNUMBER(SEARCH(race,C59)))&gt;0)</f>
        <v>0</v>
      </c>
      <c r="S59" s="14" cm="1">
        <f t="array" ref="S59">INT(SUMPRODUCT(--ISNUMBER(SEARCH(immigration,C59)))&gt;0)</f>
        <v>0</v>
      </c>
      <c r="T59" s="14" cm="1">
        <f t="array" ref="T59">INT(SUMPRODUCT(--ISNUMBER(SEARCH(econineq,C60)))&gt;0)</f>
        <v>0</v>
      </c>
      <c r="U59" s="14" cm="1">
        <f t="array" ref="U59">INT(SUMPRODUCT(--ISNUMBER(SEARCH(climate,C59)))&gt;0)</f>
        <v>0</v>
      </c>
      <c r="V59" s="14" cm="1">
        <f t="array" ref="V59">INT(SUMPRODUCT(--ISNUMBER(SEARCH(abortion,C59)))&gt;0)</f>
        <v>0</v>
      </c>
      <c r="W59" s="14" cm="1">
        <f t="array" ref="W59">INT(SUMPRODUCT(--ISNUMBER(SEARCH(trump,C59)))&gt;0)</f>
        <v>1</v>
      </c>
      <c r="X59" s="14" cm="1">
        <f t="array" ref="X59">INT(SUMPRODUCT(--ISNUMBER(SEARCH(voting,C59)))&gt;0)</f>
        <v>0</v>
      </c>
      <c r="Y59" s="35" cm="1">
        <f t="array" ref="Y59">INT(SUMPRODUCT(--ISNUMBER(SEARCH(republicantrigger,C59)))&gt;0)</f>
        <v>0</v>
      </c>
      <c r="Z59" s="35" cm="1">
        <f t="array" ref="Z59">INT(SUMPRODUCT(--ISNUMBER(SEARCH(bipartisan,C59)))&gt;0)</f>
        <v>0</v>
      </c>
      <c r="AA59" s="35">
        <f t="shared" si="0"/>
        <v>0</v>
      </c>
      <c r="AB59" s="14"/>
      <c r="AC59" s="30">
        <v>0</v>
      </c>
      <c r="AD59" s="37">
        <v>1</v>
      </c>
    </row>
    <row r="60" spans="1:30" x14ac:dyDescent="0.25">
      <c r="A60" s="36">
        <v>2566</v>
      </c>
      <c r="B60" s="14" t="s">
        <v>5157</v>
      </c>
      <c r="C60" s="14" t="s">
        <v>5158</v>
      </c>
      <c r="D60" s="17">
        <v>44133</v>
      </c>
      <c r="E60" s="14" t="s">
        <v>30</v>
      </c>
      <c r="F60" s="14">
        <v>117</v>
      </c>
      <c r="G60" s="14">
        <v>34</v>
      </c>
      <c r="H60" s="14">
        <v>12</v>
      </c>
      <c r="I60" s="14">
        <v>6</v>
      </c>
      <c r="J60" s="14" t="s">
        <v>31</v>
      </c>
      <c r="K60" s="14" cm="1">
        <f t="array" ref="K60">INT(SUMPRODUCT(--ISNUMBER(SEARCH(economy,C60)))&gt;0)</f>
        <v>1</v>
      </c>
      <c r="L60" s="14" cm="1">
        <f t="array" ref="L60">INT(SUMPRODUCT(--ISNUMBER(SEARCH(healthcare,C60)))&gt;0)</f>
        <v>0</v>
      </c>
      <c r="M60" s="14" cm="1">
        <f t="array" ref="M60">INT(SUMPRODUCT(--ISNUMBER(SEARCH(supreme,C60)))&gt;0)</f>
        <v>0</v>
      </c>
      <c r="N60" s="14" cm="1">
        <f t="array" ref="N60">INT(SUMPRODUCT(--ISNUMBER(SEARCH(covid,C60)))&gt;0)</f>
        <v>1</v>
      </c>
      <c r="O60" s="14" cm="1">
        <f t="array" ref="O60">INT(SUMPRODUCT(--ISNUMBER(SEARCH(violent,C60)))&gt;0)</f>
        <v>0</v>
      </c>
      <c r="P60" s="14" cm="1">
        <f t="array" ref="P60">INT(SUMPRODUCT(--ISNUMBER(SEARCH(foreign,C60)))&gt;0)</f>
        <v>0</v>
      </c>
      <c r="Q60" s="14" cm="1">
        <f t="array" ref="Q60">INT(SUMPRODUCT(--ISNUMBER(SEARCH(gun,C60)))&gt;0)</f>
        <v>0</v>
      </c>
      <c r="R60" s="14" cm="1">
        <f t="array" ref="R60">INT(SUMPRODUCT(--ISNUMBER(SEARCH(race,C60)))&gt;0)</f>
        <v>0</v>
      </c>
      <c r="S60" s="14" cm="1">
        <f t="array" ref="S60">INT(SUMPRODUCT(--ISNUMBER(SEARCH(immigration,C60)))&gt;0)</f>
        <v>0</v>
      </c>
      <c r="T60" s="14" cm="1">
        <f t="array" ref="T60">INT(SUMPRODUCT(--ISNUMBER(SEARCH(econineq,C61)))&gt;0)</f>
        <v>0</v>
      </c>
      <c r="U60" s="14" cm="1">
        <f t="array" ref="U60">INT(SUMPRODUCT(--ISNUMBER(SEARCH(climate,C60)))&gt;0)</f>
        <v>0</v>
      </c>
      <c r="V60" s="14" cm="1">
        <f t="array" ref="V60">INT(SUMPRODUCT(--ISNUMBER(SEARCH(abortion,C60)))&gt;0)</f>
        <v>0</v>
      </c>
      <c r="W60" s="14" cm="1">
        <f t="array" ref="W60">INT(SUMPRODUCT(--ISNUMBER(SEARCH(trump,C60)))&gt;0)</f>
        <v>1</v>
      </c>
      <c r="X60" s="14" cm="1">
        <f t="array" ref="X60">INT(SUMPRODUCT(--ISNUMBER(SEARCH(voting,C60)))&gt;0)</f>
        <v>0</v>
      </c>
      <c r="Y60" s="35" cm="1">
        <f t="array" ref="Y60">INT(SUMPRODUCT(--ISNUMBER(SEARCH(republicantrigger,C60)))&gt;0)</f>
        <v>1</v>
      </c>
      <c r="Z60" s="35" cm="1">
        <f t="array" ref="Z60">INT(SUMPRODUCT(--ISNUMBER(SEARCH(bipartisan,C60)))&gt;0)</f>
        <v>0</v>
      </c>
      <c r="AA60" s="35">
        <f t="shared" si="0"/>
        <v>0</v>
      </c>
      <c r="AB60" s="14"/>
      <c r="AC60" s="30">
        <v>1</v>
      </c>
      <c r="AD60" s="37">
        <v>0</v>
      </c>
    </row>
    <row r="61" spans="1:30" x14ac:dyDescent="0.25">
      <c r="A61" s="36">
        <v>2567</v>
      </c>
      <c r="B61" s="14" t="s">
        <v>5159</v>
      </c>
      <c r="C61" s="14" t="s">
        <v>5160</v>
      </c>
      <c r="D61" s="17">
        <v>44133</v>
      </c>
      <c r="E61" s="14" t="s">
        <v>30</v>
      </c>
      <c r="F61" s="14">
        <v>186</v>
      </c>
      <c r="G61" s="14">
        <v>68</v>
      </c>
      <c r="H61" s="14">
        <v>12</v>
      </c>
      <c r="I61" s="14">
        <v>6</v>
      </c>
      <c r="J61" s="14" t="s">
        <v>31</v>
      </c>
      <c r="K61" s="14" cm="1">
        <f t="array" ref="K61">INT(SUMPRODUCT(--ISNUMBER(SEARCH(economy,C61)))&gt;0)</f>
        <v>1</v>
      </c>
      <c r="L61" s="14" cm="1">
        <f t="array" ref="L61">INT(SUMPRODUCT(--ISNUMBER(SEARCH(healthcare,C61)))&gt;0)</f>
        <v>0</v>
      </c>
      <c r="M61" s="14" cm="1">
        <f t="array" ref="M61">INT(SUMPRODUCT(--ISNUMBER(SEARCH(supreme,C61)))&gt;0)</f>
        <v>0</v>
      </c>
      <c r="N61" s="14" cm="1">
        <f t="array" ref="N61">INT(SUMPRODUCT(--ISNUMBER(SEARCH(covid,C61)))&gt;0)</f>
        <v>0</v>
      </c>
      <c r="O61" s="14" cm="1">
        <f t="array" ref="O61">INT(SUMPRODUCT(--ISNUMBER(SEARCH(violent,C61)))&gt;0)</f>
        <v>0</v>
      </c>
      <c r="P61" s="14" cm="1">
        <f t="array" ref="P61">INT(SUMPRODUCT(--ISNUMBER(SEARCH(foreign,C61)))&gt;0)</f>
        <v>0</v>
      </c>
      <c r="Q61" s="14" cm="1">
        <f t="array" ref="Q61">INT(SUMPRODUCT(--ISNUMBER(SEARCH(gun,C61)))&gt;0)</f>
        <v>0</v>
      </c>
      <c r="R61" s="14" cm="1">
        <f t="array" ref="R61">INT(SUMPRODUCT(--ISNUMBER(SEARCH(race,C61)))&gt;0)</f>
        <v>0</v>
      </c>
      <c r="S61" s="14" cm="1">
        <f t="array" ref="S61">INT(SUMPRODUCT(--ISNUMBER(SEARCH(immigration,C61)))&gt;0)</f>
        <v>0</v>
      </c>
      <c r="T61" s="14" cm="1">
        <f t="array" ref="T61">INT(SUMPRODUCT(--ISNUMBER(SEARCH(econineq,C62)))&gt;0)</f>
        <v>0</v>
      </c>
      <c r="U61" s="14" cm="1">
        <f t="array" ref="U61">INT(SUMPRODUCT(--ISNUMBER(SEARCH(climate,C61)))&gt;0)</f>
        <v>0</v>
      </c>
      <c r="V61" s="14" cm="1">
        <f t="array" ref="V61">INT(SUMPRODUCT(--ISNUMBER(SEARCH(abortion,C61)))&gt;0)</f>
        <v>0</v>
      </c>
      <c r="W61" s="14" cm="1">
        <f t="array" ref="W61">INT(SUMPRODUCT(--ISNUMBER(SEARCH(trump,C61)))&gt;0)</f>
        <v>1</v>
      </c>
      <c r="X61" s="14" cm="1">
        <f t="array" ref="X61">INT(SUMPRODUCT(--ISNUMBER(SEARCH(voting,C61)))&gt;0)</f>
        <v>1</v>
      </c>
      <c r="Y61" s="35" cm="1">
        <f t="array" ref="Y61">INT(SUMPRODUCT(--ISNUMBER(SEARCH(republicantrigger,C61)))&gt;0)</f>
        <v>1</v>
      </c>
      <c r="Z61" s="35" cm="1">
        <f t="array" ref="Z61">INT(SUMPRODUCT(--ISNUMBER(SEARCH(bipartisan,C61)))&gt;0)</f>
        <v>0</v>
      </c>
      <c r="AA61" s="35">
        <f t="shared" si="0"/>
        <v>0</v>
      </c>
      <c r="AB61" s="14"/>
      <c r="AC61" s="30">
        <v>0</v>
      </c>
      <c r="AD61" s="37">
        <v>1</v>
      </c>
    </row>
    <row r="62" spans="1:30" x14ac:dyDescent="0.25">
      <c r="A62" s="36">
        <v>2568</v>
      </c>
      <c r="B62" s="14" t="s">
        <v>5161</v>
      </c>
      <c r="C62" s="14" t="s">
        <v>5162</v>
      </c>
      <c r="D62" s="17">
        <v>44133</v>
      </c>
      <c r="E62" s="14" t="s">
        <v>30</v>
      </c>
      <c r="F62" s="14">
        <v>280</v>
      </c>
      <c r="G62" s="14">
        <v>64</v>
      </c>
      <c r="H62" s="14">
        <v>12</v>
      </c>
      <c r="I62" s="14">
        <v>6</v>
      </c>
      <c r="J62" s="14" t="s">
        <v>31</v>
      </c>
      <c r="K62" s="14" cm="1">
        <f t="array" ref="K62">INT(SUMPRODUCT(--ISNUMBER(SEARCH(economy,C62)))&gt;0)</f>
        <v>0</v>
      </c>
      <c r="L62" s="14" cm="1">
        <f t="array" ref="L62">INT(SUMPRODUCT(--ISNUMBER(SEARCH(healthcare,C62)))&gt;0)</f>
        <v>0</v>
      </c>
      <c r="M62" s="14" cm="1">
        <f t="array" ref="M62">INT(SUMPRODUCT(--ISNUMBER(SEARCH(supreme,C62)))&gt;0)</f>
        <v>0</v>
      </c>
      <c r="N62" s="14" cm="1">
        <f t="array" ref="N62">INT(SUMPRODUCT(--ISNUMBER(SEARCH(covid,C62)))&gt;0)</f>
        <v>0</v>
      </c>
      <c r="O62" s="14" cm="1">
        <f t="array" ref="O62">INT(SUMPRODUCT(--ISNUMBER(SEARCH(violent,C62)))&gt;0)</f>
        <v>0</v>
      </c>
      <c r="P62" s="14" cm="1">
        <f t="array" ref="P62">INT(SUMPRODUCT(--ISNUMBER(SEARCH(foreign,C62)))&gt;0)</f>
        <v>0</v>
      </c>
      <c r="Q62" s="14" cm="1">
        <f t="array" ref="Q62">INT(SUMPRODUCT(--ISNUMBER(SEARCH(gun,C62)))&gt;0)</f>
        <v>0</v>
      </c>
      <c r="R62" s="14" cm="1">
        <f t="array" ref="R62">INT(SUMPRODUCT(--ISNUMBER(SEARCH(race,C62)))&gt;0)</f>
        <v>0</v>
      </c>
      <c r="S62" s="14" cm="1">
        <f t="array" ref="S62">INT(SUMPRODUCT(--ISNUMBER(SEARCH(immigration,C62)))&gt;0)</f>
        <v>0</v>
      </c>
      <c r="T62" s="14" cm="1">
        <f t="array" ref="T62">INT(SUMPRODUCT(--ISNUMBER(SEARCH(econineq,C63)))&gt;0)</f>
        <v>0</v>
      </c>
      <c r="U62" s="14" cm="1">
        <f t="array" ref="U62">INT(SUMPRODUCT(--ISNUMBER(SEARCH(climate,C62)))&gt;0)</f>
        <v>0</v>
      </c>
      <c r="V62" s="14" cm="1">
        <f t="array" ref="V62">INT(SUMPRODUCT(--ISNUMBER(SEARCH(abortion,C62)))&gt;0)</f>
        <v>0</v>
      </c>
      <c r="W62" s="14" cm="1">
        <f t="array" ref="W62">INT(SUMPRODUCT(--ISNUMBER(SEARCH(trump,C62)))&gt;0)</f>
        <v>1</v>
      </c>
      <c r="X62" s="14" cm="1">
        <f t="array" ref="X62">INT(SUMPRODUCT(--ISNUMBER(SEARCH(voting,C62)))&gt;0)</f>
        <v>1</v>
      </c>
      <c r="Y62" s="35" cm="1">
        <f t="array" ref="Y62">INT(SUMPRODUCT(--ISNUMBER(SEARCH(republicantrigger,C62)))&gt;0)</f>
        <v>0</v>
      </c>
      <c r="Z62" s="35" cm="1">
        <f t="array" ref="Z62">INT(SUMPRODUCT(--ISNUMBER(SEARCH(bipartisan,C62)))&gt;0)</f>
        <v>0</v>
      </c>
      <c r="AA62" s="35">
        <f t="shared" si="0"/>
        <v>0</v>
      </c>
      <c r="AB62" s="14"/>
      <c r="AC62" s="30">
        <v>0</v>
      </c>
      <c r="AD62" s="37">
        <v>1</v>
      </c>
    </row>
    <row r="63" spans="1:30" x14ac:dyDescent="0.25">
      <c r="A63" s="36">
        <v>2569</v>
      </c>
      <c r="B63" s="14" t="s">
        <v>5163</v>
      </c>
      <c r="C63" s="14" t="s">
        <v>5164</v>
      </c>
      <c r="D63" s="17">
        <v>44133</v>
      </c>
      <c r="E63" s="14" t="s">
        <v>30</v>
      </c>
      <c r="F63" s="14">
        <v>127</v>
      </c>
      <c r="G63" s="14">
        <v>30</v>
      </c>
      <c r="H63" s="14">
        <v>12</v>
      </c>
      <c r="I63" s="14">
        <v>6</v>
      </c>
      <c r="J63" s="14" t="s">
        <v>31</v>
      </c>
      <c r="K63" s="14" cm="1">
        <f t="array" ref="K63">INT(SUMPRODUCT(--ISNUMBER(SEARCH(economy,C63)))&gt;0)</f>
        <v>0</v>
      </c>
      <c r="L63" s="14" cm="1">
        <f t="array" ref="L63">INT(SUMPRODUCT(--ISNUMBER(SEARCH(healthcare,C63)))&gt;0)</f>
        <v>0</v>
      </c>
      <c r="M63" s="14" cm="1">
        <f t="array" ref="M63">INT(SUMPRODUCT(--ISNUMBER(SEARCH(supreme,C63)))&gt;0)</f>
        <v>0</v>
      </c>
      <c r="N63" s="14" cm="1">
        <f t="array" ref="N63">INT(SUMPRODUCT(--ISNUMBER(SEARCH(covid,C63)))&gt;0)</f>
        <v>0</v>
      </c>
      <c r="O63" s="14" cm="1">
        <f t="array" ref="O63">INT(SUMPRODUCT(--ISNUMBER(SEARCH(violent,C63)))&gt;0)</f>
        <v>0</v>
      </c>
      <c r="P63" s="14" cm="1">
        <f t="array" ref="P63">INT(SUMPRODUCT(--ISNUMBER(SEARCH(foreign,C63)))&gt;0)</f>
        <v>0</v>
      </c>
      <c r="Q63" s="14" cm="1">
        <f t="array" ref="Q63">INT(SUMPRODUCT(--ISNUMBER(SEARCH(gun,C63)))&gt;0)</f>
        <v>0</v>
      </c>
      <c r="R63" s="14" cm="1">
        <f t="array" ref="R63">INT(SUMPRODUCT(--ISNUMBER(SEARCH(race,C63)))&gt;0)</f>
        <v>0</v>
      </c>
      <c r="S63" s="14" cm="1">
        <f t="array" ref="S63">INT(SUMPRODUCT(--ISNUMBER(SEARCH(immigration,C63)))&gt;0)</f>
        <v>0</v>
      </c>
      <c r="T63" s="14" cm="1">
        <f t="array" ref="T63">INT(SUMPRODUCT(--ISNUMBER(SEARCH(econineq,C64)))&gt;0)</f>
        <v>0</v>
      </c>
      <c r="U63" s="14" cm="1">
        <f t="array" ref="U63">INT(SUMPRODUCT(--ISNUMBER(SEARCH(climate,C63)))&gt;0)</f>
        <v>0</v>
      </c>
      <c r="V63" s="14" cm="1">
        <f t="array" ref="V63">INT(SUMPRODUCT(--ISNUMBER(SEARCH(abortion,C63)))&gt;0)</f>
        <v>0</v>
      </c>
      <c r="W63" s="14" cm="1">
        <f t="array" ref="W63">INT(SUMPRODUCT(--ISNUMBER(SEARCH(trump,C63)))&gt;0)</f>
        <v>0</v>
      </c>
      <c r="X63" s="14" cm="1">
        <f t="array" ref="X63">INT(SUMPRODUCT(--ISNUMBER(SEARCH(voting,C63)))&gt;0)</f>
        <v>1</v>
      </c>
      <c r="Y63" s="35" cm="1">
        <f t="array" ref="Y63">INT(SUMPRODUCT(--ISNUMBER(SEARCH(republicantrigger,C63)))&gt;0)</f>
        <v>0</v>
      </c>
      <c r="Z63" s="35" cm="1">
        <f t="array" ref="Z63">INT(SUMPRODUCT(--ISNUMBER(SEARCH(bipartisan,C63)))&gt;0)</f>
        <v>0</v>
      </c>
      <c r="AA63" s="35">
        <f t="shared" si="0"/>
        <v>0</v>
      </c>
      <c r="AB63" s="14"/>
      <c r="AC63" s="30" t="s">
        <v>223</v>
      </c>
      <c r="AD63" s="37" t="s">
        <v>223</v>
      </c>
    </row>
    <row r="64" spans="1:30" x14ac:dyDescent="0.25">
      <c r="A64" s="36">
        <v>2570</v>
      </c>
      <c r="B64" s="14" t="s">
        <v>5165</v>
      </c>
      <c r="C64" s="14" t="s">
        <v>5166</v>
      </c>
      <c r="D64" s="17">
        <v>44133</v>
      </c>
      <c r="E64" s="14" t="s">
        <v>30</v>
      </c>
      <c r="F64" s="14">
        <v>106</v>
      </c>
      <c r="G64" s="14">
        <v>13</v>
      </c>
      <c r="H64" s="14">
        <v>12</v>
      </c>
      <c r="I64" s="14">
        <v>6</v>
      </c>
      <c r="J64" s="14" t="s">
        <v>31</v>
      </c>
      <c r="K64" s="14" cm="1">
        <f t="array" ref="K64">INT(SUMPRODUCT(--ISNUMBER(SEARCH(economy,C64)))&gt;0)</f>
        <v>0</v>
      </c>
      <c r="L64" s="14" cm="1">
        <f t="array" ref="L64">INT(SUMPRODUCT(--ISNUMBER(SEARCH(healthcare,C64)))&gt;0)</f>
        <v>0</v>
      </c>
      <c r="M64" s="14" cm="1">
        <f t="array" ref="M64">INT(SUMPRODUCT(--ISNUMBER(SEARCH(supreme,C64)))&gt;0)</f>
        <v>0</v>
      </c>
      <c r="N64" s="14" cm="1">
        <f t="array" ref="N64">INT(SUMPRODUCT(--ISNUMBER(SEARCH(covid,C64)))&gt;0)</f>
        <v>0</v>
      </c>
      <c r="O64" s="14" cm="1">
        <f t="array" ref="O64">INT(SUMPRODUCT(--ISNUMBER(SEARCH(violent,C64)))&gt;0)</f>
        <v>0</v>
      </c>
      <c r="P64" s="14" cm="1">
        <f t="array" ref="P64">INT(SUMPRODUCT(--ISNUMBER(SEARCH(foreign,C64)))&gt;0)</f>
        <v>0</v>
      </c>
      <c r="Q64" s="14" cm="1">
        <f t="array" ref="Q64">INT(SUMPRODUCT(--ISNUMBER(SEARCH(gun,C64)))&gt;0)</f>
        <v>0</v>
      </c>
      <c r="R64" s="14" cm="1">
        <f t="array" ref="R64">INT(SUMPRODUCT(--ISNUMBER(SEARCH(race,C64)))&gt;0)</f>
        <v>0</v>
      </c>
      <c r="S64" s="14" cm="1">
        <f t="array" ref="S64">INT(SUMPRODUCT(--ISNUMBER(SEARCH(immigration,C64)))&gt;0)</f>
        <v>0</v>
      </c>
      <c r="T64" s="14" cm="1">
        <f t="array" ref="T64">INT(SUMPRODUCT(--ISNUMBER(SEARCH(econineq,C65)))&gt;0)</f>
        <v>0</v>
      </c>
      <c r="U64" s="14" cm="1">
        <f t="array" ref="U64">INT(SUMPRODUCT(--ISNUMBER(SEARCH(climate,C64)))&gt;0)</f>
        <v>0</v>
      </c>
      <c r="V64" s="14" cm="1">
        <f t="array" ref="V64">INT(SUMPRODUCT(--ISNUMBER(SEARCH(abortion,C64)))&gt;0)</f>
        <v>0</v>
      </c>
      <c r="W64" s="14" cm="1">
        <f t="array" ref="W64">INT(SUMPRODUCT(--ISNUMBER(SEARCH(trump,C64)))&gt;0)</f>
        <v>1</v>
      </c>
      <c r="X64" s="14" cm="1">
        <f t="array" ref="X64">INT(SUMPRODUCT(--ISNUMBER(SEARCH(voting,C64)))&gt;0)</f>
        <v>0</v>
      </c>
      <c r="Y64" s="35" cm="1">
        <f t="array" ref="Y64">INT(SUMPRODUCT(--ISNUMBER(SEARCH(republicantrigger,C64)))&gt;0)</f>
        <v>0</v>
      </c>
      <c r="Z64" s="35" cm="1">
        <f t="array" ref="Z64">INT(SUMPRODUCT(--ISNUMBER(SEARCH(bipartisan,C64)))&gt;0)</f>
        <v>0</v>
      </c>
      <c r="AA64" s="35">
        <f t="shared" si="0"/>
        <v>0</v>
      </c>
      <c r="AB64" s="14"/>
      <c r="AC64" s="30" t="s">
        <v>223</v>
      </c>
      <c r="AD64" s="37" t="s">
        <v>223</v>
      </c>
    </row>
    <row r="65" spans="1:30" x14ac:dyDescent="0.25">
      <c r="A65" s="36">
        <v>2571</v>
      </c>
      <c r="B65" s="14" t="s">
        <v>5167</v>
      </c>
      <c r="C65" s="14" t="s">
        <v>5168</v>
      </c>
      <c r="D65" s="17">
        <v>44132</v>
      </c>
      <c r="E65" s="14" t="s">
        <v>30</v>
      </c>
      <c r="F65" s="14">
        <v>507</v>
      </c>
      <c r="G65" s="14">
        <v>80</v>
      </c>
      <c r="H65" s="14">
        <v>12</v>
      </c>
      <c r="I65" s="14">
        <v>6</v>
      </c>
      <c r="J65" s="14" t="s">
        <v>31</v>
      </c>
      <c r="K65" s="14" cm="1">
        <f t="array" ref="K65">INT(SUMPRODUCT(--ISNUMBER(SEARCH(economy,C65)))&gt;0)</f>
        <v>0</v>
      </c>
      <c r="L65" s="14" cm="1">
        <f t="array" ref="L65">INT(SUMPRODUCT(--ISNUMBER(SEARCH(healthcare,C65)))&gt;0)</f>
        <v>1</v>
      </c>
      <c r="M65" s="14" cm="1">
        <f t="array" ref="M65">INT(SUMPRODUCT(--ISNUMBER(SEARCH(supreme,C65)))&gt;0)</f>
        <v>0</v>
      </c>
      <c r="N65" s="14" cm="1">
        <f t="array" ref="N65">INT(SUMPRODUCT(--ISNUMBER(SEARCH(covid,C65)))&gt;0)</f>
        <v>0</v>
      </c>
      <c r="O65" s="14" cm="1">
        <f t="array" ref="O65">INT(SUMPRODUCT(--ISNUMBER(SEARCH(violent,C65)))&gt;0)</f>
        <v>0</v>
      </c>
      <c r="P65" s="14" cm="1">
        <f t="array" ref="P65">INT(SUMPRODUCT(--ISNUMBER(SEARCH(foreign,C65)))&gt;0)</f>
        <v>0</v>
      </c>
      <c r="Q65" s="14" cm="1">
        <f t="array" ref="Q65">INT(SUMPRODUCT(--ISNUMBER(SEARCH(gun,C65)))&gt;0)</f>
        <v>0</v>
      </c>
      <c r="R65" s="14" cm="1">
        <f t="array" ref="R65">INT(SUMPRODUCT(--ISNUMBER(SEARCH(race,C65)))&gt;0)</f>
        <v>0</v>
      </c>
      <c r="S65" s="14" cm="1">
        <f t="array" ref="S65">INT(SUMPRODUCT(--ISNUMBER(SEARCH(immigration,C65)))&gt;0)</f>
        <v>0</v>
      </c>
      <c r="T65" s="14" cm="1">
        <f t="array" ref="T65">INT(SUMPRODUCT(--ISNUMBER(SEARCH(econineq,C66)))&gt;0)</f>
        <v>0</v>
      </c>
      <c r="U65" s="14" cm="1">
        <f t="array" ref="U65">INT(SUMPRODUCT(--ISNUMBER(SEARCH(climate,C65)))&gt;0)</f>
        <v>0</v>
      </c>
      <c r="V65" s="14" cm="1">
        <f t="array" ref="V65">INT(SUMPRODUCT(--ISNUMBER(SEARCH(abortion,C65)))&gt;0)</f>
        <v>0</v>
      </c>
      <c r="W65" s="14" cm="1">
        <f t="array" ref="W65">INT(SUMPRODUCT(--ISNUMBER(SEARCH(trump,C65)))&gt;0)</f>
        <v>0</v>
      </c>
      <c r="X65" s="14" cm="1">
        <f t="array" ref="X65">INT(SUMPRODUCT(--ISNUMBER(SEARCH(voting,C65)))&gt;0)</f>
        <v>1</v>
      </c>
      <c r="Y65" s="35" cm="1">
        <f t="array" ref="Y65">INT(SUMPRODUCT(--ISNUMBER(SEARCH(republicantrigger,C65)))&gt;0)</f>
        <v>1</v>
      </c>
      <c r="Z65" s="35" cm="1">
        <f t="array" ref="Z65">INT(SUMPRODUCT(--ISNUMBER(SEARCH(bipartisan,C65)))&gt;0)</f>
        <v>0</v>
      </c>
      <c r="AA65" s="35">
        <f t="shared" si="0"/>
        <v>0</v>
      </c>
      <c r="AB65" s="14"/>
      <c r="AC65" s="30">
        <v>1</v>
      </c>
      <c r="AD65" s="37">
        <v>0</v>
      </c>
    </row>
    <row r="66" spans="1:30" x14ac:dyDescent="0.25">
      <c r="A66" s="36">
        <v>2572</v>
      </c>
      <c r="B66" s="14" t="s">
        <v>5169</v>
      </c>
      <c r="C66" s="14" t="s">
        <v>5170</v>
      </c>
      <c r="D66" s="17">
        <v>44132</v>
      </c>
      <c r="E66" s="14" t="s">
        <v>70</v>
      </c>
      <c r="F66" s="14">
        <v>39</v>
      </c>
      <c r="G66" s="14">
        <v>11</v>
      </c>
      <c r="H66" s="14">
        <v>12</v>
      </c>
      <c r="I66" s="14">
        <v>6</v>
      </c>
      <c r="J66" s="14" t="s">
        <v>31</v>
      </c>
      <c r="K66" s="14" cm="1">
        <f t="array" ref="K66">INT(SUMPRODUCT(--ISNUMBER(SEARCH(economy,C66)))&gt;0)</f>
        <v>1</v>
      </c>
      <c r="L66" s="14" cm="1">
        <f t="array" ref="L66">INT(SUMPRODUCT(--ISNUMBER(SEARCH(healthcare,C66)))&gt;0)</f>
        <v>0</v>
      </c>
      <c r="M66" s="14" cm="1">
        <f t="array" ref="M66">INT(SUMPRODUCT(--ISNUMBER(SEARCH(supreme,C66)))&gt;0)</f>
        <v>0</v>
      </c>
      <c r="N66" s="14" cm="1">
        <f t="array" ref="N66">INT(SUMPRODUCT(--ISNUMBER(SEARCH(covid,C66)))&gt;0)</f>
        <v>0</v>
      </c>
      <c r="O66" s="14" cm="1">
        <f t="array" ref="O66">INT(SUMPRODUCT(--ISNUMBER(SEARCH(violent,C66)))&gt;0)</f>
        <v>0</v>
      </c>
      <c r="P66" s="14" cm="1">
        <f t="array" ref="P66">INT(SUMPRODUCT(--ISNUMBER(SEARCH(foreign,C66)))&gt;0)</f>
        <v>0</v>
      </c>
      <c r="Q66" s="14" cm="1">
        <f t="array" ref="Q66">INT(SUMPRODUCT(--ISNUMBER(SEARCH(gun,C66)))&gt;0)</f>
        <v>1</v>
      </c>
      <c r="R66" s="14" cm="1">
        <f t="array" ref="R66">INT(SUMPRODUCT(--ISNUMBER(SEARCH(race,C66)))&gt;0)</f>
        <v>0</v>
      </c>
      <c r="S66" s="14" cm="1">
        <f t="array" ref="S66">INT(SUMPRODUCT(--ISNUMBER(SEARCH(immigration,C66)))&gt;0)</f>
        <v>0</v>
      </c>
      <c r="T66" s="14" cm="1">
        <f t="array" ref="T66">INT(SUMPRODUCT(--ISNUMBER(SEARCH(econineq,C67)))&gt;0)</f>
        <v>0</v>
      </c>
      <c r="U66" s="14" cm="1">
        <f t="array" ref="U66">INT(SUMPRODUCT(--ISNUMBER(SEARCH(climate,C66)))&gt;0)</f>
        <v>0</v>
      </c>
      <c r="V66" s="14" cm="1">
        <f t="array" ref="V66">INT(SUMPRODUCT(--ISNUMBER(SEARCH(abortion,C66)))&gt;0)</f>
        <v>0</v>
      </c>
      <c r="W66" s="14" cm="1">
        <f t="array" ref="W66">INT(SUMPRODUCT(--ISNUMBER(SEARCH(trump,C66)))&gt;0)</f>
        <v>0</v>
      </c>
      <c r="X66" s="14" cm="1">
        <f t="array" ref="X66">INT(SUMPRODUCT(--ISNUMBER(SEARCH(voting,C66)))&gt;0)</f>
        <v>1</v>
      </c>
      <c r="Y66" s="35" cm="1">
        <f t="array" ref="Y66">INT(SUMPRODUCT(--ISNUMBER(SEARCH(republicantrigger,C66)))&gt;0)</f>
        <v>0</v>
      </c>
      <c r="Z66" s="35" cm="1">
        <f t="array" ref="Z66">INT(SUMPRODUCT(--ISNUMBER(SEARCH(bipartisan,C66)))&gt;0)</f>
        <v>0</v>
      </c>
      <c r="AA66" s="35">
        <f t="shared" si="0"/>
        <v>0</v>
      </c>
      <c r="AB66" s="14"/>
      <c r="AC66" s="30" t="s">
        <v>223</v>
      </c>
      <c r="AD66" s="37" t="s">
        <v>223</v>
      </c>
    </row>
    <row r="67" spans="1:30" x14ac:dyDescent="0.25">
      <c r="A67" s="36">
        <v>2573</v>
      </c>
      <c r="B67" s="14" t="s">
        <v>5171</v>
      </c>
      <c r="C67" s="14" t="s">
        <v>5172</v>
      </c>
      <c r="D67" s="17">
        <v>44132</v>
      </c>
      <c r="E67" s="14" t="s">
        <v>30</v>
      </c>
      <c r="F67" s="14">
        <v>144</v>
      </c>
      <c r="G67" s="14">
        <v>22</v>
      </c>
      <c r="H67" s="14">
        <v>12</v>
      </c>
      <c r="I67" s="14">
        <v>6</v>
      </c>
      <c r="J67" s="14" t="s">
        <v>31</v>
      </c>
      <c r="K67" s="14" cm="1">
        <f t="array" ref="K67">INT(SUMPRODUCT(--ISNUMBER(SEARCH(economy,C67)))&gt;0)</f>
        <v>0</v>
      </c>
      <c r="L67" s="14" cm="1">
        <f t="array" ref="L67">INT(SUMPRODUCT(--ISNUMBER(SEARCH(healthcare,C67)))&gt;0)</f>
        <v>0</v>
      </c>
      <c r="M67" s="14" cm="1">
        <f t="array" ref="M67">INT(SUMPRODUCT(--ISNUMBER(SEARCH(supreme,C67)))&gt;0)</f>
        <v>0</v>
      </c>
      <c r="N67" s="14" cm="1">
        <f t="array" ref="N67">INT(SUMPRODUCT(--ISNUMBER(SEARCH(covid,C67)))&gt;0)</f>
        <v>0</v>
      </c>
      <c r="O67" s="14" cm="1">
        <f t="array" ref="O67">INT(SUMPRODUCT(--ISNUMBER(SEARCH(violent,C67)))&gt;0)</f>
        <v>0</v>
      </c>
      <c r="P67" s="14" cm="1">
        <f t="array" ref="P67">INT(SUMPRODUCT(--ISNUMBER(SEARCH(foreign,C67)))&gt;0)</f>
        <v>0</v>
      </c>
      <c r="Q67" s="14" cm="1">
        <f t="array" ref="Q67">INT(SUMPRODUCT(--ISNUMBER(SEARCH(gun,C67)))&gt;0)</f>
        <v>0</v>
      </c>
      <c r="R67" s="14" cm="1">
        <f t="array" ref="R67">INT(SUMPRODUCT(--ISNUMBER(SEARCH(race,C67)))&gt;0)</f>
        <v>0</v>
      </c>
      <c r="S67" s="14" cm="1">
        <f t="array" ref="S67">INT(SUMPRODUCT(--ISNUMBER(SEARCH(immigration,C67)))&gt;0)</f>
        <v>0</v>
      </c>
      <c r="T67" s="14" cm="1">
        <f t="array" ref="T67">INT(SUMPRODUCT(--ISNUMBER(SEARCH(econineq,C68)))&gt;0)</f>
        <v>0</v>
      </c>
      <c r="U67" s="14" cm="1">
        <f t="array" ref="U67">INT(SUMPRODUCT(--ISNUMBER(SEARCH(climate,C67)))&gt;0)</f>
        <v>0</v>
      </c>
      <c r="V67" s="14" cm="1">
        <f t="array" ref="V67">INT(SUMPRODUCT(--ISNUMBER(SEARCH(abortion,C67)))&gt;0)</f>
        <v>0</v>
      </c>
      <c r="W67" s="14" cm="1">
        <f t="array" ref="W67">INT(SUMPRODUCT(--ISNUMBER(SEARCH(trump,C67)))&gt;0)</f>
        <v>0</v>
      </c>
      <c r="X67" s="14" cm="1">
        <f t="array" ref="X67">INT(SUMPRODUCT(--ISNUMBER(SEARCH(voting,C67)))&gt;0)</f>
        <v>0</v>
      </c>
      <c r="Y67" s="35" cm="1">
        <f t="array" ref="Y67">INT(SUMPRODUCT(--ISNUMBER(SEARCH(republicantrigger,C67)))&gt;0)</f>
        <v>0</v>
      </c>
      <c r="Z67" s="35" cm="1">
        <f t="array" ref="Z67">INT(SUMPRODUCT(--ISNUMBER(SEARCH(bipartisan,C67)))&gt;0)</f>
        <v>0</v>
      </c>
      <c r="AA67" s="35">
        <f t="shared" ref="AA67:AA130" si="1">INT(IF(COUNTIF(K67:Z67,1)=0,"1","0"))</f>
        <v>1</v>
      </c>
      <c r="AB67" s="14"/>
      <c r="AC67" s="30" t="s">
        <v>223</v>
      </c>
      <c r="AD67" s="37" t="s">
        <v>223</v>
      </c>
    </row>
    <row r="68" spans="1:30" x14ac:dyDescent="0.25">
      <c r="A68" s="36">
        <v>2574</v>
      </c>
      <c r="B68" s="14" t="s">
        <v>5173</v>
      </c>
      <c r="C68" s="14" t="s">
        <v>5174</v>
      </c>
      <c r="D68" s="17">
        <v>44132</v>
      </c>
      <c r="E68" s="14" t="s">
        <v>30</v>
      </c>
      <c r="F68" s="14">
        <v>241</v>
      </c>
      <c r="G68" s="14">
        <v>53</v>
      </c>
      <c r="H68" s="14">
        <v>12</v>
      </c>
      <c r="I68" s="14">
        <v>6</v>
      </c>
      <c r="J68" s="14" t="s">
        <v>31</v>
      </c>
      <c r="K68" s="14" cm="1">
        <f t="array" ref="K68">INT(SUMPRODUCT(--ISNUMBER(SEARCH(economy,C68)))&gt;0)</f>
        <v>0</v>
      </c>
      <c r="L68" s="14" cm="1">
        <f t="array" ref="L68">INT(SUMPRODUCT(--ISNUMBER(SEARCH(healthcare,C68)))&gt;0)</f>
        <v>0</v>
      </c>
      <c r="M68" s="14" cm="1">
        <f t="array" ref="M68">INT(SUMPRODUCT(--ISNUMBER(SEARCH(supreme,C68)))&gt;0)</f>
        <v>0</v>
      </c>
      <c r="N68" s="14" cm="1">
        <f t="array" ref="N68">INT(SUMPRODUCT(--ISNUMBER(SEARCH(covid,C68)))&gt;0)</f>
        <v>0</v>
      </c>
      <c r="O68" s="14" cm="1">
        <f t="array" ref="O68">INT(SUMPRODUCT(--ISNUMBER(SEARCH(violent,C68)))&gt;0)</f>
        <v>0</v>
      </c>
      <c r="P68" s="14" cm="1">
        <f t="array" ref="P68">INT(SUMPRODUCT(--ISNUMBER(SEARCH(foreign,C68)))&gt;0)</f>
        <v>0</v>
      </c>
      <c r="Q68" s="14" cm="1">
        <f t="array" ref="Q68">INT(SUMPRODUCT(--ISNUMBER(SEARCH(gun,C68)))&gt;0)</f>
        <v>0</v>
      </c>
      <c r="R68" s="14" cm="1">
        <f t="array" ref="R68">INT(SUMPRODUCT(--ISNUMBER(SEARCH(race,C68)))&gt;0)</f>
        <v>0</v>
      </c>
      <c r="S68" s="14" cm="1">
        <f t="array" ref="S68">INT(SUMPRODUCT(--ISNUMBER(SEARCH(immigration,C68)))&gt;0)</f>
        <v>0</v>
      </c>
      <c r="T68" s="14" cm="1">
        <f t="array" ref="T68">INT(SUMPRODUCT(--ISNUMBER(SEARCH(econineq,C69)))&gt;0)</f>
        <v>0</v>
      </c>
      <c r="U68" s="14" cm="1">
        <f t="array" ref="U68">INT(SUMPRODUCT(--ISNUMBER(SEARCH(climate,C68)))&gt;0)</f>
        <v>1</v>
      </c>
      <c r="V68" s="14" cm="1">
        <f t="array" ref="V68">INT(SUMPRODUCT(--ISNUMBER(SEARCH(abortion,C68)))&gt;0)</f>
        <v>0</v>
      </c>
      <c r="W68" s="14" cm="1">
        <f t="array" ref="W68">INT(SUMPRODUCT(--ISNUMBER(SEARCH(trump,C68)))&gt;0)</f>
        <v>0</v>
      </c>
      <c r="X68" s="14" cm="1">
        <f t="array" ref="X68">INT(SUMPRODUCT(--ISNUMBER(SEARCH(voting,C68)))&gt;0)</f>
        <v>1</v>
      </c>
      <c r="Y68" s="35" cm="1">
        <f t="array" ref="Y68">INT(SUMPRODUCT(--ISNUMBER(SEARCH(republicantrigger,C68)))&gt;0)</f>
        <v>1</v>
      </c>
      <c r="Z68" s="35" cm="1">
        <f t="array" ref="Z68">INT(SUMPRODUCT(--ISNUMBER(SEARCH(bipartisan,C68)))&gt;0)</f>
        <v>0</v>
      </c>
      <c r="AA68" s="35">
        <f t="shared" si="1"/>
        <v>0</v>
      </c>
      <c r="AB68" s="14"/>
      <c r="AC68" s="30" t="s">
        <v>223</v>
      </c>
      <c r="AD68" s="37" t="s">
        <v>223</v>
      </c>
    </row>
    <row r="69" spans="1:30" x14ac:dyDescent="0.25">
      <c r="A69" s="36">
        <v>2575</v>
      </c>
      <c r="B69" s="14" t="s">
        <v>5175</v>
      </c>
      <c r="C69" s="14" t="s">
        <v>5176</v>
      </c>
      <c r="D69" s="17">
        <v>44132</v>
      </c>
      <c r="E69" s="14" t="s">
        <v>30</v>
      </c>
      <c r="F69" s="14">
        <v>172</v>
      </c>
      <c r="G69" s="14">
        <v>70</v>
      </c>
      <c r="H69" s="14">
        <v>12</v>
      </c>
      <c r="I69" s="14">
        <v>6</v>
      </c>
      <c r="J69" s="14" t="s">
        <v>31</v>
      </c>
      <c r="K69" s="14" cm="1">
        <f t="array" ref="K69">INT(SUMPRODUCT(--ISNUMBER(SEARCH(economy,C69)))&gt;0)</f>
        <v>0</v>
      </c>
      <c r="L69" s="14" cm="1">
        <f t="array" ref="L69">INT(SUMPRODUCT(--ISNUMBER(SEARCH(healthcare,C69)))&gt;0)</f>
        <v>0</v>
      </c>
      <c r="M69" s="14" cm="1">
        <f t="array" ref="M69">INT(SUMPRODUCT(--ISNUMBER(SEARCH(supreme,C69)))&gt;0)</f>
        <v>0</v>
      </c>
      <c r="N69" s="14" cm="1">
        <f t="array" ref="N69">INT(SUMPRODUCT(--ISNUMBER(SEARCH(covid,C69)))&gt;0)</f>
        <v>0</v>
      </c>
      <c r="O69" s="14" cm="1">
        <f t="array" ref="O69">INT(SUMPRODUCT(--ISNUMBER(SEARCH(violent,C69)))&gt;0)</f>
        <v>0</v>
      </c>
      <c r="P69" s="14" cm="1">
        <f t="array" ref="P69">INT(SUMPRODUCT(--ISNUMBER(SEARCH(foreign,C69)))&gt;0)</f>
        <v>0</v>
      </c>
      <c r="Q69" s="14" cm="1">
        <f t="array" ref="Q69">INT(SUMPRODUCT(--ISNUMBER(SEARCH(gun,C69)))&gt;0)</f>
        <v>0</v>
      </c>
      <c r="R69" s="14" cm="1">
        <f t="array" ref="R69">INT(SUMPRODUCT(--ISNUMBER(SEARCH(race,C69)))&gt;0)</f>
        <v>1</v>
      </c>
      <c r="S69" s="14" cm="1">
        <f t="array" ref="S69">INT(SUMPRODUCT(--ISNUMBER(SEARCH(immigration,C69)))&gt;0)</f>
        <v>0</v>
      </c>
      <c r="T69" s="14" cm="1">
        <f t="array" ref="T69">INT(SUMPRODUCT(--ISNUMBER(SEARCH(econineq,C70)))&gt;0)</f>
        <v>0</v>
      </c>
      <c r="U69" s="14" cm="1">
        <f t="array" ref="U69">INT(SUMPRODUCT(--ISNUMBER(SEARCH(climate,C69)))&gt;0)</f>
        <v>0</v>
      </c>
      <c r="V69" s="14" cm="1">
        <f t="array" ref="V69">INT(SUMPRODUCT(--ISNUMBER(SEARCH(abortion,C69)))&gt;0)</f>
        <v>0</v>
      </c>
      <c r="W69" s="14" cm="1">
        <f t="array" ref="W69">INT(SUMPRODUCT(--ISNUMBER(SEARCH(trump,C69)))&gt;0)</f>
        <v>0</v>
      </c>
      <c r="X69" s="14" cm="1">
        <f t="array" ref="X69">INT(SUMPRODUCT(--ISNUMBER(SEARCH(voting,C69)))&gt;0)</f>
        <v>0</v>
      </c>
      <c r="Y69" s="35" cm="1">
        <f t="array" ref="Y69">INT(SUMPRODUCT(--ISNUMBER(SEARCH(republicantrigger,C69)))&gt;0)</f>
        <v>1</v>
      </c>
      <c r="Z69" s="35" cm="1">
        <f t="array" ref="Z69">INT(SUMPRODUCT(--ISNUMBER(SEARCH(bipartisan,C69)))&gt;0)</f>
        <v>0</v>
      </c>
      <c r="AA69" s="35">
        <f t="shared" si="1"/>
        <v>0</v>
      </c>
      <c r="AB69" s="14"/>
      <c r="AC69" s="30">
        <v>0</v>
      </c>
      <c r="AD69" s="37">
        <v>1</v>
      </c>
    </row>
    <row r="70" spans="1:30" x14ac:dyDescent="0.25">
      <c r="A70" s="36">
        <v>2576</v>
      </c>
      <c r="B70" s="14" t="s">
        <v>5177</v>
      </c>
      <c r="C70" s="14" t="s">
        <v>5178</v>
      </c>
      <c r="D70" s="17">
        <v>44132</v>
      </c>
      <c r="E70" s="14" t="s">
        <v>30</v>
      </c>
      <c r="F70" s="14">
        <v>314</v>
      </c>
      <c r="G70" s="14">
        <v>149</v>
      </c>
      <c r="H70" s="14">
        <v>12</v>
      </c>
      <c r="I70" s="14">
        <v>6</v>
      </c>
      <c r="J70" s="14" t="s">
        <v>31</v>
      </c>
      <c r="K70" s="14" cm="1">
        <f t="array" ref="K70">INT(SUMPRODUCT(--ISNUMBER(SEARCH(economy,C70)))&gt;0)</f>
        <v>0</v>
      </c>
      <c r="L70" s="14" cm="1">
        <f t="array" ref="L70">INT(SUMPRODUCT(--ISNUMBER(SEARCH(healthcare,C70)))&gt;0)</f>
        <v>0</v>
      </c>
      <c r="M70" s="14" cm="1">
        <f t="array" ref="M70">INT(SUMPRODUCT(--ISNUMBER(SEARCH(supreme,C70)))&gt;0)</f>
        <v>0</v>
      </c>
      <c r="N70" s="14" cm="1">
        <f t="array" ref="N70">INT(SUMPRODUCT(--ISNUMBER(SEARCH(covid,C70)))&gt;0)</f>
        <v>0</v>
      </c>
      <c r="O70" s="14" cm="1">
        <f t="array" ref="O70">INT(SUMPRODUCT(--ISNUMBER(SEARCH(violent,C70)))&gt;0)</f>
        <v>0</v>
      </c>
      <c r="P70" s="14" cm="1">
        <f t="array" ref="P70">INT(SUMPRODUCT(--ISNUMBER(SEARCH(foreign,C70)))&gt;0)</f>
        <v>0</v>
      </c>
      <c r="Q70" s="14" cm="1">
        <f t="array" ref="Q70">INT(SUMPRODUCT(--ISNUMBER(SEARCH(gun,C70)))&gt;0)</f>
        <v>0</v>
      </c>
      <c r="R70" s="14" cm="1">
        <f t="array" ref="R70">INT(SUMPRODUCT(--ISNUMBER(SEARCH(race,C70)))&gt;0)</f>
        <v>1</v>
      </c>
      <c r="S70" s="14" cm="1">
        <f t="array" ref="S70">INT(SUMPRODUCT(--ISNUMBER(SEARCH(immigration,C70)))&gt;0)</f>
        <v>0</v>
      </c>
      <c r="T70" s="14" cm="1">
        <f t="array" ref="T70">INT(SUMPRODUCT(--ISNUMBER(SEARCH(econineq,C71)))&gt;0)</f>
        <v>0</v>
      </c>
      <c r="U70" s="14" cm="1">
        <f t="array" ref="U70">INT(SUMPRODUCT(--ISNUMBER(SEARCH(climate,C70)))&gt;0)</f>
        <v>0</v>
      </c>
      <c r="V70" s="14" cm="1">
        <f t="array" ref="V70">INT(SUMPRODUCT(--ISNUMBER(SEARCH(abortion,C70)))&gt;0)</f>
        <v>0</v>
      </c>
      <c r="W70" s="14" cm="1">
        <f t="array" ref="W70">INT(SUMPRODUCT(--ISNUMBER(SEARCH(trump,C70)))&gt;0)</f>
        <v>0</v>
      </c>
      <c r="X70" s="14" cm="1">
        <f t="array" ref="X70">INT(SUMPRODUCT(--ISNUMBER(SEARCH(voting,C70)))&gt;0)</f>
        <v>0</v>
      </c>
      <c r="Y70" s="35" cm="1">
        <f t="array" ref="Y70">INT(SUMPRODUCT(--ISNUMBER(SEARCH(republicantrigger,C70)))&gt;0)</f>
        <v>1</v>
      </c>
      <c r="Z70" s="35" cm="1">
        <f t="array" ref="Z70">INT(SUMPRODUCT(--ISNUMBER(SEARCH(bipartisan,C70)))&gt;0)</f>
        <v>0</v>
      </c>
      <c r="AA70" s="35">
        <f t="shared" si="1"/>
        <v>0</v>
      </c>
      <c r="AB70" s="14"/>
      <c r="AC70" s="30">
        <v>0</v>
      </c>
      <c r="AD70" s="37">
        <v>1</v>
      </c>
    </row>
    <row r="71" spans="1:30" x14ac:dyDescent="0.25">
      <c r="A71" s="36">
        <v>2577</v>
      </c>
      <c r="B71" s="14" t="s">
        <v>5179</v>
      </c>
      <c r="C71" s="14" t="s">
        <v>5180</v>
      </c>
      <c r="D71" s="17">
        <v>44132</v>
      </c>
      <c r="E71" s="14" t="s">
        <v>30</v>
      </c>
      <c r="F71" s="14">
        <v>229</v>
      </c>
      <c r="G71" s="14">
        <v>43</v>
      </c>
      <c r="H71" s="14">
        <v>12</v>
      </c>
      <c r="I71" s="14">
        <v>6</v>
      </c>
      <c r="J71" s="14" t="s">
        <v>31</v>
      </c>
      <c r="K71" s="14" cm="1">
        <f t="array" ref="K71">INT(SUMPRODUCT(--ISNUMBER(SEARCH(economy,C71)))&gt;0)</f>
        <v>0</v>
      </c>
      <c r="L71" s="14" cm="1">
        <f t="array" ref="L71">INT(SUMPRODUCT(--ISNUMBER(SEARCH(healthcare,C71)))&gt;0)</f>
        <v>0</v>
      </c>
      <c r="M71" s="14" cm="1">
        <f t="array" ref="M71">INT(SUMPRODUCT(--ISNUMBER(SEARCH(supreme,C71)))&gt;0)</f>
        <v>0</v>
      </c>
      <c r="N71" s="14" cm="1">
        <f t="array" ref="N71">INT(SUMPRODUCT(--ISNUMBER(SEARCH(covid,C71)))&gt;0)</f>
        <v>0</v>
      </c>
      <c r="O71" s="14" cm="1">
        <f t="array" ref="O71">INT(SUMPRODUCT(--ISNUMBER(SEARCH(violent,C71)))&gt;0)</f>
        <v>0</v>
      </c>
      <c r="P71" s="14" cm="1">
        <f t="array" ref="P71">INT(SUMPRODUCT(--ISNUMBER(SEARCH(foreign,C71)))&gt;0)</f>
        <v>0</v>
      </c>
      <c r="Q71" s="14" cm="1">
        <f t="array" ref="Q71">INT(SUMPRODUCT(--ISNUMBER(SEARCH(gun,C71)))&gt;0)</f>
        <v>0</v>
      </c>
      <c r="R71" s="14" cm="1">
        <f t="array" ref="R71">INT(SUMPRODUCT(--ISNUMBER(SEARCH(race,C71)))&gt;0)</f>
        <v>0</v>
      </c>
      <c r="S71" s="14" cm="1">
        <f t="array" ref="S71">INT(SUMPRODUCT(--ISNUMBER(SEARCH(immigration,C71)))&gt;0)</f>
        <v>0</v>
      </c>
      <c r="T71" s="14" cm="1">
        <f t="array" ref="T71">INT(SUMPRODUCT(--ISNUMBER(SEARCH(econineq,C72)))&gt;0)</f>
        <v>0</v>
      </c>
      <c r="U71" s="14" cm="1">
        <f t="array" ref="U71">INT(SUMPRODUCT(--ISNUMBER(SEARCH(climate,C71)))&gt;0)</f>
        <v>0</v>
      </c>
      <c r="V71" s="14" cm="1">
        <f t="array" ref="V71">INT(SUMPRODUCT(--ISNUMBER(SEARCH(abortion,C71)))&gt;0)</f>
        <v>0</v>
      </c>
      <c r="W71" s="14" cm="1">
        <f t="array" ref="W71">INT(SUMPRODUCT(--ISNUMBER(SEARCH(trump,C71)))&gt;0)</f>
        <v>0</v>
      </c>
      <c r="X71" s="14" cm="1">
        <f t="array" ref="X71">INT(SUMPRODUCT(--ISNUMBER(SEARCH(voting,C71)))&gt;0)</f>
        <v>0</v>
      </c>
      <c r="Y71" s="35" cm="1">
        <f t="array" ref="Y71">INT(SUMPRODUCT(--ISNUMBER(SEARCH(republicantrigger,C71)))&gt;0)</f>
        <v>0</v>
      </c>
      <c r="Z71" s="35" cm="1">
        <f t="array" ref="Z71">INT(SUMPRODUCT(--ISNUMBER(SEARCH(bipartisan,C71)))&gt;0)</f>
        <v>0</v>
      </c>
      <c r="AA71" s="35">
        <f t="shared" si="1"/>
        <v>1</v>
      </c>
      <c r="AB71" s="14"/>
      <c r="AC71" s="30" t="s">
        <v>223</v>
      </c>
      <c r="AD71" s="37" t="s">
        <v>223</v>
      </c>
    </row>
    <row r="72" spans="1:30" x14ac:dyDescent="0.25">
      <c r="A72" s="36">
        <v>2578</v>
      </c>
      <c r="B72" s="14" t="s">
        <v>5181</v>
      </c>
      <c r="C72" s="14" t="s">
        <v>5182</v>
      </c>
      <c r="D72" s="17">
        <v>44132</v>
      </c>
      <c r="E72" s="14" t="s">
        <v>30</v>
      </c>
      <c r="F72" s="14">
        <v>113</v>
      </c>
      <c r="G72" s="14">
        <v>24</v>
      </c>
      <c r="H72" s="14">
        <v>12</v>
      </c>
      <c r="I72" s="14">
        <v>6</v>
      </c>
      <c r="J72" s="14" t="s">
        <v>31</v>
      </c>
      <c r="K72" s="14" cm="1">
        <f t="array" ref="K72">INT(SUMPRODUCT(--ISNUMBER(SEARCH(economy,C72)))&gt;0)</f>
        <v>0</v>
      </c>
      <c r="L72" s="14" cm="1">
        <f t="array" ref="L72">INT(SUMPRODUCT(--ISNUMBER(SEARCH(healthcare,C72)))&gt;0)</f>
        <v>0</v>
      </c>
      <c r="M72" s="14" cm="1">
        <f t="array" ref="M72">INT(SUMPRODUCT(--ISNUMBER(SEARCH(supreme,C72)))&gt;0)</f>
        <v>0</v>
      </c>
      <c r="N72" s="14" cm="1">
        <f t="array" ref="N72">INT(SUMPRODUCT(--ISNUMBER(SEARCH(covid,C72)))&gt;0)</f>
        <v>0</v>
      </c>
      <c r="O72" s="14" cm="1">
        <f t="array" ref="O72">INT(SUMPRODUCT(--ISNUMBER(SEARCH(violent,C72)))&gt;0)</f>
        <v>0</v>
      </c>
      <c r="P72" s="14" cm="1">
        <f t="array" ref="P72">INT(SUMPRODUCT(--ISNUMBER(SEARCH(foreign,C72)))&gt;0)</f>
        <v>0</v>
      </c>
      <c r="Q72" s="14" cm="1">
        <f t="array" ref="Q72">INT(SUMPRODUCT(--ISNUMBER(SEARCH(gun,C72)))&gt;0)</f>
        <v>0</v>
      </c>
      <c r="R72" s="14" cm="1">
        <f t="array" ref="R72">INT(SUMPRODUCT(--ISNUMBER(SEARCH(race,C72)))&gt;0)</f>
        <v>0</v>
      </c>
      <c r="S72" s="14" cm="1">
        <f t="array" ref="S72">INT(SUMPRODUCT(--ISNUMBER(SEARCH(immigration,C72)))&gt;0)</f>
        <v>0</v>
      </c>
      <c r="T72" s="14" cm="1">
        <f t="array" ref="T72">INT(SUMPRODUCT(--ISNUMBER(SEARCH(econineq,C73)))&gt;0)</f>
        <v>0</v>
      </c>
      <c r="U72" s="14" cm="1">
        <f t="array" ref="U72">INT(SUMPRODUCT(--ISNUMBER(SEARCH(climate,C72)))&gt;0)</f>
        <v>0</v>
      </c>
      <c r="V72" s="14" cm="1">
        <f t="array" ref="V72">INT(SUMPRODUCT(--ISNUMBER(SEARCH(abortion,C72)))&gt;0)</f>
        <v>0</v>
      </c>
      <c r="W72" s="14" cm="1">
        <f t="array" ref="W72">INT(SUMPRODUCT(--ISNUMBER(SEARCH(trump,C72)))&gt;0)</f>
        <v>1</v>
      </c>
      <c r="X72" s="14" cm="1">
        <f t="array" ref="X72">INT(SUMPRODUCT(--ISNUMBER(SEARCH(voting,C72)))&gt;0)</f>
        <v>0</v>
      </c>
      <c r="Y72" s="35" cm="1">
        <f t="array" ref="Y72">INT(SUMPRODUCT(--ISNUMBER(SEARCH(republicantrigger,C72)))&gt;0)</f>
        <v>0</v>
      </c>
      <c r="Z72" s="35" cm="1">
        <f t="array" ref="Z72">INT(SUMPRODUCT(--ISNUMBER(SEARCH(bipartisan,C72)))&gt;0)</f>
        <v>0</v>
      </c>
      <c r="AA72" s="35">
        <f t="shared" si="1"/>
        <v>0</v>
      </c>
      <c r="AB72" s="14"/>
      <c r="AC72" s="30" t="s">
        <v>223</v>
      </c>
      <c r="AD72" s="37" t="s">
        <v>223</v>
      </c>
    </row>
    <row r="73" spans="1:30" x14ac:dyDescent="0.25">
      <c r="A73" s="36">
        <v>2579</v>
      </c>
      <c r="B73" s="14" t="s">
        <v>5183</v>
      </c>
      <c r="C73" s="14" t="s">
        <v>5184</v>
      </c>
      <c r="D73" s="17">
        <v>44132</v>
      </c>
      <c r="E73" s="14" t="s">
        <v>30</v>
      </c>
      <c r="F73" s="14">
        <v>164</v>
      </c>
      <c r="G73" s="14">
        <v>34</v>
      </c>
      <c r="H73" s="14">
        <v>12</v>
      </c>
      <c r="I73" s="14">
        <v>6</v>
      </c>
      <c r="J73" s="14" t="s">
        <v>31</v>
      </c>
      <c r="K73" s="14" cm="1">
        <f t="array" ref="K73">INT(SUMPRODUCT(--ISNUMBER(SEARCH(economy,C73)))&gt;0)</f>
        <v>1</v>
      </c>
      <c r="L73" s="14" cm="1">
        <f t="array" ref="L73">INT(SUMPRODUCT(--ISNUMBER(SEARCH(healthcare,C73)))&gt;0)</f>
        <v>0</v>
      </c>
      <c r="M73" s="14" cm="1">
        <f t="array" ref="M73">INT(SUMPRODUCT(--ISNUMBER(SEARCH(supreme,C73)))&gt;0)</f>
        <v>0</v>
      </c>
      <c r="N73" s="14" cm="1">
        <f t="array" ref="N73">INT(SUMPRODUCT(--ISNUMBER(SEARCH(covid,C73)))&gt;0)</f>
        <v>0</v>
      </c>
      <c r="O73" s="14" cm="1">
        <f t="array" ref="O73">INT(SUMPRODUCT(--ISNUMBER(SEARCH(violent,C73)))&gt;0)</f>
        <v>0</v>
      </c>
      <c r="P73" s="14" cm="1">
        <f t="array" ref="P73">INT(SUMPRODUCT(--ISNUMBER(SEARCH(foreign,C73)))&gt;0)</f>
        <v>0</v>
      </c>
      <c r="Q73" s="14" cm="1">
        <f t="array" ref="Q73">INT(SUMPRODUCT(--ISNUMBER(SEARCH(gun,C73)))&gt;0)</f>
        <v>0</v>
      </c>
      <c r="R73" s="14" cm="1">
        <f t="array" ref="R73">INT(SUMPRODUCT(--ISNUMBER(SEARCH(race,C73)))&gt;0)</f>
        <v>0</v>
      </c>
      <c r="S73" s="14" cm="1">
        <f t="array" ref="S73">INT(SUMPRODUCT(--ISNUMBER(SEARCH(immigration,C73)))&gt;0)</f>
        <v>0</v>
      </c>
      <c r="T73" s="14" cm="1">
        <f t="array" ref="T73">INT(SUMPRODUCT(--ISNUMBER(SEARCH(econineq,C74)))&gt;0)</f>
        <v>0</v>
      </c>
      <c r="U73" s="14" cm="1">
        <f t="array" ref="U73">INT(SUMPRODUCT(--ISNUMBER(SEARCH(climate,C73)))&gt;0)</f>
        <v>0</v>
      </c>
      <c r="V73" s="14" cm="1">
        <f t="array" ref="V73">INT(SUMPRODUCT(--ISNUMBER(SEARCH(abortion,C73)))&gt;0)</f>
        <v>0</v>
      </c>
      <c r="W73" s="14" cm="1">
        <f t="array" ref="W73">INT(SUMPRODUCT(--ISNUMBER(SEARCH(trump,C73)))&gt;0)</f>
        <v>1</v>
      </c>
      <c r="X73" s="14" cm="1">
        <f t="array" ref="X73">INT(SUMPRODUCT(--ISNUMBER(SEARCH(voting,C73)))&gt;0)</f>
        <v>1</v>
      </c>
      <c r="Y73" s="35" cm="1">
        <f t="array" ref="Y73">INT(SUMPRODUCT(--ISNUMBER(SEARCH(republicantrigger,C73)))&gt;0)</f>
        <v>1</v>
      </c>
      <c r="Z73" s="35" cm="1">
        <f t="array" ref="Z73">INT(SUMPRODUCT(--ISNUMBER(SEARCH(bipartisan,C73)))&gt;0)</f>
        <v>0</v>
      </c>
      <c r="AA73" s="35">
        <f t="shared" si="1"/>
        <v>0</v>
      </c>
      <c r="AB73" s="14"/>
      <c r="AC73" s="30">
        <v>0</v>
      </c>
      <c r="AD73" s="37">
        <v>1</v>
      </c>
    </row>
    <row r="74" spans="1:30" x14ac:dyDescent="0.25">
      <c r="A74" s="36">
        <v>2580</v>
      </c>
      <c r="B74" s="14" t="s">
        <v>5185</v>
      </c>
      <c r="C74" s="14" t="s">
        <v>5186</v>
      </c>
      <c r="D74" s="17">
        <v>44131</v>
      </c>
      <c r="E74" s="14" t="s">
        <v>30</v>
      </c>
      <c r="F74" s="14">
        <v>78</v>
      </c>
      <c r="G74" s="14">
        <v>20</v>
      </c>
      <c r="H74" s="14">
        <v>12</v>
      </c>
      <c r="I74" s="14">
        <v>6</v>
      </c>
      <c r="J74" s="14" t="s">
        <v>31</v>
      </c>
      <c r="K74" s="14" cm="1">
        <f t="array" ref="K74">INT(SUMPRODUCT(--ISNUMBER(SEARCH(economy,C74)))&gt;0)</f>
        <v>0</v>
      </c>
      <c r="L74" s="14" cm="1">
        <f t="array" ref="L74">INT(SUMPRODUCT(--ISNUMBER(SEARCH(healthcare,C74)))&gt;0)</f>
        <v>0</v>
      </c>
      <c r="M74" s="14" cm="1">
        <f t="array" ref="M74">INT(SUMPRODUCT(--ISNUMBER(SEARCH(supreme,C74)))&gt;0)</f>
        <v>0</v>
      </c>
      <c r="N74" s="14" cm="1">
        <f t="array" ref="N74">INT(SUMPRODUCT(--ISNUMBER(SEARCH(covid,C74)))&gt;0)</f>
        <v>0</v>
      </c>
      <c r="O74" s="14" cm="1">
        <f t="array" ref="O74">INT(SUMPRODUCT(--ISNUMBER(SEARCH(violent,C74)))&gt;0)</f>
        <v>0</v>
      </c>
      <c r="P74" s="14" cm="1">
        <f t="array" ref="P74">INT(SUMPRODUCT(--ISNUMBER(SEARCH(foreign,C74)))&gt;0)</f>
        <v>0</v>
      </c>
      <c r="Q74" s="14" cm="1">
        <f t="array" ref="Q74">INT(SUMPRODUCT(--ISNUMBER(SEARCH(gun,C74)))&gt;0)</f>
        <v>0</v>
      </c>
      <c r="R74" s="14" cm="1">
        <f t="array" ref="R74">INT(SUMPRODUCT(--ISNUMBER(SEARCH(race,C74)))&gt;0)</f>
        <v>0</v>
      </c>
      <c r="S74" s="14" cm="1">
        <f t="array" ref="S74">INT(SUMPRODUCT(--ISNUMBER(SEARCH(immigration,C74)))&gt;0)</f>
        <v>0</v>
      </c>
      <c r="T74" s="14" cm="1">
        <f t="array" ref="T74">INT(SUMPRODUCT(--ISNUMBER(SEARCH(econineq,C75)))&gt;0)</f>
        <v>0</v>
      </c>
      <c r="U74" s="14" cm="1">
        <f t="array" ref="U74">INT(SUMPRODUCT(--ISNUMBER(SEARCH(climate,C74)))&gt;0)</f>
        <v>0</v>
      </c>
      <c r="V74" s="14" cm="1">
        <f t="array" ref="V74">INT(SUMPRODUCT(--ISNUMBER(SEARCH(abortion,C74)))&gt;0)</f>
        <v>0</v>
      </c>
      <c r="W74" s="14" cm="1">
        <f t="array" ref="W74">INT(SUMPRODUCT(--ISNUMBER(SEARCH(trump,C74)))&gt;0)</f>
        <v>1</v>
      </c>
      <c r="X74" s="14" cm="1">
        <f t="array" ref="X74">INT(SUMPRODUCT(--ISNUMBER(SEARCH(voting,C74)))&gt;0)</f>
        <v>1</v>
      </c>
      <c r="Y74" s="35" cm="1">
        <f t="array" ref="Y74">INT(SUMPRODUCT(--ISNUMBER(SEARCH(republicantrigger,C74)))&gt;0)</f>
        <v>0</v>
      </c>
      <c r="Z74" s="35" cm="1">
        <f t="array" ref="Z74">INT(SUMPRODUCT(--ISNUMBER(SEARCH(bipartisan,C74)))&gt;0)</f>
        <v>0</v>
      </c>
      <c r="AA74" s="35">
        <f t="shared" si="1"/>
        <v>0</v>
      </c>
      <c r="AB74" s="14"/>
      <c r="AC74" s="30" t="s">
        <v>223</v>
      </c>
      <c r="AD74" s="37" t="s">
        <v>223</v>
      </c>
    </row>
    <row r="75" spans="1:30" x14ac:dyDescent="0.25">
      <c r="A75" s="36">
        <v>2581</v>
      </c>
      <c r="B75" s="14" t="s">
        <v>5187</v>
      </c>
      <c r="C75" s="14" t="s">
        <v>5188</v>
      </c>
      <c r="D75" s="17">
        <v>44131</v>
      </c>
      <c r="E75" s="14" t="s">
        <v>30</v>
      </c>
      <c r="F75" s="14">
        <v>1754</v>
      </c>
      <c r="G75" s="14">
        <v>360</v>
      </c>
      <c r="H75" s="14">
        <v>12</v>
      </c>
      <c r="I75" s="14">
        <v>6</v>
      </c>
      <c r="J75" s="14" t="s">
        <v>31</v>
      </c>
      <c r="K75" s="14" cm="1">
        <f t="array" ref="K75">INT(SUMPRODUCT(--ISNUMBER(SEARCH(economy,C75)))&gt;0)</f>
        <v>0</v>
      </c>
      <c r="L75" s="14" cm="1">
        <f t="array" ref="L75">INT(SUMPRODUCT(--ISNUMBER(SEARCH(healthcare,C75)))&gt;0)</f>
        <v>0</v>
      </c>
      <c r="M75" s="14" cm="1">
        <f t="array" ref="M75">INT(SUMPRODUCT(--ISNUMBER(SEARCH(supreme,C75)))&gt;0)</f>
        <v>0</v>
      </c>
      <c r="N75" s="14" cm="1">
        <f t="array" ref="N75">INT(SUMPRODUCT(--ISNUMBER(SEARCH(covid,C75)))&gt;0)</f>
        <v>0</v>
      </c>
      <c r="O75" s="14" cm="1">
        <f t="array" ref="O75">INT(SUMPRODUCT(--ISNUMBER(SEARCH(violent,C75)))&gt;0)</f>
        <v>0</v>
      </c>
      <c r="P75" s="14" cm="1">
        <f t="array" ref="P75">INT(SUMPRODUCT(--ISNUMBER(SEARCH(foreign,C75)))&gt;0)</f>
        <v>0</v>
      </c>
      <c r="Q75" s="14" cm="1">
        <f t="array" ref="Q75">INT(SUMPRODUCT(--ISNUMBER(SEARCH(gun,C75)))&gt;0)</f>
        <v>0</v>
      </c>
      <c r="R75" s="14" cm="1">
        <f t="array" ref="R75">INT(SUMPRODUCT(--ISNUMBER(SEARCH(race,C75)))&gt;0)</f>
        <v>0</v>
      </c>
      <c r="S75" s="14" cm="1">
        <f t="array" ref="S75">INT(SUMPRODUCT(--ISNUMBER(SEARCH(immigration,C75)))&gt;0)</f>
        <v>0</v>
      </c>
      <c r="T75" s="14" cm="1">
        <f t="array" ref="T75">INT(SUMPRODUCT(--ISNUMBER(SEARCH(econineq,C76)))&gt;0)</f>
        <v>0</v>
      </c>
      <c r="U75" s="14" cm="1">
        <f t="array" ref="U75">INT(SUMPRODUCT(--ISNUMBER(SEARCH(climate,C75)))&gt;0)</f>
        <v>0</v>
      </c>
      <c r="V75" s="14" cm="1">
        <f t="array" ref="V75">INT(SUMPRODUCT(--ISNUMBER(SEARCH(abortion,C75)))&gt;0)</f>
        <v>0</v>
      </c>
      <c r="W75" s="14" cm="1">
        <f t="array" ref="W75">INT(SUMPRODUCT(--ISNUMBER(SEARCH(trump,C75)))&gt;0)</f>
        <v>1</v>
      </c>
      <c r="X75" s="14" cm="1">
        <f t="array" ref="X75">INT(SUMPRODUCT(--ISNUMBER(SEARCH(voting,C75)))&gt;0)</f>
        <v>1</v>
      </c>
      <c r="Y75" s="35" cm="1">
        <f t="array" ref="Y75">INT(SUMPRODUCT(--ISNUMBER(SEARCH(republicantrigger,C75)))&gt;0)</f>
        <v>0</v>
      </c>
      <c r="Z75" s="35" cm="1">
        <f t="array" ref="Z75">INT(SUMPRODUCT(--ISNUMBER(SEARCH(bipartisan,C75)))&gt;0)</f>
        <v>0</v>
      </c>
      <c r="AA75" s="35">
        <f t="shared" si="1"/>
        <v>0</v>
      </c>
      <c r="AB75" s="14"/>
      <c r="AC75" s="30">
        <v>1</v>
      </c>
      <c r="AD75" s="37">
        <v>0</v>
      </c>
    </row>
    <row r="76" spans="1:30" x14ac:dyDescent="0.25">
      <c r="A76" s="36">
        <v>2582</v>
      </c>
      <c r="B76" s="14" t="s">
        <v>5189</v>
      </c>
      <c r="C76" s="14" t="s">
        <v>5190</v>
      </c>
      <c r="D76" s="17">
        <v>44131</v>
      </c>
      <c r="E76" s="14" t="s">
        <v>30</v>
      </c>
      <c r="F76" s="14">
        <v>132</v>
      </c>
      <c r="G76" s="14">
        <v>36</v>
      </c>
      <c r="H76" s="14">
        <v>12</v>
      </c>
      <c r="I76" s="14">
        <v>6</v>
      </c>
      <c r="J76" s="14" t="s">
        <v>31</v>
      </c>
      <c r="K76" s="14" cm="1">
        <f t="array" ref="K76">INT(SUMPRODUCT(--ISNUMBER(SEARCH(economy,C76)))&gt;0)</f>
        <v>0</v>
      </c>
      <c r="L76" s="14" cm="1">
        <f t="array" ref="L76">INT(SUMPRODUCT(--ISNUMBER(SEARCH(healthcare,C76)))&gt;0)</f>
        <v>0</v>
      </c>
      <c r="M76" s="14" cm="1">
        <f t="array" ref="M76">INT(SUMPRODUCT(--ISNUMBER(SEARCH(supreme,C76)))&gt;0)</f>
        <v>0</v>
      </c>
      <c r="N76" s="14" cm="1">
        <f t="array" ref="N76">INT(SUMPRODUCT(--ISNUMBER(SEARCH(covid,C76)))&gt;0)</f>
        <v>0</v>
      </c>
      <c r="O76" s="14" cm="1">
        <f t="array" ref="O76">INT(SUMPRODUCT(--ISNUMBER(SEARCH(violent,C76)))&gt;0)</f>
        <v>1</v>
      </c>
      <c r="P76" s="14" cm="1">
        <f t="array" ref="P76">INT(SUMPRODUCT(--ISNUMBER(SEARCH(foreign,C76)))&gt;0)</f>
        <v>0</v>
      </c>
      <c r="Q76" s="14" cm="1">
        <f t="array" ref="Q76">INT(SUMPRODUCT(--ISNUMBER(SEARCH(gun,C76)))&gt;0)</f>
        <v>0</v>
      </c>
      <c r="R76" s="14" cm="1">
        <f t="array" ref="R76">INT(SUMPRODUCT(--ISNUMBER(SEARCH(race,C76)))&gt;0)</f>
        <v>1</v>
      </c>
      <c r="S76" s="14" cm="1">
        <f t="array" ref="S76">INT(SUMPRODUCT(--ISNUMBER(SEARCH(immigration,C76)))&gt;0)</f>
        <v>0</v>
      </c>
      <c r="T76" s="14" cm="1">
        <f t="array" ref="T76">INT(SUMPRODUCT(--ISNUMBER(SEARCH(econineq,C77)))&gt;0)</f>
        <v>0</v>
      </c>
      <c r="U76" s="14" cm="1">
        <f t="array" ref="U76">INT(SUMPRODUCT(--ISNUMBER(SEARCH(climate,C76)))&gt;0)</f>
        <v>0</v>
      </c>
      <c r="V76" s="14" cm="1">
        <f t="array" ref="V76">INT(SUMPRODUCT(--ISNUMBER(SEARCH(abortion,C76)))&gt;0)</f>
        <v>0</v>
      </c>
      <c r="W76" s="14" cm="1">
        <f t="array" ref="W76">INT(SUMPRODUCT(--ISNUMBER(SEARCH(trump,C76)))&gt;0)</f>
        <v>0</v>
      </c>
      <c r="X76" s="14" cm="1">
        <f t="array" ref="X76">INT(SUMPRODUCT(--ISNUMBER(SEARCH(voting,C76)))&gt;0)</f>
        <v>0</v>
      </c>
      <c r="Y76" s="35" cm="1">
        <f t="array" ref="Y76">INT(SUMPRODUCT(--ISNUMBER(SEARCH(republicantrigger,C76)))&gt;0)</f>
        <v>1</v>
      </c>
      <c r="Z76" s="35" cm="1">
        <f t="array" ref="Z76">INT(SUMPRODUCT(--ISNUMBER(SEARCH(bipartisan,C76)))&gt;0)</f>
        <v>0</v>
      </c>
      <c r="AA76" s="35">
        <f t="shared" si="1"/>
        <v>0</v>
      </c>
      <c r="AB76" s="14"/>
      <c r="AC76" s="30">
        <v>0</v>
      </c>
      <c r="AD76" s="37">
        <v>1</v>
      </c>
    </row>
    <row r="77" spans="1:30" x14ac:dyDescent="0.25">
      <c r="A77" s="36">
        <v>2583</v>
      </c>
      <c r="B77" s="14" t="s">
        <v>5191</v>
      </c>
      <c r="C77" s="14" t="s">
        <v>5192</v>
      </c>
      <c r="D77" s="17">
        <v>44131</v>
      </c>
      <c r="E77" s="14" t="s">
        <v>30</v>
      </c>
      <c r="F77" s="14">
        <v>85</v>
      </c>
      <c r="G77" s="14">
        <v>31</v>
      </c>
      <c r="H77" s="14">
        <v>12</v>
      </c>
      <c r="I77" s="14">
        <v>6</v>
      </c>
      <c r="J77" s="14" t="s">
        <v>31</v>
      </c>
      <c r="K77" s="14" cm="1">
        <f t="array" ref="K77">INT(SUMPRODUCT(--ISNUMBER(SEARCH(economy,C77)))&gt;0)</f>
        <v>0</v>
      </c>
      <c r="L77" s="14" cm="1">
        <f t="array" ref="L77">INT(SUMPRODUCT(--ISNUMBER(SEARCH(healthcare,C77)))&gt;0)</f>
        <v>1</v>
      </c>
      <c r="M77" s="14" cm="1">
        <f t="array" ref="M77">INT(SUMPRODUCT(--ISNUMBER(SEARCH(supreme,C77)))&gt;0)</f>
        <v>0</v>
      </c>
      <c r="N77" s="14" cm="1">
        <f t="array" ref="N77">INT(SUMPRODUCT(--ISNUMBER(SEARCH(covid,C77)))&gt;0)</f>
        <v>0</v>
      </c>
      <c r="O77" s="14" cm="1">
        <f t="array" ref="O77">INT(SUMPRODUCT(--ISNUMBER(SEARCH(violent,C77)))&gt;0)</f>
        <v>0</v>
      </c>
      <c r="P77" s="14" cm="1">
        <f t="array" ref="P77">INT(SUMPRODUCT(--ISNUMBER(SEARCH(foreign,C77)))&gt;0)</f>
        <v>0</v>
      </c>
      <c r="Q77" s="14" cm="1">
        <f t="array" ref="Q77">INT(SUMPRODUCT(--ISNUMBER(SEARCH(gun,C77)))&gt;0)</f>
        <v>0</v>
      </c>
      <c r="R77" s="14" cm="1">
        <f t="array" ref="R77">INT(SUMPRODUCT(--ISNUMBER(SEARCH(race,C77)))&gt;0)</f>
        <v>0</v>
      </c>
      <c r="S77" s="14" cm="1">
        <f t="array" ref="S77">INT(SUMPRODUCT(--ISNUMBER(SEARCH(immigration,C77)))&gt;0)</f>
        <v>0</v>
      </c>
      <c r="T77" s="14" cm="1">
        <f t="array" ref="T77">INT(SUMPRODUCT(--ISNUMBER(SEARCH(econineq,C78)))&gt;0)</f>
        <v>0</v>
      </c>
      <c r="U77" s="14" cm="1">
        <f t="array" ref="U77">INT(SUMPRODUCT(--ISNUMBER(SEARCH(climate,C77)))&gt;0)</f>
        <v>0</v>
      </c>
      <c r="V77" s="14" cm="1">
        <f t="array" ref="V77">INT(SUMPRODUCT(--ISNUMBER(SEARCH(abortion,C77)))&gt;0)</f>
        <v>0</v>
      </c>
      <c r="W77" s="14" cm="1">
        <f t="array" ref="W77">INT(SUMPRODUCT(--ISNUMBER(SEARCH(trump,C77)))&gt;0)</f>
        <v>0</v>
      </c>
      <c r="X77" s="14" cm="1">
        <f t="array" ref="X77">INT(SUMPRODUCT(--ISNUMBER(SEARCH(voting,C77)))&gt;0)</f>
        <v>1</v>
      </c>
      <c r="Y77" s="35" cm="1">
        <f t="array" ref="Y77">INT(SUMPRODUCT(--ISNUMBER(SEARCH(republicantrigger,C77)))&gt;0)</f>
        <v>1</v>
      </c>
      <c r="Z77" s="35" cm="1">
        <f t="array" ref="Z77">INT(SUMPRODUCT(--ISNUMBER(SEARCH(bipartisan,C77)))&gt;0)</f>
        <v>0</v>
      </c>
      <c r="AA77" s="35">
        <f t="shared" si="1"/>
        <v>0</v>
      </c>
      <c r="AB77" s="14"/>
      <c r="AC77" s="30" t="s">
        <v>223</v>
      </c>
      <c r="AD77" s="37" t="s">
        <v>223</v>
      </c>
    </row>
    <row r="78" spans="1:30" x14ac:dyDescent="0.25">
      <c r="A78" s="36">
        <v>2584</v>
      </c>
      <c r="B78" s="14" t="s">
        <v>5193</v>
      </c>
      <c r="C78" s="14" t="s">
        <v>5194</v>
      </c>
      <c r="D78" s="17">
        <v>44131</v>
      </c>
      <c r="E78" s="14" t="s">
        <v>30</v>
      </c>
      <c r="F78" s="14">
        <v>328</v>
      </c>
      <c r="G78" s="14">
        <v>58</v>
      </c>
      <c r="H78" s="14">
        <v>12</v>
      </c>
      <c r="I78" s="14">
        <v>6</v>
      </c>
      <c r="J78" s="14" t="s">
        <v>31</v>
      </c>
      <c r="K78" s="14" cm="1">
        <f t="array" ref="K78">INT(SUMPRODUCT(--ISNUMBER(SEARCH(economy,C78)))&gt;0)</f>
        <v>1</v>
      </c>
      <c r="L78" s="14" cm="1">
        <f t="array" ref="L78">INT(SUMPRODUCT(--ISNUMBER(SEARCH(healthcare,C78)))&gt;0)</f>
        <v>0</v>
      </c>
      <c r="M78" s="14" cm="1">
        <f t="array" ref="M78">INT(SUMPRODUCT(--ISNUMBER(SEARCH(supreme,C78)))&gt;0)</f>
        <v>0</v>
      </c>
      <c r="N78" s="14" cm="1">
        <f t="array" ref="N78">INT(SUMPRODUCT(--ISNUMBER(SEARCH(covid,C78)))&gt;0)</f>
        <v>0</v>
      </c>
      <c r="O78" s="14" cm="1">
        <f t="array" ref="O78">INT(SUMPRODUCT(--ISNUMBER(SEARCH(violent,C78)))&gt;0)</f>
        <v>0</v>
      </c>
      <c r="P78" s="14" cm="1">
        <f t="array" ref="P78">INT(SUMPRODUCT(--ISNUMBER(SEARCH(foreign,C78)))&gt;0)</f>
        <v>0</v>
      </c>
      <c r="Q78" s="14" cm="1">
        <f t="array" ref="Q78">INT(SUMPRODUCT(--ISNUMBER(SEARCH(gun,C78)))&gt;0)</f>
        <v>0</v>
      </c>
      <c r="R78" s="14" cm="1">
        <f t="array" ref="R78">INT(SUMPRODUCT(--ISNUMBER(SEARCH(race,C78)))&gt;0)</f>
        <v>0</v>
      </c>
      <c r="S78" s="14" cm="1">
        <f t="array" ref="S78">INT(SUMPRODUCT(--ISNUMBER(SEARCH(immigration,C78)))&gt;0)</f>
        <v>0</v>
      </c>
      <c r="T78" s="14" cm="1">
        <f t="array" ref="T78">INT(SUMPRODUCT(--ISNUMBER(SEARCH(econineq,C79)))&gt;0)</f>
        <v>0</v>
      </c>
      <c r="U78" s="14" cm="1">
        <f t="array" ref="U78">INT(SUMPRODUCT(--ISNUMBER(SEARCH(climate,C78)))&gt;0)</f>
        <v>0</v>
      </c>
      <c r="V78" s="14" cm="1">
        <f t="array" ref="V78">INT(SUMPRODUCT(--ISNUMBER(SEARCH(abortion,C78)))&gt;0)</f>
        <v>0</v>
      </c>
      <c r="W78" s="14" cm="1">
        <f t="array" ref="W78">INT(SUMPRODUCT(--ISNUMBER(SEARCH(trump,C78)))&gt;0)</f>
        <v>0</v>
      </c>
      <c r="X78" s="14" cm="1">
        <f t="array" ref="X78">INT(SUMPRODUCT(--ISNUMBER(SEARCH(voting,C78)))&gt;0)</f>
        <v>1</v>
      </c>
      <c r="Y78" s="35" cm="1">
        <f t="array" ref="Y78">INT(SUMPRODUCT(--ISNUMBER(SEARCH(republicantrigger,C78)))&gt;0)</f>
        <v>0</v>
      </c>
      <c r="Z78" s="35" cm="1">
        <f t="array" ref="Z78">INT(SUMPRODUCT(--ISNUMBER(SEARCH(bipartisan,C78)))&gt;0)</f>
        <v>0</v>
      </c>
      <c r="AA78" s="35">
        <f t="shared" si="1"/>
        <v>0</v>
      </c>
      <c r="AB78" s="14"/>
      <c r="AC78" s="30" t="s">
        <v>223</v>
      </c>
      <c r="AD78" s="37" t="s">
        <v>223</v>
      </c>
    </row>
    <row r="79" spans="1:30" x14ac:dyDescent="0.25">
      <c r="A79" s="36">
        <v>2585</v>
      </c>
      <c r="B79" s="14" t="s">
        <v>5195</v>
      </c>
      <c r="C79" s="14" t="s">
        <v>5196</v>
      </c>
      <c r="D79" s="17">
        <v>44131</v>
      </c>
      <c r="E79" s="14" t="s">
        <v>30</v>
      </c>
      <c r="F79" s="14">
        <v>161</v>
      </c>
      <c r="G79" s="14">
        <v>56</v>
      </c>
      <c r="H79" s="14">
        <v>12</v>
      </c>
      <c r="I79" s="14">
        <v>6</v>
      </c>
      <c r="J79" s="14" t="s">
        <v>31</v>
      </c>
      <c r="K79" s="14" cm="1">
        <f t="array" ref="K79">INT(SUMPRODUCT(--ISNUMBER(SEARCH(economy,C79)))&gt;0)</f>
        <v>0</v>
      </c>
      <c r="L79" s="14" cm="1">
        <f t="array" ref="L79">INT(SUMPRODUCT(--ISNUMBER(SEARCH(healthcare,C79)))&gt;0)</f>
        <v>0</v>
      </c>
      <c r="M79" s="14" cm="1">
        <f t="array" ref="M79">INT(SUMPRODUCT(--ISNUMBER(SEARCH(supreme,C79)))&gt;0)</f>
        <v>0</v>
      </c>
      <c r="N79" s="14" cm="1">
        <f t="array" ref="N79">INT(SUMPRODUCT(--ISNUMBER(SEARCH(covid,C79)))&gt;0)</f>
        <v>0</v>
      </c>
      <c r="O79" s="14" cm="1">
        <f t="array" ref="O79">INT(SUMPRODUCT(--ISNUMBER(SEARCH(violent,C79)))&gt;0)</f>
        <v>1</v>
      </c>
      <c r="P79" s="14" cm="1">
        <f t="array" ref="P79">INT(SUMPRODUCT(--ISNUMBER(SEARCH(foreign,C79)))&gt;0)</f>
        <v>0</v>
      </c>
      <c r="Q79" s="14" cm="1">
        <f t="array" ref="Q79">INT(SUMPRODUCT(--ISNUMBER(SEARCH(gun,C79)))&gt;0)</f>
        <v>0</v>
      </c>
      <c r="R79" s="14" cm="1">
        <f t="array" ref="R79">INT(SUMPRODUCT(--ISNUMBER(SEARCH(race,C79)))&gt;0)</f>
        <v>0</v>
      </c>
      <c r="S79" s="14" cm="1">
        <f t="array" ref="S79">INT(SUMPRODUCT(--ISNUMBER(SEARCH(immigration,C79)))&gt;0)</f>
        <v>0</v>
      </c>
      <c r="T79" s="14" cm="1">
        <f t="array" ref="T79">INT(SUMPRODUCT(--ISNUMBER(SEARCH(econineq,C80)))&gt;0)</f>
        <v>0</v>
      </c>
      <c r="U79" s="14" cm="1">
        <f t="array" ref="U79">INT(SUMPRODUCT(--ISNUMBER(SEARCH(climate,C79)))&gt;0)</f>
        <v>0</v>
      </c>
      <c r="V79" s="14" cm="1">
        <f t="array" ref="V79">INT(SUMPRODUCT(--ISNUMBER(SEARCH(abortion,C79)))&gt;0)</f>
        <v>0</v>
      </c>
      <c r="W79" s="14" cm="1">
        <f t="array" ref="W79">INT(SUMPRODUCT(--ISNUMBER(SEARCH(trump,C79)))&gt;0)</f>
        <v>0</v>
      </c>
      <c r="X79" s="14" cm="1">
        <f t="array" ref="X79">INT(SUMPRODUCT(--ISNUMBER(SEARCH(voting,C79)))&gt;0)</f>
        <v>1</v>
      </c>
      <c r="Y79" s="35" cm="1">
        <f t="array" ref="Y79">INT(SUMPRODUCT(--ISNUMBER(SEARCH(republicantrigger,C79)))&gt;0)</f>
        <v>1</v>
      </c>
      <c r="Z79" s="35" cm="1">
        <f t="array" ref="Z79">INT(SUMPRODUCT(--ISNUMBER(SEARCH(bipartisan,C79)))&gt;0)</f>
        <v>0</v>
      </c>
      <c r="AA79" s="35">
        <f t="shared" si="1"/>
        <v>0</v>
      </c>
      <c r="AB79" s="14"/>
      <c r="AC79" s="30" t="s">
        <v>223</v>
      </c>
      <c r="AD79" s="37" t="s">
        <v>223</v>
      </c>
    </row>
    <row r="80" spans="1:30" x14ac:dyDescent="0.25">
      <c r="A80" s="36">
        <v>2586</v>
      </c>
      <c r="B80" s="14" t="s">
        <v>5197</v>
      </c>
      <c r="C80" s="14" t="s">
        <v>5198</v>
      </c>
      <c r="D80" s="17">
        <v>44131</v>
      </c>
      <c r="E80" s="14" t="s">
        <v>30</v>
      </c>
      <c r="F80" s="14">
        <v>196</v>
      </c>
      <c r="G80" s="14">
        <v>20</v>
      </c>
      <c r="H80" s="14">
        <v>12</v>
      </c>
      <c r="I80" s="14">
        <v>6</v>
      </c>
      <c r="J80" s="14" t="s">
        <v>31</v>
      </c>
      <c r="K80" s="14" cm="1">
        <f t="array" ref="K80">INT(SUMPRODUCT(--ISNUMBER(SEARCH(economy,C80)))&gt;0)</f>
        <v>0</v>
      </c>
      <c r="L80" s="14" cm="1">
        <f t="array" ref="L80">INT(SUMPRODUCT(--ISNUMBER(SEARCH(healthcare,C80)))&gt;0)</f>
        <v>0</v>
      </c>
      <c r="M80" s="14" cm="1">
        <f t="array" ref="M80">INT(SUMPRODUCT(--ISNUMBER(SEARCH(supreme,C80)))&gt;0)</f>
        <v>0</v>
      </c>
      <c r="N80" s="14" cm="1">
        <f t="array" ref="N80">INT(SUMPRODUCT(--ISNUMBER(SEARCH(covid,C80)))&gt;0)</f>
        <v>0</v>
      </c>
      <c r="O80" s="14" cm="1">
        <f t="array" ref="O80">INT(SUMPRODUCT(--ISNUMBER(SEARCH(violent,C80)))&gt;0)</f>
        <v>0</v>
      </c>
      <c r="P80" s="14" cm="1">
        <f t="array" ref="P80">INT(SUMPRODUCT(--ISNUMBER(SEARCH(foreign,C80)))&gt;0)</f>
        <v>0</v>
      </c>
      <c r="Q80" s="14" cm="1">
        <f t="array" ref="Q80">INT(SUMPRODUCT(--ISNUMBER(SEARCH(gun,C80)))&gt;0)</f>
        <v>0</v>
      </c>
      <c r="R80" s="14" cm="1">
        <f t="array" ref="R80">INT(SUMPRODUCT(--ISNUMBER(SEARCH(race,C80)))&gt;0)</f>
        <v>0</v>
      </c>
      <c r="S80" s="14" cm="1">
        <f t="array" ref="S80">INT(SUMPRODUCT(--ISNUMBER(SEARCH(immigration,C80)))&gt;0)</f>
        <v>0</v>
      </c>
      <c r="T80" s="14" cm="1">
        <f t="array" ref="T80">INT(SUMPRODUCT(--ISNUMBER(SEARCH(econineq,C81)))&gt;0)</f>
        <v>0</v>
      </c>
      <c r="U80" s="14" cm="1">
        <f t="array" ref="U80">INT(SUMPRODUCT(--ISNUMBER(SEARCH(climate,C80)))&gt;0)</f>
        <v>0</v>
      </c>
      <c r="V80" s="14" cm="1">
        <f t="array" ref="V80">INT(SUMPRODUCT(--ISNUMBER(SEARCH(abortion,C80)))&gt;0)</f>
        <v>0</v>
      </c>
      <c r="W80" s="14" cm="1">
        <f t="array" ref="W80">INT(SUMPRODUCT(--ISNUMBER(SEARCH(trump,C80)))&gt;0)</f>
        <v>0</v>
      </c>
      <c r="X80" s="14" cm="1">
        <f t="array" ref="X80">INT(SUMPRODUCT(--ISNUMBER(SEARCH(voting,C80)))&gt;0)</f>
        <v>0</v>
      </c>
      <c r="Y80" s="35" cm="1">
        <f t="array" ref="Y80">INT(SUMPRODUCT(--ISNUMBER(SEARCH(republicantrigger,C80)))&gt;0)</f>
        <v>0</v>
      </c>
      <c r="Z80" s="35" cm="1">
        <f t="array" ref="Z80">INT(SUMPRODUCT(--ISNUMBER(SEARCH(bipartisan,C80)))&gt;0)</f>
        <v>0</v>
      </c>
      <c r="AA80" s="35">
        <f t="shared" si="1"/>
        <v>1</v>
      </c>
      <c r="AB80" s="14"/>
      <c r="AC80" s="30" t="s">
        <v>223</v>
      </c>
      <c r="AD80" s="37" t="s">
        <v>223</v>
      </c>
    </row>
    <row r="81" spans="1:30" x14ac:dyDescent="0.25">
      <c r="A81" s="36">
        <v>2587</v>
      </c>
      <c r="B81" s="14" t="s">
        <v>5199</v>
      </c>
      <c r="C81" s="14" t="s">
        <v>5200</v>
      </c>
      <c r="D81" s="17">
        <v>44131</v>
      </c>
      <c r="E81" s="14" t="s">
        <v>70</v>
      </c>
      <c r="F81" s="14">
        <v>47</v>
      </c>
      <c r="G81" s="14">
        <v>3</v>
      </c>
      <c r="H81" s="14">
        <v>12</v>
      </c>
      <c r="I81" s="14">
        <v>6</v>
      </c>
      <c r="J81" s="14" t="s">
        <v>31</v>
      </c>
      <c r="K81" s="14" cm="1">
        <f t="array" ref="K81">INT(SUMPRODUCT(--ISNUMBER(SEARCH(economy,C81)))&gt;0)</f>
        <v>0</v>
      </c>
      <c r="L81" s="14" cm="1">
        <f t="array" ref="L81">INT(SUMPRODUCT(--ISNUMBER(SEARCH(healthcare,C81)))&gt;0)</f>
        <v>0</v>
      </c>
      <c r="M81" s="14" cm="1">
        <f t="array" ref="M81">INT(SUMPRODUCT(--ISNUMBER(SEARCH(supreme,C81)))&gt;0)</f>
        <v>0</v>
      </c>
      <c r="N81" s="14" cm="1">
        <f t="array" ref="N81">INT(SUMPRODUCT(--ISNUMBER(SEARCH(covid,C81)))&gt;0)</f>
        <v>0</v>
      </c>
      <c r="O81" s="14" cm="1">
        <f t="array" ref="O81">INT(SUMPRODUCT(--ISNUMBER(SEARCH(violent,C81)))&gt;0)</f>
        <v>0</v>
      </c>
      <c r="P81" s="14" cm="1">
        <f t="array" ref="P81">INT(SUMPRODUCT(--ISNUMBER(SEARCH(foreign,C81)))&gt;0)</f>
        <v>0</v>
      </c>
      <c r="Q81" s="14" cm="1">
        <f t="array" ref="Q81">INT(SUMPRODUCT(--ISNUMBER(SEARCH(gun,C81)))&gt;0)</f>
        <v>0</v>
      </c>
      <c r="R81" s="14" cm="1">
        <f t="array" ref="R81">INT(SUMPRODUCT(--ISNUMBER(SEARCH(race,C81)))&gt;0)</f>
        <v>0</v>
      </c>
      <c r="S81" s="14" cm="1">
        <f t="array" ref="S81">INT(SUMPRODUCT(--ISNUMBER(SEARCH(immigration,C81)))&gt;0)</f>
        <v>0</v>
      </c>
      <c r="T81" s="14" cm="1">
        <f t="array" ref="T81">INT(SUMPRODUCT(--ISNUMBER(SEARCH(econineq,C82)))&gt;0)</f>
        <v>0</v>
      </c>
      <c r="U81" s="14" cm="1">
        <f t="array" ref="U81">INT(SUMPRODUCT(--ISNUMBER(SEARCH(climate,C81)))&gt;0)</f>
        <v>0</v>
      </c>
      <c r="V81" s="14" cm="1">
        <f t="array" ref="V81">INT(SUMPRODUCT(--ISNUMBER(SEARCH(abortion,C81)))&gt;0)</f>
        <v>0</v>
      </c>
      <c r="W81" s="14" cm="1">
        <f t="array" ref="W81">INT(SUMPRODUCT(--ISNUMBER(SEARCH(trump,C81)))&gt;0)</f>
        <v>0</v>
      </c>
      <c r="X81" s="14" cm="1">
        <f t="array" ref="X81">INT(SUMPRODUCT(--ISNUMBER(SEARCH(voting,C81)))&gt;0)</f>
        <v>0</v>
      </c>
      <c r="Y81" s="35" cm="1">
        <f t="array" ref="Y81">INT(SUMPRODUCT(--ISNUMBER(SEARCH(republicantrigger,C81)))&gt;0)</f>
        <v>1</v>
      </c>
      <c r="Z81" s="35" cm="1">
        <f t="array" ref="Z81">INT(SUMPRODUCT(--ISNUMBER(SEARCH(bipartisan,C81)))&gt;0)</f>
        <v>0</v>
      </c>
      <c r="AA81" s="35">
        <f t="shared" si="1"/>
        <v>0</v>
      </c>
      <c r="AB81" s="14"/>
      <c r="AC81" s="30" t="s">
        <v>223</v>
      </c>
      <c r="AD81" s="37" t="s">
        <v>223</v>
      </c>
    </row>
    <row r="82" spans="1:30" x14ac:dyDescent="0.25">
      <c r="A82" s="36">
        <v>2588</v>
      </c>
      <c r="B82" s="14" t="s">
        <v>5201</v>
      </c>
      <c r="C82" s="14" t="s">
        <v>5202</v>
      </c>
      <c r="D82" s="17">
        <v>44131</v>
      </c>
      <c r="E82" s="14" t="s">
        <v>30</v>
      </c>
      <c r="F82" s="14">
        <v>402</v>
      </c>
      <c r="G82" s="14">
        <v>66</v>
      </c>
      <c r="H82" s="14">
        <v>12</v>
      </c>
      <c r="I82" s="14">
        <v>6</v>
      </c>
      <c r="J82" s="14" t="s">
        <v>31</v>
      </c>
      <c r="K82" s="14" cm="1">
        <f t="array" ref="K82">INT(SUMPRODUCT(--ISNUMBER(SEARCH(economy,C82)))&gt;0)</f>
        <v>0</v>
      </c>
      <c r="L82" s="14" cm="1">
        <f t="array" ref="L82">INT(SUMPRODUCT(--ISNUMBER(SEARCH(healthcare,C82)))&gt;0)</f>
        <v>0</v>
      </c>
      <c r="M82" s="14" cm="1">
        <f t="array" ref="M82">INT(SUMPRODUCT(--ISNUMBER(SEARCH(supreme,C82)))&gt;0)</f>
        <v>0</v>
      </c>
      <c r="N82" s="14" cm="1">
        <f t="array" ref="N82">INT(SUMPRODUCT(--ISNUMBER(SEARCH(covid,C82)))&gt;0)</f>
        <v>0</v>
      </c>
      <c r="O82" s="14" cm="1">
        <f t="array" ref="O82">INT(SUMPRODUCT(--ISNUMBER(SEARCH(violent,C82)))&gt;0)</f>
        <v>0</v>
      </c>
      <c r="P82" s="14" cm="1">
        <f t="array" ref="P82">INT(SUMPRODUCT(--ISNUMBER(SEARCH(foreign,C82)))&gt;0)</f>
        <v>0</v>
      </c>
      <c r="Q82" s="14" cm="1">
        <f t="array" ref="Q82">INT(SUMPRODUCT(--ISNUMBER(SEARCH(gun,C82)))&gt;0)</f>
        <v>0</v>
      </c>
      <c r="R82" s="14" cm="1">
        <f t="array" ref="R82">INT(SUMPRODUCT(--ISNUMBER(SEARCH(race,C82)))&gt;0)</f>
        <v>0</v>
      </c>
      <c r="S82" s="14" cm="1">
        <f t="array" ref="S82">INT(SUMPRODUCT(--ISNUMBER(SEARCH(immigration,C82)))&gt;0)</f>
        <v>0</v>
      </c>
      <c r="T82" s="14" cm="1">
        <f t="array" ref="T82">INT(SUMPRODUCT(--ISNUMBER(SEARCH(econineq,C83)))&gt;0)</f>
        <v>0</v>
      </c>
      <c r="U82" s="14" cm="1">
        <f t="array" ref="U82">INT(SUMPRODUCT(--ISNUMBER(SEARCH(climate,C82)))&gt;0)</f>
        <v>0</v>
      </c>
      <c r="V82" s="14" cm="1">
        <f t="array" ref="V82">INT(SUMPRODUCT(--ISNUMBER(SEARCH(abortion,C82)))&gt;0)</f>
        <v>0</v>
      </c>
      <c r="W82" s="14" cm="1">
        <f t="array" ref="W82">INT(SUMPRODUCT(--ISNUMBER(SEARCH(trump,C82)))&gt;0)</f>
        <v>1</v>
      </c>
      <c r="X82" s="14" cm="1">
        <f t="array" ref="X82">INT(SUMPRODUCT(--ISNUMBER(SEARCH(voting,C82)))&gt;0)</f>
        <v>0</v>
      </c>
      <c r="Y82" s="35" cm="1">
        <f t="array" ref="Y82">INT(SUMPRODUCT(--ISNUMBER(SEARCH(republicantrigger,C82)))&gt;0)</f>
        <v>0</v>
      </c>
      <c r="Z82" s="35" cm="1">
        <f t="array" ref="Z82">INT(SUMPRODUCT(--ISNUMBER(SEARCH(bipartisan,C82)))&gt;0)</f>
        <v>0</v>
      </c>
      <c r="AA82" s="35">
        <f t="shared" si="1"/>
        <v>0</v>
      </c>
      <c r="AB82" s="14"/>
      <c r="AC82" s="30" t="s">
        <v>223</v>
      </c>
      <c r="AD82" s="37" t="s">
        <v>223</v>
      </c>
    </row>
    <row r="83" spans="1:30" x14ac:dyDescent="0.25">
      <c r="A83" s="36">
        <v>2589</v>
      </c>
      <c r="B83" s="14" t="s">
        <v>5203</v>
      </c>
      <c r="C83" s="14" t="s">
        <v>5204</v>
      </c>
      <c r="D83" s="17">
        <v>44131</v>
      </c>
      <c r="E83" s="14" t="s">
        <v>30</v>
      </c>
      <c r="F83" s="14">
        <v>351</v>
      </c>
      <c r="G83" s="14">
        <v>58</v>
      </c>
      <c r="H83" s="14">
        <v>12</v>
      </c>
      <c r="I83" s="14">
        <v>6</v>
      </c>
      <c r="J83" s="14" t="s">
        <v>31</v>
      </c>
      <c r="K83" s="14" cm="1">
        <f t="array" ref="K83">INT(SUMPRODUCT(--ISNUMBER(SEARCH(economy,C83)))&gt;0)</f>
        <v>0</v>
      </c>
      <c r="L83" s="14" cm="1">
        <f t="array" ref="L83">INT(SUMPRODUCT(--ISNUMBER(SEARCH(healthcare,C83)))&gt;0)</f>
        <v>0</v>
      </c>
      <c r="M83" s="14" cm="1">
        <f t="array" ref="M83">INT(SUMPRODUCT(--ISNUMBER(SEARCH(supreme,C83)))&gt;0)</f>
        <v>1</v>
      </c>
      <c r="N83" s="14" cm="1">
        <f t="array" ref="N83">INT(SUMPRODUCT(--ISNUMBER(SEARCH(covid,C83)))&gt;0)</f>
        <v>0</v>
      </c>
      <c r="O83" s="14" cm="1">
        <f t="array" ref="O83">INT(SUMPRODUCT(--ISNUMBER(SEARCH(violent,C83)))&gt;0)</f>
        <v>0</v>
      </c>
      <c r="P83" s="14" cm="1">
        <f t="array" ref="P83">INT(SUMPRODUCT(--ISNUMBER(SEARCH(foreign,C83)))&gt;0)</f>
        <v>0</v>
      </c>
      <c r="Q83" s="14" cm="1">
        <f t="array" ref="Q83">INT(SUMPRODUCT(--ISNUMBER(SEARCH(gun,C83)))&gt;0)</f>
        <v>0</v>
      </c>
      <c r="R83" s="14" cm="1">
        <f t="array" ref="R83">INT(SUMPRODUCT(--ISNUMBER(SEARCH(race,C83)))&gt;0)</f>
        <v>0</v>
      </c>
      <c r="S83" s="14" cm="1">
        <f t="array" ref="S83">INT(SUMPRODUCT(--ISNUMBER(SEARCH(immigration,C83)))&gt;0)</f>
        <v>0</v>
      </c>
      <c r="T83" s="14" cm="1">
        <f t="array" ref="T83">INT(SUMPRODUCT(--ISNUMBER(SEARCH(econineq,C84)))&gt;0)</f>
        <v>0</v>
      </c>
      <c r="U83" s="14" cm="1">
        <f t="array" ref="U83">INT(SUMPRODUCT(--ISNUMBER(SEARCH(climate,C83)))&gt;0)</f>
        <v>0</v>
      </c>
      <c r="V83" s="14" cm="1">
        <f t="array" ref="V83">INT(SUMPRODUCT(--ISNUMBER(SEARCH(abortion,C83)))&gt;0)</f>
        <v>0</v>
      </c>
      <c r="W83" s="14" cm="1">
        <f t="array" ref="W83">INT(SUMPRODUCT(--ISNUMBER(SEARCH(trump,C83)))&gt;0)</f>
        <v>1</v>
      </c>
      <c r="X83" s="14" cm="1">
        <f t="array" ref="X83">INT(SUMPRODUCT(--ISNUMBER(SEARCH(voting,C83)))&gt;0)</f>
        <v>1</v>
      </c>
      <c r="Y83" s="35" cm="1">
        <f t="array" ref="Y83">INT(SUMPRODUCT(--ISNUMBER(SEARCH(republicantrigger,C83)))&gt;0)</f>
        <v>0</v>
      </c>
      <c r="Z83" s="35" cm="1">
        <f t="array" ref="Z83">INT(SUMPRODUCT(--ISNUMBER(SEARCH(bipartisan,C83)))&gt;0)</f>
        <v>0</v>
      </c>
      <c r="AA83" s="35">
        <f t="shared" si="1"/>
        <v>0</v>
      </c>
      <c r="AB83" s="14"/>
      <c r="AC83" s="30" t="s">
        <v>223</v>
      </c>
      <c r="AD83" s="37" t="s">
        <v>223</v>
      </c>
    </row>
    <row r="84" spans="1:30" x14ac:dyDescent="0.25">
      <c r="A84" s="36">
        <v>2590</v>
      </c>
      <c r="B84" s="14" t="s">
        <v>5205</v>
      </c>
      <c r="C84" s="14" t="s">
        <v>5206</v>
      </c>
      <c r="D84" s="17">
        <v>44131</v>
      </c>
      <c r="E84" s="14" t="s">
        <v>30</v>
      </c>
      <c r="F84" s="14">
        <v>143</v>
      </c>
      <c r="G84" s="14">
        <v>36</v>
      </c>
      <c r="H84" s="14">
        <v>12</v>
      </c>
      <c r="I84" s="14">
        <v>6</v>
      </c>
      <c r="J84" s="14" t="s">
        <v>31</v>
      </c>
      <c r="K84" s="14" cm="1">
        <f t="array" ref="K84">INT(SUMPRODUCT(--ISNUMBER(SEARCH(economy,C84)))&gt;0)</f>
        <v>0</v>
      </c>
      <c r="L84" s="14" cm="1">
        <f t="array" ref="L84">INT(SUMPRODUCT(--ISNUMBER(SEARCH(healthcare,C84)))&gt;0)</f>
        <v>0</v>
      </c>
      <c r="M84" s="14" cm="1">
        <f t="array" ref="M84">INT(SUMPRODUCT(--ISNUMBER(SEARCH(supreme,C84)))&gt;0)</f>
        <v>1</v>
      </c>
      <c r="N84" s="14" cm="1">
        <f t="array" ref="N84">INT(SUMPRODUCT(--ISNUMBER(SEARCH(covid,C84)))&gt;0)</f>
        <v>0</v>
      </c>
      <c r="O84" s="14" cm="1">
        <f t="array" ref="O84">INT(SUMPRODUCT(--ISNUMBER(SEARCH(violent,C84)))&gt;0)</f>
        <v>0</v>
      </c>
      <c r="P84" s="14" cm="1">
        <f t="array" ref="P84">INT(SUMPRODUCT(--ISNUMBER(SEARCH(foreign,C84)))&gt;0)</f>
        <v>0</v>
      </c>
      <c r="Q84" s="14" cm="1">
        <f t="array" ref="Q84">INT(SUMPRODUCT(--ISNUMBER(SEARCH(gun,C84)))&gt;0)</f>
        <v>0</v>
      </c>
      <c r="R84" s="14" cm="1">
        <f t="array" ref="R84">INT(SUMPRODUCT(--ISNUMBER(SEARCH(race,C84)))&gt;0)</f>
        <v>0</v>
      </c>
      <c r="S84" s="14" cm="1">
        <f t="array" ref="S84">INT(SUMPRODUCT(--ISNUMBER(SEARCH(immigration,C84)))&gt;0)</f>
        <v>0</v>
      </c>
      <c r="T84" s="14" cm="1">
        <f t="array" ref="T84">INT(SUMPRODUCT(--ISNUMBER(SEARCH(econineq,C85)))&gt;0)</f>
        <v>0</v>
      </c>
      <c r="U84" s="14" cm="1">
        <f t="array" ref="U84">INT(SUMPRODUCT(--ISNUMBER(SEARCH(climate,C84)))&gt;0)</f>
        <v>0</v>
      </c>
      <c r="V84" s="14" cm="1">
        <f t="array" ref="V84">INT(SUMPRODUCT(--ISNUMBER(SEARCH(abortion,C84)))&gt;0)</f>
        <v>0</v>
      </c>
      <c r="W84" s="14" cm="1">
        <f t="array" ref="W84">INT(SUMPRODUCT(--ISNUMBER(SEARCH(trump,C84)))&gt;0)</f>
        <v>0</v>
      </c>
      <c r="X84" s="14" cm="1">
        <f t="array" ref="X84">INT(SUMPRODUCT(--ISNUMBER(SEARCH(voting,C84)))&gt;0)</f>
        <v>0</v>
      </c>
      <c r="Y84" s="35" cm="1">
        <f t="array" ref="Y84">INT(SUMPRODUCT(--ISNUMBER(SEARCH(republicantrigger,C84)))&gt;0)</f>
        <v>1</v>
      </c>
      <c r="Z84" s="35" cm="1">
        <f t="array" ref="Z84">INT(SUMPRODUCT(--ISNUMBER(SEARCH(bipartisan,C84)))&gt;0)</f>
        <v>0</v>
      </c>
      <c r="AA84" s="35">
        <f t="shared" si="1"/>
        <v>0</v>
      </c>
      <c r="AB84" s="14"/>
      <c r="AC84" s="30">
        <v>1</v>
      </c>
      <c r="AD84" s="37">
        <v>0</v>
      </c>
    </row>
    <row r="85" spans="1:30" x14ac:dyDescent="0.25">
      <c r="A85" s="36">
        <v>2591</v>
      </c>
      <c r="B85" s="14" t="s">
        <v>5207</v>
      </c>
      <c r="C85" s="14" t="s">
        <v>5208</v>
      </c>
      <c r="D85" s="17">
        <v>44131</v>
      </c>
      <c r="E85" s="14" t="s">
        <v>30</v>
      </c>
      <c r="F85" s="14">
        <v>327</v>
      </c>
      <c r="G85" s="14">
        <v>51</v>
      </c>
      <c r="H85" s="14">
        <v>12</v>
      </c>
      <c r="I85" s="14">
        <v>6</v>
      </c>
      <c r="J85" s="14" t="s">
        <v>31</v>
      </c>
      <c r="K85" s="14" cm="1">
        <f t="array" ref="K85">INT(SUMPRODUCT(--ISNUMBER(SEARCH(economy,C85)))&gt;0)</f>
        <v>0</v>
      </c>
      <c r="L85" s="14" cm="1">
        <f t="array" ref="L85">INT(SUMPRODUCT(--ISNUMBER(SEARCH(healthcare,C85)))&gt;0)</f>
        <v>0</v>
      </c>
      <c r="M85" s="14" cm="1">
        <f t="array" ref="M85">INT(SUMPRODUCT(--ISNUMBER(SEARCH(supreme,C85)))&gt;0)</f>
        <v>1</v>
      </c>
      <c r="N85" s="14" cm="1">
        <f t="array" ref="N85">INT(SUMPRODUCT(--ISNUMBER(SEARCH(covid,C85)))&gt;0)</f>
        <v>0</v>
      </c>
      <c r="O85" s="14" cm="1">
        <f t="array" ref="O85">INT(SUMPRODUCT(--ISNUMBER(SEARCH(violent,C85)))&gt;0)</f>
        <v>0</v>
      </c>
      <c r="P85" s="14" cm="1">
        <f t="array" ref="P85">INT(SUMPRODUCT(--ISNUMBER(SEARCH(foreign,C85)))&gt;0)</f>
        <v>0</v>
      </c>
      <c r="Q85" s="14" cm="1">
        <f t="array" ref="Q85">INT(SUMPRODUCT(--ISNUMBER(SEARCH(gun,C85)))&gt;0)</f>
        <v>0</v>
      </c>
      <c r="R85" s="14" cm="1">
        <f t="array" ref="R85">INT(SUMPRODUCT(--ISNUMBER(SEARCH(race,C85)))&gt;0)</f>
        <v>0</v>
      </c>
      <c r="S85" s="14" cm="1">
        <f t="array" ref="S85">INT(SUMPRODUCT(--ISNUMBER(SEARCH(immigration,C85)))&gt;0)</f>
        <v>0</v>
      </c>
      <c r="T85" s="14" cm="1">
        <f t="array" ref="T85">INT(SUMPRODUCT(--ISNUMBER(SEARCH(econineq,C86)))&gt;0)</f>
        <v>0</v>
      </c>
      <c r="U85" s="14" cm="1">
        <f t="array" ref="U85">INT(SUMPRODUCT(--ISNUMBER(SEARCH(climate,C85)))&gt;0)</f>
        <v>0</v>
      </c>
      <c r="V85" s="14" cm="1">
        <f t="array" ref="V85">INT(SUMPRODUCT(--ISNUMBER(SEARCH(abortion,C85)))&gt;0)</f>
        <v>0</v>
      </c>
      <c r="W85" s="14" cm="1">
        <f t="array" ref="W85">INT(SUMPRODUCT(--ISNUMBER(SEARCH(trump,C85)))&gt;0)</f>
        <v>0</v>
      </c>
      <c r="X85" s="14" cm="1">
        <f t="array" ref="X85">INT(SUMPRODUCT(--ISNUMBER(SEARCH(voting,C85)))&gt;0)</f>
        <v>0</v>
      </c>
      <c r="Y85" s="35" cm="1">
        <f t="array" ref="Y85">INT(SUMPRODUCT(--ISNUMBER(SEARCH(republicantrigger,C85)))&gt;0)</f>
        <v>1</v>
      </c>
      <c r="Z85" s="35" cm="1">
        <f t="array" ref="Z85">INT(SUMPRODUCT(--ISNUMBER(SEARCH(bipartisan,C85)))&gt;0)</f>
        <v>0</v>
      </c>
      <c r="AA85" s="35">
        <f t="shared" si="1"/>
        <v>0</v>
      </c>
      <c r="AB85" s="14"/>
      <c r="AC85" s="30">
        <v>1</v>
      </c>
      <c r="AD85" s="37">
        <v>0</v>
      </c>
    </row>
    <row r="86" spans="1:30" x14ac:dyDescent="0.25">
      <c r="A86" s="36">
        <v>2592</v>
      </c>
      <c r="B86" s="14" t="s">
        <v>5209</v>
      </c>
      <c r="C86" s="14" t="s">
        <v>5210</v>
      </c>
      <c r="D86" s="17">
        <v>44130</v>
      </c>
      <c r="E86" s="14" t="s">
        <v>30</v>
      </c>
      <c r="F86" s="14">
        <v>308</v>
      </c>
      <c r="G86" s="14">
        <v>40</v>
      </c>
      <c r="H86" s="14">
        <v>12</v>
      </c>
      <c r="I86" s="14">
        <v>6</v>
      </c>
      <c r="J86" s="14" t="s">
        <v>31</v>
      </c>
      <c r="K86" s="14" cm="1">
        <f t="array" ref="K86">INT(SUMPRODUCT(--ISNUMBER(SEARCH(economy,C86)))&gt;0)</f>
        <v>0</v>
      </c>
      <c r="L86" s="14" cm="1">
        <f t="array" ref="L86">INT(SUMPRODUCT(--ISNUMBER(SEARCH(healthcare,C86)))&gt;0)</f>
        <v>0</v>
      </c>
      <c r="M86" s="14" cm="1">
        <f t="array" ref="M86">INT(SUMPRODUCT(--ISNUMBER(SEARCH(supreme,C86)))&gt;0)</f>
        <v>0</v>
      </c>
      <c r="N86" s="14" cm="1">
        <f t="array" ref="N86">INT(SUMPRODUCT(--ISNUMBER(SEARCH(covid,C86)))&gt;0)</f>
        <v>0</v>
      </c>
      <c r="O86" s="14" cm="1">
        <f t="array" ref="O86">INT(SUMPRODUCT(--ISNUMBER(SEARCH(violent,C86)))&gt;0)</f>
        <v>0</v>
      </c>
      <c r="P86" s="14" cm="1">
        <f t="array" ref="P86">INT(SUMPRODUCT(--ISNUMBER(SEARCH(foreign,C86)))&gt;0)</f>
        <v>0</v>
      </c>
      <c r="Q86" s="14" cm="1">
        <f t="array" ref="Q86">INT(SUMPRODUCT(--ISNUMBER(SEARCH(gun,C86)))&gt;0)</f>
        <v>0</v>
      </c>
      <c r="R86" s="14" cm="1">
        <f t="array" ref="R86">INT(SUMPRODUCT(--ISNUMBER(SEARCH(race,C86)))&gt;0)</f>
        <v>0</v>
      </c>
      <c r="S86" s="14" cm="1">
        <f t="array" ref="S86">INT(SUMPRODUCT(--ISNUMBER(SEARCH(immigration,C86)))&gt;0)</f>
        <v>0</v>
      </c>
      <c r="T86" s="14" cm="1">
        <f t="array" ref="T86">INT(SUMPRODUCT(--ISNUMBER(SEARCH(econineq,C87)))&gt;0)</f>
        <v>0</v>
      </c>
      <c r="U86" s="14" cm="1">
        <f t="array" ref="U86">INT(SUMPRODUCT(--ISNUMBER(SEARCH(climate,C86)))&gt;0)</f>
        <v>0</v>
      </c>
      <c r="V86" s="14" cm="1">
        <f t="array" ref="V86">INT(SUMPRODUCT(--ISNUMBER(SEARCH(abortion,C86)))&gt;0)</f>
        <v>0</v>
      </c>
      <c r="W86" s="14" cm="1">
        <f t="array" ref="W86">INT(SUMPRODUCT(--ISNUMBER(SEARCH(trump,C86)))&gt;0)</f>
        <v>0</v>
      </c>
      <c r="X86" s="14" cm="1">
        <f t="array" ref="X86">INT(SUMPRODUCT(--ISNUMBER(SEARCH(voting,C86)))&gt;0)</f>
        <v>0</v>
      </c>
      <c r="Y86" s="35" cm="1">
        <f t="array" ref="Y86">INT(SUMPRODUCT(--ISNUMBER(SEARCH(republicantrigger,C86)))&gt;0)</f>
        <v>0</v>
      </c>
      <c r="Z86" s="35" cm="1">
        <f t="array" ref="Z86">INT(SUMPRODUCT(--ISNUMBER(SEARCH(bipartisan,C86)))&gt;0)</f>
        <v>0</v>
      </c>
      <c r="AA86" s="35">
        <f t="shared" si="1"/>
        <v>1</v>
      </c>
      <c r="AB86" s="14"/>
      <c r="AC86" s="30" t="s">
        <v>223</v>
      </c>
      <c r="AD86" s="37" t="s">
        <v>223</v>
      </c>
    </row>
    <row r="87" spans="1:30" x14ac:dyDescent="0.25">
      <c r="A87" s="36">
        <v>2593</v>
      </c>
      <c r="B87" s="14" t="s">
        <v>5211</v>
      </c>
      <c r="C87" s="14" t="s">
        <v>5212</v>
      </c>
      <c r="D87" s="17">
        <v>44130</v>
      </c>
      <c r="E87" s="14" t="s">
        <v>30</v>
      </c>
      <c r="F87" s="14">
        <v>164</v>
      </c>
      <c r="G87" s="14">
        <v>45</v>
      </c>
      <c r="H87" s="14">
        <v>12</v>
      </c>
      <c r="I87" s="14">
        <v>6</v>
      </c>
      <c r="J87" s="14" t="s">
        <v>31</v>
      </c>
      <c r="K87" s="14" cm="1">
        <f t="array" ref="K87">INT(SUMPRODUCT(--ISNUMBER(SEARCH(economy,C87)))&gt;0)</f>
        <v>0</v>
      </c>
      <c r="L87" s="14" cm="1">
        <f t="array" ref="L87">INT(SUMPRODUCT(--ISNUMBER(SEARCH(healthcare,C87)))&gt;0)</f>
        <v>0</v>
      </c>
      <c r="M87" s="14" cm="1">
        <f t="array" ref="M87">INT(SUMPRODUCT(--ISNUMBER(SEARCH(supreme,C87)))&gt;0)</f>
        <v>0</v>
      </c>
      <c r="N87" s="14" cm="1">
        <f t="array" ref="N87">INT(SUMPRODUCT(--ISNUMBER(SEARCH(covid,C87)))&gt;0)</f>
        <v>0</v>
      </c>
      <c r="O87" s="14" cm="1">
        <f t="array" ref="O87">INT(SUMPRODUCT(--ISNUMBER(SEARCH(violent,C87)))&gt;0)</f>
        <v>0</v>
      </c>
      <c r="P87" s="14" cm="1">
        <f t="array" ref="P87">INT(SUMPRODUCT(--ISNUMBER(SEARCH(foreign,C87)))&gt;0)</f>
        <v>0</v>
      </c>
      <c r="Q87" s="14" cm="1">
        <f t="array" ref="Q87">INT(SUMPRODUCT(--ISNUMBER(SEARCH(gun,C87)))&gt;0)</f>
        <v>0</v>
      </c>
      <c r="R87" s="14" cm="1">
        <f t="array" ref="R87">INT(SUMPRODUCT(--ISNUMBER(SEARCH(race,C87)))&gt;0)</f>
        <v>0</v>
      </c>
      <c r="S87" s="14" cm="1">
        <f t="array" ref="S87">INT(SUMPRODUCT(--ISNUMBER(SEARCH(immigration,C87)))&gt;0)</f>
        <v>0</v>
      </c>
      <c r="T87" s="14" cm="1">
        <f t="array" ref="T87">INT(SUMPRODUCT(--ISNUMBER(SEARCH(econineq,C88)))&gt;0)</f>
        <v>0</v>
      </c>
      <c r="U87" s="14" cm="1">
        <f t="array" ref="U87">INT(SUMPRODUCT(--ISNUMBER(SEARCH(climate,C87)))&gt;0)</f>
        <v>0</v>
      </c>
      <c r="V87" s="14" cm="1">
        <f t="array" ref="V87">INT(SUMPRODUCT(--ISNUMBER(SEARCH(abortion,C87)))&gt;0)</f>
        <v>0</v>
      </c>
      <c r="W87" s="14" cm="1">
        <f t="array" ref="W87">INT(SUMPRODUCT(--ISNUMBER(SEARCH(trump,C87)))&gt;0)</f>
        <v>0</v>
      </c>
      <c r="X87" s="14" cm="1">
        <f t="array" ref="X87">INT(SUMPRODUCT(--ISNUMBER(SEARCH(voting,C87)))&gt;0)</f>
        <v>0</v>
      </c>
      <c r="Y87" s="35" cm="1">
        <f t="array" ref="Y87">INT(SUMPRODUCT(--ISNUMBER(SEARCH(republicantrigger,C87)))&gt;0)</f>
        <v>0</v>
      </c>
      <c r="Z87" s="35" cm="1">
        <f t="array" ref="Z87">INT(SUMPRODUCT(--ISNUMBER(SEARCH(bipartisan,C87)))&gt;0)</f>
        <v>0</v>
      </c>
      <c r="AA87" s="35">
        <f t="shared" si="1"/>
        <v>1</v>
      </c>
      <c r="AB87" s="14"/>
      <c r="AC87" s="30" t="s">
        <v>223</v>
      </c>
      <c r="AD87" s="37" t="s">
        <v>223</v>
      </c>
    </row>
    <row r="88" spans="1:30" x14ac:dyDescent="0.25">
      <c r="A88" s="36">
        <v>2594</v>
      </c>
      <c r="B88" s="14" t="s">
        <v>5213</v>
      </c>
      <c r="C88" s="14" t="s">
        <v>5214</v>
      </c>
      <c r="D88" s="17">
        <v>44130</v>
      </c>
      <c r="E88" s="14" t="s">
        <v>30</v>
      </c>
      <c r="F88" s="14">
        <v>903</v>
      </c>
      <c r="G88" s="14">
        <v>219</v>
      </c>
      <c r="H88" s="14">
        <v>12</v>
      </c>
      <c r="I88" s="14">
        <v>6</v>
      </c>
      <c r="J88" s="14" t="s">
        <v>31</v>
      </c>
      <c r="K88" s="14" cm="1">
        <f t="array" ref="K88">INT(SUMPRODUCT(--ISNUMBER(SEARCH(economy,C88)))&gt;0)</f>
        <v>1</v>
      </c>
      <c r="L88" s="14" cm="1">
        <f t="array" ref="L88">INT(SUMPRODUCT(--ISNUMBER(SEARCH(healthcare,C88)))&gt;0)</f>
        <v>0</v>
      </c>
      <c r="M88" s="14" cm="1">
        <f t="array" ref="M88">INT(SUMPRODUCT(--ISNUMBER(SEARCH(supreme,C88)))&gt;0)</f>
        <v>0</v>
      </c>
      <c r="N88" s="14" cm="1">
        <f t="array" ref="N88">INT(SUMPRODUCT(--ISNUMBER(SEARCH(covid,C88)))&gt;0)</f>
        <v>0</v>
      </c>
      <c r="O88" s="14" cm="1">
        <f t="array" ref="O88">INT(SUMPRODUCT(--ISNUMBER(SEARCH(violent,C88)))&gt;0)</f>
        <v>0</v>
      </c>
      <c r="P88" s="14" cm="1">
        <f t="array" ref="P88">INT(SUMPRODUCT(--ISNUMBER(SEARCH(foreign,C88)))&gt;0)</f>
        <v>0</v>
      </c>
      <c r="Q88" s="14" cm="1">
        <f t="array" ref="Q88">INT(SUMPRODUCT(--ISNUMBER(SEARCH(gun,C88)))&gt;0)</f>
        <v>0</v>
      </c>
      <c r="R88" s="14" cm="1">
        <f t="array" ref="R88">INT(SUMPRODUCT(--ISNUMBER(SEARCH(race,C88)))&gt;0)</f>
        <v>0</v>
      </c>
      <c r="S88" s="14" cm="1">
        <f t="array" ref="S88">INT(SUMPRODUCT(--ISNUMBER(SEARCH(immigration,C88)))&gt;0)</f>
        <v>0</v>
      </c>
      <c r="T88" s="14" cm="1">
        <f t="array" ref="T88">INT(SUMPRODUCT(--ISNUMBER(SEARCH(econineq,C89)))&gt;0)</f>
        <v>0</v>
      </c>
      <c r="U88" s="14" cm="1">
        <f t="array" ref="U88">INT(SUMPRODUCT(--ISNUMBER(SEARCH(climate,C88)))&gt;0)</f>
        <v>0</v>
      </c>
      <c r="V88" s="14" cm="1">
        <f t="array" ref="V88">INT(SUMPRODUCT(--ISNUMBER(SEARCH(abortion,C88)))&gt;0)</f>
        <v>0</v>
      </c>
      <c r="W88" s="14" cm="1">
        <f t="array" ref="W88">INT(SUMPRODUCT(--ISNUMBER(SEARCH(trump,C88)))&gt;0)</f>
        <v>0</v>
      </c>
      <c r="X88" s="14" cm="1">
        <f t="array" ref="X88">INT(SUMPRODUCT(--ISNUMBER(SEARCH(voting,C88)))&gt;0)</f>
        <v>1</v>
      </c>
      <c r="Y88" s="35" cm="1">
        <f t="array" ref="Y88">INT(SUMPRODUCT(--ISNUMBER(SEARCH(republicantrigger,C88)))&gt;0)</f>
        <v>0</v>
      </c>
      <c r="Z88" s="35" cm="1">
        <f t="array" ref="Z88">INT(SUMPRODUCT(--ISNUMBER(SEARCH(bipartisan,C88)))&gt;0)</f>
        <v>0</v>
      </c>
      <c r="AA88" s="35">
        <f t="shared" si="1"/>
        <v>0</v>
      </c>
      <c r="AB88" s="14"/>
      <c r="AC88" s="30">
        <v>1</v>
      </c>
      <c r="AD88" s="37">
        <v>0</v>
      </c>
    </row>
    <row r="89" spans="1:30" x14ac:dyDescent="0.25">
      <c r="A89" s="36">
        <v>2595</v>
      </c>
      <c r="B89" s="14" t="s">
        <v>5215</v>
      </c>
      <c r="C89" s="14" t="s">
        <v>5216</v>
      </c>
      <c r="D89" s="17">
        <v>44130</v>
      </c>
      <c r="E89" s="14" t="s">
        <v>30</v>
      </c>
      <c r="F89" s="14">
        <v>1270</v>
      </c>
      <c r="G89" s="14">
        <v>337</v>
      </c>
      <c r="H89" s="14">
        <v>12</v>
      </c>
      <c r="I89" s="14">
        <v>6</v>
      </c>
      <c r="J89" s="14" t="s">
        <v>31</v>
      </c>
      <c r="K89" s="14" cm="1">
        <f t="array" ref="K89">INT(SUMPRODUCT(--ISNUMBER(SEARCH(economy,C89)))&gt;0)</f>
        <v>0</v>
      </c>
      <c r="L89" s="14" cm="1">
        <f t="array" ref="L89">INT(SUMPRODUCT(--ISNUMBER(SEARCH(healthcare,C89)))&gt;0)</f>
        <v>0</v>
      </c>
      <c r="M89" s="14" cm="1">
        <f t="array" ref="M89">INT(SUMPRODUCT(--ISNUMBER(SEARCH(supreme,C89)))&gt;0)</f>
        <v>0</v>
      </c>
      <c r="N89" s="14" cm="1">
        <f t="array" ref="N89">INT(SUMPRODUCT(--ISNUMBER(SEARCH(covid,C89)))&gt;0)</f>
        <v>0</v>
      </c>
      <c r="O89" s="14" cm="1">
        <f t="array" ref="O89">INT(SUMPRODUCT(--ISNUMBER(SEARCH(violent,C89)))&gt;0)</f>
        <v>0</v>
      </c>
      <c r="P89" s="14" cm="1">
        <f t="array" ref="P89">INT(SUMPRODUCT(--ISNUMBER(SEARCH(foreign,C89)))&gt;0)</f>
        <v>0</v>
      </c>
      <c r="Q89" s="14" cm="1">
        <f t="array" ref="Q89">INT(SUMPRODUCT(--ISNUMBER(SEARCH(gun,C89)))&gt;0)</f>
        <v>0</v>
      </c>
      <c r="R89" s="14" cm="1">
        <f t="array" ref="R89">INT(SUMPRODUCT(--ISNUMBER(SEARCH(race,C89)))&gt;0)</f>
        <v>0</v>
      </c>
      <c r="S89" s="14" cm="1">
        <f t="array" ref="S89">INT(SUMPRODUCT(--ISNUMBER(SEARCH(immigration,C89)))&gt;0)</f>
        <v>0</v>
      </c>
      <c r="T89" s="14" cm="1">
        <f t="array" ref="T89">INT(SUMPRODUCT(--ISNUMBER(SEARCH(econineq,C90)))&gt;0)</f>
        <v>0</v>
      </c>
      <c r="U89" s="14" cm="1">
        <f t="array" ref="U89">INT(SUMPRODUCT(--ISNUMBER(SEARCH(climate,C89)))&gt;0)</f>
        <v>0</v>
      </c>
      <c r="V89" s="14" cm="1">
        <f t="array" ref="V89">INT(SUMPRODUCT(--ISNUMBER(SEARCH(abortion,C89)))&gt;0)</f>
        <v>0</v>
      </c>
      <c r="W89" s="14" cm="1">
        <f t="array" ref="W89">INT(SUMPRODUCT(--ISNUMBER(SEARCH(trump,C89)))&gt;0)</f>
        <v>0</v>
      </c>
      <c r="X89" s="14" cm="1">
        <f t="array" ref="X89">INT(SUMPRODUCT(--ISNUMBER(SEARCH(voting,C89)))&gt;0)</f>
        <v>1</v>
      </c>
      <c r="Y89" s="35" cm="1">
        <f t="array" ref="Y89">INT(SUMPRODUCT(--ISNUMBER(SEARCH(republicantrigger,C89)))&gt;0)</f>
        <v>0</v>
      </c>
      <c r="Z89" s="35" cm="1">
        <f t="array" ref="Z89">INT(SUMPRODUCT(--ISNUMBER(SEARCH(bipartisan,C89)))&gt;0)</f>
        <v>0</v>
      </c>
      <c r="AA89" s="35">
        <f t="shared" si="1"/>
        <v>0</v>
      </c>
      <c r="AB89" s="14"/>
      <c r="AC89" s="30">
        <v>1</v>
      </c>
      <c r="AD89" s="37">
        <v>0</v>
      </c>
    </row>
    <row r="90" spans="1:30" x14ac:dyDescent="0.25">
      <c r="A90" s="36">
        <v>2596</v>
      </c>
      <c r="B90" s="14" t="s">
        <v>5217</v>
      </c>
      <c r="C90" s="14" t="s">
        <v>5218</v>
      </c>
      <c r="D90" s="17">
        <v>44130</v>
      </c>
      <c r="E90" s="14" t="s">
        <v>30</v>
      </c>
      <c r="F90" s="14">
        <v>527</v>
      </c>
      <c r="G90" s="14">
        <v>167</v>
      </c>
      <c r="H90" s="14">
        <v>12</v>
      </c>
      <c r="I90" s="14">
        <v>6</v>
      </c>
      <c r="J90" s="14" t="s">
        <v>31</v>
      </c>
      <c r="K90" s="14" cm="1">
        <f t="array" ref="K90">INT(SUMPRODUCT(--ISNUMBER(SEARCH(economy,C90)))&gt;0)</f>
        <v>0</v>
      </c>
      <c r="L90" s="14" cm="1">
        <f t="array" ref="L90">INT(SUMPRODUCT(--ISNUMBER(SEARCH(healthcare,C90)))&gt;0)</f>
        <v>0</v>
      </c>
      <c r="M90" s="14" cm="1">
        <f t="array" ref="M90">INT(SUMPRODUCT(--ISNUMBER(SEARCH(supreme,C90)))&gt;0)</f>
        <v>0</v>
      </c>
      <c r="N90" s="14" cm="1">
        <f t="array" ref="N90">INT(SUMPRODUCT(--ISNUMBER(SEARCH(covid,C90)))&gt;0)</f>
        <v>0</v>
      </c>
      <c r="O90" s="14" cm="1">
        <f t="array" ref="O90">INT(SUMPRODUCT(--ISNUMBER(SEARCH(violent,C90)))&gt;0)</f>
        <v>0</v>
      </c>
      <c r="P90" s="14" cm="1">
        <f t="array" ref="P90">INT(SUMPRODUCT(--ISNUMBER(SEARCH(foreign,C90)))&gt;0)</f>
        <v>0</v>
      </c>
      <c r="Q90" s="14" cm="1">
        <f t="array" ref="Q90">INT(SUMPRODUCT(--ISNUMBER(SEARCH(gun,C90)))&gt;0)</f>
        <v>1</v>
      </c>
      <c r="R90" s="14" cm="1">
        <f t="array" ref="R90">INT(SUMPRODUCT(--ISNUMBER(SEARCH(race,C90)))&gt;0)</f>
        <v>0</v>
      </c>
      <c r="S90" s="14" cm="1">
        <f t="array" ref="S90">INT(SUMPRODUCT(--ISNUMBER(SEARCH(immigration,C90)))&gt;0)</f>
        <v>0</v>
      </c>
      <c r="T90" s="14" cm="1">
        <f t="array" ref="T90">INT(SUMPRODUCT(--ISNUMBER(SEARCH(econineq,C91)))&gt;0)</f>
        <v>0</v>
      </c>
      <c r="U90" s="14" cm="1">
        <f t="array" ref="U90">INT(SUMPRODUCT(--ISNUMBER(SEARCH(climate,C90)))&gt;0)</f>
        <v>0</v>
      </c>
      <c r="V90" s="14" cm="1">
        <f t="array" ref="V90">INT(SUMPRODUCT(--ISNUMBER(SEARCH(abortion,C90)))&gt;0)</f>
        <v>0</v>
      </c>
      <c r="W90" s="14" cm="1">
        <f t="array" ref="W90">INT(SUMPRODUCT(--ISNUMBER(SEARCH(trump,C90)))&gt;0)</f>
        <v>0</v>
      </c>
      <c r="X90" s="14" cm="1">
        <f t="array" ref="X90">INT(SUMPRODUCT(--ISNUMBER(SEARCH(voting,C90)))&gt;0)</f>
        <v>1</v>
      </c>
      <c r="Y90" s="35" cm="1">
        <f t="array" ref="Y90">INT(SUMPRODUCT(--ISNUMBER(SEARCH(republicantrigger,C90)))&gt;0)</f>
        <v>1</v>
      </c>
      <c r="Z90" s="35" cm="1">
        <f t="array" ref="Z90">INT(SUMPRODUCT(--ISNUMBER(SEARCH(bipartisan,C90)))&gt;0)</f>
        <v>0</v>
      </c>
      <c r="AA90" s="35">
        <f t="shared" si="1"/>
        <v>0</v>
      </c>
      <c r="AB90" s="14"/>
      <c r="AC90" s="30">
        <v>1</v>
      </c>
      <c r="AD90" s="37">
        <v>0</v>
      </c>
    </row>
    <row r="91" spans="1:30" x14ac:dyDescent="0.25">
      <c r="A91" s="36">
        <v>2597</v>
      </c>
      <c r="B91" s="14" t="s">
        <v>5219</v>
      </c>
      <c r="C91" s="14" t="s">
        <v>5220</v>
      </c>
      <c r="D91" s="17">
        <v>44129</v>
      </c>
      <c r="E91" s="14" t="s">
        <v>30</v>
      </c>
      <c r="F91" s="14">
        <v>211</v>
      </c>
      <c r="G91" s="14">
        <v>68</v>
      </c>
      <c r="H91" s="14">
        <v>12</v>
      </c>
      <c r="I91" s="14">
        <v>6</v>
      </c>
      <c r="J91" s="14" t="s">
        <v>31</v>
      </c>
      <c r="K91" s="14" cm="1">
        <f t="array" ref="K91">INT(SUMPRODUCT(--ISNUMBER(SEARCH(economy,C91)))&gt;0)</f>
        <v>0</v>
      </c>
      <c r="L91" s="14" cm="1">
        <f t="array" ref="L91">INT(SUMPRODUCT(--ISNUMBER(SEARCH(healthcare,C91)))&gt;0)</f>
        <v>0</v>
      </c>
      <c r="M91" s="14" cm="1">
        <f t="array" ref="M91">INT(SUMPRODUCT(--ISNUMBER(SEARCH(supreme,C91)))&gt;0)</f>
        <v>0</v>
      </c>
      <c r="N91" s="14" cm="1">
        <f t="array" ref="N91">INT(SUMPRODUCT(--ISNUMBER(SEARCH(covid,C91)))&gt;0)</f>
        <v>1</v>
      </c>
      <c r="O91" s="14" cm="1">
        <f t="array" ref="O91">INT(SUMPRODUCT(--ISNUMBER(SEARCH(violent,C91)))&gt;0)</f>
        <v>0</v>
      </c>
      <c r="P91" s="14" cm="1">
        <f t="array" ref="P91">INT(SUMPRODUCT(--ISNUMBER(SEARCH(foreign,C91)))&gt;0)</f>
        <v>1</v>
      </c>
      <c r="Q91" s="14" cm="1">
        <f t="array" ref="Q91">INT(SUMPRODUCT(--ISNUMBER(SEARCH(gun,C91)))&gt;0)</f>
        <v>0</v>
      </c>
      <c r="R91" s="14" cm="1">
        <f t="array" ref="R91">INT(SUMPRODUCT(--ISNUMBER(SEARCH(race,C91)))&gt;0)</f>
        <v>0</v>
      </c>
      <c r="S91" s="14" cm="1">
        <f t="array" ref="S91">INT(SUMPRODUCT(--ISNUMBER(SEARCH(immigration,C91)))&gt;0)</f>
        <v>0</v>
      </c>
      <c r="T91" s="14" cm="1">
        <f t="array" ref="T91">INT(SUMPRODUCT(--ISNUMBER(SEARCH(econineq,C92)))&gt;0)</f>
        <v>0</v>
      </c>
      <c r="U91" s="14" cm="1">
        <f t="array" ref="U91">INT(SUMPRODUCT(--ISNUMBER(SEARCH(climate,C91)))&gt;0)</f>
        <v>0</v>
      </c>
      <c r="V91" s="14" cm="1">
        <f t="array" ref="V91">INT(SUMPRODUCT(--ISNUMBER(SEARCH(abortion,C91)))&gt;0)</f>
        <v>0</v>
      </c>
      <c r="W91" s="14" cm="1">
        <f t="array" ref="W91">INT(SUMPRODUCT(--ISNUMBER(SEARCH(trump,C91)))&gt;0)</f>
        <v>1</v>
      </c>
      <c r="X91" s="14" cm="1">
        <f t="array" ref="X91">INT(SUMPRODUCT(--ISNUMBER(SEARCH(voting,C91)))&gt;0)</f>
        <v>0</v>
      </c>
      <c r="Y91" s="35" cm="1">
        <f t="array" ref="Y91">INT(SUMPRODUCT(--ISNUMBER(SEARCH(republicantrigger,C91)))&gt;0)</f>
        <v>1</v>
      </c>
      <c r="Z91" s="35" cm="1">
        <f t="array" ref="Z91">INT(SUMPRODUCT(--ISNUMBER(SEARCH(bipartisan,C91)))&gt;0)</f>
        <v>0</v>
      </c>
      <c r="AA91" s="35">
        <f t="shared" si="1"/>
        <v>0</v>
      </c>
      <c r="AB91" s="14"/>
      <c r="AC91" s="30" t="s">
        <v>223</v>
      </c>
      <c r="AD91" s="37" t="s">
        <v>223</v>
      </c>
    </row>
    <row r="92" spans="1:30" x14ac:dyDescent="0.25">
      <c r="A92" s="36">
        <v>2598</v>
      </c>
      <c r="B92" s="14" t="s">
        <v>5221</v>
      </c>
      <c r="C92" s="14" t="s">
        <v>5222</v>
      </c>
      <c r="D92" s="17">
        <v>44129</v>
      </c>
      <c r="E92" s="14" t="s">
        <v>30</v>
      </c>
      <c r="F92" s="14">
        <v>819</v>
      </c>
      <c r="G92" s="14">
        <v>224</v>
      </c>
      <c r="H92" s="14">
        <v>12</v>
      </c>
      <c r="I92" s="14">
        <v>6</v>
      </c>
      <c r="J92" s="14" t="s">
        <v>31</v>
      </c>
      <c r="K92" s="14" cm="1">
        <f t="array" ref="K92">INT(SUMPRODUCT(--ISNUMBER(SEARCH(economy,C92)))&gt;0)</f>
        <v>0</v>
      </c>
      <c r="L92" s="14" cm="1">
        <f t="array" ref="L92">INT(SUMPRODUCT(--ISNUMBER(SEARCH(healthcare,C92)))&gt;0)</f>
        <v>0</v>
      </c>
      <c r="M92" s="14" cm="1">
        <f t="array" ref="M92">INT(SUMPRODUCT(--ISNUMBER(SEARCH(supreme,C92)))&gt;0)</f>
        <v>0</v>
      </c>
      <c r="N92" s="14" cm="1">
        <f t="array" ref="N92">INT(SUMPRODUCT(--ISNUMBER(SEARCH(covid,C92)))&gt;0)</f>
        <v>0</v>
      </c>
      <c r="O92" s="14" cm="1">
        <f t="array" ref="O92">INT(SUMPRODUCT(--ISNUMBER(SEARCH(violent,C92)))&gt;0)</f>
        <v>0</v>
      </c>
      <c r="P92" s="14" cm="1">
        <f t="array" ref="P92">INT(SUMPRODUCT(--ISNUMBER(SEARCH(foreign,C92)))&gt;0)</f>
        <v>0</v>
      </c>
      <c r="Q92" s="14" cm="1">
        <f t="array" ref="Q92">INT(SUMPRODUCT(--ISNUMBER(SEARCH(gun,C92)))&gt;0)</f>
        <v>0</v>
      </c>
      <c r="R92" s="14" cm="1">
        <f t="array" ref="R92">INT(SUMPRODUCT(--ISNUMBER(SEARCH(race,C92)))&gt;0)</f>
        <v>0</v>
      </c>
      <c r="S92" s="14" cm="1">
        <f t="array" ref="S92">INT(SUMPRODUCT(--ISNUMBER(SEARCH(immigration,C92)))&gt;0)</f>
        <v>0</v>
      </c>
      <c r="T92" s="14" cm="1">
        <f t="array" ref="T92">INT(SUMPRODUCT(--ISNUMBER(SEARCH(econineq,C93)))&gt;0)</f>
        <v>0</v>
      </c>
      <c r="U92" s="14" cm="1">
        <f t="array" ref="U92">INT(SUMPRODUCT(--ISNUMBER(SEARCH(climate,C92)))&gt;0)</f>
        <v>0</v>
      </c>
      <c r="V92" s="14" cm="1">
        <f t="array" ref="V92">INT(SUMPRODUCT(--ISNUMBER(SEARCH(abortion,C92)))&gt;0)</f>
        <v>0</v>
      </c>
      <c r="W92" s="14" cm="1">
        <f t="array" ref="W92">INT(SUMPRODUCT(--ISNUMBER(SEARCH(trump,C92)))&gt;0)</f>
        <v>1</v>
      </c>
      <c r="X92" s="14" cm="1">
        <f t="array" ref="X92">INT(SUMPRODUCT(--ISNUMBER(SEARCH(voting,C92)))&gt;0)</f>
        <v>0</v>
      </c>
      <c r="Y92" s="35" cm="1">
        <f t="array" ref="Y92">INT(SUMPRODUCT(--ISNUMBER(SEARCH(republicantrigger,C92)))&gt;0)</f>
        <v>1</v>
      </c>
      <c r="Z92" s="35" cm="1">
        <f t="array" ref="Z92">INT(SUMPRODUCT(--ISNUMBER(SEARCH(bipartisan,C92)))&gt;0)</f>
        <v>0</v>
      </c>
      <c r="AA92" s="35">
        <f t="shared" si="1"/>
        <v>0</v>
      </c>
      <c r="AB92" s="14"/>
      <c r="AC92" s="30">
        <v>0</v>
      </c>
      <c r="AD92" s="37">
        <v>1</v>
      </c>
    </row>
    <row r="93" spans="1:30" x14ac:dyDescent="0.25">
      <c r="A93" s="36">
        <v>2599</v>
      </c>
      <c r="B93" s="14" t="s">
        <v>5223</v>
      </c>
      <c r="C93" s="14" t="s">
        <v>5224</v>
      </c>
      <c r="D93" s="17">
        <v>44129</v>
      </c>
      <c r="E93" s="14" t="s">
        <v>30</v>
      </c>
      <c r="F93" s="14">
        <v>160</v>
      </c>
      <c r="G93" s="14">
        <v>56</v>
      </c>
      <c r="H93" s="14">
        <v>12</v>
      </c>
      <c r="I93" s="14">
        <v>6</v>
      </c>
      <c r="J93" s="14" t="s">
        <v>31</v>
      </c>
      <c r="K93" s="14" cm="1">
        <f t="array" ref="K93">INT(SUMPRODUCT(--ISNUMBER(SEARCH(economy,C93)))&gt;0)</f>
        <v>0</v>
      </c>
      <c r="L93" s="14" cm="1">
        <f t="array" ref="L93">INT(SUMPRODUCT(--ISNUMBER(SEARCH(healthcare,C93)))&gt;0)</f>
        <v>0</v>
      </c>
      <c r="M93" s="14" cm="1">
        <f t="array" ref="M93">INT(SUMPRODUCT(--ISNUMBER(SEARCH(supreme,C93)))&gt;0)</f>
        <v>1</v>
      </c>
      <c r="N93" s="14" cm="1">
        <f t="array" ref="N93">INT(SUMPRODUCT(--ISNUMBER(SEARCH(covid,C93)))&gt;0)</f>
        <v>0</v>
      </c>
      <c r="O93" s="14" cm="1">
        <f t="array" ref="O93">INT(SUMPRODUCT(--ISNUMBER(SEARCH(violent,C93)))&gt;0)</f>
        <v>0</v>
      </c>
      <c r="P93" s="14" cm="1">
        <f t="array" ref="P93">INT(SUMPRODUCT(--ISNUMBER(SEARCH(foreign,C93)))&gt;0)</f>
        <v>0</v>
      </c>
      <c r="Q93" s="14" cm="1">
        <f t="array" ref="Q93">INT(SUMPRODUCT(--ISNUMBER(SEARCH(gun,C93)))&gt;0)</f>
        <v>1</v>
      </c>
      <c r="R93" s="14" cm="1">
        <f t="array" ref="R93">INT(SUMPRODUCT(--ISNUMBER(SEARCH(race,C93)))&gt;0)</f>
        <v>0</v>
      </c>
      <c r="S93" s="14" cm="1">
        <f t="array" ref="S93">INT(SUMPRODUCT(--ISNUMBER(SEARCH(immigration,C93)))&gt;0)</f>
        <v>0</v>
      </c>
      <c r="T93" s="14" cm="1">
        <f t="array" ref="T93">INT(SUMPRODUCT(--ISNUMBER(SEARCH(econineq,C94)))&gt;0)</f>
        <v>0</v>
      </c>
      <c r="U93" s="14" cm="1">
        <f t="array" ref="U93">INT(SUMPRODUCT(--ISNUMBER(SEARCH(climate,C93)))&gt;0)</f>
        <v>0</v>
      </c>
      <c r="V93" s="14" cm="1">
        <f t="array" ref="V93">INT(SUMPRODUCT(--ISNUMBER(SEARCH(abortion,C93)))&gt;0)</f>
        <v>0</v>
      </c>
      <c r="W93" s="14" cm="1">
        <f t="array" ref="W93">INT(SUMPRODUCT(--ISNUMBER(SEARCH(trump,C93)))&gt;0)</f>
        <v>0</v>
      </c>
      <c r="X93" s="14" cm="1">
        <f t="array" ref="X93">INT(SUMPRODUCT(--ISNUMBER(SEARCH(voting,C93)))&gt;0)</f>
        <v>0</v>
      </c>
      <c r="Y93" s="35" cm="1">
        <f t="array" ref="Y93">INT(SUMPRODUCT(--ISNUMBER(SEARCH(republicantrigger,C93)))&gt;0)</f>
        <v>1</v>
      </c>
      <c r="Z93" s="35" cm="1">
        <f t="array" ref="Z93">INT(SUMPRODUCT(--ISNUMBER(SEARCH(bipartisan,C93)))&gt;0)</f>
        <v>0</v>
      </c>
      <c r="AA93" s="35">
        <f t="shared" si="1"/>
        <v>0</v>
      </c>
      <c r="AB93" s="14"/>
      <c r="AC93" s="30">
        <v>1</v>
      </c>
      <c r="AD93" s="37">
        <v>0</v>
      </c>
    </row>
    <row r="94" spans="1:30" x14ac:dyDescent="0.25">
      <c r="A94" s="36">
        <v>2600</v>
      </c>
      <c r="B94" s="14" t="s">
        <v>5225</v>
      </c>
      <c r="C94" s="14" t="s">
        <v>5226</v>
      </c>
      <c r="D94" s="17">
        <v>44129</v>
      </c>
      <c r="E94" s="14" t="s">
        <v>30</v>
      </c>
      <c r="F94" s="14">
        <v>229</v>
      </c>
      <c r="G94" s="14">
        <v>70</v>
      </c>
      <c r="H94" s="14">
        <v>12</v>
      </c>
      <c r="I94" s="14">
        <v>6</v>
      </c>
      <c r="J94" s="14" t="s">
        <v>31</v>
      </c>
      <c r="K94" s="14" cm="1">
        <f t="array" ref="K94">INT(SUMPRODUCT(--ISNUMBER(SEARCH(economy,C94)))&gt;0)</f>
        <v>0</v>
      </c>
      <c r="L94" s="14" cm="1">
        <f t="array" ref="L94">INT(SUMPRODUCT(--ISNUMBER(SEARCH(healthcare,C94)))&gt;0)</f>
        <v>0</v>
      </c>
      <c r="M94" s="14" cm="1">
        <f t="array" ref="M94">INT(SUMPRODUCT(--ISNUMBER(SEARCH(supreme,C94)))&gt;0)</f>
        <v>0</v>
      </c>
      <c r="N94" s="14" cm="1">
        <f t="array" ref="N94">INT(SUMPRODUCT(--ISNUMBER(SEARCH(covid,C94)))&gt;0)</f>
        <v>0</v>
      </c>
      <c r="O94" s="14" cm="1">
        <f t="array" ref="O94">INT(SUMPRODUCT(--ISNUMBER(SEARCH(violent,C94)))&gt;0)</f>
        <v>0</v>
      </c>
      <c r="P94" s="14" cm="1">
        <f t="array" ref="P94">INT(SUMPRODUCT(--ISNUMBER(SEARCH(foreign,C94)))&gt;0)</f>
        <v>0</v>
      </c>
      <c r="Q94" s="14" cm="1">
        <f t="array" ref="Q94">INT(SUMPRODUCT(--ISNUMBER(SEARCH(gun,C94)))&gt;0)</f>
        <v>0</v>
      </c>
      <c r="R94" s="14" cm="1">
        <f t="array" ref="R94">INT(SUMPRODUCT(--ISNUMBER(SEARCH(race,C94)))&gt;0)</f>
        <v>0</v>
      </c>
      <c r="S94" s="14" cm="1">
        <f t="array" ref="S94">INT(SUMPRODUCT(--ISNUMBER(SEARCH(immigration,C94)))&gt;0)</f>
        <v>0</v>
      </c>
      <c r="T94" s="14" cm="1">
        <f t="array" ref="T94">INT(SUMPRODUCT(--ISNUMBER(SEARCH(econineq,C95)))&gt;0)</f>
        <v>0</v>
      </c>
      <c r="U94" s="14" cm="1">
        <f t="array" ref="U94">INT(SUMPRODUCT(--ISNUMBER(SEARCH(climate,C94)))&gt;0)</f>
        <v>0</v>
      </c>
      <c r="V94" s="14" cm="1">
        <f t="array" ref="V94">INT(SUMPRODUCT(--ISNUMBER(SEARCH(abortion,C94)))&gt;0)</f>
        <v>0</v>
      </c>
      <c r="W94" s="14" cm="1">
        <f t="array" ref="W94">INT(SUMPRODUCT(--ISNUMBER(SEARCH(trump,C94)))&gt;0)</f>
        <v>1</v>
      </c>
      <c r="X94" s="14" cm="1">
        <f t="array" ref="X94">INT(SUMPRODUCT(--ISNUMBER(SEARCH(voting,C94)))&gt;0)</f>
        <v>0</v>
      </c>
      <c r="Y94" s="35" cm="1">
        <f t="array" ref="Y94">INT(SUMPRODUCT(--ISNUMBER(SEARCH(republicantrigger,C94)))&gt;0)</f>
        <v>0</v>
      </c>
      <c r="Z94" s="35" cm="1">
        <f t="array" ref="Z94">INT(SUMPRODUCT(--ISNUMBER(SEARCH(bipartisan,C94)))&gt;0)</f>
        <v>0</v>
      </c>
      <c r="AA94" s="35">
        <f t="shared" si="1"/>
        <v>0</v>
      </c>
      <c r="AB94" s="14"/>
      <c r="AC94" s="30" t="s">
        <v>223</v>
      </c>
      <c r="AD94" s="37" t="s">
        <v>223</v>
      </c>
    </row>
    <row r="95" spans="1:30" x14ac:dyDescent="0.25">
      <c r="A95" s="36">
        <v>2601</v>
      </c>
      <c r="B95" s="14" t="s">
        <v>5227</v>
      </c>
      <c r="C95" s="14" t="s">
        <v>5228</v>
      </c>
      <c r="D95" s="17">
        <v>44128</v>
      </c>
      <c r="E95" s="14" t="s">
        <v>30</v>
      </c>
      <c r="F95" s="14">
        <v>124</v>
      </c>
      <c r="G95" s="14">
        <v>37</v>
      </c>
      <c r="H95" s="14">
        <v>12</v>
      </c>
      <c r="I95" s="14">
        <v>6</v>
      </c>
      <c r="J95" s="14" t="s">
        <v>31</v>
      </c>
      <c r="K95" s="14" cm="1">
        <f t="array" ref="K95">INT(SUMPRODUCT(--ISNUMBER(SEARCH(economy,C95)))&gt;0)</f>
        <v>0</v>
      </c>
      <c r="L95" s="14" cm="1">
        <f t="array" ref="L95">INT(SUMPRODUCT(--ISNUMBER(SEARCH(healthcare,C95)))&gt;0)</f>
        <v>0</v>
      </c>
      <c r="M95" s="14" cm="1">
        <f t="array" ref="M95">INT(SUMPRODUCT(--ISNUMBER(SEARCH(supreme,C95)))&gt;0)</f>
        <v>0</v>
      </c>
      <c r="N95" s="14" cm="1">
        <f t="array" ref="N95">INT(SUMPRODUCT(--ISNUMBER(SEARCH(covid,C95)))&gt;0)</f>
        <v>0</v>
      </c>
      <c r="O95" s="14" cm="1">
        <f t="array" ref="O95">INT(SUMPRODUCT(--ISNUMBER(SEARCH(violent,C95)))&gt;0)</f>
        <v>0</v>
      </c>
      <c r="P95" s="14" cm="1">
        <f t="array" ref="P95">INT(SUMPRODUCT(--ISNUMBER(SEARCH(foreign,C95)))&gt;0)</f>
        <v>1</v>
      </c>
      <c r="Q95" s="14" cm="1">
        <f t="array" ref="Q95">INT(SUMPRODUCT(--ISNUMBER(SEARCH(gun,C95)))&gt;0)</f>
        <v>0</v>
      </c>
      <c r="R95" s="14" cm="1">
        <f t="array" ref="R95">INT(SUMPRODUCT(--ISNUMBER(SEARCH(race,C95)))&gt;0)</f>
        <v>0</v>
      </c>
      <c r="S95" s="14" cm="1">
        <f t="array" ref="S95">INT(SUMPRODUCT(--ISNUMBER(SEARCH(immigration,C95)))&gt;0)</f>
        <v>0</v>
      </c>
      <c r="T95" s="14" cm="1">
        <f t="array" ref="T95">INT(SUMPRODUCT(--ISNUMBER(SEARCH(econineq,C96)))&gt;0)</f>
        <v>0</v>
      </c>
      <c r="U95" s="14" cm="1">
        <f t="array" ref="U95">INT(SUMPRODUCT(--ISNUMBER(SEARCH(climate,C95)))&gt;0)</f>
        <v>0</v>
      </c>
      <c r="V95" s="14" cm="1">
        <f t="array" ref="V95">INT(SUMPRODUCT(--ISNUMBER(SEARCH(abortion,C95)))&gt;0)</f>
        <v>0</v>
      </c>
      <c r="W95" s="14" cm="1">
        <f t="array" ref="W95">INT(SUMPRODUCT(--ISNUMBER(SEARCH(trump,C95)))&gt;0)</f>
        <v>1</v>
      </c>
      <c r="X95" s="14" cm="1">
        <f t="array" ref="X95">INT(SUMPRODUCT(--ISNUMBER(SEARCH(voting,C95)))&gt;0)</f>
        <v>0</v>
      </c>
      <c r="Y95" s="35" cm="1">
        <f t="array" ref="Y95">INT(SUMPRODUCT(--ISNUMBER(SEARCH(republicantrigger,C95)))&gt;0)</f>
        <v>1</v>
      </c>
      <c r="Z95" s="35" cm="1">
        <f t="array" ref="Z95">INT(SUMPRODUCT(--ISNUMBER(SEARCH(bipartisan,C95)))&gt;0)</f>
        <v>0</v>
      </c>
      <c r="AA95" s="35">
        <f t="shared" si="1"/>
        <v>0</v>
      </c>
      <c r="AB95" s="14"/>
      <c r="AC95" s="30">
        <v>1</v>
      </c>
      <c r="AD95" s="37">
        <v>0</v>
      </c>
    </row>
    <row r="96" spans="1:30" x14ac:dyDescent="0.25">
      <c r="A96" s="36">
        <v>2602</v>
      </c>
      <c r="B96" s="14" t="s">
        <v>5229</v>
      </c>
      <c r="C96" s="14" t="s">
        <v>5230</v>
      </c>
      <c r="D96" s="17">
        <v>44128</v>
      </c>
      <c r="E96" s="14" t="s">
        <v>30</v>
      </c>
      <c r="F96" s="14">
        <v>155</v>
      </c>
      <c r="G96" s="14">
        <v>47</v>
      </c>
      <c r="H96" s="14">
        <v>12</v>
      </c>
      <c r="I96" s="14">
        <v>6</v>
      </c>
      <c r="J96" s="14" t="s">
        <v>31</v>
      </c>
      <c r="K96" s="14" cm="1">
        <f t="array" ref="K96">INT(SUMPRODUCT(--ISNUMBER(SEARCH(economy,C96)))&gt;0)</f>
        <v>0</v>
      </c>
      <c r="L96" s="14" cm="1">
        <f t="array" ref="L96">INT(SUMPRODUCT(--ISNUMBER(SEARCH(healthcare,C96)))&gt;0)</f>
        <v>0</v>
      </c>
      <c r="M96" s="14" cm="1">
        <f t="array" ref="M96">INT(SUMPRODUCT(--ISNUMBER(SEARCH(supreme,C96)))&gt;0)</f>
        <v>0</v>
      </c>
      <c r="N96" s="14" cm="1">
        <f t="array" ref="N96">INT(SUMPRODUCT(--ISNUMBER(SEARCH(covid,C96)))&gt;0)</f>
        <v>0</v>
      </c>
      <c r="O96" s="14" cm="1">
        <f t="array" ref="O96">INT(SUMPRODUCT(--ISNUMBER(SEARCH(violent,C96)))&gt;0)</f>
        <v>0</v>
      </c>
      <c r="P96" s="14" cm="1">
        <f t="array" ref="P96">INT(SUMPRODUCT(--ISNUMBER(SEARCH(foreign,C96)))&gt;0)</f>
        <v>0</v>
      </c>
      <c r="Q96" s="14" cm="1">
        <f t="array" ref="Q96">INT(SUMPRODUCT(--ISNUMBER(SEARCH(gun,C96)))&gt;0)</f>
        <v>0</v>
      </c>
      <c r="R96" s="14" cm="1">
        <f t="array" ref="R96">INT(SUMPRODUCT(--ISNUMBER(SEARCH(race,C96)))&gt;0)</f>
        <v>0</v>
      </c>
      <c r="S96" s="14" cm="1">
        <f t="array" ref="S96">INT(SUMPRODUCT(--ISNUMBER(SEARCH(immigration,C96)))&gt;0)</f>
        <v>0</v>
      </c>
      <c r="T96" s="14" cm="1">
        <f t="array" ref="T96">INT(SUMPRODUCT(--ISNUMBER(SEARCH(econineq,C97)))&gt;0)</f>
        <v>0</v>
      </c>
      <c r="U96" s="14" cm="1">
        <f t="array" ref="U96">INT(SUMPRODUCT(--ISNUMBER(SEARCH(climate,C96)))&gt;0)</f>
        <v>0</v>
      </c>
      <c r="V96" s="14" cm="1">
        <f t="array" ref="V96">INT(SUMPRODUCT(--ISNUMBER(SEARCH(abortion,C96)))&gt;0)</f>
        <v>0</v>
      </c>
      <c r="W96" s="14" cm="1">
        <f t="array" ref="W96">INT(SUMPRODUCT(--ISNUMBER(SEARCH(trump,C96)))&gt;0)</f>
        <v>0</v>
      </c>
      <c r="X96" s="14" cm="1">
        <f t="array" ref="X96">INT(SUMPRODUCT(--ISNUMBER(SEARCH(voting,C96)))&gt;0)</f>
        <v>0</v>
      </c>
      <c r="Y96" s="35" cm="1">
        <f t="array" ref="Y96">INT(SUMPRODUCT(--ISNUMBER(SEARCH(republicantrigger,C96)))&gt;0)</f>
        <v>1</v>
      </c>
      <c r="Z96" s="35" cm="1">
        <f t="array" ref="Z96">INT(SUMPRODUCT(--ISNUMBER(SEARCH(bipartisan,C96)))&gt;0)</f>
        <v>0</v>
      </c>
      <c r="AA96" s="35">
        <f t="shared" si="1"/>
        <v>0</v>
      </c>
      <c r="AB96" s="14"/>
      <c r="AC96" s="30" t="s">
        <v>223</v>
      </c>
      <c r="AD96" s="37" t="s">
        <v>223</v>
      </c>
    </row>
    <row r="97" spans="1:30" x14ac:dyDescent="0.25">
      <c r="A97" s="36">
        <v>2603</v>
      </c>
      <c r="B97" s="14" t="s">
        <v>5231</v>
      </c>
      <c r="C97" s="14" t="s">
        <v>5232</v>
      </c>
      <c r="D97" s="17">
        <v>44128</v>
      </c>
      <c r="E97" s="14" t="s">
        <v>30</v>
      </c>
      <c r="F97" s="14">
        <v>567</v>
      </c>
      <c r="G97" s="14">
        <v>170</v>
      </c>
      <c r="H97" s="14">
        <v>12</v>
      </c>
      <c r="I97" s="14">
        <v>6</v>
      </c>
      <c r="J97" s="14" t="s">
        <v>31</v>
      </c>
      <c r="K97" s="14" cm="1">
        <f t="array" ref="K97">INT(SUMPRODUCT(--ISNUMBER(SEARCH(economy,C97)))&gt;0)</f>
        <v>0</v>
      </c>
      <c r="L97" s="14" cm="1">
        <f t="array" ref="L97">INT(SUMPRODUCT(--ISNUMBER(SEARCH(healthcare,C97)))&gt;0)</f>
        <v>0</v>
      </c>
      <c r="M97" s="14" cm="1">
        <f t="array" ref="M97">INT(SUMPRODUCT(--ISNUMBER(SEARCH(supreme,C97)))&gt;0)</f>
        <v>0</v>
      </c>
      <c r="N97" s="14" cm="1">
        <f t="array" ref="N97">INT(SUMPRODUCT(--ISNUMBER(SEARCH(covid,C97)))&gt;0)</f>
        <v>0</v>
      </c>
      <c r="O97" s="14" cm="1">
        <f t="array" ref="O97">INT(SUMPRODUCT(--ISNUMBER(SEARCH(violent,C97)))&gt;0)</f>
        <v>0</v>
      </c>
      <c r="P97" s="14" cm="1">
        <f t="array" ref="P97">INT(SUMPRODUCT(--ISNUMBER(SEARCH(foreign,C97)))&gt;0)</f>
        <v>0</v>
      </c>
      <c r="Q97" s="14" cm="1">
        <f t="array" ref="Q97">INT(SUMPRODUCT(--ISNUMBER(SEARCH(gun,C97)))&gt;0)</f>
        <v>0</v>
      </c>
      <c r="R97" s="14" cm="1">
        <f t="array" ref="R97">INT(SUMPRODUCT(--ISNUMBER(SEARCH(race,C97)))&gt;0)</f>
        <v>0</v>
      </c>
      <c r="S97" s="14" cm="1">
        <f t="array" ref="S97">INT(SUMPRODUCT(--ISNUMBER(SEARCH(immigration,C97)))&gt;0)</f>
        <v>0</v>
      </c>
      <c r="T97" s="14" cm="1">
        <f t="array" ref="T97">INT(SUMPRODUCT(--ISNUMBER(SEARCH(econineq,C98)))&gt;0)</f>
        <v>0</v>
      </c>
      <c r="U97" s="14" cm="1">
        <f t="array" ref="U97">INT(SUMPRODUCT(--ISNUMBER(SEARCH(climate,C97)))&gt;0)</f>
        <v>0</v>
      </c>
      <c r="V97" s="14" cm="1">
        <f t="array" ref="V97">INT(SUMPRODUCT(--ISNUMBER(SEARCH(abortion,C97)))&gt;0)</f>
        <v>0</v>
      </c>
      <c r="W97" s="14" cm="1">
        <f t="array" ref="W97">INT(SUMPRODUCT(--ISNUMBER(SEARCH(trump,C97)))&gt;0)</f>
        <v>0</v>
      </c>
      <c r="X97" s="14" cm="1">
        <f t="array" ref="X97">INT(SUMPRODUCT(--ISNUMBER(SEARCH(voting,C97)))&gt;0)</f>
        <v>1</v>
      </c>
      <c r="Y97" s="35" cm="1">
        <f t="array" ref="Y97">INT(SUMPRODUCT(--ISNUMBER(SEARCH(republicantrigger,C97)))&gt;0)</f>
        <v>1</v>
      </c>
      <c r="Z97" s="35" cm="1">
        <f t="array" ref="Z97">INT(SUMPRODUCT(--ISNUMBER(SEARCH(bipartisan,C97)))&gt;0)</f>
        <v>0</v>
      </c>
      <c r="AA97" s="35">
        <f t="shared" si="1"/>
        <v>0</v>
      </c>
      <c r="AB97" s="14"/>
      <c r="AC97" s="30">
        <v>1</v>
      </c>
      <c r="AD97" s="37">
        <v>0</v>
      </c>
    </row>
    <row r="98" spans="1:30" x14ac:dyDescent="0.25">
      <c r="A98" s="36">
        <v>2604</v>
      </c>
      <c r="B98" s="14" t="s">
        <v>5233</v>
      </c>
      <c r="C98" s="14" t="s">
        <v>5234</v>
      </c>
      <c r="D98" s="17">
        <v>44128</v>
      </c>
      <c r="E98" s="14" t="s">
        <v>30</v>
      </c>
      <c r="F98" s="14">
        <v>45</v>
      </c>
      <c r="G98" s="14">
        <v>8</v>
      </c>
      <c r="H98" s="14">
        <v>12</v>
      </c>
      <c r="I98" s="14">
        <v>6</v>
      </c>
      <c r="J98" s="14" t="s">
        <v>31</v>
      </c>
      <c r="K98" s="14" cm="1">
        <f t="array" ref="K98">INT(SUMPRODUCT(--ISNUMBER(SEARCH(economy,C98)))&gt;0)</f>
        <v>0</v>
      </c>
      <c r="L98" s="14" cm="1">
        <f t="array" ref="L98">INT(SUMPRODUCT(--ISNUMBER(SEARCH(healthcare,C98)))&gt;0)</f>
        <v>0</v>
      </c>
      <c r="M98" s="14" cm="1">
        <f t="array" ref="M98">INT(SUMPRODUCT(--ISNUMBER(SEARCH(supreme,C98)))&gt;0)</f>
        <v>0</v>
      </c>
      <c r="N98" s="14" cm="1">
        <f t="array" ref="N98">INT(SUMPRODUCT(--ISNUMBER(SEARCH(covid,C98)))&gt;0)</f>
        <v>0</v>
      </c>
      <c r="O98" s="14" cm="1">
        <f t="array" ref="O98">INT(SUMPRODUCT(--ISNUMBER(SEARCH(violent,C98)))&gt;0)</f>
        <v>0</v>
      </c>
      <c r="P98" s="14" cm="1">
        <f t="array" ref="P98">INT(SUMPRODUCT(--ISNUMBER(SEARCH(foreign,C98)))&gt;0)</f>
        <v>0</v>
      </c>
      <c r="Q98" s="14" cm="1">
        <f t="array" ref="Q98">INT(SUMPRODUCT(--ISNUMBER(SEARCH(gun,C98)))&gt;0)</f>
        <v>0</v>
      </c>
      <c r="R98" s="14" cm="1">
        <f t="array" ref="R98">INT(SUMPRODUCT(--ISNUMBER(SEARCH(race,C98)))&gt;0)</f>
        <v>0</v>
      </c>
      <c r="S98" s="14" cm="1">
        <f t="array" ref="S98">INT(SUMPRODUCT(--ISNUMBER(SEARCH(immigration,C98)))&gt;0)</f>
        <v>0</v>
      </c>
      <c r="T98" s="14" cm="1">
        <f t="array" ref="T98">INT(SUMPRODUCT(--ISNUMBER(SEARCH(econineq,C99)))&gt;0)</f>
        <v>0</v>
      </c>
      <c r="U98" s="14" cm="1">
        <f t="array" ref="U98">INT(SUMPRODUCT(--ISNUMBER(SEARCH(climate,C98)))&gt;0)</f>
        <v>0</v>
      </c>
      <c r="V98" s="14" cm="1">
        <f t="array" ref="V98">INT(SUMPRODUCT(--ISNUMBER(SEARCH(abortion,C98)))&gt;0)</f>
        <v>0</v>
      </c>
      <c r="W98" s="14" cm="1">
        <f t="array" ref="W98">INT(SUMPRODUCT(--ISNUMBER(SEARCH(trump,C98)))&gt;0)</f>
        <v>0</v>
      </c>
      <c r="X98" s="14" cm="1">
        <f t="array" ref="X98">INT(SUMPRODUCT(--ISNUMBER(SEARCH(voting,C98)))&gt;0)</f>
        <v>0</v>
      </c>
      <c r="Y98" s="35" cm="1">
        <f t="array" ref="Y98">INT(SUMPRODUCT(--ISNUMBER(SEARCH(republicantrigger,C98)))&gt;0)</f>
        <v>0</v>
      </c>
      <c r="Z98" s="35" cm="1">
        <f t="array" ref="Z98">INT(SUMPRODUCT(--ISNUMBER(SEARCH(bipartisan,C98)))&gt;0)</f>
        <v>0</v>
      </c>
      <c r="AA98" s="35">
        <f t="shared" si="1"/>
        <v>1</v>
      </c>
      <c r="AB98" s="14"/>
      <c r="AC98" s="30">
        <v>1</v>
      </c>
      <c r="AD98" s="37">
        <v>0</v>
      </c>
    </row>
    <row r="99" spans="1:30" x14ac:dyDescent="0.25">
      <c r="A99" s="36">
        <v>2605</v>
      </c>
      <c r="B99" s="14" t="s">
        <v>5235</v>
      </c>
      <c r="C99" s="14" t="s">
        <v>5236</v>
      </c>
      <c r="D99" s="17">
        <v>44128</v>
      </c>
      <c r="E99" s="14" t="s">
        <v>30</v>
      </c>
      <c r="F99" s="14">
        <v>76</v>
      </c>
      <c r="G99" s="14">
        <v>23</v>
      </c>
      <c r="H99" s="14">
        <v>12</v>
      </c>
      <c r="I99" s="14">
        <v>6</v>
      </c>
      <c r="J99" s="14" t="s">
        <v>31</v>
      </c>
      <c r="K99" s="14" cm="1">
        <f t="array" ref="K99">INT(SUMPRODUCT(--ISNUMBER(SEARCH(economy,C99)))&gt;0)</f>
        <v>0</v>
      </c>
      <c r="L99" s="14" cm="1">
        <f t="array" ref="L99">INT(SUMPRODUCT(--ISNUMBER(SEARCH(healthcare,C99)))&gt;0)</f>
        <v>0</v>
      </c>
      <c r="M99" s="14" cm="1">
        <f t="array" ref="M99">INT(SUMPRODUCT(--ISNUMBER(SEARCH(supreme,C99)))&gt;0)</f>
        <v>0</v>
      </c>
      <c r="N99" s="14" cm="1">
        <f t="array" ref="N99">INT(SUMPRODUCT(--ISNUMBER(SEARCH(covid,C99)))&gt;0)</f>
        <v>1</v>
      </c>
      <c r="O99" s="14" cm="1">
        <f t="array" ref="O99">INT(SUMPRODUCT(--ISNUMBER(SEARCH(violent,C99)))&gt;0)</f>
        <v>0</v>
      </c>
      <c r="P99" s="14" cm="1">
        <f t="array" ref="P99">INT(SUMPRODUCT(--ISNUMBER(SEARCH(foreign,C99)))&gt;0)</f>
        <v>0</v>
      </c>
      <c r="Q99" s="14" cm="1">
        <f t="array" ref="Q99">INT(SUMPRODUCT(--ISNUMBER(SEARCH(gun,C99)))&gt;0)</f>
        <v>0</v>
      </c>
      <c r="R99" s="14" cm="1">
        <f t="array" ref="R99">INT(SUMPRODUCT(--ISNUMBER(SEARCH(race,C99)))&gt;0)</f>
        <v>0</v>
      </c>
      <c r="S99" s="14" cm="1">
        <f t="array" ref="S99">INT(SUMPRODUCT(--ISNUMBER(SEARCH(immigration,C99)))&gt;0)</f>
        <v>0</v>
      </c>
      <c r="T99" s="14" cm="1">
        <f t="array" ref="T99">INT(SUMPRODUCT(--ISNUMBER(SEARCH(econineq,C100)))&gt;0)</f>
        <v>0</v>
      </c>
      <c r="U99" s="14" cm="1">
        <f t="array" ref="U99">INT(SUMPRODUCT(--ISNUMBER(SEARCH(climate,C99)))&gt;0)</f>
        <v>0</v>
      </c>
      <c r="V99" s="14" cm="1">
        <f t="array" ref="V99">INT(SUMPRODUCT(--ISNUMBER(SEARCH(abortion,C99)))&gt;0)</f>
        <v>0</v>
      </c>
      <c r="W99" s="14" cm="1">
        <f t="array" ref="W99">INT(SUMPRODUCT(--ISNUMBER(SEARCH(trump,C99)))&gt;0)</f>
        <v>0</v>
      </c>
      <c r="X99" s="14" cm="1">
        <f t="array" ref="X99">INT(SUMPRODUCT(--ISNUMBER(SEARCH(voting,C99)))&gt;0)</f>
        <v>0</v>
      </c>
      <c r="Y99" s="35" cm="1">
        <f t="array" ref="Y99">INT(SUMPRODUCT(--ISNUMBER(SEARCH(republicantrigger,C99)))&gt;0)</f>
        <v>1</v>
      </c>
      <c r="Z99" s="35" cm="1">
        <f t="array" ref="Z99">INT(SUMPRODUCT(--ISNUMBER(SEARCH(bipartisan,C99)))&gt;0)</f>
        <v>0</v>
      </c>
      <c r="AA99" s="35">
        <f t="shared" si="1"/>
        <v>0</v>
      </c>
      <c r="AB99" s="14"/>
      <c r="AC99" s="30" t="s">
        <v>223</v>
      </c>
      <c r="AD99" s="37" t="s">
        <v>223</v>
      </c>
    </row>
    <row r="100" spans="1:30" x14ac:dyDescent="0.25">
      <c r="A100" s="36">
        <v>2606</v>
      </c>
      <c r="B100" s="14" t="s">
        <v>5237</v>
      </c>
      <c r="C100" s="14" t="s">
        <v>5238</v>
      </c>
      <c r="D100" s="17">
        <v>44128</v>
      </c>
      <c r="E100" s="14" t="s">
        <v>30</v>
      </c>
      <c r="F100" s="14">
        <v>402</v>
      </c>
      <c r="G100" s="14">
        <v>121</v>
      </c>
      <c r="H100" s="14">
        <v>12</v>
      </c>
      <c r="I100" s="14">
        <v>6</v>
      </c>
      <c r="J100" s="14" t="s">
        <v>31</v>
      </c>
      <c r="K100" s="14" cm="1">
        <f t="array" ref="K100">INT(SUMPRODUCT(--ISNUMBER(SEARCH(economy,C100)))&gt;0)</f>
        <v>0</v>
      </c>
      <c r="L100" s="14" cm="1">
        <f t="array" ref="L100">INT(SUMPRODUCT(--ISNUMBER(SEARCH(healthcare,C100)))&gt;0)</f>
        <v>0</v>
      </c>
      <c r="M100" s="14" cm="1">
        <f t="array" ref="M100">INT(SUMPRODUCT(--ISNUMBER(SEARCH(supreme,C100)))&gt;0)</f>
        <v>0</v>
      </c>
      <c r="N100" s="14" cm="1">
        <f t="array" ref="N100">INT(SUMPRODUCT(--ISNUMBER(SEARCH(covid,C100)))&gt;0)</f>
        <v>0</v>
      </c>
      <c r="O100" s="14" cm="1">
        <f t="array" ref="O100">INT(SUMPRODUCT(--ISNUMBER(SEARCH(violent,C100)))&gt;0)</f>
        <v>0</v>
      </c>
      <c r="P100" s="14" cm="1">
        <f t="array" ref="P100">INT(SUMPRODUCT(--ISNUMBER(SEARCH(foreign,C100)))&gt;0)</f>
        <v>0</v>
      </c>
      <c r="Q100" s="14" cm="1">
        <f t="array" ref="Q100">INT(SUMPRODUCT(--ISNUMBER(SEARCH(gun,C100)))&gt;0)</f>
        <v>0</v>
      </c>
      <c r="R100" s="14" cm="1">
        <f t="array" ref="R100">INT(SUMPRODUCT(--ISNUMBER(SEARCH(race,C100)))&gt;0)</f>
        <v>0</v>
      </c>
      <c r="S100" s="14" cm="1">
        <f t="array" ref="S100">INT(SUMPRODUCT(--ISNUMBER(SEARCH(immigration,C100)))&gt;0)</f>
        <v>0</v>
      </c>
      <c r="T100" s="14" cm="1">
        <f t="array" ref="T100">INT(SUMPRODUCT(--ISNUMBER(SEARCH(econineq,C101)))&gt;0)</f>
        <v>0</v>
      </c>
      <c r="U100" s="14" cm="1">
        <f t="array" ref="U100">INT(SUMPRODUCT(--ISNUMBER(SEARCH(climate,C100)))&gt;0)</f>
        <v>0</v>
      </c>
      <c r="V100" s="14" cm="1">
        <f t="array" ref="V100">INT(SUMPRODUCT(--ISNUMBER(SEARCH(abortion,C100)))&gt;0)</f>
        <v>0</v>
      </c>
      <c r="W100" s="14" cm="1">
        <f t="array" ref="W100">INT(SUMPRODUCT(--ISNUMBER(SEARCH(trump,C100)))&gt;0)</f>
        <v>0</v>
      </c>
      <c r="X100" s="14" cm="1">
        <f t="array" ref="X100">INT(SUMPRODUCT(--ISNUMBER(SEARCH(voting,C100)))&gt;0)</f>
        <v>0</v>
      </c>
      <c r="Y100" s="35" cm="1">
        <f t="array" ref="Y100">INT(SUMPRODUCT(--ISNUMBER(SEARCH(republicantrigger,C100)))&gt;0)</f>
        <v>0</v>
      </c>
      <c r="Z100" s="35" cm="1">
        <f t="array" ref="Z100">INT(SUMPRODUCT(--ISNUMBER(SEARCH(bipartisan,C100)))&gt;0)</f>
        <v>0</v>
      </c>
      <c r="AA100" s="35">
        <f t="shared" si="1"/>
        <v>1</v>
      </c>
      <c r="AB100" s="14"/>
      <c r="AC100" s="30">
        <v>1</v>
      </c>
      <c r="AD100" s="37">
        <v>0</v>
      </c>
    </row>
    <row r="101" spans="1:30" x14ac:dyDescent="0.25">
      <c r="A101" s="36">
        <v>2607</v>
      </c>
      <c r="B101" s="14" t="s">
        <v>5239</v>
      </c>
      <c r="C101" s="14" t="s">
        <v>5240</v>
      </c>
      <c r="D101" s="17">
        <v>44128</v>
      </c>
      <c r="E101" s="14" t="s">
        <v>30</v>
      </c>
      <c r="F101" s="14">
        <v>85</v>
      </c>
      <c r="G101" s="14">
        <v>30</v>
      </c>
      <c r="H101" s="14">
        <v>12</v>
      </c>
      <c r="I101" s="14">
        <v>6</v>
      </c>
      <c r="J101" s="14" t="s">
        <v>31</v>
      </c>
      <c r="K101" s="14" cm="1">
        <f t="array" ref="K101">INT(SUMPRODUCT(--ISNUMBER(SEARCH(economy,C101)))&gt;0)</f>
        <v>0</v>
      </c>
      <c r="L101" s="14" cm="1">
        <f t="array" ref="L101">INT(SUMPRODUCT(--ISNUMBER(SEARCH(healthcare,C101)))&gt;0)</f>
        <v>0</v>
      </c>
      <c r="M101" s="14" cm="1">
        <f t="array" ref="M101">INT(SUMPRODUCT(--ISNUMBER(SEARCH(supreme,C101)))&gt;0)</f>
        <v>0</v>
      </c>
      <c r="N101" s="14" cm="1">
        <f t="array" ref="N101">INT(SUMPRODUCT(--ISNUMBER(SEARCH(covid,C101)))&gt;0)</f>
        <v>0</v>
      </c>
      <c r="O101" s="14" cm="1">
        <f t="array" ref="O101">INT(SUMPRODUCT(--ISNUMBER(SEARCH(violent,C101)))&gt;0)</f>
        <v>0</v>
      </c>
      <c r="P101" s="14" cm="1">
        <f t="array" ref="P101">INT(SUMPRODUCT(--ISNUMBER(SEARCH(foreign,C101)))&gt;0)</f>
        <v>0</v>
      </c>
      <c r="Q101" s="14" cm="1">
        <f t="array" ref="Q101">INT(SUMPRODUCT(--ISNUMBER(SEARCH(gun,C101)))&gt;0)</f>
        <v>0</v>
      </c>
      <c r="R101" s="14" cm="1">
        <f t="array" ref="R101">INT(SUMPRODUCT(--ISNUMBER(SEARCH(race,C101)))&gt;0)</f>
        <v>0</v>
      </c>
      <c r="S101" s="14" cm="1">
        <f t="array" ref="S101">INT(SUMPRODUCT(--ISNUMBER(SEARCH(immigration,C101)))&gt;0)</f>
        <v>0</v>
      </c>
      <c r="T101" s="14" cm="1">
        <f t="array" ref="T101">INT(SUMPRODUCT(--ISNUMBER(SEARCH(econineq,C102)))&gt;0)</f>
        <v>0</v>
      </c>
      <c r="U101" s="14" cm="1">
        <f t="array" ref="U101">INT(SUMPRODUCT(--ISNUMBER(SEARCH(climate,C101)))&gt;0)</f>
        <v>0</v>
      </c>
      <c r="V101" s="14" cm="1">
        <f t="array" ref="V101">INT(SUMPRODUCT(--ISNUMBER(SEARCH(abortion,C101)))&gt;0)</f>
        <v>0</v>
      </c>
      <c r="W101" s="14" cm="1">
        <f t="array" ref="W101">INT(SUMPRODUCT(--ISNUMBER(SEARCH(trump,C101)))&gt;0)</f>
        <v>1</v>
      </c>
      <c r="X101" s="14" cm="1">
        <f t="array" ref="X101">INT(SUMPRODUCT(--ISNUMBER(SEARCH(voting,C101)))&gt;0)</f>
        <v>1</v>
      </c>
      <c r="Y101" s="35" cm="1">
        <f t="array" ref="Y101">INT(SUMPRODUCT(--ISNUMBER(SEARCH(republicantrigger,C101)))&gt;0)</f>
        <v>0</v>
      </c>
      <c r="Z101" s="35" cm="1">
        <f t="array" ref="Z101">INT(SUMPRODUCT(--ISNUMBER(SEARCH(bipartisan,C101)))&gt;0)</f>
        <v>0</v>
      </c>
      <c r="AA101" s="35">
        <f t="shared" si="1"/>
        <v>0</v>
      </c>
      <c r="AB101" s="14"/>
      <c r="AC101" s="30">
        <v>1</v>
      </c>
      <c r="AD101" s="37">
        <v>0</v>
      </c>
    </row>
    <row r="102" spans="1:30" x14ac:dyDescent="0.25">
      <c r="A102" s="36">
        <v>2608</v>
      </c>
      <c r="B102" s="14" t="s">
        <v>5241</v>
      </c>
      <c r="C102" s="14" t="s">
        <v>5242</v>
      </c>
      <c r="D102" s="17">
        <v>44128</v>
      </c>
      <c r="E102" s="14" t="s">
        <v>30</v>
      </c>
      <c r="F102" s="14">
        <v>526</v>
      </c>
      <c r="G102" s="14">
        <v>146</v>
      </c>
      <c r="H102" s="14">
        <v>12</v>
      </c>
      <c r="I102" s="14">
        <v>6</v>
      </c>
      <c r="J102" s="14" t="s">
        <v>31</v>
      </c>
      <c r="K102" s="14" cm="1">
        <f t="array" ref="K102">INT(SUMPRODUCT(--ISNUMBER(SEARCH(economy,C102)))&gt;0)</f>
        <v>0</v>
      </c>
      <c r="L102" s="14" cm="1">
        <f t="array" ref="L102">INT(SUMPRODUCT(--ISNUMBER(SEARCH(healthcare,C102)))&gt;0)</f>
        <v>0</v>
      </c>
      <c r="M102" s="14" cm="1">
        <f t="array" ref="M102">INT(SUMPRODUCT(--ISNUMBER(SEARCH(supreme,C102)))&gt;0)</f>
        <v>0</v>
      </c>
      <c r="N102" s="14" cm="1">
        <f t="array" ref="N102">INT(SUMPRODUCT(--ISNUMBER(SEARCH(covid,C102)))&gt;0)</f>
        <v>0</v>
      </c>
      <c r="O102" s="14" cm="1">
        <f t="array" ref="O102">INT(SUMPRODUCT(--ISNUMBER(SEARCH(violent,C102)))&gt;0)</f>
        <v>0</v>
      </c>
      <c r="P102" s="14" cm="1">
        <f t="array" ref="P102">INT(SUMPRODUCT(--ISNUMBER(SEARCH(foreign,C102)))&gt;0)</f>
        <v>0</v>
      </c>
      <c r="Q102" s="14" cm="1">
        <f t="array" ref="Q102">INT(SUMPRODUCT(--ISNUMBER(SEARCH(gun,C102)))&gt;0)</f>
        <v>0</v>
      </c>
      <c r="R102" s="14" cm="1">
        <f t="array" ref="R102">INT(SUMPRODUCT(--ISNUMBER(SEARCH(race,C102)))&gt;0)</f>
        <v>0</v>
      </c>
      <c r="S102" s="14" cm="1">
        <f t="array" ref="S102">INT(SUMPRODUCT(--ISNUMBER(SEARCH(immigration,C102)))&gt;0)</f>
        <v>0</v>
      </c>
      <c r="T102" s="14" cm="1">
        <f t="array" ref="T102">INT(SUMPRODUCT(--ISNUMBER(SEARCH(econineq,C103)))&gt;0)</f>
        <v>0</v>
      </c>
      <c r="U102" s="14" cm="1">
        <f t="array" ref="U102">INT(SUMPRODUCT(--ISNUMBER(SEARCH(climate,C102)))&gt;0)</f>
        <v>1</v>
      </c>
      <c r="V102" s="14" cm="1">
        <f t="array" ref="V102">INT(SUMPRODUCT(--ISNUMBER(SEARCH(abortion,C102)))&gt;0)</f>
        <v>0</v>
      </c>
      <c r="W102" s="14" cm="1">
        <f t="array" ref="W102">INT(SUMPRODUCT(--ISNUMBER(SEARCH(trump,C102)))&gt;0)</f>
        <v>1</v>
      </c>
      <c r="X102" s="14" cm="1">
        <f t="array" ref="X102">INT(SUMPRODUCT(--ISNUMBER(SEARCH(voting,C102)))&gt;0)</f>
        <v>0</v>
      </c>
      <c r="Y102" s="35" cm="1">
        <f t="array" ref="Y102">INT(SUMPRODUCT(--ISNUMBER(SEARCH(republicantrigger,C102)))&gt;0)</f>
        <v>1</v>
      </c>
      <c r="Z102" s="35" cm="1">
        <f t="array" ref="Z102">INT(SUMPRODUCT(--ISNUMBER(SEARCH(bipartisan,C102)))&gt;0)</f>
        <v>0</v>
      </c>
      <c r="AA102" s="35">
        <f t="shared" si="1"/>
        <v>0</v>
      </c>
      <c r="AB102" s="14"/>
      <c r="AC102" s="30" t="s">
        <v>223</v>
      </c>
      <c r="AD102" s="37" t="s">
        <v>223</v>
      </c>
    </row>
    <row r="103" spans="1:30" x14ac:dyDescent="0.25">
      <c r="A103" s="36">
        <v>2609</v>
      </c>
      <c r="B103" s="14" t="s">
        <v>5243</v>
      </c>
      <c r="C103" s="14" t="s">
        <v>5244</v>
      </c>
      <c r="D103" s="17">
        <v>44128</v>
      </c>
      <c r="E103" s="14" t="s">
        <v>30</v>
      </c>
      <c r="F103" s="14">
        <v>183</v>
      </c>
      <c r="G103" s="14">
        <v>82</v>
      </c>
      <c r="H103" s="14">
        <v>12</v>
      </c>
      <c r="I103" s="14">
        <v>6</v>
      </c>
      <c r="J103" s="14" t="s">
        <v>31</v>
      </c>
      <c r="K103" s="14" cm="1">
        <f t="array" ref="K103">INT(SUMPRODUCT(--ISNUMBER(SEARCH(economy,C103)))&gt;0)</f>
        <v>1</v>
      </c>
      <c r="L103" s="14" cm="1">
        <f t="array" ref="L103">INT(SUMPRODUCT(--ISNUMBER(SEARCH(healthcare,C103)))&gt;0)</f>
        <v>0</v>
      </c>
      <c r="M103" s="14" cm="1">
        <f t="array" ref="M103">INT(SUMPRODUCT(--ISNUMBER(SEARCH(supreme,C103)))&gt;0)</f>
        <v>0</v>
      </c>
      <c r="N103" s="14" cm="1">
        <f t="array" ref="N103">INT(SUMPRODUCT(--ISNUMBER(SEARCH(covid,C103)))&gt;0)</f>
        <v>1</v>
      </c>
      <c r="O103" s="14" cm="1">
        <f t="array" ref="O103">INT(SUMPRODUCT(--ISNUMBER(SEARCH(violent,C103)))&gt;0)</f>
        <v>0</v>
      </c>
      <c r="P103" s="14" cm="1">
        <f t="array" ref="P103">INT(SUMPRODUCT(--ISNUMBER(SEARCH(foreign,C103)))&gt;0)</f>
        <v>0</v>
      </c>
      <c r="Q103" s="14" cm="1">
        <f t="array" ref="Q103">INT(SUMPRODUCT(--ISNUMBER(SEARCH(gun,C103)))&gt;0)</f>
        <v>0</v>
      </c>
      <c r="R103" s="14" cm="1">
        <f t="array" ref="R103">INT(SUMPRODUCT(--ISNUMBER(SEARCH(race,C103)))&gt;0)</f>
        <v>0</v>
      </c>
      <c r="S103" s="14" cm="1">
        <f t="array" ref="S103">INT(SUMPRODUCT(--ISNUMBER(SEARCH(immigration,C103)))&gt;0)</f>
        <v>0</v>
      </c>
      <c r="T103" s="14" cm="1">
        <f t="array" ref="T103">INT(SUMPRODUCT(--ISNUMBER(SEARCH(econineq,C104)))&gt;0)</f>
        <v>0</v>
      </c>
      <c r="U103" s="14" cm="1">
        <f t="array" ref="U103">INT(SUMPRODUCT(--ISNUMBER(SEARCH(climate,C103)))&gt;0)</f>
        <v>0</v>
      </c>
      <c r="V103" s="14" cm="1">
        <f t="array" ref="V103">INT(SUMPRODUCT(--ISNUMBER(SEARCH(abortion,C103)))&gt;0)</f>
        <v>0</v>
      </c>
      <c r="W103" s="14" cm="1">
        <f t="array" ref="W103">INT(SUMPRODUCT(--ISNUMBER(SEARCH(trump,C103)))&gt;0)</f>
        <v>0</v>
      </c>
      <c r="X103" s="14" cm="1">
        <f t="array" ref="X103">INT(SUMPRODUCT(--ISNUMBER(SEARCH(voting,C103)))&gt;0)</f>
        <v>1</v>
      </c>
      <c r="Y103" s="35" cm="1">
        <f t="array" ref="Y103">INT(SUMPRODUCT(--ISNUMBER(SEARCH(republicantrigger,C103)))&gt;0)</f>
        <v>1</v>
      </c>
      <c r="Z103" s="35" cm="1">
        <f t="array" ref="Z103">INT(SUMPRODUCT(--ISNUMBER(SEARCH(bipartisan,C103)))&gt;0)</f>
        <v>0</v>
      </c>
      <c r="AA103" s="35">
        <f t="shared" si="1"/>
        <v>0</v>
      </c>
      <c r="AB103" s="14"/>
      <c r="AC103" s="30" t="s">
        <v>223</v>
      </c>
      <c r="AD103" s="37" t="s">
        <v>223</v>
      </c>
    </row>
    <row r="104" spans="1:30" x14ac:dyDescent="0.25">
      <c r="A104" s="36">
        <v>2610</v>
      </c>
      <c r="B104" s="14" t="s">
        <v>5245</v>
      </c>
      <c r="C104" s="14" t="s">
        <v>5246</v>
      </c>
      <c r="D104" s="17">
        <v>44128</v>
      </c>
      <c r="E104" s="14" t="s">
        <v>30</v>
      </c>
      <c r="F104" s="14">
        <v>224</v>
      </c>
      <c r="G104" s="14">
        <v>55</v>
      </c>
      <c r="H104" s="14">
        <v>12</v>
      </c>
      <c r="I104" s="14">
        <v>6</v>
      </c>
      <c r="J104" s="14" t="s">
        <v>31</v>
      </c>
      <c r="K104" s="14" cm="1">
        <f t="array" ref="K104">INT(SUMPRODUCT(--ISNUMBER(SEARCH(economy,C104)))&gt;0)</f>
        <v>0</v>
      </c>
      <c r="L104" s="14" cm="1">
        <f t="array" ref="L104">INT(SUMPRODUCT(--ISNUMBER(SEARCH(healthcare,C104)))&gt;0)</f>
        <v>0</v>
      </c>
      <c r="M104" s="14" cm="1">
        <f t="array" ref="M104">INT(SUMPRODUCT(--ISNUMBER(SEARCH(supreme,C104)))&gt;0)</f>
        <v>0</v>
      </c>
      <c r="N104" s="14" cm="1">
        <f t="array" ref="N104">INT(SUMPRODUCT(--ISNUMBER(SEARCH(covid,C104)))&gt;0)</f>
        <v>0</v>
      </c>
      <c r="O104" s="14" cm="1">
        <f t="array" ref="O104">INT(SUMPRODUCT(--ISNUMBER(SEARCH(violent,C104)))&gt;0)</f>
        <v>0</v>
      </c>
      <c r="P104" s="14" cm="1">
        <f t="array" ref="P104">INT(SUMPRODUCT(--ISNUMBER(SEARCH(foreign,C104)))&gt;0)</f>
        <v>0</v>
      </c>
      <c r="Q104" s="14" cm="1">
        <f t="array" ref="Q104">INT(SUMPRODUCT(--ISNUMBER(SEARCH(gun,C104)))&gt;0)</f>
        <v>0</v>
      </c>
      <c r="R104" s="14" cm="1">
        <f t="array" ref="R104">INT(SUMPRODUCT(--ISNUMBER(SEARCH(race,C104)))&gt;0)</f>
        <v>0</v>
      </c>
      <c r="S104" s="14" cm="1">
        <f t="array" ref="S104">INT(SUMPRODUCT(--ISNUMBER(SEARCH(immigration,C104)))&gt;0)</f>
        <v>0</v>
      </c>
      <c r="T104" s="14" cm="1">
        <f t="array" ref="T104">INT(SUMPRODUCT(--ISNUMBER(SEARCH(econineq,C105)))&gt;0)</f>
        <v>0</v>
      </c>
      <c r="U104" s="14" cm="1">
        <f t="array" ref="U104">INT(SUMPRODUCT(--ISNUMBER(SEARCH(climate,C104)))&gt;0)</f>
        <v>0</v>
      </c>
      <c r="V104" s="14" cm="1">
        <f t="array" ref="V104">INT(SUMPRODUCT(--ISNUMBER(SEARCH(abortion,C104)))&gt;0)</f>
        <v>0</v>
      </c>
      <c r="W104" s="14" cm="1">
        <f t="array" ref="W104">INT(SUMPRODUCT(--ISNUMBER(SEARCH(trump,C104)))&gt;0)</f>
        <v>0</v>
      </c>
      <c r="X104" s="14" cm="1">
        <f t="array" ref="X104">INT(SUMPRODUCT(--ISNUMBER(SEARCH(voting,C104)))&gt;0)</f>
        <v>0</v>
      </c>
      <c r="Y104" s="35" cm="1">
        <f t="array" ref="Y104">INT(SUMPRODUCT(--ISNUMBER(SEARCH(republicantrigger,C104)))&gt;0)</f>
        <v>1</v>
      </c>
      <c r="Z104" s="35" cm="1">
        <f t="array" ref="Z104">INT(SUMPRODUCT(--ISNUMBER(SEARCH(bipartisan,C104)))&gt;0)</f>
        <v>0</v>
      </c>
      <c r="AA104" s="35">
        <f t="shared" si="1"/>
        <v>0</v>
      </c>
      <c r="AB104" s="14"/>
      <c r="AC104" s="30">
        <v>1</v>
      </c>
      <c r="AD104" s="37">
        <v>0</v>
      </c>
    </row>
    <row r="105" spans="1:30" x14ac:dyDescent="0.25">
      <c r="A105" s="36">
        <v>2611</v>
      </c>
      <c r="B105" s="14" t="s">
        <v>5247</v>
      </c>
      <c r="C105" s="14" t="s">
        <v>5248</v>
      </c>
      <c r="D105" s="17">
        <v>44127</v>
      </c>
      <c r="E105" s="14" t="s">
        <v>30</v>
      </c>
      <c r="F105" s="14">
        <v>98</v>
      </c>
      <c r="G105" s="14">
        <v>34</v>
      </c>
      <c r="H105" s="14">
        <v>12</v>
      </c>
      <c r="I105" s="14">
        <v>6</v>
      </c>
      <c r="J105" s="14" t="s">
        <v>31</v>
      </c>
      <c r="K105" s="14" cm="1">
        <f t="array" ref="K105">INT(SUMPRODUCT(--ISNUMBER(SEARCH(economy,C105)))&gt;0)</f>
        <v>0</v>
      </c>
      <c r="L105" s="14" cm="1">
        <f t="array" ref="L105">INT(SUMPRODUCT(--ISNUMBER(SEARCH(healthcare,C105)))&gt;0)</f>
        <v>0</v>
      </c>
      <c r="M105" s="14" cm="1">
        <f t="array" ref="M105">INT(SUMPRODUCT(--ISNUMBER(SEARCH(supreme,C105)))&gt;0)</f>
        <v>1</v>
      </c>
      <c r="N105" s="14" cm="1">
        <f t="array" ref="N105">INT(SUMPRODUCT(--ISNUMBER(SEARCH(covid,C105)))&gt;0)</f>
        <v>0</v>
      </c>
      <c r="O105" s="14" cm="1">
        <f t="array" ref="O105">INT(SUMPRODUCT(--ISNUMBER(SEARCH(violent,C105)))&gt;0)</f>
        <v>0</v>
      </c>
      <c r="P105" s="14" cm="1">
        <f t="array" ref="P105">INT(SUMPRODUCT(--ISNUMBER(SEARCH(foreign,C105)))&gt;0)</f>
        <v>0</v>
      </c>
      <c r="Q105" s="14" cm="1">
        <f t="array" ref="Q105">INT(SUMPRODUCT(--ISNUMBER(SEARCH(gun,C105)))&gt;0)</f>
        <v>0</v>
      </c>
      <c r="R105" s="14" cm="1">
        <f t="array" ref="R105">INT(SUMPRODUCT(--ISNUMBER(SEARCH(race,C105)))&gt;0)</f>
        <v>0</v>
      </c>
      <c r="S105" s="14" cm="1">
        <f t="array" ref="S105">INT(SUMPRODUCT(--ISNUMBER(SEARCH(immigration,C105)))&gt;0)</f>
        <v>0</v>
      </c>
      <c r="T105" s="14" cm="1">
        <f t="array" ref="T105">INT(SUMPRODUCT(--ISNUMBER(SEARCH(econineq,C106)))&gt;0)</f>
        <v>0</v>
      </c>
      <c r="U105" s="14" cm="1">
        <f t="array" ref="U105">INT(SUMPRODUCT(--ISNUMBER(SEARCH(climate,C105)))&gt;0)</f>
        <v>1</v>
      </c>
      <c r="V105" s="14" cm="1">
        <f t="array" ref="V105">INT(SUMPRODUCT(--ISNUMBER(SEARCH(abortion,C105)))&gt;0)</f>
        <v>0</v>
      </c>
      <c r="W105" s="14" cm="1">
        <f t="array" ref="W105">INT(SUMPRODUCT(--ISNUMBER(SEARCH(trump,C105)))&gt;0)</f>
        <v>0</v>
      </c>
      <c r="X105" s="14" cm="1">
        <f t="array" ref="X105">INT(SUMPRODUCT(--ISNUMBER(SEARCH(voting,C105)))&gt;0)</f>
        <v>0</v>
      </c>
      <c r="Y105" s="35" cm="1">
        <f t="array" ref="Y105">INT(SUMPRODUCT(--ISNUMBER(SEARCH(republicantrigger,C105)))&gt;0)</f>
        <v>1</v>
      </c>
      <c r="Z105" s="35" cm="1">
        <f t="array" ref="Z105">INT(SUMPRODUCT(--ISNUMBER(SEARCH(bipartisan,C105)))&gt;0)</f>
        <v>0</v>
      </c>
      <c r="AA105" s="35">
        <f t="shared" si="1"/>
        <v>0</v>
      </c>
      <c r="AB105" s="14"/>
      <c r="AC105" s="30" t="s">
        <v>223</v>
      </c>
      <c r="AD105" s="37" t="s">
        <v>223</v>
      </c>
    </row>
    <row r="106" spans="1:30" x14ac:dyDescent="0.25">
      <c r="A106" s="36">
        <v>2612</v>
      </c>
      <c r="B106" s="14" t="s">
        <v>5249</v>
      </c>
      <c r="C106" s="14" t="s">
        <v>5250</v>
      </c>
      <c r="D106" s="17">
        <v>44127</v>
      </c>
      <c r="E106" s="14" t="s">
        <v>30</v>
      </c>
      <c r="F106" s="14">
        <v>52</v>
      </c>
      <c r="G106" s="14">
        <v>24</v>
      </c>
      <c r="H106" s="14">
        <v>12</v>
      </c>
      <c r="I106" s="14">
        <v>6</v>
      </c>
      <c r="J106" s="14" t="s">
        <v>31</v>
      </c>
      <c r="K106" s="14" cm="1">
        <f t="array" ref="K106">INT(SUMPRODUCT(--ISNUMBER(SEARCH(economy,C106)))&gt;0)</f>
        <v>0</v>
      </c>
      <c r="L106" s="14" cm="1">
        <f t="array" ref="L106">INT(SUMPRODUCT(--ISNUMBER(SEARCH(healthcare,C106)))&gt;0)</f>
        <v>0</v>
      </c>
      <c r="M106" s="14" cm="1">
        <f t="array" ref="M106">INT(SUMPRODUCT(--ISNUMBER(SEARCH(supreme,C106)))&gt;0)</f>
        <v>0</v>
      </c>
      <c r="N106" s="14" cm="1">
        <f t="array" ref="N106">INT(SUMPRODUCT(--ISNUMBER(SEARCH(covid,C106)))&gt;0)</f>
        <v>0</v>
      </c>
      <c r="O106" s="14" cm="1">
        <f t="array" ref="O106">INT(SUMPRODUCT(--ISNUMBER(SEARCH(violent,C106)))&gt;0)</f>
        <v>0</v>
      </c>
      <c r="P106" s="14" cm="1">
        <f t="array" ref="P106">INT(SUMPRODUCT(--ISNUMBER(SEARCH(foreign,C106)))&gt;0)</f>
        <v>1</v>
      </c>
      <c r="Q106" s="14" cm="1">
        <f t="array" ref="Q106">INT(SUMPRODUCT(--ISNUMBER(SEARCH(gun,C106)))&gt;0)</f>
        <v>0</v>
      </c>
      <c r="R106" s="14" cm="1">
        <f t="array" ref="R106">INT(SUMPRODUCT(--ISNUMBER(SEARCH(race,C106)))&gt;0)</f>
        <v>0</v>
      </c>
      <c r="S106" s="14" cm="1">
        <f t="array" ref="S106">INT(SUMPRODUCT(--ISNUMBER(SEARCH(immigration,C106)))&gt;0)</f>
        <v>0</v>
      </c>
      <c r="T106" s="14" cm="1">
        <f t="array" ref="T106">INT(SUMPRODUCT(--ISNUMBER(SEARCH(econineq,C107)))&gt;0)</f>
        <v>0</v>
      </c>
      <c r="U106" s="14" cm="1">
        <f t="array" ref="U106">INT(SUMPRODUCT(--ISNUMBER(SEARCH(climate,C106)))&gt;0)</f>
        <v>0</v>
      </c>
      <c r="V106" s="14" cm="1">
        <f t="array" ref="V106">INT(SUMPRODUCT(--ISNUMBER(SEARCH(abortion,C106)))&gt;0)</f>
        <v>0</v>
      </c>
      <c r="W106" s="14" cm="1">
        <f t="array" ref="W106">INT(SUMPRODUCT(--ISNUMBER(SEARCH(trump,C106)))&gt;0)</f>
        <v>0</v>
      </c>
      <c r="X106" s="14" cm="1">
        <f t="array" ref="X106">INT(SUMPRODUCT(--ISNUMBER(SEARCH(voting,C106)))&gt;0)</f>
        <v>0</v>
      </c>
      <c r="Y106" s="35" cm="1">
        <f t="array" ref="Y106">INT(SUMPRODUCT(--ISNUMBER(SEARCH(republicantrigger,C106)))&gt;0)</f>
        <v>0</v>
      </c>
      <c r="Z106" s="35" cm="1">
        <f t="array" ref="Z106">INT(SUMPRODUCT(--ISNUMBER(SEARCH(bipartisan,C106)))&gt;0)</f>
        <v>0</v>
      </c>
      <c r="AA106" s="35">
        <f t="shared" si="1"/>
        <v>0</v>
      </c>
      <c r="AB106" s="14"/>
      <c r="AC106" s="30" t="s">
        <v>223</v>
      </c>
      <c r="AD106" s="37" t="s">
        <v>223</v>
      </c>
    </row>
    <row r="107" spans="1:30" x14ac:dyDescent="0.25">
      <c r="A107" s="36">
        <v>2613</v>
      </c>
      <c r="B107" s="14" t="s">
        <v>5251</v>
      </c>
      <c r="C107" s="14" t="s">
        <v>5252</v>
      </c>
      <c r="D107" s="17">
        <v>44127</v>
      </c>
      <c r="E107" s="14" t="s">
        <v>30</v>
      </c>
      <c r="F107" s="14">
        <v>190</v>
      </c>
      <c r="G107" s="14">
        <v>49</v>
      </c>
      <c r="H107" s="14">
        <v>12</v>
      </c>
      <c r="I107" s="14">
        <v>6</v>
      </c>
      <c r="J107" s="14" t="s">
        <v>31</v>
      </c>
      <c r="K107" s="14" cm="1">
        <f t="array" ref="K107">INT(SUMPRODUCT(--ISNUMBER(SEARCH(economy,C107)))&gt;0)</f>
        <v>0</v>
      </c>
      <c r="L107" s="14" cm="1">
        <f t="array" ref="L107">INT(SUMPRODUCT(--ISNUMBER(SEARCH(healthcare,C107)))&gt;0)</f>
        <v>0</v>
      </c>
      <c r="M107" s="14" cm="1">
        <f t="array" ref="M107">INT(SUMPRODUCT(--ISNUMBER(SEARCH(supreme,C107)))&gt;0)</f>
        <v>0</v>
      </c>
      <c r="N107" s="14" cm="1">
        <f t="array" ref="N107">INT(SUMPRODUCT(--ISNUMBER(SEARCH(covid,C107)))&gt;0)</f>
        <v>0</v>
      </c>
      <c r="O107" s="14" cm="1">
        <f t="array" ref="O107">INT(SUMPRODUCT(--ISNUMBER(SEARCH(violent,C107)))&gt;0)</f>
        <v>0</v>
      </c>
      <c r="P107" s="14" cm="1">
        <f t="array" ref="P107">INT(SUMPRODUCT(--ISNUMBER(SEARCH(foreign,C107)))&gt;0)</f>
        <v>0</v>
      </c>
      <c r="Q107" s="14" cm="1">
        <f t="array" ref="Q107">INT(SUMPRODUCT(--ISNUMBER(SEARCH(gun,C107)))&gt;0)</f>
        <v>1</v>
      </c>
      <c r="R107" s="14" cm="1">
        <f t="array" ref="R107">INT(SUMPRODUCT(--ISNUMBER(SEARCH(race,C107)))&gt;0)</f>
        <v>0</v>
      </c>
      <c r="S107" s="14" cm="1">
        <f t="array" ref="S107">INT(SUMPRODUCT(--ISNUMBER(SEARCH(immigration,C107)))&gt;0)</f>
        <v>0</v>
      </c>
      <c r="T107" s="14" cm="1">
        <f t="array" ref="T107">INT(SUMPRODUCT(--ISNUMBER(SEARCH(econineq,C108)))&gt;0)</f>
        <v>0</v>
      </c>
      <c r="U107" s="14" cm="1">
        <f t="array" ref="U107">INT(SUMPRODUCT(--ISNUMBER(SEARCH(climate,C107)))&gt;0)</f>
        <v>0</v>
      </c>
      <c r="V107" s="14" cm="1">
        <f t="array" ref="V107">INT(SUMPRODUCT(--ISNUMBER(SEARCH(abortion,C107)))&gt;0)</f>
        <v>0</v>
      </c>
      <c r="W107" s="14" cm="1">
        <f t="array" ref="W107">INT(SUMPRODUCT(--ISNUMBER(SEARCH(trump,C107)))&gt;0)</f>
        <v>0</v>
      </c>
      <c r="X107" s="14" cm="1">
        <f t="array" ref="X107">INT(SUMPRODUCT(--ISNUMBER(SEARCH(voting,C107)))&gt;0)</f>
        <v>0</v>
      </c>
      <c r="Y107" s="35" cm="1">
        <f t="array" ref="Y107">INT(SUMPRODUCT(--ISNUMBER(SEARCH(republicantrigger,C107)))&gt;0)</f>
        <v>1</v>
      </c>
      <c r="Z107" s="35" cm="1">
        <f t="array" ref="Z107">INT(SUMPRODUCT(--ISNUMBER(SEARCH(bipartisan,C107)))&gt;0)</f>
        <v>0</v>
      </c>
      <c r="AA107" s="35">
        <f t="shared" si="1"/>
        <v>0</v>
      </c>
      <c r="AB107" s="14"/>
      <c r="AC107" s="30" t="s">
        <v>223</v>
      </c>
      <c r="AD107" s="37" t="s">
        <v>223</v>
      </c>
    </row>
    <row r="108" spans="1:30" x14ac:dyDescent="0.25">
      <c r="A108" s="36">
        <v>2614</v>
      </c>
      <c r="B108" s="14" t="s">
        <v>5253</v>
      </c>
      <c r="C108" s="14" t="s">
        <v>5254</v>
      </c>
      <c r="D108" s="17">
        <v>44127</v>
      </c>
      <c r="E108" s="14" t="s">
        <v>30</v>
      </c>
      <c r="F108" s="14">
        <v>170</v>
      </c>
      <c r="G108" s="14">
        <v>83</v>
      </c>
      <c r="H108" s="14">
        <v>12</v>
      </c>
      <c r="I108" s="14">
        <v>6</v>
      </c>
      <c r="J108" s="14" t="s">
        <v>31</v>
      </c>
      <c r="K108" s="14" cm="1">
        <f t="array" ref="K108">INT(SUMPRODUCT(--ISNUMBER(SEARCH(economy,C108)))&gt;0)</f>
        <v>1</v>
      </c>
      <c r="L108" s="14" cm="1">
        <f t="array" ref="L108">INT(SUMPRODUCT(--ISNUMBER(SEARCH(healthcare,C108)))&gt;0)</f>
        <v>0</v>
      </c>
      <c r="M108" s="14" cm="1">
        <f t="array" ref="M108">INT(SUMPRODUCT(--ISNUMBER(SEARCH(supreme,C108)))&gt;0)</f>
        <v>0</v>
      </c>
      <c r="N108" s="14" cm="1">
        <f t="array" ref="N108">INT(SUMPRODUCT(--ISNUMBER(SEARCH(covid,C108)))&gt;0)</f>
        <v>0</v>
      </c>
      <c r="O108" s="14" cm="1">
        <f t="array" ref="O108">INT(SUMPRODUCT(--ISNUMBER(SEARCH(violent,C108)))&gt;0)</f>
        <v>0</v>
      </c>
      <c r="P108" s="14" cm="1">
        <f t="array" ref="P108">INT(SUMPRODUCT(--ISNUMBER(SEARCH(foreign,C108)))&gt;0)</f>
        <v>0</v>
      </c>
      <c r="Q108" s="14" cm="1">
        <f t="array" ref="Q108">INT(SUMPRODUCT(--ISNUMBER(SEARCH(gun,C108)))&gt;0)</f>
        <v>0</v>
      </c>
      <c r="R108" s="14" cm="1">
        <f t="array" ref="R108">INT(SUMPRODUCT(--ISNUMBER(SEARCH(race,C108)))&gt;0)</f>
        <v>0</v>
      </c>
      <c r="S108" s="14" cm="1">
        <f t="array" ref="S108">INT(SUMPRODUCT(--ISNUMBER(SEARCH(immigration,C108)))&gt;0)</f>
        <v>0</v>
      </c>
      <c r="T108" s="14" cm="1">
        <f t="array" ref="T108">INT(SUMPRODUCT(--ISNUMBER(SEARCH(econineq,C109)))&gt;0)</f>
        <v>0</v>
      </c>
      <c r="U108" s="14" cm="1">
        <f t="array" ref="U108">INT(SUMPRODUCT(--ISNUMBER(SEARCH(climate,C108)))&gt;0)</f>
        <v>1</v>
      </c>
      <c r="V108" s="14" cm="1">
        <f t="array" ref="V108">INT(SUMPRODUCT(--ISNUMBER(SEARCH(abortion,C108)))&gt;0)</f>
        <v>0</v>
      </c>
      <c r="W108" s="14" cm="1">
        <f t="array" ref="W108">INT(SUMPRODUCT(--ISNUMBER(SEARCH(trump,C108)))&gt;0)</f>
        <v>0</v>
      </c>
      <c r="X108" s="14" cm="1">
        <f t="array" ref="X108">INT(SUMPRODUCT(--ISNUMBER(SEARCH(voting,C108)))&gt;0)</f>
        <v>0</v>
      </c>
      <c r="Y108" s="35" cm="1">
        <f t="array" ref="Y108">INT(SUMPRODUCT(--ISNUMBER(SEARCH(republicantrigger,C108)))&gt;0)</f>
        <v>1</v>
      </c>
      <c r="Z108" s="35" cm="1">
        <f t="array" ref="Z108">INT(SUMPRODUCT(--ISNUMBER(SEARCH(bipartisan,C108)))&gt;0)</f>
        <v>0</v>
      </c>
      <c r="AA108" s="35">
        <f t="shared" si="1"/>
        <v>0</v>
      </c>
      <c r="AB108" s="14"/>
      <c r="AC108" s="30">
        <v>0</v>
      </c>
      <c r="AD108" s="37">
        <v>1</v>
      </c>
    </row>
    <row r="109" spans="1:30" x14ac:dyDescent="0.25">
      <c r="A109" s="36">
        <v>2615</v>
      </c>
      <c r="B109" s="14" t="s">
        <v>5255</v>
      </c>
      <c r="C109" s="14" t="s">
        <v>5256</v>
      </c>
      <c r="D109" s="17">
        <v>44127</v>
      </c>
      <c r="E109" s="14" t="s">
        <v>70</v>
      </c>
      <c r="F109" s="14">
        <v>528</v>
      </c>
      <c r="G109" s="14">
        <v>148</v>
      </c>
      <c r="H109" s="14">
        <v>12</v>
      </c>
      <c r="I109" s="14">
        <v>6</v>
      </c>
      <c r="J109" s="14" t="s">
        <v>31</v>
      </c>
      <c r="K109" s="14" cm="1">
        <f t="array" ref="K109">INT(SUMPRODUCT(--ISNUMBER(SEARCH(economy,C109)))&gt;0)</f>
        <v>1</v>
      </c>
      <c r="L109" s="14" cm="1">
        <f t="array" ref="L109">INT(SUMPRODUCT(--ISNUMBER(SEARCH(healthcare,C109)))&gt;0)</f>
        <v>0</v>
      </c>
      <c r="M109" s="14" cm="1">
        <f t="array" ref="M109">INT(SUMPRODUCT(--ISNUMBER(SEARCH(supreme,C109)))&gt;0)</f>
        <v>0</v>
      </c>
      <c r="N109" s="14" cm="1">
        <f t="array" ref="N109">INT(SUMPRODUCT(--ISNUMBER(SEARCH(covid,C109)))&gt;0)</f>
        <v>0</v>
      </c>
      <c r="O109" s="14" cm="1">
        <f t="array" ref="O109">INT(SUMPRODUCT(--ISNUMBER(SEARCH(violent,C109)))&gt;0)</f>
        <v>0</v>
      </c>
      <c r="P109" s="14" cm="1">
        <f t="array" ref="P109">INT(SUMPRODUCT(--ISNUMBER(SEARCH(foreign,C109)))&gt;0)</f>
        <v>0</v>
      </c>
      <c r="Q109" s="14" cm="1">
        <f t="array" ref="Q109">INT(SUMPRODUCT(--ISNUMBER(SEARCH(gun,C109)))&gt;0)</f>
        <v>0</v>
      </c>
      <c r="R109" s="14" cm="1">
        <f t="array" ref="R109">INT(SUMPRODUCT(--ISNUMBER(SEARCH(race,C109)))&gt;0)</f>
        <v>0</v>
      </c>
      <c r="S109" s="14" cm="1">
        <f t="array" ref="S109">INT(SUMPRODUCT(--ISNUMBER(SEARCH(immigration,C109)))&gt;0)</f>
        <v>1</v>
      </c>
      <c r="T109" s="14" cm="1">
        <f t="array" ref="T109">INT(SUMPRODUCT(--ISNUMBER(SEARCH(econineq,C110)))&gt;0)</f>
        <v>0</v>
      </c>
      <c r="U109" s="14" cm="1">
        <f t="array" ref="U109">INT(SUMPRODUCT(--ISNUMBER(SEARCH(climate,C109)))&gt;0)</f>
        <v>1</v>
      </c>
      <c r="V109" s="14" cm="1">
        <f t="array" ref="V109">INT(SUMPRODUCT(--ISNUMBER(SEARCH(abortion,C109)))&gt;0)</f>
        <v>0</v>
      </c>
      <c r="W109" s="14" cm="1">
        <f t="array" ref="W109">INT(SUMPRODUCT(--ISNUMBER(SEARCH(trump,C109)))&gt;0)</f>
        <v>1</v>
      </c>
      <c r="X109" s="14" cm="1">
        <f t="array" ref="X109">INT(SUMPRODUCT(--ISNUMBER(SEARCH(voting,C109)))&gt;0)</f>
        <v>0</v>
      </c>
      <c r="Y109" s="35" cm="1">
        <f t="array" ref="Y109">INT(SUMPRODUCT(--ISNUMBER(SEARCH(republicantrigger,C109)))&gt;0)</f>
        <v>1</v>
      </c>
      <c r="Z109" s="35" cm="1">
        <f t="array" ref="Z109">INT(SUMPRODUCT(--ISNUMBER(SEARCH(bipartisan,C109)))&gt;0)</f>
        <v>0</v>
      </c>
      <c r="AA109" s="35">
        <f t="shared" si="1"/>
        <v>0</v>
      </c>
      <c r="AB109" s="14"/>
      <c r="AC109" s="30" t="s">
        <v>223</v>
      </c>
      <c r="AD109" s="37" t="s">
        <v>223</v>
      </c>
    </row>
    <row r="110" spans="1:30" x14ac:dyDescent="0.25">
      <c r="A110" s="36">
        <v>2616</v>
      </c>
      <c r="B110" s="14" t="s">
        <v>5257</v>
      </c>
      <c r="C110" s="14" t="s">
        <v>5258</v>
      </c>
      <c r="D110" s="17">
        <v>44127</v>
      </c>
      <c r="E110" s="14" t="s">
        <v>30</v>
      </c>
      <c r="F110" s="14">
        <v>1078</v>
      </c>
      <c r="G110" s="14">
        <v>231</v>
      </c>
      <c r="H110" s="14">
        <v>12</v>
      </c>
      <c r="I110" s="14">
        <v>6</v>
      </c>
      <c r="J110" s="14" t="s">
        <v>31</v>
      </c>
      <c r="K110" s="14" cm="1">
        <f t="array" ref="K110">INT(SUMPRODUCT(--ISNUMBER(SEARCH(economy,C110)))&gt;0)</f>
        <v>0</v>
      </c>
      <c r="L110" s="14" cm="1">
        <f t="array" ref="L110">INT(SUMPRODUCT(--ISNUMBER(SEARCH(healthcare,C110)))&gt;0)</f>
        <v>0</v>
      </c>
      <c r="M110" s="14" cm="1">
        <f t="array" ref="M110">INT(SUMPRODUCT(--ISNUMBER(SEARCH(supreme,C110)))&gt;0)</f>
        <v>0</v>
      </c>
      <c r="N110" s="14" cm="1">
        <f t="array" ref="N110">INT(SUMPRODUCT(--ISNUMBER(SEARCH(covid,C110)))&gt;0)</f>
        <v>0</v>
      </c>
      <c r="O110" s="14" cm="1">
        <f t="array" ref="O110">INT(SUMPRODUCT(--ISNUMBER(SEARCH(violent,C110)))&gt;0)</f>
        <v>0</v>
      </c>
      <c r="P110" s="14" cm="1">
        <f t="array" ref="P110">INT(SUMPRODUCT(--ISNUMBER(SEARCH(foreign,C110)))&gt;0)</f>
        <v>0</v>
      </c>
      <c r="Q110" s="14" cm="1">
        <f t="array" ref="Q110">INT(SUMPRODUCT(--ISNUMBER(SEARCH(gun,C110)))&gt;0)</f>
        <v>0</v>
      </c>
      <c r="R110" s="14" cm="1">
        <f t="array" ref="R110">INT(SUMPRODUCT(--ISNUMBER(SEARCH(race,C110)))&gt;0)</f>
        <v>0</v>
      </c>
      <c r="S110" s="14" cm="1">
        <f t="array" ref="S110">INT(SUMPRODUCT(--ISNUMBER(SEARCH(immigration,C110)))&gt;0)</f>
        <v>0</v>
      </c>
      <c r="T110" s="14" cm="1">
        <f t="array" ref="T110">INT(SUMPRODUCT(--ISNUMBER(SEARCH(econineq,C111)))&gt;0)</f>
        <v>0</v>
      </c>
      <c r="U110" s="14" cm="1">
        <f t="array" ref="U110">INT(SUMPRODUCT(--ISNUMBER(SEARCH(climate,C110)))&gt;0)</f>
        <v>0</v>
      </c>
      <c r="V110" s="14" cm="1">
        <f t="array" ref="V110">INT(SUMPRODUCT(--ISNUMBER(SEARCH(abortion,C110)))&gt;0)</f>
        <v>0</v>
      </c>
      <c r="W110" s="14" cm="1">
        <f t="array" ref="W110">INT(SUMPRODUCT(--ISNUMBER(SEARCH(trump,C110)))&gt;0)</f>
        <v>0</v>
      </c>
      <c r="X110" s="14" cm="1">
        <f t="array" ref="X110">INT(SUMPRODUCT(--ISNUMBER(SEARCH(voting,C110)))&gt;0)</f>
        <v>0</v>
      </c>
      <c r="Y110" s="35" cm="1">
        <f t="array" ref="Y110">INT(SUMPRODUCT(--ISNUMBER(SEARCH(republicantrigger,C110)))&gt;0)</f>
        <v>1</v>
      </c>
      <c r="Z110" s="35" cm="1">
        <f t="array" ref="Z110">INT(SUMPRODUCT(--ISNUMBER(SEARCH(bipartisan,C110)))&gt;0)</f>
        <v>0</v>
      </c>
      <c r="AA110" s="35">
        <f t="shared" si="1"/>
        <v>0</v>
      </c>
      <c r="AB110" s="14"/>
      <c r="AC110" s="30">
        <v>1</v>
      </c>
      <c r="AD110" s="37">
        <v>0</v>
      </c>
    </row>
    <row r="111" spans="1:30" x14ac:dyDescent="0.25">
      <c r="A111" s="36">
        <v>2617</v>
      </c>
      <c r="B111" s="14" t="s">
        <v>5259</v>
      </c>
      <c r="C111" s="14" t="s">
        <v>5260</v>
      </c>
      <c r="D111" s="17">
        <v>44127</v>
      </c>
      <c r="E111" s="14" t="s">
        <v>30</v>
      </c>
      <c r="F111" s="14">
        <v>74</v>
      </c>
      <c r="G111" s="14">
        <v>29</v>
      </c>
      <c r="H111" s="14">
        <v>12</v>
      </c>
      <c r="I111" s="14">
        <v>6</v>
      </c>
      <c r="J111" s="14" t="s">
        <v>31</v>
      </c>
      <c r="K111" s="14" cm="1">
        <f t="array" ref="K111">INT(SUMPRODUCT(--ISNUMBER(SEARCH(economy,C111)))&gt;0)</f>
        <v>1</v>
      </c>
      <c r="L111" s="14" cm="1">
        <f t="array" ref="L111">INT(SUMPRODUCT(--ISNUMBER(SEARCH(healthcare,C111)))&gt;0)</f>
        <v>0</v>
      </c>
      <c r="M111" s="14" cm="1">
        <f t="array" ref="M111">INT(SUMPRODUCT(--ISNUMBER(SEARCH(supreme,C111)))&gt;0)</f>
        <v>0</v>
      </c>
      <c r="N111" s="14" cm="1">
        <f t="array" ref="N111">INT(SUMPRODUCT(--ISNUMBER(SEARCH(covid,C111)))&gt;0)</f>
        <v>0</v>
      </c>
      <c r="O111" s="14" cm="1">
        <f t="array" ref="O111">INT(SUMPRODUCT(--ISNUMBER(SEARCH(violent,C111)))&gt;0)</f>
        <v>0</v>
      </c>
      <c r="P111" s="14" cm="1">
        <f t="array" ref="P111">INT(SUMPRODUCT(--ISNUMBER(SEARCH(foreign,C111)))&gt;0)</f>
        <v>0</v>
      </c>
      <c r="Q111" s="14" cm="1">
        <f t="array" ref="Q111">INT(SUMPRODUCT(--ISNUMBER(SEARCH(gun,C111)))&gt;0)</f>
        <v>0</v>
      </c>
      <c r="R111" s="14" cm="1">
        <f t="array" ref="R111">INT(SUMPRODUCT(--ISNUMBER(SEARCH(race,C111)))&gt;0)</f>
        <v>0</v>
      </c>
      <c r="S111" s="14" cm="1">
        <f t="array" ref="S111">INT(SUMPRODUCT(--ISNUMBER(SEARCH(immigration,C111)))&gt;0)</f>
        <v>0</v>
      </c>
      <c r="T111" s="14" cm="1">
        <f t="array" ref="T111">INT(SUMPRODUCT(--ISNUMBER(SEARCH(econineq,C112)))&gt;0)</f>
        <v>0</v>
      </c>
      <c r="U111" s="14" cm="1">
        <f t="array" ref="U111">INT(SUMPRODUCT(--ISNUMBER(SEARCH(climate,C111)))&gt;0)</f>
        <v>1</v>
      </c>
      <c r="V111" s="14" cm="1">
        <f t="array" ref="V111">INT(SUMPRODUCT(--ISNUMBER(SEARCH(abortion,C111)))&gt;0)</f>
        <v>0</v>
      </c>
      <c r="W111" s="14" cm="1">
        <f t="array" ref="W111">INT(SUMPRODUCT(--ISNUMBER(SEARCH(trump,C111)))&gt;0)</f>
        <v>0</v>
      </c>
      <c r="X111" s="14" cm="1">
        <f t="array" ref="X111">INT(SUMPRODUCT(--ISNUMBER(SEARCH(voting,C111)))&gt;0)</f>
        <v>1</v>
      </c>
      <c r="Y111" s="35" cm="1">
        <f t="array" ref="Y111">INT(SUMPRODUCT(--ISNUMBER(SEARCH(republicantrigger,C111)))&gt;0)</f>
        <v>1</v>
      </c>
      <c r="Z111" s="35" cm="1">
        <f t="array" ref="Z111">INT(SUMPRODUCT(--ISNUMBER(SEARCH(bipartisan,C111)))&gt;0)</f>
        <v>0</v>
      </c>
      <c r="AA111" s="35">
        <f t="shared" si="1"/>
        <v>0</v>
      </c>
      <c r="AB111" s="14"/>
      <c r="AC111" s="30">
        <v>0</v>
      </c>
      <c r="AD111" s="37">
        <v>1</v>
      </c>
    </row>
    <row r="112" spans="1:30" x14ac:dyDescent="0.25">
      <c r="A112" s="36">
        <v>2618</v>
      </c>
      <c r="B112" s="14" t="s">
        <v>5261</v>
      </c>
      <c r="C112" s="14" t="s">
        <v>5262</v>
      </c>
      <c r="D112" s="17">
        <v>44127</v>
      </c>
      <c r="E112" s="14" t="s">
        <v>30</v>
      </c>
      <c r="F112" s="14">
        <v>137</v>
      </c>
      <c r="G112" s="14">
        <v>38</v>
      </c>
      <c r="H112" s="14">
        <v>12</v>
      </c>
      <c r="I112" s="14">
        <v>6</v>
      </c>
      <c r="J112" s="14" t="s">
        <v>31</v>
      </c>
      <c r="K112" s="14" cm="1">
        <f t="array" ref="K112">INT(SUMPRODUCT(--ISNUMBER(SEARCH(economy,C112)))&gt;0)</f>
        <v>0</v>
      </c>
      <c r="L112" s="14" cm="1">
        <f t="array" ref="L112">INT(SUMPRODUCT(--ISNUMBER(SEARCH(healthcare,C112)))&gt;0)</f>
        <v>0</v>
      </c>
      <c r="M112" s="14" cm="1">
        <f t="array" ref="M112">INT(SUMPRODUCT(--ISNUMBER(SEARCH(supreme,C112)))&gt;0)</f>
        <v>0</v>
      </c>
      <c r="N112" s="14" cm="1">
        <f t="array" ref="N112">INT(SUMPRODUCT(--ISNUMBER(SEARCH(covid,C112)))&gt;0)</f>
        <v>0</v>
      </c>
      <c r="O112" s="14" cm="1">
        <f t="array" ref="O112">INT(SUMPRODUCT(--ISNUMBER(SEARCH(violent,C112)))&gt;0)</f>
        <v>0</v>
      </c>
      <c r="P112" s="14" cm="1">
        <f t="array" ref="P112">INT(SUMPRODUCT(--ISNUMBER(SEARCH(foreign,C112)))&gt;0)</f>
        <v>0</v>
      </c>
      <c r="Q112" s="14" cm="1">
        <f t="array" ref="Q112">INT(SUMPRODUCT(--ISNUMBER(SEARCH(gun,C112)))&gt;0)</f>
        <v>0</v>
      </c>
      <c r="R112" s="14" cm="1">
        <f t="array" ref="R112">INT(SUMPRODUCT(--ISNUMBER(SEARCH(race,C112)))&gt;0)</f>
        <v>0</v>
      </c>
      <c r="S112" s="14" cm="1">
        <f t="array" ref="S112">INT(SUMPRODUCT(--ISNUMBER(SEARCH(immigration,C112)))&gt;0)</f>
        <v>0</v>
      </c>
      <c r="T112" s="14" cm="1">
        <f t="array" ref="T112">INT(SUMPRODUCT(--ISNUMBER(SEARCH(econineq,C113)))&gt;0)</f>
        <v>0</v>
      </c>
      <c r="U112" s="14" cm="1">
        <f t="array" ref="U112">INT(SUMPRODUCT(--ISNUMBER(SEARCH(climate,C112)))&gt;0)</f>
        <v>1</v>
      </c>
      <c r="V112" s="14" cm="1">
        <f t="array" ref="V112">INT(SUMPRODUCT(--ISNUMBER(SEARCH(abortion,C112)))&gt;0)</f>
        <v>0</v>
      </c>
      <c r="W112" s="14" cm="1">
        <f t="array" ref="W112">INT(SUMPRODUCT(--ISNUMBER(SEARCH(trump,C112)))&gt;0)</f>
        <v>0</v>
      </c>
      <c r="X112" s="14" cm="1">
        <f t="array" ref="X112">INT(SUMPRODUCT(--ISNUMBER(SEARCH(voting,C112)))&gt;0)</f>
        <v>1</v>
      </c>
      <c r="Y112" s="35" cm="1">
        <f t="array" ref="Y112">INT(SUMPRODUCT(--ISNUMBER(SEARCH(republicantrigger,C112)))&gt;0)</f>
        <v>1</v>
      </c>
      <c r="Z112" s="35" cm="1">
        <f t="array" ref="Z112">INT(SUMPRODUCT(--ISNUMBER(SEARCH(bipartisan,C112)))&gt;0)</f>
        <v>0</v>
      </c>
      <c r="AA112" s="35">
        <f t="shared" si="1"/>
        <v>0</v>
      </c>
      <c r="AB112" s="14"/>
      <c r="AC112" s="30" t="s">
        <v>223</v>
      </c>
      <c r="AD112" s="37" t="s">
        <v>223</v>
      </c>
    </row>
    <row r="113" spans="1:30" x14ac:dyDescent="0.25">
      <c r="A113" s="36">
        <v>2619</v>
      </c>
      <c r="B113" s="14" t="s">
        <v>5263</v>
      </c>
      <c r="C113" s="14" t="s">
        <v>5264</v>
      </c>
      <c r="D113" s="17">
        <v>44127</v>
      </c>
      <c r="E113" s="14" t="s">
        <v>30</v>
      </c>
      <c r="F113" s="14">
        <v>74</v>
      </c>
      <c r="G113" s="14">
        <v>29</v>
      </c>
      <c r="H113" s="14">
        <v>12</v>
      </c>
      <c r="I113" s="14">
        <v>6</v>
      </c>
      <c r="J113" s="14" t="s">
        <v>31</v>
      </c>
      <c r="K113" s="14" cm="1">
        <f t="array" ref="K113">INT(SUMPRODUCT(--ISNUMBER(SEARCH(economy,C113)))&gt;0)</f>
        <v>0</v>
      </c>
      <c r="L113" s="14" cm="1">
        <f t="array" ref="L113">INT(SUMPRODUCT(--ISNUMBER(SEARCH(healthcare,C113)))&gt;0)</f>
        <v>0</v>
      </c>
      <c r="M113" s="14" cm="1">
        <f t="array" ref="M113">INT(SUMPRODUCT(--ISNUMBER(SEARCH(supreme,C113)))&gt;0)</f>
        <v>0</v>
      </c>
      <c r="N113" s="14" cm="1">
        <f t="array" ref="N113">INT(SUMPRODUCT(--ISNUMBER(SEARCH(covid,C113)))&gt;0)</f>
        <v>0</v>
      </c>
      <c r="O113" s="14" cm="1">
        <f t="array" ref="O113">INT(SUMPRODUCT(--ISNUMBER(SEARCH(violent,C113)))&gt;0)</f>
        <v>0</v>
      </c>
      <c r="P113" s="14" cm="1">
        <f t="array" ref="P113">INT(SUMPRODUCT(--ISNUMBER(SEARCH(foreign,C113)))&gt;0)</f>
        <v>0</v>
      </c>
      <c r="Q113" s="14" cm="1">
        <f t="array" ref="Q113">INT(SUMPRODUCT(--ISNUMBER(SEARCH(gun,C113)))&gt;0)</f>
        <v>0</v>
      </c>
      <c r="R113" s="14" cm="1">
        <f t="array" ref="R113">INT(SUMPRODUCT(--ISNUMBER(SEARCH(race,C113)))&gt;0)</f>
        <v>0</v>
      </c>
      <c r="S113" s="14" cm="1">
        <f t="array" ref="S113">INT(SUMPRODUCT(--ISNUMBER(SEARCH(immigration,C113)))&gt;0)</f>
        <v>0</v>
      </c>
      <c r="T113" s="14" cm="1">
        <f t="array" ref="T113">INT(SUMPRODUCT(--ISNUMBER(SEARCH(econineq,C114)))&gt;0)</f>
        <v>0</v>
      </c>
      <c r="U113" s="14" cm="1">
        <f t="array" ref="U113">INT(SUMPRODUCT(--ISNUMBER(SEARCH(climate,C113)))&gt;0)</f>
        <v>1</v>
      </c>
      <c r="V113" s="14" cm="1">
        <f t="array" ref="V113">INT(SUMPRODUCT(--ISNUMBER(SEARCH(abortion,C113)))&gt;0)</f>
        <v>0</v>
      </c>
      <c r="W113" s="14" cm="1">
        <f t="array" ref="W113">INT(SUMPRODUCT(--ISNUMBER(SEARCH(trump,C113)))&gt;0)</f>
        <v>0</v>
      </c>
      <c r="X113" s="14" cm="1">
        <f t="array" ref="X113">INT(SUMPRODUCT(--ISNUMBER(SEARCH(voting,C113)))&gt;0)</f>
        <v>1</v>
      </c>
      <c r="Y113" s="35" cm="1">
        <f t="array" ref="Y113">INT(SUMPRODUCT(--ISNUMBER(SEARCH(republicantrigger,C113)))&gt;0)</f>
        <v>1</v>
      </c>
      <c r="Z113" s="35" cm="1">
        <f t="array" ref="Z113">INT(SUMPRODUCT(--ISNUMBER(SEARCH(bipartisan,C113)))&gt;0)</f>
        <v>0</v>
      </c>
      <c r="AA113" s="35">
        <f t="shared" si="1"/>
        <v>0</v>
      </c>
      <c r="AB113" s="14"/>
      <c r="AC113" s="30" t="s">
        <v>223</v>
      </c>
      <c r="AD113" s="37" t="s">
        <v>223</v>
      </c>
    </row>
    <row r="114" spans="1:30" x14ac:dyDescent="0.25">
      <c r="A114" s="36">
        <v>2620</v>
      </c>
      <c r="B114" s="14" t="s">
        <v>5265</v>
      </c>
      <c r="C114" s="14" t="s">
        <v>5266</v>
      </c>
      <c r="D114" s="17">
        <v>44127</v>
      </c>
      <c r="E114" s="14" t="s">
        <v>30</v>
      </c>
      <c r="F114" s="14">
        <v>212</v>
      </c>
      <c r="G114" s="14">
        <v>42</v>
      </c>
      <c r="H114" s="14">
        <v>12</v>
      </c>
      <c r="I114" s="14">
        <v>6</v>
      </c>
      <c r="J114" s="14" t="s">
        <v>31</v>
      </c>
      <c r="K114" s="14" cm="1">
        <f t="array" ref="K114">INT(SUMPRODUCT(--ISNUMBER(SEARCH(economy,C114)))&gt;0)</f>
        <v>0</v>
      </c>
      <c r="L114" s="14" cm="1">
        <f t="array" ref="L114">INT(SUMPRODUCT(--ISNUMBER(SEARCH(healthcare,C114)))&gt;0)</f>
        <v>0</v>
      </c>
      <c r="M114" s="14" cm="1">
        <f t="array" ref="M114">INT(SUMPRODUCT(--ISNUMBER(SEARCH(supreme,C114)))&gt;0)</f>
        <v>0</v>
      </c>
      <c r="N114" s="14" cm="1">
        <f t="array" ref="N114">INT(SUMPRODUCT(--ISNUMBER(SEARCH(covid,C114)))&gt;0)</f>
        <v>0</v>
      </c>
      <c r="O114" s="14" cm="1">
        <f t="array" ref="O114">INT(SUMPRODUCT(--ISNUMBER(SEARCH(violent,C114)))&gt;0)</f>
        <v>0</v>
      </c>
      <c r="P114" s="14" cm="1">
        <f t="array" ref="P114">INT(SUMPRODUCT(--ISNUMBER(SEARCH(foreign,C114)))&gt;0)</f>
        <v>0</v>
      </c>
      <c r="Q114" s="14" cm="1">
        <f t="array" ref="Q114">INT(SUMPRODUCT(--ISNUMBER(SEARCH(gun,C114)))&gt;0)</f>
        <v>0</v>
      </c>
      <c r="R114" s="14" cm="1">
        <f t="array" ref="R114">INT(SUMPRODUCT(--ISNUMBER(SEARCH(race,C114)))&gt;0)</f>
        <v>0</v>
      </c>
      <c r="S114" s="14" cm="1">
        <f t="array" ref="S114">INT(SUMPRODUCT(--ISNUMBER(SEARCH(immigration,C114)))&gt;0)</f>
        <v>0</v>
      </c>
      <c r="T114" s="14" cm="1">
        <f t="array" ref="T114">INT(SUMPRODUCT(--ISNUMBER(SEARCH(econineq,C115)))&gt;0)</f>
        <v>0</v>
      </c>
      <c r="U114" s="14" cm="1">
        <f t="array" ref="U114">INT(SUMPRODUCT(--ISNUMBER(SEARCH(climate,C114)))&gt;0)</f>
        <v>0</v>
      </c>
      <c r="V114" s="14" cm="1">
        <f t="array" ref="V114">INT(SUMPRODUCT(--ISNUMBER(SEARCH(abortion,C114)))&gt;0)</f>
        <v>0</v>
      </c>
      <c r="W114" s="14" cm="1">
        <f t="array" ref="W114">INT(SUMPRODUCT(--ISNUMBER(SEARCH(trump,C114)))&gt;0)</f>
        <v>1</v>
      </c>
      <c r="X114" s="14" cm="1">
        <f t="array" ref="X114">INT(SUMPRODUCT(--ISNUMBER(SEARCH(voting,C114)))&gt;0)</f>
        <v>0</v>
      </c>
      <c r="Y114" s="35" cm="1">
        <f t="array" ref="Y114">INT(SUMPRODUCT(--ISNUMBER(SEARCH(republicantrigger,C114)))&gt;0)</f>
        <v>0</v>
      </c>
      <c r="Z114" s="35" cm="1">
        <f t="array" ref="Z114">INT(SUMPRODUCT(--ISNUMBER(SEARCH(bipartisan,C114)))&gt;0)</f>
        <v>0</v>
      </c>
      <c r="AA114" s="35">
        <f t="shared" si="1"/>
        <v>0</v>
      </c>
      <c r="AB114" s="14"/>
      <c r="AC114" s="30" t="s">
        <v>223</v>
      </c>
      <c r="AD114" s="37" t="s">
        <v>223</v>
      </c>
    </row>
    <row r="115" spans="1:30" x14ac:dyDescent="0.25">
      <c r="A115" s="36">
        <v>2621</v>
      </c>
      <c r="B115" s="14" t="s">
        <v>5267</v>
      </c>
      <c r="C115" s="14" t="s">
        <v>5268</v>
      </c>
      <c r="D115" s="17">
        <v>44127</v>
      </c>
      <c r="E115" s="14" t="s">
        <v>30</v>
      </c>
      <c r="F115" s="14">
        <v>490</v>
      </c>
      <c r="G115" s="14">
        <v>185</v>
      </c>
      <c r="H115" s="14">
        <v>12</v>
      </c>
      <c r="I115" s="14">
        <v>6</v>
      </c>
      <c r="J115" s="14" t="s">
        <v>31</v>
      </c>
      <c r="K115" s="14" cm="1">
        <f t="array" ref="K115">INT(SUMPRODUCT(--ISNUMBER(SEARCH(economy,C115)))&gt;0)</f>
        <v>0</v>
      </c>
      <c r="L115" s="14" cm="1">
        <f t="array" ref="L115">INT(SUMPRODUCT(--ISNUMBER(SEARCH(healthcare,C115)))&gt;0)</f>
        <v>0</v>
      </c>
      <c r="M115" s="14" cm="1">
        <f t="array" ref="M115">INT(SUMPRODUCT(--ISNUMBER(SEARCH(supreme,C115)))&gt;0)</f>
        <v>0</v>
      </c>
      <c r="N115" s="14" cm="1">
        <f t="array" ref="N115">INT(SUMPRODUCT(--ISNUMBER(SEARCH(covid,C115)))&gt;0)</f>
        <v>0</v>
      </c>
      <c r="O115" s="14" cm="1">
        <f t="array" ref="O115">INT(SUMPRODUCT(--ISNUMBER(SEARCH(violent,C115)))&gt;0)</f>
        <v>0</v>
      </c>
      <c r="P115" s="14" cm="1">
        <f t="array" ref="P115">INT(SUMPRODUCT(--ISNUMBER(SEARCH(foreign,C115)))&gt;0)</f>
        <v>0</v>
      </c>
      <c r="Q115" s="14" cm="1">
        <f t="array" ref="Q115">INT(SUMPRODUCT(--ISNUMBER(SEARCH(gun,C115)))&gt;0)</f>
        <v>0</v>
      </c>
      <c r="R115" s="14" cm="1">
        <f t="array" ref="R115">INT(SUMPRODUCT(--ISNUMBER(SEARCH(race,C115)))&gt;0)</f>
        <v>0</v>
      </c>
      <c r="S115" s="14" cm="1">
        <f t="array" ref="S115">INT(SUMPRODUCT(--ISNUMBER(SEARCH(immigration,C115)))&gt;0)</f>
        <v>1</v>
      </c>
      <c r="T115" s="14" cm="1">
        <f t="array" ref="T115">INT(SUMPRODUCT(--ISNUMBER(SEARCH(econineq,C116)))&gt;0)</f>
        <v>0</v>
      </c>
      <c r="U115" s="14" cm="1">
        <f t="array" ref="U115">INT(SUMPRODUCT(--ISNUMBER(SEARCH(climate,C115)))&gt;0)</f>
        <v>1</v>
      </c>
      <c r="V115" s="14" cm="1">
        <f t="array" ref="V115">INT(SUMPRODUCT(--ISNUMBER(SEARCH(abortion,C115)))&gt;0)</f>
        <v>0</v>
      </c>
      <c r="W115" s="14" cm="1">
        <f t="array" ref="W115">INT(SUMPRODUCT(--ISNUMBER(SEARCH(trump,C115)))&gt;0)</f>
        <v>0</v>
      </c>
      <c r="X115" s="14" cm="1">
        <f t="array" ref="X115">INT(SUMPRODUCT(--ISNUMBER(SEARCH(voting,C115)))&gt;0)</f>
        <v>0</v>
      </c>
      <c r="Y115" s="35" cm="1">
        <f t="array" ref="Y115">INT(SUMPRODUCT(--ISNUMBER(SEARCH(republicantrigger,C115)))&gt;0)</f>
        <v>1</v>
      </c>
      <c r="Z115" s="35" cm="1">
        <f t="array" ref="Z115">INT(SUMPRODUCT(--ISNUMBER(SEARCH(bipartisan,C115)))&gt;0)</f>
        <v>0</v>
      </c>
      <c r="AA115" s="35">
        <f t="shared" si="1"/>
        <v>0</v>
      </c>
      <c r="AB115" s="14"/>
      <c r="AC115" s="30" t="s">
        <v>223</v>
      </c>
      <c r="AD115" s="37" t="s">
        <v>223</v>
      </c>
    </row>
    <row r="116" spans="1:30" x14ac:dyDescent="0.25">
      <c r="A116" s="36">
        <v>2622</v>
      </c>
      <c r="B116" s="14" t="s">
        <v>5269</v>
      </c>
      <c r="C116" s="14" t="s">
        <v>5270</v>
      </c>
      <c r="D116" s="17">
        <v>44127</v>
      </c>
      <c r="E116" s="14" t="s">
        <v>30</v>
      </c>
      <c r="F116" s="14">
        <v>408</v>
      </c>
      <c r="G116" s="14">
        <v>73</v>
      </c>
      <c r="H116" s="14">
        <v>12</v>
      </c>
      <c r="I116" s="14">
        <v>6</v>
      </c>
      <c r="J116" s="14" t="s">
        <v>31</v>
      </c>
      <c r="K116" s="14" cm="1">
        <f t="array" ref="K116">INT(SUMPRODUCT(--ISNUMBER(SEARCH(economy,C116)))&gt;0)</f>
        <v>0</v>
      </c>
      <c r="L116" s="14" cm="1">
        <f t="array" ref="L116">INT(SUMPRODUCT(--ISNUMBER(SEARCH(healthcare,C116)))&gt;0)</f>
        <v>0</v>
      </c>
      <c r="M116" s="14" cm="1">
        <f t="array" ref="M116">INT(SUMPRODUCT(--ISNUMBER(SEARCH(supreme,C116)))&gt;0)</f>
        <v>0</v>
      </c>
      <c r="N116" s="14" cm="1">
        <f t="array" ref="N116">INT(SUMPRODUCT(--ISNUMBER(SEARCH(covid,C116)))&gt;0)</f>
        <v>0</v>
      </c>
      <c r="O116" s="14" cm="1">
        <f t="array" ref="O116">INT(SUMPRODUCT(--ISNUMBER(SEARCH(violent,C116)))&gt;0)</f>
        <v>0</v>
      </c>
      <c r="P116" s="14" cm="1">
        <f t="array" ref="P116">INT(SUMPRODUCT(--ISNUMBER(SEARCH(foreign,C116)))&gt;0)</f>
        <v>0</v>
      </c>
      <c r="Q116" s="14" cm="1">
        <f t="array" ref="Q116">INT(SUMPRODUCT(--ISNUMBER(SEARCH(gun,C116)))&gt;0)</f>
        <v>0</v>
      </c>
      <c r="R116" s="14" cm="1">
        <f t="array" ref="R116">INT(SUMPRODUCT(--ISNUMBER(SEARCH(race,C116)))&gt;0)</f>
        <v>0</v>
      </c>
      <c r="S116" s="14" cm="1">
        <f t="array" ref="S116">INT(SUMPRODUCT(--ISNUMBER(SEARCH(immigration,C116)))&gt;0)</f>
        <v>0</v>
      </c>
      <c r="T116" s="14" cm="1">
        <f t="array" ref="T116">INT(SUMPRODUCT(--ISNUMBER(SEARCH(econineq,C117)))&gt;0)</f>
        <v>0</v>
      </c>
      <c r="U116" s="14" cm="1">
        <f t="array" ref="U116">INT(SUMPRODUCT(--ISNUMBER(SEARCH(climate,C116)))&gt;0)</f>
        <v>1</v>
      </c>
      <c r="V116" s="14" cm="1">
        <f t="array" ref="V116">INT(SUMPRODUCT(--ISNUMBER(SEARCH(abortion,C116)))&gt;0)</f>
        <v>0</v>
      </c>
      <c r="W116" s="14" cm="1">
        <f t="array" ref="W116">INT(SUMPRODUCT(--ISNUMBER(SEARCH(trump,C116)))&gt;0)</f>
        <v>0</v>
      </c>
      <c r="X116" s="14" cm="1">
        <f t="array" ref="X116">INT(SUMPRODUCT(--ISNUMBER(SEARCH(voting,C116)))&gt;0)</f>
        <v>1</v>
      </c>
      <c r="Y116" s="35" cm="1">
        <f t="array" ref="Y116">INT(SUMPRODUCT(--ISNUMBER(SEARCH(republicantrigger,C116)))&gt;0)</f>
        <v>1</v>
      </c>
      <c r="Z116" s="35" cm="1">
        <f t="array" ref="Z116">INT(SUMPRODUCT(--ISNUMBER(SEARCH(bipartisan,C116)))&gt;0)</f>
        <v>0</v>
      </c>
      <c r="AA116" s="35">
        <f t="shared" si="1"/>
        <v>0</v>
      </c>
      <c r="AB116" s="14"/>
      <c r="AC116" s="30" t="s">
        <v>223</v>
      </c>
      <c r="AD116" s="37" t="s">
        <v>223</v>
      </c>
    </row>
    <row r="117" spans="1:30" x14ac:dyDescent="0.25">
      <c r="A117" s="36">
        <v>2623</v>
      </c>
      <c r="B117" s="14" t="s">
        <v>5271</v>
      </c>
      <c r="C117" s="14" t="s">
        <v>5272</v>
      </c>
      <c r="D117" s="17">
        <v>44127</v>
      </c>
      <c r="E117" s="14" t="s">
        <v>30</v>
      </c>
      <c r="F117" s="14">
        <v>86</v>
      </c>
      <c r="G117" s="14">
        <v>20</v>
      </c>
      <c r="H117" s="14">
        <v>12</v>
      </c>
      <c r="I117" s="14">
        <v>6</v>
      </c>
      <c r="J117" s="14" t="s">
        <v>31</v>
      </c>
      <c r="K117" s="14" cm="1">
        <f t="array" ref="K117">INT(SUMPRODUCT(--ISNUMBER(SEARCH(economy,C117)))&gt;0)</f>
        <v>1</v>
      </c>
      <c r="L117" s="14" cm="1">
        <f t="array" ref="L117">INT(SUMPRODUCT(--ISNUMBER(SEARCH(healthcare,C117)))&gt;0)</f>
        <v>0</v>
      </c>
      <c r="M117" s="14" cm="1">
        <f t="array" ref="M117">INT(SUMPRODUCT(--ISNUMBER(SEARCH(supreme,C117)))&gt;0)</f>
        <v>0</v>
      </c>
      <c r="N117" s="14" cm="1">
        <f t="array" ref="N117">INT(SUMPRODUCT(--ISNUMBER(SEARCH(covid,C117)))&gt;0)</f>
        <v>1</v>
      </c>
      <c r="O117" s="14" cm="1">
        <f t="array" ref="O117">INT(SUMPRODUCT(--ISNUMBER(SEARCH(violent,C117)))&gt;0)</f>
        <v>0</v>
      </c>
      <c r="P117" s="14" cm="1">
        <f t="array" ref="P117">INT(SUMPRODUCT(--ISNUMBER(SEARCH(foreign,C117)))&gt;0)</f>
        <v>1</v>
      </c>
      <c r="Q117" s="14" cm="1">
        <f t="array" ref="Q117">INT(SUMPRODUCT(--ISNUMBER(SEARCH(gun,C117)))&gt;0)</f>
        <v>0</v>
      </c>
      <c r="R117" s="14" cm="1">
        <f t="array" ref="R117">INT(SUMPRODUCT(--ISNUMBER(SEARCH(race,C117)))&gt;0)</f>
        <v>0</v>
      </c>
      <c r="S117" s="14" cm="1">
        <f t="array" ref="S117">INT(SUMPRODUCT(--ISNUMBER(SEARCH(immigration,C117)))&gt;0)</f>
        <v>0</v>
      </c>
      <c r="T117" s="14" cm="1">
        <f t="array" ref="T117">INT(SUMPRODUCT(--ISNUMBER(SEARCH(econineq,C118)))&gt;0)</f>
        <v>1</v>
      </c>
      <c r="U117" s="14" cm="1">
        <f t="array" ref="U117">INT(SUMPRODUCT(--ISNUMBER(SEARCH(climate,C117)))&gt;0)</f>
        <v>0</v>
      </c>
      <c r="V117" s="14" cm="1">
        <f t="array" ref="V117">INT(SUMPRODUCT(--ISNUMBER(SEARCH(abortion,C117)))&gt;0)</f>
        <v>0</v>
      </c>
      <c r="W117" s="14" cm="1">
        <f t="array" ref="W117">INT(SUMPRODUCT(--ISNUMBER(SEARCH(trump,C117)))&gt;0)</f>
        <v>0</v>
      </c>
      <c r="X117" s="14" cm="1">
        <f t="array" ref="X117">INT(SUMPRODUCT(--ISNUMBER(SEARCH(voting,C117)))&gt;0)</f>
        <v>0</v>
      </c>
      <c r="Y117" s="35" cm="1">
        <f t="array" ref="Y117">INT(SUMPRODUCT(--ISNUMBER(SEARCH(republicantrigger,C117)))&gt;0)</f>
        <v>1</v>
      </c>
      <c r="Z117" s="35" cm="1">
        <f t="array" ref="Z117">INT(SUMPRODUCT(--ISNUMBER(SEARCH(bipartisan,C117)))&gt;0)</f>
        <v>0</v>
      </c>
      <c r="AA117" s="35">
        <f t="shared" si="1"/>
        <v>0</v>
      </c>
      <c r="AB117" s="14"/>
      <c r="AC117" s="30" t="s">
        <v>223</v>
      </c>
      <c r="AD117" s="37" t="s">
        <v>223</v>
      </c>
    </row>
    <row r="118" spans="1:30" x14ac:dyDescent="0.25">
      <c r="A118" s="36">
        <v>2624</v>
      </c>
      <c r="B118" s="14" t="s">
        <v>5273</v>
      </c>
      <c r="C118" s="14" t="s">
        <v>5274</v>
      </c>
      <c r="D118" s="17">
        <v>44127</v>
      </c>
      <c r="E118" s="14" t="s">
        <v>30</v>
      </c>
      <c r="F118" s="14">
        <v>134</v>
      </c>
      <c r="G118" s="14">
        <v>38</v>
      </c>
      <c r="H118" s="14">
        <v>12</v>
      </c>
      <c r="I118" s="14">
        <v>6</v>
      </c>
      <c r="J118" s="14" t="s">
        <v>31</v>
      </c>
      <c r="K118" s="14" cm="1">
        <f t="array" ref="K118">INT(SUMPRODUCT(--ISNUMBER(SEARCH(economy,C118)))&gt;0)</f>
        <v>1</v>
      </c>
      <c r="L118" s="14" cm="1">
        <f t="array" ref="L118">INT(SUMPRODUCT(--ISNUMBER(SEARCH(healthcare,C118)))&gt;0)</f>
        <v>0</v>
      </c>
      <c r="M118" s="14" cm="1">
        <f t="array" ref="M118">INT(SUMPRODUCT(--ISNUMBER(SEARCH(supreme,C118)))&gt;0)</f>
        <v>0</v>
      </c>
      <c r="N118" s="14" cm="1">
        <f t="array" ref="N118">INT(SUMPRODUCT(--ISNUMBER(SEARCH(covid,C118)))&gt;0)</f>
        <v>0</v>
      </c>
      <c r="O118" s="14" cm="1">
        <f t="array" ref="O118">INT(SUMPRODUCT(--ISNUMBER(SEARCH(violent,C118)))&gt;0)</f>
        <v>0</v>
      </c>
      <c r="P118" s="14" cm="1">
        <f t="array" ref="P118">INT(SUMPRODUCT(--ISNUMBER(SEARCH(foreign,C118)))&gt;0)</f>
        <v>0</v>
      </c>
      <c r="Q118" s="14" cm="1">
        <f t="array" ref="Q118">INT(SUMPRODUCT(--ISNUMBER(SEARCH(gun,C118)))&gt;0)</f>
        <v>0</v>
      </c>
      <c r="R118" s="14" cm="1">
        <f t="array" ref="R118">INT(SUMPRODUCT(--ISNUMBER(SEARCH(race,C118)))&gt;0)</f>
        <v>0</v>
      </c>
      <c r="S118" s="14" cm="1">
        <f t="array" ref="S118">INT(SUMPRODUCT(--ISNUMBER(SEARCH(immigration,C118)))&gt;0)</f>
        <v>0</v>
      </c>
      <c r="T118" s="14" cm="1">
        <f t="array" ref="T118">INT(SUMPRODUCT(--ISNUMBER(SEARCH(econineq,C119)))&gt;0)</f>
        <v>0</v>
      </c>
      <c r="U118" s="14" cm="1">
        <f t="array" ref="U118">INT(SUMPRODUCT(--ISNUMBER(SEARCH(climate,C118)))&gt;0)</f>
        <v>1</v>
      </c>
      <c r="V118" s="14" cm="1">
        <f t="array" ref="V118">INT(SUMPRODUCT(--ISNUMBER(SEARCH(abortion,C118)))&gt;0)</f>
        <v>0</v>
      </c>
      <c r="W118" s="14" cm="1">
        <f t="array" ref="W118">INT(SUMPRODUCT(--ISNUMBER(SEARCH(trump,C118)))&gt;0)</f>
        <v>0</v>
      </c>
      <c r="X118" s="14" cm="1">
        <f t="array" ref="X118">INT(SUMPRODUCT(--ISNUMBER(SEARCH(voting,C118)))&gt;0)</f>
        <v>0</v>
      </c>
      <c r="Y118" s="35" cm="1">
        <f t="array" ref="Y118">INT(SUMPRODUCT(--ISNUMBER(SEARCH(republicantrigger,C118)))&gt;0)</f>
        <v>1</v>
      </c>
      <c r="Z118" s="35" cm="1">
        <f t="array" ref="Z118">INT(SUMPRODUCT(--ISNUMBER(SEARCH(bipartisan,C118)))&gt;0)</f>
        <v>0</v>
      </c>
      <c r="AA118" s="35">
        <f t="shared" si="1"/>
        <v>0</v>
      </c>
      <c r="AB118" s="14"/>
      <c r="AC118" s="30" t="s">
        <v>223</v>
      </c>
      <c r="AD118" s="37" t="s">
        <v>223</v>
      </c>
    </row>
    <row r="119" spans="1:30" x14ac:dyDescent="0.25">
      <c r="A119" s="36">
        <v>2625</v>
      </c>
      <c r="B119" s="14" t="s">
        <v>5275</v>
      </c>
      <c r="C119" s="14" t="s">
        <v>5276</v>
      </c>
      <c r="D119" s="17">
        <v>44127</v>
      </c>
      <c r="E119" s="14" t="s">
        <v>30</v>
      </c>
      <c r="F119" s="14">
        <v>61</v>
      </c>
      <c r="G119" s="14">
        <v>18</v>
      </c>
      <c r="H119" s="14">
        <v>12</v>
      </c>
      <c r="I119" s="14">
        <v>6</v>
      </c>
      <c r="J119" s="14" t="s">
        <v>31</v>
      </c>
      <c r="K119" s="14" cm="1">
        <f t="array" ref="K119">INT(SUMPRODUCT(--ISNUMBER(SEARCH(economy,C119)))&gt;0)</f>
        <v>1</v>
      </c>
      <c r="L119" s="14" cm="1">
        <f t="array" ref="L119">INT(SUMPRODUCT(--ISNUMBER(SEARCH(healthcare,C119)))&gt;0)</f>
        <v>0</v>
      </c>
      <c r="M119" s="14" cm="1">
        <f t="array" ref="M119">INT(SUMPRODUCT(--ISNUMBER(SEARCH(supreme,C119)))&gt;0)</f>
        <v>0</v>
      </c>
      <c r="N119" s="14" cm="1">
        <f t="array" ref="N119">INT(SUMPRODUCT(--ISNUMBER(SEARCH(covid,C119)))&gt;0)</f>
        <v>0</v>
      </c>
      <c r="O119" s="14" cm="1">
        <f t="array" ref="O119">INT(SUMPRODUCT(--ISNUMBER(SEARCH(violent,C119)))&gt;0)</f>
        <v>0</v>
      </c>
      <c r="P119" s="14" cm="1">
        <f t="array" ref="P119">INT(SUMPRODUCT(--ISNUMBER(SEARCH(foreign,C119)))&gt;0)</f>
        <v>0</v>
      </c>
      <c r="Q119" s="14" cm="1">
        <f t="array" ref="Q119">INT(SUMPRODUCT(--ISNUMBER(SEARCH(gun,C119)))&gt;0)</f>
        <v>0</v>
      </c>
      <c r="R119" s="14" cm="1">
        <f t="array" ref="R119">INT(SUMPRODUCT(--ISNUMBER(SEARCH(race,C119)))&gt;0)</f>
        <v>0</v>
      </c>
      <c r="S119" s="14" cm="1">
        <f t="array" ref="S119">INT(SUMPRODUCT(--ISNUMBER(SEARCH(immigration,C119)))&gt;0)</f>
        <v>0</v>
      </c>
      <c r="T119" s="14" cm="1">
        <f t="array" ref="T119">INT(SUMPRODUCT(--ISNUMBER(SEARCH(econineq,C120)))&gt;0)</f>
        <v>1</v>
      </c>
      <c r="U119" s="14" cm="1">
        <f t="array" ref="U119">INT(SUMPRODUCT(--ISNUMBER(SEARCH(climate,C119)))&gt;0)</f>
        <v>0</v>
      </c>
      <c r="V119" s="14" cm="1">
        <f t="array" ref="V119">INT(SUMPRODUCT(--ISNUMBER(SEARCH(abortion,C119)))&gt;0)</f>
        <v>0</v>
      </c>
      <c r="W119" s="14" cm="1">
        <f t="array" ref="W119">INT(SUMPRODUCT(--ISNUMBER(SEARCH(trump,C119)))&gt;0)</f>
        <v>0</v>
      </c>
      <c r="X119" s="14" cm="1">
        <f t="array" ref="X119">INT(SUMPRODUCT(--ISNUMBER(SEARCH(voting,C119)))&gt;0)</f>
        <v>1</v>
      </c>
      <c r="Y119" s="35" cm="1">
        <f t="array" ref="Y119">INT(SUMPRODUCT(--ISNUMBER(SEARCH(republicantrigger,C119)))&gt;0)</f>
        <v>1</v>
      </c>
      <c r="Z119" s="35" cm="1">
        <f t="array" ref="Z119">INT(SUMPRODUCT(--ISNUMBER(SEARCH(bipartisan,C119)))&gt;0)</f>
        <v>0</v>
      </c>
      <c r="AA119" s="35">
        <f t="shared" si="1"/>
        <v>0</v>
      </c>
      <c r="AB119" s="14"/>
      <c r="AC119" s="30" t="s">
        <v>223</v>
      </c>
      <c r="AD119" s="37" t="s">
        <v>223</v>
      </c>
    </row>
    <row r="120" spans="1:30" x14ac:dyDescent="0.25">
      <c r="A120" s="36">
        <v>2626</v>
      </c>
      <c r="B120" s="14" t="s">
        <v>5277</v>
      </c>
      <c r="C120" s="14" t="s">
        <v>5278</v>
      </c>
      <c r="D120" s="17">
        <v>44127</v>
      </c>
      <c r="E120" s="14" t="s">
        <v>30</v>
      </c>
      <c r="F120" s="14">
        <v>126</v>
      </c>
      <c r="G120" s="14">
        <v>42</v>
      </c>
      <c r="H120" s="14">
        <v>12</v>
      </c>
      <c r="I120" s="14">
        <v>6</v>
      </c>
      <c r="J120" s="14" t="s">
        <v>31</v>
      </c>
      <c r="K120" s="14" cm="1">
        <f t="array" ref="K120">INT(SUMPRODUCT(--ISNUMBER(SEARCH(economy,C120)))&gt;0)</f>
        <v>1</v>
      </c>
      <c r="L120" s="14" cm="1">
        <f t="array" ref="L120">INT(SUMPRODUCT(--ISNUMBER(SEARCH(healthcare,C120)))&gt;0)</f>
        <v>0</v>
      </c>
      <c r="M120" s="14" cm="1">
        <f t="array" ref="M120">INT(SUMPRODUCT(--ISNUMBER(SEARCH(supreme,C120)))&gt;0)</f>
        <v>0</v>
      </c>
      <c r="N120" s="14" cm="1">
        <f t="array" ref="N120">INT(SUMPRODUCT(--ISNUMBER(SEARCH(covid,C120)))&gt;0)</f>
        <v>1</v>
      </c>
      <c r="O120" s="14" cm="1">
        <f t="array" ref="O120">INT(SUMPRODUCT(--ISNUMBER(SEARCH(violent,C120)))&gt;0)</f>
        <v>0</v>
      </c>
      <c r="P120" s="14" cm="1">
        <f t="array" ref="P120">INT(SUMPRODUCT(--ISNUMBER(SEARCH(foreign,C120)))&gt;0)</f>
        <v>0</v>
      </c>
      <c r="Q120" s="14" cm="1">
        <f t="array" ref="Q120">INT(SUMPRODUCT(--ISNUMBER(SEARCH(gun,C120)))&gt;0)</f>
        <v>0</v>
      </c>
      <c r="R120" s="14" cm="1">
        <f t="array" ref="R120">INT(SUMPRODUCT(--ISNUMBER(SEARCH(race,C120)))&gt;0)</f>
        <v>0</v>
      </c>
      <c r="S120" s="14" cm="1">
        <f t="array" ref="S120">INT(SUMPRODUCT(--ISNUMBER(SEARCH(immigration,C120)))&gt;0)</f>
        <v>0</v>
      </c>
      <c r="T120" s="14" cm="1">
        <f t="array" ref="T120">INT(SUMPRODUCT(--ISNUMBER(SEARCH(econineq,C121)))&gt;0)</f>
        <v>0</v>
      </c>
      <c r="U120" s="14" cm="1">
        <f t="array" ref="U120">INT(SUMPRODUCT(--ISNUMBER(SEARCH(climate,C120)))&gt;0)</f>
        <v>0</v>
      </c>
      <c r="V120" s="14" cm="1">
        <f t="array" ref="V120">INT(SUMPRODUCT(--ISNUMBER(SEARCH(abortion,C120)))&gt;0)</f>
        <v>0</v>
      </c>
      <c r="W120" s="14" cm="1">
        <f t="array" ref="W120">INT(SUMPRODUCT(--ISNUMBER(SEARCH(trump,C120)))&gt;0)</f>
        <v>0</v>
      </c>
      <c r="X120" s="14" cm="1">
        <f t="array" ref="X120">INT(SUMPRODUCT(--ISNUMBER(SEARCH(voting,C120)))&gt;0)</f>
        <v>0</v>
      </c>
      <c r="Y120" s="35" cm="1">
        <f t="array" ref="Y120">INT(SUMPRODUCT(--ISNUMBER(SEARCH(republicantrigger,C120)))&gt;0)</f>
        <v>1</v>
      </c>
      <c r="Z120" s="35" cm="1">
        <f t="array" ref="Z120">INT(SUMPRODUCT(--ISNUMBER(SEARCH(bipartisan,C120)))&gt;0)</f>
        <v>0</v>
      </c>
      <c r="AA120" s="35">
        <f t="shared" si="1"/>
        <v>0</v>
      </c>
      <c r="AB120" s="14"/>
      <c r="AC120" s="30" t="s">
        <v>223</v>
      </c>
      <c r="AD120" s="37" t="s">
        <v>223</v>
      </c>
    </row>
    <row r="121" spans="1:30" x14ac:dyDescent="0.25">
      <c r="A121" s="36">
        <v>2627</v>
      </c>
      <c r="B121" s="14" t="s">
        <v>5279</v>
      </c>
      <c r="C121" s="14" t="s">
        <v>5280</v>
      </c>
      <c r="D121" s="17">
        <v>44127</v>
      </c>
      <c r="E121" s="14" t="s">
        <v>30</v>
      </c>
      <c r="F121" s="14">
        <v>205</v>
      </c>
      <c r="G121" s="14">
        <v>50</v>
      </c>
      <c r="H121" s="14">
        <v>12</v>
      </c>
      <c r="I121" s="14">
        <v>6</v>
      </c>
      <c r="J121" s="14" t="s">
        <v>31</v>
      </c>
      <c r="K121" s="14" cm="1">
        <f t="array" ref="K121">INT(SUMPRODUCT(--ISNUMBER(SEARCH(economy,C121)))&gt;0)</f>
        <v>0</v>
      </c>
      <c r="L121" s="14" cm="1">
        <f t="array" ref="L121">INT(SUMPRODUCT(--ISNUMBER(SEARCH(healthcare,C121)))&gt;0)</f>
        <v>0</v>
      </c>
      <c r="M121" s="14" cm="1">
        <f t="array" ref="M121">INT(SUMPRODUCT(--ISNUMBER(SEARCH(supreme,C121)))&gt;0)</f>
        <v>0</v>
      </c>
      <c r="N121" s="14" cm="1">
        <f t="array" ref="N121">INT(SUMPRODUCT(--ISNUMBER(SEARCH(covid,C121)))&gt;0)</f>
        <v>0</v>
      </c>
      <c r="O121" s="14" cm="1">
        <f t="array" ref="O121">INT(SUMPRODUCT(--ISNUMBER(SEARCH(violent,C121)))&gt;0)</f>
        <v>0</v>
      </c>
      <c r="P121" s="14" cm="1">
        <f t="array" ref="P121">INT(SUMPRODUCT(--ISNUMBER(SEARCH(foreign,C121)))&gt;0)</f>
        <v>0</v>
      </c>
      <c r="Q121" s="14" cm="1">
        <f t="array" ref="Q121">INT(SUMPRODUCT(--ISNUMBER(SEARCH(gun,C121)))&gt;0)</f>
        <v>0</v>
      </c>
      <c r="R121" s="14" cm="1">
        <f t="array" ref="R121">INT(SUMPRODUCT(--ISNUMBER(SEARCH(race,C121)))&gt;0)</f>
        <v>0</v>
      </c>
      <c r="S121" s="14" cm="1">
        <f t="array" ref="S121">INT(SUMPRODUCT(--ISNUMBER(SEARCH(immigration,C121)))&gt;0)</f>
        <v>1</v>
      </c>
      <c r="T121" s="14" cm="1">
        <f t="array" ref="T121">INT(SUMPRODUCT(--ISNUMBER(SEARCH(econineq,C122)))&gt;0)</f>
        <v>0</v>
      </c>
      <c r="U121" s="14" cm="1">
        <f t="array" ref="U121">INT(SUMPRODUCT(--ISNUMBER(SEARCH(climate,C121)))&gt;0)</f>
        <v>0</v>
      </c>
      <c r="V121" s="14" cm="1">
        <f t="array" ref="V121">INT(SUMPRODUCT(--ISNUMBER(SEARCH(abortion,C121)))&gt;0)</f>
        <v>0</v>
      </c>
      <c r="W121" s="14" cm="1">
        <f t="array" ref="W121">INT(SUMPRODUCT(--ISNUMBER(SEARCH(trump,C121)))&gt;0)</f>
        <v>0</v>
      </c>
      <c r="X121" s="14" cm="1">
        <f t="array" ref="X121">INT(SUMPRODUCT(--ISNUMBER(SEARCH(voting,C121)))&gt;0)</f>
        <v>0</v>
      </c>
      <c r="Y121" s="35" cm="1">
        <f t="array" ref="Y121">INT(SUMPRODUCT(--ISNUMBER(SEARCH(republicantrigger,C121)))&gt;0)</f>
        <v>0</v>
      </c>
      <c r="Z121" s="35" cm="1">
        <f t="array" ref="Z121">INT(SUMPRODUCT(--ISNUMBER(SEARCH(bipartisan,C121)))&gt;0)</f>
        <v>0</v>
      </c>
      <c r="AA121" s="35">
        <f t="shared" si="1"/>
        <v>0</v>
      </c>
      <c r="AB121" s="14"/>
      <c r="AC121" s="30" t="s">
        <v>223</v>
      </c>
      <c r="AD121" s="37" t="s">
        <v>223</v>
      </c>
    </row>
    <row r="122" spans="1:30" x14ac:dyDescent="0.25">
      <c r="A122" s="36">
        <v>2628</v>
      </c>
      <c r="B122" s="14" t="s">
        <v>5281</v>
      </c>
      <c r="C122" s="14" t="s">
        <v>5282</v>
      </c>
      <c r="D122" s="17">
        <v>44127</v>
      </c>
      <c r="E122" s="14" t="s">
        <v>30</v>
      </c>
      <c r="F122" s="14">
        <v>35</v>
      </c>
      <c r="G122" s="14">
        <v>12</v>
      </c>
      <c r="H122" s="14">
        <v>12</v>
      </c>
      <c r="I122" s="14">
        <v>6</v>
      </c>
      <c r="J122" s="14" t="s">
        <v>31</v>
      </c>
      <c r="K122" s="14" cm="1">
        <f t="array" ref="K122">INT(SUMPRODUCT(--ISNUMBER(SEARCH(economy,C122)))&gt;0)</f>
        <v>0</v>
      </c>
      <c r="L122" s="14" cm="1">
        <f t="array" ref="L122">INT(SUMPRODUCT(--ISNUMBER(SEARCH(healthcare,C122)))&gt;0)</f>
        <v>0</v>
      </c>
      <c r="M122" s="14" cm="1">
        <f t="array" ref="M122">INT(SUMPRODUCT(--ISNUMBER(SEARCH(supreme,C122)))&gt;0)</f>
        <v>0</v>
      </c>
      <c r="N122" s="14" cm="1">
        <f t="array" ref="N122">INT(SUMPRODUCT(--ISNUMBER(SEARCH(covid,C122)))&gt;0)</f>
        <v>1</v>
      </c>
      <c r="O122" s="14" cm="1">
        <f t="array" ref="O122">INT(SUMPRODUCT(--ISNUMBER(SEARCH(violent,C122)))&gt;0)</f>
        <v>0</v>
      </c>
      <c r="P122" s="14" cm="1">
        <f t="array" ref="P122">INT(SUMPRODUCT(--ISNUMBER(SEARCH(foreign,C122)))&gt;0)</f>
        <v>0</v>
      </c>
      <c r="Q122" s="14" cm="1">
        <f t="array" ref="Q122">INT(SUMPRODUCT(--ISNUMBER(SEARCH(gun,C122)))&gt;0)</f>
        <v>0</v>
      </c>
      <c r="R122" s="14" cm="1">
        <f t="array" ref="R122">INT(SUMPRODUCT(--ISNUMBER(SEARCH(race,C122)))&gt;0)</f>
        <v>0</v>
      </c>
      <c r="S122" s="14" cm="1">
        <f t="array" ref="S122">INT(SUMPRODUCT(--ISNUMBER(SEARCH(immigration,C122)))&gt;0)</f>
        <v>0</v>
      </c>
      <c r="T122" s="14" cm="1">
        <f t="array" ref="T122">INT(SUMPRODUCT(--ISNUMBER(SEARCH(econineq,C123)))&gt;0)</f>
        <v>0</v>
      </c>
      <c r="U122" s="14" cm="1">
        <f t="array" ref="U122">INT(SUMPRODUCT(--ISNUMBER(SEARCH(climate,C122)))&gt;0)</f>
        <v>0</v>
      </c>
      <c r="V122" s="14" cm="1">
        <f t="array" ref="V122">INT(SUMPRODUCT(--ISNUMBER(SEARCH(abortion,C122)))&gt;0)</f>
        <v>0</v>
      </c>
      <c r="W122" s="14" cm="1">
        <f t="array" ref="W122">INT(SUMPRODUCT(--ISNUMBER(SEARCH(trump,C122)))&gt;0)</f>
        <v>1</v>
      </c>
      <c r="X122" s="14" cm="1">
        <f t="array" ref="X122">INT(SUMPRODUCT(--ISNUMBER(SEARCH(voting,C122)))&gt;0)</f>
        <v>0</v>
      </c>
      <c r="Y122" s="35" cm="1">
        <f t="array" ref="Y122">INT(SUMPRODUCT(--ISNUMBER(SEARCH(republicantrigger,C122)))&gt;0)</f>
        <v>1</v>
      </c>
      <c r="Z122" s="35" cm="1">
        <f t="array" ref="Z122">INT(SUMPRODUCT(--ISNUMBER(SEARCH(bipartisan,C122)))&gt;0)</f>
        <v>0</v>
      </c>
      <c r="AA122" s="35">
        <f t="shared" si="1"/>
        <v>0</v>
      </c>
      <c r="AB122" s="14"/>
      <c r="AC122" s="30" t="s">
        <v>223</v>
      </c>
      <c r="AD122" s="37" t="s">
        <v>223</v>
      </c>
    </row>
    <row r="123" spans="1:30" x14ac:dyDescent="0.25">
      <c r="A123" s="36">
        <v>2629</v>
      </c>
      <c r="B123" s="14" t="s">
        <v>5283</v>
      </c>
      <c r="C123" s="14" t="s">
        <v>5284</v>
      </c>
      <c r="D123" s="17">
        <v>44127</v>
      </c>
      <c r="E123" s="14" t="s">
        <v>30</v>
      </c>
      <c r="F123" s="14">
        <v>80</v>
      </c>
      <c r="G123" s="14">
        <v>27</v>
      </c>
      <c r="H123" s="14">
        <v>12</v>
      </c>
      <c r="I123" s="14">
        <v>6</v>
      </c>
      <c r="J123" s="14" t="s">
        <v>31</v>
      </c>
      <c r="K123" s="14" cm="1">
        <f t="array" ref="K123">INT(SUMPRODUCT(--ISNUMBER(SEARCH(economy,C123)))&gt;0)</f>
        <v>0</v>
      </c>
      <c r="L123" s="14" cm="1">
        <f t="array" ref="L123">INT(SUMPRODUCT(--ISNUMBER(SEARCH(healthcare,C123)))&gt;0)</f>
        <v>1</v>
      </c>
      <c r="M123" s="14" cm="1">
        <f t="array" ref="M123">INT(SUMPRODUCT(--ISNUMBER(SEARCH(supreme,C123)))&gt;0)</f>
        <v>0</v>
      </c>
      <c r="N123" s="14" cm="1">
        <f t="array" ref="N123">INT(SUMPRODUCT(--ISNUMBER(SEARCH(covid,C123)))&gt;0)</f>
        <v>0</v>
      </c>
      <c r="O123" s="14" cm="1">
        <f t="array" ref="O123">INT(SUMPRODUCT(--ISNUMBER(SEARCH(violent,C123)))&gt;0)</f>
        <v>0</v>
      </c>
      <c r="P123" s="14" cm="1">
        <f t="array" ref="P123">INT(SUMPRODUCT(--ISNUMBER(SEARCH(foreign,C123)))&gt;0)</f>
        <v>0</v>
      </c>
      <c r="Q123" s="14" cm="1">
        <f t="array" ref="Q123">INT(SUMPRODUCT(--ISNUMBER(SEARCH(gun,C123)))&gt;0)</f>
        <v>0</v>
      </c>
      <c r="R123" s="14" cm="1">
        <f t="array" ref="R123">INT(SUMPRODUCT(--ISNUMBER(SEARCH(race,C123)))&gt;0)</f>
        <v>0</v>
      </c>
      <c r="S123" s="14" cm="1">
        <f t="array" ref="S123">INT(SUMPRODUCT(--ISNUMBER(SEARCH(immigration,C123)))&gt;0)</f>
        <v>0</v>
      </c>
      <c r="T123" s="14" cm="1">
        <f t="array" ref="T123">INT(SUMPRODUCT(--ISNUMBER(SEARCH(econineq,C124)))&gt;0)</f>
        <v>0</v>
      </c>
      <c r="U123" s="14" cm="1">
        <f t="array" ref="U123">INT(SUMPRODUCT(--ISNUMBER(SEARCH(climate,C123)))&gt;0)</f>
        <v>0</v>
      </c>
      <c r="V123" s="14" cm="1">
        <f t="array" ref="V123">INT(SUMPRODUCT(--ISNUMBER(SEARCH(abortion,C123)))&gt;0)</f>
        <v>0</v>
      </c>
      <c r="W123" s="14" cm="1">
        <f t="array" ref="W123">INT(SUMPRODUCT(--ISNUMBER(SEARCH(trump,C123)))&gt;0)</f>
        <v>0</v>
      </c>
      <c r="X123" s="14" cm="1">
        <f t="array" ref="X123">INT(SUMPRODUCT(--ISNUMBER(SEARCH(voting,C123)))&gt;0)</f>
        <v>0</v>
      </c>
      <c r="Y123" s="35" cm="1">
        <f t="array" ref="Y123">INT(SUMPRODUCT(--ISNUMBER(SEARCH(republicantrigger,C123)))&gt;0)</f>
        <v>1</v>
      </c>
      <c r="Z123" s="35" cm="1">
        <f t="array" ref="Z123">INT(SUMPRODUCT(--ISNUMBER(SEARCH(bipartisan,C123)))&gt;0)</f>
        <v>0</v>
      </c>
      <c r="AA123" s="35">
        <f t="shared" si="1"/>
        <v>0</v>
      </c>
      <c r="AB123" s="14"/>
      <c r="AC123" s="30" t="s">
        <v>223</v>
      </c>
      <c r="AD123" s="37" t="s">
        <v>223</v>
      </c>
    </row>
    <row r="124" spans="1:30" x14ac:dyDescent="0.25">
      <c r="A124" s="36">
        <v>2630</v>
      </c>
      <c r="B124" s="14" t="s">
        <v>5285</v>
      </c>
      <c r="C124" s="14" t="s">
        <v>5286</v>
      </c>
      <c r="D124" s="17">
        <v>44127</v>
      </c>
      <c r="E124" s="14" t="s">
        <v>30</v>
      </c>
      <c r="F124" s="14">
        <v>62</v>
      </c>
      <c r="G124" s="14">
        <v>13</v>
      </c>
      <c r="H124" s="14">
        <v>12</v>
      </c>
      <c r="I124" s="14">
        <v>6</v>
      </c>
      <c r="J124" s="14" t="s">
        <v>31</v>
      </c>
      <c r="K124" s="14" cm="1">
        <f t="array" ref="K124">INT(SUMPRODUCT(--ISNUMBER(SEARCH(economy,C124)))&gt;0)</f>
        <v>1</v>
      </c>
      <c r="L124" s="14" cm="1">
        <f t="array" ref="L124">INT(SUMPRODUCT(--ISNUMBER(SEARCH(healthcare,C124)))&gt;0)</f>
        <v>0</v>
      </c>
      <c r="M124" s="14" cm="1">
        <f t="array" ref="M124">INT(SUMPRODUCT(--ISNUMBER(SEARCH(supreme,C124)))&gt;0)</f>
        <v>0</v>
      </c>
      <c r="N124" s="14" cm="1">
        <f t="array" ref="N124">INT(SUMPRODUCT(--ISNUMBER(SEARCH(covid,C124)))&gt;0)</f>
        <v>1</v>
      </c>
      <c r="O124" s="14" cm="1">
        <f t="array" ref="O124">INT(SUMPRODUCT(--ISNUMBER(SEARCH(violent,C124)))&gt;0)</f>
        <v>0</v>
      </c>
      <c r="P124" s="14" cm="1">
        <f t="array" ref="P124">INT(SUMPRODUCT(--ISNUMBER(SEARCH(foreign,C124)))&gt;0)</f>
        <v>0</v>
      </c>
      <c r="Q124" s="14" cm="1">
        <f t="array" ref="Q124">INT(SUMPRODUCT(--ISNUMBER(SEARCH(gun,C124)))&gt;0)</f>
        <v>0</v>
      </c>
      <c r="R124" s="14" cm="1">
        <f t="array" ref="R124">INT(SUMPRODUCT(--ISNUMBER(SEARCH(race,C124)))&gt;0)</f>
        <v>0</v>
      </c>
      <c r="S124" s="14" cm="1">
        <f t="array" ref="S124">INT(SUMPRODUCT(--ISNUMBER(SEARCH(immigration,C124)))&gt;0)</f>
        <v>0</v>
      </c>
      <c r="T124" s="14" cm="1">
        <f t="array" ref="T124">INT(SUMPRODUCT(--ISNUMBER(SEARCH(econineq,C125)))&gt;0)</f>
        <v>0</v>
      </c>
      <c r="U124" s="14" cm="1">
        <f t="array" ref="U124">INT(SUMPRODUCT(--ISNUMBER(SEARCH(climate,C124)))&gt;0)</f>
        <v>0</v>
      </c>
      <c r="V124" s="14" cm="1">
        <f t="array" ref="V124">INT(SUMPRODUCT(--ISNUMBER(SEARCH(abortion,C124)))&gt;0)</f>
        <v>0</v>
      </c>
      <c r="W124" s="14" cm="1">
        <f t="array" ref="W124">INT(SUMPRODUCT(--ISNUMBER(SEARCH(trump,C124)))&gt;0)</f>
        <v>0</v>
      </c>
      <c r="X124" s="14" cm="1">
        <f t="array" ref="X124">INT(SUMPRODUCT(--ISNUMBER(SEARCH(voting,C124)))&gt;0)</f>
        <v>0</v>
      </c>
      <c r="Y124" s="35" cm="1">
        <f t="array" ref="Y124">INT(SUMPRODUCT(--ISNUMBER(SEARCH(republicantrigger,C124)))&gt;0)</f>
        <v>1</v>
      </c>
      <c r="Z124" s="35" cm="1">
        <f t="array" ref="Z124">INT(SUMPRODUCT(--ISNUMBER(SEARCH(bipartisan,C124)))&gt;0)</f>
        <v>0</v>
      </c>
      <c r="AA124" s="35">
        <f t="shared" si="1"/>
        <v>0</v>
      </c>
      <c r="AB124" s="14"/>
      <c r="AC124" s="30" t="s">
        <v>223</v>
      </c>
      <c r="AD124" s="37" t="s">
        <v>223</v>
      </c>
    </row>
    <row r="125" spans="1:30" x14ac:dyDescent="0.25">
      <c r="A125" s="36">
        <v>2631</v>
      </c>
      <c r="B125" s="14" t="s">
        <v>5287</v>
      </c>
      <c r="C125" s="14" t="s">
        <v>5288</v>
      </c>
      <c r="D125" s="17">
        <v>44127</v>
      </c>
      <c r="E125" s="14" t="s">
        <v>30</v>
      </c>
      <c r="F125" s="14">
        <v>152</v>
      </c>
      <c r="G125" s="14">
        <v>30</v>
      </c>
      <c r="H125" s="14">
        <v>12</v>
      </c>
      <c r="I125" s="14">
        <v>6</v>
      </c>
      <c r="J125" s="14" t="s">
        <v>31</v>
      </c>
      <c r="K125" s="14" cm="1">
        <f t="array" ref="K125">INT(SUMPRODUCT(--ISNUMBER(SEARCH(economy,C125)))&gt;0)</f>
        <v>0</v>
      </c>
      <c r="L125" s="14" cm="1">
        <f t="array" ref="L125">INT(SUMPRODUCT(--ISNUMBER(SEARCH(healthcare,C125)))&gt;0)</f>
        <v>0</v>
      </c>
      <c r="M125" s="14" cm="1">
        <f t="array" ref="M125">INT(SUMPRODUCT(--ISNUMBER(SEARCH(supreme,C125)))&gt;0)</f>
        <v>0</v>
      </c>
      <c r="N125" s="14" cm="1">
        <f t="array" ref="N125">INT(SUMPRODUCT(--ISNUMBER(SEARCH(covid,C125)))&gt;0)</f>
        <v>0</v>
      </c>
      <c r="O125" s="14" cm="1">
        <f t="array" ref="O125">INT(SUMPRODUCT(--ISNUMBER(SEARCH(violent,C125)))&gt;0)</f>
        <v>0</v>
      </c>
      <c r="P125" s="14" cm="1">
        <f t="array" ref="P125">INT(SUMPRODUCT(--ISNUMBER(SEARCH(foreign,C125)))&gt;0)</f>
        <v>0</v>
      </c>
      <c r="Q125" s="14" cm="1">
        <f t="array" ref="Q125">INT(SUMPRODUCT(--ISNUMBER(SEARCH(gun,C125)))&gt;0)</f>
        <v>0</v>
      </c>
      <c r="R125" s="14" cm="1">
        <f t="array" ref="R125">INT(SUMPRODUCT(--ISNUMBER(SEARCH(race,C125)))&gt;0)</f>
        <v>0</v>
      </c>
      <c r="S125" s="14" cm="1">
        <f t="array" ref="S125">INT(SUMPRODUCT(--ISNUMBER(SEARCH(immigration,C125)))&gt;0)</f>
        <v>0</v>
      </c>
      <c r="T125" s="14" cm="1">
        <f t="array" ref="T125">INT(SUMPRODUCT(--ISNUMBER(SEARCH(econineq,C126)))&gt;0)</f>
        <v>0</v>
      </c>
      <c r="U125" s="14" cm="1">
        <f t="array" ref="U125">INT(SUMPRODUCT(--ISNUMBER(SEARCH(climate,C125)))&gt;0)</f>
        <v>0</v>
      </c>
      <c r="V125" s="14" cm="1">
        <f t="array" ref="V125">INT(SUMPRODUCT(--ISNUMBER(SEARCH(abortion,C125)))&gt;0)</f>
        <v>0</v>
      </c>
      <c r="W125" s="14" cm="1">
        <f t="array" ref="W125">INT(SUMPRODUCT(--ISNUMBER(SEARCH(trump,C125)))&gt;0)</f>
        <v>1</v>
      </c>
      <c r="X125" s="14" cm="1">
        <f t="array" ref="X125">INT(SUMPRODUCT(--ISNUMBER(SEARCH(voting,C125)))&gt;0)</f>
        <v>0</v>
      </c>
      <c r="Y125" s="35" cm="1">
        <f t="array" ref="Y125">INT(SUMPRODUCT(--ISNUMBER(SEARCH(republicantrigger,C125)))&gt;0)</f>
        <v>0</v>
      </c>
      <c r="Z125" s="35" cm="1">
        <f t="array" ref="Z125">INT(SUMPRODUCT(--ISNUMBER(SEARCH(bipartisan,C125)))&gt;0)</f>
        <v>0</v>
      </c>
      <c r="AA125" s="35">
        <f t="shared" si="1"/>
        <v>0</v>
      </c>
      <c r="AB125" s="14"/>
      <c r="AC125" s="30" t="s">
        <v>223</v>
      </c>
      <c r="AD125" s="37" t="s">
        <v>223</v>
      </c>
    </row>
    <row r="126" spans="1:30" x14ac:dyDescent="0.25">
      <c r="A126" s="36">
        <v>2632</v>
      </c>
      <c r="B126" s="14" t="s">
        <v>5289</v>
      </c>
      <c r="C126" s="14" t="s">
        <v>5290</v>
      </c>
      <c r="D126" s="17">
        <v>44127</v>
      </c>
      <c r="E126" s="14" t="s">
        <v>30</v>
      </c>
      <c r="F126" s="14">
        <v>376</v>
      </c>
      <c r="G126" s="14">
        <v>121</v>
      </c>
      <c r="H126" s="14">
        <v>12</v>
      </c>
      <c r="I126" s="14">
        <v>6</v>
      </c>
      <c r="J126" s="14" t="s">
        <v>31</v>
      </c>
      <c r="K126" s="14" cm="1">
        <f t="array" ref="K126">INT(SUMPRODUCT(--ISNUMBER(SEARCH(economy,C126)))&gt;0)</f>
        <v>0</v>
      </c>
      <c r="L126" s="14" cm="1">
        <f t="array" ref="L126">INT(SUMPRODUCT(--ISNUMBER(SEARCH(healthcare,C126)))&gt;0)</f>
        <v>0</v>
      </c>
      <c r="M126" s="14" cm="1">
        <f t="array" ref="M126">INT(SUMPRODUCT(--ISNUMBER(SEARCH(supreme,C126)))&gt;0)</f>
        <v>0</v>
      </c>
      <c r="N126" s="14" cm="1">
        <f t="array" ref="N126">INT(SUMPRODUCT(--ISNUMBER(SEARCH(covid,C126)))&gt;0)</f>
        <v>0</v>
      </c>
      <c r="O126" s="14" cm="1">
        <f t="array" ref="O126">INT(SUMPRODUCT(--ISNUMBER(SEARCH(violent,C126)))&gt;0)</f>
        <v>0</v>
      </c>
      <c r="P126" s="14" cm="1">
        <f t="array" ref="P126">INT(SUMPRODUCT(--ISNUMBER(SEARCH(foreign,C126)))&gt;0)</f>
        <v>0</v>
      </c>
      <c r="Q126" s="14" cm="1">
        <f t="array" ref="Q126">INT(SUMPRODUCT(--ISNUMBER(SEARCH(gun,C126)))&gt;0)</f>
        <v>0</v>
      </c>
      <c r="R126" s="14" cm="1">
        <f t="array" ref="R126">INT(SUMPRODUCT(--ISNUMBER(SEARCH(race,C126)))&gt;0)</f>
        <v>0</v>
      </c>
      <c r="S126" s="14" cm="1">
        <f t="array" ref="S126">INT(SUMPRODUCT(--ISNUMBER(SEARCH(immigration,C126)))&gt;0)</f>
        <v>0</v>
      </c>
      <c r="T126" s="14" cm="1">
        <f t="array" ref="T126">INT(SUMPRODUCT(--ISNUMBER(SEARCH(econineq,C127)))&gt;0)</f>
        <v>0</v>
      </c>
      <c r="U126" s="14" cm="1">
        <f t="array" ref="U126">INT(SUMPRODUCT(--ISNUMBER(SEARCH(climate,C126)))&gt;0)</f>
        <v>0</v>
      </c>
      <c r="V126" s="14" cm="1">
        <f t="array" ref="V126">INT(SUMPRODUCT(--ISNUMBER(SEARCH(abortion,C126)))&gt;0)</f>
        <v>0</v>
      </c>
      <c r="W126" s="14" cm="1">
        <f t="array" ref="W126">INT(SUMPRODUCT(--ISNUMBER(SEARCH(trump,C126)))&gt;0)</f>
        <v>0</v>
      </c>
      <c r="X126" s="14" cm="1">
        <f t="array" ref="X126">INT(SUMPRODUCT(--ISNUMBER(SEARCH(voting,C126)))&gt;0)</f>
        <v>1</v>
      </c>
      <c r="Y126" s="35" cm="1">
        <f t="array" ref="Y126">INT(SUMPRODUCT(--ISNUMBER(SEARCH(republicantrigger,C126)))&gt;0)</f>
        <v>0</v>
      </c>
      <c r="Z126" s="35" cm="1">
        <f t="array" ref="Z126">INT(SUMPRODUCT(--ISNUMBER(SEARCH(bipartisan,C126)))&gt;0)</f>
        <v>0</v>
      </c>
      <c r="AA126" s="35">
        <f t="shared" si="1"/>
        <v>0</v>
      </c>
      <c r="AB126" s="14"/>
      <c r="AC126" s="30">
        <v>0</v>
      </c>
      <c r="AD126" s="37">
        <v>1</v>
      </c>
    </row>
    <row r="127" spans="1:30" x14ac:dyDescent="0.25">
      <c r="A127" s="36">
        <v>2633</v>
      </c>
      <c r="B127" s="14" t="s">
        <v>5291</v>
      </c>
      <c r="C127" s="14" t="s">
        <v>5292</v>
      </c>
      <c r="D127" s="17">
        <v>44126</v>
      </c>
      <c r="E127" s="14" t="s">
        <v>30</v>
      </c>
      <c r="F127" s="14">
        <v>97</v>
      </c>
      <c r="G127" s="14">
        <v>10</v>
      </c>
      <c r="H127" s="14">
        <v>12</v>
      </c>
      <c r="I127" s="14">
        <v>6</v>
      </c>
      <c r="J127" s="14" t="s">
        <v>31</v>
      </c>
      <c r="K127" s="14" cm="1">
        <f t="array" ref="K127">INT(SUMPRODUCT(--ISNUMBER(SEARCH(economy,C127)))&gt;0)</f>
        <v>0</v>
      </c>
      <c r="L127" s="14" cm="1">
        <f t="array" ref="L127">INT(SUMPRODUCT(--ISNUMBER(SEARCH(healthcare,C127)))&gt;0)</f>
        <v>0</v>
      </c>
      <c r="M127" s="14" cm="1">
        <f t="array" ref="M127">INT(SUMPRODUCT(--ISNUMBER(SEARCH(supreme,C127)))&gt;0)</f>
        <v>0</v>
      </c>
      <c r="N127" s="14" cm="1">
        <f t="array" ref="N127">INT(SUMPRODUCT(--ISNUMBER(SEARCH(covid,C127)))&gt;0)</f>
        <v>0</v>
      </c>
      <c r="O127" s="14" cm="1">
        <f t="array" ref="O127">INT(SUMPRODUCT(--ISNUMBER(SEARCH(violent,C127)))&gt;0)</f>
        <v>0</v>
      </c>
      <c r="P127" s="14" cm="1">
        <f t="array" ref="P127">INT(SUMPRODUCT(--ISNUMBER(SEARCH(foreign,C127)))&gt;0)</f>
        <v>0</v>
      </c>
      <c r="Q127" s="14" cm="1">
        <f t="array" ref="Q127">INT(SUMPRODUCT(--ISNUMBER(SEARCH(gun,C127)))&gt;0)</f>
        <v>0</v>
      </c>
      <c r="R127" s="14" cm="1">
        <f t="array" ref="R127">INT(SUMPRODUCT(--ISNUMBER(SEARCH(race,C127)))&gt;0)</f>
        <v>0</v>
      </c>
      <c r="S127" s="14" cm="1">
        <f t="array" ref="S127">INT(SUMPRODUCT(--ISNUMBER(SEARCH(immigration,C127)))&gt;0)</f>
        <v>0</v>
      </c>
      <c r="T127" s="14" cm="1">
        <f t="array" ref="T127">INT(SUMPRODUCT(--ISNUMBER(SEARCH(econineq,C128)))&gt;0)</f>
        <v>0</v>
      </c>
      <c r="U127" s="14" cm="1">
        <f t="array" ref="U127">INT(SUMPRODUCT(--ISNUMBER(SEARCH(climate,C127)))&gt;0)</f>
        <v>0</v>
      </c>
      <c r="V127" s="14" cm="1">
        <f t="array" ref="V127">INT(SUMPRODUCT(--ISNUMBER(SEARCH(abortion,C127)))&gt;0)</f>
        <v>0</v>
      </c>
      <c r="W127" s="14" cm="1">
        <f t="array" ref="W127">INT(SUMPRODUCT(--ISNUMBER(SEARCH(trump,C127)))&gt;0)</f>
        <v>0</v>
      </c>
      <c r="X127" s="14" cm="1">
        <f t="array" ref="X127">INT(SUMPRODUCT(--ISNUMBER(SEARCH(voting,C127)))&gt;0)</f>
        <v>0</v>
      </c>
      <c r="Y127" s="35" cm="1">
        <f t="array" ref="Y127">INT(SUMPRODUCT(--ISNUMBER(SEARCH(republicantrigger,C127)))&gt;0)</f>
        <v>0</v>
      </c>
      <c r="Z127" s="35" cm="1">
        <f t="array" ref="Z127">INT(SUMPRODUCT(--ISNUMBER(SEARCH(bipartisan,C127)))&gt;0)</f>
        <v>0</v>
      </c>
      <c r="AA127" s="35">
        <f t="shared" si="1"/>
        <v>1</v>
      </c>
      <c r="AB127" s="14"/>
      <c r="AC127" s="30">
        <v>1</v>
      </c>
      <c r="AD127" s="37">
        <v>0</v>
      </c>
    </row>
    <row r="128" spans="1:30" x14ac:dyDescent="0.25">
      <c r="A128" s="36">
        <v>2634</v>
      </c>
      <c r="B128" s="14" t="s">
        <v>5293</v>
      </c>
      <c r="C128" s="14" t="s">
        <v>5294</v>
      </c>
      <c r="D128" s="17">
        <v>44126</v>
      </c>
      <c r="E128" s="14" t="s">
        <v>30</v>
      </c>
      <c r="F128" s="14">
        <v>100</v>
      </c>
      <c r="G128" s="14">
        <v>22</v>
      </c>
      <c r="H128" s="14">
        <v>12</v>
      </c>
      <c r="I128" s="14">
        <v>6</v>
      </c>
      <c r="J128" s="14" t="s">
        <v>31</v>
      </c>
      <c r="K128" s="14" cm="1">
        <f t="array" ref="K128">INT(SUMPRODUCT(--ISNUMBER(SEARCH(economy,C128)))&gt;0)</f>
        <v>0</v>
      </c>
      <c r="L128" s="14" cm="1">
        <f t="array" ref="L128">INT(SUMPRODUCT(--ISNUMBER(SEARCH(healthcare,C128)))&gt;0)</f>
        <v>0</v>
      </c>
      <c r="M128" s="14" cm="1">
        <f t="array" ref="M128">INT(SUMPRODUCT(--ISNUMBER(SEARCH(supreme,C128)))&gt;0)</f>
        <v>0</v>
      </c>
      <c r="N128" s="14" cm="1">
        <f t="array" ref="N128">INT(SUMPRODUCT(--ISNUMBER(SEARCH(covid,C128)))&gt;0)</f>
        <v>0</v>
      </c>
      <c r="O128" s="14" cm="1">
        <f t="array" ref="O128">INT(SUMPRODUCT(--ISNUMBER(SEARCH(violent,C128)))&gt;0)</f>
        <v>0</v>
      </c>
      <c r="P128" s="14" cm="1">
        <f t="array" ref="P128">INT(SUMPRODUCT(--ISNUMBER(SEARCH(foreign,C128)))&gt;0)</f>
        <v>0</v>
      </c>
      <c r="Q128" s="14" cm="1">
        <f t="array" ref="Q128">INT(SUMPRODUCT(--ISNUMBER(SEARCH(gun,C128)))&gt;0)</f>
        <v>0</v>
      </c>
      <c r="R128" s="14" cm="1">
        <f t="array" ref="R128">INT(SUMPRODUCT(--ISNUMBER(SEARCH(race,C128)))&gt;0)</f>
        <v>0</v>
      </c>
      <c r="S128" s="14" cm="1">
        <f t="array" ref="S128">INT(SUMPRODUCT(--ISNUMBER(SEARCH(immigration,C128)))&gt;0)</f>
        <v>0</v>
      </c>
      <c r="T128" s="14" cm="1">
        <f t="array" ref="T128">INT(SUMPRODUCT(--ISNUMBER(SEARCH(econineq,C129)))&gt;0)</f>
        <v>0</v>
      </c>
      <c r="U128" s="14" cm="1">
        <f t="array" ref="U128">INT(SUMPRODUCT(--ISNUMBER(SEARCH(climate,C128)))&gt;0)</f>
        <v>0</v>
      </c>
      <c r="V128" s="14" cm="1">
        <f t="array" ref="V128">INT(SUMPRODUCT(--ISNUMBER(SEARCH(abortion,C128)))&gt;0)</f>
        <v>0</v>
      </c>
      <c r="W128" s="14" cm="1">
        <f t="array" ref="W128">INT(SUMPRODUCT(--ISNUMBER(SEARCH(trump,C128)))&gt;0)</f>
        <v>0</v>
      </c>
      <c r="X128" s="14" cm="1">
        <f t="array" ref="X128">INT(SUMPRODUCT(--ISNUMBER(SEARCH(voting,C128)))&gt;0)</f>
        <v>0</v>
      </c>
      <c r="Y128" s="35" cm="1">
        <f t="array" ref="Y128">INT(SUMPRODUCT(--ISNUMBER(SEARCH(republicantrigger,C128)))&gt;0)</f>
        <v>1</v>
      </c>
      <c r="Z128" s="35" cm="1">
        <f t="array" ref="Z128">INT(SUMPRODUCT(--ISNUMBER(SEARCH(bipartisan,C128)))&gt;0)</f>
        <v>0</v>
      </c>
      <c r="AA128" s="35">
        <f t="shared" si="1"/>
        <v>0</v>
      </c>
      <c r="AB128" s="14"/>
      <c r="AC128" s="30" t="s">
        <v>223</v>
      </c>
      <c r="AD128" s="37" t="s">
        <v>223</v>
      </c>
    </row>
    <row r="129" spans="1:30" x14ac:dyDescent="0.25">
      <c r="A129" s="36">
        <v>2635</v>
      </c>
      <c r="B129" s="14" t="s">
        <v>5295</v>
      </c>
      <c r="C129" s="14" t="s">
        <v>5296</v>
      </c>
      <c r="D129" s="17">
        <v>44126</v>
      </c>
      <c r="E129" s="14" t="s">
        <v>30</v>
      </c>
      <c r="F129" s="14">
        <v>78</v>
      </c>
      <c r="G129" s="14">
        <v>15</v>
      </c>
      <c r="H129" s="14">
        <v>12</v>
      </c>
      <c r="I129" s="14">
        <v>6</v>
      </c>
      <c r="J129" s="14" t="s">
        <v>31</v>
      </c>
      <c r="K129" s="14" cm="1">
        <f t="array" ref="K129">INT(SUMPRODUCT(--ISNUMBER(SEARCH(economy,C129)))&gt;0)</f>
        <v>0</v>
      </c>
      <c r="L129" s="14" cm="1">
        <f t="array" ref="L129">INT(SUMPRODUCT(--ISNUMBER(SEARCH(healthcare,C129)))&gt;0)</f>
        <v>0</v>
      </c>
      <c r="M129" s="14" cm="1">
        <f t="array" ref="M129">INT(SUMPRODUCT(--ISNUMBER(SEARCH(supreme,C129)))&gt;0)</f>
        <v>0</v>
      </c>
      <c r="N129" s="14" cm="1">
        <f t="array" ref="N129">INT(SUMPRODUCT(--ISNUMBER(SEARCH(covid,C129)))&gt;0)</f>
        <v>0</v>
      </c>
      <c r="O129" s="14" cm="1">
        <f t="array" ref="O129">INT(SUMPRODUCT(--ISNUMBER(SEARCH(violent,C129)))&gt;0)</f>
        <v>1</v>
      </c>
      <c r="P129" s="14" cm="1">
        <f t="array" ref="P129">INT(SUMPRODUCT(--ISNUMBER(SEARCH(foreign,C129)))&gt;0)</f>
        <v>0</v>
      </c>
      <c r="Q129" s="14" cm="1">
        <f t="array" ref="Q129">INT(SUMPRODUCT(--ISNUMBER(SEARCH(gun,C129)))&gt;0)</f>
        <v>1</v>
      </c>
      <c r="R129" s="14" cm="1">
        <f t="array" ref="R129">INT(SUMPRODUCT(--ISNUMBER(SEARCH(race,C129)))&gt;0)</f>
        <v>0</v>
      </c>
      <c r="S129" s="14" cm="1">
        <f t="array" ref="S129">INT(SUMPRODUCT(--ISNUMBER(SEARCH(immigration,C129)))&gt;0)</f>
        <v>0</v>
      </c>
      <c r="T129" s="14" cm="1">
        <f t="array" ref="T129">INT(SUMPRODUCT(--ISNUMBER(SEARCH(econineq,C130)))&gt;0)</f>
        <v>0</v>
      </c>
      <c r="U129" s="14" cm="1">
        <f t="array" ref="U129">INT(SUMPRODUCT(--ISNUMBER(SEARCH(climate,C129)))&gt;0)</f>
        <v>0</v>
      </c>
      <c r="V129" s="14" cm="1">
        <f t="array" ref="V129">INT(SUMPRODUCT(--ISNUMBER(SEARCH(abortion,C129)))&gt;0)</f>
        <v>0</v>
      </c>
      <c r="W129" s="14" cm="1">
        <f t="array" ref="W129">INT(SUMPRODUCT(--ISNUMBER(SEARCH(trump,C129)))&gt;0)</f>
        <v>0</v>
      </c>
      <c r="X129" s="14" cm="1">
        <f t="array" ref="X129">INT(SUMPRODUCT(--ISNUMBER(SEARCH(voting,C129)))&gt;0)</f>
        <v>0</v>
      </c>
      <c r="Y129" s="35" cm="1">
        <f t="array" ref="Y129">INT(SUMPRODUCT(--ISNUMBER(SEARCH(republicantrigger,C129)))&gt;0)</f>
        <v>1</v>
      </c>
      <c r="Z129" s="35" cm="1">
        <f t="array" ref="Z129">INT(SUMPRODUCT(--ISNUMBER(SEARCH(bipartisan,C129)))&gt;0)</f>
        <v>0</v>
      </c>
      <c r="AA129" s="35">
        <f t="shared" si="1"/>
        <v>0</v>
      </c>
      <c r="AB129" s="14"/>
      <c r="AC129" s="30">
        <v>1</v>
      </c>
      <c r="AD129" s="37">
        <v>0</v>
      </c>
    </row>
    <row r="130" spans="1:30" x14ac:dyDescent="0.25">
      <c r="A130" s="36">
        <v>2636</v>
      </c>
      <c r="B130" s="14" t="s">
        <v>5297</v>
      </c>
      <c r="C130" s="14" t="s">
        <v>5298</v>
      </c>
      <c r="D130" s="17">
        <v>44126</v>
      </c>
      <c r="E130" s="14" t="s">
        <v>30</v>
      </c>
      <c r="F130" s="14">
        <v>523</v>
      </c>
      <c r="G130" s="14">
        <v>143</v>
      </c>
      <c r="H130" s="14">
        <v>12</v>
      </c>
      <c r="I130" s="14">
        <v>6</v>
      </c>
      <c r="J130" s="14" t="s">
        <v>31</v>
      </c>
      <c r="K130" s="14" cm="1">
        <f t="array" ref="K130">INT(SUMPRODUCT(--ISNUMBER(SEARCH(economy,C130)))&gt;0)</f>
        <v>0</v>
      </c>
      <c r="L130" s="14" cm="1">
        <f t="array" ref="L130">INT(SUMPRODUCT(--ISNUMBER(SEARCH(healthcare,C130)))&gt;0)</f>
        <v>0</v>
      </c>
      <c r="M130" s="14" cm="1">
        <f t="array" ref="M130">INT(SUMPRODUCT(--ISNUMBER(SEARCH(supreme,C130)))&gt;0)</f>
        <v>0</v>
      </c>
      <c r="N130" s="14" cm="1">
        <f t="array" ref="N130">INT(SUMPRODUCT(--ISNUMBER(SEARCH(covid,C130)))&gt;0)</f>
        <v>0</v>
      </c>
      <c r="O130" s="14" cm="1">
        <f t="array" ref="O130">INT(SUMPRODUCT(--ISNUMBER(SEARCH(violent,C130)))&gt;0)</f>
        <v>0</v>
      </c>
      <c r="P130" s="14" cm="1">
        <f t="array" ref="P130">INT(SUMPRODUCT(--ISNUMBER(SEARCH(foreign,C130)))&gt;0)</f>
        <v>0</v>
      </c>
      <c r="Q130" s="14" cm="1">
        <f t="array" ref="Q130">INT(SUMPRODUCT(--ISNUMBER(SEARCH(gun,C130)))&gt;0)</f>
        <v>0</v>
      </c>
      <c r="R130" s="14" cm="1">
        <f t="array" ref="R130">INT(SUMPRODUCT(--ISNUMBER(SEARCH(race,C130)))&gt;0)</f>
        <v>0</v>
      </c>
      <c r="S130" s="14" cm="1">
        <f t="array" ref="S130">INT(SUMPRODUCT(--ISNUMBER(SEARCH(immigration,C130)))&gt;0)</f>
        <v>0</v>
      </c>
      <c r="T130" s="14" cm="1">
        <f t="array" ref="T130">INT(SUMPRODUCT(--ISNUMBER(SEARCH(econineq,C131)))&gt;0)</f>
        <v>0</v>
      </c>
      <c r="U130" s="14" cm="1">
        <f t="array" ref="U130">INT(SUMPRODUCT(--ISNUMBER(SEARCH(climate,C130)))&gt;0)</f>
        <v>0</v>
      </c>
      <c r="V130" s="14" cm="1">
        <f t="array" ref="V130">INT(SUMPRODUCT(--ISNUMBER(SEARCH(abortion,C130)))&gt;0)</f>
        <v>0</v>
      </c>
      <c r="W130" s="14" cm="1">
        <f t="array" ref="W130">INT(SUMPRODUCT(--ISNUMBER(SEARCH(trump,C130)))&gt;0)</f>
        <v>0</v>
      </c>
      <c r="X130" s="14" cm="1">
        <f t="array" ref="X130">INT(SUMPRODUCT(--ISNUMBER(SEARCH(voting,C130)))&gt;0)</f>
        <v>1</v>
      </c>
      <c r="Y130" s="35" cm="1">
        <f t="array" ref="Y130">INT(SUMPRODUCT(--ISNUMBER(SEARCH(republicantrigger,C130)))&gt;0)</f>
        <v>1</v>
      </c>
      <c r="Z130" s="35" cm="1">
        <f t="array" ref="Z130">INT(SUMPRODUCT(--ISNUMBER(SEARCH(bipartisan,C130)))&gt;0)</f>
        <v>0</v>
      </c>
      <c r="AA130" s="35">
        <f t="shared" si="1"/>
        <v>0</v>
      </c>
      <c r="AB130" s="14"/>
      <c r="AC130" s="30" t="s">
        <v>223</v>
      </c>
      <c r="AD130" s="37" t="s">
        <v>223</v>
      </c>
    </row>
    <row r="131" spans="1:30" x14ac:dyDescent="0.25">
      <c r="A131" s="36">
        <v>2637</v>
      </c>
      <c r="B131" s="14" t="s">
        <v>5299</v>
      </c>
      <c r="C131" s="14" t="s">
        <v>5300</v>
      </c>
      <c r="D131" s="17">
        <v>44126</v>
      </c>
      <c r="E131" s="14" t="s">
        <v>30</v>
      </c>
      <c r="F131" s="14">
        <v>53</v>
      </c>
      <c r="G131" s="14">
        <v>12</v>
      </c>
      <c r="H131" s="14">
        <v>12</v>
      </c>
      <c r="I131" s="14">
        <v>6</v>
      </c>
      <c r="J131" s="14" t="s">
        <v>31</v>
      </c>
      <c r="K131" s="14" cm="1">
        <f t="array" ref="K131">INT(SUMPRODUCT(--ISNUMBER(SEARCH(economy,C131)))&gt;0)</f>
        <v>0</v>
      </c>
      <c r="L131" s="14" cm="1">
        <f t="array" ref="L131">INT(SUMPRODUCT(--ISNUMBER(SEARCH(healthcare,C131)))&gt;0)</f>
        <v>0</v>
      </c>
      <c r="M131" s="14" cm="1">
        <f t="array" ref="M131">INT(SUMPRODUCT(--ISNUMBER(SEARCH(supreme,C131)))&gt;0)</f>
        <v>0</v>
      </c>
      <c r="N131" s="14" cm="1">
        <f t="array" ref="N131">INT(SUMPRODUCT(--ISNUMBER(SEARCH(covid,C131)))&gt;0)</f>
        <v>0</v>
      </c>
      <c r="O131" s="14" cm="1">
        <f t="array" ref="O131">INT(SUMPRODUCT(--ISNUMBER(SEARCH(violent,C131)))&gt;0)</f>
        <v>0</v>
      </c>
      <c r="P131" s="14" cm="1">
        <f t="array" ref="P131">INT(SUMPRODUCT(--ISNUMBER(SEARCH(foreign,C131)))&gt;0)</f>
        <v>0</v>
      </c>
      <c r="Q131" s="14" cm="1">
        <f t="array" ref="Q131">INT(SUMPRODUCT(--ISNUMBER(SEARCH(gun,C131)))&gt;0)</f>
        <v>0</v>
      </c>
      <c r="R131" s="14" cm="1">
        <f t="array" ref="R131">INT(SUMPRODUCT(--ISNUMBER(SEARCH(race,C131)))&gt;0)</f>
        <v>0</v>
      </c>
      <c r="S131" s="14" cm="1">
        <f t="array" ref="S131">INT(SUMPRODUCT(--ISNUMBER(SEARCH(immigration,C131)))&gt;0)</f>
        <v>0</v>
      </c>
      <c r="T131" s="14" cm="1">
        <f t="array" ref="T131">INT(SUMPRODUCT(--ISNUMBER(SEARCH(econineq,C132)))&gt;0)</f>
        <v>0</v>
      </c>
      <c r="U131" s="14" cm="1">
        <f t="array" ref="U131">INT(SUMPRODUCT(--ISNUMBER(SEARCH(climate,C131)))&gt;0)</f>
        <v>0</v>
      </c>
      <c r="V131" s="14" cm="1">
        <f t="array" ref="V131">INT(SUMPRODUCT(--ISNUMBER(SEARCH(abortion,C131)))&gt;0)</f>
        <v>0</v>
      </c>
      <c r="W131" s="14" cm="1">
        <f t="array" ref="W131">INT(SUMPRODUCT(--ISNUMBER(SEARCH(trump,C131)))&gt;0)</f>
        <v>1</v>
      </c>
      <c r="X131" s="14" cm="1">
        <f t="array" ref="X131">INT(SUMPRODUCT(--ISNUMBER(SEARCH(voting,C131)))&gt;0)</f>
        <v>0</v>
      </c>
      <c r="Y131" s="35" cm="1">
        <f t="array" ref="Y131">INT(SUMPRODUCT(--ISNUMBER(SEARCH(republicantrigger,C131)))&gt;0)</f>
        <v>0</v>
      </c>
      <c r="Z131" s="35" cm="1">
        <f t="array" ref="Z131">INT(SUMPRODUCT(--ISNUMBER(SEARCH(bipartisan,C131)))&gt;0)</f>
        <v>0</v>
      </c>
      <c r="AA131" s="35">
        <f t="shared" ref="AA131:AA194" si="2">INT(IF(COUNTIF(K131:Z131,1)=0,"1","0"))</f>
        <v>0</v>
      </c>
      <c r="AB131" s="14"/>
      <c r="AC131" s="30" t="s">
        <v>223</v>
      </c>
      <c r="AD131" s="37" t="s">
        <v>223</v>
      </c>
    </row>
    <row r="132" spans="1:30" x14ac:dyDescent="0.25">
      <c r="A132" s="36">
        <v>2638</v>
      </c>
      <c r="B132" s="14" t="s">
        <v>5301</v>
      </c>
      <c r="C132" s="14" t="s">
        <v>5302</v>
      </c>
      <c r="D132" s="17">
        <v>44126</v>
      </c>
      <c r="E132" s="14" t="s">
        <v>30</v>
      </c>
      <c r="F132" s="14">
        <v>99</v>
      </c>
      <c r="G132" s="14">
        <v>40</v>
      </c>
      <c r="H132" s="14">
        <v>12</v>
      </c>
      <c r="I132" s="14">
        <v>6</v>
      </c>
      <c r="J132" s="14" t="s">
        <v>31</v>
      </c>
      <c r="K132" s="14" cm="1">
        <f t="array" ref="K132">INT(SUMPRODUCT(--ISNUMBER(SEARCH(economy,C132)))&gt;0)</f>
        <v>0</v>
      </c>
      <c r="L132" s="14" cm="1">
        <f t="array" ref="L132">INT(SUMPRODUCT(--ISNUMBER(SEARCH(healthcare,C132)))&gt;0)</f>
        <v>0</v>
      </c>
      <c r="M132" s="14" cm="1">
        <f t="array" ref="M132">INT(SUMPRODUCT(--ISNUMBER(SEARCH(supreme,C132)))&gt;0)</f>
        <v>0</v>
      </c>
      <c r="N132" s="14" cm="1">
        <f t="array" ref="N132">INT(SUMPRODUCT(--ISNUMBER(SEARCH(covid,C132)))&gt;0)</f>
        <v>0</v>
      </c>
      <c r="O132" s="14" cm="1">
        <f t="array" ref="O132">INT(SUMPRODUCT(--ISNUMBER(SEARCH(violent,C132)))&gt;0)</f>
        <v>1</v>
      </c>
      <c r="P132" s="14" cm="1">
        <f t="array" ref="P132">INT(SUMPRODUCT(--ISNUMBER(SEARCH(foreign,C132)))&gt;0)</f>
        <v>0</v>
      </c>
      <c r="Q132" s="14" cm="1">
        <f t="array" ref="Q132">INT(SUMPRODUCT(--ISNUMBER(SEARCH(gun,C132)))&gt;0)</f>
        <v>0</v>
      </c>
      <c r="R132" s="14" cm="1">
        <f t="array" ref="R132">INT(SUMPRODUCT(--ISNUMBER(SEARCH(race,C132)))&gt;0)</f>
        <v>0</v>
      </c>
      <c r="S132" s="14" cm="1">
        <f t="array" ref="S132">INT(SUMPRODUCT(--ISNUMBER(SEARCH(immigration,C132)))&gt;0)</f>
        <v>0</v>
      </c>
      <c r="T132" s="14" cm="1">
        <f t="array" ref="T132">INT(SUMPRODUCT(--ISNUMBER(SEARCH(econineq,C133)))&gt;0)</f>
        <v>0</v>
      </c>
      <c r="U132" s="14" cm="1">
        <f t="array" ref="U132">INT(SUMPRODUCT(--ISNUMBER(SEARCH(climate,C132)))&gt;0)</f>
        <v>0</v>
      </c>
      <c r="V132" s="14" cm="1">
        <f t="array" ref="V132">INT(SUMPRODUCT(--ISNUMBER(SEARCH(abortion,C132)))&gt;0)</f>
        <v>0</v>
      </c>
      <c r="W132" s="14" cm="1">
        <f t="array" ref="W132">INT(SUMPRODUCT(--ISNUMBER(SEARCH(trump,C132)))&gt;0)</f>
        <v>0</v>
      </c>
      <c r="X132" s="14" cm="1">
        <f t="array" ref="X132">INT(SUMPRODUCT(--ISNUMBER(SEARCH(voting,C132)))&gt;0)</f>
        <v>1</v>
      </c>
      <c r="Y132" s="35" cm="1">
        <f t="array" ref="Y132">INT(SUMPRODUCT(--ISNUMBER(SEARCH(republicantrigger,C132)))&gt;0)</f>
        <v>1</v>
      </c>
      <c r="Z132" s="35" cm="1">
        <f t="array" ref="Z132">INT(SUMPRODUCT(--ISNUMBER(SEARCH(bipartisan,C132)))&gt;0)</f>
        <v>0</v>
      </c>
      <c r="AA132" s="35">
        <f t="shared" si="2"/>
        <v>0</v>
      </c>
      <c r="AB132" s="14"/>
      <c r="AC132" s="30" t="s">
        <v>223</v>
      </c>
      <c r="AD132" s="37" t="s">
        <v>223</v>
      </c>
    </row>
    <row r="133" spans="1:30" x14ac:dyDescent="0.25">
      <c r="A133" s="36">
        <v>2639</v>
      </c>
      <c r="B133" s="14" t="s">
        <v>5303</v>
      </c>
      <c r="C133" s="14" t="s">
        <v>5304</v>
      </c>
      <c r="D133" s="17">
        <v>44126</v>
      </c>
      <c r="E133" s="14" t="s">
        <v>30</v>
      </c>
      <c r="F133" s="14">
        <v>456</v>
      </c>
      <c r="G133" s="14">
        <v>138</v>
      </c>
      <c r="H133" s="14">
        <v>12</v>
      </c>
      <c r="I133" s="14">
        <v>6</v>
      </c>
      <c r="J133" s="14" t="s">
        <v>31</v>
      </c>
      <c r="K133" s="14" cm="1">
        <f t="array" ref="K133">INT(SUMPRODUCT(--ISNUMBER(SEARCH(economy,C133)))&gt;0)</f>
        <v>0</v>
      </c>
      <c r="L133" s="14" cm="1">
        <f t="array" ref="L133">INT(SUMPRODUCT(--ISNUMBER(SEARCH(healthcare,C133)))&gt;0)</f>
        <v>0</v>
      </c>
      <c r="M133" s="14" cm="1">
        <f t="array" ref="M133">INT(SUMPRODUCT(--ISNUMBER(SEARCH(supreme,C133)))&gt;0)</f>
        <v>0</v>
      </c>
      <c r="N133" s="14" cm="1">
        <f t="array" ref="N133">INT(SUMPRODUCT(--ISNUMBER(SEARCH(covid,C133)))&gt;0)</f>
        <v>0</v>
      </c>
      <c r="O133" s="14" cm="1">
        <f t="array" ref="O133">INT(SUMPRODUCT(--ISNUMBER(SEARCH(violent,C133)))&gt;0)</f>
        <v>0</v>
      </c>
      <c r="P133" s="14" cm="1">
        <f t="array" ref="P133">INT(SUMPRODUCT(--ISNUMBER(SEARCH(foreign,C133)))&gt;0)</f>
        <v>0</v>
      </c>
      <c r="Q133" s="14" cm="1">
        <f t="array" ref="Q133">INT(SUMPRODUCT(--ISNUMBER(SEARCH(gun,C133)))&gt;0)</f>
        <v>0</v>
      </c>
      <c r="R133" s="14" cm="1">
        <f t="array" ref="R133">INT(SUMPRODUCT(--ISNUMBER(SEARCH(race,C133)))&gt;0)</f>
        <v>0</v>
      </c>
      <c r="S133" s="14" cm="1">
        <f t="array" ref="S133">INT(SUMPRODUCT(--ISNUMBER(SEARCH(immigration,C133)))&gt;0)</f>
        <v>0</v>
      </c>
      <c r="T133" s="14" cm="1">
        <f t="array" ref="T133">INT(SUMPRODUCT(--ISNUMBER(SEARCH(econineq,C134)))&gt;0)</f>
        <v>0</v>
      </c>
      <c r="U133" s="14" cm="1">
        <f t="array" ref="U133">INT(SUMPRODUCT(--ISNUMBER(SEARCH(climate,C133)))&gt;0)</f>
        <v>0</v>
      </c>
      <c r="V133" s="14" cm="1">
        <f t="array" ref="V133">INT(SUMPRODUCT(--ISNUMBER(SEARCH(abortion,C133)))&gt;0)</f>
        <v>0</v>
      </c>
      <c r="W133" s="14" cm="1">
        <f t="array" ref="W133">INT(SUMPRODUCT(--ISNUMBER(SEARCH(trump,C133)))&gt;0)</f>
        <v>0</v>
      </c>
      <c r="X133" s="14" cm="1">
        <f t="array" ref="X133">INT(SUMPRODUCT(--ISNUMBER(SEARCH(voting,C133)))&gt;0)</f>
        <v>1</v>
      </c>
      <c r="Y133" s="35" cm="1">
        <f t="array" ref="Y133">INT(SUMPRODUCT(--ISNUMBER(SEARCH(republicantrigger,C133)))&gt;0)</f>
        <v>1</v>
      </c>
      <c r="Z133" s="35" cm="1">
        <f t="array" ref="Z133">INT(SUMPRODUCT(--ISNUMBER(SEARCH(bipartisan,C133)))&gt;0)</f>
        <v>0</v>
      </c>
      <c r="AA133" s="35">
        <f t="shared" si="2"/>
        <v>0</v>
      </c>
      <c r="AB133" s="14"/>
      <c r="AC133" s="30" t="s">
        <v>223</v>
      </c>
      <c r="AD133" s="37" t="s">
        <v>223</v>
      </c>
    </row>
    <row r="134" spans="1:30" x14ac:dyDescent="0.25">
      <c r="A134" s="36">
        <v>2640</v>
      </c>
      <c r="B134" s="14" t="s">
        <v>5305</v>
      </c>
      <c r="C134" s="14" t="s">
        <v>5306</v>
      </c>
      <c r="D134" s="17">
        <v>44126</v>
      </c>
      <c r="E134" s="14" t="s">
        <v>30</v>
      </c>
      <c r="F134" s="14">
        <v>123</v>
      </c>
      <c r="G134" s="14">
        <v>29</v>
      </c>
      <c r="H134" s="14">
        <v>12</v>
      </c>
      <c r="I134" s="14">
        <v>6</v>
      </c>
      <c r="J134" s="14" t="s">
        <v>31</v>
      </c>
      <c r="K134" s="14" cm="1">
        <f t="array" ref="K134">INT(SUMPRODUCT(--ISNUMBER(SEARCH(economy,C134)))&gt;0)</f>
        <v>0</v>
      </c>
      <c r="L134" s="14" cm="1">
        <f t="array" ref="L134">INT(SUMPRODUCT(--ISNUMBER(SEARCH(healthcare,C134)))&gt;0)</f>
        <v>0</v>
      </c>
      <c r="M134" s="14" cm="1">
        <f t="array" ref="M134">INT(SUMPRODUCT(--ISNUMBER(SEARCH(supreme,C134)))&gt;0)</f>
        <v>0</v>
      </c>
      <c r="N134" s="14" cm="1">
        <f t="array" ref="N134">INT(SUMPRODUCT(--ISNUMBER(SEARCH(covid,C134)))&gt;0)</f>
        <v>0</v>
      </c>
      <c r="O134" s="14" cm="1">
        <f t="array" ref="O134">INT(SUMPRODUCT(--ISNUMBER(SEARCH(violent,C134)))&gt;0)</f>
        <v>0</v>
      </c>
      <c r="P134" s="14" cm="1">
        <f t="array" ref="P134">INT(SUMPRODUCT(--ISNUMBER(SEARCH(foreign,C134)))&gt;0)</f>
        <v>0</v>
      </c>
      <c r="Q134" s="14" cm="1">
        <f t="array" ref="Q134">INT(SUMPRODUCT(--ISNUMBER(SEARCH(gun,C134)))&gt;0)</f>
        <v>0</v>
      </c>
      <c r="R134" s="14" cm="1">
        <f t="array" ref="R134">INT(SUMPRODUCT(--ISNUMBER(SEARCH(race,C134)))&gt;0)</f>
        <v>0</v>
      </c>
      <c r="S134" s="14" cm="1">
        <f t="array" ref="S134">INT(SUMPRODUCT(--ISNUMBER(SEARCH(immigration,C134)))&gt;0)</f>
        <v>0</v>
      </c>
      <c r="T134" s="14" cm="1">
        <f t="array" ref="T134">INT(SUMPRODUCT(--ISNUMBER(SEARCH(econineq,C135)))&gt;0)</f>
        <v>0</v>
      </c>
      <c r="U134" s="14" cm="1">
        <f t="array" ref="U134">INT(SUMPRODUCT(--ISNUMBER(SEARCH(climate,C134)))&gt;0)</f>
        <v>0</v>
      </c>
      <c r="V134" s="14" cm="1">
        <f t="array" ref="V134">INT(SUMPRODUCT(--ISNUMBER(SEARCH(abortion,C134)))&gt;0)</f>
        <v>0</v>
      </c>
      <c r="W134" s="14" cm="1">
        <f t="array" ref="W134">INT(SUMPRODUCT(--ISNUMBER(SEARCH(trump,C134)))&gt;0)</f>
        <v>0</v>
      </c>
      <c r="X134" s="14" cm="1">
        <f t="array" ref="X134">INT(SUMPRODUCT(--ISNUMBER(SEARCH(voting,C134)))&gt;0)</f>
        <v>1</v>
      </c>
      <c r="Y134" s="35" cm="1">
        <f t="array" ref="Y134">INT(SUMPRODUCT(--ISNUMBER(SEARCH(republicantrigger,C134)))&gt;0)</f>
        <v>0</v>
      </c>
      <c r="Z134" s="35" cm="1">
        <f t="array" ref="Z134">INT(SUMPRODUCT(--ISNUMBER(SEARCH(bipartisan,C134)))&gt;0)</f>
        <v>0</v>
      </c>
      <c r="AA134" s="35">
        <f t="shared" si="2"/>
        <v>0</v>
      </c>
      <c r="AB134" s="14"/>
      <c r="AC134" s="30" t="s">
        <v>223</v>
      </c>
      <c r="AD134" s="37" t="s">
        <v>223</v>
      </c>
    </row>
    <row r="135" spans="1:30" x14ac:dyDescent="0.25">
      <c r="A135" s="36">
        <v>2641</v>
      </c>
      <c r="B135" s="14" t="s">
        <v>5307</v>
      </c>
      <c r="C135" s="14" t="s">
        <v>5308</v>
      </c>
      <c r="D135" s="17">
        <v>44126</v>
      </c>
      <c r="E135" s="14" t="s">
        <v>30</v>
      </c>
      <c r="F135" s="14">
        <v>138</v>
      </c>
      <c r="G135" s="14">
        <v>51</v>
      </c>
      <c r="H135" s="14">
        <v>12</v>
      </c>
      <c r="I135" s="14">
        <v>6</v>
      </c>
      <c r="J135" s="14" t="s">
        <v>31</v>
      </c>
      <c r="K135" s="14" cm="1">
        <f t="array" ref="K135">INT(SUMPRODUCT(--ISNUMBER(SEARCH(economy,C135)))&gt;0)</f>
        <v>0</v>
      </c>
      <c r="L135" s="14" cm="1">
        <f t="array" ref="L135">INT(SUMPRODUCT(--ISNUMBER(SEARCH(healthcare,C135)))&gt;0)</f>
        <v>0</v>
      </c>
      <c r="M135" s="14" cm="1">
        <f t="array" ref="M135">INT(SUMPRODUCT(--ISNUMBER(SEARCH(supreme,C135)))&gt;0)</f>
        <v>0</v>
      </c>
      <c r="N135" s="14" cm="1">
        <f t="array" ref="N135">INT(SUMPRODUCT(--ISNUMBER(SEARCH(covid,C135)))&gt;0)</f>
        <v>0</v>
      </c>
      <c r="O135" s="14" cm="1">
        <f t="array" ref="O135">INT(SUMPRODUCT(--ISNUMBER(SEARCH(violent,C135)))&gt;0)</f>
        <v>0</v>
      </c>
      <c r="P135" s="14" cm="1">
        <f t="array" ref="P135">INT(SUMPRODUCT(--ISNUMBER(SEARCH(foreign,C135)))&gt;0)</f>
        <v>0</v>
      </c>
      <c r="Q135" s="14" cm="1">
        <f t="array" ref="Q135">INT(SUMPRODUCT(--ISNUMBER(SEARCH(gun,C135)))&gt;0)</f>
        <v>0</v>
      </c>
      <c r="R135" s="14" cm="1">
        <f t="array" ref="R135">INT(SUMPRODUCT(--ISNUMBER(SEARCH(race,C135)))&gt;0)</f>
        <v>0</v>
      </c>
      <c r="S135" s="14" cm="1">
        <f t="array" ref="S135">INT(SUMPRODUCT(--ISNUMBER(SEARCH(immigration,C135)))&gt;0)</f>
        <v>0</v>
      </c>
      <c r="T135" s="14" cm="1">
        <f t="array" ref="T135">INT(SUMPRODUCT(--ISNUMBER(SEARCH(econineq,C136)))&gt;0)</f>
        <v>0</v>
      </c>
      <c r="U135" s="14" cm="1">
        <f t="array" ref="U135">INT(SUMPRODUCT(--ISNUMBER(SEARCH(climate,C135)))&gt;0)</f>
        <v>0</v>
      </c>
      <c r="V135" s="14" cm="1">
        <f t="array" ref="V135">INT(SUMPRODUCT(--ISNUMBER(SEARCH(abortion,C135)))&gt;0)</f>
        <v>0</v>
      </c>
      <c r="W135" s="14" cm="1">
        <f t="array" ref="W135">INT(SUMPRODUCT(--ISNUMBER(SEARCH(trump,C135)))&gt;0)</f>
        <v>0</v>
      </c>
      <c r="X135" s="14" cm="1">
        <f t="array" ref="X135">INT(SUMPRODUCT(--ISNUMBER(SEARCH(voting,C135)))&gt;0)</f>
        <v>1</v>
      </c>
      <c r="Y135" s="35" cm="1">
        <f t="array" ref="Y135">INT(SUMPRODUCT(--ISNUMBER(SEARCH(republicantrigger,C135)))&gt;0)</f>
        <v>1</v>
      </c>
      <c r="Z135" s="35" cm="1">
        <f t="array" ref="Z135">INT(SUMPRODUCT(--ISNUMBER(SEARCH(bipartisan,C135)))&gt;0)</f>
        <v>0</v>
      </c>
      <c r="AA135" s="35">
        <f t="shared" si="2"/>
        <v>0</v>
      </c>
      <c r="AB135" s="14"/>
      <c r="AC135" s="30" t="s">
        <v>223</v>
      </c>
      <c r="AD135" s="37" t="s">
        <v>223</v>
      </c>
    </row>
    <row r="136" spans="1:30" x14ac:dyDescent="0.25">
      <c r="A136" s="36">
        <v>2642</v>
      </c>
      <c r="B136" s="14" t="s">
        <v>5309</v>
      </c>
      <c r="C136" s="14" t="s">
        <v>5310</v>
      </c>
      <c r="D136" s="17">
        <v>44126</v>
      </c>
      <c r="E136" s="14" t="s">
        <v>30</v>
      </c>
      <c r="F136" s="14">
        <v>1559</v>
      </c>
      <c r="G136" s="14">
        <v>625</v>
      </c>
      <c r="H136" s="14">
        <v>12</v>
      </c>
      <c r="I136" s="14">
        <v>6</v>
      </c>
      <c r="J136" s="14" t="s">
        <v>31</v>
      </c>
      <c r="K136" s="14" cm="1">
        <f t="array" ref="K136">INT(SUMPRODUCT(--ISNUMBER(SEARCH(economy,C136)))&gt;0)</f>
        <v>0</v>
      </c>
      <c r="L136" s="14" cm="1">
        <f t="array" ref="L136">INT(SUMPRODUCT(--ISNUMBER(SEARCH(healthcare,C136)))&gt;0)</f>
        <v>0</v>
      </c>
      <c r="M136" s="14" cm="1">
        <f t="array" ref="M136">INT(SUMPRODUCT(--ISNUMBER(SEARCH(supreme,C136)))&gt;0)</f>
        <v>0</v>
      </c>
      <c r="N136" s="14" cm="1">
        <f t="array" ref="N136">INT(SUMPRODUCT(--ISNUMBER(SEARCH(covid,C136)))&gt;0)</f>
        <v>0</v>
      </c>
      <c r="O136" s="14" cm="1">
        <f t="array" ref="O136">INT(SUMPRODUCT(--ISNUMBER(SEARCH(violent,C136)))&gt;0)</f>
        <v>0</v>
      </c>
      <c r="P136" s="14" cm="1">
        <f t="array" ref="P136">INT(SUMPRODUCT(--ISNUMBER(SEARCH(foreign,C136)))&gt;0)</f>
        <v>0</v>
      </c>
      <c r="Q136" s="14" cm="1">
        <f t="array" ref="Q136">INT(SUMPRODUCT(--ISNUMBER(SEARCH(gun,C136)))&gt;0)</f>
        <v>0</v>
      </c>
      <c r="R136" s="14" cm="1">
        <f t="array" ref="R136">INT(SUMPRODUCT(--ISNUMBER(SEARCH(race,C136)))&gt;0)</f>
        <v>0</v>
      </c>
      <c r="S136" s="14" cm="1">
        <f t="array" ref="S136">INT(SUMPRODUCT(--ISNUMBER(SEARCH(immigration,C136)))&gt;0)</f>
        <v>0</v>
      </c>
      <c r="T136" s="14" cm="1">
        <f t="array" ref="T136">INT(SUMPRODUCT(--ISNUMBER(SEARCH(econineq,C137)))&gt;0)</f>
        <v>0</v>
      </c>
      <c r="U136" s="14" cm="1">
        <f t="array" ref="U136">INT(SUMPRODUCT(--ISNUMBER(SEARCH(climate,C136)))&gt;0)</f>
        <v>0</v>
      </c>
      <c r="V136" s="14" cm="1">
        <f t="array" ref="V136">INT(SUMPRODUCT(--ISNUMBER(SEARCH(abortion,C136)))&gt;0)</f>
        <v>0</v>
      </c>
      <c r="W136" s="14" cm="1">
        <f t="array" ref="W136">INT(SUMPRODUCT(--ISNUMBER(SEARCH(trump,C136)))&gt;0)</f>
        <v>0</v>
      </c>
      <c r="X136" s="14" cm="1">
        <f t="array" ref="X136">INT(SUMPRODUCT(--ISNUMBER(SEARCH(voting,C136)))&gt;0)</f>
        <v>1</v>
      </c>
      <c r="Y136" s="35" cm="1">
        <f t="array" ref="Y136">INT(SUMPRODUCT(--ISNUMBER(SEARCH(republicantrigger,C136)))&gt;0)</f>
        <v>1</v>
      </c>
      <c r="Z136" s="35" cm="1">
        <f t="array" ref="Z136">INT(SUMPRODUCT(--ISNUMBER(SEARCH(bipartisan,C136)))&gt;0)</f>
        <v>0</v>
      </c>
      <c r="AA136" s="35">
        <f t="shared" si="2"/>
        <v>0</v>
      </c>
      <c r="AB136" s="14"/>
      <c r="AC136" s="30">
        <v>0</v>
      </c>
      <c r="AD136" s="37">
        <v>1</v>
      </c>
    </row>
    <row r="137" spans="1:30" x14ac:dyDescent="0.25">
      <c r="A137" s="36">
        <v>2643</v>
      </c>
      <c r="B137" s="14" t="s">
        <v>5311</v>
      </c>
      <c r="C137" s="14" t="s">
        <v>5312</v>
      </c>
      <c r="D137" s="17">
        <v>44126</v>
      </c>
      <c r="E137" s="14" t="s">
        <v>30</v>
      </c>
      <c r="F137" s="14">
        <v>400</v>
      </c>
      <c r="G137" s="14">
        <v>116</v>
      </c>
      <c r="H137" s="14">
        <v>12</v>
      </c>
      <c r="I137" s="14">
        <v>6</v>
      </c>
      <c r="J137" s="14" t="s">
        <v>31</v>
      </c>
      <c r="K137" s="14" cm="1">
        <f t="array" ref="K137">INT(SUMPRODUCT(--ISNUMBER(SEARCH(economy,C137)))&gt;0)</f>
        <v>0</v>
      </c>
      <c r="L137" s="14" cm="1">
        <f t="array" ref="L137">INT(SUMPRODUCT(--ISNUMBER(SEARCH(healthcare,C137)))&gt;0)</f>
        <v>0</v>
      </c>
      <c r="M137" s="14" cm="1">
        <f t="array" ref="M137">INT(SUMPRODUCT(--ISNUMBER(SEARCH(supreme,C137)))&gt;0)</f>
        <v>0</v>
      </c>
      <c r="N137" s="14" cm="1">
        <f t="array" ref="N137">INT(SUMPRODUCT(--ISNUMBER(SEARCH(covid,C137)))&gt;0)</f>
        <v>0</v>
      </c>
      <c r="O137" s="14" cm="1">
        <f t="array" ref="O137">INT(SUMPRODUCT(--ISNUMBER(SEARCH(violent,C137)))&gt;0)</f>
        <v>0</v>
      </c>
      <c r="P137" s="14" cm="1">
        <f t="array" ref="P137">INT(SUMPRODUCT(--ISNUMBER(SEARCH(foreign,C137)))&gt;0)</f>
        <v>0</v>
      </c>
      <c r="Q137" s="14" cm="1">
        <f t="array" ref="Q137">INT(SUMPRODUCT(--ISNUMBER(SEARCH(gun,C137)))&gt;0)</f>
        <v>0</v>
      </c>
      <c r="R137" s="14" cm="1">
        <f t="array" ref="R137">INT(SUMPRODUCT(--ISNUMBER(SEARCH(race,C137)))&gt;0)</f>
        <v>0</v>
      </c>
      <c r="S137" s="14" cm="1">
        <f t="array" ref="S137">INT(SUMPRODUCT(--ISNUMBER(SEARCH(immigration,C137)))&gt;0)</f>
        <v>0</v>
      </c>
      <c r="T137" s="14" cm="1">
        <f t="array" ref="T137">INT(SUMPRODUCT(--ISNUMBER(SEARCH(econineq,C138)))&gt;0)</f>
        <v>0</v>
      </c>
      <c r="U137" s="14" cm="1">
        <f t="array" ref="U137">INT(SUMPRODUCT(--ISNUMBER(SEARCH(climate,C137)))&gt;0)</f>
        <v>0</v>
      </c>
      <c r="V137" s="14" cm="1">
        <f t="array" ref="V137">INT(SUMPRODUCT(--ISNUMBER(SEARCH(abortion,C137)))&gt;0)</f>
        <v>0</v>
      </c>
      <c r="W137" s="14" cm="1">
        <f t="array" ref="W137">INT(SUMPRODUCT(--ISNUMBER(SEARCH(trump,C137)))&gt;0)</f>
        <v>0</v>
      </c>
      <c r="X137" s="14" cm="1">
        <f t="array" ref="X137">INT(SUMPRODUCT(--ISNUMBER(SEARCH(voting,C137)))&gt;0)</f>
        <v>1</v>
      </c>
      <c r="Y137" s="35" cm="1">
        <f t="array" ref="Y137">INT(SUMPRODUCT(--ISNUMBER(SEARCH(republicantrigger,C137)))&gt;0)</f>
        <v>1</v>
      </c>
      <c r="Z137" s="35" cm="1">
        <f t="array" ref="Z137">INT(SUMPRODUCT(--ISNUMBER(SEARCH(bipartisan,C137)))&gt;0)</f>
        <v>0</v>
      </c>
      <c r="AA137" s="35">
        <f t="shared" si="2"/>
        <v>0</v>
      </c>
      <c r="AB137" s="14"/>
      <c r="AC137" s="30" t="s">
        <v>223</v>
      </c>
      <c r="AD137" s="37" t="s">
        <v>223</v>
      </c>
    </row>
    <row r="138" spans="1:30" x14ac:dyDescent="0.25">
      <c r="A138" s="36">
        <v>2644</v>
      </c>
      <c r="B138" s="14" t="s">
        <v>5313</v>
      </c>
      <c r="C138" s="14" t="s">
        <v>5314</v>
      </c>
      <c r="D138" s="17">
        <v>44126</v>
      </c>
      <c r="E138" s="14" t="s">
        <v>30</v>
      </c>
      <c r="F138" s="14">
        <v>112</v>
      </c>
      <c r="G138" s="14">
        <v>26</v>
      </c>
      <c r="H138" s="14">
        <v>12</v>
      </c>
      <c r="I138" s="14">
        <v>6</v>
      </c>
      <c r="J138" s="14" t="s">
        <v>31</v>
      </c>
      <c r="K138" s="14" cm="1">
        <f t="array" ref="K138">INT(SUMPRODUCT(--ISNUMBER(SEARCH(economy,C138)))&gt;0)</f>
        <v>0</v>
      </c>
      <c r="L138" s="14" cm="1">
        <f t="array" ref="L138">INT(SUMPRODUCT(--ISNUMBER(SEARCH(healthcare,C138)))&gt;0)</f>
        <v>0</v>
      </c>
      <c r="M138" s="14" cm="1">
        <f t="array" ref="M138">INT(SUMPRODUCT(--ISNUMBER(SEARCH(supreme,C138)))&gt;0)</f>
        <v>0</v>
      </c>
      <c r="N138" s="14" cm="1">
        <f t="array" ref="N138">INT(SUMPRODUCT(--ISNUMBER(SEARCH(covid,C138)))&gt;0)</f>
        <v>0</v>
      </c>
      <c r="O138" s="14" cm="1">
        <f t="array" ref="O138">INT(SUMPRODUCT(--ISNUMBER(SEARCH(violent,C138)))&gt;0)</f>
        <v>0</v>
      </c>
      <c r="P138" s="14" cm="1">
        <f t="array" ref="P138">INT(SUMPRODUCT(--ISNUMBER(SEARCH(foreign,C138)))&gt;0)</f>
        <v>0</v>
      </c>
      <c r="Q138" s="14" cm="1">
        <f t="array" ref="Q138">INT(SUMPRODUCT(--ISNUMBER(SEARCH(gun,C138)))&gt;0)</f>
        <v>0</v>
      </c>
      <c r="R138" s="14" cm="1">
        <f t="array" ref="R138">INT(SUMPRODUCT(--ISNUMBER(SEARCH(race,C138)))&gt;0)</f>
        <v>0</v>
      </c>
      <c r="S138" s="14" cm="1">
        <f t="array" ref="S138">INT(SUMPRODUCT(--ISNUMBER(SEARCH(immigration,C138)))&gt;0)</f>
        <v>0</v>
      </c>
      <c r="T138" s="14" cm="1">
        <f t="array" ref="T138">INT(SUMPRODUCT(--ISNUMBER(SEARCH(econineq,C139)))&gt;0)</f>
        <v>0</v>
      </c>
      <c r="U138" s="14" cm="1">
        <f t="array" ref="U138">INT(SUMPRODUCT(--ISNUMBER(SEARCH(climate,C138)))&gt;0)</f>
        <v>0</v>
      </c>
      <c r="V138" s="14" cm="1">
        <f t="array" ref="V138">INT(SUMPRODUCT(--ISNUMBER(SEARCH(abortion,C138)))&gt;0)</f>
        <v>0</v>
      </c>
      <c r="W138" s="14" cm="1">
        <f t="array" ref="W138">INT(SUMPRODUCT(--ISNUMBER(SEARCH(trump,C138)))&gt;0)</f>
        <v>0</v>
      </c>
      <c r="X138" s="14" cm="1">
        <f t="array" ref="X138">INT(SUMPRODUCT(--ISNUMBER(SEARCH(voting,C138)))&gt;0)</f>
        <v>0</v>
      </c>
      <c r="Y138" s="35" cm="1">
        <f t="array" ref="Y138">INT(SUMPRODUCT(--ISNUMBER(SEARCH(republicantrigger,C138)))&gt;0)</f>
        <v>1</v>
      </c>
      <c r="Z138" s="35" cm="1">
        <f t="array" ref="Z138">INT(SUMPRODUCT(--ISNUMBER(SEARCH(bipartisan,C138)))&gt;0)</f>
        <v>0</v>
      </c>
      <c r="AA138" s="35">
        <f t="shared" si="2"/>
        <v>0</v>
      </c>
      <c r="AB138" s="14"/>
      <c r="AC138" s="30" t="s">
        <v>223</v>
      </c>
      <c r="AD138" s="37" t="s">
        <v>223</v>
      </c>
    </row>
    <row r="139" spans="1:30" x14ac:dyDescent="0.25">
      <c r="A139" s="36">
        <v>2645</v>
      </c>
      <c r="B139" s="14" t="s">
        <v>5315</v>
      </c>
      <c r="C139" s="14" t="s">
        <v>5316</v>
      </c>
      <c r="D139" s="17">
        <v>44126</v>
      </c>
      <c r="E139" s="14" t="s">
        <v>30</v>
      </c>
      <c r="F139" s="14">
        <v>95</v>
      </c>
      <c r="G139" s="14">
        <v>34</v>
      </c>
      <c r="H139" s="14">
        <v>12</v>
      </c>
      <c r="I139" s="14">
        <v>6</v>
      </c>
      <c r="J139" s="14" t="s">
        <v>31</v>
      </c>
      <c r="K139" s="14" cm="1">
        <f t="array" ref="K139">INT(SUMPRODUCT(--ISNUMBER(SEARCH(economy,C139)))&gt;0)</f>
        <v>0</v>
      </c>
      <c r="L139" s="14" cm="1">
        <f t="array" ref="L139">INT(SUMPRODUCT(--ISNUMBER(SEARCH(healthcare,C139)))&gt;0)</f>
        <v>0</v>
      </c>
      <c r="M139" s="14" cm="1">
        <f t="array" ref="M139">INT(SUMPRODUCT(--ISNUMBER(SEARCH(supreme,C139)))&gt;0)</f>
        <v>0</v>
      </c>
      <c r="N139" s="14" cm="1">
        <f t="array" ref="N139">INT(SUMPRODUCT(--ISNUMBER(SEARCH(covid,C139)))&gt;0)</f>
        <v>0</v>
      </c>
      <c r="O139" s="14" cm="1">
        <f t="array" ref="O139">INT(SUMPRODUCT(--ISNUMBER(SEARCH(violent,C139)))&gt;0)</f>
        <v>0</v>
      </c>
      <c r="P139" s="14" cm="1">
        <f t="array" ref="P139">INT(SUMPRODUCT(--ISNUMBER(SEARCH(foreign,C139)))&gt;0)</f>
        <v>0</v>
      </c>
      <c r="Q139" s="14" cm="1">
        <f t="array" ref="Q139">INT(SUMPRODUCT(--ISNUMBER(SEARCH(gun,C139)))&gt;0)</f>
        <v>0</v>
      </c>
      <c r="R139" s="14" cm="1">
        <f t="array" ref="R139">INT(SUMPRODUCT(--ISNUMBER(SEARCH(race,C139)))&gt;0)</f>
        <v>0</v>
      </c>
      <c r="S139" s="14" cm="1">
        <f t="array" ref="S139">INT(SUMPRODUCT(--ISNUMBER(SEARCH(immigration,C139)))&gt;0)</f>
        <v>0</v>
      </c>
      <c r="T139" s="14" cm="1">
        <f t="array" ref="T139">INT(SUMPRODUCT(--ISNUMBER(SEARCH(econineq,C140)))&gt;0)</f>
        <v>0</v>
      </c>
      <c r="U139" s="14" cm="1">
        <f t="array" ref="U139">INT(SUMPRODUCT(--ISNUMBER(SEARCH(climate,C139)))&gt;0)</f>
        <v>0</v>
      </c>
      <c r="V139" s="14" cm="1">
        <f t="array" ref="V139">INT(SUMPRODUCT(--ISNUMBER(SEARCH(abortion,C139)))&gt;0)</f>
        <v>0</v>
      </c>
      <c r="W139" s="14" cm="1">
        <f t="array" ref="W139">INT(SUMPRODUCT(--ISNUMBER(SEARCH(trump,C139)))&gt;0)</f>
        <v>0</v>
      </c>
      <c r="X139" s="14" cm="1">
        <f t="array" ref="X139">INT(SUMPRODUCT(--ISNUMBER(SEARCH(voting,C139)))&gt;0)</f>
        <v>1</v>
      </c>
      <c r="Y139" s="35" cm="1">
        <f t="array" ref="Y139">INT(SUMPRODUCT(--ISNUMBER(SEARCH(republicantrigger,C139)))&gt;0)</f>
        <v>1</v>
      </c>
      <c r="Z139" s="35" cm="1">
        <f t="array" ref="Z139">INT(SUMPRODUCT(--ISNUMBER(SEARCH(bipartisan,C139)))&gt;0)</f>
        <v>0</v>
      </c>
      <c r="AA139" s="35">
        <f t="shared" si="2"/>
        <v>0</v>
      </c>
      <c r="AB139" s="14"/>
      <c r="AC139" s="30" t="s">
        <v>223</v>
      </c>
      <c r="AD139" s="37" t="s">
        <v>223</v>
      </c>
    </row>
    <row r="140" spans="1:30" x14ac:dyDescent="0.25">
      <c r="A140" s="36">
        <v>2646</v>
      </c>
      <c r="B140" s="14" t="s">
        <v>5317</v>
      </c>
      <c r="C140" s="14" t="s">
        <v>5318</v>
      </c>
      <c r="D140" s="17">
        <v>44126</v>
      </c>
      <c r="E140" s="14" t="s">
        <v>30</v>
      </c>
      <c r="F140" s="14">
        <v>243</v>
      </c>
      <c r="G140" s="14">
        <v>77</v>
      </c>
      <c r="H140" s="14">
        <v>12</v>
      </c>
      <c r="I140" s="14">
        <v>6</v>
      </c>
      <c r="J140" s="14" t="s">
        <v>31</v>
      </c>
      <c r="K140" s="14" cm="1">
        <f t="array" ref="K140">INT(SUMPRODUCT(--ISNUMBER(SEARCH(economy,C140)))&gt;0)</f>
        <v>0</v>
      </c>
      <c r="L140" s="14" cm="1">
        <f t="array" ref="L140">INT(SUMPRODUCT(--ISNUMBER(SEARCH(healthcare,C140)))&gt;0)</f>
        <v>0</v>
      </c>
      <c r="M140" s="14" cm="1">
        <f t="array" ref="M140">INT(SUMPRODUCT(--ISNUMBER(SEARCH(supreme,C140)))&gt;0)</f>
        <v>0</v>
      </c>
      <c r="N140" s="14" cm="1">
        <f t="array" ref="N140">INT(SUMPRODUCT(--ISNUMBER(SEARCH(covid,C140)))&gt;0)</f>
        <v>0</v>
      </c>
      <c r="O140" s="14" cm="1">
        <f t="array" ref="O140">INT(SUMPRODUCT(--ISNUMBER(SEARCH(violent,C140)))&gt;0)</f>
        <v>0</v>
      </c>
      <c r="P140" s="14" cm="1">
        <f t="array" ref="P140">INT(SUMPRODUCT(--ISNUMBER(SEARCH(foreign,C140)))&gt;0)</f>
        <v>0</v>
      </c>
      <c r="Q140" s="14" cm="1">
        <f t="array" ref="Q140">INT(SUMPRODUCT(--ISNUMBER(SEARCH(gun,C140)))&gt;0)</f>
        <v>0</v>
      </c>
      <c r="R140" s="14" cm="1">
        <f t="array" ref="R140">INT(SUMPRODUCT(--ISNUMBER(SEARCH(race,C140)))&gt;0)</f>
        <v>0</v>
      </c>
      <c r="S140" s="14" cm="1">
        <f t="array" ref="S140">INT(SUMPRODUCT(--ISNUMBER(SEARCH(immigration,C140)))&gt;0)</f>
        <v>0</v>
      </c>
      <c r="T140" s="14" cm="1">
        <f t="array" ref="T140">INT(SUMPRODUCT(--ISNUMBER(SEARCH(econineq,C141)))&gt;0)</f>
        <v>0</v>
      </c>
      <c r="U140" s="14" cm="1">
        <f t="array" ref="U140">INT(SUMPRODUCT(--ISNUMBER(SEARCH(climate,C140)))&gt;0)</f>
        <v>0</v>
      </c>
      <c r="V140" s="14" cm="1">
        <f t="array" ref="V140">INT(SUMPRODUCT(--ISNUMBER(SEARCH(abortion,C140)))&gt;0)</f>
        <v>0</v>
      </c>
      <c r="W140" s="14" cm="1">
        <f t="array" ref="W140">INT(SUMPRODUCT(--ISNUMBER(SEARCH(trump,C140)))&gt;0)</f>
        <v>0</v>
      </c>
      <c r="X140" s="14" cm="1">
        <f t="array" ref="X140">INT(SUMPRODUCT(--ISNUMBER(SEARCH(voting,C140)))&gt;0)</f>
        <v>1</v>
      </c>
      <c r="Y140" s="35" cm="1">
        <f t="array" ref="Y140">INT(SUMPRODUCT(--ISNUMBER(SEARCH(republicantrigger,C140)))&gt;0)</f>
        <v>1</v>
      </c>
      <c r="Z140" s="35" cm="1">
        <f t="array" ref="Z140">INT(SUMPRODUCT(--ISNUMBER(SEARCH(bipartisan,C140)))&gt;0)</f>
        <v>0</v>
      </c>
      <c r="AA140" s="35">
        <f t="shared" si="2"/>
        <v>0</v>
      </c>
      <c r="AB140" s="14"/>
      <c r="AC140" s="30" t="s">
        <v>223</v>
      </c>
      <c r="AD140" s="37" t="s">
        <v>223</v>
      </c>
    </row>
    <row r="141" spans="1:30" x14ac:dyDescent="0.25">
      <c r="A141" s="36">
        <v>2647</v>
      </c>
      <c r="B141" s="14" t="s">
        <v>5319</v>
      </c>
      <c r="C141" s="14" t="s">
        <v>5320</v>
      </c>
      <c r="D141" s="17">
        <v>44126</v>
      </c>
      <c r="E141" s="14" t="s">
        <v>30</v>
      </c>
      <c r="F141" s="14">
        <v>497</v>
      </c>
      <c r="G141" s="14">
        <v>138</v>
      </c>
      <c r="H141" s="14">
        <v>12</v>
      </c>
      <c r="I141" s="14">
        <v>6</v>
      </c>
      <c r="J141" s="14" t="s">
        <v>31</v>
      </c>
      <c r="K141" s="14" cm="1">
        <f t="array" ref="K141">INT(SUMPRODUCT(--ISNUMBER(SEARCH(economy,C141)))&gt;0)</f>
        <v>0</v>
      </c>
      <c r="L141" s="14" cm="1">
        <f t="array" ref="L141">INT(SUMPRODUCT(--ISNUMBER(SEARCH(healthcare,C141)))&gt;0)</f>
        <v>0</v>
      </c>
      <c r="M141" s="14" cm="1">
        <f t="array" ref="M141">INT(SUMPRODUCT(--ISNUMBER(SEARCH(supreme,C141)))&gt;0)</f>
        <v>0</v>
      </c>
      <c r="N141" s="14" cm="1">
        <f t="array" ref="N141">INT(SUMPRODUCT(--ISNUMBER(SEARCH(covid,C141)))&gt;0)</f>
        <v>0</v>
      </c>
      <c r="O141" s="14" cm="1">
        <f t="array" ref="O141">INT(SUMPRODUCT(--ISNUMBER(SEARCH(violent,C141)))&gt;0)</f>
        <v>0</v>
      </c>
      <c r="P141" s="14" cm="1">
        <f t="array" ref="P141">INT(SUMPRODUCT(--ISNUMBER(SEARCH(foreign,C141)))&gt;0)</f>
        <v>0</v>
      </c>
      <c r="Q141" s="14" cm="1">
        <f t="array" ref="Q141">INT(SUMPRODUCT(--ISNUMBER(SEARCH(gun,C141)))&gt;0)</f>
        <v>0</v>
      </c>
      <c r="R141" s="14" cm="1">
        <f t="array" ref="R141">INT(SUMPRODUCT(--ISNUMBER(SEARCH(race,C141)))&gt;0)</f>
        <v>0</v>
      </c>
      <c r="S141" s="14" cm="1">
        <f t="array" ref="S141">INT(SUMPRODUCT(--ISNUMBER(SEARCH(immigration,C141)))&gt;0)</f>
        <v>0</v>
      </c>
      <c r="T141" s="14" cm="1">
        <f t="array" ref="T141">INT(SUMPRODUCT(--ISNUMBER(SEARCH(econineq,C142)))&gt;0)</f>
        <v>0</v>
      </c>
      <c r="U141" s="14" cm="1">
        <f t="array" ref="U141">INT(SUMPRODUCT(--ISNUMBER(SEARCH(climate,C141)))&gt;0)</f>
        <v>0</v>
      </c>
      <c r="V141" s="14" cm="1">
        <f t="array" ref="V141">INT(SUMPRODUCT(--ISNUMBER(SEARCH(abortion,C141)))&gt;0)</f>
        <v>0</v>
      </c>
      <c r="W141" s="14" cm="1">
        <f t="array" ref="W141">INT(SUMPRODUCT(--ISNUMBER(SEARCH(trump,C141)))&gt;0)</f>
        <v>0</v>
      </c>
      <c r="X141" s="14" cm="1">
        <f t="array" ref="X141">INT(SUMPRODUCT(--ISNUMBER(SEARCH(voting,C141)))&gt;0)</f>
        <v>0</v>
      </c>
      <c r="Y141" s="35" cm="1">
        <f t="array" ref="Y141">INT(SUMPRODUCT(--ISNUMBER(SEARCH(republicantrigger,C141)))&gt;0)</f>
        <v>0</v>
      </c>
      <c r="Z141" s="35" cm="1">
        <f t="array" ref="Z141">INT(SUMPRODUCT(--ISNUMBER(SEARCH(bipartisan,C141)))&gt;0)</f>
        <v>0</v>
      </c>
      <c r="AA141" s="35">
        <f t="shared" si="2"/>
        <v>1</v>
      </c>
      <c r="AB141" s="14"/>
      <c r="AC141" s="30" t="s">
        <v>223</v>
      </c>
      <c r="AD141" s="37" t="s">
        <v>223</v>
      </c>
    </row>
    <row r="142" spans="1:30" x14ac:dyDescent="0.25">
      <c r="A142" s="36">
        <v>2648</v>
      </c>
      <c r="B142" s="14" t="s">
        <v>5321</v>
      </c>
      <c r="C142" s="14" t="s">
        <v>5322</v>
      </c>
      <c r="D142" s="17">
        <v>44125</v>
      </c>
      <c r="E142" s="14" t="s">
        <v>30</v>
      </c>
      <c r="F142" s="14">
        <v>866</v>
      </c>
      <c r="G142" s="14">
        <v>296</v>
      </c>
      <c r="H142" s="14">
        <v>12</v>
      </c>
      <c r="I142" s="14">
        <v>6</v>
      </c>
      <c r="J142" s="14" t="s">
        <v>31</v>
      </c>
      <c r="K142" s="14" cm="1">
        <f t="array" ref="K142">INT(SUMPRODUCT(--ISNUMBER(SEARCH(economy,C142)))&gt;0)</f>
        <v>1</v>
      </c>
      <c r="L142" s="14" cm="1">
        <f t="array" ref="L142">INT(SUMPRODUCT(--ISNUMBER(SEARCH(healthcare,C142)))&gt;0)</f>
        <v>0</v>
      </c>
      <c r="M142" s="14" cm="1">
        <f t="array" ref="M142">INT(SUMPRODUCT(--ISNUMBER(SEARCH(supreme,C142)))&gt;0)</f>
        <v>0</v>
      </c>
      <c r="N142" s="14" cm="1">
        <f t="array" ref="N142">INT(SUMPRODUCT(--ISNUMBER(SEARCH(covid,C142)))&gt;0)</f>
        <v>0</v>
      </c>
      <c r="O142" s="14" cm="1">
        <f t="array" ref="O142">INT(SUMPRODUCT(--ISNUMBER(SEARCH(violent,C142)))&gt;0)</f>
        <v>0</v>
      </c>
      <c r="P142" s="14" cm="1">
        <f t="array" ref="P142">INT(SUMPRODUCT(--ISNUMBER(SEARCH(foreign,C142)))&gt;0)</f>
        <v>0</v>
      </c>
      <c r="Q142" s="14" cm="1">
        <f t="array" ref="Q142">INT(SUMPRODUCT(--ISNUMBER(SEARCH(gun,C142)))&gt;0)</f>
        <v>1</v>
      </c>
      <c r="R142" s="14" cm="1">
        <f t="array" ref="R142">INT(SUMPRODUCT(--ISNUMBER(SEARCH(race,C142)))&gt;0)</f>
        <v>0</v>
      </c>
      <c r="S142" s="14" cm="1">
        <f t="array" ref="S142">INT(SUMPRODUCT(--ISNUMBER(SEARCH(immigration,C142)))&gt;0)</f>
        <v>0</v>
      </c>
      <c r="T142" s="14" cm="1">
        <f t="array" ref="T142">INT(SUMPRODUCT(--ISNUMBER(SEARCH(econineq,C143)))&gt;0)</f>
        <v>0</v>
      </c>
      <c r="U142" s="14" cm="1">
        <f t="array" ref="U142">INT(SUMPRODUCT(--ISNUMBER(SEARCH(climate,C142)))&gt;0)</f>
        <v>0</v>
      </c>
      <c r="V142" s="14" cm="1">
        <f t="array" ref="V142">INT(SUMPRODUCT(--ISNUMBER(SEARCH(abortion,C142)))&gt;0)</f>
        <v>0</v>
      </c>
      <c r="W142" s="14" cm="1">
        <f t="array" ref="W142">INT(SUMPRODUCT(--ISNUMBER(SEARCH(trump,C142)))&gt;0)</f>
        <v>0</v>
      </c>
      <c r="X142" s="14" cm="1">
        <f t="array" ref="X142">INT(SUMPRODUCT(--ISNUMBER(SEARCH(voting,C142)))&gt;0)</f>
        <v>0</v>
      </c>
      <c r="Y142" s="35" cm="1">
        <f t="array" ref="Y142">INT(SUMPRODUCT(--ISNUMBER(SEARCH(republicantrigger,C142)))&gt;0)</f>
        <v>1</v>
      </c>
      <c r="Z142" s="35" cm="1">
        <f t="array" ref="Z142">INT(SUMPRODUCT(--ISNUMBER(SEARCH(bipartisan,C142)))&gt;0)</f>
        <v>0</v>
      </c>
      <c r="AA142" s="35">
        <f t="shared" si="2"/>
        <v>0</v>
      </c>
      <c r="AB142" s="14"/>
      <c r="AC142" s="30" t="s">
        <v>223</v>
      </c>
      <c r="AD142" s="37" t="s">
        <v>223</v>
      </c>
    </row>
    <row r="143" spans="1:30" x14ac:dyDescent="0.25">
      <c r="A143" s="36">
        <v>2649</v>
      </c>
      <c r="B143" s="14" t="s">
        <v>5323</v>
      </c>
      <c r="C143" s="14" t="s">
        <v>5324</v>
      </c>
      <c r="D143" s="17">
        <v>44125</v>
      </c>
      <c r="E143" s="14" t="s">
        <v>30</v>
      </c>
      <c r="F143" s="14">
        <v>25</v>
      </c>
      <c r="G143" s="14">
        <v>6</v>
      </c>
      <c r="H143" s="14">
        <v>12</v>
      </c>
      <c r="I143" s="14">
        <v>6</v>
      </c>
      <c r="J143" s="14" t="s">
        <v>31</v>
      </c>
      <c r="K143" s="14" cm="1">
        <f t="array" ref="K143">INT(SUMPRODUCT(--ISNUMBER(SEARCH(economy,C143)))&gt;0)</f>
        <v>1</v>
      </c>
      <c r="L143" s="14" cm="1">
        <f t="array" ref="L143">INT(SUMPRODUCT(--ISNUMBER(SEARCH(healthcare,C143)))&gt;0)</f>
        <v>0</v>
      </c>
      <c r="M143" s="14" cm="1">
        <f t="array" ref="M143">INT(SUMPRODUCT(--ISNUMBER(SEARCH(supreme,C143)))&gt;0)</f>
        <v>0</v>
      </c>
      <c r="N143" s="14" cm="1">
        <f t="array" ref="N143">INT(SUMPRODUCT(--ISNUMBER(SEARCH(covid,C143)))&gt;0)</f>
        <v>0</v>
      </c>
      <c r="O143" s="14" cm="1">
        <f t="array" ref="O143">INT(SUMPRODUCT(--ISNUMBER(SEARCH(violent,C143)))&gt;0)</f>
        <v>0</v>
      </c>
      <c r="P143" s="14" cm="1">
        <f t="array" ref="P143">INT(SUMPRODUCT(--ISNUMBER(SEARCH(foreign,C143)))&gt;0)</f>
        <v>0</v>
      </c>
      <c r="Q143" s="14" cm="1">
        <f t="array" ref="Q143">INT(SUMPRODUCT(--ISNUMBER(SEARCH(gun,C143)))&gt;0)</f>
        <v>0</v>
      </c>
      <c r="R143" s="14" cm="1">
        <f t="array" ref="R143">INT(SUMPRODUCT(--ISNUMBER(SEARCH(race,C143)))&gt;0)</f>
        <v>0</v>
      </c>
      <c r="S143" s="14" cm="1">
        <f t="array" ref="S143">INT(SUMPRODUCT(--ISNUMBER(SEARCH(immigration,C143)))&gt;0)</f>
        <v>0</v>
      </c>
      <c r="T143" s="14" cm="1">
        <f t="array" ref="T143">INT(SUMPRODUCT(--ISNUMBER(SEARCH(econineq,C144)))&gt;0)</f>
        <v>0</v>
      </c>
      <c r="U143" s="14" cm="1">
        <f t="array" ref="U143">INT(SUMPRODUCT(--ISNUMBER(SEARCH(climate,C143)))&gt;0)</f>
        <v>0</v>
      </c>
      <c r="V143" s="14" cm="1">
        <f t="array" ref="V143">INT(SUMPRODUCT(--ISNUMBER(SEARCH(abortion,C143)))&gt;0)</f>
        <v>0</v>
      </c>
      <c r="W143" s="14" cm="1">
        <f t="array" ref="W143">INT(SUMPRODUCT(--ISNUMBER(SEARCH(trump,C143)))&gt;0)</f>
        <v>0</v>
      </c>
      <c r="X143" s="14" cm="1">
        <f t="array" ref="X143">INT(SUMPRODUCT(--ISNUMBER(SEARCH(voting,C143)))&gt;0)</f>
        <v>0</v>
      </c>
      <c r="Y143" s="35" cm="1">
        <f t="array" ref="Y143">INT(SUMPRODUCT(--ISNUMBER(SEARCH(republicantrigger,C143)))&gt;0)</f>
        <v>0</v>
      </c>
      <c r="Z143" s="35" cm="1">
        <f t="array" ref="Z143">INT(SUMPRODUCT(--ISNUMBER(SEARCH(bipartisan,C143)))&gt;0)</f>
        <v>0</v>
      </c>
      <c r="AA143" s="35">
        <f t="shared" si="2"/>
        <v>0</v>
      </c>
      <c r="AB143" s="14"/>
      <c r="AC143" s="30">
        <v>1</v>
      </c>
      <c r="AD143" s="37">
        <v>0</v>
      </c>
    </row>
    <row r="144" spans="1:30" x14ac:dyDescent="0.25">
      <c r="A144" s="36">
        <v>2650</v>
      </c>
      <c r="B144" s="14" t="s">
        <v>5325</v>
      </c>
      <c r="C144" s="14" t="s">
        <v>5326</v>
      </c>
      <c r="D144" s="17">
        <v>44125</v>
      </c>
      <c r="E144" s="14" t="s">
        <v>30</v>
      </c>
      <c r="F144" s="14">
        <v>36</v>
      </c>
      <c r="G144" s="14">
        <v>7</v>
      </c>
      <c r="H144" s="14">
        <v>12</v>
      </c>
      <c r="I144" s="14">
        <v>6</v>
      </c>
      <c r="J144" s="14" t="s">
        <v>31</v>
      </c>
      <c r="K144" s="14" cm="1">
        <f t="array" ref="K144">INT(SUMPRODUCT(--ISNUMBER(SEARCH(economy,C144)))&gt;0)</f>
        <v>1</v>
      </c>
      <c r="L144" s="14" cm="1">
        <f t="array" ref="L144">INT(SUMPRODUCT(--ISNUMBER(SEARCH(healthcare,C144)))&gt;0)</f>
        <v>0</v>
      </c>
      <c r="M144" s="14" cm="1">
        <f t="array" ref="M144">INT(SUMPRODUCT(--ISNUMBER(SEARCH(supreme,C144)))&gt;0)</f>
        <v>0</v>
      </c>
      <c r="N144" s="14" cm="1">
        <f t="array" ref="N144">INT(SUMPRODUCT(--ISNUMBER(SEARCH(covid,C144)))&gt;0)</f>
        <v>0</v>
      </c>
      <c r="O144" s="14" cm="1">
        <f t="array" ref="O144">INT(SUMPRODUCT(--ISNUMBER(SEARCH(violent,C144)))&gt;0)</f>
        <v>0</v>
      </c>
      <c r="P144" s="14" cm="1">
        <f t="array" ref="P144">INT(SUMPRODUCT(--ISNUMBER(SEARCH(foreign,C144)))&gt;0)</f>
        <v>0</v>
      </c>
      <c r="Q144" s="14" cm="1">
        <f t="array" ref="Q144">INT(SUMPRODUCT(--ISNUMBER(SEARCH(gun,C144)))&gt;0)</f>
        <v>0</v>
      </c>
      <c r="R144" s="14" cm="1">
        <f t="array" ref="R144">INT(SUMPRODUCT(--ISNUMBER(SEARCH(race,C144)))&gt;0)</f>
        <v>0</v>
      </c>
      <c r="S144" s="14" cm="1">
        <f t="array" ref="S144">INT(SUMPRODUCT(--ISNUMBER(SEARCH(immigration,C144)))&gt;0)</f>
        <v>0</v>
      </c>
      <c r="T144" s="14" cm="1">
        <f t="array" ref="T144">INT(SUMPRODUCT(--ISNUMBER(SEARCH(econineq,C145)))&gt;0)</f>
        <v>0</v>
      </c>
      <c r="U144" s="14" cm="1">
        <f t="array" ref="U144">INT(SUMPRODUCT(--ISNUMBER(SEARCH(climate,C144)))&gt;0)</f>
        <v>0</v>
      </c>
      <c r="V144" s="14" cm="1">
        <f t="array" ref="V144">INT(SUMPRODUCT(--ISNUMBER(SEARCH(abortion,C144)))&gt;0)</f>
        <v>0</v>
      </c>
      <c r="W144" s="14" cm="1">
        <f t="array" ref="W144">INT(SUMPRODUCT(--ISNUMBER(SEARCH(trump,C144)))&gt;0)</f>
        <v>0</v>
      </c>
      <c r="X144" s="14" cm="1">
        <f t="array" ref="X144">INT(SUMPRODUCT(--ISNUMBER(SEARCH(voting,C144)))&gt;0)</f>
        <v>0</v>
      </c>
      <c r="Y144" s="35" cm="1">
        <f t="array" ref="Y144">INT(SUMPRODUCT(--ISNUMBER(SEARCH(republicantrigger,C144)))&gt;0)</f>
        <v>1</v>
      </c>
      <c r="Z144" s="35" cm="1">
        <f t="array" ref="Z144">INT(SUMPRODUCT(--ISNUMBER(SEARCH(bipartisan,C144)))&gt;0)</f>
        <v>0</v>
      </c>
      <c r="AA144" s="35">
        <f t="shared" si="2"/>
        <v>0</v>
      </c>
      <c r="AB144" s="14"/>
      <c r="AC144" s="30" t="s">
        <v>223</v>
      </c>
      <c r="AD144" s="37" t="s">
        <v>223</v>
      </c>
    </row>
    <row r="145" spans="1:30" x14ac:dyDescent="0.25">
      <c r="A145" s="36">
        <v>2651</v>
      </c>
      <c r="B145" s="14" t="s">
        <v>5327</v>
      </c>
      <c r="C145" s="14" t="s">
        <v>5328</v>
      </c>
      <c r="D145" s="17">
        <v>44125</v>
      </c>
      <c r="E145" s="14" t="s">
        <v>30</v>
      </c>
      <c r="F145" s="14">
        <v>87</v>
      </c>
      <c r="G145" s="14">
        <v>36</v>
      </c>
      <c r="H145" s="14">
        <v>12</v>
      </c>
      <c r="I145" s="14">
        <v>6</v>
      </c>
      <c r="J145" s="14" t="s">
        <v>31</v>
      </c>
      <c r="K145" s="14" cm="1">
        <f t="array" ref="K145">INT(SUMPRODUCT(--ISNUMBER(SEARCH(economy,C145)))&gt;0)</f>
        <v>0</v>
      </c>
      <c r="L145" s="14" cm="1">
        <f t="array" ref="L145">INT(SUMPRODUCT(--ISNUMBER(SEARCH(healthcare,C145)))&gt;0)</f>
        <v>0</v>
      </c>
      <c r="M145" s="14" cm="1">
        <f t="array" ref="M145">INT(SUMPRODUCT(--ISNUMBER(SEARCH(supreme,C145)))&gt;0)</f>
        <v>0</v>
      </c>
      <c r="N145" s="14" cm="1">
        <f t="array" ref="N145">INT(SUMPRODUCT(--ISNUMBER(SEARCH(covid,C145)))&gt;0)</f>
        <v>1</v>
      </c>
      <c r="O145" s="14" cm="1">
        <f t="array" ref="O145">INT(SUMPRODUCT(--ISNUMBER(SEARCH(violent,C145)))&gt;0)</f>
        <v>0</v>
      </c>
      <c r="P145" s="14" cm="1">
        <f t="array" ref="P145">INT(SUMPRODUCT(--ISNUMBER(SEARCH(foreign,C145)))&gt;0)</f>
        <v>1</v>
      </c>
      <c r="Q145" s="14" cm="1">
        <f t="array" ref="Q145">INT(SUMPRODUCT(--ISNUMBER(SEARCH(gun,C145)))&gt;0)</f>
        <v>0</v>
      </c>
      <c r="R145" s="14" cm="1">
        <f t="array" ref="R145">INT(SUMPRODUCT(--ISNUMBER(SEARCH(race,C145)))&gt;0)</f>
        <v>0</v>
      </c>
      <c r="S145" s="14" cm="1">
        <f t="array" ref="S145">INT(SUMPRODUCT(--ISNUMBER(SEARCH(immigration,C145)))&gt;0)</f>
        <v>0</v>
      </c>
      <c r="T145" s="14" cm="1">
        <f t="array" ref="T145">INT(SUMPRODUCT(--ISNUMBER(SEARCH(econineq,C146)))&gt;0)</f>
        <v>0</v>
      </c>
      <c r="U145" s="14" cm="1">
        <f t="array" ref="U145">INT(SUMPRODUCT(--ISNUMBER(SEARCH(climate,C145)))&gt;0)</f>
        <v>0</v>
      </c>
      <c r="V145" s="14" cm="1">
        <f t="array" ref="V145">INT(SUMPRODUCT(--ISNUMBER(SEARCH(abortion,C145)))&gt;0)</f>
        <v>0</v>
      </c>
      <c r="W145" s="14" cm="1">
        <f t="array" ref="W145">INT(SUMPRODUCT(--ISNUMBER(SEARCH(trump,C145)))&gt;0)</f>
        <v>0</v>
      </c>
      <c r="X145" s="14" cm="1">
        <f t="array" ref="X145">INT(SUMPRODUCT(--ISNUMBER(SEARCH(voting,C145)))&gt;0)</f>
        <v>0</v>
      </c>
      <c r="Y145" s="35" cm="1">
        <f t="array" ref="Y145">INT(SUMPRODUCT(--ISNUMBER(SEARCH(republicantrigger,C145)))&gt;0)</f>
        <v>1</v>
      </c>
      <c r="Z145" s="35" cm="1">
        <f t="array" ref="Z145">INT(SUMPRODUCT(--ISNUMBER(SEARCH(bipartisan,C145)))&gt;0)</f>
        <v>0</v>
      </c>
      <c r="AA145" s="35">
        <f t="shared" si="2"/>
        <v>0</v>
      </c>
      <c r="AB145" s="14"/>
      <c r="AC145" s="30">
        <v>1</v>
      </c>
      <c r="AD145" s="37">
        <v>0</v>
      </c>
    </row>
    <row r="146" spans="1:30" x14ac:dyDescent="0.25">
      <c r="A146" s="36">
        <v>2652</v>
      </c>
      <c r="B146" s="14" t="s">
        <v>5329</v>
      </c>
      <c r="C146" s="14" t="s">
        <v>5330</v>
      </c>
      <c r="D146" s="17">
        <v>44125</v>
      </c>
      <c r="E146" s="14" t="s">
        <v>30</v>
      </c>
      <c r="F146" s="14">
        <v>37</v>
      </c>
      <c r="G146" s="14">
        <v>14</v>
      </c>
      <c r="H146" s="14">
        <v>12</v>
      </c>
      <c r="I146" s="14">
        <v>6</v>
      </c>
      <c r="J146" s="14" t="s">
        <v>31</v>
      </c>
      <c r="K146" s="14" cm="1">
        <f t="array" ref="K146">INT(SUMPRODUCT(--ISNUMBER(SEARCH(economy,C146)))&gt;0)</f>
        <v>1</v>
      </c>
      <c r="L146" s="14" cm="1">
        <f t="array" ref="L146">INT(SUMPRODUCT(--ISNUMBER(SEARCH(healthcare,C146)))&gt;0)</f>
        <v>0</v>
      </c>
      <c r="M146" s="14" cm="1">
        <f t="array" ref="M146">INT(SUMPRODUCT(--ISNUMBER(SEARCH(supreme,C146)))&gt;0)</f>
        <v>0</v>
      </c>
      <c r="N146" s="14" cm="1">
        <f t="array" ref="N146">INT(SUMPRODUCT(--ISNUMBER(SEARCH(covid,C146)))&gt;0)</f>
        <v>1</v>
      </c>
      <c r="O146" s="14" cm="1">
        <f t="array" ref="O146">INT(SUMPRODUCT(--ISNUMBER(SEARCH(violent,C146)))&gt;0)</f>
        <v>0</v>
      </c>
      <c r="P146" s="14" cm="1">
        <f t="array" ref="P146">INT(SUMPRODUCT(--ISNUMBER(SEARCH(foreign,C146)))&gt;0)</f>
        <v>0</v>
      </c>
      <c r="Q146" s="14" cm="1">
        <f t="array" ref="Q146">INT(SUMPRODUCT(--ISNUMBER(SEARCH(gun,C146)))&gt;0)</f>
        <v>0</v>
      </c>
      <c r="R146" s="14" cm="1">
        <f t="array" ref="R146">INT(SUMPRODUCT(--ISNUMBER(SEARCH(race,C146)))&gt;0)</f>
        <v>0</v>
      </c>
      <c r="S146" s="14" cm="1">
        <f t="array" ref="S146">INT(SUMPRODUCT(--ISNUMBER(SEARCH(immigration,C146)))&gt;0)</f>
        <v>0</v>
      </c>
      <c r="T146" s="14" cm="1">
        <f t="array" ref="T146">INT(SUMPRODUCT(--ISNUMBER(SEARCH(econineq,C147)))&gt;0)</f>
        <v>0</v>
      </c>
      <c r="U146" s="14" cm="1">
        <f t="array" ref="U146">INT(SUMPRODUCT(--ISNUMBER(SEARCH(climate,C146)))&gt;0)</f>
        <v>0</v>
      </c>
      <c r="V146" s="14" cm="1">
        <f t="array" ref="V146">INT(SUMPRODUCT(--ISNUMBER(SEARCH(abortion,C146)))&gt;0)</f>
        <v>0</v>
      </c>
      <c r="W146" s="14" cm="1">
        <f t="array" ref="W146">INT(SUMPRODUCT(--ISNUMBER(SEARCH(trump,C146)))&gt;0)</f>
        <v>0</v>
      </c>
      <c r="X146" s="14" cm="1">
        <f t="array" ref="X146">INT(SUMPRODUCT(--ISNUMBER(SEARCH(voting,C146)))&gt;0)</f>
        <v>0</v>
      </c>
      <c r="Y146" s="35" cm="1">
        <f t="array" ref="Y146">INT(SUMPRODUCT(--ISNUMBER(SEARCH(republicantrigger,C146)))&gt;0)</f>
        <v>0</v>
      </c>
      <c r="Z146" s="35" cm="1">
        <f t="array" ref="Z146">INT(SUMPRODUCT(--ISNUMBER(SEARCH(bipartisan,C146)))&gt;0)</f>
        <v>0</v>
      </c>
      <c r="AA146" s="35">
        <f t="shared" si="2"/>
        <v>0</v>
      </c>
      <c r="AB146" s="14"/>
      <c r="AC146" s="30">
        <v>1</v>
      </c>
      <c r="AD146" s="37">
        <v>0</v>
      </c>
    </row>
    <row r="147" spans="1:30" x14ac:dyDescent="0.25">
      <c r="A147" s="36">
        <v>2653</v>
      </c>
      <c r="B147" s="14" t="s">
        <v>5331</v>
      </c>
      <c r="C147" s="14" t="s">
        <v>5332</v>
      </c>
      <c r="D147" s="17">
        <v>44125</v>
      </c>
      <c r="E147" s="14" t="s">
        <v>70</v>
      </c>
      <c r="F147" s="14">
        <v>23</v>
      </c>
      <c r="G147" s="14">
        <v>3</v>
      </c>
      <c r="H147" s="14">
        <v>12</v>
      </c>
      <c r="I147" s="14">
        <v>6</v>
      </c>
      <c r="J147" s="14" t="s">
        <v>31</v>
      </c>
      <c r="K147" s="14" cm="1">
        <f t="array" ref="K147">INT(SUMPRODUCT(--ISNUMBER(SEARCH(economy,C147)))&gt;0)</f>
        <v>0</v>
      </c>
      <c r="L147" s="14" cm="1">
        <f t="array" ref="L147">INT(SUMPRODUCT(--ISNUMBER(SEARCH(healthcare,C147)))&gt;0)</f>
        <v>0</v>
      </c>
      <c r="M147" s="14" cm="1">
        <f t="array" ref="M147">INT(SUMPRODUCT(--ISNUMBER(SEARCH(supreme,C147)))&gt;0)</f>
        <v>0</v>
      </c>
      <c r="N147" s="14" cm="1">
        <f t="array" ref="N147">INT(SUMPRODUCT(--ISNUMBER(SEARCH(covid,C147)))&gt;0)</f>
        <v>0</v>
      </c>
      <c r="O147" s="14" cm="1">
        <f t="array" ref="O147">INT(SUMPRODUCT(--ISNUMBER(SEARCH(violent,C147)))&gt;0)</f>
        <v>0</v>
      </c>
      <c r="P147" s="14" cm="1">
        <f t="array" ref="P147">INT(SUMPRODUCT(--ISNUMBER(SEARCH(foreign,C147)))&gt;0)</f>
        <v>0</v>
      </c>
      <c r="Q147" s="14" cm="1">
        <f t="array" ref="Q147">INT(SUMPRODUCT(--ISNUMBER(SEARCH(gun,C147)))&gt;0)</f>
        <v>0</v>
      </c>
      <c r="R147" s="14" cm="1">
        <f t="array" ref="R147">INT(SUMPRODUCT(--ISNUMBER(SEARCH(race,C147)))&gt;0)</f>
        <v>0</v>
      </c>
      <c r="S147" s="14" cm="1">
        <f t="array" ref="S147">INT(SUMPRODUCT(--ISNUMBER(SEARCH(immigration,C147)))&gt;0)</f>
        <v>0</v>
      </c>
      <c r="T147" s="14" cm="1">
        <f t="array" ref="T147">INT(SUMPRODUCT(--ISNUMBER(SEARCH(econineq,C148)))&gt;0)</f>
        <v>0</v>
      </c>
      <c r="U147" s="14" cm="1">
        <f t="array" ref="U147">INT(SUMPRODUCT(--ISNUMBER(SEARCH(climate,C147)))&gt;0)</f>
        <v>0</v>
      </c>
      <c r="V147" s="14" cm="1">
        <f t="array" ref="V147">INT(SUMPRODUCT(--ISNUMBER(SEARCH(abortion,C147)))&gt;0)</f>
        <v>0</v>
      </c>
      <c r="W147" s="14" cm="1">
        <f t="array" ref="W147">INT(SUMPRODUCT(--ISNUMBER(SEARCH(trump,C147)))&gt;0)</f>
        <v>0</v>
      </c>
      <c r="X147" s="14" cm="1">
        <f t="array" ref="X147">INT(SUMPRODUCT(--ISNUMBER(SEARCH(voting,C147)))&gt;0)</f>
        <v>0</v>
      </c>
      <c r="Y147" s="35" cm="1">
        <f t="array" ref="Y147">INT(SUMPRODUCT(--ISNUMBER(SEARCH(republicantrigger,C147)))&gt;0)</f>
        <v>0</v>
      </c>
      <c r="Z147" s="35" cm="1">
        <f t="array" ref="Z147">INT(SUMPRODUCT(--ISNUMBER(SEARCH(bipartisan,C147)))&gt;0)</f>
        <v>0</v>
      </c>
      <c r="AA147" s="35">
        <f t="shared" si="2"/>
        <v>1</v>
      </c>
      <c r="AB147" s="14"/>
      <c r="AC147" s="30" t="s">
        <v>223</v>
      </c>
      <c r="AD147" s="37" t="s">
        <v>223</v>
      </c>
    </row>
    <row r="148" spans="1:30" x14ac:dyDescent="0.25">
      <c r="A148" s="36">
        <v>2654</v>
      </c>
      <c r="B148" s="14" t="s">
        <v>5333</v>
      </c>
      <c r="C148" s="14" t="s">
        <v>5334</v>
      </c>
      <c r="D148" s="17">
        <v>44125</v>
      </c>
      <c r="E148" s="14" t="s">
        <v>30</v>
      </c>
      <c r="F148" s="14">
        <v>542</v>
      </c>
      <c r="G148" s="14">
        <v>159</v>
      </c>
      <c r="H148" s="14">
        <v>12</v>
      </c>
      <c r="I148" s="14">
        <v>6</v>
      </c>
      <c r="J148" s="14" t="s">
        <v>31</v>
      </c>
      <c r="K148" s="14" cm="1">
        <f t="array" ref="K148">INT(SUMPRODUCT(--ISNUMBER(SEARCH(economy,C148)))&gt;0)</f>
        <v>0</v>
      </c>
      <c r="L148" s="14" cm="1">
        <f t="array" ref="L148">INT(SUMPRODUCT(--ISNUMBER(SEARCH(healthcare,C148)))&gt;0)</f>
        <v>0</v>
      </c>
      <c r="M148" s="14" cm="1">
        <f t="array" ref="M148">INT(SUMPRODUCT(--ISNUMBER(SEARCH(supreme,C148)))&gt;0)</f>
        <v>0</v>
      </c>
      <c r="N148" s="14" cm="1">
        <f t="array" ref="N148">INT(SUMPRODUCT(--ISNUMBER(SEARCH(covid,C148)))&gt;0)</f>
        <v>0</v>
      </c>
      <c r="O148" s="14" cm="1">
        <f t="array" ref="O148">INT(SUMPRODUCT(--ISNUMBER(SEARCH(violent,C148)))&gt;0)</f>
        <v>0</v>
      </c>
      <c r="P148" s="14" cm="1">
        <f t="array" ref="P148">INT(SUMPRODUCT(--ISNUMBER(SEARCH(foreign,C148)))&gt;0)</f>
        <v>0</v>
      </c>
      <c r="Q148" s="14" cm="1">
        <f t="array" ref="Q148">INT(SUMPRODUCT(--ISNUMBER(SEARCH(gun,C148)))&gt;0)</f>
        <v>0</v>
      </c>
      <c r="R148" s="14" cm="1">
        <f t="array" ref="R148">INT(SUMPRODUCT(--ISNUMBER(SEARCH(race,C148)))&gt;0)</f>
        <v>0</v>
      </c>
      <c r="S148" s="14" cm="1">
        <f t="array" ref="S148">INT(SUMPRODUCT(--ISNUMBER(SEARCH(immigration,C148)))&gt;0)</f>
        <v>0</v>
      </c>
      <c r="T148" s="14" cm="1">
        <f t="array" ref="T148">INT(SUMPRODUCT(--ISNUMBER(SEARCH(econineq,C149)))&gt;0)</f>
        <v>1</v>
      </c>
      <c r="U148" s="14" cm="1">
        <f t="array" ref="U148">INT(SUMPRODUCT(--ISNUMBER(SEARCH(climate,C148)))&gt;0)</f>
        <v>0</v>
      </c>
      <c r="V148" s="14" cm="1">
        <f t="array" ref="V148">INT(SUMPRODUCT(--ISNUMBER(SEARCH(abortion,C148)))&gt;0)</f>
        <v>0</v>
      </c>
      <c r="W148" s="14" cm="1">
        <f t="array" ref="W148">INT(SUMPRODUCT(--ISNUMBER(SEARCH(trump,C148)))&gt;0)</f>
        <v>0</v>
      </c>
      <c r="X148" s="14" cm="1">
        <f t="array" ref="X148">INT(SUMPRODUCT(--ISNUMBER(SEARCH(voting,C148)))&gt;0)</f>
        <v>0</v>
      </c>
      <c r="Y148" s="35" cm="1">
        <f t="array" ref="Y148">INT(SUMPRODUCT(--ISNUMBER(SEARCH(republicantrigger,C148)))&gt;0)</f>
        <v>1</v>
      </c>
      <c r="Z148" s="35" cm="1">
        <f t="array" ref="Z148">INT(SUMPRODUCT(--ISNUMBER(SEARCH(bipartisan,C148)))&gt;0)</f>
        <v>0</v>
      </c>
      <c r="AA148" s="35">
        <f t="shared" si="2"/>
        <v>0</v>
      </c>
      <c r="AB148" s="14"/>
      <c r="AC148" s="30">
        <v>1</v>
      </c>
      <c r="AD148" s="37">
        <v>0</v>
      </c>
    </row>
    <row r="149" spans="1:30" x14ac:dyDescent="0.25">
      <c r="A149" s="36">
        <v>2655</v>
      </c>
      <c r="B149" s="14" t="s">
        <v>5335</v>
      </c>
      <c r="C149" s="14" t="s">
        <v>5336</v>
      </c>
      <c r="D149" s="17">
        <v>44125</v>
      </c>
      <c r="E149" s="14" t="s">
        <v>30</v>
      </c>
      <c r="F149" s="14">
        <v>185</v>
      </c>
      <c r="G149" s="14">
        <v>71</v>
      </c>
      <c r="H149" s="14">
        <v>12</v>
      </c>
      <c r="I149" s="14">
        <v>6</v>
      </c>
      <c r="J149" s="14" t="s">
        <v>31</v>
      </c>
      <c r="K149" s="14" cm="1">
        <f t="array" ref="K149">INT(SUMPRODUCT(--ISNUMBER(SEARCH(economy,C149)))&gt;0)</f>
        <v>0</v>
      </c>
      <c r="L149" s="14" cm="1">
        <f t="array" ref="L149">INT(SUMPRODUCT(--ISNUMBER(SEARCH(healthcare,C149)))&gt;0)</f>
        <v>0</v>
      </c>
      <c r="M149" s="14" cm="1">
        <f t="array" ref="M149">INT(SUMPRODUCT(--ISNUMBER(SEARCH(supreme,C149)))&gt;0)</f>
        <v>0</v>
      </c>
      <c r="N149" s="14" cm="1">
        <f t="array" ref="N149">INT(SUMPRODUCT(--ISNUMBER(SEARCH(covid,C149)))&gt;0)</f>
        <v>0</v>
      </c>
      <c r="O149" s="14" cm="1">
        <f t="array" ref="O149">INT(SUMPRODUCT(--ISNUMBER(SEARCH(violent,C149)))&gt;0)</f>
        <v>0</v>
      </c>
      <c r="P149" s="14" cm="1">
        <f t="array" ref="P149">INT(SUMPRODUCT(--ISNUMBER(SEARCH(foreign,C149)))&gt;0)</f>
        <v>0</v>
      </c>
      <c r="Q149" s="14" cm="1">
        <f t="array" ref="Q149">INT(SUMPRODUCT(--ISNUMBER(SEARCH(gun,C149)))&gt;0)</f>
        <v>0</v>
      </c>
      <c r="R149" s="14" cm="1">
        <f t="array" ref="R149">INT(SUMPRODUCT(--ISNUMBER(SEARCH(race,C149)))&gt;0)</f>
        <v>0</v>
      </c>
      <c r="S149" s="14" cm="1">
        <f t="array" ref="S149">INT(SUMPRODUCT(--ISNUMBER(SEARCH(immigration,C149)))&gt;0)</f>
        <v>0</v>
      </c>
      <c r="T149" s="14" cm="1">
        <f t="array" ref="T149">INT(SUMPRODUCT(--ISNUMBER(SEARCH(econineq,C150)))&gt;0)</f>
        <v>0</v>
      </c>
      <c r="U149" s="14" cm="1">
        <f t="array" ref="U149">INT(SUMPRODUCT(--ISNUMBER(SEARCH(climate,C149)))&gt;0)</f>
        <v>0</v>
      </c>
      <c r="V149" s="14" cm="1">
        <f t="array" ref="V149">INT(SUMPRODUCT(--ISNUMBER(SEARCH(abortion,C149)))&gt;0)</f>
        <v>0</v>
      </c>
      <c r="W149" s="14" cm="1">
        <f t="array" ref="W149">INT(SUMPRODUCT(--ISNUMBER(SEARCH(trump,C149)))&gt;0)</f>
        <v>0</v>
      </c>
      <c r="X149" s="14" cm="1">
        <f t="array" ref="X149">INT(SUMPRODUCT(--ISNUMBER(SEARCH(voting,C149)))&gt;0)</f>
        <v>1</v>
      </c>
      <c r="Y149" s="35" cm="1">
        <f t="array" ref="Y149">INT(SUMPRODUCT(--ISNUMBER(SEARCH(republicantrigger,C149)))&gt;0)</f>
        <v>1</v>
      </c>
      <c r="Z149" s="35" cm="1">
        <f t="array" ref="Z149">INT(SUMPRODUCT(--ISNUMBER(SEARCH(bipartisan,C149)))&gt;0)</f>
        <v>0</v>
      </c>
      <c r="AA149" s="35">
        <f t="shared" si="2"/>
        <v>0</v>
      </c>
      <c r="AB149" s="14"/>
      <c r="AC149" s="30" t="s">
        <v>223</v>
      </c>
      <c r="AD149" s="37" t="s">
        <v>223</v>
      </c>
    </row>
    <row r="150" spans="1:30" x14ac:dyDescent="0.25">
      <c r="A150" s="36">
        <v>2656</v>
      </c>
      <c r="B150" s="14" t="s">
        <v>5337</v>
      </c>
      <c r="C150" s="14" t="s">
        <v>5338</v>
      </c>
      <c r="D150" s="17">
        <v>44125</v>
      </c>
      <c r="E150" s="14" t="s">
        <v>30</v>
      </c>
      <c r="F150" s="14">
        <v>130</v>
      </c>
      <c r="G150" s="14">
        <v>54</v>
      </c>
      <c r="H150" s="14">
        <v>12</v>
      </c>
      <c r="I150" s="14">
        <v>6</v>
      </c>
      <c r="J150" s="14" t="s">
        <v>31</v>
      </c>
      <c r="K150" s="14" cm="1">
        <f t="array" ref="K150">INT(SUMPRODUCT(--ISNUMBER(SEARCH(economy,C150)))&gt;0)</f>
        <v>0</v>
      </c>
      <c r="L150" s="14" cm="1">
        <f t="array" ref="L150">INT(SUMPRODUCT(--ISNUMBER(SEARCH(healthcare,C150)))&gt;0)</f>
        <v>0</v>
      </c>
      <c r="M150" s="14" cm="1">
        <f t="array" ref="M150">INT(SUMPRODUCT(--ISNUMBER(SEARCH(supreme,C150)))&gt;0)</f>
        <v>0</v>
      </c>
      <c r="N150" s="14" cm="1">
        <f t="array" ref="N150">INT(SUMPRODUCT(--ISNUMBER(SEARCH(covid,C150)))&gt;0)</f>
        <v>0</v>
      </c>
      <c r="O150" s="14" cm="1">
        <f t="array" ref="O150">INT(SUMPRODUCT(--ISNUMBER(SEARCH(violent,C150)))&gt;0)</f>
        <v>0</v>
      </c>
      <c r="P150" s="14" cm="1">
        <f t="array" ref="P150">INT(SUMPRODUCT(--ISNUMBER(SEARCH(foreign,C150)))&gt;0)</f>
        <v>0</v>
      </c>
      <c r="Q150" s="14" cm="1">
        <f t="array" ref="Q150">INT(SUMPRODUCT(--ISNUMBER(SEARCH(gun,C150)))&gt;0)</f>
        <v>0</v>
      </c>
      <c r="R150" s="14" cm="1">
        <f t="array" ref="R150">INT(SUMPRODUCT(--ISNUMBER(SEARCH(race,C150)))&gt;0)</f>
        <v>0</v>
      </c>
      <c r="S150" s="14" cm="1">
        <f t="array" ref="S150">INT(SUMPRODUCT(--ISNUMBER(SEARCH(immigration,C150)))&gt;0)</f>
        <v>0</v>
      </c>
      <c r="T150" s="14" cm="1">
        <f t="array" ref="T150">INT(SUMPRODUCT(--ISNUMBER(SEARCH(econineq,C151)))&gt;0)</f>
        <v>0</v>
      </c>
      <c r="U150" s="14" cm="1">
        <f t="array" ref="U150">INT(SUMPRODUCT(--ISNUMBER(SEARCH(climate,C150)))&gt;0)</f>
        <v>0</v>
      </c>
      <c r="V150" s="14" cm="1">
        <f t="array" ref="V150">INT(SUMPRODUCT(--ISNUMBER(SEARCH(abortion,C150)))&gt;0)</f>
        <v>0</v>
      </c>
      <c r="W150" s="14" cm="1">
        <f t="array" ref="W150">INT(SUMPRODUCT(--ISNUMBER(SEARCH(trump,C150)))&gt;0)</f>
        <v>1</v>
      </c>
      <c r="X150" s="14" cm="1">
        <f t="array" ref="X150">INT(SUMPRODUCT(--ISNUMBER(SEARCH(voting,C150)))&gt;0)</f>
        <v>1</v>
      </c>
      <c r="Y150" s="35" cm="1">
        <f t="array" ref="Y150">INT(SUMPRODUCT(--ISNUMBER(SEARCH(republicantrigger,C150)))&gt;0)</f>
        <v>0</v>
      </c>
      <c r="Z150" s="35" cm="1">
        <f t="array" ref="Z150">INT(SUMPRODUCT(--ISNUMBER(SEARCH(bipartisan,C150)))&gt;0)</f>
        <v>0</v>
      </c>
      <c r="AA150" s="35">
        <f t="shared" si="2"/>
        <v>0</v>
      </c>
      <c r="AB150" s="14"/>
      <c r="AC150" s="30" t="s">
        <v>223</v>
      </c>
      <c r="AD150" s="37" t="s">
        <v>223</v>
      </c>
    </row>
    <row r="151" spans="1:30" x14ac:dyDescent="0.25">
      <c r="A151" s="36">
        <v>2657</v>
      </c>
      <c r="B151" s="14" t="s">
        <v>5339</v>
      </c>
      <c r="C151" s="14" t="s">
        <v>5340</v>
      </c>
      <c r="D151" s="17">
        <v>44125</v>
      </c>
      <c r="E151" s="14" t="s">
        <v>30</v>
      </c>
      <c r="F151" s="14">
        <v>104</v>
      </c>
      <c r="G151" s="14">
        <v>45</v>
      </c>
      <c r="H151" s="14">
        <v>12</v>
      </c>
      <c r="I151" s="14">
        <v>6</v>
      </c>
      <c r="J151" s="14" t="s">
        <v>31</v>
      </c>
      <c r="K151" s="14" cm="1">
        <f t="array" ref="K151">INT(SUMPRODUCT(--ISNUMBER(SEARCH(economy,C151)))&gt;0)</f>
        <v>0</v>
      </c>
      <c r="L151" s="14" cm="1">
        <f t="array" ref="L151">INT(SUMPRODUCT(--ISNUMBER(SEARCH(healthcare,C151)))&gt;0)</f>
        <v>0</v>
      </c>
      <c r="M151" s="14" cm="1">
        <f t="array" ref="M151">INT(SUMPRODUCT(--ISNUMBER(SEARCH(supreme,C151)))&gt;0)</f>
        <v>0</v>
      </c>
      <c r="N151" s="14" cm="1">
        <f t="array" ref="N151">INT(SUMPRODUCT(--ISNUMBER(SEARCH(covid,C151)))&gt;0)</f>
        <v>0</v>
      </c>
      <c r="O151" s="14" cm="1">
        <f t="array" ref="O151">INT(SUMPRODUCT(--ISNUMBER(SEARCH(violent,C151)))&gt;0)</f>
        <v>0</v>
      </c>
      <c r="P151" s="14" cm="1">
        <f t="array" ref="P151">INT(SUMPRODUCT(--ISNUMBER(SEARCH(foreign,C151)))&gt;0)</f>
        <v>0</v>
      </c>
      <c r="Q151" s="14" cm="1">
        <f t="array" ref="Q151">INT(SUMPRODUCT(--ISNUMBER(SEARCH(gun,C151)))&gt;0)</f>
        <v>0</v>
      </c>
      <c r="R151" s="14" cm="1">
        <f t="array" ref="R151">INT(SUMPRODUCT(--ISNUMBER(SEARCH(race,C151)))&gt;0)</f>
        <v>0</v>
      </c>
      <c r="S151" s="14" cm="1">
        <f t="array" ref="S151">INT(SUMPRODUCT(--ISNUMBER(SEARCH(immigration,C151)))&gt;0)</f>
        <v>0</v>
      </c>
      <c r="T151" s="14" cm="1">
        <f t="array" ref="T151">INT(SUMPRODUCT(--ISNUMBER(SEARCH(econineq,C152)))&gt;0)</f>
        <v>0</v>
      </c>
      <c r="U151" s="14" cm="1">
        <f t="array" ref="U151">INT(SUMPRODUCT(--ISNUMBER(SEARCH(climate,C151)))&gt;0)</f>
        <v>0</v>
      </c>
      <c r="V151" s="14" cm="1">
        <f t="array" ref="V151">INT(SUMPRODUCT(--ISNUMBER(SEARCH(abortion,C151)))&gt;0)</f>
        <v>0</v>
      </c>
      <c r="W151" s="14" cm="1">
        <f t="array" ref="W151">INT(SUMPRODUCT(--ISNUMBER(SEARCH(trump,C151)))&gt;0)</f>
        <v>0</v>
      </c>
      <c r="X151" s="14" cm="1">
        <f t="array" ref="X151">INT(SUMPRODUCT(--ISNUMBER(SEARCH(voting,C151)))&gt;0)</f>
        <v>1</v>
      </c>
      <c r="Y151" s="35" cm="1">
        <f t="array" ref="Y151">INT(SUMPRODUCT(--ISNUMBER(SEARCH(republicantrigger,C151)))&gt;0)</f>
        <v>1</v>
      </c>
      <c r="Z151" s="35" cm="1">
        <f t="array" ref="Z151">INT(SUMPRODUCT(--ISNUMBER(SEARCH(bipartisan,C151)))&gt;0)</f>
        <v>0</v>
      </c>
      <c r="AA151" s="35">
        <f t="shared" si="2"/>
        <v>0</v>
      </c>
      <c r="AB151" s="14"/>
      <c r="AC151" s="30" t="s">
        <v>223</v>
      </c>
      <c r="AD151" s="37" t="s">
        <v>223</v>
      </c>
    </row>
    <row r="152" spans="1:30" x14ac:dyDescent="0.25">
      <c r="A152" s="36">
        <v>2658</v>
      </c>
      <c r="B152" s="14" t="s">
        <v>5341</v>
      </c>
      <c r="C152" s="14" t="s">
        <v>5342</v>
      </c>
      <c r="D152" s="17">
        <v>44125</v>
      </c>
      <c r="E152" s="14" t="s">
        <v>30</v>
      </c>
      <c r="F152" s="14">
        <v>156</v>
      </c>
      <c r="G152" s="14">
        <v>53</v>
      </c>
      <c r="H152" s="14">
        <v>12</v>
      </c>
      <c r="I152" s="14">
        <v>6</v>
      </c>
      <c r="J152" s="14" t="s">
        <v>31</v>
      </c>
      <c r="K152" s="14" cm="1">
        <f t="array" ref="K152">INT(SUMPRODUCT(--ISNUMBER(SEARCH(economy,C152)))&gt;0)</f>
        <v>0</v>
      </c>
      <c r="L152" s="14" cm="1">
        <f t="array" ref="L152">INT(SUMPRODUCT(--ISNUMBER(SEARCH(healthcare,C152)))&gt;0)</f>
        <v>0</v>
      </c>
      <c r="M152" s="14" cm="1">
        <f t="array" ref="M152">INT(SUMPRODUCT(--ISNUMBER(SEARCH(supreme,C152)))&gt;0)</f>
        <v>0</v>
      </c>
      <c r="N152" s="14" cm="1">
        <f t="array" ref="N152">INT(SUMPRODUCT(--ISNUMBER(SEARCH(covid,C152)))&gt;0)</f>
        <v>0</v>
      </c>
      <c r="O152" s="14" cm="1">
        <f t="array" ref="O152">INT(SUMPRODUCT(--ISNUMBER(SEARCH(violent,C152)))&gt;0)</f>
        <v>0</v>
      </c>
      <c r="P152" s="14" cm="1">
        <f t="array" ref="P152">INT(SUMPRODUCT(--ISNUMBER(SEARCH(foreign,C152)))&gt;0)</f>
        <v>0</v>
      </c>
      <c r="Q152" s="14" cm="1">
        <f t="array" ref="Q152">INT(SUMPRODUCT(--ISNUMBER(SEARCH(gun,C152)))&gt;0)</f>
        <v>0</v>
      </c>
      <c r="R152" s="14" cm="1">
        <f t="array" ref="R152">INT(SUMPRODUCT(--ISNUMBER(SEARCH(race,C152)))&gt;0)</f>
        <v>0</v>
      </c>
      <c r="S152" s="14" cm="1">
        <f t="array" ref="S152">INT(SUMPRODUCT(--ISNUMBER(SEARCH(immigration,C152)))&gt;0)</f>
        <v>0</v>
      </c>
      <c r="T152" s="14" cm="1">
        <f t="array" ref="T152">INT(SUMPRODUCT(--ISNUMBER(SEARCH(econineq,C153)))&gt;0)</f>
        <v>0</v>
      </c>
      <c r="U152" s="14" cm="1">
        <f t="array" ref="U152">INT(SUMPRODUCT(--ISNUMBER(SEARCH(climate,C152)))&gt;0)</f>
        <v>0</v>
      </c>
      <c r="V152" s="14" cm="1">
        <f t="array" ref="V152">INT(SUMPRODUCT(--ISNUMBER(SEARCH(abortion,C152)))&gt;0)</f>
        <v>0</v>
      </c>
      <c r="W152" s="14" cm="1">
        <f t="array" ref="W152">INT(SUMPRODUCT(--ISNUMBER(SEARCH(trump,C152)))&gt;0)</f>
        <v>0</v>
      </c>
      <c r="X152" s="14" cm="1">
        <f t="array" ref="X152">INT(SUMPRODUCT(--ISNUMBER(SEARCH(voting,C152)))&gt;0)</f>
        <v>0</v>
      </c>
      <c r="Y152" s="35" cm="1">
        <f t="array" ref="Y152">INT(SUMPRODUCT(--ISNUMBER(SEARCH(republicantrigger,C152)))&gt;0)</f>
        <v>1</v>
      </c>
      <c r="Z152" s="35" cm="1">
        <f t="array" ref="Z152">INT(SUMPRODUCT(--ISNUMBER(SEARCH(bipartisan,C152)))&gt;0)</f>
        <v>0</v>
      </c>
      <c r="AA152" s="35">
        <f t="shared" si="2"/>
        <v>0</v>
      </c>
      <c r="AB152" s="14"/>
      <c r="AC152" s="30" t="s">
        <v>223</v>
      </c>
      <c r="AD152" s="37" t="s">
        <v>223</v>
      </c>
    </row>
    <row r="153" spans="1:30" x14ac:dyDescent="0.25">
      <c r="A153" s="36">
        <v>2659</v>
      </c>
      <c r="B153" s="14" t="s">
        <v>5343</v>
      </c>
      <c r="C153" s="14" t="s">
        <v>5344</v>
      </c>
      <c r="D153" s="17">
        <v>44124</v>
      </c>
      <c r="E153" s="14" t="s">
        <v>30</v>
      </c>
      <c r="F153" s="14">
        <v>199</v>
      </c>
      <c r="G153" s="14">
        <v>66</v>
      </c>
      <c r="H153" s="14">
        <v>12</v>
      </c>
      <c r="I153" s="14">
        <v>6</v>
      </c>
      <c r="J153" s="14" t="s">
        <v>31</v>
      </c>
      <c r="K153" s="14" cm="1">
        <f t="array" ref="K153">INT(SUMPRODUCT(--ISNUMBER(SEARCH(economy,C153)))&gt;0)</f>
        <v>0</v>
      </c>
      <c r="L153" s="14" cm="1">
        <f t="array" ref="L153">INT(SUMPRODUCT(--ISNUMBER(SEARCH(healthcare,C153)))&gt;0)</f>
        <v>0</v>
      </c>
      <c r="M153" s="14" cm="1">
        <f t="array" ref="M153">INT(SUMPRODUCT(--ISNUMBER(SEARCH(supreme,C153)))&gt;0)</f>
        <v>0</v>
      </c>
      <c r="N153" s="14" cm="1">
        <f t="array" ref="N153">INT(SUMPRODUCT(--ISNUMBER(SEARCH(covid,C153)))&gt;0)</f>
        <v>0</v>
      </c>
      <c r="O153" s="14" cm="1">
        <f t="array" ref="O153">INT(SUMPRODUCT(--ISNUMBER(SEARCH(violent,C153)))&gt;0)</f>
        <v>0</v>
      </c>
      <c r="P153" s="14" cm="1">
        <f t="array" ref="P153">INT(SUMPRODUCT(--ISNUMBER(SEARCH(foreign,C153)))&gt;0)</f>
        <v>0</v>
      </c>
      <c r="Q153" s="14" cm="1">
        <f t="array" ref="Q153">INT(SUMPRODUCT(--ISNUMBER(SEARCH(gun,C153)))&gt;0)</f>
        <v>0</v>
      </c>
      <c r="R153" s="14" cm="1">
        <f t="array" ref="R153">INT(SUMPRODUCT(--ISNUMBER(SEARCH(race,C153)))&gt;0)</f>
        <v>0</v>
      </c>
      <c r="S153" s="14" cm="1">
        <f t="array" ref="S153">INT(SUMPRODUCT(--ISNUMBER(SEARCH(immigration,C153)))&gt;0)</f>
        <v>0</v>
      </c>
      <c r="T153" s="14" cm="1">
        <f t="array" ref="T153">INT(SUMPRODUCT(--ISNUMBER(SEARCH(econineq,C154)))&gt;0)</f>
        <v>0</v>
      </c>
      <c r="U153" s="14" cm="1">
        <f t="array" ref="U153">INT(SUMPRODUCT(--ISNUMBER(SEARCH(climate,C153)))&gt;0)</f>
        <v>0</v>
      </c>
      <c r="V153" s="14" cm="1">
        <f t="array" ref="V153">INT(SUMPRODUCT(--ISNUMBER(SEARCH(abortion,C153)))&gt;0)</f>
        <v>0</v>
      </c>
      <c r="W153" s="14" cm="1">
        <f t="array" ref="W153">INT(SUMPRODUCT(--ISNUMBER(SEARCH(trump,C153)))&gt;0)</f>
        <v>0</v>
      </c>
      <c r="X153" s="14" cm="1">
        <f t="array" ref="X153">INT(SUMPRODUCT(--ISNUMBER(SEARCH(voting,C153)))&gt;0)</f>
        <v>0</v>
      </c>
      <c r="Y153" s="35" cm="1">
        <f t="array" ref="Y153">INT(SUMPRODUCT(--ISNUMBER(SEARCH(republicantrigger,C153)))&gt;0)</f>
        <v>0</v>
      </c>
      <c r="Z153" s="35" cm="1">
        <f t="array" ref="Z153">INT(SUMPRODUCT(--ISNUMBER(SEARCH(bipartisan,C153)))&gt;0)</f>
        <v>0</v>
      </c>
      <c r="AA153" s="35">
        <f t="shared" si="2"/>
        <v>1</v>
      </c>
      <c r="AB153" s="14"/>
      <c r="AC153" s="30" t="s">
        <v>223</v>
      </c>
      <c r="AD153" s="37" t="s">
        <v>223</v>
      </c>
    </row>
    <row r="154" spans="1:30" x14ac:dyDescent="0.25">
      <c r="A154" s="36">
        <v>2660</v>
      </c>
      <c r="B154" s="14" t="s">
        <v>5345</v>
      </c>
      <c r="C154" s="14" t="s">
        <v>5346</v>
      </c>
      <c r="D154" s="17">
        <v>44124</v>
      </c>
      <c r="E154" s="14" t="s">
        <v>30</v>
      </c>
      <c r="F154" s="14">
        <v>268</v>
      </c>
      <c r="G154" s="14">
        <v>99</v>
      </c>
      <c r="H154" s="14">
        <v>12</v>
      </c>
      <c r="I154" s="14">
        <v>6</v>
      </c>
      <c r="J154" s="14" t="s">
        <v>31</v>
      </c>
      <c r="K154" s="14" cm="1">
        <f t="array" ref="K154">INT(SUMPRODUCT(--ISNUMBER(SEARCH(economy,C154)))&gt;0)</f>
        <v>0</v>
      </c>
      <c r="L154" s="14" cm="1">
        <f t="array" ref="L154">INT(SUMPRODUCT(--ISNUMBER(SEARCH(healthcare,C154)))&gt;0)</f>
        <v>0</v>
      </c>
      <c r="M154" s="14" cm="1">
        <f t="array" ref="M154">INT(SUMPRODUCT(--ISNUMBER(SEARCH(supreme,C154)))&gt;0)</f>
        <v>0</v>
      </c>
      <c r="N154" s="14" cm="1">
        <f t="array" ref="N154">INT(SUMPRODUCT(--ISNUMBER(SEARCH(covid,C154)))&gt;0)</f>
        <v>0</v>
      </c>
      <c r="O154" s="14" cm="1">
        <f t="array" ref="O154">INT(SUMPRODUCT(--ISNUMBER(SEARCH(violent,C154)))&gt;0)</f>
        <v>0</v>
      </c>
      <c r="P154" s="14" cm="1">
        <f t="array" ref="P154">INT(SUMPRODUCT(--ISNUMBER(SEARCH(foreign,C154)))&gt;0)</f>
        <v>0</v>
      </c>
      <c r="Q154" s="14" cm="1">
        <f t="array" ref="Q154">INT(SUMPRODUCT(--ISNUMBER(SEARCH(gun,C154)))&gt;0)</f>
        <v>0</v>
      </c>
      <c r="R154" s="14" cm="1">
        <f t="array" ref="R154">INT(SUMPRODUCT(--ISNUMBER(SEARCH(race,C154)))&gt;0)</f>
        <v>0</v>
      </c>
      <c r="S154" s="14" cm="1">
        <f t="array" ref="S154">INT(SUMPRODUCT(--ISNUMBER(SEARCH(immigration,C154)))&gt;0)</f>
        <v>0</v>
      </c>
      <c r="T154" s="14" cm="1">
        <f t="array" ref="T154">INT(SUMPRODUCT(--ISNUMBER(SEARCH(econineq,C155)))&gt;0)</f>
        <v>0</v>
      </c>
      <c r="U154" s="14" cm="1">
        <f t="array" ref="U154">INT(SUMPRODUCT(--ISNUMBER(SEARCH(climate,C154)))&gt;0)</f>
        <v>0</v>
      </c>
      <c r="V154" s="14" cm="1">
        <f t="array" ref="V154">INT(SUMPRODUCT(--ISNUMBER(SEARCH(abortion,C154)))&gt;0)</f>
        <v>0</v>
      </c>
      <c r="W154" s="14" cm="1">
        <f t="array" ref="W154">INT(SUMPRODUCT(--ISNUMBER(SEARCH(trump,C154)))&gt;0)</f>
        <v>0</v>
      </c>
      <c r="X154" s="14" cm="1">
        <f t="array" ref="X154">INT(SUMPRODUCT(--ISNUMBER(SEARCH(voting,C154)))&gt;0)</f>
        <v>1</v>
      </c>
      <c r="Y154" s="35" cm="1">
        <f t="array" ref="Y154">INT(SUMPRODUCT(--ISNUMBER(SEARCH(republicantrigger,C154)))&gt;0)</f>
        <v>0</v>
      </c>
      <c r="Z154" s="35" cm="1">
        <f t="array" ref="Z154">INT(SUMPRODUCT(--ISNUMBER(SEARCH(bipartisan,C154)))&gt;0)</f>
        <v>0</v>
      </c>
      <c r="AA154" s="35">
        <f t="shared" si="2"/>
        <v>0</v>
      </c>
      <c r="AB154" s="14"/>
      <c r="AC154" s="30" t="s">
        <v>223</v>
      </c>
      <c r="AD154" s="37" t="s">
        <v>223</v>
      </c>
    </row>
    <row r="155" spans="1:30" x14ac:dyDescent="0.25">
      <c r="A155" s="36">
        <v>2661</v>
      </c>
      <c r="B155" s="14" t="s">
        <v>5347</v>
      </c>
      <c r="C155" s="14" t="s">
        <v>5348</v>
      </c>
      <c r="D155" s="17">
        <v>44124</v>
      </c>
      <c r="E155" s="14" t="s">
        <v>30</v>
      </c>
      <c r="F155" s="14">
        <v>246</v>
      </c>
      <c r="G155" s="14">
        <v>101</v>
      </c>
      <c r="H155" s="14">
        <v>12</v>
      </c>
      <c r="I155" s="14">
        <v>6</v>
      </c>
      <c r="J155" s="14" t="s">
        <v>31</v>
      </c>
      <c r="K155" s="14" cm="1">
        <f t="array" ref="K155">INT(SUMPRODUCT(--ISNUMBER(SEARCH(economy,C155)))&gt;0)</f>
        <v>0</v>
      </c>
      <c r="L155" s="14" cm="1">
        <f t="array" ref="L155">INT(SUMPRODUCT(--ISNUMBER(SEARCH(healthcare,C155)))&gt;0)</f>
        <v>0</v>
      </c>
      <c r="M155" s="14" cm="1">
        <f t="array" ref="M155">INT(SUMPRODUCT(--ISNUMBER(SEARCH(supreme,C155)))&gt;0)</f>
        <v>0</v>
      </c>
      <c r="N155" s="14" cm="1">
        <f t="array" ref="N155">INT(SUMPRODUCT(--ISNUMBER(SEARCH(covid,C155)))&gt;0)</f>
        <v>0</v>
      </c>
      <c r="O155" s="14" cm="1">
        <f t="array" ref="O155">INT(SUMPRODUCT(--ISNUMBER(SEARCH(violent,C155)))&gt;0)</f>
        <v>0</v>
      </c>
      <c r="P155" s="14" cm="1">
        <f t="array" ref="P155">INT(SUMPRODUCT(--ISNUMBER(SEARCH(foreign,C155)))&gt;0)</f>
        <v>0</v>
      </c>
      <c r="Q155" s="14" cm="1">
        <f t="array" ref="Q155">INT(SUMPRODUCT(--ISNUMBER(SEARCH(gun,C155)))&gt;0)</f>
        <v>1</v>
      </c>
      <c r="R155" s="14" cm="1">
        <f t="array" ref="R155">INT(SUMPRODUCT(--ISNUMBER(SEARCH(race,C155)))&gt;0)</f>
        <v>0</v>
      </c>
      <c r="S155" s="14" cm="1">
        <f t="array" ref="S155">INT(SUMPRODUCT(--ISNUMBER(SEARCH(immigration,C155)))&gt;0)</f>
        <v>0</v>
      </c>
      <c r="T155" s="14" cm="1">
        <f t="array" ref="T155">INT(SUMPRODUCT(--ISNUMBER(SEARCH(econineq,C156)))&gt;0)</f>
        <v>0</v>
      </c>
      <c r="U155" s="14" cm="1">
        <f t="array" ref="U155">INT(SUMPRODUCT(--ISNUMBER(SEARCH(climate,C155)))&gt;0)</f>
        <v>0</v>
      </c>
      <c r="V155" s="14" cm="1">
        <f t="array" ref="V155">INT(SUMPRODUCT(--ISNUMBER(SEARCH(abortion,C155)))&gt;0)</f>
        <v>0</v>
      </c>
      <c r="W155" s="14" cm="1">
        <f t="array" ref="W155">INT(SUMPRODUCT(--ISNUMBER(SEARCH(trump,C155)))&gt;0)</f>
        <v>1</v>
      </c>
      <c r="X155" s="14" cm="1">
        <f t="array" ref="X155">INT(SUMPRODUCT(--ISNUMBER(SEARCH(voting,C155)))&gt;0)</f>
        <v>0</v>
      </c>
      <c r="Y155" s="35" cm="1">
        <f t="array" ref="Y155">INT(SUMPRODUCT(--ISNUMBER(SEARCH(republicantrigger,C155)))&gt;0)</f>
        <v>1</v>
      </c>
      <c r="Z155" s="35" cm="1">
        <f t="array" ref="Z155">INT(SUMPRODUCT(--ISNUMBER(SEARCH(bipartisan,C155)))&gt;0)</f>
        <v>0</v>
      </c>
      <c r="AA155" s="35">
        <f t="shared" si="2"/>
        <v>0</v>
      </c>
      <c r="AB155" s="14"/>
      <c r="AC155" s="30" t="s">
        <v>223</v>
      </c>
      <c r="AD155" s="37" t="s">
        <v>223</v>
      </c>
    </row>
    <row r="156" spans="1:30" x14ac:dyDescent="0.25">
      <c r="A156" s="36">
        <v>2662</v>
      </c>
      <c r="B156" s="14" t="s">
        <v>5349</v>
      </c>
      <c r="C156" s="14" t="s">
        <v>5350</v>
      </c>
      <c r="D156" s="17">
        <v>44124</v>
      </c>
      <c r="E156" s="14" t="s">
        <v>30</v>
      </c>
      <c r="F156" s="14">
        <v>157</v>
      </c>
      <c r="G156" s="14">
        <v>62</v>
      </c>
      <c r="H156" s="14">
        <v>12</v>
      </c>
      <c r="I156" s="14">
        <v>6</v>
      </c>
      <c r="J156" s="14" t="s">
        <v>31</v>
      </c>
      <c r="K156" s="14" cm="1">
        <f t="array" ref="K156">INT(SUMPRODUCT(--ISNUMBER(SEARCH(economy,C156)))&gt;0)</f>
        <v>1</v>
      </c>
      <c r="L156" s="14" cm="1">
        <f t="array" ref="L156">INT(SUMPRODUCT(--ISNUMBER(SEARCH(healthcare,C156)))&gt;0)</f>
        <v>0</v>
      </c>
      <c r="M156" s="14" cm="1">
        <f t="array" ref="M156">INT(SUMPRODUCT(--ISNUMBER(SEARCH(supreme,C156)))&gt;0)</f>
        <v>0</v>
      </c>
      <c r="N156" s="14" cm="1">
        <f t="array" ref="N156">INT(SUMPRODUCT(--ISNUMBER(SEARCH(covid,C156)))&gt;0)</f>
        <v>0</v>
      </c>
      <c r="O156" s="14" cm="1">
        <f t="array" ref="O156">INT(SUMPRODUCT(--ISNUMBER(SEARCH(violent,C156)))&gt;0)</f>
        <v>0</v>
      </c>
      <c r="P156" s="14" cm="1">
        <f t="array" ref="P156">INT(SUMPRODUCT(--ISNUMBER(SEARCH(foreign,C156)))&gt;0)</f>
        <v>0</v>
      </c>
      <c r="Q156" s="14" cm="1">
        <f t="array" ref="Q156">INT(SUMPRODUCT(--ISNUMBER(SEARCH(gun,C156)))&gt;0)</f>
        <v>0</v>
      </c>
      <c r="R156" s="14" cm="1">
        <f t="array" ref="R156">INT(SUMPRODUCT(--ISNUMBER(SEARCH(race,C156)))&gt;0)</f>
        <v>0</v>
      </c>
      <c r="S156" s="14" cm="1">
        <f t="array" ref="S156">INT(SUMPRODUCT(--ISNUMBER(SEARCH(immigration,C156)))&gt;0)</f>
        <v>0</v>
      </c>
      <c r="T156" s="14" cm="1">
        <f t="array" ref="T156">INT(SUMPRODUCT(--ISNUMBER(SEARCH(econineq,C157)))&gt;0)</f>
        <v>0</v>
      </c>
      <c r="U156" s="14" cm="1">
        <f t="array" ref="U156">INT(SUMPRODUCT(--ISNUMBER(SEARCH(climate,C156)))&gt;0)</f>
        <v>0</v>
      </c>
      <c r="V156" s="14" cm="1">
        <f t="array" ref="V156">INT(SUMPRODUCT(--ISNUMBER(SEARCH(abortion,C156)))&gt;0)</f>
        <v>0</v>
      </c>
      <c r="W156" s="14" cm="1">
        <f t="array" ref="W156">INT(SUMPRODUCT(--ISNUMBER(SEARCH(trump,C156)))&gt;0)</f>
        <v>0</v>
      </c>
      <c r="X156" s="14" cm="1">
        <f t="array" ref="X156">INT(SUMPRODUCT(--ISNUMBER(SEARCH(voting,C156)))&gt;0)</f>
        <v>1</v>
      </c>
      <c r="Y156" s="35" cm="1">
        <f t="array" ref="Y156">INT(SUMPRODUCT(--ISNUMBER(SEARCH(republicantrigger,C156)))&gt;0)</f>
        <v>0</v>
      </c>
      <c r="Z156" s="35" cm="1">
        <f t="array" ref="Z156">INT(SUMPRODUCT(--ISNUMBER(SEARCH(bipartisan,C156)))&gt;0)</f>
        <v>0</v>
      </c>
      <c r="AA156" s="35">
        <f t="shared" si="2"/>
        <v>0</v>
      </c>
      <c r="AB156" s="14"/>
      <c r="AC156" s="30" t="s">
        <v>223</v>
      </c>
      <c r="AD156" s="37" t="s">
        <v>223</v>
      </c>
    </row>
    <row r="157" spans="1:30" x14ac:dyDescent="0.25">
      <c r="A157" s="36">
        <v>2663</v>
      </c>
      <c r="B157" s="14" t="s">
        <v>5351</v>
      </c>
      <c r="C157" s="14" t="s">
        <v>5352</v>
      </c>
      <c r="D157" s="17">
        <v>44124</v>
      </c>
      <c r="E157" s="14" t="s">
        <v>30</v>
      </c>
      <c r="F157" s="14">
        <v>72</v>
      </c>
      <c r="G157" s="14">
        <v>26</v>
      </c>
      <c r="H157" s="14">
        <v>12</v>
      </c>
      <c r="I157" s="14">
        <v>6</v>
      </c>
      <c r="J157" s="14" t="s">
        <v>31</v>
      </c>
      <c r="K157" s="14" cm="1">
        <f t="array" ref="K157">INT(SUMPRODUCT(--ISNUMBER(SEARCH(economy,C157)))&gt;0)</f>
        <v>0</v>
      </c>
      <c r="L157" s="14" cm="1">
        <f t="array" ref="L157">INT(SUMPRODUCT(--ISNUMBER(SEARCH(healthcare,C157)))&gt;0)</f>
        <v>0</v>
      </c>
      <c r="M157" s="14" cm="1">
        <f t="array" ref="M157">INT(SUMPRODUCT(--ISNUMBER(SEARCH(supreme,C157)))&gt;0)</f>
        <v>0</v>
      </c>
      <c r="N157" s="14" cm="1">
        <f t="array" ref="N157">INT(SUMPRODUCT(--ISNUMBER(SEARCH(covid,C157)))&gt;0)</f>
        <v>0</v>
      </c>
      <c r="O157" s="14" cm="1">
        <f t="array" ref="O157">INT(SUMPRODUCT(--ISNUMBER(SEARCH(violent,C157)))&gt;0)</f>
        <v>0</v>
      </c>
      <c r="P157" s="14" cm="1">
        <f t="array" ref="P157">INT(SUMPRODUCT(--ISNUMBER(SEARCH(foreign,C157)))&gt;0)</f>
        <v>0</v>
      </c>
      <c r="Q157" s="14" cm="1">
        <f t="array" ref="Q157">INT(SUMPRODUCT(--ISNUMBER(SEARCH(gun,C157)))&gt;0)</f>
        <v>0</v>
      </c>
      <c r="R157" s="14" cm="1">
        <f t="array" ref="R157">INT(SUMPRODUCT(--ISNUMBER(SEARCH(race,C157)))&gt;0)</f>
        <v>0</v>
      </c>
      <c r="S157" s="14" cm="1">
        <f t="array" ref="S157">INT(SUMPRODUCT(--ISNUMBER(SEARCH(immigration,C157)))&gt;0)</f>
        <v>0</v>
      </c>
      <c r="T157" s="14" cm="1">
        <f t="array" ref="T157">INT(SUMPRODUCT(--ISNUMBER(SEARCH(econineq,C158)))&gt;0)</f>
        <v>0</v>
      </c>
      <c r="U157" s="14" cm="1">
        <f t="array" ref="U157">INT(SUMPRODUCT(--ISNUMBER(SEARCH(climate,C157)))&gt;0)</f>
        <v>0</v>
      </c>
      <c r="V157" s="14" cm="1">
        <f t="array" ref="V157">INT(SUMPRODUCT(--ISNUMBER(SEARCH(abortion,C157)))&gt;0)</f>
        <v>0</v>
      </c>
      <c r="W157" s="14" cm="1">
        <f t="array" ref="W157">INT(SUMPRODUCT(--ISNUMBER(SEARCH(trump,C157)))&gt;0)</f>
        <v>0</v>
      </c>
      <c r="X157" s="14" cm="1">
        <f t="array" ref="X157">INT(SUMPRODUCT(--ISNUMBER(SEARCH(voting,C157)))&gt;0)</f>
        <v>0</v>
      </c>
      <c r="Y157" s="35" cm="1">
        <f t="array" ref="Y157">INT(SUMPRODUCT(--ISNUMBER(SEARCH(republicantrigger,C157)))&gt;0)</f>
        <v>0</v>
      </c>
      <c r="Z157" s="35" cm="1">
        <f t="array" ref="Z157">INT(SUMPRODUCT(--ISNUMBER(SEARCH(bipartisan,C157)))&gt;0)</f>
        <v>0</v>
      </c>
      <c r="AA157" s="35">
        <f t="shared" si="2"/>
        <v>1</v>
      </c>
      <c r="AB157" s="14"/>
      <c r="AC157" s="30">
        <v>0</v>
      </c>
      <c r="AD157" s="37">
        <v>1</v>
      </c>
    </row>
    <row r="158" spans="1:30" x14ac:dyDescent="0.25">
      <c r="A158" s="36">
        <v>2664</v>
      </c>
      <c r="B158" s="14" t="s">
        <v>5353</v>
      </c>
      <c r="C158" s="14" t="s">
        <v>5354</v>
      </c>
      <c r="D158" s="17">
        <v>44124</v>
      </c>
      <c r="E158" s="14" t="s">
        <v>30</v>
      </c>
      <c r="F158" s="14">
        <v>525</v>
      </c>
      <c r="G158" s="14">
        <v>197</v>
      </c>
      <c r="H158" s="14">
        <v>12</v>
      </c>
      <c r="I158" s="14">
        <v>6</v>
      </c>
      <c r="J158" s="14" t="s">
        <v>31</v>
      </c>
      <c r="K158" s="14" cm="1">
        <f t="array" ref="K158">INT(SUMPRODUCT(--ISNUMBER(SEARCH(economy,C158)))&gt;0)</f>
        <v>0</v>
      </c>
      <c r="L158" s="14" cm="1">
        <f t="array" ref="L158">INT(SUMPRODUCT(--ISNUMBER(SEARCH(healthcare,C158)))&gt;0)</f>
        <v>0</v>
      </c>
      <c r="M158" s="14" cm="1">
        <f t="array" ref="M158">INT(SUMPRODUCT(--ISNUMBER(SEARCH(supreme,C158)))&gt;0)</f>
        <v>0</v>
      </c>
      <c r="N158" s="14" cm="1">
        <f t="array" ref="N158">INT(SUMPRODUCT(--ISNUMBER(SEARCH(covid,C158)))&gt;0)</f>
        <v>1</v>
      </c>
      <c r="O158" s="14" cm="1">
        <f t="array" ref="O158">INT(SUMPRODUCT(--ISNUMBER(SEARCH(violent,C158)))&gt;0)</f>
        <v>0</v>
      </c>
      <c r="P158" s="14" cm="1">
        <f t="array" ref="P158">INT(SUMPRODUCT(--ISNUMBER(SEARCH(foreign,C158)))&gt;0)</f>
        <v>0</v>
      </c>
      <c r="Q158" s="14" cm="1">
        <f t="array" ref="Q158">INT(SUMPRODUCT(--ISNUMBER(SEARCH(gun,C158)))&gt;0)</f>
        <v>0</v>
      </c>
      <c r="R158" s="14" cm="1">
        <f t="array" ref="R158">INT(SUMPRODUCT(--ISNUMBER(SEARCH(race,C158)))&gt;0)</f>
        <v>0</v>
      </c>
      <c r="S158" s="14" cm="1">
        <f t="array" ref="S158">INT(SUMPRODUCT(--ISNUMBER(SEARCH(immigration,C158)))&gt;0)</f>
        <v>0</v>
      </c>
      <c r="T158" s="14" cm="1">
        <f t="array" ref="T158">INT(SUMPRODUCT(--ISNUMBER(SEARCH(econineq,C159)))&gt;0)</f>
        <v>0</v>
      </c>
      <c r="U158" s="14" cm="1">
        <f t="array" ref="U158">INT(SUMPRODUCT(--ISNUMBER(SEARCH(climate,C158)))&gt;0)</f>
        <v>0</v>
      </c>
      <c r="V158" s="14" cm="1">
        <f t="array" ref="V158">INT(SUMPRODUCT(--ISNUMBER(SEARCH(abortion,C158)))&gt;0)</f>
        <v>0</v>
      </c>
      <c r="W158" s="14" cm="1">
        <f t="array" ref="W158">INT(SUMPRODUCT(--ISNUMBER(SEARCH(trump,C158)))&gt;0)</f>
        <v>0</v>
      </c>
      <c r="X158" s="14" cm="1">
        <f t="array" ref="X158">INT(SUMPRODUCT(--ISNUMBER(SEARCH(voting,C158)))&gt;0)</f>
        <v>0</v>
      </c>
      <c r="Y158" s="35" cm="1">
        <f t="array" ref="Y158">INT(SUMPRODUCT(--ISNUMBER(SEARCH(republicantrigger,C158)))&gt;0)</f>
        <v>1</v>
      </c>
      <c r="Z158" s="35" cm="1">
        <f t="array" ref="Z158">INT(SUMPRODUCT(--ISNUMBER(SEARCH(bipartisan,C158)))&gt;0)</f>
        <v>0</v>
      </c>
      <c r="AA158" s="35">
        <f t="shared" si="2"/>
        <v>0</v>
      </c>
      <c r="AB158" s="14"/>
      <c r="AC158" s="30" t="s">
        <v>223</v>
      </c>
      <c r="AD158" s="37" t="s">
        <v>223</v>
      </c>
    </row>
    <row r="159" spans="1:30" x14ac:dyDescent="0.25">
      <c r="A159" s="36">
        <v>2665</v>
      </c>
      <c r="B159" s="14" t="s">
        <v>5355</v>
      </c>
      <c r="C159" s="14" t="s">
        <v>5356</v>
      </c>
      <c r="D159" s="17">
        <v>44123</v>
      </c>
      <c r="E159" s="14" t="s">
        <v>30</v>
      </c>
      <c r="F159" s="14">
        <v>95</v>
      </c>
      <c r="G159" s="14">
        <v>46</v>
      </c>
      <c r="H159" s="14">
        <v>12</v>
      </c>
      <c r="I159" s="14">
        <v>6</v>
      </c>
      <c r="J159" s="14" t="s">
        <v>31</v>
      </c>
      <c r="K159" s="14" cm="1">
        <f t="array" ref="K159">INT(SUMPRODUCT(--ISNUMBER(SEARCH(economy,C159)))&gt;0)</f>
        <v>0</v>
      </c>
      <c r="L159" s="14" cm="1">
        <f t="array" ref="L159">INT(SUMPRODUCT(--ISNUMBER(SEARCH(healthcare,C159)))&gt;0)</f>
        <v>0</v>
      </c>
      <c r="M159" s="14" cm="1">
        <f t="array" ref="M159">INT(SUMPRODUCT(--ISNUMBER(SEARCH(supreme,C159)))&gt;0)</f>
        <v>0</v>
      </c>
      <c r="N159" s="14" cm="1">
        <f t="array" ref="N159">INT(SUMPRODUCT(--ISNUMBER(SEARCH(covid,C159)))&gt;0)</f>
        <v>0</v>
      </c>
      <c r="O159" s="14" cm="1">
        <f t="array" ref="O159">INT(SUMPRODUCT(--ISNUMBER(SEARCH(violent,C159)))&gt;0)</f>
        <v>0</v>
      </c>
      <c r="P159" s="14" cm="1">
        <f t="array" ref="P159">INT(SUMPRODUCT(--ISNUMBER(SEARCH(foreign,C159)))&gt;0)</f>
        <v>0</v>
      </c>
      <c r="Q159" s="14" cm="1">
        <f t="array" ref="Q159">INT(SUMPRODUCT(--ISNUMBER(SEARCH(gun,C159)))&gt;0)</f>
        <v>0</v>
      </c>
      <c r="R159" s="14" cm="1">
        <f t="array" ref="R159">INT(SUMPRODUCT(--ISNUMBER(SEARCH(race,C159)))&gt;0)</f>
        <v>0</v>
      </c>
      <c r="S159" s="14" cm="1">
        <f t="array" ref="S159">INT(SUMPRODUCT(--ISNUMBER(SEARCH(immigration,C159)))&gt;0)</f>
        <v>0</v>
      </c>
      <c r="T159" s="14" cm="1">
        <f t="array" ref="T159">INT(SUMPRODUCT(--ISNUMBER(SEARCH(econineq,C160)))&gt;0)</f>
        <v>1</v>
      </c>
      <c r="U159" s="14" cm="1">
        <f t="array" ref="U159">INT(SUMPRODUCT(--ISNUMBER(SEARCH(climate,C159)))&gt;0)</f>
        <v>0</v>
      </c>
      <c r="V159" s="14" cm="1">
        <f t="array" ref="V159">INT(SUMPRODUCT(--ISNUMBER(SEARCH(abortion,C159)))&gt;0)</f>
        <v>0</v>
      </c>
      <c r="W159" s="14" cm="1">
        <f t="array" ref="W159">INT(SUMPRODUCT(--ISNUMBER(SEARCH(trump,C159)))&gt;0)</f>
        <v>0</v>
      </c>
      <c r="X159" s="14" cm="1">
        <f t="array" ref="X159">INT(SUMPRODUCT(--ISNUMBER(SEARCH(voting,C159)))&gt;0)</f>
        <v>1</v>
      </c>
      <c r="Y159" s="35" cm="1">
        <f t="array" ref="Y159">INT(SUMPRODUCT(--ISNUMBER(SEARCH(republicantrigger,C159)))&gt;0)</f>
        <v>1</v>
      </c>
      <c r="Z159" s="35" cm="1">
        <f t="array" ref="Z159">INT(SUMPRODUCT(--ISNUMBER(SEARCH(bipartisan,C159)))&gt;0)</f>
        <v>0</v>
      </c>
      <c r="AA159" s="35">
        <f t="shared" si="2"/>
        <v>0</v>
      </c>
      <c r="AB159" s="14"/>
      <c r="AC159" s="30" t="s">
        <v>223</v>
      </c>
      <c r="AD159" s="37" t="s">
        <v>223</v>
      </c>
    </row>
    <row r="160" spans="1:30" x14ac:dyDescent="0.25">
      <c r="A160" s="36">
        <v>2666</v>
      </c>
      <c r="B160" s="14" t="s">
        <v>5357</v>
      </c>
      <c r="C160" s="14" t="s">
        <v>5358</v>
      </c>
      <c r="D160" s="17">
        <v>44123</v>
      </c>
      <c r="E160" s="14" t="s">
        <v>30</v>
      </c>
      <c r="F160" s="14">
        <v>151</v>
      </c>
      <c r="G160" s="14">
        <v>74</v>
      </c>
      <c r="H160" s="14">
        <v>12</v>
      </c>
      <c r="I160" s="14">
        <v>6</v>
      </c>
      <c r="J160" s="14" t="s">
        <v>31</v>
      </c>
      <c r="K160" s="14" cm="1">
        <f t="array" ref="K160">INT(SUMPRODUCT(--ISNUMBER(SEARCH(economy,C160)))&gt;0)</f>
        <v>0</v>
      </c>
      <c r="L160" s="14" cm="1">
        <f t="array" ref="L160">INT(SUMPRODUCT(--ISNUMBER(SEARCH(healthcare,C160)))&gt;0)</f>
        <v>0</v>
      </c>
      <c r="M160" s="14" cm="1">
        <f t="array" ref="M160">INT(SUMPRODUCT(--ISNUMBER(SEARCH(supreme,C160)))&gt;0)</f>
        <v>0</v>
      </c>
      <c r="N160" s="14" cm="1">
        <f t="array" ref="N160">INT(SUMPRODUCT(--ISNUMBER(SEARCH(covid,C160)))&gt;0)</f>
        <v>0</v>
      </c>
      <c r="O160" s="14" cm="1">
        <f t="array" ref="O160">INT(SUMPRODUCT(--ISNUMBER(SEARCH(violent,C160)))&gt;0)</f>
        <v>0</v>
      </c>
      <c r="P160" s="14" cm="1">
        <f t="array" ref="P160">INT(SUMPRODUCT(--ISNUMBER(SEARCH(foreign,C160)))&gt;0)</f>
        <v>0</v>
      </c>
      <c r="Q160" s="14" cm="1">
        <f t="array" ref="Q160">INT(SUMPRODUCT(--ISNUMBER(SEARCH(gun,C160)))&gt;0)</f>
        <v>0</v>
      </c>
      <c r="R160" s="14" cm="1">
        <f t="array" ref="R160">INT(SUMPRODUCT(--ISNUMBER(SEARCH(race,C160)))&gt;0)</f>
        <v>0</v>
      </c>
      <c r="S160" s="14" cm="1">
        <f t="array" ref="S160">INT(SUMPRODUCT(--ISNUMBER(SEARCH(immigration,C160)))&gt;0)</f>
        <v>0</v>
      </c>
      <c r="T160" s="14" cm="1">
        <f t="array" ref="T160">INT(SUMPRODUCT(--ISNUMBER(SEARCH(econineq,C161)))&gt;0)</f>
        <v>0</v>
      </c>
      <c r="U160" s="14" cm="1">
        <f t="array" ref="U160">INT(SUMPRODUCT(--ISNUMBER(SEARCH(climate,C160)))&gt;0)</f>
        <v>0</v>
      </c>
      <c r="V160" s="14" cm="1">
        <f t="array" ref="V160">INT(SUMPRODUCT(--ISNUMBER(SEARCH(abortion,C160)))&gt;0)</f>
        <v>0</v>
      </c>
      <c r="W160" s="14" cm="1">
        <f t="array" ref="W160">INT(SUMPRODUCT(--ISNUMBER(SEARCH(trump,C160)))&gt;0)</f>
        <v>0</v>
      </c>
      <c r="X160" s="14" cm="1">
        <f t="array" ref="X160">INT(SUMPRODUCT(--ISNUMBER(SEARCH(voting,C160)))&gt;0)</f>
        <v>0</v>
      </c>
      <c r="Y160" s="35" cm="1">
        <f t="array" ref="Y160">INT(SUMPRODUCT(--ISNUMBER(SEARCH(republicantrigger,C160)))&gt;0)</f>
        <v>1</v>
      </c>
      <c r="Z160" s="35" cm="1">
        <f t="array" ref="Z160">INT(SUMPRODUCT(--ISNUMBER(SEARCH(bipartisan,C160)))&gt;0)</f>
        <v>0</v>
      </c>
      <c r="AA160" s="35">
        <f t="shared" si="2"/>
        <v>0</v>
      </c>
      <c r="AB160" s="14"/>
      <c r="AC160" s="30">
        <v>0</v>
      </c>
      <c r="AD160" s="37">
        <v>1</v>
      </c>
    </row>
    <row r="161" spans="1:30" x14ac:dyDescent="0.25">
      <c r="A161" s="36">
        <v>2667</v>
      </c>
      <c r="B161" s="14" t="s">
        <v>5359</v>
      </c>
      <c r="C161" s="14" t="s">
        <v>5360</v>
      </c>
      <c r="D161" s="17">
        <v>44123</v>
      </c>
      <c r="E161" s="14" t="s">
        <v>30</v>
      </c>
      <c r="F161" s="14">
        <v>205</v>
      </c>
      <c r="G161" s="14">
        <v>81</v>
      </c>
      <c r="H161" s="14">
        <v>12</v>
      </c>
      <c r="I161" s="14">
        <v>6</v>
      </c>
      <c r="J161" s="14" t="s">
        <v>31</v>
      </c>
      <c r="K161" s="14" cm="1">
        <f t="array" ref="K161">INT(SUMPRODUCT(--ISNUMBER(SEARCH(economy,C161)))&gt;0)</f>
        <v>0</v>
      </c>
      <c r="L161" s="14" cm="1">
        <f t="array" ref="L161">INT(SUMPRODUCT(--ISNUMBER(SEARCH(healthcare,C161)))&gt;0)</f>
        <v>0</v>
      </c>
      <c r="M161" s="14" cm="1">
        <f t="array" ref="M161">INT(SUMPRODUCT(--ISNUMBER(SEARCH(supreme,C161)))&gt;0)</f>
        <v>0</v>
      </c>
      <c r="N161" s="14" cm="1">
        <f t="array" ref="N161">INT(SUMPRODUCT(--ISNUMBER(SEARCH(covid,C161)))&gt;0)</f>
        <v>0</v>
      </c>
      <c r="O161" s="14" cm="1">
        <f t="array" ref="O161">INT(SUMPRODUCT(--ISNUMBER(SEARCH(violent,C161)))&gt;0)</f>
        <v>1</v>
      </c>
      <c r="P161" s="14" cm="1">
        <f t="array" ref="P161">INT(SUMPRODUCT(--ISNUMBER(SEARCH(foreign,C161)))&gt;0)</f>
        <v>1</v>
      </c>
      <c r="Q161" s="14" cm="1">
        <f t="array" ref="Q161">INT(SUMPRODUCT(--ISNUMBER(SEARCH(gun,C161)))&gt;0)</f>
        <v>0</v>
      </c>
      <c r="R161" s="14" cm="1">
        <f t="array" ref="R161">INT(SUMPRODUCT(--ISNUMBER(SEARCH(race,C161)))&gt;0)</f>
        <v>0</v>
      </c>
      <c r="S161" s="14" cm="1">
        <f t="array" ref="S161">INT(SUMPRODUCT(--ISNUMBER(SEARCH(immigration,C161)))&gt;0)</f>
        <v>0</v>
      </c>
      <c r="T161" s="14" cm="1">
        <f t="array" ref="T161">INT(SUMPRODUCT(--ISNUMBER(SEARCH(econineq,C162)))&gt;0)</f>
        <v>0</v>
      </c>
      <c r="U161" s="14" cm="1">
        <f t="array" ref="U161">INT(SUMPRODUCT(--ISNUMBER(SEARCH(climate,C161)))&gt;0)</f>
        <v>0</v>
      </c>
      <c r="V161" s="14" cm="1">
        <f t="array" ref="V161">INT(SUMPRODUCT(--ISNUMBER(SEARCH(abortion,C161)))&gt;0)</f>
        <v>0</v>
      </c>
      <c r="W161" s="14" cm="1">
        <f t="array" ref="W161">INT(SUMPRODUCT(--ISNUMBER(SEARCH(trump,C161)))&gt;0)</f>
        <v>1</v>
      </c>
      <c r="X161" s="14" cm="1">
        <f t="array" ref="X161">INT(SUMPRODUCT(--ISNUMBER(SEARCH(voting,C161)))&gt;0)</f>
        <v>0</v>
      </c>
      <c r="Y161" s="35" cm="1">
        <f t="array" ref="Y161">INT(SUMPRODUCT(--ISNUMBER(SEARCH(republicantrigger,C161)))&gt;0)</f>
        <v>1</v>
      </c>
      <c r="Z161" s="35" cm="1">
        <f t="array" ref="Z161">INT(SUMPRODUCT(--ISNUMBER(SEARCH(bipartisan,C161)))&gt;0)</f>
        <v>0</v>
      </c>
      <c r="AA161" s="35">
        <f t="shared" si="2"/>
        <v>0</v>
      </c>
      <c r="AB161" s="14"/>
      <c r="AC161" s="30" t="s">
        <v>223</v>
      </c>
      <c r="AD161" s="37" t="s">
        <v>223</v>
      </c>
    </row>
    <row r="162" spans="1:30" x14ac:dyDescent="0.25">
      <c r="A162" s="36">
        <v>2668</v>
      </c>
      <c r="B162" s="14" t="s">
        <v>5361</v>
      </c>
      <c r="C162" s="14" t="s">
        <v>5362</v>
      </c>
      <c r="D162" s="17">
        <v>44123</v>
      </c>
      <c r="E162" s="14" t="s">
        <v>30</v>
      </c>
      <c r="F162" s="14">
        <v>43</v>
      </c>
      <c r="G162" s="14">
        <v>21</v>
      </c>
      <c r="H162" s="14">
        <v>12</v>
      </c>
      <c r="I162" s="14">
        <v>6</v>
      </c>
      <c r="J162" s="14" t="s">
        <v>31</v>
      </c>
      <c r="K162" s="14" cm="1">
        <f t="array" ref="K162">INT(SUMPRODUCT(--ISNUMBER(SEARCH(economy,C162)))&gt;0)</f>
        <v>0</v>
      </c>
      <c r="L162" s="14" cm="1">
        <f t="array" ref="L162">INT(SUMPRODUCT(--ISNUMBER(SEARCH(healthcare,C162)))&gt;0)</f>
        <v>0</v>
      </c>
      <c r="M162" s="14" cm="1">
        <f t="array" ref="M162">INT(SUMPRODUCT(--ISNUMBER(SEARCH(supreme,C162)))&gt;0)</f>
        <v>0</v>
      </c>
      <c r="N162" s="14" cm="1">
        <f t="array" ref="N162">INT(SUMPRODUCT(--ISNUMBER(SEARCH(covid,C162)))&gt;0)</f>
        <v>1</v>
      </c>
      <c r="O162" s="14" cm="1">
        <f t="array" ref="O162">INT(SUMPRODUCT(--ISNUMBER(SEARCH(violent,C162)))&gt;0)</f>
        <v>0</v>
      </c>
      <c r="P162" s="14" cm="1">
        <f t="array" ref="P162">INT(SUMPRODUCT(--ISNUMBER(SEARCH(foreign,C162)))&gt;0)</f>
        <v>0</v>
      </c>
      <c r="Q162" s="14" cm="1">
        <f t="array" ref="Q162">INT(SUMPRODUCT(--ISNUMBER(SEARCH(gun,C162)))&gt;0)</f>
        <v>0</v>
      </c>
      <c r="R162" s="14" cm="1">
        <f t="array" ref="R162">INT(SUMPRODUCT(--ISNUMBER(SEARCH(race,C162)))&gt;0)</f>
        <v>0</v>
      </c>
      <c r="S162" s="14" cm="1">
        <f t="array" ref="S162">INT(SUMPRODUCT(--ISNUMBER(SEARCH(immigration,C162)))&gt;0)</f>
        <v>0</v>
      </c>
      <c r="T162" s="14" cm="1">
        <f t="array" ref="T162">INT(SUMPRODUCT(--ISNUMBER(SEARCH(econineq,C163)))&gt;0)</f>
        <v>0</v>
      </c>
      <c r="U162" s="14" cm="1">
        <f t="array" ref="U162">INT(SUMPRODUCT(--ISNUMBER(SEARCH(climate,C162)))&gt;0)</f>
        <v>0</v>
      </c>
      <c r="V162" s="14" cm="1">
        <f t="array" ref="V162">INT(SUMPRODUCT(--ISNUMBER(SEARCH(abortion,C162)))&gt;0)</f>
        <v>0</v>
      </c>
      <c r="W162" s="14" cm="1">
        <f t="array" ref="W162">INT(SUMPRODUCT(--ISNUMBER(SEARCH(trump,C162)))&gt;0)</f>
        <v>0</v>
      </c>
      <c r="X162" s="14" cm="1">
        <f t="array" ref="X162">INT(SUMPRODUCT(--ISNUMBER(SEARCH(voting,C162)))&gt;0)</f>
        <v>0</v>
      </c>
      <c r="Y162" s="35" cm="1">
        <f t="array" ref="Y162">INT(SUMPRODUCT(--ISNUMBER(SEARCH(republicantrigger,C162)))&gt;0)</f>
        <v>0</v>
      </c>
      <c r="Z162" s="35" cm="1">
        <f t="array" ref="Z162">INT(SUMPRODUCT(--ISNUMBER(SEARCH(bipartisan,C162)))&gt;0)</f>
        <v>0</v>
      </c>
      <c r="AA162" s="35">
        <f t="shared" si="2"/>
        <v>0</v>
      </c>
      <c r="AB162" s="14"/>
      <c r="AC162" s="30">
        <v>1</v>
      </c>
      <c r="AD162" s="37">
        <v>0</v>
      </c>
    </row>
    <row r="163" spans="1:30" x14ac:dyDescent="0.25">
      <c r="A163" s="36">
        <v>2669</v>
      </c>
      <c r="B163" s="14" t="s">
        <v>5363</v>
      </c>
      <c r="C163" s="14" t="s">
        <v>5364</v>
      </c>
      <c r="D163" s="17">
        <v>44122</v>
      </c>
      <c r="E163" s="14" t="s">
        <v>30</v>
      </c>
      <c r="F163" s="14">
        <v>192</v>
      </c>
      <c r="G163" s="14">
        <v>76</v>
      </c>
      <c r="H163" s="14">
        <v>12</v>
      </c>
      <c r="I163" s="14">
        <v>6</v>
      </c>
      <c r="J163" s="14" t="s">
        <v>31</v>
      </c>
      <c r="K163" s="14" cm="1">
        <f t="array" ref="K163">INT(SUMPRODUCT(--ISNUMBER(SEARCH(economy,C163)))&gt;0)</f>
        <v>0</v>
      </c>
      <c r="L163" s="14" cm="1">
        <f t="array" ref="L163">INT(SUMPRODUCT(--ISNUMBER(SEARCH(healthcare,C163)))&gt;0)</f>
        <v>0</v>
      </c>
      <c r="M163" s="14" cm="1">
        <f t="array" ref="M163">INT(SUMPRODUCT(--ISNUMBER(SEARCH(supreme,C163)))&gt;0)</f>
        <v>0</v>
      </c>
      <c r="N163" s="14" cm="1">
        <f t="array" ref="N163">INT(SUMPRODUCT(--ISNUMBER(SEARCH(covid,C163)))&gt;0)</f>
        <v>1</v>
      </c>
      <c r="O163" s="14" cm="1">
        <f t="array" ref="O163">INT(SUMPRODUCT(--ISNUMBER(SEARCH(violent,C163)))&gt;0)</f>
        <v>0</v>
      </c>
      <c r="P163" s="14" cm="1">
        <f t="array" ref="P163">INT(SUMPRODUCT(--ISNUMBER(SEARCH(foreign,C163)))&gt;0)</f>
        <v>0</v>
      </c>
      <c r="Q163" s="14" cm="1">
        <f t="array" ref="Q163">INT(SUMPRODUCT(--ISNUMBER(SEARCH(gun,C163)))&gt;0)</f>
        <v>0</v>
      </c>
      <c r="R163" s="14" cm="1">
        <f t="array" ref="R163">INT(SUMPRODUCT(--ISNUMBER(SEARCH(race,C163)))&gt;0)</f>
        <v>0</v>
      </c>
      <c r="S163" s="14" cm="1">
        <f t="array" ref="S163">INT(SUMPRODUCT(--ISNUMBER(SEARCH(immigration,C163)))&gt;0)</f>
        <v>0</v>
      </c>
      <c r="T163" s="14" cm="1">
        <f t="array" ref="T163">INT(SUMPRODUCT(--ISNUMBER(SEARCH(econineq,C164)))&gt;0)</f>
        <v>0</v>
      </c>
      <c r="U163" s="14" cm="1">
        <f t="array" ref="U163">INT(SUMPRODUCT(--ISNUMBER(SEARCH(climate,C163)))&gt;0)</f>
        <v>0</v>
      </c>
      <c r="V163" s="14" cm="1">
        <f t="array" ref="V163">INT(SUMPRODUCT(--ISNUMBER(SEARCH(abortion,C163)))&gt;0)</f>
        <v>0</v>
      </c>
      <c r="W163" s="14" cm="1">
        <f t="array" ref="W163">INT(SUMPRODUCT(--ISNUMBER(SEARCH(trump,C163)))&gt;0)</f>
        <v>0</v>
      </c>
      <c r="X163" s="14" cm="1">
        <f t="array" ref="X163">INT(SUMPRODUCT(--ISNUMBER(SEARCH(voting,C163)))&gt;0)</f>
        <v>0</v>
      </c>
      <c r="Y163" s="35" cm="1">
        <f t="array" ref="Y163">INT(SUMPRODUCT(--ISNUMBER(SEARCH(republicantrigger,C163)))&gt;0)</f>
        <v>0</v>
      </c>
      <c r="Z163" s="35" cm="1">
        <f t="array" ref="Z163">INT(SUMPRODUCT(--ISNUMBER(SEARCH(bipartisan,C163)))&gt;0)</f>
        <v>0</v>
      </c>
      <c r="AA163" s="35">
        <f t="shared" si="2"/>
        <v>0</v>
      </c>
      <c r="AB163" s="14"/>
      <c r="AC163" s="30" t="s">
        <v>223</v>
      </c>
      <c r="AD163" s="37" t="s">
        <v>223</v>
      </c>
    </row>
    <row r="164" spans="1:30" x14ac:dyDescent="0.25">
      <c r="A164" s="36">
        <v>2670</v>
      </c>
      <c r="B164" s="14" t="s">
        <v>5365</v>
      </c>
      <c r="C164" s="14" t="s">
        <v>5366</v>
      </c>
      <c r="D164" s="17">
        <v>44122</v>
      </c>
      <c r="E164" s="14" t="s">
        <v>30</v>
      </c>
      <c r="F164" s="14">
        <v>40</v>
      </c>
      <c r="G164" s="14">
        <v>8</v>
      </c>
      <c r="H164" s="14">
        <v>12</v>
      </c>
      <c r="I164" s="14">
        <v>6</v>
      </c>
      <c r="J164" s="14" t="s">
        <v>31</v>
      </c>
      <c r="K164" s="14" cm="1">
        <f t="array" ref="K164">INT(SUMPRODUCT(--ISNUMBER(SEARCH(economy,C164)))&gt;0)</f>
        <v>0</v>
      </c>
      <c r="L164" s="14" cm="1">
        <f t="array" ref="L164">INT(SUMPRODUCT(--ISNUMBER(SEARCH(healthcare,C164)))&gt;0)</f>
        <v>0</v>
      </c>
      <c r="M164" s="14" cm="1">
        <f t="array" ref="M164">INT(SUMPRODUCT(--ISNUMBER(SEARCH(supreme,C164)))&gt;0)</f>
        <v>0</v>
      </c>
      <c r="N164" s="14" cm="1">
        <f t="array" ref="N164">INT(SUMPRODUCT(--ISNUMBER(SEARCH(covid,C164)))&gt;0)</f>
        <v>0</v>
      </c>
      <c r="O164" s="14" cm="1">
        <f t="array" ref="O164">INT(SUMPRODUCT(--ISNUMBER(SEARCH(violent,C164)))&gt;0)</f>
        <v>0</v>
      </c>
      <c r="P164" s="14" cm="1">
        <f t="array" ref="P164">INT(SUMPRODUCT(--ISNUMBER(SEARCH(foreign,C164)))&gt;0)</f>
        <v>0</v>
      </c>
      <c r="Q164" s="14" cm="1">
        <f t="array" ref="Q164">INT(SUMPRODUCT(--ISNUMBER(SEARCH(gun,C164)))&gt;0)</f>
        <v>0</v>
      </c>
      <c r="R164" s="14" cm="1">
        <f t="array" ref="R164">INT(SUMPRODUCT(--ISNUMBER(SEARCH(race,C164)))&gt;0)</f>
        <v>0</v>
      </c>
      <c r="S164" s="14" cm="1">
        <f t="array" ref="S164">INT(SUMPRODUCT(--ISNUMBER(SEARCH(immigration,C164)))&gt;0)</f>
        <v>0</v>
      </c>
      <c r="T164" s="14" cm="1">
        <f t="array" ref="T164">INT(SUMPRODUCT(--ISNUMBER(SEARCH(econineq,C165)))&gt;0)</f>
        <v>0</v>
      </c>
      <c r="U164" s="14" cm="1">
        <f t="array" ref="U164">INT(SUMPRODUCT(--ISNUMBER(SEARCH(climate,C164)))&gt;0)</f>
        <v>0</v>
      </c>
      <c r="V164" s="14" cm="1">
        <f t="array" ref="V164">INT(SUMPRODUCT(--ISNUMBER(SEARCH(abortion,C164)))&gt;0)</f>
        <v>0</v>
      </c>
      <c r="W164" s="14" cm="1">
        <f t="array" ref="W164">INT(SUMPRODUCT(--ISNUMBER(SEARCH(trump,C164)))&gt;0)</f>
        <v>0</v>
      </c>
      <c r="X164" s="14" cm="1">
        <f t="array" ref="X164">INT(SUMPRODUCT(--ISNUMBER(SEARCH(voting,C164)))&gt;0)</f>
        <v>0</v>
      </c>
      <c r="Y164" s="35" cm="1">
        <f t="array" ref="Y164">INT(SUMPRODUCT(--ISNUMBER(SEARCH(republicantrigger,C164)))&gt;0)</f>
        <v>0</v>
      </c>
      <c r="Z164" s="35" cm="1">
        <f t="array" ref="Z164">INT(SUMPRODUCT(--ISNUMBER(SEARCH(bipartisan,C164)))&gt;0)</f>
        <v>0</v>
      </c>
      <c r="AA164" s="35">
        <f t="shared" si="2"/>
        <v>1</v>
      </c>
      <c r="AB164" s="14"/>
      <c r="AC164" s="30" t="s">
        <v>223</v>
      </c>
      <c r="AD164" s="37" t="s">
        <v>223</v>
      </c>
    </row>
    <row r="165" spans="1:30" x14ac:dyDescent="0.25">
      <c r="A165" s="36">
        <v>2671</v>
      </c>
      <c r="B165" s="14" t="s">
        <v>5367</v>
      </c>
      <c r="C165" s="14" t="s">
        <v>5368</v>
      </c>
      <c r="D165" s="17">
        <v>44121</v>
      </c>
      <c r="E165" s="14" t="s">
        <v>30</v>
      </c>
      <c r="F165" s="14">
        <v>171</v>
      </c>
      <c r="G165" s="14">
        <v>56</v>
      </c>
      <c r="H165" s="14">
        <v>12</v>
      </c>
      <c r="I165" s="14">
        <v>6</v>
      </c>
      <c r="J165" s="14" t="s">
        <v>31</v>
      </c>
      <c r="K165" s="14" cm="1">
        <f t="array" ref="K165">INT(SUMPRODUCT(--ISNUMBER(SEARCH(economy,C165)))&gt;0)</f>
        <v>0</v>
      </c>
      <c r="L165" s="14" cm="1">
        <f t="array" ref="L165">INT(SUMPRODUCT(--ISNUMBER(SEARCH(healthcare,C165)))&gt;0)</f>
        <v>0</v>
      </c>
      <c r="M165" s="14" cm="1">
        <f t="array" ref="M165">INT(SUMPRODUCT(--ISNUMBER(SEARCH(supreme,C165)))&gt;0)</f>
        <v>0</v>
      </c>
      <c r="N165" s="14" cm="1">
        <f t="array" ref="N165">INT(SUMPRODUCT(--ISNUMBER(SEARCH(covid,C165)))&gt;0)</f>
        <v>0</v>
      </c>
      <c r="O165" s="14" cm="1">
        <f t="array" ref="O165">INT(SUMPRODUCT(--ISNUMBER(SEARCH(violent,C165)))&gt;0)</f>
        <v>0</v>
      </c>
      <c r="P165" s="14" cm="1">
        <f t="array" ref="P165">INT(SUMPRODUCT(--ISNUMBER(SEARCH(foreign,C165)))&gt;0)</f>
        <v>0</v>
      </c>
      <c r="Q165" s="14" cm="1">
        <f t="array" ref="Q165">INT(SUMPRODUCT(--ISNUMBER(SEARCH(gun,C165)))&gt;0)</f>
        <v>0</v>
      </c>
      <c r="R165" s="14" cm="1">
        <f t="array" ref="R165">INT(SUMPRODUCT(--ISNUMBER(SEARCH(race,C165)))&gt;0)</f>
        <v>0</v>
      </c>
      <c r="S165" s="14" cm="1">
        <f t="array" ref="S165">INT(SUMPRODUCT(--ISNUMBER(SEARCH(immigration,C165)))&gt;0)</f>
        <v>0</v>
      </c>
      <c r="T165" s="14" cm="1">
        <f t="array" ref="T165">INT(SUMPRODUCT(--ISNUMBER(SEARCH(econineq,C166)))&gt;0)</f>
        <v>0</v>
      </c>
      <c r="U165" s="14" cm="1">
        <f t="array" ref="U165">INT(SUMPRODUCT(--ISNUMBER(SEARCH(climate,C165)))&gt;0)</f>
        <v>0</v>
      </c>
      <c r="V165" s="14" cm="1">
        <f t="array" ref="V165">INT(SUMPRODUCT(--ISNUMBER(SEARCH(abortion,C165)))&gt;0)</f>
        <v>0</v>
      </c>
      <c r="W165" s="14" cm="1">
        <f t="array" ref="W165">INT(SUMPRODUCT(--ISNUMBER(SEARCH(trump,C165)))&gt;0)</f>
        <v>1</v>
      </c>
      <c r="X165" s="14" cm="1">
        <f t="array" ref="X165">INT(SUMPRODUCT(--ISNUMBER(SEARCH(voting,C165)))&gt;0)</f>
        <v>1</v>
      </c>
      <c r="Y165" s="35" cm="1">
        <f t="array" ref="Y165">INT(SUMPRODUCT(--ISNUMBER(SEARCH(republicantrigger,C165)))&gt;0)</f>
        <v>1</v>
      </c>
      <c r="Z165" s="35" cm="1">
        <f t="array" ref="Z165">INT(SUMPRODUCT(--ISNUMBER(SEARCH(bipartisan,C165)))&gt;0)</f>
        <v>0</v>
      </c>
      <c r="AA165" s="35">
        <f t="shared" si="2"/>
        <v>0</v>
      </c>
      <c r="AB165" s="14"/>
      <c r="AC165" s="30" t="s">
        <v>223</v>
      </c>
      <c r="AD165" s="37" t="s">
        <v>223</v>
      </c>
    </row>
    <row r="166" spans="1:30" x14ac:dyDescent="0.25">
      <c r="A166" s="36">
        <v>2672</v>
      </c>
      <c r="B166" s="14" t="s">
        <v>5369</v>
      </c>
      <c r="C166" s="14" t="s">
        <v>5370</v>
      </c>
      <c r="D166" s="17">
        <v>44121</v>
      </c>
      <c r="E166" s="14" t="s">
        <v>30</v>
      </c>
      <c r="F166" s="14">
        <v>49</v>
      </c>
      <c r="G166" s="14">
        <v>9</v>
      </c>
      <c r="H166" s="14">
        <v>12</v>
      </c>
      <c r="I166" s="14">
        <v>6</v>
      </c>
      <c r="J166" s="14" t="s">
        <v>31</v>
      </c>
      <c r="K166" s="14" cm="1">
        <f t="array" ref="K166">INT(SUMPRODUCT(--ISNUMBER(SEARCH(economy,C166)))&gt;0)</f>
        <v>0</v>
      </c>
      <c r="L166" s="14" cm="1">
        <f t="array" ref="L166">INT(SUMPRODUCT(--ISNUMBER(SEARCH(healthcare,C166)))&gt;0)</f>
        <v>0</v>
      </c>
      <c r="M166" s="14" cm="1">
        <f t="array" ref="M166">INT(SUMPRODUCT(--ISNUMBER(SEARCH(supreme,C166)))&gt;0)</f>
        <v>0</v>
      </c>
      <c r="N166" s="14" cm="1">
        <f t="array" ref="N166">INT(SUMPRODUCT(--ISNUMBER(SEARCH(covid,C166)))&gt;0)</f>
        <v>0</v>
      </c>
      <c r="O166" s="14" cm="1">
        <f t="array" ref="O166">INT(SUMPRODUCT(--ISNUMBER(SEARCH(violent,C166)))&gt;0)</f>
        <v>0</v>
      </c>
      <c r="P166" s="14" cm="1">
        <f t="array" ref="P166">INT(SUMPRODUCT(--ISNUMBER(SEARCH(foreign,C166)))&gt;0)</f>
        <v>0</v>
      </c>
      <c r="Q166" s="14" cm="1">
        <f t="array" ref="Q166">INT(SUMPRODUCT(--ISNUMBER(SEARCH(gun,C166)))&gt;0)</f>
        <v>0</v>
      </c>
      <c r="R166" s="14" cm="1">
        <f t="array" ref="R166">INT(SUMPRODUCT(--ISNUMBER(SEARCH(race,C166)))&gt;0)</f>
        <v>0</v>
      </c>
      <c r="S166" s="14" cm="1">
        <f t="array" ref="S166">INT(SUMPRODUCT(--ISNUMBER(SEARCH(immigration,C166)))&gt;0)</f>
        <v>0</v>
      </c>
      <c r="T166" s="14" cm="1">
        <f t="array" ref="T166">INT(SUMPRODUCT(--ISNUMBER(SEARCH(econineq,C167)))&gt;0)</f>
        <v>0</v>
      </c>
      <c r="U166" s="14" cm="1">
        <f t="array" ref="U166">INT(SUMPRODUCT(--ISNUMBER(SEARCH(climate,C166)))&gt;0)</f>
        <v>0</v>
      </c>
      <c r="V166" s="14" cm="1">
        <f t="array" ref="V166">INT(SUMPRODUCT(--ISNUMBER(SEARCH(abortion,C166)))&gt;0)</f>
        <v>0</v>
      </c>
      <c r="W166" s="14" cm="1">
        <f t="array" ref="W166">INT(SUMPRODUCT(--ISNUMBER(SEARCH(trump,C166)))&gt;0)</f>
        <v>0</v>
      </c>
      <c r="X166" s="14" cm="1">
        <f t="array" ref="X166">INT(SUMPRODUCT(--ISNUMBER(SEARCH(voting,C166)))&gt;0)</f>
        <v>0</v>
      </c>
      <c r="Y166" s="35" cm="1">
        <f t="array" ref="Y166">INT(SUMPRODUCT(--ISNUMBER(SEARCH(republicantrigger,C166)))&gt;0)</f>
        <v>0</v>
      </c>
      <c r="Z166" s="35" cm="1">
        <f t="array" ref="Z166">INT(SUMPRODUCT(--ISNUMBER(SEARCH(bipartisan,C166)))&gt;0)</f>
        <v>0</v>
      </c>
      <c r="AA166" s="35">
        <f t="shared" si="2"/>
        <v>1</v>
      </c>
      <c r="AB166" s="14"/>
      <c r="AC166" s="30">
        <v>1</v>
      </c>
      <c r="AD166" s="37">
        <v>0</v>
      </c>
    </row>
    <row r="167" spans="1:30" x14ac:dyDescent="0.25">
      <c r="A167" s="36">
        <v>2673</v>
      </c>
      <c r="B167" s="14" t="s">
        <v>5371</v>
      </c>
      <c r="C167" s="14" t="s">
        <v>5372</v>
      </c>
      <c r="D167" s="17">
        <v>44121</v>
      </c>
      <c r="E167" s="14" t="s">
        <v>30</v>
      </c>
      <c r="F167" s="14">
        <v>140</v>
      </c>
      <c r="G167" s="14">
        <v>41</v>
      </c>
      <c r="H167" s="14">
        <v>12</v>
      </c>
      <c r="I167" s="14">
        <v>6</v>
      </c>
      <c r="J167" s="14" t="s">
        <v>31</v>
      </c>
      <c r="K167" s="14" cm="1">
        <f t="array" ref="K167">INT(SUMPRODUCT(--ISNUMBER(SEARCH(economy,C167)))&gt;0)</f>
        <v>0</v>
      </c>
      <c r="L167" s="14" cm="1">
        <f t="array" ref="L167">INT(SUMPRODUCT(--ISNUMBER(SEARCH(healthcare,C167)))&gt;0)</f>
        <v>0</v>
      </c>
      <c r="M167" s="14" cm="1">
        <f t="array" ref="M167">INT(SUMPRODUCT(--ISNUMBER(SEARCH(supreme,C167)))&gt;0)</f>
        <v>0</v>
      </c>
      <c r="N167" s="14" cm="1">
        <f t="array" ref="N167">INT(SUMPRODUCT(--ISNUMBER(SEARCH(covid,C167)))&gt;0)</f>
        <v>0</v>
      </c>
      <c r="O167" s="14" cm="1">
        <f t="array" ref="O167">INT(SUMPRODUCT(--ISNUMBER(SEARCH(violent,C167)))&gt;0)</f>
        <v>0</v>
      </c>
      <c r="P167" s="14" cm="1">
        <f t="array" ref="P167">INT(SUMPRODUCT(--ISNUMBER(SEARCH(foreign,C167)))&gt;0)</f>
        <v>0</v>
      </c>
      <c r="Q167" s="14" cm="1">
        <f t="array" ref="Q167">INT(SUMPRODUCT(--ISNUMBER(SEARCH(gun,C167)))&gt;0)</f>
        <v>0</v>
      </c>
      <c r="R167" s="14" cm="1">
        <f t="array" ref="R167">INT(SUMPRODUCT(--ISNUMBER(SEARCH(race,C167)))&gt;0)</f>
        <v>1</v>
      </c>
      <c r="S167" s="14" cm="1">
        <f t="array" ref="S167">INT(SUMPRODUCT(--ISNUMBER(SEARCH(immigration,C167)))&gt;0)</f>
        <v>0</v>
      </c>
      <c r="T167" s="14" cm="1">
        <f t="array" ref="T167">INT(SUMPRODUCT(--ISNUMBER(SEARCH(econineq,C168)))&gt;0)</f>
        <v>0</v>
      </c>
      <c r="U167" s="14" cm="1">
        <f t="array" ref="U167">INT(SUMPRODUCT(--ISNUMBER(SEARCH(climate,C167)))&gt;0)</f>
        <v>0</v>
      </c>
      <c r="V167" s="14" cm="1">
        <f t="array" ref="V167">INT(SUMPRODUCT(--ISNUMBER(SEARCH(abortion,C167)))&gt;0)</f>
        <v>0</v>
      </c>
      <c r="W167" s="14" cm="1">
        <f t="array" ref="W167">INT(SUMPRODUCT(--ISNUMBER(SEARCH(trump,C167)))&gt;0)</f>
        <v>1</v>
      </c>
      <c r="X167" s="14" cm="1">
        <f t="array" ref="X167">INT(SUMPRODUCT(--ISNUMBER(SEARCH(voting,C167)))&gt;0)</f>
        <v>0</v>
      </c>
      <c r="Y167" s="35" cm="1">
        <f t="array" ref="Y167">INT(SUMPRODUCT(--ISNUMBER(SEARCH(republicantrigger,C167)))&gt;0)</f>
        <v>1</v>
      </c>
      <c r="Z167" s="35" cm="1">
        <f t="array" ref="Z167">INT(SUMPRODUCT(--ISNUMBER(SEARCH(bipartisan,C167)))&gt;0)</f>
        <v>0</v>
      </c>
      <c r="AA167" s="35">
        <f t="shared" si="2"/>
        <v>0</v>
      </c>
      <c r="AB167" s="14"/>
      <c r="AC167" s="30" t="s">
        <v>223</v>
      </c>
      <c r="AD167" s="37" t="s">
        <v>223</v>
      </c>
    </row>
    <row r="168" spans="1:30" x14ac:dyDescent="0.25">
      <c r="A168" s="36">
        <v>2674</v>
      </c>
      <c r="B168" s="14" t="s">
        <v>5373</v>
      </c>
      <c r="C168" s="14" t="s">
        <v>5374</v>
      </c>
      <c r="D168" s="17">
        <v>44121</v>
      </c>
      <c r="E168" s="14" t="s">
        <v>30</v>
      </c>
      <c r="F168" s="14">
        <v>132</v>
      </c>
      <c r="G168" s="14">
        <v>38</v>
      </c>
      <c r="H168" s="14">
        <v>12</v>
      </c>
      <c r="I168" s="14">
        <v>6</v>
      </c>
      <c r="J168" s="14" t="s">
        <v>31</v>
      </c>
      <c r="K168" s="14" cm="1">
        <f t="array" ref="K168">INT(SUMPRODUCT(--ISNUMBER(SEARCH(economy,C168)))&gt;0)</f>
        <v>0</v>
      </c>
      <c r="L168" s="14" cm="1">
        <f t="array" ref="L168">INT(SUMPRODUCT(--ISNUMBER(SEARCH(healthcare,C168)))&gt;0)</f>
        <v>0</v>
      </c>
      <c r="M168" s="14" cm="1">
        <f t="array" ref="M168">INT(SUMPRODUCT(--ISNUMBER(SEARCH(supreme,C168)))&gt;0)</f>
        <v>0</v>
      </c>
      <c r="N168" s="14" cm="1">
        <f t="array" ref="N168">INT(SUMPRODUCT(--ISNUMBER(SEARCH(covid,C168)))&gt;0)</f>
        <v>0</v>
      </c>
      <c r="O168" s="14" cm="1">
        <f t="array" ref="O168">INT(SUMPRODUCT(--ISNUMBER(SEARCH(violent,C168)))&gt;0)</f>
        <v>0</v>
      </c>
      <c r="P168" s="14" cm="1">
        <f t="array" ref="P168">INT(SUMPRODUCT(--ISNUMBER(SEARCH(foreign,C168)))&gt;0)</f>
        <v>0</v>
      </c>
      <c r="Q168" s="14" cm="1">
        <f t="array" ref="Q168">INT(SUMPRODUCT(--ISNUMBER(SEARCH(gun,C168)))&gt;0)</f>
        <v>0</v>
      </c>
      <c r="R168" s="14" cm="1">
        <f t="array" ref="R168">INT(SUMPRODUCT(--ISNUMBER(SEARCH(race,C168)))&gt;0)</f>
        <v>0</v>
      </c>
      <c r="S168" s="14" cm="1">
        <f t="array" ref="S168">INT(SUMPRODUCT(--ISNUMBER(SEARCH(immigration,C168)))&gt;0)</f>
        <v>0</v>
      </c>
      <c r="T168" s="14" cm="1">
        <f t="array" ref="T168">INT(SUMPRODUCT(--ISNUMBER(SEARCH(econineq,C169)))&gt;0)</f>
        <v>0</v>
      </c>
      <c r="U168" s="14" cm="1">
        <f t="array" ref="U168">INT(SUMPRODUCT(--ISNUMBER(SEARCH(climate,C168)))&gt;0)</f>
        <v>0</v>
      </c>
      <c r="V168" s="14" cm="1">
        <f t="array" ref="V168">INT(SUMPRODUCT(--ISNUMBER(SEARCH(abortion,C168)))&gt;0)</f>
        <v>0</v>
      </c>
      <c r="W168" s="14" cm="1">
        <f t="array" ref="W168">INT(SUMPRODUCT(--ISNUMBER(SEARCH(trump,C168)))&gt;0)</f>
        <v>0</v>
      </c>
      <c r="X168" s="14" cm="1">
        <f t="array" ref="X168">INT(SUMPRODUCT(--ISNUMBER(SEARCH(voting,C168)))&gt;0)</f>
        <v>1</v>
      </c>
      <c r="Y168" s="35" cm="1">
        <f t="array" ref="Y168">INT(SUMPRODUCT(--ISNUMBER(SEARCH(republicantrigger,C168)))&gt;0)</f>
        <v>1</v>
      </c>
      <c r="Z168" s="35" cm="1">
        <f t="array" ref="Z168">INT(SUMPRODUCT(--ISNUMBER(SEARCH(bipartisan,C168)))&gt;0)</f>
        <v>0</v>
      </c>
      <c r="AA168" s="35">
        <f t="shared" si="2"/>
        <v>0</v>
      </c>
      <c r="AB168" s="14"/>
      <c r="AC168" s="30" t="s">
        <v>223</v>
      </c>
      <c r="AD168" s="37" t="s">
        <v>223</v>
      </c>
    </row>
    <row r="169" spans="1:30" x14ac:dyDescent="0.25">
      <c r="A169" s="36">
        <v>2675</v>
      </c>
      <c r="B169" s="14" t="s">
        <v>5375</v>
      </c>
      <c r="C169" s="14" t="s">
        <v>5376</v>
      </c>
      <c r="D169" s="17">
        <v>44121</v>
      </c>
      <c r="E169" s="14" t="s">
        <v>30</v>
      </c>
      <c r="F169" s="14">
        <v>87</v>
      </c>
      <c r="G169" s="14">
        <v>40</v>
      </c>
      <c r="H169" s="14">
        <v>12</v>
      </c>
      <c r="I169" s="14">
        <v>6</v>
      </c>
      <c r="J169" s="14" t="s">
        <v>31</v>
      </c>
      <c r="K169" s="14" cm="1">
        <f t="array" ref="K169">INT(SUMPRODUCT(--ISNUMBER(SEARCH(economy,C169)))&gt;0)</f>
        <v>0</v>
      </c>
      <c r="L169" s="14" cm="1">
        <f t="array" ref="L169">INT(SUMPRODUCT(--ISNUMBER(SEARCH(healthcare,C169)))&gt;0)</f>
        <v>0</v>
      </c>
      <c r="M169" s="14" cm="1">
        <f t="array" ref="M169">INT(SUMPRODUCT(--ISNUMBER(SEARCH(supreme,C169)))&gt;0)</f>
        <v>0</v>
      </c>
      <c r="N169" s="14" cm="1">
        <f t="array" ref="N169">INT(SUMPRODUCT(--ISNUMBER(SEARCH(covid,C169)))&gt;0)</f>
        <v>0</v>
      </c>
      <c r="O169" s="14" cm="1">
        <f t="array" ref="O169">INT(SUMPRODUCT(--ISNUMBER(SEARCH(violent,C169)))&gt;0)</f>
        <v>0</v>
      </c>
      <c r="P169" s="14" cm="1">
        <f t="array" ref="P169">INT(SUMPRODUCT(--ISNUMBER(SEARCH(foreign,C169)))&gt;0)</f>
        <v>0</v>
      </c>
      <c r="Q169" s="14" cm="1">
        <f t="array" ref="Q169">INT(SUMPRODUCT(--ISNUMBER(SEARCH(gun,C169)))&gt;0)</f>
        <v>0</v>
      </c>
      <c r="R169" s="14" cm="1">
        <f t="array" ref="R169">INT(SUMPRODUCT(--ISNUMBER(SEARCH(race,C169)))&gt;0)</f>
        <v>0</v>
      </c>
      <c r="S169" s="14" cm="1">
        <f t="array" ref="S169">INT(SUMPRODUCT(--ISNUMBER(SEARCH(immigration,C169)))&gt;0)</f>
        <v>0</v>
      </c>
      <c r="T169" s="14" cm="1">
        <f t="array" ref="T169">INT(SUMPRODUCT(--ISNUMBER(SEARCH(econineq,C170)))&gt;0)</f>
        <v>0</v>
      </c>
      <c r="U169" s="14" cm="1">
        <f t="array" ref="U169">INT(SUMPRODUCT(--ISNUMBER(SEARCH(climate,C169)))&gt;0)</f>
        <v>0</v>
      </c>
      <c r="V169" s="14" cm="1">
        <f t="array" ref="V169">INT(SUMPRODUCT(--ISNUMBER(SEARCH(abortion,C169)))&gt;0)</f>
        <v>0</v>
      </c>
      <c r="W169" s="14" cm="1">
        <f t="array" ref="W169">INT(SUMPRODUCT(--ISNUMBER(SEARCH(trump,C169)))&gt;0)</f>
        <v>0</v>
      </c>
      <c r="X169" s="14" cm="1">
        <f t="array" ref="X169">INT(SUMPRODUCT(--ISNUMBER(SEARCH(voting,C169)))&gt;0)</f>
        <v>1</v>
      </c>
      <c r="Y169" s="35" cm="1">
        <f t="array" ref="Y169">INT(SUMPRODUCT(--ISNUMBER(SEARCH(republicantrigger,C169)))&gt;0)</f>
        <v>1</v>
      </c>
      <c r="Z169" s="35" cm="1">
        <f t="array" ref="Z169">INT(SUMPRODUCT(--ISNUMBER(SEARCH(bipartisan,C169)))&gt;0)</f>
        <v>0</v>
      </c>
      <c r="AA169" s="35">
        <f t="shared" si="2"/>
        <v>0</v>
      </c>
      <c r="AB169" s="14"/>
      <c r="AC169" s="30" t="s">
        <v>223</v>
      </c>
      <c r="AD169" s="37" t="s">
        <v>223</v>
      </c>
    </row>
    <row r="170" spans="1:30" x14ac:dyDescent="0.25">
      <c r="A170" s="36">
        <v>2676</v>
      </c>
      <c r="B170" s="14" t="s">
        <v>5377</v>
      </c>
      <c r="C170" s="14" t="s">
        <v>5378</v>
      </c>
      <c r="D170" s="17">
        <v>44121</v>
      </c>
      <c r="E170" s="14" t="s">
        <v>30</v>
      </c>
      <c r="F170" s="14">
        <v>101</v>
      </c>
      <c r="G170" s="14">
        <v>32</v>
      </c>
      <c r="H170" s="14">
        <v>12</v>
      </c>
      <c r="I170" s="14">
        <v>6</v>
      </c>
      <c r="J170" s="14" t="s">
        <v>31</v>
      </c>
      <c r="K170" s="14" cm="1">
        <f t="array" ref="K170">INT(SUMPRODUCT(--ISNUMBER(SEARCH(economy,C170)))&gt;0)</f>
        <v>1</v>
      </c>
      <c r="L170" s="14" cm="1">
        <f t="array" ref="L170">INT(SUMPRODUCT(--ISNUMBER(SEARCH(healthcare,C170)))&gt;0)</f>
        <v>0</v>
      </c>
      <c r="M170" s="14" cm="1">
        <f t="array" ref="M170">INT(SUMPRODUCT(--ISNUMBER(SEARCH(supreme,C170)))&gt;0)</f>
        <v>0</v>
      </c>
      <c r="N170" s="14" cm="1">
        <f t="array" ref="N170">INT(SUMPRODUCT(--ISNUMBER(SEARCH(covid,C170)))&gt;0)</f>
        <v>0</v>
      </c>
      <c r="O170" s="14" cm="1">
        <f t="array" ref="O170">INT(SUMPRODUCT(--ISNUMBER(SEARCH(violent,C170)))&gt;0)</f>
        <v>0</v>
      </c>
      <c r="P170" s="14" cm="1">
        <f t="array" ref="P170">INT(SUMPRODUCT(--ISNUMBER(SEARCH(foreign,C170)))&gt;0)</f>
        <v>0</v>
      </c>
      <c r="Q170" s="14" cm="1">
        <f t="array" ref="Q170">INT(SUMPRODUCT(--ISNUMBER(SEARCH(gun,C170)))&gt;0)</f>
        <v>0</v>
      </c>
      <c r="R170" s="14" cm="1">
        <f t="array" ref="R170">INT(SUMPRODUCT(--ISNUMBER(SEARCH(race,C170)))&gt;0)</f>
        <v>0</v>
      </c>
      <c r="S170" s="14" cm="1">
        <f t="array" ref="S170">INT(SUMPRODUCT(--ISNUMBER(SEARCH(immigration,C170)))&gt;0)</f>
        <v>0</v>
      </c>
      <c r="T170" s="14" cm="1">
        <f t="array" ref="T170">INT(SUMPRODUCT(--ISNUMBER(SEARCH(econineq,C171)))&gt;0)</f>
        <v>0</v>
      </c>
      <c r="U170" s="14" cm="1">
        <f t="array" ref="U170">INT(SUMPRODUCT(--ISNUMBER(SEARCH(climate,C170)))&gt;0)</f>
        <v>0</v>
      </c>
      <c r="V170" s="14" cm="1">
        <f t="array" ref="V170">INT(SUMPRODUCT(--ISNUMBER(SEARCH(abortion,C170)))&gt;0)</f>
        <v>0</v>
      </c>
      <c r="W170" s="14" cm="1">
        <f t="array" ref="W170">INT(SUMPRODUCT(--ISNUMBER(SEARCH(trump,C170)))&gt;0)</f>
        <v>0</v>
      </c>
      <c r="X170" s="14" cm="1">
        <f t="array" ref="X170">INT(SUMPRODUCT(--ISNUMBER(SEARCH(voting,C170)))&gt;0)</f>
        <v>0</v>
      </c>
      <c r="Y170" s="35" cm="1">
        <f t="array" ref="Y170">INT(SUMPRODUCT(--ISNUMBER(SEARCH(republicantrigger,C170)))&gt;0)</f>
        <v>1</v>
      </c>
      <c r="Z170" s="35" cm="1">
        <f t="array" ref="Z170">INT(SUMPRODUCT(--ISNUMBER(SEARCH(bipartisan,C170)))&gt;0)</f>
        <v>0</v>
      </c>
      <c r="AA170" s="35">
        <f t="shared" si="2"/>
        <v>0</v>
      </c>
      <c r="AB170" s="14"/>
      <c r="AC170" s="30" t="s">
        <v>223</v>
      </c>
      <c r="AD170" s="37" t="s">
        <v>223</v>
      </c>
    </row>
    <row r="171" spans="1:30" x14ac:dyDescent="0.25">
      <c r="A171" s="36">
        <v>2677</v>
      </c>
      <c r="B171" s="14" t="s">
        <v>5379</v>
      </c>
      <c r="C171" s="14" t="s">
        <v>5380</v>
      </c>
      <c r="D171" s="17">
        <v>44120</v>
      </c>
      <c r="E171" s="14" t="s">
        <v>30</v>
      </c>
      <c r="F171" s="14">
        <v>43</v>
      </c>
      <c r="G171" s="14">
        <v>16</v>
      </c>
      <c r="H171" s="14">
        <v>12</v>
      </c>
      <c r="I171" s="14">
        <v>6</v>
      </c>
      <c r="J171" s="14" t="s">
        <v>31</v>
      </c>
      <c r="K171" s="14" cm="1">
        <f t="array" ref="K171">INT(SUMPRODUCT(--ISNUMBER(SEARCH(economy,C171)))&gt;0)</f>
        <v>0</v>
      </c>
      <c r="L171" s="14" cm="1">
        <f t="array" ref="L171">INT(SUMPRODUCT(--ISNUMBER(SEARCH(healthcare,C171)))&gt;0)</f>
        <v>0</v>
      </c>
      <c r="M171" s="14" cm="1">
        <f t="array" ref="M171">INT(SUMPRODUCT(--ISNUMBER(SEARCH(supreme,C171)))&gt;0)</f>
        <v>0</v>
      </c>
      <c r="N171" s="14" cm="1">
        <f t="array" ref="N171">INT(SUMPRODUCT(--ISNUMBER(SEARCH(covid,C171)))&gt;0)</f>
        <v>0</v>
      </c>
      <c r="O171" s="14" cm="1">
        <f t="array" ref="O171">INT(SUMPRODUCT(--ISNUMBER(SEARCH(violent,C171)))&gt;0)</f>
        <v>0</v>
      </c>
      <c r="P171" s="14" cm="1">
        <f t="array" ref="P171">INT(SUMPRODUCT(--ISNUMBER(SEARCH(foreign,C171)))&gt;0)</f>
        <v>0</v>
      </c>
      <c r="Q171" s="14" cm="1">
        <f t="array" ref="Q171">INT(SUMPRODUCT(--ISNUMBER(SEARCH(gun,C171)))&gt;0)</f>
        <v>1</v>
      </c>
      <c r="R171" s="14" cm="1">
        <f t="array" ref="R171">INT(SUMPRODUCT(--ISNUMBER(SEARCH(race,C171)))&gt;0)</f>
        <v>0</v>
      </c>
      <c r="S171" s="14" cm="1">
        <f t="array" ref="S171">INT(SUMPRODUCT(--ISNUMBER(SEARCH(immigration,C171)))&gt;0)</f>
        <v>0</v>
      </c>
      <c r="T171" s="14" cm="1">
        <f t="array" ref="T171">INT(SUMPRODUCT(--ISNUMBER(SEARCH(econineq,C172)))&gt;0)</f>
        <v>0</v>
      </c>
      <c r="U171" s="14" cm="1">
        <f t="array" ref="U171">INT(SUMPRODUCT(--ISNUMBER(SEARCH(climate,C171)))&gt;0)</f>
        <v>0</v>
      </c>
      <c r="V171" s="14" cm="1">
        <f t="array" ref="V171">INT(SUMPRODUCT(--ISNUMBER(SEARCH(abortion,C171)))&gt;0)</f>
        <v>0</v>
      </c>
      <c r="W171" s="14" cm="1">
        <f t="array" ref="W171">INT(SUMPRODUCT(--ISNUMBER(SEARCH(trump,C171)))&gt;0)</f>
        <v>0</v>
      </c>
      <c r="X171" s="14" cm="1">
        <f t="array" ref="X171">INT(SUMPRODUCT(--ISNUMBER(SEARCH(voting,C171)))&gt;0)</f>
        <v>0</v>
      </c>
      <c r="Y171" s="35" cm="1">
        <f t="array" ref="Y171">INT(SUMPRODUCT(--ISNUMBER(SEARCH(republicantrigger,C171)))&gt;0)</f>
        <v>1</v>
      </c>
      <c r="Z171" s="35" cm="1">
        <f t="array" ref="Z171">INT(SUMPRODUCT(--ISNUMBER(SEARCH(bipartisan,C171)))&gt;0)</f>
        <v>0</v>
      </c>
      <c r="AA171" s="35">
        <f t="shared" si="2"/>
        <v>0</v>
      </c>
      <c r="AB171" s="14"/>
      <c r="AC171" s="30">
        <v>1</v>
      </c>
      <c r="AD171" s="37">
        <v>0</v>
      </c>
    </row>
    <row r="172" spans="1:30" x14ac:dyDescent="0.25">
      <c r="A172" s="36">
        <v>2678</v>
      </c>
      <c r="B172" s="14" t="s">
        <v>5381</v>
      </c>
      <c r="C172" s="14" t="s">
        <v>5382</v>
      </c>
      <c r="D172" s="17">
        <v>44120</v>
      </c>
      <c r="E172" s="14" t="s">
        <v>30</v>
      </c>
      <c r="F172" s="14">
        <v>191</v>
      </c>
      <c r="G172" s="14">
        <v>73</v>
      </c>
      <c r="H172" s="14">
        <v>12</v>
      </c>
      <c r="I172" s="14">
        <v>6</v>
      </c>
      <c r="J172" s="14" t="s">
        <v>31</v>
      </c>
      <c r="K172" s="14" cm="1">
        <f t="array" ref="K172">INT(SUMPRODUCT(--ISNUMBER(SEARCH(economy,C172)))&gt;0)</f>
        <v>0</v>
      </c>
      <c r="L172" s="14" cm="1">
        <f t="array" ref="L172">INT(SUMPRODUCT(--ISNUMBER(SEARCH(healthcare,C172)))&gt;0)</f>
        <v>0</v>
      </c>
      <c r="M172" s="14" cm="1">
        <f t="array" ref="M172">INT(SUMPRODUCT(--ISNUMBER(SEARCH(supreme,C172)))&gt;0)</f>
        <v>0</v>
      </c>
      <c r="N172" s="14" cm="1">
        <f t="array" ref="N172">INT(SUMPRODUCT(--ISNUMBER(SEARCH(covid,C172)))&gt;0)</f>
        <v>0</v>
      </c>
      <c r="O172" s="14" cm="1">
        <f t="array" ref="O172">INT(SUMPRODUCT(--ISNUMBER(SEARCH(violent,C172)))&gt;0)</f>
        <v>0</v>
      </c>
      <c r="P172" s="14" cm="1">
        <f t="array" ref="P172">INT(SUMPRODUCT(--ISNUMBER(SEARCH(foreign,C172)))&gt;0)</f>
        <v>0</v>
      </c>
      <c r="Q172" s="14" cm="1">
        <f t="array" ref="Q172">INT(SUMPRODUCT(--ISNUMBER(SEARCH(gun,C172)))&gt;0)</f>
        <v>0</v>
      </c>
      <c r="R172" s="14" cm="1">
        <f t="array" ref="R172">INT(SUMPRODUCT(--ISNUMBER(SEARCH(race,C172)))&gt;0)</f>
        <v>0</v>
      </c>
      <c r="S172" s="14" cm="1">
        <f t="array" ref="S172">INT(SUMPRODUCT(--ISNUMBER(SEARCH(immigration,C172)))&gt;0)</f>
        <v>0</v>
      </c>
      <c r="T172" s="14" cm="1">
        <f t="array" ref="T172">INT(SUMPRODUCT(--ISNUMBER(SEARCH(econineq,C173)))&gt;0)</f>
        <v>0</v>
      </c>
      <c r="U172" s="14" cm="1">
        <f t="array" ref="U172">INT(SUMPRODUCT(--ISNUMBER(SEARCH(climate,C172)))&gt;0)</f>
        <v>0</v>
      </c>
      <c r="V172" s="14" cm="1">
        <f t="array" ref="V172">INT(SUMPRODUCT(--ISNUMBER(SEARCH(abortion,C172)))&gt;0)</f>
        <v>0</v>
      </c>
      <c r="W172" s="14" cm="1">
        <f t="array" ref="W172">INT(SUMPRODUCT(--ISNUMBER(SEARCH(trump,C172)))&gt;0)</f>
        <v>0</v>
      </c>
      <c r="X172" s="14" cm="1">
        <f t="array" ref="X172">INT(SUMPRODUCT(--ISNUMBER(SEARCH(voting,C172)))&gt;0)</f>
        <v>0</v>
      </c>
      <c r="Y172" s="35" cm="1">
        <f t="array" ref="Y172">INT(SUMPRODUCT(--ISNUMBER(SEARCH(republicantrigger,C172)))&gt;0)</f>
        <v>1</v>
      </c>
      <c r="Z172" s="35" cm="1">
        <f t="array" ref="Z172">INT(SUMPRODUCT(--ISNUMBER(SEARCH(bipartisan,C172)))&gt;0)</f>
        <v>0</v>
      </c>
      <c r="AA172" s="35">
        <f t="shared" si="2"/>
        <v>0</v>
      </c>
      <c r="AB172" s="14"/>
      <c r="AC172" s="30" t="s">
        <v>223</v>
      </c>
      <c r="AD172" s="37" t="s">
        <v>223</v>
      </c>
    </row>
    <row r="173" spans="1:30" x14ac:dyDescent="0.25">
      <c r="A173" s="36">
        <v>2679</v>
      </c>
      <c r="B173" s="14" t="s">
        <v>5383</v>
      </c>
      <c r="C173" s="14" t="s">
        <v>5384</v>
      </c>
      <c r="D173" s="17">
        <v>44120</v>
      </c>
      <c r="E173" s="14" t="s">
        <v>30</v>
      </c>
      <c r="F173" s="14">
        <v>459</v>
      </c>
      <c r="G173" s="14">
        <v>174</v>
      </c>
      <c r="H173" s="14">
        <v>12</v>
      </c>
      <c r="I173" s="14">
        <v>6</v>
      </c>
      <c r="J173" s="14" t="s">
        <v>31</v>
      </c>
      <c r="K173" s="14" cm="1">
        <f t="array" ref="K173">INT(SUMPRODUCT(--ISNUMBER(SEARCH(economy,C173)))&gt;0)</f>
        <v>0</v>
      </c>
      <c r="L173" s="14" cm="1">
        <f t="array" ref="L173">INT(SUMPRODUCT(--ISNUMBER(SEARCH(healthcare,C173)))&gt;0)</f>
        <v>0</v>
      </c>
      <c r="M173" s="14" cm="1">
        <f t="array" ref="M173">INT(SUMPRODUCT(--ISNUMBER(SEARCH(supreme,C173)))&gt;0)</f>
        <v>0</v>
      </c>
      <c r="N173" s="14" cm="1">
        <f t="array" ref="N173">INT(SUMPRODUCT(--ISNUMBER(SEARCH(covid,C173)))&gt;0)</f>
        <v>0</v>
      </c>
      <c r="O173" s="14" cm="1">
        <f t="array" ref="O173">INT(SUMPRODUCT(--ISNUMBER(SEARCH(violent,C173)))&gt;0)</f>
        <v>0</v>
      </c>
      <c r="P173" s="14" cm="1">
        <f t="array" ref="P173">INT(SUMPRODUCT(--ISNUMBER(SEARCH(foreign,C173)))&gt;0)</f>
        <v>0</v>
      </c>
      <c r="Q173" s="14" cm="1">
        <f t="array" ref="Q173">INT(SUMPRODUCT(--ISNUMBER(SEARCH(gun,C173)))&gt;0)</f>
        <v>0</v>
      </c>
      <c r="R173" s="14" cm="1">
        <f t="array" ref="R173">INT(SUMPRODUCT(--ISNUMBER(SEARCH(race,C173)))&gt;0)</f>
        <v>0</v>
      </c>
      <c r="S173" s="14" cm="1">
        <f t="array" ref="S173">INT(SUMPRODUCT(--ISNUMBER(SEARCH(immigration,C173)))&gt;0)</f>
        <v>0</v>
      </c>
      <c r="T173" s="14" cm="1">
        <f t="array" ref="T173">INT(SUMPRODUCT(--ISNUMBER(SEARCH(econineq,C174)))&gt;0)</f>
        <v>0</v>
      </c>
      <c r="U173" s="14" cm="1">
        <f t="array" ref="U173">INT(SUMPRODUCT(--ISNUMBER(SEARCH(climate,C173)))&gt;0)</f>
        <v>0</v>
      </c>
      <c r="V173" s="14" cm="1">
        <f t="array" ref="V173">INT(SUMPRODUCT(--ISNUMBER(SEARCH(abortion,C173)))&gt;0)</f>
        <v>0</v>
      </c>
      <c r="W173" s="14" cm="1">
        <f t="array" ref="W173">INT(SUMPRODUCT(--ISNUMBER(SEARCH(trump,C173)))&gt;0)</f>
        <v>1</v>
      </c>
      <c r="X173" s="14" cm="1">
        <f t="array" ref="X173">INT(SUMPRODUCT(--ISNUMBER(SEARCH(voting,C173)))&gt;0)</f>
        <v>0</v>
      </c>
      <c r="Y173" s="35" cm="1">
        <f t="array" ref="Y173">INT(SUMPRODUCT(--ISNUMBER(SEARCH(republicantrigger,C173)))&gt;0)</f>
        <v>0</v>
      </c>
      <c r="Z173" s="35" cm="1">
        <f t="array" ref="Z173">INT(SUMPRODUCT(--ISNUMBER(SEARCH(bipartisan,C173)))&gt;0)</f>
        <v>0</v>
      </c>
      <c r="AA173" s="35">
        <f t="shared" si="2"/>
        <v>0</v>
      </c>
      <c r="AB173" s="14"/>
      <c r="AC173" s="30">
        <v>1</v>
      </c>
      <c r="AD173" s="37">
        <v>0</v>
      </c>
    </row>
    <row r="174" spans="1:30" x14ac:dyDescent="0.25">
      <c r="A174" s="36">
        <v>2680</v>
      </c>
      <c r="B174" s="14" t="s">
        <v>5385</v>
      </c>
      <c r="C174" s="14" t="s">
        <v>5386</v>
      </c>
      <c r="D174" s="17">
        <v>44120</v>
      </c>
      <c r="E174" s="14" t="s">
        <v>30</v>
      </c>
      <c r="F174" s="14">
        <v>30</v>
      </c>
      <c r="G174" s="14">
        <v>19</v>
      </c>
      <c r="H174" s="14">
        <v>12</v>
      </c>
      <c r="I174" s="14">
        <v>6</v>
      </c>
      <c r="J174" s="14" t="s">
        <v>31</v>
      </c>
      <c r="K174" s="14" cm="1">
        <f t="array" ref="K174">INT(SUMPRODUCT(--ISNUMBER(SEARCH(economy,C174)))&gt;0)</f>
        <v>0</v>
      </c>
      <c r="L174" s="14" cm="1">
        <f t="array" ref="L174">INT(SUMPRODUCT(--ISNUMBER(SEARCH(healthcare,C174)))&gt;0)</f>
        <v>0</v>
      </c>
      <c r="M174" s="14" cm="1">
        <f t="array" ref="M174">INT(SUMPRODUCT(--ISNUMBER(SEARCH(supreme,C174)))&gt;0)</f>
        <v>0</v>
      </c>
      <c r="N174" s="14" cm="1">
        <f t="array" ref="N174">INT(SUMPRODUCT(--ISNUMBER(SEARCH(covid,C174)))&gt;0)</f>
        <v>0</v>
      </c>
      <c r="O174" s="14" cm="1">
        <f t="array" ref="O174">INT(SUMPRODUCT(--ISNUMBER(SEARCH(violent,C174)))&gt;0)</f>
        <v>1</v>
      </c>
      <c r="P174" s="14" cm="1">
        <f t="array" ref="P174">INT(SUMPRODUCT(--ISNUMBER(SEARCH(foreign,C174)))&gt;0)</f>
        <v>0</v>
      </c>
      <c r="Q174" s="14" cm="1">
        <f t="array" ref="Q174">INT(SUMPRODUCT(--ISNUMBER(SEARCH(gun,C174)))&gt;0)</f>
        <v>0</v>
      </c>
      <c r="R174" s="14" cm="1">
        <f t="array" ref="R174">INT(SUMPRODUCT(--ISNUMBER(SEARCH(race,C174)))&gt;0)</f>
        <v>0</v>
      </c>
      <c r="S174" s="14" cm="1">
        <f t="array" ref="S174">INT(SUMPRODUCT(--ISNUMBER(SEARCH(immigration,C174)))&gt;0)</f>
        <v>0</v>
      </c>
      <c r="T174" s="14" cm="1">
        <f t="array" ref="T174">INT(SUMPRODUCT(--ISNUMBER(SEARCH(econineq,C175)))&gt;0)</f>
        <v>0</v>
      </c>
      <c r="U174" s="14" cm="1">
        <f t="array" ref="U174">INT(SUMPRODUCT(--ISNUMBER(SEARCH(climate,C174)))&gt;0)</f>
        <v>1</v>
      </c>
      <c r="V174" s="14" cm="1">
        <f t="array" ref="V174">INT(SUMPRODUCT(--ISNUMBER(SEARCH(abortion,C174)))&gt;0)</f>
        <v>0</v>
      </c>
      <c r="W174" s="14" cm="1">
        <f t="array" ref="W174">INT(SUMPRODUCT(--ISNUMBER(SEARCH(trump,C174)))&gt;0)</f>
        <v>0</v>
      </c>
      <c r="X174" s="14" cm="1">
        <f t="array" ref="X174">INT(SUMPRODUCT(--ISNUMBER(SEARCH(voting,C174)))&gt;0)</f>
        <v>0</v>
      </c>
      <c r="Y174" s="35" cm="1">
        <f t="array" ref="Y174">INT(SUMPRODUCT(--ISNUMBER(SEARCH(republicantrigger,C174)))&gt;0)</f>
        <v>1</v>
      </c>
      <c r="Z174" s="35" cm="1">
        <f t="array" ref="Z174">INT(SUMPRODUCT(--ISNUMBER(SEARCH(bipartisan,C174)))&gt;0)</f>
        <v>0</v>
      </c>
      <c r="AA174" s="35">
        <f t="shared" si="2"/>
        <v>0</v>
      </c>
      <c r="AB174" s="14"/>
      <c r="AC174" s="30" t="s">
        <v>223</v>
      </c>
      <c r="AD174" s="37" t="s">
        <v>223</v>
      </c>
    </row>
    <row r="175" spans="1:30" x14ac:dyDescent="0.25">
      <c r="A175" s="36">
        <v>2681</v>
      </c>
      <c r="B175" s="14" t="s">
        <v>5387</v>
      </c>
      <c r="C175" s="14" t="s">
        <v>5388</v>
      </c>
      <c r="D175" s="17">
        <v>44120</v>
      </c>
      <c r="E175" s="14" t="s">
        <v>30</v>
      </c>
      <c r="F175" s="14">
        <v>60</v>
      </c>
      <c r="G175" s="14">
        <v>24</v>
      </c>
      <c r="H175" s="14">
        <v>12</v>
      </c>
      <c r="I175" s="14">
        <v>6</v>
      </c>
      <c r="J175" s="14" t="s">
        <v>31</v>
      </c>
      <c r="K175" s="14" cm="1">
        <f t="array" ref="K175">INT(SUMPRODUCT(--ISNUMBER(SEARCH(economy,C175)))&gt;0)</f>
        <v>0</v>
      </c>
      <c r="L175" s="14" cm="1">
        <f t="array" ref="L175">INT(SUMPRODUCT(--ISNUMBER(SEARCH(healthcare,C175)))&gt;0)</f>
        <v>0</v>
      </c>
      <c r="M175" s="14" cm="1">
        <f t="array" ref="M175">INT(SUMPRODUCT(--ISNUMBER(SEARCH(supreme,C175)))&gt;0)</f>
        <v>0</v>
      </c>
      <c r="N175" s="14" cm="1">
        <f t="array" ref="N175">INT(SUMPRODUCT(--ISNUMBER(SEARCH(covid,C175)))&gt;0)</f>
        <v>0</v>
      </c>
      <c r="O175" s="14" cm="1">
        <f t="array" ref="O175">INT(SUMPRODUCT(--ISNUMBER(SEARCH(violent,C175)))&gt;0)</f>
        <v>0</v>
      </c>
      <c r="P175" s="14" cm="1">
        <f t="array" ref="P175">INT(SUMPRODUCT(--ISNUMBER(SEARCH(foreign,C175)))&gt;0)</f>
        <v>0</v>
      </c>
      <c r="Q175" s="14" cm="1">
        <f t="array" ref="Q175">INT(SUMPRODUCT(--ISNUMBER(SEARCH(gun,C175)))&gt;0)</f>
        <v>0</v>
      </c>
      <c r="R175" s="14" cm="1">
        <f t="array" ref="R175">INT(SUMPRODUCT(--ISNUMBER(SEARCH(race,C175)))&gt;0)</f>
        <v>0</v>
      </c>
      <c r="S175" s="14" cm="1">
        <f t="array" ref="S175">INT(SUMPRODUCT(--ISNUMBER(SEARCH(immigration,C175)))&gt;0)</f>
        <v>0</v>
      </c>
      <c r="T175" s="14" cm="1">
        <f t="array" ref="T175">INT(SUMPRODUCT(--ISNUMBER(SEARCH(econineq,C176)))&gt;0)</f>
        <v>0</v>
      </c>
      <c r="U175" s="14" cm="1">
        <f t="array" ref="U175">INT(SUMPRODUCT(--ISNUMBER(SEARCH(climate,C175)))&gt;0)</f>
        <v>0</v>
      </c>
      <c r="V175" s="14" cm="1">
        <f t="array" ref="V175">INT(SUMPRODUCT(--ISNUMBER(SEARCH(abortion,C175)))&gt;0)</f>
        <v>0</v>
      </c>
      <c r="W175" s="14" cm="1">
        <f t="array" ref="W175">INT(SUMPRODUCT(--ISNUMBER(SEARCH(trump,C175)))&gt;0)</f>
        <v>0</v>
      </c>
      <c r="X175" s="14" cm="1">
        <f t="array" ref="X175">INT(SUMPRODUCT(--ISNUMBER(SEARCH(voting,C175)))&gt;0)</f>
        <v>1</v>
      </c>
      <c r="Y175" s="35" cm="1">
        <f t="array" ref="Y175">INT(SUMPRODUCT(--ISNUMBER(SEARCH(republicantrigger,C175)))&gt;0)</f>
        <v>1</v>
      </c>
      <c r="Z175" s="35" cm="1">
        <f t="array" ref="Z175">INT(SUMPRODUCT(--ISNUMBER(SEARCH(bipartisan,C175)))&gt;0)</f>
        <v>0</v>
      </c>
      <c r="AA175" s="35">
        <f t="shared" si="2"/>
        <v>0</v>
      </c>
      <c r="AB175" s="14"/>
      <c r="AC175" s="30" t="s">
        <v>223</v>
      </c>
      <c r="AD175" s="37" t="s">
        <v>223</v>
      </c>
    </row>
    <row r="176" spans="1:30" x14ac:dyDescent="0.25">
      <c r="A176" s="36">
        <v>2682</v>
      </c>
      <c r="B176" s="14" t="s">
        <v>5389</v>
      </c>
      <c r="C176" s="14" t="s">
        <v>5390</v>
      </c>
      <c r="D176" s="17">
        <v>44120</v>
      </c>
      <c r="E176" s="14" t="s">
        <v>30</v>
      </c>
      <c r="F176" s="14">
        <v>63</v>
      </c>
      <c r="G176" s="14">
        <v>21</v>
      </c>
      <c r="H176" s="14">
        <v>12</v>
      </c>
      <c r="I176" s="14">
        <v>6</v>
      </c>
      <c r="J176" s="14" t="s">
        <v>31</v>
      </c>
      <c r="K176" s="14" cm="1">
        <f t="array" ref="K176">INT(SUMPRODUCT(--ISNUMBER(SEARCH(economy,C176)))&gt;0)</f>
        <v>0</v>
      </c>
      <c r="L176" s="14" cm="1">
        <f t="array" ref="L176">INT(SUMPRODUCT(--ISNUMBER(SEARCH(healthcare,C176)))&gt;0)</f>
        <v>0</v>
      </c>
      <c r="M176" s="14" cm="1">
        <f t="array" ref="M176">INT(SUMPRODUCT(--ISNUMBER(SEARCH(supreme,C176)))&gt;0)</f>
        <v>0</v>
      </c>
      <c r="N176" s="14" cm="1">
        <f t="array" ref="N176">INT(SUMPRODUCT(--ISNUMBER(SEARCH(covid,C176)))&gt;0)</f>
        <v>1</v>
      </c>
      <c r="O176" s="14" cm="1">
        <f t="array" ref="O176">INT(SUMPRODUCT(--ISNUMBER(SEARCH(violent,C176)))&gt;0)</f>
        <v>0</v>
      </c>
      <c r="P176" s="14" cm="1">
        <f t="array" ref="P176">INT(SUMPRODUCT(--ISNUMBER(SEARCH(foreign,C176)))&gt;0)</f>
        <v>0</v>
      </c>
      <c r="Q176" s="14" cm="1">
        <f t="array" ref="Q176">INT(SUMPRODUCT(--ISNUMBER(SEARCH(gun,C176)))&gt;0)</f>
        <v>0</v>
      </c>
      <c r="R176" s="14" cm="1">
        <f t="array" ref="R176">INT(SUMPRODUCT(--ISNUMBER(SEARCH(race,C176)))&gt;0)</f>
        <v>0</v>
      </c>
      <c r="S176" s="14" cm="1">
        <f t="array" ref="S176">INT(SUMPRODUCT(--ISNUMBER(SEARCH(immigration,C176)))&gt;0)</f>
        <v>0</v>
      </c>
      <c r="T176" s="14" cm="1">
        <f t="array" ref="T176">INT(SUMPRODUCT(--ISNUMBER(SEARCH(econineq,C177)))&gt;0)</f>
        <v>0</v>
      </c>
      <c r="U176" s="14" cm="1">
        <f t="array" ref="U176">INT(SUMPRODUCT(--ISNUMBER(SEARCH(climate,C176)))&gt;0)</f>
        <v>0</v>
      </c>
      <c r="V176" s="14" cm="1">
        <f t="array" ref="V176">INT(SUMPRODUCT(--ISNUMBER(SEARCH(abortion,C176)))&gt;0)</f>
        <v>0</v>
      </c>
      <c r="W176" s="14" cm="1">
        <f t="array" ref="W176">INT(SUMPRODUCT(--ISNUMBER(SEARCH(trump,C176)))&gt;0)</f>
        <v>0</v>
      </c>
      <c r="X176" s="14" cm="1">
        <f t="array" ref="X176">INT(SUMPRODUCT(--ISNUMBER(SEARCH(voting,C176)))&gt;0)</f>
        <v>0</v>
      </c>
      <c r="Y176" s="35" cm="1">
        <f t="array" ref="Y176">INT(SUMPRODUCT(--ISNUMBER(SEARCH(republicantrigger,C176)))&gt;0)</f>
        <v>1</v>
      </c>
      <c r="Z176" s="35" cm="1">
        <f t="array" ref="Z176">INT(SUMPRODUCT(--ISNUMBER(SEARCH(bipartisan,C176)))&gt;0)</f>
        <v>0</v>
      </c>
      <c r="AA176" s="35">
        <f t="shared" si="2"/>
        <v>0</v>
      </c>
      <c r="AB176" s="14"/>
      <c r="AC176" s="30" t="s">
        <v>223</v>
      </c>
      <c r="AD176" s="37" t="s">
        <v>223</v>
      </c>
    </row>
    <row r="177" spans="1:30" x14ac:dyDescent="0.25">
      <c r="A177" s="36">
        <v>2683</v>
      </c>
      <c r="B177" s="14" t="s">
        <v>5391</v>
      </c>
      <c r="C177" s="14" t="s">
        <v>5392</v>
      </c>
      <c r="D177" s="17">
        <v>44120</v>
      </c>
      <c r="E177" s="14" t="s">
        <v>30</v>
      </c>
      <c r="F177" s="14">
        <v>115</v>
      </c>
      <c r="G177" s="14">
        <v>35</v>
      </c>
      <c r="H177" s="14">
        <v>12</v>
      </c>
      <c r="I177" s="14">
        <v>6</v>
      </c>
      <c r="J177" s="14" t="s">
        <v>31</v>
      </c>
      <c r="K177" s="14" cm="1">
        <f t="array" ref="K177">INT(SUMPRODUCT(--ISNUMBER(SEARCH(economy,C177)))&gt;0)</f>
        <v>0</v>
      </c>
      <c r="L177" s="14" cm="1">
        <f t="array" ref="L177">INT(SUMPRODUCT(--ISNUMBER(SEARCH(healthcare,C177)))&gt;0)</f>
        <v>0</v>
      </c>
      <c r="M177" s="14" cm="1">
        <f t="array" ref="M177">INT(SUMPRODUCT(--ISNUMBER(SEARCH(supreme,C177)))&gt;0)</f>
        <v>0</v>
      </c>
      <c r="N177" s="14" cm="1">
        <f t="array" ref="N177">INT(SUMPRODUCT(--ISNUMBER(SEARCH(covid,C177)))&gt;0)</f>
        <v>0</v>
      </c>
      <c r="O177" s="14" cm="1">
        <f t="array" ref="O177">INT(SUMPRODUCT(--ISNUMBER(SEARCH(violent,C177)))&gt;0)</f>
        <v>0</v>
      </c>
      <c r="P177" s="14" cm="1">
        <f t="array" ref="P177">INT(SUMPRODUCT(--ISNUMBER(SEARCH(foreign,C177)))&gt;0)</f>
        <v>0</v>
      </c>
      <c r="Q177" s="14" cm="1">
        <f t="array" ref="Q177">INT(SUMPRODUCT(--ISNUMBER(SEARCH(gun,C177)))&gt;0)</f>
        <v>0</v>
      </c>
      <c r="R177" s="14" cm="1">
        <f t="array" ref="R177">INT(SUMPRODUCT(--ISNUMBER(SEARCH(race,C177)))&gt;0)</f>
        <v>0</v>
      </c>
      <c r="S177" s="14" cm="1">
        <f t="array" ref="S177">INT(SUMPRODUCT(--ISNUMBER(SEARCH(immigration,C177)))&gt;0)</f>
        <v>0</v>
      </c>
      <c r="T177" s="14" cm="1">
        <f t="array" ref="T177">INT(SUMPRODUCT(--ISNUMBER(SEARCH(econineq,C178)))&gt;0)</f>
        <v>0</v>
      </c>
      <c r="U177" s="14" cm="1">
        <f t="array" ref="U177">INT(SUMPRODUCT(--ISNUMBER(SEARCH(climate,C177)))&gt;0)</f>
        <v>0</v>
      </c>
      <c r="V177" s="14" cm="1">
        <f t="array" ref="V177">INT(SUMPRODUCT(--ISNUMBER(SEARCH(abortion,C177)))&gt;0)</f>
        <v>0</v>
      </c>
      <c r="W177" s="14" cm="1">
        <f t="array" ref="W177">INT(SUMPRODUCT(--ISNUMBER(SEARCH(trump,C177)))&gt;0)</f>
        <v>0</v>
      </c>
      <c r="X177" s="14" cm="1">
        <f t="array" ref="X177">INT(SUMPRODUCT(--ISNUMBER(SEARCH(voting,C177)))&gt;0)</f>
        <v>0</v>
      </c>
      <c r="Y177" s="35" cm="1">
        <f t="array" ref="Y177">INT(SUMPRODUCT(--ISNUMBER(SEARCH(republicantrigger,C177)))&gt;0)</f>
        <v>0</v>
      </c>
      <c r="Z177" s="35" cm="1">
        <f t="array" ref="Z177">INT(SUMPRODUCT(--ISNUMBER(SEARCH(bipartisan,C177)))&gt;0)</f>
        <v>0</v>
      </c>
      <c r="AA177" s="35">
        <f t="shared" si="2"/>
        <v>1</v>
      </c>
      <c r="AB177" s="14"/>
      <c r="AC177" s="30" t="s">
        <v>223</v>
      </c>
      <c r="AD177" s="37" t="s">
        <v>223</v>
      </c>
    </row>
    <row r="178" spans="1:30" x14ac:dyDescent="0.25">
      <c r="A178" s="36">
        <v>2684</v>
      </c>
      <c r="B178" s="14" t="s">
        <v>5393</v>
      </c>
      <c r="C178" s="14" t="s">
        <v>5394</v>
      </c>
      <c r="D178" s="17">
        <v>44120</v>
      </c>
      <c r="E178" s="14" t="s">
        <v>30</v>
      </c>
      <c r="F178" s="14">
        <v>259</v>
      </c>
      <c r="G178" s="14">
        <v>119</v>
      </c>
      <c r="H178" s="14">
        <v>12</v>
      </c>
      <c r="I178" s="14">
        <v>6</v>
      </c>
      <c r="J178" s="14" t="s">
        <v>31</v>
      </c>
      <c r="K178" s="14" cm="1">
        <f t="array" ref="K178">INT(SUMPRODUCT(--ISNUMBER(SEARCH(economy,C178)))&gt;0)</f>
        <v>1</v>
      </c>
      <c r="L178" s="14" cm="1">
        <f t="array" ref="L178">INT(SUMPRODUCT(--ISNUMBER(SEARCH(healthcare,C178)))&gt;0)</f>
        <v>0</v>
      </c>
      <c r="M178" s="14" cm="1">
        <f t="array" ref="M178">INT(SUMPRODUCT(--ISNUMBER(SEARCH(supreme,C178)))&gt;0)</f>
        <v>0</v>
      </c>
      <c r="N178" s="14" cm="1">
        <f t="array" ref="N178">INT(SUMPRODUCT(--ISNUMBER(SEARCH(covid,C178)))&gt;0)</f>
        <v>1</v>
      </c>
      <c r="O178" s="14" cm="1">
        <f t="array" ref="O178">INT(SUMPRODUCT(--ISNUMBER(SEARCH(violent,C178)))&gt;0)</f>
        <v>0</v>
      </c>
      <c r="P178" s="14" cm="1">
        <f t="array" ref="P178">INT(SUMPRODUCT(--ISNUMBER(SEARCH(foreign,C178)))&gt;0)</f>
        <v>0</v>
      </c>
      <c r="Q178" s="14" cm="1">
        <f t="array" ref="Q178">INT(SUMPRODUCT(--ISNUMBER(SEARCH(gun,C178)))&gt;0)</f>
        <v>0</v>
      </c>
      <c r="R178" s="14" cm="1">
        <f t="array" ref="R178">INT(SUMPRODUCT(--ISNUMBER(SEARCH(race,C178)))&gt;0)</f>
        <v>0</v>
      </c>
      <c r="S178" s="14" cm="1">
        <f t="array" ref="S178">INT(SUMPRODUCT(--ISNUMBER(SEARCH(immigration,C178)))&gt;0)</f>
        <v>0</v>
      </c>
      <c r="T178" s="14" cm="1">
        <f t="array" ref="T178">INT(SUMPRODUCT(--ISNUMBER(SEARCH(econineq,C179)))&gt;0)</f>
        <v>0</v>
      </c>
      <c r="U178" s="14" cm="1">
        <f t="array" ref="U178">INT(SUMPRODUCT(--ISNUMBER(SEARCH(climate,C178)))&gt;0)</f>
        <v>0</v>
      </c>
      <c r="V178" s="14" cm="1">
        <f t="array" ref="V178">INT(SUMPRODUCT(--ISNUMBER(SEARCH(abortion,C178)))&gt;0)</f>
        <v>0</v>
      </c>
      <c r="W178" s="14" cm="1">
        <f t="array" ref="W178">INT(SUMPRODUCT(--ISNUMBER(SEARCH(trump,C178)))&gt;0)</f>
        <v>1</v>
      </c>
      <c r="X178" s="14" cm="1">
        <f t="array" ref="X178">INT(SUMPRODUCT(--ISNUMBER(SEARCH(voting,C178)))&gt;0)</f>
        <v>0</v>
      </c>
      <c r="Y178" s="35" cm="1">
        <f t="array" ref="Y178">INT(SUMPRODUCT(--ISNUMBER(SEARCH(republicantrigger,C178)))&gt;0)</f>
        <v>0</v>
      </c>
      <c r="Z178" s="35" cm="1">
        <f t="array" ref="Z178">INT(SUMPRODUCT(--ISNUMBER(SEARCH(bipartisan,C178)))&gt;0)</f>
        <v>0</v>
      </c>
      <c r="AA178" s="35">
        <f t="shared" si="2"/>
        <v>0</v>
      </c>
      <c r="AB178" s="14"/>
      <c r="AC178" s="30" t="s">
        <v>223</v>
      </c>
      <c r="AD178" s="37"/>
    </row>
    <row r="179" spans="1:30" x14ac:dyDescent="0.25">
      <c r="A179" s="36">
        <v>2685</v>
      </c>
      <c r="B179" s="14" t="s">
        <v>5395</v>
      </c>
      <c r="C179" s="14" t="s">
        <v>5396</v>
      </c>
      <c r="D179" s="17">
        <v>44120</v>
      </c>
      <c r="E179" s="14" t="s">
        <v>30</v>
      </c>
      <c r="F179" s="14">
        <v>67</v>
      </c>
      <c r="G179" s="14">
        <v>27</v>
      </c>
      <c r="H179" s="14">
        <v>12</v>
      </c>
      <c r="I179" s="14">
        <v>6</v>
      </c>
      <c r="J179" s="14" t="s">
        <v>31</v>
      </c>
      <c r="K179" s="14" cm="1">
        <f t="array" ref="K179">INT(SUMPRODUCT(--ISNUMBER(SEARCH(economy,C179)))&gt;0)</f>
        <v>0</v>
      </c>
      <c r="L179" s="14" cm="1">
        <f t="array" ref="L179">INT(SUMPRODUCT(--ISNUMBER(SEARCH(healthcare,C179)))&gt;0)</f>
        <v>0</v>
      </c>
      <c r="M179" s="14" cm="1">
        <f t="array" ref="M179">INT(SUMPRODUCT(--ISNUMBER(SEARCH(supreme,C179)))&gt;0)</f>
        <v>0</v>
      </c>
      <c r="N179" s="14" cm="1">
        <f t="array" ref="N179">INT(SUMPRODUCT(--ISNUMBER(SEARCH(covid,C179)))&gt;0)</f>
        <v>0</v>
      </c>
      <c r="O179" s="14" cm="1">
        <f t="array" ref="O179">INT(SUMPRODUCT(--ISNUMBER(SEARCH(violent,C179)))&gt;0)</f>
        <v>0</v>
      </c>
      <c r="P179" s="14" cm="1">
        <f t="array" ref="P179">INT(SUMPRODUCT(--ISNUMBER(SEARCH(foreign,C179)))&gt;0)</f>
        <v>0</v>
      </c>
      <c r="Q179" s="14" cm="1">
        <f t="array" ref="Q179">INT(SUMPRODUCT(--ISNUMBER(SEARCH(gun,C179)))&gt;0)</f>
        <v>0</v>
      </c>
      <c r="R179" s="14" cm="1">
        <f t="array" ref="R179">INT(SUMPRODUCT(--ISNUMBER(SEARCH(race,C179)))&gt;0)</f>
        <v>0</v>
      </c>
      <c r="S179" s="14" cm="1">
        <f t="array" ref="S179">INT(SUMPRODUCT(--ISNUMBER(SEARCH(immigration,C179)))&gt;0)</f>
        <v>0</v>
      </c>
      <c r="T179" s="14" cm="1">
        <f t="array" ref="T179">INT(SUMPRODUCT(--ISNUMBER(SEARCH(econineq,C180)))&gt;0)</f>
        <v>0</v>
      </c>
      <c r="U179" s="14" cm="1">
        <f t="array" ref="U179">INT(SUMPRODUCT(--ISNUMBER(SEARCH(climate,C179)))&gt;0)</f>
        <v>1</v>
      </c>
      <c r="V179" s="14" cm="1">
        <f t="array" ref="V179">INT(SUMPRODUCT(--ISNUMBER(SEARCH(abortion,C179)))&gt;0)</f>
        <v>0</v>
      </c>
      <c r="W179" s="14" cm="1">
        <f t="array" ref="W179">INT(SUMPRODUCT(--ISNUMBER(SEARCH(trump,C179)))&gt;0)</f>
        <v>0</v>
      </c>
      <c r="X179" s="14" cm="1">
        <f t="array" ref="X179">INT(SUMPRODUCT(--ISNUMBER(SEARCH(voting,C179)))&gt;0)</f>
        <v>0</v>
      </c>
      <c r="Y179" s="35" cm="1">
        <f t="array" ref="Y179">INT(SUMPRODUCT(--ISNUMBER(SEARCH(republicantrigger,C179)))&gt;0)</f>
        <v>1</v>
      </c>
      <c r="Z179" s="35" cm="1">
        <f t="array" ref="Z179">INT(SUMPRODUCT(--ISNUMBER(SEARCH(bipartisan,C179)))&gt;0)</f>
        <v>0</v>
      </c>
      <c r="AA179" s="35">
        <f t="shared" si="2"/>
        <v>0</v>
      </c>
      <c r="AB179" s="14"/>
      <c r="AC179" s="30">
        <v>1</v>
      </c>
      <c r="AD179" s="37">
        <v>1</v>
      </c>
    </row>
    <row r="180" spans="1:30" x14ac:dyDescent="0.25">
      <c r="A180" s="36">
        <v>2686</v>
      </c>
      <c r="B180" s="14" t="s">
        <v>5397</v>
      </c>
      <c r="C180" s="14" t="s">
        <v>5398</v>
      </c>
      <c r="D180" s="17">
        <v>44120</v>
      </c>
      <c r="E180" s="14" t="s">
        <v>30</v>
      </c>
      <c r="F180" s="14">
        <v>700</v>
      </c>
      <c r="G180" s="14">
        <v>421</v>
      </c>
      <c r="H180" s="14">
        <v>12</v>
      </c>
      <c r="I180" s="14">
        <v>6</v>
      </c>
      <c r="J180" s="14" t="s">
        <v>31</v>
      </c>
      <c r="K180" s="14" cm="1">
        <f t="array" ref="K180">INT(SUMPRODUCT(--ISNUMBER(SEARCH(economy,C180)))&gt;0)</f>
        <v>0</v>
      </c>
      <c r="L180" s="14" cm="1">
        <f t="array" ref="L180">INT(SUMPRODUCT(--ISNUMBER(SEARCH(healthcare,C180)))&gt;0)</f>
        <v>0</v>
      </c>
      <c r="M180" s="14" cm="1">
        <f t="array" ref="M180">INT(SUMPRODUCT(--ISNUMBER(SEARCH(supreme,C180)))&gt;0)</f>
        <v>1</v>
      </c>
      <c r="N180" s="14" cm="1">
        <f t="array" ref="N180">INT(SUMPRODUCT(--ISNUMBER(SEARCH(covid,C180)))&gt;0)</f>
        <v>0</v>
      </c>
      <c r="O180" s="14" cm="1">
        <f t="array" ref="O180">INT(SUMPRODUCT(--ISNUMBER(SEARCH(violent,C180)))&gt;0)</f>
        <v>1</v>
      </c>
      <c r="P180" s="14" cm="1">
        <f t="array" ref="P180">INT(SUMPRODUCT(--ISNUMBER(SEARCH(foreign,C180)))&gt;0)</f>
        <v>0</v>
      </c>
      <c r="Q180" s="14" cm="1">
        <f t="array" ref="Q180">INT(SUMPRODUCT(--ISNUMBER(SEARCH(gun,C180)))&gt;0)</f>
        <v>0</v>
      </c>
      <c r="R180" s="14" cm="1">
        <f t="array" ref="R180">INT(SUMPRODUCT(--ISNUMBER(SEARCH(race,C180)))&gt;0)</f>
        <v>0</v>
      </c>
      <c r="S180" s="14" cm="1">
        <f t="array" ref="S180">INT(SUMPRODUCT(--ISNUMBER(SEARCH(immigration,C180)))&gt;0)</f>
        <v>0</v>
      </c>
      <c r="T180" s="14" cm="1">
        <f t="array" ref="T180">INT(SUMPRODUCT(--ISNUMBER(SEARCH(econineq,C181)))&gt;0)</f>
        <v>0</v>
      </c>
      <c r="U180" s="14" cm="1">
        <f t="array" ref="U180">INT(SUMPRODUCT(--ISNUMBER(SEARCH(climate,C180)))&gt;0)</f>
        <v>0</v>
      </c>
      <c r="V180" s="14" cm="1">
        <f t="array" ref="V180">INT(SUMPRODUCT(--ISNUMBER(SEARCH(abortion,C180)))&gt;0)</f>
        <v>0</v>
      </c>
      <c r="W180" s="14" cm="1">
        <f t="array" ref="W180">INT(SUMPRODUCT(--ISNUMBER(SEARCH(trump,C180)))&gt;0)</f>
        <v>0</v>
      </c>
      <c r="X180" s="14" cm="1">
        <f t="array" ref="X180">INT(SUMPRODUCT(--ISNUMBER(SEARCH(voting,C180)))&gt;0)</f>
        <v>0</v>
      </c>
      <c r="Y180" s="35" cm="1">
        <f t="array" ref="Y180">INT(SUMPRODUCT(--ISNUMBER(SEARCH(republicantrigger,C180)))&gt;0)</f>
        <v>1</v>
      </c>
      <c r="Z180" s="35" cm="1">
        <f t="array" ref="Z180">INT(SUMPRODUCT(--ISNUMBER(SEARCH(bipartisan,C180)))&gt;0)</f>
        <v>0</v>
      </c>
      <c r="AA180" s="35">
        <f t="shared" si="2"/>
        <v>0</v>
      </c>
      <c r="AB180" s="14"/>
      <c r="AC180" s="30" t="s">
        <v>223</v>
      </c>
      <c r="AD180" s="37" t="s">
        <v>223</v>
      </c>
    </row>
    <row r="181" spans="1:30" x14ac:dyDescent="0.25">
      <c r="A181" s="36">
        <v>2687</v>
      </c>
      <c r="B181" s="14" t="s">
        <v>5399</v>
      </c>
      <c r="C181" s="14" t="s">
        <v>5400</v>
      </c>
      <c r="D181" s="17">
        <v>44120</v>
      </c>
      <c r="E181" s="14" t="s">
        <v>30</v>
      </c>
      <c r="F181" s="14">
        <v>278</v>
      </c>
      <c r="G181" s="14">
        <v>73</v>
      </c>
      <c r="H181" s="14">
        <v>12</v>
      </c>
      <c r="I181" s="14">
        <v>6</v>
      </c>
      <c r="J181" s="14" t="s">
        <v>31</v>
      </c>
      <c r="K181" s="14" cm="1">
        <f t="array" ref="K181">INT(SUMPRODUCT(--ISNUMBER(SEARCH(economy,C181)))&gt;0)</f>
        <v>0</v>
      </c>
      <c r="L181" s="14" cm="1">
        <f t="array" ref="L181">INT(SUMPRODUCT(--ISNUMBER(SEARCH(healthcare,C181)))&gt;0)</f>
        <v>0</v>
      </c>
      <c r="M181" s="14" cm="1">
        <f t="array" ref="M181">INT(SUMPRODUCT(--ISNUMBER(SEARCH(supreme,C181)))&gt;0)</f>
        <v>0</v>
      </c>
      <c r="N181" s="14" cm="1">
        <f t="array" ref="N181">INT(SUMPRODUCT(--ISNUMBER(SEARCH(covid,C181)))&gt;0)</f>
        <v>0</v>
      </c>
      <c r="O181" s="14" cm="1">
        <f t="array" ref="O181">INT(SUMPRODUCT(--ISNUMBER(SEARCH(violent,C181)))&gt;0)</f>
        <v>0</v>
      </c>
      <c r="P181" s="14" cm="1">
        <f t="array" ref="P181">INT(SUMPRODUCT(--ISNUMBER(SEARCH(foreign,C181)))&gt;0)</f>
        <v>0</v>
      </c>
      <c r="Q181" s="14" cm="1">
        <f t="array" ref="Q181">INT(SUMPRODUCT(--ISNUMBER(SEARCH(gun,C181)))&gt;0)</f>
        <v>0</v>
      </c>
      <c r="R181" s="14" cm="1">
        <f t="array" ref="R181">INT(SUMPRODUCT(--ISNUMBER(SEARCH(race,C181)))&gt;0)</f>
        <v>0</v>
      </c>
      <c r="S181" s="14" cm="1">
        <f t="array" ref="S181">INT(SUMPRODUCT(--ISNUMBER(SEARCH(immigration,C181)))&gt;0)</f>
        <v>0</v>
      </c>
      <c r="T181" s="14" cm="1">
        <f t="array" ref="T181">INT(SUMPRODUCT(--ISNUMBER(SEARCH(econineq,C182)))&gt;0)</f>
        <v>0</v>
      </c>
      <c r="U181" s="14" cm="1">
        <f t="array" ref="U181">INT(SUMPRODUCT(--ISNUMBER(SEARCH(climate,C181)))&gt;0)</f>
        <v>0</v>
      </c>
      <c r="V181" s="14" cm="1">
        <f t="array" ref="V181">INT(SUMPRODUCT(--ISNUMBER(SEARCH(abortion,C181)))&gt;0)</f>
        <v>0</v>
      </c>
      <c r="W181" s="14" cm="1">
        <f t="array" ref="W181">INT(SUMPRODUCT(--ISNUMBER(SEARCH(trump,C181)))&gt;0)</f>
        <v>1</v>
      </c>
      <c r="X181" s="14" cm="1">
        <f t="array" ref="X181">INT(SUMPRODUCT(--ISNUMBER(SEARCH(voting,C181)))&gt;0)</f>
        <v>0</v>
      </c>
      <c r="Y181" s="35" cm="1">
        <f t="array" ref="Y181">INT(SUMPRODUCT(--ISNUMBER(SEARCH(republicantrigger,C181)))&gt;0)</f>
        <v>0</v>
      </c>
      <c r="Z181" s="35" cm="1">
        <f t="array" ref="Z181">INT(SUMPRODUCT(--ISNUMBER(SEARCH(bipartisan,C181)))&gt;0)</f>
        <v>0</v>
      </c>
      <c r="AA181" s="35">
        <f t="shared" si="2"/>
        <v>0</v>
      </c>
      <c r="AB181" s="14"/>
      <c r="AC181" s="30" t="s">
        <v>223</v>
      </c>
      <c r="AD181" s="37" t="s">
        <v>223</v>
      </c>
    </row>
    <row r="182" spans="1:30" x14ac:dyDescent="0.25">
      <c r="A182" s="36">
        <v>2688</v>
      </c>
      <c r="B182" s="14" t="s">
        <v>5401</v>
      </c>
      <c r="C182" s="14" t="s">
        <v>5402</v>
      </c>
      <c r="D182" s="17">
        <v>44120</v>
      </c>
      <c r="E182" s="14" t="s">
        <v>30</v>
      </c>
      <c r="F182" s="14">
        <v>231</v>
      </c>
      <c r="G182" s="14">
        <v>67</v>
      </c>
      <c r="H182" s="14">
        <v>12</v>
      </c>
      <c r="I182" s="14">
        <v>6</v>
      </c>
      <c r="J182" s="14" t="s">
        <v>31</v>
      </c>
      <c r="K182" s="14" cm="1">
        <f t="array" ref="K182">INT(SUMPRODUCT(--ISNUMBER(SEARCH(economy,C182)))&gt;0)</f>
        <v>0</v>
      </c>
      <c r="L182" s="14" cm="1">
        <f t="array" ref="L182">INT(SUMPRODUCT(--ISNUMBER(SEARCH(healthcare,C182)))&gt;0)</f>
        <v>0</v>
      </c>
      <c r="M182" s="14" cm="1">
        <f t="array" ref="M182">INT(SUMPRODUCT(--ISNUMBER(SEARCH(supreme,C182)))&gt;0)</f>
        <v>0</v>
      </c>
      <c r="N182" s="14" cm="1">
        <f t="array" ref="N182">INT(SUMPRODUCT(--ISNUMBER(SEARCH(covid,C182)))&gt;0)</f>
        <v>0</v>
      </c>
      <c r="O182" s="14" cm="1">
        <f t="array" ref="O182">INT(SUMPRODUCT(--ISNUMBER(SEARCH(violent,C182)))&gt;0)</f>
        <v>0</v>
      </c>
      <c r="P182" s="14" cm="1">
        <f t="array" ref="P182">INT(SUMPRODUCT(--ISNUMBER(SEARCH(foreign,C182)))&gt;0)</f>
        <v>0</v>
      </c>
      <c r="Q182" s="14" cm="1">
        <f t="array" ref="Q182">INT(SUMPRODUCT(--ISNUMBER(SEARCH(gun,C182)))&gt;0)</f>
        <v>0</v>
      </c>
      <c r="R182" s="14" cm="1">
        <f t="array" ref="R182">INT(SUMPRODUCT(--ISNUMBER(SEARCH(race,C182)))&gt;0)</f>
        <v>0</v>
      </c>
      <c r="S182" s="14" cm="1">
        <f t="array" ref="S182">INT(SUMPRODUCT(--ISNUMBER(SEARCH(immigration,C182)))&gt;0)</f>
        <v>0</v>
      </c>
      <c r="T182" s="14" cm="1">
        <f t="array" ref="T182">INT(SUMPRODUCT(--ISNUMBER(SEARCH(econineq,C183)))&gt;0)</f>
        <v>0</v>
      </c>
      <c r="U182" s="14" cm="1">
        <f t="array" ref="U182">INT(SUMPRODUCT(--ISNUMBER(SEARCH(climate,C182)))&gt;0)</f>
        <v>0</v>
      </c>
      <c r="V182" s="14" cm="1">
        <f t="array" ref="V182">INT(SUMPRODUCT(--ISNUMBER(SEARCH(abortion,C182)))&gt;0)</f>
        <v>0</v>
      </c>
      <c r="W182" s="14" cm="1">
        <f t="array" ref="W182">INT(SUMPRODUCT(--ISNUMBER(SEARCH(trump,C182)))&gt;0)</f>
        <v>1</v>
      </c>
      <c r="X182" s="14" cm="1">
        <f t="array" ref="X182">INT(SUMPRODUCT(--ISNUMBER(SEARCH(voting,C182)))&gt;0)</f>
        <v>1</v>
      </c>
      <c r="Y182" s="35" cm="1">
        <f t="array" ref="Y182">INT(SUMPRODUCT(--ISNUMBER(SEARCH(republicantrigger,C182)))&gt;0)</f>
        <v>0</v>
      </c>
      <c r="Z182" s="35" cm="1">
        <f t="array" ref="Z182">INT(SUMPRODUCT(--ISNUMBER(SEARCH(bipartisan,C182)))&gt;0)</f>
        <v>0</v>
      </c>
      <c r="AA182" s="35">
        <f t="shared" si="2"/>
        <v>0</v>
      </c>
      <c r="AB182" s="14"/>
      <c r="AC182" s="30" t="s">
        <v>223</v>
      </c>
      <c r="AD182" s="37" t="s">
        <v>223</v>
      </c>
    </row>
    <row r="183" spans="1:30" x14ac:dyDescent="0.25">
      <c r="A183" s="36">
        <v>2689</v>
      </c>
      <c r="B183" s="14" t="s">
        <v>5403</v>
      </c>
      <c r="C183" s="14" t="s">
        <v>5404</v>
      </c>
      <c r="D183" s="17">
        <v>44120</v>
      </c>
      <c r="E183" s="14" t="s">
        <v>30</v>
      </c>
      <c r="F183" s="14">
        <v>479</v>
      </c>
      <c r="G183" s="14">
        <v>186</v>
      </c>
      <c r="H183" s="14">
        <v>12</v>
      </c>
      <c r="I183" s="14">
        <v>6</v>
      </c>
      <c r="J183" s="14" t="s">
        <v>31</v>
      </c>
      <c r="K183" s="14" cm="1">
        <f t="array" ref="K183">INT(SUMPRODUCT(--ISNUMBER(SEARCH(economy,C183)))&gt;0)</f>
        <v>0</v>
      </c>
      <c r="L183" s="14" cm="1">
        <f t="array" ref="L183">INT(SUMPRODUCT(--ISNUMBER(SEARCH(healthcare,C183)))&gt;0)</f>
        <v>0</v>
      </c>
      <c r="M183" s="14" cm="1">
        <f t="array" ref="M183">INT(SUMPRODUCT(--ISNUMBER(SEARCH(supreme,C183)))&gt;0)</f>
        <v>0</v>
      </c>
      <c r="N183" s="14" cm="1">
        <f t="array" ref="N183">INT(SUMPRODUCT(--ISNUMBER(SEARCH(covid,C183)))&gt;0)</f>
        <v>0</v>
      </c>
      <c r="O183" s="14" cm="1">
        <f t="array" ref="O183">INT(SUMPRODUCT(--ISNUMBER(SEARCH(violent,C183)))&gt;0)</f>
        <v>0</v>
      </c>
      <c r="P183" s="14" cm="1">
        <f t="array" ref="P183">INT(SUMPRODUCT(--ISNUMBER(SEARCH(foreign,C183)))&gt;0)</f>
        <v>0</v>
      </c>
      <c r="Q183" s="14" cm="1">
        <f t="array" ref="Q183">INT(SUMPRODUCT(--ISNUMBER(SEARCH(gun,C183)))&gt;0)</f>
        <v>0</v>
      </c>
      <c r="R183" s="14" cm="1">
        <f t="array" ref="R183">INT(SUMPRODUCT(--ISNUMBER(SEARCH(race,C183)))&gt;0)</f>
        <v>0</v>
      </c>
      <c r="S183" s="14" cm="1">
        <f t="array" ref="S183">INT(SUMPRODUCT(--ISNUMBER(SEARCH(immigration,C183)))&gt;0)</f>
        <v>0</v>
      </c>
      <c r="T183" s="14" cm="1">
        <f t="array" ref="T183">INT(SUMPRODUCT(--ISNUMBER(SEARCH(econineq,C184)))&gt;0)</f>
        <v>0</v>
      </c>
      <c r="U183" s="14" cm="1">
        <f t="array" ref="U183">INT(SUMPRODUCT(--ISNUMBER(SEARCH(climate,C183)))&gt;0)</f>
        <v>0</v>
      </c>
      <c r="V183" s="14" cm="1">
        <f t="array" ref="V183">INT(SUMPRODUCT(--ISNUMBER(SEARCH(abortion,C183)))&gt;0)</f>
        <v>0</v>
      </c>
      <c r="W183" s="14" cm="1">
        <f t="array" ref="W183">INT(SUMPRODUCT(--ISNUMBER(SEARCH(trump,C183)))&gt;0)</f>
        <v>1</v>
      </c>
      <c r="X183" s="14" cm="1">
        <f t="array" ref="X183">INT(SUMPRODUCT(--ISNUMBER(SEARCH(voting,C183)))&gt;0)</f>
        <v>0</v>
      </c>
      <c r="Y183" s="35" cm="1">
        <f t="array" ref="Y183">INT(SUMPRODUCT(--ISNUMBER(SEARCH(republicantrigger,C183)))&gt;0)</f>
        <v>1</v>
      </c>
      <c r="Z183" s="35" cm="1">
        <f t="array" ref="Z183">INT(SUMPRODUCT(--ISNUMBER(SEARCH(bipartisan,C183)))&gt;0)</f>
        <v>0</v>
      </c>
      <c r="AA183" s="35">
        <f t="shared" si="2"/>
        <v>0</v>
      </c>
      <c r="AB183" s="14"/>
      <c r="AC183" s="30" t="s">
        <v>223</v>
      </c>
      <c r="AD183" s="37" t="s">
        <v>223</v>
      </c>
    </row>
    <row r="184" spans="1:30" x14ac:dyDescent="0.25">
      <c r="A184" s="36">
        <v>2690</v>
      </c>
      <c r="B184" s="14" t="s">
        <v>5405</v>
      </c>
      <c r="C184" s="14" t="s">
        <v>5406</v>
      </c>
      <c r="D184" s="17">
        <v>44119</v>
      </c>
      <c r="E184" s="14" t="s">
        <v>30</v>
      </c>
      <c r="F184" s="14">
        <v>90</v>
      </c>
      <c r="G184" s="14">
        <v>33</v>
      </c>
      <c r="H184" s="14">
        <v>12</v>
      </c>
      <c r="I184" s="14">
        <v>6</v>
      </c>
      <c r="J184" s="14" t="s">
        <v>31</v>
      </c>
      <c r="K184" s="14" cm="1">
        <f t="array" ref="K184">INT(SUMPRODUCT(--ISNUMBER(SEARCH(economy,C184)))&gt;0)</f>
        <v>0</v>
      </c>
      <c r="L184" s="14" cm="1">
        <f t="array" ref="L184">INT(SUMPRODUCT(--ISNUMBER(SEARCH(healthcare,C184)))&gt;0)</f>
        <v>0</v>
      </c>
      <c r="M184" s="14" cm="1">
        <f t="array" ref="M184">INT(SUMPRODUCT(--ISNUMBER(SEARCH(supreme,C184)))&gt;0)</f>
        <v>0</v>
      </c>
      <c r="N184" s="14" cm="1">
        <f t="array" ref="N184">INT(SUMPRODUCT(--ISNUMBER(SEARCH(covid,C184)))&gt;0)</f>
        <v>0</v>
      </c>
      <c r="O184" s="14" cm="1">
        <f t="array" ref="O184">INT(SUMPRODUCT(--ISNUMBER(SEARCH(violent,C184)))&gt;0)</f>
        <v>0</v>
      </c>
      <c r="P184" s="14" cm="1">
        <f t="array" ref="P184">INT(SUMPRODUCT(--ISNUMBER(SEARCH(foreign,C184)))&gt;0)</f>
        <v>0</v>
      </c>
      <c r="Q184" s="14" cm="1">
        <f t="array" ref="Q184">INT(SUMPRODUCT(--ISNUMBER(SEARCH(gun,C184)))&gt;0)</f>
        <v>0</v>
      </c>
      <c r="R184" s="14" cm="1">
        <f t="array" ref="R184">INT(SUMPRODUCT(--ISNUMBER(SEARCH(race,C184)))&gt;0)</f>
        <v>0</v>
      </c>
      <c r="S184" s="14" cm="1">
        <f t="array" ref="S184">INT(SUMPRODUCT(--ISNUMBER(SEARCH(immigration,C184)))&gt;0)</f>
        <v>0</v>
      </c>
      <c r="T184" s="14" cm="1">
        <f t="array" ref="T184">INT(SUMPRODUCT(--ISNUMBER(SEARCH(econineq,C185)))&gt;0)</f>
        <v>0</v>
      </c>
      <c r="U184" s="14" cm="1">
        <f t="array" ref="U184">INT(SUMPRODUCT(--ISNUMBER(SEARCH(climate,C184)))&gt;0)</f>
        <v>0</v>
      </c>
      <c r="V184" s="14" cm="1">
        <f t="array" ref="V184">INT(SUMPRODUCT(--ISNUMBER(SEARCH(abortion,C184)))&gt;0)</f>
        <v>0</v>
      </c>
      <c r="W184" s="14" cm="1">
        <f t="array" ref="W184">INT(SUMPRODUCT(--ISNUMBER(SEARCH(trump,C184)))&gt;0)</f>
        <v>0</v>
      </c>
      <c r="X184" s="14" cm="1">
        <f t="array" ref="X184">INT(SUMPRODUCT(--ISNUMBER(SEARCH(voting,C184)))&gt;0)</f>
        <v>0</v>
      </c>
      <c r="Y184" s="35" cm="1">
        <f t="array" ref="Y184">INT(SUMPRODUCT(--ISNUMBER(SEARCH(republicantrigger,C184)))&gt;0)</f>
        <v>0</v>
      </c>
      <c r="Z184" s="35" cm="1">
        <f t="array" ref="Z184">INT(SUMPRODUCT(--ISNUMBER(SEARCH(bipartisan,C184)))&gt;0)</f>
        <v>0</v>
      </c>
      <c r="AA184" s="35">
        <f t="shared" si="2"/>
        <v>1</v>
      </c>
      <c r="AB184" s="14"/>
      <c r="AC184" s="30" t="s">
        <v>223</v>
      </c>
      <c r="AD184" s="37" t="s">
        <v>223</v>
      </c>
    </row>
    <row r="185" spans="1:30" x14ac:dyDescent="0.25">
      <c r="A185" s="36">
        <v>2691</v>
      </c>
      <c r="B185" s="14" t="s">
        <v>5407</v>
      </c>
      <c r="C185" s="14" t="s">
        <v>5408</v>
      </c>
      <c r="D185" s="17">
        <v>44119</v>
      </c>
      <c r="E185" s="14" t="s">
        <v>70</v>
      </c>
      <c r="F185" s="14">
        <v>131</v>
      </c>
      <c r="G185" s="14">
        <v>37</v>
      </c>
      <c r="H185" s="14">
        <v>12</v>
      </c>
      <c r="I185" s="14">
        <v>6</v>
      </c>
      <c r="J185" s="14" t="s">
        <v>31</v>
      </c>
      <c r="K185" s="14" cm="1">
        <f t="array" ref="K185">INT(SUMPRODUCT(--ISNUMBER(SEARCH(economy,C185)))&gt;0)</f>
        <v>0</v>
      </c>
      <c r="L185" s="14" cm="1">
        <f t="array" ref="L185">INT(SUMPRODUCT(--ISNUMBER(SEARCH(healthcare,C185)))&gt;0)</f>
        <v>0</v>
      </c>
      <c r="M185" s="14" cm="1">
        <f t="array" ref="M185">INT(SUMPRODUCT(--ISNUMBER(SEARCH(supreme,C185)))&gt;0)</f>
        <v>0</v>
      </c>
      <c r="N185" s="14" cm="1">
        <f t="array" ref="N185">INT(SUMPRODUCT(--ISNUMBER(SEARCH(covid,C185)))&gt;0)</f>
        <v>0</v>
      </c>
      <c r="O185" s="14" cm="1">
        <f t="array" ref="O185">INT(SUMPRODUCT(--ISNUMBER(SEARCH(violent,C185)))&gt;0)</f>
        <v>0</v>
      </c>
      <c r="P185" s="14" cm="1">
        <f t="array" ref="P185">INT(SUMPRODUCT(--ISNUMBER(SEARCH(foreign,C185)))&gt;0)</f>
        <v>0</v>
      </c>
      <c r="Q185" s="14" cm="1">
        <f t="array" ref="Q185">INT(SUMPRODUCT(--ISNUMBER(SEARCH(gun,C185)))&gt;0)</f>
        <v>0</v>
      </c>
      <c r="R185" s="14" cm="1">
        <f t="array" ref="R185">INT(SUMPRODUCT(--ISNUMBER(SEARCH(race,C185)))&gt;0)</f>
        <v>0</v>
      </c>
      <c r="S185" s="14" cm="1">
        <f t="array" ref="S185">INT(SUMPRODUCT(--ISNUMBER(SEARCH(immigration,C185)))&gt;0)</f>
        <v>0</v>
      </c>
      <c r="T185" s="14" cm="1">
        <f t="array" ref="T185">INT(SUMPRODUCT(--ISNUMBER(SEARCH(econineq,C186)))&gt;0)</f>
        <v>0</v>
      </c>
      <c r="U185" s="14" cm="1">
        <f t="array" ref="U185">INT(SUMPRODUCT(--ISNUMBER(SEARCH(climate,C185)))&gt;0)</f>
        <v>0</v>
      </c>
      <c r="V185" s="14" cm="1">
        <f t="array" ref="V185">INT(SUMPRODUCT(--ISNUMBER(SEARCH(abortion,C185)))&gt;0)</f>
        <v>0</v>
      </c>
      <c r="W185" s="14" cm="1">
        <f t="array" ref="W185">INT(SUMPRODUCT(--ISNUMBER(SEARCH(trump,C185)))&gt;0)</f>
        <v>1</v>
      </c>
      <c r="X185" s="14" cm="1">
        <f t="array" ref="X185">INT(SUMPRODUCT(--ISNUMBER(SEARCH(voting,C185)))&gt;0)</f>
        <v>1</v>
      </c>
      <c r="Y185" s="35" cm="1">
        <f t="array" ref="Y185">INT(SUMPRODUCT(--ISNUMBER(SEARCH(republicantrigger,C185)))&gt;0)</f>
        <v>0</v>
      </c>
      <c r="Z185" s="35" cm="1">
        <f t="array" ref="Z185">INT(SUMPRODUCT(--ISNUMBER(SEARCH(bipartisan,C185)))&gt;0)</f>
        <v>0</v>
      </c>
      <c r="AA185" s="35">
        <f t="shared" si="2"/>
        <v>0</v>
      </c>
      <c r="AB185" s="14"/>
      <c r="AC185" s="30" t="s">
        <v>223</v>
      </c>
      <c r="AD185" s="37" t="s">
        <v>223</v>
      </c>
    </row>
    <row r="186" spans="1:30" x14ac:dyDescent="0.25">
      <c r="A186" s="36">
        <v>2692</v>
      </c>
      <c r="B186" s="14" t="s">
        <v>5409</v>
      </c>
      <c r="C186" s="14" t="s">
        <v>5410</v>
      </c>
      <c r="D186" s="17">
        <v>44119</v>
      </c>
      <c r="E186" s="14" t="s">
        <v>30</v>
      </c>
      <c r="F186" s="14">
        <v>58</v>
      </c>
      <c r="G186" s="14">
        <v>30</v>
      </c>
      <c r="H186" s="14">
        <v>12</v>
      </c>
      <c r="I186" s="14">
        <v>6</v>
      </c>
      <c r="J186" s="14" t="s">
        <v>31</v>
      </c>
      <c r="K186" s="14" cm="1">
        <f t="array" ref="K186">INT(SUMPRODUCT(--ISNUMBER(SEARCH(economy,C186)))&gt;0)</f>
        <v>0</v>
      </c>
      <c r="L186" s="14" cm="1">
        <f t="array" ref="L186">INT(SUMPRODUCT(--ISNUMBER(SEARCH(healthcare,C186)))&gt;0)</f>
        <v>0</v>
      </c>
      <c r="M186" s="14" cm="1">
        <f t="array" ref="M186">INT(SUMPRODUCT(--ISNUMBER(SEARCH(supreme,C186)))&gt;0)</f>
        <v>0</v>
      </c>
      <c r="N186" s="14" cm="1">
        <f t="array" ref="N186">INT(SUMPRODUCT(--ISNUMBER(SEARCH(covid,C186)))&gt;0)</f>
        <v>0</v>
      </c>
      <c r="O186" s="14" cm="1">
        <f t="array" ref="O186">INT(SUMPRODUCT(--ISNUMBER(SEARCH(violent,C186)))&gt;0)</f>
        <v>0</v>
      </c>
      <c r="P186" s="14" cm="1">
        <f t="array" ref="P186">INT(SUMPRODUCT(--ISNUMBER(SEARCH(foreign,C186)))&gt;0)</f>
        <v>0</v>
      </c>
      <c r="Q186" s="14" cm="1">
        <f t="array" ref="Q186">INT(SUMPRODUCT(--ISNUMBER(SEARCH(gun,C186)))&gt;0)</f>
        <v>0</v>
      </c>
      <c r="R186" s="14" cm="1">
        <f t="array" ref="R186">INT(SUMPRODUCT(--ISNUMBER(SEARCH(race,C186)))&gt;0)</f>
        <v>0</v>
      </c>
      <c r="S186" s="14" cm="1">
        <f t="array" ref="S186">INT(SUMPRODUCT(--ISNUMBER(SEARCH(immigration,C186)))&gt;0)</f>
        <v>0</v>
      </c>
      <c r="T186" s="14" cm="1">
        <f t="array" ref="T186">INT(SUMPRODUCT(--ISNUMBER(SEARCH(econineq,C187)))&gt;0)</f>
        <v>0</v>
      </c>
      <c r="U186" s="14" cm="1">
        <f t="array" ref="U186">INT(SUMPRODUCT(--ISNUMBER(SEARCH(climate,C186)))&gt;0)</f>
        <v>0</v>
      </c>
      <c r="V186" s="14" cm="1">
        <f t="array" ref="V186">INT(SUMPRODUCT(--ISNUMBER(SEARCH(abortion,C186)))&gt;0)</f>
        <v>0</v>
      </c>
      <c r="W186" s="14" cm="1">
        <f t="array" ref="W186">INT(SUMPRODUCT(--ISNUMBER(SEARCH(trump,C186)))&gt;0)</f>
        <v>1</v>
      </c>
      <c r="X186" s="14" cm="1">
        <f t="array" ref="X186">INT(SUMPRODUCT(--ISNUMBER(SEARCH(voting,C186)))&gt;0)</f>
        <v>1</v>
      </c>
      <c r="Y186" s="35" cm="1">
        <f t="array" ref="Y186">INT(SUMPRODUCT(--ISNUMBER(SEARCH(republicantrigger,C186)))&gt;0)</f>
        <v>0</v>
      </c>
      <c r="Z186" s="35" cm="1">
        <f t="array" ref="Z186">INT(SUMPRODUCT(--ISNUMBER(SEARCH(bipartisan,C186)))&gt;0)</f>
        <v>0</v>
      </c>
      <c r="AA186" s="35">
        <f t="shared" si="2"/>
        <v>0</v>
      </c>
      <c r="AB186" s="14"/>
      <c r="AC186" s="30" t="s">
        <v>223</v>
      </c>
      <c r="AD186" s="37" t="s">
        <v>223</v>
      </c>
    </row>
    <row r="187" spans="1:30" x14ac:dyDescent="0.25">
      <c r="A187" s="36">
        <v>2693</v>
      </c>
      <c r="B187" s="14" t="s">
        <v>5411</v>
      </c>
      <c r="C187" s="14" t="s">
        <v>5412</v>
      </c>
      <c r="D187" s="17">
        <v>44119</v>
      </c>
      <c r="E187" s="14" t="s">
        <v>70</v>
      </c>
      <c r="F187" s="14">
        <v>116</v>
      </c>
      <c r="G187" s="14">
        <v>27</v>
      </c>
      <c r="H187" s="14">
        <v>12</v>
      </c>
      <c r="I187" s="14">
        <v>6</v>
      </c>
      <c r="J187" s="14" t="s">
        <v>31</v>
      </c>
      <c r="K187" s="14" cm="1">
        <f t="array" ref="K187">INT(SUMPRODUCT(--ISNUMBER(SEARCH(economy,C187)))&gt;0)</f>
        <v>0</v>
      </c>
      <c r="L187" s="14" cm="1">
        <f t="array" ref="L187">INT(SUMPRODUCT(--ISNUMBER(SEARCH(healthcare,C187)))&gt;0)</f>
        <v>0</v>
      </c>
      <c r="M187" s="14" cm="1">
        <f t="array" ref="M187">INT(SUMPRODUCT(--ISNUMBER(SEARCH(supreme,C187)))&gt;0)</f>
        <v>0</v>
      </c>
      <c r="N187" s="14" cm="1">
        <f t="array" ref="N187">INT(SUMPRODUCT(--ISNUMBER(SEARCH(covid,C187)))&gt;0)</f>
        <v>0</v>
      </c>
      <c r="O187" s="14" cm="1">
        <f t="array" ref="O187">INT(SUMPRODUCT(--ISNUMBER(SEARCH(violent,C187)))&gt;0)</f>
        <v>0</v>
      </c>
      <c r="P187" s="14" cm="1">
        <f t="array" ref="P187">INT(SUMPRODUCT(--ISNUMBER(SEARCH(foreign,C187)))&gt;0)</f>
        <v>0</v>
      </c>
      <c r="Q187" s="14" cm="1">
        <f t="array" ref="Q187">INT(SUMPRODUCT(--ISNUMBER(SEARCH(gun,C187)))&gt;0)</f>
        <v>0</v>
      </c>
      <c r="R187" s="14" cm="1">
        <f t="array" ref="R187">INT(SUMPRODUCT(--ISNUMBER(SEARCH(race,C187)))&gt;0)</f>
        <v>0</v>
      </c>
      <c r="S187" s="14" cm="1">
        <f t="array" ref="S187">INT(SUMPRODUCT(--ISNUMBER(SEARCH(immigration,C187)))&gt;0)</f>
        <v>0</v>
      </c>
      <c r="T187" s="14" cm="1">
        <f t="array" ref="T187">INT(SUMPRODUCT(--ISNUMBER(SEARCH(econineq,C188)))&gt;0)</f>
        <v>0</v>
      </c>
      <c r="U187" s="14" cm="1">
        <f t="array" ref="U187">INT(SUMPRODUCT(--ISNUMBER(SEARCH(climate,C187)))&gt;0)</f>
        <v>0</v>
      </c>
      <c r="V187" s="14" cm="1">
        <f t="array" ref="V187">INT(SUMPRODUCT(--ISNUMBER(SEARCH(abortion,C187)))&gt;0)</f>
        <v>0</v>
      </c>
      <c r="W187" s="14" cm="1">
        <f t="array" ref="W187">INT(SUMPRODUCT(--ISNUMBER(SEARCH(trump,C187)))&gt;0)</f>
        <v>1</v>
      </c>
      <c r="X187" s="14" cm="1">
        <f t="array" ref="X187">INT(SUMPRODUCT(--ISNUMBER(SEARCH(voting,C187)))&gt;0)</f>
        <v>0</v>
      </c>
      <c r="Y187" s="35" cm="1">
        <f t="array" ref="Y187">INT(SUMPRODUCT(--ISNUMBER(SEARCH(republicantrigger,C187)))&gt;0)</f>
        <v>1</v>
      </c>
      <c r="Z187" s="35" cm="1">
        <f t="array" ref="Z187">INT(SUMPRODUCT(--ISNUMBER(SEARCH(bipartisan,C187)))&gt;0)</f>
        <v>0</v>
      </c>
      <c r="AA187" s="35">
        <f t="shared" si="2"/>
        <v>0</v>
      </c>
      <c r="AB187" s="14"/>
      <c r="AC187" s="30" t="s">
        <v>223</v>
      </c>
      <c r="AD187" s="37" t="s">
        <v>223</v>
      </c>
    </row>
    <row r="188" spans="1:30" x14ac:dyDescent="0.25">
      <c r="A188" s="36">
        <v>2694</v>
      </c>
      <c r="B188" s="14" t="s">
        <v>5413</v>
      </c>
      <c r="C188" s="14" t="s">
        <v>5414</v>
      </c>
      <c r="D188" s="17">
        <v>44119</v>
      </c>
      <c r="E188" s="14" t="s">
        <v>30</v>
      </c>
      <c r="F188" s="14">
        <v>112</v>
      </c>
      <c r="G188" s="14">
        <v>30</v>
      </c>
      <c r="H188" s="14">
        <v>12</v>
      </c>
      <c r="I188" s="14">
        <v>6</v>
      </c>
      <c r="J188" s="14" t="s">
        <v>31</v>
      </c>
      <c r="K188" s="14" cm="1">
        <f t="array" ref="K188">INT(SUMPRODUCT(--ISNUMBER(SEARCH(economy,C188)))&gt;0)</f>
        <v>0</v>
      </c>
      <c r="L188" s="14" cm="1">
        <f t="array" ref="L188">INT(SUMPRODUCT(--ISNUMBER(SEARCH(healthcare,C188)))&gt;0)</f>
        <v>0</v>
      </c>
      <c r="M188" s="14" cm="1">
        <f t="array" ref="M188">INT(SUMPRODUCT(--ISNUMBER(SEARCH(supreme,C188)))&gt;0)</f>
        <v>0</v>
      </c>
      <c r="N188" s="14" cm="1">
        <f t="array" ref="N188">INT(SUMPRODUCT(--ISNUMBER(SEARCH(covid,C188)))&gt;0)</f>
        <v>0</v>
      </c>
      <c r="O188" s="14" cm="1">
        <f t="array" ref="O188">INT(SUMPRODUCT(--ISNUMBER(SEARCH(violent,C188)))&gt;0)</f>
        <v>0</v>
      </c>
      <c r="P188" s="14" cm="1">
        <f t="array" ref="P188">INT(SUMPRODUCT(--ISNUMBER(SEARCH(foreign,C188)))&gt;0)</f>
        <v>0</v>
      </c>
      <c r="Q188" s="14" cm="1">
        <f t="array" ref="Q188">INT(SUMPRODUCT(--ISNUMBER(SEARCH(gun,C188)))&gt;0)</f>
        <v>0</v>
      </c>
      <c r="R188" s="14" cm="1">
        <f t="array" ref="R188">INT(SUMPRODUCT(--ISNUMBER(SEARCH(race,C188)))&gt;0)</f>
        <v>1</v>
      </c>
      <c r="S188" s="14" cm="1">
        <f t="array" ref="S188">INT(SUMPRODUCT(--ISNUMBER(SEARCH(immigration,C188)))&gt;0)</f>
        <v>0</v>
      </c>
      <c r="T188" s="14" cm="1">
        <f t="array" ref="T188">INT(SUMPRODUCT(--ISNUMBER(SEARCH(econineq,C189)))&gt;0)</f>
        <v>0</v>
      </c>
      <c r="U188" s="14" cm="1">
        <f t="array" ref="U188">INT(SUMPRODUCT(--ISNUMBER(SEARCH(climate,C188)))&gt;0)</f>
        <v>0</v>
      </c>
      <c r="V188" s="14" cm="1">
        <f t="array" ref="V188">INT(SUMPRODUCT(--ISNUMBER(SEARCH(abortion,C188)))&gt;0)</f>
        <v>0</v>
      </c>
      <c r="W188" s="14" cm="1">
        <f t="array" ref="W188">INT(SUMPRODUCT(--ISNUMBER(SEARCH(trump,C188)))&gt;0)</f>
        <v>0</v>
      </c>
      <c r="X188" s="14" cm="1">
        <f t="array" ref="X188">INT(SUMPRODUCT(--ISNUMBER(SEARCH(voting,C188)))&gt;0)</f>
        <v>0</v>
      </c>
      <c r="Y188" s="35" cm="1">
        <f t="array" ref="Y188">INT(SUMPRODUCT(--ISNUMBER(SEARCH(republicantrigger,C188)))&gt;0)</f>
        <v>0</v>
      </c>
      <c r="Z188" s="35" cm="1">
        <f t="array" ref="Z188">INT(SUMPRODUCT(--ISNUMBER(SEARCH(bipartisan,C188)))&gt;0)</f>
        <v>0</v>
      </c>
      <c r="AA188" s="35">
        <f t="shared" si="2"/>
        <v>0</v>
      </c>
      <c r="AB188" s="14"/>
      <c r="AC188" s="30" t="s">
        <v>223</v>
      </c>
      <c r="AD188" s="37" t="s">
        <v>223</v>
      </c>
    </row>
    <row r="189" spans="1:30" x14ac:dyDescent="0.25">
      <c r="A189" s="36">
        <v>2695</v>
      </c>
      <c r="B189" s="14" t="s">
        <v>5415</v>
      </c>
      <c r="C189" s="14" t="s">
        <v>5416</v>
      </c>
      <c r="D189" s="17">
        <v>44119</v>
      </c>
      <c r="E189" s="14" t="s">
        <v>30</v>
      </c>
      <c r="F189" s="14">
        <v>65</v>
      </c>
      <c r="G189" s="14">
        <v>19</v>
      </c>
      <c r="H189" s="14">
        <v>12</v>
      </c>
      <c r="I189" s="14">
        <v>6</v>
      </c>
      <c r="J189" s="14" t="s">
        <v>31</v>
      </c>
      <c r="K189" s="14" cm="1">
        <f t="array" ref="K189">INT(SUMPRODUCT(--ISNUMBER(SEARCH(economy,C189)))&gt;0)</f>
        <v>1</v>
      </c>
      <c r="L189" s="14" cm="1">
        <f t="array" ref="L189">INT(SUMPRODUCT(--ISNUMBER(SEARCH(healthcare,C189)))&gt;0)</f>
        <v>0</v>
      </c>
      <c r="M189" s="14" cm="1">
        <f t="array" ref="M189">INT(SUMPRODUCT(--ISNUMBER(SEARCH(supreme,C189)))&gt;0)</f>
        <v>0</v>
      </c>
      <c r="N189" s="14" cm="1">
        <f t="array" ref="N189">INT(SUMPRODUCT(--ISNUMBER(SEARCH(covid,C189)))&gt;0)</f>
        <v>1</v>
      </c>
      <c r="O189" s="14" cm="1">
        <f t="array" ref="O189">INT(SUMPRODUCT(--ISNUMBER(SEARCH(violent,C189)))&gt;0)</f>
        <v>0</v>
      </c>
      <c r="P189" s="14" cm="1">
        <f t="array" ref="P189">INT(SUMPRODUCT(--ISNUMBER(SEARCH(foreign,C189)))&gt;0)</f>
        <v>0</v>
      </c>
      <c r="Q189" s="14" cm="1">
        <f t="array" ref="Q189">INT(SUMPRODUCT(--ISNUMBER(SEARCH(gun,C189)))&gt;0)</f>
        <v>0</v>
      </c>
      <c r="R189" s="14" cm="1">
        <f t="array" ref="R189">INT(SUMPRODUCT(--ISNUMBER(SEARCH(race,C189)))&gt;0)</f>
        <v>0</v>
      </c>
      <c r="S189" s="14" cm="1">
        <f t="array" ref="S189">INT(SUMPRODUCT(--ISNUMBER(SEARCH(immigration,C189)))&gt;0)</f>
        <v>0</v>
      </c>
      <c r="T189" s="14" cm="1">
        <f t="array" ref="T189">INT(SUMPRODUCT(--ISNUMBER(SEARCH(econineq,C190)))&gt;0)</f>
        <v>0</v>
      </c>
      <c r="U189" s="14" cm="1">
        <f t="array" ref="U189">INT(SUMPRODUCT(--ISNUMBER(SEARCH(climate,C189)))&gt;0)</f>
        <v>0</v>
      </c>
      <c r="V189" s="14" cm="1">
        <f t="array" ref="V189">INT(SUMPRODUCT(--ISNUMBER(SEARCH(abortion,C189)))&gt;0)</f>
        <v>0</v>
      </c>
      <c r="W189" s="14" cm="1">
        <f t="array" ref="W189">INT(SUMPRODUCT(--ISNUMBER(SEARCH(trump,C189)))&gt;0)</f>
        <v>0</v>
      </c>
      <c r="X189" s="14" cm="1">
        <f t="array" ref="X189">INT(SUMPRODUCT(--ISNUMBER(SEARCH(voting,C189)))&gt;0)</f>
        <v>0</v>
      </c>
      <c r="Y189" s="35" cm="1">
        <f t="array" ref="Y189">INT(SUMPRODUCT(--ISNUMBER(SEARCH(republicantrigger,C189)))&gt;0)</f>
        <v>0</v>
      </c>
      <c r="Z189" s="35" cm="1">
        <f t="array" ref="Z189">INT(SUMPRODUCT(--ISNUMBER(SEARCH(bipartisan,C189)))&gt;0)</f>
        <v>0</v>
      </c>
      <c r="AA189" s="35">
        <f t="shared" si="2"/>
        <v>0</v>
      </c>
      <c r="AB189" s="14"/>
      <c r="AC189" s="30">
        <v>1</v>
      </c>
      <c r="AD189" s="37">
        <v>0</v>
      </c>
    </row>
    <row r="190" spans="1:30" x14ac:dyDescent="0.25">
      <c r="A190" s="36">
        <v>2696</v>
      </c>
      <c r="B190" s="14" t="s">
        <v>5417</v>
      </c>
      <c r="C190" s="14" t="s">
        <v>5418</v>
      </c>
      <c r="D190" s="17">
        <v>44119</v>
      </c>
      <c r="E190" s="14" t="s">
        <v>30</v>
      </c>
      <c r="F190" s="14">
        <v>131</v>
      </c>
      <c r="G190" s="14">
        <v>50</v>
      </c>
      <c r="H190" s="14">
        <v>12</v>
      </c>
      <c r="I190" s="14">
        <v>6</v>
      </c>
      <c r="J190" s="14" t="s">
        <v>31</v>
      </c>
      <c r="K190" s="14" cm="1">
        <f t="array" ref="K190">INT(SUMPRODUCT(--ISNUMBER(SEARCH(economy,C190)))&gt;0)</f>
        <v>0</v>
      </c>
      <c r="L190" s="14" cm="1">
        <f t="array" ref="L190">INT(SUMPRODUCT(--ISNUMBER(SEARCH(healthcare,C190)))&gt;0)</f>
        <v>0</v>
      </c>
      <c r="M190" s="14" cm="1">
        <f t="array" ref="M190">INT(SUMPRODUCT(--ISNUMBER(SEARCH(supreme,C190)))&gt;0)</f>
        <v>0</v>
      </c>
      <c r="N190" s="14" cm="1">
        <f t="array" ref="N190">INT(SUMPRODUCT(--ISNUMBER(SEARCH(covid,C190)))&gt;0)</f>
        <v>0</v>
      </c>
      <c r="O190" s="14" cm="1">
        <f t="array" ref="O190">INT(SUMPRODUCT(--ISNUMBER(SEARCH(violent,C190)))&gt;0)</f>
        <v>0</v>
      </c>
      <c r="P190" s="14" cm="1">
        <f t="array" ref="P190">INT(SUMPRODUCT(--ISNUMBER(SEARCH(foreign,C190)))&gt;0)</f>
        <v>0</v>
      </c>
      <c r="Q190" s="14" cm="1">
        <f t="array" ref="Q190">INT(SUMPRODUCT(--ISNUMBER(SEARCH(gun,C190)))&gt;0)</f>
        <v>0</v>
      </c>
      <c r="R190" s="14" cm="1">
        <f t="array" ref="R190">INT(SUMPRODUCT(--ISNUMBER(SEARCH(race,C190)))&gt;0)</f>
        <v>0</v>
      </c>
      <c r="S190" s="14" cm="1">
        <f t="array" ref="S190">INT(SUMPRODUCT(--ISNUMBER(SEARCH(immigration,C190)))&gt;0)</f>
        <v>0</v>
      </c>
      <c r="T190" s="14" cm="1">
        <f t="array" ref="T190">INT(SUMPRODUCT(--ISNUMBER(SEARCH(econineq,C191)))&gt;0)</f>
        <v>0</v>
      </c>
      <c r="U190" s="14" cm="1">
        <f t="array" ref="U190">INT(SUMPRODUCT(--ISNUMBER(SEARCH(climate,C190)))&gt;0)</f>
        <v>0</v>
      </c>
      <c r="V190" s="14" cm="1">
        <f t="array" ref="V190">INT(SUMPRODUCT(--ISNUMBER(SEARCH(abortion,C190)))&gt;0)</f>
        <v>0</v>
      </c>
      <c r="W190" s="14" cm="1">
        <f t="array" ref="W190">INT(SUMPRODUCT(--ISNUMBER(SEARCH(trump,C190)))&gt;0)</f>
        <v>0</v>
      </c>
      <c r="X190" s="14" cm="1">
        <f t="array" ref="X190">INT(SUMPRODUCT(--ISNUMBER(SEARCH(voting,C190)))&gt;0)</f>
        <v>0</v>
      </c>
      <c r="Y190" s="35" cm="1">
        <f t="array" ref="Y190">INT(SUMPRODUCT(--ISNUMBER(SEARCH(republicantrigger,C190)))&gt;0)</f>
        <v>1</v>
      </c>
      <c r="Z190" s="35" cm="1">
        <f t="array" ref="Z190">INT(SUMPRODUCT(--ISNUMBER(SEARCH(bipartisan,C190)))&gt;0)</f>
        <v>0</v>
      </c>
      <c r="AA190" s="35">
        <f t="shared" si="2"/>
        <v>0</v>
      </c>
      <c r="AB190" s="14"/>
      <c r="AC190" s="30" t="s">
        <v>223</v>
      </c>
      <c r="AD190" s="37" t="s">
        <v>223</v>
      </c>
    </row>
    <row r="191" spans="1:30" x14ac:dyDescent="0.25">
      <c r="A191" s="36">
        <v>2697</v>
      </c>
      <c r="B191" s="14" t="s">
        <v>5419</v>
      </c>
      <c r="C191" s="14" t="s">
        <v>5420</v>
      </c>
      <c r="D191" s="17">
        <v>44119</v>
      </c>
      <c r="E191" s="14" t="s">
        <v>30</v>
      </c>
      <c r="F191" s="14">
        <v>132</v>
      </c>
      <c r="G191" s="14">
        <v>62</v>
      </c>
      <c r="H191" s="14">
        <v>12</v>
      </c>
      <c r="I191" s="14">
        <v>6</v>
      </c>
      <c r="J191" s="14" t="s">
        <v>31</v>
      </c>
      <c r="K191" s="14" cm="1">
        <f t="array" ref="K191">INT(SUMPRODUCT(--ISNUMBER(SEARCH(economy,C191)))&gt;0)</f>
        <v>0</v>
      </c>
      <c r="L191" s="14" cm="1">
        <f t="array" ref="L191">INT(SUMPRODUCT(--ISNUMBER(SEARCH(healthcare,C191)))&gt;0)</f>
        <v>0</v>
      </c>
      <c r="M191" s="14" cm="1">
        <f t="array" ref="M191">INT(SUMPRODUCT(--ISNUMBER(SEARCH(supreme,C191)))&gt;0)</f>
        <v>0</v>
      </c>
      <c r="N191" s="14" cm="1">
        <f t="array" ref="N191">INT(SUMPRODUCT(--ISNUMBER(SEARCH(covid,C191)))&gt;0)</f>
        <v>0</v>
      </c>
      <c r="O191" s="14" cm="1">
        <f t="array" ref="O191">INT(SUMPRODUCT(--ISNUMBER(SEARCH(violent,C191)))&gt;0)</f>
        <v>0</v>
      </c>
      <c r="P191" s="14" cm="1">
        <f t="array" ref="P191">INT(SUMPRODUCT(--ISNUMBER(SEARCH(foreign,C191)))&gt;0)</f>
        <v>0</v>
      </c>
      <c r="Q191" s="14" cm="1">
        <f t="array" ref="Q191">INT(SUMPRODUCT(--ISNUMBER(SEARCH(gun,C191)))&gt;0)</f>
        <v>0</v>
      </c>
      <c r="R191" s="14" cm="1">
        <f t="array" ref="R191">INT(SUMPRODUCT(--ISNUMBER(SEARCH(race,C191)))&gt;0)</f>
        <v>0</v>
      </c>
      <c r="S191" s="14" cm="1">
        <f t="array" ref="S191">INT(SUMPRODUCT(--ISNUMBER(SEARCH(immigration,C191)))&gt;0)</f>
        <v>0</v>
      </c>
      <c r="T191" s="14" cm="1">
        <f t="array" ref="T191">INT(SUMPRODUCT(--ISNUMBER(SEARCH(econineq,C192)))&gt;0)</f>
        <v>0</v>
      </c>
      <c r="U191" s="14" cm="1">
        <f t="array" ref="U191">INT(SUMPRODUCT(--ISNUMBER(SEARCH(climate,C191)))&gt;0)</f>
        <v>0</v>
      </c>
      <c r="V191" s="14" cm="1">
        <f t="array" ref="V191">INT(SUMPRODUCT(--ISNUMBER(SEARCH(abortion,C191)))&gt;0)</f>
        <v>0</v>
      </c>
      <c r="W191" s="14" cm="1">
        <f t="array" ref="W191">INT(SUMPRODUCT(--ISNUMBER(SEARCH(trump,C191)))&gt;0)</f>
        <v>0</v>
      </c>
      <c r="X191" s="14" cm="1">
        <f t="array" ref="X191">INT(SUMPRODUCT(--ISNUMBER(SEARCH(voting,C191)))&gt;0)</f>
        <v>1</v>
      </c>
      <c r="Y191" s="35" cm="1">
        <f t="array" ref="Y191">INT(SUMPRODUCT(--ISNUMBER(SEARCH(republicantrigger,C191)))&gt;0)</f>
        <v>1</v>
      </c>
      <c r="Z191" s="35" cm="1">
        <f t="array" ref="Z191">INT(SUMPRODUCT(--ISNUMBER(SEARCH(bipartisan,C191)))&gt;0)</f>
        <v>0</v>
      </c>
      <c r="AA191" s="35">
        <f t="shared" si="2"/>
        <v>0</v>
      </c>
      <c r="AB191" s="14"/>
      <c r="AC191" s="30" t="s">
        <v>223</v>
      </c>
      <c r="AD191" s="37" t="s">
        <v>223</v>
      </c>
    </row>
    <row r="192" spans="1:30" x14ac:dyDescent="0.25">
      <c r="A192" s="36">
        <v>2698</v>
      </c>
      <c r="B192" s="14" t="s">
        <v>5421</v>
      </c>
      <c r="C192" s="14" t="s">
        <v>5422</v>
      </c>
      <c r="D192" s="17">
        <v>44119</v>
      </c>
      <c r="E192" s="14" t="s">
        <v>30</v>
      </c>
      <c r="F192" s="14">
        <v>61</v>
      </c>
      <c r="G192" s="14">
        <v>34</v>
      </c>
      <c r="H192" s="14">
        <v>12</v>
      </c>
      <c r="I192" s="14">
        <v>6</v>
      </c>
      <c r="J192" s="14" t="s">
        <v>31</v>
      </c>
      <c r="K192" s="14" cm="1">
        <f t="array" ref="K192">INT(SUMPRODUCT(--ISNUMBER(SEARCH(economy,C192)))&gt;0)</f>
        <v>0</v>
      </c>
      <c r="L192" s="14" cm="1">
        <f t="array" ref="L192">INT(SUMPRODUCT(--ISNUMBER(SEARCH(healthcare,C192)))&gt;0)</f>
        <v>0</v>
      </c>
      <c r="M192" s="14" cm="1">
        <f t="array" ref="M192">INT(SUMPRODUCT(--ISNUMBER(SEARCH(supreme,C192)))&gt;0)</f>
        <v>0</v>
      </c>
      <c r="N192" s="14" cm="1">
        <f t="array" ref="N192">INT(SUMPRODUCT(--ISNUMBER(SEARCH(covid,C192)))&gt;0)</f>
        <v>0</v>
      </c>
      <c r="O192" s="14" cm="1">
        <f t="array" ref="O192">INT(SUMPRODUCT(--ISNUMBER(SEARCH(violent,C192)))&gt;0)</f>
        <v>0</v>
      </c>
      <c r="P192" s="14" cm="1">
        <f t="array" ref="P192">INT(SUMPRODUCT(--ISNUMBER(SEARCH(foreign,C192)))&gt;0)</f>
        <v>0</v>
      </c>
      <c r="Q192" s="14" cm="1">
        <f t="array" ref="Q192">INT(SUMPRODUCT(--ISNUMBER(SEARCH(gun,C192)))&gt;0)</f>
        <v>0</v>
      </c>
      <c r="R192" s="14" cm="1">
        <f t="array" ref="R192">INT(SUMPRODUCT(--ISNUMBER(SEARCH(race,C192)))&gt;0)</f>
        <v>1</v>
      </c>
      <c r="S192" s="14" cm="1">
        <f t="array" ref="S192">INT(SUMPRODUCT(--ISNUMBER(SEARCH(immigration,C192)))&gt;0)</f>
        <v>0</v>
      </c>
      <c r="T192" s="14" cm="1">
        <f t="array" ref="T192">INT(SUMPRODUCT(--ISNUMBER(SEARCH(econineq,C193)))&gt;0)</f>
        <v>0</v>
      </c>
      <c r="U192" s="14" cm="1">
        <f t="array" ref="U192">INT(SUMPRODUCT(--ISNUMBER(SEARCH(climate,C192)))&gt;0)</f>
        <v>0</v>
      </c>
      <c r="V192" s="14" cm="1">
        <f t="array" ref="V192">INT(SUMPRODUCT(--ISNUMBER(SEARCH(abortion,C192)))&gt;0)</f>
        <v>0</v>
      </c>
      <c r="W192" s="14" cm="1">
        <f t="array" ref="W192">INT(SUMPRODUCT(--ISNUMBER(SEARCH(trump,C192)))&gt;0)</f>
        <v>0</v>
      </c>
      <c r="X192" s="14" cm="1">
        <f t="array" ref="X192">INT(SUMPRODUCT(--ISNUMBER(SEARCH(voting,C192)))&gt;0)</f>
        <v>0</v>
      </c>
      <c r="Y192" s="35" cm="1">
        <f t="array" ref="Y192">INT(SUMPRODUCT(--ISNUMBER(SEARCH(republicantrigger,C192)))&gt;0)</f>
        <v>1</v>
      </c>
      <c r="Z192" s="35" cm="1">
        <f t="array" ref="Z192">INT(SUMPRODUCT(--ISNUMBER(SEARCH(bipartisan,C192)))&gt;0)</f>
        <v>0</v>
      </c>
      <c r="AA192" s="35">
        <f t="shared" si="2"/>
        <v>0</v>
      </c>
      <c r="AB192" s="14"/>
      <c r="AC192" s="30" t="s">
        <v>223</v>
      </c>
      <c r="AD192" s="37" t="s">
        <v>223</v>
      </c>
    </row>
    <row r="193" spans="1:30" x14ac:dyDescent="0.25">
      <c r="A193" s="36">
        <v>2699</v>
      </c>
      <c r="B193" s="14" t="s">
        <v>5423</v>
      </c>
      <c r="C193" s="14" t="s">
        <v>5424</v>
      </c>
      <c r="D193" s="17">
        <v>44119</v>
      </c>
      <c r="E193" s="14" t="s">
        <v>30</v>
      </c>
      <c r="F193" s="14">
        <v>35</v>
      </c>
      <c r="G193" s="14">
        <v>9</v>
      </c>
      <c r="H193" s="14">
        <v>12</v>
      </c>
      <c r="I193" s="14">
        <v>6</v>
      </c>
      <c r="J193" s="14" t="s">
        <v>31</v>
      </c>
      <c r="K193" s="14" cm="1">
        <f t="array" ref="K193">INT(SUMPRODUCT(--ISNUMBER(SEARCH(economy,C193)))&gt;0)</f>
        <v>1</v>
      </c>
      <c r="L193" s="14" cm="1">
        <f t="array" ref="L193">INT(SUMPRODUCT(--ISNUMBER(SEARCH(healthcare,C193)))&gt;0)</f>
        <v>0</v>
      </c>
      <c r="M193" s="14" cm="1">
        <f t="array" ref="M193">INT(SUMPRODUCT(--ISNUMBER(SEARCH(supreme,C193)))&gt;0)</f>
        <v>0</v>
      </c>
      <c r="N193" s="14" cm="1">
        <f t="array" ref="N193">INT(SUMPRODUCT(--ISNUMBER(SEARCH(covid,C193)))&gt;0)</f>
        <v>1</v>
      </c>
      <c r="O193" s="14" cm="1">
        <f t="array" ref="O193">INT(SUMPRODUCT(--ISNUMBER(SEARCH(violent,C193)))&gt;0)</f>
        <v>0</v>
      </c>
      <c r="P193" s="14" cm="1">
        <f t="array" ref="P193">INT(SUMPRODUCT(--ISNUMBER(SEARCH(foreign,C193)))&gt;0)</f>
        <v>0</v>
      </c>
      <c r="Q193" s="14" cm="1">
        <f t="array" ref="Q193">INT(SUMPRODUCT(--ISNUMBER(SEARCH(gun,C193)))&gt;0)</f>
        <v>0</v>
      </c>
      <c r="R193" s="14" cm="1">
        <f t="array" ref="R193">INT(SUMPRODUCT(--ISNUMBER(SEARCH(race,C193)))&gt;0)</f>
        <v>0</v>
      </c>
      <c r="S193" s="14" cm="1">
        <f t="array" ref="S193">INT(SUMPRODUCT(--ISNUMBER(SEARCH(immigration,C193)))&gt;0)</f>
        <v>0</v>
      </c>
      <c r="T193" s="14" cm="1">
        <f t="array" ref="T193">INT(SUMPRODUCT(--ISNUMBER(SEARCH(econineq,C194)))&gt;0)</f>
        <v>0</v>
      </c>
      <c r="U193" s="14" cm="1">
        <f t="array" ref="U193">INT(SUMPRODUCT(--ISNUMBER(SEARCH(climate,C193)))&gt;0)</f>
        <v>0</v>
      </c>
      <c r="V193" s="14" cm="1">
        <f t="array" ref="V193">INT(SUMPRODUCT(--ISNUMBER(SEARCH(abortion,C193)))&gt;0)</f>
        <v>0</v>
      </c>
      <c r="W193" s="14" cm="1">
        <f t="array" ref="W193">INT(SUMPRODUCT(--ISNUMBER(SEARCH(trump,C193)))&gt;0)</f>
        <v>0</v>
      </c>
      <c r="X193" s="14" cm="1">
        <f t="array" ref="X193">INT(SUMPRODUCT(--ISNUMBER(SEARCH(voting,C193)))&gt;0)</f>
        <v>0</v>
      </c>
      <c r="Y193" s="35" cm="1">
        <f t="array" ref="Y193">INT(SUMPRODUCT(--ISNUMBER(SEARCH(republicantrigger,C193)))&gt;0)</f>
        <v>0</v>
      </c>
      <c r="Z193" s="35" cm="1">
        <f t="array" ref="Z193">INT(SUMPRODUCT(--ISNUMBER(SEARCH(bipartisan,C193)))&gt;0)</f>
        <v>0</v>
      </c>
      <c r="AA193" s="35">
        <f t="shared" si="2"/>
        <v>0</v>
      </c>
      <c r="AB193" s="14"/>
      <c r="AC193" s="30">
        <v>1</v>
      </c>
      <c r="AD193" s="37">
        <v>0</v>
      </c>
    </row>
    <row r="194" spans="1:30" x14ac:dyDescent="0.25">
      <c r="A194" s="36">
        <v>2700</v>
      </c>
      <c r="B194" s="14" t="s">
        <v>5425</v>
      </c>
      <c r="C194" s="14" t="s">
        <v>5426</v>
      </c>
      <c r="D194" s="17">
        <v>44118</v>
      </c>
      <c r="E194" s="14" t="s">
        <v>30</v>
      </c>
      <c r="F194" s="14">
        <v>139</v>
      </c>
      <c r="G194" s="14">
        <v>65</v>
      </c>
      <c r="H194" s="14">
        <v>12</v>
      </c>
      <c r="I194" s="14">
        <v>6</v>
      </c>
      <c r="J194" s="14" t="s">
        <v>31</v>
      </c>
      <c r="K194" s="14" cm="1">
        <f t="array" ref="K194">INT(SUMPRODUCT(--ISNUMBER(SEARCH(economy,C194)))&gt;0)</f>
        <v>0</v>
      </c>
      <c r="L194" s="14" cm="1">
        <f t="array" ref="L194">INT(SUMPRODUCT(--ISNUMBER(SEARCH(healthcare,C194)))&gt;0)</f>
        <v>0</v>
      </c>
      <c r="M194" s="14" cm="1">
        <f t="array" ref="M194">INT(SUMPRODUCT(--ISNUMBER(SEARCH(supreme,C194)))&gt;0)</f>
        <v>0</v>
      </c>
      <c r="N194" s="14" cm="1">
        <f t="array" ref="N194">INT(SUMPRODUCT(--ISNUMBER(SEARCH(covid,C194)))&gt;0)</f>
        <v>0</v>
      </c>
      <c r="O194" s="14" cm="1">
        <f t="array" ref="O194">INT(SUMPRODUCT(--ISNUMBER(SEARCH(violent,C194)))&gt;0)</f>
        <v>0</v>
      </c>
      <c r="P194" s="14" cm="1">
        <f t="array" ref="P194">INT(SUMPRODUCT(--ISNUMBER(SEARCH(foreign,C194)))&gt;0)</f>
        <v>0</v>
      </c>
      <c r="Q194" s="14" cm="1">
        <f t="array" ref="Q194">INT(SUMPRODUCT(--ISNUMBER(SEARCH(gun,C194)))&gt;0)</f>
        <v>0</v>
      </c>
      <c r="R194" s="14" cm="1">
        <f t="array" ref="R194">INT(SUMPRODUCT(--ISNUMBER(SEARCH(race,C194)))&gt;0)</f>
        <v>0</v>
      </c>
      <c r="S194" s="14" cm="1">
        <f t="array" ref="S194">INT(SUMPRODUCT(--ISNUMBER(SEARCH(immigration,C194)))&gt;0)</f>
        <v>0</v>
      </c>
      <c r="T194" s="14" cm="1">
        <f t="array" ref="T194">INT(SUMPRODUCT(--ISNUMBER(SEARCH(econineq,C195)))&gt;0)</f>
        <v>0</v>
      </c>
      <c r="U194" s="14" cm="1">
        <f t="array" ref="U194">INT(SUMPRODUCT(--ISNUMBER(SEARCH(climate,C194)))&gt;0)</f>
        <v>0</v>
      </c>
      <c r="V194" s="14" cm="1">
        <f t="array" ref="V194">INT(SUMPRODUCT(--ISNUMBER(SEARCH(abortion,C194)))&gt;0)</f>
        <v>0</v>
      </c>
      <c r="W194" s="14" cm="1">
        <f t="array" ref="W194">INT(SUMPRODUCT(--ISNUMBER(SEARCH(trump,C194)))&gt;0)</f>
        <v>0</v>
      </c>
      <c r="X194" s="14" cm="1">
        <f t="array" ref="X194">INT(SUMPRODUCT(--ISNUMBER(SEARCH(voting,C194)))&gt;0)</f>
        <v>1</v>
      </c>
      <c r="Y194" s="35" cm="1">
        <f t="array" ref="Y194">INT(SUMPRODUCT(--ISNUMBER(SEARCH(republicantrigger,C194)))&gt;0)</f>
        <v>1</v>
      </c>
      <c r="Z194" s="35" cm="1">
        <f t="array" ref="Z194">INT(SUMPRODUCT(--ISNUMBER(SEARCH(bipartisan,C194)))&gt;0)</f>
        <v>0</v>
      </c>
      <c r="AA194" s="35">
        <f t="shared" si="2"/>
        <v>0</v>
      </c>
      <c r="AB194" s="14"/>
      <c r="AC194" s="30" t="s">
        <v>223</v>
      </c>
      <c r="AD194" s="37" t="s">
        <v>223</v>
      </c>
    </row>
    <row r="195" spans="1:30" x14ac:dyDescent="0.25">
      <c r="A195" s="36">
        <v>2701</v>
      </c>
      <c r="B195" s="14" t="s">
        <v>5427</v>
      </c>
      <c r="C195" s="14" t="s">
        <v>5428</v>
      </c>
      <c r="D195" s="17">
        <v>44118</v>
      </c>
      <c r="E195" s="14" t="s">
        <v>30</v>
      </c>
      <c r="F195" s="14">
        <v>146</v>
      </c>
      <c r="G195" s="14">
        <v>58</v>
      </c>
      <c r="H195" s="14">
        <v>12</v>
      </c>
      <c r="I195" s="14">
        <v>6</v>
      </c>
      <c r="J195" s="14" t="s">
        <v>31</v>
      </c>
      <c r="K195" s="14" cm="1">
        <f t="array" ref="K195">INT(SUMPRODUCT(--ISNUMBER(SEARCH(economy,C195)))&gt;0)</f>
        <v>0</v>
      </c>
      <c r="L195" s="14" cm="1">
        <f t="array" ref="L195">INT(SUMPRODUCT(--ISNUMBER(SEARCH(healthcare,C195)))&gt;0)</f>
        <v>0</v>
      </c>
      <c r="M195" s="14" cm="1">
        <f t="array" ref="M195">INT(SUMPRODUCT(--ISNUMBER(SEARCH(supreme,C195)))&gt;0)</f>
        <v>0</v>
      </c>
      <c r="N195" s="14" cm="1">
        <f t="array" ref="N195">INT(SUMPRODUCT(--ISNUMBER(SEARCH(covid,C195)))&gt;0)</f>
        <v>0</v>
      </c>
      <c r="O195" s="14" cm="1">
        <f t="array" ref="O195">INT(SUMPRODUCT(--ISNUMBER(SEARCH(violent,C195)))&gt;0)</f>
        <v>0</v>
      </c>
      <c r="P195" s="14" cm="1">
        <f t="array" ref="P195">INT(SUMPRODUCT(--ISNUMBER(SEARCH(foreign,C195)))&gt;0)</f>
        <v>0</v>
      </c>
      <c r="Q195" s="14" cm="1">
        <f t="array" ref="Q195">INT(SUMPRODUCT(--ISNUMBER(SEARCH(gun,C195)))&gt;0)</f>
        <v>0</v>
      </c>
      <c r="R195" s="14" cm="1">
        <f t="array" ref="R195">INT(SUMPRODUCT(--ISNUMBER(SEARCH(race,C195)))&gt;0)</f>
        <v>0</v>
      </c>
      <c r="S195" s="14" cm="1">
        <f t="array" ref="S195">INT(SUMPRODUCT(--ISNUMBER(SEARCH(immigration,C195)))&gt;0)</f>
        <v>0</v>
      </c>
      <c r="T195" s="14" cm="1">
        <f t="array" ref="T195">INT(SUMPRODUCT(--ISNUMBER(SEARCH(econineq,C196)))&gt;0)</f>
        <v>0</v>
      </c>
      <c r="U195" s="14" cm="1">
        <f t="array" ref="U195">INT(SUMPRODUCT(--ISNUMBER(SEARCH(climate,C195)))&gt;0)</f>
        <v>0</v>
      </c>
      <c r="V195" s="14" cm="1">
        <f t="array" ref="V195">INT(SUMPRODUCT(--ISNUMBER(SEARCH(abortion,C195)))&gt;0)</f>
        <v>0</v>
      </c>
      <c r="W195" s="14" cm="1">
        <f t="array" ref="W195">INT(SUMPRODUCT(--ISNUMBER(SEARCH(trump,C195)))&gt;0)</f>
        <v>0</v>
      </c>
      <c r="X195" s="14" cm="1">
        <f t="array" ref="X195">INT(SUMPRODUCT(--ISNUMBER(SEARCH(voting,C195)))&gt;0)</f>
        <v>0</v>
      </c>
      <c r="Y195" s="35" cm="1">
        <f t="array" ref="Y195">INT(SUMPRODUCT(--ISNUMBER(SEARCH(republicantrigger,C195)))&gt;0)</f>
        <v>0</v>
      </c>
      <c r="Z195" s="35" cm="1">
        <f t="array" ref="Z195">INT(SUMPRODUCT(--ISNUMBER(SEARCH(bipartisan,C195)))&gt;0)</f>
        <v>0</v>
      </c>
      <c r="AA195" s="35">
        <f t="shared" ref="AA195:AA258" si="3">INT(IF(COUNTIF(K195:Z195,1)=0,"1","0"))</f>
        <v>1</v>
      </c>
      <c r="AB195" s="14"/>
      <c r="AC195" s="30" t="s">
        <v>223</v>
      </c>
      <c r="AD195" s="37" t="s">
        <v>223</v>
      </c>
    </row>
    <row r="196" spans="1:30" x14ac:dyDescent="0.25">
      <c r="A196" s="36">
        <v>2702</v>
      </c>
      <c r="B196" s="14" t="s">
        <v>5429</v>
      </c>
      <c r="C196" s="14" t="s">
        <v>5430</v>
      </c>
      <c r="D196" s="17">
        <v>44118</v>
      </c>
      <c r="E196" s="14" t="s">
        <v>30</v>
      </c>
      <c r="F196" s="14">
        <v>221</v>
      </c>
      <c r="G196" s="14">
        <v>89</v>
      </c>
      <c r="H196" s="14">
        <v>12</v>
      </c>
      <c r="I196" s="14">
        <v>6</v>
      </c>
      <c r="J196" s="14" t="s">
        <v>31</v>
      </c>
      <c r="K196" s="14" cm="1">
        <f t="array" ref="K196">INT(SUMPRODUCT(--ISNUMBER(SEARCH(economy,C196)))&gt;0)</f>
        <v>0</v>
      </c>
      <c r="L196" s="14" cm="1">
        <f t="array" ref="L196">INT(SUMPRODUCT(--ISNUMBER(SEARCH(healthcare,C196)))&gt;0)</f>
        <v>0</v>
      </c>
      <c r="M196" s="14" cm="1">
        <f t="array" ref="M196">INT(SUMPRODUCT(--ISNUMBER(SEARCH(supreme,C196)))&gt;0)</f>
        <v>0</v>
      </c>
      <c r="N196" s="14" cm="1">
        <f t="array" ref="N196">INT(SUMPRODUCT(--ISNUMBER(SEARCH(covid,C196)))&gt;0)</f>
        <v>0</v>
      </c>
      <c r="O196" s="14" cm="1">
        <f t="array" ref="O196">INT(SUMPRODUCT(--ISNUMBER(SEARCH(violent,C196)))&gt;0)</f>
        <v>0</v>
      </c>
      <c r="P196" s="14" cm="1">
        <f t="array" ref="P196">INT(SUMPRODUCT(--ISNUMBER(SEARCH(foreign,C196)))&gt;0)</f>
        <v>0</v>
      </c>
      <c r="Q196" s="14" cm="1">
        <f t="array" ref="Q196">INT(SUMPRODUCT(--ISNUMBER(SEARCH(gun,C196)))&gt;0)</f>
        <v>0</v>
      </c>
      <c r="R196" s="14" cm="1">
        <f t="array" ref="R196">INT(SUMPRODUCT(--ISNUMBER(SEARCH(race,C196)))&gt;0)</f>
        <v>0</v>
      </c>
      <c r="S196" s="14" cm="1">
        <f t="array" ref="S196">INT(SUMPRODUCT(--ISNUMBER(SEARCH(immigration,C196)))&gt;0)</f>
        <v>0</v>
      </c>
      <c r="T196" s="14" cm="1">
        <f t="array" ref="T196">INT(SUMPRODUCT(--ISNUMBER(SEARCH(econineq,C197)))&gt;0)</f>
        <v>0</v>
      </c>
      <c r="U196" s="14" cm="1">
        <f t="array" ref="U196">INT(SUMPRODUCT(--ISNUMBER(SEARCH(climate,C196)))&gt;0)</f>
        <v>0</v>
      </c>
      <c r="V196" s="14" cm="1">
        <f t="array" ref="V196">INT(SUMPRODUCT(--ISNUMBER(SEARCH(abortion,C196)))&gt;0)</f>
        <v>0</v>
      </c>
      <c r="W196" s="14" cm="1">
        <f t="array" ref="W196">INT(SUMPRODUCT(--ISNUMBER(SEARCH(trump,C196)))&gt;0)</f>
        <v>0</v>
      </c>
      <c r="X196" s="14" cm="1">
        <f t="array" ref="X196">INT(SUMPRODUCT(--ISNUMBER(SEARCH(voting,C196)))&gt;0)</f>
        <v>0</v>
      </c>
      <c r="Y196" s="35" cm="1">
        <f t="array" ref="Y196">INT(SUMPRODUCT(--ISNUMBER(SEARCH(republicantrigger,C196)))&gt;0)</f>
        <v>0</v>
      </c>
      <c r="Z196" s="35" cm="1">
        <f t="array" ref="Z196">INT(SUMPRODUCT(--ISNUMBER(SEARCH(bipartisan,C196)))&gt;0)</f>
        <v>0</v>
      </c>
      <c r="AA196" s="35">
        <f t="shared" si="3"/>
        <v>1</v>
      </c>
      <c r="AB196" s="14"/>
      <c r="AC196" s="30" t="s">
        <v>223</v>
      </c>
      <c r="AD196" s="37" t="s">
        <v>223</v>
      </c>
    </row>
    <row r="197" spans="1:30" x14ac:dyDescent="0.25">
      <c r="A197" s="36">
        <v>2703</v>
      </c>
      <c r="B197" s="14" t="s">
        <v>5431</v>
      </c>
      <c r="C197" s="14" t="s">
        <v>5432</v>
      </c>
      <c r="D197" s="17">
        <v>44118</v>
      </c>
      <c r="E197" s="14" t="s">
        <v>30</v>
      </c>
      <c r="F197" s="14">
        <v>97</v>
      </c>
      <c r="G197" s="14">
        <v>34</v>
      </c>
      <c r="H197" s="14">
        <v>12</v>
      </c>
      <c r="I197" s="14">
        <v>6</v>
      </c>
      <c r="J197" s="14" t="s">
        <v>31</v>
      </c>
      <c r="K197" s="14" cm="1">
        <f t="array" ref="K197">INT(SUMPRODUCT(--ISNUMBER(SEARCH(economy,C197)))&gt;0)</f>
        <v>0</v>
      </c>
      <c r="L197" s="14" cm="1">
        <f t="array" ref="L197">INT(SUMPRODUCT(--ISNUMBER(SEARCH(healthcare,C197)))&gt;0)</f>
        <v>0</v>
      </c>
      <c r="M197" s="14" cm="1">
        <f t="array" ref="M197">INT(SUMPRODUCT(--ISNUMBER(SEARCH(supreme,C197)))&gt;0)</f>
        <v>0</v>
      </c>
      <c r="N197" s="14" cm="1">
        <f t="array" ref="N197">INT(SUMPRODUCT(--ISNUMBER(SEARCH(covid,C197)))&gt;0)</f>
        <v>1</v>
      </c>
      <c r="O197" s="14" cm="1">
        <f t="array" ref="O197">INT(SUMPRODUCT(--ISNUMBER(SEARCH(violent,C197)))&gt;0)</f>
        <v>0</v>
      </c>
      <c r="P197" s="14" cm="1">
        <f t="array" ref="P197">INT(SUMPRODUCT(--ISNUMBER(SEARCH(foreign,C197)))&gt;0)</f>
        <v>0</v>
      </c>
      <c r="Q197" s="14" cm="1">
        <f t="array" ref="Q197">INT(SUMPRODUCT(--ISNUMBER(SEARCH(gun,C197)))&gt;0)</f>
        <v>0</v>
      </c>
      <c r="R197" s="14" cm="1">
        <f t="array" ref="R197">INT(SUMPRODUCT(--ISNUMBER(SEARCH(race,C197)))&gt;0)</f>
        <v>0</v>
      </c>
      <c r="S197" s="14" cm="1">
        <f t="array" ref="S197">INT(SUMPRODUCT(--ISNUMBER(SEARCH(immigration,C197)))&gt;0)</f>
        <v>0</v>
      </c>
      <c r="T197" s="14" cm="1">
        <f t="array" ref="T197">INT(SUMPRODUCT(--ISNUMBER(SEARCH(econineq,C198)))&gt;0)</f>
        <v>0</v>
      </c>
      <c r="U197" s="14" cm="1">
        <f t="array" ref="U197">INT(SUMPRODUCT(--ISNUMBER(SEARCH(climate,C197)))&gt;0)</f>
        <v>0</v>
      </c>
      <c r="V197" s="14" cm="1">
        <f t="array" ref="V197">INT(SUMPRODUCT(--ISNUMBER(SEARCH(abortion,C197)))&gt;0)</f>
        <v>0</v>
      </c>
      <c r="W197" s="14" cm="1">
        <f t="array" ref="W197">INT(SUMPRODUCT(--ISNUMBER(SEARCH(trump,C197)))&gt;0)</f>
        <v>0</v>
      </c>
      <c r="X197" s="14" cm="1">
        <f t="array" ref="X197">INT(SUMPRODUCT(--ISNUMBER(SEARCH(voting,C197)))&gt;0)</f>
        <v>1</v>
      </c>
      <c r="Y197" s="35" cm="1">
        <f t="array" ref="Y197">INT(SUMPRODUCT(--ISNUMBER(SEARCH(republicantrigger,C197)))&gt;0)</f>
        <v>0</v>
      </c>
      <c r="Z197" s="35" cm="1">
        <f t="array" ref="Z197">INT(SUMPRODUCT(--ISNUMBER(SEARCH(bipartisan,C197)))&gt;0)</f>
        <v>0</v>
      </c>
      <c r="AA197" s="35">
        <f t="shared" si="3"/>
        <v>0</v>
      </c>
      <c r="AB197" s="14"/>
      <c r="AC197" s="30" t="s">
        <v>223</v>
      </c>
      <c r="AD197" s="37" t="s">
        <v>223</v>
      </c>
    </row>
    <row r="198" spans="1:30" x14ac:dyDescent="0.25">
      <c r="A198" s="36">
        <v>2704</v>
      </c>
      <c r="B198" s="14" t="s">
        <v>5433</v>
      </c>
      <c r="C198" s="14" t="s">
        <v>5434</v>
      </c>
      <c r="D198" s="17">
        <v>44118</v>
      </c>
      <c r="E198" s="14" t="s">
        <v>30</v>
      </c>
      <c r="F198" s="14">
        <v>104</v>
      </c>
      <c r="G198" s="14">
        <v>63</v>
      </c>
      <c r="H198" s="14">
        <v>12</v>
      </c>
      <c r="I198" s="14">
        <v>6</v>
      </c>
      <c r="J198" s="14" t="s">
        <v>31</v>
      </c>
      <c r="K198" s="14" cm="1">
        <f t="array" ref="K198">INT(SUMPRODUCT(--ISNUMBER(SEARCH(economy,C198)))&gt;0)</f>
        <v>0</v>
      </c>
      <c r="L198" s="14" cm="1">
        <f t="array" ref="L198">INT(SUMPRODUCT(--ISNUMBER(SEARCH(healthcare,C198)))&gt;0)</f>
        <v>0</v>
      </c>
      <c r="M198" s="14" cm="1">
        <f t="array" ref="M198">INT(SUMPRODUCT(--ISNUMBER(SEARCH(supreme,C198)))&gt;0)</f>
        <v>1</v>
      </c>
      <c r="N198" s="14" cm="1">
        <f t="array" ref="N198">INT(SUMPRODUCT(--ISNUMBER(SEARCH(covid,C198)))&gt;0)</f>
        <v>0</v>
      </c>
      <c r="O198" s="14" cm="1">
        <f t="array" ref="O198">INT(SUMPRODUCT(--ISNUMBER(SEARCH(violent,C198)))&gt;0)</f>
        <v>1</v>
      </c>
      <c r="P198" s="14" cm="1">
        <f t="array" ref="P198">INT(SUMPRODUCT(--ISNUMBER(SEARCH(foreign,C198)))&gt;0)</f>
        <v>0</v>
      </c>
      <c r="Q198" s="14" cm="1">
        <f t="array" ref="Q198">INT(SUMPRODUCT(--ISNUMBER(SEARCH(gun,C198)))&gt;0)</f>
        <v>0</v>
      </c>
      <c r="R198" s="14" cm="1">
        <f t="array" ref="R198">INT(SUMPRODUCT(--ISNUMBER(SEARCH(race,C198)))&gt;0)</f>
        <v>0</v>
      </c>
      <c r="S198" s="14" cm="1">
        <f t="array" ref="S198">INT(SUMPRODUCT(--ISNUMBER(SEARCH(immigration,C198)))&gt;0)</f>
        <v>0</v>
      </c>
      <c r="T198" s="14" cm="1">
        <f t="array" ref="T198">INT(SUMPRODUCT(--ISNUMBER(SEARCH(econineq,C199)))&gt;0)</f>
        <v>0</v>
      </c>
      <c r="U198" s="14" cm="1">
        <f t="array" ref="U198">INT(SUMPRODUCT(--ISNUMBER(SEARCH(climate,C198)))&gt;0)</f>
        <v>0</v>
      </c>
      <c r="V198" s="14" cm="1">
        <f t="array" ref="V198">INT(SUMPRODUCT(--ISNUMBER(SEARCH(abortion,C198)))&gt;0)</f>
        <v>0</v>
      </c>
      <c r="W198" s="14" cm="1">
        <f t="array" ref="W198">INT(SUMPRODUCT(--ISNUMBER(SEARCH(trump,C198)))&gt;0)</f>
        <v>1</v>
      </c>
      <c r="X198" s="14" cm="1">
        <f t="array" ref="X198">INT(SUMPRODUCT(--ISNUMBER(SEARCH(voting,C198)))&gt;0)</f>
        <v>0</v>
      </c>
      <c r="Y198" s="35" cm="1">
        <f t="array" ref="Y198">INT(SUMPRODUCT(--ISNUMBER(SEARCH(republicantrigger,C198)))&gt;0)</f>
        <v>1</v>
      </c>
      <c r="Z198" s="35" cm="1">
        <f t="array" ref="Z198">INT(SUMPRODUCT(--ISNUMBER(SEARCH(bipartisan,C198)))&gt;0)</f>
        <v>0</v>
      </c>
      <c r="AA198" s="35">
        <f t="shared" si="3"/>
        <v>0</v>
      </c>
      <c r="AB198" s="14"/>
      <c r="AC198" s="30" t="s">
        <v>223</v>
      </c>
      <c r="AD198" s="37" t="s">
        <v>223</v>
      </c>
    </row>
    <row r="199" spans="1:30" x14ac:dyDescent="0.25">
      <c r="A199" s="36">
        <v>2705</v>
      </c>
      <c r="B199" s="14" t="s">
        <v>5435</v>
      </c>
      <c r="C199" s="14" t="s">
        <v>5436</v>
      </c>
      <c r="D199" s="17">
        <v>44118</v>
      </c>
      <c r="E199" s="14" t="s">
        <v>30</v>
      </c>
      <c r="F199" s="14">
        <v>36</v>
      </c>
      <c r="G199" s="14">
        <v>7</v>
      </c>
      <c r="H199" s="14">
        <v>12</v>
      </c>
      <c r="I199" s="14">
        <v>6</v>
      </c>
      <c r="J199" s="14" t="s">
        <v>31</v>
      </c>
      <c r="K199" s="14" cm="1">
        <f t="array" ref="K199">INT(SUMPRODUCT(--ISNUMBER(SEARCH(economy,C199)))&gt;0)</f>
        <v>0</v>
      </c>
      <c r="L199" s="14" cm="1">
        <f t="array" ref="L199">INT(SUMPRODUCT(--ISNUMBER(SEARCH(healthcare,C199)))&gt;0)</f>
        <v>0</v>
      </c>
      <c r="M199" s="14" cm="1">
        <f t="array" ref="M199">INT(SUMPRODUCT(--ISNUMBER(SEARCH(supreme,C199)))&gt;0)</f>
        <v>0</v>
      </c>
      <c r="N199" s="14" cm="1">
        <f t="array" ref="N199">INT(SUMPRODUCT(--ISNUMBER(SEARCH(covid,C199)))&gt;0)</f>
        <v>0</v>
      </c>
      <c r="O199" s="14" cm="1">
        <f t="array" ref="O199">INT(SUMPRODUCT(--ISNUMBER(SEARCH(violent,C199)))&gt;0)</f>
        <v>0</v>
      </c>
      <c r="P199" s="14" cm="1">
        <f t="array" ref="P199">INT(SUMPRODUCT(--ISNUMBER(SEARCH(foreign,C199)))&gt;0)</f>
        <v>0</v>
      </c>
      <c r="Q199" s="14" cm="1">
        <f t="array" ref="Q199">INT(SUMPRODUCT(--ISNUMBER(SEARCH(gun,C199)))&gt;0)</f>
        <v>0</v>
      </c>
      <c r="R199" s="14" cm="1">
        <f t="array" ref="R199">INT(SUMPRODUCT(--ISNUMBER(SEARCH(race,C199)))&gt;0)</f>
        <v>0</v>
      </c>
      <c r="S199" s="14" cm="1">
        <f t="array" ref="S199">INT(SUMPRODUCT(--ISNUMBER(SEARCH(immigration,C199)))&gt;0)</f>
        <v>0</v>
      </c>
      <c r="T199" s="14" cm="1">
        <f t="array" ref="T199">INT(SUMPRODUCT(--ISNUMBER(SEARCH(econineq,C200)))&gt;0)</f>
        <v>0</v>
      </c>
      <c r="U199" s="14" cm="1">
        <f t="array" ref="U199">INT(SUMPRODUCT(--ISNUMBER(SEARCH(climate,C199)))&gt;0)</f>
        <v>0</v>
      </c>
      <c r="V199" s="14" cm="1">
        <f t="array" ref="V199">INT(SUMPRODUCT(--ISNUMBER(SEARCH(abortion,C199)))&gt;0)</f>
        <v>0</v>
      </c>
      <c r="W199" s="14" cm="1">
        <f t="array" ref="W199">INT(SUMPRODUCT(--ISNUMBER(SEARCH(trump,C199)))&gt;0)</f>
        <v>1</v>
      </c>
      <c r="X199" s="14" cm="1">
        <f t="array" ref="X199">INT(SUMPRODUCT(--ISNUMBER(SEARCH(voting,C199)))&gt;0)</f>
        <v>1</v>
      </c>
      <c r="Y199" s="35" cm="1">
        <f t="array" ref="Y199">INT(SUMPRODUCT(--ISNUMBER(SEARCH(republicantrigger,C199)))&gt;0)</f>
        <v>0</v>
      </c>
      <c r="Z199" s="35" cm="1">
        <f t="array" ref="Z199">INT(SUMPRODUCT(--ISNUMBER(SEARCH(bipartisan,C199)))&gt;0)</f>
        <v>0</v>
      </c>
      <c r="AA199" s="35">
        <f t="shared" si="3"/>
        <v>0</v>
      </c>
      <c r="AB199" s="14"/>
      <c r="AC199" s="30" t="s">
        <v>223</v>
      </c>
      <c r="AD199" s="37" t="s">
        <v>223</v>
      </c>
    </row>
    <row r="200" spans="1:30" x14ac:dyDescent="0.25">
      <c r="A200" s="36">
        <v>2706</v>
      </c>
      <c r="B200" s="14" t="s">
        <v>5437</v>
      </c>
      <c r="C200" s="14" t="s">
        <v>5438</v>
      </c>
      <c r="D200" s="17">
        <v>44118</v>
      </c>
      <c r="E200" s="14" t="s">
        <v>30</v>
      </c>
      <c r="F200" s="14">
        <v>194</v>
      </c>
      <c r="G200" s="14">
        <v>62</v>
      </c>
      <c r="H200" s="14">
        <v>12</v>
      </c>
      <c r="I200" s="14">
        <v>6</v>
      </c>
      <c r="J200" s="14" t="s">
        <v>31</v>
      </c>
      <c r="K200" s="14" cm="1">
        <f t="array" ref="K200">INT(SUMPRODUCT(--ISNUMBER(SEARCH(economy,C200)))&gt;0)</f>
        <v>1</v>
      </c>
      <c r="L200" s="14" cm="1">
        <f t="array" ref="L200">INT(SUMPRODUCT(--ISNUMBER(SEARCH(healthcare,C200)))&gt;0)</f>
        <v>0</v>
      </c>
      <c r="M200" s="14" cm="1">
        <f t="array" ref="M200">INT(SUMPRODUCT(--ISNUMBER(SEARCH(supreme,C200)))&gt;0)</f>
        <v>0</v>
      </c>
      <c r="N200" s="14" cm="1">
        <f t="array" ref="N200">INT(SUMPRODUCT(--ISNUMBER(SEARCH(covid,C200)))&gt;0)</f>
        <v>0</v>
      </c>
      <c r="O200" s="14" cm="1">
        <f t="array" ref="O200">INT(SUMPRODUCT(--ISNUMBER(SEARCH(violent,C200)))&gt;0)</f>
        <v>0</v>
      </c>
      <c r="P200" s="14" cm="1">
        <f t="array" ref="P200">INT(SUMPRODUCT(--ISNUMBER(SEARCH(foreign,C200)))&gt;0)</f>
        <v>0</v>
      </c>
      <c r="Q200" s="14" cm="1">
        <f t="array" ref="Q200">INT(SUMPRODUCT(--ISNUMBER(SEARCH(gun,C200)))&gt;0)</f>
        <v>0</v>
      </c>
      <c r="R200" s="14" cm="1">
        <f t="array" ref="R200">INT(SUMPRODUCT(--ISNUMBER(SEARCH(race,C200)))&gt;0)</f>
        <v>0</v>
      </c>
      <c r="S200" s="14" cm="1">
        <f t="array" ref="S200">INT(SUMPRODUCT(--ISNUMBER(SEARCH(immigration,C200)))&gt;0)</f>
        <v>0</v>
      </c>
      <c r="T200" s="14" cm="1">
        <f t="array" ref="T200">INT(SUMPRODUCT(--ISNUMBER(SEARCH(econineq,C201)))&gt;0)</f>
        <v>0</v>
      </c>
      <c r="U200" s="14" cm="1">
        <f t="array" ref="U200">INT(SUMPRODUCT(--ISNUMBER(SEARCH(climate,C200)))&gt;0)</f>
        <v>0</v>
      </c>
      <c r="V200" s="14" cm="1">
        <f t="array" ref="V200">INT(SUMPRODUCT(--ISNUMBER(SEARCH(abortion,C200)))&gt;0)</f>
        <v>0</v>
      </c>
      <c r="W200" s="14" cm="1">
        <f t="array" ref="W200">INT(SUMPRODUCT(--ISNUMBER(SEARCH(trump,C200)))&gt;0)</f>
        <v>1</v>
      </c>
      <c r="X200" s="14" cm="1">
        <f t="array" ref="X200">INT(SUMPRODUCT(--ISNUMBER(SEARCH(voting,C200)))&gt;0)</f>
        <v>0</v>
      </c>
      <c r="Y200" s="35" cm="1">
        <f t="array" ref="Y200">INT(SUMPRODUCT(--ISNUMBER(SEARCH(republicantrigger,C200)))&gt;0)</f>
        <v>0</v>
      </c>
      <c r="Z200" s="35" cm="1">
        <f t="array" ref="Z200">INT(SUMPRODUCT(--ISNUMBER(SEARCH(bipartisan,C200)))&gt;0)</f>
        <v>0</v>
      </c>
      <c r="AA200" s="35">
        <f t="shared" si="3"/>
        <v>0</v>
      </c>
      <c r="AB200" s="14"/>
      <c r="AC200" s="30" t="s">
        <v>223</v>
      </c>
      <c r="AD200" s="37" t="s">
        <v>223</v>
      </c>
    </row>
    <row r="201" spans="1:30" x14ac:dyDescent="0.25">
      <c r="A201" s="36">
        <v>2707</v>
      </c>
      <c r="B201" s="14" t="s">
        <v>5439</v>
      </c>
      <c r="C201" s="14" t="s">
        <v>5440</v>
      </c>
      <c r="D201" s="17">
        <v>44118</v>
      </c>
      <c r="E201" s="14" t="s">
        <v>30</v>
      </c>
      <c r="F201" s="14">
        <v>168</v>
      </c>
      <c r="G201" s="14">
        <v>61</v>
      </c>
      <c r="H201" s="14">
        <v>12</v>
      </c>
      <c r="I201" s="14">
        <v>6</v>
      </c>
      <c r="J201" s="14" t="s">
        <v>31</v>
      </c>
      <c r="K201" s="14" cm="1">
        <f t="array" ref="K201">INT(SUMPRODUCT(--ISNUMBER(SEARCH(economy,C201)))&gt;0)</f>
        <v>0</v>
      </c>
      <c r="L201" s="14" cm="1">
        <f t="array" ref="L201">INT(SUMPRODUCT(--ISNUMBER(SEARCH(healthcare,C201)))&gt;0)</f>
        <v>0</v>
      </c>
      <c r="M201" s="14" cm="1">
        <f t="array" ref="M201">INT(SUMPRODUCT(--ISNUMBER(SEARCH(supreme,C201)))&gt;0)</f>
        <v>0</v>
      </c>
      <c r="N201" s="14" cm="1">
        <f t="array" ref="N201">INT(SUMPRODUCT(--ISNUMBER(SEARCH(covid,C201)))&gt;0)</f>
        <v>1</v>
      </c>
      <c r="O201" s="14" cm="1">
        <f t="array" ref="O201">INT(SUMPRODUCT(--ISNUMBER(SEARCH(violent,C201)))&gt;0)</f>
        <v>0</v>
      </c>
      <c r="P201" s="14" cm="1">
        <f t="array" ref="P201">INT(SUMPRODUCT(--ISNUMBER(SEARCH(foreign,C201)))&gt;0)</f>
        <v>0</v>
      </c>
      <c r="Q201" s="14" cm="1">
        <f t="array" ref="Q201">INT(SUMPRODUCT(--ISNUMBER(SEARCH(gun,C201)))&gt;0)</f>
        <v>0</v>
      </c>
      <c r="R201" s="14" cm="1">
        <f t="array" ref="R201">INT(SUMPRODUCT(--ISNUMBER(SEARCH(race,C201)))&gt;0)</f>
        <v>0</v>
      </c>
      <c r="S201" s="14" cm="1">
        <f t="array" ref="S201">INT(SUMPRODUCT(--ISNUMBER(SEARCH(immigration,C201)))&gt;0)</f>
        <v>0</v>
      </c>
      <c r="T201" s="14" cm="1">
        <f t="array" ref="T201">INT(SUMPRODUCT(--ISNUMBER(SEARCH(econineq,C202)))&gt;0)</f>
        <v>0</v>
      </c>
      <c r="U201" s="14" cm="1">
        <f t="array" ref="U201">INT(SUMPRODUCT(--ISNUMBER(SEARCH(climate,C201)))&gt;0)</f>
        <v>0</v>
      </c>
      <c r="V201" s="14" cm="1">
        <f t="array" ref="V201">INT(SUMPRODUCT(--ISNUMBER(SEARCH(abortion,C201)))&gt;0)</f>
        <v>0</v>
      </c>
      <c r="W201" s="14" cm="1">
        <f t="array" ref="W201">INT(SUMPRODUCT(--ISNUMBER(SEARCH(trump,C201)))&gt;0)</f>
        <v>0</v>
      </c>
      <c r="X201" s="14" cm="1">
        <f t="array" ref="X201">INT(SUMPRODUCT(--ISNUMBER(SEARCH(voting,C201)))&gt;0)</f>
        <v>1</v>
      </c>
      <c r="Y201" s="35" cm="1">
        <f t="array" ref="Y201">INT(SUMPRODUCT(--ISNUMBER(SEARCH(republicantrigger,C201)))&gt;0)</f>
        <v>1</v>
      </c>
      <c r="Z201" s="35" cm="1">
        <f t="array" ref="Z201">INT(SUMPRODUCT(--ISNUMBER(SEARCH(bipartisan,C201)))&gt;0)</f>
        <v>0</v>
      </c>
      <c r="AA201" s="35">
        <f t="shared" si="3"/>
        <v>0</v>
      </c>
      <c r="AB201" s="14"/>
      <c r="AC201" s="30" t="s">
        <v>223</v>
      </c>
      <c r="AD201" s="37" t="s">
        <v>223</v>
      </c>
    </row>
    <row r="202" spans="1:30" x14ac:dyDescent="0.25">
      <c r="A202" s="36">
        <v>2708</v>
      </c>
      <c r="B202" s="14" t="s">
        <v>5441</v>
      </c>
      <c r="C202" s="14" t="s">
        <v>5442</v>
      </c>
      <c r="D202" s="17">
        <v>44118</v>
      </c>
      <c r="E202" s="14" t="s">
        <v>30</v>
      </c>
      <c r="F202" s="14">
        <v>108</v>
      </c>
      <c r="G202" s="14">
        <v>48</v>
      </c>
      <c r="H202" s="14">
        <v>12</v>
      </c>
      <c r="I202" s="14">
        <v>6</v>
      </c>
      <c r="J202" s="14" t="s">
        <v>31</v>
      </c>
      <c r="K202" s="14" cm="1">
        <f t="array" ref="K202">INT(SUMPRODUCT(--ISNUMBER(SEARCH(economy,C202)))&gt;0)</f>
        <v>0</v>
      </c>
      <c r="L202" s="14" cm="1">
        <f t="array" ref="L202">INT(SUMPRODUCT(--ISNUMBER(SEARCH(healthcare,C202)))&gt;0)</f>
        <v>0</v>
      </c>
      <c r="M202" s="14" cm="1">
        <f t="array" ref="M202">INT(SUMPRODUCT(--ISNUMBER(SEARCH(supreme,C202)))&gt;0)</f>
        <v>0</v>
      </c>
      <c r="N202" s="14" cm="1">
        <f t="array" ref="N202">INT(SUMPRODUCT(--ISNUMBER(SEARCH(covid,C202)))&gt;0)</f>
        <v>1</v>
      </c>
      <c r="O202" s="14" cm="1">
        <f t="array" ref="O202">INT(SUMPRODUCT(--ISNUMBER(SEARCH(violent,C202)))&gt;0)</f>
        <v>0</v>
      </c>
      <c r="P202" s="14" cm="1">
        <f t="array" ref="P202">INT(SUMPRODUCT(--ISNUMBER(SEARCH(foreign,C202)))&gt;0)</f>
        <v>1</v>
      </c>
      <c r="Q202" s="14" cm="1">
        <f t="array" ref="Q202">INT(SUMPRODUCT(--ISNUMBER(SEARCH(gun,C202)))&gt;0)</f>
        <v>0</v>
      </c>
      <c r="R202" s="14" cm="1">
        <f t="array" ref="R202">INT(SUMPRODUCT(--ISNUMBER(SEARCH(race,C202)))&gt;0)</f>
        <v>0</v>
      </c>
      <c r="S202" s="14" cm="1">
        <f t="array" ref="S202">INT(SUMPRODUCT(--ISNUMBER(SEARCH(immigration,C202)))&gt;0)</f>
        <v>0</v>
      </c>
      <c r="T202" s="14" cm="1">
        <f t="array" ref="T202">INT(SUMPRODUCT(--ISNUMBER(SEARCH(econineq,C203)))&gt;0)</f>
        <v>0</v>
      </c>
      <c r="U202" s="14" cm="1">
        <f t="array" ref="U202">INT(SUMPRODUCT(--ISNUMBER(SEARCH(climate,C202)))&gt;0)</f>
        <v>0</v>
      </c>
      <c r="V202" s="14" cm="1">
        <f t="array" ref="V202">INT(SUMPRODUCT(--ISNUMBER(SEARCH(abortion,C202)))&gt;0)</f>
        <v>0</v>
      </c>
      <c r="W202" s="14" cm="1">
        <f t="array" ref="W202">INT(SUMPRODUCT(--ISNUMBER(SEARCH(trump,C202)))&gt;0)</f>
        <v>1</v>
      </c>
      <c r="X202" s="14" cm="1">
        <f t="array" ref="X202">INT(SUMPRODUCT(--ISNUMBER(SEARCH(voting,C202)))&gt;0)</f>
        <v>0</v>
      </c>
      <c r="Y202" s="35" cm="1">
        <f t="array" ref="Y202">INT(SUMPRODUCT(--ISNUMBER(SEARCH(republicantrigger,C202)))&gt;0)</f>
        <v>1</v>
      </c>
      <c r="Z202" s="35" cm="1">
        <f t="array" ref="Z202">INT(SUMPRODUCT(--ISNUMBER(SEARCH(bipartisan,C202)))&gt;0)</f>
        <v>0</v>
      </c>
      <c r="AA202" s="35">
        <f t="shared" si="3"/>
        <v>0</v>
      </c>
      <c r="AB202" s="14"/>
      <c r="AC202" s="30" t="s">
        <v>223</v>
      </c>
      <c r="AD202" s="37" t="s">
        <v>223</v>
      </c>
    </row>
    <row r="203" spans="1:30" x14ac:dyDescent="0.25">
      <c r="A203" s="36">
        <v>2709</v>
      </c>
      <c r="B203" s="14" t="s">
        <v>5443</v>
      </c>
      <c r="C203" s="14" t="s">
        <v>5444</v>
      </c>
      <c r="D203" s="17">
        <v>44117</v>
      </c>
      <c r="E203" s="14" t="s">
        <v>30</v>
      </c>
      <c r="F203" s="14">
        <v>120</v>
      </c>
      <c r="G203" s="14">
        <v>51</v>
      </c>
      <c r="H203" s="14">
        <v>12</v>
      </c>
      <c r="I203" s="14">
        <v>6</v>
      </c>
      <c r="J203" s="14" t="s">
        <v>31</v>
      </c>
      <c r="K203" s="14" cm="1">
        <f t="array" ref="K203">INT(SUMPRODUCT(--ISNUMBER(SEARCH(economy,C203)))&gt;0)</f>
        <v>0</v>
      </c>
      <c r="L203" s="14" cm="1">
        <f t="array" ref="L203">INT(SUMPRODUCT(--ISNUMBER(SEARCH(healthcare,C203)))&gt;0)</f>
        <v>0</v>
      </c>
      <c r="M203" s="14" cm="1">
        <f t="array" ref="M203">INT(SUMPRODUCT(--ISNUMBER(SEARCH(supreme,C203)))&gt;0)</f>
        <v>0</v>
      </c>
      <c r="N203" s="14" cm="1">
        <f t="array" ref="N203">INT(SUMPRODUCT(--ISNUMBER(SEARCH(covid,C203)))&gt;0)</f>
        <v>0</v>
      </c>
      <c r="O203" s="14" cm="1">
        <f t="array" ref="O203">INT(SUMPRODUCT(--ISNUMBER(SEARCH(violent,C203)))&gt;0)</f>
        <v>0</v>
      </c>
      <c r="P203" s="14" cm="1">
        <f t="array" ref="P203">INT(SUMPRODUCT(--ISNUMBER(SEARCH(foreign,C203)))&gt;0)</f>
        <v>0</v>
      </c>
      <c r="Q203" s="14" cm="1">
        <f t="array" ref="Q203">INT(SUMPRODUCT(--ISNUMBER(SEARCH(gun,C203)))&gt;0)</f>
        <v>0</v>
      </c>
      <c r="R203" s="14" cm="1">
        <f t="array" ref="R203">INT(SUMPRODUCT(--ISNUMBER(SEARCH(race,C203)))&gt;0)</f>
        <v>1</v>
      </c>
      <c r="S203" s="14" cm="1">
        <f t="array" ref="S203">INT(SUMPRODUCT(--ISNUMBER(SEARCH(immigration,C203)))&gt;0)</f>
        <v>0</v>
      </c>
      <c r="T203" s="14" cm="1">
        <f t="array" ref="T203">INT(SUMPRODUCT(--ISNUMBER(SEARCH(econineq,C204)))&gt;0)</f>
        <v>0</v>
      </c>
      <c r="U203" s="14" cm="1">
        <f t="array" ref="U203">INT(SUMPRODUCT(--ISNUMBER(SEARCH(climate,C203)))&gt;0)</f>
        <v>0</v>
      </c>
      <c r="V203" s="14" cm="1">
        <f t="array" ref="V203">INT(SUMPRODUCT(--ISNUMBER(SEARCH(abortion,C203)))&gt;0)</f>
        <v>0</v>
      </c>
      <c r="W203" s="14" cm="1">
        <f t="array" ref="W203">INT(SUMPRODUCT(--ISNUMBER(SEARCH(trump,C203)))&gt;0)</f>
        <v>0</v>
      </c>
      <c r="X203" s="14" cm="1">
        <f t="array" ref="X203">INT(SUMPRODUCT(--ISNUMBER(SEARCH(voting,C203)))&gt;0)</f>
        <v>0</v>
      </c>
      <c r="Y203" s="35" cm="1">
        <f t="array" ref="Y203">INT(SUMPRODUCT(--ISNUMBER(SEARCH(republicantrigger,C203)))&gt;0)</f>
        <v>1</v>
      </c>
      <c r="Z203" s="35" cm="1">
        <f t="array" ref="Z203">INT(SUMPRODUCT(--ISNUMBER(SEARCH(bipartisan,C203)))&gt;0)</f>
        <v>0</v>
      </c>
      <c r="AA203" s="35">
        <f t="shared" si="3"/>
        <v>0</v>
      </c>
      <c r="AB203" s="14"/>
      <c r="AC203" s="30" t="s">
        <v>223</v>
      </c>
      <c r="AD203" s="37" t="s">
        <v>223</v>
      </c>
    </row>
    <row r="204" spans="1:30" x14ac:dyDescent="0.25">
      <c r="A204" s="36">
        <v>2710</v>
      </c>
      <c r="B204" s="14" t="s">
        <v>5445</v>
      </c>
      <c r="C204" s="14" t="s">
        <v>5446</v>
      </c>
      <c r="D204" s="17">
        <v>44117</v>
      </c>
      <c r="E204" s="14" t="s">
        <v>30</v>
      </c>
      <c r="F204" s="14">
        <v>184</v>
      </c>
      <c r="G204" s="14">
        <v>55</v>
      </c>
      <c r="H204" s="14">
        <v>12</v>
      </c>
      <c r="I204" s="14">
        <v>6</v>
      </c>
      <c r="J204" s="14" t="s">
        <v>31</v>
      </c>
      <c r="K204" s="14" cm="1">
        <f t="array" ref="K204">INT(SUMPRODUCT(--ISNUMBER(SEARCH(economy,C204)))&gt;0)</f>
        <v>0</v>
      </c>
      <c r="L204" s="14" cm="1">
        <f t="array" ref="L204">INT(SUMPRODUCT(--ISNUMBER(SEARCH(healthcare,C204)))&gt;0)</f>
        <v>0</v>
      </c>
      <c r="M204" s="14" cm="1">
        <f t="array" ref="M204">INT(SUMPRODUCT(--ISNUMBER(SEARCH(supreme,C204)))&gt;0)</f>
        <v>1</v>
      </c>
      <c r="N204" s="14" cm="1">
        <f t="array" ref="N204">INT(SUMPRODUCT(--ISNUMBER(SEARCH(covid,C204)))&gt;0)</f>
        <v>0</v>
      </c>
      <c r="O204" s="14" cm="1">
        <f t="array" ref="O204">INT(SUMPRODUCT(--ISNUMBER(SEARCH(violent,C204)))&gt;0)</f>
        <v>0</v>
      </c>
      <c r="P204" s="14" cm="1">
        <f t="array" ref="P204">INT(SUMPRODUCT(--ISNUMBER(SEARCH(foreign,C204)))&gt;0)</f>
        <v>0</v>
      </c>
      <c r="Q204" s="14" cm="1">
        <f t="array" ref="Q204">INT(SUMPRODUCT(--ISNUMBER(SEARCH(gun,C204)))&gt;0)</f>
        <v>0</v>
      </c>
      <c r="R204" s="14" cm="1">
        <f t="array" ref="R204">INT(SUMPRODUCT(--ISNUMBER(SEARCH(race,C204)))&gt;0)</f>
        <v>0</v>
      </c>
      <c r="S204" s="14" cm="1">
        <f t="array" ref="S204">INT(SUMPRODUCT(--ISNUMBER(SEARCH(immigration,C204)))&gt;0)</f>
        <v>0</v>
      </c>
      <c r="T204" s="14" cm="1">
        <f t="array" ref="T204">INT(SUMPRODUCT(--ISNUMBER(SEARCH(econineq,C205)))&gt;0)</f>
        <v>0</v>
      </c>
      <c r="U204" s="14" cm="1">
        <f t="array" ref="U204">INT(SUMPRODUCT(--ISNUMBER(SEARCH(climate,C204)))&gt;0)</f>
        <v>0</v>
      </c>
      <c r="V204" s="14" cm="1">
        <f t="array" ref="V204">INT(SUMPRODUCT(--ISNUMBER(SEARCH(abortion,C204)))&gt;0)</f>
        <v>0</v>
      </c>
      <c r="W204" s="14" cm="1">
        <f t="array" ref="W204">INT(SUMPRODUCT(--ISNUMBER(SEARCH(trump,C204)))&gt;0)</f>
        <v>0</v>
      </c>
      <c r="X204" s="14" cm="1">
        <f t="array" ref="X204">INT(SUMPRODUCT(--ISNUMBER(SEARCH(voting,C204)))&gt;0)</f>
        <v>0</v>
      </c>
      <c r="Y204" s="35" cm="1">
        <f t="array" ref="Y204">INT(SUMPRODUCT(--ISNUMBER(SEARCH(republicantrigger,C204)))&gt;0)</f>
        <v>0</v>
      </c>
      <c r="Z204" s="35" cm="1">
        <f t="array" ref="Z204">INT(SUMPRODUCT(--ISNUMBER(SEARCH(bipartisan,C204)))&gt;0)</f>
        <v>0</v>
      </c>
      <c r="AA204" s="35">
        <f t="shared" si="3"/>
        <v>0</v>
      </c>
      <c r="AB204" s="14"/>
      <c r="AC204" s="30" t="s">
        <v>223</v>
      </c>
      <c r="AD204" s="37" t="s">
        <v>223</v>
      </c>
    </row>
    <row r="205" spans="1:30" x14ac:dyDescent="0.25">
      <c r="A205" s="36">
        <v>2711</v>
      </c>
      <c r="B205" s="14" t="s">
        <v>5447</v>
      </c>
      <c r="C205" s="14" t="s">
        <v>5448</v>
      </c>
      <c r="D205" s="17">
        <v>44117</v>
      </c>
      <c r="E205" s="14" t="s">
        <v>30</v>
      </c>
      <c r="F205" s="14">
        <v>52</v>
      </c>
      <c r="G205" s="14">
        <v>21</v>
      </c>
      <c r="H205" s="14">
        <v>12</v>
      </c>
      <c r="I205" s="14">
        <v>6</v>
      </c>
      <c r="J205" s="14" t="s">
        <v>31</v>
      </c>
      <c r="K205" s="14" cm="1">
        <f t="array" ref="K205">INT(SUMPRODUCT(--ISNUMBER(SEARCH(economy,C205)))&gt;0)</f>
        <v>0</v>
      </c>
      <c r="L205" s="14" cm="1">
        <f t="array" ref="L205">INT(SUMPRODUCT(--ISNUMBER(SEARCH(healthcare,C205)))&gt;0)</f>
        <v>0</v>
      </c>
      <c r="M205" s="14" cm="1">
        <f t="array" ref="M205">INT(SUMPRODUCT(--ISNUMBER(SEARCH(supreme,C205)))&gt;0)</f>
        <v>0</v>
      </c>
      <c r="N205" s="14" cm="1">
        <f t="array" ref="N205">INT(SUMPRODUCT(--ISNUMBER(SEARCH(covid,C205)))&gt;0)</f>
        <v>0</v>
      </c>
      <c r="O205" s="14" cm="1">
        <f t="array" ref="O205">INT(SUMPRODUCT(--ISNUMBER(SEARCH(violent,C205)))&gt;0)</f>
        <v>0</v>
      </c>
      <c r="P205" s="14" cm="1">
        <f t="array" ref="P205">INT(SUMPRODUCT(--ISNUMBER(SEARCH(foreign,C205)))&gt;0)</f>
        <v>0</v>
      </c>
      <c r="Q205" s="14" cm="1">
        <f t="array" ref="Q205">INT(SUMPRODUCT(--ISNUMBER(SEARCH(gun,C205)))&gt;0)</f>
        <v>0</v>
      </c>
      <c r="R205" s="14" cm="1">
        <f t="array" ref="R205">INT(SUMPRODUCT(--ISNUMBER(SEARCH(race,C205)))&gt;0)</f>
        <v>0</v>
      </c>
      <c r="S205" s="14" cm="1">
        <f t="array" ref="S205">INT(SUMPRODUCT(--ISNUMBER(SEARCH(immigration,C205)))&gt;0)</f>
        <v>0</v>
      </c>
      <c r="T205" s="14" cm="1">
        <f t="array" ref="T205">INT(SUMPRODUCT(--ISNUMBER(SEARCH(econineq,C206)))&gt;0)</f>
        <v>0</v>
      </c>
      <c r="U205" s="14" cm="1">
        <f t="array" ref="U205">INT(SUMPRODUCT(--ISNUMBER(SEARCH(climate,C205)))&gt;0)</f>
        <v>0</v>
      </c>
      <c r="V205" s="14" cm="1">
        <f t="array" ref="V205">INT(SUMPRODUCT(--ISNUMBER(SEARCH(abortion,C205)))&gt;0)</f>
        <v>0</v>
      </c>
      <c r="W205" s="14" cm="1">
        <f t="array" ref="W205">INT(SUMPRODUCT(--ISNUMBER(SEARCH(trump,C205)))&gt;0)</f>
        <v>0</v>
      </c>
      <c r="X205" s="14" cm="1">
        <f t="array" ref="X205">INT(SUMPRODUCT(--ISNUMBER(SEARCH(voting,C205)))&gt;0)</f>
        <v>0</v>
      </c>
      <c r="Y205" s="35" cm="1">
        <f t="array" ref="Y205">INT(SUMPRODUCT(--ISNUMBER(SEARCH(republicantrigger,C205)))&gt;0)</f>
        <v>1</v>
      </c>
      <c r="Z205" s="35" cm="1">
        <f t="array" ref="Z205">INT(SUMPRODUCT(--ISNUMBER(SEARCH(bipartisan,C205)))&gt;0)</f>
        <v>0</v>
      </c>
      <c r="AA205" s="35">
        <f t="shared" si="3"/>
        <v>0</v>
      </c>
      <c r="AB205" s="14"/>
      <c r="AC205" s="30" t="s">
        <v>223</v>
      </c>
      <c r="AD205" s="37" t="s">
        <v>223</v>
      </c>
    </row>
    <row r="206" spans="1:30" x14ac:dyDescent="0.25">
      <c r="A206" s="36">
        <v>2712</v>
      </c>
      <c r="B206" s="14" t="s">
        <v>5449</v>
      </c>
      <c r="C206" s="14" t="s">
        <v>5450</v>
      </c>
      <c r="D206" s="17">
        <v>44117</v>
      </c>
      <c r="E206" s="14" t="s">
        <v>30</v>
      </c>
      <c r="F206" s="14">
        <v>69</v>
      </c>
      <c r="G206" s="14">
        <v>33</v>
      </c>
      <c r="H206" s="14">
        <v>12</v>
      </c>
      <c r="I206" s="14">
        <v>6</v>
      </c>
      <c r="J206" s="14" t="s">
        <v>31</v>
      </c>
      <c r="K206" s="14" cm="1">
        <f t="array" ref="K206">INT(SUMPRODUCT(--ISNUMBER(SEARCH(economy,C206)))&gt;0)</f>
        <v>0</v>
      </c>
      <c r="L206" s="14" cm="1">
        <f t="array" ref="L206">INT(SUMPRODUCT(--ISNUMBER(SEARCH(healthcare,C206)))&gt;0)</f>
        <v>0</v>
      </c>
      <c r="M206" s="14" cm="1">
        <f t="array" ref="M206">INT(SUMPRODUCT(--ISNUMBER(SEARCH(supreme,C206)))&gt;0)</f>
        <v>1</v>
      </c>
      <c r="N206" s="14" cm="1">
        <f t="array" ref="N206">INT(SUMPRODUCT(--ISNUMBER(SEARCH(covid,C206)))&gt;0)</f>
        <v>0</v>
      </c>
      <c r="O206" s="14" cm="1">
        <f t="array" ref="O206">INT(SUMPRODUCT(--ISNUMBER(SEARCH(violent,C206)))&gt;0)</f>
        <v>0</v>
      </c>
      <c r="P206" s="14" cm="1">
        <f t="array" ref="P206">INT(SUMPRODUCT(--ISNUMBER(SEARCH(foreign,C206)))&gt;0)</f>
        <v>0</v>
      </c>
      <c r="Q206" s="14" cm="1">
        <f t="array" ref="Q206">INT(SUMPRODUCT(--ISNUMBER(SEARCH(gun,C206)))&gt;0)</f>
        <v>0</v>
      </c>
      <c r="R206" s="14" cm="1">
        <f t="array" ref="R206">INT(SUMPRODUCT(--ISNUMBER(SEARCH(race,C206)))&gt;0)</f>
        <v>0</v>
      </c>
      <c r="S206" s="14" cm="1">
        <f t="array" ref="S206">INT(SUMPRODUCT(--ISNUMBER(SEARCH(immigration,C206)))&gt;0)</f>
        <v>0</v>
      </c>
      <c r="T206" s="14" cm="1">
        <f t="array" ref="T206">INT(SUMPRODUCT(--ISNUMBER(SEARCH(econineq,C207)))&gt;0)</f>
        <v>0</v>
      </c>
      <c r="U206" s="14" cm="1">
        <f t="array" ref="U206">INT(SUMPRODUCT(--ISNUMBER(SEARCH(climate,C206)))&gt;0)</f>
        <v>0</v>
      </c>
      <c r="V206" s="14" cm="1">
        <f t="array" ref="V206">INT(SUMPRODUCT(--ISNUMBER(SEARCH(abortion,C206)))&gt;0)</f>
        <v>0</v>
      </c>
      <c r="W206" s="14" cm="1">
        <f t="array" ref="W206">INT(SUMPRODUCT(--ISNUMBER(SEARCH(trump,C206)))&gt;0)</f>
        <v>0</v>
      </c>
      <c r="X206" s="14" cm="1">
        <f t="array" ref="X206">INT(SUMPRODUCT(--ISNUMBER(SEARCH(voting,C206)))&gt;0)</f>
        <v>0</v>
      </c>
      <c r="Y206" s="35" cm="1">
        <f t="array" ref="Y206">INT(SUMPRODUCT(--ISNUMBER(SEARCH(republicantrigger,C206)))&gt;0)</f>
        <v>1</v>
      </c>
      <c r="Z206" s="35" cm="1">
        <f t="array" ref="Z206">INT(SUMPRODUCT(--ISNUMBER(SEARCH(bipartisan,C206)))&gt;0)</f>
        <v>0</v>
      </c>
      <c r="AA206" s="35">
        <f t="shared" si="3"/>
        <v>0</v>
      </c>
      <c r="AB206" s="14"/>
      <c r="AC206" s="30" t="s">
        <v>223</v>
      </c>
      <c r="AD206" s="37" t="s">
        <v>223</v>
      </c>
    </row>
    <row r="207" spans="1:30" x14ac:dyDescent="0.25">
      <c r="A207" s="36">
        <v>2713</v>
      </c>
      <c r="B207" s="14" t="s">
        <v>5451</v>
      </c>
      <c r="C207" s="14" t="s">
        <v>5452</v>
      </c>
      <c r="D207" s="17">
        <v>44117</v>
      </c>
      <c r="E207" s="14" t="s">
        <v>30</v>
      </c>
      <c r="F207" s="14">
        <v>45</v>
      </c>
      <c r="G207" s="14">
        <v>13</v>
      </c>
      <c r="H207" s="14">
        <v>12</v>
      </c>
      <c r="I207" s="14">
        <v>6</v>
      </c>
      <c r="J207" s="14" t="s">
        <v>31</v>
      </c>
      <c r="K207" s="14" cm="1">
        <f t="array" ref="K207">INT(SUMPRODUCT(--ISNUMBER(SEARCH(economy,C207)))&gt;0)</f>
        <v>0</v>
      </c>
      <c r="L207" s="14" cm="1">
        <f t="array" ref="L207">INT(SUMPRODUCT(--ISNUMBER(SEARCH(healthcare,C207)))&gt;0)</f>
        <v>0</v>
      </c>
      <c r="M207" s="14" cm="1">
        <f t="array" ref="M207">INT(SUMPRODUCT(--ISNUMBER(SEARCH(supreme,C207)))&gt;0)</f>
        <v>1</v>
      </c>
      <c r="N207" s="14" cm="1">
        <f t="array" ref="N207">INT(SUMPRODUCT(--ISNUMBER(SEARCH(covid,C207)))&gt;0)</f>
        <v>0</v>
      </c>
      <c r="O207" s="14" cm="1">
        <f t="array" ref="O207">INT(SUMPRODUCT(--ISNUMBER(SEARCH(violent,C207)))&gt;0)</f>
        <v>0</v>
      </c>
      <c r="P207" s="14" cm="1">
        <f t="array" ref="P207">INT(SUMPRODUCT(--ISNUMBER(SEARCH(foreign,C207)))&gt;0)</f>
        <v>0</v>
      </c>
      <c r="Q207" s="14" cm="1">
        <f t="array" ref="Q207">INT(SUMPRODUCT(--ISNUMBER(SEARCH(gun,C207)))&gt;0)</f>
        <v>0</v>
      </c>
      <c r="R207" s="14" cm="1">
        <f t="array" ref="R207">INT(SUMPRODUCT(--ISNUMBER(SEARCH(race,C207)))&gt;0)</f>
        <v>0</v>
      </c>
      <c r="S207" s="14" cm="1">
        <f t="array" ref="S207">INT(SUMPRODUCT(--ISNUMBER(SEARCH(immigration,C207)))&gt;0)</f>
        <v>0</v>
      </c>
      <c r="T207" s="14" cm="1">
        <f t="array" ref="T207">INT(SUMPRODUCT(--ISNUMBER(SEARCH(econineq,C208)))&gt;0)</f>
        <v>0</v>
      </c>
      <c r="U207" s="14" cm="1">
        <f t="array" ref="U207">INT(SUMPRODUCT(--ISNUMBER(SEARCH(climate,C207)))&gt;0)</f>
        <v>0</v>
      </c>
      <c r="V207" s="14" cm="1">
        <f t="array" ref="V207">INT(SUMPRODUCT(--ISNUMBER(SEARCH(abortion,C207)))&gt;0)</f>
        <v>0</v>
      </c>
      <c r="W207" s="14" cm="1">
        <f t="array" ref="W207">INT(SUMPRODUCT(--ISNUMBER(SEARCH(trump,C207)))&gt;0)</f>
        <v>0</v>
      </c>
      <c r="X207" s="14" cm="1">
        <f t="array" ref="X207">INT(SUMPRODUCT(--ISNUMBER(SEARCH(voting,C207)))&gt;0)</f>
        <v>0</v>
      </c>
      <c r="Y207" s="35" cm="1">
        <f t="array" ref="Y207">INT(SUMPRODUCT(--ISNUMBER(SEARCH(republicantrigger,C207)))&gt;0)</f>
        <v>1</v>
      </c>
      <c r="Z207" s="35" cm="1">
        <f t="array" ref="Z207">INT(SUMPRODUCT(--ISNUMBER(SEARCH(bipartisan,C207)))&gt;0)</f>
        <v>0</v>
      </c>
      <c r="AA207" s="35">
        <f t="shared" si="3"/>
        <v>0</v>
      </c>
      <c r="AB207" s="14"/>
      <c r="AC207" s="30">
        <v>1</v>
      </c>
      <c r="AD207" s="37">
        <v>0</v>
      </c>
    </row>
    <row r="208" spans="1:30" x14ac:dyDescent="0.25">
      <c r="A208" s="36">
        <v>2714</v>
      </c>
      <c r="B208" s="14" t="s">
        <v>5453</v>
      </c>
      <c r="C208" s="14" t="s">
        <v>5454</v>
      </c>
      <c r="D208" s="17">
        <v>44117</v>
      </c>
      <c r="E208" s="14" t="s">
        <v>30</v>
      </c>
      <c r="F208" s="14">
        <v>185</v>
      </c>
      <c r="G208" s="14">
        <v>69</v>
      </c>
      <c r="H208" s="14">
        <v>12</v>
      </c>
      <c r="I208" s="14">
        <v>6</v>
      </c>
      <c r="J208" s="14" t="s">
        <v>31</v>
      </c>
      <c r="K208" s="14" cm="1">
        <f t="array" ref="K208">INT(SUMPRODUCT(--ISNUMBER(SEARCH(economy,C208)))&gt;0)</f>
        <v>0</v>
      </c>
      <c r="L208" s="14" cm="1">
        <f t="array" ref="L208">INT(SUMPRODUCT(--ISNUMBER(SEARCH(healthcare,C208)))&gt;0)</f>
        <v>0</v>
      </c>
      <c r="M208" s="14" cm="1">
        <f t="array" ref="M208">INT(SUMPRODUCT(--ISNUMBER(SEARCH(supreme,C208)))&gt;0)</f>
        <v>0</v>
      </c>
      <c r="N208" s="14" cm="1">
        <f t="array" ref="N208">INT(SUMPRODUCT(--ISNUMBER(SEARCH(covid,C208)))&gt;0)</f>
        <v>0</v>
      </c>
      <c r="O208" s="14" cm="1">
        <f t="array" ref="O208">INT(SUMPRODUCT(--ISNUMBER(SEARCH(violent,C208)))&gt;0)</f>
        <v>1</v>
      </c>
      <c r="P208" s="14" cm="1">
        <f t="array" ref="P208">INT(SUMPRODUCT(--ISNUMBER(SEARCH(foreign,C208)))&gt;0)</f>
        <v>0</v>
      </c>
      <c r="Q208" s="14" cm="1">
        <f t="array" ref="Q208">INT(SUMPRODUCT(--ISNUMBER(SEARCH(gun,C208)))&gt;0)</f>
        <v>0</v>
      </c>
      <c r="R208" s="14" cm="1">
        <f t="array" ref="R208">INT(SUMPRODUCT(--ISNUMBER(SEARCH(race,C208)))&gt;0)</f>
        <v>0</v>
      </c>
      <c r="S208" s="14" cm="1">
        <f t="array" ref="S208">INT(SUMPRODUCT(--ISNUMBER(SEARCH(immigration,C208)))&gt;0)</f>
        <v>0</v>
      </c>
      <c r="T208" s="14" cm="1">
        <f t="array" ref="T208">INT(SUMPRODUCT(--ISNUMBER(SEARCH(econineq,C209)))&gt;0)</f>
        <v>0</v>
      </c>
      <c r="U208" s="14" cm="1">
        <f t="array" ref="U208">INT(SUMPRODUCT(--ISNUMBER(SEARCH(climate,C208)))&gt;0)</f>
        <v>0</v>
      </c>
      <c r="V208" s="14" cm="1">
        <f t="array" ref="V208">INT(SUMPRODUCT(--ISNUMBER(SEARCH(abortion,C208)))&gt;0)</f>
        <v>0</v>
      </c>
      <c r="W208" s="14" cm="1">
        <f t="array" ref="W208">INT(SUMPRODUCT(--ISNUMBER(SEARCH(trump,C208)))&gt;0)</f>
        <v>0</v>
      </c>
      <c r="X208" s="14" cm="1">
        <f t="array" ref="X208">INT(SUMPRODUCT(--ISNUMBER(SEARCH(voting,C208)))&gt;0)</f>
        <v>0</v>
      </c>
      <c r="Y208" s="35" cm="1">
        <f t="array" ref="Y208">INT(SUMPRODUCT(--ISNUMBER(SEARCH(republicantrigger,C208)))&gt;0)</f>
        <v>1</v>
      </c>
      <c r="Z208" s="35" cm="1">
        <f t="array" ref="Z208">INT(SUMPRODUCT(--ISNUMBER(SEARCH(bipartisan,C208)))&gt;0)</f>
        <v>0</v>
      </c>
      <c r="AA208" s="35">
        <f t="shared" si="3"/>
        <v>0</v>
      </c>
      <c r="AB208" s="14"/>
      <c r="AC208" s="30" t="s">
        <v>223</v>
      </c>
      <c r="AD208" s="37" t="s">
        <v>223</v>
      </c>
    </row>
    <row r="209" spans="1:30" x14ac:dyDescent="0.25">
      <c r="A209" s="36">
        <v>2715</v>
      </c>
      <c r="B209" s="14" t="s">
        <v>5455</v>
      </c>
      <c r="C209" s="14" t="s">
        <v>5456</v>
      </c>
      <c r="D209" s="17">
        <v>44117</v>
      </c>
      <c r="E209" s="14" t="s">
        <v>30</v>
      </c>
      <c r="F209" s="14">
        <v>43</v>
      </c>
      <c r="G209" s="14">
        <v>16</v>
      </c>
      <c r="H209" s="14">
        <v>12</v>
      </c>
      <c r="I209" s="14">
        <v>6</v>
      </c>
      <c r="J209" s="14" t="s">
        <v>31</v>
      </c>
      <c r="K209" s="14" cm="1">
        <f t="array" ref="K209">INT(SUMPRODUCT(--ISNUMBER(SEARCH(economy,C209)))&gt;0)</f>
        <v>0</v>
      </c>
      <c r="L209" s="14" cm="1">
        <f t="array" ref="L209">INT(SUMPRODUCT(--ISNUMBER(SEARCH(healthcare,C209)))&gt;0)</f>
        <v>0</v>
      </c>
      <c r="M209" s="14" cm="1">
        <f t="array" ref="M209">INT(SUMPRODUCT(--ISNUMBER(SEARCH(supreme,C209)))&gt;0)</f>
        <v>0</v>
      </c>
      <c r="N209" s="14" cm="1">
        <f t="array" ref="N209">INT(SUMPRODUCT(--ISNUMBER(SEARCH(covid,C209)))&gt;0)</f>
        <v>1</v>
      </c>
      <c r="O209" s="14" cm="1">
        <f t="array" ref="O209">INT(SUMPRODUCT(--ISNUMBER(SEARCH(violent,C209)))&gt;0)</f>
        <v>0</v>
      </c>
      <c r="P209" s="14" cm="1">
        <f t="array" ref="P209">INT(SUMPRODUCT(--ISNUMBER(SEARCH(foreign,C209)))&gt;0)</f>
        <v>0</v>
      </c>
      <c r="Q209" s="14" cm="1">
        <f t="array" ref="Q209">INT(SUMPRODUCT(--ISNUMBER(SEARCH(gun,C209)))&gt;0)</f>
        <v>0</v>
      </c>
      <c r="R209" s="14" cm="1">
        <f t="array" ref="R209">INT(SUMPRODUCT(--ISNUMBER(SEARCH(race,C209)))&gt;0)</f>
        <v>0</v>
      </c>
      <c r="S209" s="14" cm="1">
        <f t="array" ref="S209">INT(SUMPRODUCT(--ISNUMBER(SEARCH(immigration,C209)))&gt;0)</f>
        <v>0</v>
      </c>
      <c r="T209" s="14" cm="1">
        <f t="array" ref="T209">INT(SUMPRODUCT(--ISNUMBER(SEARCH(econineq,C210)))&gt;0)</f>
        <v>0</v>
      </c>
      <c r="U209" s="14" cm="1">
        <f t="array" ref="U209">INT(SUMPRODUCT(--ISNUMBER(SEARCH(climate,C209)))&gt;0)</f>
        <v>0</v>
      </c>
      <c r="V209" s="14" cm="1">
        <f t="array" ref="V209">INT(SUMPRODUCT(--ISNUMBER(SEARCH(abortion,C209)))&gt;0)</f>
        <v>0</v>
      </c>
      <c r="W209" s="14" cm="1">
        <f t="array" ref="W209">INT(SUMPRODUCT(--ISNUMBER(SEARCH(trump,C209)))&gt;0)</f>
        <v>0</v>
      </c>
      <c r="X209" s="14" cm="1">
        <f t="array" ref="X209">INT(SUMPRODUCT(--ISNUMBER(SEARCH(voting,C209)))&gt;0)</f>
        <v>1</v>
      </c>
      <c r="Y209" s="35" cm="1">
        <f t="array" ref="Y209">INT(SUMPRODUCT(--ISNUMBER(SEARCH(republicantrigger,C209)))&gt;0)</f>
        <v>1</v>
      </c>
      <c r="Z209" s="35" cm="1">
        <f t="array" ref="Z209">INT(SUMPRODUCT(--ISNUMBER(SEARCH(bipartisan,C209)))&gt;0)</f>
        <v>0</v>
      </c>
      <c r="AA209" s="35">
        <f t="shared" si="3"/>
        <v>0</v>
      </c>
      <c r="AB209" s="14"/>
      <c r="AC209" s="30" t="s">
        <v>223</v>
      </c>
      <c r="AD209" s="37" t="s">
        <v>223</v>
      </c>
    </row>
    <row r="210" spans="1:30" x14ac:dyDescent="0.25">
      <c r="A210" s="36">
        <v>2716</v>
      </c>
      <c r="B210" s="14" t="s">
        <v>5457</v>
      </c>
      <c r="C210" s="14" t="s">
        <v>5458</v>
      </c>
      <c r="D210" s="17">
        <v>44116</v>
      </c>
      <c r="E210" s="14" t="s">
        <v>30</v>
      </c>
      <c r="F210" s="14">
        <v>72</v>
      </c>
      <c r="G210" s="14">
        <v>21</v>
      </c>
      <c r="H210" s="14">
        <v>12</v>
      </c>
      <c r="I210" s="14">
        <v>6</v>
      </c>
      <c r="J210" s="14" t="s">
        <v>31</v>
      </c>
      <c r="K210" s="14" cm="1">
        <f t="array" ref="K210">INT(SUMPRODUCT(--ISNUMBER(SEARCH(economy,C210)))&gt;0)</f>
        <v>0</v>
      </c>
      <c r="L210" s="14" cm="1">
        <f t="array" ref="L210">INT(SUMPRODUCT(--ISNUMBER(SEARCH(healthcare,C210)))&gt;0)</f>
        <v>0</v>
      </c>
      <c r="M210" s="14" cm="1">
        <f t="array" ref="M210">INT(SUMPRODUCT(--ISNUMBER(SEARCH(supreme,C210)))&gt;0)</f>
        <v>0</v>
      </c>
      <c r="N210" s="14" cm="1">
        <f t="array" ref="N210">INT(SUMPRODUCT(--ISNUMBER(SEARCH(covid,C210)))&gt;0)</f>
        <v>0</v>
      </c>
      <c r="O210" s="14" cm="1">
        <f t="array" ref="O210">INT(SUMPRODUCT(--ISNUMBER(SEARCH(violent,C210)))&gt;0)</f>
        <v>0</v>
      </c>
      <c r="P210" s="14" cm="1">
        <f t="array" ref="P210">INT(SUMPRODUCT(--ISNUMBER(SEARCH(foreign,C210)))&gt;0)</f>
        <v>0</v>
      </c>
      <c r="Q210" s="14" cm="1">
        <f t="array" ref="Q210">INT(SUMPRODUCT(--ISNUMBER(SEARCH(gun,C210)))&gt;0)</f>
        <v>1</v>
      </c>
      <c r="R210" s="14" cm="1">
        <f t="array" ref="R210">INT(SUMPRODUCT(--ISNUMBER(SEARCH(race,C210)))&gt;0)</f>
        <v>0</v>
      </c>
      <c r="S210" s="14" cm="1">
        <f t="array" ref="S210">INT(SUMPRODUCT(--ISNUMBER(SEARCH(immigration,C210)))&gt;0)</f>
        <v>0</v>
      </c>
      <c r="T210" s="14" cm="1">
        <f t="array" ref="T210">INT(SUMPRODUCT(--ISNUMBER(SEARCH(econineq,C211)))&gt;0)</f>
        <v>0</v>
      </c>
      <c r="U210" s="14" cm="1">
        <f t="array" ref="U210">INT(SUMPRODUCT(--ISNUMBER(SEARCH(climate,C210)))&gt;0)</f>
        <v>0</v>
      </c>
      <c r="V210" s="14" cm="1">
        <f t="array" ref="V210">INT(SUMPRODUCT(--ISNUMBER(SEARCH(abortion,C210)))&gt;0)</f>
        <v>0</v>
      </c>
      <c r="W210" s="14" cm="1">
        <f t="array" ref="W210">INT(SUMPRODUCT(--ISNUMBER(SEARCH(trump,C210)))&gt;0)</f>
        <v>0</v>
      </c>
      <c r="X210" s="14" cm="1">
        <f t="array" ref="X210">INT(SUMPRODUCT(--ISNUMBER(SEARCH(voting,C210)))&gt;0)</f>
        <v>1</v>
      </c>
      <c r="Y210" s="35" cm="1">
        <f t="array" ref="Y210">INT(SUMPRODUCT(--ISNUMBER(SEARCH(republicantrigger,C210)))&gt;0)</f>
        <v>0</v>
      </c>
      <c r="Z210" s="35" cm="1">
        <f t="array" ref="Z210">INT(SUMPRODUCT(--ISNUMBER(SEARCH(bipartisan,C210)))&gt;0)</f>
        <v>0</v>
      </c>
      <c r="AA210" s="35">
        <f t="shared" si="3"/>
        <v>0</v>
      </c>
      <c r="AB210" s="14"/>
      <c r="AC210" s="30" t="s">
        <v>223</v>
      </c>
      <c r="AD210" s="37" t="s">
        <v>223</v>
      </c>
    </row>
    <row r="211" spans="1:30" x14ac:dyDescent="0.25">
      <c r="A211" s="36">
        <v>2717</v>
      </c>
      <c r="B211" s="14" t="s">
        <v>5459</v>
      </c>
      <c r="C211" s="14" t="s">
        <v>5460</v>
      </c>
      <c r="D211" s="17">
        <v>44116</v>
      </c>
      <c r="E211" s="14" t="s">
        <v>30</v>
      </c>
      <c r="F211" s="14">
        <v>114</v>
      </c>
      <c r="G211" s="14">
        <v>44</v>
      </c>
      <c r="H211" s="14">
        <v>12</v>
      </c>
      <c r="I211" s="14">
        <v>6</v>
      </c>
      <c r="J211" s="14" t="s">
        <v>31</v>
      </c>
      <c r="K211" s="14" cm="1">
        <f t="array" ref="K211">INT(SUMPRODUCT(--ISNUMBER(SEARCH(economy,C211)))&gt;0)</f>
        <v>0</v>
      </c>
      <c r="L211" s="14" cm="1">
        <f t="array" ref="L211">INT(SUMPRODUCT(--ISNUMBER(SEARCH(healthcare,C211)))&gt;0)</f>
        <v>0</v>
      </c>
      <c r="M211" s="14" cm="1">
        <f t="array" ref="M211">INT(SUMPRODUCT(--ISNUMBER(SEARCH(supreme,C211)))&gt;0)</f>
        <v>0</v>
      </c>
      <c r="N211" s="14" cm="1">
        <f t="array" ref="N211">INT(SUMPRODUCT(--ISNUMBER(SEARCH(covid,C211)))&gt;0)</f>
        <v>0</v>
      </c>
      <c r="O211" s="14" cm="1">
        <f t="array" ref="O211">INT(SUMPRODUCT(--ISNUMBER(SEARCH(violent,C211)))&gt;0)</f>
        <v>0</v>
      </c>
      <c r="P211" s="14" cm="1">
        <f t="array" ref="P211">INT(SUMPRODUCT(--ISNUMBER(SEARCH(foreign,C211)))&gt;0)</f>
        <v>0</v>
      </c>
      <c r="Q211" s="14" cm="1">
        <f t="array" ref="Q211">INT(SUMPRODUCT(--ISNUMBER(SEARCH(gun,C211)))&gt;0)</f>
        <v>0</v>
      </c>
      <c r="R211" s="14" cm="1">
        <f t="array" ref="R211">INT(SUMPRODUCT(--ISNUMBER(SEARCH(race,C211)))&gt;0)</f>
        <v>0</v>
      </c>
      <c r="S211" s="14" cm="1">
        <f t="array" ref="S211">INT(SUMPRODUCT(--ISNUMBER(SEARCH(immigration,C211)))&gt;0)</f>
        <v>0</v>
      </c>
      <c r="T211" s="14" cm="1">
        <f t="array" ref="T211">INT(SUMPRODUCT(--ISNUMBER(SEARCH(econineq,C212)))&gt;0)</f>
        <v>0</v>
      </c>
      <c r="U211" s="14" cm="1">
        <f t="array" ref="U211">INT(SUMPRODUCT(--ISNUMBER(SEARCH(climate,C211)))&gt;0)</f>
        <v>0</v>
      </c>
      <c r="V211" s="14" cm="1">
        <f t="array" ref="V211">INT(SUMPRODUCT(--ISNUMBER(SEARCH(abortion,C211)))&gt;0)</f>
        <v>1</v>
      </c>
      <c r="W211" s="14" cm="1">
        <f t="array" ref="W211">INT(SUMPRODUCT(--ISNUMBER(SEARCH(trump,C211)))&gt;0)</f>
        <v>0</v>
      </c>
      <c r="X211" s="14" cm="1">
        <f t="array" ref="X211">INT(SUMPRODUCT(--ISNUMBER(SEARCH(voting,C211)))&gt;0)</f>
        <v>0</v>
      </c>
      <c r="Y211" s="35" cm="1">
        <f t="array" ref="Y211">INT(SUMPRODUCT(--ISNUMBER(SEARCH(republicantrigger,C211)))&gt;0)</f>
        <v>0</v>
      </c>
      <c r="Z211" s="35" cm="1">
        <f t="array" ref="Z211">INT(SUMPRODUCT(--ISNUMBER(SEARCH(bipartisan,C211)))&gt;0)</f>
        <v>0</v>
      </c>
      <c r="AA211" s="35">
        <f t="shared" si="3"/>
        <v>0</v>
      </c>
      <c r="AB211" s="14"/>
      <c r="AC211" s="30" t="s">
        <v>223</v>
      </c>
      <c r="AD211" s="37" t="s">
        <v>223</v>
      </c>
    </row>
    <row r="212" spans="1:30" x14ac:dyDescent="0.25">
      <c r="A212" s="36">
        <v>2718</v>
      </c>
      <c r="B212" s="14" t="s">
        <v>5461</v>
      </c>
      <c r="C212" s="14" t="s">
        <v>5462</v>
      </c>
      <c r="D212" s="17">
        <v>44116</v>
      </c>
      <c r="E212" s="14" t="s">
        <v>30</v>
      </c>
      <c r="F212" s="14">
        <v>57</v>
      </c>
      <c r="G212" s="14">
        <v>18</v>
      </c>
      <c r="H212" s="14">
        <v>12</v>
      </c>
      <c r="I212" s="14">
        <v>6</v>
      </c>
      <c r="J212" s="14" t="s">
        <v>31</v>
      </c>
      <c r="K212" s="14" cm="1">
        <f t="array" ref="K212">INT(SUMPRODUCT(--ISNUMBER(SEARCH(economy,C212)))&gt;0)</f>
        <v>1</v>
      </c>
      <c r="L212" s="14" cm="1">
        <f t="array" ref="L212">INT(SUMPRODUCT(--ISNUMBER(SEARCH(healthcare,C212)))&gt;0)</f>
        <v>0</v>
      </c>
      <c r="M212" s="14" cm="1">
        <f t="array" ref="M212">INT(SUMPRODUCT(--ISNUMBER(SEARCH(supreme,C212)))&gt;0)</f>
        <v>0</v>
      </c>
      <c r="N212" s="14" cm="1">
        <f t="array" ref="N212">INT(SUMPRODUCT(--ISNUMBER(SEARCH(covid,C212)))&gt;0)</f>
        <v>1</v>
      </c>
      <c r="O212" s="14" cm="1">
        <f t="array" ref="O212">INT(SUMPRODUCT(--ISNUMBER(SEARCH(violent,C212)))&gt;0)</f>
        <v>0</v>
      </c>
      <c r="P212" s="14" cm="1">
        <f t="array" ref="P212">INT(SUMPRODUCT(--ISNUMBER(SEARCH(foreign,C212)))&gt;0)</f>
        <v>0</v>
      </c>
      <c r="Q212" s="14" cm="1">
        <f t="array" ref="Q212">INT(SUMPRODUCT(--ISNUMBER(SEARCH(gun,C212)))&gt;0)</f>
        <v>1</v>
      </c>
      <c r="R212" s="14" cm="1">
        <f t="array" ref="R212">INT(SUMPRODUCT(--ISNUMBER(SEARCH(race,C212)))&gt;0)</f>
        <v>0</v>
      </c>
      <c r="S212" s="14" cm="1">
        <f t="array" ref="S212">INT(SUMPRODUCT(--ISNUMBER(SEARCH(immigration,C212)))&gt;0)</f>
        <v>1</v>
      </c>
      <c r="T212" s="14" cm="1">
        <f t="array" ref="T212">INT(SUMPRODUCT(--ISNUMBER(SEARCH(econineq,C213)))&gt;0)</f>
        <v>0</v>
      </c>
      <c r="U212" s="14" cm="1">
        <f t="array" ref="U212">INT(SUMPRODUCT(--ISNUMBER(SEARCH(climate,C212)))&gt;0)</f>
        <v>0</v>
      </c>
      <c r="V212" s="14" cm="1">
        <f t="array" ref="V212">INT(SUMPRODUCT(--ISNUMBER(SEARCH(abortion,C212)))&gt;0)</f>
        <v>0</v>
      </c>
      <c r="W212" s="14" cm="1">
        <f t="array" ref="W212">INT(SUMPRODUCT(--ISNUMBER(SEARCH(trump,C212)))&gt;0)</f>
        <v>0</v>
      </c>
      <c r="X212" s="14" cm="1">
        <f t="array" ref="X212">INT(SUMPRODUCT(--ISNUMBER(SEARCH(voting,C212)))&gt;0)</f>
        <v>0</v>
      </c>
      <c r="Y212" s="35" cm="1">
        <f t="array" ref="Y212">INT(SUMPRODUCT(--ISNUMBER(SEARCH(republicantrigger,C212)))&gt;0)</f>
        <v>0</v>
      </c>
      <c r="Z212" s="35" cm="1">
        <f t="array" ref="Z212">INT(SUMPRODUCT(--ISNUMBER(SEARCH(bipartisan,C212)))&gt;0)</f>
        <v>0</v>
      </c>
      <c r="AA212" s="35">
        <f t="shared" si="3"/>
        <v>0</v>
      </c>
      <c r="AB212" s="14"/>
      <c r="AC212" s="30">
        <v>1</v>
      </c>
      <c r="AD212" s="37">
        <v>0</v>
      </c>
    </row>
    <row r="213" spans="1:30" x14ac:dyDescent="0.25">
      <c r="A213" s="36">
        <v>2719</v>
      </c>
      <c r="B213" s="14" t="s">
        <v>5463</v>
      </c>
      <c r="C213" s="14" t="s">
        <v>5464</v>
      </c>
      <c r="D213" s="17">
        <v>44116</v>
      </c>
      <c r="E213" s="14" t="s">
        <v>30</v>
      </c>
      <c r="F213" s="14">
        <v>39</v>
      </c>
      <c r="G213" s="14">
        <v>21</v>
      </c>
      <c r="H213" s="14">
        <v>12</v>
      </c>
      <c r="I213" s="14">
        <v>6</v>
      </c>
      <c r="J213" s="14" t="s">
        <v>31</v>
      </c>
      <c r="K213" s="14" cm="1">
        <f t="array" ref="K213">INT(SUMPRODUCT(--ISNUMBER(SEARCH(economy,C213)))&gt;0)</f>
        <v>0</v>
      </c>
      <c r="L213" s="14" cm="1">
        <f t="array" ref="L213">INT(SUMPRODUCT(--ISNUMBER(SEARCH(healthcare,C213)))&gt;0)</f>
        <v>0</v>
      </c>
      <c r="M213" s="14" cm="1">
        <f t="array" ref="M213">INT(SUMPRODUCT(--ISNUMBER(SEARCH(supreme,C213)))&gt;0)</f>
        <v>1</v>
      </c>
      <c r="N213" s="14" cm="1">
        <f t="array" ref="N213">INT(SUMPRODUCT(--ISNUMBER(SEARCH(covid,C213)))&gt;0)</f>
        <v>0</v>
      </c>
      <c r="O213" s="14" cm="1">
        <f t="array" ref="O213">INT(SUMPRODUCT(--ISNUMBER(SEARCH(violent,C213)))&gt;0)</f>
        <v>0</v>
      </c>
      <c r="P213" s="14" cm="1">
        <f t="array" ref="P213">INT(SUMPRODUCT(--ISNUMBER(SEARCH(foreign,C213)))&gt;0)</f>
        <v>0</v>
      </c>
      <c r="Q213" s="14" cm="1">
        <f t="array" ref="Q213">INT(SUMPRODUCT(--ISNUMBER(SEARCH(gun,C213)))&gt;0)</f>
        <v>0</v>
      </c>
      <c r="R213" s="14" cm="1">
        <f t="array" ref="R213">INT(SUMPRODUCT(--ISNUMBER(SEARCH(race,C213)))&gt;0)</f>
        <v>0</v>
      </c>
      <c r="S213" s="14" cm="1">
        <f t="array" ref="S213">INT(SUMPRODUCT(--ISNUMBER(SEARCH(immigration,C213)))&gt;0)</f>
        <v>0</v>
      </c>
      <c r="T213" s="14" cm="1">
        <f t="array" ref="T213">INT(SUMPRODUCT(--ISNUMBER(SEARCH(econineq,C214)))&gt;0)</f>
        <v>0</v>
      </c>
      <c r="U213" s="14" cm="1">
        <f t="array" ref="U213">INT(SUMPRODUCT(--ISNUMBER(SEARCH(climate,C213)))&gt;0)</f>
        <v>0</v>
      </c>
      <c r="V213" s="14" cm="1">
        <f t="array" ref="V213">INT(SUMPRODUCT(--ISNUMBER(SEARCH(abortion,C213)))&gt;0)</f>
        <v>0</v>
      </c>
      <c r="W213" s="14" cm="1">
        <f t="array" ref="W213">INT(SUMPRODUCT(--ISNUMBER(SEARCH(trump,C213)))&gt;0)</f>
        <v>0</v>
      </c>
      <c r="X213" s="14" cm="1">
        <f t="array" ref="X213">INT(SUMPRODUCT(--ISNUMBER(SEARCH(voting,C213)))&gt;0)</f>
        <v>0</v>
      </c>
      <c r="Y213" s="35" cm="1">
        <f t="array" ref="Y213">INT(SUMPRODUCT(--ISNUMBER(SEARCH(republicantrigger,C213)))&gt;0)</f>
        <v>1</v>
      </c>
      <c r="Z213" s="35" cm="1">
        <f t="array" ref="Z213">INT(SUMPRODUCT(--ISNUMBER(SEARCH(bipartisan,C213)))&gt;0)</f>
        <v>0</v>
      </c>
      <c r="AA213" s="35">
        <f t="shared" si="3"/>
        <v>0</v>
      </c>
      <c r="AB213" s="14"/>
      <c r="AC213" s="30" t="s">
        <v>223</v>
      </c>
      <c r="AD213" s="37" t="s">
        <v>223</v>
      </c>
    </row>
    <row r="214" spans="1:30" x14ac:dyDescent="0.25">
      <c r="A214" s="36">
        <v>2720</v>
      </c>
      <c r="B214" s="14" t="s">
        <v>5465</v>
      </c>
      <c r="C214" s="14" t="s">
        <v>5466</v>
      </c>
      <c r="D214" s="17">
        <v>44116</v>
      </c>
      <c r="E214" s="14" t="s">
        <v>30</v>
      </c>
      <c r="F214" s="14">
        <v>60</v>
      </c>
      <c r="G214" s="14">
        <v>22</v>
      </c>
      <c r="H214" s="14">
        <v>12</v>
      </c>
      <c r="I214" s="14">
        <v>6</v>
      </c>
      <c r="J214" s="14" t="s">
        <v>31</v>
      </c>
      <c r="K214" s="14" cm="1">
        <f t="array" ref="K214">INT(SUMPRODUCT(--ISNUMBER(SEARCH(economy,C214)))&gt;0)</f>
        <v>0</v>
      </c>
      <c r="L214" s="14" cm="1">
        <f t="array" ref="L214">INT(SUMPRODUCT(--ISNUMBER(SEARCH(healthcare,C214)))&gt;0)</f>
        <v>1</v>
      </c>
      <c r="M214" s="14" cm="1">
        <f t="array" ref="M214">INT(SUMPRODUCT(--ISNUMBER(SEARCH(supreme,C214)))&gt;0)</f>
        <v>1</v>
      </c>
      <c r="N214" s="14" cm="1">
        <f t="array" ref="N214">INT(SUMPRODUCT(--ISNUMBER(SEARCH(covid,C214)))&gt;0)</f>
        <v>0</v>
      </c>
      <c r="O214" s="14" cm="1">
        <f t="array" ref="O214">INT(SUMPRODUCT(--ISNUMBER(SEARCH(violent,C214)))&gt;0)</f>
        <v>0</v>
      </c>
      <c r="P214" s="14" cm="1">
        <f t="array" ref="P214">INT(SUMPRODUCT(--ISNUMBER(SEARCH(foreign,C214)))&gt;0)</f>
        <v>0</v>
      </c>
      <c r="Q214" s="14" cm="1">
        <f t="array" ref="Q214">INT(SUMPRODUCT(--ISNUMBER(SEARCH(gun,C214)))&gt;0)</f>
        <v>0</v>
      </c>
      <c r="R214" s="14" cm="1">
        <f t="array" ref="R214">INT(SUMPRODUCT(--ISNUMBER(SEARCH(race,C214)))&gt;0)</f>
        <v>0</v>
      </c>
      <c r="S214" s="14" cm="1">
        <f t="array" ref="S214">INT(SUMPRODUCT(--ISNUMBER(SEARCH(immigration,C214)))&gt;0)</f>
        <v>0</v>
      </c>
      <c r="T214" s="14" cm="1">
        <f t="array" ref="T214">INT(SUMPRODUCT(--ISNUMBER(SEARCH(econineq,C215)))&gt;0)</f>
        <v>0</v>
      </c>
      <c r="U214" s="14" cm="1">
        <f t="array" ref="U214">INT(SUMPRODUCT(--ISNUMBER(SEARCH(climate,C214)))&gt;0)</f>
        <v>0</v>
      </c>
      <c r="V214" s="14" cm="1">
        <f t="array" ref="V214">INT(SUMPRODUCT(--ISNUMBER(SEARCH(abortion,C214)))&gt;0)</f>
        <v>0</v>
      </c>
      <c r="W214" s="14" cm="1">
        <f t="array" ref="W214">INT(SUMPRODUCT(--ISNUMBER(SEARCH(trump,C214)))&gt;0)</f>
        <v>0</v>
      </c>
      <c r="X214" s="14" cm="1">
        <f t="array" ref="X214">INT(SUMPRODUCT(--ISNUMBER(SEARCH(voting,C214)))&gt;0)</f>
        <v>0</v>
      </c>
      <c r="Y214" s="35" cm="1">
        <f t="array" ref="Y214">INT(SUMPRODUCT(--ISNUMBER(SEARCH(republicantrigger,C214)))&gt;0)</f>
        <v>1</v>
      </c>
      <c r="Z214" s="35" cm="1">
        <f t="array" ref="Z214">INT(SUMPRODUCT(--ISNUMBER(SEARCH(bipartisan,C214)))&gt;0)</f>
        <v>0</v>
      </c>
      <c r="AA214" s="35">
        <f t="shared" si="3"/>
        <v>0</v>
      </c>
      <c r="AB214" s="14"/>
      <c r="AC214" s="30" t="s">
        <v>223</v>
      </c>
      <c r="AD214" s="37" t="s">
        <v>223</v>
      </c>
    </row>
    <row r="215" spans="1:30" x14ac:dyDescent="0.25">
      <c r="A215" s="36">
        <v>2721</v>
      </c>
      <c r="B215" s="14" t="s">
        <v>5467</v>
      </c>
      <c r="C215" s="14" t="s">
        <v>5468</v>
      </c>
      <c r="D215" s="17">
        <v>44116</v>
      </c>
      <c r="E215" s="14" t="s">
        <v>30</v>
      </c>
      <c r="F215" s="14">
        <v>41</v>
      </c>
      <c r="G215" s="14">
        <v>22</v>
      </c>
      <c r="H215" s="14">
        <v>12</v>
      </c>
      <c r="I215" s="14">
        <v>6</v>
      </c>
      <c r="J215" s="14" t="s">
        <v>31</v>
      </c>
      <c r="K215" s="14" cm="1">
        <f t="array" ref="K215">INT(SUMPRODUCT(--ISNUMBER(SEARCH(economy,C215)))&gt;0)</f>
        <v>0</v>
      </c>
      <c r="L215" s="14" cm="1">
        <f t="array" ref="L215">INT(SUMPRODUCT(--ISNUMBER(SEARCH(healthcare,C215)))&gt;0)</f>
        <v>0</v>
      </c>
      <c r="M215" s="14" cm="1">
        <f t="array" ref="M215">INT(SUMPRODUCT(--ISNUMBER(SEARCH(supreme,C215)))&gt;0)</f>
        <v>1</v>
      </c>
      <c r="N215" s="14" cm="1">
        <f t="array" ref="N215">INT(SUMPRODUCT(--ISNUMBER(SEARCH(covid,C215)))&gt;0)</f>
        <v>0</v>
      </c>
      <c r="O215" s="14" cm="1">
        <f t="array" ref="O215">INT(SUMPRODUCT(--ISNUMBER(SEARCH(violent,C215)))&gt;0)</f>
        <v>0</v>
      </c>
      <c r="P215" s="14" cm="1">
        <f t="array" ref="P215">INT(SUMPRODUCT(--ISNUMBER(SEARCH(foreign,C215)))&gt;0)</f>
        <v>0</v>
      </c>
      <c r="Q215" s="14" cm="1">
        <f t="array" ref="Q215">INT(SUMPRODUCT(--ISNUMBER(SEARCH(gun,C215)))&gt;0)</f>
        <v>0</v>
      </c>
      <c r="R215" s="14" cm="1">
        <f t="array" ref="R215">INT(SUMPRODUCT(--ISNUMBER(SEARCH(race,C215)))&gt;0)</f>
        <v>0</v>
      </c>
      <c r="S215" s="14" cm="1">
        <f t="array" ref="S215">INT(SUMPRODUCT(--ISNUMBER(SEARCH(immigration,C215)))&gt;0)</f>
        <v>0</v>
      </c>
      <c r="T215" s="14" cm="1">
        <f t="array" ref="T215">INT(SUMPRODUCT(--ISNUMBER(SEARCH(econineq,C216)))&gt;0)</f>
        <v>0</v>
      </c>
      <c r="U215" s="14" cm="1">
        <f t="array" ref="U215">INT(SUMPRODUCT(--ISNUMBER(SEARCH(climate,C215)))&gt;0)</f>
        <v>0</v>
      </c>
      <c r="V215" s="14" cm="1">
        <f t="array" ref="V215">INT(SUMPRODUCT(--ISNUMBER(SEARCH(abortion,C215)))&gt;0)</f>
        <v>0</v>
      </c>
      <c r="W215" s="14" cm="1">
        <f t="array" ref="W215">INT(SUMPRODUCT(--ISNUMBER(SEARCH(trump,C215)))&gt;0)</f>
        <v>0</v>
      </c>
      <c r="X215" s="14" cm="1">
        <f t="array" ref="X215">INT(SUMPRODUCT(--ISNUMBER(SEARCH(voting,C215)))&gt;0)</f>
        <v>0</v>
      </c>
      <c r="Y215" s="35" cm="1">
        <f t="array" ref="Y215">INT(SUMPRODUCT(--ISNUMBER(SEARCH(republicantrigger,C215)))&gt;0)</f>
        <v>0</v>
      </c>
      <c r="Z215" s="35" cm="1">
        <f t="array" ref="Z215">INT(SUMPRODUCT(--ISNUMBER(SEARCH(bipartisan,C215)))&gt;0)</f>
        <v>0</v>
      </c>
      <c r="AA215" s="35">
        <f t="shared" si="3"/>
        <v>0</v>
      </c>
      <c r="AB215" s="14"/>
      <c r="AC215" s="30" t="s">
        <v>223</v>
      </c>
      <c r="AD215" s="37" t="s">
        <v>223</v>
      </c>
    </row>
    <row r="216" spans="1:30" x14ac:dyDescent="0.25">
      <c r="A216" s="36">
        <v>2722</v>
      </c>
      <c r="B216" s="14" t="s">
        <v>5469</v>
      </c>
      <c r="C216" s="14" t="s">
        <v>5470</v>
      </c>
      <c r="D216" s="17">
        <v>44116</v>
      </c>
      <c r="E216" s="14" t="s">
        <v>30</v>
      </c>
      <c r="F216" s="14">
        <v>37</v>
      </c>
      <c r="G216" s="14">
        <v>14</v>
      </c>
      <c r="H216" s="14">
        <v>12</v>
      </c>
      <c r="I216" s="14">
        <v>6</v>
      </c>
      <c r="J216" s="14" t="s">
        <v>31</v>
      </c>
      <c r="K216" s="14" cm="1">
        <f t="array" ref="K216">INT(SUMPRODUCT(--ISNUMBER(SEARCH(economy,C216)))&gt;0)</f>
        <v>0</v>
      </c>
      <c r="L216" s="14" cm="1">
        <f t="array" ref="L216">INT(SUMPRODUCT(--ISNUMBER(SEARCH(healthcare,C216)))&gt;0)</f>
        <v>0</v>
      </c>
      <c r="M216" s="14" cm="1">
        <f t="array" ref="M216">INT(SUMPRODUCT(--ISNUMBER(SEARCH(supreme,C216)))&gt;0)</f>
        <v>0</v>
      </c>
      <c r="N216" s="14" cm="1">
        <f t="array" ref="N216">INT(SUMPRODUCT(--ISNUMBER(SEARCH(covid,C216)))&gt;0)</f>
        <v>0</v>
      </c>
      <c r="O216" s="14" cm="1">
        <f t="array" ref="O216">INT(SUMPRODUCT(--ISNUMBER(SEARCH(violent,C216)))&gt;0)</f>
        <v>0</v>
      </c>
      <c r="P216" s="14" cm="1">
        <f t="array" ref="P216">INT(SUMPRODUCT(--ISNUMBER(SEARCH(foreign,C216)))&gt;0)</f>
        <v>0</v>
      </c>
      <c r="Q216" s="14" cm="1">
        <f t="array" ref="Q216">INT(SUMPRODUCT(--ISNUMBER(SEARCH(gun,C216)))&gt;0)</f>
        <v>0</v>
      </c>
      <c r="R216" s="14" cm="1">
        <f t="array" ref="R216">INT(SUMPRODUCT(--ISNUMBER(SEARCH(race,C216)))&gt;0)</f>
        <v>0</v>
      </c>
      <c r="S216" s="14" cm="1">
        <f t="array" ref="S216">INT(SUMPRODUCT(--ISNUMBER(SEARCH(immigration,C216)))&gt;0)</f>
        <v>0</v>
      </c>
      <c r="T216" s="14" cm="1">
        <f t="array" ref="T216">INT(SUMPRODUCT(--ISNUMBER(SEARCH(econineq,C217)))&gt;0)</f>
        <v>0</v>
      </c>
      <c r="U216" s="14" cm="1">
        <f t="array" ref="U216">INT(SUMPRODUCT(--ISNUMBER(SEARCH(climate,C216)))&gt;0)</f>
        <v>0</v>
      </c>
      <c r="V216" s="14" cm="1">
        <f t="array" ref="V216">INT(SUMPRODUCT(--ISNUMBER(SEARCH(abortion,C216)))&gt;0)</f>
        <v>0</v>
      </c>
      <c r="W216" s="14" cm="1">
        <f t="array" ref="W216">INT(SUMPRODUCT(--ISNUMBER(SEARCH(trump,C216)))&gt;0)</f>
        <v>0</v>
      </c>
      <c r="X216" s="14" cm="1">
        <f t="array" ref="X216">INT(SUMPRODUCT(--ISNUMBER(SEARCH(voting,C216)))&gt;0)</f>
        <v>0</v>
      </c>
      <c r="Y216" s="35" cm="1">
        <f t="array" ref="Y216">INT(SUMPRODUCT(--ISNUMBER(SEARCH(republicantrigger,C216)))&gt;0)</f>
        <v>1</v>
      </c>
      <c r="Z216" s="35" cm="1">
        <f t="array" ref="Z216">INT(SUMPRODUCT(--ISNUMBER(SEARCH(bipartisan,C216)))&gt;0)</f>
        <v>0</v>
      </c>
      <c r="AA216" s="35">
        <f t="shared" si="3"/>
        <v>0</v>
      </c>
      <c r="AB216" s="14"/>
      <c r="AC216" s="30">
        <v>1</v>
      </c>
      <c r="AD216" s="37">
        <v>0</v>
      </c>
    </row>
    <row r="217" spans="1:30" x14ac:dyDescent="0.25">
      <c r="A217" s="36">
        <v>2723</v>
      </c>
      <c r="B217" s="14" t="s">
        <v>5471</v>
      </c>
      <c r="C217" s="14" t="s">
        <v>5472</v>
      </c>
      <c r="D217" s="17">
        <v>44116</v>
      </c>
      <c r="E217" s="14" t="s">
        <v>30</v>
      </c>
      <c r="F217" s="14">
        <v>320</v>
      </c>
      <c r="G217" s="14">
        <v>114</v>
      </c>
      <c r="H217" s="14">
        <v>12</v>
      </c>
      <c r="I217" s="14">
        <v>6</v>
      </c>
      <c r="J217" s="14" t="s">
        <v>31</v>
      </c>
      <c r="K217" s="14" cm="1">
        <f t="array" ref="K217">INT(SUMPRODUCT(--ISNUMBER(SEARCH(economy,C217)))&gt;0)</f>
        <v>0</v>
      </c>
      <c r="L217" s="14" cm="1">
        <f t="array" ref="L217">INT(SUMPRODUCT(--ISNUMBER(SEARCH(healthcare,C217)))&gt;0)</f>
        <v>0</v>
      </c>
      <c r="M217" s="14" cm="1">
        <f t="array" ref="M217">INT(SUMPRODUCT(--ISNUMBER(SEARCH(supreme,C217)))&gt;0)</f>
        <v>0</v>
      </c>
      <c r="N217" s="14" cm="1">
        <f t="array" ref="N217">INT(SUMPRODUCT(--ISNUMBER(SEARCH(covid,C217)))&gt;0)</f>
        <v>0</v>
      </c>
      <c r="O217" s="14" cm="1">
        <f t="array" ref="O217">INT(SUMPRODUCT(--ISNUMBER(SEARCH(violent,C217)))&gt;0)</f>
        <v>0</v>
      </c>
      <c r="P217" s="14" cm="1">
        <f t="array" ref="P217">INT(SUMPRODUCT(--ISNUMBER(SEARCH(foreign,C217)))&gt;0)</f>
        <v>0</v>
      </c>
      <c r="Q217" s="14" cm="1">
        <f t="array" ref="Q217">INT(SUMPRODUCT(--ISNUMBER(SEARCH(gun,C217)))&gt;0)</f>
        <v>0</v>
      </c>
      <c r="R217" s="14" cm="1">
        <f t="array" ref="R217">INT(SUMPRODUCT(--ISNUMBER(SEARCH(race,C217)))&gt;0)</f>
        <v>0</v>
      </c>
      <c r="S217" s="14" cm="1">
        <f t="array" ref="S217">INT(SUMPRODUCT(--ISNUMBER(SEARCH(immigration,C217)))&gt;0)</f>
        <v>0</v>
      </c>
      <c r="T217" s="14" cm="1">
        <f t="array" ref="T217">INT(SUMPRODUCT(--ISNUMBER(SEARCH(econineq,C218)))&gt;0)</f>
        <v>0</v>
      </c>
      <c r="U217" s="14" cm="1">
        <f t="array" ref="U217">INT(SUMPRODUCT(--ISNUMBER(SEARCH(climate,C217)))&gt;0)</f>
        <v>0</v>
      </c>
      <c r="V217" s="14" cm="1">
        <f t="array" ref="V217">INT(SUMPRODUCT(--ISNUMBER(SEARCH(abortion,C217)))&gt;0)</f>
        <v>0</v>
      </c>
      <c r="W217" s="14" cm="1">
        <f t="array" ref="W217">INT(SUMPRODUCT(--ISNUMBER(SEARCH(trump,C217)))&gt;0)</f>
        <v>0</v>
      </c>
      <c r="X217" s="14" cm="1">
        <f t="array" ref="X217">INT(SUMPRODUCT(--ISNUMBER(SEARCH(voting,C217)))&gt;0)</f>
        <v>0</v>
      </c>
      <c r="Y217" s="35" cm="1">
        <f t="array" ref="Y217">INT(SUMPRODUCT(--ISNUMBER(SEARCH(republicantrigger,C217)))&gt;0)</f>
        <v>0</v>
      </c>
      <c r="Z217" s="35" cm="1">
        <f t="array" ref="Z217">INT(SUMPRODUCT(--ISNUMBER(SEARCH(bipartisan,C217)))&gt;0)</f>
        <v>0</v>
      </c>
      <c r="AA217" s="35">
        <f t="shared" si="3"/>
        <v>1</v>
      </c>
      <c r="AB217" s="14"/>
      <c r="AC217" s="30">
        <v>1</v>
      </c>
      <c r="AD217" s="37">
        <v>0</v>
      </c>
    </row>
    <row r="218" spans="1:30" x14ac:dyDescent="0.25">
      <c r="A218" s="36">
        <v>2724</v>
      </c>
      <c r="B218" s="14" t="s">
        <v>5473</v>
      </c>
      <c r="C218" s="14" t="s">
        <v>5474</v>
      </c>
      <c r="D218" s="17">
        <v>44116</v>
      </c>
      <c r="E218" s="14" t="s">
        <v>30</v>
      </c>
      <c r="F218" s="14">
        <v>118</v>
      </c>
      <c r="G218" s="14">
        <v>47</v>
      </c>
      <c r="H218" s="14">
        <v>12</v>
      </c>
      <c r="I218" s="14">
        <v>6</v>
      </c>
      <c r="J218" s="14" t="s">
        <v>31</v>
      </c>
      <c r="K218" s="14" cm="1">
        <f t="array" ref="K218">INT(SUMPRODUCT(--ISNUMBER(SEARCH(economy,C218)))&gt;0)</f>
        <v>0</v>
      </c>
      <c r="L218" s="14" cm="1">
        <f t="array" ref="L218">INT(SUMPRODUCT(--ISNUMBER(SEARCH(healthcare,C218)))&gt;0)</f>
        <v>0</v>
      </c>
      <c r="M218" s="14" cm="1">
        <f t="array" ref="M218">INT(SUMPRODUCT(--ISNUMBER(SEARCH(supreme,C218)))&gt;0)</f>
        <v>0</v>
      </c>
      <c r="N218" s="14" cm="1">
        <f t="array" ref="N218">INT(SUMPRODUCT(--ISNUMBER(SEARCH(covid,C218)))&gt;0)</f>
        <v>0</v>
      </c>
      <c r="O218" s="14" cm="1">
        <f t="array" ref="O218">INT(SUMPRODUCT(--ISNUMBER(SEARCH(violent,C218)))&gt;0)</f>
        <v>0</v>
      </c>
      <c r="P218" s="14" cm="1">
        <f t="array" ref="P218">INT(SUMPRODUCT(--ISNUMBER(SEARCH(foreign,C218)))&gt;0)</f>
        <v>0</v>
      </c>
      <c r="Q218" s="14" cm="1">
        <f t="array" ref="Q218">INT(SUMPRODUCT(--ISNUMBER(SEARCH(gun,C218)))&gt;0)</f>
        <v>0</v>
      </c>
      <c r="R218" s="14" cm="1">
        <f t="array" ref="R218">INT(SUMPRODUCT(--ISNUMBER(SEARCH(race,C218)))&gt;0)</f>
        <v>0</v>
      </c>
      <c r="S218" s="14" cm="1">
        <f t="array" ref="S218">INT(SUMPRODUCT(--ISNUMBER(SEARCH(immigration,C218)))&gt;0)</f>
        <v>0</v>
      </c>
      <c r="T218" s="14" cm="1">
        <f t="array" ref="T218">INT(SUMPRODUCT(--ISNUMBER(SEARCH(econineq,C219)))&gt;0)</f>
        <v>0</v>
      </c>
      <c r="U218" s="14" cm="1">
        <f t="array" ref="U218">INT(SUMPRODUCT(--ISNUMBER(SEARCH(climate,C218)))&gt;0)</f>
        <v>0</v>
      </c>
      <c r="V218" s="14" cm="1">
        <f t="array" ref="V218">INT(SUMPRODUCT(--ISNUMBER(SEARCH(abortion,C218)))&gt;0)</f>
        <v>0</v>
      </c>
      <c r="W218" s="14" cm="1">
        <f t="array" ref="W218">INT(SUMPRODUCT(--ISNUMBER(SEARCH(trump,C218)))&gt;0)</f>
        <v>1</v>
      </c>
      <c r="X218" s="14" cm="1">
        <f t="array" ref="X218">INT(SUMPRODUCT(--ISNUMBER(SEARCH(voting,C218)))&gt;0)</f>
        <v>0</v>
      </c>
      <c r="Y218" s="35" cm="1">
        <f t="array" ref="Y218">INT(SUMPRODUCT(--ISNUMBER(SEARCH(republicantrigger,C218)))&gt;0)</f>
        <v>0</v>
      </c>
      <c r="Z218" s="35" cm="1">
        <f t="array" ref="Z218">INT(SUMPRODUCT(--ISNUMBER(SEARCH(bipartisan,C218)))&gt;0)</f>
        <v>0</v>
      </c>
      <c r="AA218" s="35">
        <f t="shared" si="3"/>
        <v>0</v>
      </c>
      <c r="AB218" s="14"/>
      <c r="AC218" s="30">
        <v>0</v>
      </c>
      <c r="AD218" s="37">
        <v>1</v>
      </c>
    </row>
    <row r="219" spans="1:30" x14ac:dyDescent="0.25">
      <c r="A219" s="36">
        <v>2725</v>
      </c>
      <c r="B219" s="14" t="s">
        <v>5475</v>
      </c>
      <c r="C219" s="14" t="s">
        <v>5476</v>
      </c>
      <c r="D219" s="17">
        <v>44116</v>
      </c>
      <c r="E219" s="14" t="s">
        <v>30</v>
      </c>
      <c r="F219" s="14">
        <v>41</v>
      </c>
      <c r="G219" s="14">
        <v>13</v>
      </c>
      <c r="H219" s="14">
        <v>12</v>
      </c>
      <c r="I219" s="14">
        <v>6</v>
      </c>
      <c r="J219" s="14" t="s">
        <v>31</v>
      </c>
      <c r="K219" s="14" cm="1">
        <f t="array" ref="K219">INT(SUMPRODUCT(--ISNUMBER(SEARCH(economy,C219)))&gt;0)</f>
        <v>0</v>
      </c>
      <c r="L219" s="14" cm="1">
        <f t="array" ref="L219">INT(SUMPRODUCT(--ISNUMBER(SEARCH(healthcare,C219)))&gt;0)</f>
        <v>0</v>
      </c>
      <c r="M219" s="14" cm="1">
        <f t="array" ref="M219">INT(SUMPRODUCT(--ISNUMBER(SEARCH(supreme,C219)))&gt;0)</f>
        <v>1</v>
      </c>
      <c r="N219" s="14" cm="1">
        <f t="array" ref="N219">INT(SUMPRODUCT(--ISNUMBER(SEARCH(covid,C219)))&gt;0)</f>
        <v>0</v>
      </c>
      <c r="O219" s="14" cm="1">
        <f t="array" ref="O219">INT(SUMPRODUCT(--ISNUMBER(SEARCH(violent,C219)))&gt;0)</f>
        <v>0</v>
      </c>
      <c r="P219" s="14" cm="1">
        <f t="array" ref="P219">INT(SUMPRODUCT(--ISNUMBER(SEARCH(foreign,C219)))&gt;0)</f>
        <v>0</v>
      </c>
      <c r="Q219" s="14" cm="1">
        <f t="array" ref="Q219">INT(SUMPRODUCT(--ISNUMBER(SEARCH(gun,C219)))&gt;0)</f>
        <v>0</v>
      </c>
      <c r="R219" s="14" cm="1">
        <f t="array" ref="R219">INT(SUMPRODUCT(--ISNUMBER(SEARCH(race,C219)))&gt;0)</f>
        <v>0</v>
      </c>
      <c r="S219" s="14" cm="1">
        <f t="array" ref="S219">INT(SUMPRODUCT(--ISNUMBER(SEARCH(immigration,C219)))&gt;0)</f>
        <v>0</v>
      </c>
      <c r="T219" s="14" cm="1">
        <f t="array" ref="T219">INT(SUMPRODUCT(--ISNUMBER(SEARCH(econineq,C220)))&gt;0)</f>
        <v>0</v>
      </c>
      <c r="U219" s="14" cm="1">
        <f t="array" ref="U219">INT(SUMPRODUCT(--ISNUMBER(SEARCH(climate,C219)))&gt;0)</f>
        <v>0</v>
      </c>
      <c r="V219" s="14" cm="1">
        <f t="array" ref="V219">INT(SUMPRODUCT(--ISNUMBER(SEARCH(abortion,C219)))&gt;0)</f>
        <v>0</v>
      </c>
      <c r="W219" s="14" cm="1">
        <f t="array" ref="W219">INT(SUMPRODUCT(--ISNUMBER(SEARCH(trump,C219)))&gt;0)</f>
        <v>0</v>
      </c>
      <c r="X219" s="14" cm="1">
        <f t="array" ref="X219">INT(SUMPRODUCT(--ISNUMBER(SEARCH(voting,C219)))&gt;0)</f>
        <v>0</v>
      </c>
      <c r="Y219" s="35" cm="1">
        <f t="array" ref="Y219">INT(SUMPRODUCT(--ISNUMBER(SEARCH(republicantrigger,C219)))&gt;0)</f>
        <v>1</v>
      </c>
      <c r="Z219" s="35" cm="1">
        <f t="array" ref="Z219">INT(SUMPRODUCT(--ISNUMBER(SEARCH(bipartisan,C219)))&gt;0)</f>
        <v>0</v>
      </c>
      <c r="AA219" s="35">
        <f t="shared" si="3"/>
        <v>0</v>
      </c>
      <c r="AB219" s="14"/>
      <c r="AC219" s="30" t="s">
        <v>223</v>
      </c>
      <c r="AD219" s="37" t="s">
        <v>223</v>
      </c>
    </row>
    <row r="220" spans="1:30" x14ac:dyDescent="0.25">
      <c r="A220" s="36">
        <v>2726</v>
      </c>
      <c r="B220" s="14" t="s">
        <v>5477</v>
      </c>
      <c r="C220" s="14" t="s">
        <v>5478</v>
      </c>
      <c r="D220" s="17">
        <v>44115</v>
      </c>
      <c r="E220" s="14" t="s">
        <v>30</v>
      </c>
      <c r="F220" s="14">
        <v>116</v>
      </c>
      <c r="G220" s="14">
        <v>62</v>
      </c>
      <c r="H220" s="14">
        <v>12</v>
      </c>
      <c r="I220" s="14">
        <v>6</v>
      </c>
      <c r="J220" s="14" t="s">
        <v>31</v>
      </c>
      <c r="K220" s="14" cm="1">
        <f t="array" ref="K220">INT(SUMPRODUCT(--ISNUMBER(SEARCH(economy,C220)))&gt;0)</f>
        <v>0</v>
      </c>
      <c r="L220" s="14" cm="1">
        <f t="array" ref="L220">INT(SUMPRODUCT(--ISNUMBER(SEARCH(healthcare,C220)))&gt;0)</f>
        <v>0</v>
      </c>
      <c r="M220" s="14" cm="1">
        <f t="array" ref="M220">INT(SUMPRODUCT(--ISNUMBER(SEARCH(supreme,C220)))&gt;0)</f>
        <v>0</v>
      </c>
      <c r="N220" s="14" cm="1">
        <f t="array" ref="N220">INT(SUMPRODUCT(--ISNUMBER(SEARCH(covid,C220)))&gt;0)</f>
        <v>0</v>
      </c>
      <c r="O220" s="14" cm="1">
        <f t="array" ref="O220">INT(SUMPRODUCT(--ISNUMBER(SEARCH(violent,C220)))&gt;0)</f>
        <v>0</v>
      </c>
      <c r="P220" s="14" cm="1">
        <f t="array" ref="P220">INT(SUMPRODUCT(--ISNUMBER(SEARCH(foreign,C220)))&gt;0)</f>
        <v>0</v>
      </c>
      <c r="Q220" s="14" cm="1">
        <f t="array" ref="Q220">INT(SUMPRODUCT(--ISNUMBER(SEARCH(gun,C220)))&gt;0)</f>
        <v>0</v>
      </c>
      <c r="R220" s="14" cm="1">
        <f t="array" ref="R220">INT(SUMPRODUCT(--ISNUMBER(SEARCH(race,C220)))&gt;0)</f>
        <v>1</v>
      </c>
      <c r="S220" s="14" cm="1">
        <f t="array" ref="S220">INT(SUMPRODUCT(--ISNUMBER(SEARCH(immigration,C220)))&gt;0)</f>
        <v>0</v>
      </c>
      <c r="T220" s="14" cm="1">
        <f t="array" ref="T220">INT(SUMPRODUCT(--ISNUMBER(SEARCH(econineq,C221)))&gt;0)</f>
        <v>0</v>
      </c>
      <c r="U220" s="14" cm="1">
        <f t="array" ref="U220">INT(SUMPRODUCT(--ISNUMBER(SEARCH(climate,C220)))&gt;0)</f>
        <v>0</v>
      </c>
      <c r="V220" s="14" cm="1">
        <f t="array" ref="V220">INT(SUMPRODUCT(--ISNUMBER(SEARCH(abortion,C220)))&gt;0)</f>
        <v>0</v>
      </c>
      <c r="W220" s="14" cm="1">
        <f t="array" ref="W220">INT(SUMPRODUCT(--ISNUMBER(SEARCH(trump,C220)))&gt;0)</f>
        <v>1</v>
      </c>
      <c r="X220" s="14" cm="1">
        <f t="array" ref="X220">INT(SUMPRODUCT(--ISNUMBER(SEARCH(voting,C220)))&gt;0)</f>
        <v>1</v>
      </c>
      <c r="Y220" s="35" cm="1">
        <f t="array" ref="Y220">INT(SUMPRODUCT(--ISNUMBER(SEARCH(republicantrigger,C220)))&gt;0)</f>
        <v>0</v>
      </c>
      <c r="Z220" s="35" cm="1">
        <f t="array" ref="Z220">INT(SUMPRODUCT(--ISNUMBER(SEARCH(bipartisan,C220)))&gt;0)</f>
        <v>0</v>
      </c>
      <c r="AA220" s="35">
        <f t="shared" si="3"/>
        <v>0</v>
      </c>
      <c r="AB220" s="14"/>
      <c r="AC220" s="30" t="s">
        <v>223</v>
      </c>
      <c r="AD220" s="37" t="s">
        <v>223</v>
      </c>
    </row>
    <row r="221" spans="1:30" x14ac:dyDescent="0.25">
      <c r="A221" s="36">
        <v>2727</v>
      </c>
      <c r="B221" s="14" t="s">
        <v>5479</v>
      </c>
      <c r="C221" s="14" t="s">
        <v>5480</v>
      </c>
      <c r="D221" s="17">
        <v>44115</v>
      </c>
      <c r="E221" s="14" t="s">
        <v>30</v>
      </c>
      <c r="F221" s="14">
        <v>109</v>
      </c>
      <c r="G221" s="14">
        <v>48</v>
      </c>
      <c r="H221" s="14">
        <v>12</v>
      </c>
      <c r="I221" s="14">
        <v>6</v>
      </c>
      <c r="J221" s="14" t="s">
        <v>31</v>
      </c>
      <c r="K221" s="14" cm="1">
        <f t="array" ref="K221">INT(SUMPRODUCT(--ISNUMBER(SEARCH(economy,C221)))&gt;0)</f>
        <v>0</v>
      </c>
      <c r="L221" s="14" cm="1">
        <f t="array" ref="L221">INT(SUMPRODUCT(--ISNUMBER(SEARCH(healthcare,C221)))&gt;0)</f>
        <v>0</v>
      </c>
      <c r="M221" s="14" cm="1">
        <f t="array" ref="M221">INT(SUMPRODUCT(--ISNUMBER(SEARCH(supreme,C221)))&gt;0)</f>
        <v>1</v>
      </c>
      <c r="N221" s="14" cm="1">
        <f t="array" ref="N221">INT(SUMPRODUCT(--ISNUMBER(SEARCH(covid,C221)))&gt;0)</f>
        <v>0</v>
      </c>
      <c r="O221" s="14" cm="1">
        <f t="array" ref="O221">INT(SUMPRODUCT(--ISNUMBER(SEARCH(violent,C221)))&gt;0)</f>
        <v>0</v>
      </c>
      <c r="P221" s="14" cm="1">
        <f t="array" ref="P221">INT(SUMPRODUCT(--ISNUMBER(SEARCH(foreign,C221)))&gt;0)</f>
        <v>0</v>
      </c>
      <c r="Q221" s="14" cm="1">
        <f t="array" ref="Q221">INT(SUMPRODUCT(--ISNUMBER(SEARCH(gun,C221)))&gt;0)</f>
        <v>0</v>
      </c>
      <c r="R221" s="14" cm="1">
        <f t="array" ref="R221">INT(SUMPRODUCT(--ISNUMBER(SEARCH(race,C221)))&gt;0)</f>
        <v>0</v>
      </c>
      <c r="S221" s="14" cm="1">
        <f t="array" ref="S221">INT(SUMPRODUCT(--ISNUMBER(SEARCH(immigration,C221)))&gt;0)</f>
        <v>0</v>
      </c>
      <c r="T221" s="14" cm="1">
        <f t="array" ref="T221">INT(SUMPRODUCT(--ISNUMBER(SEARCH(econineq,C222)))&gt;0)</f>
        <v>0</v>
      </c>
      <c r="U221" s="14" cm="1">
        <f t="array" ref="U221">INT(SUMPRODUCT(--ISNUMBER(SEARCH(climate,C221)))&gt;0)</f>
        <v>0</v>
      </c>
      <c r="V221" s="14" cm="1">
        <f t="array" ref="V221">INT(SUMPRODUCT(--ISNUMBER(SEARCH(abortion,C221)))&gt;0)</f>
        <v>0</v>
      </c>
      <c r="W221" s="14" cm="1">
        <f t="array" ref="W221">INT(SUMPRODUCT(--ISNUMBER(SEARCH(trump,C221)))&gt;0)</f>
        <v>0</v>
      </c>
      <c r="X221" s="14" cm="1">
        <f t="array" ref="X221">INT(SUMPRODUCT(--ISNUMBER(SEARCH(voting,C221)))&gt;0)</f>
        <v>0</v>
      </c>
      <c r="Y221" s="35" cm="1">
        <f t="array" ref="Y221">INT(SUMPRODUCT(--ISNUMBER(SEARCH(republicantrigger,C221)))&gt;0)</f>
        <v>1</v>
      </c>
      <c r="Z221" s="35" cm="1">
        <f t="array" ref="Z221">INT(SUMPRODUCT(--ISNUMBER(SEARCH(bipartisan,C221)))&gt;0)</f>
        <v>0</v>
      </c>
      <c r="AA221" s="35">
        <f t="shared" si="3"/>
        <v>0</v>
      </c>
      <c r="AB221" s="14"/>
      <c r="AC221" s="30">
        <v>1</v>
      </c>
      <c r="AD221" s="37">
        <v>0</v>
      </c>
    </row>
    <row r="222" spans="1:30" x14ac:dyDescent="0.25">
      <c r="A222" s="36">
        <v>2728</v>
      </c>
      <c r="B222" s="14" t="s">
        <v>5481</v>
      </c>
      <c r="C222" s="14" t="s">
        <v>5482</v>
      </c>
      <c r="D222" s="17">
        <v>44115</v>
      </c>
      <c r="E222" s="14" t="s">
        <v>30</v>
      </c>
      <c r="F222" s="14">
        <v>65</v>
      </c>
      <c r="G222" s="14">
        <v>23</v>
      </c>
      <c r="H222" s="14">
        <v>12</v>
      </c>
      <c r="I222" s="14">
        <v>6</v>
      </c>
      <c r="J222" s="14" t="s">
        <v>31</v>
      </c>
      <c r="K222" s="14" cm="1">
        <f t="array" ref="K222">INT(SUMPRODUCT(--ISNUMBER(SEARCH(economy,C222)))&gt;0)</f>
        <v>0</v>
      </c>
      <c r="L222" s="14" cm="1">
        <f t="array" ref="L222">INT(SUMPRODUCT(--ISNUMBER(SEARCH(healthcare,C222)))&gt;0)</f>
        <v>0</v>
      </c>
      <c r="M222" s="14" cm="1">
        <f t="array" ref="M222">INT(SUMPRODUCT(--ISNUMBER(SEARCH(supreme,C222)))&gt;0)</f>
        <v>0</v>
      </c>
      <c r="N222" s="14" cm="1">
        <f t="array" ref="N222">INT(SUMPRODUCT(--ISNUMBER(SEARCH(covid,C222)))&gt;0)</f>
        <v>0</v>
      </c>
      <c r="O222" s="14" cm="1">
        <f t="array" ref="O222">INT(SUMPRODUCT(--ISNUMBER(SEARCH(violent,C222)))&gt;0)</f>
        <v>0</v>
      </c>
      <c r="P222" s="14" cm="1">
        <f t="array" ref="P222">INT(SUMPRODUCT(--ISNUMBER(SEARCH(foreign,C222)))&gt;0)</f>
        <v>0</v>
      </c>
      <c r="Q222" s="14" cm="1">
        <f t="array" ref="Q222">INT(SUMPRODUCT(--ISNUMBER(SEARCH(gun,C222)))&gt;0)</f>
        <v>0</v>
      </c>
      <c r="R222" s="14" cm="1">
        <f t="array" ref="R222">INT(SUMPRODUCT(--ISNUMBER(SEARCH(race,C222)))&gt;0)</f>
        <v>0</v>
      </c>
      <c r="S222" s="14" cm="1">
        <f t="array" ref="S222">INT(SUMPRODUCT(--ISNUMBER(SEARCH(immigration,C222)))&gt;0)</f>
        <v>1</v>
      </c>
      <c r="T222" s="14" cm="1">
        <f t="array" ref="T222">INT(SUMPRODUCT(--ISNUMBER(SEARCH(econineq,C223)))&gt;0)</f>
        <v>0</v>
      </c>
      <c r="U222" s="14" cm="1">
        <f t="array" ref="U222">INT(SUMPRODUCT(--ISNUMBER(SEARCH(climate,C222)))&gt;0)</f>
        <v>0</v>
      </c>
      <c r="V222" s="14" cm="1">
        <f t="array" ref="V222">INT(SUMPRODUCT(--ISNUMBER(SEARCH(abortion,C222)))&gt;0)</f>
        <v>0</v>
      </c>
      <c r="W222" s="14" cm="1">
        <f t="array" ref="W222">INT(SUMPRODUCT(--ISNUMBER(SEARCH(trump,C222)))&gt;0)</f>
        <v>0</v>
      </c>
      <c r="X222" s="14" cm="1">
        <f t="array" ref="X222">INT(SUMPRODUCT(--ISNUMBER(SEARCH(voting,C222)))&gt;0)</f>
        <v>0</v>
      </c>
      <c r="Y222" s="35" cm="1">
        <f t="array" ref="Y222">INT(SUMPRODUCT(--ISNUMBER(SEARCH(republicantrigger,C222)))&gt;0)</f>
        <v>0</v>
      </c>
      <c r="Z222" s="35" cm="1">
        <f t="array" ref="Z222">INT(SUMPRODUCT(--ISNUMBER(SEARCH(bipartisan,C222)))&gt;0)</f>
        <v>0</v>
      </c>
      <c r="AA222" s="35">
        <f t="shared" si="3"/>
        <v>0</v>
      </c>
      <c r="AB222" s="14"/>
      <c r="AC222" s="30" t="s">
        <v>223</v>
      </c>
      <c r="AD222" s="37" t="s">
        <v>223</v>
      </c>
    </row>
    <row r="223" spans="1:30" x14ac:dyDescent="0.25">
      <c r="A223" s="36">
        <v>2729</v>
      </c>
      <c r="B223" s="14" t="s">
        <v>5483</v>
      </c>
      <c r="C223" s="14" t="s">
        <v>5484</v>
      </c>
      <c r="D223" s="17">
        <v>44115</v>
      </c>
      <c r="E223" s="14" t="s">
        <v>30</v>
      </c>
      <c r="F223" s="14">
        <v>130</v>
      </c>
      <c r="G223" s="14">
        <v>52</v>
      </c>
      <c r="H223" s="14">
        <v>12</v>
      </c>
      <c r="I223" s="14">
        <v>6</v>
      </c>
      <c r="J223" s="14" t="s">
        <v>31</v>
      </c>
      <c r="K223" s="14" cm="1">
        <f t="array" ref="K223">INT(SUMPRODUCT(--ISNUMBER(SEARCH(economy,C223)))&gt;0)</f>
        <v>0</v>
      </c>
      <c r="L223" s="14" cm="1">
        <f t="array" ref="L223">INT(SUMPRODUCT(--ISNUMBER(SEARCH(healthcare,C223)))&gt;0)</f>
        <v>0</v>
      </c>
      <c r="M223" s="14" cm="1">
        <f t="array" ref="M223">INT(SUMPRODUCT(--ISNUMBER(SEARCH(supreme,C223)))&gt;0)</f>
        <v>1</v>
      </c>
      <c r="N223" s="14" cm="1">
        <f t="array" ref="N223">INT(SUMPRODUCT(--ISNUMBER(SEARCH(covid,C223)))&gt;0)</f>
        <v>0</v>
      </c>
      <c r="O223" s="14" cm="1">
        <f t="array" ref="O223">INT(SUMPRODUCT(--ISNUMBER(SEARCH(violent,C223)))&gt;0)</f>
        <v>0</v>
      </c>
      <c r="P223" s="14" cm="1">
        <f t="array" ref="P223">INT(SUMPRODUCT(--ISNUMBER(SEARCH(foreign,C223)))&gt;0)</f>
        <v>0</v>
      </c>
      <c r="Q223" s="14" cm="1">
        <f t="array" ref="Q223">INT(SUMPRODUCT(--ISNUMBER(SEARCH(gun,C223)))&gt;0)</f>
        <v>0</v>
      </c>
      <c r="R223" s="14" cm="1">
        <f t="array" ref="R223">INT(SUMPRODUCT(--ISNUMBER(SEARCH(race,C223)))&gt;0)</f>
        <v>0</v>
      </c>
      <c r="S223" s="14" cm="1">
        <f t="array" ref="S223">INT(SUMPRODUCT(--ISNUMBER(SEARCH(immigration,C223)))&gt;0)</f>
        <v>0</v>
      </c>
      <c r="T223" s="14" cm="1">
        <f t="array" ref="T223">INT(SUMPRODUCT(--ISNUMBER(SEARCH(econineq,C224)))&gt;0)</f>
        <v>0</v>
      </c>
      <c r="U223" s="14" cm="1">
        <f t="array" ref="U223">INT(SUMPRODUCT(--ISNUMBER(SEARCH(climate,C223)))&gt;0)</f>
        <v>0</v>
      </c>
      <c r="V223" s="14" cm="1">
        <f t="array" ref="V223">INT(SUMPRODUCT(--ISNUMBER(SEARCH(abortion,C223)))&gt;0)</f>
        <v>0</v>
      </c>
      <c r="W223" s="14" cm="1">
        <f t="array" ref="W223">INT(SUMPRODUCT(--ISNUMBER(SEARCH(trump,C223)))&gt;0)</f>
        <v>0</v>
      </c>
      <c r="X223" s="14" cm="1">
        <f t="array" ref="X223">INT(SUMPRODUCT(--ISNUMBER(SEARCH(voting,C223)))&gt;0)</f>
        <v>0</v>
      </c>
      <c r="Y223" s="35" cm="1">
        <f t="array" ref="Y223">INT(SUMPRODUCT(--ISNUMBER(SEARCH(republicantrigger,C223)))&gt;0)</f>
        <v>1</v>
      </c>
      <c r="Z223" s="35" cm="1">
        <f t="array" ref="Z223">INT(SUMPRODUCT(--ISNUMBER(SEARCH(bipartisan,C223)))&gt;0)</f>
        <v>0</v>
      </c>
      <c r="AA223" s="35">
        <f t="shared" si="3"/>
        <v>0</v>
      </c>
      <c r="AB223" s="14"/>
      <c r="AC223" s="30" t="s">
        <v>223</v>
      </c>
      <c r="AD223" s="37" t="s">
        <v>223</v>
      </c>
    </row>
    <row r="224" spans="1:30" x14ac:dyDescent="0.25">
      <c r="A224" s="36">
        <v>2730</v>
      </c>
      <c r="B224" s="14" t="s">
        <v>5485</v>
      </c>
      <c r="C224" s="14" t="s">
        <v>5486</v>
      </c>
      <c r="D224" s="17">
        <v>44115</v>
      </c>
      <c r="E224" s="14" t="s">
        <v>30</v>
      </c>
      <c r="F224" s="14">
        <v>92</v>
      </c>
      <c r="G224" s="14">
        <v>39</v>
      </c>
      <c r="H224" s="14">
        <v>12</v>
      </c>
      <c r="I224" s="14">
        <v>6</v>
      </c>
      <c r="J224" s="14" t="s">
        <v>31</v>
      </c>
      <c r="K224" s="14" cm="1">
        <f t="array" ref="K224">INT(SUMPRODUCT(--ISNUMBER(SEARCH(economy,C224)))&gt;0)</f>
        <v>0</v>
      </c>
      <c r="L224" s="14" cm="1">
        <f t="array" ref="L224">INT(SUMPRODUCT(--ISNUMBER(SEARCH(healthcare,C224)))&gt;0)</f>
        <v>0</v>
      </c>
      <c r="M224" s="14" cm="1">
        <f t="array" ref="M224">INT(SUMPRODUCT(--ISNUMBER(SEARCH(supreme,C224)))&gt;0)</f>
        <v>0</v>
      </c>
      <c r="N224" s="14" cm="1">
        <f t="array" ref="N224">INT(SUMPRODUCT(--ISNUMBER(SEARCH(covid,C224)))&gt;0)</f>
        <v>0</v>
      </c>
      <c r="O224" s="14" cm="1">
        <f t="array" ref="O224">INT(SUMPRODUCT(--ISNUMBER(SEARCH(violent,C224)))&gt;0)</f>
        <v>0</v>
      </c>
      <c r="P224" s="14" cm="1">
        <f t="array" ref="P224">INT(SUMPRODUCT(--ISNUMBER(SEARCH(foreign,C224)))&gt;0)</f>
        <v>0</v>
      </c>
      <c r="Q224" s="14" cm="1">
        <f t="array" ref="Q224">INT(SUMPRODUCT(--ISNUMBER(SEARCH(gun,C224)))&gt;0)</f>
        <v>0</v>
      </c>
      <c r="R224" s="14" cm="1">
        <f t="array" ref="R224">INT(SUMPRODUCT(--ISNUMBER(SEARCH(race,C224)))&gt;0)</f>
        <v>0</v>
      </c>
      <c r="S224" s="14" cm="1">
        <f t="array" ref="S224">INT(SUMPRODUCT(--ISNUMBER(SEARCH(immigration,C224)))&gt;0)</f>
        <v>0</v>
      </c>
      <c r="T224" s="14" cm="1">
        <f t="array" ref="T224">INT(SUMPRODUCT(--ISNUMBER(SEARCH(econineq,C225)))&gt;0)</f>
        <v>1</v>
      </c>
      <c r="U224" s="14" cm="1">
        <f t="array" ref="U224">INT(SUMPRODUCT(--ISNUMBER(SEARCH(climate,C224)))&gt;0)</f>
        <v>0</v>
      </c>
      <c r="V224" s="14" cm="1">
        <f t="array" ref="V224">INT(SUMPRODUCT(--ISNUMBER(SEARCH(abortion,C224)))&gt;0)</f>
        <v>0</v>
      </c>
      <c r="W224" s="14" cm="1">
        <f t="array" ref="W224">INT(SUMPRODUCT(--ISNUMBER(SEARCH(trump,C224)))&gt;0)</f>
        <v>1</v>
      </c>
      <c r="X224" s="14" cm="1">
        <f t="array" ref="X224">INT(SUMPRODUCT(--ISNUMBER(SEARCH(voting,C224)))&gt;0)</f>
        <v>1</v>
      </c>
      <c r="Y224" s="35" cm="1">
        <f t="array" ref="Y224">INT(SUMPRODUCT(--ISNUMBER(SEARCH(republicantrigger,C224)))&gt;0)</f>
        <v>0</v>
      </c>
      <c r="Z224" s="35" cm="1">
        <f t="array" ref="Z224">INT(SUMPRODUCT(--ISNUMBER(SEARCH(bipartisan,C224)))&gt;0)</f>
        <v>0</v>
      </c>
      <c r="AA224" s="35">
        <f t="shared" si="3"/>
        <v>0</v>
      </c>
      <c r="AB224" s="14"/>
      <c r="AC224" s="30" t="s">
        <v>223</v>
      </c>
      <c r="AD224" s="37" t="s">
        <v>223</v>
      </c>
    </row>
    <row r="225" spans="1:30" x14ac:dyDescent="0.25">
      <c r="A225" s="36">
        <v>2731</v>
      </c>
      <c r="B225" s="14" t="s">
        <v>5487</v>
      </c>
      <c r="C225" s="14" t="s">
        <v>5488</v>
      </c>
      <c r="D225" s="17">
        <v>44115</v>
      </c>
      <c r="E225" s="14" t="s">
        <v>30</v>
      </c>
      <c r="F225" s="14">
        <v>207</v>
      </c>
      <c r="G225" s="14">
        <v>95</v>
      </c>
      <c r="H225" s="14">
        <v>12</v>
      </c>
      <c r="I225" s="14">
        <v>6</v>
      </c>
      <c r="J225" s="14" t="s">
        <v>31</v>
      </c>
      <c r="K225" s="14" cm="1">
        <f t="array" ref="K225">INT(SUMPRODUCT(--ISNUMBER(SEARCH(economy,C225)))&gt;0)</f>
        <v>0</v>
      </c>
      <c r="L225" s="14" cm="1">
        <f t="array" ref="L225">INT(SUMPRODUCT(--ISNUMBER(SEARCH(healthcare,C225)))&gt;0)</f>
        <v>0</v>
      </c>
      <c r="M225" s="14" cm="1">
        <f t="array" ref="M225">INT(SUMPRODUCT(--ISNUMBER(SEARCH(supreme,C225)))&gt;0)</f>
        <v>0</v>
      </c>
      <c r="N225" s="14" cm="1">
        <f t="array" ref="N225">INT(SUMPRODUCT(--ISNUMBER(SEARCH(covid,C225)))&gt;0)</f>
        <v>0</v>
      </c>
      <c r="O225" s="14" cm="1">
        <f t="array" ref="O225">INT(SUMPRODUCT(--ISNUMBER(SEARCH(violent,C225)))&gt;0)</f>
        <v>0</v>
      </c>
      <c r="P225" s="14" cm="1">
        <f t="array" ref="P225">INT(SUMPRODUCT(--ISNUMBER(SEARCH(foreign,C225)))&gt;0)</f>
        <v>0</v>
      </c>
      <c r="Q225" s="14" cm="1">
        <f t="array" ref="Q225">INT(SUMPRODUCT(--ISNUMBER(SEARCH(gun,C225)))&gt;0)</f>
        <v>0</v>
      </c>
      <c r="R225" s="14" cm="1">
        <f t="array" ref="R225">INT(SUMPRODUCT(--ISNUMBER(SEARCH(race,C225)))&gt;0)</f>
        <v>0</v>
      </c>
      <c r="S225" s="14" cm="1">
        <f t="array" ref="S225">INT(SUMPRODUCT(--ISNUMBER(SEARCH(immigration,C225)))&gt;0)</f>
        <v>0</v>
      </c>
      <c r="T225" s="14" cm="1">
        <f t="array" ref="T225">INT(SUMPRODUCT(--ISNUMBER(SEARCH(econineq,C226)))&gt;0)</f>
        <v>0</v>
      </c>
      <c r="U225" s="14" cm="1">
        <f t="array" ref="U225">INT(SUMPRODUCT(--ISNUMBER(SEARCH(climate,C225)))&gt;0)</f>
        <v>0</v>
      </c>
      <c r="V225" s="14" cm="1">
        <f t="array" ref="V225">INT(SUMPRODUCT(--ISNUMBER(SEARCH(abortion,C225)))&gt;0)</f>
        <v>0</v>
      </c>
      <c r="W225" s="14" cm="1">
        <f t="array" ref="W225">INT(SUMPRODUCT(--ISNUMBER(SEARCH(trump,C225)))&gt;0)</f>
        <v>0</v>
      </c>
      <c r="X225" s="14" cm="1">
        <f t="array" ref="X225">INT(SUMPRODUCT(--ISNUMBER(SEARCH(voting,C225)))&gt;0)</f>
        <v>0</v>
      </c>
      <c r="Y225" s="35" cm="1">
        <f t="array" ref="Y225">INT(SUMPRODUCT(--ISNUMBER(SEARCH(republicantrigger,C225)))&gt;0)</f>
        <v>1</v>
      </c>
      <c r="Z225" s="35" cm="1">
        <f t="array" ref="Z225">INT(SUMPRODUCT(--ISNUMBER(SEARCH(bipartisan,C225)))&gt;0)</f>
        <v>0</v>
      </c>
      <c r="AA225" s="35">
        <f t="shared" si="3"/>
        <v>0</v>
      </c>
      <c r="AB225" s="14"/>
      <c r="AC225" s="30" t="s">
        <v>223</v>
      </c>
      <c r="AD225" s="37" t="s">
        <v>223</v>
      </c>
    </row>
    <row r="226" spans="1:30" x14ac:dyDescent="0.25">
      <c r="A226" s="36">
        <v>2732</v>
      </c>
      <c r="B226" s="14" t="s">
        <v>5489</v>
      </c>
      <c r="C226" s="14" t="s">
        <v>5490</v>
      </c>
      <c r="D226" s="17">
        <v>44115</v>
      </c>
      <c r="E226" s="14" t="s">
        <v>30</v>
      </c>
      <c r="F226" s="14">
        <v>93</v>
      </c>
      <c r="G226" s="14">
        <v>32</v>
      </c>
      <c r="H226" s="14">
        <v>12</v>
      </c>
      <c r="I226" s="14">
        <v>6</v>
      </c>
      <c r="J226" s="14" t="s">
        <v>31</v>
      </c>
      <c r="K226" s="14" cm="1">
        <f t="array" ref="K226">INT(SUMPRODUCT(--ISNUMBER(SEARCH(economy,C226)))&gt;0)</f>
        <v>0</v>
      </c>
      <c r="L226" s="14" cm="1">
        <f t="array" ref="L226">INT(SUMPRODUCT(--ISNUMBER(SEARCH(healthcare,C226)))&gt;0)</f>
        <v>0</v>
      </c>
      <c r="M226" s="14" cm="1">
        <f t="array" ref="M226">INT(SUMPRODUCT(--ISNUMBER(SEARCH(supreme,C226)))&gt;0)</f>
        <v>0</v>
      </c>
      <c r="N226" s="14" cm="1">
        <f t="array" ref="N226">INT(SUMPRODUCT(--ISNUMBER(SEARCH(covid,C226)))&gt;0)</f>
        <v>0</v>
      </c>
      <c r="O226" s="14" cm="1">
        <f t="array" ref="O226">INT(SUMPRODUCT(--ISNUMBER(SEARCH(violent,C226)))&gt;0)</f>
        <v>0</v>
      </c>
      <c r="P226" s="14" cm="1">
        <f t="array" ref="P226">INT(SUMPRODUCT(--ISNUMBER(SEARCH(foreign,C226)))&gt;0)</f>
        <v>0</v>
      </c>
      <c r="Q226" s="14" cm="1">
        <f t="array" ref="Q226">INT(SUMPRODUCT(--ISNUMBER(SEARCH(gun,C226)))&gt;0)</f>
        <v>0</v>
      </c>
      <c r="R226" s="14" cm="1">
        <f t="array" ref="R226">INT(SUMPRODUCT(--ISNUMBER(SEARCH(race,C226)))&gt;0)</f>
        <v>0</v>
      </c>
      <c r="S226" s="14" cm="1">
        <f t="array" ref="S226">INT(SUMPRODUCT(--ISNUMBER(SEARCH(immigration,C226)))&gt;0)</f>
        <v>0</v>
      </c>
      <c r="T226" s="14" cm="1">
        <f t="array" ref="T226">INT(SUMPRODUCT(--ISNUMBER(SEARCH(econineq,C227)))&gt;0)</f>
        <v>0</v>
      </c>
      <c r="U226" s="14" cm="1">
        <f t="array" ref="U226">INT(SUMPRODUCT(--ISNUMBER(SEARCH(climate,C226)))&gt;0)</f>
        <v>0</v>
      </c>
      <c r="V226" s="14" cm="1">
        <f t="array" ref="V226">INT(SUMPRODUCT(--ISNUMBER(SEARCH(abortion,C226)))&gt;0)</f>
        <v>0</v>
      </c>
      <c r="W226" s="14" cm="1">
        <f t="array" ref="W226">INT(SUMPRODUCT(--ISNUMBER(SEARCH(trump,C226)))&gt;0)</f>
        <v>0</v>
      </c>
      <c r="X226" s="14" cm="1">
        <f t="array" ref="X226">INT(SUMPRODUCT(--ISNUMBER(SEARCH(voting,C226)))&gt;0)</f>
        <v>0</v>
      </c>
      <c r="Y226" s="35" cm="1">
        <f t="array" ref="Y226">INT(SUMPRODUCT(--ISNUMBER(SEARCH(republicantrigger,C226)))&gt;0)</f>
        <v>1</v>
      </c>
      <c r="Z226" s="35" cm="1">
        <f t="array" ref="Z226">INT(SUMPRODUCT(--ISNUMBER(SEARCH(bipartisan,C226)))&gt;0)</f>
        <v>0</v>
      </c>
      <c r="AA226" s="35">
        <f t="shared" si="3"/>
        <v>0</v>
      </c>
      <c r="AB226" s="14"/>
      <c r="AC226" s="30" t="s">
        <v>223</v>
      </c>
      <c r="AD226" s="37" t="s">
        <v>223</v>
      </c>
    </row>
    <row r="227" spans="1:30" x14ac:dyDescent="0.25">
      <c r="A227" s="36">
        <v>2733</v>
      </c>
      <c r="B227" s="14" t="s">
        <v>5491</v>
      </c>
      <c r="C227" s="14" t="s">
        <v>5492</v>
      </c>
      <c r="D227" s="17">
        <v>44115</v>
      </c>
      <c r="E227" s="14" t="s">
        <v>30</v>
      </c>
      <c r="F227" s="14">
        <v>63</v>
      </c>
      <c r="G227" s="14">
        <v>37</v>
      </c>
      <c r="H227" s="14">
        <v>12</v>
      </c>
      <c r="I227" s="14">
        <v>6</v>
      </c>
      <c r="J227" s="14" t="s">
        <v>31</v>
      </c>
      <c r="K227" s="14" cm="1">
        <f t="array" ref="K227">INT(SUMPRODUCT(--ISNUMBER(SEARCH(economy,C227)))&gt;0)</f>
        <v>0</v>
      </c>
      <c r="L227" s="14" cm="1">
        <f t="array" ref="L227">INT(SUMPRODUCT(--ISNUMBER(SEARCH(healthcare,C227)))&gt;0)</f>
        <v>0</v>
      </c>
      <c r="M227" s="14" cm="1">
        <f t="array" ref="M227">INT(SUMPRODUCT(--ISNUMBER(SEARCH(supreme,C227)))&gt;0)</f>
        <v>0</v>
      </c>
      <c r="N227" s="14" cm="1">
        <f t="array" ref="N227">INT(SUMPRODUCT(--ISNUMBER(SEARCH(covid,C227)))&gt;0)</f>
        <v>0</v>
      </c>
      <c r="O227" s="14" cm="1">
        <f t="array" ref="O227">INT(SUMPRODUCT(--ISNUMBER(SEARCH(violent,C227)))&gt;0)</f>
        <v>1</v>
      </c>
      <c r="P227" s="14" cm="1">
        <f t="array" ref="P227">INT(SUMPRODUCT(--ISNUMBER(SEARCH(foreign,C227)))&gt;0)</f>
        <v>0</v>
      </c>
      <c r="Q227" s="14" cm="1">
        <f t="array" ref="Q227">INT(SUMPRODUCT(--ISNUMBER(SEARCH(gun,C227)))&gt;0)</f>
        <v>0</v>
      </c>
      <c r="R227" s="14" cm="1">
        <f t="array" ref="R227">INT(SUMPRODUCT(--ISNUMBER(SEARCH(race,C227)))&gt;0)</f>
        <v>1</v>
      </c>
      <c r="S227" s="14" cm="1">
        <f t="array" ref="S227">INT(SUMPRODUCT(--ISNUMBER(SEARCH(immigration,C227)))&gt;0)</f>
        <v>0</v>
      </c>
      <c r="T227" s="14" cm="1">
        <f t="array" ref="T227">INT(SUMPRODUCT(--ISNUMBER(SEARCH(econineq,C228)))&gt;0)</f>
        <v>0</v>
      </c>
      <c r="U227" s="14" cm="1">
        <f t="array" ref="U227">INT(SUMPRODUCT(--ISNUMBER(SEARCH(climate,C227)))&gt;0)</f>
        <v>0</v>
      </c>
      <c r="V227" s="14" cm="1">
        <f t="array" ref="V227">INT(SUMPRODUCT(--ISNUMBER(SEARCH(abortion,C227)))&gt;0)</f>
        <v>0</v>
      </c>
      <c r="W227" s="14" cm="1">
        <f t="array" ref="W227">INT(SUMPRODUCT(--ISNUMBER(SEARCH(trump,C227)))&gt;0)</f>
        <v>0</v>
      </c>
      <c r="X227" s="14" cm="1">
        <f t="array" ref="X227">INT(SUMPRODUCT(--ISNUMBER(SEARCH(voting,C227)))&gt;0)</f>
        <v>0</v>
      </c>
      <c r="Y227" s="35" cm="1">
        <f t="array" ref="Y227">INT(SUMPRODUCT(--ISNUMBER(SEARCH(republicantrigger,C227)))&gt;0)</f>
        <v>1</v>
      </c>
      <c r="Z227" s="35" cm="1">
        <f t="array" ref="Z227">INT(SUMPRODUCT(--ISNUMBER(SEARCH(bipartisan,C227)))&gt;0)</f>
        <v>0</v>
      </c>
      <c r="AA227" s="35">
        <f t="shared" si="3"/>
        <v>0</v>
      </c>
      <c r="AB227" s="14"/>
      <c r="AC227" s="30" t="s">
        <v>223</v>
      </c>
      <c r="AD227" s="37" t="s">
        <v>223</v>
      </c>
    </row>
    <row r="228" spans="1:30" x14ac:dyDescent="0.25">
      <c r="A228" s="36">
        <v>2734</v>
      </c>
      <c r="B228" s="14" t="s">
        <v>5493</v>
      </c>
      <c r="C228" s="14" t="s">
        <v>5494</v>
      </c>
      <c r="D228" s="17">
        <v>44114</v>
      </c>
      <c r="E228" s="14" t="s">
        <v>30</v>
      </c>
      <c r="F228" s="14">
        <v>549</v>
      </c>
      <c r="G228" s="14">
        <v>196</v>
      </c>
      <c r="H228" s="14">
        <v>12</v>
      </c>
      <c r="I228" s="14">
        <v>6</v>
      </c>
      <c r="J228" s="14" t="s">
        <v>31</v>
      </c>
      <c r="K228" s="14" cm="1">
        <f t="array" ref="K228">INT(SUMPRODUCT(--ISNUMBER(SEARCH(economy,C228)))&gt;0)</f>
        <v>0</v>
      </c>
      <c r="L228" s="14" cm="1">
        <f t="array" ref="L228">INT(SUMPRODUCT(--ISNUMBER(SEARCH(healthcare,C228)))&gt;0)</f>
        <v>0</v>
      </c>
      <c r="M228" s="14" cm="1">
        <f t="array" ref="M228">INT(SUMPRODUCT(--ISNUMBER(SEARCH(supreme,C228)))&gt;0)</f>
        <v>0</v>
      </c>
      <c r="N228" s="14" cm="1">
        <f t="array" ref="N228">INT(SUMPRODUCT(--ISNUMBER(SEARCH(covid,C228)))&gt;0)</f>
        <v>0</v>
      </c>
      <c r="O228" s="14" cm="1">
        <f t="array" ref="O228">INT(SUMPRODUCT(--ISNUMBER(SEARCH(violent,C228)))&gt;0)</f>
        <v>0</v>
      </c>
      <c r="P228" s="14" cm="1">
        <f t="array" ref="P228">INT(SUMPRODUCT(--ISNUMBER(SEARCH(foreign,C228)))&gt;0)</f>
        <v>0</v>
      </c>
      <c r="Q228" s="14" cm="1">
        <f t="array" ref="Q228">INT(SUMPRODUCT(--ISNUMBER(SEARCH(gun,C228)))&gt;0)</f>
        <v>0</v>
      </c>
      <c r="R228" s="14" cm="1">
        <f t="array" ref="R228">INT(SUMPRODUCT(--ISNUMBER(SEARCH(race,C228)))&gt;0)</f>
        <v>0</v>
      </c>
      <c r="S228" s="14" cm="1">
        <f t="array" ref="S228">INT(SUMPRODUCT(--ISNUMBER(SEARCH(immigration,C228)))&gt;0)</f>
        <v>0</v>
      </c>
      <c r="T228" s="14" cm="1">
        <f t="array" ref="T228">INT(SUMPRODUCT(--ISNUMBER(SEARCH(econineq,C229)))&gt;0)</f>
        <v>0</v>
      </c>
      <c r="U228" s="14" cm="1">
        <f t="array" ref="U228">INT(SUMPRODUCT(--ISNUMBER(SEARCH(climate,C228)))&gt;0)</f>
        <v>0</v>
      </c>
      <c r="V228" s="14" cm="1">
        <f t="array" ref="V228">INT(SUMPRODUCT(--ISNUMBER(SEARCH(abortion,C228)))&gt;0)</f>
        <v>0</v>
      </c>
      <c r="W228" s="14" cm="1">
        <f t="array" ref="W228">INT(SUMPRODUCT(--ISNUMBER(SEARCH(trump,C228)))&gt;0)</f>
        <v>0</v>
      </c>
      <c r="X228" s="14" cm="1">
        <f t="array" ref="X228">INT(SUMPRODUCT(--ISNUMBER(SEARCH(voting,C228)))&gt;0)</f>
        <v>0</v>
      </c>
      <c r="Y228" s="35" cm="1">
        <f t="array" ref="Y228">INT(SUMPRODUCT(--ISNUMBER(SEARCH(republicantrigger,C228)))&gt;0)</f>
        <v>0</v>
      </c>
      <c r="Z228" s="35" cm="1">
        <f t="array" ref="Z228">INT(SUMPRODUCT(--ISNUMBER(SEARCH(bipartisan,C228)))&gt;0)</f>
        <v>0</v>
      </c>
      <c r="AA228" s="35">
        <f t="shared" si="3"/>
        <v>1</v>
      </c>
      <c r="AB228" s="14"/>
      <c r="AC228" s="30" t="s">
        <v>223</v>
      </c>
      <c r="AD228" s="37" t="s">
        <v>223</v>
      </c>
    </row>
    <row r="229" spans="1:30" x14ac:dyDescent="0.25">
      <c r="A229" s="36">
        <v>2735</v>
      </c>
      <c r="B229" s="14" t="s">
        <v>5495</v>
      </c>
      <c r="C229" s="14" t="s">
        <v>5496</v>
      </c>
      <c r="D229" s="17">
        <v>44114</v>
      </c>
      <c r="E229" s="14" t="s">
        <v>30</v>
      </c>
      <c r="F229" s="14">
        <v>57</v>
      </c>
      <c r="G229" s="14">
        <v>27</v>
      </c>
      <c r="H229" s="14">
        <v>12</v>
      </c>
      <c r="I229" s="14">
        <v>6</v>
      </c>
      <c r="J229" s="14" t="s">
        <v>31</v>
      </c>
      <c r="K229" s="14" cm="1">
        <f t="array" ref="K229">INT(SUMPRODUCT(--ISNUMBER(SEARCH(economy,C229)))&gt;0)</f>
        <v>0</v>
      </c>
      <c r="L229" s="14" cm="1">
        <f t="array" ref="L229">INT(SUMPRODUCT(--ISNUMBER(SEARCH(healthcare,C229)))&gt;0)</f>
        <v>0</v>
      </c>
      <c r="M229" s="14" cm="1">
        <f t="array" ref="M229">INT(SUMPRODUCT(--ISNUMBER(SEARCH(supreme,C229)))&gt;0)</f>
        <v>0</v>
      </c>
      <c r="N229" s="14" cm="1">
        <f t="array" ref="N229">INT(SUMPRODUCT(--ISNUMBER(SEARCH(covid,C229)))&gt;0)</f>
        <v>0</v>
      </c>
      <c r="O229" s="14" cm="1">
        <f t="array" ref="O229">INT(SUMPRODUCT(--ISNUMBER(SEARCH(violent,C229)))&gt;0)</f>
        <v>0</v>
      </c>
      <c r="P229" s="14" cm="1">
        <f t="array" ref="P229">INT(SUMPRODUCT(--ISNUMBER(SEARCH(foreign,C229)))&gt;0)</f>
        <v>0</v>
      </c>
      <c r="Q229" s="14" cm="1">
        <f t="array" ref="Q229">INT(SUMPRODUCT(--ISNUMBER(SEARCH(gun,C229)))&gt;0)</f>
        <v>0</v>
      </c>
      <c r="R229" s="14" cm="1">
        <f t="array" ref="R229">INT(SUMPRODUCT(--ISNUMBER(SEARCH(race,C229)))&gt;0)</f>
        <v>0</v>
      </c>
      <c r="S229" s="14" cm="1">
        <f t="array" ref="S229">INT(SUMPRODUCT(--ISNUMBER(SEARCH(immigration,C229)))&gt;0)</f>
        <v>0</v>
      </c>
      <c r="T229" s="14" cm="1">
        <f t="array" ref="T229">INT(SUMPRODUCT(--ISNUMBER(SEARCH(econineq,C230)))&gt;0)</f>
        <v>0</v>
      </c>
      <c r="U229" s="14" cm="1">
        <f t="array" ref="U229">INT(SUMPRODUCT(--ISNUMBER(SEARCH(climate,C229)))&gt;0)</f>
        <v>0</v>
      </c>
      <c r="V229" s="14" cm="1">
        <f t="array" ref="V229">INT(SUMPRODUCT(--ISNUMBER(SEARCH(abortion,C229)))&gt;0)</f>
        <v>0</v>
      </c>
      <c r="W229" s="14" cm="1">
        <f t="array" ref="W229">INT(SUMPRODUCT(--ISNUMBER(SEARCH(trump,C229)))&gt;0)</f>
        <v>0</v>
      </c>
      <c r="X229" s="14" cm="1">
        <f t="array" ref="X229">INT(SUMPRODUCT(--ISNUMBER(SEARCH(voting,C229)))&gt;0)</f>
        <v>1</v>
      </c>
      <c r="Y229" s="35" cm="1">
        <f t="array" ref="Y229">INT(SUMPRODUCT(--ISNUMBER(SEARCH(republicantrigger,C229)))&gt;0)</f>
        <v>1</v>
      </c>
      <c r="Z229" s="35" cm="1">
        <f t="array" ref="Z229">INT(SUMPRODUCT(--ISNUMBER(SEARCH(bipartisan,C229)))&gt;0)</f>
        <v>0</v>
      </c>
      <c r="AA229" s="35">
        <f t="shared" si="3"/>
        <v>0</v>
      </c>
      <c r="AB229" s="14"/>
      <c r="AC229" s="30" t="s">
        <v>223</v>
      </c>
      <c r="AD229" s="37" t="s">
        <v>223</v>
      </c>
    </row>
    <row r="230" spans="1:30" x14ac:dyDescent="0.25">
      <c r="A230" s="36">
        <v>2736</v>
      </c>
      <c r="B230" s="14" t="s">
        <v>5497</v>
      </c>
      <c r="C230" s="14" t="s">
        <v>5498</v>
      </c>
      <c r="D230" s="17">
        <v>44114</v>
      </c>
      <c r="E230" s="14" t="s">
        <v>30</v>
      </c>
      <c r="F230" s="14">
        <v>334</v>
      </c>
      <c r="G230" s="14">
        <v>118</v>
      </c>
      <c r="H230" s="14">
        <v>12</v>
      </c>
      <c r="I230" s="14">
        <v>6</v>
      </c>
      <c r="J230" s="14" t="s">
        <v>31</v>
      </c>
      <c r="K230" s="14" cm="1">
        <f t="array" ref="K230">INT(SUMPRODUCT(--ISNUMBER(SEARCH(economy,C230)))&gt;0)</f>
        <v>0</v>
      </c>
      <c r="L230" s="14" cm="1">
        <f t="array" ref="L230">INT(SUMPRODUCT(--ISNUMBER(SEARCH(healthcare,C230)))&gt;0)</f>
        <v>0</v>
      </c>
      <c r="M230" s="14" cm="1">
        <f t="array" ref="M230">INT(SUMPRODUCT(--ISNUMBER(SEARCH(supreme,C230)))&gt;0)</f>
        <v>0</v>
      </c>
      <c r="N230" s="14" cm="1">
        <f t="array" ref="N230">INT(SUMPRODUCT(--ISNUMBER(SEARCH(covid,C230)))&gt;0)</f>
        <v>0</v>
      </c>
      <c r="O230" s="14" cm="1">
        <f t="array" ref="O230">INT(SUMPRODUCT(--ISNUMBER(SEARCH(violent,C230)))&gt;0)</f>
        <v>0</v>
      </c>
      <c r="P230" s="14" cm="1">
        <f t="array" ref="P230">INT(SUMPRODUCT(--ISNUMBER(SEARCH(foreign,C230)))&gt;0)</f>
        <v>0</v>
      </c>
      <c r="Q230" s="14" cm="1">
        <f t="array" ref="Q230">INT(SUMPRODUCT(--ISNUMBER(SEARCH(gun,C230)))&gt;0)</f>
        <v>0</v>
      </c>
      <c r="R230" s="14" cm="1">
        <f t="array" ref="R230">INT(SUMPRODUCT(--ISNUMBER(SEARCH(race,C230)))&gt;0)</f>
        <v>0</v>
      </c>
      <c r="S230" s="14" cm="1">
        <f t="array" ref="S230">INT(SUMPRODUCT(--ISNUMBER(SEARCH(immigration,C230)))&gt;0)</f>
        <v>0</v>
      </c>
      <c r="T230" s="14" cm="1">
        <f t="array" ref="T230">INT(SUMPRODUCT(--ISNUMBER(SEARCH(econineq,C231)))&gt;0)</f>
        <v>0</v>
      </c>
      <c r="U230" s="14" cm="1">
        <f t="array" ref="U230">INT(SUMPRODUCT(--ISNUMBER(SEARCH(climate,C230)))&gt;0)</f>
        <v>0</v>
      </c>
      <c r="V230" s="14" cm="1">
        <f t="array" ref="V230">INT(SUMPRODUCT(--ISNUMBER(SEARCH(abortion,C230)))&gt;0)</f>
        <v>0</v>
      </c>
      <c r="W230" s="14" cm="1">
        <f t="array" ref="W230">INT(SUMPRODUCT(--ISNUMBER(SEARCH(trump,C230)))&gt;0)</f>
        <v>1</v>
      </c>
      <c r="X230" s="14" cm="1">
        <f t="array" ref="X230">INT(SUMPRODUCT(--ISNUMBER(SEARCH(voting,C230)))&gt;0)</f>
        <v>1</v>
      </c>
      <c r="Y230" s="35" cm="1">
        <f t="array" ref="Y230">INT(SUMPRODUCT(--ISNUMBER(SEARCH(republicantrigger,C230)))&gt;0)</f>
        <v>0</v>
      </c>
      <c r="Z230" s="35" cm="1">
        <f t="array" ref="Z230">INT(SUMPRODUCT(--ISNUMBER(SEARCH(bipartisan,C230)))&gt;0)</f>
        <v>0</v>
      </c>
      <c r="AA230" s="35">
        <f t="shared" si="3"/>
        <v>0</v>
      </c>
      <c r="AB230" s="14"/>
      <c r="AC230" s="30">
        <v>0</v>
      </c>
      <c r="AD230" s="37">
        <v>1</v>
      </c>
    </row>
    <row r="231" spans="1:30" x14ac:dyDescent="0.25">
      <c r="A231" s="36">
        <v>2737</v>
      </c>
      <c r="B231" s="14" t="s">
        <v>5499</v>
      </c>
      <c r="C231" s="14" t="s">
        <v>5500</v>
      </c>
      <c r="D231" s="17">
        <v>44114</v>
      </c>
      <c r="E231" s="14" t="s">
        <v>30</v>
      </c>
      <c r="F231" s="14">
        <v>106</v>
      </c>
      <c r="G231" s="14">
        <v>47</v>
      </c>
      <c r="H231" s="14">
        <v>12</v>
      </c>
      <c r="I231" s="14">
        <v>6</v>
      </c>
      <c r="J231" s="14" t="s">
        <v>31</v>
      </c>
      <c r="K231" s="14" cm="1">
        <f t="array" ref="K231">INT(SUMPRODUCT(--ISNUMBER(SEARCH(economy,C231)))&gt;0)</f>
        <v>0</v>
      </c>
      <c r="L231" s="14" cm="1">
        <f t="array" ref="L231">INT(SUMPRODUCT(--ISNUMBER(SEARCH(healthcare,C231)))&gt;0)</f>
        <v>0</v>
      </c>
      <c r="M231" s="14" cm="1">
        <f t="array" ref="M231">INT(SUMPRODUCT(--ISNUMBER(SEARCH(supreme,C231)))&gt;0)</f>
        <v>0</v>
      </c>
      <c r="N231" s="14" cm="1">
        <f t="array" ref="N231">INT(SUMPRODUCT(--ISNUMBER(SEARCH(covid,C231)))&gt;0)</f>
        <v>0</v>
      </c>
      <c r="O231" s="14" cm="1">
        <f t="array" ref="O231">INT(SUMPRODUCT(--ISNUMBER(SEARCH(violent,C231)))&gt;0)</f>
        <v>0</v>
      </c>
      <c r="P231" s="14" cm="1">
        <f t="array" ref="P231">INT(SUMPRODUCT(--ISNUMBER(SEARCH(foreign,C231)))&gt;0)</f>
        <v>0</v>
      </c>
      <c r="Q231" s="14" cm="1">
        <f t="array" ref="Q231">INT(SUMPRODUCT(--ISNUMBER(SEARCH(gun,C231)))&gt;0)</f>
        <v>0</v>
      </c>
      <c r="R231" s="14" cm="1">
        <f t="array" ref="R231">INT(SUMPRODUCT(--ISNUMBER(SEARCH(race,C231)))&gt;0)</f>
        <v>0</v>
      </c>
      <c r="S231" s="14" cm="1">
        <f t="array" ref="S231">INT(SUMPRODUCT(--ISNUMBER(SEARCH(immigration,C231)))&gt;0)</f>
        <v>0</v>
      </c>
      <c r="T231" s="14" cm="1">
        <f t="array" ref="T231">INT(SUMPRODUCT(--ISNUMBER(SEARCH(econineq,C232)))&gt;0)</f>
        <v>0</v>
      </c>
      <c r="U231" s="14" cm="1">
        <f t="array" ref="U231">INT(SUMPRODUCT(--ISNUMBER(SEARCH(climate,C231)))&gt;0)</f>
        <v>0</v>
      </c>
      <c r="V231" s="14" cm="1">
        <f t="array" ref="V231">INT(SUMPRODUCT(--ISNUMBER(SEARCH(abortion,C231)))&gt;0)</f>
        <v>0</v>
      </c>
      <c r="W231" s="14" cm="1">
        <f t="array" ref="W231">INT(SUMPRODUCT(--ISNUMBER(SEARCH(trump,C231)))&gt;0)</f>
        <v>1</v>
      </c>
      <c r="X231" s="14" cm="1">
        <f t="array" ref="X231">INT(SUMPRODUCT(--ISNUMBER(SEARCH(voting,C231)))&gt;0)</f>
        <v>0</v>
      </c>
      <c r="Y231" s="35" cm="1">
        <f t="array" ref="Y231">INT(SUMPRODUCT(--ISNUMBER(SEARCH(republicantrigger,C231)))&gt;0)</f>
        <v>1</v>
      </c>
      <c r="Z231" s="35" cm="1">
        <f t="array" ref="Z231">INT(SUMPRODUCT(--ISNUMBER(SEARCH(bipartisan,C231)))&gt;0)</f>
        <v>0</v>
      </c>
      <c r="AA231" s="35">
        <f t="shared" si="3"/>
        <v>0</v>
      </c>
      <c r="AB231" s="14"/>
      <c r="AC231" s="30" t="s">
        <v>223</v>
      </c>
      <c r="AD231" s="37" t="s">
        <v>223</v>
      </c>
    </row>
    <row r="232" spans="1:30" x14ac:dyDescent="0.25">
      <c r="A232" s="36">
        <v>2738</v>
      </c>
      <c r="B232" s="14" t="s">
        <v>5501</v>
      </c>
      <c r="C232" s="14" t="s">
        <v>5502</v>
      </c>
      <c r="D232" s="17">
        <v>44113</v>
      </c>
      <c r="E232" s="14" t="s">
        <v>30</v>
      </c>
      <c r="F232" s="14">
        <v>134</v>
      </c>
      <c r="G232" s="14">
        <v>65</v>
      </c>
      <c r="H232" s="14">
        <v>12</v>
      </c>
      <c r="I232" s="14">
        <v>6</v>
      </c>
      <c r="J232" s="14" t="s">
        <v>31</v>
      </c>
      <c r="K232" s="14" cm="1">
        <f t="array" ref="K232">INT(SUMPRODUCT(--ISNUMBER(SEARCH(economy,C232)))&gt;0)</f>
        <v>0</v>
      </c>
      <c r="L232" s="14" cm="1">
        <f t="array" ref="L232">INT(SUMPRODUCT(--ISNUMBER(SEARCH(healthcare,C232)))&gt;0)</f>
        <v>0</v>
      </c>
      <c r="M232" s="14" cm="1">
        <f t="array" ref="M232">INT(SUMPRODUCT(--ISNUMBER(SEARCH(supreme,C232)))&gt;0)</f>
        <v>1</v>
      </c>
      <c r="N232" s="14" cm="1">
        <f t="array" ref="N232">INT(SUMPRODUCT(--ISNUMBER(SEARCH(covid,C232)))&gt;0)</f>
        <v>0</v>
      </c>
      <c r="O232" s="14" cm="1">
        <f t="array" ref="O232">INT(SUMPRODUCT(--ISNUMBER(SEARCH(violent,C232)))&gt;0)</f>
        <v>0</v>
      </c>
      <c r="P232" s="14" cm="1">
        <f t="array" ref="P232">INT(SUMPRODUCT(--ISNUMBER(SEARCH(foreign,C232)))&gt;0)</f>
        <v>0</v>
      </c>
      <c r="Q232" s="14" cm="1">
        <f t="array" ref="Q232">INT(SUMPRODUCT(--ISNUMBER(SEARCH(gun,C232)))&gt;0)</f>
        <v>0</v>
      </c>
      <c r="R232" s="14" cm="1">
        <f t="array" ref="R232">INT(SUMPRODUCT(--ISNUMBER(SEARCH(race,C232)))&gt;0)</f>
        <v>0</v>
      </c>
      <c r="S232" s="14" cm="1">
        <f t="array" ref="S232">INT(SUMPRODUCT(--ISNUMBER(SEARCH(immigration,C232)))&gt;0)</f>
        <v>0</v>
      </c>
      <c r="T232" s="14" cm="1">
        <f t="array" ref="T232">INT(SUMPRODUCT(--ISNUMBER(SEARCH(econineq,C233)))&gt;0)</f>
        <v>0</v>
      </c>
      <c r="U232" s="14" cm="1">
        <f t="array" ref="U232">INT(SUMPRODUCT(--ISNUMBER(SEARCH(climate,C232)))&gt;0)</f>
        <v>0</v>
      </c>
      <c r="V232" s="14" cm="1">
        <f t="array" ref="V232">INT(SUMPRODUCT(--ISNUMBER(SEARCH(abortion,C232)))&gt;0)</f>
        <v>0</v>
      </c>
      <c r="W232" s="14" cm="1">
        <f t="array" ref="W232">INT(SUMPRODUCT(--ISNUMBER(SEARCH(trump,C232)))&gt;0)</f>
        <v>1</v>
      </c>
      <c r="X232" s="14" cm="1">
        <f t="array" ref="X232">INT(SUMPRODUCT(--ISNUMBER(SEARCH(voting,C232)))&gt;0)</f>
        <v>1</v>
      </c>
      <c r="Y232" s="35" cm="1">
        <f t="array" ref="Y232">INT(SUMPRODUCT(--ISNUMBER(SEARCH(republicantrigger,C232)))&gt;0)</f>
        <v>1</v>
      </c>
      <c r="Z232" s="35" cm="1">
        <f t="array" ref="Z232">INT(SUMPRODUCT(--ISNUMBER(SEARCH(bipartisan,C232)))&gt;0)</f>
        <v>0</v>
      </c>
      <c r="AA232" s="35">
        <f t="shared" si="3"/>
        <v>0</v>
      </c>
      <c r="AB232" s="14"/>
      <c r="AC232" s="30" t="s">
        <v>223</v>
      </c>
      <c r="AD232" s="37" t="s">
        <v>223</v>
      </c>
    </row>
    <row r="233" spans="1:30" x14ac:dyDescent="0.25">
      <c r="A233" s="36">
        <v>2739</v>
      </c>
      <c r="B233" s="14" t="s">
        <v>5503</v>
      </c>
      <c r="C233" s="14" t="s">
        <v>5504</v>
      </c>
      <c r="D233" s="17">
        <v>44113</v>
      </c>
      <c r="E233" s="14" t="s">
        <v>30</v>
      </c>
      <c r="F233" s="14">
        <v>192</v>
      </c>
      <c r="G233" s="14">
        <v>71</v>
      </c>
      <c r="H233" s="14">
        <v>12</v>
      </c>
      <c r="I233" s="14">
        <v>6</v>
      </c>
      <c r="J233" s="14" t="s">
        <v>31</v>
      </c>
      <c r="K233" s="14" cm="1">
        <f t="array" ref="K233">INT(SUMPRODUCT(--ISNUMBER(SEARCH(economy,C233)))&gt;0)</f>
        <v>0</v>
      </c>
      <c r="L233" s="14" cm="1">
        <f t="array" ref="L233">INT(SUMPRODUCT(--ISNUMBER(SEARCH(healthcare,C233)))&gt;0)</f>
        <v>0</v>
      </c>
      <c r="M233" s="14" cm="1">
        <f t="array" ref="M233">INT(SUMPRODUCT(--ISNUMBER(SEARCH(supreme,C233)))&gt;0)</f>
        <v>0</v>
      </c>
      <c r="N233" s="14" cm="1">
        <f t="array" ref="N233">INT(SUMPRODUCT(--ISNUMBER(SEARCH(covid,C233)))&gt;0)</f>
        <v>0</v>
      </c>
      <c r="O233" s="14" cm="1">
        <f t="array" ref="O233">INT(SUMPRODUCT(--ISNUMBER(SEARCH(violent,C233)))&gt;0)</f>
        <v>0</v>
      </c>
      <c r="P233" s="14" cm="1">
        <f t="array" ref="P233">INT(SUMPRODUCT(--ISNUMBER(SEARCH(foreign,C233)))&gt;0)</f>
        <v>0</v>
      </c>
      <c r="Q233" s="14" cm="1">
        <f t="array" ref="Q233">INT(SUMPRODUCT(--ISNUMBER(SEARCH(gun,C233)))&gt;0)</f>
        <v>0</v>
      </c>
      <c r="R233" s="14" cm="1">
        <f t="array" ref="R233">INT(SUMPRODUCT(--ISNUMBER(SEARCH(race,C233)))&gt;0)</f>
        <v>0</v>
      </c>
      <c r="S233" s="14" cm="1">
        <f t="array" ref="S233">INT(SUMPRODUCT(--ISNUMBER(SEARCH(immigration,C233)))&gt;0)</f>
        <v>0</v>
      </c>
      <c r="T233" s="14" cm="1">
        <f t="array" ref="T233">INT(SUMPRODUCT(--ISNUMBER(SEARCH(econineq,C234)))&gt;0)</f>
        <v>0</v>
      </c>
      <c r="U233" s="14" cm="1">
        <f t="array" ref="U233">INT(SUMPRODUCT(--ISNUMBER(SEARCH(climate,C233)))&gt;0)</f>
        <v>0</v>
      </c>
      <c r="V233" s="14" cm="1">
        <f t="array" ref="V233">INT(SUMPRODUCT(--ISNUMBER(SEARCH(abortion,C233)))&gt;0)</f>
        <v>0</v>
      </c>
      <c r="W233" s="14" cm="1">
        <f t="array" ref="W233">INT(SUMPRODUCT(--ISNUMBER(SEARCH(trump,C233)))&gt;0)</f>
        <v>0</v>
      </c>
      <c r="X233" s="14" cm="1">
        <f t="array" ref="X233">INT(SUMPRODUCT(--ISNUMBER(SEARCH(voting,C233)))&gt;0)</f>
        <v>1</v>
      </c>
      <c r="Y233" s="35" cm="1">
        <f t="array" ref="Y233">INT(SUMPRODUCT(--ISNUMBER(SEARCH(republicantrigger,C233)))&gt;0)</f>
        <v>1</v>
      </c>
      <c r="Z233" s="35" cm="1">
        <f t="array" ref="Z233">INT(SUMPRODUCT(--ISNUMBER(SEARCH(bipartisan,C233)))&gt;0)</f>
        <v>0</v>
      </c>
      <c r="AA233" s="35">
        <f t="shared" si="3"/>
        <v>0</v>
      </c>
      <c r="AB233" s="14"/>
      <c r="AC233" s="30" t="s">
        <v>223</v>
      </c>
      <c r="AD233" s="37" t="s">
        <v>223</v>
      </c>
    </row>
    <row r="234" spans="1:30" x14ac:dyDescent="0.25">
      <c r="A234" s="36">
        <v>2740</v>
      </c>
      <c r="B234" s="14" t="s">
        <v>5505</v>
      </c>
      <c r="C234" s="14" t="s">
        <v>5506</v>
      </c>
      <c r="D234" s="17">
        <v>44113</v>
      </c>
      <c r="E234" s="14" t="s">
        <v>30</v>
      </c>
      <c r="F234" s="14">
        <v>142</v>
      </c>
      <c r="G234" s="14">
        <v>69</v>
      </c>
      <c r="H234" s="14">
        <v>12</v>
      </c>
      <c r="I234" s="14">
        <v>6</v>
      </c>
      <c r="J234" s="14" t="s">
        <v>31</v>
      </c>
      <c r="K234" s="14" cm="1">
        <f t="array" ref="K234">INT(SUMPRODUCT(--ISNUMBER(SEARCH(economy,C234)))&gt;0)</f>
        <v>1</v>
      </c>
      <c r="L234" s="14" cm="1">
        <f t="array" ref="L234">INT(SUMPRODUCT(--ISNUMBER(SEARCH(healthcare,C234)))&gt;0)</f>
        <v>0</v>
      </c>
      <c r="M234" s="14" cm="1">
        <f t="array" ref="M234">INT(SUMPRODUCT(--ISNUMBER(SEARCH(supreme,C234)))&gt;0)</f>
        <v>1</v>
      </c>
      <c r="N234" s="14" cm="1">
        <f t="array" ref="N234">INT(SUMPRODUCT(--ISNUMBER(SEARCH(covid,C234)))&gt;0)</f>
        <v>0</v>
      </c>
      <c r="O234" s="14" cm="1">
        <f t="array" ref="O234">INT(SUMPRODUCT(--ISNUMBER(SEARCH(violent,C234)))&gt;0)</f>
        <v>0</v>
      </c>
      <c r="P234" s="14" cm="1">
        <f t="array" ref="P234">INT(SUMPRODUCT(--ISNUMBER(SEARCH(foreign,C234)))&gt;0)</f>
        <v>0</v>
      </c>
      <c r="Q234" s="14" cm="1">
        <f t="array" ref="Q234">INT(SUMPRODUCT(--ISNUMBER(SEARCH(gun,C234)))&gt;0)</f>
        <v>0</v>
      </c>
      <c r="R234" s="14" cm="1">
        <f t="array" ref="R234">INT(SUMPRODUCT(--ISNUMBER(SEARCH(race,C234)))&gt;0)</f>
        <v>0</v>
      </c>
      <c r="S234" s="14" cm="1">
        <f t="array" ref="S234">INT(SUMPRODUCT(--ISNUMBER(SEARCH(immigration,C234)))&gt;0)</f>
        <v>0</v>
      </c>
      <c r="T234" s="14" cm="1">
        <f t="array" ref="T234">INT(SUMPRODUCT(--ISNUMBER(SEARCH(econineq,C235)))&gt;0)</f>
        <v>0</v>
      </c>
      <c r="U234" s="14" cm="1">
        <f t="array" ref="U234">INT(SUMPRODUCT(--ISNUMBER(SEARCH(climate,C234)))&gt;0)</f>
        <v>0</v>
      </c>
      <c r="V234" s="14" cm="1">
        <f t="array" ref="V234">INT(SUMPRODUCT(--ISNUMBER(SEARCH(abortion,C234)))&gt;0)</f>
        <v>0</v>
      </c>
      <c r="W234" s="14" cm="1">
        <f t="array" ref="W234">INT(SUMPRODUCT(--ISNUMBER(SEARCH(trump,C234)))&gt;0)</f>
        <v>0</v>
      </c>
      <c r="X234" s="14" cm="1">
        <f t="array" ref="X234">INT(SUMPRODUCT(--ISNUMBER(SEARCH(voting,C234)))&gt;0)</f>
        <v>1</v>
      </c>
      <c r="Y234" s="35" cm="1">
        <f t="array" ref="Y234">INT(SUMPRODUCT(--ISNUMBER(SEARCH(republicantrigger,C234)))&gt;0)</f>
        <v>1</v>
      </c>
      <c r="Z234" s="35" cm="1">
        <f t="array" ref="Z234">INT(SUMPRODUCT(--ISNUMBER(SEARCH(bipartisan,C234)))&gt;0)</f>
        <v>0</v>
      </c>
      <c r="AA234" s="35">
        <f t="shared" si="3"/>
        <v>0</v>
      </c>
      <c r="AB234" s="14"/>
      <c r="AC234" s="30" t="s">
        <v>223</v>
      </c>
      <c r="AD234" s="37" t="s">
        <v>223</v>
      </c>
    </row>
    <row r="235" spans="1:30" x14ac:dyDescent="0.25">
      <c r="A235" s="36">
        <v>2741</v>
      </c>
      <c r="B235" s="14" t="s">
        <v>5507</v>
      </c>
      <c r="C235" s="14" t="s">
        <v>5508</v>
      </c>
      <c r="D235" s="17">
        <v>44113</v>
      </c>
      <c r="E235" s="14" t="s">
        <v>30</v>
      </c>
      <c r="F235" s="14">
        <v>91</v>
      </c>
      <c r="G235" s="14">
        <v>38</v>
      </c>
      <c r="H235" s="14">
        <v>12</v>
      </c>
      <c r="I235" s="14">
        <v>6</v>
      </c>
      <c r="J235" s="14" t="s">
        <v>31</v>
      </c>
      <c r="K235" s="14" cm="1">
        <f t="array" ref="K235">INT(SUMPRODUCT(--ISNUMBER(SEARCH(economy,C235)))&gt;0)</f>
        <v>0</v>
      </c>
      <c r="L235" s="14" cm="1">
        <f t="array" ref="L235">INT(SUMPRODUCT(--ISNUMBER(SEARCH(healthcare,C235)))&gt;0)</f>
        <v>0</v>
      </c>
      <c r="M235" s="14" cm="1">
        <f t="array" ref="M235">INT(SUMPRODUCT(--ISNUMBER(SEARCH(supreme,C235)))&gt;0)</f>
        <v>0</v>
      </c>
      <c r="N235" s="14" cm="1">
        <f t="array" ref="N235">INT(SUMPRODUCT(--ISNUMBER(SEARCH(covid,C235)))&gt;0)</f>
        <v>1</v>
      </c>
      <c r="O235" s="14" cm="1">
        <f t="array" ref="O235">INT(SUMPRODUCT(--ISNUMBER(SEARCH(violent,C235)))&gt;0)</f>
        <v>0</v>
      </c>
      <c r="P235" s="14" cm="1">
        <f t="array" ref="P235">INT(SUMPRODUCT(--ISNUMBER(SEARCH(foreign,C235)))&gt;0)</f>
        <v>0</v>
      </c>
      <c r="Q235" s="14" cm="1">
        <f t="array" ref="Q235">INT(SUMPRODUCT(--ISNUMBER(SEARCH(gun,C235)))&gt;0)</f>
        <v>0</v>
      </c>
      <c r="R235" s="14" cm="1">
        <f t="array" ref="R235">INT(SUMPRODUCT(--ISNUMBER(SEARCH(race,C235)))&gt;0)</f>
        <v>0</v>
      </c>
      <c r="S235" s="14" cm="1">
        <f t="array" ref="S235">INT(SUMPRODUCT(--ISNUMBER(SEARCH(immigration,C235)))&gt;0)</f>
        <v>0</v>
      </c>
      <c r="T235" s="14" cm="1">
        <f t="array" ref="T235">INT(SUMPRODUCT(--ISNUMBER(SEARCH(econineq,C236)))&gt;0)</f>
        <v>0</v>
      </c>
      <c r="U235" s="14" cm="1">
        <f t="array" ref="U235">INT(SUMPRODUCT(--ISNUMBER(SEARCH(climate,C235)))&gt;0)</f>
        <v>0</v>
      </c>
      <c r="V235" s="14" cm="1">
        <f t="array" ref="V235">INT(SUMPRODUCT(--ISNUMBER(SEARCH(abortion,C235)))&gt;0)</f>
        <v>0</v>
      </c>
      <c r="W235" s="14" cm="1">
        <f t="array" ref="W235">INT(SUMPRODUCT(--ISNUMBER(SEARCH(trump,C235)))&gt;0)</f>
        <v>0</v>
      </c>
      <c r="X235" s="14" cm="1">
        <f t="array" ref="X235">INT(SUMPRODUCT(--ISNUMBER(SEARCH(voting,C235)))&gt;0)</f>
        <v>1</v>
      </c>
      <c r="Y235" s="35" cm="1">
        <f t="array" ref="Y235">INT(SUMPRODUCT(--ISNUMBER(SEARCH(republicantrigger,C235)))&gt;0)</f>
        <v>1</v>
      </c>
      <c r="Z235" s="35" cm="1">
        <f t="array" ref="Z235">INT(SUMPRODUCT(--ISNUMBER(SEARCH(bipartisan,C235)))&gt;0)</f>
        <v>1</v>
      </c>
      <c r="AA235" s="35">
        <f t="shared" si="3"/>
        <v>0</v>
      </c>
      <c r="AB235" s="14"/>
      <c r="AC235" s="30" t="s">
        <v>223</v>
      </c>
      <c r="AD235" s="37" t="s">
        <v>223</v>
      </c>
    </row>
    <row r="236" spans="1:30" x14ac:dyDescent="0.25">
      <c r="A236" s="36">
        <v>2742</v>
      </c>
      <c r="B236" s="14" t="s">
        <v>5509</v>
      </c>
      <c r="C236" s="14" t="s">
        <v>5510</v>
      </c>
      <c r="D236" s="17">
        <v>44113</v>
      </c>
      <c r="E236" s="14" t="s">
        <v>30</v>
      </c>
      <c r="F236" s="14">
        <v>104</v>
      </c>
      <c r="G236" s="14">
        <v>57</v>
      </c>
      <c r="H236" s="14">
        <v>12</v>
      </c>
      <c r="I236" s="14">
        <v>6</v>
      </c>
      <c r="J236" s="14" t="s">
        <v>31</v>
      </c>
      <c r="K236" s="14" cm="1">
        <f t="array" ref="K236">INT(SUMPRODUCT(--ISNUMBER(SEARCH(economy,C236)))&gt;0)</f>
        <v>1</v>
      </c>
      <c r="L236" s="14" cm="1">
        <f t="array" ref="L236">INT(SUMPRODUCT(--ISNUMBER(SEARCH(healthcare,C236)))&gt;0)</f>
        <v>0</v>
      </c>
      <c r="M236" s="14" cm="1">
        <f t="array" ref="M236">INT(SUMPRODUCT(--ISNUMBER(SEARCH(supreme,C236)))&gt;0)</f>
        <v>0</v>
      </c>
      <c r="N236" s="14" cm="1">
        <f t="array" ref="N236">INT(SUMPRODUCT(--ISNUMBER(SEARCH(covid,C236)))&gt;0)</f>
        <v>1</v>
      </c>
      <c r="O236" s="14" cm="1">
        <f t="array" ref="O236">INT(SUMPRODUCT(--ISNUMBER(SEARCH(violent,C236)))&gt;0)</f>
        <v>0</v>
      </c>
      <c r="P236" s="14" cm="1">
        <f t="array" ref="P236">INT(SUMPRODUCT(--ISNUMBER(SEARCH(foreign,C236)))&gt;0)</f>
        <v>0</v>
      </c>
      <c r="Q236" s="14" cm="1">
        <f t="array" ref="Q236">INT(SUMPRODUCT(--ISNUMBER(SEARCH(gun,C236)))&gt;0)</f>
        <v>0</v>
      </c>
      <c r="R236" s="14" cm="1">
        <f t="array" ref="R236">INT(SUMPRODUCT(--ISNUMBER(SEARCH(race,C236)))&gt;0)</f>
        <v>0</v>
      </c>
      <c r="S236" s="14" cm="1">
        <f t="array" ref="S236">INT(SUMPRODUCT(--ISNUMBER(SEARCH(immigration,C236)))&gt;0)</f>
        <v>0</v>
      </c>
      <c r="T236" s="14" cm="1">
        <f t="array" ref="T236">INT(SUMPRODUCT(--ISNUMBER(SEARCH(econineq,C237)))&gt;0)</f>
        <v>0</v>
      </c>
      <c r="U236" s="14" cm="1">
        <f t="array" ref="U236">INT(SUMPRODUCT(--ISNUMBER(SEARCH(climate,C236)))&gt;0)</f>
        <v>0</v>
      </c>
      <c r="V236" s="14" cm="1">
        <f t="array" ref="V236">INT(SUMPRODUCT(--ISNUMBER(SEARCH(abortion,C236)))&gt;0)</f>
        <v>0</v>
      </c>
      <c r="W236" s="14" cm="1">
        <f t="array" ref="W236">INT(SUMPRODUCT(--ISNUMBER(SEARCH(trump,C236)))&gt;0)</f>
        <v>0</v>
      </c>
      <c r="X236" s="14" cm="1">
        <f t="array" ref="X236">INT(SUMPRODUCT(--ISNUMBER(SEARCH(voting,C236)))&gt;0)</f>
        <v>1</v>
      </c>
      <c r="Y236" s="35" cm="1">
        <f t="array" ref="Y236">INT(SUMPRODUCT(--ISNUMBER(SEARCH(republicantrigger,C236)))&gt;0)</f>
        <v>1</v>
      </c>
      <c r="Z236" s="35" cm="1">
        <f t="array" ref="Z236">INT(SUMPRODUCT(--ISNUMBER(SEARCH(bipartisan,C236)))&gt;0)</f>
        <v>0</v>
      </c>
      <c r="AA236" s="35">
        <f t="shared" si="3"/>
        <v>0</v>
      </c>
      <c r="AB236" s="14"/>
      <c r="AC236" s="30" t="s">
        <v>223</v>
      </c>
      <c r="AD236" s="37" t="s">
        <v>223</v>
      </c>
    </row>
    <row r="237" spans="1:30" x14ac:dyDescent="0.25">
      <c r="A237" s="36">
        <v>2743</v>
      </c>
      <c r="B237" s="14" t="s">
        <v>5511</v>
      </c>
      <c r="C237" s="14" t="s">
        <v>5512</v>
      </c>
      <c r="D237" s="17">
        <v>44112</v>
      </c>
      <c r="E237" s="14" t="s">
        <v>30</v>
      </c>
      <c r="F237" s="14">
        <v>171</v>
      </c>
      <c r="G237" s="14">
        <v>63</v>
      </c>
      <c r="H237" s="14">
        <v>12</v>
      </c>
      <c r="I237" s="14">
        <v>6</v>
      </c>
      <c r="J237" s="14" t="s">
        <v>31</v>
      </c>
      <c r="K237" s="14" cm="1">
        <f t="array" ref="K237">INT(SUMPRODUCT(--ISNUMBER(SEARCH(economy,C237)))&gt;0)</f>
        <v>0</v>
      </c>
      <c r="L237" s="14" cm="1">
        <f t="array" ref="L237">INT(SUMPRODUCT(--ISNUMBER(SEARCH(healthcare,C237)))&gt;0)</f>
        <v>0</v>
      </c>
      <c r="M237" s="14" cm="1">
        <f t="array" ref="M237">INT(SUMPRODUCT(--ISNUMBER(SEARCH(supreme,C237)))&gt;0)</f>
        <v>0</v>
      </c>
      <c r="N237" s="14" cm="1">
        <f t="array" ref="N237">INT(SUMPRODUCT(--ISNUMBER(SEARCH(covid,C237)))&gt;0)</f>
        <v>0</v>
      </c>
      <c r="O237" s="14" cm="1">
        <f t="array" ref="O237">INT(SUMPRODUCT(--ISNUMBER(SEARCH(violent,C237)))&gt;0)</f>
        <v>0</v>
      </c>
      <c r="P237" s="14" cm="1">
        <f t="array" ref="P237">INT(SUMPRODUCT(--ISNUMBER(SEARCH(foreign,C237)))&gt;0)</f>
        <v>0</v>
      </c>
      <c r="Q237" s="14" cm="1">
        <f t="array" ref="Q237">INT(SUMPRODUCT(--ISNUMBER(SEARCH(gun,C237)))&gt;0)</f>
        <v>0</v>
      </c>
      <c r="R237" s="14" cm="1">
        <f t="array" ref="R237">INT(SUMPRODUCT(--ISNUMBER(SEARCH(race,C237)))&gt;0)</f>
        <v>0</v>
      </c>
      <c r="S237" s="14" cm="1">
        <f t="array" ref="S237">INT(SUMPRODUCT(--ISNUMBER(SEARCH(immigration,C237)))&gt;0)</f>
        <v>0</v>
      </c>
      <c r="T237" s="14" cm="1">
        <f t="array" ref="T237">INT(SUMPRODUCT(--ISNUMBER(SEARCH(econineq,C238)))&gt;0)</f>
        <v>0</v>
      </c>
      <c r="U237" s="14" cm="1">
        <f t="array" ref="U237">INT(SUMPRODUCT(--ISNUMBER(SEARCH(climate,C237)))&gt;0)</f>
        <v>0</v>
      </c>
      <c r="V237" s="14" cm="1">
        <f t="array" ref="V237">INT(SUMPRODUCT(--ISNUMBER(SEARCH(abortion,C237)))&gt;0)</f>
        <v>0</v>
      </c>
      <c r="W237" s="14" cm="1">
        <f t="array" ref="W237">INT(SUMPRODUCT(--ISNUMBER(SEARCH(trump,C237)))&gt;0)</f>
        <v>0</v>
      </c>
      <c r="X237" s="14" cm="1">
        <f t="array" ref="X237">INT(SUMPRODUCT(--ISNUMBER(SEARCH(voting,C237)))&gt;0)</f>
        <v>1</v>
      </c>
      <c r="Y237" s="35" cm="1">
        <f t="array" ref="Y237">INT(SUMPRODUCT(--ISNUMBER(SEARCH(republicantrigger,C237)))&gt;0)</f>
        <v>1</v>
      </c>
      <c r="Z237" s="35" cm="1">
        <f t="array" ref="Z237">INT(SUMPRODUCT(--ISNUMBER(SEARCH(bipartisan,C237)))&gt;0)</f>
        <v>0</v>
      </c>
      <c r="AA237" s="35">
        <f t="shared" si="3"/>
        <v>0</v>
      </c>
      <c r="AB237" s="14"/>
      <c r="AC237" s="30" t="s">
        <v>223</v>
      </c>
      <c r="AD237" s="37" t="s">
        <v>223</v>
      </c>
    </row>
    <row r="238" spans="1:30" x14ac:dyDescent="0.25">
      <c r="A238" s="36">
        <v>2744</v>
      </c>
      <c r="B238" s="14" t="s">
        <v>5513</v>
      </c>
      <c r="C238" s="14" t="s">
        <v>5514</v>
      </c>
      <c r="D238" s="17">
        <v>44112</v>
      </c>
      <c r="E238" s="14" t="s">
        <v>30</v>
      </c>
      <c r="F238" s="14">
        <v>25</v>
      </c>
      <c r="G238" s="14">
        <v>14</v>
      </c>
      <c r="H238" s="14">
        <v>12</v>
      </c>
      <c r="I238" s="14">
        <v>6</v>
      </c>
      <c r="J238" s="14" t="s">
        <v>31</v>
      </c>
      <c r="K238" s="14" cm="1">
        <f t="array" ref="K238">INT(SUMPRODUCT(--ISNUMBER(SEARCH(economy,C238)))&gt;0)</f>
        <v>0</v>
      </c>
      <c r="L238" s="14" cm="1">
        <f t="array" ref="L238">INT(SUMPRODUCT(--ISNUMBER(SEARCH(healthcare,C238)))&gt;0)</f>
        <v>0</v>
      </c>
      <c r="M238" s="14" cm="1">
        <f t="array" ref="M238">INT(SUMPRODUCT(--ISNUMBER(SEARCH(supreme,C238)))&gt;0)</f>
        <v>0</v>
      </c>
      <c r="N238" s="14" cm="1">
        <f t="array" ref="N238">INT(SUMPRODUCT(--ISNUMBER(SEARCH(covid,C238)))&gt;0)</f>
        <v>0</v>
      </c>
      <c r="O238" s="14" cm="1">
        <f t="array" ref="O238">INT(SUMPRODUCT(--ISNUMBER(SEARCH(violent,C238)))&gt;0)</f>
        <v>0</v>
      </c>
      <c r="P238" s="14" cm="1">
        <f t="array" ref="P238">INT(SUMPRODUCT(--ISNUMBER(SEARCH(foreign,C238)))&gt;0)</f>
        <v>0</v>
      </c>
      <c r="Q238" s="14" cm="1">
        <f t="array" ref="Q238">INT(SUMPRODUCT(--ISNUMBER(SEARCH(gun,C238)))&gt;0)</f>
        <v>0</v>
      </c>
      <c r="R238" s="14" cm="1">
        <f t="array" ref="R238">INT(SUMPRODUCT(--ISNUMBER(SEARCH(race,C238)))&gt;0)</f>
        <v>0</v>
      </c>
      <c r="S238" s="14" cm="1">
        <f t="array" ref="S238">INT(SUMPRODUCT(--ISNUMBER(SEARCH(immigration,C238)))&gt;0)</f>
        <v>0</v>
      </c>
      <c r="T238" s="14" cm="1">
        <f t="array" ref="T238">INT(SUMPRODUCT(--ISNUMBER(SEARCH(econineq,C239)))&gt;0)</f>
        <v>0</v>
      </c>
      <c r="U238" s="14" cm="1">
        <f t="array" ref="U238">INT(SUMPRODUCT(--ISNUMBER(SEARCH(climate,C238)))&gt;0)</f>
        <v>0</v>
      </c>
      <c r="V238" s="14" cm="1">
        <f t="array" ref="V238">INT(SUMPRODUCT(--ISNUMBER(SEARCH(abortion,C238)))&gt;0)</f>
        <v>0</v>
      </c>
      <c r="W238" s="14" cm="1">
        <f t="array" ref="W238">INT(SUMPRODUCT(--ISNUMBER(SEARCH(trump,C238)))&gt;0)</f>
        <v>0</v>
      </c>
      <c r="X238" s="14" cm="1">
        <f t="array" ref="X238">INT(SUMPRODUCT(--ISNUMBER(SEARCH(voting,C238)))&gt;0)</f>
        <v>0</v>
      </c>
      <c r="Y238" s="35" cm="1">
        <f t="array" ref="Y238">INT(SUMPRODUCT(--ISNUMBER(SEARCH(republicantrigger,C238)))&gt;0)</f>
        <v>0</v>
      </c>
      <c r="Z238" s="35" cm="1">
        <f t="array" ref="Z238">INT(SUMPRODUCT(--ISNUMBER(SEARCH(bipartisan,C238)))&gt;0)</f>
        <v>0</v>
      </c>
      <c r="AA238" s="35">
        <f t="shared" si="3"/>
        <v>1</v>
      </c>
      <c r="AB238" s="14"/>
      <c r="AC238" s="30" t="s">
        <v>223</v>
      </c>
      <c r="AD238" s="37" t="s">
        <v>223</v>
      </c>
    </row>
    <row r="239" spans="1:30" x14ac:dyDescent="0.25">
      <c r="A239" s="36">
        <v>2745</v>
      </c>
      <c r="B239" s="14" t="s">
        <v>5515</v>
      </c>
      <c r="C239" s="14" t="s">
        <v>5516</v>
      </c>
      <c r="D239" s="17">
        <v>44112</v>
      </c>
      <c r="E239" s="14" t="s">
        <v>30</v>
      </c>
      <c r="F239" s="14">
        <v>89</v>
      </c>
      <c r="G239" s="14">
        <v>48</v>
      </c>
      <c r="H239" s="14">
        <v>12</v>
      </c>
      <c r="I239" s="14">
        <v>6</v>
      </c>
      <c r="J239" s="14" t="s">
        <v>31</v>
      </c>
      <c r="K239" s="14" cm="1">
        <f t="array" ref="K239">INT(SUMPRODUCT(--ISNUMBER(SEARCH(economy,C239)))&gt;0)</f>
        <v>1</v>
      </c>
      <c r="L239" s="14" cm="1">
        <f t="array" ref="L239">INT(SUMPRODUCT(--ISNUMBER(SEARCH(healthcare,C239)))&gt;0)</f>
        <v>0</v>
      </c>
      <c r="M239" s="14" cm="1">
        <f t="array" ref="M239">INT(SUMPRODUCT(--ISNUMBER(SEARCH(supreme,C239)))&gt;0)</f>
        <v>0</v>
      </c>
      <c r="N239" s="14" cm="1">
        <f t="array" ref="N239">INT(SUMPRODUCT(--ISNUMBER(SEARCH(covid,C239)))&gt;0)</f>
        <v>0</v>
      </c>
      <c r="O239" s="14" cm="1">
        <f t="array" ref="O239">INT(SUMPRODUCT(--ISNUMBER(SEARCH(violent,C239)))&gt;0)</f>
        <v>0</v>
      </c>
      <c r="P239" s="14" cm="1">
        <f t="array" ref="P239">INT(SUMPRODUCT(--ISNUMBER(SEARCH(foreign,C239)))&gt;0)</f>
        <v>0</v>
      </c>
      <c r="Q239" s="14" cm="1">
        <f t="array" ref="Q239">INT(SUMPRODUCT(--ISNUMBER(SEARCH(gun,C239)))&gt;0)</f>
        <v>0</v>
      </c>
      <c r="R239" s="14" cm="1">
        <f t="array" ref="R239">INT(SUMPRODUCT(--ISNUMBER(SEARCH(race,C239)))&gt;0)</f>
        <v>1</v>
      </c>
      <c r="S239" s="14" cm="1">
        <f t="array" ref="S239">INT(SUMPRODUCT(--ISNUMBER(SEARCH(immigration,C239)))&gt;0)</f>
        <v>0</v>
      </c>
      <c r="T239" s="14" cm="1">
        <f t="array" ref="T239">INT(SUMPRODUCT(--ISNUMBER(SEARCH(econineq,C240)))&gt;0)</f>
        <v>0</v>
      </c>
      <c r="U239" s="14" cm="1">
        <f t="array" ref="U239">INT(SUMPRODUCT(--ISNUMBER(SEARCH(climate,C239)))&gt;0)</f>
        <v>0</v>
      </c>
      <c r="V239" s="14" cm="1">
        <f t="array" ref="V239">INT(SUMPRODUCT(--ISNUMBER(SEARCH(abortion,C239)))&gt;0)</f>
        <v>0</v>
      </c>
      <c r="W239" s="14" cm="1">
        <f t="array" ref="W239">INT(SUMPRODUCT(--ISNUMBER(SEARCH(trump,C239)))&gt;0)</f>
        <v>0</v>
      </c>
      <c r="X239" s="14" cm="1">
        <f t="array" ref="X239">INT(SUMPRODUCT(--ISNUMBER(SEARCH(voting,C239)))&gt;0)</f>
        <v>0</v>
      </c>
      <c r="Y239" s="35" cm="1">
        <f t="array" ref="Y239">INT(SUMPRODUCT(--ISNUMBER(SEARCH(republicantrigger,C239)))&gt;0)</f>
        <v>1</v>
      </c>
      <c r="Z239" s="35" cm="1">
        <f t="array" ref="Z239">INT(SUMPRODUCT(--ISNUMBER(SEARCH(bipartisan,C239)))&gt;0)</f>
        <v>0</v>
      </c>
      <c r="AA239" s="35">
        <f t="shared" si="3"/>
        <v>0</v>
      </c>
      <c r="AB239" s="14"/>
      <c r="AC239" s="30" t="s">
        <v>223</v>
      </c>
      <c r="AD239" s="37" t="s">
        <v>223</v>
      </c>
    </row>
    <row r="240" spans="1:30" x14ac:dyDescent="0.25">
      <c r="A240" s="36">
        <v>2746</v>
      </c>
      <c r="B240" s="14" t="s">
        <v>5517</v>
      </c>
      <c r="C240" s="14" t="s">
        <v>5518</v>
      </c>
      <c r="D240" s="17">
        <v>44112</v>
      </c>
      <c r="E240" s="14" t="s">
        <v>30</v>
      </c>
      <c r="F240" s="14">
        <v>386</v>
      </c>
      <c r="G240" s="14">
        <v>116</v>
      </c>
      <c r="H240" s="14">
        <v>12</v>
      </c>
      <c r="I240" s="14">
        <v>6</v>
      </c>
      <c r="J240" s="14" t="s">
        <v>31</v>
      </c>
      <c r="K240" s="14" cm="1">
        <f t="array" ref="K240">INT(SUMPRODUCT(--ISNUMBER(SEARCH(economy,C240)))&gt;0)</f>
        <v>0</v>
      </c>
      <c r="L240" s="14" cm="1">
        <f t="array" ref="L240">INT(SUMPRODUCT(--ISNUMBER(SEARCH(healthcare,C240)))&gt;0)</f>
        <v>0</v>
      </c>
      <c r="M240" s="14" cm="1">
        <f t="array" ref="M240">INT(SUMPRODUCT(--ISNUMBER(SEARCH(supreme,C240)))&gt;0)</f>
        <v>0</v>
      </c>
      <c r="N240" s="14" cm="1">
        <f t="array" ref="N240">INT(SUMPRODUCT(--ISNUMBER(SEARCH(covid,C240)))&gt;0)</f>
        <v>0</v>
      </c>
      <c r="O240" s="14" cm="1">
        <f t="array" ref="O240">INT(SUMPRODUCT(--ISNUMBER(SEARCH(violent,C240)))&gt;0)</f>
        <v>0</v>
      </c>
      <c r="P240" s="14" cm="1">
        <f t="array" ref="P240">INT(SUMPRODUCT(--ISNUMBER(SEARCH(foreign,C240)))&gt;0)</f>
        <v>0</v>
      </c>
      <c r="Q240" s="14" cm="1">
        <f t="array" ref="Q240">INT(SUMPRODUCT(--ISNUMBER(SEARCH(gun,C240)))&gt;0)</f>
        <v>0</v>
      </c>
      <c r="R240" s="14" cm="1">
        <f t="array" ref="R240">INT(SUMPRODUCT(--ISNUMBER(SEARCH(race,C240)))&gt;0)</f>
        <v>1</v>
      </c>
      <c r="S240" s="14" cm="1">
        <f t="array" ref="S240">INT(SUMPRODUCT(--ISNUMBER(SEARCH(immigration,C240)))&gt;0)</f>
        <v>0</v>
      </c>
      <c r="T240" s="14" cm="1">
        <f t="array" ref="T240">INT(SUMPRODUCT(--ISNUMBER(SEARCH(econineq,C241)))&gt;0)</f>
        <v>0</v>
      </c>
      <c r="U240" s="14" cm="1">
        <f t="array" ref="U240">INT(SUMPRODUCT(--ISNUMBER(SEARCH(climate,C240)))&gt;0)</f>
        <v>0</v>
      </c>
      <c r="V240" s="14" cm="1">
        <f t="array" ref="V240">INT(SUMPRODUCT(--ISNUMBER(SEARCH(abortion,C240)))&gt;0)</f>
        <v>0</v>
      </c>
      <c r="W240" s="14" cm="1">
        <f t="array" ref="W240">INT(SUMPRODUCT(--ISNUMBER(SEARCH(trump,C240)))&gt;0)</f>
        <v>0</v>
      </c>
      <c r="X240" s="14" cm="1">
        <f t="array" ref="X240">INT(SUMPRODUCT(--ISNUMBER(SEARCH(voting,C240)))&gt;0)</f>
        <v>0</v>
      </c>
      <c r="Y240" s="35" cm="1">
        <f t="array" ref="Y240">INT(SUMPRODUCT(--ISNUMBER(SEARCH(republicantrigger,C240)))&gt;0)</f>
        <v>0</v>
      </c>
      <c r="Z240" s="35" cm="1">
        <f t="array" ref="Z240">INT(SUMPRODUCT(--ISNUMBER(SEARCH(bipartisan,C240)))&gt;0)</f>
        <v>0</v>
      </c>
      <c r="AA240" s="35">
        <f t="shared" si="3"/>
        <v>0</v>
      </c>
      <c r="AB240" s="14"/>
      <c r="AC240" s="30" t="s">
        <v>223</v>
      </c>
      <c r="AD240" s="37" t="s">
        <v>223</v>
      </c>
    </row>
    <row r="241" spans="1:30" x14ac:dyDescent="0.25">
      <c r="A241" s="36">
        <v>2747</v>
      </c>
      <c r="B241" s="14" t="s">
        <v>5519</v>
      </c>
      <c r="C241" s="14" t="s">
        <v>5520</v>
      </c>
      <c r="D241" s="17">
        <v>44112</v>
      </c>
      <c r="E241" s="14" t="s">
        <v>30</v>
      </c>
      <c r="F241" s="14">
        <v>55</v>
      </c>
      <c r="G241" s="14">
        <v>15</v>
      </c>
      <c r="H241" s="14">
        <v>12</v>
      </c>
      <c r="I241" s="14">
        <v>6</v>
      </c>
      <c r="J241" s="14" t="s">
        <v>31</v>
      </c>
      <c r="K241" s="14" cm="1">
        <f t="array" ref="K241">INT(SUMPRODUCT(--ISNUMBER(SEARCH(economy,C241)))&gt;0)</f>
        <v>0</v>
      </c>
      <c r="L241" s="14" cm="1">
        <f t="array" ref="L241">INT(SUMPRODUCT(--ISNUMBER(SEARCH(healthcare,C241)))&gt;0)</f>
        <v>0</v>
      </c>
      <c r="M241" s="14" cm="1">
        <f t="array" ref="M241">INT(SUMPRODUCT(--ISNUMBER(SEARCH(supreme,C241)))&gt;0)</f>
        <v>1</v>
      </c>
      <c r="N241" s="14" cm="1">
        <f t="array" ref="N241">INT(SUMPRODUCT(--ISNUMBER(SEARCH(covid,C241)))&gt;0)</f>
        <v>0</v>
      </c>
      <c r="O241" s="14" cm="1">
        <f t="array" ref="O241">INT(SUMPRODUCT(--ISNUMBER(SEARCH(violent,C241)))&gt;0)</f>
        <v>0</v>
      </c>
      <c r="P241" s="14" cm="1">
        <f t="array" ref="P241">INT(SUMPRODUCT(--ISNUMBER(SEARCH(foreign,C241)))&gt;0)</f>
        <v>0</v>
      </c>
      <c r="Q241" s="14" cm="1">
        <f t="array" ref="Q241">INT(SUMPRODUCT(--ISNUMBER(SEARCH(gun,C241)))&gt;0)</f>
        <v>0</v>
      </c>
      <c r="R241" s="14" cm="1">
        <f t="array" ref="R241">INT(SUMPRODUCT(--ISNUMBER(SEARCH(race,C241)))&gt;0)</f>
        <v>0</v>
      </c>
      <c r="S241" s="14" cm="1">
        <f t="array" ref="S241">INT(SUMPRODUCT(--ISNUMBER(SEARCH(immigration,C241)))&gt;0)</f>
        <v>0</v>
      </c>
      <c r="T241" s="14" cm="1">
        <f t="array" ref="T241">INT(SUMPRODUCT(--ISNUMBER(SEARCH(econineq,C242)))&gt;0)</f>
        <v>0</v>
      </c>
      <c r="U241" s="14" cm="1">
        <f t="array" ref="U241">INT(SUMPRODUCT(--ISNUMBER(SEARCH(climate,C241)))&gt;0)</f>
        <v>0</v>
      </c>
      <c r="V241" s="14" cm="1">
        <f t="array" ref="V241">INT(SUMPRODUCT(--ISNUMBER(SEARCH(abortion,C241)))&gt;0)</f>
        <v>1</v>
      </c>
      <c r="W241" s="14" cm="1">
        <f t="array" ref="W241">INT(SUMPRODUCT(--ISNUMBER(SEARCH(trump,C241)))&gt;0)</f>
        <v>0</v>
      </c>
      <c r="X241" s="14" cm="1">
        <f t="array" ref="X241">INT(SUMPRODUCT(--ISNUMBER(SEARCH(voting,C241)))&gt;0)</f>
        <v>0</v>
      </c>
      <c r="Y241" s="35" cm="1">
        <f t="array" ref="Y241">INT(SUMPRODUCT(--ISNUMBER(SEARCH(republicantrigger,C241)))&gt;0)</f>
        <v>0</v>
      </c>
      <c r="Z241" s="35" cm="1">
        <f t="array" ref="Z241">INT(SUMPRODUCT(--ISNUMBER(SEARCH(bipartisan,C241)))&gt;0)</f>
        <v>0</v>
      </c>
      <c r="AA241" s="35">
        <f t="shared" si="3"/>
        <v>0</v>
      </c>
      <c r="AB241" s="14"/>
      <c r="AC241" s="30" t="s">
        <v>223</v>
      </c>
      <c r="AD241" s="37" t="s">
        <v>223</v>
      </c>
    </row>
    <row r="242" spans="1:30" x14ac:dyDescent="0.25">
      <c r="A242" s="36">
        <v>2748</v>
      </c>
      <c r="B242" s="14" t="s">
        <v>5521</v>
      </c>
      <c r="C242" s="14" t="s">
        <v>5522</v>
      </c>
      <c r="D242" s="17">
        <v>44112</v>
      </c>
      <c r="E242" s="14" t="s">
        <v>30</v>
      </c>
      <c r="F242" s="14">
        <v>114</v>
      </c>
      <c r="G242" s="14">
        <v>33</v>
      </c>
      <c r="H242" s="14">
        <v>12</v>
      </c>
      <c r="I242" s="14">
        <v>6</v>
      </c>
      <c r="J242" s="14" t="s">
        <v>31</v>
      </c>
      <c r="K242" s="14" cm="1">
        <f t="array" ref="K242">INT(SUMPRODUCT(--ISNUMBER(SEARCH(economy,C242)))&gt;0)</f>
        <v>0</v>
      </c>
      <c r="L242" s="14" cm="1">
        <f t="array" ref="L242">INT(SUMPRODUCT(--ISNUMBER(SEARCH(healthcare,C242)))&gt;0)</f>
        <v>0</v>
      </c>
      <c r="M242" s="14" cm="1">
        <f t="array" ref="M242">INT(SUMPRODUCT(--ISNUMBER(SEARCH(supreme,C242)))&gt;0)</f>
        <v>1</v>
      </c>
      <c r="N242" s="14" cm="1">
        <f t="array" ref="N242">INT(SUMPRODUCT(--ISNUMBER(SEARCH(covid,C242)))&gt;0)</f>
        <v>0</v>
      </c>
      <c r="O242" s="14" cm="1">
        <f t="array" ref="O242">INT(SUMPRODUCT(--ISNUMBER(SEARCH(violent,C242)))&gt;0)</f>
        <v>0</v>
      </c>
      <c r="P242" s="14" cm="1">
        <f t="array" ref="P242">INT(SUMPRODUCT(--ISNUMBER(SEARCH(foreign,C242)))&gt;0)</f>
        <v>0</v>
      </c>
      <c r="Q242" s="14" cm="1">
        <f t="array" ref="Q242">INT(SUMPRODUCT(--ISNUMBER(SEARCH(gun,C242)))&gt;0)</f>
        <v>0</v>
      </c>
      <c r="R242" s="14" cm="1">
        <f t="array" ref="R242">INT(SUMPRODUCT(--ISNUMBER(SEARCH(race,C242)))&gt;0)</f>
        <v>0</v>
      </c>
      <c r="S242" s="14" cm="1">
        <f t="array" ref="S242">INT(SUMPRODUCT(--ISNUMBER(SEARCH(immigration,C242)))&gt;0)</f>
        <v>0</v>
      </c>
      <c r="T242" s="14" cm="1">
        <f t="array" ref="T242">INT(SUMPRODUCT(--ISNUMBER(SEARCH(econineq,C243)))&gt;0)</f>
        <v>0</v>
      </c>
      <c r="U242" s="14" cm="1">
        <f t="array" ref="U242">INT(SUMPRODUCT(--ISNUMBER(SEARCH(climate,C242)))&gt;0)</f>
        <v>0</v>
      </c>
      <c r="V242" s="14" cm="1">
        <f t="array" ref="V242">INT(SUMPRODUCT(--ISNUMBER(SEARCH(abortion,C242)))&gt;0)</f>
        <v>0</v>
      </c>
      <c r="W242" s="14" cm="1">
        <f t="array" ref="W242">INT(SUMPRODUCT(--ISNUMBER(SEARCH(trump,C242)))&gt;0)</f>
        <v>0</v>
      </c>
      <c r="X242" s="14" cm="1">
        <f t="array" ref="X242">INT(SUMPRODUCT(--ISNUMBER(SEARCH(voting,C242)))&gt;0)</f>
        <v>0</v>
      </c>
      <c r="Y242" s="35" cm="1">
        <f t="array" ref="Y242">INT(SUMPRODUCT(--ISNUMBER(SEARCH(republicantrigger,C242)))&gt;0)</f>
        <v>0</v>
      </c>
      <c r="Z242" s="35" cm="1">
        <f t="array" ref="Z242">INT(SUMPRODUCT(--ISNUMBER(SEARCH(bipartisan,C242)))&gt;0)</f>
        <v>0</v>
      </c>
      <c r="AA242" s="35">
        <f t="shared" si="3"/>
        <v>0</v>
      </c>
      <c r="AB242" s="14"/>
      <c r="AC242" s="30" t="s">
        <v>223</v>
      </c>
      <c r="AD242" s="37" t="s">
        <v>223</v>
      </c>
    </row>
    <row r="243" spans="1:30" x14ac:dyDescent="0.25">
      <c r="A243" s="36">
        <v>2749</v>
      </c>
      <c r="B243" s="14" t="s">
        <v>5523</v>
      </c>
      <c r="C243" s="14" t="s">
        <v>5524</v>
      </c>
      <c r="D243" s="17">
        <v>44112</v>
      </c>
      <c r="E243" s="14" t="s">
        <v>30</v>
      </c>
      <c r="F243" s="14">
        <v>49</v>
      </c>
      <c r="G243" s="14">
        <v>16</v>
      </c>
      <c r="H243" s="14">
        <v>12</v>
      </c>
      <c r="I243" s="14">
        <v>6</v>
      </c>
      <c r="J243" s="14" t="s">
        <v>31</v>
      </c>
      <c r="K243" s="14" cm="1">
        <f t="array" ref="K243">INT(SUMPRODUCT(--ISNUMBER(SEARCH(economy,C243)))&gt;0)</f>
        <v>0</v>
      </c>
      <c r="L243" s="14" cm="1">
        <f t="array" ref="L243">INT(SUMPRODUCT(--ISNUMBER(SEARCH(healthcare,C243)))&gt;0)</f>
        <v>0</v>
      </c>
      <c r="M243" s="14" cm="1">
        <f t="array" ref="M243">INT(SUMPRODUCT(--ISNUMBER(SEARCH(supreme,C243)))&gt;0)</f>
        <v>0</v>
      </c>
      <c r="N243" s="14" cm="1">
        <f t="array" ref="N243">INT(SUMPRODUCT(--ISNUMBER(SEARCH(covid,C243)))&gt;0)</f>
        <v>0</v>
      </c>
      <c r="O243" s="14" cm="1">
        <f t="array" ref="O243">INT(SUMPRODUCT(--ISNUMBER(SEARCH(violent,C243)))&gt;0)</f>
        <v>0</v>
      </c>
      <c r="P243" s="14" cm="1">
        <f t="array" ref="P243">INT(SUMPRODUCT(--ISNUMBER(SEARCH(foreign,C243)))&gt;0)</f>
        <v>0</v>
      </c>
      <c r="Q243" s="14" cm="1">
        <f t="array" ref="Q243">INT(SUMPRODUCT(--ISNUMBER(SEARCH(gun,C243)))&gt;0)</f>
        <v>0</v>
      </c>
      <c r="R243" s="14" cm="1">
        <f t="array" ref="R243">INT(SUMPRODUCT(--ISNUMBER(SEARCH(race,C243)))&gt;0)</f>
        <v>0</v>
      </c>
      <c r="S243" s="14" cm="1">
        <f t="array" ref="S243">INT(SUMPRODUCT(--ISNUMBER(SEARCH(immigration,C243)))&gt;0)</f>
        <v>0</v>
      </c>
      <c r="T243" s="14" cm="1">
        <f t="array" ref="T243">INT(SUMPRODUCT(--ISNUMBER(SEARCH(econineq,C244)))&gt;0)</f>
        <v>0</v>
      </c>
      <c r="U243" s="14" cm="1">
        <f t="array" ref="U243">INT(SUMPRODUCT(--ISNUMBER(SEARCH(climate,C243)))&gt;0)</f>
        <v>0</v>
      </c>
      <c r="V243" s="14" cm="1">
        <f t="array" ref="V243">INT(SUMPRODUCT(--ISNUMBER(SEARCH(abortion,C243)))&gt;0)</f>
        <v>0</v>
      </c>
      <c r="W243" s="14" cm="1">
        <f t="array" ref="W243">INT(SUMPRODUCT(--ISNUMBER(SEARCH(trump,C243)))&gt;0)</f>
        <v>0</v>
      </c>
      <c r="X243" s="14" cm="1">
        <f t="array" ref="X243">INT(SUMPRODUCT(--ISNUMBER(SEARCH(voting,C243)))&gt;0)</f>
        <v>0</v>
      </c>
      <c r="Y243" s="35" cm="1">
        <f t="array" ref="Y243">INT(SUMPRODUCT(--ISNUMBER(SEARCH(republicantrigger,C243)))&gt;0)</f>
        <v>1</v>
      </c>
      <c r="Z243" s="35" cm="1">
        <f t="array" ref="Z243">INT(SUMPRODUCT(--ISNUMBER(SEARCH(bipartisan,C243)))&gt;0)</f>
        <v>0</v>
      </c>
      <c r="AA243" s="35">
        <f t="shared" si="3"/>
        <v>0</v>
      </c>
      <c r="AB243" s="14"/>
      <c r="AC243" s="30" t="s">
        <v>223</v>
      </c>
      <c r="AD243" s="37" t="s">
        <v>223</v>
      </c>
    </row>
    <row r="244" spans="1:30" x14ac:dyDescent="0.25">
      <c r="A244" s="36">
        <v>2750</v>
      </c>
      <c r="B244" s="14" t="s">
        <v>5525</v>
      </c>
      <c r="C244" s="14" t="s">
        <v>5526</v>
      </c>
      <c r="D244" s="17">
        <v>44112</v>
      </c>
      <c r="E244" s="14" t="s">
        <v>30</v>
      </c>
      <c r="F244" s="14">
        <v>77</v>
      </c>
      <c r="G244" s="14">
        <v>20</v>
      </c>
      <c r="H244" s="14">
        <v>12</v>
      </c>
      <c r="I244" s="14">
        <v>6</v>
      </c>
      <c r="J244" s="14" t="s">
        <v>31</v>
      </c>
      <c r="K244" s="14" cm="1">
        <f t="array" ref="K244">INT(SUMPRODUCT(--ISNUMBER(SEARCH(economy,C244)))&gt;0)</f>
        <v>0</v>
      </c>
      <c r="L244" s="14" cm="1">
        <f t="array" ref="L244">INT(SUMPRODUCT(--ISNUMBER(SEARCH(healthcare,C244)))&gt;0)</f>
        <v>0</v>
      </c>
      <c r="M244" s="14" cm="1">
        <f t="array" ref="M244">INT(SUMPRODUCT(--ISNUMBER(SEARCH(supreme,C244)))&gt;0)</f>
        <v>0</v>
      </c>
      <c r="N244" s="14" cm="1">
        <f t="array" ref="N244">INT(SUMPRODUCT(--ISNUMBER(SEARCH(covid,C244)))&gt;0)</f>
        <v>0</v>
      </c>
      <c r="O244" s="14" cm="1">
        <f t="array" ref="O244">INT(SUMPRODUCT(--ISNUMBER(SEARCH(violent,C244)))&gt;0)</f>
        <v>0</v>
      </c>
      <c r="P244" s="14" cm="1">
        <f t="array" ref="P244">INT(SUMPRODUCT(--ISNUMBER(SEARCH(foreign,C244)))&gt;0)</f>
        <v>0</v>
      </c>
      <c r="Q244" s="14" cm="1">
        <f t="array" ref="Q244">INT(SUMPRODUCT(--ISNUMBER(SEARCH(gun,C244)))&gt;0)</f>
        <v>0</v>
      </c>
      <c r="R244" s="14" cm="1">
        <f t="array" ref="R244">INT(SUMPRODUCT(--ISNUMBER(SEARCH(race,C244)))&gt;0)</f>
        <v>0</v>
      </c>
      <c r="S244" s="14" cm="1">
        <f t="array" ref="S244">INT(SUMPRODUCT(--ISNUMBER(SEARCH(immigration,C244)))&gt;0)</f>
        <v>0</v>
      </c>
      <c r="T244" s="14" cm="1">
        <f t="array" ref="T244">INT(SUMPRODUCT(--ISNUMBER(SEARCH(econineq,C245)))&gt;0)</f>
        <v>0</v>
      </c>
      <c r="U244" s="14" cm="1">
        <f t="array" ref="U244">INT(SUMPRODUCT(--ISNUMBER(SEARCH(climate,C244)))&gt;0)</f>
        <v>1</v>
      </c>
      <c r="V244" s="14" cm="1">
        <f t="array" ref="V244">INT(SUMPRODUCT(--ISNUMBER(SEARCH(abortion,C244)))&gt;0)</f>
        <v>0</v>
      </c>
      <c r="W244" s="14" cm="1">
        <f t="array" ref="W244">INT(SUMPRODUCT(--ISNUMBER(SEARCH(trump,C244)))&gt;0)</f>
        <v>0</v>
      </c>
      <c r="X244" s="14" cm="1">
        <f t="array" ref="X244">INT(SUMPRODUCT(--ISNUMBER(SEARCH(voting,C244)))&gt;0)</f>
        <v>0</v>
      </c>
      <c r="Y244" s="35" cm="1">
        <f t="array" ref="Y244">INT(SUMPRODUCT(--ISNUMBER(SEARCH(republicantrigger,C244)))&gt;0)</f>
        <v>1</v>
      </c>
      <c r="Z244" s="35" cm="1">
        <f t="array" ref="Z244">INT(SUMPRODUCT(--ISNUMBER(SEARCH(bipartisan,C244)))&gt;0)</f>
        <v>0</v>
      </c>
      <c r="AA244" s="35">
        <f t="shared" si="3"/>
        <v>0</v>
      </c>
      <c r="AB244" s="14"/>
      <c r="AC244" s="30" t="s">
        <v>223</v>
      </c>
      <c r="AD244" s="37" t="s">
        <v>223</v>
      </c>
    </row>
    <row r="245" spans="1:30" x14ac:dyDescent="0.25">
      <c r="A245" s="36">
        <v>2751</v>
      </c>
      <c r="B245" s="14" t="s">
        <v>5527</v>
      </c>
      <c r="C245" s="14" t="s">
        <v>5528</v>
      </c>
      <c r="D245" s="17">
        <v>44111</v>
      </c>
      <c r="E245" s="14" t="s">
        <v>70</v>
      </c>
      <c r="F245" s="14">
        <v>39</v>
      </c>
      <c r="G245" s="14">
        <v>7</v>
      </c>
      <c r="H245" s="14">
        <v>12</v>
      </c>
      <c r="I245" s="14">
        <v>6</v>
      </c>
      <c r="J245" s="14" t="s">
        <v>31</v>
      </c>
      <c r="K245" s="14" cm="1">
        <f t="array" ref="K245">INT(SUMPRODUCT(--ISNUMBER(SEARCH(economy,C245)))&gt;0)</f>
        <v>0</v>
      </c>
      <c r="L245" s="14" cm="1">
        <f t="array" ref="L245">INT(SUMPRODUCT(--ISNUMBER(SEARCH(healthcare,C245)))&gt;0)</f>
        <v>0</v>
      </c>
      <c r="M245" s="14" cm="1">
        <f t="array" ref="M245">INT(SUMPRODUCT(--ISNUMBER(SEARCH(supreme,C245)))&gt;0)</f>
        <v>0</v>
      </c>
      <c r="N245" s="14" cm="1">
        <f t="array" ref="N245">INT(SUMPRODUCT(--ISNUMBER(SEARCH(covid,C245)))&gt;0)</f>
        <v>0</v>
      </c>
      <c r="O245" s="14" cm="1">
        <f t="array" ref="O245">INT(SUMPRODUCT(--ISNUMBER(SEARCH(violent,C245)))&gt;0)</f>
        <v>0</v>
      </c>
      <c r="P245" s="14" cm="1">
        <f t="array" ref="P245">INT(SUMPRODUCT(--ISNUMBER(SEARCH(foreign,C245)))&gt;0)</f>
        <v>0</v>
      </c>
      <c r="Q245" s="14" cm="1">
        <f t="array" ref="Q245">INT(SUMPRODUCT(--ISNUMBER(SEARCH(gun,C245)))&gt;0)</f>
        <v>0</v>
      </c>
      <c r="R245" s="14" cm="1">
        <f t="array" ref="R245">INT(SUMPRODUCT(--ISNUMBER(SEARCH(race,C245)))&gt;0)</f>
        <v>0</v>
      </c>
      <c r="S245" s="14" cm="1">
        <f t="array" ref="S245">INT(SUMPRODUCT(--ISNUMBER(SEARCH(immigration,C245)))&gt;0)</f>
        <v>0</v>
      </c>
      <c r="T245" s="14" cm="1">
        <f t="array" ref="T245">INT(SUMPRODUCT(--ISNUMBER(SEARCH(econineq,C246)))&gt;0)</f>
        <v>0</v>
      </c>
      <c r="U245" s="14" cm="1">
        <f t="array" ref="U245">INT(SUMPRODUCT(--ISNUMBER(SEARCH(climate,C245)))&gt;0)</f>
        <v>0</v>
      </c>
      <c r="V245" s="14" cm="1">
        <f t="array" ref="V245">INT(SUMPRODUCT(--ISNUMBER(SEARCH(abortion,C245)))&gt;0)</f>
        <v>0</v>
      </c>
      <c r="W245" s="14" cm="1">
        <f t="array" ref="W245">INT(SUMPRODUCT(--ISNUMBER(SEARCH(trump,C245)))&gt;0)</f>
        <v>1</v>
      </c>
      <c r="X245" s="14" cm="1">
        <f t="array" ref="X245">INT(SUMPRODUCT(--ISNUMBER(SEARCH(voting,C245)))&gt;0)</f>
        <v>0</v>
      </c>
      <c r="Y245" s="35" cm="1">
        <f t="array" ref="Y245">INT(SUMPRODUCT(--ISNUMBER(SEARCH(republicantrigger,C245)))&gt;0)</f>
        <v>0</v>
      </c>
      <c r="Z245" s="35" cm="1">
        <f t="array" ref="Z245">INT(SUMPRODUCT(--ISNUMBER(SEARCH(bipartisan,C245)))&gt;0)</f>
        <v>0</v>
      </c>
      <c r="AA245" s="35">
        <f t="shared" si="3"/>
        <v>0</v>
      </c>
      <c r="AB245" s="14"/>
      <c r="AC245" s="30" t="s">
        <v>223</v>
      </c>
      <c r="AD245" s="37" t="s">
        <v>223</v>
      </c>
    </row>
    <row r="246" spans="1:30" x14ac:dyDescent="0.25">
      <c r="A246" s="36">
        <v>2752</v>
      </c>
      <c r="B246" s="14" t="s">
        <v>5529</v>
      </c>
      <c r="C246" s="14" t="s">
        <v>5530</v>
      </c>
      <c r="D246" s="17">
        <v>44111</v>
      </c>
      <c r="E246" s="14" t="s">
        <v>30</v>
      </c>
      <c r="F246" s="14">
        <v>89</v>
      </c>
      <c r="G246" s="14">
        <v>25</v>
      </c>
      <c r="H246" s="14">
        <v>12</v>
      </c>
      <c r="I246" s="14">
        <v>6</v>
      </c>
      <c r="J246" s="14" t="s">
        <v>31</v>
      </c>
      <c r="K246" s="14" cm="1">
        <f t="array" ref="K246">INT(SUMPRODUCT(--ISNUMBER(SEARCH(economy,C246)))&gt;0)</f>
        <v>0</v>
      </c>
      <c r="L246" s="14" cm="1">
        <f t="array" ref="L246">INT(SUMPRODUCT(--ISNUMBER(SEARCH(healthcare,C246)))&gt;0)</f>
        <v>0</v>
      </c>
      <c r="M246" s="14" cm="1">
        <f t="array" ref="M246">INT(SUMPRODUCT(--ISNUMBER(SEARCH(supreme,C246)))&gt;0)</f>
        <v>0</v>
      </c>
      <c r="N246" s="14" cm="1">
        <f t="array" ref="N246">INT(SUMPRODUCT(--ISNUMBER(SEARCH(covid,C246)))&gt;0)</f>
        <v>1</v>
      </c>
      <c r="O246" s="14" cm="1">
        <f t="array" ref="O246">INT(SUMPRODUCT(--ISNUMBER(SEARCH(violent,C246)))&gt;0)</f>
        <v>0</v>
      </c>
      <c r="P246" s="14" cm="1">
        <f t="array" ref="P246">INT(SUMPRODUCT(--ISNUMBER(SEARCH(foreign,C246)))&gt;0)</f>
        <v>0</v>
      </c>
      <c r="Q246" s="14" cm="1">
        <f t="array" ref="Q246">INT(SUMPRODUCT(--ISNUMBER(SEARCH(gun,C246)))&gt;0)</f>
        <v>0</v>
      </c>
      <c r="R246" s="14" cm="1">
        <f t="array" ref="R246">INT(SUMPRODUCT(--ISNUMBER(SEARCH(race,C246)))&gt;0)</f>
        <v>0</v>
      </c>
      <c r="S246" s="14" cm="1">
        <f t="array" ref="S246">INT(SUMPRODUCT(--ISNUMBER(SEARCH(immigration,C246)))&gt;0)</f>
        <v>0</v>
      </c>
      <c r="T246" s="14" cm="1">
        <f t="array" ref="T246">INT(SUMPRODUCT(--ISNUMBER(SEARCH(econineq,C247)))&gt;0)</f>
        <v>0</v>
      </c>
      <c r="U246" s="14" cm="1">
        <f t="array" ref="U246">INT(SUMPRODUCT(--ISNUMBER(SEARCH(climate,C246)))&gt;0)</f>
        <v>0</v>
      </c>
      <c r="V246" s="14" cm="1">
        <f t="array" ref="V246">INT(SUMPRODUCT(--ISNUMBER(SEARCH(abortion,C246)))&gt;0)</f>
        <v>0</v>
      </c>
      <c r="W246" s="14" cm="1">
        <f t="array" ref="W246">INT(SUMPRODUCT(--ISNUMBER(SEARCH(trump,C246)))&gt;0)</f>
        <v>1</v>
      </c>
      <c r="X246" s="14" cm="1">
        <f t="array" ref="X246">INT(SUMPRODUCT(--ISNUMBER(SEARCH(voting,C246)))&gt;0)</f>
        <v>0</v>
      </c>
      <c r="Y246" s="35" cm="1">
        <f t="array" ref="Y246">INT(SUMPRODUCT(--ISNUMBER(SEARCH(republicantrigger,C246)))&gt;0)</f>
        <v>0</v>
      </c>
      <c r="Z246" s="35" cm="1">
        <f t="array" ref="Z246">INT(SUMPRODUCT(--ISNUMBER(SEARCH(bipartisan,C246)))&gt;0)</f>
        <v>0</v>
      </c>
      <c r="AA246" s="35">
        <f t="shared" si="3"/>
        <v>0</v>
      </c>
      <c r="AB246" s="14"/>
      <c r="AC246" s="30" t="s">
        <v>223</v>
      </c>
      <c r="AD246" s="37" t="s">
        <v>223</v>
      </c>
    </row>
    <row r="247" spans="1:30" x14ac:dyDescent="0.25">
      <c r="A247" s="36">
        <v>2753</v>
      </c>
      <c r="B247" s="14" t="s">
        <v>5531</v>
      </c>
      <c r="C247" s="14" t="s">
        <v>5532</v>
      </c>
      <c r="D247" s="17">
        <v>44111</v>
      </c>
      <c r="E247" s="14" t="s">
        <v>30</v>
      </c>
      <c r="F247" s="14">
        <v>72</v>
      </c>
      <c r="G247" s="14">
        <v>24</v>
      </c>
      <c r="H247" s="14">
        <v>12</v>
      </c>
      <c r="I247" s="14">
        <v>6</v>
      </c>
      <c r="J247" s="14" t="s">
        <v>31</v>
      </c>
      <c r="K247" s="14" cm="1">
        <f t="array" ref="K247">INT(SUMPRODUCT(--ISNUMBER(SEARCH(economy,C247)))&gt;0)</f>
        <v>0</v>
      </c>
      <c r="L247" s="14" cm="1">
        <f t="array" ref="L247">INT(SUMPRODUCT(--ISNUMBER(SEARCH(healthcare,C247)))&gt;0)</f>
        <v>0</v>
      </c>
      <c r="M247" s="14" cm="1">
        <f t="array" ref="M247">INT(SUMPRODUCT(--ISNUMBER(SEARCH(supreme,C247)))&gt;0)</f>
        <v>0</v>
      </c>
      <c r="N247" s="14" cm="1">
        <f t="array" ref="N247">INT(SUMPRODUCT(--ISNUMBER(SEARCH(covid,C247)))&gt;0)</f>
        <v>1</v>
      </c>
      <c r="O247" s="14" cm="1">
        <f t="array" ref="O247">INT(SUMPRODUCT(--ISNUMBER(SEARCH(violent,C247)))&gt;0)</f>
        <v>0</v>
      </c>
      <c r="P247" s="14" cm="1">
        <f t="array" ref="P247">INT(SUMPRODUCT(--ISNUMBER(SEARCH(foreign,C247)))&gt;0)</f>
        <v>0</v>
      </c>
      <c r="Q247" s="14" cm="1">
        <f t="array" ref="Q247">INT(SUMPRODUCT(--ISNUMBER(SEARCH(gun,C247)))&gt;0)</f>
        <v>0</v>
      </c>
      <c r="R247" s="14" cm="1">
        <f t="array" ref="R247">INT(SUMPRODUCT(--ISNUMBER(SEARCH(race,C247)))&gt;0)</f>
        <v>0</v>
      </c>
      <c r="S247" s="14" cm="1">
        <f t="array" ref="S247">INT(SUMPRODUCT(--ISNUMBER(SEARCH(immigration,C247)))&gt;0)</f>
        <v>0</v>
      </c>
      <c r="T247" s="14" cm="1">
        <f t="array" ref="T247">INT(SUMPRODUCT(--ISNUMBER(SEARCH(econineq,C248)))&gt;0)</f>
        <v>0</v>
      </c>
      <c r="U247" s="14" cm="1">
        <f t="array" ref="U247">INT(SUMPRODUCT(--ISNUMBER(SEARCH(climate,C247)))&gt;0)</f>
        <v>0</v>
      </c>
      <c r="V247" s="14" cm="1">
        <f t="array" ref="V247">INT(SUMPRODUCT(--ISNUMBER(SEARCH(abortion,C247)))&gt;0)</f>
        <v>0</v>
      </c>
      <c r="W247" s="14" cm="1">
        <f t="array" ref="W247">INT(SUMPRODUCT(--ISNUMBER(SEARCH(trump,C247)))&gt;0)</f>
        <v>0</v>
      </c>
      <c r="X247" s="14" cm="1">
        <f t="array" ref="X247">INT(SUMPRODUCT(--ISNUMBER(SEARCH(voting,C247)))&gt;0)</f>
        <v>0</v>
      </c>
      <c r="Y247" s="35" cm="1">
        <f t="array" ref="Y247">INT(SUMPRODUCT(--ISNUMBER(SEARCH(republicantrigger,C247)))&gt;0)</f>
        <v>0</v>
      </c>
      <c r="Z247" s="35" cm="1">
        <f t="array" ref="Z247">INT(SUMPRODUCT(--ISNUMBER(SEARCH(bipartisan,C247)))&gt;0)</f>
        <v>0</v>
      </c>
      <c r="AA247" s="35">
        <f t="shared" si="3"/>
        <v>0</v>
      </c>
      <c r="AB247" s="14"/>
      <c r="AC247" s="30">
        <v>1</v>
      </c>
      <c r="AD247" s="37">
        <v>0</v>
      </c>
    </row>
    <row r="248" spans="1:30" x14ac:dyDescent="0.25">
      <c r="A248" s="36">
        <v>2754</v>
      </c>
      <c r="B248" s="14" t="s">
        <v>5533</v>
      </c>
      <c r="C248" s="14" t="s">
        <v>5534</v>
      </c>
      <c r="D248" s="17">
        <v>44111</v>
      </c>
      <c r="E248" s="14" t="s">
        <v>30</v>
      </c>
      <c r="F248" s="14">
        <v>163</v>
      </c>
      <c r="G248" s="14">
        <v>70</v>
      </c>
      <c r="H248" s="14">
        <v>12</v>
      </c>
      <c r="I248" s="14">
        <v>6</v>
      </c>
      <c r="J248" s="14" t="s">
        <v>31</v>
      </c>
      <c r="K248" s="14" cm="1">
        <f t="array" ref="K248">INT(SUMPRODUCT(--ISNUMBER(SEARCH(economy,C248)))&gt;0)</f>
        <v>0</v>
      </c>
      <c r="L248" s="14" cm="1">
        <f t="array" ref="L248">INT(SUMPRODUCT(--ISNUMBER(SEARCH(healthcare,C248)))&gt;0)</f>
        <v>0</v>
      </c>
      <c r="M248" s="14" cm="1">
        <f t="array" ref="M248">INT(SUMPRODUCT(--ISNUMBER(SEARCH(supreme,C248)))&gt;0)</f>
        <v>0</v>
      </c>
      <c r="N248" s="14" cm="1">
        <f t="array" ref="N248">INT(SUMPRODUCT(--ISNUMBER(SEARCH(covid,C248)))&gt;0)</f>
        <v>1</v>
      </c>
      <c r="O248" s="14" cm="1">
        <f t="array" ref="O248">INT(SUMPRODUCT(--ISNUMBER(SEARCH(violent,C248)))&gt;0)</f>
        <v>0</v>
      </c>
      <c r="P248" s="14" cm="1">
        <f t="array" ref="P248">INT(SUMPRODUCT(--ISNUMBER(SEARCH(foreign,C248)))&gt;0)</f>
        <v>0</v>
      </c>
      <c r="Q248" s="14" cm="1">
        <f t="array" ref="Q248">INT(SUMPRODUCT(--ISNUMBER(SEARCH(gun,C248)))&gt;0)</f>
        <v>0</v>
      </c>
      <c r="R248" s="14" cm="1">
        <f t="array" ref="R248">INT(SUMPRODUCT(--ISNUMBER(SEARCH(race,C248)))&gt;0)</f>
        <v>0</v>
      </c>
      <c r="S248" s="14" cm="1">
        <f t="array" ref="S248">INT(SUMPRODUCT(--ISNUMBER(SEARCH(immigration,C248)))&gt;0)</f>
        <v>0</v>
      </c>
      <c r="T248" s="14" cm="1">
        <f t="array" ref="T248">INT(SUMPRODUCT(--ISNUMBER(SEARCH(econineq,C249)))&gt;0)</f>
        <v>0</v>
      </c>
      <c r="U248" s="14" cm="1">
        <f t="array" ref="U248">INT(SUMPRODUCT(--ISNUMBER(SEARCH(climate,C248)))&gt;0)</f>
        <v>0</v>
      </c>
      <c r="V248" s="14" cm="1">
        <f t="array" ref="V248">INT(SUMPRODUCT(--ISNUMBER(SEARCH(abortion,C248)))&gt;0)</f>
        <v>0</v>
      </c>
      <c r="W248" s="14" cm="1">
        <f t="array" ref="W248">INT(SUMPRODUCT(--ISNUMBER(SEARCH(trump,C248)))&gt;0)</f>
        <v>0</v>
      </c>
      <c r="X248" s="14" cm="1">
        <f t="array" ref="X248">INT(SUMPRODUCT(--ISNUMBER(SEARCH(voting,C248)))&gt;0)</f>
        <v>0</v>
      </c>
      <c r="Y248" s="35" cm="1">
        <f t="array" ref="Y248">INT(SUMPRODUCT(--ISNUMBER(SEARCH(republicantrigger,C248)))&gt;0)</f>
        <v>1</v>
      </c>
      <c r="Z248" s="35" cm="1">
        <f t="array" ref="Z248">INT(SUMPRODUCT(--ISNUMBER(SEARCH(bipartisan,C248)))&gt;0)</f>
        <v>0</v>
      </c>
      <c r="AA248" s="35">
        <f t="shared" si="3"/>
        <v>0</v>
      </c>
      <c r="AB248" s="14"/>
      <c r="AC248" s="30">
        <v>1</v>
      </c>
      <c r="AD248" s="37">
        <v>0</v>
      </c>
    </row>
    <row r="249" spans="1:30" x14ac:dyDescent="0.25">
      <c r="A249" s="36">
        <v>2755</v>
      </c>
      <c r="B249" s="14" t="s">
        <v>5535</v>
      </c>
      <c r="C249" s="14" t="s">
        <v>5536</v>
      </c>
      <c r="D249" s="17">
        <v>44111</v>
      </c>
      <c r="E249" s="14" t="s">
        <v>30</v>
      </c>
      <c r="F249" s="14">
        <v>70</v>
      </c>
      <c r="G249" s="14">
        <v>22</v>
      </c>
      <c r="H249" s="14">
        <v>12</v>
      </c>
      <c r="I249" s="14">
        <v>6</v>
      </c>
      <c r="J249" s="14" t="s">
        <v>31</v>
      </c>
      <c r="K249" s="14" cm="1">
        <f t="array" ref="K249">INT(SUMPRODUCT(--ISNUMBER(SEARCH(economy,C249)))&gt;0)</f>
        <v>0</v>
      </c>
      <c r="L249" s="14" cm="1">
        <f t="array" ref="L249">INT(SUMPRODUCT(--ISNUMBER(SEARCH(healthcare,C249)))&gt;0)</f>
        <v>0</v>
      </c>
      <c r="M249" s="14" cm="1">
        <f t="array" ref="M249">INT(SUMPRODUCT(--ISNUMBER(SEARCH(supreme,C249)))&gt;0)</f>
        <v>0</v>
      </c>
      <c r="N249" s="14" cm="1">
        <f t="array" ref="N249">INT(SUMPRODUCT(--ISNUMBER(SEARCH(covid,C249)))&gt;0)</f>
        <v>0</v>
      </c>
      <c r="O249" s="14" cm="1">
        <f t="array" ref="O249">INT(SUMPRODUCT(--ISNUMBER(SEARCH(violent,C249)))&gt;0)</f>
        <v>0</v>
      </c>
      <c r="P249" s="14" cm="1">
        <f t="array" ref="P249">INT(SUMPRODUCT(--ISNUMBER(SEARCH(foreign,C249)))&gt;0)</f>
        <v>0</v>
      </c>
      <c r="Q249" s="14" cm="1">
        <f t="array" ref="Q249">INT(SUMPRODUCT(--ISNUMBER(SEARCH(gun,C249)))&gt;0)</f>
        <v>0</v>
      </c>
      <c r="R249" s="14" cm="1">
        <f t="array" ref="R249">INT(SUMPRODUCT(--ISNUMBER(SEARCH(race,C249)))&gt;0)</f>
        <v>1</v>
      </c>
      <c r="S249" s="14" cm="1">
        <f t="array" ref="S249">INT(SUMPRODUCT(--ISNUMBER(SEARCH(immigration,C249)))&gt;0)</f>
        <v>0</v>
      </c>
      <c r="T249" s="14" cm="1">
        <f t="array" ref="T249">INT(SUMPRODUCT(--ISNUMBER(SEARCH(econineq,C250)))&gt;0)</f>
        <v>0</v>
      </c>
      <c r="U249" s="14" cm="1">
        <f t="array" ref="U249">INT(SUMPRODUCT(--ISNUMBER(SEARCH(climate,C249)))&gt;0)</f>
        <v>0</v>
      </c>
      <c r="V249" s="14" cm="1">
        <f t="array" ref="V249">INT(SUMPRODUCT(--ISNUMBER(SEARCH(abortion,C249)))&gt;0)</f>
        <v>0</v>
      </c>
      <c r="W249" s="14" cm="1">
        <f t="array" ref="W249">INT(SUMPRODUCT(--ISNUMBER(SEARCH(trump,C249)))&gt;0)</f>
        <v>0</v>
      </c>
      <c r="X249" s="14" cm="1">
        <f t="array" ref="X249">INT(SUMPRODUCT(--ISNUMBER(SEARCH(voting,C249)))&gt;0)</f>
        <v>0</v>
      </c>
      <c r="Y249" s="35" cm="1">
        <f t="array" ref="Y249">INT(SUMPRODUCT(--ISNUMBER(SEARCH(republicantrigger,C249)))&gt;0)</f>
        <v>1</v>
      </c>
      <c r="Z249" s="35" cm="1">
        <f t="array" ref="Z249">INT(SUMPRODUCT(--ISNUMBER(SEARCH(bipartisan,C249)))&gt;0)</f>
        <v>0</v>
      </c>
      <c r="AA249" s="35">
        <f t="shared" si="3"/>
        <v>0</v>
      </c>
      <c r="AB249" s="14"/>
      <c r="AC249" s="30">
        <v>1</v>
      </c>
      <c r="AD249" s="37">
        <v>0</v>
      </c>
    </row>
    <row r="250" spans="1:30" x14ac:dyDescent="0.25">
      <c r="A250" s="36">
        <v>2756</v>
      </c>
      <c r="B250" s="14" t="s">
        <v>5537</v>
      </c>
      <c r="C250" s="14" t="s">
        <v>5538</v>
      </c>
      <c r="D250" s="17">
        <v>44110</v>
      </c>
      <c r="E250" s="14" t="s">
        <v>30</v>
      </c>
      <c r="F250" s="14">
        <v>116</v>
      </c>
      <c r="G250" s="14">
        <v>54</v>
      </c>
      <c r="H250" s="14">
        <v>12</v>
      </c>
      <c r="I250" s="14">
        <v>6</v>
      </c>
      <c r="J250" s="14" t="s">
        <v>31</v>
      </c>
      <c r="K250" s="14" cm="1">
        <f t="array" ref="K250">INT(SUMPRODUCT(--ISNUMBER(SEARCH(economy,C250)))&gt;0)</f>
        <v>0</v>
      </c>
      <c r="L250" s="14" cm="1">
        <f t="array" ref="L250">INT(SUMPRODUCT(--ISNUMBER(SEARCH(healthcare,C250)))&gt;0)</f>
        <v>0</v>
      </c>
      <c r="M250" s="14" cm="1">
        <f t="array" ref="M250">INT(SUMPRODUCT(--ISNUMBER(SEARCH(supreme,C250)))&gt;0)</f>
        <v>0</v>
      </c>
      <c r="N250" s="14" cm="1">
        <f t="array" ref="N250">INT(SUMPRODUCT(--ISNUMBER(SEARCH(covid,C250)))&gt;0)</f>
        <v>1</v>
      </c>
      <c r="O250" s="14" cm="1">
        <f t="array" ref="O250">INT(SUMPRODUCT(--ISNUMBER(SEARCH(violent,C250)))&gt;0)</f>
        <v>0</v>
      </c>
      <c r="P250" s="14" cm="1">
        <f t="array" ref="P250">INT(SUMPRODUCT(--ISNUMBER(SEARCH(foreign,C250)))&gt;0)</f>
        <v>0</v>
      </c>
      <c r="Q250" s="14" cm="1">
        <f t="array" ref="Q250">INT(SUMPRODUCT(--ISNUMBER(SEARCH(gun,C250)))&gt;0)</f>
        <v>0</v>
      </c>
      <c r="R250" s="14" cm="1">
        <f t="array" ref="R250">INT(SUMPRODUCT(--ISNUMBER(SEARCH(race,C250)))&gt;0)</f>
        <v>0</v>
      </c>
      <c r="S250" s="14" cm="1">
        <f t="array" ref="S250">INT(SUMPRODUCT(--ISNUMBER(SEARCH(immigration,C250)))&gt;0)</f>
        <v>0</v>
      </c>
      <c r="T250" s="14" cm="1">
        <f t="array" ref="T250">INT(SUMPRODUCT(--ISNUMBER(SEARCH(econineq,C251)))&gt;0)</f>
        <v>0</v>
      </c>
      <c r="U250" s="14" cm="1">
        <f t="array" ref="U250">INT(SUMPRODUCT(--ISNUMBER(SEARCH(climate,C250)))&gt;0)</f>
        <v>0</v>
      </c>
      <c r="V250" s="14" cm="1">
        <f t="array" ref="V250">INT(SUMPRODUCT(--ISNUMBER(SEARCH(abortion,C250)))&gt;0)</f>
        <v>0</v>
      </c>
      <c r="W250" s="14" cm="1">
        <f t="array" ref="W250">INT(SUMPRODUCT(--ISNUMBER(SEARCH(trump,C250)))&gt;0)</f>
        <v>1</v>
      </c>
      <c r="X250" s="14" cm="1">
        <f t="array" ref="X250">INT(SUMPRODUCT(--ISNUMBER(SEARCH(voting,C250)))&gt;0)</f>
        <v>1</v>
      </c>
      <c r="Y250" s="35" cm="1">
        <f t="array" ref="Y250">INT(SUMPRODUCT(--ISNUMBER(SEARCH(republicantrigger,C250)))&gt;0)</f>
        <v>0</v>
      </c>
      <c r="Z250" s="35" cm="1">
        <f t="array" ref="Z250">INT(SUMPRODUCT(--ISNUMBER(SEARCH(bipartisan,C250)))&gt;0)</f>
        <v>0</v>
      </c>
      <c r="AA250" s="35">
        <f t="shared" si="3"/>
        <v>0</v>
      </c>
      <c r="AB250" s="14"/>
      <c r="AC250" s="30" t="s">
        <v>223</v>
      </c>
      <c r="AD250" s="37" t="s">
        <v>223</v>
      </c>
    </row>
    <row r="251" spans="1:30" x14ac:dyDescent="0.25">
      <c r="A251" s="36">
        <v>2757</v>
      </c>
      <c r="B251" s="14" t="s">
        <v>5539</v>
      </c>
      <c r="C251" s="14" t="s">
        <v>5540</v>
      </c>
      <c r="D251" s="17">
        <v>44110</v>
      </c>
      <c r="E251" s="14" t="s">
        <v>30</v>
      </c>
      <c r="F251" s="14">
        <v>170</v>
      </c>
      <c r="G251" s="14">
        <v>76</v>
      </c>
      <c r="H251" s="14">
        <v>12</v>
      </c>
      <c r="I251" s="14">
        <v>6</v>
      </c>
      <c r="J251" s="14" t="s">
        <v>31</v>
      </c>
      <c r="K251" s="14" cm="1">
        <f t="array" ref="K251">INT(SUMPRODUCT(--ISNUMBER(SEARCH(economy,C251)))&gt;0)</f>
        <v>0</v>
      </c>
      <c r="L251" s="14" cm="1">
        <f t="array" ref="L251">INT(SUMPRODUCT(--ISNUMBER(SEARCH(healthcare,C251)))&gt;0)</f>
        <v>0</v>
      </c>
      <c r="M251" s="14" cm="1">
        <f t="array" ref="M251">INT(SUMPRODUCT(--ISNUMBER(SEARCH(supreme,C251)))&gt;0)</f>
        <v>0</v>
      </c>
      <c r="N251" s="14" cm="1">
        <f t="array" ref="N251">INT(SUMPRODUCT(--ISNUMBER(SEARCH(covid,C251)))&gt;0)</f>
        <v>1</v>
      </c>
      <c r="O251" s="14" cm="1">
        <f t="array" ref="O251">INT(SUMPRODUCT(--ISNUMBER(SEARCH(violent,C251)))&gt;0)</f>
        <v>1</v>
      </c>
      <c r="P251" s="14" cm="1">
        <f t="array" ref="P251">INT(SUMPRODUCT(--ISNUMBER(SEARCH(foreign,C251)))&gt;0)</f>
        <v>0</v>
      </c>
      <c r="Q251" s="14" cm="1">
        <f t="array" ref="Q251">INT(SUMPRODUCT(--ISNUMBER(SEARCH(gun,C251)))&gt;0)</f>
        <v>0</v>
      </c>
      <c r="R251" s="14" cm="1">
        <f t="array" ref="R251">INT(SUMPRODUCT(--ISNUMBER(SEARCH(race,C251)))&gt;0)</f>
        <v>0</v>
      </c>
      <c r="S251" s="14" cm="1">
        <f t="array" ref="S251">INT(SUMPRODUCT(--ISNUMBER(SEARCH(immigration,C251)))&gt;0)</f>
        <v>0</v>
      </c>
      <c r="T251" s="14" cm="1">
        <f t="array" ref="T251">INT(SUMPRODUCT(--ISNUMBER(SEARCH(econineq,C252)))&gt;0)</f>
        <v>1</v>
      </c>
      <c r="U251" s="14" cm="1">
        <f t="array" ref="U251">INT(SUMPRODUCT(--ISNUMBER(SEARCH(climate,C251)))&gt;0)</f>
        <v>0</v>
      </c>
      <c r="V251" s="14" cm="1">
        <f t="array" ref="V251">INT(SUMPRODUCT(--ISNUMBER(SEARCH(abortion,C251)))&gt;0)</f>
        <v>0</v>
      </c>
      <c r="W251" s="14" cm="1">
        <f t="array" ref="W251">INT(SUMPRODUCT(--ISNUMBER(SEARCH(trump,C251)))&gt;0)</f>
        <v>0</v>
      </c>
      <c r="X251" s="14" cm="1">
        <f t="array" ref="X251">INT(SUMPRODUCT(--ISNUMBER(SEARCH(voting,C251)))&gt;0)</f>
        <v>0</v>
      </c>
      <c r="Y251" s="35" cm="1">
        <f t="array" ref="Y251">INT(SUMPRODUCT(--ISNUMBER(SEARCH(republicantrigger,C251)))&gt;0)</f>
        <v>0</v>
      </c>
      <c r="Z251" s="35" cm="1">
        <f t="array" ref="Z251">INT(SUMPRODUCT(--ISNUMBER(SEARCH(bipartisan,C251)))&gt;0)</f>
        <v>0</v>
      </c>
      <c r="AA251" s="35">
        <f t="shared" si="3"/>
        <v>0</v>
      </c>
      <c r="AB251" s="14"/>
      <c r="AC251" s="30" t="s">
        <v>223</v>
      </c>
      <c r="AD251" s="37" t="s">
        <v>223</v>
      </c>
    </row>
    <row r="252" spans="1:30" x14ac:dyDescent="0.25">
      <c r="A252" s="36">
        <v>2758</v>
      </c>
      <c r="B252" s="14" t="s">
        <v>5541</v>
      </c>
      <c r="C252" s="14" t="s">
        <v>5542</v>
      </c>
      <c r="D252" s="17">
        <v>44110</v>
      </c>
      <c r="E252" s="14" t="s">
        <v>30</v>
      </c>
      <c r="F252" s="14">
        <v>203</v>
      </c>
      <c r="G252" s="14">
        <v>87</v>
      </c>
      <c r="H252" s="14">
        <v>12</v>
      </c>
      <c r="I252" s="14">
        <v>6</v>
      </c>
      <c r="J252" s="14" t="s">
        <v>31</v>
      </c>
      <c r="K252" s="14" cm="1">
        <f t="array" ref="K252">INT(SUMPRODUCT(--ISNUMBER(SEARCH(economy,C252)))&gt;0)</f>
        <v>1</v>
      </c>
      <c r="L252" s="14" cm="1">
        <f t="array" ref="L252">INT(SUMPRODUCT(--ISNUMBER(SEARCH(healthcare,C252)))&gt;0)</f>
        <v>0</v>
      </c>
      <c r="M252" s="14" cm="1">
        <f t="array" ref="M252">INT(SUMPRODUCT(--ISNUMBER(SEARCH(supreme,C252)))&gt;0)</f>
        <v>0</v>
      </c>
      <c r="N252" s="14" cm="1">
        <f t="array" ref="N252">INT(SUMPRODUCT(--ISNUMBER(SEARCH(covid,C252)))&gt;0)</f>
        <v>0</v>
      </c>
      <c r="O252" s="14" cm="1">
        <f t="array" ref="O252">INT(SUMPRODUCT(--ISNUMBER(SEARCH(violent,C252)))&gt;0)</f>
        <v>0</v>
      </c>
      <c r="P252" s="14" cm="1">
        <f t="array" ref="P252">INT(SUMPRODUCT(--ISNUMBER(SEARCH(foreign,C252)))&gt;0)</f>
        <v>0</v>
      </c>
      <c r="Q252" s="14" cm="1">
        <f t="array" ref="Q252">INT(SUMPRODUCT(--ISNUMBER(SEARCH(gun,C252)))&gt;0)</f>
        <v>0</v>
      </c>
      <c r="R252" s="14" cm="1">
        <f t="array" ref="R252">INT(SUMPRODUCT(--ISNUMBER(SEARCH(race,C252)))&gt;0)</f>
        <v>0</v>
      </c>
      <c r="S252" s="14" cm="1">
        <f t="array" ref="S252">INT(SUMPRODUCT(--ISNUMBER(SEARCH(immigration,C252)))&gt;0)</f>
        <v>0</v>
      </c>
      <c r="T252" s="14" cm="1">
        <f t="array" ref="T252">INT(SUMPRODUCT(--ISNUMBER(SEARCH(econineq,C253)))&gt;0)</f>
        <v>0</v>
      </c>
      <c r="U252" s="14" cm="1">
        <f t="array" ref="U252">INT(SUMPRODUCT(--ISNUMBER(SEARCH(climate,C252)))&gt;0)</f>
        <v>0</v>
      </c>
      <c r="V252" s="14" cm="1">
        <f t="array" ref="V252">INT(SUMPRODUCT(--ISNUMBER(SEARCH(abortion,C252)))&gt;0)</f>
        <v>0</v>
      </c>
      <c r="W252" s="14" cm="1">
        <f t="array" ref="W252">INT(SUMPRODUCT(--ISNUMBER(SEARCH(trump,C252)))&gt;0)</f>
        <v>0</v>
      </c>
      <c r="X252" s="14" cm="1">
        <f t="array" ref="X252">INT(SUMPRODUCT(--ISNUMBER(SEARCH(voting,C252)))&gt;0)</f>
        <v>0</v>
      </c>
      <c r="Y252" s="35" cm="1">
        <f t="array" ref="Y252">INT(SUMPRODUCT(--ISNUMBER(SEARCH(republicantrigger,C252)))&gt;0)</f>
        <v>1</v>
      </c>
      <c r="Z252" s="35" cm="1">
        <f t="array" ref="Z252">INT(SUMPRODUCT(--ISNUMBER(SEARCH(bipartisan,C252)))&gt;0)</f>
        <v>0</v>
      </c>
      <c r="AA252" s="35">
        <f t="shared" si="3"/>
        <v>0</v>
      </c>
      <c r="AB252" s="14"/>
      <c r="AC252" s="30" t="s">
        <v>223</v>
      </c>
      <c r="AD252" s="37" t="s">
        <v>223</v>
      </c>
    </row>
    <row r="253" spans="1:30" x14ac:dyDescent="0.25">
      <c r="A253" s="36">
        <v>2759</v>
      </c>
      <c r="B253" s="14" t="s">
        <v>5543</v>
      </c>
      <c r="C253" s="14" t="s">
        <v>5544</v>
      </c>
      <c r="D253" s="17">
        <v>44110</v>
      </c>
      <c r="E253" s="14" t="s">
        <v>30</v>
      </c>
      <c r="F253" s="14">
        <v>65</v>
      </c>
      <c r="G253" s="14">
        <v>34</v>
      </c>
      <c r="H253" s="14">
        <v>12</v>
      </c>
      <c r="I253" s="14">
        <v>6</v>
      </c>
      <c r="J253" s="14" t="s">
        <v>31</v>
      </c>
      <c r="K253" s="14" cm="1">
        <f t="array" ref="K253">INT(SUMPRODUCT(--ISNUMBER(SEARCH(economy,C253)))&gt;0)</f>
        <v>0</v>
      </c>
      <c r="L253" s="14" cm="1">
        <f t="array" ref="L253">INT(SUMPRODUCT(--ISNUMBER(SEARCH(healthcare,C253)))&gt;0)</f>
        <v>1</v>
      </c>
      <c r="M253" s="14" cm="1">
        <f t="array" ref="M253">INT(SUMPRODUCT(--ISNUMBER(SEARCH(supreme,C253)))&gt;0)</f>
        <v>1</v>
      </c>
      <c r="N253" s="14" cm="1">
        <f t="array" ref="N253">INT(SUMPRODUCT(--ISNUMBER(SEARCH(covid,C253)))&gt;0)</f>
        <v>0</v>
      </c>
      <c r="O253" s="14" cm="1">
        <f t="array" ref="O253">INT(SUMPRODUCT(--ISNUMBER(SEARCH(violent,C253)))&gt;0)</f>
        <v>0</v>
      </c>
      <c r="P253" s="14" cm="1">
        <f t="array" ref="P253">INT(SUMPRODUCT(--ISNUMBER(SEARCH(foreign,C253)))&gt;0)</f>
        <v>0</v>
      </c>
      <c r="Q253" s="14" cm="1">
        <f t="array" ref="Q253">INT(SUMPRODUCT(--ISNUMBER(SEARCH(gun,C253)))&gt;0)</f>
        <v>0</v>
      </c>
      <c r="R253" s="14" cm="1">
        <f t="array" ref="R253">INT(SUMPRODUCT(--ISNUMBER(SEARCH(race,C253)))&gt;0)</f>
        <v>0</v>
      </c>
      <c r="S253" s="14" cm="1">
        <f t="array" ref="S253">INT(SUMPRODUCT(--ISNUMBER(SEARCH(immigration,C253)))&gt;0)</f>
        <v>0</v>
      </c>
      <c r="T253" s="14" cm="1">
        <f t="array" ref="T253">INT(SUMPRODUCT(--ISNUMBER(SEARCH(econineq,C254)))&gt;0)</f>
        <v>0</v>
      </c>
      <c r="U253" s="14" cm="1">
        <f t="array" ref="U253">INT(SUMPRODUCT(--ISNUMBER(SEARCH(climate,C253)))&gt;0)</f>
        <v>0</v>
      </c>
      <c r="V253" s="14" cm="1">
        <f t="array" ref="V253">INT(SUMPRODUCT(--ISNUMBER(SEARCH(abortion,C253)))&gt;0)</f>
        <v>0</v>
      </c>
      <c r="W253" s="14" cm="1">
        <f t="array" ref="W253">INT(SUMPRODUCT(--ISNUMBER(SEARCH(trump,C253)))&gt;0)</f>
        <v>0</v>
      </c>
      <c r="X253" s="14" cm="1">
        <f t="array" ref="X253">INT(SUMPRODUCT(--ISNUMBER(SEARCH(voting,C253)))&gt;0)</f>
        <v>0</v>
      </c>
      <c r="Y253" s="35" cm="1">
        <f t="array" ref="Y253">INT(SUMPRODUCT(--ISNUMBER(SEARCH(republicantrigger,C253)))&gt;0)</f>
        <v>0</v>
      </c>
      <c r="Z253" s="35" cm="1">
        <f t="array" ref="Z253">INT(SUMPRODUCT(--ISNUMBER(SEARCH(bipartisan,C253)))&gt;0)</f>
        <v>0</v>
      </c>
      <c r="AA253" s="35">
        <f t="shared" si="3"/>
        <v>0</v>
      </c>
      <c r="AB253" s="14"/>
      <c r="AC253" s="30" t="s">
        <v>223</v>
      </c>
      <c r="AD253" s="37" t="s">
        <v>223</v>
      </c>
    </row>
    <row r="254" spans="1:30" x14ac:dyDescent="0.25">
      <c r="A254" s="36">
        <v>2760</v>
      </c>
      <c r="B254" s="14" t="s">
        <v>5545</v>
      </c>
      <c r="C254" s="14" t="s">
        <v>5546</v>
      </c>
      <c r="D254" s="17">
        <v>44110</v>
      </c>
      <c r="E254" s="14" t="s">
        <v>30</v>
      </c>
      <c r="F254" s="14">
        <v>89</v>
      </c>
      <c r="G254" s="14">
        <v>41</v>
      </c>
      <c r="H254" s="14">
        <v>12</v>
      </c>
      <c r="I254" s="14">
        <v>6</v>
      </c>
      <c r="J254" s="14" t="s">
        <v>31</v>
      </c>
      <c r="K254" s="14" cm="1">
        <f t="array" ref="K254">INT(SUMPRODUCT(--ISNUMBER(SEARCH(economy,C254)))&gt;0)</f>
        <v>0</v>
      </c>
      <c r="L254" s="14" cm="1">
        <f t="array" ref="L254">INT(SUMPRODUCT(--ISNUMBER(SEARCH(healthcare,C254)))&gt;0)</f>
        <v>0</v>
      </c>
      <c r="M254" s="14" cm="1">
        <f t="array" ref="M254">INT(SUMPRODUCT(--ISNUMBER(SEARCH(supreme,C254)))&gt;0)</f>
        <v>0</v>
      </c>
      <c r="N254" s="14" cm="1">
        <f t="array" ref="N254">INT(SUMPRODUCT(--ISNUMBER(SEARCH(covid,C254)))&gt;0)</f>
        <v>0</v>
      </c>
      <c r="O254" s="14" cm="1">
        <f t="array" ref="O254">INT(SUMPRODUCT(--ISNUMBER(SEARCH(violent,C254)))&gt;0)</f>
        <v>0</v>
      </c>
      <c r="P254" s="14" cm="1">
        <f t="array" ref="P254">INT(SUMPRODUCT(--ISNUMBER(SEARCH(foreign,C254)))&gt;0)</f>
        <v>0</v>
      </c>
      <c r="Q254" s="14" cm="1">
        <f t="array" ref="Q254">INT(SUMPRODUCT(--ISNUMBER(SEARCH(gun,C254)))&gt;0)</f>
        <v>0</v>
      </c>
      <c r="R254" s="14" cm="1">
        <f t="array" ref="R254">INT(SUMPRODUCT(--ISNUMBER(SEARCH(race,C254)))&gt;0)</f>
        <v>0</v>
      </c>
      <c r="S254" s="14" cm="1">
        <f t="array" ref="S254">INT(SUMPRODUCT(--ISNUMBER(SEARCH(immigration,C254)))&gt;0)</f>
        <v>0</v>
      </c>
      <c r="T254" s="14" cm="1">
        <f t="array" ref="T254">INT(SUMPRODUCT(--ISNUMBER(SEARCH(econineq,C255)))&gt;0)</f>
        <v>0</v>
      </c>
      <c r="U254" s="14" cm="1">
        <f t="array" ref="U254">INT(SUMPRODUCT(--ISNUMBER(SEARCH(climate,C254)))&gt;0)</f>
        <v>0</v>
      </c>
      <c r="V254" s="14" cm="1">
        <f t="array" ref="V254">INT(SUMPRODUCT(--ISNUMBER(SEARCH(abortion,C254)))&gt;0)</f>
        <v>0</v>
      </c>
      <c r="W254" s="14" cm="1">
        <f t="array" ref="W254">INT(SUMPRODUCT(--ISNUMBER(SEARCH(trump,C254)))&gt;0)</f>
        <v>0</v>
      </c>
      <c r="X254" s="14" cm="1">
        <f t="array" ref="X254">INT(SUMPRODUCT(--ISNUMBER(SEARCH(voting,C254)))&gt;0)</f>
        <v>1</v>
      </c>
      <c r="Y254" s="35" cm="1">
        <f t="array" ref="Y254">INT(SUMPRODUCT(--ISNUMBER(SEARCH(republicantrigger,C254)))&gt;0)</f>
        <v>1</v>
      </c>
      <c r="Z254" s="35" cm="1">
        <f t="array" ref="Z254">INT(SUMPRODUCT(--ISNUMBER(SEARCH(bipartisan,C254)))&gt;0)</f>
        <v>0</v>
      </c>
      <c r="AA254" s="35">
        <f t="shared" si="3"/>
        <v>0</v>
      </c>
      <c r="AB254" s="14"/>
      <c r="AC254" s="30" t="s">
        <v>223</v>
      </c>
      <c r="AD254" s="37" t="s">
        <v>223</v>
      </c>
    </row>
    <row r="255" spans="1:30" x14ac:dyDescent="0.25">
      <c r="A255" s="36">
        <v>2761</v>
      </c>
      <c r="B255" s="14" t="s">
        <v>5547</v>
      </c>
      <c r="C255" s="14" t="s">
        <v>5548</v>
      </c>
      <c r="D255" s="17">
        <v>44110</v>
      </c>
      <c r="E255" s="14" t="s">
        <v>30</v>
      </c>
      <c r="F255" s="14">
        <v>106</v>
      </c>
      <c r="G255" s="14">
        <v>39</v>
      </c>
      <c r="H255" s="14">
        <v>12</v>
      </c>
      <c r="I255" s="14">
        <v>6</v>
      </c>
      <c r="J255" s="14" t="s">
        <v>31</v>
      </c>
      <c r="K255" s="14" cm="1">
        <f t="array" ref="K255">INT(SUMPRODUCT(--ISNUMBER(SEARCH(economy,C255)))&gt;0)</f>
        <v>0</v>
      </c>
      <c r="L255" s="14" cm="1">
        <f t="array" ref="L255">INT(SUMPRODUCT(--ISNUMBER(SEARCH(healthcare,C255)))&gt;0)</f>
        <v>0</v>
      </c>
      <c r="M255" s="14" cm="1">
        <f t="array" ref="M255">INT(SUMPRODUCT(--ISNUMBER(SEARCH(supreme,C255)))&gt;0)</f>
        <v>0</v>
      </c>
      <c r="N255" s="14" cm="1">
        <f t="array" ref="N255">INT(SUMPRODUCT(--ISNUMBER(SEARCH(covid,C255)))&gt;0)</f>
        <v>0</v>
      </c>
      <c r="O255" s="14" cm="1">
        <f t="array" ref="O255">INT(SUMPRODUCT(--ISNUMBER(SEARCH(violent,C255)))&gt;0)</f>
        <v>1</v>
      </c>
      <c r="P255" s="14" cm="1">
        <f t="array" ref="P255">INT(SUMPRODUCT(--ISNUMBER(SEARCH(foreign,C255)))&gt;0)</f>
        <v>0</v>
      </c>
      <c r="Q255" s="14" cm="1">
        <f t="array" ref="Q255">INT(SUMPRODUCT(--ISNUMBER(SEARCH(gun,C255)))&gt;0)</f>
        <v>0</v>
      </c>
      <c r="R255" s="14" cm="1">
        <f t="array" ref="R255">INT(SUMPRODUCT(--ISNUMBER(SEARCH(race,C255)))&gt;0)</f>
        <v>1</v>
      </c>
      <c r="S255" s="14" cm="1">
        <f t="array" ref="S255">INT(SUMPRODUCT(--ISNUMBER(SEARCH(immigration,C255)))&gt;0)</f>
        <v>0</v>
      </c>
      <c r="T255" s="14" cm="1">
        <f t="array" ref="T255">INT(SUMPRODUCT(--ISNUMBER(SEARCH(econineq,C256)))&gt;0)</f>
        <v>1</v>
      </c>
      <c r="U255" s="14" cm="1">
        <f t="array" ref="U255">INT(SUMPRODUCT(--ISNUMBER(SEARCH(climate,C255)))&gt;0)</f>
        <v>0</v>
      </c>
      <c r="V255" s="14" cm="1">
        <f t="array" ref="V255">INT(SUMPRODUCT(--ISNUMBER(SEARCH(abortion,C255)))&gt;0)</f>
        <v>0</v>
      </c>
      <c r="W255" s="14" cm="1">
        <f t="array" ref="W255">INT(SUMPRODUCT(--ISNUMBER(SEARCH(trump,C255)))&gt;0)</f>
        <v>0</v>
      </c>
      <c r="X255" s="14" cm="1">
        <f t="array" ref="X255">INT(SUMPRODUCT(--ISNUMBER(SEARCH(voting,C255)))&gt;0)</f>
        <v>1</v>
      </c>
      <c r="Y255" s="35" cm="1">
        <f t="array" ref="Y255">INT(SUMPRODUCT(--ISNUMBER(SEARCH(republicantrigger,C255)))&gt;0)</f>
        <v>1</v>
      </c>
      <c r="Z255" s="35" cm="1">
        <f t="array" ref="Z255">INT(SUMPRODUCT(--ISNUMBER(SEARCH(bipartisan,C255)))&gt;0)</f>
        <v>0</v>
      </c>
      <c r="AA255" s="35">
        <f t="shared" si="3"/>
        <v>0</v>
      </c>
      <c r="AB255" s="14"/>
      <c r="AC255" s="30" t="s">
        <v>223</v>
      </c>
      <c r="AD255" s="37" t="s">
        <v>223</v>
      </c>
    </row>
    <row r="256" spans="1:30" x14ac:dyDescent="0.25">
      <c r="A256" s="36">
        <v>2762</v>
      </c>
      <c r="B256" s="14" t="s">
        <v>5549</v>
      </c>
      <c r="C256" s="14" t="s">
        <v>5550</v>
      </c>
      <c r="D256" s="17">
        <v>44110</v>
      </c>
      <c r="E256" s="14" t="s">
        <v>30</v>
      </c>
      <c r="F256" s="14">
        <v>143</v>
      </c>
      <c r="G256" s="14">
        <v>65</v>
      </c>
      <c r="H256" s="14">
        <v>12</v>
      </c>
      <c r="I256" s="14">
        <v>6</v>
      </c>
      <c r="J256" s="14" t="s">
        <v>31</v>
      </c>
      <c r="K256" s="14" cm="1">
        <f t="array" ref="K256">INT(SUMPRODUCT(--ISNUMBER(SEARCH(economy,C256)))&gt;0)</f>
        <v>1</v>
      </c>
      <c r="L256" s="14" cm="1">
        <f t="array" ref="L256">INT(SUMPRODUCT(--ISNUMBER(SEARCH(healthcare,C256)))&gt;0)</f>
        <v>0</v>
      </c>
      <c r="M256" s="14" cm="1">
        <f t="array" ref="M256">INT(SUMPRODUCT(--ISNUMBER(SEARCH(supreme,C256)))&gt;0)</f>
        <v>0</v>
      </c>
      <c r="N256" s="14" cm="1">
        <f t="array" ref="N256">INT(SUMPRODUCT(--ISNUMBER(SEARCH(covid,C256)))&gt;0)</f>
        <v>0</v>
      </c>
      <c r="O256" s="14" cm="1">
        <f t="array" ref="O256">INT(SUMPRODUCT(--ISNUMBER(SEARCH(violent,C256)))&gt;0)</f>
        <v>0</v>
      </c>
      <c r="P256" s="14" cm="1">
        <f t="array" ref="P256">INT(SUMPRODUCT(--ISNUMBER(SEARCH(foreign,C256)))&gt;0)</f>
        <v>0</v>
      </c>
      <c r="Q256" s="14" cm="1">
        <f t="array" ref="Q256">INT(SUMPRODUCT(--ISNUMBER(SEARCH(gun,C256)))&gt;0)</f>
        <v>0</v>
      </c>
      <c r="R256" s="14" cm="1">
        <f t="array" ref="R256">INT(SUMPRODUCT(--ISNUMBER(SEARCH(race,C256)))&gt;0)</f>
        <v>0</v>
      </c>
      <c r="S256" s="14" cm="1">
        <f t="array" ref="S256">INT(SUMPRODUCT(--ISNUMBER(SEARCH(immigration,C256)))&gt;0)</f>
        <v>0</v>
      </c>
      <c r="T256" s="14" cm="1">
        <f t="array" ref="T256">INT(SUMPRODUCT(--ISNUMBER(SEARCH(econineq,C257)))&gt;0)</f>
        <v>0</v>
      </c>
      <c r="U256" s="14" cm="1">
        <f t="array" ref="U256">INT(SUMPRODUCT(--ISNUMBER(SEARCH(climate,C256)))&gt;0)</f>
        <v>0</v>
      </c>
      <c r="V256" s="14" cm="1">
        <f t="array" ref="V256">INT(SUMPRODUCT(--ISNUMBER(SEARCH(abortion,C256)))&gt;0)</f>
        <v>0</v>
      </c>
      <c r="W256" s="14" cm="1">
        <f t="array" ref="W256">INT(SUMPRODUCT(--ISNUMBER(SEARCH(trump,C256)))&gt;0)</f>
        <v>1</v>
      </c>
      <c r="X256" s="14" cm="1">
        <f t="array" ref="X256">INT(SUMPRODUCT(--ISNUMBER(SEARCH(voting,C256)))&gt;0)</f>
        <v>1</v>
      </c>
      <c r="Y256" s="35" cm="1">
        <f t="array" ref="Y256">INT(SUMPRODUCT(--ISNUMBER(SEARCH(republicantrigger,C256)))&gt;0)</f>
        <v>0</v>
      </c>
      <c r="Z256" s="35" cm="1">
        <f t="array" ref="Z256">INT(SUMPRODUCT(--ISNUMBER(SEARCH(bipartisan,C256)))&gt;0)</f>
        <v>0</v>
      </c>
      <c r="AA256" s="35">
        <f t="shared" si="3"/>
        <v>0</v>
      </c>
      <c r="AB256" s="14"/>
      <c r="AC256" s="30">
        <v>0</v>
      </c>
      <c r="AD256" s="37">
        <v>1</v>
      </c>
    </row>
    <row r="257" spans="1:30" x14ac:dyDescent="0.25">
      <c r="A257" s="36">
        <v>2763</v>
      </c>
      <c r="B257" s="14" t="s">
        <v>5551</v>
      </c>
      <c r="C257" s="14" t="s">
        <v>5552</v>
      </c>
      <c r="D257" s="17">
        <v>44110</v>
      </c>
      <c r="E257" s="14" t="s">
        <v>30</v>
      </c>
      <c r="F257" s="14">
        <v>170</v>
      </c>
      <c r="G257" s="14">
        <v>72</v>
      </c>
      <c r="H257" s="14">
        <v>12</v>
      </c>
      <c r="I257" s="14">
        <v>6</v>
      </c>
      <c r="J257" s="14" t="s">
        <v>31</v>
      </c>
      <c r="K257" s="14" cm="1">
        <f t="array" ref="K257">INT(SUMPRODUCT(--ISNUMBER(SEARCH(economy,C257)))&gt;0)</f>
        <v>0</v>
      </c>
      <c r="L257" s="14" cm="1">
        <f t="array" ref="L257">INT(SUMPRODUCT(--ISNUMBER(SEARCH(healthcare,C257)))&gt;0)</f>
        <v>0</v>
      </c>
      <c r="M257" s="14" cm="1">
        <f t="array" ref="M257">INT(SUMPRODUCT(--ISNUMBER(SEARCH(supreme,C257)))&gt;0)</f>
        <v>0</v>
      </c>
      <c r="N257" s="14" cm="1">
        <f t="array" ref="N257">INT(SUMPRODUCT(--ISNUMBER(SEARCH(covid,C257)))&gt;0)</f>
        <v>1</v>
      </c>
      <c r="O257" s="14" cm="1">
        <f t="array" ref="O257">INT(SUMPRODUCT(--ISNUMBER(SEARCH(violent,C257)))&gt;0)</f>
        <v>0</v>
      </c>
      <c r="P257" s="14" cm="1">
        <f t="array" ref="P257">INT(SUMPRODUCT(--ISNUMBER(SEARCH(foreign,C257)))&gt;0)</f>
        <v>0</v>
      </c>
      <c r="Q257" s="14" cm="1">
        <f t="array" ref="Q257">INT(SUMPRODUCT(--ISNUMBER(SEARCH(gun,C257)))&gt;0)</f>
        <v>0</v>
      </c>
      <c r="R257" s="14" cm="1">
        <f t="array" ref="R257">INT(SUMPRODUCT(--ISNUMBER(SEARCH(race,C257)))&gt;0)</f>
        <v>0</v>
      </c>
      <c r="S257" s="14" cm="1">
        <f t="array" ref="S257">INT(SUMPRODUCT(--ISNUMBER(SEARCH(immigration,C257)))&gt;0)</f>
        <v>0</v>
      </c>
      <c r="T257" s="14" cm="1">
        <f t="array" ref="T257">INT(SUMPRODUCT(--ISNUMBER(SEARCH(econineq,C258)))&gt;0)</f>
        <v>0</v>
      </c>
      <c r="U257" s="14" cm="1">
        <f t="array" ref="U257">INT(SUMPRODUCT(--ISNUMBER(SEARCH(climate,C257)))&gt;0)</f>
        <v>0</v>
      </c>
      <c r="V257" s="14" cm="1">
        <f t="array" ref="V257">INT(SUMPRODUCT(--ISNUMBER(SEARCH(abortion,C257)))&gt;0)</f>
        <v>0</v>
      </c>
      <c r="W257" s="14" cm="1">
        <f t="array" ref="W257">INT(SUMPRODUCT(--ISNUMBER(SEARCH(trump,C257)))&gt;0)</f>
        <v>0</v>
      </c>
      <c r="X257" s="14" cm="1">
        <f t="array" ref="X257">INT(SUMPRODUCT(--ISNUMBER(SEARCH(voting,C257)))&gt;0)</f>
        <v>0</v>
      </c>
      <c r="Y257" s="35" cm="1">
        <f t="array" ref="Y257">INT(SUMPRODUCT(--ISNUMBER(SEARCH(republicantrigger,C257)))&gt;0)</f>
        <v>0</v>
      </c>
      <c r="Z257" s="35" cm="1">
        <f t="array" ref="Z257">INT(SUMPRODUCT(--ISNUMBER(SEARCH(bipartisan,C257)))&gt;0)</f>
        <v>0</v>
      </c>
      <c r="AA257" s="35">
        <f t="shared" si="3"/>
        <v>0</v>
      </c>
      <c r="AB257" s="14"/>
      <c r="AC257" s="30" t="s">
        <v>223</v>
      </c>
      <c r="AD257" s="37" t="s">
        <v>223</v>
      </c>
    </row>
    <row r="258" spans="1:30" x14ac:dyDescent="0.25">
      <c r="A258" s="36">
        <v>2764</v>
      </c>
      <c r="B258" s="14" t="s">
        <v>5553</v>
      </c>
      <c r="C258" s="14" t="s">
        <v>5554</v>
      </c>
      <c r="D258" s="17">
        <v>44109</v>
      </c>
      <c r="E258" s="14" t="s">
        <v>30</v>
      </c>
      <c r="F258" s="14">
        <v>1570</v>
      </c>
      <c r="G258" s="14">
        <v>344</v>
      </c>
      <c r="H258" s="14">
        <v>12</v>
      </c>
      <c r="I258" s="14">
        <v>6</v>
      </c>
      <c r="J258" s="14" t="s">
        <v>31</v>
      </c>
      <c r="K258" s="14" cm="1">
        <f t="array" ref="K258">INT(SUMPRODUCT(--ISNUMBER(SEARCH(economy,C258)))&gt;0)</f>
        <v>0</v>
      </c>
      <c r="L258" s="14" cm="1">
        <f t="array" ref="L258">INT(SUMPRODUCT(--ISNUMBER(SEARCH(healthcare,C258)))&gt;0)</f>
        <v>0</v>
      </c>
      <c r="M258" s="14" cm="1">
        <f t="array" ref="M258">INT(SUMPRODUCT(--ISNUMBER(SEARCH(supreme,C258)))&gt;0)</f>
        <v>0</v>
      </c>
      <c r="N258" s="14" cm="1">
        <f t="array" ref="N258">INT(SUMPRODUCT(--ISNUMBER(SEARCH(covid,C258)))&gt;0)</f>
        <v>0</v>
      </c>
      <c r="O258" s="14" cm="1">
        <f t="array" ref="O258">INT(SUMPRODUCT(--ISNUMBER(SEARCH(violent,C258)))&gt;0)</f>
        <v>0</v>
      </c>
      <c r="P258" s="14" cm="1">
        <f t="array" ref="P258">INT(SUMPRODUCT(--ISNUMBER(SEARCH(foreign,C258)))&gt;0)</f>
        <v>0</v>
      </c>
      <c r="Q258" s="14" cm="1">
        <f t="array" ref="Q258">INT(SUMPRODUCT(--ISNUMBER(SEARCH(gun,C258)))&gt;0)</f>
        <v>0</v>
      </c>
      <c r="R258" s="14" cm="1">
        <f t="array" ref="R258">INT(SUMPRODUCT(--ISNUMBER(SEARCH(race,C258)))&gt;0)</f>
        <v>0</v>
      </c>
      <c r="S258" s="14" cm="1">
        <f t="array" ref="S258">INT(SUMPRODUCT(--ISNUMBER(SEARCH(immigration,C258)))&gt;0)</f>
        <v>0</v>
      </c>
      <c r="T258" s="14" cm="1">
        <f t="array" ref="T258">INT(SUMPRODUCT(--ISNUMBER(SEARCH(econineq,C259)))&gt;0)</f>
        <v>0</v>
      </c>
      <c r="U258" s="14" cm="1">
        <f t="array" ref="U258">INT(SUMPRODUCT(--ISNUMBER(SEARCH(climate,C258)))&gt;0)</f>
        <v>0</v>
      </c>
      <c r="V258" s="14" cm="1">
        <f t="array" ref="V258">INT(SUMPRODUCT(--ISNUMBER(SEARCH(abortion,C258)))&gt;0)</f>
        <v>0</v>
      </c>
      <c r="W258" s="14" cm="1">
        <f t="array" ref="W258">INT(SUMPRODUCT(--ISNUMBER(SEARCH(trump,C258)))&gt;0)</f>
        <v>1</v>
      </c>
      <c r="X258" s="14" cm="1">
        <f t="array" ref="X258">INT(SUMPRODUCT(--ISNUMBER(SEARCH(voting,C258)))&gt;0)</f>
        <v>0</v>
      </c>
      <c r="Y258" s="35" cm="1">
        <f t="array" ref="Y258">INT(SUMPRODUCT(--ISNUMBER(SEARCH(republicantrigger,C258)))&gt;0)</f>
        <v>0</v>
      </c>
      <c r="Z258" s="35" cm="1">
        <f t="array" ref="Z258">INT(SUMPRODUCT(--ISNUMBER(SEARCH(bipartisan,C258)))&gt;0)</f>
        <v>0</v>
      </c>
      <c r="AA258" s="35">
        <f t="shared" si="3"/>
        <v>0</v>
      </c>
      <c r="AB258" s="14"/>
      <c r="AC258" s="30">
        <v>1</v>
      </c>
      <c r="AD258" s="37">
        <v>0</v>
      </c>
    </row>
    <row r="259" spans="1:30" x14ac:dyDescent="0.25">
      <c r="A259" s="36">
        <v>2765</v>
      </c>
      <c r="B259" s="14" t="s">
        <v>5555</v>
      </c>
      <c r="C259" s="14" t="s">
        <v>5556</v>
      </c>
      <c r="D259" s="17">
        <v>44109</v>
      </c>
      <c r="E259" s="14" t="s">
        <v>30</v>
      </c>
      <c r="F259" s="14">
        <v>66</v>
      </c>
      <c r="G259" s="14">
        <v>35</v>
      </c>
      <c r="H259" s="14">
        <v>12</v>
      </c>
      <c r="I259" s="14">
        <v>6</v>
      </c>
      <c r="J259" s="14" t="s">
        <v>31</v>
      </c>
      <c r="K259" s="14" cm="1">
        <f t="array" ref="K259">INT(SUMPRODUCT(--ISNUMBER(SEARCH(economy,C259)))&gt;0)</f>
        <v>0</v>
      </c>
      <c r="L259" s="14" cm="1">
        <f t="array" ref="L259">INT(SUMPRODUCT(--ISNUMBER(SEARCH(healthcare,C259)))&gt;0)</f>
        <v>1</v>
      </c>
      <c r="M259" s="14" cm="1">
        <f t="array" ref="M259">INT(SUMPRODUCT(--ISNUMBER(SEARCH(supreme,C259)))&gt;0)</f>
        <v>0</v>
      </c>
      <c r="N259" s="14" cm="1">
        <f t="array" ref="N259">INT(SUMPRODUCT(--ISNUMBER(SEARCH(covid,C259)))&gt;0)</f>
        <v>1</v>
      </c>
      <c r="O259" s="14" cm="1">
        <f t="array" ref="O259">INT(SUMPRODUCT(--ISNUMBER(SEARCH(violent,C259)))&gt;0)</f>
        <v>0</v>
      </c>
      <c r="P259" s="14" cm="1">
        <f t="array" ref="P259">INT(SUMPRODUCT(--ISNUMBER(SEARCH(foreign,C259)))&gt;0)</f>
        <v>0</v>
      </c>
      <c r="Q259" s="14" cm="1">
        <f t="array" ref="Q259">INT(SUMPRODUCT(--ISNUMBER(SEARCH(gun,C259)))&gt;0)</f>
        <v>0</v>
      </c>
      <c r="R259" s="14" cm="1">
        <f t="array" ref="R259">INT(SUMPRODUCT(--ISNUMBER(SEARCH(race,C259)))&gt;0)</f>
        <v>0</v>
      </c>
      <c r="S259" s="14" cm="1">
        <f t="array" ref="S259">INT(SUMPRODUCT(--ISNUMBER(SEARCH(immigration,C259)))&gt;0)</f>
        <v>0</v>
      </c>
      <c r="T259" s="14" cm="1">
        <f t="array" ref="T259">INT(SUMPRODUCT(--ISNUMBER(SEARCH(econineq,C260)))&gt;0)</f>
        <v>0</v>
      </c>
      <c r="U259" s="14" cm="1">
        <f t="array" ref="U259">INT(SUMPRODUCT(--ISNUMBER(SEARCH(climate,C259)))&gt;0)</f>
        <v>0</v>
      </c>
      <c r="V259" s="14" cm="1">
        <f t="array" ref="V259">INT(SUMPRODUCT(--ISNUMBER(SEARCH(abortion,C259)))&gt;0)</f>
        <v>0</v>
      </c>
      <c r="W259" s="14" cm="1">
        <f t="array" ref="W259">INT(SUMPRODUCT(--ISNUMBER(SEARCH(trump,C259)))&gt;0)</f>
        <v>0</v>
      </c>
      <c r="X259" s="14" cm="1">
        <f t="array" ref="X259">INT(SUMPRODUCT(--ISNUMBER(SEARCH(voting,C259)))&gt;0)</f>
        <v>0</v>
      </c>
      <c r="Y259" s="35" cm="1">
        <f t="array" ref="Y259">INT(SUMPRODUCT(--ISNUMBER(SEARCH(republicantrigger,C259)))&gt;0)</f>
        <v>1</v>
      </c>
      <c r="Z259" s="35" cm="1">
        <f t="array" ref="Z259">INT(SUMPRODUCT(--ISNUMBER(SEARCH(bipartisan,C259)))&gt;0)</f>
        <v>0</v>
      </c>
      <c r="AA259" s="35">
        <f t="shared" ref="AA259:AA287" si="4">INT(IF(COUNTIF(K259:Z259,1)=0,"1","0"))</f>
        <v>0</v>
      </c>
      <c r="AB259" s="14"/>
      <c r="AC259" s="30">
        <v>1</v>
      </c>
      <c r="AD259" s="37">
        <v>0</v>
      </c>
    </row>
    <row r="260" spans="1:30" x14ac:dyDescent="0.25">
      <c r="A260" s="36">
        <v>2766</v>
      </c>
      <c r="B260" s="14" t="s">
        <v>5557</v>
      </c>
      <c r="C260" s="14" t="s">
        <v>5558</v>
      </c>
      <c r="D260" s="17">
        <v>44109</v>
      </c>
      <c r="E260" s="14" t="s">
        <v>30</v>
      </c>
      <c r="F260" s="14">
        <v>71</v>
      </c>
      <c r="G260" s="14">
        <v>26</v>
      </c>
      <c r="H260" s="14">
        <v>12</v>
      </c>
      <c r="I260" s="14">
        <v>6</v>
      </c>
      <c r="J260" s="14" t="s">
        <v>31</v>
      </c>
      <c r="K260" s="14" cm="1">
        <f t="array" ref="K260">INT(SUMPRODUCT(--ISNUMBER(SEARCH(economy,C260)))&gt;0)</f>
        <v>0</v>
      </c>
      <c r="L260" s="14" cm="1">
        <f t="array" ref="L260">INT(SUMPRODUCT(--ISNUMBER(SEARCH(healthcare,C260)))&gt;0)</f>
        <v>0</v>
      </c>
      <c r="M260" s="14" cm="1">
        <f t="array" ref="M260">INT(SUMPRODUCT(--ISNUMBER(SEARCH(supreme,C260)))&gt;0)</f>
        <v>1</v>
      </c>
      <c r="N260" s="14" cm="1">
        <f t="array" ref="N260">INT(SUMPRODUCT(--ISNUMBER(SEARCH(covid,C260)))&gt;0)</f>
        <v>0</v>
      </c>
      <c r="O260" s="14" cm="1">
        <f t="array" ref="O260">INT(SUMPRODUCT(--ISNUMBER(SEARCH(violent,C260)))&gt;0)</f>
        <v>0</v>
      </c>
      <c r="P260" s="14" cm="1">
        <f t="array" ref="P260">INT(SUMPRODUCT(--ISNUMBER(SEARCH(foreign,C260)))&gt;0)</f>
        <v>0</v>
      </c>
      <c r="Q260" s="14" cm="1">
        <f t="array" ref="Q260">INT(SUMPRODUCT(--ISNUMBER(SEARCH(gun,C260)))&gt;0)</f>
        <v>0</v>
      </c>
      <c r="R260" s="14" cm="1">
        <f t="array" ref="R260">INT(SUMPRODUCT(--ISNUMBER(SEARCH(race,C260)))&gt;0)</f>
        <v>0</v>
      </c>
      <c r="S260" s="14" cm="1">
        <f t="array" ref="S260">INT(SUMPRODUCT(--ISNUMBER(SEARCH(immigration,C260)))&gt;0)</f>
        <v>0</v>
      </c>
      <c r="T260" s="14" cm="1">
        <f t="array" ref="T260">INT(SUMPRODUCT(--ISNUMBER(SEARCH(econineq,C261)))&gt;0)</f>
        <v>0</v>
      </c>
      <c r="U260" s="14" cm="1">
        <f t="array" ref="U260">INT(SUMPRODUCT(--ISNUMBER(SEARCH(climate,C260)))&gt;0)</f>
        <v>0</v>
      </c>
      <c r="V260" s="14" cm="1">
        <f t="array" ref="V260">INT(SUMPRODUCT(--ISNUMBER(SEARCH(abortion,C260)))&gt;0)</f>
        <v>0</v>
      </c>
      <c r="W260" s="14" cm="1">
        <f t="array" ref="W260">INT(SUMPRODUCT(--ISNUMBER(SEARCH(trump,C260)))&gt;0)</f>
        <v>0</v>
      </c>
      <c r="X260" s="14" cm="1">
        <f t="array" ref="X260">INT(SUMPRODUCT(--ISNUMBER(SEARCH(voting,C260)))&gt;0)</f>
        <v>0</v>
      </c>
      <c r="Y260" s="35" cm="1">
        <f t="array" ref="Y260">INT(SUMPRODUCT(--ISNUMBER(SEARCH(republicantrigger,C260)))&gt;0)</f>
        <v>0</v>
      </c>
      <c r="Z260" s="35" cm="1">
        <f t="array" ref="Z260">INT(SUMPRODUCT(--ISNUMBER(SEARCH(bipartisan,C260)))&gt;0)</f>
        <v>0</v>
      </c>
      <c r="AA260" s="35">
        <f t="shared" si="4"/>
        <v>0</v>
      </c>
      <c r="AB260" s="14"/>
      <c r="AC260" s="30" t="s">
        <v>223</v>
      </c>
      <c r="AD260" s="37" t="s">
        <v>223</v>
      </c>
    </row>
    <row r="261" spans="1:30" x14ac:dyDescent="0.25">
      <c r="A261" s="36">
        <v>2767</v>
      </c>
      <c r="B261" s="14" t="s">
        <v>5559</v>
      </c>
      <c r="C261" s="14" t="s">
        <v>5560</v>
      </c>
      <c r="D261" s="17">
        <v>44109</v>
      </c>
      <c r="E261" s="14" t="s">
        <v>30</v>
      </c>
      <c r="F261" s="14">
        <v>198</v>
      </c>
      <c r="G261" s="14">
        <v>69</v>
      </c>
      <c r="H261" s="14">
        <v>12</v>
      </c>
      <c r="I261" s="14">
        <v>6</v>
      </c>
      <c r="J261" s="14" t="s">
        <v>31</v>
      </c>
      <c r="K261" s="14" cm="1">
        <f t="array" ref="K261">INT(SUMPRODUCT(--ISNUMBER(SEARCH(economy,C261)))&gt;0)</f>
        <v>1</v>
      </c>
      <c r="L261" s="14" cm="1">
        <f t="array" ref="L261">INT(SUMPRODUCT(--ISNUMBER(SEARCH(healthcare,C261)))&gt;0)</f>
        <v>0</v>
      </c>
      <c r="M261" s="14" cm="1">
        <f t="array" ref="M261">INT(SUMPRODUCT(--ISNUMBER(SEARCH(supreme,C261)))&gt;0)</f>
        <v>0</v>
      </c>
      <c r="N261" s="14" cm="1">
        <f t="array" ref="N261">INT(SUMPRODUCT(--ISNUMBER(SEARCH(covid,C261)))&gt;0)</f>
        <v>1</v>
      </c>
      <c r="O261" s="14" cm="1">
        <f t="array" ref="O261">INT(SUMPRODUCT(--ISNUMBER(SEARCH(violent,C261)))&gt;0)</f>
        <v>0</v>
      </c>
      <c r="P261" s="14" cm="1">
        <f t="array" ref="P261">INT(SUMPRODUCT(--ISNUMBER(SEARCH(foreign,C261)))&gt;0)</f>
        <v>0</v>
      </c>
      <c r="Q261" s="14" cm="1">
        <f t="array" ref="Q261">INT(SUMPRODUCT(--ISNUMBER(SEARCH(gun,C261)))&gt;0)</f>
        <v>0</v>
      </c>
      <c r="R261" s="14" cm="1">
        <f t="array" ref="R261">INT(SUMPRODUCT(--ISNUMBER(SEARCH(race,C261)))&gt;0)</f>
        <v>0</v>
      </c>
      <c r="S261" s="14" cm="1">
        <f t="array" ref="S261">INT(SUMPRODUCT(--ISNUMBER(SEARCH(immigration,C261)))&gt;0)</f>
        <v>0</v>
      </c>
      <c r="T261" s="14" cm="1">
        <f t="array" ref="T261">INT(SUMPRODUCT(--ISNUMBER(SEARCH(econineq,C262)))&gt;0)</f>
        <v>0</v>
      </c>
      <c r="U261" s="14" cm="1">
        <f t="array" ref="U261">INT(SUMPRODUCT(--ISNUMBER(SEARCH(climate,C261)))&gt;0)</f>
        <v>0</v>
      </c>
      <c r="V261" s="14" cm="1">
        <f t="array" ref="V261">INT(SUMPRODUCT(--ISNUMBER(SEARCH(abortion,C261)))&gt;0)</f>
        <v>0</v>
      </c>
      <c r="W261" s="14" cm="1">
        <f t="array" ref="W261">INT(SUMPRODUCT(--ISNUMBER(SEARCH(trump,C261)))&gt;0)</f>
        <v>0</v>
      </c>
      <c r="X261" s="14" cm="1">
        <f t="array" ref="X261">INT(SUMPRODUCT(--ISNUMBER(SEARCH(voting,C261)))&gt;0)</f>
        <v>0</v>
      </c>
      <c r="Y261" s="35" cm="1">
        <f t="array" ref="Y261">INT(SUMPRODUCT(--ISNUMBER(SEARCH(republicantrigger,C261)))&gt;0)</f>
        <v>0</v>
      </c>
      <c r="Z261" s="35" cm="1">
        <f t="array" ref="Z261">INT(SUMPRODUCT(--ISNUMBER(SEARCH(bipartisan,C261)))&gt;0)</f>
        <v>0</v>
      </c>
      <c r="AA261" s="35">
        <f t="shared" si="4"/>
        <v>0</v>
      </c>
      <c r="AB261" s="14"/>
      <c r="AC261" s="30" t="s">
        <v>223</v>
      </c>
      <c r="AD261" s="37" t="s">
        <v>223</v>
      </c>
    </row>
    <row r="262" spans="1:30" x14ac:dyDescent="0.25">
      <c r="A262" s="36">
        <v>2768</v>
      </c>
      <c r="B262" s="14" t="s">
        <v>5561</v>
      </c>
      <c r="C262" s="14" t="s">
        <v>5562</v>
      </c>
      <c r="D262" s="17">
        <v>44109</v>
      </c>
      <c r="E262" s="14" t="s">
        <v>30</v>
      </c>
      <c r="F262" s="14">
        <v>95</v>
      </c>
      <c r="G262" s="14">
        <v>26</v>
      </c>
      <c r="H262" s="14">
        <v>12</v>
      </c>
      <c r="I262" s="14">
        <v>6</v>
      </c>
      <c r="J262" s="14" t="s">
        <v>31</v>
      </c>
      <c r="K262" s="14" cm="1">
        <f t="array" ref="K262">INT(SUMPRODUCT(--ISNUMBER(SEARCH(economy,C262)))&gt;0)</f>
        <v>0</v>
      </c>
      <c r="L262" s="14" cm="1">
        <f t="array" ref="L262">INT(SUMPRODUCT(--ISNUMBER(SEARCH(healthcare,C262)))&gt;0)</f>
        <v>1</v>
      </c>
      <c r="M262" s="14" cm="1">
        <f t="array" ref="M262">INT(SUMPRODUCT(--ISNUMBER(SEARCH(supreme,C262)))&gt;0)</f>
        <v>0</v>
      </c>
      <c r="N262" s="14" cm="1">
        <f t="array" ref="N262">INT(SUMPRODUCT(--ISNUMBER(SEARCH(covid,C262)))&gt;0)</f>
        <v>1</v>
      </c>
      <c r="O262" s="14" cm="1">
        <f t="array" ref="O262">INT(SUMPRODUCT(--ISNUMBER(SEARCH(violent,C262)))&gt;0)</f>
        <v>0</v>
      </c>
      <c r="P262" s="14" cm="1">
        <f t="array" ref="P262">INT(SUMPRODUCT(--ISNUMBER(SEARCH(foreign,C262)))&gt;0)</f>
        <v>0</v>
      </c>
      <c r="Q262" s="14" cm="1">
        <f t="array" ref="Q262">INT(SUMPRODUCT(--ISNUMBER(SEARCH(gun,C262)))&gt;0)</f>
        <v>0</v>
      </c>
      <c r="R262" s="14" cm="1">
        <f t="array" ref="R262">INT(SUMPRODUCT(--ISNUMBER(SEARCH(race,C262)))&gt;0)</f>
        <v>0</v>
      </c>
      <c r="S262" s="14" cm="1">
        <f t="array" ref="S262">INT(SUMPRODUCT(--ISNUMBER(SEARCH(immigration,C262)))&gt;0)</f>
        <v>0</v>
      </c>
      <c r="T262" s="14" cm="1">
        <f t="array" ref="T262">INT(SUMPRODUCT(--ISNUMBER(SEARCH(econineq,C263)))&gt;0)</f>
        <v>0</v>
      </c>
      <c r="U262" s="14" cm="1">
        <f t="array" ref="U262">INT(SUMPRODUCT(--ISNUMBER(SEARCH(climate,C262)))&gt;0)</f>
        <v>0</v>
      </c>
      <c r="V262" s="14" cm="1">
        <f t="array" ref="V262">INT(SUMPRODUCT(--ISNUMBER(SEARCH(abortion,C262)))&gt;0)</f>
        <v>0</v>
      </c>
      <c r="W262" s="14" cm="1">
        <f t="array" ref="W262">INT(SUMPRODUCT(--ISNUMBER(SEARCH(trump,C262)))&gt;0)</f>
        <v>1</v>
      </c>
      <c r="X262" s="14" cm="1">
        <f t="array" ref="X262">INT(SUMPRODUCT(--ISNUMBER(SEARCH(voting,C262)))&gt;0)</f>
        <v>0</v>
      </c>
      <c r="Y262" s="35" cm="1">
        <f t="array" ref="Y262">INT(SUMPRODUCT(--ISNUMBER(SEARCH(republicantrigger,C262)))&gt;0)</f>
        <v>1</v>
      </c>
      <c r="Z262" s="35" cm="1">
        <f t="array" ref="Z262">INT(SUMPRODUCT(--ISNUMBER(SEARCH(bipartisan,C262)))&gt;0)</f>
        <v>0</v>
      </c>
      <c r="AA262" s="35">
        <f t="shared" si="4"/>
        <v>0</v>
      </c>
      <c r="AB262" s="14"/>
      <c r="AC262" s="30" t="s">
        <v>223</v>
      </c>
      <c r="AD262" s="37" t="s">
        <v>223</v>
      </c>
    </row>
    <row r="263" spans="1:30" x14ac:dyDescent="0.25">
      <c r="A263" s="36">
        <v>2769</v>
      </c>
      <c r="B263" s="14" t="s">
        <v>5563</v>
      </c>
      <c r="C263" s="14" t="s">
        <v>5564</v>
      </c>
      <c r="D263" s="17">
        <v>44109</v>
      </c>
      <c r="E263" s="14" t="s">
        <v>30</v>
      </c>
      <c r="F263" s="14">
        <v>59</v>
      </c>
      <c r="G263" s="14">
        <v>13</v>
      </c>
      <c r="H263" s="14">
        <v>12</v>
      </c>
      <c r="I263" s="14">
        <v>6</v>
      </c>
      <c r="J263" s="14" t="s">
        <v>31</v>
      </c>
      <c r="K263" s="14" cm="1">
        <f t="array" ref="K263">INT(SUMPRODUCT(--ISNUMBER(SEARCH(economy,C263)))&gt;0)</f>
        <v>0</v>
      </c>
      <c r="L263" s="14" cm="1">
        <f t="array" ref="L263">INT(SUMPRODUCT(--ISNUMBER(SEARCH(healthcare,C263)))&gt;0)</f>
        <v>1</v>
      </c>
      <c r="M263" s="14" cm="1">
        <f t="array" ref="M263">INT(SUMPRODUCT(--ISNUMBER(SEARCH(supreme,C263)))&gt;0)</f>
        <v>0</v>
      </c>
      <c r="N263" s="14" cm="1">
        <f t="array" ref="N263">INT(SUMPRODUCT(--ISNUMBER(SEARCH(covid,C263)))&gt;0)</f>
        <v>0</v>
      </c>
      <c r="O263" s="14" cm="1">
        <f t="array" ref="O263">INT(SUMPRODUCT(--ISNUMBER(SEARCH(violent,C263)))&gt;0)</f>
        <v>0</v>
      </c>
      <c r="P263" s="14" cm="1">
        <f t="array" ref="P263">INT(SUMPRODUCT(--ISNUMBER(SEARCH(foreign,C263)))&gt;0)</f>
        <v>0</v>
      </c>
      <c r="Q263" s="14" cm="1">
        <f t="array" ref="Q263">INT(SUMPRODUCT(--ISNUMBER(SEARCH(gun,C263)))&gt;0)</f>
        <v>0</v>
      </c>
      <c r="R263" s="14" cm="1">
        <f t="array" ref="R263">INT(SUMPRODUCT(--ISNUMBER(SEARCH(race,C263)))&gt;0)</f>
        <v>0</v>
      </c>
      <c r="S263" s="14" cm="1">
        <f t="array" ref="S263">INT(SUMPRODUCT(--ISNUMBER(SEARCH(immigration,C263)))&gt;0)</f>
        <v>0</v>
      </c>
      <c r="T263" s="14" cm="1">
        <f t="array" ref="T263">INT(SUMPRODUCT(--ISNUMBER(SEARCH(econineq,C264)))&gt;0)</f>
        <v>0</v>
      </c>
      <c r="U263" s="14" cm="1">
        <f t="array" ref="U263">INT(SUMPRODUCT(--ISNUMBER(SEARCH(climate,C263)))&gt;0)</f>
        <v>0</v>
      </c>
      <c r="V263" s="14" cm="1">
        <f t="array" ref="V263">INT(SUMPRODUCT(--ISNUMBER(SEARCH(abortion,C263)))&gt;0)</f>
        <v>0</v>
      </c>
      <c r="W263" s="14" cm="1">
        <f t="array" ref="W263">INT(SUMPRODUCT(--ISNUMBER(SEARCH(trump,C263)))&gt;0)</f>
        <v>1</v>
      </c>
      <c r="X263" s="14" cm="1">
        <f t="array" ref="X263">INT(SUMPRODUCT(--ISNUMBER(SEARCH(voting,C263)))&gt;0)</f>
        <v>0</v>
      </c>
      <c r="Y263" s="35" cm="1">
        <f t="array" ref="Y263">INT(SUMPRODUCT(--ISNUMBER(SEARCH(republicantrigger,C263)))&gt;0)</f>
        <v>0</v>
      </c>
      <c r="Z263" s="35" cm="1">
        <f t="array" ref="Z263">INT(SUMPRODUCT(--ISNUMBER(SEARCH(bipartisan,C263)))&gt;0)</f>
        <v>0</v>
      </c>
      <c r="AA263" s="35">
        <f t="shared" si="4"/>
        <v>0</v>
      </c>
      <c r="AB263" s="14"/>
      <c r="AC263" s="30" t="s">
        <v>223</v>
      </c>
      <c r="AD263" s="37" t="s">
        <v>223</v>
      </c>
    </row>
    <row r="264" spans="1:30" x14ac:dyDescent="0.25">
      <c r="A264" s="36">
        <v>2770</v>
      </c>
      <c r="B264" s="14" t="s">
        <v>5565</v>
      </c>
      <c r="C264" s="14" t="s">
        <v>5566</v>
      </c>
      <c r="D264" s="17">
        <v>44109</v>
      </c>
      <c r="E264" s="14" t="s">
        <v>30</v>
      </c>
      <c r="F264" s="14">
        <v>145</v>
      </c>
      <c r="G264" s="14">
        <v>29</v>
      </c>
      <c r="H264" s="14">
        <v>12</v>
      </c>
      <c r="I264" s="14">
        <v>6</v>
      </c>
      <c r="J264" s="14" t="s">
        <v>31</v>
      </c>
      <c r="K264" s="14" cm="1">
        <f t="array" ref="K264">INT(SUMPRODUCT(--ISNUMBER(SEARCH(economy,C264)))&gt;0)</f>
        <v>0</v>
      </c>
      <c r="L264" s="14" cm="1">
        <f t="array" ref="L264">INT(SUMPRODUCT(--ISNUMBER(SEARCH(healthcare,C264)))&gt;0)</f>
        <v>0</v>
      </c>
      <c r="M264" s="14" cm="1">
        <f t="array" ref="M264">INT(SUMPRODUCT(--ISNUMBER(SEARCH(supreme,C264)))&gt;0)</f>
        <v>0</v>
      </c>
      <c r="N264" s="14" cm="1">
        <f t="array" ref="N264">INT(SUMPRODUCT(--ISNUMBER(SEARCH(covid,C264)))&gt;0)</f>
        <v>0</v>
      </c>
      <c r="O264" s="14" cm="1">
        <f t="array" ref="O264">INT(SUMPRODUCT(--ISNUMBER(SEARCH(violent,C264)))&gt;0)</f>
        <v>0</v>
      </c>
      <c r="P264" s="14" cm="1">
        <f t="array" ref="P264">INT(SUMPRODUCT(--ISNUMBER(SEARCH(foreign,C264)))&gt;0)</f>
        <v>0</v>
      </c>
      <c r="Q264" s="14" cm="1">
        <f t="array" ref="Q264">INT(SUMPRODUCT(--ISNUMBER(SEARCH(gun,C264)))&gt;0)</f>
        <v>0</v>
      </c>
      <c r="R264" s="14" cm="1">
        <f t="array" ref="R264">INT(SUMPRODUCT(--ISNUMBER(SEARCH(race,C264)))&gt;0)</f>
        <v>0</v>
      </c>
      <c r="S264" s="14" cm="1">
        <f t="array" ref="S264">INT(SUMPRODUCT(--ISNUMBER(SEARCH(immigration,C264)))&gt;0)</f>
        <v>0</v>
      </c>
      <c r="T264" s="14" cm="1">
        <f t="array" ref="T264">INT(SUMPRODUCT(--ISNUMBER(SEARCH(econineq,C265)))&gt;0)</f>
        <v>0</v>
      </c>
      <c r="U264" s="14" cm="1">
        <f t="array" ref="U264">INT(SUMPRODUCT(--ISNUMBER(SEARCH(climate,C264)))&gt;0)</f>
        <v>0</v>
      </c>
      <c r="V264" s="14" cm="1">
        <f t="array" ref="V264">INT(SUMPRODUCT(--ISNUMBER(SEARCH(abortion,C264)))&gt;0)</f>
        <v>0</v>
      </c>
      <c r="W264" s="14" cm="1">
        <f t="array" ref="W264">INT(SUMPRODUCT(--ISNUMBER(SEARCH(trump,C264)))&gt;0)</f>
        <v>1</v>
      </c>
      <c r="X264" s="14" cm="1">
        <f t="array" ref="X264">INT(SUMPRODUCT(--ISNUMBER(SEARCH(voting,C264)))&gt;0)</f>
        <v>0</v>
      </c>
      <c r="Y264" s="35" cm="1">
        <f t="array" ref="Y264">INT(SUMPRODUCT(--ISNUMBER(SEARCH(republicantrigger,C264)))&gt;0)</f>
        <v>0</v>
      </c>
      <c r="Z264" s="35" cm="1">
        <f t="array" ref="Z264">INT(SUMPRODUCT(--ISNUMBER(SEARCH(bipartisan,C264)))&gt;0)</f>
        <v>0</v>
      </c>
      <c r="AA264" s="35">
        <f t="shared" si="4"/>
        <v>0</v>
      </c>
      <c r="AB264" s="14"/>
      <c r="AC264" s="30">
        <v>1</v>
      </c>
      <c r="AD264" s="37">
        <v>0</v>
      </c>
    </row>
    <row r="265" spans="1:30" x14ac:dyDescent="0.25">
      <c r="A265" s="36">
        <v>2771</v>
      </c>
      <c r="B265" s="14" t="s">
        <v>5567</v>
      </c>
      <c r="C265" s="14" t="s">
        <v>5568</v>
      </c>
      <c r="D265" s="17">
        <v>44109</v>
      </c>
      <c r="E265" s="14" t="s">
        <v>30</v>
      </c>
      <c r="F265" s="14">
        <v>143</v>
      </c>
      <c r="G265" s="14">
        <v>60</v>
      </c>
      <c r="H265" s="14">
        <v>12</v>
      </c>
      <c r="I265" s="14">
        <v>6</v>
      </c>
      <c r="J265" s="14" t="s">
        <v>31</v>
      </c>
      <c r="K265" s="14" cm="1">
        <f t="array" ref="K265">INT(SUMPRODUCT(--ISNUMBER(SEARCH(economy,C265)))&gt;0)</f>
        <v>0</v>
      </c>
      <c r="L265" s="14" cm="1">
        <f t="array" ref="L265">INT(SUMPRODUCT(--ISNUMBER(SEARCH(healthcare,C265)))&gt;0)</f>
        <v>0</v>
      </c>
      <c r="M265" s="14" cm="1">
        <f t="array" ref="M265">INT(SUMPRODUCT(--ISNUMBER(SEARCH(supreme,C265)))&gt;0)</f>
        <v>0</v>
      </c>
      <c r="N265" s="14" cm="1">
        <f t="array" ref="N265">INT(SUMPRODUCT(--ISNUMBER(SEARCH(covid,C265)))&gt;0)</f>
        <v>0</v>
      </c>
      <c r="O265" s="14" cm="1">
        <f t="array" ref="O265">INT(SUMPRODUCT(--ISNUMBER(SEARCH(violent,C265)))&gt;0)</f>
        <v>0</v>
      </c>
      <c r="P265" s="14" cm="1">
        <f t="array" ref="P265">INT(SUMPRODUCT(--ISNUMBER(SEARCH(foreign,C265)))&gt;0)</f>
        <v>0</v>
      </c>
      <c r="Q265" s="14" cm="1">
        <f t="array" ref="Q265">INT(SUMPRODUCT(--ISNUMBER(SEARCH(gun,C265)))&gt;0)</f>
        <v>1</v>
      </c>
      <c r="R265" s="14" cm="1">
        <f t="array" ref="R265">INT(SUMPRODUCT(--ISNUMBER(SEARCH(race,C265)))&gt;0)</f>
        <v>0</v>
      </c>
      <c r="S265" s="14" cm="1">
        <f t="array" ref="S265">INT(SUMPRODUCT(--ISNUMBER(SEARCH(immigration,C265)))&gt;0)</f>
        <v>0</v>
      </c>
      <c r="T265" s="14" cm="1">
        <f t="array" ref="T265">INT(SUMPRODUCT(--ISNUMBER(SEARCH(econineq,C266)))&gt;0)</f>
        <v>0</v>
      </c>
      <c r="U265" s="14" cm="1">
        <f t="array" ref="U265">INT(SUMPRODUCT(--ISNUMBER(SEARCH(climate,C265)))&gt;0)</f>
        <v>0</v>
      </c>
      <c r="V265" s="14" cm="1">
        <f t="array" ref="V265">INT(SUMPRODUCT(--ISNUMBER(SEARCH(abortion,C265)))&gt;0)</f>
        <v>0</v>
      </c>
      <c r="W265" s="14" cm="1">
        <f t="array" ref="W265">INT(SUMPRODUCT(--ISNUMBER(SEARCH(trump,C265)))&gt;0)</f>
        <v>0</v>
      </c>
      <c r="X265" s="14" cm="1">
        <f t="array" ref="X265">INT(SUMPRODUCT(--ISNUMBER(SEARCH(voting,C265)))&gt;0)</f>
        <v>1</v>
      </c>
      <c r="Y265" s="35" cm="1">
        <f t="array" ref="Y265">INT(SUMPRODUCT(--ISNUMBER(SEARCH(republicantrigger,C265)))&gt;0)</f>
        <v>1</v>
      </c>
      <c r="Z265" s="35" cm="1">
        <f t="array" ref="Z265">INT(SUMPRODUCT(--ISNUMBER(SEARCH(bipartisan,C265)))&gt;0)</f>
        <v>0</v>
      </c>
      <c r="AA265" s="35">
        <f t="shared" si="4"/>
        <v>0</v>
      </c>
      <c r="AB265" s="14"/>
      <c r="AC265" s="30" t="s">
        <v>223</v>
      </c>
      <c r="AD265" s="37" t="s">
        <v>223</v>
      </c>
    </row>
    <row r="266" spans="1:30" x14ac:dyDescent="0.25">
      <c r="A266" s="36">
        <v>2772</v>
      </c>
      <c r="B266" s="14" t="s">
        <v>5569</v>
      </c>
      <c r="C266" s="14" t="s">
        <v>5570</v>
      </c>
      <c r="D266" s="17">
        <v>44109</v>
      </c>
      <c r="E266" s="14" t="s">
        <v>30</v>
      </c>
      <c r="F266" s="14">
        <v>135</v>
      </c>
      <c r="G266" s="14">
        <v>57</v>
      </c>
      <c r="H266" s="14">
        <v>12</v>
      </c>
      <c r="I266" s="14">
        <v>6</v>
      </c>
      <c r="J266" s="14" t="s">
        <v>31</v>
      </c>
      <c r="K266" s="14" cm="1">
        <f t="array" ref="K266">INT(SUMPRODUCT(--ISNUMBER(SEARCH(economy,C266)))&gt;0)</f>
        <v>0</v>
      </c>
      <c r="L266" s="14" cm="1">
        <f t="array" ref="L266">INT(SUMPRODUCT(--ISNUMBER(SEARCH(healthcare,C266)))&gt;0)</f>
        <v>0</v>
      </c>
      <c r="M266" s="14" cm="1">
        <f t="array" ref="M266">INT(SUMPRODUCT(--ISNUMBER(SEARCH(supreme,C266)))&gt;0)</f>
        <v>0</v>
      </c>
      <c r="N266" s="14" cm="1">
        <f t="array" ref="N266">INT(SUMPRODUCT(--ISNUMBER(SEARCH(covid,C266)))&gt;0)</f>
        <v>0</v>
      </c>
      <c r="O266" s="14" cm="1">
        <f t="array" ref="O266">INT(SUMPRODUCT(--ISNUMBER(SEARCH(violent,C266)))&gt;0)</f>
        <v>1</v>
      </c>
      <c r="P266" s="14" cm="1">
        <f t="array" ref="P266">INT(SUMPRODUCT(--ISNUMBER(SEARCH(foreign,C266)))&gt;0)</f>
        <v>0</v>
      </c>
      <c r="Q266" s="14" cm="1">
        <f t="array" ref="Q266">INT(SUMPRODUCT(--ISNUMBER(SEARCH(gun,C266)))&gt;0)</f>
        <v>0</v>
      </c>
      <c r="R266" s="14" cm="1">
        <f t="array" ref="R266">INT(SUMPRODUCT(--ISNUMBER(SEARCH(race,C266)))&gt;0)</f>
        <v>0</v>
      </c>
      <c r="S266" s="14" cm="1">
        <f t="array" ref="S266">INT(SUMPRODUCT(--ISNUMBER(SEARCH(immigration,C266)))&gt;0)</f>
        <v>0</v>
      </c>
      <c r="T266" s="14" cm="1">
        <f t="array" ref="T266">INT(SUMPRODUCT(--ISNUMBER(SEARCH(econineq,C267)))&gt;0)</f>
        <v>0</v>
      </c>
      <c r="U266" s="14" cm="1">
        <f t="array" ref="U266">INT(SUMPRODUCT(--ISNUMBER(SEARCH(climate,C266)))&gt;0)</f>
        <v>0</v>
      </c>
      <c r="V266" s="14" cm="1">
        <f t="array" ref="V266">INT(SUMPRODUCT(--ISNUMBER(SEARCH(abortion,C266)))&gt;0)</f>
        <v>0</v>
      </c>
      <c r="W266" s="14" cm="1">
        <f t="array" ref="W266">INT(SUMPRODUCT(--ISNUMBER(SEARCH(trump,C266)))&gt;0)</f>
        <v>0</v>
      </c>
      <c r="X266" s="14" cm="1">
        <f t="array" ref="X266">INT(SUMPRODUCT(--ISNUMBER(SEARCH(voting,C266)))&gt;0)</f>
        <v>0</v>
      </c>
      <c r="Y266" s="35" cm="1">
        <f t="array" ref="Y266">INT(SUMPRODUCT(--ISNUMBER(SEARCH(republicantrigger,C266)))&gt;0)</f>
        <v>1</v>
      </c>
      <c r="Z266" s="35" cm="1">
        <f t="array" ref="Z266">INT(SUMPRODUCT(--ISNUMBER(SEARCH(bipartisan,C266)))&gt;0)</f>
        <v>0</v>
      </c>
      <c r="AA266" s="35">
        <f t="shared" si="4"/>
        <v>0</v>
      </c>
      <c r="AB266" s="14"/>
      <c r="AC266" s="30" t="s">
        <v>223</v>
      </c>
      <c r="AD266" s="37" t="s">
        <v>223</v>
      </c>
    </row>
    <row r="267" spans="1:30" x14ac:dyDescent="0.25">
      <c r="A267" s="36">
        <v>2773</v>
      </c>
      <c r="B267" s="14" t="s">
        <v>5571</v>
      </c>
      <c r="C267" s="14" t="s">
        <v>5572</v>
      </c>
      <c r="D267" s="17">
        <v>44109</v>
      </c>
      <c r="E267" s="14" t="s">
        <v>30</v>
      </c>
      <c r="F267" s="14">
        <v>287</v>
      </c>
      <c r="G267" s="14">
        <v>81</v>
      </c>
      <c r="H267" s="14">
        <v>12</v>
      </c>
      <c r="I267" s="14">
        <v>6</v>
      </c>
      <c r="J267" s="14" t="s">
        <v>31</v>
      </c>
      <c r="K267" s="14" cm="1">
        <f t="array" ref="K267">INT(SUMPRODUCT(--ISNUMBER(SEARCH(economy,C267)))&gt;0)</f>
        <v>0</v>
      </c>
      <c r="L267" s="14" cm="1">
        <f t="array" ref="L267">INT(SUMPRODUCT(--ISNUMBER(SEARCH(healthcare,C267)))&gt;0)</f>
        <v>0</v>
      </c>
      <c r="M267" s="14" cm="1">
        <f t="array" ref="M267">INT(SUMPRODUCT(--ISNUMBER(SEARCH(supreme,C267)))&gt;0)</f>
        <v>0</v>
      </c>
      <c r="N267" s="14" cm="1">
        <f t="array" ref="N267">INT(SUMPRODUCT(--ISNUMBER(SEARCH(covid,C267)))&gt;0)</f>
        <v>0</v>
      </c>
      <c r="O267" s="14" cm="1">
        <f t="array" ref="O267">INT(SUMPRODUCT(--ISNUMBER(SEARCH(violent,C267)))&gt;0)</f>
        <v>0</v>
      </c>
      <c r="P267" s="14" cm="1">
        <f t="array" ref="P267">INT(SUMPRODUCT(--ISNUMBER(SEARCH(foreign,C267)))&gt;0)</f>
        <v>0</v>
      </c>
      <c r="Q267" s="14" cm="1">
        <f t="array" ref="Q267">INT(SUMPRODUCT(--ISNUMBER(SEARCH(gun,C267)))&gt;0)</f>
        <v>0</v>
      </c>
      <c r="R267" s="14" cm="1">
        <f t="array" ref="R267">INT(SUMPRODUCT(--ISNUMBER(SEARCH(race,C267)))&gt;0)</f>
        <v>0</v>
      </c>
      <c r="S267" s="14" cm="1">
        <f t="array" ref="S267">INT(SUMPRODUCT(--ISNUMBER(SEARCH(immigration,C267)))&gt;0)</f>
        <v>0</v>
      </c>
      <c r="T267" s="14" cm="1">
        <f t="array" ref="T267">INT(SUMPRODUCT(--ISNUMBER(SEARCH(econineq,C268)))&gt;0)</f>
        <v>0</v>
      </c>
      <c r="U267" s="14" cm="1">
        <f t="array" ref="U267">INT(SUMPRODUCT(--ISNUMBER(SEARCH(climate,C267)))&gt;0)</f>
        <v>0</v>
      </c>
      <c r="V267" s="14" cm="1">
        <f t="array" ref="V267">INT(SUMPRODUCT(--ISNUMBER(SEARCH(abortion,C267)))&gt;0)</f>
        <v>0</v>
      </c>
      <c r="W267" s="14" cm="1">
        <f t="array" ref="W267">INT(SUMPRODUCT(--ISNUMBER(SEARCH(trump,C267)))&gt;0)</f>
        <v>1</v>
      </c>
      <c r="X267" s="14" cm="1">
        <f t="array" ref="X267">INT(SUMPRODUCT(--ISNUMBER(SEARCH(voting,C267)))&gt;0)</f>
        <v>0</v>
      </c>
      <c r="Y267" s="35" cm="1">
        <f t="array" ref="Y267">INT(SUMPRODUCT(--ISNUMBER(SEARCH(republicantrigger,C267)))&gt;0)</f>
        <v>0</v>
      </c>
      <c r="Z267" s="35" cm="1">
        <f t="array" ref="Z267">INT(SUMPRODUCT(--ISNUMBER(SEARCH(bipartisan,C267)))&gt;0)</f>
        <v>0</v>
      </c>
      <c r="AA267" s="35">
        <f t="shared" si="4"/>
        <v>0</v>
      </c>
      <c r="AB267" s="14"/>
      <c r="AC267" s="30" t="s">
        <v>223</v>
      </c>
      <c r="AD267" s="37" t="s">
        <v>223</v>
      </c>
    </row>
    <row r="268" spans="1:30" x14ac:dyDescent="0.25">
      <c r="A268" s="36">
        <v>2774</v>
      </c>
      <c r="B268" s="14" t="s">
        <v>5573</v>
      </c>
      <c r="C268" s="14" t="s">
        <v>5574</v>
      </c>
      <c r="D268" s="17">
        <v>44109</v>
      </c>
      <c r="E268" s="14" t="s">
        <v>30</v>
      </c>
      <c r="F268" s="14">
        <v>54</v>
      </c>
      <c r="G268" s="14">
        <v>14</v>
      </c>
      <c r="H268" s="14">
        <v>12</v>
      </c>
      <c r="I268" s="14">
        <v>6</v>
      </c>
      <c r="J268" s="14" t="s">
        <v>31</v>
      </c>
      <c r="K268" s="14" cm="1">
        <f t="array" ref="K268">INT(SUMPRODUCT(--ISNUMBER(SEARCH(economy,C268)))&gt;0)</f>
        <v>1</v>
      </c>
      <c r="L268" s="14" cm="1">
        <f t="array" ref="L268">INT(SUMPRODUCT(--ISNUMBER(SEARCH(healthcare,C268)))&gt;0)</f>
        <v>0</v>
      </c>
      <c r="M268" s="14" cm="1">
        <f t="array" ref="M268">INT(SUMPRODUCT(--ISNUMBER(SEARCH(supreme,C268)))&gt;0)</f>
        <v>0</v>
      </c>
      <c r="N268" s="14" cm="1">
        <f t="array" ref="N268">INT(SUMPRODUCT(--ISNUMBER(SEARCH(covid,C268)))&gt;0)</f>
        <v>0</v>
      </c>
      <c r="O268" s="14" cm="1">
        <f t="array" ref="O268">INT(SUMPRODUCT(--ISNUMBER(SEARCH(violent,C268)))&gt;0)</f>
        <v>0</v>
      </c>
      <c r="P268" s="14" cm="1">
        <f t="array" ref="P268">INT(SUMPRODUCT(--ISNUMBER(SEARCH(foreign,C268)))&gt;0)</f>
        <v>1</v>
      </c>
      <c r="Q268" s="14" cm="1">
        <f t="array" ref="Q268">INT(SUMPRODUCT(--ISNUMBER(SEARCH(gun,C268)))&gt;0)</f>
        <v>0</v>
      </c>
      <c r="R268" s="14" cm="1">
        <f t="array" ref="R268">INT(SUMPRODUCT(--ISNUMBER(SEARCH(race,C268)))&gt;0)</f>
        <v>0</v>
      </c>
      <c r="S268" s="14" cm="1">
        <f t="array" ref="S268">INT(SUMPRODUCT(--ISNUMBER(SEARCH(immigration,C268)))&gt;0)</f>
        <v>0</v>
      </c>
      <c r="T268" s="14" cm="1">
        <f t="array" ref="T268">INT(SUMPRODUCT(--ISNUMBER(SEARCH(econineq,C269)))&gt;0)</f>
        <v>0</v>
      </c>
      <c r="U268" s="14" cm="1">
        <f t="array" ref="U268">INT(SUMPRODUCT(--ISNUMBER(SEARCH(climate,C268)))&gt;0)</f>
        <v>0</v>
      </c>
      <c r="V268" s="14" cm="1">
        <f t="array" ref="V268">INT(SUMPRODUCT(--ISNUMBER(SEARCH(abortion,C268)))&gt;0)</f>
        <v>0</v>
      </c>
      <c r="W268" s="14" cm="1">
        <f t="array" ref="W268">INT(SUMPRODUCT(--ISNUMBER(SEARCH(trump,C268)))&gt;0)</f>
        <v>0</v>
      </c>
      <c r="X268" s="14" cm="1">
        <f t="array" ref="X268">INT(SUMPRODUCT(--ISNUMBER(SEARCH(voting,C268)))&gt;0)</f>
        <v>0</v>
      </c>
      <c r="Y268" s="35" cm="1">
        <f t="array" ref="Y268">INT(SUMPRODUCT(--ISNUMBER(SEARCH(republicantrigger,C268)))&gt;0)</f>
        <v>0</v>
      </c>
      <c r="Z268" s="35" cm="1">
        <f t="array" ref="Z268">INT(SUMPRODUCT(--ISNUMBER(SEARCH(bipartisan,C268)))&gt;0)</f>
        <v>0</v>
      </c>
      <c r="AA268" s="35">
        <f t="shared" si="4"/>
        <v>0</v>
      </c>
      <c r="AB268" s="14"/>
      <c r="AC268" s="30" t="s">
        <v>223</v>
      </c>
      <c r="AD268" s="37" t="s">
        <v>223</v>
      </c>
    </row>
    <row r="269" spans="1:30" x14ac:dyDescent="0.25">
      <c r="A269" s="36">
        <v>2775</v>
      </c>
      <c r="B269" s="14" t="s">
        <v>5575</v>
      </c>
      <c r="C269" s="14" t="s">
        <v>5576</v>
      </c>
      <c r="D269" s="17">
        <v>44109</v>
      </c>
      <c r="E269" s="14" t="s">
        <v>30</v>
      </c>
      <c r="F269" s="14">
        <v>81</v>
      </c>
      <c r="G269" s="14">
        <v>32</v>
      </c>
      <c r="H269" s="14">
        <v>12</v>
      </c>
      <c r="I269" s="14">
        <v>6</v>
      </c>
      <c r="J269" s="14" t="s">
        <v>31</v>
      </c>
      <c r="K269" s="14" cm="1">
        <f t="array" ref="K269">INT(SUMPRODUCT(--ISNUMBER(SEARCH(economy,C269)))&gt;0)</f>
        <v>1</v>
      </c>
      <c r="L269" s="14" cm="1">
        <f t="array" ref="L269">INT(SUMPRODUCT(--ISNUMBER(SEARCH(healthcare,C269)))&gt;0)</f>
        <v>0</v>
      </c>
      <c r="M269" s="14" cm="1">
        <f t="array" ref="M269">INT(SUMPRODUCT(--ISNUMBER(SEARCH(supreme,C269)))&gt;0)</f>
        <v>0</v>
      </c>
      <c r="N269" s="14" cm="1">
        <f t="array" ref="N269">INT(SUMPRODUCT(--ISNUMBER(SEARCH(covid,C269)))&gt;0)</f>
        <v>1</v>
      </c>
      <c r="O269" s="14" cm="1">
        <f t="array" ref="O269">INT(SUMPRODUCT(--ISNUMBER(SEARCH(violent,C269)))&gt;0)</f>
        <v>0</v>
      </c>
      <c r="P269" s="14" cm="1">
        <f t="array" ref="P269">INT(SUMPRODUCT(--ISNUMBER(SEARCH(foreign,C269)))&gt;0)</f>
        <v>0</v>
      </c>
      <c r="Q269" s="14" cm="1">
        <f t="array" ref="Q269">INT(SUMPRODUCT(--ISNUMBER(SEARCH(gun,C269)))&gt;0)</f>
        <v>0</v>
      </c>
      <c r="R269" s="14" cm="1">
        <f t="array" ref="R269">INT(SUMPRODUCT(--ISNUMBER(SEARCH(race,C269)))&gt;0)</f>
        <v>0</v>
      </c>
      <c r="S269" s="14" cm="1">
        <f t="array" ref="S269">INT(SUMPRODUCT(--ISNUMBER(SEARCH(immigration,C269)))&gt;0)</f>
        <v>0</v>
      </c>
      <c r="T269" s="14" cm="1">
        <f t="array" ref="T269">INT(SUMPRODUCT(--ISNUMBER(SEARCH(econineq,C270)))&gt;0)</f>
        <v>0</v>
      </c>
      <c r="U269" s="14" cm="1">
        <f t="array" ref="U269">INT(SUMPRODUCT(--ISNUMBER(SEARCH(climate,C269)))&gt;0)</f>
        <v>0</v>
      </c>
      <c r="V269" s="14" cm="1">
        <f t="array" ref="V269">INT(SUMPRODUCT(--ISNUMBER(SEARCH(abortion,C269)))&gt;0)</f>
        <v>0</v>
      </c>
      <c r="W269" s="14" cm="1">
        <f t="array" ref="W269">INT(SUMPRODUCT(--ISNUMBER(SEARCH(trump,C269)))&gt;0)</f>
        <v>0</v>
      </c>
      <c r="X269" s="14" cm="1">
        <f t="array" ref="X269">INT(SUMPRODUCT(--ISNUMBER(SEARCH(voting,C269)))&gt;0)</f>
        <v>0</v>
      </c>
      <c r="Y269" s="35" cm="1">
        <f t="array" ref="Y269">INT(SUMPRODUCT(--ISNUMBER(SEARCH(republicantrigger,C269)))&gt;0)</f>
        <v>0</v>
      </c>
      <c r="Z269" s="35" cm="1">
        <f t="array" ref="Z269">INT(SUMPRODUCT(--ISNUMBER(SEARCH(bipartisan,C269)))&gt;0)</f>
        <v>0</v>
      </c>
      <c r="AA269" s="35">
        <f t="shared" si="4"/>
        <v>0</v>
      </c>
      <c r="AB269" s="14"/>
      <c r="AC269" s="30" t="s">
        <v>223</v>
      </c>
      <c r="AD269" s="37" t="s">
        <v>223</v>
      </c>
    </row>
    <row r="270" spans="1:30" x14ac:dyDescent="0.25">
      <c r="A270" s="36">
        <v>2776</v>
      </c>
      <c r="B270" s="14" t="s">
        <v>5577</v>
      </c>
      <c r="C270" s="14" t="s">
        <v>5578</v>
      </c>
      <c r="D270" s="17">
        <v>44108</v>
      </c>
      <c r="E270" s="14" t="s">
        <v>30</v>
      </c>
      <c r="F270" s="14">
        <v>79</v>
      </c>
      <c r="G270" s="14">
        <v>23</v>
      </c>
      <c r="H270" s="14">
        <v>12</v>
      </c>
      <c r="I270" s="14">
        <v>6</v>
      </c>
      <c r="J270" s="14" t="s">
        <v>31</v>
      </c>
      <c r="K270" s="14" cm="1">
        <f t="array" ref="K270">INT(SUMPRODUCT(--ISNUMBER(SEARCH(economy,C270)))&gt;0)</f>
        <v>0</v>
      </c>
      <c r="L270" s="14" cm="1">
        <f t="array" ref="L270">INT(SUMPRODUCT(--ISNUMBER(SEARCH(healthcare,C270)))&gt;0)</f>
        <v>0</v>
      </c>
      <c r="M270" s="14" cm="1">
        <f t="array" ref="M270">INT(SUMPRODUCT(--ISNUMBER(SEARCH(supreme,C270)))&gt;0)</f>
        <v>0</v>
      </c>
      <c r="N270" s="14" cm="1">
        <f t="array" ref="N270">INT(SUMPRODUCT(--ISNUMBER(SEARCH(covid,C270)))&gt;0)</f>
        <v>0</v>
      </c>
      <c r="O270" s="14" cm="1">
        <f t="array" ref="O270">INT(SUMPRODUCT(--ISNUMBER(SEARCH(violent,C270)))&gt;0)</f>
        <v>0</v>
      </c>
      <c r="P270" s="14" cm="1">
        <f t="array" ref="P270">INT(SUMPRODUCT(--ISNUMBER(SEARCH(foreign,C270)))&gt;0)</f>
        <v>0</v>
      </c>
      <c r="Q270" s="14" cm="1">
        <f t="array" ref="Q270">INT(SUMPRODUCT(--ISNUMBER(SEARCH(gun,C270)))&gt;0)</f>
        <v>0</v>
      </c>
      <c r="R270" s="14" cm="1">
        <f t="array" ref="R270">INT(SUMPRODUCT(--ISNUMBER(SEARCH(race,C270)))&gt;0)</f>
        <v>0</v>
      </c>
      <c r="S270" s="14" cm="1">
        <f t="array" ref="S270">INT(SUMPRODUCT(--ISNUMBER(SEARCH(immigration,C270)))&gt;0)</f>
        <v>0</v>
      </c>
      <c r="T270" s="14" cm="1">
        <f t="array" ref="T270">INT(SUMPRODUCT(--ISNUMBER(SEARCH(econineq,C271)))&gt;0)</f>
        <v>0</v>
      </c>
      <c r="U270" s="14" cm="1">
        <f t="array" ref="U270">INT(SUMPRODUCT(--ISNUMBER(SEARCH(climate,C270)))&gt;0)</f>
        <v>0</v>
      </c>
      <c r="V270" s="14" cm="1">
        <f t="array" ref="V270">INT(SUMPRODUCT(--ISNUMBER(SEARCH(abortion,C270)))&gt;0)</f>
        <v>0</v>
      </c>
      <c r="W270" s="14" cm="1">
        <f t="array" ref="W270">INT(SUMPRODUCT(--ISNUMBER(SEARCH(trump,C270)))&gt;0)</f>
        <v>0</v>
      </c>
      <c r="X270" s="14" cm="1">
        <f t="array" ref="X270">INT(SUMPRODUCT(--ISNUMBER(SEARCH(voting,C270)))&gt;0)</f>
        <v>0</v>
      </c>
      <c r="Y270" s="35" cm="1">
        <f t="array" ref="Y270">INT(SUMPRODUCT(--ISNUMBER(SEARCH(republicantrigger,C270)))&gt;0)</f>
        <v>0</v>
      </c>
      <c r="Z270" s="35" cm="1">
        <f t="array" ref="Z270">INT(SUMPRODUCT(--ISNUMBER(SEARCH(bipartisan,C270)))&gt;0)</f>
        <v>0</v>
      </c>
      <c r="AA270" s="35">
        <f t="shared" si="4"/>
        <v>1</v>
      </c>
      <c r="AB270" s="14"/>
      <c r="AC270" s="30" t="s">
        <v>223</v>
      </c>
      <c r="AD270" s="37" t="s">
        <v>223</v>
      </c>
    </row>
    <row r="271" spans="1:30" x14ac:dyDescent="0.25">
      <c r="A271" s="36">
        <v>2777</v>
      </c>
      <c r="B271" s="14" t="s">
        <v>5579</v>
      </c>
      <c r="C271" s="14" t="s">
        <v>5580</v>
      </c>
      <c r="D271" s="17">
        <v>44108</v>
      </c>
      <c r="E271" s="14" t="s">
        <v>70</v>
      </c>
      <c r="F271" s="14">
        <v>2</v>
      </c>
      <c r="G271" s="14">
        <v>0</v>
      </c>
      <c r="H271" s="14">
        <v>12</v>
      </c>
      <c r="I271" s="14">
        <v>6</v>
      </c>
      <c r="J271" s="14" t="s">
        <v>31</v>
      </c>
      <c r="K271" s="14" cm="1">
        <f t="array" ref="K271">INT(SUMPRODUCT(--ISNUMBER(SEARCH(economy,C271)))&gt;0)</f>
        <v>0</v>
      </c>
      <c r="L271" s="14" cm="1">
        <f t="array" ref="L271">INT(SUMPRODUCT(--ISNUMBER(SEARCH(healthcare,C271)))&gt;0)</f>
        <v>0</v>
      </c>
      <c r="M271" s="14" cm="1">
        <f t="array" ref="M271">INT(SUMPRODUCT(--ISNUMBER(SEARCH(supreme,C271)))&gt;0)</f>
        <v>0</v>
      </c>
      <c r="N271" s="14" cm="1">
        <f t="array" ref="N271">INT(SUMPRODUCT(--ISNUMBER(SEARCH(covid,C271)))&gt;0)</f>
        <v>0</v>
      </c>
      <c r="O271" s="14" cm="1">
        <f t="array" ref="O271">INT(SUMPRODUCT(--ISNUMBER(SEARCH(violent,C271)))&gt;0)</f>
        <v>0</v>
      </c>
      <c r="P271" s="14" cm="1">
        <f t="array" ref="P271">INT(SUMPRODUCT(--ISNUMBER(SEARCH(foreign,C271)))&gt;0)</f>
        <v>0</v>
      </c>
      <c r="Q271" s="14" cm="1">
        <f t="array" ref="Q271">INT(SUMPRODUCT(--ISNUMBER(SEARCH(gun,C271)))&gt;0)</f>
        <v>0</v>
      </c>
      <c r="R271" s="14" cm="1">
        <f t="array" ref="R271">INT(SUMPRODUCT(--ISNUMBER(SEARCH(race,C271)))&gt;0)</f>
        <v>0</v>
      </c>
      <c r="S271" s="14" cm="1">
        <f t="array" ref="S271">INT(SUMPRODUCT(--ISNUMBER(SEARCH(immigration,C271)))&gt;0)</f>
        <v>0</v>
      </c>
      <c r="T271" s="14" cm="1">
        <f t="array" ref="T271">INT(SUMPRODUCT(--ISNUMBER(SEARCH(econineq,C272)))&gt;0)</f>
        <v>0</v>
      </c>
      <c r="U271" s="14" cm="1">
        <f t="array" ref="U271">INT(SUMPRODUCT(--ISNUMBER(SEARCH(climate,C271)))&gt;0)</f>
        <v>0</v>
      </c>
      <c r="V271" s="14" cm="1">
        <f t="array" ref="V271">INT(SUMPRODUCT(--ISNUMBER(SEARCH(abortion,C271)))&gt;0)</f>
        <v>0</v>
      </c>
      <c r="W271" s="14" cm="1">
        <f t="array" ref="W271">INT(SUMPRODUCT(--ISNUMBER(SEARCH(trump,C271)))&gt;0)</f>
        <v>0</v>
      </c>
      <c r="X271" s="14" cm="1">
        <f t="array" ref="X271">INT(SUMPRODUCT(--ISNUMBER(SEARCH(voting,C271)))&gt;0)</f>
        <v>0</v>
      </c>
      <c r="Y271" s="35" cm="1">
        <f t="array" ref="Y271">INT(SUMPRODUCT(--ISNUMBER(SEARCH(republicantrigger,C271)))&gt;0)</f>
        <v>0</v>
      </c>
      <c r="Z271" s="35" cm="1">
        <f t="array" ref="Z271">INT(SUMPRODUCT(--ISNUMBER(SEARCH(bipartisan,C271)))&gt;0)</f>
        <v>0</v>
      </c>
      <c r="AA271" s="35">
        <f t="shared" si="4"/>
        <v>1</v>
      </c>
      <c r="AB271" s="14"/>
      <c r="AC271" s="30" t="s">
        <v>223</v>
      </c>
      <c r="AD271" s="37" t="s">
        <v>223</v>
      </c>
    </row>
    <row r="272" spans="1:30" x14ac:dyDescent="0.25">
      <c r="A272" s="36">
        <v>2778</v>
      </c>
      <c r="B272" s="14" t="s">
        <v>5581</v>
      </c>
      <c r="C272" s="14" t="s">
        <v>5582</v>
      </c>
      <c r="D272" s="17">
        <v>44108</v>
      </c>
      <c r="E272" s="14" t="s">
        <v>30</v>
      </c>
      <c r="F272" s="14">
        <v>92</v>
      </c>
      <c r="G272" s="14">
        <v>41</v>
      </c>
      <c r="H272" s="14">
        <v>12</v>
      </c>
      <c r="I272" s="14">
        <v>6</v>
      </c>
      <c r="J272" s="14" t="s">
        <v>31</v>
      </c>
      <c r="K272" s="14" cm="1">
        <f t="array" ref="K272">INT(SUMPRODUCT(--ISNUMBER(SEARCH(economy,C272)))&gt;0)</f>
        <v>0</v>
      </c>
      <c r="L272" s="14" cm="1">
        <f t="array" ref="L272">INT(SUMPRODUCT(--ISNUMBER(SEARCH(healthcare,C272)))&gt;0)</f>
        <v>1</v>
      </c>
      <c r="M272" s="14" cm="1">
        <f t="array" ref="M272">INT(SUMPRODUCT(--ISNUMBER(SEARCH(supreme,C272)))&gt;0)</f>
        <v>0</v>
      </c>
      <c r="N272" s="14" cm="1">
        <f t="array" ref="N272">INT(SUMPRODUCT(--ISNUMBER(SEARCH(covid,C272)))&gt;0)</f>
        <v>0</v>
      </c>
      <c r="O272" s="14" cm="1">
        <f t="array" ref="O272">INT(SUMPRODUCT(--ISNUMBER(SEARCH(violent,C272)))&gt;0)</f>
        <v>0</v>
      </c>
      <c r="P272" s="14" cm="1">
        <f t="array" ref="P272">INT(SUMPRODUCT(--ISNUMBER(SEARCH(foreign,C272)))&gt;0)</f>
        <v>0</v>
      </c>
      <c r="Q272" s="14" cm="1">
        <f t="array" ref="Q272">INT(SUMPRODUCT(--ISNUMBER(SEARCH(gun,C272)))&gt;0)</f>
        <v>0</v>
      </c>
      <c r="R272" s="14" cm="1">
        <f t="array" ref="R272">INT(SUMPRODUCT(--ISNUMBER(SEARCH(race,C272)))&gt;0)</f>
        <v>0</v>
      </c>
      <c r="S272" s="14" cm="1">
        <f t="array" ref="S272">INT(SUMPRODUCT(--ISNUMBER(SEARCH(immigration,C272)))&gt;0)</f>
        <v>0</v>
      </c>
      <c r="T272" s="14" cm="1">
        <f t="array" ref="T272">INT(SUMPRODUCT(--ISNUMBER(SEARCH(econineq,C273)))&gt;0)</f>
        <v>0</v>
      </c>
      <c r="U272" s="14" cm="1">
        <f t="array" ref="U272">INT(SUMPRODUCT(--ISNUMBER(SEARCH(climate,C272)))&gt;0)</f>
        <v>0</v>
      </c>
      <c r="V272" s="14" cm="1">
        <f t="array" ref="V272">INT(SUMPRODUCT(--ISNUMBER(SEARCH(abortion,C272)))&gt;0)</f>
        <v>0</v>
      </c>
      <c r="W272" s="14" cm="1">
        <f t="array" ref="W272">INT(SUMPRODUCT(--ISNUMBER(SEARCH(trump,C272)))&gt;0)</f>
        <v>0</v>
      </c>
      <c r="X272" s="14" cm="1">
        <f t="array" ref="X272">INT(SUMPRODUCT(--ISNUMBER(SEARCH(voting,C272)))&gt;0)</f>
        <v>0</v>
      </c>
      <c r="Y272" s="35" cm="1">
        <f t="array" ref="Y272">INT(SUMPRODUCT(--ISNUMBER(SEARCH(republicantrigger,C272)))&gt;0)</f>
        <v>1</v>
      </c>
      <c r="Z272" s="35" cm="1">
        <f t="array" ref="Z272">INT(SUMPRODUCT(--ISNUMBER(SEARCH(bipartisan,C272)))&gt;0)</f>
        <v>0</v>
      </c>
      <c r="AA272" s="35">
        <f t="shared" si="4"/>
        <v>0</v>
      </c>
      <c r="AB272" s="14"/>
      <c r="AC272" s="30" t="s">
        <v>223</v>
      </c>
      <c r="AD272" s="37" t="s">
        <v>223</v>
      </c>
    </row>
    <row r="273" spans="1:30" x14ac:dyDescent="0.25">
      <c r="A273" s="36">
        <v>2779</v>
      </c>
      <c r="B273" s="14" t="s">
        <v>5583</v>
      </c>
      <c r="C273" s="14" t="s">
        <v>5584</v>
      </c>
      <c r="D273" s="17">
        <v>44108</v>
      </c>
      <c r="E273" s="14" t="s">
        <v>30</v>
      </c>
      <c r="F273" s="14">
        <v>148</v>
      </c>
      <c r="G273" s="14">
        <v>34</v>
      </c>
      <c r="H273" s="14">
        <v>12</v>
      </c>
      <c r="I273" s="14">
        <v>6</v>
      </c>
      <c r="J273" s="14" t="s">
        <v>31</v>
      </c>
      <c r="K273" s="14" cm="1">
        <f t="array" ref="K273">INT(SUMPRODUCT(--ISNUMBER(SEARCH(economy,C273)))&gt;0)</f>
        <v>0</v>
      </c>
      <c r="L273" s="14" cm="1">
        <f t="array" ref="L273">INT(SUMPRODUCT(--ISNUMBER(SEARCH(healthcare,C273)))&gt;0)</f>
        <v>1</v>
      </c>
      <c r="M273" s="14" cm="1">
        <f t="array" ref="M273">INT(SUMPRODUCT(--ISNUMBER(SEARCH(supreme,C273)))&gt;0)</f>
        <v>0</v>
      </c>
      <c r="N273" s="14" cm="1">
        <f t="array" ref="N273">INT(SUMPRODUCT(--ISNUMBER(SEARCH(covid,C273)))&gt;0)</f>
        <v>0</v>
      </c>
      <c r="O273" s="14" cm="1">
        <f t="array" ref="O273">INT(SUMPRODUCT(--ISNUMBER(SEARCH(violent,C273)))&gt;0)</f>
        <v>0</v>
      </c>
      <c r="P273" s="14" cm="1">
        <f t="array" ref="P273">INT(SUMPRODUCT(--ISNUMBER(SEARCH(foreign,C273)))&gt;0)</f>
        <v>0</v>
      </c>
      <c r="Q273" s="14" cm="1">
        <f t="array" ref="Q273">INT(SUMPRODUCT(--ISNUMBER(SEARCH(gun,C273)))&gt;0)</f>
        <v>0</v>
      </c>
      <c r="R273" s="14" cm="1">
        <f t="array" ref="R273">INT(SUMPRODUCT(--ISNUMBER(SEARCH(race,C273)))&gt;0)</f>
        <v>1</v>
      </c>
      <c r="S273" s="14" cm="1">
        <f t="array" ref="S273">INT(SUMPRODUCT(--ISNUMBER(SEARCH(immigration,C273)))&gt;0)</f>
        <v>0</v>
      </c>
      <c r="T273" s="14" cm="1">
        <f t="array" ref="T273">INT(SUMPRODUCT(--ISNUMBER(SEARCH(econineq,C274)))&gt;0)</f>
        <v>0</v>
      </c>
      <c r="U273" s="14" cm="1">
        <f t="array" ref="U273">INT(SUMPRODUCT(--ISNUMBER(SEARCH(climate,C273)))&gt;0)</f>
        <v>0</v>
      </c>
      <c r="V273" s="14" cm="1">
        <f t="array" ref="V273">INT(SUMPRODUCT(--ISNUMBER(SEARCH(abortion,C273)))&gt;0)</f>
        <v>0</v>
      </c>
      <c r="W273" s="14" cm="1">
        <f t="array" ref="W273">INT(SUMPRODUCT(--ISNUMBER(SEARCH(trump,C273)))&gt;0)</f>
        <v>1</v>
      </c>
      <c r="X273" s="14" cm="1">
        <f t="array" ref="X273">INT(SUMPRODUCT(--ISNUMBER(SEARCH(voting,C273)))&gt;0)</f>
        <v>0</v>
      </c>
      <c r="Y273" s="35" cm="1">
        <f t="array" ref="Y273">INT(SUMPRODUCT(--ISNUMBER(SEARCH(republicantrigger,C273)))&gt;0)</f>
        <v>0</v>
      </c>
      <c r="Z273" s="35" cm="1">
        <f t="array" ref="Z273">INT(SUMPRODUCT(--ISNUMBER(SEARCH(bipartisan,C273)))&gt;0)</f>
        <v>0</v>
      </c>
      <c r="AA273" s="35">
        <f t="shared" si="4"/>
        <v>0</v>
      </c>
      <c r="AB273" s="14"/>
      <c r="AC273" s="30" t="s">
        <v>223</v>
      </c>
      <c r="AD273" s="37" t="s">
        <v>223</v>
      </c>
    </row>
    <row r="274" spans="1:30" x14ac:dyDescent="0.25">
      <c r="A274" s="36">
        <v>2780</v>
      </c>
      <c r="B274" s="14" t="s">
        <v>5585</v>
      </c>
      <c r="C274" s="14" t="s">
        <v>5586</v>
      </c>
      <c r="D274" s="17">
        <v>44108</v>
      </c>
      <c r="E274" s="14" t="s">
        <v>30</v>
      </c>
      <c r="F274" s="14">
        <v>85</v>
      </c>
      <c r="G274" s="14">
        <v>34</v>
      </c>
      <c r="H274" s="14">
        <v>12</v>
      </c>
      <c r="I274" s="14">
        <v>6</v>
      </c>
      <c r="J274" s="14" t="s">
        <v>31</v>
      </c>
      <c r="K274" s="14" cm="1">
        <f t="array" ref="K274">INT(SUMPRODUCT(--ISNUMBER(SEARCH(economy,C274)))&gt;0)</f>
        <v>0</v>
      </c>
      <c r="L274" s="14" cm="1">
        <f t="array" ref="L274">INT(SUMPRODUCT(--ISNUMBER(SEARCH(healthcare,C274)))&gt;0)</f>
        <v>0</v>
      </c>
      <c r="M274" s="14" cm="1">
        <f t="array" ref="M274">INT(SUMPRODUCT(--ISNUMBER(SEARCH(supreme,C274)))&gt;0)</f>
        <v>0</v>
      </c>
      <c r="N274" s="14" cm="1">
        <f t="array" ref="N274">INT(SUMPRODUCT(--ISNUMBER(SEARCH(covid,C274)))&gt;0)</f>
        <v>0</v>
      </c>
      <c r="O274" s="14" cm="1">
        <f t="array" ref="O274">INT(SUMPRODUCT(--ISNUMBER(SEARCH(violent,C274)))&gt;0)</f>
        <v>0</v>
      </c>
      <c r="P274" s="14" cm="1">
        <f t="array" ref="P274">INT(SUMPRODUCT(--ISNUMBER(SEARCH(foreign,C274)))&gt;0)</f>
        <v>0</v>
      </c>
      <c r="Q274" s="14" cm="1">
        <f t="array" ref="Q274">INT(SUMPRODUCT(--ISNUMBER(SEARCH(gun,C274)))&gt;0)</f>
        <v>0</v>
      </c>
      <c r="R274" s="14" cm="1">
        <f t="array" ref="R274">INT(SUMPRODUCT(--ISNUMBER(SEARCH(race,C274)))&gt;0)</f>
        <v>0</v>
      </c>
      <c r="S274" s="14" cm="1">
        <f t="array" ref="S274">INT(SUMPRODUCT(--ISNUMBER(SEARCH(immigration,C274)))&gt;0)</f>
        <v>0</v>
      </c>
      <c r="T274" s="14" cm="1">
        <f t="array" ref="T274">INT(SUMPRODUCT(--ISNUMBER(SEARCH(econineq,C275)))&gt;0)</f>
        <v>0</v>
      </c>
      <c r="U274" s="14" cm="1">
        <f t="array" ref="U274">INT(SUMPRODUCT(--ISNUMBER(SEARCH(climate,C274)))&gt;0)</f>
        <v>0</v>
      </c>
      <c r="V274" s="14" cm="1">
        <f t="array" ref="V274">INT(SUMPRODUCT(--ISNUMBER(SEARCH(abortion,C274)))&gt;0)</f>
        <v>0</v>
      </c>
      <c r="W274" s="14" cm="1">
        <f t="array" ref="W274">INT(SUMPRODUCT(--ISNUMBER(SEARCH(trump,C274)))&gt;0)</f>
        <v>1</v>
      </c>
      <c r="X274" s="14" cm="1">
        <f t="array" ref="X274">INT(SUMPRODUCT(--ISNUMBER(SEARCH(voting,C274)))&gt;0)</f>
        <v>1</v>
      </c>
      <c r="Y274" s="35" cm="1">
        <f t="array" ref="Y274">INT(SUMPRODUCT(--ISNUMBER(SEARCH(republicantrigger,C274)))&gt;0)</f>
        <v>1</v>
      </c>
      <c r="Z274" s="35" cm="1">
        <f t="array" ref="Z274">INT(SUMPRODUCT(--ISNUMBER(SEARCH(bipartisan,C274)))&gt;0)</f>
        <v>0</v>
      </c>
      <c r="AA274" s="35">
        <f t="shared" si="4"/>
        <v>0</v>
      </c>
      <c r="AB274" s="14"/>
      <c r="AC274" s="30" t="s">
        <v>223</v>
      </c>
      <c r="AD274" s="37" t="s">
        <v>223</v>
      </c>
    </row>
    <row r="275" spans="1:30" x14ac:dyDescent="0.25">
      <c r="A275" s="36">
        <v>2781</v>
      </c>
      <c r="B275" s="14" t="s">
        <v>5587</v>
      </c>
      <c r="C275" s="14" t="s">
        <v>5588</v>
      </c>
      <c r="D275" s="17">
        <v>44108</v>
      </c>
      <c r="E275" s="14" t="s">
        <v>30</v>
      </c>
      <c r="F275" s="14">
        <v>44</v>
      </c>
      <c r="G275" s="14">
        <v>11</v>
      </c>
      <c r="H275" s="14">
        <v>12</v>
      </c>
      <c r="I275" s="14">
        <v>6</v>
      </c>
      <c r="J275" s="14" t="s">
        <v>31</v>
      </c>
      <c r="K275" s="14" cm="1">
        <f t="array" ref="K275">INT(SUMPRODUCT(--ISNUMBER(SEARCH(economy,C275)))&gt;0)</f>
        <v>0</v>
      </c>
      <c r="L275" s="14" cm="1">
        <f t="array" ref="L275">INT(SUMPRODUCT(--ISNUMBER(SEARCH(healthcare,C275)))&gt;0)</f>
        <v>0</v>
      </c>
      <c r="M275" s="14" cm="1">
        <f t="array" ref="M275">INT(SUMPRODUCT(--ISNUMBER(SEARCH(supreme,C275)))&gt;0)</f>
        <v>0</v>
      </c>
      <c r="N275" s="14" cm="1">
        <f t="array" ref="N275">INT(SUMPRODUCT(--ISNUMBER(SEARCH(covid,C275)))&gt;0)</f>
        <v>0</v>
      </c>
      <c r="O275" s="14" cm="1">
        <f t="array" ref="O275">INT(SUMPRODUCT(--ISNUMBER(SEARCH(violent,C275)))&gt;0)</f>
        <v>0</v>
      </c>
      <c r="P275" s="14" cm="1">
        <f t="array" ref="P275">INT(SUMPRODUCT(--ISNUMBER(SEARCH(foreign,C275)))&gt;0)</f>
        <v>0</v>
      </c>
      <c r="Q275" s="14" cm="1">
        <f t="array" ref="Q275">INT(SUMPRODUCT(--ISNUMBER(SEARCH(gun,C275)))&gt;0)</f>
        <v>0</v>
      </c>
      <c r="R275" s="14" cm="1">
        <f t="array" ref="R275">INT(SUMPRODUCT(--ISNUMBER(SEARCH(race,C275)))&gt;0)</f>
        <v>0</v>
      </c>
      <c r="S275" s="14" cm="1">
        <f t="array" ref="S275">INT(SUMPRODUCT(--ISNUMBER(SEARCH(immigration,C275)))&gt;0)</f>
        <v>0</v>
      </c>
      <c r="T275" s="14" cm="1">
        <f t="array" ref="T275">INT(SUMPRODUCT(--ISNUMBER(SEARCH(econineq,C276)))&gt;0)</f>
        <v>0</v>
      </c>
      <c r="U275" s="14" cm="1">
        <f t="array" ref="U275">INT(SUMPRODUCT(--ISNUMBER(SEARCH(climate,C275)))&gt;0)</f>
        <v>0</v>
      </c>
      <c r="V275" s="14" cm="1">
        <f t="array" ref="V275">INT(SUMPRODUCT(--ISNUMBER(SEARCH(abortion,C275)))&gt;0)</f>
        <v>0</v>
      </c>
      <c r="W275" s="14" cm="1">
        <f t="array" ref="W275">INT(SUMPRODUCT(--ISNUMBER(SEARCH(trump,C275)))&gt;0)</f>
        <v>0</v>
      </c>
      <c r="X275" s="14" cm="1">
        <f t="array" ref="X275">INT(SUMPRODUCT(--ISNUMBER(SEARCH(voting,C275)))&gt;0)</f>
        <v>0</v>
      </c>
      <c r="Y275" s="35" cm="1">
        <f t="array" ref="Y275">INT(SUMPRODUCT(--ISNUMBER(SEARCH(republicantrigger,C275)))&gt;0)</f>
        <v>0</v>
      </c>
      <c r="Z275" s="35" cm="1">
        <f t="array" ref="Z275">INT(SUMPRODUCT(--ISNUMBER(SEARCH(bipartisan,C275)))&gt;0)</f>
        <v>0</v>
      </c>
      <c r="AA275" s="35">
        <f t="shared" si="4"/>
        <v>1</v>
      </c>
      <c r="AB275" s="14"/>
      <c r="AC275" s="30" t="s">
        <v>223</v>
      </c>
      <c r="AD275" s="37" t="s">
        <v>223</v>
      </c>
    </row>
    <row r="276" spans="1:30" x14ac:dyDescent="0.25">
      <c r="A276" s="36">
        <v>2782</v>
      </c>
      <c r="B276" s="14" t="s">
        <v>5589</v>
      </c>
      <c r="C276" s="14" t="s">
        <v>5590</v>
      </c>
      <c r="D276" s="17">
        <v>44108</v>
      </c>
      <c r="E276" s="14" t="s">
        <v>30</v>
      </c>
      <c r="F276" s="14">
        <v>455</v>
      </c>
      <c r="G276" s="14">
        <v>119</v>
      </c>
      <c r="H276" s="14">
        <v>12</v>
      </c>
      <c r="I276" s="14">
        <v>6</v>
      </c>
      <c r="J276" s="14" t="s">
        <v>31</v>
      </c>
      <c r="K276" s="14" cm="1">
        <f t="array" ref="K276">INT(SUMPRODUCT(--ISNUMBER(SEARCH(economy,C276)))&gt;0)</f>
        <v>0</v>
      </c>
      <c r="L276" s="14" cm="1">
        <f t="array" ref="L276">INT(SUMPRODUCT(--ISNUMBER(SEARCH(healthcare,C276)))&gt;0)</f>
        <v>0</v>
      </c>
      <c r="M276" s="14" cm="1">
        <f t="array" ref="M276">INT(SUMPRODUCT(--ISNUMBER(SEARCH(supreme,C276)))&gt;0)</f>
        <v>0</v>
      </c>
      <c r="N276" s="14" cm="1">
        <f t="array" ref="N276">INT(SUMPRODUCT(--ISNUMBER(SEARCH(covid,C276)))&gt;0)</f>
        <v>0</v>
      </c>
      <c r="O276" s="14" cm="1">
        <f t="array" ref="O276">INT(SUMPRODUCT(--ISNUMBER(SEARCH(violent,C276)))&gt;0)</f>
        <v>0</v>
      </c>
      <c r="P276" s="14" cm="1">
        <f t="array" ref="P276">INT(SUMPRODUCT(--ISNUMBER(SEARCH(foreign,C276)))&gt;0)</f>
        <v>0</v>
      </c>
      <c r="Q276" s="14" cm="1">
        <f t="array" ref="Q276">INT(SUMPRODUCT(--ISNUMBER(SEARCH(gun,C276)))&gt;0)</f>
        <v>0</v>
      </c>
      <c r="R276" s="14" cm="1">
        <f t="array" ref="R276">INT(SUMPRODUCT(--ISNUMBER(SEARCH(race,C276)))&gt;0)</f>
        <v>0</v>
      </c>
      <c r="S276" s="14" cm="1">
        <f t="array" ref="S276">INT(SUMPRODUCT(--ISNUMBER(SEARCH(immigration,C276)))&gt;0)</f>
        <v>0</v>
      </c>
      <c r="T276" s="14" cm="1">
        <f t="array" ref="T276">INT(SUMPRODUCT(--ISNUMBER(SEARCH(econineq,C277)))&gt;0)</f>
        <v>0</v>
      </c>
      <c r="U276" s="14" cm="1">
        <f t="array" ref="U276">INT(SUMPRODUCT(--ISNUMBER(SEARCH(climate,C276)))&gt;0)</f>
        <v>0</v>
      </c>
      <c r="V276" s="14" cm="1">
        <f t="array" ref="V276">INT(SUMPRODUCT(--ISNUMBER(SEARCH(abortion,C276)))&gt;0)</f>
        <v>0</v>
      </c>
      <c r="W276" s="14" cm="1">
        <f t="array" ref="W276">INT(SUMPRODUCT(--ISNUMBER(SEARCH(trump,C276)))&gt;0)</f>
        <v>1</v>
      </c>
      <c r="X276" s="14" cm="1">
        <f t="array" ref="X276">INT(SUMPRODUCT(--ISNUMBER(SEARCH(voting,C276)))&gt;0)</f>
        <v>0</v>
      </c>
      <c r="Y276" s="35" cm="1">
        <f t="array" ref="Y276">INT(SUMPRODUCT(--ISNUMBER(SEARCH(republicantrigger,C276)))&gt;0)</f>
        <v>0</v>
      </c>
      <c r="Z276" s="35" cm="1">
        <f t="array" ref="Z276">INT(SUMPRODUCT(--ISNUMBER(SEARCH(bipartisan,C276)))&gt;0)</f>
        <v>0</v>
      </c>
      <c r="AA276" s="35">
        <f t="shared" si="4"/>
        <v>0</v>
      </c>
      <c r="AB276" s="14"/>
      <c r="AC276" s="30" t="s">
        <v>223</v>
      </c>
      <c r="AD276" s="37" t="s">
        <v>223</v>
      </c>
    </row>
    <row r="277" spans="1:30" x14ac:dyDescent="0.25">
      <c r="A277" s="36">
        <v>2783</v>
      </c>
      <c r="B277" s="14" t="s">
        <v>5591</v>
      </c>
      <c r="C277" s="14" t="s">
        <v>5592</v>
      </c>
      <c r="D277" s="17">
        <v>44108</v>
      </c>
      <c r="E277" s="14" t="s">
        <v>30</v>
      </c>
      <c r="F277" s="14">
        <v>56</v>
      </c>
      <c r="G277" s="14">
        <v>13</v>
      </c>
      <c r="H277" s="14">
        <v>12</v>
      </c>
      <c r="I277" s="14">
        <v>6</v>
      </c>
      <c r="J277" s="14" t="s">
        <v>31</v>
      </c>
      <c r="K277" s="14" cm="1">
        <f t="array" ref="K277">INT(SUMPRODUCT(--ISNUMBER(SEARCH(economy,C277)))&gt;0)</f>
        <v>0</v>
      </c>
      <c r="L277" s="14" cm="1">
        <f t="array" ref="L277">INT(SUMPRODUCT(--ISNUMBER(SEARCH(healthcare,C277)))&gt;0)</f>
        <v>0</v>
      </c>
      <c r="M277" s="14" cm="1">
        <f t="array" ref="M277">INT(SUMPRODUCT(--ISNUMBER(SEARCH(supreme,C277)))&gt;0)</f>
        <v>0</v>
      </c>
      <c r="N277" s="14" cm="1">
        <f t="array" ref="N277">INT(SUMPRODUCT(--ISNUMBER(SEARCH(covid,C277)))&gt;0)</f>
        <v>0</v>
      </c>
      <c r="O277" s="14" cm="1">
        <f t="array" ref="O277">INT(SUMPRODUCT(--ISNUMBER(SEARCH(violent,C277)))&gt;0)</f>
        <v>0</v>
      </c>
      <c r="P277" s="14" cm="1">
        <f t="array" ref="P277">INT(SUMPRODUCT(--ISNUMBER(SEARCH(foreign,C277)))&gt;0)</f>
        <v>0</v>
      </c>
      <c r="Q277" s="14" cm="1">
        <f t="array" ref="Q277">INT(SUMPRODUCT(--ISNUMBER(SEARCH(gun,C277)))&gt;0)</f>
        <v>0</v>
      </c>
      <c r="R277" s="14" cm="1">
        <f t="array" ref="R277">INT(SUMPRODUCT(--ISNUMBER(SEARCH(race,C277)))&gt;0)</f>
        <v>0</v>
      </c>
      <c r="S277" s="14" cm="1">
        <f t="array" ref="S277">INT(SUMPRODUCT(--ISNUMBER(SEARCH(immigration,C277)))&gt;0)</f>
        <v>0</v>
      </c>
      <c r="T277" s="14" cm="1">
        <f t="array" ref="T277">INT(SUMPRODUCT(--ISNUMBER(SEARCH(econineq,C278)))&gt;0)</f>
        <v>0</v>
      </c>
      <c r="U277" s="14" cm="1">
        <f t="array" ref="U277">INT(SUMPRODUCT(--ISNUMBER(SEARCH(climate,C277)))&gt;0)</f>
        <v>0</v>
      </c>
      <c r="V277" s="14" cm="1">
        <f t="array" ref="V277">INT(SUMPRODUCT(--ISNUMBER(SEARCH(abortion,C277)))&gt;0)</f>
        <v>0</v>
      </c>
      <c r="W277" s="14" cm="1">
        <f t="array" ref="W277">INT(SUMPRODUCT(--ISNUMBER(SEARCH(trump,C277)))&gt;0)</f>
        <v>0</v>
      </c>
      <c r="X277" s="14" cm="1">
        <f t="array" ref="X277">INT(SUMPRODUCT(--ISNUMBER(SEARCH(voting,C277)))&gt;0)</f>
        <v>1</v>
      </c>
      <c r="Y277" s="35" cm="1">
        <f t="array" ref="Y277">INT(SUMPRODUCT(--ISNUMBER(SEARCH(republicantrigger,C277)))&gt;0)</f>
        <v>0</v>
      </c>
      <c r="Z277" s="35" cm="1">
        <f t="array" ref="Z277">INT(SUMPRODUCT(--ISNUMBER(SEARCH(bipartisan,C277)))&gt;0)</f>
        <v>0</v>
      </c>
      <c r="AA277" s="35">
        <f t="shared" si="4"/>
        <v>0</v>
      </c>
      <c r="AB277" s="14"/>
      <c r="AC277" s="30" t="s">
        <v>223</v>
      </c>
      <c r="AD277" s="37" t="s">
        <v>223</v>
      </c>
    </row>
    <row r="278" spans="1:30" x14ac:dyDescent="0.25">
      <c r="A278" s="36">
        <v>2784</v>
      </c>
      <c r="B278" s="14" t="s">
        <v>5593</v>
      </c>
      <c r="C278" s="14" t="s">
        <v>5594</v>
      </c>
      <c r="D278" s="17">
        <v>44107</v>
      </c>
      <c r="E278" s="14" t="s">
        <v>30</v>
      </c>
      <c r="F278" s="14">
        <v>192</v>
      </c>
      <c r="G278" s="14">
        <v>68</v>
      </c>
      <c r="H278" s="14">
        <v>12</v>
      </c>
      <c r="I278" s="14">
        <v>6</v>
      </c>
      <c r="J278" s="14" t="s">
        <v>31</v>
      </c>
      <c r="K278" s="14" cm="1">
        <f t="array" ref="K278">INT(SUMPRODUCT(--ISNUMBER(SEARCH(economy,C278)))&gt;0)</f>
        <v>0</v>
      </c>
      <c r="L278" s="14" cm="1">
        <f t="array" ref="L278">INT(SUMPRODUCT(--ISNUMBER(SEARCH(healthcare,C278)))&gt;0)</f>
        <v>0</v>
      </c>
      <c r="M278" s="14" cm="1">
        <f t="array" ref="M278">INT(SUMPRODUCT(--ISNUMBER(SEARCH(supreme,C278)))&gt;0)</f>
        <v>0</v>
      </c>
      <c r="N278" s="14" cm="1">
        <f t="array" ref="N278">INT(SUMPRODUCT(--ISNUMBER(SEARCH(covid,C278)))&gt;0)</f>
        <v>0</v>
      </c>
      <c r="O278" s="14" cm="1">
        <f t="array" ref="O278">INT(SUMPRODUCT(--ISNUMBER(SEARCH(violent,C278)))&gt;0)</f>
        <v>0</v>
      </c>
      <c r="P278" s="14" cm="1">
        <f t="array" ref="P278">INT(SUMPRODUCT(--ISNUMBER(SEARCH(foreign,C278)))&gt;0)</f>
        <v>0</v>
      </c>
      <c r="Q278" s="14" cm="1">
        <f t="array" ref="Q278">INT(SUMPRODUCT(--ISNUMBER(SEARCH(gun,C278)))&gt;0)</f>
        <v>0</v>
      </c>
      <c r="R278" s="14" cm="1">
        <f t="array" ref="R278">INT(SUMPRODUCT(--ISNUMBER(SEARCH(race,C278)))&gt;0)</f>
        <v>0</v>
      </c>
      <c r="S278" s="14" cm="1">
        <f t="array" ref="S278">INT(SUMPRODUCT(--ISNUMBER(SEARCH(immigration,C278)))&gt;0)</f>
        <v>0</v>
      </c>
      <c r="T278" s="14" cm="1">
        <f t="array" ref="T278">INT(SUMPRODUCT(--ISNUMBER(SEARCH(econineq,C279)))&gt;0)</f>
        <v>0</v>
      </c>
      <c r="U278" s="14" cm="1">
        <f t="array" ref="U278">INT(SUMPRODUCT(--ISNUMBER(SEARCH(climate,C278)))&gt;0)</f>
        <v>1</v>
      </c>
      <c r="V278" s="14" cm="1">
        <f t="array" ref="V278">INT(SUMPRODUCT(--ISNUMBER(SEARCH(abortion,C278)))&gt;0)</f>
        <v>0</v>
      </c>
      <c r="W278" s="14" cm="1">
        <f t="array" ref="W278">INT(SUMPRODUCT(--ISNUMBER(SEARCH(trump,C278)))&gt;0)</f>
        <v>0</v>
      </c>
      <c r="X278" s="14" cm="1">
        <f t="array" ref="X278">INT(SUMPRODUCT(--ISNUMBER(SEARCH(voting,C278)))&gt;0)</f>
        <v>0</v>
      </c>
      <c r="Y278" s="35" cm="1">
        <f t="array" ref="Y278">INT(SUMPRODUCT(--ISNUMBER(SEARCH(republicantrigger,C278)))&gt;0)</f>
        <v>1</v>
      </c>
      <c r="Z278" s="35" cm="1">
        <f t="array" ref="Z278">INT(SUMPRODUCT(--ISNUMBER(SEARCH(bipartisan,C278)))&gt;0)</f>
        <v>0</v>
      </c>
      <c r="AA278" s="35">
        <f t="shared" si="4"/>
        <v>0</v>
      </c>
      <c r="AB278" s="14"/>
      <c r="AC278" s="30" t="s">
        <v>223</v>
      </c>
      <c r="AD278" s="37" t="s">
        <v>223</v>
      </c>
    </row>
    <row r="279" spans="1:30" x14ac:dyDescent="0.25">
      <c r="A279" s="36">
        <v>2785</v>
      </c>
      <c r="B279" s="14" t="s">
        <v>5595</v>
      </c>
      <c r="C279" s="14" t="s">
        <v>5596</v>
      </c>
      <c r="D279" s="17">
        <v>44107</v>
      </c>
      <c r="E279" s="14" t="s">
        <v>30</v>
      </c>
      <c r="F279" s="14">
        <v>87</v>
      </c>
      <c r="G279" s="14">
        <v>40</v>
      </c>
      <c r="H279" s="14">
        <v>12</v>
      </c>
      <c r="I279" s="14">
        <v>6</v>
      </c>
      <c r="J279" s="14" t="s">
        <v>31</v>
      </c>
      <c r="K279" s="14" cm="1">
        <f t="array" ref="K279">INT(SUMPRODUCT(--ISNUMBER(SEARCH(economy,C279)))&gt;0)</f>
        <v>0</v>
      </c>
      <c r="L279" s="14" cm="1">
        <f t="array" ref="L279">INT(SUMPRODUCT(--ISNUMBER(SEARCH(healthcare,C279)))&gt;0)</f>
        <v>0</v>
      </c>
      <c r="M279" s="14" cm="1">
        <f t="array" ref="M279">INT(SUMPRODUCT(--ISNUMBER(SEARCH(supreme,C279)))&gt;0)</f>
        <v>0</v>
      </c>
      <c r="N279" s="14" cm="1">
        <f t="array" ref="N279">INT(SUMPRODUCT(--ISNUMBER(SEARCH(covid,C279)))&gt;0)</f>
        <v>0</v>
      </c>
      <c r="O279" s="14" cm="1">
        <f t="array" ref="O279">INT(SUMPRODUCT(--ISNUMBER(SEARCH(violent,C279)))&gt;0)</f>
        <v>1</v>
      </c>
      <c r="P279" s="14" cm="1">
        <f t="array" ref="P279">INT(SUMPRODUCT(--ISNUMBER(SEARCH(foreign,C279)))&gt;0)</f>
        <v>0</v>
      </c>
      <c r="Q279" s="14" cm="1">
        <f t="array" ref="Q279">INT(SUMPRODUCT(--ISNUMBER(SEARCH(gun,C279)))&gt;0)</f>
        <v>0</v>
      </c>
      <c r="R279" s="14" cm="1">
        <f t="array" ref="R279">INT(SUMPRODUCT(--ISNUMBER(SEARCH(race,C279)))&gt;0)</f>
        <v>1</v>
      </c>
      <c r="S279" s="14" cm="1">
        <f t="array" ref="S279">INT(SUMPRODUCT(--ISNUMBER(SEARCH(immigration,C279)))&gt;0)</f>
        <v>0</v>
      </c>
      <c r="T279" s="14" cm="1">
        <f t="array" ref="T279">INT(SUMPRODUCT(--ISNUMBER(SEARCH(econineq,C280)))&gt;0)</f>
        <v>0</v>
      </c>
      <c r="U279" s="14" cm="1">
        <f t="array" ref="U279">INT(SUMPRODUCT(--ISNUMBER(SEARCH(climate,C279)))&gt;0)</f>
        <v>0</v>
      </c>
      <c r="V279" s="14" cm="1">
        <f t="array" ref="V279">INT(SUMPRODUCT(--ISNUMBER(SEARCH(abortion,C279)))&gt;0)</f>
        <v>0</v>
      </c>
      <c r="W279" s="14" cm="1">
        <f t="array" ref="W279">INT(SUMPRODUCT(--ISNUMBER(SEARCH(trump,C279)))&gt;0)</f>
        <v>0</v>
      </c>
      <c r="X279" s="14" cm="1">
        <f t="array" ref="X279">INT(SUMPRODUCT(--ISNUMBER(SEARCH(voting,C279)))&gt;0)</f>
        <v>1</v>
      </c>
      <c r="Y279" s="35" cm="1">
        <f t="array" ref="Y279">INT(SUMPRODUCT(--ISNUMBER(SEARCH(republicantrigger,C279)))&gt;0)</f>
        <v>1</v>
      </c>
      <c r="Z279" s="35" cm="1">
        <f t="array" ref="Z279">INT(SUMPRODUCT(--ISNUMBER(SEARCH(bipartisan,C279)))&gt;0)</f>
        <v>0</v>
      </c>
      <c r="AA279" s="35">
        <f t="shared" si="4"/>
        <v>0</v>
      </c>
      <c r="AB279" s="14"/>
      <c r="AC279" s="30" t="s">
        <v>223</v>
      </c>
      <c r="AD279" s="37" t="s">
        <v>223</v>
      </c>
    </row>
    <row r="280" spans="1:30" x14ac:dyDescent="0.25">
      <c r="A280" s="36">
        <v>2786</v>
      </c>
      <c r="B280" s="14" t="s">
        <v>5597</v>
      </c>
      <c r="C280" s="14" t="s">
        <v>5598</v>
      </c>
      <c r="D280" s="17">
        <v>44107</v>
      </c>
      <c r="E280" s="14" t="s">
        <v>30</v>
      </c>
      <c r="F280" s="14">
        <v>93</v>
      </c>
      <c r="G280" s="14">
        <v>55</v>
      </c>
      <c r="H280" s="14">
        <v>12</v>
      </c>
      <c r="I280" s="14">
        <v>6</v>
      </c>
      <c r="J280" s="14" t="s">
        <v>31</v>
      </c>
      <c r="K280" s="14" cm="1">
        <f t="array" ref="K280">INT(SUMPRODUCT(--ISNUMBER(SEARCH(economy,C280)))&gt;0)</f>
        <v>0</v>
      </c>
      <c r="L280" s="14" cm="1">
        <f t="array" ref="L280">INT(SUMPRODUCT(--ISNUMBER(SEARCH(healthcare,C280)))&gt;0)</f>
        <v>0</v>
      </c>
      <c r="M280" s="14" cm="1">
        <f t="array" ref="M280">INT(SUMPRODUCT(--ISNUMBER(SEARCH(supreme,C280)))&gt;0)</f>
        <v>0</v>
      </c>
      <c r="N280" s="14" cm="1">
        <f t="array" ref="N280">INT(SUMPRODUCT(--ISNUMBER(SEARCH(covid,C280)))&gt;0)</f>
        <v>0</v>
      </c>
      <c r="O280" s="14" cm="1">
        <f t="array" ref="O280">INT(SUMPRODUCT(--ISNUMBER(SEARCH(violent,C280)))&gt;0)</f>
        <v>0</v>
      </c>
      <c r="P280" s="14" cm="1">
        <f t="array" ref="P280">INT(SUMPRODUCT(--ISNUMBER(SEARCH(foreign,C280)))&gt;0)</f>
        <v>0</v>
      </c>
      <c r="Q280" s="14" cm="1">
        <f t="array" ref="Q280">INT(SUMPRODUCT(--ISNUMBER(SEARCH(gun,C280)))&gt;0)</f>
        <v>0</v>
      </c>
      <c r="R280" s="14" cm="1">
        <f t="array" ref="R280">INT(SUMPRODUCT(--ISNUMBER(SEARCH(race,C280)))&gt;0)</f>
        <v>0</v>
      </c>
      <c r="S280" s="14" cm="1">
        <f t="array" ref="S280">INT(SUMPRODUCT(--ISNUMBER(SEARCH(immigration,C280)))&gt;0)</f>
        <v>0</v>
      </c>
      <c r="T280" s="14" cm="1">
        <f t="array" ref="T280">INT(SUMPRODUCT(--ISNUMBER(SEARCH(econineq,C281)))&gt;0)</f>
        <v>0</v>
      </c>
      <c r="U280" s="14" cm="1">
        <f t="array" ref="U280">INT(SUMPRODUCT(--ISNUMBER(SEARCH(climate,C280)))&gt;0)</f>
        <v>0</v>
      </c>
      <c r="V280" s="14" cm="1">
        <f t="array" ref="V280">INT(SUMPRODUCT(--ISNUMBER(SEARCH(abortion,C280)))&gt;0)</f>
        <v>0</v>
      </c>
      <c r="W280" s="14" cm="1">
        <f t="array" ref="W280">INT(SUMPRODUCT(--ISNUMBER(SEARCH(trump,C280)))&gt;0)</f>
        <v>0</v>
      </c>
      <c r="X280" s="14" cm="1">
        <f t="array" ref="X280">INT(SUMPRODUCT(--ISNUMBER(SEARCH(voting,C280)))&gt;0)</f>
        <v>0</v>
      </c>
      <c r="Y280" s="35" cm="1">
        <f t="array" ref="Y280">INT(SUMPRODUCT(--ISNUMBER(SEARCH(republicantrigger,C280)))&gt;0)</f>
        <v>1</v>
      </c>
      <c r="Z280" s="35" cm="1">
        <f t="array" ref="Z280">INT(SUMPRODUCT(--ISNUMBER(SEARCH(bipartisan,C280)))&gt;0)</f>
        <v>0</v>
      </c>
      <c r="AA280" s="35">
        <f t="shared" si="4"/>
        <v>0</v>
      </c>
      <c r="AB280" s="14"/>
      <c r="AC280" s="30" t="s">
        <v>223</v>
      </c>
      <c r="AD280" s="37" t="s">
        <v>223</v>
      </c>
    </row>
    <row r="281" spans="1:30" x14ac:dyDescent="0.25">
      <c r="A281" s="36">
        <v>2787</v>
      </c>
      <c r="B281" s="14" t="s">
        <v>5599</v>
      </c>
      <c r="C281" s="14" t="s">
        <v>5600</v>
      </c>
      <c r="D281" s="17">
        <v>44107</v>
      </c>
      <c r="E281" s="14" t="s">
        <v>30</v>
      </c>
      <c r="F281" s="14">
        <v>57</v>
      </c>
      <c r="G281" s="14">
        <v>39</v>
      </c>
      <c r="H281" s="14">
        <v>12</v>
      </c>
      <c r="I281" s="14">
        <v>6</v>
      </c>
      <c r="J281" s="14" t="s">
        <v>31</v>
      </c>
      <c r="K281" s="14" cm="1">
        <f t="array" ref="K281">INT(SUMPRODUCT(--ISNUMBER(SEARCH(economy,C281)))&gt;0)</f>
        <v>1</v>
      </c>
      <c r="L281" s="14" cm="1">
        <f t="array" ref="L281">INT(SUMPRODUCT(--ISNUMBER(SEARCH(healthcare,C281)))&gt;0)</f>
        <v>0</v>
      </c>
      <c r="M281" s="14" cm="1">
        <f t="array" ref="M281">INT(SUMPRODUCT(--ISNUMBER(SEARCH(supreme,C281)))&gt;0)</f>
        <v>0</v>
      </c>
      <c r="N281" s="14" cm="1">
        <f t="array" ref="N281">INT(SUMPRODUCT(--ISNUMBER(SEARCH(covid,C281)))&gt;0)</f>
        <v>1</v>
      </c>
      <c r="O281" s="14" cm="1">
        <f t="array" ref="O281">INT(SUMPRODUCT(--ISNUMBER(SEARCH(violent,C281)))&gt;0)</f>
        <v>0</v>
      </c>
      <c r="P281" s="14" cm="1">
        <f t="array" ref="P281">INT(SUMPRODUCT(--ISNUMBER(SEARCH(foreign,C281)))&gt;0)</f>
        <v>0</v>
      </c>
      <c r="Q281" s="14" cm="1">
        <f t="array" ref="Q281">INT(SUMPRODUCT(--ISNUMBER(SEARCH(gun,C281)))&gt;0)</f>
        <v>0</v>
      </c>
      <c r="R281" s="14" cm="1">
        <f t="array" ref="R281">INT(SUMPRODUCT(--ISNUMBER(SEARCH(race,C281)))&gt;0)</f>
        <v>0</v>
      </c>
      <c r="S281" s="14" cm="1">
        <f t="array" ref="S281">INT(SUMPRODUCT(--ISNUMBER(SEARCH(immigration,C281)))&gt;0)</f>
        <v>0</v>
      </c>
      <c r="T281" s="14" cm="1">
        <f t="array" ref="T281">INT(SUMPRODUCT(--ISNUMBER(SEARCH(econineq,C282)))&gt;0)</f>
        <v>0</v>
      </c>
      <c r="U281" s="14" cm="1">
        <f t="array" ref="U281">INT(SUMPRODUCT(--ISNUMBER(SEARCH(climate,C281)))&gt;0)</f>
        <v>1</v>
      </c>
      <c r="V281" s="14" cm="1">
        <f t="array" ref="V281">INT(SUMPRODUCT(--ISNUMBER(SEARCH(abortion,C281)))&gt;0)</f>
        <v>0</v>
      </c>
      <c r="W281" s="14" cm="1">
        <f t="array" ref="W281">INT(SUMPRODUCT(--ISNUMBER(SEARCH(trump,C281)))&gt;0)</f>
        <v>0</v>
      </c>
      <c r="X281" s="14" cm="1">
        <f t="array" ref="X281">INT(SUMPRODUCT(--ISNUMBER(SEARCH(voting,C281)))&gt;0)</f>
        <v>0</v>
      </c>
      <c r="Y281" s="35" cm="1">
        <f t="array" ref="Y281">INT(SUMPRODUCT(--ISNUMBER(SEARCH(republicantrigger,C281)))&gt;0)</f>
        <v>1</v>
      </c>
      <c r="Z281" s="35" cm="1">
        <f t="array" ref="Z281">INT(SUMPRODUCT(--ISNUMBER(SEARCH(bipartisan,C281)))&gt;0)</f>
        <v>0</v>
      </c>
      <c r="AA281" s="35">
        <f t="shared" si="4"/>
        <v>0</v>
      </c>
      <c r="AB281" s="14"/>
      <c r="AC281" s="30" t="s">
        <v>223</v>
      </c>
      <c r="AD281" s="37" t="s">
        <v>223</v>
      </c>
    </row>
    <row r="282" spans="1:30" x14ac:dyDescent="0.25">
      <c r="A282" s="36">
        <v>2788</v>
      </c>
      <c r="B282" s="14" t="s">
        <v>5601</v>
      </c>
      <c r="C282" s="14" t="s">
        <v>5602</v>
      </c>
      <c r="D282" s="17">
        <v>44107</v>
      </c>
      <c r="E282" s="14" t="s">
        <v>30</v>
      </c>
      <c r="F282" s="14">
        <v>160</v>
      </c>
      <c r="G282" s="14">
        <v>64</v>
      </c>
      <c r="H282" s="14">
        <v>12</v>
      </c>
      <c r="I282" s="14">
        <v>6</v>
      </c>
      <c r="J282" s="14" t="s">
        <v>31</v>
      </c>
      <c r="K282" s="14" cm="1">
        <f t="array" ref="K282">INT(SUMPRODUCT(--ISNUMBER(SEARCH(economy,C282)))&gt;0)</f>
        <v>0</v>
      </c>
      <c r="L282" s="14" cm="1">
        <f t="array" ref="L282">INT(SUMPRODUCT(--ISNUMBER(SEARCH(healthcare,C282)))&gt;0)</f>
        <v>0</v>
      </c>
      <c r="M282" s="14" cm="1">
        <f t="array" ref="M282">INT(SUMPRODUCT(--ISNUMBER(SEARCH(supreme,C282)))&gt;0)</f>
        <v>0</v>
      </c>
      <c r="N282" s="14" cm="1">
        <f t="array" ref="N282">INT(SUMPRODUCT(--ISNUMBER(SEARCH(covid,C282)))&gt;0)</f>
        <v>1</v>
      </c>
      <c r="O282" s="14" cm="1">
        <f t="array" ref="O282">INT(SUMPRODUCT(--ISNUMBER(SEARCH(violent,C282)))&gt;0)</f>
        <v>0</v>
      </c>
      <c r="P282" s="14" cm="1">
        <f t="array" ref="P282">INT(SUMPRODUCT(--ISNUMBER(SEARCH(foreign,C282)))&gt;0)</f>
        <v>0</v>
      </c>
      <c r="Q282" s="14" cm="1">
        <f t="array" ref="Q282">INT(SUMPRODUCT(--ISNUMBER(SEARCH(gun,C282)))&gt;0)</f>
        <v>0</v>
      </c>
      <c r="R282" s="14" cm="1">
        <f t="array" ref="R282">INT(SUMPRODUCT(--ISNUMBER(SEARCH(race,C282)))&gt;0)</f>
        <v>0</v>
      </c>
      <c r="S282" s="14" cm="1">
        <f t="array" ref="S282">INT(SUMPRODUCT(--ISNUMBER(SEARCH(immigration,C282)))&gt;0)</f>
        <v>0</v>
      </c>
      <c r="T282" s="14" cm="1">
        <f t="array" ref="T282">INT(SUMPRODUCT(--ISNUMBER(SEARCH(econineq,C283)))&gt;0)</f>
        <v>0</v>
      </c>
      <c r="U282" s="14" cm="1">
        <f t="array" ref="U282">INT(SUMPRODUCT(--ISNUMBER(SEARCH(climate,C282)))&gt;0)</f>
        <v>0</v>
      </c>
      <c r="V282" s="14" cm="1">
        <f t="array" ref="V282">INT(SUMPRODUCT(--ISNUMBER(SEARCH(abortion,C282)))&gt;0)</f>
        <v>0</v>
      </c>
      <c r="W282" s="14" cm="1">
        <f t="array" ref="W282">INT(SUMPRODUCT(--ISNUMBER(SEARCH(trump,C282)))&gt;0)</f>
        <v>0</v>
      </c>
      <c r="X282" s="14" cm="1">
        <f t="array" ref="X282">INT(SUMPRODUCT(--ISNUMBER(SEARCH(voting,C282)))&gt;0)</f>
        <v>0</v>
      </c>
      <c r="Y282" s="35" cm="1">
        <f t="array" ref="Y282">INT(SUMPRODUCT(--ISNUMBER(SEARCH(republicantrigger,C282)))&gt;0)</f>
        <v>1</v>
      </c>
      <c r="Z282" s="35" cm="1">
        <f t="array" ref="Z282">INT(SUMPRODUCT(--ISNUMBER(SEARCH(bipartisan,C282)))&gt;0)</f>
        <v>0</v>
      </c>
      <c r="AA282" s="35">
        <f t="shared" si="4"/>
        <v>0</v>
      </c>
      <c r="AB282" s="14"/>
      <c r="AC282" s="30" t="s">
        <v>223</v>
      </c>
      <c r="AD282" s="37" t="s">
        <v>223</v>
      </c>
    </row>
    <row r="283" spans="1:30" x14ac:dyDescent="0.25">
      <c r="A283" s="36">
        <v>2789</v>
      </c>
      <c r="B283" s="14" t="s">
        <v>5603</v>
      </c>
      <c r="C283" s="14" t="s">
        <v>5604</v>
      </c>
      <c r="D283" s="17">
        <v>44107</v>
      </c>
      <c r="E283" s="14" t="s">
        <v>70</v>
      </c>
      <c r="F283" s="14">
        <v>251</v>
      </c>
      <c r="G283" s="14">
        <v>67</v>
      </c>
      <c r="H283" s="14">
        <v>12</v>
      </c>
      <c r="I283" s="14">
        <v>6</v>
      </c>
      <c r="J283" s="14" t="s">
        <v>31</v>
      </c>
      <c r="K283" s="14" cm="1">
        <f t="array" ref="K283">INT(SUMPRODUCT(--ISNUMBER(SEARCH(economy,C283)))&gt;0)</f>
        <v>0</v>
      </c>
      <c r="L283" s="14" cm="1">
        <f t="array" ref="L283">INT(SUMPRODUCT(--ISNUMBER(SEARCH(healthcare,C283)))&gt;0)</f>
        <v>0</v>
      </c>
      <c r="M283" s="14" cm="1">
        <f t="array" ref="M283">INT(SUMPRODUCT(--ISNUMBER(SEARCH(supreme,C283)))&gt;0)</f>
        <v>0</v>
      </c>
      <c r="N283" s="14" cm="1">
        <f t="array" ref="N283">INT(SUMPRODUCT(--ISNUMBER(SEARCH(covid,C283)))&gt;0)</f>
        <v>1</v>
      </c>
      <c r="O283" s="14" cm="1">
        <f t="array" ref="O283">INT(SUMPRODUCT(--ISNUMBER(SEARCH(violent,C283)))&gt;0)</f>
        <v>0</v>
      </c>
      <c r="P283" s="14" cm="1">
        <f t="array" ref="P283">INT(SUMPRODUCT(--ISNUMBER(SEARCH(foreign,C283)))&gt;0)</f>
        <v>0</v>
      </c>
      <c r="Q283" s="14" cm="1">
        <f t="array" ref="Q283">INT(SUMPRODUCT(--ISNUMBER(SEARCH(gun,C283)))&gt;0)</f>
        <v>0</v>
      </c>
      <c r="R283" s="14" cm="1">
        <f t="array" ref="R283">INT(SUMPRODUCT(--ISNUMBER(SEARCH(race,C283)))&gt;0)</f>
        <v>0</v>
      </c>
      <c r="S283" s="14" cm="1">
        <f t="array" ref="S283">INT(SUMPRODUCT(--ISNUMBER(SEARCH(immigration,C283)))&gt;0)</f>
        <v>0</v>
      </c>
      <c r="T283" s="14" cm="1">
        <f t="array" ref="T283">INT(SUMPRODUCT(--ISNUMBER(SEARCH(econineq,C284)))&gt;0)</f>
        <v>0</v>
      </c>
      <c r="U283" s="14" cm="1">
        <f t="array" ref="U283">INT(SUMPRODUCT(--ISNUMBER(SEARCH(climate,C283)))&gt;0)</f>
        <v>0</v>
      </c>
      <c r="V283" s="14" cm="1">
        <f t="array" ref="V283">INT(SUMPRODUCT(--ISNUMBER(SEARCH(abortion,C283)))&gt;0)</f>
        <v>0</v>
      </c>
      <c r="W283" s="14" cm="1">
        <f t="array" ref="W283">INT(SUMPRODUCT(--ISNUMBER(SEARCH(trump,C283)))&gt;0)</f>
        <v>1</v>
      </c>
      <c r="X283" s="14" cm="1">
        <f t="array" ref="X283">INT(SUMPRODUCT(--ISNUMBER(SEARCH(voting,C283)))&gt;0)</f>
        <v>0</v>
      </c>
      <c r="Y283" s="35" cm="1">
        <f t="array" ref="Y283">INT(SUMPRODUCT(--ISNUMBER(SEARCH(republicantrigger,C283)))&gt;0)</f>
        <v>1</v>
      </c>
      <c r="Z283" s="35" cm="1">
        <f t="array" ref="Z283">INT(SUMPRODUCT(--ISNUMBER(SEARCH(bipartisan,C283)))&gt;0)</f>
        <v>0</v>
      </c>
      <c r="AA283" s="35">
        <f t="shared" si="4"/>
        <v>0</v>
      </c>
      <c r="AB283" s="14"/>
      <c r="AC283" s="30" t="s">
        <v>223</v>
      </c>
      <c r="AD283" s="37" t="s">
        <v>223</v>
      </c>
    </row>
    <row r="284" spans="1:30" x14ac:dyDescent="0.25">
      <c r="A284" s="36">
        <v>2790</v>
      </c>
      <c r="B284" s="14" t="s">
        <v>5605</v>
      </c>
      <c r="C284" s="14" t="s">
        <v>5606</v>
      </c>
      <c r="D284" s="17">
        <v>44107</v>
      </c>
      <c r="E284" s="14" t="s">
        <v>30</v>
      </c>
      <c r="F284" s="14">
        <v>77</v>
      </c>
      <c r="G284" s="14">
        <v>10</v>
      </c>
      <c r="H284" s="14">
        <v>12</v>
      </c>
      <c r="I284" s="14">
        <v>6</v>
      </c>
      <c r="J284" s="14" t="s">
        <v>31</v>
      </c>
      <c r="K284" s="14" cm="1">
        <f t="array" ref="K284">INT(SUMPRODUCT(--ISNUMBER(SEARCH(economy,C284)))&gt;0)</f>
        <v>0</v>
      </c>
      <c r="L284" s="14" cm="1">
        <f t="array" ref="L284">INT(SUMPRODUCT(--ISNUMBER(SEARCH(healthcare,C284)))&gt;0)</f>
        <v>1</v>
      </c>
      <c r="M284" s="14" cm="1">
        <f t="array" ref="M284">INT(SUMPRODUCT(--ISNUMBER(SEARCH(supreme,C284)))&gt;0)</f>
        <v>0</v>
      </c>
      <c r="N284" s="14" cm="1">
        <f t="array" ref="N284">INT(SUMPRODUCT(--ISNUMBER(SEARCH(covid,C284)))&gt;0)</f>
        <v>0</v>
      </c>
      <c r="O284" s="14" cm="1">
        <f t="array" ref="O284">INT(SUMPRODUCT(--ISNUMBER(SEARCH(violent,C284)))&gt;0)</f>
        <v>0</v>
      </c>
      <c r="P284" s="14" cm="1">
        <f t="array" ref="P284">INT(SUMPRODUCT(--ISNUMBER(SEARCH(foreign,C284)))&gt;0)</f>
        <v>0</v>
      </c>
      <c r="Q284" s="14" cm="1">
        <f t="array" ref="Q284">INT(SUMPRODUCT(--ISNUMBER(SEARCH(gun,C284)))&gt;0)</f>
        <v>0</v>
      </c>
      <c r="R284" s="14" cm="1">
        <f t="array" ref="R284">INT(SUMPRODUCT(--ISNUMBER(SEARCH(race,C284)))&gt;0)</f>
        <v>0</v>
      </c>
      <c r="S284" s="14" cm="1">
        <f t="array" ref="S284">INT(SUMPRODUCT(--ISNUMBER(SEARCH(immigration,C284)))&gt;0)</f>
        <v>0</v>
      </c>
      <c r="T284" s="14" cm="1">
        <f t="array" ref="T284">INT(SUMPRODUCT(--ISNUMBER(SEARCH(econineq,C285)))&gt;0)</f>
        <v>0</v>
      </c>
      <c r="U284" s="14" cm="1">
        <f t="array" ref="U284">INT(SUMPRODUCT(--ISNUMBER(SEARCH(climate,C284)))&gt;0)</f>
        <v>0</v>
      </c>
      <c r="V284" s="14" cm="1">
        <f t="array" ref="V284">INT(SUMPRODUCT(--ISNUMBER(SEARCH(abortion,C284)))&gt;0)</f>
        <v>0</v>
      </c>
      <c r="W284" s="14" cm="1">
        <f t="array" ref="W284">INT(SUMPRODUCT(--ISNUMBER(SEARCH(trump,C284)))&gt;0)</f>
        <v>1</v>
      </c>
      <c r="X284" s="14" cm="1">
        <f t="array" ref="X284">INT(SUMPRODUCT(--ISNUMBER(SEARCH(voting,C284)))&gt;0)</f>
        <v>0</v>
      </c>
      <c r="Y284" s="35" cm="1">
        <f t="array" ref="Y284">INT(SUMPRODUCT(--ISNUMBER(SEARCH(republicantrigger,C284)))&gt;0)</f>
        <v>0</v>
      </c>
      <c r="Z284" s="35" cm="1">
        <f t="array" ref="Z284">INT(SUMPRODUCT(--ISNUMBER(SEARCH(bipartisan,C284)))&gt;0)</f>
        <v>0</v>
      </c>
      <c r="AA284" s="35">
        <f t="shared" si="4"/>
        <v>0</v>
      </c>
      <c r="AB284" s="14"/>
      <c r="AC284" s="30" t="s">
        <v>223</v>
      </c>
      <c r="AD284" s="37" t="s">
        <v>223</v>
      </c>
    </row>
    <row r="285" spans="1:30" x14ac:dyDescent="0.25">
      <c r="A285" s="36">
        <v>2791</v>
      </c>
      <c r="B285" s="14" t="s">
        <v>5607</v>
      </c>
      <c r="C285" s="14" t="s">
        <v>5608</v>
      </c>
      <c r="D285" s="17">
        <v>44107</v>
      </c>
      <c r="E285" s="14" t="s">
        <v>70</v>
      </c>
      <c r="F285" s="14">
        <v>151</v>
      </c>
      <c r="G285" s="14">
        <v>12</v>
      </c>
      <c r="H285" s="14">
        <v>12</v>
      </c>
      <c r="I285" s="14">
        <v>6</v>
      </c>
      <c r="J285" s="14" t="s">
        <v>31</v>
      </c>
      <c r="K285" s="14" cm="1">
        <f t="array" ref="K285">INT(SUMPRODUCT(--ISNUMBER(SEARCH(economy,C285)))&gt;0)</f>
        <v>0</v>
      </c>
      <c r="L285" s="14" cm="1">
        <f t="array" ref="L285">INT(SUMPRODUCT(--ISNUMBER(SEARCH(healthcare,C285)))&gt;0)</f>
        <v>0</v>
      </c>
      <c r="M285" s="14" cm="1">
        <f t="array" ref="M285">INT(SUMPRODUCT(--ISNUMBER(SEARCH(supreme,C285)))&gt;0)</f>
        <v>0</v>
      </c>
      <c r="N285" s="14" cm="1">
        <f t="array" ref="N285">INT(SUMPRODUCT(--ISNUMBER(SEARCH(covid,C285)))&gt;0)</f>
        <v>0</v>
      </c>
      <c r="O285" s="14" cm="1">
        <f t="array" ref="O285">INT(SUMPRODUCT(--ISNUMBER(SEARCH(violent,C285)))&gt;0)</f>
        <v>0</v>
      </c>
      <c r="P285" s="14" cm="1">
        <f t="array" ref="P285">INT(SUMPRODUCT(--ISNUMBER(SEARCH(foreign,C285)))&gt;0)</f>
        <v>0</v>
      </c>
      <c r="Q285" s="14" cm="1">
        <f t="array" ref="Q285">INT(SUMPRODUCT(--ISNUMBER(SEARCH(gun,C285)))&gt;0)</f>
        <v>0</v>
      </c>
      <c r="R285" s="14" cm="1">
        <f t="array" ref="R285">INT(SUMPRODUCT(--ISNUMBER(SEARCH(race,C285)))&gt;0)</f>
        <v>0</v>
      </c>
      <c r="S285" s="14" cm="1">
        <f t="array" ref="S285">INT(SUMPRODUCT(--ISNUMBER(SEARCH(immigration,C285)))&gt;0)</f>
        <v>0</v>
      </c>
      <c r="T285" s="14" cm="1">
        <f t="array" ref="T285">INT(SUMPRODUCT(--ISNUMBER(SEARCH(econineq,C286)))&gt;0)</f>
        <v>0</v>
      </c>
      <c r="U285" s="14" cm="1">
        <f t="array" ref="U285">INT(SUMPRODUCT(--ISNUMBER(SEARCH(climate,C285)))&gt;0)</f>
        <v>0</v>
      </c>
      <c r="V285" s="14" cm="1">
        <f t="array" ref="V285">INT(SUMPRODUCT(--ISNUMBER(SEARCH(abortion,C285)))&gt;0)</f>
        <v>0</v>
      </c>
      <c r="W285" s="14" cm="1">
        <f t="array" ref="W285">INT(SUMPRODUCT(--ISNUMBER(SEARCH(trump,C285)))&gt;0)</f>
        <v>1</v>
      </c>
      <c r="X285" s="14" cm="1">
        <f t="array" ref="X285">INT(SUMPRODUCT(--ISNUMBER(SEARCH(voting,C285)))&gt;0)</f>
        <v>0</v>
      </c>
      <c r="Y285" s="35" cm="1">
        <f t="array" ref="Y285">INT(SUMPRODUCT(--ISNUMBER(SEARCH(republicantrigger,C285)))&gt;0)</f>
        <v>0</v>
      </c>
      <c r="Z285" s="35" cm="1">
        <f t="array" ref="Z285">INT(SUMPRODUCT(--ISNUMBER(SEARCH(bipartisan,C285)))&gt;0)</f>
        <v>0</v>
      </c>
      <c r="AA285" s="35">
        <f t="shared" si="4"/>
        <v>0</v>
      </c>
      <c r="AB285" s="14"/>
      <c r="AC285" s="30" t="s">
        <v>223</v>
      </c>
      <c r="AD285" s="37" t="s">
        <v>223</v>
      </c>
    </row>
    <row r="286" spans="1:30" x14ac:dyDescent="0.25">
      <c r="A286" s="36">
        <v>2792</v>
      </c>
      <c r="B286" s="14" t="s">
        <v>5609</v>
      </c>
      <c r="C286" s="14" t="s">
        <v>5610</v>
      </c>
      <c r="D286" s="17">
        <v>44107</v>
      </c>
      <c r="E286" s="14" t="s">
        <v>30</v>
      </c>
      <c r="F286" s="14">
        <v>51</v>
      </c>
      <c r="G286" s="14">
        <v>10</v>
      </c>
      <c r="H286" s="14">
        <v>12</v>
      </c>
      <c r="I286" s="14">
        <v>6</v>
      </c>
      <c r="J286" s="14" t="s">
        <v>31</v>
      </c>
      <c r="K286" s="14" cm="1">
        <f t="array" ref="K286">INT(SUMPRODUCT(--ISNUMBER(SEARCH(economy,C286)))&gt;0)</f>
        <v>0</v>
      </c>
      <c r="L286" s="14" cm="1">
        <f t="array" ref="L286">INT(SUMPRODUCT(--ISNUMBER(SEARCH(healthcare,C286)))&gt;0)</f>
        <v>0</v>
      </c>
      <c r="M286" s="14" cm="1">
        <f t="array" ref="M286">INT(SUMPRODUCT(--ISNUMBER(SEARCH(supreme,C286)))&gt;0)</f>
        <v>0</v>
      </c>
      <c r="N286" s="14" cm="1">
        <f t="array" ref="N286">INT(SUMPRODUCT(--ISNUMBER(SEARCH(covid,C286)))&gt;0)</f>
        <v>0</v>
      </c>
      <c r="O286" s="14" cm="1">
        <f t="array" ref="O286">INT(SUMPRODUCT(--ISNUMBER(SEARCH(violent,C286)))&gt;0)</f>
        <v>0</v>
      </c>
      <c r="P286" s="14" cm="1">
        <f t="array" ref="P286">INT(SUMPRODUCT(--ISNUMBER(SEARCH(foreign,C286)))&gt;0)</f>
        <v>0</v>
      </c>
      <c r="Q286" s="14" cm="1">
        <f t="array" ref="Q286">INT(SUMPRODUCT(--ISNUMBER(SEARCH(gun,C286)))&gt;0)</f>
        <v>1</v>
      </c>
      <c r="R286" s="14" cm="1">
        <f t="array" ref="R286">INT(SUMPRODUCT(--ISNUMBER(SEARCH(race,C286)))&gt;0)</f>
        <v>0</v>
      </c>
      <c r="S286" s="14" cm="1">
        <f t="array" ref="S286">INT(SUMPRODUCT(--ISNUMBER(SEARCH(immigration,C286)))&gt;0)</f>
        <v>0</v>
      </c>
      <c r="T286" s="14" cm="1">
        <f t="array" ref="T286">INT(SUMPRODUCT(--ISNUMBER(SEARCH(econineq,C287)))&gt;0)</f>
        <v>0</v>
      </c>
      <c r="U286" s="14" cm="1">
        <f t="array" ref="U286">INT(SUMPRODUCT(--ISNUMBER(SEARCH(climate,C286)))&gt;0)</f>
        <v>0</v>
      </c>
      <c r="V286" s="14" cm="1">
        <f t="array" ref="V286">INT(SUMPRODUCT(--ISNUMBER(SEARCH(abortion,C286)))&gt;0)</f>
        <v>0</v>
      </c>
      <c r="W286" s="14" cm="1">
        <f t="array" ref="W286">INT(SUMPRODUCT(--ISNUMBER(SEARCH(trump,C286)))&gt;0)</f>
        <v>0</v>
      </c>
      <c r="X286" s="14" cm="1">
        <f t="array" ref="X286">INT(SUMPRODUCT(--ISNUMBER(SEARCH(voting,C286)))&gt;0)</f>
        <v>0</v>
      </c>
      <c r="Y286" s="35" cm="1">
        <f t="array" ref="Y286">INT(SUMPRODUCT(--ISNUMBER(SEARCH(republicantrigger,C286)))&gt;0)</f>
        <v>1</v>
      </c>
      <c r="Z286" s="35" cm="1">
        <f t="array" ref="Z286">INT(SUMPRODUCT(--ISNUMBER(SEARCH(bipartisan,C286)))&gt;0)</f>
        <v>0</v>
      </c>
      <c r="AA286" s="35">
        <f t="shared" si="4"/>
        <v>0</v>
      </c>
      <c r="AB286" s="14"/>
      <c r="AC286" s="30" t="s">
        <v>223</v>
      </c>
      <c r="AD286" s="37" t="s">
        <v>223</v>
      </c>
    </row>
    <row r="287" spans="1:30" x14ac:dyDescent="0.25">
      <c r="A287" s="38">
        <v>2793</v>
      </c>
      <c r="B287" s="39" t="s">
        <v>5611</v>
      </c>
      <c r="C287" s="39" t="s">
        <v>5612</v>
      </c>
      <c r="D287" s="41">
        <v>44107</v>
      </c>
      <c r="E287" s="39" t="s">
        <v>30</v>
      </c>
      <c r="F287" s="39">
        <v>151</v>
      </c>
      <c r="G287" s="39">
        <v>79</v>
      </c>
      <c r="H287" s="39">
        <v>12</v>
      </c>
      <c r="I287" s="39">
        <v>6</v>
      </c>
      <c r="J287" s="39" t="s">
        <v>31</v>
      </c>
      <c r="K287" s="39" cm="1">
        <f t="array" ref="K287">INT(SUMPRODUCT(--ISNUMBER(SEARCH(economy,C287)))&gt;0)</f>
        <v>0</v>
      </c>
      <c r="L287" s="39" cm="1">
        <f t="array" ref="L287">INT(SUMPRODUCT(--ISNUMBER(SEARCH(healthcare,C287)))&gt;0)</f>
        <v>0</v>
      </c>
      <c r="M287" s="39" cm="1">
        <f t="array" ref="M287">INT(SUMPRODUCT(--ISNUMBER(SEARCH(supreme,C287)))&gt;0)</f>
        <v>0</v>
      </c>
      <c r="N287" s="39" cm="1">
        <f t="array" ref="N287">INT(SUMPRODUCT(--ISNUMBER(SEARCH(covid,C287)))&gt;0)</f>
        <v>1</v>
      </c>
      <c r="O287" s="39" cm="1">
        <f t="array" ref="O287">INT(SUMPRODUCT(--ISNUMBER(SEARCH(violent,C287)))&gt;0)</f>
        <v>0</v>
      </c>
      <c r="P287" s="39" cm="1">
        <f t="array" ref="P287">INT(SUMPRODUCT(--ISNUMBER(SEARCH(foreign,C287)))&gt;0)</f>
        <v>0</v>
      </c>
      <c r="Q287" s="39" cm="1">
        <f t="array" ref="Q287">INT(SUMPRODUCT(--ISNUMBER(SEARCH(gun,C287)))&gt;0)</f>
        <v>0</v>
      </c>
      <c r="R287" s="39" cm="1">
        <f t="array" ref="R287">INT(SUMPRODUCT(--ISNUMBER(SEARCH(race,C287)))&gt;0)</f>
        <v>0</v>
      </c>
      <c r="S287" s="39" cm="1">
        <f t="array" ref="S287">INT(SUMPRODUCT(--ISNUMBER(SEARCH(immigration,C287)))&gt;0)</f>
        <v>0</v>
      </c>
      <c r="T287" s="39" cm="1">
        <f t="array" ref="T287">INT(SUMPRODUCT(--ISNUMBER(SEARCH(econineq,C288)))&gt;0)</f>
        <v>0</v>
      </c>
      <c r="U287" s="39" cm="1">
        <f t="array" ref="U287">INT(SUMPRODUCT(--ISNUMBER(SEARCH(climate,C287)))&gt;0)</f>
        <v>0</v>
      </c>
      <c r="V287" s="39" cm="1">
        <f t="array" ref="V287">INT(SUMPRODUCT(--ISNUMBER(SEARCH(abortion,C287)))&gt;0)</f>
        <v>0</v>
      </c>
      <c r="W287" s="39" cm="1">
        <f t="array" ref="W287">INT(SUMPRODUCT(--ISNUMBER(SEARCH(trump,C287)))&gt;0)</f>
        <v>1</v>
      </c>
      <c r="X287" s="39" cm="1">
        <f t="array" ref="X287">INT(SUMPRODUCT(--ISNUMBER(SEARCH(voting,C287)))&gt;0)</f>
        <v>0</v>
      </c>
      <c r="Y287" s="59" cm="1">
        <f t="array" ref="Y287">INT(SUMPRODUCT(--ISNUMBER(SEARCH(republicantrigger,C287)))&gt;0)</f>
        <v>0</v>
      </c>
      <c r="Z287" s="59" cm="1">
        <f t="array" ref="Z287">INT(SUMPRODUCT(--ISNUMBER(SEARCH(bipartisan,C287)))&gt;0)</f>
        <v>0</v>
      </c>
      <c r="AA287" s="59">
        <f t="shared" si="4"/>
        <v>0</v>
      </c>
      <c r="AB287" s="39"/>
      <c r="AC287" s="44" t="s">
        <v>223</v>
      </c>
      <c r="AD287" s="45" t="s">
        <v>223</v>
      </c>
    </row>
    <row r="288" spans="1:30" x14ac:dyDescent="0.25">
      <c r="K288" s="21">
        <f t="shared" ref="K288:AD288" si="5">SUM(K2:K287)</f>
        <v>48</v>
      </c>
      <c r="L288" s="21">
        <f t="shared" si="5"/>
        <v>13</v>
      </c>
      <c r="M288" s="21">
        <f t="shared" si="5"/>
        <v>22</v>
      </c>
      <c r="N288" s="21">
        <f t="shared" si="5"/>
        <v>42</v>
      </c>
      <c r="O288" s="21">
        <f t="shared" si="5"/>
        <v>18</v>
      </c>
      <c r="P288" s="21">
        <f t="shared" si="5"/>
        <v>8</v>
      </c>
      <c r="Q288" s="21">
        <f t="shared" si="5"/>
        <v>18</v>
      </c>
      <c r="R288" s="21">
        <f t="shared" si="5"/>
        <v>20</v>
      </c>
      <c r="S288" s="21">
        <f t="shared" si="5"/>
        <v>5</v>
      </c>
      <c r="T288" s="21">
        <f t="shared" si="5"/>
        <v>7</v>
      </c>
      <c r="U288" s="21">
        <f t="shared" si="5"/>
        <v>21</v>
      </c>
      <c r="V288" s="21">
        <f t="shared" si="5"/>
        <v>2</v>
      </c>
      <c r="W288" s="21">
        <f t="shared" si="5"/>
        <v>78</v>
      </c>
      <c r="X288" s="21">
        <f t="shared" si="5"/>
        <v>101</v>
      </c>
      <c r="Y288" s="21">
        <f t="shared" si="5"/>
        <v>163</v>
      </c>
      <c r="Z288" s="21">
        <f t="shared" si="5"/>
        <v>1</v>
      </c>
      <c r="AA288" s="21">
        <f t="shared" si="5"/>
        <v>28</v>
      </c>
      <c r="AB288" s="21">
        <f t="shared" si="5"/>
        <v>0</v>
      </c>
      <c r="AC288" s="21">
        <f t="shared" si="5"/>
        <v>53</v>
      </c>
      <c r="AD288" s="21">
        <f t="shared" si="5"/>
        <v>25</v>
      </c>
    </row>
  </sheetData>
  <conditionalFormatting sqref="J2:J287">
    <cfRule type="cellIs" dxfId="12" priority="1" operator="equal">
      <formula>"R"</formula>
    </cfRule>
  </conditionalFormatting>
  <hyperlinks>
    <hyperlink ref="B287" r:id="rId1" xr:uid="{595FBF46-5B87-4F03-9DBF-7BD41A6433BE}"/>
    <hyperlink ref="B286" r:id="rId2" xr:uid="{324B1A0E-E1B1-4959-B818-77ADEAF9AFA7}"/>
    <hyperlink ref="B285" r:id="rId3" xr:uid="{39D9D722-3B71-4ED3-A4BE-D65B2066F47B}"/>
    <hyperlink ref="B284" r:id="rId4" xr:uid="{BC047EE6-A451-42F6-9718-5B975338143C}"/>
    <hyperlink ref="B283" r:id="rId5" xr:uid="{9F5CC374-0F70-463E-969B-8862510EE9CD}"/>
    <hyperlink ref="B282" r:id="rId6" xr:uid="{A365C90A-B854-496F-B05E-6FD0FD135AC1}"/>
    <hyperlink ref="B281" r:id="rId7" xr:uid="{C7283DEA-CBDF-403F-A3F6-28D77F87A409}"/>
    <hyperlink ref="B280" r:id="rId8" xr:uid="{C997D98F-8F88-4027-845A-D9B67C3E4162}"/>
    <hyperlink ref="B279" r:id="rId9" xr:uid="{C4ED5821-1E8E-4D3B-86A4-A6B53D3679A1}"/>
    <hyperlink ref="B278" r:id="rId10" xr:uid="{D8EF02B8-C9BA-48A8-BA1A-42C5BCC63F50}"/>
    <hyperlink ref="B277" r:id="rId11" xr:uid="{815A4F29-93B3-444B-B7EB-CE54124EBF71}"/>
    <hyperlink ref="B276" r:id="rId12" xr:uid="{2834C6AD-8F63-4491-BC51-667BA1F3366A}"/>
    <hyperlink ref="B275" r:id="rId13" xr:uid="{F642286A-84D3-41CB-B275-3001D0EE320A}"/>
    <hyperlink ref="B274" r:id="rId14" xr:uid="{EFB350E2-9D8D-4528-BA62-48CE9358F7D9}"/>
    <hyperlink ref="B273" r:id="rId15" xr:uid="{C74A83E1-9920-4A85-A46B-6E45549CBE46}"/>
    <hyperlink ref="B272" r:id="rId16" xr:uid="{BB08889C-59E8-4398-BF1E-9F18F1C8D3C3}"/>
    <hyperlink ref="B271" r:id="rId17" xr:uid="{FFC2CCBB-607A-4D06-AE22-C81AC776399E}"/>
    <hyperlink ref="B270" r:id="rId18" xr:uid="{86FEE19E-1F6C-4D76-970A-6DD9A2C651EB}"/>
    <hyperlink ref="B269" r:id="rId19" xr:uid="{7292C8F0-5931-4FDA-A9FD-10B152533BFE}"/>
    <hyperlink ref="B268" r:id="rId20" xr:uid="{4210741F-DC4E-426E-A085-F98681CEE24F}"/>
    <hyperlink ref="B267" r:id="rId21" xr:uid="{104FE6DC-E135-4C6C-BF37-B6666C68F722}"/>
    <hyperlink ref="B266" r:id="rId22" xr:uid="{868E9A12-2B3A-4950-BF71-40505F606646}"/>
    <hyperlink ref="B265" r:id="rId23" xr:uid="{8C152FCD-7594-4B28-A363-9C8E66ADE6A3}"/>
    <hyperlink ref="B264" r:id="rId24" xr:uid="{8CBC8D64-F472-4653-AA54-5BBC2AA3A603}"/>
    <hyperlink ref="B263" r:id="rId25" xr:uid="{844B672E-69CB-4266-A2B4-DE03822B92B6}"/>
    <hyperlink ref="B262" r:id="rId26" xr:uid="{4F4FE469-A6CA-467B-8189-A5694457437C}"/>
    <hyperlink ref="B261" r:id="rId27" xr:uid="{ACD4AA56-09D6-4924-852A-67F937B8FE7B}"/>
    <hyperlink ref="B260" r:id="rId28" xr:uid="{3576E30D-3DF3-47A3-854F-8855BF79A4AA}"/>
    <hyperlink ref="B259" r:id="rId29" xr:uid="{51C04211-C650-45A4-B479-76FEB883EB02}"/>
    <hyperlink ref="B258" r:id="rId30" xr:uid="{675BF3C3-246C-40B4-B073-D6A211833A9F}"/>
    <hyperlink ref="B257" r:id="rId31" xr:uid="{64F3A73D-DB27-4EC4-AF36-045A8DEF8EAD}"/>
    <hyperlink ref="B256" r:id="rId32" xr:uid="{E1EA42BF-442B-47D6-ACAD-CADF947D8A12}"/>
    <hyperlink ref="B255" r:id="rId33" xr:uid="{F3489A71-C17E-4DF6-9EE7-3574BDE78B6F}"/>
    <hyperlink ref="B254" r:id="rId34" xr:uid="{E1FE320F-431E-441B-8BEE-EFC829E52A28}"/>
    <hyperlink ref="B253" r:id="rId35" xr:uid="{E557D681-5376-4030-A2E7-A210C7C0F265}"/>
    <hyperlink ref="B252" r:id="rId36" xr:uid="{D476A1CB-45F1-4D3B-929C-BA6EB3B40826}"/>
    <hyperlink ref="B251" r:id="rId37" xr:uid="{6EC4A4AB-520A-4F54-B456-E6DA55D6C648}"/>
    <hyperlink ref="B250" r:id="rId38" xr:uid="{EB89DCE4-9BEF-4EB6-9D60-14842D0B99B8}"/>
    <hyperlink ref="B249" r:id="rId39" xr:uid="{08B7D84F-2F00-4074-928A-5E9E9E6E3973}"/>
    <hyperlink ref="B248" r:id="rId40" xr:uid="{A5FE1BCF-55AF-494F-B613-F7D59E8AD6F8}"/>
    <hyperlink ref="B247" r:id="rId41" xr:uid="{C12EA657-E742-4AF2-A7E4-8EC2EC91EB20}"/>
    <hyperlink ref="B246" r:id="rId42" xr:uid="{9B2D36D2-0040-42F1-BE2F-4AD189884A83}"/>
    <hyperlink ref="B245" r:id="rId43" xr:uid="{712DD7D9-1164-4480-B55F-1999C2F9453C}"/>
    <hyperlink ref="B244" r:id="rId44" xr:uid="{0016AD7E-4784-413E-865E-088B536B7BD6}"/>
    <hyperlink ref="B243" r:id="rId45" xr:uid="{4A34F06D-E89A-48F7-84DC-43B6715C3B5E}"/>
    <hyperlink ref="B242" r:id="rId46" xr:uid="{4E16667F-3531-49EC-AACC-E70272F8EBFE}"/>
    <hyperlink ref="B241" r:id="rId47" xr:uid="{35FF31E7-B855-4CB4-A124-03354DE36318}"/>
    <hyperlink ref="B240" r:id="rId48" xr:uid="{051BBC59-22D5-4D00-9D91-95F5A326A900}"/>
    <hyperlink ref="B239" r:id="rId49" xr:uid="{2B622EA5-FA2C-446E-B3E1-AF00446407EC}"/>
    <hyperlink ref="B238" r:id="rId50" xr:uid="{72787337-4AC2-4BE4-B650-6031A390729E}"/>
    <hyperlink ref="B237" r:id="rId51" xr:uid="{37144383-458D-4B6A-BC74-DE1F85564C6B}"/>
    <hyperlink ref="B236" r:id="rId52" xr:uid="{0CA22F6C-C597-404B-A64A-7081077052D0}"/>
    <hyperlink ref="B235" r:id="rId53" xr:uid="{2A096438-1ACF-47EB-B446-A1C2F5BDE60E}"/>
    <hyperlink ref="B234" r:id="rId54" xr:uid="{3113006B-B254-49C0-A8BB-AFE3AAC8262B}"/>
    <hyperlink ref="B233" r:id="rId55" xr:uid="{A796F6A4-0A86-4158-87DC-961DBD287EA3}"/>
    <hyperlink ref="B232" r:id="rId56" xr:uid="{9EAE5C72-BC54-4F2D-9A1E-FF1977A2E4CD}"/>
    <hyperlink ref="B231" r:id="rId57" xr:uid="{ED787946-BD39-4332-9BEB-44B8A25BA818}"/>
    <hyperlink ref="B230" r:id="rId58" xr:uid="{2C4724FC-50F7-4F3E-BC11-A616D264A4DE}"/>
    <hyperlink ref="B229" r:id="rId59" xr:uid="{367D80F2-E321-4726-B83D-F7C2A4569982}"/>
    <hyperlink ref="B228" r:id="rId60" xr:uid="{FA289DC8-A79C-45E0-BD58-9A3BCFCFFFF4}"/>
    <hyperlink ref="B227" r:id="rId61" xr:uid="{C7D7EBD7-F99E-4019-9B94-F93A6D876F9A}"/>
    <hyperlink ref="B226" r:id="rId62" xr:uid="{076CC423-216C-4520-B697-FB6F69210F91}"/>
    <hyperlink ref="B225" r:id="rId63" xr:uid="{9CE4AE75-8E56-4E2E-BFB2-C44FF57E8ECF}"/>
    <hyperlink ref="B224" r:id="rId64" xr:uid="{E652E93F-D772-4852-ABB6-C372CD2CF91D}"/>
    <hyperlink ref="B223" r:id="rId65" xr:uid="{17B4ADDB-8445-487F-926D-75B59633F3A0}"/>
    <hyperlink ref="B222" r:id="rId66" xr:uid="{DDB5884F-082F-407C-8D6F-1353FDAE9AC8}"/>
    <hyperlink ref="B221" r:id="rId67" xr:uid="{2F214EA3-7095-42F5-B29C-A22818BDF89F}"/>
    <hyperlink ref="B220" r:id="rId68" xr:uid="{49E87491-42D1-4007-9E9A-C51BB3D83527}"/>
    <hyperlink ref="B219" r:id="rId69" xr:uid="{3107142C-378D-4830-AD10-B6864C241A43}"/>
    <hyperlink ref="B218" r:id="rId70" xr:uid="{F71440ED-E325-4760-80AB-469F58EA3AEF}"/>
    <hyperlink ref="B217" r:id="rId71" xr:uid="{9E670012-80FA-44EA-B7B7-F9AF1977D9F0}"/>
    <hyperlink ref="B216" r:id="rId72" xr:uid="{AA3679A6-1002-4843-96C6-D25E283C9EF4}"/>
    <hyperlink ref="B215" r:id="rId73" xr:uid="{327B44D0-7C33-44CD-8DE9-471A72A9A211}"/>
    <hyperlink ref="B214" r:id="rId74" xr:uid="{273BCFD4-A35E-43D4-AEC9-412CF25C7FE3}"/>
    <hyperlink ref="B213" r:id="rId75" xr:uid="{AAF44645-5D93-4BE2-BFFE-9DD2EBB131A4}"/>
    <hyperlink ref="B212" r:id="rId76" xr:uid="{8C83994A-B8A7-46D4-849F-82D6372DD159}"/>
    <hyperlink ref="B211" r:id="rId77" xr:uid="{38AF3D29-6A49-4FF7-82F5-266073F92A83}"/>
    <hyperlink ref="B210" r:id="rId78" xr:uid="{DC090C1E-9649-445F-8250-5C2465311867}"/>
    <hyperlink ref="B209" r:id="rId79" xr:uid="{3FDB27A0-120A-4780-8E9E-9968FB20D207}"/>
    <hyperlink ref="B208" r:id="rId80" xr:uid="{BA9C4198-6CDA-4F91-B08F-33629C74FA27}"/>
    <hyperlink ref="B207" r:id="rId81" xr:uid="{5FADD553-E353-4EAF-9C51-1B45AE81A024}"/>
    <hyperlink ref="B206" r:id="rId82" xr:uid="{68DF6834-D95D-48DE-82D9-671F038442DE}"/>
    <hyperlink ref="B205" r:id="rId83" xr:uid="{B2A29B40-7F88-4A03-B071-EC59EF31BF7E}"/>
    <hyperlink ref="B204" r:id="rId84" xr:uid="{059FD263-7D89-4232-B7CE-87F150879AC2}"/>
    <hyperlink ref="B203" r:id="rId85" xr:uid="{74BA0516-F7CD-40E4-AF8C-5BBE3F5888FB}"/>
    <hyperlink ref="B202" r:id="rId86" xr:uid="{C920F5D6-437B-48FA-B356-EC66788B76FA}"/>
    <hyperlink ref="B201" r:id="rId87" xr:uid="{6F714E63-0652-481D-B2E4-F6D638424328}"/>
    <hyperlink ref="B200" r:id="rId88" xr:uid="{774588E4-98ED-494C-BA13-5484613F36B0}"/>
    <hyperlink ref="B199" r:id="rId89" xr:uid="{5306D646-620A-444B-B4AB-2DDBB02166F6}"/>
    <hyperlink ref="B198" r:id="rId90" xr:uid="{B9222720-C804-4AF1-AEF7-65F4CD1DA8D5}"/>
    <hyperlink ref="B197" r:id="rId91" xr:uid="{C709ACCD-FF5D-45C7-83DE-AC7A9275E768}"/>
    <hyperlink ref="B196" r:id="rId92" xr:uid="{A6FD9E82-0A73-40A5-821A-2BEF62B80E55}"/>
    <hyperlink ref="B195" r:id="rId93" xr:uid="{92F7D55D-9CB0-47BD-A4FD-E007FB02168E}"/>
    <hyperlink ref="B194" r:id="rId94" xr:uid="{5BEE1DBE-EF62-4E5F-A0FF-74F88305EF2A}"/>
    <hyperlink ref="B193" r:id="rId95" xr:uid="{E3CE197A-D037-463E-8E4D-C881E434A1DB}"/>
    <hyperlink ref="B192" r:id="rId96" xr:uid="{FE8AA019-99AA-4399-B2F4-7FA3EB18A45E}"/>
    <hyperlink ref="B191" r:id="rId97" xr:uid="{FE9D2239-8056-412A-B695-648784AD44D8}"/>
    <hyperlink ref="B190" r:id="rId98" xr:uid="{C0AF9B09-F5F9-40CF-8231-AF3ABFB3D2EA}"/>
    <hyperlink ref="B189" r:id="rId99" xr:uid="{BAC270F8-0A96-444F-8E03-CCA23B50F978}"/>
    <hyperlink ref="B188" r:id="rId100" xr:uid="{1CBFC912-6F57-4B58-8101-D45F723DA3B2}"/>
    <hyperlink ref="B187" r:id="rId101" xr:uid="{1DACBB92-03F2-4508-A60D-9DFBFE5ADE4B}"/>
    <hyperlink ref="B186" r:id="rId102" xr:uid="{94F81F8D-E352-42FD-B66B-F564B26316C7}"/>
    <hyperlink ref="B185" r:id="rId103" xr:uid="{5D558BE3-532B-4112-B681-3B49FC576D87}"/>
    <hyperlink ref="B184" r:id="rId104" xr:uid="{E5B854D0-31DE-4434-A046-D53376BE3A38}"/>
    <hyperlink ref="B183" r:id="rId105" xr:uid="{03743EDF-0C4A-4C3F-96E0-8D9232A6718A}"/>
    <hyperlink ref="B182" r:id="rId106" xr:uid="{22EAC7B6-4411-44D1-8E0F-423F9D9B2575}"/>
    <hyperlink ref="B181" r:id="rId107" xr:uid="{CE85BDAE-0B48-4330-87FB-0CD5C3079ADF}"/>
    <hyperlink ref="B180" r:id="rId108" xr:uid="{994D652E-38F4-45F6-8D89-E6C9B0900DD6}"/>
    <hyperlink ref="B179" r:id="rId109" xr:uid="{D10559D8-868B-489A-911B-4355C4BC2950}"/>
    <hyperlink ref="B178" r:id="rId110" xr:uid="{7D68943C-BE94-435F-9A73-9C4CED6DDDE9}"/>
    <hyperlink ref="B177" r:id="rId111" xr:uid="{8C9C0CDF-EF53-4553-AEA1-38BDCEFE2A8E}"/>
    <hyperlink ref="B176" r:id="rId112" xr:uid="{ACC38FBF-E387-49A1-B958-7D955DD02CD6}"/>
    <hyperlink ref="B175" r:id="rId113" xr:uid="{1C5F1ABD-1935-40E0-AF95-D35D8769FC90}"/>
    <hyperlink ref="B174" r:id="rId114" xr:uid="{6B6EFA5E-805A-4508-9ECC-365AEBE27E44}"/>
    <hyperlink ref="B173" r:id="rId115" xr:uid="{ED130450-53CA-41E2-B66A-FDCD02B41171}"/>
    <hyperlink ref="B172" r:id="rId116" xr:uid="{B7B5662D-70C5-4E39-AE90-4D04BADDBED5}"/>
    <hyperlink ref="B171" r:id="rId117" xr:uid="{0D9B4855-A6AC-4EA4-B52D-9BFBBDA7333D}"/>
    <hyperlink ref="B170" r:id="rId118" xr:uid="{1E767D03-8DE2-4516-AFA4-48499403145B}"/>
    <hyperlink ref="B169" r:id="rId119" xr:uid="{02E9E663-25FE-4297-8F5B-CD017AE69B35}"/>
    <hyperlink ref="B168" r:id="rId120" xr:uid="{CA063034-CDE6-4481-87D8-71C38FB15EF3}"/>
    <hyperlink ref="B167" r:id="rId121" xr:uid="{0B626651-BA69-43C1-B753-4A3BE8610464}"/>
    <hyperlink ref="B166" r:id="rId122" xr:uid="{27666F2D-73A6-43F6-8392-DF29217B2996}"/>
    <hyperlink ref="B165" r:id="rId123" xr:uid="{743D76A1-39EB-4D16-BBE8-0F6A1A877D3D}"/>
    <hyperlink ref="B164" r:id="rId124" xr:uid="{D52A2A96-9243-4FD6-8FCE-5D7A25FD50FA}"/>
    <hyperlink ref="B163" r:id="rId125" xr:uid="{48BBB433-98A2-4E40-9941-C1A3DE97901C}"/>
    <hyperlink ref="B162" r:id="rId126" xr:uid="{9064657D-C187-4DC7-A713-AC33223DED3B}"/>
    <hyperlink ref="B161" r:id="rId127" xr:uid="{E94C92FA-7E0E-49D6-B021-F595931E4E8C}"/>
    <hyperlink ref="B160" r:id="rId128" xr:uid="{23843CA3-0E71-4D9C-A75D-4F007BDE901D}"/>
    <hyperlink ref="B159" r:id="rId129" xr:uid="{F5E94330-F792-4026-AEA0-B01E7751328F}"/>
    <hyperlink ref="B158" r:id="rId130" xr:uid="{E08FF3E6-C044-40F6-83EF-E58B3C45AE32}"/>
    <hyperlink ref="B157" r:id="rId131" xr:uid="{B987C271-C842-45D4-8B50-1A507507485C}"/>
    <hyperlink ref="B156" r:id="rId132" xr:uid="{987CE782-7BA4-4283-A3B8-35891E79A9B3}"/>
    <hyperlink ref="B155" r:id="rId133" xr:uid="{699663D5-3A05-476F-A6D2-9897A2997648}"/>
    <hyperlink ref="B154" r:id="rId134" xr:uid="{624FB746-773F-4F2B-A78D-98D095B15151}"/>
    <hyperlink ref="B153" r:id="rId135" xr:uid="{E866B62D-A8B8-4155-9951-2B0D992B135D}"/>
    <hyperlink ref="B152" r:id="rId136" xr:uid="{DD7684EC-59F0-4B96-9EE8-A74DCBEA355E}"/>
    <hyperlink ref="B151" r:id="rId137" xr:uid="{611FB106-F28F-4A9B-8CEE-0C10C705199C}"/>
    <hyperlink ref="B150" r:id="rId138" xr:uid="{B29BFED6-5671-4DDA-8A18-9FCBE5D2192E}"/>
    <hyperlink ref="B149" r:id="rId139" xr:uid="{3792784A-AA71-4241-AF9B-41A3E5378CFD}"/>
    <hyperlink ref="B148" r:id="rId140" xr:uid="{A130BEB0-93A7-4278-82A2-19ADAEF6FD8E}"/>
    <hyperlink ref="B147" r:id="rId141" xr:uid="{6C92D307-CC3B-4200-944E-717B3D296C26}"/>
    <hyperlink ref="B146" r:id="rId142" xr:uid="{C5031E54-2C94-48F9-80A9-1DA1D269DD28}"/>
    <hyperlink ref="B145" r:id="rId143" xr:uid="{6D9794A0-45C0-4170-8FB3-F82EB6509DDC}"/>
    <hyperlink ref="B144" r:id="rId144" xr:uid="{9EF50D2C-92A5-47D3-9613-32A09F5C360F}"/>
    <hyperlink ref="B143" r:id="rId145" xr:uid="{531C3C24-344E-4B85-8FA7-E301BFC02A59}"/>
    <hyperlink ref="B142" r:id="rId146" xr:uid="{D67FE769-65A5-45AD-9E67-5C1BD229E741}"/>
    <hyperlink ref="B141" r:id="rId147" xr:uid="{F043B37A-A965-4B4B-A921-5239FFF38A06}"/>
    <hyperlink ref="B140" r:id="rId148" xr:uid="{D0F4C579-AFB5-45D4-BA50-3D5EA767DF2F}"/>
    <hyperlink ref="B139" r:id="rId149" xr:uid="{7D84CC1E-9810-4963-B713-8826BC6B644E}"/>
    <hyperlink ref="B138" r:id="rId150" xr:uid="{8D0AD2D9-42EE-489B-B123-24E0647D1D6C}"/>
    <hyperlink ref="B137" r:id="rId151" xr:uid="{D79A5279-DB33-401E-9833-9CF064091DEC}"/>
    <hyperlink ref="B136" r:id="rId152" xr:uid="{F24C90A7-8A96-48CF-887B-E68DF50F30AE}"/>
    <hyperlink ref="B135" r:id="rId153" xr:uid="{E971AFAC-6F1A-4C77-95F1-746976566BC9}"/>
    <hyperlink ref="B134" r:id="rId154" xr:uid="{4C4E108B-1BCB-4890-A3CA-DED1F62D0CF1}"/>
    <hyperlink ref="B133" r:id="rId155" xr:uid="{5C5FEA35-62C8-4965-8610-14880037D1EC}"/>
    <hyperlink ref="B132" r:id="rId156" xr:uid="{D41CF33A-DE2F-4E2E-8A43-6C607E65B3DE}"/>
    <hyperlink ref="B131" r:id="rId157" xr:uid="{8B559E96-46F1-4320-B2F5-7987E4576FF8}"/>
    <hyperlink ref="B130" r:id="rId158" xr:uid="{DED89A26-EA92-4466-A4E5-BF391CFB6D5E}"/>
    <hyperlink ref="B129" r:id="rId159" xr:uid="{D513E8CB-8FF9-41EE-9AC0-A7EF4193E43D}"/>
    <hyperlink ref="B128" r:id="rId160" xr:uid="{4BB8E400-47F8-4461-AF6D-7698F2B8F57D}"/>
    <hyperlink ref="B127" r:id="rId161" xr:uid="{A5DE2D8B-E936-4E41-AA6C-548774B1FA64}"/>
    <hyperlink ref="B126" r:id="rId162" xr:uid="{31062F32-81DB-4631-87FE-ECB73A40437B}"/>
    <hyperlink ref="B125" r:id="rId163" xr:uid="{8F77D6A9-BC55-441B-988B-EB37E9661DD3}"/>
    <hyperlink ref="B124" r:id="rId164" xr:uid="{5785E01C-B6F6-4FA2-AC71-523684FA0BB4}"/>
    <hyperlink ref="B123" r:id="rId165" xr:uid="{D2ADF3DF-C2C2-4EA6-B2D8-F5266598D0EE}"/>
    <hyperlink ref="B122" r:id="rId166" xr:uid="{E56A2135-7A6F-4BFA-B922-222DE51AADC4}"/>
    <hyperlink ref="B121" r:id="rId167" xr:uid="{497E45C4-2C14-4515-B56B-1970B63E3E5D}"/>
    <hyperlink ref="B120" r:id="rId168" xr:uid="{A29CA9B4-5F6F-48BC-BF51-FCDF590E90F7}"/>
    <hyperlink ref="B119" r:id="rId169" xr:uid="{AD6D5C9A-52DA-4B77-80A3-401F3AA85F5D}"/>
    <hyperlink ref="B118" r:id="rId170" xr:uid="{19454663-C176-4426-9870-A1255A024776}"/>
    <hyperlink ref="B117" r:id="rId171" xr:uid="{98222589-BB40-4A7C-B125-F2D1FC32E9B3}"/>
    <hyperlink ref="B116" r:id="rId172" xr:uid="{867219D4-1A2C-42C8-8B7B-A7DA341E5C66}"/>
    <hyperlink ref="B115" r:id="rId173" xr:uid="{EC1F02AA-112B-422A-868E-CD377B97BC16}"/>
    <hyperlink ref="B114" r:id="rId174" xr:uid="{7E0F8AEF-FA9C-432C-9AAB-8047FEC845FD}"/>
    <hyperlink ref="B113" r:id="rId175" xr:uid="{13FFF266-0A49-4CB4-A1F9-0B148AE3D6A6}"/>
    <hyperlink ref="B112" r:id="rId176" xr:uid="{CBF921E8-BB48-46CD-8EBC-B3A0037D7F65}"/>
    <hyperlink ref="B111" r:id="rId177" xr:uid="{76462B55-AB8F-46AA-B585-F406B7CCCC37}"/>
    <hyperlink ref="B110" r:id="rId178" xr:uid="{779CE2C3-7B8E-403C-8DAA-B2761370F53E}"/>
    <hyperlink ref="B109" r:id="rId179" xr:uid="{6FB01BEE-A8AF-4466-BAC5-761197A29FCD}"/>
    <hyperlink ref="B108" r:id="rId180" xr:uid="{9181BB14-0E07-424A-9062-1F142563C824}"/>
    <hyperlink ref="B107" r:id="rId181" xr:uid="{FC35BDC2-6109-4049-9E83-EB87957A22A0}"/>
    <hyperlink ref="B106" r:id="rId182" xr:uid="{65BA04B4-BF0D-4502-8095-38A228E9F5BE}"/>
    <hyperlink ref="B105" r:id="rId183" xr:uid="{4A0EECC7-B1A1-4EFF-80AE-AF0E3C533750}"/>
    <hyperlink ref="B104" r:id="rId184" xr:uid="{07DE2FB1-E0AA-4641-9957-AF607C4CB807}"/>
    <hyperlink ref="B103" r:id="rId185" xr:uid="{3167C659-2ACC-47D4-A6B1-13783CA818F0}"/>
    <hyperlink ref="B102" r:id="rId186" xr:uid="{F05050E2-1ECF-49EA-8C39-5FE62D78C15D}"/>
    <hyperlink ref="B101" r:id="rId187" xr:uid="{42CBCC1A-428E-48B7-A7B9-ED37E390E994}"/>
    <hyperlink ref="B100" r:id="rId188" xr:uid="{D17CA91C-2210-4465-96E5-4DA8E8206E43}"/>
    <hyperlink ref="B99" r:id="rId189" xr:uid="{B515566B-F97E-446D-961A-F3E2D57F8B31}"/>
    <hyperlink ref="B98" r:id="rId190" xr:uid="{9B1384AB-B428-48EA-913C-E1C085E78E58}"/>
    <hyperlink ref="B97" r:id="rId191" xr:uid="{758D3372-2EC3-47EB-BA74-21F2AAA0F5DC}"/>
    <hyperlink ref="B96" r:id="rId192" xr:uid="{6F2FAB59-B065-4998-99C5-69471A5D7D97}"/>
    <hyperlink ref="B95" r:id="rId193" xr:uid="{A64DECC5-504B-4452-9A89-1D839D55B454}"/>
    <hyperlink ref="B94" r:id="rId194" xr:uid="{43F4592F-42EF-4D01-A1E3-1DD60800F9C1}"/>
    <hyperlink ref="B93" r:id="rId195" xr:uid="{B0D5F9FC-125C-45ED-818F-EB6D6DED5F0B}"/>
    <hyperlink ref="B92" r:id="rId196" xr:uid="{E73540FC-BA3A-41C3-94A4-36D064316119}"/>
    <hyperlink ref="B91" r:id="rId197" xr:uid="{E62B6F1D-CAD0-48AF-A552-52E0B2A81F01}"/>
    <hyperlink ref="B90" r:id="rId198" xr:uid="{314166B0-0919-40A8-B366-F2892D46ACDB}"/>
    <hyperlink ref="B89" r:id="rId199" xr:uid="{C442BEF6-3E76-4628-8908-4B6217219713}"/>
    <hyperlink ref="B88" r:id="rId200" xr:uid="{CB9A271A-8DEF-491F-AC78-6FCC7DEE8B7A}"/>
    <hyperlink ref="B87" r:id="rId201" xr:uid="{2C84A2AB-7A04-4442-957D-819C6ABDB1A4}"/>
    <hyperlink ref="B86" r:id="rId202" xr:uid="{ED3025F2-34FB-4CCD-B5E2-140A39B251AA}"/>
    <hyperlink ref="B85" r:id="rId203" xr:uid="{794631C9-01BE-4FE4-B40E-A01205F45200}"/>
    <hyperlink ref="B84" r:id="rId204" xr:uid="{017828AE-D032-42E1-A7F2-E40563705C17}"/>
    <hyperlink ref="B83" r:id="rId205" xr:uid="{9D4FF83E-7690-46EB-AF29-DAA54CBCB27F}"/>
    <hyperlink ref="B82" r:id="rId206" xr:uid="{FA35551A-B0A1-4193-BD7D-4EA29C3A25EB}"/>
    <hyperlink ref="B81" r:id="rId207" xr:uid="{ACCC688B-3DCD-47E3-86A5-3A7D98502968}"/>
    <hyperlink ref="B80" r:id="rId208" xr:uid="{F5E9B80A-FFE9-42B6-84FC-E2CB2C2C68C4}"/>
    <hyperlink ref="B79" r:id="rId209" xr:uid="{F3CB7F0E-00EC-46D5-A7A6-7E140AD884CC}"/>
    <hyperlink ref="B78" r:id="rId210" xr:uid="{71D62B45-5E55-4368-84D9-8BC2808B3E7B}"/>
    <hyperlink ref="B77" r:id="rId211" xr:uid="{F7D49E2E-1EDD-4013-BDD7-A689D5B2FDF5}"/>
    <hyperlink ref="B76" r:id="rId212" xr:uid="{4C7559B8-590B-4135-9082-031C794B41A1}"/>
    <hyperlink ref="B75" r:id="rId213" xr:uid="{EB529763-8504-4B52-A2EC-26E4AB69E1EC}"/>
    <hyperlink ref="B74" r:id="rId214" xr:uid="{BADD109B-EA90-4701-B3EC-4F053AECAE08}"/>
    <hyperlink ref="B73" r:id="rId215" xr:uid="{F75BEF44-107A-4DF9-9887-2153F8E2EA78}"/>
    <hyperlink ref="B72" r:id="rId216" xr:uid="{69768D33-F67F-43A6-9E06-284112DB6A63}"/>
    <hyperlink ref="B71" r:id="rId217" xr:uid="{4C8D5B01-20A7-4944-BD3C-33C3D9817721}"/>
    <hyperlink ref="B70" r:id="rId218" xr:uid="{4AE6E139-F11C-4F0E-B496-A588037854DC}"/>
    <hyperlink ref="B69" r:id="rId219" xr:uid="{967EECFD-D614-41B6-A71F-91B7826DEB0A}"/>
    <hyperlink ref="B68" r:id="rId220" xr:uid="{D284C5A9-354B-4D55-8621-2D1448C72EFD}"/>
    <hyperlink ref="B67" r:id="rId221" xr:uid="{EC463780-F69A-47FE-B64D-A27789735A6B}"/>
    <hyperlink ref="B66" r:id="rId222" xr:uid="{F97F2000-1EE2-43E2-BE76-0E4A8655E590}"/>
    <hyperlink ref="B65" r:id="rId223" xr:uid="{A282C596-080E-40F7-AB3C-939A51B44CFE}"/>
    <hyperlink ref="B64" r:id="rId224" xr:uid="{B641776B-7C8D-457A-A0D8-2F0892CCC5FE}"/>
    <hyperlink ref="B63" r:id="rId225" xr:uid="{B4965CF4-1B9B-45E5-A5EF-BBD19D0C85BB}"/>
    <hyperlink ref="B62" r:id="rId226" xr:uid="{BBC365D5-C141-475A-83E2-D93E61A38790}"/>
    <hyperlink ref="B61" r:id="rId227" xr:uid="{09564D12-8384-44AB-A09F-CEB37F3D425A}"/>
    <hyperlink ref="B60" r:id="rId228" xr:uid="{CB58241F-0009-4B2D-A1FE-A7B4EFE525DF}"/>
    <hyperlink ref="B59" r:id="rId229" xr:uid="{88E42AF0-F497-4B44-8548-4F47289E7328}"/>
    <hyperlink ref="B58" r:id="rId230" xr:uid="{D5B0AF98-7AA6-4B6A-89C0-246E76C3BEED}"/>
    <hyperlink ref="B57" r:id="rId231" xr:uid="{F972C5C4-609A-4A97-BA2C-2F53A7DE7C64}"/>
    <hyperlink ref="B56" r:id="rId232" xr:uid="{B774C084-0708-4F38-97EB-78D97128ED77}"/>
    <hyperlink ref="B55" r:id="rId233" xr:uid="{24CAEAD1-0634-473B-8E96-4788578A8533}"/>
    <hyperlink ref="B54" r:id="rId234" xr:uid="{07B3D857-318F-4713-A9C8-92CEED7E830A}"/>
    <hyperlink ref="B53" r:id="rId235" xr:uid="{A9917A36-F9E1-482A-A9C5-CCAFAEE96D63}"/>
    <hyperlink ref="B52" r:id="rId236" xr:uid="{90B31F7A-B267-4180-9DDB-14F36717C7E2}"/>
    <hyperlink ref="B51" r:id="rId237" xr:uid="{67DF929F-7884-41DD-AEF8-0F4BCE8A9B93}"/>
    <hyperlink ref="B50" r:id="rId238" xr:uid="{8D1BABE8-4F3D-43B8-AF08-6BC05F4F499C}"/>
    <hyperlink ref="B49" r:id="rId239" xr:uid="{06840C17-30D5-41FB-A7D3-FF94CE16D8B3}"/>
    <hyperlink ref="B48" r:id="rId240" xr:uid="{CB437299-2B57-4CB0-983B-EFBD7EBA5FD8}"/>
    <hyperlink ref="B47" r:id="rId241" xr:uid="{8169B95E-DCD8-424F-9E1D-A847F0B8B5AC}"/>
    <hyperlink ref="B46" r:id="rId242" xr:uid="{B3E467B2-98A8-49C6-BB54-F7738A92E15D}"/>
    <hyperlink ref="B45" r:id="rId243" xr:uid="{17C599CF-4696-475B-BD83-D5C4E91721E1}"/>
    <hyperlink ref="B44" r:id="rId244" xr:uid="{E16400D4-FC9D-4C26-B564-596885A9A930}"/>
    <hyperlink ref="B43" r:id="rId245" xr:uid="{81BC3673-C150-49B3-BCCD-EB566E3F198F}"/>
    <hyperlink ref="B42" r:id="rId246" xr:uid="{772DD6BC-8ADA-47CF-BA3F-FCBBE0FEB981}"/>
    <hyperlink ref="B41" r:id="rId247" xr:uid="{BC9459C6-246A-403F-B070-05C2EC549A23}"/>
    <hyperlink ref="B40" r:id="rId248" xr:uid="{534A881C-C9E8-486A-A181-BBD2D388C983}"/>
    <hyperlink ref="B39" r:id="rId249" xr:uid="{E4AE2515-A3C5-4F8C-87A5-F1A489009F5D}"/>
    <hyperlink ref="B38" r:id="rId250" xr:uid="{4EF9BF42-6584-4E2E-9601-2AD2CDAE7984}"/>
    <hyperlink ref="B37" r:id="rId251" xr:uid="{D1EA49A6-51A4-4DB4-AB36-53FF28D72F97}"/>
    <hyperlink ref="B36" r:id="rId252" xr:uid="{55E12D42-840D-4E38-B85C-1AD8B68823A9}"/>
    <hyperlink ref="B35" r:id="rId253" xr:uid="{A759943B-7D34-4FEA-9A28-63C2A19464D7}"/>
    <hyperlink ref="B34" r:id="rId254" xr:uid="{EA14A0A3-B3B1-462D-96AF-D81A58E1C9FC}"/>
    <hyperlink ref="B33" r:id="rId255" xr:uid="{3A02B2C4-7BFB-4748-BB1F-1D1DB7CAD7D9}"/>
    <hyperlink ref="B32" r:id="rId256" xr:uid="{702A059C-E918-49A1-8177-9FAC95452D4D}"/>
    <hyperlink ref="B31" r:id="rId257" xr:uid="{460E91A5-B825-4905-9E41-035462DFC5A1}"/>
    <hyperlink ref="B30" r:id="rId258" xr:uid="{019AA7BC-184F-4694-A56A-BFC68B86CB9B}"/>
    <hyperlink ref="B29" r:id="rId259" xr:uid="{5FD5E50B-B649-47E8-BD82-147FD9BC8F02}"/>
    <hyperlink ref="B28" r:id="rId260" xr:uid="{5507ED19-C9C1-4604-8257-E3F859309020}"/>
    <hyperlink ref="B27" r:id="rId261" xr:uid="{524C04F3-E1B9-4AE4-8C2C-62845A1464B8}"/>
    <hyperlink ref="B26" r:id="rId262" xr:uid="{D181EF74-33EA-4B8D-999F-E2839FE75873}"/>
    <hyperlink ref="B25" r:id="rId263" xr:uid="{43A64CFA-D0F7-4B10-A232-EC8B859069A4}"/>
    <hyperlink ref="B24" r:id="rId264" xr:uid="{9347425B-6385-4ED7-9B59-6C14244375D0}"/>
    <hyperlink ref="B23" r:id="rId265" xr:uid="{C37FC2E4-34D2-4550-A5F7-6DA25DFB864F}"/>
    <hyperlink ref="B22" r:id="rId266" xr:uid="{002782CD-BC83-4CB1-921F-7199BC737D2F}"/>
    <hyperlink ref="B21" r:id="rId267" xr:uid="{1D315D6B-989F-478E-97A2-7FD8212D9364}"/>
    <hyperlink ref="B20" r:id="rId268" xr:uid="{CF8F715D-4E75-4250-B7AA-9373B3FDEC09}"/>
    <hyperlink ref="B19" r:id="rId269" xr:uid="{56BE7F6D-38EC-425B-9510-570DDED51944}"/>
    <hyperlink ref="B18" r:id="rId270" xr:uid="{86F9F164-7DB4-41B3-ADC1-9566D3CF441A}"/>
    <hyperlink ref="B17" r:id="rId271" xr:uid="{83ACCDFB-73EC-4061-9725-0FBC6844A390}"/>
    <hyperlink ref="B16" r:id="rId272" xr:uid="{D5E62E3F-F821-48F5-AD1F-6AB74DFA3DBC}"/>
    <hyperlink ref="B15" r:id="rId273" xr:uid="{974C6A95-872F-4941-9E01-39CF9E5CA266}"/>
    <hyperlink ref="B14" r:id="rId274" xr:uid="{CB14A4CA-710A-4907-BE46-4A38E7867F80}"/>
    <hyperlink ref="B13" r:id="rId275" xr:uid="{22678F85-2014-4BB3-BD6E-AAB8729FC04D}"/>
    <hyperlink ref="B12" r:id="rId276" xr:uid="{DBD99092-2BE9-427A-9274-484715ACD267}"/>
    <hyperlink ref="B11" r:id="rId277" xr:uid="{3DD73407-7385-46A0-B67E-0FB21A95094D}"/>
    <hyperlink ref="B10" r:id="rId278" xr:uid="{C240AFBF-78A0-4468-ADD8-41DC81698134}"/>
    <hyperlink ref="B9" r:id="rId279" xr:uid="{84EE6F66-60A4-4116-AE35-C624AB1FD6FF}"/>
    <hyperlink ref="B8" r:id="rId280" xr:uid="{2BFF96BB-8553-4DEC-9779-5038214FAB20}"/>
    <hyperlink ref="B7" r:id="rId281" xr:uid="{6259DCE3-13B7-4361-8026-C931FC35B093}"/>
    <hyperlink ref="B6" r:id="rId282" xr:uid="{2122B0DA-4A05-420E-ABF8-E4864306D74A}"/>
    <hyperlink ref="B5" r:id="rId283" xr:uid="{C1E83A4C-F5BF-4BA1-A568-F9EFD5720700}"/>
    <hyperlink ref="B4" r:id="rId284" xr:uid="{989D0C80-7817-4A94-AC8E-41DFDF3B55B2}"/>
    <hyperlink ref="B3" r:id="rId285" xr:uid="{CFFBF1CE-B390-411F-A127-4CF2702434D9}"/>
    <hyperlink ref="B2" r:id="rId286" xr:uid="{37A6793F-883D-4FFC-B69B-00663BFA240F}"/>
  </hyperlinks>
  <pageMargins left="0.7" right="0.7" top="0.75" bottom="0.75" header="0.3" footer="0.3"/>
  <tableParts count="1">
    <tablePart r:id="rId28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3B45E-0549-482A-B2F1-3DB4E92C4D4F}">
  <dimension ref="A1:AK625"/>
  <sheetViews>
    <sheetView topLeftCell="N143" workbookViewId="0">
      <selection activeCell="U177" sqref="U177"/>
    </sheetView>
  </sheetViews>
  <sheetFormatPr defaultColWidth="11.42578125" defaultRowHeight="15" x14ac:dyDescent="0.25"/>
  <cols>
    <col min="2" max="3" width="37.85546875" customWidth="1"/>
    <col min="4" max="4" width="11.42578125" customWidth="1"/>
    <col min="5" max="5" width="31.85546875" customWidth="1"/>
    <col min="6" max="7" width="21.85546875" customWidth="1"/>
    <col min="8" max="8" width="12.140625" customWidth="1"/>
    <col min="12" max="12" width="12.7109375" customWidth="1"/>
    <col min="13" max="13" width="29.28515625" customWidth="1"/>
    <col min="14" max="14" width="20" customWidth="1"/>
    <col min="15" max="16" width="15.42578125" customWidth="1"/>
    <col min="17" max="17" width="12.42578125" customWidth="1"/>
    <col min="18" max="20" width="26.42578125" customWidth="1"/>
    <col min="21" max="21" width="16.7109375" customWidth="1"/>
    <col min="23" max="23" width="15.42578125" customWidth="1"/>
    <col min="25" max="25" width="19.85546875" customWidth="1"/>
    <col min="26" max="26" width="15.7109375" customWidth="1"/>
    <col min="28" max="28" width="16" customWidth="1"/>
  </cols>
  <sheetData>
    <row r="1" spans="1:30" ht="60" customHeight="1" x14ac:dyDescent="0.25">
      <c r="A1" s="53" t="s">
        <v>0</v>
      </c>
      <c r="B1" s="52" t="s">
        <v>1</v>
      </c>
      <c r="C1" s="49" t="s">
        <v>2</v>
      </c>
      <c r="D1" s="52" t="s">
        <v>3</v>
      </c>
      <c r="E1" s="50" t="s">
        <v>4</v>
      </c>
      <c r="F1" s="52" t="s">
        <v>5</v>
      </c>
      <c r="G1" s="52" t="s">
        <v>6</v>
      </c>
      <c r="H1" s="52" t="s">
        <v>7</v>
      </c>
      <c r="I1" s="52" t="s">
        <v>8</v>
      </c>
      <c r="J1" s="52" t="s">
        <v>9</v>
      </c>
      <c r="K1" s="48" t="s">
        <v>10</v>
      </c>
      <c r="L1" s="48" t="s">
        <v>11</v>
      </c>
      <c r="M1" s="48" t="s">
        <v>12</v>
      </c>
      <c r="N1" s="48" t="s">
        <v>13</v>
      </c>
      <c r="O1" s="48" t="s">
        <v>14</v>
      </c>
      <c r="P1" s="48" t="s">
        <v>15</v>
      </c>
      <c r="Q1" s="48" t="s">
        <v>16</v>
      </c>
      <c r="R1" s="48" t="s">
        <v>17</v>
      </c>
      <c r="S1" s="48" t="s">
        <v>9149</v>
      </c>
      <c r="T1" s="48" t="s">
        <v>9150</v>
      </c>
      <c r="U1" s="48" t="s">
        <v>18</v>
      </c>
      <c r="V1" s="48" t="s">
        <v>19</v>
      </c>
      <c r="W1" s="48" t="s">
        <v>20</v>
      </c>
      <c r="X1" s="48" t="s">
        <v>21</v>
      </c>
      <c r="Y1" s="48" t="s">
        <v>22</v>
      </c>
      <c r="Z1" s="48" t="s">
        <v>23</v>
      </c>
      <c r="AA1" s="48" t="s">
        <v>24</v>
      </c>
      <c r="AB1" s="48" t="s">
        <v>25</v>
      </c>
      <c r="AC1" s="48" t="s">
        <v>201</v>
      </c>
      <c r="AD1" s="51" t="s">
        <v>27</v>
      </c>
    </row>
    <row r="2" spans="1:30" x14ac:dyDescent="0.25">
      <c r="A2" s="36">
        <v>2794</v>
      </c>
      <c r="B2" s="14" t="s">
        <v>5613</v>
      </c>
      <c r="C2" s="14" t="s">
        <v>5614</v>
      </c>
      <c r="D2" s="17">
        <v>44138</v>
      </c>
      <c r="E2" s="14" t="s">
        <v>30</v>
      </c>
      <c r="F2" s="14">
        <v>76</v>
      </c>
      <c r="G2" s="14">
        <v>13</v>
      </c>
      <c r="H2" s="14">
        <v>13</v>
      </c>
      <c r="I2" s="14">
        <v>7</v>
      </c>
      <c r="J2" s="14" t="s">
        <v>204</v>
      </c>
      <c r="K2" s="14" cm="1">
        <f t="array" ref="K2">INT(SUMPRODUCT(--ISNUMBER(SEARCH(economy,C2)))&gt;0)</f>
        <v>0</v>
      </c>
      <c r="L2" s="14" cm="1">
        <f t="array" ref="L2">INT(SUMPRODUCT(--ISNUMBER(SEARCH(healthcare,C2)))&gt;0)</f>
        <v>0</v>
      </c>
      <c r="M2" s="14" cm="1">
        <f t="array" ref="M2">INT(SUMPRODUCT(--ISNUMBER(SEARCH(supreme,C2)))&gt;0)</f>
        <v>0</v>
      </c>
      <c r="N2" s="14" cm="1">
        <f t="array" ref="N2">INT(SUMPRODUCT(--ISNUMBER(SEARCH(covid,C2)))&gt;0)</f>
        <v>0</v>
      </c>
      <c r="O2" s="14" cm="1">
        <f t="array" ref="O2">INT(SUMPRODUCT(--ISNUMBER(SEARCH(violent,C2)))&gt;0)</f>
        <v>0</v>
      </c>
      <c r="P2" s="14" cm="1">
        <f t="array" ref="P2">INT(SUMPRODUCT(--ISNUMBER(SEARCH(foreign,C2)))&gt;0)</f>
        <v>0</v>
      </c>
      <c r="Q2" s="14" cm="1">
        <f t="array" ref="Q2">INT(SUMPRODUCT(--ISNUMBER(SEARCH(gun,C2)))&gt;0)</f>
        <v>0</v>
      </c>
      <c r="R2" s="14" cm="1">
        <f t="array" ref="R2">INT(SUMPRODUCT(--ISNUMBER(SEARCH(race,C2)))&gt;0)</f>
        <v>0</v>
      </c>
      <c r="S2" s="14" cm="1">
        <f t="array" ref="S2">INT(SUMPRODUCT(--ISNUMBER(SEARCH(immigration,C2)))&gt;0)</f>
        <v>0</v>
      </c>
      <c r="T2" s="14" cm="1">
        <f t="array" ref="T2">INT(SUMPRODUCT(--ISNUMBER(SEARCH(econineq,C3)))&gt;0)</f>
        <v>0</v>
      </c>
      <c r="U2" s="14" cm="1">
        <f t="array" ref="U2">INT(SUMPRODUCT(--ISNUMBER(SEARCH(climate,C2)))&gt;0)</f>
        <v>0</v>
      </c>
      <c r="V2" s="14" cm="1">
        <f t="array" ref="V2">INT(SUMPRODUCT(--ISNUMBER(SEARCH(abortion,C2)))&gt;0)</f>
        <v>0</v>
      </c>
      <c r="W2" s="14" cm="1">
        <f t="array" ref="W2">INT(SUMPRODUCT(--ISNUMBER(SEARCH(trump,C2)))&gt;0)</f>
        <v>0</v>
      </c>
      <c r="X2" s="14" cm="1">
        <f t="array" ref="X2">INT(SUMPRODUCT(--ISNUMBER(SEARCH(voting,C2)))&gt;0)</f>
        <v>1</v>
      </c>
      <c r="Y2" s="14" cm="1">
        <f t="array" ref="Y2">INT(SUMPRODUCT(--ISNUMBER(SEARCH(democrattrigger,C2)))&gt;0)</f>
        <v>0</v>
      </c>
      <c r="Z2" s="14" cm="1">
        <f t="array" ref="Z2">INT(SUMPRODUCT(--ISNUMBER(SEARCH(bipartisan,C2)))&gt;0)</f>
        <v>0</v>
      </c>
      <c r="AA2" s="14">
        <f>INT(IF(COUNTIF(K2:Z2,1)=0,"1","0"))</f>
        <v>0</v>
      </c>
      <c r="AB2" s="14"/>
      <c r="AC2" s="30">
        <v>0</v>
      </c>
      <c r="AD2" s="37">
        <v>1</v>
      </c>
    </row>
    <row r="3" spans="1:30" x14ac:dyDescent="0.25">
      <c r="A3" s="36">
        <v>2795</v>
      </c>
      <c r="B3" s="14" t="s">
        <v>5615</v>
      </c>
      <c r="C3" s="14" t="s">
        <v>5616</v>
      </c>
      <c r="D3" s="17">
        <v>44138</v>
      </c>
      <c r="E3" s="14" t="s">
        <v>30</v>
      </c>
      <c r="F3" s="14">
        <v>76</v>
      </c>
      <c r="G3" s="14">
        <v>6</v>
      </c>
      <c r="H3" s="14">
        <v>13</v>
      </c>
      <c r="I3" s="14">
        <v>7</v>
      </c>
      <c r="J3" s="14" t="s">
        <v>204</v>
      </c>
      <c r="K3" s="14" cm="1">
        <f t="array" ref="K3">INT(SUMPRODUCT(--ISNUMBER(SEARCH(economy,C3)))&gt;0)</f>
        <v>0</v>
      </c>
      <c r="L3" s="14" cm="1">
        <f t="array" ref="L3">INT(SUMPRODUCT(--ISNUMBER(SEARCH(healthcare,C3)))&gt;0)</f>
        <v>0</v>
      </c>
      <c r="M3" s="14" cm="1">
        <f t="array" ref="M3">INT(SUMPRODUCT(--ISNUMBER(SEARCH(supreme,C3)))&gt;0)</f>
        <v>0</v>
      </c>
      <c r="N3" s="14" cm="1">
        <f t="array" ref="N3">INT(SUMPRODUCT(--ISNUMBER(SEARCH(covid,C3)))&gt;0)</f>
        <v>0</v>
      </c>
      <c r="O3" s="14" cm="1">
        <f t="array" ref="O3">INT(SUMPRODUCT(--ISNUMBER(SEARCH(violent,C3)))&gt;0)</f>
        <v>0</v>
      </c>
      <c r="P3" s="14" cm="1">
        <f t="array" ref="P3">INT(SUMPRODUCT(--ISNUMBER(SEARCH(foreign,C3)))&gt;0)</f>
        <v>0</v>
      </c>
      <c r="Q3" s="14" cm="1">
        <f t="array" ref="Q3">INT(SUMPRODUCT(--ISNUMBER(SEARCH(gun,C3)))&gt;0)</f>
        <v>0</v>
      </c>
      <c r="R3" s="14" cm="1">
        <f t="array" ref="R3">INT(SUMPRODUCT(--ISNUMBER(SEARCH(race,C3)))&gt;0)</f>
        <v>0</v>
      </c>
      <c r="S3" s="14" cm="1">
        <f t="array" ref="S3">INT(SUMPRODUCT(--ISNUMBER(SEARCH(immigration,C3)))&gt;0)</f>
        <v>0</v>
      </c>
      <c r="T3" s="14" cm="1">
        <f t="array" ref="T3">INT(SUMPRODUCT(--ISNUMBER(SEARCH(econineq,C4)))&gt;0)</f>
        <v>0</v>
      </c>
      <c r="U3" s="14" cm="1">
        <f t="array" ref="U3">INT(SUMPRODUCT(--ISNUMBER(SEARCH(climate,C3)))&gt;0)</f>
        <v>0</v>
      </c>
      <c r="V3" s="14" cm="1">
        <f t="array" ref="V3">INT(SUMPRODUCT(--ISNUMBER(SEARCH(abortion,C3)))&gt;0)</f>
        <v>0</v>
      </c>
      <c r="W3" s="14" cm="1">
        <f t="array" ref="W3">INT(SUMPRODUCT(--ISNUMBER(SEARCH(trump,C3)))&gt;0)</f>
        <v>0</v>
      </c>
      <c r="X3" s="14" cm="1">
        <f t="array" ref="X3">INT(SUMPRODUCT(--ISNUMBER(SEARCH(voting,C3)))&gt;0)</f>
        <v>1</v>
      </c>
      <c r="Y3" s="14" cm="1">
        <f t="array" ref="Y3">INT(SUMPRODUCT(--ISNUMBER(SEARCH(democrattrigger,C3)))&gt;0)</f>
        <v>0</v>
      </c>
      <c r="Z3" s="14" cm="1">
        <f t="array" ref="Z3">INT(SUMPRODUCT(--ISNUMBER(SEARCH(bipartisan,C3)))&gt;0)</f>
        <v>0</v>
      </c>
      <c r="AA3" s="14">
        <f t="shared" ref="AA3:AA66" si="0">INT(IF(COUNTIF(K3:Z3,1)=0,"1","0"))</f>
        <v>0</v>
      </c>
      <c r="AB3" s="14"/>
      <c r="AC3" s="30">
        <v>1</v>
      </c>
      <c r="AD3" s="37">
        <v>0</v>
      </c>
    </row>
    <row r="4" spans="1:30" x14ac:dyDescent="0.25">
      <c r="A4" s="36">
        <v>2796</v>
      </c>
      <c r="B4" s="14" t="s">
        <v>5617</v>
      </c>
      <c r="C4" s="14" t="s">
        <v>5618</v>
      </c>
      <c r="D4" s="17">
        <v>44138</v>
      </c>
      <c r="E4" s="14" t="s">
        <v>30</v>
      </c>
      <c r="F4" s="14">
        <v>98</v>
      </c>
      <c r="G4" s="14">
        <v>18</v>
      </c>
      <c r="H4" s="14">
        <v>13</v>
      </c>
      <c r="I4" s="14">
        <v>7</v>
      </c>
      <c r="J4" s="14" t="s">
        <v>204</v>
      </c>
      <c r="K4" s="14" cm="1">
        <f t="array" ref="K4">INT(SUMPRODUCT(--ISNUMBER(SEARCH(economy,C4)))&gt;0)</f>
        <v>0</v>
      </c>
      <c r="L4" s="14" cm="1">
        <f t="array" ref="L4">INT(SUMPRODUCT(--ISNUMBER(SEARCH(healthcare,C4)))&gt;0)</f>
        <v>0</v>
      </c>
      <c r="M4" s="14" cm="1">
        <f t="array" ref="M4">INT(SUMPRODUCT(--ISNUMBER(SEARCH(supreme,C4)))&gt;0)</f>
        <v>0</v>
      </c>
      <c r="N4" s="14" cm="1">
        <f t="array" ref="N4">INT(SUMPRODUCT(--ISNUMBER(SEARCH(covid,C4)))&gt;0)</f>
        <v>0</v>
      </c>
      <c r="O4" s="14" cm="1">
        <f t="array" ref="O4">INT(SUMPRODUCT(--ISNUMBER(SEARCH(violent,C4)))&gt;0)</f>
        <v>0</v>
      </c>
      <c r="P4" s="14" cm="1">
        <f t="array" ref="P4">INT(SUMPRODUCT(--ISNUMBER(SEARCH(foreign,C4)))&gt;0)</f>
        <v>0</v>
      </c>
      <c r="Q4" s="14" cm="1">
        <f t="array" ref="Q4">INT(SUMPRODUCT(--ISNUMBER(SEARCH(gun,C4)))&gt;0)</f>
        <v>0</v>
      </c>
      <c r="R4" s="14" cm="1">
        <f t="array" ref="R4">INT(SUMPRODUCT(--ISNUMBER(SEARCH(race,C4)))&gt;0)</f>
        <v>0</v>
      </c>
      <c r="S4" s="14" cm="1">
        <f t="array" ref="S4">INT(SUMPRODUCT(--ISNUMBER(SEARCH(immigration,C4)))&gt;0)</f>
        <v>0</v>
      </c>
      <c r="T4" s="14" cm="1">
        <f t="array" ref="T4">INT(SUMPRODUCT(--ISNUMBER(SEARCH(econineq,C5)))&gt;0)</f>
        <v>0</v>
      </c>
      <c r="U4" s="14" cm="1">
        <f t="array" ref="U4">INT(SUMPRODUCT(--ISNUMBER(SEARCH(climate,C4)))&gt;0)</f>
        <v>0</v>
      </c>
      <c r="V4" s="14" cm="1">
        <f t="array" ref="V4">INT(SUMPRODUCT(--ISNUMBER(SEARCH(abortion,C4)))&gt;0)</f>
        <v>0</v>
      </c>
      <c r="W4" s="14" cm="1">
        <f t="array" ref="W4">INT(SUMPRODUCT(--ISNUMBER(SEARCH(trump,C4)))&gt;0)</f>
        <v>0</v>
      </c>
      <c r="X4" s="14" cm="1">
        <f t="array" ref="X4">INT(SUMPRODUCT(--ISNUMBER(SEARCH(voting,C4)))&gt;0)</f>
        <v>1</v>
      </c>
      <c r="Y4" s="14" cm="1">
        <f t="array" ref="Y4">INT(SUMPRODUCT(--ISNUMBER(SEARCH(democrattrigger,C4)))&gt;0)</f>
        <v>0</v>
      </c>
      <c r="Z4" s="14" cm="1">
        <f t="array" ref="Z4">INT(SUMPRODUCT(--ISNUMBER(SEARCH(bipartisan,C4)))&gt;0)</f>
        <v>0</v>
      </c>
      <c r="AA4" s="14">
        <f t="shared" si="0"/>
        <v>0</v>
      </c>
      <c r="AB4" s="14"/>
      <c r="AC4" s="30">
        <v>0</v>
      </c>
      <c r="AD4" s="37">
        <v>1</v>
      </c>
    </row>
    <row r="5" spans="1:30" x14ac:dyDescent="0.25">
      <c r="A5" s="36">
        <v>2797</v>
      </c>
      <c r="B5" s="14" t="s">
        <v>5619</v>
      </c>
      <c r="C5" s="14" t="s">
        <v>5620</v>
      </c>
      <c r="D5" s="17">
        <v>44138</v>
      </c>
      <c r="E5" s="14" t="s">
        <v>30</v>
      </c>
      <c r="F5" s="14">
        <v>30</v>
      </c>
      <c r="G5" s="14">
        <v>14</v>
      </c>
      <c r="H5" s="14">
        <v>13</v>
      </c>
      <c r="I5" s="14">
        <v>7</v>
      </c>
      <c r="J5" s="14" t="s">
        <v>204</v>
      </c>
      <c r="K5" s="14" cm="1">
        <f t="array" ref="K5">INT(SUMPRODUCT(--ISNUMBER(SEARCH(economy,C5)))&gt;0)</f>
        <v>0</v>
      </c>
      <c r="L5" s="14" cm="1">
        <f t="array" ref="L5">INT(SUMPRODUCT(--ISNUMBER(SEARCH(healthcare,C5)))&gt;0)</f>
        <v>0</v>
      </c>
      <c r="M5" s="14" cm="1">
        <f t="array" ref="M5">INT(SUMPRODUCT(--ISNUMBER(SEARCH(supreme,C5)))&gt;0)</f>
        <v>0</v>
      </c>
      <c r="N5" s="14" cm="1">
        <f t="array" ref="N5">INT(SUMPRODUCT(--ISNUMBER(SEARCH(covid,C5)))&gt;0)</f>
        <v>0</v>
      </c>
      <c r="O5" s="14" cm="1">
        <f t="array" ref="O5">INT(SUMPRODUCT(--ISNUMBER(SEARCH(violent,C5)))&gt;0)</f>
        <v>0</v>
      </c>
      <c r="P5" s="14" cm="1">
        <f t="array" ref="P5">INT(SUMPRODUCT(--ISNUMBER(SEARCH(foreign,C5)))&gt;0)</f>
        <v>0</v>
      </c>
      <c r="Q5" s="14" cm="1">
        <f t="array" ref="Q5">INT(SUMPRODUCT(--ISNUMBER(SEARCH(gun,C5)))&gt;0)</f>
        <v>0</v>
      </c>
      <c r="R5" s="14" cm="1">
        <f t="array" ref="R5">INT(SUMPRODUCT(--ISNUMBER(SEARCH(race,C5)))&gt;0)</f>
        <v>0</v>
      </c>
      <c r="S5" s="14" cm="1">
        <f t="array" ref="S5">INT(SUMPRODUCT(--ISNUMBER(SEARCH(immigration,C5)))&gt;0)</f>
        <v>0</v>
      </c>
      <c r="T5" s="14" cm="1">
        <f t="array" ref="T5">INT(SUMPRODUCT(--ISNUMBER(SEARCH(econineq,C6)))&gt;0)</f>
        <v>0</v>
      </c>
      <c r="U5" s="14" cm="1">
        <f t="array" ref="U5">INT(SUMPRODUCT(--ISNUMBER(SEARCH(climate,C5)))&gt;0)</f>
        <v>0</v>
      </c>
      <c r="V5" s="14" cm="1">
        <f t="array" ref="V5">INT(SUMPRODUCT(--ISNUMBER(SEARCH(abortion,C5)))&gt;0)</f>
        <v>0</v>
      </c>
      <c r="W5" s="14" cm="1">
        <f t="array" ref="W5">INT(SUMPRODUCT(--ISNUMBER(SEARCH(trump,C5)))&gt;0)</f>
        <v>0</v>
      </c>
      <c r="X5" s="14" cm="1">
        <f t="array" ref="X5">INT(SUMPRODUCT(--ISNUMBER(SEARCH(voting,C5)))&gt;0)</f>
        <v>1</v>
      </c>
      <c r="Y5" s="14" cm="1">
        <f t="array" ref="Y5">INT(SUMPRODUCT(--ISNUMBER(SEARCH(democrattrigger,C5)))&gt;0)</f>
        <v>0</v>
      </c>
      <c r="Z5" s="14" cm="1">
        <f t="array" ref="Z5">INT(SUMPRODUCT(--ISNUMBER(SEARCH(bipartisan,C5)))&gt;0)</f>
        <v>0</v>
      </c>
      <c r="AA5" s="14">
        <f t="shared" si="0"/>
        <v>0</v>
      </c>
      <c r="AB5" s="14"/>
      <c r="AC5" s="30">
        <v>1</v>
      </c>
      <c r="AD5" s="37">
        <v>0</v>
      </c>
    </row>
    <row r="6" spans="1:30" x14ac:dyDescent="0.25">
      <c r="A6" s="36">
        <v>2798</v>
      </c>
      <c r="B6" s="14" t="s">
        <v>5621</v>
      </c>
      <c r="C6" s="14" t="s">
        <v>5622</v>
      </c>
      <c r="D6" s="17">
        <v>44138</v>
      </c>
      <c r="E6" s="14" t="s">
        <v>30</v>
      </c>
      <c r="F6" s="14">
        <v>113</v>
      </c>
      <c r="G6" s="14">
        <v>19</v>
      </c>
      <c r="H6" s="14">
        <v>13</v>
      </c>
      <c r="I6" s="14">
        <v>7</v>
      </c>
      <c r="J6" s="14" t="s">
        <v>204</v>
      </c>
      <c r="K6" s="14" cm="1">
        <f t="array" ref="K6">INT(SUMPRODUCT(--ISNUMBER(SEARCH(economy,C6)))&gt;0)</f>
        <v>0</v>
      </c>
      <c r="L6" s="14" cm="1">
        <f t="array" ref="L6">INT(SUMPRODUCT(--ISNUMBER(SEARCH(healthcare,C6)))&gt;0)</f>
        <v>0</v>
      </c>
      <c r="M6" s="14" cm="1">
        <f t="array" ref="M6">INT(SUMPRODUCT(--ISNUMBER(SEARCH(supreme,C6)))&gt;0)</f>
        <v>0</v>
      </c>
      <c r="N6" s="14" cm="1">
        <f t="array" ref="N6">INT(SUMPRODUCT(--ISNUMBER(SEARCH(covid,C6)))&gt;0)</f>
        <v>0</v>
      </c>
      <c r="O6" s="14" cm="1">
        <f t="array" ref="O6">INT(SUMPRODUCT(--ISNUMBER(SEARCH(violent,C6)))&gt;0)</f>
        <v>0</v>
      </c>
      <c r="P6" s="14" cm="1">
        <f t="array" ref="P6">INT(SUMPRODUCT(--ISNUMBER(SEARCH(foreign,C6)))&gt;0)</f>
        <v>0</v>
      </c>
      <c r="Q6" s="14" cm="1">
        <f t="array" ref="Q6">INT(SUMPRODUCT(--ISNUMBER(SEARCH(gun,C6)))&gt;0)</f>
        <v>0</v>
      </c>
      <c r="R6" s="14" cm="1">
        <f t="array" ref="R6">INT(SUMPRODUCT(--ISNUMBER(SEARCH(race,C6)))&gt;0)</f>
        <v>0</v>
      </c>
      <c r="S6" s="14" cm="1">
        <f t="array" ref="S6">INT(SUMPRODUCT(--ISNUMBER(SEARCH(immigration,C6)))&gt;0)</f>
        <v>0</v>
      </c>
      <c r="T6" s="14" cm="1">
        <f t="array" ref="T6">INT(SUMPRODUCT(--ISNUMBER(SEARCH(econineq,C7)))&gt;0)</f>
        <v>0</v>
      </c>
      <c r="U6" s="14" cm="1">
        <f t="array" ref="U6">INT(SUMPRODUCT(--ISNUMBER(SEARCH(climate,C6)))&gt;0)</f>
        <v>0</v>
      </c>
      <c r="V6" s="14" cm="1">
        <f t="array" ref="V6">INT(SUMPRODUCT(--ISNUMBER(SEARCH(abortion,C6)))&gt;0)</f>
        <v>0</v>
      </c>
      <c r="W6" s="14" cm="1">
        <f t="array" ref="W6">INT(SUMPRODUCT(--ISNUMBER(SEARCH(trump,C6)))&gt;0)</f>
        <v>0</v>
      </c>
      <c r="X6" s="14" cm="1">
        <f t="array" ref="X6">INT(SUMPRODUCT(--ISNUMBER(SEARCH(voting,C6)))&gt;0)</f>
        <v>0</v>
      </c>
      <c r="Y6" s="14" cm="1">
        <f t="array" ref="Y6">INT(SUMPRODUCT(--ISNUMBER(SEARCH(democrattrigger,C6)))&gt;0)</f>
        <v>0</v>
      </c>
      <c r="Z6" s="14" cm="1">
        <f t="array" ref="Z6">INT(SUMPRODUCT(--ISNUMBER(SEARCH(bipartisan,C6)))&gt;0)</f>
        <v>0</v>
      </c>
      <c r="AA6" s="14">
        <f t="shared" si="0"/>
        <v>1</v>
      </c>
      <c r="AB6" s="14"/>
      <c r="AC6" s="30">
        <v>0</v>
      </c>
      <c r="AD6" s="37">
        <v>1</v>
      </c>
    </row>
    <row r="7" spans="1:30" x14ac:dyDescent="0.25">
      <c r="A7" s="36">
        <v>2799</v>
      </c>
      <c r="B7" s="14" t="s">
        <v>5623</v>
      </c>
      <c r="C7" s="14" t="s">
        <v>5624</v>
      </c>
      <c r="D7" s="17">
        <v>44138</v>
      </c>
      <c r="E7" s="14" t="s">
        <v>30</v>
      </c>
      <c r="F7" s="14">
        <v>25</v>
      </c>
      <c r="G7" s="14">
        <v>13</v>
      </c>
      <c r="H7" s="14">
        <v>13</v>
      </c>
      <c r="I7" s="14">
        <v>7</v>
      </c>
      <c r="J7" s="14" t="s">
        <v>204</v>
      </c>
      <c r="K7" s="14" cm="1">
        <f t="array" ref="K7">INT(SUMPRODUCT(--ISNUMBER(SEARCH(economy,C7)))&gt;0)</f>
        <v>0</v>
      </c>
      <c r="L7" s="14" cm="1">
        <f t="array" ref="L7">INT(SUMPRODUCT(--ISNUMBER(SEARCH(healthcare,C7)))&gt;0)</f>
        <v>0</v>
      </c>
      <c r="M7" s="14" cm="1">
        <f t="array" ref="M7">INT(SUMPRODUCT(--ISNUMBER(SEARCH(supreme,C7)))&gt;0)</f>
        <v>0</v>
      </c>
      <c r="N7" s="14" cm="1">
        <f t="array" ref="N7">INT(SUMPRODUCT(--ISNUMBER(SEARCH(covid,C7)))&gt;0)</f>
        <v>0</v>
      </c>
      <c r="O7" s="14" cm="1">
        <f t="array" ref="O7">INT(SUMPRODUCT(--ISNUMBER(SEARCH(violent,C7)))&gt;0)</f>
        <v>0</v>
      </c>
      <c r="P7" s="14" cm="1">
        <f t="array" ref="P7">INT(SUMPRODUCT(--ISNUMBER(SEARCH(foreign,C7)))&gt;0)</f>
        <v>0</v>
      </c>
      <c r="Q7" s="14" cm="1">
        <f t="array" ref="Q7">INT(SUMPRODUCT(--ISNUMBER(SEARCH(gun,C7)))&gt;0)</f>
        <v>0</v>
      </c>
      <c r="R7" s="14" cm="1">
        <f t="array" ref="R7">INT(SUMPRODUCT(--ISNUMBER(SEARCH(race,C7)))&gt;0)</f>
        <v>0</v>
      </c>
      <c r="S7" s="14" cm="1">
        <f t="array" ref="S7">INT(SUMPRODUCT(--ISNUMBER(SEARCH(immigration,C7)))&gt;0)</f>
        <v>1</v>
      </c>
      <c r="T7" s="14" cm="1">
        <f t="array" ref="T7">INT(SUMPRODUCT(--ISNUMBER(SEARCH(econineq,C8)))&gt;0)</f>
        <v>0</v>
      </c>
      <c r="U7" s="14" cm="1">
        <f t="array" ref="U7">INT(SUMPRODUCT(--ISNUMBER(SEARCH(climate,C7)))&gt;0)</f>
        <v>0</v>
      </c>
      <c r="V7" s="14" cm="1">
        <f t="array" ref="V7">INT(SUMPRODUCT(--ISNUMBER(SEARCH(abortion,C7)))&gt;0)</f>
        <v>0</v>
      </c>
      <c r="W7" s="14" cm="1">
        <f t="array" ref="W7">INT(SUMPRODUCT(--ISNUMBER(SEARCH(trump,C7)))&gt;0)</f>
        <v>0</v>
      </c>
      <c r="X7" s="14" cm="1">
        <f t="array" ref="X7">INT(SUMPRODUCT(--ISNUMBER(SEARCH(voting,C7)))&gt;0)</f>
        <v>1</v>
      </c>
      <c r="Y7" s="14" cm="1">
        <f t="array" ref="Y7">INT(SUMPRODUCT(--ISNUMBER(SEARCH(democrattrigger,C7)))&gt;0)</f>
        <v>0</v>
      </c>
      <c r="Z7" s="14" cm="1">
        <f t="array" ref="Z7">INT(SUMPRODUCT(--ISNUMBER(SEARCH(bipartisan,C7)))&gt;0)</f>
        <v>0</v>
      </c>
      <c r="AA7" s="14">
        <f t="shared" si="0"/>
        <v>0</v>
      </c>
      <c r="AB7" s="14"/>
      <c r="AC7" s="30">
        <v>0</v>
      </c>
      <c r="AD7" s="37">
        <v>1</v>
      </c>
    </row>
    <row r="8" spans="1:30" x14ac:dyDescent="0.25">
      <c r="A8" s="36">
        <v>2800</v>
      </c>
      <c r="B8" s="14" t="s">
        <v>5625</v>
      </c>
      <c r="C8" s="14" t="s">
        <v>5626</v>
      </c>
      <c r="D8" s="17">
        <v>44138</v>
      </c>
      <c r="E8" s="14" t="s">
        <v>30</v>
      </c>
      <c r="F8" s="14">
        <v>11</v>
      </c>
      <c r="G8" s="14">
        <v>4</v>
      </c>
      <c r="H8" s="14">
        <v>13</v>
      </c>
      <c r="I8" s="14">
        <v>7</v>
      </c>
      <c r="J8" s="14" t="s">
        <v>204</v>
      </c>
      <c r="K8" s="14" cm="1">
        <f t="array" ref="K8">INT(SUMPRODUCT(--ISNUMBER(SEARCH(economy,C8)))&gt;0)</f>
        <v>0</v>
      </c>
      <c r="L8" s="14" cm="1">
        <f t="array" ref="L8">INT(SUMPRODUCT(--ISNUMBER(SEARCH(healthcare,C8)))&gt;0)</f>
        <v>0</v>
      </c>
      <c r="M8" s="14" cm="1">
        <f t="array" ref="M8">INT(SUMPRODUCT(--ISNUMBER(SEARCH(supreme,C8)))&gt;0)</f>
        <v>0</v>
      </c>
      <c r="N8" s="14" cm="1">
        <f t="array" ref="N8">INT(SUMPRODUCT(--ISNUMBER(SEARCH(covid,C8)))&gt;0)</f>
        <v>0</v>
      </c>
      <c r="O8" s="14" cm="1">
        <f t="array" ref="O8">INT(SUMPRODUCT(--ISNUMBER(SEARCH(violent,C8)))&gt;0)</f>
        <v>0</v>
      </c>
      <c r="P8" s="14" cm="1">
        <f t="array" ref="P8">INT(SUMPRODUCT(--ISNUMBER(SEARCH(foreign,C8)))&gt;0)</f>
        <v>0</v>
      </c>
      <c r="Q8" s="14" cm="1">
        <f t="array" ref="Q8">INT(SUMPRODUCT(--ISNUMBER(SEARCH(gun,C8)))&gt;0)</f>
        <v>0</v>
      </c>
      <c r="R8" s="14" cm="1">
        <f t="array" ref="R8">INT(SUMPRODUCT(--ISNUMBER(SEARCH(race,C8)))&gt;0)</f>
        <v>0</v>
      </c>
      <c r="S8" s="14" cm="1">
        <f t="array" ref="S8">INT(SUMPRODUCT(--ISNUMBER(SEARCH(immigration,C8)))&gt;0)</f>
        <v>0</v>
      </c>
      <c r="T8" s="14" cm="1">
        <f t="array" ref="T8">INT(SUMPRODUCT(--ISNUMBER(SEARCH(econineq,C9)))&gt;0)</f>
        <v>0</v>
      </c>
      <c r="U8" s="14" cm="1">
        <f t="array" ref="U8">INT(SUMPRODUCT(--ISNUMBER(SEARCH(climate,C8)))&gt;0)</f>
        <v>0</v>
      </c>
      <c r="V8" s="14" cm="1">
        <f t="array" ref="V8">INT(SUMPRODUCT(--ISNUMBER(SEARCH(abortion,C8)))&gt;0)</f>
        <v>0</v>
      </c>
      <c r="W8" s="14" cm="1">
        <f t="array" ref="W8">INT(SUMPRODUCT(--ISNUMBER(SEARCH(trump,C8)))&gt;0)</f>
        <v>0</v>
      </c>
      <c r="X8" s="14" cm="1">
        <f t="array" ref="X8">INT(SUMPRODUCT(--ISNUMBER(SEARCH(voting,C8)))&gt;0)</f>
        <v>1</v>
      </c>
      <c r="Y8" s="14" cm="1">
        <f t="array" ref="Y8">INT(SUMPRODUCT(--ISNUMBER(SEARCH(democrattrigger,C8)))&gt;0)</f>
        <v>0</v>
      </c>
      <c r="Z8" s="14" cm="1">
        <f t="array" ref="Z8">INT(SUMPRODUCT(--ISNUMBER(SEARCH(bipartisan,C8)))&gt;0)</f>
        <v>0</v>
      </c>
      <c r="AA8" s="14">
        <f t="shared" si="0"/>
        <v>0</v>
      </c>
      <c r="AB8" s="14"/>
      <c r="AC8" s="30">
        <v>0</v>
      </c>
      <c r="AD8" s="37">
        <v>1</v>
      </c>
    </row>
    <row r="9" spans="1:30" x14ac:dyDescent="0.25">
      <c r="A9" s="36">
        <v>2801</v>
      </c>
      <c r="B9" s="14" t="s">
        <v>5627</v>
      </c>
      <c r="C9" s="14" t="s">
        <v>5628</v>
      </c>
      <c r="D9" s="17">
        <v>44137</v>
      </c>
      <c r="E9" s="14" t="s">
        <v>30</v>
      </c>
      <c r="F9" s="14">
        <v>61</v>
      </c>
      <c r="G9" s="14">
        <v>18</v>
      </c>
      <c r="H9" s="14">
        <v>13</v>
      </c>
      <c r="I9" s="14">
        <v>7</v>
      </c>
      <c r="J9" s="14" t="s">
        <v>204</v>
      </c>
      <c r="K9" s="14" cm="1">
        <f t="array" ref="K9">INT(SUMPRODUCT(--ISNUMBER(SEARCH(economy,C9)))&gt;0)</f>
        <v>0</v>
      </c>
      <c r="L9" s="14" cm="1">
        <f t="array" ref="L9">INT(SUMPRODUCT(--ISNUMBER(SEARCH(healthcare,C9)))&gt;0)</f>
        <v>0</v>
      </c>
      <c r="M9" s="14" cm="1">
        <f t="array" ref="M9">INT(SUMPRODUCT(--ISNUMBER(SEARCH(supreme,C9)))&gt;0)</f>
        <v>0</v>
      </c>
      <c r="N9" s="14" cm="1">
        <f t="array" ref="N9">INT(SUMPRODUCT(--ISNUMBER(SEARCH(covid,C9)))&gt;0)</f>
        <v>0</v>
      </c>
      <c r="O9" s="14" cm="1">
        <f t="array" ref="O9">INT(SUMPRODUCT(--ISNUMBER(SEARCH(violent,C9)))&gt;0)</f>
        <v>0</v>
      </c>
      <c r="P9" s="14" cm="1">
        <f t="array" ref="P9">INT(SUMPRODUCT(--ISNUMBER(SEARCH(foreign,C9)))&gt;0)</f>
        <v>0</v>
      </c>
      <c r="Q9" s="14" cm="1">
        <f t="array" ref="Q9">INT(SUMPRODUCT(--ISNUMBER(SEARCH(gun,C9)))&gt;0)</f>
        <v>0</v>
      </c>
      <c r="R9" s="14" cm="1">
        <f t="array" ref="R9">INT(SUMPRODUCT(--ISNUMBER(SEARCH(race,C9)))&gt;0)</f>
        <v>0</v>
      </c>
      <c r="S9" s="14" cm="1">
        <f t="array" ref="S9">INT(SUMPRODUCT(--ISNUMBER(SEARCH(immigration,C9)))&gt;0)</f>
        <v>0</v>
      </c>
      <c r="T9" s="14" cm="1">
        <f t="array" ref="T9">INT(SUMPRODUCT(--ISNUMBER(SEARCH(econineq,C10)))&gt;0)</f>
        <v>0</v>
      </c>
      <c r="U9" s="14" cm="1">
        <f t="array" ref="U9">INT(SUMPRODUCT(--ISNUMBER(SEARCH(climate,C9)))&gt;0)</f>
        <v>0</v>
      </c>
      <c r="V9" s="14" cm="1">
        <f t="array" ref="V9">INT(SUMPRODUCT(--ISNUMBER(SEARCH(abortion,C9)))&gt;0)</f>
        <v>0</v>
      </c>
      <c r="W9" s="14" cm="1">
        <f t="array" ref="W9">INT(SUMPRODUCT(--ISNUMBER(SEARCH(trump,C9)))&gt;0)</f>
        <v>0</v>
      </c>
      <c r="X9" s="14" cm="1">
        <f t="array" ref="X9">INT(SUMPRODUCT(--ISNUMBER(SEARCH(voting,C9)))&gt;0)</f>
        <v>1</v>
      </c>
      <c r="Y9" s="14" cm="1">
        <f t="array" ref="Y9">INT(SUMPRODUCT(--ISNUMBER(SEARCH(democrattrigger,C9)))&gt;0)</f>
        <v>0</v>
      </c>
      <c r="Z9" s="14" cm="1">
        <f t="array" ref="Z9">INT(SUMPRODUCT(--ISNUMBER(SEARCH(bipartisan,C9)))&gt;0)</f>
        <v>0</v>
      </c>
      <c r="AA9" s="14">
        <f t="shared" si="0"/>
        <v>0</v>
      </c>
      <c r="AB9" s="14"/>
      <c r="AC9" s="30">
        <v>1</v>
      </c>
      <c r="AD9" s="37">
        <v>0</v>
      </c>
    </row>
    <row r="10" spans="1:30" x14ac:dyDescent="0.25">
      <c r="A10" s="36">
        <v>2802</v>
      </c>
      <c r="B10" s="14" t="s">
        <v>5629</v>
      </c>
      <c r="C10" s="14" t="s">
        <v>5630</v>
      </c>
      <c r="D10" s="17">
        <v>44137</v>
      </c>
      <c r="E10" s="14" t="s">
        <v>30</v>
      </c>
      <c r="F10" s="14">
        <v>28</v>
      </c>
      <c r="G10" s="14">
        <v>2</v>
      </c>
      <c r="H10" s="14">
        <v>13</v>
      </c>
      <c r="I10" s="14">
        <v>7</v>
      </c>
      <c r="J10" s="14" t="s">
        <v>204</v>
      </c>
      <c r="K10" s="14" cm="1">
        <f t="array" ref="K10">INT(SUMPRODUCT(--ISNUMBER(SEARCH(economy,C10)))&gt;0)</f>
        <v>0</v>
      </c>
      <c r="L10" s="14" cm="1">
        <f t="array" ref="L10">INT(SUMPRODUCT(--ISNUMBER(SEARCH(healthcare,C10)))&gt;0)</f>
        <v>0</v>
      </c>
      <c r="M10" s="14" cm="1">
        <f t="array" ref="M10">INT(SUMPRODUCT(--ISNUMBER(SEARCH(supreme,C10)))&gt;0)</f>
        <v>0</v>
      </c>
      <c r="N10" s="14" cm="1">
        <f t="array" ref="N10">INT(SUMPRODUCT(--ISNUMBER(SEARCH(covid,C10)))&gt;0)</f>
        <v>0</v>
      </c>
      <c r="O10" s="14" cm="1">
        <f t="array" ref="O10">INT(SUMPRODUCT(--ISNUMBER(SEARCH(violent,C10)))&gt;0)</f>
        <v>0</v>
      </c>
      <c r="P10" s="14" cm="1">
        <f t="array" ref="P10">INT(SUMPRODUCT(--ISNUMBER(SEARCH(foreign,C10)))&gt;0)</f>
        <v>0</v>
      </c>
      <c r="Q10" s="14" cm="1">
        <f t="array" ref="Q10">INT(SUMPRODUCT(--ISNUMBER(SEARCH(gun,C10)))&gt;0)</f>
        <v>0</v>
      </c>
      <c r="R10" s="14" cm="1">
        <f t="array" ref="R10">INT(SUMPRODUCT(--ISNUMBER(SEARCH(race,C10)))&gt;0)</f>
        <v>0</v>
      </c>
      <c r="S10" s="14" cm="1">
        <f t="array" ref="S10">INT(SUMPRODUCT(--ISNUMBER(SEARCH(immigration,C10)))&gt;0)</f>
        <v>0</v>
      </c>
      <c r="T10" s="14" cm="1">
        <f t="array" ref="T10">INT(SUMPRODUCT(--ISNUMBER(SEARCH(econineq,C11)))&gt;0)</f>
        <v>0</v>
      </c>
      <c r="U10" s="14" cm="1">
        <f t="array" ref="U10">INT(SUMPRODUCT(--ISNUMBER(SEARCH(climate,C10)))&gt;0)</f>
        <v>0</v>
      </c>
      <c r="V10" s="14" cm="1">
        <f t="array" ref="V10">INT(SUMPRODUCT(--ISNUMBER(SEARCH(abortion,C10)))&gt;0)</f>
        <v>0</v>
      </c>
      <c r="W10" s="14" cm="1">
        <f t="array" ref="W10">INT(SUMPRODUCT(--ISNUMBER(SEARCH(trump,C10)))&gt;0)</f>
        <v>0</v>
      </c>
      <c r="X10" s="14" cm="1">
        <f t="array" ref="X10">INT(SUMPRODUCT(--ISNUMBER(SEARCH(voting,C10)))&gt;0)</f>
        <v>0</v>
      </c>
      <c r="Y10" s="14" cm="1">
        <f t="array" ref="Y10">INT(SUMPRODUCT(--ISNUMBER(SEARCH(democrattrigger,C10)))&gt;0)</f>
        <v>0</v>
      </c>
      <c r="Z10" s="14" cm="1">
        <f t="array" ref="Z10">INT(SUMPRODUCT(--ISNUMBER(SEARCH(bipartisan,C10)))&gt;0)</f>
        <v>0</v>
      </c>
      <c r="AA10" s="14">
        <f t="shared" si="0"/>
        <v>1</v>
      </c>
      <c r="AB10" s="14"/>
      <c r="AC10" s="30">
        <v>1</v>
      </c>
      <c r="AD10" s="37">
        <v>0</v>
      </c>
    </row>
    <row r="11" spans="1:30" x14ac:dyDescent="0.25">
      <c r="A11" s="36">
        <v>2803</v>
      </c>
      <c r="B11" s="14" t="s">
        <v>5631</v>
      </c>
      <c r="C11" s="14" t="s">
        <v>5632</v>
      </c>
      <c r="D11" s="17">
        <v>44137</v>
      </c>
      <c r="E11" s="14" t="s">
        <v>30</v>
      </c>
      <c r="F11" s="14">
        <v>11</v>
      </c>
      <c r="G11" s="14">
        <v>1</v>
      </c>
      <c r="H11" s="14">
        <v>13</v>
      </c>
      <c r="I11" s="14">
        <v>7</v>
      </c>
      <c r="J11" s="14" t="s">
        <v>204</v>
      </c>
      <c r="K11" s="14" cm="1">
        <f t="array" ref="K11">INT(SUMPRODUCT(--ISNUMBER(SEARCH(economy,C11)))&gt;0)</f>
        <v>1</v>
      </c>
      <c r="L11" s="14" cm="1">
        <f t="array" ref="L11">INT(SUMPRODUCT(--ISNUMBER(SEARCH(healthcare,C11)))&gt;0)</f>
        <v>0</v>
      </c>
      <c r="M11" s="14" cm="1">
        <f t="array" ref="M11">INT(SUMPRODUCT(--ISNUMBER(SEARCH(supreme,C11)))&gt;0)</f>
        <v>0</v>
      </c>
      <c r="N11" s="14" cm="1">
        <f t="array" ref="N11">INT(SUMPRODUCT(--ISNUMBER(SEARCH(covid,C11)))&gt;0)</f>
        <v>0</v>
      </c>
      <c r="O11" s="14" cm="1">
        <f t="array" ref="O11">INT(SUMPRODUCT(--ISNUMBER(SEARCH(violent,C11)))&gt;0)</f>
        <v>0</v>
      </c>
      <c r="P11" s="14" cm="1">
        <f t="array" ref="P11">INT(SUMPRODUCT(--ISNUMBER(SEARCH(foreign,C11)))&gt;0)</f>
        <v>0</v>
      </c>
      <c r="Q11" s="14" cm="1">
        <f t="array" ref="Q11">INT(SUMPRODUCT(--ISNUMBER(SEARCH(gun,C11)))&gt;0)</f>
        <v>0</v>
      </c>
      <c r="R11" s="14" cm="1">
        <f t="array" ref="R11">INT(SUMPRODUCT(--ISNUMBER(SEARCH(race,C11)))&gt;0)</f>
        <v>0</v>
      </c>
      <c r="S11" s="14" cm="1">
        <f t="array" ref="S11">INT(SUMPRODUCT(--ISNUMBER(SEARCH(immigration,C11)))&gt;0)</f>
        <v>0</v>
      </c>
      <c r="T11" s="14" cm="1">
        <f t="array" ref="T11">INT(SUMPRODUCT(--ISNUMBER(SEARCH(econineq,C12)))&gt;0)</f>
        <v>0</v>
      </c>
      <c r="U11" s="14" cm="1">
        <f t="array" ref="U11">INT(SUMPRODUCT(--ISNUMBER(SEARCH(climate,C11)))&gt;0)</f>
        <v>0</v>
      </c>
      <c r="V11" s="14" cm="1">
        <f t="array" ref="V11">INT(SUMPRODUCT(--ISNUMBER(SEARCH(abortion,C11)))&gt;0)</f>
        <v>0</v>
      </c>
      <c r="W11" s="14" cm="1">
        <f t="array" ref="W11">INT(SUMPRODUCT(--ISNUMBER(SEARCH(trump,C11)))&gt;0)</f>
        <v>0</v>
      </c>
      <c r="X11" s="14" cm="1">
        <f t="array" ref="X11">INT(SUMPRODUCT(--ISNUMBER(SEARCH(voting,C11)))&gt;0)</f>
        <v>0</v>
      </c>
      <c r="Y11" s="14" cm="1">
        <f t="array" ref="Y11">INT(SUMPRODUCT(--ISNUMBER(SEARCH(democrattrigger,C11)))&gt;0)</f>
        <v>0</v>
      </c>
      <c r="Z11" s="14" cm="1">
        <f t="array" ref="Z11">INT(SUMPRODUCT(--ISNUMBER(SEARCH(bipartisan,C11)))&gt;0)</f>
        <v>0</v>
      </c>
      <c r="AA11" s="14">
        <f t="shared" si="0"/>
        <v>0</v>
      </c>
      <c r="AB11" s="14"/>
      <c r="AC11" s="30">
        <v>1</v>
      </c>
      <c r="AD11" s="37">
        <v>0</v>
      </c>
    </row>
    <row r="12" spans="1:30" x14ac:dyDescent="0.25">
      <c r="A12" s="36">
        <v>2804</v>
      </c>
      <c r="B12" s="14" t="s">
        <v>5633</v>
      </c>
      <c r="C12" s="14" t="s">
        <v>5634</v>
      </c>
      <c r="D12" s="17">
        <v>44137</v>
      </c>
      <c r="E12" s="14" t="s">
        <v>30</v>
      </c>
      <c r="F12" s="14">
        <v>23</v>
      </c>
      <c r="G12" s="14">
        <v>4</v>
      </c>
      <c r="H12" s="14">
        <v>13</v>
      </c>
      <c r="I12" s="14">
        <v>7</v>
      </c>
      <c r="J12" s="14" t="s">
        <v>204</v>
      </c>
      <c r="K12" s="14" cm="1">
        <f t="array" ref="K12">INT(SUMPRODUCT(--ISNUMBER(SEARCH(economy,C12)))&gt;0)</f>
        <v>0</v>
      </c>
      <c r="L12" s="14" cm="1">
        <f t="array" ref="L12">INT(SUMPRODUCT(--ISNUMBER(SEARCH(healthcare,C12)))&gt;0)</f>
        <v>1</v>
      </c>
      <c r="M12" s="14" cm="1">
        <f t="array" ref="M12">INT(SUMPRODUCT(--ISNUMBER(SEARCH(supreme,C12)))&gt;0)</f>
        <v>0</v>
      </c>
      <c r="N12" s="14" cm="1">
        <f t="array" ref="N12">INT(SUMPRODUCT(--ISNUMBER(SEARCH(covid,C12)))&gt;0)</f>
        <v>0</v>
      </c>
      <c r="O12" s="14" cm="1">
        <f t="array" ref="O12">INT(SUMPRODUCT(--ISNUMBER(SEARCH(violent,C12)))&gt;0)</f>
        <v>0</v>
      </c>
      <c r="P12" s="14" cm="1">
        <f t="array" ref="P12">INT(SUMPRODUCT(--ISNUMBER(SEARCH(foreign,C12)))&gt;0)</f>
        <v>0</v>
      </c>
      <c r="Q12" s="14" cm="1">
        <f t="array" ref="Q12">INT(SUMPRODUCT(--ISNUMBER(SEARCH(gun,C12)))&gt;0)</f>
        <v>0</v>
      </c>
      <c r="R12" s="14" cm="1">
        <f t="array" ref="R12">INT(SUMPRODUCT(--ISNUMBER(SEARCH(race,C12)))&gt;0)</f>
        <v>0</v>
      </c>
      <c r="S12" s="14" cm="1">
        <f t="array" ref="S12">INT(SUMPRODUCT(--ISNUMBER(SEARCH(immigration,C12)))&gt;0)</f>
        <v>0</v>
      </c>
      <c r="T12" s="14" cm="1">
        <f t="array" ref="T12">INT(SUMPRODUCT(--ISNUMBER(SEARCH(econineq,C13)))&gt;0)</f>
        <v>0</v>
      </c>
      <c r="U12" s="14" cm="1">
        <f t="array" ref="U12">INT(SUMPRODUCT(--ISNUMBER(SEARCH(climate,C12)))&gt;0)</f>
        <v>1</v>
      </c>
      <c r="V12" s="14" cm="1">
        <f t="array" ref="V12">INT(SUMPRODUCT(--ISNUMBER(SEARCH(abortion,C12)))&gt;0)</f>
        <v>0</v>
      </c>
      <c r="W12" s="14" cm="1">
        <f t="array" ref="W12">INT(SUMPRODUCT(--ISNUMBER(SEARCH(trump,C12)))&gt;0)</f>
        <v>0</v>
      </c>
      <c r="X12" s="14" cm="1">
        <f t="array" ref="X12">INT(SUMPRODUCT(--ISNUMBER(SEARCH(voting,C12)))&gt;0)</f>
        <v>0</v>
      </c>
      <c r="Y12" s="14" cm="1">
        <f t="array" ref="Y12">INT(SUMPRODUCT(--ISNUMBER(SEARCH(democrattrigger,C12)))&gt;0)</f>
        <v>0</v>
      </c>
      <c r="Z12" s="14" cm="1">
        <f t="array" ref="Z12">INT(SUMPRODUCT(--ISNUMBER(SEARCH(bipartisan,C12)))&gt;0)</f>
        <v>0</v>
      </c>
      <c r="AA12" s="14">
        <f t="shared" si="0"/>
        <v>0</v>
      </c>
      <c r="AB12" s="14"/>
      <c r="AC12" s="30">
        <v>0</v>
      </c>
      <c r="AD12" s="37">
        <v>1</v>
      </c>
    </row>
    <row r="13" spans="1:30" x14ac:dyDescent="0.25">
      <c r="A13" s="36">
        <v>2805</v>
      </c>
      <c r="B13" s="14" t="s">
        <v>5635</v>
      </c>
      <c r="C13" s="14" t="s">
        <v>5636</v>
      </c>
      <c r="D13" s="17">
        <v>44137</v>
      </c>
      <c r="E13" s="14" t="s">
        <v>30</v>
      </c>
      <c r="F13" s="14">
        <v>17</v>
      </c>
      <c r="G13" s="14">
        <v>3</v>
      </c>
      <c r="H13" s="14">
        <v>13</v>
      </c>
      <c r="I13" s="14">
        <v>7</v>
      </c>
      <c r="J13" s="14" t="s">
        <v>204</v>
      </c>
      <c r="K13" s="14" cm="1">
        <f t="array" ref="K13">INT(SUMPRODUCT(--ISNUMBER(SEARCH(economy,C13)))&gt;0)</f>
        <v>0</v>
      </c>
      <c r="L13" s="14" cm="1">
        <f t="array" ref="L13">INT(SUMPRODUCT(--ISNUMBER(SEARCH(healthcare,C13)))&gt;0)</f>
        <v>0</v>
      </c>
      <c r="M13" s="14" cm="1">
        <f t="array" ref="M13">INT(SUMPRODUCT(--ISNUMBER(SEARCH(supreme,C13)))&gt;0)</f>
        <v>0</v>
      </c>
      <c r="N13" s="14" cm="1">
        <f t="array" ref="N13">INT(SUMPRODUCT(--ISNUMBER(SEARCH(covid,C13)))&gt;0)</f>
        <v>0</v>
      </c>
      <c r="O13" s="14" cm="1">
        <f t="array" ref="O13">INT(SUMPRODUCT(--ISNUMBER(SEARCH(violent,C13)))&gt;0)</f>
        <v>0</v>
      </c>
      <c r="P13" s="14" cm="1">
        <f t="array" ref="P13">INT(SUMPRODUCT(--ISNUMBER(SEARCH(foreign,C13)))&gt;0)</f>
        <v>0</v>
      </c>
      <c r="Q13" s="14" cm="1">
        <f t="array" ref="Q13">INT(SUMPRODUCT(--ISNUMBER(SEARCH(gun,C13)))&gt;0)</f>
        <v>0</v>
      </c>
      <c r="R13" s="14" cm="1">
        <f t="array" ref="R13">INT(SUMPRODUCT(--ISNUMBER(SEARCH(race,C13)))&gt;0)</f>
        <v>0</v>
      </c>
      <c r="S13" s="14" cm="1">
        <f t="array" ref="S13">INT(SUMPRODUCT(--ISNUMBER(SEARCH(immigration,C13)))&gt;0)</f>
        <v>0</v>
      </c>
      <c r="T13" s="14" cm="1">
        <f t="array" ref="T13">INT(SUMPRODUCT(--ISNUMBER(SEARCH(econineq,C14)))&gt;0)</f>
        <v>0</v>
      </c>
      <c r="U13" s="14" cm="1">
        <f t="array" ref="U13">INT(SUMPRODUCT(--ISNUMBER(SEARCH(climate,C13)))&gt;0)</f>
        <v>0</v>
      </c>
      <c r="V13" s="14" cm="1">
        <f t="array" ref="V13">INT(SUMPRODUCT(--ISNUMBER(SEARCH(abortion,C13)))&gt;0)</f>
        <v>0</v>
      </c>
      <c r="W13" s="14" cm="1">
        <f t="array" ref="W13">INT(SUMPRODUCT(--ISNUMBER(SEARCH(trump,C13)))&gt;0)</f>
        <v>0</v>
      </c>
      <c r="X13" s="14" cm="1">
        <f t="array" ref="X13">INT(SUMPRODUCT(--ISNUMBER(SEARCH(voting,C13)))&gt;0)</f>
        <v>0</v>
      </c>
      <c r="Y13" s="14" cm="1">
        <f t="array" ref="Y13">INT(SUMPRODUCT(--ISNUMBER(SEARCH(democrattrigger,C13)))&gt;0)</f>
        <v>0</v>
      </c>
      <c r="Z13" s="14" cm="1">
        <f t="array" ref="Z13">INT(SUMPRODUCT(--ISNUMBER(SEARCH(bipartisan,C13)))&gt;0)</f>
        <v>0</v>
      </c>
      <c r="AA13" s="14">
        <f t="shared" si="0"/>
        <v>1</v>
      </c>
      <c r="AB13" s="14"/>
      <c r="AC13" s="30">
        <v>1</v>
      </c>
      <c r="AD13" s="37">
        <v>0</v>
      </c>
    </row>
    <row r="14" spans="1:30" x14ac:dyDescent="0.25">
      <c r="A14" s="36">
        <v>2806</v>
      </c>
      <c r="B14" s="14" t="s">
        <v>5637</v>
      </c>
      <c r="C14" s="14" t="s">
        <v>5638</v>
      </c>
      <c r="D14" s="17">
        <v>44137</v>
      </c>
      <c r="E14" s="14" t="s">
        <v>70</v>
      </c>
      <c r="F14" s="14">
        <v>10</v>
      </c>
      <c r="G14" s="14">
        <v>5</v>
      </c>
      <c r="H14" s="14">
        <v>13</v>
      </c>
      <c r="I14" s="14">
        <v>7</v>
      </c>
      <c r="J14" s="14" t="s">
        <v>204</v>
      </c>
      <c r="K14" s="14" cm="1">
        <f t="array" ref="K14">INT(SUMPRODUCT(--ISNUMBER(SEARCH(economy,C14)))&gt;0)</f>
        <v>0</v>
      </c>
      <c r="L14" s="14" cm="1">
        <f t="array" ref="L14">INT(SUMPRODUCT(--ISNUMBER(SEARCH(healthcare,C14)))&gt;0)</f>
        <v>0</v>
      </c>
      <c r="M14" s="14" cm="1">
        <f t="array" ref="M14">INT(SUMPRODUCT(--ISNUMBER(SEARCH(supreme,C14)))&gt;0)</f>
        <v>0</v>
      </c>
      <c r="N14" s="14" cm="1">
        <f t="array" ref="N14">INT(SUMPRODUCT(--ISNUMBER(SEARCH(covid,C14)))&gt;0)</f>
        <v>0</v>
      </c>
      <c r="O14" s="14" cm="1">
        <f t="array" ref="O14">INT(SUMPRODUCT(--ISNUMBER(SEARCH(violent,C14)))&gt;0)</f>
        <v>0</v>
      </c>
      <c r="P14" s="14" cm="1">
        <f t="array" ref="P14">INT(SUMPRODUCT(--ISNUMBER(SEARCH(foreign,C14)))&gt;0)</f>
        <v>0</v>
      </c>
      <c r="Q14" s="14" cm="1">
        <f t="array" ref="Q14">INT(SUMPRODUCT(--ISNUMBER(SEARCH(gun,C14)))&gt;0)</f>
        <v>0</v>
      </c>
      <c r="R14" s="14" cm="1">
        <f t="array" ref="R14">INT(SUMPRODUCT(--ISNUMBER(SEARCH(race,C14)))&gt;0)</f>
        <v>0</v>
      </c>
      <c r="S14" s="14" cm="1">
        <f t="array" ref="S14">INT(SUMPRODUCT(--ISNUMBER(SEARCH(immigration,C14)))&gt;0)</f>
        <v>0</v>
      </c>
      <c r="T14" s="14" cm="1">
        <f t="array" ref="T14">INT(SUMPRODUCT(--ISNUMBER(SEARCH(econineq,C15)))&gt;0)</f>
        <v>0</v>
      </c>
      <c r="U14" s="14" cm="1">
        <f t="array" ref="U14">INT(SUMPRODUCT(--ISNUMBER(SEARCH(climate,C14)))&gt;0)</f>
        <v>0</v>
      </c>
      <c r="V14" s="14" cm="1">
        <f t="array" ref="V14">INT(SUMPRODUCT(--ISNUMBER(SEARCH(abortion,C14)))&gt;0)</f>
        <v>0</v>
      </c>
      <c r="W14" s="14" cm="1">
        <f t="array" ref="W14">INT(SUMPRODUCT(--ISNUMBER(SEARCH(trump,C14)))&gt;0)</f>
        <v>0</v>
      </c>
      <c r="X14" s="14" cm="1">
        <f t="array" ref="X14">INT(SUMPRODUCT(--ISNUMBER(SEARCH(voting,C14)))&gt;0)</f>
        <v>1</v>
      </c>
      <c r="Y14" s="14" cm="1">
        <f t="array" ref="Y14">INT(SUMPRODUCT(--ISNUMBER(SEARCH(democrattrigger,C14)))&gt;0)</f>
        <v>0</v>
      </c>
      <c r="Z14" s="14" cm="1">
        <f t="array" ref="Z14">INT(SUMPRODUCT(--ISNUMBER(SEARCH(bipartisan,C14)))&gt;0)</f>
        <v>0</v>
      </c>
      <c r="AA14" s="14">
        <f t="shared" si="0"/>
        <v>0</v>
      </c>
      <c r="AB14" s="14"/>
      <c r="AC14" s="30" t="s">
        <v>223</v>
      </c>
      <c r="AD14" s="37" t="s">
        <v>223</v>
      </c>
    </row>
    <row r="15" spans="1:30" x14ac:dyDescent="0.25">
      <c r="A15" s="36">
        <v>2807</v>
      </c>
      <c r="B15" s="14" t="s">
        <v>5639</v>
      </c>
      <c r="C15" s="14" t="s">
        <v>5640</v>
      </c>
      <c r="D15" s="17">
        <v>44137</v>
      </c>
      <c r="E15" s="14" t="s">
        <v>30</v>
      </c>
      <c r="F15" s="14">
        <v>96</v>
      </c>
      <c r="G15" s="14">
        <v>31</v>
      </c>
      <c r="H15" s="14">
        <v>13</v>
      </c>
      <c r="I15" s="14">
        <v>7</v>
      </c>
      <c r="J15" s="14" t="s">
        <v>204</v>
      </c>
      <c r="K15" s="14" cm="1">
        <f t="array" ref="K15">INT(SUMPRODUCT(--ISNUMBER(SEARCH(economy,C15)))&gt;0)</f>
        <v>0</v>
      </c>
      <c r="L15" s="14" cm="1">
        <f t="array" ref="L15">INT(SUMPRODUCT(--ISNUMBER(SEARCH(healthcare,C15)))&gt;0)</f>
        <v>0</v>
      </c>
      <c r="M15" s="14" cm="1">
        <f t="array" ref="M15">INT(SUMPRODUCT(--ISNUMBER(SEARCH(supreme,C15)))&gt;0)</f>
        <v>0</v>
      </c>
      <c r="N15" s="14" cm="1">
        <f t="array" ref="N15">INT(SUMPRODUCT(--ISNUMBER(SEARCH(covid,C15)))&gt;0)</f>
        <v>0</v>
      </c>
      <c r="O15" s="14" cm="1">
        <f t="array" ref="O15">INT(SUMPRODUCT(--ISNUMBER(SEARCH(violent,C15)))&gt;0)</f>
        <v>0</v>
      </c>
      <c r="P15" s="14" cm="1">
        <f t="array" ref="P15">INT(SUMPRODUCT(--ISNUMBER(SEARCH(foreign,C15)))&gt;0)</f>
        <v>0</v>
      </c>
      <c r="Q15" s="14" cm="1">
        <f t="array" ref="Q15">INT(SUMPRODUCT(--ISNUMBER(SEARCH(gun,C15)))&gt;0)</f>
        <v>0</v>
      </c>
      <c r="R15" s="14" cm="1">
        <f t="array" ref="R15">INT(SUMPRODUCT(--ISNUMBER(SEARCH(race,C15)))&gt;0)</f>
        <v>0</v>
      </c>
      <c r="S15" s="14" cm="1">
        <f t="array" ref="S15">INT(SUMPRODUCT(--ISNUMBER(SEARCH(immigration,C15)))&gt;0)</f>
        <v>0</v>
      </c>
      <c r="T15" s="14" cm="1">
        <f t="array" ref="T15">INT(SUMPRODUCT(--ISNUMBER(SEARCH(econineq,C16)))&gt;0)</f>
        <v>0</v>
      </c>
      <c r="U15" s="14" cm="1">
        <f t="array" ref="U15">INT(SUMPRODUCT(--ISNUMBER(SEARCH(climate,C15)))&gt;0)</f>
        <v>0</v>
      </c>
      <c r="V15" s="14" cm="1">
        <f t="array" ref="V15">INT(SUMPRODUCT(--ISNUMBER(SEARCH(abortion,C15)))&gt;0)</f>
        <v>0</v>
      </c>
      <c r="W15" s="14" cm="1">
        <f t="array" ref="W15">INT(SUMPRODUCT(--ISNUMBER(SEARCH(trump,C15)))&gt;0)</f>
        <v>0</v>
      </c>
      <c r="X15" s="14" cm="1">
        <f t="array" ref="X15">INT(SUMPRODUCT(--ISNUMBER(SEARCH(voting,C15)))&gt;0)</f>
        <v>1</v>
      </c>
      <c r="Y15" s="14" cm="1">
        <f t="array" ref="Y15">INT(SUMPRODUCT(--ISNUMBER(SEARCH(democrattrigger,C15)))&gt;0)</f>
        <v>0</v>
      </c>
      <c r="Z15" s="14" cm="1">
        <f t="array" ref="Z15">INT(SUMPRODUCT(--ISNUMBER(SEARCH(bipartisan,C15)))&gt;0)</f>
        <v>0</v>
      </c>
      <c r="AA15" s="14">
        <f t="shared" si="0"/>
        <v>0</v>
      </c>
      <c r="AB15" s="14"/>
      <c r="AC15" s="30">
        <v>0</v>
      </c>
      <c r="AD15" s="37">
        <v>1</v>
      </c>
    </row>
    <row r="16" spans="1:30" x14ac:dyDescent="0.25">
      <c r="A16" s="36">
        <v>2808</v>
      </c>
      <c r="B16" s="14" t="s">
        <v>5641</v>
      </c>
      <c r="C16" s="14" t="s">
        <v>5642</v>
      </c>
      <c r="D16" s="17">
        <v>44137</v>
      </c>
      <c r="E16" s="14" t="s">
        <v>30</v>
      </c>
      <c r="F16" s="14">
        <v>101</v>
      </c>
      <c r="G16" s="14">
        <v>22</v>
      </c>
      <c r="H16" s="14">
        <v>13</v>
      </c>
      <c r="I16" s="14">
        <v>7</v>
      </c>
      <c r="J16" s="14" t="s">
        <v>204</v>
      </c>
      <c r="K16" s="14" cm="1">
        <f t="array" ref="K16">INT(SUMPRODUCT(--ISNUMBER(SEARCH(economy,C16)))&gt;0)</f>
        <v>0</v>
      </c>
      <c r="L16" s="14" cm="1">
        <f t="array" ref="L16">INT(SUMPRODUCT(--ISNUMBER(SEARCH(healthcare,C16)))&gt;0)</f>
        <v>0</v>
      </c>
      <c r="M16" s="14" cm="1">
        <f t="array" ref="M16">INT(SUMPRODUCT(--ISNUMBER(SEARCH(supreme,C16)))&gt;0)</f>
        <v>0</v>
      </c>
      <c r="N16" s="14" cm="1">
        <f t="array" ref="N16">INT(SUMPRODUCT(--ISNUMBER(SEARCH(covid,C16)))&gt;0)</f>
        <v>0</v>
      </c>
      <c r="O16" s="14" cm="1">
        <f t="array" ref="O16">INT(SUMPRODUCT(--ISNUMBER(SEARCH(violent,C16)))&gt;0)</f>
        <v>0</v>
      </c>
      <c r="P16" s="14" cm="1">
        <f t="array" ref="P16">INT(SUMPRODUCT(--ISNUMBER(SEARCH(foreign,C16)))&gt;0)</f>
        <v>0</v>
      </c>
      <c r="Q16" s="14" cm="1">
        <f t="array" ref="Q16">INT(SUMPRODUCT(--ISNUMBER(SEARCH(gun,C16)))&gt;0)</f>
        <v>0</v>
      </c>
      <c r="R16" s="14" cm="1">
        <f t="array" ref="R16">INT(SUMPRODUCT(--ISNUMBER(SEARCH(race,C16)))&gt;0)</f>
        <v>0</v>
      </c>
      <c r="S16" s="14" cm="1">
        <f t="array" ref="S16">INT(SUMPRODUCT(--ISNUMBER(SEARCH(immigration,C16)))&gt;0)</f>
        <v>0</v>
      </c>
      <c r="T16" s="14" cm="1">
        <f t="array" ref="T16">INT(SUMPRODUCT(--ISNUMBER(SEARCH(econineq,C17)))&gt;0)</f>
        <v>0</v>
      </c>
      <c r="U16" s="14" cm="1">
        <f t="array" ref="U16">INT(SUMPRODUCT(--ISNUMBER(SEARCH(climate,C16)))&gt;0)</f>
        <v>0</v>
      </c>
      <c r="V16" s="14" cm="1">
        <f t="array" ref="V16">INT(SUMPRODUCT(--ISNUMBER(SEARCH(abortion,C16)))&gt;0)</f>
        <v>0</v>
      </c>
      <c r="W16" s="14" cm="1">
        <f t="array" ref="W16">INT(SUMPRODUCT(--ISNUMBER(SEARCH(trump,C16)))&gt;0)</f>
        <v>0</v>
      </c>
      <c r="X16" s="14" cm="1">
        <f t="array" ref="X16">INT(SUMPRODUCT(--ISNUMBER(SEARCH(voting,C16)))&gt;0)</f>
        <v>0</v>
      </c>
      <c r="Y16" s="14" cm="1">
        <f t="array" ref="Y16">INT(SUMPRODUCT(--ISNUMBER(SEARCH(democrattrigger,C16)))&gt;0)</f>
        <v>0</v>
      </c>
      <c r="Z16" s="14" cm="1">
        <f t="array" ref="Z16">INT(SUMPRODUCT(--ISNUMBER(SEARCH(bipartisan,C16)))&gt;0)</f>
        <v>0</v>
      </c>
      <c r="AA16" s="14">
        <f t="shared" si="0"/>
        <v>1</v>
      </c>
      <c r="AB16" s="14"/>
      <c r="AC16" s="30">
        <v>1</v>
      </c>
      <c r="AD16" s="37">
        <v>0</v>
      </c>
    </row>
    <row r="17" spans="1:30" x14ac:dyDescent="0.25">
      <c r="A17" s="36">
        <v>2809</v>
      </c>
      <c r="B17" s="14" t="s">
        <v>5643</v>
      </c>
      <c r="C17" s="14" t="s">
        <v>5644</v>
      </c>
      <c r="D17" s="17">
        <v>44137</v>
      </c>
      <c r="E17" s="14" t="s">
        <v>30</v>
      </c>
      <c r="F17" s="14">
        <v>165</v>
      </c>
      <c r="G17" s="14">
        <v>35</v>
      </c>
      <c r="H17" s="14">
        <v>13</v>
      </c>
      <c r="I17" s="14">
        <v>7</v>
      </c>
      <c r="J17" s="14" t="s">
        <v>204</v>
      </c>
      <c r="K17" s="14" cm="1">
        <f t="array" ref="K17">INT(SUMPRODUCT(--ISNUMBER(SEARCH(economy,C17)))&gt;0)</f>
        <v>0</v>
      </c>
      <c r="L17" s="14" cm="1">
        <f t="array" ref="L17">INT(SUMPRODUCT(--ISNUMBER(SEARCH(healthcare,C17)))&gt;0)</f>
        <v>0</v>
      </c>
      <c r="M17" s="14" cm="1">
        <f t="array" ref="M17">INT(SUMPRODUCT(--ISNUMBER(SEARCH(supreme,C17)))&gt;0)</f>
        <v>0</v>
      </c>
      <c r="N17" s="14" cm="1">
        <f t="array" ref="N17">INT(SUMPRODUCT(--ISNUMBER(SEARCH(covid,C17)))&gt;0)</f>
        <v>0</v>
      </c>
      <c r="O17" s="14" cm="1">
        <f t="array" ref="O17">INT(SUMPRODUCT(--ISNUMBER(SEARCH(violent,C17)))&gt;0)</f>
        <v>0</v>
      </c>
      <c r="P17" s="14" cm="1">
        <f t="array" ref="P17">INT(SUMPRODUCT(--ISNUMBER(SEARCH(foreign,C17)))&gt;0)</f>
        <v>0</v>
      </c>
      <c r="Q17" s="14" cm="1">
        <f t="array" ref="Q17">INT(SUMPRODUCT(--ISNUMBER(SEARCH(gun,C17)))&gt;0)</f>
        <v>0</v>
      </c>
      <c r="R17" s="14" cm="1">
        <f t="array" ref="R17">INT(SUMPRODUCT(--ISNUMBER(SEARCH(race,C17)))&gt;0)</f>
        <v>0</v>
      </c>
      <c r="S17" s="14" cm="1">
        <f t="array" ref="S17">INT(SUMPRODUCT(--ISNUMBER(SEARCH(immigration,C17)))&gt;0)</f>
        <v>0</v>
      </c>
      <c r="T17" s="14" cm="1">
        <f t="array" ref="T17">INT(SUMPRODUCT(--ISNUMBER(SEARCH(econineq,C18)))&gt;0)</f>
        <v>0</v>
      </c>
      <c r="U17" s="14" cm="1">
        <f t="array" ref="U17">INT(SUMPRODUCT(--ISNUMBER(SEARCH(climate,C17)))&gt;0)</f>
        <v>0</v>
      </c>
      <c r="V17" s="14" cm="1">
        <f t="array" ref="V17">INT(SUMPRODUCT(--ISNUMBER(SEARCH(abortion,C17)))&gt;0)</f>
        <v>0</v>
      </c>
      <c r="W17" s="14" cm="1">
        <f t="array" ref="W17">INT(SUMPRODUCT(--ISNUMBER(SEARCH(trump,C17)))&gt;0)</f>
        <v>0</v>
      </c>
      <c r="X17" s="14" cm="1">
        <f t="array" ref="X17">INT(SUMPRODUCT(--ISNUMBER(SEARCH(voting,C17)))&gt;0)</f>
        <v>1</v>
      </c>
      <c r="Y17" s="14" cm="1">
        <f t="array" ref="Y17">INT(SUMPRODUCT(--ISNUMBER(SEARCH(democrattrigger,C17)))&gt;0)</f>
        <v>0</v>
      </c>
      <c r="Z17" s="14" cm="1">
        <f t="array" ref="Z17">INT(SUMPRODUCT(--ISNUMBER(SEARCH(bipartisan,C17)))&gt;0)</f>
        <v>0</v>
      </c>
      <c r="AA17" s="14">
        <f t="shared" si="0"/>
        <v>0</v>
      </c>
      <c r="AB17" s="14"/>
      <c r="AC17" s="30" t="s">
        <v>223</v>
      </c>
      <c r="AD17" s="37" t="s">
        <v>223</v>
      </c>
    </row>
    <row r="18" spans="1:30" x14ac:dyDescent="0.25">
      <c r="A18" s="36">
        <v>2810</v>
      </c>
      <c r="B18" s="14" t="s">
        <v>5645</v>
      </c>
      <c r="C18" s="14" t="s">
        <v>5646</v>
      </c>
      <c r="D18" s="17">
        <v>44137</v>
      </c>
      <c r="E18" s="14" t="s">
        <v>30</v>
      </c>
      <c r="F18" s="14">
        <v>70</v>
      </c>
      <c r="G18" s="14">
        <v>14</v>
      </c>
      <c r="H18" s="14">
        <v>13</v>
      </c>
      <c r="I18" s="14">
        <v>7</v>
      </c>
      <c r="J18" s="14" t="s">
        <v>204</v>
      </c>
      <c r="K18" s="14" cm="1">
        <f t="array" ref="K18">INT(SUMPRODUCT(--ISNUMBER(SEARCH(economy,C18)))&gt;0)</f>
        <v>0</v>
      </c>
      <c r="L18" s="14" cm="1">
        <f t="array" ref="L18">INT(SUMPRODUCT(--ISNUMBER(SEARCH(healthcare,C18)))&gt;0)</f>
        <v>0</v>
      </c>
      <c r="M18" s="14" cm="1">
        <f t="array" ref="M18">INT(SUMPRODUCT(--ISNUMBER(SEARCH(supreme,C18)))&gt;0)</f>
        <v>0</v>
      </c>
      <c r="N18" s="14" cm="1">
        <f t="array" ref="N18">INT(SUMPRODUCT(--ISNUMBER(SEARCH(covid,C18)))&gt;0)</f>
        <v>0</v>
      </c>
      <c r="O18" s="14" cm="1">
        <f t="array" ref="O18">INT(SUMPRODUCT(--ISNUMBER(SEARCH(violent,C18)))&gt;0)</f>
        <v>0</v>
      </c>
      <c r="P18" s="14" cm="1">
        <f t="array" ref="P18">INT(SUMPRODUCT(--ISNUMBER(SEARCH(foreign,C18)))&gt;0)</f>
        <v>0</v>
      </c>
      <c r="Q18" s="14" cm="1">
        <f t="array" ref="Q18">INT(SUMPRODUCT(--ISNUMBER(SEARCH(gun,C18)))&gt;0)</f>
        <v>0</v>
      </c>
      <c r="R18" s="14" cm="1">
        <f t="array" ref="R18">INT(SUMPRODUCT(--ISNUMBER(SEARCH(race,C18)))&gt;0)</f>
        <v>0</v>
      </c>
      <c r="S18" s="14" cm="1">
        <f t="array" ref="S18">INT(SUMPRODUCT(--ISNUMBER(SEARCH(immigration,C18)))&gt;0)</f>
        <v>0</v>
      </c>
      <c r="T18" s="14" cm="1">
        <f t="array" ref="T18">INT(SUMPRODUCT(--ISNUMBER(SEARCH(econineq,C19)))&gt;0)</f>
        <v>0</v>
      </c>
      <c r="U18" s="14" cm="1">
        <f t="array" ref="U18">INT(SUMPRODUCT(--ISNUMBER(SEARCH(climate,C18)))&gt;0)</f>
        <v>0</v>
      </c>
      <c r="V18" s="14" cm="1">
        <f t="array" ref="V18">INT(SUMPRODUCT(--ISNUMBER(SEARCH(abortion,C18)))&gt;0)</f>
        <v>0</v>
      </c>
      <c r="W18" s="14" cm="1">
        <f t="array" ref="W18">INT(SUMPRODUCT(--ISNUMBER(SEARCH(trump,C18)))&gt;0)</f>
        <v>0</v>
      </c>
      <c r="X18" s="14" cm="1">
        <f t="array" ref="X18">INT(SUMPRODUCT(--ISNUMBER(SEARCH(voting,C18)))&gt;0)</f>
        <v>0</v>
      </c>
      <c r="Y18" s="14" cm="1">
        <f t="array" ref="Y18">INT(SUMPRODUCT(--ISNUMBER(SEARCH(democrattrigger,C18)))&gt;0)</f>
        <v>0</v>
      </c>
      <c r="Z18" s="14" cm="1">
        <f t="array" ref="Z18">INT(SUMPRODUCT(--ISNUMBER(SEARCH(bipartisan,C18)))&gt;0)</f>
        <v>0</v>
      </c>
      <c r="AA18" s="14">
        <f t="shared" si="0"/>
        <v>1</v>
      </c>
      <c r="AB18" s="14"/>
      <c r="AC18" s="30">
        <v>1</v>
      </c>
      <c r="AD18" s="37">
        <v>0</v>
      </c>
    </row>
    <row r="19" spans="1:30" x14ac:dyDescent="0.25">
      <c r="A19" s="36">
        <v>2811</v>
      </c>
      <c r="B19" s="14" t="s">
        <v>5647</v>
      </c>
      <c r="C19" s="14" t="s">
        <v>5648</v>
      </c>
      <c r="D19" s="17">
        <v>44136</v>
      </c>
      <c r="E19" s="14" t="s">
        <v>30</v>
      </c>
      <c r="F19" s="14">
        <v>21</v>
      </c>
      <c r="G19" s="14">
        <v>8</v>
      </c>
      <c r="H19" s="14">
        <v>13</v>
      </c>
      <c r="I19" s="14">
        <v>7</v>
      </c>
      <c r="J19" s="14" t="s">
        <v>204</v>
      </c>
      <c r="K19" s="14" cm="1">
        <f t="array" ref="K19">INT(SUMPRODUCT(--ISNUMBER(SEARCH(economy,C19)))&gt;0)</f>
        <v>0</v>
      </c>
      <c r="L19" s="14" cm="1">
        <f t="array" ref="L19">INT(SUMPRODUCT(--ISNUMBER(SEARCH(healthcare,C19)))&gt;0)</f>
        <v>1</v>
      </c>
      <c r="M19" s="14" cm="1">
        <f t="array" ref="M19">INT(SUMPRODUCT(--ISNUMBER(SEARCH(supreme,C19)))&gt;0)</f>
        <v>0</v>
      </c>
      <c r="N19" s="14" cm="1">
        <f t="array" ref="N19">INT(SUMPRODUCT(--ISNUMBER(SEARCH(covid,C19)))&gt;0)</f>
        <v>0</v>
      </c>
      <c r="O19" s="14" cm="1">
        <f t="array" ref="O19">INT(SUMPRODUCT(--ISNUMBER(SEARCH(violent,C19)))&gt;0)</f>
        <v>0</v>
      </c>
      <c r="P19" s="14" cm="1">
        <f t="array" ref="P19">INT(SUMPRODUCT(--ISNUMBER(SEARCH(foreign,C19)))&gt;0)</f>
        <v>0</v>
      </c>
      <c r="Q19" s="14" cm="1">
        <f t="array" ref="Q19">INT(SUMPRODUCT(--ISNUMBER(SEARCH(gun,C19)))&gt;0)</f>
        <v>0</v>
      </c>
      <c r="R19" s="14" cm="1">
        <f t="array" ref="R19">INT(SUMPRODUCT(--ISNUMBER(SEARCH(race,C19)))&gt;0)</f>
        <v>0</v>
      </c>
      <c r="S19" s="14" cm="1">
        <f t="array" ref="S19">INT(SUMPRODUCT(--ISNUMBER(SEARCH(immigration,C19)))&gt;0)</f>
        <v>0</v>
      </c>
      <c r="T19" s="14" cm="1">
        <f t="array" ref="T19">INT(SUMPRODUCT(--ISNUMBER(SEARCH(econineq,C20)))&gt;0)</f>
        <v>0</v>
      </c>
      <c r="U19" s="14" cm="1">
        <f t="array" ref="U19">INT(SUMPRODUCT(--ISNUMBER(SEARCH(climate,C19)))&gt;0)</f>
        <v>0</v>
      </c>
      <c r="V19" s="14" cm="1">
        <f t="array" ref="V19">INT(SUMPRODUCT(--ISNUMBER(SEARCH(abortion,C19)))&gt;0)</f>
        <v>0</v>
      </c>
      <c r="W19" s="14" cm="1">
        <f t="array" ref="W19">INT(SUMPRODUCT(--ISNUMBER(SEARCH(trump,C19)))&gt;0)</f>
        <v>0</v>
      </c>
      <c r="X19" s="14" cm="1">
        <f t="array" ref="X19">INT(SUMPRODUCT(--ISNUMBER(SEARCH(voting,C19)))&gt;0)</f>
        <v>1</v>
      </c>
      <c r="Y19" s="14" cm="1">
        <f t="array" ref="Y19">INT(SUMPRODUCT(--ISNUMBER(SEARCH(democrattrigger,C19)))&gt;0)</f>
        <v>0</v>
      </c>
      <c r="Z19" s="14" cm="1">
        <f t="array" ref="Z19">INT(SUMPRODUCT(--ISNUMBER(SEARCH(bipartisan,C19)))&gt;0)</f>
        <v>0</v>
      </c>
      <c r="AA19" s="14">
        <f t="shared" si="0"/>
        <v>0</v>
      </c>
      <c r="AB19" s="14"/>
      <c r="AC19" s="30" t="s">
        <v>223</v>
      </c>
      <c r="AD19" s="37" t="s">
        <v>223</v>
      </c>
    </row>
    <row r="20" spans="1:30" x14ac:dyDescent="0.25">
      <c r="A20" s="36">
        <v>2812</v>
      </c>
      <c r="B20" s="14" t="s">
        <v>5649</v>
      </c>
      <c r="C20" s="14" t="s">
        <v>5650</v>
      </c>
      <c r="D20" s="17">
        <v>44136</v>
      </c>
      <c r="E20" s="14" t="s">
        <v>30</v>
      </c>
      <c r="F20" s="14">
        <v>22</v>
      </c>
      <c r="G20" s="14">
        <v>7</v>
      </c>
      <c r="H20" s="14">
        <v>13</v>
      </c>
      <c r="I20" s="14">
        <v>7</v>
      </c>
      <c r="J20" s="14" t="s">
        <v>204</v>
      </c>
      <c r="K20" s="14" cm="1">
        <f t="array" ref="K20">INT(SUMPRODUCT(--ISNUMBER(SEARCH(economy,C20)))&gt;0)</f>
        <v>0</v>
      </c>
      <c r="L20" s="14" cm="1">
        <f t="array" ref="L20">INT(SUMPRODUCT(--ISNUMBER(SEARCH(healthcare,C20)))&gt;0)</f>
        <v>0</v>
      </c>
      <c r="M20" s="14" cm="1">
        <f t="array" ref="M20">INT(SUMPRODUCT(--ISNUMBER(SEARCH(supreme,C20)))&gt;0)</f>
        <v>0</v>
      </c>
      <c r="N20" s="14" cm="1">
        <f t="array" ref="N20">INT(SUMPRODUCT(--ISNUMBER(SEARCH(covid,C20)))&gt;0)</f>
        <v>0</v>
      </c>
      <c r="O20" s="14" cm="1">
        <f t="array" ref="O20">INT(SUMPRODUCT(--ISNUMBER(SEARCH(violent,C20)))&gt;0)</f>
        <v>0</v>
      </c>
      <c r="P20" s="14" cm="1">
        <f t="array" ref="P20">INT(SUMPRODUCT(--ISNUMBER(SEARCH(foreign,C20)))&gt;0)</f>
        <v>0</v>
      </c>
      <c r="Q20" s="14" cm="1">
        <f t="array" ref="Q20">INT(SUMPRODUCT(--ISNUMBER(SEARCH(gun,C20)))&gt;0)</f>
        <v>0</v>
      </c>
      <c r="R20" s="14" cm="1">
        <f t="array" ref="R20">INT(SUMPRODUCT(--ISNUMBER(SEARCH(race,C20)))&gt;0)</f>
        <v>0</v>
      </c>
      <c r="S20" s="14" cm="1">
        <f t="array" ref="S20">INT(SUMPRODUCT(--ISNUMBER(SEARCH(immigration,C20)))&gt;0)</f>
        <v>0</v>
      </c>
      <c r="T20" s="14" cm="1">
        <f t="array" ref="T20">INT(SUMPRODUCT(--ISNUMBER(SEARCH(econineq,C21)))&gt;0)</f>
        <v>0</v>
      </c>
      <c r="U20" s="14" cm="1">
        <f t="array" ref="U20">INT(SUMPRODUCT(--ISNUMBER(SEARCH(climate,C20)))&gt;0)</f>
        <v>0</v>
      </c>
      <c r="V20" s="14" cm="1">
        <f t="array" ref="V20">INT(SUMPRODUCT(--ISNUMBER(SEARCH(abortion,C20)))&gt;0)</f>
        <v>0</v>
      </c>
      <c r="W20" s="14" cm="1">
        <f t="array" ref="W20">INT(SUMPRODUCT(--ISNUMBER(SEARCH(trump,C20)))&gt;0)</f>
        <v>0</v>
      </c>
      <c r="X20" s="14" cm="1">
        <f t="array" ref="X20">INT(SUMPRODUCT(--ISNUMBER(SEARCH(voting,C20)))&gt;0)</f>
        <v>0</v>
      </c>
      <c r="Y20" s="14" cm="1">
        <f t="array" ref="Y20">INT(SUMPRODUCT(--ISNUMBER(SEARCH(democrattrigger,C20)))&gt;0)</f>
        <v>0</v>
      </c>
      <c r="Z20" s="14" cm="1">
        <f t="array" ref="Z20">INT(SUMPRODUCT(--ISNUMBER(SEARCH(bipartisan,C20)))&gt;0)</f>
        <v>0</v>
      </c>
      <c r="AA20" s="14">
        <f t="shared" si="0"/>
        <v>1</v>
      </c>
      <c r="AB20" s="14"/>
      <c r="AC20" s="30">
        <v>1</v>
      </c>
      <c r="AD20" s="37">
        <v>0</v>
      </c>
    </row>
    <row r="21" spans="1:30" x14ac:dyDescent="0.25">
      <c r="A21" s="36">
        <v>2813</v>
      </c>
      <c r="B21" s="14" t="s">
        <v>5651</v>
      </c>
      <c r="C21" s="14" t="s">
        <v>5652</v>
      </c>
      <c r="D21" s="17">
        <v>44136</v>
      </c>
      <c r="E21" s="14" t="s">
        <v>30</v>
      </c>
      <c r="F21" s="14">
        <v>69</v>
      </c>
      <c r="G21" s="14">
        <v>22</v>
      </c>
      <c r="H21" s="14">
        <v>13</v>
      </c>
      <c r="I21" s="14">
        <v>7</v>
      </c>
      <c r="J21" s="14" t="s">
        <v>204</v>
      </c>
      <c r="K21" s="14" cm="1">
        <f t="array" ref="K21">INT(SUMPRODUCT(--ISNUMBER(SEARCH(economy,C21)))&gt;0)</f>
        <v>0</v>
      </c>
      <c r="L21" s="14" cm="1">
        <f t="array" ref="L21">INT(SUMPRODUCT(--ISNUMBER(SEARCH(healthcare,C21)))&gt;0)</f>
        <v>1</v>
      </c>
      <c r="M21" s="14" cm="1">
        <f t="array" ref="M21">INT(SUMPRODUCT(--ISNUMBER(SEARCH(supreme,C21)))&gt;0)</f>
        <v>0</v>
      </c>
      <c r="N21" s="14" cm="1">
        <f t="array" ref="N21">INT(SUMPRODUCT(--ISNUMBER(SEARCH(covid,C21)))&gt;0)</f>
        <v>0</v>
      </c>
      <c r="O21" s="14" cm="1">
        <f t="array" ref="O21">INT(SUMPRODUCT(--ISNUMBER(SEARCH(violent,C21)))&gt;0)</f>
        <v>0</v>
      </c>
      <c r="P21" s="14" cm="1">
        <f t="array" ref="P21">INT(SUMPRODUCT(--ISNUMBER(SEARCH(foreign,C21)))&gt;0)</f>
        <v>0</v>
      </c>
      <c r="Q21" s="14" cm="1">
        <f t="array" ref="Q21">INT(SUMPRODUCT(--ISNUMBER(SEARCH(gun,C21)))&gt;0)</f>
        <v>0</v>
      </c>
      <c r="R21" s="14" cm="1">
        <f t="array" ref="R21">INT(SUMPRODUCT(--ISNUMBER(SEARCH(race,C21)))&gt;0)</f>
        <v>0</v>
      </c>
      <c r="S21" s="14" cm="1">
        <f t="array" ref="S21">INT(SUMPRODUCT(--ISNUMBER(SEARCH(immigration,C21)))&gt;0)</f>
        <v>0</v>
      </c>
      <c r="T21" s="14" cm="1">
        <f t="array" ref="T21">INT(SUMPRODUCT(--ISNUMBER(SEARCH(econineq,C22)))&gt;0)</f>
        <v>0</v>
      </c>
      <c r="U21" s="14" cm="1">
        <f t="array" ref="U21">INT(SUMPRODUCT(--ISNUMBER(SEARCH(climate,C21)))&gt;0)</f>
        <v>0</v>
      </c>
      <c r="V21" s="14" cm="1">
        <f t="array" ref="V21">INT(SUMPRODUCT(--ISNUMBER(SEARCH(abortion,C21)))&gt;0)</f>
        <v>0</v>
      </c>
      <c r="W21" s="14" cm="1">
        <f t="array" ref="W21">INT(SUMPRODUCT(--ISNUMBER(SEARCH(trump,C21)))&gt;0)</f>
        <v>0</v>
      </c>
      <c r="X21" s="14" cm="1">
        <f t="array" ref="X21">INT(SUMPRODUCT(--ISNUMBER(SEARCH(voting,C21)))&gt;0)</f>
        <v>1</v>
      </c>
      <c r="Y21" s="14" cm="1">
        <f t="array" ref="Y21">INT(SUMPRODUCT(--ISNUMBER(SEARCH(democrattrigger,C21)))&gt;0)</f>
        <v>0</v>
      </c>
      <c r="Z21" s="14" cm="1">
        <f t="array" ref="Z21">INT(SUMPRODUCT(--ISNUMBER(SEARCH(bipartisan,C21)))&gt;0)</f>
        <v>0</v>
      </c>
      <c r="AA21" s="14">
        <f t="shared" si="0"/>
        <v>0</v>
      </c>
      <c r="AB21" s="14"/>
      <c r="AC21" s="30">
        <v>0</v>
      </c>
      <c r="AD21" s="37">
        <v>1</v>
      </c>
    </row>
    <row r="22" spans="1:30" x14ac:dyDescent="0.25">
      <c r="A22" s="36">
        <v>2814</v>
      </c>
      <c r="B22" s="14" t="s">
        <v>5653</v>
      </c>
      <c r="C22" s="14" t="s">
        <v>5654</v>
      </c>
      <c r="D22" s="17">
        <v>44136</v>
      </c>
      <c r="E22" s="14" t="s">
        <v>30</v>
      </c>
      <c r="F22" s="14">
        <v>29</v>
      </c>
      <c r="G22" s="14">
        <v>8</v>
      </c>
      <c r="H22" s="14">
        <v>13</v>
      </c>
      <c r="I22" s="14">
        <v>7</v>
      </c>
      <c r="J22" s="14" t="s">
        <v>204</v>
      </c>
      <c r="K22" s="14" cm="1">
        <f t="array" ref="K22">INT(SUMPRODUCT(--ISNUMBER(SEARCH(economy,C22)))&gt;0)</f>
        <v>0</v>
      </c>
      <c r="L22" s="14" cm="1">
        <f t="array" ref="L22">INT(SUMPRODUCT(--ISNUMBER(SEARCH(healthcare,C22)))&gt;0)</f>
        <v>0</v>
      </c>
      <c r="M22" s="14" cm="1">
        <f t="array" ref="M22">INT(SUMPRODUCT(--ISNUMBER(SEARCH(supreme,C22)))&gt;0)</f>
        <v>0</v>
      </c>
      <c r="N22" s="14" cm="1">
        <f t="array" ref="N22">INT(SUMPRODUCT(--ISNUMBER(SEARCH(covid,C22)))&gt;0)</f>
        <v>0</v>
      </c>
      <c r="O22" s="14" cm="1">
        <f t="array" ref="O22">INT(SUMPRODUCT(--ISNUMBER(SEARCH(violent,C22)))&gt;0)</f>
        <v>0</v>
      </c>
      <c r="P22" s="14" cm="1">
        <f t="array" ref="P22">INT(SUMPRODUCT(--ISNUMBER(SEARCH(foreign,C22)))&gt;0)</f>
        <v>0</v>
      </c>
      <c r="Q22" s="14" cm="1">
        <f t="array" ref="Q22">INT(SUMPRODUCT(--ISNUMBER(SEARCH(gun,C22)))&gt;0)</f>
        <v>0</v>
      </c>
      <c r="R22" s="14" cm="1">
        <f t="array" ref="R22">INT(SUMPRODUCT(--ISNUMBER(SEARCH(race,C22)))&gt;0)</f>
        <v>0</v>
      </c>
      <c r="S22" s="14" cm="1">
        <f t="array" ref="S22">INT(SUMPRODUCT(--ISNUMBER(SEARCH(immigration,C22)))&gt;0)</f>
        <v>0</v>
      </c>
      <c r="T22" s="14" cm="1">
        <f t="array" ref="T22">INT(SUMPRODUCT(--ISNUMBER(SEARCH(econineq,C23)))&gt;0)</f>
        <v>0</v>
      </c>
      <c r="U22" s="14" cm="1">
        <f t="array" ref="U22">INT(SUMPRODUCT(--ISNUMBER(SEARCH(climate,C22)))&gt;0)</f>
        <v>0</v>
      </c>
      <c r="V22" s="14" cm="1">
        <f t="array" ref="V22">INT(SUMPRODUCT(--ISNUMBER(SEARCH(abortion,C22)))&gt;0)</f>
        <v>0</v>
      </c>
      <c r="W22" s="14" cm="1">
        <f t="array" ref="W22">INT(SUMPRODUCT(--ISNUMBER(SEARCH(trump,C22)))&gt;0)</f>
        <v>0</v>
      </c>
      <c r="X22" s="14" cm="1">
        <f t="array" ref="X22">INT(SUMPRODUCT(--ISNUMBER(SEARCH(voting,C22)))&gt;0)</f>
        <v>1</v>
      </c>
      <c r="Y22" s="14" cm="1">
        <f t="array" ref="Y22">INT(SUMPRODUCT(--ISNUMBER(SEARCH(democrattrigger,C22)))&gt;0)</f>
        <v>0</v>
      </c>
      <c r="Z22" s="14" cm="1">
        <f t="array" ref="Z22">INT(SUMPRODUCT(--ISNUMBER(SEARCH(bipartisan,C22)))&gt;0)</f>
        <v>0</v>
      </c>
      <c r="AA22" s="14">
        <f t="shared" si="0"/>
        <v>0</v>
      </c>
      <c r="AB22" s="14"/>
      <c r="AC22" s="30">
        <v>1</v>
      </c>
      <c r="AD22" s="37">
        <v>0</v>
      </c>
    </row>
    <row r="23" spans="1:30" x14ac:dyDescent="0.25">
      <c r="A23" s="36">
        <v>2815</v>
      </c>
      <c r="B23" s="14" t="s">
        <v>5655</v>
      </c>
      <c r="C23" s="14" t="s">
        <v>5656</v>
      </c>
      <c r="D23" s="17">
        <v>44136</v>
      </c>
      <c r="E23" s="14" t="s">
        <v>30</v>
      </c>
      <c r="F23" s="14">
        <v>47</v>
      </c>
      <c r="G23" s="14">
        <v>12</v>
      </c>
      <c r="H23" s="14">
        <v>13</v>
      </c>
      <c r="I23" s="14">
        <v>7</v>
      </c>
      <c r="J23" s="14" t="s">
        <v>204</v>
      </c>
      <c r="K23" s="14" cm="1">
        <f t="array" ref="K23">INT(SUMPRODUCT(--ISNUMBER(SEARCH(economy,C23)))&gt;0)</f>
        <v>1</v>
      </c>
      <c r="L23" s="14" cm="1">
        <f t="array" ref="L23">INT(SUMPRODUCT(--ISNUMBER(SEARCH(healthcare,C23)))&gt;0)</f>
        <v>0</v>
      </c>
      <c r="M23" s="14" cm="1">
        <f t="array" ref="M23">INT(SUMPRODUCT(--ISNUMBER(SEARCH(supreme,C23)))&gt;0)</f>
        <v>0</v>
      </c>
      <c r="N23" s="14" cm="1">
        <f t="array" ref="N23">INT(SUMPRODUCT(--ISNUMBER(SEARCH(covid,C23)))&gt;0)</f>
        <v>0</v>
      </c>
      <c r="O23" s="14" cm="1">
        <f t="array" ref="O23">INT(SUMPRODUCT(--ISNUMBER(SEARCH(violent,C23)))&gt;0)</f>
        <v>0</v>
      </c>
      <c r="P23" s="14" cm="1">
        <f t="array" ref="P23">INT(SUMPRODUCT(--ISNUMBER(SEARCH(foreign,C23)))&gt;0)</f>
        <v>0</v>
      </c>
      <c r="Q23" s="14" cm="1">
        <f t="array" ref="Q23">INT(SUMPRODUCT(--ISNUMBER(SEARCH(gun,C23)))&gt;0)</f>
        <v>0</v>
      </c>
      <c r="R23" s="14" cm="1">
        <f t="array" ref="R23">INT(SUMPRODUCT(--ISNUMBER(SEARCH(race,C23)))&gt;0)</f>
        <v>0</v>
      </c>
      <c r="S23" s="14" cm="1">
        <f t="array" ref="S23">INT(SUMPRODUCT(--ISNUMBER(SEARCH(immigration,C23)))&gt;0)</f>
        <v>0</v>
      </c>
      <c r="T23" s="14" cm="1">
        <f t="array" ref="T23">INT(SUMPRODUCT(--ISNUMBER(SEARCH(econineq,C24)))&gt;0)</f>
        <v>0</v>
      </c>
      <c r="U23" s="14" cm="1">
        <f t="array" ref="U23">INT(SUMPRODUCT(--ISNUMBER(SEARCH(climate,C23)))&gt;0)</f>
        <v>0</v>
      </c>
      <c r="V23" s="14" cm="1">
        <f t="array" ref="V23">INT(SUMPRODUCT(--ISNUMBER(SEARCH(abortion,C23)))&gt;0)</f>
        <v>0</v>
      </c>
      <c r="W23" s="14" cm="1">
        <f t="array" ref="W23">INT(SUMPRODUCT(--ISNUMBER(SEARCH(trump,C23)))&gt;0)</f>
        <v>0</v>
      </c>
      <c r="X23" s="14" cm="1">
        <f t="array" ref="X23">INT(SUMPRODUCT(--ISNUMBER(SEARCH(voting,C23)))&gt;0)</f>
        <v>0</v>
      </c>
      <c r="Y23" s="14" cm="1">
        <f t="array" ref="Y23">INT(SUMPRODUCT(--ISNUMBER(SEARCH(democrattrigger,C23)))&gt;0)</f>
        <v>0</v>
      </c>
      <c r="Z23" s="14" cm="1">
        <f t="array" ref="Z23">INT(SUMPRODUCT(--ISNUMBER(SEARCH(bipartisan,C23)))&gt;0)</f>
        <v>0</v>
      </c>
      <c r="AA23" s="14">
        <f t="shared" si="0"/>
        <v>0</v>
      </c>
      <c r="AB23" s="14"/>
      <c r="AC23" s="30">
        <v>1</v>
      </c>
      <c r="AD23" s="37">
        <v>0</v>
      </c>
    </row>
    <row r="24" spans="1:30" x14ac:dyDescent="0.25">
      <c r="A24" s="36">
        <v>2816</v>
      </c>
      <c r="B24" s="14" t="s">
        <v>5657</v>
      </c>
      <c r="C24" s="14" t="s">
        <v>5658</v>
      </c>
      <c r="D24" s="17">
        <v>44136</v>
      </c>
      <c r="E24" s="14" t="s">
        <v>30</v>
      </c>
      <c r="F24" s="14">
        <v>36</v>
      </c>
      <c r="G24" s="14">
        <v>10</v>
      </c>
      <c r="H24" s="14">
        <v>13</v>
      </c>
      <c r="I24" s="14">
        <v>7</v>
      </c>
      <c r="J24" s="14" t="s">
        <v>204</v>
      </c>
      <c r="K24" s="14" cm="1">
        <f t="array" ref="K24">INT(SUMPRODUCT(--ISNUMBER(SEARCH(economy,C24)))&gt;0)</f>
        <v>1</v>
      </c>
      <c r="L24" s="14" cm="1">
        <f t="array" ref="L24">INT(SUMPRODUCT(--ISNUMBER(SEARCH(healthcare,C24)))&gt;0)</f>
        <v>1</v>
      </c>
      <c r="M24" s="14" cm="1">
        <f t="array" ref="M24">INT(SUMPRODUCT(--ISNUMBER(SEARCH(supreme,C24)))&gt;0)</f>
        <v>0</v>
      </c>
      <c r="N24" s="14" cm="1">
        <f t="array" ref="N24">INT(SUMPRODUCT(--ISNUMBER(SEARCH(covid,C24)))&gt;0)</f>
        <v>1</v>
      </c>
      <c r="O24" s="14" cm="1">
        <f t="array" ref="O24">INT(SUMPRODUCT(--ISNUMBER(SEARCH(violent,C24)))&gt;0)</f>
        <v>0</v>
      </c>
      <c r="P24" s="14" cm="1">
        <f t="array" ref="P24">INT(SUMPRODUCT(--ISNUMBER(SEARCH(foreign,C24)))&gt;0)</f>
        <v>0</v>
      </c>
      <c r="Q24" s="14" cm="1">
        <f t="array" ref="Q24">INT(SUMPRODUCT(--ISNUMBER(SEARCH(gun,C24)))&gt;0)</f>
        <v>0</v>
      </c>
      <c r="R24" s="14" cm="1">
        <f t="array" ref="R24">INT(SUMPRODUCT(--ISNUMBER(SEARCH(race,C24)))&gt;0)</f>
        <v>0</v>
      </c>
      <c r="S24" s="14" cm="1">
        <f t="array" ref="S24">INT(SUMPRODUCT(--ISNUMBER(SEARCH(immigration,C24)))&gt;0)</f>
        <v>0</v>
      </c>
      <c r="T24" s="14" cm="1">
        <f t="array" ref="T24">INT(SUMPRODUCT(--ISNUMBER(SEARCH(econineq,C25)))&gt;0)</f>
        <v>0</v>
      </c>
      <c r="U24" s="14" cm="1">
        <f t="array" ref="U24">INT(SUMPRODUCT(--ISNUMBER(SEARCH(climate,C24)))&gt;0)</f>
        <v>0</v>
      </c>
      <c r="V24" s="14" cm="1">
        <f t="array" ref="V24">INT(SUMPRODUCT(--ISNUMBER(SEARCH(abortion,C24)))&gt;0)</f>
        <v>0</v>
      </c>
      <c r="W24" s="14" cm="1">
        <f t="array" ref="W24">INT(SUMPRODUCT(--ISNUMBER(SEARCH(trump,C24)))&gt;0)</f>
        <v>0</v>
      </c>
      <c r="X24" s="14" cm="1">
        <f t="array" ref="X24">INT(SUMPRODUCT(--ISNUMBER(SEARCH(voting,C24)))&gt;0)</f>
        <v>0</v>
      </c>
      <c r="Y24" s="14" cm="1">
        <f t="array" ref="Y24">INT(SUMPRODUCT(--ISNUMBER(SEARCH(democrattrigger,C24)))&gt;0)</f>
        <v>0</v>
      </c>
      <c r="Z24" s="14" cm="1">
        <f t="array" ref="Z24">INT(SUMPRODUCT(--ISNUMBER(SEARCH(bipartisan,C24)))&gt;0)</f>
        <v>0</v>
      </c>
      <c r="AA24" s="14">
        <f t="shared" si="0"/>
        <v>0</v>
      </c>
      <c r="AB24" s="14"/>
      <c r="AC24" s="30">
        <v>0</v>
      </c>
      <c r="AD24" s="37">
        <v>1</v>
      </c>
    </row>
    <row r="25" spans="1:30" x14ac:dyDescent="0.25">
      <c r="A25" s="36">
        <v>2817</v>
      </c>
      <c r="B25" s="14" t="s">
        <v>5659</v>
      </c>
      <c r="C25" s="14" t="s">
        <v>5660</v>
      </c>
      <c r="D25" s="17">
        <v>44136</v>
      </c>
      <c r="E25" s="14" t="s">
        <v>30</v>
      </c>
      <c r="F25" s="14">
        <v>108</v>
      </c>
      <c r="G25" s="14">
        <v>16</v>
      </c>
      <c r="H25" s="14">
        <v>13</v>
      </c>
      <c r="I25" s="14">
        <v>7</v>
      </c>
      <c r="J25" s="14" t="s">
        <v>204</v>
      </c>
      <c r="K25" s="14" cm="1">
        <f t="array" ref="K25">INT(SUMPRODUCT(--ISNUMBER(SEARCH(economy,C25)))&gt;0)</f>
        <v>0</v>
      </c>
      <c r="L25" s="14" cm="1">
        <f t="array" ref="L25">INT(SUMPRODUCT(--ISNUMBER(SEARCH(healthcare,C25)))&gt;0)</f>
        <v>0</v>
      </c>
      <c r="M25" s="14" cm="1">
        <f t="array" ref="M25">INT(SUMPRODUCT(--ISNUMBER(SEARCH(supreme,C25)))&gt;0)</f>
        <v>0</v>
      </c>
      <c r="N25" s="14" cm="1">
        <f t="array" ref="N25">INT(SUMPRODUCT(--ISNUMBER(SEARCH(covid,C25)))&gt;0)</f>
        <v>0</v>
      </c>
      <c r="O25" s="14" cm="1">
        <f t="array" ref="O25">INT(SUMPRODUCT(--ISNUMBER(SEARCH(violent,C25)))&gt;0)</f>
        <v>0</v>
      </c>
      <c r="P25" s="14" cm="1">
        <f t="array" ref="P25">INT(SUMPRODUCT(--ISNUMBER(SEARCH(foreign,C25)))&gt;0)</f>
        <v>0</v>
      </c>
      <c r="Q25" s="14" cm="1">
        <f t="array" ref="Q25">INT(SUMPRODUCT(--ISNUMBER(SEARCH(gun,C25)))&gt;0)</f>
        <v>0</v>
      </c>
      <c r="R25" s="14" cm="1">
        <f t="array" ref="R25">INT(SUMPRODUCT(--ISNUMBER(SEARCH(race,C25)))&gt;0)</f>
        <v>0</v>
      </c>
      <c r="S25" s="14" cm="1">
        <f t="array" ref="S25">INT(SUMPRODUCT(--ISNUMBER(SEARCH(immigration,C25)))&gt;0)</f>
        <v>0</v>
      </c>
      <c r="T25" s="14" cm="1">
        <f t="array" ref="T25">INT(SUMPRODUCT(--ISNUMBER(SEARCH(econineq,C26)))&gt;0)</f>
        <v>0</v>
      </c>
      <c r="U25" s="14" cm="1">
        <f t="array" ref="U25">INT(SUMPRODUCT(--ISNUMBER(SEARCH(climate,C25)))&gt;0)</f>
        <v>0</v>
      </c>
      <c r="V25" s="14" cm="1">
        <f t="array" ref="V25">INT(SUMPRODUCT(--ISNUMBER(SEARCH(abortion,C25)))&gt;0)</f>
        <v>0</v>
      </c>
      <c r="W25" s="14" cm="1">
        <f t="array" ref="W25">INT(SUMPRODUCT(--ISNUMBER(SEARCH(trump,C25)))&gt;0)</f>
        <v>0</v>
      </c>
      <c r="X25" s="14" cm="1">
        <f t="array" ref="X25">INT(SUMPRODUCT(--ISNUMBER(SEARCH(voting,C25)))&gt;0)</f>
        <v>0</v>
      </c>
      <c r="Y25" s="14" cm="1">
        <f t="array" ref="Y25">INT(SUMPRODUCT(--ISNUMBER(SEARCH(democrattrigger,C25)))&gt;0)</f>
        <v>0</v>
      </c>
      <c r="Z25" s="14" cm="1">
        <f t="array" ref="Z25">INT(SUMPRODUCT(--ISNUMBER(SEARCH(bipartisan,C25)))&gt;0)</f>
        <v>0</v>
      </c>
      <c r="AA25" s="14">
        <f t="shared" si="0"/>
        <v>1</v>
      </c>
      <c r="AB25" s="14"/>
      <c r="AC25" s="30">
        <v>1</v>
      </c>
      <c r="AD25" s="37">
        <v>1</v>
      </c>
    </row>
    <row r="26" spans="1:30" x14ac:dyDescent="0.25">
      <c r="A26" s="36">
        <v>2818</v>
      </c>
      <c r="B26" s="14" t="s">
        <v>5661</v>
      </c>
      <c r="C26" s="14" t="s">
        <v>5662</v>
      </c>
      <c r="D26" s="17">
        <v>44136</v>
      </c>
      <c r="E26" s="14" t="s">
        <v>30</v>
      </c>
      <c r="F26" s="14">
        <v>46</v>
      </c>
      <c r="G26" s="14">
        <v>17</v>
      </c>
      <c r="H26" s="14">
        <v>13</v>
      </c>
      <c r="I26" s="14">
        <v>7</v>
      </c>
      <c r="J26" s="14" t="s">
        <v>204</v>
      </c>
      <c r="K26" s="14" cm="1">
        <f t="array" ref="K26">INT(SUMPRODUCT(--ISNUMBER(SEARCH(economy,C26)))&gt;0)</f>
        <v>1</v>
      </c>
      <c r="L26" s="14" cm="1">
        <f t="array" ref="L26">INT(SUMPRODUCT(--ISNUMBER(SEARCH(healthcare,C26)))&gt;0)</f>
        <v>0</v>
      </c>
      <c r="M26" s="14" cm="1">
        <f t="array" ref="M26">INT(SUMPRODUCT(--ISNUMBER(SEARCH(supreme,C26)))&gt;0)</f>
        <v>0</v>
      </c>
      <c r="N26" s="14" cm="1">
        <f t="array" ref="N26">INT(SUMPRODUCT(--ISNUMBER(SEARCH(covid,C26)))&gt;0)</f>
        <v>0</v>
      </c>
      <c r="O26" s="14" cm="1">
        <f t="array" ref="O26">INT(SUMPRODUCT(--ISNUMBER(SEARCH(violent,C26)))&gt;0)</f>
        <v>0</v>
      </c>
      <c r="P26" s="14" cm="1">
        <f t="array" ref="P26">INT(SUMPRODUCT(--ISNUMBER(SEARCH(foreign,C26)))&gt;0)</f>
        <v>0</v>
      </c>
      <c r="Q26" s="14" cm="1">
        <f t="array" ref="Q26">INT(SUMPRODUCT(--ISNUMBER(SEARCH(gun,C26)))&gt;0)</f>
        <v>0</v>
      </c>
      <c r="R26" s="14" cm="1">
        <f t="array" ref="R26">INT(SUMPRODUCT(--ISNUMBER(SEARCH(race,C26)))&gt;0)</f>
        <v>0</v>
      </c>
      <c r="S26" s="14" cm="1">
        <f t="array" ref="S26">INT(SUMPRODUCT(--ISNUMBER(SEARCH(immigration,C26)))&gt;0)</f>
        <v>0</v>
      </c>
      <c r="T26" s="14" cm="1">
        <f t="array" ref="T26">INT(SUMPRODUCT(--ISNUMBER(SEARCH(econineq,C27)))&gt;0)</f>
        <v>0</v>
      </c>
      <c r="U26" s="14" cm="1">
        <f t="array" ref="U26">INT(SUMPRODUCT(--ISNUMBER(SEARCH(climate,C26)))&gt;0)</f>
        <v>0</v>
      </c>
      <c r="V26" s="14" cm="1">
        <f t="array" ref="V26">INT(SUMPRODUCT(--ISNUMBER(SEARCH(abortion,C26)))&gt;0)</f>
        <v>0</v>
      </c>
      <c r="W26" s="14" cm="1">
        <f t="array" ref="W26">INT(SUMPRODUCT(--ISNUMBER(SEARCH(trump,C26)))&gt;0)</f>
        <v>0</v>
      </c>
      <c r="X26" s="14" cm="1">
        <f t="array" ref="X26">INT(SUMPRODUCT(--ISNUMBER(SEARCH(voting,C26)))&gt;0)</f>
        <v>0</v>
      </c>
      <c r="Y26" s="14" cm="1">
        <f t="array" ref="Y26">INT(SUMPRODUCT(--ISNUMBER(SEARCH(democrattrigger,C26)))&gt;0)</f>
        <v>0</v>
      </c>
      <c r="Z26" s="14" cm="1">
        <f t="array" ref="Z26">INT(SUMPRODUCT(--ISNUMBER(SEARCH(bipartisan,C26)))&gt;0)</f>
        <v>0</v>
      </c>
      <c r="AA26" s="14">
        <f t="shared" si="0"/>
        <v>0</v>
      </c>
      <c r="AB26" s="14"/>
      <c r="AC26" s="30">
        <v>0</v>
      </c>
      <c r="AD26" s="37">
        <v>1</v>
      </c>
    </row>
    <row r="27" spans="1:30" x14ac:dyDescent="0.25">
      <c r="A27" s="36">
        <v>2819</v>
      </c>
      <c r="B27" s="14" t="s">
        <v>5663</v>
      </c>
      <c r="C27" s="14" t="s">
        <v>5664</v>
      </c>
      <c r="D27" s="17">
        <v>44136</v>
      </c>
      <c r="E27" s="14" t="s">
        <v>70</v>
      </c>
      <c r="F27" s="14">
        <v>17</v>
      </c>
      <c r="G27" s="14">
        <v>0</v>
      </c>
      <c r="H27" s="14">
        <v>13</v>
      </c>
      <c r="I27" s="14">
        <v>7</v>
      </c>
      <c r="J27" s="14" t="s">
        <v>204</v>
      </c>
      <c r="K27" s="14" cm="1">
        <f t="array" ref="K27">INT(SUMPRODUCT(--ISNUMBER(SEARCH(economy,C27)))&gt;0)</f>
        <v>1</v>
      </c>
      <c r="L27" s="14" cm="1">
        <f t="array" ref="L27">INT(SUMPRODUCT(--ISNUMBER(SEARCH(healthcare,C27)))&gt;0)</f>
        <v>0</v>
      </c>
      <c r="M27" s="14" cm="1">
        <f t="array" ref="M27">INT(SUMPRODUCT(--ISNUMBER(SEARCH(supreme,C27)))&gt;0)</f>
        <v>0</v>
      </c>
      <c r="N27" s="14" cm="1">
        <f t="array" ref="N27">INT(SUMPRODUCT(--ISNUMBER(SEARCH(covid,C27)))&gt;0)</f>
        <v>1</v>
      </c>
      <c r="O27" s="14" cm="1">
        <f t="array" ref="O27">INT(SUMPRODUCT(--ISNUMBER(SEARCH(violent,C27)))&gt;0)</f>
        <v>0</v>
      </c>
      <c r="P27" s="14" cm="1">
        <f t="array" ref="P27">INT(SUMPRODUCT(--ISNUMBER(SEARCH(foreign,C27)))&gt;0)</f>
        <v>0</v>
      </c>
      <c r="Q27" s="14" cm="1">
        <f t="array" ref="Q27">INT(SUMPRODUCT(--ISNUMBER(SEARCH(gun,C27)))&gt;0)</f>
        <v>0</v>
      </c>
      <c r="R27" s="14" cm="1">
        <f t="array" ref="R27">INT(SUMPRODUCT(--ISNUMBER(SEARCH(race,C27)))&gt;0)</f>
        <v>0</v>
      </c>
      <c r="S27" s="14" cm="1">
        <f t="array" ref="S27">INT(SUMPRODUCT(--ISNUMBER(SEARCH(immigration,C27)))&gt;0)</f>
        <v>0</v>
      </c>
      <c r="T27" s="14" cm="1">
        <f t="array" ref="T27">INT(SUMPRODUCT(--ISNUMBER(SEARCH(econineq,C28)))&gt;0)</f>
        <v>0</v>
      </c>
      <c r="U27" s="14" cm="1">
        <f t="array" ref="U27">INT(SUMPRODUCT(--ISNUMBER(SEARCH(climate,C27)))&gt;0)</f>
        <v>0</v>
      </c>
      <c r="V27" s="14" cm="1">
        <f t="array" ref="V27">INT(SUMPRODUCT(--ISNUMBER(SEARCH(abortion,C27)))&gt;0)</f>
        <v>0</v>
      </c>
      <c r="W27" s="14" cm="1">
        <f t="array" ref="W27">INT(SUMPRODUCT(--ISNUMBER(SEARCH(trump,C27)))&gt;0)</f>
        <v>0</v>
      </c>
      <c r="X27" s="14" cm="1">
        <f t="array" ref="X27">INT(SUMPRODUCT(--ISNUMBER(SEARCH(voting,C27)))&gt;0)</f>
        <v>0</v>
      </c>
      <c r="Y27" s="14" cm="1">
        <f t="array" ref="Y27">INT(SUMPRODUCT(--ISNUMBER(SEARCH(democrattrigger,C27)))&gt;0)</f>
        <v>0</v>
      </c>
      <c r="Z27" s="14" cm="1">
        <f t="array" ref="Z27">INT(SUMPRODUCT(--ISNUMBER(SEARCH(bipartisan,C27)))&gt;0)</f>
        <v>0</v>
      </c>
      <c r="AA27" s="14">
        <f t="shared" si="0"/>
        <v>0</v>
      </c>
      <c r="AB27" s="14"/>
      <c r="AC27" s="30">
        <v>1</v>
      </c>
      <c r="AD27" s="37">
        <v>0</v>
      </c>
    </row>
    <row r="28" spans="1:30" x14ac:dyDescent="0.25">
      <c r="A28" s="36">
        <v>2820</v>
      </c>
      <c r="B28" s="14" t="s">
        <v>5665</v>
      </c>
      <c r="C28" s="14" t="s">
        <v>5666</v>
      </c>
      <c r="D28" s="17">
        <v>44136</v>
      </c>
      <c r="E28" s="14" t="s">
        <v>30</v>
      </c>
      <c r="F28" s="14">
        <v>30</v>
      </c>
      <c r="G28" s="14">
        <v>4</v>
      </c>
      <c r="H28" s="14">
        <v>13</v>
      </c>
      <c r="I28" s="14">
        <v>7</v>
      </c>
      <c r="J28" s="14" t="s">
        <v>204</v>
      </c>
      <c r="K28" s="14" cm="1">
        <f t="array" ref="K28">INT(SUMPRODUCT(--ISNUMBER(SEARCH(economy,C28)))&gt;0)</f>
        <v>1</v>
      </c>
      <c r="L28" s="14" cm="1">
        <f t="array" ref="L28">INT(SUMPRODUCT(--ISNUMBER(SEARCH(healthcare,C28)))&gt;0)</f>
        <v>0</v>
      </c>
      <c r="M28" s="14" cm="1">
        <f t="array" ref="M28">INT(SUMPRODUCT(--ISNUMBER(SEARCH(supreme,C28)))&gt;0)</f>
        <v>0</v>
      </c>
      <c r="N28" s="14" cm="1">
        <f t="array" ref="N28">INT(SUMPRODUCT(--ISNUMBER(SEARCH(covid,C28)))&gt;0)</f>
        <v>1</v>
      </c>
      <c r="O28" s="14" cm="1">
        <f t="array" ref="O28">INT(SUMPRODUCT(--ISNUMBER(SEARCH(violent,C28)))&gt;0)</f>
        <v>0</v>
      </c>
      <c r="P28" s="14" cm="1">
        <f t="array" ref="P28">INT(SUMPRODUCT(--ISNUMBER(SEARCH(foreign,C28)))&gt;0)</f>
        <v>0</v>
      </c>
      <c r="Q28" s="14" cm="1">
        <f t="array" ref="Q28">INT(SUMPRODUCT(--ISNUMBER(SEARCH(gun,C28)))&gt;0)</f>
        <v>0</v>
      </c>
      <c r="R28" s="14" cm="1">
        <f t="array" ref="R28">INT(SUMPRODUCT(--ISNUMBER(SEARCH(race,C28)))&gt;0)</f>
        <v>0</v>
      </c>
      <c r="S28" s="14" cm="1">
        <f t="array" ref="S28">INT(SUMPRODUCT(--ISNUMBER(SEARCH(immigration,C28)))&gt;0)</f>
        <v>0</v>
      </c>
      <c r="T28" s="14" cm="1">
        <f t="array" ref="T28">INT(SUMPRODUCT(--ISNUMBER(SEARCH(econineq,C29)))&gt;0)</f>
        <v>0</v>
      </c>
      <c r="U28" s="14" cm="1">
        <f t="array" ref="U28">INT(SUMPRODUCT(--ISNUMBER(SEARCH(climate,C28)))&gt;0)</f>
        <v>0</v>
      </c>
      <c r="V28" s="14" cm="1">
        <f t="array" ref="V28">INT(SUMPRODUCT(--ISNUMBER(SEARCH(abortion,C28)))&gt;0)</f>
        <v>0</v>
      </c>
      <c r="W28" s="14" cm="1">
        <f t="array" ref="W28">INT(SUMPRODUCT(--ISNUMBER(SEARCH(trump,C28)))&gt;0)</f>
        <v>0</v>
      </c>
      <c r="X28" s="14" cm="1">
        <f t="array" ref="X28">INT(SUMPRODUCT(--ISNUMBER(SEARCH(voting,C28)))&gt;0)</f>
        <v>1</v>
      </c>
      <c r="Y28" s="14" cm="1">
        <f t="array" ref="Y28">INT(SUMPRODUCT(--ISNUMBER(SEARCH(democrattrigger,C28)))&gt;0)</f>
        <v>0</v>
      </c>
      <c r="Z28" s="14" cm="1">
        <f t="array" ref="Z28">INT(SUMPRODUCT(--ISNUMBER(SEARCH(bipartisan,C28)))&gt;0)</f>
        <v>0</v>
      </c>
      <c r="AA28" s="14">
        <f t="shared" si="0"/>
        <v>0</v>
      </c>
      <c r="AB28" s="14"/>
      <c r="AC28" s="30">
        <v>1</v>
      </c>
      <c r="AD28" s="37">
        <v>0</v>
      </c>
    </row>
    <row r="29" spans="1:30" x14ac:dyDescent="0.25">
      <c r="A29" s="36">
        <v>2821</v>
      </c>
      <c r="B29" s="14" t="s">
        <v>5667</v>
      </c>
      <c r="C29" s="14" t="s">
        <v>5668</v>
      </c>
      <c r="D29" s="17">
        <v>44135</v>
      </c>
      <c r="E29" s="14" t="s">
        <v>30</v>
      </c>
      <c r="F29" s="14">
        <v>79</v>
      </c>
      <c r="G29" s="14">
        <v>24</v>
      </c>
      <c r="H29" s="14">
        <v>13</v>
      </c>
      <c r="I29" s="14">
        <v>7</v>
      </c>
      <c r="J29" s="14" t="s">
        <v>204</v>
      </c>
      <c r="K29" s="14" cm="1">
        <f t="array" ref="K29">INT(SUMPRODUCT(--ISNUMBER(SEARCH(economy,C29)))&gt;0)</f>
        <v>0</v>
      </c>
      <c r="L29" s="14" cm="1">
        <f t="array" ref="L29">INT(SUMPRODUCT(--ISNUMBER(SEARCH(healthcare,C29)))&gt;0)</f>
        <v>0</v>
      </c>
      <c r="M29" s="14" cm="1">
        <f t="array" ref="M29">INT(SUMPRODUCT(--ISNUMBER(SEARCH(supreme,C29)))&gt;0)</f>
        <v>0</v>
      </c>
      <c r="N29" s="14" cm="1">
        <f t="array" ref="N29">INT(SUMPRODUCT(--ISNUMBER(SEARCH(covid,C29)))&gt;0)</f>
        <v>0</v>
      </c>
      <c r="O29" s="14" cm="1">
        <f t="array" ref="O29">INT(SUMPRODUCT(--ISNUMBER(SEARCH(violent,C29)))&gt;0)</f>
        <v>0</v>
      </c>
      <c r="P29" s="14" cm="1">
        <f t="array" ref="P29">INT(SUMPRODUCT(--ISNUMBER(SEARCH(foreign,C29)))&gt;0)</f>
        <v>0</v>
      </c>
      <c r="Q29" s="14" cm="1">
        <f t="array" ref="Q29">INT(SUMPRODUCT(--ISNUMBER(SEARCH(gun,C29)))&gt;0)</f>
        <v>0</v>
      </c>
      <c r="R29" s="14" cm="1">
        <f t="array" ref="R29">INT(SUMPRODUCT(--ISNUMBER(SEARCH(race,C29)))&gt;0)</f>
        <v>1</v>
      </c>
      <c r="S29" s="14" cm="1">
        <f t="array" ref="S29">INT(SUMPRODUCT(--ISNUMBER(SEARCH(immigration,C29)))&gt;0)</f>
        <v>0</v>
      </c>
      <c r="T29" s="14" cm="1">
        <f t="array" ref="T29">INT(SUMPRODUCT(--ISNUMBER(SEARCH(econineq,C30)))&gt;0)</f>
        <v>0</v>
      </c>
      <c r="U29" s="14" cm="1">
        <f t="array" ref="U29">INT(SUMPRODUCT(--ISNUMBER(SEARCH(climate,C29)))&gt;0)</f>
        <v>0</v>
      </c>
      <c r="V29" s="14" cm="1">
        <f t="array" ref="V29">INT(SUMPRODUCT(--ISNUMBER(SEARCH(abortion,C29)))&gt;0)</f>
        <v>0</v>
      </c>
      <c r="W29" s="14" cm="1">
        <f t="array" ref="W29">INT(SUMPRODUCT(--ISNUMBER(SEARCH(trump,C29)))&gt;0)</f>
        <v>0</v>
      </c>
      <c r="X29" s="14" cm="1">
        <f t="array" ref="X29">INT(SUMPRODUCT(--ISNUMBER(SEARCH(voting,C29)))&gt;0)</f>
        <v>1</v>
      </c>
      <c r="Y29" s="14" cm="1">
        <f t="array" ref="Y29">INT(SUMPRODUCT(--ISNUMBER(SEARCH(democrattrigger,C29)))&gt;0)</f>
        <v>1</v>
      </c>
      <c r="Z29" s="14" cm="1">
        <f t="array" ref="Z29">INT(SUMPRODUCT(--ISNUMBER(SEARCH(bipartisan,C29)))&gt;0)</f>
        <v>0</v>
      </c>
      <c r="AA29" s="14">
        <f t="shared" si="0"/>
        <v>0</v>
      </c>
      <c r="AB29" s="14"/>
      <c r="AC29" s="30" t="s">
        <v>223</v>
      </c>
      <c r="AD29" s="37" t="s">
        <v>223</v>
      </c>
    </row>
    <row r="30" spans="1:30" x14ac:dyDescent="0.25">
      <c r="A30" s="36">
        <v>2822</v>
      </c>
      <c r="B30" s="14" t="s">
        <v>5669</v>
      </c>
      <c r="C30" s="14" t="s">
        <v>5670</v>
      </c>
      <c r="D30" s="17">
        <v>44135</v>
      </c>
      <c r="E30" s="14" t="s">
        <v>30</v>
      </c>
      <c r="F30" s="14">
        <v>34</v>
      </c>
      <c r="G30" s="14">
        <v>13</v>
      </c>
      <c r="H30" s="14">
        <v>13</v>
      </c>
      <c r="I30" s="14">
        <v>7</v>
      </c>
      <c r="J30" s="14" t="s">
        <v>204</v>
      </c>
      <c r="K30" s="14" cm="1">
        <f t="array" ref="K30">INT(SUMPRODUCT(--ISNUMBER(SEARCH(economy,C30)))&gt;0)</f>
        <v>1</v>
      </c>
      <c r="L30" s="14" cm="1">
        <f t="array" ref="L30">INT(SUMPRODUCT(--ISNUMBER(SEARCH(healthcare,C30)))&gt;0)</f>
        <v>1</v>
      </c>
      <c r="M30" s="14" cm="1">
        <f t="array" ref="M30">INT(SUMPRODUCT(--ISNUMBER(SEARCH(supreme,C30)))&gt;0)</f>
        <v>0</v>
      </c>
      <c r="N30" s="14" cm="1">
        <f t="array" ref="N30">INT(SUMPRODUCT(--ISNUMBER(SEARCH(covid,C30)))&gt;0)</f>
        <v>1</v>
      </c>
      <c r="O30" s="14" cm="1">
        <f t="array" ref="O30">INT(SUMPRODUCT(--ISNUMBER(SEARCH(violent,C30)))&gt;0)</f>
        <v>0</v>
      </c>
      <c r="P30" s="14" cm="1">
        <f t="array" ref="P30">INT(SUMPRODUCT(--ISNUMBER(SEARCH(foreign,C30)))&gt;0)</f>
        <v>0</v>
      </c>
      <c r="Q30" s="14" cm="1">
        <f t="array" ref="Q30">INT(SUMPRODUCT(--ISNUMBER(SEARCH(gun,C30)))&gt;0)</f>
        <v>0</v>
      </c>
      <c r="R30" s="14" cm="1">
        <f t="array" ref="R30">INT(SUMPRODUCT(--ISNUMBER(SEARCH(race,C30)))&gt;0)</f>
        <v>0</v>
      </c>
      <c r="S30" s="14" cm="1">
        <f t="array" ref="S30">INT(SUMPRODUCT(--ISNUMBER(SEARCH(immigration,C30)))&gt;0)</f>
        <v>0</v>
      </c>
      <c r="T30" s="14" cm="1">
        <f t="array" ref="T30">INT(SUMPRODUCT(--ISNUMBER(SEARCH(econineq,C31)))&gt;0)</f>
        <v>0</v>
      </c>
      <c r="U30" s="14" cm="1">
        <f t="array" ref="U30">INT(SUMPRODUCT(--ISNUMBER(SEARCH(climate,C30)))&gt;0)</f>
        <v>0</v>
      </c>
      <c r="V30" s="14" cm="1">
        <f t="array" ref="V30">INT(SUMPRODUCT(--ISNUMBER(SEARCH(abortion,C30)))&gt;0)</f>
        <v>0</v>
      </c>
      <c r="W30" s="14" cm="1">
        <f t="array" ref="W30">INT(SUMPRODUCT(--ISNUMBER(SEARCH(trump,C30)))&gt;0)</f>
        <v>0</v>
      </c>
      <c r="X30" s="14" cm="1">
        <f t="array" ref="X30">INT(SUMPRODUCT(--ISNUMBER(SEARCH(voting,C30)))&gt;0)</f>
        <v>1</v>
      </c>
      <c r="Y30" s="14" cm="1">
        <f t="array" ref="Y30">INT(SUMPRODUCT(--ISNUMBER(SEARCH(democrattrigger,C30)))&gt;0)</f>
        <v>0</v>
      </c>
      <c r="Z30" s="14" cm="1">
        <f t="array" ref="Z30">INT(SUMPRODUCT(--ISNUMBER(SEARCH(bipartisan,C30)))&gt;0)</f>
        <v>0</v>
      </c>
      <c r="AA30" s="14">
        <f t="shared" si="0"/>
        <v>0</v>
      </c>
      <c r="AB30" s="14"/>
      <c r="AC30" s="30">
        <v>1</v>
      </c>
      <c r="AD30" s="37">
        <v>0</v>
      </c>
    </row>
    <row r="31" spans="1:30" x14ac:dyDescent="0.25">
      <c r="A31" s="36">
        <v>2823</v>
      </c>
      <c r="B31" s="14" t="s">
        <v>5671</v>
      </c>
      <c r="C31" s="14" t="s">
        <v>5672</v>
      </c>
      <c r="D31" s="17">
        <v>44135</v>
      </c>
      <c r="E31" s="14" t="s">
        <v>30</v>
      </c>
      <c r="F31" s="14">
        <v>76</v>
      </c>
      <c r="G31" s="14">
        <v>12</v>
      </c>
      <c r="H31" s="14">
        <v>13</v>
      </c>
      <c r="I31" s="14">
        <v>7</v>
      </c>
      <c r="J31" s="14" t="s">
        <v>204</v>
      </c>
      <c r="K31" s="14" cm="1">
        <f t="array" ref="K31">INT(SUMPRODUCT(--ISNUMBER(SEARCH(economy,C31)))&gt;0)</f>
        <v>0</v>
      </c>
      <c r="L31" s="14" cm="1">
        <f t="array" ref="L31">INT(SUMPRODUCT(--ISNUMBER(SEARCH(healthcare,C31)))&gt;0)</f>
        <v>0</v>
      </c>
      <c r="M31" s="14" cm="1">
        <f t="array" ref="M31">INT(SUMPRODUCT(--ISNUMBER(SEARCH(supreme,C31)))&gt;0)</f>
        <v>0</v>
      </c>
      <c r="N31" s="14" cm="1">
        <f t="array" ref="N31">INT(SUMPRODUCT(--ISNUMBER(SEARCH(covid,C31)))&gt;0)</f>
        <v>0</v>
      </c>
      <c r="O31" s="14" cm="1">
        <f t="array" ref="O31">INT(SUMPRODUCT(--ISNUMBER(SEARCH(violent,C31)))&gt;0)</f>
        <v>0</v>
      </c>
      <c r="P31" s="14" cm="1">
        <f t="array" ref="P31">INT(SUMPRODUCT(--ISNUMBER(SEARCH(foreign,C31)))&gt;0)</f>
        <v>0</v>
      </c>
      <c r="Q31" s="14" cm="1">
        <f t="array" ref="Q31">INT(SUMPRODUCT(--ISNUMBER(SEARCH(gun,C31)))&gt;0)</f>
        <v>0</v>
      </c>
      <c r="R31" s="14" cm="1">
        <f t="array" ref="R31">INT(SUMPRODUCT(--ISNUMBER(SEARCH(race,C31)))&gt;0)</f>
        <v>0</v>
      </c>
      <c r="S31" s="14" cm="1">
        <f t="array" ref="S31">INT(SUMPRODUCT(--ISNUMBER(SEARCH(immigration,C31)))&gt;0)</f>
        <v>0</v>
      </c>
      <c r="T31" s="14" cm="1">
        <f t="array" ref="T31">INT(SUMPRODUCT(--ISNUMBER(SEARCH(econineq,C32)))&gt;0)</f>
        <v>0</v>
      </c>
      <c r="U31" s="14" cm="1">
        <f t="array" ref="U31">INT(SUMPRODUCT(--ISNUMBER(SEARCH(climate,C31)))&gt;0)</f>
        <v>0</v>
      </c>
      <c r="V31" s="14" cm="1">
        <f t="array" ref="V31">INT(SUMPRODUCT(--ISNUMBER(SEARCH(abortion,C31)))&gt;0)</f>
        <v>0</v>
      </c>
      <c r="W31" s="14" cm="1">
        <f t="array" ref="W31">INT(SUMPRODUCT(--ISNUMBER(SEARCH(trump,C31)))&gt;0)</f>
        <v>0</v>
      </c>
      <c r="X31" s="14" cm="1">
        <f t="array" ref="X31">INT(SUMPRODUCT(--ISNUMBER(SEARCH(voting,C31)))&gt;0)</f>
        <v>0</v>
      </c>
      <c r="Y31" s="14" cm="1">
        <f t="array" ref="Y31">INT(SUMPRODUCT(--ISNUMBER(SEARCH(democrattrigger,C31)))&gt;0)</f>
        <v>0</v>
      </c>
      <c r="Z31" s="14" cm="1">
        <f t="array" ref="Z31">INT(SUMPRODUCT(--ISNUMBER(SEARCH(bipartisan,C31)))&gt;0)</f>
        <v>0</v>
      </c>
      <c r="AA31" s="14">
        <f t="shared" si="0"/>
        <v>1</v>
      </c>
      <c r="AB31" s="14"/>
      <c r="AC31" s="30">
        <v>1</v>
      </c>
      <c r="AD31" s="37">
        <v>0</v>
      </c>
    </row>
    <row r="32" spans="1:30" x14ac:dyDescent="0.25">
      <c r="A32" s="36">
        <v>2824</v>
      </c>
      <c r="B32" s="14" t="s">
        <v>5673</v>
      </c>
      <c r="C32" s="14" t="s">
        <v>5674</v>
      </c>
      <c r="D32" s="17">
        <v>44135</v>
      </c>
      <c r="E32" s="14" t="s">
        <v>30</v>
      </c>
      <c r="F32" s="14">
        <v>9</v>
      </c>
      <c r="G32" s="14">
        <v>8</v>
      </c>
      <c r="H32" s="14">
        <v>13</v>
      </c>
      <c r="I32" s="14">
        <v>7</v>
      </c>
      <c r="J32" s="14" t="s">
        <v>204</v>
      </c>
      <c r="K32" s="14" cm="1">
        <f t="array" ref="K32">INT(SUMPRODUCT(--ISNUMBER(SEARCH(economy,C32)))&gt;0)</f>
        <v>0</v>
      </c>
      <c r="L32" s="14" cm="1">
        <f t="array" ref="L32">INT(SUMPRODUCT(--ISNUMBER(SEARCH(healthcare,C32)))&gt;0)</f>
        <v>0</v>
      </c>
      <c r="M32" s="14" cm="1">
        <f t="array" ref="M32">INT(SUMPRODUCT(--ISNUMBER(SEARCH(supreme,C32)))&gt;0)</f>
        <v>0</v>
      </c>
      <c r="N32" s="14" cm="1">
        <f t="array" ref="N32">INT(SUMPRODUCT(--ISNUMBER(SEARCH(covid,C32)))&gt;0)</f>
        <v>0</v>
      </c>
      <c r="O32" s="14" cm="1">
        <f t="array" ref="O32">INT(SUMPRODUCT(--ISNUMBER(SEARCH(violent,C32)))&gt;0)</f>
        <v>0</v>
      </c>
      <c r="P32" s="14" cm="1">
        <f t="array" ref="P32">INT(SUMPRODUCT(--ISNUMBER(SEARCH(foreign,C32)))&gt;0)</f>
        <v>0</v>
      </c>
      <c r="Q32" s="14" cm="1">
        <f t="array" ref="Q32">INT(SUMPRODUCT(--ISNUMBER(SEARCH(gun,C32)))&gt;0)</f>
        <v>0</v>
      </c>
      <c r="R32" s="14" cm="1">
        <f t="array" ref="R32">INT(SUMPRODUCT(--ISNUMBER(SEARCH(race,C32)))&gt;0)</f>
        <v>0</v>
      </c>
      <c r="S32" s="14" cm="1">
        <f t="array" ref="S32">INT(SUMPRODUCT(--ISNUMBER(SEARCH(immigration,C32)))&gt;0)</f>
        <v>0</v>
      </c>
      <c r="T32" s="14" cm="1">
        <f t="array" ref="T32">INT(SUMPRODUCT(--ISNUMBER(SEARCH(econineq,C33)))&gt;0)</f>
        <v>0</v>
      </c>
      <c r="U32" s="14" cm="1">
        <f t="array" ref="U32">INT(SUMPRODUCT(--ISNUMBER(SEARCH(climate,C32)))&gt;0)</f>
        <v>0</v>
      </c>
      <c r="V32" s="14" cm="1">
        <f t="array" ref="V32">INT(SUMPRODUCT(--ISNUMBER(SEARCH(abortion,C32)))&gt;0)</f>
        <v>0</v>
      </c>
      <c r="W32" s="14" cm="1">
        <f t="array" ref="W32">INT(SUMPRODUCT(--ISNUMBER(SEARCH(trump,C32)))&gt;0)</f>
        <v>0</v>
      </c>
      <c r="X32" s="14" cm="1">
        <f t="array" ref="X32">INT(SUMPRODUCT(--ISNUMBER(SEARCH(voting,C32)))&gt;0)</f>
        <v>0</v>
      </c>
      <c r="Y32" s="14" cm="1">
        <f t="array" ref="Y32">INT(SUMPRODUCT(--ISNUMBER(SEARCH(democrattrigger,C32)))&gt;0)</f>
        <v>0</v>
      </c>
      <c r="Z32" s="14" cm="1">
        <f t="array" ref="Z32">INT(SUMPRODUCT(--ISNUMBER(SEARCH(bipartisan,C32)))&gt;0)</f>
        <v>0</v>
      </c>
      <c r="AA32" s="14">
        <f t="shared" si="0"/>
        <v>1</v>
      </c>
      <c r="AB32" s="14"/>
      <c r="AC32" s="30" t="s">
        <v>223</v>
      </c>
      <c r="AD32" s="37" t="s">
        <v>223</v>
      </c>
    </row>
    <row r="33" spans="1:30" x14ac:dyDescent="0.25">
      <c r="A33" s="36">
        <v>2825</v>
      </c>
      <c r="B33" s="14" t="s">
        <v>5675</v>
      </c>
      <c r="C33" s="14" t="s">
        <v>5676</v>
      </c>
      <c r="D33" s="17">
        <v>44135</v>
      </c>
      <c r="E33" s="14" t="s">
        <v>30</v>
      </c>
      <c r="F33" s="14">
        <v>62</v>
      </c>
      <c r="G33" s="14">
        <v>19</v>
      </c>
      <c r="H33" s="14">
        <v>13</v>
      </c>
      <c r="I33" s="14">
        <v>7</v>
      </c>
      <c r="J33" s="14" t="s">
        <v>204</v>
      </c>
      <c r="K33" s="14" cm="1">
        <f t="array" ref="K33">INT(SUMPRODUCT(--ISNUMBER(SEARCH(economy,C33)))&gt;0)</f>
        <v>0</v>
      </c>
      <c r="L33" s="14" cm="1">
        <f t="array" ref="L33">INT(SUMPRODUCT(--ISNUMBER(SEARCH(healthcare,C33)))&gt;0)</f>
        <v>0</v>
      </c>
      <c r="M33" s="14" cm="1">
        <f t="array" ref="M33">INT(SUMPRODUCT(--ISNUMBER(SEARCH(supreme,C33)))&gt;0)</f>
        <v>0</v>
      </c>
      <c r="N33" s="14" cm="1">
        <f t="array" ref="N33">INT(SUMPRODUCT(--ISNUMBER(SEARCH(covid,C33)))&gt;0)</f>
        <v>0</v>
      </c>
      <c r="O33" s="14" cm="1">
        <f t="array" ref="O33">INT(SUMPRODUCT(--ISNUMBER(SEARCH(violent,C33)))&gt;0)</f>
        <v>0</v>
      </c>
      <c r="P33" s="14" cm="1">
        <f t="array" ref="P33">INT(SUMPRODUCT(--ISNUMBER(SEARCH(foreign,C33)))&gt;0)</f>
        <v>0</v>
      </c>
      <c r="Q33" s="14" cm="1">
        <f t="array" ref="Q33">INT(SUMPRODUCT(--ISNUMBER(SEARCH(gun,C33)))&gt;0)</f>
        <v>0</v>
      </c>
      <c r="R33" s="14" cm="1">
        <f t="array" ref="R33">INT(SUMPRODUCT(--ISNUMBER(SEARCH(race,C33)))&gt;0)</f>
        <v>0</v>
      </c>
      <c r="S33" s="14" cm="1">
        <f t="array" ref="S33">INT(SUMPRODUCT(--ISNUMBER(SEARCH(immigration,C33)))&gt;0)</f>
        <v>0</v>
      </c>
      <c r="T33" s="14" cm="1">
        <f t="array" ref="T33">INT(SUMPRODUCT(--ISNUMBER(SEARCH(econineq,C34)))&gt;0)</f>
        <v>0</v>
      </c>
      <c r="U33" s="14" cm="1">
        <f t="array" ref="U33">INT(SUMPRODUCT(--ISNUMBER(SEARCH(climate,C33)))&gt;0)</f>
        <v>1</v>
      </c>
      <c r="V33" s="14" cm="1">
        <f t="array" ref="V33">INT(SUMPRODUCT(--ISNUMBER(SEARCH(abortion,C33)))&gt;0)</f>
        <v>0</v>
      </c>
      <c r="W33" s="14" cm="1">
        <f t="array" ref="W33">INT(SUMPRODUCT(--ISNUMBER(SEARCH(trump,C33)))&gt;0)</f>
        <v>0</v>
      </c>
      <c r="X33" s="14" cm="1">
        <f t="array" ref="X33">INT(SUMPRODUCT(--ISNUMBER(SEARCH(voting,C33)))&gt;0)</f>
        <v>1</v>
      </c>
      <c r="Y33" s="14" cm="1">
        <f t="array" ref="Y33">INT(SUMPRODUCT(--ISNUMBER(SEARCH(democrattrigger,C33)))&gt;0)</f>
        <v>0</v>
      </c>
      <c r="Z33" s="14" cm="1">
        <f t="array" ref="Z33">INT(SUMPRODUCT(--ISNUMBER(SEARCH(bipartisan,C33)))&gt;0)</f>
        <v>0</v>
      </c>
      <c r="AA33" s="14">
        <f t="shared" si="0"/>
        <v>0</v>
      </c>
      <c r="AB33" s="14"/>
      <c r="AC33" s="30">
        <v>1</v>
      </c>
      <c r="AD33" s="37">
        <v>0</v>
      </c>
    </row>
    <row r="34" spans="1:30" x14ac:dyDescent="0.25">
      <c r="A34" s="36">
        <v>2826</v>
      </c>
      <c r="B34" s="14" t="s">
        <v>5677</v>
      </c>
      <c r="C34" s="14" t="s">
        <v>5678</v>
      </c>
      <c r="D34" s="17">
        <v>44135</v>
      </c>
      <c r="E34" s="14" t="s">
        <v>30</v>
      </c>
      <c r="F34" s="14">
        <v>31</v>
      </c>
      <c r="G34" s="14">
        <v>13</v>
      </c>
      <c r="H34" s="14">
        <v>13</v>
      </c>
      <c r="I34" s="14">
        <v>7</v>
      </c>
      <c r="J34" s="14" t="s">
        <v>204</v>
      </c>
      <c r="K34" s="14" cm="1">
        <f t="array" ref="K34">INT(SUMPRODUCT(--ISNUMBER(SEARCH(economy,C34)))&gt;0)</f>
        <v>0</v>
      </c>
      <c r="L34" s="14" cm="1">
        <f t="array" ref="L34">INT(SUMPRODUCT(--ISNUMBER(SEARCH(healthcare,C34)))&gt;0)</f>
        <v>0</v>
      </c>
      <c r="M34" s="14" cm="1">
        <f t="array" ref="M34">INT(SUMPRODUCT(--ISNUMBER(SEARCH(supreme,C34)))&gt;0)</f>
        <v>0</v>
      </c>
      <c r="N34" s="14" cm="1">
        <f t="array" ref="N34">INT(SUMPRODUCT(--ISNUMBER(SEARCH(covid,C34)))&gt;0)</f>
        <v>0</v>
      </c>
      <c r="O34" s="14" cm="1">
        <f t="array" ref="O34">INT(SUMPRODUCT(--ISNUMBER(SEARCH(violent,C34)))&gt;0)</f>
        <v>0</v>
      </c>
      <c r="P34" s="14" cm="1">
        <f t="array" ref="P34">INT(SUMPRODUCT(--ISNUMBER(SEARCH(foreign,C34)))&gt;0)</f>
        <v>0</v>
      </c>
      <c r="Q34" s="14" cm="1">
        <f t="array" ref="Q34">INT(SUMPRODUCT(--ISNUMBER(SEARCH(gun,C34)))&gt;0)</f>
        <v>0</v>
      </c>
      <c r="R34" s="14" cm="1">
        <f t="array" ref="R34">INT(SUMPRODUCT(--ISNUMBER(SEARCH(race,C34)))&gt;0)</f>
        <v>0</v>
      </c>
      <c r="S34" s="14" cm="1">
        <f t="array" ref="S34">INT(SUMPRODUCT(--ISNUMBER(SEARCH(immigration,C34)))&gt;0)</f>
        <v>0</v>
      </c>
      <c r="T34" s="14" cm="1">
        <f t="array" ref="T34">INT(SUMPRODUCT(--ISNUMBER(SEARCH(econineq,C35)))&gt;0)</f>
        <v>0</v>
      </c>
      <c r="U34" s="14" cm="1">
        <f t="array" ref="U34">INT(SUMPRODUCT(--ISNUMBER(SEARCH(climate,C34)))&gt;0)</f>
        <v>0</v>
      </c>
      <c r="V34" s="14" cm="1">
        <f t="array" ref="V34">INT(SUMPRODUCT(--ISNUMBER(SEARCH(abortion,C34)))&gt;0)</f>
        <v>0</v>
      </c>
      <c r="W34" s="14" cm="1">
        <f t="array" ref="W34">INT(SUMPRODUCT(--ISNUMBER(SEARCH(trump,C34)))&gt;0)</f>
        <v>0</v>
      </c>
      <c r="X34" s="14" cm="1">
        <f t="array" ref="X34">INT(SUMPRODUCT(--ISNUMBER(SEARCH(voting,C34)))&gt;0)</f>
        <v>1</v>
      </c>
      <c r="Y34" s="14" cm="1">
        <f t="array" ref="Y34">INT(SUMPRODUCT(--ISNUMBER(SEARCH(democrattrigger,C34)))&gt;0)</f>
        <v>0</v>
      </c>
      <c r="Z34" s="14" cm="1">
        <f t="array" ref="Z34">INT(SUMPRODUCT(--ISNUMBER(SEARCH(bipartisan,C34)))&gt;0)</f>
        <v>0</v>
      </c>
      <c r="AA34" s="14">
        <f t="shared" si="0"/>
        <v>0</v>
      </c>
      <c r="AB34" s="14"/>
      <c r="AC34" s="30">
        <v>1</v>
      </c>
      <c r="AD34" s="37">
        <v>0</v>
      </c>
    </row>
    <row r="35" spans="1:30" x14ac:dyDescent="0.25">
      <c r="A35" s="36">
        <v>2827</v>
      </c>
      <c r="B35" s="14" t="s">
        <v>5679</v>
      </c>
      <c r="C35" s="14" t="s">
        <v>5680</v>
      </c>
      <c r="D35" s="17">
        <v>44135</v>
      </c>
      <c r="E35" s="14" t="s">
        <v>30</v>
      </c>
      <c r="F35" s="14">
        <v>28</v>
      </c>
      <c r="G35" s="14">
        <v>8</v>
      </c>
      <c r="H35" s="14">
        <v>13</v>
      </c>
      <c r="I35" s="14">
        <v>7</v>
      </c>
      <c r="J35" s="14" t="s">
        <v>204</v>
      </c>
      <c r="K35" s="14" cm="1">
        <f t="array" ref="K35">INT(SUMPRODUCT(--ISNUMBER(SEARCH(economy,C35)))&gt;0)</f>
        <v>0</v>
      </c>
      <c r="L35" s="14" cm="1">
        <f t="array" ref="L35">INT(SUMPRODUCT(--ISNUMBER(SEARCH(healthcare,C35)))&gt;0)</f>
        <v>0</v>
      </c>
      <c r="M35" s="14" cm="1">
        <f t="array" ref="M35">INT(SUMPRODUCT(--ISNUMBER(SEARCH(supreme,C35)))&gt;0)</f>
        <v>0</v>
      </c>
      <c r="N35" s="14" cm="1">
        <f t="array" ref="N35">INT(SUMPRODUCT(--ISNUMBER(SEARCH(covid,C35)))&gt;0)</f>
        <v>0</v>
      </c>
      <c r="O35" s="14" cm="1">
        <f t="array" ref="O35">INT(SUMPRODUCT(--ISNUMBER(SEARCH(violent,C35)))&gt;0)</f>
        <v>1</v>
      </c>
      <c r="P35" s="14" cm="1">
        <f t="array" ref="P35">INT(SUMPRODUCT(--ISNUMBER(SEARCH(foreign,C35)))&gt;0)</f>
        <v>0</v>
      </c>
      <c r="Q35" s="14" cm="1">
        <f t="array" ref="Q35">INT(SUMPRODUCT(--ISNUMBER(SEARCH(gun,C35)))&gt;0)</f>
        <v>0</v>
      </c>
      <c r="R35" s="14" cm="1">
        <f t="array" ref="R35">INT(SUMPRODUCT(--ISNUMBER(SEARCH(race,C35)))&gt;0)</f>
        <v>0</v>
      </c>
      <c r="S35" s="14" cm="1">
        <f t="array" ref="S35">INT(SUMPRODUCT(--ISNUMBER(SEARCH(immigration,C35)))&gt;0)</f>
        <v>0</v>
      </c>
      <c r="T35" s="14" cm="1">
        <f t="array" ref="T35">INT(SUMPRODUCT(--ISNUMBER(SEARCH(econineq,C36)))&gt;0)</f>
        <v>0</v>
      </c>
      <c r="U35" s="14" cm="1">
        <f t="array" ref="U35">INT(SUMPRODUCT(--ISNUMBER(SEARCH(climate,C35)))&gt;0)</f>
        <v>0</v>
      </c>
      <c r="V35" s="14" cm="1">
        <f t="array" ref="V35">INT(SUMPRODUCT(--ISNUMBER(SEARCH(abortion,C35)))&gt;0)</f>
        <v>0</v>
      </c>
      <c r="W35" s="14" cm="1">
        <f t="array" ref="W35">INT(SUMPRODUCT(--ISNUMBER(SEARCH(trump,C35)))&gt;0)</f>
        <v>0</v>
      </c>
      <c r="X35" s="14" cm="1">
        <f t="array" ref="X35">INT(SUMPRODUCT(--ISNUMBER(SEARCH(voting,C35)))&gt;0)</f>
        <v>0</v>
      </c>
      <c r="Y35" s="14" cm="1">
        <f t="array" ref="Y35">INT(SUMPRODUCT(--ISNUMBER(SEARCH(democrattrigger,C35)))&gt;0)</f>
        <v>0</v>
      </c>
      <c r="Z35" s="14" cm="1">
        <f t="array" ref="Z35">INT(SUMPRODUCT(--ISNUMBER(SEARCH(bipartisan,C35)))&gt;0)</f>
        <v>0</v>
      </c>
      <c r="AA35" s="14">
        <f t="shared" si="0"/>
        <v>0</v>
      </c>
      <c r="AB35" s="14"/>
      <c r="AC35" s="30">
        <v>0</v>
      </c>
      <c r="AD35" s="37">
        <v>1</v>
      </c>
    </row>
    <row r="36" spans="1:30" x14ac:dyDescent="0.25">
      <c r="A36" s="36">
        <v>2828</v>
      </c>
      <c r="B36" s="14" t="s">
        <v>5681</v>
      </c>
      <c r="C36" s="14" t="s">
        <v>5682</v>
      </c>
      <c r="D36" s="17">
        <v>44135</v>
      </c>
      <c r="E36" s="14" t="s">
        <v>30</v>
      </c>
      <c r="F36" s="14">
        <v>83</v>
      </c>
      <c r="G36" s="14">
        <v>19</v>
      </c>
      <c r="H36" s="14">
        <v>13</v>
      </c>
      <c r="I36" s="14">
        <v>7</v>
      </c>
      <c r="J36" s="14" t="s">
        <v>204</v>
      </c>
      <c r="K36" s="14" cm="1">
        <f t="array" ref="K36">INT(SUMPRODUCT(--ISNUMBER(SEARCH(economy,C36)))&gt;0)</f>
        <v>0</v>
      </c>
      <c r="L36" s="14" cm="1">
        <f t="array" ref="L36">INT(SUMPRODUCT(--ISNUMBER(SEARCH(healthcare,C36)))&gt;0)</f>
        <v>0</v>
      </c>
      <c r="M36" s="14" cm="1">
        <f t="array" ref="M36">INT(SUMPRODUCT(--ISNUMBER(SEARCH(supreme,C36)))&gt;0)</f>
        <v>0</v>
      </c>
      <c r="N36" s="14" cm="1">
        <f t="array" ref="N36">INT(SUMPRODUCT(--ISNUMBER(SEARCH(covid,C36)))&gt;0)</f>
        <v>0</v>
      </c>
      <c r="O36" s="14" cm="1">
        <f t="array" ref="O36">INT(SUMPRODUCT(--ISNUMBER(SEARCH(violent,C36)))&gt;0)</f>
        <v>0</v>
      </c>
      <c r="P36" s="14" cm="1">
        <f t="array" ref="P36">INT(SUMPRODUCT(--ISNUMBER(SEARCH(foreign,C36)))&gt;0)</f>
        <v>0</v>
      </c>
      <c r="Q36" s="14" cm="1">
        <f t="array" ref="Q36">INT(SUMPRODUCT(--ISNUMBER(SEARCH(gun,C36)))&gt;0)</f>
        <v>0</v>
      </c>
      <c r="R36" s="14" cm="1">
        <f t="array" ref="R36">INT(SUMPRODUCT(--ISNUMBER(SEARCH(race,C36)))&gt;0)</f>
        <v>0</v>
      </c>
      <c r="S36" s="14" cm="1">
        <f t="array" ref="S36">INT(SUMPRODUCT(--ISNUMBER(SEARCH(immigration,C36)))&gt;0)</f>
        <v>0</v>
      </c>
      <c r="T36" s="14" cm="1">
        <f t="array" ref="T36">INT(SUMPRODUCT(--ISNUMBER(SEARCH(econineq,C37)))&gt;0)</f>
        <v>0</v>
      </c>
      <c r="U36" s="14" cm="1">
        <f t="array" ref="U36">INT(SUMPRODUCT(--ISNUMBER(SEARCH(climate,C36)))&gt;0)</f>
        <v>0</v>
      </c>
      <c r="V36" s="14" cm="1">
        <f t="array" ref="V36">INT(SUMPRODUCT(--ISNUMBER(SEARCH(abortion,C36)))&gt;0)</f>
        <v>0</v>
      </c>
      <c r="W36" s="14" cm="1">
        <f t="array" ref="W36">INT(SUMPRODUCT(--ISNUMBER(SEARCH(trump,C36)))&gt;0)</f>
        <v>0</v>
      </c>
      <c r="X36" s="14" cm="1">
        <f t="array" ref="X36">INT(SUMPRODUCT(--ISNUMBER(SEARCH(voting,C36)))&gt;0)</f>
        <v>0</v>
      </c>
      <c r="Y36" s="14" cm="1">
        <f t="array" ref="Y36">INT(SUMPRODUCT(--ISNUMBER(SEARCH(democrattrigger,C36)))&gt;0)</f>
        <v>0</v>
      </c>
      <c r="Z36" s="14" cm="1">
        <f t="array" ref="Z36">INT(SUMPRODUCT(--ISNUMBER(SEARCH(bipartisan,C36)))&gt;0)</f>
        <v>0</v>
      </c>
      <c r="AA36" s="14">
        <f t="shared" si="0"/>
        <v>1</v>
      </c>
      <c r="AB36" s="14"/>
      <c r="AC36" s="30">
        <v>1</v>
      </c>
      <c r="AD36" s="37">
        <v>0</v>
      </c>
    </row>
    <row r="37" spans="1:30" x14ac:dyDescent="0.25">
      <c r="A37" s="36">
        <v>2829</v>
      </c>
      <c r="B37" s="14" t="s">
        <v>5683</v>
      </c>
      <c r="C37" s="14" t="s">
        <v>5684</v>
      </c>
      <c r="D37" s="17">
        <v>44135</v>
      </c>
      <c r="E37" s="14" t="s">
        <v>30</v>
      </c>
      <c r="F37" s="14">
        <v>34</v>
      </c>
      <c r="G37" s="14">
        <v>11</v>
      </c>
      <c r="H37" s="14">
        <v>13</v>
      </c>
      <c r="I37" s="14">
        <v>7</v>
      </c>
      <c r="J37" s="14" t="s">
        <v>204</v>
      </c>
      <c r="K37" s="14" cm="1">
        <f t="array" ref="K37">INT(SUMPRODUCT(--ISNUMBER(SEARCH(economy,C37)))&gt;0)</f>
        <v>1</v>
      </c>
      <c r="L37" s="14" cm="1">
        <f t="array" ref="L37">INT(SUMPRODUCT(--ISNUMBER(SEARCH(healthcare,C37)))&gt;0)</f>
        <v>0</v>
      </c>
      <c r="M37" s="14" cm="1">
        <f t="array" ref="M37">INT(SUMPRODUCT(--ISNUMBER(SEARCH(supreme,C37)))&gt;0)</f>
        <v>0</v>
      </c>
      <c r="N37" s="14" cm="1">
        <f t="array" ref="N37">INT(SUMPRODUCT(--ISNUMBER(SEARCH(covid,C37)))&gt;0)</f>
        <v>0</v>
      </c>
      <c r="O37" s="14" cm="1">
        <f t="array" ref="O37">INT(SUMPRODUCT(--ISNUMBER(SEARCH(violent,C37)))&gt;0)</f>
        <v>0</v>
      </c>
      <c r="P37" s="14" cm="1">
        <f t="array" ref="P37">INT(SUMPRODUCT(--ISNUMBER(SEARCH(foreign,C37)))&gt;0)</f>
        <v>0</v>
      </c>
      <c r="Q37" s="14" cm="1">
        <f t="array" ref="Q37">INT(SUMPRODUCT(--ISNUMBER(SEARCH(gun,C37)))&gt;0)</f>
        <v>0</v>
      </c>
      <c r="R37" s="14" cm="1">
        <f t="array" ref="R37">INT(SUMPRODUCT(--ISNUMBER(SEARCH(race,C37)))&gt;0)</f>
        <v>0</v>
      </c>
      <c r="S37" s="14" cm="1">
        <f t="array" ref="S37">INT(SUMPRODUCT(--ISNUMBER(SEARCH(immigration,C37)))&gt;0)</f>
        <v>0</v>
      </c>
      <c r="T37" s="14" cm="1">
        <f t="array" ref="T37">INT(SUMPRODUCT(--ISNUMBER(SEARCH(econineq,C38)))&gt;0)</f>
        <v>0</v>
      </c>
      <c r="U37" s="14" cm="1">
        <f t="array" ref="U37">INT(SUMPRODUCT(--ISNUMBER(SEARCH(climate,C37)))&gt;0)</f>
        <v>0</v>
      </c>
      <c r="V37" s="14" cm="1">
        <f t="array" ref="V37">INT(SUMPRODUCT(--ISNUMBER(SEARCH(abortion,C37)))&gt;0)</f>
        <v>0</v>
      </c>
      <c r="W37" s="14" cm="1">
        <f t="array" ref="W37">INT(SUMPRODUCT(--ISNUMBER(SEARCH(trump,C37)))&gt;0)</f>
        <v>0</v>
      </c>
      <c r="X37" s="14" cm="1">
        <f t="array" ref="X37">INT(SUMPRODUCT(--ISNUMBER(SEARCH(voting,C37)))&gt;0)</f>
        <v>0</v>
      </c>
      <c r="Y37" s="14" cm="1">
        <f t="array" ref="Y37">INT(SUMPRODUCT(--ISNUMBER(SEARCH(democrattrigger,C37)))&gt;0)</f>
        <v>0</v>
      </c>
      <c r="Z37" s="14" cm="1">
        <f t="array" ref="Z37">INT(SUMPRODUCT(--ISNUMBER(SEARCH(bipartisan,C37)))&gt;0)</f>
        <v>0</v>
      </c>
      <c r="AA37" s="14">
        <f t="shared" si="0"/>
        <v>0</v>
      </c>
      <c r="AB37" s="14"/>
      <c r="AC37" s="30">
        <v>1</v>
      </c>
      <c r="AD37" s="37">
        <v>0</v>
      </c>
    </row>
    <row r="38" spans="1:30" x14ac:dyDescent="0.25">
      <c r="A38" s="36">
        <v>2830</v>
      </c>
      <c r="B38" s="14" t="s">
        <v>5685</v>
      </c>
      <c r="C38" s="14" t="s">
        <v>5686</v>
      </c>
      <c r="D38" s="17">
        <v>44134</v>
      </c>
      <c r="E38" s="14" t="s">
        <v>30</v>
      </c>
      <c r="F38" s="14">
        <v>16</v>
      </c>
      <c r="G38" s="14">
        <v>7</v>
      </c>
      <c r="H38" s="14">
        <v>13</v>
      </c>
      <c r="I38" s="14">
        <v>7</v>
      </c>
      <c r="J38" s="14" t="s">
        <v>204</v>
      </c>
      <c r="K38" s="14" cm="1">
        <f t="array" ref="K38">INT(SUMPRODUCT(--ISNUMBER(SEARCH(economy,C38)))&gt;0)</f>
        <v>0</v>
      </c>
      <c r="L38" s="14" cm="1">
        <f t="array" ref="L38">INT(SUMPRODUCT(--ISNUMBER(SEARCH(healthcare,C38)))&gt;0)</f>
        <v>0</v>
      </c>
      <c r="M38" s="14" cm="1">
        <f t="array" ref="M38">INT(SUMPRODUCT(--ISNUMBER(SEARCH(supreme,C38)))&gt;0)</f>
        <v>0</v>
      </c>
      <c r="N38" s="14" cm="1">
        <f t="array" ref="N38">INT(SUMPRODUCT(--ISNUMBER(SEARCH(covid,C38)))&gt;0)</f>
        <v>0</v>
      </c>
      <c r="O38" s="14" cm="1">
        <f t="array" ref="O38">INT(SUMPRODUCT(--ISNUMBER(SEARCH(violent,C38)))&gt;0)</f>
        <v>0</v>
      </c>
      <c r="P38" s="14" cm="1">
        <f t="array" ref="P38">INT(SUMPRODUCT(--ISNUMBER(SEARCH(foreign,C38)))&gt;0)</f>
        <v>0</v>
      </c>
      <c r="Q38" s="14" cm="1">
        <f t="array" ref="Q38">INT(SUMPRODUCT(--ISNUMBER(SEARCH(gun,C38)))&gt;0)</f>
        <v>0</v>
      </c>
      <c r="R38" s="14" cm="1">
        <f t="array" ref="R38">INT(SUMPRODUCT(--ISNUMBER(SEARCH(race,C38)))&gt;0)</f>
        <v>0</v>
      </c>
      <c r="S38" s="14" cm="1">
        <f t="array" ref="S38">INT(SUMPRODUCT(--ISNUMBER(SEARCH(immigration,C38)))&gt;0)</f>
        <v>0</v>
      </c>
      <c r="T38" s="14" cm="1">
        <f t="array" ref="T38">INT(SUMPRODUCT(--ISNUMBER(SEARCH(econineq,C39)))&gt;0)</f>
        <v>0</v>
      </c>
      <c r="U38" s="14" cm="1">
        <f t="array" ref="U38">INT(SUMPRODUCT(--ISNUMBER(SEARCH(climate,C38)))&gt;0)</f>
        <v>0</v>
      </c>
      <c r="V38" s="14" cm="1">
        <f t="array" ref="V38">INT(SUMPRODUCT(--ISNUMBER(SEARCH(abortion,C38)))&gt;0)</f>
        <v>0</v>
      </c>
      <c r="W38" s="14" cm="1">
        <f t="array" ref="W38">INT(SUMPRODUCT(--ISNUMBER(SEARCH(trump,C38)))&gt;0)</f>
        <v>0</v>
      </c>
      <c r="X38" s="14" cm="1">
        <f t="array" ref="X38">INT(SUMPRODUCT(--ISNUMBER(SEARCH(voting,C38)))&gt;0)</f>
        <v>1</v>
      </c>
      <c r="Y38" s="14" cm="1">
        <f t="array" ref="Y38">INT(SUMPRODUCT(--ISNUMBER(SEARCH(democrattrigger,C38)))&gt;0)</f>
        <v>0</v>
      </c>
      <c r="Z38" s="14" cm="1">
        <f t="array" ref="Z38">INT(SUMPRODUCT(--ISNUMBER(SEARCH(bipartisan,C38)))&gt;0)</f>
        <v>0</v>
      </c>
      <c r="AA38" s="14">
        <f t="shared" si="0"/>
        <v>0</v>
      </c>
      <c r="AB38" s="14"/>
      <c r="AC38" s="30" t="s">
        <v>223</v>
      </c>
      <c r="AD38" s="37" t="s">
        <v>223</v>
      </c>
    </row>
    <row r="39" spans="1:30" x14ac:dyDescent="0.25">
      <c r="A39" s="36">
        <v>2831</v>
      </c>
      <c r="B39" s="14" t="s">
        <v>5687</v>
      </c>
      <c r="C39" s="14" t="s">
        <v>5688</v>
      </c>
      <c r="D39" s="17">
        <v>44134</v>
      </c>
      <c r="E39" s="14" t="s">
        <v>30</v>
      </c>
      <c r="F39" s="14">
        <v>9</v>
      </c>
      <c r="G39" s="14">
        <v>4</v>
      </c>
      <c r="H39" s="14">
        <v>13</v>
      </c>
      <c r="I39" s="14">
        <v>7</v>
      </c>
      <c r="J39" s="14" t="s">
        <v>204</v>
      </c>
      <c r="K39" s="14" cm="1">
        <f t="array" ref="K39">INT(SUMPRODUCT(--ISNUMBER(SEARCH(economy,C39)))&gt;0)</f>
        <v>0</v>
      </c>
      <c r="L39" s="14" cm="1">
        <f t="array" ref="L39">INT(SUMPRODUCT(--ISNUMBER(SEARCH(healthcare,C39)))&gt;0)</f>
        <v>0</v>
      </c>
      <c r="M39" s="14" cm="1">
        <f t="array" ref="M39">INT(SUMPRODUCT(--ISNUMBER(SEARCH(supreme,C39)))&gt;0)</f>
        <v>0</v>
      </c>
      <c r="N39" s="14" cm="1">
        <f t="array" ref="N39">INT(SUMPRODUCT(--ISNUMBER(SEARCH(covid,C39)))&gt;0)</f>
        <v>0</v>
      </c>
      <c r="O39" s="14" cm="1">
        <f t="array" ref="O39">INT(SUMPRODUCT(--ISNUMBER(SEARCH(violent,C39)))&gt;0)</f>
        <v>0</v>
      </c>
      <c r="P39" s="14" cm="1">
        <f t="array" ref="P39">INT(SUMPRODUCT(--ISNUMBER(SEARCH(foreign,C39)))&gt;0)</f>
        <v>0</v>
      </c>
      <c r="Q39" s="14" cm="1">
        <f t="array" ref="Q39">INT(SUMPRODUCT(--ISNUMBER(SEARCH(gun,C39)))&gt;0)</f>
        <v>0</v>
      </c>
      <c r="R39" s="14" cm="1">
        <f t="array" ref="R39">INT(SUMPRODUCT(--ISNUMBER(SEARCH(race,C39)))&gt;0)</f>
        <v>0</v>
      </c>
      <c r="S39" s="14" cm="1">
        <f t="array" ref="S39">INT(SUMPRODUCT(--ISNUMBER(SEARCH(immigration,C39)))&gt;0)</f>
        <v>0</v>
      </c>
      <c r="T39" s="14" cm="1">
        <f t="array" ref="T39">INT(SUMPRODUCT(--ISNUMBER(SEARCH(econineq,C40)))&gt;0)</f>
        <v>0</v>
      </c>
      <c r="U39" s="14" cm="1">
        <f t="array" ref="U39">INT(SUMPRODUCT(--ISNUMBER(SEARCH(climate,C39)))&gt;0)</f>
        <v>0</v>
      </c>
      <c r="V39" s="14" cm="1">
        <f t="array" ref="V39">INT(SUMPRODUCT(--ISNUMBER(SEARCH(abortion,C39)))&gt;0)</f>
        <v>0</v>
      </c>
      <c r="W39" s="14" cm="1">
        <f t="array" ref="W39">INT(SUMPRODUCT(--ISNUMBER(SEARCH(trump,C39)))&gt;0)</f>
        <v>0</v>
      </c>
      <c r="X39" s="14" cm="1">
        <f t="array" ref="X39">INT(SUMPRODUCT(--ISNUMBER(SEARCH(voting,C39)))&gt;0)</f>
        <v>0</v>
      </c>
      <c r="Y39" s="14" cm="1">
        <f t="array" ref="Y39">INT(SUMPRODUCT(--ISNUMBER(SEARCH(democrattrigger,C39)))&gt;0)</f>
        <v>0</v>
      </c>
      <c r="Z39" s="14" cm="1">
        <f t="array" ref="Z39">INT(SUMPRODUCT(--ISNUMBER(SEARCH(bipartisan,C39)))&gt;0)</f>
        <v>0</v>
      </c>
      <c r="AA39" s="14">
        <f t="shared" si="0"/>
        <v>1</v>
      </c>
      <c r="AB39" s="14"/>
      <c r="AC39" s="30" t="s">
        <v>223</v>
      </c>
      <c r="AD39" s="37" t="s">
        <v>223</v>
      </c>
    </row>
    <row r="40" spans="1:30" x14ac:dyDescent="0.25">
      <c r="A40" s="36">
        <v>2832</v>
      </c>
      <c r="B40" s="14" t="s">
        <v>5689</v>
      </c>
      <c r="C40" s="14" t="s">
        <v>5690</v>
      </c>
      <c r="D40" s="17">
        <v>44134</v>
      </c>
      <c r="E40" s="14" t="s">
        <v>30</v>
      </c>
      <c r="F40" s="14">
        <v>48</v>
      </c>
      <c r="G40" s="14">
        <v>13</v>
      </c>
      <c r="H40" s="14">
        <v>13</v>
      </c>
      <c r="I40" s="14">
        <v>7</v>
      </c>
      <c r="J40" s="14" t="s">
        <v>204</v>
      </c>
      <c r="K40" s="14" cm="1">
        <f t="array" ref="K40">INT(SUMPRODUCT(--ISNUMBER(SEARCH(economy,C40)))&gt;0)</f>
        <v>0</v>
      </c>
      <c r="L40" s="14" cm="1">
        <f t="array" ref="L40">INT(SUMPRODUCT(--ISNUMBER(SEARCH(healthcare,C40)))&gt;0)</f>
        <v>0</v>
      </c>
      <c r="M40" s="14" cm="1">
        <f t="array" ref="M40">INT(SUMPRODUCT(--ISNUMBER(SEARCH(supreme,C40)))&gt;0)</f>
        <v>0</v>
      </c>
      <c r="N40" s="14" cm="1">
        <f t="array" ref="N40">INT(SUMPRODUCT(--ISNUMBER(SEARCH(covid,C40)))&gt;0)</f>
        <v>0</v>
      </c>
      <c r="O40" s="14" cm="1">
        <f t="array" ref="O40">INT(SUMPRODUCT(--ISNUMBER(SEARCH(violent,C40)))&gt;0)</f>
        <v>0</v>
      </c>
      <c r="P40" s="14" cm="1">
        <f t="array" ref="P40">INT(SUMPRODUCT(--ISNUMBER(SEARCH(foreign,C40)))&gt;0)</f>
        <v>0</v>
      </c>
      <c r="Q40" s="14" cm="1">
        <f t="array" ref="Q40">INT(SUMPRODUCT(--ISNUMBER(SEARCH(gun,C40)))&gt;0)</f>
        <v>0</v>
      </c>
      <c r="R40" s="14" cm="1">
        <f t="array" ref="R40">INT(SUMPRODUCT(--ISNUMBER(SEARCH(race,C40)))&gt;0)</f>
        <v>0</v>
      </c>
      <c r="S40" s="14" cm="1">
        <f t="array" ref="S40">INT(SUMPRODUCT(--ISNUMBER(SEARCH(immigration,C40)))&gt;0)</f>
        <v>0</v>
      </c>
      <c r="T40" s="14" cm="1">
        <f t="array" ref="T40">INT(SUMPRODUCT(--ISNUMBER(SEARCH(econineq,C41)))&gt;0)</f>
        <v>0</v>
      </c>
      <c r="U40" s="14" cm="1">
        <f t="array" ref="U40">INT(SUMPRODUCT(--ISNUMBER(SEARCH(climate,C40)))&gt;0)</f>
        <v>0</v>
      </c>
      <c r="V40" s="14" cm="1">
        <f t="array" ref="V40">INT(SUMPRODUCT(--ISNUMBER(SEARCH(abortion,C40)))&gt;0)</f>
        <v>0</v>
      </c>
      <c r="W40" s="14" cm="1">
        <f t="array" ref="W40">INT(SUMPRODUCT(--ISNUMBER(SEARCH(trump,C40)))&gt;0)</f>
        <v>0</v>
      </c>
      <c r="X40" s="14" cm="1">
        <f t="array" ref="X40">INT(SUMPRODUCT(--ISNUMBER(SEARCH(voting,C40)))&gt;0)</f>
        <v>1</v>
      </c>
      <c r="Y40" s="14" cm="1">
        <f t="array" ref="Y40">INT(SUMPRODUCT(--ISNUMBER(SEARCH(democrattrigger,C40)))&gt;0)</f>
        <v>0</v>
      </c>
      <c r="Z40" s="14" cm="1">
        <f t="array" ref="Z40">INT(SUMPRODUCT(--ISNUMBER(SEARCH(bipartisan,C40)))&gt;0)</f>
        <v>0</v>
      </c>
      <c r="AA40" s="14">
        <f t="shared" si="0"/>
        <v>0</v>
      </c>
      <c r="AB40" s="14"/>
      <c r="AC40" s="30">
        <v>1</v>
      </c>
      <c r="AD40" s="37">
        <v>0</v>
      </c>
    </row>
    <row r="41" spans="1:30" x14ac:dyDescent="0.25">
      <c r="A41" s="36">
        <v>2833</v>
      </c>
      <c r="B41" s="14" t="s">
        <v>5691</v>
      </c>
      <c r="C41" s="14" t="s">
        <v>5692</v>
      </c>
      <c r="D41" s="17">
        <v>44134</v>
      </c>
      <c r="E41" s="14" t="s">
        <v>30</v>
      </c>
      <c r="F41" s="14">
        <v>13</v>
      </c>
      <c r="G41" s="14">
        <v>3</v>
      </c>
      <c r="H41" s="14">
        <v>13</v>
      </c>
      <c r="I41" s="14">
        <v>7</v>
      </c>
      <c r="J41" s="14" t="s">
        <v>204</v>
      </c>
      <c r="K41" s="14" cm="1">
        <f t="array" ref="K41">INT(SUMPRODUCT(--ISNUMBER(SEARCH(economy,C41)))&gt;0)</f>
        <v>1</v>
      </c>
      <c r="L41" s="14" cm="1">
        <f t="array" ref="L41">INT(SUMPRODUCT(--ISNUMBER(SEARCH(healthcare,C41)))&gt;0)</f>
        <v>0</v>
      </c>
      <c r="M41" s="14" cm="1">
        <f t="array" ref="M41">INT(SUMPRODUCT(--ISNUMBER(SEARCH(supreme,C41)))&gt;0)</f>
        <v>0</v>
      </c>
      <c r="N41" s="14" cm="1">
        <f t="array" ref="N41">INT(SUMPRODUCT(--ISNUMBER(SEARCH(covid,C41)))&gt;0)</f>
        <v>0</v>
      </c>
      <c r="O41" s="14" cm="1">
        <f t="array" ref="O41">INT(SUMPRODUCT(--ISNUMBER(SEARCH(violent,C41)))&gt;0)</f>
        <v>0</v>
      </c>
      <c r="P41" s="14" cm="1">
        <f t="array" ref="P41">INT(SUMPRODUCT(--ISNUMBER(SEARCH(foreign,C41)))&gt;0)</f>
        <v>0</v>
      </c>
      <c r="Q41" s="14" cm="1">
        <f t="array" ref="Q41">INT(SUMPRODUCT(--ISNUMBER(SEARCH(gun,C41)))&gt;0)</f>
        <v>1</v>
      </c>
      <c r="R41" s="14" cm="1">
        <f t="array" ref="R41">INT(SUMPRODUCT(--ISNUMBER(SEARCH(race,C41)))&gt;0)</f>
        <v>0</v>
      </c>
      <c r="S41" s="14" cm="1">
        <f t="array" ref="S41">INT(SUMPRODUCT(--ISNUMBER(SEARCH(immigration,C41)))&gt;0)</f>
        <v>0</v>
      </c>
      <c r="T41" s="14" cm="1">
        <f t="array" ref="T41">INT(SUMPRODUCT(--ISNUMBER(SEARCH(econineq,C42)))&gt;0)</f>
        <v>0</v>
      </c>
      <c r="U41" s="14" cm="1">
        <f t="array" ref="U41">INT(SUMPRODUCT(--ISNUMBER(SEARCH(climate,C41)))&gt;0)</f>
        <v>0</v>
      </c>
      <c r="V41" s="14" cm="1">
        <f t="array" ref="V41">INT(SUMPRODUCT(--ISNUMBER(SEARCH(abortion,C41)))&gt;0)</f>
        <v>0</v>
      </c>
      <c r="W41" s="14" cm="1">
        <f t="array" ref="W41">INT(SUMPRODUCT(--ISNUMBER(SEARCH(trump,C41)))&gt;0)</f>
        <v>0</v>
      </c>
      <c r="X41" s="14" cm="1">
        <f t="array" ref="X41">INT(SUMPRODUCT(--ISNUMBER(SEARCH(voting,C41)))&gt;0)</f>
        <v>0</v>
      </c>
      <c r="Y41" s="14" cm="1">
        <f t="array" ref="Y41">INT(SUMPRODUCT(--ISNUMBER(SEARCH(democrattrigger,C41)))&gt;0)</f>
        <v>0</v>
      </c>
      <c r="Z41" s="14" cm="1">
        <f t="array" ref="Z41">INT(SUMPRODUCT(--ISNUMBER(SEARCH(bipartisan,C41)))&gt;0)</f>
        <v>0</v>
      </c>
      <c r="AA41" s="14">
        <f t="shared" si="0"/>
        <v>0</v>
      </c>
      <c r="AB41" s="14"/>
      <c r="AC41" s="30">
        <v>1</v>
      </c>
      <c r="AD41" s="37">
        <v>0</v>
      </c>
    </row>
    <row r="42" spans="1:30" x14ac:dyDescent="0.25">
      <c r="A42" s="36">
        <v>2834</v>
      </c>
      <c r="B42" s="14" t="s">
        <v>5693</v>
      </c>
      <c r="C42" s="14" t="s">
        <v>5694</v>
      </c>
      <c r="D42" s="17">
        <v>44134</v>
      </c>
      <c r="E42" s="14" t="s">
        <v>30</v>
      </c>
      <c r="F42" s="14">
        <v>30</v>
      </c>
      <c r="G42" s="14">
        <v>12</v>
      </c>
      <c r="H42" s="14">
        <v>13</v>
      </c>
      <c r="I42" s="14">
        <v>7</v>
      </c>
      <c r="J42" s="14" t="s">
        <v>204</v>
      </c>
      <c r="K42" s="14" cm="1">
        <f t="array" ref="K42">INT(SUMPRODUCT(--ISNUMBER(SEARCH(economy,C42)))&gt;0)</f>
        <v>1</v>
      </c>
      <c r="L42" s="14" cm="1">
        <f t="array" ref="L42">INT(SUMPRODUCT(--ISNUMBER(SEARCH(healthcare,C42)))&gt;0)</f>
        <v>0</v>
      </c>
      <c r="M42" s="14" cm="1">
        <f t="array" ref="M42">INT(SUMPRODUCT(--ISNUMBER(SEARCH(supreme,C42)))&gt;0)</f>
        <v>0</v>
      </c>
      <c r="N42" s="14" cm="1">
        <f t="array" ref="N42">INT(SUMPRODUCT(--ISNUMBER(SEARCH(covid,C42)))&gt;0)</f>
        <v>1</v>
      </c>
      <c r="O42" s="14" cm="1">
        <f t="array" ref="O42">INT(SUMPRODUCT(--ISNUMBER(SEARCH(violent,C42)))&gt;0)</f>
        <v>0</v>
      </c>
      <c r="P42" s="14" cm="1">
        <f t="array" ref="P42">INT(SUMPRODUCT(--ISNUMBER(SEARCH(foreign,C42)))&gt;0)</f>
        <v>0</v>
      </c>
      <c r="Q42" s="14" cm="1">
        <f t="array" ref="Q42">INT(SUMPRODUCT(--ISNUMBER(SEARCH(gun,C42)))&gt;0)</f>
        <v>0</v>
      </c>
      <c r="R42" s="14" cm="1">
        <f t="array" ref="R42">INT(SUMPRODUCT(--ISNUMBER(SEARCH(race,C42)))&gt;0)</f>
        <v>0</v>
      </c>
      <c r="S42" s="14" cm="1">
        <f t="array" ref="S42">INT(SUMPRODUCT(--ISNUMBER(SEARCH(immigration,C42)))&gt;0)</f>
        <v>0</v>
      </c>
      <c r="T42" s="14" cm="1">
        <f t="array" ref="T42">INT(SUMPRODUCT(--ISNUMBER(SEARCH(econineq,C43)))&gt;0)</f>
        <v>0</v>
      </c>
      <c r="U42" s="14" cm="1">
        <f t="array" ref="U42">INT(SUMPRODUCT(--ISNUMBER(SEARCH(climate,C42)))&gt;0)</f>
        <v>0</v>
      </c>
      <c r="V42" s="14" cm="1">
        <f t="array" ref="V42">INT(SUMPRODUCT(--ISNUMBER(SEARCH(abortion,C42)))&gt;0)</f>
        <v>0</v>
      </c>
      <c r="W42" s="14" cm="1">
        <f t="array" ref="W42">INT(SUMPRODUCT(--ISNUMBER(SEARCH(trump,C42)))&gt;0)</f>
        <v>0</v>
      </c>
      <c r="X42" s="14" cm="1">
        <f t="array" ref="X42">INT(SUMPRODUCT(--ISNUMBER(SEARCH(voting,C42)))&gt;0)</f>
        <v>0</v>
      </c>
      <c r="Y42" s="14" cm="1">
        <f t="array" ref="Y42">INT(SUMPRODUCT(--ISNUMBER(SEARCH(democrattrigger,C42)))&gt;0)</f>
        <v>0</v>
      </c>
      <c r="Z42" s="14" cm="1">
        <f t="array" ref="Z42">INT(SUMPRODUCT(--ISNUMBER(SEARCH(bipartisan,C42)))&gt;0)</f>
        <v>0</v>
      </c>
      <c r="AA42" s="14">
        <f t="shared" si="0"/>
        <v>0</v>
      </c>
      <c r="AB42" s="14"/>
      <c r="AC42" s="30" t="s">
        <v>223</v>
      </c>
      <c r="AD42" s="37" t="s">
        <v>223</v>
      </c>
    </row>
    <row r="43" spans="1:30" x14ac:dyDescent="0.25">
      <c r="A43" s="36">
        <v>2835</v>
      </c>
      <c r="B43" s="14" t="s">
        <v>5695</v>
      </c>
      <c r="C43" s="14" t="s">
        <v>5696</v>
      </c>
      <c r="D43" s="17">
        <v>44134</v>
      </c>
      <c r="E43" s="14" t="s">
        <v>30</v>
      </c>
      <c r="F43" s="14">
        <v>55</v>
      </c>
      <c r="G43" s="14">
        <v>21</v>
      </c>
      <c r="H43" s="14">
        <v>13</v>
      </c>
      <c r="I43" s="14">
        <v>7</v>
      </c>
      <c r="J43" s="14" t="s">
        <v>204</v>
      </c>
      <c r="K43" s="14" cm="1">
        <f t="array" ref="K43">INT(SUMPRODUCT(--ISNUMBER(SEARCH(economy,C43)))&gt;0)</f>
        <v>0</v>
      </c>
      <c r="L43" s="14" cm="1">
        <f t="array" ref="L43">INT(SUMPRODUCT(--ISNUMBER(SEARCH(healthcare,C43)))&gt;0)</f>
        <v>0</v>
      </c>
      <c r="M43" s="14" cm="1">
        <f t="array" ref="M43">INT(SUMPRODUCT(--ISNUMBER(SEARCH(supreme,C43)))&gt;0)</f>
        <v>0</v>
      </c>
      <c r="N43" s="14" cm="1">
        <f t="array" ref="N43">INT(SUMPRODUCT(--ISNUMBER(SEARCH(covid,C43)))&gt;0)</f>
        <v>0</v>
      </c>
      <c r="O43" s="14" cm="1">
        <f t="array" ref="O43">INT(SUMPRODUCT(--ISNUMBER(SEARCH(violent,C43)))&gt;0)</f>
        <v>1</v>
      </c>
      <c r="P43" s="14" cm="1">
        <f t="array" ref="P43">INT(SUMPRODUCT(--ISNUMBER(SEARCH(foreign,C43)))&gt;0)</f>
        <v>0</v>
      </c>
      <c r="Q43" s="14" cm="1">
        <f t="array" ref="Q43">INT(SUMPRODUCT(--ISNUMBER(SEARCH(gun,C43)))&gt;0)</f>
        <v>0</v>
      </c>
      <c r="R43" s="14" cm="1">
        <f t="array" ref="R43">INT(SUMPRODUCT(--ISNUMBER(SEARCH(race,C43)))&gt;0)</f>
        <v>0</v>
      </c>
      <c r="S43" s="14" cm="1">
        <f t="array" ref="S43">INT(SUMPRODUCT(--ISNUMBER(SEARCH(immigration,C43)))&gt;0)</f>
        <v>0</v>
      </c>
      <c r="T43" s="14" cm="1">
        <f t="array" ref="T43">INT(SUMPRODUCT(--ISNUMBER(SEARCH(econineq,C44)))&gt;0)</f>
        <v>0</v>
      </c>
      <c r="U43" s="14" cm="1">
        <f t="array" ref="U43">INT(SUMPRODUCT(--ISNUMBER(SEARCH(climate,C43)))&gt;0)</f>
        <v>0</v>
      </c>
      <c r="V43" s="14" cm="1">
        <f t="array" ref="V43">INT(SUMPRODUCT(--ISNUMBER(SEARCH(abortion,C43)))&gt;0)</f>
        <v>0</v>
      </c>
      <c r="W43" s="14" cm="1">
        <f t="array" ref="W43">INT(SUMPRODUCT(--ISNUMBER(SEARCH(trump,C43)))&gt;0)</f>
        <v>0</v>
      </c>
      <c r="X43" s="14" cm="1">
        <f t="array" ref="X43">INT(SUMPRODUCT(--ISNUMBER(SEARCH(voting,C43)))&gt;0)</f>
        <v>1</v>
      </c>
      <c r="Y43" s="14" cm="1">
        <f t="array" ref="Y43">INT(SUMPRODUCT(--ISNUMBER(SEARCH(democrattrigger,C43)))&gt;0)</f>
        <v>1</v>
      </c>
      <c r="Z43" s="14" cm="1">
        <f t="array" ref="Z43">INT(SUMPRODUCT(--ISNUMBER(SEARCH(bipartisan,C43)))&gt;0)</f>
        <v>0</v>
      </c>
      <c r="AA43" s="14">
        <f t="shared" si="0"/>
        <v>0</v>
      </c>
      <c r="AB43" s="14"/>
      <c r="AC43" s="30" t="s">
        <v>223</v>
      </c>
      <c r="AD43" s="37" t="s">
        <v>223</v>
      </c>
    </row>
    <row r="44" spans="1:30" x14ac:dyDescent="0.25">
      <c r="A44" s="36">
        <v>2836</v>
      </c>
      <c r="B44" s="14" t="s">
        <v>5697</v>
      </c>
      <c r="C44" s="14" t="s">
        <v>5698</v>
      </c>
      <c r="D44" s="17">
        <v>44133</v>
      </c>
      <c r="E44" s="14" t="s">
        <v>30</v>
      </c>
      <c r="F44" s="14">
        <v>11</v>
      </c>
      <c r="G44" s="14">
        <v>4</v>
      </c>
      <c r="H44" s="14">
        <v>13</v>
      </c>
      <c r="I44" s="14">
        <v>7</v>
      </c>
      <c r="J44" s="14" t="s">
        <v>204</v>
      </c>
      <c r="K44" s="14" cm="1">
        <f t="array" ref="K44">INT(SUMPRODUCT(--ISNUMBER(SEARCH(economy,C44)))&gt;0)</f>
        <v>1</v>
      </c>
      <c r="L44" s="14" cm="1">
        <f t="array" ref="L44">INT(SUMPRODUCT(--ISNUMBER(SEARCH(healthcare,C44)))&gt;0)</f>
        <v>0</v>
      </c>
      <c r="M44" s="14" cm="1">
        <f t="array" ref="M44">INT(SUMPRODUCT(--ISNUMBER(SEARCH(supreme,C44)))&gt;0)</f>
        <v>0</v>
      </c>
      <c r="N44" s="14" cm="1">
        <f t="array" ref="N44">INT(SUMPRODUCT(--ISNUMBER(SEARCH(covid,C44)))&gt;0)</f>
        <v>0</v>
      </c>
      <c r="O44" s="14" cm="1">
        <f t="array" ref="O44">INT(SUMPRODUCT(--ISNUMBER(SEARCH(violent,C44)))&gt;0)</f>
        <v>0</v>
      </c>
      <c r="P44" s="14" cm="1">
        <f t="array" ref="P44">INT(SUMPRODUCT(--ISNUMBER(SEARCH(foreign,C44)))&gt;0)</f>
        <v>0</v>
      </c>
      <c r="Q44" s="14" cm="1">
        <f t="array" ref="Q44">INT(SUMPRODUCT(--ISNUMBER(SEARCH(gun,C44)))&gt;0)</f>
        <v>0</v>
      </c>
      <c r="R44" s="14" cm="1">
        <f t="array" ref="R44">INT(SUMPRODUCT(--ISNUMBER(SEARCH(race,C44)))&gt;0)</f>
        <v>0</v>
      </c>
      <c r="S44" s="14" cm="1">
        <f t="array" ref="S44">INT(SUMPRODUCT(--ISNUMBER(SEARCH(immigration,C44)))&gt;0)</f>
        <v>0</v>
      </c>
      <c r="T44" s="14" cm="1">
        <f t="array" ref="T44">INT(SUMPRODUCT(--ISNUMBER(SEARCH(econineq,C45)))&gt;0)</f>
        <v>0</v>
      </c>
      <c r="U44" s="14" cm="1">
        <f t="array" ref="U44">INT(SUMPRODUCT(--ISNUMBER(SEARCH(climate,C44)))&gt;0)</f>
        <v>0</v>
      </c>
      <c r="V44" s="14" cm="1">
        <f t="array" ref="V44">INT(SUMPRODUCT(--ISNUMBER(SEARCH(abortion,C44)))&gt;0)</f>
        <v>0</v>
      </c>
      <c r="W44" s="14" cm="1">
        <f t="array" ref="W44">INT(SUMPRODUCT(--ISNUMBER(SEARCH(trump,C44)))&gt;0)</f>
        <v>0</v>
      </c>
      <c r="X44" s="14" cm="1">
        <f t="array" ref="X44">INT(SUMPRODUCT(--ISNUMBER(SEARCH(voting,C44)))&gt;0)</f>
        <v>1</v>
      </c>
      <c r="Y44" s="14" cm="1">
        <f t="array" ref="Y44">INT(SUMPRODUCT(--ISNUMBER(SEARCH(democrattrigger,C44)))&gt;0)</f>
        <v>0</v>
      </c>
      <c r="Z44" s="14" cm="1">
        <f t="array" ref="Z44">INT(SUMPRODUCT(--ISNUMBER(SEARCH(bipartisan,C44)))&gt;0)</f>
        <v>0</v>
      </c>
      <c r="AA44" s="14">
        <f t="shared" si="0"/>
        <v>0</v>
      </c>
      <c r="AB44" s="14"/>
      <c r="AC44" s="30" t="s">
        <v>223</v>
      </c>
      <c r="AD44" s="37" t="s">
        <v>223</v>
      </c>
    </row>
    <row r="45" spans="1:30" x14ac:dyDescent="0.25">
      <c r="A45" s="36">
        <v>2837</v>
      </c>
      <c r="B45" s="14" t="s">
        <v>5699</v>
      </c>
      <c r="C45" s="14" t="s">
        <v>5700</v>
      </c>
      <c r="D45" s="17">
        <v>44133</v>
      </c>
      <c r="E45" s="14" t="s">
        <v>30</v>
      </c>
      <c r="F45" s="14">
        <v>14</v>
      </c>
      <c r="G45" s="14">
        <v>6</v>
      </c>
      <c r="H45" s="14">
        <v>13</v>
      </c>
      <c r="I45" s="14">
        <v>7</v>
      </c>
      <c r="J45" s="14" t="s">
        <v>204</v>
      </c>
      <c r="K45" s="14" cm="1">
        <f t="array" ref="K45">INT(SUMPRODUCT(--ISNUMBER(SEARCH(economy,C45)))&gt;0)</f>
        <v>0</v>
      </c>
      <c r="L45" s="14" cm="1">
        <f t="array" ref="L45">INT(SUMPRODUCT(--ISNUMBER(SEARCH(healthcare,C45)))&gt;0)</f>
        <v>0</v>
      </c>
      <c r="M45" s="14" cm="1">
        <f t="array" ref="M45">INT(SUMPRODUCT(--ISNUMBER(SEARCH(supreme,C45)))&gt;0)</f>
        <v>0</v>
      </c>
      <c r="N45" s="14" cm="1">
        <f t="array" ref="N45">INT(SUMPRODUCT(--ISNUMBER(SEARCH(covid,C45)))&gt;0)</f>
        <v>0</v>
      </c>
      <c r="O45" s="14" cm="1">
        <f t="array" ref="O45">INT(SUMPRODUCT(--ISNUMBER(SEARCH(violent,C45)))&gt;0)</f>
        <v>0</v>
      </c>
      <c r="P45" s="14" cm="1">
        <f t="array" ref="P45">INT(SUMPRODUCT(--ISNUMBER(SEARCH(foreign,C45)))&gt;0)</f>
        <v>0</v>
      </c>
      <c r="Q45" s="14" cm="1">
        <f t="array" ref="Q45">INT(SUMPRODUCT(--ISNUMBER(SEARCH(gun,C45)))&gt;0)</f>
        <v>0</v>
      </c>
      <c r="R45" s="14" cm="1">
        <f t="array" ref="R45">INT(SUMPRODUCT(--ISNUMBER(SEARCH(race,C45)))&gt;0)</f>
        <v>0</v>
      </c>
      <c r="S45" s="14" cm="1">
        <f t="array" ref="S45">INT(SUMPRODUCT(--ISNUMBER(SEARCH(immigration,C45)))&gt;0)</f>
        <v>0</v>
      </c>
      <c r="T45" s="14" cm="1">
        <f t="array" ref="T45">INT(SUMPRODUCT(--ISNUMBER(SEARCH(econineq,C46)))&gt;0)</f>
        <v>0</v>
      </c>
      <c r="U45" s="14" cm="1">
        <f t="array" ref="U45">INT(SUMPRODUCT(--ISNUMBER(SEARCH(climate,C45)))&gt;0)</f>
        <v>0</v>
      </c>
      <c r="V45" s="14" cm="1">
        <f t="array" ref="V45">INT(SUMPRODUCT(--ISNUMBER(SEARCH(abortion,C45)))&gt;0)</f>
        <v>0</v>
      </c>
      <c r="W45" s="14" cm="1">
        <f t="array" ref="W45">INT(SUMPRODUCT(--ISNUMBER(SEARCH(trump,C45)))&gt;0)</f>
        <v>0</v>
      </c>
      <c r="X45" s="14" cm="1">
        <f t="array" ref="X45">INT(SUMPRODUCT(--ISNUMBER(SEARCH(voting,C45)))&gt;0)</f>
        <v>1</v>
      </c>
      <c r="Y45" s="14" cm="1">
        <f t="array" ref="Y45">INT(SUMPRODUCT(--ISNUMBER(SEARCH(democrattrigger,C45)))&gt;0)</f>
        <v>0</v>
      </c>
      <c r="Z45" s="14" cm="1">
        <f t="array" ref="Z45">INT(SUMPRODUCT(--ISNUMBER(SEARCH(bipartisan,C45)))&gt;0)</f>
        <v>0</v>
      </c>
      <c r="AA45" s="14">
        <f t="shared" si="0"/>
        <v>0</v>
      </c>
      <c r="AB45" s="14"/>
      <c r="AC45" s="30">
        <v>0</v>
      </c>
      <c r="AD45" s="37">
        <v>1</v>
      </c>
    </row>
    <row r="46" spans="1:30" x14ac:dyDescent="0.25">
      <c r="A46" s="36">
        <v>2838</v>
      </c>
      <c r="B46" s="14" t="s">
        <v>5701</v>
      </c>
      <c r="C46" s="14" t="s">
        <v>5702</v>
      </c>
      <c r="D46" s="17">
        <v>44133</v>
      </c>
      <c r="E46" s="14" t="s">
        <v>30</v>
      </c>
      <c r="F46" s="14">
        <v>91</v>
      </c>
      <c r="G46" s="14">
        <v>20</v>
      </c>
      <c r="H46" s="14">
        <v>13</v>
      </c>
      <c r="I46" s="14">
        <v>7</v>
      </c>
      <c r="J46" s="14" t="s">
        <v>204</v>
      </c>
      <c r="K46" s="14" cm="1">
        <f t="array" ref="K46">INT(SUMPRODUCT(--ISNUMBER(SEARCH(economy,C46)))&gt;0)</f>
        <v>0</v>
      </c>
      <c r="L46" s="14" cm="1">
        <f t="array" ref="L46">INT(SUMPRODUCT(--ISNUMBER(SEARCH(healthcare,C46)))&gt;0)</f>
        <v>0</v>
      </c>
      <c r="M46" s="14" cm="1">
        <f t="array" ref="M46">INT(SUMPRODUCT(--ISNUMBER(SEARCH(supreme,C46)))&gt;0)</f>
        <v>0</v>
      </c>
      <c r="N46" s="14" cm="1">
        <f t="array" ref="N46">INT(SUMPRODUCT(--ISNUMBER(SEARCH(covid,C46)))&gt;0)</f>
        <v>0</v>
      </c>
      <c r="O46" s="14" cm="1">
        <f t="array" ref="O46">INT(SUMPRODUCT(--ISNUMBER(SEARCH(violent,C46)))&gt;0)</f>
        <v>0</v>
      </c>
      <c r="P46" s="14" cm="1">
        <f t="array" ref="P46">INT(SUMPRODUCT(--ISNUMBER(SEARCH(foreign,C46)))&gt;0)</f>
        <v>0</v>
      </c>
      <c r="Q46" s="14" cm="1">
        <f t="array" ref="Q46">INT(SUMPRODUCT(--ISNUMBER(SEARCH(gun,C46)))&gt;0)</f>
        <v>0</v>
      </c>
      <c r="R46" s="14" cm="1">
        <f t="array" ref="R46">INT(SUMPRODUCT(--ISNUMBER(SEARCH(race,C46)))&gt;0)</f>
        <v>0</v>
      </c>
      <c r="S46" s="14" cm="1">
        <f t="array" ref="S46">INT(SUMPRODUCT(--ISNUMBER(SEARCH(immigration,C46)))&gt;0)</f>
        <v>0</v>
      </c>
      <c r="T46" s="14" cm="1">
        <f t="array" ref="T46">INT(SUMPRODUCT(--ISNUMBER(SEARCH(econineq,C47)))&gt;0)</f>
        <v>0</v>
      </c>
      <c r="U46" s="14" cm="1">
        <f t="array" ref="U46">INT(SUMPRODUCT(--ISNUMBER(SEARCH(climate,C46)))&gt;0)</f>
        <v>0</v>
      </c>
      <c r="V46" s="14" cm="1">
        <f t="array" ref="V46">INT(SUMPRODUCT(--ISNUMBER(SEARCH(abortion,C46)))&gt;0)</f>
        <v>0</v>
      </c>
      <c r="W46" s="14" cm="1">
        <f t="array" ref="W46">INT(SUMPRODUCT(--ISNUMBER(SEARCH(trump,C46)))&gt;0)</f>
        <v>0</v>
      </c>
      <c r="X46" s="14" cm="1">
        <f t="array" ref="X46">INT(SUMPRODUCT(--ISNUMBER(SEARCH(voting,C46)))&gt;0)</f>
        <v>1</v>
      </c>
      <c r="Y46" s="14" cm="1">
        <f t="array" ref="Y46">INT(SUMPRODUCT(--ISNUMBER(SEARCH(democrattrigger,C46)))&gt;0)</f>
        <v>0</v>
      </c>
      <c r="Z46" s="14" cm="1">
        <f t="array" ref="Z46">INT(SUMPRODUCT(--ISNUMBER(SEARCH(bipartisan,C46)))&gt;0)</f>
        <v>0</v>
      </c>
      <c r="AA46" s="14">
        <f t="shared" si="0"/>
        <v>0</v>
      </c>
      <c r="AB46" s="14"/>
      <c r="AC46" s="30">
        <v>0</v>
      </c>
      <c r="AD46" s="37">
        <v>1</v>
      </c>
    </row>
    <row r="47" spans="1:30" x14ac:dyDescent="0.25">
      <c r="A47" s="36">
        <v>2839</v>
      </c>
      <c r="B47" s="14" t="s">
        <v>5703</v>
      </c>
      <c r="C47" s="14" t="s">
        <v>5704</v>
      </c>
      <c r="D47" s="17">
        <v>44133</v>
      </c>
      <c r="E47" s="14" t="s">
        <v>30</v>
      </c>
      <c r="F47" s="14">
        <v>82</v>
      </c>
      <c r="G47" s="14">
        <v>21</v>
      </c>
      <c r="H47" s="14">
        <v>13</v>
      </c>
      <c r="I47" s="14">
        <v>7</v>
      </c>
      <c r="J47" s="14" t="s">
        <v>204</v>
      </c>
      <c r="K47" s="14" cm="1">
        <f t="array" ref="K47">INT(SUMPRODUCT(--ISNUMBER(SEARCH(economy,C47)))&gt;0)</f>
        <v>0</v>
      </c>
      <c r="L47" s="14" cm="1">
        <f t="array" ref="L47">INT(SUMPRODUCT(--ISNUMBER(SEARCH(healthcare,C47)))&gt;0)</f>
        <v>0</v>
      </c>
      <c r="M47" s="14" cm="1">
        <f t="array" ref="M47">INT(SUMPRODUCT(--ISNUMBER(SEARCH(supreme,C47)))&gt;0)</f>
        <v>0</v>
      </c>
      <c r="N47" s="14" cm="1">
        <f t="array" ref="N47">INT(SUMPRODUCT(--ISNUMBER(SEARCH(covid,C47)))&gt;0)</f>
        <v>0</v>
      </c>
      <c r="O47" s="14" cm="1">
        <f t="array" ref="O47">INT(SUMPRODUCT(--ISNUMBER(SEARCH(violent,C47)))&gt;0)</f>
        <v>0</v>
      </c>
      <c r="P47" s="14" cm="1">
        <f t="array" ref="P47">INT(SUMPRODUCT(--ISNUMBER(SEARCH(foreign,C47)))&gt;0)</f>
        <v>0</v>
      </c>
      <c r="Q47" s="14" cm="1">
        <f t="array" ref="Q47">INT(SUMPRODUCT(--ISNUMBER(SEARCH(gun,C47)))&gt;0)</f>
        <v>0</v>
      </c>
      <c r="R47" s="14" cm="1">
        <f t="array" ref="R47">INT(SUMPRODUCT(--ISNUMBER(SEARCH(race,C47)))&gt;0)</f>
        <v>0</v>
      </c>
      <c r="S47" s="14" cm="1">
        <f t="array" ref="S47">INT(SUMPRODUCT(--ISNUMBER(SEARCH(immigration,C47)))&gt;0)</f>
        <v>0</v>
      </c>
      <c r="T47" s="14" cm="1">
        <f t="array" ref="T47">INT(SUMPRODUCT(--ISNUMBER(SEARCH(econineq,C48)))&gt;0)</f>
        <v>0</v>
      </c>
      <c r="U47" s="14" cm="1">
        <f t="array" ref="U47">INT(SUMPRODUCT(--ISNUMBER(SEARCH(climate,C47)))&gt;0)</f>
        <v>0</v>
      </c>
      <c r="V47" s="14" cm="1">
        <f t="array" ref="V47">INT(SUMPRODUCT(--ISNUMBER(SEARCH(abortion,C47)))&gt;0)</f>
        <v>0</v>
      </c>
      <c r="W47" s="14" cm="1">
        <f t="array" ref="W47">INT(SUMPRODUCT(--ISNUMBER(SEARCH(trump,C47)))&gt;0)</f>
        <v>0</v>
      </c>
      <c r="X47" s="14" cm="1">
        <f t="array" ref="X47">INT(SUMPRODUCT(--ISNUMBER(SEARCH(voting,C47)))&gt;0)</f>
        <v>1</v>
      </c>
      <c r="Y47" s="14" cm="1">
        <f t="array" ref="Y47">INT(SUMPRODUCT(--ISNUMBER(SEARCH(democrattrigger,C47)))&gt;0)</f>
        <v>0</v>
      </c>
      <c r="Z47" s="14" cm="1">
        <f t="array" ref="Z47">INT(SUMPRODUCT(--ISNUMBER(SEARCH(bipartisan,C47)))&gt;0)</f>
        <v>0</v>
      </c>
      <c r="AA47" s="14">
        <f t="shared" si="0"/>
        <v>0</v>
      </c>
      <c r="AB47" s="14"/>
      <c r="AC47" s="30">
        <v>1</v>
      </c>
      <c r="AD47" s="37">
        <v>0</v>
      </c>
    </row>
    <row r="48" spans="1:30" x14ac:dyDescent="0.25">
      <c r="A48" s="36">
        <v>2840</v>
      </c>
      <c r="B48" s="14" t="s">
        <v>5705</v>
      </c>
      <c r="C48" s="14" t="s">
        <v>5706</v>
      </c>
      <c r="D48" s="17">
        <v>44133</v>
      </c>
      <c r="E48" s="14" t="s">
        <v>30</v>
      </c>
      <c r="F48" s="14">
        <v>37</v>
      </c>
      <c r="G48" s="14">
        <v>13</v>
      </c>
      <c r="H48" s="14">
        <v>13</v>
      </c>
      <c r="I48" s="14">
        <v>7</v>
      </c>
      <c r="J48" s="14" t="s">
        <v>204</v>
      </c>
      <c r="K48" s="14" cm="1">
        <f t="array" ref="K48">INT(SUMPRODUCT(--ISNUMBER(SEARCH(economy,C48)))&gt;0)</f>
        <v>1</v>
      </c>
      <c r="L48" s="14" cm="1">
        <f t="array" ref="L48">INT(SUMPRODUCT(--ISNUMBER(SEARCH(healthcare,C48)))&gt;0)</f>
        <v>0</v>
      </c>
      <c r="M48" s="14" cm="1">
        <f t="array" ref="M48">INT(SUMPRODUCT(--ISNUMBER(SEARCH(supreme,C48)))&gt;0)</f>
        <v>0</v>
      </c>
      <c r="N48" s="14" cm="1">
        <f t="array" ref="N48">INT(SUMPRODUCT(--ISNUMBER(SEARCH(covid,C48)))&gt;0)</f>
        <v>0</v>
      </c>
      <c r="O48" s="14" cm="1">
        <f t="array" ref="O48">INT(SUMPRODUCT(--ISNUMBER(SEARCH(violent,C48)))&gt;0)</f>
        <v>0</v>
      </c>
      <c r="P48" s="14" cm="1">
        <f t="array" ref="P48">INT(SUMPRODUCT(--ISNUMBER(SEARCH(foreign,C48)))&gt;0)</f>
        <v>0</v>
      </c>
      <c r="Q48" s="14" cm="1">
        <f t="array" ref="Q48">INT(SUMPRODUCT(--ISNUMBER(SEARCH(gun,C48)))&gt;0)</f>
        <v>0</v>
      </c>
      <c r="R48" s="14" cm="1">
        <f t="array" ref="R48">INT(SUMPRODUCT(--ISNUMBER(SEARCH(race,C48)))&gt;0)</f>
        <v>0</v>
      </c>
      <c r="S48" s="14" cm="1">
        <f t="array" ref="S48">INT(SUMPRODUCT(--ISNUMBER(SEARCH(immigration,C48)))&gt;0)</f>
        <v>0</v>
      </c>
      <c r="T48" s="14" cm="1">
        <f t="array" ref="T48">INT(SUMPRODUCT(--ISNUMBER(SEARCH(econineq,C49)))&gt;0)</f>
        <v>0</v>
      </c>
      <c r="U48" s="14" cm="1">
        <f t="array" ref="U48">INT(SUMPRODUCT(--ISNUMBER(SEARCH(climate,C48)))&gt;0)</f>
        <v>0</v>
      </c>
      <c r="V48" s="14" cm="1">
        <f t="array" ref="V48">INT(SUMPRODUCT(--ISNUMBER(SEARCH(abortion,C48)))&gt;0)</f>
        <v>0</v>
      </c>
      <c r="W48" s="14" cm="1">
        <f t="array" ref="W48">INT(SUMPRODUCT(--ISNUMBER(SEARCH(trump,C48)))&gt;0)</f>
        <v>0</v>
      </c>
      <c r="X48" s="14" cm="1">
        <f t="array" ref="X48">INT(SUMPRODUCT(--ISNUMBER(SEARCH(voting,C48)))&gt;0)</f>
        <v>1</v>
      </c>
      <c r="Y48" s="14" cm="1">
        <f t="array" ref="Y48">INT(SUMPRODUCT(--ISNUMBER(SEARCH(democrattrigger,C48)))&gt;0)</f>
        <v>1</v>
      </c>
      <c r="Z48" s="14" cm="1">
        <f t="array" ref="Z48">INT(SUMPRODUCT(--ISNUMBER(SEARCH(bipartisan,C48)))&gt;0)</f>
        <v>0</v>
      </c>
      <c r="AA48" s="14">
        <f t="shared" si="0"/>
        <v>0</v>
      </c>
      <c r="AB48" s="14"/>
      <c r="AC48" s="30">
        <v>0</v>
      </c>
      <c r="AD48" s="37">
        <v>1</v>
      </c>
    </row>
    <row r="49" spans="1:30" x14ac:dyDescent="0.25">
      <c r="A49" s="36">
        <v>2841</v>
      </c>
      <c r="B49" s="14" t="s">
        <v>5707</v>
      </c>
      <c r="C49" s="14" t="s">
        <v>5708</v>
      </c>
      <c r="D49" s="17">
        <v>44132</v>
      </c>
      <c r="E49" s="14" t="s">
        <v>70</v>
      </c>
      <c r="F49" s="14">
        <v>6</v>
      </c>
      <c r="G49" s="14">
        <v>3</v>
      </c>
      <c r="H49" s="14">
        <v>13</v>
      </c>
      <c r="I49" s="14">
        <v>7</v>
      </c>
      <c r="J49" s="14" t="s">
        <v>204</v>
      </c>
      <c r="K49" s="14" cm="1">
        <f t="array" ref="K49">INT(SUMPRODUCT(--ISNUMBER(SEARCH(economy,C49)))&gt;0)</f>
        <v>1</v>
      </c>
      <c r="L49" s="14" cm="1">
        <f t="array" ref="L49">INT(SUMPRODUCT(--ISNUMBER(SEARCH(healthcare,C49)))&gt;0)</f>
        <v>0</v>
      </c>
      <c r="M49" s="14" cm="1">
        <f t="array" ref="M49">INT(SUMPRODUCT(--ISNUMBER(SEARCH(supreme,C49)))&gt;0)</f>
        <v>0</v>
      </c>
      <c r="N49" s="14" cm="1">
        <f t="array" ref="N49">INT(SUMPRODUCT(--ISNUMBER(SEARCH(covid,C49)))&gt;0)</f>
        <v>0</v>
      </c>
      <c r="O49" s="14" cm="1">
        <f t="array" ref="O49">INT(SUMPRODUCT(--ISNUMBER(SEARCH(violent,C49)))&gt;0)</f>
        <v>0</v>
      </c>
      <c r="P49" s="14" cm="1">
        <f t="array" ref="P49">INT(SUMPRODUCT(--ISNUMBER(SEARCH(foreign,C49)))&gt;0)</f>
        <v>0</v>
      </c>
      <c r="Q49" s="14" cm="1">
        <f t="array" ref="Q49">INT(SUMPRODUCT(--ISNUMBER(SEARCH(gun,C49)))&gt;0)</f>
        <v>0</v>
      </c>
      <c r="R49" s="14" cm="1">
        <f t="array" ref="R49">INT(SUMPRODUCT(--ISNUMBER(SEARCH(race,C49)))&gt;0)</f>
        <v>0</v>
      </c>
      <c r="S49" s="14" cm="1">
        <f t="array" ref="S49">INT(SUMPRODUCT(--ISNUMBER(SEARCH(immigration,C49)))&gt;0)</f>
        <v>0</v>
      </c>
      <c r="T49" s="14" cm="1">
        <f t="array" ref="T49">INT(SUMPRODUCT(--ISNUMBER(SEARCH(econineq,C50)))&gt;0)</f>
        <v>0</v>
      </c>
      <c r="U49" s="14" cm="1">
        <f t="array" ref="U49">INT(SUMPRODUCT(--ISNUMBER(SEARCH(climate,C49)))&gt;0)</f>
        <v>0</v>
      </c>
      <c r="V49" s="14" cm="1">
        <f t="array" ref="V49">INT(SUMPRODUCT(--ISNUMBER(SEARCH(abortion,C49)))&gt;0)</f>
        <v>0</v>
      </c>
      <c r="W49" s="14" cm="1">
        <f t="array" ref="W49">INT(SUMPRODUCT(--ISNUMBER(SEARCH(trump,C49)))&gt;0)</f>
        <v>0</v>
      </c>
      <c r="X49" s="14" cm="1">
        <f t="array" ref="X49">INT(SUMPRODUCT(--ISNUMBER(SEARCH(voting,C49)))&gt;0)</f>
        <v>0</v>
      </c>
      <c r="Y49" s="14" cm="1">
        <f t="array" ref="Y49">INT(SUMPRODUCT(--ISNUMBER(SEARCH(democrattrigger,C49)))&gt;0)</f>
        <v>0</v>
      </c>
      <c r="Z49" s="14" cm="1">
        <f t="array" ref="Z49">INT(SUMPRODUCT(--ISNUMBER(SEARCH(bipartisan,C49)))&gt;0)</f>
        <v>0</v>
      </c>
      <c r="AA49" s="14">
        <f t="shared" si="0"/>
        <v>0</v>
      </c>
      <c r="AB49" s="14"/>
      <c r="AC49" s="30" t="s">
        <v>223</v>
      </c>
      <c r="AD49" s="37" t="s">
        <v>223</v>
      </c>
    </row>
    <row r="50" spans="1:30" x14ac:dyDescent="0.25">
      <c r="A50" s="36">
        <v>2842</v>
      </c>
      <c r="B50" s="14" t="s">
        <v>5709</v>
      </c>
      <c r="C50" s="14" t="s">
        <v>5710</v>
      </c>
      <c r="D50" s="17">
        <v>44132</v>
      </c>
      <c r="E50" s="14" t="s">
        <v>30</v>
      </c>
      <c r="F50" s="14">
        <v>31</v>
      </c>
      <c r="G50" s="14">
        <v>7</v>
      </c>
      <c r="H50" s="14">
        <v>13</v>
      </c>
      <c r="I50" s="14">
        <v>7</v>
      </c>
      <c r="J50" s="14" t="s">
        <v>204</v>
      </c>
      <c r="K50" s="14" cm="1">
        <f t="array" ref="K50">INT(SUMPRODUCT(--ISNUMBER(SEARCH(economy,C50)))&gt;0)</f>
        <v>0</v>
      </c>
      <c r="L50" s="14" cm="1">
        <f t="array" ref="L50">INT(SUMPRODUCT(--ISNUMBER(SEARCH(healthcare,C50)))&gt;0)</f>
        <v>0</v>
      </c>
      <c r="M50" s="14" cm="1">
        <f t="array" ref="M50">INT(SUMPRODUCT(--ISNUMBER(SEARCH(supreme,C50)))&gt;0)</f>
        <v>0</v>
      </c>
      <c r="N50" s="14" cm="1">
        <f t="array" ref="N50">INT(SUMPRODUCT(--ISNUMBER(SEARCH(covid,C50)))&gt;0)</f>
        <v>0</v>
      </c>
      <c r="O50" s="14" cm="1">
        <f t="array" ref="O50">INT(SUMPRODUCT(--ISNUMBER(SEARCH(violent,C50)))&gt;0)</f>
        <v>0</v>
      </c>
      <c r="P50" s="14" cm="1">
        <f t="array" ref="P50">INT(SUMPRODUCT(--ISNUMBER(SEARCH(foreign,C50)))&gt;0)</f>
        <v>0</v>
      </c>
      <c r="Q50" s="14" cm="1">
        <f t="array" ref="Q50">INT(SUMPRODUCT(--ISNUMBER(SEARCH(gun,C50)))&gt;0)</f>
        <v>0</v>
      </c>
      <c r="R50" s="14" cm="1">
        <f t="array" ref="R50">INT(SUMPRODUCT(--ISNUMBER(SEARCH(race,C50)))&gt;0)</f>
        <v>0</v>
      </c>
      <c r="S50" s="14" cm="1">
        <f t="array" ref="S50">INT(SUMPRODUCT(--ISNUMBER(SEARCH(immigration,C50)))&gt;0)</f>
        <v>0</v>
      </c>
      <c r="T50" s="14" cm="1">
        <f t="array" ref="T50">INT(SUMPRODUCT(--ISNUMBER(SEARCH(econineq,C51)))&gt;0)</f>
        <v>0</v>
      </c>
      <c r="U50" s="14" cm="1">
        <f t="array" ref="U50">INT(SUMPRODUCT(--ISNUMBER(SEARCH(climate,C50)))&gt;0)</f>
        <v>0</v>
      </c>
      <c r="V50" s="14" cm="1">
        <f t="array" ref="V50">INT(SUMPRODUCT(--ISNUMBER(SEARCH(abortion,C50)))&gt;0)</f>
        <v>0</v>
      </c>
      <c r="W50" s="14" cm="1">
        <f t="array" ref="W50">INT(SUMPRODUCT(--ISNUMBER(SEARCH(trump,C50)))&gt;0)</f>
        <v>0</v>
      </c>
      <c r="X50" s="14" cm="1">
        <f t="array" ref="X50">INT(SUMPRODUCT(--ISNUMBER(SEARCH(voting,C50)))&gt;0)</f>
        <v>0</v>
      </c>
      <c r="Y50" s="14" cm="1">
        <f t="array" ref="Y50">INT(SUMPRODUCT(--ISNUMBER(SEARCH(democrattrigger,C50)))&gt;0)</f>
        <v>0</v>
      </c>
      <c r="Z50" s="14" cm="1">
        <f t="array" ref="Z50">INT(SUMPRODUCT(--ISNUMBER(SEARCH(bipartisan,C50)))&gt;0)</f>
        <v>0</v>
      </c>
      <c r="AA50" s="14">
        <f t="shared" si="0"/>
        <v>1</v>
      </c>
      <c r="AB50" s="14"/>
      <c r="AC50" s="30">
        <v>1</v>
      </c>
      <c r="AD50" s="37">
        <v>0</v>
      </c>
    </row>
    <row r="51" spans="1:30" x14ac:dyDescent="0.25">
      <c r="A51" s="36">
        <v>2843</v>
      </c>
      <c r="B51" s="14" t="s">
        <v>5711</v>
      </c>
      <c r="C51" s="14" t="s">
        <v>5712</v>
      </c>
      <c r="D51" s="17">
        <v>44132</v>
      </c>
      <c r="E51" s="14" t="s">
        <v>30</v>
      </c>
      <c r="F51" s="14">
        <v>16</v>
      </c>
      <c r="G51" s="14">
        <v>3</v>
      </c>
      <c r="H51" s="14">
        <v>13</v>
      </c>
      <c r="I51" s="14">
        <v>7</v>
      </c>
      <c r="J51" s="14" t="s">
        <v>204</v>
      </c>
      <c r="K51" s="14" cm="1">
        <f t="array" ref="K51">INT(SUMPRODUCT(--ISNUMBER(SEARCH(economy,C51)))&gt;0)</f>
        <v>1</v>
      </c>
      <c r="L51" s="14" cm="1">
        <f t="array" ref="L51">INT(SUMPRODUCT(--ISNUMBER(SEARCH(healthcare,C51)))&gt;0)</f>
        <v>0</v>
      </c>
      <c r="M51" s="14" cm="1">
        <f t="array" ref="M51">INT(SUMPRODUCT(--ISNUMBER(SEARCH(supreme,C51)))&gt;0)</f>
        <v>0</v>
      </c>
      <c r="N51" s="14" cm="1">
        <f t="array" ref="N51">INT(SUMPRODUCT(--ISNUMBER(SEARCH(covid,C51)))&gt;0)</f>
        <v>0</v>
      </c>
      <c r="O51" s="14" cm="1">
        <f t="array" ref="O51">INT(SUMPRODUCT(--ISNUMBER(SEARCH(violent,C51)))&gt;0)</f>
        <v>0</v>
      </c>
      <c r="P51" s="14" cm="1">
        <f t="array" ref="P51">INT(SUMPRODUCT(--ISNUMBER(SEARCH(foreign,C51)))&gt;0)</f>
        <v>0</v>
      </c>
      <c r="Q51" s="14" cm="1">
        <f t="array" ref="Q51">INT(SUMPRODUCT(--ISNUMBER(SEARCH(gun,C51)))&gt;0)</f>
        <v>0</v>
      </c>
      <c r="R51" s="14" cm="1">
        <f t="array" ref="R51">INT(SUMPRODUCT(--ISNUMBER(SEARCH(race,C51)))&gt;0)</f>
        <v>0</v>
      </c>
      <c r="S51" s="14" cm="1">
        <f t="array" ref="S51">INT(SUMPRODUCT(--ISNUMBER(SEARCH(immigration,C51)))&gt;0)</f>
        <v>0</v>
      </c>
      <c r="T51" s="14" cm="1">
        <f t="array" ref="T51">INT(SUMPRODUCT(--ISNUMBER(SEARCH(econineq,C52)))&gt;0)</f>
        <v>0</v>
      </c>
      <c r="U51" s="14" cm="1">
        <f t="array" ref="U51">INT(SUMPRODUCT(--ISNUMBER(SEARCH(climate,C51)))&gt;0)</f>
        <v>0</v>
      </c>
      <c r="V51" s="14" cm="1">
        <f t="array" ref="V51">INT(SUMPRODUCT(--ISNUMBER(SEARCH(abortion,C51)))&gt;0)</f>
        <v>0</v>
      </c>
      <c r="W51" s="14" cm="1">
        <f t="array" ref="W51">INT(SUMPRODUCT(--ISNUMBER(SEARCH(trump,C51)))&gt;0)</f>
        <v>0</v>
      </c>
      <c r="X51" s="14" cm="1">
        <f t="array" ref="X51">INT(SUMPRODUCT(--ISNUMBER(SEARCH(voting,C51)))&gt;0)</f>
        <v>0</v>
      </c>
      <c r="Y51" s="14" cm="1">
        <f t="array" ref="Y51">INT(SUMPRODUCT(--ISNUMBER(SEARCH(democrattrigger,C51)))&gt;0)</f>
        <v>0</v>
      </c>
      <c r="Z51" s="14" cm="1">
        <f t="array" ref="Z51">INT(SUMPRODUCT(--ISNUMBER(SEARCH(bipartisan,C51)))&gt;0)</f>
        <v>0</v>
      </c>
      <c r="AA51" s="14">
        <f t="shared" si="0"/>
        <v>0</v>
      </c>
      <c r="AB51" s="14"/>
      <c r="AC51" s="30">
        <v>1</v>
      </c>
      <c r="AD51" s="37">
        <v>0</v>
      </c>
    </row>
    <row r="52" spans="1:30" x14ac:dyDescent="0.25">
      <c r="A52" s="36">
        <v>2844</v>
      </c>
      <c r="B52" s="14" t="s">
        <v>5713</v>
      </c>
      <c r="C52" s="14" t="s">
        <v>5714</v>
      </c>
      <c r="D52" s="17">
        <v>44132</v>
      </c>
      <c r="E52" s="14" t="s">
        <v>30</v>
      </c>
      <c r="F52" s="14">
        <v>30</v>
      </c>
      <c r="G52" s="14">
        <v>3</v>
      </c>
      <c r="H52" s="14">
        <v>13</v>
      </c>
      <c r="I52" s="14">
        <v>7</v>
      </c>
      <c r="J52" s="14" t="s">
        <v>204</v>
      </c>
      <c r="K52" s="14" cm="1">
        <f t="array" ref="K52">INT(SUMPRODUCT(--ISNUMBER(SEARCH(economy,C52)))&gt;0)</f>
        <v>1</v>
      </c>
      <c r="L52" s="14" cm="1">
        <f t="array" ref="L52">INT(SUMPRODUCT(--ISNUMBER(SEARCH(healthcare,C52)))&gt;0)</f>
        <v>1</v>
      </c>
      <c r="M52" s="14" cm="1">
        <f t="array" ref="M52">INT(SUMPRODUCT(--ISNUMBER(SEARCH(supreme,C52)))&gt;0)</f>
        <v>0</v>
      </c>
      <c r="N52" s="14" cm="1">
        <f t="array" ref="N52">INT(SUMPRODUCT(--ISNUMBER(SEARCH(covid,C52)))&gt;0)</f>
        <v>1</v>
      </c>
      <c r="O52" s="14" cm="1">
        <f t="array" ref="O52">INT(SUMPRODUCT(--ISNUMBER(SEARCH(violent,C52)))&gt;0)</f>
        <v>0</v>
      </c>
      <c r="P52" s="14" cm="1">
        <f t="array" ref="P52">INT(SUMPRODUCT(--ISNUMBER(SEARCH(foreign,C52)))&gt;0)</f>
        <v>0</v>
      </c>
      <c r="Q52" s="14" cm="1">
        <f t="array" ref="Q52">INT(SUMPRODUCT(--ISNUMBER(SEARCH(gun,C52)))&gt;0)</f>
        <v>0</v>
      </c>
      <c r="R52" s="14" cm="1">
        <f t="array" ref="R52">INT(SUMPRODUCT(--ISNUMBER(SEARCH(race,C52)))&gt;0)</f>
        <v>0</v>
      </c>
      <c r="S52" s="14" cm="1">
        <f t="array" ref="S52">INT(SUMPRODUCT(--ISNUMBER(SEARCH(immigration,C52)))&gt;0)</f>
        <v>0</v>
      </c>
      <c r="T52" s="14" cm="1">
        <f t="array" ref="T52">INT(SUMPRODUCT(--ISNUMBER(SEARCH(econineq,C53)))&gt;0)</f>
        <v>0</v>
      </c>
      <c r="U52" s="14" cm="1">
        <f t="array" ref="U52">INT(SUMPRODUCT(--ISNUMBER(SEARCH(climate,C52)))&gt;0)</f>
        <v>0</v>
      </c>
      <c r="V52" s="14" cm="1">
        <f t="array" ref="V52">INT(SUMPRODUCT(--ISNUMBER(SEARCH(abortion,C52)))&gt;0)</f>
        <v>0</v>
      </c>
      <c r="W52" s="14" cm="1">
        <f t="array" ref="W52">INT(SUMPRODUCT(--ISNUMBER(SEARCH(trump,C52)))&gt;0)</f>
        <v>0</v>
      </c>
      <c r="X52" s="14" cm="1">
        <f t="array" ref="X52">INT(SUMPRODUCT(--ISNUMBER(SEARCH(voting,C52)))&gt;0)</f>
        <v>0</v>
      </c>
      <c r="Y52" s="14" cm="1">
        <f t="array" ref="Y52">INT(SUMPRODUCT(--ISNUMBER(SEARCH(democrattrigger,C52)))&gt;0)</f>
        <v>0</v>
      </c>
      <c r="Z52" s="14" cm="1">
        <f t="array" ref="Z52">INT(SUMPRODUCT(--ISNUMBER(SEARCH(bipartisan,C52)))&gt;0)</f>
        <v>0</v>
      </c>
      <c r="AA52" s="14">
        <f t="shared" si="0"/>
        <v>0</v>
      </c>
      <c r="AB52" s="14"/>
      <c r="AC52" s="30" t="s">
        <v>223</v>
      </c>
      <c r="AD52" s="37" t="s">
        <v>223</v>
      </c>
    </row>
    <row r="53" spans="1:30" x14ac:dyDescent="0.25">
      <c r="A53" s="36">
        <v>2845</v>
      </c>
      <c r="B53" s="14" t="s">
        <v>5715</v>
      </c>
      <c r="C53" s="14" t="s">
        <v>5716</v>
      </c>
      <c r="D53" s="17">
        <v>44132</v>
      </c>
      <c r="E53" s="14" t="s">
        <v>70</v>
      </c>
      <c r="F53" s="14">
        <v>2</v>
      </c>
      <c r="G53" s="14">
        <v>0</v>
      </c>
      <c r="H53" s="14">
        <v>13</v>
      </c>
      <c r="I53" s="14">
        <v>7</v>
      </c>
      <c r="J53" s="14" t="s">
        <v>204</v>
      </c>
      <c r="K53" s="14" cm="1">
        <f t="array" ref="K53">INT(SUMPRODUCT(--ISNUMBER(SEARCH(economy,C53)))&gt;0)</f>
        <v>1</v>
      </c>
      <c r="L53" s="14" cm="1">
        <f t="array" ref="L53">INT(SUMPRODUCT(--ISNUMBER(SEARCH(healthcare,C53)))&gt;0)</f>
        <v>0</v>
      </c>
      <c r="M53" s="14" cm="1">
        <f t="array" ref="M53">INT(SUMPRODUCT(--ISNUMBER(SEARCH(supreme,C53)))&gt;0)</f>
        <v>0</v>
      </c>
      <c r="N53" s="14" cm="1">
        <f t="array" ref="N53">INT(SUMPRODUCT(--ISNUMBER(SEARCH(covid,C53)))&gt;0)</f>
        <v>1</v>
      </c>
      <c r="O53" s="14" cm="1">
        <f t="array" ref="O53">INT(SUMPRODUCT(--ISNUMBER(SEARCH(violent,C53)))&gt;0)</f>
        <v>0</v>
      </c>
      <c r="P53" s="14" cm="1">
        <f t="array" ref="P53">INT(SUMPRODUCT(--ISNUMBER(SEARCH(foreign,C53)))&gt;0)</f>
        <v>0</v>
      </c>
      <c r="Q53" s="14" cm="1">
        <f t="array" ref="Q53">INT(SUMPRODUCT(--ISNUMBER(SEARCH(gun,C53)))&gt;0)</f>
        <v>0</v>
      </c>
      <c r="R53" s="14" cm="1">
        <f t="array" ref="R53">INT(SUMPRODUCT(--ISNUMBER(SEARCH(race,C53)))&gt;0)</f>
        <v>0</v>
      </c>
      <c r="S53" s="14" cm="1">
        <f t="array" ref="S53">INT(SUMPRODUCT(--ISNUMBER(SEARCH(immigration,C53)))&gt;0)</f>
        <v>0</v>
      </c>
      <c r="T53" s="14" cm="1">
        <f t="array" ref="T53">INT(SUMPRODUCT(--ISNUMBER(SEARCH(econineq,C54)))&gt;0)</f>
        <v>1</v>
      </c>
      <c r="U53" s="14" cm="1">
        <f t="array" ref="U53">INT(SUMPRODUCT(--ISNUMBER(SEARCH(climate,C53)))&gt;0)</f>
        <v>0</v>
      </c>
      <c r="V53" s="14" cm="1">
        <f t="array" ref="V53">INT(SUMPRODUCT(--ISNUMBER(SEARCH(abortion,C53)))&gt;0)</f>
        <v>0</v>
      </c>
      <c r="W53" s="14" cm="1">
        <f t="array" ref="W53">INT(SUMPRODUCT(--ISNUMBER(SEARCH(trump,C53)))&gt;0)</f>
        <v>0</v>
      </c>
      <c r="X53" s="14" cm="1">
        <f t="array" ref="X53">INT(SUMPRODUCT(--ISNUMBER(SEARCH(voting,C53)))&gt;0)</f>
        <v>0</v>
      </c>
      <c r="Y53" s="14" cm="1">
        <f t="array" ref="Y53">INT(SUMPRODUCT(--ISNUMBER(SEARCH(democrattrigger,C53)))&gt;0)</f>
        <v>0</v>
      </c>
      <c r="Z53" s="14" cm="1">
        <f t="array" ref="Z53">INT(SUMPRODUCT(--ISNUMBER(SEARCH(bipartisan,C53)))&gt;0)</f>
        <v>0</v>
      </c>
      <c r="AA53" s="14">
        <f t="shared" si="0"/>
        <v>0</v>
      </c>
      <c r="AB53" s="14"/>
      <c r="AC53" s="30">
        <v>1</v>
      </c>
      <c r="AD53" s="37">
        <v>0</v>
      </c>
    </row>
    <row r="54" spans="1:30" x14ac:dyDescent="0.25">
      <c r="A54" s="36">
        <v>2846</v>
      </c>
      <c r="B54" s="14" t="s">
        <v>5717</v>
      </c>
      <c r="C54" s="14" t="s">
        <v>5718</v>
      </c>
      <c r="D54" s="17">
        <v>44132</v>
      </c>
      <c r="E54" s="14" t="s">
        <v>70</v>
      </c>
      <c r="F54" s="14">
        <v>3</v>
      </c>
      <c r="G54" s="14">
        <v>0</v>
      </c>
      <c r="H54" s="14">
        <v>13</v>
      </c>
      <c r="I54" s="14">
        <v>7</v>
      </c>
      <c r="J54" s="14" t="s">
        <v>204</v>
      </c>
      <c r="K54" s="14" cm="1">
        <f t="array" ref="K54">INT(SUMPRODUCT(--ISNUMBER(SEARCH(economy,C54)))&gt;0)</f>
        <v>1</v>
      </c>
      <c r="L54" s="14" cm="1">
        <f t="array" ref="L54">INT(SUMPRODUCT(--ISNUMBER(SEARCH(healthcare,C54)))&gt;0)</f>
        <v>0</v>
      </c>
      <c r="M54" s="14" cm="1">
        <f t="array" ref="M54">INT(SUMPRODUCT(--ISNUMBER(SEARCH(supreme,C54)))&gt;0)</f>
        <v>0</v>
      </c>
      <c r="N54" s="14" cm="1">
        <f t="array" ref="N54">INT(SUMPRODUCT(--ISNUMBER(SEARCH(covid,C54)))&gt;0)</f>
        <v>1</v>
      </c>
      <c r="O54" s="14" cm="1">
        <f t="array" ref="O54">INT(SUMPRODUCT(--ISNUMBER(SEARCH(violent,C54)))&gt;0)</f>
        <v>0</v>
      </c>
      <c r="P54" s="14" cm="1">
        <f t="array" ref="P54">INT(SUMPRODUCT(--ISNUMBER(SEARCH(foreign,C54)))&gt;0)</f>
        <v>0</v>
      </c>
      <c r="Q54" s="14" cm="1">
        <f t="array" ref="Q54">INT(SUMPRODUCT(--ISNUMBER(SEARCH(gun,C54)))&gt;0)</f>
        <v>0</v>
      </c>
      <c r="R54" s="14" cm="1">
        <f t="array" ref="R54">INT(SUMPRODUCT(--ISNUMBER(SEARCH(race,C54)))&gt;0)</f>
        <v>0</v>
      </c>
      <c r="S54" s="14" cm="1">
        <f t="array" ref="S54">INT(SUMPRODUCT(--ISNUMBER(SEARCH(immigration,C54)))&gt;0)</f>
        <v>0</v>
      </c>
      <c r="T54" s="14" cm="1">
        <f t="array" ref="T54">INT(SUMPRODUCT(--ISNUMBER(SEARCH(econineq,C55)))&gt;0)</f>
        <v>0</v>
      </c>
      <c r="U54" s="14" cm="1">
        <f t="array" ref="U54">INT(SUMPRODUCT(--ISNUMBER(SEARCH(climate,C54)))&gt;0)</f>
        <v>0</v>
      </c>
      <c r="V54" s="14" cm="1">
        <f t="array" ref="V54">INT(SUMPRODUCT(--ISNUMBER(SEARCH(abortion,C54)))&gt;0)</f>
        <v>0</v>
      </c>
      <c r="W54" s="14" cm="1">
        <f t="array" ref="W54">INT(SUMPRODUCT(--ISNUMBER(SEARCH(trump,C54)))&gt;0)</f>
        <v>0</v>
      </c>
      <c r="X54" s="14" cm="1">
        <f t="array" ref="X54">INT(SUMPRODUCT(--ISNUMBER(SEARCH(voting,C54)))&gt;0)</f>
        <v>0</v>
      </c>
      <c r="Y54" s="14" cm="1">
        <f t="array" ref="Y54">INT(SUMPRODUCT(--ISNUMBER(SEARCH(democrattrigger,C54)))&gt;0)</f>
        <v>0</v>
      </c>
      <c r="Z54" s="14" cm="1">
        <f t="array" ref="Z54">INT(SUMPRODUCT(--ISNUMBER(SEARCH(bipartisan,C54)))&gt;0)</f>
        <v>0</v>
      </c>
      <c r="AA54" s="14">
        <f t="shared" si="0"/>
        <v>0</v>
      </c>
      <c r="AB54" s="14"/>
      <c r="AC54" s="30">
        <v>1</v>
      </c>
      <c r="AD54" s="37">
        <v>0</v>
      </c>
    </row>
    <row r="55" spans="1:30" x14ac:dyDescent="0.25">
      <c r="A55" s="36">
        <v>2847</v>
      </c>
      <c r="B55" s="14" t="s">
        <v>5719</v>
      </c>
      <c r="C55" s="14" t="s">
        <v>5720</v>
      </c>
      <c r="D55" s="17">
        <v>44132</v>
      </c>
      <c r="E55" s="14" t="s">
        <v>30</v>
      </c>
      <c r="F55" s="14">
        <v>13</v>
      </c>
      <c r="G55" s="14">
        <v>5</v>
      </c>
      <c r="H55" s="14">
        <v>13</v>
      </c>
      <c r="I55" s="14">
        <v>7</v>
      </c>
      <c r="J55" s="14" t="s">
        <v>204</v>
      </c>
      <c r="K55" s="14" cm="1">
        <f t="array" ref="K55">INT(SUMPRODUCT(--ISNUMBER(SEARCH(economy,C55)))&gt;0)</f>
        <v>0</v>
      </c>
      <c r="L55" s="14" cm="1">
        <f t="array" ref="L55">INT(SUMPRODUCT(--ISNUMBER(SEARCH(healthcare,C55)))&gt;0)</f>
        <v>0</v>
      </c>
      <c r="M55" s="14" cm="1">
        <f t="array" ref="M55">INT(SUMPRODUCT(--ISNUMBER(SEARCH(supreme,C55)))&gt;0)</f>
        <v>0</v>
      </c>
      <c r="N55" s="14" cm="1">
        <f t="array" ref="N55">INT(SUMPRODUCT(--ISNUMBER(SEARCH(covid,C55)))&gt;0)</f>
        <v>0</v>
      </c>
      <c r="O55" s="14" cm="1">
        <f t="array" ref="O55">INT(SUMPRODUCT(--ISNUMBER(SEARCH(violent,C55)))&gt;0)</f>
        <v>0</v>
      </c>
      <c r="P55" s="14" cm="1">
        <f t="array" ref="P55">INT(SUMPRODUCT(--ISNUMBER(SEARCH(foreign,C55)))&gt;0)</f>
        <v>0</v>
      </c>
      <c r="Q55" s="14" cm="1">
        <f t="array" ref="Q55">INT(SUMPRODUCT(--ISNUMBER(SEARCH(gun,C55)))&gt;0)</f>
        <v>0</v>
      </c>
      <c r="R55" s="14" cm="1">
        <f t="array" ref="R55">INT(SUMPRODUCT(--ISNUMBER(SEARCH(race,C55)))&gt;0)</f>
        <v>0</v>
      </c>
      <c r="S55" s="14" cm="1">
        <f t="array" ref="S55">INT(SUMPRODUCT(--ISNUMBER(SEARCH(immigration,C55)))&gt;0)</f>
        <v>0</v>
      </c>
      <c r="T55" s="14" cm="1">
        <f t="array" ref="T55">INT(SUMPRODUCT(--ISNUMBER(SEARCH(econineq,C56)))&gt;0)</f>
        <v>0</v>
      </c>
      <c r="U55" s="14" cm="1">
        <f t="array" ref="U55">INT(SUMPRODUCT(--ISNUMBER(SEARCH(climate,C55)))&gt;0)</f>
        <v>0</v>
      </c>
      <c r="V55" s="14" cm="1">
        <f t="array" ref="V55">INT(SUMPRODUCT(--ISNUMBER(SEARCH(abortion,C55)))&gt;0)</f>
        <v>0</v>
      </c>
      <c r="W55" s="14" cm="1">
        <f t="array" ref="W55">INT(SUMPRODUCT(--ISNUMBER(SEARCH(trump,C55)))&gt;0)</f>
        <v>0</v>
      </c>
      <c r="X55" s="14" cm="1">
        <f t="array" ref="X55">INT(SUMPRODUCT(--ISNUMBER(SEARCH(voting,C55)))&gt;0)</f>
        <v>0</v>
      </c>
      <c r="Y55" s="14" cm="1">
        <f t="array" ref="Y55">INT(SUMPRODUCT(--ISNUMBER(SEARCH(democrattrigger,C55)))&gt;0)</f>
        <v>0</v>
      </c>
      <c r="Z55" s="14" cm="1">
        <f t="array" ref="Z55">INT(SUMPRODUCT(--ISNUMBER(SEARCH(bipartisan,C55)))&gt;0)</f>
        <v>0</v>
      </c>
      <c r="AA55" s="14">
        <f t="shared" si="0"/>
        <v>1</v>
      </c>
      <c r="AB55" s="14"/>
      <c r="AC55" s="30">
        <v>1</v>
      </c>
      <c r="AD55" s="37">
        <v>0</v>
      </c>
    </row>
    <row r="56" spans="1:30" x14ac:dyDescent="0.25">
      <c r="A56" s="36">
        <v>2848</v>
      </c>
      <c r="B56" s="14" t="s">
        <v>5721</v>
      </c>
      <c r="C56" s="14" t="s">
        <v>5722</v>
      </c>
      <c r="D56" s="17">
        <v>44132</v>
      </c>
      <c r="E56" s="14" t="s">
        <v>30</v>
      </c>
      <c r="F56" s="14">
        <v>199</v>
      </c>
      <c r="G56" s="14">
        <v>27</v>
      </c>
      <c r="H56" s="14">
        <v>13</v>
      </c>
      <c r="I56" s="14">
        <v>7</v>
      </c>
      <c r="J56" s="14" t="s">
        <v>204</v>
      </c>
      <c r="K56" s="14" cm="1">
        <f t="array" ref="K56">INT(SUMPRODUCT(--ISNUMBER(SEARCH(economy,C56)))&gt;0)</f>
        <v>0</v>
      </c>
      <c r="L56" s="14" cm="1">
        <f t="array" ref="L56">INT(SUMPRODUCT(--ISNUMBER(SEARCH(healthcare,C56)))&gt;0)</f>
        <v>0</v>
      </c>
      <c r="M56" s="14" cm="1">
        <f t="array" ref="M56">INT(SUMPRODUCT(--ISNUMBER(SEARCH(supreme,C56)))&gt;0)</f>
        <v>0</v>
      </c>
      <c r="N56" s="14" cm="1">
        <f t="array" ref="N56">INT(SUMPRODUCT(--ISNUMBER(SEARCH(covid,C56)))&gt;0)</f>
        <v>0</v>
      </c>
      <c r="O56" s="14" cm="1">
        <f t="array" ref="O56">INT(SUMPRODUCT(--ISNUMBER(SEARCH(violent,C56)))&gt;0)</f>
        <v>0</v>
      </c>
      <c r="P56" s="14" cm="1">
        <f t="array" ref="P56">INT(SUMPRODUCT(--ISNUMBER(SEARCH(foreign,C56)))&gt;0)</f>
        <v>1</v>
      </c>
      <c r="Q56" s="14" cm="1">
        <f t="array" ref="Q56">INT(SUMPRODUCT(--ISNUMBER(SEARCH(gun,C56)))&gt;0)</f>
        <v>0</v>
      </c>
      <c r="R56" s="14" cm="1">
        <f t="array" ref="R56">INT(SUMPRODUCT(--ISNUMBER(SEARCH(race,C56)))&gt;0)</f>
        <v>0</v>
      </c>
      <c r="S56" s="14" cm="1">
        <f t="array" ref="S56">INT(SUMPRODUCT(--ISNUMBER(SEARCH(immigration,C56)))&gt;0)</f>
        <v>0</v>
      </c>
      <c r="T56" s="14" cm="1">
        <f t="array" ref="T56">INT(SUMPRODUCT(--ISNUMBER(SEARCH(econineq,C57)))&gt;0)</f>
        <v>0</v>
      </c>
      <c r="U56" s="14" cm="1">
        <f t="array" ref="U56">INT(SUMPRODUCT(--ISNUMBER(SEARCH(climate,C56)))&gt;0)</f>
        <v>0</v>
      </c>
      <c r="V56" s="14" cm="1">
        <f t="array" ref="V56">INT(SUMPRODUCT(--ISNUMBER(SEARCH(abortion,C56)))&gt;0)</f>
        <v>0</v>
      </c>
      <c r="W56" s="14" cm="1">
        <f t="array" ref="W56">INT(SUMPRODUCT(--ISNUMBER(SEARCH(trump,C56)))&gt;0)</f>
        <v>0</v>
      </c>
      <c r="X56" s="14" cm="1">
        <f t="array" ref="X56">INT(SUMPRODUCT(--ISNUMBER(SEARCH(voting,C56)))&gt;0)</f>
        <v>0</v>
      </c>
      <c r="Y56" s="14" cm="1">
        <f t="array" ref="Y56">INT(SUMPRODUCT(--ISNUMBER(SEARCH(democrattrigger,C56)))&gt;0)</f>
        <v>0</v>
      </c>
      <c r="Z56" s="14" cm="1">
        <f t="array" ref="Z56">INT(SUMPRODUCT(--ISNUMBER(SEARCH(bipartisan,C56)))&gt;0)</f>
        <v>0</v>
      </c>
      <c r="AA56" s="14">
        <f t="shared" si="0"/>
        <v>0</v>
      </c>
      <c r="AB56" s="14"/>
      <c r="AC56" s="30">
        <v>1</v>
      </c>
      <c r="AD56" s="37">
        <v>0</v>
      </c>
    </row>
    <row r="57" spans="1:30" x14ac:dyDescent="0.25">
      <c r="A57" s="36">
        <v>2849</v>
      </c>
      <c r="B57" s="14" t="s">
        <v>5723</v>
      </c>
      <c r="C57" s="14" t="s">
        <v>5724</v>
      </c>
      <c r="D57" s="17">
        <v>44132</v>
      </c>
      <c r="E57" s="14" t="s">
        <v>30</v>
      </c>
      <c r="F57" s="14">
        <v>9</v>
      </c>
      <c r="G57" s="14">
        <v>6</v>
      </c>
      <c r="H57" s="14">
        <v>13</v>
      </c>
      <c r="I57" s="14">
        <v>7</v>
      </c>
      <c r="J57" s="14" t="s">
        <v>204</v>
      </c>
      <c r="K57" s="14" cm="1">
        <f t="array" ref="K57">INT(SUMPRODUCT(--ISNUMBER(SEARCH(economy,C57)))&gt;0)</f>
        <v>0</v>
      </c>
      <c r="L57" s="14" cm="1">
        <f t="array" ref="L57">INT(SUMPRODUCT(--ISNUMBER(SEARCH(healthcare,C57)))&gt;0)</f>
        <v>0</v>
      </c>
      <c r="M57" s="14" cm="1">
        <f t="array" ref="M57">INT(SUMPRODUCT(--ISNUMBER(SEARCH(supreme,C57)))&gt;0)</f>
        <v>0</v>
      </c>
      <c r="N57" s="14" cm="1">
        <f t="array" ref="N57">INT(SUMPRODUCT(--ISNUMBER(SEARCH(covid,C57)))&gt;0)</f>
        <v>0</v>
      </c>
      <c r="O57" s="14" cm="1">
        <f t="array" ref="O57">INT(SUMPRODUCT(--ISNUMBER(SEARCH(violent,C57)))&gt;0)</f>
        <v>0</v>
      </c>
      <c r="P57" s="14" cm="1">
        <f t="array" ref="P57">INT(SUMPRODUCT(--ISNUMBER(SEARCH(foreign,C57)))&gt;0)</f>
        <v>0</v>
      </c>
      <c r="Q57" s="14" cm="1">
        <f t="array" ref="Q57">INT(SUMPRODUCT(--ISNUMBER(SEARCH(gun,C57)))&gt;0)</f>
        <v>0</v>
      </c>
      <c r="R57" s="14" cm="1">
        <f t="array" ref="R57">INT(SUMPRODUCT(--ISNUMBER(SEARCH(race,C57)))&gt;0)</f>
        <v>0</v>
      </c>
      <c r="S57" s="14" cm="1">
        <f t="array" ref="S57">INT(SUMPRODUCT(--ISNUMBER(SEARCH(immigration,C57)))&gt;0)</f>
        <v>0</v>
      </c>
      <c r="T57" s="14" cm="1">
        <f t="array" ref="T57">INT(SUMPRODUCT(--ISNUMBER(SEARCH(econineq,C58)))&gt;0)</f>
        <v>0</v>
      </c>
      <c r="U57" s="14" cm="1">
        <f t="array" ref="U57">INT(SUMPRODUCT(--ISNUMBER(SEARCH(climate,C57)))&gt;0)</f>
        <v>0</v>
      </c>
      <c r="V57" s="14" cm="1">
        <f t="array" ref="V57">INT(SUMPRODUCT(--ISNUMBER(SEARCH(abortion,C57)))&gt;0)</f>
        <v>0</v>
      </c>
      <c r="W57" s="14" cm="1">
        <f t="array" ref="W57">INT(SUMPRODUCT(--ISNUMBER(SEARCH(trump,C57)))&gt;0)</f>
        <v>0</v>
      </c>
      <c r="X57" s="14" cm="1">
        <f t="array" ref="X57">INT(SUMPRODUCT(--ISNUMBER(SEARCH(voting,C57)))&gt;0)</f>
        <v>1</v>
      </c>
      <c r="Y57" s="14" cm="1">
        <f t="array" ref="Y57">INT(SUMPRODUCT(--ISNUMBER(SEARCH(democrattrigger,C57)))&gt;0)</f>
        <v>0</v>
      </c>
      <c r="Z57" s="14" cm="1">
        <f t="array" ref="Z57">INT(SUMPRODUCT(--ISNUMBER(SEARCH(bipartisan,C57)))&gt;0)</f>
        <v>0</v>
      </c>
      <c r="AA57" s="14">
        <f t="shared" si="0"/>
        <v>0</v>
      </c>
      <c r="AB57" s="14"/>
      <c r="AC57" s="30" t="s">
        <v>223</v>
      </c>
      <c r="AD57" s="37" t="s">
        <v>223</v>
      </c>
    </row>
    <row r="58" spans="1:30" x14ac:dyDescent="0.25">
      <c r="A58" s="36">
        <v>2850</v>
      </c>
      <c r="B58" s="14" t="s">
        <v>5725</v>
      </c>
      <c r="C58" s="14" t="s">
        <v>5726</v>
      </c>
      <c r="D58" s="17">
        <v>44132</v>
      </c>
      <c r="E58" s="14" t="s">
        <v>30</v>
      </c>
      <c r="F58" s="14">
        <v>61</v>
      </c>
      <c r="G58" s="14">
        <v>6</v>
      </c>
      <c r="H58" s="14">
        <v>13</v>
      </c>
      <c r="I58" s="14">
        <v>7</v>
      </c>
      <c r="J58" s="14" t="s">
        <v>204</v>
      </c>
      <c r="K58" s="14" cm="1">
        <f t="array" ref="K58">INT(SUMPRODUCT(--ISNUMBER(SEARCH(economy,C58)))&gt;0)</f>
        <v>0</v>
      </c>
      <c r="L58" s="14" cm="1">
        <f t="array" ref="L58">INT(SUMPRODUCT(--ISNUMBER(SEARCH(healthcare,C58)))&gt;0)</f>
        <v>0</v>
      </c>
      <c r="M58" s="14" cm="1">
        <f t="array" ref="M58">INT(SUMPRODUCT(--ISNUMBER(SEARCH(supreme,C58)))&gt;0)</f>
        <v>0</v>
      </c>
      <c r="N58" s="14" cm="1">
        <f t="array" ref="N58">INT(SUMPRODUCT(--ISNUMBER(SEARCH(covid,C58)))&gt;0)</f>
        <v>0</v>
      </c>
      <c r="O58" s="14" cm="1">
        <f t="array" ref="O58">INT(SUMPRODUCT(--ISNUMBER(SEARCH(violent,C58)))&gt;0)</f>
        <v>0</v>
      </c>
      <c r="P58" s="14" cm="1">
        <f t="array" ref="P58">INT(SUMPRODUCT(--ISNUMBER(SEARCH(foreign,C58)))&gt;0)</f>
        <v>0</v>
      </c>
      <c r="Q58" s="14" cm="1">
        <f t="array" ref="Q58">INT(SUMPRODUCT(--ISNUMBER(SEARCH(gun,C58)))&gt;0)</f>
        <v>0</v>
      </c>
      <c r="R58" s="14" cm="1">
        <f t="array" ref="R58">INT(SUMPRODUCT(--ISNUMBER(SEARCH(race,C58)))&gt;0)</f>
        <v>0</v>
      </c>
      <c r="S58" s="14" cm="1">
        <f t="array" ref="S58">INT(SUMPRODUCT(--ISNUMBER(SEARCH(immigration,C58)))&gt;0)</f>
        <v>0</v>
      </c>
      <c r="T58" s="14" cm="1">
        <f t="array" ref="T58">INT(SUMPRODUCT(--ISNUMBER(SEARCH(econineq,C59)))&gt;0)</f>
        <v>0</v>
      </c>
      <c r="U58" s="14" cm="1">
        <f t="array" ref="U58">INT(SUMPRODUCT(--ISNUMBER(SEARCH(climate,C58)))&gt;0)</f>
        <v>0</v>
      </c>
      <c r="V58" s="14" cm="1">
        <f t="array" ref="V58">INT(SUMPRODUCT(--ISNUMBER(SEARCH(abortion,C58)))&gt;0)</f>
        <v>0</v>
      </c>
      <c r="W58" s="14" cm="1">
        <f t="array" ref="W58">INT(SUMPRODUCT(--ISNUMBER(SEARCH(trump,C58)))&gt;0)</f>
        <v>0</v>
      </c>
      <c r="X58" s="14" cm="1">
        <f t="array" ref="X58">INT(SUMPRODUCT(--ISNUMBER(SEARCH(voting,C58)))&gt;0)</f>
        <v>0</v>
      </c>
      <c r="Y58" s="14" cm="1">
        <f t="array" ref="Y58">INT(SUMPRODUCT(--ISNUMBER(SEARCH(democrattrigger,C58)))&gt;0)</f>
        <v>0</v>
      </c>
      <c r="Z58" s="14" cm="1">
        <f t="array" ref="Z58">INT(SUMPRODUCT(--ISNUMBER(SEARCH(bipartisan,C58)))&gt;0)</f>
        <v>0</v>
      </c>
      <c r="AA58" s="14">
        <f t="shared" si="0"/>
        <v>1</v>
      </c>
      <c r="AB58" s="14"/>
      <c r="AC58" s="30">
        <v>1</v>
      </c>
      <c r="AD58" s="37">
        <v>0</v>
      </c>
    </row>
    <row r="59" spans="1:30" x14ac:dyDescent="0.25">
      <c r="A59" s="36">
        <v>2851</v>
      </c>
      <c r="B59" s="14" t="s">
        <v>5727</v>
      </c>
      <c r="C59" s="14" t="s">
        <v>5728</v>
      </c>
      <c r="D59" s="17">
        <v>44131</v>
      </c>
      <c r="E59" s="14" t="s">
        <v>30</v>
      </c>
      <c r="F59" s="14">
        <v>117</v>
      </c>
      <c r="G59" s="14">
        <v>23</v>
      </c>
      <c r="H59" s="14">
        <v>13</v>
      </c>
      <c r="I59" s="14">
        <v>7</v>
      </c>
      <c r="J59" s="14" t="s">
        <v>204</v>
      </c>
      <c r="K59" s="14" cm="1">
        <f t="array" ref="K59">INT(SUMPRODUCT(--ISNUMBER(SEARCH(economy,C59)))&gt;0)</f>
        <v>0</v>
      </c>
      <c r="L59" s="14" cm="1">
        <f t="array" ref="L59">INT(SUMPRODUCT(--ISNUMBER(SEARCH(healthcare,C59)))&gt;0)</f>
        <v>0</v>
      </c>
      <c r="M59" s="14" cm="1">
        <f t="array" ref="M59">INT(SUMPRODUCT(--ISNUMBER(SEARCH(supreme,C59)))&gt;0)</f>
        <v>1</v>
      </c>
      <c r="N59" s="14" cm="1">
        <f t="array" ref="N59">INT(SUMPRODUCT(--ISNUMBER(SEARCH(covid,C59)))&gt;0)</f>
        <v>0</v>
      </c>
      <c r="O59" s="14" cm="1">
        <f t="array" ref="O59">INT(SUMPRODUCT(--ISNUMBER(SEARCH(violent,C59)))&gt;0)</f>
        <v>0</v>
      </c>
      <c r="P59" s="14" cm="1">
        <f t="array" ref="P59">INT(SUMPRODUCT(--ISNUMBER(SEARCH(foreign,C59)))&gt;0)</f>
        <v>0</v>
      </c>
      <c r="Q59" s="14" cm="1">
        <f t="array" ref="Q59">INT(SUMPRODUCT(--ISNUMBER(SEARCH(gun,C59)))&gt;0)</f>
        <v>0</v>
      </c>
      <c r="R59" s="14" cm="1">
        <f t="array" ref="R59">INT(SUMPRODUCT(--ISNUMBER(SEARCH(race,C59)))&gt;0)</f>
        <v>0</v>
      </c>
      <c r="S59" s="14" cm="1">
        <f t="array" ref="S59">INT(SUMPRODUCT(--ISNUMBER(SEARCH(immigration,C59)))&gt;0)</f>
        <v>0</v>
      </c>
      <c r="T59" s="14" cm="1">
        <f t="array" ref="T59">INT(SUMPRODUCT(--ISNUMBER(SEARCH(econineq,C60)))&gt;0)</f>
        <v>0</v>
      </c>
      <c r="U59" s="14" cm="1">
        <f t="array" ref="U59">INT(SUMPRODUCT(--ISNUMBER(SEARCH(climate,C59)))&gt;0)</f>
        <v>0</v>
      </c>
      <c r="V59" s="14" cm="1">
        <f t="array" ref="V59">INT(SUMPRODUCT(--ISNUMBER(SEARCH(abortion,C59)))&gt;0)</f>
        <v>0</v>
      </c>
      <c r="W59" s="14" cm="1">
        <f t="array" ref="W59">INT(SUMPRODUCT(--ISNUMBER(SEARCH(trump,C59)))&gt;0)</f>
        <v>0</v>
      </c>
      <c r="X59" s="14" cm="1">
        <f t="array" ref="X59">INT(SUMPRODUCT(--ISNUMBER(SEARCH(voting,C59)))&gt;0)</f>
        <v>1</v>
      </c>
      <c r="Y59" s="14" cm="1">
        <f t="array" ref="Y59">INT(SUMPRODUCT(--ISNUMBER(SEARCH(democrattrigger,C59)))&gt;0)</f>
        <v>0</v>
      </c>
      <c r="Z59" s="14" cm="1">
        <f t="array" ref="Z59">INT(SUMPRODUCT(--ISNUMBER(SEARCH(bipartisan,C59)))&gt;0)</f>
        <v>0</v>
      </c>
      <c r="AA59" s="14">
        <f t="shared" si="0"/>
        <v>0</v>
      </c>
      <c r="AB59" s="14"/>
      <c r="AC59" s="30">
        <v>0</v>
      </c>
      <c r="AD59" s="37">
        <v>1</v>
      </c>
    </row>
    <row r="60" spans="1:30" x14ac:dyDescent="0.25">
      <c r="A60" s="36">
        <v>2852</v>
      </c>
      <c r="B60" s="14" t="s">
        <v>5729</v>
      </c>
      <c r="C60" s="14" t="s">
        <v>5730</v>
      </c>
      <c r="D60" s="17">
        <v>44131</v>
      </c>
      <c r="E60" s="14" t="s">
        <v>30</v>
      </c>
      <c r="F60" s="14">
        <v>53</v>
      </c>
      <c r="G60" s="14">
        <v>5</v>
      </c>
      <c r="H60" s="14">
        <v>13</v>
      </c>
      <c r="I60" s="14">
        <v>7</v>
      </c>
      <c r="J60" s="14" t="s">
        <v>204</v>
      </c>
      <c r="K60" s="14" cm="1">
        <f t="array" ref="K60">INT(SUMPRODUCT(--ISNUMBER(SEARCH(economy,C60)))&gt;0)</f>
        <v>0</v>
      </c>
      <c r="L60" s="14" cm="1">
        <f t="array" ref="L60">INT(SUMPRODUCT(--ISNUMBER(SEARCH(healthcare,C60)))&gt;0)</f>
        <v>0</v>
      </c>
      <c r="M60" s="14" cm="1">
        <f t="array" ref="M60">INT(SUMPRODUCT(--ISNUMBER(SEARCH(supreme,C60)))&gt;0)</f>
        <v>1</v>
      </c>
      <c r="N60" s="14" cm="1">
        <f t="array" ref="N60">INT(SUMPRODUCT(--ISNUMBER(SEARCH(covid,C60)))&gt;0)</f>
        <v>0</v>
      </c>
      <c r="O60" s="14" cm="1">
        <f t="array" ref="O60">INT(SUMPRODUCT(--ISNUMBER(SEARCH(violent,C60)))&gt;0)</f>
        <v>0</v>
      </c>
      <c r="P60" s="14" cm="1">
        <f t="array" ref="P60">INT(SUMPRODUCT(--ISNUMBER(SEARCH(foreign,C60)))&gt;0)</f>
        <v>0</v>
      </c>
      <c r="Q60" s="14" cm="1">
        <f t="array" ref="Q60">INT(SUMPRODUCT(--ISNUMBER(SEARCH(gun,C60)))&gt;0)</f>
        <v>0</v>
      </c>
      <c r="R60" s="14" cm="1">
        <f t="array" ref="R60">INT(SUMPRODUCT(--ISNUMBER(SEARCH(race,C60)))&gt;0)</f>
        <v>0</v>
      </c>
      <c r="S60" s="14" cm="1">
        <f t="array" ref="S60">INT(SUMPRODUCT(--ISNUMBER(SEARCH(immigration,C60)))&gt;0)</f>
        <v>0</v>
      </c>
      <c r="T60" s="14" cm="1">
        <f t="array" ref="T60">INT(SUMPRODUCT(--ISNUMBER(SEARCH(econineq,C61)))&gt;0)</f>
        <v>0</v>
      </c>
      <c r="U60" s="14" cm="1">
        <f t="array" ref="U60">INT(SUMPRODUCT(--ISNUMBER(SEARCH(climate,C60)))&gt;0)</f>
        <v>0</v>
      </c>
      <c r="V60" s="14" cm="1">
        <f t="array" ref="V60">INT(SUMPRODUCT(--ISNUMBER(SEARCH(abortion,C60)))&gt;0)</f>
        <v>0</v>
      </c>
      <c r="W60" s="14" cm="1">
        <f t="array" ref="W60">INT(SUMPRODUCT(--ISNUMBER(SEARCH(trump,C60)))&gt;0)</f>
        <v>0</v>
      </c>
      <c r="X60" s="14" cm="1">
        <f t="array" ref="X60">INT(SUMPRODUCT(--ISNUMBER(SEARCH(voting,C60)))&gt;0)</f>
        <v>0</v>
      </c>
      <c r="Y60" s="14" cm="1">
        <f t="array" ref="Y60">INT(SUMPRODUCT(--ISNUMBER(SEARCH(democrattrigger,C60)))&gt;0)</f>
        <v>0</v>
      </c>
      <c r="Z60" s="14" cm="1">
        <f t="array" ref="Z60">INT(SUMPRODUCT(--ISNUMBER(SEARCH(bipartisan,C60)))&gt;0)</f>
        <v>0</v>
      </c>
      <c r="AA60" s="14">
        <f t="shared" si="0"/>
        <v>0</v>
      </c>
      <c r="AB60" s="14"/>
      <c r="AC60" s="30" t="s">
        <v>223</v>
      </c>
      <c r="AD60" s="37" t="s">
        <v>223</v>
      </c>
    </row>
    <row r="61" spans="1:30" x14ac:dyDescent="0.25">
      <c r="A61" s="36">
        <v>2853</v>
      </c>
      <c r="B61" s="14" t="s">
        <v>5731</v>
      </c>
      <c r="C61" s="14" t="s">
        <v>5732</v>
      </c>
      <c r="D61" s="17">
        <v>44131</v>
      </c>
      <c r="E61" s="14" t="s">
        <v>30</v>
      </c>
      <c r="F61" s="14">
        <v>149</v>
      </c>
      <c r="G61" s="14">
        <v>36</v>
      </c>
      <c r="H61" s="14">
        <v>13</v>
      </c>
      <c r="I61" s="14">
        <v>7</v>
      </c>
      <c r="J61" s="14" t="s">
        <v>204</v>
      </c>
      <c r="K61" s="14" cm="1">
        <f t="array" ref="K61">INT(SUMPRODUCT(--ISNUMBER(SEARCH(economy,C61)))&gt;0)</f>
        <v>0</v>
      </c>
      <c r="L61" s="14" cm="1">
        <f t="array" ref="L61">INT(SUMPRODUCT(--ISNUMBER(SEARCH(healthcare,C61)))&gt;0)</f>
        <v>0</v>
      </c>
      <c r="M61" s="14" cm="1">
        <f t="array" ref="M61">INT(SUMPRODUCT(--ISNUMBER(SEARCH(supreme,C61)))&gt;0)</f>
        <v>1</v>
      </c>
      <c r="N61" s="14" cm="1">
        <f t="array" ref="N61">INT(SUMPRODUCT(--ISNUMBER(SEARCH(covid,C61)))&gt;0)</f>
        <v>0</v>
      </c>
      <c r="O61" s="14" cm="1">
        <f t="array" ref="O61">INT(SUMPRODUCT(--ISNUMBER(SEARCH(violent,C61)))&gt;0)</f>
        <v>0</v>
      </c>
      <c r="P61" s="14" cm="1">
        <f t="array" ref="P61">INT(SUMPRODUCT(--ISNUMBER(SEARCH(foreign,C61)))&gt;0)</f>
        <v>0</v>
      </c>
      <c r="Q61" s="14" cm="1">
        <f t="array" ref="Q61">INT(SUMPRODUCT(--ISNUMBER(SEARCH(gun,C61)))&gt;0)</f>
        <v>0</v>
      </c>
      <c r="R61" s="14" cm="1">
        <f t="array" ref="R61">INT(SUMPRODUCT(--ISNUMBER(SEARCH(race,C61)))&gt;0)</f>
        <v>0</v>
      </c>
      <c r="S61" s="14" cm="1">
        <f t="array" ref="S61">INT(SUMPRODUCT(--ISNUMBER(SEARCH(immigration,C61)))&gt;0)</f>
        <v>0</v>
      </c>
      <c r="T61" s="14" cm="1">
        <f t="array" ref="T61">INT(SUMPRODUCT(--ISNUMBER(SEARCH(econineq,C62)))&gt;0)</f>
        <v>0</v>
      </c>
      <c r="U61" s="14" cm="1">
        <f t="array" ref="U61">INT(SUMPRODUCT(--ISNUMBER(SEARCH(climate,C61)))&gt;0)</f>
        <v>0</v>
      </c>
      <c r="V61" s="14" cm="1">
        <f t="array" ref="V61">INT(SUMPRODUCT(--ISNUMBER(SEARCH(abortion,C61)))&gt;0)</f>
        <v>0</v>
      </c>
      <c r="W61" s="14" cm="1">
        <f t="array" ref="W61">INT(SUMPRODUCT(--ISNUMBER(SEARCH(trump,C61)))&gt;0)</f>
        <v>0</v>
      </c>
      <c r="X61" s="14" cm="1">
        <f t="array" ref="X61">INT(SUMPRODUCT(--ISNUMBER(SEARCH(voting,C61)))&gt;0)</f>
        <v>1</v>
      </c>
      <c r="Y61" s="14" cm="1">
        <f t="array" ref="Y61">INT(SUMPRODUCT(--ISNUMBER(SEARCH(democrattrigger,C61)))&gt;0)</f>
        <v>0</v>
      </c>
      <c r="Z61" s="14" cm="1">
        <f t="array" ref="Z61">INT(SUMPRODUCT(--ISNUMBER(SEARCH(bipartisan,C61)))&gt;0)</f>
        <v>0</v>
      </c>
      <c r="AA61" s="14">
        <f t="shared" si="0"/>
        <v>0</v>
      </c>
      <c r="AB61" s="14"/>
      <c r="AC61" s="30">
        <v>1</v>
      </c>
      <c r="AD61" s="37">
        <v>0</v>
      </c>
    </row>
    <row r="62" spans="1:30" x14ac:dyDescent="0.25">
      <c r="A62" s="36">
        <v>2854</v>
      </c>
      <c r="B62" s="14" t="s">
        <v>5733</v>
      </c>
      <c r="C62" s="14" t="s">
        <v>5734</v>
      </c>
      <c r="D62" s="17">
        <v>44130</v>
      </c>
      <c r="E62" s="14" t="s">
        <v>70</v>
      </c>
      <c r="F62" s="14">
        <v>24</v>
      </c>
      <c r="G62" s="14">
        <v>5</v>
      </c>
      <c r="H62" s="14">
        <v>13</v>
      </c>
      <c r="I62" s="14">
        <v>7</v>
      </c>
      <c r="J62" s="14" t="s">
        <v>204</v>
      </c>
      <c r="K62" s="14" cm="1">
        <f t="array" ref="K62">INT(SUMPRODUCT(--ISNUMBER(SEARCH(economy,C62)))&gt;0)</f>
        <v>0</v>
      </c>
      <c r="L62" s="14" cm="1">
        <f t="array" ref="L62">INT(SUMPRODUCT(--ISNUMBER(SEARCH(healthcare,C62)))&gt;0)</f>
        <v>1</v>
      </c>
      <c r="M62" s="14" cm="1">
        <f t="array" ref="M62">INT(SUMPRODUCT(--ISNUMBER(SEARCH(supreme,C62)))&gt;0)</f>
        <v>1</v>
      </c>
      <c r="N62" s="14" cm="1">
        <f t="array" ref="N62">INT(SUMPRODUCT(--ISNUMBER(SEARCH(covid,C62)))&gt;0)</f>
        <v>1</v>
      </c>
      <c r="O62" s="14" cm="1">
        <f t="array" ref="O62">INT(SUMPRODUCT(--ISNUMBER(SEARCH(violent,C62)))&gt;0)</f>
        <v>0</v>
      </c>
      <c r="P62" s="14" cm="1">
        <f t="array" ref="P62">INT(SUMPRODUCT(--ISNUMBER(SEARCH(foreign,C62)))&gt;0)</f>
        <v>0</v>
      </c>
      <c r="Q62" s="14" cm="1">
        <f t="array" ref="Q62">INT(SUMPRODUCT(--ISNUMBER(SEARCH(gun,C62)))&gt;0)</f>
        <v>0</v>
      </c>
      <c r="R62" s="14" cm="1">
        <f t="array" ref="R62">INT(SUMPRODUCT(--ISNUMBER(SEARCH(race,C62)))&gt;0)</f>
        <v>0</v>
      </c>
      <c r="S62" s="14" cm="1">
        <f t="array" ref="S62">INT(SUMPRODUCT(--ISNUMBER(SEARCH(immigration,C62)))&gt;0)</f>
        <v>0</v>
      </c>
      <c r="T62" s="14" cm="1">
        <f t="array" ref="T62">INT(SUMPRODUCT(--ISNUMBER(SEARCH(econineq,C63)))&gt;0)</f>
        <v>0</v>
      </c>
      <c r="U62" s="14" cm="1">
        <f t="array" ref="U62">INT(SUMPRODUCT(--ISNUMBER(SEARCH(climate,C62)))&gt;0)</f>
        <v>0</v>
      </c>
      <c r="V62" s="14" cm="1">
        <f t="array" ref="V62">INT(SUMPRODUCT(--ISNUMBER(SEARCH(abortion,C62)))&gt;0)</f>
        <v>0</v>
      </c>
      <c r="W62" s="14" cm="1">
        <f t="array" ref="W62">INT(SUMPRODUCT(--ISNUMBER(SEARCH(trump,C62)))&gt;0)</f>
        <v>0</v>
      </c>
      <c r="X62" s="14" cm="1">
        <f t="array" ref="X62">INT(SUMPRODUCT(--ISNUMBER(SEARCH(voting,C62)))&gt;0)</f>
        <v>1</v>
      </c>
      <c r="Y62" s="14" cm="1">
        <f t="array" ref="Y62">INT(SUMPRODUCT(--ISNUMBER(SEARCH(democrattrigger,C62)))&gt;0)</f>
        <v>1</v>
      </c>
      <c r="Z62" s="14" cm="1">
        <f t="array" ref="Z62">INT(SUMPRODUCT(--ISNUMBER(SEARCH(bipartisan,C62)))&gt;0)</f>
        <v>0</v>
      </c>
      <c r="AA62" s="14">
        <f t="shared" si="0"/>
        <v>0</v>
      </c>
      <c r="AB62" s="14"/>
      <c r="AC62" s="30" t="s">
        <v>223</v>
      </c>
      <c r="AD62" s="37" t="s">
        <v>223</v>
      </c>
    </row>
    <row r="63" spans="1:30" x14ac:dyDescent="0.25">
      <c r="A63" s="36">
        <v>2855</v>
      </c>
      <c r="B63" s="14" t="s">
        <v>5735</v>
      </c>
      <c r="C63" s="14" t="s">
        <v>5736</v>
      </c>
      <c r="D63" s="17">
        <v>44130</v>
      </c>
      <c r="E63" s="14" t="s">
        <v>70</v>
      </c>
      <c r="F63" s="14">
        <v>18</v>
      </c>
      <c r="G63" s="14">
        <v>4</v>
      </c>
      <c r="H63" s="14">
        <v>13</v>
      </c>
      <c r="I63" s="14">
        <v>7</v>
      </c>
      <c r="J63" s="14" t="s">
        <v>204</v>
      </c>
      <c r="K63" s="14" cm="1">
        <f t="array" ref="K63">INT(SUMPRODUCT(--ISNUMBER(SEARCH(economy,C63)))&gt;0)</f>
        <v>0</v>
      </c>
      <c r="L63" s="14" cm="1">
        <f t="array" ref="L63">INT(SUMPRODUCT(--ISNUMBER(SEARCH(healthcare,C63)))&gt;0)</f>
        <v>0</v>
      </c>
      <c r="M63" s="14" cm="1">
        <f t="array" ref="M63">INT(SUMPRODUCT(--ISNUMBER(SEARCH(supreme,C63)))&gt;0)</f>
        <v>1</v>
      </c>
      <c r="N63" s="14" cm="1">
        <f t="array" ref="N63">INT(SUMPRODUCT(--ISNUMBER(SEARCH(covid,C63)))&gt;0)</f>
        <v>1</v>
      </c>
      <c r="O63" s="14" cm="1">
        <f t="array" ref="O63">INT(SUMPRODUCT(--ISNUMBER(SEARCH(violent,C63)))&gt;0)</f>
        <v>0</v>
      </c>
      <c r="P63" s="14" cm="1">
        <f t="array" ref="P63">INT(SUMPRODUCT(--ISNUMBER(SEARCH(foreign,C63)))&gt;0)</f>
        <v>0</v>
      </c>
      <c r="Q63" s="14" cm="1">
        <f t="array" ref="Q63">INT(SUMPRODUCT(--ISNUMBER(SEARCH(gun,C63)))&gt;0)</f>
        <v>0</v>
      </c>
      <c r="R63" s="14" cm="1">
        <f t="array" ref="R63">INT(SUMPRODUCT(--ISNUMBER(SEARCH(race,C63)))&gt;0)</f>
        <v>0</v>
      </c>
      <c r="S63" s="14" cm="1">
        <f t="array" ref="S63">INT(SUMPRODUCT(--ISNUMBER(SEARCH(immigration,C63)))&gt;0)</f>
        <v>0</v>
      </c>
      <c r="T63" s="14" cm="1">
        <f t="array" ref="T63">INT(SUMPRODUCT(--ISNUMBER(SEARCH(econineq,C64)))&gt;0)</f>
        <v>0</v>
      </c>
      <c r="U63" s="14" cm="1">
        <f t="array" ref="U63">INT(SUMPRODUCT(--ISNUMBER(SEARCH(climate,C63)))&gt;0)</f>
        <v>0</v>
      </c>
      <c r="V63" s="14" cm="1">
        <f t="array" ref="V63">INT(SUMPRODUCT(--ISNUMBER(SEARCH(abortion,C63)))&gt;0)</f>
        <v>0</v>
      </c>
      <c r="W63" s="14" cm="1">
        <f t="array" ref="W63">INT(SUMPRODUCT(--ISNUMBER(SEARCH(trump,C63)))&gt;0)</f>
        <v>0</v>
      </c>
      <c r="X63" s="14" cm="1">
        <f t="array" ref="X63">INT(SUMPRODUCT(--ISNUMBER(SEARCH(voting,C63)))&gt;0)</f>
        <v>0</v>
      </c>
      <c r="Y63" s="14" cm="1">
        <f t="array" ref="Y63">INT(SUMPRODUCT(--ISNUMBER(SEARCH(democrattrigger,C63)))&gt;0)</f>
        <v>0</v>
      </c>
      <c r="Z63" s="14" cm="1">
        <f t="array" ref="Z63">INT(SUMPRODUCT(--ISNUMBER(SEARCH(bipartisan,C63)))&gt;0)</f>
        <v>0</v>
      </c>
      <c r="AA63" s="14">
        <f t="shared" si="0"/>
        <v>0</v>
      </c>
      <c r="AB63" s="14"/>
      <c r="AC63" s="30" t="s">
        <v>223</v>
      </c>
      <c r="AD63" s="37" t="s">
        <v>223</v>
      </c>
    </row>
    <row r="64" spans="1:30" x14ac:dyDescent="0.25">
      <c r="A64" s="36">
        <v>2856</v>
      </c>
      <c r="B64" s="14" t="s">
        <v>5737</v>
      </c>
      <c r="C64" s="14" t="s">
        <v>5738</v>
      </c>
      <c r="D64" s="17">
        <v>44130</v>
      </c>
      <c r="E64" s="14" t="s">
        <v>70</v>
      </c>
      <c r="F64" s="14">
        <v>10</v>
      </c>
      <c r="G64" s="14">
        <v>3</v>
      </c>
      <c r="H64" s="14">
        <v>13</v>
      </c>
      <c r="I64" s="14">
        <v>7</v>
      </c>
      <c r="J64" s="14" t="s">
        <v>204</v>
      </c>
      <c r="K64" s="14" cm="1">
        <f t="array" ref="K64">INT(SUMPRODUCT(--ISNUMBER(SEARCH(economy,C64)))&gt;0)</f>
        <v>0</v>
      </c>
      <c r="L64" s="14" cm="1">
        <f t="array" ref="L64">INT(SUMPRODUCT(--ISNUMBER(SEARCH(healthcare,C64)))&gt;0)</f>
        <v>0</v>
      </c>
      <c r="M64" s="14" cm="1">
        <f t="array" ref="M64">INT(SUMPRODUCT(--ISNUMBER(SEARCH(supreme,C64)))&gt;0)</f>
        <v>1</v>
      </c>
      <c r="N64" s="14" cm="1">
        <f t="array" ref="N64">INT(SUMPRODUCT(--ISNUMBER(SEARCH(covid,C64)))&gt;0)</f>
        <v>0</v>
      </c>
      <c r="O64" s="14" cm="1">
        <f t="array" ref="O64">INT(SUMPRODUCT(--ISNUMBER(SEARCH(violent,C64)))&gt;0)</f>
        <v>0</v>
      </c>
      <c r="P64" s="14" cm="1">
        <f t="array" ref="P64">INT(SUMPRODUCT(--ISNUMBER(SEARCH(foreign,C64)))&gt;0)</f>
        <v>0</v>
      </c>
      <c r="Q64" s="14" cm="1">
        <f t="array" ref="Q64">INT(SUMPRODUCT(--ISNUMBER(SEARCH(gun,C64)))&gt;0)</f>
        <v>0</v>
      </c>
      <c r="R64" s="14" cm="1">
        <f t="array" ref="R64">INT(SUMPRODUCT(--ISNUMBER(SEARCH(race,C64)))&gt;0)</f>
        <v>0</v>
      </c>
      <c r="S64" s="14" cm="1">
        <f t="array" ref="S64">INT(SUMPRODUCT(--ISNUMBER(SEARCH(immigration,C64)))&gt;0)</f>
        <v>0</v>
      </c>
      <c r="T64" s="14" cm="1">
        <f t="array" ref="T64">INT(SUMPRODUCT(--ISNUMBER(SEARCH(econineq,C65)))&gt;0)</f>
        <v>0</v>
      </c>
      <c r="U64" s="14" cm="1">
        <f t="array" ref="U64">INT(SUMPRODUCT(--ISNUMBER(SEARCH(climate,C64)))&gt;0)</f>
        <v>0</v>
      </c>
      <c r="V64" s="14" cm="1">
        <f t="array" ref="V64">INT(SUMPRODUCT(--ISNUMBER(SEARCH(abortion,C64)))&gt;0)</f>
        <v>0</v>
      </c>
      <c r="W64" s="14" cm="1">
        <f t="array" ref="W64">INT(SUMPRODUCT(--ISNUMBER(SEARCH(trump,C64)))&gt;0)</f>
        <v>1</v>
      </c>
      <c r="X64" s="14" cm="1">
        <f t="array" ref="X64">INT(SUMPRODUCT(--ISNUMBER(SEARCH(voting,C64)))&gt;0)</f>
        <v>1</v>
      </c>
      <c r="Y64" s="14" cm="1">
        <f t="array" ref="Y64">INT(SUMPRODUCT(--ISNUMBER(SEARCH(democrattrigger,C64)))&gt;0)</f>
        <v>0</v>
      </c>
      <c r="Z64" s="14" cm="1">
        <f t="array" ref="Z64">INT(SUMPRODUCT(--ISNUMBER(SEARCH(bipartisan,C64)))&gt;0)</f>
        <v>0</v>
      </c>
      <c r="AA64" s="14">
        <f t="shared" si="0"/>
        <v>0</v>
      </c>
      <c r="AB64" s="14"/>
      <c r="AC64" s="30" t="s">
        <v>223</v>
      </c>
      <c r="AD64" s="37" t="s">
        <v>223</v>
      </c>
    </row>
    <row r="65" spans="1:30" x14ac:dyDescent="0.25">
      <c r="A65" s="36">
        <v>2857</v>
      </c>
      <c r="B65" s="14" t="s">
        <v>5739</v>
      </c>
      <c r="C65" s="14" t="s">
        <v>5740</v>
      </c>
      <c r="D65" s="17">
        <v>44130</v>
      </c>
      <c r="E65" s="14" t="s">
        <v>70</v>
      </c>
      <c r="F65" s="14">
        <v>12</v>
      </c>
      <c r="G65" s="14">
        <v>5</v>
      </c>
      <c r="H65" s="14">
        <v>13</v>
      </c>
      <c r="I65" s="14">
        <v>7</v>
      </c>
      <c r="J65" s="14" t="s">
        <v>204</v>
      </c>
      <c r="K65" s="14" cm="1">
        <f t="array" ref="K65">INT(SUMPRODUCT(--ISNUMBER(SEARCH(economy,C65)))&gt;0)</f>
        <v>0</v>
      </c>
      <c r="L65" s="14" cm="1">
        <f t="array" ref="L65">INT(SUMPRODUCT(--ISNUMBER(SEARCH(healthcare,C65)))&gt;0)</f>
        <v>1</v>
      </c>
      <c r="M65" s="14" cm="1">
        <f t="array" ref="M65">INT(SUMPRODUCT(--ISNUMBER(SEARCH(supreme,C65)))&gt;0)</f>
        <v>1</v>
      </c>
      <c r="N65" s="14" cm="1">
        <f t="array" ref="N65">INT(SUMPRODUCT(--ISNUMBER(SEARCH(covid,C65)))&gt;0)</f>
        <v>0</v>
      </c>
      <c r="O65" s="14" cm="1">
        <f t="array" ref="O65">INT(SUMPRODUCT(--ISNUMBER(SEARCH(violent,C65)))&gt;0)</f>
        <v>0</v>
      </c>
      <c r="P65" s="14" cm="1">
        <f t="array" ref="P65">INT(SUMPRODUCT(--ISNUMBER(SEARCH(foreign,C65)))&gt;0)</f>
        <v>0</v>
      </c>
      <c r="Q65" s="14" cm="1">
        <f t="array" ref="Q65">INT(SUMPRODUCT(--ISNUMBER(SEARCH(gun,C65)))&gt;0)</f>
        <v>0</v>
      </c>
      <c r="R65" s="14" cm="1">
        <f t="array" ref="R65">INT(SUMPRODUCT(--ISNUMBER(SEARCH(race,C65)))&gt;0)</f>
        <v>0</v>
      </c>
      <c r="S65" s="14" cm="1">
        <f t="array" ref="S65">INT(SUMPRODUCT(--ISNUMBER(SEARCH(immigration,C65)))&gt;0)</f>
        <v>0</v>
      </c>
      <c r="T65" s="14" cm="1">
        <f t="array" ref="T65">INT(SUMPRODUCT(--ISNUMBER(SEARCH(econineq,C66)))&gt;0)</f>
        <v>0</v>
      </c>
      <c r="U65" s="14" cm="1">
        <f t="array" ref="U65">INT(SUMPRODUCT(--ISNUMBER(SEARCH(climate,C65)))&gt;0)</f>
        <v>0</v>
      </c>
      <c r="V65" s="14" cm="1">
        <f t="array" ref="V65">INT(SUMPRODUCT(--ISNUMBER(SEARCH(abortion,C65)))&gt;0)</f>
        <v>0</v>
      </c>
      <c r="W65" s="14" cm="1">
        <f t="array" ref="W65">INT(SUMPRODUCT(--ISNUMBER(SEARCH(trump,C65)))&gt;0)</f>
        <v>0</v>
      </c>
      <c r="X65" s="14" cm="1">
        <f t="array" ref="X65">INT(SUMPRODUCT(--ISNUMBER(SEARCH(voting,C65)))&gt;0)</f>
        <v>0</v>
      </c>
      <c r="Y65" s="14" cm="1">
        <f t="array" ref="Y65">INT(SUMPRODUCT(--ISNUMBER(SEARCH(democrattrigger,C65)))&gt;0)</f>
        <v>0</v>
      </c>
      <c r="Z65" s="14" cm="1">
        <f t="array" ref="Z65">INT(SUMPRODUCT(--ISNUMBER(SEARCH(bipartisan,C65)))&gt;0)</f>
        <v>0</v>
      </c>
      <c r="AA65" s="14">
        <f t="shared" si="0"/>
        <v>0</v>
      </c>
      <c r="AB65" s="14"/>
      <c r="AC65" s="30" t="s">
        <v>223</v>
      </c>
      <c r="AD65" s="37" t="s">
        <v>223</v>
      </c>
    </row>
    <row r="66" spans="1:30" x14ac:dyDescent="0.25">
      <c r="A66" s="36">
        <v>2858</v>
      </c>
      <c r="B66" s="14" t="s">
        <v>5741</v>
      </c>
      <c r="C66" s="14" t="s">
        <v>5742</v>
      </c>
      <c r="D66" s="17">
        <v>44130</v>
      </c>
      <c r="E66" s="14" t="s">
        <v>30</v>
      </c>
      <c r="F66" s="14">
        <v>91</v>
      </c>
      <c r="G66" s="14">
        <v>24</v>
      </c>
      <c r="H66" s="14">
        <v>13</v>
      </c>
      <c r="I66" s="14">
        <v>7</v>
      </c>
      <c r="J66" s="14" t="s">
        <v>204</v>
      </c>
      <c r="K66" s="14" cm="1">
        <f t="array" ref="K66">INT(SUMPRODUCT(--ISNUMBER(SEARCH(economy,C66)))&gt;0)</f>
        <v>0</v>
      </c>
      <c r="L66" s="14" cm="1">
        <f t="array" ref="L66">INT(SUMPRODUCT(--ISNUMBER(SEARCH(healthcare,C66)))&gt;0)</f>
        <v>1</v>
      </c>
      <c r="M66" s="14" cm="1">
        <f t="array" ref="M66">INT(SUMPRODUCT(--ISNUMBER(SEARCH(supreme,C66)))&gt;0)</f>
        <v>1</v>
      </c>
      <c r="N66" s="14" cm="1">
        <f t="array" ref="N66">INT(SUMPRODUCT(--ISNUMBER(SEARCH(covid,C66)))&gt;0)</f>
        <v>0</v>
      </c>
      <c r="O66" s="14" cm="1">
        <f t="array" ref="O66">INT(SUMPRODUCT(--ISNUMBER(SEARCH(violent,C66)))&gt;0)</f>
        <v>0</v>
      </c>
      <c r="P66" s="14" cm="1">
        <f t="array" ref="P66">INT(SUMPRODUCT(--ISNUMBER(SEARCH(foreign,C66)))&gt;0)</f>
        <v>0</v>
      </c>
      <c r="Q66" s="14" cm="1">
        <f t="array" ref="Q66">INT(SUMPRODUCT(--ISNUMBER(SEARCH(gun,C66)))&gt;0)</f>
        <v>0</v>
      </c>
      <c r="R66" s="14" cm="1">
        <f t="array" ref="R66">INT(SUMPRODUCT(--ISNUMBER(SEARCH(race,C66)))&gt;0)</f>
        <v>0</v>
      </c>
      <c r="S66" s="14" cm="1">
        <f t="array" ref="S66">INT(SUMPRODUCT(--ISNUMBER(SEARCH(immigration,C66)))&gt;0)</f>
        <v>0</v>
      </c>
      <c r="T66" s="14" cm="1">
        <f t="array" ref="T66">INT(SUMPRODUCT(--ISNUMBER(SEARCH(econineq,C67)))&gt;0)</f>
        <v>0</v>
      </c>
      <c r="U66" s="14" cm="1">
        <f t="array" ref="U66">INT(SUMPRODUCT(--ISNUMBER(SEARCH(climate,C66)))&gt;0)</f>
        <v>0</v>
      </c>
      <c r="V66" s="14" cm="1">
        <f t="array" ref="V66">INT(SUMPRODUCT(--ISNUMBER(SEARCH(abortion,C66)))&gt;0)</f>
        <v>0</v>
      </c>
      <c r="W66" s="14" cm="1">
        <f t="array" ref="W66">INT(SUMPRODUCT(--ISNUMBER(SEARCH(trump,C66)))&gt;0)</f>
        <v>0</v>
      </c>
      <c r="X66" s="14" cm="1">
        <f t="array" ref="X66">INT(SUMPRODUCT(--ISNUMBER(SEARCH(voting,C66)))&gt;0)</f>
        <v>1</v>
      </c>
      <c r="Y66" s="14" cm="1">
        <f t="array" ref="Y66">INT(SUMPRODUCT(--ISNUMBER(SEARCH(democrattrigger,C66)))&gt;0)</f>
        <v>1</v>
      </c>
      <c r="Z66" s="14" cm="1">
        <f t="array" ref="Z66">INT(SUMPRODUCT(--ISNUMBER(SEARCH(bipartisan,C66)))&gt;0)</f>
        <v>0</v>
      </c>
      <c r="AA66" s="14">
        <f t="shared" si="0"/>
        <v>0</v>
      </c>
      <c r="AB66" s="14"/>
      <c r="AC66" s="30" t="s">
        <v>223</v>
      </c>
      <c r="AD66" s="37" t="s">
        <v>223</v>
      </c>
    </row>
    <row r="67" spans="1:30" x14ac:dyDescent="0.25">
      <c r="A67" s="36">
        <v>2859</v>
      </c>
      <c r="B67" s="14" t="s">
        <v>5743</v>
      </c>
      <c r="C67" s="14" t="s">
        <v>5744</v>
      </c>
      <c r="D67" s="17">
        <v>44130</v>
      </c>
      <c r="E67" s="14" t="s">
        <v>30</v>
      </c>
      <c r="F67" s="14">
        <v>5</v>
      </c>
      <c r="G67" s="14">
        <v>2</v>
      </c>
      <c r="H67" s="14">
        <v>13</v>
      </c>
      <c r="I67" s="14">
        <v>7</v>
      </c>
      <c r="J67" s="14" t="s">
        <v>204</v>
      </c>
      <c r="K67" s="14" cm="1">
        <f t="array" ref="K67">INT(SUMPRODUCT(--ISNUMBER(SEARCH(economy,C67)))&gt;0)</f>
        <v>0</v>
      </c>
      <c r="L67" s="14" cm="1">
        <f t="array" ref="L67">INT(SUMPRODUCT(--ISNUMBER(SEARCH(healthcare,C67)))&gt;0)</f>
        <v>1</v>
      </c>
      <c r="M67" s="14" cm="1">
        <f t="array" ref="M67">INT(SUMPRODUCT(--ISNUMBER(SEARCH(supreme,C67)))&gt;0)</f>
        <v>0</v>
      </c>
      <c r="N67" s="14" cm="1">
        <f t="array" ref="N67">INT(SUMPRODUCT(--ISNUMBER(SEARCH(covid,C67)))&gt;0)</f>
        <v>0</v>
      </c>
      <c r="O67" s="14" cm="1">
        <f t="array" ref="O67">INT(SUMPRODUCT(--ISNUMBER(SEARCH(violent,C67)))&gt;0)</f>
        <v>0</v>
      </c>
      <c r="P67" s="14" cm="1">
        <f t="array" ref="P67">INT(SUMPRODUCT(--ISNUMBER(SEARCH(foreign,C67)))&gt;0)</f>
        <v>0</v>
      </c>
      <c r="Q67" s="14" cm="1">
        <f t="array" ref="Q67">INT(SUMPRODUCT(--ISNUMBER(SEARCH(gun,C67)))&gt;0)</f>
        <v>0</v>
      </c>
      <c r="R67" s="14" cm="1">
        <f t="array" ref="R67">INT(SUMPRODUCT(--ISNUMBER(SEARCH(race,C67)))&gt;0)</f>
        <v>0</v>
      </c>
      <c r="S67" s="14" cm="1">
        <f t="array" ref="S67">INT(SUMPRODUCT(--ISNUMBER(SEARCH(immigration,C67)))&gt;0)</f>
        <v>0</v>
      </c>
      <c r="T67" s="14" cm="1">
        <f t="array" ref="T67">INT(SUMPRODUCT(--ISNUMBER(SEARCH(econineq,C68)))&gt;0)</f>
        <v>0</v>
      </c>
      <c r="U67" s="14" cm="1">
        <f t="array" ref="U67">INT(SUMPRODUCT(--ISNUMBER(SEARCH(climate,C67)))&gt;0)</f>
        <v>0</v>
      </c>
      <c r="V67" s="14" cm="1">
        <f t="array" ref="V67">INT(SUMPRODUCT(--ISNUMBER(SEARCH(abortion,C67)))&gt;0)</f>
        <v>0</v>
      </c>
      <c r="W67" s="14" cm="1">
        <f t="array" ref="W67">INT(SUMPRODUCT(--ISNUMBER(SEARCH(trump,C67)))&gt;0)</f>
        <v>0</v>
      </c>
      <c r="X67" s="14" cm="1">
        <f t="array" ref="X67">INT(SUMPRODUCT(--ISNUMBER(SEARCH(voting,C67)))&gt;0)</f>
        <v>0</v>
      </c>
      <c r="Y67" s="14" cm="1">
        <f t="array" ref="Y67">INT(SUMPRODUCT(--ISNUMBER(SEARCH(democrattrigger,C67)))&gt;0)</f>
        <v>0</v>
      </c>
      <c r="Z67" s="14" cm="1">
        <f t="array" ref="Z67">INT(SUMPRODUCT(--ISNUMBER(SEARCH(bipartisan,C67)))&gt;0)</f>
        <v>0</v>
      </c>
      <c r="AA67" s="14">
        <f t="shared" ref="AA67:AA130" si="1">INT(IF(COUNTIF(K67:Z67,1)=0,"1","0"))</f>
        <v>0</v>
      </c>
      <c r="AB67" s="14"/>
      <c r="AC67" s="30" t="s">
        <v>223</v>
      </c>
      <c r="AD67" s="37" t="s">
        <v>223</v>
      </c>
    </row>
    <row r="68" spans="1:30" x14ac:dyDescent="0.25">
      <c r="A68" s="36">
        <v>2860</v>
      </c>
      <c r="B68" s="14" t="s">
        <v>5745</v>
      </c>
      <c r="C68" s="14" t="s">
        <v>5746</v>
      </c>
      <c r="D68" s="17">
        <v>44130</v>
      </c>
      <c r="E68" s="14" t="s">
        <v>30</v>
      </c>
      <c r="F68" s="14">
        <v>20</v>
      </c>
      <c r="G68" s="14">
        <v>6</v>
      </c>
      <c r="H68" s="14">
        <v>13</v>
      </c>
      <c r="I68" s="14">
        <v>7</v>
      </c>
      <c r="J68" s="14" t="s">
        <v>204</v>
      </c>
      <c r="K68" s="14" cm="1">
        <f t="array" ref="K68">INT(SUMPRODUCT(--ISNUMBER(SEARCH(economy,C68)))&gt;0)</f>
        <v>0</v>
      </c>
      <c r="L68" s="14" cm="1">
        <f t="array" ref="L68">INT(SUMPRODUCT(--ISNUMBER(SEARCH(healthcare,C68)))&gt;0)</f>
        <v>0</v>
      </c>
      <c r="M68" s="14" cm="1">
        <f t="array" ref="M68">INT(SUMPRODUCT(--ISNUMBER(SEARCH(supreme,C68)))&gt;0)</f>
        <v>0</v>
      </c>
      <c r="N68" s="14" cm="1">
        <f t="array" ref="N68">INT(SUMPRODUCT(--ISNUMBER(SEARCH(covid,C68)))&gt;0)</f>
        <v>0</v>
      </c>
      <c r="O68" s="14" cm="1">
        <f t="array" ref="O68">INT(SUMPRODUCT(--ISNUMBER(SEARCH(violent,C68)))&gt;0)</f>
        <v>0</v>
      </c>
      <c r="P68" s="14" cm="1">
        <f t="array" ref="P68">INT(SUMPRODUCT(--ISNUMBER(SEARCH(foreign,C68)))&gt;0)</f>
        <v>0</v>
      </c>
      <c r="Q68" s="14" cm="1">
        <f t="array" ref="Q68">INT(SUMPRODUCT(--ISNUMBER(SEARCH(gun,C68)))&gt;0)</f>
        <v>0</v>
      </c>
      <c r="R68" s="14" cm="1">
        <f t="array" ref="R68">INT(SUMPRODUCT(--ISNUMBER(SEARCH(race,C68)))&gt;0)</f>
        <v>0</v>
      </c>
      <c r="S68" s="14" cm="1">
        <f t="array" ref="S68">INT(SUMPRODUCT(--ISNUMBER(SEARCH(immigration,C68)))&gt;0)</f>
        <v>0</v>
      </c>
      <c r="T68" s="14" cm="1">
        <f t="array" ref="T68">INT(SUMPRODUCT(--ISNUMBER(SEARCH(econineq,C69)))&gt;0)</f>
        <v>0</v>
      </c>
      <c r="U68" s="14" cm="1">
        <f t="array" ref="U68">INT(SUMPRODUCT(--ISNUMBER(SEARCH(climate,C68)))&gt;0)</f>
        <v>0</v>
      </c>
      <c r="V68" s="14" cm="1">
        <f t="array" ref="V68">INT(SUMPRODUCT(--ISNUMBER(SEARCH(abortion,C68)))&gt;0)</f>
        <v>0</v>
      </c>
      <c r="W68" s="14" cm="1">
        <f t="array" ref="W68">INT(SUMPRODUCT(--ISNUMBER(SEARCH(trump,C68)))&gt;0)</f>
        <v>0</v>
      </c>
      <c r="X68" s="14" cm="1">
        <f t="array" ref="X68">INT(SUMPRODUCT(--ISNUMBER(SEARCH(voting,C68)))&gt;0)</f>
        <v>1</v>
      </c>
      <c r="Y68" s="14" cm="1">
        <f t="array" ref="Y68">INT(SUMPRODUCT(--ISNUMBER(SEARCH(democrattrigger,C68)))&gt;0)</f>
        <v>1</v>
      </c>
      <c r="Z68" s="14" cm="1">
        <f t="array" ref="Z68">INT(SUMPRODUCT(--ISNUMBER(SEARCH(bipartisan,C68)))&gt;0)</f>
        <v>1</v>
      </c>
      <c r="AA68" s="14">
        <f t="shared" si="1"/>
        <v>0</v>
      </c>
      <c r="AB68" s="14"/>
      <c r="AC68" s="30">
        <v>0</v>
      </c>
      <c r="AD68" s="37">
        <v>1</v>
      </c>
    </row>
    <row r="69" spans="1:30" x14ac:dyDescent="0.25">
      <c r="A69" s="36">
        <v>2861</v>
      </c>
      <c r="B69" s="14" t="s">
        <v>5747</v>
      </c>
      <c r="C69" s="14" t="s">
        <v>5748</v>
      </c>
      <c r="D69" s="17">
        <v>44130</v>
      </c>
      <c r="E69" s="14" t="s">
        <v>30</v>
      </c>
      <c r="F69" s="14">
        <v>27</v>
      </c>
      <c r="G69" s="14">
        <v>8</v>
      </c>
      <c r="H69" s="14">
        <v>13</v>
      </c>
      <c r="I69" s="14">
        <v>7</v>
      </c>
      <c r="J69" s="14" t="s">
        <v>204</v>
      </c>
      <c r="K69" s="14" cm="1">
        <f t="array" ref="K69">INT(SUMPRODUCT(--ISNUMBER(SEARCH(economy,C69)))&gt;0)</f>
        <v>0</v>
      </c>
      <c r="L69" s="14" cm="1">
        <f t="array" ref="L69">INT(SUMPRODUCT(--ISNUMBER(SEARCH(healthcare,C69)))&gt;0)</f>
        <v>0</v>
      </c>
      <c r="M69" s="14" cm="1">
        <f t="array" ref="M69">INT(SUMPRODUCT(--ISNUMBER(SEARCH(supreme,C69)))&gt;0)</f>
        <v>0</v>
      </c>
      <c r="N69" s="14" cm="1">
        <f t="array" ref="N69">INT(SUMPRODUCT(--ISNUMBER(SEARCH(covid,C69)))&gt;0)</f>
        <v>0</v>
      </c>
      <c r="O69" s="14" cm="1">
        <f t="array" ref="O69">INT(SUMPRODUCT(--ISNUMBER(SEARCH(violent,C69)))&gt;0)</f>
        <v>0</v>
      </c>
      <c r="P69" s="14" cm="1">
        <f t="array" ref="P69">INT(SUMPRODUCT(--ISNUMBER(SEARCH(foreign,C69)))&gt;0)</f>
        <v>0</v>
      </c>
      <c r="Q69" s="14" cm="1">
        <f t="array" ref="Q69">INT(SUMPRODUCT(--ISNUMBER(SEARCH(gun,C69)))&gt;0)</f>
        <v>0</v>
      </c>
      <c r="R69" s="14" cm="1">
        <f t="array" ref="R69">INT(SUMPRODUCT(--ISNUMBER(SEARCH(race,C69)))&gt;0)</f>
        <v>0</v>
      </c>
      <c r="S69" s="14" cm="1">
        <f t="array" ref="S69">INT(SUMPRODUCT(--ISNUMBER(SEARCH(immigration,C69)))&gt;0)</f>
        <v>0</v>
      </c>
      <c r="T69" s="14" cm="1">
        <f t="array" ref="T69">INT(SUMPRODUCT(--ISNUMBER(SEARCH(econineq,C70)))&gt;0)</f>
        <v>0</v>
      </c>
      <c r="U69" s="14" cm="1">
        <f t="array" ref="U69">INT(SUMPRODUCT(--ISNUMBER(SEARCH(climate,C69)))&gt;0)</f>
        <v>0</v>
      </c>
      <c r="V69" s="14" cm="1">
        <f t="array" ref="V69">INT(SUMPRODUCT(--ISNUMBER(SEARCH(abortion,C69)))&gt;0)</f>
        <v>0</v>
      </c>
      <c r="W69" s="14" cm="1">
        <f t="array" ref="W69">INT(SUMPRODUCT(--ISNUMBER(SEARCH(trump,C69)))&gt;0)</f>
        <v>0</v>
      </c>
      <c r="X69" s="14" cm="1">
        <f t="array" ref="X69">INT(SUMPRODUCT(--ISNUMBER(SEARCH(voting,C69)))&gt;0)</f>
        <v>0</v>
      </c>
      <c r="Y69" s="14" cm="1">
        <f t="array" ref="Y69">INT(SUMPRODUCT(--ISNUMBER(SEARCH(democrattrigger,C69)))&gt;0)</f>
        <v>0</v>
      </c>
      <c r="Z69" s="14" cm="1">
        <f t="array" ref="Z69">INT(SUMPRODUCT(--ISNUMBER(SEARCH(bipartisan,C69)))&gt;0)</f>
        <v>0</v>
      </c>
      <c r="AA69" s="14">
        <f t="shared" si="1"/>
        <v>1</v>
      </c>
      <c r="AB69" s="14"/>
      <c r="AC69" s="30">
        <v>0</v>
      </c>
      <c r="AD69" s="37">
        <v>1</v>
      </c>
    </row>
    <row r="70" spans="1:30" x14ac:dyDescent="0.25">
      <c r="A70" s="36">
        <v>2862</v>
      </c>
      <c r="B70" s="14" t="s">
        <v>5749</v>
      </c>
      <c r="C70" s="14" t="s">
        <v>5750</v>
      </c>
      <c r="D70" s="17">
        <v>44129</v>
      </c>
      <c r="E70" s="14" t="s">
        <v>30</v>
      </c>
      <c r="F70" s="14">
        <v>42</v>
      </c>
      <c r="G70" s="14">
        <v>12</v>
      </c>
      <c r="H70" s="14">
        <v>13</v>
      </c>
      <c r="I70" s="14">
        <v>7</v>
      </c>
      <c r="J70" s="14" t="s">
        <v>204</v>
      </c>
      <c r="K70" s="14" cm="1">
        <f t="array" ref="K70">INT(SUMPRODUCT(--ISNUMBER(SEARCH(economy,C70)))&gt;0)</f>
        <v>0</v>
      </c>
      <c r="L70" s="14" cm="1">
        <f t="array" ref="L70">INT(SUMPRODUCT(--ISNUMBER(SEARCH(healthcare,C70)))&gt;0)</f>
        <v>0</v>
      </c>
      <c r="M70" s="14" cm="1">
        <f t="array" ref="M70">INT(SUMPRODUCT(--ISNUMBER(SEARCH(supreme,C70)))&gt;0)</f>
        <v>0</v>
      </c>
      <c r="N70" s="14" cm="1">
        <f t="array" ref="N70">INT(SUMPRODUCT(--ISNUMBER(SEARCH(covid,C70)))&gt;0)</f>
        <v>0</v>
      </c>
      <c r="O70" s="14" cm="1">
        <f t="array" ref="O70">INT(SUMPRODUCT(--ISNUMBER(SEARCH(violent,C70)))&gt;0)</f>
        <v>0</v>
      </c>
      <c r="P70" s="14" cm="1">
        <f t="array" ref="P70">INT(SUMPRODUCT(--ISNUMBER(SEARCH(foreign,C70)))&gt;0)</f>
        <v>0</v>
      </c>
      <c r="Q70" s="14" cm="1">
        <f t="array" ref="Q70">INT(SUMPRODUCT(--ISNUMBER(SEARCH(gun,C70)))&gt;0)</f>
        <v>0</v>
      </c>
      <c r="R70" s="14" cm="1">
        <f t="array" ref="R70">INT(SUMPRODUCT(--ISNUMBER(SEARCH(race,C70)))&gt;0)</f>
        <v>0</v>
      </c>
      <c r="S70" s="14" cm="1">
        <f t="array" ref="S70">INT(SUMPRODUCT(--ISNUMBER(SEARCH(immigration,C70)))&gt;0)</f>
        <v>0</v>
      </c>
      <c r="T70" s="14" cm="1">
        <f t="array" ref="T70">INT(SUMPRODUCT(--ISNUMBER(SEARCH(econineq,C71)))&gt;0)</f>
        <v>0</v>
      </c>
      <c r="U70" s="14" cm="1">
        <f t="array" ref="U70">INT(SUMPRODUCT(--ISNUMBER(SEARCH(climate,C70)))&gt;0)</f>
        <v>0</v>
      </c>
      <c r="V70" s="14" cm="1">
        <f t="array" ref="V70">INT(SUMPRODUCT(--ISNUMBER(SEARCH(abortion,C70)))&gt;0)</f>
        <v>0</v>
      </c>
      <c r="W70" s="14" cm="1">
        <f t="array" ref="W70">INT(SUMPRODUCT(--ISNUMBER(SEARCH(trump,C70)))&gt;0)</f>
        <v>1</v>
      </c>
      <c r="X70" s="14" cm="1">
        <f t="array" ref="X70">INT(SUMPRODUCT(--ISNUMBER(SEARCH(voting,C70)))&gt;0)</f>
        <v>0</v>
      </c>
      <c r="Y70" s="14" cm="1">
        <f t="array" ref="Y70">INT(SUMPRODUCT(--ISNUMBER(SEARCH(democrattrigger,C70)))&gt;0)</f>
        <v>1</v>
      </c>
      <c r="Z70" s="14" cm="1">
        <f t="array" ref="Z70">INT(SUMPRODUCT(--ISNUMBER(SEARCH(bipartisan,C70)))&gt;0)</f>
        <v>0</v>
      </c>
      <c r="AA70" s="14">
        <f t="shared" si="1"/>
        <v>0</v>
      </c>
      <c r="AB70" s="14"/>
      <c r="AC70" s="30">
        <v>0</v>
      </c>
      <c r="AD70" s="37">
        <v>1</v>
      </c>
    </row>
    <row r="71" spans="1:30" x14ac:dyDescent="0.25">
      <c r="A71" s="36">
        <v>2863</v>
      </c>
      <c r="B71" s="14" t="s">
        <v>5751</v>
      </c>
      <c r="C71" s="14" t="s">
        <v>5752</v>
      </c>
      <c r="D71" s="17">
        <v>44129</v>
      </c>
      <c r="E71" s="14" t="s">
        <v>30</v>
      </c>
      <c r="F71" s="14">
        <v>27</v>
      </c>
      <c r="G71" s="14">
        <v>4</v>
      </c>
      <c r="H71" s="14">
        <v>13</v>
      </c>
      <c r="I71" s="14">
        <v>7</v>
      </c>
      <c r="J71" s="14" t="s">
        <v>204</v>
      </c>
      <c r="K71" s="14" cm="1">
        <f t="array" ref="K71">INT(SUMPRODUCT(--ISNUMBER(SEARCH(economy,C71)))&gt;0)</f>
        <v>1</v>
      </c>
      <c r="L71" s="14" cm="1">
        <f t="array" ref="L71">INT(SUMPRODUCT(--ISNUMBER(SEARCH(healthcare,C71)))&gt;0)</f>
        <v>1</v>
      </c>
      <c r="M71" s="14" cm="1">
        <f t="array" ref="M71">INT(SUMPRODUCT(--ISNUMBER(SEARCH(supreme,C71)))&gt;0)</f>
        <v>0</v>
      </c>
      <c r="N71" s="14" cm="1">
        <f t="array" ref="N71">INT(SUMPRODUCT(--ISNUMBER(SEARCH(covid,C71)))&gt;0)</f>
        <v>1</v>
      </c>
      <c r="O71" s="14" cm="1">
        <f t="array" ref="O71">INT(SUMPRODUCT(--ISNUMBER(SEARCH(violent,C71)))&gt;0)</f>
        <v>0</v>
      </c>
      <c r="P71" s="14" cm="1">
        <f t="array" ref="P71">INT(SUMPRODUCT(--ISNUMBER(SEARCH(foreign,C71)))&gt;0)</f>
        <v>0</v>
      </c>
      <c r="Q71" s="14" cm="1">
        <f t="array" ref="Q71">INT(SUMPRODUCT(--ISNUMBER(SEARCH(gun,C71)))&gt;0)</f>
        <v>0</v>
      </c>
      <c r="R71" s="14" cm="1">
        <f t="array" ref="R71">INT(SUMPRODUCT(--ISNUMBER(SEARCH(race,C71)))&gt;0)</f>
        <v>0</v>
      </c>
      <c r="S71" s="14" cm="1">
        <f t="array" ref="S71">INT(SUMPRODUCT(--ISNUMBER(SEARCH(immigration,C71)))&gt;0)</f>
        <v>0</v>
      </c>
      <c r="T71" s="14" cm="1">
        <f t="array" ref="T71">INT(SUMPRODUCT(--ISNUMBER(SEARCH(econineq,C72)))&gt;0)</f>
        <v>0</v>
      </c>
      <c r="U71" s="14" cm="1">
        <f t="array" ref="U71">INT(SUMPRODUCT(--ISNUMBER(SEARCH(climate,C71)))&gt;0)</f>
        <v>0</v>
      </c>
      <c r="V71" s="14" cm="1">
        <f t="array" ref="V71">INT(SUMPRODUCT(--ISNUMBER(SEARCH(abortion,C71)))&gt;0)</f>
        <v>0</v>
      </c>
      <c r="W71" s="14" cm="1">
        <f t="array" ref="W71">INT(SUMPRODUCT(--ISNUMBER(SEARCH(trump,C71)))&gt;0)</f>
        <v>0</v>
      </c>
      <c r="X71" s="14" cm="1">
        <f t="array" ref="X71">INT(SUMPRODUCT(--ISNUMBER(SEARCH(voting,C71)))&gt;0)</f>
        <v>0</v>
      </c>
      <c r="Y71" s="14" cm="1">
        <f t="array" ref="Y71">INT(SUMPRODUCT(--ISNUMBER(SEARCH(democrattrigger,C71)))&gt;0)</f>
        <v>0</v>
      </c>
      <c r="Z71" s="14" cm="1">
        <f t="array" ref="Z71">INT(SUMPRODUCT(--ISNUMBER(SEARCH(bipartisan,C71)))&gt;0)</f>
        <v>0</v>
      </c>
      <c r="AA71" s="14">
        <f t="shared" si="1"/>
        <v>0</v>
      </c>
      <c r="AB71" s="14"/>
      <c r="AC71" s="30">
        <v>1</v>
      </c>
      <c r="AD71" s="37">
        <v>0</v>
      </c>
    </row>
    <row r="72" spans="1:30" x14ac:dyDescent="0.25">
      <c r="A72" s="36">
        <v>2864</v>
      </c>
      <c r="B72" s="14" t="s">
        <v>5753</v>
      </c>
      <c r="C72" s="14" t="s">
        <v>5754</v>
      </c>
      <c r="D72" s="17">
        <v>44128</v>
      </c>
      <c r="E72" s="14" t="s">
        <v>30</v>
      </c>
      <c r="F72" s="14">
        <v>57</v>
      </c>
      <c r="G72" s="14">
        <v>12</v>
      </c>
      <c r="H72" s="14">
        <v>13</v>
      </c>
      <c r="I72" s="14">
        <v>7</v>
      </c>
      <c r="J72" s="14" t="s">
        <v>204</v>
      </c>
      <c r="K72" s="14" cm="1">
        <f t="array" ref="K72">INT(SUMPRODUCT(--ISNUMBER(SEARCH(economy,C72)))&gt;0)</f>
        <v>0</v>
      </c>
      <c r="L72" s="14" cm="1">
        <f t="array" ref="L72">INT(SUMPRODUCT(--ISNUMBER(SEARCH(healthcare,C72)))&gt;0)</f>
        <v>0</v>
      </c>
      <c r="M72" s="14" cm="1">
        <f t="array" ref="M72">INT(SUMPRODUCT(--ISNUMBER(SEARCH(supreme,C72)))&gt;0)</f>
        <v>0</v>
      </c>
      <c r="N72" s="14" cm="1">
        <f t="array" ref="N72">INT(SUMPRODUCT(--ISNUMBER(SEARCH(covid,C72)))&gt;0)</f>
        <v>0</v>
      </c>
      <c r="O72" s="14" cm="1">
        <f t="array" ref="O72">INT(SUMPRODUCT(--ISNUMBER(SEARCH(violent,C72)))&gt;0)</f>
        <v>0</v>
      </c>
      <c r="P72" s="14" cm="1">
        <f t="array" ref="P72">INT(SUMPRODUCT(--ISNUMBER(SEARCH(foreign,C72)))&gt;0)</f>
        <v>0</v>
      </c>
      <c r="Q72" s="14" cm="1">
        <f t="array" ref="Q72">INT(SUMPRODUCT(--ISNUMBER(SEARCH(gun,C72)))&gt;0)</f>
        <v>0</v>
      </c>
      <c r="R72" s="14" cm="1">
        <f t="array" ref="R72">INT(SUMPRODUCT(--ISNUMBER(SEARCH(race,C72)))&gt;0)</f>
        <v>0</v>
      </c>
      <c r="S72" s="14" cm="1">
        <f t="array" ref="S72">INT(SUMPRODUCT(--ISNUMBER(SEARCH(immigration,C72)))&gt;0)</f>
        <v>0</v>
      </c>
      <c r="T72" s="14" cm="1">
        <f t="array" ref="T72">INT(SUMPRODUCT(--ISNUMBER(SEARCH(econineq,C73)))&gt;0)</f>
        <v>0</v>
      </c>
      <c r="U72" s="14" cm="1">
        <f t="array" ref="U72">INT(SUMPRODUCT(--ISNUMBER(SEARCH(climate,C72)))&gt;0)</f>
        <v>0</v>
      </c>
      <c r="V72" s="14" cm="1">
        <f t="array" ref="V72">INT(SUMPRODUCT(--ISNUMBER(SEARCH(abortion,C72)))&gt;0)</f>
        <v>0</v>
      </c>
      <c r="W72" s="14" cm="1">
        <f t="array" ref="W72">INT(SUMPRODUCT(--ISNUMBER(SEARCH(trump,C72)))&gt;0)</f>
        <v>0</v>
      </c>
      <c r="X72" s="14" cm="1">
        <f t="array" ref="X72">INT(SUMPRODUCT(--ISNUMBER(SEARCH(voting,C72)))&gt;0)</f>
        <v>1</v>
      </c>
      <c r="Y72" s="14" cm="1">
        <f t="array" ref="Y72">INT(SUMPRODUCT(--ISNUMBER(SEARCH(democrattrigger,C72)))&gt;0)</f>
        <v>0</v>
      </c>
      <c r="Z72" s="14" cm="1">
        <f t="array" ref="Z72">INT(SUMPRODUCT(--ISNUMBER(SEARCH(bipartisan,C72)))&gt;0)</f>
        <v>0</v>
      </c>
      <c r="AA72" s="14">
        <f t="shared" si="1"/>
        <v>0</v>
      </c>
      <c r="AB72" s="14"/>
      <c r="AC72" s="30">
        <v>1</v>
      </c>
      <c r="AD72" s="37">
        <v>0</v>
      </c>
    </row>
    <row r="73" spans="1:30" x14ac:dyDescent="0.25">
      <c r="A73" s="36">
        <v>2865</v>
      </c>
      <c r="B73" s="14" t="s">
        <v>5755</v>
      </c>
      <c r="C73" s="14" t="s">
        <v>5756</v>
      </c>
      <c r="D73" s="17">
        <v>44128</v>
      </c>
      <c r="E73" s="14" t="s">
        <v>30</v>
      </c>
      <c r="F73" s="14">
        <v>83</v>
      </c>
      <c r="G73" s="14">
        <v>21</v>
      </c>
      <c r="H73" s="14">
        <v>13</v>
      </c>
      <c r="I73" s="14">
        <v>7</v>
      </c>
      <c r="J73" s="14" t="s">
        <v>204</v>
      </c>
      <c r="K73" s="14" cm="1">
        <f t="array" ref="K73">INT(SUMPRODUCT(--ISNUMBER(SEARCH(economy,C73)))&gt;0)</f>
        <v>0</v>
      </c>
      <c r="L73" s="14" cm="1">
        <f t="array" ref="L73">INT(SUMPRODUCT(--ISNUMBER(SEARCH(healthcare,C73)))&gt;0)</f>
        <v>0</v>
      </c>
      <c r="M73" s="14" cm="1">
        <f t="array" ref="M73">INT(SUMPRODUCT(--ISNUMBER(SEARCH(supreme,C73)))&gt;0)</f>
        <v>0</v>
      </c>
      <c r="N73" s="14" cm="1">
        <f t="array" ref="N73">INT(SUMPRODUCT(--ISNUMBER(SEARCH(covid,C73)))&gt;0)</f>
        <v>0</v>
      </c>
      <c r="O73" s="14" cm="1">
        <f t="array" ref="O73">INT(SUMPRODUCT(--ISNUMBER(SEARCH(violent,C73)))&gt;0)</f>
        <v>0</v>
      </c>
      <c r="P73" s="14" cm="1">
        <f t="array" ref="P73">INT(SUMPRODUCT(--ISNUMBER(SEARCH(foreign,C73)))&gt;0)</f>
        <v>0</v>
      </c>
      <c r="Q73" s="14" cm="1">
        <f t="array" ref="Q73">INT(SUMPRODUCT(--ISNUMBER(SEARCH(gun,C73)))&gt;0)</f>
        <v>0</v>
      </c>
      <c r="R73" s="14" cm="1">
        <f t="array" ref="R73">INT(SUMPRODUCT(--ISNUMBER(SEARCH(race,C73)))&gt;0)</f>
        <v>0</v>
      </c>
      <c r="S73" s="14" cm="1">
        <f t="array" ref="S73">INT(SUMPRODUCT(--ISNUMBER(SEARCH(immigration,C73)))&gt;0)</f>
        <v>0</v>
      </c>
      <c r="T73" s="14" cm="1">
        <f t="array" ref="T73">INT(SUMPRODUCT(--ISNUMBER(SEARCH(econineq,C74)))&gt;0)</f>
        <v>0</v>
      </c>
      <c r="U73" s="14" cm="1">
        <f t="array" ref="U73">INT(SUMPRODUCT(--ISNUMBER(SEARCH(climate,C73)))&gt;0)</f>
        <v>0</v>
      </c>
      <c r="V73" s="14" cm="1">
        <f t="array" ref="V73">INT(SUMPRODUCT(--ISNUMBER(SEARCH(abortion,C73)))&gt;0)</f>
        <v>0</v>
      </c>
      <c r="W73" s="14" cm="1">
        <f t="array" ref="W73">INT(SUMPRODUCT(--ISNUMBER(SEARCH(trump,C73)))&gt;0)</f>
        <v>0</v>
      </c>
      <c r="X73" s="14" cm="1">
        <f t="array" ref="X73">INT(SUMPRODUCT(--ISNUMBER(SEARCH(voting,C73)))&gt;0)</f>
        <v>1</v>
      </c>
      <c r="Y73" s="14" cm="1">
        <f t="array" ref="Y73">INT(SUMPRODUCT(--ISNUMBER(SEARCH(democrattrigger,C73)))&gt;0)</f>
        <v>0</v>
      </c>
      <c r="Z73" s="14" cm="1">
        <f t="array" ref="Z73">INT(SUMPRODUCT(--ISNUMBER(SEARCH(bipartisan,C73)))&gt;0)</f>
        <v>0</v>
      </c>
      <c r="AA73" s="14">
        <f t="shared" si="1"/>
        <v>0</v>
      </c>
      <c r="AB73" s="14"/>
      <c r="AC73" s="30">
        <v>1</v>
      </c>
      <c r="AD73" s="37">
        <v>0</v>
      </c>
    </row>
    <row r="74" spans="1:30" x14ac:dyDescent="0.25">
      <c r="A74" s="36">
        <v>2866</v>
      </c>
      <c r="B74" s="14" t="s">
        <v>5757</v>
      </c>
      <c r="C74" s="14" t="s">
        <v>5758</v>
      </c>
      <c r="D74" s="17">
        <v>44128</v>
      </c>
      <c r="E74" s="14" t="s">
        <v>30</v>
      </c>
      <c r="F74" s="14">
        <v>462</v>
      </c>
      <c r="G74" s="14">
        <v>100</v>
      </c>
      <c r="H74" s="14">
        <v>13</v>
      </c>
      <c r="I74" s="14">
        <v>7</v>
      </c>
      <c r="J74" s="14" t="s">
        <v>204</v>
      </c>
      <c r="K74" s="14" cm="1">
        <f t="array" ref="K74">INT(SUMPRODUCT(--ISNUMBER(SEARCH(economy,C74)))&gt;0)</f>
        <v>0</v>
      </c>
      <c r="L74" s="14" cm="1">
        <f t="array" ref="L74">INT(SUMPRODUCT(--ISNUMBER(SEARCH(healthcare,C74)))&gt;0)</f>
        <v>0</v>
      </c>
      <c r="M74" s="14" cm="1">
        <f t="array" ref="M74">INT(SUMPRODUCT(--ISNUMBER(SEARCH(supreme,C74)))&gt;0)</f>
        <v>0</v>
      </c>
      <c r="N74" s="14" cm="1">
        <f t="array" ref="N74">INT(SUMPRODUCT(--ISNUMBER(SEARCH(covid,C74)))&gt;0)</f>
        <v>0</v>
      </c>
      <c r="O74" s="14" cm="1">
        <f t="array" ref="O74">INT(SUMPRODUCT(--ISNUMBER(SEARCH(violent,C74)))&gt;0)</f>
        <v>0</v>
      </c>
      <c r="P74" s="14" cm="1">
        <f t="array" ref="P74">INT(SUMPRODUCT(--ISNUMBER(SEARCH(foreign,C74)))&gt;0)</f>
        <v>0</v>
      </c>
      <c r="Q74" s="14" cm="1">
        <f t="array" ref="Q74">INT(SUMPRODUCT(--ISNUMBER(SEARCH(gun,C74)))&gt;0)</f>
        <v>0</v>
      </c>
      <c r="R74" s="14" cm="1">
        <f t="array" ref="R74">INT(SUMPRODUCT(--ISNUMBER(SEARCH(race,C74)))&gt;0)</f>
        <v>0</v>
      </c>
      <c r="S74" s="14" cm="1">
        <f t="array" ref="S74">INT(SUMPRODUCT(--ISNUMBER(SEARCH(immigration,C74)))&gt;0)</f>
        <v>0</v>
      </c>
      <c r="T74" s="14" cm="1">
        <f t="array" ref="T74">INT(SUMPRODUCT(--ISNUMBER(SEARCH(econineq,C75)))&gt;0)</f>
        <v>0</v>
      </c>
      <c r="U74" s="14" cm="1">
        <f t="array" ref="U74">INT(SUMPRODUCT(--ISNUMBER(SEARCH(climate,C74)))&gt;0)</f>
        <v>0</v>
      </c>
      <c r="V74" s="14" cm="1">
        <f t="array" ref="V74">INT(SUMPRODUCT(--ISNUMBER(SEARCH(abortion,C74)))&gt;0)</f>
        <v>0</v>
      </c>
      <c r="W74" s="14" cm="1">
        <f t="array" ref="W74">INT(SUMPRODUCT(--ISNUMBER(SEARCH(trump,C74)))&gt;0)</f>
        <v>0</v>
      </c>
      <c r="X74" s="14" cm="1">
        <f t="array" ref="X74">INT(SUMPRODUCT(--ISNUMBER(SEARCH(voting,C74)))&gt;0)</f>
        <v>1</v>
      </c>
      <c r="Y74" s="14" cm="1">
        <f t="array" ref="Y74">INT(SUMPRODUCT(--ISNUMBER(SEARCH(democrattrigger,C74)))&gt;0)</f>
        <v>0</v>
      </c>
      <c r="Z74" s="14" cm="1">
        <f t="array" ref="Z74">INT(SUMPRODUCT(--ISNUMBER(SEARCH(bipartisan,C74)))&gt;0)</f>
        <v>0</v>
      </c>
      <c r="AA74" s="14">
        <f t="shared" si="1"/>
        <v>0</v>
      </c>
      <c r="AB74" s="14"/>
      <c r="AC74" s="30">
        <v>1</v>
      </c>
      <c r="AD74" s="37">
        <v>0</v>
      </c>
    </row>
    <row r="75" spans="1:30" x14ac:dyDescent="0.25">
      <c r="A75" s="36">
        <v>2867</v>
      </c>
      <c r="B75" s="14" t="s">
        <v>5759</v>
      </c>
      <c r="C75" s="14" t="s">
        <v>5760</v>
      </c>
      <c r="D75" s="17">
        <v>44128</v>
      </c>
      <c r="E75" s="14" t="s">
        <v>30</v>
      </c>
      <c r="F75" s="14">
        <v>122</v>
      </c>
      <c r="G75" s="14">
        <v>27</v>
      </c>
      <c r="H75" s="14">
        <v>13</v>
      </c>
      <c r="I75" s="14">
        <v>7</v>
      </c>
      <c r="J75" s="14" t="s">
        <v>204</v>
      </c>
      <c r="K75" s="14" cm="1">
        <f t="array" ref="K75">INT(SUMPRODUCT(--ISNUMBER(SEARCH(economy,C75)))&gt;0)</f>
        <v>0</v>
      </c>
      <c r="L75" s="14" cm="1">
        <f t="array" ref="L75">INT(SUMPRODUCT(--ISNUMBER(SEARCH(healthcare,C75)))&gt;0)</f>
        <v>0</v>
      </c>
      <c r="M75" s="14" cm="1">
        <f t="array" ref="M75">INT(SUMPRODUCT(--ISNUMBER(SEARCH(supreme,C75)))&gt;0)</f>
        <v>0</v>
      </c>
      <c r="N75" s="14" cm="1">
        <f t="array" ref="N75">INT(SUMPRODUCT(--ISNUMBER(SEARCH(covid,C75)))&gt;0)</f>
        <v>0</v>
      </c>
      <c r="O75" s="14" cm="1">
        <f t="array" ref="O75">INT(SUMPRODUCT(--ISNUMBER(SEARCH(violent,C75)))&gt;0)</f>
        <v>0</v>
      </c>
      <c r="P75" s="14" cm="1">
        <f t="array" ref="P75">INT(SUMPRODUCT(--ISNUMBER(SEARCH(foreign,C75)))&gt;0)</f>
        <v>0</v>
      </c>
      <c r="Q75" s="14" cm="1">
        <f t="array" ref="Q75">INT(SUMPRODUCT(--ISNUMBER(SEARCH(gun,C75)))&gt;0)</f>
        <v>0</v>
      </c>
      <c r="R75" s="14" cm="1">
        <f t="array" ref="R75">INT(SUMPRODUCT(--ISNUMBER(SEARCH(race,C75)))&gt;0)</f>
        <v>0</v>
      </c>
      <c r="S75" s="14" cm="1">
        <f t="array" ref="S75">INT(SUMPRODUCT(--ISNUMBER(SEARCH(immigration,C75)))&gt;0)</f>
        <v>0</v>
      </c>
      <c r="T75" s="14" cm="1">
        <f t="array" ref="T75">INT(SUMPRODUCT(--ISNUMBER(SEARCH(econineq,C76)))&gt;0)</f>
        <v>0</v>
      </c>
      <c r="U75" s="14" cm="1">
        <f t="array" ref="U75">INT(SUMPRODUCT(--ISNUMBER(SEARCH(climate,C75)))&gt;0)</f>
        <v>0</v>
      </c>
      <c r="V75" s="14" cm="1">
        <f t="array" ref="V75">INT(SUMPRODUCT(--ISNUMBER(SEARCH(abortion,C75)))&gt;0)</f>
        <v>0</v>
      </c>
      <c r="W75" s="14" cm="1">
        <f t="array" ref="W75">INT(SUMPRODUCT(--ISNUMBER(SEARCH(trump,C75)))&gt;0)</f>
        <v>0</v>
      </c>
      <c r="X75" s="14" cm="1">
        <f t="array" ref="X75">INT(SUMPRODUCT(--ISNUMBER(SEARCH(voting,C75)))&gt;0)</f>
        <v>0</v>
      </c>
      <c r="Y75" s="14" cm="1">
        <f t="array" ref="Y75">INT(SUMPRODUCT(--ISNUMBER(SEARCH(democrattrigger,C75)))&gt;0)</f>
        <v>0</v>
      </c>
      <c r="Z75" s="14" cm="1">
        <f t="array" ref="Z75">INT(SUMPRODUCT(--ISNUMBER(SEARCH(bipartisan,C75)))&gt;0)</f>
        <v>0</v>
      </c>
      <c r="AA75" s="14">
        <f t="shared" si="1"/>
        <v>1</v>
      </c>
      <c r="AB75" s="14"/>
      <c r="AC75" s="30">
        <v>1</v>
      </c>
      <c r="AD75" s="37">
        <v>0</v>
      </c>
    </row>
    <row r="76" spans="1:30" x14ac:dyDescent="0.25">
      <c r="A76" s="36">
        <v>2868</v>
      </c>
      <c r="B76" s="14" t="s">
        <v>5761</v>
      </c>
      <c r="C76" s="14" t="s">
        <v>5762</v>
      </c>
      <c r="D76" s="17">
        <v>44127</v>
      </c>
      <c r="E76" s="14" t="s">
        <v>30</v>
      </c>
      <c r="F76" s="14">
        <v>31</v>
      </c>
      <c r="G76" s="14">
        <v>11</v>
      </c>
      <c r="H76" s="14">
        <v>13</v>
      </c>
      <c r="I76" s="14">
        <v>7</v>
      </c>
      <c r="J76" s="14" t="s">
        <v>204</v>
      </c>
      <c r="K76" s="14" cm="1">
        <f t="array" ref="K76">INT(SUMPRODUCT(--ISNUMBER(SEARCH(economy,C76)))&gt;0)</f>
        <v>0</v>
      </c>
      <c r="L76" s="14" cm="1">
        <f t="array" ref="L76">INT(SUMPRODUCT(--ISNUMBER(SEARCH(healthcare,C76)))&gt;0)</f>
        <v>0</v>
      </c>
      <c r="M76" s="14" cm="1">
        <f t="array" ref="M76">INT(SUMPRODUCT(--ISNUMBER(SEARCH(supreme,C76)))&gt;0)</f>
        <v>0</v>
      </c>
      <c r="N76" s="14" cm="1">
        <f t="array" ref="N76">INT(SUMPRODUCT(--ISNUMBER(SEARCH(covid,C76)))&gt;0)</f>
        <v>0</v>
      </c>
      <c r="O76" s="14" cm="1">
        <f t="array" ref="O76">INT(SUMPRODUCT(--ISNUMBER(SEARCH(violent,C76)))&gt;0)</f>
        <v>0</v>
      </c>
      <c r="P76" s="14" cm="1">
        <f t="array" ref="P76">INT(SUMPRODUCT(--ISNUMBER(SEARCH(foreign,C76)))&gt;0)</f>
        <v>0</v>
      </c>
      <c r="Q76" s="14" cm="1">
        <f t="array" ref="Q76">INT(SUMPRODUCT(--ISNUMBER(SEARCH(gun,C76)))&gt;0)</f>
        <v>0</v>
      </c>
      <c r="R76" s="14" cm="1">
        <f t="array" ref="R76">INT(SUMPRODUCT(--ISNUMBER(SEARCH(race,C76)))&gt;0)</f>
        <v>0</v>
      </c>
      <c r="S76" s="14" cm="1">
        <f t="array" ref="S76">INT(SUMPRODUCT(--ISNUMBER(SEARCH(immigration,C76)))&gt;0)</f>
        <v>0</v>
      </c>
      <c r="T76" s="14" cm="1">
        <f t="array" ref="T76">INT(SUMPRODUCT(--ISNUMBER(SEARCH(econineq,C77)))&gt;0)</f>
        <v>0</v>
      </c>
      <c r="U76" s="14" cm="1">
        <f t="array" ref="U76">INT(SUMPRODUCT(--ISNUMBER(SEARCH(climate,C76)))&gt;0)</f>
        <v>0</v>
      </c>
      <c r="V76" s="14" cm="1">
        <f t="array" ref="V76">INT(SUMPRODUCT(--ISNUMBER(SEARCH(abortion,C76)))&gt;0)</f>
        <v>0</v>
      </c>
      <c r="W76" s="14" cm="1">
        <f t="array" ref="W76">INT(SUMPRODUCT(--ISNUMBER(SEARCH(trump,C76)))&gt;0)</f>
        <v>0</v>
      </c>
      <c r="X76" s="14" cm="1">
        <f t="array" ref="X76">INT(SUMPRODUCT(--ISNUMBER(SEARCH(voting,C76)))&gt;0)</f>
        <v>1</v>
      </c>
      <c r="Y76" s="14" cm="1">
        <f t="array" ref="Y76">INT(SUMPRODUCT(--ISNUMBER(SEARCH(democrattrigger,C76)))&gt;0)</f>
        <v>0</v>
      </c>
      <c r="Z76" s="14" cm="1">
        <f t="array" ref="Z76">INT(SUMPRODUCT(--ISNUMBER(SEARCH(bipartisan,C76)))&gt;0)</f>
        <v>0</v>
      </c>
      <c r="AA76" s="14">
        <f t="shared" si="1"/>
        <v>0</v>
      </c>
      <c r="AB76" s="14"/>
      <c r="AC76" s="30">
        <v>1</v>
      </c>
      <c r="AD76" s="37">
        <v>0</v>
      </c>
    </row>
    <row r="77" spans="1:30" x14ac:dyDescent="0.25">
      <c r="A77" s="36">
        <v>2869</v>
      </c>
      <c r="B77" s="14" t="s">
        <v>5763</v>
      </c>
      <c r="C77" s="14" t="s">
        <v>5764</v>
      </c>
      <c r="D77" s="17">
        <v>44127</v>
      </c>
      <c r="E77" s="14" t="s">
        <v>30</v>
      </c>
      <c r="F77" s="14">
        <v>26</v>
      </c>
      <c r="G77" s="14">
        <v>15</v>
      </c>
      <c r="H77" s="14">
        <v>13</v>
      </c>
      <c r="I77" s="14">
        <v>7</v>
      </c>
      <c r="J77" s="14" t="s">
        <v>204</v>
      </c>
      <c r="K77" s="14" cm="1">
        <f t="array" ref="K77">INT(SUMPRODUCT(--ISNUMBER(SEARCH(economy,C77)))&gt;0)</f>
        <v>1</v>
      </c>
      <c r="L77" s="14" cm="1">
        <f t="array" ref="L77">INT(SUMPRODUCT(--ISNUMBER(SEARCH(healthcare,C77)))&gt;0)</f>
        <v>0</v>
      </c>
      <c r="M77" s="14" cm="1">
        <f t="array" ref="M77">INT(SUMPRODUCT(--ISNUMBER(SEARCH(supreme,C77)))&gt;0)</f>
        <v>0</v>
      </c>
      <c r="N77" s="14" cm="1">
        <f t="array" ref="N77">INT(SUMPRODUCT(--ISNUMBER(SEARCH(covid,C77)))&gt;0)</f>
        <v>0</v>
      </c>
      <c r="O77" s="14" cm="1">
        <f t="array" ref="O77">INT(SUMPRODUCT(--ISNUMBER(SEARCH(violent,C77)))&gt;0)</f>
        <v>0</v>
      </c>
      <c r="P77" s="14" cm="1">
        <f t="array" ref="P77">INT(SUMPRODUCT(--ISNUMBER(SEARCH(foreign,C77)))&gt;0)</f>
        <v>0</v>
      </c>
      <c r="Q77" s="14" cm="1">
        <f t="array" ref="Q77">INT(SUMPRODUCT(--ISNUMBER(SEARCH(gun,C77)))&gt;0)</f>
        <v>0</v>
      </c>
      <c r="R77" s="14" cm="1">
        <f t="array" ref="R77">INT(SUMPRODUCT(--ISNUMBER(SEARCH(race,C77)))&gt;0)</f>
        <v>0</v>
      </c>
      <c r="S77" s="14" cm="1">
        <f t="array" ref="S77">INT(SUMPRODUCT(--ISNUMBER(SEARCH(immigration,C77)))&gt;0)</f>
        <v>0</v>
      </c>
      <c r="T77" s="14" cm="1">
        <f t="array" ref="T77">INT(SUMPRODUCT(--ISNUMBER(SEARCH(econineq,C78)))&gt;0)</f>
        <v>0</v>
      </c>
      <c r="U77" s="14" cm="1">
        <f t="array" ref="U77">INT(SUMPRODUCT(--ISNUMBER(SEARCH(climate,C77)))&gt;0)</f>
        <v>0</v>
      </c>
      <c r="V77" s="14" cm="1">
        <f t="array" ref="V77">INT(SUMPRODUCT(--ISNUMBER(SEARCH(abortion,C77)))&gt;0)</f>
        <v>0</v>
      </c>
      <c r="W77" s="14" cm="1">
        <f t="array" ref="W77">INT(SUMPRODUCT(--ISNUMBER(SEARCH(trump,C77)))&gt;0)</f>
        <v>0</v>
      </c>
      <c r="X77" s="14" cm="1">
        <f t="array" ref="X77">INT(SUMPRODUCT(--ISNUMBER(SEARCH(voting,C77)))&gt;0)</f>
        <v>1</v>
      </c>
      <c r="Y77" s="14" cm="1">
        <f t="array" ref="Y77">INT(SUMPRODUCT(--ISNUMBER(SEARCH(democrattrigger,C77)))&gt;0)</f>
        <v>0</v>
      </c>
      <c r="Z77" s="14" cm="1">
        <f t="array" ref="Z77">INT(SUMPRODUCT(--ISNUMBER(SEARCH(bipartisan,C77)))&gt;0)</f>
        <v>0</v>
      </c>
      <c r="AA77" s="14">
        <f t="shared" si="1"/>
        <v>0</v>
      </c>
      <c r="AB77" s="14"/>
      <c r="AC77" s="30">
        <v>0</v>
      </c>
      <c r="AD77" s="37">
        <v>1</v>
      </c>
    </row>
    <row r="78" spans="1:30" x14ac:dyDescent="0.25">
      <c r="A78" s="36">
        <v>2870</v>
      </c>
      <c r="B78" s="14" t="s">
        <v>5765</v>
      </c>
      <c r="C78" s="14" t="s">
        <v>5766</v>
      </c>
      <c r="D78" s="17">
        <v>44127</v>
      </c>
      <c r="E78" s="14" t="s">
        <v>30</v>
      </c>
      <c r="F78" s="14">
        <v>58</v>
      </c>
      <c r="G78" s="14">
        <v>23</v>
      </c>
      <c r="H78" s="14">
        <v>13</v>
      </c>
      <c r="I78" s="14">
        <v>7</v>
      </c>
      <c r="J78" s="14" t="s">
        <v>204</v>
      </c>
      <c r="K78" s="14" cm="1">
        <f t="array" ref="K78">INT(SUMPRODUCT(--ISNUMBER(SEARCH(economy,C78)))&gt;0)</f>
        <v>0</v>
      </c>
      <c r="L78" s="14" cm="1">
        <f t="array" ref="L78">INT(SUMPRODUCT(--ISNUMBER(SEARCH(healthcare,C78)))&gt;0)</f>
        <v>0</v>
      </c>
      <c r="M78" s="14" cm="1">
        <f t="array" ref="M78">INT(SUMPRODUCT(--ISNUMBER(SEARCH(supreme,C78)))&gt;0)</f>
        <v>0</v>
      </c>
      <c r="N78" s="14" cm="1">
        <f t="array" ref="N78">INT(SUMPRODUCT(--ISNUMBER(SEARCH(covid,C78)))&gt;0)</f>
        <v>0</v>
      </c>
      <c r="O78" s="14" cm="1">
        <f t="array" ref="O78">INT(SUMPRODUCT(--ISNUMBER(SEARCH(violent,C78)))&gt;0)</f>
        <v>0</v>
      </c>
      <c r="P78" s="14" cm="1">
        <f t="array" ref="P78">INT(SUMPRODUCT(--ISNUMBER(SEARCH(foreign,C78)))&gt;0)</f>
        <v>0</v>
      </c>
      <c r="Q78" s="14" cm="1">
        <f t="array" ref="Q78">INT(SUMPRODUCT(--ISNUMBER(SEARCH(gun,C78)))&gt;0)</f>
        <v>0</v>
      </c>
      <c r="R78" s="14" cm="1">
        <f t="array" ref="R78">INT(SUMPRODUCT(--ISNUMBER(SEARCH(race,C78)))&gt;0)</f>
        <v>0</v>
      </c>
      <c r="S78" s="14" cm="1">
        <f t="array" ref="S78">INT(SUMPRODUCT(--ISNUMBER(SEARCH(immigration,C78)))&gt;0)</f>
        <v>0</v>
      </c>
      <c r="T78" s="14" cm="1">
        <f t="array" ref="T78">INT(SUMPRODUCT(--ISNUMBER(SEARCH(econineq,C79)))&gt;0)</f>
        <v>0</v>
      </c>
      <c r="U78" s="14" cm="1">
        <f t="array" ref="U78">INT(SUMPRODUCT(--ISNUMBER(SEARCH(climate,C78)))&gt;0)</f>
        <v>0</v>
      </c>
      <c r="V78" s="14" cm="1">
        <f t="array" ref="V78">INT(SUMPRODUCT(--ISNUMBER(SEARCH(abortion,C78)))&gt;0)</f>
        <v>0</v>
      </c>
      <c r="W78" s="14" cm="1">
        <f t="array" ref="W78">INT(SUMPRODUCT(--ISNUMBER(SEARCH(trump,C78)))&gt;0)</f>
        <v>1</v>
      </c>
      <c r="X78" s="14" cm="1">
        <f t="array" ref="X78">INT(SUMPRODUCT(--ISNUMBER(SEARCH(voting,C78)))&gt;0)</f>
        <v>1</v>
      </c>
      <c r="Y78" s="14" cm="1">
        <f t="array" ref="Y78">INT(SUMPRODUCT(--ISNUMBER(SEARCH(democrattrigger,C78)))&gt;0)</f>
        <v>0</v>
      </c>
      <c r="Z78" s="14" cm="1">
        <f t="array" ref="Z78">INT(SUMPRODUCT(--ISNUMBER(SEARCH(bipartisan,C78)))&gt;0)</f>
        <v>0</v>
      </c>
      <c r="AA78" s="14">
        <f t="shared" si="1"/>
        <v>0</v>
      </c>
      <c r="AB78" s="14"/>
      <c r="AC78" s="30" t="s">
        <v>223</v>
      </c>
      <c r="AD78" s="37" t="s">
        <v>223</v>
      </c>
    </row>
    <row r="79" spans="1:30" x14ac:dyDescent="0.25">
      <c r="A79" s="36">
        <v>2871</v>
      </c>
      <c r="B79" s="14" t="s">
        <v>5767</v>
      </c>
      <c r="C79" s="14" t="s">
        <v>5768</v>
      </c>
      <c r="D79" s="17">
        <v>44126</v>
      </c>
      <c r="E79" s="14" t="s">
        <v>30</v>
      </c>
      <c r="F79" s="14">
        <v>21</v>
      </c>
      <c r="G79" s="14">
        <v>1</v>
      </c>
      <c r="H79" s="14">
        <v>13</v>
      </c>
      <c r="I79" s="14">
        <v>7</v>
      </c>
      <c r="J79" s="14" t="s">
        <v>204</v>
      </c>
      <c r="K79" s="14" cm="1">
        <f t="array" ref="K79">INT(SUMPRODUCT(--ISNUMBER(SEARCH(economy,C79)))&gt;0)</f>
        <v>0</v>
      </c>
      <c r="L79" s="14" cm="1">
        <f t="array" ref="L79">INT(SUMPRODUCT(--ISNUMBER(SEARCH(healthcare,C79)))&gt;0)</f>
        <v>0</v>
      </c>
      <c r="M79" s="14" cm="1">
        <f t="array" ref="M79">INT(SUMPRODUCT(--ISNUMBER(SEARCH(supreme,C79)))&gt;0)</f>
        <v>0</v>
      </c>
      <c r="N79" s="14" cm="1">
        <f t="array" ref="N79">INT(SUMPRODUCT(--ISNUMBER(SEARCH(covid,C79)))&gt;0)</f>
        <v>0</v>
      </c>
      <c r="O79" s="14" cm="1">
        <f t="array" ref="O79">INT(SUMPRODUCT(--ISNUMBER(SEARCH(violent,C79)))&gt;0)</f>
        <v>0</v>
      </c>
      <c r="P79" s="14" cm="1">
        <f t="array" ref="P79">INT(SUMPRODUCT(--ISNUMBER(SEARCH(foreign,C79)))&gt;0)</f>
        <v>0</v>
      </c>
      <c r="Q79" s="14" cm="1">
        <f t="array" ref="Q79">INT(SUMPRODUCT(--ISNUMBER(SEARCH(gun,C79)))&gt;0)</f>
        <v>0</v>
      </c>
      <c r="R79" s="14" cm="1">
        <f t="array" ref="R79">INT(SUMPRODUCT(--ISNUMBER(SEARCH(race,C79)))&gt;0)</f>
        <v>0</v>
      </c>
      <c r="S79" s="14" cm="1">
        <f t="array" ref="S79">INT(SUMPRODUCT(--ISNUMBER(SEARCH(immigration,C79)))&gt;0)</f>
        <v>0</v>
      </c>
      <c r="T79" s="14" cm="1">
        <f t="array" ref="T79">INT(SUMPRODUCT(--ISNUMBER(SEARCH(econineq,C80)))&gt;0)</f>
        <v>0</v>
      </c>
      <c r="U79" s="14" cm="1">
        <f t="array" ref="U79">INT(SUMPRODUCT(--ISNUMBER(SEARCH(climate,C79)))&gt;0)</f>
        <v>0</v>
      </c>
      <c r="V79" s="14" cm="1">
        <f t="array" ref="V79">INT(SUMPRODUCT(--ISNUMBER(SEARCH(abortion,C79)))&gt;0)</f>
        <v>0</v>
      </c>
      <c r="W79" s="14" cm="1">
        <f t="array" ref="W79">INT(SUMPRODUCT(--ISNUMBER(SEARCH(trump,C79)))&gt;0)</f>
        <v>0</v>
      </c>
      <c r="X79" s="14" cm="1">
        <f t="array" ref="X79">INT(SUMPRODUCT(--ISNUMBER(SEARCH(voting,C79)))&gt;0)</f>
        <v>0</v>
      </c>
      <c r="Y79" s="14" cm="1">
        <f t="array" ref="Y79">INT(SUMPRODUCT(--ISNUMBER(SEARCH(democrattrigger,C79)))&gt;0)</f>
        <v>0</v>
      </c>
      <c r="Z79" s="14" cm="1">
        <f t="array" ref="Z79">INT(SUMPRODUCT(--ISNUMBER(SEARCH(bipartisan,C79)))&gt;0)</f>
        <v>0</v>
      </c>
      <c r="AA79" s="14">
        <f t="shared" si="1"/>
        <v>1</v>
      </c>
      <c r="AB79" s="14"/>
      <c r="AC79" s="30" t="s">
        <v>223</v>
      </c>
      <c r="AD79" s="37" t="s">
        <v>223</v>
      </c>
    </row>
    <row r="80" spans="1:30" x14ac:dyDescent="0.25">
      <c r="A80" s="36">
        <v>2872</v>
      </c>
      <c r="B80" s="14" t="s">
        <v>5769</v>
      </c>
      <c r="C80" s="14" t="s">
        <v>5770</v>
      </c>
      <c r="D80" s="17">
        <v>44126</v>
      </c>
      <c r="E80" s="14" t="s">
        <v>30</v>
      </c>
      <c r="F80" s="14">
        <v>19</v>
      </c>
      <c r="G80" s="14">
        <v>7</v>
      </c>
      <c r="H80" s="14">
        <v>13</v>
      </c>
      <c r="I80" s="14">
        <v>7</v>
      </c>
      <c r="J80" s="14" t="s">
        <v>204</v>
      </c>
      <c r="K80" s="14" cm="1">
        <f t="array" ref="K80">INT(SUMPRODUCT(--ISNUMBER(SEARCH(economy,C80)))&gt;0)</f>
        <v>0</v>
      </c>
      <c r="L80" s="14" cm="1">
        <f t="array" ref="L80">INT(SUMPRODUCT(--ISNUMBER(SEARCH(healthcare,C80)))&gt;0)</f>
        <v>0</v>
      </c>
      <c r="M80" s="14" cm="1">
        <f t="array" ref="M80">INT(SUMPRODUCT(--ISNUMBER(SEARCH(supreme,C80)))&gt;0)</f>
        <v>0</v>
      </c>
      <c r="N80" s="14" cm="1">
        <f t="array" ref="N80">INT(SUMPRODUCT(--ISNUMBER(SEARCH(covid,C80)))&gt;0)</f>
        <v>0</v>
      </c>
      <c r="O80" s="14" cm="1">
        <f t="array" ref="O80">INT(SUMPRODUCT(--ISNUMBER(SEARCH(violent,C80)))&gt;0)</f>
        <v>0</v>
      </c>
      <c r="P80" s="14" cm="1">
        <f t="array" ref="P80">INT(SUMPRODUCT(--ISNUMBER(SEARCH(foreign,C80)))&gt;0)</f>
        <v>0</v>
      </c>
      <c r="Q80" s="14" cm="1">
        <f t="array" ref="Q80">INT(SUMPRODUCT(--ISNUMBER(SEARCH(gun,C80)))&gt;0)</f>
        <v>0</v>
      </c>
      <c r="R80" s="14" cm="1">
        <f t="array" ref="R80">INT(SUMPRODUCT(--ISNUMBER(SEARCH(race,C80)))&gt;0)</f>
        <v>0</v>
      </c>
      <c r="S80" s="14" cm="1">
        <f t="array" ref="S80">INT(SUMPRODUCT(--ISNUMBER(SEARCH(immigration,C80)))&gt;0)</f>
        <v>0</v>
      </c>
      <c r="T80" s="14" cm="1">
        <f t="array" ref="T80">INT(SUMPRODUCT(--ISNUMBER(SEARCH(econineq,C81)))&gt;0)</f>
        <v>0</v>
      </c>
      <c r="U80" s="14" cm="1">
        <f t="array" ref="U80">INT(SUMPRODUCT(--ISNUMBER(SEARCH(climate,C80)))&gt;0)</f>
        <v>0</v>
      </c>
      <c r="V80" s="14" cm="1">
        <f t="array" ref="V80">INT(SUMPRODUCT(--ISNUMBER(SEARCH(abortion,C80)))&gt;0)</f>
        <v>0</v>
      </c>
      <c r="W80" s="14" cm="1">
        <f t="array" ref="W80">INT(SUMPRODUCT(--ISNUMBER(SEARCH(trump,C80)))&gt;0)</f>
        <v>0</v>
      </c>
      <c r="X80" s="14" cm="1">
        <f t="array" ref="X80">INT(SUMPRODUCT(--ISNUMBER(SEARCH(voting,C80)))&gt;0)</f>
        <v>1</v>
      </c>
      <c r="Y80" s="14" cm="1">
        <f t="array" ref="Y80">INT(SUMPRODUCT(--ISNUMBER(SEARCH(democrattrigger,C80)))&gt;0)</f>
        <v>0</v>
      </c>
      <c r="Z80" s="14" cm="1">
        <f t="array" ref="Z80">INT(SUMPRODUCT(--ISNUMBER(SEARCH(bipartisan,C80)))&gt;0)</f>
        <v>0</v>
      </c>
      <c r="AA80" s="14">
        <f t="shared" si="1"/>
        <v>0</v>
      </c>
      <c r="AB80" s="14"/>
      <c r="AC80" s="30" t="s">
        <v>223</v>
      </c>
      <c r="AD80" s="37" t="s">
        <v>223</v>
      </c>
    </row>
    <row r="81" spans="1:30" x14ac:dyDescent="0.25">
      <c r="A81" s="36">
        <v>2873</v>
      </c>
      <c r="B81" s="14" t="s">
        <v>5771</v>
      </c>
      <c r="C81" s="14" t="s">
        <v>5772</v>
      </c>
      <c r="D81" s="17">
        <v>44126</v>
      </c>
      <c r="E81" s="14" t="s">
        <v>30</v>
      </c>
      <c r="F81" s="14">
        <v>45</v>
      </c>
      <c r="G81" s="14">
        <v>13</v>
      </c>
      <c r="H81" s="14">
        <v>13</v>
      </c>
      <c r="I81" s="14">
        <v>7</v>
      </c>
      <c r="J81" s="14" t="s">
        <v>204</v>
      </c>
      <c r="K81" s="14" cm="1">
        <f t="array" ref="K81">INT(SUMPRODUCT(--ISNUMBER(SEARCH(economy,C81)))&gt;0)</f>
        <v>0</v>
      </c>
      <c r="L81" s="14" cm="1">
        <f t="array" ref="L81">INT(SUMPRODUCT(--ISNUMBER(SEARCH(healthcare,C81)))&gt;0)</f>
        <v>0</v>
      </c>
      <c r="M81" s="14" cm="1">
        <f t="array" ref="M81">INT(SUMPRODUCT(--ISNUMBER(SEARCH(supreme,C81)))&gt;0)</f>
        <v>0</v>
      </c>
      <c r="N81" s="14" cm="1">
        <f t="array" ref="N81">INT(SUMPRODUCT(--ISNUMBER(SEARCH(covid,C81)))&gt;0)</f>
        <v>1</v>
      </c>
      <c r="O81" s="14" cm="1">
        <f t="array" ref="O81">INT(SUMPRODUCT(--ISNUMBER(SEARCH(violent,C81)))&gt;0)</f>
        <v>0</v>
      </c>
      <c r="P81" s="14" cm="1">
        <f t="array" ref="P81">INT(SUMPRODUCT(--ISNUMBER(SEARCH(foreign,C81)))&gt;0)</f>
        <v>0</v>
      </c>
      <c r="Q81" s="14" cm="1">
        <f t="array" ref="Q81">INT(SUMPRODUCT(--ISNUMBER(SEARCH(gun,C81)))&gt;0)</f>
        <v>0</v>
      </c>
      <c r="R81" s="14" cm="1">
        <f t="array" ref="R81">INT(SUMPRODUCT(--ISNUMBER(SEARCH(race,C81)))&gt;0)</f>
        <v>0</v>
      </c>
      <c r="S81" s="14" cm="1">
        <f t="array" ref="S81">INT(SUMPRODUCT(--ISNUMBER(SEARCH(immigration,C81)))&gt;0)</f>
        <v>0</v>
      </c>
      <c r="T81" s="14" cm="1">
        <f t="array" ref="T81">INT(SUMPRODUCT(--ISNUMBER(SEARCH(econineq,C82)))&gt;0)</f>
        <v>0</v>
      </c>
      <c r="U81" s="14" cm="1">
        <f t="array" ref="U81">INT(SUMPRODUCT(--ISNUMBER(SEARCH(climate,C81)))&gt;0)</f>
        <v>0</v>
      </c>
      <c r="V81" s="14" cm="1">
        <f t="array" ref="V81">INT(SUMPRODUCT(--ISNUMBER(SEARCH(abortion,C81)))&gt;0)</f>
        <v>0</v>
      </c>
      <c r="W81" s="14" cm="1">
        <f t="array" ref="W81">INT(SUMPRODUCT(--ISNUMBER(SEARCH(trump,C81)))&gt;0)</f>
        <v>1</v>
      </c>
      <c r="X81" s="14" cm="1">
        <f t="array" ref="X81">INT(SUMPRODUCT(--ISNUMBER(SEARCH(voting,C81)))&gt;0)</f>
        <v>0</v>
      </c>
      <c r="Y81" s="14" cm="1">
        <f t="array" ref="Y81">INT(SUMPRODUCT(--ISNUMBER(SEARCH(democrattrigger,C81)))&gt;0)</f>
        <v>1</v>
      </c>
      <c r="Z81" s="14" cm="1">
        <f t="array" ref="Z81">INT(SUMPRODUCT(--ISNUMBER(SEARCH(bipartisan,C81)))&gt;0)</f>
        <v>0</v>
      </c>
      <c r="AA81" s="14">
        <f t="shared" si="1"/>
        <v>0</v>
      </c>
      <c r="AB81" s="14"/>
      <c r="AC81" s="30">
        <v>0</v>
      </c>
      <c r="AD81" s="37">
        <v>1</v>
      </c>
    </row>
    <row r="82" spans="1:30" x14ac:dyDescent="0.25">
      <c r="A82" s="36">
        <v>2874</v>
      </c>
      <c r="B82" s="14" t="s">
        <v>5773</v>
      </c>
      <c r="C82" s="14" t="s">
        <v>5774</v>
      </c>
      <c r="D82" s="17">
        <v>44126</v>
      </c>
      <c r="E82" s="14" t="s">
        <v>30</v>
      </c>
      <c r="F82" s="14">
        <v>22</v>
      </c>
      <c r="G82" s="14">
        <v>10</v>
      </c>
      <c r="H82" s="14">
        <v>13</v>
      </c>
      <c r="I82" s="14">
        <v>7</v>
      </c>
      <c r="J82" s="14" t="s">
        <v>204</v>
      </c>
      <c r="K82" s="14" cm="1">
        <f t="array" ref="K82">INT(SUMPRODUCT(--ISNUMBER(SEARCH(economy,C82)))&gt;0)</f>
        <v>1</v>
      </c>
      <c r="L82" s="14" cm="1">
        <f t="array" ref="L82">INT(SUMPRODUCT(--ISNUMBER(SEARCH(healthcare,C82)))&gt;0)</f>
        <v>0</v>
      </c>
      <c r="M82" s="14" cm="1">
        <f t="array" ref="M82">INT(SUMPRODUCT(--ISNUMBER(SEARCH(supreme,C82)))&gt;0)</f>
        <v>0</v>
      </c>
      <c r="N82" s="14" cm="1">
        <f t="array" ref="N82">INT(SUMPRODUCT(--ISNUMBER(SEARCH(covid,C82)))&gt;0)</f>
        <v>0</v>
      </c>
      <c r="O82" s="14" cm="1">
        <f t="array" ref="O82">INT(SUMPRODUCT(--ISNUMBER(SEARCH(violent,C82)))&gt;0)</f>
        <v>0</v>
      </c>
      <c r="P82" s="14" cm="1">
        <f t="array" ref="P82">INT(SUMPRODUCT(--ISNUMBER(SEARCH(foreign,C82)))&gt;0)</f>
        <v>0</v>
      </c>
      <c r="Q82" s="14" cm="1">
        <f t="array" ref="Q82">INT(SUMPRODUCT(--ISNUMBER(SEARCH(gun,C82)))&gt;0)</f>
        <v>0</v>
      </c>
      <c r="R82" s="14" cm="1">
        <f t="array" ref="R82">INT(SUMPRODUCT(--ISNUMBER(SEARCH(race,C82)))&gt;0)</f>
        <v>0</v>
      </c>
      <c r="S82" s="14" cm="1">
        <f t="array" ref="S82">INT(SUMPRODUCT(--ISNUMBER(SEARCH(immigration,C82)))&gt;0)</f>
        <v>0</v>
      </c>
      <c r="T82" s="14" cm="1">
        <f t="array" ref="T82">INT(SUMPRODUCT(--ISNUMBER(SEARCH(econineq,C83)))&gt;0)</f>
        <v>0</v>
      </c>
      <c r="U82" s="14" cm="1">
        <f t="array" ref="U82">INT(SUMPRODUCT(--ISNUMBER(SEARCH(climate,C82)))&gt;0)</f>
        <v>0</v>
      </c>
      <c r="V82" s="14" cm="1">
        <f t="array" ref="V82">INT(SUMPRODUCT(--ISNUMBER(SEARCH(abortion,C82)))&gt;0)</f>
        <v>0</v>
      </c>
      <c r="W82" s="14" cm="1">
        <f t="array" ref="W82">INT(SUMPRODUCT(--ISNUMBER(SEARCH(trump,C82)))&gt;0)</f>
        <v>0</v>
      </c>
      <c r="X82" s="14" cm="1">
        <f t="array" ref="X82">INT(SUMPRODUCT(--ISNUMBER(SEARCH(voting,C82)))&gt;0)</f>
        <v>0</v>
      </c>
      <c r="Y82" s="14" cm="1">
        <f t="array" ref="Y82">INT(SUMPRODUCT(--ISNUMBER(SEARCH(democrattrigger,C82)))&gt;0)</f>
        <v>0</v>
      </c>
      <c r="Z82" s="14" cm="1">
        <f t="array" ref="Z82">INT(SUMPRODUCT(--ISNUMBER(SEARCH(bipartisan,C82)))&gt;0)</f>
        <v>0</v>
      </c>
      <c r="AA82" s="14">
        <f t="shared" si="1"/>
        <v>0</v>
      </c>
      <c r="AB82" s="14"/>
      <c r="AC82" s="30" t="s">
        <v>223</v>
      </c>
      <c r="AD82" s="37" t="s">
        <v>223</v>
      </c>
    </row>
    <row r="83" spans="1:30" x14ac:dyDescent="0.25">
      <c r="A83" s="36">
        <v>2875</v>
      </c>
      <c r="B83" s="14" t="s">
        <v>5775</v>
      </c>
      <c r="C83" s="14" t="s">
        <v>5776</v>
      </c>
      <c r="D83" s="17">
        <v>44125</v>
      </c>
      <c r="E83" s="14" t="s">
        <v>30</v>
      </c>
      <c r="F83" s="14">
        <v>44</v>
      </c>
      <c r="G83" s="14">
        <v>13</v>
      </c>
      <c r="H83" s="14">
        <v>13</v>
      </c>
      <c r="I83" s="14">
        <v>7</v>
      </c>
      <c r="J83" s="14" t="s">
        <v>204</v>
      </c>
      <c r="K83" s="14" cm="1">
        <f t="array" ref="K83">INT(SUMPRODUCT(--ISNUMBER(SEARCH(economy,C83)))&gt;0)</f>
        <v>0</v>
      </c>
      <c r="L83" s="14" cm="1">
        <f t="array" ref="L83">INT(SUMPRODUCT(--ISNUMBER(SEARCH(healthcare,C83)))&gt;0)</f>
        <v>0</v>
      </c>
      <c r="M83" s="14" cm="1">
        <f t="array" ref="M83">INT(SUMPRODUCT(--ISNUMBER(SEARCH(supreme,C83)))&gt;0)</f>
        <v>0</v>
      </c>
      <c r="N83" s="14" cm="1">
        <f t="array" ref="N83">INT(SUMPRODUCT(--ISNUMBER(SEARCH(covid,C83)))&gt;0)</f>
        <v>0</v>
      </c>
      <c r="O83" s="14" cm="1">
        <f t="array" ref="O83">INT(SUMPRODUCT(--ISNUMBER(SEARCH(violent,C83)))&gt;0)</f>
        <v>0</v>
      </c>
      <c r="P83" s="14" cm="1">
        <f t="array" ref="P83">INT(SUMPRODUCT(--ISNUMBER(SEARCH(foreign,C83)))&gt;0)</f>
        <v>0</v>
      </c>
      <c r="Q83" s="14" cm="1">
        <f t="array" ref="Q83">INT(SUMPRODUCT(--ISNUMBER(SEARCH(gun,C83)))&gt;0)</f>
        <v>0</v>
      </c>
      <c r="R83" s="14" cm="1">
        <f t="array" ref="R83">INT(SUMPRODUCT(--ISNUMBER(SEARCH(race,C83)))&gt;0)</f>
        <v>0</v>
      </c>
      <c r="S83" s="14" cm="1">
        <f t="array" ref="S83">INT(SUMPRODUCT(--ISNUMBER(SEARCH(immigration,C83)))&gt;0)</f>
        <v>0</v>
      </c>
      <c r="T83" s="14" cm="1">
        <f t="array" ref="T83">INT(SUMPRODUCT(--ISNUMBER(SEARCH(econineq,C84)))&gt;0)</f>
        <v>0</v>
      </c>
      <c r="U83" s="14" cm="1">
        <f t="array" ref="U83">INT(SUMPRODUCT(--ISNUMBER(SEARCH(climate,C83)))&gt;0)</f>
        <v>0</v>
      </c>
      <c r="V83" s="14" cm="1">
        <f t="array" ref="V83">INT(SUMPRODUCT(--ISNUMBER(SEARCH(abortion,C83)))&gt;0)</f>
        <v>0</v>
      </c>
      <c r="W83" s="14" cm="1">
        <f t="array" ref="W83">INT(SUMPRODUCT(--ISNUMBER(SEARCH(trump,C83)))&gt;0)</f>
        <v>0</v>
      </c>
      <c r="X83" s="14" cm="1">
        <f t="array" ref="X83">INT(SUMPRODUCT(--ISNUMBER(SEARCH(voting,C83)))&gt;0)</f>
        <v>1</v>
      </c>
      <c r="Y83" s="14" cm="1">
        <f t="array" ref="Y83">INT(SUMPRODUCT(--ISNUMBER(SEARCH(democrattrigger,C83)))&gt;0)</f>
        <v>1</v>
      </c>
      <c r="Z83" s="14" cm="1">
        <f t="array" ref="Z83">INT(SUMPRODUCT(--ISNUMBER(SEARCH(bipartisan,C83)))&gt;0)</f>
        <v>0</v>
      </c>
      <c r="AA83" s="14">
        <f t="shared" si="1"/>
        <v>0</v>
      </c>
      <c r="AB83" s="14"/>
      <c r="AC83" s="30">
        <v>1</v>
      </c>
      <c r="AD83" s="37">
        <v>0</v>
      </c>
    </row>
    <row r="84" spans="1:30" x14ac:dyDescent="0.25">
      <c r="A84" s="36">
        <v>2876</v>
      </c>
      <c r="B84" s="14" t="s">
        <v>5777</v>
      </c>
      <c r="C84" s="14" t="s">
        <v>5778</v>
      </c>
      <c r="D84" s="17">
        <v>44125</v>
      </c>
      <c r="E84" s="14" t="s">
        <v>30</v>
      </c>
      <c r="F84" s="14">
        <v>35</v>
      </c>
      <c r="G84" s="14">
        <v>7</v>
      </c>
      <c r="H84" s="14">
        <v>13</v>
      </c>
      <c r="I84" s="14">
        <v>7</v>
      </c>
      <c r="J84" s="14" t="s">
        <v>204</v>
      </c>
      <c r="K84" s="14" cm="1">
        <f t="array" ref="K84">INT(SUMPRODUCT(--ISNUMBER(SEARCH(economy,C84)))&gt;0)</f>
        <v>0</v>
      </c>
      <c r="L84" s="14" cm="1">
        <f t="array" ref="L84">INT(SUMPRODUCT(--ISNUMBER(SEARCH(healthcare,C84)))&gt;0)</f>
        <v>0</v>
      </c>
      <c r="M84" s="14" cm="1">
        <f t="array" ref="M84">INT(SUMPRODUCT(--ISNUMBER(SEARCH(supreme,C84)))&gt;0)</f>
        <v>0</v>
      </c>
      <c r="N84" s="14" cm="1">
        <f t="array" ref="N84">INT(SUMPRODUCT(--ISNUMBER(SEARCH(covid,C84)))&gt;0)</f>
        <v>0</v>
      </c>
      <c r="O84" s="14" cm="1">
        <f t="array" ref="O84">INT(SUMPRODUCT(--ISNUMBER(SEARCH(violent,C84)))&gt;0)</f>
        <v>0</v>
      </c>
      <c r="P84" s="14" cm="1">
        <f t="array" ref="P84">INT(SUMPRODUCT(--ISNUMBER(SEARCH(foreign,C84)))&gt;0)</f>
        <v>0</v>
      </c>
      <c r="Q84" s="14" cm="1">
        <f t="array" ref="Q84">INT(SUMPRODUCT(--ISNUMBER(SEARCH(gun,C84)))&gt;0)</f>
        <v>0</v>
      </c>
      <c r="R84" s="14" cm="1">
        <f t="array" ref="R84">INT(SUMPRODUCT(--ISNUMBER(SEARCH(race,C84)))&gt;0)</f>
        <v>0</v>
      </c>
      <c r="S84" s="14" cm="1">
        <f t="array" ref="S84">INT(SUMPRODUCT(--ISNUMBER(SEARCH(immigration,C84)))&gt;0)</f>
        <v>0</v>
      </c>
      <c r="T84" s="14" cm="1">
        <f t="array" ref="T84">INT(SUMPRODUCT(--ISNUMBER(SEARCH(econineq,C85)))&gt;0)</f>
        <v>0</v>
      </c>
      <c r="U84" s="14" cm="1">
        <f t="array" ref="U84">INT(SUMPRODUCT(--ISNUMBER(SEARCH(climate,C84)))&gt;0)</f>
        <v>0</v>
      </c>
      <c r="V84" s="14" cm="1">
        <f t="array" ref="V84">INT(SUMPRODUCT(--ISNUMBER(SEARCH(abortion,C84)))&gt;0)</f>
        <v>0</v>
      </c>
      <c r="W84" s="14" cm="1">
        <f t="array" ref="W84">INT(SUMPRODUCT(--ISNUMBER(SEARCH(trump,C84)))&gt;0)</f>
        <v>1</v>
      </c>
      <c r="X84" s="14" cm="1">
        <f t="array" ref="X84">INT(SUMPRODUCT(--ISNUMBER(SEARCH(voting,C84)))&gt;0)</f>
        <v>1</v>
      </c>
      <c r="Y84" s="14" cm="1">
        <f t="array" ref="Y84">INT(SUMPRODUCT(--ISNUMBER(SEARCH(democrattrigger,C84)))&gt;0)</f>
        <v>0</v>
      </c>
      <c r="Z84" s="14" cm="1">
        <f t="array" ref="Z84">INT(SUMPRODUCT(--ISNUMBER(SEARCH(bipartisan,C84)))&gt;0)</f>
        <v>0</v>
      </c>
      <c r="AA84" s="14">
        <f t="shared" si="1"/>
        <v>0</v>
      </c>
      <c r="AB84" s="14"/>
      <c r="AC84" s="30">
        <v>1</v>
      </c>
      <c r="AD84" s="37">
        <v>0</v>
      </c>
    </row>
    <row r="85" spans="1:30" x14ac:dyDescent="0.25">
      <c r="A85" s="36">
        <v>2877</v>
      </c>
      <c r="B85" s="14" t="s">
        <v>5779</v>
      </c>
      <c r="C85" s="14" t="s">
        <v>5780</v>
      </c>
      <c r="D85" s="17">
        <v>44125</v>
      </c>
      <c r="E85" s="14" t="s">
        <v>30</v>
      </c>
      <c r="F85" s="14">
        <v>284</v>
      </c>
      <c r="G85" s="14">
        <v>58</v>
      </c>
      <c r="H85" s="14">
        <v>13</v>
      </c>
      <c r="I85" s="14">
        <v>7</v>
      </c>
      <c r="J85" s="14" t="s">
        <v>204</v>
      </c>
      <c r="K85" s="14" cm="1">
        <f t="array" ref="K85">INT(SUMPRODUCT(--ISNUMBER(SEARCH(economy,C85)))&gt;0)</f>
        <v>0</v>
      </c>
      <c r="L85" s="14" cm="1">
        <f t="array" ref="L85">INT(SUMPRODUCT(--ISNUMBER(SEARCH(healthcare,C85)))&gt;0)</f>
        <v>0</v>
      </c>
      <c r="M85" s="14" cm="1">
        <f t="array" ref="M85">INT(SUMPRODUCT(--ISNUMBER(SEARCH(supreme,C85)))&gt;0)</f>
        <v>0</v>
      </c>
      <c r="N85" s="14" cm="1">
        <f t="array" ref="N85">INT(SUMPRODUCT(--ISNUMBER(SEARCH(covid,C85)))&gt;0)</f>
        <v>0</v>
      </c>
      <c r="O85" s="14" cm="1">
        <f t="array" ref="O85">INT(SUMPRODUCT(--ISNUMBER(SEARCH(violent,C85)))&gt;0)</f>
        <v>0</v>
      </c>
      <c r="P85" s="14" cm="1">
        <f t="array" ref="P85">INT(SUMPRODUCT(--ISNUMBER(SEARCH(foreign,C85)))&gt;0)</f>
        <v>0</v>
      </c>
      <c r="Q85" s="14" cm="1">
        <f t="array" ref="Q85">INT(SUMPRODUCT(--ISNUMBER(SEARCH(gun,C85)))&gt;0)</f>
        <v>0</v>
      </c>
      <c r="R85" s="14" cm="1">
        <f t="array" ref="R85">INT(SUMPRODUCT(--ISNUMBER(SEARCH(race,C85)))&gt;0)</f>
        <v>0</v>
      </c>
      <c r="S85" s="14" cm="1">
        <f t="array" ref="S85">INT(SUMPRODUCT(--ISNUMBER(SEARCH(immigration,C85)))&gt;0)</f>
        <v>0</v>
      </c>
      <c r="T85" s="14" cm="1">
        <f t="array" ref="T85">INT(SUMPRODUCT(--ISNUMBER(SEARCH(econineq,C86)))&gt;0)</f>
        <v>0</v>
      </c>
      <c r="U85" s="14" cm="1">
        <f t="array" ref="U85">INT(SUMPRODUCT(--ISNUMBER(SEARCH(climate,C85)))&gt;0)</f>
        <v>0</v>
      </c>
      <c r="V85" s="14" cm="1">
        <f t="array" ref="V85">INT(SUMPRODUCT(--ISNUMBER(SEARCH(abortion,C85)))&gt;0)</f>
        <v>0</v>
      </c>
      <c r="W85" s="14" cm="1">
        <f t="array" ref="W85">INT(SUMPRODUCT(--ISNUMBER(SEARCH(trump,C85)))&gt;0)</f>
        <v>0</v>
      </c>
      <c r="X85" s="14" cm="1">
        <f t="array" ref="X85">INT(SUMPRODUCT(--ISNUMBER(SEARCH(voting,C85)))&gt;0)</f>
        <v>0</v>
      </c>
      <c r="Y85" s="14" cm="1">
        <f t="array" ref="Y85">INT(SUMPRODUCT(--ISNUMBER(SEARCH(democrattrigger,C85)))&gt;0)</f>
        <v>0</v>
      </c>
      <c r="Z85" s="14" cm="1">
        <f t="array" ref="Z85">INT(SUMPRODUCT(--ISNUMBER(SEARCH(bipartisan,C85)))&gt;0)</f>
        <v>0</v>
      </c>
      <c r="AA85" s="14">
        <f t="shared" si="1"/>
        <v>1</v>
      </c>
      <c r="AB85" s="14"/>
      <c r="AC85" s="30">
        <v>0</v>
      </c>
      <c r="AD85" s="37">
        <v>1</v>
      </c>
    </row>
    <row r="86" spans="1:30" x14ac:dyDescent="0.25">
      <c r="A86" s="36">
        <v>2878</v>
      </c>
      <c r="B86" s="14" t="s">
        <v>5781</v>
      </c>
      <c r="C86" s="14" t="s">
        <v>5782</v>
      </c>
      <c r="D86" s="17">
        <v>44125</v>
      </c>
      <c r="E86" s="14" t="s">
        <v>30</v>
      </c>
      <c r="F86" s="14">
        <v>72</v>
      </c>
      <c r="G86" s="14">
        <v>11</v>
      </c>
      <c r="H86" s="14">
        <v>13</v>
      </c>
      <c r="I86" s="14">
        <v>7</v>
      </c>
      <c r="J86" s="14" t="s">
        <v>204</v>
      </c>
      <c r="K86" s="14" cm="1">
        <f t="array" ref="K86">INT(SUMPRODUCT(--ISNUMBER(SEARCH(economy,C86)))&gt;0)</f>
        <v>0</v>
      </c>
      <c r="L86" s="14" cm="1">
        <f t="array" ref="L86">INT(SUMPRODUCT(--ISNUMBER(SEARCH(healthcare,C86)))&gt;0)</f>
        <v>0</v>
      </c>
      <c r="M86" s="14" cm="1">
        <f t="array" ref="M86">INT(SUMPRODUCT(--ISNUMBER(SEARCH(supreme,C86)))&gt;0)</f>
        <v>0</v>
      </c>
      <c r="N86" s="14" cm="1">
        <f t="array" ref="N86">INT(SUMPRODUCT(--ISNUMBER(SEARCH(covid,C86)))&gt;0)</f>
        <v>0</v>
      </c>
      <c r="O86" s="14" cm="1">
        <f t="array" ref="O86">INT(SUMPRODUCT(--ISNUMBER(SEARCH(violent,C86)))&gt;0)</f>
        <v>0</v>
      </c>
      <c r="P86" s="14" cm="1">
        <f t="array" ref="P86">INT(SUMPRODUCT(--ISNUMBER(SEARCH(foreign,C86)))&gt;0)</f>
        <v>0</v>
      </c>
      <c r="Q86" s="14" cm="1">
        <f t="array" ref="Q86">INT(SUMPRODUCT(--ISNUMBER(SEARCH(gun,C86)))&gt;0)</f>
        <v>0</v>
      </c>
      <c r="R86" s="14" cm="1">
        <f t="array" ref="R86">INT(SUMPRODUCT(--ISNUMBER(SEARCH(race,C86)))&gt;0)</f>
        <v>0</v>
      </c>
      <c r="S86" s="14" cm="1">
        <f t="array" ref="S86">INT(SUMPRODUCT(--ISNUMBER(SEARCH(immigration,C86)))&gt;0)</f>
        <v>0</v>
      </c>
      <c r="T86" s="14" cm="1">
        <f t="array" ref="T86">INT(SUMPRODUCT(--ISNUMBER(SEARCH(econineq,C87)))&gt;0)</f>
        <v>0</v>
      </c>
      <c r="U86" s="14" cm="1">
        <f t="array" ref="U86">INT(SUMPRODUCT(--ISNUMBER(SEARCH(climate,C86)))&gt;0)</f>
        <v>0</v>
      </c>
      <c r="V86" s="14" cm="1">
        <f t="array" ref="V86">INT(SUMPRODUCT(--ISNUMBER(SEARCH(abortion,C86)))&gt;0)</f>
        <v>0</v>
      </c>
      <c r="W86" s="14" cm="1">
        <f t="array" ref="W86">INT(SUMPRODUCT(--ISNUMBER(SEARCH(trump,C86)))&gt;0)</f>
        <v>0</v>
      </c>
      <c r="X86" s="14" cm="1">
        <f t="array" ref="X86">INT(SUMPRODUCT(--ISNUMBER(SEARCH(voting,C86)))&gt;0)</f>
        <v>0</v>
      </c>
      <c r="Y86" s="14" cm="1">
        <f t="array" ref="Y86">INT(SUMPRODUCT(--ISNUMBER(SEARCH(democrattrigger,C86)))&gt;0)</f>
        <v>0</v>
      </c>
      <c r="Z86" s="14" cm="1">
        <f t="array" ref="Z86">INT(SUMPRODUCT(--ISNUMBER(SEARCH(bipartisan,C86)))&gt;0)</f>
        <v>0</v>
      </c>
      <c r="AA86" s="14">
        <f t="shared" si="1"/>
        <v>1</v>
      </c>
      <c r="AB86" s="14"/>
      <c r="AC86" s="30" t="s">
        <v>223</v>
      </c>
      <c r="AD86" s="37" t="s">
        <v>223</v>
      </c>
    </row>
    <row r="87" spans="1:30" x14ac:dyDescent="0.25">
      <c r="A87" s="36">
        <v>2879</v>
      </c>
      <c r="B87" s="14" t="s">
        <v>5783</v>
      </c>
      <c r="C87" s="14" t="s">
        <v>5784</v>
      </c>
      <c r="D87" s="17">
        <v>44124</v>
      </c>
      <c r="E87" s="14" t="s">
        <v>30</v>
      </c>
      <c r="F87" s="14">
        <v>57</v>
      </c>
      <c r="G87" s="14">
        <v>15</v>
      </c>
      <c r="H87" s="14">
        <v>13</v>
      </c>
      <c r="I87" s="14">
        <v>7</v>
      </c>
      <c r="J87" s="14" t="s">
        <v>204</v>
      </c>
      <c r="K87" s="14" cm="1">
        <f t="array" ref="K87">INT(SUMPRODUCT(--ISNUMBER(SEARCH(economy,C87)))&gt;0)</f>
        <v>0</v>
      </c>
      <c r="L87" s="14" cm="1">
        <f t="array" ref="L87">INT(SUMPRODUCT(--ISNUMBER(SEARCH(healthcare,C87)))&gt;0)</f>
        <v>1</v>
      </c>
      <c r="M87" s="14" cm="1">
        <f t="array" ref="M87">INT(SUMPRODUCT(--ISNUMBER(SEARCH(supreme,C87)))&gt;0)</f>
        <v>0</v>
      </c>
      <c r="N87" s="14" cm="1">
        <f t="array" ref="N87">INT(SUMPRODUCT(--ISNUMBER(SEARCH(covid,C87)))&gt;0)</f>
        <v>0</v>
      </c>
      <c r="O87" s="14" cm="1">
        <f t="array" ref="O87">INT(SUMPRODUCT(--ISNUMBER(SEARCH(violent,C87)))&gt;0)</f>
        <v>0</v>
      </c>
      <c r="P87" s="14" cm="1">
        <f t="array" ref="P87">INT(SUMPRODUCT(--ISNUMBER(SEARCH(foreign,C87)))&gt;0)</f>
        <v>0</v>
      </c>
      <c r="Q87" s="14" cm="1">
        <f t="array" ref="Q87">INT(SUMPRODUCT(--ISNUMBER(SEARCH(gun,C87)))&gt;0)</f>
        <v>0</v>
      </c>
      <c r="R87" s="14" cm="1">
        <f t="array" ref="R87">INT(SUMPRODUCT(--ISNUMBER(SEARCH(race,C87)))&gt;0)</f>
        <v>0</v>
      </c>
      <c r="S87" s="14" cm="1">
        <f t="array" ref="S87">INT(SUMPRODUCT(--ISNUMBER(SEARCH(immigration,C87)))&gt;0)</f>
        <v>0</v>
      </c>
      <c r="T87" s="14" cm="1">
        <f t="array" ref="T87">INT(SUMPRODUCT(--ISNUMBER(SEARCH(econineq,C88)))&gt;0)</f>
        <v>0</v>
      </c>
      <c r="U87" s="14" cm="1">
        <f t="array" ref="U87">INT(SUMPRODUCT(--ISNUMBER(SEARCH(climate,C87)))&gt;0)</f>
        <v>0</v>
      </c>
      <c r="V87" s="14" cm="1">
        <f t="array" ref="V87">INT(SUMPRODUCT(--ISNUMBER(SEARCH(abortion,C87)))&gt;0)</f>
        <v>0</v>
      </c>
      <c r="W87" s="14" cm="1">
        <f t="array" ref="W87">INT(SUMPRODUCT(--ISNUMBER(SEARCH(trump,C87)))&gt;0)</f>
        <v>0</v>
      </c>
      <c r="X87" s="14" cm="1">
        <f t="array" ref="X87">INT(SUMPRODUCT(--ISNUMBER(SEARCH(voting,C87)))&gt;0)</f>
        <v>0</v>
      </c>
      <c r="Y87" s="14" cm="1">
        <f t="array" ref="Y87">INT(SUMPRODUCT(--ISNUMBER(SEARCH(democrattrigger,C87)))&gt;0)</f>
        <v>1</v>
      </c>
      <c r="Z87" s="14" cm="1">
        <f t="array" ref="Z87">INT(SUMPRODUCT(--ISNUMBER(SEARCH(bipartisan,C87)))&gt;0)</f>
        <v>0</v>
      </c>
      <c r="AA87" s="14">
        <f t="shared" si="1"/>
        <v>0</v>
      </c>
      <c r="AB87" s="14"/>
      <c r="AC87" s="30">
        <v>1</v>
      </c>
      <c r="AD87" s="37">
        <v>0</v>
      </c>
    </row>
    <row r="88" spans="1:30" x14ac:dyDescent="0.25">
      <c r="A88" s="36">
        <v>2880</v>
      </c>
      <c r="B88" s="14" t="s">
        <v>5785</v>
      </c>
      <c r="C88" s="14" t="s">
        <v>5786</v>
      </c>
      <c r="D88" s="17">
        <v>44124</v>
      </c>
      <c r="E88" s="14" t="s">
        <v>30</v>
      </c>
      <c r="F88" s="14">
        <v>30</v>
      </c>
      <c r="G88" s="14">
        <v>17</v>
      </c>
      <c r="H88" s="14">
        <v>13</v>
      </c>
      <c r="I88" s="14">
        <v>7</v>
      </c>
      <c r="J88" s="14" t="s">
        <v>204</v>
      </c>
      <c r="K88" s="14" cm="1">
        <f t="array" ref="K88">INT(SUMPRODUCT(--ISNUMBER(SEARCH(economy,C88)))&gt;0)</f>
        <v>0</v>
      </c>
      <c r="L88" s="14" cm="1">
        <f t="array" ref="L88">INT(SUMPRODUCT(--ISNUMBER(SEARCH(healthcare,C88)))&gt;0)</f>
        <v>0</v>
      </c>
      <c r="M88" s="14" cm="1">
        <f t="array" ref="M88">INT(SUMPRODUCT(--ISNUMBER(SEARCH(supreme,C88)))&gt;0)</f>
        <v>0</v>
      </c>
      <c r="N88" s="14" cm="1">
        <f t="array" ref="N88">INT(SUMPRODUCT(--ISNUMBER(SEARCH(covid,C88)))&gt;0)</f>
        <v>0</v>
      </c>
      <c r="O88" s="14" cm="1">
        <f t="array" ref="O88">INT(SUMPRODUCT(--ISNUMBER(SEARCH(violent,C88)))&gt;0)</f>
        <v>0</v>
      </c>
      <c r="P88" s="14" cm="1">
        <f t="array" ref="P88">INT(SUMPRODUCT(--ISNUMBER(SEARCH(foreign,C88)))&gt;0)</f>
        <v>1</v>
      </c>
      <c r="Q88" s="14" cm="1">
        <f t="array" ref="Q88">INT(SUMPRODUCT(--ISNUMBER(SEARCH(gun,C88)))&gt;0)</f>
        <v>0</v>
      </c>
      <c r="R88" s="14" cm="1">
        <f t="array" ref="R88">INT(SUMPRODUCT(--ISNUMBER(SEARCH(race,C88)))&gt;0)</f>
        <v>0</v>
      </c>
      <c r="S88" s="14" cm="1">
        <f t="array" ref="S88">INT(SUMPRODUCT(--ISNUMBER(SEARCH(immigration,C88)))&gt;0)</f>
        <v>0</v>
      </c>
      <c r="T88" s="14" cm="1">
        <f t="array" ref="T88">INT(SUMPRODUCT(--ISNUMBER(SEARCH(econineq,C89)))&gt;0)</f>
        <v>0</v>
      </c>
      <c r="U88" s="14" cm="1">
        <f t="array" ref="U88">INT(SUMPRODUCT(--ISNUMBER(SEARCH(climate,C88)))&gt;0)</f>
        <v>0</v>
      </c>
      <c r="V88" s="14" cm="1">
        <f t="array" ref="V88">INT(SUMPRODUCT(--ISNUMBER(SEARCH(abortion,C88)))&gt;0)</f>
        <v>0</v>
      </c>
      <c r="W88" s="14" cm="1">
        <f t="array" ref="W88">INT(SUMPRODUCT(--ISNUMBER(SEARCH(trump,C88)))&gt;0)</f>
        <v>0</v>
      </c>
      <c r="X88" s="14" cm="1">
        <f t="array" ref="X88">INT(SUMPRODUCT(--ISNUMBER(SEARCH(voting,C88)))&gt;0)</f>
        <v>0</v>
      </c>
      <c r="Y88" s="14" cm="1">
        <f t="array" ref="Y88">INT(SUMPRODUCT(--ISNUMBER(SEARCH(democrattrigger,C88)))&gt;0)</f>
        <v>1</v>
      </c>
      <c r="Z88" s="14" cm="1">
        <f t="array" ref="Z88">INT(SUMPRODUCT(--ISNUMBER(SEARCH(bipartisan,C88)))&gt;0)</f>
        <v>0</v>
      </c>
      <c r="AA88" s="14">
        <f t="shared" si="1"/>
        <v>0</v>
      </c>
      <c r="AB88" s="14"/>
      <c r="AC88" s="30">
        <v>1</v>
      </c>
      <c r="AD88" s="37">
        <v>0</v>
      </c>
    </row>
    <row r="89" spans="1:30" x14ac:dyDescent="0.25">
      <c r="A89" s="36">
        <v>2881</v>
      </c>
      <c r="B89" s="14" t="s">
        <v>5787</v>
      </c>
      <c r="C89" s="14" t="s">
        <v>5788</v>
      </c>
      <c r="D89" s="17">
        <v>44124</v>
      </c>
      <c r="E89" s="14" t="s">
        <v>30</v>
      </c>
      <c r="F89" s="14">
        <v>34</v>
      </c>
      <c r="G89" s="14">
        <v>10</v>
      </c>
      <c r="H89" s="14">
        <v>13</v>
      </c>
      <c r="I89" s="14">
        <v>7</v>
      </c>
      <c r="J89" s="14" t="s">
        <v>204</v>
      </c>
      <c r="K89" s="14" cm="1">
        <f t="array" ref="K89">INT(SUMPRODUCT(--ISNUMBER(SEARCH(economy,C89)))&gt;0)</f>
        <v>0</v>
      </c>
      <c r="L89" s="14" cm="1">
        <f t="array" ref="L89">INT(SUMPRODUCT(--ISNUMBER(SEARCH(healthcare,C89)))&gt;0)</f>
        <v>1</v>
      </c>
      <c r="M89" s="14" cm="1">
        <f t="array" ref="M89">INT(SUMPRODUCT(--ISNUMBER(SEARCH(supreme,C89)))&gt;0)</f>
        <v>0</v>
      </c>
      <c r="N89" s="14" cm="1">
        <f t="array" ref="N89">INT(SUMPRODUCT(--ISNUMBER(SEARCH(covid,C89)))&gt;0)</f>
        <v>0</v>
      </c>
      <c r="O89" s="14" cm="1">
        <f t="array" ref="O89">INT(SUMPRODUCT(--ISNUMBER(SEARCH(violent,C89)))&gt;0)</f>
        <v>0</v>
      </c>
      <c r="P89" s="14" cm="1">
        <f t="array" ref="P89">INT(SUMPRODUCT(--ISNUMBER(SEARCH(foreign,C89)))&gt;0)</f>
        <v>0</v>
      </c>
      <c r="Q89" s="14" cm="1">
        <f t="array" ref="Q89">INT(SUMPRODUCT(--ISNUMBER(SEARCH(gun,C89)))&gt;0)</f>
        <v>0</v>
      </c>
      <c r="R89" s="14" cm="1">
        <f t="array" ref="R89">INT(SUMPRODUCT(--ISNUMBER(SEARCH(race,C89)))&gt;0)</f>
        <v>0</v>
      </c>
      <c r="S89" s="14" cm="1">
        <f t="array" ref="S89">INT(SUMPRODUCT(--ISNUMBER(SEARCH(immigration,C89)))&gt;0)</f>
        <v>0</v>
      </c>
      <c r="T89" s="14" cm="1">
        <f t="array" ref="T89">INT(SUMPRODUCT(--ISNUMBER(SEARCH(econineq,C90)))&gt;0)</f>
        <v>0</v>
      </c>
      <c r="U89" s="14" cm="1">
        <f t="array" ref="U89">INT(SUMPRODUCT(--ISNUMBER(SEARCH(climate,C89)))&gt;0)</f>
        <v>0</v>
      </c>
      <c r="V89" s="14" cm="1">
        <f t="array" ref="V89">INT(SUMPRODUCT(--ISNUMBER(SEARCH(abortion,C89)))&gt;0)</f>
        <v>1</v>
      </c>
      <c r="W89" s="14" cm="1">
        <f t="array" ref="W89">INT(SUMPRODUCT(--ISNUMBER(SEARCH(trump,C89)))&gt;0)</f>
        <v>0</v>
      </c>
      <c r="X89" s="14" cm="1">
        <f t="array" ref="X89">INT(SUMPRODUCT(--ISNUMBER(SEARCH(voting,C89)))&gt;0)</f>
        <v>0</v>
      </c>
      <c r="Y89" s="14" cm="1">
        <f t="array" ref="Y89">INT(SUMPRODUCT(--ISNUMBER(SEARCH(democrattrigger,C89)))&gt;0)</f>
        <v>1</v>
      </c>
      <c r="Z89" s="14" cm="1">
        <f t="array" ref="Z89">INT(SUMPRODUCT(--ISNUMBER(SEARCH(bipartisan,C89)))&gt;0)</f>
        <v>0</v>
      </c>
      <c r="AA89" s="14">
        <f t="shared" si="1"/>
        <v>0</v>
      </c>
      <c r="AB89" s="14"/>
      <c r="AC89" s="30">
        <v>1</v>
      </c>
      <c r="AD89" s="37">
        <v>0</v>
      </c>
    </row>
    <row r="90" spans="1:30" x14ac:dyDescent="0.25">
      <c r="A90" s="36">
        <v>2882</v>
      </c>
      <c r="B90" s="14" t="s">
        <v>5789</v>
      </c>
      <c r="C90" s="14" t="s">
        <v>5790</v>
      </c>
      <c r="D90" s="17">
        <v>44124</v>
      </c>
      <c r="E90" s="14" t="s">
        <v>30</v>
      </c>
      <c r="F90" s="14">
        <v>73</v>
      </c>
      <c r="G90" s="14">
        <v>23</v>
      </c>
      <c r="H90" s="14">
        <v>13</v>
      </c>
      <c r="I90" s="14">
        <v>7</v>
      </c>
      <c r="J90" s="14" t="s">
        <v>204</v>
      </c>
      <c r="K90" s="14" cm="1">
        <f t="array" ref="K90">INT(SUMPRODUCT(--ISNUMBER(SEARCH(economy,C90)))&gt;0)</f>
        <v>0</v>
      </c>
      <c r="L90" s="14" cm="1">
        <f t="array" ref="L90">INT(SUMPRODUCT(--ISNUMBER(SEARCH(healthcare,C90)))&gt;0)</f>
        <v>1</v>
      </c>
      <c r="M90" s="14" cm="1">
        <f t="array" ref="M90">INT(SUMPRODUCT(--ISNUMBER(SEARCH(supreme,C90)))&gt;0)</f>
        <v>1</v>
      </c>
      <c r="N90" s="14" cm="1">
        <f t="array" ref="N90">INT(SUMPRODUCT(--ISNUMBER(SEARCH(covid,C90)))&gt;0)</f>
        <v>0</v>
      </c>
      <c r="O90" s="14" cm="1">
        <f t="array" ref="O90">INT(SUMPRODUCT(--ISNUMBER(SEARCH(violent,C90)))&gt;0)</f>
        <v>0</v>
      </c>
      <c r="P90" s="14" cm="1">
        <f t="array" ref="P90">INT(SUMPRODUCT(--ISNUMBER(SEARCH(foreign,C90)))&gt;0)</f>
        <v>0</v>
      </c>
      <c r="Q90" s="14" cm="1">
        <f t="array" ref="Q90">INT(SUMPRODUCT(--ISNUMBER(SEARCH(gun,C90)))&gt;0)</f>
        <v>0</v>
      </c>
      <c r="R90" s="14" cm="1">
        <f t="array" ref="R90">INT(SUMPRODUCT(--ISNUMBER(SEARCH(race,C90)))&gt;0)</f>
        <v>0</v>
      </c>
      <c r="S90" s="14" cm="1">
        <f t="array" ref="S90">INT(SUMPRODUCT(--ISNUMBER(SEARCH(immigration,C90)))&gt;0)</f>
        <v>0</v>
      </c>
      <c r="T90" s="14" cm="1">
        <f t="array" ref="T90">INT(SUMPRODUCT(--ISNUMBER(SEARCH(econineq,C91)))&gt;0)</f>
        <v>0</v>
      </c>
      <c r="U90" s="14" cm="1">
        <f t="array" ref="U90">INT(SUMPRODUCT(--ISNUMBER(SEARCH(climate,C90)))&gt;0)</f>
        <v>0</v>
      </c>
      <c r="V90" s="14" cm="1">
        <f t="array" ref="V90">INT(SUMPRODUCT(--ISNUMBER(SEARCH(abortion,C90)))&gt;0)</f>
        <v>1</v>
      </c>
      <c r="W90" s="14" cm="1">
        <f t="array" ref="W90">INT(SUMPRODUCT(--ISNUMBER(SEARCH(trump,C90)))&gt;0)</f>
        <v>0</v>
      </c>
      <c r="X90" s="14" cm="1">
        <f t="array" ref="X90">INT(SUMPRODUCT(--ISNUMBER(SEARCH(voting,C90)))&gt;0)</f>
        <v>0</v>
      </c>
      <c r="Y90" s="14" cm="1">
        <f t="array" ref="Y90">INT(SUMPRODUCT(--ISNUMBER(SEARCH(democrattrigger,C90)))&gt;0)</f>
        <v>1</v>
      </c>
      <c r="Z90" s="14" cm="1">
        <f t="array" ref="Z90">INT(SUMPRODUCT(--ISNUMBER(SEARCH(bipartisan,C90)))&gt;0)</f>
        <v>0</v>
      </c>
      <c r="AA90" s="14">
        <f t="shared" si="1"/>
        <v>0</v>
      </c>
      <c r="AB90" s="14"/>
      <c r="AC90" s="30" t="s">
        <v>223</v>
      </c>
      <c r="AD90" s="37" t="s">
        <v>223</v>
      </c>
    </row>
    <row r="91" spans="1:30" x14ac:dyDescent="0.25">
      <c r="A91" s="36">
        <v>2883</v>
      </c>
      <c r="B91" s="14" t="s">
        <v>5791</v>
      </c>
      <c r="C91" s="14" t="s">
        <v>5792</v>
      </c>
      <c r="D91" s="17">
        <v>44124</v>
      </c>
      <c r="E91" s="14" t="s">
        <v>30</v>
      </c>
      <c r="F91" s="14">
        <v>13</v>
      </c>
      <c r="G91" s="14">
        <v>4</v>
      </c>
      <c r="H91" s="14">
        <v>13</v>
      </c>
      <c r="I91" s="14">
        <v>7</v>
      </c>
      <c r="J91" s="14" t="s">
        <v>204</v>
      </c>
      <c r="K91" s="14" cm="1">
        <f t="array" ref="K91">INT(SUMPRODUCT(--ISNUMBER(SEARCH(economy,C91)))&gt;0)</f>
        <v>0</v>
      </c>
      <c r="L91" s="14" cm="1">
        <f t="array" ref="L91">INT(SUMPRODUCT(--ISNUMBER(SEARCH(healthcare,C91)))&gt;0)</f>
        <v>0</v>
      </c>
      <c r="M91" s="14" cm="1">
        <f t="array" ref="M91">INT(SUMPRODUCT(--ISNUMBER(SEARCH(supreme,C91)))&gt;0)</f>
        <v>0</v>
      </c>
      <c r="N91" s="14" cm="1">
        <f t="array" ref="N91">INT(SUMPRODUCT(--ISNUMBER(SEARCH(covid,C91)))&gt;0)</f>
        <v>1</v>
      </c>
      <c r="O91" s="14" cm="1">
        <f t="array" ref="O91">INT(SUMPRODUCT(--ISNUMBER(SEARCH(violent,C91)))&gt;0)</f>
        <v>0</v>
      </c>
      <c r="P91" s="14" cm="1">
        <f t="array" ref="P91">INT(SUMPRODUCT(--ISNUMBER(SEARCH(foreign,C91)))&gt;0)</f>
        <v>0</v>
      </c>
      <c r="Q91" s="14" cm="1">
        <f t="array" ref="Q91">INT(SUMPRODUCT(--ISNUMBER(SEARCH(gun,C91)))&gt;0)</f>
        <v>0</v>
      </c>
      <c r="R91" s="14" cm="1">
        <f t="array" ref="R91">INT(SUMPRODUCT(--ISNUMBER(SEARCH(race,C91)))&gt;0)</f>
        <v>0</v>
      </c>
      <c r="S91" s="14" cm="1">
        <f t="array" ref="S91">INT(SUMPRODUCT(--ISNUMBER(SEARCH(immigration,C91)))&gt;0)</f>
        <v>0</v>
      </c>
      <c r="T91" s="14" cm="1">
        <f t="array" ref="T91">INT(SUMPRODUCT(--ISNUMBER(SEARCH(econineq,C92)))&gt;0)</f>
        <v>0</v>
      </c>
      <c r="U91" s="14" cm="1">
        <f t="array" ref="U91">INT(SUMPRODUCT(--ISNUMBER(SEARCH(climate,C91)))&gt;0)</f>
        <v>0</v>
      </c>
      <c r="V91" s="14" cm="1">
        <f t="array" ref="V91">INT(SUMPRODUCT(--ISNUMBER(SEARCH(abortion,C91)))&gt;0)</f>
        <v>0</v>
      </c>
      <c r="W91" s="14" cm="1">
        <f t="array" ref="W91">INT(SUMPRODUCT(--ISNUMBER(SEARCH(trump,C91)))&gt;0)</f>
        <v>1</v>
      </c>
      <c r="X91" s="14" cm="1">
        <f t="array" ref="X91">INT(SUMPRODUCT(--ISNUMBER(SEARCH(voting,C91)))&gt;0)</f>
        <v>0</v>
      </c>
      <c r="Y91" s="14" cm="1">
        <f t="array" ref="Y91">INT(SUMPRODUCT(--ISNUMBER(SEARCH(democrattrigger,C91)))&gt;0)</f>
        <v>1</v>
      </c>
      <c r="Z91" s="14" cm="1">
        <f t="array" ref="Z91">INT(SUMPRODUCT(--ISNUMBER(SEARCH(bipartisan,C91)))&gt;0)</f>
        <v>0</v>
      </c>
      <c r="AA91" s="14">
        <f t="shared" si="1"/>
        <v>0</v>
      </c>
      <c r="AB91" s="14"/>
      <c r="AC91" s="30" t="s">
        <v>223</v>
      </c>
      <c r="AD91" s="37" t="s">
        <v>223</v>
      </c>
    </row>
    <row r="92" spans="1:30" x14ac:dyDescent="0.25">
      <c r="A92" s="36">
        <v>2884</v>
      </c>
      <c r="B92" s="14" t="s">
        <v>5793</v>
      </c>
      <c r="C92" s="14" t="s">
        <v>5794</v>
      </c>
      <c r="D92" s="17">
        <v>44124</v>
      </c>
      <c r="E92" s="14" t="s">
        <v>30</v>
      </c>
      <c r="F92" s="14">
        <v>23</v>
      </c>
      <c r="G92" s="14">
        <v>12</v>
      </c>
      <c r="H92" s="14">
        <v>13</v>
      </c>
      <c r="I92" s="14">
        <v>7</v>
      </c>
      <c r="J92" s="14" t="s">
        <v>204</v>
      </c>
      <c r="K92" s="14" cm="1">
        <f t="array" ref="K92">INT(SUMPRODUCT(--ISNUMBER(SEARCH(economy,C92)))&gt;0)</f>
        <v>1</v>
      </c>
      <c r="L92" s="14" cm="1">
        <f t="array" ref="L92">INT(SUMPRODUCT(--ISNUMBER(SEARCH(healthcare,C92)))&gt;0)</f>
        <v>1</v>
      </c>
      <c r="M92" s="14" cm="1">
        <f t="array" ref="M92">INT(SUMPRODUCT(--ISNUMBER(SEARCH(supreme,C92)))&gt;0)</f>
        <v>0</v>
      </c>
      <c r="N92" s="14" cm="1">
        <f t="array" ref="N92">INT(SUMPRODUCT(--ISNUMBER(SEARCH(covid,C92)))&gt;0)</f>
        <v>0</v>
      </c>
      <c r="O92" s="14" cm="1">
        <f t="array" ref="O92">INT(SUMPRODUCT(--ISNUMBER(SEARCH(violent,C92)))&gt;0)</f>
        <v>0</v>
      </c>
      <c r="P92" s="14" cm="1">
        <f t="array" ref="P92">INT(SUMPRODUCT(--ISNUMBER(SEARCH(foreign,C92)))&gt;0)</f>
        <v>0</v>
      </c>
      <c r="Q92" s="14" cm="1">
        <f t="array" ref="Q92">INT(SUMPRODUCT(--ISNUMBER(SEARCH(gun,C92)))&gt;0)</f>
        <v>0</v>
      </c>
      <c r="R92" s="14" cm="1">
        <f t="array" ref="R92">INT(SUMPRODUCT(--ISNUMBER(SEARCH(race,C92)))&gt;0)</f>
        <v>0</v>
      </c>
      <c r="S92" s="14" cm="1">
        <f t="array" ref="S92">INT(SUMPRODUCT(--ISNUMBER(SEARCH(immigration,C92)))&gt;0)</f>
        <v>0</v>
      </c>
      <c r="T92" s="14" cm="1">
        <f t="array" ref="T92">INT(SUMPRODUCT(--ISNUMBER(SEARCH(econineq,C93)))&gt;0)</f>
        <v>0</v>
      </c>
      <c r="U92" s="14" cm="1">
        <f t="array" ref="U92">INT(SUMPRODUCT(--ISNUMBER(SEARCH(climate,C92)))&gt;0)</f>
        <v>0</v>
      </c>
      <c r="V92" s="14" cm="1">
        <f t="array" ref="V92">INT(SUMPRODUCT(--ISNUMBER(SEARCH(abortion,C92)))&gt;0)</f>
        <v>0</v>
      </c>
      <c r="W92" s="14" cm="1">
        <f t="array" ref="W92">INT(SUMPRODUCT(--ISNUMBER(SEARCH(trump,C92)))&gt;0)</f>
        <v>0</v>
      </c>
      <c r="X92" s="14" cm="1">
        <f t="array" ref="X92">INT(SUMPRODUCT(--ISNUMBER(SEARCH(voting,C92)))&gt;0)</f>
        <v>0</v>
      </c>
      <c r="Y92" s="14" cm="1">
        <f t="array" ref="Y92">INT(SUMPRODUCT(--ISNUMBER(SEARCH(democrattrigger,C92)))&gt;0)</f>
        <v>1</v>
      </c>
      <c r="Z92" s="14" cm="1">
        <f t="array" ref="Z92">INT(SUMPRODUCT(--ISNUMBER(SEARCH(bipartisan,C92)))&gt;0)</f>
        <v>0</v>
      </c>
      <c r="AA92" s="14">
        <f t="shared" si="1"/>
        <v>0</v>
      </c>
      <c r="AB92" s="14"/>
      <c r="AC92" s="30">
        <v>1</v>
      </c>
      <c r="AD92" s="37">
        <v>0</v>
      </c>
    </row>
    <row r="93" spans="1:30" x14ac:dyDescent="0.25">
      <c r="A93" s="36">
        <v>2885</v>
      </c>
      <c r="B93" s="14" t="s">
        <v>5795</v>
      </c>
      <c r="C93" s="14" t="s">
        <v>5796</v>
      </c>
      <c r="D93" s="17">
        <v>44124</v>
      </c>
      <c r="E93" s="14" t="s">
        <v>30</v>
      </c>
      <c r="F93" s="14">
        <v>18</v>
      </c>
      <c r="G93" s="14">
        <v>6</v>
      </c>
      <c r="H93" s="14">
        <v>13</v>
      </c>
      <c r="I93" s="14">
        <v>7</v>
      </c>
      <c r="J93" s="14" t="s">
        <v>204</v>
      </c>
      <c r="K93" s="14" cm="1">
        <f t="array" ref="K93">INT(SUMPRODUCT(--ISNUMBER(SEARCH(economy,C93)))&gt;0)</f>
        <v>0</v>
      </c>
      <c r="L93" s="14" cm="1">
        <f t="array" ref="L93">INT(SUMPRODUCT(--ISNUMBER(SEARCH(healthcare,C93)))&gt;0)</f>
        <v>0</v>
      </c>
      <c r="M93" s="14" cm="1">
        <f t="array" ref="M93">INT(SUMPRODUCT(--ISNUMBER(SEARCH(supreme,C93)))&gt;0)</f>
        <v>0</v>
      </c>
      <c r="N93" s="14" cm="1">
        <f t="array" ref="N93">INT(SUMPRODUCT(--ISNUMBER(SEARCH(covid,C93)))&gt;0)</f>
        <v>1</v>
      </c>
      <c r="O93" s="14" cm="1">
        <f t="array" ref="O93">INT(SUMPRODUCT(--ISNUMBER(SEARCH(violent,C93)))&gt;0)</f>
        <v>0</v>
      </c>
      <c r="P93" s="14" cm="1">
        <f t="array" ref="P93">INT(SUMPRODUCT(--ISNUMBER(SEARCH(foreign,C93)))&gt;0)</f>
        <v>0</v>
      </c>
      <c r="Q93" s="14" cm="1">
        <f t="array" ref="Q93">INT(SUMPRODUCT(--ISNUMBER(SEARCH(gun,C93)))&gt;0)</f>
        <v>0</v>
      </c>
      <c r="R93" s="14" cm="1">
        <f t="array" ref="R93">INT(SUMPRODUCT(--ISNUMBER(SEARCH(race,C93)))&gt;0)</f>
        <v>0</v>
      </c>
      <c r="S93" s="14" cm="1">
        <f t="array" ref="S93">INT(SUMPRODUCT(--ISNUMBER(SEARCH(immigration,C93)))&gt;0)</f>
        <v>0</v>
      </c>
      <c r="T93" s="14" cm="1">
        <f t="array" ref="T93">INT(SUMPRODUCT(--ISNUMBER(SEARCH(econineq,C94)))&gt;0)</f>
        <v>0</v>
      </c>
      <c r="U93" s="14" cm="1">
        <f t="array" ref="U93">INT(SUMPRODUCT(--ISNUMBER(SEARCH(climate,C93)))&gt;0)</f>
        <v>0</v>
      </c>
      <c r="V93" s="14" cm="1">
        <f t="array" ref="V93">INT(SUMPRODUCT(--ISNUMBER(SEARCH(abortion,C93)))&gt;0)</f>
        <v>0</v>
      </c>
      <c r="W93" s="14" cm="1">
        <f t="array" ref="W93">INT(SUMPRODUCT(--ISNUMBER(SEARCH(trump,C93)))&gt;0)</f>
        <v>0</v>
      </c>
      <c r="X93" s="14" cm="1">
        <f t="array" ref="X93">INT(SUMPRODUCT(--ISNUMBER(SEARCH(voting,C93)))&gt;0)</f>
        <v>0</v>
      </c>
      <c r="Y93" s="14" cm="1">
        <f t="array" ref="Y93">INT(SUMPRODUCT(--ISNUMBER(SEARCH(democrattrigger,C93)))&gt;0)</f>
        <v>1</v>
      </c>
      <c r="Z93" s="14" cm="1">
        <f t="array" ref="Z93">INT(SUMPRODUCT(--ISNUMBER(SEARCH(bipartisan,C93)))&gt;0)</f>
        <v>0</v>
      </c>
      <c r="AA93" s="14">
        <f t="shared" si="1"/>
        <v>0</v>
      </c>
      <c r="AB93" s="14"/>
      <c r="AC93" s="30" t="s">
        <v>223</v>
      </c>
      <c r="AD93" s="37" t="s">
        <v>223</v>
      </c>
    </row>
    <row r="94" spans="1:30" x14ac:dyDescent="0.25">
      <c r="A94" s="36">
        <v>2886</v>
      </c>
      <c r="B94" s="14" t="s">
        <v>5797</v>
      </c>
      <c r="C94" s="14" t="s">
        <v>5798</v>
      </c>
      <c r="D94" s="17">
        <v>44124</v>
      </c>
      <c r="E94" s="14" t="s">
        <v>30</v>
      </c>
      <c r="F94" s="14">
        <v>99</v>
      </c>
      <c r="G94" s="14">
        <v>33</v>
      </c>
      <c r="H94" s="14">
        <v>13</v>
      </c>
      <c r="I94" s="14">
        <v>7</v>
      </c>
      <c r="J94" s="14" t="s">
        <v>204</v>
      </c>
      <c r="K94" s="14" cm="1">
        <f t="array" ref="K94">INT(SUMPRODUCT(--ISNUMBER(SEARCH(economy,C94)))&gt;0)</f>
        <v>0</v>
      </c>
      <c r="L94" s="14" cm="1">
        <f t="array" ref="L94">INT(SUMPRODUCT(--ISNUMBER(SEARCH(healthcare,C94)))&gt;0)</f>
        <v>0</v>
      </c>
      <c r="M94" s="14" cm="1">
        <f t="array" ref="M94">INT(SUMPRODUCT(--ISNUMBER(SEARCH(supreme,C94)))&gt;0)</f>
        <v>0</v>
      </c>
      <c r="N94" s="14" cm="1">
        <f t="array" ref="N94">INT(SUMPRODUCT(--ISNUMBER(SEARCH(covid,C94)))&gt;0)</f>
        <v>0</v>
      </c>
      <c r="O94" s="14" cm="1">
        <f t="array" ref="O94">INT(SUMPRODUCT(--ISNUMBER(SEARCH(violent,C94)))&gt;0)</f>
        <v>0</v>
      </c>
      <c r="P94" s="14" cm="1">
        <f t="array" ref="P94">INT(SUMPRODUCT(--ISNUMBER(SEARCH(foreign,C94)))&gt;0)</f>
        <v>0</v>
      </c>
      <c r="Q94" s="14" cm="1">
        <f t="array" ref="Q94">INT(SUMPRODUCT(--ISNUMBER(SEARCH(gun,C94)))&gt;0)</f>
        <v>0</v>
      </c>
      <c r="R94" s="14" cm="1">
        <f t="array" ref="R94">INT(SUMPRODUCT(--ISNUMBER(SEARCH(race,C94)))&gt;0)</f>
        <v>0</v>
      </c>
      <c r="S94" s="14" cm="1">
        <f t="array" ref="S94">INT(SUMPRODUCT(--ISNUMBER(SEARCH(immigration,C94)))&gt;0)</f>
        <v>0</v>
      </c>
      <c r="T94" s="14" cm="1">
        <f t="array" ref="T94">INT(SUMPRODUCT(--ISNUMBER(SEARCH(econineq,C95)))&gt;0)</f>
        <v>0</v>
      </c>
      <c r="U94" s="14" cm="1">
        <f t="array" ref="U94">INT(SUMPRODUCT(--ISNUMBER(SEARCH(climate,C94)))&gt;0)</f>
        <v>0</v>
      </c>
      <c r="V94" s="14" cm="1">
        <f t="array" ref="V94">INT(SUMPRODUCT(--ISNUMBER(SEARCH(abortion,C94)))&gt;0)</f>
        <v>0</v>
      </c>
      <c r="W94" s="14" cm="1">
        <f t="array" ref="W94">INT(SUMPRODUCT(--ISNUMBER(SEARCH(trump,C94)))&gt;0)</f>
        <v>0</v>
      </c>
      <c r="X94" s="14" cm="1">
        <f t="array" ref="X94">INT(SUMPRODUCT(--ISNUMBER(SEARCH(voting,C94)))&gt;0)</f>
        <v>0</v>
      </c>
      <c r="Y94" s="14" cm="1">
        <f t="array" ref="Y94">INT(SUMPRODUCT(--ISNUMBER(SEARCH(democrattrigger,C94)))&gt;0)</f>
        <v>0</v>
      </c>
      <c r="Z94" s="14" cm="1">
        <f t="array" ref="Z94">INT(SUMPRODUCT(--ISNUMBER(SEARCH(bipartisan,C94)))&gt;0)</f>
        <v>0</v>
      </c>
      <c r="AA94" s="14">
        <f t="shared" si="1"/>
        <v>1</v>
      </c>
      <c r="AB94" s="14"/>
      <c r="AC94" s="30">
        <v>1</v>
      </c>
      <c r="AD94" s="37">
        <v>0</v>
      </c>
    </row>
    <row r="95" spans="1:30" x14ac:dyDescent="0.25">
      <c r="A95" s="36">
        <v>2887</v>
      </c>
      <c r="B95" s="14" t="s">
        <v>5799</v>
      </c>
      <c r="C95" s="14" t="s">
        <v>5800</v>
      </c>
      <c r="D95" s="17">
        <v>44124</v>
      </c>
      <c r="E95" s="14" t="s">
        <v>30</v>
      </c>
      <c r="F95" s="14">
        <v>22</v>
      </c>
      <c r="G95" s="14">
        <v>13</v>
      </c>
      <c r="H95" s="14">
        <v>13</v>
      </c>
      <c r="I95" s="14">
        <v>7</v>
      </c>
      <c r="J95" s="14" t="s">
        <v>204</v>
      </c>
      <c r="K95" s="14" cm="1">
        <f t="array" ref="K95">INT(SUMPRODUCT(--ISNUMBER(SEARCH(economy,C95)))&gt;0)</f>
        <v>0</v>
      </c>
      <c r="L95" s="14" cm="1">
        <f t="array" ref="L95">INT(SUMPRODUCT(--ISNUMBER(SEARCH(healthcare,C95)))&gt;0)</f>
        <v>0</v>
      </c>
      <c r="M95" s="14" cm="1">
        <f t="array" ref="M95">INT(SUMPRODUCT(--ISNUMBER(SEARCH(supreme,C95)))&gt;0)</f>
        <v>0</v>
      </c>
      <c r="N95" s="14" cm="1">
        <f t="array" ref="N95">INT(SUMPRODUCT(--ISNUMBER(SEARCH(covid,C95)))&gt;0)</f>
        <v>0</v>
      </c>
      <c r="O95" s="14" cm="1">
        <f t="array" ref="O95">INT(SUMPRODUCT(--ISNUMBER(SEARCH(violent,C95)))&gt;0)</f>
        <v>0</v>
      </c>
      <c r="P95" s="14" cm="1">
        <f t="array" ref="P95">INT(SUMPRODUCT(--ISNUMBER(SEARCH(foreign,C95)))&gt;0)</f>
        <v>0</v>
      </c>
      <c r="Q95" s="14" cm="1">
        <f t="array" ref="Q95">INT(SUMPRODUCT(--ISNUMBER(SEARCH(gun,C95)))&gt;0)</f>
        <v>0</v>
      </c>
      <c r="R95" s="14" cm="1">
        <f t="array" ref="R95">INT(SUMPRODUCT(--ISNUMBER(SEARCH(race,C95)))&gt;0)</f>
        <v>0</v>
      </c>
      <c r="S95" s="14" cm="1">
        <f t="array" ref="S95">INT(SUMPRODUCT(--ISNUMBER(SEARCH(immigration,C95)))&gt;0)</f>
        <v>0</v>
      </c>
      <c r="T95" s="14" cm="1">
        <f t="array" ref="T95">INT(SUMPRODUCT(--ISNUMBER(SEARCH(econineq,C96)))&gt;0)</f>
        <v>0</v>
      </c>
      <c r="U95" s="14" cm="1">
        <f t="array" ref="U95">INT(SUMPRODUCT(--ISNUMBER(SEARCH(climate,C95)))&gt;0)</f>
        <v>0</v>
      </c>
      <c r="V95" s="14" cm="1">
        <f t="array" ref="V95">INT(SUMPRODUCT(--ISNUMBER(SEARCH(abortion,C95)))&gt;0)</f>
        <v>0</v>
      </c>
      <c r="W95" s="14" cm="1">
        <f t="array" ref="W95">INT(SUMPRODUCT(--ISNUMBER(SEARCH(trump,C95)))&gt;0)</f>
        <v>0</v>
      </c>
      <c r="X95" s="14" cm="1">
        <f t="array" ref="X95">INT(SUMPRODUCT(--ISNUMBER(SEARCH(voting,C95)))&gt;0)</f>
        <v>1</v>
      </c>
      <c r="Y95" s="14" cm="1">
        <f t="array" ref="Y95">INT(SUMPRODUCT(--ISNUMBER(SEARCH(democrattrigger,C95)))&gt;0)</f>
        <v>0</v>
      </c>
      <c r="Z95" s="14" cm="1">
        <f t="array" ref="Z95">INT(SUMPRODUCT(--ISNUMBER(SEARCH(bipartisan,C95)))&gt;0)</f>
        <v>0</v>
      </c>
      <c r="AA95" s="14">
        <f t="shared" si="1"/>
        <v>0</v>
      </c>
      <c r="AB95" s="14"/>
      <c r="AC95" s="30">
        <v>1</v>
      </c>
      <c r="AD95" s="37">
        <v>0</v>
      </c>
    </row>
    <row r="96" spans="1:30" x14ac:dyDescent="0.25">
      <c r="A96" s="36">
        <v>2888</v>
      </c>
      <c r="B96" s="14" t="s">
        <v>5801</v>
      </c>
      <c r="C96" s="14" t="s">
        <v>5802</v>
      </c>
      <c r="D96" s="17">
        <v>44124</v>
      </c>
      <c r="E96" s="14" t="s">
        <v>30</v>
      </c>
      <c r="F96" s="14">
        <v>18</v>
      </c>
      <c r="G96" s="14">
        <v>10</v>
      </c>
      <c r="H96" s="14">
        <v>13</v>
      </c>
      <c r="I96" s="14">
        <v>7</v>
      </c>
      <c r="J96" s="14" t="s">
        <v>204</v>
      </c>
      <c r="K96" s="14" cm="1">
        <f t="array" ref="K96">INT(SUMPRODUCT(--ISNUMBER(SEARCH(economy,C96)))&gt;0)</f>
        <v>0</v>
      </c>
      <c r="L96" s="14" cm="1">
        <f t="array" ref="L96">INT(SUMPRODUCT(--ISNUMBER(SEARCH(healthcare,C96)))&gt;0)</f>
        <v>0</v>
      </c>
      <c r="M96" s="14" cm="1">
        <f t="array" ref="M96">INT(SUMPRODUCT(--ISNUMBER(SEARCH(supreme,C96)))&gt;0)</f>
        <v>0</v>
      </c>
      <c r="N96" s="14" cm="1">
        <f t="array" ref="N96">INT(SUMPRODUCT(--ISNUMBER(SEARCH(covid,C96)))&gt;0)</f>
        <v>0</v>
      </c>
      <c r="O96" s="14" cm="1">
        <f t="array" ref="O96">INT(SUMPRODUCT(--ISNUMBER(SEARCH(violent,C96)))&gt;0)</f>
        <v>0</v>
      </c>
      <c r="P96" s="14" cm="1">
        <f t="array" ref="P96">INT(SUMPRODUCT(--ISNUMBER(SEARCH(foreign,C96)))&gt;0)</f>
        <v>0</v>
      </c>
      <c r="Q96" s="14" cm="1">
        <f t="array" ref="Q96">INT(SUMPRODUCT(--ISNUMBER(SEARCH(gun,C96)))&gt;0)</f>
        <v>0</v>
      </c>
      <c r="R96" s="14" cm="1">
        <f t="array" ref="R96">INT(SUMPRODUCT(--ISNUMBER(SEARCH(race,C96)))&gt;0)</f>
        <v>0</v>
      </c>
      <c r="S96" s="14" cm="1">
        <f t="array" ref="S96">INT(SUMPRODUCT(--ISNUMBER(SEARCH(immigration,C96)))&gt;0)</f>
        <v>0</v>
      </c>
      <c r="T96" s="14" cm="1">
        <f t="array" ref="T96">INT(SUMPRODUCT(--ISNUMBER(SEARCH(econineq,C97)))&gt;0)</f>
        <v>0</v>
      </c>
      <c r="U96" s="14" cm="1">
        <f t="array" ref="U96">INT(SUMPRODUCT(--ISNUMBER(SEARCH(climate,C96)))&gt;0)</f>
        <v>0</v>
      </c>
      <c r="V96" s="14" cm="1">
        <f t="array" ref="V96">INT(SUMPRODUCT(--ISNUMBER(SEARCH(abortion,C96)))&gt;0)</f>
        <v>0</v>
      </c>
      <c r="W96" s="14" cm="1">
        <f t="array" ref="W96">INT(SUMPRODUCT(--ISNUMBER(SEARCH(trump,C96)))&gt;0)</f>
        <v>0</v>
      </c>
      <c r="X96" s="14" cm="1">
        <f t="array" ref="X96">INT(SUMPRODUCT(--ISNUMBER(SEARCH(voting,C96)))&gt;0)</f>
        <v>1</v>
      </c>
      <c r="Y96" s="14" cm="1">
        <f t="array" ref="Y96">INT(SUMPRODUCT(--ISNUMBER(SEARCH(democrattrigger,C96)))&gt;0)</f>
        <v>0</v>
      </c>
      <c r="Z96" s="14" cm="1">
        <f t="array" ref="Z96">INT(SUMPRODUCT(--ISNUMBER(SEARCH(bipartisan,C96)))&gt;0)</f>
        <v>0</v>
      </c>
      <c r="AA96" s="14">
        <f t="shared" si="1"/>
        <v>0</v>
      </c>
      <c r="AB96" s="14"/>
      <c r="AC96" s="30">
        <v>1</v>
      </c>
      <c r="AD96" s="37">
        <v>0</v>
      </c>
    </row>
    <row r="97" spans="1:30" x14ac:dyDescent="0.25">
      <c r="A97" s="36">
        <v>2889</v>
      </c>
      <c r="B97" s="14" t="s">
        <v>5803</v>
      </c>
      <c r="C97" s="14" t="s">
        <v>5804</v>
      </c>
      <c r="D97" s="17">
        <v>44124</v>
      </c>
      <c r="E97" s="14" t="s">
        <v>30</v>
      </c>
      <c r="F97" s="14">
        <v>41</v>
      </c>
      <c r="G97" s="14">
        <v>9</v>
      </c>
      <c r="H97" s="14">
        <v>13</v>
      </c>
      <c r="I97" s="14">
        <v>7</v>
      </c>
      <c r="J97" s="14" t="s">
        <v>204</v>
      </c>
      <c r="K97" s="14" cm="1">
        <f t="array" ref="K97">INT(SUMPRODUCT(--ISNUMBER(SEARCH(economy,C97)))&gt;0)</f>
        <v>0</v>
      </c>
      <c r="L97" s="14" cm="1">
        <f t="array" ref="L97">INT(SUMPRODUCT(--ISNUMBER(SEARCH(healthcare,C97)))&gt;0)</f>
        <v>1</v>
      </c>
      <c r="M97" s="14" cm="1">
        <f t="array" ref="M97">INT(SUMPRODUCT(--ISNUMBER(SEARCH(supreme,C97)))&gt;0)</f>
        <v>0</v>
      </c>
      <c r="N97" s="14" cm="1">
        <f t="array" ref="N97">INT(SUMPRODUCT(--ISNUMBER(SEARCH(covid,C97)))&gt;0)</f>
        <v>0</v>
      </c>
      <c r="O97" s="14" cm="1">
        <f t="array" ref="O97">INT(SUMPRODUCT(--ISNUMBER(SEARCH(violent,C97)))&gt;0)</f>
        <v>0</v>
      </c>
      <c r="P97" s="14" cm="1">
        <f t="array" ref="P97">INT(SUMPRODUCT(--ISNUMBER(SEARCH(foreign,C97)))&gt;0)</f>
        <v>0</v>
      </c>
      <c r="Q97" s="14" cm="1">
        <f t="array" ref="Q97">INT(SUMPRODUCT(--ISNUMBER(SEARCH(gun,C97)))&gt;0)</f>
        <v>0</v>
      </c>
      <c r="R97" s="14" cm="1">
        <f t="array" ref="R97">INT(SUMPRODUCT(--ISNUMBER(SEARCH(race,C97)))&gt;0)</f>
        <v>0</v>
      </c>
      <c r="S97" s="14" cm="1">
        <f t="array" ref="S97">INT(SUMPRODUCT(--ISNUMBER(SEARCH(immigration,C97)))&gt;0)</f>
        <v>0</v>
      </c>
      <c r="T97" s="14" cm="1">
        <f t="array" ref="T97">INT(SUMPRODUCT(--ISNUMBER(SEARCH(econineq,C98)))&gt;0)</f>
        <v>0</v>
      </c>
      <c r="U97" s="14" cm="1">
        <f t="array" ref="U97">INT(SUMPRODUCT(--ISNUMBER(SEARCH(climate,C97)))&gt;0)</f>
        <v>0</v>
      </c>
      <c r="V97" s="14" cm="1">
        <f t="array" ref="V97">INT(SUMPRODUCT(--ISNUMBER(SEARCH(abortion,C97)))&gt;0)</f>
        <v>0</v>
      </c>
      <c r="W97" s="14" cm="1">
        <f t="array" ref="W97">INT(SUMPRODUCT(--ISNUMBER(SEARCH(trump,C97)))&gt;0)</f>
        <v>0</v>
      </c>
      <c r="X97" s="14" cm="1">
        <f t="array" ref="X97">INT(SUMPRODUCT(--ISNUMBER(SEARCH(voting,C97)))&gt;0)</f>
        <v>0</v>
      </c>
      <c r="Y97" s="14" cm="1">
        <f t="array" ref="Y97">INT(SUMPRODUCT(--ISNUMBER(SEARCH(democrattrigger,C97)))&gt;0)</f>
        <v>1</v>
      </c>
      <c r="Z97" s="14" cm="1">
        <f t="array" ref="Z97">INT(SUMPRODUCT(--ISNUMBER(SEARCH(bipartisan,C97)))&gt;0)</f>
        <v>0</v>
      </c>
      <c r="AA97" s="14">
        <f t="shared" si="1"/>
        <v>0</v>
      </c>
      <c r="AB97" s="14"/>
      <c r="AC97" s="30">
        <v>1</v>
      </c>
      <c r="AD97" s="37">
        <v>0</v>
      </c>
    </row>
    <row r="98" spans="1:30" x14ac:dyDescent="0.25">
      <c r="A98" s="36">
        <v>2890</v>
      </c>
      <c r="B98" s="14" t="s">
        <v>5805</v>
      </c>
      <c r="C98" s="14" t="s">
        <v>5806</v>
      </c>
      <c r="D98" s="17">
        <v>44123</v>
      </c>
      <c r="E98" s="14" t="s">
        <v>30</v>
      </c>
      <c r="F98" s="14">
        <v>42</v>
      </c>
      <c r="G98" s="14">
        <v>12</v>
      </c>
      <c r="H98" s="14">
        <v>13</v>
      </c>
      <c r="I98" s="14">
        <v>7</v>
      </c>
      <c r="J98" s="14" t="s">
        <v>204</v>
      </c>
      <c r="K98" s="14" cm="1">
        <f t="array" ref="K98">INT(SUMPRODUCT(--ISNUMBER(SEARCH(economy,C98)))&gt;0)</f>
        <v>1</v>
      </c>
      <c r="L98" s="14" cm="1">
        <f t="array" ref="L98">INT(SUMPRODUCT(--ISNUMBER(SEARCH(healthcare,C98)))&gt;0)</f>
        <v>1</v>
      </c>
      <c r="M98" s="14" cm="1">
        <f t="array" ref="M98">INT(SUMPRODUCT(--ISNUMBER(SEARCH(supreme,C98)))&gt;0)</f>
        <v>0</v>
      </c>
      <c r="N98" s="14" cm="1">
        <f t="array" ref="N98">INT(SUMPRODUCT(--ISNUMBER(SEARCH(covid,C98)))&gt;0)</f>
        <v>0</v>
      </c>
      <c r="O98" s="14" cm="1">
        <f t="array" ref="O98">INT(SUMPRODUCT(--ISNUMBER(SEARCH(violent,C98)))&gt;0)</f>
        <v>0</v>
      </c>
      <c r="P98" s="14" cm="1">
        <f t="array" ref="P98">INT(SUMPRODUCT(--ISNUMBER(SEARCH(foreign,C98)))&gt;0)</f>
        <v>0</v>
      </c>
      <c r="Q98" s="14" cm="1">
        <f t="array" ref="Q98">INT(SUMPRODUCT(--ISNUMBER(SEARCH(gun,C98)))&gt;0)</f>
        <v>0</v>
      </c>
      <c r="R98" s="14" cm="1">
        <f t="array" ref="R98">INT(SUMPRODUCT(--ISNUMBER(SEARCH(race,C98)))&gt;0)</f>
        <v>0</v>
      </c>
      <c r="S98" s="14" cm="1">
        <f t="array" ref="S98">INT(SUMPRODUCT(--ISNUMBER(SEARCH(immigration,C98)))&gt;0)</f>
        <v>0</v>
      </c>
      <c r="T98" s="14" cm="1">
        <f t="array" ref="T98">INT(SUMPRODUCT(--ISNUMBER(SEARCH(econineq,C99)))&gt;0)</f>
        <v>0</v>
      </c>
      <c r="U98" s="14" cm="1">
        <f t="array" ref="U98">INT(SUMPRODUCT(--ISNUMBER(SEARCH(climate,C98)))&gt;0)</f>
        <v>0</v>
      </c>
      <c r="V98" s="14" cm="1">
        <f t="array" ref="V98">INT(SUMPRODUCT(--ISNUMBER(SEARCH(abortion,C98)))&gt;0)</f>
        <v>0</v>
      </c>
      <c r="W98" s="14" cm="1">
        <f t="array" ref="W98">INT(SUMPRODUCT(--ISNUMBER(SEARCH(trump,C98)))&gt;0)</f>
        <v>0</v>
      </c>
      <c r="X98" s="14" cm="1">
        <f t="array" ref="X98">INT(SUMPRODUCT(--ISNUMBER(SEARCH(voting,C98)))&gt;0)</f>
        <v>1</v>
      </c>
      <c r="Y98" s="14" cm="1">
        <f t="array" ref="Y98">INT(SUMPRODUCT(--ISNUMBER(SEARCH(democrattrigger,C98)))&gt;0)</f>
        <v>0</v>
      </c>
      <c r="Z98" s="14" cm="1">
        <f t="array" ref="Z98">INT(SUMPRODUCT(--ISNUMBER(SEARCH(bipartisan,C98)))&gt;0)</f>
        <v>0</v>
      </c>
      <c r="AA98" s="14">
        <f t="shared" si="1"/>
        <v>0</v>
      </c>
      <c r="AB98" s="14"/>
      <c r="AC98" s="30">
        <v>0</v>
      </c>
      <c r="AD98" s="37">
        <v>1</v>
      </c>
    </row>
    <row r="99" spans="1:30" x14ac:dyDescent="0.25">
      <c r="A99" s="36">
        <v>2891</v>
      </c>
      <c r="B99" s="14" t="s">
        <v>5807</v>
      </c>
      <c r="C99" s="14" t="s">
        <v>5808</v>
      </c>
      <c r="D99" s="17">
        <v>44123</v>
      </c>
      <c r="E99" s="14" t="s">
        <v>30</v>
      </c>
      <c r="F99" s="14">
        <v>39</v>
      </c>
      <c r="G99" s="14">
        <v>18</v>
      </c>
      <c r="H99" s="14">
        <v>13</v>
      </c>
      <c r="I99" s="14">
        <v>7</v>
      </c>
      <c r="J99" s="14" t="s">
        <v>204</v>
      </c>
      <c r="K99" s="14" cm="1">
        <f t="array" ref="K99">INT(SUMPRODUCT(--ISNUMBER(SEARCH(economy,C99)))&gt;0)</f>
        <v>0</v>
      </c>
      <c r="L99" s="14" cm="1">
        <f t="array" ref="L99">INT(SUMPRODUCT(--ISNUMBER(SEARCH(healthcare,C99)))&gt;0)</f>
        <v>0</v>
      </c>
      <c r="M99" s="14" cm="1">
        <f t="array" ref="M99">INT(SUMPRODUCT(--ISNUMBER(SEARCH(supreme,C99)))&gt;0)</f>
        <v>0</v>
      </c>
      <c r="N99" s="14" cm="1">
        <f t="array" ref="N99">INT(SUMPRODUCT(--ISNUMBER(SEARCH(covid,C99)))&gt;0)</f>
        <v>0</v>
      </c>
      <c r="O99" s="14" cm="1">
        <f t="array" ref="O99">INT(SUMPRODUCT(--ISNUMBER(SEARCH(violent,C99)))&gt;0)</f>
        <v>0</v>
      </c>
      <c r="P99" s="14" cm="1">
        <f t="array" ref="P99">INT(SUMPRODUCT(--ISNUMBER(SEARCH(foreign,C99)))&gt;0)</f>
        <v>0</v>
      </c>
      <c r="Q99" s="14" cm="1">
        <f t="array" ref="Q99">INT(SUMPRODUCT(--ISNUMBER(SEARCH(gun,C99)))&gt;0)</f>
        <v>0</v>
      </c>
      <c r="R99" s="14" cm="1">
        <f t="array" ref="R99">INT(SUMPRODUCT(--ISNUMBER(SEARCH(race,C99)))&gt;0)</f>
        <v>0</v>
      </c>
      <c r="S99" s="14" cm="1">
        <f t="array" ref="S99">INT(SUMPRODUCT(--ISNUMBER(SEARCH(immigration,C99)))&gt;0)</f>
        <v>0</v>
      </c>
      <c r="T99" s="14" cm="1">
        <f t="array" ref="T99">INT(SUMPRODUCT(--ISNUMBER(SEARCH(econineq,C100)))&gt;0)</f>
        <v>0</v>
      </c>
      <c r="U99" s="14" cm="1">
        <f t="array" ref="U99">INT(SUMPRODUCT(--ISNUMBER(SEARCH(climate,C99)))&gt;0)</f>
        <v>0</v>
      </c>
      <c r="V99" s="14" cm="1">
        <f t="array" ref="V99">INT(SUMPRODUCT(--ISNUMBER(SEARCH(abortion,C99)))&gt;0)</f>
        <v>0</v>
      </c>
      <c r="W99" s="14" cm="1">
        <f t="array" ref="W99">INT(SUMPRODUCT(--ISNUMBER(SEARCH(trump,C99)))&gt;0)</f>
        <v>0</v>
      </c>
      <c r="X99" s="14" cm="1">
        <f t="array" ref="X99">INT(SUMPRODUCT(--ISNUMBER(SEARCH(voting,C99)))&gt;0)</f>
        <v>1</v>
      </c>
      <c r="Y99" s="14" cm="1">
        <f t="array" ref="Y99">INT(SUMPRODUCT(--ISNUMBER(SEARCH(democrattrigger,C99)))&gt;0)</f>
        <v>0</v>
      </c>
      <c r="Z99" s="14" cm="1">
        <f t="array" ref="Z99">INT(SUMPRODUCT(--ISNUMBER(SEARCH(bipartisan,C99)))&gt;0)</f>
        <v>0</v>
      </c>
      <c r="AA99" s="14">
        <f t="shared" si="1"/>
        <v>0</v>
      </c>
      <c r="AB99" s="14"/>
      <c r="AC99" s="30" t="s">
        <v>223</v>
      </c>
      <c r="AD99" s="37" t="s">
        <v>223</v>
      </c>
    </row>
    <row r="100" spans="1:30" x14ac:dyDescent="0.25">
      <c r="A100" s="36">
        <v>2892</v>
      </c>
      <c r="B100" s="14" t="s">
        <v>5809</v>
      </c>
      <c r="C100" s="14" t="s">
        <v>5810</v>
      </c>
      <c r="D100" s="17">
        <v>44122</v>
      </c>
      <c r="E100" s="14" t="s">
        <v>30</v>
      </c>
      <c r="F100" s="14">
        <v>69</v>
      </c>
      <c r="G100" s="14">
        <v>27</v>
      </c>
      <c r="H100" s="14">
        <v>13</v>
      </c>
      <c r="I100" s="14">
        <v>7</v>
      </c>
      <c r="J100" s="14" t="s">
        <v>204</v>
      </c>
      <c r="K100" s="14" cm="1">
        <f t="array" ref="K100">INT(SUMPRODUCT(--ISNUMBER(SEARCH(economy,C100)))&gt;0)</f>
        <v>0</v>
      </c>
      <c r="L100" s="14" cm="1">
        <f t="array" ref="L100">INT(SUMPRODUCT(--ISNUMBER(SEARCH(healthcare,C100)))&gt;0)</f>
        <v>1</v>
      </c>
      <c r="M100" s="14" cm="1">
        <f t="array" ref="M100">INT(SUMPRODUCT(--ISNUMBER(SEARCH(supreme,C100)))&gt;0)</f>
        <v>0</v>
      </c>
      <c r="N100" s="14" cm="1">
        <f t="array" ref="N100">INT(SUMPRODUCT(--ISNUMBER(SEARCH(covid,C100)))&gt;0)</f>
        <v>0</v>
      </c>
      <c r="O100" s="14" cm="1">
        <f t="array" ref="O100">INT(SUMPRODUCT(--ISNUMBER(SEARCH(violent,C100)))&gt;0)</f>
        <v>0</v>
      </c>
      <c r="P100" s="14" cm="1">
        <f t="array" ref="P100">INT(SUMPRODUCT(--ISNUMBER(SEARCH(foreign,C100)))&gt;0)</f>
        <v>0</v>
      </c>
      <c r="Q100" s="14" cm="1">
        <f t="array" ref="Q100">INT(SUMPRODUCT(--ISNUMBER(SEARCH(gun,C100)))&gt;0)</f>
        <v>0</v>
      </c>
      <c r="R100" s="14" cm="1">
        <f t="array" ref="R100">INT(SUMPRODUCT(--ISNUMBER(SEARCH(race,C100)))&gt;0)</f>
        <v>0</v>
      </c>
      <c r="S100" s="14" cm="1">
        <f t="array" ref="S100">INT(SUMPRODUCT(--ISNUMBER(SEARCH(immigration,C100)))&gt;0)</f>
        <v>0</v>
      </c>
      <c r="T100" s="14" cm="1">
        <f t="array" ref="T100">INT(SUMPRODUCT(--ISNUMBER(SEARCH(econineq,C101)))&gt;0)</f>
        <v>0</v>
      </c>
      <c r="U100" s="14" cm="1">
        <f t="array" ref="U100">INT(SUMPRODUCT(--ISNUMBER(SEARCH(climate,C100)))&gt;0)</f>
        <v>0</v>
      </c>
      <c r="V100" s="14" cm="1">
        <f t="array" ref="V100">INT(SUMPRODUCT(--ISNUMBER(SEARCH(abortion,C100)))&gt;0)</f>
        <v>0</v>
      </c>
      <c r="W100" s="14" cm="1">
        <f t="array" ref="W100">INT(SUMPRODUCT(--ISNUMBER(SEARCH(trump,C100)))&gt;0)</f>
        <v>0</v>
      </c>
      <c r="X100" s="14" cm="1">
        <f t="array" ref="X100">INT(SUMPRODUCT(--ISNUMBER(SEARCH(voting,C100)))&gt;0)</f>
        <v>1</v>
      </c>
      <c r="Y100" s="14" cm="1">
        <f t="array" ref="Y100">INT(SUMPRODUCT(--ISNUMBER(SEARCH(democrattrigger,C100)))&gt;0)</f>
        <v>0</v>
      </c>
      <c r="Z100" s="14" cm="1">
        <f t="array" ref="Z100">INT(SUMPRODUCT(--ISNUMBER(SEARCH(bipartisan,C100)))&gt;0)</f>
        <v>0</v>
      </c>
      <c r="AA100" s="14">
        <f t="shared" si="1"/>
        <v>0</v>
      </c>
      <c r="AB100" s="14"/>
      <c r="AC100" s="30">
        <v>0</v>
      </c>
      <c r="AD100" s="37">
        <v>1</v>
      </c>
    </row>
    <row r="101" spans="1:30" x14ac:dyDescent="0.25">
      <c r="A101" s="36">
        <v>2893</v>
      </c>
      <c r="B101" s="14" t="s">
        <v>5811</v>
      </c>
      <c r="C101" s="14" t="s">
        <v>5812</v>
      </c>
      <c r="D101" s="17">
        <v>44122</v>
      </c>
      <c r="E101" s="14" t="s">
        <v>30</v>
      </c>
      <c r="F101" s="14">
        <v>10</v>
      </c>
      <c r="G101" s="14">
        <v>4</v>
      </c>
      <c r="H101" s="14">
        <v>13</v>
      </c>
      <c r="I101" s="14">
        <v>7</v>
      </c>
      <c r="J101" s="14" t="s">
        <v>204</v>
      </c>
      <c r="K101" s="14" cm="1">
        <f t="array" ref="K101">INT(SUMPRODUCT(--ISNUMBER(SEARCH(economy,C101)))&gt;0)</f>
        <v>0</v>
      </c>
      <c r="L101" s="14" cm="1">
        <f t="array" ref="L101">INT(SUMPRODUCT(--ISNUMBER(SEARCH(healthcare,C101)))&gt;0)</f>
        <v>0</v>
      </c>
      <c r="M101" s="14" cm="1">
        <f t="array" ref="M101">INT(SUMPRODUCT(--ISNUMBER(SEARCH(supreme,C101)))&gt;0)</f>
        <v>0</v>
      </c>
      <c r="N101" s="14" cm="1">
        <f t="array" ref="N101">INT(SUMPRODUCT(--ISNUMBER(SEARCH(covid,C101)))&gt;0)</f>
        <v>0</v>
      </c>
      <c r="O101" s="14" cm="1">
        <f t="array" ref="O101">INT(SUMPRODUCT(--ISNUMBER(SEARCH(violent,C101)))&gt;0)</f>
        <v>0</v>
      </c>
      <c r="P101" s="14" cm="1">
        <f t="array" ref="P101">INT(SUMPRODUCT(--ISNUMBER(SEARCH(foreign,C101)))&gt;0)</f>
        <v>0</v>
      </c>
      <c r="Q101" s="14" cm="1">
        <f t="array" ref="Q101">INT(SUMPRODUCT(--ISNUMBER(SEARCH(gun,C101)))&gt;0)</f>
        <v>0</v>
      </c>
      <c r="R101" s="14" cm="1">
        <f t="array" ref="R101">INT(SUMPRODUCT(--ISNUMBER(SEARCH(race,C101)))&gt;0)</f>
        <v>0</v>
      </c>
      <c r="S101" s="14" cm="1">
        <f t="array" ref="S101">INT(SUMPRODUCT(--ISNUMBER(SEARCH(immigration,C101)))&gt;0)</f>
        <v>0</v>
      </c>
      <c r="T101" s="14" cm="1">
        <f t="array" ref="T101">INT(SUMPRODUCT(--ISNUMBER(SEARCH(econineq,C102)))&gt;0)</f>
        <v>0</v>
      </c>
      <c r="U101" s="14" cm="1">
        <f t="array" ref="U101">INT(SUMPRODUCT(--ISNUMBER(SEARCH(climate,C101)))&gt;0)</f>
        <v>0</v>
      </c>
      <c r="V101" s="14" cm="1">
        <f t="array" ref="V101">INT(SUMPRODUCT(--ISNUMBER(SEARCH(abortion,C101)))&gt;0)</f>
        <v>1</v>
      </c>
      <c r="W101" s="14" cm="1">
        <f t="array" ref="W101">INT(SUMPRODUCT(--ISNUMBER(SEARCH(trump,C101)))&gt;0)</f>
        <v>0</v>
      </c>
      <c r="X101" s="14" cm="1">
        <f t="array" ref="X101">INT(SUMPRODUCT(--ISNUMBER(SEARCH(voting,C101)))&gt;0)</f>
        <v>1</v>
      </c>
      <c r="Y101" s="14" cm="1">
        <f t="array" ref="Y101">INT(SUMPRODUCT(--ISNUMBER(SEARCH(democrattrigger,C101)))&gt;0)</f>
        <v>0</v>
      </c>
      <c r="Z101" s="14" cm="1">
        <f t="array" ref="Z101">INT(SUMPRODUCT(--ISNUMBER(SEARCH(bipartisan,C101)))&gt;0)</f>
        <v>0</v>
      </c>
      <c r="AA101" s="14">
        <f t="shared" si="1"/>
        <v>0</v>
      </c>
      <c r="AB101" s="14"/>
      <c r="AC101" s="30" t="s">
        <v>223</v>
      </c>
      <c r="AD101" s="37" t="s">
        <v>223</v>
      </c>
    </row>
    <row r="102" spans="1:30" x14ac:dyDescent="0.25">
      <c r="A102" s="36">
        <v>2894</v>
      </c>
      <c r="B102" s="14" t="s">
        <v>5813</v>
      </c>
      <c r="C102" s="14" t="s">
        <v>5814</v>
      </c>
      <c r="D102" s="17">
        <v>44122</v>
      </c>
      <c r="E102" s="14" t="s">
        <v>70</v>
      </c>
      <c r="F102" s="14">
        <v>9</v>
      </c>
      <c r="G102" s="14">
        <v>1</v>
      </c>
      <c r="H102" s="14">
        <v>13</v>
      </c>
      <c r="I102" s="14">
        <v>7</v>
      </c>
      <c r="J102" s="14" t="s">
        <v>204</v>
      </c>
      <c r="K102" s="14" cm="1">
        <f t="array" ref="K102">INT(SUMPRODUCT(--ISNUMBER(SEARCH(economy,C102)))&gt;0)</f>
        <v>0</v>
      </c>
      <c r="L102" s="14" cm="1">
        <f t="array" ref="L102">INT(SUMPRODUCT(--ISNUMBER(SEARCH(healthcare,C102)))&gt;0)</f>
        <v>0</v>
      </c>
      <c r="M102" s="14" cm="1">
        <f t="array" ref="M102">INT(SUMPRODUCT(--ISNUMBER(SEARCH(supreme,C102)))&gt;0)</f>
        <v>0</v>
      </c>
      <c r="N102" s="14" cm="1">
        <f t="array" ref="N102">INT(SUMPRODUCT(--ISNUMBER(SEARCH(covid,C102)))&gt;0)</f>
        <v>0</v>
      </c>
      <c r="O102" s="14" cm="1">
        <f t="array" ref="O102">INT(SUMPRODUCT(--ISNUMBER(SEARCH(violent,C102)))&gt;0)</f>
        <v>0</v>
      </c>
      <c r="P102" s="14" cm="1">
        <f t="array" ref="P102">INT(SUMPRODUCT(--ISNUMBER(SEARCH(foreign,C102)))&gt;0)</f>
        <v>0</v>
      </c>
      <c r="Q102" s="14" cm="1">
        <f t="array" ref="Q102">INT(SUMPRODUCT(--ISNUMBER(SEARCH(gun,C102)))&gt;0)</f>
        <v>0</v>
      </c>
      <c r="R102" s="14" cm="1">
        <f t="array" ref="R102">INT(SUMPRODUCT(--ISNUMBER(SEARCH(race,C102)))&gt;0)</f>
        <v>0</v>
      </c>
      <c r="S102" s="14" cm="1">
        <f t="array" ref="S102">INT(SUMPRODUCT(--ISNUMBER(SEARCH(immigration,C102)))&gt;0)</f>
        <v>0</v>
      </c>
      <c r="T102" s="14" cm="1">
        <f t="array" ref="T102">INT(SUMPRODUCT(--ISNUMBER(SEARCH(econineq,C103)))&gt;0)</f>
        <v>0</v>
      </c>
      <c r="U102" s="14" cm="1">
        <f t="array" ref="U102">INT(SUMPRODUCT(--ISNUMBER(SEARCH(climate,C102)))&gt;0)</f>
        <v>0</v>
      </c>
      <c r="V102" s="14" cm="1">
        <f t="array" ref="V102">INT(SUMPRODUCT(--ISNUMBER(SEARCH(abortion,C102)))&gt;0)</f>
        <v>0</v>
      </c>
      <c r="W102" s="14" cm="1">
        <f t="array" ref="W102">INT(SUMPRODUCT(--ISNUMBER(SEARCH(trump,C102)))&gt;0)</f>
        <v>0</v>
      </c>
      <c r="X102" s="14" cm="1">
        <f t="array" ref="X102">INT(SUMPRODUCT(--ISNUMBER(SEARCH(voting,C102)))&gt;0)</f>
        <v>0</v>
      </c>
      <c r="Y102" s="14" cm="1">
        <f t="array" ref="Y102">INT(SUMPRODUCT(--ISNUMBER(SEARCH(democrattrigger,C102)))&gt;0)</f>
        <v>0</v>
      </c>
      <c r="Z102" s="14" cm="1">
        <f t="array" ref="Z102">INT(SUMPRODUCT(--ISNUMBER(SEARCH(bipartisan,C102)))&gt;0)</f>
        <v>0</v>
      </c>
      <c r="AA102" s="14">
        <f t="shared" si="1"/>
        <v>1</v>
      </c>
      <c r="AB102" s="14"/>
      <c r="AC102" s="30">
        <v>1</v>
      </c>
      <c r="AD102" s="37">
        <v>0</v>
      </c>
    </row>
    <row r="103" spans="1:30" x14ac:dyDescent="0.25">
      <c r="A103" s="36">
        <v>2895</v>
      </c>
      <c r="B103" s="14" t="s">
        <v>5815</v>
      </c>
      <c r="C103" s="14" t="s">
        <v>5816</v>
      </c>
      <c r="D103" s="17">
        <v>44122</v>
      </c>
      <c r="E103" s="14" t="s">
        <v>70</v>
      </c>
      <c r="F103" s="14">
        <v>15</v>
      </c>
      <c r="G103" s="14">
        <v>3</v>
      </c>
      <c r="H103" s="14">
        <v>13</v>
      </c>
      <c r="I103" s="14">
        <v>7</v>
      </c>
      <c r="J103" s="14" t="s">
        <v>204</v>
      </c>
      <c r="K103" s="14" cm="1">
        <f t="array" ref="K103">INT(SUMPRODUCT(--ISNUMBER(SEARCH(economy,C103)))&gt;0)</f>
        <v>1</v>
      </c>
      <c r="L103" s="14" cm="1">
        <f t="array" ref="L103">INT(SUMPRODUCT(--ISNUMBER(SEARCH(healthcare,C103)))&gt;0)</f>
        <v>0</v>
      </c>
      <c r="M103" s="14" cm="1">
        <f t="array" ref="M103">INT(SUMPRODUCT(--ISNUMBER(SEARCH(supreme,C103)))&gt;0)</f>
        <v>0</v>
      </c>
      <c r="N103" s="14" cm="1">
        <f t="array" ref="N103">INT(SUMPRODUCT(--ISNUMBER(SEARCH(covid,C103)))&gt;0)</f>
        <v>0</v>
      </c>
      <c r="O103" s="14" cm="1">
        <f t="array" ref="O103">INT(SUMPRODUCT(--ISNUMBER(SEARCH(violent,C103)))&gt;0)</f>
        <v>0</v>
      </c>
      <c r="P103" s="14" cm="1">
        <f t="array" ref="P103">INT(SUMPRODUCT(--ISNUMBER(SEARCH(foreign,C103)))&gt;0)</f>
        <v>0</v>
      </c>
      <c r="Q103" s="14" cm="1">
        <f t="array" ref="Q103">INT(SUMPRODUCT(--ISNUMBER(SEARCH(gun,C103)))&gt;0)</f>
        <v>0</v>
      </c>
      <c r="R103" s="14" cm="1">
        <f t="array" ref="R103">INT(SUMPRODUCT(--ISNUMBER(SEARCH(race,C103)))&gt;0)</f>
        <v>0</v>
      </c>
      <c r="S103" s="14" cm="1">
        <f t="array" ref="S103">INT(SUMPRODUCT(--ISNUMBER(SEARCH(immigration,C103)))&gt;0)</f>
        <v>0</v>
      </c>
      <c r="T103" s="14" cm="1">
        <f t="array" ref="T103">INT(SUMPRODUCT(--ISNUMBER(SEARCH(econineq,C104)))&gt;0)</f>
        <v>0</v>
      </c>
      <c r="U103" s="14" cm="1">
        <f t="array" ref="U103">INT(SUMPRODUCT(--ISNUMBER(SEARCH(climate,C103)))&gt;0)</f>
        <v>0</v>
      </c>
      <c r="V103" s="14" cm="1">
        <f t="array" ref="V103">INT(SUMPRODUCT(--ISNUMBER(SEARCH(abortion,C103)))&gt;0)</f>
        <v>0</v>
      </c>
      <c r="W103" s="14" cm="1">
        <f t="array" ref="W103">INT(SUMPRODUCT(--ISNUMBER(SEARCH(trump,C103)))&gt;0)</f>
        <v>0</v>
      </c>
      <c r="X103" s="14" cm="1">
        <f t="array" ref="X103">INT(SUMPRODUCT(--ISNUMBER(SEARCH(voting,C103)))&gt;0)</f>
        <v>0</v>
      </c>
      <c r="Y103" s="14" cm="1">
        <f t="array" ref="Y103">INT(SUMPRODUCT(--ISNUMBER(SEARCH(democrattrigger,C103)))&gt;0)</f>
        <v>0</v>
      </c>
      <c r="Z103" s="14" cm="1">
        <f t="array" ref="Z103">INT(SUMPRODUCT(--ISNUMBER(SEARCH(bipartisan,C103)))&gt;0)</f>
        <v>0</v>
      </c>
      <c r="AA103" s="14">
        <f t="shared" si="1"/>
        <v>0</v>
      </c>
      <c r="AB103" s="14"/>
      <c r="AC103" s="30">
        <v>1</v>
      </c>
      <c r="AD103" s="37">
        <v>0</v>
      </c>
    </row>
    <row r="104" spans="1:30" x14ac:dyDescent="0.25">
      <c r="A104" s="36">
        <v>2896</v>
      </c>
      <c r="B104" s="14" t="s">
        <v>5817</v>
      </c>
      <c r="C104" s="14" t="s">
        <v>5818</v>
      </c>
      <c r="D104" s="17">
        <v>44122</v>
      </c>
      <c r="E104" s="14" t="s">
        <v>30</v>
      </c>
      <c r="F104" s="14">
        <v>20</v>
      </c>
      <c r="G104" s="14">
        <v>6</v>
      </c>
      <c r="H104" s="14">
        <v>13</v>
      </c>
      <c r="I104" s="14">
        <v>7</v>
      </c>
      <c r="J104" s="14" t="s">
        <v>204</v>
      </c>
      <c r="K104" s="14" cm="1">
        <f t="array" ref="K104">INT(SUMPRODUCT(--ISNUMBER(SEARCH(economy,C104)))&gt;0)</f>
        <v>0</v>
      </c>
      <c r="L104" s="14" cm="1">
        <f t="array" ref="L104">INT(SUMPRODUCT(--ISNUMBER(SEARCH(healthcare,C104)))&gt;0)</f>
        <v>0</v>
      </c>
      <c r="M104" s="14" cm="1">
        <f t="array" ref="M104">INT(SUMPRODUCT(--ISNUMBER(SEARCH(supreme,C104)))&gt;0)</f>
        <v>0</v>
      </c>
      <c r="N104" s="14" cm="1">
        <f t="array" ref="N104">INT(SUMPRODUCT(--ISNUMBER(SEARCH(covid,C104)))&gt;0)</f>
        <v>1</v>
      </c>
      <c r="O104" s="14" cm="1">
        <f t="array" ref="O104">INT(SUMPRODUCT(--ISNUMBER(SEARCH(violent,C104)))&gt;0)</f>
        <v>0</v>
      </c>
      <c r="P104" s="14" cm="1">
        <f t="array" ref="P104">INT(SUMPRODUCT(--ISNUMBER(SEARCH(foreign,C104)))&gt;0)</f>
        <v>0</v>
      </c>
      <c r="Q104" s="14" cm="1">
        <f t="array" ref="Q104">INT(SUMPRODUCT(--ISNUMBER(SEARCH(gun,C104)))&gt;0)</f>
        <v>0</v>
      </c>
      <c r="R104" s="14" cm="1">
        <f t="array" ref="R104">INT(SUMPRODUCT(--ISNUMBER(SEARCH(race,C104)))&gt;0)</f>
        <v>0</v>
      </c>
      <c r="S104" s="14" cm="1">
        <f t="array" ref="S104">INT(SUMPRODUCT(--ISNUMBER(SEARCH(immigration,C104)))&gt;0)</f>
        <v>0</v>
      </c>
      <c r="T104" s="14" cm="1">
        <f t="array" ref="T104">INT(SUMPRODUCT(--ISNUMBER(SEARCH(econineq,C105)))&gt;0)</f>
        <v>0</v>
      </c>
      <c r="U104" s="14" cm="1">
        <f t="array" ref="U104">INT(SUMPRODUCT(--ISNUMBER(SEARCH(climate,C104)))&gt;0)</f>
        <v>0</v>
      </c>
      <c r="V104" s="14" cm="1">
        <f t="array" ref="V104">INT(SUMPRODUCT(--ISNUMBER(SEARCH(abortion,C104)))&gt;0)</f>
        <v>0</v>
      </c>
      <c r="W104" s="14" cm="1">
        <f t="array" ref="W104">INT(SUMPRODUCT(--ISNUMBER(SEARCH(trump,C104)))&gt;0)</f>
        <v>0</v>
      </c>
      <c r="X104" s="14" cm="1">
        <f t="array" ref="X104">INT(SUMPRODUCT(--ISNUMBER(SEARCH(voting,C104)))&gt;0)</f>
        <v>0</v>
      </c>
      <c r="Y104" s="14" cm="1">
        <f t="array" ref="Y104">INT(SUMPRODUCT(--ISNUMBER(SEARCH(democrattrigger,C104)))&gt;0)</f>
        <v>0</v>
      </c>
      <c r="Z104" s="14" cm="1">
        <f t="array" ref="Z104">INT(SUMPRODUCT(--ISNUMBER(SEARCH(bipartisan,C104)))&gt;0)</f>
        <v>0</v>
      </c>
      <c r="AA104" s="14">
        <f t="shared" si="1"/>
        <v>0</v>
      </c>
      <c r="AB104" s="14"/>
      <c r="AC104" s="30">
        <v>1</v>
      </c>
      <c r="AD104" s="37">
        <v>0</v>
      </c>
    </row>
    <row r="105" spans="1:30" x14ac:dyDescent="0.25">
      <c r="A105" s="36">
        <v>2897</v>
      </c>
      <c r="B105" s="14" t="s">
        <v>5819</v>
      </c>
      <c r="C105" s="14" t="s">
        <v>5820</v>
      </c>
      <c r="D105" s="17">
        <v>44121</v>
      </c>
      <c r="E105" s="14" t="s">
        <v>30</v>
      </c>
      <c r="F105" s="14">
        <v>56</v>
      </c>
      <c r="G105" s="14">
        <v>15</v>
      </c>
      <c r="H105" s="14">
        <v>13</v>
      </c>
      <c r="I105" s="14">
        <v>7</v>
      </c>
      <c r="J105" s="14" t="s">
        <v>204</v>
      </c>
      <c r="K105" s="14" cm="1">
        <f t="array" ref="K105">INT(SUMPRODUCT(--ISNUMBER(SEARCH(economy,C105)))&gt;0)</f>
        <v>0</v>
      </c>
      <c r="L105" s="14" cm="1">
        <f t="array" ref="L105">INT(SUMPRODUCT(--ISNUMBER(SEARCH(healthcare,C105)))&gt;0)</f>
        <v>1</v>
      </c>
      <c r="M105" s="14" cm="1">
        <f t="array" ref="M105">INT(SUMPRODUCT(--ISNUMBER(SEARCH(supreme,C105)))&gt;0)</f>
        <v>0</v>
      </c>
      <c r="N105" s="14" cm="1">
        <f t="array" ref="N105">INT(SUMPRODUCT(--ISNUMBER(SEARCH(covid,C105)))&gt;0)</f>
        <v>0</v>
      </c>
      <c r="O105" s="14" cm="1">
        <f t="array" ref="O105">INT(SUMPRODUCT(--ISNUMBER(SEARCH(violent,C105)))&gt;0)</f>
        <v>0</v>
      </c>
      <c r="P105" s="14" cm="1">
        <f t="array" ref="P105">INT(SUMPRODUCT(--ISNUMBER(SEARCH(foreign,C105)))&gt;0)</f>
        <v>0</v>
      </c>
      <c r="Q105" s="14" cm="1">
        <f t="array" ref="Q105">INT(SUMPRODUCT(--ISNUMBER(SEARCH(gun,C105)))&gt;0)</f>
        <v>0</v>
      </c>
      <c r="R105" s="14" cm="1">
        <f t="array" ref="R105">INT(SUMPRODUCT(--ISNUMBER(SEARCH(race,C105)))&gt;0)</f>
        <v>0</v>
      </c>
      <c r="S105" s="14" cm="1">
        <f t="array" ref="S105">INT(SUMPRODUCT(--ISNUMBER(SEARCH(immigration,C105)))&gt;0)</f>
        <v>0</v>
      </c>
      <c r="T105" s="14" cm="1">
        <f t="array" ref="T105">INT(SUMPRODUCT(--ISNUMBER(SEARCH(econineq,C106)))&gt;0)</f>
        <v>0</v>
      </c>
      <c r="U105" s="14" cm="1">
        <f t="array" ref="U105">INT(SUMPRODUCT(--ISNUMBER(SEARCH(climate,C105)))&gt;0)</f>
        <v>1</v>
      </c>
      <c r="V105" s="14" cm="1">
        <f t="array" ref="V105">INT(SUMPRODUCT(--ISNUMBER(SEARCH(abortion,C105)))&gt;0)</f>
        <v>0</v>
      </c>
      <c r="W105" s="14" cm="1">
        <f t="array" ref="W105">INT(SUMPRODUCT(--ISNUMBER(SEARCH(trump,C105)))&gt;0)</f>
        <v>0</v>
      </c>
      <c r="X105" s="14" cm="1">
        <f t="array" ref="X105">INT(SUMPRODUCT(--ISNUMBER(SEARCH(voting,C105)))&gt;0)</f>
        <v>1</v>
      </c>
      <c r="Y105" s="14" cm="1">
        <f t="array" ref="Y105">INT(SUMPRODUCT(--ISNUMBER(SEARCH(democrattrigger,C105)))&gt;0)</f>
        <v>0</v>
      </c>
      <c r="Z105" s="14" cm="1">
        <f t="array" ref="Z105">INT(SUMPRODUCT(--ISNUMBER(SEARCH(bipartisan,C105)))&gt;0)</f>
        <v>0</v>
      </c>
      <c r="AA105" s="14">
        <f t="shared" si="1"/>
        <v>0</v>
      </c>
      <c r="AB105" s="14"/>
      <c r="AC105" s="30">
        <v>1</v>
      </c>
      <c r="AD105" s="37">
        <v>0</v>
      </c>
    </row>
    <row r="106" spans="1:30" x14ac:dyDescent="0.25">
      <c r="A106" s="36">
        <v>2898</v>
      </c>
      <c r="B106" s="14" t="s">
        <v>5821</v>
      </c>
      <c r="C106" s="14" t="s">
        <v>5822</v>
      </c>
      <c r="D106" s="17">
        <v>44121</v>
      </c>
      <c r="E106" s="14" t="s">
        <v>30</v>
      </c>
      <c r="F106" s="14">
        <v>63</v>
      </c>
      <c r="G106" s="14">
        <v>20</v>
      </c>
      <c r="H106" s="14">
        <v>13</v>
      </c>
      <c r="I106" s="14">
        <v>7</v>
      </c>
      <c r="J106" s="14" t="s">
        <v>204</v>
      </c>
      <c r="K106" s="14" cm="1">
        <f t="array" ref="K106">INT(SUMPRODUCT(--ISNUMBER(SEARCH(economy,C106)))&gt;0)</f>
        <v>0</v>
      </c>
      <c r="L106" s="14" cm="1">
        <f t="array" ref="L106">INT(SUMPRODUCT(--ISNUMBER(SEARCH(healthcare,C106)))&gt;0)</f>
        <v>0</v>
      </c>
      <c r="M106" s="14" cm="1">
        <f t="array" ref="M106">INT(SUMPRODUCT(--ISNUMBER(SEARCH(supreme,C106)))&gt;0)</f>
        <v>0</v>
      </c>
      <c r="N106" s="14" cm="1">
        <f t="array" ref="N106">INT(SUMPRODUCT(--ISNUMBER(SEARCH(covid,C106)))&gt;0)</f>
        <v>0</v>
      </c>
      <c r="O106" s="14" cm="1">
        <f t="array" ref="O106">INT(SUMPRODUCT(--ISNUMBER(SEARCH(violent,C106)))&gt;0)</f>
        <v>0</v>
      </c>
      <c r="P106" s="14" cm="1">
        <f t="array" ref="P106">INT(SUMPRODUCT(--ISNUMBER(SEARCH(foreign,C106)))&gt;0)</f>
        <v>0</v>
      </c>
      <c r="Q106" s="14" cm="1">
        <f t="array" ref="Q106">INT(SUMPRODUCT(--ISNUMBER(SEARCH(gun,C106)))&gt;0)</f>
        <v>0</v>
      </c>
      <c r="R106" s="14" cm="1">
        <f t="array" ref="R106">INT(SUMPRODUCT(--ISNUMBER(SEARCH(race,C106)))&gt;0)</f>
        <v>0</v>
      </c>
      <c r="S106" s="14" cm="1">
        <f t="array" ref="S106">INT(SUMPRODUCT(--ISNUMBER(SEARCH(immigration,C106)))&gt;0)</f>
        <v>0</v>
      </c>
      <c r="T106" s="14" cm="1">
        <f t="array" ref="T106">INT(SUMPRODUCT(--ISNUMBER(SEARCH(econineq,C107)))&gt;0)</f>
        <v>0</v>
      </c>
      <c r="U106" s="14" cm="1">
        <f t="array" ref="U106">INT(SUMPRODUCT(--ISNUMBER(SEARCH(climate,C106)))&gt;0)</f>
        <v>0</v>
      </c>
      <c r="V106" s="14" cm="1">
        <f t="array" ref="V106">INT(SUMPRODUCT(--ISNUMBER(SEARCH(abortion,C106)))&gt;0)</f>
        <v>0</v>
      </c>
      <c r="W106" s="14" cm="1">
        <f t="array" ref="W106">INT(SUMPRODUCT(--ISNUMBER(SEARCH(trump,C106)))&gt;0)</f>
        <v>0</v>
      </c>
      <c r="X106" s="14" cm="1">
        <f t="array" ref="X106">INT(SUMPRODUCT(--ISNUMBER(SEARCH(voting,C106)))&gt;0)</f>
        <v>1</v>
      </c>
      <c r="Y106" s="14" cm="1">
        <f t="array" ref="Y106">INT(SUMPRODUCT(--ISNUMBER(SEARCH(democrattrigger,C106)))&gt;0)</f>
        <v>0</v>
      </c>
      <c r="Z106" s="14" cm="1">
        <f t="array" ref="Z106">INT(SUMPRODUCT(--ISNUMBER(SEARCH(bipartisan,C106)))&gt;0)</f>
        <v>0</v>
      </c>
      <c r="AA106" s="14">
        <f t="shared" si="1"/>
        <v>0</v>
      </c>
      <c r="AB106" s="14"/>
      <c r="AC106" s="30">
        <v>1</v>
      </c>
      <c r="AD106" s="37">
        <v>0</v>
      </c>
    </row>
    <row r="107" spans="1:30" x14ac:dyDescent="0.25">
      <c r="A107" s="36">
        <v>2899</v>
      </c>
      <c r="B107" s="14" t="s">
        <v>5823</v>
      </c>
      <c r="C107" s="14" t="s">
        <v>5824</v>
      </c>
      <c r="D107" s="17">
        <v>44121</v>
      </c>
      <c r="E107" s="14" t="s">
        <v>30</v>
      </c>
      <c r="F107" s="14">
        <v>25</v>
      </c>
      <c r="G107" s="14">
        <v>5</v>
      </c>
      <c r="H107" s="14">
        <v>13</v>
      </c>
      <c r="I107" s="14">
        <v>7</v>
      </c>
      <c r="J107" s="14" t="s">
        <v>204</v>
      </c>
      <c r="K107" s="14" cm="1">
        <f t="array" ref="K107">INT(SUMPRODUCT(--ISNUMBER(SEARCH(economy,C107)))&gt;0)</f>
        <v>0</v>
      </c>
      <c r="L107" s="14" cm="1">
        <f t="array" ref="L107">INT(SUMPRODUCT(--ISNUMBER(SEARCH(healthcare,C107)))&gt;0)</f>
        <v>0</v>
      </c>
      <c r="M107" s="14" cm="1">
        <f t="array" ref="M107">INT(SUMPRODUCT(--ISNUMBER(SEARCH(supreme,C107)))&gt;0)</f>
        <v>0</v>
      </c>
      <c r="N107" s="14" cm="1">
        <f t="array" ref="N107">INT(SUMPRODUCT(--ISNUMBER(SEARCH(covid,C107)))&gt;0)</f>
        <v>1</v>
      </c>
      <c r="O107" s="14" cm="1">
        <f t="array" ref="O107">INT(SUMPRODUCT(--ISNUMBER(SEARCH(violent,C107)))&gt;0)</f>
        <v>0</v>
      </c>
      <c r="P107" s="14" cm="1">
        <f t="array" ref="P107">INT(SUMPRODUCT(--ISNUMBER(SEARCH(foreign,C107)))&gt;0)</f>
        <v>0</v>
      </c>
      <c r="Q107" s="14" cm="1">
        <f t="array" ref="Q107">INT(SUMPRODUCT(--ISNUMBER(SEARCH(gun,C107)))&gt;0)</f>
        <v>0</v>
      </c>
      <c r="R107" s="14" cm="1">
        <f t="array" ref="R107">INT(SUMPRODUCT(--ISNUMBER(SEARCH(race,C107)))&gt;0)</f>
        <v>0</v>
      </c>
      <c r="S107" s="14" cm="1">
        <f t="array" ref="S107">INT(SUMPRODUCT(--ISNUMBER(SEARCH(immigration,C107)))&gt;0)</f>
        <v>0</v>
      </c>
      <c r="T107" s="14" cm="1">
        <f t="array" ref="T107">INT(SUMPRODUCT(--ISNUMBER(SEARCH(econineq,C108)))&gt;0)</f>
        <v>0</v>
      </c>
      <c r="U107" s="14" cm="1">
        <f t="array" ref="U107">INT(SUMPRODUCT(--ISNUMBER(SEARCH(climate,C107)))&gt;0)</f>
        <v>0</v>
      </c>
      <c r="V107" s="14" cm="1">
        <f t="array" ref="V107">INT(SUMPRODUCT(--ISNUMBER(SEARCH(abortion,C107)))&gt;0)</f>
        <v>0</v>
      </c>
      <c r="W107" s="14" cm="1">
        <f t="array" ref="W107">INT(SUMPRODUCT(--ISNUMBER(SEARCH(trump,C107)))&gt;0)</f>
        <v>0</v>
      </c>
      <c r="X107" s="14" cm="1">
        <f t="array" ref="X107">INT(SUMPRODUCT(--ISNUMBER(SEARCH(voting,C107)))&gt;0)</f>
        <v>0</v>
      </c>
      <c r="Y107" s="14" cm="1">
        <f t="array" ref="Y107">INT(SUMPRODUCT(--ISNUMBER(SEARCH(democrattrigger,C107)))&gt;0)</f>
        <v>1</v>
      </c>
      <c r="Z107" s="14" cm="1">
        <f t="array" ref="Z107">INT(SUMPRODUCT(--ISNUMBER(SEARCH(bipartisan,C107)))&gt;0)</f>
        <v>0</v>
      </c>
      <c r="AA107" s="14">
        <f t="shared" si="1"/>
        <v>0</v>
      </c>
      <c r="AB107" s="14"/>
      <c r="AC107" s="30" t="s">
        <v>223</v>
      </c>
      <c r="AD107" s="37" t="s">
        <v>223</v>
      </c>
    </row>
    <row r="108" spans="1:30" x14ac:dyDescent="0.25">
      <c r="A108" s="36">
        <v>2900</v>
      </c>
      <c r="B108" s="14" t="s">
        <v>5825</v>
      </c>
      <c r="C108" s="14" t="s">
        <v>5826</v>
      </c>
      <c r="D108" s="17">
        <v>44120</v>
      </c>
      <c r="E108" s="14" t="s">
        <v>30</v>
      </c>
      <c r="F108" s="14">
        <v>47</v>
      </c>
      <c r="G108" s="14">
        <v>12</v>
      </c>
      <c r="H108" s="14">
        <v>13</v>
      </c>
      <c r="I108" s="14">
        <v>7</v>
      </c>
      <c r="J108" s="14" t="s">
        <v>204</v>
      </c>
      <c r="K108" s="14" cm="1">
        <f t="array" ref="K108">INT(SUMPRODUCT(--ISNUMBER(SEARCH(economy,C108)))&gt;0)</f>
        <v>0</v>
      </c>
      <c r="L108" s="14" cm="1">
        <f t="array" ref="L108">INT(SUMPRODUCT(--ISNUMBER(SEARCH(healthcare,C108)))&gt;0)</f>
        <v>0</v>
      </c>
      <c r="M108" s="14" cm="1">
        <f t="array" ref="M108">INT(SUMPRODUCT(--ISNUMBER(SEARCH(supreme,C108)))&gt;0)</f>
        <v>0</v>
      </c>
      <c r="N108" s="14" cm="1">
        <f t="array" ref="N108">INT(SUMPRODUCT(--ISNUMBER(SEARCH(covid,C108)))&gt;0)</f>
        <v>0</v>
      </c>
      <c r="O108" s="14" cm="1">
        <f t="array" ref="O108">INT(SUMPRODUCT(--ISNUMBER(SEARCH(violent,C108)))&gt;0)</f>
        <v>0</v>
      </c>
      <c r="P108" s="14" cm="1">
        <f t="array" ref="P108">INT(SUMPRODUCT(--ISNUMBER(SEARCH(foreign,C108)))&gt;0)</f>
        <v>0</v>
      </c>
      <c r="Q108" s="14" cm="1">
        <f t="array" ref="Q108">INT(SUMPRODUCT(--ISNUMBER(SEARCH(gun,C108)))&gt;0)</f>
        <v>0</v>
      </c>
      <c r="R108" s="14" cm="1">
        <f t="array" ref="R108">INT(SUMPRODUCT(--ISNUMBER(SEARCH(race,C108)))&gt;0)</f>
        <v>0</v>
      </c>
      <c r="S108" s="14" cm="1">
        <f t="array" ref="S108">INT(SUMPRODUCT(--ISNUMBER(SEARCH(immigration,C108)))&gt;0)</f>
        <v>0</v>
      </c>
      <c r="T108" s="14" cm="1">
        <f t="array" ref="T108">INT(SUMPRODUCT(--ISNUMBER(SEARCH(econineq,C109)))&gt;0)</f>
        <v>0</v>
      </c>
      <c r="U108" s="14" cm="1">
        <f t="array" ref="U108">INT(SUMPRODUCT(--ISNUMBER(SEARCH(climate,C108)))&gt;0)</f>
        <v>0</v>
      </c>
      <c r="V108" s="14" cm="1">
        <f t="array" ref="V108">INT(SUMPRODUCT(--ISNUMBER(SEARCH(abortion,C108)))&gt;0)</f>
        <v>0</v>
      </c>
      <c r="W108" s="14" cm="1">
        <f t="array" ref="W108">INT(SUMPRODUCT(--ISNUMBER(SEARCH(trump,C108)))&gt;0)</f>
        <v>0</v>
      </c>
      <c r="X108" s="14" cm="1">
        <f t="array" ref="X108">INT(SUMPRODUCT(--ISNUMBER(SEARCH(voting,C108)))&gt;0)</f>
        <v>1</v>
      </c>
      <c r="Y108" s="14" cm="1">
        <f t="array" ref="Y108">INT(SUMPRODUCT(--ISNUMBER(SEARCH(democrattrigger,C108)))&gt;0)</f>
        <v>0</v>
      </c>
      <c r="Z108" s="14" cm="1">
        <f t="array" ref="Z108">INT(SUMPRODUCT(--ISNUMBER(SEARCH(bipartisan,C108)))&gt;0)</f>
        <v>0</v>
      </c>
      <c r="AA108" s="14">
        <f t="shared" si="1"/>
        <v>0</v>
      </c>
      <c r="AB108" s="14"/>
      <c r="AC108" s="30" t="s">
        <v>223</v>
      </c>
      <c r="AD108" s="37" t="s">
        <v>223</v>
      </c>
    </row>
    <row r="109" spans="1:30" x14ac:dyDescent="0.25">
      <c r="A109" s="36">
        <v>2901</v>
      </c>
      <c r="B109" s="14" t="s">
        <v>5827</v>
      </c>
      <c r="C109" s="14" t="s">
        <v>5828</v>
      </c>
      <c r="D109" s="17">
        <v>44120</v>
      </c>
      <c r="E109" s="14" t="s">
        <v>30</v>
      </c>
      <c r="F109" s="14">
        <v>24</v>
      </c>
      <c r="G109" s="14">
        <v>16</v>
      </c>
      <c r="H109" s="14">
        <v>13</v>
      </c>
      <c r="I109" s="14">
        <v>7</v>
      </c>
      <c r="J109" s="14" t="s">
        <v>204</v>
      </c>
      <c r="K109" s="14" cm="1">
        <f t="array" ref="K109">INT(SUMPRODUCT(--ISNUMBER(SEARCH(economy,C109)))&gt;0)</f>
        <v>0</v>
      </c>
      <c r="L109" s="14" cm="1">
        <f t="array" ref="L109">INT(SUMPRODUCT(--ISNUMBER(SEARCH(healthcare,C109)))&gt;0)</f>
        <v>1</v>
      </c>
      <c r="M109" s="14" cm="1">
        <f t="array" ref="M109">INT(SUMPRODUCT(--ISNUMBER(SEARCH(supreme,C109)))&gt;0)</f>
        <v>0</v>
      </c>
      <c r="N109" s="14" cm="1">
        <f t="array" ref="N109">INT(SUMPRODUCT(--ISNUMBER(SEARCH(covid,C109)))&gt;0)</f>
        <v>0</v>
      </c>
      <c r="O109" s="14" cm="1">
        <f t="array" ref="O109">INT(SUMPRODUCT(--ISNUMBER(SEARCH(violent,C109)))&gt;0)</f>
        <v>0</v>
      </c>
      <c r="P109" s="14" cm="1">
        <f t="array" ref="P109">INT(SUMPRODUCT(--ISNUMBER(SEARCH(foreign,C109)))&gt;0)</f>
        <v>0</v>
      </c>
      <c r="Q109" s="14" cm="1">
        <f t="array" ref="Q109">INT(SUMPRODUCT(--ISNUMBER(SEARCH(gun,C109)))&gt;0)</f>
        <v>0</v>
      </c>
      <c r="R109" s="14" cm="1">
        <f t="array" ref="R109">INT(SUMPRODUCT(--ISNUMBER(SEARCH(race,C109)))&gt;0)</f>
        <v>0</v>
      </c>
      <c r="S109" s="14" cm="1">
        <f t="array" ref="S109">INT(SUMPRODUCT(--ISNUMBER(SEARCH(immigration,C109)))&gt;0)</f>
        <v>0</v>
      </c>
      <c r="T109" s="14" cm="1">
        <f t="array" ref="T109">INT(SUMPRODUCT(--ISNUMBER(SEARCH(econineq,C110)))&gt;0)</f>
        <v>0</v>
      </c>
      <c r="U109" s="14" cm="1">
        <f t="array" ref="U109">INT(SUMPRODUCT(--ISNUMBER(SEARCH(climate,C109)))&gt;0)</f>
        <v>0</v>
      </c>
      <c r="V109" s="14" cm="1">
        <f t="array" ref="V109">INT(SUMPRODUCT(--ISNUMBER(SEARCH(abortion,C109)))&gt;0)</f>
        <v>0</v>
      </c>
      <c r="W109" s="14" cm="1">
        <f t="array" ref="W109">INT(SUMPRODUCT(--ISNUMBER(SEARCH(trump,C109)))&gt;0)</f>
        <v>0</v>
      </c>
      <c r="X109" s="14" cm="1">
        <f t="array" ref="X109">INT(SUMPRODUCT(--ISNUMBER(SEARCH(voting,C109)))&gt;0)</f>
        <v>0</v>
      </c>
      <c r="Y109" s="14" cm="1">
        <f t="array" ref="Y109">INT(SUMPRODUCT(--ISNUMBER(SEARCH(democrattrigger,C109)))&gt;0)</f>
        <v>0</v>
      </c>
      <c r="Z109" s="14" cm="1">
        <f t="array" ref="Z109">INT(SUMPRODUCT(--ISNUMBER(SEARCH(bipartisan,C109)))&gt;0)</f>
        <v>0</v>
      </c>
      <c r="AA109" s="14">
        <f t="shared" si="1"/>
        <v>0</v>
      </c>
      <c r="AB109" s="14"/>
      <c r="AC109" s="30">
        <v>0</v>
      </c>
      <c r="AD109" s="37">
        <v>1</v>
      </c>
    </row>
    <row r="110" spans="1:30" x14ac:dyDescent="0.25">
      <c r="A110" s="36">
        <v>2902</v>
      </c>
      <c r="B110" s="14" t="s">
        <v>5829</v>
      </c>
      <c r="C110" s="14" t="s">
        <v>5830</v>
      </c>
      <c r="D110" s="17">
        <v>44119</v>
      </c>
      <c r="E110" s="14" t="s">
        <v>30</v>
      </c>
      <c r="F110" s="14">
        <v>11</v>
      </c>
      <c r="G110" s="14">
        <v>2</v>
      </c>
      <c r="H110" s="14">
        <v>13</v>
      </c>
      <c r="I110" s="14">
        <v>7</v>
      </c>
      <c r="J110" s="14" t="s">
        <v>204</v>
      </c>
      <c r="K110" s="14" cm="1">
        <f t="array" ref="K110">INT(SUMPRODUCT(--ISNUMBER(SEARCH(economy,C110)))&gt;0)</f>
        <v>0</v>
      </c>
      <c r="L110" s="14" cm="1">
        <f t="array" ref="L110">INT(SUMPRODUCT(--ISNUMBER(SEARCH(healthcare,C110)))&gt;0)</f>
        <v>0</v>
      </c>
      <c r="M110" s="14" cm="1">
        <f t="array" ref="M110">INT(SUMPRODUCT(--ISNUMBER(SEARCH(supreme,C110)))&gt;0)</f>
        <v>0</v>
      </c>
      <c r="N110" s="14" cm="1">
        <f t="array" ref="N110">INT(SUMPRODUCT(--ISNUMBER(SEARCH(covid,C110)))&gt;0)</f>
        <v>0</v>
      </c>
      <c r="O110" s="14" cm="1">
        <f t="array" ref="O110">INT(SUMPRODUCT(--ISNUMBER(SEARCH(violent,C110)))&gt;0)</f>
        <v>0</v>
      </c>
      <c r="P110" s="14" cm="1">
        <f t="array" ref="P110">INT(SUMPRODUCT(--ISNUMBER(SEARCH(foreign,C110)))&gt;0)</f>
        <v>0</v>
      </c>
      <c r="Q110" s="14" cm="1">
        <f t="array" ref="Q110">INT(SUMPRODUCT(--ISNUMBER(SEARCH(gun,C110)))&gt;0)</f>
        <v>0</v>
      </c>
      <c r="R110" s="14" cm="1">
        <f t="array" ref="R110">INT(SUMPRODUCT(--ISNUMBER(SEARCH(race,C110)))&gt;0)</f>
        <v>1</v>
      </c>
      <c r="S110" s="14" cm="1">
        <f t="array" ref="S110">INT(SUMPRODUCT(--ISNUMBER(SEARCH(immigration,C110)))&gt;0)</f>
        <v>0</v>
      </c>
      <c r="T110" s="14" cm="1">
        <f t="array" ref="T110">INT(SUMPRODUCT(--ISNUMBER(SEARCH(econineq,C111)))&gt;0)</f>
        <v>0</v>
      </c>
      <c r="U110" s="14" cm="1">
        <f t="array" ref="U110">INT(SUMPRODUCT(--ISNUMBER(SEARCH(climate,C110)))&gt;0)</f>
        <v>0</v>
      </c>
      <c r="V110" s="14" cm="1">
        <f t="array" ref="V110">INT(SUMPRODUCT(--ISNUMBER(SEARCH(abortion,C110)))&gt;0)</f>
        <v>0</v>
      </c>
      <c r="W110" s="14" cm="1">
        <f t="array" ref="W110">INT(SUMPRODUCT(--ISNUMBER(SEARCH(trump,C110)))&gt;0)</f>
        <v>0</v>
      </c>
      <c r="X110" s="14" cm="1">
        <f t="array" ref="X110">INT(SUMPRODUCT(--ISNUMBER(SEARCH(voting,C110)))&gt;0)</f>
        <v>0</v>
      </c>
      <c r="Y110" s="14" cm="1">
        <f t="array" ref="Y110">INT(SUMPRODUCT(--ISNUMBER(SEARCH(democrattrigger,C110)))&gt;0)</f>
        <v>0</v>
      </c>
      <c r="Z110" s="14" cm="1">
        <f t="array" ref="Z110">INT(SUMPRODUCT(--ISNUMBER(SEARCH(bipartisan,C110)))&gt;0)</f>
        <v>0</v>
      </c>
      <c r="AA110" s="14">
        <f t="shared" si="1"/>
        <v>0</v>
      </c>
      <c r="AB110" s="14"/>
      <c r="AC110" s="30" t="s">
        <v>223</v>
      </c>
      <c r="AD110" s="37" t="s">
        <v>223</v>
      </c>
    </row>
    <row r="111" spans="1:30" x14ac:dyDescent="0.25">
      <c r="A111" s="36">
        <v>2903</v>
      </c>
      <c r="B111" s="14" t="s">
        <v>5831</v>
      </c>
      <c r="C111" s="14" t="s">
        <v>5832</v>
      </c>
      <c r="D111" s="17">
        <v>44119</v>
      </c>
      <c r="E111" s="14" t="s">
        <v>30</v>
      </c>
      <c r="F111" s="14">
        <v>162</v>
      </c>
      <c r="G111" s="14">
        <v>3</v>
      </c>
      <c r="H111" s="14">
        <v>13</v>
      </c>
      <c r="I111" s="14">
        <v>7</v>
      </c>
      <c r="J111" s="14" t="s">
        <v>204</v>
      </c>
      <c r="K111" s="14" cm="1">
        <f t="array" ref="K111">INT(SUMPRODUCT(--ISNUMBER(SEARCH(economy,C111)))&gt;0)</f>
        <v>0</v>
      </c>
      <c r="L111" s="14" cm="1">
        <f t="array" ref="L111">INT(SUMPRODUCT(--ISNUMBER(SEARCH(healthcare,C111)))&gt;0)</f>
        <v>0</v>
      </c>
      <c r="M111" s="14" cm="1">
        <f t="array" ref="M111">INT(SUMPRODUCT(--ISNUMBER(SEARCH(supreme,C111)))&gt;0)</f>
        <v>0</v>
      </c>
      <c r="N111" s="14" cm="1">
        <f t="array" ref="N111">INT(SUMPRODUCT(--ISNUMBER(SEARCH(covid,C111)))&gt;0)</f>
        <v>0</v>
      </c>
      <c r="O111" s="14" cm="1">
        <f t="array" ref="O111">INT(SUMPRODUCT(--ISNUMBER(SEARCH(violent,C111)))&gt;0)</f>
        <v>0</v>
      </c>
      <c r="P111" s="14" cm="1">
        <f t="array" ref="P111">INT(SUMPRODUCT(--ISNUMBER(SEARCH(foreign,C111)))&gt;0)</f>
        <v>0</v>
      </c>
      <c r="Q111" s="14" cm="1">
        <f t="array" ref="Q111">INT(SUMPRODUCT(--ISNUMBER(SEARCH(gun,C111)))&gt;0)</f>
        <v>0</v>
      </c>
      <c r="R111" s="14" cm="1">
        <f t="array" ref="R111">INT(SUMPRODUCT(--ISNUMBER(SEARCH(race,C111)))&gt;0)</f>
        <v>0</v>
      </c>
      <c r="S111" s="14" cm="1">
        <f t="array" ref="S111">INT(SUMPRODUCT(--ISNUMBER(SEARCH(immigration,C111)))&gt;0)</f>
        <v>0</v>
      </c>
      <c r="T111" s="14" cm="1">
        <f t="array" ref="T111">INT(SUMPRODUCT(--ISNUMBER(SEARCH(econineq,C112)))&gt;0)</f>
        <v>0</v>
      </c>
      <c r="U111" s="14" cm="1">
        <f t="array" ref="U111">INT(SUMPRODUCT(--ISNUMBER(SEARCH(climate,C111)))&gt;0)</f>
        <v>0</v>
      </c>
      <c r="V111" s="14" cm="1">
        <f t="array" ref="V111">INT(SUMPRODUCT(--ISNUMBER(SEARCH(abortion,C111)))&gt;0)</f>
        <v>0</v>
      </c>
      <c r="W111" s="14" cm="1">
        <f t="array" ref="W111">INT(SUMPRODUCT(--ISNUMBER(SEARCH(trump,C111)))&gt;0)</f>
        <v>0</v>
      </c>
      <c r="X111" s="14" cm="1">
        <f t="array" ref="X111">INT(SUMPRODUCT(--ISNUMBER(SEARCH(voting,C111)))&gt;0)</f>
        <v>0</v>
      </c>
      <c r="Y111" s="14" cm="1">
        <f t="array" ref="Y111">INT(SUMPRODUCT(--ISNUMBER(SEARCH(democrattrigger,C111)))&gt;0)</f>
        <v>0</v>
      </c>
      <c r="Z111" s="14" cm="1">
        <f t="array" ref="Z111">INT(SUMPRODUCT(--ISNUMBER(SEARCH(bipartisan,C111)))&gt;0)</f>
        <v>0</v>
      </c>
      <c r="AA111" s="14">
        <f t="shared" si="1"/>
        <v>1</v>
      </c>
      <c r="AB111" s="14"/>
      <c r="AC111" s="30">
        <v>1</v>
      </c>
      <c r="AD111" s="37">
        <v>0</v>
      </c>
    </row>
    <row r="112" spans="1:30" x14ac:dyDescent="0.25">
      <c r="A112" s="36">
        <v>2904</v>
      </c>
      <c r="B112" s="14" t="s">
        <v>5833</v>
      </c>
      <c r="C112" s="14" t="s">
        <v>5834</v>
      </c>
      <c r="D112" s="17">
        <v>44119</v>
      </c>
      <c r="E112" s="14" t="s">
        <v>30</v>
      </c>
      <c r="F112" s="14">
        <v>9</v>
      </c>
      <c r="G112" s="14">
        <v>3</v>
      </c>
      <c r="H112" s="14">
        <v>13</v>
      </c>
      <c r="I112" s="14">
        <v>7</v>
      </c>
      <c r="J112" s="14" t="s">
        <v>204</v>
      </c>
      <c r="K112" s="14" cm="1">
        <f t="array" ref="K112">INT(SUMPRODUCT(--ISNUMBER(SEARCH(economy,C112)))&gt;0)</f>
        <v>0</v>
      </c>
      <c r="L112" s="14" cm="1">
        <f t="array" ref="L112">INT(SUMPRODUCT(--ISNUMBER(SEARCH(healthcare,C112)))&gt;0)</f>
        <v>0</v>
      </c>
      <c r="M112" s="14" cm="1">
        <f t="array" ref="M112">INT(SUMPRODUCT(--ISNUMBER(SEARCH(supreme,C112)))&gt;0)</f>
        <v>0</v>
      </c>
      <c r="N112" s="14" cm="1">
        <f t="array" ref="N112">INT(SUMPRODUCT(--ISNUMBER(SEARCH(covid,C112)))&gt;0)</f>
        <v>0</v>
      </c>
      <c r="O112" s="14" cm="1">
        <f t="array" ref="O112">INT(SUMPRODUCT(--ISNUMBER(SEARCH(violent,C112)))&gt;0)</f>
        <v>0</v>
      </c>
      <c r="P112" s="14" cm="1">
        <f t="array" ref="P112">INT(SUMPRODUCT(--ISNUMBER(SEARCH(foreign,C112)))&gt;0)</f>
        <v>0</v>
      </c>
      <c r="Q112" s="14" cm="1">
        <f t="array" ref="Q112">INT(SUMPRODUCT(--ISNUMBER(SEARCH(gun,C112)))&gt;0)</f>
        <v>0</v>
      </c>
      <c r="R112" s="14" cm="1">
        <f t="array" ref="R112">INT(SUMPRODUCT(--ISNUMBER(SEARCH(race,C112)))&gt;0)</f>
        <v>0</v>
      </c>
      <c r="S112" s="14" cm="1">
        <f t="array" ref="S112">INT(SUMPRODUCT(--ISNUMBER(SEARCH(immigration,C112)))&gt;0)</f>
        <v>0</v>
      </c>
      <c r="T112" s="14" cm="1">
        <f t="array" ref="T112">INT(SUMPRODUCT(--ISNUMBER(SEARCH(econineq,C113)))&gt;0)</f>
        <v>0</v>
      </c>
      <c r="U112" s="14" cm="1">
        <f t="array" ref="U112">INT(SUMPRODUCT(--ISNUMBER(SEARCH(climate,C112)))&gt;0)</f>
        <v>0</v>
      </c>
      <c r="V112" s="14" cm="1">
        <f t="array" ref="V112">INT(SUMPRODUCT(--ISNUMBER(SEARCH(abortion,C112)))&gt;0)</f>
        <v>0</v>
      </c>
      <c r="W112" s="14" cm="1">
        <f t="array" ref="W112">INT(SUMPRODUCT(--ISNUMBER(SEARCH(trump,C112)))&gt;0)</f>
        <v>0</v>
      </c>
      <c r="X112" s="14" cm="1">
        <f t="array" ref="X112">INT(SUMPRODUCT(--ISNUMBER(SEARCH(voting,C112)))&gt;0)</f>
        <v>0</v>
      </c>
      <c r="Y112" s="14" cm="1">
        <f t="array" ref="Y112">INT(SUMPRODUCT(--ISNUMBER(SEARCH(democrattrigger,C112)))&gt;0)</f>
        <v>0</v>
      </c>
      <c r="Z112" s="14" cm="1">
        <f t="array" ref="Z112">INT(SUMPRODUCT(--ISNUMBER(SEARCH(bipartisan,C112)))&gt;0)</f>
        <v>0</v>
      </c>
      <c r="AA112" s="14">
        <f t="shared" si="1"/>
        <v>1</v>
      </c>
      <c r="AB112" s="14"/>
      <c r="AC112" s="30" t="s">
        <v>223</v>
      </c>
      <c r="AD112" s="37" t="s">
        <v>223</v>
      </c>
    </row>
    <row r="113" spans="1:30" x14ac:dyDescent="0.25">
      <c r="A113" s="36">
        <v>2905</v>
      </c>
      <c r="B113" s="14" t="s">
        <v>5835</v>
      </c>
      <c r="C113" s="14" t="s">
        <v>5836</v>
      </c>
      <c r="D113" s="17">
        <v>44119</v>
      </c>
      <c r="E113" s="14" t="s">
        <v>30</v>
      </c>
      <c r="F113" s="14">
        <v>65</v>
      </c>
      <c r="G113" s="14">
        <v>21</v>
      </c>
      <c r="H113" s="14">
        <v>13</v>
      </c>
      <c r="I113" s="14">
        <v>7</v>
      </c>
      <c r="J113" s="14" t="s">
        <v>204</v>
      </c>
      <c r="K113" s="14" cm="1">
        <f t="array" ref="K113">INT(SUMPRODUCT(--ISNUMBER(SEARCH(economy,C113)))&gt;0)</f>
        <v>0</v>
      </c>
      <c r="L113" s="14" cm="1">
        <f t="array" ref="L113">INT(SUMPRODUCT(--ISNUMBER(SEARCH(healthcare,C113)))&gt;0)</f>
        <v>1</v>
      </c>
      <c r="M113" s="14" cm="1">
        <f t="array" ref="M113">INT(SUMPRODUCT(--ISNUMBER(SEARCH(supreme,C113)))&gt;0)</f>
        <v>1</v>
      </c>
      <c r="N113" s="14" cm="1">
        <f t="array" ref="N113">INT(SUMPRODUCT(--ISNUMBER(SEARCH(covid,C113)))&gt;0)</f>
        <v>0</v>
      </c>
      <c r="O113" s="14" cm="1">
        <f t="array" ref="O113">INT(SUMPRODUCT(--ISNUMBER(SEARCH(violent,C113)))&gt;0)</f>
        <v>0</v>
      </c>
      <c r="P113" s="14" cm="1">
        <f t="array" ref="P113">INT(SUMPRODUCT(--ISNUMBER(SEARCH(foreign,C113)))&gt;0)</f>
        <v>0</v>
      </c>
      <c r="Q113" s="14" cm="1">
        <f t="array" ref="Q113">INT(SUMPRODUCT(--ISNUMBER(SEARCH(gun,C113)))&gt;0)</f>
        <v>0</v>
      </c>
      <c r="R113" s="14" cm="1">
        <f t="array" ref="R113">INT(SUMPRODUCT(--ISNUMBER(SEARCH(race,C113)))&gt;0)</f>
        <v>0</v>
      </c>
      <c r="S113" s="14" cm="1">
        <f t="array" ref="S113">INT(SUMPRODUCT(--ISNUMBER(SEARCH(immigration,C113)))&gt;0)</f>
        <v>0</v>
      </c>
      <c r="T113" s="14" cm="1">
        <f t="array" ref="T113">INT(SUMPRODUCT(--ISNUMBER(SEARCH(econineq,C114)))&gt;0)</f>
        <v>0</v>
      </c>
      <c r="U113" s="14" cm="1">
        <f t="array" ref="U113">INT(SUMPRODUCT(--ISNUMBER(SEARCH(climate,C113)))&gt;0)</f>
        <v>0</v>
      </c>
      <c r="V113" s="14" cm="1">
        <f t="array" ref="V113">INT(SUMPRODUCT(--ISNUMBER(SEARCH(abortion,C113)))&gt;0)</f>
        <v>1</v>
      </c>
      <c r="W113" s="14" cm="1">
        <f t="array" ref="W113">INT(SUMPRODUCT(--ISNUMBER(SEARCH(trump,C113)))&gt;0)</f>
        <v>0</v>
      </c>
      <c r="X113" s="14" cm="1">
        <f t="array" ref="X113">INT(SUMPRODUCT(--ISNUMBER(SEARCH(voting,C113)))&gt;0)</f>
        <v>1</v>
      </c>
      <c r="Y113" s="14" cm="1">
        <f t="array" ref="Y113">INT(SUMPRODUCT(--ISNUMBER(SEARCH(democrattrigger,C113)))&gt;0)</f>
        <v>0</v>
      </c>
      <c r="Z113" s="14" cm="1">
        <f t="array" ref="Z113">INT(SUMPRODUCT(--ISNUMBER(SEARCH(bipartisan,C113)))&gt;0)</f>
        <v>0</v>
      </c>
      <c r="AA113" s="14">
        <f t="shared" si="1"/>
        <v>0</v>
      </c>
      <c r="AB113" s="14"/>
      <c r="AC113" s="30">
        <v>0</v>
      </c>
      <c r="AD113" s="37">
        <v>1</v>
      </c>
    </row>
    <row r="114" spans="1:30" x14ac:dyDescent="0.25">
      <c r="A114" s="36">
        <v>2906</v>
      </c>
      <c r="B114" s="14" t="s">
        <v>5837</v>
      </c>
      <c r="C114" s="14" t="s">
        <v>5838</v>
      </c>
      <c r="D114" s="17">
        <v>44119</v>
      </c>
      <c r="E114" s="14" t="s">
        <v>30</v>
      </c>
      <c r="F114" s="14">
        <v>14</v>
      </c>
      <c r="G114" s="14">
        <v>2</v>
      </c>
      <c r="H114" s="14">
        <v>13</v>
      </c>
      <c r="I114" s="14">
        <v>7</v>
      </c>
      <c r="J114" s="14" t="s">
        <v>204</v>
      </c>
      <c r="K114" s="14" cm="1">
        <f t="array" ref="K114">INT(SUMPRODUCT(--ISNUMBER(SEARCH(economy,C114)))&gt;0)</f>
        <v>0</v>
      </c>
      <c r="L114" s="14" cm="1">
        <f t="array" ref="L114">INT(SUMPRODUCT(--ISNUMBER(SEARCH(healthcare,C114)))&gt;0)</f>
        <v>0</v>
      </c>
      <c r="M114" s="14" cm="1">
        <f t="array" ref="M114">INT(SUMPRODUCT(--ISNUMBER(SEARCH(supreme,C114)))&gt;0)</f>
        <v>0</v>
      </c>
      <c r="N114" s="14" cm="1">
        <f t="array" ref="N114">INT(SUMPRODUCT(--ISNUMBER(SEARCH(covid,C114)))&gt;0)</f>
        <v>0</v>
      </c>
      <c r="O114" s="14" cm="1">
        <f t="array" ref="O114">INT(SUMPRODUCT(--ISNUMBER(SEARCH(violent,C114)))&gt;0)</f>
        <v>0</v>
      </c>
      <c r="P114" s="14" cm="1">
        <f t="array" ref="P114">INT(SUMPRODUCT(--ISNUMBER(SEARCH(foreign,C114)))&gt;0)</f>
        <v>0</v>
      </c>
      <c r="Q114" s="14" cm="1">
        <f t="array" ref="Q114">INT(SUMPRODUCT(--ISNUMBER(SEARCH(gun,C114)))&gt;0)</f>
        <v>0</v>
      </c>
      <c r="R114" s="14" cm="1">
        <f t="array" ref="R114">INT(SUMPRODUCT(--ISNUMBER(SEARCH(race,C114)))&gt;0)</f>
        <v>0</v>
      </c>
      <c r="S114" s="14" cm="1">
        <f t="array" ref="S114">INT(SUMPRODUCT(--ISNUMBER(SEARCH(immigration,C114)))&gt;0)</f>
        <v>0</v>
      </c>
      <c r="T114" s="14" cm="1">
        <f t="array" ref="T114">INT(SUMPRODUCT(--ISNUMBER(SEARCH(econineq,C115)))&gt;0)</f>
        <v>0</v>
      </c>
      <c r="U114" s="14" cm="1">
        <f t="array" ref="U114">INT(SUMPRODUCT(--ISNUMBER(SEARCH(climate,C114)))&gt;0)</f>
        <v>0</v>
      </c>
      <c r="V114" s="14" cm="1">
        <f t="array" ref="V114">INT(SUMPRODUCT(--ISNUMBER(SEARCH(abortion,C114)))&gt;0)</f>
        <v>0</v>
      </c>
      <c r="W114" s="14" cm="1">
        <f t="array" ref="W114">INT(SUMPRODUCT(--ISNUMBER(SEARCH(trump,C114)))&gt;0)</f>
        <v>0</v>
      </c>
      <c r="X114" s="14" cm="1">
        <f t="array" ref="X114">INT(SUMPRODUCT(--ISNUMBER(SEARCH(voting,C114)))&gt;0)</f>
        <v>1</v>
      </c>
      <c r="Y114" s="14" cm="1">
        <f t="array" ref="Y114">INT(SUMPRODUCT(--ISNUMBER(SEARCH(democrattrigger,C114)))&gt;0)</f>
        <v>0</v>
      </c>
      <c r="Z114" s="14" cm="1">
        <f t="array" ref="Z114">INT(SUMPRODUCT(--ISNUMBER(SEARCH(bipartisan,C114)))&gt;0)</f>
        <v>0</v>
      </c>
      <c r="AA114" s="14">
        <f t="shared" si="1"/>
        <v>0</v>
      </c>
      <c r="AB114" s="14"/>
      <c r="AC114" s="30" t="s">
        <v>223</v>
      </c>
      <c r="AD114" s="37" t="s">
        <v>223</v>
      </c>
    </row>
    <row r="115" spans="1:30" x14ac:dyDescent="0.25">
      <c r="A115" s="36">
        <v>2907</v>
      </c>
      <c r="B115" s="14" t="s">
        <v>5839</v>
      </c>
      <c r="C115" s="14" t="s">
        <v>5840</v>
      </c>
      <c r="D115" s="17">
        <v>44119</v>
      </c>
      <c r="E115" s="14" t="s">
        <v>30</v>
      </c>
      <c r="F115" s="14">
        <v>174</v>
      </c>
      <c r="G115" s="14">
        <v>47</v>
      </c>
      <c r="H115" s="14">
        <v>13</v>
      </c>
      <c r="I115" s="14">
        <v>7</v>
      </c>
      <c r="J115" s="14" t="s">
        <v>204</v>
      </c>
      <c r="K115" s="14" cm="1">
        <f t="array" ref="K115">INT(SUMPRODUCT(--ISNUMBER(SEARCH(economy,C115)))&gt;0)</f>
        <v>0</v>
      </c>
      <c r="L115" s="14" cm="1">
        <f t="array" ref="L115">INT(SUMPRODUCT(--ISNUMBER(SEARCH(healthcare,C115)))&gt;0)</f>
        <v>0</v>
      </c>
      <c r="M115" s="14" cm="1">
        <f t="array" ref="M115">INT(SUMPRODUCT(--ISNUMBER(SEARCH(supreme,C115)))&gt;0)</f>
        <v>0</v>
      </c>
      <c r="N115" s="14" cm="1">
        <f t="array" ref="N115">INT(SUMPRODUCT(--ISNUMBER(SEARCH(covid,C115)))&gt;0)</f>
        <v>0</v>
      </c>
      <c r="O115" s="14" cm="1">
        <f t="array" ref="O115">INT(SUMPRODUCT(--ISNUMBER(SEARCH(violent,C115)))&gt;0)</f>
        <v>0</v>
      </c>
      <c r="P115" s="14" cm="1">
        <f t="array" ref="P115">INT(SUMPRODUCT(--ISNUMBER(SEARCH(foreign,C115)))&gt;0)</f>
        <v>0</v>
      </c>
      <c r="Q115" s="14" cm="1">
        <f t="array" ref="Q115">INT(SUMPRODUCT(--ISNUMBER(SEARCH(gun,C115)))&gt;0)</f>
        <v>0</v>
      </c>
      <c r="R115" s="14" cm="1">
        <f t="array" ref="R115">INT(SUMPRODUCT(--ISNUMBER(SEARCH(race,C115)))&gt;0)</f>
        <v>0</v>
      </c>
      <c r="S115" s="14" cm="1">
        <f t="array" ref="S115">INT(SUMPRODUCT(--ISNUMBER(SEARCH(immigration,C115)))&gt;0)</f>
        <v>0</v>
      </c>
      <c r="T115" s="14" cm="1">
        <f t="array" ref="T115">INT(SUMPRODUCT(--ISNUMBER(SEARCH(econineq,C116)))&gt;0)</f>
        <v>0</v>
      </c>
      <c r="U115" s="14" cm="1">
        <f t="array" ref="U115">INT(SUMPRODUCT(--ISNUMBER(SEARCH(climate,C115)))&gt;0)</f>
        <v>0</v>
      </c>
      <c r="V115" s="14" cm="1">
        <f t="array" ref="V115">INT(SUMPRODUCT(--ISNUMBER(SEARCH(abortion,C115)))&gt;0)</f>
        <v>0</v>
      </c>
      <c r="W115" s="14" cm="1">
        <f t="array" ref="W115">INT(SUMPRODUCT(--ISNUMBER(SEARCH(trump,C115)))&gt;0)</f>
        <v>0</v>
      </c>
      <c r="X115" s="14" cm="1">
        <f t="array" ref="X115">INT(SUMPRODUCT(--ISNUMBER(SEARCH(voting,C115)))&gt;0)</f>
        <v>0</v>
      </c>
      <c r="Y115" s="14" cm="1">
        <f t="array" ref="Y115">INT(SUMPRODUCT(--ISNUMBER(SEARCH(democrattrigger,C115)))&gt;0)</f>
        <v>1</v>
      </c>
      <c r="Z115" s="14" cm="1">
        <f t="array" ref="Z115">INT(SUMPRODUCT(--ISNUMBER(SEARCH(bipartisan,C115)))&gt;0)</f>
        <v>1</v>
      </c>
      <c r="AA115" s="14">
        <f t="shared" si="1"/>
        <v>0</v>
      </c>
      <c r="AB115" s="14"/>
      <c r="AC115" s="30" t="s">
        <v>223</v>
      </c>
      <c r="AD115" s="37" t="s">
        <v>223</v>
      </c>
    </row>
    <row r="116" spans="1:30" x14ac:dyDescent="0.25">
      <c r="A116" s="36">
        <v>2908</v>
      </c>
      <c r="B116" s="14" t="s">
        <v>5841</v>
      </c>
      <c r="C116" s="14" t="s">
        <v>5842</v>
      </c>
      <c r="D116" s="17">
        <v>44119</v>
      </c>
      <c r="E116" s="14" t="s">
        <v>30</v>
      </c>
      <c r="F116" s="14">
        <v>13</v>
      </c>
      <c r="G116" s="14">
        <v>1</v>
      </c>
      <c r="H116" s="14">
        <v>13</v>
      </c>
      <c r="I116" s="14">
        <v>7</v>
      </c>
      <c r="J116" s="14" t="s">
        <v>204</v>
      </c>
      <c r="K116" s="14" cm="1">
        <f t="array" ref="K116">INT(SUMPRODUCT(--ISNUMBER(SEARCH(economy,C116)))&gt;0)</f>
        <v>1</v>
      </c>
      <c r="L116" s="14" cm="1">
        <f t="array" ref="L116">INT(SUMPRODUCT(--ISNUMBER(SEARCH(healthcare,C116)))&gt;0)</f>
        <v>1</v>
      </c>
      <c r="M116" s="14" cm="1">
        <f t="array" ref="M116">INT(SUMPRODUCT(--ISNUMBER(SEARCH(supreme,C116)))&gt;0)</f>
        <v>0</v>
      </c>
      <c r="N116" s="14" cm="1">
        <f t="array" ref="N116">INT(SUMPRODUCT(--ISNUMBER(SEARCH(covid,C116)))&gt;0)</f>
        <v>0</v>
      </c>
      <c r="O116" s="14" cm="1">
        <f t="array" ref="O116">INT(SUMPRODUCT(--ISNUMBER(SEARCH(violent,C116)))&gt;0)</f>
        <v>0</v>
      </c>
      <c r="P116" s="14" cm="1">
        <f t="array" ref="P116">INT(SUMPRODUCT(--ISNUMBER(SEARCH(foreign,C116)))&gt;0)</f>
        <v>0</v>
      </c>
      <c r="Q116" s="14" cm="1">
        <f t="array" ref="Q116">INT(SUMPRODUCT(--ISNUMBER(SEARCH(gun,C116)))&gt;0)</f>
        <v>0</v>
      </c>
      <c r="R116" s="14" cm="1">
        <f t="array" ref="R116">INT(SUMPRODUCT(--ISNUMBER(SEARCH(race,C116)))&gt;0)</f>
        <v>1</v>
      </c>
      <c r="S116" s="14" cm="1">
        <f t="array" ref="S116">INT(SUMPRODUCT(--ISNUMBER(SEARCH(immigration,C116)))&gt;0)</f>
        <v>0</v>
      </c>
      <c r="T116" s="14" cm="1">
        <f t="array" ref="T116">INT(SUMPRODUCT(--ISNUMBER(SEARCH(econineq,C117)))&gt;0)</f>
        <v>0</v>
      </c>
      <c r="U116" s="14" cm="1">
        <f t="array" ref="U116">INT(SUMPRODUCT(--ISNUMBER(SEARCH(climate,C116)))&gt;0)</f>
        <v>0</v>
      </c>
      <c r="V116" s="14" cm="1">
        <f t="array" ref="V116">INT(SUMPRODUCT(--ISNUMBER(SEARCH(abortion,C116)))&gt;0)</f>
        <v>0</v>
      </c>
      <c r="W116" s="14" cm="1">
        <f t="array" ref="W116">INT(SUMPRODUCT(--ISNUMBER(SEARCH(trump,C116)))&gt;0)</f>
        <v>0</v>
      </c>
      <c r="X116" s="14" cm="1">
        <f t="array" ref="X116">INT(SUMPRODUCT(--ISNUMBER(SEARCH(voting,C116)))&gt;0)</f>
        <v>0</v>
      </c>
      <c r="Y116" s="14" cm="1">
        <f t="array" ref="Y116">INT(SUMPRODUCT(--ISNUMBER(SEARCH(democrattrigger,C116)))&gt;0)</f>
        <v>0</v>
      </c>
      <c r="Z116" s="14" cm="1">
        <f t="array" ref="Z116">INT(SUMPRODUCT(--ISNUMBER(SEARCH(bipartisan,C116)))&gt;0)</f>
        <v>0</v>
      </c>
      <c r="AA116" s="14">
        <f t="shared" si="1"/>
        <v>0</v>
      </c>
      <c r="AB116" s="14"/>
      <c r="AC116" s="30" t="s">
        <v>223</v>
      </c>
      <c r="AD116" s="37" t="s">
        <v>223</v>
      </c>
    </row>
    <row r="117" spans="1:30" x14ac:dyDescent="0.25">
      <c r="A117" s="36">
        <v>2909</v>
      </c>
      <c r="B117" s="14" t="s">
        <v>5843</v>
      </c>
      <c r="C117" s="14" t="s">
        <v>5844</v>
      </c>
      <c r="D117" s="17">
        <v>44119</v>
      </c>
      <c r="E117" s="14" t="s">
        <v>30</v>
      </c>
      <c r="F117" s="14">
        <v>34</v>
      </c>
      <c r="G117" s="14">
        <v>15</v>
      </c>
      <c r="H117" s="14">
        <v>13</v>
      </c>
      <c r="I117" s="14">
        <v>7</v>
      </c>
      <c r="J117" s="14" t="s">
        <v>204</v>
      </c>
      <c r="K117" s="14" cm="1">
        <f t="array" ref="K117">INT(SUMPRODUCT(--ISNUMBER(SEARCH(economy,C117)))&gt;0)</f>
        <v>1</v>
      </c>
      <c r="L117" s="14" cm="1">
        <f t="array" ref="L117">INT(SUMPRODUCT(--ISNUMBER(SEARCH(healthcare,C117)))&gt;0)</f>
        <v>1</v>
      </c>
      <c r="M117" s="14" cm="1">
        <f t="array" ref="M117">INT(SUMPRODUCT(--ISNUMBER(SEARCH(supreme,C117)))&gt;0)</f>
        <v>0</v>
      </c>
      <c r="N117" s="14" cm="1">
        <f t="array" ref="N117">INT(SUMPRODUCT(--ISNUMBER(SEARCH(covid,C117)))&gt;0)</f>
        <v>1</v>
      </c>
      <c r="O117" s="14" cm="1">
        <f t="array" ref="O117">INT(SUMPRODUCT(--ISNUMBER(SEARCH(violent,C117)))&gt;0)</f>
        <v>0</v>
      </c>
      <c r="P117" s="14" cm="1">
        <f t="array" ref="P117">INT(SUMPRODUCT(--ISNUMBER(SEARCH(foreign,C117)))&gt;0)</f>
        <v>0</v>
      </c>
      <c r="Q117" s="14" cm="1">
        <f t="array" ref="Q117">INT(SUMPRODUCT(--ISNUMBER(SEARCH(gun,C117)))&gt;0)</f>
        <v>0</v>
      </c>
      <c r="R117" s="14" cm="1">
        <f t="array" ref="R117">INT(SUMPRODUCT(--ISNUMBER(SEARCH(race,C117)))&gt;0)</f>
        <v>0</v>
      </c>
      <c r="S117" s="14" cm="1">
        <f t="array" ref="S117">INT(SUMPRODUCT(--ISNUMBER(SEARCH(immigration,C117)))&gt;0)</f>
        <v>0</v>
      </c>
      <c r="T117" s="14" cm="1">
        <f t="array" ref="T117">INT(SUMPRODUCT(--ISNUMBER(SEARCH(econineq,C118)))&gt;0)</f>
        <v>0</v>
      </c>
      <c r="U117" s="14" cm="1">
        <f t="array" ref="U117">INT(SUMPRODUCT(--ISNUMBER(SEARCH(climate,C117)))&gt;0)</f>
        <v>0</v>
      </c>
      <c r="V117" s="14" cm="1">
        <f t="array" ref="V117">INT(SUMPRODUCT(--ISNUMBER(SEARCH(abortion,C117)))&gt;0)</f>
        <v>0</v>
      </c>
      <c r="W117" s="14" cm="1">
        <f t="array" ref="W117">INT(SUMPRODUCT(--ISNUMBER(SEARCH(trump,C117)))&gt;0)</f>
        <v>0</v>
      </c>
      <c r="X117" s="14" cm="1">
        <f t="array" ref="X117">INT(SUMPRODUCT(--ISNUMBER(SEARCH(voting,C117)))&gt;0)</f>
        <v>0</v>
      </c>
      <c r="Y117" s="14" cm="1">
        <f t="array" ref="Y117">INT(SUMPRODUCT(--ISNUMBER(SEARCH(democrattrigger,C117)))&gt;0)</f>
        <v>1</v>
      </c>
      <c r="Z117" s="14" cm="1">
        <f t="array" ref="Z117">INT(SUMPRODUCT(--ISNUMBER(SEARCH(bipartisan,C117)))&gt;0)</f>
        <v>0</v>
      </c>
      <c r="AA117" s="14">
        <f t="shared" si="1"/>
        <v>0</v>
      </c>
      <c r="AB117" s="14"/>
      <c r="AC117" s="30">
        <v>1</v>
      </c>
      <c r="AD117" s="37">
        <v>0</v>
      </c>
    </row>
    <row r="118" spans="1:30" x14ac:dyDescent="0.25">
      <c r="A118" s="36">
        <v>2910</v>
      </c>
      <c r="B118" s="14" t="s">
        <v>5845</v>
      </c>
      <c r="C118" s="14" t="s">
        <v>5846</v>
      </c>
      <c r="D118" s="17">
        <v>44119</v>
      </c>
      <c r="E118" s="14" t="s">
        <v>30</v>
      </c>
      <c r="F118" s="14">
        <v>73</v>
      </c>
      <c r="G118" s="14">
        <v>29</v>
      </c>
      <c r="H118" s="14">
        <v>13</v>
      </c>
      <c r="I118" s="14">
        <v>7</v>
      </c>
      <c r="J118" s="14" t="s">
        <v>204</v>
      </c>
      <c r="K118" s="14" cm="1">
        <f t="array" ref="K118">INT(SUMPRODUCT(--ISNUMBER(SEARCH(economy,C118)))&gt;0)</f>
        <v>0</v>
      </c>
      <c r="L118" s="14" cm="1">
        <f t="array" ref="L118">INT(SUMPRODUCT(--ISNUMBER(SEARCH(healthcare,C118)))&gt;0)</f>
        <v>1</v>
      </c>
      <c r="M118" s="14" cm="1">
        <f t="array" ref="M118">INT(SUMPRODUCT(--ISNUMBER(SEARCH(supreme,C118)))&gt;0)</f>
        <v>0</v>
      </c>
      <c r="N118" s="14" cm="1">
        <f t="array" ref="N118">INT(SUMPRODUCT(--ISNUMBER(SEARCH(covid,C118)))&gt;0)</f>
        <v>0</v>
      </c>
      <c r="O118" s="14" cm="1">
        <f t="array" ref="O118">INT(SUMPRODUCT(--ISNUMBER(SEARCH(violent,C118)))&gt;0)</f>
        <v>0</v>
      </c>
      <c r="P118" s="14" cm="1">
        <f t="array" ref="P118">INT(SUMPRODUCT(--ISNUMBER(SEARCH(foreign,C118)))&gt;0)</f>
        <v>0</v>
      </c>
      <c r="Q118" s="14" cm="1">
        <f t="array" ref="Q118">INT(SUMPRODUCT(--ISNUMBER(SEARCH(gun,C118)))&gt;0)</f>
        <v>0</v>
      </c>
      <c r="R118" s="14" cm="1">
        <f t="array" ref="R118">INT(SUMPRODUCT(--ISNUMBER(SEARCH(race,C118)))&gt;0)</f>
        <v>1</v>
      </c>
      <c r="S118" s="14" cm="1">
        <f t="array" ref="S118">INT(SUMPRODUCT(--ISNUMBER(SEARCH(immigration,C118)))&gt;0)</f>
        <v>0</v>
      </c>
      <c r="T118" s="14" cm="1">
        <f t="array" ref="T118">INT(SUMPRODUCT(--ISNUMBER(SEARCH(econineq,C119)))&gt;0)</f>
        <v>0</v>
      </c>
      <c r="U118" s="14" cm="1">
        <f t="array" ref="U118">INT(SUMPRODUCT(--ISNUMBER(SEARCH(climate,C118)))&gt;0)</f>
        <v>0</v>
      </c>
      <c r="V118" s="14" cm="1">
        <f t="array" ref="V118">INT(SUMPRODUCT(--ISNUMBER(SEARCH(abortion,C118)))&gt;0)</f>
        <v>0</v>
      </c>
      <c r="W118" s="14" cm="1">
        <f t="array" ref="W118">INT(SUMPRODUCT(--ISNUMBER(SEARCH(trump,C118)))&gt;0)</f>
        <v>0</v>
      </c>
      <c r="X118" s="14" cm="1">
        <f t="array" ref="X118">INT(SUMPRODUCT(--ISNUMBER(SEARCH(voting,C118)))&gt;0)</f>
        <v>0</v>
      </c>
      <c r="Y118" s="14" cm="1">
        <f t="array" ref="Y118">INT(SUMPRODUCT(--ISNUMBER(SEARCH(democrattrigger,C118)))&gt;0)</f>
        <v>1</v>
      </c>
      <c r="Z118" s="14" cm="1">
        <f t="array" ref="Z118">INT(SUMPRODUCT(--ISNUMBER(SEARCH(bipartisan,C118)))&gt;0)</f>
        <v>0</v>
      </c>
      <c r="AA118" s="14">
        <f t="shared" si="1"/>
        <v>0</v>
      </c>
      <c r="AB118" s="14"/>
      <c r="AC118" s="30" t="s">
        <v>223</v>
      </c>
      <c r="AD118" s="37" t="s">
        <v>223</v>
      </c>
    </row>
    <row r="119" spans="1:30" x14ac:dyDescent="0.25">
      <c r="A119" s="36">
        <v>2911</v>
      </c>
      <c r="B119" s="14" t="s">
        <v>5847</v>
      </c>
      <c r="C119" s="14" t="s">
        <v>5848</v>
      </c>
      <c r="D119" s="17">
        <v>44119</v>
      </c>
      <c r="E119" s="14" t="s">
        <v>30</v>
      </c>
      <c r="F119" s="14">
        <v>52</v>
      </c>
      <c r="G119" s="14">
        <v>20</v>
      </c>
      <c r="H119" s="14">
        <v>13</v>
      </c>
      <c r="I119" s="14">
        <v>7</v>
      </c>
      <c r="J119" s="14" t="s">
        <v>204</v>
      </c>
      <c r="K119" s="14" cm="1">
        <f t="array" ref="K119">INT(SUMPRODUCT(--ISNUMBER(SEARCH(economy,C119)))&gt;0)</f>
        <v>0</v>
      </c>
      <c r="L119" s="14" cm="1">
        <f t="array" ref="L119">INT(SUMPRODUCT(--ISNUMBER(SEARCH(healthcare,C119)))&gt;0)</f>
        <v>1</v>
      </c>
      <c r="M119" s="14" cm="1">
        <f t="array" ref="M119">INT(SUMPRODUCT(--ISNUMBER(SEARCH(supreme,C119)))&gt;0)</f>
        <v>0</v>
      </c>
      <c r="N119" s="14" cm="1">
        <f t="array" ref="N119">INT(SUMPRODUCT(--ISNUMBER(SEARCH(covid,C119)))&gt;0)</f>
        <v>0</v>
      </c>
      <c r="O119" s="14" cm="1">
        <f t="array" ref="O119">INT(SUMPRODUCT(--ISNUMBER(SEARCH(violent,C119)))&gt;0)</f>
        <v>0</v>
      </c>
      <c r="P119" s="14" cm="1">
        <f t="array" ref="P119">INT(SUMPRODUCT(--ISNUMBER(SEARCH(foreign,C119)))&gt;0)</f>
        <v>0</v>
      </c>
      <c r="Q119" s="14" cm="1">
        <f t="array" ref="Q119">INT(SUMPRODUCT(--ISNUMBER(SEARCH(gun,C119)))&gt;0)</f>
        <v>0</v>
      </c>
      <c r="R119" s="14" cm="1">
        <f t="array" ref="R119">INT(SUMPRODUCT(--ISNUMBER(SEARCH(race,C119)))&gt;0)</f>
        <v>0</v>
      </c>
      <c r="S119" s="14" cm="1">
        <f t="array" ref="S119">INT(SUMPRODUCT(--ISNUMBER(SEARCH(immigration,C119)))&gt;0)</f>
        <v>0</v>
      </c>
      <c r="T119" s="14" cm="1">
        <f t="array" ref="T119">INT(SUMPRODUCT(--ISNUMBER(SEARCH(econineq,C120)))&gt;0)</f>
        <v>0</v>
      </c>
      <c r="U119" s="14" cm="1">
        <f t="array" ref="U119">INT(SUMPRODUCT(--ISNUMBER(SEARCH(climate,C119)))&gt;0)</f>
        <v>0</v>
      </c>
      <c r="V119" s="14" cm="1">
        <f t="array" ref="V119">INT(SUMPRODUCT(--ISNUMBER(SEARCH(abortion,C119)))&gt;0)</f>
        <v>0</v>
      </c>
      <c r="W119" s="14" cm="1">
        <f t="array" ref="W119">INT(SUMPRODUCT(--ISNUMBER(SEARCH(trump,C119)))&gt;0)</f>
        <v>0</v>
      </c>
      <c r="X119" s="14" cm="1">
        <f t="array" ref="X119">INT(SUMPRODUCT(--ISNUMBER(SEARCH(voting,C119)))&gt;0)</f>
        <v>0</v>
      </c>
      <c r="Y119" s="14" cm="1">
        <f t="array" ref="Y119">INT(SUMPRODUCT(--ISNUMBER(SEARCH(democrattrigger,C119)))&gt;0)</f>
        <v>1</v>
      </c>
      <c r="Z119" s="14" cm="1">
        <f t="array" ref="Z119">INT(SUMPRODUCT(--ISNUMBER(SEARCH(bipartisan,C119)))&gt;0)</f>
        <v>0</v>
      </c>
      <c r="AA119" s="14">
        <f t="shared" si="1"/>
        <v>0</v>
      </c>
      <c r="AB119" s="14"/>
      <c r="AC119" s="30" t="s">
        <v>223</v>
      </c>
      <c r="AD119" s="37" t="s">
        <v>223</v>
      </c>
    </row>
    <row r="120" spans="1:30" x14ac:dyDescent="0.25">
      <c r="A120" s="36">
        <v>2912</v>
      </c>
      <c r="B120" s="14" t="s">
        <v>5849</v>
      </c>
      <c r="C120" s="14" t="s">
        <v>5850</v>
      </c>
      <c r="D120" s="17">
        <v>44119</v>
      </c>
      <c r="E120" s="14" t="s">
        <v>30</v>
      </c>
      <c r="F120" s="14">
        <v>9</v>
      </c>
      <c r="G120" s="14">
        <v>2</v>
      </c>
      <c r="H120" s="14">
        <v>13</v>
      </c>
      <c r="I120" s="14">
        <v>7</v>
      </c>
      <c r="J120" s="14" t="s">
        <v>204</v>
      </c>
      <c r="K120" s="14" cm="1">
        <f t="array" ref="K120">INT(SUMPRODUCT(--ISNUMBER(SEARCH(economy,C120)))&gt;0)</f>
        <v>1</v>
      </c>
      <c r="L120" s="14" cm="1">
        <f t="array" ref="L120">INT(SUMPRODUCT(--ISNUMBER(SEARCH(healthcare,C120)))&gt;0)</f>
        <v>0</v>
      </c>
      <c r="M120" s="14" cm="1">
        <f t="array" ref="M120">INT(SUMPRODUCT(--ISNUMBER(SEARCH(supreme,C120)))&gt;0)</f>
        <v>0</v>
      </c>
      <c r="N120" s="14" cm="1">
        <f t="array" ref="N120">INT(SUMPRODUCT(--ISNUMBER(SEARCH(covid,C120)))&gt;0)</f>
        <v>0</v>
      </c>
      <c r="O120" s="14" cm="1">
        <f t="array" ref="O120">INT(SUMPRODUCT(--ISNUMBER(SEARCH(violent,C120)))&gt;0)</f>
        <v>0</v>
      </c>
      <c r="P120" s="14" cm="1">
        <f t="array" ref="P120">INT(SUMPRODUCT(--ISNUMBER(SEARCH(foreign,C120)))&gt;0)</f>
        <v>0</v>
      </c>
      <c r="Q120" s="14" cm="1">
        <f t="array" ref="Q120">INT(SUMPRODUCT(--ISNUMBER(SEARCH(gun,C120)))&gt;0)</f>
        <v>0</v>
      </c>
      <c r="R120" s="14" cm="1">
        <f t="array" ref="R120">INT(SUMPRODUCT(--ISNUMBER(SEARCH(race,C120)))&gt;0)</f>
        <v>0</v>
      </c>
      <c r="S120" s="14" cm="1">
        <f t="array" ref="S120">INT(SUMPRODUCT(--ISNUMBER(SEARCH(immigration,C120)))&gt;0)</f>
        <v>0</v>
      </c>
      <c r="T120" s="14" cm="1">
        <f t="array" ref="T120">INT(SUMPRODUCT(--ISNUMBER(SEARCH(econineq,C121)))&gt;0)</f>
        <v>0</v>
      </c>
      <c r="U120" s="14" cm="1">
        <f t="array" ref="U120">INT(SUMPRODUCT(--ISNUMBER(SEARCH(climate,C120)))&gt;0)</f>
        <v>0</v>
      </c>
      <c r="V120" s="14" cm="1">
        <f t="array" ref="V120">INT(SUMPRODUCT(--ISNUMBER(SEARCH(abortion,C120)))&gt;0)</f>
        <v>0</v>
      </c>
      <c r="W120" s="14" cm="1">
        <f t="array" ref="W120">INT(SUMPRODUCT(--ISNUMBER(SEARCH(trump,C120)))&gt;0)</f>
        <v>0</v>
      </c>
      <c r="X120" s="14" cm="1">
        <f t="array" ref="X120">INT(SUMPRODUCT(--ISNUMBER(SEARCH(voting,C120)))&gt;0)</f>
        <v>0</v>
      </c>
      <c r="Y120" s="14" cm="1">
        <f t="array" ref="Y120">INT(SUMPRODUCT(--ISNUMBER(SEARCH(democrattrigger,C120)))&gt;0)</f>
        <v>0</v>
      </c>
      <c r="Z120" s="14" cm="1">
        <f t="array" ref="Z120">INT(SUMPRODUCT(--ISNUMBER(SEARCH(bipartisan,C120)))&gt;0)</f>
        <v>0</v>
      </c>
      <c r="AA120" s="14">
        <f t="shared" si="1"/>
        <v>0</v>
      </c>
      <c r="AB120" s="14"/>
      <c r="AC120" s="30" t="s">
        <v>223</v>
      </c>
      <c r="AD120" s="37" t="s">
        <v>223</v>
      </c>
    </row>
    <row r="121" spans="1:30" x14ac:dyDescent="0.25">
      <c r="A121" s="36">
        <v>2913</v>
      </c>
      <c r="B121" s="14" t="s">
        <v>5851</v>
      </c>
      <c r="C121" s="14" t="s">
        <v>5852</v>
      </c>
      <c r="D121" s="17">
        <v>44119</v>
      </c>
      <c r="E121" s="14" t="s">
        <v>30</v>
      </c>
      <c r="F121" s="14">
        <v>25</v>
      </c>
      <c r="G121" s="14">
        <v>7</v>
      </c>
      <c r="H121" s="14">
        <v>13</v>
      </c>
      <c r="I121" s="14">
        <v>7</v>
      </c>
      <c r="J121" s="14" t="s">
        <v>204</v>
      </c>
      <c r="K121" s="14" cm="1">
        <f t="array" ref="K121">INT(SUMPRODUCT(--ISNUMBER(SEARCH(economy,C121)))&gt;0)</f>
        <v>1</v>
      </c>
      <c r="L121" s="14" cm="1">
        <f t="array" ref="L121">INT(SUMPRODUCT(--ISNUMBER(SEARCH(healthcare,C121)))&gt;0)</f>
        <v>0</v>
      </c>
      <c r="M121" s="14" cm="1">
        <f t="array" ref="M121">INT(SUMPRODUCT(--ISNUMBER(SEARCH(supreme,C121)))&gt;0)</f>
        <v>0</v>
      </c>
      <c r="N121" s="14" cm="1">
        <f t="array" ref="N121">INT(SUMPRODUCT(--ISNUMBER(SEARCH(covid,C121)))&gt;0)</f>
        <v>1</v>
      </c>
      <c r="O121" s="14" cm="1">
        <f t="array" ref="O121">INT(SUMPRODUCT(--ISNUMBER(SEARCH(violent,C121)))&gt;0)</f>
        <v>0</v>
      </c>
      <c r="P121" s="14" cm="1">
        <f t="array" ref="P121">INT(SUMPRODUCT(--ISNUMBER(SEARCH(foreign,C121)))&gt;0)</f>
        <v>0</v>
      </c>
      <c r="Q121" s="14" cm="1">
        <f t="array" ref="Q121">INT(SUMPRODUCT(--ISNUMBER(SEARCH(gun,C121)))&gt;0)</f>
        <v>0</v>
      </c>
      <c r="R121" s="14" cm="1">
        <f t="array" ref="R121">INT(SUMPRODUCT(--ISNUMBER(SEARCH(race,C121)))&gt;0)</f>
        <v>0</v>
      </c>
      <c r="S121" s="14" cm="1">
        <f t="array" ref="S121">INT(SUMPRODUCT(--ISNUMBER(SEARCH(immigration,C121)))&gt;0)</f>
        <v>0</v>
      </c>
      <c r="T121" s="14" cm="1">
        <f t="array" ref="T121">INT(SUMPRODUCT(--ISNUMBER(SEARCH(econineq,C122)))&gt;0)</f>
        <v>0</v>
      </c>
      <c r="U121" s="14" cm="1">
        <f t="array" ref="U121">INT(SUMPRODUCT(--ISNUMBER(SEARCH(climate,C121)))&gt;0)</f>
        <v>0</v>
      </c>
      <c r="V121" s="14" cm="1">
        <f t="array" ref="V121">INT(SUMPRODUCT(--ISNUMBER(SEARCH(abortion,C121)))&gt;0)</f>
        <v>0</v>
      </c>
      <c r="W121" s="14" cm="1">
        <f t="array" ref="W121">INT(SUMPRODUCT(--ISNUMBER(SEARCH(trump,C121)))&gt;0)</f>
        <v>1</v>
      </c>
      <c r="X121" s="14" cm="1">
        <f t="array" ref="X121">INT(SUMPRODUCT(--ISNUMBER(SEARCH(voting,C121)))&gt;0)</f>
        <v>0</v>
      </c>
      <c r="Y121" s="14" cm="1">
        <f t="array" ref="Y121">INT(SUMPRODUCT(--ISNUMBER(SEARCH(democrattrigger,C121)))&gt;0)</f>
        <v>1</v>
      </c>
      <c r="Z121" s="14" cm="1">
        <f t="array" ref="Z121">INT(SUMPRODUCT(--ISNUMBER(SEARCH(bipartisan,C121)))&gt;0)</f>
        <v>0</v>
      </c>
      <c r="AA121" s="14">
        <f t="shared" si="1"/>
        <v>0</v>
      </c>
      <c r="AB121" s="14"/>
      <c r="AC121" s="30" t="s">
        <v>223</v>
      </c>
      <c r="AD121" s="37" t="s">
        <v>223</v>
      </c>
    </row>
    <row r="122" spans="1:30" x14ac:dyDescent="0.25">
      <c r="A122" s="36">
        <v>2914</v>
      </c>
      <c r="B122" s="14" t="s">
        <v>5853</v>
      </c>
      <c r="C122" s="14" t="s">
        <v>5854</v>
      </c>
      <c r="D122" s="17">
        <v>44119</v>
      </c>
      <c r="E122" s="14" t="s">
        <v>30</v>
      </c>
      <c r="F122" s="14">
        <v>28</v>
      </c>
      <c r="G122" s="14">
        <v>10</v>
      </c>
      <c r="H122" s="14">
        <v>13</v>
      </c>
      <c r="I122" s="14">
        <v>7</v>
      </c>
      <c r="J122" s="14" t="s">
        <v>204</v>
      </c>
      <c r="K122" s="14" cm="1">
        <f t="array" ref="K122">INT(SUMPRODUCT(--ISNUMBER(SEARCH(economy,C122)))&gt;0)</f>
        <v>1</v>
      </c>
      <c r="L122" s="14" cm="1">
        <f t="array" ref="L122">INT(SUMPRODUCT(--ISNUMBER(SEARCH(healthcare,C122)))&gt;0)</f>
        <v>0</v>
      </c>
      <c r="M122" s="14" cm="1">
        <f t="array" ref="M122">INT(SUMPRODUCT(--ISNUMBER(SEARCH(supreme,C122)))&gt;0)</f>
        <v>0</v>
      </c>
      <c r="N122" s="14" cm="1">
        <f t="array" ref="N122">INT(SUMPRODUCT(--ISNUMBER(SEARCH(covid,C122)))&gt;0)</f>
        <v>1</v>
      </c>
      <c r="O122" s="14" cm="1">
        <f t="array" ref="O122">INT(SUMPRODUCT(--ISNUMBER(SEARCH(violent,C122)))&gt;0)</f>
        <v>0</v>
      </c>
      <c r="P122" s="14" cm="1">
        <f t="array" ref="P122">INT(SUMPRODUCT(--ISNUMBER(SEARCH(foreign,C122)))&gt;0)</f>
        <v>0</v>
      </c>
      <c r="Q122" s="14" cm="1">
        <f t="array" ref="Q122">INT(SUMPRODUCT(--ISNUMBER(SEARCH(gun,C122)))&gt;0)</f>
        <v>0</v>
      </c>
      <c r="R122" s="14" cm="1">
        <f t="array" ref="R122">INT(SUMPRODUCT(--ISNUMBER(SEARCH(race,C122)))&gt;0)</f>
        <v>0</v>
      </c>
      <c r="S122" s="14" cm="1">
        <f t="array" ref="S122">INT(SUMPRODUCT(--ISNUMBER(SEARCH(immigration,C122)))&gt;0)</f>
        <v>0</v>
      </c>
      <c r="T122" s="14" cm="1">
        <f t="array" ref="T122">INT(SUMPRODUCT(--ISNUMBER(SEARCH(econineq,C123)))&gt;0)</f>
        <v>0</v>
      </c>
      <c r="U122" s="14" cm="1">
        <f t="array" ref="U122">INT(SUMPRODUCT(--ISNUMBER(SEARCH(climate,C122)))&gt;0)</f>
        <v>0</v>
      </c>
      <c r="V122" s="14" cm="1">
        <f t="array" ref="V122">INT(SUMPRODUCT(--ISNUMBER(SEARCH(abortion,C122)))&gt;0)</f>
        <v>0</v>
      </c>
      <c r="W122" s="14" cm="1">
        <f t="array" ref="W122">INT(SUMPRODUCT(--ISNUMBER(SEARCH(trump,C122)))&gt;0)</f>
        <v>0</v>
      </c>
      <c r="X122" s="14" cm="1">
        <f t="array" ref="X122">INT(SUMPRODUCT(--ISNUMBER(SEARCH(voting,C122)))&gt;0)</f>
        <v>0</v>
      </c>
      <c r="Y122" s="14" cm="1">
        <f t="array" ref="Y122">INT(SUMPRODUCT(--ISNUMBER(SEARCH(democrattrigger,C122)))&gt;0)</f>
        <v>1</v>
      </c>
      <c r="Z122" s="14" cm="1">
        <f t="array" ref="Z122">INT(SUMPRODUCT(--ISNUMBER(SEARCH(bipartisan,C122)))&gt;0)</f>
        <v>0</v>
      </c>
      <c r="AA122" s="14">
        <f t="shared" si="1"/>
        <v>0</v>
      </c>
      <c r="AB122" s="14"/>
      <c r="AC122" s="30" t="s">
        <v>223</v>
      </c>
      <c r="AD122" s="37" t="s">
        <v>223</v>
      </c>
    </row>
    <row r="123" spans="1:30" x14ac:dyDescent="0.25">
      <c r="A123" s="36">
        <v>2915</v>
      </c>
      <c r="B123" s="14" t="s">
        <v>5855</v>
      </c>
      <c r="C123" s="14" t="s">
        <v>5856</v>
      </c>
      <c r="D123" s="17">
        <v>44119</v>
      </c>
      <c r="E123" s="14" t="s">
        <v>30</v>
      </c>
      <c r="F123" s="14">
        <v>24</v>
      </c>
      <c r="G123" s="14">
        <v>6</v>
      </c>
      <c r="H123" s="14">
        <v>13</v>
      </c>
      <c r="I123" s="14">
        <v>7</v>
      </c>
      <c r="J123" s="14" t="s">
        <v>204</v>
      </c>
      <c r="K123" s="14" cm="1">
        <f t="array" ref="K123">INT(SUMPRODUCT(--ISNUMBER(SEARCH(economy,C123)))&gt;0)</f>
        <v>0</v>
      </c>
      <c r="L123" s="14" cm="1">
        <f t="array" ref="L123">INT(SUMPRODUCT(--ISNUMBER(SEARCH(healthcare,C123)))&gt;0)</f>
        <v>0</v>
      </c>
      <c r="M123" s="14" cm="1">
        <f t="array" ref="M123">INT(SUMPRODUCT(--ISNUMBER(SEARCH(supreme,C123)))&gt;0)</f>
        <v>0</v>
      </c>
      <c r="N123" s="14" cm="1">
        <f t="array" ref="N123">INT(SUMPRODUCT(--ISNUMBER(SEARCH(covid,C123)))&gt;0)</f>
        <v>0</v>
      </c>
      <c r="O123" s="14" cm="1">
        <f t="array" ref="O123">INT(SUMPRODUCT(--ISNUMBER(SEARCH(violent,C123)))&gt;0)</f>
        <v>0</v>
      </c>
      <c r="P123" s="14" cm="1">
        <f t="array" ref="P123">INT(SUMPRODUCT(--ISNUMBER(SEARCH(foreign,C123)))&gt;0)</f>
        <v>0</v>
      </c>
      <c r="Q123" s="14" cm="1">
        <f t="array" ref="Q123">INT(SUMPRODUCT(--ISNUMBER(SEARCH(gun,C123)))&gt;0)</f>
        <v>0</v>
      </c>
      <c r="R123" s="14" cm="1">
        <f t="array" ref="R123">INT(SUMPRODUCT(--ISNUMBER(SEARCH(race,C123)))&gt;0)</f>
        <v>0</v>
      </c>
      <c r="S123" s="14" cm="1">
        <f t="array" ref="S123">INT(SUMPRODUCT(--ISNUMBER(SEARCH(immigration,C123)))&gt;0)</f>
        <v>0</v>
      </c>
      <c r="T123" s="14" cm="1">
        <f t="array" ref="T123">INT(SUMPRODUCT(--ISNUMBER(SEARCH(econineq,C124)))&gt;0)</f>
        <v>0</v>
      </c>
      <c r="U123" s="14" cm="1">
        <f t="array" ref="U123">INT(SUMPRODUCT(--ISNUMBER(SEARCH(climate,C123)))&gt;0)</f>
        <v>0</v>
      </c>
      <c r="V123" s="14" cm="1">
        <f t="array" ref="V123">INT(SUMPRODUCT(--ISNUMBER(SEARCH(abortion,C123)))&gt;0)</f>
        <v>0</v>
      </c>
      <c r="W123" s="14" cm="1">
        <f t="array" ref="W123">INT(SUMPRODUCT(--ISNUMBER(SEARCH(trump,C123)))&gt;0)</f>
        <v>0</v>
      </c>
      <c r="X123" s="14" cm="1">
        <f t="array" ref="X123">INT(SUMPRODUCT(--ISNUMBER(SEARCH(voting,C123)))&gt;0)</f>
        <v>1</v>
      </c>
      <c r="Y123" s="14" cm="1">
        <f t="array" ref="Y123">INT(SUMPRODUCT(--ISNUMBER(SEARCH(democrattrigger,C123)))&gt;0)</f>
        <v>0</v>
      </c>
      <c r="Z123" s="14" cm="1">
        <f t="array" ref="Z123">INT(SUMPRODUCT(--ISNUMBER(SEARCH(bipartisan,C123)))&gt;0)</f>
        <v>0</v>
      </c>
      <c r="AA123" s="14">
        <f t="shared" si="1"/>
        <v>0</v>
      </c>
      <c r="AB123" s="14"/>
      <c r="AC123" s="30" t="s">
        <v>223</v>
      </c>
      <c r="AD123" s="37" t="s">
        <v>223</v>
      </c>
    </row>
    <row r="124" spans="1:30" x14ac:dyDescent="0.25">
      <c r="A124" s="36">
        <v>2916</v>
      </c>
      <c r="B124" s="14" t="s">
        <v>5857</v>
      </c>
      <c r="C124" s="14" t="s">
        <v>5858</v>
      </c>
      <c r="D124" s="17">
        <v>44119</v>
      </c>
      <c r="E124" s="14" t="s">
        <v>30</v>
      </c>
      <c r="F124" s="14">
        <v>31</v>
      </c>
      <c r="G124" s="14">
        <v>8</v>
      </c>
      <c r="H124" s="14">
        <v>13</v>
      </c>
      <c r="I124" s="14">
        <v>7</v>
      </c>
      <c r="J124" s="14" t="s">
        <v>204</v>
      </c>
      <c r="K124" s="14" cm="1">
        <f t="array" ref="K124">INT(SUMPRODUCT(--ISNUMBER(SEARCH(economy,C124)))&gt;0)</f>
        <v>0</v>
      </c>
      <c r="L124" s="14" cm="1">
        <f t="array" ref="L124">INT(SUMPRODUCT(--ISNUMBER(SEARCH(healthcare,C124)))&gt;0)</f>
        <v>0</v>
      </c>
      <c r="M124" s="14" cm="1">
        <f t="array" ref="M124">INT(SUMPRODUCT(--ISNUMBER(SEARCH(supreme,C124)))&gt;0)</f>
        <v>0</v>
      </c>
      <c r="N124" s="14" cm="1">
        <f t="array" ref="N124">INT(SUMPRODUCT(--ISNUMBER(SEARCH(covid,C124)))&gt;0)</f>
        <v>0</v>
      </c>
      <c r="O124" s="14" cm="1">
        <f t="array" ref="O124">INT(SUMPRODUCT(--ISNUMBER(SEARCH(violent,C124)))&gt;0)</f>
        <v>0</v>
      </c>
      <c r="P124" s="14" cm="1">
        <f t="array" ref="P124">INT(SUMPRODUCT(--ISNUMBER(SEARCH(foreign,C124)))&gt;0)</f>
        <v>0</v>
      </c>
      <c r="Q124" s="14" cm="1">
        <f t="array" ref="Q124">INT(SUMPRODUCT(--ISNUMBER(SEARCH(gun,C124)))&gt;0)</f>
        <v>0</v>
      </c>
      <c r="R124" s="14" cm="1">
        <f t="array" ref="R124">INT(SUMPRODUCT(--ISNUMBER(SEARCH(race,C124)))&gt;0)</f>
        <v>0</v>
      </c>
      <c r="S124" s="14" cm="1">
        <f t="array" ref="S124">INT(SUMPRODUCT(--ISNUMBER(SEARCH(immigration,C124)))&gt;0)</f>
        <v>0</v>
      </c>
      <c r="T124" s="14" cm="1">
        <f t="array" ref="T124">INT(SUMPRODUCT(--ISNUMBER(SEARCH(econineq,C125)))&gt;0)</f>
        <v>0</v>
      </c>
      <c r="U124" s="14" cm="1">
        <f t="array" ref="U124">INT(SUMPRODUCT(--ISNUMBER(SEARCH(climate,C124)))&gt;0)</f>
        <v>0</v>
      </c>
      <c r="V124" s="14" cm="1">
        <f t="array" ref="V124">INT(SUMPRODUCT(--ISNUMBER(SEARCH(abortion,C124)))&gt;0)</f>
        <v>0</v>
      </c>
      <c r="W124" s="14" cm="1">
        <f t="array" ref="W124">INT(SUMPRODUCT(--ISNUMBER(SEARCH(trump,C124)))&gt;0)</f>
        <v>0</v>
      </c>
      <c r="X124" s="14" cm="1">
        <f t="array" ref="X124">INT(SUMPRODUCT(--ISNUMBER(SEARCH(voting,C124)))&gt;0)</f>
        <v>0</v>
      </c>
      <c r="Y124" s="14" cm="1">
        <f t="array" ref="Y124">INT(SUMPRODUCT(--ISNUMBER(SEARCH(democrattrigger,C124)))&gt;0)</f>
        <v>0</v>
      </c>
      <c r="Z124" s="14" cm="1">
        <f t="array" ref="Z124">INT(SUMPRODUCT(--ISNUMBER(SEARCH(bipartisan,C124)))&gt;0)</f>
        <v>1</v>
      </c>
      <c r="AA124" s="14">
        <f t="shared" si="1"/>
        <v>0</v>
      </c>
      <c r="AB124" s="14"/>
      <c r="AC124" s="30">
        <v>1</v>
      </c>
      <c r="AD124" s="37">
        <v>0</v>
      </c>
    </row>
    <row r="125" spans="1:30" x14ac:dyDescent="0.25">
      <c r="A125" s="36">
        <v>2917</v>
      </c>
      <c r="B125" s="14" t="s">
        <v>5859</v>
      </c>
      <c r="C125" s="14" t="s">
        <v>5860</v>
      </c>
      <c r="D125" s="17">
        <v>44118</v>
      </c>
      <c r="E125" s="14" t="s">
        <v>30</v>
      </c>
      <c r="F125" s="14">
        <v>45</v>
      </c>
      <c r="G125" s="14">
        <v>27</v>
      </c>
      <c r="H125" s="14">
        <v>13</v>
      </c>
      <c r="I125" s="14">
        <v>7</v>
      </c>
      <c r="J125" s="14" t="s">
        <v>204</v>
      </c>
      <c r="K125" s="14" cm="1">
        <f t="array" ref="K125">INT(SUMPRODUCT(--ISNUMBER(SEARCH(economy,C125)))&gt;0)</f>
        <v>0</v>
      </c>
      <c r="L125" s="14" cm="1">
        <f t="array" ref="L125">INT(SUMPRODUCT(--ISNUMBER(SEARCH(healthcare,C125)))&gt;0)</f>
        <v>1</v>
      </c>
      <c r="M125" s="14" cm="1">
        <f t="array" ref="M125">INT(SUMPRODUCT(--ISNUMBER(SEARCH(supreme,C125)))&gt;0)</f>
        <v>0</v>
      </c>
      <c r="N125" s="14" cm="1">
        <f t="array" ref="N125">INT(SUMPRODUCT(--ISNUMBER(SEARCH(covid,C125)))&gt;0)</f>
        <v>0</v>
      </c>
      <c r="O125" s="14" cm="1">
        <f t="array" ref="O125">INT(SUMPRODUCT(--ISNUMBER(SEARCH(violent,C125)))&gt;0)</f>
        <v>0</v>
      </c>
      <c r="P125" s="14" cm="1">
        <f t="array" ref="P125">INT(SUMPRODUCT(--ISNUMBER(SEARCH(foreign,C125)))&gt;0)</f>
        <v>1</v>
      </c>
      <c r="Q125" s="14" cm="1">
        <f t="array" ref="Q125">INT(SUMPRODUCT(--ISNUMBER(SEARCH(gun,C125)))&gt;0)</f>
        <v>0</v>
      </c>
      <c r="R125" s="14" cm="1">
        <f t="array" ref="R125">INT(SUMPRODUCT(--ISNUMBER(SEARCH(race,C125)))&gt;0)</f>
        <v>0</v>
      </c>
      <c r="S125" s="14" cm="1">
        <f t="array" ref="S125">INT(SUMPRODUCT(--ISNUMBER(SEARCH(immigration,C125)))&gt;0)</f>
        <v>0</v>
      </c>
      <c r="T125" s="14" cm="1">
        <f t="array" ref="T125">INT(SUMPRODUCT(--ISNUMBER(SEARCH(econineq,C126)))&gt;0)</f>
        <v>0</v>
      </c>
      <c r="U125" s="14" cm="1">
        <f t="array" ref="U125">INT(SUMPRODUCT(--ISNUMBER(SEARCH(climate,C125)))&gt;0)</f>
        <v>0</v>
      </c>
      <c r="V125" s="14" cm="1">
        <f t="array" ref="V125">INT(SUMPRODUCT(--ISNUMBER(SEARCH(abortion,C125)))&gt;0)</f>
        <v>0</v>
      </c>
      <c r="W125" s="14" cm="1">
        <f t="array" ref="W125">INT(SUMPRODUCT(--ISNUMBER(SEARCH(trump,C125)))&gt;0)</f>
        <v>0</v>
      </c>
      <c r="X125" s="14" cm="1">
        <f t="array" ref="X125">INT(SUMPRODUCT(--ISNUMBER(SEARCH(voting,C125)))&gt;0)</f>
        <v>0</v>
      </c>
      <c r="Y125" s="14" cm="1">
        <f t="array" ref="Y125">INT(SUMPRODUCT(--ISNUMBER(SEARCH(democrattrigger,C125)))&gt;0)</f>
        <v>0</v>
      </c>
      <c r="Z125" s="14" cm="1">
        <f t="array" ref="Z125">INT(SUMPRODUCT(--ISNUMBER(SEARCH(bipartisan,C125)))&gt;0)</f>
        <v>0</v>
      </c>
      <c r="AA125" s="14">
        <f t="shared" si="1"/>
        <v>0</v>
      </c>
      <c r="AB125" s="14"/>
      <c r="AC125" s="30" t="s">
        <v>223</v>
      </c>
      <c r="AD125" s="37" t="s">
        <v>223</v>
      </c>
    </row>
    <row r="126" spans="1:30" x14ac:dyDescent="0.25">
      <c r="A126" s="36">
        <v>2918</v>
      </c>
      <c r="B126" s="14" t="s">
        <v>5861</v>
      </c>
      <c r="C126" s="14" t="s">
        <v>5862</v>
      </c>
      <c r="D126" s="17">
        <v>44118</v>
      </c>
      <c r="E126" s="14" t="s">
        <v>30</v>
      </c>
      <c r="F126" s="14">
        <v>12</v>
      </c>
      <c r="G126" s="14">
        <v>5</v>
      </c>
      <c r="H126" s="14">
        <v>13</v>
      </c>
      <c r="I126" s="14">
        <v>7</v>
      </c>
      <c r="J126" s="14" t="s">
        <v>204</v>
      </c>
      <c r="K126" s="14" cm="1">
        <f t="array" ref="K126">INT(SUMPRODUCT(--ISNUMBER(SEARCH(economy,C126)))&gt;0)</f>
        <v>0</v>
      </c>
      <c r="L126" s="14" cm="1">
        <f t="array" ref="L126">INT(SUMPRODUCT(--ISNUMBER(SEARCH(healthcare,C126)))&gt;0)</f>
        <v>0</v>
      </c>
      <c r="M126" s="14" cm="1">
        <f t="array" ref="M126">INT(SUMPRODUCT(--ISNUMBER(SEARCH(supreme,C126)))&gt;0)</f>
        <v>0</v>
      </c>
      <c r="N126" s="14" cm="1">
        <f t="array" ref="N126">INT(SUMPRODUCT(--ISNUMBER(SEARCH(covid,C126)))&gt;0)</f>
        <v>0</v>
      </c>
      <c r="O126" s="14" cm="1">
        <f t="array" ref="O126">INT(SUMPRODUCT(--ISNUMBER(SEARCH(violent,C126)))&gt;0)</f>
        <v>0</v>
      </c>
      <c r="P126" s="14" cm="1">
        <f t="array" ref="P126">INT(SUMPRODUCT(--ISNUMBER(SEARCH(foreign,C126)))&gt;0)</f>
        <v>0</v>
      </c>
      <c r="Q126" s="14" cm="1">
        <f t="array" ref="Q126">INT(SUMPRODUCT(--ISNUMBER(SEARCH(gun,C126)))&gt;0)</f>
        <v>0</v>
      </c>
      <c r="R126" s="14" cm="1">
        <f t="array" ref="R126">INT(SUMPRODUCT(--ISNUMBER(SEARCH(race,C126)))&gt;0)</f>
        <v>0</v>
      </c>
      <c r="S126" s="14" cm="1">
        <f t="array" ref="S126">INT(SUMPRODUCT(--ISNUMBER(SEARCH(immigration,C126)))&gt;0)</f>
        <v>0</v>
      </c>
      <c r="T126" s="14" cm="1">
        <f t="array" ref="T126">INT(SUMPRODUCT(--ISNUMBER(SEARCH(econineq,C127)))&gt;0)</f>
        <v>0</v>
      </c>
      <c r="U126" s="14" cm="1">
        <f t="array" ref="U126">INT(SUMPRODUCT(--ISNUMBER(SEARCH(climate,C126)))&gt;0)</f>
        <v>0</v>
      </c>
      <c r="V126" s="14" cm="1">
        <f t="array" ref="V126">INT(SUMPRODUCT(--ISNUMBER(SEARCH(abortion,C126)))&gt;0)</f>
        <v>0</v>
      </c>
      <c r="W126" s="14" cm="1">
        <f t="array" ref="W126">INT(SUMPRODUCT(--ISNUMBER(SEARCH(trump,C126)))&gt;0)</f>
        <v>0</v>
      </c>
      <c r="X126" s="14" cm="1">
        <f t="array" ref="X126">INT(SUMPRODUCT(--ISNUMBER(SEARCH(voting,C126)))&gt;0)</f>
        <v>1</v>
      </c>
      <c r="Y126" s="14" cm="1">
        <f t="array" ref="Y126">INT(SUMPRODUCT(--ISNUMBER(SEARCH(democrattrigger,C126)))&gt;0)</f>
        <v>0</v>
      </c>
      <c r="Z126" s="14" cm="1">
        <f t="array" ref="Z126">INT(SUMPRODUCT(--ISNUMBER(SEARCH(bipartisan,C126)))&gt;0)</f>
        <v>0</v>
      </c>
      <c r="AA126" s="14">
        <f t="shared" si="1"/>
        <v>0</v>
      </c>
      <c r="AB126" s="14"/>
      <c r="AC126" s="30">
        <v>1</v>
      </c>
      <c r="AD126" s="37">
        <v>0</v>
      </c>
    </row>
    <row r="127" spans="1:30" x14ac:dyDescent="0.25">
      <c r="A127" s="36">
        <v>2919</v>
      </c>
      <c r="B127" s="14" t="s">
        <v>5863</v>
      </c>
      <c r="C127" s="14" t="s">
        <v>5864</v>
      </c>
      <c r="D127" s="17">
        <v>44118</v>
      </c>
      <c r="E127" s="14" t="s">
        <v>30</v>
      </c>
      <c r="F127" s="14">
        <v>26</v>
      </c>
      <c r="G127" s="14">
        <v>9</v>
      </c>
      <c r="H127" s="14">
        <v>13</v>
      </c>
      <c r="I127" s="14">
        <v>7</v>
      </c>
      <c r="J127" s="14" t="s">
        <v>204</v>
      </c>
      <c r="K127" s="14" cm="1">
        <f t="array" ref="K127">INT(SUMPRODUCT(--ISNUMBER(SEARCH(economy,C127)))&gt;0)</f>
        <v>0</v>
      </c>
      <c r="L127" s="14" cm="1">
        <f t="array" ref="L127">INT(SUMPRODUCT(--ISNUMBER(SEARCH(healthcare,C127)))&gt;0)</f>
        <v>0</v>
      </c>
      <c r="M127" s="14" cm="1">
        <f t="array" ref="M127">INT(SUMPRODUCT(--ISNUMBER(SEARCH(supreme,C127)))&gt;0)</f>
        <v>0</v>
      </c>
      <c r="N127" s="14" cm="1">
        <f t="array" ref="N127">INT(SUMPRODUCT(--ISNUMBER(SEARCH(covid,C127)))&gt;0)</f>
        <v>0</v>
      </c>
      <c r="O127" s="14" cm="1">
        <f t="array" ref="O127">INT(SUMPRODUCT(--ISNUMBER(SEARCH(violent,C127)))&gt;0)</f>
        <v>0</v>
      </c>
      <c r="P127" s="14" cm="1">
        <f t="array" ref="P127">INT(SUMPRODUCT(--ISNUMBER(SEARCH(foreign,C127)))&gt;0)</f>
        <v>0</v>
      </c>
      <c r="Q127" s="14" cm="1">
        <f t="array" ref="Q127">INT(SUMPRODUCT(--ISNUMBER(SEARCH(gun,C127)))&gt;0)</f>
        <v>0</v>
      </c>
      <c r="R127" s="14" cm="1">
        <f t="array" ref="R127">INT(SUMPRODUCT(--ISNUMBER(SEARCH(race,C127)))&gt;0)</f>
        <v>0</v>
      </c>
      <c r="S127" s="14" cm="1">
        <f t="array" ref="S127">INT(SUMPRODUCT(--ISNUMBER(SEARCH(immigration,C127)))&gt;0)</f>
        <v>0</v>
      </c>
      <c r="T127" s="14" cm="1">
        <f t="array" ref="T127">INT(SUMPRODUCT(--ISNUMBER(SEARCH(econineq,C128)))&gt;0)</f>
        <v>0</v>
      </c>
      <c r="U127" s="14" cm="1">
        <f t="array" ref="U127">INT(SUMPRODUCT(--ISNUMBER(SEARCH(climate,C127)))&gt;0)</f>
        <v>0</v>
      </c>
      <c r="V127" s="14" cm="1">
        <f t="array" ref="V127">INT(SUMPRODUCT(--ISNUMBER(SEARCH(abortion,C127)))&gt;0)</f>
        <v>0</v>
      </c>
      <c r="W127" s="14" cm="1">
        <f t="array" ref="W127">INT(SUMPRODUCT(--ISNUMBER(SEARCH(trump,C127)))&gt;0)</f>
        <v>0</v>
      </c>
      <c r="X127" s="14" cm="1">
        <f t="array" ref="X127">INT(SUMPRODUCT(--ISNUMBER(SEARCH(voting,C127)))&gt;0)</f>
        <v>0</v>
      </c>
      <c r="Y127" s="14" cm="1">
        <f t="array" ref="Y127">INT(SUMPRODUCT(--ISNUMBER(SEARCH(democrattrigger,C127)))&gt;0)</f>
        <v>1</v>
      </c>
      <c r="Z127" s="14" cm="1">
        <f t="array" ref="Z127">INT(SUMPRODUCT(--ISNUMBER(SEARCH(bipartisan,C127)))&gt;0)</f>
        <v>0</v>
      </c>
      <c r="AA127" s="14">
        <f t="shared" si="1"/>
        <v>0</v>
      </c>
      <c r="AB127" s="14"/>
      <c r="AC127" s="30" t="s">
        <v>223</v>
      </c>
      <c r="AD127" s="37" t="s">
        <v>223</v>
      </c>
    </row>
    <row r="128" spans="1:30" x14ac:dyDescent="0.25">
      <c r="A128" s="36">
        <v>2920</v>
      </c>
      <c r="B128" s="14" t="s">
        <v>5865</v>
      </c>
      <c r="C128" s="14" t="s">
        <v>5866</v>
      </c>
      <c r="D128" s="17">
        <v>44117</v>
      </c>
      <c r="E128" s="14" t="s">
        <v>30</v>
      </c>
      <c r="F128" s="14">
        <v>41</v>
      </c>
      <c r="G128" s="14">
        <v>30</v>
      </c>
      <c r="H128" s="14">
        <v>13</v>
      </c>
      <c r="I128" s="14">
        <v>7</v>
      </c>
      <c r="J128" s="14" t="s">
        <v>204</v>
      </c>
      <c r="K128" s="14" cm="1">
        <f t="array" ref="K128">INT(SUMPRODUCT(--ISNUMBER(SEARCH(economy,C128)))&gt;0)</f>
        <v>1</v>
      </c>
      <c r="L128" s="14" cm="1">
        <f t="array" ref="L128">INT(SUMPRODUCT(--ISNUMBER(SEARCH(healthcare,C128)))&gt;0)</f>
        <v>0</v>
      </c>
      <c r="M128" s="14" cm="1">
        <f t="array" ref="M128">INT(SUMPRODUCT(--ISNUMBER(SEARCH(supreme,C128)))&gt;0)</f>
        <v>0</v>
      </c>
      <c r="N128" s="14" cm="1">
        <f t="array" ref="N128">INT(SUMPRODUCT(--ISNUMBER(SEARCH(covid,C128)))&gt;0)</f>
        <v>1</v>
      </c>
      <c r="O128" s="14" cm="1">
        <f t="array" ref="O128">INT(SUMPRODUCT(--ISNUMBER(SEARCH(violent,C128)))&gt;0)</f>
        <v>0</v>
      </c>
      <c r="P128" s="14" cm="1">
        <f t="array" ref="P128">INT(SUMPRODUCT(--ISNUMBER(SEARCH(foreign,C128)))&gt;0)</f>
        <v>0</v>
      </c>
      <c r="Q128" s="14" cm="1">
        <f t="array" ref="Q128">INT(SUMPRODUCT(--ISNUMBER(SEARCH(gun,C128)))&gt;0)</f>
        <v>0</v>
      </c>
      <c r="R128" s="14" cm="1">
        <f t="array" ref="R128">INT(SUMPRODUCT(--ISNUMBER(SEARCH(race,C128)))&gt;0)</f>
        <v>0</v>
      </c>
      <c r="S128" s="14" cm="1">
        <f t="array" ref="S128">INT(SUMPRODUCT(--ISNUMBER(SEARCH(immigration,C128)))&gt;0)</f>
        <v>0</v>
      </c>
      <c r="T128" s="14" cm="1">
        <f t="array" ref="T128">INT(SUMPRODUCT(--ISNUMBER(SEARCH(econineq,C129)))&gt;0)</f>
        <v>0</v>
      </c>
      <c r="U128" s="14" cm="1">
        <f t="array" ref="U128">INT(SUMPRODUCT(--ISNUMBER(SEARCH(climate,C128)))&gt;0)</f>
        <v>0</v>
      </c>
      <c r="V128" s="14" cm="1">
        <f t="array" ref="V128">INT(SUMPRODUCT(--ISNUMBER(SEARCH(abortion,C128)))&gt;0)</f>
        <v>0</v>
      </c>
      <c r="W128" s="14" cm="1">
        <f t="array" ref="W128">INT(SUMPRODUCT(--ISNUMBER(SEARCH(trump,C128)))&gt;0)</f>
        <v>0</v>
      </c>
      <c r="X128" s="14" cm="1">
        <f t="array" ref="X128">INT(SUMPRODUCT(--ISNUMBER(SEARCH(voting,C128)))&gt;0)</f>
        <v>0</v>
      </c>
      <c r="Y128" s="14" cm="1">
        <f t="array" ref="Y128">INT(SUMPRODUCT(--ISNUMBER(SEARCH(democrattrigger,C128)))&gt;0)</f>
        <v>0</v>
      </c>
      <c r="Z128" s="14" cm="1">
        <f t="array" ref="Z128">INT(SUMPRODUCT(--ISNUMBER(SEARCH(bipartisan,C128)))&gt;0)</f>
        <v>0</v>
      </c>
      <c r="AA128" s="14">
        <f t="shared" si="1"/>
        <v>0</v>
      </c>
      <c r="AB128" s="14"/>
      <c r="AC128" s="30">
        <v>0</v>
      </c>
      <c r="AD128" s="37">
        <v>1</v>
      </c>
    </row>
    <row r="129" spans="1:30" x14ac:dyDescent="0.25">
      <c r="A129" s="36">
        <v>2921</v>
      </c>
      <c r="B129" s="14" t="s">
        <v>5867</v>
      </c>
      <c r="C129" s="14" t="s">
        <v>5868</v>
      </c>
      <c r="D129" s="17">
        <v>44117</v>
      </c>
      <c r="E129" s="14" t="s">
        <v>30</v>
      </c>
      <c r="F129" s="14">
        <v>43</v>
      </c>
      <c r="G129" s="14">
        <v>15</v>
      </c>
      <c r="H129" s="14">
        <v>13</v>
      </c>
      <c r="I129" s="14">
        <v>7</v>
      </c>
      <c r="J129" s="14" t="s">
        <v>204</v>
      </c>
      <c r="K129" s="14" cm="1">
        <f t="array" ref="K129">INT(SUMPRODUCT(--ISNUMBER(SEARCH(economy,C129)))&gt;0)</f>
        <v>0</v>
      </c>
      <c r="L129" s="14" cm="1">
        <f t="array" ref="L129">INT(SUMPRODUCT(--ISNUMBER(SEARCH(healthcare,C129)))&gt;0)</f>
        <v>1</v>
      </c>
      <c r="M129" s="14" cm="1">
        <f t="array" ref="M129">INT(SUMPRODUCT(--ISNUMBER(SEARCH(supreme,C129)))&gt;0)</f>
        <v>0</v>
      </c>
      <c r="N129" s="14" cm="1">
        <f t="array" ref="N129">INT(SUMPRODUCT(--ISNUMBER(SEARCH(covid,C129)))&gt;0)</f>
        <v>0</v>
      </c>
      <c r="O129" s="14" cm="1">
        <f t="array" ref="O129">INT(SUMPRODUCT(--ISNUMBER(SEARCH(violent,C129)))&gt;0)</f>
        <v>0</v>
      </c>
      <c r="P129" s="14" cm="1">
        <f t="array" ref="P129">INT(SUMPRODUCT(--ISNUMBER(SEARCH(foreign,C129)))&gt;0)</f>
        <v>0</v>
      </c>
      <c r="Q129" s="14" cm="1">
        <f t="array" ref="Q129">INT(SUMPRODUCT(--ISNUMBER(SEARCH(gun,C129)))&gt;0)</f>
        <v>0</v>
      </c>
      <c r="R129" s="14" cm="1">
        <f t="array" ref="R129">INT(SUMPRODUCT(--ISNUMBER(SEARCH(race,C129)))&gt;0)</f>
        <v>0</v>
      </c>
      <c r="S129" s="14" cm="1">
        <f t="array" ref="S129">INT(SUMPRODUCT(--ISNUMBER(SEARCH(immigration,C129)))&gt;0)</f>
        <v>0</v>
      </c>
      <c r="T129" s="14" cm="1">
        <f t="array" ref="T129">INT(SUMPRODUCT(--ISNUMBER(SEARCH(econineq,C130)))&gt;0)</f>
        <v>0</v>
      </c>
      <c r="U129" s="14" cm="1">
        <f t="array" ref="U129">INT(SUMPRODUCT(--ISNUMBER(SEARCH(climate,C129)))&gt;0)</f>
        <v>0</v>
      </c>
      <c r="V129" s="14" cm="1">
        <f t="array" ref="V129">INT(SUMPRODUCT(--ISNUMBER(SEARCH(abortion,C129)))&gt;0)</f>
        <v>1</v>
      </c>
      <c r="W129" s="14" cm="1">
        <f t="array" ref="W129">INT(SUMPRODUCT(--ISNUMBER(SEARCH(trump,C129)))&gt;0)</f>
        <v>0</v>
      </c>
      <c r="X129" s="14" cm="1">
        <f t="array" ref="X129">INT(SUMPRODUCT(--ISNUMBER(SEARCH(voting,C129)))&gt;0)</f>
        <v>0</v>
      </c>
      <c r="Y129" s="14" cm="1">
        <f t="array" ref="Y129">INT(SUMPRODUCT(--ISNUMBER(SEARCH(democrattrigger,C129)))&gt;0)</f>
        <v>0</v>
      </c>
      <c r="Z129" s="14" cm="1">
        <f t="array" ref="Z129">INT(SUMPRODUCT(--ISNUMBER(SEARCH(bipartisan,C129)))&gt;0)</f>
        <v>0</v>
      </c>
      <c r="AA129" s="14">
        <f t="shared" si="1"/>
        <v>0</v>
      </c>
      <c r="AB129" s="14"/>
      <c r="AC129" s="30" t="s">
        <v>223</v>
      </c>
      <c r="AD129" s="37" t="s">
        <v>223</v>
      </c>
    </row>
    <row r="130" spans="1:30" x14ac:dyDescent="0.25">
      <c r="A130" s="36">
        <v>2922</v>
      </c>
      <c r="B130" s="14" t="s">
        <v>5869</v>
      </c>
      <c r="C130" s="14" t="s">
        <v>5870</v>
      </c>
      <c r="D130" s="17">
        <v>44116</v>
      </c>
      <c r="E130" s="14" t="s">
        <v>30</v>
      </c>
      <c r="F130" s="14">
        <v>9</v>
      </c>
      <c r="G130" s="14">
        <v>3</v>
      </c>
      <c r="H130" s="14">
        <v>13</v>
      </c>
      <c r="I130" s="14">
        <v>7</v>
      </c>
      <c r="J130" s="14" t="s">
        <v>204</v>
      </c>
      <c r="K130" s="14" cm="1">
        <f t="array" ref="K130">INT(SUMPRODUCT(--ISNUMBER(SEARCH(economy,C130)))&gt;0)</f>
        <v>0</v>
      </c>
      <c r="L130" s="14" cm="1">
        <f t="array" ref="L130">INT(SUMPRODUCT(--ISNUMBER(SEARCH(healthcare,C130)))&gt;0)</f>
        <v>0</v>
      </c>
      <c r="M130" s="14" cm="1">
        <f t="array" ref="M130">INT(SUMPRODUCT(--ISNUMBER(SEARCH(supreme,C130)))&gt;0)</f>
        <v>0</v>
      </c>
      <c r="N130" s="14" cm="1">
        <f t="array" ref="N130">INT(SUMPRODUCT(--ISNUMBER(SEARCH(covid,C130)))&gt;0)</f>
        <v>0</v>
      </c>
      <c r="O130" s="14" cm="1">
        <f t="array" ref="O130">INT(SUMPRODUCT(--ISNUMBER(SEARCH(violent,C130)))&gt;0)</f>
        <v>0</v>
      </c>
      <c r="P130" s="14" cm="1">
        <f t="array" ref="P130">INT(SUMPRODUCT(--ISNUMBER(SEARCH(foreign,C130)))&gt;0)</f>
        <v>0</v>
      </c>
      <c r="Q130" s="14" cm="1">
        <f t="array" ref="Q130">INT(SUMPRODUCT(--ISNUMBER(SEARCH(gun,C130)))&gt;0)</f>
        <v>0</v>
      </c>
      <c r="R130" s="14" cm="1">
        <f t="array" ref="R130">INT(SUMPRODUCT(--ISNUMBER(SEARCH(race,C130)))&gt;0)</f>
        <v>0</v>
      </c>
      <c r="S130" s="14" cm="1">
        <f t="array" ref="S130">INT(SUMPRODUCT(--ISNUMBER(SEARCH(immigration,C130)))&gt;0)</f>
        <v>0</v>
      </c>
      <c r="T130" s="14" cm="1">
        <f t="array" ref="T130">INT(SUMPRODUCT(--ISNUMBER(SEARCH(econineq,C131)))&gt;0)</f>
        <v>0</v>
      </c>
      <c r="U130" s="14" cm="1">
        <f t="array" ref="U130">INT(SUMPRODUCT(--ISNUMBER(SEARCH(climate,C130)))&gt;0)</f>
        <v>0</v>
      </c>
      <c r="V130" s="14" cm="1">
        <f t="array" ref="V130">INT(SUMPRODUCT(--ISNUMBER(SEARCH(abortion,C130)))&gt;0)</f>
        <v>0</v>
      </c>
      <c r="W130" s="14" cm="1">
        <f t="array" ref="W130">INT(SUMPRODUCT(--ISNUMBER(SEARCH(trump,C130)))&gt;0)</f>
        <v>0</v>
      </c>
      <c r="X130" s="14" cm="1">
        <f t="array" ref="X130">INT(SUMPRODUCT(--ISNUMBER(SEARCH(voting,C130)))&gt;0)</f>
        <v>1</v>
      </c>
      <c r="Y130" s="14" cm="1">
        <f t="array" ref="Y130">INT(SUMPRODUCT(--ISNUMBER(SEARCH(democrattrigger,C130)))&gt;0)</f>
        <v>0</v>
      </c>
      <c r="Z130" s="14" cm="1">
        <f t="array" ref="Z130">INT(SUMPRODUCT(--ISNUMBER(SEARCH(bipartisan,C130)))&gt;0)</f>
        <v>0</v>
      </c>
      <c r="AA130" s="14">
        <f t="shared" si="1"/>
        <v>0</v>
      </c>
      <c r="AB130" s="14"/>
      <c r="AC130" s="30">
        <v>1</v>
      </c>
      <c r="AD130" s="37">
        <v>0</v>
      </c>
    </row>
    <row r="131" spans="1:30" x14ac:dyDescent="0.25">
      <c r="A131" s="36">
        <v>2923</v>
      </c>
      <c r="B131" s="14" t="s">
        <v>5871</v>
      </c>
      <c r="C131" s="14" t="s">
        <v>5872</v>
      </c>
      <c r="D131" s="17">
        <v>44116</v>
      </c>
      <c r="E131" s="14" t="s">
        <v>30</v>
      </c>
      <c r="F131" s="14">
        <v>21</v>
      </c>
      <c r="G131" s="14">
        <v>3</v>
      </c>
      <c r="H131" s="14">
        <v>13</v>
      </c>
      <c r="I131" s="14">
        <v>7</v>
      </c>
      <c r="J131" s="14" t="s">
        <v>204</v>
      </c>
      <c r="K131" s="14" cm="1">
        <f t="array" ref="K131">INT(SUMPRODUCT(--ISNUMBER(SEARCH(economy,C131)))&gt;0)</f>
        <v>0</v>
      </c>
      <c r="L131" s="14" cm="1">
        <f t="array" ref="L131">INT(SUMPRODUCT(--ISNUMBER(SEARCH(healthcare,C131)))&gt;0)</f>
        <v>0</v>
      </c>
      <c r="M131" s="14" cm="1">
        <f t="array" ref="M131">INT(SUMPRODUCT(--ISNUMBER(SEARCH(supreme,C131)))&gt;0)</f>
        <v>0</v>
      </c>
      <c r="N131" s="14" cm="1">
        <f t="array" ref="N131">INT(SUMPRODUCT(--ISNUMBER(SEARCH(covid,C131)))&gt;0)</f>
        <v>0</v>
      </c>
      <c r="O131" s="14" cm="1">
        <f t="array" ref="O131">INT(SUMPRODUCT(--ISNUMBER(SEARCH(violent,C131)))&gt;0)</f>
        <v>0</v>
      </c>
      <c r="P131" s="14" cm="1">
        <f t="array" ref="P131">INT(SUMPRODUCT(--ISNUMBER(SEARCH(foreign,C131)))&gt;0)</f>
        <v>0</v>
      </c>
      <c r="Q131" s="14" cm="1">
        <f t="array" ref="Q131">INT(SUMPRODUCT(--ISNUMBER(SEARCH(gun,C131)))&gt;0)</f>
        <v>0</v>
      </c>
      <c r="R131" s="14" cm="1">
        <f t="array" ref="R131">INT(SUMPRODUCT(--ISNUMBER(SEARCH(race,C131)))&gt;0)</f>
        <v>0</v>
      </c>
      <c r="S131" s="14" cm="1">
        <f t="array" ref="S131">INT(SUMPRODUCT(--ISNUMBER(SEARCH(immigration,C131)))&gt;0)</f>
        <v>0</v>
      </c>
      <c r="T131" s="14" cm="1">
        <f t="array" ref="T131">INT(SUMPRODUCT(--ISNUMBER(SEARCH(econineq,C132)))&gt;0)</f>
        <v>0</v>
      </c>
      <c r="U131" s="14" cm="1">
        <f t="array" ref="U131">INT(SUMPRODUCT(--ISNUMBER(SEARCH(climate,C131)))&gt;0)</f>
        <v>0</v>
      </c>
      <c r="V131" s="14" cm="1">
        <f t="array" ref="V131">INT(SUMPRODUCT(--ISNUMBER(SEARCH(abortion,C131)))&gt;0)</f>
        <v>0</v>
      </c>
      <c r="W131" s="14" cm="1">
        <f t="array" ref="W131">INT(SUMPRODUCT(--ISNUMBER(SEARCH(trump,C131)))&gt;0)</f>
        <v>0</v>
      </c>
      <c r="X131" s="14" cm="1">
        <f t="array" ref="X131">INT(SUMPRODUCT(--ISNUMBER(SEARCH(voting,C131)))&gt;0)</f>
        <v>1</v>
      </c>
      <c r="Y131" s="14" cm="1">
        <f t="array" ref="Y131">INT(SUMPRODUCT(--ISNUMBER(SEARCH(democrattrigger,C131)))&gt;0)</f>
        <v>0</v>
      </c>
      <c r="Z131" s="14" cm="1">
        <f t="array" ref="Z131">INT(SUMPRODUCT(--ISNUMBER(SEARCH(bipartisan,C131)))&gt;0)</f>
        <v>0</v>
      </c>
      <c r="AA131" s="14">
        <f t="shared" ref="AA131:AA176" si="2">INT(IF(COUNTIF(K131:Z131,1)=0,"1","0"))</f>
        <v>0</v>
      </c>
      <c r="AB131" s="14"/>
      <c r="AC131" s="30">
        <v>1</v>
      </c>
      <c r="AD131" s="37">
        <v>0</v>
      </c>
    </row>
    <row r="132" spans="1:30" x14ac:dyDescent="0.25">
      <c r="A132" s="36">
        <v>2924</v>
      </c>
      <c r="B132" s="14" t="s">
        <v>5873</v>
      </c>
      <c r="C132" s="14" t="s">
        <v>5874</v>
      </c>
      <c r="D132" s="17">
        <v>44116</v>
      </c>
      <c r="E132" s="14" t="s">
        <v>70</v>
      </c>
      <c r="F132" s="14">
        <v>11</v>
      </c>
      <c r="G132" s="14">
        <v>2</v>
      </c>
      <c r="H132" s="14">
        <v>13</v>
      </c>
      <c r="I132" s="14">
        <v>7</v>
      </c>
      <c r="J132" s="14" t="s">
        <v>204</v>
      </c>
      <c r="K132" s="14" cm="1">
        <f t="array" ref="K132">INT(SUMPRODUCT(--ISNUMBER(SEARCH(economy,C132)))&gt;0)</f>
        <v>0</v>
      </c>
      <c r="L132" s="14" cm="1">
        <f t="array" ref="L132">INT(SUMPRODUCT(--ISNUMBER(SEARCH(healthcare,C132)))&gt;0)</f>
        <v>0</v>
      </c>
      <c r="M132" s="14" cm="1">
        <f t="array" ref="M132">INT(SUMPRODUCT(--ISNUMBER(SEARCH(supreme,C132)))&gt;0)</f>
        <v>0</v>
      </c>
      <c r="N132" s="14" cm="1">
        <f t="array" ref="N132">INT(SUMPRODUCT(--ISNUMBER(SEARCH(covid,C132)))&gt;0)</f>
        <v>0</v>
      </c>
      <c r="O132" s="14" cm="1">
        <f t="array" ref="O132">INT(SUMPRODUCT(--ISNUMBER(SEARCH(violent,C132)))&gt;0)</f>
        <v>0</v>
      </c>
      <c r="P132" s="14" cm="1">
        <f t="array" ref="P132">INT(SUMPRODUCT(--ISNUMBER(SEARCH(foreign,C132)))&gt;0)</f>
        <v>0</v>
      </c>
      <c r="Q132" s="14" cm="1">
        <f t="array" ref="Q132">INT(SUMPRODUCT(--ISNUMBER(SEARCH(gun,C132)))&gt;0)</f>
        <v>0</v>
      </c>
      <c r="R132" s="14" cm="1">
        <f t="array" ref="R132">INT(SUMPRODUCT(--ISNUMBER(SEARCH(race,C132)))&gt;0)</f>
        <v>0</v>
      </c>
      <c r="S132" s="14" cm="1">
        <f t="array" ref="S132">INT(SUMPRODUCT(--ISNUMBER(SEARCH(immigration,C132)))&gt;0)</f>
        <v>0</v>
      </c>
      <c r="T132" s="14" cm="1">
        <f t="array" ref="T132">INT(SUMPRODUCT(--ISNUMBER(SEARCH(econineq,C133)))&gt;0)</f>
        <v>0</v>
      </c>
      <c r="U132" s="14" cm="1">
        <f t="array" ref="U132">INT(SUMPRODUCT(--ISNUMBER(SEARCH(climate,C132)))&gt;0)</f>
        <v>0</v>
      </c>
      <c r="V132" s="14" cm="1">
        <f t="array" ref="V132">INT(SUMPRODUCT(--ISNUMBER(SEARCH(abortion,C132)))&gt;0)</f>
        <v>0</v>
      </c>
      <c r="W132" s="14" cm="1">
        <f t="array" ref="W132">INT(SUMPRODUCT(--ISNUMBER(SEARCH(trump,C132)))&gt;0)</f>
        <v>0</v>
      </c>
      <c r="X132" s="14" cm="1">
        <f t="array" ref="X132">INT(SUMPRODUCT(--ISNUMBER(SEARCH(voting,C132)))&gt;0)</f>
        <v>1</v>
      </c>
      <c r="Y132" s="14" cm="1">
        <f t="array" ref="Y132">INT(SUMPRODUCT(--ISNUMBER(SEARCH(democrattrigger,C132)))&gt;0)</f>
        <v>0</v>
      </c>
      <c r="Z132" s="14" cm="1">
        <f t="array" ref="Z132">INT(SUMPRODUCT(--ISNUMBER(SEARCH(bipartisan,C132)))&gt;0)</f>
        <v>0</v>
      </c>
      <c r="AA132" s="14">
        <f t="shared" si="2"/>
        <v>0</v>
      </c>
      <c r="AB132" s="14"/>
      <c r="AC132" s="30" t="s">
        <v>223</v>
      </c>
      <c r="AD132" s="37" t="s">
        <v>223</v>
      </c>
    </row>
    <row r="133" spans="1:30" x14ac:dyDescent="0.25">
      <c r="A133" s="36">
        <v>2925</v>
      </c>
      <c r="B133" s="14" t="s">
        <v>5875</v>
      </c>
      <c r="C133" s="14" t="s">
        <v>5876</v>
      </c>
      <c r="D133" s="17">
        <v>44116</v>
      </c>
      <c r="E133" s="14" t="s">
        <v>30</v>
      </c>
      <c r="F133" s="14">
        <v>99</v>
      </c>
      <c r="G133" s="14">
        <v>49</v>
      </c>
      <c r="H133" s="14">
        <v>13</v>
      </c>
      <c r="I133" s="14">
        <v>7</v>
      </c>
      <c r="J133" s="14" t="s">
        <v>204</v>
      </c>
      <c r="K133" s="14" cm="1">
        <f t="array" ref="K133">INT(SUMPRODUCT(--ISNUMBER(SEARCH(economy,C133)))&gt;0)</f>
        <v>0</v>
      </c>
      <c r="L133" s="14" cm="1">
        <f t="array" ref="L133">INT(SUMPRODUCT(--ISNUMBER(SEARCH(healthcare,C133)))&gt;0)</f>
        <v>0</v>
      </c>
      <c r="M133" s="14" cm="1">
        <f t="array" ref="M133">INT(SUMPRODUCT(--ISNUMBER(SEARCH(supreme,C133)))&gt;0)</f>
        <v>0</v>
      </c>
      <c r="N133" s="14" cm="1">
        <f t="array" ref="N133">INT(SUMPRODUCT(--ISNUMBER(SEARCH(covid,C133)))&gt;0)</f>
        <v>0</v>
      </c>
      <c r="O133" s="14" cm="1">
        <f t="array" ref="O133">INT(SUMPRODUCT(--ISNUMBER(SEARCH(violent,C133)))&gt;0)</f>
        <v>0</v>
      </c>
      <c r="P133" s="14" cm="1">
        <f t="array" ref="P133">INT(SUMPRODUCT(--ISNUMBER(SEARCH(foreign,C133)))&gt;0)</f>
        <v>0</v>
      </c>
      <c r="Q133" s="14" cm="1">
        <f t="array" ref="Q133">INT(SUMPRODUCT(--ISNUMBER(SEARCH(gun,C133)))&gt;0)</f>
        <v>0</v>
      </c>
      <c r="R133" s="14" cm="1">
        <f t="array" ref="R133">INT(SUMPRODUCT(--ISNUMBER(SEARCH(race,C133)))&gt;0)</f>
        <v>0</v>
      </c>
      <c r="S133" s="14" cm="1">
        <f t="array" ref="S133">INT(SUMPRODUCT(--ISNUMBER(SEARCH(immigration,C133)))&gt;0)</f>
        <v>0</v>
      </c>
      <c r="T133" s="14" cm="1">
        <f t="array" ref="T133">INT(SUMPRODUCT(--ISNUMBER(SEARCH(econineq,C134)))&gt;0)</f>
        <v>0</v>
      </c>
      <c r="U133" s="14" cm="1">
        <f t="array" ref="U133">INT(SUMPRODUCT(--ISNUMBER(SEARCH(climate,C133)))&gt;0)</f>
        <v>0</v>
      </c>
      <c r="V133" s="14" cm="1">
        <f t="array" ref="V133">INT(SUMPRODUCT(--ISNUMBER(SEARCH(abortion,C133)))&gt;0)</f>
        <v>0</v>
      </c>
      <c r="W133" s="14" cm="1">
        <f t="array" ref="W133">INT(SUMPRODUCT(--ISNUMBER(SEARCH(trump,C133)))&gt;0)</f>
        <v>0</v>
      </c>
      <c r="X133" s="14" cm="1">
        <f t="array" ref="X133">INT(SUMPRODUCT(--ISNUMBER(SEARCH(voting,C133)))&gt;0)</f>
        <v>1</v>
      </c>
      <c r="Y133" s="14" cm="1">
        <f t="array" ref="Y133">INT(SUMPRODUCT(--ISNUMBER(SEARCH(democrattrigger,C133)))&gt;0)</f>
        <v>0</v>
      </c>
      <c r="Z133" s="14" cm="1">
        <f t="array" ref="Z133">INT(SUMPRODUCT(--ISNUMBER(SEARCH(bipartisan,C133)))&gt;0)</f>
        <v>0</v>
      </c>
      <c r="AA133" s="14">
        <f t="shared" si="2"/>
        <v>0</v>
      </c>
      <c r="AB133" s="14"/>
      <c r="AC133" s="30">
        <v>0</v>
      </c>
      <c r="AD133" s="37">
        <v>1</v>
      </c>
    </row>
    <row r="134" spans="1:30" x14ac:dyDescent="0.25">
      <c r="A134" s="36">
        <v>2926</v>
      </c>
      <c r="B134" s="14" t="s">
        <v>5877</v>
      </c>
      <c r="C134" s="14" t="s">
        <v>5878</v>
      </c>
      <c r="D134" s="17">
        <v>44116</v>
      </c>
      <c r="E134" s="14" t="s">
        <v>70</v>
      </c>
      <c r="F134" s="14">
        <v>7</v>
      </c>
      <c r="G134" s="14">
        <v>1</v>
      </c>
      <c r="H134" s="14">
        <v>13</v>
      </c>
      <c r="I134" s="14">
        <v>7</v>
      </c>
      <c r="J134" s="14" t="s">
        <v>204</v>
      </c>
      <c r="K134" s="14" cm="1">
        <f t="array" ref="K134">INT(SUMPRODUCT(--ISNUMBER(SEARCH(economy,C134)))&gt;0)</f>
        <v>0</v>
      </c>
      <c r="L134" s="14" cm="1">
        <f t="array" ref="L134">INT(SUMPRODUCT(--ISNUMBER(SEARCH(healthcare,C134)))&gt;0)</f>
        <v>0</v>
      </c>
      <c r="M134" s="14" cm="1">
        <f t="array" ref="M134">INT(SUMPRODUCT(--ISNUMBER(SEARCH(supreme,C134)))&gt;0)</f>
        <v>0</v>
      </c>
      <c r="N134" s="14" cm="1">
        <f t="array" ref="N134">INT(SUMPRODUCT(--ISNUMBER(SEARCH(covid,C134)))&gt;0)</f>
        <v>0</v>
      </c>
      <c r="O134" s="14" cm="1">
        <f t="array" ref="O134">INT(SUMPRODUCT(--ISNUMBER(SEARCH(violent,C134)))&gt;0)</f>
        <v>0</v>
      </c>
      <c r="P134" s="14" cm="1">
        <f t="array" ref="P134">INT(SUMPRODUCT(--ISNUMBER(SEARCH(foreign,C134)))&gt;0)</f>
        <v>0</v>
      </c>
      <c r="Q134" s="14" cm="1">
        <f t="array" ref="Q134">INT(SUMPRODUCT(--ISNUMBER(SEARCH(gun,C134)))&gt;0)</f>
        <v>0</v>
      </c>
      <c r="R134" s="14" cm="1">
        <f t="array" ref="R134">INT(SUMPRODUCT(--ISNUMBER(SEARCH(race,C134)))&gt;0)</f>
        <v>0</v>
      </c>
      <c r="S134" s="14" cm="1">
        <f t="array" ref="S134">INT(SUMPRODUCT(--ISNUMBER(SEARCH(immigration,C134)))&gt;0)</f>
        <v>0</v>
      </c>
      <c r="T134" s="14" cm="1">
        <f t="array" ref="T134">INT(SUMPRODUCT(--ISNUMBER(SEARCH(econineq,C135)))&gt;0)</f>
        <v>0</v>
      </c>
      <c r="U134" s="14" cm="1">
        <f t="array" ref="U134">INT(SUMPRODUCT(--ISNUMBER(SEARCH(climate,C134)))&gt;0)</f>
        <v>0</v>
      </c>
      <c r="V134" s="14" cm="1">
        <f t="array" ref="V134">INT(SUMPRODUCT(--ISNUMBER(SEARCH(abortion,C134)))&gt;0)</f>
        <v>0</v>
      </c>
      <c r="W134" s="14" cm="1">
        <f t="array" ref="W134">INT(SUMPRODUCT(--ISNUMBER(SEARCH(trump,C134)))&gt;0)</f>
        <v>0</v>
      </c>
      <c r="X134" s="14" cm="1">
        <f t="array" ref="X134">INT(SUMPRODUCT(--ISNUMBER(SEARCH(voting,C134)))&gt;0)</f>
        <v>1</v>
      </c>
      <c r="Y134" s="14" cm="1">
        <f t="array" ref="Y134">INT(SUMPRODUCT(--ISNUMBER(SEARCH(democrattrigger,C134)))&gt;0)</f>
        <v>0</v>
      </c>
      <c r="Z134" s="14" cm="1">
        <f t="array" ref="Z134">INT(SUMPRODUCT(--ISNUMBER(SEARCH(bipartisan,C134)))&gt;0)</f>
        <v>0</v>
      </c>
      <c r="AA134" s="14">
        <f t="shared" si="2"/>
        <v>0</v>
      </c>
      <c r="AB134" s="14"/>
      <c r="AC134" s="30" t="s">
        <v>223</v>
      </c>
      <c r="AD134" s="37" t="s">
        <v>223</v>
      </c>
    </row>
    <row r="135" spans="1:30" x14ac:dyDescent="0.25">
      <c r="A135" s="36">
        <v>2927</v>
      </c>
      <c r="B135" s="14" t="s">
        <v>5879</v>
      </c>
      <c r="C135" s="14" t="s">
        <v>5880</v>
      </c>
      <c r="D135" s="17">
        <v>44116</v>
      </c>
      <c r="E135" s="14" t="s">
        <v>70</v>
      </c>
      <c r="F135" s="14">
        <v>9</v>
      </c>
      <c r="G135" s="14">
        <v>4</v>
      </c>
      <c r="H135" s="14">
        <v>13</v>
      </c>
      <c r="I135" s="14">
        <v>7</v>
      </c>
      <c r="J135" s="14" t="s">
        <v>204</v>
      </c>
      <c r="K135" s="14" cm="1">
        <f t="array" ref="K135">INT(SUMPRODUCT(--ISNUMBER(SEARCH(economy,C135)))&gt;0)</f>
        <v>0</v>
      </c>
      <c r="L135" s="14" cm="1">
        <f t="array" ref="L135">INT(SUMPRODUCT(--ISNUMBER(SEARCH(healthcare,C135)))&gt;0)</f>
        <v>0</v>
      </c>
      <c r="M135" s="14" cm="1">
        <f t="array" ref="M135">INT(SUMPRODUCT(--ISNUMBER(SEARCH(supreme,C135)))&gt;0)</f>
        <v>0</v>
      </c>
      <c r="N135" s="14" cm="1">
        <f t="array" ref="N135">INT(SUMPRODUCT(--ISNUMBER(SEARCH(covid,C135)))&gt;0)</f>
        <v>0</v>
      </c>
      <c r="O135" s="14" cm="1">
        <f t="array" ref="O135">INT(SUMPRODUCT(--ISNUMBER(SEARCH(violent,C135)))&gt;0)</f>
        <v>0</v>
      </c>
      <c r="P135" s="14" cm="1">
        <f t="array" ref="P135">INT(SUMPRODUCT(--ISNUMBER(SEARCH(foreign,C135)))&gt;0)</f>
        <v>0</v>
      </c>
      <c r="Q135" s="14" cm="1">
        <f t="array" ref="Q135">INT(SUMPRODUCT(--ISNUMBER(SEARCH(gun,C135)))&gt;0)</f>
        <v>0</v>
      </c>
      <c r="R135" s="14" cm="1">
        <f t="array" ref="R135">INT(SUMPRODUCT(--ISNUMBER(SEARCH(race,C135)))&gt;0)</f>
        <v>0</v>
      </c>
      <c r="S135" s="14" cm="1">
        <f t="array" ref="S135">INT(SUMPRODUCT(--ISNUMBER(SEARCH(immigration,C135)))&gt;0)</f>
        <v>0</v>
      </c>
      <c r="T135" s="14" cm="1">
        <f t="array" ref="T135">INT(SUMPRODUCT(--ISNUMBER(SEARCH(econineq,C136)))&gt;0)</f>
        <v>0</v>
      </c>
      <c r="U135" s="14" cm="1">
        <f t="array" ref="U135">INT(SUMPRODUCT(--ISNUMBER(SEARCH(climate,C135)))&gt;0)</f>
        <v>0</v>
      </c>
      <c r="V135" s="14" cm="1">
        <f t="array" ref="V135">INT(SUMPRODUCT(--ISNUMBER(SEARCH(abortion,C135)))&gt;0)</f>
        <v>0</v>
      </c>
      <c r="W135" s="14" cm="1">
        <f t="array" ref="W135">INT(SUMPRODUCT(--ISNUMBER(SEARCH(trump,C135)))&gt;0)</f>
        <v>0</v>
      </c>
      <c r="X135" s="14" cm="1">
        <f t="array" ref="X135">INT(SUMPRODUCT(--ISNUMBER(SEARCH(voting,C135)))&gt;0)</f>
        <v>0</v>
      </c>
      <c r="Y135" s="14" cm="1">
        <f t="array" ref="Y135">INT(SUMPRODUCT(--ISNUMBER(SEARCH(democrattrigger,C135)))&gt;0)</f>
        <v>0</v>
      </c>
      <c r="Z135" s="14" cm="1">
        <f t="array" ref="Z135">INT(SUMPRODUCT(--ISNUMBER(SEARCH(bipartisan,C135)))&gt;0)</f>
        <v>0</v>
      </c>
      <c r="AA135" s="14">
        <f t="shared" si="2"/>
        <v>1</v>
      </c>
      <c r="AB135" s="14"/>
      <c r="AC135" s="30">
        <v>1</v>
      </c>
      <c r="AD135" s="37">
        <v>0</v>
      </c>
    </row>
    <row r="136" spans="1:30" x14ac:dyDescent="0.25">
      <c r="A136" s="36">
        <v>2928</v>
      </c>
      <c r="B136" s="14" t="s">
        <v>5881</v>
      </c>
      <c r="C136" s="14" t="s">
        <v>5882</v>
      </c>
      <c r="D136" s="17">
        <v>44116</v>
      </c>
      <c r="E136" s="14" t="s">
        <v>70</v>
      </c>
      <c r="F136" s="14">
        <v>4</v>
      </c>
      <c r="G136" s="14">
        <v>1</v>
      </c>
      <c r="H136" s="14">
        <v>13</v>
      </c>
      <c r="I136" s="14">
        <v>7</v>
      </c>
      <c r="J136" s="14" t="s">
        <v>204</v>
      </c>
      <c r="K136" s="14" cm="1">
        <f t="array" ref="K136">INT(SUMPRODUCT(--ISNUMBER(SEARCH(economy,C136)))&gt;0)</f>
        <v>1</v>
      </c>
      <c r="L136" s="14" cm="1">
        <f t="array" ref="L136">INT(SUMPRODUCT(--ISNUMBER(SEARCH(healthcare,C136)))&gt;0)</f>
        <v>0</v>
      </c>
      <c r="M136" s="14" cm="1">
        <f t="array" ref="M136">INT(SUMPRODUCT(--ISNUMBER(SEARCH(supreme,C136)))&gt;0)</f>
        <v>0</v>
      </c>
      <c r="N136" s="14" cm="1">
        <f t="array" ref="N136">INT(SUMPRODUCT(--ISNUMBER(SEARCH(covid,C136)))&gt;0)</f>
        <v>0</v>
      </c>
      <c r="O136" s="14" cm="1">
        <f t="array" ref="O136">INT(SUMPRODUCT(--ISNUMBER(SEARCH(violent,C136)))&gt;0)</f>
        <v>0</v>
      </c>
      <c r="P136" s="14" cm="1">
        <f t="array" ref="P136">INT(SUMPRODUCT(--ISNUMBER(SEARCH(foreign,C136)))&gt;0)</f>
        <v>0</v>
      </c>
      <c r="Q136" s="14" cm="1">
        <f t="array" ref="Q136">INT(SUMPRODUCT(--ISNUMBER(SEARCH(gun,C136)))&gt;0)</f>
        <v>0</v>
      </c>
      <c r="R136" s="14" cm="1">
        <f t="array" ref="R136">INT(SUMPRODUCT(--ISNUMBER(SEARCH(race,C136)))&gt;0)</f>
        <v>0</v>
      </c>
      <c r="S136" s="14" cm="1">
        <f t="array" ref="S136">INT(SUMPRODUCT(--ISNUMBER(SEARCH(immigration,C136)))&gt;0)</f>
        <v>0</v>
      </c>
      <c r="T136" s="14" cm="1">
        <f t="array" ref="T136">INT(SUMPRODUCT(--ISNUMBER(SEARCH(econineq,C137)))&gt;0)</f>
        <v>0</v>
      </c>
      <c r="U136" s="14" cm="1">
        <f t="array" ref="U136">INT(SUMPRODUCT(--ISNUMBER(SEARCH(climate,C136)))&gt;0)</f>
        <v>0</v>
      </c>
      <c r="V136" s="14" cm="1">
        <f t="array" ref="V136">INT(SUMPRODUCT(--ISNUMBER(SEARCH(abortion,C136)))&gt;0)</f>
        <v>0</v>
      </c>
      <c r="W136" s="14" cm="1">
        <f t="array" ref="W136">INT(SUMPRODUCT(--ISNUMBER(SEARCH(trump,C136)))&gt;0)</f>
        <v>0</v>
      </c>
      <c r="X136" s="14" cm="1">
        <f t="array" ref="X136">INT(SUMPRODUCT(--ISNUMBER(SEARCH(voting,C136)))&gt;0)</f>
        <v>0</v>
      </c>
      <c r="Y136" s="14" cm="1">
        <f t="array" ref="Y136">INT(SUMPRODUCT(--ISNUMBER(SEARCH(democrattrigger,C136)))&gt;0)</f>
        <v>0</v>
      </c>
      <c r="Z136" s="14" cm="1">
        <f t="array" ref="Z136">INT(SUMPRODUCT(--ISNUMBER(SEARCH(bipartisan,C136)))&gt;0)</f>
        <v>0</v>
      </c>
      <c r="AA136" s="14">
        <f t="shared" si="2"/>
        <v>0</v>
      </c>
      <c r="AB136" s="14"/>
      <c r="AC136" s="30" t="s">
        <v>223</v>
      </c>
      <c r="AD136" s="37" t="s">
        <v>223</v>
      </c>
    </row>
    <row r="137" spans="1:30" x14ac:dyDescent="0.25">
      <c r="A137" s="36">
        <v>2929</v>
      </c>
      <c r="B137" s="14" t="s">
        <v>5883</v>
      </c>
      <c r="C137" s="14" t="s">
        <v>5884</v>
      </c>
      <c r="D137" s="17">
        <v>44116</v>
      </c>
      <c r="E137" s="14" t="s">
        <v>70</v>
      </c>
      <c r="F137" s="14">
        <v>4</v>
      </c>
      <c r="G137" s="14">
        <v>1</v>
      </c>
      <c r="H137" s="14">
        <v>13</v>
      </c>
      <c r="I137" s="14">
        <v>7</v>
      </c>
      <c r="J137" s="14" t="s">
        <v>204</v>
      </c>
      <c r="K137" s="14" cm="1">
        <f t="array" ref="K137">INT(SUMPRODUCT(--ISNUMBER(SEARCH(economy,C137)))&gt;0)</f>
        <v>0</v>
      </c>
      <c r="L137" s="14" cm="1">
        <f t="array" ref="L137">INT(SUMPRODUCT(--ISNUMBER(SEARCH(healthcare,C137)))&gt;0)</f>
        <v>1</v>
      </c>
      <c r="M137" s="14" cm="1">
        <f t="array" ref="M137">INT(SUMPRODUCT(--ISNUMBER(SEARCH(supreme,C137)))&gt;0)</f>
        <v>0</v>
      </c>
      <c r="N137" s="14" cm="1">
        <f t="array" ref="N137">INT(SUMPRODUCT(--ISNUMBER(SEARCH(covid,C137)))&gt;0)</f>
        <v>0</v>
      </c>
      <c r="O137" s="14" cm="1">
        <f t="array" ref="O137">INT(SUMPRODUCT(--ISNUMBER(SEARCH(violent,C137)))&gt;0)</f>
        <v>0</v>
      </c>
      <c r="P137" s="14" cm="1">
        <f t="array" ref="P137">INT(SUMPRODUCT(--ISNUMBER(SEARCH(foreign,C137)))&gt;0)</f>
        <v>0</v>
      </c>
      <c r="Q137" s="14" cm="1">
        <f t="array" ref="Q137">INT(SUMPRODUCT(--ISNUMBER(SEARCH(gun,C137)))&gt;0)</f>
        <v>0</v>
      </c>
      <c r="R137" s="14" cm="1">
        <f t="array" ref="R137">INT(SUMPRODUCT(--ISNUMBER(SEARCH(race,C137)))&gt;0)</f>
        <v>0</v>
      </c>
      <c r="S137" s="14" cm="1">
        <f t="array" ref="S137">INT(SUMPRODUCT(--ISNUMBER(SEARCH(immigration,C137)))&gt;0)</f>
        <v>0</v>
      </c>
      <c r="T137" s="14" cm="1">
        <f t="array" ref="T137">INT(SUMPRODUCT(--ISNUMBER(SEARCH(econineq,C138)))&gt;0)</f>
        <v>0</v>
      </c>
      <c r="U137" s="14" cm="1">
        <f t="array" ref="U137">INT(SUMPRODUCT(--ISNUMBER(SEARCH(climate,C137)))&gt;0)</f>
        <v>0</v>
      </c>
      <c r="V137" s="14" cm="1">
        <f t="array" ref="V137">INT(SUMPRODUCT(--ISNUMBER(SEARCH(abortion,C137)))&gt;0)</f>
        <v>0</v>
      </c>
      <c r="W137" s="14" cm="1">
        <f t="array" ref="W137">INT(SUMPRODUCT(--ISNUMBER(SEARCH(trump,C137)))&gt;0)</f>
        <v>0</v>
      </c>
      <c r="X137" s="14" cm="1">
        <f t="array" ref="X137">INT(SUMPRODUCT(--ISNUMBER(SEARCH(voting,C137)))&gt;0)</f>
        <v>1</v>
      </c>
      <c r="Y137" s="14" cm="1">
        <f t="array" ref="Y137">INT(SUMPRODUCT(--ISNUMBER(SEARCH(democrattrigger,C137)))&gt;0)</f>
        <v>0</v>
      </c>
      <c r="Z137" s="14" cm="1">
        <f t="array" ref="Z137">INT(SUMPRODUCT(--ISNUMBER(SEARCH(bipartisan,C137)))&gt;0)</f>
        <v>0</v>
      </c>
      <c r="AA137" s="14">
        <f t="shared" si="2"/>
        <v>0</v>
      </c>
      <c r="AB137" s="14"/>
      <c r="AC137" s="30" t="s">
        <v>223</v>
      </c>
      <c r="AD137" s="37" t="s">
        <v>223</v>
      </c>
    </row>
    <row r="138" spans="1:30" x14ac:dyDescent="0.25">
      <c r="A138" s="36">
        <v>2930</v>
      </c>
      <c r="B138" s="14" t="s">
        <v>5885</v>
      </c>
      <c r="C138" s="14" t="s">
        <v>5886</v>
      </c>
      <c r="D138" s="17">
        <v>44116</v>
      </c>
      <c r="E138" s="14" t="s">
        <v>70</v>
      </c>
      <c r="F138" s="14">
        <v>5</v>
      </c>
      <c r="G138" s="14">
        <v>1</v>
      </c>
      <c r="H138" s="14">
        <v>13</v>
      </c>
      <c r="I138" s="14">
        <v>7</v>
      </c>
      <c r="J138" s="14" t="s">
        <v>204</v>
      </c>
      <c r="K138" s="14" cm="1">
        <f t="array" ref="K138">INT(SUMPRODUCT(--ISNUMBER(SEARCH(economy,C138)))&gt;0)</f>
        <v>0</v>
      </c>
      <c r="L138" s="14" cm="1">
        <f t="array" ref="L138">INT(SUMPRODUCT(--ISNUMBER(SEARCH(healthcare,C138)))&gt;0)</f>
        <v>0</v>
      </c>
      <c r="M138" s="14" cm="1">
        <f t="array" ref="M138">INT(SUMPRODUCT(--ISNUMBER(SEARCH(supreme,C138)))&gt;0)</f>
        <v>0</v>
      </c>
      <c r="N138" s="14" cm="1">
        <f t="array" ref="N138">INT(SUMPRODUCT(--ISNUMBER(SEARCH(covid,C138)))&gt;0)</f>
        <v>0</v>
      </c>
      <c r="O138" s="14" cm="1">
        <f t="array" ref="O138">INT(SUMPRODUCT(--ISNUMBER(SEARCH(violent,C138)))&gt;0)</f>
        <v>0</v>
      </c>
      <c r="P138" s="14" cm="1">
        <f t="array" ref="P138">INT(SUMPRODUCT(--ISNUMBER(SEARCH(foreign,C138)))&gt;0)</f>
        <v>0</v>
      </c>
      <c r="Q138" s="14" cm="1">
        <f t="array" ref="Q138">INT(SUMPRODUCT(--ISNUMBER(SEARCH(gun,C138)))&gt;0)</f>
        <v>0</v>
      </c>
      <c r="R138" s="14" cm="1">
        <f t="array" ref="R138">INT(SUMPRODUCT(--ISNUMBER(SEARCH(race,C138)))&gt;0)</f>
        <v>0</v>
      </c>
      <c r="S138" s="14" cm="1">
        <f t="array" ref="S138">INT(SUMPRODUCT(--ISNUMBER(SEARCH(immigration,C138)))&gt;0)</f>
        <v>0</v>
      </c>
      <c r="T138" s="14" cm="1">
        <f t="array" ref="T138">INT(SUMPRODUCT(--ISNUMBER(SEARCH(econineq,C139)))&gt;0)</f>
        <v>1</v>
      </c>
      <c r="U138" s="14" cm="1">
        <f t="array" ref="U138">INT(SUMPRODUCT(--ISNUMBER(SEARCH(climate,C138)))&gt;0)</f>
        <v>0</v>
      </c>
      <c r="V138" s="14" cm="1">
        <f t="array" ref="V138">INT(SUMPRODUCT(--ISNUMBER(SEARCH(abortion,C138)))&gt;0)</f>
        <v>0</v>
      </c>
      <c r="W138" s="14" cm="1">
        <f t="array" ref="W138">INT(SUMPRODUCT(--ISNUMBER(SEARCH(trump,C138)))&gt;0)</f>
        <v>0</v>
      </c>
      <c r="X138" s="14" cm="1">
        <f t="array" ref="X138">INT(SUMPRODUCT(--ISNUMBER(SEARCH(voting,C138)))&gt;0)</f>
        <v>0</v>
      </c>
      <c r="Y138" s="14" cm="1">
        <f t="array" ref="Y138">INT(SUMPRODUCT(--ISNUMBER(SEARCH(democrattrigger,C138)))&gt;0)</f>
        <v>0</v>
      </c>
      <c r="Z138" s="14" cm="1">
        <f t="array" ref="Z138">INT(SUMPRODUCT(--ISNUMBER(SEARCH(bipartisan,C138)))&gt;0)</f>
        <v>0</v>
      </c>
      <c r="AA138" s="14">
        <f t="shared" si="2"/>
        <v>0</v>
      </c>
      <c r="AB138" s="14"/>
      <c r="AC138" s="30">
        <v>1</v>
      </c>
      <c r="AD138" s="37">
        <v>0</v>
      </c>
    </row>
    <row r="139" spans="1:30" x14ac:dyDescent="0.25">
      <c r="A139" s="36">
        <v>2931</v>
      </c>
      <c r="B139" s="14" t="s">
        <v>5887</v>
      </c>
      <c r="C139" s="14" t="s">
        <v>5888</v>
      </c>
      <c r="D139" s="17">
        <v>44116</v>
      </c>
      <c r="E139" s="14" t="s">
        <v>70</v>
      </c>
      <c r="F139" s="14">
        <v>5</v>
      </c>
      <c r="G139" s="14">
        <v>1</v>
      </c>
      <c r="H139" s="14">
        <v>13</v>
      </c>
      <c r="I139" s="14">
        <v>7</v>
      </c>
      <c r="J139" s="14" t="s">
        <v>204</v>
      </c>
      <c r="K139" s="14" cm="1">
        <f t="array" ref="K139">INT(SUMPRODUCT(--ISNUMBER(SEARCH(economy,C139)))&gt;0)</f>
        <v>1</v>
      </c>
      <c r="L139" s="14" cm="1">
        <f t="array" ref="L139">INT(SUMPRODUCT(--ISNUMBER(SEARCH(healthcare,C139)))&gt;0)</f>
        <v>0</v>
      </c>
      <c r="M139" s="14" cm="1">
        <f t="array" ref="M139">INT(SUMPRODUCT(--ISNUMBER(SEARCH(supreme,C139)))&gt;0)</f>
        <v>0</v>
      </c>
      <c r="N139" s="14" cm="1">
        <f t="array" ref="N139">INT(SUMPRODUCT(--ISNUMBER(SEARCH(covid,C139)))&gt;0)</f>
        <v>0</v>
      </c>
      <c r="O139" s="14" cm="1">
        <f t="array" ref="O139">INT(SUMPRODUCT(--ISNUMBER(SEARCH(violent,C139)))&gt;0)</f>
        <v>0</v>
      </c>
      <c r="P139" s="14" cm="1">
        <f t="array" ref="P139">INT(SUMPRODUCT(--ISNUMBER(SEARCH(foreign,C139)))&gt;0)</f>
        <v>0</v>
      </c>
      <c r="Q139" s="14" cm="1">
        <f t="array" ref="Q139">INT(SUMPRODUCT(--ISNUMBER(SEARCH(gun,C139)))&gt;0)</f>
        <v>0</v>
      </c>
      <c r="R139" s="14" cm="1">
        <f t="array" ref="R139">INT(SUMPRODUCT(--ISNUMBER(SEARCH(race,C139)))&gt;0)</f>
        <v>0</v>
      </c>
      <c r="S139" s="14" cm="1">
        <f t="array" ref="S139">INT(SUMPRODUCT(--ISNUMBER(SEARCH(immigration,C139)))&gt;0)</f>
        <v>0</v>
      </c>
      <c r="T139" s="14" cm="1">
        <f t="array" ref="T139">INT(SUMPRODUCT(--ISNUMBER(SEARCH(econineq,C140)))&gt;0)</f>
        <v>0</v>
      </c>
      <c r="U139" s="14" cm="1">
        <f t="array" ref="U139">INT(SUMPRODUCT(--ISNUMBER(SEARCH(climate,C139)))&gt;0)</f>
        <v>0</v>
      </c>
      <c r="V139" s="14" cm="1">
        <f t="array" ref="V139">INT(SUMPRODUCT(--ISNUMBER(SEARCH(abortion,C139)))&gt;0)</f>
        <v>0</v>
      </c>
      <c r="W139" s="14" cm="1">
        <f t="array" ref="W139">INT(SUMPRODUCT(--ISNUMBER(SEARCH(trump,C139)))&gt;0)</f>
        <v>0</v>
      </c>
      <c r="X139" s="14" cm="1">
        <f t="array" ref="X139">INT(SUMPRODUCT(--ISNUMBER(SEARCH(voting,C139)))&gt;0)</f>
        <v>0</v>
      </c>
      <c r="Y139" s="14" cm="1">
        <f t="array" ref="Y139">INT(SUMPRODUCT(--ISNUMBER(SEARCH(democrattrigger,C139)))&gt;0)</f>
        <v>0</v>
      </c>
      <c r="Z139" s="14" cm="1">
        <f t="array" ref="Z139">INT(SUMPRODUCT(--ISNUMBER(SEARCH(bipartisan,C139)))&gt;0)</f>
        <v>0</v>
      </c>
      <c r="AA139" s="14">
        <f t="shared" si="2"/>
        <v>0</v>
      </c>
      <c r="AB139" s="14"/>
      <c r="AC139" s="30" t="s">
        <v>223</v>
      </c>
      <c r="AD139" s="37" t="s">
        <v>223</v>
      </c>
    </row>
    <row r="140" spans="1:30" x14ac:dyDescent="0.25">
      <c r="A140" s="36">
        <v>2932</v>
      </c>
      <c r="B140" s="14" t="s">
        <v>5889</v>
      </c>
      <c r="C140" s="14" t="s">
        <v>5890</v>
      </c>
      <c r="D140" s="17">
        <v>44116</v>
      </c>
      <c r="E140" s="14" t="s">
        <v>70</v>
      </c>
      <c r="F140" s="14">
        <v>4</v>
      </c>
      <c r="G140" s="14">
        <v>1</v>
      </c>
      <c r="H140" s="14">
        <v>13</v>
      </c>
      <c r="I140" s="14">
        <v>7</v>
      </c>
      <c r="J140" s="14" t="s">
        <v>204</v>
      </c>
      <c r="K140" s="14" cm="1">
        <f t="array" ref="K140">INT(SUMPRODUCT(--ISNUMBER(SEARCH(economy,C140)))&gt;0)</f>
        <v>0</v>
      </c>
      <c r="L140" s="14" cm="1">
        <f t="array" ref="L140">INT(SUMPRODUCT(--ISNUMBER(SEARCH(healthcare,C140)))&gt;0)</f>
        <v>0</v>
      </c>
      <c r="M140" s="14" cm="1">
        <f t="array" ref="M140">INT(SUMPRODUCT(--ISNUMBER(SEARCH(supreme,C140)))&gt;0)</f>
        <v>0</v>
      </c>
      <c r="N140" s="14" cm="1">
        <f t="array" ref="N140">INT(SUMPRODUCT(--ISNUMBER(SEARCH(covid,C140)))&gt;0)</f>
        <v>0</v>
      </c>
      <c r="O140" s="14" cm="1">
        <f t="array" ref="O140">INT(SUMPRODUCT(--ISNUMBER(SEARCH(violent,C140)))&gt;0)</f>
        <v>0</v>
      </c>
      <c r="P140" s="14" cm="1">
        <f t="array" ref="P140">INT(SUMPRODUCT(--ISNUMBER(SEARCH(foreign,C140)))&gt;0)</f>
        <v>0</v>
      </c>
      <c r="Q140" s="14" cm="1">
        <f t="array" ref="Q140">INT(SUMPRODUCT(--ISNUMBER(SEARCH(gun,C140)))&gt;0)</f>
        <v>0</v>
      </c>
      <c r="R140" s="14" cm="1">
        <f t="array" ref="R140">INT(SUMPRODUCT(--ISNUMBER(SEARCH(race,C140)))&gt;0)</f>
        <v>0</v>
      </c>
      <c r="S140" s="14" cm="1">
        <f t="array" ref="S140">INT(SUMPRODUCT(--ISNUMBER(SEARCH(immigration,C140)))&gt;0)</f>
        <v>0</v>
      </c>
      <c r="T140" s="14" cm="1">
        <f t="array" ref="T140">INT(SUMPRODUCT(--ISNUMBER(SEARCH(econineq,C141)))&gt;0)</f>
        <v>0</v>
      </c>
      <c r="U140" s="14" cm="1">
        <f t="array" ref="U140">INT(SUMPRODUCT(--ISNUMBER(SEARCH(climate,C140)))&gt;0)</f>
        <v>0</v>
      </c>
      <c r="V140" s="14" cm="1">
        <f t="array" ref="V140">INT(SUMPRODUCT(--ISNUMBER(SEARCH(abortion,C140)))&gt;0)</f>
        <v>0</v>
      </c>
      <c r="W140" s="14" cm="1">
        <f t="array" ref="W140">INT(SUMPRODUCT(--ISNUMBER(SEARCH(trump,C140)))&gt;0)</f>
        <v>0</v>
      </c>
      <c r="X140" s="14" cm="1">
        <f t="array" ref="X140">INT(SUMPRODUCT(--ISNUMBER(SEARCH(voting,C140)))&gt;0)</f>
        <v>1</v>
      </c>
      <c r="Y140" s="14" cm="1">
        <f t="array" ref="Y140">INT(SUMPRODUCT(--ISNUMBER(SEARCH(democrattrigger,C140)))&gt;0)</f>
        <v>0</v>
      </c>
      <c r="Z140" s="14" cm="1">
        <f t="array" ref="Z140">INT(SUMPRODUCT(--ISNUMBER(SEARCH(bipartisan,C140)))&gt;0)</f>
        <v>0</v>
      </c>
      <c r="AA140" s="14">
        <f t="shared" si="2"/>
        <v>0</v>
      </c>
      <c r="AB140" s="14"/>
      <c r="AC140" s="30">
        <v>0</v>
      </c>
      <c r="AD140" s="37">
        <v>1</v>
      </c>
    </row>
    <row r="141" spans="1:30" x14ac:dyDescent="0.25">
      <c r="A141" s="36">
        <v>2933</v>
      </c>
      <c r="B141" s="14" t="s">
        <v>5891</v>
      </c>
      <c r="C141" s="14" t="s">
        <v>5892</v>
      </c>
      <c r="D141" s="17">
        <v>44116</v>
      </c>
      <c r="E141" s="14" t="s">
        <v>30</v>
      </c>
      <c r="F141" s="14">
        <v>20</v>
      </c>
      <c r="G141" s="14">
        <v>4</v>
      </c>
      <c r="H141" s="14">
        <v>13</v>
      </c>
      <c r="I141" s="14">
        <v>7</v>
      </c>
      <c r="J141" s="14" t="s">
        <v>204</v>
      </c>
      <c r="K141" s="14" cm="1">
        <f t="array" ref="K141">INT(SUMPRODUCT(--ISNUMBER(SEARCH(economy,C141)))&gt;0)</f>
        <v>0</v>
      </c>
      <c r="L141" s="14" cm="1">
        <f t="array" ref="L141">INT(SUMPRODUCT(--ISNUMBER(SEARCH(healthcare,C141)))&gt;0)</f>
        <v>0</v>
      </c>
      <c r="M141" s="14" cm="1">
        <f t="array" ref="M141">INT(SUMPRODUCT(--ISNUMBER(SEARCH(supreme,C141)))&gt;0)</f>
        <v>0</v>
      </c>
      <c r="N141" s="14" cm="1">
        <f t="array" ref="N141">INT(SUMPRODUCT(--ISNUMBER(SEARCH(covid,C141)))&gt;0)</f>
        <v>0</v>
      </c>
      <c r="O141" s="14" cm="1">
        <f t="array" ref="O141">INT(SUMPRODUCT(--ISNUMBER(SEARCH(violent,C141)))&gt;0)</f>
        <v>0</v>
      </c>
      <c r="P141" s="14" cm="1">
        <f t="array" ref="P141">INT(SUMPRODUCT(--ISNUMBER(SEARCH(foreign,C141)))&gt;0)</f>
        <v>0</v>
      </c>
      <c r="Q141" s="14" cm="1">
        <f t="array" ref="Q141">INT(SUMPRODUCT(--ISNUMBER(SEARCH(gun,C141)))&gt;0)</f>
        <v>0</v>
      </c>
      <c r="R141" s="14" cm="1">
        <f t="array" ref="R141">INT(SUMPRODUCT(--ISNUMBER(SEARCH(race,C141)))&gt;0)</f>
        <v>0</v>
      </c>
      <c r="S141" s="14" cm="1">
        <f t="array" ref="S141">INT(SUMPRODUCT(--ISNUMBER(SEARCH(immigration,C141)))&gt;0)</f>
        <v>0</v>
      </c>
      <c r="T141" s="14" cm="1">
        <f t="array" ref="T141">INT(SUMPRODUCT(--ISNUMBER(SEARCH(econineq,C142)))&gt;0)</f>
        <v>0</v>
      </c>
      <c r="U141" s="14" cm="1">
        <f t="array" ref="U141">INT(SUMPRODUCT(--ISNUMBER(SEARCH(climate,C141)))&gt;0)</f>
        <v>0</v>
      </c>
      <c r="V141" s="14" cm="1">
        <f t="array" ref="V141">INT(SUMPRODUCT(--ISNUMBER(SEARCH(abortion,C141)))&gt;0)</f>
        <v>0</v>
      </c>
      <c r="W141" s="14" cm="1">
        <f t="array" ref="W141">INT(SUMPRODUCT(--ISNUMBER(SEARCH(trump,C141)))&gt;0)</f>
        <v>0</v>
      </c>
      <c r="X141" s="14" cm="1">
        <f t="array" ref="X141">INT(SUMPRODUCT(--ISNUMBER(SEARCH(voting,C141)))&gt;0)</f>
        <v>1</v>
      </c>
      <c r="Y141" s="14" cm="1">
        <f t="array" ref="Y141">INT(SUMPRODUCT(--ISNUMBER(SEARCH(democrattrigger,C141)))&gt;0)</f>
        <v>0</v>
      </c>
      <c r="Z141" s="14" cm="1">
        <f t="array" ref="Z141">INT(SUMPRODUCT(--ISNUMBER(SEARCH(bipartisan,C141)))&gt;0)</f>
        <v>0</v>
      </c>
      <c r="AA141" s="14">
        <f t="shared" si="2"/>
        <v>0</v>
      </c>
      <c r="AB141" s="14"/>
      <c r="AC141" s="30" t="s">
        <v>223</v>
      </c>
      <c r="AD141" s="37" t="s">
        <v>223</v>
      </c>
    </row>
    <row r="142" spans="1:30" x14ac:dyDescent="0.25">
      <c r="A142" s="36">
        <v>2934</v>
      </c>
      <c r="B142" s="14" t="s">
        <v>5893</v>
      </c>
      <c r="C142" s="14" t="s">
        <v>5894</v>
      </c>
      <c r="D142" s="17">
        <v>44116</v>
      </c>
      <c r="E142" s="14" t="s">
        <v>30</v>
      </c>
      <c r="F142" s="14">
        <v>220</v>
      </c>
      <c r="G142" s="14">
        <v>32</v>
      </c>
      <c r="H142" s="14">
        <v>13</v>
      </c>
      <c r="I142" s="14">
        <v>7</v>
      </c>
      <c r="J142" s="14" t="s">
        <v>204</v>
      </c>
      <c r="K142" s="14" cm="1">
        <f t="array" ref="K142">INT(SUMPRODUCT(--ISNUMBER(SEARCH(economy,C142)))&gt;0)</f>
        <v>0</v>
      </c>
      <c r="L142" s="14" cm="1">
        <f t="array" ref="L142">INT(SUMPRODUCT(--ISNUMBER(SEARCH(healthcare,C142)))&gt;0)</f>
        <v>0</v>
      </c>
      <c r="M142" s="14" cm="1">
        <f t="array" ref="M142">INT(SUMPRODUCT(--ISNUMBER(SEARCH(supreme,C142)))&gt;0)</f>
        <v>0</v>
      </c>
      <c r="N142" s="14" cm="1">
        <f t="array" ref="N142">INT(SUMPRODUCT(--ISNUMBER(SEARCH(covid,C142)))&gt;0)</f>
        <v>0</v>
      </c>
      <c r="O142" s="14" cm="1">
        <f t="array" ref="O142">INT(SUMPRODUCT(--ISNUMBER(SEARCH(violent,C142)))&gt;0)</f>
        <v>0</v>
      </c>
      <c r="P142" s="14" cm="1">
        <f t="array" ref="P142">INT(SUMPRODUCT(--ISNUMBER(SEARCH(foreign,C142)))&gt;0)</f>
        <v>0</v>
      </c>
      <c r="Q142" s="14" cm="1">
        <f t="array" ref="Q142">INT(SUMPRODUCT(--ISNUMBER(SEARCH(gun,C142)))&gt;0)</f>
        <v>0</v>
      </c>
      <c r="R142" s="14" cm="1">
        <f t="array" ref="R142">INT(SUMPRODUCT(--ISNUMBER(SEARCH(race,C142)))&gt;0)</f>
        <v>0</v>
      </c>
      <c r="S142" s="14" cm="1">
        <f t="array" ref="S142">INT(SUMPRODUCT(--ISNUMBER(SEARCH(immigration,C142)))&gt;0)</f>
        <v>0</v>
      </c>
      <c r="T142" s="14" cm="1">
        <f t="array" ref="T142">INT(SUMPRODUCT(--ISNUMBER(SEARCH(econineq,C143)))&gt;0)</f>
        <v>0</v>
      </c>
      <c r="U142" s="14" cm="1">
        <f t="array" ref="U142">INT(SUMPRODUCT(--ISNUMBER(SEARCH(climate,C142)))&gt;0)</f>
        <v>0</v>
      </c>
      <c r="V142" s="14" cm="1">
        <f t="array" ref="V142">INT(SUMPRODUCT(--ISNUMBER(SEARCH(abortion,C142)))&gt;0)</f>
        <v>0</v>
      </c>
      <c r="W142" s="14" cm="1">
        <f t="array" ref="W142">INT(SUMPRODUCT(--ISNUMBER(SEARCH(trump,C142)))&gt;0)</f>
        <v>0</v>
      </c>
      <c r="X142" s="14" cm="1">
        <f t="array" ref="X142">INT(SUMPRODUCT(--ISNUMBER(SEARCH(voting,C142)))&gt;0)</f>
        <v>0</v>
      </c>
      <c r="Y142" s="14" cm="1">
        <f t="array" ref="Y142">INT(SUMPRODUCT(--ISNUMBER(SEARCH(democrattrigger,C142)))&gt;0)</f>
        <v>0</v>
      </c>
      <c r="Z142" s="14" cm="1">
        <f t="array" ref="Z142">INT(SUMPRODUCT(--ISNUMBER(SEARCH(bipartisan,C142)))&gt;0)</f>
        <v>0</v>
      </c>
      <c r="AA142" s="14">
        <f t="shared" si="2"/>
        <v>1</v>
      </c>
      <c r="AB142" s="14"/>
      <c r="AC142" s="30" t="s">
        <v>223</v>
      </c>
      <c r="AD142" s="37" t="s">
        <v>223</v>
      </c>
    </row>
    <row r="143" spans="1:30" x14ac:dyDescent="0.25">
      <c r="A143" s="36">
        <v>2935</v>
      </c>
      <c r="B143" s="14" t="s">
        <v>5895</v>
      </c>
      <c r="C143" s="14" t="s">
        <v>5896</v>
      </c>
      <c r="D143" s="17">
        <v>44115</v>
      </c>
      <c r="E143" s="14" t="s">
        <v>30</v>
      </c>
      <c r="F143" s="14">
        <v>66</v>
      </c>
      <c r="G143" s="14">
        <v>13</v>
      </c>
      <c r="H143" s="14">
        <v>13</v>
      </c>
      <c r="I143" s="14">
        <v>7</v>
      </c>
      <c r="J143" s="14" t="s">
        <v>204</v>
      </c>
      <c r="K143" s="14" cm="1">
        <f t="array" ref="K143">INT(SUMPRODUCT(--ISNUMBER(SEARCH(economy,C143)))&gt;0)</f>
        <v>0</v>
      </c>
      <c r="L143" s="14" cm="1">
        <f t="array" ref="L143">INT(SUMPRODUCT(--ISNUMBER(SEARCH(healthcare,C143)))&gt;0)</f>
        <v>0</v>
      </c>
      <c r="M143" s="14" cm="1">
        <f t="array" ref="M143">INT(SUMPRODUCT(--ISNUMBER(SEARCH(supreme,C143)))&gt;0)</f>
        <v>0</v>
      </c>
      <c r="N143" s="14" cm="1">
        <f t="array" ref="N143">INT(SUMPRODUCT(--ISNUMBER(SEARCH(covid,C143)))&gt;0)</f>
        <v>0</v>
      </c>
      <c r="O143" s="14" cm="1">
        <f t="array" ref="O143">INT(SUMPRODUCT(--ISNUMBER(SEARCH(violent,C143)))&gt;0)</f>
        <v>0</v>
      </c>
      <c r="P143" s="14" cm="1">
        <f t="array" ref="P143">INT(SUMPRODUCT(--ISNUMBER(SEARCH(foreign,C143)))&gt;0)</f>
        <v>0</v>
      </c>
      <c r="Q143" s="14" cm="1">
        <f t="array" ref="Q143">INT(SUMPRODUCT(--ISNUMBER(SEARCH(gun,C143)))&gt;0)</f>
        <v>0</v>
      </c>
      <c r="R143" s="14" cm="1">
        <f t="array" ref="R143">INT(SUMPRODUCT(--ISNUMBER(SEARCH(race,C143)))&gt;0)</f>
        <v>0</v>
      </c>
      <c r="S143" s="14" cm="1">
        <f t="array" ref="S143">INT(SUMPRODUCT(--ISNUMBER(SEARCH(immigration,C143)))&gt;0)</f>
        <v>0</v>
      </c>
      <c r="T143" s="14" cm="1">
        <f t="array" ref="T143">INT(SUMPRODUCT(--ISNUMBER(SEARCH(econineq,C144)))&gt;0)</f>
        <v>0</v>
      </c>
      <c r="U143" s="14" cm="1">
        <f t="array" ref="U143">INT(SUMPRODUCT(--ISNUMBER(SEARCH(climate,C143)))&gt;0)</f>
        <v>0</v>
      </c>
      <c r="V143" s="14" cm="1">
        <f t="array" ref="V143">INT(SUMPRODUCT(--ISNUMBER(SEARCH(abortion,C143)))&gt;0)</f>
        <v>0</v>
      </c>
      <c r="W143" s="14" cm="1">
        <f t="array" ref="W143">INT(SUMPRODUCT(--ISNUMBER(SEARCH(trump,C143)))&gt;0)</f>
        <v>0</v>
      </c>
      <c r="X143" s="14" cm="1">
        <f t="array" ref="X143">INT(SUMPRODUCT(--ISNUMBER(SEARCH(voting,C143)))&gt;0)</f>
        <v>0</v>
      </c>
      <c r="Y143" s="14" cm="1">
        <f t="array" ref="Y143">INT(SUMPRODUCT(--ISNUMBER(SEARCH(democrattrigger,C143)))&gt;0)</f>
        <v>0</v>
      </c>
      <c r="Z143" s="14" cm="1">
        <f t="array" ref="Z143">INT(SUMPRODUCT(--ISNUMBER(SEARCH(bipartisan,C143)))&gt;0)</f>
        <v>0</v>
      </c>
      <c r="AA143" s="14">
        <f t="shared" si="2"/>
        <v>1</v>
      </c>
      <c r="AB143" s="14"/>
      <c r="AC143" s="30" t="s">
        <v>223</v>
      </c>
      <c r="AD143" s="37" t="s">
        <v>223</v>
      </c>
    </row>
    <row r="144" spans="1:30" x14ac:dyDescent="0.25">
      <c r="A144" s="36">
        <v>2936</v>
      </c>
      <c r="B144" s="14" t="s">
        <v>5897</v>
      </c>
      <c r="C144" s="14" t="s">
        <v>5898</v>
      </c>
      <c r="D144" s="17">
        <v>44115</v>
      </c>
      <c r="E144" s="14" t="s">
        <v>30</v>
      </c>
      <c r="F144" s="14">
        <v>28</v>
      </c>
      <c r="G144" s="14">
        <v>8</v>
      </c>
      <c r="H144" s="14">
        <v>13</v>
      </c>
      <c r="I144" s="14">
        <v>7</v>
      </c>
      <c r="J144" s="14" t="s">
        <v>204</v>
      </c>
      <c r="K144" s="14" cm="1">
        <f t="array" ref="K144">INT(SUMPRODUCT(--ISNUMBER(SEARCH(economy,C144)))&gt;0)</f>
        <v>0</v>
      </c>
      <c r="L144" s="14" cm="1">
        <f t="array" ref="L144">INT(SUMPRODUCT(--ISNUMBER(SEARCH(healthcare,C144)))&gt;0)</f>
        <v>0</v>
      </c>
      <c r="M144" s="14" cm="1">
        <f t="array" ref="M144">INT(SUMPRODUCT(--ISNUMBER(SEARCH(supreme,C144)))&gt;0)</f>
        <v>0</v>
      </c>
      <c r="N144" s="14" cm="1">
        <f t="array" ref="N144">INT(SUMPRODUCT(--ISNUMBER(SEARCH(covid,C144)))&gt;0)</f>
        <v>0</v>
      </c>
      <c r="O144" s="14" cm="1">
        <f t="array" ref="O144">INT(SUMPRODUCT(--ISNUMBER(SEARCH(violent,C144)))&gt;0)</f>
        <v>0</v>
      </c>
      <c r="P144" s="14" cm="1">
        <f t="array" ref="P144">INT(SUMPRODUCT(--ISNUMBER(SEARCH(foreign,C144)))&gt;0)</f>
        <v>0</v>
      </c>
      <c r="Q144" s="14" cm="1">
        <f t="array" ref="Q144">INT(SUMPRODUCT(--ISNUMBER(SEARCH(gun,C144)))&gt;0)</f>
        <v>0</v>
      </c>
      <c r="R144" s="14" cm="1">
        <f t="array" ref="R144">INT(SUMPRODUCT(--ISNUMBER(SEARCH(race,C144)))&gt;0)</f>
        <v>0</v>
      </c>
      <c r="S144" s="14" cm="1">
        <f t="array" ref="S144">INT(SUMPRODUCT(--ISNUMBER(SEARCH(immigration,C144)))&gt;0)</f>
        <v>0</v>
      </c>
      <c r="T144" s="14" cm="1">
        <f t="array" ref="T144">INT(SUMPRODUCT(--ISNUMBER(SEARCH(econineq,C145)))&gt;0)</f>
        <v>0</v>
      </c>
      <c r="U144" s="14" cm="1">
        <f t="array" ref="U144">INT(SUMPRODUCT(--ISNUMBER(SEARCH(climate,C144)))&gt;0)</f>
        <v>0</v>
      </c>
      <c r="V144" s="14" cm="1">
        <f t="array" ref="V144">INT(SUMPRODUCT(--ISNUMBER(SEARCH(abortion,C144)))&gt;0)</f>
        <v>0</v>
      </c>
      <c r="W144" s="14" cm="1">
        <f t="array" ref="W144">INT(SUMPRODUCT(--ISNUMBER(SEARCH(trump,C144)))&gt;0)</f>
        <v>0</v>
      </c>
      <c r="X144" s="14" cm="1">
        <f t="array" ref="X144">INT(SUMPRODUCT(--ISNUMBER(SEARCH(voting,C144)))&gt;0)</f>
        <v>1</v>
      </c>
      <c r="Y144" s="14" cm="1">
        <f t="array" ref="Y144">INT(SUMPRODUCT(--ISNUMBER(SEARCH(democrattrigger,C144)))&gt;0)</f>
        <v>0</v>
      </c>
      <c r="Z144" s="14" cm="1">
        <f t="array" ref="Z144">INT(SUMPRODUCT(--ISNUMBER(SEARCH(bipartisan,C144)))&gt;0)</f>
        <v>0</v>
      </c>
      <c r="AA144" s="14">
        <f t="shared" si="2"/>
        <v>0</v>
      </c>
      <c r="AB144" s="14"/>
      <c r="AC144" s="30" t="s">
        <v>223</v>
      </c>
      <c r="AD144" s="37" t="s">
        <v>223</v>
      </c>
    </row>
    <row r="145" spans="1:30" x14ac:dyDescent="0.25">
      <c r="A145" s="36">
        <v>2937</v>
      </c>
      <c r="B145" s="14" t="s">
        <v>5899</v>
      </c>
      <c r="C145" s="14" t="s">
        <v>5900</v>
      </c>
      <c r="D145" s="17">
        <v>44115</v>
      </c>
      <c r="E145" s="14" t="s">
        <v>30</v>
      </c>
      <c r="F145" s="14">
        <v>207</v>
      </c>
      <c r="G145" s="14">
        <v>14</v>
      </c>
      <c r="H145" s="14">
        <v>13</v>
      </c>
      <c r="I145" s="14">
        <v>7</v>
      </c>
      <c r="J145" s="14" t="s">
        <v>204</v>
      </c>
      <c r="K145" s="14" cm="1">
        <f t="array" ref="K145">INT(SUMPRODUCT(--ISNUMBER(SEARCH(economy,C145)))&gt;0)</f>
        <v>0</v>
      </c>
      <c r="L145" s="14" cm="1">
        <f t="array" ref="L145">INT(SUMPRODUCT(--ISNUMBER(SEARCH(healthcare,C145)))&gt;0)</f>
        <v>0</v>
      </c>
      <c r="M145" s="14" cm="1">
        <f t="array" ref="M145">INT(SUMPRODUCT(--ISNUMBER(SEARCH(supreme,C145)))&gt;0)</f>
        <v>0</v>
      </c>
      <c r="N145" s="14" cm="1">
        <f t="array" ref="N145">INT(SUMPRODUCT(--ISNUMBER(SEARCH(covid,C145)))&gt;0)</f>
        <v>0</v>
      </c>
      <c r="O145" s="14" cm="1">
        <f t="array" ref="O145">INT(SUMPRODUCT(--ISNUMBER(SEARCH(violent,C145)))&gt;0)</f>
        <v>0</v>
      </c>
      <c r="P145" s="14" cm="1">
        <f t="array" ref="P145">INT(SUMPRODUCT(--ISNUMBER(SEARCH(foreign,C145)))&gt;0)</f>
        <v>0</v>
      </c>
      <c r="Q145" s="14" cm="1">
        <f t="array" ref="Q145">INT(SUMPRODUCT(--ISNUMBER(SEARCH(gun,C145)))&gt;0)</f>
        <v>0</v>
      </c>
      <c r="R145" s="14" cm="1">
        <f t="array" ref="R145">INT(SUMPRODUCT(--ISNUMBER(SEARCH(race,C145)))&gt;0)</f>
        <v>0</v>
      </c>
      <c r="S145" s="14" cm="1">
        <f t="array" ref="S145">INT(SUMPRODUCT(--ISNUMBER(SEARCH(immigration,C145)))&gt;0)</f>
        <v>0</v>
      </c>
      <c r="T145" s="14" cm="1">
        <f t="array" ref="T145">INT(SUMPRODUCT(--ISNUMBER(SEARCH(econineq,C146)))&gt;0)</f>
        <v>0</v>
      </c>
      <c r="U145" s="14" cm="1">
        <f t="array" ref="U145">INT(SUMPRODUCT(--ISNUMBER(SEARCH(climate,C145)))&gt;0)</f>
        <v>0</v>
      </c>
      <c r="V145" s="14" cm="1">
        <f t="array" ref="V145">INT(SUMPRODUCT(--ISNUMBER(SEARCH(abortion,C145)))&gt;0)</f>
        <v>0</v>
      </c>
      <c r="W145" s="14" cm="1">
        <f t="array" ref="W145">INT(SUMPRODUCT(--ISNUMBER(SEARCH(trump,C145)))&gt;0)</f>
        <v>0</v>
      </c>
      <c r="X145" s="14" cm="1">
        <f t="array" ref="X145">INT(SUMPRODUCT(--ISNUMBER(SEARCH(voting,C145)))&gt;0)</f>
        <v>0</v>
      </c>
      <c r="Y145" s="14" cm="1">
        <f t="array" ref="Y145">INT(SUMPRODUCT(--ISNUMBER(SEARCH(democrattrigger,C145)))&gt;0)</f>
        <v>0</v>
      </c>
      <c r="Z145" s="14" cm="1">
        <f t="array" ref="Z145">INT(SUMPRODUCT(--ISNUMBER(SEARCH(bipartisan,C145)))&gt;0)</f>
        <v>0</v>
      </c>
      <c r="AA145" s="14">
        <f t="shared" si="2"/>
        <v>1</v>
      </c>
      <c r="AB145" s="14"/>
      <c r="AC145" s="30">
        <v>1</v>
      </c>
      <c r="AD145" s="37">
        <v>0</v>
      </c>
    </row>
    <row r="146" spans="1:30" x14ac:dyDescent="0.25">
      <c r="A146" s="36">
        <v>2938</v>
      </c>
      <c r="B146" s="14" t="s">
        <v>5901</v>
      </c>
      <c r="C146" s="14" t="s">
        <v>5902</v>
      </c>
      <c r="D146" s="17">
        <v>44115</v>
      </c>
      <c r="E146" s="14" t="s">
        <v>30</v>
      </c>
      <c r="F146" s="14">
        <v>22</v>
      </c>
      <c r="G146" s="14">
        <v>10</v>
      </c>
      <c r="H146" s="14">
        <v>13</v>
      </c>
      <c r="I146" s="14">
        <v>7</v>
      </c>
      <c r="J146" s="14" t="s">
        <v>204</v>
      </c>
      <c r="K146" s="14" cm="1">
        <f t="array" ref="K146">INT(SUMPRODUCT(--ISNUMBER(SEARCH(economy,C146)))&gt;0)</f>
        <v>0</v>
      </c>
      <c r="L146" s="14" cm="1">
        <f t="array" ref="L146">INT(SUMPRODUCT(--ISNUMBER(SEARCH(healthcare,C146)))&gt;0)</f>
        <v>1</v>
      </c>
      <c r="M146" s="14" cm="1">
        <f t="array" ref="M146">INT(SUMPRODUCT(--ISNUMBER(SEARCH(supreme,C146)))&gt;0)</f>
        <v>0</v>
      </c>
      <c r="N146" s="14" cm="1">
        <f t="array" ref="N146">INT(SUMPRODUCT(--ISNUMBER(SEARCH(covid,C146)))&gt;0)</f>
        <v>0</v>
      </c>
      <c r="O146" s="14" cm="1">
        <f t="array" ref="O146">INT(SUMPRODUCT(--ISNUMBER(SEARCH(violent,C146)))&gt;0)</f>
        <v>0</v>
      </c>
      <c r="P146" s="14" cm="1">
        <f t="array" ref="P146">INT(SUMPRODUCT(--ISNUMBER(SEARCH(foreign,C146)))&gt;0)</f>
        <v>0</v>
      </c>
      <c r="Q146" s="14" cm="1">
        <f t="array" ref="Q146">INT(SUMPRODUCT(--ISNUMBER(SEARCH(gun,C146)))&gt;0)</f>
        <v>0</v>
      </c>
      <c r="R146" s="14" cm="1">
        <f t="array" ref="R146">INT(SUMPRODUCT(--ISNUMBER(SEARCH(race,C146)))&gt;0)</f>
        <v>0</v>
      </c>
      <c r="S146" s="14" cm="1">
        <f t="array" ref="S146">INT(SUMPRODUCT(--ISNUMBER(SEARCH(immigration,C146)))&gt;0)</f>
        <v>0</v>
      </c>
      <c r="T146" s="14" cm="1">
        <f t="array" ref="T146">INT(SUMPRODUCT(--ISNUMBER(SEARCH(econineq,C147)))&gt;0)</f>
        <v>0</v>
      </c>
      <c r="U146" s="14" cm="1">
        <f t="array" ref="U146">INT(SUMPRODUCT(--ISNUMBER(SEARCH(climate,C146)))&gt;0)</f>
        <v>0</v>
      </c>
      <c r="V146" s="14" cm="1">
        <f t="array" ref="V146">INT(SUMPRODUCT(--ISNUMBER(SEARCH(abortion,C146)))&gt;0)</f>
        <v>0</v>
      </c>
      <c r="W146" s="14" cm="1">
        <f t="array" ref="W146">INT(SUMPRODUCT(--ISNUMBER(SEARCH(trump,C146)))&gt;0)</f>
        <v>0</v>
      </c>
      <c r="X146" s="14" cm="1">
        <f t="array" ref="X146">INT(SUMPRODUCT(--ISNUMBER(SEARCH(voting,C146)))&gt;0)</f>
        <v>0</v>
      </c>
      <c r="Y146" s="14" cm="1">
        <f t="array" ref="Y146">INT(SUMPRODUCT(--ISNUMBER(SEARCH(democrattrigger,C146)))&gt;0)</f>
        <v>0</v>
      </c>
      <c r="Z146" s="14" cm="1">
        <f t="array" ref="Z146">INT(SUMPRODUCT(--ISNUMBER(SEARCH(bipartisan,C146)))&gt;0)</f>
        <v>0</v>
      </c>
      <c r="AA146" s="14">
        <f t="shared" si="2"/>
        <v>0</v>
      </c>
      <c r="AB146" s="14"/>
      <c r="AC146" s="30" t="s">
        <v>223</v>
      </c>
      <c r="AD146" s="37" t="s">
        <v>223</v>
      </c>
    </row>
    <row r="147" spans="1:30" x14ac:dyDescent="0.25">
      <c r="A147" s="36">
        <v>2939</v>
      </c>
      <c r="B147" s="14" t="s">
        <v>5903</v>
      </c>
      <c r="C147" s="14" t="s">
        <v>5904</v>
      </c>
      <c r="D147" s="17">
        <v>44114</v>
      </c>
      <c r="E147" s="14" t="s">
        <v>70</v>
      </c>
      <c r="F147" s="14">
        <v>17</v>
      </c>
      <c r="G147" s="14">
        <v>3</v>
      </c>
      <c r="H147" s="14">
        <v>13</v>
      </c>
      <c r="I147" s="14">
        <v>7</v>
      </c>
      <c r="J147" s="14" t="s">
        <v>204</v>
      </c>
      <c r="K147" s="14" cm="1">
        <f t="array" ref="K147">INT(SUMPRODUCT(--ISNUMBER(SEARCH(economy,C147)))&gt;0)</f>
        <v>0</v>
      </c>
      <c r="L147" s="14" cm="1">
        <f t="array" ref="L147">INT(SUMPRODUCT(--ISNUMBER(SEARCH(healthcare,C147)))&gt;0)</f>
        <v>0</v>
      </c>
      <c r="M147" s="14" cm="1">
        <f t="array" ref="M147">INT(SUMPRODUCT(--ISNUMBER(SEARCH(supreme,C147)))&gt;0)</f>
        <v>0</v>
      </c>
      <c r="N147" s="14" cm="1">
        <f t="array" ref="N147">INT(SUMPRODUCT(--ISNUMBER(SEARCH(covid,C147)))&gt;0)</f>
        <v>0</v>
      </c>
      <c r="O147" s="14" cm="1">
        <f t="array" ref="O147">INT(SUMPRODUCT(--ISNUMBER(SEARCH(violent,C147)))&gt;0)</f>
        <v>0</v>
      </c>
      <c r="P147" s="14" cm="1">
        <f t="array" ref="P147">INT(SUMPRODUCT(--ISNUMBER(SEARCH(foreign,C147)))&gt;0)</f>
        <v>0</v>
      </c>
      <c r="Q147" s="14" cm="1">
        <f t="array" ref="Q147">INT(SUMPRODUCT(--ISNUMBER(SEARCH(gun,C147)))&gt;0)</f>
        <v>0</v>
      </c>
      <c r="R147" s="14" cm="1">
        <f t="array" ref="R147">INT(SUMPRODUCT(--ISNUMBER(SEARCH(race,C147)))&gt;0)</f>
        <v>0</v>
      </c>
      <c r="S147" s="14" cm="1">
        <f t="array" ref="S147">INT(SUMPRODUCT(--ISNUMBER(SEARCH(immigration,C147)))&gt;0)</f>
        <v>0</v>
      </c>
      <c r="T147" s="14" cm="1">
        <f t="array" ref="T147">INT(SUMPRODUCT(--ISNUMBER(SEARCH(econineq,C148)))&gt;0)</f>
        <v>0</v>
      </c>
      <c r="U147" s="14" cm="1">
        <f t="array" ref="U147">INT(SUMPRODUCT(--ISNUMBER(SEARCH(climate,C147)))&gt;0)</f>
        <v>0</v>
      </c>
      <c r="V147" s="14" cm="1">
        <f t="array" ref="V147">INT(SUMPRODUCT(--ISNUMBER(SEARCH(abortion,C147)))&gt;0)</f>
        <v>0</v>
      </c>
      <c r="W147" s="14" cm="1">
        <f t="array" ref="W147">INT(SUMPRODUCT(--ISNUMBER(SEARCH(trump,C147)))&gt;0)</f>
        <v>0</v>
      </c>
      <c r="X147" s="14" cm="1">
        <f t="array" ref="X147">INT(SUMPRODUCT(--ISNUMBER(SEARCH(voting,C147)))&gt;0)</f>
        <v>0</v>
      </c>
      <c r="Y147" s="14" cm="1">
        <f t="array" ref="Y147">INT(SUMPRODUCT(--ISNUMBER(SEARCH(democrattrigger,C147)))&gt;0)</f>
        <v>0</v>
      </c>
      <c r="Z147" s="14" cm="1">
        <f t="array" ref="Z147">INT(SUMPRODUCT(--ISNUMBER(SEARCH(bipartisan,C147)))&gt;0)</f>
        <v>0</v>
      </c>
      <c r="AA147" s="14">
        <f t="shared" si="2"/>
        <v>1</v>
      </c>
      <c r="AB147" s="14"/>
      <c r="AC147" s="30">
        <v>1</v>
      </c>
      <c r="AD147" s="37">
        <v>0</v>
      </c>
    </row>
    <row r="148" spans="1:30" x14ac:dyDescent="0.25">
      <c r="A148" s="36">
        <v>2940</v>
      </c>
      <c r="B148" s="14" t="s">
        <v>5905</v>
      </c>
      <c r="C148" s="14" t="s">
        <v>5906</v>
      </c>
      <c r="D148" s="17">
        <v>44114</v>
      </c>
      <c r="E148" s="14" t="s">
        <v>30</v>
      </c>
      <c r="F148" s="14">
        <v>33</v>
      </c>
      <c r="G148" s="14">
        <v>6</v>
      </c>
      <c r="H148" s="14">
        <v>13</v>
      </c>
      <c r="I148" s="14">
        <v>7</v>
      </c>
      <c r="J148" s="14" t="s">
        <v>204</v>
      </c>
      <c r="K148" s="14" cm="1">
        <f t="array" ref="K148">INT(SUMPRODUCT(--ISNUMBER(SEARCH(economy,C148)))&gt;0)</f>
        <v>1</v>
      </c>
      <c r="L148" s="14" cm="1">
        <f t="array" ref="L148">INT(SUMPRODUCT(--ISNUMBER(SEARCH(healthcare,C148)))&gt;0)</f>
        <v>1</v>
      </c>
      <c r="M148" s="14" cm="1">
        <f t="array" ref="M148">INT(SUMPRODUCT(--ISNUMBER(SEARCH(supreme,C148)))&gt;0)</f>
        <v>1</v>
      </c>
      <c r="N148" s="14" cm="1">
        <f t="array" ref="N148">INT(SUMPRODUCT(--ISNUMBER(SEARCH(covid,C148)))&gt;0)</f>
        <v>1</v>
      </c>
      <c r="O148" s="14" cm="1">
        <f t="array" ref="O148">INT(SUMPRODUCT(--ISNUMBER(SEARCH(violent,C148)))&gt;0)</f>
        <v>0</v>
      </c>
      <c r="P148" s="14" cm="1">
        <f t="array" ref="P148">INT(SUMPRODUCT(--ISNUMBER(SEARCH(foreign,C148)))&gt;0)</f>
        <v>0</v>
      </c>
      <c r="Q148" s="14" cm="1">
        <f t="array" ref="Q148">INT(SUMPRODUCT(--ISNUMBER(SEARCH(gun,C148)))&gt;0)</f>
        <v>0</v>
      </c>
      <c r="R148" s="14" cm="1">
        <f t="array" ref="R148">INT(SUMPRODUCT(--ISNUMBER(SEARCH(race,C148)))&gt;0)</f>
        <v>0</v>
      </c>
      <c r="S148" s="14" cm="1">
        <f t="array" ref="S148">INT(SUMPRODUCT(--ISNUMBER(SEARCH(immigration,C148)))&gt;0)</f>
        <v>0</v>
      </c>
      <c r="T148" s="14" cm="1">
        <f t="array" ref="T148">INT(SUMPRODUCT(--ISNUMBER(SEARCH(econineq,C149)))&gt;0)</f>
        <v>0</v>
      </c>
      <c r="U148" s="14" cm="1">
        <f t="array" ref="U148">INT(SUMPRODUCT(--ISNUMBER(SEARCH(climate,C148)))&gt;0)</f>
        <v>0</v>
      </c>
      <c r="V148" s="14" cm="1">
        <f t="array" ref="V148">INT(SUMPRODUCT(--ISNUMBER(SEARCH(abortion,C148)))&gt;0)</f>
        <v>0</v>
      </c>
      <c r="W148" s="14" cm="1">
        <f t="array" ref="W148">INT(SUMPRODUCT(--ISNUMBER(SEARCH(trump,C148)))&gt;0)</f>
        <v>0</v>
      </c>
      <c r="X148" s="14" cm="1">
        <f t="array" ref="X148">INT(SUMPRODUCT(--ISNUMBER(SEARCH(voting,C148)))&gt;0)</f>
        <v>0</v>
      </c>
      <c r="Y148" s="14" cm="1">
        <f t="array" ref="Y148">INT(SUMPRODUCT(--ISNUMBER(SEARCH(democrattrigger,C148)))&gt;0)</f>
        <v>0</v>
      </c>
      <c r="Z148" s="14" cm="1">
        <f t="array" ref="Z148">INT(SUMPRODUCT(--ISNUMBER(SEARCH(bipartisan,C148)))&gt;0)</f>
        <v>0</v>
      </c>
      <c r="AA148" s="14">
        <f t="shared" si="2"/>
        <v>0</v>
      </c>
      <c r="AB148" s="14"/>
      <c r="AC148" s="30">
        <v>1</v>
      </c>
      <c r="AD148" s="37">
        <v>0</v>
      </c>
    </row>
    <row r="149" spans="1:30" x14ac:dyDescent="0.25">
      <c r="A149" s="36">
        <v>2941</v>
      </c>
      <c r="B149" s="14" t="s">
        <v>5907</v>
      </c>
      <c r="C149" s="14" t="s">
        <v>5908</v>
      </c>
      <c r="D149" s="17">
        <v>44114</v>
      </c>
      <c r="E149" s="14" t="s">
        <v>30</v>
      </c>
      <c r="F149" s="14">
        <v>42</v>
      </c>
      <c r="G149" s="14">
        <v>13</v>
      </c>
      <c r="H149" s="14">
        <v>13</v>
      </c>
      <c r="I149" s="14">
        <v>7</v>
      </c>
      <c r="J149" s="14" t="s">
        <v>204</v>
      </c>
      <c r="K149" s="14" cm="1">
        <f t="array" ref="K149">INT(SUMPRODUCT(--ISNUMBER(SEARCH(economy,C149)))&gt;0)</f>
        <v>1</v>
      </c>
      <c r="L149" s="14" cm="1">
        <f t="array" ref="L149">INT(SUMPRODUCT(--ISNUMBER(SEARCH(healthcare,C149)))&gt;0)</f>
        <v>1</v>
      </c>
      <c r="M149" s="14" cm="1">
        <f t="array" ref="M149">INT(SUMPRODUCT(--ISNUMBER(SEARCH(supreme,C149)))&gt;0)</f>
        <v>0</v>
      </c>
      <c r="N149" s="14" cm="1">
        <f t="array" ref="N149">INT(SUMPRODUCT(--ISNUMBER(SEARCH(covid,C149)))&gt;0)</f>
        <v>0</v>
      </c>
      <c r="O149" s="14" cm="1">
        <f t="array" ref="O149">INT(SUMPRODUCT(--ISNUMBER(SEARCH(violent,C149)))&gt;0)</f>
        <v>0</v>
      </c>
      <c r="P149" s="14" cm="1">
        <f t="array" ref="P149">INT(SUMPRODUCT(--ISNUMBER(SEARCH(foreign,C149)))&gt;0)</f>
        <v>0</v>
      </c>
      <c r="Q149" s="14" cm="1">
        <f t="array" ref="Q149">INT(SUMPRODUCT(--ISNUMBER(SEARCH(gun,C149)))&gt;0)</f>
        <v>0</v>
      </c>
      <c r="R149" s="14" cm="1">
        <f t="array" ref="R149">INT(SUMPRODUCT(--ISNUMBER(SEARCH(race,C149)))&gt;0)</f>
        <v>0</v>
      </c>
      <c r="S149" s="14" cm="1">
        <f t="array" ref="S149">INT(SUMPRODUCT(--ISNUMBER(SEARCH(immigration,C149)))&gt;0)</f>
        <v>0</v>
      </c>
      <c r="T149" s="14" cm="1">
        <f t="array" ref="T149">INT(SUMPRODUCT(--ISNUMBER(SEARCH(econineq,C150)))&gt;0)</f>
        <v>0</v>
      </c>
      <c r="U149" s="14" cm="1">
        <f t="array" ref="U149">INT(SUMPRODUCT(--ISNUMBER(SEARCH(climate,C149)))&gt;0)</f>
        <v>0</v>
      </c>
      <c r="V149" s="14" cm="1">
        <f t="array" ref="V149">INT(SUMPRODUCT(--ISNUMBER(SEARCH(abortion,C149)))&gt;0)</f>
        <v>0</v>
      </c>
      <c r="W149" s="14" cm="1">
        <f t="array" ref="W149">INT(SUMPRODUCT(--ISNUMBER(SEARCH(trump,C149)))&gt;0)</f>
        <v>0</v>
      </c>
      <c r="X149" s="14" cm="1">
        <f t="array" ref="X149">INT(SUMPRODUCT(--ISNUMBER(SEARCH(voting,C149)))&gt;0)</f>
        <v>1</v>
      </c>
      <c r="Y149" s="14" cm="1">
        <f t="array" ref="Y149">INT(SUMPRODUCT(--ISNUMBER(SEARCH(democrattrigger,C149)))&gt;0)</f>
        <v>0</v>
      </c>
      <c r="Z149" s="14" cm="1">
        <f t="array" ref="Z149">INT(SUMPRODUCT(--ISNUMBER(SEARCH(bipartisan,C149)))&gt;0)</f>
        <v>0</v>
      </c>
      <c r="AA149" s="14">
        <f t="shared" si="2"/>
        <v>0</v>
      </c>
      <c r="AB149" s="14"/>
      <c r="AC149" s="30">
        <v>1</v>
      </c>
      <c r="AD149" s="37">
        <v>0</v>
      </c>
    </row>
    <row r="150" spans="1:30" x14ac:dyDescent="0.25">
      <c r="A150" s="36">
        <v>2942</v>
      </c>
      <c r="B150" s="14" t="s">
        <v>5909</v>
      </c>
      <c r="C150" s="14" t="s">
        <v>5910</v>
      </c>
      <c r="D150" s="17">
        <v>44113</v>
      </c>
      <c r="E150" s="14" t="s">
        <v>30</v>
      </c>
      <c r="F150" s="14">
        <v>17</v>
      </c>
      <c r="G150" s="14">
        <v>3</v>
      </c>
      <c r="H150" s="14">
        <v>13</v>
      </c>
      <c r="I150" s="14">
        <v>7</v>
      </c>
      <c r="J150" s="14" t="s">
        <v>204</v>
      </c>
      <c r="K150" s="14" cm="1">
        <f t="array" ref="K150">INT(SUMPRODUCT(--ISNUMBER(SEARCH(economy,C150)))&gt;0)</f>
        <v>1</v>
      </c>
      <c r="L150" s="14" cm="1">
        <f t="array" ref="L150">INT(SUMPRODUCT(--ISNUMBER(SEARCH(healthcare,C150)))&gt;0)</f>
        <v>0</v>
      </c>
      <c r="M150" s="14" cm="1">
        <f t="array" ref="M150">INT(SUMPRODUCT(--ISNUMBER(SEARCH(supreme,C150)))&gt;0)</f>
        <v>0</v>
      </c>
      <c r="N150" s="14" cm="1">
        <f t="array" ref="N150">INT(SUMPRODUCT(--ISNUMBER(SEARCH(covid,C150)))&gt;0)</f>
        <v>1</v>
      </c>
      <c r="O150" s="14" cm="1">
        <f t="array" ref="O150">INT(SUMPRODUCT(--ISNUMBER(SEARCH(violent,C150)))&gt;0)</f>
        <v>0</v>
      </c>
      <c r="P150" s="14" cm="1">
        <f t="array" ref="P150">INT(SUMPRODUCT(--ISNUMBER(SEARCH(foreign,C150)))&gt;0)</f>
        <v>0</v>
      </c>
      <c r="Q150" s="14" cm="1">
        <f t="array" ref="Q150">INT(SUMPRODUCT(--ISNUMBER(SEARCH(gun,C150)))&gt;0)</f>
        <v>0</v>
      </c>
      <c r="R150" s="14" cm="1">
        <f t="array" ref="R150">INT(SUMPRODUCT(--ISNUMBER(SEARCH(race,C150)))&gt;0)</f>
        <v>0</v>
      </c>
      <c r="S150" s="14" cm="1">
        <f t="array" ref="S150">INT(SUMPRODUCT(--ISNUMBER(SEARCH(immigration,C150)))&gt;0)</f>
        <v>0</v>
      </c>
      <c r="T150" s="14" cm="1">
        <f t="array" ref="T150">INT(SUMPRODUCT(--ISNUMBER(SEARCH(econineq,C151)))&gt;0)</f>
        <v>0</v>
      </c>
      <c r="U150" s="14" cm="1">
        <f t="array" ref="U150">INT(SUMPRODUCT(--ISNUMBER(SEARCH(climate,C150)))&gt;0)</f>
        <v>0</v>
      </c>
      <c r="V150" s="14" cm="1">
        <f t="array" ref="V150">INT(SUMPRODUCT(--ISNUMBER(SEARCH(abortion,C150)))&gt;0)</f>
        <v>0</v>
      </c>
      <c r="W150" s="14" cm="1">
        <f t="array" ref="W150">INT(SUMPRODUCT(--ISNUMBER(SEARCH(trump,C150)))&gt;0)</f>
        <v>0</v>
      </c>
      <c r="X150" s="14" cm="1">
        <f t="array" ref="X150">INT(SUMPRODUCT(--ISNUMBER(SEARCH(voting,C150)))&gt;0)</f>
        <v>0</v>
      </c>
      <c r="Y150" s="14" cm="1">
        <f t="array" ref="Y150">INT(SUMPRODUCT(--ISNUMBER(SEARCH(democrattrigger,C150)))&gt;0)</f>
        <v>0</v>
      </c>
      <c r="Z150" s="14" cm="1">
        <f t="array" ref="Z150">INT(SUMPRODUCT(--ISNUMBER(SEARCH(bipartisan,C150)))&gt;0)</f>
        <v>0</v>
      </c>
      <c r="AA150" s="14">
        <f t="shared" si="2"/>
        <v>0</v>
      </c>
      <c r="AB150" s="14"/>
      <c r="AC150" s="30">
        <v>0</v>
      </c>
      <c r="AD150" s="37">
        <v>1</v>
      </c>
    </row>
    <row r="151" spans="1:30" x14ac:dyDescent="0.25">
      <c r="A151" s="36">
        <v>2943</v>
      </c>
      <c r="B151" s="14" t="s">
        <v>5911</v>
      </c>
      <c r="C151" s="14" t="s">
        <v>5912</v>
      </c>
      <c r="D151" s="17">
        <v>44113</v>
      </c>
      <c r="E151" s="14" t="s">
        <v>30</v>
      </c>
      <c r="F151" s="14">
        <v>21</v>
      </c>
      <c r="G151" s="14">
        <v>5</v>
      </c>
      <c r="H151" s="14">
        <v>13</v>
      </c>
      <c r="I151" s="14">
        <v>7</v>
      </c>
      <c r="J151" s="14" t="s">
        <v>204</v>
      </c>
      <c r="K151" s="14" cm="1">
        <f t="array" ref="K151">INT(SUMPRODUCT(--ISNUMBER(SEARCH(economy,C151)))&gt;0)</f>
        <v>0</v>
      </c>
      <c r="L151" s="14" cm="1">
        <f t="array" ref="L151">INT(SUMPRODUCT(--ISNUMBER(SEARCH(healthcare,C151)))&gt;0)</f>
        <v>0</v>
      </c>
      <c r="M151" s="14" cm="1">
        <f t="array" ref="M151">INT(SUMPRODUCT(--ISNUMBER(SEARCH(supreme,C151)))&gt;0)</f>
        <v>0</v>
      </c>
      <c r="N151" s="14" cm="1">
        <f t="array" ref="N151">INT(SUMPRODUCT(--ISNUMBER(SEARCH(covid,C151)))&gt;0)</f>
        <v>1</v>
      </c>
      <c r="O151" s="14" cm="1">
        <f t="array" ref="O151">INT(SUMPRODUCT(--ISNUMBER(SEARCH(violent,C151)))&gt;0)</f>
        <v>0</v>
      </c>
      <c r="P151" s="14" cm="1">
        <f t="array" ref="P151">INT(SUMPRODUCT(--ISNUMBER(SEARCH(foreign,C151)))&gt;0)</f>
        <v>0</v>
      </c>
      <c r="Q151" s="14" cm="1">
        <f t="array" ref="Q151">INT(SUMPRODUCT(--ISNUMBER(SEARCH(gun,C151)))&gt;0)</f>
        <v>0</v>
      </c>
      <c r="R151" s="14" cm="1">
        <f t="array" ref="R151">INT(SUMPRODUCT(--ISNUMBER(SEARCH(race,C151)))&gt;0)</f>
        <v>0</v>
      </c>
      <c r="S151" s="14" cm="1">
        <f t="array" ref="S151">INT(SUMPRODUCT(--ISNUMBER(SEARCH(immigration,C151)))&gt;0)</f>
        <v>0</v>
      </c>
      <c r="T151" s="14" cm="1">
        <f t="array" ref="T151">INT(SUMPRODUCT(--ISNUMBER(SEARCH(econineq,C152)))&gt;0)</f>
        <v>0</v>
      </c>
      <c r="U151" s="14" cm="1">
        <f t="array" ref="U151">INT(SUMPRODUCT(--ISNUMBER(SEARCH(climate,C151)))&gt;0)</f>
        <v>0</v>
      </c>
      <c r="V151" s="14" cm="1">
        <f t="array" ref="V151">INT(SUMPRODUCT(--ISNUMBER(SEARCH(abortion,C151)))&gt;0)</f>
        <v>0</v>
      </c>
      <c r="W151" s="14" cm="1">
        <f t="array" ref="W151">INT(SUMPRODUCT(--ISNUMBER(SEARCH(trump,C151)))&gt;0)</f>
        <v>0</v>
      </c>
      <c r="X151" s="14" cm="1">
        <f t="array" ref="X151">INT(SUMPRODUCT(--ISNUMBER(SEARCH(voting,C151)))&gt;0)</f>
        <v>0</v>
      </c>
      <c r="Y151" s="14" cm="1">
        <f t="array" ref="Y151">INT(SUMPRODUCT(--ISNUMBER(SEARCH(democrattrigger,C151)))&gt;0)</f>
        <v>0</v>
      </c>
      <c r="Z151" s="14" cm="1">
        <f t="array" ref="Z151">INT(SUMPRODUCT(--ISNUMBER(SEARCH(bipartisan,C151)))&gt;0)</f>
        <v>0</v>
      </c>
      <c r="AA151" s="14">
        <f t="shared" si="2"/>
        <v>0</v>
      </c>
      <c r="AB151" s="14"/>
      <c r="AC151" s="30">
        <v>1</v>
      </c>
      <c r="AD151" s="37">
        <v>0</v>
      </c>
    </row>
    <row r="152" spans="1:30" x14ac:dyDescent="0.25">
      <c r="A152" s="36">
        <v>2944</v>
      </c>
      <c r="B152" s="14" t="s">
        <v>5913</v>
      </c>
      <c r="C152" s="14" t="s">
        <v>5914</v>
      </c>
      <c r="D152" s="17">
        <v>44113</v>
      </c>
      <c r="E152" s="14" t="s">
        <v>30</v>
      </c>
      <c r="F152" s="14">
        <v>14</v>
      </c>
      <c r="G152" s="14">
        <v>5</v>
      </c>
      <c r="H152" s="14">
        <v>13</v>
      </c>
      <c r="I152" s="14">
        <v>7</v>
      </c>
      <c r="J152" s="14" t="s">
        <v>204</v>
      </c>
      <c r="K152" s="14" cm="1">
        <f t="array" ref="K152">INT(SUMPRODUCT(--ISNUMBER(SEARCH(economy,C152)))&gt;0)</f>
        <v>0</v>
      </c>
      <c r="L152" s="14" cm="1">
        <f t="array" ref="L152">INT(SUMPRODUCT(--ISNUMBER(SEARCH(healthcare,C152)))&gt;0)</f>
        <v>0</v>
      </c>
      <c r="M152" s="14" cm="1">
        <f t="array" ref="M152">INT(SUMPRODUCT(--ISNUMBER(SEARCH(supreme,C152)))&gt;0)</f>
        <v>0</v>
      </c>
      <c r="N152" s="14" cm="1">
        <f t="array" ref="N152">INT(SUMPRODUCT(--ISNUMBER(SEARCH(covid,C152)))&gt;0)</f>
        <v>0</v>
      </c>
      <c r="O152" s="14" cm="1">
        <f t="array" ref="O152">INT(SUMPRODUCT(--ISNUMBER(SEARCH(violent,C152)))&gt;0)</f>
        <v>0</v>
      </c>
      <c r="P152" s="14" cm="1">
        <f t="array" ref="P152">INT(SUMPRODUCT(--ISNUMBER(SEARCH(foreign,C152)))&gt;0)</f>
        <v>0</v>
      </c>
      <c r="Q152" s="14" cm="1">
        <f t="array" ref="Q152">INT(SUMPRODUCT(--ISNUMBER(SEARCH(gun,C152)))&gt;0)</f>
        <v>0</v>
      </c>
      <c r="R152" s="14" cm="1">
        <f t="array" ref="R152">INT(SUMPRODUCT(--ISNUMBER(SEARCH(race,C152)))&gt;0)</f>
        <v>0</v>
      </c>
      <c r="S152" s="14" cm="1">
        <f t="array" ref="S152">INT(SUMPRODUCT(--ISNUMBER(SEARCH(immigration,C152)))&gt;0)</f>
        <v>0</v>
      </c>
      <c r="T152" s="14" cm="1">
        <f t="array" ref="T152">INT(SUMPRODUCT(--ISNUMBER(SEARCH(econineq,C153)))&gt;0)</f>
        <v>0</v>
      </c>
      <c r="U152" s="14" cm="1">
        <f t="array" ref="U152">INT(SUMPRODUCT(--ISNUMBER(SEARCH(climate,C152)))&gt;0)</f>
        <v>0</v>
      </c>
      <c r="V152" s="14" cm="1">
        <f t="array" ref="V152">INT(SUMPRODUCT(--ISNUMBER(SEARCH(abortion,C152)))&gt;0)</f>
        <v>0</v>
      </c>
      <c r="W152" s="14" cm="1">
        <f t="array" ref="W152">INT(SUMPRODUCT(--ISNUMBER(SEARCH(trump,C152)))&gt;0)</f>
        <v>0</v>
      </c>
      <c r="X152" s="14" cm="1">
        <f t="array" ref="X152">INT(SUMPRODUCT(--ISNUMBER(SEARCH(voting,C152)))&gt;0)</f>
        <v>1</v>
      </c>
      <c r="Y152" s="14" cm="1">
        <f t="array" ref="Y152">INT(SUMPRODUCT(--ISNUMBER(SEARCH(democrattrigger,C152)))&gt;0)</f>
        <v>0</v>
      </c>
      <c r="Z152" s="14" cm="1">
        <f t="array" ref="Z152">INT(SUMPRODUCT(--ISNUMBER(SEARCH(bipartisan,C152)))&gt;0)</f>
        <v>0</v>
      </c>
      <c r="AA152" s="14">
        <f t="shared" si="2"/>
        <v>0</v>
      </c>
      <c r="AB152" s="14"/>
      <c r="AC152" s="30" t="s">
        <v>223</v>
      </c>
      <c r="AD152" s="37" t="s">
        <v>223</v>
      </c>
    </row>
    <row r="153" spans="1:30" x14ac:dyDescent="0.25">
      <c r="A153" s="36">
        <v>2945</v>
      </c>
      <c r="B153" s="14" t="s">
        <v>5915</v>
      </c>
      <c r="C153" s="14" t="s">
        <v>5916</v>
      </c>
      <c r="D153" s="17">
        <v>44113</v>
      </c>
      <c r="E153" s="14" t="s">
        <v>30</v>
      </c>
      <c r="F153" s="14">
        <v>151</v>
      </c>
      <c r="G153" s="14">
        <v>60</v>
      </c>
      <c r="H153" s="14">
        <v>13</v>
      </c>
      <c r="I153" s="14">
        <v>7</v>
      </c>
      <c r="J153" s="14" t="s">
        <v>204</v>
      </c>
      <c r="K153" s="14" cm="1">
        <f t="array" ref="K153">INT(SUMPRODUCT(--ISNUMBER(SEARCH(economy,C153)))&gt;0)</f>
        <v>0</v>
      </c>
      <c r="L153" s="14" cm="1">
        <f t="array" ref="L153">INT(SUMPRODUCT(--ISNUMBER(SEARCH(healthcare,C153)))&gt;0)</f>
        <v>1</v>
      </c>
      <c r="M153" s="14" cm="1">
        <f t="array" ref="M153">INT(SUMPRODUCT(--ISNUMBER(SEARCH(supreme,C153)))&gt;0)</f>
        <v>0</v>
      </c>
      <c r="N153" s="14" cm="1">
        <f t="array" ref="N153">INT(SUMPRODUCT(--ISNUMBER(SEARCH(covid,C153)))&gt;0)</f>
        <v>0</v>
      </c>
      <c r="O153" s="14" cm="1">
        <f t="array" ref="O153">INT(SUMPRODUCT(--ISNUMBER(SEARCH(violent,C153)))&gt;0)</f>
        <v>0</v>
      </c>
      <c r="P153" s="14" cm="1">
        <f t="array" ref="P153">INT(SUMPRODUCT(--ISNUMBER(SEARCH(foreign,C153)))&gt;0)</f>
        <v>0</v>
      </c>
      <c r="Q153" s="14" cm="1">
        <f t="array" ref="Q153">INT(SUMPRODUCT(--ISNUMBER(SEARCH(gun,C153)))&gt;0)</f>
        <v>0</v>
      </c>
      <c r="R153" s="14" cm="1">
        <f t="array" ref="R153">INT(SUMPRODUCT(--ISNUMBER(SEARCH(race,C153)))&gt;0)</f>
        <v>0</v>
      </c>
      <c r="S153" s="14" cm="1">
        <f t="array" ref="S153">INT(SUMPRODUCT(--ISNUMBER(SEARCH(immigration,C153)))&gt;0)</f>
        <v>0</v>
      </c>
      <c r="T153" s="14" cm="1">
        <f t="array" ref="T153">INT(SUMPRODUCT(--ISNUMBER(SEARCH(econineq,C154)))&gt;0)</f>
        <v>0</v>
      </c>
      <c r="U153" s="14" cm="1">
        <f t="array" ref="U153">INT(SUMPRODUCT(--ISNUMBER(SEARCH(climate,C153)))&gt;0)</f>
        <v>0</v>
      </c>
      <c r="V153" s="14" cm="1">
        <f t="array" ref="V153">INT(SUMPRODUCT(--ISNUMBER(SEARCH(abortion,C153)))&gt;0)</f>
        <v>0</v>
      </c>
      <c r="W153" s="14" cm="1">
        <f t="array" ref="W153">INT(SUMPRODUCT(--ISNUMBER(SEARCH(trump,C153)))&gt;0)</f>
        <v>0</v>
      </c>
      <c r="X153" s="14" cm="1">
        <f t="array" ref="X153">INT(SUMPRODUCT(--ISNUMBER(SEARCH(voting,C153)))&gt;0)</f>
        <v>0</v>
      </c>
      <c r="Y153" s="14" cm="1">
        <f t="array" ref="Y153">INT(SUMPRODUCT(--ISNUMBER(SEARCH(democrattrigger,C153)))&gt;0)</f>
        <v>1</v>
      </c>
      <c r="Z153" s="14" cm="1">
        <f t="array" ref="Z153">INT(SUMPRODUCT(--ISNUMBER(SEARCH(bipartisan,C153)))&gt;0)</f>
        <v>0</v>
      </c>
      <c r="AA153" s="14">
        <f t="shared" si="2"/>
        <v>0</v>
      </c>
      <c r="AB153" s="14"/>
      <c r="AC153" s="30">
        <v>0</v>
      </c>
      <c r="AD153" s="37">
        <v>1</v>
      </c>
    </row>
    <row r="154" spans="1:30" x14ac:dyDescent="0.25">
      <c r="A154" s="36">
        <v>2946</v>
      </c>
      <c r="B154" s="14" t="s">
        <v>5917</v>
      </c>
      <c r="C154" s="14" t="s">
        <v>5918</v>
      </c>
      <c r="D154" s="17">
        <v>44112</v>
      </c>
      <c r="E154" s="14" t="s">
        <v>30</v>
      </c>
      <c r="F154" s="14">
        <v>21</v>
      </c>
      <c r="G154" s="14">
        <v>6</v>
      </c>
      <c r="H154" s="14">
        <v>13</v>
      </c>
      <c r="I154" s="14">
        <v>7</v>
      </c>
      <c r="J154" s="14" t="s">
        <v>204</v>
      </c>
      <c r="K154" s="14" cm="1">
        <f t="array" ref="K154">INT(SUMPRODUCT(--ISNUMBER(SEARCH(economy,C154)))&gt;0)</f>
        <v>0</v>
      </c>
      <c r="L154" s="14" cm="1">
        <f t="array" ref="L154">INT(SUMPRODUCT(--ISNUMBER(SEARCH(healthcare,C154)))&gt;0)</f>
        <v>0</v>
      </c>
      <c r="M154" s="14" cm="1">
        <f t="array" ref="M154">INT(SUMPRODUCT(--ISNUMBER(SEARCH(supreme,C154)))&gt;0)</f>
        <v>0</v>
      </c>
      <c r="N154" s="14" cm="1">
        <f t="array" ref="N154">INT(SUMPRODUCT(--ISNUMBER(SEARCH(covid,C154)))&gt;0)</f>
        <v>0</v>
      </c>
      <c r="O154" s="14" cm="1">
        <f t="array" ref="O154">INT(SUMPRODUCT(--ISNUMBER(SEARCH(violent,C154)))&gt;0)</f>
        <v>0</v>
      </c>
      <c r="P154" s="14" cm="1">
        <f t="array" ref="P154">INT(SUMPRODUCT(--ISNUMBER(SEARCH(foreign,C154)))&gt;0)</f>
        <v>0</v>
      </c>
      <c r="Q154" s="14" cm="1">
        <f t="array" ref="Q154">INT(SUMPRODUCT(--ISNUMBER(SEARCH(gun,C154)))&gt;0)</f>
        <v>0</v>
      </c>
      <c r="R154" s="14" cm="1">
        <f t="array" ref="R154">INT(SUMPRODUCT(--ISNUMBER(SEARCH(race,C154)))&gt;0)</f>
        <v>0</v>
      </c>
      <c r="S154" s="14" cm="1">
        <f t="array" ref="S154">INT(SUMPRODUCT(--ISNUMBER(SEARCH(immigration,C154)))&gt;0)</f>
        <v>0</v>
      </c>
      <c r="T154" s="14" cm="1">
        <f t="array" ref="T154">INT(SUMPRODUCT(--ISNUMBER(SEARCH(econineq,C155)))&gt;0)</f>
        <v>0</v>
      </c>
      <c r="U154" s="14" cm="1">
        <f t="array" ref="U154">INT(SUMPRODUCT(--ISNUMBER(SEARCH(climate,C154)))&gt;0)</f>
        <v>0</v>
      </c>
      <c r="V154" s="14" cm="1">
        <f t="array" ref="V154">INT(SUMPRODUCT(--ISNUMBER(SEARCH(abortion,C154)))&gt;0)</f>
        <v>0</v>
      </c>
      <c r="W154" s="14" cm="1">
        <f t="array" ref="W154">INT(SUMPRODUCT(--ISNUMBER(SEARCH(trump,C154)))&gt;0)</f>
        <v>0</v>
      </c>
      <c r="X154" s="14" cm="1">
        <f t="array" ref="X154">INT(SUMPRODUCT(--ISNUMBER(SEARCH(voting,C154)))&gt;0)</f>
        <v>1</v>
      </c>
      <c r="Y154" s="14" cm="1">
        <f t="array" ref="Y154">INT(SUMPRODUCT(--ISNUMBER(SEARCH(democrattrigger,C154)))&gt;0)</f>
        <v>0</v>
      </c>
      <c r="Z154" s="14" cm="1">
        <f t="array" ref="Z154">INT(SUMPRODUCT(--ISNUMBER(SEARCH(bipartisan,C154)))&gt;0)</f>
        <v>0</v>
      </c>
      <c r="AA154" s="14">
        <f t="shared" si="2"/>
        <v>0</v>
      </c>
      <c r="AB154" s="14"/>
      <c r="AC154" s="30" t="s">
        <v>223</v>
      </c>
      <c r="AD154" s="37" t="s">
        <v>223</v>
      </c>
    </row>
    <row r="155" spans="1:30" x14ac:dyDescent="0.25">
      <c r="A155" s="36">
        <v>2947</v>
      </c>
      <c r="B155" s="14" t="s">
        <v>5919</v>
      </c>
      <c r="C155" s="14" t="s">
        <v>5920</v>
      </c>
      <c r="D155" s="17">
        <v>44112</v>
      </c>
      <c r="E155" s="14" t="s">
        <v>30</v>
      </c>
      <c r="F155" s="14">
        <v>155</v>
      </c>
      <c r="G155" s="14">
        <v>48</v>
      </c>
      <c r="H155" s="14">
        <v>13</v>
      </c>
      <c r="I155" s="14">
        <v>7</v>
      </c>
      <c r="J155" s="14" t="s">
        <v>204</v>
      </c>
      <c r="K155" s="14" cm="1">
        <f t="array" ref="K155">INT(SUMPRODUCT(--ISNUMBER(SEARCH(economy,C155)))&gt;0)</f>
        <v>0</v>
      </c>
      <c r="L155" s="14" cm="1">
        <f t="array" ref="L155">INT(SUMPRODUCT(--ISNUMBER(SEARCH(healthcare,C155)))&gt;0)</f>
        <v>0</v>
      </c>
      <c r="M155" s="14" cm="1">
        <f t="array" ref="M155">INT(SUMPRODUCT(--ISNUMBER(SEARCH(supreme,C155)))&gt;0)</f>
        <v>1</v>
      </c>
      <c r="N155" s="14" cm="1">
        <f t="array" ref="N155">INT(SUMPRODUCT(--ISNUMBER(SEARCH(covid,C155)))&gt;0)</f>
        <v>0</v>
      </c>
      <c r="O155" s="14" cm="1">
        <f t="array" ref="O155">INT(SUMPRODUCT(--ISNUMBER(SEARCH(violent,C155)))&gt;0)</f>
        <v>0</v>
      </c>
      <c r="P155" s="14" cm="1">
        <f t="array" ref="P155">INT(SUMPRODUCT(--ISNUMBER(SEARCH(foreign,C155)))&gt;0)</f>
        <v>0</v>
      </c>
      <c r="Q155" s="14" cm="1">
        <f t="array" ref="Q155">INT(SUMPRODUCT(--ISNUMBER(SEARCH(gun,C155)))&gt;0)</f>
        <v>0</v>
      </c>
      <c r="R155" s="14" cm="1">
        <f t="array" ref="R155">INT(SUMPRODUCT(--ISNUMBER(SEARCH(race,C155)))&gt;0)</f>
        <v>0</v>
      </c>
      <c r="S155" s="14" cm="1">
        <f t="array" ref="S155">INT(SUMPRODUCT(--ISNUMBER(SEARCH(immigration,C155)))&gt;0)</f>
        <v>0</v>
      </c>
      <c r="T155" s="14" cm="1">
        <f t="array" ref="T155">INT(SUMPRODUCT(--ISNUMBER(SEARCH(econineq,C156)))&gt;0)</f>
        <v>0</v>
      </c>
      <c r="U155" s="14" cm="1">
        <f t="array" ref="U155">INT(SUMPRODUCT(--ISNUMBER(SEARCH(climate,C155)))&gt;0)</f>
        <v>0</v>
      </c>
      <c r="V155" s="14" cm="1">
        <f t="array" ref="V155">INT(SUMPRODUCT(--ISNUMBER(SEARCH(abortion,C155)))&gt;0)</f>
        <v>0</v>
      </c>
      <c r="W155" s="14" cm="1">
        <f t="array" ref="W155">INT(SUMPRODUCT(--ISNUMBER(SEARCH(trump,C155)))&gt;0)</f>
        <v>1</v>
      </c>
      <c r="X155" s="14" cm="1">
        <f t="array" ref="X155">INT(SUMPRODUCT(--ISNUMBER(SEARCH(voting,C155)))&gt;0)</f>
        <v>1</v>
      </c>
      <c r="Y155" s="14" cm="1">
        <f t="array" ref="Y155">INT(SUMPRODUCT(--ISNUMBER(SEARCH(democrattrigger,C155)))&gt;0)</f>
        <v>0</v>
      </c>
      <c r="Z155" s="14" cm="1">
        <f t="array" ref="Z155">INT(SUMPRODUCT(--ISNUMBER(SEARCH(bipartisan,C155)))&gt;0)</f>
        <v>0</v>
      </c>
      <c r="AA155" s="14">
        <f t="shared" si="2"/>
        <v>0</v>
      </c>
      <c r="AB155" s="14"/>
      <c r="AC155" s="30" t="s">
        <v>223</v>
      </c>
      <c r="AD155" s="37" t="s">
        <v>223</v>
      </c>
    </row>
    <row r="156" spans="1:30" x14ac:dyDescent="0.25">
      <c r="A156" s="36">
        <v>2948</v>
      </c>
      <c r="B156" s="14" t="s">
        <v>5921</v>
      </c>
      <c r="C156" s="14" t="s">
        <v>5922</v>
      </c>
      <c r="D156" s="17">
        <v>44112</v>
      </c>
      <c r="E156" s="14" t="s">
        <v>30</v>
      </c>
      <c r="F156" s="14">
        <v>18</v>
      </c>
      <c r="G156" s="14">
        <v>3</v>
      </c>
      <c r="H156" s="14">
        <v>13</v>
      </c>
      <c r="I156" s="14">
        <v>7</v>
      </c>
      <c r="J156" s="14" t="s">
        <v>204</v>
      </c>
      <c r="K156" s="14" cm="1">
        <f t="array" ref="K156">INT(SUMPRODUCT(--ISNUMBER(SEARCH(economy,C156)))&gt;0)</f>
        <v>0</v>
      </c>
      <c r="L156" s="14" cm="1">
        <f t="array" ref="L156">INT(SUMPRODUCT(--ISNUMBER(SEARCH(healthcare,C156)))&gt;0)</f>
        <v>1</v>
      </c>
      <c r="M156" s="14" cm="1">
        <f t="array" ref="M156">INT(SUMPRODUCT(--ISNUMBER(SEARCH(supreme,C156)))&gt;0)</f>
        <v>0</v>
      </c>
      <c r="N156" s="14" cm="1">
        <f t="array" ref="N156">INT(SUMPRODUCT(--ISNUMBER(SEARCH(covid,C156)))&gt;0)</f>
        <v>0</v>
      </c>
      <c r="O156" s="14" cm="1">
        <f t="array" ref="O156">INT(SUMPRODUCT(--ISNUMBER(SEARCH(violent,C156)))&gt;0)</f>
        <v>0</v>
      </c>
      <c r="P156" s="14" cm="1">
        <f t="array" ref="P156">INT(SUMPRODUCT(--ISNUMBER(SEARCH(foreign,C156)))&gt;0)</f>
        <v>0</v>
      </c>
      <c r="Q156" s="14" cm="1">
        <f t="array" ref="Q156">INT(SUMPRODUCT(--ISNUMBER(SEARCH(gun,C156)))&gt;0)</f>
        <v>0</v>
      </c>
      <c r="R156" s="14" cm="1">
        <f t="array" ref="R156">INT(SUMPRODUCT(--ISNUMBER(SEARCH(race,C156)))&gt;0)</f>
        <v>0</v>
      </c>
      <c r="S156" s="14" cm="1">
        <f t="array" ref="S156">INT(SUMPRODUCT(--ISNUMBER(SEARCH(immigration,C156)))&gt;0)</f>
        <v>0</v>
      </c>
      <c r="T156" s="14" cm="1">
        <f t="array" ref="T156">INT(SUMPRODUCT(--ISNUMBER(SEARCH(econineq,C157)))&gt;0)</f>
        <v>0</v>
      </c>
      <c r="U156" s="14" cm="1">
        <f t="array" ref="U156">INT(SUMPRODUCT(--ISNUMBER(SEARCH(climate,C156)))&gt;0)</f>
        <v>0</v>
      </c>
      <c r="V156" s="14" cm="1">
        <f t="array" ref="V156">INT(SUMPRODUCT(--ISNUMBER(SEARCH(abortion,C156)))&gt;0)</f>
        <v>0</v>
      </c>
      <c r="W156" s="14" cm="1">
        <f t="array" ref="W156">INT(SUMPRODUCT(--ISNUMBER(SEARCH(trump,C156)))&gt;0)</f>
        <v>0</v>
      </c>
      <c r="X156" s="14" cm="1">
        <f t="array" ref="X156">INT(SUMPRODUCT(--ISNUMBER(SEARCH(voting,C156)))&gt;0)</f>
        <v>0</v>
      </c>
      <c r="Y156" s="14" cm="1">
        <f t="array" ref="Y156">INT(SUMPRODUCT(--ISNUMBER(SEARCH(democrattrigger,C156)))&gt;0)</f>
        <v>0</v>
      </c>
      <c r="Z156" s="14" cm="1">
        <f t="array" ref="Z156">INT(SUMPRODUCT(--ISNUMBER(SEARCH(bipartisan,C156)))&gt;0)</f>
        <v>1</v>
      </c>
      <c r="AA156" s="14">
        <f t="shared" si="2"/>
        <v>0</v>
      </c>
      <c r="AB156" s="14"/>
      <c r="AC156" s="30" t="s">
        <v>223</v>
      </c>
      <c r="AD156" s="37" t="s">
        <v>223</v>
      </c>
    </row>
    <row r="157" spans="1:30" x14ac:dyDescent="0.25">
      <c r="A157" s="36">
        <v>2949</v>
      </c>
      <c r="B157" s="14" t="s">
        <v>5923</v>
      </c>
      <c r="C157" s="14" t="s">
        <v>5924</v>
      </c>
      <c r="D157" s="17">
        <v>44112</v>
      </c>
      <c r="E157" s="14" t="s">
        <v>30</v>
      </c>
      <c r="F157" s="14">
        <v>120</v>
      </c>
      <c r="G157" s="14">
        <v>31</v>
      </c>
      <c r="H157" s="14">
        <v>13</v>
      </c>
      <c r="I157" s="14">
        <v>7</v>
      </c>
      <c r="J157" s="14" t="s">
        <v>204</v>
      </c>
      <c r="K157" s="14" cm="1">
        <f t="array" ref="K157">INT(SUMPRODUCT(--ISNUMBER(SEARCH(economy,C157)))&gt;0)</f>
        <v>0</v>
      </c>
      <c r="L157" s="14" cm="1">
        <f t="array" ref="L157">INT(SUMPRODUCT(--ISNUMBER(SEARCH(healthcare,C157)))&gt;0)</f>
        <v>1</v>
      </c>
      <c r="M157" s="14" cm="1">
        <f t="array" ref="M157">INT(SUMPRODUCT(--ISNUMBER(SEARCH(supreme,C157)))&gt;0)</f>
        <v>0</v>
      </c>
      <c r="N157" s="14" cm="1">
        <f t="array" ref="N157">INT(SUMPRODUCT(--ISNUMBER(SEARCH(covid,C157)))&gt;0)</f>
        <v>0</v>
      </c>
      <c r="O157" s="14" cm="1">
        <f t="array" ref="O157">INT(SUMPRODUCT(--ISNUMBER(SEARCH(violent,C157)))&gt;0)</f>
        <v>0</v>
      </c>
      <c r="P157" s="14" cm="1">
        <f t="array" ref="P157">INT(SUMPRODUCT(--ISNUMBER(SEARCH(foreign,C157)))&gt;0)</f>
        <v>0</v>
      </c>
      <c r="Q157" s="14" cm="1">
        <f t="array" ref="Q157">INT(SUMPRODUCT(--ISNUMBER(SEARCH(gun,C157)))&gt;0)</f>
        <v>0</v>
      </c>
      <c r="R157" s="14" cm="1">
        <f t="array" ref="R157">INT(SUMPRODUCT(--ISNUMBER(SEARCH(race,C157)))&gt;0)</f>
        <v>0</v>
      </c>
      <c r="S157" s="14" cm="1">
        <f t="array" ref="S157">INT(SUMPRODUCT(--ISNUMBER(SEARCH(immigration,C157)))&gt;0)</f>
        <v>0</v>
      </c>
      <c r="T157" s="14" cm="1">
        <f t="array" ref="T157">INT(SUMPRODUCT(--ISNUMBER(SEARCH(econineq,C158)))&gt;0)</f>
        <v>0</v>
      </c>
      <c r="U157" s="14" cm="1">
        <f t="array" ref="U157">INT(SUMPRODUCT(--ISNUMBER(SEARCH(climate,C157)))&gt;0)</f>
        <v>0</v>
      </c>
      <c r="V157" s="14" cm="1">
        <f t="array" ref="V157">INT(SUMPRODUCT(--ISNUMBER(SEARCH(abortion,C157)))&gt;0)</f>
        <v>0</v>
      </c>
      <c r="W157" s="14" cm="1">
        <f t="array" ref="W157">INT(SUMPRODUCT(--ISNUMBER(SEARCH(trump,C157)))&gt;0)</f>
        <v>0</v>
      </c>
      <c r="X157" s="14" cm="1">
        <f t="array" ref="X157">INT(SUMPRODUCT(--ISNUMBER(SEARCH(voting,C157)))&gt;0)</f>
        <v>0</v>
      </c>
      <c r="Y157" s="14" cm="1">
        <f t="array" ref="Y157">INT(SUMPRODUCT(--ISNUMBER(SEARCH(democrattrigger,C157)))&gt;0)</f>
        <v>0</v>
      </c>
      <c r="Z157" s="14" cm="1">
        <f t="array" ref="Z157">INT(SUMPRODUCT(--ISNUMBER(SEARCH(bipartisan,C157)))&gt;0)</f>
        <v>0</v>
      </c>
      <c r="AA157" s="14">
        <f t="shared" si="2"/>
        <v>0</v>
      </c>
      <c r="AB157" s="14"/>
      <c r="AC157" s="30" t="s">
        <v>223</v>
      </c>
      <c r="AD157" s="37" t="s">
        <v>223</v>
      </c>
    </row>
    <row r="158" spans="1:30" x14ac:dyDescent="0.25">
      <c r="A158" s="36">
        <v>2950</v>
      </c>
      <c r="B158" s="14" t="s">
        <v>5925</v>
      </c>
      <c r="C158" s="14" t="s">
        <v>5926</v>
      </c>
      <c r="D158" s="17">
        <v>44112</v>
      </c>
      <c r="E158" s="14" t="s">
        <v>30</v>
      </c>
      <c r="F158" s="14">
        <v>30</v>
      </c>
      <c r="G158" s="14">
        <v>11</v>
      </c>
      <c r="H158" s="14">
        <v>13</v>
      </c>
      <c r="I158" s="14">
        <v>7</v>
      </c>
      <c r="J158" s="14" t="s">
        <v>204</v>
      </c>
      <c r="K158" s="14" cm="1">
        <f t="array" ref="K158">INT(SUMPRODUCT(--ISNUMBER(SEARCH(economy,C158)))&gt;0)</f>
        <v>0</v>
      </c>
      <c r="L158" s="14" cm="1">
        <f t="array" ref="L158">INT(SUMPRODUCT(--ISNUMBER(SEARCH(healthcare,C158)))&gt;0)</f>
        <v>1</v>
      </c>
      <c r="M158" s="14" cm="1">
        <f t="array" ref="M158">INT(SUMPRODUCT(--ISNUMBER(SEARCH(supreme,C158)))&gt;0)</f>
        <v>0</v>
      </c>
      <c r="N158" s="14" cm="1">
        <f t="array" ref="N158">INT(SUMPRODUCT(--ISNUMBER(SEARCH(covid,C158)))&gt;0)</f>
        <v>0</v>
      </c>
      <c r="O158" s="14" cm="1">
        <f t="array" ref="O158">INT(SUMPRODUCT(--ISNUMBER(SEARCH(violent,C158)))&gt;0)</f>
        <v>0</v>
      </c>
      <c r="P158" s="14" cm="1">
        <f t="array" ref="P158">INT(SUMPRODUCT(--ISNUMBER(SEARCH(foreign,C158)))&gt;0)</f>
        <v>0</v>
      </c>
      <c r="Q158" s="14" cm="1">
        <f t="array" ref="Q158">INT(SUMPRODUCT(--ISNUMBER(SEARCH(gun,C158)))&gt;0)</f>
        <v>0</v>
      </c>
      <c r="R158" s="14" cm="1">
        <f t="array" ref="R158">INT(SUMPRODUCT(--ISNUMBER(SEARCH(race,C158)))&gt;0)</f>
        <v>0</v>
      </c>
      <c r="S158" s="14" cm="1">
        <f t="array" ref="S158">INT(SUMPRODUCT(--ISNUMBER(SEARCH(immigration,C158)))&gt;0)</f>
        <v>0</v>
      </c>
      <c r="T158" s="14" cm="1">
        <f t="array" ref="T158">INT(SUMPRODUCT(--ISNUMBER(SEARCH(econineq,C159)))&gt;0)</f>
        <v>1</v>
      </c>
      <c r="U158" s="14" cm="1">
        <f t="array" ref="U158">INT(SUMPRODUCT(--ISNUMBER(SEARCH(climate,C158)))&gt;0)</f>
        <v>0</v>
      </c>
      <c r="V158" s="14" cm="1">
        <f t="array" ref="V158">INT(SUMPRODUCT(--ISNUMBER(SEARCH(abortion,C158)))&gt;0)</f>
        <v>0</v>
      </c>
      <c r="W158" s="14" cm="1">
        <f t="array" ref="W158">INT(SUMPRODUCT(--ISNUMBER(SEARCH(trump,C158)))&gt;0)</f>
        <v>0</v>
      </c>
      <c r="X158" s="14" cm="1">
        <f t="array" ref="X158">INT(SUMPRODUCT(--ISNUMBER(SEARCH(voting,C158)))&gt;0)</f>
        <v>0</v>
      </c>
      <c r="Y158" s="14" cm="1">
        <f t="array" ref="Y158">INT(SUMPRODUCT(--ISNUMBER(SEARCH(democrattrigger,C158)))&gt;0)</f>
        <v>1</v>
      </c>
      <c r="Z158" s="14" cm="1">
        <f t="array" ref="Z158">INT(SUMPRODUCT(--ISNUMBER(SEARCH(bipartisan,C158)))&gt;0)</f>
        <v>0</v>
      </c>
      <c r="AA158" s="14">
        <f t="shared" si="2"/>
        <v>0</v>
      </c>
      <c r="AB158" s="14"/>
      <c r="AC158" s="30" t="s">
        <v>223</v>
      </c>
      <c r="AD158" s="37" t="s">
        <v>223</v>
      </c>
    </row>
    <row r="159" spans="1:30" x14ac:dyDescent="0.25">
      <c r="A159" s="36">
        <v>2951</v>
      </c>
      <c r="B159" s="14" t="s">
        <v>5927</v>
      </c>
      <c r="C159" s="14" t="s">
        <v>5928</v>
      </c>
      <c r="D159" s="17">
        <v>44112</v>
      </c>
      <c r="E159" s="14" t="s">
        <v>30</v>
      </c>
      <c r="F159" s="14">
        <v>26</v>
      </c>
      <c r="G159" s="14">
        <v>9</v>
      </c>
      <c r="H159" s="14">
        <v>13</v>
      </c>
      <c r="I159" s="14">
        <v>7</v>
      </c>
      <c r="J159" s="14" t="s">
        <v>204</v>
      </c>
      <c r="K159" s="14" cm="1">
        <f t="array" ref="K159">INT(SUMPRODUCT(--ISNUMBER(SEARCH(economy,C159)))&gt;0)</f>
        <v>1</v>
      </c>
      <c r="L159" s="14" cm="1">
        <f t="array" ref="L159">INT(SUMPRODUCT(--ISNUMBER(SEARCH(healthcare,C159)))&gt;0)</f>
        <v>1</v>
      </c>
      <c r="M159" s="14" cm="1">
        <f t="array" ref="M159">INT(SUMPRODUCT(--ISNUMBER(SEARCH(supreme,C159)))&gt;0)</f>
        <v>0</v>
      </c>
      <c r="N159" s="14" cm="1">
        <f t="array" ref="N159">INT(SUMPRODUCT(--ISNUMBER(SEARCH(covid,C159)))&gt;0)</f>
        <v>1</v>
      </c>
      <c r="O159" s="14" cm="1">
        <f t="array" ref="O159">INT(SUMPRODUCT(--ISNUMBER(SEARCH(violent,C159)))&gt;0)</f>
        <v>0</v>
      </c>
      <c r="P159" s="14" cm="1">
        <f t="array" ref="P159">INT(SUMPRODUCT(--ISNUMBER(SEARCH(foreign,C159)))&gt;0)</f>
        <v>1</v>
      </c>
      <c r="Q159" s="14" cm="1">
        <f t="array" ref="Q159">INT(SUMPRODUCT(--ISNUMBER(SEARCH(gun,C159)))&gt;0)</f>
        <v>0</v>
      </c>
      <c r="R159" s="14" cm="1">
        <f t="array" ref="R159">INT(SUMPRODUCT(--ISNUMBER(SEARCH(race,C159)))&gt;0)</f>
        <v>0</v>
      </c>
      <c r="S159" s="14" cm="1">
        <f t="array" ref="S159">INT(SUMPRODUCT(--ISNUMBER(SEARCH(immigration,C159)))&gt;0)</f>
        <v>0</v>
      </c>
      <c r="T159" s="14" cm="1">
        <f t="array" ref="T159">INT(SUMPRODUCT(--ISNUMBER(SEARCH(econineq,C160)))&gt;0)</f>
        <v>0</v>
      </c>
      <c r="U159" s="14" cm="1">
        <f t="array" ref="U159">INT(SUMPRODUCT(--ISNUMBER(SEARCH(climate,C159)))&gt;0)</f>
        <v>0</v>
      </c>
      <c r="V159" s="14" cm="1">
        <f t="array" ref="V159">INT(SUMPRODUCT(--ISNUMBER(SEARCH(abortion,C159)))&gt;0)</f>
        <v>0</v>
      </c>
      <c r="W159" s="14" cm="1">
        <f t="array" ref="W159">INT(SUMPRODUCT(--ISNUMBER(SEARCH(trump,C159)))&gt;0)</f>
        <v>1</v>
      </c>
      <c r="X159" s="14" cm="1">
        <f t="array" ref="X159">INT(SUMPRODUCT(--ISNUMBER(SEARCH(voting,C159)))&gt;0)</f>
        <v>0</v>
      </c>
      <c r="Y159" s="14" cm="1">
        <f t="array" ref="Y159">INT(SUMPRODUCT(--ISNUMBER(SEARCH(democrattrigger,C159)))&gt;0)</f>
        <v>1</v>
      </c>
      <c r="Z159" s="14" cm="1">
        <f t="array" ref="Z159">INT(SUMPRODUCT(--ISNUMBER(SEARCH(bipartisan,C159)))&gt;0)</f>
        <v>0</v>
      </c>
      <c r="AA159" s="14">
        <f t="shared" si="2"/>
        <v>0</v>
      </c>
      <c r="AB159" s="14"/>
      <c r="AC159" s="30" t="s">
        <v>223</v>
      </c>
      <c r="AD159" s="37" t="s">
        <v>223</v>
      </c>
    </row>
    <row r="160" spans="1:30" x14ac:dyDescent="0.25">
      <c r="A160" s="36">
        <v>2952</v>
      </c>
      <c r="B160" s="14" t="s">
        <v>5929</v>
      </c>
      <c r="C160" s="14" t="s">
        <v>5930</v>
      </c>
      <c r="D160" s="17">
        <v>44112</v>
      </c>
      <c r="E160" s="14" t="s">
        <v>30</v>
      </c>
      <c r="F160" s="14">
        <v>26</v>
      </c>
      <c r="G160" s="14">
        <v>9</v>
      </c>
      <c r="H160" s="14">
        <v>13</v>
      </c>
      <c r="I160" s="14">
        <v>7</v>
      </c>
      <c r="J160" s="14" t="s">
        <v>204</v>
      </c>
      <c r="K160" s="14" cm="1">
        <f t="array" ref="K160">INT(SUMPRODUCT(--ISNUMBER(SEARCH(economy,C160)))&gt;0)</f>
        <v>0</v>
      </c>
      <c r="L160" s="14" cm="1">
        <f t="array" ref="L160">INT(SUMPRODUCT(--ISNUMBER(SEARCH(healthcare,C160)))&gt;0)</f>
        <v>0</v>
      </c>
      <c r="M160" s="14" cm="1">
        <f t="array" ref="M160">INT(SUMPRODUCT(--ISNUMBER(SEARCH(supreme,C160)))&gt;0)</f>
        <v>0</v>
      </c>
      <c r="N160" s="14" cm="1">
        <f t="array" ref="N160">INT(SUMPRODUCT(--ISNUMBER(SEARCH(covid,C160)))&gt;0)</f>
        <v>0</v>
      </c>
      <c r="O160" s="14" cm="1">
        <f t="array" ref="O160">INT(SUMPRODUCT(--ISNUMBER(SEARCH(violent,C160)))&gt;0)</f>
        <v>0</v>
      </c>
      <c r="P160" s="14" cm="1">
        <f t="array" ref="P160">INT(SUMPRODUCT(--ISNUMBER(SEARCH(foreign,C160)))&gt;0)</f>
        <v>0</v>
      </c>
      <c r="Q160" s="14" cm="1">
        <f t="array" ref="Q160">INT(SUMPRODUCT(--ISNUMBER(SEARCH(gun,C160)))&gt;0)</f>
        <v>0</v>
      </c>
      <c r="R160" s="14" cm="1">
        <f t="array" ref="R160">INT(SUMPRODUCT(--ISNUMBER(SEARCH(race,C160)))&gt;0)</f>
        <v>0</v>
      </c>
      <c r="S160" s="14" cm="1">
        <f t="array" ref="S160">INT(SUMPRODUCT(--ISNUMBER(SEARCH(immigration,C160)))&gt;0)</f>
        <v>0</v>
      </c>
      <c r="T160" s="14" cm="1">
        <f t="array" ref="T160">INT(SUMPRODUCT(--ISNUMBER(SEARCH(econineq,C161)))&gt;0)</f>
        <v>0</v>
      </c>
      <c r="U160" s="14" cm="1">
        <f t="array" ref="U160">INT(SUMPRODUCT(--ISNUMBER(SEARCH(climate,C160)))&gt;0)</f>
        <v>0</v>
      </c>
      <c r="V160" s="14" cm="1">
        <f t="array" ref="V160">INT(SUMPRODUCT(--ISNUMBER(SEARCH(abortion,C160)))&gt;0)</f>
        <v>0</v>
      </c>
      <c r="W160" s="14" cm="1">
        <f t="array" ref="W160">INT(SUMPRODUCT(--ISNUMBER(SEARCH(trump,C160)))&gt;0)</f>
        <v>0</v>
      </c>
      <c r="X160" s="14" cm="1">
        <f t="array" ref="X160">INT(SUMPRODUCT(--ISNUMBER(SEARCH(voting,C160)))&gt;0)</f>
        <v>0</v>
      </c>
      <c r="Y160" s="14" cm="1">
        <f t="array" ref="Y160">INT(SUMPRODUCT(--ISNUMBER(SEARCH(democrattrigger,C160)))&gt;0)</f>
        <v>0</v>
      </c>
      <c r="Z160" s="14" cm="1">
        <f t="array" ref="Z160">INT(SUMPRODUCT(--ISNUMBER(SEARCH(bipartisan,C160)))&gt;0)</f>
        <v>0</v>
      </c>
      <c r="AA160" s="14">
        <f t="shared" si="2"/>
        <v>1</v>
      </c>
      <c r="AB160" s="14"/>
      <c r="AC160" s="30" t="s">
        <v>223</v>
      </c>
      <c r="AD160" s="37" t="s">
        <v>223</v>
      </c>
    </row>
    <row r="161" spans="1:30" x14ac:dyDescent="0.25">
      <c r="A161" s="36">
        <v>2953</v>
      </c>
      <c r="B161" s="14" t="s">
        <v>5931</v>
      </c>
      <c r="C161" s="14" t="s">
        <v>5932</v>
      </c>
      <c r="D161" s="17">
        <v>44112</v>
      </c>
      <c r="E161" s="14" t="s">
        <v>30</v>
      </c>
      <c r="F161" s="14">
        <v>26</v>
      </c>
      <c r="G161" s="14">
        <v>9</v>
      </c>
      <c r="H161" s="14">
        <v>13</v>
      </c>
      <c r="I161" s="14">
        <v>7</v>
      </c>
      <c r="J161" s="14" t="s">
        <v>204</v>
      </c>
      <c r="K161" s="14" cm="1">
        <f t="array" ref="K161">INT(SUMPRODUCT(--ISNUMBER(SEARCH(economy,C161)))&gt;0)</f>
        <v>1</v>
      </c>
      <c r="L161" s="14" cm="1">
        <f t="array" ref="L161">INT(SUMPRODUCT(--ISNUMBER(SEARCH(healthcare,C161)))&gt;0)</f>
        <v>1</v>
      </c>
      <c r="M161" s="14" cm="1">
        <f t="array" ref="M161">INT(SUMPRODUCT(--ISNUMBER(SEARCH(supreme,C161)))&gt;0)</f>
        <v>0</v>
      </c>
      <c r="N161" s="14" cm="1">
        <f t="array" ref="N161">INT(SUMPRODUCT(--ISNUMBER(SEARCH(covid,C161)))&gt;0)</f>
        <v>1</v>
      </c>
      <c r="O161" s="14" cm="1">
        <f t="array" ref="O161">INT(SUMPRODUCT(--ISNUMBER(SEARCH(violent,C161)))&gt;0)</f>
        <v>0</v>
      </c>
      <c r="P161" s="14" cm="1">
        <f t="array" ref="P161">INT(SUMPRODUCT(--ISNUMBER(SEARCH(foreign,C161)))&gt;0)</f>
        <v>0</v>
      </c>
      <c r="Q161" s="14" cm="1">
        <f t="array" ref="Q161">INT(SUMPRODUCT(--ISNUMBER(SEARCH(gun,C161)))&gt;0)</f>
        <v>0</v>
      </c>
      <c r="R161" s="14" cm="1">
        <f t="array" ref="R161">INT(SUMPRODUCT(--ISNUMBER(SEARCH(race,C161)))&gt;0)</f>
        <v>0</v>
      </c>
      <c r="S161" s="14" cm="1">
        <f t="array" ref="S161">INT(SUMPRODUCT(--ISNUMBER(SEARCH(immigration,C161)))&gt;0)</f>
        <v>0</v>
      </c>
      <c r="T161" s="14" cm="1">
        <f t="array" ref="T161">INT(SUMPRODUCT(--ISNUMBER(SEARCH(econineq,C162)))&gt;0)</f>
        <v>0</v>
      </c>
      <c r="U161" s="14" cm="1">
        <f t="array" ref="U161">INT(SUMPRODUCT(--ISNUMBER(SEARCH(climate,C161)))&gt;0)</f>
        <v>0</v>
      </c>
      <c r="V161" s="14" cm="1">
        <f t="array" ref="V161">INT(SUMPRODUCT(--ISNUMBER(SEARCH(abortion,C161)))&gt;0)</f>
        <v>0</v>
      </c>
      <c r="W161" s="14" cm="1">
        <f t="array" ref="W161">INT(SUMPRODUCT(--ISNUMBER(SEARCH(trump,C161)))&gt;0)</f>
        <v>0</v>
      </c>
      <c r="X161" s="14" cm="1">
        <f t="array" ref="X161">INT(SUMPRODUCT(--ISNUMBER(SEARCH(voting,C161)))&gt;0)</f>
        <v>0</v>
      </c>
      <c r="Y161" s="14" cm="1">
        <f t="array" ref="Y161">INT(SUMPRODUCT(--ISNUMBER(SEARCH(democrattrigger,C161)))&gt;0)</f>
        <v>0</v>
      </c>
      <c r="Z161" s="14" cm="1">
        <f t="array" ref="Z161">INT(SUMPRODUCT(--ISNUMBER(SEARCH(bipartisan,C161)))&gt;0)</f>
        <v>0</v>
      </c>
      <c r="AA161" s="14">
        <f t="shared" si="2"/>
        <v>0</v>
      </c>
      <c r="AB161" s="14"/>
      <c r="AC161" s="30" t="s">
        <v>223</v>
      </c>
      <c r="AD161" s="37" t="s">
        <v>223</v>
      </c>
    </row>
    <row r="162" spans="1:30" x14ac:dyDescent="0.25">
      <c r="A162" s="36">
        <v>2954</v>
      </c>
      <c r="B162" s="14" t="s">
        <v>5933</v>
      </c>
      <c r="C162" s="14" t="s">
        <v>5934</v>
      </c>
      <c r="D162" s="17">
        <v>44112</v>
      </c>
      <c r="E162" s="14" t="s">
        <v>30</v>
      </c>
      <c r="F162" s="14">
        <v>99</v>
      </c>
      <c r="G162" s="14">
        <v>26</v>
      </c>
      <c r="H162" s="14">
        <v>13</v>
      </c>
      <c r="I162" s="14">
        <v>7</v>
      </c>
      <c r="J162" s="14" t="s">
        <v>204</v>
      </c>
      <c r="K162" s="14" cm="1">
        <f t="array" ref="K162">INT(SUMPRODUCT(--ISNUMBER(SEARCH(economy,C162)))&gt;0)</f>
        <v>0</v>
      </c>
      <c r="L162" s="14" cm="1">
        <f t="array" ref="L162">INT(SUMPRODUCT(--ISNUMBER(SEARCH(healthcare,C162)))&gt;0)</f>
        <v>0</v>
      </c>
      <c r="M162" s="14" cm="1">
        <f t="array" ref="M162">INT(SUMPRODUCT(--ISNUMBER(SEARCH(supreme,C162)))&gt;0)</f>
        <v>0</v>
      </c>
      <c r="N162" s="14" cm="1">
        <f t="array" ref="N162">INT(SUMPRODUCT(--ISNUMBER(SEARCH(covid,C162)))&gt;0)</f>
        <v>0</v>
      </c>
      <c r="O162" s="14" cm="1">
        <f t="array" ref="O162">INT(SUMPRODUCT(--ISNUMBER(SEARCH(violent,C162)))&gt;0)</f>
        <v>0</v>
      </c>
      <c r="P162" s="14" cm="1">
        <f t="array" ref="P162">INT(SUMPRODUCT(--ISNUMBER(SEARCH(foreign,C162)))&gt;0)</f>
        <v>0</v>
      </c>
      <c r="Q162" s="14" cm="1">
        <f t="array" ref="Q162">INT(SUMPRODUCT(--ISNUMBER(SEARCH(gun,C162)))&gt;0)</f>
        <v>0</v>
      </c>
      <c r="R162" s="14" cm="1">
        <f t="array" ref="R162">INT(SUMPRODUCT(--ISNUMBER(SEARCH(race,C162)))&gt;0)</f>
        <v>0</v>
      </c>
      <c r="S162" s="14" cm="1">
        <f t="array" ref="S162">INT(SUMPRODUCT(--ISNUMBER(SEARCH(immigration,C162)))&gt;0)</f>
        <v>0</v>
      </c>
      <c r="T162" s="14" cm="1">
        <f t="array" ref="T162">INT(SUMPRODUCT(--ISNUMBER(SEARCH(econineq,C163)))&gt;0)</f>
        <v>0</v>
      </c>
      <c r="U162" s="14" cm="1">
        <f t="array" ref="U162">INT(SUMPRODUCT(--ISNUMBER(SEARCH(climate,C162)))&gt;0)</f>
        <v>0</v>
      </c>
      <c r="V162" s="14" cm="1">
        <f t="array" ref="V162">INT(SUMPRODUCT(--ISNUMBER(SEARCH(abortion,C162)))&gt;0)</f>
        <v>0</v>
      </c>
      <c r="W162" s="14" cm="1">
        <f t="array" ref="W162">INT(SUMPRODUCT(--ISNUMBER(SEARCH(trump,C162)))&gt;0)</f>
        <v>0</v>
      </c>
      <c r="X162" s="14" cm="1">
        <f t="array" ref="X162">INT(SUMPRODUCT(--ISNUMBER(SEARCH(voting,C162)))&gt;0)</f>
        <v>0</v>
      </c>
      <c r="Y162" s="14" cm="1">
        <f t="array" ref="Y162">INT(SUMPRODUCT(--ISNUMBER(SEARCH(democrattrigger,C162)))&gt;0)</f>
        <v>0</v>
      </c>
      <c r="Z162" s="14" cm="1">
        <f t="array" ref="Z162">INT(SUMPRODUCT(--ISNUMBER(SEARCH(bipartisan,C162)))&gt;0)</f>
        <v>0</v>
      </c>
      <c r="AA162" s="14">
        <f t="shared" si="2"/>
        <v>1</v>
      </c>
      <c r="AB162" s="14"/>
      <c r="AC162" s="30">
        <v>1</v>
      </c>
      <c r="AD162" s="37">
        <v>0</v>
      </c>
    </row>
    <row r="163" spans="1:30" x14ac:dyDescent="0.25">
      <c r="A163" s="36">
        <v>2955</v>
      </c>
      <c r="B163" s="14" t="s">
        <v>5935</v>
      </c>
      <c r="C163" s="14" t="s">
        <v>5936</v>
      </c>
      <c r="D163" s="17">
        <v>44112</v>
      </c>
      <c r="E163" s="14" t="s">
        <v>30</v>
      </c>
      <c r="F163" s="14">
        <v>9</v>
      </c>
      <c r="G163" s="14">
        <v>2</v>
      </c>
      <c r="H163" s="14">
        <v>13</v>
      </c>
      <c r="I163" s="14">
        <v>7</v>
      </c>
      <c r="J163" s="14" t="s">
        <v>204</v>
      </c>
      <c r="K163" s="14" cm="1">
        <f t="array" ref="K163">INT(SUMPRODUCT(--ISNUMBER(SEARCH(economy,C163)))&gt;0)</f>
        <v>0</v>
      </c>
      <c r="L163" s="14" cm="1">
        <f t="array" ref="L163">INT(SUMPRODUCT(--ISNUMBER(SEARCH(healthcare,C163)))&gt;0)</f>
        <v>0</v>
      </c>
      <c r="M163" s="14" cm="1">
        <f t="array" ref="M163">INT(SUMPRODUCT(--ISNUMBER(SEARCH(supreme,C163)))&gt;0)</f>
        <v>0</v>
      </c>
      <c r="N163" s="14" cm="1">
        <f t="array" ref="N163">INT(SUMPRODUCT(--ISNUMBER(SEARCH(covid,C163)))&gt;0)</f>
        <v>0</v>
      </c>
      <c r="O163" s="14" cm="1">
        <f t="array" ref="O163">INT(SUMPRODUCT(--ISNUMBER(SEARCH(violent,C163)))&gt;0)</f>
        <v>0</v>
      </c>
      <c r="P163" s="14" cm="1">
        <f t="array" ref="P163">INT(SUMPRODUCT(--ISNUMBER(SEARCH(foreign,C163)))&gt;0)</f>
        <v>0</v>
      </c>
      <c r="Q163" s="14" cm="1">
        <f t="array" ref="Q163">INT(SUMPRODUCT(--ISNUMBER(SEARCH(gun,C163)))&gt;0)</f>
        <v>0</v>
      </c>
      <c r="R163" s="14" cm="1">
        <f t="array" ref="R163">INT(SUMPRODUCT(--ISNUMBER(SEARCH(race,C163)))&gt;0)</f>
        <v>0</v>
      </c>
      <c r="S163" s="14" cm="1">
        <f t="array" ref="S163">INT(SUMPRODUCT(--ISNUMBER(SEARCH(immigration,C163)))&gt;0)</f>
        <v>0</v>
      </c>
      <c r="T163" s="14" cm="1">
        <f t="array" ref="T163">INT(SUMPRODUCT(--ISNUMBER(SEARCH(econineq,C164)))&gt;0)</f>
        <v>0</v>
      </c>
      <c r="U163" s="14" cm="1">
        <f t="array" ref="U163">INT(SUMPRODUCT(--ISNUMBER(SEARCH(climate,C163)))&gt;0)</f>
        <v>0</v>
      </c>
      <c r="V163" s="14" cm="1">
        <f t="array" ref="V163">INT(SUMPRODUCT(--ISNUMBER(SEARCH(abortion,C163)))&gt;0)</f>
        <v>0</v>
      </c>
      <c r="W163" s="14" cm="1">
        <f t="array" ref="W163">INT(SUMPRODUCT(--ISNUMBER(SEARCH(trump,C163)))&gt;0)</f>
        <v>0</v>
      </c>
      <c r="X163" s="14" cm="1">
        <f t="array" ref="X163">INT(SUMPRODUCT(--ISNUMBER(SEARCH(voting,C163)))&gt;0)</f>
        <v>1</v>
      </c>
      <c r="Y163" s="14" cm="1">
        <f t="array" ref="Y163">INT(SUMPRODUCT(--ISNUMBER(SEARCH(democrattrigger,C163)))&gt;0)</f>
        <v>0</v>
      </c>
      <c r="Z163" s="14" cm="1">
        <f t="array" ref="Z163">INT(SUMPRODUCT(--ISNUMBER(SEARCH(bipartisan,C163)))&gt;0)</f>
        <v>0</v>
      </c>
      <c r="AA163" s="14">
        <f t="shared" si="2"/>
        <v>0</v>
      </c>
      <c r="AB163" s="14"/>
      <c r="AC163" s="30" t="s">
        <v>223</v>
      </c>
      <c r="AD163" s="37" t="s">
        <v>223</v>
      </c>
    </row>
    <row r="164" spans="1:30" x14ac:dyDescent="0.25">
      <c r="A164" s="36">
        <v>2956</v>
      </c>
      <c r="B164" s="14" t="s">
        <v>5937</v>
      </c>
      <c r="C164" s="14" t="s">
        <v>5938</v>
      </c>
      <c r="D164" s="17">
        <v>44112</v>
      </c>
      <c r="E164" s="14" t="s">
        <v>30</v>
      </c>
      <c r="F164" s="14">
        <v>39</v>
      </c>
      <c r="G164" s="14">
        <v>21</v>
      </c>
      <c r="H164" s="14">
        <v>13</v>
      </c>
      <c r="I164" s="14">
        <v>7</v>
      </c>
      <c r="J164" s="14" t="s">
        <v>204</v>
      </c>
      <c r="K164" s="14" cm="1">
        <f t="array" ref="K164">INT(SUMPRODUCT(--ISNUMBER(SEARCH(economy,C164)))&gt;0)</f>
        <v>0</v>
      </c>
      <c r="L164" s="14" cm="1">
        <f t="array" ref="L164">INT(SUMPRODUCT(--ISNUMBER(SEARCH(healthcare,C164)))&gt;0)</f>
        <v>0</v>
      </c>
      <c r="M164" s="14" cm="1">
        <f t="array" ref="M164">INT(SUMPRODUCT(--ISNUMBER(SEARCH(supreme,C164)))&gt;0)</f>
        <v>0</v>
      </c>
      <c r="N164" s="14" cm="1">
        <f t="array" ref="N164">INT(SUMPRODUCT(--ISNUMBER(SEARCH(covid,C164)))&gt;0)</f>
        <v>0</v>
      </c>
      <c r="O164" s="14" cm="1">
        <f t="array" ref="O164">INT(SUMPRODUCT(--ISNUMBER(SEARCH(violent,C164)))&gt;0)</f>
        <v>0</v>
      </c>
      <c r="P164" s="14" cm="1">
        <f t="array" ref="P164">INT(SUMPRODUCT(--ISNUMBER(SEARCH(foreign,C164)))&gt;0)</f>
        <v>0</v>
      </c>
      <c r="Q164" s="14" cm="1">
        <f t="array" ref="Q164">INT(SUMPRODUCT(--ISNUMBER(SEARCH(gun,C164)))&gt;0)</f>
        <v>0</v>
      </c>
      <c r="R164" s="14" cm="1">
        <f t="array" ref="R164">INT(SUMPRODUCT(--ISNUMBER(SEARCH(race,C164)))&gt;0)</f>
        <v>0</v>
      </c>
      <c r="S164" s="14" cm="1">
        <f t="array" ref="S164">INT(SUMPRODUCT(--ISNUMBER(SEARCH(immigration,C164)))&gt;0)</f>
        <v>0</v>
      </c>
      <c r="T164" s="14" cm="1">
        <f t="array" ref="T164">INT(SUMPRODUCT(--ISNUMBER(SEARCH(econineq,C165)))&gt;0)</f>
        <v>0</v>
      </c>
      <c r="U164" s="14" cm="1">
        <f t="array" ref="U164">INT(SUMPRODUCT(--ISNUMBER(SEARCH(climate,C164)))&gt;0)</f>
        <v>0</v>
      </c>
      <c r="V164" s="14" cm="1">
        <f t="array" ref="V164">INT(SUMPRODUCT(--ISNUMBER(SEARCH(abortion,C164)))&gt;0)</f>
        <v>0</v>
      </c>
      <c r="W164" s="14" cm="1">
        <f t="array" ref="W164">INT(SUMPRODUCT(--ISNUMBER(SEARCH(trump,C164)))&gt;0)</f>
        <v>0</v>
      </c>
      <c r="X164" s="14" cm="1">
        <f t="array" ref="X164">INT(SUMPRODUCT(--ISNUMBER(SEARCH(voting,C164)))&gt;0)</f>
        <v>1</v>
      </c>
      <c r="Y164" s="14" cm="1">
        <f t="array" ref="Y164">INT(SUMPRODUCT(--ISNUMBER(SEARCH(democrattrigger,C164)))&gt;0)</f>
        <v>0</v>
      </c>
      <c r="Z164" s="14" cm="1">
        <f t="array" ref="Z164">INT(SUMPRODUCT(--ISNUMBER(SEARCH(bipartisan,C164)))&gt;0)</f>
        <v>0</v>
      </c>
      <c r="AA164" s="14">
        <f t="shared" si="2"/>
        <v>0</v>
      </c>
      <c r="AB164" s="14"/>
      <c r="AC164" s="30" t="s">
        <v>223</v>
      </c>
      <c r="AD164" s="37" t="s">
        <v>223</v>
      </c>
    </row>
    <row r="165" spans="1:30" x14ac:dyDescent="0.25">
      <c r="A165" s="36">
        <v>2957</v>
      </c>
      <c r="B165" s="14" t="s">
        <v>5939</v>
      </c>
      <c r="C165" s="14" t="s">
        <v>5940</v>
      </c>
      <c r="D165" s="17">
        <v>44111</v>
      </c>
      <c r="E165" s="14" t="s">
        <v>30</v>
      </c>
      <c r="F165" s="14">
        <v>31</v>
      </c>
      <c r="G165" s="14">
        <v>4</v>
      </c>
      <c r="H165" s="14">
        <v>13</v>
      </c>
      <c r="I165" s="14">
        <v>7</v>
      </c>
      <c r="J165" s="14" t="s">
        <v>204</v>
      </c>
      <c r="K165" s="14" cm="1">
        <f t="array" ref="K165">INT(SUMPRODUCT(--ISNUMBER(SEARCH(economy,C165)))&gt;0)</f>
        <v>0</v>
      </c>
      <c r="L165" s="14" cm="1">
        <f t="array" ref="L165">INT(SUMPRODUCT(--ISNUMBER(SEARCH(healthcare,C165)))&gt;0)</f>
        <v>0</v>
      </c>
      <c r="M165" s="14" cm="1">
        <f t="array" ref="M165">INT(SUMPRODUCT(--ISNUMBER(SEARCH(supreme,C165)))&gt;0)</f>
        <v>0</v>
      </c>
      <c r="N165" s="14" cm="1">
        <f t="array" ref="N165">INT(SUMPRODUCT(--ISNUMBER(SEARCH(covid,C165)))&gt;0)</f>
        <v>0</v>
      </c>
      <c r="O165" s="14" cm="1">
        <f t="array" ref="O165">INT(SUMPRODUCT(--ISNUMBER(SEARCH(violent,C165)))&gt;0)</f>
        <v>0</v>
      </c>
      <c r="P165" s="14" cm="1">
        <f t="array" ref="P165">INT(SUMPRODUCT(--ISNUMBER(SEARCH(foreign,C165)))&gt;0)</f>
        <v>0</v>
      </c>
      <c r="Q165" s="14" cm="1">
        <f t="array" ref="Q165">INT(SUMPRODUCT(--ISNUMBER(SEARCH(gun,C165)))&gt;0)</f>
        <v>0</v>
      </c>
      <c r="R165" s="14" cm="1">
        <f t="array" ref="R165">INT(SUMPRODUCT(--ISNUMBER(SEARCH(race,C165)))&gt;0)</f>
        <v>0</v>
      </c>
      <c r="S165" s="14" cm="1">
        <f t="array" ref="S165">INT(SUMPRODUCT(--ISNUMBER(SEARCH(immigration,C165)))&gt;0)</f>
        <v>0</v>
      </c>
      <c r="T165" s="14" cm="1">
        <f t="array" ref="T165">INT(SUMPRODUCT(--ISNUMBER(SEARCH(econineq,C166)))&gt;0)</f>
        <v>0</v>
      </c>
      <c r="U165" s="14" cm="1">
        <f t="array" ref="U165">INT(SUMPRODUCT(--ISNUMBER(SEARCH(climate,C165)))&gt;0)</f>
        <v>0</v>
      </c>
      <c r="V165" s="14" cm="1">
        <f t="array" ref="V165">INT(SUMPRODUCT(--ISNUMBER(SEARCH(abortion,C165)))&gt;0)</f>
        <v>0</v>
      </c>
      <c r="W165" s="14" cm="1">
        <f t="array" ref="W165">INT(SUMPRODUCT(--ISNUMBER(SEARCH(trump,C165)))&gt;0)</f>
        <v>0</v>
      </c>
      <c r="X165" s="14" cm="1">
        <f t="array" ref="X165">INT(SUMPRODUCT(--ISNUMBER(SEARCH(voting,C165)))&gt;0)</f>
        <v>0</v>
      </c>
      <c r="Y165" s="14" cm="1">
        <f t="array" ref="Y165">INT(SUMPRODUCT(--ISNUMBER(SEARCH(democrattrigger,C165)))&gt;0)</f>
        <v>0</v>
      </c>
      <c r="Z165" s="14" cm="1">
        <f t="array" ref="Z165">INT(SUMPRODUCT(--ISNUMBER(SEARCH(bipartisan,C165)))&gt;0)</f>
        <v>0</v>
      </c>
      <c r="AA165" s="14">
        <f t="shared" si="2"/>
        <v>1</v>
      </c>
      <c r="AB165" s="14"/>
      <c r="AC165" s="30">
        <v>1</v>
      </c>
      <c r="AD165" s="37">
        <v>0</v>
      </c>
    </row>
    <row r="166" spans="1:30" x14ac:dyDescent="0.25">
      <c r="A166" s="36">
        <v>2958</v>
      </c>
      <c r="B166" s="14" t="s">
        <v>5941</v>
      </c>
      <c r="C166" s="14" t="s">
        <v>5942</v>
      </c>
      <c r="D166" s="17">
        <v>44111</v>
      </c>
      <c r="E166" s="14" t="s">
        <v>30</v>
      </c>
      <c r="F166" s="14">
        <v>8</v>
      </c>
      <c r="G166" s="14">
        <v>2</v>
      </c>
      <c r="H166" s="14">
        <v>13</v>
      </c>
      <c r="I166" s="14">
        <v>7</v>
      </c>
      <c r="J166" s="14" t="s">
        <v>204</v>
      </c>
      <c r="K166" s="14" cm="1">
        <f t="array" ref="K166">INT(SUMPRODUCT(--ISNUMBER(SEARCH(economy,C166)))&gt;0)</f>
        <v>1</v>
      </c>
      <c r="L166" s="14" cm="1">
        <f t="array" ref="L166">INT(SUMPRODUCT(--ISNUMBER(SEARCH(healthcare,C166)))&gt;0)</f>
        <v>0</v>
      </c>
      <c r="M166" s="14" cm="1">
        <f t="array" ref="M166">INT(SUMPRODUCT(--ISNUMBER(SEARCH(supreme,C166)))&gt;0)</f>
        <v>0</v>
      </c>
      <c r="N166" s="14" cm="1">
        <f t="array" ref="N166">INT(SUMPRODUCT(--ISNUMBER(SEARCH(covid,C166)))&gt;0)</f>
        <v>0</v>
      </c>
      <c r="O166" s="14" cm="1">
        <f t="array" ref="O166">INT(SUMPRODUCT(--ISNUMBER(SEARCH(violent,C166)))&gt;0)</f>
        <v>0</v>
      </c>
      <c r="P166" s="14" cm="1">
        <f t="array" ref="P166">INT(SUMPRODUCT(--ISNUMBER(SEARCH(foreign,C166)))&gt;0)</f>
        <v>0</v>
      </c>
      <c r="Q166" s="14" cm="1">
        <f t="array" ref="Q166">INT(SUMPRODUCT(--ISNUMBER(SEARCH(gun,C166)))&gt;0)</f>
        <v>0</v>
      </c>
      <c r="R166" s="14" cm="1">
        <f t="array" ref="R166">INT(SUMPRODUCT(--ISNUMBER(SEARCH(race,C166)))&gt;0)</f>
        <v>0</v>
      </c>
      <c r="S166" s="14" cm="1">
        <f t="array" ref="S166">INT(SUMPRODUCT(--ISNUMBER(SEARCH(immigration,C166)))&gt;0)</f>
        <v>0</v>
      </c>
      <c r="T166" s="14" cm="1">
        <f t="array" ref="T166">INT(SUMPRODUCT(--ISNUMBER(SEARCH(econineq,C167)))&gt;0)</f>
        <v>0</v>
      </c>
      <c r="U166" s="14" cm="1">
        <f t="array" ref="U166">INT(SUMPRODUCT(--ISNUMBER(SEARCH(climate,C166)))&gt;0)</f>
        <v>0</v>
      </c>
      <c r="V166" s="14" cm="1">
        <f t="array" ref="V166">INT(SUMPRODUCT(--ISNUMBER(SEARCH(abortion,C166)))&gt;0)</f>
        <v>0</v>
      </c>
      <c r="W166" s="14" cm="1">
        <f t="array" ref="W166">INT(SUMPRODUCT(--ISNUMBER(SEARCH(trump,C166)))&gt;0)</f>
        <v>0</v>
      </c>
      <c r="X166" s="14" cm="1">
        <f t="array" ref="X166">INT(SUMPRODUCT(--ISNUMBER(SEARCH(voting,C166)))&gt;0)</f>
        <v>0</v>
      </c>
      <c r="Y166" s="14" cm="1">
        <f t="array" ref="Y166">INT(SUMPRODUCT(--ISNUMBER(SEARCH(democrattrigger,C166)))&gt;0)</f>
        <v>0</v>
      </c>
      <c r="Z166" s="14" cm="1">
        <f t="array" ref="Z166">INT(SUMPRODUCT(--ISNUMBER(SEARCH(bipartisan,C166)))&gt;0)</f>
        <v>0</v>
      </c>
      <c r="AA166" s="14">
        <f t="shared" si="2"/>
        <v>0</v>
      </c>
      <c r="AB166" s="14"/>
      <c r="AC166" s="30" t="s">
        <v>223</v>
      </c>
      <c r="AD166" s="37" t="s">
        <v>223</v>
      </c>
    </row>
    <row r="167" spans="1:30" x14ac:dyDescent="0.25">
      <c r="A167" s="36">
        <v>2959</v>
      </c>
      <c r="B167" s="14" t="s">
        <v>5943</v>
      </c>
      <c r="C167" s="14" t="s">
        <v>5944</v>
      </c>
      <c r="D167" s="17">
        <v>44110</v>
      </c>
      <c r="E167" s="14" t="s">
        <v>30</v>
      </c>
      <c r="F167" s="14">
        <v>9</v>
      </c>
      <c r="G167" s="14">
        <v>2</v>
      </c>
      <c r="H167" s="14">
        <v>13</v>
      </c>
      <c r="I167" s="14">
        <v>7</v>
      </c>
      <c r="J167" s="14" t="s">
        <v>204</v>
      </c>
      <c r="K167" s="14" cm="1">
        <f t="array" ref="K167">INT(SUMPRODUCT(--ISNUMBER(SEARCH(economy,C167)))&gt;0)</f>
        <v>0</v>
      </c>
      <c r="L167" s="14" cm="1">
        <f t="array" ref="L167">INT(SUMPRODUCT(--ISNUMBER(SEARCH(healthcare,C167)))&gt;0)</f>
        <v>0</v>
      </c>
      <c r="M167" s="14" cm="1">
        <f t="array" ref="M167">INT(SUMPRODUCT(--ISNUMBER(SEARCH(supreme,C167)))&gt;0)</f>
        <v>0</v>
      </c>
      <c r="N167" s="14" cm="1">
        <f t="array" ref="N167">INT(SUMPRODUCT(--ISNUMBER(SEARCH(covid,C167)))&gt;0)</f>
        <v>0</v>
      </c>
      <c r="O167" s="14" cm="1">
        <f t="array" ref="O167">INT(SUMPRODUCT(--ISNUMBER(SEARCH(violent,C167)))&gt;0)</f>
        <v>0</v>
      </c>
      <c r="P167" s="14" cm="1">
        <f t="array" ref="P167">INT(SUMPRODUCT(--ISNUMBER(SEARCH(foreign,C167)))&gt;0)</f>
        <v>0</v>
      </c>
      <c r="Q167" s="14" cm="1">
        <f t="array" ref="Q167">INT(SUMPRODUCT(--ISNUMBER(SEARCH(gun,C167)))&gt;0)</f>
        <v>0</v>
      </c>
      <c r="R167" s="14" cm="1">
        <f t="array" ref="R167">INT(SUMPRODUCT(--ISNUMBER(SEARCH(race,C167)))&gt;0)</f>
        <v>0</v>
      </c>
      <c r="S167" s="14" cm="1">
        <f t="array" ref="S167">INT(SUMPRODUCT(--ISNUMBER(SEARCH(immigration,C167)))&gt;0)</f>
        <v>0</v>
      </c>
      <c r="T167" s="14" cm="1">
        <f t="array" ref="T167">INT(SUMPRODUCT(--ISNUMBER(SEARCH(econineq,C168)))&gt;0)</f>
        <v>0</v>
      </c>
      <c r="U167" s="14" cm="1">
        <f t="array" ref="U167">INT(SUMPRODUCT(--ISNUMBER(SEARCH(climate,C167)))&gt;0)</f>
        <v>0</v>
      </c>
      <c r="V167" s="14" cm="1">
        <f t="array" ref="V167">INT(SUMPRODUCT(--ISNUMBER(SEARCH(abortion,C167)))&gt;0)</f>
        <v>0</v>
      </c>
      <c r="W167" s="14" cm="1">
        <f t="array" ref="W167">INT(SUMPRODUCT(--ISNUMBER(SEARCH(trump,C167)))&gt;0)</f>
        <v>0</v>
      </c>
      <c r="X167" s="14" cm="1">
        <f t="array" ref="X167">INT(SUMPRODUCT(--ISNUMBER(SEARCH(voting,C167)))&gt;0)</f>
        <v>1</v>
      </c>
      <c r="Y167" s="14" cm="1">
        <f t="array" ref="Y167">INT(SUMPRODUCT(--ISNUMBER(SEARCH(democrattrigger,C167)))&gt;0)</f>
        <v>0</v>
      </c>
      <c r="Z167" s="14" cm="1">
        <f t="array" ref="Z167">INT(SUMPRODUCT(--ISNUMBER(SEARCH(bipartisan,C167)))&gt;0)</f>
        <v>0</v>
      </c>
      <c r="AA167" s="14">
        <f t="shared" si="2"/>
        <v>0</v>
      </c>
      <c r="AB167" s="14"/>
      <c r="AC167" s="30">
        <v>1</v>
      </c>
      <c r="AD167" s="37">
        <v>0</v>
      </c>
    </row>
    <row r="168" spans="1:30" x14ac:dyDescent="0.25">
      <c r="A168" s="36">
        <v>2960</v>
      </c>
      <c r="B168" s="14" t="s">
        <v>5945</v>
      </c>
      <c r="C168" s="14" t="s">
        <v>5946</v>
      </c>
      <c r="D168" s="17">
        <v>44110</v>
      </c>
      <c r="E168" s="14" t="s">
        <v>30</v>
      </c>
      <c r="F168" s="14">
        <v>30</v>
      </c>
      <c r="G168" s="14">
        <v>11</v>
      </c>
      <c r="H168" s="14">
        <v>13</v>
      </c>
      <c r="I168" s="14">
        <v>7</v>
      </c>
      <c r="J168" s="14" t="s">
        <v>204</v>
      </c>
      <c r="K168" s="14" cm="1">
        <f t="array" ref="K168">INT(SUMPRODUCT(--ISNUMBER(SEARCH(economy,C168)))&gt;0)</f>
        <v>1</v>
      </c>
      <c r="L168" s="14" cm="1">
        <f t="array" ref="L168">INT(SUMPRODUCT(--ISNUMBER(SEARCH(healthcare,C168)))&gt;0)</f>
        <v>0</v>
      </c>
      <c r="M168" s="14" cm="1">
        <f t="array" ref="M168">INT(SUMPRODUCT(--ISNUMBER(SEARCH(supreme,C168)))&gt;0)</f>
        <v>0</v>
      </c>
      <c r="N168" s="14" cm="1">
        <f t="array" ref="N168">INT(SUMPRODUCT(--ISNUMBER(SEARCH(covid,C168)))&gt;0)</f>
        <v>1</v>
      </c>
      <c r="O168" s="14" cm="1">
        <f t="array" ref="O168">INT(SUMPRODUCT(--ISNUMBER(SEARCH(violent,C168)))&gt;0)</f>
        <v>0</v>
      </c>
      <c r="P168" s="14" cm="1">
        <f t="array" ref="P168">INT(SUMPRODUCT(--ISNUMBER(SEARCH(foreign,C168)))&gt;0)</f>
        <v>0</v>
      </c>
      <c r="Q168" s="14" cm="1">
        <f t="array" ref="Q168">INT(SUMPRODUCT(--ISNUMBER(SEARCH(gun,C168)))&gt;0)</f>
        <v>0</v>
      </c>
      <c r="R168" s="14" cm="1">
        <f t="array" ref="R168">INT(SUMPRODUCT(--ISNUMBER(SEARCH(race,C168)))&gt;0)</f>
        <v>0</v>
      </c>
      <c r="S168" s="14" cm="1">
        <f t="array" ref="S168">INT(SUMPRODUCT(--ISNUMBER(SEARCH(immigration,C168)))&gt;0)</f>
        <v>0</v>
      </c>
      <c r="T168" s="14" cm="1">
        <f t="array" ref="T168">INT(SUMPRODUCT(--ISNUMBER(SEARCH(econineq,C169)))&gt;0)</f>
        <v>0</v>
      </c>
      <c r="U168" s="14" cm="1">
        <f t="array" ref="U168">INT(SUMPRODUCT(--ISNUMBER(SEARCH(climate,C168)))&gt;0)</f>
        <v>0</v>
      </c>
      <c r="V168" s="14" cm="1">
        <f t="array" ref="V168">INT(SUMPRODUCT(--ISNUMBER(SEARCH(abortion,C168)))&gt;0)</f>
        <v>0</v>
      </c>
      <c r="W168" s="14" cm="1">
        <f t="array" ref="W168">INT(SUMPRODUCT(--ISNUMBER(SEARCH(trump,C168)))&gt;0)</f>
        <v>0</v>
      </c>
      <c r="X168" s="14" cm="1">
        <f t="array" ref="X168">INT(SUMPRODUCT(--ISNUMBER(SEARCH(voting,C168)))&gt;0)</f>
        <v>0</v>
      </c>
      <c r="Y168" s="14" cm="1">
        <f t="array" ref="Y168">INT(SUMPRODUCT(--ISNUMBER(SEARCH(democrattrigger,C168)))&gt;0)</f>
        <v>0</v>
      </c>
      <c r="Z168" s="14" cm="1">
        <f t="array" ref="Z168">INT(SUMPRODUCT(--ISNUMBER(SEARCH(bipartisan,C168)))&gt;0)</f>
        <v>0</v>
      </c>
      <c r="AA168" s="14">
        <f t="shared" si="2"/>
        <v>0</v>
      </c>
      <c r="AB168" s="14"/>
      <c r="AC168" s="30" t="s">
        <v>223</v>
      </c>
      <c r="AD168" s="37" t="s">
        <v>223</v>
      </c>
    </row>
    <row r="169" spans="1:30" x14ac:dyDescent="0.25">
      <c r="A169" s="36">
        <v>2961</v>
      </c>
      <c r="B169" s="14" t="s">
        <v>5947</v>
      </c>
      <c r="C169" s="14" t="s">
        <v>5948</v>
      </c>
      <c r="D169" s="17">
        <v>44110</v>
      </c>
      <c r="E169" s="14" t="s">
        <v>30</v>
      </c>
      <c r="F169" s="14">
        <v>46</v>
      </c>
      <c r="G169" s="14">
        <v>12</v>
      </c>
      <c r="H169" s="14">
        <v>13</v>
      </c>
      <c r="I169" s="14">
        <v>7</v>
      </c>
      <c r="J169" s="14" t="s">
        <v>204</v>
      </c>
      <c r="K169" s="14" cm="1">
        <f t="array" ref="K169">INT(SUMPRODUCT(--ISNUMBER(SEARCH(economy,C169)))&gt;0)</f>
        <v>0</v>
      </c>
      <c r="L169" s="14" cm="1">
        <f t="array" ref="L169">INT(SUMPRODUCT(--ISNUMBER(SEARCH(healthcare,C169)))&gt;0)</f>
        <v>0</v>
      </c>
      <c r="M169" s="14" cm="1">
        <f t="array" ref="M169">INT(SUMPRODUCT(--ISNUMBER(SEARCH(supreme,C169)))&gt;0)</f>
        <v>0</v>
      </c>
      <c r="N169" s="14" cm="1">
        <f t="array" ref="N169">INT(SUMPRODUCT(--ISNUMBER(SEARCH(covid,C169)))&gt;0)</f>
        <v>0</v>
      </c>
      <c r="O169" s="14" cm="1">
        <f t="array" ref="O169">INT(SUMPRODUCT(--ISNUMBER(SEARCH(violent,C169)))&gt;0)</f>
        <v>0</v>
      </c>
      <c r="P169" s="14" cm="1">
        <f t="array" ref="P169">INT(SUMPRODUCT(--ISNUMBER(SEARCH(foreign,C169)))&gt;0)</f>
        <v>0</v>
      </c>
      <c r="Q169" s="14" cm="1">
        <f t="array" ref="Q169">INT(SUMPRODUCT(--ISNUMBER(SEARCH(gun,C169)))&gt;0)</f>
        <v>0</v>
      </c>
      <c r="R169" s="14" cm="1">
        <f t="array" ref="R169">INT(SUMPRODUCT(--ISNUMBER(SEARCH(race,C169)))&gt;0)</f>
        <v>1</v>
      </c>
      <c r="S169" s="14" cm="1">
        <f t="array" ref="S169">INT(SUMPRODUCT(--ISNUMBER(SEARCH(immigration,C169)))&gt;0)</f>
        <v>0</v>
      </c>
      <c r="T169" s="14" cm="1">
        <f t="array" ref="T169">INT(SUMPRODUCT(--ISNUMBER(SEARCH(econineq,C170)))&gt;0)</f>
        <v>1</v>
      </c>
      <c r="U169" s="14" cm="1">
        <f t="array" ref="U169">INT(SUMPRODUCT(--ISNUMBER(SEARCH(climate,C169)))&gt;0)</f>
        <v>0</v>
      </c>
      <c r="V169" s="14" cm="1">
        <f t="array" ref="V169">INT(SUMPRODUCT(--ISNUMBER(SEARCH(abortion,C169)))&gt;0)</f>
        <v>0</v>
      </c>
      <c r="W169" s="14" cm="1">
        <f t="array" ref="W169">INT(SUMPRODUCT(--ISNUMBER(SEARCH(trump,C169)))&gt;0)</f>
        <v>0</v>
      </c>
      <c r="X169" s="14" cm="1">
        <f t="array" ref="X169">INT(SUMPRODUCT(--ISNUMBER(SEARCH(voting,C169)))&gt;0)</f>
        <v>0</v>
      </c>
      <c r="Y169" s="14" cm="1">
        <f t="array" ref="Y169">INT(SUMPRODUCT(--ISNUMBER(SEARCH(democrattrigger,C169)))&gt;0)</f>
        <v>0</v>
      </c>
      <c r="Z169" s="14" cm="1">
        <f t="array" ref="Z169">INT(SUMPRODUCT(--ISNUMBER(SEARCH(bipartisan,C169)))&gt;0)</f>
        <v>0</v>
      </c>
      <c r="AA169" s="14">
        <f t="shared" si="2"/>
        <v>0</v>
      </c>
      <c r="AB169" s="14"/>
      <c r="AC169" s="30">
        <v>1</v>
      </c>
      <c r="AD169" s="37">
        <v>0</v>
      </c>
    </row>
    <row r="170" spans="1:30" x14ac:dyDescent="0.25">
      <c r="A170" s="36">
        <v>2962</v>
      </c>
      <c r="B170" s="14" t="s">
        <v>5949</v>
      </c>
      <c r="C170" s="14" t="s">
        <v>5950</v>
      </c>
      <c r="D170" s="17">
        <v>44109</v>
      </c>
      <c r="E170" s="14" t="s">
        <v>30</v>
      </c>
      <c r="F170" s="14">
        <v>58</v>
      </c>
      <c r="G170" s="14">
        <v>7</v>
      </c>
      <c r="H170" s="14">
        <v>13</v>
      </c>
      <c r="I170" s="14">
        <v>7</v>
      </c>
      <c r="J170" s="14" t="s">
        <v>204</v>
      </c>
      <c r="K170" s="14" cm="1">
        <f t="array" ref="K170">INT(SUMPRODUCT(--ISNUMBER(SEARCH(economy,C170)))&gt;0)</f>
        <v>1</v>
      </c>
      <c r="L170" s="14" cm="1">
        <f t="array" ref="L170">INT(SUMPRODUCT(--ISNUMBER(SEARCH(healthcare,C170)))&gt;0)</f>
        <v>0</v>
      </c>
      <c r="M170" s="14" cm="1">
        <f t="array" ref="M170">INT(SUMPRODUCT(--ISNUMBER(SEARCH(supreme,C170)))&gt;0)</f>
        <v>0</v>
      </c>
      <c r="N170" s="14" cm="1">
        <f t="array" ref="N170">INT(SUMPRODUCT(--ISNUMBER(SEARCH(covid,C170)))&gt;0)</f>
        <v>0</v>
      </c>
      <c r="O170" s="14" cm="1">
        <f t="array" ref="O170">INT(SUMPRODUCT(--ISNUMBER(SEARCH(violent,C170)))&gt;0)</f>
        <v>0</v>
      </c>
      <c r="P170" s="14" cm="1">
        <f t="array" ref="P170">INT(SUMPRODUCT(--ISNUMBER(SEARCH(foreign,C170)))&gt;0)</f>
        <v>0</v>
      </c>
      <c r="Q170" s="14" cm="1">
        <f t="array" ref="Q170">INT(SUMPRODUCT(--ISNUMBER(SEARCH(gun,C170)))&gt;0)</f>
        <v>0</v>
      </c>
      <c r="R170" s="14" cm="1">
        <f t="array" ref="R170">INT(SUMPRODUCT(--ISNUMBER(SEARCH(race,C170)))&gt;0)</f>
        <v>0</v>
      </c>
      <c r="S170" s="14" cm="1">
        <f t="array" ref="S170">INT(SUMPRODUCT(--ISNUMBER(SEARCH(immigration,C170)))&gt;0)</f>
        <v>0</v>
      </c>
      <c r="T170" s="14" cm="1">
        <f t="array" ref="T170">INT(SUMPRODUCT(--ISNUMBER(SEARCH(econineq,C171)))&gt;0)</f>
        <v>0</v>
      </c>
      <c r="U170" s="14" cm="1">
        <f t="array" ref="U170">INT(SUMPRODUCT(--ISNUMBER(SEARCH(climate,C170)))&gt;0)</f>
        <v>0</v>
      </c>
      <c r="V170" s="14" cm="1">
        <f t="array" ref="V170">INT(SUMPRODUCT(--ISNUMBER(SEARCH(abortion,C170)))&gt;0)</f>
        <v>0</v>
      </c>
      <c r="W170" s="14" cm="1">
        <f t="array" ref="W170">INT(SUMPRODUCT(--ISNUMBER(SEARCH(trump,C170)))&gt;0)</f>
        <v>0</v>
      </c>
      <c r="X170" s="14" cm="1">
        <f t="array" ref="X170">INT(SUMPRODUCT(--ISNUMBER(SEARCH(voting,C170)))&gt;0)</f>
        <v>0</v>
      </c>
      <c r="Y170" s="14" cm="1">
        <f t="array" ref="Y170">INT(SUMPRODUCT(--ISNUMBER(SEARCH(democrattrigger,C170)))&gt;0)</f>
        <v>0</v>
      </c>
      <c r="Z170" s="14" cm="1">
        <f t="array" ref="Z170">INT(SUMPRODUCT(--ISNUMBER(SEARCH(bipartisan,C170)))&gt;0)</f>
        <v>0</v>
      </c>
      <c r="AA170" s="14">
        <f t="shared" si="2"/>
        <v>0</v>
      </c>
      <c r="AB170" s="14"/>
      <c r="AC170" s="30" t="s">
        <v>223</v>
      </c>
      <c r="AD170" s="37" t="s">
        <v>223</v>
      </c>
    </row>
    <row r="171" spans="1:30" x14ac:dyDescent="0.25">
      <c r="A171" s="36">
        <v>2963</v>
      </c>
      <c r="B171" s="14" t="s">
        <v>5951</v>
      </c>
      <c r="C171" s="14" t="s">
        <v>5952</v>
      </c>
      <c r="D171" s="17">
        <v>44109</v>
      </c>
      <c r="E171" s="14" t="s">
        <v>30</v>
      </c>
      <c r="F171" s="14">
        <v>109</v>
      </c>
      <c r="G171" s="14">
        <v>33</v>
      </c>
      <c r="H171" s="14">
        <v>13</v>
      </c>
      <c r="I171" s="14">
        <v>7</v>
      </c>
      <c r="J171" s="14" t="s">
        <v>204</v>
      </c>
      <c r="K171" s="14" cm="1">
        <f t="array" ref="K171">INT(SUMPRODUCT(--ISNUMBER(SEARCH(economy,C171)))&gt;0)</f>
        <v>0</v>
      </c>
      <c r="L171" s="14" cm="1">
        <f t="array" ref="L171">INT(SUMPRODUCT(--ISNUMBER(SEARCH(healthcare,C171)))&gt;0)</f>
        <v>1</v>
      </c>
      <c r="M171" s="14" cm="1">
        <f t="array" ref="M171">INT(SUMPRODUCT(--ISNUMBER(SEARCH(supreme,C171)))&gt;0)</f>
        <v>1</v>
      </c>
      <c r="N171" s="14" cm="1">
        <f t="array" ref="N171">INT(SUMPRODUCT(--ISNUMBER(SEARCH(covid,C171)))&gt;0)</f>
        <v>0</v>
      </c>
      <c r="O171" s="14" cm="1">
        <f t="array" ref="O171">INT(SUMPRODUCT(--ISNUMBER(SEARCH(violent,C171)))&gt;0)</f>
        <v>0</v>
      </c>
      <c r="P171" s="14" cm="1">
        <f t="array" ref="P171">INT(SUMPRODUCT(--ISNUMBER(SEARCH(foreign,C171)))&gt;0)</f>
        <v>0</v>
      </c>
      <c r="Q171" s="14" cm="1">
        <f t="array" ref="Q171">INT(SUMPRODUCT(--ISNUMBER(SEARCH(gun,C171)))&gt;0)</f>
        <v>0</v>
      </c>
      <c r="R171" s="14" cm="1">
        <f t="array" ref="R171">INT(SUMPRODUCT(--ISNUMBER(SEARCH(race,C171)))&gt;0)</f>
        <v>0</v>
      </c>
      <c r="S171" s="14" cm="1">
        <f t="array" ref="S171">INT(SUMPRODUCT(--ISNUMBER(SEARCH(immigration,C171)))&gt;0)</f>
        <v>0</v>
      </c>
      <c r="T171" s="14" cm="1">
        <f t="array" ref="T171">INT(SUMPRODUCT(--ISNUMBER(SEARCH(econineq,C172)))&gt;0)</f>
        <v>0</v>
      </c>
      <c r="U171" s="14" cm="1">
        <f t="array" ref="U171">INT(SUMPRODUCT(--ISNUMBER(SEARCH(climate,C171)))&gt;0)</f>
        <v>0</v>
      </c>
      <c r="V171" s="14" cm="1">
        <f t="array" ref="V171">INT(SUMPRODUCT(--ISNUMBER(SEARCH(abortion,C171)))&gt;0)</f>
        <v>0</v>
      </c>
      <c r="W171" s="14" cm="1">
        <f t="array" ref="W171">INT(SUMPRODUCT(--ISNUMBER(SEARCH(trump,C171)))&gt;0)</f>
        <v>0</v>
      </c>
      <c r="X171" s="14" cm="1">
        <f t="array" ref="X171">INT(SUMPRODUCT(--ISNUMBER(SEARCH(voting,C171)))&gt;0)</f>
        <v>1</v>
      </c>
      <c r="Y171" s="14" cm="1">
        <f t="array" ref="Y171">INT(SUMPRODUCT(--ISNUMBER(SEARCH(democrattrigger,C171)))&gt;0)</f>
        <v>0</v>
      </c>
      <c r="Z171" s="14" cm="1">
        <f t="array" ref="Z171">INT(SUMPRODUCT(--ISNUMBER(SEARCH(bipartisan,C171)))&gt;0)</f>
        <v>0</v>
      </c>
      <c r="AA171" s="14">
        <f t="shared" si="2"/>
        <v>0</v>
      </c>
      <c r="AB171" s="14"/>
      <c r="AC171" s="30" t="s">
        <v>223</v>
      </c>
      <c r="AD171" s="37" t="s">
        <v>223</v>
      </c>
    </row>
    <row r="172" spans="1:30" x14ac:dyDescent="0.25">
      <c r="A172" s="36">
        <v>2964</v>
      </c>
      <c r="B172" s="14" t="s">
        <v>5953</v>
      </c>
      <c r="C172" s="14" t="s">
        <v>5954</v>
      </c>
      <c r="D172" s="17">
        <v>44109</v>
      </c>
      <c r="E172" s="14" t="s">
        <v>30</v>
      </c>
      <c r="F172" s="14">
        <v>43</v>
      </c>
      <c r="G172" s="14">
        <v>11</v>
      </c>
      <c r="H172" s="14">
        <v>13</v>
      </c>
      <c r="I172" s="14">
        <v>7</v>
      </c>
      <c r="J172" s="14" t="s">
        <v>204</v>
      </c>
      <c r="K172" s="14" cm="1">
        <f t="array" ref="K172">INT(SUMPRODUCT(--ISNUMBER(SEARCH(economy,C172)))&gt;0)</f>
        <v>0</v>
      </c>
      <c r="L172" s="14" cm="1">
        <f t="array" ref="L172">INT(SUMPRODUCT(--ISNUMBER(SEARCH(healthcare,C172)))&gt;0)</f>
        <v>0</v>
      </c>
      <c r="M172" s="14" cm="1">
        <f t="array" ref="M172">INT(SUMPRODUCT(--ISNUMBER(SEARCH(supreme,C172)))&gt;0)</f>
        <v>0</v>
      </c>
      <c r="N172" s="14" cm="1">
        <f t="array" ref="N172">INT(SUMPRODUCT(--ISNUMBER(SEARCH(covid,C172)))&gt;0)</f>
        <v>0</v>
      </c>
      <c r="O172" s="14" cm="1">
        <f t="array" ref="O172">INT(SUMPRODUCT(--ISNUMBER(SEARCH(violent,C172)))&gt;0)</f>
        <v>0</v>
      </c>
      <c r="P172" s="14" cm="1">
        <f t="array" ref="P172">INT(SUMPRODUCT(--ISNUMBER(SEARCH(foreign,C172)))&gt;0)</f>
        <v>0</v>
      </c>
      <c r="Q172" s="14" cm="1">
        <f t="array" ref="Q172">INT(SUMPRODUCT(--ISNUMBER(SEARCH(gun,C172)))&gt;0)</f>
        <v>0</v>
      </c>
      <c r="R172" s="14" cm="1">
        <f t="array" ref="R172">INT(SUMPRODUCT(--ISNUMBER(SEARCH(race,C172)))&gt;0)</f>
        <v>0</v>
      </c>
      <c r="S172" s="14" cm="1">
        <f t="array" ref="S172">INT(SUMPRODUCT(--ISNUMBER(SEARCH(immigration,C172)))&gt;0)</f>
        <v>0</v>
      </c>
      <c r="T172" s="14" cm="1">
        <f t="array" ref="T172">INT(SUMPRODUCT(--ISNUMBER(SEARCH(econineq,C173)))&gt;0)</f>
        <v>0</v>
      </c>
      <c r="U172" s="14" cm="1">
        <f t="array" ref="U172">INT(SUMPRODUCT(--ISNUMBER(SEARCH(climate,C172)))&gt;0)</f>
        <v>0</v>
      </c>
      <c r="V172" s="14" cm="1">
        <f t="array" ref="V172">INT(SUMPRODUCT(--ISNUMBER(SEARCH(abortion,C172)))&gt;0)</f>
        <v>0</v>
      </c>
      <c r="W172" s="14" cm="1">
        <f t="array" ref="W172">INT(SUMPRODUCT(--ISNUMBER(SEARCH(trump,C172)))&gt;0)</f>
        <v>0</v>
      </c>
      <c r="X172" s="14" cm="1">
        <f t="array" ref="X172">INT(SUMPRODUCT(--ISNUMBER(SEARCH(voting,C172)))&gt;0)</f>
        <v>0</v>
      </c>
      <c r="Y172" s="14" cm="1">
        <f t="array" ref="Y172">INT(SUMPRODUCT(--ISNUMBER(SEARCH(democrattrigger,C172)))&gt;0)</f>
        <v>0</v>
      </c>
      <c r="Z172" s="14" cm="1">
        <f t="array" ref="Z172">INT(SUMPRODUCT(--ISNUMBER(SEARCH(bipartisan,C172)))&gt;0)</f>
        <v>0</v>
      </c>
      <c r="AA172" s="14">
        <f t="shared" si="2"/>
        <v>1</v>
      </c>
      <c r="AB172" s="14"/>
      <c r="AC172" s="30">
        <v>1</v>
      </c>
      <c r="AD172" s="37">
        <v>0</v>
      </c>
    </row>
    <row r="173" spans="1:30" x14ac:dyDescent="0.25">
      <c r="A173" s="36">
        <v>2965</v>
      </c>
      <c r="B173" s="14" t="s">
        <v>5955</v>
      </c>
      <c r="C173" s="14" t="s">
        <v>5956</v>
      </c>
      <c r="D173" s="17">
        <v>44108</v>
      </c>
      <c r="E173" s="14" t="s">
        <v>30</v>
      </c>
      <c r="F173" s="14">
        <v>42</v>
      </c>
      <c r="G173" s="14">
        <v>8</v>
      </c>
      <c r="H173" s="14">
        <v>13</v>
      </c>
      <c r="I173" s="14">
        <v>7</v>
      </c>
      <c r="J173" s="14" t="s">
        <v>204</v>
      </c>
      <c r="K173" s="14" cm="1">
        <f t="array" ref="K173">INT(SUMPRODUCT(--ISNUMBER(SEARCH(economy,C173)))&gt;0)</f>
        <v>0</v>
      </c>
      <c r="L173" s="14" cm="1">
        <f t="array" ref="L173">INT(SUMPRODUCT(--ISNUMBER(SEARCH(healthcare,C173)))&gt;0)</f>
        <v>0</v>
      </c>
      <c r="M173" s="14" cm="1">
        <f t="array" ref="M173">INT(SUMPRODUCT(--ISNUMBER(SEARCH(supreme,C173)))&gt;0)</f>
        <v>0</v>
      </c>
      <c r="N173" s="14" cm="1">
        <f t="array" ref="N173">INT(SUMPRODUCT(--ISNUMBER(SEARCH(covid,C173)))&gt;0)</f>
        <v>0</v>
      </c>
      <c r="O173" s="14" cm="1">
        <f t="array" ref="O173">INT(SUMPRODUCT(--ISNUMBER(SEARCH(violent,C173)))&gt;0)</f>
        <v>0</v>
      </c>
      <c r="P173" s="14" cm="1">
        <f t="array" ref="P173">INT(SUMPRODUCT(--ISNUMBER(SEARCH(foreign,C173)))&gt;0)</f>
        <v>0</v>
      </c>
      <c r="Q173" s="14" cm="1">
        <f t="array" ref="Q173">INT(SUMPRODUCT(--ISNUMBER(SEARCH(gun,C173)))&gt;0)</f>
        <v>0</v>
      </c>
      <c r="R173" s="14" cm="1">
        <f t="array" ref="R173">INT(SUMPRODUCT(--ISNUMBER(SEARCH(race,C173)))&gt;0)</f>
        <v>0</v>
      </c>
      <c r="S173" s="14" cm="1">
        <f t="array" ref="S173">INT(SUMPRODUCT(--ISNUMBER(SEARCH(immigration,C173)))&gt;0)</f>
        <v>0</v>
      </c>
      <c r="T173" s="14" cm="1">
        <f t="array" ref="T173">INT(SUMPRODUCT(--ISNUMBER(SEARCH(econineq,C174)))&gt;0)</f>
        <v>0</v>
      </c>
      <c r="U173" s="14" cm="1">
        <f t="array" ref="U173">INT(SUMPRODUCT(--ISNUMBER(SEARCH(climate,C173)))&gt;0)</f>
        <v>0</v>
      </c>
      <c r="V173" s="14" cm="1">
        <f t="array" ref="V173">INT(SUMPRODUCT(--ISNUMBER(SEARCH(abortion,C173)))&gt;0)</f>
        <v>0</v>
      </c>
      <c r="W173" s="14" cm="1">
        <f t="array" ref="W173">INT(SUMPRODUCT(--ISNUMBER(SEARCH(trump,C173)))&gt;0)</f>
        <v>0</v>
      </c>
      <c r="X173" s="14" cm="1">
        <f t="array" ref="X173">INT(SUMPRODUCT(--ISNUMBER(SEARCH(voting,C173)))&gt;0)</f>
        <v>0</v>
      </c>
      <c r="Y173" s="14" cm="1">
        <f t="array" ref="Y173">INT(SUMPRODUCT(--ISNUMBER(SEARCH(democrattrigger,C173)))&gt;0)</f>
        <v>0</v>
      </c>
      <c r="Z173" s="14" cm="1">
        <f t="array" ref="Z173">INT(SUMPRODUCT(--ISNUMBER(SEARCH(bipartisan,C173)))&gt;0)</f>
        <v>0</v>
      </c>
      <c r="AA173" s="14">
        <f t="shared" si="2"/>
        <v>1</v>
      </c>
      <c r="AB173" s="14"/>
      <c r="AC173" s="30">
        <v>1</v>
      </c>
      <c r="AD173" s="37">
        <v>0</v>
      </c>
    </row>
    <row r="174" spans="1:30" x14ac:dyDescent="0.25">
      <c r="A174" s="36">
        <v>2966</v>
      </c>
      <c r="B174" s="14" t="s">
        <v>5957</v>
      </c>
      <c r="C174" s="14" t="s">
        <v>5958</v>
      </c>
      <c r="D174" s="17">
        <v>44107</v>
      </c>
      <c r="E174" s="14" t="s">
        <v>30</v>
      </c>
      <c r="F174" s="14">
        <v>97</v>
      </c>
      <c r="G174" s="14">
        <v>18</v>
      </c>
      <c r="H174" s="14">
        <v>13</v>
      </c>
      <c r="I174" s="14">
        <v>7</v>
      </c>
      <c r="J174" s="14" t="s">
        <v>204</v>
      </c>
      <c r="K174" s="14" cm="1">
        <f t="array" ref="K174">INT(SUMPRODUCT(--ISNUMBER(SEARCH(economy,C174)))&gt;0)</f>
        <v>0</v>
      </c>
      <c r="L174" s="14" cm="1">
        <f t="array" ref="L174">INT(SUMPRODUCT(--ISNUMBER(SEARCH(healthcare,C174)))&gt;0)</f>
        <v>0</v>
      </c>
      <c r="M174" s="14" cm="1">
        <f t="array" ref="M174">INT(SUMPRODUCT(--ISNUMBER(SEARCH(supreme,C174)))&gt;0)</f>
        <v>0</v>
      </c>
      <c r="N174" s="14" cm="1">
        <f t="array" ref="N174">INT(SUMPRODUCT(--ISNUMBER(SEARCH(covid,C174)))&gt;0)</f>
        <v>0</v>
      </c>
      <c r="O174" s="14" cm="1">
        <f t="array" ref="O174">INT(SUMPRODUCT(--ISNUMBER(SEARCH(violent,C174)))&gt;0)</f>
        <v>0</v>
      </c>
      <c r="P174" s="14" cm="1">
        <f t="array" ref="P174">INT(SUMPRODUCT(--ISNUMBER(SEARCH(foreign,C174)))&gt;0)</f>
        <v>0</v>
      </c>
      <c r="Q174" s="14" cm="1">
        <f t="array" ref="Q174">INT(SUMPRODUCT(--ISNUMBER(SEARCH(gun,C174)))&gt;0)</f>
        <v>0</v>
      </c>
      <c r="R174" s="14" cm="1">
        <f t="array" ref="R174">INT(SUMPRODUCT(--ISNUMBER(SEARCH(race,C174)))&gt;0)</f>
        <v>0</v>
      </c>
      <c r="S174" s="14" cm="1">
        <f t="array" ref="S174">INT(SUMPRODUCT(--ISNUMBER(SEARCH(immigration,C174)))&gt;0)</f>
        <v>0</v>
      </c>
      <c r="T174" s="14" cm="1">
        <f t="array" ref="T174">INT(SUMPRODUCT(--ISNUMBER(SEARCH(econineq,C175)))&gt;0)</f>
        <v>0</v>
      </c>
      <c r="U174" s="14" cm="1">
        <f t="array" ref="U174">INT(SUMPRODUCT(--ISNUMBER(SEARCH(climate,C174)))&gt;0)</f>
        <v>0</v>
      </c>
      <c r="V174" s="14" cm="1">
        <f t="array" ref="V174">INT(SUMPRODUCT(--ISNUMBER(SEARCH(abortion,C174)))&gt;0)</f>
        <v>0</v>
      </c>
      <c r="W174" s="14" cm="1">
        <f t="array" ref="W174">INT(SUMPRODUCT(--ISNUMBER(SEARCH(trump,C174)))&gt;0)</f>
        <v>0</v>
      </c>
      <c r="X174" s="14" cm="1">
        <f t="array" ref="X174">INT(SUMPRODUCT(--ISNUMBER(SEARCH(voting,C174)))&gt;0)</f>
        <v>1</v>
      </c>
      <c r="Y174" s="14" cm="1">
        <f t="array" ref="Y174">INT(SUMPRODUCT(--ISNUMBER(SEARCH(democrattrigger,C174)))&gt;0)</f>
        <v>0</v>
      </c>
      <c r="Z174" s="14" cm="1">
        <f t="array" ref="Z174">INT(SUMPRODUCT(--ISNUMBER(SEARCH(bipartisan,C174)))&gt;0)</f>
        <v>0</v>
      </c>
      <c r="AA174" s="14">
        <f t="shared" si="2"/>
        <v>0</v>
      </c>
      <c r="AB174" s="14"/>
      <c r="AC174" s="30">
        <v>1</v>
      </c>
      <c r="AD174" s="37">
        <v>0</v>
      </c>
    </row>
    <row r="175" spans="1:30" x14ac:dyDescent="0.25">
      <c r="A175" s="36">
        <v>2967</v>
      </c>
      <c r="B175" s="14" t="s">
        <v>5959</v>
      </c>
      <c r="C175" s="14" t="s">
        <v>5960</v>
      </c>
      <c r="D175" s="17">
        <v>44107</v>
      </c>
      <c r="E175" s="14" t="s">
        <v>30</v>
      </c>
      <c r="F175" s="14">
        <v>95</v>
      </c>
      <c r="G175" s="14">
        <v>30</v>
      </c>
      <c r="H175" s="14">
        <v>13</v>
      </c>
      <c r="I175" s="14">
        <v>7</v>
      </c>
      <c r="J175" s="14" t="s">
        <v>204</v>
      </c>
      <c r="K175" s="14" cm="1">
        <f t="array" ref="K175">INT(SUMPRODUCT(--ISNUMBER(SEARCH(economy,C175)))&gt;0)</f>
        <v>0</v>
      </c>
      <c r="L175" s="14" cm="1">
        <f t="array" ref="L175">INT(SUMPRODUCT(--ISNUMBER(SEARCH(healthcare,C175)))&gt;0)</f>
        <v>0</v>
      </c>
      <c r="M175" s="14" cm="1">
        <f t="array" ref="M175">INT(SUMPRODUCT(--ISNUMBER(SEARCH(supreme,C175)))&gt;0)</f>
        <v>0</v>
      </c>
      <c r="N175" s="14" cm="1">
        <f t="array" ref="N175">INT(SUMPRODUCT(--ISNUMBER(SEARCH(covid,C175)))&gt;0)</f>
        <v>0</v>
      </c>
      <c r="O175" s="14" cm="1">
        <f t="array" ref="O175">INT(SUMPRODUCT(--ISNUMBER(SEARCH(violent,C175)))&gt;0)</f>
        <v>0</v>
      </c>
      <c r="P175" s="14" cm="1">
        <f t="array" ref="P175">INT(SUMPRODUCT(--ISNUMBER(SEARCH(foreign,C175)))&gt;0)</f>
        <v>0</v>
      </c>
      <c r="Q175" s="14" cm="1">
        <f t="array" ref="Q175">INT(SUMPRODUCT(--ISNUMBER(SEARCH(gun,C175)))&gt;0)</f>
        <v>0</v>
      </c>
      <c r="R175" s="14" cm="1">
        <f t="array" ref="R175">INT(SUMPRODUCT(--ISNUMBER(SEARCH(race,C175)))&gt;0)</f>
        <v>0</v>
      </c>
      <c r="S175" s="14" cm="1">
        <f t="array" ref="S175">INT(SUMPRODUCT(--ISNUMBER(SEARCH(immigration,C175)))&gt;0)</f>
        <v>0</v>
      </c>
      <c r="T175" s="14" cm="1">
        <f t="array" ref="T175">INT(SUMPRODUCT(--ISNUMBER(SEARCH(econineq,C176)))&gt;0)</f>
        <v>0</v>
      </c>
      <c r="U175" s="14" cm="1">
        <f t="array" ref="U175">INT(SUMPRODUCT(--ISNUMBER(SEARCH(climate,C175)))&gt;0)</f>
        <v>0</v>
      </c>
      <c r="V175" s="14" cm="1">
        <f t="array" ref="V175">INT(SUMPRODUCT(--ISNUMBER(SEARCH(abortion,C175)))&gt;0)</f>
        <v>0</v>
      </c>
      <c r="W175" s="14" cm="1">
        <f t="array" ref="W175">INT(SUMPRODUCT(--ISNUMBER(SEARCH(trump,C175)))&gt;0)</f>
        <v>0</v>
      </c>
      <c r="X175" s="14" cm="1">
        <f t="array" ref="X175">INT(SUMPRODUCT(--ISNUMBER(SEARCH(voting,C175)))&gt;0)</f>
        <v>1</v>
      </c>
      <c r="Y175" s="14" cm="1">
        <f t="array" ref="Y175">INT(SUMPRODUCT(--ISNUMBER(SEARCH(democrattrigger,C175)))&gt;0)</f>
        <v>0</v>
      </c>
      <c r="Z175" s="14" cm="1">
        <f t="array" ref="Z175">INT(SUMPRODUCT(--ISNUMBER(SEARCH(bipartisan,C175)))&gt;0)</f>
        <v>0</v>
      </c>
      <c r="AA175" s="14">
        <f t="shared" si="2"/>
        <v>0</v>
      </c>
      <c r="AB175" s="14"/>
      <c r="AC175" s="30">
        <v>1</v>
      </c>
      <c r="AD175" s="37">
        <v>0</v>
      </c>
    </row>
    <row r="176" spans="1:30" x14ac:dyDescent="0.25">
      <c r="A176" s="38">
        <v>2968</v>
      </c>
      <c r="B176" s="39" t="s">
        <v>5961</v>
      </c>
      <c r="C176" s="39" t="s">
        <v>5962</v>
      </c>
      <c r="D176" s="41">
        <v>44107</v>
      </c>
      <c r="E176" s="39" t="s">
        <v>30</v>
      </c>
      <c r="F176" s="39">
        <v>9</v>
      </c>
      <c r="G176" s="39">
        <v>6</v>
      </c>
      <c r="H176" s="39">
        <v>13</v>
      </c>
      <c r="I176" s="39">
        <v>7</v>
      </c>
      <c r="J176" s="39" t="s">
        <v>204</v>
      </c>
      <c r="K176" s="39" cm="1">
        <f t="array" ref="K176">INT(SUMPRODUCT(--ISNUMBER(SEARCH(economy,C176)))&gt;0)</f>
        <v>0</v>
      </c>
      <c r="L176" s="39" cm="1">
        <f t="array" ref="L176">INT(SUMPRODUCT(--ISNUMBER(SEARCH(healthcare,C176)))&gt;0)</f>
        <v>0</v>
      </c>
      <c r="M176" s="39" cm="1">
        <f t="array" ref="M176">INT(SUMPRODUCT(--ISNUMBER(SEARCH(supreme,C176)))&gt;0)</f>
        <v>0</v>
      </c>
      <c r="N176" s="39" cm="1">
        <f t="array" ref="N176">INT(SUMPRODUCT(--ISNUMBER(SEARCH(covid,C176)))&gt;0)</f>
        <v>0</v>
      </c>
      <c r="O176" s="39" cm="1">
        <f t="array" ref="O176">INT(SUMPRODUCT(--ISNUMBER(SEARCH(violent,C176)))&gt;0)</f>
        <v>0</v>
      </c>
      <c r="P176" s="39" cm="1">
        <f t="array" ref="P176">INT(SUMPRODUCT(--ISNUMBER(SEARCH(foreign,C176)))&gt;0)</f>
        <v>0</v>
      </c>
      <c r="Q176" s="39" cm="1">
        <f t="array" ref="Q176">INT(SUMPRODUCT(--ISNUMBER(SEARCH(gun,C176)))&gt;0)</f>
        <v>0</v>
      </c>
      <c r="R176" s="39" cm="1">
        <f t="array" ref="R176">INT(SUMPRODUCT(--ISNUMBER(SEARCH(race,C176)))&gt;0)</f>
        <v>0</v>
      </c>
      <c r="S176" s="39" cm="1">
        <f t="array" ref="S176">INT(SUMPRODUCT(--ISNUMBER(SEARCH(immigration,C176)))&gt;0)</f>
        <v>0</v>
      </c>
      <c r="T176" s="39" cm="1">
        <f t="array" ref="T176">INT(SUMPRODUCT(--ISNUMBER(SEARCH(econineq,C177)))&gt;0)</f>
        <v>0</v>
      </c>
      <c r="U176" s="39" cm="1">
        <f t="array" ref="U176">INT(SUMPRODUCT(--ISNUMBER(SEARCH(climate,C176)))&gt;0)</f>
        <v>0</v>
      </c>
      <c r="V176" s="39" cm="1">
        <f t="array" ref="V176">INT(SUMPRODUCT(--ISNUMBER(SEARCH(abortion,C176)))&gt;0)</f>
        <v>0</v>
      </c>
      <c r="W176" s="39" cm="1">
        <f t="array" ref="W176">INT(SUMPRODUCT(--ISNUMBER(SEARCH(trump,C176)))&gt;0)</f>
        <v>0</v>
      </c>
      <c r="X176" s="39" cm="1">
        <f t="array" ref="X176">INT(SUMPRODUCT(--ISNUMBER(SEARCH(voting,C176)))&gt;0)</f>
        <v>1</v>
      </c>
      <c r="Y176" s="39" cm="1">
        <f t="array" ref="Y176">INT(SUMPRODUCT(--ISNUMBER(SEARCH(democrattrigger,C176)))&gt;0)</f>
        <v>0</v>
      </c>
      <c r="Z176" s="39" cm="1">
        <f t="array" ref="Z176">INT(SUMPRODUCT(--ISNUMBER(SEARCH(bipartisan,C176)))&gt;0)</f>
        <v>0</v>
      </c>
      <c r="AA176" s="39">
        <f t="shared" si="2"/>
        <v>0</v>
      </c>
      <c r="AB176" s="39"/>
      <c r="AC176" s="44" t="s">
        <v>223</v>
      </c>
      <c r="AD176" s="45" t="s">
        <v>223</v>
      </c>
    </row>
    <row r="177" spans="1:30" x14ac:dyDescent="0.25">
      <c r="A177" s="16"/>
      <c r="B177" s="16"/>
      <c r="C177" s="16"/>
      <c r="D177" s="16"/>
      <c r="E177" s="16"/>
      <c r="F177" s="16"/>
      <c r="G177" s="16"/>
      <c r="H177" s="16"/>
      <c r="I177" s="16"/>
      <c r="J177" s="16"/>
      <c r="K177" s="21">
        <f t="shared" ref="K177:AD177" si="3">SUM(K2:K176)</f>
        <v>39</v>
      </c>
      <c r="L177" s="21">
        <f t="shared" si="3"/>
        <v>38</v>
      </c>
      <c r="M177" s="21">
        <f t="shared" si="3"/>
        <v>13</v>
      </c>
      <c r="N177" s="21">
        <f t="shared" si="3"/>
        <v>26</v>
      </c>
      <c r="O177" s="21">
        <f t="shared" si="3"/>
        <v>2</v>
      </c>
      <c r="P177" s="21">
        <f t="shared" si="3"/>
        <v>4</v>
      </c>
      <c r="Q177" s="21">
        <f t="shared" si="3"/>
        <v>1</v>
      </c>
      <c r="R177" s="21">
        <f t="shared" si="3"/>
        <v>5</v>
      </c>
      <c r="S177" s="21">
        <f t="shared" si="3"/>
        <v>1</v>
      </c>
      <c r="T177" s="21">
        <f t="shared" si="3"/>
        <v>4</v>
      </c>
      <c r="U177" s="21">
        <f t="shared" si="3"/>
        <v>3</v>
      </c>
      <c r="V177" s="21">
        <f t="shared" si="3"/>
        <v>5</v>
      </c>
      <c r="W177" s="21">
        <f t="shared" si="3"/>
        <v>9</v>
      </c>
      <c r="X177" s="21">
        <f t="shared" si="3"/>
        <v>75</v>
      </c>
      <c r="Y177" s="21">
        <f t="shared" si="3"/>
        <v>28</v>
      </c>
      <c r="Z177" s="21">
        <f t="shared" si="3"/>
        <v>4</v>
      </c>
      <c r="AA177" s="21">
        <f t="shared" si="3"/>
        <v>33</v>
      </c>
      <c r="AB177" s="21">
        <f t="shared" si="3"/>
        <v>0</v>
      </c>
      <c r="AC177" s="21">
        <f t="shared" si="3"/>
        <v>73</v>
      </c>
      <c r="AD177" s="21">
        <f t="shared" si="3"/>
        <v>31</v>
      </c>
    </row>
    <row r="178" spans="1:30" x14ac:dyDescent="0.25">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x14ac:dyDescent="0.25">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x14ac:dyDescent="0.25">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x14ac:dyDescent="0.25">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x14ac:dyDescent="0.25">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x14ac:dyDescent="0.25">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x14ac:dyDescent="0.2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x14ac:dyDescent="0.2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x14ac:dyDescent="0.25">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x14ac:dyDescent="0.25">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x14ac:dyDescent="0.25">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x14ac:dyDescent="0.25">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x14ac:dyDescent="0.25">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x14ac:dyDescent="0.25">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x14ac:dyDescent="0.25">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x14ac:dyDescent="0.25">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x14ac:dyDescent="0.25">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x14ac:dyDescent="0.2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x14ac:dyDescent="0.25">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x14ac:dyDescent="0.25">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x14ac:dyDescent="0.25">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x14ac:dyDescent="0.25">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x14ac:dyDescent="0.25">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x14ac:dyDescent="0.25">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x14ac:dyDescent="0.25">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x14ac:dyDescent="0.25">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x14ac:dyDescent="0.25">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x14ac:dyDescent="0.2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x14ac:dyDescent="0.25">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x14ac:dyDescent="0.25">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x14ac:dyDescent="0.25">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x14ac:dyDescent="0.25">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x14ac:dyDescent="0.25">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x14ac:dyDescent="0.25">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x14ac:dyDescent="0.25">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x14ac:dyDescent="0.25">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x14ac:dyDescent="0.25">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x14ac:dyDescent="0.2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x14ac:dyDescent="0.25">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x14ac:dyDescent="0.25">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x14ac:dyDescent="0.25">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x14ac:dyDescent="0.25">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x14ac:dyDescent="0.25">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x14ac:dyDescent="0.25">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x14ac:dyDescent="0.25">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x14ac:dyDescent="0.25">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x14ac:dyDescent="0.25">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x14ac:dyDescent="0.2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x14ac:dyDescent="0.25">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x14ac:dyDescent="0.25">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x14ac:dyDescent="0.25">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x14ac:dyDescent="0.25">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x14ac:dyDescent="0.25">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x14ac:dyDescent="0.25">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x14ac:dyDescent="0.25">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x14ac:dyDescent="0.25">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x14ac:dyDescent="0.25">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x14ac:dyDescent="0.2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x14ac:dyDescent="0.25">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x14ac:dyDescent="0.25">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x14ac:dyDescent="0.25">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x14ac:dyDescent="0.25">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x14ac:dyDescent="0.25">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x14ac:dyDescent="0.25">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x14ac:dyDescent="0.25">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x14ac:dyDescent="0.25">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x14ac:dyDescent="0.25">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x14ac:dyDescent="0.2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x14ac:dyDescent="0.25">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x14ac:dyDescent="0.25">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x14ac:dyDescent="0.25">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x14ac:dyDescent="0.25">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x14ac:dyDescent="0.25">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x14ac:dyDescent="0.25">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x14ac:dyDescent="0.25">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x14ac:dyDescent="0.25">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x14ac:dyDescent="0.25">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x14ac:dyDescent="0.2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x14ac:dyDescent="0.25">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7" x14ac:dyDescent="0.25">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7" x14ac:dyDescent="0.25">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7" x14ac:dyDescent="0.25">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7" x14ac:dyDescent="0.25">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7" x14ac:dyDescent="0.25">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7" x14ac:dyDescent="0.25">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7" x14ac:dyDescent="0.25">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7" x14ac:dyDescent="0.25">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7" x14ac:dyDescent="0.2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7" x14ac:dyDescent="0.25">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7" x14ac:dyDescent="0.25">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7" x14ac:dyDescent="0.25">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7" x14ac:dyDescent="0.25">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row>
    <row r="270" spans="1:37" x14ac:dyDescent="0.25">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row>
    <row r="271" spans="1:37" x14ac:dyDescent="0.25">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row>
    <row r="272" spans="1:37" x14ac:dyDescent="0.25">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row>
    <row r="273" spans="1:37" x14ac:dyDescent="0.25">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row>
    <row r="274" spans="1:37" x14ac:dyDescent="0.25">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row>
    <row r="275" spans="1:37" x14ac:dyDescent="0.2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row>
    <row r="276" spans="1:37" x14ac:dyDescent="0.25">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row>
    <row r="277" spans="1:37" x14ac:dyDescent="0.25">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row>
    <row r="278" spans="1:37" x14ac:dyDescent="0.25">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row>
    <row r="279" spans="1:37" x14ac:dyDescent="0.25">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row>
    <row r="280" spans="1:37" x14ac:dyDescent="0.25">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row>
    <row r="281" spans="1:37" x14ac:dyDescent="0.25">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row>
    <row r="282" spans="1:37" x14ac:dyDescent="0.25">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row>
    <row r="283" spans="1:37" x14ac:dyDescent="0.25">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row>
    <row r="284" spans="1:37" x14ac:dyDescent="0.25">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row>
    <row r="285" spans="1:37" x14ac:dyDescent="0.2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row>
    <row r="286" spans="1:37" x14ac:dyDescent="0.25">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row>
    <row r="287" spans="1:37" x14ac:dyDescent="0.25">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row>
    <row r="288" spans="1:37" x14ac:dyDescent="0.25">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row>
    <row r="289" spans="1:37" x14ac:dyDescent="0.25">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row>
    <row r="290" spans="1:37" x14ac:dyDescent="0.25">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row>
    <row r="291" spans="1:37" x14ac:dyDescent="0.25">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row>
    <row r="292" spans="1:37" x14ac:dyDescent="0.25">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row>
    <row r="293" spans="1:37" x14ac:dyDescent="0.25">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row>
    <row r="294" spans="1:37" x14ac:dyDescent="0.25">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row>
    <row r="295" spans="1:37" x14ac:dyDescent="0.2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row>
    <row r="296" spans="1:37" x14ac:dyDescent="0.25">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row>
    <row r="297" spans="1:37" x14ac:dyDescent="0.25">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row>
    <row r="298" spans="1:37" x14ac:dyDescent="0.25">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row>
    <row r="299" spans="1:37" x14ac:dyDescent="0.25">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row>
    <row r="300" spans="1:37" x14ac:dyDescent="0.25">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row>
    <row r="301" spans="1:37" x14ac:dyDescent="0.25">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row>
    <row r="302" spans="1:37" x14ac:dyDescent="0.25">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row>
    <row r="303" spans="1:37" x14ac:dyDescent="0.2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row>
    <row r="304" spans="1:37" x14ac:dyDescent="0.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row>
    <row r="305" spans="1:37" x14ac:dyDescent="0.2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row>
    <row r="306" spans="1:37" x14ac:dyDescent="0.2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row>
    <row r="307" spans="1:37" x14ac:dyDescent="0.2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row>
    <row r="308" spans="1:37" x14ac:dyDescent="0.2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row>
    <row r="309" spans="1:37" x14ac:dyDescent="0.2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row>
    <row r="310" spans="1:37" x14ac:dyDescent="0.2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row>
    <row r="311" spans="1:37" x14ac:dyDescent="0.2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row>
    <row r="312" spans="1:37" x14ac:dyDescent="0.2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row>
    <row r="313" spans="1:37" x14ac:dyDescent="0.2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row>
    <row r="314" spans="1:37" x14ac:dyDescent="0.2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row>
    <row r="315" spans="1:37" x14ac:dyDescent="0.2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row>
    <row r="316" spans="1:37" x14ac:dyDescent="0.25">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row>
    <row r="317" spans="1:37" x14ac:dyDescent="0.25">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row>
    <row r="318" spans="1:37" x14ac:dyDescent="0.25">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row>
    <row r="319" spans="1:37" x14ac:dyDescent="0.25">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row>
    <row r="320" spans="1:37" x14ac:dyDescent="0.25">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row>
    <row r="321" spans="1:37" x14ac:dyDescent="0.25">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row>
    <row r="322" spans="1:37" x14ac:dyDescent="0.25">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row>
    <row r="323" spans="1:37" x14ac:dyDescent="0.25">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row>
    <row r="324" spans="1:37" x14ac:dyDescent="0.25">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row>
    <row r="325" spans="1:37" x14ac:dyDescent="0.2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row>
    <row r="326" spans="1:37" x14ac:dyDescent="0.25">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row>
    <row r="327" spans="1:37" x14ac:dyDescent="0.25">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row>
    <row r="328" spans="1:37" x14ac:dyDescent="0.25">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row>
    <row r="329" spans="1:37" x14ac:dyDescent="0.25">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row>
    <row r="330" spans="1:37" x14ac:dyDescent="0.25">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row>
    <row r="331" spans="1:37" x14ac:dyDescent="0.25">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row>
    <row r="332" spans="1:37" x14ac:dyDescent="0.25">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row>
    <row r="333" spans="1:37" x14ac:dyDescent="0.25">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row>
    <row r="334" spans="1:37" x14ac:dyDescent="0.25">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row>
    <row r="335" spans="1:37" x14ac:dyDescent="0.2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row>
    <row r="336" spans="1:37" x14ac:dyDescent="0.25">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row>
    <row r="337" spans="1:37" x14ac:dyDescent="0.25">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row>
    <row r="338" spans="1:37" x14ac:dyDescent="0.25">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row>
    <row r="339" spans="1:37" x14ac:dyDescent="0.25">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row>
    <row r="340" spans="1:37" x14ac:dyDescent="0.25">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row>
    <row r="341" spans="1:37" x14ac:dyDescent="0.25">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row>
    <row r="342" spans="1:37" x14ac:dyDescent="0.25">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row>
    <row r="343" spans="1:37" x14ac:dyDescent="0.25">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row>
    <row r="344" spans="1:37" x14ac:dyDescent="0.25">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row>
    <row r="345" spans="1:37" x14ac:dyDescent="0.2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row>
    <row r="346" spans="1:37" x14ac:dyDescent="0.25">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row>
    <row r="347" spans="1:37" x14ac:dyDescent="0.25">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row>
    <row r="348" spans="1:37" x14ac:dyDescent="0.25">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row>
    <row r="349" spans="1:37" x14ac:dyDescent="0.25">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row>
    <row r="350" spans="1:37" x14ac:dyDescent="0.25">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row>
    <row r="351" spans="1:37" x14ac:dyDescent="0.25">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row>
    <row r="352" spans="1:37" x14ac:dyDescent="0.25">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row>
    <row r="353" spans="1:37" x14ac:dyDescent="0.25">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row>
    <row r="354" spans="1:37" x14ac:dyDescent="0.25">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row>
    <row r="355" spans="1:37" x14ac:dyDescent="0.2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row>
    <row r="356" spans="1:37" x14ac:dyDescent="0.25">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row>
    <row r="357" spans="1:37" x14ac:dyDescent="0.25">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row>
    <row r="358" spans="1:37" x14ac:dyDescent="0.25">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row>
    <row r="359" spans="1:37" x14ac:dyDescent="0.25">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row>
    <row r="360" spans="1:37" x14ac:dyDescent="0.25">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row>
    <row r="361" spans="1:37" x14ac:dyDescent="0.25">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row>
    <row r="362" spans="1:37" x14ac:dyDescent="0.25">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row>
    <row r="363" spans="1:37" x14ac:dyDescent="0.25">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row>
    <row r="364" spans="1:37" x14ac:dyDescent="0.25">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row>
    <row r="365" spans="1:37" x14ac:dyDescent="0.2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row>
    <row r="366" spans="1:37" x14ac:dyDescent="0.25">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row>
    <row r="367" spans="1:37" x14ac:dyDescent="0.25">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row>
    <row r="368" spans="1:37" x14ac:dyDescent="0.25">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row>
    <row r="369" spans="1:37" x14ac:dyDescent="0.25">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row>
    <row r="370" spans="1:37" x14ac:dyDescent="0.25">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row>
    <row r="371" spans="1:37" x14ac:dyDescent="0.25">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row>
    <row r="372" spans="1:37" x14ac:dyDescent="0.25">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row>
    <row r="373" spans="1:37" x14ac:dyDescent="0.25">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row>
    <row r="374" spans="1:37" x14ac:dyDescent="0.25">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row>
    <row r="375" spans="1:37" x14ac:dyDescent="0.2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row>
    <row r="376" spans="1:37" x14ac:dyDescent="0.25">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row>
    <row r="377" spans="1:37" x14ac:dyDescent="0.25">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row>
    <row r="378" spans="1:37" x14ac:dyDescent="0.25">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row>
    <row r="379" spans="1:37" x14ac:dyDescent="0.25">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row>
    <row r="380" spans="1:37" x14ac:dyDescent="0.25">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row>
    <row r="381" spans="1:37" x14ac:dyDescent="0.25">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row>
    <row r="382" spans="1:37" x14ac:dyDescent="0.25">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row>
    <row r="383" spans="1:37" x14ac:dyDescent="0.25">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row>
    <row r="384" spans="1:37" x14ac:dyDescent="0.25">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row>
    <row r="385" spans="1:37" x14ac:dyDescent="0.2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row>
    <row r="386" spans="1:37" x14ac:dyDescent="0.25">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row>
    <row r="387" spans="1:37" x14ac:dyDescent="0.25">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row>
    <row r="388" spans="1:37" x14ac:dyDescent="0.25">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row>
    <row r="389" spans="1:37" x14ac:dyDescent="0.25">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row>
    <row r="390" spans="1:37" x14ac:dyDescent="0.25">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row>
    <row r="391" spans="1:37" x14ac:dyDescent="0.25">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row>
    <row r="392" spans="1:37" x14ac:dyDescent="0.25">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row>
    <row r="393" spans="1:37" x14ac:dyDescent="0.25">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row>
    <row r="394" spans="1:37" x14ac:dyDescent="0.25">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row>
    <row r="395" spans="1:37" x14ac:dyDescent="0.2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row>
    <row r="396" spans="1:37" x14ac:dyDescent="0.25">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row>
    <row r="397" spans="1:37" x14ac:dyDescent="0.25">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row>
    <row r="398" spans="1:37" x14ac:dyDescent="0.25">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row>
    <row r="399" spans="1:37" x14ac:dyDescent="0.25">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row>
    <row r="400" spans="1:37" x14ac:dyDescent="0.25">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row>
    <row r="401" spans="1:37" x14ac:dyDescent="0.25">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row>
    <row r="402" spans="1:37" x14ac:dyDescent="0.25">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row>
    <row r="403" spans="1:37" x14ac:dyDescent="0.25">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row>
    <row r="404" spans="1:37" x14ac:dyDescent="0.25">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row>
    <row r="405" spans="1:37" x14ac:dyDescent="0.2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row>
    <row r="406" spans="1:37" x14ac:dyDescent="0.25">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row>
    <row r="407" spans="1:37" x14ac:dyDescent="0.25">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row>
    <row r="408" spans="1:37" x14ac:dyDescent="0.25">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row>
    <row r="409" spans="1:37" x14ac:dyDescent="0.25">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row>
    <row r="410" spans="1:37" x14ac:dyDescent="0.25">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row>
    <row r="411" spans="1:37" x14ac:dyDescent="0.25">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row>
    <row r="412" spans="1:37" x14ac:dyDescent="0.25">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row>
    <row r="413" spans="1:37" x14ac:dyDescent="0.25">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row>
    <row r="414" spans="1:37" x14ac:dyDescent="0.25">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row>
    <row r="415" spans="1:37" x14ac:dyDescent="0.2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row>
    <row r="416" spans="1:37" x14ac:dyDescent="0.25">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row>
    <row r="417" spans="1:37" x14ac:dyDescent="0.25">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row>
    <row r="418" spans="1:37" x14ac:dyDescent="0.25">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row>
    <row r="419" spans="1:37" x14ac:dyDescent="0.25">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row>
    <row r="420" spans="1:37" x14ac:dyDescent="0.25">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row>
    <row r="421" spans="1:37" x14ac:dyDescent="0.25">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row>
    <row r="422" spans="1:37" x14ac:dyDescent="0.25">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row>
    <row r="423" spans="1:37" x14ac:dyDescent="0.25">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row>
    <row r="424" spans="1:37" x14ac:dyDescent="0.25">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row>
    <row r="425" spans="1:37" x14ac:dyDescent="0.2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row>
    <row r="426" spans="1:37" x14ac:dyDescent="0.25">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row>
    <row r="427" spans="1:37" x14ac:dyDescent="0.25">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row>
    <row r="428" spans="1:37" x14ac:dyDescent="0.25">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row>
    <row r="429" spans="1:37" x14ac:dyDescent="0.25">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row>
    <row r="430" spans="1:37" x14ac:dyDescent="0.25">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row>
    <row r="431" spans="1:37" x14ac:dyDescent="0.25">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row>
    <row r="432" spans="1:37" x14ac:dyDescent="0.25">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row>
    <row r="433" spans="1:37" x14ac:dyDescent="0.25">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row>
    <row r="434" spans="1:37" x14ac:dyDescent="0.25">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row>
    <row r="435" spans="1:37" x14ac:dyDescent="0.2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row>
    <row r="436" spans="1:37" x14ac:dyDescent="0.25">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row>
    <row r="437" spans="1:37" x14ac:dyDescent="0.25">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row>
    <row r="438" spans="1:37" x14ac:dyDescent="0.25">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row>
    <row r="439" spans="1:37" x14ac:dyDescent="0.25">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row>
    <row r="440" spans="1:37" x14ac:dyDescent="0.25">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row>
    <row r="441" spans="1:37" x14ac:dyDescent="0.25">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row>
    <row r="442" spans="1:37" x14ac:dyDescent="0.25">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row>
    <row r="443" spans="1:37" x14ac:dyDescent="0.25">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row>
    <row r="444" spans="1:37" x14ac:dyDescent="0.25">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row>
    <row r="445" spans="1:37" x14ac:dyDescent="0.2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row>
    <row r="446" spans="1:37" x14ac:dyDescent="0.25">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row>
    <row r="447" spans="1:37" x14ac:dyDescent="0.25">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row>
    <row r="448" spans="1:37" x14ac:dyDescent="0.25">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row>
    <row r="449" spans="1:37" x14ac:dyDescent="0.25">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row>
    <row r="450" spans="1:37" x14ac:dyDescent="0.25">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row>
    <row r="451" spans="1:37" x14ac:dyDescent="0.25">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row>
    <row r="452" spans="1:37" x14ac:dyDescent="0.25">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row>
    <row r="453" spans="1:37" x14ac:dyDescent="0.25">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row>
    <row r="454" spans="1:37" x14ac:dyDescent="0.25">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row>
    <row r="455" spans="1:37" x14ac:dyDescent="0.2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row>
    <row r="456" spans="1:37" x14ac:dyDescent="0.25">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row>
    <row r="457" spans="1:37" x14ac:dyDescent="0.25">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row>
    <row r="458" spans="1:37" x14ac:dyDescent="0.25">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row>
    <row r="459" spans="1:37" x14ac:dyDescent="0.25">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row>
    <row r="460" spans="1:37" x14ac:dyDescent="0.25">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row>
    <row r="461" spans="1:37" x14ac:dyDescent="0.25">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row>
    <row r="462" spans="1:37" x14ac:dyDescent="0.25">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row>
    <row r="463" spans="1:37" x14ac:dyDescent="0.25">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row>
    <row r="464" spans="1:37" x14ac:dyDescent="0.25">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row>
    <row r="465" spans="1:37" x14ac:dyDescent="0.2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row>
    <row r="466" spans="1:37" x14ac:dyDescent="0.25">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row>
    <row r="467" spans="1:37" x14ac:dyDescent="0.25">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row>
    <row r="468" spans="1:37" x14ac:dyDescent="0.25">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row>
    <row r="469" spans="1:37" x14ac:dyDescent="0.25">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row>
    <row r="470" spans="1:37" x14ac:dyDescent="0.25">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row>
    <row r="471" spans="1:37" x14ac:dyDescent="0.25">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row>
    <row r="472" spans="1:37" x14ac:dyDescent="0.25">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row>
    <row r="473" spans="1:37" x14ac:dyDescent="0.25">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row>
    <row r="474" spans="1:37" x14ac:dyDescent="0.25">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row>
    <row r="475" spans="1:37" x14ac:dyDescent="0.2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row>
    <row r="476" spans="1:37" x14ac:dyDescent="0.25">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row>
    <row r="477" spans="1:37" x14ac:dyDescent="0.25">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row>
    <row r="478" spans="1:37" x14ac:dyDescent="0.25">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row>
    <row r="479" spans="1:37" x14ac:dyDescent="0.25">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row>
    <row r="480" spans="1:37" x14ac:dyDescent="0.25">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row>
    <row r="481" spans="1:37" x14ac:dyDescent="0.25">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row>
    <row r="482" spans="1:37" x14ac:dyDescent="0.25">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row>
    <row r="483" spans="1:37" x14ac:dyDescent="0.25">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row>
    <row r="484" spans="1:37" x14ac:dyDescent="0.25">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row>
    <row r="485" spans="1:37" x14ac:dyDescent="0.2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row>
    <row r="486" spans="1:37" x14ac:dyDescent="0.25">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row>
    <row r="487" spans="1:37" x14ac:dyDescent="0.25">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row>
    <row r="488" spans="1:37" x14ac:dyDescent="0.25">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row>
    <row r="489" spans="1:37" x14ac:dyDescent="0.25">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row>
    <row r="490" spans="1:37" x14ac:dyDescent="0.25">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row>
    <row r="491" spans="1:37" x14ac:dyDescent="0.25">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row>
    <row r="492" spans="1:37" x14ac:dyDescent="0.25">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row>
    <row r="493" spans="1:37" x14ac:dyDescent="0.25">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row>
    <row r="494" spans="1:37" x14ac:dyDescent="0.25">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row>
    <row r="495" spans="1:37" x14ac:dyDescent="0.2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row>
    <row r="496" spans="1:37" x14ac:dyDescent="0.25">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row>
    <row r="497" spans="1:37" x14ac:dyDescent="0.25">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row>
    <row r="498" spans="1:37" x14ac:dyDescent="0.25">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row>
    <row r="499" spans="1:37" x14ac:dyDescent="0.25">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row>
    <row r="500" spans="1:37" x14ac:dyDescent="0.25">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row>
    <row r="501" spans="1:37" x14ac:dyDescent="0.25">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row>
    <row r="502" spans="1:37" x14ac:dyDescent="0.25">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row>
    <row r="503" spans="1:37" x14ac:dyDescent="0.25">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row>
    <row r="504" spans="1:37" x14ac:dyDescent="0.25">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row>
    <row r="505" spans="1:37" x14ac:dyDescent="0.2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row>
    <row r="506" spans="1:37" x14ac:dyDescent="0.25">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row>
    <row r="507" spans="1:37" x14ac:dyDescent="0.25">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row>
    <row r="508" spans="1:37" x14ac:dyDescent="0.25">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row>
    <row r="509" spans="1:37" x14ac:dyDescent="0.25">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row>
    <row r="510" spans="1:37" x14ac:dyDescent="0.25">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row>
    <row r="511" spans="1:37" x14ac:dyDescent="0.25">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row>
    <row r="512" spans="1:37" x14ac:dyDescent="0.25">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row>
    <row r="513" spans="1:37" x14ac:dyDescent="0.25">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row>
    <row r="514" spans="1:37" x14ac:dyDescent="0.25">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row>
    <row r="515" spans="1:37" x14ac:dyDescent="0.2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row>
    <row r="516" spans="1:37" x14ac:dyDescent="0.25">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row>
    <row r="517" spans="1:37" x14ac:dyDescent="0.25">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row>
    <row r="518" spans="1:37" x14ac:dyDescent="0.25">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row>
    <row r="519" spans="1:37" x14ac:dyDescent="0.25">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row>
    <row r="520" spans="1:37" x14ac:dyDescent="0.25">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row>
    <row r="521" spans="1:37" x14ac:dyDescent="0.25">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row>
    <row r="522" spans="1:37" x14ac:dyDescent="0.25">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row>
    <row r="523" spans="1:37" x14ac:dyDescent="0.25">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row>
    <row r="524" spans="1:37" x14ac:dyDescent="0.25">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row>
    <row r="525" spans="1:37" x14ac:dyDescent="0.2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row>
    <row r="526" spans="1:37" x14ac:dyDescent="0.25">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row>
    <row r="527" spans="1:37" x14ac:dyDescent="0.25">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row>
    <row r="528" spans="1:37" x14ac:dyDescent="0.25">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row>
    <row r="529" spans="1:37" x14ac:dyDescent="0.25">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row>
    <row r="530" spans="1:37" x14ac:dyDescent="0.25">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row>
    <row r="531" spans="1:37" x14ac:dyDescent="0.25">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row>
    <row r="532" spans="1:37" x14ac:dyDescent="0.25">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row>
    <row r="533" spans="1:37" x14ac:dyDescent="0.25">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row>
    <row r="534" spans="1:37" x14ac:dyDescent="0.25">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row>
    <row r="535" spans="1:37" x14ac:dyDescent="0.25">
      <c r="AE535" s="16"/>
      <c r="AF535" s="16"/>
      <c r="AG535" s="16"/>
      <c r="AH535" s="16"/>
      <c r="AI535" s="16"/>
      <c r="AJ535" s="16"/>
      <c r="AK535" s="16"/>
    </row>
    <row r="536" spans="1:37" x14ac:dyDescent="0.25">
      <c r="AE536" s="16"/>
      <c r="AF536" s="16"/>
      <c r="AG536" s="16"/>
      <c r="AH536" s="16"/>
      <c r="AI536" s="16"/>
      <c r="AJ536" s="16"/>
      <c r="AK536" s="16"/>
    </row>
    <row r="537" spans="1:37" x14ac:dyDescent="0.25">
      <c r="AE537" s="16"/>
      <c r="AF537" s="16"/>
      <c r="AG537" s="16"/>
      <c r="AH537" s="16"/>
      <c r="AI537" s="16"/>
      <c r="AJ537" s="16"/>
      <c r="AK537" s="16"/>
    </row>
    <row r="538" spans="1:37" x14ac:dyDescent="0.25">
      <c r="AE538" s="16"/>
      <c r="AF538" s="16"/>
      <c r="AG538" s="16"/>
      <c r="AH538" s="16"/>
      <c r="AI538" s="16"/>
      <c r="AJ538" s="16"/>
      <c r="AK538" s="16"/>
    </row>
    <row r="539" spans="1:37" x14ac:dyDescent="0.25">
      <c r="AE539" s="16"/>
      <c r="AF539" s="16"/>
      <c r="AG539" s="16"/>
      <c r="AH539" s="16"/>
      <c r="AI539" s="16"/>
      <c r="AJ539" s="16"/>
      <c r="AK539" s="16"/>
    </row>
    <row r="540" spans="1:37" x14ac:dyDescent="0.25">
      <c r="AE540" s="16"/>
      <c r="AF540" s="16"/>
      <c r="AG540" s="16"/>
      <c r="AH540" s="16"/>
      <c r="AI540" s="16"/>
      <c r="AJ540" s="16"/>
      <c r="AK540" s="16"/>
    </row>
    <row r="541" spans="1:37" x14ac:dyDescent="0.25">
      <c r="AE541" s="16"/>
      <c r="AF541" s="16"/>
      <c r="AG541" s="16"/>
      <c r="AH541" s="16"/>
      <c r="AI541" s="16"/>
      <c r="AJ541" s="16"/>
      <c r="AK541" s="16"/>
    </row>
    <row r="542" spans="1:37" x14ac:dyDescent="0.25">
      <c r="AE542" s="16"/>
      <c r="AF542" s="16"/>
      <c r="AG542" s="16"/>
      <c r="AH542" s="16"/>
      <c r="AI542" s="16"/>
      <c r="AJ542" s="16"/>
      <c r="AK542" s="16"/>
    </row>
    <row r="543" spans="1:37" x14ac:dyDescent="0.25">
      <c r="AE543" s="16"/>
      <c r="AF543" s="16"/>
      <c r="AG543" s="16"/>
      <c r="AH543" s="16"/>
      <c r="AI543" s="16"/>
      <c r="AJ543" s="16"/>
      <c r="AK543" s="16"/>
    </row>
    <row r="544" spans="1:37" x14ac:dyDescent="0.25">
      <c r="AE544" s="16"/>
      <c r="AF544" s="16"/>
      <c r="AG544" s="16"/>
      <c r="AH544" s="16"/>
      <c r="AI544" s="16"/>
      <c r="AJ544" s="16"/>
      <c r="AK544" s="16"/>
    </row>
    <row r="545" spans="31:37" x14ac:dyDescent="0.25">
      <c r="AE545" s="16"/>
      <c r="AF545" s="16"/>
      <c r="AG545" s="16"/>
      <c r="AH545" s="16"/>
      <c r="AI545" s="16"/>
      <c r="AJ545" s="16"/>
      <c r="AK545" s="16"/>
    </row>
    <row r="546" spans="31:37" x14ac:dyDescent="0.25">
      <c r="AE546" s="16"/>
      <c r="AF546" s="16"/>
      <c r="AG546" s="16"/>
      <c r="AH546" s="16"/>
      <c r="AI546" s="16"/>
      <c r="AJ546" s="16"/>
      <c r="AK546" s="16"/>
    </row>
    <row r="547" spans="31:37" x14ac:dyDescent="0.25">
      <c r="AE547" s="16"/>
      <c r="AF547" s="16"/>
      <c r="AG547" s="16"/>
      <c r="AH547" s="16"/>
      <c r="AI547" s="16"/>
      <c r="AJ547" s="16"/>
      <c r="AK547" s="16"/>
    </row>
    <row r="548" spans="31:37" x14ac:dyDescent="0.25">
      <c r="AE548" s="16"/>
      <c r="AF548" s="16"/>
      <c r="AG548" s="16"/>
      <c r="AH548" s="16"/>
      <c r="AI548" s="16"/>
      <c r="AJ548" s="16"/>
      <c r="AK548" s="16"/>
    </row>
    <row r="549" spans="31:37" x14ac:dyDescent="0.25">
      <c r="AE549" s="16"/>
      <c r="AF549" s="16"/>
      <c r="AG549" s="16"/>
      <c r="AH549" s="16"/>
      <c r="AI549" s="16"/>
      <c r="AJ549" s="16"/>
      <c r="AK549" s="16"/>
    </row>
    <row r="550" spans="31:37" x14ac:dyDescent="0.25">
      <c r="AE550" s="16"/>
      <c r="AF550" s="16"/>
      <c r="AG550" s="16"/>
      <c r="AH550" s="16"/>
      <c r="AI550" s="16"/>
      <c r="AJ550" s="16"/>
      <c r="AK550" s="16"/>
    </row>
    <row r="551" spans="31:37" x14ac:dyDescent="0.25">
      <c r="AE551" s="16"/>
      <c r="AF551" s="16"/>
      <c r="AG551" s="16"/>
      <c r="AH551" s="16"/>
      <c r="AI551" s="16"/>
      <c r="AJ551" s="16"/>
      <c r="AK551" s="16"/>
    </row>
    <row r="552" spans="31:37" x14ac:dyDescent="0.25">
      <c r="AE552" s="16"/>
      <c r="AF552" s="16"/>
      <c r="AG552" s="16"/>
      <c r="AH552" s="16"/>
      <c r="AI552" s="16"/>
      <c r="AJ552" s="16"/>
      <c r="AK552" s="16"/>
    </row>
    <row r="553" spans="31:37" x14ac:dyDescent="0.25">
      <c r="AE553" s="16"/>
      <c r="AF553" s="16"/>
      <c r="AG553" s="16"/>
      <c r="AH553" s="16"/>
      <c r="AI553" s="16"/>
      <c r="AJ553" s="16"/>
      <c r="AK553" s="16"/>
    </row>
    <row r="554" spans="31:37" x14ac:dyDescent="0.25">
      <c r="AE554" s="16"/>
      <c r="AF554" s="16"/>
      <c r="AG554" s="16"/>
      <c r="AH554" s="16"/>
      <c r="AI554" s="16"/>
      <c r="AJ554" s="16"/>
      <c r="AK554" s="16"/>
    </row>
    <row r="555" spans="31:37" x14ac:dyDescent="0.25">
      <c r="AE555" s="16"/>
      <c r="AF555" s="16"/>
      <c r="AG555" s="16"/>
      <c r="AH555" s="16"/>
      <c r="AI555" s="16"/>
      <c r="AJ555" s="16"/>
      <c r="AK555" s="16"/>
    </row>
    <row r="556" spans="31:37" x14ac:dyDescent="0.25">
      <c r="AE556" s="16"/>
      <c r="AF556" s="16"/>
      <c r="AG556" s="16"/>
      <c r="AH556" s="16"/>
      <c r="AI556" s="16"/>
      <c r="AJ556" s="16"/>
      <c r="AK556" s="16"/>
    </row>
    <row r="557" spans="31:37" x14ac:dyDescent="0.25">
      <c r="AE557" s="16"/>
      <c r="AF557" s="16"/>
      <c r="AG557" s="16"/>
      <c r="AH557" s="16"/>
      <c r="AI557" s="16"/>
      <c r="AJ557" s="16"/>
      <c r="AK557" s="16"/>
    </row>
    <row r="558" spans="31:37" x14ac:dyDescent="0.25">
      <c r="AE558" s="16"/>
      <c r="AF558" s="16"/>
      <c r="AG558" s="16"/>
      <c r="AH558" s="16"/>
      <c r="AI558" s="16"/>
      <c r="AJ558" s="16"/>
      <c r="AK558" s="16"/>
    </row>
    <row r="559" spans="31:37" x14ac:dyDescent="0.25">
      <c r="AE559" s="16"/>
      <c r="AF559" s="16"/>
      <c r="AG559" s="16"/>
      <c r="AH559" s="16"/>
      <c r="AI559" s="16"/>
      <c r="AJ559" s="16"/>
      <c r="AK559" s="16"/>
    </row>
    <row r="560" spans="31:37" x14ac:dyDescent="0.25">
      <c r="AE560" s="16"/>
      <c r="AF560" s="16"/>
      <c r="AG560" s="16"/>
      <c r="AH560" s="16"/>
      <c r="AI560" s="16"/>
      <c r="AJ560" s="16"/>
      <c r="AK560" s="16"/>
    </row>
    <row r="561" spans="31:37" x14ac:dyDescent="0.25">
      <c r="AE561" s="16"/>
      <c r="AF561" s="16"/>
      <c r="AG561" s="16"/>
      <c r="AH561" s="16"/>
      <c r="AI561" s="16"/>
      <c r="AJ561" s="16"/>
      <c r="AK561" s="16"/>
    </row>
    <row r="562" spans="31:37" x14ac:dyDescent="0.25">
      <c r="AE562" s="16"/>
      <c r="AF562" s="16"/>
      <c r="AG562" s="16"/>
      <c r="AH562" s="16"/>
      <c r="AI562" s="16"/>
      <c r="AJ562" s="16"/>
      <c r="AK562" s="16"/>
    </row>
    <row r="563" spans="31:37" x14ac:dyDescent="0.25">
      <c r="AE563" s="16"/>
      <c r="AF563" s="16"/>
      <c r="AG563" s="16"/>
      <c r="AH563" s="16"/>
      <c r="AI563" s="16"/>
      <c r="AJ563" s="16"/>
      <c r="AK563" s="16"/>
    </row>
    <row r="564" spans="31:37" x14ac:dyDescent="0.25">
      <c r="AE564" s="16"/>
      <c r="AF564" s="16"/>
      <c r="AG564" s="16"/>
      <c r="AH564" s="16"/>
      <c r="AI564" s="16"/>
      <c r="AJ564" s="16"/>
      <c r="AK564" s="16"/>
    </row>
    <row r="565" spans="31:37" x14ac:dyDescent="0.25">
      <c r="AE565" s="16"/>
      <c r="AF565" s="16"/>
      <c r="AG565" s="16"/>
      <c r="AH565" s="16"/>
      <c r="AI565" s="16"/>
      <c r="AJ565" s="16"/>
      <c r="AK565" s="16"/>
    </row>
    <row r="566" spans="31:37" x14ac:dyDescent="0.25">
      <c r="AE566" s="16"/>
      <c r="AF566" s="16"/>
      <c r="AG566" s="16"/>
      <c r="AH566" s="16"/>
      <c r="AI566" s="16"/>
      <c r="AJ566" s="16"/>
      <c r="AK566" s="16"/>
    </row>
    <row r="567" spans="31:37" x14ac:dyDescent="0.25">
      <c r="AE567" s="16"/>
      <c r="AF567" s="16"/>
      <c r="AG567" s="16"/>
      <c r="AH567" s="16"/>
      <c r="AI567" s="16"/>
      <c r="AJ567" s="16"/>
      <c r="AK567" s="16"/>
    </row>
    <row r="568" spans="31:37" x14ac:dyDescent="0.25">
      <c r="AE568" s="16"/>
      <c r="AF568" s="16"/>
      <c r="AG568" s="16"/>
      <c r="AH568" s="16"/>
      <c r="AI568" s="16"/>
      <c r="AJ568" s="16"/>
      <c r="AK568" s="16"/>
    </row>
    <row r="569" spans="31:37" x14ac:dyDescent="0.25">
      <c r="AE569" s="16"/>
      <c r="AF569" s="16"/>
      <c r="AG569" s="16"/>
      <c r="AH569" s="16"/>
      <c r="AI569" s="16"/>
      <c r="AJ569" s="16"/>
      <c r="AK569" s="16"/>
    </row>
    <row r="570" spans="31:37" x14ac:dyDescent="0.25">
      <c r="AE570" s="16"/>
      <c r="AF570" s="16"/>
      <c r="AG570" s="16"/>
      <c r="AH570" s="16"/>
      <c r="AI570" s="16"/>
      <c r="AJ570" s="16"/>
      <c r="AK570" s="16"/>
    </row>
    <row r="571" spans="31:37" x14ac:dyDescent="0.25">
      <c r="AE571" s="16"/>
      <c r="AF571" s="16"/>
      <c r="AG571" s="16"/>
      <c r="AH571" s="16"/>
      <c r="AI571" s="16"/>
      <c r="AJ571" s="16"/>
      <c r="AK571" s="16"/>
    </row>
    <row r="572" spans="31:37" x14ac:dyDescent="0.25">
      <c r="AE572" s="16"/>
      <c r="AF572" s="16"/>
      <c r="AG572" s="16"/>
      <c r="AH572" s="16"/>
      <c r="AI572" s="16"/>
      <c r="AJ572" s="16"/>
      <c r="AK572" s="16"/>
    </row>
    <row r="573" spans="31:37" x14ac:dyDescent="0.25">
      <c r="AE573" s="16"/>
      <c r="AF573" s="16"/>
      <c r="AG573" s="16"/>
      <c r="AH573" s="16"/>
      <c r="AI573" s="16"/>
      <c r="AJ573" s="16"/>
      <c r="AK573" s="16"/>
    </row>
    <row r="574" spans="31:37" x14ac:dyDescent="0.25">
      <c r="AE574" s="16"/>
      <c r="AF574" s="16"/>
      <c r="AG574" s="16"/>
      <c r="AH574" s="16"/>
      <c r="AI574" s="16"/>
      <c r="AJ574" s="16"/>
      <c r="AK574" s="16"/>
    </row>
    <row r="575" spans="31:37" x14ac:dyDescent="0.25">
      <c r="AE575" s="16"/>
      <c r="AF575" s="16"/>
      <c r="AG575" s="16"/>
      <c r="AH575" s="16"/>
      <c r="AI575" s="16"/>
      <c r="AJ575" s="16"/>
      <c r="AK575" s="16"/>
    </row>
    <row r="576" spans="31:37" x14ac:dyDescent="0.25">
      <c r="AE576" s="16"/>
      <c r="AF576" s="16"/>
      <c r="AG576" s="16"/>
      <c r="AH576" s="16"/>
      <c r="AI576" s="16"/>
      <c r="AJ576" s="16"/>
      <c r="AK576" s="16"/>
    </row>
    <row r="577" spans="31:37" x14ac:dyDescent="0.25">
      <c r="AE577" s="16"/>
      <c r="AF577" s="16"/>
      <c r="AG577" s="16"/>
      <c r="AH577" s="16"/>
      <c r="AI577" s="16"/>
      <c r="AJ577" s="16"/>
      <c r="AK577" s="16"/>
    </row>
    <row r="578" spans="31:37" x14ac:dyDescent="0.25">
      <c r="AE578" s="16"/>
      <c r="AF578" s="16"/>
      <c r="AG578" s="16"/>
      <c r="AH578" s="16"/>
      <c r="AI578" s="16"/>
      <c r="AJ578" s="16"/>
      <c r="AK578" s="16"/>
    </row>
    <row r="579" spans="31:37" x14ac:dyDescent="0.25">
      <c r="AE579" s="16"/>
      <c r="AF579" s="16"/>
      <c r="AG579" s="16"/>
      <c r="AH579" s="16"/>
      <c r="AI579" s="16"/>
      <c r="AJ579" s="16"/>
      <c r="AK579" s="16"/>
    </row>
    <row r="580" spans="31:37" x14ac:dyDescent="0.25">
      <c r="AE580" s="16"/>
      <c r="AF580" s="16"/>
      <c r="AG580" s="16"/>
      <c r="AH580" s="16"/>
      <c r="AI580" s="16"/>
      <c r="AJ580" s="16"/>
      <c r="AK580" s="16"/>
    </row>
    <row r="581" spans="31:37" x14ac:dyDescent="0.25">
      <c r="AE581" s="16"/>
      <c r="AF581" s="16"/>
      <c r="AG581" s="16"/>
      <c r="AH581" s="16"/>
      <c r="AI581" s="16"/>
      <c r="AJ581" s="16"/>
      <c r="AK581" s="16"/>
    </row>
    <row r="582" spans="31:37" x14ac:dyDescent="0.25">
      <c r="AE582" s="16"/>
      <c r="AF582" s="16"/>
      <c r="AG582" s="16"/>
      <c r="AH582" s="16"/>
      <c r="AI582" s="16"/>
      <c r="AJ582" s="16"/>
      <c r="AK582" s="16"/>
    </row>
    <row r="583" spans="31:37" x14ac:dyDescent="0.25">
      <c r="AE583" s="16"/>
      <c r="AF583" s="16"/>
      <c r="AG583" s="16"/>
      <c r="AH583" s="16"/>
      <c r="AI583" s="16"/>
      <c r="AJ583" s="16"/>
      <c r="AK583" s="16"/>
    </row>
    <row r="584" spans="31:37" x14ac:dyDescent="0.25">
      <c r="AE584" s="16"/>
      <c r="AF584" s="16"/>
      <c r="AG584" s="16"/>
      <c r="AH584" s="16"/>
      <c r="AI584" s="16"/>
      <c r="AJ584" s="16"/>
      <c r="AK584" s="16"/>
    </row>
    <row r="585" spans="31:37" x14ac:dyDescent="0.25">
      <c r="AE585" s="16"/>
      <c r="AF585" s="16"/>
      <c r="AG585" s="16"/>
      <c r="AH585" s="16"/>
      <c r="AI585" s="16"/>
      <c r="AJ585" s="16"/>
      <c r="AK585" s="16"/>
    </row>
    <row r="586" spans="31:37" x14ac:dyDescent="0.25">
      <c r="AE586" s="16"/>
      <c r="AF586" s="16"/>
      <c r="AG586" s="16"/>
      <c r="AH586" s="16"/>
      <c r="AI586" s="16"/>
      <c r="AJ586" s="16"/>
      <c r="AK586" s="16"/>
    </row>
    <row r="587" spans="31:37" x14ac:dyDescent="0.25">
      <c r="AE587" s="16"/>
      <c r="AF587" s="16"/>
      <c r="AG587" s="16"/>
      <c r="AH587" s="16"/>
      <c r="AI587" s="16"/>
      <c r="AJ587" s="16"/>
      <c r="AK587" s="16"/>
    </row>
    <row r="588" spans="31:37" x14ac:dyDescent="0.25">
      <c r="AE588" s="16"/>
      <c r="AF588" s="16"/>
      <c r="AG588" s="16"/>
      <c r="AH588" s="16"/>
      <c r="AI588" s="16"/>
      <c r="AJ588" s="16"/>
      <c r="AK588" s="16"/>
    </row>
    <row r="589" spans="31:37" x14ac:dyDescent="0.25">
      <c r="AE589" s="16"/>
      <c r="AF589" s="16"/>
      <c r="AG589" s="16"/>
      <c r="AH589" s="16"/>
      <c r="AI589" s="16"/>
      <c r="AJ589" s="16"/>
      <c r="AK589" s="16"/>
    </row>
    <row r="590" spans="31:37" x14ac:dyDescent="0.25">
      <c r="AE590" s="16"/>
      <c r="AF590" s="16"/>
      <c r="AG590" s="16"/>
      <c r="AH590" s="16"/>
      <c r="AI590" s="16"/>
      <c r="AJ590" s="16"/>
      <c r="AK590" s="16"/>
    </row>
    <row r="591" spans="31:37" x14ac:dyDescent="0.25">
      <c r="AE591" s="16"/>
      <c r="AF591" s="16"/>
      <c r="AG591" s="16"/>
      <c r="AH591" s="16"/>
      <c r="AI591" s="16"/>
      <c r="AJ591" s="16"/>
      <c r="AK591" s="16"/>
    </row>
    <row r="592" spans="31:37" x14ac:dyDescent="0.25">
      <c r="AE592" s="16"/>
      <c r="AF592" s="16"/>
      <c r="AG592" s="16"/>
      <c r="AH592" s="16"/>
      <c r="AI592" s="16"/>
      <c r="AJ592" s="16"/>
      <c r="AK592" s="16"/>
    </row>
    <row r="593" spans="31:37" x14ac:dyDescent="0.25">
      <c r="AE593" s="16"/>
      <c r="AF593" s="16"/>
      <c r="AG593" s="16"/>
      <c r="AH593" s="16"/>
      <c r="AI593" s="16"/>
      <c r="AJ593" s="16"/>
      <c r="AK593" s="16"/>
    </row>
    <row r="594" spans="31:37" x14ac:dyDescent="0.25">
      <c r="AE594" s="16"/>
      <c r="AF594" s="16"/>
      <c r="AG594" s="16"/>
      <c r="AH594" s="16"/>
      <c r="AI594" s="16"/>
      <c r="AJ594" s="16"/>
      <c r="AK594" s="16"/>
    </row>
    <row r="595" spans="31:37" x14ac:dyDescent="0.25">
      <c r="AE595" s="16"/>
      <c r="AF595" s="16"/>
      <c r="AG595" s="16"/>
      <c r="AH595" s="16"/>
      <c r="AI595" s="16"/>
      <c r="AJ595" s="16"/>
      <c r="AK595" s="16"/>
    </row>
    <row r="596" spans="31:37" x14ac:dyDescent="0.25">
      <c r="AE596" s="16"/>
      <c r="AF596" s="16"/>
      <c r="AG596" s="16"/>
      <c r="AH596" s="16"/>
      <c r="AI596" s="16"/>
      <c r="AJ596" s="16"/>
      <c r="AK596" s="16"/>
    </row>
    <row r="597" spans="31:37" x14ac:dyDescent="0.25">
      <c r="AE597" s="16"/>
      <c r="AF597" s="16"/>
      <c r="AG597" s="16"/>
      <c r="AH597" s="16"/>
      <c r="AI597" s="16"/>
      <c r="AJ597" s="16"/>
      <c r="AK597" s="16"/>
    </row>
    <row r="598" spans="31:37" x14ac:dyDescent="0.25">
      <c r="AE598" s="16"/>
      <c r="AF598" s="16"/>
      <c r="AG598" s="16"/>
      <c r="AH598" s="16"/>
      <c r="AI598" s="16"/>
      <c r="AJ598" s="16"/>
      <c r="AK598" s="16"/>
    </row>
    <row r="599" spans="31:37" x14ac:dyDescent="0.25">
      <c r="AE599" s="16"/>
      <c r="AF599" s="16"/>
      <c r="AG599" s="16"/>
      <c r="AH599" s="16"/>
      <c r="AI599" s="16"/>
      <c r="AJ599" s="16"/>
      <c r="AK599" s="16"/>
    </row>
    <row r="600" spans="31:37" x14ac:dyDescent="0.25">
      <c r="AE600" s="16"/>
      <c r="AF600" s="16"/>
      <c r="AG600" s="16"/>
      <c r="AH600" s="16"/>
      <c r="AI600" s="16"/>
      <c r="AJ600" s="16"/>
      <c r="AK600" s="16"/>
    </row>
    <row r="601" spans="31:37" x14ac:dyDescent="0.25">
      <c r="AE601" s="16"/>
      <c r="AF601" s="16"/>
      <c r="AG601" s="16"/>
      <c r="AH601" s="16"/>
      <c r="AI601" s="16"/>
      <c r="AJ601" s="16"/>
      <c r="AK601" s="16"/>
    </row>
    <row r="602" spans="31:37" x14ac:dyDescent="0.25">
      <c r="AE602" s="16"/>
      <c r="AF602" s="16"/>
      <c r="AG602" s="16"/>
      <c r="AH602" s="16"/>
      <c r="AI602" s="16"/>
      <c r="AJ602" s="16"/>
      <c r="AK602" s="16"/>
    </row>
    <row r="603" spans="31:37" x14ac:dyDescent="0.25">
      <c r="AE603" s="16"/>
      <c r="AF603" s="16"/>
      <c r="AG603" s="16"/>
      <c r="AH603" s="16"/>
      <c r="AI603" s="16"/>
      <c r="AJ603" s="16"/>
      <c r="AK603" s="16"/>
    </row>
    <row r="604" spans="31:37" x14ac:dyDescent="0.25">
      <c r="AE604" s="16"/>
      <c r="AF604" s="16"/>
      <c r="AG604" s="16"/>
      <c r="AH604" s="16"/>
      <c r="AI604" s="16"/>
      <c r="AJ604" s="16"/>
      <c r="AK604" s="16"/>
    </row>
    <row r="605" spans="31:37" x14ac:dyDescent="0.25">
      <c r="AE605" s="16"/>
      <c r="AF605" s="16"/>
      <c r="AG605" s="16"/>
      <c r="AH605" s="16"/>
      <c r="AI605" s="16"/>
      <c r="AJ605" s="16"/>
      <c r="AK605" s="16"/>
    </row>
    <row r="606" spans="31:37" x14ac:dyDescent="0.25">
      <c r="AE606" s="16"/>
      <c r="AF606" s="16"/>
      <c r="AG606" s="16"/>
      <c r="AH606" s="16"/>
      <c r="AI606" s="16"/>
      <c r="AJ606" s="16"/>
      <c r="AK606" s="16"/>
    </row>
    <row r="607" spans="31:37" x14ac:dyDescent="0.25">
      <c r="AE607" s="16"/>
      <c r="AF607" s="16"/>
      <c r="AG607" s="16"/>
      <c r="AH607" s="16"/>
      <c r="AI607" s="16"/>
      <c r="AJ607" s="16"/>
      <c r="AK607" s="16"/>
    </row>
    <row r="608" spans="31:37" x14ac:dyDescent="0.25">
      <c r="AE608" s="16"/>
      <c r="AF608" s="16"/>
      <c r="AG608" s="16"/>
      <c r="AH608" s="16"/>
      <c r="AI608" s="16"/>
      <c r="AJ608" s="16"/>
      <c r="AK608" s="16"/>
    </row>
    <row r="609" spans="31:37" x14ac:dyDescent="0.25">
      <c r="AE609" s="16"/>
      <c r="AF609" s="16"/>
      <c r="AG609" s="16"/>
      <c r="AH609" s="16"/>
      <c r="AI609" s="16"/>
      <c r="AJ609" s="16"/>
      <c r="AK609" s="16"/>
    </row>
    <row r="610" spans="31:37" x14ac:dyDescent="0.25">
      <c r="AE610" s="16"/>
      <c r="AF610" s="16"/>
      <c r="AG610" s="16"/>
      <c r="AH610" s="16"/>
      <c r="AI610" s="16"/>
      <c r="AJ610" s="16"/>
      <c r="AK610" s="16"/>
    </row>
    <row r="611" spans="31:37" x14ac:dyDescent="0.25">
      <c r="AE611" s="16"/>
      <c r="AF611" s="16"/>
      <c r="AG611" s="16"/>
      <c r="AH611" s="16"/>
      <c r="AI611" s="16"/>
      <c r="AJ611" s="16"/>
      <c r="AK611" s="16"/>
    </row>
    <row r="612" spans="31:37" x14ac:dyDescent="0.25">
      <c r="AE612" s="16"/>
      <c r="AF612" s="16"/>
      <c r="AG612" s="16"/>
      <c r="AH612" s="16"/>
      <c r="AI612" s="16"/>
      <c r="AJ612" s="16"/>
      <c r="AK612" s="16"/>
    </row>
    <row r="613" spans="31:37" x14ac:dyDescent="0.25">
      <c r="AE613" s="16"/>
      <c r="AF613" s="16"/>
      <c r="AG613" s="16"/>
      <c r="AH613" s="16"/>
      <c r="AI613" s="16"/>
      <c r="AJ613" s="16"/>
      <c r="AK613" s="16"/>
    </row>
    <row r="614" spans="31:37" x14ac:dyDescent="0.25">
      <c r="AE614" s="16"/>
      <c r="AF614" s="16"/>
      <c r="AG614" s="16"/>
      <c r="AH614" s="16"/>
      <c r="AI614" s="16"/>
      <c r="AJ614" s="16"/>
      <c r="AK614" s="16"/>
    </row>
    <row r="615" spans="31:37" x14ac:dyDescent="0.25">
      <c r="AE615" s="16"/>
      <c r="AF615" s="16"/>
      <c r="AG615" s="16"/>
      <c r="AH615" s="16"/>
      <c r="AI615" s="16"/>
      <c r="AJ615" s="16"/>
      <c r="AK615" s="16"/>
    </row>
    <row r="616" spans="31:37" x14ac:dyDescent="0.25">
      <c r="AE616" s="16"/>
      <c r="AF616" s="16"/>
      <c r="AG616" s="16"/>
      <c r="AH616" s="16"/>
      <c r="AI616" s="16"/>
      <c r="AJ616" s="16"/>
      <c r="AK616" s="16"/>
    </row>
    <row r="617" spans="31:37" x14ac:dyDescent="0.25">
      <c r="AE617" s="16"/>
      <c r="AF617" s="16"/>
      <c r="AG617" s="16"/>
      <c r="AH617" s="16"/>
      <c r="AI617" s="16"/>
      <c r="AJ617" s="16"/>
      <c r="AK617" s="16"/>
    </row>
    <row r="618" spans="31:37" x14ac:dyDescent="0.25">
      <c r="AE618" s="16"/>
      <c r="AF618" s="16"/>
      <c r="AG618" s="16"/>
      <c r="AH618" s="16"/>
      <c r="AI618" s="16"/>
      <c r="AJ618" s="16"/>
      <c r="AK618" s="16"/>
    </row>
    <row r="619" spans="31:37" x14ac:dyDescent="0.25">
      <c r="AE619" s="16"/>
      <c r="AF619" s="16"/>
      <c r="AG619" s="16"/>
      <c r="AH619" s="16"/>
      <c r="AI619" s="16"/>
      <c r="AJ619" s="16"/>
      <c r="AK619" s="16"/>
    </row>
    <row r="620" spans="31:37" x14ac:dyDescent="0.25">
      <c r="AE620" s="16"/>
      <c r="AF620" s="16"/>
      <c r="AG620" s="16"/>
      <c r="AH620" s="16"/>
      <c r="AI620" s="16"/>
      <c r="AJ620" s="16"/>
      <c r="AK620" s="16"/>
    </row>
    <row r="621" spans="31:37" x14ac:dyDescent="0.25">
      <c r="AE621" s="16"/>
      <c r="AF621" s="16"/>
      <c r="AG621" s="16"/>
      <c r="AH621" s="16"/>
      <c r="AI621" s="16"/>
      <c r="AJ621" s="16"/>
      <c r="AK621" s="16"/>
    </row>
    <row r="622" spans="31:37" x14ac:dyDescent="0.25">
      <c r="AE622" s="16"/>
      <c r="AF622" s="16"/>
      <c r="AG622" s="16"/>
      <c r="AH622" s="16"/>
      <c r="AI622" s="16"/>
      <c r="AJ622" s="16"/>
      <c r="AK622" s="16"/>
    </row>
    <row r="623" spans="31:37" x14ac:dyDescent="0.25">
      <c r="AE623" s="16"/>
      <c r="AF623" s="16"/>
      <c r="AG623" s="16"/>
      <c r="AH623" s="16"/>
      <c r="AI623" s="16"/>
      <c r="AJ623" s="16"/>
      <c r="AK623" s="16"/>
    </row>
    <row r="624" spans="31:37" x14ac:dyDescent="0.25">
      <c r="AE624" s="16"/>
      <c r="AF624" s="16"/>
      <c r="AG624" s="16"/>
      <c r="AH624" s="16"/>
      <c r="AI624" s="16"/>
      <c r="AJ624" s="16"/>
      <c r="AK624" s="16"/>
    </row>
    <row r="625" spans="31:37" x14ac:dyDescent="0.25">
      <c r="AE625" s="16"/>
      <c r="AF625" s="16"/>
      <c r="AG625" s="16"/>
      <c r="AH625" s="16"/>
      <c r="AI625" s="16"/>
      <c r="AJ625" s="16"/>
      <c r="AK625" s="16"/>
    </row>
  </sheetData>
  <conditionalFormatting sqref="J2:J176">
    <cfRule type="cellIs" dxfId="11" priority="1" operator="equal">
      <formula>"D"</formula>
    </cfRule>
  </conditionalFormatting>
  <hyperlinks>
    <hyperlink ref="B2" r:id="rId1" xr:uid="{64B45D58-A062-4414-BF89-87D88399CD75}"/>
    <hyperlink ref="B3" r:id="rId2" xr:uid="{D54E6613-28AF-4557-8B30-22D0575F1869}"/>
    <hyperlink ref="B4" r:id="rId3" xr:uid="{6E0BC78F-565F-4C67-9616-664D38E9B88D}"/>
    <hyperlink ref="B5" r:id="rId4" xr:uid="{3F4EA961-84E8-4A8C-BCFF-7BD1A073A207}"/>
    <hyperlink ref="B6" r:id="rId5" xr:uid="{B40A2843-8B3E-432A-B947-22DF769D097F}"/>
    <hyperlink ref="B7" r:id="rId6" xr:uid="{EA6A2FC6-77BE-401B-8218-7F31183F6C4D}"/>
    <hyperlink ref="B8" r:id="rId7" xr:uid="{6610675B-6ACD-4640-8E7B-5F9C6053E95E}"/>
    <hyperlink ref="B9" r:id="rId8" xr:uid="{1F5F9929-7602-4C8E-BFD4-59A374466790}"/>
    <hyperlink ref="B10" r:id="rId9" xr:uid="{F830E910-F2FA-46EA-AB9F-D41982DAD3AE}"/>
    <hyperlink ref="B11" r:id="rId10" xr:uid="{6011D237-A4A2-4B55-999F-2ABD3196F5B0}"/>
    <hyperlink ref="B12" r:id="rId11" xr:uid="{E619AE28-5A27-4CCD-9435-06AE379F9F05}"/>
    <hyperlink ref="B13" r:id="rId12" xr:uid="{3625E69F-C7C2-440C-83D3-DDEE1B1764BA}"/>
    <hyperlink ref="B14" r:id="rId13" xr:uid="{CEC5F9E6-4020-46CF-AA40-08E758ACAA9E}"/>
    <hyperlink ref="B15" r:id="rId14" xr:uid="{CB58314F-B784-4199-99E9-2F52DEE5F5B3}"/>
    <hyperlink ref="B16" r:id="rId15" xr:uid="{83F7300A-8420-4980-9BB9-9FE12247AC4C}"/>
    <hyperlink ref="B17" r:id="rId16" xr:uid="{B65FBE69-4FE5-4F77-A1C4-22D3672D6D02}"/>
    <hyperlink ref="B18" r:id="rId17" xr:uid="{0B339852-98A7-4447-9380-FF5B39ABEE8E}"/>
    <hyperlink ref="B19" r:id="rId18" xr:uid="{5D6BA404-1B16-409B-B57C-5EC34EB74F30}"/>
    <hyperlink ref="B20" r:id="rId19" xr:uid="{00DC178A-47D9-41F5-B060-E06AD3F7071D}"/>
    <hyperlink ref="B21" r:id="rId20" xr:uid="{0F90072B-6103-4098-BE5F-F7BC713A6CA5}"/>
    <hyperlink ref="B22" r:id="rId21" xr:uid="{E8AE6DAB-CCF5-4BD7-BDFF-F2DFA1ADFDE9}"/>
    <hyperlink ref="B23" r:id="rId22" xr:uid="{402ED8BF-5E20-4A10-B994-573D09C84E0E}"/>
    <hyperlink ref="B24" r:id="rId23" xr:uid="{23481AC9-B015-4D4E-B832-82FA8CDEE0F1}"/>
    <hyperlink ref="B25" r:id="rId24" xr:uid="{48232BF0-3FB9-41B3-9532-3E88E84F92A3}"/>
    <hyperlink ref="B26" r:id="rId25" xr:uid="{15F9360A-5E7B-45CC-8BA5-42BDD0B903E3}"/>
    <hyperlink ref="B27" r:id="rId26" xr:uid="{845BF646-180E-4AF7-8C9F-7B75CCB7032C}"/>
    <hyperlink ref="B28" r:id="rId27" xr:uid="{F2CF213A-02DA-493A-BCD1-B689532B90AC}"/>
    <hyperlink ref="B29" r:id="rId28" xr:uid="{AB708F44-846F-43B1-833D-770CB1F57EC8}"/>
    <hyperlink ref="B30" r:id="rId29" xr:uid="{A9D8A7CE-B145-40A1-8596-AF13DF29911E}"/>
    <hyperlink ref="B31" r:id="rId30" xr:uid="{CC27AD76-0FE4-4903-BB89-F29DF85B6765}"/>
    <hyperlink ref="B32" r:id="rId31" xr:uid="{443DBDD9-C3F1-4706-B0E2-36F1FAF2A903}"/>
    <hyperlink ref="B33" r:id="rId32" xr:uid="{1111230E-37DC-4E9C-AD98-569CB72108B3}"/>
    <hyperlink ref="B34" r:id="rId33" xr:uid="{A8826C70-6E7C-4F1C-B775-708D5DB996F3}"/>
    <hyperlink ref="B35" r:id="rId34" xr:uid="{E8C627DD-F203-49C3-AA0D-682CF4A59A4D}"/>
    <hyperlink ref="B36" r:id="rId35" xr:uid="{14C5B59A-38EB-4163-ACD0-C050FC4A8FBF}"/>
    <hyperlink ref="B37" r:id="rId36" xr:uid="{DB7A1926-9942-49EE-84B7-1C1D6EBBB7D0}"/>
    <hyperlink ref="B38" r:id="rId37" xr:uid="{0897266A-C601-4B02-BE2E-376F6D6F931C}"/>
    <hyperlink ref="B39" r:id="rId38" xr:uid="{78274427-CE51-4533-99C9-CFF343CADB97}"/>
    <hyperlink ref="B40" r:id="rId39" xr:uid="{28586816-E2FF-47B5-9281-1E5A9460E6A4}"/>
    <hyperlink ref="B41" r:id="rId40" xr:uid="{394F55AC-C76B-41E6-854F-A0149797FB75}"/>
    <hyperlink ref="B42" r:id="rId41" xr:uid="{A0C43B75-BFA1-49B1-9FF4-1729356FDAB2}"/>
    <hyperlink ref="B43" r:id="rId42" xr:uid="{1897C426-105E-40C5-A1E2-649607B1727F}"/>
    <hyperlink ref="B44" r:id="rId43" xr:uid="{7C0DE83F-F9CD-4FF9-8582-D36244CC5DBC}"/>
    <hyperlink ref="B45" r:id="rId44" xr:uid="{9F7082D5-FE91-47AC-8852-81D796BFC159}"/>
    <hyperlink ref="B46" r:id="rId45" xr:uid="{4E940611-D7AE-4181-B06E-0C0F26BEA51F}"/>
    <hyperlink ref="B47" r:id="rId46" xr:uid="{B35951D8-3F0C-4704-88EB-3300A6F5F8CF}"/>
    <hyperlink ref="B48" r:id="rId47" xr:uid="{55BD18B3-BA25-4ED4-80A5-3825B6C190C3}"/>
    <hyperlink ref="B49" r:id="rId48" xr:uid="{97AE7B24-E182-445E-A16F-A9E04A404615}"/>
    <hyperlink ref="B50" r:id="rId49" xr:uid="{5A825391-2E95-4A68-974A-5DCBD4006C6B}"/>
    <hyperlink ref="B51" r:id="rId50" xr:uid="{9B4B8C6F-0807-4193-8996-31EFFDADF593}"/>
    <hyperlink ref="B52" r:id="rId51" xr:uid="{7846AEC8-73CD-4879-AE54-3D23A695594D}"/>
    <hyperlink ref="B53" r:id="rId52" xr:uid="{45848529-E0B6-4E58-BE72-5C9017EDA422}"/>
    <hyperlink ref="B54" r:id="rId53" xr:uid="{360CC615-273F-4DC8-BEF8-3413BB1D66D0}"/>
    <hyperlink ref="B55" r:id="rId54" xr:uid="{0CDC7E9D-1025-45AF-8813-42BE1B8B8403}"/>
    <hyperlink ref="B56" r:id="rId55" xr:uid="{46423E45-E53B-4D2B-A839-AD154F01C532}"/>
    <hyperlink ref="B57" r:id="rId56" xr:uid="{A7D71260-5BBC-4BDA-A188-6113A140A066}"/>
    <hyperlink ref="B58" r:id="rId57" xr:uid="{5B272625-1E65-464C-B15E-D9D1886F4063}"/>
    <hyperlink ref="B59" r:id="rId58" xr:uid="{6A7AB42A-BD38-4191-8BDB-5B42E4F3EB00}"/>
    <hyperlink ref="B60" r:id="rId59" xr:uid="{7F420EBB-7EF4-4E34-813D-7AB90D7808C1}"/>
    <hyperlink ref="B61" r:id="rId60" xr:uid="{32B959F0-81BD-42F7-A071-1E503F4E9372}"/>
    <hyperlink ref="B62" r:id="rId61" xr:uid="{CADE9C19-9B58-4C9D-84B8-622A1FF1A9F4}"/>
    <hyperlink ref="B63" r:id="rId62" xr:uid="{F419D725-ABA6-4374-803B-CC41AEA8B837}"/>
    <hyperlink ref="B64" r:id="rId63" xr:uid="{44F23E70-8609-429E-8648-60C49AA4C3D9}"/>
    <hyperlink ref="B65" r:id="rId64" xr:uid="{8147FA19-5B28-4116-8EC5-059227D9D494}"/>
    <hyperlink ref="B66" r:id="rId65" xr:uid="{E9E9685E-2F18-468B-BA12-30649CFC350B}"/>
    <hyperlink ref="B67" r:id="rId66" xr:uid="{A481A3F1-AD04-4344-9381-3A31D9EC9BA2}"/>
    <hyperlink ref="B68" r:id="rId67" xr:uid="{8C6A1CEC-93A3-42F8-9163-A5D74747709C}"/>
    <hyperlink ref="B69" r:id="rId68" xr:uid="{C86A0B56-20FB-453E-86AD-D2F7516BDA91}"/>
    <hyperlink ref="B70" r:id="rId69" xr:uid="{3FC2C027-B9AE-4030-9C2E-B00F06AF8DEB}"/>
    <hyperlink ref="B71" r:id="rId70" xr:uid="{70B1B4C9-C6A2-4E3C-8BAB-FD2972A2491C}"/>
    <hyperlink ref="B72" r:id="rId71" xr:uid="{177EB9C2-58FC-44E1-9EEB-A9B6C8B2BB2D}"/>
    <hyperlink ref="B73" r:id="rId72" xr:uid="{8F0CD206-3A78-4AB0-9AAE-26B9AB3EA957}"/>
    <hyperlink ref="B74" r:id="rId73" xr:uid="{3213AC68-9F6C-4F31-9A6A-36B31DAC491C}"/>
    <hyperlink ref="B75" r:id="rId74" xr:uid="{15DBC704-F87E-493F-94C2-42F7F6A74D57}"/>
    <hyperlink ref="B76" r:id="rId75" xr:uid="{7C12A426-1BC4-49DE-8812-493F69E718F9}"/>
    <hyperlink ref="B77" r:id="rId76" xr:uid="{CCABB1FC-F501-4A6D-8517-F190DF71AB47}"/>
    <hyperlink ref="B78" r:id="rId77" xr:uid="{0C72797E-CB0A-4A23-A626-D064463C4780}"/>
    <hyperlink ref="B79" r:id="rId78" xr:uid="{9688ECD7-518C-4F60-8A13-6E004A991E19}"/>
    <hyperlink ref="B80" r:id="rId79" xr:uid="{3C9CC1EC-8565-4560-82D8-B8A933964116}"/>
    <hyperlink ref="B81" r:id="rId80" xr:uid="{D4E0D5BB-361B-4D45-894F-F6D6F8AB5BE1}"/>
    <hyperlink ref="B82" r:id="rId81" xr:uid="{8A07EC4F-64C5-45F1-9FD0-6D818C16B7FD}"/>
    <hyperlink ref="B83" r:id="rId82" xr:uid="{22ACEAA0-F3D8-4ACA-89A5-1D89EFEB9F00}"/>
    <hyperlink ref="B84" r:id="rId83" xr:uid="{B82CB8A5-7AC6-4ECF-BCF4-D46479CBD300}"/>
    <hyperlink ref="B85" r:id="rId84" xr:uid="{F06F0603-A329-420F-81B1-3F592E9470B3}"/>
    <hyperlink ref="B86" r:id="rId85" xr:uid="{2BF2B4B4-CAC0-4E0D-80FD-BFAAED2379E0}"/>
    <hyperlink ref="B87" r:id="rId86" xr:uid="{1B2FBED1-B99B-4677-A903-75538B0578FC}"/>
    <hyperlink ref="B88" r:id="rId87" xr:uid="{D42058CE-92D3-4977-9E79-7C71312C95AE}"/>
    <hyperlink ref="B89" r:id="rId88" xr:uid="{34458FC1-2D25-478B-A024-43306B729803}"/>
    <hyperlink ref="B90" r:id="rId89" xr:uid="{49748C0D-CB70-457B-813A-C46694648D1D}"/>
    <hyperlink ref="B91" r:id="rId90" xr:uid="{74106C6D-815B-4E3F-81C2-3B62ED4BBB57}"/>
    <hyperlink ref="B92" r:id="rId91" xr:uid="{0D07BDCB-A867-4840-870E-0ED4C1411A9D}"/>
    <hyperlink ref="B93" r:id="rId92" xr:uid="{4352EEE8-337A-4976-959F-AAF814791166}"/>
    <hyperlink ref="B94" r:id="rId93" xr:uid="{38F8960B-28B5-4BCC-AE13-5655118492C3}"/>
    <hyperlink ref="B95" r:id="rId94" xr:uid="{6974AC2A-C302-4973-B7E5-5361861CD576}"/>
    <hyperlink ref="B96" r:id="rId95" xr:uid="{7BB1F1A2-0B4E-49E3-A3B6-5ABDE2936EC2}"/>
    <hyperlink ref="B97" r:id="rId96" xr:uid="{96A14E2E-941D-4094-AD37-3883B3C4F907}"/>
    <hyperlink ref="B98" r:id="rId97" xr:uid="{4E56EA61-4725-47B5-AE75-E241981751D5}"/>
    <hyperlink ref="B99" r:id="rId98" xr:uid="{91A5389C-7CE0-4909-BE0B-0A9E10D2D26E}"/>
    <hyperlink ref="B100" r:id="rId99" xr:uid="{BEB3932E-4A10-4BE9-90EA-215A2C277E2D}"/>
    <hyperlink ref="B101" r:id="rId100" xr:uid="{DB2A3D4C-E592-4D05-875E-EE74E4A172B8}"/>
    <hyperlink ref="B102" r:id="rId101" xr:uid="{2A5F5AB4-EE3B-402B-AC41-20CB76B0FF06}"/>
    <hyperlink ref="B103" r:id="rId102" xr:uid="{DF41041B-FD57-40EB-A11E-DF4FA0D4A637}"/>
    <hyperlink ref="B104" r:id="rId103" xr:uid="{54A0EA2F-0994-4504-959A-6253E7B74CE6}"/>
    <hyperlink ref="B105" r:id="rId104" xr:uid="{B75DCAF5-DFAC-47E5-9D44-8543986E5978}"/>
    <hyperlink ref="B106" r:id="rId105" xr:uid="{FFFA6867-9719-43B0-9E32-3E7451520229}"/>
    <hyperlink ref="B107" r:id="rId106" xr:uid="{A47EB53E-641C-4835-807D-A6AFC56B29D1}"/>
    <hyperlink ref="B108" r:id="rId107" xr:uid="{20AEB15B-43BC-49D6-BFBD-DFB5C0D90267}"/>
    <hyperlink ref="B109" r:id="rId108" xr:uid="{304679C3-EC23-487F-83E1-60E287B7B30F}"/>
    <hyperlink ref="B110" r:id="rId109" xr:uid="{C4714590-0988-44CA-A023-ECB513FBA765}"/>
    <hyperlink ref="B111" r:id="rId110" xr:uid="{4D441AB2-4B89-4F15-BD4B-671CE5BC86E0}"/>
    <hyperlink ref="B112" r:id="rId111" xr:uid="{D378911E-D7BF-4CC8-8109-BD9B8831A7A3}"/>
    <hyperlink ref="B113" r:id="rId112" xr:uid="{EFB07ED1-9427-484A-9451-1596A177062A}"/>
    <hyperlink ref="B114" r:id="rId113" xr:uid="{B606169D-6080-434C-B728-177B3A02DADA}"/>
    <hyperlink ref="B115" r:id="rId114" xr:uid="{14E1304A-382C-4B17-8DF2-9A59B2C06D1D}"/>
    <hyperlink ref="B116" r:id="rId115" xr:uid="{B4922F8A-F7AA-460E-9218-5F6BF1A05945}"/>
    <hyperlink ref="B117" r:id="rId116" xr:uid="{75E8298D-2368-40BE-9FD6-C68E71F08F1D}"/>
    <hyperlink ref="B118" r:id="rId117" xr:uid="{AD93EA7D-9B11-4DF3-BAA0-AC22CDFB009C}"/>
    <hyperlink ref="B119" r:id="rId118" xr:uid="{80B27C96-B660-409F-BB08-9051EFD3FF6B}"/>
    <hyperlink ref="B120" r:id="rId119" xr:uid="{FB7403AE-7EB1-4883-BE9F-E53BF4676366}"/>
    <hyperlink ref="B121" r:id="rId120" xr:uid="{720A8FA3-E8B4-4581-85A7-3424DC38A7F5}"/>
    <hyperlink ref="B122" r:id="rId121" xr:uid="{53FB2F67-7CB5-44DC-817D-7953D6502952}"/>
    <hyperlink ref="B123" r:id="rId122" xr:uid="{ACD5EC29-1115-4034-8348-7CE1FF331AD6}"/>
    <hyperlink ref="B124" r:id="rId123" xr:uid="{64BDEA2A-A293-40A3-BECF-42D07AE28D79}"/>
    <hyperlink ref="B125" r:id="rId124" xr:uid="{AD3F2A7B-55ED-4424-B71A-4C340EED7D7F}"/>
    <hyperlink ref="B126" r:id="rId125" xr:uid="{BC4BFF76-AD3F-4F2B-B7A8-0013145FD9C7}"/>
    <hyperlink ref="B127" r:id="rId126" xr:uid="{9ABEBD7E-B62A-43EC-9962-77D3DD7AD9C9}"/>
    <hyperlink ref="B128" r:id="rId127" xr:uid="{24DD037C-70E2-42FF-A99F-A0BE5E6F3FD5}"/>
    <hyperlink ref="B129" r:id="rId128" xr:uid="{00441F47-062B-43ED-995F-6C722CB3BFBA}"/>
    <hyperlink ref="B130" r:id="rId129" xr:uid="{350E3F55-670F-4E8E-899D-3086D605F8DF}"/>
    <hyperlink ref="B131" r:id="rId130" xr:uid="{596C0880-E033-4DAE-83B4-46A4F63EDD3C}"/>
    <hyperlink ref="B132" r:id="rId131" xr:uid="{5527E87B-887C-4729-838F-027DD16387F8}"/>
    <hyperlink ref="B133" r:id="rId132" xr:uid="{618A1B93-4A9B-425F-AF7E-8C83658A6068}"/>
    <hyperlink ref="B134" r:id="rId133" xr:uid="{BBFA63A8-AC34-4BD7-BF4F-5C5BF7499C6B}"/>
    <hyperlink ref="B135" r:id="rId134" xr:uid="{0953F716-C1A0-4C69-B0F2-66E5592DDF4A}"/>
    <hyperlink ref="B136" r:id="rId135" xr:uid="{91CF6C75-9EFA-42AE-885F-5740EEE25812}"/>
    <hyperlink ref="B137" r:id="rId136" xr:uid="{FD0D1C61-955C-4DF5-A86F-F818DD3E378B}"/>
    <hyperlink ref="B138" r:id="rId137" xr:uid="{4FFC5FD6-7AD2-4E4D-8F75-4B358CB9AF8A}"/>
    <hyperlink ref="B139" r:id="rId138" xr:uid="{4F171DC1-6895-4F50-AC48-1F8A1A8FC7B0}"/>
    <hyperlink ref="B140" r:id="rId139" xr:uid="{5239BC56-8B8C-40D2-A027-3040B8E0C99D}"/>
    <hyperlink ref="B141" r:id="rId140" xr:uid="{B66B140B-0A7D-4FA1-8D72-F18373FCEDF9}"/>
    <hyperlink ref="B142" r:id="rId141" xr:uid="{9F112F39-51F4-4A06-8F37-6BEC5A5FF787}"/>
    <hyperlink ref="B143" r:id="rId142" xr:uid="{B79535F7-6D42-4F78-AF51-6435A4776606}"/>
    <hyperlink ref="B144" r:id="rId143" xr:uid="{B0BF9FC8-67C8-424B-B63E-C770F26A1604}"/>
    <hyperlink ref="B145" r:id="rId144" xr:uid="{4A7EAE91-7CB6-4DC4-808A-909D359805C4}"/>
    <hyperlink ref="B146" r:id="rId145" xr:uid="{00C1F020-E815-4A06-A843-367BBE2273B2}"/>
    <hyperlink ref="B147" r:id="rId146" xr:uid="{3767C2CA-AB09-41F7-B6BE-3E2B0885EE4E}"/>
    <hyperlink ref="B148" r:id="rId147" xr:uid="{4056480C-FF3A-4D93-A335-E7F9D9E302AA}"/>
    <hyperlink ref="B149" r:id="rId148" xr:uid="{CBA9A681-37E9-4EDA-9C9C-ED46ACF29CF8}"/>
    <hyperlink ref="B150" r:id="rId149" xr:uid="{8AAA9EB7-D9B3-4105-9D4A-43192CFEEFE0}"/>
    <hyperlink ref="B151" r:id="rId150" xr:uid="{3C71922A-F646-4713-8E50-3B2810B54567}"/>
    <hyperlink ref="B152" r:id="rId151" xr:uid="{8D477285-80DF-4C16-A8EF-9B7424A2266B}"/>
    <hyperlink ref="B153" r:id="rId152" xr:uid="{25F0A320-EBC7-4FD4-865E-E682F6539B0C}"/>
    <hyperlink ref="B154" r:id="rId153" xr:uid="{30BA647E-E797-418C-AD14-89A15820D1D9}"/>
    <hyperlink ref="B155" r:id="rId154" xr:uid="{1F7DBC5D-454C-4897-89E6-CF5BA237FE3F}"/>
    <hyperlink ref="B156" r:id="rId155" xr:uid="{F012D9CE-FA1B-4849-8016-4CEA52837E6A}"/>
    <hyperlink ref="B157" r:id="rId156" xr:uid="{0B4AEC28-6A88-4DD8-8868-201B7BCA68C9}"/>
    <hyperlink ref="B158" r:id="rId157" xr:uid="{B642C25E-A00F-42C6-A129-4E7795C04496}"/>
    <hyperlink ref="B159" r:id="rId158" xr:uid="{1097A042-74CC-4CDA-9ACA-9DF69A95B700}"/>
    <hyperlink ref="B160" r:id="rId159" xr:uid="{5A55CD6E-8848-47D1-8BDD-EBA75E9CF410}"/>
    <hyperlink ref="B161" r:id="rId160" xr:uid="{BC9EA024-FDCB-4F9B-9A77-62C1D8FEF3F6}"/>
    <hyperlink ref="B162" r:id="rId161" xr:uid="{F66279DD-65D7-450F-93FB-967B3F9D4C78}"/>
    <hyperlink ref="B163" r:id="rId162" xr:uid="{3649552E-DBE7-4A4E-9CB9-D4B7FAD2D25A}"/>
    <hyperlink ref="B164" r:id="rId163" xr:uid="{76152C25-AB2F-4BB0-AD94-876B000F3383}"/>
    <hyperlink ref="B165" r:id="rId164" xr:uid="{E8854A60-FA28-49BD-BFC9-1D0B04B36B14}"/>
    <hyperlink ref="B166" r:id="rId165" xr:uid="{C8E8E501-77F1-4764-9FAE-AA77EF12A7C1}"/>
    <hyperlink ref="B167" r:id="rId166" xr:uid="{BD4C03BF-AEAF-4163-96DD-438E988EC4F3}"/>
    <hyperlink ref="B168" r:id="rId167" xr:uid="{02B1DC69-A926-4639-B5A2-419138BF4710}"/>
    <hyperlink ref="B169" r:id="rId168" xr:uid="{ED3F3F6C-C7C1-4E82-B03B-272E78303782}"/>
    <hyperlink ref="B170" r:id="rId169" xr:uid="{5DD1473A-6732-47F1-8509-05F689785333}"/>
    <hyperlink ref="B171" r:id="rId170" xr:uid="{1D5A18D2-6F3F-4823-A32D-DBA073EE29CF}"/>
    <hyperlink ref="B172" r:id="rId171" xr:uid="{BB20DAEE-3A4B-45EF-9A3F-BD2C22EA14BE}"/>
    <hyperlink ref="B173" r:id="rId172" xr:uid="{BCAD009F-65E1-41EC-BC34-AD913EC9F4DF}"/>
    <hyperlink ref="B174" r:id="rId173" xr:uid="{10CFE280-D64C-4376-8433-D89C5EF46B3B}"/>
    <hyperlink ref="B175" r:id="rId174" xr:uid="{2C3D26C9-703A-4E55-8B23-5C3EDAE98902}"/>
    <hyperlink ref="B176" r:id="rId175" xr:uid="{FAF5911C-BCD8-4444-814B-7FE4FC728CED}"/>
  </hyperlinks>
  <pageMargins left="0.7" right="0.7" top="0.75" bottom="0.75" header="0.3" footer="0.3"/>
  <tableParts count="1">
    <tablePart r:id="rId176"/>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55D57-85A2-42DA-9ADE-A6482CAF8DBC}">
  <dimension ref="A1:AD370"/>
  <sheetViews>
    <sheetView topLeftCell="N238" workbookViewId="0">
      <selection activeCell="S258" sqref="S258:T258"/>
    </sheetView>
  </sheetViews>
  <sheetFormatPr defaultColWidth="11.42578125" defaultRowHeight="15" x14ac:dyDescent="0.25"/>
  <cols>
    <col min="2" max="3" width="37.85546875" customWidth="1"/>
    <col min="4" max="4" width="13.7109375" customWidth="1"/>
    <col min="5" max="5" width="31.85546875" customWidth="1"/>
    <col min="6" max="7" width="21.85546875" customWidth="1"/>
    <col min="8" max="8" width="12.140625" customWidth="1"/>
    <col min="12" max="12" width="12.7109375" customWidth="1"/>
    <col min="13" max="13" width="29.28515625" customWidth="1"/>
    <col min="14" max="14" width="20" customWidth="1"/>
    <col min="15" max="15" width="17.42578125" customWidth="1"/>
    <col min="16" max="16" width="15.42578125" customWidth="1"/>
    <col min="17" max="17" width="15.140625" customWidth="1"/>
    <col min="18" max="20" width="26.42578125" customWidth="1"/>
    <col min="21" max="21" width="16.7109375" customWidth="1"/>
    <col min="22" max="22" width="15.85546875" customWidth="1"/>
    <col min="23" max="23" width="15.42578125" customWidth="1"/>
    <col min="25" max="25" width="19.85546875" customWidth="1"/>
    <col min="26" max="26" width="15.7109375" customWidth="1"/>
    <col min="28" max="28" width="16" customWidth="1"/>
  </cols>
  <sheetData>
    <row r="1" spans="1:30" x14ac:dyDescent="0.25">
      <c r="A1" s="53" t="s">
        <v>0</v>
      </c>
      <c r="B1" s="52" t="s">
        <v>1</v>
      </c>
      <c r="C1" s="49" t="s">
        <v>2</v>
      </c>
      <c r="D1" s="52" t="s">
        <v>3</v>
      </c>
      <c r="E1" s="50" t="s">
        <v>4</v>
      </c>
      <c r="F1" s="52" t="s">
        <v>5</v>
      </c>
      <c r="G1" s="52" t="s">
        <v>6</v>
      </c>
      <c r="H1" s="52" t="s">
        <v>7</v>
      </c>
      <c r="I1" s="52" t="s">
        <v>8</v>
      </c>
      <c r="J1" s="52" t="s">
        <v>9</v>
      </c>
      <c r="K1" s="48" t="s">
        <v>10</v>
      </c>
      <c r="L1" s="48" t="s">
        <v>11</v>
      </c>
      <c r="M1" s="48" t="s">
        <v>12</v>
      </c>
      <c r="N1" s="48" t="s">
        <v>13</v>
      </c>
      <c r="O1" s="48" t="s">
        <v>14</v>
      </c>
      <c r="P1" s="48" t="s">
        <v>15</v>
      </c>
      <c r="Q1" s="48" t="s">
        <v>16</v>
      </c>
      <c r="R1" s="48" t="s">
        <v>17</v>
      </c>
      <c r="S1" s="48" t="s">
        <v>9149</v>
      </c>
      <c r="T1" s="48" t="s">
        <v>9150</v>
      </c>
      <c r="U1" s="48" t="s">
        <v>18</v>
      </c>
      <c r="V1" s="48" t="s">
        <v>19</v>
      </c>
      <c r="W1" s="48" t="s">
        <v>20</v>
      </c>
      <c r="X1" s="48" t="s">
        <v>21</v>
      </c>
      <c r="Y1" s="48" t="s">
        <v>22</v>
      </c>
      <c r="Z1" s="48" t="s">
        <v>23</v>
      </c>
      <c r="AA1" s="48" t="s">
        <v>24</v>
      </c>
      <c r="AB1" s="48" t="s">
        <v>25</v>
      </c>
      <c r="AC1" s="48" t="s">
        <v>201</v>
      </c>
      <c r="AD1" s="51" t="s">
        <v>27</v>
      </c>
    </row>
    <row r="2" spans="1:30" x14ac:dyDescent="0.25">
      <c r="A2" s="36">
        <v>2969</v>
      </c>
      <c r="B2" s="14" t="s">
        <v>5963</v>
      </c>
      <c r="C2" s="14" t="s">
        <v>5964</v>
      </c>
      <c r="D2" s="17">
        <v>44138</v>
      </c>
      <c r="E2" s="14" t="s">
        <v>30</v>
      </c>
      <c r="F2" s="14">
        <v>35</v>
      </c>
      <c r="G2" s="14">
        <v>16</v>
      </c>
      <c r="H2" s="14">
        <v>14</v>
      </c>
      <c r="I2" s="14">
        <v>7</v>
      </c>
      <c r="J2" s="14" t="s">
        <v>31</v>
      </c>
      <c r="K2" s="14" cm="1">
        <f t="array" ref="K2">INT(SUMPRODUCT(--ISNUMBER(SEARCH(economy,C2)))&gt;0)</f>
        <v>0</v>
      </c>
      <c r="L2" s="14" cm="1">
        <f t="array" ref="L2">INT(SUMPRODUCT(--ISNUMBER(SEARCH(healthcare,C2)))&gt;0)</f>
        <v>0</v>
      </c>
      <c r="M2" s="14" cm="1">
        <f t="array" ref="M2">INT(SUMPRODUCT(--ISNUMBER(SEARCH(supreme,C2)))&gt;0)</f>
        <v>0</v>
      </c>
      <c r="N2" s="14" cm="1">
        <f t="array" ref="N2">INT(SUMPRODUCT(--ISNUMBER(SEARCH(covid,C2)))&gt;0)</f>
        <v>0</v>
      </c>
      <c r="O2" s="14" cm="1">
        <f t="array" ref="O2">INT(SUMPRODUCT(--ISNUMBER(SEARCH(violent,C2)))&gt;0)</f>
        <v>0</v>
      </c>
      <c r="P2" s="14" cm="1">
        <f t="array" ref="P2">INT(SUMPRODUCT(--ISNUMBER(SEARCH(foreign,C2)))&gt;0)</f>
        <v>0</v>
      </c>
      <c r="Q2" s="14" cm="1">
        <f t="array" ref="Q2">INT(SUMPRODUCT(--ISNUMBER(SEARCH(gun,C2)))&gt;0)</f>
        <v>0</v>
      </c>
      <c r="R2" s="14" cm="1">
        <f t="array" ref="R2">INT(SUMPRODUCT(--ISNUMBER(SEARCH(race,C2)))&gt;0)</f>
        <v>0</v>
      </c>
      <c r="S2" s="14" cm="1">
        <f t="array" ref="S2">INT(SUMPRODUCT(--ISNUMBER(SEARCH(immigration,C2)))&gt;0)</f>
        <v>0</v>
      </c>
      <c r="T2" s="14" cm="1">
        <f t="array" ref="T2">INT(SUMPRODUCT(--ISNUMBER(SEARCH(econineq,C3)))&gt;0)</f>
        <v>0</v>
      </c>
      <c r="U2" s="14" cm="1">
        <f t="array" ref="U2">INT(SUMPRODUCT(--ISNUMBER(SEARCH(climate,C2)))&gt;0)</f>
        <v>0</v>
      </c>
      <c r="V2" s="14" cm="1">
        <f t="array" ref="V2">INT(SUMPRODUCT(--ISNUMBER(SEARCH(abortion,C2)))&gt;0)</f>
        <v>0</v>
      </c>
      <c r="W2" s="14" cm="1">
        <f t="array" ref="W2">INT(SUMPRODUCT(--ISNUMBER(SEARCH(trump,C2)))&gt;0)</f>
        <v>0</v>
      </c>
      <c r="X2" s="14" cm="1">
        <f t="array" ref="X2">INT(SUMPRODUCT(--ISNUMBER(SEARCH(voting,C2)))&gt;0)</f>
        <v>1</v>
      </c>
      <c r="Y2" s="35" cm="1">
        <f t="array" ref="Y2">INT(SUMPRODUCT(--ISNUMBER(SEARCH(republicantrigger,C2)))&gt;0)</f>
        <v>0</v>
      </c>
      <c r="Z2" s="35" cm="1">
        <f t="array" ref="Z2">INT(SUMPRODUCT(--ISNUMBER(SEARCH(bipartisan,C2)))&gt;0)</f>
        <v>0</v>
      </c>
      <c r="AA2" s="35">
        <f>INT(IF(COUNTIF(K2:Z2,1)=0,"1","0"))</f>
        <v>0</v>
      </c>
      <c r="AB2" s="14"/>
      <c r="AC2" s="30">
        <v>0</v>
      </c>
      <c r="AD2" s="37">
        <v>1</v>
      </c>
    </row>
    <row r="3" spans="1:30" x14ac:dyDescent="0.25">
      <c r="A3" s="36">
        <v>2970</v>
      </c>
      <c r="B3" s="14" t="s">
        <v>5965</v>
      </c>
      <c r="C3" s="14" t="s">
        <v>5966</v>
      </c>
      <c r="D3" s="17">
        <v>44138</v>
      </c>
      <c r="E3" s="14" t="s">
        <v>30</v>
      </c>
      <c r="F3" s="14">
        <v>15</v>
      </c>
      <c r="G3" s="14">
        <v>4</v>
      </c>
      <c r="H3" s="14">
        <v>14</v>
      </c>
      <c r="I3" s="14">
        <v>7</v>
      </c>
      <c r="J3" s="14" t="s">
        <v>31</v>
      </c>
      <c r="K3" s="14" cm="1">
        <f t="array" ref="K3">INT(SUMPRODUCT(--ISNUMBER(SEARCH(economy,C3)))&gt;0)</f>
        <v>0</v>
      </c>
      <c r="L3" s="14" cm="1">
        <f t="array" ref="L3">INT(SUMPRODUCT(--ISNUMBER(SEARCH(healthcare,C3)))&gt;0)</f>
        <v>0</v>
      </c>
      <c r="M3" s="14" cm="1">
        <f t="array" ref="M3">INT(SUMPRODUCT(--ISNUMBER(SEARCH(supreme,C3)))&gt;0)</f>
        <v>0</v>
      </c>
      <c r="N3" s="14" cm="1">
        <f t="array" ref="N3">INT(SUMPRODUCT(--ISNUMBER(SEARCH(covid,C3)))&gt;0)</f>
        <v>0</v>
      </c>
      <c r="O3" s="14" cm="1">
        <f t="array" ref="O3">INT(SUMPRODUCT(--ISNUMBER(SEARCH(violent,C3)))&gt;0)</f>
        <v>0</v>
      </c>
      <c r="P3" s="14" cm="1">
        <f t="array" ref="P3">INT(SUMPRODUCT(--ISNUMBER(SEARCH(foreign,C3)))&gt;0)</f>
        <v>0</v>
      </c>
      <c r="Q3" s="14" cm="1">
        <f t="array" ref="Q3">INT(SUMPRODUCT(--ISNUMBER(SEARCH(gun,C3)))&gt;0)</f>
        <v>0</v>
      </c>
      <c r="R3" s="14" cm="1">
        <f t="array" ref="R3">INT(SUMPRODUCT(--ISNUMBER(SEARCH(race,C3)))&gt;0)</f>
        <v>0</v>
      </c>
      <c r="S3" s="14" cm="1">
        <f t="array" ref="S3">INT(SUMPRODUCT(--ISNUMBER(SEARCH(immigration,C3)))&gt;0)</f>
        <v>0</v>
      </c>
      <c r="T3" s="14" cm="1">
        <f t="array" ref="T3">INT(SUMPRODUCT(--ISNUMBER(SEARCH(econineq,C4)))&gt;0)</f>
        <v>0</v>
      </c>
      <c r="U3" s="14" cm="1">
        <f t="array" ref="U3">INT(SUMPRODUCT(--ISNUMBER(SEARCH(climate,C3)))&gt;0)</f>
        <v>0</v>
      </c>
      <c r="V3" s="14" cm="1">
        <f t="array" ref="V3">INT(SUMPRODUCT(--ISNUMBER(SEARCH(abortion,C3)))&gt;0)</f>
        <v>0</v>
      </c>
      <c r="W3" s="14" cm="1">
        <f t="array" ref="W3">INT(SUMPRODUCT(--ISNUMBER(SEARCH(trump,C3)))&gt;0)</f>
        <v>0</v>
      </c>
      <c r="X3" s="14" cm="1">
        <f t="array" ref="X3">INT(SUMPRODUCT(--ISNUMBER(SEARCH(voting,C3)))&gt;0)</f>
        <v>1</v>
      </c>
      <c r="Y3" s="35" cm="1">
        <f t="array" ref="Y3">INT(SUMPRODUCT(--ISNUMBER(SEARCH(republicantrigger,C3)))&gt;0)</f>
        <v>0</v>
      </c>
      <c r="Z3" s="35" cm="1">
        <f t="array" ref="Z3">INT(SUMPRODUCT(--ISNUMBER(SEARCH(bipartisan,C3)))&gt;0)</f>
        <v>0</v>
      </c>
      <c r="AA3" s="35">
        <f t="shared" ref="AA3:AA66" si="0">INT(IF(COUNTIF(K3:Z3,1)=0,"1","0"))</f>
        <v>0</v>
      </c>
      <c r="AB3" s="14"/>
      <c r="AC3" s="30">
        <v>1</v>
      </c>
      <c r="AD3" s="37">
        <v>0</v>
      </c>
    </row>
    <row r="4" spans="1:30" x14ac:dyDescent="0.25">
      <c r="A4" s="36">
        <v>2971</v>
      </c>
      <c r="B4" s="14" t="s">
        <v>5967</v>
      </c>
      <c r="C4" s="14" t="s">
        <v>5968</v>
      </c>
      <c r="D4" s="17">
        <v>44138</v>
      </c>
      <c r="E4" s="14" t="s">
        <v>30</v>
      </c>
      <c r="F4" s="14">
        <v>34</v>
      </c>
      <c r="G4" s="14">
        <v>12</v>
      </c>
      <c r="H4" s="14">
        <v>14</v>
      </c>
      <c r="I4" s="14">
        <v>7</v>
      </c>
      <c r="J4" s="14" t="s">
        <v>31</v>
      </c>
      <c r="K4" s="14" cm="1">
        <f t="array" ref="K4">INT(SUMPRODUCT(--ISNUMBER(SEARCH(economy,C4)))&gt;0)</f>
        <v>0</v>
      </c>
      <c r="L4" s="14" cm="1">
        <f t="array" ref="L4">INT(SUMPRODUCT(--ISNUMBER(SEARCH(healthcare,C4)))&gt;0)</f>
        <v>0</v>
      </c>
      <c r="M4" s="14" cm="1">
        <f t="array" ref="M4">INT(SUMPRODUCT(--ISNUMBER(SEARCH(supreme,C4)))&gt;0)</f>
        <v>0</v>
      </c>
      <c r="N4" s="14" cm="1">
        <f t="array" ref="N4">INT(SUMPRODUCT(--ISNUMBER(SEARCH(covid,C4)))&gt;0)</f>
        <v>0</v>
      </c>
      <c r="O4" s="14" cm="1">
        <f t="array" ref="O4">INT(SUMPRODUCT(--ISNUMBER(SEARCH(violent,C4)))&gt;0)</f>
        <v>0</v>
      </c>
      <c r="P4" s="14" cm="1">
        <f t="array" ref="P4">INT(SUMPRODUCT(--ISNUMBER(SEARCH(foreign,C4)))&gt;0)</f>
        <v>0</v>
      </c>
      <c r="Q4" s="14" cm="1">
        <f t="array" ref="Q4">INT(SUMPRODUCT(--ISNUMBER(SEARCH(gun,C4)))&gt;0)</f>
        <v>0</v>
      </c>
      <c r="R4" s="14" cm="1">
        <f t="array" ref="R4">INT(SUMPRODUCT(--ISNUMBER(SEARCH(race,C4)))&gt;0)</f>
        <v>0</v>
      </c>
      <c r="S4" s="14" cm="1">
        <f t="array" ref="S4">INT(SUMPRODUCT(--ISNUMBER(SEARCH(immigration,C4)))&gt;0)</f>
        <v>0</v>
      </c>
      <c r="T4" s="14" cm="1">
        <f t="array" ref="T4">INT(SUMPRODUCT(--ISNUMBER(SEARCH(econineq,C5)))&gt;0)</f>
        <v>0</v>
      </c>
      <c r="U4" s="14" cm="1">
        <f t="array" ref="U4">INT(SUMPRODUCT(--ISNUMBER(SEARCH(climate,C4)))&gt;0)</f>
        <v>0</v>
      </c>
      <c r="V4" s="14" cm="1">
        <f t="array" ref="V4">INT(SUMPRODUCT(--ISNUMBER(SEARCH(abortion,C4)))&gt;0)</f>
        <v>0</v>
      </c>
      <c r="W4" s="14" cm="1">
        <f t="array" ref="W4">INT(SUMPRODUCT(--ISNUMBER(SEARCH(trump,C4)))&gt;0)</f>
        <v>0</v>
      </c>
      <c r="X4" s="14" cm="1">
        <f t="array" ref="X4">INT(SUMPRODUCT(--ISNUMBER(SEARCH(voting,C4)))&gt;0)</f>
        <v>1</v>
      </c>
      <c r="Y4" s="35" cm="1">
        <f t="array" ref="Y4">INT(SUMPRODUCT(--ISNUMBER(SEARCH(republicantrigger,C4)))&gt;0)</f>
        <v>0</v>
      </c>
      <c r="Z4" s="35" cm="1">
        <f t="array" ref="Z4">INT(SUMPRODUCT(--ISNUMBER(SEARCH(bipartisan,C4)))&gt;0)</f>
        <v>0</v>
      </c>
      <c r="AA4" s="35">
        <f t="shared" si="0"/>
        <v>0</v>
      </c>
      <c r="AB4" s="14"/>
      <c r="AC4" s="30">
        <v>0</v>
      </c>
      <c r="AD4" s="37">
        <v>1</v>
      </c>
    </row>
    <row r="5" spans="1:30" x14ac:dyDescent="0.25">
      <c r="A5" s="36">
        <v>2972</v>
      </c>
      <c r="B5" s="14" t="s">
        <v>5969</v>
      </c>
      <c r="C5" s="14" t="s">
        <v>5970</v>
      </c>
      <c r="D5" s="17">
        <v>44138</v>
      </c>
      <c r="E5" s="14" t="s">
        <v>30</v>
      </c>
      <c r="F5" s="14">
        <v>35</v>
      </c>
      <c r="G5" s="14">
        <v>12</v>
      </c>
      <c r="H5" s="14">
        <v>14</v>
      </c>
      <c r="I5" s="14">
        <v>7</v>
      </c>
      <c r="J5" s="14" t="s">
        <v>31</v>
      </c>
      <c r="K5" s="14" cm="1">
        <f t="array" ref="K5">INT(SUMPRODUCT(--ISNUMBER(SEARCH(economy,C5)))&gt;0)</f>
        <v>0</v>
      </c>
      <c r="L5" s="14" cm="1">
        <f t="array" ref="L5">INT(SUMPRODUCT(--ISNUMBER(SEARCH(healthcare,C5)))&gt;0)</f>
        <v>0</v>
      </c>
      <c r="M5" s="14" cm="1">
        <f t="array" ref="M5">INT(SUMPRODUCT(--ISNUMBER(SEARCH(supreme,C5)))&gt;0)</f>
        <v>0</v>
      </c>
      <c r="N5" s="14" cm="1">
        <f t="array" ref="N5">INT(SUMPRODUCT(--ISNUMBER(SEARCH(covid,C5)))&gt;0)</f>
        <v>0</v>
      </c>
      <c r="O5" s="14" cm="1">
        <f t="array" ref="O5">INT(SUMPRODUCT(--ISNUMBER(SEARCH(violent,C5)))&gt;0)</f>
        <v>0</v>
      </c>
      <c r="P5" s="14" cm="1">
        <f t="array" ref="P5">INT(SUMPRODUCT(--ISNUMBER(SEARCH(foreign,C5)))&gt;0)</f>
        <v>0</v>
      </c>
      <c r="Q5" s="14" cm="1">
        <f t="array" ref="Q5">INT(SUMPRODUCT(--ISNUMBER(SEARCH(gun,C5)))&gt;0)</f>
        <v>0</v>
      </c>
      <c r="R5" s="14" cm="1">
        <f t="array" ref="R5">INT(SUMPRODUCT(--ISNUMBER(SEARCH(race,C5)))&gt;0)</f>
        <v>0</v>
      </c>
      <c r="S5" s="14" cm="1">
        <f t="array" ref="S5">INT(SUMPRODUCT(--ISNUMBER(SEARCH(immigration,C5)))&gt;0)</f>
        <v>0</v>
      </c>
      <c r="T5" s="14" cm="1">
        <f t="array" ref="T5">INT(SUMPRODUCT(--ISNUMBER(SEARCH(econineq,C6)))&gt;0)</f>
        <v>0</v>
      </c>
      <c r="U5" s="14" cm="1">
        <f t="array" ref="U5">INT(SUMPRODUCT(--ISNUMBER(SEARCH(climate,C5)))&gt;0)</f>
        <v>0</v>
      </c>
      <c r="V5" s="14" cm="1">
        <f t="array" ref="V5">INT(SUMPRODUCT(--ISNUMBER(SEARCH(abortion,C5)))&gt;0)</f>
        <v>0</v>
      </c>
      <c r="W5" s="14" cm="1">
        <f t="array" ref="W5">INT(SUMPRODUCT(--ISNUMBER(SEARCH(trump,C5)))&gt;0)</f>
        <v>0</v>
      </c>
      <c r="X5" s="14" cm="1">
        <f t="array" ref="X5">INT(SUMPRODUCT(--ISNUMBER(SEARCH(voting,C5)))&gt;0)</f>
        <v>1</v>
      </c>
      <c r="Y5" s="35" cm="1">
        <f t="array" ref="Y5">INT(SUMPRODUCT(--ISNUMBER(SEARCH(republicantrigger,C5)))&gt;0)</f>
        <v>0</v>
      </c>
      <c r="Z5" s="35" cm="1">
        <f t="array" ref="Z5">INT(SUMPRODUCT(--ISNUMBER(SEARCH(bipartisan,C5)))&gt;0)</f>
        <v>0</v>
      </c>
      <c r="AA5" s="35">
        <f t="shared" si="0"/>
        <v>0</v>
      </c>
      <c r="AB5" s="14"/>
      <c r="AC5" s="30">
        <v>0</v>
      </c>
      <c r="AD5" s="37">
        <v>1</v>
      </c>
    </row>
    <row r="6" spans="1:30" x14ac:dyDescent="0.25">
      <c r="A6" s="36">
        <v>2973</v>
      </c>
      <c r="B6" s="14" t="s">
        <v>5971</v>
      </c>
      <c r="C6" s="14" t="s">
        <v>5972</v>
      </c>
      <c r="D6" s="17">
        <v>44138</v>
      </c>
      <c r="E6" s="14" t="s">
        <v>30</v>
      </c>
      <c r="F6" s="14">
        <v>14</v>
      </c>
      <c r="G6" s="14">
        <v>6</v>
      </c>
      <c r="H6" s="14">
        <v>14</v>
      </c>
      <c r="I6" s="14">
        <v>7</v>
      </c>
      <c r="J6" s="14" t="s">
        <v>31</v>
      </c>
      <c r="K6" s="14" cm="1">
        <f t="array" ref="K6">INT(SUMPRODUCT(--ISNUMBER(SEARCH(economy,C6)))&gt;0)</f>
        <v>0</v>
      </c>
      <c r="L6" s="14" cm="1">
        <f t="array" ref="L6">INT(SUMPRODUCT(--ISNUMBER(SEARCH(healthcare,C6)))&gt;0)</f>
        <v>0</v>
      </c>
      <c r="M6" s="14" cm="1">
        <f t="array" ref="M6">INT(SUMPRODUCT(--ISNUMBER(SEARCH(supreme,C6)))&gt;0)</f>
        <v>0</v>
      </c>
      <c r="N6" s="14" cm="1">
        <f t="array" ref="N6">INT(SUMPRODUCT(--ISNUMBER(SEARCH(covid,C6)))&gt;0)</f>
        <v>0</v>
      </c>
      <c r="O6" s="14" cm="1">
        <f t="array" ref="O6">INT(SUMPRODUCT(--ISNUMBER(SEARCH(violent,C6)))&gt;0)</f>
        <v>0</v>
      </c>
      <c r="P6" s="14" cm="1">
        <f t="array" ref="P6">INT(SUMPRODUCT(--ISNUMBER(SEARCH(foreign,C6)))&gt;0)</f>
        <v>0</v>
      </c>
      <c r="Q6" s="14" cm="1">
        <f t="array" ref="Q6">INT(SUMPRODUCT(--ISNUMBER(SEARCH(gun,C6)))&gt;0)</f>
        <v>0</v>
      </c>
      <c r="R6" s="14" cm="1">
        <f t="array" ref="R6">INT(SUMPRODUCT(--ISNUMBER(SEARCH(race,C6)))&gt;0)</f>
        <v>0</v>
      </c>
      <c r="S6" s="14" cm="1">
        <f t="array" ref="S6">INT(SUMPRODUCT(--ISNUMBER(SEARCH(immigration,C6)))&gt;0)</f>
        <v>0</v>
      </c>
      <c r="T6" s="14" cm="1">
        <f t="array" ref="T6">INT(SUMPRODUCT(--ISNUMBER(SEARCH(econineq,C7)))&gt;0)</f>
        <v>0</v>
      </c>
      <c r="U6" s="14" cm="1">
        <f t="array" ref="U6">INT(SUMPRODUCT(--ISNUMBER(SEARCH(climate,C6)))&gt;0)</f>
        <v>0</v>
      </c>
      <c r="V6" s="14" cm="1">
        <f t="array" ref="V6">INT(SUMPRODUCT(--ISNUMBER(SEARCH(abortion,C6)))&gt;0)</f>
        <v>0</v>
      </c>
      <c r="W6" s="14" cm="1">
        <f t="array" ref="W6">INT(SUMPRODUCT(--ISNUMBER(SEARCH(trump,C6)))&gt;0)</f>
        <v>0</v>
      </c>
      <c r="X6" s="14" cm="1">
        <f t="array" ref="X6">INT(SUMPRODUCT(--ISNUMBER(SEARCH(voting,C6)))&gt;0)</f>
        <v>1</v>
      </c>
      <c r="Y6" s="35" cm="1">
        <f t="array" ref="Y6">INT(SUMPRODUCT(--ISNUMBER(SEARCH(republicantrigger,C6)))&gt;0)</f>
        <v>1</v>
      </c>
      <c r="Z6" s="35" cm="1">
        <f t="array" ref="Z6">INT(SUMPRODUCT(--ISNUMBER(SEARCH(bipartisan,C6)))&gt;0)</f>
        <v>0</v>
      </c>
      <c r="AA6" s="35">
        <f t="shared" si="0"/>
        <v>0</v>
      </c>
      <c r="AB6" s="14"/>
      <c r="AC6" s="30">
        <v>1</v>
      </c>
      <c r="AD6" s="37">
        <v>0</v>
      </c>
    </row>
    <row r="7" spans="1:30" x14ac:dyDescent="0.25">
      <c r="A7" s="36">
        <v>2974</v>
      </c>
      <c r="B7" s="14" t="s">
        <v>5973</v>
      </c>
      <c r="C7" s="14" t="s">
        <v>5974</v>
      </c>
      <c r="D7" s="17">
        <v>44138</v>
      </c>
      <c r="E7" s="14" t="s">
        <v>30</v>
      </c>
      <c r="F7" s="14">
        <v>44</v>
      </c>
      <c r="G7" s="14">
        <v>16</v>
      </c>
      <c r="H7" s="14">
        <v>14</v>
      </c>
      <c r="I7" s="14">
        <v>7</v>
      </c>
      <c r="J7" s="14" t="s">
        <v>31</v>
      </c>
      <c r="K7" s="14" cm="1">
        <f t="array" ref="K7">INT(SUMPRODUCT(--ISNUMBER(SEARCH(economy,C7)))&gt;0)</f>
        <v>0</v>
      </c>
      <c r="L7" s="14" cm="1">
        <f t="array" ref="L7">INT(SUMPRODUCT(--ISNUMBER(SEARCH(healthcare,C7)))&gt;0)</f>
        <v>0</v>
      </c>
      <c r="M7" s="14" cm="1">
        <f t="array" ref="M7">INT(SUMPRODUCT(--ISNUMBER(SEARCH(supreme,C7)))&gt;0)</f>
        <v>0</v>
      </c>
      <c r="N7" s="14" cm="1">
        <f t="array" ref="N7">INT(SUMPRODUCT(--ISNUMBER(SEARCH(covid,C7)))&gt;0)</f>
        <v>0</v>
      </c>
      <c r="O7" s="14" cm="1">
        <f t="array" ref="O7">INT(SUMPRODUCT(--ISNUMBER(SEARCH(violent,C7)))&gt;0)</f>
        <v>0</v>
      </c>
      <c r="P7" s="14" cm="1">
        <f t="array" ref="P7">INT(SUMPRODUCT(--ISNUMBER(SEARCH(foreign,C7)))&gt;0)</f>
        <v>0</v>
      </c>
      <c r="Q7" s="14" cm="1">
        <f t="array" ref="Q7">INT(SUMPRODUCT(--ISNUMBER(SEARCH(gun,C7)))&gt;0)</f>
        <v>0</v>
      </c>
      <c r="R7" s="14" cm="1">
        <f t="array" ref="R7">INT(SUMPRODUCT(--ISNUMBER(SEARCH(race,C7)))&gt;0)</f>
        <v>0</v>
      </c>
      <c r="S7" s="14" cm="1">
        <f t="array" ref="S7">INT(SUMPRODUCT(--ISNUMBER(SEARCH(immigration,C7)))&gt;0)</f>
        <v>0</v>
      </c>
      <c r="T7" s="14" cm="1">
        <f t="array" ref="T7">INT(SUMPRODUCT(--ISNUMBER(SEARCH(econineq,C8)))&gt;0)</f>
        <v>0</v>
      </c>
      <c r="U7" s="14" cm="1">
        <f t="array" ref="U7">INT(SUMPRODUCT(--ISNUMBER(SEARCH(climate,C7)))&gt;0)</f>
        <v>0</v>
      </c>
      <c r="V7" s="14" cm="1">
        <f t="array" ref="V7">INT(SUMPRODUCT(--ISNUMBER(SEARCH(abortion,C7)))&gt;0)</f>
        <v>0</v>
      </c>
      <c r="W7" s="14" cm="1">
        <f t="array" ref="W7">INT(SUMPRODUCT(--ISNUMBER(SEARCH(trump,C7)))&gt;0)</f>
        <v>0</v>
      </c>
      <c r="X7" s="14" cm="1">
        <f t="array" ref="X7">INT(SUMPRODUCT(--ISNUMBER(SEARCH(voting,C7)))&gt;0)</f>
        <v>1</v>
      </c>
      <c r="Y7" s="35" cm="1">
        <f t="array" ref="Y7">INT(SUMPRODUCT(--ISNUMBER(SEARCH(republicantrigger,C7)))&gt;0)</f>
        <v>0</v>
      </c>
      <c r="Z7" s="35" cm="1">
        <f t="array" ref="Z7">INT(SUMPRODUCT(--ISNUMBER(SEARCH(bipartisan,C7)))&gt;0)</f>
        <v>0</v>
      </c>
      <c r="AA7" s="35">
        <f t="shared" si="0"/>
        <v>0</v>
      </c>
      <c r="AB7" s="14"/>
      <c r="AC7" s="30">
        <v>0</v>
      </c>
      <c r="AD7" s="37">
        <v>1</v>
      </c>
    </row>
    <row r="8" spans="1:30" x14ac:dyDescent="0.25">
      <c r="A8" s="36">
        <v>2975</v>
      </c>
      <c r="B8" s="14" t="s">
        <v>5975</v>
      </c>
      <c r="C8" s="14" t="s">
        <v>5976</v>
      </c>
      <c r="D8" s="17">
        <v>44138</v>
      </c>
      <c r="E8" s="14" t="s">
        <v>30</v>
      </c>
      <c r="F8" s="14">
        <v>28</v>
      </c>
      <c r="G8" s="14">
        <v>7</v>
      </c>
      <c r="H8" s="14">
        <v>14</v>
      </c>
      <c r="I8" s="14">
        <v>7</v>
      </c>
      <c r="J8" s="14" t="s">
        <v>31</v>
      </c>
      <c r="K8" s="14" cm="1">
        <f t="array" ref="K8">INT(SUMPRODUCT(--ISNUMBER(SEARCH(economy,C8)))&gt;0)</f>
        <v>0</v>
      </c>
      <c r="L8" s="14" cm="1">
        <f t="array" ref="L8">INT(SUMPRODUCT(--ISNUMBER(SEARCH(healthcare,C8)))&gt;0)</f>
        <v>0</v>
      </c>
      <c r="M8" s="14" cm="1">
        <f t="array" ref="M8">INT(SUMPRODUCT(--ISNUMBER(SEARCH(supreme,C8)))&gt;0)</f>
        <v>0</v>
      </c>
      <c r="N8" s="14" cm="1">
        <f t="array" ref="N8">INT(SUMPRODUCT(--ISNUMBER(SEARCH(covid,C8)))&gt;0)</f>
        <v>0</v>
      </c>
      <c r="O8" s="14" cm="1">
        <f t="array" ref="O8">INT(SUMPRODUCT(--ISNUMBER(SEARCH(violent,C8)))&gt;0)</f>
        <v>0</v>
      </c>
      <c r="P8" s="14" cm="1">
        <f t="array" ref="P8">INT(SUMPRODUCT(--ISNUMBER(SEARCH(foreign,C8)))&gt;0)</f>
        <v>0</v>
      </c>
      <c r="Q8" s="14" cm="1">
        <f t="array" ref="Q8">INT(SUMPRODUCT(--ISNUMBER(SEARCH(gun,C8)))&gt;0)</f>
        <v>0</v>
      </c>
      <c r="R8" s="14" cm="1">
        <f t="array" ref="R8">INT(SUMPRODUCT(--ISNUMBER(SEARCH(race,C8)))&gt;0)</f>
        <v>0</v>
      </c>
      <c r="S8" s="14" cm="1">
        <f t="array" ref="S8">INT(SUMPRODUCT(--ISNUMBER(SEARCH(immigration,C8)))&gt;0)</f>
        <v>0</v>
      </c>
      <c r="T8" s="14" cm="1">
        <f t="array" ref="T8">INT(SUMPRODUCT(--ISNUMBER(SEARCH(econineq,C9)))&gt;0)</f>
        <v>0</v>
      </c>
      <c r="U8" s="14" cm="1">
        <f t="array" ref="U8">INT(SUMPRODUCT(--ISNUMBER(SEARCH(climate,C8)))&gt;0)</f>
        <v>0</v>
      </c>
      <c r="V8" s="14" cm="1">
        <f t="array" ref="V8">INT(SUMPRODUCT(--ISNUMBER(SEARCH(abortion,C8)))&gt;0)</f>
        <v>0</v>
      </c>
      <c r="W8" s="14" cm="1">
        <f t="array" ref="W8">INT(SUMPRODUCT(--ISNUMBER(SEARCH(trump,C8)))&gt;0)</f>
        <v>0</v>
      </c>
      <c r="X8" s="14" cm="1">
        <f t="array" ref="X8">INT(SUMPRODUCT(--ISNUMBER(SEARCH(voting,C8)))&gt;0)</f>
        <v>1</v>
      </c>
      <c r="Y8" s="35" cm="1">
        <f t="array" ref="Y8">INT(SUMPRODUCT(--ISNUMBER(SEARCH(republicantrigger,C8)))&gt;0)</f>
        <v>0</v>
      </c>
      <c r="Z8" s="35" cm="1">
        <f t="array" ref="Z8">INT(SUMPRODUCT(--ISNUMBER(SEARCH(bipartisan,C8)))&gt;0)</f>
        <v>0</v>
      </c>
      <c r="AA8" s="35">
        <f t="shared" si="0"/>
        <v>0</v>
      </c>
      <c r="AB8" s="14"/>
      <c r="AC8" s="30">
        <v>1</v>
      </c>
      <c r="AD8" s="37">
        <v>0</v>
      </c>
    </row>
    <row r="9" spans="1:30" x14ac:dyDescent="0.25">
      <c r="A9" s="36">
        <v>2976</v>
      </c>
      <c r="B9" s="14" t="s">
        <v>5977</v>
      </c>
      <c r="C9" s="14" t="s">
        <v>5978</v>
      </c>
      <c r="D9" s="17">
        <v>44138</v>
      </c>
      <c r="E9" s="14" t="s">
        <v>30</v>
      </c>
      <c r="F9" s="14">
        <v>34</v>
      </c>
      <c r="G9" s="14">
        <v>7</v>
      </c>
      <c r="H9" s="14">
        <v>14</v>
      </c>
      <c r="I9" s="14">
        <v>7</v>
      </c>
      <c r="J9" s="14" t="s">
        <v>31</v>
      </c>
      <c r="K9" s="14" cm="1">
        <f t="array" ref="K9">INT(SUMPRODUCT(--ISNUMBER(SEARCH(economy,C9)))&gt;0)</f>
        <v>0</v>
      </c>
      <c r="L9" s="14" cm="1">
        <f t="array" ref="L9">INT(SUMPRODUCT(--ISNUMBER(SEARCH(healthcare,C9)))&gt;0)</f>
        <v>0</v>
      </c>
      <c r="M9" s="14" cm="1">
        <f t="array" ref="M9">INT(SUMPRODUCT(--ISNUMBER(SEARCH(supreme,C9)))&gt;0)</f>
        <v>0</v>
      </c>
      <c r="N9" s="14" cm="1">
        <f t="array" ref="N9">INT(SUMPRODUCT(--ISNUMBER(SEARCH(covid,C9)))&gt;0)</f>
        <v>0</v>
      </c>
      <c r="O9" s="14" cm="1">
        <f t="array" ref="O9">INT(SUMPRODUCT(--ISNUMBER(SEARCH(violent,C9)))&gt;0)</f>
        <v>0</v>
      </c>
      <c r="P9" s="14" cm="1">
        <f t="array" ref="P9">INT(SUMPRODUCT(--ISNUMBER(SEARCH(foreign,C9)))&gt;0)</f>
        <v>0</v>
      </c>
      <c r="Q9" s="14" cm="1">
        <f t="array" ref="Q9">INT(SUMPRODUCT(--ISNUMBER(SEARCH(gun,C9)))&gt;0)</f>
        <v>0</v>
      </c>
      <c r="R9" s="14" cm="1">
        <f t="array" ref="R9">INT(SUMPRODUCT(--ISNUMBER(SEARCH(race,C9)))&gt;0)</f>
        <v>0</v>
      </c>
      <c r="S9" s="14" cm="1">
        <f t="array" ref="S9">INT(SUMPRODUCT(--ISNUMBER(SEARCH(immigration,C9)))&gt;0)</f>
        <v>0</v>
      </c>
      <c r="T9" s="14" cm="1">
        <f t="array" ref="T9">INT(SUMPRODUCT(--ISNUMBER(SEARCH(econineq,C10)))&gt;0)</f>
        <v>0</v>
      </c>
      <c r="U9" s="14" cm="1">
        <f t="array" ref="U9">INT(SUMPRODUCT(--ISNUMBER(SEARCH(climate,C9)))&gt;0)</f>
        <v>0</v>
      </c>
      <c r="V9" s="14" cm="1">
        <f t="array" ref="V9">INT(SUMPRODUCT(--ISNUMBER(SEARCH(abortion,C9)))&gt;0)</f>
        <v>0</v>
      </c>
      <c r="W9" s="14" cm="1">
        <f t="array" ref="W9">INT(SUMPRODUCT(--ISNUMBER(SEARCH(trump,C9)))&gt;0)</f>
        <v>0</v>
      </c>
      <c r="X9" s="14" cm="1">
        <f t="array" ref="X9">INT(SUMPRODUCT(--ISNUMBER(SEARCH(voting,C9)))&gt;0)</f>
        <v>1</v>
      </c>
      <c r="Y9" s="35" cm="1">
        <f t="array" ref="Y9">INT(SUMPRODUCT(--ISNUMBER(SEARCH(republicantrigger,C9)))&gt;0)</f>
        <v>0</v>
      </c>
      <c r="Z9" s="35" cm="1">
        <f t="array" ref="Z9">INT(SUMPRODUCT(--ISNUMBER(SEARCH(bipartisan,C9)))&gt;0)</f>
        <v>0</v>
      </c>
      <c r="AA9" s="35">
        <f t="shared" si="0"/>
        <v>0</v>
      </c>
      <c r="AB9" s="14"/>
      <c r="AC9" s="30">
        <v>0</v>
      </c>
      <c r="AD9" s="37">
        <v>1</v>
      </c>
    </row>
    <row r="10" spans="1:30" x14ac:dyDescent="0.25">
      <c r="A10" s="36">
        <v>2977</v>
      </c>
      <c r="B10" s="14" t="s">
        <v>5979</v>
      </c>
      <c r="C10" s="14" t="s">
        <v>5980</v>
      </c>
      <c r="D10" s="17">
        <v>44138</v>
      </c>
      <c r="E10" s="14" t="s">
        <v>30</v>
      </c>
      <c r="F10" s="14">
        <v>41</v>
      </c>
      <c r="G10" s="14">
        <v>11</v>
      </c>
      <c r="H10" s="14">
        <v>14</v>
      </c>
      <c r="I10" s="14">
        <v>7</v>
      </c>
      <c r="J10" s="14" t="s">
        <v>31</v>
      </c>
      <c r="K10" s="14" cm="1">
        <f t="array" ref="K10">INT(SUMPRODUCT(--ISNUMBER(SEARCH(economy,C10)))&gt;0)</f>
        <v>0</v>
      </c>
      <c r="L10" s="14" cm="1">
        <f t="array" ref="L10">INT(SUMPRODUCT(--ISNUMBER(SEARCH(healthcare,C10)))&gt;0)</f>
        <v>0</v>
      </c>
      <c r="M10" s="14" cm="1">
        <f t="array" ref="M10">INT(SUMPRODUCT(--ISNUMBER(SEARCH(supreme,C10)))&gt;0)</f>
        <v>0</v>
      </c>
      <c r="N10" s="14" cm="1">
        <f t="array" ref="N10">INT(SUMPRODUCT(--ISNUMBER(SEARCH(covid,C10)))&gt;0)</f>
        <v>0</v>
      </c>
      <c r="O10" s="14" cm="1">
        <f t="array" ref="O10">INT(SUMPRODUCT(--ISNUMBER(SEARCH(violent,C10)))&gt;0)</f>
        <v>0</v>
      </c>
      <c r="P10" s="14" cm="1">
        <f t="array" ref="P10">INT(SUMPRODUCT(--ISNUMBER(SEARCH(foreign,C10)))&gt;0)</f>
        <v>0</v>
      </c>
      <c r="Q10" s="14" cm="1">
        <f t="array" ref="Q10">INT(SUMPRODUCT(--ISNUMBER(SEARCH(gun,C10)))&gt;0)</f>
        <v>0</v>
      </c>
      <c r="R10" s="14" cm="1">
        <f t="array" ref="R10">INT(SUMPRODUCT(--ISNUMBER(SEARCH(race,C10)))&gt;0)</f>
        <v>0</v>
      </c>
      <c r="S10" s="14" cm="1">
        <f t="array" ref="S10">INT(SUMPRODUCT(--ISNUMBER(SEARCH(immigration,C10)))&gt;0)</f>
        <v>0</v>
      </c>
      <c r="T10" s="14" cm="1">
        <f t="array" ref="T10">INT(SUMPRODUCT(--ISNUMBER(SEARCH(econineq,C11)))&gt;0)</f>
        <v>0</v>
      </c>
      <c r="U10" s="14" cm="1">
        <f t="array" ref="U10">INT(SUMPRODUCT(--ISNUMBER(SEARCH(climate,C10)))&gt;0)</f>
        <v>0</v>
      </c>
      <c r="V10" s="14" cm="1">
        <f t="array" ref="V10">INT(SUMPRODUCT(--ISNUMBER(SEARCH(abortion,C10)))&gt;0)</f>
        <v>0</v>
      </c>
      <c r="W10" s="14" cm="1">
        <f t="array" ref="W10">INT(SUMPRODUCT(--ISNUMBER(SEARCH(trump,C10)))&gt;0)</f>
        <v>0</v>
      </c>
      <c r="X10" s="14" cm="1">
        <f t="array" ref="X10">INT(SUMPRODUCT(--ISNUMBER(SEARCH(voting,C10)))&gt;0)</f>
        <v>1</v>
      </c>
      <c r="Y10" s="35" cm="1">
        <f t="array" ref="Y10">INT(SUMPRODUCT(--ISNUMBER(SEARCH(republicantrigger,C10)))&gt;0)</f>
        <v>0</v>
      </c>
      <c r="Z10" s="35" cm="1">
        <f t="array" ref="Z10">INT(SUMPRODUCT(--ISNUMBER(SEARCH(bipartisan,C10)))&gt;0)</f>
        <v>0</v>
      </c>
      <c r="AA10" s="35">
        <f t="shared" si="0"/>
        <v>0</v>
      </c>
      <c r="AB10" s="14"/>
      <c r="AC10" s="30">
        <v>0</v>
      </c>
      <c r="AD10" s="37">
        <v>1</v>
      </c>
    </row>
    <row r="11" spans="1:30" x14ac:dyDescent="0.25">
      <c r="A11" s="36">
        <v>2978</v>
      </c>
      <c r="B11" s="14" t="s">
        <v>5981</v>
      </c>
      <c r="C11" s="14" t="s">
        <v>5982</v>
      </c>
      <c r="D11" s="17">
        <v>44138</v>
      </c>
      <c r="E11" s="14" t="s">
        <v>30</v>
      </c>
      <c r="F11" s="14">
        <v>9</v>
      </c>
      <c r="G11" s="14">
        <v>2</v>
      </c>
      <c r="H11" s="14">
        <v>14</v>
      </c>
      <c r="I11" s="14">
        <v>7</v>
      </c>
      <c r="J11" s="14" t="s">
        <v>31</v>
      </c>
      <c r="K11" s="14" cm="1">
        <f t="array" ref="K11">INT(SUMPRODUCT(--ISNUMBER(SEARCH(economy,C11)))&gt;0)</f>
        <v>0</v>
      </c>
      <c r="L11" s="14" cm="1">
        <f t="array" ref="L11">INT(SUMPRODUCT(--ISNUMBER(SEARCH(healthcare,C11)))&gt;0)</f>
        <v>0</v>
      </c>
      <c r="M11" s="14" cm="1">
        <f t="array" ref="M11">INT(SUMPRODUCT(--ISNUMBER(SEARCH(supreme,C11)))&gt;0)</f>
        <v>0</v>
      </c>
      <c r="N11" s="14" cm="1">
        <f t="array" ref="N11">INT(SUMPRODUCT(--ISNUMBER(SEARCH(covid,C11)))&gt;0)</f>
        <v>0</v>
      </c>
      <c r="O11" s="14" cm="1">
        <f t="array" ref="O11">INT(SUMPRODUCT(--ISNUMBER(SEARCH(violent,C11)))&gt;0)</f>
        <v>0</v>
      </c>
      <c r="P11" s="14" cm="1">
        <f t="array" ref="P11">INT(SUMPRODUCT(--ISNUMBER(SEARCH(foreign,C11)))&gt;0)</f>
        <v>0</v>
      </c>
      <c r="Q11" s="14" cm="1">
        <f t="array" ref="Q11">INT(SUMPRODUCT(--ISNUMBER(SEARCH(gun,C11)))&gt;0)</f>
        <v>0</v>
      </c>
      <c r="R11" s="14" cm="1">
        <f t="array" ref="R11">INT(SUMPRODUCT(--ISNUMBER(SEARCH(race,C11)))&gt;0)</f>
        <v>0</v>
      </c>
      <c r="S11" s="14" cm="1">
        <f t="array" ref="S11">INT(SUMPRODUCT(--ISNUMBER(SEARCH(immigration,C11)))&gt;0)</f>
        <v>0</v>
      </c>
      <c r="T11" s="14" cm="1">
        <f t="array" ref="T11">INT(SUMPRODUCT(--ISNUMBER(SEARCH(econineq,C12)))&gt;0)</f>
        <v>0</v>
      </c>
      <c r="U11" s="14" cm="1">
        <f t="array" ref="U11">INT(SUMPRODUCT(--ISNUMBER(SEARCH(climate,C11)))&gt;0)</f>
        <v>0</v>
      </c>
      <c r="V11" s="14" cm="1">
        <f t="array" ref="V11">INT(SUMPRODUCT(--ISNUMBER(SEARCH(abortion,C11)))&gt;0)</f>
        <v>0</v>
      </c>
      <c r="W11" s="14" cm="1">
        <f t="array" ref="W11">INT(SUMPRODUCT(--ISNUMBER(SEARCH(trump,C11)))&gt;0)</f>
        <v>1</v>
      </c>
      <c r="X11" s="14" cm="1">
        <f t="array" ref="X11">INT(SUMPRODUCT(--ISNUMBER(SEARCH(voting,C11)))&gt;0)</f>
        <v>1</v>
      </c>
      <c r="Y11" s="35" cm="1">
        <f t="array" ref="Y11">INT(SUMPRODUCT(--ISNUMBER(SEARCH(republicantrigger,C11)))&gt;0)</f>
        <v>1</v>
      </c>
      <c r="Z11" s="35" cm="1">
        <f t="array" ref="Z11">INT(SUMPRODUCT(--ISNUMBER(SEARCH(bipartisan,C11)))&gt;0)</f>
        <v>0</v>
      </c>
      <c r="AA11" s="35">
        <f t="shared" si="0"/>
        <v>0</v>
      </c>
      <c r="AB11" s="14"/>
      <c r="AC11" s="30">
        <v>1</v>
      </c>
      <c r="AD11" s="37">
        <v>0</v>
      </c>
    </row>
    <row r="12" spans="1:30" x14ac:dyDescent="0.25">
      <c r="A12" s="36">
        <v>2979</v>
      </c>
      <c r="B12" s="14" t="s">
        <v>5983</v>
      </c>
      <c r="C12" s="14" t="s">
        <v>5984</v>
      </c>
      <c r="D12" s="17">
        <v>44138</v>
      </c>
      <c r="E12" s="14" t="s">
        <v>30</v>
      </c>
      <c r="F12" s="14">
        <v>9</v>
      </c>
      <c r="G12" s="14">
        <v>5</v>
      </c>
      <c r="H12" s="14">
        <v>14</v>
      </c>
      <c r="I12" s="14">
        <v>7</v>
      </c>
      <c r="J12" s="14" t="s">
        <v>31</v>
      </c>
      <c r="K12" s="14" cm="1">
        <f t="array" ref="K12">INT(SUMPRODUCT(--ISNUMBER(SEARCH(economy,C12)))&gt;0)</f>
        <v>0</v>
      </c>
      <c r="L12" s="14" cm="1">
        <f t="array" ref="L12">INT(SUMPRODUCT(--ISNUMBER(SEARCH(healthcare,C12)))&gt;0)</f>
        <v>0</v>
      </c>
      <c r="M12" s="14" cm="1">
        <f t="array" ref="M12">INT(SUMPRODUCT(--ISNUMBER(SEARCH(supreme,C12)))&gt;0)</f>
        <v>0</v>
      </c>
      <c r="N12" s="14" cm="1">
        <f t="array" ref="N12">INT(SUMPRODUCT(--ISNUMBER(SEARCH(covid,C12)))&gt;0)</f>
        <v>0</v>
      </c>
      <c r="O12" s="14" cm="1">
        <f t="array" ref="O12">INT(SUMPRODUCT(--ISNUMBER(SEARCH(violent,C12)))&gt;0)</f>
        <v>0</v>
      </c>
      <c r="P12" s="14" cm="1">
        <f t="array" ref="P12">INT(SUMPRODUCT(--ISNUMBER(SEARCH(foreign,C12)))&gt;0)</f>
        <v>0</v>
      </c>
      <c r="Q12" s="14" cm="1">
        <f t="array" ref="Q12">INT(SUMPRODUCT(--ISNUMBER(SEARCH(gun,C12)))&gt;0)</f>
        <v>0</v>
      </c>
      <c r="R12" s="14" cm="1">
        <f t="array" ref="R12">INT(SUMPRODUCT(--ISNUMBER(SEARCH(race,C12)))&gt;0)</f>
        <v>0</v>
      </c>
      <c r="S12" s="14" cm="1">
        <f t="array" ref="S12">INT(SUMPRODUCT(--ISNUMBER(SEARCH(immigration,C12)))&gt;0)</f>
        <v>0</v>
      </c>
      <c r="T12" s="14" cm="1">
        <f t="array" ref="T12">INT(SUMPRODUCT(--ISNUMBER(SEARCH(econineq,C13)))&gt;0)</f>
        <v>0</v>
      </c>
      <c r="U12" s="14" cm="1">
        <f t="array" ref="U12">INT(SUMPRODUCT(--ISNUMBER(SEARCH(climate,C12)))&gt;0)</f>
        <v>0</v>
      </c>
      <c r="V12" s="14" cm="1">
        <f t="array" ref="V12">INT(SUMPRODUCT(--ISNUMBER(SEARCH(abortion,C12)))&gt;0)</f>
        <v>0</v>
      </c>
      <c r="W12" s="14" cm="1">
        <f t="array" ref="W12">INT(SUMPRODUCT(--ISNUMBER(SEARCH(trump,C12)))&gt;0)</f>
        <v>0</v>
      </c>
      <c r="X12" s="14" cm="1">
        <f t="array" ref="X12">INT(SUMPRODUCT(--ISNUMBER(SEARCH(voting,C12)))&gt;0)</f>
        <v>1</v>
      </c>
      <c r="Y12" s="35" cm="1">
        <f t="array" ref="Y12">INT(SUMPRODUCT(--ISNUMBER(SEARCH(republicantrigger,C12)))&gt;0)</f>
        <v>1</v>
      </c>
      <c r="Z12" s="35" cm="1">
        <f t="array" ref="Z12">INT(SUMPRODUCT(--ISNUMBER(SEARCH(bipartisan,C12)))&gt;0)</f>
        <v>0</v>
      </c>
      <c r="AA12" s="35">
        <f t="shared" si="0"/>
        <v>0</v>
      </c>
      <c r="AB12" s="14"/>
      <c r="AC12" s="30">
        <v>0</v>
      </c>
      <c r="AD12" s="37">
        <v>1</v>
      </c>
    </row>
    <row r="13" spans="1:30" x14ac:dyDescent="0.25">
      <c r="A13" s="36">
        <v>2980</v>
      </c>
      <c r="B13" s="14" t="s">
        <v>5985</v>
      </c>
      <c r="C13" s="14" t="s">
        <v>5986</v>
      </c>
      <c r="D13" s="17">
        <v>44138</v>
      </c>
      <c r="E13" s="14" t="s">
        <v>30</v>
      </c>
      <c r="F13" s="14">
        <v>46</v>
      </c>
      <c r="G13" s="14">
        <v>17</v>
      </c>
      <c r="H13" s="14">
        <v>14</v>
      </c>
      <c r="I13" s="14">
        <v>7</v>
      </c>
      <c r="J13" s="14" t="s">
        <v>31</v>
      </c>
      <c r="K13" s="14" cm="1">
        <f t="array" ref="K13">INT(SUMPRODUCT(--ISNUMBER(SEARCH(economy,C13)))&gt;0)</f>
        <v>0</v>
      </c>
      <c r="L13" s="14" cm="1">
        <f t="array" ref="L13">INT(SUMPRODUCT(--ISNUMBER(SEARCH(healthcare,C13)))&gt;0)</f>
        <v>0</v>
      </c>
      <c r="M13" s="14" cm="1">
        <f t="array" ref="M13">INT(SUMPRODUCT(--ISNUMBER(SEARCH(supreme,C13)))&gt;0)</f>
        <v>0</v>
      </c>
      <c r="N13" s="14" cm="1">
        <f t="array" ref="N13">INT(SUMPRODUCT(--ISNUMBER(SEARCH(covid,C13)))&gt;0)</f>
        <v>0</v>
      </c>
      <c r="O13" s="14" cm="1">
        <f t="array" ref="O13">INT(SUMPRODUCT(--ISNUMBER(SEARCH(violent,C13)))&gt;0)</f>
        <v>0</v>
      </c>
      <c r="P13" s="14" cm="1">
        <f t="array" ref="P13">INT(SUMPRODUCT(--ISNUMBER(SEARCH(foreign,C13)))&gt;0)</f>
        <v>0</v>
      </c>
      <c r="Q13" s="14" cm="1">
        <f t="array" ref="Q13">INT(SUMPRODUCT(--ISNUMBER(SEARCH(gun,C13)))&gt;0)</f>
        <v>0</v>
      </c>
      <c r="R13" s="14" cm="1">
        <f t="array" ref="R13">INT(SUMPRODUCT(--ISNUMBER(SEARCH(race,C13)))&gt;0)</f>
        <v>0</v>
      </c>
      <c r="S13" s="14" cm="1">
        <f t="array" ref="S13">INT(SUMPRODUCT(--ISNUMBER(SEARCH(immigration,C13)))&gt;0)</f>
        <v>0</v>
      </c>
      <c r="T13" s="14" cm="1">
        <f t="array" ref="T13">INT(SUMPRODUCT(--ISNUMBER(SEARCH(econineq,C14)))&gt;0)</f>
        <v>0</v>
      </c>
      <c r="U13" s="14" cm="1">
        <f t="array" ref="U13">INT(SUMPRODUCT(--ISNUMBER(SEARCH(climate,C13)))&gt;0)</f>
        <v>0</v>
      </c>
      <c r="V13" s="14" cm="1">
        <f t="array" ref="V13">INT(SUMPRODUCT(--ISNUMBER(SEARCH(abortion,C13)))&gt;0)</f>
        <v>0</v>
      </c>
      <c r="W13" s="14" cm="1">
        <f t="array" ref="W13">INT(SUMPRODUCT(--ISNUMBER(SEARCH(trump,C13)))&gt;0)</f>
        <v>0</v>
      </c>
      <c r="X13" s="14" cm="1">
        <f t="array" ref="X13">INT(SUMPRODUCT(--ISNUMBER(SEARCH(voting,C13)))&gt;0)</f>
        <v>1</v>
      </c>
      <c r="Y13" s="35" cm="1">
        <f t="array" ref="Y13">INT(SUMPRODUCT(--ISNUMBER(SEARCH(republicantrigger,C13)))&gt;0)</f>
        <v>0</v>
      </c>
      <c r="Z13" s="35" cm="1">
        <f t="array" ref="Z13">INT(SUMPRODUCT(--ISNUMBER(SEARCH(bipartisan,C13)))&gt;0)</f>
        <v>0</v>
      </c>
      <c r="AA13" s="35">
        <f t="shared" si="0"/>
        <v>0</v>
      </c>
      <c r="AB13" s="14"/>
      <c r="AC13" s="30">
        <v>0</v>
      </c>
      <c r="AD13" s="37">
        <v>1</v>
      </c>
    </row>
    <row r="14" spans="1:30" x14ac:dyDescent="0.25">
      <c r="A14" s="36">
        <v>2981</v>
      </c>
      <c r="B14" s="14" t="s">
        <v>5987</v>
      </c>
      <c r="C14" s="14" t="s">
        <v>5988</v>
      </c>
      <c r="D14" s="17">
        <v>44138</v>
      </c>
      <c r="E14" s="14" t="s">
        <v>30</v>
      </c>
      <c r="F14" s="14">
        <v>30</v>
      </c>
      <c r="G14" s="14">
        <v>9</v>
      </c>
      <c r="H14" s="14">
        <v>14</v>
      </c>
      <c r="I14" s="14">
        <v>7</v>
      </c>
      <c r="J14" s="14" t="s">
        <v>31</v>
      </c>
      <c r="K14" s="14" cm="1">
        <f t="array" ref="K14">INT(SUMPRODUCT(--ISNUMBER(SEARCH(economy,C14)))&gt;0)</f>
        <v>0</v>
      </c>
      <c r="L14" s="14" cm="1">
        <f t="array" ref="L14">INT(SUMPRODUCT(--ISNUMBER(SEARCH(healthcare,C14)))&gt;0)</f>
        <v>0</v>
      </c>
      <c r="M14" s="14" cm="1">
        <f t="array" ref="M14">INT(SUMPRODUCT(--ISNUMBER(SEARCH(supreme,C14)))&gt;0)</f>
        <v>0</v>
      </c>
      <c r="N14" s="14" cm="1">
        <f t="array" ref="N14">INT(SUMPRODUCT(--ISNUMBER(SEARCH(covid,C14)))&gt;0)</f>
        <v>0</v>
      </c>
      <c r="O14" s="14" cm="1">
        <f t="array" ref="O14">INT(SUMPRODUCT(--ISNUMBER(SEARCH(violent,C14)))&gt;0)</f>
        <v>0</v>
      </c>
      <c r="P14" s="14" cm="1">
        <f t="array" ref="P14">INT(SUMPRODUCT(--ISNUMBER(SEARCH(foreign,C14)))&gt;0)</f>
        <v>0</v>
      </c>
      <c r="Q14" s="14" cm="1">
        <f t="array" ref="Q14">INT(SUMPRODUCT(--ISNUMBER(SEARCH(gun,C14)))&gt;0)</f>
        <v>0</v>
      </c>
      <c r="R14" s="14" cm="1">
        <f t="array" ref="R14">INT(SUMPRODUCT(--ISNUMBER(SEARCH(race,C14)))&gt;0)</f>
        <v>0</v>
      </c>
      <c r="S14" s="14" cm="1">
        <f t="array" ref="S14">INT(SUMPRODUCT(--ISNUMBER(SEARCH(immigration,C14)))&gt;0)</f>
        <v>0</v>
      </c>
      <c r="T14" s="14" cm="1">
        <f t="array" ref="T14">INT(SUMPRODUCT(--ISNUMBER(SEARCH(econineq,C15)))&gt;0)</f>
        <v>0</v>
      </c>
      <c r="U14" s="14" cm="1">
        <f t="array" ref="U14">INT(SUMPRODUCT(--ISNUMBER(SEARCH(climate,C14)))&gt;0)</f>
        <v>0</v>
      </c>
      <c r="V14" s="14" cm="1">
        <f t="array" ref="V14">INT(SUMPRODUCT(--ISNUMBER(SEARCH(abortion,C14)))&gt;0)</f>
        <v>0</v>
      </c>
      <c r="W14" s="14" cm="1">
        <f t="array" ref="W14">INT(SUMPRODUCT(--ISNUMBER(SEARCH(trump,C14)))&gt;0)</f>
        <v>0</v>
      </c>
      <c r="X14" s="14" cm="1">
        <f t="array" ref="X14">INT(SUMPRODUCT(--ISNUMBER(SEARCH(voting,C14)))&gt;0)</f>
        <v>1</v>
      </c>
      <c r="Y14" s="35" cm="1">
        <f t="array" ref="Y14">INT(SUMPRODUCT(--ISNUMBER(SEARCH(republicantrigger,C14)))&gt;0)</f>
        <v>0</v>
      </c>
      <c r="Z14" s="35" cm="1">
        <f t="array" ref="Z14">INT(SUMPRODUCT(--ISNUMBER(SEARCH(bipartisan,C14)))&gt;0)</f>
        <v>0</v>
      </c>
      <c r="AA14" s="35">
        <f t="shared" si="0"/>
        <v>0</v>
      </c>
      <c r="AB14" s="14"/>
      <c r="AC14" s="30" t="s">
        <v>223</v>
      </c>
      <c r="AD14" s="37" t="s">
        <v>223</v>
      </c>
    </row>
    <row r="15" spans="1:30" x14ac:dyDescent="0.25">
      <c r="A15" s="36">
        <v>2982</v>
      </c>
      <c r="B15" s="14" t="s">
        <v>5989</v>
      </c>
      <c r="C15" s="14" t="s">
        <v>5990</v>
      </c>
      <c r="D15" s="17">
        <v>44138</v>
      </c>
      <c r="E15" s="14" t="s">
        <v>30</v>
      </c>
      <c r="F15" s="14">
        <v>37</v>
      </c>
      <c r="G15" s="14">
        <v>13</v>
      </c>
      <c r="H15" s="14">
        <v>14</v>
      </c>
      <c r="I15" s="14">
        <v>7</v>
      </c>
      <c r="J15" s="14" t="s">
        <v>31</v>
      </c>
      <c r="K15" s="14" cm="1">
        <f t="array" ref="K15">INT(SUMPRODUCT(--ISNUMBER(SEARCH(economy,C15)))&gt;0)</f>
        <v>0</v>
      </c>
      <c r="L15" s="14" cm="1">
        <f t="array" ref="L15">INT(SUMPRODUCT(--ISNUMBER(SEARCH(healthcare,C15)))&gt;0)</f>
        <v>0</v>
      </c>
      <c r="M15" s="14" cm="1">
        <f t="array" ref="M15">INT(SUMPRODUCT(--ISNUMBER(SEARCH(supreme,C15)))&gt;0)</f>
        <v>0</v>
      </c>
      <c r="N15" s="14" cm="1">
        <f t="array" ref="N15">INT(SUMPRODUCT(--ISNUMBER(SEARCH(covid,C15)))&gt;0)</f>
        <v>0</v>
      </c>
      <c r="O15" s="14" cm="1">
        <f t="array" ref="O15">INT(SUMPRODUCT(--ISNUMBER(SEARCH(violent,C15)))&gt;0)</f>
        <v>0</v>
      </c>
      <c r="P15" s="14" cm="1">
        <f t="array" ref="P15">INT(SUMPRODUCT(--ISNUMBER(SEARCH(foreign,C15)))&gt;0)</f>
        <v>0</v>
      </c>
      <c r="Q15" s="14" cm="1">
        <f t="array" ref="Q15">INT(SUMPRODUCT(--ISNUMBER(SEARCH(gun,C15)))&gt;0)</f>
        <v>0</v>
      </c>
      <c r="R15" s="14" cm="1">
        <f t="array" ref="R15">INT(SUMPRODUCT(--ISNUMBER(SEARCH(race,C15)))&gt;0)</f>
        <v>0</v>
      </c>
      <c r="S15" s="14" cm="1">
        <f t="array" ref="S15">INT(SUMPRODUCT(--ISNUMBER(SEARCH(immigration,C15)))&gt;0)</f>
        <v>0</v>
      </c>
      <c r="T15" s="14" cm="1">
        <f t="array" ref="T15">INT(SUMPRODUCT(--ISNUMBER(SEARCH(econineq,C16)))&gt;0)</f>
        <v>0</v>
      </c>
      <c r="U15" s="14" cm="1">
        <f t="array" ref="U15">INT(SUMPRODUCT(--ISNUMBER(SEARCH(climate,C15)))&gt;0)</f>
        <v>0</v>
      </c>
      <c r="V15" s="14" cm="1">
        <f t="array" ref="V15">INT(SUMPRODUCT(--ISNUMBER(SEARCH(abortion,C15)))&gt;0)</f>
        <v>0</v>
      </c>
      <c r="W15" s="14" cm="1">
        <f t="array" ref="W15">INT(SUMPRODUCT(--ISNUMBER(SEARCH(trump,C15)))&gt;0)</f>
        <v>0</v>
      </c>
      <c r="X15" s="14" cm="1">
        <f t="array" ref="X15">INT(SUMPRODUCT(--ISNUMBER(SEARCH(voting,C15)))&gt;0)</f>
        <v>1</v>
      </c>
      <c r="Y15" s="35" cm="1">
        <f t="array" ref="Y15">INT(SUMPRODUCT(--ISNUMBER(SEARCH(republicantrigger,C15)))&gt;0)</f>
        <v>0</v>
      </c>
      <c r="Z15" s="35" cm="1">
        <f t="array" ref="Z15">INT(SUMPRODUCT(--ISNUMBER(SEARCH(bipartisan,C15)))&gt;0)</f>
        <v>0</v>
      </c>
      <c r="AA15" s="35">
        <f t="shared" si="0"/>
        <v>0</v>
      </c>
      <c r="AB15" s="14"/>
      <c r="AC15" s="30">
        <v>0</v>
      </c>
      <c r="AD15" s="37">
        <v>1</v>
      </c>
    </row>
    <row r="16" spans="1:30" x14ac:dyDescent="0.25">
      <c r="A16" s="36">
        <v>2983</v>
      </c>
      <c r="B16" s="14" t="s">
        <v>5991</v>
      </c>
      <c r="C16" s="14" t="s">
        <v>5992</v>
      </c>
      <c r="D16" s="17">
        <v>44138</v>
      </c>
      <c r="E16" s="14" t="s">
        <v>30</v>
      </c>
      <c r="F16" s="14">
        <v>52</v>
      </c>
      <c r="G16" s="14">
        <v>13</v>
      </c>
      <c r="H16" s="14">
        <v>14</v>
      </c>
      <c r="I16" s="14">
        <v>7</v>
      </c>
      <c r="J16" s="14" t="s">
        <v>31</v>
      </c>
      <c r="K16" s="14" cm="1">
        <f t="array" ref="K16">INT(SUMPRODUCT(--ISNUMBER(SEARCH(economy,C16)))&gt;0)</f>
        <v>0</v>
      </c>
      <c r="L16" s="14" cm="1">
        <f t="array" ref="L16">INT(SUMPRODUCT(--ISNUMBER(SEARCH(healthcare,C16)))&gt;0)</f>
        <v>0</v>
      </c>
      <c r="M16" s="14" cm="1">
        <f t="array" ref="M16">INT(SUMPRODUCT(--ISNUMBER(SEARCH(supreme,C16)))&gt;0)</f>
        <v>0</v>
      </c>
      <c r="N16" s="14" cm="1">
        <f t="array" ref="N16">INT(SUMPRODUCT(--ISNUMBER(SEARCH(covid,C16)))&gt;0)</f>
        <v>0</v>
      </c>
      <c r="O16" s="14" cm="1">
        <f t="array" ref="O16">INT(SUMPRODUCT(--ISNUMBER(SEARCH(violent,C16)))&gt;0)</f>
        <v>0</v>
      </c>
      <c r="P16" s="14" cm="1">
        <f t="array" ref="P16">INT(SUMPRODUCT(--ISNUMBER(SEARCH(foreign,C16)))&gt;0)</f>
        <v>0</v>
      </c>
      <c r="Q16" s="14" cm="1">
        <f t="array" ref="Q16">INT(SUMPRODUCT(--ISNUMBER(SEARCH(gun,C16)))&gt;0)</f>
        <v>0</v>
      </c>
      <c r="R16" s="14" cm="1">
        <f t="array" ref="R16">INT(SUMPRODUCT(--ISNUMBER(SEARCH(race,C16)))&gt;0)</f>
        <v>0</v>
      </c>
      <c r="S16" s="14" cm="1">
        <f t="array" ref="S16">INT(SUMPRODUCT(--ISNUMBER(SEARCH(immigration,C16)))&gt;0)</f>
        <v>0</v>
      </c>
      <c r="T16" s="14" cm="1">
        <f t="array" ref="T16">INT(SUMPRODUCT(--ISNUMBER(SEARCH(econineq,C17)))&gt;0)</f>
        <v>0</v>
      </c>
      <c r="U16" s="14" cm="1">
        <f t="array" ref="U16">INT(SUMPRODUCT(--ISNUMBER(SEARCH(climate,C16)))&gt;0)</f>
        <v>0</v>
      </c>
      <c r="V16" s="14" cm="1">
        <f t="array" ref="V16">INT(SUMPRODUCT(--ISNUMBER(SEARCH(abortion,C16)))&gt;0)</f>
        <v>0</v>
      </c>
      <c r="W16" s="14" cm="1">
        <f t="array" ref="W16">INT(SUMPRODUCT(--ISNUMBER(SEARCH(trump,C16)))&gt;0)</f>
        <v>0</v>
      </c>
      <c r="X16" s="14" cm="1">
        <f t="array" ref="X16">INT(SUMPRODUCT(--ISNUMBER(SEARCH(voting,C16)))&gt;0)</f>
        <v>1</v>
      </c>
      <c r="Y16" s="35" cm="1">
        <f t="array" ref="Y16">INT(SUMPRODUCT(--ISNUMBER(SEARCH(republicantrigger,C16)))&gt;0)</f>
        <v>0</v>
      </c>
      <c r="Z16" s="35" cm="1">
        <f t="array" ref="Z16">INT(SUMPRODUCT(--ISNUMBER(SEARCH(bipartisan,C16)))&gt;0)</f>
        <v>0</v>
      </c>
      <c r="AA16" s="35">
        <f t="shared" si="0"/>
        <v>0</v>
      </c>
      <c r="AB16" s="14"/>
      <c r="AC16" s="30">
        <v>0</v>
      </c>
      <c r="AD16" s="37">
        <v>1</v>
      </c>
    </row>
    <row r="17" spans="1:30" x14ac:dyDescent="0.25">
      <c r="A17" s="36">
        <v>2984</v>
      </c>
      <c r="B17" s="14" t="s">
        <v>5993</v>
      </c>
      <c r="C17" s="14" t="s">
        <v>5994</v>
      </c>
      <c r="D17" s="17">
        <v>44138</v>
      </c>
      <c r="E17" s="14" t="s">
        <v>30</v>
      </c>
      <c r="F17" s="14">
        <v>120</v>
      </c>
      <c r="G17" s="14">
        <v>28</v>
      </c>
      <c r="H17" s="14">
        <v>14</v>
      </c>
      <c r="I17" s="14">
        <v>7</v>
      </c>
      <c r="J17" s="14" t="s">
        <v>31</v>
      </c>
      <c r="K17" s="14" cm="1">
        <f t="array" ref="K17">INT(SUMPRODUCT(--ISNUMBER(SEARCH(economy,C17)))&gt;0)</f>
        <v>0</v>
      </c>
      <c r="L17" s="14" cm="1">
        <f t="array" ref="L17">INT(SUMPRODUCT(--ISNUMBER(SEARCH(healthcare,C17)))&gt;0)</f>
        <v>0</v>
      </c>
      <c r="M17" s="14" cm="1">
        <f t="array" ref="M17">INT(SUMPRODUCT(--ISNUMBER(SEARCH(supreme,C17)))&gt;0)</f>
        <v>0</v>
      </c>
      <c r="N17" s="14" cm="1">
        <f t="array" ref="N17">INT(SUMPRODUCT(--ISNUMBER(SEARCH(covid,C17)))&gt;0)</f>
        <v>0</v>
      </c>
      <c r="O17" s="14" cm="1">
        <f t="array" ref="O17">INT(SUMPRODUCT(--ISNUMBER(SEARCH(violent,C17)))&gt;0)</f>
        <v>0</v>
      </c>
      <c r="P17" s="14" cm="1">
        <f t="array" ref="P17">INT(SUMPRODUCT(--ISNUMBER(SEARCH(foreign,C17)))&gt;0)</f>
        <v>0</v>
      </c>
      <c r="Q17" s="14" cm="1">
        <f t="array" ref="Q17">INT(SUMPRODUCT(--ISNUMBER(SEARCH(gun,C17)))&gt;0)</f>
        <v>0</v>
      </c>
      <c r="R17" s="14" cm="1">
        <f t="array" ref="R17">INT(SUMPRODUCT(--ISNUMBER(SEARCH(race,C17)))&gt;0)</f>
        <v>0</v>
      </c>
      <c r="S17" s="14" cm="1">
        <f t="array" ref="S17">INT(SUMPRODUCT(--ISNUMBER(SEARCH(immigration,C17)))&gt;0)</f>
        <v>0</v>
      </c>
      <c r="T17" s="14" cm="1">
        <f t="array" ref="T17">INT(SUMPRODUCT(--ISNUMBER(SEARCH(econineq,C18)))&gt;0)</f>
        <v>0</v>
      </c>
      <c r="U17" s="14" cm="1">
        <f t="array" ref="U17">INT(SUMPRODUCT(--ISNUMBER(SEARCH(climate,C17)))&gt;0)</f>
        <v>0</v>
      </c>
      <c r="V17" s="14" cm="1">
        <f t="array" ref="V17">INT(SUMPRODUCT(--ISNUMBER(SEARCH(abortion,C17)))&gt;0)</f>
        <v>0</v>
      </c>
      <c r="W17" s="14" cm="1">
        <f t="array" ref="W17">INT(SUMPRODUCT(--ISNUMBER(SEARCH(trump,C17)))&gt;0)</f>
        <v>0</v>
      </c>
      <c r="X17" s="14" cm="1">
        <f t="array" ref="X17">INT(SUMPRODUCT(--ISNUMBER(SEARCH(voting,C17)))&gt;0)</f>
        <v>1</v>
      </c>
      <c r="Y17" s="35" cm="1">
        <f t="array" ref="Y17">INT(SUMPRODUCT(--ISNUMBER(SEARCH(republicantrigger,C17)))&gt;0)</f>
        <v>0</v>
      </c>
      <c r="Z17" s="35" cm="1">
        <f t="array" ref="Z17">INT(SUMPRODUCT(--ISNUMBER(SEARCH(bipartisan,C17)))&gt;0)</f>
        <v>0</v>
      </c>
      <c r="AA17" s="35">
        <f t="shared" si="0"/>
        <v>0</v>
      </c>
      <c r="AB17" s="14"/>
      <c r="AC17" s="30">
        <v>1</v>
      </c>
      <c r="AD17" s="37">
        <v>0</v>
      </c>
    </row>
    <row r="18" spans="1:30" x14ac:dyDescent="0.25">
      <c r="A18" s="36">
        <v>2985</v>
      </c>
      <c r="B18" s="14" t="s">
        <v>5995</v>
      </c>
      <c r="C18" s="14" t="s">
        <v>5996</v>
      </c>
      <c r="D18" s="17">
        <v>44138</v>
      </c>
      <c r="E18" s="14" t="s">
        <v>30</v>
      </c>
      <c r="F18" s="14">
        <v>59</v>
      </c>
      <c r="G18" s="14">
        <v>20</v>
      </c>
      <c r="H18" s="14">
        <v>14</v>
      </c>
      <c r="I18" s="14">
        <v>7</v>
      </c>
      <c r="J18" s="14" t="s">
        <v>31</v>
      </c>
      <c r="K18" s="14" cm="1">
        <f t="array" ref="K18">INT(SUMPRODUCT(--ISNUMBER(SEARCH(economy,C18)))&gt;0)</f>
        <v>0</v>
      </c>
      <c r="L18" s="14" cm="1">
        <f t="array" ref="L18">INT(SUMPRODUCT(--ISNUMBER(SEARCH(healthcare,C18)))&gt;0)</f>
        <v>0</v>
      </c>
      <c r="M18" s="14" cm="1">
        <f t="array" ref="M18">INT(SUMPRODUCT(--ISNUMBER(SEARCH(supreme,C18)))&gt;0)</f>
        <v>0</v>
      </c>
      <c r="N18" s="14" cm="1">
        <f t="array" ref="N18">INT(SUMPRODUCT(--ISNUMBER(SEARCH(covid,C18)))&gt;0)</f>
        <v>0</v>
      </c>
      <c r="O18" s="14" cm="1">
        <f t="array" ref="O18">INT(SUMPRODUCT(--ISNUMBER(SEARCH(violent,C18)))&gt;0)</f>
        <v>0</v>
      </c>
      <c r="P18" s="14" cm="1">
        <f t="array" ref="P18">INT(SUMPRODUCT(--ISNUMBER(SEARCH(foreign,C18)))&gt;0)</f>
        <v>0</v>
      </c>
      <c r="Q18" s="14" cm="1">
        <f t="array" ref="Q18">INT(SUMPRODUCT(--ISNUMBER(SEARCH(gun,C18)))&gt;0)</f>
        <v>0</v>
      </c>
      <c r="R18" s="14" cm="1">
        <f t="array" ref="R18">INT(SUMPRODUCT(--ISNUMBER(SEARCH(race,C18)))&gt;0)</f>
        <v>0</v>
      </c>
      <c r="S18" s="14" cm="1">
        <f t="array" ref="S18">INT(SUMPRODUCT(--ISNUMBER(SEARCH(immigration,C18)))&gt;0)</f>
        <v>0</v>
      </c>
      <c r="T18" s="14" cm="1">
        <f t="array" ref="T18">INT(SUMPRODUCT(--ISNUMBER(SEARCH(econineq,C19)))&gt;0)</f>
        <v>0</v>
      </c>
      <c r="U18" s="14" cm="1">
        <f t="array" ref="U18">INT(SUMPRODUCT(--ISNUMBER(SEARCH(climate,C18)))&gt;0)</f>
        <v>0</v>
      </c>
      <c r="V18" s="14" cm="1">
        <f t="array" ref="V18">INT(SUMPRODUCT(--ISNUMBER(SEARCH(abortion,C18)))&gt;0)</f>
        <v>0</v>
      </c>
      <c r="W18" s="14" cm="1">
        <f t="array" ref="W18">INT(SUMPRODUCT(--ISNUMBER(SEARCH(trump,C18)))&gt;0)</f>
        <v>0</v>
      </c>
      <c r="X18" s="14" cm="1">
        <f t="array" ref="X18">INT(SUMPRODUCT(--ISNUMBER(SEARCH(voting,C18)))&gt;0)</f>
        <v>1</v>
      </c>
      <c r="Y18" s="35" cm="1">
        <f t="array" ref="Y18">INT(SUMPRODUCT(--ISNUMBER(SEARCH(republicantrigger,C18)))&gt;0)</f>
        <v>1</v>
      </c>
      <c r="Z18" s="35" cm="1">
        <f t="array" ref="Z18">INT(SUMPRODUCT(--ISNUMBER(SEARCH(bipartisan,C18)))&gt;0)</f>
        <v>0</v>
      </c>
      <c r="AA18" s="35">
        <f t="shared" si="0"/>
        <v>0</v>
      </c>
      <c r="AB18" s="14"/>
      <c r="AC18" s="30">
        <v>1</v>
      </c>
      <c r="AD18" s="37">
        <v>0</v>
      </c>
    </row>
    <row r="19" spans="1:30" x14ac:dyDescent="0.25">
      <c r="A19" s="36">
        <v>2986</v>
      </c>
      <c r="B19" s="14" t="s">
        <v>5997</v>
      </c>
      <c r="C19" s="14" t="s">
        <v>5998</v>
      </c>
      <c r="D19" s="17">
        <v>44138</v>
      </c>
      <c r="E19" s="14" t="s">
        <v>30</v>
      </c>
      <c r="F19" s="14">
        <v>23</v>
      </c>
      <c r="G19" s="14">
        <v>14</v>
      </c>
      <c r="H19" s="14">
        <v>14</v>
      </c>
      <c r="I19" s="14">
        <v>7</v>
      </c>
      <c r="J19" s="14" t="s">
        <v>31</v>
      </c>
      <c r="K19" s="14" cm="1">
        <f t="array" ref="K19">INT(SUMPRODUCT(--ISNUMBER(SEARCH(economy,C19)))&gt;0)</f>
        <v>0</v>
      </c>
      <c r="L19" s="14" cm="1">
        <f t="array" ref="L19">INT(SUMPRODUCT(--ISNUMBER(SEARCH(healthcare,C19)))&gt;0)</f>
        <v>0</v>
      </c>
      <c r="M19" s="14" cm="1">
        <f t="array" ref="M19">INT(SUMPRODUCT(--ISNUMBER(SEARCH(supreme,C19)))&gt;0)</f>
        <v>0</v>
      </c>
      <c r="N19" s="14" cm="1">
        <f t="array" ref="N19">INT(SUMPRODUCT(--ISNUMBER(SEARCH(covid,C19)))&gt;0)</f>
        <v>0</v>
      </c>
      <c r="O19" s="14" cm="1">
        <f t="array" ref="O19">INT(SUMPRODUCT(--ISNUMBER(SEARCH(violent,C19)))&gt;0)</f>
        <v>0</v>
      </c>
      <c r="P19" s="14" cm="1">
        <f t="array" ref="P19">INT(SUMPRODUCT(--ISNUMBER(SEARCH(foreign,C19)))&gt;0)</f>
        <v>0</v>
      </c>
      <c r="Q19" s="14" cm="1">
        <f t="array" ref="Q19">INT(SUMPRODUCT(--ISNUMBER(SEARCH(gun,C19)))&gt;0)</f>
        <v>0</v>
      </c>
      <c r="R19" s="14" cm="1">
        <f t="array" ref="R19">INT(SUMPRODUCT(--ISNUMBER(SEARCH(race,C19)))&gt;0)</f>
        <v>0</v>
      </c>
      <c r="S19" s="14" cm="1">
        <f t="array" ref="S19">INT(SUMPRODUCT(--ISNUMBER(SEARCH(immigration,C19)))&gt;0)</f>
        <v>0</v>
      </c>
      <c r="T19" s="14" cm="1">
        <f t="array" ref="T19">INT(SUMPRODUCT(--ISNUMBER(SEARCH(econineq,C20)))&gt;0)</f>
        <v>0</v>
      </c>
      <c r="U19" s="14" cm="1">
        <f t="array" ref="U19">INT(SUMPRODUCT(--ISNUMBER(SEARCH(climate,C19)))&gt;0)</f>
        <v>0</v>
      </c>
      <c r="V19" s="14" cm="1">
        <f t="array" ref="V19">INT(SUMPRODUCT(--ISNUMBER(SEARCH(abortion,C19)))&gt;0)</f>
        <v>0</v>
      </c>
      <c r="W19" s="14" cm="1">
        <f t="array" ref="W19">INT(SUMPRODUCT(--ISNUMBER(SEARCH(trump,C19)))&gt;0)</f>
        <v>0</v>
      </c>
      <c r="X19" s="14" cm="1">
        <f t="array" ref="X19">INT(SUMPRODUCT(--ISNUMBER(SEARCH(voting,C19)))&gt;0)</f>
        <v>1</v>
      </c>
      <c r="Y19" s="35" cm="1">
        <f t="array" ref="Y19">INT(SUMPRODUCT(--ISNUMBER(SEARCH(republicantrigger,C19)))&gt;0)</f>
        <v>0</v>
      </c>
      <c r="Z19" s="35" cm="1">
        <f t="array" ref="Z19">INT(SUMPRODUCT(--ISNUMBER(SEARCH(bipartisan,C19)))&gt;0)</f>
        <v>0</v>
      </c>
      <c r="AA19" s="35">
        <f t="shared" si="0"/>
        <v>0</v>
      </c>
      <c r="AB19" s="14"/>
      <c r="AC19" s="30">
        <v>1</v>
      </c>
      <c r="AD19" s="37">
        <v>0</v>
      </c>
    </row>
    <row r="20" spans="1:30" x14ac:dyDescent="0.25">
      <c r="A20" s="36">
        <v>2987</v>
      </c>
      <c r="B20" s="14" t="s">
        <v>5999</v>
      </c>
      <c r="C20" s="14" t="s">
        <v>6000</v>
      </c>
      <c r="D20" s="17">
        <v>44137</v>
      </c>
      <c r="E20" s="14" t="s">
        <v>30</v>
      </c>
      <c r="F20" s="14">
        <v>23</v>
      </c>
      <c r="G20" s="14">
        <v>13</v>
      </c>
      <c r="H20" s="14">
        <v>14</v>
      </c>
      <c r="I20" s="14">
        <v>7</v>
      </c>
      <c r="J20" s="14" t="s">
        <v>31</v>
      </c>
      <c r="K20" s="14" cm="1">
        <f t="array" ref="K20">INT(SUMPRODUCT(--ISNUMBER(SEARCH(economy,C20)))&gt;0)</f>
        <v>0</v>
      </c>
      <c r="L20" s="14" cm="1">
        <f t="array" ref="L20">INT(SUMPRODUCT(--ISNUMBER(SEARCH(healthcare,C20)))&gt;0)</f>
        <v>0</v>
      </c>
      <c r="M20" s="14" cm="1">
        <f t="array" ref="M20">INT(SUMPRODUCT(--ISNUMBER(SEARCH(supreme,C20)))&gt;0)</f>
        <v>0</v>
      </c>
      <c r="N20" s="14" cm="1">
        <f t="array" ref="N20">INT(SUMPRODUCT(--ISNUMBER(SEARCH(covid,C20)))&gt;0)</f>
        <v>0</v>
      </c>
      <c r="O20" s="14" cm="1">
        <f t="array" ref="O20">INT(SUMPRODUCT(--ISNUMBER(SEARCH(violent,C20)))&gt;0)</f>
        <v>0</v>
      </c>
      <c r="P20" s="14" cm="1">
        <f t="array" ref="P20">INT(SUMPRODUCT(--ISNUMBER(SEARCH(foreign,C20)))&gt;0)</f>
        <v>0</v>
      </c>
      <c r="Q20" s="14" cm="1">
        <f t="array" ref="Q20">INT(SUMPRODUCT(--ISNUMBER(SEARCH(gun,C20)))&gt;0)</f>
        <v>0</v>
      </c>
      <c r="R20" s="14" cm="1">
        <f t="array" ref="R20">INT(SUMPRODUCT(--ISNUMBER(SEARCH(race,C20)))&gt;0)</f>
        <v>0</v>
      </c>
      <c r="S20" s="14" cm="1">
        <f t="array" ref="S20">INT(SUMPRODUCT(--ISNUMBER(SEARCH(immigration,C20)))&gt;0)</f>
        <v>0</v>
      </c>
      <c r="T20" s="14" cm="1">
        <f t="array" ref="T20">INT(SUMPRODUCT(--ISNUMBER(SEARCH(econineq,C21)))&gt;0)</f>
        <v>0</v>
      </c>
      <c r="U20" s="14" cm="1">
        <f t="array" ref="U20">INT(SUMPRODUCT(--ISNUMBER(SEARCH(climate,C20)))&gt;0)</f>
        <v>0</v>
      </c>
      <c r="V20" s="14" cm="1">
        <f t="array" ref="V20">INT(SUMPRODUCT(--ISNUMBER(SEARCH(abortion,C20)))&gt;0)</f>
        <v>0</v>
      </c>
      <c r="W20" s="14" cm="1">
        <f t="array" ref="W20">INT(SUMPRODUCT(--ISNUMBER(SEARCH(trump,C20)))&gt;0)</f>
        <v>0</v>
      </c>
      <c r="X20" s="14" cm="1">
        <f t="array" ref="X20">INT(SUMPRODUCT(--ISNUMBER(SEARCH(voting,C20)))&gt;0)</f>
        <v>1</v>
      </c>
      <c r="Y20" s="35" cm="1">
        <f t="array" ref="Y20">INT(SUMPRODUCT(--ISNUMBER(SEARCH(republicantrigger,C20)))&gt;0)</f>
        <v>0</v>
      </c>
      <c r="Z20" s="35" cm="1">
        <f t="array" ref="Z20">INT(SUMPRODUCT(--ISNUMBER(SEARCH(bipartisan,C20)))&gt;0)</f>
        <v>0</v>
      </c>
      <c r="AA20" s="35">
        <f t="shared" si="0"/>
        <v>0</v>
      </c>
      <c r="AB20" s="14"/>
      <c r="AC20" s="30">
        <v>1</v>
      </c>
      <c r="AD20" s="37">
        <v>0</v>
      </c>
    </row>
    <row r="21" spans="1:30" x14ac:dyDescent="0.25">
      <c r="A21" s="36">
        <v>2988</v>
      </c>
      <c r="B21" s="14" t="s">
        <v>6001</v>
      </c>
      <c r="C21" s="14" t="s">
        <v>6002</v>
      </c>
      <c r="D21" s="17">
        <v>44137</v>
      </c>
      <c r="E21" s="14" t="s">
        <v>30</v>
      </c>
      <c r="F21" s="14">
        <v>40</v>
      </c>
      <c r="G21" s="14">
        <v>15</v>
      </c>
      <c r="H21" s="14">
        <v>14</v>
      </c>
      <c r="I21" s="14">
        <v>7</v>
      </c>
      <c r="J21" s="14" t="s">
        <v>31</v>
      </c>
      <c r="K21" s="14" cm="1">
        <f t="array" ref="K21">INT(SUMPRODUCT(--ISNUMBER(SEARCH(economy,C21)))&gt;0)</f>
        <v>0</v>
      </c>
      <c r="L21" s="14" cm="1">
        <f t="array" ref="L21">INT(SUMPRODUCT(--ISNUMBER(SEARCH(healthcare,C21)))&gt;0)</f>
        <v>0</v>
      </c>
      <c r="M21" s="14" cm="1">
        <f t="array" ref="M21">INT(SUMPRODUCT(--ISNUMBER(SEARCH(supreme,C21)))&gt;0)</f>
        <v>0</v>
      </c>
      <c r="N21" s="14" cm="1">
        <f t="array" ref="N21">INT(SUMPRODUCT(--ISNUMBER(SEARCH(covid,C21)))&gt;0)</f>
        <v>0</v>
      </c>
      <c r="O21" s="14" cm="1">
        <f t="array" ref="O21">INT(SUMPRODUCT(--ISNUMBER(SEARCH(violent,C21)))&gt;0)</f>
        <v>0</v>
      </c>
      <c r="P21" s="14" cm="1">
        <f t="array" ref="P21">INT(SUMPRODUCT(--ISNUMBER(SEARCH(foreign,C21)))&gt;0)</f>
        <v>0</v>
      </c>
      <c r="Q21" s="14" cm="1">
        <f t="array" ref="Q21">INT(SUMPRODUCT(--ISNUMBER(SEARCH(gun,C21)))&gt;0)</f>
        <v>0</v>
      </c>
      <c r="R21" s="14" cm="1">
        <f t="array" ref="R21">INT(SUMPRODUCT(--ISNUMBER(SEARCH(race,C21)))&gt;0)</f>
        <v>0</v>
      </c>
      <c r="S21" s="14" cm="1">
        <f t="array" ref="S21">INT(SUMPRODUCT(--ISNUMBER(SEARCH(immigration,C21)))&gt;0)</f>
        <v>0</v>
      </c>
      <c r="T21" s="14" cm="1">
        <f t="array" ref="T21">INT(SUMPRODUCT(--ISNUMBER(SEARCH(econineq,C22)))&gt;0)</f>
        <v>0</v>
      </c>
      <c r="U21" s="14" cm="1">
        <f t="array" ref="U21">INT(SUMPRODUCT(--ISNUMBER(SEARCH(climate,C21)))&gt;0)</f>
        <v>0</v>
      </c>
      <c r="V21" s="14" cm="1">
        <f t="array" ref="V21">INT(SUMPRODUCT(--ISNUMBER(SEARCH(abortion,C21)))&gt;0)</f>
        <v>0</v>
      </c>
      <c r="W21" s="14" cm="1">
        <f t="array" ref="W21">INT(SUMPRODUCT(--ISNUMBER(SEARCH(trump,C21)))&gt;0)</f>
        <v>0</v>
      </c>
      <c r="X21" s="14" cm="1">
        <f t="array" ref="X21">INT(SUMPRODUCT(--ISNUMBER(SEARCH(voting,C21)))&gt;0)</f>
        <v>1</v>
      </c>
      <c r="Y21" s="35" cm="1">
        <f t="array" ref="Y21">INT(SUMPRODUCT(--ISNUMBER(SEARCH(republicantrigger,C21)))&gt;0)</f>
        <v>1</v>
      </c>
      <c r="Z21" s="35" cm="1">
        <f t="array" ref="Z21">INT(SUMPRODUCT(--ISNUMBER(SEARCH(bipartisan,C21)))&gt;0)</f>
        <v>0</v>
      </c>
      <c r="AA21" s="35">
        <f t="shared" si="0"/>
        <v>0</v>
      </c>
      <c r="AB21" s="14"/>
      <c r="AC21" s="30">
        <v>0</v>
      </c>
      <c r="AD21" s="37">
        <v>1</v>
      </c>
    </row>
    <row r="22" spans="1:30" x14ac:dyDescent="0.25">
      <c r="A22" s="36">
        <v>2989</v>
      </c>
      <c r="B22" s="14" t="s">
        <v>6003</v>
      </c>
      <c r="C22" s="14" t="s">
        <v>6004</v>
      </c>
      <c r="D22" s="17">
        <v>44137</v>
      </c>
      <c r="E22" s="14" t="s">
        <v>30</v>
      </c>
      <c r="F22" s="14">
        <v>10</v>
      </c>
      <c r="G22" s="14">
        <v>6</v>
      </c>
      <c r="H22" s="14">
        <v>14</v>
      </c>
      <c r="I22" s="14">
        <v>7</v>
      </c>
      <c r="J22" s="14" t="s">
        <v>31</v>
      </c>
      <c r="K22" s="14" cm="1">
        <f t="array" ref="K22">INT(SUMPRODUCT(--ISNUMBER(SEARCH(economy,C22)))&gt;0)</f>
        <v>0</v>
      </c>
      <c r="L22" s="14" cm="1">
        <f t="array" ref="L22">INT(SUMPRODUCT(--ISNUMBER(SEARCH(healthcare,C22)))&gt;0)</f>
        <v>0</v>
      </c>
      <c r="M22" s="14" cm="1">
        <f t="array" ref="M22">INT(SUMPRODUCT(--ISNUMBER(SEARCH(supreme,C22)))&gt;0)</f>
        <v>0</v>
      </c>
      <c r="N22" s="14" cm="1">
        <f t="array" ref="N22">INT(SUMPRODUCT(--ISNUMBER(SEARCH(covid,C22)))&gt;0)</f>
        <v>0</v>
      </c>
      <c r="O22" s="14" cm="1">
        <f t="array" ref="O22">INT(SUMPRODUCT(--ISNUMBER(SEARCH(violent,C22)))&gt;0)</f>
        <v>0</v>
      </c>
      <c r="P22" s="14" cm="1">
        <f t="array" ref="P22">INT(SUMPRODUCT(--ISNUMBER(SEARCH(foreign,C22)))&gt;0)</f>
        <v>0</v>
      </c>
      <c r="Q22" s="14" cm="1">
        <f t="array" ref="Q22">INT(SUMPRODUCT(--ISNUMBER(SEARCH(gun,C22)))&gt;0)</f>
        <v>0</v>
      </c>
      <c r="R22" s="14" cm="1">
        <f t="array" ref="R22">INT(SUMPRODUCT(--ISNUMBER(SEARCH(race,C22)))&gt;0)</f>
        <v>0</v>
      </c>
      <c r="S22" s="14" cm="1">
        <f t="array" ref="S22">INT(SUMPRODUCT(--ISNUMBER(SEARCH(immigration,C22)))&gt;0)</f>
        <v>0</v>
      </c>
      <c r="T22" s="14" cm="1">
        <f t="array" ref="T22">INT(SUMPRODUCT(--ISNUMBER(SEARCH(econineq,C23)))&gt;0)</f>
        <v>0</v>
      </c>
      <c r="U22" s="14" cm="1">
        <f t="array" ref="U22">INT(SUMPRODUCT(--ISNUMBER(SEARCH(climate,C22)))&gt;0)</f>
        <v>0</v>
      </c>
      <c r="V22" s="14" cm="1">
        <f t="array" ref="V22">INT(SUMPRODUCT(--ISNUMBER(SEARCH(abortion,C22)))&gt;0)</f>
        <v>0</v>
      </c>
      <c r="W22" s="14" cm="1">
        <f t="array" ref="W22">INT(SUMPRODUCT(--ISNUMBER(SEARCH(trump,C22)))&gt;0)</f>
        <v>0</v>
      </c>
      <c r="X22" s="14" cm="1">
        <f t="array" ref="X22">INT(SUMPRODUCT(--ISNUMBER(SEARCH(voting,C22)))&gt;0)</f>
        <v>1</v>
      </c>
      <c r="Y22" s="35" cm="1">
        <f t="array" ref="Y22">INT(SUMPRODUCT(--ISNUMBER(SEARCH(republicantrigger,C22)))&gt;0)</f>
        <v>1</v>
      </c>
      <c r="Z22" s="35" cm="1">
        <f t="array" ref="Z22">INT(SUMPRODUCT(--ISNUMBER(SEARCH(bipartisan,C22)))&gt;0)</f>
        <v>0</v>
      </c>
      <c r="AA22" s="35">
        <f t="shared" si="0"/>
        <v>0</v>
      </c>
      <c r="AB22" s="14"/>
      <c r="AC22" s="30">
        <v>1</v>
      </c>
      <c r="AD22" s="37">
        <v>0</v>
      </c>
    </row>
    <row r="23" spans="1:30" x14ac:dyDescent="0.25">
      <c r="A23" s="36">
        <v>2990</v>
      </c>
      <c r="B23" s="14" t="s">
        <v>6005</v>
      </c>
      <c r="C23" s="14" t="s">
        <v>6006</v>
      </c>
      <c r="D23" s="17">
        <v>44137</v>
      </c>
      <c r="E23" s="14" t="s">
        <v>30</v>
      </c>
      <c r="F23" s="14">
        <v>29</v>
      </c>
      <c r="G23" s="14">
        <v>17</v>
      </c>
      <c r="H23" s="14">
        <v>14</v>
      </c>
      <c r="I23" s="14">
        <v>7</v>
      </c>
      <c r="J23" s="14" t="s">
        <v>31</v>
      </c>
      <c r="K23" s="14" cm="1">
        <f t="array" ref="K23">INT(SUMPRODUCT(--ISNUMBER(SEARCH(economy,C23)))&gt;0)</f>
        <v>0</v>
      </c>
      <c r="L23" s="14" cm="1">
        <f t="array" ref="L23">INT(SUMPRODUCT(--ISNUMBER(SEARCH(healthcare,C23)))&gt;0)</f>
        <v>0</v>
      </c>
      <c r="M23" s="14" cm="1">
        <f t="array" ref="M23">INT(SUMPRODUCT(--ISNUMBER(SEARCH(supreme,C23)))&gt;0)</f>
        <v>0</v>
      </c>
      <c r="N23" s="14" cm="1">
        <f t="array" ref="N23">INT(SUMPRODUCT(--ISNUMBER(SEARCH(covid,C23)))&gt;0)</f>
        <v>0</v>
      </c>
      <c r="O23" s="14" cm="1">
        <f t="array" ref="O23">INT(SUMPRODUCT(--ISNUMBER(SEARCH(violent,C23)))&gt;0)</f>
        <v>0</v>
      </c>
      <c r="P23" s="14" cm="1">
        <f t="array" ref="P23">INT(SUMPRODUCT(--ISNUMBER(SEARCH(foreign,C23)))&gt;0)</f>
        <v>0</v>
      </c>
      <c r="Q23" s="14" cm="1">
        <f t="array" ref="Q23">INT(SUMPRODUCT(--ISNUMBER(SEARCH(gun,C23)))&gt;0)</f>
        <v>0</v>
      </c>
      <c r="R23" s="14" cm="1">
        <f t="array" ref="R23">INT(SUMPRODUCT(--ISNUMBER(SEARCH(race,C23)))&gt;0)</f>
        <v>0</v>
      </c>
      <c r="S23" s="14" cm="1">
        <f t="array" ref="S23">INT(SUMPRODUCT(--ISNUMBER(SEARCH(immigration,C23)))&gt;0)</f>
        <v>0</v>
      </c>
      <c r="T23" s="14" cm="1">
        <f t="array" ref="T23">INT(SUMPRODUCT(--ISNUMBER(SEARCH(econineq,C24)))&gt;0)</f>
        <v>0</v>
      </c>
      <c r="U23" s="14" cm="1">
        <f t="array" ref="U23">INT(SUMPRODUCT(--ISNUMBER(SEARCH(climate,C23)))&gt;0)</f>
        <v>0</v>
      </c>
      <c r="V23" s="14" cm="1">
        <f t="array" ref="V23">INT(SUMPRODUCT(--ISNUMBER(SEARCH(abortion,C23)))&gt;0)</f>
        <v>0</v>
      </c>
      <c r="W23" s="14" cm="1">
        <f t="array" ref="W23">INT(SUMPRODUCT(--ISNUMBER(SEARCH(trump,C23)))&gt;0)</f>
        <v>0</v>
      </c>
      <c r="X23" s="14" cm="1">
        <f t="array" ref="X23">INT(SUMPRODUCT(--ISNUMBER(SEARCH(voting,C23)))&gt;0)</f>
        <v>0</v>
      </c>
      <c r="Y23" s="35" cm="1">
        <f t="array" ref="Y23">INT(SUMPRODUCT(--ISNUMBER(SEARCH(republicantrigger,C23)))&gt;0)</f>
        <v>0</v>
      </c>
      <c r="Z23" s="35" cm="1">
        <f t="array" ref="Z23">INT(SUMPRODUCT(--ISNUMBER(SEARCH(bipartisan,C23)))&gt;0)</f>
        <v>0</v>
      </c>
      <c r="AA23" s="35">
        <f t="shared" si="0"/>
        <v>1</v>
      </c>
      <c r="AB23" s="14"/>
      <c r="AC23" s="30">
        <v>0</v>
      </c>
      <c r="AD23" s="37">
        <v>1</v>
      </c>
    </row>
    <row r="24" spans="1:30" x14ac:dyDescent="0.25">
      <c r="A24" s="36">
        <v>2991</v>
      </c>
      <c r="B24" s="14" t="s">
        <v>6007</v>
      </c>
      <c r="C24" s="14" t="s">
        <v>6008</v>
      </c>
      <c r="D24" s="17">
        <v>44137</v>
      </c>
      <c r="E24" s="14" t="s">
        <v>30</v>
      </c>
      <c r="F24" s="14">
        <v>19</v>
      </c>
      <c r="G24" s="14">
        <v>14</v>
      </c>
      <c r="H24" s="14">
        <v>14</v>
      </c>
      <c r="I24" s="14">
        <v>7</v>
      </c>
      <c r="J24" s="14" t="s">
        <v>31</v>
      </c>
      <c r="K24" s="14" cm="1">
        <f t="array" ref="K24">INT(SUMPRODUCT(--ISNUMBER(SEARCH(economy,C24)))&gt;0)</f>
        <v>0</v>
      </c>
      <c r="L24" s="14" cm="1">
        <f t="array" ref="L24">INT(SUMPRODUCT(--ISNUMBER(SEARCH(healthcare,C24)))&gt;0)</f>
        <v>0</v>
      </c>
      <c r="M24" s="14" cm="1">
        <f t="array" ref="M24">INT(SUMPRODUCT(--ISNUMBER(SEARCH(supreme,C24)))&gt;0)</f>
        <v>0</v>
      </c>
      <c r="N24" s="14" cm="1">
        <f t="array" ref="N24">INT(SUMPRODUCT(--ISNUMBER(SEARCH(covid,C24)))&gt;0)</f>
        <v>0</v>
      </c>
      <c r="O24" s="14" cm="1">
        <f t="array" ref="O24">INT(SUMPRODUCT(--ISNUMBER(SEARCH(violent,C24)))&gt;0)</f>
        <v>0</v>
      </c>
      <c r="P24" s="14" cm="1">
        <f t="array" ref="P24">INT(SUMPRODUCT(--ISNUMBER(SEARCH(foreign,C24)))&gt;0)</f>
        <v>0</v>
      </c>
      <c r="Q24" s="14" cm="1">
        <f t="array" ref="Q24">INT(SUMPRODUCT(--ISNUMBER(SEARCH(gun,C24)))&gt;0)</f>
        <v>0</v>
      </c>
      <c r="R24" s="14" cm="1">
        <f t="array" ref="R24">INT(SUMPRODUCT(--ISNUMBER(SEARCH(race,C24)))&gt;0)</f>
        <v>0</v>
      </c>
      <c r="S24" s="14" cm="1">
        <f t="array" ref="S24">INT(SUMPRODUCT(--ISNUMBER(SEARCH(immigration,C24)))&gt;0)</f>
        <v>0</v>
      </c>
      <c r="T24" s="14" cm="1">
        <f t="array" ref="T24">INT(SUMPRODUCT(--ISNUMBER(SEARCH(econineq,C25)))&gt;0)</f>
        <v>0</v>
      </c>
      <c r="U24" s="14" cm="1">
        <f t="array" ref="U24">INT(SUMPRODUCT(--ISNUMBER(SEARCH(climate,C24)))&gt;0)</f>
        <v>0</v>
      </c>
      <c r="V24" s="14" cm="1">
        <f t="array" ref="V24">INT(SUMPRODUCT(--ISNUMBER(SEARCH(abortion,C24)))&gt;0)</f>
        <v>0</v>
      </c>
      <c r="W24" s="14" cm="1">
        <f t="array" ref="W24">INT(SUMPRODUCT(--ISNUMBER(SEARCH(trump,C24)))&gt;0)</f>
        <v>0</v>
      </c>
      <c r="X24" s="14" cm="1">
        <f t="array" ref="X24">INT(SUMPRODUCT(--ISNUMBER(SEARCH(voting,C24)))&gt;0)</f>
        <v>1</v>
      </c>
      <c r="Y24" s="35" cm="1">
        <f t="array" ref="Y24">INT(SUMPRODUCT(--ISNUMBER(SEARCH(republicantrigger,C24)))&gt;0)</f>
        <v>0</v>
      </c>
      <c r="Z24" s="35" cm="1">
        <f t="array" ref="Z24">INT(SUMPRODUCT(--ISNUMBER(SEARCH(bipartisan,C24)))&gt;0)</f>
        <v>0</v>
      </c>
      <c r="AA24" s="35">
        <f t="shared" si="0"/>
        <v>0</v>
      </c>
      <c r="AB24" s="14"/>
      <c r="AC24" s="30">
        <v>1</v>
      </c>
      <c r="AD24" s="37">
        <v>0</v>
      </c>
    </row>
    <row r="25" spans="1:30" x14ac:dyDescent="0.25">
      <c r="A25" s="36">
        <v>2992</v>
      </c>
      <c r="B25" s="14" t="s">
        <v>6009</v>
      </c>
      <c r="C25" s="14" t="s">
        <v>6010</v>
      </c>
      <c r="D25" s="17">
        <v>44137</v>
      </c>
      <c r="E25" s="14" t="s">
        <v>30</v>
      </c>
      <c r="F25" s="14">
        <v>19</v>
      </c>
      <c r="G25" s="14">
        <v>5</v>
      </c>
      <c r="H25" s="14">
        <v>14</v>
      </c>
      <c r="I25" s="14">
        <v>7</v>
      </c>
      <c r="J25" s="14" t="s">
        <v>31</v>
      </c>
      <c r="K25" s="14" cm="1">
        <f t="array" ref="K25">INT(SUMPRODUCT(--ISNUMBER(SEARCH(economy,C25)))&gt;0)</f>
        <v>0</v>
      </c>
      <c r="L25" s="14" cm="1">
        <f t="array" ref="L25">INT(SUMPRODUCT(--ISNUMBER(SEARCH(healthcare,C25)))&gt;0)</f>
        <v>0</v>
      </c>
      <c r="M25" s="14" cm="1">
        <f t="array" ref="M25">INT(SUMPRODUCT(--ISNUMBER(SEARCH(supreme,C25)))&gt;0)</f>
        <v>0</v>
      </c>
      <c r="N25" s="14" cm="1">
        <f t="array" ref="N25">INT(SUMPRODUCT(--ISNUMBER(SEARCH(covid,C25)))&gt;0)</f>
        <v>0</v>
      </c>
      <c r="O25" s="14" cm="1">
        <f t="array" ref="O25">INT(SUMPRODUCT(--ISNUMBER(SEARCH(violent,C25)))&gt;0)</f>
        <v>0</v>
      </c>
      <c r="P25" s="14" cm="1">
        <f t="array" ref="P25">INT(SUMPRODUCT(--ISNUMBER(SEARCH(foreign,C25)))&gt;0)</f>
        <v>0</v>
      </c>
      <c r="Q25" s="14" cm="1">
        <f t="array" ref="Q25">INT(SUMPRODUCT(--ISNUMBER(SEARCH(gun,C25)))&gt;0)</f>
        <v>0</v>
      </c>
      <c r="R25" s="14" cm="1">
        <f t="array" ref="R25">INT(SUMPRODUCT(--ISNUMBER(SEARCH(race,C25)))&gt;0)</f>
        <v>0</v>
      </c>
      <c r="S25" s="14" cm="1">
        <f t="array" ref="S25">INT(SUMPRODUCT(--ISNUMBER(SEARCH(immigration,C25)))&gt;0)</f>
        <v>0</v>
      </c>
      <c r="T25" s="14" cm="1">
        <f t="array" ref="T25">INT(SUMPRODUCT(--ISNUMBER(SEARCH(econineq,C26)))&gt;0)</f>
        <v>0</v>
      </c>
      <c r="U25" s="14" cm="1">
        <f t="array" ref="U25">INT(SUMPRODUCT(--ISNUMBER(SEARCH(climate,C25)))&gt;0)</f>
        <v>0</v>
      </c>
      <c r="V25" s="14" cm="1">
        <f t="array" ref="V25">INT(SUMPRODUCT(--ISNUMBER(SEARCH(abortion,C25)))&gt;0)</f>
        <v>0</v>
      </c>
      <c r="W25" s="14" cm="1">
        <f t="array" ref="W25">INT(SUMPRODUCT(--ISNUMBER(SEARCH(trump,C25)))&gt;0)</f>
        <v>0</v>
      </c>
      <c r="X25" s="14" cm="1">
        <f t="array" ref="X25">INT(SUMPRODUCT(--ISNUMBER(SEARCH(voting,C25)))&gt;0)</f>
        <v>1</v>
      </c>
      <c r="Y25" s="35" cm="1">
        <f t="array" ref="Y25">INT(SUMPRODUCT(--ISNUMBER(SEARCH(republicantrigger,C25)))&gt;0)</f>
        <v>1</v>
      </c>
      <c r="Z25" s="35" cm="1">
        <f t="array" ref="Z25">INT(SUMPRODUCT(--ISNUMBER(SEARCH(bipartisan,C25)))&gt;0)</f>
        <v>0</v>
      </c>
      <c r="AA25" s="35">
        <f t="shared" si="0"/>
        <v>0</v>
      </c>
      <c r="AB25" s="14"/>
      <c r="AC25" s="30">
        <v>1</v>
      </c>
      <c r="AD25" s="37">
        <v>0</v>
      </c>
    </row>
    <row r="26" spans="1:30" x14ac:dyDescent="0.25">
      <c r="A26" s="36">
        <v>2993</v>
      </c>
      <c r="B26" s="14" t="s">
        <v>6011</v>
      </c>
      <c r="C26" s="14" t="s">
        <v>6012</v>
      </c>
      <c r="D26" s="17">
        <v>44137</v>
      </c>
      <c r="E26" s="14" t="s">
        <v>30</v>
      </c>
      <c r="F26" s="14">
        <v>32</v>
      </c>
      <c r="G26" s="14">
        <v>12</v>
      </c>
      <c r="H26" s="14">
        <v>14</v>
      </c>
      <c r="I26" s="14">
        <v>7</v>
      </c>
      <c r="J26" s="14" t="s">
        <v>31</v>
      </c>
      <c r="K26" s="14" cm="1">
        <f t="array" ref="K26">INT(SUMPRODUCT(--ISNUMBER(SEARCH(economy,C26)))&gt;0)</f>
        <v>0</v>
      </c>
      <c r="L26" s="14" cm="1">
        <f t="array" ref="L26">INT(SUMPRODUCT(--ISNUMBER(SEARCH(healthcare,C26)))&gt;0)</f>
        <v>0</v>
      </c>
      <c r="M26" s="14" cm="1">
        <f t="array" ref="M26">INT(SUMPRODUCT(--ISNUMBER(SEARCH(supreme,C26)))&gt;0)</f>
        <v>0</v>
      </c>
      <c r="N26" s="14" cm="1">
        <f t="array" ref="N26">INT(SUMPRODUCT(--ISNUMBER(SEARCH(covid,C26)))&gt;0)</f>
        <v>0</v>
      </c>
      <c r="O26" s="14" cm="1">
        <f t="array" ref="O26">INT(SUMPRODUCT(--ISNUMBER(SEARCH(violent,C26)))&gt;0)</f>
        <v>0</v>
      </c>
      <c r="P26" s="14" cm="1">
        <f t="array" ref="P26">INT(SUMPRODUCT(--ISNUMBER(SEARCH(foreign,C26)))&gt;0)</f>
        <v>0</v>
      </c>
      <c r="Q26" s="14" cm="1">
        <f t="array" ref="Q26">INT(SUMPRODUCT(--ISNUMBER(SEARCH(gun,C26)))&gt;0)</f>
        <v>0</v>
      </c>
      <c r="R26" s="14" cm="1">
        <f t="array" ref="R26">INT(SUMPRODUCT(--ISNUMBER(SEARCH(race,C26)))&gt;0)</f>
        <v>0</v>
      </c>
      <c r="S26" s="14" cm="1">
        <f t="array" ref="S26">INT(SUMPRODUCT(--ISNUMBER(SEARCH(immigration,C26)))&gt;0)</f>
        <v>0</v>
      </c>
      <c r="T26" s="14" cm="1">
        <f t="array" ref="T26">INT(SUMPRODUCT(--ISNUMBER(SEARCH(econineq,C27)))&gt;0)</f>
        <v>0</v>
      </c>
      <c r="U26" s="14" cm="1">
        <f t="array" ref="U26">INT(SUMPRODUCT(--ISNUMBER(SEARCH(climate,C26)))&gt;0)</f>
        <v>0</v>
      </c>
      <c r="V26" s="14" cm="1">
        <f t="array" ref="V26">INT(SUMPRODUCT(--ISNUMBER(SEARCH(abortion,C26)))&gt;0)</f>
        <v>0</v>
      </c>
      <c r="W26" s="14" cm="1">
        <f t="array" ref="W26">INT(SUMPRODUCT(--ISNUMBER(SEARCH(trump,C26)))&gt;0)</f>
        <v>1</v>
      </c>
      <c r="X26" s="14" cm="1">
        <f t="array" ref="X26">INT(SUMPRODUCT(--ISNUMBER(SEARCH(voting,C26)))&gt;0)</f>
        <v>0</v>
      </c>
      <c r="Y26" s="35" cm="1">
        <f t="array" ref="Y26">INT(SUMPRODUCT(--ISNUMBER(SEARCH(republicantrigger,C26)))&gt;0)</f>
        <v>0</v>
      </c>
      <c r="Z26" s="35" cm="1">
        <f t="array" ref="Z26">INT(SUMPRODUCT(--ISNUMBER(SEARCH(bipartisan,C26)))&gt;0)</f>
        <v>0</v>
      </c>
      <c r="AA26" s="35">
        <f t="shared" si="0"/>
        <v>0</v>
      </c>
      <c r="AB26" s="14"/>
      <c r="AC26" s="30">
        <v>0</v>
      </c>
      <c r="AD26" s="37">
        <v>1</v>
      </c>
    </row>
    <row r="27" spans="1:30" x14ac:dyDescent="0.25">
      <c r="A27" s="36">
        <v>2994</v>
      </c>
      <c r="B27" s="14" t="s">
        <v>6013</v>
      </c>
      <c r="C27" s="14" t="s">
        <v>6014</v>
      </c>
      <c r="D27" s="17">
        <v>44137</v>
      </c>
      <c r="E27" s="14" t="s">
        <v>30</v>
      </c>
      <c r="F27" s="14">
        <v>21</v>
      </c>
      <c r="G27" s="14">
        <v>10</v>
      </c>
      <c r="H27" s="14">
        <v>14</v>
      </c>
      <c r="I27" s="14">
        <v>7</v>
      </c>
      <c r="J27" s="14" t="s">
        <v>31</v>
      </c>
      <c r="K27" s="14" cm="1">
        <f t="array" ref="K27">INT(SUMPRODUCT(--ISNUMBER(SEARCH(economy,C27)))&gt;0)</f>
        <v>0</v>
      </c>
      <c r="L27" s="14" cm="1">
        <f t="array" ref="L27">INT(SUMPRODUCT(--ISNUMBER(SEARCH(healthcare,C27)))&gt;0)</f>
        <v>0</v>
      </c>
      <c r="M27" s="14" cm="1">
        <f t="array" ref="M27">INT(SUMPRODUCT(--ISNUMBER(SEARCH(supreme,C27)))&gt;0)</f>
        <v>0</v>
      </c>
      <c r="N27" s="14" cm="1">
        <f t="array" ref="N27">INT(SUMPRODUCT(--ISNUMBER(SEARCH(covid,C27)))&gt;0)</f>
        <v>0</v>
      </c>
      <c r="O27" s="14" cm="1">
        <f t="array" ref="O27">INT(SUMPRODUCT(--ISNUMBER(SEARCH(violent,C27)))&gt;0)</f>
        <v>0</v>
      </c>
      <c r="P27" s="14" cm="1">
        <f t="array" ref="P27">INT(SUMPRODUCT(--ISNUMBER(SEARCH(foreign,C27)))&gt;0)</f>
        <v>0</v>
      </c>
      <c r="Q27" s="14" cm="1">
        <f t="array" ref="Q27">INT(SUMPRODUCT(--ISNUMBER(SEARCH(gun,C27)))&gt;0)</f>
        <v>0</v>
      </c>
      <c r="R27" s="14" cm="1">
        <f t="array" ref="R27">INT(SUMPRODUCT(--ISNUMBER(SEARCH(race,C27)))&gt;0)</f>
        <v>0</v>
      </c>
      <c r="S27" s="14" cm="1">
        <f t="array" ref="S27">INT(SUMPRODUCT(--ISNUMBER(SEARCH(immigration,C27)))&gt;0)</f>
        <v>0</v>
      </c>
      <c r="T27" s="14" cm="1">
        <f t="array" ref="T27">INT(SUMPRODUCT(--ISNUMBER(SEARCH(econineq,C28)))&gt;0)</f>
        <v>0</v>
      </c>
      <c r="U27" s="14" cm="1">
        <f t="array" ref="U27">INT(SUMPRODUCT(--ISNUMBER(SEARCH(climate,C27)))&gt;0)</f>
        <v>0</v>
      </c>
      <c r="V27" s="14" cm="1">
        <f t="array" ref="V27">INT(SUMPRODUCT(--ISNUMBER(SEARCH(abortion,C27)))&gt;0)</f>
        <v>0</v>
      </c>
      <c r="W27" s="14" cm="1">
        <f t="array" ref="W27">INT(SUMPRODUCT(--ISNUMBER(SEARCH(trump,C27)))&gt;0)</f>
        <v>0</v>
      </c>
      <c r="X27" s="14" cm="1">
        <f t="array" ref="X27">INT(SUMPRODUCT(--ISNUMBER(SEARCH(voting,C27)))&gt;0)</f>
        <v>0</v>
      </c>
      <c r="Y27" s="35" cm="1">
        <f t="array" ref="Y27">INT(SUMPRODUCT(--ISNUMBER(SEARCH(republicantrigger,C27)))&gt;0)</f>
        <v>0</v>
      </c>
      <c r="Z27" s="35" cm="1">
        <f t="array" ref="Z27">INT(SUMPRODUCT(--ISNUMBER(SEARCH(bipartisan,C27)))&gt;0)</f>
        <v>0</v>
      </c>
      <c r="AA27" s="35">
        <f t="shared" si="0"/>
        <v>1</v>
      </c>
      <c r="AB27" s="14"/>
      <c r="AC27" s="30" t="s">
        <v>223</v>
      </c>
      <c r="AD27" s="37" t="s">
        <v>223</v>
      </c>
    </row>
    <row r="28" spans="1:30" x14ac:dyDescent="0.25">
      <c r="A28" s="36">
        <v>2995</v>
      </c>
      <c r="B28" s="14" t="s">
        <v>6015</v>
      </c>
      <c r="C28" s="14" t="s">
        <v>6016</v>
      </c>
      <c r="D28" s="17">
        <v>44136</v>
      </c>
      <c r="E28" s="14" t="s">
        <v>30</v>
      </c>
      <c r="F28" s="14">
        <v>34</v>
      </c>
      <c r="G28" s="14">
        <v>18</v>
      </c>
      <c r="H28" s="14">
        <v>14</v>
      </c>
      <c r="I28" s="14">
        <v>7</v>
      </c>
      <c r="J28" s="14" t="s">
        <v>31</v>
      </c>
      <c r="K28" s="14" cm="1">
        <f t="array" ref="K28">INT(SUMPRODUCT(--ISNUMBER(SEARCH(economy,C28)))&gt;0)</f>
        <v>1</v>
      </c>
      <c r="L28" s="14" cm="1">
        <f t="array" ref="L28">INT(SUMPRODUCT(--ISNUMBER(SEARCH(healthcare,C28)))&gt;0)</f>
        <v>0</v>
      </c>
      <c r="M28" s="14" cm="1">
        <f t="array" ref="M28">INT(SUMPRODUCT(--ISNUMBER(SEARCH(supreme,C28)))&gt;0)</f>
        <v>0</v>
      </c>
      <c r="N28" s="14" cm="1">
        <f t="array" ref="N28">INT(SUMPRODUCT(--ISNUMBER(SEARCH(covid,C28)))&gt;0)</f>
        <v>1</v>
      </c>
      <c r="O28" s="14" cm="1">
        <f t="array" ref="O28">INT(SUMPRODUCT(--ISNUMBER(SEARCH(violent,C28)))&gt;0)</f>
        <v>0</v>
      </c>
      <c r="P28" s="14" cm="1">
        <f t="array" ref="P28">INT(SUMPRODUCT(--ISNUMBER(SEARCH(foreign,C28)))&gt;0)</f>
        <v>0</v>
      </c>
      <c r="Q28" s="14" cm="1">
        <f t="array" ref="Q28">INT(SUMPRODUCT(--ISNUMBER(SEARCH(gun,C28)))&gt;0)</f>
        <v>0</v>
      </c>
      <c r="R28" s="14" cm="1">
        <f t="array" ref="R28">INT(SUMPRODUCT(--ISNUMBER(SEARCH(race,C28)))&gt;0)</f>
        <v>0</v>
      </c>
      <c r="S28" s="14" cm="1">
        <f t="array" ref="S28">INT(SUMPRODUCT(--ISNUMBER(SEARCH(immigration,C28)))&gt;0)</f>
        <v>0</v>
      </c>
      <c r="T28" s="14" cm="1">
        <f t="array" ref="T28">INT(SUMPRODUCT(--ISNUMBER(SEARCH(econineq,C29)))&gt;0)</f>
        <v>0</v>
      </c>
      <c r="U28" s="14" cm="1">
        <f t="array" ref="U28">INT(SUMPRODUCT(--ISNUMBER(SEARCH(climate,C28)))&gt;0)</f>
        <v>0</v>
      </c>
      <c r="V28" s="14" cm="1">
        <f t="array" ref="V28">INT(SUMPRODUCT(--ISNUMBER(SEARCH(abortion,C28)))&gt;0)</f>
        <v>0</v>
      </c>
      <c r="W28" s="14" cm="1">
        <f t="array" ref="W28">INT(SUMPRODUCT(--ISNUMBER(SEARCH(trump,C28)))&gt;0)</f>
        <v>0</v>
      </c>
      <c r="X28" s="14" cm="1">
        <f t="array" ref="X28">INT(SUMPRODUCT(--ISNUMBER(SEARCH(voting,C28)))&gt;0)</f>
        <v>0</v>
      </c>
      <c r="Y28" s="35" cm="1">
        <f t="array" ref="Y28">INT(SUMPRODUCT(--ISNUMBER(SEARCH(republicantrigger,C28)))&gt;0)</f>
        <v>1</v>
      </c>
      <c r="Z28" s="35" cm="1">
        <f t="array" ref="Z28">INT(SUMPRODUCT(--ISNUMBER(SEARCH(bipartisan,C28)))&gt;0)</f>
        <v>0</v>
      </c>
      <c r="AA28" s="35">
        <f t="shared" si="0"/>
        <v>0</v>
      </c>
      <c r="AB28" s="14"/>
      <c r="AC28" s="30">
        <v>0</v>
      </c>
      <c r="AD28" s="37">
        <v>1</v>
      </c>
    </row>
    <row r="29" spans="1:30" x14ac:dyDescent="0.25">
      <c r="A29" s="36">
        <v>2996</v>
      </c>
      <c r="B29" s="14" t="s">
        <v>6017</v>
      </c>
      <c r="C29" s="14" t="s">
        <v>6018</v>
      </c>
      <c r="D29" s="17">
        <v>44136</v>
      </c>
      <c r="E29" s="14" t="s">
        <v>30</v>
      </c>
      <c r="F29" s="14">
        <v>22</v>
      </c>
      <c r="G29" s="14">
        <v>13</v>
      </c>
      <c r="H29" s="14">
        <v>14</v>
      </c>
      <c r="I29" s="14">
        <v>7</v>
      </c>
      <c r="J29" s="14" t="s">
        <v>31</v>
      </c>
      <c r="K29" s="14" cm="1">
        <f t="array" ref="K29">INT(SUMPRODUCT(--ISNUMBER(SEARCH(economy,C29)))&gt;0)</f>
        <v>0</v>
      </c>
      <c r="L29" s="14" cm="1">
        <f t="array" ref="L29">INT(SUMPRODUCT(--ISNUMBER(SEARCH(healthcare,C29)))&gt;0)</f>
        <v>0</v>
      </c>
      <c r="M29" s="14" cm="1">
        <f t="array" ref="M29">INT(SUMPRODUCT(--ISNUMBER(SEARCH(supreme,C29)))&gt;0)</f>
        <v>0</v>
      </c>
      <c r="N29" s="14" cm="1">
        <f t="array" ref="N29">INT(SUMPRODUCT(--ISNUMBER(SEARCH(covid,C29)))&gt;0)</f>
        <v>0</v>
      </c>
      <c r="O29" s="14" cm="1">
        <f t="array" ref="O29">INT(SUMPRODUCT(--ISNUMBER(SEARCH(violent,C29)))&gt;0)</f>
        <v>0</v>
      </c>
      <c r="P29" s="14" cm="1">
        <f t="array" ref="P29">INT(SUMPRODUCT(--ISNUMBER(SEARCH(foreign,C29)))&gt;0)</f>
        <v>0</v>
      </c>
      <c r="Q29" s="14" cm="1">
        <f t="array" ref="Q29">INT(SUMPRODUCT(--ISNUMBER(SEARCH(gun,C29)))&gt;0)</f>
        <v>0</v>
      </c>
      <c r="R29" s="14" cm="1">
        <f t="array" ref="R29">INT(SUMPRODUCT(--ISNUMBER(SEARCH(race,C29)))&gt;0)</f>
        <v>0</v>
      </c>
      <c r="S29" s="14" cm="1">
        <f t="array" ref="S29">INT(SUMPRODUCT(--ISNUMBER(SEARCH(immigration,C29)))&gt;0)</f>
        <v>0</v>
      </c>
      <c r="T29" s="14" cm="1">
        <f t="array" ref="T29">INT(SUMPRODUCT(--ISNUMBER(SEARCH(econineq,C30)))&gt;0)</f>
        <v>0</v>
      </c>
      <c r="U29" s="14" cm="1">
        <f t="array" ref="U29">INT(SUMPRODUCT(--ISNUMBER(SEARCH(climate,C29)))&gt;0)</f>
        <v>0</v>
      </c>
      <c r="V29" s="14" cm="1">
        <f t="array" ref="V29">INT(SUMPRODUCT(--ISNUMBER(SEARCH(abortion,C29)))&gt;0)</f>
        <v>0</v>
      </c>
      <c r="W29" s="14" cm="1">
        <f t="array" ref="W29">INT(SUMPRODUCT(--ISNUMBER(SEARCH(trump,C29)))&gt;0)</f>
        <v>0</v>
      </c>
      <c r="X29" s="14" cm="1">
        <f t="array" ref="X29">INT(SUMPRODUCT(--ISNUMBER(SEARCH(voting,C29)))&gt;0)</f>
        <v>1</v>
      </c>
      <c r="Y29" s="35" cm="1">
        <f t="array" ref="Y29">INT(SUMPRODUCT(--ISNUMBER(SEARCH(republicantrigger,C29)))&gt;0)</f>
        <v>0</v>
      </c>
      <c r="Z29" s="35" cm="1">
        <f t="array" ref="Z29">INT(SUMPRODUCT(--ISNUMBER(SEARCH(bipartisan,C29)))&gt;0)</f>
        <v>0</v>
      </c>
      <c r="AA29" s="35">
        <f t="shared" si="0"/>
        <v>0</v>
      </c>
      <c r="AB29" s="14"/>
      <c r="AC29" s="30">
        <v>1</v>
      </c>
      <c r="AD29" s="37">
        <v>0</v>
      </c>
    </row>
    <row r="30" spans="1:30" x14ac:dyDescent="0.25">
      <c r="A30" s="36">
        <v>2997</v>
      </c>
      <c r="B30" s="14" t="s">
        <v>6019</v>
      </c>
      <c r="C30" s="14" t="s">
        <v>6020</v>
      </c>
      <c r="D30" s="17">
        <v>44136</v>
      </c>
      <c r="E30" s="14" t="s">
        <v>30</v>
      </c>
      <c r="F30" s="14">
        <v>15</v>
      </c>
      <c r="G30" s="14">
        <v>13</v>
      </c>
      <c r="H30" s="14">
        <v>14</v>
      </c>
      <c r="I30" s="14">
        <v>7</v>
      </c>
      <c r="J30" s="14" t="s">
        <v>31</v>
      </c>
      <c r="K30" s="14" cm="1">
        <f t="array" ref="K30">INT(SUMPRODUCT(--ISNUMBER(SEARCH(economy,C30)))&gt;0)</f>
        <v>0</v>
      </c>
      <c r="L30" s="14" cm="1">
        <f t="array" ref="L30">INT(SUMPRODUCT(--ISNUMBER(SEARCH(healthcare,C30)))&gt;0)</f>
        <v>0</v>
      </c>
      <c r="M30" s="14" cm="1">
        <f t="array" ref="M30">INT(SUMPRODUCT(--ISNUMBER(SEARCH(supreme,C30)))&gt;0)</f>
        <v>0</v>
      </c>
      <c r="N30" s="14" cm="1">
        <f t="array" ref="N30">INT(SUMPRODUCT(--ISNUMBER(SEARCH(covid,C30)))&gt;0)</f>
        <v>0</v>
      </c>
      <c r="O30" s="14" cm="1">
        <f t="array" ref="O30">INT(SUMPRODUCT(--ISNUMBER(SEARCH(violent,C30)))&gt;0)</f>
        <v>0</v>
      </c>
      <c r="P30" s="14" cm="1">
        <f t="array" ref="P30">INT(SUMPRODUCT(--ISNUMBER(SEARCH(foreign,C30)))&gt;0)</f>
        <v>0</v>
      </c>
      <c r="Q30" s="14" cm="1">
        <f t="array" ref="Q30">INT(SUMPRODUCT(--ISNUMBER(SEARCH(gun,C30)))&gt;0)</f>
        <v>0</v>
      </c>
      <c r="R30" s="14" cm="1">
        <f t="array" ref="R30">INT(SUMPRODUCT(--ISNUMBER(SEARCH(race,C30)))&gt;0)</f>
        <v>0</v>
      </c>
      <c r="S30" s="14" cm="1">
        <f t="array" ref="S30">INT(SUMPRODUCT(--ISNUMBER(SEARCH(immigration,C30)))&gt;0)</f>
        <v>0</v>
      </c>
      <c r="T30" s="14" cm="1">
        <f t="array" ref="T30">INT(SUMPRODUCT(--ISNUMBER(SEARCH(econineq,C31)))&gt;0)</f>
        <v>0</v>
      </c>
      <c r="U30" s="14" cm="1">
        <f t="array" ref="U30">INT(SUMPRODUCT(--ISNUMBER(SEARCH(climate,C30)))&gt;0)</f>
        <v>0</v>
      </c>
      <c r="V30" s="14" cm="1">
        <f t="array" ref="V30">INT(SUMPRODUCT(--ISNUMBER(SEARCH(abortion,C30)))&gt;0)</f>
        <v>0</v>
      </c>
      <c r="W30" s="14" cm="1">
        <f t="array" ref="W30">INT(SUMPRODUCT(--ISNUMBER(SEARCH(trump,C30)))&gt;0)</f>
        <v>0</v>
      </c>
      <c r="X30" s="14" cm="1">
        <f t="array" ref="X30">INT(SUMPRODUCT(--ISNUMBER(SEARCH(voting,C30)))&gt;0)</f>
        <v>1</v>
      </c>
      <c r="Y30" s="35" cm="1">
        <f t="array" ref="Y30">INT(SUMPRODUCT(--ISNUMBER(SEARCH(republicantrigger,C30)))&gt;0)</f>
        <v>1</v>
      </c>
      <c r="Z30" s="35" cm="1">
        <f t="array" ref="Z30">INT(SUMPRODUCT(--ISNUMBER(SEARCH(bipartisan,C30)))&gt;0)</f>
        <v>0</v>
      </c>
      <c r="AA30" s="35">
        <f t="shared" si="0"/>
        <v>0</v>
      </c>
      <c r="AB30" s="14"/>
      <c r="AC30" s="30">
        <v>1</v>
      </c>
      <c r="AD30" s="37">
        <v>0</v>
      </c>
    </row>
    <row r="31" spans="1:30" x14ac:dyDescent="0.25">
      <c r="A31" s="36">
        <v>2998</v>
      </c>
      <c r="B31" s="14" t="s">
        <v>6021</v>
      </c>
      <c r="C31" s="14" t="s">
        <v>6022</v>
      </c>
      <c r="D31" s="17">
        <v>44136</v>
      </c>
      <c r="E31" s="14" t="s">
        <v>30</v>
      </c>
      <c r="F31" s="14">
        <v>19</v>
      </c>
      <c r="G31" s="14">
        <v>9</v>
      </c>
      <c r="H31" s="14">
        <v>14</v>
      </c>
      <c r="I31" s="14">
        <v>7</v>
      </c>
      <c r="J31" s="14" t="s">
        <v>31</v>
      </c>
      <c r="K31" s="14" cm="1">
        <f t="array" ref="K31">INT(SUMPRODUCT(--ISNUMBER(SEARCH(economy,C31)))&gt;0)</f>
        <v>0</v>
      </c>
      <c r="L31" s="14" cm="1">
        <f t="array" ref="L31">INT(SUMPRODUCT(--ISNUMBER(SEARCH(healthcare,C31)))&gt;0)</f>
        <v>0</v>
      </c>
      <c r="M31" s="14" cm="1">
        <f t="array" ref="M31">INT(SUMPRODUCT(--ISNUMBER(SEARCH(supreme,C31)))&gt;0)</f>
        <v>0</v>
      </c>
      <c r="N31" s="14" cm="1">
        <f t="array" ref="N31">INT(SUMPRODUCT(--ISNUMBER(SEARCH(covid,C31)))&gt;0)</f>
        <v>0</v>
      </c>
      <c r="O31" s="14" cm="1">
        <f t="array" ref="O31">INT(SUMPRODUCT(--ISNUMBER(SEARCH(violent,C31)))&gt;0)</f>
        <v>0</v>
      </c>
      <c r="P31" s="14" cm="1">
        <f t="array" ref="P31">INT(SUMPRODUCT(--ISNUMBER(SEARCH(foreign,C31)))&gt;0)</f>
        <v>0</v>
      </c>
      <c r="Q31" s="14" cm="1">
        <f t="array" ref="Q31">INT(SUMPRODUCT(--ISNUMBER(SEARCH(gun,C31)))&gt;0)</f>
        <v>0</v>
      </c>
      <c r="R31" s="14" cm="1">
        <f t="array" ref="R31">INT(SUMPRODUCT(--ISNUMBER(SEARCH(race,C31)))&gt;0)</f>
        <v>0</v>
      </c>
      <c r="S31" s="14" cm="1">
        <f t="array" ref="S31">INT(SUMPRODUCT(--ISNUMBER(SEARCH(immigration,C31)))&gt;0)</f>
        <v>0</v>
      </c>
      <c r="T31" s="14" cm="1">
        <f t="array" ref="T31">INT(SUMPRODUCT(--ISNUMBER(SEARCH(econineq,C32)))&gt;0)</f>
        <v>0</v>
      </c>
      <c r="U31" s="14" cm="1">
        <f t="array" ref="U31">INT(SUMPRODUCT(--ISNUMBER(SEARCH(climate,C31)))&gt;0)</f>
        <v>0</v>
      </c>
      <c r="V31" s="14" cm="1">
        <f t="array" ref="V31">INT(SUMPRODUCT(--ISNUMBER(SEARCH(abortion,C31)))&gt;0)</f>
        <v>0</v>
      </c>
      <c r="W31" s="14" cm="1">
        <f t="array" ref="W31">INT(SUMPRODUCT(--ISNUMBER(SEARCH(trump,C31)))&gt;0)</f>
        <v>0</v>
      </c>
      <c r="X31" s="14" cm="1">
        <f t="array" ref="X31">INT(SUMPRODUCT(--ISNUMBER(SEARCH(voting,C31)))&gt;0)</f>
        <v>0</v>
      </c>
      <c r="Y31" s="35" cm="1">
        <f t="array" ref="Y31">INT(SUMPRODUCT(--ISNUMBER(SEARCH(republicantrigger,C31)))&gt;0)</f>
        <v>1</v>
      </c>
      <c r="Z31" s="35" cm="1">
        <f t="array" ref="Z31">INT(SUMPRODUCT(--ISNUMBER(SEARCH(bipartisan,C31)))&gt;0)</f>
        <v>0</v>
      </c>
      <c r="AA31" s="35">
        <f t="shared" si="0"/>
        <v>0</v>
      </c>
      <c r="AB31" s="14"/>
      <c r="AC31" s="30">
        <v>0</v>
      </c>
      <c r="AD31" s="37">
        <v>1</v>
      </c>
    </row>
    <row r="32" spans="1:30" x14ac:dyDescent="0.25">
      <c r="A32" s="36">
        <v>2999</v>
      </c>
      <c r="B32" s="14" t="s">
        <v>6023</v>
      </c>
      <c r="C32" s="14" t="s">
        <v>6024</v>
      </c>
      <c r="D32" s="17">
        <v>44136</v>
      </c>
      <c r="E32" s="14" t="s">
        <v>30</v>
      </c>
      <c r="F32" s="14">
        <v>29</v>
      </c>
      <c r="G32" s="14">
        <v>6</v>
      </c>
      <c r="H32" s="14">
        <v>14</v>
      </c>
      <c r="I32" s="14">
        <v>7</v>
      </c>
      <c r="J32" s="14" t="s">
        <v>31</v>
      </c>
      <c r="K32" s="14" cm="1">
        <f t="array" ref="K32">INT(SUMPRODUCT(--ISNUMBER(SEARCH(economy,C32)))&gt;0)</f>
        <v>0</v>
      </c>
      <c r="L32" s="14" cm="1">
        <f t="array" ref="L32">INT(SUMPRODUCT(--ISNUMBER(SEARCH(healthcare,C32)))&gt;0)</f>
        <v>0</v>
      </c>
      <c r="M32" s="14" cm="1">
        <f t="array" ref="M32">INT(SUMPRODUCT(--ISNUMBER(SEARCH(supreme,C32)))&gt;0)</f>
        <v>0</v>
      </c>
      <c r="N32" s="14" cm="1">
        <f t="array" ref="N32">INT(SUMPRODUCT(--ISNUMBER(SEARCH(covid,C32)))&gt;0)</f>
        <v>0</v>
      </c>
      <c r="O32" s="14" cm="1">
        <f t="array" ref="O32">INT(SUMPRODUCT(--ISNUMBER(SEARCH(violent,C32)))&gt;0)</f>
        <v>0</v>
      </c>
      <c r="P32" s="14" cm="1">
        <f t="array" ref="P32">INT(SUMPRODUCT(--ISNUMBER(SEARCH(foreign,C32)))&gt;0)</f>
        <v>0</v>
      </c>
      <c r="Q32" s="14" cm="1">
        <f t="array" ref="Q32">INT(SUMPRODUCT(--ISNUMBER(SEARCH(gun,C32)))&gt;0)</f>
        <v>0</v>
      </c>
      <c r="R32" s="14" cm="1">
        <f t="array" ref="R32">INT(SUMPRODUCT(--ISNUMBER(SEARCH(race,C32)))&gt;0)</f>
        <v>0</v>
      </c>
      <c r="S32" s="14" cm="1">
        <f t="array" ref="S32">INT(SUMPRODUCT(--ISNUMBER(SEARCH(immigration,C32)))&gt;0)</f>
        <v>0</v>
      </c>
      <c r="T32" s="14" cm="1">
        <f t="array" ref="T32">INT(SUMPRODUCT(--ISNUMBER(SEARCH(econineq,C33)))&gt;0)</f>
        <v>0</v>
      </c>
      <c r="U32" s="14" cm="1">
        <f t="array" ref="U32">INT(SUMPRODUCT(--ISNUMBER(SEARCH(climate,C32)))&gt;0)</f>
        <v>0</v>
      </c>
      <c r="V32" s="14" cm="1">
        <f t="array" ref="V32">INT(SUMPRODUCT(--ISNUMBER(SEARCH(abortion,C32)))&gt;0)</f>
        <v>0</v>
      </c>
      <c r="W32" s="14" cm="1">
        <f t="array" ref="W32">INT(SUMPRODUCT(--ISNUMBER(SEARCH(trump,C32)))&gt;0)</f>
        <v>0</v>
      </c>
      <c r="X32" s="14" cm="1">
        <f t="array" ref="X32">INT(SUMPRODUCT(--ISNUMBER(SEARCH(voting,C32)))&gt;0)</f>
        <v>1</v>
      </c>
      <c r="Y32" s="35" cm="1">
        <f t="array" ref="Y32">INT(SUMPRODUCT(--ISNUMBER(SEARCH(republicantrigger,C32)))&gt;0)</f>
        <v>0</v>
      </c>
      <c r="Z32" s="35" cm="1">
        <f t="array" ref="Z32">INT(SUMPRODUCT(--ISNUMBER(SEARCH(bipartisan,C32)))&gt;0)</f>
        <v>0</v>
      </c>
      <c r="AA32" s="35">
        <f t="shared" si="0"/>
        <v>0</v>
      </c>
      <c r="AB32" s="14"/>
      <c r="AC32" s="30">
        <v>1</v>
      </c>
      <c r="AD32" s="37">
        <v>0</v>
      </c>
    </row>
    <row r="33" spans="1:30" x14ac:dyDescent="0.25">
      <c r="A33" s="36">
        <v>3000</v>
      </c>
      <c r="B33" s="14" t="s">
        <v>6025</v>
      </c>
      <c r="C33" s="14" t="s">
        <v>6026</v>
      </c>
      <c r="D33" s="17">
        <v>44136</v>
      </c>
      <c r="E33" s="14" t="s">
        <v>30</v>
      </c>
      <c r="F33" s="14">
        <v>59</v>
      </c>
      <c r="G33" s="14">
        <v>26</v>
      </c>
      <c r="H33" s="14">
        <v>14</v>
      </c>
      <c r="I33" s="14">
        <v>7</v>
      </c>
      <c r="J33" s="14" t="s">
        <v>31</v>
      </c>
      <c r="K33" s="14" cm="1">
        <f t="array" ref="K33">INT(SUMPRODUCT(--ISNUMBER(SEARCH(economy,C33)))&gt;0)</f>
        <v>0</v>
      </c>
      <c r="L33" s="14" cm="1">
        <f t="array" ref="L33">INT(SUMPRODUCT(--ISNUMBER(SEARCH(healthcare,C33)))&gt;0)</f>
        <v>0</v>
      </c>
      <c r="M33" s="14" cm="1">
        <f t="array" ref="M33">INT(SUMPRODUCT(--ISNUMBER(SEARCH(supreme,C33)))&gt;0)</f>
        <v>0</v>
      </c>
      <c r="N33" s="14" cm="1">
        <f t="array" ref="N33">INT(SUMPRODUCT(--ISNUMBER(SEARCH(covid,C33)))&gt;0)</f>
        <v>0</v>
      </c>
      <c r="O33" s="14" cm="1">
        <f t="array" ref="O33">INT(SUMPRODUCT(--ISNUMBER(SEARCH(violent,C33)))&gt;0)</f>
        <v>0</v>
      </c>
      <c r="P33" s="14" cm="1">
        <f t="array" ref="P33">INT(SUMPRODUCT(--ISNUMBER(SEARCH(foreign,C33)))&gt;0)</f>
        <v>0</v>
      </c>
      <c r="Q33" s="14" cm="1">
        <f t="array" ref="Q33">INT(SUMPRODUCT(--ISNUMBER(SEARCH(gun,C33)))&gt;0)</f>
        <v>0</v>
      </c>
      <c r="R33" s="14" cm="1">
        <f t="array" ref="R33">INT(SUMPRODUCT(--ISNUMBER(SEARCH(race,C33)))&gt;0)</f>
        <v>0</v>
      </c>
      <c r="S33" s="14" cm="1">
        <f t="array" ref="S33">INT(SUMPRODUCT(--ISNUMBER(SEARCH(immigration,C33)))&gt;0)</f>
        <v>0</v>
      </c>
      <c r="T33" s="14" cm="1">
        <f t="array" ref="T33">INT(SUMPRODUCT(--ISNUMBER(SEARCH(econineq,C34)))&gt;0)</f>
        <v>0</v>
      </c>
      <c r="U33" s="14" cm="1">
        <f t="array" ref="U33">INT(SUMPRODUCT(--ISNUMBER(SEARCH(climate,C33)))&gt;0)</f>
        <v>0</v>
      </c>
      <c r="V33" s="14" cm="1">
        <f t="array" ref="V33">INT(SUMPRODUCT(--ISNUMBER(SEARCH(abortion,C33)))&gt;0)</f>
        <v>0</v>
      </c>
      <c r="W33" s="14" cm="1">
        <f t="array" ref="W33">INT(SUMPRODUCT(--ISNUMBER(SEARCH(trump,C33)))&gt;0)</f>
        <v>0</v>
      </c>
      <c r="X33" s="14" cm="1">
        <f t="array" ref="X33">INT(SUMPRODUCT(--ISNUMBER(SEARCH(voting,C33)))&gt;0)</f>
        <v>0</v>
      </c>
      <c r="Y33" s="35" cm="1">
        <f t="array" ref="Y33">INT(SUMPRODUCT(--ISNUMBER(SEARCH(republicantrigger,C33)))&gt;0)</f>
        <v>0</v>
      </c>
      <c r="Z33" s="35" cm="1">
        <f t="array" ref="Z33">INT(SUMPRODUCT(--ISNUMBER(SEARCH(bipartisan,C33)))&gt;0)</f>
        <v>0</v>
      </c>
      <c r="AA33" s="35">
        <f t="shared" si="0"/>
        <v>1</v>
      </c>
      <c r="AB33" s="14"/>
      <c r="AC33" s="30" t="s">
        <v>223</v>
      </c>
      <c r="AD33" s="37" t="s">
        <v>223</v>
      </c>
    </row>
    <row r="34" spans="1:30" x14ac:dyDescent="0.25">
      <c r="A34" s="36">
        <v>3001</v>
      </c>
      <c r="B34" s="14" t="s">
        <v>6027</v>
      </c>
      <c r="C34" s="14" t="s">
        <v>6028</v>
      </c>
      <c r="D34" s="17">
        <v>44136</v>
      </c>
      <c r="E34" s="14" t="s">
        <v>30</v>
      </c>
      <c r="F34" s="14">
        <v>24</v>
      </c>
      <c r="G34" s="14">
        <v>13</v>
      </c>
      <c r="H34" s="14">
        <v>14</v>
      </c>
      <c r="I34" s="14">
        <v>7</v>
      </c>
      <c r="J34" s="14" t="s">
        <v>31</v>
      </c>
      <c r="K34" s="14" cm="1">
        <f t="array" ref="K34">INT(SUMPRODUCT(--ISNUMBER(SEARCH(economy,C34)))&gt;0)</f>
        <v>0</v>
      </c>
      <c r="L34" s="14" cm="1">
        <f t="array" ref="L34">INT(SUMPRODUCT(--ISNUMBER(SEARCH(healthcare,C34)))&gt;0)</f>
        <v>0</v>
      </c>
      <c r="M34" s="14" cm="1">
        <f t="array" ref="M34">INT(SUMPRODUCT(--ISNUMBER(SEARCH(supreme,C34)))&gt;0)</f>
        <v>0</v>
      </c>
      <c r="N34" s="14" cm="1">
        <f t="array" ref="N34">INT(SUMPRODUCT(--ISNUMBER(SEARCH(covid,C34)))&gt;0)</f>
        <v>0</v>
      </c>
      <c r="O34" s="14" cm="1">
        <f t="array" ref="O34">INT(SUMPRODUCT(--ISNUMBER(SEARCH(violent,C34)))&gt;0)</f>
        <v>0</v>
      </c>
      <c r="P34" s="14" cm="1">
        <f t="array" ref="P34">INT(SUMPRODUCT(--ISNUMBER(SEARCH(foreign,C34)))&gt;0)</f>
        <v>0</v>
      </c>
      <c r="Q34" s="14" cm="1">
        <f t="array" ref="Q34">INT(SUMPRODUCT(--ISNUMBER(SEARCH(gun,C34)))&gt;0)</f>
        <v>1</v>
      </c>
      <c r="R34" s="14" cm="1">
        <f t="array" ref="R34">INT(SUMPRODUCT(--ISNUMBER(SEARCH(race,C34)))&gt;0)</f>
        <v>0</v>
      </c>
      <c r="S34" s="14" cm="1">
        <f t="array" ref="S34">INT(SUMPRODUCT(--ISNUMBER(SEARCH(immigration,C34)))&gt;0)</f>
        <v>0</v>
      </c>
      <c r="T34" s="14" cm="1">
        <f t="array" ref="T34">INT(SUMPRODUCT(--ISNUMBER(SEARCH(econineq,C35)))&gt;0)</f>
        <v>0</v>
      </c>
      <c r="U34" s="14" cm="1">
        <f t="array" ref="U34">INT(SUMPRODUCT(--ISNUMBER(SEARCH(climate,C34)))&gt;0)</f>
        <v>0</v>
      </c>
      <c r="V34" s="14" cm="1">
        <f t="array" ref="V34">INT(SUMPRODUCT(--ISNUMBER(SEARCH(abortion,C34)))&gt;0)</f>
        <v>0</v>
      </c>
      <c r="W34" s="14" cm="1">
        <f t="array" ref="W34">INT(SUMPRODUCT(--ISNUMBER(SEARCH(trump,C34)))&gt;0)</f>
        <v>0</v>
      </c>
      <c r="X34" s="14" cm="1">
        <f t="array" ref="X34">INT(SUMPRODUCT(--ISNUMBER(SEARCH(voting,C34)))&gt;0)</f>
        <v>0</v>
      </c>
      <c r="Y34" s="35" cm="1">
        <f t="array" ref="Y34">INT(SUMPRODUCT(--ISNUMBER(SEARCH(republicantrigger,C34)))&gt;0)</f>
        <v>0</v>
      </c>
      <c r="Z34" s="35" cm="1">
        <f t="array" ref="Z34">INT(SUMPRODUCT(--ISNUMBER(SEARCH(bipartisan,C34)))&gt;0)</f>
        <v>0</v>
      </c>
      <c r="AA34" s="35">
        <f t="shared" si="0"/>
        <v>0</v>
      </c>
      <c r="AB34" s="14"/>
      <c r="AC34" s="30">
        <v>1</v>
      </c>
      <c r="AD34" s="37">
        <v>0</v>
      </c>
    </row>
    <row r="35" spans="1:30" x14ac:dyDescent="0.25">
      <c r="A35" s="36">
        <v>3002</v>
      </c>
      <c r="B35" s="14" t="s">
        <v>6029</v>
      </c>
      <c r="C35" s="14" t="s">
        <v>6030</v>
      </c>
      <c r="D35" s="17">
        <v>44135</v>
      </c>
      <c r="E35" s="14" t="s">
        <v>30</v>
      </c>
      <c r="F35" s="14">
        <v>29</v>
      </c>
      <c r="G35" s="14">
        <v>14</v>
      </c>
      <c r="H35" s="14">
        <v>14</v>
      </c>
      <c r="I35" s="14">
        <v>7</v>
      </c>
      <c r="J35" s="14" t="s">
        <v>31</v>
      </c>
      <c r="K35" s="14" cm="1">
        <f t="array" ref="K35">INT(SUMPRODUCT(--ISNUMBER(SEARCH(economy,C35)))&gt;0)</f>
        <v>0</v>
      </c>
      <c r="L35" s="14" cm="1">
        <f t="array" ref="L35">INT(SUMPRODUCT(--ISNUMBER(SEARCH(healthcare,C35)))&gt;0)</f>
        <v>0</v>
      </c>
      <c r="M35" s="14" cm="1">
        <f t="array" ref="M35">INT(SUMPRODUCT(--ISNUMBER(SEARCH(supreme,C35)))&gt;0)</f>
        <v>0</v>
      </c>
      <c r="N35" s="14" cm="1">
        <f t="array" ref="N35">INT(SUMPRODUCT(--ISNUMBER(SEARCH(covid,C35)))&gt;0)</f>
        <v>0</v>
      </c>
      <c r="O35" s="14" cm="1">
        <f t="array" ref="O35">INT(SUMPRODUCT(--ISNUMBER(SEARCH(violent,C35)))&gt;0)</f>
        <v>0</v>
      </c>
      <c r="P35" s="14" cm="1">
        <f t="array" ref="P35">INT(SUMPRODUCT(--ISNUMBER(SEARCH(foreign,C35)))&gt;0)</f>
        <v>0</v>
      </c>
      <c r="Q35" s="14" cm="1">
        <f t="array" ref="Q35">INT(SUMPRODUCT(--ISNUMBER(SEARCH(gun,C35)))&gt;0)</f>
        <v>0</v>
      </c>
      <c r="R35" s="14" cm="1">
        <f t="array" ref="R35">INT(SUMPRODUCT(--ISNUMBER(SEARCH(race,C35)))&gt;0)</f>
        <v>0</v>
      </c>
      <c r="S35" s="14" cm="1">
        <f t="array" ref="S35">INT(SUMPRODUCT(--ISNUMBER(SEARCH(immigration,C35)))&gt;0)</f>
        <v>0</v>
      </c>
      <c r="T35" s="14" cm="1">
        <f t="array" ref="T35">INT(SUMPRODUCT(--ISNUMBER(SEARCH(econineq,C36)))&gt;0)</f>
        <v>0</v>
      </c>
      <c r="U35" s="14" cm="1">
        <f t="array" ref="U35">INT(SUMPRODUCT(--ISNUMBER(SEARCH(climate,C35)))&gt;0)</f>
        <v>0</v>
      </c>
      <c r="V35" s="14" cm="1">
        <f t="array" ref="V35">INT(SUMPRODUCT(--ISNUMBER(SEARCH(abortion,C35)))&gt;0)</f>
        <v>0</v>
      </c>
      <c r="W35" s="14" cm="1">
        <f t="array" ref="W35">INT(SUMPRODUCT(--ISNUMBER(SEARCH(trump,C35)))&gt;0)</f>
        <v>0</v>
      </c>
      <c r="X35" s="14" cm="1">
        <f t="array" ref="X35">INT(SUMPRODUCT(--ISNUMBER(SEARCH(voting,C35)))&gt;0)</f>
        <v>0</v>
      </c>
      <c r="Y35" s="35" cm="1">
        <f t="array" ref="Y35">INT(SUMPRODUCT(--ISNUMBER(SEARCH(republicantrigger,C35)))&gt;0)</f>
        <v>0</v>
      </c>
      <c r="Z35" s="35" cm="1">
        <f t="array" ref="Z35">INT(SUMPRODUCT(--ISNUMBER(SEARCH(bipartisan,C35)))&gt;0)</f>
        <v>0</v>
      </c>
      <c r="AA35" s="35">
        <f t="shared" si="0"/>
        <v>1</v>
      </c>
      <c r="AB35" s="14"/>
      <c r="AC35" s="30">
        <v>0</v>
      </c>
      <c r="AD35" s="37">
        <v>1</v>
      </c>
    </row>
    <row r="36" spans="1:30" x14ac:dyDescent="0.25">
      <c r="A36" s="36">
        <v>3003</v>
      </c>
      <c r="B36" s="14" t="s">
        <v>6031</v>
      </c>
      <c r="C36" s="14" t="s">
        <v>6032</v>
      </c>
      <c r="D36" s="17">
        <v>44135</v>
      </c>
      <c r="E36" s="14" t="s">
        <v>30</v>
      </c>
      <c r="F36" s="14">
        <v>23</v>
      </c>
      <c r="G36" s="14">
        <v>13</v>
      </c>
      <c r="H36" s="14">
        <v>14</v>
      </c>
      <c r="I36" s="14">
        <v>7</v>
      </c>
      <c r="J36" s="14" t="s">
        <v>31</v>
      </c>
      <c r="K36" s="14" cm="1">
        <f t="array" ref="K36">INT(SUMPRODUCT(--ISNUMBER(SEARCH(economy,C36)))&gt;0)</f>
        <v>0</v>
      </c>
      <c r="L36" s="14" cm="1">
        <f t="array" ref="L36">INT(SUMPRODUCT(--ISNUMBER(SEARCH(healthcare,C36)))&gt;0)</f>
        <v>0</v>
      </c>
      <c r="M36" s="14" cm="1">
        <f t="array" ref="M36">INT(SUMPRODUCT(--ISNUMBER(SEARCH(supreme,C36)))&gt;0)</f>
        <v>0</v>
      </c>
      <c r="N36" s="14" cm="1">
        <f t="array" ref="N36">INT(SUMPRODUCT(--ISNUMBER(SEARCH(covid,C36)))&gt;0)</f>
        <v>0</v>
      </c>
      <c r="O36" s="14" cm="1">
        <f t="array" ref="O36">INT(SUMPRODUCT(--ISNUMBER(SEARCH(violent,C36)))&gt;0)</f>
        <v>0</v>
      </c>
      <c r="P36" s="14" cm="1">
        <f t="array" ref="P36">INT(SUMPRODUCT(--ISNUMBER(SEARCH(foreign,C36)))&gt;0)</f>
        <v>0</v>
      </c>
      <c r="Q36" s="14" cm="1">
        <f t="array" ref="Q36">INT(SUMPRODUCT(--ISNUMBER(SEARCH(gun,C36)))&gt;0)</f>
        <v>0</v>
      </c>
      <c r="R36" s="14" cm="1">
        <f t="array" ref="R36">INT(SUMPRODUCT(--ISNUMBER(SEARCH(race,C36)))&gt;0)</f>
        <v>0</v>
      </c>
      <c r="S36" s="14" cm="1">
        <f t="array" ref="S36">INT(SUMPRODUCT(--ISNUMBER(SEARCH(immigration,C36)))&gt;0)</f>
        <v>0</v>
      </c>
      <c r="T36" s="14" cm="1">
        <f t="array" ref="T36">INT(SUMPRODUCT(--ISNUMBER(SEARCH(econineq,C37)))&gt;0)</f>
        <v>0</v>
      </c>
      <c r="U36" s="14" cm="1">
        <f t="array" ref="U36">INT(SUMPRODUCT(--ISNUMBER(SEARCH(climate,C36)))&gt;0)</f>
        <v>0</v>
      </c>
      <c r="V36" s="14" cm="1">
        <f t="array" ref="V36">INT(SUMPRODUCT(--ISNUMBER(SEARCH(abortion,C36)))&gt;0)</f>
        <v>0</v>
      </c>
      <c r="W36" s="14" cm="1">
        <f t="array" ref="W36">INT(SUMPRODUCT(--ISNUMBER(SEARCH(trump,C36)))&gt;0)</f>
        <v>1</v>
      </c>
      <c r="X36" s="14" cm="1">
        <f t="array" ref="X36">INT(SUMPRODUCT(--ISNUMBER(SEARCH(voting,C36)))&gt;0)</f>
        <v>1</v>
      </c>
      <c r="Y36" s="35" cm="1">
        <f t="array" ref="Y36">INT(SUMPRODUCT(--ISNUMBER(SEARCH(republicantrigger,C36)))&gt;0)</f>
        <v>0</v>
      </c>
      <c r="Z36" s="35" cm="1">
        <f t="array" ref="Z36">INT(SUMPRODUCT(--ISNUMBER(SEARCH(bipartisan,C36)))&gt;0)</f>
        <v>0</v>
      </c>
      <c r="AA36" s="35">
        <f t="shared" si="0"/>
        <v>0</v>
      </c>
      <c r="AB36" s="14"/>
      <c r="AC36" s="30">
        <v>1</v>
      </c>
      <c r="AD36" s="37">
        <v>0</v>
      </c>
    </row>
    <row r="37" spans="1:30" x14ac:dyDescent="0.25">
      <c r="A37" s="36">
        <v>3004</v>
      </c>
      <c r="B37" s="14" t="s">
        <v>6033</v>
      </c>
      <c r="C37" s="14" t="s">
        <v>6034</v>
      </c>
      <c r="D37" s="17">
        <v>44135</v>
      </c>
      <c r="E37" s="14" t="s">
        <v>30</v>
      </c>
      <c r="F37" s="14">
        <v>22</v>
      </c>
      <c r="G37" s="14">
        <v>12</v>
      </c>
      <c r="H37" s="14">
        <v>14</v>
      </c>
      <c r="I37" s="14">
        <v>7</v>
      </c>
      <c r="J37" s="14" t="s">
        <v>31</v>
      </c>
      <c r="K37" s="14" cm="1">
        <f t="array" ref="K37">INT(SUMPRODUCT(--ISNUMBER(SEARCH(economy,C37)))&gt;0)</f>
        <v>1</v>
      </c>
      <c r="L37" s="14" cm="1">
        <f t="array" ref="L37">INT(SUMPRODUCT(--ISNUMBER(SEARCH(healthcare,C37)))&gt;0)</f>
        <v>0</v>
      </c>
      <c r="M37" s="14" cm="1">
        <f t="array" ref="M37">INT(SUMPRODUCT(--ISNUMBER(SEARCH(supreme,C37)))&gt;0)</f>
        <v>0</v>
      </c>
      <c r="N37" s="14" cm="1">
        <f t="array" ref="N37">INT(SUMPRODUCT(--ISNUMBER(SEARCH(covid,C37)))&gt;0)</f>
        <v>0</v>
      </c>
      <c r="O37" s="14" cm="1">
        <f t="array" ref="O37">INT(SUMPRODUCT(--ISNUMBER(SEARCH(violent,C37)))&gt;0)</f>
        <v>0</v>
      </c>
      <c r="P37" s="14" cm="1">
        <f t="array" ref="P37">INT(SUMPRODUCT(--ISNUMBER(SEARCH(foreign,C37)))&gt;0)</f>
        <v>1</v>
      </c>
      <c r="Q37" s="14" cm="1">
        <f t="array" ref="Q37">INT(SUMPRODUCT(--ISNUMBER(SEARCH(gun,C37)))&gt;0)</f>
        <v>0</v>
      </c>
      <c r="R37" s="14" cm="1">
        <f t="array" ref="R37">INT(SUMPRODUCT(--ISNUMBER(SEARCH(race,C37)))&gt;0)</f>
        <v>0</v>
      </c>
      <c r="S37" s="14" cm="1">
        <f t="array" ref="S37">INT(SUMPRODUCT(--ISNUMBER(SEARCH(immigration,C37)))&gt;0)</f>
        <v>0</v>
      </c>
      <c r="T37" s="14" cm="1">
        <f t="array" ref="T37">INT(SUMPRODUCT(--ISNUMBER(SEARCH(econineq,C38)))&gt;0)</f>
        <v>0</v>
      </c>
      <c r="U37" s="14" cm="1">
        <f t="array" ref="U37">INT(SUMPRODUCT(--ISNUMBER(SEARCH(climate,C37)))&gt;0)</f>
        <v>0</v>
      </c>
      <c r="V37" s="14" cm="1">
        <f t="array" ref="V37">INT(SUMPRODUCT(--ISNUMBER(SEARCH(abortion,C37)))&gt;0)</f>
        <v>0</v>
      </c>
      <c r="W37" s="14" cm="1">
        <f t="array" ref="W37">INT(SUMPRODUCT(--ISNUMBER(SEARCH(trump,C37)))&gt;0)</f>
        <v>0</v>
      </c>
      <c r="X37" s="14" cm="1">
        <f t="array" ref="X37">INT(SUMPRODUCT(--ISNUMBER(SEARCH(voting,C37)))&gt;0)</f>
        <v>0</v>
      </c>
      <c r="Y37" s="35" cm="1">
        <f t="array" ref="Y37">INT(SUMPRODUCT(--ISNUMBER(SEARCH(republicantrigger,C37)))&gt;0)</f>
        <v>1</v>
      </c>
      <c r="Z37" s="35" cm="1">
        <f t="array" ref="Z37">INT(SUMPRODUCT(--ISNUMBER(SEARCH(bipartisan,C37)))&gt;0)</f>
        <v>0</v>
      </c>
      <c r="AA37" s="35">
        <f t="shared" si="0"/>
        <v>0</v>
      </c>
      <c r="AB37" s="14"/>
      <c r="AC37" s="30">
        <v>0</v>
      </c>
      <c r="AD37" s="37">
        <v>1</v>
      </c>
    </row>
    <row r="38" spans="1:30" x14ac:dyDescent="0.25">
      <c r="A38" s="36">
        <v>3005</v>
      </c>
      <c r="B38" s="14" t="s">
        <v>6035</v>
      </c>
      <c r="C38" s="14" t="s">
        <v>6036</v>
      </c>
      <c r="D38" s="17">
        <v>44135</v>
      </c>
      <c r="E38" s="14" t="s">
        <v>30</v>
      </c>
      <c r="F38" s="14">
        <v>22</v>
      </c>
      <c r="G38" s="14">
        <v>10</v>
      </c>
      <c r="H38" s="14">
        <v>14</v>
      </c>
      <c r="I38" s="14">
        <v>7</v>
      </c>
      <c r="J38" s="14" t="s">
        <v>31</v>
      </c>
      <c r="K38" s="14" cm="1">
        <f t="array" ref="K38">INT(SUMPRODUCT(--ISNUMBER(SEARCH(economy,C38)))&gt;0)</f>
        <v>0</v>
      </c>
      <c r="L38" s="14" cm="1">
        <f t="array" ref="L38">INT(SUMPRODUCT(--ISNUMBER(SEARCH(healthcare,C38)))&gt;0)</f>
        <v>0</v>
      </c>
      <c r="M38" s="14" cm="1">
        <f t="array" ref="M38">INT(SUMPRODUCT(--ISNUMBER(SEARCH(supreme,C38)))&gt;0)</f>
        <v>0</v>
      </c>
      <c r="N38" s="14" cm="1">
        <f t="array" ref="N38">INT(SUMPRODUCT(--ISNUMBER(SEARCH(covid,C38)))&gt;0)</f>
        <v>0</v>
      </c>
      <c r="O38" s="14" cm="1">
        <f t="array" ref="O38">INT(SUMPRODUCT(--ISNUMBER(SEARCH(violent,C38)))&gt;0)</f>
        <v>0</v>
      </c>
      <c r="P38" s="14" cm="1">
        <f t="array" ref="P38">INT(SUMPRODUCT(--ISNUMBER(SEARCH(foreign,C38)))&gt;0)</f>
        <v>0</v>
      </c>
      <c r="Q38" s="14" cm="1">
        <f t="array" ref="Q38">INT(SUMPRODUCT(--ISNUMBER(SEARCH(gun,C38)))&gt;0)</f>
        <v>0</v>
      </c>
      <c r="R38" s="14" cm="1">
        <f t="array" ref="R38">INT(SUMPRODUCT(--ISNUMBER(SEARCH(race,C38)))&gt;0)</f>
        <v>1</v>
      </c>
      <c r="S38" s="14" cm="1">
        <f t="array" ref="S38">INT(SUMPRODUCT(--ISNUMBER(SEARCH(immigration,C38)))&gt;0)</f>
        <v>0</v>
      </c>
      <c r="T38" s="14" cm="1">
        <f t="array" ref="T38">INT(SUMPRODUCT(--ISNUMBER(SEARCH(econineq,C39)))&gt;0)</f>
        <v>0</v>
      </c>
      <c r="U38" s="14" cm="1">
        <f t="array" ref="U38">INT(SUMPRODUCT(--ISNUMBER(SEARCH(climate,C38)))&gt;0)</f>
        <v>1</v>
      </c>
      <c r="V38" s="14" cm="1">
        <f t="array" ref="V38">INT(SUMPRODUCT(--ISNUMBER(SEARCH(abortion,C38)))&gt;0)</f>
        <v>0</v>
      </c>
      <c r="W38" s="14" cm="1">
        <f t="array" ref="W38">INT(SUMPRODUCT(--ISNUMBER(SEARCH(trump,C38)))&gt;0)</f>
        <v>0</v>
      </c>
      <c r="X38" s="14" cm="1">
        <f t="array" ref="X38">INT(SUMPRODUCT(--ISNUMBER(SEARCH(voting,C38)))&gt;0)</f>
        <v>0</v>
      </c>
      <c r="Y38" s="35" cm="1">
        <f t="array" ref="Y38">INT(SUMPRODUCT(--ISNUMBER(SEARCH(republicantrigger,C38)))&gt;0)</f>
        <v>0</v>
      </c>
      <c r="Z38" s="35" cm="1">
        <f t="array" ref="Z38">INT(SUMPRODUCT(--ISNUMBER(SEARCH(bipartisan,C38)))&gt;0)</f>
        <v>0</v>
      </c>
      <c r="AA38" s="35">
        <f t="shared" si="0"/>
        <v>0</v>
      </c>
      <c r="AB38" s="14"/>
      <c r="AC38" s="30">
        <v>1</v>
      </c>
      <c r="AD38" s="37">
        <v>0</v>
      </c>
    </row>
    <row r="39" spans="1:30" x14ac:dyDescent="0.25">
      <c r="A39" s="36">
        <v>3006</v>
      </c>
      <c r="B39" s="14" t="s">
        <v>6037</v>
      </c>
      <c r="C39" s="14" t="s">
        <v>6038</v>
      </c>
      <c r="D39" s="17">
        <v>44135</v>
      </c>
      <c r="E39" s="14" t="s">
        <v>30</v>
      </c>
      <c r="F39" s="14">
        <v>28</v>
      </c>
      <c r="G39" s="14">
        <v>5</v>
      </c>
      <c r="H39" s="14">
        <v>14</v>
      </c>
      <c r="I39" s="14">
        <v>7</v>
      </c>
      <c r="J39" s="14" t="s">
        <v>31</v>
      </c>
      <c r="K39" s="14" cm="1">
        <f t="array" ref="K39">INT(SUMPRODUCT(--ISNUMBER(SEARCH(economy,C39)))&gt;0)</f>
        <v>0</v>
      </c>
      <c r="L39" s="14" cm="1">
        <f t="array" ref="L39">INT(SUMPRODUCT(--ISNUMBER(SEARCH(healthcare,C39)))&gt;0)</f>
        <v>0</v>
      </c>
      <c r="M39" s="14" cm="1">
        <f t="array" ref="M39">INT(SUMPRODUCT(--ISNUMBER(SEARCH(supreme,C39)))&gt;0)</f>
        <v>0</v>
      </c>
      <c r="N39" s="14" cm="1">
        <f t="array" ref="N39">INT(SUMPRODUCT(--ISNUMBER(SEARCH(covid,C39)))&gt;0)</f>
        <v>0</v>
      </c>
      <c r="O39" s="14" cm="1">
        <f t="array" ref="O39">INT(SUMPRODUCT(--ISNUMBER(SEARCH(violent,C39)))&gt;0)</f>
        <v>0</v>
      </c>
      <c r="P39" s="14" cm="1">
        <f t="array" ref="P39">INT(SUMPRODUCT(--ISNUMBER(SEARCH(foreign,C39)))&gt;0)</f>
        <v>0</v>
      </c>
      <c r="Q39" s="14" cm="1">
        <f t="array" ref="Q39">INT(SUMPRODUCT(--ISNUMBER(SEARCH(gun,C39)))&gt;0)</f>
        <v>0</v>
      </c>
      <c r="R39" s="14" cm="1">
        <f t="array" ref="R39">INT(SUMPRODUCT(--ISNUMBER(SEARCH(race,C39)))&gt;0)</f>
        <v>0</v>
      </c>
      <c r="S39" s="14" cm="1">
        <f t="array" ref="S39">INT(SUMPRODUCT(--ISNUMBER(SEARCH(immigration,C39)))&gt;0)</f>
        <v>0</v>
      </c>
      <c r="T39" s="14" cm="1">
        <f t="array" ref="T39">INT(SUMPRODUCT(--ISNUMBER(SEARCH(econineq,C40)))&gt;0)</f>
        <v>0</v>
      </c>
      <c r="U39" s="14" cm="1">
        <f t="array" ref="U39">INT(SUMPRODUCT(--ISNUMBER(SEARCH(climate,C39)))&gt;0)</f>
        <v>0</v>
      </c>
      <c r="V39" s="14" cm="1">
        <f t="array" ref="V39">INT(SUMPRODUCT(--ISNUMBER(SEARCH(abortion,C39)))&gt;0)</f>
        <v>0</v>
      </c>
      <c r="W39" s="14" cm="1">
        <f t="array" ref="W39">INT(SUMPRODUCT(--ISNUMBER(SEARCH(trump,C39)))&gt;0)</f>
        <v>0</v>
      </c>
      <c r="X39" s="14" cm="1">
        <f t="array" ref="X39">INT(SUMPRODUCT(--ISNUMBER(SEARCH(voting,C39)))&gt;0)</f>
        <v>1</v>
      </c>
      <c r="Y39" s="35" cm="1">
        <f t="array" ref="Y39">INT(SUMPRODUCT(--ISNUMBER(SEARCH(republicantrigger,C39)))&gt;0)</f>
        <v>1</v>
      </c>
      <c r="Z39" s="35" cm="1">
        <f t="array" ref="Z39">INT(SUMPRODUCT(--ISNUMBER(SEARCH(bipartisan,C39)))&gt;0)</f>
        <v>0</v>
      </c>
      <c r="AA39" s="35">
        <f t="shared" si="0"/>
        <v>0</v>
      </c>
      <c r="AB39" s="14"/>
      <c r="AC39" s="30">
        <v>1</v>
      </c>
      <c r="AD39" s="37">
        <v>0</v>
      </c>
    </row>
    <row r="40" spans="1:30" x14ac:dyDescent="0.25">
      <c r="A40" s="36">
        <v>3007</v>
      </c>
      <c r="B40" s="14" t="s">
        <v>6039</v>
      </c>
      <c r="C40" s="14" t="s">
        <v>6040</v>
      </c>
      <c r="D40" s="17">
        <v>44134</v>
      </c>
      <c r="E40" s="14" t="s">
        <v>30</v>
      </c>
      <c r="F40" s="14">
        <v>12</v>
      </c>
      <c r="G40" s="14">
        <v>8</v>
      </c>
      <c r="H40" s="14">
        <v>14</v>
      </c>
      <c r="I40" s="14">
        <v>7</v>
      </c>
      <c r="J40" s="14" t="s">
        <v>31</v>
      </c>
      <c r="K40" s="14" cm="1">
        <f t="array" ref="K40">INT(SUMPRODUCT(--ISNUMBER(SEARCH(economy,C40)))&gt;0)</f>
        <v>0</v>
      </c>
      <c r="L40" s="14" cm="1">
        <f t="array" ref="L40">INT(SUMPRODUCT(--ISNUMBER(SEARCH(healthcare,C40)))&gt;0)</f>
        <v>0</v>
      </c>
      <c r="M40" s="14" cm="1">
        <f t="array" ref="M40">INT(SUMPRODUCT(--ISNUMBER(SEARCH(supreme,C40)))&gt;0)</f>
        <v>0</v>
      </c>
      <c r="N40" s="14" cm="1">
        <f t="array" ref="N40">INT(SUMPRODUCT(--ISNUMBER(SEARCH(covid,C40)))&gt;0)</f>
        <v>0</v>
      </c>
      <c r="O40" s="14" cm="1">
        <f t="array" ref="O40">INT(SUMPRODUCT(--ISNUMBER(SEARCH(violent,C40)))&gt;0)</f>
        <v>0</v>
      </c>
      <c r="P40" s="14" cm="1">
        <f t="array" ref="P40">INT(SUMPRODUCT(--ISNUMBER(SEARCH(foreign,C40)))&gt;0)</f>
        <v>0</v>
      </c>
      <c r="Q40" s="14" cm="1">
        <f t="array" ref="Q40">INT(SUMPRODUCT(--ISNUMBER(SEARCH(gun,C40)))&gt;0)</f>
        <v>0</v>
      </c>
      <c r="R40" s="14" cm="1">
        <f t="array" ref="R40">INT(SUMPRODUCT(--ISNUMBER(SEARCH(race,C40)))&gt;0)</f>
        <v>0</v>
      </c>
      <c r="S40" s="14" cm="1">
        <f t="array" ref="S40">INT(SUMPRODUCT(--ISNUMBER(SEARCH(immigration,C40)))&gt;0)</f>
        <v>0</v>
      </c>
      <c r="T40" s="14" cm="1">
        <f t="array" ref="T40">INT(SUMPRODUCT(--ISNUMBER(SEARCH(econineq,C41)))&gt;0)</f>
        <v>0</v>
      </c>
      <c r="U40" s="14" cm="1">
        <f t="array" ref="U40">INT(SUMPRODUCT(--ISNUMBER(SEARCH(climate,C40)))&gt;0)</f>
        <v>0</v>
      </c>
      <c r="V40" s="14" cm="1">
        <f t="array" ref="V40">INT(SUMPRODUCT(--ISNUMBER(SEARCH(abortion,C40)))&gt;0)</f>
        <v>0</v>
      </c>
      <c r="W40" s="14" cm="1">
        <f t="array" ref="W40">INT(SUMPRODUCT(--ISNUMBER(SEARCH(trump,C40)))&gt;0)</f>
        <v>0</v>
      </c>
      <c r="X40" s="14" cm="1">
        <f t="array" ref="X40">INT(SUMPRODUCT(--ISNUMBER(SEARCH(voting,C40)))&gt;0)</f>
        <v>0</v>
      </c>
      <c r="Y40" s="35" cm="1">
        <f t="array" ref="Y40">INT(SUMPRODUCT(--ISNUMBER(SEARCH(republicantrigger,C40)))&gt;0)</f>
        <v>1</v>
      </c>
      <c r="Z40" s="35" cm="1">
        <f t="array" ref="Z40">INT(SUMPRODUCT(--ISNUMBER(SEARCH(bipartisan,C40)))&gt;0)</f>
        <v>0</v>
      </c>
      <c r="AA40" s="35">
        <f t="shared" si="0"/>
        <v>0</v>
      </c>
      <c r="AB40" s="14"/>
      <c r="AC40" s="30" t="s">
        <v>223</v>
      </c>
      <c r="AD40" s="37" t="s">
        <v>223</v>
      </c>
    </row>
    <row r="41" spans="1:30" x14ac:dyDescent="0.25">
      <c r="A41" s="36">
        <v>3008</v>
      </c>
      <c r="B41" s="14" t="s">
        <v>6041</v>
      </c>
      <c r="C41" s="14" t="s">
        <v>6042</v>
      </c>
      <c r="D41" s="17">
        <v>44134</v>
      </c>
      <c r="E41" s="14" t="s">
        <v>30</v>
      </c>
      <c r="F41" s="14">
        <v>16</v>
      </c>
      <c r="G41" s="14">
        <v>8</v>
      </c>
      <c r="H41" s="14">
        <v>14</v>
      </c>
      <c r="I41" s="14">
        <v>7</v>
      </c>
      <c r="J41" s="14" t="s">
        <v>31</v>
      </c>
      <c r="K41" s="14" cm="1">
        <f t="array" ref="K41">INT(SUMPRODUCT(--ISNUMBER(SEARCH(economy,C41)))&gt;0)</f>
        <v>0</v>
      </c>
      <c r="L41" s="14" cm="1">
        <f t="array" ref="L41">INT(SUMPRODUCT(--ISNUMBER(SEARCH(healthcare,C41)))&gt;0)</f>
        <v>0</v>
      </c>
      <c r="M41" s="14" cm="1">
        <f t="array" ref="M41">INT(SUMPRODUCT(--ISNUMBER(SEARCH(supreme,C41)))&gt;0)</f>
        <v>0</v>
      </c>
      <c r="N41" s="14" cm="1">
        <f t="array" ref="N41">INT(SUMPRODUCT(--ISNUMBER(SEARCH(covid,C41)))&gt;0)</f>
        <v>0</v>
      </c>
      <c r="O41" s="14" cm="1">
        <f t="array" ref="O41">INT(SUMPRODUCT(--ISNUMBER(SEARCH(violent,C41)))&gt;0)</f>
        <v>0</v>
      </c>
      <c r="P41" s="14" cm="1">
        <f t="array" ref="P41">INT(SUMPRODUCT(--ISNUMBER(SEARCH(foreign,C41)))&gt;0)</f>
        <v>0</v>
      </c>
      <c r="Q41" s="14" cm="1">
        <f t="array" ref="Q41">INT(SUMPRODUCT(--ISNUMBER(SEARCH(gun,C41)))&gt;0)</f>
        <v>0</v>
      </c>
      <c r="R41" s="14" cm="1">
        <f t="array" ref="R41">INT(SUMPRODUCT(--ISNUMBER(SEARCH(race,C41)))&gt;0)</f>
        <v>0</v>
      </c>
      <c r="S41" s="14" cm="1">
        <f t="array" ref="S41">INT(SUMPRODUCT(--ISNUMBER(SEARCH(immigration,C41)))&gt;0)</f>
        <v>0</v>
      </c>
      <c r="T41" s="14" cm="1">
        <f t="array" ref="T41">INT(SUMPRODUCT(--ISNUMBER(SEARCH(econineq,C42)))&gt;0)</f>
        <v>0</v>
      </c>
      <c r="U41" s="14" cm="1">
        <f t="array" ref="U41">INT(SUMPRODUCT(--ISNUMBER(SEARCH(climate,C41)))&gt;0)</f>
        <v>0</v>
      </c>
      <c r="V41" s="14" cm="1">
        <f t="array" ref="V41">INT(SUMPRODUCT(--ISNUMBER(SEARCH(abortion,C41)))&gt;0)</f>
        <v>0</v>
      </c>
      <c r="W41" s="14" cm="1">
        <f t="array" ref="W41">INT(SUMPRODUCT(--ISNUMBER(SEARCH(trump,C41)))&gt;0)</f>
        <v>0</v>
      </c>
      <c r="X41" s="14" cm="1">
        <f t="array" ref="X41">INT(SUMPRODUCT(--ISNUMBER(SEARCH(voting,C41)))&gt;0)</f>
        <v>1</v>
      </c>
      <c r="Y41" s="35" cm="1">
        <f t="array" ref="Y41">INT(SUMPRODUCT(--ISNUMBER(SEARCH(republicantrigger,C41)))&gt;0)</f>
        <v>1</v>
      </c>
      <c r="Z41" s="35" cm="1">
        <f t="array" ref="Z41">INT(SUMPRODUCT(--ISNUMBER(SEARCH(bipartisan,C41)))&gt;0)</f>
        <v>0</v>
      </c>
      <c r="AA41" s="35">
        <f t="shared" si="0"/>
        <v>0</v>
      </c>
      <c r="AB41" s="14"/>
      <c r="AC41" s="30">
        <v>1</v>
      </c>
      <c r="AD41" s="37">
        <v>0</v>
      </c>
    </row>
    <row r="42" spans="1:30" x14ac:dyDescent="0.25">
      <c r="A42" s="36">
        <v>3009</v>
      </c>
      <c r="B42" s="14" t="s">
        <v>6043</v>
      </c>
      <c r="C42" s="14" t="s">
        <v>6044</v>
      </c>
      <c r="D42" s="17">
        <v>44134</v>
      </c>
      <c r="E42" s="14" t="s">
        <v>30</v>
      </c>
      <c r="F42" s="14">
        <v>19</v>
      </c>
      <c r="G42" s="14">
        <v>9</v>
      </c>
      <c r="H42" s="14">
        <v>14</v>
      </c>
      <c r="I42" s="14">
        <v>7</v>
      </c>
      <c r="J42" s="14" t="s">
        <v>31</v>
      </c>
      <c r="K42" s="14" cm="1">
        <f t="array" ref="K42">INT(SUMPRODUCT(--ISNUMBER(SEARCH(economy,C42)))&gt;0)</f>
        <v>0</v>
      </c>
      <c r="L42" s="14" cm="1">
        <f t="array" ref="L42">INT(SUMPRODUCT(--ISNUMBER(SEARCH(healthcare,C42)))&gt;0)</f>
        <v>0</v>
      </c>
      <c r="M42" s="14" cm="1">
        <f t="array" ref="M42">INT(SUMPRODUCT(--ISNUMBER(SEARCH(supreme,C42)))&gt;0)</f>
        <v>0</v>
      </c>
      <c r="N42" s="14" cm="1">
        <f t="array" ref="N42">INT(SUMPRODUCT(--ISNUMBER(SEARCH(covid,C42)))&gt;0)</f>
        <v>0</v>
      </c>
      <c r="O42" s="14" cm="1">
        <f t="array" ref="O42">INT(SUMPRODUCT(--ISNUMBER(SEARCH(violent,C42)))&gt;0)</f>
        <v>0</v>
      </c>
      <c r="P42" s="14" cm="1">
        <f t="array" ref="P42">INT(SUMPRODUCT(--ISNUMBER(SEARCH(foreign,C42)))&gt;0)</f>
        <v>0</v>
      </c>
      <c r="Q42" s="14" cm="1">
        <f t="array" ref="Q42">INT(SUMPRODUCT(--ISNUMBER(SEARCH(gun,C42)))&gt;0)</f>
        <v>0</v>
      </c>
      <c r="R42" s="14" cm="1">
        <f t="array" ref="R42">INT(SUMPRODUCT(--ISNUMBER(SEARCH(race,C42)))&gt;0)</f>
        <v>0</v>
      </c>
      <c r="S42" s="14" cm="1">
        <f t="array" ref="S42">INT(SUMPRODUCT(--ISNUMBER(SEARCH(immigration,C42)))&gt;0)</f>
        <v>0</v>
      </c>
      <c r="T42" s="14" cm="1">
        <f t="array" ref="T42">INT(SUMPRODUCT(--ISNUMBER(SEARCH(econineq,C43)))&gt;0)</f>
        <v>0</v>
      </c>
      <c r="U42" s="14" cm="1">
        <f t="array" ref="U42">INT(SUMPRODUCT(--ISNUMBER(SEARCH(climate,C42)))&gt;0)</f>
        <v>0</v>
      </c>
      <c r="V42" s="14" cm="1">
        <f t="array" ref="V42">INT(SUMPRODUCT(--ISNUMBER(SEARCH(abortion,C42)))&gt;0)</f>
        <v>0</v>
      </c>
      <c r="W42" s="14" cm="1">
        <f t="array" ref="W42">INT(SUMPRODUCT(--ISNUMBER(SEARCH(trump,C42)))&gt;0)</f>
        <v>1</v>
      </c>
      <c r="X42" s="14" cm="1">
        <f t="array" ref="X42">INT(SUMPRODUCT(--ISNUMBER(SEARCH(voting,C42)))&gt;0)</f>
        <v>1</v>
      </c>
      <c r="Y42" s="35" cm="1">
        <f t="array" ref="Y42">INT(SUMPRODUCT(--ISNUMBER(SEARCH(republicantrigger,C42)))&gt;0)</f>
        <v>0</v>
      </c>
      <c r="Z42" s="35" cm="1">
        <f t="array" ref="Z42">INT(SUMPRODUCT(--ISNUMBER(SEARCH(bipartisan,C42)))&gt;0)</f>
        <v>0</v>
      </c>
      <c r="AA42" s="35">
        <f t="shared" si="0"/>
        <v>0</v>
      </c>
      <c r="AB42" s="14"/>
      <c r="AC42" s="30">
        <v>1</v>
      </c>
      <c r="AD42" s="37">
        <v>0</v>
      </c>
    </row>
    <row r="43" spans="1:30" x14ac:dyDescent="0.25">
      <c r="A43" s="36">
        <v>3010</v>
      </c>
      <c r="B43" s="14" t="s">
        <v>6045</v>
      </c>
      <c r="C43" s="14" t="s">
        <v>6046</v>
      </c>
      <c r="D43" s="17">
        <v>44134</v>
      </c>
      <c r="E43" s="14" t="s">
        <v>30</v>
      </c>
      <c r="F43" s="14">
        <v>19</v>
      </c>
      <c r="G43" s="14">
        <v>10</v>
      </c>
      <c r="H43" s="14">
        <v>14</v>
      </c>
      <c r="I43" s="14">
        <v>7</v>
      </c>
      <c r="J43" s="14" t="s">
        <v>31</v>
      </c>
      <c r="K43" s="14" cm="1">
        <f t="array" ref="K43">INT(SUMPRODUCT(--ISNUMBER(SEARCH(economy,C43)))&gt;0)</f>
        <v>0</v>
      </c>
      <c r="L43" s="14" cm="1">
        <f t="array" ref="L43">INT(SUMPRODUCT(--ISNUMBER(SEARCH(healthcare,C43)))&gt;0)</f>
        <v>0</v>
      </c>
      <c r="M43" s="14" cm="1">
        <f t="array" ref="M43">INT(SUMPRODUCT(--ISNUMBER(SEARCH(supreme,C43)))&gt;0)</f>
        <v>0</v>
      </c>
      <c r="N43" s="14" cm="1">
        <f t="array" ref="N43">INT(SUMPRODUCT(--ISNUMBER(SEARCH(covid,C43)))&gt;0)</f>
        <v>0</v>
      </c>
      <c r="O43" s="14" cm="1">
        <f t="array" ref="O43">INT(SUMPRODUCT(--ISNUMBER(SEARCH(violent,C43)))&gt;0)</f>
        <v>0</v>
      </c>
      <c r="P43" s="14" cm="1">
        <f t="array" ref="P43">INT(SUMPRODUCT(--ISNUMBER(SEARCH(foreign,C43)))&gt;0)</f>
        <v>0</v>
      </c>
      <c r="Q43" s="14" cm="1">
        <f t="array" ref="Q43">INT(SUMPRODUCT(--ISNUMBER(SEARCH(gun,C43)))&gt;0)</f>
        <v>0</v>
      </c>
      <c r="R43" s="14" cm="1">
        <f t="array" ref="R43">INT(SUMPRODUCT(--ISNUMBER(SEARCH(race,C43)))&gt;0)</f>
        <v>0</v>
      </c>
      <c r="S43" s="14" cm="1">
        <f t="array" ref="S43">INT(SUMPRODUCT(--ISNUMBER(SEARCH(immigration,C43)))&gt;0)</f>
        <v>0</v>
      </c>
      <c r="T43" s="14" cm="1">
        <f t="array" ref="T43">INT(SUMPRODUCT(--ISNUMBER(SEARCH(econineq,C44)))&gt;0)</f>
        <v>0</v>
      </c>
      <c r="U43" s="14" cm="1">
        <f t="array" ref="U43">INT(SUMPRODUCT(--ISNUMBER(SEARCH(climate,C43)))&gt;0)</f>
        <v>0</v>
      </c>
      <c r="V43" s="14" cm="1">
        <f t="array" ref="V43">INT(SUMPRODUCT(--ISNUMBER(SEARCH(abortion,C43)))&gt;0)</f>
        <v>0</v>
      </c>
      <c r="W43" s="14" cm="1">
        <f t="array" ref="W43">INT(SUMPRODUCT(--ISNUMBER(SEARCH(trump,C43)))&gt;0)</f>
        <v>0</v>
      </c>
      <c r="X43" s="14" cm="1">
        <f t="array" ref="X43">INT(SUMPRODUCT(--ISNUMBER(SEARCH(voting,C43)))&gt;0)</f>
        <v>1</v>
      </c>
      <c r="Y43" s="35" cm="1">
        <f t="array" ref="Y43">INT(SUMPRODUCT(--ISNUMBER(SEARCH(republicantrigger,C43)))&gt;0)</f>
        <v>1</v>
      </c>
      <c r="Z43" s="35" cm="1">
        <f t="array" ref="Z43">INT(SUMPRODUCT(--ISNUMBER(SEARCH(bipartisan,C43)))&gt;0)</f>
        <v>0</v>
      </c>
      <c r="AA43" s="35">
        <f t="shared" si="0"/>
        <v>0</v>
      </c>
      <c r="AB43" s="14"/>
      <c r="AC43" s="30">
        <v>0</v>
      </c>
      <c r="AD43" s="37">
        <v>1</v>
      </c>
    </row>
    <row r="44" spans="1:30" x14ac:dyDescent="0.25">
      <c r="A44" s="36">
        <v>3011</v>
      </c>
      <c r="B44" s="14" t="s">
        <v>6047</v>
      </c>
      <c r="C44" s="14" t="s">
        <v>6048</v>
      </c>
      <c r="D44" s="17">
        <v>44134</v>
      </c>
      <c r="E44" s="14" t="s">
        <v>30</v>
      </c>
      <c r="F44" s="14">
        <v>19</v>
      </c>
      <c r="G44" s="14">
        <v>10</v>
      </c>
      <c r="H44" s="14">
        <v>14</v>
      </c>
      <c r="I44" s="14">
        <v>7</v>
      </c>
      <c r="J44" s="14" t="s">
        <v>31</v>
      </c>
      <c r="K44" s="14" cm="1">
        <f t="array" ref="K44">INT(SUMPRODUCT(--ISNUMBER(SEARCH(economy,C44)))&gt;0)</f>
        <v>0</v>
      </c>
      <c r="L44" s="14" cm="1">
        <f t="array" ref="L44">INT(SUMPRODUCT(--ISNUMBER(SEARCH(healthcare,C44)))&gt;0)</f>
        <v>0</v>
      </c>
      <c r="M44" s="14" cm="1">
        <f t="array" ref="M44">INT(SUMPRODUCT(--ISNUMBER(SEARCH(supreme,C44)))&gt;0)</f>
        <v>0</v>
      </c>
      <c r="N44" s="14" cm="1">
        <f t="array" ref="N44">INT(SUMPRODUCT(--ISNUMBER(SEARCH(covid,C44)))&gt;0)</f>
        <v>0</v>
      </c>
      <c r="O44" s="14" cm="1">
        <f t="array" ref="O44">INT(SUMPRODUCT(--ISNUMBER(SEARCH(violent,C44)))&gt;0)</f>
        <v>0</v>
      </c>
      <c r="P44" s="14" cm="1">
        <f t="array" ref="P44">INT(SUMPRODUCT(--ISNUMBER(SEARCH(foreign,C44)))&gt;0)</f>
        <v>0</v>
      </c>
      <c r="Q44" s="14" cm="1">
        <f t="array" ref="Q44">INT(SUMPRODUCT(--ISNUMBER(SEARCH(gun,C44)))&gt;0)</f>
        <v>0</v>
      </c>
      <c r="R44" s="14" cm="1">
        <f t="array" ref="R44">INT(SUMPRODUCT(--ISNUMBER(SEARCH(race,C44)))&gt;0)</f>
        <v>0</v>
      </c>
      <c r="S44" s="14" cm="1">
        <f t="array" ref="S44">INT(SUMPRODUCT(--ISNUMBER(SEARCH(immigration,C44)))&gt;0)</f>
        <v>0</v>
      </c>
      <c r="T44" s="14" cm="1">
        <f t="array" ref="T44">INT(SUMPRODUCT(--ISNUMBER(SEARCH(econineq,C45)))&gt;0)</f>
        <v>0</v>
      </c>
      <c r="U44" s="14" cm="1">
        <f t="array" ref="U44">INT(SUMPRODUCT(--ISNUMBER(SEARCH(climate,C44)))&gt;0)</f>
        <v>0</v>
      </c>
      <c r="V44" s="14" cm="1">
        <f t="array" ref="V44">INT(SUMPRODUCT(--ISNUMBER(SEARCH(abortion,C44)))&gt;0)</f>
        <v>0</v>
      </c>
      <c r="W44" s="14" cm="1">
        <f t="array" ref="W44">INT(SUMPRODUCT(--ISNUMBER(SEARCH(trump,C44)))&gt;0)</f>
        <v>0</v>
      </c>
      <c r="X44" s="14" cm="1">
        <f t="array" ref="X44">INT(SUMPRODUCT(--ISNUMBER(SEARCH(voting,C44)))&gt;0)</f>
        <v>1</v>
      </c>
      <c r="Y44" s="35" cm="1">
        <f t="array" ref="Y44">INT(SUMPRODUCT(--ISNUMBER(SEARCH(republicantrigger,C44)))&gt;0)</f>
        <v>1</v>
      </c>
      <c r="Z44" s="35" cm="1">
        <f t="array" ref="Z44">INT(SUMPRODUCT(--ISNUMBER(SEARCH(bipartisan,C44)))&gt;0)</f>
        <v>0</v>
      </c>
      <c r="AA44" s="35">
        <f t="shared" si="0"/>
        <v>0</v>
      </c>
      <c r="AB44" s="14"/>
      <c r="AC44" s="30">
        <v>1</v>
      </c>
      <c r="AD44" s="37">
        <v>0</v>
      </c>
    </row>
    <row r="45" spans="1:30" x14ac:dyDescent="0.25">
      <c r="A45" s="36">
        <v>3012</v>
      </c>
      <c r="B45" s="14" t="s">
        <v>6049</v>
      </c>
      <c r="C45" s="14" t="s">
        <v>6050</v>
      </c>
      <c r="D45" s="17">
        <v>44134</v>
      </c>
      <c r="E45" s="14" t="s">
        <v>30</v>
      </c>
      <c r="F45" s="14">
        <v>15</v>
      </c>
      <c r="G45" s="14">
        <v>6</v>
      </c>
      <c r="H45" s="14">
        <v>14</v>
      </c>
      <c r="I45" s="14">
        <v>7</v>
      </c>
      <c r="J45" s="14" t="s">
        <v>31</v>
      </c>
      <c r="K45" s="14" cm="1">
        <f t="array" ref="K45">INT(SUMPRODUCT(--ISNUMBER(SEARCH(economy,C45)))&gt;0)</f>
        <v>0</v>
      </c>
      <c r="L45" s="14" cm="1">
        <f t="array" ref="L45">INT(SUMPRODUCT(--ISNUMBER(SEARCH(healthcare,C45)))&gt;0)</f>
        <v>0</v>
      </c>
      <c r="M45" s="14" cm="1">
        <f t="array" ref="M45">INT(SUMPRODUCT(--ISNUMBER(SEARCH(supreme,C45)))&gt;0)</f>
        <v>0</v>
      </c>
      <c r="N45" s="14" cm="1">
        <f t="array" ref="N45">INT(SUMPRODUCT(--ISNUMBER(SEARCH(covid,C45)))&gt;0)</f>
        <v>0</v>
      </c>
      <c r="O45" s="14" cm="1">
        <f t="array" ref="O45">INT(SUMPRODUCT(--ISNUMBER(SEARCH(violent,C45)))&gt;0)</f>
        <v>0</v>
      </c>
      <c r="P45" s="14" cm="1">
        <f t="array" ref="P45">INT(SUMPRODUCT(--ISNUMBER(SEARCH(foreign,C45)))&gt;0)</f>
        <v>0</v>
      </c>
      <c r="Q45" s="14" cm="1">
        <f t="array" ref="Q45">INT(SUMPRODUCT(--ISNUMBER(SEARCH(gun,C45)))&gt;0)</f>
        <v>1</v>
      </c>
      <c r="R45" s="14" cm="1">
        <f t="array" ref="R45">INT(SUMPRODUCT(--ISNUMBER(SEARCH(race,C45)))&gt;0)</f>
        <v>0</v>
      </c>
      <c r="S45" s="14" cm="1">
        <f t="array" ref="S45">INT(SUMPRODUCT(--ISNUMBER(SEARCH(immigration,C45)))&gt;0)</f>
        <v>0</v>
      </c>
      <c r="T45" s="14" cm="1">
        <f t="array" ref="T45">INT(SUMPRODUCT(--ISNUMBER(SEARCH(econineq,C46)))&gt;0)</f>
        <v>0</v>
      </c>
      <c r="U45" s="14" cm="1">
        <f t="array" ref="U45">INT(SUMPRODUCT(--ISNUMBER(SEARCH(climate,C45)))&gt;0)</f>
        <v>0</v>
      </c>
      <c r="V45" s="14" cm="1">
        <f t="array" ref="V45">INT(SUMPRODUCT(--ISNUMBER(SEARCH(abortion,C45)))&gt;0)</f>
        <v>0</v>
      </c>
      <c r="W45" s="14" cm="1">
        <f t="array" ref="W45">INT(SUMPRODUCT(--ISNUMBER(SEARCH(trump,C45)))&gt;0)</f>
        <v>0</v>
      </c>
      <c r="X45" s="14" cm="1">
        <f t="array" ref="X45">INT(SUMPRODUCT(--ISNUMBER(SEARCH(voting,C45)))&gt;0)</f>
        <v>0</v>
      </c>
      <c r="Y45" s="35" cm="1">
        <f t="array" ref="Y45">INT(SUMPRODUCT(--ISNUMBER(SEARCH(republicantrigger,C45)))&gt;0)</f>
        <v>0</v>
      </c>
      <c r="Z45" s="35" cm="1">
        <f t="array" ref="Z45">INT(SUMPRODUCT(--ISNUMBER(SEARCH(bipartisan,C45)))&gt;0)</f>
        <v>0</v>
      </c>
      <c r="AA45" s="35">
        <f t="shared" si="0"/>
        <v>0</v>
      </c>
      <c r="AB45" s="14"/>
      <c r="AC45" s="30">
        <v>1</v>
      </c>
      <c r="AD45" s="37">
        <v>0</v>
      </c>
    </row>
    <row r="46" spans="1:30" x14ac:dyDescent="0.25">
      <c r="A46" s="36">
        <v>3013</v>
      </c>
      <c r="B46" s="14" t="s">
        <v>6051</v>
      </c>
      <c r="C46" s="14" t="s">
        <v>6052</v>
      </c>
      <c r="D46" s="17">
        <v>44134</v>
      </c>
      <c r="E46" s="14" t="s">
        <v>30</v>
      </c>
      <c r="F46" s="14">
        <v>19</v>
      </c>
      <c r="G46" s="14">
        <v>9</v>
      </c>
      <c r="H46" s="14">
        <v>14</v>
      </c>
      <c r="I46" s="14">
        <v>7</v>
      </c>
      <c r="J46" s="14" t="s">
        <v>31</v>
      </c>
      <c r="K46" s="14" cm="1">
        <f t="array" ref="K46">INT(SUMPRODUCT(--ISNUMBER(SEARCH(economy,C46)))&gt;0)</f>
        <v>0</v>
      </c>
      <c r="L46" s="14" cm="1">
        <f t="array" ref="L46">INT(SUMPRODUCT(--ISNUMBER(SEARCH(healthcare,C46)))&gt;0)</f>
        <v>0</v>
      </c>
      <c r="M46" s="14" cm="1">
        <f t="array" ref="M46">INT(SUMPRODUCT(--ISNUMBER(SEARCH(supreme,C46)))&gt;0)</f>
        <v>0</v>
      </c>
      <c r="N46" s="14" cm="1">
        <f t="array" ref="N46">INT(SUMPRODUCT(--ISNUMBER(SEARCH(covid,C46)))&gt;0)</f>
        <v>0</v>
      </c>
      <c r="O46" s="14" cm="1">
        <f t="array" ref="O46">INT(SUMPRODUCT(--ISNUMBER(SEARCH(violent,C46)))&gt;0)</f>
        <v>0</v>
      </c>
      <c r="P46" s="14" cm="1">
        <f t="array" ref="P46">INT(SUMPRODUCT(--ISNUMBER(SEARCH(foreign,C46)))&gt;0)</f>
        <v>1</v>
      </c>
      <c r="Q46" s="14" cm="1">
        <f t="array" ref="Q46">INT(SUMPRODUCT(--ISNUMBER(SEARCH(gun,C46)))&gt;0)</f>
        <v>0</v>
      </c>
      <c r="R46" s="14" cm="1">
        <f t="array" ref="R46">INT(SUMPRODUCT(--ISNUMBER(SEARCH(race,C46)))&gt;0)</f>
        <v>0</v>
      </c>
      <c r="S46" s="14" cm="1">
        <f t="array" ref="S46">INT(SUMPRODUCT(--ISNUMBER(SEARCH(immigration,C46)))&gt;0)</f>
        <v>0</v>
      </c>
      <c r="T46" s="14" cm="1">
        <f t="array" ref="T46">INT(SUMPRODUCT(--ISNUMBER(SEARCH(econineq,C47)))&gt;0)</f>
        <v>0</v>
      </c>
      <c r="U46" s="14" cm="1">
        <f t="array" ref="U46">INT(SUMPRODUCT(--ISNUMBER(SEARCH(climate,C46)))&gt;0)</f>
        <v>1</v>
      </c>
      <c r="V46" s="14" cm="1">
        <f t="array" ref="V46">INT(SUMPRODUCT(--ISNUMBER(SEARCH(abortion,C46)))&gt;0)</f>
        <v>0</v>
      </c>
      <c r="W46" s="14" cm="1">
        <f t="array" ref="W46">INT(SUMPRODUCT(--ISNUMBER(SEARCH(trump,C46)))&gt;0)</f>
        <v>0</v>
      </c>
      <c r="X46" s="14" cm="1">
        <f t="array" ref="X46">INT(SUMPRODUCT(--ISNUMBER(SEARCH(voting,C46)))&gt;0)</f>
        <v>0</v>
      </c>
      <c r="Y46" s="35" cm="1">
        <f t="array" ref="Y46">INT(SUMPRODUCT(--ISNUMBER(SEARCH(republicantrigger,C46)))&gt;0)</f>
        <v>0</v>
      </c>
      <c r="Z46" s="35" cm="1">
        <f t="array" ref="Z46">INT(SUMPRODUCT(--ISNUMBER(SEARCH(bipartisan,C46)))&gt;0)</f>
        <v>0</v>
      </c>
      <c r="AA46" s="35">
        <f t="shared" si="0"/>
        <v>0</v>
      </c>
      <c r="AB46" s="14"/>
      <c r="AC46" s="30">
        <v>1</v>
      </c>
      <c r="AD46" s="37">
        <v>0</v>
      </c>
    </row>
    <row r="47" spans="1:30" x14ac:dyDescent="0.25">
      <c r="A47" s="36">
        <v>3014</v>
      </c>
      <c r="B47" s="14" t="s">
        <v>6053</v>
      </c>
      <c r="C47" s="14" t="s">
        <v>6054</v>
      </c>
      <c r="D47" s="17">
        <v>44134</v>
      </c>
      <c r="E47" s="14" t="s">
        <v>30</v>
      </c>
      <c r="F47" s="14">
        <v>17</v>
      </c>
      <c r="G47" s="14">
        <v>8</v>
      </c>
      <c r="H47" s="14">
        <v>14</v>
      </c>
      <c r="I47" s="14">
        <v>7</v>
      </c>
      <c r="J47" s="14" t="s">
        <v>31</v>
      </c>
      <c r="K47" s="14" cm="1">
        <f t="array" ref="K47">INT(SUMPRODUCT(--ISNUMBER(SEARCH(economy,C47)))&gt;0)</f>
        <v>0</v>
      </c>
      <c r="L47" s="14" cm="1">
        <f t="array" ref="L47">INT(SUMPRODUCT(--ISNUMBER(SEARCH(healthcare,C47)))&gt;0)</f>
        <v>0</v>
      </c>
      <c r="M47" s="14" cm="1">
        <f t="array" ref="M47">INT(SUMPRODUCT(--ISNUMBER(SEARCH(supreme,C47)))&gt;0)</f>
        <v>0</v>
      </c>
      <c r="N47" s="14" cm="1">
        <f t="array" ref="N47">INT(SUMPRODUCT(--ISNUMBER(SEARCH(covid,C47)))&gt;0)</f>
        <v>0</v>
      </c>
      <c r="O47" s="14" cm="1">
        <f t="array" ref="O47">INT(SUMPRODUCT(--ISNUMBER(SEARCH(violent,C47)))&gt;0)</f>
        <v>0</v>
      </c>
      <c r="P47" s="14" cm="1">
        <f t="array" ref="P47">INT(SUMPRODUCT(--ISNUMBER(SEARCH(foreign,C47)))&gt;0)</f>
        <v>0</v>
      </c>
      <c r="Q47" s="14" cm="1">
        <f t="array" ref="Q47">INT(SUMPRODUCT(--ISNUMBER(SEARCH(gun,C47)))&gt;0)</f>
        <v>0</v>
      </c>
      <c r="R47" s="14" cm="1">
        <f t="array" ref="R47">INT(SUMPRODUCT(--ISNUMBER(SEARCH(race,C47)))&gt;0)</f>
        <v>0</v>
      </c>
      <c r="S47" s="14" cm="1">
        <f t="array" ref="S47">INT(SUMPRODUCT(--ISNUMBER(SEARCH(immigration,C47)))&gt;0)</f>
        <v>0</v>
      </c>
      <c r="T47" s="14" cm="1">
        <f t="array" ref="T47">INT(SUMPRODUCT(--ISNUMBER(SEARCH(econineq,C48)))&gt;0)</f>
        <v>0</v>
      </c>
      <c r="U47" s="14" cm="1">
        <f t="array" ref="U47">INT(SUMPRODUCT(--ISNUMBER(SEARCH(climate,C47)))&gt;0)</f>
        <v>0</v>
      </c>
      <c r="V47" s="14" cm="1">
        <f t="array" ref="V47">INT(SUMPRODUCT(--ISNUMBER(SEARCH(abortion,C47)))&gt;0)</f>
        <v>0</v>
      </c>
      <c r="W47" s="14" cm="1">
        <f t="array" ref="W47">INT(SUMPRODUCT(--ISNUMBER(SEARCH(trump,C47)))&gt;0)</f>
        <v>0</v>
      </c>
      <c r="X47" s="14" cm="1">
        <f t="array" ref="X47">INT(SUMPRODUCT(--ISNUMBER(SEARCH(voting,C47)))&gt;0)</f>
        <v>1</v>
      </c>
      <c r="Y47" s="35" cm="1">
        <f t="array" ref="Y47">INT(SUMPRODUCT(--ISNUMBER(SEARCH(republicantrigger,C47)))&gt;0)</f>
        <v>0</v>
      </c>
      <c r="Z47" s="35" cm="1">
        <f t="array" ref="Z47">INT(SUMPRODUCT(--ISNUMBER(SEARCH(bipartisan,C47)))&gt;0)</f>
        <v>0</v>
      </c>
      <c r="AA47" s="35">
        <f t="shared" si="0"/>
        <v>0</v>
      </c>
      <c r="AB47" s="14"/>
      <c r="AC47" s="30">
        <v>1</v>
      </c>
      <c r="AD47" s="37">
        <v>0</v>
      </c>
    </row>
    <row r="48" spans="1:30" x14ac:dyDescent="0.25">
      <c r="A48" s="36">
        <v>3015</v>
      </c>
      <c r="B48" s="14" t="s">
        <v>6055</v>
      </c>
      <c r="C48" s="14" t="s">
        <v>6056</v>
      </c>
      <c r="D48" s="17">
        <v>44134</v>
      </c>
      <c r="E48" s="14" t="s">
        <v>30</v>
      </c>
      <c r="F48" s="14">
        <v>23</v>
      </c>
      <c r="G48" s="14">
        <v>5</v>
      </c>
      <c r="H48" s="14">
        <v>14</v>
      </c>
      <c r="I48" s="14">
        <v>7</v>
      </c>
      <c r="J48" s="14" t="s">
        <v>31</v>
      </c>
      <c r="K48" s="14" cm="1">
        <f t="array" ref="K48">INT(SUMPRODUCT(--ISNUMBER(SEARCH(economy,C48)))&gt;0)</f>
        <v>1</v>
      </c>
      <c r="L48" s="14" cm="1">
        <f t="array" ref="L48">INT(SUMPRODUCT(--ISNUMBER(SEARCH(healthcare,C48)))&gt;0)</f>
        <v>0</v>
      </c>
      <c r="M48" s="14" cm="1">
        <f t="array" ref="M48">INT(SUMPRODUCT(--ISNUMBER(SEARCH(supreme,C48)))&gt;0)</f>
        <v>0</v>
      </c>
      <c r="N48" s="14" cm="1">
        <f t="array" ref="N48">INT(SUMPRODUCT(--ISNUMBER(SEARCH(covid,C48)))&gt;0)</f>
        <v>0</v>
      </c>
      <c r="O48" s="14" cm="1">
        <f t="array" ref="O48">INT(SUMPRODUCT(--ISNUMBER(SEARCH(violent,C48)))&gt;0)</f>
        <v>0</v>
      </c>
      <c r="P48" s="14" cm="1">
        <f t="array" ref="P48">INT(SUMPRODUCT(--ISNUMBER(SEARCH(foreign,C48)))&gt;0)</f>
        <v>0</v>
      </c>
      <c r="Q48" s="14" cm="1">
        <f t="array" ref="Q48">INT(SUMPRODUCT(--ISNUMBER(SEARCH(gun,C48)))&gt;0)</f>
        <v>0</v>
      </c>
      <c r="R48" s="14" cm="1">
        <f t="array" ref="R48">INT(SUMPRODUCT(--ISNUMBER(SEARCH(race,C48)))&gt;0)</f>
        <v>0</v>
      </c>
      <c r="S48" s="14" cm="1">
        <f t="array" ref="S48">INT(SUMPRODUCT(--ISNUMBER(SEARCH(immigration,C48)))&gt;0)</f>
        <v>0</v>
      </c>
      <c r="T48" s="14" cm="1">
        <f t="array" ref="T48">INT(SUMPRODUCT(--ISNUMBER(SEARCH(econineq,C49)))&gt;0)</f>
        <v>0</v>
      </c>
      <c r="U48" s="14" cm="1">
        <f t="array" ref="U48">INT(SUMPRODUCT(--ISNUMBER(SEARCH(climate,C48)))&gt;0)</f>
        <v>0</v>
      </c>
      <c r="V48" s="14" cm="1">
        <f t="array" ref="V48">INT(SUMPRODUCT(--ISNUMBER(SEARCH(abortion,C48)))&gt;0)</f>
        <v>0</v>
      </c>
      <c r="W48" s="14" cm="1">
        <f t="array" ref="W48">INT(SUMPRODUCT(--ISNUMBER(SEARCH(trump,C48)))&gt;0)</f>
        <v>0</v>
      </c>
      <c r="X48" s="14" cm="1">
        <f t="array" ref="X48">INT(SUMPRODUCT(--ISNUMBER(SEARCH(voting,C48)))&gt;0)</f>
        <v>1</v>
      </c>
      <c r="Y48" s="35" cm="1">
        <f t="array" ref="Y48">INT(SUMPRODUCT(--ISNUMBER(SEARCH(republicantrigger,C48)))&gt;0)</f>
        <v>0</v>
      </c>
      <c r="Z48" s="35" cm="1">
        <f t="array" ref="Z48">INT(SUMPRODUCT(--ISNUMBER(SEARCH(bipartisan,C48)))&gt;0)</f>
        <v>0</v>
      </c>
      <c r="AA48" s="35">
        <f t="shared" si="0"/>
        <v>0</v>
      </c>
      <c r="AB48" s="14"/>
      <c r="AC48" s="30">
        <v>1</v>
      </c>
      <c r="AD48" s="37">
        <v>0</v>
      </c>
    </row>
    <row r="49" spans="1:30" x14ac:dyDescent="0.25">
      <c r="A49" s="36">
        <v>3016</v>
      </c>
      <c r="B49" s="14" t="s">
        <v>6057</v>
      </c>
      <c r="C49" s="14" t="s">
        <v>6058</v>
      </c>
      <c r="D49" s="17">
        <v>44133</v>
      </c>
      <c r="E49" s="14" t="s">
        <v>30</v>
      </c>
      <c r="F49" s="14">
        <v>12</v>
      </c>
      <c r="G49" s="14">
        <v>2</v>
      </c>
      <c r="H49" s="14">
        <v>14</v>
      </c>
      <c r="I49" s="14">
        <v>7</v>
      </c>
      <c r="J49" s="14" t="s">
        <v>31</v>
      </c>
      <c r="K49" s="14" cm="1">
        <f t="array" ref="K49">INT(SUMPRODUCT(--ISNUMBER(SEARCH(economy,C49)))&gt;0)</f>
        <v>0</v>
      </c>
      <c r="L49" s="14" cm="1">
        <f t="array" ref="L49">INT(SUMPRODUCT(--ISNUMBER(SEARCH(healthcare,C49)))&gt;0)</f>
        <v>0</v>
      </c>
      <c r="M49" s="14" cm="1">
        <f t="array" ref="M49">INT(SUMPRODUCT(--ISNUMBER(SEARCH(supreme,C49)))&gt;0)</f>
        <v>0</v>
      </c>
      <c r="N49" s="14" cm="1">
        <f t="array" ref="N49">INT(SUMPRODUCT(--ISNUMBER(SEARCH(covid,C49)))&gt;0)</f>
        <v>0</v>
      </c>
      <c r="O49" s="14" cm="1">
        <f t="array" ref="O49">INT(SUMPRODUCT(--ISNUMBER(SEARCH(violent,C49)))&gt;0)</f>
        <v>0</v>
      </c>
      <c r="P49" s="14" cm="1">
        <f t="array" ref="P49">INT(SUMPRODUCT(--ISNUMBER(SEARCH(foreign,C49)))&gt;0)</f>
        <v>0</v>
      </c>
      <c r="Q49" s="14" cm="1">
        <f t="array" ref="Q49">INT(SUMPRODUCT(--ISNUMBER(SEARCH(gun,C49)))&gt;0)</f>
        <v>0</v>
      </c>
      <c r="R49" s="14" cm="1">
        <f t="array" ref="R49">INT(SUMPRODUCT(--ISNUMBER(SEARCH(race,C49)))&gt;0)</f>
        <v>0</v>
      </c>
      <c r="S49" s="14" cm="1">
        <f t="array" ref="S49">INT(SUMPRODUCT(--ISNUMBER(SEARCH(immigration,C49)))&gt;0)</f>
        <v>0</v>
      </c>
      <c r="T49" s="14" cm="1">
        <f t="array" ref="T49">INT(SUMPRODUCT(--ISNUMBER(SEARCH(econineq,C50)))&gt;0)</f>
        <v>0</v>
      </c>
      <c r="U49" s="14" cm="1">
        <f t="array" ref="U49">INT(SUMPRODUCT(--ISNUMBER(SEARCH(climate,C49)))&gt;0)</f>
        <v>0</v>
      </c>
      <c r="V49" s="14" cm="1">
        <f t="array" ref="V49">INT(SUMPRODUCT(--ISNUMBER(SEARCH(abortion,C49)))&gt;0)</f>
        <v>0</v>
      </c>
      <c r="W49" s="14" cm="1">
        <f t="array" ref="W49">INT(SUMPRODUCT(--ISNUMBER(SEARCH(trump,C49)))&gt;0)</f>
        <v>0</v>
      </c>
      <c r="X49" s="14" cm="1">
        <f t="array" ref="X49">INT(SUMPRODUCT(--ISNUMBER(SEARCH(voting,C49)))&gt;0)</f>
        <v>0</v>
      </c>
      <c r="Y49" s="35" cm="1">
        <f t="array" ref="Y49">INT(SUMPRODUCT(--ISNUMBER(SEARCH(republicantrigger,C49)))&gt;0)</f>
        <v>0</v>
      </c>
      <c r="Z49" s="35" cm="1">
        <f t="array" ref="Z49">INT(SUMPRODUCT(--ISNUMBER(SEARCH(bipartisan,C49)))&gt;0)</f>
        <v>0</v>
      </c>
      <c r="AA49" s="35">
        <f t="shared" si="0"/>
        <v>1</v>
      </c>
      <c r="AB49" s="14"/>
      <c r="AC49" s="30">
        <v>1</v>
      </c>
      <c r="AD49" s="37">
        <v>0</v>
      </c>
    </row>
    <row r="50" spans="1:30" x14ac:dyDescent="0.25">
      <c r="A50" s="36">
        <v>3017</v>
      </c>
      <c r="B50" s="14" t="s">
        <v>6059</v>
      </c>
      <c r="C50" s="14" t="s">
        <v>6060</v>
      </c>
      <c r="D50" s="17">
        <v>44133</v>
      </c>
      <c r="E50" s="14" t="s">
        <v>30</v>
      </c>
      <c r="F50" s="14">
        <v>12</v>
      </c>
      <c r="G50" s="14">
        <v>7</v>
      </c>
      <c r="H50" s="14">
        <v>14</v>
      </c>
      <c r="I50" s="14">
        <v>7</v>
      </c>
      <c r="J50" s="14" t="s">
        <v>31</v>
      </c>
      <c r="K50" s="14" cm="1">
        <f t="array" ref="K50">INT(SUMPRODUCT(--ISNUMBER(SEARCH(economy,C50)))&gt;0)</f>
        <v>0</v>
      </c>
      <c r="L50" s="14" cm="1">
        <f t="array" ref="L50">INT(SUMPRODUCT(--ISNUMBER(SEARCH(healthcare,C50)))&gt;0)</f>
        <v>0</v>
      </c>
      <c r="M50" s="14" cm="1">
        <f t="array" ref="M50">INT(SUMPRODUCT(--ISNUMBER(SEARCH(supreme,C50)))&gt;0)</f>
        <v>0</v>
      </c>
      <c r="N50" s="14" cm="1">
        <f t="array" ref="N50">INT(SUMPRODUCT(--ISNUMBER(SEARCH(covid,C50)))&gt;0)</f>
        <v>0</v>
      </c>
      <c r="O50" s="14" cm="1">
        <f t="array" ref="O50">INT(SUMPRODUCT(--ISNUMBER(SEARCH(violent,C50)))&gt;0)</f>
        <v>0</v>
      </c>
      <c r="P50" s="14" cm="1">
        <f t="array" ref="P50">INT(SUMPRODUCT(--ISNUMBER(SEARCH(foreign,C50)))&gt;0)</f>
        <v>0</v>
      </c>
      <c r="Q50" s="14" cm="1">
        <f t="array" ref="Q50">INT(SUMPRODUCT(--ISNUMBER(SEARCH(gun,C50)))&gt;0)</f>
        <v>0</v>
      </c>
      <c r="R50" s="14" cm="1">
        <f t="array" ref="R50">INT(SUMPRODUCT(--ISNUMBER(SEARCH(race,C50)))&gt;0)</f>
        <v>0</v>
      </c>
      <c r="S50" s="14" cm="1">
        <f t="array" ref="S50">INT(SUMPRODUCT(--ISNUMBER(SEARCH(immigration,C50)))&gt;0)</f>
        <v>0</v>
      </c>
      <c r="T50" s="14" cm="1">
        <f t="array" ref="T50">INT(SUMPRODUCT(--ISNUMBER(SEARCH(econineq,C51)))&gt;0)</f>
        <v>0</v>
      </c>
      <c r="U50" s="14" cm="1">
        <f t="array" ref="U50">INT(SUMPRODUCT(--ISNUMBER(SEARCH(climate,C50)))&gt;0)</f>
        <v>0</v>
      </c>
      <c r="V50" s="14" cm="1">
        <f t="array" ref="V50">INT(SUMPRODUCT(--ISNUMBER(SEARCH(abortion,C50)))&gt;0)</f>
        <v>0</v>
      </c>
      <c r="W50" s="14" cm="1">
        <f t="array" ref="W50">INT(SUMPRODUCT(--ISNUMBER(SEARCH(trump,C50)))&gt;0)</f>
        <v>0</v>
      </c>
      <c r="X50" s="14" cm="1">
        <f t="array" ref="X50">INT(SUMPRODUCT(--ISNUMBER(SEARCH(voting,C50)))&gt;0)</f>
        <v>1</v>
      </c>
      <c r="Y50" s="35" cm="1">
        <f t="array" ref="Y50">INT(SUMPRODUCT(--ISNUMBER(SEARCH(republicantrigger,C50)))&gt;0)</f>
        <v>1</v>
      </c>
      <c r="Z50" s="35" cm="1">
        <f t="array" ref="Z50">INT(SUMPRODUCT(--ISNUMBER(SEARCH(bipartisan,C50)))&gt;0)</f>
        <v>0</v>
      </c>
      <c r="AA50" s="35">
        <f t="shared" si="0"/>
        <v>0</v>
      </c>
      <c r="AB50" s="14"/>
      <c r="AC50" s="30">
        <v>1</v>
      </c>
      <c r="AD50" s="37">
        <v>0</v>
      </c>
    </row>
    <row r="51" spans="1:30" x14ac:dyDescent="0.25">
      <c r="A51" s="36">
        <v>3018</v>
      </c>
      <c r="B51" s="14" t="s">
        <v>6061</v>
      </c>
      <c r="C51" s="14" t="s">
        <v>6062</v>
      </c>
      <c r="D51" s="17">
        <v>44133</v>
      </c>
      <c r="E51" s="14" t="s">
        <v>30</v>
      </c>
      <c r="F51" s="14">
        <v>10</v>
      </c>
      <c r="G51" s="14">
        <v>2</v>
      </c>
      <c r="H51" s="14">
        <v>14</v>
      </c>
      <c r="I51" s="14">
        <v>7</v>
      </c>
      <c r="J51" s="14" t="s">
        <v>31</v>
      </c>
      <c r="K51" s="14" cm="1">
        <f t="array" ref="K51">INT(SUMPRODUCT(--ISNUMBER(SEARCH(economy,C51)))&gt;0)</f>
        <v>0</v>
      </c>
      <c r="L51" s="14" cm="1">
        <f t="array" ref="L51">INT(SUMPRODUCT(--ISNUMBER(SEARCH(healthcare,C51)))&gt;0)</f>
        <v>0</v>
      </c>
      <c r="M51" s="14" cm="1">
        <f t="array" ref="M51">INT(SUMPRODUCT(--ISNUMBER(SEARCH(supreme,C51)))&gt;0)</f>
        <v>0</v>
      </c>
      <c r="N51" s="14" cm="1">
        <f t="array" ref="N51">INT(SUMPRODUCT(--ISNUMBER(SEARCH(covid,C51)))&gt;0)</f>
        <v>0</v>
      </c>
      <c r="O51" s="14" cm="1">
        <f t="array" ref="O51">INT(SUMPRODUCT(--ISNUMBER(SEARCH(violent,C51)))&gt;0)</f>
        <v>0</v>
      </c>
      <c r="P51" s="14" cm="1">
        <f t="array" ref="P51">INT(SUMPRODUCT(--ISNUMBER(SEARCH(foreign,C51)))&gt;0)</f>
        <v>0</v>
      </c>
      <c r="Q51" s="14" cm="1">
        <f t="array" ref="Q51">INT(SUMPRODUCT(--ISNUMBER(SEARCH(gun,C51)))&gt;0)</f>
        <v>0</v>
      </c>
      <c r="R51" s="14" cm="1">
        <f t="array" ref="R51">INT(SUMPRODUCT(--ISNUMBER(SEARCH(race,C51)))&gt;0)</f>
        <v>0</v>
      </c>
      <c r="S51" s="14" cm="1">
        <f t="array" ref="S51">INT(SUMPRODUCT(--ISNUMBER(SEARCH(immigration,C51)))&gt;0)</f>
        <v>0</v>
      </c>
      <c r="T51" s="14" cm="1">
        <f t="array" ref="T51">INT(SUMPRODUCT(--ISNUMBER(SEARCH(econineq,C52)))&gt;0)</f>
        <v>0</v>
      </c>
      <c r="U51" s="14" cm="1">
        <f t="array" ref="U51">INT(SUMPRODUCT(--ISNUMBER(SEARCH(climate,C51)))&gt;0)</f>
        <v>0</v>
      </c>
      <c r="V51" s="14" cm="1">
        <f t="array" ref="V51">INT(SUMPRODUCT(--ISNUMBER(SEARCH(abortion,C51)))&gt;0)</f>
        <v>0</v>
      </c>
      <c r="W51" s="14" cm="1">
        <f t="array" ref="W51">INT(SUMPRODUCT(--ISNUMBER(SEARCH(trump,C51)))&gt;0)</f>
        <v>0</v>
      </c>
      <c r="X51" s="14" cm="1">
        <f t="array" ref="X51">INT(SUMPRODUCT(--ISNUMBER(SEARCH(voting,C51)))&gt;0)</f>
        <v>1</v>
      </c>
      <c r="Y51" s="35" cm="1">
        <f t="array" ref="Y51">INT(SUMPRODUCT(--ISNUMBER(SEARCH(republicantrigger,C51)))&gt;0)</f>
        <v>0</v>
      </c>
      <c r="Z51" s="35" cm="1">
        <f t="array" ref="Z51">INT(SUMPRODUCT(--ISNUMBER(SEARCH(bipartisan,C51)))&gt;0)</f>
        <v>0</v>
      </c>
      <c r="AA51" s="35">
        <f t="shared" si="0"/>
        <v>0</v>
      </c>
      <c r="AB51" s="14"/>
      <c r="AC51" s="30">
        <v>1</v>
      </c>
      <c r="AD51" s="37">
        <v>0</v>
      </c>
    </row>
    <row r="52" spans="1:30" x14ac:dyDescent="0.25">
      <c r="A52" s="36">
        <v>3019</v>
      </c>
      <c r="B52" s="14" t="s">
        <v>6063</v>
      </c>
      <c r="C52" s="14" t="s">
        <v>6064</v>
      </c>
      <c r="D52" s="17">
        <v>44133</v>
      </c>
      <c r="E52" s="14" t="s">
        <v>30</v>
      </c>
      <c r="F52" s="14">
        <v>13</v>
      </c>
      <c r="G52" s="14">
        <v>8</v>
      </c>
      <c r="H52" s="14">
        <v>14</v>
      </c>
      <c r="I52" s="14">
        <v>7</v>
      </c>
      <c r="J52" s="14" t="s">
        <v>31</v>
      </c>
      <c r="K52" s="14" cm="1">
        <f t="array" ref="K52">INT(SUMPRODUCT(--ISNUMBER(SEARCH(economy,C52)))&gt;0)</f>
        <v>1</v>
      </c>
      <c r="L52" s="14" cm="1">
        <f t="array" ref="L52">INT(SUMPRODUCT(--ISNUMBER(SEARCH(healthcare,C52)))&gt;0)</f>
        <v>0</v>
      </c>
      <c r="M52" s="14" cm="1">
        <f t="array" ref="M52">INT(SUMPRODUCT(--ISNUMBER(SEARCH(supreme,C52)))&gt;0)</f>
        <v>0</v>
      </c>
      <c r="N52" s="14" cm="1">
        <f t="array" ref="N52">INT(SUMPRODUCT(--ISNUMBER(SEARCH(covid,C52)))&gt;0)</f>
        <v>0</v>
      </c>
      <c r="O52" s="14" cm="1">
        <f t="array" ref="O52">INT(SUMPRODUCT(--ISNUMBER(SEARCH(violent,C52)))&gt;0)</f>
        <v>0</v>
      </c>
      <c r="P52" s="14" cm="1">
        <f t="array" ref="P52">INT(SUMPRODUCT(--ISNUMBER(SEARCH(foreign,C52)))&gt;0)</f>
        <v>0</v>
      </c>
      <c r="Q52" s="14" cm="1">
        <f t="array" ref="Q52">INT(SUMPRODUCT(--ISNUMBER(SEARCH(gun,C52)))&gt;0)</f>
        <v>0</v>
      </c>
      <c r="R52" s="14" cm="1">
        <f t="array" ref="R52">INT(SUMPRODUCT(--ISNUMBER(SEARCH(race,C52)))&gt;0)</f>
        <v>0</v>
      </c>
      <c r="S52" s="14" cm="1">
        <f t="array" ref="S52">INT(SUMPRODUCT(--ISNUMBER(SEARCH(immigration,C52)))&gt;0)</f>
        <v>0</v>
      </c>
      <c r="T52" s="14" cm="1">
        <f t="array" ref="T52">INT(SUMPRODUCT(--ISNUMBER(SEARCH(econineq,C53)))&gt;0)</f>
        <v>0</v>
      </c>
      <c r="U52" s="14" cm="1">
        <f t="array" ref="U52">INT(SUMPRODUCT(--ISNUMBER(SEARCH(climate,C52)))&gt;0)</f>
        <v>0</v>
      </c>
      <c r="V52" s="14" cm="1">
        <f t="array" ref="V52">INT(SUMPRODUCT(--ISNUMBER(SEARCH(abortion,C52)))&gt;0)</f>
        <v>0</v>
      </c>
      <c r="W52" s="14" cm="1">
        <f t="array" ref="W52">INT(SUMPRODUCT(--ISNUMBER(SEARCH(trump,C52)))&gt;0)</f>
        <v>1</v>
      </c>
      <c r="X52" s="14" cm="1">
        <f t="array" ref="X52">INT(SUMPRODUCT(--ISNUMBER(SEARCH(voting,C52)))&gt;0)</f>
        <v>0</v>
      </c>
      <c r="Y52" s="35" cm="1">
        <f t="array" ref="Y52">INT(SUMPRODUCT(--ISNUMBER(SEARCH(republicantrigger,C52)))&gt;0)</f>
        <v>0</v>
      </c>
      <c r="Z52" s="35" cm="1">
        <f t="array" ref="Z52">INT(SUMPRODUCT(--ISNUMBER(SEARCH(bipartisan,C52)))&gt;0)</f>
        <v>0</v>
      </c>
      <c r="AA52" s="35">
        <f t="shared" si="0"/>
        <v>0</v>
      </c>
      <c r="AB52" s="14"/>
      <c r="AC52" s="30" t="s">
        <v>223</v>
      </c>
      <c r="AD52" s="37" t="s">
        <v>223</v>
      </c>
    </row>
    <row r="53" spans="1:30" x14ac:dyDescent="0.25">
      <c r="A53" s="36">
        <v>3020</v>
      </c>
      <c r="B53" s="14" t="s">
        <v>6065</v>
      </c>
      <c r="C53" s="14" t="s">
        <v>6066</v>
      </c>
      <c r="D53" s="17">
        <v>44133</v>
      </c>
      <c r="E53" s="14" t="s">
        <v>30</v>
      </c>
      <c r="F53" s="14">
        <v>25</v>
      </c>
      <c r="G53" s="14">
        <v>10</v>
      </c>
      <c r="H53" s="14">
        <v>14</v>
      </c>
      <c r="I53" s="14">
        <v>7</v>
      </c>
      <c r="J53" s="14" t="s">
        <v>31</v>
      </c>
      <c r="K53" s="14" cm="1">
        <f t="array" ref="K53">INT(SUMPRODUCT(--ISNUMBER(SEARCH(economy,C53)))&gt;0)</f>
        <v>0</v>
      </c>
      <c r="L53" s="14" cm="1">
        <f t="array" ref="L53">INT(SUMPRODUCT(--ISNUMBER(SEARCH(healthcare,C53)))&gt;0)</f>
        <v>0</v>
      </c>
      <c r="M53" s="14" cm="1">
        <f t="array" ref="M53">INT(SUMPRODUCT(--ISNUMBER(SEARCH(supreme,C53)))&gt;0)</f>
        <v>0</v>
      </c>
      <c r="N53" s="14" cm="1">
        <f t="array" ref="N53">INT(SUMPRODUCT(--ISNUMBER(SEARCH(covid,C53)))&gt;0)</f>
        <v>0</v>
      </c>
      <c r="O53" s="14" cm="1">
        <f t="array" ref="O53">INT(SUMPRODUCT(--ISNUMBER(SEARCH(violent,C53)))&gt;0)</f>
        <v>0</v>
      </c>
      <c r="P53" s="14" cm="1">
        <f t="array" ref="P53">INT(SUMPRODUCT(--ISNUMBER(SEARCH(foreign,C53)))&gt;0)</f>
        <v>0</v>
      </c>
      <c r="Q53" s="14" cm="1">
        <f t="array" ref="Q53">INT(SUMPRODUCT(--ISNUMBER(SEARCH(gun,C53)))&gt;0)</f>
        <v>0</v>
      </c>
      <c r="R53" s="14" cm="1">
        <f t="array" ref="R53">INT(SUMPRODUCT(--ISNUMBER(SEARCH(race,C53)))&gt;0)</f>
        <v>0</v>
      </c>
      <c r="S53" s="14" cm="1">
        <f t="array" ref="S53">INT(SUMPRODUCT(--ISNUMBER(SEARCH(immigration,C53)))&gt;0)</f>
        <v>0</v>
      </c>
      <c r="T53" s="14" cm="1">
        <f t="array" ref="T53">INT(SUMPRODUCT(--ISNUMBER(SEARCH(econineq,C54)))&gt;0)</f>
        <v>0</v>
      </c>
      <c r="U53" s="14" cm="1">
        <f t="array" ref="U53">INT(SUMPRODUCT(--ISNUMBER(SEARCH(climate,C53)))&gt;0)</f>
        <v>0</v>
      </c>
      <c r="V53" s="14" cm="1">
        <f t="array" ref="V53">INT(SUMPRODUCT(--ISNUMBER(SEARCH(abortion,C53)))&gt;0)</f>
        <v>0</v>
      </c>
      <c r="W53" s="14" cm="1">
        <f t="array" ref="W53">INT(SUMPRODUCT(--ISNUMBER(SEARCH(trump,C53)))&gt;0)</f>
        <v>1</v>
      </c>
      <c r="X53" s="14" cm="1">
        <f t="array" ref="X53">INT(SUMPRODUCT(--ISNUMBER(SEARCH(voting,C53)))&gt;0)</f>
        <v>0</v>
      </c>
      <c r="Y53" s="35" cm="1">
        <f t="array" ref="Y53">INT(SUMPRODUCT(--ISNUMBER(SEARCH(republicantrigger,C53)))&gt;0)</f>
        <v>0</v>
      </c>
      <c r="Z53" s="35" cm="1">
        <f t="array" ref="Z53">INT(SUMPRODUCT(--ISNUMBER(SEARCH(bipartisan,C53)))&gt;0)</f>
        <v>0</v>
      </c>
      <c r="AA53" s="35">
        <f t="shared" si="0"/>
        <v>0</v>
      </c>
      <c r="AB53" s="14"/>
      <c r="AC53" s="30">
        <v>1</v>
      </c>
      <c r="AD53" s="37">
        <v>0</v>
      </c>
    </row>
    <row r="54" spans="1:30" x14ac:dyDescent="0.25">
      <c r="A54" s="36">
        <v>3021</v>
      </c>
      <c r="B54" s="14" t="s">
        <v>6067</v>
      </c>
      <c r="C54" s="14" t="s">
        <v>6068</v>
      </c>
      <c r="D54" s="17">
        <v>44133</v>
      </c>
      <c r="E54" s="14" t="s">
        <v>70</v>
      </c>
      <c r="F54" s="14">
        <v>15</v>
      </c>
      <c r="G54" s="14">
        <v>9</v>
      </c>
      <c r="H54" s="14">
        <v>14</v>
      </c>
      <c r="I54" s="14">
        <v>7</v>
      </c>
      <c r="J54" s="14" t="s">
        <v>31</v>
      </c>
      <c r="K54" s="14" cm="1">
        <f t="array" ref="K54">INT(SUMPRODUCT(--ISNUMBER(SEARCH(economy,C54)))&gt;0)</f>
        <v>0</v>
      </c>
      <c r="L54" s="14" cm="1">
        <f t="array" ref="L54">INT(SUMPRODUCT(--ISNUMBER(SEARCH(healthcare,C54)))&gt;0)</f>
        <v>0</v>
      </c>
      <c r="M54" s="14" cm="1">
        <f t="array" ref="M54">INT(SUMPRODUCT(--ISNUMBER(SEARCH(supreme,C54)))&gt;0)</f>
        <v>0</v>
      </c>
      <c r="N54" s="14" cm="1">
        <f t="array" ref="N54">INT(SUMPRODUCT(--ISNUMBER(SEARCH(covid,C54)))&gt;0)</f>
        <v>1</v>
      </c>
      <c r="O54" s="14" cm="1">
        <f t="array" ref="O54">INT(SUMPRODUCT(--ISNUMBER(SEARCH(violent,C54)))&gt;0)</f>
        <v>0</v>
      </c>
      <c r="P54" s="14" cm="1">
        <f t="array" ref="P54">INT(SUMPRODUCT(--ISNUMBER(SEARCH(foreign,C54)))&gt;0)</f>
        <v>0</v>
      </c>
      <c r="Q54" s="14" cm="1">
        <f t="array" ref="Q54">INT(SUMPRODUCT(--ISNUMBER(SEARCH(gun,C54)))&gt;0)</f>
        <v>0</v>
      </c>
      <c r="R54" s="14" cm="1">
        <f t="array" ref="R54">INT(SUMPRODUCT(--ISNUMBER(SEARCH(race,C54)))&gt;0)</f>
        <v>0</v>
      </c>
      <c r="S54" s="14" cm="1">
        <f t="array" ref="S54">INT(SUMPRODUCT(--ISNUMBER(SEARCH(immigration,C54)))&gt;0)</f>
        <v>0</v>
      </c>
      <c r="T54" s="14" cm="1">
        <f t="array" ref="T54">INT(SUMPRODUCT(--ISNUMBER(SEARCH(econineq,C55)))&gt;0)</f>
        <v>0</v>
      </c>
      <c r="U54" s="14" cm="1">
        <f t="array" ref="U54">INT(SUMPRODUCT(--ISNUMBER(SEARCH(climate,C54)))&gt;0)</f>
        <v>0</v>
      </c>
      <c r="V54" s="14" cm="1">
        <f t="array" ref="V54">INT(SUMPRODUCT(--ISNUMBER(SEARCH(abortion,C54)))&gt;0)</f>
        <v>0</v>
      </c>
      <c r="W54" s="14" cm="1">
        <f t="array" ref="W54">INT(SUMPRODUCT(--ISNUMBER(SEARCH(trump,C54)))&gt;0)</f>
        <v>0</v>
      </c>
      <c r="X54" s="14" cm="1">
        <f t="array" ref="X54">INT(SUMPRODUCT(--ISNUMBER(SEARCH(voting,C54)))&gt;0)</f>
        <v>0</v>
      </c>
      <c r="Y54" s="35" cm="1">
        <f t="array" ref="Y54">INT(SUMPRODUCT(--ISNUMBER(SEARCH(republicantrigger,C54)))&gt;0)</f>
        <v>1</v>
      </c>
      <c r="Z54" s="35" cm="1">
        <f t="array" ref="Z54">INT(SUMPRODUCT(--ISNUMBER(SEARCH(bipartisan,C54)))&gt;0)</f>
        <v>0</v>
      </c>
      <c r="AA54" s="35">
        <f t="shared" si="0"/>
        <v>0</v>
      </c>
      <c r="AB54" s="14"/>
      <c r="AC54" s="30" t="s">
        <v>223</v>
      </c>
      <c r="AD54" s="37" t="s">
        <v>223</v>
      </c>
    </row>
    <row r="55" spans="1:30" x14ac:dyDescent="0.25">
      <c r="A55" s="36">
        <v>3022</v>
      </c>
      <c r="B55" s="14" t="s">
        <v>6069</v>
      </c>
      <c r="C55" s="14" t="s">
        <v>6070</v>
      </c>
      <c r="D55" s="17">
        <v>44133</v>
      </c>
      <c r="E55" s="14" t="s">
        <v>70</v>
      </c>
      <c r="F55" s="14">
        <v>15</v>
      </c>
      <c r="G55" s="14">
        <v>8</v>
      </c>
      <c r="H55" s="14">
        <v>14</v>
      </c>
      <c r="I55" s="14">
        <v>7</v>
      </c>
      <c r="J55" s="14" t="s">
        <v>31</v>
      </c>
      <c r="K55" s="14" cm="1">
        <f t="array" ref="K55">INT(SUMPRODUCT(--ISNUMBER(SEARCH(economy,C55)))&gt;0)</f>
        <v>0</v>
      </c>
      <c r="L55" s="14" cm="1">
        <f t="array" ref="L55">INT(SUMPRODUCT(--ISNUMBER(SEARCH(healthcare,C55)))&gt;0)</f>
        <v>0</v>
      </c>
      <c r="M55" s="14" cm="1">
        <f t="array" ref="M55">INT(SUMPRODUCT(--ISNUMBER(SEARCH(supreme,C55)))&gt;0)</f>
        <v>0</v>
      </c>
      <c r="N55" s="14" cm="1">
        <f t="array" ref="N55">INT(SUMPRODUCT(--ISNUMBER(SEARCH(covid,C55)))&gt;0)</f>
        <v>1</v>
      </c>
      <c r="O55" s="14" cm="1">
        <f t="array" ref="O55">INT(SUMPRODUCT(--ISNUMBER(SEARCH(violent,C55)))&gt;0)</f>
        <v>0</v>
      </c>
      <c r="P55" s="14" cm="1">
        <f t="array" ref="P55">INT(SUMPRODUCT(--ISNUMBER(SEARCH(foreign,C55)))&gt;0)</f>
        <v>0</v>
      </c>
      <c r="Q55" s="14" cm="1">
        <f t="array" ref="Q55">INT(SUMPRODUCT(--ISNUMBER(SEARCH(gun,C55)))&gt;0)</f>
        <v>0</v>
      </c>
      <c r="R55" s="14" cm="1">
        <f t="array" ref="R55">INT(SUMPRODUCT(--ISNUMBER(SEARCH(race,C55)))&gt;0)</f>
        <v>0</v>
      </c>
      <c r="S55" s="14" cm="1">
        <f t="array" ref="S55">INT(SUMPRODUCT(--ISNUMBER(SEARCH(immigration,C55)))&gt;0)</f>
        <v>0</v>
      </c>
      <c r="T55" s="14" cm="1">
        <f t="array" ref="T55">INT(SUMPRODUCT(--ISNUMBER(SEARCH(econineq,C56)))&gt;0)</f>
        <v>0</v>
      </c>
      <c r="U55" s="14" cm="1">
        <f t="array" ref="U55">INT(SUMPRODUCT(--ISNUMBER(SEARCH(climate,C55)))&gt;0)</f>
        <v>0</v>
      </c>
      <c r="V55" s="14" cm="1">
        <f t="array" ref="V55">INT(SUMPRODUCT(--ISNUMBER(SEARCH(abortion,C55)))&gt;0)</f>
        <v>0</v>
      </c>
      <c r="W55" s="14" cm="1">
        <f t="array" ref="W55">INT(SUMPRODUCT(--ISNUMBER(SEARCH(trump,C55)))&gt;0)</f>
        <v>0</v>
      </c>
      <c r="X55" s="14" cm="1">
        <f t="array" ref="X55">INT(SUMPRODUCT(--ISNUMBER(SEARCH(voting,C55)))&gt;0)</f>
        <v>0</v>
      </c>
      <c r="Y55" s="35" cm="1">
        <f t="array" ref="Y55">INT(SUMPRODUCT(--ISNUMBER(SEARCH(republicantrigger,C55)))&gt;0)</f>
        <v>0</v>
      </c>
      <c r="Z55" s="35" cm="1">
        <f t="array" ref="Z55">INT(SUMPRODUCT(--ISNUMBER(SEARCH(bipartisan,C55)))&gt;0)</f>
        <v>0</v>
      </c>
      <c r="AA55" s="35">
        <f t="shared" si="0"/>
        <v>0</v>
      </c>
      <c r="AB55" s="14"/>
      <c r="AC55" s="30" t="s">
        <v>223</v>
      </c>
      <c r="AD55" s="37" t="s">
        <v>223</v>
      </c>
    </row>
    <row r="56" spans="1:30" x14ac:dyDescent="0.25">
      <c r="A56" s="36">
        <v>3023</v>
      </c>
      <c r="B56" s="14" t="s">
        <v>6071</v>
      </c>
      <c r="C56" s="14" t="s">
        <v>6072</v>
      </c>
      <c r="D56" s="17">
        <v>44133</v>
      </c>
      <c r="E56" s="14" t="s">
        <v>30</v>
      </c>
      <c r="F56" s="14">
        <v>24</v>
      </c>
      <c r="G56" s="14">
        <v>11</v>
      </c>
      <c r="H56" s="14">
        <v>14</v>
      </c>
      <c r="I56" s="14">
        <v>7</v>
      </c>
      <c r="J56" s="14" t="s">
        <v>31</v>
      </c>
      <c r="K56" s="14" cm="1">
        <f t="array" ref="K56">INT(SUMPRODUCT(--ISNUMBER(SEARCH(economy,C56)))&gt;0)</f>
        <v>0</v>
      </c>
      <c r="L56" s="14" cm="1">
        <f t="array" ref="L56">INT(SUMPRODUCT(--ISNUMBER(SEARCH(healthcare,C56)))&gt;0)</f>
        <v>0</v>
      </c>
      <c r="M56" s="14" cm="1">
        <f t="array" ref="M56">INT(SUMPRODUCT(--ISNUMBER(SEARCH(supreme,C56)))&gt;0)</f>
        <v>0</v>
      </c>
      <c r="N56" s="14" cm="1">
        <f t="array" ref="N56">INT(SUMPRODUCT(--ISNUMBER(SEARCH(covid,C56)))&gt;0)</f>
        <v>0</v>
      </c>
      <c r="O56" s="14" cm="1">
        <f t="array" ref="O56">INT(SUMPRODUCT(--ISNUMBER(SEARCH(violent,C56)))&gt;0)</f>
        <v>0</v>
      </c>
      <c r="P56" s="14" cm="1">
        <f t="array" ref="P56">INT(SUMPRODUCT(--ISNUMBER(SEARCH(foreign,C56)))&gt;0)</f>
        <v>0</v>
      </c>
      <c r="Q56" s="14" cm="1">
        <f t="array" ref="Q56">INT(SUMPRODUCT(--ISNUMBER(SEARCH(gun,C56)))&gt;0)</f>
        <v>0</v>
      </c>
      <c r="R56" s="14" cm="1">
        <f t="array" ref="R56">INT(SUMPRODUCT(--ISNUMBER(SEARCH(race,C56)))&gt;0)</f>
        <v>0</v>
      </c>
      <c r="S56" s="14" cm="1">
        <f t="array" ref="S56">INT(SUMPRODUCT(--ISNUMBER(SEARCH(immigration,C56)))&gt;0)</f>
        <v>0</v>
      </c>
      <c r="T56" s="14" cm="1">
        <f t="array" ref="T56">INT(SUMPRODUCT(--ISNUMBER(SEARCH(econineq,C57)))&gt;0)</f>
        <v>0</v>
      </c>
      <c r="U56" s="14" cm="1">
        <f t="array" ref="U56">INT(SUMPRODUCT(--ISNUMBER(SEARCH(climate,C56)))&gt;0)</f>
        <v>0</v>
      </c>
      <c r="V56" s="14" cm="1">
        <f t="array" ref="V56">INT(SUMPRODUCT(--ISNUMBER(SEARCH(abortion,C56)))&gt;0)</f>
        <v>0</v>
      </c>
      <c r="W56" s="14" cm="1">
        <f t="array" ref="W56">INT(SUMPRODUCT(--ISNUMBER(SEARCH(trump,C56)))&gt;0)</f>
        <v>0</v>
      </c>
      <c r="X56" s="14" cm="1">
        <f t="array" ref="X56">INT(SUMPRODUCT(--ISNUMBER(SEARCH(voting,C56)))&gt;0)</f>
        <v>0</v>
      </c>
      <c r="Y56" s="35" cm="1">
        <f t="array" ref="Y56">INT(SUMPRODUCT(--ISNUMBER(SEARCH(republicantrigger,C56)))&gt;0)</f>
        <v>1</v>
      </c>
      <c r="Z56" s="35" cm="1">
        <f t="array" ref="Z56">INT(SUMPRODUCT(--ISNUMBER(SEARCH(bipartisan,C56)))&gt;0)</f>
        <v>0</v>
      </c>
      <c r="AA56" s="35">
        <f t="shared" si="0"/>
        <v>0</v>
      </c>
      <c r="AB56" s="14"/>
      <c r="AC56" s="30">
        <v>1</v>
      </c>
      <c r="AD56" s="37">
        <v>0</v>
      </c>
    </row>
    <row r="57" spans="1:30" x14ac:dyDescent="0.25">
      <c r="A57" s="36">
        <v>3024</v>
      </c>
      <c r="B57" s="14" t="s">
        <v>6073</v>
      </c>
      <c r="C57" s="14" t="s">
        <v>6074</v>
      </c>
      <c r="D57" s="17">
        <v>44132</v>
      </c>
      <c r="E57" s="14" t="s">
        <v>30</v>
      </c>
      <c r="F57" s="14">
        <v>34</v>
      </c>
      <c r="G57" s="14">
        <v>7</v>
      </c>
      <c r="H57" s="14">
        <v>14</v>
      </c>
      <c r="I57" s="14">
        <v>7</v>
      </c>
      <c r="J57" s="14" t="s">
        <v>31</v>
      </c>
      <c r="K57" s="14" cm="1">
        <f t="array" ref="K57">INT(SUMPRODUCT(--ISNUMBER(SEARCH(economy,C57)))&gt;0)</f>
        <v>0</v>
      </c>
      <c r="L57" s="14" cm="1">
        <f t="array" ref="L57">INT(SUMPRODUCT(--ISNUMBER(SEARCH(healthcare,C57)))&gt;0)</f>
        <v>0</v>
      </c>
      <c r="M57" s="14" cm="1">
        <f t="array" ref="M57">INT(SUMPRODUCT(--ISNUMBER(SEARCH(supreme,C57)))&gt;0)</f>
        <v>0</v>
      </c>
      <c r="N57" s="14" cm="1">
        <f t="array" ref="N57">INT(SUMPRODUCT(--ISNUMBER(SEARCH(covid,C57)))&gt;0)</f>
        <v>0</v>
      </c>
      <c r="O57" s="14" cm="1">
        <f t="array" ref="O57">INT(SUMPRODUCT(--ISNUMBER(SEARCH(violent,C57)))&gt;0)</f>
        <v>0</v>
      </c>
      <c r="P57" s="14" cm="1">
        <f t="array" ref="P57">INT(SUMPRODUCT(--ISNUMBER(SEARCH(foreign,C57)))&gt;0)</f>
        <v>0</v>
      </c>
      <c r="Q57" s="14" cm="1">
        <f t="array" ref="Q57">INT(SUMPRODUCT(--ISNUMBER(SEARCH(gun,C57)))&gt;0)</f>
        <v>0</v>
      </c>
      <c r="R57" s="14" cm="1">
        <f t="array" ref="R57">INT(SUMPRODUCT(--ISNUMBER(SEARCH(race,C57)))&gt;0)</f>
        <v>0</v>
      </c>
      <c r="S57" s="14" cm="1">
        <f t="array" ref="S57">INT(SUMPRODUCT(--ISNUMBER(SEARCH(immigration,C57)))&gt;0)</f>
        <v>0</v>
      </c>
      <c r="T57" s="14" cm="1">
        <f t="array" ref="T57">INT(SUMPRODUCT(--ISNUMBER(SEARCH(econineq,C58)))&gt;0)</f>
        <v>0</v>
      </c>
      <c r="U57" s="14" cm="1">
        <f t="array" ref="U57">INT(SUMPRODUCT(--ISNUMBER(SEARCH(climate,C57)))&gt;0)</f>
        <v>0</v>
      </c>
      <c r="V57" s="14" cm="1">
        <f t="array" ref="V57">INT(SUMPRODUCT(--ISNUMBER(SEARCH(abortion,C57)))&gt;0)</f>
        <v>0</v>
      </c>
      <c r="W57" s="14" cm="1">
        <f t="array" ref="W57">INT(SUMPRODUCT(--ISNUMBER(SEARCH(trump,C57)))&gt;0)</f>
        <v>0</v>
      </c>
      <c r="X57" s="14" cm="1">
        <f t="array" ref="X57">INT(SUMPRODUCT(--ISNUMBER(SEARCH(voting,C57)))&gt;0)</f>
        <v>0</v>
      </c>
      <c r="Y57" s="35" cm="1">
        <f t="array" ref="Y57">INT(SUMPRODUCT(--ISNUMBER(SEARCH(republicantrigger,C57)))&gt;0)</f>
        <v>0</v>
      </c>
      <c r="Z57" s="35" cm="1">
        <f t="array" ref="Z57">INT(SUMPRODUCT(--ISNUMBER(SEARCH(bipartisan,C57)))&gt;0)</f>
        <v>0</v>
      </c>
      <c r="AA57" s="35">
        <f t="shared" si="0"/>
        <v>1</v>
      </c>
      <c r="AB57" s="14"/>
      <c r="AC57" s="30" t="s">
        <v>223</v>
      </c>
      <c r="AD57" s="37" t="s">
        <v>223</v>
      </c>
    </row>
    <row r="58" spans="1:30" x14ac:dyDescent="0.25">
      <c r="A58" s="36">
        <v>3025</v>
      </c>
      <c r="B58" s="14" t="s">
        <v>6075</v>
      </c>
      <c r="C58" s="14" t="s">
        <v>6076</v>
      </c>
      <c r="D58" s="17">
        <v>44132</v>
      </c>
      <c r="E58" s="14" t="s">
        <v>30</v>
      </c>
      <c r="F58" s="14">
        <v>9</v>
      </c>
      <c r="G58" s="14">
        <v>4</v>
      </c>
      <c r="H58" s="14">
        <v>14</v>
      </c>
      <c r="I58" s="14">
        <v>7</v>
      </c>
      <c r="J58" s="14" t="s">
        <v>31</v>
      </c>
      <c r="K58" s="14" cm="1">
        <f t="array" ref="K58">INT(SUMPRODUCT(--ISNUMBER(SEARCH(economy,C58)))&gt;0)</f>
        <v>0</v>
      </c>
      <c r="L58" s="14" cm="1">
        <f t="array" ref="L58">INT(SUMPRODUCT(--ISNUMBER(SEARCH(healthcare,C58)))&gt;0)</f>
        <v>0</v>
      </c>
      <c r="M58" s="14" cm="1">
        <f t="array" ref="M58">INT(SUMPRODUCT(--ISNUMBER(SEARCH(supreme,C58)))&gt;0)</f>
        <v>0</v>
      </c>
      <c r="N58" s="14" cm="1">
        <f t="array" ref="N58">INT(SUMPRODUCT(--ISNUMBER(SEARCH(covid,C58)))&gt;0)</f>
        <v>0</v>
      </c>
      <c r="O58" s="14" cm="1">
        <f t="array" ref="O58">INT(SUMPRODUCT(--ISNUMBER(SEARCH(violent,C58)))&gt;0)</f>
        <v>0</v>
      </c>
      <c r="P58" s="14" cm="1">
        <f t="array" ref="P58">INT(SUMPRODUCT(--ISNUMBER(SEARCH(foreign,C58)))&gt;0)</f>
        <v>0</v>
      </c>
      <c r="Q58" s="14" cm="1">
        <f t="array" ref="Q58">INT(SUMPRODUCT(--ISNUMBER(SEARCH(gun,C58)))&gt;0)</f>
        <v>0</v>
      </c>
      <c r="R58" s="14" cm="1">
        <f t="array" ref="R58">INT(SUMPRODUCT(--ISNUMBER(SEARCH(race,C58)))&gt;0)</f>
        <v>0</v>
      </c>
      <c r="S58" s="14" cm="1">
        <f t="array" ref="S58">INT(SUMPRODUCT(--ISNUMBER(SEARCH(immigration,C58)))&gt;0)</f>
        <v>0</v>
      </c>
      <c r="T58" s="14" cm="1">
        <f t="array" ref="T58">INT(SUMPRODUCT(--ISNUMBER(SEARCH(econineq,C59)))&gt;0)</f>
        <v>0</v>
      </c>
      <c r="U58" s="14" cm="1">
        <f t="array" ref="U58">INT(SUMPRODUCT(--ISNUMBER(SEARCH(climate,C58)))&gt;0)</f>
        <v>0</v>
      </c>
      <c r="V58" s="14" cm="1">
        <f t="array" ref="V58">INT(SUMPRODUCT(--ISNUMBER(SEARCH(abortion,C58)))&gt;0)</f>
        <v>0</v>
      </c>
      <c r="W58" s="14" cm="1">
        <f t="array" ref="W58">INT(SUMPRODUCT(--ISNUMBER(SEARCH(trump,C58)))&gt;0)</f>
        <v>0</v>
      </c>
      <c r="X58" s="14" cm="1">
        <f t="array" ref="X58">INT(SUMPRODUCT(--ISNUMBER(SEARCH(voting,C58)))&gt;0)</f>
        <v>0</v>
      </c>
      <c r="Y58" s="35" cm="1">
        <f t="array" ref="Y58">INT(SUMPRODUCT(--ISNUMBER(SEARCH(republicantrigger,C58)))&gt;0)</f>
        <v>0</v>
      </c>
      <c r="Z58" s="35" cm="1">
        <f t="array" ref="Z58">INT(SUMPRODUCT(--ISNUMBER(SEARCH(bipartisan,C58)))&gt;0)</f>
        <v>0</v>
      </c>
      <c r="AA58" s="35">
        <f t="shared" si="0"/>
        <v>1</v>
      </c>
      <c r="AB58" s="14"/>
      <c r="AC58" s="30" t="s">
        <v>223</v>
      </c>
      <c r="AD58" s="37" t="s">
        <v>223</v>
      </c>
    </row>
    <row r="59" spans="1:30" x14ac:dyDescent="0.25">
      <c r="A59" s="36">
        <v>3026</v>
      </c>
      <c r="B59" s="14" t="s">
        <v>6077</v>
      </c>
      <c r="C59" s="14" t="s">
        <v>6078</v>
      </c>
      <c r="D59" s="17">
        <v>44132</v>
      </c>
      <c r="E59" s="14" t="s">
        <v>30</v>
      </c>
      <c r="F59" s="14">
        <v>20</v>
      </c>
      <c r="G59" s="14">
        <v>5</v>
      </c>
      <c r="H59" s="14">
        <v>14</v>
      </c>
      <c r="I59" s="14">
        <v>7</v>
      </c>
      <c r="J59" s="14" t="s">
        <v>31</v>
      </c>
      <c r="K59" s="14" cm="1">
        <f t="array" ref="K59">INT(SUMPRODUCT(--ISNUMBER(SEARCH(economy,C59)))&gt;0)</f>
        <v>0</v>
      </c>
      <c r="L59" s="14" cm="1">
        <f t="array" ref="L59">INT(SUMPRODUCT(--ISNUMBER(SEARCH(healthcare,C59)))&gt;0)</f>
        <v>0</v>
      </c>
      <c r="M59" s="14" cm="1">
        <f t="array" ref="M59">INT(SUMPRODUCT(--ISNUMBER(SEARCH(supreme,C59)))&gt;0)</f>
        <v>0</v>
      </c>
      <c r="N59" s="14" cm="1">
        <f t="array" ref="N59">INT(SUMPRODUCT(--ISNUMBER(SEARCH(covid,C59)))&gt;0)</f>
        <v>0</v>
      </c>
      <c r="O59" s="14" cm="1">
        <f t="array" ref="O59">INT(SUMPRODUCT(--ISNUMBER(SEARCH(violent,C59)))&gt;0)</f>
        <v>0</v>
      </c>
      <c r="P59" s="14" cm="1">
        <f t="array" ref="P59">INT(SUMPRODUCT(--ISNUMBER(SEARCH(foreign,C59)))&gt;0)</f>
        <v>0</v>
      </c>
      <c r="Q59" s="14" cm="1">
        <f t="array" ref="Q59">INT(SUMPRODUCT(--ISNUMBER(SEARCH(gun,C59)))&gt;0)</f>
        <v>0</v>
      </c>
      <c r="R59" s="14" cm="1">
        <f t="array" ref="R59">INT(SUMPRODUCT(--ISNUMBER(SEARCH(race,C59)))&gt;0)</f>
        <v>0</v>
      </c>
      <c r="S59" s="14" cm="1">
        <f t="array" ref="S59">INT(SUMPRODUCT(--ISNUMBER(SEARCH(immigration,C59)))&gt;0)</f>
        <v>0</v>
      </c>
      <c r="T59" s="14" cm="1">
        <f t="array" ref="T59">INT(SUMPRODUCT(--ISNUMBER(SEARCH(econineq,C60)))&gt;0)</f>
        <v>0</v>
      </c>
      <c r="U59" s="14" cm="1">
        <f t="array" ref="U59">INT(SUMPRODUCT(--ISNUMBER(SEARCH(climate,C59)))&gt;0)</f>
        <v>0</v>
      </c>
      <c r="V59" s="14" cm="1">
        <f t="array" ref="V59">INT(SUMPRODUCT(--ISNUMBER(SEARCH(abortion,C59)))&gt;0)</f>
        <v>0</v>
      </c>
      <c r="W59" s="14" cm="1">
        <f t="array" ref="W59">INT(SUMPRODUCT(--ISNUMBER(SEARCH(trump,C59)))&gt;0)</f>
        <v>0</v>
      </c>
      <c r="X59" s="14" cm="1">
        <f t="array" ref="X59">INT(SUMPRODUCT(--ISNUMBER(SEARCH(voting,C59)))&gt;0)</f>
        <v>0</v>
      </c>
      <c r="Y59" s="35" cm="1">
        <f t="array" ref="Y59">INT(SUMPRODUCT(--ISNUMBER(SEARCH(republicantrigger,C59)))&gt;0)</f>
        <v>0</v>
      </c>
      <c r="Z59" s="35" cm="1">
        <f t="array" ref="Z59">INT(SUMPRODUCT(--ISNUMBER(SEARCH(bipartisan,C59)))&gt;0)</f>
        <v>0</v>
      </c>
      <c r="AA59" s="35">
        <f t="shared" si="0"/>
        <v>1</v>
      </c>
      <c r="AB59" s="14"/>
      <c r="AC59" s="30" t="s">
        <v>223</v>
      </c>
      <c r="AD59" s="37" t="s">
        <v>223</v>
      </c>
    </row>
    <row r="60" spans="1:30" x14ac:dyDescent="0.25">
      <c r="A60" s="36">
        <v>3027</v>
      </c>
      <c r="B60" s="14" t="s">
        <v>6079</v>
      </c>
      <c r="C60" s="14" t="s">
        <v>6080</v>
      </c>
      <c r="D60" s="17">
        <v>44131</v>
      </c>
      <c r="E60" s="14" t="s">
        <v>30</v>
      </c>
      <c r="F60" s="14">
        <v>20</v>
      </c>
      <c r="G60" s="14">
        <v>14</v>
      </c>
      <c r="H60" s="14">
        <v>14</v>
      </c>
      <c r="I60" s="14">
        <v>7</v>
      </c>
      <c r="J60" s="14" t="s">
        <v>31</v>
      </c>
      <c r="K60" s="14" cm="1">
        <f t="array" ref="K60">INT(SUMPRODUCT(--ISNUMBER(SEARCH(economy,C60)))&gt;0)</f>
        <v>0</v>
      </c>
      <c r="L60" s="14" cm="1">
        <f t="array" ref="L60">INT(SUMPRODUCT(--ISNUMBER(SEARCH(healthcare,C60)))&gt;0)</f>
        <v>0</v>
      </c>
      <c r="M60" s="14" cm="1">
        <f t="array" ref="M60">INT(SUMPRODUCT(--ISNUMBER(SEARCH(supreme,C60)))&gt;0)</f>
        <v>0</v>
      </c>
      <c r="N60" s="14" cm="1">
        <f t="array" ref="N60">INT(SUMPRODUCT(--ISNUMBER(SEARCH(covid,C60)))&gt;0)</f>
        <v>0</v>
      </c>
      <c r="O60" s="14" cm="1">
        <f t="array" ref="O60">INT(SUMPRODUCT(--ISNUMBER(SEARCH(violent,C60)))&gt;0)</f>
        <v>0</v>
      </c>
      <c r="P60" s="14" cm="1">
        <f t="array" ref="P60">INT(SUMPRODUCT(--ISNUMBER(SEARCH(foreign,C60)))&gt;0)</f>
        <v>0</v>
      </c>
      <c r="Q60" s="14" cm="1">
        <f t="array" ref="Q60">INT(SUMPRODUCT(--ISNUMBER(SEARCH(gun,C60)))&gt;0)</f>
        <v>0</v>
      </c>
      <c r="R60" s="14" cm="1">
        <f t="array" ref="R60">INT(SUMPRODUCT(--ISNUMBER(SEARCH(race,C60)))&gt;0)</f>
        <v>0</v>
      </c>
      <c r="S60" s="14" cm="1">
        <f t="array" ref="S60">INT(SUMPRODUCT(--ISNUMBER(SEARCH(immigration,C60)))&gt;0)</f>
        <v>0</v>
      </c>
      <c r="T60" s="14" cm="1">
        <f t="array" ref="T60">INT(SUMPRODUCT(--ISNUMBER(SEARCH(econineq,C61)))&gt;0)</f>
        <v>0</v>
      </c>
      <c r="U60" s="14" cm="1">
        <f t="array" ref="U60">INT(SUMPRODUCT(--ISNUMBER(SEARCH(climate,C60)))&gt;0)</f>
        <v>0</v>
      </c>
      <c r="V60" s="14" cm="1">
        <f t="array" ref="V60">INT(SUMPRODUCT(--ISNUMBER(SEARCH(abortion,C60)))&gt;0)</f>
        <v>0</v>
      </c>
      <c r="W60" s="14" cm="1">
        <f t="array" ref="W60">INT(SUMPRODUCT(--ISNUMBER(SEARCH(trump,C60)))&gt;0)</f>
        <v>0</v>
      </c>
      <c r="X60" s="14" cm="1">
        <f t="array" ref="X60">INT(SUMPRODUCT(--ISNUMBER(SEARCH(voting,C60)))&gt;0)</f>
        <v>0</v>
      </c>
      <c r="Y60" s="35" cm="1">
        <f t="array" ref="Y60">INT(SUMPRODUCT(--ISNUMBER(SEARCH(republicantrigger,C60)))&gt;0)</f>
        <v>1</v>
      </c>
      <c r="Z60" s="35" cm="1">
        <f t="array" ref="Z60">INT(SUMPRODUCT(--ISNUMBER(SEARCH(bipartisan,C60)))&gt;0)</f>
        <v>0</v>
      </c>
      <c r="AA60" s="35">
        <f t="shared" si="0"/>
        <v>0</v>
      </c>
      <c r="AB60" s="14"/>
      <c r="AC60" s="30" t="s">
        <v>223</v>
      </c>
      <c r="AD60" s="37" t="s">
        <v>223</v>
      </c>
    </row>
    <row r="61" spans="1:30" x14ac:dyDescent="0.25">
      <c r="A61" s="36">
        <v>3028</v>
      </c>
      <c r="B61" s="14" t="s">
        <v>6081</v>
      </c>
      <c r="C61" s="14" t="s">
        <v>6082</v>
      </c>
      <c r="D61" s="17">
        <v>44131</v>
      </c>
      <c r="E61" s="14" t="s">
        <v>30</v>
      </c>
      <c r="F61" s="14">
        <v>10</v>
      </c>
      <c r="G61" s="14">
        <v>5</v>
      </c>
      <c r="H61" s="14">
        <v>14</v>
      </c>
      <c r="I61" s="14">
        <v>7</v>
      </c>
      <c r="J61" s="14" t="s">
        <v>31</v>
      </c>
      <c r="K61" s="14" cm="1">
        <f t="array" ref="K61">INT(SUMPRODUCT(--ISNUMBER(SEARCH(economy,C61)))&gt;0)</f>
        <v>0</v>
      </c>
      <c r="L61" s="14" cm="1">
        <f t="array" ref="L61">INT(SUMPRODUCT(--ISNUMBER(SEARCH(healthcare,C61)))&gt;0)</f>
        <v>0</v>
      </c>
      <c r="M61" s="14" cm="1">
        <f t="array" ref="M61">INT(SUMPRODUCT(--ISNUMBER(SEARCH(supreme,C61)))&gt;0)</f>
        <v>1</v>
      </c>
      <c r="N61" s="14" cm="1">
        <f t="array" ref="N61">INT(SUMPRODUCT(--ISNUMBER(SEARCH(covid,C61)))&gt;0)</f>
        <v>0</v>
      </c>
      <c r="O61" s="14" cm="1">
        <f t="array" ref="O61">INT(SUMPRODUCT(--ISNUMBER(SEARCH(violent,C61)))&gt;0)</f>
        <v>0</v>
      </c>
      <c r="P61" s="14" cm="1">
        <f t="array" ref="P61">INT(SUMPRODUCT(--ISNUMBER(SEARCH(foreign,C61)))&gt;0)</f>
        <v>0</v>
      </c>
      <c r="Q61" s="14" cm="1">
        <f t="array" ref="Q61">INT(SUMPRODUCT(--ISNUMBER(SEARCH(gun,C61)))&gt;0)</f>
        <v>0</v>
      </c>
      <c r="R61" s="14" cm="1">
        <f t="array" ref="R61">INT(SUMPRODUCT(--ISNUMBER(SEARCH(race,C61)))&gt;0)</f>
        <v>0</v>
      </c>
      <c r="S61" s="14" cm="1">
        <f t="array" ref="S61">INT(SUMPRODUCT(--ISNUMBER(SEARCH(immigration,C61)))&gt;0)</f>
        <v>0</v>
      </c>
      <c r="T61" s="14" cm="1">
        <f t="array" ref="T61">INT(SUMPRODUCT(--ISNUMBER(SEARCH(econineq,C62)))&gt;0)</f>
        <v>0</v>
      </c>
      <c r="U61" s="14" cm="1">
        <f t="array" ref="U61">INT(SUMPRODUCT(--ISNUMBER(SEARCH(climate,C61)))&gt;0)</f>
        <v>0</v>
      </c>
      <c r="V61" s="14" cm="1">
        <f t="array" ref="V61">INT(SUMPRODUCT(--ISNUMBER(SEARCH(abortion,C61)))&gt;0)</f>
        <v>0</v>
      </c>
      <c r="W61" s="14" cm="1">
        <f t="array" ref="W61">INT(SUMPRODUCT(--ISNUMBER(SEARCH(trump,C61)))&gt;0)</f>
        <v>0</v>
      </c>
      <c r="X61" s="14" cm="1">
        <f t="array" ref="X61">INT(SUMPRODUCT(--ISNUMBER(SEARCH(voting,C61)))&gt;0)</f>
        <v>1</v>
      </c>
      <c r="Y61" s="35" cm="1">
        <f t="array" ref="Y61">INT(SUMPRODUCT(--ISNUMBER(SEARCH(republicantrigger,C61)))&gt;0)</f>
        <v>1</v>
      </c>
      <c r="Z61" s="35" cm="1">
        <f t="array" ref="Z61">INT(SUMPRODUCT(--ISNUMBER(SEARCH(bipartisan,C61)))&gt;0)</f>
        <v>0</v>
      </c>
      <c r="AA61" s="35">
        <f t="shared" si="0"/>
        <v>0</v>
      </c>
      <c r="AB61" s="14"/>
      <c r="AC61" s="30">
        <v>1</v>
      </c>
      <c r="AD61" s="37">
        <v>0</v>
      </c>
    </row>
    <row r="62" spans="1:30" x14ac:dyDescent="0.25">
      <c r="A62" s="36">
        <v>3029</v>
      </c>
      <c r="B62" s="14" t="s">
        <v>6083</v>
      </c>
      <c r="C62" s="14" t="s">
        <v>6084</v>
      </c>
      <c r="D62" s="17">
        <v>44131</v>
      </c>
      <c r="E62" s="14" t="s">
        <v>30</v>
      </c>
      <c r="F62" s="14">
        <v>31</v>
      </c>
      <c r="G62" s="14">
        <v>10</v>
      </c>
      <c r="H62" s="14">
        <v>14</v>
      </c>
      <c r="I62" s="14">
        <v>7</v>
      </c>
      <c r="J62" s="14" t="s">
        <v>31</v>
      </c>
      <c r="K62" s="14" cm="1">
        <f t="array" ref="K62">INT(SUMPRODUCT(--ISNUMBER(SEARCH(economy,C62)))&gt;0)</f>
        <v>0</v>
      </c>
      <c r="L62" s="14" cm="1">
        <f t="array" ref="L62">INT(SUMPRODUCT(--ISNUMBER(SEARCH(healthcare,C62)))&gt;0)</f>
        <v>0</v>
      </c>
      <c r="M62" s="14" cm="1">
        <f t="array" ref="M62">INT(SUMPRODUCT(--ISNUMBER(SEARCH(supreme,C62)))&gt;0)</f>
        <v>0</v>
      </c>
      <c r="N62" s="14" cm="1">
        <f t="array" ref="N62">INT(SUMPRODUCT(--ISNUMBER(SEARCH(covid,C62)))&gt;0)</f>
        <v>0</v>
      </c>
      <c r="O62" s="14" cm="1">
        <f t="array" ref="O62">INT(SUMPRODUCT(--ISNUMBER(SEARCH(violent,C62)))&gt;0)</f>
        <v>0</v>
      </c>
      <c r="P62" s="14" cm="1">
        <f t="array" ref="P62">INT(SUMPRODUCT(--ISNUMBER(SEARCH(foreign,C62)))&gt;0)</f>
        <v>0</v>
      </c>
      <c r="Q62" s="14" cm="1">
        <f t="array" ref="Q62">INT(SUMPRODUCT(--ISNUMBER(SEARCH(gun,C62)))&gt;0)</f>
        <v>0</v>
      </c>
      <c r="R62" s="14" cm="1">
        <f t="array" ref="R62">INT(SUMPRODUCT(--ISNUMBER(SEARCH(race,C62)))&gt;0)</f>
        <v>0</v>
      </c>
      <c r="S62" s="14" cm="1">
        <f t="array" ref="S62">INT(SUMPRODUCT(--ISNUMBER(SEARCH(immigration,C62)))&gt;0)</f>
        <v>0</v>
      </c>
      <c r="T62" s="14" cm="1">
        <f t="array" ref="T62">INT(SUMPRODUCT(--ISNUMBER(SEARCH(econineq,C63)))&gt;0)</f>
        <v>0</v>
      </c>
      <c r="U62" s="14" cm="1">
        <f t="array" ref="U62">INT(SUMPRODUCT(--ISNUMBER(SEARCH(climate,C62)))&gt;0)</f>
        <v>0</v>
      </c>
      <c r="V62" s="14" cm="1">
        <f t="array" ref="V62">INT(SUMPRODUCT(--ISNUMBER(SEARCH(abortion,C62)))&gt;0)</f>
        <v>0</v>
      </c>
      <c r="W62" s="14" cm="1">
        <f t="array" ref="W62">INT(SUMPRODUCT(--ISNUMBER(SEARCH(trump,C62)))&gt;0)</f>
        <v>0</v>
      </c>
      <c r="X62" s="14" cm="1">
        <f t="array" ref="X62">INT(SUMPRODUCT(--ISNUMBER(SEARCH(voting,C62)))&gt;0)</f>
        <v>0</v>
      </c>
      <c r="Y62" s="35" cm="1">
        <f t="array" ref="Y62">INT(SUMPRODUCT(--ISNUMBER(SEARCH(republicantrigger,C62)))&gt;0)</f>
        <v>0</v>
      </c>
      <c r="Z62" s="35" cm="1">
        <f t="array" ref="Z62">INT(SUMPRODUCT(--ISNUMBER(SEARCH(bipartisan,C62)))&gt;0)</f>
        <v>0</v>
      </c>
      <c r="AA62" s="35">
        <f t="shared" si="0"/>
        <v>1</v>
      </c>
      <c r="AB62" s="14"/>
      <c r="AC62" s="30" t="s">
        <v>223</v>
      </c>
      <c r="AD62" s="37" t="s">
        <v>223</v>
      </c>
    </row>
    <row r="63" spans="1:30" x14ac:dyDescent="0.25">
      <c r="A63" s="36">
        <v>3030</v>
      </c>
      <c r="B63" s="14" t="s">
        <v>6085</v>
      </c>
      <c r="C63" s="14" t="s">
        <v>6086</v>
      </c>
      <c r="D63" s="17">
        <v>44131</v>
      </c>
      <c r="E63" s="14" t="s">
        <v>30</v>
      </c>
      <c r="F63" s="14">
        <v>19</v>
      </c>
      <c r="G63" s="14">
        <v>6</v>
      </c>
      <c r="H63" s="14">
        <v>14</v>
      </c>
      <c r="I63" s="14">
        <v>7</v>
      </c>
      <c r="J63" s="14" t="s">
        <v>31</v>
      </c>
      <c r="K63" s="14" cm="1">
        <f t="array" ref="K63">INT(SUMPRODUCT(--ISNUMBER(SEARCH(economy,C63)))&gt;0)</f>
        <v>0</v>
      </c>
      <c r="L63" s="14" cm="1">
        <f t="array" ref="L63">INT(SUMPRODUCT(--ISNUMBER(SEARCH(healthcare,C63)))&gt;0)</f>
        <v>0</v>
      </c>
      <c r="M63" s="14" cm="1">
        <f t="array" ref="M63">INT(SUMPRODUCT(--ISNUMBER(SEARCH(supreme,C63)))&gt;0)</f>
        <v>0</v>
      </c>
      <c r="N63" s="14" cm="1">
        <f t="array" ref="N63">INT(SUMPRODUCT(--ISNUMBER(SEARCH(covid,C63)))&gt;0)</f>
        <v>0</v>
      </c>
      <c r="O63" s="14" cm="1">
        <f t="array" ref="O63">INT(SUMPRODUCT(--ISNUMBER(SEARCH(violent,C63)))&gt;0)</f>
        <v>0</v>
      </c>
      <c r="P63" s="14" cm="1">
        <f t="array" ref="P63">INT(SUMPRODUCT(--ISNUMBER(SEARCH(foreign,C63)))&gt;0)</f>
        <v>0</v>
      </c>
      <c r="Q63" s="14" cm="1">
        <f t="array" ref="Q63">INT(SUMPRODUCT(--ISNUMBER(SEARCH(gun,C63)))&gt;0)</f>
        <v>0</v>
      </c>
      <c r="R63" s="14" cm="1">
        <f t="array" ref="R63">INT(SUMPRODUCT(--ISNUMBER(SEARCH(race,C63)))&gt;0)</f>
        <v>0</v>
      </c>
      <c r="S63" s="14" cm="1">
        <f t="array" ref="S63">INT(SUMPRODUCT(--ISNUMBER(SEARCH(immigration,C63)))&gt;0)</f>
        <v>0</v>
      </c>
      <c r="T63" s="14" cm="1">
        <f t="array" ref="T63">INT(SUMPRODUCT(--ISNUMBER(SEARCH(econineq,C64)))&gt;0)</f>
        <v>0</v>
      </c>
      <c r="U63" s="14" cm="1">
        <f t="array" ref="U63">INT(SUMPRODUCT(--ISNUMBER(SEARCH(climate,C63)))&gt;0)</f>
        <v>0</v>
      </c>
      <c r="V63" s="14" cm="1">
        <f t="array" ref="V63">INT(SUMPRODUCT(--ISNUMBER(SEARCH(abortion,C63)))&gt;0)</f>
        <v>0</v>
      </c>
      <c r="W63" s="14" cm="1">
        <f t="array" ref="W63">INT(SUMPRODUCT(--ISNUMBER(SEARCH(trump,C63)))&gt;0)</f>
        <v>0</v>
      </c>
      <c r="X63" s="14" cm="1">
        <f t="array" ref="X63">INT(SUMPRODUCT(--ISNUMBER(SEARCH(voting,C63)))&gt;0)</f>
        <v>1</v>
      </c>
      <c r="Y63" s="35" cm="1">
        <f t="array" ref="Y63">INT(SUMPRODUCT(--ISNUMBER(SEARCH(republicantrigger,C63)))&gt;0)</f>
        <v>1</v>
      </c>
      <c r="Z63" s="35" cm="1">
        <f t="array" ref="Z63">INT(SUMPRODUCT(--ISNUMBER(SEARCH(bipartisan,C63)))&gt;0)</f>
        <v>0</v>
      </c>
      <c r="AA63" s="35">
        <f t="shared" si="0"/>
        <v>0</v>
      </c>
      <c r="AB63" s="14"/>
      <c r="AC63" s="30">
        <v>1</v>
      </c>
      <c r="AD63" s="37">
        <v>0</v>
      </c>
    </row>
    <row r="64" spans="1:30" x14ac:dyDescent="0.25">
      <c r="A64" s="36">
        <v>3031</v>
      </c>
      <c r="B64" s="14" t="s">
        <v>6087</v>
      </c>
      <c r="C64" s="14" t="s">
        <v>6088</v>
      </c>
      <c r="D64" s="17">
        <v>44131</v>
      </c>
      <c r="E64" s="14" t="s">
        <v>30</v>
      </c>
      <c r="F64" s="14">
        <v>24</v>
      </c>
      <c r="G64" s="14">
        <v>10</v>
      </c>
      <c r="H64" s="14">
        <v>14</v>
      </c>
      <c r="I64" s="14">
        <v>7</v>
      </c>
      <c r="J64" s="14" t="s">
        <v>31</v>
      </c>
      <c r="K64" s="14" cm="1">
        <f t="array" ref="K64">INT(SUMPRODUCT(--ISNUMBER(SEARCH(economy,C64)))&gt;0)</f>
        <v>0</v>
      </c>
      <c r="L64" s="14" cm="1">
        <f t="array" ref="L64">INT(SUMPRODUCT(--ISNUMBER(SEARCH(healthcare,C64)))&gt;0)</f>
        <v>0</v>
      </c>
      <c r="M64" s="14" cm="1">
        <f t="array" ref="M64">INT(SUMPRODUCT(--ISNUMBER(SEARCH(supreme,C64)))&gt;0)</f>
        <v>0</v>
      </c>
      <c r="N64" s="14" cm="1">
        <f t="array" ref="N64">INT(SUMPRODUCT(--ISNUMBER(SEARCH(covid,C64)))&gt;0)</f>
        <v>0</v>
      </c>
      <c r="O64" s="14" cm="1">
        <f t="array" ref="O64">INT(SUMPRODUCT(--ISNUMBER(SEARCH(violent,C64)))&gt;0)</f>
        <v>0</v>
      </c>
      <c r="P64" s="14" cm="1">
        <f t="array" ref="P64">INT(SUMPRODUCT(--ISNUMBER(SEARCH(foreign,C64)))&gt;0)</f>
        <v>0</v>
      </c>
      <c r="Q64" s="14" cm="1">
        <f t="array" ref="Q64">INT(SUMPRODUCT(--ISNUMBER(SEARCH(gun,C64)))&gt;0)</f>
        <v>0</v>
      </c>
      <c r="R64" s="14" cm="1">
        <f t="array" ref="R64">INT(SUMPRODUCT(--ISNUMBER(SEARCH(race,C64)))&gt;0)</f>
        <v>0</v>
      </c>
      <c r="S64" s="14" cm="1">
        <f t="array" ref="S64">INT(SUMPRODUCT(--ISNUMBER(SEARCH(immigration,C64)))&gt;0)</f>
        <v>0</v>
      </c>
      <c r="T64" s="14" cm="1">
        <f t="array" ref="T64">INT(SUMPRODUCT(--ISNUMBER(SEARCH(econineq,C65)))&gt;0)</f>
        <v>0</v>
      </c>
      <c r="U64" s="14" cm="1">
        <f t="array" ref="U64">INT(SUMPRODUCT(--ISNUMBER(SEARCH(climate,C64)))&gt;0)</f>
        <v>0</v>
      </c>
      <c r="V64" s="14" cm="1">
        <f t="array" ref="V64">INT(SUMPRODUCT(--ISNUMBER(SEARCH(abortion,C64)))&gt;0)</f>
        <v>0</v>
      </c>
      <c r="W64" s="14" cm="1">
        <f t="array" ref="W64">INT(SUMPRODUCT(--ISNUMBER(SEARCH(trump,C64)))&gt;0)</f>
        <v>0</v>
      </c>
      <c r="X64" s="14" cm="1">
        <f t="array" ref="X64">INT(SUMPRODUCT(--ISNUMBER(SEARCH(voting,C64)))&gt;0)</f>
        <v>0</v>
      </c>
      <c r="Y64" s="35" cm="1">
        <f t="array" ref="Y64">INT(SUMPRODUCT(--ISNUMBER(SEARCH(republicantrigger,C64)))&gt;0)</f>
        <v>1</v>
      </c>
      <c r="Z64" s="35" cm="1">
        <f t="array" ref="Z64">INT(SUMPRODUCT(--ISNUMBER(SEARCH(bipartisan,C64)))&gt;0)</f>
        <v>0</v>
      </c>
      <c r="AA64" s="35">
        <f t="shared" si="0"/>
        <v>0</v>
      </c>
      <c r="AB64" s="14"/>
      <c r="AC64" s="30" t="s">
        <v>223</v>
      </c>
      <c r="AD64" s="37" t="s">
        <v>223</v>
      </c>
    </row>
    <row r="65" spans="1:30" x14ac:dyDescent="0.25">
      <c r="A65" s="36">
        <v>3032</v>
      </c>
      <c r="B65" s="14" t="s">
        <v>6089</v>
      </c>
      <c r="C65" s="14" t="s">
        <v>6090</v>
      </c>
      <c r="D65" s="17">
        <v>44131</v>
      </c>
      <c r="E65" s="14" t="s">
        <v>30</v>
      </c>
      <c r="F65" s="14">
        <v>24</v>
      </c>
      <c r="G65" s="14">
        <v>12</v>
      </c>
      <c r="H65" s="14">
        <v>14</v>
      </c>
      <c r="I65" s="14">
        <v>7</v>
      </c>
      <c r="J65" s="14" t="s">
        <v>31</v>
      </c>
      <c r="K65" s="14" cm="1">
        <f t="array" ref="K65">INT(SUMPRODUCT(--ISNUMBER(SEARCH(economy,C65)))&gt;0)</f>
        <v>0</v>
      </c>
      <c r="L65" s="14" cm="1">
        <f t="array" ref="L65">INT(SUMPRODUCT(--ISNUMBER(SEARCH(healthcare,C65)))&gt;0)</f>
        <v>0</v>
      </c>
      <c r="M65" s="14" cm="1">
        <f t="array" ref="M65">INT(SUMPRODUCT(--ISNUMBER(SEARCH(supreme,C65)))&gt;0)</f>
        <v>1</v>
      </c>
      <c r="N65" s="14" cm="1">
        <f t="array" ref="N65">INT(SUMPRODUCT(--ISNUMBER(SEARCH(covid,C65)))&gt;0)</f>
        <v>0</v>
      </c>
      <c r="O65" s="14" cm="1">
        <f t="array" ref="O65">INT(SUMPRODUCT(--ISNUMBER(SEARCH(violent,C65)))&gt;0)</f>
        <v>0</v>
      </c>
      <c r="P65" s="14" cm="1">
        <f t="array" ref="P65">INT(SUMPRODUCT(--ISNUMBER(SEARCH(foreign,C65)))&gt;0)</f>
        <v>0</v>
      </c>
      <c r="Q65" s="14" cm="1">
        <f t="array" ref="Q65">INT(SUMPRODUCT(--ISNUMBER(SEARCH(gun,C65)))&gt;0)</f>
        <v>0</v>
      </c>
      <c r="R65" s="14" cm="1">
        <f t="array" ref="R65">INT(SUMPRODUCT(--ISNUMBER(SEARCH(race,C65)))&gt;0)</f>
        <v>0</v>
      </c>
      <c r="S65" s="14" cm="1">
        <f t="array" ref="S65">INT(SUMPRODUCT(--ISNUMBER(SEARCH(immigration,C65)))&gt;0)</f>
        <v>0</v>
      </c>
      <c r="T65" s="14" cm="1">
        <f t="array" ref="T65">INT(SUMPRODUCT(--ISNUMBER(SEARCH(econineq,C66)))&gt;0)</f>
        <v>0</v>
      </c>
      <c r="U65" s="14" cm="1">
        <f t="array" ref="U65">INT(SUMPRODUCT(--ISNUMBER(SEARCH(climate,C65)))&gt;0)</f>
        <v>0</v>
      </c>
      <c r="V65" s="14" cm="1">
        <f t="array" ref="V65">INT(SUMPRODUCT(--ISNUMBER(SEARCH(abortion,C65)))&gt;0)</f>
        <v>0</v>
      </c>
      <c r="W65" s="14" cm="1">
        <f t="array" ref="W65">INT(SUMPRODUCT(--ISNUMBER(SEARCH(trump,C65)))&gt;0)</f>
        <v>0</v>
      </c>
      <c r="X65" s="14" cm="1">
        <f t="array" ref="X65">INT(SUMPRODUCT(--ISNUMBER(SEARCH(voting,C65)))&gt;0)</f>
        <v>1</v>
      </c>
      <c r="Y65" s="35" cm="1">
        <f t="array" ref="Y65">INT(SUMPRODUCT(--ISNUMBER(SEARCH(republicantrigger,C65)))&gt;0)</f>
        <v>1</v>
      </c>
      <c r="Z65" s="35" cm="1">
        <f t="array" ref="Z65">INT(SUMPRODUCT(--ISNUMBER(SEARCH(bipartisan,C65)))&gt;0)</f>
        <v>0</v>
      </c>
      <c r="AA65" s="35">
        <f t="shared" si="0"/>
        <v>0</v>
      </c>
      <c r="AB65" s="14"/>
      <c r="AC65" s="30">
        <v>1</v>
      </c>
      <c r="AD65" s="37">
        <v>0</v>
      </c>
    </row>
    <row r="66" spans="1:30" x14ac:dyDescent="0.25">
      <c r="A66" s="36">
        <v>3033</v>
      </c>
      <c r="B66" s="14" t="s">
        <v>6091</v>
      </c>
      <c r="C66" s="14" t="s">
        <v>6092</v>
      </c>
      <c r="D66" s="17">
        <v>44131</v>
      </c>
      <c r="E66" s="14" t="s">
        <v>30</v>
      </c>
      <c r="F66" s="14">
        <v>21</v>
      </c>
      <c r="G66" s="14">
        <v>4</v>
      </c>
      <c r="H66" s="14">
        <v>14</v>
      </c>
      <c r="I66" s="14">
        <v>7</v>
      </c>
      <c r="J66" s="14" t="s">
        <v>31</v>
      </c>
      <c r="K66" s="14" cm="1">
        <f t="array" ref="K66">INT(SUMPRODUCT(--ISNUMBER(SEARCH(economy,C66)))&gt;0)</f>
        <v>0</v>
      </c>
      <c r="L66" s="14" cm="1">
        <f t="array" ref="L66">INT(SUMPRODUCT(--ISNUMBER(SEARCH(healthcare,C66)))&gt;0)</f>
        <v>0</v>
      </c>
      <c r="M66" s="14" cm="1">
        <f t="array" ref="M66">INT(SUMPRODUCT(--ISNUMBER(SEARCH(supreme,C66)))&gt;0)</f>
        <v>0</v>
      </c>
      <c r="N66" s="14" cm="1">
        <f t="array" ref="N66">INT(SUMPRODUCT(--ISNUMBER(SEARCH(covid,C66)))&gt;0)</f>
        <v>0</v>
      </c>
      <c r="O66" s="14" cm="1">
        <f t="array" ref="O66">INT(SUMPRODUCT(--ISNUMBER(SEARCH(violent,C66)))&gt;0)</f>
        <v>0</v>
      </c>
      <c r="P66" s="14" cm="1">
        <f t="array" ref="P66">INT(SUMPRODUCT(--ISNUMBER(SEARCH(foreign,C66)))&gt;0)</f>
        <v>0</v>
      </c>
      <c r="Q66" s="14" cm="1">
        <f t="array" ref="Q66">INT(SUMPRODUCT(--ISNUMBER(SEARCH(gun,C66)))&gt;0)</f>
        <v>0</v>
      </c>
      <c r="R66" s="14" cm="1">
        <f t="array" ref="R66">INT(SUMPRODUCT(--ISNUMBER(SEARCH(race,C66)))&gt;0)</f>
        <v>0</v>
      </c>
      <c r="S66" s="14" cm="1">
        <f t="array" ref="S66">INT(SUMPRODUCT(--ISNUMBER(SEARCH(immigration,C66)))&gt;0)</f>
        <v>0</v>
      </c>
      <c r="T66" s="14" cm="1">
        <f t="array" ref="T66">INT(SUMPRODUCT(--ISNUMBER(SEARCH(econineq,C67)))&gt;0)</f>
        <v>0</v>
      </c>
      <c r="U66" s="14" cm="1">
        <f t="array" ref="U66">INT(SUMPRODUCT(--ISNUMBER(SEARCH(climate,C66)))&gt;0)</f>
        <v>0</v>
      </c>
      <c r="V66" s="14" cm="1">
        <f t="array" ref="V66">INT(SUMPRODUCT(--ISNUMBER(SEARCH(abortion,C66)))&gt;0)</f>
        <v>0</v>
      </c>
      <c r="W66" s="14" cm="1">
        <f t="array" ref="W66">INT(SUMPRODUCT(--ISNUMBER(SEARCH(trump,C66)))&gt;0)</f>
        <v>0</v>
      </c>
      <c r="X66" s="14" cm="1">
        <f t="array" ref="X66">INT(SUMPRODUCT(--ISNUMBER(SEARCH(voting,C66)))&gt;0)</f>
        <v>0</v>
      </c>
      <c r="Y66" s="35" cm="1">
        <f t="array" ref="Y66">INT(SUMPRODUCT(--ISNUMBER(SEARCH(republicantrigger,C66)))&gt;0)</f>
        <v>0</v>
      </c>
      <c r="Z66" s="35" cm="1">
        <f t="array" ref="Z66">INT(SUMPRODUCT(--ISNUMBER(SEARCH(bipartisan,C66)))&gt;0)</f>
        <v>0</v>
      </c>
      <c r="AA66" s="35">
        <f t="shared" si="0"/>
        <v>1</v>
      </c>
      <c r="AB66" s="14"/>
      <c r="AC66" s="30" t="s">
        <v>223</v>
      </c>
      <c r="AD66" s="37" t="s">
        <v>223</v>
      </c>
    </row>
    <row r="67" spans="1:30" x14ac:dyDescent="0.25">
      <c r="A67" s="36">
        <v>3034</v>
      </c>
      <c r="B67" s="14" t="s">
        <v>6093</v>
      </c>
      <c r="C67" s="14" t="s">
        <v>6094</v>
      </c>
      <c r="D67" s="17">
        <v>44130</v>
      </c>
      <c r="E67" s="14" t="s">
        <v>30</v>
      </c>
      <c r="F67" s="14">
        <v>22</v>
      </c>
      <c r="G67" s="14">
        <v>5</v>
      </c>
      <c r="H67" s="14">
        <v>14</v>
      </c>
      <c r="I67" s="14">
        <v>7</v>
      </c>
      <c r="J67" s="14" t="s">
        <v>31</v>
      </c>
      <c r="K67" s="14" cm="1">
        <f t="array" ref="K67">INT(SUMPRODUCT(--ISNUMBER(SEARCH(economy,C67)))&gt;0)</f>
        <v>0</v>
      </c>
      <c r="L67" s="14" cm="1">
        <f t="array" ref="L67">INT(SUMPRODUCT(--ISNUMBER(SEARCH(healthcare,C67)))&gt;0)</f>
        <v>0</v>
      </c>
      <c r="M67" s="14" cm="1">
        <f t="array" ref="M67">INT(SUMPRODUCT(--ISNUMBER(SEARCH(supreme,C67)))&gt;0)</f>
        <v>0</v>
      </c>
      <c r="N67" s="14" cm="1">
        <f t="array" ref="N67">INT(SUMPRODUCT(--ISNUMBER(SEARCH(covid,C67)))&gt;0)</f>
        <v>1</v>
      </c>
      <c r="O67" s="14" cm="1">
        <f t="array" ref="O67">INT(SUMPRODUCT(--ISNUMBER(SEARCH(violent,C67)))&gt;0)</f>
        <v>0</v>
      </c>
      <c r="P67" s="14" cm="1">
        <f t="array" ref="P67">INT(SUMPRODUCT(--ISNUMBER(SEARCH(foreign,C67)))&gt;0)</f>
        <v>0</v>
      </c>
      <c r="Q67" s="14" cm="1">
        <f t="array" ref="Q67">INT(SUMPRODUCT(--ISNUMBER(SEARCH(gun,C67)))&gt;0)</f>
        <v>0</v>
      </c>
      <c r="R67" s="14" cm="1">
        <f t="array" ref="R67">INT(SUMPRODUCT(--ISNUMBER(SEARCH(race,C67)))&gt;0)</f>
        <v>0</v>
      </c>
      <c r="S67" s="14" cm="1">
        <f t="array" ref="S67">INT(SUMPRODUCT(--ISNUMBER(SEARCH(immigration,C67)))&gt;0)</f>
        <v>0</v>
      </c>
      <c r="T67" s="14" cm="1">
        <f t="array" ref="T67">INT(SUMPRODUCT(--ISNUMBER(SEARCH(econineq,C68)))&gt;0)</f>
        <v>0</v>
      </c>
      <c r="U67" s="14" cm="1">
        <f t="array" ref="U67">INT(SUMPRODUCT(--ISNUMBER(SEARCH(climate,C67)))&gt;0)</f>
        <v>0</v>
      </c>
      <c r="V67" s="14" cm="1">
        <f t="array" ref="V67">INT(SUMPRODUCT(--ISNUMBER(SEARCH(abortion,C67)))&gt;0)</f>
        <v>0</v>
      </c>
      <c r="W67" s="14" cm="1">
        <f t="array" ref="W67">INT(SUMPRODUCT(--ISNUMBER(SEARCH(trump,C67)))&gt;0)</f>
        <v>0</v>
      </c>
      <c r="X67" s="14" cm="1">
        <f t="array" ref="X67">INT(SUMPRODUCT(--ISNUMBER(SEARCH(voting,C67)))&gt;0)</f>
        <v>0</v>
      </c>
      <c r="Y67" s="35" cm="1">
        <f t="array" ref="Y67">INT(SUMPRODUCT(--ISNUMBER(SEARCH(republicantrigger,C67)))&gt;0)</f>
        <v>1</v>
      </c>
      <c r="Z67" s="35" cm="1">
        <f t="array" ref="Z67">INT(SUMPRODUCT(--ISNUMBER(SEARCH(bipartisan,C67)))&gt;0)</f>
        <v>0</v>
      </c>
      <c r="AA67" s="35">
        <f t="shared" ref="AA67:AA130" si="1">INT(IF(COUNTIF(K67:Z67,1)=0,"1","0"))</f>
        <v>0</v>
      </c>
      <c r="AB67" s="14"/>
      <c r="AC67" s="30" t="s">
        <v>223</v>
      </c>
      <c r="AD67" s="37" t="s">
        <v>223</v>
      </c>
    </row>
    <row r="68" spans="1:30" x14ac:dyDescent="0.25">
      <c r="A68" s="36">
        <v>3035</v>
      </c>
      <c r="B68" s="14" t="s">
        <v>6095</v>
      </c>
      <c r="C68" s="14" t="s">
        <v>6096</v>
      </c>
      <c r="D68" s="17">
        <v>44130</v>
      </c>
      <c r="E68" s="14" t="s">
        <v>30</v>
      </c>
      <c r="F68" s="14">
        <v>19</v>
      </c>
      <c r="G68" s="14">
        <v>7</v>
      </c>
      <c r="H68" s="14">
        <v>14</v>
      </c>
      <c r="I68" s="14">
        <v>7</v>
      </c>
      <c r="J68" s="14" t="s">
        <v>31</v>
      </c>
      <c r="K68" s="14" cm="1">
        <f t="array" ref="K68">INT(SUMPRODUCT(--ISNUMBER(SEARCH(economy,C68)))&gt;0)</f>
        <v>0</v>
      </c>
      <c r="L68" s="14" cm="1">
        <f t="array" ref="L68">INT(SUMPRODUCT(--ISNUMBER(SEARCH(healthcare,C68)))&gt;0)</f>
        <v>0</v>
      </c>
      <c r="M68" s="14" cm="1">
        <f t="array" ref="M68">INT(SUMPRODUCT(--ISNUMBER(SEARCH(supreme,C68)))&gt;0)</f>
        <v>0</v>
      </c>
      <c r="N68" s="14" cm="1">
        <f t="array" ref="N68">INT(SUMPRODUCT(--ISNUMBER(SEARCH(covid,C68)))&gt;0)</f>
        <v>0</v>
      </c>
      <c r="O68" s="14" cm="1">
        <f t="array" ref="O68">INT(SUMPRODUCT(--ISNUMBER(SEARCH(violent,C68)))&gt;0)</f>
        <v>0</v>
      </c>
      <c r="P68" s="14" cm="1">
        <f t="array" ref="P68">INT(SUMPRODUCT(--ISNUMBER(SEARCH(foreign,C68)))&gt;0)</f>
        <v>0</v>
      </c>
      <c r="Q68" s="14" cm="1">
        <f t="array" ref="Q68">INT(SUMPRODUCT(--ISNUMBER(SEARCH(gun,C68)))&gt;0)</f>
        <v>0</v>
      </c>
      <c r="R68" s="14" cm="1">
        <f t="array" ref="R68">INT(SUMPRODUCT(--ISNUMBER(SEARCH(race,C68)))&gt;0)</f>
        <v>0</v>
      </c>
      <c r="S68" s="14" cm="1">
        <f t="array" ref="S68">INT(SUMPRODUCT(--ISNUMBER(SEARCH(immigration,C68)))&gt;0)</f>
        <v>0</v>
      </c>
      <c r="T68" s="14" cm="1">
        <f t="array" ref="T68">INT(SUMPRODUCT(--ISNUMBER(SEARCH(econineq,C69)))&gt;0)</f>
        <v>0</v>
      </c>
      <c r="U68" s="14" cm="1">
        <f t="array" ref="U68">INT(SUMPRODUCT(--ISNUMBER(SEARCH(climate,C68)))&gt;0)</f>
        <v>0</v>
      </c>
      <c r="V68" s="14" cm="1">
        <f t="array" ref="V68">INT(SUMPRODUCT(--ISNUMBER(SEARCH(abortion,C68)))&gt;0)</f>
        <v>0</v>
      </c>
      <c r="W68" s="14" cm="1">
        <f t="array" ref="W68">INT(SUMPRODUCT(--ISNUMBER(SEARCH(trump,C68)))&gt;0)</f>
        <v>0</v>
      </c>
      <c r="X68" s="14" cm="1">
        <f t="array" ref="X68">INT(SUMPRODUCT(--ISNUMBER(SEARCH(voting,C68)))&gt;0)</f>
        <v>0</v>
      </c>
      <c r="Y68" s="35" cm="1">
        <f t="array" ref="Y68">INT(SUMPRODUCT(--ISNUMBER(SEARCH(republicantrigger,C68)))&gt;0)</f>
        <v>0</v>
      </c>
      <c r="Z68" s="35" cm="1">
        <f t="array" ref="Z68">INT(SUMPRODUCT(--ISNUMBER(SEARCH(bipartisan,C68)))&gt;0)</f>
        <v>0</v>
      </c>
      <c r="AA68" s="35">
        <f t="shared" si="1"/>
        <v>1</v>
      </c>
      <c r="AB68" s="14"/>
      <c r="AC68" s="30" t="s">
        <v>223</v>
      </c>
      <c r="AD68" s="37" t="s">
        <v>223</v>
      </c>
    </row>
    <row r="69" spans="1:30" x14ac:dyDescent="0.25">
      <c r="A69" s="36">
        <v>3036</v>
      </c>
      <c r="B69" s="14" t="s">
        <v>6097</v>
      </c>
      <c r="C69" s="14" t="s">
        <v>6098</v>
      </c>
      <c r="D69" s="17">
        <v>44130</v>
      </c>
      <c r="E69" s="14" t="s">
        <v>30</v>
      </c>
      <c r="F69" s="14">
        <v>9</v>
      </c>
      <c r="G69" s="14">
        <v>3</v>
      </c>
      <c r="H69" s="14">
        <v>14</v>
      </c>
      <c r="I69" s="14">
        <v>7</v>
      </c>
      <c r="J69" s="14" t="s">
        <v>31</v>
      </c>
      <c r="K69" s="14" cm="1">
        <f t="array" ref="K69">INT(SUMPRODUCT(--ISNUMBER(SEARCH(economy,C69)))&gt;0)</f>
        <v>0</v>
      </c>
      <c r="L69" s="14" cm="1">
        <f t="array" ref="L69">INT(SUMPRODUCT(--ISNUMBER(SEARCH(healthcare,C69)))&gt;0)</f>
        <v>0</v>
      </c>
      <c r="M69" s="14" cm="1">
        <f t="array" ref="M69">INT(SUMPRODUCT(--ISNUMBER(SEARCH(supreme,C69)))&gt;0)</f>
        <v>1</v>
      </c>
      <c r="N69" s="14" cm="1">
        <f t="array" ref="N69">INT(SUMPRODUCT(--ISNUMBER(SEARCH(covid,C69)))&gt;0)</f>
        <v>0</v>
      </c>
      <c r="O69" s="14" cm="1">
        <f t="array" ref="O69">INT(SUMPRODUCT(--ISNUMBER(SEARCH(violent,C69)))&gt;0)</f>
        <v>0</v>
      </c>
      <c r="P69" s="14" cm="1">
        <f t="array" ref="P69">INT(SUMPRODUCT(--ISNUMBER(SEARCH(foreign,C69)))&gt;0)</f>
        <v>0</v>
      </c>
      <c r="Q69" s="14" cm="1">
        <f t="array" ref="Q69">INT(SUMPRODUCT(--ISNUMBER(SEARCH(gun,C69)))&gt;0)</f>
        <v>0</v>
      </c>
      <c r="R69" s="14" cm="1">
        <f t="array" ref="R69">INT(SUMPRODUCT(--ISNUMBER(SEARCH(race,C69)))&gt;0)</f>
        <v>0</v>
      </c>
      <c r="S69" s="14" cm="1">
        <f t="array" ref="S69">INT(SUMPRODUCT(--ISNUMBER(SEARCH(immigration,C69)))&gt;0)</f>
        <v>0</v>
      </c>
      <c r="T69" s="14" cm="1">
        <f t="array" ref="T69">INT(SUMPRODUCT(--ISNUMBER(SEARCH(econineq,C70)))&gt;0)</f>
        <v>0</v>
      </c>
      <c r="U69" s="14" cm="1">
        <f t="array" ref="U69">INT(SUMPRODUCT(--ISNUMBER(SEARCH(climate,C69)))&gt;0)</f>
        <v>0</v>
      </c>
      <c r="V69" s="14" cm="1">
        <f t="array" ref="V69">INT(SUMPRODUCT(--ISNUMBER(SEARCH(abortion,C69)))&gt;0)</f>
        <v>0</v>
      </c>
      <c r="W69" s="14" cm="1">
        <f t="array" ref="W69">INT(SUMPRODUCT(--ISNUMBER(SEARCH(trump,C69)))&gt;0)</f>
        <v>0</v>
      </c>
      <c r="X69" s="14" cm="1">
        <f t="array" ref="X69">INT(SUMPRODUCT(--ISNUMBER(SEARCH(voting,C69)))&gt;0)</f>
        <v>1</v>
      </c>
      <c r="Y69" s="35" cm="1">
        <f t="array" ref="Y69">INT(SUMPRODUCT(--ISNUMBER(SEARCH(republicantrigger,C69)))&gt;0)</f>
        <v>0</v>
      </c>
      <c r="Z69" s="35" cm="1">
        <f t="array" ref="Z69">INT(SUMPRODUCT(--ISNUMBER(SEARCH(bipartisan,C69)))&gt;0)</f>
        <v>0</v>
      </c>
      <c r="AA69" s="35">
        <f t="shared" si="1"/>
        <v>0</v>
      </c>
      <c r="AB69" s="14"/>
      <c r="AC69" s="30">
        <v>1</v>
      </c>
      <c r="AD69" s="37">
        <v>0</v>
      </c>
    </row>
    <row r="70" spans="1:30" x14ac:dyDescent="0.25">
      <c r="A70" s="36">
        <v>3037</v>
      </c>
      <c r="B70" s="14" t="s">
        <v>6099</v>
      </c>
      <c r="C70" s="14" t="s">
        <v>6100</v>
      </c>
      <c r="D70" s="17">
        <v>44130</v>
      </c>
      <c r="E70" s="14" t="s">
        <v>30</v>
      </c>
      <c r="F70" s="14">
        <v>27</v>
      </c>
      <c r="G70" s="14">
        <v>25</v>
      </c>
      <c r="H70" s="14">
        <v>14</v>
      </c>
      <c r="I70" s="14">
        <v>7</v>
      </c>
      <c r="J70" s="14" t="s">
        <v>31</v>
      </c>
      <c r="K70" s="14" cm="1">
        <f t="array" ref="K70">INT(SUMPRODUCT(--ISNUMBER(SEARCH(economy,C70)))&gt;0)</f>
        <v>0</v>
      </c>
      <c r="L70" s="14" cm="1">
        <f t="array" ref="L70">INT(SUMPRODUCT(--ISNUMBER(SEARCH(healthcare,C70)))&gt;0)</f>
        <v>0</v>
      </c>
      <c r="M70" s="14" cm="1">
        <f t="array" ref="M70">INT(SUMPRODUCT(--ISNUMBER(SEARCH(supreme,C70)))&gt;0)</f>
        <v>0</v>
      </c>
      <c r="N70" s="14" cm="1">
        <f t="array" ref="N70">INT(SUMPRODUCT(--ISNUMBER(SEARCH(covid,C70)))&gt;0)</f>
        <v>1</v>
      </c>
      <c r="O70" s="14" cm="1">
        <f t="array" ref="O70">INT(SUMPRODUCT(--ISNUMBER(SEARCH(violent,C70)))&gt;0)</f>
        <v>0</v>
      </c>
      <c r="P70" s="14" cm="1">
        <f t="array" ref="P70">INT(SUMPRODUCT(--ISNUMBER(SEARCH(foreign,C70)))&gt;0)</f>
        <v>0</v>
      </c>
      <c r="Q70" s="14" cm="1">
        <f t="array" ref="Q70">INT(SUMPRODUCT(--ISNUMBER(SEARCH(gun,C70)))&gt;0)</f>
        <v>0</v>
      </c>
      <c r="R70" s="14" cm="1">
        <f t="array" ref="R70">INT(SUMPRODUCT(--ISNUMBER(SEARCH(race,C70)))&gt;0)</f>
        <v>0</v>
      </c>
      <c r="S70" s="14" cm="1">
        <f t="array" ref="S70">INT(SUMPRODUCT(--ISNUMBER(SEARCH(immigration,C70)))&gt;0)</f>
        <v>0</v>
      </c>
      <c r="T70" s="14" cm="1">
        <f t="array" ref="T70">INT(SUMPRODUCT(--ISNUMBER(SEARCH(econineq,C71)))&gt;0)</f>
        <v>0</v>
      </c>
      <c r="U70" s="14" cm="1">
        <f t="array" ref="U70">INT(SUMPRODUCT(--ISNUMBER(SEARCH(climate,C70)))&gt;0)</f>
        <v>0</v>
      </c>
      <c r="V70" s="14" cm="1">
        <f t="array" ref="V70">INT(SUMPRODUCT(--ISNUMBER(SEARCH(abortion,C70)))&gt;0)</f>
        <v>0</v>
      </c>
      <c r="W70" s="14" cm="1">
        <f t="array" ref="W70">INT(SUMPRODUCT(--ISNUMBER(SEARCH(trump,C70)))&gt;0)</f>
        <v>0</v>
      </c>
      <c r="X70" s="14" cm="1">
        <f t="array" ref="X70">INT(SUMPRODUCT(--ISNUMBER(SEARCH(voting,C70)))&gt;0)</f>
        <v>0</v>
      </c>
      <c r="Y70" s="35" cm="1">
        <f t="array" ref="Y70">INT(SUMPRODUCT(--ISNUMBER(SEARCH(republicantrigger,C70)))&gt;0)</f>
        <v>1</v>
      </c>
      <c r="Z70" s="35" cm="1">
        <f t="array" ref="Z70">INT(SUMPRODUCT(--ISNUMBER(SEARCH(bipartisan,C70)))&gt;0)</f>
        <v>0</v>
      </c>
      <c r="AA70" s="35">
        <f t="shared" si="1"/>
        <v>0</v>
      </c>
      <c r="AB70" s="14"/>
      <c r="AC70" s="30">
        <v>0</v>
      </c>
      <c r="AD70" s="37">
        <v>1</v>
      </c>
    </row>
    <row r="71" spans="1:30" x14ac:dyDescent="0.25">
      <c r="A71" s="36">
        <v>3038</v>
      </c>
      <c r="B71" s="14" t="s">
        <v>6101</v>
      </c>
      <c r="C71" s="14" t="s">
        <v>6102</v>
      </c>
      <c r="D71" s="17">
        <v>44130</v>
      </c>
      <c r="E71" s="14" t="s">
        <v>30</v>
      </c>
      <c r="F71" s="14">
        <v>23</v>
      </c>
      <c r="G71" s="14">
        <v>5</v>
      </c>
      <c r="H71" s="14">
        <v>14</v>
      </c>
      <c r="I71" s="14">
        <v>7</v>
      </c>
      <c r="J71" s="14" t="s">
        <v>31</v>
      </c>
      <c r="K71" s="14" cm="1">
        <f t="array" ref="K71">INT(SUMPRODUCT(--ISNUMBER(SEARCH(economy,C71)))&gt;0)</f>
        <v>0</v>
      </c>
      <c r="L71" s="14" cm="1">
        <f t="array" ref="L71">INT(SUMPRODUCT(--ISNUMBER(SEARCH(healthcare,C71)))&gt;0)</f>
        <v>0</v>
      </c>
      <c r="M71" s="14" cm="1">
        <f t="array" ref="M71">INT(SUMPRODUCT(--ISNUMBER(SEARCH(supreme,C71)))&gt;0)</f>
        <v>0</v>
      </c>
      <c r="N71" s="14" cm="1">
        <f t="array" ref="N71">INT(SUMPRODUCT(--ISNUMBER(SEARCH(covid,C71)))&gt;0)</f>
        <v>0</v>
      </c>
      <c r="O71" s="14" cm="1">
        <f t="array" ref="O71">INT(SUMPRODUCT(--ISNUMBER(SEARCH(violent,C71)))&gt;0)</f>
        <v>0</v>
      </c>
      <c r="P71" s="14" cm="1">
        <f t="array" ref="P71">INT(SUMPRODUCT(--ISNUMBER(SEARCH(foreign,C71)))&gt;0)</f>
        <v>0</v>
      </c>
      <c r="Q71" s="14" cm="1">
        <f t="array" ref="Q71">INT(SUMPRODUCT(--ISNUMBER(SEARCH(gun,C71)))&gt;0)</f>
        <v>0</v>
      </c>
      <c r="R71" s="14" cm="1">
        <f t="array" ref="R71">INT(SUMPRODUCT(--ISNUMBER(SEARCH(race,C71)))&gt;0)</f>
        <v>0</v>
      </c>
      <c r="S71" s="14" cm="1">
        <f t="array" ref="S71">INT(SUMPRODUCT(--ISNUMBER(SEARCH(immigration,C71)))&gt;0)</f>
        <v>0</v>
      </c>
      <c r="T71" s="14" cm="1">
        <f t="array" ref="T71">INT(SUMPRODUCT(--ISNUMBER(SEARCH(econineq,C72)))&gt;0)</f>
        <v>0</v>
      </c>
      <c r="U71" s="14" cm="1">
        <f t="array" ref="U71">INT(SUMPRODUCT(--ISNUMBER(SEARCH(climate,C71)))&gt;0)</f>
        <v>0</v>
      </c>
      <c r="V71" s="14" cm="1">
        <f t="array" ref="V71">INT(SUMPRODUCT(--ISNUMBER(SEARCH(abortion,C71)))&gt;0)</f>
        <v>0</v>
      </c>
      <c r="W71" s="14" cm="1">
        <f t="array" ref="W71">INT(SUMPRODUCT(--ISNUMBER(SEARCH(trump,C71)))&gt;0)</f>
        <v>0</v>
      </c>
      <c r="X71" s="14" cm="1">
        <f t="array" ref="X71">INT(SUMPRODUCT(--ISNUMBER(SEARCH(voting,C71)))&gt;0)</f>
        <v>0</v>
      </c>
      <c r="Y71" s="35" cm="1">
        <f t="array" ref="Y71">INT(SUMPRODUCT(--ISNUMBER(SEARCH(republicantrigger,C71)))&gt;0)</f>
        <v>0</v>
      </c>
      <c r="Z71" s="35" cm="1">
        <f t="array" ref="Z71">INT(SUMPRODUCT(--ISNUMBER(SEARCH(bipartisan,C71)))&gt;0)</f>
        <v>0</v>
      </c>
      <c r="AA71" s="35">
        <f t="shared" si="1"/>
        <v>1</v>
      </c>
      <c r="AB71" s="14"/>
      <c r="AC71" s="30" t="s">
        <v>223</v>
      </c>
      <c r="AD71" s="37" t="s">
        <v>223</v>
      </c>
    </row>
    <row r="72" spans="1:30" x14ac:dyDescent="0.25">
      <c r="A72" s="36">
        <v>3039</v>
      </c>
      <c r="B72" s="14" t="s">
        <v>6103</v>
      </c>
      <c r="C72" s="14" t="s">
        <v>6104</v>
      </c>
      <c r="D72" s="17">
        <v>44130</v>
      </c>
      <c r="E72" s="14" t="s">
        <v>30</v>
      </c>
      <c r="F72" s="14">
        <v>14</v>
      </c>
      <c r="G72" s="14">
        <v>4</v>
      </c>
      <c r="H72" s="14">
        <v>14</v>
      </c>
      <c r="I72" s="14">
        <v>7</v>
      </c>
      <c r="J72" s="14" t="s">
        <v>31</v>
      </c>
      <c r="K72" s="14" cm="1">
        <f t="array" ref="K72">INT(SUMPRODUCT(--ISNUMBER(SEARCH(economy,C72)))&gt;0)</f>
        <v>0</v>
      </c>
      <c r="L72" s="14" cm="1">
        <f t="array" ref="L72">INT(SUMPRODUCT(--ISNUMBER(SEARCH(healthcare,C72)))&gt;0)</f>
        <v>0</v>
      </c>
      <c r="M72" s="14" cm="1">
        <f t="array" ref="M72">INT(SUMPRODUCT(--ISNUMBER(SEARCH(supreme,C72)))&gt;0)</f>
        <v>0</v>
      </c>
      <c r="N72" s="14" cm="1">
        <f t="array" ref="N72">INT(SUMPRODUCT(--ISNUMBER(SEARCH(covid,C72)))&gt;0)</f>
        <v>0</v>
      </c>
      <c r="O72" s="14" cm="1">
        <f t="array" ref="O72">INT(SUMPRODUCT(--ISNUMBER(SEARCH(violent,C72)))&gt;0)</f>
        <v>0</v>
      </c>
      <c r="P72" s="14" cm="1">
        <f t="array" ref="P72">INT(SUMPRODUCT(--ISNUMBER(SEARCH(foreign,C72)))&gt;0)</f>
        <v>0</v>
      </c>
      <c r="Q72" s="14" cm="1">
        <f t="array" ref="Q72">INT(SUMPRODUCT(--ISNUMBER(SEARCH(gun,C72)))&gt;0)</f>
        <v>0</v>
      </c>
      <c r="R72" s="14" cm="1">
        <f t="array" ref="R72">INT(SUMPRODUCT(--ISNUMBER(SEARCH(race,C72)))&gt;0)</f>
        <v>0</v>
      </c>
      <c r="S72" s="14" cm="1">
        <f t="array" ref="S72">INT(SUMPRODUCT(--ISNUMBER(SEARCH(immigration,C72)))&gt;0)</f>
        <v>0</v>
      </c>
      <c r="T72" s="14" cm="1">
        <f t="array" ref="T72">INT(SUMPRODUCT(--ISNUMBER(SEARCH(econineq,C73)))&gt;0)</f>
        <v>0</v>
      </c>
      <c r="U72" s="14" cm="1">
        <f t="array" ref="U72">INT(SUMPRODUCT(--ISNUMBER(SEARCH(climate,C72)))&gt;0)</f>
        <v>0</v>
      </c>
      <c r="V72" s="14" cm="1">
        <f t="array" ref="V72">INT(SUMPRODUCT(--ISNUMBER(SEARCH(abortion,C72)))&gt;0)</f>
        <v>0</v>
      </c>
      <c r="W72" s="14" cm="1">
        <f t="array" ref="W72">INT(SUMPRODUCT(--ISNUMBER(SEARCH(trump,C72)))&gt;0)</f>
        <v>0</v>
      </c>
      <c r="X72" s="14" cm="1">
        <f t="array" ref="X72">INT(SUMPRODUCT(--ISNUMBER(SEARCH(voting,C72)))&gt;0)</f>
        <v>0</v>
      </c>
      <c r="Y72" s="35" cm="1">
        <f t="array" ref="Y72">INT(SUMPRODUCT(--ISNUMBER(SEARCH(republicantrigger,C72)))&gt;0)</f>
        <v>0</v>
      </c>
      <c r="Z72" s="35" cm="1">
        <f t="array" ref="Z72">INT(SUMPRODUCT(--ISNUMBER(SEARCH(bipartisan,C72)))&gt;0)</f>
        <v>0</v>
      </c>
      <c r="AA72" s="35">
        <f t="shared" si="1"/>
        <v>1</v>
      </c>
      <c r="AB72" s="14"/>
      <c r="AC72" s="30" t="s">
        <v>223</v>
      </c>
      <c r="AD72" s="37" t="s">
        <v>223</v>
      </c>
    </row>
    <row r="73" spans="1:30" x14ac:dyDescent="0.25">
      <c r="A73" s="36">
        <v>3040</v>
      </c>
      <c r="B73" s="14" t="s">
        <v>6105</v>
      </c>
      <c r="C73" s="14" t="s">
        <v>6106</v>
      </c>
      <c r="D73" s="17">
        <v>44129</v>
      </c>
      <c r="E73" s="14" t="s">
        <v>30</v>
      </c>
      <c r="F73" s="14">
        <v>12</v>
      </c>
      <c r="G73" s="14">
        <v>2</v>
      </c>
      <c r="H73" s="14">
        <v>14</v>
      </c>
      <c r="I73" s="14">
        <v>7</v>
      </c>
      <c r="J73" s="14" t="s">
        <v>31</v>
      </c>
      <c r="K73" s="14" cm="1">
        <f t="array" ref="K73">INT(SUMPRODUCT(--ISNUMBER(SEARCH(economy,C73)))&gt;0)</f>
        <v>0</v>
      </c>
      <c r="L73" s="14" cm="1">
        <f t="array" ref="L73">INT(SUMPRODUCT(--ISNUMBER(SEARCH(healthcare,C73)))&gt;0)</f>
        <v>0</v>
      </c>
      <c r="M73" s="14" cm="1">
        <f t="array" ref="M73">INT(SUMPRODUCT(--ISNUMBER(SEARCH(supreme,C73)))&gt;0)</f>
        <v>0</v>
      </c>
      <c r="N73" s="14" cm="1">
        <f t="array" ref="N73">INT(SUMPRODUCT(--ISNUMBER(SEARCH(covid,C73)))&gt;0)</f>
        <v>0</v>
      </c>
      <c r="O73" s="14" cm="1">
        <f t="array" ref="O73">INT(SUMPRODUCT(--ISNUMBER(SEARCH(violent,C73)))&gt;0)</f>
        <v>0</v>
      </c>
      <c r="P73" s="14" cm="1">
        <f t="array" ref="P73">INT(SUMPRODUCT(--ISNUMBER(SEARCH(foreign,C73)))&gt;0)</f>
        <v>0</v>
      </c>
      <c r="Q73" s="14" cm="1">
        <f t="array" ref="Q73">INT(SUMPRODUCT(--ISNUMBER(SEARCH(gun,C73)))&gt;0)</f>
        <v>0</v>
      </c>
      <c r="R73" s="14" cm="1">
        <f t="array" ref="R73">INT(SUMPRODUCT(--ISNUMBER(SEARCH(race,C73)))&gt;0)</f>
        <v>0</v>
      </c>
      <c r="S73" s="14" cm="1">
        <f t="array" ref="S73">INT(SUMPRODUCT(--ISNUMBER(SEARCH(immigration,C73)))&gt;0)</f>
        <v>0</v>
      </c>
      <c r="T73" s="14" cm="1">
        <f t="array" ref="T73">INT(SUMPRODUCT(--ISNUMBER(SEARCH(econineq,C74)))&gt;0)</f>
        <v>0</v>
      </c>
      <c r="U73" s="14" cm="1">
        <f t="array" ref="U73">INT(SUMPRODUCT(--ISNUMBER(SEARCH(climate,C73)))&gt;0)</f>
        <v>0</v>
      </c>
      <c r="V73" s="14" cm="1">
        <f t="array" ref="V73">INT(SUMPRODUCT(--ISNUMBER(SEARCH(abortion,C73)))&gt;0)</f>
        <v>0</v>
      </c>
      <c r="W73" s="14" cm="1">
        <f t="array" ref="W73">INT(SUMPRODUCT(--ISNUMBER(SEARCH(trump,C73)))&gt;0)</f>
        <v>0</v>
      </c>
      <c r="X73" s="14" cm="1">
        <f t="array" ref="X73">INT(SUMPRODUCT(--ISNUMBER(SEARCH(voting,C73)))&gt;0)</f>
        <v>0</v>
      </c>
      <c r="Y73" s="35" cm="1">
        <f t="array" ref="Y73">INT(SUMPRODUCT(--ISNUMBER(SEARCH(republicantrigger,C73)))&gt;0)</f>
        <v>0</v>
      </c>
      <c r="Z73" s="35" cm="1">
        <f t="array" ref="Z73">INT(SUMPRODUCT(--ISNUMBER(SEARCH(bipartisan,C73)))&gt;0)</f>
        <v>0</v>
      </c>
      <c r="AA73" s="35">
        <f t="shared" si="1"/>
        <v>1</v>
      </c>
      <c r="AB73" s="14"/>
      <c r="AC73" s="30" t="s">
        <v>223</v>
      </c>
      <c r="AD73" s="37" t="s">
        <v>223</v>
      </c>
    </row>
    <row r="74" spans="1:30" x14ac:dyDescent="0.25">
      <c r="A74" s="36">
        <v>3041</v>
      </c>
      <c r="B74" s="14" t="s">
        <v>6107</v>
      </c>
      <c r="C74" s="14" t="s">
        <v>6108</v>
      </c>
      <c r="D74" s="17">
        <v>44129</v>
      </c>
      <c r="E74" s="14" t="s">
        <v>30</v>
      </c>
      <c r="F74" s="14">
        <v>52</v>
      </c>
      <c r="G74" s="14">
        <v>15</v>
      </c>
      <c r="H74" s="14">
        <v>14</v>
      </c>
      <c r="I74" s="14">
        <v>7</v>
      </c>
      <c r="J74" s="14" t="s">
        <v>31</v>
      </c>
      <c r="K74" s="14" cm="1">
        <f t="array" ref="K74">INT(SUMPRODUCT(--ISNUMBER(SEARCH(economy,C74)))&gt;0)</f>
        <v>0</v>
      </c>
      <c r="L74" s="14" cm="1">
        <f t="array" ref="L74">INT(SUMPRODUCT(--ISNUMBER(SEARCH(healthcare,C74)))&gt;0)</f>
        <v>0</v>
      </c>
      <c r="M74" s="14" cm="1">
        <f t="array" ref="M74">INT(SUMPRODUCT(--ISNUMBER(SEARCH(supreme,C74)))&gt;0)</f>
        <v>0</v>
      </c>
      <c r="N74" s="14" cm="1">
        <f t="array" ref="N74">INT(SUMPRODUCT(--ISNUMBER(SEARCH(covid,C74)))&gt;0)</f>
        <v>0</v>
      </c>
      <c r="O74" s="14" cm="1">
        <f t="array" ref="O74">INT(SUMPRODUCT(--ISNUMBER(SEARCH(violent,C74)))&gt;0)</f>
        <v>0</v>
      </c>
      <c r="P74" s="14" cm="1">
        <f t="array" ref="P74">INT(SUMPRODUCT(--ISNUMBER(SEARCH(foreign,C74)))&gt;0)</f>
        <v>0</v>
      </c>
      <c r="Q74" s="14" cm="1">
        <f t="array" ref="Q74">INT(SUMPRODUCT(--ISNUMBER(SEARCH(gun,C74)))&gt;0)</f>
        <v>0</v>
      </c>
      <c r="R74" s="14" cm="1">
        <f t="array" ref="R74">INT(SUMPRODUCT(--ISNUMBER(SEARCH(race,C74)))&gt;0)</f>
        <v>0</v>
      </c>
      <c r="S74" s="14" cm="1">
        <f t="array" ref="S74">INT(SUMPRODUCT(--ISNUMBER(SEARCH(immigration,C74)))&gt;0)</f>
        <v>0</v>
      </c>
      <c r="T74" s="14" cm="1">
        <f t="array" ref="T74">INT(SUMPRODUCT(--ISNUMBER(SEARCH(econineq,C75)))&gt;0)</f>
        <v>0</v>
      </c>
      <c r="U74" s="14" cm="1">
        <f t="array" ref="U74">INT(SUMPRODUCT(--ISNUMBER(SEARCH(climate,C74)))&gt;0)</f>
        <v>0</v>
      </c>
      <c r="V74" s="14" cm="1">
        <f t="array" ref="V74">INT(SUMPRODUCT(--ISNUMBER(SEARCH(abortion,C74)))&gt;0)</f>
        <v>0</v>
      </c>
      <c r="W74" s="14" cm="1">
        <f t="array" ref="W74">INT(SUMPRODUCT(--ISNUMBER(SEARCH(trump,C74)))&gt;0)</f>
        <v>1</v>
      </c>
      <c r="X74" s="14" cm="1">
        <f t="array" ref="X74">INT(SUMPRODUCT(--ISNUMBER(SEARCH(voting,C74)))&gt;0)</f>
        <v>0</v>
      </c>
      <c r="Y74" s="35" cm="1">
        <f t="array" ref="Y74">INT(SUMPRODUCT(--ISNUMBER(SEARCH(republicantrigger,C74)))&gt;0)</f>
        <v>1</v>
      </c>
      <c r="Z74" s="35" cm="1">
        <f t="array" ref="Z74">INT(SUMPRODUCT(--ISNUMBER(SEARCH(bipartisan,C74)))&gt;0)</f>
        <v>0</v>
      </c>
      <c r="AA74" s="35">
        <f t="shared" si="1"/>
        <v>0</v>
      </c>
      <c r="AB74" s="14"/>
      <c r="AC74" s="30">
        <v>1</v>
      </c>
      <c r="AD74" s="37">
        <v>0</v>
      </c>
    </row>
    <row r="75" spans="1:30" x14ac:dyDescent="0.25">
      <c r="A75" s="36">
        <v>3042</v>
      </c>
      <c r="B75" s="14" t="s">
        <v>6109</v>
      </c>
      <c r="C75" s="14" t="s">
        <v>6110</v>
      </c>
      <c r="D75" s="17">
        <v>44129</v>
      </c>
      <c r="E75" s="14" t="s">
        <v>30</v>
      </c>
      <c r="F75" s="14">
        <v>31</v>
      </c>
      <c r="G75" s="14">
        <v>9</v>
      </c>
      <c r="H75" s="14">
        <v>14</v>
      </c>
      <c r="I75" s="14">
        <v>7</v>
      </c>
      <c r="J75" s="14" t="s">
        <v>31</v>
      </c>
      <c r="K75" s="14" cm="1">
        <f t="array" ref="K75">INT(SUMPRODUCT(--ISNUMBER(SEARCH(economy,C75)))&gt;0)</f>
        <v>0</v>
      </c>
      <c r="L75" s="14" cm="1">
        <f t="array" ref="L75">INT(SUMPRODUCT(--ISNUMBER(SEARCH(healthcare,C75)))&gt;0)</f>
        <v>0</v>
      </c>
      <c r="M75" s="14" cm="1">
        <f t="array" ref="M75">INT(SUMPRODUCT(--ISNUMBER(SEARCH(supreme,C75)))&gt;0)</f>
        <v>0</v>
      </c>
      <c r="N75" s="14" cm="1">
        <f t="array" ref="N75">INT(SUMPRODUCT(--ISNUMBER(SEARCH(covid,C75)))&gt;0)</f>
        <v>0</v>
      </c>
      <c r="O75" s="14" cm="1">
        <f t="array" ref="O75">INT(SUMPRODUCT(--ISNUMBER(SEARCH(violent,C75)))&gt;0)</f>
        <v>0</v>
      </c>
      <c r="P75" s="14" cm="1">
        <f t="array" ref="P75">INT(SUMPRODUCT(--ISNUMBER(SEARCH(foreign,C75)))&gt;0)</f>
        <v>0</v>
      </c>
      <c r="Q75" s="14" cm="1">
        <f t="array" ref="Q75">INT(SUMPRODUCT(--ISNUMBER(SEARCH(gun,C75)))&gt;0)</f>
        <v>0</v>
      </c>
      <c r="R75" s="14" cm="1">
        <f t="array" ref="R75">INT(SUMPRODUCT(--ISNUMBER(SEARCH(race,C75)))&gt;0)</f>
        <v>0</v>
      </c>
      <c r="S75" s="14" cm="1">
        <f t="array" ref="S75">INT(SUMPRODUCT(--ISNUMBER(SEARCH(immigration,C75)))&gt;0)</f>
        <v>0</v>
      </c>
      <c r="T75" s="14" cm="1">
        <f t="array" ref="T75">INT(SUMPRODUCT(--ISNUMBER(SEARCH(econineq,C76)))&gt;0)</f>
        <v>0</v>
      </c>
      <c r="U75" s="14" cm="1">
        <f t="array" ref="U75">INT(SUMPRODUCT(--ISNUMBER(SEARCH(climate,C75)))&gt;0)</f>
        <v>0</v>
      </c>
      <c r="V75" s="14" cm="1">
        <f t="array" ref="V75">INT(SUMPRODUCT(--ISNUMBER(SEARCH(abortion,C75)))&gt;0)</f>
        <v>0</v>
      </c>
      <c r="W75" s="14" cm="1">
        <f t="array" ref="W75">INT(SUMPRODUCT(--ISNUMBER(SEARCH(trump,C75)))&gt;0)</f>
        <v>1</v>
      </c>
      <c r="X75" s="14" cm="1">
        <f t="array" ref="X75">INT(SUMPRODUCT(--ISNUMBER(SEARCH(voting,C75)))&gt;0)</f>
        <v>1</v>
      </c>
      <c r="Y75" s="35" cm="1">
        <f t="array" ref="Y75">INT(SUMPRODUCT(--ISNUMBER(SEARCH(republicantrigger,C75)))&gt;0)</f>
        <v>0</v>
      </c>
      <c r="Z75" s="35" cm="1">
        <f t="array" ref="Z75">INT(SUMPRODUCT(--ISNUMBER(SEARCH(bipartisan,C75)))&gt;0)</f>
        <v>0</v>
      </c>
      <c r="AA75" s="35">
        <f t="shared" si="1"/>
        <v>0</v>
      </c>
      <c r="AB75" s="14"/>
      <c r="AC75" s="30">
        <v>1</v>
      </c>
      <c r="AD75" s="37">
        <v>0</v>
      </c>
    </row>
    <row r="76" spans="1:30" x14ac:dyDescent="0.25">
      <c r="A76" s="36">
        <v>3043</v>
      </c>
      <c r="B76" s="14" t="s">
        <v>6111</v>
      </c>
      <c r="C76" s="14" t="s">
        <v>6112</v>
      </c>
      <c r="D76" s="17">
        <v>44129</v>
      </c>
      <c r="E76" s="14" t="s">
        <v>30</v>
      </c>
      <c r="F76" s="14">
        <v>27</v>
      </c>
      <c r="G76" s="14">
        <v>14</v>
      </c>
      <c r="H76" s="14">
        <v>14</v>
      </c>
      <c r="I76" s="14">
        <v>7</v>
      </c>
      <c r="J76" s="14" t="s">
        <v>31</v>
      </c>
      <c r="K76" s="14" cm="1">
        <f t="array" ref="K76">INT(SUMPRODUCT(--ISNUMBER(SEARCH(economy,C76)))&gt;0)</f>
        <v>0</v>
      </c>
      <c r="L76" s="14" cm="1">
        <f t="array" ref="L76">INT(SUMPRODUCT(--ISNUMBER(SEARCH(healthcare,C76)))&gt;0)</f>
        <v>0</v>
      </c>
      <c r="M76" s="14" cm="1">
        <f t="array" ref="M76">INT(SUMPRODUCT(--ISNUMBER(SEARCH(supreme,C76)))&gt;0)</f>
        <v>0</v>
      </c>
      <c r="N76" s="14" cm="1">
        <f t="array" ref="N76">INT(SUMPRODUCT(--ISNUMBER(SEARCH(covid,C76)))&gt;0)</f>
        <v>0</v>
      </c>
      <c r="O76" s="14" cm="1">
        <f t="array" ref="O76">INT(SUMPRODUCT(--ISNUMBER(SEARCH(violent,C76)))&gt;0)</f>
        <v>0</v>
      </c>
      <c r="P76" s="14" cm="1">
        <f t="array" ref="P76">INT(SUMPRODUCT(--ISNUMBER(SEARCH(foreign,C76)))&gt;0)</f>
        <v>0</v>
      </c>
      <c r="Q76" s="14" cm="1">
        <f t="array" ref="Q76">INT(SUMPRODUCT(--ISNUMBER(SEARCH(gun,C76)))&gt;0)</f>
        <v>0</v>
      </c>
      <c r="R76" s="14" cm="1">
        <f t="array" ref="R76">INT(SUMPRODUCT(--ISNUMBER(SEARCH(race,C76)))&gt;0)</f>
        <v>0</v>
      </c>
      <c r="S76" s="14" cm="1">
        <f t="array" ref="S76">INT(SUMPRODUCT(--ISNUMBER(SEARCH(immigration,C76)))&gt;0)</f>
        <v>0</v>
      </c>
      <c r="T76" s="14" cm="1">
        <f t="array" ref="T76">INT(SUMPRODUCT(--ISNUMBER(SEARCH(econineq,C77)))&gt;0)</f>
        <v>0</v>
      </c>
      <c r="U76" s="14" cm="1">
        <f t="array" ref="U76">INT(SUMPRODUCT(--ISNUMBER(SEARCH(climate,C76)))&gt;0)</f>
        <v>0</v>
      </c>
      <c r="V76" s="14" cm="1">
        <f t="array" ref="V76">INT(SUMPRODUCT(--ISNUMBER(SEARCH(abortion,C76)))&gt;0)</f>
        <v>0</v>
      </c>
      <c r="W76" s="14" cm="1">
        <f t="array" ref="W76">INT(SUMPRODUCT(--ISNUMBER(SEARCH(trump,C76)))&gt;0)</f>
        <v>1</v>
      </c>
      <c r="X76" s="14" cm="1">
        <f t="array" ref="X76">INT(SUMPRODUCT(--ISNUMBER(SEARCH(voting,C76)))&gt;0)</f>
        <v>1</v>
      </c>
      <c r="Y76" s="35" cm="1">
        <f t="array" ref="Y76">INT(SUMPRODUCT(--ISNUMBER(SEARCH(republicantrigger,C76)))&gt;0)</f>
        <v>0</v>
      </c>
      <c r="Z76" s="35" cm="1">
        <f t="array" ref="Z76">INT(SUMPRODUCT(--ISNUMBER(SEARCH(bipartisan,C76)))&gt;0)</f>
        <v>0</v>
      </c>
      <c r="AA76" s="35">
        <f t="shared" si="1"/>
        <v>0</v>
      </c>
      <c r="AB76" s="14"/>
      <c r="AC76" s="30">
        <v>1</v>
      </c>
      <c r="AD76" s="37">
        <v>0</v>
      </c>
    </row>
    <row r="77" spans="1:30" x14ac:dyDescent="0.25">
      <c r="A77" s="36">
        <v>3044</v>
      </c>
      <c r="B77" s="14" t="s">
        <v>6113</v>
      </c>
      <c r="C77" s="14" t="s">
        <v>6114</v>
      </c>
      <c r="D77" s="17">
        <v>44128</v>
      </c>
      <c r="E77" s="14" t="s">
        <v>30</v>
      </c>
      <c r="F77" s="14">
        <v>17</v>
      </c>
      <c r="G77" s="14">
        <v>10</v>
      </c>
      <c r="H77" s="14">
        <v>14</v>
      </c>
      <c r="I77" s="14">
        <v>7</v>
      </c>
      <c r="J77" s="14" t="s">
        <v>31</v>
      </c>
      <c r="K77" s="14" cm="1">
        <f t="array" ref="K77">INT(SUMPRODUCT(--ISNUMBER(SEARCH(economy,C77)))&gt;0)</f>
        <v>0</v>
      </c>
      <c r="L77" s="14" cm="1">
        <f t="array" ref="L77">INT(SUMPRODUCT(--ISNUMBER(SEARCH(healthcare,C77)))&gt;0)</f>
        <v>0</v>
      </c>
      <c r="M77" s="14" cm="1">
        <f t="array" ref="M77">INT(SUMPRODUCT(--ISNUMBER(SEARCH(supreme,C77)))&gt;0)</f>
        <v>0</v>
      </c>
      <c r="N77" s="14" cm="1">
        <f t="array" ref="N77">INT(SUMPRODUCT(--ISNUMBER(SEARCH(covid,C77)))&gt;0)</f>
        <v>0</v>
      </c>
      <c r="O77" s="14" cm="1">
        <f t="array" ref="O77">INT(SUMPRODUCT(--ISNUMBER(SEARCH(violent,C77)))&gt;0)</f>
        <v>0</v>
      </c>
      <c r="P77" s="14" cm="1">
        <f t="array" ref="P77">INT(SUMPRODUCT(--ISNUMBER(SEARCH(foreign,C77)))&gt;0)</f>
        <v>0</v>
      </c>
      <c r="Q77" s="14" cm="1">
        <f t="array" ref="Q77">INT(SUMPRODUCT(--ISNUMBER(SEARCH(gun,C77)))&gt;0)</f>
        <v>0</v>
      </c>
      <c r="R77" s="14" cm="1">
        <f t="array" ref="R77">INT(SUMPRODUCT(--ISNUMBER(SEARCH(race,C77)))&gt;0)</f>
        <v>0</v>
      </c>
      <c r="S77" s="14" cm="1">
        <f t="array" ref="S77">INT(SUMPRODUCT(--ISNUMBER(SEARCH(immigration,C77)))&gt;0)</f>
        <v>0</v>
      </c>
      <c r="T77" s="14" cm="1">
        <f t="array" ref="T77">INT(SUMPRODUCT(--ISNUMBER(SEARCH(econineq,C78)))&gt;0)</f>
        <v>0</v>
      </c>
      <c r="U77" s="14" cm="1">
        <f t="array" ref="U77">INT(SUMPRODUCT(--ISNUMBER(SEARCH(climate,C77)))&gt;0)</f>
        <v>0</v>
      </c>
      <c r="V77" s="14" cm="1">
        <f t="array" ref="V77">INT(SUMPRODUCT(--ISNUMBER(SEARCH(abortion,C77)))&gt;0)</f>
        <v>0</v>
      </c>
      <c r="W77" s="14" cm="1">
        <f t="array" ref="W77">INT(SUMPRODUCT(--ISNUMBER(SEARCH(trump,C77)))&gt;0)</f>
        <v>0</v>
      </c>
      <c r="X77" s="14" cm="1">
        <f t="array" ref="X77">INT(SUMPRODUCT(--ISNUMBER(SEARCH(voting,C77)))&gt;0)</f>
        <v>0</v>
      </c>
      <c r="Y77" s="35" cm="1">
        <f t="array" ref="Y77">INT(SUMPRODUCT(--ISNUMBER(SEARCH(republicantrigger,C77)))&gt;0)</f>
        <v>0</v>
      </c>
      <c r="Z77" s="35" cm="1">
        <f t="array" ref="Z77">INT(SUMPRODUCT(--ISNUMBER(SEARCH(bipartisan,C77)))&gt;0)</f>
        <v>0</v>
      </c>
      <c r="AA77" s="35">
        <f t="shared" si="1"/>
        <v>1</v>
      </c>
      <c r="AB77" s="14"/>
      <c r="AC77" s="30">
        <v>1</v>
      </c>
      <c r="AD77" s="37">
        <v>0</v>
      </c>
    </row>
    <row r="78" spans="1:30" x14ac:dyDescent="0.25">
      <c r="A78" s="36">
        <v>3045</v>
      </c>
      <c r="B78" s="14" t="s">
        <v>6115</v>
      </c>
      <c r="C78" s="14" t="s">
        <v>6116</v>
      </c>
      <c r="D78" s="17">
        <v>44128</v>
      </c>
      <c r="E78" s="14" t="s">
        <v>30</v>
      </c>
      <c r="F78" s="14">
        <v>21</v>
      </c>
      <c r="G78" s="14">
        <v>11</v>
      </c>
      <c r="H78" s="14">
        <v>14</v>
      </c>
      <c r="I78" s="14">
        <v>7</v>
      </c>
      <c r="J78" s="14" t="s">
        <v>31</v>
      </c>
      <c r="K78" s="14" cm="1">
        <f t="array" ref="K78">INT(SUMPRODUCT(--ISNUMBER(SEARCH(economy,C78)))&gt;0)</f>
        <v>0</v>
      </c>
      <c r="L78" s="14" cm="1">
        <f t="array" ref="L78">INT(SUMPRODUCT(--ISNUMBER(SEARCH(healthcare,C78)))&gt;0)</f>
        <v>0</v>
      </c>
      <c r="M78" s="14" cm="1">
        <f t="array" ref="M78">INT(SUMPRODUCT(--ISNUMBER(SEARCH(supreme,C78)))&gt;0)</f>
        <v>0</v>
      </c>
      <c r="N78" s="14" cm="1">
        <f t="array" ref="N78">INT(SUMPRODUCT(--ISNUMBER(SEARCH(covid,C78)))&gt;0)</f>
        <v>0</v>
      </c>
      <c r="O78" s="14" cm="1">
        <f t="array" ref="O78">INT(SUMPRODUCT(--ISNUMBER(SEARCH(violent,C78)))&gt;0)</f>
        <v>0</v>
      </c>
      <c r="P78" s="14" cm="1">
        <f t="array" ref="P78">INT(SUMPRODUCT(--ISNUMBER(SEARCH(foreign,C78)))&gt;0)</f>
        <v>0</v>
      </c>
      <c r="Q78" s="14" cm="1">
        <f t="array" ref="Q78">INT(SUMPRODUCT(--ISNUMBER(SEARCH(gun,C78)))&gt;0)</f>
        <v>0</v>
      </c>
      <c r="R78" s="14" cm="1">
        <f t="array" ref="R78">INT(SUMPRODUCT(--ISNUMBER(SEARCH(race,C78)))&gt;0)</f>
        <v>0</v>
      </c>
      <c r="S78" s="14" cm="1">
        <f t="array" ref="S78">INT(SUMPRODUCT(--ISNUMBER(SEARCH(immigration,C78)))&gt;0)</f>
        <v>0</v>
      </c>
      <c r="T78" s="14" cm="1">
        <f t="array" ref="T78">INT(SUMPRODUCT(--ISNUMBER(SEARCH(econineq,C79)))&gt;0)</f>
        <v>0</v>
      </c>
      <c r="U78" s="14" cm="1">
        <f t="array" ref="U78">INT(SUMPRODUCT(--ISNUMBER(SEARCH(climate,C78)))&gt;0)</f>
        <v>0</v>
      </c>
      <c r="V78" s="14" cm="1">
        <f t="array" ref="V78">INT(SUMPRODUCT(--ISNUMBER(SEARCH(abortion,C78)))&gt;0)</f>
        <v>0</v>
      </c>
      <c r="W78" s="14" cm="1">
        <f t="array" ref="W78">INT(SUMPRODUCT(--ISNUMBER(SEARCH(trump,C78)))&gt;0)</f>
        <v>1</v>
      </c>
      <c r="X78" s="14" cm="1">
        <f t="array" ref="X78">INT(SUMPRODUCT(--ISNUMBER(SEARCH(voting,C78)))&gt;0)</f>
        <v>0</v>
      </c>
      <c r="Y78" s="35" cm="1">
        <f t="array" ref="Y78">INT(SUMPRODUCT(--ISNUMBER(SEARCH(republicantrigger,C78)))&gt;0)</f>
        <v>0</v>
      </c>
      <c r="Z78" s="35" cm="1">
        <f t="array" ref="Z78">INT(SUMPRODUCT(--ISNUMBER(SEARCH(bipartisan,C78)))&gt;0)</f>
        <v>0</v>
      </c>
      <c r="AA78" s="35">
        <f t="shared" si="1"/>
        <v>0</v>
      </c>
      <c r="AB78" s="14"/>
      <c r="AC78" s="30">
        <v>1</v>
      </c>
      <c r="AD78" s="37">
        <v>0</v>
      </c>
    </row>
    <row r="79" spans="1:30" x14ac:dyDescent="0.25">
      <c r="A79" s="36">
        <v>3046</v>
      </c>
      <c r="B79" s="14" t="s">
        <v>6117</v>
      </c>
      <c r="C79" s="14" t="s">
        <v>6118</v>
      </c>
      <c r="D79" s="17">
        <v>44128</v>
      </c>
      <c r="E79" s="14" t="s">
        <v>30</v>
      </c>
      <c r="F79" s="14">
        <v>26</v>
      </c>
      <c r="G79" s="14">
        <v>7</v>
      </c>
      <c r="H79" s="14">
        <v>14</v>
      </c>
      <c r="I79" s="14">
        <v>7</v>
      </c>
      <c r="J79" s="14" t="s">
        <v>31</v>
      </c>
      <c r="K79" s="14" cm="1">
        <f t="array" ref="K79">INT(SUMPRODUCT(--ISNUMBER(SEARCH(economy,C79)))&gt;0)</f>
        <v>0</v>
      </c>
      <c r="L79" s="14" cm="1">
        <f t="array" ref="L79">INT(SUMPRODUCT(--ISNUMBER(SEARCH(healthcare,C79)))&gt;0)</f>
        <v>0</v>
      </c>
      <c r="M79" s="14" cm="1">
        <f t="array" ref="M79">INT(SUMPRODUCT(--ISNUMBER(SEARCH(supreme,C79)))&gt;0)</f>
        <v>0</v>
      </c>
      <c r="N79" s="14" cm="1">
        <f t="array" ref="N79">INT(SUMPRODUCT(--ISNUMBER(SEARCH(covid,C79)))&gt;0)</f>
        <v>0</v>
      </c>
      <c r="O79" s="14" cm="1">
        <f t="array" ref="O79">INT(SUMPRODUCT(--ISNUMBER(SEARCH(violent,C79)))&gt;0)</f>
        <v>0</v>
      </c>
      <c r="P79" s="14" cm="1">
        <f t="array" ref="P79">INT(SUMPRODUCT(--ISNUMBER(SEARCH(foreign,C79)))&gt;0)</f>
        <v>0</v>
      </c>
      <c r="Q79" s="14" cm="1">
        <f t="array" ref="Q79">INT(SUMPRODUCT(--ISNUMBER(SEARCH(gun,C79)))&gt;0)</f>
        <v>0</v>
      </c>
      <c r="R79" s="14" cm="1">
        <f t="array" ref="R79">INT(SUMPRODUCT(--ISNUMBER(SEARCH(race,C79)))&gt;0)</f>
        <v>0</v>
      </c>
      <c r="S79" s="14" cm="1">
        <f t="array" ref="S79">INT(SUMPRODUCT(--ISNUMBER(SEARCH(immigration,C79)))&gt;0)</f>
        <v>0</v>
      </c>
      <c r="T79" s="14" cm="1">
        <f t="array" ref="T79">INT(SUMPRODUCT(--ISNUMBER(SEARCH(econineq,C80)))&gt;0)</f>
        <v>0</v>
      </c>
      <c r="U79" s="14" cm="1">
        <f t="array" ref="U79">INT(SUMPRODUCT(--ISNUMBER(SEARCH(climate,C79)))&gt;0)</f>
        <v>0</v>
      </c>
      <c r="V79" s="14" cm="1">
        <f t="array" ref="V79">INT(SUMPRODUCT(--ISNUMBER(SEARCH(abortion,C79)))&gt;0)</f>
        <v>0</v>
      </c>
      <c r="W79" s="14" cm="1">
        <f t="array" ref="W79">INT(SUMPRODUCT(--ISNUMBER(SEARCH(trump,C79)))&gt;0)</f>
        <v>1</v>
      </c>
      <c r="X79" s="14" cm="1">
        <f t="array" ref="X79">INT(SUMPRODUCT(--ISNUMBER(SEARCH(voting,C79)))&gt;0)</f>
        <v>0</v>
      </c>
      <c r="Y79" s="35" cm="1">
        <f t="array" ref="Y79">INT(SUMPRODUCT(--ISNUMBER(SEARCH(republicantrigger,C79)))&gt;0)</f>
        <v>0</v>
      </c>
      <c r="Z79" s="35" cm="1">
        <f t="array" ref="Z79">INT(SUMPRODUCT(--ISNUMBER(SEARCH(bipartisan,C79)))&gt;0)</f>
        <v>0</v>
      </c>
      <c r="AA79" s="35">
        <f t="shared" si="1"/>
        <v>0</v>
      </c>
      <c r="AB79" s="14"/>
      <c r="AC79" s="30" t="s">
        <v>223</v>
      </c>
      <c r="AD79" s="37" t="s">
        <v>223</v>
      </c>
    </row>
    <row r="80" spans="1:30" x14ac:dyDescent="0.25">
      <c r="A80" s="36">
        <v>3047</v>
      </c>
      <c r="B80" s="14" t="s">
        <v>6119</v>
      </c>
      <c r="C80" s="14" t="s">
        <v>6120</v>
      </c>
      <c r="D80" s="17">
        <v>44128</v>
      </c>
      <c r="E80" s="14" t="s">
        <v>30</v>
      </c>
      <c r="F80" s="14">
        <v>14</v>
      </c>
      <c r="G80" s="14">
        <v>5</v>
      </c>
      <c r="H80" s="14">
        <v>14</v>
      </c>
      <c r="I80" s="14">
        <v>7</v>
      </c>
      <c r="J80" s="14" t="s">
        <v>31</v>
      </c>
      <c r="K80" s="14" cm="1">
        <f t="array" ref="K80">INT(SUMPRODUCT(--ISNUMBER(SEARCH(economy,C80)))&gt;0)</f>
        <v>0</v>
      </c>
      <c r="L80" s="14" cm="1">
        <f t="array" ref="L80">INT(SUMPRODUCT(--ISNUMBER(SEARCH(healthcare,C80)))&gt;0)</f>
        <v>0</v>
      </c>
      <c r="M80" s="14" cm="1">
        <f t="array" ref="M80">INT(SUMPRODUCT(--ISNUMBER(SEARCH(supreme,C80)))&gt;0)</f>
        <v>0</v>
      </c>
      <c r="N80" s="14" cm="1">
        <f t="array" ref="N80">INT(SUMPRODUCT(--ISNUMBER(SEARCH(covid,C80)))&gt;0)</f>
        <v>0</v>
      </c>
      <c r="O80" s="14" cm="1">
        <f t="array" ref="O80">INT(SUMPRODUCT(--ISNUMBER(SEARCH(violent,C80)))&gt;0)</f>
        <v>0</v>
      </c>
      <c r="P80" s="14" cm="1">
        <f t="array" ref="P80">INT(SUMPRODUCT(--ISNUMBER(SEARCH(foreign,C80)))&gt;0)</f>
        <v>0</v>
      </c>
      <c r="Q80" s="14" cm="1">
        <f t="array" ref="Q80">INT(SUMPRODUCT(--ISNUMBER(SEARCH(gun,C80)))&gt;0)</f>
        <v>0</v>
      </c>
      <c r="R80" s="14" cm="1">
        <f t="array" ref="R80">INT(SUMPRODUCT(--ISNUMBER(SEARCH(race,C80)))&gt;0)</f>
        <v>0</v>
      </c>
      <c r="S80" s="14" cm="1">
        <f t="array" ref="S80">INT(SUMPRODUCT(--ISNUMBER(SEARCH(immigration,C80)))&gt;0)</f>
        <v>0</v>
      </c>
      <c r="T80" s="14" cm="1">
        <f t="array" ref="T80">INT(SUMPRODUCT(--ISNUMBER(SEARCH(econineq,C81)))&gt;0)</f>
        <v>0</v>
      </c>
      <c r="U80" s="14" cm="1">
        <f t="array" ref="U80">INT(SUMPRODUCT(--ISNUMBER(SEARCH(climate,C80)))&gt;0)</f>
        <v>0</v>
      </c>
      <c r="V80" s="14" cm="1">
        <f t="array" ref="V80">INT(SUMPRODUCT(--ISNUMBER(SEARCH(abortion,C80)))&gt;0)</f>
        <v>0</v>
      </c>
      <c r="W80" s="14" cm="1">
        <f t="array" ref="W80">INT(SUMPRODUCT(--ISNUMBER(SEARCH(trump,C80)))&gt;0)</f>
        <v>0</v>
      </c>
      <c r="X80" s="14" cm="1">
        <f t="array" ref="X80">INT(SUMPRODUCT(--ISNUMBER(SEARCH(voting,C80)))&gt;0)</f>
        <v>1</v>
      </c>
      <c r="Y80" s="35" cm="1">
        <f t="array" ref="Y80">INT(SUMPRODUCT(--ISNUMBER(SEARCH(republicantrigger,C80)))&gt;0)</f>
        <v>0</v>
      </c>
      <c r="Z80" s="35" cm="1">
        <f t="array" ref="Z80">INT(SUMPRODUCT(--ISNUMBER(SEARCH(bipartisan,C80)))&gt;0)</f>
        <v>0</v>
      </c>
      <c r="AA80" s="35">
        <f t="shared" si="1"/>
        <v>0</v>
      </c>
      <c r="AB80" s="14"/>
      <c r="AC80" s="30">
        <v>1</v>
      </c>
      <c r="AD80" s="37">
        <v>0</v>
      </c>
    </row>
    <row r="81" spans="1:30" x14ac:dyDescent="0.25">
      <c r="A81" s="36">
        <v>3048</v>
      </c>
      <c r="B81" s="14" t="s">
        <v>6121</v>
      </c>
      <c r="C81" s="14" t="s">
        <v>6122</v>
      </c>
      <c r="D81" s="17">
        <v>44127</v>
      </c>
      <c r="E81" s="14" t="s">
        <v>30</v>
      </c>
      <c r="F81" s="14">
        <v>32</v>
      </c>
      <c r="G81" s="14">
        <v>27</v>
      </c>
      <c r="H81" s="14">
        <v>14</v>
      </c>
      <c r="I81" s="14">
        <v>7</v>
      </c>
      <c r="J81" s="14" t="s">
        <v>31</v>
      </c>
      <c r="K81" s="14" cm="1">
        <f t="array" ref="K81">INT(SUMPRODUCT(--ISNUMBER(SEARCH(economy,C81)))&gt;0)</f>
        <v>0</v>
      </c>
      <c r="L81" s="14" cm="1">
        <f t="array" ref="L81">INT(SUMPRODUCT(--ISNUMBER(SEARCH(healthcare,C81)))&gt;0)</f>
        <v>0</v>
      </c>
      <c r="M81" s="14" cm="1">
        <f t="array" ref="M81">INT(SUMPRODUCT(--ISNUMBER(SEARCH(supreme,C81)))&gt;0)</f>
        <v>0</v>
      </c>
      <c r="N81" s="14" cm="1">
        <f t="array" ref="N81">INT(SUMPRODUCT(--ISNUMBER(SEARCH(covid,C81)))&gt;0)</f>
        <v>0</v>
      </c>
      <c r="O81" s="14" cm="1">
        <f t="array" ref="O81">INT(SUMPRODUCT(--ISNUMBER(SEARCH(violent,C81)))&gt;0)</f>
        <v>0</v>
      </c>
      <c r="P81" s="14" cm="1">
        <f t="array" ref="P81">INT(SUMPRODUCT(--ISNUMBER(SEARCH(foreign,C81)))&gt;0)</f>
        <v>0</v>
      </c>
      <c r="Q81" s="14" cm="1">
        <f t="array" ref="Q81">INT(SUMPRODUCT(--ISNUMBER(SEARCH(gun,C81)))&gt;0)</f>
        <v>0</v>
      </c>
      <c r="R81" s="14" cm="1">
        <f t="array" ref="R81">INT(SUMPRODUCT(--ISNUMBER(SEARCH(race,C81)))&gt;0)</f>
        <v>0</v>
      </c>
      <c r="S81" s="14" cm="1">
        <f t="array" ref="S81">INT(SUMPRODUCT(--ISNUMBER(SEARCH(immigration,C81)))&gt;0)</f>
        <v>0</v>
      </c>
      <c r="T81" s="14" cm="1">
        <f t="array" ref="T81">INT(SUMPRODUCT(--ISNUMBER(SEARCH(econineq,C82)))&gt;0)</f>
        <v>0</v>
      </c>
      <c r="U81" s="14" cm="1">
        <f t="array" ref="U81">INT(SUMPRODUCT(--ISNUMBER(SEARCH(climate,C81)))&gt;0)</f>
        <v>0</v>
      </c>
      <c r="V81" s="14" cm="1">
        <f t="array" ref="V81">INT(SUMPRODUCT(--ISNUMBER(SEARCH(abortion,C81)))&gt;0)</f>
        <v>0</v>
      </c>
      <c r="W81" s="14" cm="1">
        <f t="array" ref="W81">INT(SUMPRODUCT(--ISNUMBER(SEARCH(trump,C81)))&gt;0)</f>
        <v>0</v>
      </c>
      <c r="X81" s="14" cm="1">
        <f t="array" ref="X81">INT(SUMPRODUCT(--ISNUMBER(SEARCH(voting,C81)))&gt;0)</f>
        <v>0</v>
      </c>
      <c r="Y81" s="35" cm="1">
        <f t="array" ref="Y81">INT(SUMPRODUCT(--ISNUMBER(SEARCH(republicantrigger,C81)))&gt;0)</f>
        <v>1</v>
      </c>
      <c r="Z81" s="35" cm="1">
        <f t="array" ref="Z81">INT(SUMPRODUCT(--ISNUMBER(SEARCH(bipartisan,C81)))&gt;0)</f>
        <v>0</v>
      </c>
      <c r="AA81" s="35">
        <f t="shared" si="1"/>
        <v>0</v>
      </c>
      <c r="AB81" s="14"/>
      <c r="AC81" s="30">
        <v>0</v>
      </c>
      <c r="AD81" s="37">
        <v>1</v>
      </c>
    </row>
    <row r="82" spans="1:30" x14ac:dyDescent="0.25">
      <c r="A82" s="36">
        <v>3049</v>
      </c>
      <c r="B82" s="14" t="s">
        <v>6123</v>
      </c>
      <c r="C82" s="14" t="s">
        <v>6124</v>
      </c>
      <c r="D82" s="17">
        <v>44127</v>
      </c>
      <c r="E82" s="14" t="s">
        <v>30</v>
      </c>
      <c r="F82" s="14">
        <v>21</v>
      </c>
      <c r="G82" s="14">
        <v>7</v>
      </c>
      <c r="H82" s="14">
        <v>14</v>
      </c>
      <c r="I82" s="14">
        <v>7</v>
      </c>
      <c r="J82" s="14" t="s">
        <v>31</v>
      </c>
      <c r="K82" s="14" cm="1">
        <f t="array" ref="K82">INT(SUMPRODUCT(--ISNUMBER(SEARCH(economy,C82)))&gt;0)</f>
        <v>0</v>
      </c>
      <c r="L82" s="14" cm="1">
        <f t="array" ref="L82">INT(SUMPRODUCT(--ISNUMBER(SEARCH(healthcare,C82)))&gt;0)</f>
        <v>0</v>
      </c>
      <c r="M82" s="14" cm="1">
        <f t="array" ref="M82">INT(SUMPRODUCT(--ISNUMBER(SEARCH(supreme,C82)))&gt;0)</f>
        <v>0</v>
      </c>
      <c r="N82" s="14" cm="1">
        <f t="array" ref="N82">INT(SUMPRODUCT(--ISNUMBER(SEARCH(covid,C82)))&gt;0)</f>
        <v>0</v>
      </c>
      <c r="O82" s="14" cm="1">
        <f t="array" ref="O82">INT(SUMPRODUCT(--ISNUMBER(SEARCH(violent,C82)))&gt;0)</f>
        <v>0</v>
      </c>
      <c r="P82" s="14" cm="1">
        <f t="array" ref="P82">INT(SUMPRODUCT(--ISNUMBER(SEARCH(foreign,C82)))&gt;0)</f>
        <v>0</v>
      </c>
      <c r="Q82" s="14" cm="1">
        <f t="array" ref="Q82">INT(SUMPRODUCT(--ISNUMBER(SEARCH(gun,C82)))&gt;0)</f>
        <v>0</v>
      </c>
      <c r="R82" s="14" cm="1">
        <f t="array" ref="R82">INT(SUMPRODUCT(--ISNUMBER(SEARCH(race,C82)))&gt;0)</f>
        <v>0</v>
      </c>
      <c r="S82" s="14" cm="1">
        <f t="array" ref="S82">INT(SUMPRODUCT(--ISNUMBER(SEARCH(immigration,C82)))&gt;0)</f>
        <v>0</v>
      </c>
      <c r="T82" s="14" cm="1">
        <f t="array" ref="T82">INT(SUMPRODUCT(--ISNUMBER(SEARCH(econineq,C83)))&gt;0)</f>
        <v>0</v>
      </c>
      <c r="U82" s="14" cm="1">
        <f t="array" ref="U82">INT(SUMPRODUCT(--ISNUMBER(SEARCH(climate,C82)))&gt;0)</f>
        <v>0</v>
      </c>
      <c r="V82" s="14" cm="1">
        <f t="array" ref="V82">INT(SUMPRODUCT(--ISNUMBER(SEARCH(abortion,C82)))&gt;0)</f>
        <v>0</v>
      </c>
      <c r="W82" s="14" cm="1">
        <f t="array" ref="W82">INT(SUMPRODUCT(--ISNUMBER(SEARCH(trump,C82)))&gt;0)</f>
        <v>1</v>
      </c>
      <c r="X82" s="14" cm="1">
        <f t="array" ref="X82">INT(SUMPRODUCT(--ISNUMBER(SEARCH(voting,C82)))&gt;0)</f>
        <v>1</v>
      </c>
      <c r="Y82" s="35" cm="1">
        <f t="array" ref="Y82">INT(SUMPRODUCT(--ISNUMBER(SEARCH(republicantrigger,C82)))&gt;0)</f>
        <v>0</v>
      </c>
      <c r="Z82" s="35" cm="1">
        <f t="array" ref="Z82">INT(SUMPRODUCT(--ISNUMBER(SEARCH(bipartisan,C82)))&gt;0)</f>
        <v>0</v>
      </c>
      <c r="AA82" s="35">
        <f t="shared" si="1"/>
        <v>0</v>
      </c>
      <c r="AB82" s="14"/>
      <c r="AC82" s="30">
        <v>1</v>
      </c>
      <c r="AD82" s="37">
        <v>0</v>
      </c>
    </row>
    <row r="83" spans="1:30" x14ac:dyDescent="0.25">
      <c r="A83" s="36">
        <v>3050</v>
      </c>
      <c r="B83" s="14" t="s">
        <v>6125</v>
      </c>
      <c r="C83" s="14" t="s">
        <v>6126</v>
      </c>
      <c r="D83" s="17">
        <v>44127</v>
      </c>
      <c r="E83" s="14" t="s">
        <v>30</v>
      </c>
      <c r="F83" s="14">
        <v>14</v>
      </c>
      <c r="G83" s="14">
        <v>8</v>
      </c>
      <c r="H83" s="14">
        <v>14</v>
      </c>
      <c r="I83" s="14">
        <v>7</v>
      </c>
      <c r="J83" s="14" t="s">
        <v>31</v>
      </c>
      <c r="K83" s="14" cm="1">
        <f t="array" ref="K83">INT(SUMPRODUCT(--ISNUMBER(SEARCH(economy,C83)))&gt;0)</f>
        <v>0</v>
      </c>
      <c r="L83" s="14" cm="1">
        <f t="array" ref="L83">INT(SUMPRODUCT(--ISNUMBER(SEARCH(healthcare,C83)))&gt;0)</f>
        <v>0</v>
      </c>
      <c r="M83" s="14" cm="1">
        <f t="array" ref="M83">INT(SUMPRODUCT(--ISNUMBER(SEARCH(supreme,C83)))&gt;0)</f>
        <v>0</v>
      </c>
      <c r="N83" s="14" cm="1">
        <f t="array" ref="N83">INT(SUMPRODUCT(--ISNUMBER(SEARCH(covid,C83)))&gt;0)</f>
        <v>0</v>
      </c>
      <c r="O83" s="14" cm="1">
        <f t="array" ref="O83">INT(SUMPRODUCT(--ISNUMBER(SEARCH(violent,C83)))&gt;0)</f>
        <v>0</v>
      </c>
      <c r="P83" s="14" cm="1">
        <f t="array" ref="P83">INT(SUMPRODUCT(--ISNUMBER(SEARCH(foreign,C83)))&gt;0)</f>
        <v>0</v>
      </c>
      <c r="Q83" s="14" cm="1">
        <f t="array" ref="Q83">INT(SUMPRODUCT(--ISNUMBER(SEARCH(gun,C83)))&gt;0)</f>
        <v>0</v>
      </c>
      <c r="R83" s="14" cm="1">
        <f t="array" ref="R83">INT(SUMPRODUCT(--ISNUMBER(SEARCH(race,C83)))&gt;0)</f>
        <v>0</v>
      </c>
      <c r="S83" s="14" cm="1">
        <f t="array" ref="S83">INT(SUMPRODUCT(--ISNUMBER(SEARCH(immigration,C83)))&gt;0)</f>
        <v>0</v>
      </c>
      <c r="T83" s="14" cm="1">
        <f t="array" ref="T83">INT(SUMPRODUCT(--ISNUMBER(SEARCH(econineq,C84)))&gt;0)</f>
        <v>0</v>
      </c>
      <c r="U83" s="14" cm="1">
        <f t="array" ref="U83">INT(SUMPRODUCT(--ISNUMBER(SEARCH(climate,C83)))&gt;0)</f>
        <v>0</v>
      </c>
      <c r="V83" s="14" cm="1">
        <f t="array" ref="V83">INT(SUMPRODUCT(--ISNUMBER(SEARCH(abortion,C83)))&gt;0)</f>
        <v>0</v>
      </c>
      <c r="W83" s="14" cm="1">
        <f t="array" ref="W83">INT(SUMPRODUCT(--ISNUMBER(SEARCH(trump,C83)))&gt;0)</f>
        <v>0</v>
      </c>
      <c r="X83" s="14" cm="1">
        <f t="array" ref="X83">INT(SUMPRODUCT(--ISNUMBER(SEARCH(voting,C83)))&gt;0)</f>
        <v>0</v>
      </c>
      <c r="Y83" s="35" cm="1">
        <f t="array" ref="Y83">INT(SUMPRODUCT(--ISNUMBER(SEARCH(republicantrigger,C83)))&gt;0)</f>
        <v>1</v>
      </c>
      <c r="Z83" s="35" cm="1">
        <f t="array" ref="Z83">INT(SUMPRODUCT(--ISNUMBER(SEARCH(bipartisan,C83)))&gt;0)</f>
        <v>0</v>
      </c>
      <c r="AA83" s="35">
        <f t="shared" si="1"/>
        <v>0</v>
      </c>
      <c r="AB83" s="14"/>
      <c r="AC83" s="30">
        <v>1</v>
      </c>
      <c r="AD83" s="37">
        <v>0</v>
      </c>
    </row>
    <row r="84" spans="1:30" x14ac:dyDescent="0.25">
      <c r="A84" s="36">
        <v>3051</v>
      </c>
      <c r="B84" s="14" t="s">
        <v>6127</v>
      </c>
      <c r="C84" s="14" t="s">
        <v>6128</v>
      </c>
      <c r="D84" s="17">
        <v>44127</v>
      </c>
      <c r="E84" s="14" t="s">
        <v>30</v>
      </c>
      <c r="F84" s="14">
        <v>57</v>
      </c>
      <c r="G84" s="14">
        <v>30</v>
      </c>
      <c r="H84" s="14">
        <v>14</v>
      </c>
      <c r="I84" s="14">
        <v>7</v>
      </c>
      <c r="J84" s="14" t="s">
        <v>31</v>
      </c>
      <c r="K84" s="14" cm="1">
        <f t="array" ref="K84">INT(SUMPRODUCT(--ISNUMBER(SEARCH(economy,C84)))&gt;0)</f>
        <v>0</v>
      </c>
      <c r="L84" s="14" cm="1">
        <f t="array" ref="L84">INT(SUMPRODUCT(--ISNUMBER(SEARCH(healthcare,C84)))&gt;0)</f>
        <v>0</v>
      </c>
      <c r="M84" s="14" cm="1">
        <f t="array" ref="M84">INT(SUMPRODUCT(--ISNUMBER(SEARCH(supreme,C84)))&gt;0)</f>
        <v>0</v>
      </c>
      <c r="N84" s="14" cm="1">
        <f t="array" ref="N84">INT(SUMPRODUCT(--ISNUMBER(SEARCH(covid,C84)))&gt;0)</f>
        <v>0</v>
      </c>
      <c r="O84" s="14" cm="1">
        <f t="array" ref="O84">INT(SUMPRODUCT(--ISNUMBER(SEARCH(violent,C84)))&gt;0)</f>
        <v>0</v>
      </c>
      <c r="P84" s="14" cm="1">
        <f t="array" ref="P84">INT(SUMPRODUCT(--ISNUMBER(SEARCH(foreign,C84)))&gt;0)</f>
        <v>0</v>
      </c>
      <c r="Q84" s="14" cm="1">
        <f t="array" ref="Q84">INT(SUMPRODUCT(--ISNUMBER(SEARCH(gun,C84)))&gt;0)</f>
        <v>0</v>
      </c>
      <c r="R84" s="14" cm="1">
        <f t="array" ref="R84">INT(SUMPRODUCT(--ISNUMBER(SEARCH(race,C84)))&gt;0)</f>
        <v>0</v>
      </c>
      <c r="S84" s="14" cm="1">
        <f t="array" ref="S84">INT(SUMPRODUCT(--ISNUMBER(SEARCH(immigration,C84)))&gt;0)</f>
        <v>0</v>
      </c>
      <c r="T84" s="14" cm="1">
        <f t="array" ref="T84">INT(SUMPRODUCT(--ISNUMBER(SEARCH(econineq,C85)))&gt;0)</f>
        <v>0</v>
      </c>
      <c r="U84" s="14" cm="1">
        <f t="array" ref="U84">INT(SUMPRODUCT(--ISNUMBER(SEARCH(climate,C84)))&gt;0)</f>
        <v>0</v>
      </c>
      <c r="V84" s="14" cm="1">
        <f t="array" ref="V84">INT(SUMPRODUCT(--ISNUMBER(SEARCH(abortion,C84)))&gt;0)</f>
        <v>0</v>
      </c>
      <c r="W84" s="14" cm="1">
        <f t="array" ref="W84">INT(SUMPRODUCT(--ISNUMBER(SEARCH(trump,C84)))&gt;0)</f>
        <v>0</v>
      </c>
      <c r="X84" s="14" cm="1">
        <f t="array" ref="X84">INT(SUMPRODUCT(--ISNUMBER(SEARCH(voting,C84)))&gt;0)</f>
        <v>0</v>
      </c>
      <c r="Y84" s="35" cm="1">
        <f t="array" ref="Y84">INT(SUMPRODUCT(--ISNUMBER(SEARCH(republicantrigger,C84)))&gt;0)</f>
        <v>1</v>
      </c>
      <c r="Z84" s="35" cm="1">
        <f t="array" ref="Z84">INT(SUMPRODUCT(--ISNUMBER(SEARCH(bipartisan,C84)))&gt;0)</f>
        <v>0</v>
      </c>
      <c r="AA84" s="35">
        <f t="shared" si="1"/>
        <v>0</v>
      </c>
      <c r="AB84" s="14"/>
      <c r="AC84" s="30" t="s">
        <v>223</v>
      </c>
      <c r="AD84" s="37" t="s">
        <v>223</v>
      </c>
    </row>
    <row r="85" spans="1:30" x14ac:dyDescent="0.25">
      <c r="A85" s="36">
        <v>3052</v>
      </c>
      <c r="B85" s="14" t="s">
        <v>6129</v>
      </c>
      <c r="C85" s="14" t="s">
        <v>6130</v>
      </c>
      <c r="D85" s="17">
        <v>44126</v>
      </c>
      <c r="E85" s="14" t="s">
        <v>30</v>
      </c>
      <c r="F85" s="14">
        <v>18</v>
      </c>
      <c r="G85" s="14">
        <v>9</v>
      </c>
      <c r="H85" s="14">
        <v>14</v>
      </c>
      <c r="I85" s="14">
        <v>7</v>
      </c>
      <c r="J85" s="14" t="s">
        <v>31</v>
      </c>
      <c r="K85" s="14" cm="1">
        <f t="array" ref="K85">INT(SUMPRODUCT(--ISNUMBER(SEARCH(economy,C85)))&gt;0)</f>
        <v>0</v>
      </c>
      <c r="L85" s="14" cm="1">
        <f t="array" ref="L85">INT(SUMPRODUCT(--ISNUMBER(SEARCH(healthcare,C85)))&gt;0)</f>
        <v>0</v>
      </c>
      <c r="M85" s="14" cm="1">
        <f t="array" ref="M85">INT(SUMPRODUCT(--ISNUMBER(SEARCH(supreme,C85)))&gt;0)</f>
        <v>0</v>
      </c>
      <c r="N85" s="14" cm="1">
        <f t="array" ref="N85">INT(SUMPRODUCT(--ISNUMBER(SEARCH(covid,C85)))&gt;0)</f>
        <v>0</v>
      </c>
      <c r="O85" s="14" cm="1">
        <f t="array" ref="O85">INT(SUMPRODUCT(--ISNUMBER(SEARCH(violent,C85)))&gt;0)</f>
        <v>0</v>
      </c>
      <c r="P85" s="14" cm="1">
        <f t="array" ref="P85">INT(SUMPRODUCT(--ISNUMBER(SEARCH(foreign,C85)))&gt;0)</f>
        <v>0</v>
      </c>
      <c r="Q85" s="14" cm="1">
        <f t="array" ref="Q85">INT(SUMPRODUCT(--ISNUMBER(SEARCH(gun,C85)))&gt;0)</f>
        <v>0</v>
      </c>
      <c r="R85" s="14" cm="1">
        <f t="array" ref="R85">INT(SUMPRODUCT(--ISNUMBER(SEARCH(race,C85)))&gt;0)</f>
        <v>0</v>
      </c>
      <c r="S85" s="14" cm="1">
        <f t="array" ref="S85">INT(SUMPRODUCT(--ISNUMBER(SEARCH(immigration,C85)))&gt;0)</f>
        <v>0</v>
      </c>
      <c r="T85" s="14" cm="1">
        <f t="array" ref="T85">INT(SUMPRODUCT(--ISNUMBER(SEARCH(econineq,C86)))&gt;0)</f>
        <v>0</v>
      </c>
      <c r="U85" s="14" cm="1">
        <f t="array" ref="U85">INT(SUMPRODUCT(--ISNUMBER(SEARCH(climate,C85)))&gt;0)</f>
        <v>0</v>
      </c>
      <c r="V85" s="14" cm="1">
        <f t="array" ref="V85">INT(SUMPRODUCT(--ISNUMBER(SEARCH(abortion,C85)))&gt;0)</f>
        <v>0</v>
      </c>
      <c r="W85" s="14" cm="1">
        <f t="array" ref="W85">INT(SUMPRODUCT(--ISNUMBER(SEARCH(trump,C85)))&gt;0)</f>
        <v>1</v>
      </c>
      <c r="X85" s="14" cm="1">
        <f t="array" ref="X85">INT(SUMPRODUCT(--ISNUMBER(SEARCH(voting,C85)))&gt;0)</f>
        <v>1</v>
      </c>
      <c r="Y85" s="35" cm="1">
        <f t="array" ref="Y85">INT(SUMPRODUCT(--ISNUMBER(SEARCH(republicantrigger,C85)))&gt;0)</f>
        <v>0</v>
      </c>
      <c r="Z85" s="35" cm="1">
        <f t="array" ref="Z85">INT(SUMPRODUCT(--ISNUMBER(SEARCH(bipartisan,C85)))&gt;0)</f>
        <v>0</v>
      </c>
      <c r="AA85" s="35">
        <f t="shared" si="1"/>
        <v>0</v>
      </c>
      <c r="AB85" s="14"/>
      <c r="AC85" s="30">
        <v>1</v>
      </c>
      <c r="AD85" s="37">
        <v>0</v>
      </c>
    </row>
    <row r="86" spans="1:30" x14ac:dyDescent="0.25">
      <c r="A86" s="36">
        <v>3053</v>
      </c>
      <c r="B86" s="14" t="s">
        <v>6131</v>
      </c>
      <c r="C86" s="14" t="s">
        <v>6132</v>
      </c>
      <c r="D86" s="17">
        <v>44126</v>
      </c>
      <c r="E86" s="14" t="s">
        <v>30</v>
      </c>
      <c r="F86" s="14">
        <v>22</v>
      </c>
      <c r="G86" s="14">
        <v>16</v>
      </c>
      <c r="H86" s="14">
        <v>14</v>
      </c>
      <c r="I86" s="14">
        <v>7</v>
      </c>
      <c r="J86" s="14" t="s">
        <v>31</v>
      </c>
      <c r="K86" s="14" cm="1">
        <f t="array" ref="K86">INT(SUMPRODUCT(--ISNUMBER(SEARCH(economy,C86)))&gt;0)</f>
        <v>0</v>
      </c>
      <c r="L86" s="14" cm="1">
        <f t="array" ref="L86">INT(SUMPRODUCT(--ISNUMBER(SEARCH(healthcare,C86)))&gt;0)</f>
        <v>0</v>
      </c>
      <c r="M86" s="14" cm="1">
        <f t="array" ref="M86">INT(SUMPRODUCT(--ISNUMBER(SEARCH(supreme,C86)))&gt;0)</f>
        <v>0</v>
      </c>
      <c r="N86" s="14" cm="1">
        <f t="array" ref="N86">INT(SUMPRODUCT(--ISNUMBER(SEARCH(covid,C86)))&gt;0)</f>
        <v>0</v>
      </c>
      <c r="O86" s="14" cm="1">
        <f t="array" ref="O86">INT(SUMPRODUCT(--ISNUMBER(SEARCH(violent,C86)))&gt;0)</f>
        <v>0</v>
      </c>
      <c r="P86" s="14" cm="1">
        <f t="array" ref="P86">INT(SUMPRODUCT(--ISNUMBER(SEARCH(foreign,C86)))&gt;0)</f>
        <v>0</v>
      </c>
      <c r="Q86" s="14" cm="1">
        <f t="array" ref="Q86">INT(SUMPRODUCT(--ISNUMBER(SEARCH(gun,C86)))&gt;0)</f>
        <v>0</v>
      </c>
      <c r="R86" s="14" cm="1">
        <f t="array" ref="R86">INT(SUMPRODUCT(--ISNUMBER(SEARCH(race,C86)))&gt;0)</f>
        <v>0</v>
      </c>
      <c r="S86" s="14" cm="1">
        <f t="array" ref="S86">INT(SUMPRODUCT(--ISNUMBER(SEARCH(immigration,C86)))&gt;0)</f>
        <v>0</v>
      </c>
      <c r="T86" s="14" cm="1">
        <f t="array" ref="T86">INT(SUMPRODUCT(--ISNUMBER(SEARCH(econineq,C87)))&gt;0)</f>
        <v>0</v>
      </c>
      <c r="U86" s="14" cm="1">
        <f t="array" ref="U86">INT(SUMPRODUCT(--ISNUMBER(SEARCH(climate,C86)))&gt;0)</f>
        <v>0</v>
      </c>
      <c r="V86" s="14" cm="1">
        <f t="array" ref="V86">INT(SUMPRODUCT(--ISNUMBER(SEARCH(abortion,C86)))&gt;0)</f>
        <v>0</v>
      </c>
      <c r="W86" s="14" cm="1">
        <f t="array" ref="W86">INT(SUMPRODUCT(--ISNUMBER(SEARCH(trump,C86)))&gt;0)</f>
        <v>0</v>
      </c>
      <c r="X86" s="14" cm="1">
        <f t="array" ref="X86">INT(SUMPRODUCT(--ISNUMBER(SEARCH(voting,C86)))&gt;0)</f>
        <v>1</v>
      </c>
      <c r="Y86" s="35" cm="1">
        <f t="array" ref="Y86">INT(SUMPRODUCT(--ISNUMBER(SEARCH(republicantrigger,C86)))&gt;0)</f>
        <v>1</v>
      </c>
      <c r="Z86" s="35" cm="1">
        <f t="array" ref="Z86">INT(SUMPRODUCT(--ISNUMBER(SEARCH(bipartisan,C86)))&gt;0)</f>
        <v>0</v>
      </c>
      <c r="AA86" s="35">
        <f t="shared" si="1"/>
        <v>0</v>
      </c>
      <c r="AB86" s="14"/>
      <c r="AC86" s="30">
        <v>1</v>
      </c>
      <c r="AD86" s="37">
        <v>0</v>
      </c>
    </row>
    <row r="87" spans="1:30" x14ac:dyDescent="0.25">
      <c r="A87" s="36">
        <v>3054</v>
      </c>
      <c r="B87" s="14" t="s">
        <v>6133</v>
      </c>
      <c r="C87" s="14" t="s">
        <v>6134</v>
      </c>
      <c r="D87" s="17">
        <v>44126</v>
      </c>
      <c r="E87" s="14" t="s">
        <v>30</v>
      </c>
      <c r="F87" s="14">
        <v>9</v>
      </c>
      <c r="G87" s="14">
        <v>3</v>
      </c>
      <c r="H87" s="14">
        <v>14</v>
      </c>
      <c r="I87" s="14">
        <v>7</v>
      </c>
      <c r="J87" s="14" t="s">
        <v>31</v>
      </c>
      <c r="K87" s="14" cm="1">
        <f t="array" ref="K87">INT(SUMPRODUCT(--ISNUMBER(SEARCH(economy,C87)))&gt;0)</f>
        <v>0</v>
      </c>
      <c r="L87" s="14" cm="1">
        <f t="array" ref="L87">INT(SUMPRODUCT(--ISNUMBER(SEARCH(healthcare,C87)))&gt;0)</f>
        <v>0</v>
      </c>
      <c r="M87" s="14" cm="1">
        <f t="array" ref="M87">INT(SUMPRODUCT(--ISNUMBER(SEARCH(supreme,C87)))&gt;0)</f>
        <v>0</v>
      </c>
      <c r="N87" s="14" cm="1">
        <f t="array" ref="N87">INT(SUMPRODUCT(--ISNUMBER(SEARCH(covid,C87)))&gt;0)</f>
        <v>0</v>
      </c>
      <c r="O87" s="14" cm="1">
        <f t="array" ref="O87">INT(SUMPRODUCT(--ISNUMBER(SEARCH(violent,C87)))&gt;0)</f>
        <v>0</v>
      </c>
      <c r="P87" s="14" cm="1">
        <f t="array" ref="P87">INT(SUMPRODUCT(--ISNUMBER(SEARCH(foreign,C87)))&gt;0)</f>
        <v>0</v>
      </c>
      <c r="Q87" s="14" cm="1">
        <f t="array" ref="Q87">INT(SUMPRODUCT(--ISNUMBER(SEARCH(gun,C87)))&gt;0)</f>
        <v>0</v>
      </c>
      <c r="R87" s="14" cm="1">
        <f t="array" ref="R87">INT(SUMPRODUCT(--ISNUMBER(SEARCH(race,C87)))&gt;0)</f>
        <v>0</v>
      </c>
      <c r="S87" s="14" cm="1">
        <f t="array" ref="S87">INT(SUMPRODUCT(--ISNUMBER(SEARCH(immigration,C87)))&gt;0)</f>
        <v>0</v>
      </c>
      <c r="T87" s="14" cm="1">
        <f t="array" ref="T87">INT(SUMPRODUCT(--ISNUMBER(SEARCH(econineq,C88)))&gt;0)</f>
        <v>1</v>
      </c>
      <c r="U87" s="14" cm="1">
        <f t="array" ref="U87">INT(SUMPRODUCT(--ISNUMBER(SEARCH(climate,C87)))&gt;0)</f>
        <v>0</v>
      </c>
      <c r="V87" s="14" cm="1">
        <f t="array" ref="V87">INT(SUMPRODUCT(--ISNUMBER(SEARCH(abortion,C87)))&gt;0)</f>
        <v>0</v>
      </c>
      <c r="W87" s="14" cm="1">
        <f t="array" ref="W87">INT(SUMPRODUCT(--ISNUMBER(SEARCH(trump,C87)))&gt;0)</f>
        <v>0</v>
      </c>
      <c r="X87" s="14" cm="1">
        <f t="array" ref="X87">INT(SUMPRODUCT(--ISNUMBER(SEARCH(voting,C87)))&gt;0)</f>
        <v>0</v>
      </c>
      <c r="Y87" s="35" cm="1">
        <f t="array" ref="Y87">INT(SUMPRODUCT(--ISNUMBER(SEARCH(republicantrigger,C87)))&gt;0)</f>
        <v>0</v>
      </c>
      <c r="Z87" s="35" cm="1">
        <f t="array" ref="Z87">INT(SUMPRODUCT(--ISNUMBER(SEARCH(bipartisan,C87)))&gt;0)</f>
        <v>0</v>
      </c>
      <c r="AA87" s="35">
        <f t="shared" si="1"/>
        <v>0</v>
      </c>
      <c r="AB87" s="14"/>
      <c r="AC87" s="30" t="s">
        <v>223</v>
      </c>
      <c r="AD87" s="37" t="s">
        <v>223</v>
      </c>
    </row>
    <row r="88" spans="1:30" x14ac:dyDescent="0.25">
      <c r="A88" s="36">
        <v>3055</v>
      </c>
      <c r="B88" s="14" t="s">
        <v>6135</v>
      </c>
      <c r="C88" s="14" t="s">
        <v>6136</v>
      </c>
      <c r="D88" s="17">
        <v>44126</v>
      </c>
      <c r="E88" s="14" t="s">
        <v>30</v>
      </c>
      <c r="F88" s="14">
        <v>25</v>
      </c>
      <c r="G88" s="14">
        <v>15</v>
      </c>
      <c r="H88" s="14">
        <v>14</v>
      </c>
      <c r="I88" s="14">
        <v>7</v>
      </c>
      <c r="J88" s="14" t="s">
        <v>31</v>
      </c>
      <c r="K88" s="14" cm="1">
        <f t="array" ref="K88">INT(SUMPRODUCT(--ISNUMBER(SEARCH(economy,C88)))&gt;0)</f>
        <v>1</v>
      </c>
      <c r="L88" s="14" cm="1">
        <f t="array" ref="L88">INT(SUMPRODUCT(--ISNUMBER(SEARCH(healthcare,C88)))&gt;0)</f>
        <v>0</v>
      </c>
      <c r="M88" s="14" cm="1">
        <f t="array" ref="M88">INT(SUMPRODUCT(--ISNUMBER(SEARCH(supreme,C88)))&gt;0)</f>
        <v>0</v>
      </c>
      <c r="N88" s="14" cm="1">
        <f t="array" ref="N88">INT(SUMPRODUCT(--ISNUMBER(SEARCH(covid,C88)))&gt;0)</f>
        <v>0</v>
      </c>
      <c r="O88" s="14" cm="1">
        <f t="array" ref="O88">INT(SUMPRODUCT(--ISNUMBER(SEARCH(violent,C88)))&gt;0)</f>
        <v>0</v>
      </c>
      <c r="P88" s="14" cm="1">
        <f t="array" ref="P88">INT(SUMPRODUCT(--ISNUMBER(SEARCH(foreign,C88)))&gt;0)</f>
        <v>0</v>
      </c>
      <c r="Q88" s="14" cm="1">
        <f t="array" ref="Q88">INT(SUMPRODUCT(--ISNUMBER(SEARCH(gun,C88)))&gt;0)</f>
        <v>0</v>
      </c>
      <c r="R88" s="14" cm="1">
        <f t="array" ref="R88">INT(SUMPRODUCT(--ISNUMBER(SEARCH(race,C88)))&gt;0)</f>
        <v>0</v>
      </c>
      <c r="S88" s="14" cm="1">
        <f t="array" ref="S88">INT(SUMPRODUCT(--ISNUMBER(SEARCH(immigration,C88)))&gt;0)</f>
        <v>0</v>
      </c>
      <c r="T88" s="14" cm="1">
        <f t="array" ref="T88">INT(SUMPRODUCT(--ISNUMBER(SEARCH(econineq,C89)))&gt;0)</f>
        <v>0</v>
      </c>
      <c r="U88" s="14" cm="1">
        <f t="array" ref="U88">INT(SUMPRODUCT(--ISNUMBER(SEARCH(climate,C88)))&gt;0)</f>
        <v>0</v>
      </c>
      <c r="V88" s="14" cm="1">
        <f t="array" ref="V88">INT(SUMPRODUCT(--ISNUMBER(SEARCH(abortion,C88)))&gt;0)</f>
        <v>0</v>
      </c>
      <c r="W88" s="14" cm="1">
        <f t="array" ref="W88">INT(SUMPRODUCT(--ISNUMBER(SEARCH(trump,C88)))&gt;0)</f>
        <v>0</v>
      </c>
      <c r="X88" s="14" cm="1">
        <f t="array" ref="X88">INT(SUMPRODUCT(--ISNUMBER(SEARCH(voting,C88)))&gt;0)</f>
        <v>0</v>
      </c>
      <c r="Y88" s="35" cm="1">
        <f t="array" ref="Y88">INT(SUMPRODUCT(--ISNUMBER(SEARCH(republicantrigger,C88)))&gt;0)</f>
        <v>1</v>
      </c>
      <c r="Z88" s="35" cm="1">
        <f t="array" ref="Z88">INT(SUMPRODUCT(--ISNUMBER(SEARCH(bipartisan,C88)))&gt;0)</f>
        <v>0</v>
      </c>
      <c r="AA88" s="35">
        <f t="shared" si="1"/>
        <v>0</v>
      </c>
      <c r="AB88" s="14"/>
      <c r="AC88" s="30" t="s">
        <v>223</v>
      </c>
      <c r="AD88" s="37" t="s">
        <v>223</v>
      </c>
    </row>
    <row r="89" spans="1:30" x14ac:dyDescent="0.25">
      <c r="A89" s="36">
        <v>3056</v>
      </c>
      <c r="B89" s="14" t="s">
        <v>6137</v>
      </c>
      <c r="C89" s="14" t="s">
        <v>6138</v>
      </c>
      <c r="D89" s="17">
        <v>44125</v>
      </c>
      <c r="E89" s="14" t="s">
        <v>30</v>
      </c>
      <c r="F89" s="14">
        <v>19</v>
      </c>
      <c r="G89" s="14">
        <v>15</v>
      </c>
      <c r="H89" s="14">
        <v>14</v>
      </c>
      <c r="I89" s="14">
        <v>7</v>
      </c>
      <c r="J89" s="14" t="s">
        <v>31</v>
      </c>
      <c r="K89" s="14" cm="1">
        <f t="array" ref="K89">INT(SUMPRODUCT(--ISNUMBER(SEARCH(economy,C89)))&gt;0)</f>
        <v>0</v>
      </c>
      <c r="L89" s="14" cm="1">
        <f t="array" ref="L89">INT(SUMPRODUCT(--ISNUMBER(SEARCH(healthcare,C89)))&gt;0)</f>
        <v>0</v>
      </c>
      <c r="M89" s="14" cm="1">
        <f t="array" ref="M89">INT(SUMPRODUCT(--ISNUMBER(SEARCH(supreme,C89)))&gt;0)</f>
        <v>0</v>
      </c>
      <c r="N89" s="14" cm="1">
        <f t="array" ref="N89">INT(SUMPRODUCT(--ISNUMBER(SEARCH(covid,C89)))&gt;0)</f>
        <v>0</v>
      </c>
      <c r="O89" s="14" cm="1">
        <f t="array" ref="O89">INT(SUMPRODUCT(--ISNUMBER(SEARCH(violent,C89)))&gt;0)</f>
        <v>0</v>
      </c>
      <c r="P89" s="14" cm="1">
        <f t="array" ref="P89">INT(SUMPRODUCT(--ISNUMBER(SEARCH(foreign,C89)))&gt;0)</f>
        <v>0</v>
      </c>
      <c r="Q89" s="14" cm="1">
        <f t="array" ref="Q89">INT(SUMPRODUCT(--ISNUMBER(SEARCH(gun,C89)))&gt;0)</f>
        <v>0</v>
      </c>
      <c r="R89" s="14" cm="1">
        <f t="array" ref="R89">INT(SUMPRODUCT(--ISNUMBER(SEARCH(race,C89)))&gt;0)</f>
        <v>0</v>
      </c>
      <c r="S89" s="14" cm="1">
        <f t="array" ref="S89">INT(SUMPRODUCT(--ISNUMBER(SEARCH(immigration,C89)))&gt;0)</f>
        <v>0</v>
      </c>
      <c r="T89" s="14" cm="1">
        <f t="array" ref="T89">INT(SUMPRODUCT(--ISNUMBER(SEARCH(econineq,C90)))&gt;0)</f>
        <v>0</v>
      </c>
      <c r="U89" s="14" cm="1">
        <f t="array" ref="U89">INT(SUMPRODUCT(--ISNUMBER(SEARCH(climate,C89)))&gt;0)</f>
        <v>0</v>
      </c>
      <c r="V89" s="14" cm="1">
        <f t="array" ref="V89">INT(SUMPRODUCT(--ISNUMBER(SEARCH(abortion,C89)))&gt;0)</f>
        <v>0</v>
      </c>
      <c r="W89" s="14" cm="1">
        <f t="array" ref="W89">INT(SUMPRODUCT(--ISNUMBER(SEARCH(trump,C89)))&gt;0)</f>
        <v>0</v>
      </c>
      <c r="X89" s="14" cm="1">
        <f t="array" ref="X89">INT(SUMPRODUCT(--ISNUMBER(SEARCH(voting,C89)))&gt;0)</f>
        <v>0</v>
      </c>
      <c r="Y89" s="35" cm="1">
        <f t="array" ref="Y89">INT(SUMPRODUCT(--ISNUMBER(SEARCH(republicantrigger,C89)))&gt;0)</f>
        <v>1</v>
      </c>
      <c r="Z89" s="35" cm="1">
        <f t="array" ref="Z89">INT(SUMPRODUCT(--ISNUMBER(SEARCH(bipartisan,C89)))&gt;0)</f>
        <v>0</v>
      </c>
      <c r="AA89" s="35">
        <f t="shared" si="1"/>
        <v>0</v>
      </c>
      <c r="AB89" s="14"/>
      <c r="AC89" s="30" t="s">
        <v>223</v>
      </c>
      <c r="AD89" s="37" t="s">
        <v>223</v>
      </c>
    </row>
    <row r="90" spans="1:30" x14ac:dyDescent="0.25">
      <c r="A90" s="36">
        <v>3057</v>
      </c>
      <c r="B90" s="14" t="s">
        <v>6139</v>
      </c>
      <c r="C90" s="14" t="s">
        <v>6140</v>
      </c>
      <c r="D90" s="17">
        <v>44125</v>
      </c>
      <c r="E90" s="14" t="s">
        <v>30</v>
      </c>
      <c r="F90" s="14">
        <v>18</v>
      </c>
      <c r="G90" s="14">
        <v>13</v>
      </c>
      <c r="H90" s="14">
        <v>14</v>
      </c>
      <c r="I90" s="14">
        <v>7</v>
      </c>
      <c r="J90" s="14" t="s">
        <v>31</v>
      </c>
      <c r="K90" s="14" cm="1">
        <f t="array" ref="K90">INT(SUMPRODUCT(--ISNUMBER(SEARCH(economy,C90)))&gt;0)</f>
        <v>0</v>
      </c>
      <c r="L90" s="14" cm="1">
        <f t="array" ref="L90">INT(SUMPRODUCT(--ISNUMBER(SEARCH(healthcare,C90)))&gt;0)</f>
        <v>0</v>
      </c>
      <c r="M90" s="14" cm="1">
        <f t="array" ref="M90">INT(SUMPRODUCT(--ISNUMBER(SEARCH(supreme,C90)))&gt;0)</f>
        <v>0</v>
      </c>
      <c r="N90" s="14" cm="1">
        <f t="array" ref="N90">INT(SUMPRODUCT(--ISNUMBER(SEARCH(covid,C90)))&gt;0)</f>
        <v>0</v>
      </c>
      <c r="O90" s="14" cm="1">
        <f t="array" ref="O90">INT(SUMPRODUCT(--ISNUMBER(SEARCH(violent,C90)))&gt;0)</f>
        <v>0</v>
      </c>
      <c r="P90" s="14" cm="1">
        <f t="array" ref="P90">INT(SUMPRODUCT(--ISNUMBER(SEARCH(foreign,C90)))&gt;0)</f>
        <v>0</v>
      </c>
      <c r="Q90" s="14" cm="1">
        <f t="array" ref="Q90">INT(SUMPRODUCT(--ISNUMBER(SEARCH(gun,C90)))&gt;0)</f>
        <v>0</v>
      </c>
      <c r="R90" s="14" cm="1">
        <f t="array" ref="R90">INT(SUMPRODUCT(--ISNUMBER(SEARCH(race,C90)))&gt;0)</f>
        <v>0</v>
      </c>
      <c r="S90" s="14" cm="1">
        <f t="array" ref="S90">INT(SUMPRODUCT(--ISNUMBER(SEARCH(immigration,C90)))&gt;0)</f>
        <v>0</v>
      </c>
      <c r="T90" s="14" cm="1">
        <f t="array" ref="T90">INT(SUMPRODUCT(--ISNUMBER(SEARCH(econineq,C91)))&gt;0)</f>
        <v>0</v>
      </c>
      <c r="U90" s="14" cm="1">
        <f t="array" ref="U90">INT(SUMPRODUCT(--ISNUMBER(SEARCH(climate,C90)))&gt;0)</f>
        <v>0</v>
      </c>
      <c r="V90" s="14" cm="1">
        <f t="array" ref="V90">INT(SUMPRODUCT(--ISNUMBER(SEARCH(abortion,C90)))&gt;0)</f>
        <v>0</v>
      </c>
      <c r="W90" s="14" cm="1">
        <f t="array" ref="W90">INT(SUMPRODUCT(--ISNUMBER(SEARCH(trump,C90)))&gt;0)</f>
        <v>0</v>
      </c>
      <c r="X90" s="14" cm="1">
        <f t="array" ref="X90">INT(SUMPRODUCT(--ISNUMBER(SEARCH(voting,C90)))&gt;0)</f>
        <v>0</v>
      </c>
      <c r="Y90" s="35" cm="1">
        <f t="array" ref="Y90">INT(SUMPRODUCT(--ISNUMBER(SEARCH(republicantrigger,C90)))&gt;0)</f>
        <v>1</v>
      </c>
      <c r="Z90" s="35" cm="1">
        <f t="array" ref="Z90">INT(SUMPRODUCT(--ISNUMBER(SEARCH(bipartisan,C90)))&gt;0)</f>
        <v>0</v>
      </c>
      <c r="AA90" s="35">
        <f t="shared" si="1"/>
        <v>0</v>
      </c>
      <c r="AB90" s="14"/>
      <c r="AC90" s="30">
        <v>1</v>
      </c>
      <c r="AD90" s="37">
        <v>0</v>
      </c>
    </row>
    <row r="91" spans="1:30" x14ac:dyDescent="0.25">
      <c r="A91" s="36">
        <v>3058</v>
      </c>
      <c r="B91" s="14" t="s">
        <v>6141</v>
      </c>
      <c r="C91" s="14" t="s">
        <v>6142</v>
      </c>
      <c r="D91" s="17">
        <v>44125</v>
      </c>
      <c r="E91" s="14" t="s">
        <v>30</v>
      </c>
      <c r="F91" s="14">
        <v>21</v>
      </c>
      <c r="G91" s="14">
        <v>7</v>
      </c>
      <c r="H91" s="14">
        <v>14</v>
      </c>
      <c r="I91" s="14">
        <v>7</v>
      </c>
      <c r="J91" s="14" t="s">
        <v>31</v>
      </c>
      <c r="K91" s="14" cm="1">
        <f t="array" ref="K91">INT(SUMPRODUCT(--ISNUMBER(SEARCH(economy,C91)))&gt;0)</f>
        <v>0</v>
      </c>
      <c r="L91" s="14" cm="1">
        <f t="array" ref="L91">INT(SUMPRODUCT(--ISNUMBER(SEARCH(healthcare,C91)))&gt;0)</f>
        <v>0</v>
      </c>
      <c r="M91" s="14" cm="1">
        <f t="array" ref="M91">INT(SUMPRODUCT(--ISNUMBER(SEARCH(supreme,C91)))&gt;0)</f>
        <v>0</v>
      </c>
      <c r="N91" s="14" cm="1">
        <f t="array" ref="N91">INT(SUMPRODUCT(--ISNUMBER(SEARCH(covid,C91)))&gt;0)</f>
        <v>0</v>
      </c>
      <c r="O91" s="14" cm="1">
        <f t="array" ref="O91">INT(SUMPRODUCT(--ISNUMBER(SEARCH(violent,C91)))&gt;0)</f>
        <v>0</v>
      </c>
      <c r="P91" s="14" cm="1">
        <f t="array" ref="P91">INT(SUMPRODUCT(--ISNUMBER(SEARCH(foreign,C91)))&gt;0)</f>
        <v>0</v>
      </c>
      <c r="Q91" s="14" cm="1">
        <f t="array" ref="Q91">INT(SUMPRODUCT(--ISNUMBER(SEARCH(gun,C91)))&gt;0)</f>
        <v>0</v>
      </c>
      <c r="R91" s="14" cm="1">
        <f t="array" ref="R91">INT(SUMPRODUCT(--ISNUMBER(SEARCH(race,C91)))&gt;0)</f>
        <v>0</v>
      </c>
      <c r="S91" s="14" cm="1">
        <f t="array" ref="S91">INT(SUMPRODUCT(--ISNUMBER(SEARCH(immigration,C91)))&gt;0)</f>
        <v>0</v>
      </c>
      <c r="T91" s="14" cm="1">
        <f t="array" ref="T91">INT(SUMPRODUCT(--ISNUMBER(SEARCH(econineq,C92)))&gt;0)</f>
        <v>0</v>
      </c>
      <c r="U91" s="14" cm="1">
        <f t="array" ref="U91">INT(SUMPRODUCT(--ISNUMBER(SEARCH(climate,C91)))&gt;0)</f>
        <v>0</v>
      </c>
      <c r="V91" s="14" cm="1">
        <f t="array" ref="V91">INT(SUMPRODUCT(--ISNUMBER(SEARCH(abortion,C91)))&gt;0)</f>
        <v>0</v>
      </c>
      <c r="W91" s="14" cm="1">
        <f t="array" ref="W91">INT(SUMPRODUCT(--ISNUMBER(SEARCH(trump,C91)))&gt;0)</f>
        <v>0</v>
      </c>
      <c r="X91" s="14" cm="1">
        <f t="array" ref="X91">INT(SUMPRODUCT(--ISNUMBER(SEARCH(voting,C91)))&gt;0)</f>
        <v>0</v>
      </c>
      <c r="Y91" s="35" cm="1">
        <f t="array" ref="Y91">INT(SUMPRODUCT(--ISNUMBER(SEARCH(republicantrigger,C91)))&gt;0)</f>
        <v>0</v>
      </c>
      <c r="Z91" s="35" cm="1">
        <f t="array" ref="Z91">INT(SUMPRODUCT(--ISNUMBER(SEARCH(bipartisan,C91)))&gt;0)</f>
        <v>0</v>
      </c>
      <c r="AA91" s="35">
        <f t="shared" si="1"/>
        <v>1</v>
      </c>
      <c r="AB91" s="14"/>
      <c r="AC91" s="30">
        <v>1</v>
      </c>
      <c r="AD91" s="37">
        <v>0</v>
      </c>
    </row>
    <row r="92" spans="1:30" x14ac:dyDescent="0.25">
      <c r="A92" s="36">
        <v>3059</v>
      </c>
      <c r="B92" s="14" t="s">
        <v>6143</v>
      </c>
      <c r="C92" s="14" t="s">
        <v>6144</v>
      </c>
      <c r="D92" s="17">
        <v>44125</v>
      </c>
      <c r="E92" s="14" t="s">
        <v>30</v>
      </c>
      <c r="F92" s="14">
        <v>15</v>
      </c>
      <c r="G92" s="14">
        <v>8</v>
      </c>
      <c r="H92" s="14">
        <v>14</v>
      </c>
      <c r="I92" s="14">
        <v>7</v>
      </c>
      <c r="J92" s="14" t="s">
        <v>31</v>
      </c>
      <c r="K92" s="14" cm="1">
        <f t="array" ref="K92">INT(SUMPRODUCT(--ISNUMBER(SEARCH(economy,C92)))&gt;0)</f>
        <v>1</v>
      </c>
      <c r="L92" s="14" cm="1">
        <f t="array" ref="L92">INT(SUMPRODUCT(--ISNUMBER(SEARCH(healthcare,C92)))&gt;0)</f>
        <v>0</v>
      </c>
      <c r="M92" s="14" cm="1">
        <f t="array" ref="M92">INT(SUMPRODUCT(--ISNUMBER(SEARCH(supreme,C92)))&gt;0)</f>
        <v>0</v>
      </c>
      <c r="N92" s="14" cm="1">
        <f t="array" ref="N92">INT(SUMPRODUCT(--ISNUMBER(SEARCH(covid,C92)))&gt;0)</f>
        <v>0</v>
      </c>
      <c r="O92" s="14" cm="1">
        <f t="array" ref="O92">INT(SUMPRODUCT(--ISNUMBER(SEARCH(violent,C92)))&gt;0)</f>
        <v>0</v>
      </c>
      <c r="P92" s="14" cm="1">
        <f t="array" ref="P92">INT(SUMPRODUCT(--ISNUMBER(SEARCH(foreign,C92)))&gt;0)</f>
        <v>0</v>
      </c>
      <c r="Q92" s="14" cm="1">
        <f t="array" ref="Q92">INT(SUMPRODUCT(--ISNUMBER(SEARCH(gun,C92)))&gt;0)</f>
        <v>0</v>
      </c>
      <c r="R92" s="14" cm="1">
        <f t="array" ref="R92">INT(SUMPRODUCT(--ISNUMBER(SEARCH(race,C92)))&gt;0)</f>
        <v>0</v>
      </c>
      <c r="S92" s="14" cm="1">
        <f t="array" ref="S92">INT(SUMPRODUCT(--ISNUMBER(SEARCH(immigration,C92)))&gt;0)</f>
        <v>0</v>
      </c>
      <c r="T92" s="14" cm="1">
        <f t="array" ref="T92">INT(SUMPRODUCT(--ISNUMBER(SEARCH(econineq,C93)))&gt;0)</f>
        <v>0</v>
      </c>
      <c r="U92" s="14" cm="1">
        <f t="array" ref="U92">INT(SUMPRODUCT(--ISNUMBER(SEARCH(climate,C92)))&gt;0)</f>
        <v>0</v>
      </c>
      <c r="V92" s="14" cm="1">
        <f t="array" ref="V92">INT(SUMPRODUCT(--ISNUMBER(SEARCH(abortion,C92)))&gt;0)</f>
        <v>0</v>
      </c>
      <c r="W92" s="14" cm="1">
        <f t="array" ref="W92">INT(SUMPRODUCT(--ISNUMBER(SEARCH(trump,C92)))&gt;0)</f>
        <v>0</v>
      </c>
      <c r="X92" s="14" cm="1">
        <f t="array" ref="X92">INT(SUMPRODUCT(--ISNUMBER(SEARCH(voting,C92)))&gt;0)</f>
        <v>0</v>
      </c>
      <c r="Y92" s="35" cm="1">
        <f t="array" ref="Y92">INT(SUMPRODUCT(--ISNUMBER(SEARCH(republicantrigger,C92)))&gt;0)</f>
        <v>1</v>
      </c>
      <c r="Z92" s="35" cm="1">
        <f t="array" ref="Z92">INT(SUMPRODUCT(--ISNUMBER(SEARCH(bipartisan,C92)))&gt;0)</f>
        <v>0</v>
      </c>
      <c r="AA92" s="35">
        <f t="shared" si="1"/>
        <v>0</v>
      </c>
      <c r="AB92" s="14"/>
      <c r="AC92" s="30">
        <v>1</v>
      </c>
      <c r="AD92" s="37">
        <v>0</v>
      </c>
    </row>
    <row r="93" spans="1:30" x14ac:dyDescent="0.25">
      <c r="A93" s="36">
        <v>3060</v>
      </c>
      <c r="B93" s="14" t="s">
        <v>6145</v>
      </c>
      <c r="C93" s="14" t="s">
        <v>6146</v>
      </c>
      <c r="D93" s="17">
        <v>44125</v>
      </c>
      <c r="E93" s="14" t="s">
        <v>30</v>
      </c>
      <c r="F93" s="14">
        <v>1427</v>
      </c>
      <c r="G93" s="14">
        <v>198</v>
      </c>
      <c r="H93" s="14">
        <v>14</v>
      </c>
      <c r="I93" s="14">
        <v>7</v>
      </c>
      <c r="J93" s="14" t="s">
        <v>31</v>
      </c>
      <c r="K93" s="14" cm="1">
        <f t="array" ref="K93">INT(SUMPRODUCT(--ISNUMBER(SEARCH(economy,C93)))&gt;0)</f>
        <v>0</v>
      </c>
      <c r="L93" s="14" cm="1">
        <f t="array" ref="L93">INT(SUMPRODUCT(--ISNUMBER(SEARCH(healthcare,C93)))&gt;0)</f>
        <v>0</v>
      </c>
      <c r="M93" s="14" cm="1">
        <f t="array" ref="M93">INT(SUMPRODUCT(--ISNUMBER(SEARCH(supreme,C93)))&gt;0)</f>
        <v>0</v>
      </c>
      <c r="N93" s="14" cm="1">
        <f t="array" ref="N93">INT(SUMPRODUCT(--ISNUMBER(SEARCH(covid,C93)))&gt;0)</f>
        <v>0</v>
      </c>
      <c r="O93" s="14" cm="1">
        <f t="array" ref="O93">INT(SUMPRODUCT(--ISNUMBER(SEARCH(violent,C93)))&gt;0)</f>
        <v>0</v>
      </c>
      <c r="P93" s="14" cm="1">
        <f t="array" ref="P93">INT(SUMPRODUCT(--ISNUMBER(SEARCH(foreign,C93)))&gt;0)</f>
        <v>0</v>
      </c>
      <c r="Q93" s="14" cm="1">
        <f t="array" ref="Q93">INT(SUMPRODUCT(--ISNUMBER(SEARCH(gun,C93)))&gt;0)</f>
        <v>0</v>
      </c>
      <c r="R93" s="14" cm="1">
        <f t="array" ref="R93">INT(SUMPRODUCT(--ISNUMBER(SEARCH(race,C93)))&gt;0)</f>
        <v>0</v>
      </c>
      <c r="S93" s="14" cm="1">
        <f t="array" ref="S93">INT(SUMPRODUCT(--ISNUMBER(SEARCH(immigration,C93)))&gt;0)</f>
        <v>0</v>
      </c>
      <c r="T93" s="14" cm="1">
        <f t="array" ref="T93">INT(SUMPRODUCT(--ISNUMBER(SEARCH(econineq,C94)))&gt;0)</f>
        <v>0</v>
      </c>
      <c r="U93" s="14" cm="1">
        <f t="array" ref="U93">INT(SUMPRODUCT(--ISNUMBER(SEARCH(climate,C93)))&gt;0)</f>
        <v>0</v>
      </c>
      <c r="V93" s="14" cm="1">
        <f t="array" ref="V93">INT(SUMPRODUCT(--ISNUMBER(SEARCH(abortion,C93)))&gt;0)</f>
        <v>0</v>
      </c>
      <c r="W93" s="14" cm="1">
        <f t="array" ref="W93">INT(SUMPRODUCT(--ISNUMBER(SEARCH(trump,C93)))&gt;0)</f>
        <v>1</v>
      </c>
      <c r="X93" s="14" cm="1">
        <f t="array" ref="X93">INT(SUMPRODUCT(--ISNUMBER(SEARCH(voting,C93)))&gt;0)</f>
        <v>0</v>
      </c>
      <c r="Y93" s="35" cm="1">
        <f t="array" ref="Y93">INT(SUMPRODUCT(--ISNUMBER(SEARCH(republicantrigger,C93)))&gt;0)</f>
        <v>0</v>
      </c>
      <c r="Z93" s="35" cm="1">
        <f t="array" ref="Z93">INT(SUMPRODUCT(--ISNUMBER(SEARCH(bipartisan,C93)))&gt;0)</f>
        <v>0</v>
      </c>
      <c r="AA93" s="35">
        <f t="shared" si="1"/>
        <v>0</v>
      </c>
      <c r="AB93" s="14"/>
      <c r="AC93" s="30">
        <v>1</v>
      </c>
      <c r="AD93" s="37">
        <v>0</v>
      </c>
    </row>
    <row r="94" spans="1:30" x14ac:dyDescent="0.25">
      <c r="A94" s="36">
        <v>3061</v>
      </c>
      <c r="B94" s="14" t="s">
        <v>6147</v>
      </c>
      <c r="C94" s="14" t="s">
        <v>6148</v>
      </c>
      <c r="D94" s="17">
        <v>44125</v>
      </c>
      <c r="E94" s="14" t="s">
        <v>30</v>
      </c>
      <c r="F94" s="14">
        <v>18</v>
      </c>
      <c r="G94" s="14">
        <v>6</v>
      </c>
      <c r="H94" s="14">
        <v>14</v>
      </c>
      <c r="I94" s="14">
        <v>7</v>
      </c>
      <c r="J94" s="14" t="s">
        <v>31</v>
      </c>
      <c r="K94" s="14" cm="1">
        <f t="array" ref="K94">INT(SUMPRODUCT(--ISNUMBER(SEARCH(economy,C94)))&gt;0)</f>
        <v>0</v>
      </c>
      <c r="L94" s="14" cm="1">
        <f t="array" ref="L94">INT(SUMPRODUCT(--ISNUMBER(SEARCH(healthcare,C94)))&gt;0)</f>
        <v>0</v>
      </c>
      <c r="M94" s="14" cm="1">
        <f t="array" ref="M94">INT(SUMPRODUCT(--ISNUMBER(SEARCH(supreme,C94)))&gt;0)</f>
        <v>0</v>
      </c>
      <c r="N94" s="14" cm="1">
        <f t="array" ref="N94">INT(SUMPRODUCT(--ISNUMBER(SEARCH(covid,C94)))&gt;0)</f>
        <v>0</v>
      </c>
      <c r="O94" s="14" cm="1">
        <f t="array" ref="O94">INT(SUMPRODUCT(--ISNUMBER(SEARCH(violent,C94)))&gt;0)</f>
        <v>0</v>
      </c>
      <c r="P94" s="14" cm="1">
        <f t="array" ref="P94">INT(SUMPRODUCT(--ISNUMBER(SEARCH(foreign,C94)))&gt;0)</f>
        <v>0</v>
      </c>
      <c r="Q94" s="14" cm="1">
        <f t="array" ref="Q94">INT(SUMPRODUCT(--ISNUMBER(SEARCH(gun,C94)))&gt;0)</f>
        <v>0</v>
      </c>
      <c r="R94" s="14" cm="1">
        <f t="array" ref="R94">INT(SUMPRODUCT(--ISNUMBER(SEARCH(race,C94)))&gt;0)</f>
        <v>0</v>
      </c>
      <c r="S94" s="14" cm="1">
        <f t="array" ref="S94">INT(SUMPRODUCT(--ISNUMBER(SEARCH(immigration,C94)))&gt;0)</f>
        <v>0</v>
      </c>
      <c r="T94" s="14" cm="1">
        <f t="array" ref="T94">INT(SUMPRODUCT(--ISNUMBER(SEARCH(econineq,C95)))&gt;0)</f>
        <v>0</v>
      </c>
      <c r="U94" s="14" cm="1">
        <f t="array" ref="U94">INT(SUMPRODUCT(--ISNUMBER(SEARCH(climate,C94)))&gt;0)</f>
        <v>0</v>
      </c>
      <c r="V94" s="14" cm="1">
        <f t="array" ref="V94">INT(SUMPRODUCT(--ISNUMBER(SEARCH(abortion,C94)))&gt;0)</f>
        <v>0</v>
      </c>
      <c r="W94" s="14" cm="1">
        <f t="array" ref="W94">INT(SUMPRODUCT(--ISNUMBER(SEARCH(trump,C94)))&gt;0)</f>
        <v>0</v>
      </c>
      <c r="X94" s="14" cm="1">
        <f t="array" ref="X94">INT(SUMPRODUCT(--ISNUMBER(SEARCH(voting,C94)))&gt;0)</f>
        <v>1</v>
      </c>
      <c r="Y94" s="35" cm="1">
        <f t="array" ref="Y94">INT(SUMPRODUCT(--ISNUMBER(SEARCH(republicantrigger,C94)))&gt;0)</f>
        <v>1</v>
      </c>
      <c r="Z94" s="35" cm="1">
        <f t="array" ref="Z94">INT(SUMPRODUCT(--ISNUMBER(SEARCH(bipartisan,C94)))&gt;0)</f>
        <v>0</v>
      </c>
      <c r="AA94" s="35">
        <f t="shared" si="1"/>
        <v>0</v>
      </c>
      <c r="AB94" s="14"/>
      <c r="AC94" s="30" t="s">
        <v>223</v>
      </c>
      <c r="AD94" s="37" t="s">
        <v>223</v>
      </c>
    </row>
    <row r="95" spans="1:30" x14ac:dyDescent="0.25">
      <c r="A95" s="36">
        <v>3062</v>
      </c>
      <c r="B95" s="14" t="s">
        <v>6149</v>
      </c>
      <c r="C95" s="14" t="s">
        <v>6150</v>
      </c>
      <c r="D95" s="17">
        <v>44125</v>
      </c>
      <c r="E95" s="14" t="s">
        <v>30</v>
      </c>
      <c r="F95" s="14">
        <v>16</v>
      </c>
      <c r="G95" s="14">
        <v>5</v>
      </c>
      <c r="H95" s="14">
        <v>14</v>
      </c>
      <c r="I95" s="14">
        <v>7</v>
      </c>
      <c r="J95" s="14" t="s">
        <v>31</v>
      </c>
      <c r="K95" s="14" cm="1">
        <f t="array" ref="K95">INT(SUMPRODUCT(--ISNUMBER(SEARCH(economy,C95)))&gt;0)</f>
        <v>0</v>
      </c>
      <c r="L95" s="14" cm="1">
        <f t="array" ref="L95">INT(SUMPRODUCT(--ISNUMBER(SEARCH(healthcare,C95)))&gt;0)</f>
        <v>0</v>
      </c>
      <c r="M95" s="14" cm="1">
        <f t="array" ref="M95">INT(SUMPRODUCT(--ISNUMBER(SEARCH(supreme,C95)))&gt;0)</f>
        <v>0</v>
      </c>
      <c r="N95" s="14" cm="1">
        <f t="array" ref="N95">INT(SUMPRODUCT(--ISNUMBER(SEARCH(covid,C95)))&gt;0)</f>
        <v>0</v>
      </c>
      <c r="O95" s="14" cm="1">
        <f t="array" ref="O95">INT(SUMPRODUCT(--ISNUMBER(SEARCH(violent,C95)))&gt;0)</f>
        <v>0</v>
      </c>
      <c r="P95" s="14" cm="1">
        <f t="array" ref="P95">INT(SUMPRODUCT(--ISNUMBER(SEARCH(foreign,C95)))&gt;0)</f>
        <v>0</v>
      </c>
      <c r="Q95" s="14" cm="1">
        <f t="array" ref="Q95">INT(SUMPRODUCT(--ISNUMBER(SEARCH(gun,C95)))&gt;0)</f>
        <v>0</v>
      </c>
      <c r="R95" s="14" cm="1">
        <f t="array" ref="R95">INT(SUMPRODUCT(--ISNUMBER(SEARCH(race,C95)))&gt;0)</f>
        <v>0</v>
      </c>
      <c r="S95" s="14" cm="1">
        <f t="array" ref="S95">INT(SUMPRODUCT(--ISNUMBER(SEARCH(immigration,C95)))&gt;0)</f>
        <v>0</v>
      </c>
      <c r="T95" s="14" cm="1">
        <f t="array" ref="T95">INT(SUMPRODUCT(--ISNUMBER(SEARCH(econineq,C96)))&gt;0)</f>
        <v>0</v>
      </c>
      <c r="U95" s="14" cm="1">
        <f t="array" ref="U95">INT(SUMPRODUCT(--ISNUMBER(SEARCH(climate,C95)))&gt;0)</f>
        <v>0</v>
      </c>
      <c r="V95" s="14" cm="1">
        <f t="array" ref="V95">INT(SUMPRODUCT(--ISNUMBER(SEARCH(abortion,C95)))&gt;0)</f>
        <v>0</v>
      </c>
      <c r="W95" s="14" cm="1">
        <f t="array" ref="W95">INT(SUMPRODUCT(--ISNUMBER(SEARCH(trump,C95)))&gt;0)</f>
        <v>0</v>
      </c>
      <c r="X95" s="14" cm="1">
        <f t="array" ref="X95">INT(SUMPRODUCT(--ISNUMBER(SEARCH(voting,C95)))&gt;0)</f>
        <v>0</v>
      </c>
      <c r="Y95" s="35" cm="1">
        <f t="array" ref="Y95">INT(SUMPRODUCT(--ISNUMBER(SEARCH(republicantrigger,C95)))&gt;0)</f>
        <v>0</v>
      </c>
      <c r="Z95" s="35" cm="1">
        <f t="array" ref="Z95">INT(SUMPRODUCT(--ISNUMBER(SEARCH(bipartisan,C95)))&gt;0)</f>
        <v>0</v>
      </c>
      <c r="AA95" s="35">
        <f t="shared" si="1"/>
        <v>1</v>
      </c>
      <c r="AB95" s="14"/>
      <c r="AC95" s="30" t="s">
        <v>223</v>
      </c>
      <c r="AD95" s="37" t="s">
        <v>223</v>
      </c>
    </row>
    <row r="96" spans="1:30" x14ac:dyDescent="0.25">
      <c r="A96" s="36">
        <v>3063</v>
      </c>
      <c r="B96" s="14" t="s">
        <v>6151</v>
      </c>
      <c r="C96" s="14" t="s">
        <v>6152</v>
      </c>
      <c r="D96" s="17">
        <v>44125</v>
      </c>
      <c r="E96" s="14" t="s">
        <v>30</v>
      </c>
      <c r="F96" s="14">
        <v>12</v>
      </c>
      <c r="G96" s="14">
        <v>7</v>
      </c>
      <c r="H96" s="14">
        <v>14</v>
      </c>
      <c r="I96" s="14">
        <v>7</v>
      </c>
      <c r="J96" s="14" t="s">
        <v>31</v>
      </c>
      <c r="K96" s="14" cm="1">
        <f t="array" ref="K96">INT(SUMPRODUCT(--ISNUMBER(SEARCH(economy,C96)))&gt;0)</f>
        <v>0</v>
      </c>
      <c r="L96" s="14" cm="1">
        <f t="array" ref="L96">INT(SUMPRODUCT(--ISNUMBER(SEARCH(healthcare,C96)))&gt;0)</f>
        <v>0</v>
      </c>
      <c r="M96" s="14" cm="1">
        <f t="array" ref="M96">INT(SUMPRODUCT(--ISNUMBER(SEARCH(supreme,C96)))&gt;0)</f>
        <v>0</v>
      </c>
      <c r="N96" s="14" cm="1">
        <f t="array" ref="N96">INT(SUMPRODUCT(--ISNUMBER(SEARCH(covid,C96)))&gt;0)</f>
        <v>0</v>
      </c>
      <c r="O96" s="14" cm="1">
        <f t="array" ref="O96">INT(SUMPRODUCT(--ISNUMBER(SEARCH(violent,C96)))&gt;0)</f>
        <v>0</v>
      </c>
      <c r="P96" s="14" cm="1">
        <f t="array" ref="P96">INT(SUMPRODUCT(--ISNUMBER(SEARCH(foreign,C96)))&gt;0)</f>
        <v>0</v>
      </c>
      <c r="Q96" s="14" cm="1">
        <f t="array" ref="Q96">INT(SUMPRODUCT(--ISNUMBER(SEARCH(gun,C96)))&gt;0)</f>
        <v>0</v>
      </c>
      <c r="R96" s="14" cm="1">
        <f t="array" ref="R96">INT(SUMPRODUCT(--ISNUMBER(SEARCH(race,C96)))&gt;0)</f>
        <v>0</v>
      </c>
      <c r="S96" s="14" cm="1">
        <f t="array" ref="S96">INT(SUMPRODUCT(--ISNUMBER(SEARCH(immigration,C96)))&gt;0)</f>
        <v>0</v>
      </c>
      <c r="T96" s="14" cm="1">
        <f t="array" ref="T96">INT(SUMPRODUCT(--ISNUMBER(SEARCH(econineq,C97)))&gt;0)</f>
        <v>0</v>
      </c>
      <c r="U96" s="14" cm="1">
        <f t="array" ref="U96">INT(SUMPRODUCT(--ISNUMBER(SEARCH(climate,C96)))&gt;0)</f>
        <v>0</v>
      </c>
      <c r="V96" s="14" cm="1">
        <f t="array" ref="V96">INT(SUMPRODUCT(--ISNUMBER(SEARCH(abortion,C96)))&gt;0)</f>
        <v>0</v>
      </c>
      <c r="W96" s="14" cm="1">
        <f t="array" ref="W96">INT(SUMPRODUCT(--ISNUMBER(SEARCH(trump,C96)))&gt;0)</f>
        <v>0</v>
      </c>
      <c r="X96" s="14" cm="1">
        <f t="array" ref="X96">INT(SUMPRODUCT(--ISNUMBER(SEARCH(voting,C96)))&gt;0)</f>
        <v>1</v>
      </c>
      <c r="Y96" s="35" cm="1">
        <f t="array" ref="Y96">INT(SUMPRODUCT(--ISNUMBER(SEARCH(republicantrigger,C96)))&gt;0)</f>
        <v>1</v>
      </c>
      <c r="Z96" s="35" cm="1">
        <f t="array" ref="Z96">INT(SUMPRODUCT(--ISNUMBER(SEARCH(bipartisan,C96)))&gt;0)</f>
        <v>0</v>
      </c>
      <c r="AA96" s="35">
        <f t="shared" si="1"/>
        <v>0</v>
      </c>
      <c r="AB96" s="14"/>
      <c r="AC96" s="30" t="s">
        <v>223</v>
      </c>
      <c r="AD96" s="37" t="s">
        <v>223</v>
      </c>
    </row>
    <row r="97" spans="1:30" x14ac:dyDescent="0.25">
      <c r="A97" s="36">
        <v>3064</v>
      </c>
      <c r="B97" s="14" t="s">
        <v>6153</v>
      </c>
      <c r="C97" s="14" t="s">
        <v>6154</v>
      </c>
      <c r="D97" s="17">
        <v>44125</v>
      </c>
      <c r="E97" s="14" t="s">
        <v>30</v>
      </c>
      <c r="F97" s="14">
        <v>13</v>
      </c>
      <c r="G97" s="14">
        <v>10</v>
      </c>
      <c r="H97" s="14">
        <v>14</v>
      </c>
      <c r="I97" s="14">
        <v>7</v>
      </c>
      <c r="J97" s="14" t="s">
        <v>31</v>
      </c>
      <c r="K97" s="14" cm="1">
        <f t="array" ref="K97">INT(SUMPRODUCT(--ISNUMBER(SEARCH(economy,C97)))&gt;0)</f>
        <v>0</v>
      </c>
      <c r="L97" s="14" cm="1">
        <f t="array" ref="L97">INT(SUMPRODUCT(--ISNUMBER(SEARCH(healthcare,C97)))&gt;0)</f>
        <v>0</v>
      </c>
      <c r="M97" s="14" cm="1">
        <f t="array" ref="M97">INT(SUMPRODUCT(--ISNUMBER(SEARCH(supreme,C97)))&gt;0)</f>
        <v>0</v>
      </c>
      <c r="N97" s="14" cm="1">
        <f t="array" ref="N97">INT(SUMPRODUCT(--ISNUMBER(SEARCH(covid,C97)))&gt;0)</f>
        <v>0</v>
      </c>
      <c r="O97" s="14" cm="1">
        <f t="array" ref="O97">INT(SUMPRODUCT(--ISNUMBER(SEARCH(violent,C97)))&gt;0)</f>
        <v>0</v>
      </c>
      <c r="P97" s="14" cm="1">
        <f t="array" ref="P97">INT(SUMPRODUCT(--ISNUMBER(SEARCH(foreign,C97)))&gt;0)</f>
        <v>0</v>
      </c>
      <c r="Q97" s="14" cm="1">
        <f t="array" ref="Q97">INT(SUMPRODUCT(--ISNUMBER(SEARCH(gun,C97)))&gt;0)</f>
        <v>0</v>
      </c>
      <c r="R97" s="14" cm="1">
        <f t="array" ref="R97">INT(SUMPRODUCT(--ISNUMBER(SEARCH(race,C97)))&gt;0)</f>
        <v>0</v>
      </c>
      <c r="S97" s="14" cm="1">
        <f t="array" ref="S97">INT(SUMPRODUCT(--ISNUMBER(SEARCH(immigration,C97)))&gt;0)</f>
        <v>0</v>
      </c>
      <c r="T97" s="14" cm="1">
        <f t="array" ref="T97">INT(SUMPRODUCT(--ISNUMBER(SEARCH(econineq,C98)))&gt;0)</f>
        <v>0</v>
      </c>
      <c r="U97" s="14" cm="1">
        <f t="array" ref="U97">INT(SUMPRODUCT(--ISNUMBER(SEARCH(climate,C97)))&gt;0)</f>
        <v>0</v>
      </c>
      <c r="V97" s="14" cm="1">
        <f t="array" ref="V97">INT(SUMPRODUCT(--ISNUMBER(SEARCH(abortion,C97)))&gt;0)</f>
        <v>0</v>
      </c>
      <c r="W97" s="14" cm="1">
        <f t="array" ref="W97">INT(SUMPRODUCT(--ISNUMBER(SEARCH(trump,C97)))&gt;0)</f>
        <v>0</v>
      </c>
      <c r="X97" s="14" cm="1">
        <f t="array" ref="X97">INT(SUMPRODUCT(--ISNUMBER(SEARCH(voting,C97)))&gt;0)</f>
        <v>0</v>
      </c>
      <c r="Y97" s="35" cm="1">
        <f t="array" ref="Y97">INT(SUMPRODUCT(--ISNUMBER(SEARCH(republicantrigger,C97)))&gt;0)</f>
        <v>1</v>
      </c>
      <c r="Z97" s="35" cm="1">
        <f t="array" ref="Z97">INT(SUMPRODUCT(--ISNUMBER(SEARCH(bipartisan,C97)))&gt;0)</f>
        <v>0</v>
      </c>
      <c r="AA97" s="35">
        <f t="shared" si="1"/>
        <v>0</v>
      </c>
      <c r="AB97" s="14"/>
      <c r="AC97" s="30">
        <v>1</v>
      </c>
      <c r="AD97" s="37">
        <v>0</v>
      </c>
    </row>
    <row r="98" spans="1:30" x14ac:dyDescent="0.25">
      <c r="A98" s="36">
        <v>3065</v>
      </c>
      <c r="B98" s="14" t="s">
        <v>6155</v>
      </c>
      <c r="C98" s="14" t="s">
        <v>6156</v>
      </c>
      <c r="D98" s="17">
        <v>44125</v>
      </c>
      <c r="E98" s="14" t="s">
        <v>30</v>
      </c>
      <c r="F98" s="14">
        <v>28</v>
      </c>
      <c r="G98" s="14">
        <v>21</v>
      </c>
      <c r="H98" s="14">
        <v>14</v>
      </c>
      <c r="I98" s="14">
        <v>7</v>
      </c>
      <c r="J98" s="14" t="s">
        <v>31</v>
      </c>
      <c r="K98" s="14" cm="1">
        <f t="array" ref="K98">INT(SUMPRODUCT(--ISNUMBER(SEARCH(economy,C98)))&gt;0)</f>
        <v>0</v>
      </c>
      <c r="L98" s="14" cm="1">
        <f t="array" ref="L98">INT(SUMPRODUCT(--ISNUMBER(SEARCH(healthcare,C98)))&gt;0)</f>
        <v>0</v>
      </c>
      <c r="M98" s="14" cm="1">
        <f t="array" ref="M98">INT(SUMPRODUCT(--ISNUMBER(SEARCH(supreme,C98)))&gt;0)</f>
        <v>0</v>
      </c>
      <c r="N98" s="14" cm="1">
        <f t="array" ref="N98">INT(SUMPRODUCT(--ISNUMBER(SEARCH(covid,C98)))&gt;0)</f>
        <v>0</v>
      </c>
      <c r="O98" s="14" cm="1">
        <f t="array" ref="O98">INT(SUMPRODUCT(--ISNUMBER(SEARCH(violent,C98)))&gt;0)</f>
        <v>0</v>
      </c>
      <c r="P98" s="14" cm="1">
        <f t="array" ref="P98">INT(SUMPRODUCT(--ISNUMBER(SEARCH(foreign,C98)))&gt;0)</f>
        <v>0</v>
      </c>
      <c r="Q98" s="14" cm="1">
        <f t="array" ref="Q98">INT(SUMPRODUCT(--ISNUMBER(SEARCH(gun,C98)))&gt;0)</f>
        <v>1</v>
      </c>
      <c r="R98" s="14" cm="1">
        <f t="array" ref="R98">INT(SUMPRODUCT(--ISNUMBER(SEARCH(race,C98)))&gt;0)</f>
        <v>0</v>
      </c>
      <c r="S98" s="14" cm="1">
        <f t="array" ref="S98">INT(SUMPRODUCT(--ISNUMBER(SEARCH(immigration,C98)))&gt;0)</f>
        <v>0</v>
      </c>
      <c r="T98" s="14" cm="1">
        <f t="array" ref="T98">INT(SUMPRODUCT(--ISNUMBER(SEARCH(econineq,C99)))&gt;0)</f>
        <v>0</v>
      </c>
      <c r="U98" s="14" cm="1">
        <f t="array" ref="U98">INT(SUMPRODUCT(--ISNUMBER(SEARCH(climate,C98)))&gt;0)</f>
        <v>0</v>
      </c>
      <c r="V98" s="14" cm="1">
        <f t="array" ref="V98">INT(SUMPRODUCT(--ISNUMBER(SEARCH(abortion,C98)))&gt;0)</f>
        <v>0</v>
      </c>
      <c r="W98" s="14" cm="1">
        <f t="array" ref="W98">INT(SUMPRODUCT(--ISNUMBER(SEARCH(trump,C98)))&gt;0)</f>
        <v>0</v>
      </c>
      <c r="X98" s="14" cm="1">
        <f t="array" ref="X98">INT(SUMPRODUCT(--ISNUMBER(SEARCH(voting,C98)))&gt;0)</f>
        <v>0</v>
      </c>
      <c r="Y98" s="35" cm="1">
        <f t="array" ref="Y98">INT(SUMPRODUCT(--ISNUMBER(SEARCH(republicantrigger,C98)))&gt;0)</f>
        <v>1</v>
      </c>
      <c r="Z98" s="35" cm="1">
        <f t="array" ref="Z98">INT(SUMPRODUCT(--ISNUMBER(SEARCH(bipartisan,C98)))&gt;0)</f>
        <v>0</v>
      </c>
      <c r="AA98" s="35">
        <f t="shared" si="1"/>
        <v>0</v>
      </c>
      <c r="AB98" s="14"/>
      <c r="AC98" s="30" t="s">
        <v>223</v>
      </c>
      <c r="AD98" s="37" t="s">
        <v>223</v>
      </c>
    </row>
    <row r="99" spans="1:30" x14ac:dyDescent="0.25">
      <c r="A99" s="36">
        <v>3066</v>
      </c>
      <c r="B99" s="14" t="s">
        <v>6157</v>
      </c>
      <c r="C99" s="14" t="s">
        <v>6158</v>
      </c>
      <c r="D99" s="17">
        <v>44124</v>
      </c>
      <c r="E99" s="14" t="s">
        <v>30</v>
      </c>
      <c r="F99" s="14">
        <v>33</v>
      </c>
      <c r="G99" s="14">
        <v>14</v>
      </c>
      <c r="H99" s="14">
        <v>14</v>
      </c>
      <c r="I99" s="14">
        <v>7</v>
      </c>
      <c r="J99" s="14" t="s">
        <v>31</v>
      </c>
      <c r="K99" s="14" cm="1">
        <f t="array" ref="K99">INT(SUMPRODUCT(--ISNUMBER(SEARCH(economy,C99)))&gt;0)</f>
        <v>0</v>
      </c>
      <c r="L99" s="14" cm="1">
        <f t="array" ref="L99">INT(SUMPRODUCT(--ISNUMBER(SEARCH(healthcare,C99)))&gt;0)</f>
        <v>1</v>
      </c>
      <c r="M99" s="14" cm="1">
        <f t="array" ref="M99">INT(SUMPRODUCT(--ISNUMBER(SEARCH(supreme,C99)))&gt;0)</f>
        <v>0</v>
      </c>
      <c r="N99" s="14" cm="1">
        <f t="array" ref="N99">INT(SUMPRODUCT(--ISNUMBER(SEARCH(covid,C99)))&gt;0)</f>
        <v>0</v>
      </c>
      <c r="O99" s="14" cm="1">
        <f t="array" ref="O99">INT(SUMPRODUCT(--ISNUMBER(SEARCH(violent,C99)))&gt;0)</f>
        <v>0</v>
      </c>
      <c r="P99" s="14" cm="1">
        <f t="array" ref="P99">INT(SUMPRODUCT(--ISNUMBER(SEARCH(foreign,C99)))&gt;0)</f>
        <v>0</v>
      </c>
      <c r="Q99" s="14" cm="1">
        <f t="array" ref="Q99">INT(SUMPRODUCT(--ISNUMBER(SEARCH(gun,C99)))&gt;0)</f>
        <v>0</v>
      </c>
      <c r="R99" s="14" cm="1">
        <f t="array" ref="R99">INT(SUMPRODUCT(--ISNUMBER(SEARCH(race,C99)))&gt;0)</f>
        <v>0</v>
      </c>
      <c r="S99" s="14" cm="1">
        <f t="array" ref="S99">INT(SUMPRODUCT(--ISNUMBER(SEARCH(immigration,C99)))&gt;0)</f>
        <v>0</v>
      </c>
      <c r="T99" s="14" cm="1">
        <f t="array" ref="T99">INT(SUMPRODUCT(--ISNUMBER(SEARCH(econineq,C100)))&gt;0)</f>
        <v>0</v>
      </c>
      <c r="U99" s="14" cm="1">
        <f t="array" ref="U99">INT(SUMPRODUCT(--ISNUMBER(SEARCH(climate,C99)))&gt;0)</f>
        <v>0</v>
      </c>
      <c r="V99" s="14" cm="1">
        <f t="array" ref="V99">INT(SUMPRODUCT(--ISNUMBER(SEARCH(abortion,C99)))&gt;0)</f>
        <v>0</v>
      </c>
      <c r="W99" s="14" cm="1">
        <f t="array" ref="W99">INT(SUMPRODUCT(--ISNUMBER(SEARCH(trump,C99)))&gt;0)</f>
        <v>0</v>
      </c>
      <c r="X99" s="14" cm="1">
        <f t="array" ref="X99">INT(SUMPRODUCT(--ISNUMBER(SEARCH(voting,C99)))&gt;0)</f>
        <v>1</v>
      </c>
      <c r="Y99" s="35" cm="1">
        <f t="array" ref="Y99">INT(SUMPRODUCT(--ISNUMBER(SEARCH(republicantrigger,C99)))&gt;0)</f>
        <v>1</v>
      </c>
      <c r="Z99" s="35" cm="1">
        <f t="array" ref="Z99">INT(SUMPRODUCT(--ISNUMBER(SEARCH(bipartisan,C99)))&gt;0)</f>
        <v>0</v>
      </c>
      <c r="AA99" s="35">
        <f t="shared" si="1"/>
        <v>0</v>
      </c>
      <c r="AB99" s="14"/>
      <c r="AC99" s="30" t="s">
        <v>223</v>
      </c>
      <c r="AD99" s="37" t="s">
        <v>223</v>
      </c>
    </row>
    <row r="100" spans="1:30" x14ac:dyDescent="0.25">
      <c r="A100" s="36">
        <v>3067</v>
      </c>
      <c r="B100" s="14" t="s">
        <v>6159</v>
      </c>
      <c r="C100" s="14" t="s">
        <v>6160</v>
      </c>
      <c r="D100" s="17">
        <v>44124</v>
      </c>
      <c r="E100" s="14" t="s">
        <v>30</v>
      </c>
      <c r="F100" s="14">
        <v>22</v>
      </c>
      <c r="G100" s="14">
        <v>7</v>
      </c>
      <c r="H100" s="14">
        <v>14</v>
      </c>
      <c r="I100" s="14">
        <v>7</v>
      </c>
      <c r="J100" s="14" t="s">
        <v>31</v>
      </c>
      <c r="K100" s="14" cm="1">
        <f t="array" ref="K100">INT(SUMPRODUCT(--ISNUMBER(SEARCH(economy,C100)))&gt;0)</f>
        <v>0</v>
      </c>
      <c r="L100" s="14" cm="1">
        <f t="array" ref="L100">INT(SUMPRODUCT(--ISNUMBER(SEARCH(healthcare,C100)))&gt;0)</f>
        <v>0</v>
      </c>
      <c r="M100" s="14" cm="1">
        <f t="array" ref="M100">INT(SUMPRODUCT(--ISNUMBER(SEARCH(supreme,C100)))&gt;0)</f>
        <v>0</v>
      </c>
      <c r="N100" s="14" cm="1">
        <f t="array" ref="N100">INT(SUMPRODUCT(--ISNUMBER(SEARCH(covid,C100)))&gt;0)</f>
        <v>0</v>
      </c>
      <c r="O100" s="14" cm="1">
        <f t="array" ref="O100">INT(SUMPRODUCT(--ISNUMBER(SEARCH(violent,C100)))&gt;0)</f>
        <v>0</v>
      </c>
      <c r="P100" s="14" cm="1">
        <f t="array" ref="P100">INT(SUMPRODUCT(--ISNUMBER(SEARCH(foreign,C100)))&gt;0)</f>
        <v>0</v>
      </c>
      <c r="Q100" s="14" cm="1">
        <f t="array" ref="Q100">INT(SUMPRODUCT(--ISNUMBER(SEARCH(gun,C100)))&gt;0)</f>
        <v>0</v>
      </c>
      <c r="R100" s="14" cm="1">
        <f t="array" ref="R100">INT(SUMPRODUCT(--ISNUMBER(SEARCH(race,C100)))&gt;0)</f>
        <v>0</v>
      </c>
      <c r="S100" s="14" cm="1">
        <f t="array" ref="S100">INT(SUMPRODUCT(--ISNUMBER(SEARCH(immigration,C100)))&gt;0)</f>
        <v>0</v>
      </c>
      <c r="T100" s="14" cm="1">
        <f t="array" ref="T100">INT(SUMPRODUCT(--ISNUMBER(SEARCH(econineq,C101)))&gt;0)</f>
        <v>0</v>
      </c>
      <c r="U100" s="14" cm="1">
        <f t="array" ref="U100">INT(SUMPRODUCT(--ISNUMBER(SEARCH(climate,C100)))&gt;0)</f>
        <v>0</v>
      </c>
      <c r="V100" s="14" cm="1">
        <f t="array" ref="V100">INT(SUMPRODUCT(--ISNUMBER(SEARCH(abortion,C100)))&gt;0)</f>
        <v>0</v>
      </c>
      <c r="W100" s="14" cm="1">
        <f t="array" ref="W100">INT(SUMPRODUCT(--ISNUMBER(SEARCH(trump,C100)))&gt;0)</f>
        <v>0</v>
      </c>
      <c r="X100" s="14" cm="1">
        <f t="array" ref="X100">INT(SUMPRODUCT(--ISNUMBER(SEARCH(voting,C100)))&gt;0)</f>
        <v>0</v>
      </c>
      <c r="Y100" s="35" cm="1">
        <f t="array" ref="Y100">INT(SUMPRODUCT(--ISNUMBER(SEARCH(republicantrigger,C100)))&gt;0)</f>
        <v>1</v>
      </c>
      <c r="Z100" s="35" cm="1">
        <f t="array" ref="Z100">INT(SUMPRODUCT(--ISNUMBER(SEARCH(bipartisan,C100)))&gt;0)</f>
        <v>0</v>
      </c>
      <c r="AA100" s="35">
        <f t="shared" si="1"/>
        <v>0</v>
      </c>
      <c r="AB100" s="14"/>
      <c r="AC100" s="30" t="s">
        <v>223</v>
      </c>
      <c r="AD100" s="37" t="s">
        <v>223</v>
      </c>
    </row>
    <row r="101" spans="1:30" x14ac:dyDescent="0.25">
      <c r="A101" s="36">
        <v>3068</v>
      </c>
      <c r="B101" s="14" t="s">
        <v>6161</v>
      </c>
      <c r="C101" s="14" t="s">
        <v>6162</v>
      </c>
      <c r="D101" s="17">
        <v>44124</v>
      </c>
      <c r="E101" s="14" t="s">
        <v>30</v>
      </c>
      <c r="F101" s="14">
        <v>13</v>
      </c>
      <c r="G101" s="14">
        <v>3</v>
      </c>
      <c r="H101" s="14">
        <v>14</v>
      </c>
      <c r="I101" s="14">
        <v>7</v>
      </c>
      <c r="J101" s="14" t="s">
        <v>31</v>
      </c>
      <c r="K101" s="14" cm="1">
        <f t="array" ref="K101">INT(SUMPRODUCT(--ISNUMBER(SEARCH(economy,C101)))&gt;0)</f>
        <v>0</v>
      </c>
      <c r="L101" s="14" cm="1">
        <f t="array" ref="L101">INT(SUMPRODUCT(--ISNUMBER(SEARCH(healthcare,C101)))&gt;0)</f>
        <v>0</v>
      </c>
      <c r="M101" s="14" cm="1">
        <f t="array" ref="M101">INT(SUMPRODUCT(--ISNUMBER(SEARCH(supreme,C101)))&gt;0)</f>
        <v>0</v>
      </c>
      <c r="N101" s="14" cm="1">
        <f t="array" ref="N101">INT(SUMPRODUCT(--ISNUMBER(SEARCH(covid,C101)))&gt;0)</f>
        <v>0</v>
      </c>
      <c r="O101" s="14" cm="1">
        <f t="array" ref="O101">INT(SUMPRODUCT(--ISNUMBER(SEARCH(violent,C101)))&gt;0)</f>
        <v>0</v>
      </c>
      <c r="P101" s="14" cm="1">
        <f t="array" ref="P101">INT(SUMPRODUCT(--ISNUMBER(SEARCH(foreign,C101)))&gt;0)</f>
        <v>0</v>
      </c>
      <c r="Q101" s="14" cm="1">
        <f t="array" ref="Q101">INT(SUMPRODUCT(--ISNUMBER(SEARCH(gun,C101)))&gt;0)</f>
        <v>0</v>
      </c>
      <c r="R101" s="14" cm="1">
        <f t="array" ref="R101">INT(SUMPRODUCT(--ISNUMBER(SEARCH(race,C101)))&gt;0)</f>
        <v>0</v>
      </c>
      <c r="S101" s="14" cm="1">
        <f t="array" ref="S101">INT(SUMPRODUCT(--ISNUMBER(SEARCH(immigration,C101)))&gt;0)</f>
        <v>0</v>
      </c>
      <c r="T101" s="14" cm="1">
        <f t="array" ref="T101">INT(SUMPRODUCT(--ISNUMBER(SEARCH(econineq,C102)))&gt;0)</f>
        <v>0</v>
      </c>
      <c r="U101" s="14" cm="1">
        <f t="array" ref="U101">INT(SUMPRODUCT(--ISNUMBER(SEARCH(climate,C101)))&gt;0)</f>
        <v>0</v>
      </c>
      <c r="V101" s="14" cm="1">
        <f t="array" ref="V101">INT(SUMPRODUCT(--ISNUMBER(SEARCH(abortion,C101)))&gt;0)</f>
        <v>0</v>
      </c>
      <c r="W101" s="14" cm="1">
        <f t="array" ref="W101">INT(SUMPRODUCT(--ISNUMBER(SEARCH(trump,C101)))&gt;0)</f>
        <v>0</v>
      </c>
      <c r="X101" s="14" cm="1">
        <f t="array" ref="X101">INT(SUMPRODUCT(--ISNUMBER(SEARCH(voting,C101)))&gt;0)</f>
        <v>0</v>
      </c>
      <c r="Y101" s="35" cm="1">
        <f t="array" ref="Y101">INT(SUMPRODUCT(--ISNUMBER(SEARCH(republicantrigger,C101)))&gt;0)</f>
        <v>0</v>
      </c>
      <c r="Z101" s="35" cm="1">
        <f t="array" ref="Z101">INT(SUMPRODUCT(--ISNUMBER(SEARCH(bipartisan,C101)))&gt;0)</f>
        <v>0</v>
      </c>
      <c r="AA101" s="35">
        <f t="shared" si="1"/>
        <v>1</v>
      </c>
      <c r="AB101" s="14"/>
      <c r="AC101" s="30">
        <v>1</v>
      </c>
      <c r="AD101" s="37">
        <v>0</v>
      </c>
    </row>
    <row r="102" spans="1:30" x14ac:dyDescent="0.25">
      <c r="A102" s="36">
        <v>3069</v>
      </c>
      <c r="B102" s="14" t="s">
        <v>6163</v>
      </c>
      <c r="C102" s="14" t="s">
        <v>6164</v>
      </c>
      <c r="D102" s="17">
        <v>44124</v>
      </c>
      <c r="E102" s="14" t="s">
        <v>30</v>
      </c>
      <c r="F102" s="14">
        <v>13</v>
      </c>
      <c r="G102" s="14">
        <v>6</v>
      </c>
      <c r="H102" s="14">
        <v>14</v>
      </c>
      <c r="I102" s="14">
        <v>7</v>
      </c>
      <c r="J102" s="14" t="s">
        <v>31</v>
      </c>
      <c r="K102" s="14" cm="1">
        <f t="array" ref="K102">INT(SUMPRODUCT(--ISNUMBER(SEARCH(economy,C102)))&gt;0)</f>
        <v>0</v>
      </c>
      <c r="L102" s="14" cm="1">
        <f t="array" ref="L102">INT(SUMPRODUCT(--ISNUMBER(SEARCH(healthcare,C102)))&gt;0)</f>
        <v>0</v>
      </c>
      <c r="M102" s="14" cm="1">
        <f t="array" ref="M102">INT(SUMPRODUCT(--ISNUMBER(SEARCH(supreme,C102)))&gt;0)</f>
        <v>0</v>
      </c>
      <c r="N102" s="14" cm="1">
        <f t="array" ref="N102">INT(SUMPRODUCT(--ISNUMBER(SEARCH(covid,C102)))&gt;0)</f>
        <v>1</v>
      </c>
      <c r="O102" s="14" cm="1">
        <f t="array" ref="O102">INT(SUMPRODUCT(--ISNUMBER(SEARCH(violent,C102)))&gt;0)</f>
        <v>0</v>
      </c>
      <c r="P102" s="14" cm="1">
        <f t="array" ref="P102">INT(SUMPRODUCT(--ISNUMBER(SEARCH(foreign,C102)))&gt;0)</f>
        <v>0</v>
      </c>
      <c r="Q102" s="14" cm="1">
        <f t="array" ref="Q102">INT(SUMPRODUCT(--ISNUMBER(SEARCH(gun,C102)))&gt;0)</f>
        <v>0</v>
      </c>
      <c r="R102" s="14" cm="1">
        <f t="array" ref="R102">INT(SUMPRODUCT(--ISNUMBER(SEARCH(race,C102)))&gt;0)</f>
        <v>0</v>
      </c>
      <c r="S102" s="14" cm="1">
        <f t="array" ref="S102">INT(SUMPRODUCT(--ISNUMBER(SEARCH(immigration,C102)))&gt;0)</f>
        <v>0</v>
      </c>
      <c r="T102" s="14" cm="1">
        <f t="array" ref="T102">INT(SUMPRODUCT(--ISNUMBER(SEARCH(econineq,C103)))&gt;0)</f>
        <v>0</v>
      </c>
      <c r="U102" s="14" cm="1">
        <f t="array" ref="U102">INT(SUMPRODUCT(--ISNUMBER(SEARCH(climate,C102)))&gt;0)</f>
        <v>0</v>
      </c>
      <c r="V102" s="14" cm="1">
        <f t="array" ref="V102">INT(SUMPRODUCT(--ISNUMBER(SEARCH(abortion,C102)))&gt;0)</f>
        <v>0</v>
      </c>
      <c r="W102" s="14" cm="1">
        <f t="array" ref="W102">INT(SUMPRODUCT(--ISNUMBER(SEARCH(trump,C102)))&gt;0)</f>
        <v>0</v>
      </c>
      <c r="X102" s="14" cm="1">
        <f t="array" ref="X102">INT(SUMPRODUCT(--ISNUMBER(SEARCH(voting,C102)))&gt;0)</f>
        <v>0</v>
      </c>
      <c r="Y102" s="35" cm="1">
        <f t="array" ref="Y102">INT(SUMPRODUCT(--ISNUMBER(SEARCH(republicantrigger,C102)))&gt;0)</f>
        <v>0</v>
      </c>
      <c r="Z102" s="35" cm="1">
        <f t="array" ref="Z102">INT(SUMPRODUCT(--ISNUMBER(SEARCH(bipartisan,C102)))&gt;0)</f>
        <v>0</v>
      </c>
      <c r="AA102" s="35">
        <f t="shared" si="1"/>
        <v>0</v>
      </c>
      <c r="AB102" s="14"/>
      <c r="AC102" s="30" t="s">
        <v>223</v>
      </c>
      <c r="AD102" s="37" t="s">
        <v>223</v>
      </c>
    </row>
    <row r="103" spans="1:30" x14ac:dyDescent="0.25">
      <c r="A103" s="36">
        <v>3070</v>
      </c>
      <c r="B103" s="14" t="s">
        <v>6165</v>
      </c>
      <c r="C103" s="14" t="s">
        <v>6166</v>
      </c>
      <c r="D103" s="17">
        <v>44124</v>
      </c>
      <c r="E103" s="14" t="s">
        <v>30</v>
      </c>
      <c r="F103" s="14">
        <v>41</v>
      </c>
      <c r="G103" s="14">
        <v>17</v>
      </c>
      <c r="H103" s="14">
        <v>14</v>
      </c>
      <c r="I103" s="14">
        <v>7</v>
      </c>
      <c r="J103" s="14" t="s">
        <v>31</v>
      </c>
      <c r="K103" s="14" cm="1">
        <f t="array" ref="K103">INT(SUMPRODUCT(--ISNUMBER(SEARCH(economy,C103)))&gt;0)</f>
        <v>0</v>
      </c>
      <c r="L103" s="14" cm="1">
        <f t="array" ref="L103">INT(SUMPRODUCT(--ISNUMBER(SEARCH(healthcare,C103)))&gt;0)</f>
        <v>0</v>
      </c>
      <c r="M103" s="14" cm="1">
        <f t="array" ref="M103">INT(SUMPRODUCT(--ISNUMBER(SEARCH(supreme,C103)))&gt;0)</f>
        <v>0</v>
      </c>
      <c r="N103" s="14" cm="1">
        <f t="array" ref="N103">INT(SUMPRODUCT(--ISNUMBER(SEARCH(covid,C103)))&gt;0)</f>
        <v>1</v>
      </c>
      <c r="O103" s="14" cm="1">
        <f t="array" ref="O103">INT(SUMPRODUCT(--ISNUMBER(SEARCH(violent,C103)))&gt;0)</f>
        <v>0</v>
      </c>
      <c r="P103" s="14" cm="1">
        <f t="array" ref="P103">INT(SUMPRODUCT(--ISNUMBER(SEARCH(foreign,C103)))&gt;0)</f>
        <v>0</v>
      </c>
      <c r="Q103" s="14" cm="1">
        <f t="array" ref="Q103">INT(SUMPRODUCT(--ISNUMBER(SEARCH(gun,C103)))&gt;0)</f>
        <v>0</v>
      </c>
      <c r="R103" s="14" cm="1">
        <f t="array" ref="R103">INT(SUMPRODUCT(--ISNUMBER(SEARCH(race,C103)))&gt;0)</f>
        <v>0</v>
      </c>
      <c r="S103" s="14" cm="1">
        <f t="array" ref="S103">INT(SUMPRODUCT(--ISNUMBER(SEARCH(immigration,C103)))&gt;0)</f>
        <v>0</v>
      </c>
      <c r="T103" s="14" cm="1">
        <f t="array" ref="T103">INT(SUMPRODUCT(--ISNUMBER(SEARCH(econineq,C104)))&gt;0)</f>
        <v>0</v>
      </c>
      <c r="U103" s="14" cm="1">
        <f t="array" ref="U103">INT(SUMPRODUCT(--ISNUMBER(SEARCH(climate,C103)))&gt;0)</f>
        <v>0</v>
      </c>
      <c r="V103" s="14" cm="1">
        <f t="array" ref="V103">INT(SUMPRODUCT(--ISNUMBER(SEARCH(abortion,C103)))&gt;0)</f>
        <v>0</v>
      </c>
      <c r="W103" s="14" cm="1">
        <f t="array" ref="W103">INT(SUMPRODUCT(--ISNUMBER(SEARCH(trump,C103)))&gt;0)</f>
        <v>1</v>
      </c>
      <c r="X103" s="14" cm="1">
        <f t="array" ref="X103">INT(SUMPRODUCT(--ISNUMBER(SEARCH(voting,C103)))&gt;0)</f>
        <v>0</v>
      </c>
      <c r="Y103" s="35" cm="1">
        <f t="array" ref="Y103">INT(SUMPRODUCT(--ISNUMBER(SEARCH(republicantrigger,C103)))&gt;0)</f>
        <v>0</v>
      </c>
      <c r="Z103" s="35" cm="1">
        <f t="array" ref="Z103">INT(SUMPRODUCT(--ISNUMBER(SEARCH(bipartisan,C103)))&gt;0)</f>
        <v>0</v>
      </c>
      <c r="AA103" s="35">
        <f t="shared" si="1"/>
        <v>0</v>
      </c>
      <c r="AB103" s="14"/>
      <c r="AC103" s="30" t="s">
        <v>223</v>
      </c>
      <c r="AD103" s="37" t="s">
        <v>223</v>
      </c>
    </row>
    <row r="104" spans="1:30" x14ac:dyDescent="0.25">
      <c r="A104" s="36">
        <v>3071</v>
      </c>
      <c r="B104" s="14" t="s">
        <v>6167</v>
      </c>
      <c r="C104" s="14" t="s">
        <v>6168</v>
      </c>
      <c r="D104" s="17">
        <v>44124</v>
      </c>
      <c r="E104" s="14" t="s">
        <v>30</v>
      </c>
      <c r="F104" s="14">
        <v>10</v>
      </c>
      <c r="G104" s="14">
        <v>4</v>
      </c>
      <c r="H104" s="14">
        <v>14</v>
      </c>
      <c r="I104" s="14">
        <v>7</v>
      </c>
      <c r="J104" s="14" t="s">
        <v>31</v>
      </c>
      <c r="K104" s="14" cm="1">
        <f t="array" ref="K104">INT(SUMPRODUCT(--ISNUMBER(SEARCH(economy,C104)))&gt;0)</f>
        <v>0</v>
      </c>
      <c r="L104" s="14" cm="1">
        <f t="array" ref="L104">INT(SUMPRODUCT(--ISNUMBER(SEARCH(healthcare,C104)))&gt;0)</f>
        <v>0</v>
      </c>
      <c r="M104" s="14" cm="1">
        <f t="array" ref="M104">INT(SUMPRODUCT(--ISNUMBER(SEARCH(supreme,C104)))&gt;0)</f>
        <v>0</v>
      </c>
      <c r="N104" s="14" cm="1">
        <f t="array" ref="N104">INT(SUMPRODUCT(--ISNUMBER(SEARCH(covid,C104)))&gt;0)</f>
        <v>0</v>
      </c>
      <c r="O104" s="14" cm="1">
        <f t="array" ref="O104">INT(SUMPRODUCT(--ISNUMBER(SEARCH(violent,C104)))&gt;0)</f>
        <v>0</v>
      </c>
      <c r="P104" s="14" cm="1">
        <f t="array" ref="P104">INT(SUMPRODUCT(--ISNUMBER(SEARCH(foreign,C104)))&gt;0)</f>
        <v>0</v>
      </c>
      <c r="Q104" s="14" cm="1">
        <f t="array" ref="Q104">INT(SUMPRODUCT(--ISNUMBER(SEARCH(gun,C104)))&gt;0)</f>
        <v>0</v>
      </c>
      <c r="R104" s="14" cm="1">
        <f t="array" ref="R104">INT(SUMPRODUCT(--ISNUMBER(SEARCH(race,C104)))&gt;0)</f>
        <v>0</v>
      </c>
      <c r="S104" s="14" cm="1">
        <f t="array" ref="S104">INT(SUMPRODUCT(--ISNUMBER(SEARCH(immigration,C104)))&gt;0)</f>
        <v>0</v>
      </c>
      <c r="T104" s="14" cm="1">
        <f t="array" ref="T104">INT(SUMPRODUCT(--ISNUMBER(SEARCH(econineq,C105)))&gt;0)</f>
        <v>0</v>
      </c>
      <c r="U104" s="14" cm="1">
        <f t="array" ref="U104">INT(SUMPRODUCT(--ISNUMBER(SEARCH(climate,C104)))&gt;0)</f>
        <v>0</v>
      </c>
      <c r="V104" s="14" cm="1">
        <f t="array" ref="V104">INT(SUMPRODUCT(--ISNUMBER(SEARCH(abortion,C104)))&gt;0)</f>
        <v>0</v>
      </c>
      <c r="W104" s="14" cm="1">
        <f t="array" ref="W104">INT(SUMPRODUCT(--ISNUMBER(SEARCH(trump,C104)))&gt;0)</f>
        <v>0</v>
      </c>
      <c r="X104" s="14" cm="1">
        <f t="array" ref="X104">INT(SUMPRODUCT(--ISNUMBER(SEARCH(voting,C104)))&gt;0)</f>
        <v>0</v>
      </c>
      <c r="Y104" s="35" cm="1">
        <f t="array" ref="Y104">INT(SUMPRODUCT(--ISNUMBER(SEARCH(republicantrigger,C104)))&gt;0)</f>
        <v>1</v>
      </c>
      <c r="Z104" s="35" cm="1">
        <f t="array" ref="Z104">INT(SUMPRODUCT(--ISNUMBER(SEARCH(bipartisan,C104)))&gt;0)</f>
        <v>0</v>
      </c>
      <c r="AA104" s="35">
        <f t="shared" si="1"/>
        <v>0</v>
      </c>
      <c r="AB104" s="14"/>
      <c r="AC104" s="30" t="s">
        <v>223</v>
      </c>
      <c r="AD104" s="37" t="s">
        <v>223</v>
      </c>
    </row>
    <row r="105" spans="1:30" x14ac:dyDescent="0.25">
      <c r="A105" s="36">
        <v>3072</v>
      </c>
      <c r="B105" s="14" t="s">
        <v>6169</v>
      </c>
      <c r="C105" s="14" t="s">
        <v>6170</v>
      </c>
      <c r="D105" s="17">
        <v>44124</v>
      </c>
      <c r="E105" s="14" t="s">
        <v>30</v>
      </c>
      <c r="F105" s="14">
        <v>14</v>
      </c>
      <c r="G105" s="14">
        <v>4</v>
      </c>
      <c r="H105" s="14">
        <v>14</v>
      </c>
      <c r="I105" s="14">
        <v>7</v>
      </c>
      <c r="J105" s="14" t="s">
        <v>31</v>
      </c>
      <c r="K105" s="14" cm="1">
        <f t="array" ref="K105">INT(SUMPRODUCT(--ISNUMBER(SEARCH(economy,C105)))&gt;0)</f>
        <v>0</v>
      </c>
      <c r="L105" s="14" cm="1">
        <f t="array" ref="L105">INT(SUMPRODUCT(--ISNUMBER(SEARCH(healthcare,C105)))&gt;0)</f>
        <v>0</v>
      </c>
      <c r="M105" s="14" cm="1">
        <f t="array" ref="M105">INT(SUMPRODUCT(--ISNUMBER(SEARCH(supreme,C105)))&gt;0)</f>
        <v>0</v>
      </c>
      <c r="N105" s="14" cm="1">
        <f t="array" ref="N105">INT(SUMPRODUCT(--ISNUMBER(SEARCH(covid,C105)))&gt;0)</f>
        <v>0</v>
      </c>
      <c r="O105" s="14" cm="1">
        <f t="array" ref="O105">INT(SUMPRODUCT(--ISNUMBER(SEARCH(violent,C105)))&gt;0)</f>
        <v>0</v>
      </c>
      <c r="P105" s="14" cm="1">
        <f t="array" ref="P105">INT(SUMPRODUCT(--ISNUMBER(SEARCH(foreign,C105)))&gt;0)</f>
        <v>0</v>
      </c>
      <c r="Q105" s="14" cm="1">
        <f t="array" ref="Q105">INT(SUMPRODUCT(--ISNUMBER(SEARCH(gun,C105)))&gt;0)</f>
        <v>0</v>
      </c>
      <c r="R105" s="14" cm="1">
        <f t="array" ref="R105">INT(SUMPRODUCT(--ISNUMBER(SEARCH(race,C105)))&gt;0)</f>
        <v>0</v>
      </c>
      <c r="S105" s="14" cm="1">
        <f t="array" ref="S105">INT(SUMPRODUCT(--ISNUMBER(SEARCH(immigration,C105)))&gt;0)</f>
        <v>0</v>
      </c>
      <c r="T105" s="14" cm="1">
        <f t="array" ref="T105">INT(SUMPRODUCT(--ISNUMBER(SEARCH(econineq,C106)))&gt;0)</f>
        <v>0</v>
      </c>
      <c r="U105" s="14" cm="1">
        <f t="array" ref="U105">INT(SUMPRODUCT(--ISNUMBER(SEARCH(climate,C105)))&gt;0)</f>
        <v>0</v>
      </c>
      <c r="V105" s="14" cm="1">
        <f t="array" ref="V105">INT(SUMPRODUCT(--ISNUMBER(SEARCH(abortion,C105)))&gt;0)</f>
        <v>0</v>
      </c>
      <c r="W105" s="14" cm="1">
        <f t="array" ref="W105">INT(SUMPRODUCT(--ISNUMBER(SEARCH(trump,C105)))&gt;0)</f>
        <v>0</v>
      </c>
      <c r="X105" s="14" cm="1">
        <f t="array" ref="X105">INT(SUMPRODUCT(--ISNUMBER(SEARCH(voting,C105)))&gt;0)</f>
        <v>0</v>
      </c>
      <c r="Y105" s="35" cm="1">
        <f t="array" ref="Y105">INT(SUMPRODUCT(--ISNUMBER(SEARCH(republicantrigger,C105)))&gt;0)</f>
        <v>1</v>
      </c>
      <c r="Z105" s="35" cm="1">
        <f t="array" ref="Z105">INT(SUMPRODUCT(--ISNUMBER(SEARCH(bipartisan,C105)))&gt;0)</f>
        <v>0</v>
      </c>
      <c r="AA105" s="35">
        <f t="shared" si="1"/>
        <v>0</v>
      </c>
      <c r="AB105" s="14"/>
      <c r="AC105" s="30" t="s">
        <v>223</v>
      </c>
      <c r="AD105" s="37" t="s">
        <v>223</v>
      </c>
    </row>
    <row r="106" spans="1:30" x14ac:dyDescent="0.25">
      <c r="A106" s="36">
        <v>3073</v>
      </c>
      <c r="B106" s="14" t="s">
        <v>6171</v>
      </c>
      <c r="C106" s="14" t="s">
        <v>6172</v>
      </c>
      <c r="D106" s="17">
        <v>44124</v>
      </c>
      <c r="E106" s="14" t="s">
        <v>30</v>
      </c>
      <c r="F106" s="14">
        <v>30</v>
      </c>
      <c r="G106" s="14">
        <v>17</v>
      </c>
      <c r="H106" s="14">
        <v>14</v>
      </c>
      <c r="I106" s="14">
        <v>7</v>
      </c>
      <c r="J106" s="14" t="s">
        <v>31</v>
      </c>
      <c r="K106" s="14" cm="1">
        <f t="array" ref="K106">INT(SUMPRODUCT(--ISNUMBER(SEARCH(economy,C106)))&gt;0)</f>
        <v>0</v>
      </c>
      <c r="L106" s="14" cm="1">
        <f t="array" ref="L106">INT(SUMPRODUCT(--ISNUMBER(SEARCH(healthcare,C106)))&gt;0)</f>
        <v>0</v>
      </c>
      <c r="M106" s="14" cm="1">
        <f t="array" ref="M106">INT(SUMPRODUCT(--ISNUMBER(SEARCH(supreme,C106)))&gt;0)</f>
        <v>0</v>
      </c>
      <c r="N106" s="14" cm="1">
        <f t="array" ref="N106">INT(SUMPRODUCT(--ISNUMBER(SEARCH(covid,C106)))&gt;0)</f>
        <v>0</v>
      </c>
      <c r="O106" s="14" cm="1">
        <f t="array" ref="O106">INT(SUMPRODUCT(--ISNUMBER(SEARCH(violent,C106)))&gt;0)</f>
        <v>0</v>
      </c>
      <c r="P106" s="14" cm="1">
        <f t="array" ref="P106">INT(SUMPRODUCT(--ISNUMBER(SEARCH(foreign,C106)))&gt;0)</f>
        <v>0</v>
      </c>
      <c r="Q106" s="14" cm="1">
        <f t="array" ref="Q106">INT(SUMPRODUCT(--ISNUMBER(SEARCH(gun,C106)))&gt;0)</f>
        <v>0</v>
      </c>
      <c r="R106" s="14" cm="1">
        <f t="array" ref="R106">INT(SUMPRODUCT(--ISNUMBER(SEARCH(race,C106)))&gt;0)</f>
        <v>0</v>
      </c>
      <c r="S106" s="14" cm="1">
        <f t="array" ref="S106">INT(SUMPRODUCT(--ISNUMBER(SEARCH(immigration,C106)))&gt;0)</f>
        <v>0</v>
      </c>
      <c r="T106" s="14" cm="1">
        <f t="array" ref="T106">INT(SUMPRODUCT(--ISNUMBER(SEARCH(econineq,C107)))&gt;0)</f>
        <v>0</v>
      </c>
      <c r="U106" s="14" cm="1">
        <f t="array" ref="U106">INT(SUMPRODUCT(--ISNUMBER(SEARCH(climate,C106)))&gt;0)</f>
        <v>0</v>
      </c>
      <c r="V106" s="14" cm="1">
        <f t="array" ref="V106">INT(SUMPRODUCT(--ISNUMBER(SEARCH(abortion,C106)))&gt;0)</f>
        <v>0</v>
      </c>
      <c r="W106" s="14" cm="1">
        <f t="array" ref="W106">INT(SUMPRODUCT(--ISNUMBER(SEARCH(trump,C106)))&gt;0)</f>
        <v>0</v>
      </c>
      <c r="X106" s="14" cm="1">
        <f t="array" ref="X106">INT(SUMPRODUCT(--ISNUMBER(SEARCH(voting,C106)))&gt;0)</f>
        <v>1</v>
      </c>
      <c r="Y106" s="35" cm="1">
        <f t="array" ref="Y106">INT(SUMPRODUCT(--ISNUMBER(SEARCH(republicantrigger,C106)))&gt;0)</f>
        <v>1</v>
      </c>
      <c r="Z106" s="35" cm="1">
        <f t="array" ref="Z106">INT(SUMPRODUCT(--ISNUMBER(SEARCH(bipartisan,C106)))&gt;0)</f>
        <v>0</v>
      </c>
      <c r="AA106" s="35">
        <f t="shared" si="1"/>
        <v>0</v>
      </c>
      <c r="AB106" s="14"/>
      <c r="AC106" s="30" t="s">
        <v>223</v>
      </c>
      <c r="AD106" s="37" t="s">
        <v>223</v>
      </c>
    </row>
    <row r="107" spans="1:30" x14ac:dyDescent="0.25">
      <c r="A107" s="36">
        <v>3074</v>
      </c>
      <c r="B107" s="14" t="s">
        <v>6173</v>
      </c>
      <c r="C107" s="14" t="s">
        <v>6174</v>
      </c>
      <c r="D107" s="17">
        <v>44124</v>
      </c>
      <c r="E107" s="14" t="s">
        <v>30</v>
      </c>
      <c r="F107" s="14">
        <v>22</v>
      </c>
      <c r="G107" s="14">
        <v>15</v>
      </c>
      <c r="H107" s="14">
        <v>14</v>
      </c>
      <c r="I107" s="14">
        <v>7</v>
      </c>
      <c r="J107" s="14" t="s">
        <v>31</v>
      </c>
      <c r="K107" s="14" cm="1">
        <f t="array" ref="K107">INT(SUMPRODUCT(--ISNUMBER(SEARCH(economy,C107)))&gt;0)</f>
        <v>0</v>
      </c>
      <c r="L107" s="14" cm="1">
        <f t="array" ref="L107">INT(SUMPRODUCT(--ISNUMBER(SEARCH(healthcare,C107)))&gt;0)</f>
        <v>0</v>
      </c>
      <c r="M107" s="14" cm="1">
        <f t="array" ref="M107">INT(SUMPRODUCT(--ISNUMBER(SEARCH(supreme,C107)))&gt;0)</f>
        <v>0</v>
      </c>
      <c r="N107" s="14" cm="1">
        <f t="array" ref="N107">INT(SUMPRODUCT(--ISNUMBER(SEARCH(covid,C107)))&gt;0)</f>
        <v>0</v>
      </c>
      <c r="O107" s="14" cm="1">
        <f t="array" ref="O107">INT(SUMPRODUCT(--ISNUMBER(SEARCH(violent,C107)))&gt;0)</f>
        <v>0</v>
      </c>
      <c r="P107" s="14" cm="1">
        <f t="array" ref="P107">INT(SUMPRODUCT(--ISNUMBER(SEARCH(foreign,C107)))&gt;0)</f>
        <v>0</v>
      </c>
      <c r="Q107" s="14" cm="1">
        <f t="array" ref="Q107">INT(SUMPRODUCT(--ISNUMBER(SEARCH(gun,C107)))&gt;0)</f>
        <v>0</v>
      </c>
      <c r="R107" s="14" cm="1">
        <f t="array" ref="R107">INT(SUMPRODUCT(--ISNUMBER(SEARCH(race,C107)))&gt;0)</f>
        <v>0</v>
      </c>
      <c r="S107" s="14" cm="1">
        <f t="array" ref="S107">INT(SUMPRODUCT(--ISNUMBER(SEARCH(immigration,C107)))&gt;0)</f>
        <v>0</v>
      </c>
      <c r="T107" s="14" cm="1">
        <f t="array" ref="T107">INT(SUMPRODUCT(--ISNUMBER(SEARCH(econineq,C108)))&gt;0)</f>
        <v>0</v>
      </c>
      <c r="U107" s="14" cm="1">
        <f t="array" ref="U107">INT(SUMPRODUCT(--ISNUMBER(SEARCH(climate,C107)))&gt;0)</f>
        <v>0</v>
      </c>
      <c r="V107" s="14" cm="1">
        <f t="array" ref="V107">INT(SUMPRODUCT(--ISNUMBER(SEARCH(abortion,C107)))&gt;0)</f>
        <v>0</v>
      </c>
      <c r="W107" s="14" cm="1">
        <f t="array" ref="W107">INT(SUMPRODUCT(--ISNUMBER(SEARCH(trump,C107)))&gt;0)</f>
        <v>0</v>
      </c>
      <c r="X107" s="14" cm="1">
        <f t="array" ref="X107">INT(SUMPRODUCT(--ISNUMBER(SEARCH(voting,C107)))&gt;0)</f>
        <v>0</v>
      </c>
      <c r="Y107" s="35" cm="1">
        <f t="array" ref="Y107">INT(SUMPRODUCT(--ISNUMBER(SEARCH(republicantrigger,C107)))&gt;0)</f>
        <v>1</v>
      </c>
      <c r="Z107" s="35" cm="1">
        <f t="array" ref="Z107">INT(SUMPRODUCT(--ISNUMBER(SEARCH(bipartisan,C107)))&gt;0)</f>
        <v>0</v>
      </c>
      <c r="AA107" s="35">
        <f t="shared" si="1"/>
        <v>0</v>
      </c>
      <c r="AB107" s="14"/>
      <c r="AC107" s="30" t="s">
        <v>223</v>
      </c>
      <c r="AD107" s="37" t="s">
        <v>223</v>
      </c>
    </row>
    <row r="108" spans="1:30" x14ac:dyDescent="0.25">
      <c r="A108" s="36">
        <v>3075</v>
      </c>
      <c r="B108" s="14" t="s">
        <v>6175</v>
      </c>
      <c r="C108" s="14" t="s">
        <v>6176</v>
      </c>
      <c r="D108" s="17">
        <v>44124</v>
      </c>
      <c r="E108" s="14" t="s">
        <v>30</v>
      </c>
      <c r="F108" s="14">
        <v>9</v>
      </c>
      <c r="G108" s="14">
        <v>7</v>
      </c>
      <c r="H108" s="14">
        <v>14</v>
      </c>
      <c r="I108" s="14">
        <v>7</v>
      </c>
      <c r="J108" s="14" t="s">
        <v>31</v>
      </c>
      <c r="K108" s="14" cm="1">
        <f t="array" ref="K108">INT(SUMPRODUCT(--ISNUMBER(SEARCH(economy,C108)))&gt;0)</f>
        <v>0</v>
      </c>
      <c r="L108" s="14" cm="1">
        <f t="array" ref="L108">INT(SUMPRODUCT(--ISNUMBER(SEARCH(healthcare,C108)))&gt;0)</f>
        <v>0</v>
      </c>
      <c r="M108" s="14" cm="1">
        <f t="array" ref="M108">INT(SUMPRODUCT(--ISNUMBER(SEARCH(supreme,C108)))&gt;0)</f>
        <v>0</v>
      </c>
      <c r="N108" s="14" cm="1">
        <f t="array" ref="N108">INT(SUMPRODUCT(--ISNUMBER(SEARCH(covid,C108)))&gt;0)</f>
        <v>0</v>
      </c>
      <c r="O108" s="14" cm="1">
        <f t="array" ref="O108">INT(SUMPRODUCT(--ISNUMBER(SEARCH(violent,C108)))&gt;0)</f>
        <v>0</v>
      </c>
      <c r="P108" s="14" cm="1">
        <f t="array" ref="P108">INT(SUMPRODUCT(--ISNUMBER(SEARCH(foreign,C108)))&gt;0)</f>
        <v>0</v>
      </c>
      <c r="Q108" s="14" cm="1">
        <f t="array" ref="Q108">INT(SUMPRODUCT(--ISNUMBER(SEARCH(gun,C108)))&gt;0)</f>
        <v>0</v>
      </c>
      <c r="R108" s="14" cm="1">
        <f t="array" ref="R108">INT(SUMPRODUCT(--ISNUMBER(SEARCH(race,C108)))&gt;0)</f>
        <v>0</v>
      </c>
      <c r="S108" s="14" cm="1">
        <f t="array" ref="S108">INT(SUMPRODUCT(--ISNUMBER(SEARCH(immigration,C108)))&gt;0)</f>
        <v>0</v>
      </c>
      <c r="T108" s="14" cm="1">
        <f t="array" ref="T108">INT(SUMPRODUCT(--ISNUMBER(SEARCH(econineq,C109)))&gt;0)</f>
        <v>0</v>
      </c>
      <c r="U108" s="14" cm="1">
        <f t="array" ref="U108">INT(SUMPRODUCT(--ISNUMBER(SEARCH(climate,C108)))&gt;0)</f>
        <v>0</v>
      </c>
      <c r="V108" s="14" cm="1">
        <f t="array" ref="V108">INT(SUMPRODUCT(--ISNUMBER(SEARCH(abortion,C108)))&gt;0)</f>
        <v>0</v>
      </c>
      <c r="W108" s="14" cm="1">
        <f t="array" ref="W108">INT(SUMPRODUCT(--ISNUMBER(SEARCH(trump,C108)))&gt;0)</f>
        <v>0</v>
      </c>
      <c r="X108" s="14" cm="1">
        <f t="array" ref="X108">INT(SUMPRODUCT(--ISNUMBER(SEARCH(voting,C108)))&gt;0)</f>
        <v>1</v>
      </c>
      <c r="Y108" s="35" cm="1">
        <f t="array" ref="Y108">INT(SUMPRODUCT(--ISNUMBER(SEARCH(republicantrigger,C108)))&gt;0)</f>
        <v>1</v>
      </c>
      <c r="Z108" s="35" cm="1">
        <f t="array" ref="Z108">INT(SUMPRODUCT(--ISNUMBER(SEARCH(bipartisan,C108)))&gt;0)</f>
        <v>0</v>
      </c>
      <c r="AA108" s="35">
        <f t="shared" si="1"/>
        <v>0</v>
      </c>
      <c r="AB108" s="14"/>
      <c r="AC108" s="30" t="s">
        <v>223</v>
      </c>
      <c r="AD108" s="37" t="s">
        <v>223</v>
      </c>
    </row>
    <row r="109" spans="1:30" x14ac:dyDescent="0.25">
      <c r="A109" s="36">
        <v>3076</v>
      </c>
      <c r="B109" s="14" t="s">
        <v>6177</v>
      </c>
      <c r="C109" s="14" t="s">
        <v>6178</v>
      </c>
      <c r="D109" s="17">
        <v>44124</v>
      </c>
      <c r="E109" s="14" t="s">
        <v>30</v>
      </c>
      <c r="F109" s="14">
        <v>14</v>
      </c>
      <c r="G109" s="14">
        <v>6</v>
      </c>
      <c r="H109" s="14">
        <v>14</v>
      </c>
      <c r="I109" s="14">
        <v>7</v>
      </c>
      <c r="J109" s="14" t="s">
        <v>31</v>
      </c>
      <c r="K109" s="14" cm="1">
        <f t="array" ref="K109">INT(SUMPRODUCT(--ISNUMBER(SEARCH(economy,C109)))&gt;0)</f>
        <v>0</v>
      </c>
      <c r="L109" s="14" cm="1">
        <f t="array" ref="L109">INT(SUMPRODUCT(--ISNUMBER(SEARCH(healthcare,C109)))&gt;0)</f>
        <v>0</v>
      </c>
      <c r="M109" s="14" cm="1">
        <f t="array" ref="M109">INT(SUMPRODUCT(--ISNUMBER(SEARCH(supreme,C109)))&gt;0)</f>
        <v>0</v>
      </c>
      <c r="N109" s="14" cm="1">
        <f t="array" ref="N109">INT(SUMPRODUCT(--ISNUMBER(SEARCH(covid,C109)))&gt;0)</f>
        <v>0</v>
      </c>
      <c r="O109" s="14" cm="1">
        <f t="array" ref="O109">INT(SUMPRODUCT(--ISNUMBER(SEARCH(violent,C109)))&gt;0)</f>
        <v>0</v>
      </c>
      <c r="P109" s="14" cm="1">
        <f t="array" ref="P109">INT(SUMPRODUCT(--ISNUMBER(SEARCH(foreign,C109)))&gt;0)</f>
        <v>0</v>
      </c>
      <c r="Q109" s="14" cm="1">
        <f t="array" ref="Q109">INT(SUMPRODUCT(--ISNUMBER(SEARCH(gun,C109)))&gt;0)</f>
        <v>0</v>
      </c>
      <c r="R109" s="14" cm="1">
        <f t="array" ref="R109">INT(SUMPRODUCT(--ISNUMBER(SEARCH(race,C109)))&gt;0)</f>
        <v>0</v>
      </c>
      <c r="S109" s="14" cm="1">
        <f t="array" ref="S109">INT(SUMPRODUCT(--ISNUMBER(SEARCH(immigration,C109)))&gt;0)</f>
        <v>0</v>
      </c>
      <c r="T109" s="14" cm="1">
        <f t="array" ref="T109">INT(SUMPRODUCT(--ISNUMBER(SEARCH(econineq,C110)))&gt;0)</f>
        <v>0</v>
      </c>
      <c r="U109" s="14" cm="1">
        <f t="array" ref="U109">INT(SUMPRODUCT(--ISNUMBER(SEARCH(climate,C109)))&gt;0)</f>
        <v>0</v>
      </c>
      <c r="V109" s="14" cm="1">
        <f t="array" ref="V109">INT(SUMPRODUCT(--ISNUMBER(SEARCH(abortion,C109)))&gt;0)</f>
        <v>0</v>
      </c>
      <c r="W109" s="14" cm="1">
        <f t="array" ref="W109">INT(SUMPRODUCT(--ISNUMBER(SEARCH(trump,C109)))&gt;0)</f>
        <v>0</v>
      </c>
      <c r="X109" s="14" cm="1">
        <f t="array" ref="X109">INT(SUMPRODUCT(--ISNUMBER(SEARCH(voting,C109)))&gt;0)</f>
        <v>0</v>
      </c>
      <c r="Y109" s="35" cm="1">
        <f t="array" ref="Y109">INT(SUMPRODUCT(--ISNUMBER(SEARCH(republicantrigger,C109)))&gt;0)</f>
        <v>1</v>
      </c>
      <c r="Z109" s="35" cm="1">
        <f t="array" ref="Z109">INT(SUMPRODUCT(--ISNUMBER(SEARCH(bipartisan,C109)))&gt;0)</f>
        <v>0</v>
      </c>
      <c r="AA109" s="35">
        <f t="shared" si="1"/>
        <v>0</v>
      </c>
      <c r="AB109" s="14"/>
      <c r="AC109" s="30" t="s">
        <v>223</v>
      </c>
      <c r="AD109" s="37" t="s">
        <v>223</v>
      </c>
    </row>
    <row r="110" spans="1:30" x14ac:dyDescent="0.25">
      <c r="A110" s="36">
        <v>3077</v>
      </c>
      <c r="B110" s="14" t="s">
        <v>6179</v>
      </c>
      <c r="C110" s="14" t="s">
        <v>6180</v>
      </c>
      <c r="D110" s="17">
        <v>44124</v>
      </c>
      <c r="E110" s="14" t="s">
        <v>30</v>
      </c>
      <c r="F110" s="14">
        <v>24</v>
      </c>
      <c r="G110" s="14">
        <v>10</v>
      </c>
      <c r="H110" s="14">
        <v>14</v>
      </c>
      <c r="I110" s="14">
        <v>7</v>
      </c>
      <c r="J110" s="14" t="s">
        <v>31</v>
      </c>
      <c r="K110" s="14" cm="1">
        <f t="array" ref="K110">INT(SUMPRODUCT(--ISNUMBER(SEARCH(economy,C110)))&gt;0)</f>
        <v>0</v>
      </c>
      <c r="L110" s="14" cm="1">
        <f t="array" ref="L110">INT(SUMPRODUCT(--ISNUMBER(SEARCH(healthcare,C110)))&gt;0)</f>
        <v>0</v>
      </c>
      <c r="M110" s="14" cm="1">
        <f t="array" ref="M110">INT(SUMPRODUCT(--ISNUMBER(SEARCH(supreme,C110)))&gt;0)</f>
        <v>0</v>
      </c>
      <c r="N110" s="14" cm="1">
        <f t="array" ref="N110">INT(SUMPRODUCT(--ISNUMBER(SEARCH(covid,C110)))&gt;0)</f>
        <v>0</v>
      </c>
      <c r="O110" s="14" cm="1">
        <f t="array" ref="O110">INT(SUMPRODUCT(--ISNUMBER(SEARCH(violent,C110)))&gt;0)</f>
        <v>0</v>
      </c>
      <c r="P110" s="14" cm="1">
        <f t="array" ref="P110">INT(SUMPRODUCT(--ISNUMBER(SEARCH(foreign,C110)))&gt;0)</f>
        <v>0</v>
      </c>
      <c r="Q110" s="14" cm="1">
        <f t="array" ref="Q110">INT(SUMPRODUCT(--ISNUMBER(SEARCH(gun,C110)))&gt;0)</f>
        <v>0</v>
      </c>
      <c r="R110" s="14" cm="1">
        <f t="array" ref="R110">INT(SUMPRODUCT(--ISNUMBER(SEARCH(race,C110)))&gt;0)</f>
        <v>0</v>
      </c>
      <c r="S110" s="14" cm="1">
        <f t="array" ref="S110">INT(SUMPRODUCT(--ISNUMBER(SEARCH(immigration,C110)))&gt;0)</f>
        <v>0</v>
      </c>
      <c r="T110" s="14" cm="1">
        <f t="array" ref="T110">INT(SUMPRODUCT(--ISNUMBER(SEARCH(econineq,C111)))&gt;0)</f>
        <v>0</v>
      </c>
      <c r="U110" s="14" cm="1">
        <f t="array" ref="U110">INT(SUMPRODUCT(--ISNUMBER(SEARCH(climate,C110)))&gt;0)</f>
        <v>1</v>
      </c>
      <c r="V110" s="14" cm="1">
        <f t="array" ref="V110">INT(SUMPRODUCT(--ISNUMBER(SEARCH(abortion,C110)))&gt;0)</f>
        <v>0</v>
      </c>
      <c r="W110" s="14" cm="1">
        <f t="array" ref="W110">INT(SUMPRODUCT(--ISNUMBER(SEARCH(trump,C110)))&gt;0)</f>
        <v>0</v>
      </c>
      <c r="X110" s="14" cm="1">
        <f t="array" ref="X110">INT(SUMPRODUCT(--ISNUMBER(SEARCH(voting,C110)))&gt;0)</f>
        <v>0</v>
      </c>
      <c r="Y110" s="35" cm="1">
        <f t="array" ref="Y110">INT(SUMPRODUCT(--ISNUMBER(SEARCH(republicantrigger,C110)))&gt;0)</f>
        <v>0</v>
      </c>
      <c r="Z110" s="35" cm="1">
        <f t="array" ref="Z110">INT(SUMPRODUCT(--ISNUMBER(SEARCH(bipartisan,C110)))&gt;0)</f>
        <v>0</v>
      </c>
      <c r="AA110" s="35">
        <f t="shared" si="1"/>
        <v>0</v>
      </c>
      <c r="AB110" s="14"/>
      <c r="AC110" s="30">
        <v>0</v>
      </c>
      <c r="AD110" s="37">
        <v>1</v>
      </c>
    </row>
    <row r="111" spans="1:30" x14ac:dyDescent="0.25">
      <c r="A111" s="36">
        <v>3078</v>
      </c>
      <c r="B111" s="14" t="s">
        <v>6181</v>
      </c>
      <c r="C111" s="14" t="s">
        <v>6182</v>
      </c>
      <c r="D111" s="17">
        <v>44124</v>
      </c>
      <c r="E111" s="14" t="s">
        <v>30</v>
      </c>
      <c r="F111" s="14">
        <v>25</v>
      </c>
      <c r="G111" s="14">
        <v>10</v>
      </c>
      <c r="H111" s="14">
        <v>14</v>
      </c>
      <c r="I111" s="14">
        <v>7</v>
      </c>
      <c r="J111" s="14" t="s">
        <v>31</v>
      </c>
      <c r="K111" s="14" cm="1">
        <f t="array" ref="K111">INT(SUMPRODUCT(--ISNUMBER(SEARCH(economy,C111)))&gt;0)</f>
        <v>0</v>
      </c>
      <c r="L111" s="14" cm="1">
        <f t="array" ref="L111">INT(SUMPRODUCT(--ISNUMBER(SEARCH(healthcare,C111)))&gt;0)</f>
        <v>0</v>
      </c>
      <c r="M111" s="14" cm="1">
        <f t="array" ref="M111">INT(SUMPRODUCT(--ISNUMBER(SEARCH(supreme,C111)))&gt;0)</f>
        <v>0</v>
      </c>
      <c r="N111" s="14" cm="1">
        <f t="array" ref="N111">INT(SUMPRODUCT(--ISNUMBER(SEARCH(covid,C111)))&gt;0)</f>
        <v>0</v>
      </c>
      <c r="O111" s="14" cm="1">
        <f t="array" ref="O111">INT(SUMPRODUCT(--ISNUMBER(SEARCH(violent,C111)))&gt;0)</f>
        <v>0</v>
      </c>
      <c r="P111" s="14" cm="1">
        <f t="array" ref="P111">INT(SUMPRODUCT(--ISNUMBER(SEARCH(foreign,C111)))&gt;0)</f>
        <v>0</v>
      </c>
      <c r="Q111" s="14" cm="1">
        <f t="array" ref="Q111">INT(SUMPRODUCT(--ISNUMBER(SEARCH(gun,C111)))&gt;0)</f>
        <v>0</v>
      </c>
      <c r="R111" s="14" cm="1">
        <f t="array" ref="R111">INT(SUMPRODUCT(--ISNUMBER(SEARCH(race,C111)))&gt;0)</f>
        <v>0</v>
      </c>
      <c r="S111" s="14" cm="1">
        <f t="array" ref="S111">INT(SUMPRODUCT(--ISNUMBER(SEARCH(immigration,C111)))&gt;0)</f>
        <v>0</v>
      </c>
      <c r="T111" s="14" cm="1">
        <f t="array" ref="T111">INT(SUMPRODUCT(--ISNUMBER(SEARCH(econineq,C112)))&gt;0)</f>
        <v>0</v>
      </c>
      <c r="U111" s="14" cm="1">
        <f t="array" ref="U111">INT(SUMPRODUCT(--ISNUMBER(SEARCH(climate,C111)))&gt;0)</f>
        <v>0</v>
      </c>
      <c r="V111" s="14" cm="1">
        <f t="array" ref="V111">INT(SUMPRODUCT(--ISNUMBER(SEARCH(abortion,C111)))&gt;0)</f>
        <v>0</v>
      </c>
      <c r="W111" s="14" cm="1">
        <f t="array" ref="W111">INT(SUMPRODUCT(--ISNUMBER(SEARCH(trump,C111)))&gt;0)</f>
        <v>0</v>
      </c>
      <c r="X111" s="14" cm="1">
        <f t="array" ref="X111">INT(SUMPRODUCT(--ISNUMBER(SEARCH(voting,C111)))&gt;0)</f>
        <v>0</v>
      </c>
      <c r="Y111" s="35" cm="1">
        <f t="array" ref="Y111">INT(SUMPRODUCT(--ISNUMBER(SEARCH(republicantrigger,C111)))&gt;0)</f>
        <v>0</v>
      </c>
      <c r="Z111" s="35" cm="1">
        <f t="array" ref="Z111">INT(SUMPRODUCT(--ISNUMBER(SEARCH(bipartisan,C111)))&gt;0)</f>
        <v>0</v>
      </c>
      <c r="AA111" s="35">
        <f t="shared" si="1"/>
        <v>1</v>
      </c>
      <c r="AB111" s="14"/>
      <c r="AC111" s="30">
        <v>1</v>
      </c>
      <c r="AD111" s="37">
        <v>0</v>
      </c>
    </row>
    <row r="112" spans="1:30" x14ac:dyDescent="0.25">
      <c r="A112" s="36">
        <v>3079</v>
      </c>
      <c r="B112" s="14" t="s">
        <v>6183</v>
      </c>
      <c r="C112" s="14" t="s">
        <v>6184</v>
      </c>
      <c r="D112" s="17">
        <v>44124</v>
      </c>
      <c r="E112" s="14" t="s">
        <v>30</v>
      </c>
      <c r="F112" s="14">
        <v>12</v>
      </c>
      <c r="G112" s="14">
        <v>2</v>
      </c>
      <c r="H112" s="14">
        <v>14</v>
      </c>
      <c r="I112" s="14">
        <v>7</v>
      </c>
      <c r="J112" s="14" t="s">
        <v>31</v>
      </c>
      <c r="K112" s="14" cm="1">
        <f t="array" ref="K112">INT(SUMPRODUCT(--ISNUMBER(SEARCH(economy,C112)))&gt;0)</f>
        <v>0</v>
      </c>
      <c r="L112" s="14" cm="1">
        <f t="array" ref="L112">INT(SUMPRODUCT(--ISNUMBER(SEARCH(healthcare,C112)))&gt;0)</f>
        <v>0</v>
      </c>
      <c r="M112" s="14" cm="1">
        <f t="array" ref="M112">INT(SUMPRODUCT(--ISNUMBER(SEARCH(supreme,C112)))&gt;0)</f>
        <v>0</v>
      </c>
      <c r="N112" s="14" cm="1">
        <f t="array" ref="N112">INT(SUMPRODUCT(--ISNUMBER(SEARCH(covid,C112)))&gt;0)</f>
        <v>0</v>
      </c>
      <c r="O112" s="14" cm="1">
        <f t="array" ref="O112">INT(SUMPRODUCT(--ISNUMBER(SEARCH(violent,C112)))&gt;0)</f>
        <v>0</v>
      </c>
      <c r="P112" s="14" cm="1">
        <f t="array" ref="P112">INT(SUMPRODUCT(--ISNUMBER(SEARCH(foreign,C112)))&gt;0)</f>
        <v>0</v>
      </c>
      <c r="Q112" s="14" cm="1">
        <f t="array" ref="Q112">INT(SUMPRODUCT(--ISNUMBER(SEARCH(gun,C112)))&gt;0)</f>
        <v>0</v>
      </c>
      <c r="R112" s="14" cm="1">
        <f t="array" ref="R112">INT(SUMPRODUCT(--ISNUMBER(SEARCH(race,C112)))&gt;0)</f>
        <v>0</v>
      </c>
      <c r="S112" s="14" cm="1">
        <f t="array" ref="S112">INT(SUMPRODUCT(--ISNUMBER(SEARCH(immigration,C112)))&gt;0)</f>
        <v>0</v>
      </c>
      <c r="T112" s="14" cm="1">
        <f t="array" ref="T112">INT(SUMPRODUCT(--ISNUMBER(SEARCH(econineq,C113)))&gt;0)</f>
        <v>0</v>
      </c>
      <c r="U112" s="14" cm="1">
        <f t="array" ref="U112">INT(SUMPRODUCT(--ISNUMBER(SEARCH(climate,C112)))&gt;0)</f>
        <v>0</v>
      </c>
      <c r="V112" s="14" cm="1">
        <f t="array" ref="V112">INT(SUMPRODUCT(--ISNUMBER(SEARCH(abortion,C112)))&gt;0)</f>
        <v>0</v>
      </c>
      <c r="W112" s="14" cm="1">
        <f t="array" ref="W112">INT(SUMPRODUCT(--ISNUMBER(SEARCH(trump,C112)))&gt;0)</f>
        <v>0</v>
      </c>
      <c r="X112" s="14" cm="1">
        <f t="array" ref="X112">INT(SUMPRODUCT(--ISNUMBER(SEARCH(voting,C112)))&gt;0)</f>
        <v>1</v>
      </c>
      <c r="Y112" s="35" cm="1">
        <f t="array" ref="Y112">INT(SUMPRODUCT(--ISNUMBER(SEARCH(republicantrigger,C112)))&gt;0)</f>
        <v>1</v>
      </c>
      <c r="Z112" s="35" cm="1">
        <f t="array" ref="Z112">INT(SUMPRODUCT(--ISNUMBER(SEARCH(bipartisan,C112)))&gt;0)</f>
        <v>0</v>
      </c>
      <c r="AA112" s="35">
        <f t="shared" si="1"/>
        <v>0</v>
      </c>
      <c r="AB112" s="14"/>
      <c r="AC112" s="30">
        <v>1</v>
      </c>
      <c r="AD112" s="37">
        <v>0</v>
      </c>
    </row>
    <row r="113" spans="1:30" x14ac:dyDescent="0.25">
      <c r="A113" s="36">
        <v>3080</v>
      </c>
      <c r="B113" s="14" t="s">
        <v>6185</v>
      </c>
      <c r="C113" s="14" t="s">
        <v>6186</v>
      </c>
      <c r="D113" s="17">
        <v>44124</v>
      </c>
      <c r="E113" s="14" t="s">
        <v>30</v>
      </c>
      <c r="F113" s="14">
        <v>12</v>
      </c>
      <c r="G113" s="14">
        <v>4</v>
      </c>
      <c r="H113" s="14">
        <v>14</v>
      </c>
      <c r="I113" s="14">
        <v>7</v>
      </c>
      <c r="J113" s="14" t="s">
        <v>31</v>
      </c>
      <c r="K113" s="14" cm="1">
        <f t="array" ref="K113">INT(SUMPRODUCT(--ISNUMBER(SEARCH(economy,C113)))&gt;0)</f>
        <v>0</v>
      </c>
      <c r="L113" s="14" cm="1">
        <f t="array" ref="L113">INT(SUMPRODUCT(--ISNUMBER(SEARCH(healthcare,C113)))&gt;0)</f>
        <v>0</v>
      </c>
      <c r="M113" s="14" cm="1">
        <f t="array" ref="M113">INT(SUMPRODUCT(--ISNUMBER(SEARCH(supreme,C113)))&gt;0)</f>
        <v>0</v>
      </c>
      <c r="N113" s="14" cm="1">
        <f t="array" ref="N113">INT(SUMPRODUCT(--ISNUMBER(SEARCH(covid,C113)))&gt;0)</f>
        <v>0</v>
      </c>
      <c r="O113" s="14" cm="1">
        <f t="array" ref="O113">INT(SUMPRODUCT(--ISNUMBER(SEARCH(violent,C113)))&gt;0)</f>
        <v>0</v>
      </c>
      <c r="P113" s="14" cm="1">
        <f t="array" ref="P113">INT(SUMPRODUCT(--ISNUMBER(SEARCH(foreign,C113)))&gt;0)</f>
        <v>0</v>
      </c>
      <c r="Q113" s="14" cm="1">
        <f t="array" ref="Q113">INT(SUMPRODUCT(--ISNUMBER(SEARCH(gun,C113)))&gt;0)</f>
        <v>0</v>
      </c>
      <c r="R113" s="14" cm="1">
        <f t="array" ref="R113">INT(SUMPRODUCT(--ISNUMBER(SEARCH(race,C113)))&gt;0)</f>
        <v>0</v>
      </c>
      <c r="S113" s="14" cm="1">
        <f t="array" ref="S113">INT(SUMPRODUCT(--ISNUMBER(SEARCH(immigration,C113)))&gt;0)</f>
        <v>0</v>
      </c>
      <c r="T113" s="14" cm="1">
        <f t="array" ref="T113">INT(SUMPRODUCT(--ISNUMBER(SEARCH(econineq,C114)))&gt;0)</f>
        <v>0</v>
      </c>
      <c r="U113" s="14" cm="1">
        <f t="array" ref="U113">INT(SUMPRODUCT(--ISNUMBER(SEARCH(climate,C113)))&gt;0)</f>
        <v>0</v>
      </c>
      <c r="V113" s="14" cm="1">
        <f t="array" ref="V113">INT(SUMPRODUCT(--ISNUMBER(SEARCH(abortion,C113)))&gt;0)</f>
        <v>0</v>
      </c>
      <c r="W113" s="14" cm="1">
        <f t="array" ref="W113">INT(SUMPRODUCT(--ISNUMBER(SEARCH(trump,C113)))&gt;0)</f>
        <v>0</v>
      </c>
      <c r="X113" s="14" cm="1">
        <f t="array" ref="X113">INT(SUMPRODUCT(--ISNUMBER(SEARCH(voting,C113)))&gt;0)</f>
        <v>0</v>
      </c>
      <c r="Y113" s="35" cm="1">
        <f t="array" ref="Y113">INT(SUMPRODUCT(--ISNUMBER(SEARCH(republicantrigger,C113)))&gt;0)</f>
        <v>1</v>
      </c>
      <c r="Z113" s="35" cm="1">
        <f t="array" ref="Z113">INT(SUMPRODUCT(--ISNUMBER(SEARCH(bipartisan,C113)))&gt;0)</f>
        <v>0</v>
      </c>
      <c r="AA113" s="35">
        <f t="shared" si="1"/>
        <v>0</v>
      </c>
      <c r="AB113" s="14"/>
      <c r="AC113" s="30">
        <v>1</v>
      </c>
      <c r="AD113" s="37">
        <v>0</v>
      </c>
    </row>
    <row r="114" spans="1:30" x14ac:dyDescent="0.25">
      <c r="A114" s="36">
        <v>3081</v>
      </c>
      <c r="B114" s="14" t="s">
        <v>6187</v>
      </c>
      <c r="C114" s="14" t="s">
        <v>6188</v>
      </c>
      <c r="D114" s="17">
        <v>44123</v>
      </c>
      <c r="E114" s="14" t="s">
        <v>30</v>
      </c>
      <c r="F114" s="14">
        <v>10</v>
      </c>
      <c r="G114" s="14">
        <v>7</v>
      </c>
      <c r="H114" s="14">
        <v>14</v>
      </c>
      <c r="I114" s="14">
        <v>7</v>
      </c>
      <c r="J114" s="14" t="s">
        <v>31</v>
      </c>
      <c r="K114" s="14" cm="1">
        <f t="array" ref="K114">INT(SUMPRODUCT(--ISNUMBER(SEARCH(economy,C114)))&gt;0)</f>
        <v>0</v>
      </c>
      <c r="L114" s="14" cm="1">
        <f t="array" ref="L114">INT(SUMPRODUCT(--ISNUMBER(SEARCH(healthcare,C114)))&gt;0)</f>
        <v>0</v>
      </c>
      <c r="M114" s="14" cm="1">
        <f t="array" ref="M114">INT(SUMPRODUCT(--ISNUMBER(SEARCH(supreme,C114)))&gt;0)</f>
        <v>0</v>
      </c>
      <c r="N114" s="14" cm="1">
        <f t="array" ref="N114">INT(SUMPRODUCT(--ISNUMBER(SEARCH(covid,C114)))&gt;0)</f>
        <v>0</v>
      </c>
      <c r="O114" s="14" cm="1">
        <f t="array" ref="O114">INT(SUMPRODUCT(--ISNUMBER(SEARCH(violent,C114)))&gt;0)</f>
        <v>0</v>
      </c>
      <c r="P114" s="14" cm="1">
        <f t="array" ref="P114">INT(SUMPRODUCT(--ISNUMBER(SEARCH(foreign,C114)))&gt;0)</f>
        <v>0</v>
      </c>
      <c r="Q114" s="14" cm="1">
        <f t="array" ref="Q114">INT(SUMPRODUCT(--ISNUMBER(SEARCH(gun,C114)))&gt;0)</f>
        <v>0</v>
      </c>
      <c r="R114" s="14" cm="1">
        <f t="array" ref="R114">INT(SUMPRODUCT(--ISNUMBER(SEARCH(race,C114)))&gt;0)</f>
        <v>0</v>
      </c>
      <c r="S114" s="14" cm="1">
        <f t="array" ref="S114">INT(SUMPRODUCT(--ISNUMBER(SEARCH(immigration,C114)))&gt;0)</f>
        <v>0</v>
      </c>
      <c r="T114" s="14" cm="1">
        <f t="array" ref="T114">INT(SUMPRODUCT(--ISNUMBER(SEARCH(econineq,C115)))&gt;0)</f>
        <v>0</v>
      </c>
      <c r="U114" s="14" cm="1">
        <f t="array" ref="U114">INT(SUMPRODUCT(--ISNUMBER(SEARCH(climate,C114)))&gt;0)</f>
        <v>0</v>
      </c>
      <c r="V114" s="14" cm="1">
        <f t="array" ref="V114">INT(SUMPRODUCT(--ISNUMBER(SEARCH(abortion,C114)))&gt;0)</f>
        <v>0</v>
      </c>
      <c r="W114" s="14" cm="1">
        <f t="array" ref="W114">INT(SUMPRODUCT(--ISNUMBER(SEARCH(trump,C114)))&gt;0)</f>
        <v>0</v>
      </c>
      <c r="X114" s="14" cm="1">
        <f t="array" ref="X114">INT(SUMPRODUCT(--ISNUMBER(SEARCH(voting,C114)))&gt;0)</f>
        <v>1</v>
      </c>
      <c r="Y114" s="35" cm="1">
        <f t="array" ref="Y114">INT(SUMPRODUCT(--ISNUMBER(SEARCH(republicantrigger,C114)))&gt;0)</f>
        <v>0</v>
      </c>
      <c r="Z114" s="35" cm="1">
        <f t="array" ref="Z114">INT(SUMPRODUCT(--ISNUMBER(SEARCH(bipartisan,C114)))&gt;0)</f>
        <v>0</v>
      </c>
      <c r="AA114" s="35">
        <f t="shared" si="1"/>
        <v>0</v>
      </c>
      <c r="AB114" s="14"/>
      <c r="AC114" s="30">
        <v>1</v>
      </c>
      <c r="AD114" s="37">
        <v>0</v>
      </c>
    </row>
    <row r="115" spans="1:30" x14ac:dyDescent="0.25">
      <c r="A115" s="36">
        <v>3082</v>
      </c>
      <c r="B115" s="14" t="s">
        <v>6189</v>
      </c>
      <c r="C115" s="14" t="s">
        <v>6190</v>
      </c>
      <c r="D115" s="17">
        <v>44123</v>
      </c>
      <c r="E115" s="14" t="s">
        <v>30</v>
      </c>
      <c r="F115" s="14">
        <v>34</v>
      </c>
      <c r="G115" s="14">
        <v>14</v>
      </c>
      <c r="H115" s="14">
        <v>14</v>
      </c>
      <c r="I115" s="14">
        <v>7</v>
      </c>
      <c r="J115" s="14" t="s">
        <v>31</v>
      </c>
      <c r="K115" s="14" cm="1">
        <f t="array" ref="K115">INT(SUMPRODUCT(--ISNUMBER(SEARCH(economy,C115)))&gt;0)</f>
        <v>0</v>
      </c>
      <c r="L115" s="14" cm="1">
        <f t="array" ref="L115">INT(SUMPRODUCT(--ISNUMBER(SEARCH(healthcare,C115)))&gt;0)</f>
        <v>0</v>
      </c>
      <c r="M115" s="14" cm="1">
        <f t="array" ref="M115">INT(SUMPRODUCT(--ISNUMBER(SEARCH(supreme,C115)))&gt;0)</f>
        <v>0</v>
      </c>
      <c r="N115" s="14" cm="1">
        <f t="array" ref="N115">INT(SUMPRODUCT(--ISNUMBER(SEARCH(covid,C115)))&gt;0)</f>
        <v>0</v>
      </c>
      <c r="O115" s="14" cm="1">
        <f t="array" ref="O115">INT(SUMPRODUCT(--ISNUMBER(SEARCH(violent,C115)))&gt;0)</f>
        <v>0</v>
      </c>
      <c r="P115" s="14" cm="1">
        <f t="array" ref="P115">INT(SUMPRODUCT(--ISNUMBER(SEARCH(foreign,C115)))&gt;0)</f>
        <v>0</v>
      </c>
      <c r="Q115" s="14" cm="1">
        <f t="array" ref="Q115">INT(SUMPRODUCT(--ISNUMBER(SEARCH(gun,C115)))&gt;0)</f>
        <v>0</v>
      </c>
      <c r="R115" s="14" cm="1">
        <f t="array" ref="R115">INT(SUMPRODUCT(--ISNUMBER(SEARCH(race,C115)))&gt;0)</f>
        <v>0</v>
      </c>
      <c r="S115" s="14" cm="1">
        <f t="array" ref="S115">INT(SUMPRODUCT(--ISNUMBER(SEARCH(immigration,C115)))&gt;0)</f>
        <v>0</v>
      </c>
      <c r="T115" s="14" cm="1">
        <f t="array" ref="T115">INT(SUMPRODUCT(--ISNUMBER(SEARCH(econineq,C116)))&gt;0)</f>
        <v>0</v>
      </c>
      <c r="U115" s="14" cm="1">
        <f t="array" ref="U115">INT(SUMPRODUCT(--ISNUMBER(SEARCH(climate,C115)))&gt;0)</f>
        <v>0</v>
      </c>
      <c r="V115" s="14" cm="1">
        <f t="array" ref="V115">INT(SUMPRODUCT(--ISNUMBER(SEARCH(abortion,C115)))&gt;0)</f>
        <v>0</v>
      </c>
      <c r="W115" s="14" cm="1">
        <f t="array" ref="W115">INT(SUMPRODUCT(--ISNUMBER(SEARCH(trump,C115)))&gt;0)</f>
        <v>0</v>
      </c>
      <c r="X115" s="14" cm="1">
        <f t="array" ref="X115">INT(SUMPRODUCT(--ISNUMBER(SEARCH(voting,C115)))&gt;0)</f>
        <v>0</v>
      </c>
      <c r="Y115" s="35" cm="1">
        <f t="array" ref="Y115">INT(SUMPRODUCT(--ISNUMBER(SEARCH(republicantrigger,C115)))&gt;0)</f>
        <v>0</v>
      </c>
      <c r="Z115" s="35" cm="1">
        <f t="array" ref="Z115">INT(SUMPRODUCT(--ISNUMBER(SEARCH(bipartisan,C115)))&gt;0)</f>
        <v>0</v>
      </c>
      <c r="AA115" s="35">
        <f t="shared" si="1"/>
        <v>1</v>
      </c>
      <c r="AB115" s="14"/>
      <c r="AC115" s="30">
        <v>1</v>
      </c>
      <c r="AD115" s="37">
        <v>0</v>
      </c>
    </row>
    <row r="116" spans="1:30" x14ac:dyDescent="0.25">
      <c r="A116" s="36">
        <v>3083</v>
      </c>
      <c r="B116" s="14" t="s">
        <v>6191</v>
      </c>
      <c r="C116" s="14" t="s">
        <v>6192</v>
      </c>
      <c r="D116" s="17">
        <v>44123</v>
      </c>
      <c r="E116" s="14" t="s">
        <v>30</v>
      </c>
      <c r="F116" s="14">
        <v>10</v>
      </c>
      <c r="G116" s="14">
        <v>5</v>
      </c>
      <c r="H116" s="14">
        <v>14</v>
      </c>
      <c r="I116" s="14">
        <v>7</v>
      </c>
      <c r="J116" s="14" t="s">
        <v>31</v>
      </c>
      <c r="K116" s="14" cm="1">
        <f t="array" ref="K116">INT(SUMPRODUCT(--ISNUMBER(SEARCH(economy,C116)))&gt;0)</f>
        <v>0</v>
      </c>
      <c r="L116" s="14" cm="1">
        <f t="array" ref="L116">INT(SUMPRODUCT(--ISNUMBER(SEARCH(healthcare,C116)))&gt;0)</f>
        <v>0</v>
      </c>
      <c r="M116" s="14" cm="1">
        <f t="array" ref="M116">INT(SUMPRODUCT(--ISNUMBER(SEARCH(supreme,C116)))&gt;0)</f>
        <v>0</v>
      </c>
      <c r="N116" s="14" cm="1">
        <f t="array" ref="N116">INT(SUMPRODUCT(--ISNUMBER(SEARCH(covid,C116)))&gt;0)</f>
        <v>0</v>
      </c>
      <c r="O116" s="14" cm="1">
        <f t="array" ref="O116">INT(SUMPRODUCT(--ISNUMBER(SEARCH(violent,C116)))&gt;0)</f>
        <v>0</v>
      </c>
      <c r="P116" s="14" cm="1">
        <f t="array" ref="P116">INT(SUMPRODUCT(--ISNUMBER(SEARCH(foreign,C116)))&gt;0)</f>
        <v>0</v>
      </c>
      <c r="Q116" s="14" cm="1">
        <f t="array" ref="Q116">INT(SUMPRODUCT(--ISNUMBER(SEARCH(gun,C116)))&gt;0)</f>
        <v>0</v>
      </c>
      <c r="R116" s="14" cm="1">
        <f t="array" ref="R116">INT(SUMPRODUCT(--ISNUMBER(SEARCH(race,C116)))&gt;0)</f>
        <v>0</v>
      </c>
      <c r="S116" s="14" cm="1">
        <f t="array" ref="S116">INT(SUMPRODUCT(--ISNUMBER(SEARCH(immigration,C116)))&gt;0)</f>
        <v>0</v>
      </c>
      <c r="T116" s="14" cm="1">
        <f t="array" ref="T116">INT(SUMPRODUCT(--ISNUMBER(SEARCH(econineq,C117)))&gt;0)</f>
        <v>0</v>
      </c>
      <c r="U116" s="14" cm="1">
        <f t="array" ref="U116">INT(SUMPRODUCT(--ISNUMBER(SEARCH(climate,C116)))&gt;0)</f>
        <v>0</v>
      </c>
      <c r="V116" s="14" cm="1">
        <f t="array" ref="V116">INT(SUMPRODUCT(--ISNUMBER(SEARCH(abortion,C116)))&gt;0)</f>
        <v>0</v>
      </c>
      <c r="W116" s="14" cm="1">
        <f t="array" ref="W116">INT(SUMPRODUCT(--ISNUMBER(SEARCH(trump,C116)))&gt;0)</f>
        <v>0</v>
      </c>
      <c r="X116" s="14" cm="1">
        <f t="array" ref="X116">INT(SUMPRODUCT(--ISNUMBER(SEARCH(voting,C116)))&gt;0)</f>
        <v>1</v>
      </c>
      <c r="Y116" s="35" cm="1">
        <f t="array" ref="Y116">INT(SUMPRODUCT(--ISNUMBER(SEARCH(republicantrigger,C116)))&gt;0)</f>
        <v>0</v>
      </c>
      <c r="Z116" s="35" cm="1">
        <f t="array" ref="Z116">INT(SUMPRODUCT(--ISNUMBER(SEARCH(bipartisan,C116)))&gt;0)</f>
        <v>0</v>
      </c>
      <c r="AA116" s="35">
        <f t="shared" si="1"/>
        <v>0</v>
      </c>
      <c r="AB116" s="14"/>
      <c r="AC116" s="30" t="s">
        <v>223</v>
      </c>
      <c r="AD116" s="37" t="s">
        <v>223</v>
      </c>
    </row>
    <row r="117" spans="1:30" x14ac:dyDescent="0.25">
      <c r="A117" s="36">
        <v>3084</v>
      </c>
      <c r="B117" s="14" t="s">
        <v>6193</v>
      </c>
      <c r="C117" s="14" t="s">
        <v>6194</v>
      </c>
      <c r="D117" s="17">
        <v>44123</v>
      </c>
      <c r="E117" s="14" t="s">
        <v>30</v>
      </c>
      <c r="F117" s="14">
        <v>9</v>
      </c>
      <c r="G117" s="14">
        <v>2</v>
      </c>
      <c r="H117" s="14">
        <v>14</v>
      </c>
      <c r="I117" s="14">
        <v>7</v>
      </c>
      <c r="J117" s="14" t="s">
        <v>31</v>
      </c>
      <c r="K117" s="14" cm="1">
        <f t="array" ref="K117">INT(SUMPRODUCT(--ISNUMBER(SEARCH(economy,C117)))&gt;0)</f>
        <v>0</v>
      </c>
      <c r="L117" s="14" cm="1">
        <f t="array" ref="L117">INT(SUMPRODUCT(--ISNUMBER(SEARCH(healthcare,C117)))&gt;0)</f>
        <v>0</v>
      </c>
      <c r="M117" s="14" cm="1">
        <f t="array" ref="M117">INT(SUMPRODUCT(--ISNUMBER(SEARCH(supreme,C117)))&gt;0)</f>
        <v>0</v>
      </c>
      <c r="N117" s="14" cm="1">
        <f t="array" ref="N117">INT(SUMPRODUCT(--ISNUMBER(SEARCH(covid,C117)))&gt;0)</f>
        <v>1</v>
      </c>
      <c r="O117" s="14" cm="1">
        <f t="array" ref="O117">INT(SUMPRODUCT(--ISNUMBER(SEARCH(violent,C117)))&gt;0)</f>
        <v>0</v>
      </c>
      <c r="P117" s="14" cm="1">
        <f t="array" ref="P117">INT(SUMPRODUCT(--ISNUMBER(SEARCH(foreign,C117)))&gt;0)</f>
        <v>0</v>
      </c>
      <c r="Q117" s="14" cm="1">
        <f t="array" ref="Q117">INT(SUMPRODUCT(--ISNUMBER(SEARCH(gun,C117)))&gt;0)</f>
        <v>0</v>
      </c>
      <c r="R117" s="14" cm="1">
        <f t="array" ref="R117">INT(SUMPRODUCT(--ISNUMBER(SEARCH(race,C117)))&gt;0)</f>
        <v>0</v>
      </c>
      <c r="S117" s="14" cm="1">
        <f t="array" ref="S117">INT(SUMPRODUCT(--ISNUMBER(SEARCH(immigration,C117)))&gt;0)</f>
        <v>0</v>
      </c>
      <c r="T117" s="14" cm="1">
        <f t="array" ref="T117">INT(SUMPRODUCT(--ISNUMBER(SEARCH(econineq,C118)))&gt;0)</f>
        <v>0</v>
      </c>
      <c r="U117" s="14" cm="1">
        <f t="array" ref="U117">INT(SUMPRODUCT(--ISNUMBER(SEARCH(climate,C117)))&gt;0)</f>
        <v>0</v>
      </c>
      <c r="V117" s="14" cm="1">
        <f t="array" ref="V117">INT(SUMPRODUCT(--ISNUMBER(SEARCH(abortion,C117)))&gt;0)</f>
        <v>0</v>
      </c>
      <c r="W117" s="14" cm="1">
        <f t="array" ref="W117">INT(SUMPRODUCT(--ISNUMBER(SEARCH(trump,C117)))&gt;0)</f>
        <v>0</v>
      </c>
      <c r="X117" s="14" cm="1">
        <f t="array" ref="X117">INT(SUMPRODUCT(--ISNUMBER(SEARCH(voting,C117)))&gt;0)</f>
        <v>0</v>
      </c>
      <c r="Y117" s="35" cm="1">
        <f t="array" ref="Y117">INT(SUMPRODUCT(--ISNUMBER(SEARCH(republicantrigger,C117)))&gt;0)</f>
        <v>1</v>
      </c>
      <c r="Z117" s="35" cm="1">
        <f t="array" ref="Z117">INT(SUMPRODUCT(--ISNUMBER(SEARCH(bipartisan,C117)))&gt;0)</f>
        <v>0</v>
      </c>
      <c r="AA117" s="35">
        <f t="shared" si="1"/>
        <v>0</v>
      </c>
      <c r="AB117" s="14"/>
      <c r="AC117" s="30" t="s">
        <v>223</v>
      </c>
      <c r="AD117" s="37" t="s">
        <v>223</v>
      </c>
    </row>
    <row r="118" spans="1:30" x14ac:dyDescent="0.25">
      <c r="A118" s="36">
        <v>3085</v>
      </c>
      <c r="B118" s="14" t="s">
        <v>6195</v>
      </c>
      <c r="C118" s="14" t="s">
        <v>6196</v>
      </c>
      <c r="D118" s="17">
        <v>44123</v>
      </c>
      <c r="E118" s="14" t="s">
        <v>30</v>
      </c>
      <c r="F118" s="14">
        <v>8</v>
      </c>
      <c r="G118" s="14">
        <v>3</v>
      </c>
      <c r="H118" s="14">
        <v>14</v>
      </c>
      <c r="I118" s="14">
        <v>7</v>
      </c>
      <c r="J118" s="14" t="s">
        <v>31</v>
      </c>
      <c r="K118" s="14" cm="1">
        <f t="array" ref="K118">INT(SUMPRODUCT(--ISNUMBER(SEARCH(economy,C118)))&gt;0)</f>
        <v>0</v>
      </c>
      <c r="L118" s="14" cm="1">
        <f t="array" ref="L118">INT(SUMPRODUCT(--ISNUMBER(SEARCH(healthcare,C118)))&gt;0)</f>
        <v>0</v>
      </c>
      <c r="M118" s="14" cm="1">
        <f t="array" ref="M118">INT(SUMPRODUCT(--ISNUMBER(SEARCH(supreme,C118)))&gt;0)</f>
        <v>0</v>
      </c>
      <c r="N118" s="14" cm="1">
        <f t="array" ref="N118">INT(SUMPRODUCT(--ISNUMBER(SEARCH(covid,C118)))&gt;0)</f>
        <v>0</v>
      </c>
      <c r="O118" s="14" cm="1">
        <f t="array" ref="O118">INT(SUMPRODUCT(--ISNUMBER(SEARCH(violent,C118)))&gt;0)</f>
        <v>0</v>
      </c>
      <c r="P118" s="14" cm="1">
        <f t="array" ref="P118">INT(SUMPRODUCT(--ISNUMBER(SEARCH(foreign,C118)))&gt;0)</f>
        <v>0</v>
      </c>
      <c r="Q118" s="14" cm="1">
        <f t="array" ref="Q118">INT(SUMPRODUCT(--ISNUMBER(SEARCH(gun,C118)))&gt;0)</f>
        <v>0</v>
      </c>
      <c r="R118" s="14" cm="1">
        <f t="array" ref="R118">INT(SUMPRODUCT(--ISNUMBER(SEARCH(race,C118)))&gt;0)</f>
        <v>0</v>
      </c>
      <c r="S118" s="14" cm="1">
        <f t="array" ref="S118">INT(SUMPRODUCT(--ISNUMBER(SEARCH(immigration,C118)))&gt;0)</f>
        <v>0</v>
      </c>
      <c r="T118" s="14" cm="1">
        <f t="array" ref="T118">INT(SUMPRODUCT(--ISNUMBER(SEARCH(econineq,C119)))&gt;0)</f>
        <v>0</v>
      </c>
      <c r="U118" s="14" cm="1">
        <f t="array" ref="U118">INT(SUMPRODUCT(--ISNUMBER(SEARCH(climate,C118)))&gt;0)</f>
        <v>0</v>
      </c>
      <c r="V118" s="14" cm="1">
        <f t="array" ref="V118">INT(SUMPRODUCT(--ISNUMBER(SEARCH(abortion,C118)))&gt;0)</f>
        <v>0</v>
      </c>
      <c r="W118" s="14" cm="1">
        <f t="array" ref="W118">INT(SUMPRODUCT(--ISNUMBER(SEARCH(trump,C118)))&gt;0)</f>
        <v>0</v>
      </c>
      <c r="X118" s="14" cm="1">
        <f t="array" ref="X118">INT(SUMPRODUCT(--ISNUMBER(SEARCH(voting,C118)))&gt;0)</f>
        <v>0</v>
      </c>
      <c r="Y118" s="35" cm="1">
        <f t="array" ref="Y118">INT(SUMPRODUCT(--ISNUMBER(SEARCH(republicantrigger,C118)))&gt;0)</f>
        <v>0</v>
      </c>
      <c r="Z118" s="35" cm="1">
        <f t="array" ref="Z118">INT(SUMPRODUCT(--ISNUMBER(SEARCH(bipartisan,C118)))&gt;0)</f>
        <v>0</v>
      </c>
      <c r="AA118" s="35">
        <f t="shared" si="1"/>
        <v>1</v>
      </c>
      <c r="AB118" s="14"/>
      <c r="AC118" s="30" t="s">
        <v>223</v>
      </c>
      <c r="AD118" s="37" t="s">
        <v>223</v>
      </c>
    </row>
    <row r="119" spans="1:30" x14ac:dyDescent="0.25">
      <c r="A119" s="36">
        <v>3086</v>
      </c>
      <c r="B119" s="14" t="s">
        <v>6197</v>
      </c>
      <c r="C119" s="14" t="s">
        <v>6198</v>
      </c>
      <c r="D119" s="17">
        <v>44123</v>
      </c>
      <c r="E119" s="14" t="s">
        <v>30</v>
      </c>
      <c r="F119" s="14">
        <v>23</v>
      </c>
      <c r="G119" s="14">
        <v>17</v>
      </c>
      <c r="H119" s="14">
        <v>14</v>
      </c>
      <c r="I119" s="14">
        <v>7</v>
      </c>
      <c r="J119" s="14" t="s">
        <v>31</v>
      </c>
      <c r="K119" s="14" cm="1">
        <f t="array" ref="K119">INT(SUMPRODUCT(--ISNUMBER(SEARCH(economy,C119)))&gt;0)</f>
        <v>0</v>
      </c>
      <c r="L119" s="14" cm="1">
        <f t="array" ref="L119">INT(SUMPRODUCT(--ISNUMBER(SEARCH(healthcare,C119)))&gt;0)</f>
        <v>0</v>
      </c>
      <c r="M119" s="14" cm="1">
        <f t="array" ref="M119">INT(SUMPRODUCT(--ISNUMBER(SEARCH(supreme,C119)))&gt;0)</f>
        <v>1</v>
      </c>
      <c r="N119" s="14" cm="1">
        <f t="array" ref="N119">INT(SUMPRODUCT(--ISNUMBER(SEARCH(covid,C119)))&gt;0)</f>
        <v>0</v>
      </c>
      <c r="O119" s="14" cm="1">
        <f t="array" ref="O119">INT(SUMPRODUCT(--ISNUMBER(SEARCH(violent,C119)))&gt;0)</f>
        <v>0</v>
      </c>
      <c r="P119" s="14" cm="1">
        <f t="array" ref="P119">INT(SUMPRODUCT(--ISNUMBER(SEARCH(foreign,C119)))&gt;0)</f>
        <v>0</v>
      </c>
      <c r="Q119" s="14" cm="1">
        <f t="array" ref="Q119">INT(SUMPRODUCT(--ISNUMBER(SEARCH(gun,C119)))&gt;0)</f>
        <v>0</v>
      </c>
      <c r="R119" s="14" cm="1">
        <f t="array" ref="R119">INT(SUMPRODUCT(--ISNUMBER(SEARCH(race,C119)))&gt;0)</f>
        <v>0</v>
      </c>
      <c r="S119" s="14" cm="1">
        <f t="array" ref="S119">INT(SUMPRODUCT(--ISNUMBER(SEARCH(immigration,C119)))&gt;0)</f>
        <v>0</v>
      </c>
      <c r="T119" s="14" cm="1">
        <f t="array" ref="T119">INT(SUMPRODUCT(--ISNUMBER(SEARCH(econineq,C120)))&gt;0)</f>
        <v>0</v>
      </c>
      <c r="U119" s="14" cm="1">
        <f t="array" ref="U119">INT(SUMPRODUCT(--ISNUMBER(SEARCH(climate,C119)))&gt;0)</f>
        <v>0</v>
      </c>
      <c r="V119" s="14" cm="1">
        <f t="array" ref="V119">INT(SUMPRODUCT(--ISNUMBER(SEARCH(abortion,C119)))&gt;0)</f>
        <v>0</v>
      </c>
      <c r="W119" s="14" cm="1">
        <f t="array" ref="W119">INT(SUMPRODUCT(--ISNUMBER(SEARCH(trump,C119)))&gt;0)</f>
        <v>0</v>
      </c>
      <c r="X119" s="14" cm="1">
        <f t="array" ref="X119">INT(SUMPRODUCT(--ISNUMBER(SEARCH(voting,C119)))&gt;0)</f>
        <v>0</v>
      </c>
      <c r="Y119" s="35" cm="1">
        <f t="array" ref="Y119">INT(SUMPRODUCT(--ISNUMBER(SEARCH(republicantrigger,C119)))&gt;0)</f>
        <v>1</v>
      </c>
      <c r="Z119" s="35" cm="1">
        <f t="array" ref="Z119">INT(SUMPRODUCT(--ISNUMBER(SEARCH(bipartisan,C119)))&gt;0)</f>
        <v>0</v>
      </c>
      <c r="AA119" s="35">
        <f t="shared" si="1"/>
        <v>0</v>
      </c>
      <c r="AB119" s="14"/>
      <c r="AC119" s="30" t="s">
        <v>223</v>
      </c>
      <c r="AD119" s="37" t="s">
        <v>223</v>
      </c>
    </row>
    <row r="120" spans="1:30" x14ac:dyDescent="0.25">
      <c r="A120" s="36">
        <v>3087</v>
      </c>
      <c r="B120" s="14" t="s">
        <v>6199</v>
      </c>
      <c r="C120" s="14" t="s">
        <v>6200</v>
      </c>
      <c r="D120" s="17">
        <v>44122</v>
      </c>
      <c r="E120" s="14" t="s">
        <v>30</v>
      </c>
      <c r="F120" s="14">
        <v>9</v>
      </c>
      <c r="G120" s="14">
        <v>1</v>
      </c>
      <c r="H120" s="14">
        <v>14</v>
      </c>
      <c r="I120" s="14">
        <v>7</v>
      </c>
      <c r="J120" s="14" t="s">
        <v>31</v>
      </c>
      <c r="K120" s="14" cm="1">
        <f t="array" ref="K120">INT(SUMPRODUCT(--ISNUMBER(SEARCH(economy,C120)))&gt;0)</f>
        <v>0</v>
      </c>
      <c r="L120" s="14" cm="1">
        <f t="array" ref="L120">INT(SUMPRODUCT(--ISNUMBER(SEARCH(healthcare,C120)))&gt;0)</f>
        <v>0</v>
      </c>
      <c r="M120" s="14" cm="1">
        <f t="array" ref="M120">INT(SUMPRODUCT(--ISNUMBER(SEARCH(supreme,C120)))&gt;0)</f>
        <v>0</v>
      </c>
      <c r="N120" s="14" cm="1">
        <f t="array" ref="N120">INT(SUMPRODUCT(--ISNUMBER(SEARCH(covid,C120)))&gt;0)</f>
        <v>0</v>
      </c>
      <c r="O120" s="14" cm="1">
        <f t="array" ref="O120">INT(SUMPRODUCT(--ISNUMBER(SEARCH(violent,C120)))&gt;0)</f>
        <v>0</v>
      </c>
      <c r="P120" s="14" cm="1">
        <f t="array" ref="P120">INT(SUMPRODUCT(--ISNUMBER(SEARCH(foreign,C120)))&gt;0)</f>
        <v>0</v>
      </c>
      <c r="Q120" s="14" cm="1">
        <f t="array" ref="Q120">INT(SUMPRODUCT(--ISNUMBER(SEARCH(gun,C120)))&gt;0)</f>
        <v>0</v>
      </c>
      <c r="R120" s="14" cm="1">
        <f t="array" ref="R120">INT(SUMPRODUCT(--ISNUMBER(SEARCH(race,C120)))&gt;0)</f>
        <v>0</v>
      </c>
      <c r="S120" s="14" cm="1">
        <f t="array" ref="S120">INT(SUMPRODUCT(--ISNUMBER(SEARCH(immigration,C120)))&gt;0)</f>
        <v>0</v>
      </c>
      <c r="T120" s="14" cm="1">
        <f t="array" ref="T120">INT(SUMPRODUCT(--ISNUMBER(SEARCH(econineq,C121)))&gt;0)</f>
        <v>0</v>
      </c>
      <c r="U120" s="14" cm="1">
        <f t="array" ref="U120">INT(SUMPRODUCT(--ISNUMBER(SEARCH(climate,C120)))&gt;0)</f>
        <v>0</v>
      </c>
      <c r="V120" s="14" cm="1">
        <f t="array" ref="V120">INT(SUMPRODUCT(--ISNUMBER(SEARCH(abortion,C120)))&gt;0)</f>
        <v>0</v>
      </c>
      <c r="W120" s="14" cm="1">
        <f t="array" ref="W120">INT(SUMPRODUCT(--ISNUMBER(SEARCH(trump,C120)))&gt;0)</f>
        <v>1</v>
      </c>
      <c r="X120" s="14" cm="1">
        <f t="array" ref="X120">INT(SUMPRODUCT(--ISNUMBER(SEARCH(voting,C120)))&gt;0)</f>
        <v>1</v>
      </c>
      <c r="Y120" s="35" cm="1">
        <f t="array" ref="Y120">INT(SUMPRODUCT(--ISNUMBER(SEARCH(republicantrigger,C120)))&gt;0)</f>
        <v>0</v>
      </c>
      <c r="Z120" s="35" cm="1">
        <f t="array" ref="Z120">INT(SUMPRODUCT(--ISNUMBER(SEARCH(bipartisan,C120)))&gt;0)</f>
        <v>0</v>
      </c>
      <c r="AA120" s="35">
        <f t="shared" si="1"/>
        <v>0</v>
      </c>
      <c r="AB120" s="14"/>
      <c r="AC120" s="30" t="s">
        <v>223</v>
      </c>
      <c r="AD120" s="37" t="s">
        <v>223</v>
      </c>
    </row>
    <row r="121" spans="1:30" x14ac:dyDescent="0.25">
      <c r="A121" s="36">
        <v>3088</v>
      </c>
      <c r="B121" s="14" t="s">
        <v>6201</v>
      </c>
      <c r="C121" s="14" t="s">
        <v>6202</v>
      </c>
      <c r="D121" s="17">
        <v>44122</v>
      </c>
      <c r="E121" s="14" t="s">
        <v>30</v>
      </c>
      <c r="F121" s="14">
        <v>17</v>
      </c>
      <c r="G121" s="14">
        <v>5</v>
      </c>
      <c r="H121" s="14">
        <v>14</v>
      </c>
      <c r="I121" s="14">
        <v>7</v>
      </c>
      <c r="J121" s="14" t="s">
        <v>31</v>
      </c>
      <c r="K121" s="14" cm="1">
        <f t="array" ref="K121">INT(SUMPRODUCT(--ISNUMBER(SEARCH(economy,C121)))&gt;0)</f>
        <v>0</v>
      </c>
      <c r="L121" s="14" cm="1">
        <f t="array" ref="L121">INT(SUMPRODUCT(--ISNUMBER(SEARCH(healthcare,C121)))&gt;0)</f>
        <v>0</v>
      </c>
      <c r="M121" s="14" cm="1">
        <f t="array" ref="M121">INT(SUMPRODUCT(--ISNUMBER(SEARCH(supreme,C121)))&gt;0)</f>
        <v>0</v>
      </c>
      <c r="N121" s="14" cm="1">
        <f t="array" ref="N121">INT(SUMPRODUCT(--ISNUMBER(SEARCH(covid,C121)))&gt;0)</f>
        <v>0</v>
      </c>
      <c r="O121" s="14" cm="1">
        <f t="array" ref="O121">INT(SUMPRODUCT(--ISNUMBER(SEARCH(violent,C121)))&gt;0)</f>
        <v>0</v>
      </c>
      <c r="P121" s="14" cm="1">
        <f t="array" ref="P121">INT(SUMPRODUCT(--ISNUMBER(SEARCH(foreign,C121)))&gt;0)</f>
        <v>0</v>
      </c>
      <c r="Q121" s="14" cm="1">
        <f t="array" ref="Q121">INT(SUMPRODUCT(--ISNUMBER(SEARCH(gun,C121)))&gt;0)</f>
        <v>0</v>
      </c>
      <c r="R121" s="14" cm="1">
        <f t="array" ref="R121">INT(SUMPRODUCT(--ISNUMBER(SEARCH(race,C121)))&gt;0)</f>
        <v>0</v>
      </c>
      <c r="S121" s="14" cm="1">
        <f t="array" ref="S121">INT(SUMPRODUCT(--ISNUMBER(SEARCH(immigration,C121)))&gt;0)</f>
        <v>0</v>
      </c>
      <c r="T121" s="14" cm="1">
        <f t="array" ref="T121">INT(SUMPRODUCT(--ISNUMBER(SEARCH(econineq,C122)))&gt;0)</f>
        <v>0</v>
      </c>
      <c r="U121" s="14" cm="1">
        <f t="array" ref="U121">INT(SUMPRODUCT(--ISNUMBER(SEARCH(climate,C121)))&gt;0)</f>
        <v>0</v>
      </c>
      <c r="V121" s="14" cm="1">
        <f t="array" ref="V121">INT(SUMPRODUCT(--ISNUMBER(SEARCH(abortion,C121)))&gt;0)</f>
        <v>0</v>
      </c>
      <c r="W121" s="14" cm="1">
        <f t="array" ref="W121">INT(SUMPRODUCT(--ISNUMBER(SEARCH(trump,C121)))&gt;0)</f>
        <v>0</v>
      </c>
      <c r="X121" s="14" cm="1">
        <f t="array" ref="X121">INT(SUMPRODUCT(--ISNUMBER(SEARCH(voting,C121)))&gt;0)</f>
        <v>0</v>
      </c>
      <c r="Y121" s="35" cm="1">
        <f t="array" ref="Y121">INT(SUMPRODUCT(--ISNUMBER(SEARCH(republicantrigger,C121)))&gt;0)</f>
        <v>0</v>
      </c>
      <c r="Z121" s="35" cm="1">
        <f t="array" ref="Z121">INT(SUMPRODUCT(--ISNUMBER(SEARCH(bipartisan,C121)))&gt;0)</f>
        <v>0</v>
      </c>
      <c r="AA121" s="35">
        <f t="shared" si="1"/>
        <v>1</v>
      </c>
      <c r="AB121" s="14"/>
      <c r="AC121" s="30" t="s">
        <v>223</v>
      </c>
      <c r="AD121" s="37" t="s">
        <v>223</v>
      </c>
    </row>
    <row r="122" spans="1:30" x14ac:dyDescent="0.25">
      <c r="A122" s="36">
        <v>3089</v>
      </c>
      <c r="B122" s="14" t="s">
        <v>6203</v>
      </c>
      <c r="C122" s="14" t="s">
        <v>6204</v>
      </c>
      <c r="D122" s="17">
        <v>44121</v>
      </c>
      <c r="E122" s="14" t="s">
        <v>30</v>
      </c>
      <c r="F122" s="14">
        <v>29</v>
      </c>
      <c r="G122" s="14">
        <v>9</v>
      </c>
      <c r="H122" s="14">
        <v>14</v>
      </c>
      <c r="I122" s="14">
        <v>7</v>
      </c>
      <c r="J122" s="14" t="s">
        <v>31</v>
      </c>
      <c r="K122" s="14" cm="1">
        <f t="array" ref="K122">INT(SUMPRODUCT(--ISNUMBER(SEARCH(economy,C122)))&gt;0)</f>
        <v>0</v>
      </c>
      <c r="L122" s="14" cm="1">
        <f t="array" ref="L122">INT(SUMPRODUCT(--ISNUMBER(SEARCH(healthcare,C122)))&gt;0)</f>
        <v>0</v>
      </c>
      <c r="M122" s="14" cm="1">
        <f t="array" ref="M122">INT(SUMPRODUCT(--ISNUMBER(SEARCH(supreme,C122)))&gt;0)</f>
        <v>0</v>
      </c>
      <c r="N122" s="14" cm="1">
        <f t="array" ref="N122">INT(SUMPRODUCT(--ISNUMBER(SEARCH(covid,C122)))&gt;0)</f>
        <v>0</v>
      </c>
      <c r="O122" s="14" cm="1">
        <f t="array" ref="O122">INT(SUMPRODUCT(--ISNUMBER(SEARCH(violent,C122)))&gt;0)</f>
        <v>0</v>
      </c>
      <c r="P122" s="14" cm="1">
        <f t="array" ref="P122">INT(SUMPRODUCT(--ISNUMBER(SEARCH(foreign,C122)))&gt;0)</f>
        <v>0</v>
      </c>
      <c r="Q122" s="14" cm="1">
        <f t="array" ref="Q122">INT(SUMPRODUCT(--ISNUMBER(SEARCH(gun,C122)))&gt;0)</f>
        <v>0</v>
      </c>
      <c r="R122" s="14" cm="1">
        <f t="array" ref="R122">INT(SUMPRODUCT(--ISNUMBER(SEARCH(race,C122)))&gt;0)</f>
        <v>0</v>
      </c>
      <c r="S122" s="14" cm="1">
        <f t="array" ref="S122">INT(SUMPRODUCT(--ISNUMBER(SEARCH(immigration,C122)))&gt;0)</f>
        <v>0</v>
      </c>
      <c r="T122" s="14" cm="1">
        <f t="array" ref="T122">INT(SUMPRODUCT(--ISNUMBER(SEARCH(econineq,C123)))&gt;0)</f>
        <v>0</v>
      </c>
      <c r="U122" s="14" cm="1">
        <f t="array" ref="U122">INT(SUMPRODUCT(--ISNUMBER(SEARCH(climate,C122)))&gt;0)</f>
        <v>0</v>
      </c>
      <c r="V122" s="14" cm="1">
        <f t="array" ref="V122">INT(SUMPRODUCT(--ISNUMBER(SEARCH(abortion,C122)))&gt;0)</f>
        <v>0</v>
      </c>
      <c r="W122" s="14" cm="1">
        <f t="array" ref="W122">INT(SUMPRODUCT(--ISNUMBER(SEARCH(trump,C122)))&gt;0)</f>
        <v>0</v>
      </c>
      <c r="X122" s="14" cm="1">
        <f t="array" ref="X122">INT(SUMPRODUCT(--ISNUMBER(SEARCH(voting,C122)))&gt;0)</f>
        <v>0</v>
      </c>
      <c r="Y122" s="35" cm="1">
        <f t="array" ref="Y122">INT(SUMPRODUCT(--ISNUMBER(SEARCH(republicantrigger,C122)))&gt;0)</f>
        <v>1</v>
      </c>
      <c r="Z122" s="35" cm="1">
        <f t="array" ref="Z122">INT(SUMPRODUCT(--ISNUMBER(SEARCH(bipartisan,C122)))&gt;0)</f>
        <v>0</v>
      </c>
      <c r="AA122" s="35">
        <f t="shared" si="1"/>
        <v>0</v>
      </c>
      <c r="AB122" s="14"/>
      <c r="AC122" s="30">
        <v>1</v>
      </c>
      <c r="AD122" s="37">
        <v>0</v>
      </c>
    </row>
    <row r="123" spans="1:30" x14ac:dyDescent="0.25">
      <c r="A123" s="36">
        <v>3090</v>
      </c>
      <c r="B123" s="14" t="s">
        <v>6205</v>
      </c>
      <c r="C123" s="14" t="s">
        <v>6206</v>
      </c>
      <c r="D123" s="17">
        <v>44121</v>
      </c>
      <c r="E123" s="14" t="s">
        <v>30</v>
      </c>
      <c r="F123" s="14">
        <v>15</v>
      </c>
      <c r="G123" s="14">
        <v>7</v>
      </c>
      <c r="H123" s="14">
        <v>14</v>
      </c>
      <c r="I123" s="14">
        <v>7</v>
      </c>
      <c r="J123" s="14" t="s">
        <v>31</v>
      </c>
      <c r="K123" s="14" cm="1">
        <f t="array" ref="K123">INT(SUMPRODUCT(--ISNUMBER(SEARCH(economy,C123)))&gt;0)</f>
        <v>0</v>
      </c>
      <c r="L123" s="14" cm="1">
        <f t="array" ref="L123">INT(SUMPRODUCT(--ISNUMBER(SEARCH(healthcare,C123)))&gt;0)</f>
        <v>0</v>
      </c>
      <c r="M123" s="14" cm="1">
        <f t="array" ref="M123">INT(SUMPRODUCT(--ISNUMBER(SEARCH(supreme,C123)))&gt;0)</f>
        <v>0</v>
      </c>
      <c r="N123" s="14" cm="1">
        <f t="array" ref="N123">INT(SUMPRODUCT(--ISNUMBER(SEARCH(covid,C123)))&gt;0)</f>
        <v>0</v>
      </c>
      <c r="O123" s="14" cm="1">
        <f t="array" ref="O123">INT(SUMPRODUCT(--ISNUMBER(SEARCH(violent,C123)))&gt;0)</f>
        <v>0</v>
      </c>
      <c r="P123" s="14" cm="1">
        <f t="array" ref="P123">INT(SUMPRODUCT(--ISNUMBER(SEARCH(foreign,C123)))&gt;0)</f>
        <v>0</v>
      </c>
      <c r="Q123" s="14" cm="1">
        <f t="array" ref="Q123">INT(SUMPRODUCT(--ISNUMBER(SEARCH(gun,C123)))&gt;0)</f>
        <v>0</v>
      </c>
      <c r="R123" s="14" cm="1">
        <f t="array" ref="R123">INT(SUMPRODUCT(--ISNUMBER(SEARCH(race,C123)))&gt;0)</f>
        <v>0</v>
      </c>
      <c r="S123" s="14" cm="1">
        <f t="array" ref="S123">INT(SUMPRODUCT(--ISNUMBER(SEARCH(immigration,C123)))&gt;0)</f>
        <v>0</v>
      </c>
      <c r="T123" s="14" cm="1">
        <f t="array" ref="T123">INT(SUMPRODUCT(--ISNUMBER(SEARCH(econineq,C124)))&gt;0)</f>
        <v>0</v>
      </c>
      <c r="U123" s="14" cm="1">
        <f t="array" ref="U123">INT(SUMPRODUCT(--ISNUMBER(SEARCH(climate,C123)))&gt;0)</f>
        <v>0</v>
      </c>
      <c r="V123" s="14" cm="1">
        <f t="array" ref="V123">INT(SUMPRODUCT(--ISNUMBER(SEARCH(abortion,C123)))&gt;0)</f>
        <v>0</v>
      </c>
      <c r="W123" s="14" cm="1">
        <f t="array" ref="W123">INT(SUMPRODUCT(--ISNUMBER(SEARCH(trump,C123)))&gt;0)</f>
        <v>0</v>
      </c>
      <c r="X123" s="14" cm="1">
        <f t="array" ref="X123">INT(SUMPRODUCT(--ISNUMBER(SEARCH(voting,C123)))&gt;0)</f>
        <v>0</v>
      </c>
      <c r="Y123" s="35" cm="1">
        <f t="array" ref="Y123">INT(SUMPRODUCT(--ISNUMBER(SEARCH(republicantrigger,C123)))&gt;0)</f>
        <v>1</v>
      </c>
      <c r="Z123" s="35" cm="1">
        <f t="array" ref="Z123">INT(SUMPRODUCT(--ISNUMBER(SEARCH(bipartisan,C123)))&gt;0)</f>
        <v>0</v>
      </c>
      <c r="AA123" s="35">
        <f t="shared" si="1"/>
        <v>0</v>
      </c>
      <c r="AB123" s="14"/>
      <c r="AC123" s="30">
        <v>1</v>
      </c>
      <c r="AD123" s="37">
        <v>0</v>
      </c>
    </row>
    <row r="124" spans="1:30" x14ac:dyDescent="0.25">
      <c r="A124" s="36">
        <v>3091</v>
      </c>
      <c r="B124" s="14" t="s">
        <v>6207</v>
      </c>
      <c r="C124" s="14" t="s">
        <v>6208</v>
      </c>
      <c r="D124" s="17">
        <v>44121</v>
      </c>
      <c r="E124" s="14" t="s">
        <v>30</v>
      </c>
      <c r="F124" s="14">
        <v>11</v>
      </c>
      <c r="G124" s="14">
        <v>6</v>
      </c>
      <c r="H124" s="14">
        <v>14</v>
      </c>
      <c r="I124" s="14">
        <v>7</v>
      </c>
      <c r="J124" s="14" t="s">
        <v>31</v>
      </c>
      <c r="K124" s="14" cm="1">
        <f t="array" ref="K124">INT(SUMPRODUCT(--ISNUMBER(SEARCH(economy,C124)))&gt;0)</f>
        <v>0</v>
      </c>
      <c r="L124" s="14" cm="1">
        <f t="array" ref="L124">INT(SUMPRODUCT(--ISNUMBER(SEARCH(healthcare,C124)))&gt;0)</f>
        <v>0</v>
      </c>
      <c r="M124" s="14" cm="1">
        <f t="array" ref="M124">INT(SUMPRODUCT(--ISNUMBER(SEARCH(supreme,C124)))&gt;0)</f>
        <v>0</v>
      </c>
      <c r="N124" s="14" cm="1">
        <f t="array" ref="N124">INT(SUMPRODUCT(--ISNUMBER(SEARCH(covid,C124)))&gt;0)</f>
        <v>0</v>
      </c>
      <c r="O124" s="14" cm="1">
        <f t="array" ref="O124">INT(SUMPRODUCT(--ISNUMBER(SEARCH(violent,C124)))&gt;0)</f>
        <v>0</v>
      </c>
      <c r="P124" s="14" cm="1">
        <f t="array" ref="P124">INT(SUMPRODUCT(--ISNUMBER(SEARCH(foreign,C124)))&gt;0)</f>
        <v>0</v>
      </c>
      <c r="Q124" s="14" cm="1">
        <f t="array" ref="Q124">INT(SUMPRODUCT(--ISNUMBER(SEARCH(gun,C124)))&gt;0)</f>
        <v>0</v>
      </c>
      <c r="R124" s="14" cm="1">
        <f t="array" ref="R124">INT(SUMPRODUCT(--ISNUMBER(SEARCH(race,C124)))&gt;0)</f>
        <v>0</v>
      </c>
      <c r="S124" s="14" cm="1">
        <f t="array" ref="S124">INT(SUMPRODUCT(--ISNUMBER(SEARCH(immigration,C124)))&gt;0)</f>
        <v>0</v>
      </c>
      <c r="T124" s="14" cm="1">
        <f t="array" ref="T124">INT(SUMPRODUCT(--ISNUMBER(SEARCH(econineq,C125)))&gt;0)</f>
        <v>0</v>
      </c>
      <c r="U124" s="14" cm="1">
        <f t="array" ref="U124">INT(SUMPRODUCT(--ISNUMBER(SEARCH(climate,C124)))&gt;0)</f>
        <v>0</v>
      </c>
      <c r="V124" s="14" cm="1">
        <f t="array" ref="V124">INT(SUMPRODUCT(--ISNUMBER(SEARCH(abortion,C124)))&gt;0)</f>
        <v>0</v>
      </c>
      <c r="W124" s="14" cm="1">
        <f t="array" ref="W124">INT(SUMPRODUCT(--ISNUMBER(SEARCH(trump,C124)))&gt;0)</f>
        <v>0</v>
      </c>
      <c r="X124" s="14" cm="1">
        <f t="array" ref="X124">INT(SUMPRODUCT(--ISNUMBER(SEARCH(voting,C124)))&gt;0)</f>
        <v>1</v>
      </c>
      <c r="Y124" s="35" cm="1">
        <f t="array" ref="Y124">INT(SUMPRODUCT(--ISNUMBER(SEARCH(republicantrigger,C124)))&gt;0)</f>
        <v>1</v>
      </c>
      <c r="Z124" s="35" cm="1">
        <f t="array" ref="Z124">INT(SUMPRODUCT(--ISNUMBER(SEARCH(bipartisan,C124)))&gt;0)</f>
        <v>0</v>
      </c>
      <c r="AA124" s="35">
        <f t="shared" si="1"/>
        <v>0</v>
      </c>
      <c r="AB124" s="14"/>
      <c r="AC124" s="30">
        <v>0</v>
      </c>
      <c r="AD124" s="37">
        <v>1</v>
      </c>
    </row>
    <row r="125" spans="1:30" x14ac:dyDescent="0.25">
      <c r="A125" s="36">
        <v>3092</v>
      </c>
      <c r="B125" s="14" t="s">
        <v>6209</v>
      </c>
      <c r="C125" s="14" t="s">
        <v>6210</v>
      </c>
      <c r="D125" s="17">
        <v>44121</v>
      </c>
      <c r="E125" s="14" t="s">
        <v>30</v>
      </c>
      <c r="F125" s="14">
        <v>10</v>
      </c>
      <c r="G125" s="14">
        <v>5</v>
      </c>
      <c r="H125" s="14">
        <v>14</v>
      </c>
      <c r="I125" s="14">
        <v>7</v>
      </c>
      <c r="J125" s="14" t="s">
        <v>31</v>
      </c>
      <c r="K125" s="14" cm="1">
        <f t="array" ref="K125">INT(SUMPRODUCT(--ISNUMBER(SEARCH(economy,C125)))&gt;0)</f>
        <v>0</v>
      </c>
      <c r="L125" s="14" cm="1">
        <f t="array" ref="L125">INT(SUMPRODUCT(--ISNUMBER(SEARCH(healthcare,C125)))&gt;0)</f>
        <v>0</v>
      </c>
      <c r="M125" s="14" cm="1">
        <f t="array" ref="M125">INT(SUMPRODUCT(--ISNUMBER(SEARCH(supreme,C125)))&gt;0)</f>
        <v>0</v>
      </c>
      <c r="N125" s="14" cm="1">
        <f t="array" ref="N125">INT(SUMPRODUCT(--ISNUMBER(SEARCH(covid,C125)))&gt;0)</f>
        <v>0</v>
      </c>
      <c r="O125" s="14" cm="1">
        <f t="array" ref="O125">INT(SUMPRODUCT(--ISNUMBER(SEARCH(violent,C125)))&gt;0)</f>
        <v>0</v>
      </c>
      <c r="P125" s="14" cm="1">
        <f t="array" ref="P125">INT(SUMPRODUCT(--ISNUMBER(SEARCH(foreign,C125)))&gt;0)</f>
        <v>0</v>
      </c>
      <c r="Q125" s="14" cm="1">
        <f t="array" ref="Q125">INT(SUMPRODUCT(--ISNUMBER(SEARCH(gun,C125)))&gt;0)</f>
        <v>0</v>
      </c>
      <c r="R125" s="14" cm="1">
        <f t="array" ref="R125">INT(SUMPRODUCT(--ISNUMBER(SEARCH(race,C125)))&gt;0)</f>
        <v>0</v>
      </c>
      <c r="S125" s="14" cm="1">
        <f t="array" ref="S125">INT(SUMPRODUCT(--ISNUMBER(SEARCH(immigration,C125)))&gt;0)</f>
        <v>0</v>
      </c>
      <c r="T125" s="14" cm="1">
        <f t="array" ref="T125">INT(SUMPRODUCT(--ISNUMBER(SEARCH(econineq,C126)))&gt;0)</f>
        <v>0</v>
      </c>
      <c r="U125" s="14" cm="1">
        <f t="array" ref="U125">INT(SUMPRODUCT(--ISNUMBER(SEARCH(climate,C125)))&gt;0)</f>
        <v>0</v>
      </c>
      <c r="V125" s="14" cm="1">
        <f t="array" ref="V125">INT(SUMPRODUCT(--ISNUMBER(SEARCH(abortion,C125)))&gt;0)</f>
        <v>0</v>
      </c>
      <c r="W125" s="14" cm="1">
        <f t="array" ref="W125">INT(SUMPRODUCT(--ISNUMBER(SEARCH(trump,C125)))&gt;0)</f>
        <v>0</v>
      </c>
      <c r="X125" s="14" cm="1">
        <f t="array" ref="X125">INT(SUMPRODUCT(--ISNUMBER(SEARCH(voting,C125)))&gt;0)</f>
        <v>0</v>
      </c>
      <c r="Y125" s="35" cm="1">
        <f t="array" ref="Y125">INT(SUMPRODUCT(--ISNUMBER(SEARCH(republicantrigger,C125)))&gt;0)</f>
        <v>0</v>
      </c>
      <c r="Z125" s="35" cm="1">
        <f t="array" ref="Z125">INT(SUMPRODUCT(--ISNUMBER(SEARCH(bipartisan,C125)))&gt;0)</f>
        <v>0</v>
      </c>
      <c r="AA125" s="35">
        <f t="shared" si="1"/>
        <v>1</v>
      </c>
      <c r="AB125" s="14"/>
      <c r="AC125" s="30" t="s">
        <v>223</v>
      </c>
      <c r="AD125" s="37" t="s">
        <v>223</v>
      </c>
    </row>
    <row r="126" spans="1:30" x14ac:dyDescent="0.25">
      <c r="A126" s="36">
        <v>3093</v>
      </c>
      <c r="B126" s="14" t="s">
        <v>6211</v>
      </c>
      <c r="C126" s="14" t="s">
        <v>6212</v>
      </c>
      <c r="D126" s="17">
        <v>44121</v>
      </c>
      <c r="E126" s="14" t="s">
        <v>30</v>
      </c>
      <c r="F126" s="14">
        <v>7</v>
      </c>
      <c r="G126" s="14">
        <v>5</v>
      </c>
      <c r="H126" s="14">
        <v>14</v>
      </c>
      <c r="I126" s="14">
        <v>7</v>
      </c>
      <c r="J126" s="14" t="s">
        <v>31</v>
      </c>
      <c r="K126" s="14" cm="1">
        <f t="array" ref="K126">INT(SUMPRODUCT(--ISNUMBER(SEARCH(economy,C126)))&gt;0)</f>
        <v>0</v>
      </c>
      <c r="L126" s="14" cm="1">
        <f t="array" ref="L126">INT(SUMPRODUCT(--ISNUMBER(SEARCH(healthcare,C126)))&gt;0)</f>
        <v>0</v>
      </c>
      <c r="M126" s="14" cm="1">
        <f t="array" ref="M126">INT(SUMPRODUCT(--ISNUMBER(SEARCH(supreme,C126)))&gt;0)</f>
        <v>0</v>
      </c>
      <c r="N126" s="14" cm="1">
        <f t="array" ref="N126">INT(SUMPRODUCT(--ISNUMBER(SEARCH(covid,C126)))&gt;0)</f>
        <v>0</v>
      </c>
      <c r="O126" s="14" cm="1">
        <f t="array" ref="O126">INT(SUMPRODUCT(--ISNUMBER(SEARCH(violent,C126)))&gt;0)</f>
        <v>0</v>
      </c>
      <c r="P126" s="14" cm="1">
        <f t="array" ref="P126">INT(SUMPRODUCT(--ISNUMBER(SEARCH(foreign,C126)))&gt;0)</f>
        <v>0</v>
      </c>
      <c r="Q126" s="14" cm="1">
        <f t="array" ref="Q126">INT(SUMPRODUCT(--ISNUMBER(SEARCH(gun,C126)))&gt;0)</f>
        <v>0</v>
      </c>
      <c r="R126" s="14" cm="1">
        <f t="array" ref="R126">INT(SUMPRODUCT(--ISNUMBER(SEARCH(race,C126)))&gt;0)</f>
        <v>0</v>
      </c>
      <c r="S126" s="14" cm="1">
        <f t="array" ref="S126">INT(SUMPRODUCT(--ISNUMBER(SEARCH(immigration,C126)))&gt;0)</f>
        <v>0</v>
      </c>
      <c r="T126" s="14" cm="1">
        <f t="array" ref="T126">INT(SUMPRODUCT(--ISNUMBER(SEARCH(econineq,C127)))&gt;0)</f>
        <v>0</v>
      </c>
      <c r="U126" s="14" cm="1">
        <f t="array" ref="U126">INT(SUMPRODUCT(--ISNUMBER(SEARCH(climate,C126)))&gt;0)</f>
        <v>0</v>
      </c>
      <c r="V126" s="14" cm="1">
        <f t="array" ref="V126">INT(SUMPRODUCT(--ISNUMBER(SEARCH(abortion,C126)))&gt;0)</f>
        <v>0</v>
      </c>
      <c r="W126" s="14" cm="1">
        <f t="array" ref="W126">INT(SUMPRODUCT(--ISNUMBER(SEARCH(trump,C126)))&gt;0)</f>
        <v>0</v>
      </c>
      <c r="X126" s="14" cm="1">
        <f t="array" ref="X126">INT(SUMPRODUCT(--ISNUMBER(SEARCH(voting,C126)))&gt;0)</f>
        <v>0</v>
      </c>
      <c r="Y126" s="35" cm="1">
        <f t="array" ref="Y126">INT(SUMPRODUCT(--ISNUMBER(SEARCH(republicantrigger,C126)))&gt;0)</f>
        <v>0</v>
      </c>
      <c r="Z126" s="35" cm="1">
        <f t="array" ref="Z126">INT(SUMPRODUCT(--ISNUMBER(SEARCH(bipartisan,C126)))&gt;0)</f>
        <v>0</v>
      </c>
      <c r="AA126" s="35">
        <f t="shared" si="1"/>
        <v>1</v>
      </c>
      <c r="AB126" s="14"/>
      <c r="AC126" s="30" t="s">
        <v>223</v>
      </c>
      <c r="AD126" s="37" t="s">
        <v>223</v>
      </c>
    </row>
    <row r="127" spans="1:30" x14ac:dyDescent="0.25">
      <c r="A127" s="36">
        <v>3094</v>
      </c>
      <c r="B127" s="14" t="s">
        <v>6213</v>
      </c>
      <c r="C127" s="14" t="s">
        <v>6214</v>
      </c>
      <c r="D127" s="17">
        <v>44120</v>
      </c>
      <c r="E127" s="14" t="s">
        <v>30</v>
      </c>
      <c r="F127" s="14">
        <v>33</v>
      </c>
      <c r="G127" s="14">
        <v>17</v>
      </c>
      <c r="H127" s="14">
        <v>14</v>
      </c>
      <c r="I127" s="14">
        <v>7</v>
      </c>
      <c r="J127" s="14" t="s">
        <v>31</v>
      </c>
      <c r="K127" s="14" cm="1">
        <f t="array" ref="K127">INT(SUMPRODUCT(--ISNUMBER(SEARCH(economy,C127)))&gt;0)</f>
        <v>0</v>
      </c>
      <c r="L127" s="14" cm="1">
        <f t="array" ref="L127">INT(SUMPRODUCT(--ISNUMBER(SEARCH(healthcare,C127)))&gt;0)</f>
        <v>0</v>
      </c>
      <c r="M127" s="14" cm="1">
        <f t="array" ref="M127">INT(SUMPRODUCT(--ISNUMBER(SEARCH(supreme,C127)))&gt;0)</f>
        <v>0</v>
      </c>
      <c r="N127" s="14" cm="1">
        <f t="array" ref="N127">INT(SUMPRODUCT(--ISNUMBER(SEARCH(covid,C127)))&gt;0)</f>
        <v>1</v>
      </c>
      <c r="O127" s="14" cm="1">
        <f t="array" ref="O127">INT(SUMPRODUCT(--ISNUMBER(SEARCH(violent,C127)))&gt;0)</f>
        <v>0</v>
      </c>
      <c r="P127" s="14" cm="1">
        <f t="array" ref="P127">INT(SUMPRODUCT(--ISNUMBER(SEARCH(foreign,C127)))&gt;0)</f>
        <v>0</v>
      </c>
      <c r="Q127" s="14" cm="1">
        <f t="array" ref="Q127">INT(SUMPRODUCT(--ISNUMBER(SEARCH(gun,C127)))&gt;0)</f>
        <v>0</v>
      </c>
      <c r="R127" s="14" cm="1">
        <f t="array" ref="R127">INT(SUMPRODUCT(--ISNUMBER(SEARCH(race,C127)))&gt;0)</f>
        <v>0</v>
      </c>
      <c r="S127" s="14" cm="1">
        <f t="array" ref="S127">INT(SUMPRODUCT(--ISNUMBER(SEARCH(immigration,C127)))&gt;0)</f>
        <v>0</v>
      </c>
      <c r="T127" s="14" cm="1">
        <f t="array" ref="T127">INT(SUMPRODUCT(--ISNUMBER(SEARCH(econineq,C128)))&gt;0)</f>
        <v>0</v>
      </c>
      <c r="U127" s="14" cm="1">
        <f t="array" ref="U127">INT(SUMPRODUCT(--ISNUMBER(SEARCH(climate,C127)))&gt;0)</f>
        <v>0</v>
      </c>
      <c r="V127" s="14" cm="1">
        <f t="array" ref="V127">INT(SUMPRODUCT(--ISNUMBER(SEARCH(abortion,C127)))&gt;0)</f>
        <v>0</v>
      </c>
      <c r="W127" s="14" cm="1">
        <f t="array" ref="W127">INT(SUMPRODUCT(--ISNUMBER(SEARCH(trump,C127)))&gt;0)</f>
        <v>0</v>
      </c>
      <c r="X127" s="14" cm="1">
        <f t="array" ref="X127">INT(SUMPRODUCT(--ISNUMBER(SEARCH(voting,C127)))&gt;0)</f>
        <v>0</v>
      </c>
      <c r="Y127" s="35" cm="1">
        <f t="array" ref="Y127">INT(SUMPRODUCT(--ISNUMBER(SEARCH(republicantrigger,C127)))&gt;0)</f>
        <v>1</v>
      </c>
      <c r="Z127" s="35" cm="1">
        <f t="array" ref="Z127">INT(SUMPRODUCT(--ISNUMBER(SEARCH(bipartisan,C127)))&gt;0)</f>
        <v>0</v>
      </c>
      <c r="AA127" s="35">
        <f t="shared" si="1"/>
        <v>0</v>
      </c>
      <c r="AB127" s="14"/>
      <c r="AC127" s="30" t="s">
        <v>223</v>
      </c>
      <c r="AD127" s="37" t="s">
        <v>223</v>
      </c>
    </row>
    <row r="128" spans="1:30" x14ac:dyDescent="0.25">
      <c r="A128" s="36">
        <v>3095</v>
      </c>
      <c r="B128" s="14" t="s">
        <v>6215</v>
      </c>
      <c r="C128" s="14" t="s">
        <v>6216</v>
      </c>
      <c r="D128" s="17">
        <v>44120</v>
      </c>
      <c r="E128" s="14" t="s">
        <v>30</v>
      </c>
      <c r="F128" s="14">
        <v>20</v>
      </c>
      <c r="G128" s="14">
        <v>7</v>
      </c>
      <c r="H128" s="14">
        <v>14</v>
      </c>
      <c r="I128" s="14">
        <v>7</v>
      </c>
      <c r="J128" s="14" t="s">
        <v>31</v>
      </c>
      <c r="K128" s="14" cm="1">
        <f t="array" ref="K128">INT(SUMPRODUCT(--ISNUMBER(SEARCH(economy,C128)))&gt;0)</f>
        <v>0</v>
      </c>
      <c r="L128" s="14" cm="1">
        <f t="array" ref="L128">INT(SUMPRODUCT(--ISNUMBER(SEARCH(healthcare,C128)))&gt;0)</f>
        <v>0</v>
      </c>
      <c r="M128" s="14" cm="1">
        <f t="array" ref="M128">INT(SUMPRODUCT(--ISNUMBER(SEARCH(supreme,C128)))&gt;0)</f>
        <v>0</v>
      </c>
      <c r="N128" s="14" cm="1">
        <f t="array" ref="N128">INT(SUMPRODUCT(--ISNUMBER(SEARCH(covid,C128)))&gt;0)</f>
        <v>0</v>
      </c>
      <c r="O128" s="14" cm="1">
        <f t="array" ref="O128">INT(SUMPRODUCT(--ISNUMBER(SEARCH(violent,C128)))&gt;0)</f>
        <v>0</v>
      </c>
      <c r="P128" s="14" cm="1">
        <f t="array" ref="P128">INT(SUMPRODUCT(--ISNUMBER(SEARCH(foreign,C128)))&gt;0)</f>
        <v>0</v>
      </c>
      <c r="Q128" s="14" cm="1">
        <f t="array" ref="Q128">INT(SUMPRODUCT(--ISNUMBER(SEARCH(gun,C128)))&gt;0)</f>
        <v>0</v>
      </c>
      <c r="R128" s="14" cm="1">
        <f t="array" ref="R128">INT(SUMPRODUCT(--ISNUMBER(SEARCH(race,C128)))&gt;0)</f>
        <v>0</v>
      </c>
      <c r="S128" s="14" cm="1">
        <f t="array" ref="S128">INT(SUMPRODUCT(--ISNUMBER(SEARCH(immigration,C128)))&gt;0)</f>
        <v>0</v>
      </c>
      <c r="T128" s="14" cm="1">
        <f t="array" ref="T128">INT(SUMPRODUCT(--ISNUMBER(SEARCH(econineq,C129)))&gt;0)</f>
        <v>0</v>
      </c>
      <c r="U128" s="14" cm="1">
        <f t="array" ref="U128">INT(SUMPRODUCT(--ISNUMBER(SEARCH(climate,C128)))&gt;0)</f>
        <v>0</v>
      </c>
      <c r="V128" s="14" cm="1">
        <f t="array" ref="V128">INT(SUMPRODUCT(--ISNUMBER(SEARCH(abortion,C128)))&gt;0)</f>
        <v>0</v>
      </c>
      <c r="W128" s="14" cm="1">
        <f t="array" ref="W128">INT(SUMPRODUCT(--ISNUMBER(SEARCH(trump,C128)))&gt;0)</f>
        <v>0</v>
      </c>
      <c r="X128" s="14" cm="1">
        <f t="array" ref="X128">INT(SUMPRODUCT(--ISNUMBER(SEARCH(voting,C128)))&gt;0)</f>
        <v>0</v>
      </c>
      <c r="Y128" s="35" cm="1">
        <f t="array" ref="Y128">INT(SUMPRODUCT(--ISNUMBER(SEARCH(republicantrigger,C128)))&gt;0)</f>
        <v>0</v>
      </c>
      <c r="Z128" s="35" cm="1">
        <f t="array" ref="Z128">INT(SUMPRODUCT(--ISNUMBER(SEARCH(bipartisan,C128)))&gt;0)</f>
        <v>0</v>
      </c>
      <c r="AA128" s="35">
        <f t="shared" si="1"/>
        <v>1</v>
      </c>
      <c r="AB128" s="14"/>
      <c r="AC128" s="30" t="s">
        <v>223</v>
      </c>
      <c r="AD128" s="37" t="s">
        <v>223</v>
      </c>
    </row>
    <row r="129" spans="1:30" x14ac:dyDescent="0.25">
      <c r="A129" s="36">
        <v>3096</v>
      </c>
      <c r="B129" s="14" t="s">
        <v>6217</v>
      </c>
      <c r="C129" s="14" t="s">
        <v>6218</v>
      </c>
      <c r="D129" s="17">
        <v>44120</v>
      </c>
      <c r="E129" s="14" t="s">
        <v>30</v>
      </c>
      <c r="F129" s="14">
        <v>8</v>
      </c>
      <c r="G129" s="14">
        <v>2</v>
      </c>
      <c r="H129" s="14">
        <v>14</v>
      </c>
      <c r="I129" s="14">
        <v>7</v>
      </c>
      <c r="J129" s="14" t="s">
        <v>31</v>
      </c>
      <c r="K129" s="14" cm="1">
        <f t="array" ref="K129">INT(SUMPRODUCT(--ISNUMBER(SEARCH(economy,C129)))&gt;0)</f>
        <v>0</v>
      </c>
      <c r="L129" s="14" cm="1">
        <f t="array" ref="L129">INT(SUMPRODUCT(--ISNUMBER(SEARCH(healthcare,C129)))&gt;0)</f>
        <v>0</v>
      </c>
      <c r="M129" s="14" cm="1">
        <f t="array" ref="M129">INT(SUMPRODUCT(--ISNUMBER(SEARCH(supreme,C129)))&gt;0)</f>
        <v>0</v>
      </c>
      <c r="N129" s="14" cm="1">
        <f t="array" ref="N129">INT(SUMPRODUCT(--ISNUMBER(SEARCH(covid,C129)))&gt;0)</f>
        <v>0</v>
      </c>
      <c r="O129" s="14" cm="1">
        <f t="array" ref="O129">INT(SUMPRODUCT(--ISNUMBER(SEARCH(violent,C129)))&gt;0)</f>
        <v>0</v>
      </c>
      <c r="P129" s="14" cm="1">
        <f t="array" ref="P129">INT(SUMPRODUCT(--ISNUMBER(SEARCH(foreign,C129)))&gt;0)</f>
        <v>0</v>
      </c>
      <c r="Q129" s="14" cm="1">
        <f t="array" ref="Q129">INT(SUMPRODUCT(--ISNUMBER(SEARCH(gun,C129)))&gt;0)</f>
        <v>0</v>
      </c>
      <c r="R129" s="14" cm="1">
        <f t="array" ref="R129">INT(SUMPRODUCT(--ISNUMBER(SEARCH(race,C129)))&gt;0)</f>
        <v>0</v>
      </c>
      <c r="S129" s="14" cm="1">
        <f t="array" ref="S129">INT(SUMPRODUCT(--ISNUMBER(SEARCH(immigration,C129)))&gt;0)</f>
        <v>0</v>
      </c>
      <c r="T129" s="14" cm="1">
        <f t="array" ref="T129">INT(SUMPRODUCT(--ISNUMBER(SEARCH(econineq,C130)))&gt;0)</f>
        <v>0</v>
      </c>
      <c r="U129" s="14" cm="1">
        <f t="array" ref="U129">INT(SUMPRODUCT(--ISNUMBER(SEARCH(climate,C129)))&gt;0)</f>
        <v>0</v>
      </c>
      <c r="V129" s="14" cm="1">
        <f t="array" ref="V129">INT(SUMPRODUCT(--ISNUMBER(SEARCH(abortion,C129)))&gt;0)</f>
        <v>0</v>
      </c>
      <c r="W129" s="14" cm="1">
        <f t="array" ref="W129">INT(SUMPRODUCT(--ISNUMBER(SEARCH(trump,C129)))&gt;0)</f>
        <v>0</v>
      </c>
      <c r="X129" s="14" cm="1">
        <f t="array" ref="X129">INT(SUMPRODUCT(--ISNUMBER(SEARCH(voting,C129)))&gt;0)</f>
        <v>0</v>
      </c>
      <c r="Y129" s="35" cm="1">
        <f t="array" ref="Y129">INT(SUMPRODUCT(--ISNUMBER(SEARCH(republicantrigger,C129)))&gt;0)</f>
        <v>0</v>
      </c>
      <c r="Z129" s="35" cm="1">
        <f t="array" ref="Z129">INT(SUMPRODUCT(--ISNUMBER(SEARCH(bipartisan,C129)))&gt;0)</f>
        <v>0</v>
      </c>
      <c r="AA129" s="35">
        <f t="shared" si="1"/>
        <v>1</v>
      </c>
      <c r="AB129" s="14"/>
      <c r="AC129" s="30" t="s">
        <v>223</v>
      </c>
      <c r="AD129" s="37" t="s">
        <v>223</v>
      </c>
    </row>
    <row r="130" spans="1:30" x14ac:dyDescent="0.25">
      <c r="A130" s="36">
        <v>3097</v>
      </c>
      <c r="B130" s="14" t="s">
        <v>6219</v>
      </c>
      <c r="C130" s="14" t="s">
        <v>6220</v>
      </c>
      <c r="D130" s="17">
        <v>44120</v>
      </c>
      <c r="E130" s="14" t="s">
        <v>30</v>
      </c>
      <c r="F130" s="14">
        <v>14</v>
      </c>
      <c r="G130" s="14">
        <v>5</v>
      </c>
      <c r="H130" s="14">
        <v>14</v>
      </c>
      <c r="I130" s="14">
        <v>7</v>
      </c>
      <c r="J130" s="14" t="s">
        <v>31</v>
      </c>
      <c r="K130" s="14" cm="1">
        <f t="array" ref="K130">INT(SUMPRODUCT(--ISNUMBER(SEARCH(economy,C130)))&gt;0)</f>
        <v>1</v>
      </c>
      <c r="L130" s="14" cm="1">
        <f t="array" ref="L130">INT(SUMPRODUCT(--ISNUMBER(SEARCH(healthcare,C130)))&gt;0)</f>
        <v>0</v>
      </c>
      <c r="M130" s="14" cm="1">
        <f t="array" ref="M130">INT(SUMPRODUCT(--ISNUMBER(SEARCH(supreme,C130)))&gt;0)</f>
        <v>0</v>
      </c>
      <c r="N130" s="14" cm="1">
        <f t="array" ref="N130">INT(SUMPRODUCT(--ISNUMBER(SEARCH(covid,C130)))&gt;0)</f>
        <v>0</v>
      </c>
      <c r="O130" s="14" cm="1">
        <f t="array" ref="O130">INT(SUMPRODUCT(--ISNUMBER(SEARCH(violent,C130)))&gt;0)</f>
        <v>0</v>
      </c>
      <c r="P130" s="14" cm="1">
        <f t="array" ref="P130">INT(SUMPRODUCT(--ISNUMBER(SEARCH(foreign,C130)))&gt;0)</f>
        <v>0</v>
      </c>
      <c r="Q130" s="14" cm="1">
        <f t="array" ref="Q130">INT(SUMPRODUCT(--ISNUMBER(SEARCH(gun,C130)))&gt;0)</f>
        <v>0</v>
      </c>
      <c r="R130" s="14" cm="1">
        <f t="array" ref="R130">INT(SUMPRODUCT(--ISNUMBER(SEARCH(race,C130)))&gt;0)</f>
        <v>0</v>
      </c>
      <c r="S130" s="14" cm="1">
        <f t="array" ref="S130">INT(SUMPRODUCT(--ISNUMBER(SEARCH(immigration,C130)))&gt;0)</f>
        <v>0</v>
      </c>
      <c r="T130" s="14" cm="1">
        <f t="array" ref="T130">INT(SUMPRODUCT(--ISNUMBER(SEARCH(econineq,C131)))&gt;0)</f>
        <v>0</v>
      </c>
      <c r="U130" s="14" cm="1">
        <f t="array" ref="U130">INT(SUMPRODUCT(--ISNUMBER(SEARCH(climate,C130)))&gt;0)</f>
        <v>0</v>
      </c>
      <c r="V130" s="14" cm="1">
        <f t="array" ref="V130">INT(SUMPRODUCT(--ISNUMBER(SEARCH(abortion,C130)))&gt;0)</f>
        <v>0</v>
      </c>
      <c r="W130" s="14" cm="1">
        <f t="array" ref="W130">INT(SUMPRODUCT(--ISNUMBER(SEARCH(trump,C130)))&gt;0)</f>
        <v>0</v>
      </c>
      <c r="X130" s="14" cm="1">
        <f t="array" ref="X130">INT(SUMPRODUCT(--ISNUMBER(SEARCH(voting,C130)))&gt;0)</f>
        <v>0</v>
      </c>
      <c r="Y130" s="35" cm="1">
        <f t="array" ref="Y130">INT(SUMPRODUCT(--ISNUMBER(SEARCH(republicantrigger,C130)))&gt;0)</f>
        <v>1</v>
      </c>
      <c r="Z130" s="35" cm="1">
        <f t="array" ref="Z130">INT(SUMPRODUCT(--ISNUMBER(SEARCH(bipartisan,C130)))&gt;0)</f>
        <v>0</v>
      </c>
      <c r="AA130" s="35">
        <f t="shared" si="1"/>
        <v>0</v>
      </c>
      <c r="AB130" s="14"/>
      <c r="AC130" s="30">
        <v>0</v>
      </c>
      <c r="AD130" s="37">
        <v>1</v>
      </c>
    </row>
    <row r="131" spans="1:30" x14ac:dyDescent="0.25">
      <c r="A131" s="36">
        <v>3098</v>
      </c>
      <c r="B131" s="14" t="s">
        <v>6221</v>
      </c>
      <c r="C131" s="14" t="s">
        <v>6222</v>
      </c>
      <c r="D131" s="17">
        <v>44120</v>
      </c>
      <c r="E131" s="14" t="s">
        <v>30</v>
      </c>
      <c r="F131" s="14">
        <v>14</v>
      </c>
      <c r="G131" s="14">
        <v>4</v>
      </c>
      <c r="H131" s="14">
        <v>14</v>
      </c>
      <c r="I131" s="14">
        <v>7</v>
      </c>
      <c r="J131" s="14" t="s">
        <v>31</v>
      </c>
      <c r="K131" s="14" cm="1">
        <f t="array" ref="K131">INT(SUMPRODUCT(--ISNUMBER(SEARCH(economy,C131)))&gt;0)</f>
        <v>0</v>
      </c>
      <c r="L131" s="14" cm="1">
        <f t="array" ref="L131">INT(SUMPRODUCT(--ISNUMBER(SEARCH(healthcare,C131)))&gt;0)</f>
        <v>0</v>
      </c>
      <c r="M131" s="14" cm="1">
        <f t="array" ref="M131">INT(SUMPRODUCT(--ISNUMBER(SEARCH(supreme,C131)))&gt;0)</f>
        <v>1</v>
      </c>
      <c r="N131" s="14" cm="1">
        <f t="array" ref="N131">INT(SUMPRODUCT(--ISNUMBER(SEARCH(covid,C131)))&gt;0)</f>
        <v>0</v>
      </c>
      <c r="O131" s="14" cm="1">
        <f t="array" ref="O131">INT(SUMPRODUCT(--ISNUMBER(SEARCH(violent,C131)))&gt;0)</f>
        <v>0</v>
      </c>
      <c r="P131" s="14" cm="1">
        <f t="array" ref="P131">INT(SUMPRODUCT(--ISNUMBER(SEARCH(foreign,C131)))&gt;0)</f>
        <v>0</v>
      </c>
      <c r="Q131" s="14" cm="1">
        <f t="array" ref="Q131">INT(SUMPRODUCT(--ISNUMBER(SEARCH(gun,C131)))&gt;0)</f>
        <v>0</v>
      </c>
      <c r="R131" s="14" cm="1">
        <f t="array" ref="R131">INT(SUMPRODUCT(--ISNUMBER(SEARCH(race,C131)))&gt;0)</f>
        <v>0</v>
      </c>
      <c r="S131" s="14" cm="1">
        <f t="array" ref="S131">INT(SUMPRODUCT(--ISNUMBER(SEARCH(immigration,C131)))&gt;0)</f>
        <v>0</v>
      </c>
      <c r="T131" s="14" cm="1">
        <f t="array" ref="T131">INT(SUMPRODUCT(--ISNUMBER(SEARCH(econineq,C132)))&gt;0)</f>
        <v>0</v>
      </c>
      <c r="U131" s="14" cm="1">
        <f t="array" ref="U131">INT(SUMPRODUCT(--ISNUMBER(SEARCH(climate,C131)))&gt;0)</f>
        <v>0</v>
      </c>
      <c r="V131" s="14" cm="1">
        <f t="array" ref="V131">INT(SUMPRODUCT(--ISNUMBER(SEARCH(abortion,C131)))&gt;0)</f>
        <v>0</v>
      </c>
      <c r="W131" s="14" cm="1">
        <f t="array" ref="W131">INT(SUMPRODUCT(--ISNUMBER(SEARCH(trump,C131)))&gt;0)</f>
        <v>0</v>
      </c>
      <c r="X131" s="14" cm="1">
        <f t="array" ref="X131">INT(SUMPRODUCT(--ISNUMBER(SEARCH(voting,C131)))&gt;0)</f>
        <v>1</v>
      </c>
      <c r="Y131" s="35" cm="1">
        <f t="array" ref="Y131">INT(SUMPRODUCT(--ISNUMBER(SEARCH(republicantrigger,C131)))&gt;0)</f>
        <v>1</v>
      </c>
      <c r="Z131" s="35" cm="1">
        <f t="array" ref="Z131">INT(SUMPRODUCT(--ISNUMBER(SEARCH(bipartisan,C131)))&gt;0)</f>
        <v>0</v>
      </c>
      <c r="AA131" s="35">
        <f t="shared" ref="AA131:AA194" si="2">INT(IF(COUNTIF(K131:Z131,1)=0,"1","0"))</f>
        <v>0</v>
      </c>
      <c r="AB131" s="14"/>
      <c r="AC131" s="30">
        <v>0</v>
      </c>
      <c r="AD131" s="37">
        <v>1</v>
      </c>
    </row>
    <row r="132" spans="1:30" x14ac:dyDescent="0.25">
      <c r="A132" s="36">
        <v>3099</v>
      </c>
      <c r="B132" s="14" t="s">
        <v>6223</v>
      </c>
      <c r="C132" s="14" t="s">
        <v>6224</v>
      </c>
      <c r="D132" s="17">
        <v>44120</v>
      </c>
      <c r="E132" s="14" t="s">
        <v>30</v>
      </c>
      <c r="F132" s="14">
        <v>21</v>
      </c>
      <c r="G132" s="14">
        <v>8</v>
      </c>
      <c r="H132" s="14">
        <v>14</v>
      </c>
      <c r="I132" s="14">
        <v>7</v>
      </c>
      <c r="J132" s="14" t="s">
        <v>31</v>
      </c>
      <c r="K132" s="14" cm="1">
        <f t="array" ref="K132">INT(SUMPRODUCT(--ISNUMBER(SEARCH(economy,C132)))&gt;0)</f>
        <v>0</v>
      </c>
      <c r="L132" s="14" cm="1">
        <f t="array" ref="L132">INT(SUMPRODUCT(--ISNUMBER(SEARCH(healthcare,C132)))&gt;0)</f>
        <v>0</v>
      </c>
      <c r="M132" s="14" cm="1">
        <f t="array" ref="M132">INT(SUMPRODUCT(--ISNUMBER(SEARCH(supreme,C132)))&gt;0)</f>
        <v>1</v>
      </c>
      <c r="N132" s="14" cm="1">
        <f t="array" ref="N132">INT(SUMPRODUCT(--ISNUMBER(SEARCH(covid,C132)))&gt;0)</f>
        <v>0</v>
      </c>
      <c r="O132" s="14" cm="1">
        <f t="array" ref="O132">INT(SUMPRODUCT(--ISNUMBER(SEARCH(violent,C132)))&gt;0)</f>
        <v>0</v>
      </c>
      <c r="P132" s="14" cm="1">
        <f t="array" ref="P132">INT(SUMPRODUCT(--ISNUMBER(SEARCH(foreign,C132)))&gt;0)</f>
        <v>0</v>
      </c>
      <c r="Q132" s="14" cm="1">
        <f t="array" ref="Q132">INT(SUMPRODUCT(--ISNUMBER(SEARCH(gun,C132)))&gt;0)</f>
        <v>0</v>
      </c>
      <c r="R132" s="14" cm="1">
        <f t="array" ref="R132">INT(SUMPRODUCT(--ISNUMBER(SEARCH(race,C132)))&gt;0)</f>
        <v>0</v>
      </c>
      <c r="S132" s="14" cm="1">
        <f t="array" ref="S132">INT(SUMPRODUCT(--ISNUMBER(SEARCH(immigration,C132)))&gt;0)</f>
        <v>0</v>
      </c>
      <c r="T132" s="14" cm="1">
        <f t="array" ref="T132">INT(SUMPRODUCT(--ISNUMBER(SEARCH(econineq,C133)))&gt;0)</f>
        <v>0</v>
      </c>
      <c r="U132" s="14" cm="1">
        <f t="array" ref="U132">INT(SUMPRODUCT(--ISNUMBER(SEARCH(climate,C132)))&gt;0)</f>
        <v>0</v>
      </c>
      <c r="V132" s="14" cm="1">
        <f t="array" ref="V132">INT(SUMPRODUCT(--ISNUMBER(SEARCH(abortion,C132)))&gt;0)</f>
        <v>0</v>
      </c>
      <c r="W132" s="14" cm="1">
        <f t="array" ref="W132">INT(SUMPRODUCT(--ISNUMBER(SEARCH(trump,C132)))&gt;0)</f>
        <v>0</v>
      </c>
      <c r="X132" s="14" cm="1">
        <f t="array" ref="X132">INT(SUMPRODUCT(--ISNUMBER(SEARCH(voting,C132)))&gt;0)</f>
        <v>0</v>
      </c>
      <c r="Y132" s="35" cm="1">
        <f t="array" ref="Y132">INT(SUMPRODUCT(--ISNUMBER(SEARCH(republicantrigger,C132)))&gt;0)</f>
        <v>0</v>
      </c>
      <c r="Z132" s="35" cm="1">
        <f t="array" ref="Z132">INT(SUMPRODUCT(--ISNUMBER(SEARCH(bipartisan,C132)))&gt;0)</f>
        <v>0</v>
      </c>
      <c r="AA132" s="35">
        <f t="shared" si="2"/>
        <v>0</v>
      </c>
      <c r="AB132" s="14"/>
      <c r="AC132" s="30">
        <v>0</v>
      </c>
      <c r="AD132" s="37">
        <v>1</v>
      </c>
    </row>
    <row r="133" spans="1:30" x14ac:dyDescent="0.25">
      <c r="A133" s="36">
        <v>3100</v>
      </c>
      <c r="B133" s="14" t="s">
        <v>6225</v>
      </c>
      <c r="C133" s="14" t="s">
        <v>6226</v>
      </c>
      <c r="D133" s="17">
        <v>44120</v>
      </c>
      <c r="E133" s="14" t="s">
        <v>30</v>
      </c>
      <c r="F133" s="14">
        <v>22</v>
      </c>
      <c r="G133" s="14">
        <v>14</v>
      </c>
      <c r="H133" s="14">
        <v>14</v>
      </c>
      <c r="I133" s="14">
        <v>7</v>
      </c>
      <c r="J133" s="14" t="s">
        <v>31</v>
      </c>
      <c r="K133" s="14" cm="1">
        <f t="array" ref="K133">INT(SUMPRODUCT(--ISNUMBER(SEARCH(economy,C133)))&gt;0)</f>
        <v>0</v>
      </c>
      <c r="L133" s="14" cm="1">
        <f t="array" ref="L133">INT(SUMPRODUCT(--ISNUMBER(SEARCH(healthcare,C133)))&gt;0)</f>
        <v>0</v>
      </c>
      <c r="M133" s="14" cm="1">
        <f t="array" ref="M133">INT(SUMPRODUCT(--ISNUMBER(SEARCH(supreme,C133)))&gt;0)</f>
        <v>0</v>
      </c>
      <c r="N133" s="14" cm="1">
        <f t="array" ref="N133">INT(SUMPRODUCT(--ISNUMBER(SEARCH(covid,C133)))&gt;0)</f>
        <v>0</v>
      </c>
      <c r="O133" s="14" cm="1">
        <f t="array" ref="O133">INT(SUMPRODUCT(--ISNUMBER(SEARCH(violent,C133)))&gt;0)</f>
        <v>0</v>
      </c>
      <c r="P133" s="14" cm="1">
        <f t="array" ref="P133">INT(SUMPRODUCT(--ISNUMBER(SEARCH(foreign,C133)))&gt;0)</f>
        <v>0</v>
      </c>
      <c r="Q133" s="14" cm="1">
        <f t="array" ref="Q133">INT(SUMPRODUCT(--ISNUMBER(SEARCH(gun,C133)))&gt;0)</f>
        <v>0</v>
      </c>
      <c r="R133" s="14" cm="1">
        <f t="array" ref="R133">INT(SUMPRODUCT(--ISNUMBER(SEARCH(race,C133)))&gt;0)</f>
        <v>0</v>
      </c>
      <c r="S133" s="14" cm="1">
        <f t="array" ref="S133">INT(SUMPRODUCT(--ISNUMBER(SEARCH(immigration,C133)))&gt;0)</f>
        <v>0</v>
      </c>
      <c r="T133" s="14" cm="1">
        <f t="array" ref="T133">INT(SUMPRODUCT(--ISNUMBER(SEARCH(econineq,C134)))&gt;0)</f>
        <v>0</v>
      </c>
      <c r="U133" s="14" cm="1">
        <f t="array" ref="U133">INT(SUMPRODUCT(--ISNUMBER(SEARCH(climate,C133)))&gt;0)</f>
        <v>0</v>
      </c>
      <c r="V133" s="14" cm="1">
        <f t="array" ref="V133">INT(SUMPRODUCT(--ISNUMBER(SEARCH(abortion,C133)))&gt;0)</f>
        <v>0</v>
      </c>
      <c r="W133" s="14" cm="1">
        <f t="array" ref="W133">INT(SUMPRODUCT(--ISNUMBER(SEARCH(trump,C133)))&gt;0)</f>
        <v>0</v>
      </c>
      <c r="X133" s="14" cm="1">
        <f t="array" ref="X133">INT(SUMPRODUCT(--ISNUMBER(SEARCH(voting,C133)))&gt;0)</f>
        <v>0</v>
      </c>
      <c r="Y133" s="35" cm="1">
        <f t="array" ref="Y133">INT(SUMPRODUCT(--ISNUMBER(SEARCH(republicantrigger,C133)))&gt;0)</f>
        <v>1</v>
      </c>
      <c r="Z133" s="35" cm="1">
        <f t="array" ref="Z133">INT(SUMPRODUCT(--ISNUMBER(SEARCH(bipartisan,C133)))&gt;0)</f>
        <v>0</v>
      </c>
      <c r="AA133" s="35">
        <f t="shared" si="2"/>
        <v>0</v>
      </c>
      <c r="AB133" s="14"/>
      <c r="AC133" s="30">
        <v>0</v>
      </c>
      <c r="AD133" s="37">
        <v>1</v>
      </c>
    </row>
    <row r="134" spans="1:30" x14ac:dyDescent="0.25">
      <c r="A134" s="36">
        <v>3101</v>
      </c>
      <c r="B134" s="14" t="s">
        <v>6227</v>
      </c>
      <c r="C134" s="14" t="s">
        <v>6228</v>
      </c>
      <c r="D134" s="17">
        <v>44120</v>
      </c>
      <c r="E134" s="14" t="s">
        <v>30</v>
      </c>
      <c r="F134" s="14">
        <v>17</v>
      </c>
      <c r="G134" s="14">
        <v>10</v>
      </c>
      <c r="H134" s="14">
        <v>14</v>
      </c>
      <c r="I134" s="14">
        <v>7</v>
      </c>
      <c r="J134" s="14" t="s">
        <v>31</v>
      </c>
      <c r="K134" s="14" cm="1">
        <f t="array" ref="K134">INT(SUMPRODUCT(--ISNUMBER(SEARCH(economy,C134)))&gt;0)</f>
        <v>0</v>
      </c>
      <c r="L134" s="14" cm="1">
        <f t="array" ref="L134">INT(SUMPRODUCT(--ISNUMBER(SEARCH(healthcare,C134)))&gt;0)</f>
        <v>0</v>
      </c>
      <c r="M134" s="14" cm="1">
        <f t="array" ref="M134">INT(SUMPRODUCT(--ISNUMBER(SEARCH(supreme,C134)))&gt;0)</f>
        <v>0</v>
      </c>
      <c r="N134" s="14" cm="1">
        <f t="array" ref="N134">INT(SUMPRODUCT(--ISNUMBER(SEARCH(covid,C134)))&gt;0)</f>
        <v>0</v>
      </c>
      <c r="O134" s="14" cm="1">
        <f t="array" ref="O134">INT(SUMPRODUCT(--ISNUMBER(SEARCH(violent,C134)))&gt;0)</f>
        <v>0</v>
      </c>
      <c r="P134" s="14" cm="1">
        <f t="array" ref="P134">INT(SUMPRODUCT(--ISNUMBER(SEARCH(foreign,C134)))&gt;0)</f>
        <v>0</v>
      </c>
      <c r="Q134" s="14" cm="1">
        <f t="array" ref="Q134">INT(SUMPRODUCT(--ISNUMBER(SEARCH(gun,C134)))&gt;0)</f>
        <v>0</v>
      </c>
      <c r="R134" s="14" cm="1">
        <f t="array" ref="R134">INT(SUMPRODUCT(--ISNUMBER(SEARCH(race,C134)))&gt;0)</f>
        <v>0</v>
      </c>
      <c r="S134" s="14" cm="1">
        <f t="array" ref="S134">INT(SUMPRODUCT(--ISNUMBER(SEARCH(immigration,C134)))&gt;0)</f>
        <v>0</v>
      </c>
      <c r="T134" s="14" cm="1">
        <f t="array" ref="T134">INT(SUMPRODUCT(--ISNUMBER(SEARCH(econineq,C135)))&gt;0)</f>
        <v>0</v>
      </c>
      <c r="U134" s="14" cm="1">
        <f t="array" ref="U134">INT(SUMPRODUCT(--ISNUMBER(SEARCH(climate,C134)))&gt;0)</f>
        <v>0</v>
      </c>
      <c r="V134" s="14" cm="1">
        <f t="array" ref="V134">INT(SUMPRODUCT(--ISNUMBER(SEARCH(abortion,C134)))&gt;0)</f>
        <v>0</v>
      </c>
      <c r="W134" s="14" cm="1">
        <f t="array" ref="W134">INT(SUMPRODUCT(--ISNUMBER(SEARCH(trump,C134)))&gt;0)</f>
        <v>0</v>
      </c>
      <c r="X134" s="14" cm="1">
        <f t="array" ref="X134">INT(SUMPRODUCT(--ISNUMBER(SEARCH(voting,C134)))&gt;0)</f>
        <v>0</v>
      </c>
      <c r="Y134" s="35" cm="1">
        <f t="array" ref="Y134">INT(SUMPRODUCT(--ISNUMBER(SEARCH(republicantrigger,C134)))&gt;0)</f>
        <v>1</v>
      </c>
      <c r="Z134" s="35" cm="1">
        <f t="array" ref="Z134">INT(SUMPRODUCT(--ISNUMBER(SEARCH(bipartisan,C134)))&gt;0)</f>
        <v>0</v>
      </c>
      <c r="AA134" s="35">
        <f t="shared" si="2"/>
        <v>0</v>
      </c>
      <c r="AB134" s="14"/>
      <c r="AC134" s="30" t="s">
        <v>223</v>
      </c>
      <c r="AD134" s="37" t="s">
        <v>223</v>
      </c>
    </row>
    <row r="135" spans="1:30" x14ac:dyDescent="0.25">
      <c r="A135" s="36">
        <v>3102</v>
      </c>
      <c r="B135" s="14" t="s">
        <v>6229</v>
      </c>
      <c r="C135" s="14" t="s">
        <v>6230</v>
      </c>
      <c r="D135" s="17">
        <v>44120</v>
      </c>
      <c r="E135" s="14" t="s">
        <v>30</v>
      </c>
      <c r="F135" s="14">
        <v>17</v>
      </c>
      <c r="G135" s="14">
        <v>9</v>
      </c>
      <c r="H135" s="14">
        <v>14</v>
      </c>
      <c r="I135" s="14">
        <v>7</v>
      </c>
      <c r="J135" s="14" t="s">
        <v>31</v>
      </c>
      <c r="K135" s="14" cm="1">
        <f t="array" ref="K135">INT(SUMPRODUCT(--ISNUMBER(SEARCH(economy,C135)))&gt;0)</f>
        <v>0</v>
      </c>
      <c r="L135" s="14" cm="1">
        <f t="array" ref="L135">INT(SUMPRODUCT(--ISNUMBER(SEARCH(healthcare,C135)))&gt;0)</f>
        <v>0</v>
      </c>
      <c r="M135" s="14" cm="1">
        <f t="array" ref="M135">INT(SUMPRODUCT(--ISNUMBER(SEARCH(supreme,C135)))&gt;0)</f>
        <v>0</v>
      </c>
      <c r="N135" s="14" cm="1">
        <f t="array" ref="N135">INT(SUMPRODUCT(--ISNUMBER(SEARCH(covid,C135)))&gt;0)</f>
        <v>0</v>
      </c>
      <c r="O135" s="14" cm="1">
        <f t="array" ref="O135">INT(SUMPRODUCT(--ISNUMBER(SEARCH(violent,C135)))&gt;0)</f>
        <v>0</v>
      </c>
      <c r="P135" s="14" cm="1">
        <f t="array" ref="P135">INT(SUMPRODUCT(--ISNUMBER(SEARCH(foreign,C135)))&gt;0)</f>
        <v>0</v>
      </c>
      <c r="Q135" s="14" cm="1">
        <f t="array" ref="Q135">INT(SUMPRODUCT(--ISNUMBER(SEARCH(gun,C135)))&gt;0)</f>
        <v>0</v>
      </c>
      <c r="R135" s="14" cm="1">
        <f t="array" ref="R135">INT(SUMPRODUCT(--ISNUMBER(SEARCH(race,C135)))&gt;0)</f>
        <v>0</v>
      </c>
      <c r="S135" s="14" cm="1">
        <f t="array" ref="S135">INT(SUMPRODUCT(--ISNUMBER(SEARCH(immigration,C135)))&gt;0)</f>
        <v>0</v>
      </c>
      <c r="T135" s="14" cm="1">
        <f t="array" ref="T135">INT(SUMPRODUCT(--ISNUMBER(SEARCH(econineq,C136)))&gt;0)</f>
        <v>0</v>
      </c>
      <c r="U135" s="14" cm="1">
        <f t="array" ref="U135">INT(SUMPRODUCT(--ISNUMBER(SEARCH(climate,C135)))&gt;0)</f>
        <v>0</v>
      </c>
      <c r="V135" s="14" cm="1">
        <f t="array" ref="V135">INT(SUMPRODUCT(--ISNUMBER(SEARCH(abortion,C135)))&gt;0)</f>
        <v>0</v>
      </c>
      <c r="W135" s="14" cm="1">
        <f t="array" ref="W135">INT(SUMPRODUCT(--ISNUMBER(SEARCH(trump,C135)))&gt;0)</f>
        <v>0</v>
      </c>
      <c r="X135" s="14" cm="1">
        <f t="array" ref="X135">INT(SUMPRODUCT(--ISNUMBER(SEARCH(voting,C135)))&gt;0)</f>
        <v>0</v>
      </c>
      <c r="Y135" s="35" cm="1">
        <f t="array" ref="Y135">INT(SUMPRODUCT(--ISNUMBER(SEARCH(republicantrigger,C135)))&gt;0)</f>
        <v>1</v>
      </c>
      <c r="Z135" s="35" cm="1">
        <f t="array" ref="Z135">INT(SUMPRODUCT(--ISNUMBER(SEARCH(bipartisan,C135)))&gt;0)</f>
        <v>0</v>
      </c>
      <c r="AA135" s="35">
        <f t="shared" si="2"/>
        <v>0</v>
      </c>
      <c r="AB135" s="14"/>
      <c r="AC135" s="30">
        <v>0</v>
      </c>
      <c r="AD135" s="37">
        <v>1</v>
      </c>
    </row>
    <row r="136" spans="1:30" x14ac:dyDescent="0.25">
      <c r="A136" s="36">
        <v>3103</v>
      </c>
      <c r="B136" s="14" t="s">
        <v>6231</v>
      </c>
      <c r="C136" s="14" t="s">
        <v>6232</v>
      </c>
      <c r="D136" s="17">
        <v>44119</v>
      </c>
      <c r="E136" s="14" t="s">
        <v>30</v>
      </c>
      <c r="F136" s="14">
        <v>8</v>
      </c>
      <c r="G136" s="14">
        <v>5</v>
      </c>
      <c r="H136" s="14">
        <v>14</v>
      </c>
      <c r="I136" s="14">
        <v>7</v>
      </c>
      <c r="J136" s="14" t="s">
        <v>31</v>
      </c>
      <c r="K136" s="14" cm="1">
        <f t="array" ref="K136">INT(SUMPRODUCT(--ISNUMBER(SEARCH(economy,C136)))&gt;0)</f>
        <v>0</v>
      </c>
      <c r="L136" s="14" cm="1">
        <f t="array" ref="L136">INT(SUMPRODUCT(--ISNUMBER(SEARCH(healthcare,C136)))&gt;0)</f>
        <v>0</v>
      </c>
      <c r="M136" s="14" cm="1">
        <f t="array" ref="M136">INT(SUMPRODUCT(--ISNUMBER(SEARCH(supreme,C136)))&gt;0)</f>
        <v>0</v>
      </c>
      <c r="N136" s="14" cm="1">
        <f t="array" ref="N136">INT(SUMPRODUCT(--ISNUMBER(SEARCH(covid,C136)))&gt;0)</f>
        <v>0</v>
      </c>
      <c r="O136" s="14" cm="1">
        <f t="array" ref="O136">INT(SUMPRODUCT(--ISNUMBER(SEARCH(violent,C136)))&gt;0)</f>
        <v>0</v>
      </c>
      <c r="P136" s="14" cm="1">
        <f t="array" ref="P136">INT(SUMPRODUCT(--ISNUMBER(SEARCH(foreign,C136)))&gt;0)</f>
        <v>0</v>
      </c>
      <c r="Q136" s="14" cm="1">
        <f t="array" ref="Q136">INT(SUMPRODUCT(--ISNUMBER(SEARCH(gun,C136)))&gt;0)</f>
        <v>0</v>
      </c>
      <c r="R136" s="14" cm="1">
        <f t="array" ref="R136">INT(SUMPRODUCT(--ISNUMBER(SEARCH(race,C136)))&gt;0)</f>
        <v>0</v>
      </c>
      <c r="S136" s="14" cm="1">
        <f t="array" ref="S136">INT(SUMPRODUCT(--ISNUMBER(SEARCH(immigration,C136)))&gt;0)</f>
        <v>0</v>
      </c>
      <c r="T136" s="14" cm="1">
        <f t="array" ref="T136">INT(SUMPRODUCT(--ISNUMBER(SEARCH(econineq,C137)))&gt;0)</f>
        <v>0</v>
      </c>
      <c r="U136" s="14" cm="1">
        <f t="array" ref="U136">INT(SUMPRODUCT(--ISNUMBER(SEARCH(climate,C136)))&gt;0)</f>
        <v>0</v>
      </c>
      <c r="V136" s="14" cm="1">
        <f t="array" ref="V136">INT(SUMPRODUCT(--ISNUMBER(SEARCH(abortion,C136)))&gt;0)</f>
        <v>0</v>
      </c>
      <c r="W136" s="14" cm="1">
        <f t="array" ref="W136">INT(SUMPRODUCT(--ISNUMBER(SEARCH(trump,C136)))&gt;0)</f>
        <v>0</v>
      </c>
      <c r="X136" s="14" cm="1">
        <f t="array" ref="X136">INT(SUMPRODUCT(--ISNUMBER(SEARCH(voting,C136)))&gt;0)</f>
        <v>0</v>
      </c>
      <c r="Y136" s="35" cm="1">
        <f t="array" ref="Y136">INT(SUMPRODUCT(--ISNUMBER(SEARCH(republicantrigger,C136)))&gt;0)</f>
        <v>0</v>
      </c>
      <c r="Z136" s="35" cm="1">
        <f t="array" ref="Z136">INT(SUMPRODUCT(--ISNUMBER(SEARCH(bipartisan,C136)))&gt;0)</f>
        <v>0</v>
      </c>
      <c r="AA136" s="35">
        <f t="shared" si="2"/>
        <v>1</v>
      </c>
      <c r="AB136" s="14"/>
      <c r="AC136" s="30">
        <v>1</v>
      </c>
      <c r="AD136" s="37">
        <v>0</v>
      </c>
    </row>
    <row r="137" spans="1:30" x14ac:dyDescent="0.25">
      <c r="A137" s="36">
        <v>3104</v>
      </c>
      <c r="B137" s="14" t="s">
        <v>6233</v>
      </c>
      <c r="C137" s="14" t="s">
        <v>6234</v>
      </c>
      <c r="D137" s="17">
        <v>44119</v>
      </c>
      <c r="E137" s="14" t="s">
        <v>30</v>
      </c>
      <c r="F137" s="14">
        <v>14</v>
      </c>
      <c r="G137" s="14">
        <v>13</v>
      </c>
      <c r="H137" s="14">
        <v>14</v>
      </c>
      <c r="I137" s="14">
        <v>7</v>
      </c>
      <c r="J137" s="14" t="s">
        <v>31</v>
      </c>
      <c r="K137" s="14" cm="1">
        <f t="array" ref="K137">INT(SUMPRODUCT(--ISNUMBER(SEARCH(economy,C137)))&gt;0)</f>
        <v>1</v>
      </c>
      <c r="L137" s="14" cm="1">
        <f t="array" ref="L137">INT(SUMPRODUCT(--ISNUMBER(SEARCH(healthcare,C137)))&gt;0)</f>
        <v>0</v>
      </c>
      <c r="M137" s="14" cm="1">
        <f t="array" ref="M137">INT(SUMPRODUCT(--ISNUMBER(SEARCH(supreme,C137)))&gt;0)</f>
        <v>0</v>
      </c>
      <c r="N137" s="14" cm="1">
        <f t="array" ref="N137">INT(SUMPRODUCT(--ISNUMBER(SEARCH(covid,C137)))&gt;0)</f>
        <v>0</v>
      </c>
      <c r="O137" s="14" cm="1">
        <f t="array" ref="O137">INT(SUMPRODUCT(--ISNUMBER(SEARCH(violent,C137)))&gt;0)</f>
        <v>0</v>
      </c>
      <c r="P137" s="14" cm="1">
        <f t="array" ref="P137">INT(SUMPRODUCT(--ISNUMBER(SEARCH(foreign,C137)))&gt;0)</f>
        <v>0</v>
      </c>
      <c r="Q137" s="14" cm="1">
        <f t="array" ref="Q137">INT(SUMPRODUCT(--ISNUMBER(SEARCH(gun,C137)))&gt;0)</f>
        <v>0</v>
      </c>
      <c r="R137" s="14" cm="1">
        <f t="array" ref="R137">INT(SUMPRODUCT(--ISNUMBER(SEARCH(race,C137)))&gt;0)</f>
        <v>0</v>
      </c>
      <c r="S137" s="14" cm="1">
        <f t="array" ref="S137">INT(SUMPRODUCT(--ISNUMBER(SEARCH(immigration,C137)))&gt;0)</f>
        <v>0</v>
      </c>
      <c r="T137" s="14" cm="1">
        <f t="array" ref="T137">INT(SUMPRODUCT(--ISNUMBER(SEARCH(econineq,C138)))&gt;0)</f>
        <v>0</v>
      </c>
      <c r="U137" s="14" cm="1">
        <f t="array" ref="U137">INT(SUMPRODUCT(--ISNUMBER(SEARCH(climate,C137)))&gt;0)</f>
        <v>0</v>
      </c>
      <c r="V137" s="14" cm="1">
        <f t="array" ref="V137">INT(SUMPRODUCT(--ISNUMBER(SEARCH(abortion,C137)))&gt;0)</f>
        <v>0</v>
      </c>
      <c r="W137" s="14" cm="1">
        <f t="array" ref="W137">INT(SUMPRODUCT(--ISNUMBER(SEARCH(trump,C137)))&gt;0)</f>
        <v>0</v>
      </c>
      <c r="X137" s="14" cm="1">
        <f t="array" ref="X137">INT(SUMPRODUCT(--ISNUMBER(SEARCH(voting,C137)))&gt;0)</f>
        <v>0</v>
      </c>
      <c r="Y137" s="35" cm="1">
        <f t="array" ref="Y137">INT(SUMPRODUCT(--ISNUMBER(SEARCH(republicantrigger,C137)))&gt;0)</f>
        <v>1</v>
      </c>
      <c r="Z137" s="35" cm="1">
        <f t="array" ref="Z137">INT(SUMPRODUCT(--ISNUMBER(SEARCH(bipartisan,C137)))&gt;0)</f>
        <v>0</v>
      </c>
      <c r="AA137" s="35">
        <f t="shared" si="2"/>
        <v>0</v>
      </c>
      <c r="AB137" s="14"/>
      <c r="AC137" s="30">
        <v>0</v>
      </c>
      <c r="AD137" s="37">
        <v>1</v>
      </c>
    </row>
    <row r="138" spans="1:30" x14ac:dyDescent="0.25">
      <c r="A138" s="36">
        <v>3105</v>
      </c>
      <c r="B138" s="14" t="s">
        <v>6235</v>
      </c>
      <c r="C138" s="14" t="s">
        <v>6236</v>
      </c>
      <c r="D138" s="17">
        <v>44119</v>
      </c>
      <c r="E138" s="14" t="s">
        <v>30</v>
      </c>
      <c r="F138" s="14">
        <v>19</v>
      </c>
      <c r="G138" s="14">
        <v>5</v>
      </c>
      <c r="H138" s="14">
        <v>14</v>
      </c>
      <c r="I138" s="14">
        <v>7</v>
      </c>
      <c r="J138" s="14" t="s">
        <v>31</v>
      </c>
      <c r="K138" s="14" cm="1">
        <f t="array" ref="K138">INT(SUMPRODUCT(--ISNUMBER(SEARCH(economy,C138)))&gt;0)</f>
        <v>0</v>
      </c>
      <c r="L138" s="14" cm="1">
        <f t="array" ref="L138">INT(SUMPRODUCT(--ISNUMBER(SEARCH(healthcare,C138)))&gt;0)</f>
        <v>0</v>
      </c>
      <c r="M138" s="14" cm="1">
        <f t="array" ref="M138">INT(SUMPRODUCT(--ISNUMBER(SEARCH(supreme,C138)))&gt;0)</f>
        <v>0</v>
      </c>
      <c r="N138" s="14" cm="1">
        <f t="array" ref="N138">INT(SUMPRODUCT(--ISNUMBER(SEARCH(covid,C138)))&gt;0)</f>
        <v>0</v>
      </c>
      <c r="O138" s="14" cm="1">
        <f t="array" ref="O138">INT(SUMPRODUCT(--ISNUMBER(SEARCH(violent,C138)))&gt;0)</f>
        <v>0</v>
      </c>
      <c r="P138" s="14" cm="1">
        <f t="array" ref="P138">INT(SUMPRODUCT(--ISNUMBER(SEARCH(foreign,C138)))&gt;0)</f>
        <v>0</v>
      </c>
      <c r="Q138" s="14" cm="1">
        <f t="array" ref="Q138">INT(SUMPRODUCT(--ISNUMBER(SEARCH(gun,C138)))&gt;0)</f>
        <v>0</v>
      </c>
      <c r="R138" s="14" cm="1">
        <f t="array" ref="R138">INT(SUMPRODUCT(--ISNUMBER(SEARCH(race,C138)))&gt;0)</f>
        <v>0</v>
      </c>
      <c r="S138" s="14" cm="1">
        <f t="array" ref="S138">INT(SUMPRODUCT(--ISNUMBER(SEARCH(immigration,C138)))&gt;0)</f>
        <v>0</v>
      </c>
      <c r="T138" s="14" cm="1">
        <f t="array" ref="T138">INT(SUMPRODUCT(--ISNUMBER(SEARCH(econineq,C139)))&gt;0)</f>
        <v>0</v>
      </c>
      <c r="U138" s="14" cm="1">
        <f t="array" ref="U138">INT(SUMPRODUCT(--ISNUMBER(SEARCH(climate,C138)))&gt;0)</f>
        <v>0</v>
      </c>
      <c r="V138" s="14" cm="1">
        <f t="array" ref="V138">INT(SUMPRODUCT(--ISNUMBER(SEARCH(abortion,C138)))&gt;0)</f>
        <v>0</v>
      </c>
      <c r="W138" s="14" cm="1">
        <f t="array" ref="W138">INT(SUMPRODUCT(--ISNUMBER(SEARCH(trump,C138)))&gt;0)</f>
        <v>0</v>
      </c>
      <c r="X138" s="14" cm="1">
        <f t="array" ref="X138">INT(SUMPRODUCT(--ISNUMBER(SEARCH(voting,C138)))&gt;0)</f>
        <v>1</v>
      </c>
      <c r="Y138" s="35" cm="1">
        <f t="array" ref="Y138">INT(SUMPRODUCT(--ISNUMBER(SEARCH(republicantrigger,C138)))&gt;0)</f>
        <v>0</v>
      </c>
      <c r="Z138" s="35" cm="1">
        <f t="array" ref="Z138">INT(SUMPRODUCT(--ISNUMBER(SEARCH(bipartisan,C138)))&gt;0)</f>
        <v>0</v>
      </c>
      <c r="AA138" s="35">
        <f t="shared" si="2"/>
        <v>0</v>
      </c>
      <c r="AB138" s="14"/>
      <c r="AC138" s="30" t="s">
        <v>223</v>
      </c>
      <c r="AD138" s="37" t="s">
        <v>223</v>
      </c>
    </row>
    <row r="139" spans="1:30" x14ac:dyDescent="0.25">
      <c r="A139" s="36">
        <v>3106</v>
      </c>
      <c r="B139" s="14" t="s">
        <v>6237</v>
      </c>
      <c r="C139" s="14" t="s">
        <v>6238</v>
      </c>
      <c r="D139" s="17">
        <v>44119</v>
      </c>
      <c r="E139" s="14" t="s">
        <v>30</v>
      </c>
      <c r="F139" s="14">
        <v>13</v>
      </c>
      <c r="G139" s="14">
        <v>9</v>
      </c>
      <c r="H139" s="14">
        <v>14</v>
      </c>
      <c r="I139" s="14">
        <v>7</v>
      </c>
      <c r="J139" s="14" t="s">
        <v>31</v>
      </c>
      <c r="K139" s="14" cm="1">
        <f t="array" ref="K139">INT(SUMPRODUCT(--ISNUMBER(SEARCH(economy,C139)))&gt;0)</f>
        <v>0</v>
      </c>
      <c r="L139" s="14" cm="1">
        <f t="array" ref="L139">INT(SUMPRODUCT(--ISNUMBER(SEARCH(healthcare,C139)))&gt;0)</f>
        <v>0</v>
      </c>
      <c r="M139" s="14" cm="1">
        <f t="array" ref="M139">INT(SUMPRODUCT(--ISNUMBER(SEARCH(supreme,C139)))&gt;0)</f>
        <v>0</v>
      </c>
      <c r="N139" s="14" cm="1">
        <f t="array" ref="N139">INT(SUMPRODUCT(--ISNUMBER(SEARCH(covid,C139)))&gt;0)</f>
        <v>0</v>
      </c>
      <c r="O139" s="14" cm="1">
        <f t="array" ref="O139">INT(SUMPRODUCT(--ISNUMBER(SEARCH(violent,C139)))&gt;0)</f>
        <v>0</v>
      </c>
      <c r="P139" s="14" cm="1">
        <f t="array" ref="P139">INT(SUMPRODUCT(--ISNUMBER(SEARCH(foreign,C139)))&gt;0)</f>
        <v>0</v>
      </c>
      <c r="Q139" s="14" cm="1">
        <f t="array" ref="Q139">INT(SUMPRODUCT(--ISNUMBER(SEARCH(gun,C139)))&gt;0)</f>
        <v>0</v>
      </c>
      <c r="R139" s="14" cm="1">
        <f t="array" ref="R139">INT(SUMPRODUCT(--ISNUMBER(SEARCH(race,C139)))&gt;0)</f>
        <v>0</v>
      </c>
      <c r="S139" s="14" cm="1">
        <f t="array" ref="S139">INT(SUMPRODUCT(--ISNUMBER(SEARCH(immigration,C139)))&gt;0)</f>
        <v>0</v>
      </c>
      <c r="T139" s="14" cm="1">
        <f t="array" ref="T139">INT(SUMPRODUCT(--ISNUMBER(SEARCH(econineq,C140)))&gt;0)</f>
        <v>0</v>
      </c>
      <c r="U139" s="14" cm="1">
        <f t="array" ref="U139">INT(SUMPRODUCT(--ISNUMBER(SEARCH(climate,C139)))&gt;0)</f>
        <v>0</v>
      </c>
      <c r="V139" s="14" cm="1">
        <f t="array" ref="V139">INT(SUMPRODUCT(--ISNUMBER(SEARCH(abortion,C139)))&gt;0)</f>
        <v>0</v>
      </c>
      <c r="W139" s="14" cm="1">
        <f t="array" ref="W139">INT(SUMPRODUCT(--ISNUMBER(SEARCH(trump,C139)))&gt;0)</f>
        <v>0</v>
      </c>
      <c r="X139" s="14" cm="1">
        <f t="array" ref="X139">INT(SUMPRODUCT(--ISNUMBER(SEARCH(voting,C139)))&gt;0)</f>
        <v>0</v>
      </c>
      <c r="Y139" s="35" cm="1">
        <f t="array" ref="Y139">INT(SUMPRODUCT(--ISNUMBER(SEARCH(republicantrigger,C139)))&gt;0)</f>
        <v>1</v>
      </c>
      <c r="Z139" s="35" cm="1">
        <f t="array" ref="Z139">INT(SUMPRODUCT(--ISNUMBER(SEARCH(bipartisan,C139)))&gt;0)</f>
        <v>0</v>
      </c>
      <c r="AA139" s="35">
        <f t="shared" si="2"/>
        <v>0</v>
      </c>
      <c r="AB139" s="14"/>
      <c r="AC139" s="30" t="s">
        <v>223</v>
      </c>
      <c r="AD139" s="37" t="s">
        <v>223</v>
      </c>
    </row>
    <row r="140" spans="1:30" x14ac:dyDescent="0.25">
      <c r="A140" s="36">
        <v>3107</v>
      </c>
      <c r="B140" s="14" t="s">
        <v>6239</v>
      </c>
      <c r="C140" s="14" t="s">
        <v>6240</v>
      </c>
      <c r="D140" s="17">
        <v>44119</v>
      </c>
      <c r="E140" s="14" t="s">
        <v>30</v>
      </c>
      <c r="F140" s="14">
        <v>20</v>
      </c>
      <c r="G140" s="14">
        <v>13</v>
      </c>
      <c r="H140" s="14">
        <v>14</v>
      </c>
      <c r="I140" s="14">
        <v>7</v>
      </c>
      <c r="J140" s="14" t="s">
        <v>31</v>
      </c>
      <c r="K140" s="14" cm="1">
        <f t="array" ref="K140">INT(SUMPRODUCT(--ISNUMBER(SEARCH(economy,C140)))&gt;0)</f>
        <v>0</v>
      </c>
      <c r="L140" s="14" cm="1">
        <f t="array" ref="L140">INT(SUMPRODUCT(--ISNUMBER(SEARCH(healthcare,C140)))&gt;0)</f>
        <v>0</v>
      </c>
      <c r="M140" s="14" cm="1">
        <f t="array" ref="M140">INT(SUMPRODUCT(--ISNUMBER(SEARCH(supreme,C140)))&gt;0)</f>
        <v>0</v>
      </c>
      <c r="N140" s="14" cm="1">
        <f t="array" ref="N140">INT(SUMPRODUCT(--ISNUMBER(SEARCH(covid,C140)))&gt;0)</f>
        <v>0</v>
      </c>
      <c r="O140" s="14" cm="1">
        <f t="array" ref="O140">INT(SUMPRODUCT(--ISNUMBER(SEARCH(violent,C140)))&gt;0)</f>
        <v>0</v>
      </c>
      <c r="P140" s="14" cm="1">
        <f t="array" ref="P140">INT(SUMPRODUCT(--ISNUMBER(SEARCH(foreign,C140)))&gt;0)</f>
        <v>0</v>
      </c>
      <c r="Q140" s="14" cm="1">
        <f t="array" ref="Q140">INT(SUMPRODUCT(--ISNUMBER(SEARCH(gun,C140)))&gt;0)</f>
        <v>0</v>
      </c>
      <c r="R140" s="14" cm="1">
        <f t="array" ref="R140">INT(SUMPRODUCT(--ISNUMBER(SEARCH(race,C140)))&gt;0)</f>
        <v>0</v>
      </c>
      <c r="S140" s="14" cm="1">
        <f t="array" ref="S140">INT(SUMPRODUCT(--ISNUMBER(SEARCH(immigration,C140)))&gt;0)</f>
        <v>0</v>
      </c>
      <c r="T140" s="14" cm="1">
        <f t="array" ref="T140">INT(SUMPRODUCT(--ISNUMBER(SEARCH(econineq,C141)))&gt;0)</f>
        <v>0</v>
      </c>
      <c r="U140" s="14" cm="1">
        <f t="array" ref="U140">INT(SUMPRODUCT(--ISNUMBER(SEARCH(climate,C140)))&gt;0)</f>
        <v>0</v>
      </c>
      <c r="V140" s="14" cm="1">
        <f t="array" ref="V140">INT(SUMPRODUCT(--ISNUMBER(SEARCH(abortion,C140)))&gt;0)</f>
        <v>0</v>
      </c>
      <c r="W140" s="14" cm="1">
        <f t="array" ref="W140">INT(SUMPRODUCT(--ISNUMBER(SEARCH(trump,C140)))&gt;0)</f>
        <v>0</v>
      </c>
      <c r="X140" s="14" cm="1">
        <f t="array" ref="X140">INT(SUMPRODUCT(--ISNUMBER(SEARCH(voting,C140)))&gt;0)</f>
        <v>0</v>
      </c>
      <c r="Y140" s="35" cm="1">
        <f t="array" ref="Y140">INT(SUMPRODUCT(--ISNUMBER(SEARCH(republicantrigger,C140)))&gt;0)</f>
        <v>1</v>
      </c>
      <c r="Z140" s="35" cm="1">
        <f t="array" ref="Z140">INT(SUMPRODUCT(--ISNUMBER(SEARCH(bipartisan,C140)))&gt;0)</f>
        <v>0</v>
      </c>
      <c r="AA140" s="35">
        <f t="shared" si="2"/>
        <v>0</v>
      </c>
      <c r="AB140" s="14"/>
      <c r="AC140" s="30" t="s">
        <v>223</v>
      </c>
      <c r="AD140" s="37" t="s">
        <v>223</v>
      </c>
    </row>
    <row r="141" spans="1:30" x14ac:dyDescent="0.25">
      <c r="A141" s="36">
        <v>3108</v>
      </c>
      <c r="B141" s="14" t="s">
        <v>6241</v>
      </c>
      <c r="C141" s="14" t="s">
        <v>6242</v>
      </c>
      <c r="D141" s="17">
        <v>44119</v>
      </c>
      <c r="E141" s="14" t="s">
        <v>30</v>
      </c>
      <c r="F141" s="14">
        <v>12</v>
      </c>
      <c r="G141" s="14">
        <v>8</v>
      </c>
      <c r="H141" s="14">
        <v>14</v>
      </c>
      <c r="I141" s="14">
        <v>7</v>
      </c>
      <c r="J141" s="14" t="s">
        <v>31</v>
      </c>
      <c r="K141" s="14" cm="1">
        <f t="array" ref="K141">INT(SUMPRODUCT(--ISNUMBER(SEARCH(economy,C141)))&gt;0)</f>
        <v>0</v>
      </c>
      <c r="L141" s="14" cm="1">
        <f t="array" ref="L141">INT(SUMPRODUCT(--ISNUMBER(SEARCH(healthcare,C141)))&gt;0)</f>
        <v>0</v>
      </c>
      <c r="M141" s="14" cm="1">
        <f t="array" ref="M141">INT(SUMPRODUCT(--ISNUMBER(SEARCH(supreme,C141)))&gt;0)</f>
        <v>0</v>
      </c>
      <c r="N141" s="14" cm="1">
        <f t="array" ref="N141">INT(SUMPRODUCT(--ISNUMBER(SEARCH(covid,C141)))&gt;0)</f>
        <v>0</v>
      </c>
      <c r="O141" s="14" cm="1">
        <f t="array" ref="O141">INT(SUMPRODUCT(--ISNUMBER(SEARCH(violent,C141)))&gt;0)</f>
        <v>0</v>
      </c>
      <c r="P141" s="14" cm="1">
        <f t="array" ref="P141">INT(SUMPRODUCT(--ISNUMBER(SEARCH(foreign,C141)))&gt;0)</f>
        <v>0</v>
      </c>
      <c r="Q141" s="14" cm="1">
        <f t="array" ref="Q141">INT(SUMPRODUCT(--ISNUMBER(SEARCH(gun,C141)))&gt;0)</f>
        <v>0</v>
      </c>
      <c r="R141" s="14" cm="1">
        <f t="array" ref="R141">INT(SUMPRODUCT(--ISNUMBER(SEARCH(race,C141)))&gt;0)</f>
        <v>0</v>
      </c>
      <c r="S141" s="14" cm="1">
        <f t="array" ref="S141">INT(SUMPRODUCT(--ISNUMBER(SEARCH(immigration,C141)))&gt;0)</f>
        <v>0</v>
      </c>
      <c r="T141" s="14" cm="1">
        <f t="array" ref="T141">INT(SUMPRODUCT(--ISNUMBER(SEARCH(econineq,C142)))&gt;0)</f>
        <v>0</v>
      </c>
      <c r="U141" s="14" cm="1">
        <f t="array" ref="U141">INT(SUMPRODUCT(--ISNUMBER(SEARCH(climate,C141)))&gt;0)</f>
        <v>0</v>
      </c>
      <c r="V141" s="14" cm="1">
        <f t="array" ref="V141">INT(SUMPRODUCT(--ISNUMBER(SEARCH(abortion,C141)))&gt;0)</f>
        <v>0</v>
      </c>
      <c r="W141" s="14" cm="1">
        <f t="array" ref="W141">INT(SUMPRODUCT(--ISNUMBER(SEARCH(trump,C141)))&gt;0)</f>
        <v>0</v>
      </c>
      <c r="X141" s="14" cm="1">
        <f t="array" ref="X141">INT(SUMPRODUCT(--ISNUMBER(SEARCH(voting,C141)))&gt;0)</f>
        <v>0</v>
      </c>
      <c r="Y141" s="35" cm="1">
        <f t="array" ref="Y141">INT(SUMPRODUCT(--ISNUMBER(SEARCH(republicantrigger,C141)))&gt;0)</f>
        <v>0</v>
      </c>
      <c r="Z141" s="35" cm="1">
        <f t="array" ref="Z141">INT(SUMPRODUCT(--ISNUMBER(SEARCH(bipartisan,C141)))&gt;0)</f>
        <v>0</v>
      </c>
      <c r="AA141" s="35">
        <f t="shared" si="2"/>
        <v>1</v>
      </c>
      <c r="AB141" s="14"/>
      <c r="AC141" s="30" t="s">
        <v>223</v>
      </c>
      <c r="AD141" s="37" t="s">
        <v>223</v>
      </c>
    </row>
    <row r="142" spans="1:30" x14ac:dyDescent="0.25">
      <c r="A142" s="36">
        <v>3109</v>
      </c>
      <c r="B142" s="14" t="s">
        <v>6243</v>
      </c>
      <c r="C142" s="14" t="s">
        <v>6244</v>
      </c>
      <c r="D142" s="17">
        <v>44119</v>
      </c>
      <c r="E142" s="14" t="s">
        <v>30</v>
      </c>
      <c r="F142" s="14">
        <v>10</v>
      </c>
      <c r="G142" s="14">
        <v>5</v>
      </c>
      <c r="H142" s="14">
        <v>14</v>
      </c>
      <c r="I142" s="14">
        <v>7</v>
      </c>
      <c r="J142" s="14" t="s">
        <v>31</v>
      </c>
      <c r="K142" s="14" cm="1">
        <f t="array" ref="K142">INT(SUMPRODUCT(--ISNUMBER(SEARCH(economy,C142)))&gt;0)</f>
        <v>0</v>
      </c>
      <c r="L142" s="14" cm="1">
        <f t="array" ref="L142">INT(SUMPRODUCT(--ISNUMBER(SEARCH(healthcare,C142)))&gt;0)</f>
        <v>1</v>
      </c>
      <c r="M142" s="14" cm="1">
        <f t="array" ref="M142">INT(SUMPRODUCT(--ISNUMBER(SEARCH(supreme,C142)))&gt;0)</f>
        <v>0</v>
      </c>
      <c r="N142" s="14" cm="1">
        <f t="array" ref="N142">INT(SUMPRODUCT(--ISNUMBER(SEARCH(covid,C142)))&gt;0)</f>
        <v>0</v>
      </c>
      <c r="O142" s="14" cm="1">
        <f t="array" ref="O142">INT(SUMPRODUCT(--ISNUMBER(SEARCH(violent,C142)))&gt;0)</f>
        <v>0</v>
      </c>
      <c r="P142" s="14" cm="1">
        <f t="array" ref="P142">INT(SUMPRODUCT(--ISNUMBER(SEARCH(foreign,C142)))&gt;0)</f>
        <v>0</v>
      </c>
      <c r="Q142" s="14" cm="1">
        <f t="array" ref="Q142">INT(SUMPRODUCT(--ISNUMBER(SEARCH(gun,C142)))&gt;0)</f>
        <v>0</v>
      </c>
      <c r="R142" s="14" cm="1">
        <f t="array" ref="R142">INT(SUMPRODUCT(--ISNUMBER(SEARCH(race,C142)))&gt;0)</f>
        <v>0</v>
      </c>
      <c r="S142" s="14" cm="1">
        <f t="array" ref="S142">INT(SUMPRODUCT(--ISNUMBER(SEARCH(immigration,C142)))&gt;0)</f>
        <v>0</v>
      </c>
      <c r="T142" s="14" cm="1">
        <f t="array" ref="T142">INT(SUMPRODUCT(--ISNUMBER(SEARCH(econineq,C143)))&gt;0)</f>
        <v>0</v>
      </c>
      <c r="U142" s="14" cm="1">
        <f t="array" ref="U142">INT(SUMPRODUCT(--ISNUMBER(SEARCH(climate,C142)))&gt;0)</f>
        <v>0</v>
      </c>
      <c r="V142" s="14" cm="1">
        <f t="array" ref="V142">INT(SUMPRODUCT(--ISNUMBER(SEARCH(abortion,C142)))&gt;0)</f>
        <v>0</v>
      </c>
      <c r="W142" s="14" cm="1">
        <f t="array" ref="W142">INT(SUMPRODUCT(--ISNUMBER(SEARCH(trump,C142)))&gt;0)</f>
        <v>0</v>
      </c>
      <c r="X142" s="14" cm="1">
        <f t="array" ref="X142">INT(SUMPRODUCT(--ISNUMBER(SEARCH(voting,C142)))&gt;0)</f>
        <v>0</v>
      </c>
      <c r="Y142" s="35" cm="1">
        <f t="array" ref="Y142">INT(SUMPRODUCT(--ISNUMBER(SEARCH(republicantrigger,C142)))&gt;0)</f>
        <v>1</v>
      </c>
      <c r="Z142" s="35" cm="1">
        <f t="array" ref="Z142">INT(SUMPRODUCT(--ISNUMBER(SEARCH(bipartisan,C142)))&gt;0)</f>
        <v>0</v>
      </c>
      <c r="AA142" s="35">
        <f t="shared" si="2"/>
        <v>0</v>
      </c>
      <c r="AB142" s="14"/>
      <c r="AC142" s="30" t="s">
        <v>223</v>
      </c>
      <c r="AD142" s="37" t="s">
        <v>223</v>
      </c>
    </row>
    <row r="143" spans="1:30" x14ac:dyDescent="0.25">
      <c r="A143" s="36">
        <v>3110</v>
      </c>
      <c r="B143" s="14" t="s">
        <v>6245</v>
      </c>
      <c r="C143" s="14" t="s">
        <v>6246</v>
      </c>
      <c r="D143" s="17">
        <v>44119</v>
      </c>
      <c r="E143" s="14" t="s">
        <v>30</v>
      </c>
      <c r="F143" s="14">
        <v>9</v>
      </c>
      <c r="G143" s="14">
        <v>7</v>
      </c>
      <c r="H143" s="14">
        <v>14</v>
      </c>
      <c r="I143" s="14">
        <v>7</v>
      </c>
      <c r="J143" s="14" t="s">
        <v>31</v>
      </c>
      <c r="K143" s="14" cm="1">
        <f t="array" ref="K143">INT(SUMPRODUCT(--ISNUMBER(SEARCH(economy,C143)))&gt;0)</f>
        <v>0</v>
      </c>
      <c r="L143" s="14" cm="1">
        <f t="array" ref="L143">INT(SUMPRODUCT(--ISNUMBER(SEARCH(healthcare,C143)))&gt;0)</f>
        <v>1</v>
      </c>
      <c r="M143" s="14" cm="1">
        <f t="array" ref="M143">INT(SUMPRODUCT(--ISNUMBER(SEARCH(supreme,C143)))&gt;0)</f>
        <v>0</v>
      </c>
      <c r="N143" s="14" cm="1">
        <f t="array" ref="N143">INT(SUMPRODUCT(--ISNUMBER(SEARCH(covid,C143)))&gt;0)</f>
        <v>0</v>
      </c>
      <c r="O143" s="14" cm="1">
        <f t="array" ref="O143">INT(SUMPRODUCT(--ISNUMBER(SEARCH(violent,C143)))&gt;0)</f>
        <v>0</v>
      </c>
      <c r="P143" s="14" cm="1">
        <f t="array" ref="P143">INT(SUMPRODUCT(--ISNUMBER(SEARCH(foreign,C143)))&gt;0)</f>
        <v>0</v>
      </c>
      <c r="Q143" s="14" cm="1">
        <f t="array" ref="Q143">INT(SUMPRODUCT(--ISNUMBER(SEARCH(gun,C143)))&gt;0)</f>
        <v>0</v>
      </c>
      <c r="R143" s="14" cm="1">
        <f t="array" ref="R143">INT(SUMPRODUCT(--ISNUMBER(SEARCH(race,C143)))&gt;0)</f>
        <v>0</v>
      </c>
      <c r="S143" s="14" cm="1">
        <f t="array" ref="S143">INT(SUMPRODUCT(--ISNUMBER(SEARCH(immigration,C143)))&gt;0)</f>
        <v>0</v>
      </c>
      <c r="T143" s="14" cm="1">
        <f t="array" ref="T143">INT(SUMPRODUCT(--ISNUMBER(SEARCH(econineq,C144)))&gt;0)</f>
        <v>0</v>
      </c>
      <c r="U143" s="14" cm="1">
        <f t="array" ref="U143">INT(SUMPRODUCT(--ISNUMBER(SEARCH(climate,C143)))&gt;0)</f>
        <v>0</v>
      </c>
      <c r="V143" s="14" cm="1">
        <f t="array" ref="V143">INT(SUMPRODUCT(--ISNUMBER(SEARCH(abortion,C143)))&gt;0)</f>
        <v>0</v>
      </c>
      <c r="W143" s="14" cm="1">
        <f t="array" ref="W143">INT(SUMPRODUCT(--ISNUMBER(SEARCH(trump,C143)))&gt;0)</f>
        <v>0</v>
      </c>
      <c r="X143" s="14" cm="1">
        <f t="array" ref="X143">INT(SUMPRODUCT(--ISNUMBER(SEARCH(voting,C143)))&gt;0)</f>
        <v>0</v>
      </c>
      <c r="Y143" s="35" cm="1">
        <f t="array" ref="Y143">INT(SUMPRODUCT(--ISNUMBER(SEARCH(republicantrigger,C143)))&gt;0)</f>
        <v>1</v>
      </c>
      <c r="Z143" s="35" cm="1">
        <f t="array" ref="Z143">INT(SUMPRODUCT(--ISNUMBER(SEARCH(bipartisan,C143)))&gt;0)</f>
        <v>0</v>
      </c>
      <c r="AA143" s="35">
        <f t="shared" si="2"/>
        <v>0</v>
      </c>
      <c r="AB143" s="14"/>
      <c r="AC143" s="30">
        <v>1</v>
      </c>
      <c r="AD143" s="37">
        <v>0</v>
      </c>
    </row>
    <row r="144" spans="1:30" x14ac:dyDescent="0.25">
      <c r="A144" s="36">
        <v>3111</v>
      </c>
      <c r="B144" s="14" t="s">
        <v>6247</v>
      </c>
      <c r="C144" s="14" t="s">
        <v>6248</v>
      </c>
      <c r="D144" s="17">
        <v>44119</v>
      </c>
      <c r="E144" s="14" t="s">
        <v>30</v>
      </c>
      <c r="F144" s="14">
        <v>6</v>
      </c>
      <c r="G144" s="14">
        <v>4</v>
      </c>
      <c r="H144" s="14">
        <v>14</v>
      </c>
      <c r="I144" s="14">
        <v>7</v>
      </c>
      <c r="J144" s="14" t="s">
        <v>31</v>
      </c>
      <c r="K144" s="14" cm="1">
        <f t="array" ref="K144">INT(SUMPRODUCT(--ISNUMBER(SEARCH(economy,C144)))&gt;0)</f>
        <v>0</v>
      </c>
      <c r="L144" s="14" cm="1">
        <f t="array" ref="L144">INT(SUMPRODUCT(--ISNUMBER(SEARCH(healthcare,C144)))&gt;0)</f>
        <v>1</v>
      </c>
      <c r="M144" s="14" cm="1">
        <f t="array" ref="M144">INT(SUMPRODUCT(--ISNUMBER(SEARCH(supreme,C144)))&gt;0)</f>
        <v>0</v>
      </c>
      <c r="N144" s="14" cm="1">
        <f t="array" ref="N144">INT(SUMPRODUCT(--ISNUMBER(SEARCH(covid,C144)))&gt;0)</f>
        <v>0</v>
      </c>
      <c r="O144" s="14" cm="1">
        <f t="array" ref="O144">INT(SUMPRODUCT(--ISNUMBER(SEARCH(violent,C144)))&gt;0)</f>
        <v>0</v>
      </c>
      <c r="P144" s="14" cm="1">
        <f t="array" ref="P144">INT(SUMPRODUCT(--ISNUMBER(SEARCH(foreign,C144)))&gt;0)</f>
        <v>0</v>
      </c>
      <c r="Q144" s="14" cm="1">
        <f t="array" ref="Q144">INT(SUMPRODUCT(--ISNUMBER(SEARCH(gun,C144)))&gt;0)</f>
        <v>0</v>
      </c>
      <c r="R144" s="14" cm="1">
        <f t="array" ref="R144">INT(SUMPRODUCT(--ISNUMBER(SEARCH(race,C144)))&gt;0)</f>
        <v>0</v>
      </c>
      <c r="S144" s="14" cm="1">
        <f t="array" ref="S144">INT(SUMPRODUCT(--ISNUMBER(SEARCH(immigration,C144)))&gt;0)</f>
        <v>0</v>
      </c>
      <c r="T144" s="14" cm="1">
        <f t="array" ref="T144">INT(SUMPRODUCT(--ISNUMBER(SEARCH(econineq,C145)))&gt;0)</f>
        <v>0</v>
      </c>
      <c r="U144" s="14" cm="1">
        <f t="array" ref="U144">INT(SUMPRODUCT(--ISNUMBER(SEARCH(climate,C144)))&gt;0)</f>
        <v>0</v>
      </c>
      <c r="V144" s="14" cm="1">
        <f t="array" ref="V144">INT(SUMPRODUCT(--ISNUMBER(SEARCH(abortion,C144)))&gt;0)</f>
        <v>0</v>
      </c>
      <c r="W144" s="14" cm="1">
        <f t="array" ref="W144">INT(SUMPRODUCT(--ISNUMBER(SEARCH(trump,C144)))&gt;0)</f>
        <v>0</v>
      </c>
      <c r="X144" s="14" cm="1">
        <f t="array" ref="X144">INT(SUMPRODUCT(--ISNUMBER(SEARCH(voting,C144)))&gt;0)</f>
        <v>0</v>
      </c>
      <c r="Y144" s="35" cm="1">
        <f t="array" ref="Y144">INT(SUMPRODUCT(--ISNUMBER(SEARCH(republicantrigger,C144)))&gt;0)</f>
        <v>1</v>
      </c>
      <c r="Z144" s="35" cm="1">
        <f t="array" ref="Z144">INT(SUMPRODUCT(--ISNUMBER(SEARCH(bipartisan,C144)))&gt;0)</f>
        <v>0</v>
      </c>
      <c r="AA144" s="35">
        <f t="shared" si="2"/>
        <v>0</v>
      </c>
      <c r="AB144" s="14"/>
      <c r="AC144" s="30" t="s">
        <v>223</v>
      </c>
      <c r="AD144" s="37" t="s">
        <v>223</v>
      </c>
    </row>
    <row r="145" spans="1:30" x14ac:dyDescent="0.25">
      <c r="A145" s="36">
        <v>3112</v>
      </c>
      <c r="B145" s="14" t="s">
        <v>6249</v>
      </c>
      <c r="C145" s="14" t="s">
        <v>6250</v>
      </c>
      <c r="D145" s="17">
        <v>44119</v>
      </c>
      <c r="E145" s="14" t="s">
        <v>30</v>
      </c>
      <c r="F145" s="14">
        <v>9</v>
      </c>
      <c r="G145" s="14">
        <v>2</v>
      </c>
      <c r="H145" s="14">
        <v>14</v>
      </c>
      <c r="I145" s="14">
        <v>7</v>
      </c>
      <c r="J145" s="14" t="s">
        <v>31</v>
      </c>
      <c r="K145" s="14" cm="1">
        <f t="array" ref="K145">INT(SUMPRODUCT(--ISNUMBER(SEARCH(economy,C145)))&gt;0)</f>
        <v>0</v>
      </c>
      <c r="L145" s="14" cm="1">
        <f t="array" ref="L145">INT(SUMPRODUCT(--ISNUMBER(SEARCH(healthcare,C145)))&gt;0)</f>
        <v>0</v>
      </c>
      <c r="M145" s="14" cm="1">
        <f t="array" ref="M145">INT(SUMPRODUCT(--ISNUMBER(SEARCH(supreme,C145)))&gt;0)</f>
        <v>0</v>
      </c>
      <c r="N145" s="14" cm="1">
        <f t="array" ref="N145">INT(SUMPRODUCT(--ISNUMBER(SEARCH(covid,C145)))&gt;0)</f>
        <v>1</v>
      </c>
      <c r="O145" s="14" cm="1">
        <f t="array" ref="O145">INT(SUMPRODUCT(--ISNUMBER(SEARCH(violent,C145)))&gt;0)</f>
        <v>0</v>
      </c>
      <c r="P145" s="14" cm="1">
        <f t="array" ref="P145">INT(SUMPRODUCT(--ISNUMBER(SEARCH(foreign,C145)))&gt;0)</f>
        <v>0</v>
      </c>
      <c r="Q145" s="14" cm="1">
        <f t="array" ref="Q145">INT(SUMPRODUCT(--ISNUMBER(SEARCH(gun,C145)))&gt;0)</f>
        <v>0</v>
      </c>
      <c r="R145" s="14" cm="1">
        <f t="array" ref="R145">INT(SUMPRODUCT(--ISNUMBER(SEARCH(race,C145)))&gt;0)</f>
        <v>0</v>
      </c>
      <c r="S145" s="14" cm="1">
        <f t="array" ref="S145">INT(SUMPRODUCT(--ISNUMBER(SEARCH(immigration,C145)))&gt;0)</f>
        <v>0</v>
      </c>
      <c r="T145" s="14" cm="1">
        <f t="array" ref="T145">INT(SUMPRODUCT(--ISNUMBER(SEARCH(econineq,C146)))&gt;0)</f>
        <v>0</v>
      </c>
      <c r="U145" s="14" cm="1">
        <f t="array" ref="U145">INT(SUMPRODUCT(--ISNUMBER(SEARCH(climate,C145)))&gt;0)</f>
        <v>0</v>
      </c>
      <c r="V145" s="14" cm="1">
        <f t="array" ref="V145">INT(SUMPRODUCT(--ISNUMBER(SEARCH(abortion,C145)))&gt;0)</f>
        <v>0</v>
      </c>
      <c r="W145" s="14" cm="1">
        <f t="array" ref="W145">INT(SUMPRODUCT(--ISNUMBER(SEARCH(trump,C145)))&gt;0)</f>
        <v>0</v>
      </c>
      <c r="X145" s="14" cm="1">
        <f t="array" ref="X145">INT(SUMPRODUCT(--ISNUMBER(SEARCH(voting,C145)))&gt;0)</f>
        <v>0</v>
      </c>
      <c r="Y145" s="35" cm="1">
        <f t="array" ref="Y145">INT(SUMPRODUCT(--ISNUMBER(SEARCH(republicantrigger,C145)))&gt;0)</f>
        <v>1</v>
      </c>
      <c r="Z145" s="35" cm="1">
        <f t="array" ref="Z145">INT(SUMPRODUCT(--ISNUMBER(SEARCH(bipartisan,C145)))&gt;0)</f>
        <v>0</v>
      </c>
      <c r="AA145" s="35">
        <f t="shared" si="2"/>
        <v>0</v>
      </c>
      <c r="AB145" s="14"/>
      <c r="AC145" s="30" t="s">
        <v>223</v>
      </c>
      <c r="AD145" s="37" t="s">
        <v>223</v>
      </c>
    </row>
    <row r="146" spans="1:30" x14ac:dyDescent="0.25">
      <c r="A146" s="36">
        <v>3113</v>
      </c>
      <c r="B146" s="14" t="s">
        <v>6251</v>
      </c>
      <c r="C146" s="14" t="s">
        <v>6252</v>
      </c>
      <c r="D146" s="17">
        <v>44119</v>
      </c>
      <c r="E146" s="14" t="s">
        <v>30</v>
      </c>
      <c r="F146" s="14">
        <v>10</v>
      </c>
      <c r="G146" s="14">
        <v>4</v>
      </c>
      <c r="H146" s="14">
        <v>14</v>
      </c>
      <c r="I146" s="14">
        <v>7</v>
      </c>
      <c r="J146" s="14" t="s">
        <v>31</v>
      </c>
      <c r="K146" s="14" cm="1">
        <f t="array" ref="K146">INT(SUMPRODUCT(--ISNUMBER(SEARCH(economy,C146)))&gt;0)</f>
        <v>1</v>
      </c>
      <c r="L146" s="14" cm="1">
        <f t="array" ref="L146">INT(SUMPRODUCT(--ISNUMBER(SEARCH(healthcare,C146)))&gt;0)</f>
        <v>0</v>
      </c>
      <c r="M146" s="14" cm="1">
        <f t="array" ref="M146">INT(SUMPRODUCT(--ISNUMBER(SEARCH(supreme,C146)))&gt;0)</f>
        <v>0</v>
      </c>
      <c r="N146" s="14" cm="1">
        <f t="array" ref="N146">INT(SUMPRODUCT(--ISNUMBER(SEARCH(covid,C146)))&gt;0)</f>
        <v>0</v>
      </c>
      <c r="O146" s="14" cm="1">
        <f t="array" ref="O146">INT(SUMPRODUCT(--ISNUMBER(SEARCH(violent,C146)))&gt;0)</f>
        <v>0</v>
      </c>
      <c r="P146" s="14" cm="1">
        <f t="array" ref="P146">INT(SUMPRODUCT(--ISNUMBER(SEARCH(foreign,C146)))&gt;0)</f>
        <v>0</v>
      </c>
      <c r="Q146" s="14" cm="1">
        <f t="array" ref="Q146">INT(SUMPRODUCT(--ISNUMBER(SEARCH(gun,C146)))&gt;0)</f>
        <v>0</v>
      </c>
      <c r="R146" s="14" cm="1">
        <f t="array" ref="R146">INT(SUMPRODUCT(--ISNUMBER(SEARCH(race,C146)))&gt;0)</f>
        <v>0</v>
      </c>
      <c r="S146" s="14" cm="1">
        <f t="array" ref="S146">INT(SUMPRODUCT(--ISNUMBER(SEARCH(immigration,C146)))&gt;0)</f>
        <v>0</v>
      </c>
      <c r="T146" s="14" cm="1">
        <f t="array" ref="T146">INT(SUMPRODUCT(--ISNUMBER(SEARCH(econineq,C147)))&gt;0)</f>
        <v>0</v>
      </c>
      <c r="U146" s="14" cm="1">
        <f t="array" ref="U146">INT(SUMPRODUCT(--ISNUMBER(SEARCH(climate,C146)))&gt;0)</f>
        <v>0</v>
      </c>
      <c r="V146" s="14" cm="1">
        <f t="array" ref="V146">INT(SUMPRODUCT(--ISNUMBER(SEARCH(abortion,C146)))&gt;0)</f>
        <v>0</v>
      </c>
      <c r="W146" s="14" cm="1">
        <f t="array" ref="W146">INT(SUMPRODUCT(--ISNUMBER(SEARCH(trump,C146)))&gt;0)</f>
        <v>0</v>
      </c>
      <c r="X146" s="14" cm="1">
        <f t="array" ref="X146">INT(SUMPRODUCT(--ISNUMBER(SEARCH(voting,C146)))&gt;0)</f>
        <v>0</v>
      </c>
      <c r="Y146" s="35" cm="1">
        <f t="array" ref="Y146">INT(SUMPRODUCT(--ISNUMBER(SEARCH(republicantrigger,C146)))&gt;0)</f>
        <v>1</v>
      </c>
      <c r="Z146" s="35" cm="1">
        <f t="array" ref="Z146">INT(SUMPRODUCT(--ISNUMBER(SEARCH(bipartisan,C146)))&gt;0)</f>
        <v>0</v>
      </c>
      <c r="AA146" s="35">
        <f t="shared" si="2"/>
        <v>0</v>
      </c>
      <c r="AB146" s="14"/>
      <c r="AC146" s="30" t="s">
        <v>223</v>
      </c>
      <c r="AD146" s="37" t="s">
        <v>223</v>
      </c>
    </row>
    <row r="147" spans="1:30" x14ac:dyDescent="0.25">
      <c r="A147" s="36">
        <v>3114</v>
      </c>
      <c r="B147" s="14" t="s">
        <v>6253</v>
      </c>
      <c r="C147" s="14" t="s">
        <v>6254</v>
      </c>
      <c r="D147" s="17">
        <v>44119</v>
      </c>
      <c r="E147" s="14" t="s">
        <v>30</v>
      </c>
      <c r="F147" s="14">
        <v>4</v>
      </c>
      <c r="G147" s="14">
        <v>1</v>
      </c>
      <c r="H147" s="14">
        <v>14</v>
      </c>
      <c r="I147" s="14">
        <v>7</v>
      </c>
      <c r="J147" s="14" t="s">
        <v>31</v>
      </c>
      <c r="K147" s="14" cm="1">
        <f t="array" ref="K147">INT(SUMPRODUCT(--ISNUMBER(SEARCH(economy,C147)))&gt;0)</f>
        <v>0</v>
      </c>
      <c r="L147" s="14" cm="1">
        <f t="array" ref="L147">INT(SUMPRODUCT(--ISNUMBER(SEARCH(healthcare,C147)))&gt;0)</f>
        <v>0</v>
      </c>
      <c r="M147" s="14" cm="1">
        <f t="array" ref="M147">INT(SUMPRODUCT(--ISNUMBER(SEARCH(supreme,C147)))&gt;0)</f>
        <v>0</v>
      </c>
      <c r="N147" s="14" cm="1">
        <f t="array" ref="N147">INT(SUMPRODUCT(--ISNUMBER(SEARCH(covid,C147)))&gt;0)</f>
        <v>1</v>
      </c>
      <c r="O147" s="14" cm="1">
        <f t="array" ref="O147">INT(SUMPRODUCT(--ISNUMBER(SEARCH(violent,C147)))&gt;0)</f>
        <v>0</v>
      </c>
      <c r="P147" s="14" cm="1">
        <f t="array" ref="P147">INT(SUMPRODUCT(--ISNUMBER(SEARCH(foreign,C147)))&gt;0)</f>
        <v>0</v>
      </c>
      <c r="Q147" s="14" cm="1">
        <f t="array" ref="Q147">INT(SUMPRODUCT(--ISNUMBER(SEARCH(gun,C147)))&gt;0)</f>
        <v>0</v>
      </c>
      <c r="R147" s="14" cm="1">
        <f t="array" ref="R147">INT(SUMPRODUCT(--ISNUMBER(SEARCH(race,C147)))&gt;0)</f>
        <v>0</v>
      </c>
      <c r="S147" s="14" cm="1">
        <f t="array" ref="S147">INT(SUMPRODUCT(--ISNUMBER(SEARCH(immigration,C147)))&gt;0)</f>
        <v>0</v>
      </c>
      <c r="T147" s="14" cm="1">
        <f t="array" ref="T147">INT(SUMPRODUCT(--ISNUMBER(SEARCH(econineq,C148)))&gt;0)</f>
        <v>0</v>
      </c>
      <c r="U147" s="14" cm="1">
        <f t="array" ref="U147">INT(SUMPRODUCT(--ISNUMBER(SEARCH(climate,C147)))&gt;0)</f>
        <v>0</v>
      </c>
      <c r="V147" s="14" cm="1">
        <f t="array" ref="V147">INT(SUMPRODUCT(--ISNUMBER(SEARCH(abortion,C147)))&gt;0)</f>
        <v>0</v>
      </c>
      <c r="W147" s="14" cm="1">
        <f t="array" ref="W147">INT(SUMPRODUCT(--ISNUMBER(SEARCH(trump,C147)))&gt;0)</f>
        <v>0</v>
      </c>
      <c r="X147" s="14" cm="1">
        <f t="array" ref="X147">INT(SUMPRODUCT(--ISNUMBER(SEARCH(voting,C147)))&gt;0)</f>
        <v>0</v>
      </c>
      <c r="Y147" s="35" cm="1">
        <f t="array" ref="Y147">INT(SUMPRODUCT(--ISNUMBER(SEARCH(republicantrigger,C147)))&gt;0)</f>
        <v>1</v>
      </c>
      <c r="Z147" s="35" cm="1">
        <f t="array" ref="Z147">INT(SUMPRODUCT(--ISNUMBER(SEARCH(bipartisan,C147)))&gt;0)</f>
        <v>0</v>
      </c>
      <c r="AA147" s="35">
        <f t="shared" si="2"/>
        <v>0</v>
      </c>
      <c r="AB147" s="14"/>
      <c r="AC147" s="30" t="s">
        <v>223</v>
      </c>
      <c r="AD147" s="37" t="s">
        <v>223</v>
      </c>
    </row>
    <row r="148" spans="1:30" x14ac:dyDescent="0.25">
      <c r="A148" s="36">
        <v>3115</v>
      </c>
      <c r="B148" s="14" t="s">
        <v>6255</v>
      </c>
      <c r="C148" s="14" t="s">
        <v>6256</v>
      </c>
      <c r="D148" s="17">
        <v>44119</v>
      </c>
      <c r="E148" s="14" t="s">
        <v>30</v>
      </c>
      <c r="F148" s="14">
        <v>10</v>
      </c>
      <c r="G148" s="14">
        <v>7</v>
      </c>
      <c r="H148" s="14">
        <v>14</v>
      </c>
      <c r="I148" s="14">
        <v>7</v>
      </c>
      <c r="J148" s="14" t="s">
        <v>31</v>
      </c>
      <c r="K148" s="14" cm="1">
        <f t="array" ref="K148">INT(SUMPRODUCT(--ISNUMBER(SEARCH(economy,C148)))&gt;0)</f>
        <v>0</v>
      </c>
      <c r="L148" s="14" cm="1">
        <f t="array" ref="L148">INT(SUMPRODUCT(--ISNUMBER(SEARCH(healthcare,C148)))&gt;0)</f>
        <v>0</v>
      </c>
      <c r="M148" s="14" cm="1">
        <f t="array" ref="M148">INT(SUMPRODUCT(--ISNUMBER(SEARCH(supreme,C148)))&gt;0)</f>
        <v>0</v>
      </c>
      <c r="N148" s="14" cm="1">
        <f t="array" ref="N148">INT(SUMPRODUCT(--ISNUMBER(SEARCH(covid,C148)))&gt;0)</f>
        <v>1</v>
      </c>
      <c r="O148" s="14" cm="1">
        <f t="array" ref="O148">INT(SUMPRODUCT(--ISNUMBER(SEARCH(violent,C148)))&gt;0)</f>
        <v>0</v>
      </c>
      <c r="P148" s="14" cm="1">
        <f t="array" ref="P148">INT(SUMPRODUCT(--ISNUMBER(SEARCH(foreign,C148)))&gt;0)</f>
        <v>0</v>
      </c>
      <c r="Q148" s="14" cm="1">
        <f t="array" ref="Q148">INT(SUMPRODUCT(--ISNUMBER(SEARCH(gun,C148)))&gt;0)</f>
        <v>0</v>
      </c>
      <c r="R148" s="14" cm="1">
        <f t="array" ref="R148">INT(SUMPRODUCT(--ISNUMBER(SEARCH(race,C148)))&gt;0)</f>
        <v>0</v>
      </c>
      <c r="S148" s="14" cm="1">
        <f t="array" ref="S148">INT(SUMPRODUCT(--ISNUMBER(SEARCH(immigration,C148)))&gt;0)</f>
        <v>0</v>
      </c>
      <c r="T148" s="14" cm="1">
        <f t="array" ref="T148">INT(SUMPRODUCT(--ISNUMBER(SEARCH(econineq,C149)))&gt;0)</f>
        <v>0</v>
      </c>
      <c r="U148" s="14" cm="1">
        <f t="array" ref="U148">INT(SUMPRODUCT(--ISNUMBER(SEARCH(climate,C148)))&gt;0)</f>
        <v>0</v>
      </c>
      <c r="V148" s="14" cm="1">
        <f t="array" ref="V148">INT(SUMPRODUCT(--ISNUMBER(SEARCH(abortion,C148)))&gt;0)</f>
        <v>0</v>
      </c>
      <c r="W148" s="14" cm="1">
        <f t="array" ref="W148">INT(SUMPRODUCT(--ISNUMBER(SEARCH(trump,C148)))&gt;0)</f>
        <v>0</v>
      </c>
      <c r="X148" s="14" cm="1">
        <f t="array" ref="X148">INT(SUMPRODUCT(--ISNUMBER(SEARCH(voting,C148)))&gt;0)</f>
        <v>0</v>
      </c>
      <c r="Y148" s="35" cm="1">
        <f t="array" ref="Y148">INT(SUMPRODUCT(--ISNUMBER(SEARCH(republicantrigger,C148)))&gt;0)</f>
        <v>0</v>
      </c>
      <c r="Z148" s="35" cm="1">
        <f t="array" ref="Z148">INT(SUMPRODUCT(--ISNUMBER(SEARCH(bipartisan,C148)))&gt;0)</f>
        <v>0</v>
      </c>
      <c r="AA148" s="35">
        <f t="shared" si="2"/>
        <v>0</v>
      </c>
      <c r="AB148" s="14"/>
      <c r="AC148" s="30" t="s">
        <v>223</v>
      </c>
      <c r="AD148" s="37" t="s">
        <v>223</v>
      </c>
    </row>
    <row r="149" spans="1:30" x14ac:dyDescent="0.25">
      <c r="A149" s="36">
        <v>3116</v>
      </c>
      <c r="B149" s="14" t="s">
        <v>6257</v>
      </c>
      <c r="C149" s="14" t="s">
        <v>6258</v>
      </c>
      <c r="D149" s="17">
        <v>44119</v>
      </c>
      <c r="E149" s="14" t="s">
        <v>30</v>
      </c>
      <c r="F149" s="14">
        <v>17</v>
      </c>
      <c r="G149" s="14">
        <v>8</v>
      </c>
      <c r="H149" s="14">
        <v>14</v>
      </c>
      <c r="I149" s="14">
        <v>7</v>
      </c>
      <c r="J149" s="14" t="s">
        <v>31</v>
      </c>
      <c r="K149" s="14" cm="1">
        <f t="array" ref="K149">INT(SUMPRODUCT(--ISNUMBER(SEARCH(economy,C149)))&gt;0)</f>
        <v>0</v>
      </c>
      <c r="L149" s="14" cm="1">
        <f t="array" ref="L149">INT(SUMPRODUCT(--ISNUMBER(SEARCH(healthcare,C149)))&gt;0)</f>
        <v>0</v>
      </c>
      <c r="M149" s="14" cm="1">
        <f t="array" ref="M149">INT(SUMPRODUCT(--ISNUMBER(SEARCH(supreme,C149)))&gt;0)</f>
        <v>0</v>
      </c>
      <c r="N149" s="14" cm="1">
        <f t="array" ref="N149">INT(SUMPRODUCT(--ISNUMBER(SEARCH(covid,C149)))&gt;0)</f>
        <v>1</v>
      </c>
      <c r="O149" s="14" cm="1">
        <f t="array" ref="O149">INT(SUMPRODUCT(--ISNUMBER(SEARCH(violent,C149)))&gt;0)</f>
        <v>0</v>
      </c>
      <c r="P149" s="14" cm="1">
        <f t="array" ref="P149">INT(SUMPRODUCT(--ISNUMBER(SEARCH(foreign,C149)))&gt;0)</f>
        <v>0</v>
      </c>
      <c r="Q149" s="14" cm="1">
        <f t="array" ref="Q149">INT(SUMPRODUCT(--ISNUMBER(SEARCH(gun,C149)))&gt;0)</f>
        <v>0</v>
      </c>
      <c r="R149" s="14" cm="1">
        <f t="array" ref="R149">INT(SUMPRODUCT(--ISNUMBER(SEARCH(race,C149)))&gt;0)</f>
        <v>0</v>
      </c>
      <c r="S149" s="14" cm="1">
        <f t="array" ref="S149">INT(SUMPRODUCT(--ISNUMBER(SEARCH(immigration,C149)))&gt;0)</f>
        <v>0</v>
      </c>
      <c r="T149" s="14" cm="1">
        <f t="array" ref="T149">INT(SUMPRODUCT(--ISNUMBER(SEARCH(econineq,C150)))&gt;0)</f>
        <v>0</v>
      </c>
      <c r="U149" s="14" cm="1">
        <f t="array" ref="U149">INT(SUMPRODUCT(--ISNUMBER(SEARCH(climate,C149)))&gt;0)</f>
        <v>0</v>
      </c>
      <c r="V149" s="14" cm="1">
        <f t="array" ref="V149">INT(SUMPRODUCT(--ISNUMBER(SEARCH(abortion,C149)))&gt;0)</f>
        <v>0</v>
      </c>
      <c r="W149" s="14" cm="1">
        <f t="array" ref="W149">INT(SUMPRODUCT(--ISNUMBER(SEARCH(trump,C149)))&gt;0)</f>
        <v>1</v>
      </c>
      <c r="X149" s="14" cm="1">
        <f t="array" ref="X149">INT(SUMPRODUCT(--ISNUMBER(SEARCH(voting,C149)))&gt;0)</f>
        <v>0</v>
      </c>
      <c r="Y149" s="35" cm="1">
        <f t="array" ref="Y149">INT(SUMPRODUCT(--ISNUMBER(SEARCH(republicantrigger,C149)))&gt;0)</f>
        <v>1</v>
      </c>
      <c r="Z149" s="35" cm="1">
        <f t="array" ref="Z149">INT(SUMPRODUCT(--ISNUMBER(SEARCH(bipartisan,C149)))&gt;0)</f>
        <v>0</v>
      </c>
      <c r="AA149" s="35">
        <f t="shared" si="2"/>
        <v>0</v>
      </c>
      <c r="AB149" s="14"/>
      <c r="AC149" s="30" t="s">
        <v>223</v>
      </c>
      <c r="AD149" s="37" t="s">
        <v>223</v>
      </c>
    </row>
    <row r="150" spans="1:30" x14ac:dyDescent="0.25">
      <c r="A150" s="36">
        <v>3117</v>
      </c>
      <c r="B150" s="14" t="s">
        <v>6259</v>
      </c>
      <c r="C150" s="14" t="s">
        <v>6260</v>
      </c>
      <c r="D150" s="17">
        <v>44119</v>
      </c>
      <c r="E150" s="14" t="s">
        <v>30</v>
      </c>
      <c r="F150" s="14">
        <v>10</v>
      </c>
      <c r="G150" s="14">
        <v>5</v>
      </c>
      <c r="H150" s="14">
        <v>14</v>
      </c>
      <c r="I150" s="14">
        <v>7</v>
      </c>
      <c r="J150" s="14" t="s">
        <v>31</v>
      </c>
      <c r="K150" s="14" cm="1">
        <f t="array" ref="K150">INT(SUMPRODUCT(--ISNUMBER(SEARCH(economy,C150)))&gt;0)</f>
        <v>0</v>
      </c>
      <c r="L150" s="14" cm="1">
        <f t="array" ref="L150">INT(SUMPRODUCT(--ISNUMBER(SEARCH(healthcare,C150)))&gt;0)</f>
        <v>0</v>
      </c>
      <c r="M150" s="14" cm="1">
        <f t="array" ref="M150">INT(SUMPRODUCT(--ISNUMBER(SEARCH(supreme,C150)))&gt;0)</f>
        <v>0</v>
      </c>
      <c r="N150" s="14" cm="1">
        <f t="array" ref="N150">INT(SUMPRODUCT(--ISNUMBER(SEARCH(covid,C150)))&gt;0)</f>
        <v>0</v>
      </c>
      <c r="O150" s="14" cm="1">
        <f t="array" ref="O150">INT(SUMPRODUCT(--ISNUMBER(SEARCH(violent,C150)))&gt;0)</f>
        <v>0</v>
      </c>
      <c r="P150" s="14" cm="1">
        <f t="array" ref="P150">INT(SUMPRODUCT(--ISNUMBER(SEARCH(foreign,C150)))&gt;0)</f>
        <v>0</v>
      </c>
      <c r="Q150" s="14" cm="1">
        <f t="array" ref="Q150">INT(SUMPRODUCT(--ISNUMBER(SEARCH(gun,C150)))&gt;0)</f>
        <v>0</v>
      </c>
      <c r="R150" s="14" cm="1">
        <f t="array" ref="R150">INT(SUMPRODUCT(--ISNUMBER(SEARCH(race,C150)))&gt;0)</f>
        <v>0</v>
      </c>
      <c r="S150" s="14" cm="1">
        <f t="array" ref="S150">INT(SUMPRODUCT(--ISNUMBER(SEARCH(immigration,C150)))&gt;0)</f>
        <v>0</v>
      </c>
      <c r="T150" s="14" cm="1">
        <f t="array" ref="T150">INT(SUMPRODUCT(--ISNUMBER(SEARCH(econineq,C151)))&gt;0)</f>
        <v>0</v>
      </c>
      <c r="U150" s="14" cm="1">
        <f t="array" ref="U150">INT(SUMPRODUCT(--ISNUMBER(SEARCH(climate,C150)))&gt;0)</f>
        <v>0</v>
      </c>
      <c r="V150" s="14" cm="1">
        <f t="array" ref="V150">INT(SUMPRODUCT(--ISNUMBER(SEARCH(abortion,C150)))&gt;0)</f>
        <v>0</v>
      </c>
      <c r="W150" s="14" cm="1">
        <f t="array" ref="W150">INT(SUMPRODUCT(--ISNUMBER(SEARCH(trump,C150)))&gt;0)</f>
        <v>0</v>
      </c>
      <c r="X150" s="14" cm="1">
        <f t="array" ref="X150">INT(SUMPRODUCT(--ISNUMBER(SEARCH(voting,C150)))&gt;0)</f>
        <v>0</v>
      </c>
      <c r="Y150" s="35" cm="1">
        <f t="array" ref="Y150">INT(SUMPRODUCT(--ISNUMBER(SEARCH(republicantrigger,C150)))&gt;0)</f>
        <v>1</v>
      </c>
      <c r="Z150" s="35" cm="1">
        <f t="array" ref="Z150">INT(SUMPRODUCT(--ISNUMBER(SEARCH(bipartisan,C150)))&gt;0)</f>
        <v>0</v>
      </c>
      <c r="AA150" s="35">
        <f t="shared" si="2"/>
        <v>0</v>
      </c>
      <c r="AB150" s="14"/>
      <c r="AC150" s="30" t="s">
        <v>223</v>
      </c>
      <c r="AD150" s="37" t="s">
        <v>223</v>
      </c>
    </row>
    <row r="151" spans="1:30" x14ac:dyDescent="0.25">
      <c r="A151" s="36">
        <v>3118</v>
      </c>
      <c r="B151" s="14" t="s">
        <v>6261</v>
      </c>
      <c r="C151" s="14" t="s">
        <v>6262</v>
      </c>
      <c r="D151" s="17">
        <v>44119</v>
      </c>
      <c r="E151" s="14" t="s">
        <v>30</v>
      </c>
      <c r="F151" s="14">
        <v>15</v>
      </c>
      <c r="G151" s="14">
        <v>6</v>
      </c>
      <c r="H151" s="14">
        <v>14</v>
      </c>
      <c r="I151" s="14">
        <v>7</v>
      </c>
      <c r="J151" s="14" t="s">
        <v>31</v>
      </c>
      <c r="K151" s="14" cm="1">
        <f t="array" ref="K151">INT(SUMPRODUCT(--ISNUMBER(SEARCH(economy,C151)))&gt;0)</f>
        <v>0</v>
      </c>
      <c r="L151" s="14" cm="1">
        <f t="array" ref="L151">INT(SUMPRODUCT(--ISNUMBER(SEARCH(healthcare,C151)))&gt;0)</f>
        <v>0</v>
      </c>
      <c r="M151" s="14" cm="1">
        <f t="array" ref="M151">INT(SUMPRODUCT(--ISNUMBER(SEARCH(supreme,C151)))&gt;0)</f>
        <v>1</v>
      </c>
      <c r="N151" s="14" cm="1">
        <f t="array" ref="N151">INT(SUMPRODUCT(--ISNUMBER(SEARCH(covid,C151)))&gt;0)</f>
        <v>0</v>
      </c>
      <c r="O151" s="14" cm="1">
        <f t="array" ref="O151">INT(SUMPRODUCT(--ISNUMBER(SEARCH(violent,C151)))&gt;0)</f>
        <v>0</v>
      </c>
      <c r="P151" s="14" cm="1">
        <f t="array" ref="P151">INT(SUMPRODUCT(--ISNUMBER(SEARCH(foreign,C151)))&gt;0)</f>
        <v>0</v>
      </c>
      <c r="Q151" s="14" cm="1">
        <f t="array" ref="Q151">INT(SUMPRODUCT(--ISNUMBER(SEARCH(gun,C151)))&gt;0)</f>
        <v>0</v>
      </c>
      <c r="R151" s="14" cm="1">
        <f t="array" ref="R151">INT(SUMPRODUCT(--ISNUMBER(SEARCH(race,C151)))&gt;0)</f>
        <v>0</v>
      </c>
      <c r="S151" s="14" cm="1">
        <f t="array" ref="S151">INT(SUMPRODUCT(--ISNUMBER(SEARCH(immigration,C151)))&gt;0)</f>
        <v>0</v>
      </c>
      <c r="T151" s="14" cm="1">
        <f t="array" ref="T151">INT(SUMPRODUCT(--ISNUMBER(SEARCH(econineq,C152)))&gt;0)</f>
        <v>0</v>
      </c>
      <c r="U151" s="14" cm="1">
        <f t="array" ref="U151">INT(SUMPRODUCT(--ISNUMBER(SEARCH(climate,C151)))&gt;0)</f>
        <v>0</v>
      </c>
      <c r="V151" s="14" cm="1">
        <f t="array" ref="V151">INT(SUMPRODUCT(--ISNUMBER(SEARCH(abortion,C151)))&gt;0)</f>
        <v>0</v>
      </c>
      <c r="W151" s="14" cm="1">
        <f t="array" ref="W151">INT(SUMPRODUCT(--ISNUMBER(SEARCH(trump,C151)))&gt;0)</f>
        <v>0</v>
      </c>
      <c r="X151" s="14" cm="1">
        <f t="array" ref="X151">INT(SUMPRODUCT(--ISNUMBER(SEARCH(voting,C151)))&gt;0)</f>
        <v>0</v>
      </c>
      <c r="Y151" s="35" cm="1">
        <f t="array" ref="Y151">INT(SUMPRODUCT(--ISNUMBER(SEARCH(republicantrigger,C151)))&gt;0)</f>
        <v>0</v>
      </c>
      <c r="Z151" s="35" cm="1">
        <f t="array" ref="Z151">INT(SUMPRODUCT(--ISNUMBER(SEARCH(bipartisan,C151)))&gt;0)</f>
        <v>0</v>
      </c>
      <c r="AA151" s="35">
        <f t="shared" si="2"/>
        <v>0</v>
      </c>
      <c r="AB151" s="14"/>
      <c r="AC151" s="30" t="s">
        <v>223</v>
      </c>
      <c r="AD151" s="37" t="s">
        <v>223</v>
      </c>
    </row>
    <row r="152" spans="1:30" x14ac:dyDescent="0.25">
      <c r="A152" s="36">
        <v>3119</v>
      </c>
      <c r="B152" s="14" t="s">
        <v>6263</v>
      </c>
      <c r="C152" s="14" t="s">
        <v>6264</v>
      </c>
      <c r="D152" s="17">
        <v>44119</v>
      </c>
      <c r="E152" s="14" t="s">
        <v>30</v>
      </c>
      <c r="F152" s="14">
        <v>16</v>
      </c>
      <c r="G152" s="14">
        <v>8</v>
      </c>
      <c r="H152" s="14">
        <v>14</v>
      </c>
      <c r="I152" s="14">
        <v>7</v>
      </c>
      <c r="J152" s="14" t="s">
        <v>31</v>
      </c>
      <c r="K152" s="14" cm="1">
        <f t="array" ref="K152">INT(SUMPRODUCT(--ISNUMBER(SEARCH(economy,C152)))&gt;0)</f>
        <v>0</v>
      </c>
      <c r="L152" s="14" cm="1">
        <f t="array" ref="L152">INT(SUMPRODUCT(--ISNUMBER(SEARCH(healthcare,C152)))&gt;0)</f>
        <v>0</v>
      </c>
      <c r="M152" s="14" cm="1">
        <f t="array" ref="M152">INT(SUMPRODUCT(--ISNUMBER(SEARCH(supreme,C152)))&gt;0)</f>
        <v>1</v>
      </c>
      <c r="N152" s="14" cm="1">
        <f t="array" ref="N152">INT(SUMPRODUCT(--ISNUMBER(SEARCH(covid,C152)))&gt;0)</f>
        <v>0</v>
      </c>
      <c r="O152" s="14" cm="1">
        <f t="array" ref="O152">INT(SUMPRODUCT(--ISNUMBER(SEARCH(violent,C152)))&gt;0)</f>
        <v>0</v>
      </c>
      <c r="P152" s="14" cm="1">
        <f t="array" ref="P152">INT(SUMPRODUCT(--ISNUMBER(SEARCH(foreign,C152)))&gt;0)</f>
        <v>0</v>
      </c>
      <c r="Q152" s="14" cm="1">
        <f t="array" ref="Q152">INT(SUMPRODUCT(--ISNUMBER(SEARCH(gun,C152)))&gt;0)</f>
        <v>0</v>
      </c>
      <c r="R152" s="14" cm="1">
        <f t="array" ref="R152">INT(SUMPRODUCT(--ISNUMBER(SEARCH(race,C152)))&gt;0)</f>
        <v>0</v>
      </c>
      <c r="S152" s="14" cm="1">
        <f t="array" ref="S152">INT(SUMPRODUCT(--ISNUMBER(SEARCH(immigration,C152)))&gt;0)</f>
        <v>0</v>
      </c>
      <c r="T152" s="14" cm="1">
        <f t="array" ref="T152">INT(SUMPRODUCT(--ISNUMBER(SEARCH(econineq,C153)))&gt;0)</f>
        <v>0</v>
      </c>
      <c r="U152" s="14" cm="1">
        <f t="array" ref="U152">INT(SUMPRODUCT(--ISNUMBER(SEARCH(climate,C152)))&gt;0)</f>
        <v>0</v>
      </c>
      <c r="V152" s="14" cm="1">
        <f t="array" ref="V152">INT(SUMPRODUCT(--ISNUMBER(SEARCH(abortion,C152)))&gt;0)</f>
        <v>0</v>
      </c>
      <c r="W152" s="14" cm="1">
        <f t="array" ref="W152">INT(SUMPRODUCT(--ISNUMBER(SEARCH(trump,C152)))&gt;0)</f>
        <v>0</v>
      </c>
      <c r="X152" s="14" cm="1">
        <f t="array" ref="X152">INT(SUMPRODUCT(--ISNUMBER(SEARCH(voting,C152)))&gt;0)</f>
        <v>0</v>
      </c>
      <c r="Y152" s="35" cm="1">
        <f t="array" ref="Y152">INT(SUMPRODUCT(--ISNUMBER(SEARCH(republicantrigger,C152)))&gt;0)</f>
        <v>1</v>
      </c>
      <c r="Z152" s="35" cm="1">
        <f t="array" ref="Z152">INT(SUMPRODUCT(--ISNUMBER(SEARCH(bipartisan,C152)))&gt;0)</f>
        <v>0</v>
      </c>
      <c r="AA152" s="35">
        <f t="shared" si="2"/>
        <v>0</v>
      </c>
      <c r="AB152" s="14"/>
      <c r="AC152" s="30" t="s">
        <v>223</v>
      </c>
      <c r="AD152" s="37" t="s">
        <v>223</v>
      </c>
    </row>
    <row r="153" spans="1:30" x14ac:dyDescent="0.25">
      <c r="A153" s="36">
        <v>3120</v>
      </c>
      <c r="B153" s="14" t="s">
        <v>6265</v>
      </c>
      <c r="C153" s="14" t="s">
        <v>6266</v>
      </c>
      <c r="D153" s="17">
        <v>44119</v>
      </c>
      <c r="E153" s="14" t="s">
        <v>30</v>
      </c>
      <c r="F153" s="14">
        <v>9</v>
      </c>
      <c r="G153" s="14">
        <v>6</v>
      </c>
      <c r="H153" s="14">
        <v>14</v>
      </c>
      <c r="I153" s="14">
        <v>7</v>
      </c>
      <c r="J153" s="14" t="s">
        <v>31</v>
      </c>
      <c r="K153" s="14" cm="1">
        <f t="array" ref="K153">INT(SUMPRODUCT(--ISNUMBER(SEARCH(economy,C153)))&gt;0)</f>
        <v>0</v>
      </c>
      <c r="L153" s="14" cm="1">
        <f t="array" ref="L153">INT(SUMPRODUCT(--ISNUMBER(SEARCH(healthcare,C153)))&gt;0)</f>
        <v>1</v>
      </c>
      <c r="M153" s="14" cm="1">
        <f t="array" ref="M153">INT(SUMPRODUCT(--ISNUMBER(SEARCH(supreme,C153)))&gt;0)</f>
        <v>1</v>
      </c>
      <c r="N153" s="14" cm="1">
        <f t="array" ref="N153">INT(SUMPRODUCT(--ISNUMBER(SEARCH(covid,C153)))&gt;0)</f>
        <v>0</v>
      </c>
      <c r="O153" s="14" cm="1">
        <f t="array" ref="O153">INT(SUMPRODUCT(--ISNUMBER(SEARCH(violent,C153)))&gt;0)</f>
        <v>0</v>
      </c>
      <c r="P153" s="14" cm="1">
        <f t="array" ref="P153">INT(SUMPRODUCT(--ISNUMBER(SEARCH(foreign,C153)))&gt;0)</f>
        <v>0</v>
      </c>
      <c r="Q153" s="14" cm="1">
        <f t="array" ref="Q153">INT(SUMPRODUCT(--ISNUMBER(SEARCH(gun,C153)))&gt;0)</f>
        <v>0</v>
      </c>
      <c r="R153" s="14" cm="1">
        <f t="array" ref="R153">INT(SUMPRODUCT(--ISNUMBER(SEARCH(race,C153)))&gt;0)</f>
        <v>0</v>
      </c>
      <c r="S153" s="14" cm="1">
        <f t="array" ref="S153">INT(SUMPRODUCT(--ISNUMBER(SEARCH(immigration,C153)))&gt;0)</f>
        <v>0</v>
      </c>
      <c r="T153" s="14" cm="1">
        <f t="array" ref="T153">INT(SUMPRODUCT(--ISNUMBER(SEARCH(econineq,C154)))&gt;0)</f>
        <v>0</v>
      </c>
      <c r="U153" s="14" cm="1">
        <f t="array" ref="U153">INT(SUMPRODUCT(--ISNUMBER(SEARCH(climate,C153)))&gt;0)</f>
        <v>0</v>
      </c>
      <c r="V153" s="14" cm="1">
        <f t="array" ref="V153">INT(SUMPRODUCT(--ISNUMBER(SEARCH(abortion,C153)))&gt;0)</f>
        <v>0</v>
      </c>
      <c r="W153" s="14" cm="1">
        <f t="array" ref="W153">INT(SUMPRODUCT(--ISNUMBER(SEARCH(trump,C153)))&gt;0)</f>
        <v>0</v>
      </c>
      <c r="X153" s="14" cm="1">
        <f t="array" ref="X153">INT(SUMPRODUCT(--ISNUMBER(SEARCH(voting,C153)))&gt;0)</f>
        <v>0</v>
      </c>
      <c r="Y153" s="35" cm="1">
        <f t="array" ref="Y153">INT(SUMPRODUCT(--ISNUMBER(SEARCH(republicantrigger,C153)))&gt;0)</f>
        <v>1</v>
      </c>
      <c r="Z153" s="35" cm="1">
        <f t="array" ref="Z153">INT(SUMPRODUCT(--ISNUMBER(SEARCH(bipartisan,C153)))&gt;0)</f>
        <v>0</v>
      </c>
      <c r="AA153" s="35">
        <f t="shared" si="2"/>
        <v>0</v>
      </c>
      <c r="AB153" s="14"/>
      <c r="AC153" s="30" t="s">
        <v>223</v>
      </c>
      <c r="AD153" s="37" t="s">
        <v>223</v>
      </c>
    </row>
    <row r="154" spans="1:30" x14ac:dyDescent="0.25">
      <c r="A154" s="36">
        <v>3121</v>
      </c>
      <c r="B154" s="14" t="s">
        <v>6267</v>
      </c>
      <c r="C154" s="14" t="s">
        <v>6268</v>
      </c>
      <c r="D154" s="17">
        <v>44119</v>
      </c>
      <c r="E154" s="14" t="s">
        <v>30</v>
      </c>
      <c r="F154" s="14">
        <v>9</v>
      </c>
      <c r="G154" s="14">
        <v>6</v>
      </c>
      <c r="H154" s="14">
        <v>14</v>
      </c>
      <c r="I154" s="14">
        <v>7</v>
      </c>
      <c r="J154" s="14" t="s">
        <v>31</v>
      </c>
      <c r="K154" s="14" cm="1">
        <f t="array" ref="K154">INT(SUMPRODUCT(--ISNUMBER(SEARCH(economy,C154)))&gt;0)</f>
        <v>0</v>
      </c>
      <c r="L154" s="14" cm="1">
        <f t="array" ref="L154">INT(SUMPRODUCT(--ISNUMBER(SEARCH(healthcare,C154)))&gt;0)</f>
        <v>0</v>
      </c>
      <c r="M154" s="14" cm="1">
        <f t="array" ref="M154">INT(SUMPRODUCT(--ISNUMBER(SEARCH(supreme,C154)))&gt;0)</f>
        <v>0</v>
      </c>
      <c r="N154" s="14" cm="1">
        <f t="array" ref="N154">INT(SUMPRODUCT(--ISNUMBER(SEARCH(covid,C154)))&gt;0)</f>
        <v>0</v>
      </c>
      <c r="O154" s="14" cm="1">
        <f t="array" ref="O154">INT(SUMPRODUCT(--ISNUMBER(SEARCH(violent,C154)))&gt;0)</f>
        <v>0</v>
      </c>
      <c r="P154" s="14" cm="1">
        <f t="array" ref="P154">INT(SUMPRODUCT(--ISNUMBER(SEARCH(foreign,C154)))&gt;0)</f>
        <v>0</v>
      </c>
      <c r="Q154" s="14" cm="1">
        <f t="array" ref="Q154">INT(SUMPRODUCT(--ISNUMBER(SEARCH(gun,C154)))&gt;0)</f>
        <v>0</v>
      </c>
      <c r="R154" s="14" cm="1">
        <f t="array" ref="R154">INT(SUMPRODUCT(--ISNUMBER(SEARCH(race,C154)))&gt;0)</f>
        <v>0</v>
      </c>
      <c r="S154" s="14" cm="1">
        <f t="array" ref="S154">INT(SUMPRODUCT(--ISNUMBER(SEARCH(immigration,C154)))&gt;0)</f>
        <v>0</v>
      </c>
      <c r="T154" s="14" cm="1">
        <f t="array" ref="T154">INT(SUMPRODUCT(--ISNUMBER(SEARCH(econineq,C155)))&gt;0)</f>
        <v>0</v>
      </c>
      <c r="U154" s="14" cm="1">
        <f t="array" ref="U154">INT(SUMPRODUCT(--ISNUMBER(SEARCH(climate,C154)))&gt;0)</f>
        <v>0</v>
      </c>
      <c r="V154" s="14" cm="1">
        <f t="array" ref="V154">INT(SUMPRODUCT(--ISNUMBER(SEARCH(abortion,C154)))&gt;0)</f>
        <v>0</v>
      </c>
      <c r="W154" s="14" cm="1">
        <f t="array" ref="W154">INT(SUMPRODUCT(--ISNUMBER(SEARCH(trump,C154)))&gt;0)</f>
        <v>0</v>
      </c>
      <c r="X154" s="14" cm="1">
        <f t="array" ref="X154">INT(SUMPRODUCT(--ISNUMBER(SEARCH(voting,C154)))&gt;0)</f>
        <v>0</v>
      </c>
      <c r="Y154" s="35" cm="1">
        <f t="array" ref="Y154">INT(SUMPRODUCT(--ISNUMBER(SEARCH(republicantrigger,C154)))&gt;0)</f>
        <v>1</v>
      </c>
      <c r="Z154" s="35" cm="1">
        <f t="array" ref="Z154">INT(SUMPRODUCT(--ISNUMBER(SEARCH(bipartisan,C154)))&gt;0)</f>
        <v>0</v>
      </c>
      <c r="AA154" s="35">
        <f t="shared" si="2"/>
        <v>0</v>
      </c>
      <c r="AB154" s="14"/>
      <c r="AC154" s="30" t="s">
        <v>223</v>
      </c>
      <c r="AD154" s="37" t="s">
        <v>223</v>
      </c>
    </row>
    <row r="155" spans="1:30" x14ac:dyDescent="0.25">
      <c r="A155" s="36">
        <v>3122</v>
      </c>
      <c r="B155" s="14" t="s">
        <v>6269</v>
      </c>
      <c r="C155" s="14" t="s">
        <v>6270</v>
      </c>
      <c r="D155" s="17">
        <v>44119</v>
      </c>
      <c r="E155" s="14" t="s">
        <v>30</v>
      </c>
      <c r="F155" s="14">
        <v>3</v>
      </c>
      <c r="G155" s="14">
        <v>2</v>
      </c>
      <c r="H155" s="14">
        <v>14</v>
      </c>
      <c r="I155" s="14">
        <v>7</v>
      </c>
      <c r="J155" s="14" t="s">
        <v>31</v>
      </c>
      <c r="K155" s="14" cm="1">
        <f t="array" ref="K155">INT(SUMPRODUCT(--ISNUMBER(SEARCH(economy,C155)))&gt;0)</f>
        <v>0</v>
      </c>
      <c r="L155" s="14" cm="1">
        <f t="array" ref="L155">INT(SUMPRODUCT(--ISNUMBER(SEARCH(healthcare,C155)))&gt;0)</f>
        <v>0</v>
      </c>
      <c r="M155" s="14" cm="1">
        <f t="array" ref="M155">INT(SUMPRODUCT(--ISNUMBER(SEARCH(supreme,C155)))&gt;0)</f>
        <v>0</v>
      </c>
      <c r="N155" s="14" cm="1">
        <f t="array" ref="N155">INT(SUMPRODUCT(--ISNUMBER(SEARCH(covid,C155)))&gt;0)</f>
        <v>0</v>
      </c>
      <c r="O155" s="14" cm="1">
        <f t="array" ref="O155">INT(SUMPRODUCT(--ISNUMBER(SEARCH(violent,C155)))&gt;0)</f>
        <v>0</v>
      </c>
      <c r="P155" s="14" cm="1">
        <f t="array" ref="P155">INT(SUMPRODUCT(--ISNUMBER(SEARCH(foreign,C155)))&gt;0)</f>
        <v>0</v>
      </c>
      <c r="Q155" s="14" cm="1">
        <f t="array" ref="Q155">INT(SUMPRODUCT(--ISNUMBER(SEARCH(gun,C155)))&gt;0)</f>
        <v>0</v>
      </c>
      <c r="R155" s="14" cm="1">
        <f t="array" ref="R155">INT(SUMPRODUCT(--ISNUMBER(SEARCH(race,C155)))&gt;0)</f>
        <v>0</v>
      </c>
      <c r="S155" s="14" cm="1">
        <f t="array" ref="S155">INT(SUMPRODUCT(--ISNUMBER(SEARCH(immigration,C155)))&gt;0)</f>
        <v>0</v>
      </c>
      <c r="T155" s="14" cm="1">
        <f t="array" ref="T155">INT(SUMPRODUCT(--ISNUMBER(SEARCH(econineq,C156)))&gt;0)</f>
        <v>0</v>
      </c>
      <c r="U155" s="14" cm="1">
        <f t="array" ref="U155">INT(SUMPRODUCT(--ISNUMBER(SEARCH(climate,C155)))&gt;0)</f>
        <v>0</v>
      </c>
      <c r="V155" s="14" cm="1">
        <f t="array" ref="V155">INT(SUMPRODUCT(--ISNUMBER(SEARCH(abortion,C155)))&gt;0)</f>
        <v>0</v>
      </c>
      <c r="W155" s="14" cm="1">
        <f t="array" ref="W155">INT(SUMPRODUCT(--ISNUMBER(SEARCH(trump,C155)))&gt;0)</f>
        <v>0</v>
      </c>
      <c r="X155" s="14" cm="1">
        <f t="array" ref="X155">INT(SUMPRODUCT(--ISNUMBER(SEARCH(voting,C155)))&gt;0)</f>
        <v>0</v>
      </c>
      <c r="Y155" s="35" cm="1">
        <f t="array" ref="Y155">INT(SUMPRODUCT(--ISNUMBER(SEARCH(republicantrigger,C155)))&gt;0)</f>
        <v>1</v>
      </c>
      <c r="Z155" s="35" cm="1">
        <f t="array" ref="Z155">INT(SUMPRODUCT(--ISNUMBER(SEARCH(bipartisan,C155)))&gt;0)</f>
        <v>0</v>
      </c>
      <c r="AA155" s="35">
        <f t="shared" si="2"/>
        <v>0</v>
      </c>
      <c r="AB155" s="14"/>
      <c r="AC155" s="30" t="s">
        <v>223</v>
      </c>
      <c r="AD155" s="37" t="s">
        <v>223</v>
      </c>
    </row>
    <row r="156" spans="1:30" x14ac:dyDescent="0.25">
      <c r="A156" s="36">
        <v>3123</v>
      </c>
      <c r="B156" s="14" t="s">
        <v>6271</v>
      </c>
      <c r="C156" s="14" t="s">
        <v>6272</v>
      </c>
      <c r="D156" s="17">
        <v>44119</v>
      </c>
      <c r="E156" s="14" t="s">
        <v>30</v>
      </c>
      <c r="F156" s="14">
        <v>51</v>
      </c>
      <c r="G156" s="14">
        <v>25</v>
      </c>
      <c r="H156" s="14">
        <v>14</v>
      </c>
      <c r="I156" s="14">
        <v>7</v>
      </c>
      <c r="J156" s="14" t="s">
        <v>31</v>
      </c>
      <c r="K156" s="14" cm="1">
        <f t="array" ref="K156">INT(SUMPRODUCT(--ISNUMBER(SEARCH(economy,C156)))&gt;0)</f>
        <v>0</v>
      </c>
      <c r="L156" s="14" cm="1">
        <f t="array" ref="L156">INT(SUMPRODUCT(--ISNUMBER(SEARCH(healthcare,C156)))&gt;0)</f>
        <v>0</v>
      </c>
      <c r="M156" s="14" cm="1">
        <f t="array" ref="M156">INT(SUMPRODUCT(--ISNUMBER(SEARCH(supreme,C156)))&gt;0)</f>
        <v>0</v>
      </c>
      <c r="N156" s="14" cm="1">
        <f t="array" ref="N156">INT(SUMPRODUCT(--ISNUMBER(SEARCH(covid,C156)))&gt;0)</f>
        <v>0</v>
      </c>
      <c r="O156" s="14" cm="1">
        <f t="array" ref="O156">INT(SUMPRODUCT(--ISNUMBER(SEARCH(violent,C156)))&gt;0)</f>
        <v>0</v>
      </c>
      <c r="P156" s="14" cm="1">
        <f t="array" ref="P156">INT(SUMPRODUCT(--ISNUMBER(SEARCH(foreign,C156)))&gt;0)</f>
        <v>0</v>
      </c>
      <c r="Q156" s="14" cm="1">
        <f t="array" ref="Q156">INT(SUMPRODUCT(--ISNUMBER(SEARCH(gun,C156)))&gt;0)</f>
        <v>0</v>
      </c>
      <c r="R156" s="14" cm="1">
        <f t="array" ref="R156">INT(SUMPRODUCT(--ISNUMBER(SEARCH(race,C156)))&gt;0)</f>
        <v>0</v>
      </c>
      <c r="S156" s="14" cm="1">
        <f t="array" ref="S156">INT(SUMPRODUCT(--ISNUMBER(SEARCH(immigration,C156)))&gt;0)</f>
        <v>0</v>
      </c>
      <c r="T156" s="14" cm="1">
        <f t="array" ref="T156">INT(SUMPRODUCT(--ISNUMBER(SEARCH(econineq,C157)))&gt;0)</f>
        <v>0</v>
      </c>
      <c r="U156" s="14" cm="1">
        <f t="array" ref="U156">INT(SUMPRODUCT(--ISNUMBER(SEARCH(climate,C156)))&gt;0)</f>
        <v>0</v>
      </c>
      <c r="V156" s="14" cm="1">
        <f t="array" ref="V156">INT(SUMPRODUCT(--ISNUMBER(SEARCH(abortion,C156)))&gt;0)</f>
        <v>0</v>
      </c>
      <c r="W156" s="14" cm="1">
        <f t="array" ref="W156">INT(SUMPRODUCT(--ISNUMBER(SEARCH(trump,C156)))&gt;0)</f>
        <v>0</v>
      </c>
      <c r="X156" s="14" cm="1">
        <f t="array" ref="X156">INT(SUMPRODUCT(--ISNUMBER(SEARCH(voting,C156)))&gt;0)</f>
        <v>0</v>
      </c>
      <c r="Y156" s="35" cm="1">
        <f t="array" ref="Y156">INT(SUMPRODUCT(--ISNUMBER(SEARCH(republicantrigger,C156)))&gt;0)</f>
        <v>1</v>
      </c>
      <c r="Z156" s="35" cm="1">
        <f t="array" ref="Z156">INT(SUMPRODUCT(--ISNUMBER(SEARCH(bipartisan,C156)))&gt;0)</f>
        <v>0</v>
      </c>
      <c r="AA156" s="35">
        <f t="shared" si="2"/>
        <v>0</v>
      </c>
      <c r="AB156" s="14"/>
      <c r="AC156" s="30">
        <v>1</v>
      </c>
      <c r="AD156" s="37">
        <v>0</v>
      </c>
    </row>
    <row r="157" spans="1:30" x14ac:dyDescent="0.25">
      <c r="A157" s="36">
        <v>3124</v>
      </c>
      <c r="B157" s="14" t="s">
        <v>6273</v>
      </c>
      <c r="C157" s="14" t="s">
        <v>6274</v>
      </c>
      <c r="D157" s="17">
        <v>44118</v>
      </c>
      <c r="E157" s="14" t="s">
        <v>30</v>
      </c>
      <c r="F157" s="14">
        <v>6</v>
      </c>
      <c r="G157" s="14">
        <v>3</v>
      </c>
      <c r="H157" s="14">
        <v>14</v>
      </c>
      <c r="I157" s="14">
        <v>7</v>
      </c>
      <c r="J157" s="14" t="s">
        <v>31</v>
      </c>
      <c r="K157" s="14" cm="1">
        <f t="array" ref="K157">INT(SUMPRODUCT(--ISNUMBER(SEARCH(economy,C157)))&gt;0)</f>
        <v>0</v>
      </c>
      <c r="L157" s="14" cm="1">
        <f t="array" ref="L157">INT(SUMPRODUCT(--ISNUMBER(SEARCH(healthcare,C157)))&gt;0)</f>
        <v>0</v>
      </c>
      <c r="M157" s="14" cm="1">
        <f t="array" ref="M157">INT(SUMPRODUCT(--ISNUMBER(SEARCH(supreme,C157)))&gt;0)</f>
        <v>0</v>
      </c>
      <c r="N157" s="14" cm="1">
        <f t="array" ref="N157">INT(SUMPRODUCT(--ISNUMBER(SEARCH(covid,C157)))&gt;0)</f>
        <v>0</v>
      </c>
      <c r="O157" s="14" cm="1">
        <f t="array" ref="O157">INT(SUMPRODUCT(--ISNUMBER(SEARCH(violent,C157)))&gt;0)</f>
        <v>0</v>
      </c>
      <c r="P157" s="14" cm="1">
        <f t="array" ref="P157">INT(SUMPRODUCT(--ISNUMBER(SEARCH(foreign,C157)))&gt;0)</f>
        <v>0</v>
      </c>
      <c r="Q157" s="14" cm="1">
        <f t="array" ref="Q157">INT(SUMPRODUCT(--ISNUMBER(SEARCH(gun,C157)))&gt;0)</f>
        <v>0</v>
      </c>
      <c r="R157" s="14" cm="1">
        <f t="array" ref="R157">INT(SUMPRODUCT(--ISNUMBER(SEARCH(race,C157)))&gt;0)</f>
        <v>0</v>
      </c>
      <c r="S157" s="14" cm="1">
        <f t="array" ref="S157">INT(SUMPRODUCT(--ISNUMBER(SEARCH(immigration,C157)))&gt;0)</f>
        <v>0</v>
      </c>
      <c r="T157" s="14" cm="1">
        <f t="array" ref="T157">INT(SUMPRODUCT(--ISNUMBER(SEARCH(econineq,C158)))&gt;0)</f>
        <v>0</v>
      </c>
      <c r="U157" s="14" cm="1">
        <f t="array" ref="U157">INT(SUMPRODUCT(--ISNUMBER(SEARCH(climate,C157)))&gt;0)</f>
        <v>0</v>
      </c>
      <c r="V157" s="14" cm="1">
        <f t="array" ref="V157">INT(SUMPRODUCT(--ISNUMBER(SEARCH(abortion,C157)))&gt;0)</f>
        <v>0</v>
      </c>
      <c r="W157" s="14" cm="1">
        <f t="array" ref="W157">INT(SUMPRODUCT(--ISNUMBER(SEARCH(trump,C157)))&gt;0)</f>
        <v>0</v>
      </c>
      <c r="X157" s="14" cm="1">
        <f t="array" ref="X157">INT(SUMPRODUCT(--ISNUMBER(SEARCH(voting,C157)))&gt;0)</f>
        <v>1</v>
      </c>
      <c r="Y157" s="35" cm="1">
        <f t="array" ref="Y157">INT(SUMPRODUCT(--ISNUMBER(SEARCH(republicantrigger,C157)))&gt;0)</f>
        <v>0</v>
      </c>
      <c r="Z157" s="35" cm="1">
        <f t="array" ref="Z157">INT(SUMPRODUCT(--ISNUMBER(SEARCH(bipartisan,C157)))&gt;0)</f>
        <v>0</v>
      </c>
      <c r="AA157" s="35">
        <f t="shared" si="2"/>
        <v>0</v>
      </c>
      <c r="AB157" s="14"/>
      <c r="AC157" s="30">
        <v>1</v>
      </c>
      <c r="AD157" s="37">
        <v>0</v>
      </c>
    </row>
    <row r="158" spans="1:30" x14ac:dyDescent="0.25">
      <c r="A158" s="36">
        <v>3125</v>
      </c>
      <c r="B158" s="14" t="s">
        <v>6275</v>
      </c>
      <c r="C158" s="14" t="s">
        <v>6276</v>
      </c>
      <c r="D158" s="17">
        <v>44118</v>
      </c>
      <c r="E158" s="14" t="s">
        <v>30</v>
      </c>
      <c r="F158" s="14">
        <v>9</v>
      </c>
      <c r="G158" s="14">
        <v>3</v>
      </c>
      <c r="H158" s="14">
        <v>14</v>
      </c>
      <c r="I158" s="14">
        <v>7</v>
      </c>
      <c r="J158" s="14" t="s">
        <v>31</v>
      </c>
      <c r="K158" s="14" cm="1">
        <f t="array" ref="K158">INT(SUMPRODUCT(--ISNUMBER(SEARCH(economy,C158)))&gt;0)</f>
        <v>0</v>
      </c>
      <c r="L158" s="14" cm="1">
        <f t="array" ref="L158">INT(SUMPRODUCT(--ISNUMBER(SEARCH(healthcare,C158)))&gt;0)</f>
        <v>0</v>
      </c>
      <c r="M158" s="14" cm="1">
        <f t="array" ref="M158">INT(SUMPRODUCT(--ISNUMBER(SEARCH(supreme,C158)))&gt;0)</f>
        <v>0</v>
      </c>
      <c r="N158" s="14" cm="1">
        <f t="array" ref="N158">INT(SUMPRODUCT(--ISNUMBER(SEARCH(covid,C158)))&gt;0)</f>
        <v>0</v>
      </c>
      <c r="O158" s="14" cm="1">
        <f t="array" ref="O158">INT(SUMPRODUCT(--ISNUMBER(SEARCH(violent,C158)))&gt;0)</f>
        <v>0</v>
      </c>
      <c r="P158" s="14" cm="1">
        <f t="array" ref="P158">INT(SUMPRODUCT(--ISNUMBER(SEARCH(foreign,C158)))&gt;0)</f>
        <v>0</v>
      </c>
      <c r="Q158" s="14" cm="1">
        <f t="array" ref="Q158">INT(SUMPRODUCT(--ISNUMBER(SEARCH(gun,C158)))&gt;0)</f>
        <v>0</v>
      </c>
      <c r="R158" s="14" cm="1">
        <f t="array" ref="R158">INT(SUMPRODUCT(--ISNUMBER(SEARCH(race,C158)))&gt;0)</f>
        <v>0</v>
      </c>
      <c r="S158" s="14" cm="1">
        <f t="array" ref="S158">INT(SUMPRODUCT(--ISNUMBER(SEARCH(immigration,C158)))&gt;0)</f>
        <v>0</v>
      </c>
      <c r="T158" s="14" cm="1">
        <f t="array" ref="T158">INT(SUMPRODUCT(--ISNUMBER(SEARCH(econineq,C159)))&gt;0)</f>
        <v>0</v>
      </c>
      <c r="U158" s="14" cm="1">
        <f t="array" ref="U158">INT(SUMPRODUCT(--ISNUMBER(SEARCH(climate,C158)))&gt;0)</f>
        <v>0</v>
      </c>
      <c r="V158" s="14" cm="1">
        <f t="array" ref="V158">INT(SUMPRODUCT(--ISNUMBER(SEARCH(abortion,C158)))&gt;0)</f>
        <v>0</v>
      </c>
      <c r="W158" s="14" cm="1">
        <f t="array" ref="W158">INT(SUMPRODUCT(--ISNUMBER(SEARCH(trump,C158)))&gt;0)</f>
        <v>0</v>
      </c>
      <c r="X158" s="14" cm="1">
        <f t="array" ref="X158">INT(SUMPRODUCT(--ISNUMBER(SEARCH(voting,C158)))&gt;0)</f>
        <v>0</v>
      </c>
      <c r="Y158" s="35" cm="1">
        <f t="array" ref="Y158">INT(SUMPRODUCT(--ISNUMBER(SEARCH(republicantrigger,C158)))&gt;0)</f>
        <v>1</v>
      </c>
      <c r="Z158" s="35" cm="1">
        <f t="array" ref="Z158">INT(SUMPRODUCT(--ISNUMBER(SEARCH(bipartisan,C158)))&gt;0)</f>
        <v>0</v>
      </c>
      <c r="AA158" s="35">
        <f t="shared" si="2"/>
        <v>0</v>
      </c>
      <c r="AB158" s="14"/>
      <c r="AC158" s="30">
        <v>1</v>
      </c>
      <c r="AD158" s="37">
        <v>0</v>
      </c>
    </row>
    <row r="159" spans="1:30" x14ac:dyDescent="0.25">
      <c r="A159" s="36">
        <v>3126</v>
      </c>
      <c r="B159" s="14" t="s">
        <v>6277</v>
      </c>
      <c r="C159" s="14" t="s">
        <v>6278</v>
      </c>
      <c r="D159" s="17">
        <v>44118</v>
      </c>
      <c r="E159" s="14" t="s">
        <v>30</v>
      </c>
      <c r="F159" s="14">
        <v>9</v>
      </c>
      <c r="G159" s="14">
        <v>2</v>
      </c>
      <c r="H159" s="14">
        <v>14</v>
      </c>
      <c r="I159" s="14">
        <v>7</v>
      </c>
      <c r="J159" s="14" t="s">
        <v>31</v>
      </c>
      <c r="K159" s="14" cm="1">
        <f t="array" ref="K159">INT(SUMPRODUCT(--ISNUMBER(SEARCH(economy,C159)))&gt;0)</f>
        <v>0</v>
      </c>
      <c r="L159" s="14" cm="1">
        <f t="array" ref="L159">INT(SUMPRODUCT(--ISNUMBER(SEARCH(healthcare,C159)))&gt;0)</f>
        <v>0</v>
      </c>
      <c r="M159" s="14" cm="1">
        <f t="array" ref="M159">INT(SUMPRODUCT(--ISNUMBER(SEARCH(supreme,C159)))&gt;0)</f>
        <v>0</v>
      </c>
      <c r="N159" s="14" cm="1">
        <f t="array" ref="N159">INT(SUMPRODUCT(--ISNUMBER(SEARCH(covid,C159)))&gt;0)</f>
        <v>0</v>
      </c>
      <c r="O159" s="14" cm="1">
        <f t="array" ref="O159">INT(SUMPRODUCT(--ISNUMBER(SEARCH(violent,C159)))&gt;0)</f>
        <v>0</v>
      </c>
      <c r="P159" s="14" cm="1">
        <f t="array" ref="P159">INT(SUMPRODUCT(--ISNUMBER(SEARCH(foreign,C159)))&gt;0)</f>
        <v>0</v>
      </c>
      <c r="Q159" s="14" cm="1">
        <f t="array" ref="Q159">INT(SUMPRODUCT(--ISNUMBER(SEARCH(gun,C159)))&gt;0)</f>
        <v>0</v>
      </c>
      <c r="R159" s="14" cm="1">
        <f t="array" ref="R159">INT(SUMPRODUCT(--ISNUMBER(SEARCH(race,C159)))&gt;0)</f>
        <v>0</v>
      </c>
      <c r="S159" s="14" cm="1">
        <f t="array" ref="S159">INT(SUMPRODUCT(--ISNUMBER(SEARCH(immigration,C159)))&gt;0)</f>
        <v>0</v>
      </c>
      <c r="T159" s="14" cm="1">
        <f t="array" ref="T159">INT(SUMPRODUCT(--ISNUMBER(SEARCH(econineq,C160)))&gt;0)</f>
        <v>0</v>
      </c>
      <c r="U159" s="14" cm="1">
        <f t="array" ref="U159">INT(SUMPRODUCT(--ISNUMBER(SEARCH(climate,C159)))&gt;0)</f>
        <v>0</v>
      </c>
      <c r="V159" s="14" cm="1">
        <f t="array" ref="V159">INT(SUMPRODUCT(--ISNUMBER(SEARCH(abortion,C159)))&gt;0)</f>
        <v>0</v>
      </c>
      <c r="W159" s="14" cm="1">
        <f t="array" ref="W159">INT(SUMPRODUCT(--ISNUMBER(SEARCH(trump,C159)))&gt;0)</f>
        <v>0</v>
      </c>
      <c r="X159" s="14" cm="1">
        <f t="array" ref="X159">INT(SUMPRODUCT(--ISNUMBER(SEARCH(voting,C159)))&gt;0)</f>
        <v>0</v>
      </c>
      <c r="Y159" s="35" cm="1">
        <f t="array" ref="Y159">INT(SUMPRODUCT(--ISNUMBER(SEARCH(republicantrigger,C159)))&gt;0)</f>
        <v>0</v>
      </c>
      <c r="Z159" s="35" cm="1">
        <f t="array" ref="Z159">INT(SUMPRODUCT(--ISNUMBER(SEARCH(bipartisan,C159)))&gt;0)</f>
        <v>0</v>
      </c>
      <c r="AA159" s="35">
        <f t="shared" si="2"/>
        <v>1</v>
      </c>
      <c r="AB159" s="14"/>
      <c r="AC159" s="30">
        <v>1</v>
      </c>
      <c r="AD159" s="37">
        <v>0</v>
      </c>
    </row>
    <row r="160" spans="1:30" x14ac:dyDescent="0.25">
      <c r="A160" s="36">
        <v>3127</v>
      </c>
      <c r="B160" s="14" t="s">
        <v>6279</v>
      </c>
      <c r="C160" s="14" t="s">
        <v>6280</v>
      </c>
      <c r="D160" s="17">
        <v>44118</v>
      </c>
      <c r="E160" s="14" t="s">
        <v>30</v>
      </c>
      <c r="F160" s="14">
        <v>9</v>
      </c>
      <c r="G160" s="14">
        <v>4</v>
      </c>
      <c r="H160" s="14">
        <v>14</v>
      </c>
      <c r="I160" s="14">
        <v>7</v>
      </c>
      <c r="J160" s="14" t="s">
        <v>31</v>
      </c>
      <c r="K160" s="14" cm="1">
        <f t="array" ref="K160">INT(SUMPRODUCT(--ISNUMBER(SEARCH(economy,C160)))&gt;0)</f>
        <v>0</v>
      </c>
      <c r="L160" s="14" cm="1">
        <f t="array" ref="L160">INT(SUMPRODUCT(--ISNUMBER(SEARCH(healthcare,C160)))&gt;0)</f>
        <v>0</v>
      </c>
      <c r="M160" s="14" cm="1">
        <f t="array" ref="M160">INT(SUMPRODUCT(--ISNUMBER(SEARCH(supreme,C160)))&gt;0)</f>
        <v>0</v>
      </c>
      <c r="N160" s="14" cm="1">
        <f t="array" ref="N160">INT(SUMPRODUCT(--ISNUMBER(SEARCH(covid,C160)))&gt;0)</f>
        <v>0</v>
      </c>
      <c r="O160" s="14" cm="1">
        <f t="array" ref="O160">INT(SUMPRODUCT(--ISNUMBER(SEARCH(violent,C160)))&gt;0)</f>
        <v>0</v>
      </c>
      <c r="P160" s="14" cm="1">
        <f t="array" ref="P160">INT(SUMPRODUCT(--ISNUMBER(SEARCH(foreign,C160)))&gt;0)</f>
        <v>0</v>
      </c>
      <c r="Q160" s="14" cm="1">
        <f t="array" ref="Q160">INT(SUMPRODUCT(--ISNUMBER(SEARCH(gun,C160)))&gt;0)</f>
        <v>0</v>
      </c>
      <c r="R160" s="14" cm="1">
        <f t="array" ref="R160">INT(SUMPRODUCT(--ISNUMBER(SEARCH(race,C160)))&gt;0)</f>
        <v>0</v>
      </c>
      <c r="S160" s="14" cm="1">
        <f t="array" ref="S160">INT(SUMPRODUCT(--ISNUMBER(SEARCH(immigration,C160)))&gt;0)</f>
        <v>0</v>
      </c>
      <c r="T160" s="14" cm="1">
        <f t="array" ref="T160">INT(SUMPRODUCT(--ISNUMBER(SEARCH(econineq,C161)))&gt;0)</f>
        <v>0</v>
      </c>
      <c r="U160" s="14" cm="1">
        <f t="array" ref="U160">INT(SUMPRODUCT(--ISNUMBER(SEARCH(climate,C160)))&gt;0)</f>
        <v>0</v>
      </c>
      <c r="V160" s="14" cm="1">
        <f t="array" ref="V160">INT(SUMPRODUCT(--ISNUMBER(SEARCH(abortion,C160)))&gt;0)</f>
        <v>0</v>
      </c>
      <c r="W160" s="14" cm="1">
        <f t="array" ref="W160">INT(SUMPRODUCT(--ISNUMBER(SEARCH(trump,C160)))&gt;0)</f>
        <v>0</v>
      </c>
      <c r="X160" s="14" cm="1">
        <f t="array" ref="X160">INT(SUMPRODUCT(--ISNUMBER(SEARCH(voting,C160)))&gt;0)</f>
        <v>0</v>
      </c>
      <c r="Y160" s="35" cm="1">
        <f t="array" ref="Y160">INT(SUMPRODUCT(--ISNUMBER(SEARCH(republicantrigger,C160)))&gt;0)</f>
        <v>1</v>
      </c>
      <c r="Z160" s="35" cm="1">
        <f t="array" ref="Z160">INT(SUMPRODUCT(--ISNUMBER(SEARCH(bipartisan,C160)))&gt;0)</f>
        <v>0</v>
      </c>
      <c r="AA160" s="35">
        <f t="shared" si="2"/>
        <v>0</v>
      </c>
      <c r="AB160" s="14"/>
      <c r="AC160" s="30" t="s">
        <v>223</v>
      </c>
      <c r="AD160" s="37" t="s">
        <v>223</v>
      </c>
    </row>
    <row r="161" spans="1:30" x14ac:dyDescent="0.25">
      <c r="A161" s="36">
        <v>3128</v>
      </c>
      <c r="B161" s="14" t="s">
        <v>6281</v>
      </c>
      <c r="C161" s="14" t="s">
        <v>6282</v>
      </c>
      <c r="D161" s="17">
        <v>44118</v>
      </c>
      <c r="E161" s="14" t="s">
        <v>30</v>
      </c>
      <c r="F161" s="14">
        <v>7</v>
      </c>
      <c r="G161" s="14">
        <v>3</v>
      </c>
      <c r="H161" s="14">
        <v>14</v>
      </c>
      <c r="I161" s="14">
        <v>7</v>
      </c>
      <c r="J161" s="14" t="s">
        <v>31</v>
      </c>
      <c r="K161" s="14" cm="1">
        <f t="array" ref="K161">INT(SUMPRODUCT(--ISNUMBER(SEARCH(economy,C161)))&gt;0)</f>
        <v>0</v>
      </c>
      <c r="L161" s="14" cm="1">
        <f t="array" ref="L161">INT(SUMPRODUCT(--ISNUMBER(SEARCH(healthcare,C161)))&gt;0)</f>
        <v>0</v>
      </c>
      <c r="M161" s="14" cm="1">
        <f t="array" ref="M161">INT(SUMPRODUCT(--ISNUMBER(SEARCH(supreme,C161)))&gt;0)</f>
        <v>0</v>
      </c>
      <c r="N161" s="14" cm="1">
        <f t="array" ref="N161">INT(SUMPRODUCT(--ISNUMBER(SEARCH(covid,C161)))&gt;0)</f>
        <v>0</v>
      </c>
      <c r="O161" s="14" cm="1">
        <f t="array" ref="O161">INT(SUMPRODUCT(--ISNUMBER(SEARCH(violent,C161)))&gt;0)</f>
        <v>0</v>
      </c>
      <c r="P161" s="14" cm="1">
        <f t="array" ref="P161">INT(SUMPRODUCT(--ISNUMBER(SEARCH(foreign,C161)))&gt;0)</f>
        <v>0</v>
      </c>
      <c r="Q161" s="14" cm="1">
        <f t="array" ref="Q161">INT(SUMPRODUCT(--ISNUMBER(SEARCH(gun,C161)))&gt;0)</f>
        <v>0</v>
      </c>
      <c r="R161" s="14" cm="1">
        <f t="array" ref="R161">INT(SUMPRODUCT(--ISNUMBER(SEARCH(race,C161)))&gt;0)</f>
        <v>0</v>
      </c>
      <c r="S161" s="14" cm="1">
        <f t="array" ref="S161">INT(SUMPRODUCT(--ISNUMBER(SEARCH(immigration,C161)))&gt;0)</f>
        <v>0</v>
      </c>
      <c r="T161" s="14" cm="1">
        <f t="array" ref="T161">INT(SUMPRODUCT(--ISNUMBER(SEARCH(econineq,C162)))&gt;0)</f>
        <v>0</v>
      </c>
      <c r="U161" s="14" cm="1">
        <f t="array" ref="U161">INT(SUMPRODUCT(--ISNUMBER(SEARCH(climate,C161)))&gt;0)</f>
        <v>0</v>
      </c>
      <c r="V161" s="14" cm="1">
        <f t="array" ref="V161">INT(SUMPRODUCT(--ISNUMBER(SEARCH(abortion,C161)))&gt;0)</f>
        <v>0</v>
      </c>
      <c r="W161" s="14" cm="1">
        <f t="array" ref="W161">INT(SUMPRODUCT(--ISNUMBER(SEARCH(trump,C161)))&gt;0)</f>
        <v>0</v>
      </c>
      <c r="X161" s="14" cm="1">
        <f t="array" ref="X161">INT(SUMPRODUCT(--ISNUMBER(SEARCH(voting,C161)))&gt;0)</f>
        <v>0</v>
      </c>
      <c r="Y161" s="35" cm="1">
        <f t="array" ref="Y161">INT(SUMPRODUCT(--ISNUMBER(SEARCH(republicantrigger,C161)))&gt;0)</f>
        <v>1</v>
      </c>
      <c r="Z161" s="35" cm="1">
        <f t="array" ref="Z161">INT(SUMPRODUCT(--ISNUMBER(SEARCH(bipartisan,C161)))&gt;0)</f>
        <v>1</v>
      </c>
      <c r="AA161" s="35">
        <f t="shared" si="2"/>
        <v>0</v>
      </c>
      <c r="AB161" s="14"/>
      <c r="AC161" s="30" t="s">
        <v>223</v>
      </c>
      <c r="AD161" s="37" t="s">
        <v>223</v>
      </c>
    </row>
    <row r="162" spans="1:30" x14ac:dyDescent="0.25">
      <c r="A162" s="36">
        <v>3129</v>
      </c>
      <c r="B162" s="14" t="s">
        <v>6283</v>
      </c>
      <c r="C162" s="14" t="s">
        <v>6284</v>
      </c>
      <c r="D162" s="17">
        <v>44118</v>
      </c>
      <c r="E162" s="14" t="s">
        <v>30</v>
      </c>
      <c r="F162" s="14">
        <v>16</v>
      </c>
      <c r="G162" s="14">
        <v>7</v>
      </c>
      <c r="H162" s="14">
        <v>14</v>
      </c>
      <c r="I162" s="14">
        <v>7</v>
      </c>
      <c r="J162" s="14" t="s">
        <v>31</v>
      </c>
      <c r="K162" s="14" cm="1">
        <f t="array" ref="K162">INT(SUMPRODUCT(--ISNUMBER(SEARCH(economy,C162)))&gt;0)</f>
        <v>0</v>
      </c>
      <c r="L162" s="14" cm="1">
        <f t="array" ref="L162">INT(SUMPRODUCT(--ISNUMBER(SEARCH(healthcare,C162)))&gt;0)</f>
        <v>0</v>
      </c>
      <c r="M162" s="14" cm="1">
        <f t="array" ref="M162">INT(SUMPRODUCT(--ISNUMBER(SEARCH(supreme,C162)))&gt;0)</f>
        <v>1</v>
      </c>
      <c r="N162" s="14" cm="1">
        <f t="array" ref="N162">INT(SUMPRODUCT(--ISNUMBER(SEARCH(covid,C162)))&gt;0)</f>
        <v>0</v>
      </c>
      <c r="O162" s="14" cm="1">
        <f t="array" ref="O162">INT(SUMPRODUCT(--ISNUMBER(SEARCH(violent,C162)))&gt;0)</f>
        <v>0</v>
      </c>
      <c r="P162" s="14" cm="1">
        <f t="array" ref="P162">INT(SUMPRODUCT(--ISNUMBER(SEARCH(foreign,C162)))&gt;0)</f>
        <v>0</v>
      </c>
      <c r="Q162" s="14" cm="1">
        <f t="array" ref="Q162">INT(SUMPRODUCT(--ISNUMBER(SEARCH(gun,C162)))&gt;0)</f>
        <v>0</v>
      </c>
      <c r="R162" s="14" cm="1">
        <f t="array" ref="R162">INT(SUMPRODUCT(--ISNUMBER(SEARCH(race,C162)))&gt;0)</f>
        <v>0</v>
      </c>
      <c r="S162" s="14" cm="1">
        <f t="array" ref="S162">INT(SUMPRODUCT(--ISNUMBER(SEARCH(immigration,C162)))&gt;0)</f>
        <v>0</v>
      </c>
      <c r="T162" s="14" cm="1">
        <f t="array" ref="T162">INT(SUMPRODUCT(--ISNUMBER(SEARCH(econineq,C163)))&gt;0)</f>
        <v>0</v>
      </c>
      <c r="U162" s="14" cm="1">
        <f t="array" ref="U162">INT(SUMPRODUCT(--ISNUMBER(SEARCH(climate,C162)))&gt;0)</f>
        <v>0</v>
      </c>
      <c r="V162" s="14" cm="1">
        <f t="array" ref="V162">INT(SUMPRODUCT(--ISNUMBER(SEARCH(abortion,C162)))&gt;0)</f>
        <v>0</v>
      </c>
      <c r="W162" s="14" cm="1">
        <f t="array" ref="W162">INT(SUMPRODUCT(--ISNUMBER(SEARCH(trump,C162)))&gt;0)</f>
        <v>0</v>
      </c>
      <c r="X162" s="14" cm="1">
        <f t="array" ref="X162">INT(SUMPRODUCT(--ISNUMBER(SEARCH(voting,C162)))&gt;0)</f>
        <v>0</v>
      </c>
      <c r="Y162" s="35" cm="1">
        <f t="array" ref="Y162">INT(SUMPRODUCT(--ISNUMBER(SEARCH(republicantrigger,C162)))&gt;0)</f>
        <v>0</v>
      </c>
      <c r="Z162" s="35" cm="1">
        <f t="array" ref="Z162">INT(SUMPRODUCT(--ISNUMBER(SEARCH(bipartisan,C162)))&gt;0)</f>
        <v>0</v>
      </c>
      <c r="AA162" s="35">
        <f t="shared" si="2"/>
        <v>0</v>
      </c>
      <c r="AB162" s="14"/>
      <c r="AC162" s="30" t="s">
        <v>223</v>
      </c>
      <c r="AD162" s="37" t="s">
        <v>223</v>
      </c>
    </row>
    <row r="163" spans="1:30" x14ac:dyDescent="0.25">
      <c r="A163" s="36">
        <v>3130</v>
      </c>
      <c r="B163" s="14" t="s">
        <v>6285</v>
      </c>
      <c r="C163" s="14" t="s">
        <v>6286</v>
      </c>
      <c r="D163" s="17">
        <v>44118</v>
      </c>
      <c r="E163" s="14" t="s">
        <v>30</v>
      </c>
      <c r="F163" s="14">
        <v>9</v>
      </c>
      <c r="G163" s="14">
        <v>2</v>
      </c>
      <c r="H163" s="14">
        <v>14</v>
      </c>
      <c r="I163" s="14">
        <v>7</v>
      </c>
      <c r="J163" s="14" t="s">
        <v>31</v>
      </c>
      <c r="K163" s="14" cm="1">
        <f t="array" ref="K163">INT(SUMPRODUCT(--ISNUMBER(SEARCH(economy,C163)))&gt;0)</f>
        <v>0</v>
      </c>
      <c r="L163" s="14" cm="1">
        <f t="array" ref="L163">INT(SUMPRODUCT(--ISNUMBER(SEARCH(healthcare,C163)))&gt;0)</f>
        <v>0</v>
      </c>
      <c r="M163" s="14" cm="1">
        <f t="array" ref="M163">INT(SUMPRODUCT(--ISNUMBER(SEARCH(supreme,C163)))&gt;0)</f>
        <v>0</v>
      </c>
      <c r="N163" s="14" cm="1">
        <f t="array" ref="N163">INT(SUMPRODUCT(--ISNUMBER(SEARCH(covid,C163)))&gt;0)</f>
        <v>0</v>
      </c>
      <c r="O163" s="14" cm="1">
        <f t="array" ref="O163">INT(SUMPRODUCT(--ISNUMBER(SEARCH(violent,C163)))&gt;0)</f>
        <v>0</v>
      </c>
      <c r="P163" s="14" cm="1">
        <f t="array" ref="P163">INT(SUMPRODUCT(--ISNUMBER(SEARCH(foreign,C163)))&gt;0)</f>
        <v>0</v>
      </c>
      <c r="Q163" s="14" cm="1">
        <f t="array" ref="Q163">INT(SUMPRODUCT(--ISNUMBER(SEARCH(gun,C163)))&gt;0)</f>
        <v>0</v>
      </c>
      <c r="R163" s="14" cm="1">
        <f t="array" ref="R163">INT(SUMPRODUCT(--ISNUMBER(SEARCH(race,C163)))&gt;0)</f>
        <v>0</v>
      </c>
      <c r="S163" s="14" cm="1">
        <f t="array" ref="S163">INT(SUMPRODUCT(--ISNUMBER(SEARCH(immigration,C163)))&gt;0)</f>
        <v>0</v>
      </c>
      <c r="T163" s="14" cm="1">
        <f t="array" ref="T163">INT(SUMPRODUCT(--ISNUMBER(SEARCH(econineq,C164)))&gt;0)</f>
        <v>0</v>
      </c>
      <c r="U163" s="14" cm="1">
        <f t="array" ref="U163">INT(SUMPRODUCT(--ISNUMBER(SEARCH(climate,C163)))&gt;0)</f>
        <v>0</v>
      </c>
      <c r="V163" s="14" cm="1">
        <f t="array" ref="V163">INT(SUMPRODUCT(--ISNUMBER(SEARCH(abortion,C163)))&gt;0)</f>
        <v>0</v>
      </c>
      <c r="W163" s="14" cm="1">
        <f t="array" ref="W163">INT(SUMPRODUCT(--ISNUMBER(SEARCH(trump,C163)))&gt;0)</f>
        <v>0</v>
      </c>
      <c r="X163" s="14" cm="1">
        <f t="array" ref="X163">INT(SUMPRODUCT(--ISNUMBER(SEARCH(voting,C163)))&gt;0)</f>
        <v>0</v>
      </c>
      <c r="Y163" s="35" cm="1">
        <f t="array" ref="Y163">INT(SUMPRODUCT(--ISNUMBER(SEARCH(republicantrigger,C163)))&gt;0)</f>
        <v>0</v>
      </c>
      <c r="Z163" s="35" cm="1">
        <f t="array" ref="Z163">INT(SUMPRODUCT(--ISNUMBER(SEARCH(bipartisan,C163)))&gt;0)</f>
        <v>0</v>
      </c>
      <c r="AA163" s="35">
        <f t="shared" si="2"/>
        <v>1</v>
      </c>
      <c r="AB163" s="14"/>
      <c r="AC163" s="30" t="s">
        <v>223</v>
      </c>
      <c r="AD163" s="37" t="s">
        <v>223</v>
      </c>
    </row>
    <row r="164" spans="1:30" x14ac:dyDescent="0.25">
      <c r="A164" s="36">
        <v>3131</v>
      </c>
      <c r="B164" s="14" t="s">
        <v>6287</v>
      </c>
      <c r="C164" s="14" t="s">
        <v>6288</v>
      </c>
      <c r="D164" s="17">
        <v>44118</v>
      </c>
      <c r="E164" s="14" t="s">
        <v>30</v>
      </c>
      <c r="F164" s="14">
        <v>18</v>
      </c>
      <c r="G164" s="14">
        <v>6</v>
      </c>
      <c r="H164" s="14">
        <v>14</v>
      </c>
      <c r="I164" s="14">
        <v>7</v>
      </c>
      <c r="J164" s="14" t="s">
        <v>31</v>
      </c>
      <c r="K164" s="14" cm="1">
        <f t="array" ref="K164">INT(SUMPRODUCT(--ISNUMBER(SEARCH(economy,C164)))&gt;0)</f>
        <v>0</v>
      </c>
      <c r="L164" s="14" cm="1">
        <f t="array" ref="L164">INT(SUMPRODUCT(--ISNUMBER(SEARCH(healthcare,C164)))&gt;0)</f>
        <v>1</v>
      </c>
      <c r="M164" s="14" cm="1">
        <f t="array" ref="M164">INT(SUMPRODUCT(--ISNUMBER(SEARCH(supreme,C164)))&gt;0)</f>
        <v>0</v>
      </c>
      <c r="N164" s="14" cm="1">
        <f t="array" ref="N164">INT(SUMPRODUCT(--ISNUMBER(SEARCH(covid,C164)))&gt;0)</f>
        <v>0</v>
      </c>
      <c r="O164" s="14" cm="1">
        <f t="array" ref="O164">INT(SUMPRODUCT(--ISNUMBER(SEARCH(violent,C164)))&gt;0)</f>
        <v>0</v>
      </c>
      <c r="P164" s="14" cm="1">
        <f t="array" ref="P164">INT(SUMPRODUCT(--ISNUMBER(SEARCH(foreign,C164)))&gt;0)</f>
        <v>0</v>
      </c>
      <c r="Q164" s="14" cm="1">
        <f t="array" ref="Q164">INT(SUMPRODUCT(--ISNUMBER(SEARCH(gun,C164)))&gt;0)</f>
        <v>0</v>
      </c>
      <c r="R164" s="14" cm="1">
        <f t="array" ref="R164">INT(SUMPRODUCT(--ISNUMBER(SEARCH(race,C164)))&gt;0)</f>
        <v>0</v>
      </c>
      <c r="S164" s="14" cm="1">
        <f t="array" ref="S164">INT(SUMPRODUCT(--ISNUMBER(SEARCH(immigration,C164)))&gt;0)</f>
        <v>0</v>
      </c>
      <c r="T164" s="14" cm="1">
        <f t="array" ref="T164">INT(SUMPRODUCT(--ISNUMBER(SEARCH(econineq,C165)))&gt;0)</f>
        <v>0</v>
      </c>
      <c r="U164" s="14" cm="1">
        <f t="array" ref="U164">INT(SUMPRODUCT(--ISNUMBER(SEARCH(climate,C164)))&gt;0)</f>
        <v>0</v>
      </c>
      <c r="V164" s="14" cm="1">
        <f t="array" ref="V164">INT(SUMPRODUCT(--ISNUMBER(SEARCH(abortion,C164)))&gt;0)</f>
        <v>0</v>
      </c>
      <c r="W164" s="14" cm="1">
        <f t="array" ref="W164">INT(SUMPRODUCT(--ISNUMBER(SEARCH(trump,C164)))&gt;0)</f>
        <v>0</v>
      </c>
      <c r="X164" s="14" cm="1">
        <f t="array" ref="X164">INT(SUMPRODUCT(--ISNUMBER(SEARCH(voting,C164)))&gt;0)</f>
        <v>0</v>
      </c>
      <c r="Y164" s="35" cm="1">
        <f t="array" ref="Y164">INT(SUMPRODUCT(--ISNUMBER(SEARCH(republicantrigger,C164)))&gt;0)</f>
        <v>1</v>
      </c>
      <c r="Z164" s="35" cm="1">
        <f t="array" ref="Z164">INT(SUMPRODUCT(--ISNUMBER(SEARCH(bipartisan,C164)))&gt;0)</f>
        <v>0</v>
      </c>
      <c r="AA164" s="35">
        <f t="shared" si="2"/>
        <v>0</v>
      </c>
      <c r="AB164" s="14"/>
      <c r="AC164" s="30" t="s">
        <v>223</v>
      </c>
      <c r="AD164" s="37" t="s">
        <v>223</v>
      </c>
    </row>
    <row r="165" spans="1:30" x14ac:dyDescent="0.25">
      <c r="A165" s="36">
        <v>3132</v>
      </c>
      <c r="B165" s="14" t="s">
        <v>6289</v>
      </c>
      <c r="C165" s="14" t="s">
        <v>6290</v>
      </c>
      <c r="D165" s="17">
        <v>44118</v>
      </c>
      <c r="E165" s="14" t="s">
        <v>30</v>
      </c>
      <c r="F165" s="14">
        <v>10</v>
      </c>
      <c r="G165" s="14">
        <v>5</v>
      </c>
      <c r="H165" s="14">
        <v>14</v>
      </c>
      <c r="I165" s="14">
        <v>7</v>
      </c>
      <c r="J165" s="14" t="s">
        <v>31</v>
      </c>
      <c r="K165" s="14" cm="1">
        <f t="array" ref="K165">INT(SUMPRODUCT(--ISNUMBER(SEARCH(economy,C165)))&gt;0)</f>
        <v>0</v>
      </c>
      <c r="L165" s="14" cm="1">
        <f t="array" ref="L165">INT(SUMPRODUCT(--ISNUMBER(SEARCH(healthcare,C165)))&gt;0)</f>
        <v>0</v>
      </c>
      <c r="M165" s="14" cm="1">
        <f t="array" ref="M165">INT(SUMPRODUCT(--ISNUMBER(SEARCH(supreme,C165)))&gt;0)</f>
        <v>0</v>
      </c>
      <c r="N165" s="14" cm="1">
        <f t="array" ref="N165">INT(SUMPRODUCT(--ISNUMBER(SEARCH(covid,C165)))&gt;0)</f>
        <v>0</v>
      </c>
      <c r="O165" s="14" cm="1">
        <f t="array" ref="O165">INT(SUMPRODUCT(--ISNUMBER(SEARCH(violent,C165)))&gt;0)</f>
        <v>0</v>
      </c>
      <c r="P165" s="14" cm="1">
        <f t="array" ref="P165">INT(SUMPRODUCT(--ISNUMBER(SEARCH(foreign,C165)))&gt;0)</f>
        <v>0</v>
      </c>
      <c r="Q165" s="14" cm="1">
        <f t="array" ref="Q165">INT(SUMPRODUCT(--ISNUMBER(SEARCH(gun,C165)))&gt;0)</f>
        <v>0</v>
      </c>
      <c r="R165" s="14" cm="1">
        <f t="array" ref="R165">INT(SUMPRODUCT(--ISNUMBER(SEARCH(race,C165)))&gt;0)</f>
        <v>0</v>
      </c>
      <c r="S165" s="14" cm="1">
        <f t="array" ref="S165">INT(SUMPRODUCT(--ISNUMBER(SEARCH(immigration,C165)))&gt;0)</f>
        <v>0</v>
      </c>
      <c r="T165" s="14" cm="1">
        <f t="array" ref="T165">INT(SUMPRODUCT(--ISNUMBER(SEARCH(econineq,C166)))&gt;0)</f>
        <v>0</v>
      </c>
      <c r="U165" s="14" cm="1">
        <f t="array" ref="U165">INT(SUMPRODUCT(--ISNUMBER(SEARCH(climate,C165)))&gt;0)</f>
        <v>0</v>
      </c>
      <c r="V165" s="14" cm="1">
        <f t="array" ref="V165">INT(SUMPRODUCT(--ISNUMBER(SEARCH(abortion,C165)))&gt;0)</f>
        <v>0</v>
      </c>
      <c r="W165" s="14" cm="1">
        <f t="array" ref="W165">INT(SUMPRODUCT(--ISNUMBER(SEARCH(trump,C165)))&gt;0)</f>
        <v>0</v>
      </c>
      <c r="X165" s="14" cm="1">
        <f t="array" ref="X165">INT(SUMPRODUCT(--ISNUMBER(SEARCH(voting,C165)))&gt;0)</f>
        <v>0</v>
      </c>
      <c r="Y165" s="35" cm="1">
        <f t="array" ref="Y165">INT(SUMPRODUCT(--ISNUMBER(SEARCH(republicantrigger,C165)))&gt;0)</f>
        <v>1</v>
      </c>
      <c r="Z165" s="35" cm="1">
        <f t="array" ref="Z165">INT(SUMPRODUCT(--ISNUMBER(SEARCH(bipartisan,C165)))&gt;0)</f>
        <v>0</v>
      </c>
      <c r="AA165" s="35">
        <f t="shared" si="2"/>
        <v>0</v>
      </c>
      <c r="AB165" s="14"/>
      <c r="AC165" s="30" t="s">
        <v>223</v>
      </c>
      <c r="AD165" s="37" t="s">
        <v>223</v>
      </c>
    </row>
    <row r="166" spans="1:30" x14ac:dyDescent="0.25">
      <c r="A166" s="36">
        <v>3133</v>
      </c>
      <c r="B166" s="14" t="s">
        <v>6291</v>
      </c>
      <c r="C166" s="14" t="s">
        <v>6292</v>
      </c>
      <c r="D166" s="17">
        <v>44118</v>
      </c>
      <c r="E166" s="14" t="s">
        <v>30</v>
      </c>
      <c r="F166" s="14">
        <v>15</v>
      </c>
      <c r="G166" s="14">
        <v>5</v>
      </c>
      <c r="H166" s="14">
        <v>14</v>
      </c>
      <c r="I166" s="14">
        <v>7</v>
      </c>
      <c r="J166" s="14" t="s">
        <v>31</v>
      </c>
      <c r="K166" s="14" cm="1">
        <f t="array" ref="K166">INT(SUMPRODUCT(--ISNUMBER(SEARCH(economy,C166)))&gt;0)</f>
        <v>0</v>
      </c>
      <c r="L166" s="14" cm="1">
        <f t="array" ref="L166">INT(SUMPRODUCT(--ISNUMBER(SEARCH(healthcare,C166)))&gt;0)</f>
        <v>0</v>
      </c>
      <c r="M166" s="14" cm="1">
        <f t="array" ref="M166">INT(SUMPRODUCT(--ISNUMBER(SEARCH(supreme,C166)))&gt;0)</f>
        <v>0</v>
      </c>
      <c r="N166" s="14" cm="1">
        <f t="array" ref="N166">INT(SUMPRODUCT(--ISNUMBER(SEARCH(covid,C166)))&gt;0)</f>
        <v>0</v>
      </c>
      <c r="O166" s="14" cm="1">
        <f t="array" ref="O166">INT(SUMPRODUCT(--ISNUMBER(SEARCH(violent,C166)))&gt;0)</f>
        <v>0</v>
      </c>
      <c r="P166" s="14" cm="1">
        <f t="array" ref="P166">INT(SUMPRODUCT(--ISNUMBER(SEARCH(foreign,C166)))&gt;0)</f>
        <v>0</v>
      </c>
      <c r="Q166" s="14" cm="1">
        <f t="array" ref="Q166">INT(SUMPRODUCT(--ISNUMBER(SEARCH(gun,C166)))&gt;0)</f>
        <v>0</v>
      </c>
      <c r="R166" s="14" cm="1">
        <f t="array" ref="R166">INT(SUMPRODUCT(--ISNUMBER(SEARCH(race,C166)))&gt;0)</f>
        <v>0</v>
      </c>
      <c r="S166" s="14" cm="1">
        <f t="array" ref="S166">INT(SUMPRODUCT(--ISNUMBER(SEARCH(immigration,C166)))&gt;0)</f>
        <v>0</v>
      </c>
      <c r="T166" s="14" cm="1">
        <f t="array" ref="T166">INT(SUMPRODUCT(--ISNUMBER(SEARCH(econineq,C167)))&gt;0)</f>
        <v>0</v>
      </c>
      <c r="U166" s="14" cm="1">
        <f t="array" ref="U166">INT(SUMPRODUCT(--ISNUMBER(SEARCH(climate,C166)))&gt;0)</f>
        <v>1</v>
      </c>
      <c r="V166" s="14" cm="1">
        <f t="array" ref="V166">INT(SUMPRODUCT(--ISNUMBER(SEARCH(abortion,C166)))&gt;0)</f>
        <v>0</v>
      </c>
      <c r="W166" s="14" cm="1">
        <f t="array" ref="W166">INT(SUMPRODUCT(--ISNUMBER(SEARCH(trump,C166)))&gt;0)</f>
        <v>0</v>
      </c>
      <c r="X166" s="14" cm="1">
        <f t="array" ref="X166">INT(SUMPRODUCT(--ISNUMBER(SEARCH(voting,C166)))&gt;0)</f>
        <v>0</v>
      </c>
      <c r="Y166" s="35" cm="1">
        <f t="array" ref="Y166">INT(SUMPRODUCT(--ISNUMBER(SEARCH(republicantrigger,C166)))&gt;0)</f>
        <v>0</v>
      </c>
      <c r="Z166" s="35" cm="1">
        <f t="array" ref="Z166">INT(SUMPRODUCT(--ISNUMBER(SEARCH(bipartisan,C166)))&gt;0)</f>
        <v>0</v>
      </c>
      <c r="AA166" s="35">
        <f t="shared" si="2"/>
        <v>0</v>
      </c>
      <c r="AB166" s="14"/>
      <c r="AC166" s="30" t="s">
        <v>223</v>
      </c>
      <c r="AD166" s="37" t="s">
        <v>223</v>
      </c>
    </row>
    <row r="167" spans="1:30" x14ac:dyDescent="0.25">
      <c r="A167" s="36">
        <v>3134</v>
      </c>
      <c r="B167" s="14" t="s">
        <v>6293</v>
      </c>
      <c r="C167" s="14" t="s">
        <v>6294</v>
      </c>
      <c r="D167" s="17">
        <v>44117</v>
      </c>
      <c r="E167" s="14" t="s">
        <v>30</v>
      </c>
      <c r="F167" s="14">
        <v>16</v>
      </c>
      <c r="G167" s="14">
        <v>6</v>
      </c>
      <c r="H167" s="14">
        <v>14</v>
      </c>
      <c r="I167" s="14">
        <v>7</v>
      </c>
      <c r="J167" s="14" t="s">
        <v>31</v>
      </c>
      <c r="K167" s="14" cm="1">
        <f t="array" ref="K167">INT(SUMPRODUCT(--ISNUMBER(SEARCH(economy,C167)))&gt;0)</f>
        <v>0</v>
      </c>
      <c r="L167" s="14" cm="1">
        <f t="array" ref="L167">INT(SUMPRODUCT(--ISNUMBER(SEARCH(healthcare,C167)))&gt;0)</f>
        <v>0</v>
      </c>
      <c r="M167" s="14" cm="1">
        <f t="array" ref="M167">INT(SUMPRODUCT(--ISNUMBER(SEARCH(supreme,C167)))&gt;0)</f>
        <v>0</v>
      </c>
      <c r="N167" s="14" cm="1">
        <f t="array" ref="N167">INT(SUMPRODUCT(--ISNUMBER(SEARCH(covid,C167)))&gt;0)</f>
        <v>0</v>
      </c>
      <c r="O167" s="14" cm="1">
        <f t="array" ref="O167">INT(SUMPRODUCT(--ISNUMBER(SEARCH(violent,C167)))&gt;0)</f>
        <v>0</v>
      </c>
      <c r="P167" s="14" cm="1">
        <f t="array" ref="P167">INT(SUMPRODUCT(--ISNUMBER(SEARCH(foreign,C167)))&gt;0)</f>
        <v>0</v>
      </c>
      <c r="Q167" s="14" cm="1">
        <f t="array" ref="Q167">INT(SUMPRODUCT(--ISNUMBER(SEARCH(gun,C167)))&gt;0)</f>
        <v>0</v>
      </c>
      <c r="R167" s="14" cm="1">
        <f t="array" ref="R167">INT(SUMPRODUCT(--ISNUMBER(SEARCH(race,C167)))&gt;0)</f>
        <v>0</v>
      </c>
      <c r="S167" s="14" cm="1">
        <f t="array" ref="S167">INT(SUMPRODUCT(--ISNUMBER(SEARCH(immigration,C167)))&gt;0)</f>
        <v>0</v>
      </c>
      <c r="T167" s="14" cm="1">
        <f t="array" ref="T167">INT(SUMPRODUCT(--ISNUMBER(SEARCH(econineq,C168)))&gt;0)</f>
        <v>0</v>
      </c>
      <c r="U167" s="14" cm="1">
        <f t="array" ref="U167">INT(SUMPRODUCT(--ISNUMBER(SEARCH(climate,C167)))&gt;0)</f>
        <v>0</v>
      </c>
      <c r="V167" s="14" cm="1">
        <f t="array" ref="V167">INT(SUMPRODUCT(--ISNUMBER(SEARCH(abortion,C167)))&gt;0)</f>
        <v>0</v>
      </c>
      <c r="W167" s="14" cm="1">
        <f t="array" ref="W167">INT(SUMPRODUCT(--ISNUMBER(SEARCH(trump,C167)))&gt;0)</f>
        <v>1</v>
      </c>
      <c r="X167" s="14" cm="1">
        <f t="array" ref="X167">INT(SUMPRODUCT(--ISNUMBER(SEARCH(voting,C167)))&gt;0)</f>
        <v>0</v>
      </c>
      <c r="Y167" s="35" cm="1">
        <f t="array" ref="Y167">INT(SUMPRODUCT(--ISNUMBER(SEARCH(republicantrigger,C167)))&gt;0)</f>
        <v>0</v>
      </c>
      <c r="Z167" s="35" cm="1">
        <f t="array" ref="Z167">INT(SUMPRODUCT(--ISNUMBER(SEARCH(bipartisan,C167)))&gt;0)</f>
        <v>0</v>
      </c>
      <c r="AA167" s="35">
        <f t="shared" si="2"/>
        <v>0</v>
      </c>
      <c r="AB167" s="14"/>
      <c r="AC167" s="30">
        <v>1</v>
      </c>
      <c r="AD167" s="37">
        <v>0</v>
      </c>
    </row>
    <row r="168" spans="1:30" x14ac:dyDescent="0.25">
      <c r="A168" s="36">
        <v>3135</v>
      </c>
      <c r="B168" s="14" t="s">
        <v>6295</v>
      </c>
      <c r="C168" s="14" t="s">
        <v>6296</v>
      </c>
      <c r="D168" s="17">
        <v>44117</v>
      </c>
      <c r="E168" s="14" t="s">
        <v>30</v>
      </c>
      <c r="F168" s="14">
        <v>31</v>
      </c>
      <c r="G168" s="14">
        <v>12</v>
      </c>
      <c r="H168" s="14">
        <v>14</v>
      </c>
      <c r="I168" s="14">
        <v>7</v>
      </c>
      <c r="J168" s="14" t="s">
        <v>31</v>
      </c>
      <c r="K168" s="14" cm="1">
        <f t="array" ref="K168">INT(SUMPRODUCT(--ISNUMBER(SEARCH(economy,C168)))&gt;0)</f>
        <v>0</v>
      </c>
      <c r="L168" s="14" cm="1">
        <f t="array" ref="L168">INT(SUMPRODUCT(--ISNUMBER(SEARCH(healthcare,C168)))&gt;0)</f>
        <v>0</v>
      </c>
      <c r="M168" s="14" cm="1">
        <f t="array" ref="M168">INT(SUMPRODUCT(--ISNUMBER(SEARCH(supreme,C168)))&gt;0)</f>
        <v>1</v>
      </c>
      <c r="N168" s="14" cm="1">
        <f t="array" ref="N168">INT(SUMPRODUCT(--ISNUMBER(SEARCH(covid,C168)))&gt;0)</f>
        <v>0</v>
      </c>
      <c r="O168" s="14" cm="1">
        <f t="array" ref="O168">INT(SUMPRODUCT(--ISNUMBER(SEARCH(violent,C168)))&gt;0)</f>
        <v>0</v>
      </c>
      <c r="P168" s="14" cm="1">
        <f t="array" ref="P168">INT(SUMPRODUCT(--ISNUMBER(SEARCH(foreign,C168)))&gt;0)</f>
        <v>0</v>
      </c>
      <c r="Q168" s="14" cm="1">
        <f t="array" ref="Q168">INT(SUMPRODUCT(--ISNUMBER(SEARCH(gun,C168)))&gt;0)</f>
        <v>0</v>
      </c>
      <c r="R168" s="14" cm="1">
        <f t="array" ref="R168">INT(SUMPRODUCT(--ISNUMBER(SEARCH(race,C168)))&gt;0)</f>
        <v>0</v>
      </c>
      <c r="S168" s="14" cm="1">
        <f t="array" ref="S168">INT(SUMPRODUCT(--ISNUMBER(SEARCH(immigration,C168)))&gt;0)</f>
        <v>0</v>
      </c>
      <c r="T168" s="14" cm="1">
        <f t="array" ref="T168">INT(SUMPRODUCT(--ISNUMBER(SEARCH(econineq,C169)))&gt;0)</f>
        <v>0</v>
      </c>
      <c r="U168" s="14" cm="1">
        <f t="array" ref="U168">INT(SUMPRODUCT(--ISNUMBER(SEARCH(climate,C168)))&gt;0)</f>
        <v>0</v>
      </c>
      <c r="V168" s="14" cm="1">
        <f t="array" ref="V168">INT(SUMPRODUCT(--ISNUMBER(SEARCH(abortion,C168)))&gt;0)</f>
        <v>0</v>
      </c>
      <c r="W168" s="14" cm="1">
        <f t="array" ref="W168">INT(SUMPRODUCT(--ISNUMBER(SEARCH(trump,C168)))&gt;0)</f>
        <v>0</v>
      </c>
      <c r="X168" s="14" cm="1">
        <f t="array" ref="X168">INT(SUMPRODUCT(--ISNUMBER(SEARCH(voting,C168)))&gt;0)</f>
        <v>0</v>
      </c>
      <c r="Y168" s="35" cm="1">
        <f t="array" ref="Y168">INT(SUMPRODUCT(--ISNUMBER(SEARCH(republicantrigger,C168)))&gt;0)</f>
        <v>1</v>
      </c>
      <c r="Z168" s="35" cm="1">
        <f t="array" ref="Z168">INT(SUMPRODUCT(--ISNUMBER(SEARCH(bipartisan,C168)))&gt;0)</f>
        <v>0</v>
      </c>
      <c r="AA168" s="35">
        <f t="shared" si="2"/>
        <v>0</v>
      </c>
      <c r="AB168" s="14"/>
      <c r="AC168" s="30" t="s">
        <v>223</v>
      </c>
      <c r="AD168" s="37" t="s">
        <v>223</v>
      </c>
    </row>
    <row r="169" spans="1:30" x14ac:dyDescent="0.25">
      <c r="A169" s="36">
        <v>3136</v>
      </c>
      <c r="B169" s="14" t="s">
        <v>6297</v>
      </c>
      <c r="C169" s="14" t="s">
        <v>6298</v>
      </c>
      <c r="D169" s="17">
        <v>44117</v>
      </c>
      <c r="E169" s="14" t="s">
        <v>70</v>
      </c>
      <c r="F169" s="14">
        <v>11</v>
      </c>
      <c r="G169" s="14">
        <v>6</v>
      </c>
      <c r="H169" s="14">
        <v>14</v>
      </c>
      <c r="I169" s="14">
        <v>7</v>
      </c>
      <c r="J169" s="14" t="s">
        <v>31</v>
      </c>
      <c r="K169" s="14" cm="1">
        <f t="array" ref="K169">INT(SUMPRODUCT(--ISNUMBER(SEARCH(economy,C169)))&gt;0)</f>
        <v>0</v>
      </c>
      <c r="L169" s="14" cm="1">
        <f t="array" ref="L169">INT(SUMPRODUCT(--ISNUMBER(SEARCH(healthcare,C169)))&gt;0)</f>
        <v>1</v>
      </c>
      <c r="M169" s="14" cm="1">
        <f t="array" ref="M169">INT(SUMPRODUCT(--ISNUMBER(SEARCH(supreme,C169)))&gt;0)</f>
        <v>0</v>
      </c>
      <c r="N169" s="14" cm="1">
        <f t="array" ref="N169">INT(SUMPRODUCT(--ISNUMBER(SEARCH(covid,C169)))&gt;0)</f>
        <v>0</v>
      </c>
      <c r="O169" s="14" cm="1">
        <f t="array" ref="O169">INT(SUMPRODUCT(--ISNUMBER(SEARCH(violent,C169)))&gt;0)</f>
        <v>0</v>
      </c>
      <c r="P169" s="14" cm="1">
        <f t="array" ref="P169">INT(SUMPRODUCT(--ISNUMBER(SEARCH(foreign,C169)))&gt;0)</f>
        <v>0</v>
      </c>
      <c r="Q169" s="14" cm="1">
        <f t="array" ref="Q169">INT(SUMPRODUCT(--ISNUMBER(SEARCH(gun,C169)))&gt;0)</f>
        <v>0</v>
      </c>
      <c r="R169" s="14" cm="1">
        <f t="array" ref="R169">INT(SUMPRODUCT(--ISNUMBER(SEARCH(race,C169)))&gt;0)</f>
        <v>0</v>
      </c>
      <c r="S169" s="14" cm="1">
        <f t="array" ref="S169">INT(SUMPRODUCT(--ISNUMBER(SEARCH(immigration,C169)))&gt;0)</f>
        <v>0</v>
      </c>
      <c r="T169" s="14" cm="1">
        <f t="array" ref="T169">INT(SUMPRODUCT(--ISNUMBER(SEARCH(econineq,C170)))&gt;0)</f>
        <v>0</v>
      </c>
      <c r="U169" s="14" cm="1">
        <f t="array" ref="U169">INT(SUMPRODUCT(--ISNUMBER(SEARCH(climate,C169)))&gt;0)</f>
        <v>0</v>
      </c>
      <c r="V169" s="14" cm="1">
        <f t="array" ref="V169">INT(SUMPRODUCT(--ISNUMBER(SEARCH(abortion,C169)))&gt;0)</f>
        <v>0</v>
      </c>
      <c r="W169" s="14" cm="1">
        <f t="array" ref="W169">INT(SUMPRODUCT(--ISNUMBER(SEARCH(trump,C169)))&gt;0)</f>
        <v>0</v>
      </c>
      <c r="X169" s="14" cm="1">
        <f t="array" ref="X169">INT(SUMPRODUCT(--ISNUMBER(SEARCH(voting,C169)))&gt;0)</f>
        <v>0</v>
      </c>
      <c r="Y169" s="35" cm="1">
        <f t="array" ref="Y169">INT(SUMPRODUCT(--ISNUMBER(SEARCH(republicantrigger,C169)))&gt;0)</f>
        <v>1</v>
      </c>
      <c r="Z169" s="35" cm="1">
        <f t="array" ref="Z169">INT(SUMPRODUCT(--ISNUMBER(SEARCH(bipartisan,C169)))&gt;0)</f>
        <v>0</v>
      </c>
      <c r="AA169" s="35">
        <f t="shared" si="2"/>
        <v>0</v>
      </c>
      <c r="AB169" s="14"/>
      <c r="AC169" s="30">
        <v>1</v>
      </c>
      <c r="AD169" s="37">
        <v>0</v>
      </c>
    </row>
    <row r="170" spans="1:30" x14ac:dyDescent="0.25">
      <c r="A170" s="36">
        <v>3137</v>
      </c>
      <c r="B170" s="14" t="s">
        <v>6299</v>
      </c>
      <c r="C170" s="14" t="s">
        <v>6300</v>
      </c>
      <c r="D170" s="17">
        <v>44117</v>
      </c>
      <c r="E170" s="14" t="s">
        <v>70</v>
      </c>
      <c r="F170" s="14">
        <v>11</v>
      </c>
      <c r="G170" s="14">
        <v>3</v>
      </c>
      <c r="H170" s="14">
        <v>14</v>
      </c>
      <c r="I170" s="14">
        <v>7</v>
      </c>
      <c r="J170" s="14" t="s">
        <v>31</v>
      </c>
      <c r="K170" s="14" cm="1">
        <f t="array" ref="K170">INT(SUMPRODUCT(--ISNUMBER(SEARCH(economy,C170)))&gt;0)</f>
        <v>0</v>
      </c>
      <c r="L170" s="14" cm="1">
        <f t="array" ref="L170">INT(SUMPRODUCT(--ISNUMBER(SEARCH(healthcare,C170)))&gt;0)</f>
        <v>0</v>
      </c>
      <c r="M170" s="14" cm="1">
        <f t="array" ref="M170">INT(SUMPRODUCT(--ISNUMBER(SEARCH(supreme,C170)))&gt;0)</f>
        <v>0</v>
      </c>
      <c r="N170" s="14" cm="1">
        <f t="array" ref="N170">INT(SUMPRODUCT(--ISNUMBER(SEARCH(covid,C170)))&gt;0)</f>
        <v>0</v>
      </c>
      <c r="O170" s="14" cm="1">
        <f t="array" ref="O170">INT(SUMPRODUCT(--ISNUMBER(SEARCH(violent,C170)))&gt;0)</f>
        <v>0</v>
      </c>
      <c r="P170" s="14" cm="1">
        <f t="array" ref="P170">INT(SUMPRODUCT(--ISNUMBER(SEARCH(foreign,C170)))&gt;0)</f>
        <v>0</v>
      </c>
      <c r="Q170" s="14" cm="1">
        <f t="array" ref="Q170">INT(SUMPRODUCT(--ISNUMBER(SEARCH(gun,C170)))&gt;0)</f>
        <v>0</v>
      </c>
      <c r="R170" s="14" cm="1">
        <f t="array" ref="R170">INT(SUMPRODUCT(--ISNUMBER(SEARCH(race,C170)))&gt;0)</f>
        <v>0</v>
      </c>
      <c r="S170" s="14" cm="1">
        <f t="array" ref="S170">INT(SUMPRODUCT(--ISNUMBER(SEARCH(immigration,C170)))&gt;0)</f>
        <v>0</v>
      </c>
      <c r="T170" s="14" cm="1">
        <f t="array" ref="T170">INT(SUMPRODUCT(--ISNUMBER(SEARCH(econineq,C171)))&gt;0)</f>
        <v>0</v>
      </c>
      <c r="U170" s="14" cm="1">
        <f t="array" ref="U170">INT(SUMPRODUCT(--ISNUMBER(SEARCH(climate,C170)))&gt;0)</f>
        <v>0</v>
      </c>
      <c r="V170" s="14" cm="1">
        <f t="array" ref="V170">INT(SUMPRODUCT(--ISNUMBER(SEARCH(abortion,C170)))&gt;0)</f>
        <v>0</v>
      </c>
      <c r="W170" s="14" cm="1">
        <f t="array" ref="W170">INT(SUMPRODUCT(--ISNUMBER(SEARCH(trump,C170)))&gt;0)</f>
        <v>0</v>
      </c>
      <c r="X170" s="14" cm="1">
        <f t="array" ref="X170">INT(SUMPRODUCT(--ISNUMBER(SEARCH(voting,C170)))&gt;0)</f>
        <v>0</v>
      </c>
      <c r="Y170" s="35" cm="1">
        <f t="array" ref="Y170">INT(SUMPRODUCT(--ISNUMBER(SEARCH(republicantrigger,C170)))&gt;0)</f>
        <v>1</v>
      </c>
      <c r="Z170" s="35" cm="1">
        <f t="array" ref="Z170">INT(SUMPRODUCT(--ISNUMBER(SEARCH(bipartisan,C170)))&gt;0)</f>
        <v>0</v>
      </c>
      <c r="AA170" s="35">
        <f t="shared" si="2"/>
        <v>0</v>
      </c>
      <c r="AB170" s="14"/>
      <c r="AC170" s="30" t="s">
        <v>223</v>
      </c>
      <c r="AD170" s="37" t="s">
        <v>223</v>
      </c>
    </row>
    <row r="171" spans="1:30" x14ac:dyDescent="0.25">
      <c r="A171" s="36">
        <v>3138</v>
      </c>
      <c r="B171" s="14" t="s">
        <v>6301</v>
      </c>
      <c r="C171" s="14" t="s">
        <v>6302</v>
      </c>
      <c r="D171" s="17">
        <v>44117</v>
      </c>
      <c r="E171" s="14" t="s">
        <v>30</v>
      </c>
      <c r="F171" s="14">
        <v>25</v>
      </c>
      <c r="G171" s="14">
        <v>10</v>
      </c>
      <c r="H171" s="14">
        <v>14</v>
      </c>
      <c r="I171" s="14">
        <v>7</v>
      </c>
      <c r="J171" s="14" t="s">
        <v>31</v>
      </c>
      <c r="K171" s="14" cm="1">
        <f t="array" ref="K171">INT(SUMPRODUCT(--ISNUMBER(SEARCH(economy,C171)))&gt;0)</f>
        <v>0</v>
      </c>
      <c r="L171" s="14" cm="1">
        <f t="array" ref="L171">INT(SUMPRODUCT(--ISNUMBER(SEARCH(healthcare,C171)))&gt;0)</f>
        <v>1</v>
      </c>
      <c r="M171" s="14" cm="1">
        <f t="array" ref="M171">INT(SUMPRODUCT(--ISNUMBER(SEARCH(supreme,C171)))&gt;0)</f>
        <v>0</v>
      </c>
      <c r="N171" s="14" cm="1">
        <f t="array" ref="N171">INT(SUMPRODUCT(--ISNUMBER(SEARCH(covid,C171)))&gt;0)</f>
        <v>0</v>
      </c>
      <c r="O171" s="14" cm="1">
        <f t="array" ref="O171">INT(SUMPRODUCT(--ISNUMBER(SEARCH(violent,C171)))&gt;0)</f>
        <v>0</v>
      </c>
      <c r="P171" s="14" cm="1">
        <f t="array" ref="P171">INT(SUMPRODUCT(--ISNUMBER(SEARCH(foreign,C171)))&gt;0)</f>
        <v>0</v>
      </c>
      <c r="Q171" s="14" cm="1">
        <f t="array" ref="Q171">INT(SUMPRODUCT(--ISNUMBER(SEARCH(gun,C171)))&gt;0)</f>
        <v>0</v>
      </c>
      <c r="R171" s="14" cm="1">
        <f t="array" ref="R171">INT(SUMPRODUCT(--ISNUMBER(SEARCH(race,C171)))&gt;0)</f>
        <v>0</v>
      </c>
      <c r="S171" s="14" cm="1">
        <f t="array" ref="S171">INT(SUMPRODUCT(--ISNUMBER(SEARCH(immigration,C171)))&gt;0)</f>
        <v>0</v>
      </c>
      <c r="T171" s="14" cm="1">
        <f t="array" ref="T171">INT(SUMPRODUCT(--ISNUMBER(SEARCH(econineq,C172)))&gt;0)</f>
        <v>0</v>
      </c>
      <c r="U171" s="14" cm="1">
        <f t="array" ref="U171">INT(SUMPRODUCT(--ISNUMBER(SEARCH(climate,C171)))&gt;0)</f>
        <v>0</v>
      </c>
      <c r="V171" s="14" cm="1">
        <f t="array" ref="V171">INT(SUMPRODUCT(--ISNUMBER(SEARCH(abortion,C171)))&gt;0)</f>
        <v>0</v>
      </c>
      <c r="W171" s="14" cm="1">
        <f t="array" ref="W171">INT(SUMPRODUCT(--ISNUMBER(SEARCH(trump,C171)))&gt;0)</f>
        <v>0</v>
      </c>
      <c r="X171" s="14" cm="1">
        <f t="array" ref="X171">INT(SUMPRODUCT(--ISNUMBER(SEARCH(voting,C171)))&gt;0)</f>
        <v>0</v>
      </c>
      <c r="Y171" s="35" cm="1">
        <f t="array" ref="Y171">INT(SUMPRODUCT(--ISNUMBER(SEARCH(republicantrigger,C171)))&gt;0)</f>
        <v>0</v>
      </c>
      <c r="Z171" s="35" cm="1">
        <f t="array" ref="Z171">INT(SUMPRODUCT(--ISNUMBER(SEARCH(bipartisan,C171)))&gt;0)</f>
        <v>0</v>
      </c>
      <c r="AA171" s="35">
        <f t="shared" si="2"/>
        <v>0</v>
      </c>
      <c r="AB171" s="14"/>
      <c r="AC171" s="30" t="s">
        <v>223</v>
      </c>
      <c r="AD171" s="37" t="s">
        <v>223</v>
      </c>
    </row>
    <row r="172" spans="1:30" x14ac:dyDescent="0.25">
      <c r="A172" s="36">
        <v>3139</v>
      </c>
      <c r="B172" s="14" t="s">
        <v>6303</v>
      </c>
      <c r="C172" s="14" t="s">
        <v>6304</v>
      </c>
      <c r="D172" s="17">
        <v>44117</v>
      </c>
      <c r="E172" s="14" t="s">
        <v>30</v>
      </c>
      <c r="F172" s="14">
        <v>19</v>
      </c>
      <c r="G172" s="14">
        <v>10</v>
      </c>
      <c r="H172" s="14">
        <v>14</v>
      </c>
      <c r="I172" s="14">
        <v>7</v>
      </c>
      <c r="J172" s="14" t="s">
        <v>31</v>
      </c>
      <c r="K172" s="14" cm="1">
        <f t="array" ref="K172">INT(SUMPRODUCT(--ISNUMBER(SEARCH(economy,C172)))&gt;0)</f>
        <v>0</v>
      </c>
      <c r="L172" s="14" cm="1">
        <f t="array" ref="L172">INT(SUMPRODUCT(--ISNUMBER(SEARCH(healthcare,C172)))&gt;0)</f>
        <v>1</v>
      </c>
      <c r="M172" s="14" cm="1">
        <f t="array" ref="M172">INT(SUMPRODUCT(--ISNUMBER(SEARCH(supreme,C172)))&gt;0)</f>
        <v>0</v>
      </c>
      <c r="N172" s="14" cm="1">
        <f t="array" ref="N172">INT(SUMPRODUCT(--ISNUMBER(SEARCH(covid,C172)))&gt;0)</f>
        <v>0</v>
      </c>
      <c r="O172" s="14" cm="1">
        <f t="array" ref="O172">INT(SUMPRODUCT(--ISNUMBER(SEARCH(violent,C172)))&gt;0)</f>
        <v>0</v>
      </c>
      <c r="P172" s="14" cm="1">
        <f t="array" ref="P172">INT(SUMPRODUCT(--ISNUMBER(SEARCH(foreign,C172)))&gt;0)</f>
        <v>0</v>
      </c>
      <c r="Q172" s="14" cm="1">
        <f t="array" ref="Q172">INT(SUMPRODUCT(--ISNUMBER(SEARCH(gun,C172)))&gt;0)</f>
        <v>0</v>
      </c>
      <c r="R172" s="14" cm="1">
        <f t="array" ref="R172">INT(SUMPRODUCT(--ISNUMBER(SEARCH(race,C172)))&gt;0)</f>
        <v>0</v>
      </c>
      <c r="S172" s="14" cm="1">
        <f t="array" ref="S172">INT(SUMPRODUCT(--ISNUMBER(SEARCH(immigration,C172)))&gt;0)</f>
        <v>0</v>
      </c>
      <c r="T172" s="14" cm="1">
        <f t="array" ref="T172">INT(SUMPRODUCT(--ISNUMBER(SEARCH(econineq,C173)))&gt;0)</f>
        <v>0</v>
      </c>
      <c r="U172" s="14" cm="1">
        <f t="array" ref="U172">INT(SUMPRODUCT(--ISNUMBER(SEARCH(climate,C172)))&gt;0)</f>
        <v>0</v>
      </c>
      <c r="V172" s="14" cm="1">
        <f t="array" ref="V172">INT(SUMPRODUCT(--ISNUMBER(SEARCH(abortion,C172)))&gt;0)</f>
        <v>0</v>
      </c>
      <c r="W172" s="14" cm="1">
        <f t="array" ref="W172">INT(SUMPRODUCT(--ISNUMBER(SEARCH(trump,C172)))&gt;0)</f>
        <v>0</v>
      </c>
      <c r="X172" s="14" cm="1">
        <f t="array" ref="X172">INT(SUMPRODUCT(--ISNUMBER(SEARCH(voting,C172)))&gt;0)</f>
        <v>0</v>
      </c>
      <c r="Y172" s="35" cm="1">
        <f t="array" ref="Y172">INT(SUMPRODUCT(--ISNUMBER(SEARCH(republicantrigger,C172)))&gt;0)</f>
        <v>1</v>
      </c>
      <c r="Z172" s="35" cm="1">
        <f t="array" ref="Z172">INT(SUMPRODUCT(--ISNUMBER(SEARCH(bipartisan,C172)))&gt;0)</f>
        <v>0</v>
      </c>
      <c r="AA172" s="35">
        <f t="shared" si="2"/>
        <v>0</v>
      </c>
      <c r="AB172" s="14"/>
      <c r="AC172" s="30" t="s">
        <v>223</v>
      </c>
      <c r="AD172" s="37" t="s">
        <v>223</v>
      </c>
    </row>
    <row r="173" spans="1:30" x14ac:dyDescent="0.25">
      <c r="A173" s="36">
        <v>3140</v>
      </c>
      <c r="B173" s="14" t="s">
        <v>6305</v>
      </c>
      <c r="C173" s="14" t="s">
        <v>6306</v>
      </c>
      <c r="D173" s="17">
        <v>44117</v>
      </c>
      <c r="E173" s="14" t="s">
        <v>30</v>
      </c>
      <c r="F173" s="14">
        <v>23</v>
      </c>
      <c r="G173" s="14">
        <v>12</v>
      </c>
      <c r="H173" s="14">
        <v>14</v>
      </c>
      <c r="I173" s="14">
        <v>7</v>
      </c>
      <c r="J173" s="14" t="s">
        <v>31</v>
      </c>
      <c r="K173" s="14" cm="1">
        <f t="array" ref="K173">INT(SUMPRODUCT(--ISNUMBER(SEARCH(economy,C173)))&gt;0)</f>
        <v>0</v>
      </c>
      <c r="L173" s="14" cm="1">
        <f t="array" ref="L173">INT(SUMPRODUCT(--ISNUMBER(SEARCH(healthcare,C173)))&gt;0)</f>
        <v>0</v>
      </c>
      <c r="M173" s="14" cm="1">
        <f t="array" ref="M173">INT(SUMPRODUCT(--ISNUMBER(SEARCH(supreme,C173)))&gt;0)</f>
        <v>1</v>
      </c>
      <c r="N173" s="14" cm="1">
        <f t="array" ref="N173">INT(SUMPRODUCT(--ISNUMBER(SEARCH(covid,C173)))&gt;0)</f>
        <v>0</v>
      </c>
      <c r="O173" s="14" cm="1">
        <f t="array" ref="O173">INT(SUMPRODUCT(--ISNUMBER(SEARCH(violent,C173)))&gt;0)</f>
        <v>0</v>
      </c>
      <c r="P173" s="14" cm="1">
        <f t="array" ref="P173">INT(SUMPRODUCT(--ISNUMBER(SEARCH(foreign,C173)))&gt;0)</f>
        <v>0</v>
      </c>
      <c r="Q173" s="14" cm="1">
        <f t="array" ref="Q173">INT(SUMPRODUCT(--ISNUMBER(SEARCH(gun,C173)))&gt;0)</f>
        <v>0</v>
      </c>
      <c r="R173" s="14" cm="1">
        <f t="array" ref="R173">INT(SUMPRODUCT(--ISNUMBER(SEARCH(race,C173)))&gt;0)</f>
        <v>0</v>
      </c>
      <c r="S173" s="14" cm="1">
        <f t="array" ref="S173">INT(SUMPRODUCT(--ISNUMBER(SEARCH(immigration,C173)))&gt;0)</f>
        <v>0</v>
      </c>
      <c r="T173" s="14" cm="1">
        <f t="array" ref="T173">INT(SUMPRODUCT(--ISNUMBER(SEARCH(econineq,C174)))&gt;0)</f>
        <v>0</v>
      </c>
      <c r="U173" s="14" cm="1">
        <f t="array" ref="U173">INT(SUMPRODUCT(--ISNUMBER(SEARCH(climate,C173)))&gt;0)</f>
        <v>0</v>
      </c>
      <c r="V173" s="14" cm="1">
        <f t="array" ref="V173">INT(SUMPRODUCT(--ISNUMBER(SEARCH(abortion,C173)))&gt;0)</f>
        <v>0</v>
      </c>
      <c r="W173" s="14" cm="1">
        <f t="array" ref="W173">INT(SUMPRODUCT(--ISNUMBER(SEARCH(trump,C173)))&gt;0)</f>
        <v>0</v>
      </c>
      <c r="X173" s="14" cm="1">
        <f t="array" ref="X173">INT(SUMPRODUCT(--ISNUMBER(SEARCH(voting,C173)))&gt;0)</f>
        <v>0</v>
      </c>
      <c r="Y173" s="35" cm="1">
        <f t="array" ref="Y173">INT(SUMPRODUCT(--ISNUMBER(SEARCH(republicantrigger,C173)))&gt;0)</f>
        <v>1</v>
      </c>
      <c r="Z173" s="35" cm="1">
        <f t="array" ref="Z173">INT(SUMPRODUCT(--ISNUMBER(SEARCH(bipartisan,C173)))&gt;0)</f>
        <v>0</v>
      </c>
      <c r="AA173" s="35">
        <f t="shared" si="2"/>
        <v>0</v>
      </c>
      <c r="AB173" s="14"/>
      <c r="AC173" s="30" t="s">
        <v>223</v>
      </c>
      <c r="AD173" s="37" t="s">
        <v>223</v>
      </c>
    </row>
    <row r="174" spans="1:30" x14ac:dyDescent="0.25">
      <c r="A174" s="36">
        <v>3141</v>
      </c>
      <c r="B174" s="14" t="s">
        <v>6307</v>
      </c>
      <c r="C174" s="14" t="s">
        <v>6308</v>
      </c>
      <c r="D174" s="17">
        <v>44117</v>
      </c>
      <c r="E174" s="14" t="s">
        <v>70</v>
      </c>
      <c r="F174" s="14">
        <v>13</v>
      </c>
      <c r="G174" s="14">
        <v>4</v>
      </c>
      <c r="H174" s="14">
        <v>14</v>
      </c>
      <c r="I174" s="14">
        <v>7</v>
      </c>
      <c r="J174" s="14" t="s">
        <v>31</v>
      </c>
      <c r="K174" s="14" cm="1">
        <f t="array" ref="K174">INT(SUMPRODUCT(--ISNUMBER(SEARCH(economy,C174)))&gt;0)</f>
        <v>0</v>
      </c>
      <c r="L174" s="14" cm="1">
        <f t="array" ref="L174">INT(SUMPRODUCT(--ISNUMBER(SEARCH(healthcare,C174)))&gt;0)</f>
        <v>0</v>
      </c>
      <c r="M174" s="14" cm="1">
        <f t="array" ref="M174">INT(SUMPRODUCT(--ISNUMBER(SEARCH(supreme,C174)))&gt;0)</f>
        <v>0</v>
      </c>
      <c r="N174" s="14" cm="1">
        <f t="array" ref="N174">INT(SUMPRODUCT(--ISNUMBER(SEARCH(covid,C174)))&gt;0)</f>
        <v>0</v>
      </c>
      <c r="O174" s="14" cm="1">
        <f t="array" ref="O174">INT(SUMPRODUCT(--ISNUMBER(SEARCH(violent,C174)))&gt;0)</f>
        <v>0</v>
      </c>
      <c r="P174" s="14" cm="1">
        <f t="array" ref="P174">INT(SUMPRODUCT(--ISNUMBER(SEARCH(foreign,C174)))&gt;0)</f>
        <v>0</v>
      </c>
      <c r="Q174" s="14" cm="1">
        <f t="array" ref="Q174">INT(SUMPRODUCT(--ISNUMBER(SEARCH(gun,C174)))&gt;0)</f>
        <v>0</v>
      </c>
      <c r="R174" s="14" cm="1">
        <f t="array" ref="R174">INT(SUMPRODUCT(--ISNUMBER(SEARCH(race,C174)))&gt;0)</f>
        <v>0</v>
      </c>
      <c r="S174" s="14" cm="1">
        <f t="array" ref="S174">INT(SUMPRODUCT(--ISNUMBER(SEARCH(immigration,C174)))&gt;0)</f>
        <v>0</v>
      </c>
      <c r="T174" s="14" cm="1">
        <f t="array" ref="T174">INT(SUMPRODUCT(--ISNUMBER(SEARCH(econineq,C175)))&gt;0)</f>
        <v>0</v>
      </c>
      <c r="U174" s="14" cm="1">
        <f t="array" ref="U174">INT(SUMPRODUCT(--ISNUMBER(SEARCH(climate,C174)))&gt;0)</f>
        <v>0</v>
      </c>
      <c r="V174" s="14" cm="1">
        <f t="array" ref="V174">INT(SUMPRODUCT(--ISNUMBER(SEARCH(abortion,C174)))&gt;0)</f>
        <v>0</v>
      </c>
      <c r="W174" s="14" cm="1">
        <f t="array" ref="W174">INT(SUMPRODUCT(--ISNUMBER(SEARCH(trump,C174)))&gt;0)</f>
        <v>0</v>
      </c>
      <c r="X174" s="14" cm="1">
        <f t="array" ref="X174">INT(SUMPRODUCT(--ISNUMBER(SEARCH(voting,C174)))&gt;0)</f>
        <v>0</v>
      </c>
      <c r="Y174" s="35" cm="1">
        <f t="array" ref="Y174">INT(SUMPRODUCT(--ISNUMBER(SEARCH(republicantrigger,C174)))&gt;0)</f>
        <v>0</v>
      </c>
      <c r="Z174" s="35" cm="1">
        <f t="array" ref="Z174">INT(SUMPRODUCT(--ISNUMBER(SEARCH(bipartisan,C174)))&gt;0)</f>
        <v>0</v>
      </c>
      <c r="AA174" s="35">
        <f t="shared" si="2"/>
        <v>1</v>
      </c>
      <c r="AB174" s="14"/>
      <c r="AC174" s="30">
        <v>1</v>
      </c>
      <c r="AD174" s="37">
        <v>0</v>
      </c>
    </row>
    <row r="175" spans="1:30" x14ac:dyDescent="0.25">
      <c r="A175" s="36">
        <v>3142</v>
      </c>
      <c r="B175" s="14" t="s">
        <v>6309</v>
      </c>
      <c r="C175" s="14" t="s">
        <v>6310</v>
      </c>
      <c r="D175" s="17">
        <v>44117</v>
      </c>
      <c r="E175" s="14" t="s">
        <v>70</v>
      </c>
      <c r="F175" s="14">
        <v>16</v>
      </c>
      <c r="G175" s="14">
        <v>3</v>
      </c>
      <c r="H175" s="14">
        <v>14</v>
      </c>
      <c r="I175" s="14">
        <v>7</v>
      </c>
      <c r="J175" s="14" t="s">
        <v>31</v>
      </c>
      <c r="K175" s="14" cm="1">
        <f t="array" ref="K175">INT(SUMPRODUCT(--ISNUMBER(SEARCH(economy,C175)))&gt;0)</f>
        <v>0</v>
      </c>
      <c r="L175" s="14" cm="1">
        <f t="array" ref="L175">INT(SUMPRODUCT(--ISNUMBER(SEARCH(healthcare,C175)))&gt;0)</f>
        <v>1</v>
      </c>
      <c r="M175" s="14" cm="1">
        <f t="array" ref="M175">INT(SUMPRODUCT(--ISNUMBER(SEARCH(supreme,C175)))&gt;0)</f>
        <v>1</v>
      </c>
      <c r="N175" s="14" cm="1">
        <f t="array" ref="N175">INT(SUMPRODUCT(--ISNUMBER(SEARCH(covid,C175)))&gt;0)</f>
        <v>0</v>
      </c>
      <c r="O175" s="14" cm="1">
        <f t="array" ref="O175">INT(SUMPRODUCT(--ISNUMBER(SEARCH(violent,C175)))&gt;0)</f>
        <v>0</v>
      </c>
      <c r="P175" s="14" cm="1">
        <f t="array" ref="P175">INT(SUMPRODUCT(--ISNUMBER(SEARCH(foreign,C175)))&gt;0)</f>
        <v>0</v>
      </c>
      <c r="Q175" s="14" cm="1">
        <f t="array" ref="Q175">INT(SUMPRODUCT(--ISNUMBER(SEARCH(gun,C175)))&gt;0)</f>
        <v>0</v>
      </c>
      <c r="R175" s="14" cm="1">
        <f t="array" ref="R175">INT(SUMPRODUCT(--ISNUMBER(SEARCH(race,C175)))&gt;0)</f>
        <v>0</v>
      </c>
      <c r="S175" s="14" cm="1">
        <f t="array" ref="S175">INT(SUMPRODUCT(--ISNUMBER(SEARCH(immigration,C175)))&gt;0)</f>
        <v>0</v>
      </c>
      <c r="T175" s="14" cm="1">
        <f t="array" ref="T175">INT(SUMPRODUCT(--ISNUMBER(SEARCH(econineq,C176)))&gt;0)</f>
        <v>0</v>
      </c>
      <c r="U175" s="14" cm="1">
        <f t="array" ref="U175">INT(SUMPRODUCT(--ISNUMBER(SEARCH(climate,C175)))&gt;0)</f>
        <v>0</v>
      </c>
      <c r="V175" s="14" cm="1">
        <f t="array" ref="V175">INT(SUMPRODUCT(--ISNUMBER(SEARCH(abortion,C175)))&gt;0)</f>
        <v>0</v>
      </c>
      <c r="W175" s="14" cm="1">
        <f t="array" ref="W175">INT(SUMPRODUCT(--ISNUMBER(SEARCH(trump,C175)))&gt;0)</f>
        <v>0</v>
      </c>
      <c r="X175" s="14" cm="1">
        <f t="array" ref="X175">INT(SUMPRODUCT(--ISNUMBER(SEARCH(voting,C175)))&gt;0)</f>
        <v>0</v>
      </c>
      <c r="Y175" s="35" cm="1">
        <f t="array" ref="Y175">INT(SUMPRODUCT(--ISNUMBER(SEARCH(republicantrigger,C175)))&gt;0)</f>
        <v>1</v>
      </c>
      <c r="Z175" s="35" cm="1">
        <f t="array" ref="Z175">INT(SUMPRODUCT(--ISNUMBER(SEARCH(bipartisan,C175)))&gt;0)</f>
        <v>0</v>
      </c>
      <c r="AA175" s="35">
        <f t="shared" si="2"/>
        <v>0</v>
      </c>
      <c r="AB175" s="14"/>
      <c r="AC175" s="30" t="s">
        <v>223</v>
      </c>
      <c r="AD175" s="37" t="s">
        <v>223</v>
      </c>
    </row>
    <row r="176" spans="1:30" x14ac:dyDescent="0.25">
      <c r="A176" s="36">
        <v>3143</v>
      </c>
      <c r="B176" s="14" t="s">
        <v>6311</v>
      </c>
      <c r="C176" s="14" t="s">
        <v>6312</v>
      </c>
      <c r="D176" s="17">
        <v>44117</v>
      </c>
      <c r="E176" s="14" t="s">
        <v>70</v>
      </c>
      <c r="F176" s="14">
        <v>9</v>
      </c>
      <c r="G176" s="14">
        <v>3</v>
      </c>
      <c r="H176" s="14">
        <v>14</v>
      </c>
      <c r="I176" s="14">
        <v>7</v>
      </c>
      <c r="J176" s="14" t="s">
        <v>31</v>
      </c>
      <c r="K176" s="14" cm="1">
        <f t="array" ref="K176">INT(SUMPRODUCT(--ISNUMBER(SEARCH(economy,C176)))&gt;0)</f>
        <v>0</v>
      </c>
      <c r="L176" s="14" cm="1">
        <f t="array" ref="L176">INT(SUMPRODUCT(--ISNUMBER(SEARCH(healthcare,C176)))&gt;0)</f>
        <v>0</v>
      </c>
      <c r="M176" s="14" cm="1">
        <f t="array" ref="M176">INT(SUMPRODUCT(--ISNUMBER(SEARCH(supreme,C176)))&gt;0)</f>
        <v>0</v>
      </c>
      <c r="N176" s="14" cm="1">
        <f t="array" ref="N176">INT(SUMPRODUCT(--ISNUMBER(SEARCH(covid,C176)))&gt;0)</f>
        <v>0</v>
      </c>
      <c r="O176" s="14" cm="1">
        <f t="array" ref="O176">INT(SUMPRODUCT(--ISNUMBER(SEARCH(violent,C176)))&gt;0)</f>
        <v>0</v>
      </c>
      <c r="P176" s="14" cm="1">
        <f t="array" ref="P176">INT(SUMPRODUCT(--ISNUMBER(SEARCH(foreign,C176)))&gt;0)</f>
        <v>0</v>
      </c>
      <c r="Q176" s="14" cm="1">
        <f t="array" ref="Q176">INT(SUMPRODUCT(--ISNUMBER(SEARCH(gun,C176)))&gt;0)</f>
        <v>0</v>
      </c>
      <c r="R176" s="14" cm="1">
        <f t="array" ref="R176">INT(SUMPRODUCT(--ISNUMBER(SEARCH(race,C176)))&gt;0)</f>
        <v>0</v>
      </c>
      <c r="S176" s="14" cm="1">
        <f t="array" ref="S176">INT(SUMPRODUCT(--ISNUMBER(SEARCH(immigration,C176)))&gt;0)</f>
        <v>0</v>
      </c>
      <c r="T176" s="14" cm="1">
        <f t="array" ref="T176">INT(SUMPRODUCT(--ISNUMBER(SEARCH(econineq,C177)))&gt;0)</f>
        <v>0</v>
      </c>
      <c r="U176" s="14" cm="1">
        <f t="array" ref="U176">INT(SUMPRODUCT(--ISNUMBER(SEARCH(climate,C176)))&gt;0)</f>
        <v>0</v>
      </c>
      <c r="V176" s="14" cm="1">
        <f t="array" ref="V176">INT(SUMPRODUCT(--ISNUMBER(SEARCH(abortion,C176)))&gt;0)</f>
        <v>0</v>
      </c>
      <c r="W176" s="14" cm="1">
        <f t="array" ref="W176">INT(SUMPRODUCT(--ISNUMBER(SEARCH(trump,C176)))&gt;0)</f>
        <v>0</v>
      </c>
      <c r="X176" s="14" cm="1">
        <f t="array" ref="X176">INT(SUMPRODUCT(--ISNUMBER(SEARCH(voting,C176)))&gt;0)</f>
        <v>1</v>
      </c>
      <c r="Y176" s="35" cm="1">
        <f t="array" ref="Y176">INT(SUMPRODUCT(--ISNUMBER(SEARCH(republicantrigger,C176)))&gt;0)</f>
        <v>1</v>
      </c>
      <c r="Z176" s="35" cm="1">
        <f t="array" ref="Z176">INT(SUMPRODUCT(--ISNUMBER(SEARCH(bipartisan,C176)))&gt;0)</f>
        <v>1</v>
      </c>
      <c r="AA176" s="35">
        <f t="shared" si="2"/>
        <v>0</v>
      </c>
      <c r="AB176" s="14"/>
      <c r="AC176" s="30" t="s">
        <v>223</v>
      </c>
      <c r="AD176" s="37" t="s">
        <v>223</v>
      </c>
    </row>
    <row r="177" spans="1:30" x14ac:dyDescent="0.25">
      <c r="A177" s="36">
        <v>3144</v>
      </c>
      <c r="B177" s="14" t="s">
        <v>6313</v>
      </c>
      <c r="C177" s="14" t="s">
        <v>6314</v>
      </c>
      <c r="D177" s="17">
        <v>44117</v>
      </c>
      <c r="E177" s="14" t="s">
        <v>70</v>
      </c>
      <c r="F177" s="14">
        <v>7</v>
      </c>
      <c r="G177" s="14">
        <v>3</v>
      </c>
      <c r="H177" s="14">
        <v>14</v>
      </c>
      <c r="I177" s="14">
        <v>7</v>
      </c>
      <c r="J177" s="14" t="s">
        <v>31</v>
      </c>
      <c r="K177" s="14" cm="1">
        <f t="array" ref="K177">INT(SUMPRODUCT(--ISNUMBER(SEARCH(economy,C177)))&gt;0)</f>
        <v>1</v>
      </c>
      <c r="L177" s="14" cm="1">
        <f t="array" ref="L177">INT(SUMPRODUCT(--ISNUMBER(SEARCH(healthcare,C177)))&gt;0)</f>
        <v>0</v>
      </c>
      <c r="M177" s="14" cm="1">
        <f t="array" ref="M177">INT(SUMPRODUCT(--ISNUMBER(SEARCH(supreme,C177)))&gt;0)</f>
        <v>0</v>
      </c>
      <c r="N177" s="14" cm="1">
        <f t="array" ref="N177">INT(SUMPRODUCT(--ISNUMBER(SEARCH(covid,C177)))&gt;0)</f>
        <v>0</v>
      </c>
      <c r="O177" s="14" cm="1">
        <f t="array" ref="O177">INT(SUMPRODUCT(--ISNUMBER(SEARCH(violent,C177)))&gt;0)</f>
        <v>0</v>
      </c>
      <c r="P177" s="14" cm="1">
        <f t="array" ref="P177">INT(SUMPRODUCT(--ISNUMBER(SEARCH(foreign,C177)))&gt;0)</f>
        <v>0</v>
      </c>
      <c r="Q177" s="14" cm="1">
        <f t="array" ref="Q177">INT(SUMPRODUCT(--ISNUMBER(SEARCH(gun,C177)))&gt;0)</f>
        <v>0</v>
      </c>
      <c r="R177" s="14" cm="1">
        <f t="array" ref="R177">INT(SUMPRODUCT(--ISNUMBER(SEARCH(race,C177)))&gt;0)</f>
        <v>0</v>
      </c>
      <c r="S177" s="14" cm="1">
        <f t="array" ref="S177">INT(SUMPRODUCT(--ISNUMBER(SEARCH(immigration,C177)))&gt;0)</f>
        <v>0</v>
      </c>
      <c r="T177" s="14" cm="1">
        <f t="array" ref="T177">INT(SUMPRODUCT(--ISNUMBER(SEARCH(econineq,C178)))&gt;0)</f>
        <v>0</v>
      </c>
      <c r="U177" s="14" cm="1">
        <f t="array" ref="U177">INT(SUMPRODUCT(--ISNUMBER(SEARCH(climate,C177)))&gt;0)</f>
        <v>0</v>
      </c>
      <c r="V177" s="14" cm="1">
        <f t="array" ref="V177">INT(SUMPRODUCT(--ISNUMBER(SEARCH(abortion,C177)))&gt;0)</f>
        <v>0</v>
      </c>
      <c r="W177" s="14" cm="1">
        <f t="array" ref="W177">INT(SUMPRODUCT(--ISNUMBER(SEARCH(trump,C177)))&gt;0)</f>
        <v>0</v>
      </c>
      <c r="X177" s="14" cm="1">
        <f t="array" ref="X177">INT(SUMPRODUCT(--ISNUMBER(SEARCH(voting,C177)))&gt;0)</f>
        <v>1</v>
      </c>
      <c r="Y177" s="35" cm="1">
        <f t="array" ref="Y177">INT(SUMPRODUCT(--ISNUMBER(SEARCH(republicantrigger,C177)))&gt;0)</f>
        <v>1</v>
      </c>
      <c r="Z177" s="35" cm="1">
        <f t="array" ref="Z177">INT(SUMPRODUCT(--ISNUMBER(SEARCH(bipartisan,C177)))&gt;0)</f>
        <v>0</v>
      </c>
      <c r="AA177" s="35">
        <f t="shared" si="2"/>
        <v>0</v>
      </c>
      <c r="AB177" s="14"/>
      <c r="AC177" s="30" t="s">
        <v>223</v>
      </c>
      <c r="AD177" s="37" t="s">
        <v>223</v>
      </c>
    </row>
    <row r="178" spans="1:30" x14ac:dyDescent="0.25">
      <c r="A178" s="36">
        <v>3145</v>
      </c>
      <c r="B178" s="14" t="s">
        <v>6315</v>
      </c>
      <c r="C178" s="14" t="s">
        <v>6316</v>
      </c>
      <c r="D178" s="17">
        <v>44117</v>
      </c>
      <c r="E178" s="14" t="s">
        <v>30</v>
      </c>
      <c r="F178" s="14">
        <v>19</v>
      </c>
      <c r="G178" s="14">
        <v>6</v>
      </c>
      <c r="H178" s="14">
        <v>14</v>
      </c>
      <c r="I178" s="14">
        <v>7</v>
      </c>
      <c r="J178" s="14" t="s">
        <v>31</v>
      </c>
      <c r="K178" s="14" cm="1">
        <f t="array" ref="K178">INT(SUMPRODUCT(--ISNUMBER(SEARCH(economy,C178)))&gt;0)</f>
        <v>0</v>
      </c>
      <c r="L178" s="14" cm="1">
        <f t="array" ref="L178">INT(SUMPRODUCT(--ISNUMBER(SEARCH(healthcare,C178)))&gt;0)</f>
        <v>1</v>
      </c>
      <c r="M178" s="14" cm="1">
        <f t="array" ref="M178">INT(SUMPRODUCT(--ISNUMBER(SEARCH(supreme,C178)))&gt;0)</f>
        <v>1</v>
      </c>
      <c r="N178" s="14" cm="1">
        <f t="array" ref="N178">INT(SUMPRODUCT(--ISNUMBER(SEARCH(covid,C178)))&gt;0)</f>
        <v>0</v>
      </c>
      <c r="O178" s="14" cm="1">
        <f t="array" ref="O178">INT(SUMPRODUCT(--ISNUMBER(SEARCH(violent,C178)))&gt;0)</f>
        <v>0</v>
      </c>
      <c r="P178" s="14" cm="1">
        <f t="array" ref="P178">INT(SUMPRODUCT(--ISNUMBER(SEARCH(foreign,C178)))&gt;0)</f>
        <v>0</v>
      </c>
      <c r="Q178" s="14" cm="1">
        <f t="array" ref="Q178">INT(SUMPRODUCT(--ISNUMBER(SEARCH(gun,C178)))&gt;0)</f>
        <v>0</v>
      </c>
      <c r="R178" s="14" cm="1">
        <f t="array" ref="R178">INT(SUMPRODUCT(--ISNUMBER(SEARCH(race,C178)))&gt;0)</f>
        <v>0</v>
      </c>
      <c r="S178" s="14" cm="1">
        <f t="array" ref="S178">INT(SUMPRODUCT(--ISNUMBER(SEARCH(immigration,C178)))&gt;0)</f>
        <v>0</v>
      </c>
      <c r="T178" s="14" cm="1">
        <f t="array" ref="T178">INT(SUMPRODUCT(--ISNUMBER(SEARCH(econineq,C179)))&gt;0)</f>
        <v>0</v>
      </c>
      <c r="U178" s="14" cm="1">
        <f t="array" ref="U178">INT(SUMPRODUCT(--ISNUMBER(SEARCH(climate,C178)))&gt;0)</f>
        <v>0</v>
      </c>
      <c r="V178" s="14" cm="1">
        <f t="array" ref="V178">INT(SUMPRODUCT(--ISNUMBER(SEARCH(abortion,C178)))&gt;0)</f>
        <v>0</v>
      </c>
      <c r="W178" s="14" cm="1">
        <f t="array" ref="W178">INT(SUMPRODUCT(--ISNUMBER(SEARCH(trump,C178)))&gt;0)</f>
        <v>0</v>
      </c>
      <c r="X178" s="14" cm="1">
        <f t="array" ref="X178">INT(SUMPRODUCT(--ISNUMBER(SEARCH(voting,C178)))&gt;0)</f>
        <v>0</v>
      </c>
      <c r="Y178" s="35" cm="1">
        <f t="array" ref="Y178">INT(SUMPRODUCT(--ISNUMBER(SEARCH(republicantrigger,C178)))&gt;0)</f>
        <v>1</v>
      </c>
      <c r="Z178" s="35" cm="1">
        <f t="array" ref="Z178">INT(SUMPRODUCT(--ISNUMBER(SEARCH(bipartisan,C178)))&gt;0)</f>
        <v>0</v>
      </c>
      <c r="AA178" s="35">
        <f t="shared" si="2"/>
        <v>0</v>
      </c>
      <c r="AB178" s="14"/>
      <c r="AC178" s="30" t="s">
        <v>223</v>
      </c>
      <c r="AD178" s="37" t="s">
        <v>223</v>
      </c>
    </row>
    <row r="179" spans="1:30" x14ac:dyDescent="0.25">
      <c r="A179" s="36">
        <v>3146</v>
      </c>
      <c r="B179" s="14" t="s">
        <v>6317</v>
      </c>
      <c r="C179" s="14" t="s">
        <v>6318</v>
      </c>
      <c r="D179" s="17">
        <v>44117</v>
      </c>
      <c r="E179" s="14" t="s">
        <v>30</v>
      </c>
      <c r="F179" s="14">
        <v>8</v>
      </c>
      <c r="G179" s="14">
        <v>1</v>
      </c>
      <c r="H179" s="14">
        <v>14</v>
      </c>
      <c r="I179" s="14">
        <v>7</v>
      </c>
      <c r="J179" s="14" t="s">
        <v>31</v>
      </c>
      <c r="K179" s="14" cm="1">
        <f t="array" ref="K179">INT(SUMPRODUCT(--ISNUMBER(SEARCH(economy,C179)))&gt;0)</f>
        <v>0</v>
      </c>
      <c r="L179" s="14" cm="1">
        <f t="array" ref="L179">INT(SUMPRODUCT(--ISNUMBER(SEARCH(healthcare,C179)))&gt;0)</f>
        <v>0</v>
      </c>
      <c r="M179" s="14" cm="1">
        <f t="array" ref="M179">INT(SUMPRODUCT(--ISNUMBER(SEARCH(supreme,C179)))&gt;0)</f>
        <v>0</v>
      </c>
      <c r="N179" s="14" cm="1">
        <f t="array" ref="N179">INT(SUMPRODUCT(--ISNUMBER(SEARCH(covid,C179)))&gt;0)</f>
        <v>0</v>
      </c>
      <c r="O179" s="14" cm="1">
        <f t="array" ref="O179">INT(SUMPRODUCT(--ISNUMBER(SEARCH(violent,C179)))&gt;0)</f>
        <v>0</v>
      </c>
      <c r="P179" s="14" cm="1">
        <f t="array" ref="P179">INT(SUMPRODUCT(--ISNUMBER(SEARCH(foreign,C179)))&gt;0)</f>
        <v>0</v>
      </c>
      <c r="Q179" s="14" cm="1">
        <f t="array" ref="Q179">INT(SUMPRODUCT(--ISNUMBER(SEARCH(gun,C179)))&gt;0)</f>
        <v>0</v>
      </c>
      <c r="R179" s="14" cm="1">
        <f t="array" ref="R179">INT(SUMPRODUCT(--ISNUMBER(SEARCH(race,C179)))&gt;0)</f>
        <v>0</v>
      </c>
      <c r="S179" s="14" cm="1">
        <f t="array" ref="S179">INT(SUMPRODUCT(--ISNUMBER(SEARCH(immigration,C179)))&gt;0)</f>
        <v>0</v>
      </c>
      <c r="T179" s="14" cm="1">
        <f t="array" ref="T179">INT(SUMPRODUCT(--ISNUMBER(SEARCH(econineq,C180)))&gt;0)</f>
        <v>0</v>
      </c>
      <c r="U179" s="14" cm="1">
        <f t="array" ref="U179">INT(SUMPRODUCT(--ISNUMBER(SEARCH(climate,C179)))&gt;0)</f>
        <v>0</v>
      </c>
      <c r="V179" s="14" cm="1">
        <f t="array" ref="V179">INT(SUMPRODUCT(--ISNUMBER(SEARCH(abortion,C179)))&gt;0)</f>
        <v>0</v>
      </c>
      <c r="W179" s="14" cm="1">
        <f t="array" ref="W179">INT(SUMPRODUCT(--ISNUMBER(SEARCH(trump,C179)))&gt;0)</f>
        <v>0</v>
      </c>
      <c r="X179" s="14" cm="1">
        <f t="array" ref="X179">INT(SUMPRODUCT(--ISNUMBER(SEARCH(voting,C179)))&gt;0)</f>
        <v>0</v>
      </c>
      <c r="Y179" s="35" cm="1">
        <f t="array" ref="Y179">INT(SUMPRODUCT(--ISNUMBER(SEARCH(republicantrigger,C179)))&gt;0)</f>
        <v>0</v>
      </c>
      <c r="Z179" s="35" cm="1">
        <f t="array" ref="Z179">INT(SUMPRODUCT(--ISNUMBER(SEARCH(bipartisan,C179)))&gt;0)</f>
        <v>0</v>
      </c>
      <c r="AA179" s="35">
        <f t="shared" si="2"/>
        <v>1</v>
      </c>
      <c r="AB179" s="14"/>
      <c r="AC179" s="30" t="s">
        <v>223</v>
      </c>
      <c r="AD179" s="37" t="s">
        <v>223</v>
      </c>
    </row>
    <row r="180" spans="1:30" x14ac:dyDescent="0.25">
      <c r="A180" s="36">
        <v>3147</v>
      </c>
      <c r="B180" s="14" t="s">
        <v>6319</v>
      </c>
      <c r="C180" s="14" t="s">
        <v>6320</v>
      </c>
      <c r="D180" s="17">
        <v>44117</v>
      </c>
      <c r="E180" s="14" t="s">
        <v>30</v>
      </c>
      <c r="F180" s="14">
        <v>19</v>
      </c>
      <c r="G180" s="14">
        <v>7</v>
      </c>
      <c r="H180" s="14">
        <v>14</v>
      </c>
      <c r="I180" s="14">
        <v>7</v>
      </c>
      <c r="J180" s="14" t="s">
        <v>31</v>
      </c>
      <c r="K180" s="14" cm="1">
        <f t="array" ref="K180">INT(SUMPRODUCT(--ISNUMBER(SEARCH(economy,C180)))&gt;0)</f>
        <v>0</v>
      </c>
      <c r="L180" s="14" cm="1">
        <f t="array" ref="L180">INT(SUMPRODUCT(--ISNUMBER(SEARCH(healthcare,C180)))&gt;0)</f>
        <v>0</v>
      </c>
      <c r="M180" s="14" cm="1">
        <f t="array" ref="M180">INT(SUMPRODUCT(--ISNUMBER(SEARCH(supreme,C180)))&gt;0)</f>
        <v>0</v>
      </c>
      <c r="N180" s="14" cm="1">
        <f t="array" ref="N180">INT(SUMPRODUCT(--ISNUMBER(SEARCH(covid,C180)))&gt;0)</f>
        <v>0</v>
      </c>
      <c r="O180" s="14" cm="1">
        <f t="array" ref="O180">INT(SUMPRODUCT(--ISNUMBER(SEARCH(violent,C180)))&gt;0)</f>
        <v>0</v>
      </c>
      <c r="P180" s="14" cm="1">
        <f t="array" ref="P180">INT(SUMPRODUCT(--ISNUMBER(SEARCH(foreign,C180)))&gt;0)</f>
        <v>0</v>
      </c>
      <c r="Q180" s="14" cm="1">
        <f t="array" ref="Q180">INT(SUMPRODUCT(--ISNUMBER(SEARCH(gun,C180)))&gt;0)</f>
        <v>0</v>
      </c>
      <c r="R180" s="14" cm="1">
        <f t="array" ref="R180">INT(SUMPRODUCT(--ISNUMBER(SEARCH(race,C180)))&gt;0)</f>
        <v>0</v>
      </c>
      <c r="S180" s="14" cm="1">
        <f t="array" ref="S180">INT(SUMPRODUCT(--ISNUMBER(SEARCH(immigration,C180)))&gt;0)</f>
        <v>0</v>
      </c>
      <c r="T180" s="14" cm="1">
        <f t="array" ref="T180">INT(SUMPRODUCT(--ISNUMBER(SEARCH(econineq,C181)))&gt;0)</f>
        <v>0</v>
      </c>
      <c r="U180" s="14" cm="1">
        <f t="array" ref="U180">INT(SUMPRODUCT(--ISNUMBER(SEARCH(climate,C180)))&gt;0)</f>
        <v>0</v>
      </c>
      <c r="V180" s="14" cm="1">
        <f t="array" ref="V180">INT(SUMPRODUCT(--ISNUMBER(SEARCH(abortion,C180)))&gt;0)</f>
        <v>0</v>
      </c>
      <c r="W180" s="14" cm="1">
        <f t="array" ref="W180">INT(SUMPRODUCT(--ISNUMBER(SEARCH(trump,C180)))&gt;0)</f>
        <v>0</v>
      </c>
      <c r="X180" s="14" cm="1">
        <f t="array" ref="X180">INT(SUMPRODUCT(--ISNUMBER(SEARCH(voting,C180)))&gt;0)</f>
        <v>1</v>
      </c>
      <c r="Y180" s="35" cm="1">
        <f t="array" ref="Y180">INT(SUMPRODUCT(--ISNUMBER(SEARCH(republicantrigger,C180)))&gt;0)</f>
        <v>1</v>
      </c>
      <c r="Z180" s="35" cm="1">
        <f t="array" ref="Z180">INT(SUMPRODUCT(--ISNUMBER(SEARCH(bipartisan,C180)))&gt;0)</f>
        <v>0</v>
      </c>
      <c r="AA180" s="35">
        <f t="shared" si="2"/>
        <v>0</v>
      </c>
      <c r="AB180" s="14"/>
      <c r="AC180" s="30">
        <v>1</v>
      </c>
      <c r="AD180" s="37">
        <v>0</v>
      </c>
    </row>
    <row r="181" spans="1:30" x14ac:dyDescent="0.25">
      <c r="A181" s="36">
        <v>3148</v>
      </c>
      <c r="B181" s="14" t="s">
        <v>6321</v>
      </c>
      <c r="C181" s="14" t="s">
        <v>6322</v>
      </c>
      <c r="D181" s="17">
        <v>44116</v>
      </c>
      <c r="E181" s="14" t="s">
        <v>30</v>
      </c>
      <c r="F181" s="14">
        <v>23</v>
      </c>
      <c r="G181" s="14">
        <v>17</v>
      </c>
      <c r="H181" s="14">
        <v>14</v>
      </c>
      <c r="I181" s="14">
        <v>7</v>
      </c>
      <c r="J181" s="14" t="s">
        <v>31</v>
      </c>
      <c r="K181" s="14" cm="1">
        <f t="array" ref="K181">INT(SUMPRODUCT(--ISNUMBER(SEARCH(economy,C181)))&gt;0)</f>
        <v>0</v>
      </c>
      <c r="L181" s="14" cm="1">
        <f t="array" ref="L181">INT(SUMPRODUCT(--ISNUMBER(SEARCH(healthcare,C181)))&gt;0)</f>
        <v>0</v>
      </c>
      <c r="M181" s="14" cm="1">
        <f t="array" ref="M181">INT(SUMPRODUCT(--ISNUMBER(SEARCH(supreme,C181)))&gt;0)</f>
        <v>0</v>
      </c>
      <c r="N181" s="14" cm="1">
        <f t="array" ref="N181">INT(SUMPRODUCT(--ISNUMBER(SEARCH(covid,C181)))&gt;0)</f>
        <v>1</v>
      </c>
      <c r="O181" s="14" cm="1">
        <f t="array" ref="O181">INT(SUMPRODUCT(--ISNUMBER(SEARCH(violent,C181)))&gt;0)</f>
        <v>0</v>
      </c>
      <c r="P181" s="14" cm="1">
        <f t="array" ref="P181">INT(SUMPRODUCT(--ISNUMBER(SEARCH(foreign,C181)))&gt;0)</f>
        <v>0</v>
      </c>
      <c r="Q181" s="14" cm="1">
        <f t="array" ref="Q181">INT(SUMPRODUCT(--ISNUMBER(SEARCH(gun,C181)))&gt;0)</f>
        <v>0</v>
      </c>
      <c r="R181" s="14" cm="1">
        <f t="array" ref="R181">INT(SUMPRODUCT(--ISNUMBER(SEARCH(race,C181)))&gt;0)</f>
        <v>0</v>
      </c>
      <c r="S181" s="14" cm="1">
        <f t="array" ref="S181">INT(SUMPRODUCT(--ISNUMBER(SEARCH(immigration,C181)))&gt;0)</f>
        <v>0</v>
      </c>
      <c r="T181" s="14" cm="1">
        <f t="array" ref="T181">INT(SUMPRODUCT(--ISNUMBER(SEARCH(econineq,C182)))&gt;0)</f>
        <v>0</v>
      </c>
      <c r="U181" s="14" cm="1">
        <f t="array" ref="U181">INT(SUMPRODUCT(--ISNUMBER(SEARCH(climate,C181)))&gt;0)</f>
        <v>0</v>
      </c>
      <c r="V181" s="14" cm="1">
        <f t="array" ref="V181">INT(SUMPRODUCT(--ISNUMBER(SEARCH(abortion,C181)))&gt;0)</f>
        <v>0</v>
      </c>
      <c r="W181" s="14" cm="1">
        <f t="array" ref="W181">INT(SUMPRODUCT(--ISNUMBER(SEARCH(trump,C181)))&gt;0)</f>
        <v>1</v>
      </c>
      <c r="X181" s="14" cm="1">
        <f t="array" ref="X181">INT(SUMPRODUCT(--ISNUMBER(SEARCH(voting,C181)))&gt;0)</f>
        <v>0</v>
      </c>
      <c r="Y181" s="35" cm="1">
        <f t="array" ref="Y181">INT(SUMPRODUCT(--ISNUMBER(SEARCH(republicantrigger,C181)))&gt;0)</f>
        <v>1</v>
      </c>
      <c r="Z181" s="35" cm="1">
        <f t="array" ref="Z181">INT(SUMPRODUCT(--ISNUMBER(SEARCH(bipartisan,C181)))&gt;0)</f>
        <v>1</v>
      </c>
      <c r="AA181" s="35">
        <f t="shared" si="2"/>
        <v>0</v>
      </c>
      <c r="AB181" s="14"/>
      <c r="AC181" s="30">
        <v>0</v>
      </c>
      <c r="AD181" s="37">
        <v>1</v>
      </c>
    </row>
    <row r="182" spans="1:30" x14ac:dyDescent="0.25">
      <c r="A182" s="36">
        <v>3149</v>
      </c>
      <c r="B182" s="14" t="s">
        <v>6323</v>
      </c>
      <c r="C182" s="14" t="s">
        <v>6324</v>
      </c>
      <c r="D182" s="17">
        <v>44116</v>
      </c>
      <c r="E182" s="14" t="s">
        <v>30</v>
      </c>
      <c r="F182" s="14">
        <v>33</v>
      </c>
      <c r="G182" s="14">
        <v>19</v>
      </c>
      <c r="H182" s="14">
        <v>14</v>
      </c>
      <c r="I182" s="14">
        <v>7</v>
      </c>
      <c r="J182" s="14" t="s">
        <v>31</v>
      </c>
      <c r="K182" s="14" cm="1">
        <f t="array" ref="K182">INT(SUMPRODUCT(--ISNUMBER(SEARCH(economy,C182)))&gt;0)</f>
        <v>1</v>
      </c>
      <c r="L182" s="14" cm="1">
        <f t="array" ref="L182">INT(SUMPRODUCT(--ISNUMBER(SEARCH(healthcare,C182)))&gt;0)</f>
        <v>0</v>
      </c>
      <c r="M182" s="14" cm="1">
        <f t="array" ref="M182">INT(SUMPRODUCT(--ISNUMBER(SEARCH(supreme,C182)))&gt;0)</f>
        <v>0</v>
      </c>
      <c r="N182" s="14" cm="1">
        <f t="array" ref="N182">INT(SUMPRODUCT(--ISNUMBER(SEARCH(covid,C182)))&gt;0)</f>
        <v>0</v>
      </c>
      <c r="O182" s="14" cm="1">
        <f t="array" ref="O182">INT(SUMPRODUCT(--ISNUMBER(SEARCH(violent,C182)))&gt;0)</f>
        <v>0</v>
      </c>
      <c r="P182" s="14" cm="1">
        <f t="array" ref="P182">INT(SUMPRODUCT(--ISNUMBER(SEARCH(foreign,C182)))&gt;0)</f>
        <v>0</v>
      </c>
      <c r="Q182" s="14" cm="1">
        <f t="array" ref="Q182">INT(SUMPRODUCT(--ISNUMBER(SEARCH(gun,C182)))&gt;0)</f>
        <v>0</v>
      </c>
      <c r="R182" s="14" cm="1">
        <f t="array" ref="R182">INT(SUMPRODUCT(--ISNUMBER(SEARCH(race,C182)))&gt;0)</f>
        <v>0</v>
      </c>
      <c r="S182" s="14" cm="1">
        <f t="array" ref="S182">INT(SUMPRODUCT(--ISNUMBER(SEARCH(immigration,C182)))&gt;0)</f>
        <v>0</v>
      </c>
      <c r="T182" s="14" cm="1">
        <f t="array" ref="T182">INT(SUMPRODUCT(--ISNUMBER(SEARCH(econineq,C183)))&gt;0)</f>
        <v>0</v>
      </c>
      <c r="U182" s="14" cm="1">
        <f t="array" ref="U182">INT(SUMPRODUCT(--ISNUMBER(SEARCH(climate,C182)))&gt;0)</f>
        <v>0</v>
      </c>
      <c r="V182" s="14" cm="1">
        <f t="array" ref="V182">INT(SUMPRODUCT(--ISNUMBER(SEARCH(abortion,C182)))&gt;0)</f>
        <v>0</v>
      </c>
      <c r="W182" s="14" cm="1">
        <f t="array" ref="W182">INT(SUMPRODUCT(--ISNUMBER(SEARCH(trump,C182)))&gt;0)</f>
        <v>0</v>
      </c>
      <c r="X182" s="14" cm="1">
        <f t="array" ref="X182">INT(SUMPRODUCT(--ISNUMBER(SEARCH(voting,C182)))&gt;0)</f>
        <v>0</v>
      </c>
      <c r="Y182" s="35" cm="1">
        <f t="array" ref="Y182">INT(SUMPRODUCT(--ISNUMBER(SEARCH(republicantrigger,C182)))&gt;0)</f>
        <v>1</v>
      </c>
      <c r="Z182" s="35" cm="1">
        <f t="array" ref="Z182">INT(SUMPRODUCT(--ISNUMBER(SEARCH(bipartisan,C182)))&gt;0)</f>
        <v>0</v>
      </c>
      <c r="AA182" s="35">
        <f t="shared" si="2"/>
        <v>0</v>
      </c>
      <c r="AB182" s="14"/>
      <c r="AC182" s="30">
        <v>0</v>
      </c>
      <c r="AD182" s="37">
        <v>1</v>
      </c>
    </row>
    <row r="183" spans="1:30" x14ac:dyDescent="0.25">
      <c r="A183" s="36">
        <v>3150</v>
      </c>
      <c r="B183" s="14" t="s">
        <v>6325</v>
      </c>
      <c r="C183" s="14" t="s">
        <v>6326</v>
      </c>
      <c r="D183" s="17">
        <v>44116</v>
      </c>
      <c r="E183" s="14" t="s">
        <v>30</v>
      </c>
      <c r="F183" s="14">
        <v>29</v>
      </c>
      <c r="G183" s="14">
        <v>14</v>
      </c>
      <c r="H183" s="14">
        <v>14</v>
      </c>
      <c r="I183" s="14">
        <v>7</v>
      </c>
      <c r="J183" s="14" t="s">
        <v>31</v>
      </c>
      <c r="K183" s="14" cm="1">
        <f t="array" ref="K183">INT(SUMPRODUCT(--ISNUMBER(SEARCH(economy,C183)))&gt;0)</f>
        <v>0</v>
      </c>
      <c r="L183" s="14" cm="1">
        <f t="array" ref="L183">INT(SUMPRODUCT(--ISNUMBER(SEARCH(healthcare,C183)))&gt;0)</f>
        <v>0</v>
      </c>
      <c r="M183" s="14" cm="1">
        <f t="array" ref="M183">INT(SUMPRODUCT(--ISNUMBER(SEARCH(supreme,C183)))&gt;0)</f>
        <v>1</v>
      </c>
      <c r="N183" s="14" cm="1">
        <f t="array" ref="N183">INT(SUMPRODUCT(--ISNUMBER(SEARCH(covid,C183)))&gt;0)</f>
        <v>0</v>
      </c>
      <c r="O183" s="14" cm="1">
        <f t="array" ref="O183">INT(SUMPRODUCT(--ISNUMBER(SEARCH(violent,C183)))&gt;0)</f>
        <v>0</v>
      </c>
      <c r="P183" s="14" cm="1">
        <f t="array" ref="P183">INT(SUMPRODUCT(--ISNUMBER(SEARCH(foreign,C183)))&gt;0)</f>
        <v>0</v>
      </c>
      <c r="Q183" s="14" cm="1">
        <f t="array" ref="Q183">INT(SUMPRODUCT(--ISNUMBER(SEARCH(gun,C183)))&gt;0)</f>
        <v>0</v>
      </c>
      <c r="R183" s="14" cm="1">
        <f t="array" ref="R183">INT(SUMPRODUCT(--ISNUMBER(SEARCH(race,C183)))&gt;0)</f>
        <v>0</v>
      </c>
      <c r="S183" s="14" cm="1">
        <f t="array" ref="S183">INT(SUMPRODUCT(--ISNUMBER(SEARCH(immigration,C183)))&gt;0)</f>
        <v>0</v>
      </c>
      <c r="T183" s="14" cm="1">
        <f t="array" ref="T183">INT(SUMPRODUCT(--ISNUMBER(SEARCH(econineq,C184)))&gt;0)</f>
        <v>0</v>
      </c>
      <c r="U183" s="14" cm="1">
        <f t="array" ref="U183">INT(SUMPRODUCT(--ISNUMBER(SEARCH(climate,C183)))&gt;0)</f>
        <v>0</v>
      </c>
      <c r="V183" s="14" cm="1">
        <f t="array" ref="V183">INT(SUMPRODUCT(--ISNUMBER(SEARCH(abortion,C183)))&gt;0)</f>
        <v>0</v>
      </c>
      <c r="W183" s="14" cm="1">
        <f t="array" ref="W183">INT(SUMPRODUCT(--ISNUMBER(SEARCH(trump,C183)))&gt;0)</f>
        <v>0</v>
      </c>
      <c r="X183" s="14" cm="1">
        <f t="array" ref="X183">INT(SUMPRODUCT(--ISNUMBER(SEARCH(voting,C183)))&gt;0)</f>
        <v>0</v>
      </c>
      <c r="Y183" s="35" cm="1">
        <f t="array" ref="Y183">INT(SUMPRODUCT(--ISNUMBER(SEARCH(republicantrigger,C183)))&gt;0)</f>
        <v>1</v>
      </c>
      <c r="Z183" s="35" cm="1">
        <f t="array" ref="Z183">INT(SUMPRODUCT(--ISNUMBER(SEARCH(bipartisan,C183)))&gt;0)</f>
        <v>0</v>
      </c>
      <c r="AA183" s="35">
        <f t="shared" si="2"/>
        <v>0</v>
      </c>
      <c r="AB183" s="14"/>
      <c r="AC183" s="30" t="s">
        <v>223</v>
      </c>
      <c r="AD183" s="37" t="s">
        <v>223</v>
      </c>
    </row>
    <row r="184" spans="1:30" x14ac:dyDescent="0.25">
      <c r="A184" s="36">
        <v>3151</v>
      </c>
      <c r="B184" s="14" t="s">
        <v>6327</v>
      </c>
      <c r="C184" s="14" t="s">
        <v>6328</v>
      </c>
      <c r="D184" s="17">
        <v>44116</v>
      </c>
      <c r="E184" s="14" t="s">
        <v>30</v>
      </c>
      <c r="F184" s="14">
        <v>11</v>
      </c>
      <c r="G184" s="14">
        <v>4</v>
      </c>
      <c r="H184" s="14">
        <v>14</v>
      </c>
      <c r="I184" s="14">
        <v>7</v>
      </c>
      <c r="J184" s="14" t="s">
        <v>31</v>
      </c>
      <c r="K184" s="14" cm="1">
        <f t="array" ref="K184">INT(SUMPRODUCT(--ISNUMBER(SEARCH(economy,C184)))&gt;0)</f>
        <v>1</v>
      </c>
      <c r="L184" s="14" cm="1">
        <f t="array" ref="L184">INT(SUMPRODUCT(--ISNUMBER(SEARCH(healthcare,C184)))&gt;0)</f>
        <v>0</v>
      </c>
      <c r="M184" s="14" cm="1">
        <f t="array" ref="M184">INT(SUMPRODUCT(--ISNUMBER(SEARCH(supreme,C184)))&gt;0)</f>
        <v>0</v>
      </c>
      <c r="N184" s="14" cm="1">
        <f t="array" ref="N184">INT(SUMPRODUCT(--ISNUMBER(SEARCH(covid,C184)))&gt;0)</f>
        <v>0</v>
      </c>
      <c r="O184" s="14" cm="1">
        <f t="array" ref="O184">INT(SUMPRODUCT(--ISNUMBER(SEARCH(violent,C184)))&gt;0)</f>
        <v>0</v>
      </c>
      <c r="P184" s="14" cm="1">
        <f t="array" ref="P184">INT(SUMPRODUCT(--ISNUMBER(SEARCH(foreign,C184)))&gt;0)</f>
        <v>0</v>
      </c>
      <c r="Q184" s="14" cm="1">
        <f t="array" ref="Q184">INT(SUMPRODUCT(--ISNUMBER(SEARCH(gun,C184)))&gt;0)</f>
        <v>0</v>
      </c>
      <c r="R184" s="14" cm="1">
        <f t="array" ref="R184">INT(SUMPRODUCT(--ISNUMBER(SEARCH(race,C184)))&gt;0)</f>
        <v>0</v>
      </c>
      <c r="S184" s="14" cm="1">
        <f t="array" ref="S184">INT(SUMPRODUCT(--ISNUMBER(SEARCH(immigration,C184)))&gt;0)</f>
        <v>0</v>
      </c>
      <c r="T184" s="14" cm="1">
        <f t="array" ref="T184">INT(SUMPRODUCT(--ISNUMBER(SEARCH(econineq,C185)))&gt;0)</f>
        <v>0</v>
      </c>
      <c r="U184" s="14" cm="1">
        <f t="array" ref="U184">INT(SUMPRODUCT(--ISNUMBER(SEARCH(climate,C184)))&gt;0)</f>
        <v>0</v>
      </c>
      <c r="V184" s="14" cm="1">
        <f t="array" ref="V184">INT(SUMPRODUCT(--ISNUMBER(SEARCH(abortion,C184)))&gt;0)</f>
        <v>0</v>
      </c>
      <c r="W184" s="14" cm="1">
        <f t="array" ref="W184">INT(SUMPRODUCT(--ISNUMBER(SEARCH(trump,C184)))&gt;0)</f>
        <v>0</v>
      </c>
      <c r="X184" s="14" cm="1">
        <f t="array" ref="X184">INT(SUMPRODUCT(--ISNUMBER(SEARCH(voting,C184)))&gt;0)</f>
        <v>0</v>
      </c>
      <c r="Y184" s="35" cm="1">
        <f t="array" ref="Y184">INT(SUMPRODUCT(--ISNUMBER(SEARCH(republicantrigger,C184)))&gt;0)</f>
        <v>1</v>
      </c>
      <c r="Z184" s="35" cm="1">
        <f t="array" ref="Z184">INT(SUMPRODUCT(--ISNUMBER(SEARCH(bipartisan,C184)))&gt;0)</f>
        <v>0</v>
      </c>
      <c r="AA184" s="35">
        <f t="shared" si="2"/>
        <v>0</v>
      </c>
      <c r="AB184" s="14"/>
      <c r="AC184" s="30">
        <v>1</v>
      </c>
      <c r="AD184" s="37">
        <v>0</v>
      </c>
    </row>
    <row r="185" spans="1:30" x14ac:dyDescent="0.25">
      <c r="A185" s="36">
        <v>3152</v>
      </c>
      <c r="B185" s="14" t="s">
        <v>6329</v>
      </c>
      <c r="C185" s="14" t="s">
        <v>6330</v>
      </c>
      <c r="D185" s="17">
        <v>44116</v>
      </c>
      <c r="E185" s="14" t="s">
        <v>30</v>
      </c>
      <c r="F185" s="14">
        <v>39</v>
      </c>
      <c r="G185" s="14">
        <v>17</v>
      </c>
      <c r="H185" s="14">
        <v>14</v>
      </c>
      <c r="I185" s="14">
        <v>7</v>
      </c>
      <c r="J185" s="14" t="s">
        <v>31</v>
      </c>
      <c r="K185" s="14" cm="1">
        <f t="array" ref="K185">INT(SUMPRODUCT(--ISNUMBER(SEARCH(economy,C185)))&gt;0)</f>
        <v>0</v>
      </c>
      <c r="L185" s="14" cm="1">
        <f t="array" ref="L185">INT(SUMPRODUCT(--ISNUMBER(SEARCH(healthcare,C185)))&gt;0)</f>
        <v>0</v>
      </c>
      <c r="M185" s="14" cm="1">
        <f t="array" ref="M185">INT(SUMPRODUCT(--ISNUMBER(SEARCH(supreme,C185)))&gt;0)</f>
        <v>1</v>
      </c>
      <c r="N185" s="14" cm="1">
        <f t="array" ref="N185">INT(SUMPRODUCT(--ISNUMBER(SEARCH(covid,C185)))&gt;0)</f>
        <v>1</v>
      </c>
      <c r="O185" s="14" cm="1">
        <f t="array" ref="O185">INT(SUMPRODUCT(--ISNUMBER(SEARCH(violent,C185)))&gt;0)</f>
        <v>0</v>
      </c>
      <c r="P185" s="14" cm="1">
        <f t="array" ref="P185">INT(SUMPRODUCT(--ISNUMBER(SEARCH(foreign,C185)))&gt;0)</f>
        <v>0</v>
      </c>
      <c r="Q185" s="14" cm="1">
        <f t="array" ref="Q185">INT(SUMPRODUCT(--ISNUMBER(SEARCH(gun,C185)))&gt;0)</f>
        <v>0</v>
      </c>
      <c r="R185" s="14" cm="1">
        <f t="array" ref="R185">INT(SUMPRODUCT(--ISNUMBER(SEARCH(race,C185)))&gt;0)</f>
        <v>0</v>
      </c>
      <c r="S185" s="14" cm="1">
        <f t="array" ref="S185">INT(SUMPRODUCT(--ISNUMBER(SEARCH(immigration,C185)))&gt;0)</f>
        <v>0</v>
      </c>
      <c r="T185" s="14" cm="1">
        <f t="array" ref="T185">INT(SUMPRODUCT(--ISNUMBER(SEARCH(econineq,C186)))&gt;0)</f>
        <v>0</v>
      </c>
      <c r="U185" s="14" cm="1">
        <f t="array" ref="U185">INT(SUMPRODUCT(--ISNUMBER(SEARCH(climate,C185)))&gt;0)</f>
        <v>0</v>
      </c>
      <c r="V185" s="14" cm="1">
        <f t="array" ref="V185">INT(SUMPRODUCT(--ISNUMBER(SEARCH(abortion,C185)))&gt;0)</f>
        <v>0</v>
      </c>
      <c r="W185" s="14" cm="1">
        <f t="array" ref="W185">INT(SUMPRODUCT(--ISNUMBER(SEARCH(trump,C185)))&gt;0)</f>
        <v>0</v>
      </c>
      <c r="X185" s="14" cm="1">
        <f t="array" ref="X185">INT(SUMPRODUCT(--ISNUMBER(SEARCH(voting,C185)))&gt;0)</f>
        <v>0</v>
      </c>
      <c r="Y185" s="35" cm="1">
        <f t="array" ref="Y185">INT(SUMPRODUCT(--ISNUMBER(SEARCH(republicantrigger,C185)))&gt;0)</f>
        <v>1</v>
      </c>
      <c r="Z185" s="35" cm="1">
        <f t="array" ref="Z185">INT(SUMPRODUCT(--ISNUMBER(SEARCH(bipartisan,C185)))&gt;0)</f>
        <v>0</v>
      </c>
      <c r="AA185" s="35">
        <f t="shared" si="2"/>
        <v>0</v>
      </c>
      <c r="AB185" s="14"/>
      <c r="AC185" s="30" t="s">
        <v>223</v>
      </c>
      <c r="AD185" s="37" t="s">
        <v>223</v>
      </c>
    </row>
    <row r="186" spans="1:30" x14ac:dyDescent="0.25">
      <c r="A186" s="36">
        <v>3153</v>
      </c>
      <c r="B186" s="14" t="s">
        <v>6331</v>
      </c>
      <c r="C186" s="14" t="s">
        <v>6332</v>
      </c>
      <c r="D186" s="17">
        <v>44116</v>
      </c>
      <c r="E186" s="14" t="s">
        <v>30</v>
      </c>
      <c r="F186" s="14">
        <v>19</v>
      </c>
      <c r="G186" s="14">
        <v>9</v>
      </c>
      <c r="H186" s="14">
        <v>14</v>
      </c>
      <c r="I186" s="14">
        <v>7</v>
      </c>
      <c r="J186" s="14" t="s">
        <v>31</v>
      </c>
      <c r="K186" s="14" cm="1">
        <f t="array" ref="K186">INT(SUMPRODUCT(--ISNUMBER(SEARCH(economy,C186)))&gt;0)</f>
        <v>0</v>
      </c>
      <c r="L186" s="14" cm="1">
        <f t="array" ref="L186">INT(SUMPRODUCT(--ISNUMBER(SEARCH(healthcare,C186)))&gt;0)</f>
        <v>1</v>
      </c>
      <c r="M186" s="14" cm="1">
        <f t="array" ref="M186">INT(SUMPRODUCT(--ISNUMBER(SEARCH(supreme,C186)))&gt;0)</f>
        <v>1</v>
      </c>
      <c r="N186" s="14" cm="1">
        <f t="array" ref="N186">INT(SUMPRODUCT(--ISNUMBER(SEARCH(covid,C186)))&gt;0)</f>
        <v>0</v>
      </c>
      <c r="O186" s="14" cm="1">
        <f t="array" ref="O186">INT(SUMPRODUCT(--ISNUMBER(SEARCH(violent,C186)))&gt;0)</f>
        <v>0</v>
      </c>
      <c r="P186" s="14" cm="1">
        <f t="array" ref="P186">INT(SUMPRODUCT(--ISNUMBER(SEARCH(foreign,C186)))&gt;0)</f>
        <v>0</v>
      </c>
      <c r="Q186" s="14" cm="1">
        <f t="array" ref="Q186">INT(SUMPRODUCT(--ISNUMBER(SEARCH(gun,C186)))&gt;0)</f>
        <v>0</v>
      </c>
      <c r="R186" s="14" cm="1">
        <f t="array" ref="R186">INT(SUMPRODUCT(--ISNUMBER(SEARCH(race,C186)))&gt;0)</f>
        <v>0</v>
      </c>
      <c r="S186" s="14" cm="1">
        <f t="array" ref="S186">INT(SUMPRODUCT(--ISNUMBER(SEARCH(immigration,C186)))&gt;0)</f>
        <v>0</v>
      </c>
      <c r="T186" s="14" cm="1">
        <f t="array" ref="T186">INT(SUMPRODUCT(--ISNUMBER(SEARCH(econineq,C187)))&gt;0)</f>
        <v>0</v>
      </c>
      <c r="U186" s="14" cm="1">
        <f t="array" ref="U186">INT(SUMPRODUCT(--ISNUMBER(SEARCH(climate,C186)))&gt;0)</f>
        <v>0</v>
      </c>
      <c r="V186" s="14" cm="1">
        <f t="array" ref="V186">INT(SUMPRODUCT(--ISNUMBER(SEARCH(abortion,C186)))&gt;0)</f>
        <v>0</v>
      </c>
      <c r="W186" s="14" cm="1">
        <f t="array" ref="W186">INT(SUMPRODUCT(--ISNUMBER(SEARCH(trump,C186)))&gt;0)</f>
        <v>0</v>
      </c>
      <c r="X186" s="14" cm="1">
        <f t="array" ref="X186">INT(SUMPRODUCT(--ISNUMBER(SEARCH(voting,C186)))&gt;0)</f>
        <v>0</v>
      </c>
      <c r="Y186" s="35" cm="1">
        <f t="array" ref="Y186">INT(SUMPRODUCT(--ISNUMBER(SEARCH(republicantrigger,C186)))&gt;0)</f>
        <v>1</v>
      </c>
      <c r="Z186" s="35" cm="1">
        <f t="array" ref="Z186">INT(SUMPRODUCT(--ISNUMBER(SEARCH(bipartisan,C186)))&gt;0)</f>
        <v>0</v>
      </c>
      <c r="AA186" s="35">
        <f t="shared" si="2"/>
        <v>0</v>
      </c>
      <c r="AB186" s="14"/>
      <c r="AC186" s="30" t="s">
        <v>223</v>
      </c>
      <c r="AD186" s="37" t="s">
        <v>223</v>
      </c>
    </row>
    <row r="187" spans="1:30" x14ac:dyDescent="0.25">
      <c r="A187" s="36">
        <v>3154</v>
      </c>
      <c r="B187" s="14" t="s">
        <v>6333</v>
      </c>
      <c r="C187" s="14" t="s">
        <v>6334</v>
      </c>
      <c r="D187" s="17">
        <v>44116</v>
      </c>
      <c r="E187" s="14" t="s">
        <v>30</v>
      </c>
      <c r="F187" s="14">
        <v>10</v>
      </c>
      <c r="G187" s="14">
        <v>7</v>
      </c>
      <c r="H187" s="14">
        <v>14</v>
      </c>
      <c r="I187" s="14">
        <v>7</v>
      </c>
      <c r="J187" s="14" t="s">
        <v>31</v>
      </c>
      <c r="K187" s="14" cm="1">
        <f t="array" ref="K187">INT(SUMPRODUCT(--ISNUMBER(SEARCH(economy,C187)))&gt;0)</f>
        <v>0</v>
      </c>
      <c r="L187" s="14" cm="1">
        <f t="array" ref="L187">INT(SUMPRODUCT(--ISNUMBER(SEARCH(healthcare,C187)))&gt;0)</f>
        <v>0</v>
      </c>
      <c r="M187" s="14" cm="1">
        <f t="array" ref="M187">INT(SUMPRODUCT(--ISNUMBER(SEARCH(supreme,C187)))&gt;0)</f>
        <v>1</v>
      </c>
      <c r="N187" s="14" cm="1">
        <f t="array" ref="N187">INT(SUMPRODUCT(--ISNUMBER(SEARCH(covid,C187)))&gt;0)</f>
        <v>0</v>
      </c>
      <c r="O187" s="14" cm="1">
        <f t="array" ref="O187">INT(SUMPRODUCT(--ISNUMBER(SEARCH(violent,C187)))&gt;0)</f>
        <v>0</v>
      </c>
      <c r="P187" s="14" cm="1">
        <f t="array" ref="P187">INT(SUMPRODUCT(--ISNUMBER(SEARCH(foreign,C187)))&gt;0)</f>
        <v>0</v>
      </c>
      <c r="Q187" s="14" cm="1">
        <f t="array" ref="Q187">INT(SUMPRODUCT(--ISNUMBER(SEARCH(gun,C187)))&gt;0)</f>
        <v>0</v>
      </c>
      <c r="R187" s="14" cm="1">
        <f t="array" ref="R187">INT(SUMPRODUCT(--ISNUMBER(SEARCH(race,C187)))&gt;0)</f>
        <v>0</v>
      </c>
      <c r="S187" s="14" cm="1">
        <f t="array" ref="S187">INT(SUMPRODUCT(--ISNUMBER(SEARCH(immigration,C187)))&gt;0)</f>
        <v>0</v>
      </c>
      <c r="T187" s="14" cm="1">
        <f t="array" ref="T187">INT(SUMPRODUCT(--ISNUMBER(SEARCH(econineq,C188)))&gt;0)</f>
        <v>0</v>
      </c>
      <c r="U187" s="14" cm="1">
        <f t="array" ref="U187">INT(SUMPRODUCT(--ISNUMBER(SEARCH(climate,C187)))&gt;0)</f>
        <v>0</v>
      </c>
      <c r="V187" s="14" cm="1">
        <f t="array" ref="V187">INT(SUMPRODUCT(--ISNUMBER(SEARCH(abortion,C187)))&gt;0)</f>
        <v>0</v>
      </c>
      <c r="W187" s="14" cm="1">
        <f t="array" ref="W187">INT(SUMPRODUCT(--ISNUMBER(SEARCH(trump,C187)))&gt;0)</f>
        <v>0</v>
      </c>
      <c r="X187" s="14" cm="1">
        <f t="array" ref="X187">INT(SUMPRODUCT(--ISNUMBER(SEARCH(voting,C187)))&gt;0)</f>
        <v>1</v>
      </c>
      <c r="Y187" s="35" cm="1">
        <f t="array" ref="Y187">INT(SUMPRODUCT(--ISNUMBER(SEARCH(republicantrigger,C187)))&gt;0)</f>
        <v>1</v>
      </c>
      <c r="Z187" s="35" cm="1">
        <f t="array" ref="Z187">INT(SUMPRODUCT(--ISNUMBER(SEARCH(bipartisan,C187)))&gt;0)</f>
        <v>0</v>
      </c>
      <c r="AA187" s="35">
        <f t="shared" si="2"/>
        <v>0</v>
      </c>
      <c r="AB187" s="14"/>
      <c r="AC187" s="30">
        <v>1</v>
      </c>
      <c r="AD187" s="37">
        <v>0</v>
      </c>
    </row>
    <row r="188" spans="1:30" x14ac:dyDescent="0.25">
      <c r="A188" s="36">
        <v>3155</v>
      </c>
      <c r="B188" s="14" t="s">
        <v>6335</v>
      </c>
      <c r="C188" s="14" t="s">
        <v>6336</v>
      </c>
      <c r="D188" s="17">
        <v>44115</v>
      </c>
      <c r="E188" s="14" t="s">
        <v>30</v>
      </c>
      <c r="F188" s="14">
        <v>17</v>
      </c>
      <c r="G188" s="14">
        <v>7</v>
      </c>
      <c r="H188" s="14">
        <v>14</v>
      </c>
      <c r="I188" s="14">
        <v>7</v>
      </c>
      <c r="J188" s="14" t="s">
        <v>31</v>
      </c>
      <c r="K188" s="14" cm="1">
        <f t="array" ref="K188">INT(SUMPRODUCT(--ISNUMBER(SEARCH(economy,C188)))&gt;0)</f>
        <v>0</v>
      </c>
      <c r="L188" s="14" cm="1">
        <f t="array" ref="L188">INT(SUMPRODUCT(--ISNUMBER(SEARCH(healthcare,C188)))&gt;0)</f>
        <v>0</v>
      </c>
      <c r="M188" s="14" cm="1">
        <f t="array" ref="M188">INT(SUMPRODUCT(--ISNUMBER(SEARCH(supreme,C188)))&gt;0)</f>
        <v>0</v>
      </c>
      <c r="N188" s="14" cm="1">
        <f t="array" ref="N188">INT(SUMPRODUCT(--ISNUMBER(SEARCH(covid,C188)))&gt;0)</f>
        <v>0</v>
      </c>
      <c r="O188" s="14" cm="1">
        <f t="array" ref="O188">INT(SUMPRODUCT(--ISNUMBER(SEARCH(violent,C188)))&gt;0)</f>
        <v>0</v>
      </c>
      <c r="P188" s="14" cm="1">
        <f t="array" ref="P188">INT(SUMPRODUCT(--ISNUMBER(SEARCH(foreign,C188)))&gt;0)</f>
        <v>0</v>
      </c>
      <c r="Q188" s="14" cm="1">
        <f t="array" ref="Q188">INT(SUMPRODUCT(--ISNUMBER(SEARCH(gun,C188)))&gt;0)</f>
        <v>0</v>
      </c>
      <c r="R188" s="14" cm="1">
        <f t="array" ref="R188">INT(SUMPRODUCT(--ISNUMBER(SEARCH(race,C188)))&gt;0)</f>
        <v>0</v>
      </c>
      <c r="S188" s="14" cm="1">
        <f t="array" ref="S188">INT(SUMPRODUCT(--ISNUMBER(SEARCH(immigration,C188)))&gt;0)</f>
        <v>0</v>
      </c>
      <c r="T188" s="14" cm="1">
        <f t="array" ref="T188">INT(SUMPRODUCT(--ISNUMBER(SEARCH(econineq,C189)))&gt;0)</f>
        <v>0</v>
      </c>
      <c r="U188" s="14" cm="1">
        <f t="array" ref="U188">INT(SUMPRODUCT(--ISNUMBER(SEARCH(climate,C188)))&gt;0)</f>
        <v>1</v>
      </c>
      <c r="V188" s="14" cm="1">
        <f t="array" ref="V188">INT(SUMPRODUCT(--ISNUMBER(SEARCH(abortion,C188)))&gt;0)</f>
        <v>0</v>
      </c>
      <c r="W188" s="14" cm="1">
        <f t="array" ref="W188">INT(SUMPRODUCT(--ISNUMBER(SEARCH(trump,C188)))&gt;0)</f>
        <v>0</v>
      </c>
      <c r="X188" s="14" cm="1">
        <f t="array" ref="X188">INT(SUMPRODUCT(--ISNUMBER(SEARCH(voting,C188)))&gt;0)</f>
        <v>0</v>
      </c>
      <c r="Y188" s="35" cm="1">
        <f t="array" ref="Y188">INT(SUMPRODUCT(--ISNUMBER(SEARCH(republicantrigger,C188)))&gt;0)</f>
        <v>0</v>
      </c>
      <c r="Z188" s="35" cm="1">
        <f t="array" ref="Z188">INT(SUMPRODUCT(--ISNUMBER(SEARCH(bipartisan,C188)))&gt;0)</f>
        <v>0</v>
      </c>
      <c r="AA188" s="35">
        <f t="shared" si="2"/>
        <v>0</v>
      </c>
      <c r="AB188" s="14"/>
      <c r="AC188" s="30" t="s">
        <v>223</v>
      </c>
      <c r="AD188" s="37" t="s">
        <v>223</v>
      </c>
    </row>
    <row r="189" spans="1:30" x14ac:dyDescent="0.25">
      <c r="A189" s="36">
        <v>3156</v>
      </c>
      <c r="B189" s="14" t="s">
        <v>6337</v>
      </c>
      <c r="C189" s="14" t="s">
        <v>6338</v>
      </c>
      <c r="D189" s="17">
        <v>44115</v>
      </c>
      <c r="E189" s="14" t="s">
        <v>30</v>
      </c>
      <c r="F189" s="14">
        <v>16</v>
      </c>
      <c r="G189" s="14">
        <v>10</v>
      </c>
      <c r="H189" s="14">
        <v>14</v>
      </c>
      <c r="I189" s="14">
        <v>7</v>
      </c>
      <c r="J189" s="14" t="s">
        <v>31</v>
      </c>
      <c r="K189" s="14" cm="1">
        <f t="array" ref="K189">INT(SUMPRODUCT(--ISNUMBER(SEARCH(economy,C189)))&gt;0)</f>
        <v>0</v>
      </c>
      <c r="L189" s="14" cm="1">
        <f t="array" ref="L189">INT(SUMPRODUCT(--ISNUMBER(SEARCH(healthcare,C189)))&gt;0)</f>
        <v>0</v>
      </c>
      <c r="M189" s="14" cm="1">
        <f t="array" ref="M189">INT(SUMPRODUCT(--ISNUMBER(SEARCH(supreme,C189)))&gt;0)</f>
        <v>1</v>
      </c>
      <c r="N189" s="14" cm="1">
        <f t="array" ref="N189">INT(SUMPRODUCT(--ISNUMBER(SEARCH(covid,C189)))&gt;0)</f>
        <v>0</v>
      </c>
      <c r="O189" s="14" cm="1">
        <f t="array" ref="O189">INT(SUMPRODUCT(--ISNUMBER(SEARCH(violent,C189)))&gt;0)</f>
        <v>0</v>
      </c>
      <c r="P189" s="14" cm="1">
        <f t="array" ref="P189">INT(SUMPRODUCT(--ISNUMBER(SEARCH(foreign,C189)))&gt;0)</f>
        <v>0</v>
      </c>
      <c r="Q189" s="14" cm="1">
        <f t="array" ref="Q189">INT(SUMPRODUCT(--ISNUMBER(SEARCH(gun,C189)))&gt;0)</f>
        <v>0</v>
      </c>
      <c r="R189" s="14" cm="1">
        <f t="array" ref="R189">INT(SUMPRODUCT(--ISNUMBER(SEARCH(race,C189)))&gt;0)</f>
        <v>0</v>
      </c>
      <c r="S189" s="14" cm="1">
        <f t="array" ref="S189">INT(SUMPRODUCT(--ISNUMBER(SEARCH(immigration,C189)))&gt;0)</f>
        <v>0</v>
      </c>
      <c r="T189" s="14" cm="1">
        <f t="array" ref="T189">INT(SUMPRODUCT(--ISNUMBER(SEARCH(econineq,C190)))&gt;0)</f>
        <v>0</v>
      </c>
      <c r="U189" s="14" cm="1">
        <f t="array" ref="U189">INT(SUMPRODUCT(--ISNUMBER(SEARCH(climate,C189)))&gt;0)</f>
        <v>0</v>
      </c>
      <c r="V189" s="14" cm="1">
        <f t="array" ref="V189">INT(SUMPRODUCT(--ISNUMBER(SEARCH(abortion,C189)))&gt;0)</f>
        <v>0</v>
      </c>
      <c r="W189" s="14" cm="1">
        <f t="array" ref="W189">INT(SUMPRODUCT(--ISNUMBER(SEARCH(trump,C189)))&gt;0)</f>
        <v>0</v>
      </c>
      <c r="X189" s="14" cm="1">
        <f t="array" ref="X189">INT(SUMPRODUCT(--ISNUMBER(SEARCH(voting,C189)))&gt;0)</f>
        <v>0</v>
      </c>
      <c r="Y189" s="35" cm="1">
        <f t="array" ref="Y189">INT(SUMPRODUCT(--ISNUMBER(SEARCH(republicantrigger,C189)))&gt;0)</f>
        <v>1</v>
      </c>
      <c r="Z189" s="35" cm="1">
        <f t="array" ref="Z189">INT(SUMPRODUCT(--ISNUMBER(SEARCH(bipartisan,C189)))&gt;0)</f>
        <v>0</v>
      </c>
      <c r="AA189" s="35">
        <f t="shared" si="2"/>
        <v>0</v>
      </c>
      <c r="AB189" s="14"/>
      <c r="AC189" s="30" t="s">
        <v>223</v>
      </c>
      <c r="AD189" s="37" t="s">
        <v>223</v>
      </c>
    </row>
    <row r="190" spans="1:30" x14ac:dyDescent="0.25">
      <c r="A190" s="36">
        <v>3157</v>
      </c>
      <c r="B190" s="14" t="s">
        <v>6339</v>
      </c>
      <c r="C190" s="14" t="s">
        <v>6340</v>
      </c>
      <c r="D190" s="17">
        <v>44115</v>
      </c>
      <c r="E190" s="14" t="s">
        <v>30</v>
      </c>
      <c r="F190" s="14">
        <v>29</v>
      </c>
      <c r="G190" s="14">
        <v>18</v>
      </c>
      <c r="H190" s="14">
        <v>14</v>
      </c>
      <c r="I190" s="14">
        <v>7</v>
      </c>
      <c r="J190" s="14" t="s">
        <v>31</v>
      </c>
      <c r="K190" s="14" cm="1">
        <f t="array" ref="K190">INT(SUMPRODUCT(--ISNUMBER(SEARCH(economy,C190)))&gt;0)</f>
        <v>1</v>
      </c>
      <c r="L190" s="14" cm="1">
        <f t="array" ref="L190">INT(SUMPRODUCT(--ISNUMBER(SEARCH(healthcare,C190)))&gt;0)</f>
        <v>0</v>
      </c>
      <c r="M190" s="14" cm="1">
        <f t="array" ref="M190">INT(SUMPRODUCT(--ISNUMBER(SEARCH(supreme,C190)))&gt;0)</f>
        <v>0</v>
      </c>
      <c r="N190" s="14" cm="1">
        <f t="array" ref="N190">INT(SUMPRODUCT(--ISNUMBER(SEARCH(covid,C190)))&gt;0)</f>
        <v>0</v>
      </c>
      <c r="O190" s="14" cm="1">
        <f t="array" ref="O190">INT(SUMPRODUCT(--ISNUMBER(SEARCH(violent,C190)))&gt;0)</f>
        <v>0</v>
      </c>
      <c r="P190" s="14" cm="1">
        <f t="array" ref="P190">INT(SUMPRODUCT(--ISNUMBER(SEARCH(foreign,C190)))&gt;0)</f>
        <v>0</v>
      </c>
      <c r="Q190" s="14" cm="1">
        <f t="array" ref="Q190">INT(SUMPRODUCT(--ISNUMBER(SEARCH(gun,C190)))&gt;0)</f>
        <v>0</v>
      </c>
      <c r="R190" s="14" cm="1">
        <f t="array" ref="R190">INT(SUMPRODUCT(--ISNUMBER(SEARCH(race,C190)))&gt;0)</f>
        <v>0</v>
      </c>
      <c r="S190" s="14" cm="1">
        <f t="array" ref="S190">INT(SUMPRODUCT(--ISNUMBER(SEARCH(immigration,C190)))&gt;0)</f>
        <v>0</v>
      </c>
      <c r="T190" s="14" cm="1">
        <f t="array" ref="T190">INT(SUMPRODUCT(--ISNUMBER(SEARCH(econineq,C191)))&gt;0)</f>
        <v>0</v>
      </c>
      <c r="U190" s="14" cm="1">
        <f t="array" ref="U190">INT(SUMPRODUCT(--ISNUMBER(SEARCH(climate,C190)))&gt;0)</f>
        <v>0</v>
      </c>
      <c r="V190" s="14" cm="1">
        <f t="array" ref="V190">INT(SUMPRODUCT(--ISNUMBER(SEARCH(abortion,C190)))&gt;0)</f>
        <v>0</v>
      </c>
      <c r="W190" s="14" cm="1">
        <f t="array" ref="W190">INT(SUMPRODUCT(--ISNUMBER(SEARCH(trump,C190)))&gt;0)</f>
        <v>0</v>
      </c>
      <c r="X190" s="14" cm="1">
        <f t="array" ref="X190">INT(SUMPRODUCT(--ISNUMBER(SEARCH(voting,C190)))&gt;0)</f>
        <v>1</v>
      </c>
      <c r="Y190" s="35" cm="1">
        <f t="array" ref="Y190">INT(SUMPRODUCT(--ISNUMBER(SEARCH(republicantrigger,C190)))&gt;0)</f>
        <v>1</v>
      </c>
      <c r="Z190" s="35" cm="1">
        <f t="array" ref="Z190">INT(SUMPRODUCT(--ISNUMBER(SEARCH(bipartisan,C190)))&gt;0)</f>
        <v>0</v>
      </c>
      <c r="AA190" s="35">
        <f t="shared" si="2"/>
        <v>0</v>
      </c>
      <c r="AB190" s="14"/>
      <c r="AC190" s="30">
        <v>0</v>
      </c>
      <c r="AD190" s="37">
        <v>1</v>
      </c>
    </row>
    <row r="191" spans="1:30" x14ac:dyDescent="0.25">
      <c r="A191" s="36">
        <v>3158</v>
      </c>
      <c r="B191" s="14" t="s">
        <v>6341</v>
      </c>
      <c r="C191" s="14" t="s">
        <v>6342</v>
      </c>
      <c r="D191" s="17">
        <v>44114</v>
      </c>
      <c r="E191" s="14" t="s">
        <v>30</v>
      </c>
      <c r="F191" s="14">
        <v>24</v>
      </c>
      <c r="G191" s="14">
        <v>10</v>
      </c>
      <c r="H191" s="14">
        <v>14</v>
      </c>
      <c r="I191" s="14">
        <v>7</v>
      </c>
      <c r="J191" s="14" t="s">
        <v>31</v>
      </c>
      <c r="K191" s="14" cm="1">
        <f t="array" ref="K191">INT(SUMPRODUCT(--ISNUMBER(SEARCH(economy,C191)))&gt;0)</f>
        <v>0</v>
      </c>
      <c r="L191" s="14" cm="1">
        <f t="array" ref="L191">INT(SUMPRODUCT(--ISNUMBER(SEARCH(healthcare,C191)))&gt;0)</f>
        <v>0</v>
      </c>
      <c r="M191" s="14" cm="1">
        <f t="array" ref="M191">INT(SUMPRODUCT(--ISNUMBER(SEARCH(supreme,C191)))&gt;0)</f>
        <v>0</v>
      </c>
      <c r="N191" s="14" cm="1">
        <f t="array" ref="N191">INT(SUMPRODUCT(--ISNUMBER(SEARCH(covid,C191)))&gt;0)</f>
        <v>0</v>
      </c>
      <c r="O191" s="14" cm="1">
        <f t="array" ref="O191">INT(SUMPRODUCT(--ISNUMBER(SEARCH(violent,C191)))&gt;0)</f>
        <v>0</v>
      </c>
      <c r="P191" s="14" cm="1">
        <f t="array" ref="P191">INT(SUMPRODUCT(--ISNUMBER(SEARCH(foreign,C191)))&gt;0)</f>
        <v>0</v>
      </c>
      <c r="Q191" s="14" cm="1">
        <f t="array" ref="Q191">INT(SUMPRODUCT(--ISNUMBER(SEARCH(gun,C191)))&gt;0)</f>
        <v>0</v>
      </c>
      <c r="R191" s="14" cm="1">
        <f t="array" ref="R191">INT(SUMPRODUCT(--ISNUMBER(SEARCH(race,C191)))&gt;0)</f>
        <v>0</v>
      </c>
      <c r="S191" s="14" cm="1">
        <f t="array" ref="S191">INT(SUMPRODUCT(--ISNUMBER(SEARCH(immigration,C191)))&gt;0)</f>
        <v>0</v>
      </c>
      <c r="T191" s="14" cm="1">
        <f t="array" ref="T191">INT(SUMPRODUCT(--ISNUMBER(SEARCH(econineq,C192)))&gt;0)</f>
        <v>0</v>
      </c>
      <c r="U191" s="14" cm="1">
        <f t="array" ref="U191">INT(SUMPRODUCT(--ISNUMBER(SEARCH(climate,C191)))&gt;0)</f>
        <v>0</v>
      </c>
      <c r="V191" s="14" cm="1">
        <f t="array" ref="V191">INT(SUMPRODUCT(--ISNUMBER(SEARCH(abortion,C191)))&gt;0)</f>
        <v>0</v>
      </c>
      <c r="W191" s="14" cm="1">
        <f t="array" ref="W191">INT(SUMPRODUCT(--ISNUMBER(SEARCH(trump,C191)))&gt;0)</f>
        <v>0</v>
      </c>
      <c r="X191" s="14" cm="1">
        <f t="array" ref="X191">INT(SUMPRODUCT(--ISNUMBER(SEARCH(voting,C191)))&gt;0)</f>
        <v>0</v>
      </c>
      <c r="Y191" s="35" cm="1">
        <f t="array" ref="Y191">INT(SUMPRODUCT(--ISNUMBER(SEARCH(republicantrigger,C191)))&gt;0)</f>
        <v>0</v>
      </c>
      <c r="Z191" s="35" cm="1">
        <f t="array" ref="Z191">INT(SUMPRODUCT(--ISNUMBER(SEARCH(bipartisan,C191)))&gt;0)</f>
        <v>0</v>
      </c>
      <c r="AA191" s="35">
        <f t="shared" si="2"/>
        <v>1</v>
      </c>
      <c r="AB191" s="14"/>
      <c r="AC191" s="30">
        <v>1</v>
      </c>
      <c r="AD191" s="37">
        <v>0</v>
      </c>
    </row>
    <row r="192" spans="1:30" x14ac:dyDescent="0.25">
      <c r="A192" s="36">
        <v>3159</v>
      </c>
      <c r="B192" s="14" t="s">
        <v>6343</v>
      </c>
      <c r="C192" s="14" t="s">
        <v>6344</v>
      </c>
      <c r="D192" s="17">
        <v>44114</v>
      </c>
      <c r="E192" s="14" t="s">
        <v>30</v>
      </c>
      <c r="F192" s="14">
        <v>23</v>
      </c>
      <c r="G192" s="14">
        <v>8</v>
      </c>
      <c r="H192" s="14">
        <v>14</v>
      </c>
      <c r="I192" s="14">
        <v>7</v>
      </c>
      <c r="J192" s="14" t="s">
        <v>31</v>
      </c>
      <c r="K192" s="14" cm="1">
        <f t="array" ref="K192">INT(SUMPRODUCT(--ISNUMBER(SEARCH(economy,C192)))&gt;0)</f>
        <v>0</v>
      </c>
      <c r="L192" s="14" cm="1">
        <f t="array" ref="L192">INT(SUMPRODUCT(--ISNUMBER(SEARCH(healthcare,C192)))&gt;0)</f>
        <v>0</v>
      </c>
      <c r="M192" s="14" cm="1">
        <f t="array" ref="M192">INT(SUMPRODUCT(--ISNUMBER(SEARCH(supreme,C192)))&gt;0)</f>
        <v>0</v>
      </c>
      <c r="N192" s="14" cm="1">
        <f t="array" ref="N192">INT(SUMPRODUCT(--ISNUMBER(SEARCH(covid,C192)))&gt;0)</f>
        <v>0</v>
      </c>
      <c r="O192" s="14" cm="1">
        <f t="array" ref="O192">INT(SUMPRODUCT(--ISNUMBER(SEARCH(violent,C192)))&gt;0)</f>
        <v>0</v>
      </c>
      <c r="P192" s="14" cm="1">
        <f t="array" ref="P192">INT(SUMPRODUCT(--ISNUMBER(SEARCH(foreign,C192)))&gt;0)</f>
        <v>0</v>
      </c>
      <c r="Q192" s="14" cm="1">
        <f t="array" ref="Q192">INT(SUMPRODUCT(--ISNUMBER(SEARCH(gun,C192)))&gt;0)</f>
        <v>0</v>
      </c>
      <c r="R192" s="14" cm="1">
        <f t="array" ref="R192">INT(SUMPRODUCT(--ISNUMBER(SEARCH(race,C192)))&gt;0)</f>
        <v>0</v>
      </c>
      <c r="S192" s="14" cm="1">
        <f t="array" ref="S192">INT(SUMPRODUCT(--ISNUMBER(SEARCH(immigration,C192)))&gt;0)</f>
        <v>0</v>
      </c>
      <c r="T192" s="14" cm="1">
        <f t="array" ref="T192">INT(SUMPRODUCT(--ISNUMBER(SEARCH(econineq,C193)))&gt;0)</f>
        <v>0</v>
      </c>
      <c r="U192" s="14" cm="1">
        <f t="array" ref="U192">INT(SUMPRODUCT(--ISNUMBER(SEARCH(climate,C192)))&gt;0)</f>
        <v>0</v>
      </c>
      <c r="V192" s="14" cm="1">
        <f t="array" ref="V192">INT(SUMPRODUCT(--ISNUMBER(SEARCH(abortion,C192)))&gt;0)</f>
        <v>0</v>
      </c>
      <c r="W192" s="14" cm="1">
        <f t="array" ref="W192">INT(SUMPRODUCT(--ISNUMBER(SEARCH(trump,C192)))&gt;0)</f>
        <v>0</v>
      </c>
      <c r="X192" s="14" cm="1">
        <f t="array" ref="X192">INT(SUMPRODUCT(--ISNUMBER(SEARCH(voting,C192)))&gt;0)</f>
        <v>0</v>
      </c>
      <c r="Y192" s="35" cm="1">
        <f t="array" ref="Y192">INT(SUMPRODUCT(--ISNUMBER(SEARCH(republicantrigger,C192)))&gt;0)</f>
        <v>0</v>
      </c>
      <c r="Z192" s="35" cm="1">
        <f t="array" ref="Z192">INT(SUMPRODUCT(--ISNUMBER(SEARCH(bipartisan,C192)))&gt;0)</f>
        <v>0</v>
      </c>
      <c r="AA192" s="35">
        <f t="shared" si="2"/>
        <v>1</v>
      </c>
      <c r="AB192" s="14"/>
      <c r="AC192" s="30">
        <v>0</v>
      </c>
      <c r="AD192" s="37">
        <v>1</v>
      </c>
    </row>
    <row r="193" spans="1:30" x14ac:dyDescent="0.25">
      <c r="A193" s="36">
        <v>3160</v>
      </c>
      <c r="B193" s="14" t="s">
        <v>6345</v>
      </c>
      <c r="C193" s="14" t="s">
        <v>6346</v>
      </c>
      <c r="D193" s="17">
        <v>44114</v>
      </c>
      <c r="E193" s="14" t="s">
        <v>30</v>
      </c>
      <c r="F193" s="14">
        <v>18</v>
      </c>
      <c r="G193" s="14">
        <v>7</v>
      </c>
      <c r="H193" s="14">
        <v>14</v>
      </c>
      <c r="I193" s="14">
        <v>7</v>
      </c>
      <c r="J193" s="14" t="s">
        <v>31</v>
      </c>
      <c r="K193" s="14" cm="1">
        <f t="array" ref="K193">INT(SUMPRODUCT(--ISNUMBER(SEARCH(economy,C193)))&gt;0)</f>
        <v>0</v>
      </c>
      <c r="L193" s="14" cm="1">
        <f t="array" ref="L193">INT(SUMPRODUCT(--ISNUMBER(SEARCH(healthcare,C193)))&gt;0)</f>
        <v>0</v>
      </c>
      <c r="M193" s="14" cm="1">
        <f t="array" ref="M193">INT(SUMPRODUCT(--ISNUMBER(SEARCH(supreme,C193)))&gt;0)</f>
        <v>0</v>
      </c>
      <c r="N193" s="14" cm="1">
        <f t="array" ref="N193">INT(SUMPRODUCT(--ISNUMBER(SEARCH(covid,C193)))&gt;0)</f>
        <v>0</v>
      </c>
      <c r="O193" s="14" cm="1">
        <f t="array" ref="O193">INT(SUMPRODUCT(--ISNUMBER(SEARCH(violent,C193)))&gt;0)</f>
        <v>0</v>
      </c>
      <c r="P193" s="14" cm="1">
        <f t="array" ref="P193">INT(SUMPRODUCT(--ISNUMBER(SEARCH(foreign,C193)))&gt;0)</f>
        <v>0</v>
      </c>
      <c r="Q193" s="14" cm="1">
        <f t="array" ref="Q193">INT(SUMPRODUCT(--ISNUMBER(SEARCH(gun,C193)))&gt;0)</f>
        <v>0</v>
      </c>
      <c r="R193" s="14" cm="1">
        <f t="array" ref="R193">INT(SUMPRODUCT(--ISNUMBER(SEARCH(race,C193)))&gt;0)</f>
        <v>0</v>
      </c>
      <c r="S193" s="14" cm="1">
        <f t="array" ref="S193">INT(SUMPRODUCT(--ISNUMBER(SEARCH(immigration,C193)))&gt;0)</f>
        <v>0</v>
      </c>
      <c r="T193" s="14" cm="1">
        <f t="array" ref="T193">INT(SUMPRODUCT(--ISNUMBER(SEARCH(econineq,C194)))&gt;0)</f>
        <v>0</v>
      </c>
      <c r="U193" s="14" cm="1">
        <f t="array" ref="U193">INT(SUMPRODUCT(--ISNUMBER(SEARCH(climate,C193)))&gt;0)</f>
        <v>0</v>
      </c>
      <c r="V193" s="14" cm="1">
        <f t="array" ref="V193">INT(SUMPRODUCT(--ISNUMBER(SEARCH(abortion,C193)))&gt;0)</f>
        <v>0</v>
      </c>
      <c r="W193" s="14" cm="1">
        <f t="array" ref="W193">INT(SUMPRODUCT(--ISNUMBER(SEARCH(trump,C193)))&gt;0)</f>
        <v>0</v>
      </c>
      <c r="X193" s="14" cm="1">
        <f t="array" ref="X193">INT(SUMPRODUCT(--ISNUMBER(SEARCH(voting,C193)))&gt;0)</f>
        <v>0</v>
      </c>
      <c r="Y193" s="35" cm="1">
        <f t="array" ref="Y193">INT(SUMPRODUCT(--ISNUMBER(SEARCH(republicantrigger,C193)))&gt;0)</f>
        <v>0</v>
      </c>
      <c r="Z193" s="35" cm="1">
        <f t="array" ref="Z193">INT(SUMPRODUCT(--ISNUMBER(SEARCH(bipartisan,C193)))&gt;0)</f>
        <v>0</v>
      </c>
      <c r="AA193" s="35">
        <f t="shared" si="2"/>
        <v>1</v>
      </c>
      <c r="AB193" s="14"/>
      <c r="AC193" s="30">
        <v>1</v>
      </c>
      <c r="AD193" s="37">
        <v>0</v>
      </c>
    </row>
    <row r="194" spans="1:30" x14ac:dyDescent="0.25">
      <c r="A194" s="36">
        <v>3161</v>
      </c>
      <c r="B194" s="14" t="s">
        <v>6347</v>
      </c>
      <c r="C194" s="14" t="s">
        <v>6348</v>
      </c>
      <c r="D194" s="17">
        <v>44114</v>
      </c>
      <c r="E194" s="14" t="s">
        <v>30</v>
      </c>
      <c r="F194" s="14">
        <v>13</v>
      </c>
      <c r="G194" s="14">
        <v>7</v>
      </c>
      <c r="H194" s="14">
        <v>14</v>
      </c>
      <c r="I194" s="14">
        <v>7</v>
      </c>
      <c r="J194" s="14" t="s">
        <v>31</v>
      </c>
      <c r="K194" s="14" cm="1">
        <f t="array" ref="K194">INT(SUMPRODUCT(--ISNUMBER(SEARCH(economy,C194)))&gt;0)</f>
        <v>0</v>
      </c>
      <c r="L194" s="14" cm="1">
        <f t="array" ref="L194">INT(SUMPRODUCT(--ISNUMBER(SEARCH(healthcare,C194)))&gt;0)</f>
        <v>0</v>
      </c>
      <c r="M194" s="14" cm="1">
        <f t="array" ref="M194">INT(SUMPRODUCT(--ISNUMBER(SEARCH(supreme,C194)))&gt;0)</f>
        <v>0</v>
      </c>
      <c r="N194" s="14" cm="1">
        <f t="array" ref="N194">INT(SUMPRODUCT(--ISNUMBER(SEARCH(covid,C194)))&gt;0)</f>
        <v>0</v>
      </c>
      <c r="O194" s="14" cm="1">
        <f t="array" ref="O194">INT(SUMPRODUCT(--ISNUMBER(SEARCH(violent,C194)))&gt;0)</f>
        <v>0</v>
      </c>
      <c r="P194" s="14" cm="1">
        <f t="array" ref="P194">INT(SUMPRODUCT(--ISNUMBER(SEARCH(foreign,C194)))&gt;0)</f>
        <v>0</v>
      </c>
      <c r="Q194" s="14" cm="1">
        <f t="array" ref="Q194">INT(SUMPRODUCT(--ISNUMBER(SEARCH(gun,C194)))&gt;0)</f>
        <v>0</v>
      </c>
      <c r="R194" s="14" cm="1">
        <f t="array" ref="R194">INT(SUMPRODUCT(--ISNUMBER(SEARCH(race,C194)))&gt;0)</f>
        <v>0</v>
      </c>
      <c r="S194" s="14" cm="1">
        <f t="array" ref="S194">INT(SUMPRODUCT(--ISNUMBER(SEARCH(immigration,C194)))&gt;0)</f>
        <v>0</v>
      </c>
      <c r="T194" s="14" cm="1">
        <f t="array" ref="T194">INT(SUMPRODUCT(--ISNUMBER(SEARCH(econineq,C195)))&gt;0)</f>
        <v>0</v>
      </c>
      <c r="U194" s="14" cm="1">
        <f t="array" ref="U194">INT(SUMPRODUCT(--ISNUMBER(SEARCH(climate,C194)))&gt;0)</f>
        <v>0</v>
      </c>
      <c r="V194" s="14" cm="1">
        <f t="array" ref="V194">INT(SUMPRODUCT(--ISNUMBER(SEARCH(abortion,C194)))&gt;0)</f>
        <v>0</v>
      </c>
      <c r="W194" s="14" cm="1">
        <f t="array" ref="W194">INT(SUMPRODUCT(--ISNUMBER(SEARCH(trump,C194)))&gt;0)</f>
        <v>0</v>
      </c>
      <c r="X194" s="14" cm="1">
        <f t="array" ref="X194">INT(SUMPRODUCT(--ISNUMBER(SEARCH(voting,C194)))&gt;0)</f>
        <v>0</v>
      </c>
      <c r="Y194" s="35" cm="1">
        <f t="array" ref="Y194">INT(SUMPRODUCT(--ISNUMBER(SEARCH(republicantrigger,C194)))&gt;0)</f>
        <v>1</v>
      </c>
      <c r="Z194" s="35" cm="1">
        <f t="array" ref="Z194">INT(SUMPRODUCT(--ISNUMBER(SEARCH(bipartisan,C194)))&gt;0)</f>
        <v>0</v>
      </c>
      <c r="AA194" s="35">
        <f t="shared" si="2"/>
        <v>0</v>
      </c>
      <c r="AB194" s="14"/>
      <c r="AC194" s="30">
        <v>0</v>
      </c>
      <c r="AD194" s="37">
        <v>1</v>
      </c>
    </row>
    <row r="195" spans="1:30" x14ac:dyDescent="0.25">
      <c r="A195" s="36">
        <v>3162</v>
      </c>
      <c r="B195" s="14" t="s">
        <v>6349</v>
      </c>
      <c r="C195" s="14" t="s">
        <v>6350</v>
      </c>
      <c r="D195" s="17">
        <v>44114</v>
      </c>
      <c r="E195" s="14" t="s">
        <v>30</v>
      </c>
      <c r="F195" s="14">
        <v>40</v>
      </c>
      <c r="G195" s="14">
        <v>17</v>
      </c>
      <c r="H195" s="14">
        <v>14</v>
      </c>
      <c r="I195" s="14">
        <v>7</v>
      </c>
      <c r="J195" s="14" t="s">
        <v>31</v>
      </c>
      <c r="K195" s="14" cm="1">
        <f t="array" ref="K195">INT(SUMPRODUCT(--ISNUMBER(SEARCH(economy,C195)))&gt;0)</f>
        <v>1</v>
      </c>
      <c r="L195" s="14" cm="1">
        <f t="array" ref="L195">INT(SUMPRODUCT(--ISNUMBER(SEARCH(healthcare,C195)))&gt;0)</f>
        <v>0</v>
      </c>
      <c r="M195" s="14" cm="1">
        <f t="array" ref="M195">INT(SUMPRODUCT(--ISNUMBER(SEARCH(supreme,C195)))&gt;0)</f>
        <v>0</v>
      </c>
      <c r="N195" s="14" cm="1">
        <f t="array" ref="N195">INT(SUMPRODUCT(--ISNUMBER(SEARCH(covid,C195)))&gt;0)</f>
        <v>1</v>
      </c>
      <c r="O195" s="14" cm="1">
        <f t="array" ref="O195">INT(SUMPRODUCT(--ISNUMBER(SEARCH(violent,C195)))&gt;0)</f>
        <v>0</v>
      </c>
      <c r="P195" s="14" cm="1">
        <f t="array" ref="P195">INT(SUMPRODUCT(--ISNUMBER(SEARCH(foreign,C195)))&gt;0)</f>
        <v>0</v>
      </c>
      <c r="Q195" s="14" cm="1">
        <f t="array" ref="Q195">INT(SUMPRODUCT(--ISNUMBER(SEARCH(gun,C195)))&gt;0)</f>
        <v>0</v>
      </c>
      <c r="R195" s="14" cm="1">
        <f t="array" ref="R195">INT(SUMPRODUCT(--ISNUMBER(SEARCH(race,C195)))&gt;0)</f>
        <v>0</v>
      </c>
      <c r="S195" s="14" cm="1">
        <f t="array" ref="S195">INT(SUMPRODUCT(--ISNUMBER(SEARCH(immigration,C195)))&gt;0)</f>
        <v>0</v>
      </c>
      <c r="T195" s="14" cm="1">
        <f t="array" ref="T195">INT(SUMPRODUCT(--ISNUMBER(SEARCH(econineq,C196)))&gt;0)</f>
        <v>0</v>
      </c>
      <c r="U195" s="14" cm="1">
        <f t="array" ref="U195">INT(SUMPRODUCT(--ISNUMBER(SEARCH(climate,C195)))&gt;0)</f>
        <v>0</v>
      </c>
      <c r="V195" s="14" cm="1">
        <f t="array" ref="V195">INT(SUMPRODUCT(--ISNUMBER(SEARCH(abortion,C195)))&gt;0)</f>
        <v>0</v>
      </c>
      <c r="W195" s="14" cm="1">
        <f t="array" ref="W195">INT(SUMPRODUCT(--ISNUMBER(SEARCH(trump,C195)))&gt;0)</f>
        <v>0</v>
      </c>
      <c r="X195" s="14" cm="1">
        <f t="array" ref="X195">INT(SUMPRODUCT(--ISNUMBER(SEARCH(voting,C195)))&gt;0)</f>
        <v>0</v>
      </c>
      <c r="Y195" s="35" cm="1">
        <f t="array" ref="Y195">INT(SUMPRODUCT(--ISNUMBER(SEARCH(republicantrigger,C195)))&gt;0)</f>
        <v>1</v>
      </c>
      <c r="Z195" s="35" cm="1">
        <f t="array" ref="Z195">INT(SUMPRODUCT(--ISNUMBER(SEARCH(bipartisan,C195)))&gt;0)</f>
        <v>0</v>
      </c>
      <c r="AA195" s="35">
        <f t="shared" ref="AA195:AA257" si="3">INT(IF(COUNTIF(K195:Z195,1)=0,"1","0"))</f>
        <v>0</v>
      </c>
      <c r="AB195" s="14"/>
      <c r="AC195" s="30">
        <v>0</v>
      </c>
      <c r="AD195" s="37">
        <v>1</v>
      </c>
    </row>
    <row r="196" spans="1:30" x14ac:dyDescent="0.25">
      <c r="A196" s="36">
        <v>3163</v>
      </c>
      <c r="B196" s="14" t="s">
        <v>6351</v>
      </c>
      <c r="C196" s="14" t="s">
        <v>6352</v>
      </c>
      <c r="D196" s="17">
        <v>44114</v>
      </c>
      <c r="E196" s="14" t="s">
        <v>30</v>
      </c>
      <c r="F196" s="14">
        <v>8</v>
      </c>
      <c r="G196" s="14">
        <v>5</v>
      </c>
      <c r="H196" s="14">
        <v>14</v>
      </c>
      <c r="I196" s="14">
        <v>7</v>
      </c>
      <c r="J196" s="14" t="s">
        <v>31</v>
      </c>
      <c r="K196" s="14" cm="1">
        <f t="array" ref="K196">INT(SUMPRODUCT(--ISNUMBER(SEARCH(economy,C196)))&gt;0)</f>
        <v>0</v>
      </c>
      <c r="L196" s="14" cm="1">
        <f t="array" ref="L196">INT(SUMPRODUCT(--ISNUMBER(SEARCH(healthcare,C196)))&gt;0)</f>
        <v>0</v>
      </c>
      <c r="M196" s="14" cm="1">
        <f t="array" ref="M196">INT(SUMPRODUCT(--ISNUMBER(SEARCH(supreme,C196)))&gt;0)</f>
        <v>1</v>
      </c>
      <c r="N196" s="14" cm="1">
        <f t="array" ref="N196">INT(SUMPRODUCT(--ISNUMBER(SEARCH(covid,C196)))&gt;0)</f>
        <v>0</v>
      </c>
      <c r="O196" s="14" cm="1">
        <f t="array" ref="O196">INT(SUMPRODUCT(--ISNUMBER(SEARCH(violent,C196)))&gt;0)</f>
        <v>0</v>
      </c>
      <c r="P196" s="14" cm="1">
        <f t="array" ref="P196">INT(SUMPRODUCT(--ISNUMBER(SEARCH(foreign,C196)))&gt;0)</f>
        <v>0</v>
      </c>
      <c r="Q196" s="14" cm="1">
        <f t="array" ref="Q196">INT(SUMPRODUCT(--ISNUMBER(SEARCH(gun,C196)))&gt;0)</f>
        <v>0</v>
      </c>
      <c r="R196" s="14" cm="1">
        <f t="array" ref="R196">INT(SUMPRODUCT(--ISNUMBER(SEARCH(race,C196)))&gt;0)</f>
        <v>0</v>
      </c>
      <c r="S196" s="14" cm="1">
        <f t="array" ref="S196">INT(SUMPRODUCT(--ISNUMBER(SEARCH(immigration,C196)))&gt;0)</f>
        <v>0</v>
      </c>
      <c r="T196" s="14" cm="1">
        <f t="array" ref="T196">INT(SUMPRODUCT(--ISNUMBER(SEARCH(econineq,C197)))&gt;0)</f>
        <v>0</v>
      </c>
      <c r="U196" s="14" cm="1">
        <f t="array" ref="U196">INT(SUMPRODUCT(--ISNUMBER(SEARCH(climate,C196)))&gt;0)</f>
        <v>0</v>
      </c>
      <c r="V196" s="14" cm="1">
        <f t="array" ref="V196">INT(SUMPRODUCT(--ISNUMBER(SEARCH(abortion,C196)))&gt;0)</f>
        <v>0</v>
      </c>
      <c r="W196" s="14" cm="1">
        <f t="array" ref="W196">INT(SUMPRODUCT(--ISNUMBER(SEARCH(trump,C196)))&gt;0)</f>
        <v>0</v>
      </c>
      <c r="X196" s="14" cm="1">
        <f t="array" ref="X196">INT(SUMPRODUCT(--ISNUMBER(SEARCH(voting,C196)))&gt;0)</f>
        <v>0</v>
      </c>
      <c r="Y196" s="35" cm="1">
        <f t="array" ref="Y196">INT(SUMPRODUCT(--ISNUMBER(SEARCH(republicantrigger,C196)))&gt;0)</f>
        <v>1</v>
      </c>
      <c r="Z196" s="35" cm="1">
        <f t="array" ref="Z196">INT(SUMPRODUCT(--ISNUMBER(SEARCH(bipartisan,C196)))&gt;0)</f>
        <v>0</v>
      </c>
      <c r="AA196" s="35">
        <f t="shared" si="3"/>
        <v>0</v>
      </c>
      <c r="AB196" s="14"/>
      <c r="AC196" s="30">
        <v>1</v>
      </c>
      <c r="AD196" s="37">
        <v>0</v>
      </c>
    </row>
    <row r="197" spans="1:30" x14ac:dyDescent="0.25">
      <c r="A197" s="36">
        <v>3164</v>
      </c>
      <c r="B197" s="14" t="s">
        <v>6353</v>
      </c>
      <c r="C197" s="14" t="s">
        <v>6354</v>
      </c>
      <c r="D197" s="17">
        <v>44113</v>
      </c>
      <c r="E197" s="14" t="s">
        <v>70</v>
      </c>
      <c r="F197" s="14">
        <v>10</v>
      </c>
      <c r="G197" s="14">
        <v>6</v>
      </c>
      <c r="H197" s="14">
        <v>14</v>
      </c>
      <c r="I197" s="14">
        <v>7</v>
      </c>
      <c r="J197" s="14" t="s">
        <v>31</v>
      </c>
      <c r="K197" s="14" cm="1">
        <f t="array" ref="K197">INT(SUMPRODUCT(--ISNUMBER(SEARCH(economy,C197)))&gt;0)</f>
        <v>0</v>
      </c>
      <c r="L197" s="14" cm="1">
        <f t="array" ref="L197">INT(SUMPRODUCT(--ISNUMBER(SEARCH(healthcare,C197)))&gt;0)</f>
        <v>0</v>
      </c>
      <c r="M197" s="14" cm="1">
        <f t="array" ref="M197">INT(SUMPRODUCT(--ISNUMBER(SEARCH(supreme,C197)))&gt;0)</f>
        <v>0</v>
      </c>
      <c r="N197" s="14" cm="1">
        <f t="array" ref="N197">INT(SUMPRODUCT(--ISNUMBER(SEARCH(covid,C197)))&gt;0)</f>
        <v>0</v>
      </c>
      <c r="O197" s="14" cm="1">
        <f t="array" ref="O197">INT(SUMPRODUCT(--ISNUMBER(SEARCH(violent,C197)))&gt;0)</f>
        <v>0</v>
      </c>
      <c r="P197" s="14" cm="1">
        <f t="array" ref="P197">INT(SUMPRODUCT(--ISNUMBER(SEARCH(foreign,C197)))&gt;0)</f>
        <v>0</v>
      </c>
      <c r="Q197" s="14" cm="1">
        <f t="array" ref="Q197">INT(SUMPRODUCT(--ISNUMBER(SEARCH(gun,C197)))&gt;0)</f>
        <v>0</v>
      </c>
      <c r="R197" s="14" cm="1">
        <f t="array" ref="R197">INT(SUMPRODUCT(--ISNUMBER(SEARCH(race,C197)))&gt;0)</f>
        <v>0</v>
      </c>
      <c r="S197" s="14" cm="1">
        <f t="array" ref="S197">INT(SUMPRODUCT(--ISNUMBER(SEARCH(immigration,C197)))&gt;0)</f>
        <v>0</v>
      </c>
      <c r="T197" s="14" cm="1">
        <f t="array" ref="T197">INT(SUMPRODUCT(--ISNUMBER(SEARCH(econineq,C198)))&gt;0)</f>
        <v>0</v>
      </c>
      <c r="U197" s="14" cm="1">
        <f t="array" ref="U197">INT(SUMPRODUCT(--ISNUMBER(SEARCH(climate,C197)))&gt;0)</f>
        <v>0</v>
      </c>
      <c r="V197" s="14" cm="1">
        <f t="array" ref="V197">INT(SUMPRODUCT(--ISNUMBER(SEARCH(abortion,C197)))&gt;0)</f>
        <v>0</v>
      </c>
      <c r="W197" s="14" cm="1">
        <f t="array" ref="W197">INT(SUMPRODUCT(--ISNUMBER(SEARCH(trump,C197)))&gt;0)</f>
        <v>0</v>
      </c>
      <c r="X197" s="14" cm="1">
        <f t="array" ref="X197">INT(SUMPRODUCT(--ISNUMBER(SEARCH(voting,C197)))&gt;0)</f>
        <v>0</v>
      </c>
      <c r="Y197" s="35" cm="1">
        <f t="array" ref="Y197">INT(SUMPRODUCT(--ISNUMBER(SEARCH(republicantrigger,C197)))&gt;0)</f>
        <v>1</v>
      </c>
      <c r="Z197" s="35" cm="1">
        <f t="array" ref="Z197">INT(SUMPRODUCT(--ISNUMBER(SEARCH(bipartisan,C197)))&gt;0)</f>
        <v>0</v>
      </c>
      <c r="AA197" s="35">
        <f t="shared" si="3"/>
        <v>0</v>
      </c>
      <c r="AB197" s="14"/>
      <c r="AC197" s="30" t="s">
        <v>223</v>
      </c>
      <c r="AD197" s="37" t="s">
        <v>223</v>
      </c>
    </row>
    <row r="198" spans="1:30" x14ac:dyDescent="0.25">
      <c r="A198" s="36">
        <v>3165</v>
      </c>
      <c r="B198" s="14" t="s">
        <v>6355</v>
      </c>
      <c r="C198" s="14" t="s">
        <v>6356</v>
      </c>
      <c r="D198" s="17">
        <v>44113</v>
      </c>
      <c r="E198" s="14" t="s">
        <v>30</v>
      </c>
      <c r="F198" s="14">
        <v>15</v>
      </c>
      <c r="G198" s="14">
        <v>5</v>
      </c>
      <c r="H198" s="14">
        <v>14</v>
      </c>
      <c r="I198" s="14">
        <v>7</v>
      </c>
      <c r="J198" s="14" t="s">
        <v>31</v>
      </c>
      <c r="K198" s="14" cm="1">
        <f t="array" ref="K198">INT(SUMPRODUCT(--ISNUMBER(SEARCH(economy,C198)))&gt;0)</f>
        <v>0</v>
      </c>
      <c r="L198" s="14" cm="1">
        <f t="array" ref="L198">INT(SUMPRODUCT(--ISNUMBER(SEARCH(healthcare,C198)))&gt;0)</f>
        <v>1</v>
      </c>
      <c r="M198" s="14" cm="1">
        <f t="array" ref="M198">INT(SUMPRODUCT(--ISNUMBER(SEARCH(supreme,C198)))&gt;0)</f>
        <v>1</v>
      </c>
      <c r="N198" s="14" cm="1">
        <f t="array" ref="N198">INT(SUMPRODUCT(--ISNUMBER(SEARCH(covid,C198)))&gt;0)</f>
        <v>0</v>
      </c>
      <c r="O198" s="14" cm="1">
        <f t="array" ref="O198">INT(SUMPRODUCT(--ISNUMBER(SEARCH(violent,C198)))&gt;0)</f>
        <v>0</v>
      </c>
      <c r="P198" s="14" cm="1">
        <f t="array" ref="P198">INT(SUMPRODUCT(--ISNUMBER(SEARCH(foreign,C198)))&gt;0)</f>
        <v>0</v>
      </c>
      <c r="Q198" s="14" cm="1">
        <f t="array" ref="Q198">INT(SUMPRODUCT(--ISNUMBER(SEARCH(gun,C198)))&gt;0)</f>
        <v>0</v>
      </c>
      <c r="R198" s="14" cm="1">
        <f t="array" ref="R198">INT(SUMPRODUCT(--ISNUMBER(SEARCH(race,C198)))&gt;0)</f>
        <v>0</v>
      </c>
      <c r="S198" s="14" cm="1">
        <f t="array" ref="S198">INT(SUMPRODUCT(--ISNUMBER(SEARCH(immigration,C198)))&gt;0)</f>
        <v>0</v>
      </c>
      <c r="T198" s="14" cm="1">
        <f t="array" ref="T198">INT(SUMPRODUCT(--ISNUMBER(SEARCH(econineq,C199)))&gt;0)</f>
        <v>0</v>
      </c>
      <c r="U198" s="14" cm="1">
        <f t="array" ref="U198">INT(SUMPRODUCT(--ISNUMBER(SEARCH(climate,C198)))&gt;0)</f>
        <v>0</v>
      </c>
      <c r="V198" s="14" cm="1">
        <f t="array" ref="V198">INT(SUMPRODUCT(--ISNUMBER(SEARCH(abortion,C198)))&gt;0)</f>
        <v>0</v>
      </c>
      <c r="W198" s="14" cm="1">
        <f t="array" ref="W198">INT(SUMPRODUCT(--ISNUMBER(SEARCH(trump,C198)))&gt;0)</f>
        <v>0</v>
      </c>
      <c r="X198" s="14" cm="1">
        <f t="array" ref="X198">INT(SUMPRODUCT(--ISNUMBER(SEARCH(voting,C198)))&gt;0)</f>
        <v>0</v>
      </c>
      <c r="Y198" s="35" cm="1">
        <f t="array" ref="Y198">INT(SUMPRODUCT(--ISNUMBER(SEARCH(republicantrigger,C198)))&gt;0)</f>
        <v>1</v>
      </c>
      <c r="Z198" s="35" cm="1">
        <f t="array" ref="Z198">INT(SUMPRODUCT(--ISNUMBER(SEARCH(bipartisan,C198)))&gt;0)</f>
        <v>0</v>
      </c>
      <c r="AA198" s="35">
        <f t="shared" si="3"/>
        <v>0</v>
      </c>
      <c r="AB198" s="14"/>
      <c r="AC198" s="30" t="s">
        <v>223</v>
      </c>
      <c r="AD198" s="37" t="s">
        <v>223</v>
      </c>
    </row>
    <row r="199" spans="1:30" x14ac:dyDescent="0.25">
      <c r="A199" s="36">
        <v>3166</v>
      </c>
      <c r="B199" s="14" t="s">
        <v>6357</v>
      </c>
      <c r="C199" s="14" t="s">
        <v>6358</v>
      </c>
      <c r="D199" s="17">
        <v>44113</v>
      </c>
      <c r="E199" s="14" t="s">
        <v>70</v>
      </c>
      <c r="F199" s="14">
        <v>11</v>
      </c>
      <c r="G199" s="14">
        <v>6</v>
      </c>
      <c r="H199" s="14">
        <v>14</v>
      </c>
      <c r="I199" s="14">
        <v>7</v>
      </c>
      <c r="J199" s="14" t="s">
        <v>31</v>
      </c>
      <c r="K199" s="14" cm="1">
        <f t="array" ref="K199">INT(SUMPRODUCT(--ISNUMBER(SEARCH(economy,C199)))&gt;0)</f>
        <v>0</v>
      </c>
      <c r="L199" s="14" cm="1">
        <f t="array" ref="L199">INT(SUMPRODUCT(--ISNUMBER(SEARCH(healthcare,C199)))&gt;0)</f>
        <v>0</v>
      </c>
      <c r="M199" s="14" cm="1">
        <f t="array" ref="M199">INT(SUMPRODUCT(--ISNUMBER(SEARCH(supreme,C199)))&gt;0)</f>
        <v>0</v>
      </c>
      <c r="N199" s="14" cm="1">
        <f t="array" ref="N199">INT(SUMPRODUCT(--ISNUMBER(SEARCH(covid,C199)))&gt;0)</f>
        <v>0</v>
      </c>
      <c r="O199" s="14" cm="1">
        <f t="array" ref="O199">INT(SUMPRODUCT(--ISNUMBER(SEARCH(violent,C199)))&gt;0)</f>
        <v>0</v>
      </c>
      <c r="P199" s="14" cm="1">
        <f t="array" ref="P199">INT(SUMPRODUCT(--ISNUMBER(SEARCH(foreign,C199)))&gt;0)</f>
        <v>0</v>
      </c>
      <c r="Q199" s="14" cm="1">
        <f t="array" ref="Q199">INT(SUMPRODUCT(--ISNUMBER(SEARCH(gun,C199)))&gt;0)</f>
        <v>0</v>
      </c>
      <c r="R199" s="14" cm="1">
        <f t="array" ref="R199">INT(SUMPRODUCT(--ISNUMBER(SEARCH(race,C199)))&gt;0)</f>
        <v>0</v>
      </c>
      <c r="S199" s="14" cm="1">
        <f t="array" ref="S199">INT(SUMPRODUCT(--ISNUMBER(SEARCH(immigration,C199)))&gt;0)</f>
        <v>0</v>
      </c>
      <c r="T199" s="14" cm="1">
        <f t="array" ref="T199">INT(SUMPRODUCT(--ISNUMBER(SEARCH(econineq,C200)))&gt;0)</f>
        <v>0</v>
      </c>
      <c r="U199" s="14" cm="1">
        <f t="array" ref="U199">INT(SUMPRODUCT(--ISNUMBER(SEARCH(climate,C199)))&gt;0)</f>
        <v>0</v>
      </c>
      <c r="V199" s="14" cm="1">
        <f t="array" ref="V199">INT(SUMPRODUCT(--ISNUMBER(SEARCH(abortion,C199)))&gt;0)</f>
        <v>0</v>
      </c>
      <c r="W199" s="14" cm="1">
        <f t="array" ref="W199">INT(SUMPRODUCT(--ISNUMBER(SEARCH(trump,C199)))&gt;0)</f>
        <v>0</v>
      </c>
      <c r="X199" s="14" cm="1">
        <f t="array" ref="X199">INT(SUMPRODUCT(--ISNUMBER(SEARCH(voting,C199)))&gt;0)</f>
        <v>1</v>
      </c>
      <c r="Y199" s="35" cm="1">
        <f t="array" ref="Y199">INT(SUMPRODUCT(--ISNUMBER(SEARCH(republicantrigger,C199)))&gt;0)</f>
        <v>1</v>
      </c>
      <c r="Z199" s="35" cm="1">
        <f t="array" ref="Z199">INT(SUMPRODUCT(--ISNUMBER(SEARCH(bipartisan,C199)))&gt;0)</f>
        <v>0</v>
      </c>
      <c r="AA199" s="35">
        <f t="shared" si="3"/>
        <v>0</v>
      </c>
      <c r="AB199" s="14"/>
      <c r="AC199" s="30" t="s">
        <v>223</v>
      </c>
      <c r="AD199" s="37" t="s">
        <v>223</v>
      </c>
    </row>
    <row r="200" spans="1:30" x14ac:dyDescent="0.25">
      <c r="A200" s="36">
        <v>3167</v>
      </c>
      <c r="B200" s="14" t="s">
        <v>6359</v>
      </c>
      <c r="C200" s="14" t="s">
        <v>6360</v>
      </c>
      <c r="D200" s="17">
        <v>44113</v>
      </c>
      <c r="E200" s="14" t="s">
        <v>70</v>
      </c>
      <c r="F200" s="14">
        <v>10</v>
      </c>
      <c r="G200" s="14">
        <v>5</v>
      </c>
      <c r="H200" s="14">
        <v>14</v>
      </c>
      <c r="I200" s="14">
        <v>7</v>
      </c>
      <c r="J200" s="14" t="s">
        <v>31</v>
      </c>
      <c r="K200" s="14" cm="1">
        <f t="array" ref="K200">INT(SUMPRODUCT(--ISNUMBER(SEARCH(economy,C200)))&gt;0)</f>
        <v>0</v>
      </c>
      <c r="L200" s="14" cm="1">
        <f t="array" ref="L200">INT(SUMPRODUCT(--ISNUMBER(SEARCH(healthcare,C200)))&gt;0)</f>
        <v>1</v>
      </c>
      <c r="M200" s="14" cm="1">
        <f t="array" ref="M200">INT(SUMPRODUCT(--ISNUMBER(SEARCH(supreme,C200)))&gt;0)</f>
        <v>0</v>
      </c>
      <c r="N200" s="14" cm="1">
        <f t="array" ref="N200">INT(SUMPRODUCT(--ISNUMBER(SEARCH(covid,C200)))&gt;0)</f>
        <v>0</v>
      </c>
      <c r="O200" s="14" cm="1">
        <f t="array" ref="O200">INT(SUMPRODUCT(--ISNUMBER(SEARCH(violent,C200)))&gt;0)</f>
        <v>0</v>
      </c>
      <c r="P200" s="14" cm="1">
        <f t="array" ref="P200">INT(SUMPRODUCT(--ISNUMBER(SEARCH(foreign,C200)))&gt;0)</f>
        <v>0</v>
      </c>
      <c r="Q200" s="14" cm="1">
        <f t="array" ref="Q200">INT(SUMPRODUCT(--ISNUMBER(SEARCH(gun,C200)))&gt;0)</f>
        <v>0</v>
      </c>
      <c r="R200" s="14" cm="1">
        <f t="array" ref="R200">INT(SUMPRODUCT(--ISNUMBER(SEARCH(race,C200)))&gt;0)</f>
        <v>0</v>
      </c>
      <c r="S200" s="14" cm="1">
        <f t="array" ref="S200">INT(SUMPRODUCT(--ISNUMBER(SEARCH(immigration,C200)))&gt;0)</f>
        <v>0</v>
      </c>
      <c r="T200" s="14" cm="1">
        <f t="array" ref="T200">INT(SUMPRODUCT(--ISNUMBER(SEARCH(econineq,C201)))&gt;0)</f>
        <v>0</v>
      </c>
      <c r="U200" s="14" cm="1">
        <f t="array" ref="U200">INT(SUMPRODUCT(--ISNUMBER(SEARCH(climate,C200)))&gt;0)</f>
        <v>0</v>
      </c>
      <c r="V200" s="14" cm="1">
        <f t="array" ref="V200">INT(SUMPRODUCT(--ISNUMBER(SEARCH(abortion,C200)))&gt;0)</f>
        <v>0</v>
      </c>
      <c r="W200" s="14" cm="1">
        <f t="array" ref="W200">INT(SUMPRODUCT(--ISNUMBER(SEARCH(trump,C200)))&gt;0)</f>
        <v>0</v>
      </c>
      <c r="X200" s="14" cm="1">
        <f t="array" ref="X200">INT(SUMPRODUCT(--ISNUMBER(SEARCH(voting,C200)))&gt;0)</f>
        <v>0</v>
      </c>
      <c r="Y200" s="35" cm="1">
        <f t="array" ref="Y200">INT(SUMPRODUCT(--ISNUMBER(SEARCH(republicantrigger,C200)))&gt;0)</f>
        <v>1</v>
      </c>
      <c r="Z200" s="35" cm="1">
        <f t="array" ref="Z200">INT(SUMPRODUCT(--ISNUMBER(SEARCH(bipartisan,C200)))&gt;0)</f>
        <v>0</v>
      </c>
      <c r="AA200" s="35">
        <f t="shared" si="3"/>
        <v>0</v>
      </c>
      <c r="AB200" s="14"/>
      <c r="AC200" s="30" t="s">
        <v>223</v>
      </c>
      <c r="AD200" s="37" t="s">
        <v>223</v>
      </c>
    </row>
    <row r="201" spans="1:30" x14ac:dyDescent="0.25">
      <c r="A201" s="36">
        <v>3168</v>
      </c>
      <c r="B201" s="14" t="s">
        <v>6361</v>
      </c>
      <c r="C201" s="14" t="s">
        <v>6362</v>
      </c>
      <c r="D201" s="17">
        <v>44113</v>
      </c>
      <c r="E201" s="14" t="s">
        <v>70</v>
      </c>
      <c r="F201" s="14">
        <v>1</v>
      </c>
      <c r="G201" s="14">
        <v>0</v>
      </c>
      <c r="H201" s="14">
        <v>14</v>
      </c>
      <c r="I201" s="14">
        <v>7</v>
      </c>
      <c r="J201" s="14" t="s">
        <v>31</v>
      </c>
      <c r="K201" s="14" cm="1">
        <f t="array" ref="K201">INT(SUMPRODUCT(--ISNUMBER(SEARCH(economy,C201)))&gt;0)</f>
        <v>0</v>
      </c>
      <c r="L201" s="14" cm="1">
        <f t="array" ref="L201">INT(SUMPRODUCT(--ISNUMBER(SEARCH(healthcare,C201)))&gt;0)</f>
        <v>0</v>
      </c>
      <c r="M201" s="14" cm="1">
        <f t="array" ref="M201">INT(SUMPRODUCT(--ISNUMBER(SEARCH(supreme,C201)))&gt;0)</f>
        <v>0</v>
      </c>
      <c r="N201" s="14" cm="1">
        <f t="array" ref="N201">INT(SUMPRODUCT(--ISNUMBER(SEARCH(covid,C201)))&gt;0)</f>
        <v>0</v>
      </c>
      <c r="O201" s="14" cm="1">
        <f t="array" ref="O201">INT(SUMPRODUCT(--ISNUMBER(SEARCH(violent,C201)))&gt;0)</f>
        <v>1</v>
      </c>
      <c r="P201" s="14" cm="1">
        <f t="array" ref="P201">INT(SUMPRODUCT(--ISNUMBER(SEARCH(foreign,C201)))&gt;0)</f>
        <v>0</v>
      </c>
      <c r="Q201" s="14" cm="1">
        <f t="array" ref="Q201">INT(SUMPRODUCT(--ISNUMBER(SEARCH(gun,C201)))&gt;0)</f>
        <v>0</v>
      </c>
      <c r="R201" s="14" cm="1">
        <f t="array" ref="R201">INT(SUMPRODUCT(--ISNUMBER(SEARCH(race,C201)))&gt;0)</f>
        <v>1</v>
      </c>
      <c r="S201" s="14" cm="1">
        <f t="array" ref="S201">INT(SUMPRODUCT(--ISNUMBER(SEARCH(immigration,C201)))&gt;0)</f>
        <v>0</v>
      </c>
      <c r="T201" s="14" cm="1">
        <f t="array" ref="T201">INT(SUMPRODUCT(--ISNUMBER(SEARCH(econineq,C202)))&gt;0)</f>
        <v>0</v>
      </c>
      <c r="U201" s="14" cm="1">
        <f t="array" ref="U201">INT(SUMPRODUCT(--ISNUMBER(SEARCH(climate,C201)))&gt;0)</f>
        <v>0</v>
      </c>
      <c r="V201" s="14" cm="1">
        <f t="array" ref="V201">INT(SUMPRODUCT(--ISNUMBER(SEARCH(abortion,C201)))&gt;0)</f>
        <v>0</v>
      </c>
      <c r="W201" s="14" cm="1">
        <f t="array" ref="W201">INT(SUMPRODUCT(--ISNUMBER(SEARCH(trump,C201)))&gt;0)</f>
        <v>0</v>
      </c>
      <c r="X201" s="14" cm="1">
        <f t="array" ref="X201">INT(SUMPRODUCT(--ISNUMBER(SEARCH(voting,C201)))&gt;0)</f>
        <v>0</v>
      </c>
      <c r="Y201" s="35" cm="1">
        <f t="array" ref="Y201">INT(SUMPRODUCT(--ISNUMBER(SEARCH(republicantrigger,C201)))&gt;0)</f>
        <v>1</v>
      </c>
      <c r="Z201" s="35" cm="1">
        <f t="array" ref="Z201">INT(SUMPRODUCT(--ISNUMBER(SEARCH(bipartisan,C201)))&gt;0)</f>
        <v>0</v>
      </c>
      <c r="AA201" s="35">
        <f t="shared" si="3"/>
        <v>0</v>
      </c>
      <c r="AB201" s="14"/>
      <c r="AC201" s="30" t="s">
        <v>223</v>
      </c>
      <c r="AD201" s="37" t="s">
        <v>223</v>
      </c>
    </row>
    <row r="202" spans="1:30" x14ac:dyDescent="0.25">
      <c r="A202" s="36">
        <v>3169</v>
      </c>
      <c r="B202" s="14" t="s">
        <v>6363</v>
      </c>
      <c r="C202" s="14" t="s">
        <v>6364</v>
      </c>
      <c r="D202" s="17">
        <v>44113</v>
      </c>
      <c r="E202" s="14" t="s">
        <v>70</v>
      </c>
      <c r="F202" s="14">
        <v>3</v>
      </c>
      <c r="G202" s="14">
        <v>1</v>
      </c>
      <c r="H202" s="14">
        <v>14</v>
      </c>
      <c r="I202" s="14">
        <v>7</v>
      </c>
      <c r="J202" s="14" t="s">
        <v>31</v>
      </c>
      <c r="K202" s="14" cm="1">
        <f t="array" ref="K202">INT(SUMPRODUCT(--ISNUMBER(SEARCH(economy,C202)))&gt;0)</f>
        <v>0</v>
      </c>
      <c r="L202" s="14" cm="1">
        <f t="array" ref="L202">INT(SUMPRODUCT(--ISNUMBER(SEARCH(healthcare,C202)))&gt;0)</f>
        <v>0</v>
      </c>
      <c r="M202" s="14" cm="1">
        <f t="array" ref="M202">INT(SUMPRODUCT(--ISNUMBER(SEARCH(supreme,C202)))&gt;0)</f>
        <v>1</v>
      </c>
      <c r="N202" s="14" cm="1">
        <f t="array" ref="N202">INT(SUMPRODUCT(--ISNUMBER(SEARCH(covid,C202)))&gt;0)</f>
        <v>0</v>
      </c>
      <c r="O202" s="14" cm="1">
        <f t="array" ref="O202">INT(SUMPRODUCT(--ISNUMBER(SEARCH(violent,C202)))&gt;0)</f>
        <v>0</v>
      </c>
      <c r="P202" s="14" cm="1">
        <f t="array" ref="P202">INT(SUMPRODUCT(--ISNUMBER(SEARCH(foreign,C202)))&gt;0)</f>
        <v>0</v>
      </c>
      <c r="Q202" s="14" cm="1">
        <f t="array" ref="Q202">INT(SUMPRODUCT(--ISNUMBER(SEARCH(gun,C202)))&gt;0)</f>
        <v>0</v>
      </c>
      <c r="R202" s="14" cm="1">
        <f t="array" ref="R202">INT(SUMPRODUCT(--ISNUMBER(SEARCH(race,C202)))&gt;0)</f>
        <v>0</v>
      </c>
      <c r="S202" s="14" cm="1">
        <f t="array" ref="S202">INT(SUMPRODUCT(--ISNUMBER(SEARCH(immigration,C202)))&gt;0)</f>
        <v>0</v>
      </c>
      <c r="T202" s="14" cm="1">
        <f t="array" ref="T202">INT(SUMPRODUCT(--ISNUMBER(SEARCH(econineq,C203)))&gt;0)</f>
        <v>0</v>
      </c>
      <c r="U202" s="14" cm="1">
        <f t="array" ref="U202">INT(SUMPRODUCT(--ISNUMBER(SEARCH(climate,C202)))&gt;0)</f>
        <v>0</v>
      </c>
      <c r="V202" s="14" cm="1">
        <f t="array" ref="V202">INT(SUMPRODUCT(--ISNUMBER(SEARCH(abortion,C202)))&gt;0)</f>
        <v>0</v>
      </c>
      <c r="W202" s="14" cm="1">
        <f t="array" ref="W202">INT(SUMPRODUCT(--ISNUMBER(SEARCH(trump,C202)))&gt;0)</f>
        <v>0</v>
      </c>
      <c r="X202" s="14" cm="1">
        <f t="array" ref="X202">INT(SUMPRODUCT(--ISNUMBER(SEARCH(voting,C202)))&gt;0)</f>
        <v>1</v>
      </c>
      <c r="Y202" s="35" cm="1">
        <f t="array" ref="Y202">INT(SUMPRODUCT(--ISNUMBER(SEARCH(republicantrigger,C202)))&gt;0)</f>
        <v>1</v>
      </c>
      <c r="Z202" s="35" cm="1">
        <f t="array" ref="Z202">INT(SUMPRODUCT(--ISNUMBER(SEARCH(bipartisan,C202)))&gt;0)</f>
        <v>0</v>
      </c>
      <c r="AA202" s="35">
        <f t="shared" si="3"/>
        <v>0</v>
      </c>
      <c r="AB202" s="14"/>
      <c r="AC202" s="30" t="s">
        <v>223</v>
      </c>
      <c r="AD202" s="37" t="s">
        <v>223</v>
      </c>
    </row>
    <row r="203" spans="1:30" x14ac:dyDescent="0.25">
      <c r="A203" s="36">
        <v>3170</v>
      </c>
      <c r="B203" s="14" t="s">
        <v>6365</v>
      </c>
      <c r="C203" s="14" t="s">
        <v>6366</v>
      </c>
      <c r="D203" s="17">
        <v>44113</v>
      </c>
      <c r="E203" s="14" t="s">
        <v>30</v>
      </c>
      <c r="F203" s="14">
        <v>21</v>
      </c>
      <c r="G203" s="14">
        <v>7</v>
      </c>
      <c r="H203" s="14">
        <v>14</v>
      </c>
      <c r="I203" s="14">
        <v>7</v>
      </c>
      <c r="J203" s="14" t="s">
        <v>31</v>
      </c>
      <c r="K203" s="14" cm="1">
        <f t="array" ref="K203">INT(SUMPRODUCT(--ISNUMBER(SEARCH(economy,C203)))&gt;0)</f>
        <v>0</v>
      </c>
      <c r="L203" s="14" cm="1">
        <f t="array" ref="L203">INT(SUMPRODUCT(--ISNUMBER(SEARCH(healthcare,C203)))&gt;0)</f>
        <v>0</v>
      </c>
      <c r="M203" s="14" cm="1">
        <f t="array" ref="M203">INT(SUMPRODUCT(--ISNUMBER(SEARCH(supreme,C203)))&gt;0)</f>
        <v>0</v>
      </c>
      <c r="N203" s="14" cm="1">
        <f t="array" ref="N203">INT(SUMPRODUCT(--ISNUMBER(SEARCH(covid,C203)))&gt;0)</f>
        <v>0</v>
      </c>
      <c r="O203" s="14" cm="1">
        <f t="array" ref="O203">INT(SUMPRODUCT(--ISNUMBER(SEARCH(violent,C203)))&gt;0)</f>
        <v>0</v>
      </c>
      <c r="P203" s="14" cm="1">
        <f t="array" ref="P203">INT(SUMPRODUCT(--ISNUMBER(SEARCH(foreign,C203)))&gt;0)</f>
        <v>0</v>
      </c>
      <c r="Q203" s="14" cm="1">
        <f t="array" ref="Q203">INT(SUMPRODUCT(--ISNUMBER(SEARCH(gun,C203)))&gt;0)</f>
        <v>0</v>
      </c>
      <c r="R203" s="14" cm="1">
        <f t="array" ref="R203">INT(SUMPRODUCT(--ISNUMBER(SEARCH(race,C203)))&gt;0)</f>
        <v>0</v>
      </c>
      <c r="S203" s="14" cm="1">
        <f t="array" ref="S203">INT(SUMPRODUCT(--ISNUMBER(SEARCH(immigration,C203)))&gt;0)</f>
        <v>0</v>
      </c>
      <c r="T203" s="14" cm="1">
        <f t="array" ref="T203">INT(SUMPRODUCT(--ISNUMBER(SEARCH(econineq,C204)))&gt;0)</f>
        <v>0</v>
      </c>
      <c r="U203" s="14" cm="1">
        <f t="array" ref="U203">INT(SUMPRODUCT(--ISNUMBER(SEARCH(climate,C203)))&gt;0)</f>
        <v>0</v>
      </c>
      <c r="V203" s="14" cm="1">
        <f t="array" ref="V203">INT(SUMPRODUCT(--ISNUMBER(SEARCH(abortion,C203)))&gt;0)</f>
        <v>0</v>
      </c>
      <c r="W203" s="14" cm="1">
        <f t="array" ref="W203">INT(SUMPRODUCT(--ISNUMBER(SEARCH(trump,C203)))&gt;0)</f>
        <v>0</v>
      </c>
      <c r="X203" s="14" cm="1">
        <f t="array" ref="X203">INT(SUMPRODUCT(--ISNUMBER(SEARCH(voting,C203)))&gt;0)</f>
        <v>1</v>
      </c>
      <c r="Y203" s="35" cm="1">
        <f t="array" ref="Y203">INT(SUMPRODUCT(--ISNUMBER(SEARCH(republicantrigger,C203)))&gt;0)</f>
        <v>1</v>
      </c>
      <c r="Z203" s="35" cm="1">
        <f t="array" ref="Z203">INT(SUMPRODUCT(--ISNUMBER(SEARCH(bipartisan,C203)))&gt;0)</f>
        <v>0</v>
      </c>
      <c r="AA203" s="35">
        <f t="shared" si="3"/>
        <v>0</v>
      </c>
      <c r="AB203" s="14"/>
      <c r="AC203" s="30" t="s">
        <v>223</v>
      </c>
      <c r="AD203" s="37" t="s">
        <v>223</v>
      </c>
    </row>
    <row r="204" spans="1:30" x14ac:dyDescent="0.25">
      <c r="A204" s="36">
        <v>3171</v>
      </c>
      <c r="B204" s="14" t="s">
        <v>6367</v>
      </c>
      <c r="C204" s="14" t="s">
        <v>6368</v>
      </c>
      <c r="D204" s="17">
        <v>44113</v>
      </c>
      <c r="E204" s="14" t="s">
        <v>30</v>
      </c>
      <c r="F204" s="14">
        <v>25</v>
      </c>
      <c r="G204" s="14">
        <v>19</v>
      </c>
      <c r="H204" s="14">
        <v>14</v>
      </c>
      <c r="I204" s="14">
        <v>7</v>
      </c>
      <c r="J204" s="14" t="s">
        <v>31</v>
      </c>
      <c r="K204" s="14" cm="1">
        <f t="array" ref="K204">INT(SUMPRODUCT(--ISNUMBER(SEARCH(economy,C204)))&gt;0)</f>
        <v>0</v>
      </c>
      <c r="L204" s="14" cm="1">
        <f t="array" ref="L204">INT(SUMPRODUCT(--ISNUMBER(SEARCH(healthcare,C204)))&gt;0)</f>
        <v>0</v>
      </c>
      <c r="M204" s="14" cm="1">
        <f t="array" ref="M204">INT(SUMPRODUCT(--ISNUMBER(SEARCH(supreme,C204)))&gt;0)</f>
        <v>0</v>
      </c>
      <c r="N204" s="14" cm="1">
        <f t="array" ref="N204">INT(SUMPRODUCT(--ISNUMBER(SEARCH(covid,C204)))&gt;0)</f>
        <v>0</v>
      </c>
      <c r="O204" s="14" cm="1">
        <f t="array" ref="O204">INT(SUMPRODUCT(--ISNUMBER(SEARCH(violent,C204)))&gt;0)</f>
        <v>0</v>
      </c>
      <c r="P204" s="14" cm="1">
        <f t="array" ref="P204">INT(SUMPRODUCT(--ISNUMBER(SEARCH(foreign,C204)))&gt;0)</f>
        <v>0</v>
      </c>
      <c r="Q204" s="14" cm="1">
        <f t="array" ref="Q204">INT(SUMPRODUCT(--ISNUMBER(SEARCH(gun,C204)))&gt;0)</f>
        <v>0</v>
      </c>
      <c r="R204" s="14" cm="1">
        <f t="array" ref="R204">INT(SUMPRODUCT(--ISNUMBER(SEARCH(race,C204)))&gt;0)</f>
        <v>0</v>
      </c>
      <c r="S204" s="14" cm="1">
        <f t="array" ref="S204">INT(SUMPRODUCT(--ISNUMBER(SEARCH(immigration,C204)))&gt;0)</f>
        <v>0</v>
      </c>
      <c r="T204" s="14" cm="1">
        <f t="array" ref="T204">INT(SUMPRODUCT(--ISNUMBER(SEARCH(econineq,C205)))&gt;0)</f>
        <v>0</v>
      </c>
      <c r="U204" s="14" cm="1">
        <f t="array" ref="U204">INT(SUMPRODUCT(--ISNUMBER(SEARCH(climate,C204)))&gt;0)</f>
        <v>0</v>
      </c>
      <c r="V204" s="14" cm="1">
        <f t="array" ref="V204">INT(SUMPRODUCT(--ISNUMBER(SEARCH(abortion,C204)))&gt;0)</f>
        <v>0</v>
      </c>
      <c r="W204" s="14" cm="1">
        <f t="array" ref="W204">INT(SUMPRODUCT(--ISNUMBER(SEARCH(trump,C204)))&gt;0)</f>
        <v>1</v>
      </c>
      <c r="X204" s="14" cm="1">
        <f t="array" ref="X204">INT(SUMPRODUCT(--ISNUMBER(SEARCH(voting,C204)))&gt;0)</f>
        <v>1</v>
      </c>
      <c r="Y204" s="35" cm="1">
        <f t="array" ref="Y204">INT(SUMPRODUCT(--ISNUMBER(SEARCH(republicantrigger,C204)))&gt;0)</f>
        <v>1</v>
      </c>
      <c r="Z204" s="35" cm="1">
        <f t="array" ref="Z204">INT(SUMPRODUCT(--ISNUMBER(SEARCH(bipartisan,C204)))&gt;0)</f>
        <v>0</v>
      </c>
      <c r="AA204" s="35">
        <f t="shared" si="3"/>
        <v>0</v>
      </c>
      <c r="AB204" s="14"/>
      <c r="AC204" s="30" t="s">
        <v>223</v>
      </c>
      <c r="AD204" s="37" t="s">
        <v>223</v>
      </c>
    </row>
    <row r="205" spans="1:30" x14ac:dyDescent="0.25">
      <c r="A205" s="36">
        <v>3172</v>
      </c>
      <c r="B205" s="14" t="s">
        <v>6369</v>
      </c>
      <c r="C205" s="14" t="s">
        <v>6370</v>
      </c>
      <c r="D205" s="17">
        <v>44113</v>
      </c>
      <c r="E205" s="14" t="s">
        <v>30</v>
      </c>
      <c r="F205" s="14">
        <v>9</v>
      </c>
      <c r="G205" s="14">
        <v>5</v>
      </c>
      <c r="H205" s="14">
        <v>14</v>
      </c>
      <c r="I205" s="14">
        <v>7</v>
      </c>
      <c r="J205" s="14" t="s">
        <v>31</v>
      </c>
      <c r="K205" s="14" cm="1">
        <f t="array" ref="K205">INT(SUMPRODUCT(--ISNUMBER(SEARCH(economy,C205)))&gt;0)</f>
        <v>0</v>
      </c>
      <c r="L205" s="14" cm="1">
        <f t="array" ref="L205">INT(SUMPRODUCT(--ISNUMBER(SEARCH(healthcare,C205)))&gt;0)</f>
        <v>0</v>
      </c>
      <c r="M205" s="14" cm="1">
        <f t="array" ref="M205">INT(SUMPRODUCT(--ISNUMBER(SEARCH(supreme,C205)))&gt;0)</f>
        <v>0</v>
      </c>
      <c r="N205" s="14" cm="1">
        <f t="array" ref="N205">INT(SUMPRODUCT(--ISNUMBER(SEARCH(covid,C205)))&gt;0)</f>
        <v>0</v>
      </c>
      <c r="O205" s="14" cm="1">
        <f t="array" ref="O205">INT(SUMPRODUCT(--ISNUMBER(SEARCH(violent,C205)))&gt;0)</f>
        <v>0</v>
      </c>
      <c r="P205" s="14" cm="1">
        <f t="array" ref="P205">INT(SUMPRODUCT(--ISNUMBER(SEARCH(foreign,C205)))&gt;0)</f>
        <v>0</v>
      </c>
      <c r="Q205" s="14" cm="1">
        <f t="array" ref="Q205">INT(SUMPRODUCT(--ISNUMBER(SEARCH(gun,C205)))&gt;0)</f>
        <v>0</v>
      </c>
      <c r="R205" s="14" cm="1">
        <f t="array" ref="R205">INT(SUMPRODUCT(--ISNUMBER(SEARCH(race,C205)))&gt;0)</f>
        <v>0</v>
      </c>
      <c r="S205" s="14" cm="1">
        <f t="array" ref="S205">INT(SUMPRODUCT(--ISNUMBER(SEARCH(immigration,C205)))&gt;0)</f>
        <v>0</v>
      </c>
      <c r="T205" s="14" cm="1">
        <f t="array" ref="T205">INT(SUMPRODUCT(--ISNUMBER(SEARCH(econineq,C206)))&gt;0)</f>
        <v>0</v>
      </c>
      <c r="U205" s="14" cm="1">
        <f t="array" ref="U205">INT(SUMPRODUCT(--ISNUMBER(SEARCH(climate,C205)))&gt;0)</f>
        <v>0</v>
      </c>
      <c r="V205" s="14" cm="1">
        <f t="array" ref="V205">INT(SUMPRODUCT(--ISNUMBER(SEARCH(abortion,C205)))&gt;0)</f>
        <v>0</v>
      </c>
      <c r="W205" s="14" cm="1">
        <f t="array" ref="W205">INT(SUMPRODUCT(--ISNUMBER(SEARCH(trump,C205)))&gt;0)</f>
        <v>0</v>
      </c>
      <c r="X205" s="14" cm="1">
        <f t="array" ref="X205">INT(SUMPRODUCT(--ISNUMBER(SEARCH(voting,C205)))&gt;0)</f>
        <v>0</v>
      </c>
      <c r="Y205" s="35" cm="1">
        <f t="array" ref="Y205">INT(SUMPRODUCT(--ISNUMBER(SEARCH(republicantrigger,C205)))&gt;0)</f>
        <v>0</v>
      </c>
      <c r="Z205" s="35" cm="1">
        <f t="array" ref="Z205">INT(SUMPRODUCT(--ISNUMBER(SEARCH(bipartisan,C205)))&gt;0)</f>
        <v>0</v>
      </c>
      <c r="AA205" s="35">
        <f t="shared" si="3"/>
        <v>1</v>
      </c>
      <c r="AB205" s="14"/>
      <c r="AC205" s="30" t="s">
        <v>223</v>
      </c>
      <c r="AD205" s="37" t="s">
        <v>223</v>
      </c>
    </row>
    <row r="206" spans="1:30" x14ac:dyDescent="0.25">
      <c r="A206" s="36">
        <v>3173</v>
      </c>
      <c r="B206" s="14" t="s">
        <v>6371</v>
      </c>
      <c r="C206" s="14" t="s">
        <v>6372</v>
      </c>
      <c r="D206" s="17">
        <v>44112</v>
      </c>
      <c r="E206" s="14" t="s">
        <v>30</v>
      </c>
      <c r="F206" s="14">
        <v>16</v>
      </c>
      <c r="G206" s="14">
        <v>5</v>
      </c>
      <c r="H206" s="14">
        <v>14</v>
      </c>
      <c r="I206" s="14">
        <v>7</v>
      </c>
      <c r="J206" s="14" t="s">
        <v>31</v>
      </c>
      <c r="K206" s="14" cm="1">
        <f t="array" ref="K206">INT(SUMPRODUCT(--ISNUMBER(SEARCH(economy,C206)))&gt;0)</f>
        <v>0</v>
      </c>
      <c r="L206" s="14" cm="1">
        <f t="array" ref="L206">INT(SUMPRODUCT(--ISNUMBER(SEARCH(healthcare,C206)))&gt;0)</f>
        <v>0</v>
      </c>
      <c r="M206" s="14" cm="1">
        <f t="array" ref="M206">INT(SUMPRODUCT(--ISNUMBER(SEARCH(supreme,C206)))&gt;0)</f>
        <v>0</v>
      </c>
      <c r="N206" s="14" cm="1">
        <f t="array" ref="N206">INT(SUMPRODUCT(--ISNUMBER(SEARCH(covid,C206)))&gt;0)</f>
        <v>0</v>
      </c>
      <c r="O206" s="14" cm="1">
        <f t="array" ref="O206">INT(SUMPRODUCT(--ISNUMBER(SEARCH(violent,C206)))&gt;0)</f>
        <v>0</v>
      </c>
      <c r="P206" s="14" cm="1">
        <f t="array" ref="P206">INT(SUMPRODUCT(--ISNUMBER(SEARCH(foreign,C206)))&gt;0)</f>
        <v>0</v>
      </c>
      <c r="Q206" s="14" cm="1">
        <f t="array" ref="Q206">INT(SUMPRODUCT(--ISNUMBER(SEARCH(gun,C206)))&gt;0)</f>
        <v>0</v>
      </c>
      <c r="R206" s="14" cm="1">
        <f t="array" ref="R206">INT(SUMPRODUCT(--ISNUMBER(SEARCH(race,C206)))&gt;0)</f>
        <v>0</v>
      </c>
      <c r="S206" s="14" cm="1">
        <f t="array" ref="S206">INT(SUMPRODUCT(--ISNUMBER(SEARCH(immigration,C206)))&gt;0)</f>
        <v>0</v>
      </c>
      <c r="T206" s="14" cm="1">
        <f t="array" ref="T206">INT(SUMPRODUCT(--ISNUMBER(SEARCH(econineq,C207)))&gt;0)</f>
        <v>0</v>
      </c>
      <c r="U206" s="14" cm="1">
        <f t="array" ref="U206">INT(SUMPRODUCT(--ISNUMBER(SEARCH(climate,C206)))&gt;0)</f>
        <v>0</v>
      </c>
      <c r="V206" s="14" cm="1">
        <f t="array" ref="V206">INT(SUMPRODUCT(--ISNUMBER(SEARCH(abortion,C206)))&gt;0)</f>
        <v>0</v>
      </c>
      <c r="W206" s="14" cm="1">
        <f t="array" ref="W206">INT(SUMPRODUCT(--ISNUMBER(SEARCH(trump,C206)))&gt;0)</f>
        <v>0</v>
      </c>
      <c r="X206" s="14" cm="1">
        <f t="array" ref="X206">INT(SUMPRODUCT(--ISNUMBER(SEARCH(voting,C206)))&gt;0)</f>
        <v>0</v>
      </c>
      <c r="Y206" s="35" cm="1">
        <f t="array" ref="Y206">INT(SUMPRODUCT(--ISNUMBER(SEARCH(republicantrigger,C206)))&gt;0)</f>
        <v>1</v>
      </c>
      <c r="Z206" s="35" cm="1">
        <f t="array" ref="Z206">INT(SUMPRODUCT(--ISNUMBER(SEARCH(bipartisan,C206)))&gt;0)</f>
        <v>0</v>
      </c>
      <c r="AA206" s="35">
        <f t="shared" si="3"/>
        <v>0</v>
      </c>
      <c r="AB206" s="14"/>
      <c r="AC206" s="30" t="s">
        <v>223</v>
      </c>
      <c r="AD206" s="37" t="s">
        <v>223</v>
      </c>
    </row>
    <row r="207" spans="1:30" x14ac:dyDescent="0.25">
      <c r="A207" s="36">
        <v>3174</v>
      </c>
      <c r="B207" s="14" t="s">
        <v>6373</v>
      </c>
      <c r="C207" s="14" t="s">
        <v>6374</v>
      </c>
      <c r="D207" s="17">
        <v>44112</v>
      </c>
      <c r="E207" s="14" t="s">
        <v>30</v>
      </c>
      <c r="F207" s="14">
        <v>16</v>
      </c>
      <c r="G207" s="14">
        <v>9</v>
      </c>
      <c r="H207" s="14">
        <v>14</v>
      </c>
      <c r="I207" s="14">
        <v>7</v>
      </c>
      <c r="J207" s="14" t="s">
        <v>31</v>
      </c>
      <c r="K207" s="14" cm="1">
        <f t="array" ref="K207">INT(SUMPRODUCT(--ISNUMBER(SEARCH(economy,C207)))&gt;0)</f>
        <v>0</v>
      </c>
      <c r="L207" s="14" cm="1">
        <f t="array" ref="L207">INT(SUMPRODUCT(--ISNUMBER(SEARCH(healthcare,C207)))&gt;0)</f>
        <v>0</v>
      </c>
      <c r="M207" s="14" cm="1">
        <f t="array" ref="M207">INT(SUMPRODUCT(--ISNUMBER(SEARCH(supreme,C207)))&gt;0)</f>
        <v>1</v>
      </c>
      <c r="N207" s="14" cm="1">
        <f t="array" ref="N207">INT(SUMPRODUCT(--ISNUMBER(SEARCH(covid,C207)))&gt;0)</f>
        <v>0</v>
      </c>
      <c r="O207" s="14" cm="1">
        <f t="array" ref="O207">INT(SUMPRODUCT(--ISNUMBER(SEARCH(violent,C207)))&gt;0)</f>
        <v>0</v>
      </c>
      <c r="P207" s="14" cm="1">
        <f t="array" ref="P207">INT(SUMPRODUCT(--ISNUMBER(SEARCH(foreign,C207)))&gt;0)</f>
        <v>0</v>
      </c>
      <c r="Q207" s="14" cm="1">
        <f t="array" ref="Q207">INT(SUMPRODUCT(--ISNUMBER(SEARCH(gun,C207)))&gt;0)</f>
        <v>0</v>
      </c>
      <c r="R207" s="14" cm="1">
        <f t="array" ref="R207">INT(SUMPRODUCT(--ISNUMBER(SEARCH(race,C207)))&gt;0)</f>
        <v>0</v>
      </c>
      <c r="S207" s="14" cm="1">
        <f t="array" ref="S207">INT(SUMPRODUCT(--ISNUMBER(SEARCH(immigration,C207)))&gt;0)</f>
        <v>0</v>
      </c>
      <c r="T207" s="14" cm="1">
        <f t="array" ref="T207">INT(SUMPRODUCT(--ISNUMBER(SEARCH(econineq,C208)))&gt;0)</f>
        <v>0</v>
      </c>
      <c r="U207" s="14" cm="1">
        <f t="array" ref="U207">INT(SUMPRODUCT(--ISNUMBER(SEARCH(climate,C207)))&gt;0)</f>
        <v>0</v>
      </c>
      <c r="V207" s="14" cm="1">
        <f t="array" ref="V207">INT(SUMPRODUCT(--ISNUMBER(SEARCH(abortion,C207)))&gt;0)</f>
        <v>0</v>
      </c>
      <c r="W207" s="14" cm="1">
        <f t="array" ref="W207">INT(SUMPRODUCT(--ISNUMBER(SEARCH(trump,C207)))&gt;0)</f>
        <v>0</v>
      </c>
      <c r="X207" s="14" cm="1">
        <f t="array" ref="X207">INT(SUMPRODUCT(--ISNUMBER(SEARCH(voting,C207)))&gt;0)</f>
        <v>0</v>
      </c>
      <c r="Y207" s="35" cm="1">
        <f t="array" ref="Y207">INT(SUMPRODUCT(--ISNUMBER(SEARCH(republicantrigger,C207)))&gt;0)</f>
        <v>1</v>
      </c>
      <c r="Z207" s="35" cm="1">
        <f t="array" ref="Z207">INT(SUMPRODUCT(--ISNUMBER(SEARCH(bipartisan,C207)))&gt;0)</f>
        <v>1</v>
      </c>
      <c r="AA207" s="35">
        <f t="shared" si="3"/>
        <v>0</v>
      </c>
      <c r="AB207" s="14"/>
      <c r="AC207" s="30" t="s">
        <v>223</v>
      </c>
      <c r="AD207" s="37" t="s">
        <v>223</v>
      </c>
    </row>
    <row r="208" spans="1:30" x14ac:dyDescent="0.25">
      <c r="A208" s="36">
        <v>3175</v>
      </c>
      <c r="B208" s="14" t="s">
        <v>6375</v>
      </c>
      <c r="C208" s="14" t="s">
        <v>6376</v>
      </c>
      <c r="D208" s="17">
        <v>44112</v>
      </c>
      <c r="E208" s="14" t="s">
        <v>30</v>
      </c>
      <c r="F208" s="14">
        <v>27</v>
      </c>
      <c r="G208" s="14">
        <v>19</v>
      </c>
      <c r="H208" s="14">
        <v>14</v>
      </c>
      <c r="I208" s="14">
        <v>7</v>
      </c>
      <c r="J208" s="14" t="s">
        <v>31</v>
      </c>
      <c r="K208" s="14" cm="1">
        <f t="array" ref="K208">INT(SUMPRODUCT(--ISNUMBER(SEARCH(economy,C208)))&gt;0)</f>
        <v>0</v>
      </c>
      <c r="L208" s="14" cm="1">
        <f t="array" ref="L208">INT(SUMPRODUCT(--ISNUMBER(SEARCH(healthcare,C208)))&gt;0)</f>
        <v>0</v>
      </c>
      <c r="M208" s="14" cm="1">
        <f t="array" ref="M208">INT(SUMPRODUCT(--ISNUMBER(SEARCH(supreme,C208)))&gt;0)</f>
        <v>0</v>
      </c>
      <c r="N208" s="14" cm="1">
        <f t="array" ref="N208">INT(SUMPRODUCT(--ISNUMBER(SEARCH(covid,C208)))&gt;0)</f>
        <v>0</v>
      </c>
      <c r="O208" s="14" cm="1">
        <f t="array" ref="O208">INT(SUMPRODUCT(--ISNUMBER(SEARCH(violent,C208)))&gt;0)</f>
        <v>0</v>
      </c>
      <c r="P208" s="14" cm="1">
        <f t="array" ref="P208">INT(SUMPRODUCT(--ISNUMBER(SEARCH(foreign,C208)))&gt;0)</f>
        <v>0</v>
      </c>
      <c r="Q208" s="14" cm="1">
        <f t="array" ref="Q208">INT(SUMPRODUCT(--ISNUMBER(SEARCH(gun,C208)))&gt;0)</f>
        <v>0</v>
      </c>
      <c r="R208" s="14" cm="1">
        <f t="array" ref="R208">INT(SUMPRODUCT(--ISNUMBER(SEARCH(race,C208)))&gt;0)</f>
        <v>0</v>
      </c>
      <c r="S208" s="14" cm="1">
        <f t="array" ref="S208">INT(SUMPRODUCT(--ISNUMBER(SEARCH(immigration,C208)))&gt;0)</f>
        <v>0</v>
      </c>
      <c r="T208" s="14" cm="1">
        <f t="array" ref="T208">INT(SUMPRODUCT(--ISNUMBER(SEARCH(econineq,C209)))&gt;0)</f>
        <v>0</v>
      </c>
      <c r="U208" s="14" cm="1">
        <f t="array" ref="U208">INT(SUMPRODUCT(--ISNUMBER(SEARCH(climate,C208)))&gt;0)</f>
        <v>0</v>
      </c>
      <c r="V208" s="14" cm="1">
        <f t="array" ref="V208">INT(SUMPRODUCT(--ISNUMBER(SEARCH(abortion,C208)))&gt;0)</f>
        <v>0</v>
      </c>
      <c r="W208" s="14" cm="1">
        <f t="array" ref="W208">INT(SUMPRODUCT(--ISNUMBER(SEARCH(trump,C208)))&gt;0)</f>
        <v>0</v>
      </c>
      <c r="X208" s="14" cm="1">
        <f t="array" ref="X208">INT(SUMPRODUCT(--ISNUMBER(SEARCH(voting,C208)))&gt;0)</f>
        <v>0</v>
      </c>
      <c r="Y208" s="35" cm="1">
        <f t="array" ref="Y208">INT(SUMPRODUCT(--ISNUMBER(SEARCH(republicantrigger,C208)))&gt;0)</f>
        <v>0</v>
      </c>
      <c r="Z208" s="35" cm="1">
        <f t="array" ref="Z208">INT(SUMPRODUCT(--ISNUMBER(SEARCH(bipartisan,C208)))&gt;0)</f>
        <v>0</v>
      </c>
      <c r="AA208" s="35">
        <f t="shared" si="3"/>
        <v>1</v>
      </c>
      <c r="AB208" s="14"/>
      <c r="AC208" s="30" t="s">
        <v>223</v>
      </c>
      <c r="AD208" s="37" t="s">
        <v>223</v>
      </c>
    </row>
    <row r="209" spans="1:30" x14ac:dyDescent="0.25">
      <c r="A209" s="36">
        <v>3176</v>
      </c>
      <c r="B209" s="14" t="s">
        <v>6377</v>
      </c>
      <c r="C209" s="14" t="s">
        <v>6378</v>
      </c>
      <c r="D209" s="17">
        <v>44112</v>
      </c>
      <c r="E209" s="14" t="s">
        <v>30</v>
      </c>
      <c r="F209" s="14">
        <v>10</v>
      </c>
      <c r="G209" s="14">
        <v>7</v>
      </c>
      <c r="H209" s="14">
        <v>14</v>
      </c>
      <c r="I209" s="14">
        <v>7</v>
      </c>
      <c r="J209" s="14" t="s">
        <v>31</v>
      </c>
      <c r="K209" s="14" cm="1">
        <f t="array" ref="K209">INT(SUMPRODUCT(--ISNUMBER(SEARCH(economy,C209)))&gt;0)</f>
        <v>0</v>
      </c>
      <c r="L209" s="14" cm="1">
        <f t="array" ref="L209">INT(SUMPRODUCT(--ISNUMBER(SEARCH(healthcare,C209)))&gt;0)</f>
        <v>1</v>
      </c>
      <c r="M209" s="14" cm="1">
        <f t="array" ref="M209">INT(SUMPRODUCT(--ISNUMBER(SEARCH(supreme,C209)))&gt;0)</f>
        <v>0</v>
      </c>
      <c r="N209" s="14" cm="1">
        <f t="array" ref="N209">INT(SUMPRODUCT(--ISNUMBER(SEARCH(covid,C209)))&gt;0)</f>
        <v>0</v>
      </c>
      <c r="O209" s="14" cm="1">
        <f t="array" ref="O209">INT(SUMPRODUCT(--ISNUMBER(SEARCH(violent,C209)))&gt;0)</f>
        <v>0</v>
      </c>
      <c r="P209" s="14" cm="1">
        <f t="array" ref="P209">INT(SUMPRODUCT(--ISNUMBER(SEARCH(foreign,C209)))&gt;0)</f>
        <v>0</v>
      </c>
      <c r="Q209" s="14" cm="1">
        <f t="array" ref="Q209">INT(SUMPRODUCT(--ISNUMBER(SEARCH(gun,C209)))&gt;0)</f>
        <v>0</v>
      </c>
      <c r="R209" s="14" cm="1">
        <f t="array" ref="R209">INT(SUMPRODUCT(--ISNUMBER(SEARCH(race,C209)))&gt;0)</f>
        <v>0</v>
      </c>
      <c r="S209" s="14" cm="1">
        <f t="array" ref="S209">INT(SUMPRODUCT(--ISNUMBER(SEARCH(immigration,C209)))&gt;0)</f>
        <v>0</v>
      </c>
      <c r="T209" s="14" cm="1">
        <f t="array" ref="T209">INT(SUMPRODUCT(--ISNUMBER(SEARCH(econineq,C210)))&gt;0)</f>
        <v>0</v>
      </c>
      <c r="U209" s="14" cm="1">
        <f t="array" ref="U209">INT(SUMPRODUCT(--ISNUMBER(SEARCH(climate,C209)))&gt;0)</f>
        <v>0</v>
      </c>
      <c r="V209" s="14" cm="1">
        <f t="array" ref="V209">INT(SUMPRODUCT(--ISNUMBER(SEARCH(abortion,C209)))&gt;0)</f>
        <v>0</v>
      </c>
      <c r="W209" s="14" cm="1">
        <f t="array" ref="W209">INT(SUMPRODUCT(--ISNUMBER(SEARCH(trump,C209)))&gt;0)</f>
        <v>0</v>
      </c>
      <c r="X209" s="14" cm="1">
        <f t="array" ref="X209">INT(SUMPRODUCT(--ISNUMBER(SEARCH(voting,C209)))&gt;0)</f>
        <v>0</v>
      </c>
      <c r="Y209" s="35" cm="1">
        <f t="array" ref="Y209">INT(SUMPRODUCT(--ISNUMBER(SEARCH(republicantrigger,C209)))&gt;0)</f>
        <v>1</v>
      </c>
      <c r="Z209" s="35" cm="1">
        <f t="array" ref="Z209">INT(SUMPRODUCT(--ISNUMBER(SEARCH(bipartisan,C209)))&gt;0)</f>
        <v>0</v>
      </c>
      <c r="AA209" s="35">
        <f t="shared" si="3"/>
        <v>0</v>
      </c>
      <c r="AB209" s="14"/>
      <c r="AC209" s="30" t="s">
        <v>223</v>
      </c>
      <c r="AD209" s="37" t="s">
        <v>223</v>
      </c>
    </row>
    <row r="210" spans="1:30" x14ac:dyDescent="0.25">
      <c r="A210" s="36">
        <v>3177</v>
      </c>
      <c r="B210" s="14" t="s">
        <v>6379</v>
      </c>
      <c r="C210" s="14" t="s">
        <v>6380</v>
      </c>
      <c r="D210" s="17">
        <v>44112</v>
      </c>
      <c r="E210" s="14" t="s">
        <v>30</v>
      </c>
      <c r="F210" s="14">
        <v>89</v>
      </c>
      <c r="G210" s="14">
        <v>37</v>
      </c>
      <c r="H210" s="14">
        <v>14</v>
      </c>
      <c r="I210" s="14">
        <v>7</v>
      </c>
      <c r="J210" s="14" t="s">
        <v>31</v>
      </c>
      <c r="K210" s="14" cm="1">
        <f t="array" ref="K210">INT(SUMPRODUCT(--ISNUMBER(SEARCH(economy,C210)))&gt;0)</f>
        <v>0</v>
      </c>
      <c r="L210" s="14" cm="1">
        <f t="array" ref="L210">INT(SUMPRODUCT(--ISNUMBER(SEARCH(healthcare,C210)))&gt;0)</f>
        <v>0</v>
      </c>
      <c r="M210" s="14" cm="1">
        <f t="array" ref="M210">INT(SUMPRODUCT(--ISNUMBER(SEARCH(supreme,C210)))&gt;0)</f>
        <v>0</v>
      </c>
      <c r="N210" s="14" cm="1">
        <f t="array" ref="N210">INT(SUMPRODUCT(--ISNUMBER(SEARCH(covid,C210)))&gt;0)</f>
        <v>0</v>
      </c>
      <c r="O210" s="14" cm="1">
        <f t="array" ref="O210">INT(SUMPRODUCT(--ISNUMBER(SEARCH(violent,C210)))&gt;0)</f>
        <v>0</v>
      </c>
      <c r="P210" s="14" cm="1">
        <f t="array" ref="P210">INT(SUMPRODUCT(--ISNUMBER(SEARCH(foreign,C210)))&gt;0)</f>
        <v>0</v>
      </c>
      <c r="Q210" s="14" cm="1">
        <f t="array" ref="Q210">INT(SUMPRODUCT(--ISNUMBER(SEARCH(gun,C210)))&gt;0)</f>
        <v>0</v>
      </c>
      <c r="R210" s="14" cm="1">
        <f t="array" ref="R210">INT(SUMPRODUCT(--ISNUMBER(SEARCH(race,C210)))&gt;0)</f>
        <v>0</v>
      </c>
      <c r="S210" s="14" cm="1">
        <f t="array" ref="S210">INT(SUMPRODUCT(--ISNUMBER(SEARCH(immigration,C210)))&gt;0)</f>
        <v>0</v>
      </c>
      <c r="T210" s="14" cm="1">
        <f t="array" ref="T210">INT(SUMPRODUCT(--ISNUMBER(SEARCH(econineq,C211)))&gt;0)</f>
        <v>0</v>
      </c>
      <c r="U210" s="14" cm="1">
        <f t="array" ref="U210">INT(SUMPRODUCT(--ISNUMBER(SEARCH(climate,C210)))&gt;0)</f>
        <v>0</v>
      </c>
      <c r="V210" s="14" cm="1">
        <f t="array" ref="V210">INT(SUMPRODUCT(--ISNUMBER(SEARCH(abortion,C210)))&gt;0)</f>
        <v>0</v>
      </c>
      <c r="W210" s="14" cm="1">
        <f t="array" ref="W210">INT(SUMPRODUCT(--ISNUMBER(SEARCH(trump,C210)))&gt;0)</f>
        <v>0</v>
      </c>
      <c r="X210" s="14" cm="1">
        <f t="array" ref="X210">INT(SUMPRODUCT(--ISNUMBER(SEARCH(voting,C210)))&gt;0)</f>
        <v>0</v>
      </c>
      <c r="Y210" s="35" cm="1">
        <f t="array" ref="Y210">INT(SUMPRODUCT(--ISNUMBER(SEARCH(republicantrigger,C210)))&gt;0)</f>
        <v>1</v>
      </c>
      <c r="Z210" s="35" cm="1">
        <f t="array" ref="Z210">INT(SUMPRODUCT(--ISNUMBER(SEARCH(bipartisan,C210)))&gt;0)</f>
        <v>0</v>
      </c>
      <c r="AA210" s="35">
        <f t="shared" si="3"/>
        <v>0</v>
      </c>
      <c r="AB210" s="14"/>
      <c r="AC210" s="30" t="s">
        <v>223</v>
      </c>
      <c r="AD210" s="37" t="s">
        <v>223</v>
      </c>
    </row>
    <row r="211" spans="1:30" x14ac:dyDescent="0.25">
      <c r="A211" s="36">
        <v>3178</v>
      </c>
      <c r="B211" s="14" t="s">
        <v>6381</v>
      </c>
      <c r="C211" s="14" t="s">
        <v>6382</v>
      </c>
      <c r="D211" s="17">
        <v>44112</v>
      </c>
      <c r="E211" s="14" t="s">
        <v>30</v>
      </c>
      <c r="F211" s="14">
        <v>14</v>
      </c>
      <c r="G211" s="14">
        <v>7</v>
      </c>
      <c r="H211" s="14">
        <v>14</v>
      </c>
      <c r="I211" s="14">
        <v>7</v>
      </c>
      <c r="J211" s="14" t="s">
        <v>31</v>
      </c>
      <c r="K211" s="14" cm="1">
        <f t="array" ref="K211">INT(SUMPRODUCT(--ISNUMBER(SEARCH(economy,C211)))&gt;0)</f>
        <v>1</v>
      </c>
      <c r="L211" s="14" cm="1">
        <f t="array" ref="L211">INT(SUMPRODUCT(--ISNUMBER(SEARCH(healthcare,C211)))&gt;0)</f>
        <v>0</v>
      </c>
      <c r="M211" s="14" cm="1">
        <f t="array" ref="M211">INT(SUMPRODUCT(--ISNUMBER(SEARCH(supreme,C211)))&gt;0)</f>
        <v>0</v>
      </c>
      <c r="N211" s="14" cm="1">
        <f t="array" ref="N211">INT(SUMPRODUCT(--ISNUMBER(SEARCH(covid,C211)))&gt;0)</f>
        <v>0</v>
      </c>
      <c r="O211" s="14" cm="1">
        <f t="array" ref="O211">INT(SUMPRODUCT(--ISNUMBER(SEARCH(violent,C211)))&gt;0)</f>
        <v>0</v>
      </c>
      <c r="P211" s="14" cm="1">
        <f t="array" ref="P211">INT(SUMPRODUCT(--ISNUMBER(SEARCH(foreign,C211)))&gt;0)</f>
        <v>0</v>
      </c>
      <c r="Q211" s="14" cm="1">
        <f t="array" ref="Q211">INT(SUMPRODUCT(--ISNUMBER(SEARCH(gun,C211)))&gt;0)</f>
        <v>0</v>
      </c>
      <c r="R211" s="14" cm="1">
        <f t="array" ref="R211">INT(SUMPRODUCT(--ISNUMBER(SEARCH(race,C211)))&gt;0)</f>
        <v>0</v>
      </c>
      <c r="S211" s="14" cm="1">
        <f t="array" ref="S211">INT(SUMPRODUCT(--ISNUMBER(SEARCH(immigration,C211)))&gt;0)</f>
        <v>0</v>
      </c>
      <c r="T211" s="14" cm="1">
        <f t="array" ref="T211">INT(SUMPRODUCT(--ISNUMBER(SEARCH(econineq,C212)))&gt;0)</f>
        <v>0</v>
      </c>
      <c r="U211" s="14" cm="1">
        <f t="array" ref="U211">INT(SUMPRODUCT(--ISNUMBER(SEARCH(climate,C211)))&gt;0)</f>
        <v>0</v>
      </c>
      <c r="V211" s="14" cm="1">
        <f t="array" ref="V211">INT(SUMPRODUCT(--ISNUMBER(SEARCH(abortion,C211)))&gt;0)</f>
        <v>0</v>
      </c>
      <c r="W211" s="14" cm="1">
        <f t="array" ref="W211">INT(SUMPRODUCT(--ISNUMBER(SEARCH(trump,C211)))&gt;0)</f>
        <v>0</v>
      </c>
      <c r="X211" s="14" cm="1">
        <f t="array" ref="X211">INT(SUMPRODUCT(--ISNUMBER(SEARCH(voting,C211)))&gt;0)</f>
        <v>1</v>
      </c>
      <c r="Y211" s="35" cm="1">
        <f t="array" ref="Y211">INT(SUMPRODUCT(--ISNUMBER(SEARCH(republicantrigger,C211)))&gt;0)</f>
        <v>1</v>
      </c>
      <c r="Z211" s="35" cm="1">
        <f t="array" ref="Z211">INT(SUMPRODUCT(--ISNUMBER(SEARCH(bipartisan,C211)))&gt;0)</f>
        <v>0</v>
      </c>
      <c r="AA211" s="35">
        <f t="shared" si="3"/>
        <v>0</v>
      </c>
      <c r="AB211" s="14"/>
      <c r="AC211" s="30" t="s">
        <v>223</v>
      </c>
      <c r="AD211" s="37" t="s">
        <v>223</v>
      </c>
    </row>
    <row r="212" spans="1:30" x14ac:dyDescent="0.25">
      <c r="A212" s="36">
        <v>3179</v>
      </c>
      <c r="B212" s="14" t="s">
        <v>6383</v>
      </c>
      <c r="C212" s="14" t="s">
        <v>6384</v>
      </c>
      <c r="D212" s="17">
        <v>44112</v>
      </c>
      <c r="E212" s="14" t="s">
        <v>30</v>
      </c>
      <c r="F212" s="14">
        <v>11</v>
      </c>
      <c r="G212" s="14">
        <v>5</v>
      </c>
      <c r="H212" s="14">
        <v>14</v>
      </c>
      <c r="I212" s="14">
        <v>7</v>
      </c>
      <c r="J212" s="14" t="s">
        <v>31</v>
      </c>
      <c r="K212" s="14" cm="1">
        <f t="array" ref="K212">INT(SUMPRODUCT(--ISNUMBER(SEARCH(economy,C212)))&gt;0)</f>
        <v>1</v>
      </c>
      <c r="L212" s="14" cm="1">
        <f t="array" ref="L212">INT(SUMPRODUCT(--ISNUMBER(SEARCH(healthcare,C212)))&gt;0)</f>
        <v>0</v>
      </c>
      <c r="M212" s="14" cm="1">
        <f t="array" ref="M212">INT(SUMPRODUCT(--ISNUMBER(SEARCH(supreme,C212)))&gt;0)</f>
        <v>0</v>
      </c>
      <c r="N212" s="14" cm="1">
        <f t="array" ref="N212">INT(SUMPRODUCT(--ISNUMBER(SEARCH(covid,C212)))&gt;0)</f>
        <v>0</v>
      </c>
      <c r="O212" s="14" cm="1">
        <f t="array" ref="O212">INT(SUMPRODUCT(--ISNUMBER(SEARCH(violent,C212)))&gt;0)</f>
        <v>0</v>
      </c>
      <c r="P212" s="14" cm="1">
        <f t="array" ref="P212">INT(SUMPRODUCT(--ISNUMBER(SEARCH(foreign,C212)))&gt;0)</f>
        <v>0</v>
      </c>
      <c r="Q212" s="14" cm="1">
        <f t="array" ref="Q212">INT(SUMPRODUCT(--ISNUMBER(SEARCH(gun,C212)))&gt;0)</f>
        <v>0</v>
      </c>
      <c r="R212" s="14" cm="1">
        <f t="array" ref="R212">INT(SUMPRODUCT(--ISNUMBER(SEARCH(race,C212)))&gt;0)</f>
        <v>0</v>
      </c>
      <c r="S212" s="14" cm="1">
        <f t="array" ref="S212">INT(SUMPRODUCT(--ISNUMBER(SEARCH(immigration,C212)))&gt;0)</f>
        <v>0</v>
      </c>
      <c r="T212" s="14" cm="1">
        <f t="array" ref="T212">INT(SUMPRODUCT(--ISNUMBER(SEARCH(econineq,C213)))&gt;0)</f>
        <v>0</v>
      </c>
      <c r="U212" s="14" cm="1">
        <f t="array" ref="U212">INT(SUMPRODUCT(--ISNUMBER(SEARCH(climate,C212)))&gt;0)</f>
        <v>0</v>
      </c>
      <c r="V212" s="14" cm="1">
        <f t="array" ref="V212">INT(SUMPRODUCT(--ISNUMBER(SEARCH(abortion,C212)))&gt;0)</f>
        <v>0</v>
      </c>
      <c r="W212" s="14" cm="1">
        <f t="array" ref="W212">INT(SUMPRODUCT(--ISNUMBER(SEARCH(trump,C212)))&gt;0)</f>
        <v>0</v>
      </c>
      <c r="X212" s="14" cm="1">
        <f t="array" ref="X212">INT(SUMPRODUCT(--ISNUMBER(SEARCH(voting,C212)))&gt;0)</f>
        <v>0</v>
      </c>
      <c r="Y212" s="35" cm="1">
        <f t="array" ref="Y212">INT(SUMPRODUCT(--ISNUMBER(SEARCH(republicantrigger,C212)))&gt;0)</f>
        <v>1</v>
      </c>
      <c r="Z212" s="35" cm="1">
        <f t="array" ref="Z212">INT(SUMPRODUCT(--ISNUMBER(SEARCH(bipartisan,C212)))&gt;0)</f>
        <v>0</v>
      </c>
      <c r="AA212" s="35">
        <f t="shared" si="3"/>
        <v>0</v>
      </c>
      <c r="AB212" s="14"/>
      <c r="AC212" s="30" t="s">
        <v>223</v>
      </c>
      <c r="AD212" s="37" t="s">
        <v>223</v>
      </c>
    </row>
    <row r="213" spans="1:30" x14ac:dyDescent="0.25">
      <c r="A213" s="36">
        <v>3180</v>
      </c>
      <c r="B213" s="14" t="s">
        <v>6385</v>
      </c>
      <c r="C213" s="14" t="s">
        <v>6386</v>
      </c>
      <c r="D213" s="17">
        <v>44112</v>
      </c>
      <c r="E213" s="14" t="s">
        <v>30</v>
      </c>
      <c r="F213" s="14">
        <v>19</v>
      </c>
      <c r="G213" s="14">
        <v>8</v>
      </c>
      <c r="H213" s="14">
        <v>14</v>
      </c>
      <c r="I213" s="14">
        <v>7</v>
      </c>
      <c r="J213" s="14" t="s">
        <v>31</v>
      </c>
      <c r="K213" s="14" cm="1">
        <f t="array" ref="K213">INT(SUMPRODUCT(--ISNUMBER(SEARCH(economy,C213)))&gt;0)</f>
        <v>0</v>
      </c>
      <c r="L213" s="14" cm="1">
        <f t="array" ref="L213">INT(SUMPRODUCT(--ISNUMBER(SEARCH(healthcare,C213)))&gt;0)</f>
        <v>0</v>
      </c>
      <c r="M213" s="14" cm="1">
        <f t="array" ref="M213">INT(SUMPRODUCT(--ISNUMBER(SEARCH(supreme,C213)))&gt;0)</f>
        <v>0</v>
      </c>
      <c r="N213" s="14" cm="1">
        <f t="array" ref="N213">INT(SUMPRODUCT(--ISNUMBER(SEARCH(covid,C213)))&gt;0)</f>
        <v>0</v>
      </c>
      <c r="O213" s="14" cm="1">
        <f t="array" ref="O213">INT(SUMPRODUCT(--ISNUMBER(SEARCH(violent,C213)))&gt;0)</f>
        <v>0</v>
      </c>
      <c r="P213" s="14" cm="1">
        <f t="array" ref="P213">INT(SUMPRODUCT(--ISNUMBER(SEARCH(foreign,C213)))&gt;0)</f>
        <v>0</v>
      </c>
      <c r="Q213" s="14" cm="1">
        <f t="array" ref="Q213">INT(SUMPRODUCT(--ISNUMBER(SEARCH(gun,C213)))&gt;0)</f>
        <v>0</v>
      </c>
      <c r="R213" s="14" cm="1">
        <f t="array" ref="R213">INT(SUMPRODUCT(--ISNUMBER(SEARCH(race,C213)))&gt;0)</f>
        <v>0</v>
      </c>
      <c r="S213" s="14" cm="1">
        <f t="array" ref="S213">INT(SUMPRODUCT(--ISNUMBER(SEARCH(immigration,C213)))&gt;0)</f>
        <v>0</v>
      </c>
      <c r="T213" s="14" cm="1">
        <f t="array" ref="T213">INT(SUMPRODUCT(--ISNUMBER(SEARCH(econineq,C214)))&gt;0)</f>
        <v>0</v>
      </c>
      <c r="U213" s="14" cm="1">
        <f t="array" ref="U213">INT(SUMPRODUCT(--ISNUMBER(SEARCH(climate,C213)))&gt;0)</f>
        <v>0</v>
      </c>
      <c r="V213" s="14" cm="1">
        <f t="array" ref="V213">INT(SUMPRODUCT(--ISNUMBER(SEARCH(abortion,C213)))&gt;0)</f>
        <v>0</v>
      </c>
      <c r="W213" s="14" cm="1">
        <f t="array" ref="W213">INT(SUMPRODUCT(--ISNUMBER(SEARCH(trump,C213)))&gt;0)</f>
        <v>0</v>
      </c>
      <c r="X213" s="14" cm="1">
        <f t="array" ref="X213">INT(SUMPRODUCT(--ISNUMBER(SEARCH(voting,C213)))&gt;0)</f>
        <v>1</v>
      </c>
      <c r="Y213" s="35" cm="1">
        <f t="array" ref="Y213">INT(SUMPRODUCT(--ISNUMBER(SEARCH(republicantrigger,C213)))&gt;0)</f>
        <v>1</v>
      </c>
      <c r="Z213" s="35" cm="1">
        <f t="array" ref="Z213">INT(SUMPRODUCT(--ISNUMBER(SEARCH(bipartisan,C213)))&gt;0)</f>
        <v>0</v>
      </c>
      <c r="AA213" s="35">
        <f t="shared" si="3"/>
        <v>0</v>
      </c>
      <c r="AB213" s="14"/>
      <c r="AC213" s="30" t="s">
        <v>223</v>
      </c>
      <c r="AD213" s="37" t="s">
        <v>223</v>
      </c>
    </row>
    <row r="214" spans="1:30" x14ac:dyDescent="0.25">
      <c r="A214" s="36">
        <v>3181</v>
      </c>
      <c r="B214" s="14" t="s">
        <v>6387</v>
      </c>
      <c r="C214" s="14" t="s">
        <v>6388</v>
      </c>
      <c r="D214" s="17">
        <v>44112</v>
      </c>
      <c r="E214" s="14" t="s">
        <v>30</v>
      </c>
      <c r="F214" s="14">
        <v>19</v>
      </c>
      <c r="G214" s="14">
        <v>15</v>
      </c>
      <c r="H214" s="14">
        <v>14</v>
      </c>
      <c r="I214" s="14">
        <v>7</v>
      </c>
      <c r="J214" s="14" t="s">
        <v>31</v>
      </c>
      <c r="K214" s="14" cm="1">
        <f t="array" ref="K214">INT(SUMPRODUCT(--ISNUMBER(SEARCH(economy,C214)))&gt;0)</f>
        <v>0</v>
      </c>
      <c r="L214" s="14" cm="1">
        <f t="array" ref="L214">INT(SUMPRODUCT(--ISNUMBER(SEARCH(healthcare,C214)))&gt;0)</f>
        <v>0</v>
      </c>
      <c r="M214" s="14" cm="1">
        <f t="array" ref="M214">INT(SUMPRODUCT(--ISNUMBER(SEARCH(supreme,C214)))&gt;0)</f>
        <v>0</v>
      </c>
      <c r="N214" s="14" cm="1">
        <f t="array" ref="N214">INT(SUMPRODUCT(--ISNUMBER(SEARCH(covid,C214)))&gt;0)</f>
        <v>1</v>
      </c>
      <c r="O214" s="14" cm="1">
        <f t="array" ref="O214">INT(SUMPRODUCT(--ISNUMBER(SEARCH(violent,C214)))&gt;0)</f>
        <v>0</v>
      </c>
      <c r="P214" s="14" cm="1">
        <f t="array" ref="P214">INT(SUMPRODUCT(--ISNUMBER(SEARCH(foreign,C214)))&gt;0)</f>
        <v>0</v>
      </c>
      <c r="Q214" s="14" cm="1">
        <f t="array" ref="Q214">INT(SUMPRODUCT(--ISNUMBER(SEARCH(gun,C214)))&gt;0)</f>
        <v>0</v>
      </c>
      <c r="R214" s="14" cm="1">
        <f t="array" ref="R214">INT(SUMPRODUCT(--ISNUMBER(SEARCH(race,C214)))&gt;0)</f>
        <v>0</v>
      </c>
      <c r="S214" s="14" cm="1">
        <f t="array" ref="S214">INT(SUMPRODUCT(--ISNUMBER(SEARCH(immigration,C214)))&gt;0)</f>
        <v>0</v>
      </c>
      <c r="T214" s="14" cm="1">
        <f t="array" ref="T214">INT(SUMPRODUCT(--ISNUMBER(SEARCH(econineq,C215)))&gt;0)</f>
        <v>0</v>
      </c>
      <c r="U214" s="14" cm="1">
        <f t="array" ref="U214">INT(SUMPRODUCT(--ISNUMBER(SEARCH(climate,C214)))&gt;0)</f>
        <v>0</v>
      </c>
      <c r="V214" s="14" cm="1">
        <f t="array" ref="V214">INT(SUMPRODUCT(--ISNUMBER(SEARCH(abortion,C214)))&gt;0)</f>
        <v>0</v>
      </c>
      <c r="W214" s="14" cm="1">
        <f t="array" ref="W214">INT(SUMPRODUCT(--ISNUMBER(SEARCH(trump,C214)))&gt;0)</f>
        <v>0</v>
      </c>
      <c r="X214" s="14" cm="1">
        <f t="array" ref="X214">INT(SUMPRODUCT(--ISNUMBER(SEARCH(voting,C214)))&gt;0)</f>
        <v>0</v>
      </c>
      <c r="Y214" s="35" cm="1">
        <f t="array" ref="Y214">INT(SUMPRODUCT(--ISNUMBER(SEARCH(republicantrigger,C214)))&gt;0)</f>
        <v>1</v>
      </c>
      <c r="Z214" s="35" cm="1">
        <f t="array" ref="Z214">INT(SUMPRODUCT(--ISNUMBER(SEARCH(bipartisan,C214)))&gt;0)</f>
        <v>1</v>
      </c>
      <c r="AA214" s="35">
        <f t="shared" si="3"/>
        <v>0</v>
      </c>
      <c r="AB214" s="14"/>
      <c r="AC214" s="30" t="s">
        <v>223</v>
      </c>
      <c r="AD214" s="37" t="s">
        <v>223</v>
      </c>
    </row>
    <row r="215" spans="1:30" x14ac:dyDescent="0.25">
      <c r="A215" s="36">
        <v>3182</v>
      </c>
      <c r="B215" s="14" t="s">
        <v>6389</v>
      </c>
      <c r="C215" s="14" t="s">
        <v>6390</v>
      </c>
      <c r="D215" s="17">
        <v>44112</v>
      </c>
      <c r="E215" s="14" t="s">
        <v>30</v>
      </c>
      <c r="F215" s="14">
        <v>18</v>
      </c>
      <c r="G215" s="14">
        <v>11</v>
      </c>
      <c r="H215" s="14">
        <v>14</v>
      </c>
      <c r="I215" s="14">
        <v>7</v>
      </c>
      <c r="J215" s="14" t="s">
        <v>31</v>
      </c>
      <c r="K215" s="14" cm="1">
        <f t="array" ref="K215">INT(SUMPRODUCT(--ISNUMBER(SEARCH(economy,C215)))&gt;0)</f>
        <v>0</v>
      </c>
      <c r="L215" s="14" cm="1">
        <f t="array" ref="L215">INT(SUMPRODUCT(--ISNUMBER(SEARCH(healthcare,C215)))&gt;0)</f>
        <v>0</v>
      </c>
      <c r="M215" s="14" cm="1">
        <f t="array" ref="M215">INT(SUMPRODUCT(--ISNUMBER(SEARCH(supreme,C215)))&gt;0)</f>
        <v>0</v>
      </c>
      <c r="N215" s="14" cm="1">
        <f t="array" ref="N215">INT(SUMPRODUCT(--ISNUMBER(SEARCH(covid,C215)))&gt;0)</f>
        <v>1</v>
      </c>
      <c r="O215" s="14" cm="1">
        <f t="array" ref="O215">INT(SUMPRODUCT(--ISNUMBER(SEARCH(violent,C215)))&gt;0)</f>
        <v>0</v>
      </c>
      <c r="P215" s="14" cm="1">
        <f t="array" ref="P215">INT(SUMPRODUCT(--ISNUMBER(SEARCH(foreign,C215)))&gt;0)</f>
        <v>0</v>
      </c>
      <c r="Q215" s="14" cm="1">
        <f t="array" ref="Q215">INT(SUMPRODUCT(--ISNUMBER(SEARCH(gun,C215)))&gt;0)</f>
        <v>0</v>
      </c>
      <c r="R215" s="14" cm="1">
        <f t="array" ref="R215">INT(SUMPRODUCT(--ISNUMBER(SEARCH(race,C215)))&gt;0)</f>
        <v>0</v>
      </c>
      <c r="S215" s="14" cm="1">
        <f t="array" ref="S215">INT(SUMPRODUCT(--ISNUMBER(SEARCH(immigration,C215)))&gt;0)</f>
        <v>0</v>
      </c>
      <c r="T215" s="14" cm="1">
        <f t="array" ref="T215">INT(SUMPRODUCT(--ISNUMBER(SEARCH(econineq,C216)))&gt;0)</f>
        <v>0</v>
      </c>
      <c r="U215" s="14" cm="1">
        <f t="array" ref="U215">INT(SUMPRODUCT(--ISNUMBER(SEARCH(climate,C215)))&gt;0)</f>
        <v>0</v>
      </c>
      <c r="V215" s="14" cm="1">
        <f t="array" ref="V215">INT(SUMPRODUCT(--ISNUMBER(SEARCH(abortion,C215)))&gt;0)</f>
        <v>0</v>
      </c>
      <c r="W215" s="14" cm="1">
        <f t="array" ref="W215">INT(SUMPRODUCT(--ISNUMBER(SEARCH(trump,C215)))&gt;0)</f>
        <v>0</v>
      </c>
      <c r="X215" s="14" cm="1">
        <f t="array" ref="X215">INT(SUMPRODUCT(--ISNUMBER(SEARCH(voting,C215)))&gt;0)</f>
        <v>0</v>
      </c>
      <c r="Y215" s="35" cm="1">
        <f t="array" ref="Y215">INT(SUMPRODUCT(--ISNUMBER(SEARCH(republicantrigger,C215)))&gt;0)</f>
        <v>1</v>
      </c>
      <c r="Z215" s="35" cm="1">
        <f t="array" ref="Z215">INT(SUMPRODUCT(--ISNUMBER(SEARCH(bipartisan,C215)))&gt;0)</f>
        <v>0</v>
      </c>
      <c r="AA215" s="35">
        <f t="shared" si="3"/>
        <v>0</v>
      </c>
      <c r="AB215" s="14"/>
      <c r="AC215" s="30" t="s">
        <v>223</v>
      </c>
      <c r="AD215" s="37" t="s">
        <v>223</v>
      </c>
    </row>
    <row r="216" spans="1:30" x14ac:dyDescent="0.25">
      <c r="A216" s="36">
        <v>3183</v>
      </c>
      <c r="B216" s="14" t="s">
        <v>6391</v>
      </c>
      <c r="C216" s="14" t="s">
        <v>6392</v>
      </c>
      <c r="D216" s="17">
        <v>44112</v>
      </c>
      <c r="E216" s="14" t="s">
        <v>30</v>
      </c>
      <c r="F216" s="14">
        <v>13</v>
      </c>
      <c r="G216" s="14">
        <v>8</v>
      </c>
      <c r="H216" s="14">
        <v>14</v>
      </c>
      <c r="I216" s="14">
        <v>7</v>
      </c>
      <c r="J216" s="14" t="s">
        <v>31</v>
      </c>
      <c r="K216" s="14" cm="1">
        <f t="array" ref="K216">INT(SUMPRODUCT(--ISNUMBER(SEARCH(economy,C216)))&gt;0)</f>
        <v>0</v>
      </c>
      <c r="L216" s="14" cm="1">
        <f t="array" ref="L216">INT(SUMPRODUCT(--ISNUMBER(SEARCH(healthcare,C216)))&gt;0)</f>
        <v>0</v>
      </c>
      <c r="M216" s="14" cm="1">
        <f t="array" ref="M216">INT(SUMPRODUCT(--ISNUMBER(SEARCH(supreme,C216)))&gt;0)</f>
        <v>0</v>
      </c>
      <c r="N216" s="14" cm="1">
        <f t="array" ref="N216">INT(SUMPRODUCT(--ISNUMBER(SEARCH(covid,C216)))&gt;0)</f>
        <v>0</v>
      </c>
      <c r="O216" s="14" cm="1">
        <f t="array" ref="O216">INT(SUMPRODUCT(--ISNUMBER(SEARCH(violent,C216)))&gt;0)</f>
        <v>0</v>
      </c>
      <c r="P216" s="14" cm="1">
        <f t="array" ref="P216">INT(SUMPRODUCT(--ISNUMBER(SEARCH(foreign,C216)))&gt;0)</f>
        <v>0</v>
      </c>
      <c r="Q216" s="14" cm="1">
        <f t="array" ref="Q216">INT(SUMPRODUCT(--ISNUMBER(SEARCH(gun,C216)))&gt;0)</f>
        <v>0</v>
      </c>
      <c r="R216" s="14" cm="1">
        <f t="array" ref="R216">INT(SUMPRODUCT(--ISNUMBER(SEARCH(race,C216)))&gt;0)</f>
        <v>0</v>
      </c>
      <c r="S216" s="14" cm="1">
        <f t="array" ref="S216">INT(SUMPRODUCT(--ISNUMBER(SEARCH(immigration,C216)))&gt;0)</f>
        <v>0</v>
      </c>
      <c r="T216" s="14" cm="1">
        <f t="array" ref="T216">INT(SUMPRODUCT(--ISNUMBER(SEARCH(econineq,C217)))&gt;0)</f>
        <v>0</v>
      </c>
      <c r="U216" s="14" cm="1">
        <f t="array" ref="U216">INT(SUMPRODUCT(--ISNUMBER(SEARCH(climate,C216)))&gt;0)</f>
        <v>0</v>
      </c>
      <c r="V216" s="14" cm="1">
        <f t="array" ref="V216">INT(SUMPRODUCT(--ISNUMBER(SEARCH(abortion,C216)))&gt;0)</f>
        <v>0</v>
      </c>
      <c r="W216" s="14" cm="1">
        <f t="array" ref="W216">INT(SUMPRODUCT(--ISNUMBER(SEARCH(trump,C216)))&gt;0)</f>
        <v>0</v>
      </c>
      <c r="X216" s="14" cm="1">
        <f t="array" ref="X216">INT(SUMPRODUCT(--ISNUMBER(SEARCH(voting,C216)))&gt;0)</f>
        <v>1</v>
      </c>
      <c r="Y216" s="35" cm="1">
        <f t="array" ref="Y216">INT(SUMPRODUCT(--ISNUMBER(SEARCH(republicantrigger,C216)))&gt;0)</f>
        <v>1</v>
      </c>
      <c r="Z216" s="35" cm="1">
        <f t="array" ref="Z216">INT(SUMPRODUCT(--ISNUMBER(SEARCH(bipartisan,C216)))&gt;0)</f>
        <v>0</v>
      </c>
      <c r="AA216" s="35">
        <f t="shared" si="3"/>
        <v>0</v>
      </c>
      <c r="AB216" s="14"/>
      <c r="AC216" s="30" t="s">
        <v>223</v>
      </c>
      <c r="AD216" s="37" t="s">
        <v>223</v>
      </c>
    </row>
    <row r="217" spans="1:30" x14ac:dyDescent="0.25">
      <c r="A217" s="36">
        <v>3184</v>
      </c>
      <c r="B217" s="14" t="s">
        <v>6393</v>
      </c>
      <c r="C217" s="14" t="s">
        <v>6394</v>
      </c>
      <c r="D217" s="17">
        <v>44112</v>
      </c>
      <c r="E217" s="14" t="s">
        <v>30</v>
      </c>
      <c r="F217" s="14">
        <v>22</v>
      </c>
      <c r="G217" s="14">
        <v>8</v>
      </c>
      <c r="H217" s="14">
        <v>14</v>
      </c>
      <c r="I217" s="14">
        <v>7</v>
      </c>
      <c r="J217" s="14" t="s">
        <v>31</v>
      </c>
      <c r="K217" s="14" cm="1">
        <f t="array" ref="K217">INT(SUMPRODUCT(--ISNUMBER(SEARCH(economy,C217)))&gt;0)</f>
        <v>0</v>
      </c>
      <c r="L217" s="14" cm="1">
        <f t="array" ref="L217">INT(SUMPRODUCT(--ISNUMBER(SEARCH(healthcare,C217)))&gt;0)</f>
        <v>0</v>
      </c>
      <c r="M217" s="14" cm="1">
        <f t="array" ref="M217">INT(SUMPRODUCT(--ISNUMBER(SEARCH(supreme,C217)))&gt;0)</f>
        <v>0</v>
      </c>
      <c r="N217" s="14" cm="1">
        <f t="array" ref="N217">INT(SUMPRODUCT(--ISNUMBER(SEARCH(covid,C217)))&gt;0)</f>
        <v>1</v>
      </c>
      <c r="O217" s="14" cm="1">
        <f t="array" ref="O217">INT(SUMPRODUCT(--ISNUMBER(SEARCH(violent,C217)))&gt;0)</f>
        <v>0</v>
      </c>
      <c r="P217" s="14" cm="1">
        <f t="array" ref="P217">INT(SUMPRODUCT(--ISNUMBER(SEARCH(foreign,C217)))&gt;0)</f>
        <v>0</v>
      </c>
      <c r="Q217" s="14" cm="1">
        <f t="array" ref="Q217">INT(SUMPRODUCT(--ISNUMBER(SEARCH(gun,C217)))&gt;0)</f>
        <v>0</v>
      </c>
      <c r="R217" s="14" cm="1">
        <f t="array" ref="R217">INT(SUMPRODUCT(--ISNUMBER(SEARCH(race,C217)))&gt;0)</f>
        <v>0</v>
      </c>
      <c r="S217" s="14" cm="1">
        <f t="array" ref="S217">INT(SUMPRODUCT(--ISNUMBER(SEARCH(immigration,C217)))&gt;0)</f>
        <v>0</v>
      </c>
      <c r="T217" s="14" cm="1">
        <f t="array" ref="T217">INT(SUMPRODUCT(--ISNUMBER(SEARCH(econineq,C218)))&gt;0)</f>
        <v>0</v>
      </c>
      <c r="U217" s="14" cm="1">
        <f t="array" ref="U217">INT(SUMPRODUCT(--ISNUMBER(SEARCH(climate,C217)))&gt;0)</f>
        <v>0</v>
      </c>
      <c r="V217" s="14" cm="1">
        <f t="array" ref="V217">INT(SUMPRODUCT(--ISNUMBER(SEARCH(abortion,C217)))&gt;0)</f>
        <v>0</v>
      </c>
      <c r="W217" s="14" cm="1">
        <f t="array" ref="W217">INT(SUMPRODUCT(--ISNUMBER(SEARCH(trump,C217)))&gt;0)</f>
        <v>0</v>
      </c>
      <c r="X217" s="14" cm="1">
        <f t="array" ref="X217">INT(SUMPRODUCT(--ISNUMBER(SEARCH(voting,C217)))&gt;0)</f>
        <v>0</v>
      </c>
      <c r="Y217" s="35" cm="1">
        <f t="array" ref="Y217">INT(SUMPRODUCT(--ISNUMBER(SEARCH(republicantrigger,C217)))&gt;0)</f>
        <v>1</v>
      </c>
      <c r="Z217" s="35" cm="1">
        <f t="array" ref="Z217">INT(SUMPRODUCT(--ISNUMBER(SEARCH(bipartisan,C217)))&gt;0)</f>
        <v>0</v>
      </c>
      <c r="AA217" s="35">
        <f t="shared" si="3"/>
        <v>0</v>
      </c>
      <c r="AB217" s="14"/>
      <c r="AC217" s="30" t="s">
        <v>223</v>
      </c>
      <c r="AD217" s="37" t="s">
        <v>223</v>
      </c>
    </row>
    <row r="218" spans="1:30" x14ac:dyDescent="0.25">
      <c r="A218" s="36">
        <v>3185</v>
      </c>
      <c r="B218" s="14" t="s">
        <v>6395</v>
      </c>
      <c r="C218" s="14" t="s">
        <v>6396</v>
      </c>
      <c r="D218" s="17">
        <v>44112</v>
      </c>
      <c r="E218" s="14" t="s">
        <v>30</v>
      </c>
      <c r="F218" s="14">
        <v>12</v>
      </c>
      <c r="G218" s="14">
        <v>2</v>
      </c>
      <c r="H218" s="14">
        <v>14</v>
      </c>
      <c r="I218" s="14">
        <v>7</v>
      </c>
      <c r="J218" s="14" t="s">
        <v>31</v>
      </c>
      <c r="K218" s="14" cm="1">
        <f t="array" ref="K218">INT(SUMPRODUCT(--ISNUMBER(SEARCH(economy,C218)))&gt;0)</f>
        <v>0</v>
      </c>
      <c r="L218" s="14" cm="1">
        <f t="array" ref="L218">INT(SUMPRODUCT(--ISNUMBER(SEARCH(healthcare,C218)))&gt;0)</f>
        <v>0</v>
      </c>
      <c r="M218" s="14" cm="1">
        <f t="array" ref="M218">INT(SUMPRODUCT(--ISNUMBER(SEARCH(supreme,C218)))&gt;0)</f>
        <v>0</v>
      </c>
      <c r="N218" s="14" cm="1">
        <f t="array" ref="N218">INT(SUMPRODUCT(--ISNUMBER(SEARCH(covid,C218)))&gt;0)</f>
        <v>0</v>
      </c>
      <c r="O218" s="14" cm="1">
        <f t="array" ref="O218">INT(SUMPRODUCT(--ISNUMBER(SEARCH(violent,C218)))&gt;0)</f>
        <v>0</v>
      </c>
      <c r="P218" s="14" cm="1">
        <f t="array" ref="P218">INT(SUMPRODUCT(--ISNUMBER(SEARCH(foreign,C218)))&gt;0)</f>
        <v>0</v>
      </c>
      <c r="Q218" s="14" cm="1">
        <f t="array" ref="Q218">INT(SUMPRODUCT(--ISNUMBER(SEARCH(gun,C218)))&gt;0)</f>
        <v>0</v>
      </c>
      <c r="R218" s="14" cm="1">
        <f t="array" ref="R218">INT(SUMPRODUCT(--ISNUMBER(SEARCH(race,C218)))&gt;0)</f>
        <v>0</v>
      </c>
      <c r="S218" s="14" cm="1">
        <f t="array" ref="S218">INT(SUMPRODUCT(--ISNUMBER(SEARCH(immigration,C218)))&gt;0)</f>
        <v>0</v>
      </c>
      <c r="T218" s="14" cm="1">
        <f t="array" ref="T218">INT(SUMPRODUCT(--ISNUMBER(SEARCH(econineq,C219)))&gt;0)</f>
        <v>0</v>
      </c>
      <c r="U218" s="14" cm="1">
        <f t="array" ref="U218">INT(SUMPRODUCT(--ISNUMBER(SEARCH(climate,C218)))&gt;0)</f>
        <v>0</v>
      </c>
      <c r="V218" s="14" cm="1">
        <f t="array" ref="V218">INT(SUMPRODUCT(--ISNUMBER(SEARCH(abortion,C218)))&gt;0)</f>
        <v>0</v>
      </c>
      <c r="W218" s="14" cm="1">
        <f t="array" ref="W218">INT(SUMPRODUCT(--ISNUMBER(SEARCH(trump,C218)))&gt;0)</f>
        <v>0</v>
      </c>
      <c r="X218" s="14" cm="1">
        <f t="array" ref="X218">INT(SUMPRODUCT(--ISNUMBER(SEARCH(voting,C218)))&gt;0)</f>
        <v>0</v>
      </c>
      <c r="Y218" s="35" cm="1">
        <f t="array" ref="Y218">INT(SUMPRODUCT(--ISNUMBER(SEARCH(republicantrigger,C218)))&gt;0)</f>
        <v>0</v>
      </c>
      <c r="Z218" s="35" cm="1">
        <f t="array" ref="Z218">INT(SUMPRODUCT(--ISNUMBER(SEARCH(bipartisan,C218)))&gt;0)</f>
        <v>0</v>
      </c>
      <c r="AA218" s="35">
        <f t="shared" si="3"/>
        <v>1</v>
      </c>
      <c r="AB218" s="14"/>
      <c r="AC218" s="30" t="s">
        <v>223</v>
      </c>
      <c r="AD218" s="37" t="s">
        <v>223</v>
      </c>
    </row>
    <row r="219" spans="1:30" x14ac:dyDescent="0.25">
      <c r="A219" s="36">
        <v>3186</v>
      </c>
      <c r="B219" s="14" t="s">
        <v>6397</v>
      </c>
      <c r="C219" s="14" t="s">
        <v>6398</v>
      </c>
      <c r="D219" s="17">
        <v>44112</v>
      </c>
      <c r="E219" s="14" t="s">
        <v>30</v>
      </c>
      <c r="F219" s="14">
        <v>21</v>
      </c>
      <c r="G219" s="14">
        <v>9</v>
      </c>
      <c r="H219" s="14">
        <v>14</v>
      </c>
      <c r="I219" s="14">
        <v>7</v>
      </c>
      <c r="J219" s="14" t="s">
        <v>31</v>
      </c>
      <c r="K219" s="14" cm="1">
        <f t="array" ref="K219">INT(SUMPRODUCT(--ISNUMBER(SEARCH(economy,C219)))&gt;0)</f>
        <v>0</v>
      </c>
      <c r="L219" s="14" cm="1">
        <f t="array" ref="L219">INT(SUMPRODUCT(--ISNUMBER(SEARCH(healthcare,C219)))&gt;0)</f>
        <v>0</v>
      </c>
      <c r="M219" s="14" cm="1">
        <f t="array" ref="M219">INT(SUMPRODUCT(--ISNUMBER(SEARCH(supreme,C219)))&gt;0)</f>
        <v>0</v>
      </c>
      <c r="N219" s="14" cm="1">
        <f t="array" ref="N219">INT(SUMPRODUCT(--ISNUMBER(SEARCH(covid,C219)))&gt;0)</f>
        <v>0</v>
      </c>
      <c r="O219" s="14" cm="1">
        <f t="array" ref="O219">INT(SUMPRODUCT(--ISNUMBER(SEARCH(violent,C219)))&gt;0)</f>
        <v>0</v>
      </c>
      <c r="P219" s="14" cm="1">
        <f t="array" ref="P219">INT(SUMPRODUCT(--ISNUMBER(SEARCH(foreign,C219)))&gt;0)</f>
        <v>0</v>
      </c>
      <c r="Q219" s="14" cm="1">
        <f t="array" ref="Q219">INT(SUMPRODUCT(--ISNUMBER(SEARCH(gun,C219)))&gt;0)</f>
        <v>0</v>
      </c>
      <c r="R219" s="14" cm="1">
        <f t="array" ref="R219">INT(SUMPRODUCT(--ISNUMBER(SEARCH(race,C219)))&gt;0)</f>
        <v>0</v>
      </c>
      <c r="S219" s="14" cm="1">
        <f t="array" ref="S219">INT(SUMPRODUCT(--ISNUMBER(SEARCH(immigration,C219)))&gt;0)</f>
        <v>0</v>
      </c>
      <c r="T219" s="14" cm="1">
        <f t="array" ref="T219">INT(SUMPRODUCT(--ISNUMBER(SEARCH(econineq,C220)))&gt;0)</f>
        <v>0</v>
      </c>
      <c r="U219" s="14" cm="1">
        <f t="array" ref="U219">INT(SUMPRODUCT(--ISNUMBER(SEARCH(climate,C219)))&gt;0)</f>
        <v>0</v>
      </c>
      <c r="V219" s="14" cm="1">
        <f t="array" ref="V219">INT(SUMPRODUCT(--ISNUMBER(SEARCH(abortion,C219)))&gt;0)</f>
        <v>0</v>
      </c>
      <c r="W219" s="14" cm="1">
        <f t="array" ref="W219">INT(SUMPRODUCT(--ISNUMBER(SEARCH(trump,C219)))&gt;0)</f>
        <v>0</v>
      </c>
      <c r="X219" s="14" cm="1">
        <f t="array" ref="X219">INT(SUMPRODUCT(--ISNUMBER(SEARCH(voting,C219)))&gt;0)</f>
        <v>0</v>
      </c>
      <c r="Y219" s="35" cm="1">
        <f t="array" ref="Y219">INT(SUMPRODUCT(--ISNUMBER(SEARCH(republicantrigger,C219)))&gt;0)</f>
        <v>1</v>
      </c>
      <c r="Z219" s="35" cm="1">
        <f t="array" ref="Z219">INT(SUMPRODUCT(--ISNUMBER(SEARCH(bipartisan,C219)))&gt;0)</f>
        <v>0</v>
      </c>
      <c r="AA219" s="35">
        <f t="shared" si="3"/>
        <v>0</v>
      </c>
      <c r="AB219" s="14"/>
      <c r="AC219" s="30">
        <v>1</v>
      </c>
      <c r="AD219" s="37">
        <v>0</v>
      </c>
    </row>
    <row r="220" spans="1:30" x14ac:dyDescent="0.25">
      <c r="A220" s="36">
        <v>3187</v>
      </c>
      <c r="B220" s="14" t="s">
        <v>6399</v>
      </c>
      <c r="C220" s="14" t="s">
        <v>6400</v>
      </c>
      <c r="D220" s="17">
        <v>44112</v>
      </c>
      <c r="E220" s="14" t="s">
        <v>30</v>
      </c>
      <c r="F220" s="14">
        <v>9</v>
      </c>
      <c r="G220" s="14">
        <v>0</v>
      </c>
      <c r="H220" s="14">
        <v>14</v>
      </c>
      <c r="I220" s="14">
        <v>7</v>
      </c>
      <c r="J220" s="14" t="s">
        <v>31</v>
      </c>
      <c r="K220" s="14" cm="1">
        <f t="array" ref="K220">INT(SUMPRODUCT(--ISNUMBER(SEARCH(economy,C220)))&gt;0)</f>
        <v>0</v>
      </c>
      <c r="L220" s="14" cm="1">
        <f t="array" ref="L220">INT(SUMPRODUCT(--ISNUMBER(SEARCH(healthcare,C220)))&gt;0)</f>
        <v>0</v>
      </c>
      <c r="M220" s="14" cm="1">
        <f t="array" ref="M220">INT(SUMPRODUCT(--ISNUMBER(SEARCH(supreme,C220)))&gt;0)</f>
        <v>0</v>
      </c>
      <c r="N220" s="14" cm="1">
        <f t="array" ref="N220">INT(SUMPRODUCT(--ISNUMBER(SEARCH(covid,C220)))&gt;0)</f>
        <v>0</v>
      </c>
      <c r="O220" s="14" cm="1">
        <f t="array" ref="O220">INT(SUMPRODUCT(--ISNUMBER(SEARCH(violent,C220)))&gt;0)</f>
        <v>0</v>
      </c>
      <c r="P220" s="14" cm="1">
        <f t="array" ref="P220">INT(SUMPRODUCT(--ISNUMBER(SEARCH(foreign,C220)))&gt;0)</f>
        <v>0</v>
      </c>
      <c r="Q220" s="14" cm="1">
        <f t="array" ref="Q220">INT(SUMPRODUCT(--ISNUMBER(SEARCH(gun,C220)))&gt;0)</f>
        <v>0</v>
      </c>
      <c r="R220" s="14" cm="1">
        <f t="array" ref="R220">INT(SUMPRODUCT(--ISNUMBER(SEARCH(race,C220)))&gt;0)</f>
        <v>0</v>
      </c>
      <c r="S220" s="14" cm="1">
        <f t="array" ref="S220">INT(SUMPRODUCT(--ISNUMBER(SEARCH(immigration,C220)))&gt;0)</f>
        <v>0</v>
      </c>
      <c r="T220" s="14" cm="1">
        <f t="array" ref="T220">INT(SUMPRODUCT(--ISNUMBER(SEARCH(econineq,C221)))&gt;0)</f>
        <v>0</v>
      </c>
      <c r="U220" s="14" cm="1">
        <f t="array" ref="U220">INT(SUMPRODUCT(--ISNUMBER(SEARCH(climate,C220)))&gt;0)</f>
        <v>0</v>
      </c>
      <c r="V220" s="14" cm="1">
        <f t="array" ref="V220">INT(SUMPRODUCT(--ISNUMBER(SEARCH(abortion,C220)))&gt;0)</f>
        <v>0</v>
      </c>
      <c r="W220" s="14" cm="1">
        <f t="array" ref="W220">INT(SUMPRODUCT(--ISNUMBER(SEARCH(trump,C220)))&gt;0)</f>
        <v>0</v>
      </c>
      <c r="X220" s="14" cm="1">
        <f t="array" ref="X220">INT(SUMPRODUCT(--ISNUMBER(SEARCH(voting,C220)))&gt;0)</f>
        <v>0</v>
      </c>
      <c r="Y220" s="35" cm="1">
        <f t="array" ref="Y220">INT(SUMPRODUCT(--ISNUMBER(SEARCH(republicantrigger,C220)))&gt;0)</f>
        <v>1</v>
      </c>
      <c r="Z220" s="35" cm="1">
        <f t="array" ref="Z220">INT(SUMPRODUCT(--ISNUMBER(SEARCH(bipartisan,C220)))&gt;0)</f>
        <v>0</v>
      </c>
      <c r="AA220" s="35">
        <f t="shared" si="3"/>
        <v>0</v>
      </c>
      <c r="AB220" s="14"/>
      <c r="AC220" s="30" t="s">
        <v>223</v>
      </c>
      <c r="AD220" s="37" t="s">
        <v>223</v>
      </c>
    </row>
    <row r="221" spans="1:30" x14ac:dyDescent="0.25">
      <c r="A221" s="36">
        <v>3188</v>
      </c>
      <c r="B221" s="14" t="s">
        <v>6401</v>
      </c>
      <c r="C221" s="14" t="s">
        <v>6402</v>
      </c>
      <c r="D221" s="17">
        <v>44112</v>
      </c>
      <c r="E221" s="14" t="s">
        <v>30</v>
      </c>
      <c r="F221" s="14">
        <v>8</v>
      </c>
      <c r="G221" s="14">
        <v>5</v>
      </c>
      <c r="H221" s="14">
        <v>14</v>
      </c>
      <c r="I221" s="14">
        <v>7</v>
      </c>
      <c r="J221" s="14" t="s">
        <v>31</v>
      </c>
      <c r="K221" s="14" cm="1">
        <f t="array" ref="K221">INT(SUMPRODUCT(--ISNUMBER(SEARCH(economy,C221)))&gt;0)</f>
        <v>0</v>
      </c>
      <c r="L221" s="14" cm="1">
        <f t="array" ref="L221">INT(SUMPRODUCT(--ISNUMBER(SEARCH(healthcare,C221)))&gt;0)</f>
        <v>0</v>
      </c>
      <c r="M221" s="14" cm="1">
        <f t="array" ref="M221">INT(SUMPRODUCT(--ISNUMBER(SEARCH(supreme,C221)))&gt;0)</f>
        <v>0</v>
      </c>
      <c r="N221" s="14" cm="1">
        <f t="array" ref="N221">INT(SUMPRODUCT(--ISNUMBER(SEARCH(covid,C221)))&gt;0)</f>
        <v>0</v>
      </c>
      <c r="O221" s="14" cm="1">
        <f t="array" ref="O221">INT(SUMPRODUCT(--ISNUMBER(SEARCH(violent,C221)))&gt;0)</f>
        <v>1</v>
      </c>
      <c r="P221" s="14" cm="1">
        <f t="array" ref="P221">INT(SUMPRODUCT(--ISNUMBER(SEARCH(foreign,C221)))&gt;0)</f>
        <v>0</v>
      </c>
      <c r="Q221" s="14" cm="1">
        <f t="array" ref="Q221">INT(SUMPRODUCT(--ISNUMBER(SEARCH(gun,C221)))&gt;0)</f>
        <v>0</v>
      </c>
      <c r="R221" s="14" cm="1">
        <f t="array" ref="R221">INT(SUMPRODUCT(--ISNUMBER(SEARCH(race,C221)))&gt;0)</f>
        <v>0</v>
      </c>
      <c r="S221" s="14" cm="1">
        <f t="array" ref="S221">INT(SUMPRODUCT(--ISNUMBER(SEARCH(immigration,C221)))&gt;0)</f>
        <v>0</v>
      </c>
      <c r="T221" s="14" cm="1">
        <f t="array" ref="T221">INT(SUMPRODUCT(--ISNUMBER(SEARCH(econineq,C222)))&gt;0)</f>
        <v>0</v>
      </c>
      <c r="U221" s="14" cm="1">
        <f t="array" ref="U221">INT(SUMPRODUCT(--ISNUMBER(SEARCH(climate,C221)))&gt;0)</f>
        <v>0</v>
      </c>
      <c r="V221" s="14" cm="1">
        <f t="array" ref="V221">INT(SUMPRODUCT(--ISNUMBER(SEARCH(abortion,C221)))&gt;0)</f>
        <v>0</v>
      </c>
      <c r="W221" s="14" cm="1">
        <f t="array" ref="W221">INT(SUMPRODUCT(--ISNUMBER(SEARCH(trump,C221)))&gt;0)</f>
        <v>0</v>
      </c>
      <c r="X221" s="14" cm="1">
        <f t="array" ref="X221">INT(SUMPRODUCT(--ISNUMBER(SEARCH(voting,C221)))&gt;0)</f>
        <v>0</v>
      </c>
      <c r="Y221" s="35" cm="1">
        <f t="array" ref="Y221">INT(SUMPRODUCT(--ISNUMBER(SEARCH(republicantrigger,C221)))&gt;0)</f>
        <v>1</v>
      </c>
      <c r="Z221" s="35" cm="1">
        <f t="array" ref="Z221">INT(SUMPRODUCT(--ISNUMBER(SEARCH(bipartisan,C221)))&gt;0)</f>
        <v>0</v>
      </c>
      <c r="AA221" s="35">
        <f t="shared" si="3"/>
        <v>0</v>
      </c>
      <c r="AB221" s="14"/>
      <c r="AC221" s="30" t="s">
        <v>223</v>
      </c>
      <c r="AD221" s="37" t="s">
        <v>223</v>
      </c>
    </row>
    <row r="222" spans="1:30" x14ac:dyDescent="0.25">
      <c r="A222" s="36">
        <v>3189</v>
      </c>
      <c r="B222" s="14" t="s">
        <v>6403</v>
      </c>
      <c r="C222" s="14" t="s">
        <v>6404</v>
      </c>
      <c r="D222" s="17">
        <v>44112</v>
      </c>
      <c r="E222" s="14" t="s">
        <v>30</v>
      </c>
      <c r="F222" s="14">
        <v>24</v>
      </c>
      <c r="G222" s="14">
        <v>9</v>
      </c>
      <c r="H222" s="14">
        <v>14</v>
      </c>
      <c r="I222" s="14">
        <v>7</v>
      </c>
      <c r="J222" s="14" t="s">
        <v>31</v>
      </c>
      <c r="K222" s="14" cm="1">
        <f t="array" ref="K222">INT(SUMPRODUCT(--ISNUMBER(SEARCH(economy,C222)))&gt;0)</f>
        <v>0</v>
      </c>
      <c r="L222" s="14" cm="1">
        <f t="array" ref="L222">INT(SUMPRODUCT(--ISNUMBER(SEARCH(healthcare,C222)))&gt;0)</f>
        <v>0</v>
      </c>
      <c r="M222" s="14" cm="1">
        <f t="array" ref="M222">INT(SUMPRODUCT(--ISNUMBER(SEARCH(supreme,C222)))&gt;0)</f>
        <v>0</v>
      </c>
      <c r="N222" s="14" cm="1">
        <f t="array" ref="N222">INT(SUMPRODUCT(--ISNUMBER(SEARCH(covid,C222)))&gt;0)</f>
        <v>0</v>
      </c>
      <c r="O222" s="14" cm="1">
        <f t="array" ref="O222">INT(SUMPRODUCT(--ISNUMBER(SEARCH(violent,C222)))&gt;0)</f>
        <v>0</v>
      </c>
      <c r="P222" s="14" cm="1">
        <f t="array" ref="P222">INT(SUMPRODUCT(--ISNUMBER(SEARCH(foreign,C222)))&gt;0)</f>
        <v>0</v>
      </c>
      <c r="Q222" s="14" cm="1">
        <f t="array" ref="Q222">INT(SUMPRODUCT(--ISNUMBER(SEARCH(gun,C222)))&gt;0)</f>
        <v>0</v>
      </c>
      <c r="R222" s="14" cm="1">
        <f t="array" ref="R222">INT(SUMPRODUCT(--ISNUMBER(SEARCH(race,C222)))&gt;0)</f>
        <v>0</v>
      </c>
      <c r="S222" s="14" cm="1">
        <f t="array" ref="S222">INT(SUMPRODUCT(--ISNUMBER(SEARCH(immigration,C222)))&gt;0)</f>
        <v>0</v>
      </c>
      <c r="T222" s="14" cm="1">
        <f t="array" ref="T222">INT(SUMPRODUCT(--ISNUMBER(SEARCH(econineq,C223)))&gt;0)</f>
        <v>0</v>
      </c>
      <c r="U222" s="14" cm="1">
        <f t="array" ref="U222">INT(SUMPRODUCT(--ISNUMBER(SEARCH(climate,C222)))&gt;0)</f>
        <v>0</v>
      </c>
      <c r="V222" s="14" cm="1">
        <f t="array" ref="V222">INT(SUMPRODUCT(--ISNUMBER(SEARCH(abortion,C222)))&gt;0)</f>
        <v>0</v>
      </c>
      <c r="W222" s="14" cm="1">
        <f t="array" ref="W222">INT(SUMPRODUCT(--ISNUMBER(SEARCH(trump,C222)))&gt;0)</f>
        <v>0</v>
      </c>
      <c r="X222" s="14" cm="1">
        <f t="array" ref="X222">INT(SUMPRODUCT(--ISNUMBER(SEARCH(voting,C222)))&gt;0)</f>
        <v>0</v>
      </c>
      <c r="Y222" s="35" cm="1">
        <f t="array" ref="Y222">INT(SUMPRODUCT(--ISNUMBER(SEARCH(republicantrigger,C222)))&gt;0)</f>
        <v>1</v>
      </c>
      <c r="Z222" s="35" cm="1">
        <f t="array" ref="Z222">INT(SUMPRODUCT(--ISNUMBER(SEARCH(bipartisan,C222)))&gt;0)</f>
        <v>0</v>
      </c>
      <c r="AA222" s="35">
        <f t="shared" si="3"/>
        <v>0</v>
      </c>
      <c r="AB222" s="14"/>
      <c r="AC222" s="30">
        <v>0</v>
      </c>
      <c r="AD222" s="37">
        <v>1</v>
      </c>
    </row>
    <row r="223" spans="1:30" x14ac:dyDescent="0.25">
      <c r="A223" s="36">
        <v>3190</v>
      </c>
      <c r="B223" s="14" t="s">
        <v>6405</v>
      </c>
      <c r="C223" s="14" t="s">
        <v>6406</v>
      </c>
      <c r="D223" s="17">
        <v>44112</v>
      </c>
      <c r="E223" s="14" t="s">
        <v>30</v>
      </c>
      <c r="F223" s="14">
        <v>4</v>
      </c>
      <c r="G223" s="14">
        <v>2</v>
      </c>
      <c r="H223" s="14">
        <v>14</v>
      </c>
      <c r="I223" s="14">
        <v>7</v>
      </c>
      <c r="J223" s="14" t="s">
        <v>31</v>
      </c>
      <c r="K223" s="14" cm="1">
        <f t="array" ref="K223">INT(SUMPRODUCT(--ISNUMBER(SEARCH(economy,C223)))&gt;0)</f>
        <v>1</v>
      </c>
      <c r="L223" s="14" cm="1">
        <f t="array" ref="L223">INT(SUMPRODUCT(--ISNUMBER(SEARCH(healthcare,C223)))&gt;0)</f>
        <v>0</v>
      </c>
      <c r="M223" s="14" cm="1">
        <f t="array" ref="M223">INT(SUMPRODUCT(--ISNUMBER(SEARCH(supreme,C223)))&gt;0)</f>
        <v>0</v>
      </c>
      <c r="N223" s="14" cm="1">
        <f t="array" ref="N223">INT(SUMPRODUCT(--ISNUMBER(SEARCH(covid,C223)))&gt;0)</f>
        <v>1</v>
      </c>
      <c r="O223" s="14" cm="1">
        <f t="array" ref="O223">INT(SUMPRODUCT(--ISNUMBER(SEARCH(violent,C223)))&gt;0)</f>
        <v>0</v>
      </c>
      <c r="P223" s="14" cm="1">
        <f t="array" ref="P223">INT(SUMPRODUCT(--ISNUMBER(SEARCH(foreign,C223)))&gt;0)</f>
        <v>0</v>
      </c>
      <c r="Q223" s="14" cm="1">
        <f t="array" ref="Q223">INT(SUMPRODUCT(--ISNUMBER(SEARCH(gun,C223)))&gt;0)</f>
        <v>0</v>
      </c>
      <c r="R223" s="14" cm="1">
        <f t="array" ref="R223">INT(SUMPRODUCT(--ISNUMBER(SEARCH(race,C223)))&gt;0)</f>
        <v>0</v>
      </c>
      <c r="S223" s="14" cm="1">
        <f t="array" ref="S223">INT(SUMPRODUCT(--ISNUMBER(SEARCH(immigration,C223)))&gt;0)</f>
        <v>0</v>
      </c>
      <c r="T223" s="14" cm="1">
        <f t="array" ref="T223">INT(SUMPRODUCT(--ISNUMBER(SEARCH(econineq,C224)))&gt;0)</f>
        <v>0</v>
      </c>
      <c r="U223" s="14" cm="1">
        <f t="array" ref="U223">INT(SUMPRODUCT(--ISNUMBER(SEARCH(climate,C223)))&gt;0)</f>
        <v>0</v>
      </c>
      <c r="V223" s="14" cm="1">
        <f t="array" ref="V223">INT(SUMPRODUCT(--ISNUMBER(SEARCH(abortion,C223)))&gt;0)</f>
        <v>0</v>
      </c>
      <c r="W223" s="14" cm="1">
        <f t="array" ref="W223">INT(SUMPRODUCT(--ISNUMBER(SEARCH(trump,C223)))&gt;0)</f>
        <v>0</v>
      </c>
      <c r="X223" s="14" cm="1">
        <f t="array" ref="X223">INT(SUMPRODUCT(--ISNUMBER(SEARCH(voting,C223)))&gt;0)</f>
        <v>0</v>
      </c>
      <c r="Y223" s="35" cm="1">
        <f t="array" ref="Y223">INT(SUMPRODUCT(--ISNUMBER(SEARCH(republicantrigger,C223)))&gt;0)</f>
        <v>0</v>
      </c>
      <c r="Z223" s="35" cm="1">
        <f t="array" ref="Z223">INT(SUMPRODUCT(--ISNUMBER(SEARCH(bipartisan,C223)))&gt;0)</f>
        <v>0</v>
      </c>
      <c r="AA223" s="35">
        <f t="shared" si="3"/>
        <v>0</v>
      </c>
      <c r="AB223" s="14"/>
      <c r="AC223" s="30" t="s">
        <v>223</v>
      </c>
      <c r="AD223" s="37" t="s">
        <v>223</v>
      </c>
    </row>
    <row r="224" spans="1:30" x14ac:dyDescent="0.25">
      <c r="A224" s="36">
        <v>3191</v>
      </c>
      <c r="B224" s="14" t="s">
        <v>6407</v>
      </c>
      <c r="C224" s="14" t="s">
        <v>6408</v>
      </c>
      <c r="D224" s="17">
        <v>44112</v>
      </c>
      <c r="E224" s="14" t="s">
        <v>30</v>
      </c>
      <c r="F224" s="14">
        <v>6</v>
      </c>
      <c r="G224" s="14">
        <v>1</v>
      </c>
      <c r="H224" s="14">
        <v>14</v>
      </c>
      <c r="I224" s="14">
        <v>7</v>
      </c>
      <c r="J224" s="14" t="s">
        <v>31</v>
      </c>
      <c r="K224" s="14" cm="1">
        <f t="array" ref="K224">INT(SUMPRODUCT(--ISNUMBER(SEARCH(economy,C224)))&gt;0)</f>
        <v>0</v>
      </c>
      <c r="L224" s="14" cm="1">
        <f t="array" ref="L224">INT(SUMPRODUCT(--ISNUMBER(SEARCH(healthcare,C224)))&gt;0)</f>
        <v>0</v>
      </c>
      <c r="M224" s="14" cm="1">
        <f t="array" ref="M224">INT(SUMPRODUCT(--ISNUMBER(SEARCH(supreme,C224)))&gt;0)</f>
        <v>0</v>
      </c>
      <c r="N224" s="14" cm="1">
        <f t="array" ref="N224">INT(SUMPRODUCT(--ISNUMBER(SEARCH(covid,C224)))&gt;0)</f>
        <v>0</v>
      </c>
      <c r="O224" s="14" cm="1">
        <f t="array" ref="O224">INT(SUMPRODUCT(--ISNUMBER(SEARCH(violent,C224)))&gt;0)</f>
        <v>0</v>
      </c>
      <c r="P224" s="14" cm="1">
        <f t="array" ref="P224">INT(SUMPRODUCT(--ISNUMBER(SEARCH(foreign,C224)))&gt;0)</f>
        <v>0</v>
      </c>
      <c r="Q224" s="14" cm="1">
        <f t="array" ref="Q224">INT(SUMPRODUCT(--ISNUMBER(SEARCH(gun,C224)))&gt;0)</f>
        <v>0</v>
      </c>
      <c r="R224" s="14" cm="1">
        <f t="array" ref="R224">INT(SUMPRODUCT(--ISNUMBER(SEARCH(race,C224)))&gt;0)</f>
        <v>0</v>
      </c>
      <c r="S224" s="14" cm="1">
        <f t="array" ref="S224">INT(SUMPRODUCT(--ISNUMBER(SEARCH(immigration,C224)))&gt;0)</f>
        <v>0</v>
      </c>
      <c r="T224" s="14" cm="1">
        <f t="array" ref="T224">INT(SUMPRODUCT(--ISNUMBER(SEARCH(econineq,C225)))&gt;0)</f>
        <v>0</v>
      </c>
      <c r="U224" s="14" cm="1">
        <f t="array" ref="U224">INT(SUMPRODUCT(--ISNUMBER(SEARCH(climate,C224)))&gt;0)</f>
        <v>0</v>
      </c>
      <c r="V224" s="14" cm="1">
        <f t="array" ref="V224">INT(SUMPRODUCT(--ISNUMBER(SEARCH(abortion,C224)))&gt;0)</f>
        <v>0</v>
      </c>
      <c r="W224" s="14" cm="1">
        <f t="array" ref="W224">INT(SUMPRODUCT(--ISNUMBER(SEARCH(trump,C224)))&gt;0)</f>
        <v>0</v>
      </c>
      <c r="X224" s="14" cm="1">
        <f t="array" ref="X224">INT(SUMPRODUCT(--ISNUMBER(SEARCH(voting,C224)))&gt;0)</f>
        <v>0</v>
      </c>
      <c r="Y224" s="35" cm="1">
        <f t="array" ref="Y224">INT(SUMPRODUCT(--ISNUMBER(SEARCH(republicantrigger,C224)))&gt;0)</f>
        <v>1</v>
      </c>
      <c r="Z224" s="35" cm="1">
        <f t="array" ref="Z224">INT(SUMPRODUCT(--ISNUMBER(SEARCH(bipartisan,C224)))&gt;0)</f>
        <v>0</v>
      </c>
      <c r="AA224" s="35">
        <f t="shared" si="3"/>
        <v>0</v>
      </c>
      <c r="AB224" s="14"/>
      <c r="AC224" s="30" t="s">
        <v>223</v>
      </c>
      <c r="AD224" s="37" t="s">
        <v>223</v>
      </c>
    </row>
    <row r="225" spans="1:30" x14ac:dyDescent="0.25">
      <c r="A225" s="36">
        <v>3192</v>
      </c>
      <c r="B225" s="14" t="s">
        <v>6409</v>
      </c>
      <c r="C225" s="14" t="s">
        <v>6410</v>
      </c>
      <c r="D225" s="17">
        <v>44112</v>
      </c>
      <c r="E225" s="14" t="s">
        <v>30</v>
      </c>
      <c r="F225" s="14">
        <v>12</v>
      </c>
      <c r="G225" s="14">
        <v>7</v>
      </c>
      <c r="H225" s="14">
        <v>14</v>
      </c>
      <c r="I225" s="14">
        <v>7</v>
      </c>
      <c r="J225" s="14" t="s">
        <v>31</v>
      </c>
      <c r="K225" s="14" cm="1">
        <f t="array" ref="K225">INT(SUMPRODUCT(--ISNUMBER(SEARCH(economy,C225)))&gt;0)</f>
        <v>0</v>
      </c>
      <c r="L225" s="14" cm="1">
        <f t="array" ref="L225">INT(SUMPRODUCT(--ISNUMBER(SEARCH(healthcare,C225)))&gt;0)</f>
        <v>0</v>
      </c>
      <c r="M225" s="14" cm="1">
        <f t="array" ref="M225">INT(SUMPRODUCT(--ISNUMBER(SEARCH(supreme,C225)))&gt;0)</f>
        <v>0</v>
      </c>
      <c r="N225" s="14" cm="1">
        <f t="array" ref="N225">INT(SUMPRODUCT(--ISNUMBER(SEARCH(covid,C225)))&gt;0)</f>
        <v>0</v>
      </c>
      <c r="O225" s="14" cm="1">
        <f t="array" ref="O225">INT(SUMPRODUCT(--ISNUMBER(SEARCH(violent,C225)))&gt;0)</f>
        <v>0</v>
      </c>
      <c r="P225" s="14" cm="1">
        <f t="array" ref="P225">INT(SUMPRODUCT(--ISNUMBER(SEARCH(foreign,C225)))&gt;0)</f>
        <v>0</v>
      </c>
      <c r="Q225" s="14" cm="1">
        <f t="array" ref="Q225">INT(SUMPRODUCT(--ISNUMBER(SEARCH(gun,C225)))&gt;0)</f>
        <v>0</v>
      </c>
      <c r="R225" s="14" cm="1">
        <f t="array" ref="R225">INT(SUMPRODUCT(--ISNUMBER(SEARCH(race,C225)))&gt;0)</f>
        <v>0</v>
      </c>
      <c r="S225" s="14" cm="1">
        <f t="array" ref="S225">INT(SUMPRODUCT(--ISNUMBER(SEARCH(immigration,C225)))&gt;0)</f>
        <v>0</v>
      </c>
      <c r="T225" s="14" cm="1">
        <f t="array" ref="T225">INT(SUMPRODUCT(--ISNUMBER(SEARCH(econineq,C226)))&gt;0)</f>
        <v>0</v>
      </c>
      <c r="U225" s="14" cm="1">
        <f t="array" ref="U225">INT(SUMPRODUCT(--ISNUMBER(SEARCH(climate,C225)))&gt;0)</f>
        <v>0</v>
      </c>
      <c r="V225" s="14" cm="1">
        <f t="array" ref="V225">INT(SUMPRODUCT(--ISNUMBER(SEARCH(abortion,C225)))&gt;0)</f>
        <v>0</v>
      </c>
      <c r="W225" s="14" cm="1">
        <f t="array" ref="W225">INT(SUMPRODUCT(--ISNUMBER(SEARCH(trump,C225)))&gt;0)</f>
        <v>0</v>
      </c>
      <c r="X225" s="14" cm="1">
        <f t="array" ref="X225">INT(SUMPRODUCT(--ISNUMBER(SEARCH(voting,C225)))&gt;0)</f>
        <v>0</v>
      </c>
      <c r="Y225" s="35" cm="1">
        <f t="array" ref="Y225">INT(SUMPRODUCT(--ISNUMBER(SEARCH(republicantrigger,C225)))&gt;0)</f>
        <v>0</v>
      </c>
      <c r="Z225" s="35" cm="1">
        <f t="array" ref="Z225">INT(SUMPRODUCT(--ISNUMBER(SEARCH(bipartisan,C225)))&gt;0)</f>
        <v>0</v>
      </c>
      <c r="AA225" s="35">
        <f t="shared" si="3"/>
        <v>1</v>
      </c>
      <c r="AB225" s="14"/>
      <c r="AC225" s="30" t="s">
        <v>223</v>
      </c>
      <c r="AD225" s="37" t="s">
        <v>223</v>
      </c>
    </row>
    <row r="226" spans="1:30" x14ac:dyDescent="0.25">
      <c r="A226" s="36">
        <v>3193</v>
      </c>
      <c r="B226" s="14" t="s">
        <v>6411</v>
      </c>
      <c r="C226" s="14" t="s">
        <v>6412</v>
      </c>
      <c r="D226" s="17">
        <v>44112</v>
      </c>
      <c r="E226" s="14" t="s">
        <v>30</v>
      </c>
      <c r="F226" s="14">
        <v>13</v>
      </c>
      <c r="G226" s="14">
        <v>5</v>
      </c>
      <c r="H226" s="14">
        <v>14</v>
      </c>
      <c r="I226" s="14">
        <v>7</v>
      </c>
      <c r="J226" s="14" t="s">
        <v>31</v>
      </c>
      <c r="K226" s="14" cm="1">
        <f t="array" ref="K226">INT(SUMPRODUCT(--ISNUMBER(SEARCH(economy,C226)))&gt;0)</f>
        <v>0</v>
      </c>
      <c r="L226" s="14" cm="1">
        <f t="array" ref="L226">INT(SUMPRODUCT(--ISNUMBER(SEARCH(healthcare,C226)))&gt;0)</f>
        <v>0</v>
      </c>
      <c r="M226" s="14" cm="1">
        <f t="array" ref="M226">INT(SUMPRODUCT(--ISNUMBER(SEARCH(supreme,C226)))&gt;0)</f>
        <v>0</v>
      </c>
      <c r="N226" s="14" cm="1">
        <f t="array" ref="N226">INT(SUMPRODUCT(--ISNUMBER(SEARCH(covid,C226)))&gt;0)</f>
        <v>0</v>
      </c>
      <c r="O226" s="14" cm="1">
        <f t="array" ref="O226">INT(SUMPRODUCT(--ISNUMBER(SEARCH(violent,C226)))&gt;0)</f>
        <v>0</v>
      </c>
      <c r="P226" s="14" cm="1">
        <f t="array" ref="P226">INT(SUMPRODUCT(--ISNUMBER(SEARCH(foreign,C226)))&gt;0)</f>
        <v>0</v>
      </c>
      <c r="Q226" s="14" cm="1">
        <f t="array" ref="Q226">INT(SUMPRODUCT(--ISNUMBER(SEARCH(gun,C226)))&gt;0)</f>
        <v>0</v>
      </c>
      <c r="R226" s="14" cm="1">
        <f t="array" ref="R226">INT(SUMPRODUCT(--ISNUMBER(SEARCH(race,C226)))&gt;0)</f>
        <v>0</v>
      </c>
      <c r="S226" s="14" cm="1">
        <f t="array" ref="S226">INT(SUMPRODUCT(--ISNUMBER(SEARCH(immigration,C226)))&gt;0)</f>
        <v>0</v>
      </c>
      <c r="T226" s="14" cm="1">
        <f t="array" ref="T226">INT(SUMPRODUCT(--ISNUMBER(SEARCH(econineq,C227)))&gt;0)</f>
        <v>0</v>
      </c>
      <c r="U226" s="14" cm="1">
        <f t="array" ref="U226">INT(SUMPRODUCT(--ISNUMBER(SEARCH(climate,C226)))&gt;0)</f>
        <v>0</v>
      </c>
      <c r="V226" s="14" cm="1">
        <f t="array" ref="V226">INT(SUMPRODUCT(--ISNUMBER(SEARCH(abortion,C226)))&gt;0)</f>
        <v>0</v>
      </c>
      <c r="W226" s="14" cm="1">
        <f t="array" ref="W226">INT(SUMPRODUCT(--ISNUMBER(SEARCH(trump,C226)))&gt;0)</f>
        <v>0</v>
      </c>
      <c r="X226" s="14" cm="1">
        <f t="array" ref="X226">INT(SUMPRODUCT(--ISNUMBER(SEARCH(voting,C226)))&gt;0)</f>
        <v>0</v>
      </c>
      <c r="Y226" s="35" cm="1">
        <f t="array" ref="Y226">INT(SUMPRODUCT(--ISNUMBER(SEARCH(republicantrigger,C226)))&gt;0)</f>
        <v>1</v>
      </c>
      <c r="Z226" s="35" cm="1">
        <f t="array" ref="Z226">INT(SUMPRODUCT(--ISNUMBER(SEARCH(bipartisan,C226)))&gt;0)</f>
        <v>0</v>
      </c>
      <c r="AA226" s="35">
        <f t="shared" si="3"/>
        <v>0</v>
      </c>
      <c r="AB226" s="14"/>
      <c r="AC226" s="30" t="s">
        <v>223</v>
      </c>
      <c r="AD226" s="37" t="s">
        <v>223</v>
      </c>
    </row>
    <row r="227" spans="1:30" x14ac:dyDescent="0.25">
      <c r="A227" s="36">
        <v>3194</v>
      </c>
      <c r="B227" s="14" t="s">
        <v>6413</v>
      </c>
      <c r="C227" s="14" t="s">
        <v>6414</v>
      </c>
      <c r="D227" s="17">
        <v>44111</v>
      </c>
      <c r="E227" s="14" t="s">
        <v>30</v>
      </c>
      <c r="F227" s="14">
        <v>29</v>
      </c>
      <c r="G227" s="14">
        <v>19</v>
      </c>
      <c r="H227" s="14">
        <v>14</v>
      </c>
      <c r="I227" s="14">
        <v>7</v>
      </c>
      <c r="J227" s="14" t="s">
        <v>31</v>
      </c>
      <c r="K227" s="14" cm="1">
        <f t="array" ref="K227">INT(SUMPRODUCT(--ISNUMBER(SEARCH(economy,C227)))&gt;0)</f>
        <v>0</v>
      </c>
      <c r="L227" s="14" cm="1">
        <f t="array" ref="L227">INT(SUMPRODUCT(--ISNUMBER(SEARCH(healthcare,C227)))&gt;0)</f>
        <v>0</v>
      </c>
      <c r="M227" s="14" cm="1">
        <f t="array" ref="M227">INT(SUMPRODUCT(--ISNUMBER(SEARCH(supreme,C227)))&gt;0)</f>
        <v>0</v>
      </c>
      <c r="N227" s="14" cm="1">
        <f t="array" ref="N227">INT(SUMPRODUCT(--ISNUMBER(SEARCH(covid,C227)))&gt;0)</f>
        <v>0</v>
      </c>
      <c r="O227" s="14" cm="1">
        <f t="array" ref="O227">INT(SUMPRODUCT(--ISNUMBER(SEARCH(violent,C227)))&gt;0)</f>
        <v>0</v>
      </c>
      <c r="P227" s="14" cm="1">
        <f t="array" ref="P227">INT(SUMPRODUCT(--ISNUMBER(SEARCH(foreign,C227)))&gt;0)</f>
        <v>0</v>
      </c>
      <c r="Q227" s="14" cm="1">
        <f t="array" ref="Q227">INT(SUMPRODUCT(--ISNUMBER(SEARCH(gun,C227)))&gt;0)</f>
        <v>0</v>
      </c>
      <c r="R227" s="14" cm="1">
        <f t="array" ref="R227">INT(SUMPRODUCT(--ISNUMBER(SEARCH(race,C227)))&gt;0)</f>
        <v>0</v>
      </c>
      <c r="S227" s="14" cm="1">
        <f t="array" ref="S227">INT(SUMPRODUCT(--ISNUMBER(SEARCH(immigration,C227)))&gt;0)</f>
        <v>0</v>
      </c>
      <c r="T227" s="14" cm="1">
        <f t="array" ref="T227">INT(SUMPRODUCT(--ISNUMBER(SEARCH(econineq,C228)))&gt;0)</f>
        <v>0</v>
      </c>
      <c r="U227" s="14" cm="1">
        <f t="array" ref="U227">INT(SUMPRODUCT(--ISNUMBER(SEARCH(climate,C227)))&gt;0)</f>
        <v>0</v>
      </c>
      <c r="V227" s="14" cm="1">
        <f t="array" ref="V227">INT(SUMPRODUCT(--ISNUMBER(SEARCH(abortion,C227)))&gt;0)</f>
        <v>0</v>
      </c>
      <c r="W227" s="14" cm="1">
        <f t="array" ref="W227">INT(SUMPRODUCT(--ISNUMBER(SEARCH(trump,C227)))&gt;0)</f>
        <v>0</v>
      </c>
      <c r="X227" s="14" cm="1">
        <f t="array" ref="X227">INT(SUMPRODUCT(--ISNUMBER(SEARCH(voting,C227)))&gt;0)</f>
        <v>1</v>
      </c>
      <c r="Y227" s="35" cm="1">
        <f t="array" ref="Y227">INT(SUMPRODUCT(--ISNUMBER(SEARCH(republicantrigger,C227)))&gt;0)</f>
        <v>1</v>
      </c>
      <c r="Z227" s="35" cm="1">
        <f t="array" ref="Z227">INT(SUMPRODUCT(--ISNUMBER(SEARCH(bipartisan,C227)))&gt;0)</f>
        <v>1</v>
      </c>
      <c r="AA227" s="35">
        <f t="shared" si="3"/>
        <v>0</v>
      </c>
      <c r="AB227" s="14"/>
      <c r="AC227" s="30" t="s">
        <v>223</v>
      </c>
      <c r="AD227" s="37" t="s">
        <v>223</v>
      </c>
    </row>
    <row r="228" spans="1:30" x14ac:dyDescent="0.25">
      <c r="A228" s="36">
        <v>3195</v>
      </c>
      <c r="B228" s="14" t="s">
        <v>6415</v>
      </c>
      <c r="C228" s="14" t="s">
        <v>6416</v>
      </c>
      <c r="D228" s="17">
        <v>44111</v>
      </c>
      <c r="E228" s="14" t="s">
        <v>30</v>
      </c>
      <c r="F228" s="14">
        <v>9</v>
      </c>
      <c r="G228" s="14">
        <v>3</v>
      </c>
      <c r="H228" s="14">
        <v>14</v>
      </c>
      <c r="I228" s="14">
        <v>7</v>
      </c>
      <c r="J228" s="14" t="s">
        <v>31</v>
      </c>
      <c r="K228" s="14" cm="1">
        <f t="array" ref="K228">INT(SUMPRODUCT(--ISNUMBER(SEARCH(economy,C228)))&gt;0)</f>
        <v>0</v>
      </c>
      <c r="L228" s="14" cm="1">
        <f t="array" ref="L228">INT(SUMPRODUCT(--ISNUMBER(SEARCH(healthcare,C228)))&gt;0)</f>
        <v>0</v>
      </c>
      <c r="M228" s="14" cm="1">
        <f t="array" ref="M228">INT(SUMPRODUCT(--ISNUMBER(SEARCH(supreme,C228)))&gt;0)</f>
        <v>0</v>
      </c>
      <c r="N228" s="14" cm="1">
        <f t="array" ref="N228">INT(SUMPRODUCT(--ISNUMBER(SEARCH(covid,C228)))&gt;0)</f>
        <v>0</v>
      </c>
      <c r="O228" s="14" cm="1">
        <f t="array" ref="O228">INT(SUMPRODUCT(--ISNUMBER(SEARCH(violent,C228)))&gt;0)</f>
        <v>0</v>
      </c>
      <c r="P228" s="14" cm="1">
        <f t="array" ref="P228">INT(SUMPRODUCT(--ISNUMBER(SEARCH(foreign,C228)))&gt;0)</f>
        <v>0</v>
      </c>
      <c r="Q228" s="14" cm="1">
        <f t="array" ref="Q228">INT(SUMPRODUCT(--ISNUMBER(SEARCH(gun,C228)))&gt;0)</f>
        <v>0</v>
      </c>
      <c r="R228" s="14" cm="1">
        <f t="array" ref="R228">INT(SUMPRODUCT(--ISNUMBER(SEARCH(race,C228)))&gt;0)</f>
        <v>0</v>
      </c>
      <c r="S228" s="14" cm="1">
        <f t="array" ref="S228">INT(SUMPRODUCT(--ISNUMBER(SEARCH(immigration,C228)))&gt;0)</f>
        <v>0</v>
      </c>
      <c r="T228" s="14" cm="1">
        <f t="array" ref="T228">INT(SUMPRODUCT(--ISNUMBER(SEARCH(econineq,C229)))&gt;0)</f>
        <v>0</v>
      </c>
      <c r="U228" s="14" cm="1">
        <f t="array" ref="U228">INT(SUMPRODUCT(--ISNUMBER(SEARCH(climate,C228)))&gt;0)</f>
        <v>0</v>
      </c>
      <c r="V228" s="14" cm="1">
        <f t="array" ref="V228">INT(SUMPRODUCT(--ISNUMBER(SEARCH(abortion,C228)))&gt;0)</f>
        <v>0</v>
      </c>
      <c r="W228" s="14" cm="1">
        <f t="array" ref="W228">INT(SUMPRODUCT(--ISNUMBER(SEARCH(trump,C228)))&gt;0)</f>
        <v>0</v>
      </c>
      <c r="X228" s="14" cm="1">
        <f t="array" ref="X228">INT(SUMPRODUCT(--ISNUMBER(SEARCH(voting,C228)))&gt;0)</f>
        <v>1</v>
      </c>
      <c r="Y228" s="35" cm="1">
        <f t="array" ref="Y228">INT(SUMPRODUCT(--ISNUMBER(SEARCH(republicantrigger,C228)))&gt;0)</f>
        <v>1</v>
      </c>
      <c r="Z228" s="35" cm="1">
        <f t="array" ref="Z228">INT(SUMPRODUCT(--ISNUMBER(SEARCH(bipartisan,C228)))&gt;0)</f>
        <v>1</v>
      </c>
      <c r="AA228" s="35">
        <f t="shared" si="3"/>
        <v>0</v>
      </c>
      <c r="AB228" s="14"/>
      <c r="AC228" s="30" t="s">
        <v>223</v>
      </c>
      <c r="AD228" s="37" t="s">
        <v>223</v>
      </c>
    </row>
    <row r="229" spans="1:30" x14ac:dyDescent="0.25">
      <c r="A229" s="36">
        <v>3196</v>
      </c>
      <c r="B229" s="14" t="s">
        <v>6417</v>
      </c>
      <c r="C229" s="14" t="s">
        <v>6418</v>
      </c>
      <c r="D229" s="17">
        <v>44111</v>
      </c>
      <c r="E229" s="14" t="s">
        <v>30</v>
      </c>
      <c r="F229" s="14">
        <v>13</v>
      </c>
      <c r="G229" s="14">
        <v>7</v>
      </c>
      <c r="H229" s="14">
        <v>14</v>
      </c>
      <c r="I229" s="14">
        <v>7</v>
      </c>
      <c r="J229" s="14" t="s">
        <v>31</v>
      </c>
      <c r="K229" s="14" cm="1">
        <f t="array" ref="K229">INT(SUMPRODUCT(--ISNUMBER(SEARCH(economy,C229)))&gt;0)</f>
        <v>0</v>
      </c>
      <c r="L229" s="14" cm="1">
        <f t="array" ref="L229">INT(SUMPRODUCT(--ISNUMBER(SEARCH(healthcare,C229)))&gt;0)</f>
        <v>0</v>
      </c>
      <c r="M229" s="14" cm="1">
        <f t="array" ref="M229">INT(SUMPRODUCT(--ISNUMBER(SEARCH(supreme,C229)))&gt;0)</f>
        <v>0</v>
      </c>
      <c r="N229" s="14" cm="1">
        <f t="array" ref="N229">INT(SUMPRODUCT(--ISNUMBER(SEARCH(covid,C229)))&gt;0)</f>
        <v>0</v>
      </c>
      <c r="O229" s="14" cm="1">
        <f t="array" ref="O229">INT(SUMPRODUCT(--ISNUMBER(SEARCH(violent,C229)))&gt;0)</f>
        <v>0</v>
      </c>
      <c r="P229" s="14" cm="1">
        <f t="array" ref="P229">INT(SUMPRODUCT(--ISNUMBER(SEARCH(foreign,C229)))&gt;0)</f>
        <v>0</v>
      </c>
      <c r="Q229" s="14" cm="1">
        <f t="array" ref="Q229">INT(SUMPRODUCT(--ISNUMBER(SEARCH(gun,C229)))&gt;0)</f>
        <v>0</v>
      </c>
      <c r="R229" s="14" cm="1">
        <f t="array" ref="R229">INT(SUMPRODUCT(--ISNUMBER(SEARCH(race,C229)))&gt;0)</f>
        <v>0</v>
      </c>
      <c r="S229" s="14" cm="1">
        <f t="array" ref="S229">INT(SUMPRODUCT(--ISNUMBER(SEARCH(immigration,C229)))&gt;0)</f>
        <v>0</v>
      </c>
      <c r="T229" s="14" cm="1">
        <f t="array" ref="T229">INT(SUMPRODUCT(--ISNUMBER(SEARCH(econineq,C230)))&gt;0)</f>
        <v>0</v>
      </c>
      <c r="U229" s="14" cm="1">
        <f t="array" ref="U229">INT(SUMPRODUCT(--ISNUMBER(SEARCH(climate,C229)))&gt;0)</f>
        <v>0</v>
      </c>
      <c r="V229" s="14" cm="1">
        <f t="array" ref="V229">INT(SUMPRODUCT(--ISNUMBER(SEARCH(abortion,C229)))&gt;0)</f>
        <v>0</v>
      </c>
      <c r="W229" s="14" cm="1">
        <f t="array" ref="W229">INT(SUMPRODUCT(--ISNUMBER(SEARCH(trump,C229)))&gt;0)</f>
        <v>0</v>
      </c>
      <c r="X229" s="14" cm="1">
        <f t="array" ref="X229">INT(SUMPRODUCT(--ISNUMBER(SEARCH(voting,C229)))&gt;0)</f>
        <v>1</v>
      </c>
      <c r="Y229" s="35" cm="1">
        <f t="array" ref="Y229">INT(SUMPRODUCT(--ISNUMBER(SEARCH(republicantrigger,C229)))&gt;0)</f>
        <v>1</v>
      </c>
      <c r="Z229" s="35" cm="1">
        <f t="array" ref="Z229">INT(SUMPRODUCT(--ISNUMBER(SEARCH(bipartisan,C229)))&gt;0)</f>
        <v>0</v>
      </c>
      <c r="AA229" s="35">
        <f t="shared" si="3"/>
        <v>0</v>
      </c>
      <c r="AB229" s="14"/>
      <c r="AC229" s="30">
        <v>1</v>
      </c>
      <c r="AD229" s="37">
        <v>0</v>
      </c>
    </row>
    <row r="230" spans="1:30" x14ac:dyDescent="0.25">
      <c r="A230" s="36">
        <v>3197</v>
      </c>
      <c r="B230" s="14" t="s">
        <v>6419</v>
      </c>
      <c r="C230" s="14" t="s">
        <v>6420</v>
      </c>
      <c r="D230" s="17">
        <v>44111</v>
      </c>
      <c r="E230" s="14" t="s">
        <v>30</v>
      </c>
      <c r="F230" s="14">
        <v>7</v>
      </c>
      <c r="G230" s="14">
        <v>3</v>
      </c>
      <c r="H230" s="14">
        <v>14</v>
      </c>
      <c r="I230" s="14">
        <v>7</v>
      </c>
      <c r="J230" s="14" t="s">
        <v>31</v>
      </c>
      <c r="K230" s="14" cm="1">
        <f t="array" ref="K230">INT(SUMPRODUCT(--ISNUMBER(SEARCH(economy,C230)))&gt;0)</f>
        <v>0</v>
      </c>
      <c r="L230" s="14" cm="1">
        <f t="array" ref="L230">INT(SUMPRODUCT(--ISNUMBER(SEARCH(healthcare,C230)))&gt;0)</f>
        <v>0</v>
      </c>
      <c r="M230" s="14" cm="1">
        <f t="array" ref="M230">INT(SUMPRODUCT(--ISNUMBER(SEARCH(supreme,C230)))&gt;0)</f>
        <v>0</v>
      </c>
      <c r="N230" s="14" cm="1">
        <f t="array" ref="N230">INT(SUMPRODUCT(--ISNUMBER(SEARCH(covid,C230)))&gt;0)</f>
        <v>0</v>
      </c>
      <c r="O230" s="14" cm="1">
        <f t="array" ref="O230">INT(SUMPRODUCT(--ISNUMBER(SEARCH(violent,C230)))&gt;0)</f>
        <v>0</v>
      </c>
      <c r="P230" s="14" cm="1">
        <f t="array" ref="P230">INT(SUMPRODUCT(--ISNUMBER(SEARCH(foreign,C230)))&gt;0)</f>
        <v>0</v>
      </c>
      <c r="Q230" s="14" cm="1">
        <f t="array" ref="Q230">INT(SUMPRODUCT(--ISNUMBER(SEARCH(gun,C230)))&gt;0)</f>
        <v>0</v>
      </c>
      <c r="R230" s="14" cm="1">
        <f t="array" ref="R230">INT(SUMPRODUCT(--ISNUMBER(SEARCH(race,C230)))&gt;0)</f>
        <v>0</v>
      </c>
      <c r="S230" s="14" cm="1">
        <f t="array" ref="S230">INT(SUMPRODUCT(--ISNUMBER(SEARCH(immigration,C230)))&gt;0)</f>
        <v>0</v>
      </c>
      <c r="T230" s="14" cm="1">
        <f t="array" ref="T230">INT(SUMPRODUCT(--ISNUMBER(SEARCH(econineq,C231)))&gt;0)</f>
        <v>0</v>
      </c>
      <c r="U230" s="14" cm="1">
        <f t="array" ref="U230">INT(SUMPRODUCT(--ISNUMBER(SEARCH(climate,C230)))&gt;0)</f>
        <v>0</v>
      </c>
      <c r="V230" s="14" cm="1">
        <f t="array" ref="V230">INT(SUMPRODUCT(--ISNUMBER(SEARCH(abortion,C230)))&gt;0)</f>
        <v>0</v>
      </c>
      <c r="W230" s="14" cm="1">
        <f t="array" ref="W230">INT(SUMPRODUCT(--ISNUMBER(SEARCH(trump,C230)))&gt;0)</f>
        <v>1</v>
      </c>
      <c r="X230" s="14" cm="1">
        <f t="array" ref="X230">INT(SUMPRODUCT(--ISNUMBER(SEARCH(voting,C230)))&gt;0)</f>
        <v>0</v>
      </c>
      <c r="Y230" s="35" cm="1">
        <f t="array" ref="Y230">INT(SUMPRODUCT(--ISNUMBER(SEARCH(republicantrigger,C230)))&gt;0)</f>
        <v>0</v>
      </c>
      <c r="Z230" s="35" cm="1">
        <f t="array" ref="Z230">INT(SUMPRODUCT(--ISNUMBER(SEARCH(bipartisan,C230)))&gt;0)</f>
        <v>0</v>
      </c>
      <c r="AA230" s="35">
        <f t="shared" si="3"/>
        <v>0</v>
      </c>
      <c r="AB230" s="14"/>
      <c r="AC230" s="30">
        <v>1</v>
      </c>
      <c r="AD230" s="37">
        <v>0</v>
      </c>
    </row>
    <row r="231" spans="1:30" x14ac:dyDescent="0.25">
      <c r="A231" s="36">
        <v>3198</v>
      </c>
      <c r="B231" s="14" t="s">
        <v>6421</v>
      </c>
      <c r="C231" s="14" t="s">
        <v>6422</v>
      </c>
      <c r="D231" s="17">
        <v>44111</v>
      </c>
      <c r="E231" s="14" t="s">
        <v>30</v>
      </c>
      <c r="F231" s="14">
        <v>16</v>
      </c>
      <c r="G231" s="14">
        <v>5</v>
      </c>
      <c r="H231" s="14">
        <v>14</v>
      </c>
      <c r="I231" s="14">
        <v>7</v>
      </c>
      <c r="J231" s="14" t="s">
        <v>31</v>
      </c>
      <c r="K231" s="14" cm="1">
        <f t="array" ref="K231">INT(SUMPRODUCT(--ISNUMBER(SEARCH(economy,C231)))&gt;0)</f>
        <v>0</v>
      </c>
      <c r="L231" s="14" cm="1">
        <f t="array" ref="L231">INT(SUMPRODUCT(--ISNUMBER(SEARCH(healthcare,C231)))&gt;0)</f>
        <v>0</v>
      </c>
      <c r="M231" s="14" cm="1">
        <f t="array" ref="M231">INT(SUMPRODUCT(--ISNUMBER(SEARCH(supreme,C231)))&gt;0)</f>
        <v>0</v>
      </c>
      <c r="N231" s="14" cm="1">
        <f t="array" ref="N231">INT(SUMPRODUCT(--ISNUMBER(SEARCH(covid,C231)))&gt;0)</f>
        <v>0</v>
      </c>
      <c r="O231" s="14" cm="1">
        <f t="array" ref="O231">INT(SUMPRODUCT(--ISNUMBER(SEARCH(violent,C231)))&gt;0)</f>
        <v>0</v>
      </c>
      <c r="P231" s="14" cm="1">
        <f t="array" ref="P231">INT(SUMPRODUCT(--ISNUMBER(SEARCH(foreign,C231)))&gt;0)</f>
        <v>0</v>
      </c>
      <c r="Q231" s="14" cm="1">
        <f t="array" ref="Q231">INT(SUMPRODUCT(--ISNUMBER(SEARCH(gun,C231)))&gt;0)</f>
        <v>0</v>
      </c>
      <c r="R231" s="14" cm="1">
        <f t="array" ref="R231">INT(SUMPRODUCT(--ISNUMBER(SEARCH(race,C231)))&gt;0)</f>
        <v>0</v>
      </c>
      <c r="S231" s="14" cm="1">
        <f t="array" ref="S231">INT(SUMPRODUCT(--ISNUMBER(SEARCH(immigration,C231)))&gt;0)</f>
        <v>0</v>
      </c>
      <c r="T231" s="14" cm="1">
        <f t="array" ref="T231">INT(SUMPRODUCT(--ISNUMBER(SEARCH(econineq,C232)))&gt;0)</f>
        <v>0</v>
      </c>
      <c r="U231" s="14" cm="1">
        <f t="array" ref="U231">INT(SUMPRODUCT(--ISNUMBER(SEARCH(climate,C231)))&gt;0)</f>
        <v>0</v>
      </c>
      <c r="V231" s="14" cm="1">
        <f t="array" ref="V231">INT(SUMPRODUCT(--ISNUMBER(SEARCH(abortion,C231)))&gt;0)</f>
        <v>0</v>
      </c>
      <c r="W231" s="14" cm="1">
        <f t="array" ref="W231">INT(SUMPRODUCT(--ISNUMBER(SEARCH(trump,C231)))&gt;0)</f>
        <v>0</v>
      </c>
      <c r="X231" s="14" cm="1">
        <f t="array" ref="X231">INT(SUMPRODUCT(--ISNUMBER(SEARCH(voting,C231)))&gt;0)</f>
        <v>0</v>
      </c>
      <c r="Y231" s="35" cm="1">
        <f t="array" ref="Y231">INT(SUMPRODUCT(--ISNUMBER(SEARCH(republicantrigger,C231)))&gt;0)</f>
        <v>1</v>
      </c>
      <c r="Z231" s="35" cm="1">
        <f t="array" ref="Z231">INT(SUMPRODUCT(--ISNUMBER(SEARCH(bipartisan,C231)))&gt;0)</f>
        <v>0</v>
      </c>
      <c r="AA231" s="35">
        <f t="shared" si="3"/>
        <v>0</v>
      </c>
      <c r="AB231" s="14"/>
      <c r="AC231" s="30" t="s">
        <v>223</v>
      </c>
      <c r="AD231" s="37" t="s">
        <v>223</v>
      </c>
    </row>
    <row r="232" spans="1:30" x14ac:dyDescent="0.25">
      <c r="A232" s="36">
        <v>3199</v>
      </c>
      <c r="B232" s="14" t="s">
        <v>6423</v>
      </c>
      <c r="C232" s="14" t="s">
        <v>6424</v>
      </c>
      <c r="D232" s="17">
        <v>44111</v>
      </c>
      <c r="E232" s="14" t="s">
        <v>30</v>
      </c>
      <c r="F232" s="14">
        <v>7</v>
      </c>
      <c r="G232" s="14">
        <v>3</v>
      </c>
      <c r="H232" s="14">
        <v>14</v>
      </c>
      <c r="I232" s="14">
        <v>7</v>
      </c>
      <c r="J232" s="14" t="s">
        <v>31</v>
      </c>
      <c r="K232" s="14" cm="1">
        <f t="array" ref="K232">INT(SUMPRODUCT(--ISNUMBER(SEARCH(economy,C232)))&gt;0)</f>
        <v>0</v>
      </c>
      <c r="L232" s="14" cm="1">
        <f t="array" ref="L232">INT(SUMPRODUCT(--ISNUMBER(SEARCH(healthcare,C232)))&gt;0)</f>
        <v>0</v>
      </c>
      <c r="M232" s="14" cm="1">
        <f t="array" ref="M232">INT(SUMPRODUCT(--ISNUMBER(SEARCH(supreme,C232)))&gt;0)</f>
        <v>0</v>
      </c>
      <c r="N232" s="14" cm="1">
        <f t="array" ref="N232">INT(SUMPRODUCT(--ISNUMBER(SEARCH(covid,C232)))&gt;0)</f>
        <v>0</v>
      </c>
      <c r="O232" s="14" cm="1">
        <f t="array" ref="O232">INT(SUMPRODUCT(--ISNUMBER(SEARCH(violent,C232)))&gt;0)</f>
        <v>0</v>
      </c>
      <c r="P232" s="14" cm="1">
        <f t="array" ref="P232">INT(SUMPRODUCT(--ISNUMBER(SEARCH(foreign,C232)))&gt;0)</f>
        <v>0</v>
      </c>
      <c r="Q232" s="14" cm="1">
        <f t="array" ref="Q232">INT(SUMPRODUCT(--ISNUMBER(SEARCH(gun,C232)))&gt;0)</f>
        <v>0</v>
      </c>
      <c r="R232" s="14" cm="1">
        <f t="array" ref="R232">INT(SUMPRODUCT(--ISNUMBER(SEARCH(race,C232)))&gt;0)</f>
        <v>0</v>
      </c>
      <c r="S232" s="14" cm="1">
        <f t="array" ref="S232">INT(SUMPRODUCT(--ISNUMBER(SEARCH(immigration,C232)))&gt;0)</f>
        <v>0</v>
      </c>
      <c r="T232" s="14" cm="1">
        <f t="array" ref="T232">INT(SUMPRODUCT(--ISNUMBER(SEARCH(econineq,C233)))&gt;0)</f>
        <v>0</v>
      </c>
      <c r="U232" s="14" cm="1">
        <f t="array" ref="U232">INT(SUMPRODUCT(--ISNUMBER(SEARCH(climate,C232)))&gt;0)</f>
        <v>0</v>
      </c>
      <c r="V232" s="14" cm="1">
        <f t="array" ref="V232">INT(SUMPRODUCT(--ISNUMBER(SEARCH(abortion,C232)))&gt;0)</f>
        <v>0</v>
      </c>
      <c r="W232" s="14" cm="1">
        <f t="array" ref="W232">INT(SUMPRODUCT(--ISNUMBER(SEARCH(trump,C232)))&gt;0)</f>
        <v>0</v>
      </c>
      <c r="X232" s="14" cm="1">
        <f t="array" ref="X232">INT(SUMPRODUCT(--ISNUMBER(SEARCH(voting,C232)))&gt;0)</f>
        <v>0</v>
      </c>
      <c r="Y232" s="35" cm="1">
        <f t="array" ref="Y232">INT(SUMPRODUCT(--ISNUMBER(SEARCH(republicantrigger,C232)))&gt;0)</f>
        <v>0</v>
      </c>
      <c r="Z232" s="35" cm="1">
        <f t="array" ref="Z232">INT(SUMPRODUCT(--ISNUMBER(SEARCH(bipartisan,C232)))&gt;0)</f>
        <v>0</v>
      </c>
      <c r="AA232" s="35">
        <f t="shared" si="3"/>
        <v>1</v>
      </c>
      <c r="AB232" s="14"/>
      <c r="AC232" s="30" t="s">
        <v>223</v>
      </c>
      <c r="AD232" s="37" t="s">
        <v>223</v>
      </c>
    </row>
    <row r="233" spans="1:30" x14ac:dyDescent="0.25">
      <c r="A233" s="36">
        <v>3200</v>
      </c>
      <c r="B233" s="14" t="s">
        <v>6425</v>
      </c>
      <c r="C233" s="14" t="s">
        <v>6426</v>
      </c>
      <c r="D233" s="17">
        <v>44111</v>
      </c>
      <c r="E233" s="14" t="s">
        <v>30</v>
      </c>
      <c r="F233" s="14">
        <v>32</v>
      </c>
      <c r="G233" s="14">
        <v>16</v>
      </c>
      <c r="H233" s="14">
        <v>14</v>
      </c>
      <c r="I233" s="14">
        <v>7</v>
      </c>
      <c r="J233" s="14" t="s">
        <v>31</v>
      </c>
      <c r="K233" s="14" cm="1">
        <f t="array" ref="K233">INT(SUMPRODUCT(--ISNUMBER(SEARCH(economy,C233)))&gt;0)</f>
        <v>0</v>
      </c>
      <c r="L233" s="14" cm="1">
        <f t="array" ref="L233">INT(SUMPRODUCT(--ISNUMBER(SEARCH(healthcare,C233)))&gt;0)</f>
        <v>0</v>
      </c>
      <c r="M233" s="14" cm="1">
        <f t="array" ref="M233">INT(SUMPRODUCT(--ISNUMBER(SEARCH(supreme,C233)))&gt;0)</f>
        <v>0</v>
      </c>
      <c r="N233" s="14" cm="1">
        <f t="array" ref="N233">INT(SUMPRODUCT(--ISNUMBER(SEARCH(covid,C233)))&gt;0)</f>
        <v>0</v>
      </c>
      <c r="O233" s="14" cm="1">
        <f t="array" ref="O233">INT(SUMPRODUCT(--ISNUMBER(SEARCH(violent,C233)))&gt;0)</f>
        <v>0</v>
      </c>
      <c r="P233" s="14" cm="1">
        <f t="array" ref="P233">INT(SUMPRODUCT(--ISNUMBER(SEARCH(foreign,C233)))&gt;0)</f>
        <v>0</v>
      </c>
      <c r="Q233" s="14" cm="1">
        <f t="array" ref="Q233">INT(SUMPRODUCT(--ISNUMBER(SEARCH(gun,C233)))&gt;0)</f>
        <v>0</v>
      </c>
      <c r="R233" s="14" cm="1">
        <f t="array" ref="R233">INT(SUMPRODUCT(--ISNUMBER(SEARCH(race,C233)))&gt;0)</f>
        <v>0</v>
      </c>
      <c r="S233" s="14" cm="1">
        <f t="array" ref="S233">INT(SUMPRODUCT(--ISNUMBER(SEARCH(immigration,C233)))&gt;0)</f>
        <v>0</v>
      </c>
      <c r="T233" s="14" cm="1">
        <f t="array" ref="T233">INT(SUMPRODUCT(--ISNUMBER(SEARCH(econineq,C234)))&gt;0)</f>
        <v>0</v>
      </c>
      <c r="U233" s="14" cm="1">
        <f t="array" ref="U233">INT(SUMPRODUCT(--ISNUMBER(SEARCH(climate,C233)))&gt;0)</f>
        <v>0</v>
      </c>
      <c r="V233" s="14" cm="1">
        <f t="array" ref="V233">INT(SUMPRODUCT(--ISNUMBER(SEARCH(abortion,C233)))&gt;0)</f>
        <v>0</v>
      </c>
      <c r="W233" s="14" cm="1">
        <f t="array" ref="W233">INT(SUMPRODUCT(--ISNUMBER(SEARCH(trump,C233)))&gt;0)</f>
        <v>0</v>
      </c>
      <c r="X233" s="14" cm="1">
        <f t="array" ref="X233">INT(SUMPRODUCT(--ISNUMBER(SEARCH(voting,C233)))&gt;0)</f>
        <v>0</v>
      </c>
      <c r="Y233" s="35" cm="1">
        <f t="array" ref="Y233">INT(SUMPRODUCT(--ISNUMBER(SEARCH(republicantrigger,C233)))&gt;0)</f>
        <v>1</v>
      </c>
      <c r="Z233" s="35" cm="1">
        <f t="array" ref="Z233">INT(SUMPRODUCT(--ISNUMBER(SEARCH(bipartisan,C233)))&gt;0)</f>
        <v>0</v>
      </c>
      <c r="AA233" s="35">
        <f t="shared" si="3"/>
        <v>0</v>
      </c>
      <c r="AB233" s="14"/>
      <c r="AC233" s="30">
        <v>0</v>
      </c>
      <c r="AD233" s="37">
        <v>1</v>
      </c>
    </row>
    <row r="234" spans="1:30" x14ac:dyDescent="0.25">
      <c r="A234" s="36">
        <v>3201</v>
      </c>
      <c r="B234" s="14" t="s">
        <v>6427</v>
      </c>
      <c r="C234" s="14" t="s">
        <v>6428</v>
      </c>
      <c r="D234" s="17">
        <v>44111</v>
      </c>
      <c r="E234" s="14" t="s">
        <v>30</v>
      </c>
      <c r="F234" s="14">
        <v>27</v>
      </c>
      <c r="G234" s="14">
        <v>22</v>
      </c>
      <c r="H234" s="14">
        <v>14</v>
      </c>
      <c r="I234" s="14">
        <v>7</v>
      </c>
      <c r="J234" s="14" t="s">
        <v>31</v>
      </c>
      <c r="K234" s="14" cm="1">
        <f t="array" ref="K234">INT(SUMPRODUCT(--ISNUMBER(SEARCH(economy,C234)))&gt;0)</f>
        <v>0</v>
      </c>
      <c r="L234" s="14" cm="1">
        <f t="array" ref="L234">INT(SUMPRODUCT(--ISNUMBER(SEARCH(healthcare,C234)))&gt;0)</f>
        <v>0</v>
      </c>
      <c r="M234" s="14" cm="1">
        <f t="array" ref="M234">INT(SUMPRODUCT(--ISNUMBER(SEARCH(supreme,C234)))&gt;0)</f>
        <v>0</v>
      </c>
      <c r="N234" s="14" cm="1">
        <f t="array" ref="N234">INT(SUMPRODUCT(--ISNUMBER(SEARCH(covid,C234)))&gt;0)</f>
        <v>0</v>
      </c>
      <c r="O234" s="14" cm="1">
        <f t="array" ref="O234">INT(SUMPRODUCT(--ISNUMBER(SEARCH(violent,C234)))&gt;0)</f>
        <v>0</v>
      </c>
      <c r="P234" s="14" cm="1">
        <f t="array" ref="P234">INT(SUMPRODUCT(--ISNUMBER(SEARCH(foreign,C234)))&gt;0)</f>
        <v>0</v>
      </c>
      <c r="Q234" s="14" cm="1">
        <f t="array" ref="Q234">INT(SUMPRODUCT(--ISNUMBER(SEARCH(gun,C234)))&gt;0)</f>
        <v>0</v>
      </c>
      <c r="R234" s="14" cm="1">
        <f t="array" ref="R234">INT(SUMPRODUCT(--ISNUMBER(SEARCH(race,C234)))&gt;0)</f>
        <v>0</v>
      </c>
      <c r="S234" s="14" cm="1">
        <f t="array" ref="S234">INT(SUMPRODUCT(--ISNUMBER(SEARCH(immigration,C234)))&gt;0)</f>
        <v>0</v>
      </c>
      <c r="T234" s="14" cm="1">
        <f t="array" ref="T234">INT(SUMPRODUCT(--ISNUMBER(SEARCH(econineq,C235)))&gt;0)</f>
        <v>0</v>
      </c>
      <c r="U234" s="14" cm="1">
        <f t="array" ref="U234">INT(SUMPRODUCT(--ISNUMBER(SEARCH(climate,C234)))&gt;0)</f>
        <v>0</v>
      </c>
      <c r="V234" s="14" cm="1">
        <f t="array" ref="V234">INT(SUMPRODUCT(--ISNUMBER(SEARCH(abortion,C234)))&gt;0)</f>
        <v>0</v>
      </c>
      <c r="W234" s="14" cm="1">
        <f t="array" ref="W234">INT(SUMPRODUCT(--ISNUMBER(SEARCH(trump,C234)))&gt;0)</f>
        <v>0</v>
      </c>
      <c r="X234" s="14" cm="1">
        <f t="array" ref="X234">INT(SUMPRODUCT(--ISNUMBER(SEARCH(voting,C234)))&gt;0)</f>
        <v>0</v>
      </c>
      <c r="Y234" s="35" cm="1">
        <f t="array" ref="Y234">INT(SUMPRODUCT(--ISNUMBER(SEARCH(republicantrigger,C234)))&gt;0)</f>
        <v>1</v>
      </c>
      <c r="Z234" s="35" cm="1">
        <f t="array" ref="Z234">INT(SUMPRODUCT(--ISNUMBER(SEARCH(bipartisan,C234)))&gt;0)</f>
        <v>0</v>
      </c>
      <c r="AA234" s="35">
        <f t="shared" si="3"/>
        <v>0</v>
      </c>
      <c r="AB234" s="14"/>
      <c r="AC234" s="30">
        <v>0</v>
      </c>
      <c r="AD234" s="37">
        <v>1</v>
      </c>
    </row>
    <row r="235" spans="1:30" x14ac:dyDescent="0.25">
      <c r="A235" s="36">
        <v>3202</v>
      </c>
      <c r="B235" s="14" t="s">
        <v>6429</v>
      </c>
      <c r="C235" s="14" t="s">
        <v>6430</v>
      </c>
      <c r="D235" s="17">
        <v>44110</v>
      </c>
      <c r="E235" s="14" t="s">
        <v>30</v>
      </c>
      <c r="F235" s="14">
        <v>15</v>
      </c>
      <c r="G235" s="14">
        <v>10</v>
      </c>
      <c r="H235" s="14">
        <v>14</v>
      </c>
      <c r="I235" s="14">
        <v>7</v>
      </c>
      <c r="J235" s="14" t="s">
        <v>31</v>
      </c>
      <c r="K235" s="14" cm="1">
        <f t="array" ref="K235">INT(SUMPRODUCT(--ISNUMBER(SEARCH(economy,C235)))&gt;0)</f>
        <v>0</v>
      </c>
      <c r="L235" s="14" cm="1">
        <f t="array" ref="L235">INT(SUMPRODUCT(--ISNUMBER(SEARCH(healthcare,C235)))&gt;0)</f>
        <v>0</v>
      </c>
      <c r="M235" s="14" cm="1">
        <f t="array" ref="M235">INT(SUMPRODUCT(--ISNUMBER(SEARCH(supreme,C235)))&gt;0)</f>
        <v>0</v>
      </c>
      <c r="N235" s="14" cm="1">
        <f t="array" ref="N235">INT(SUMPRODUCT(--ISNUMBER(SEARCH(covid,C235)))&gt;0)</f>
        <v>0</v>
      </c>
      <c r="O235" s="14" cm="1">
        <f t="array" ref="O235">INT(SUMPRODUCT(--ISNUMBER(SEARCH(violent,C235)))&gt;0)</f>
        <v>0</v>
      </c>
      <c r="P235" s="14" cm="1">
        <f t="array" ref="P235">INT(SUMPRODUCT(--ISNUMBER(SEARCH(foreign,C235)))&gt;0)</f>
        <v>0</v>
      </c>
      <c r="Q235" s="14" cm="1">
        <f t="array" ref="Q235">INT(SUMPRODUCT(--ISNUMBER(SEARCH(gun,C235)))&gt;0)</f>
        <v>0</v>
      </c>
      <c r="R235" s="14" cm="1">
        <f t="array" ref="R235">INT(SUMPRODUCT(--ISNUMBER(SEARCH(race,C235)))&gt;0)</f>
        <v>0</v>
      </c>
      <c r="S235" s="14" cm="1">
        <f t="array" ref="S235">INT(SUMPRODUCT(--ISNUMBER(SEARCH(immigration,C235)))&gt;0)</f>
        <v>0</v>
      </c>
      <c r="T235" s="14" cm="1">
        <f t="array" ref="T235">INT(SUMPRODUCT(--ISNUMBER(SEARCH(econineq,C236)))&gt;0)</f>
        <v>0</v>
      </c>
      <c r="U235" s="14" cm="1">
        <f t="array" ref="U235">INT(SUMPRODUCT(--ISNUMBER(SEARCH(climate,C235)))&gt;0)</f>
        <v>0</v>
      </c>
      <c r="V235" s="14" cm="1">
        <f t="array" ref="V235">INT(SUMPRODUCT(--ISNUMBER(SEARCH(abortion,C235)))&gt;0)</f>
        <v>0</v>
      </c>
      <c r="W235" s="14" cm="1">
        <f t="array" ref="W235">INT(SUMPRODUCT(--ISNUMBER(SEARCH(trump,C235)))&gt;0)</f>
        <v>0</v>
      </c>
      <c r="X235" s="14" cm="1">
        <f t="array" ref="X235">INT(SUMPRODUCT(--ISNUMBER(SEARCH(voting,C235)))&gt;0)</f>
        <v>0</v>
      </c>
      <c r="Y235" s="35" cm="1">
        <f t="array" ref="Y235">INT(SUMPRODUCT(--ISNUMBER(SEARCH(republicantrigger,C235)))&gt;0)</f>
        <v>1</v>
      </c>
      <c r="Z235" s="35" cm="1">
        <f t="array" ref="Z235">INT(SUMPRODUCT(--ISNUMBER(SEARCH(bipartisan,C235)))&gt;0)</f>
        <v>0</v>
      </c>
      <c r="AA235" s="35">
        <f t="shared" si="3"/>
        <v>0</v>
      </c>
      <c r="AB235" s="14"/>
      <c r="AC235" s="30">
        <v>1</v>
      </c>
      <c r="AD235" s="37">
        <v>0</v>
      </c>
    </row>
    <row r="236" spans="1:30" x14ac:dyDescent="0.25">
      <c r="A236" s="36">
        <v>3203</v>
      </c>
      <c r="B236" s="14" t="s">
        <v>6431</v>
      </c>
      <c r="C236" s="14" t="s">
        <v>6432</v>
      </c>
      <c r="D236" s="17">
        <v>44110</v>
      </c>
      <c r="E236" s="14" t="s">
        <v>30</v>
      </c>
      <c r="F236" s="14">
        <v>16</v>
      </c>
      <c r="G236" s="14">
        <v>7</v>
      </c>
      <c r="H236" s="14">
        <v>14</v>
      </c>
      <c r="I236" s="14">
        <v>7</v>
      </c>
      <c r="J236" s="14" t="s">
        <v>31</v>
      </c>
      <c r="K236" s="14" cm="1">
        <f t="array" ref="K236">INT(SUMPRODUCT(--ISNUMBER(SEARCH(economy,C236)))&gt;0)</f>
        <v>0</v>
      </c>
      <c r="L236" s="14" cm="1">
        <f t="array" ref="L236">INT(SUMPRODUCT(--ISNUMBER(SEARCH(healthcare,C236)))&gt;0)</f>
        <v>0</v>
      </c>
      <c r="M236" s="14" cm="1">
        <f t="array" ref="M236">INT(SUMPRODUCT(--ISNUMBER(SEARCH(supreme,C236)))&gt;0)</f>
        <v>0</v>
      </c>
      <c r="N236" s="14" cm="1">
        <f t="array" ref="N236">INT(SUMPRODUCT(--ISNUMBER(SEARCH(covid,C236)))&gt;0)</f>
        <v>0</v>
      </c>
      <c r="O236" s="14" cm="1">
        <f t="array" ref="O236">INT(SUMPRODUCT(--ISNUMBER(SEARCH(violent,C236)))&gt;0)</f>
        <v>1</v>
      </c>
      <c r="P236" s="14" cm="1">
        <f t="array" ref="P236">INT(SUMPRODUCT(--ISNUMBER(SEARCH(foreign,C236)))&gt;0)</f>
        <v>0</v>
      </c>
      <c r="Q236" s="14" cm="1">
        <f t="array" ref="Q236">INT(SUMPRODUCT(--ISNUMBER(SEARCH(gun,C236)))&gt;0)</f>
        <v>0</v>
      </c>
      <c r="R236" s="14" cm="1">
        <f t="array" ref="R236">INT(SUMPRODUCT(--ISNUMBER(SEARCH(race,C236)))&gt;0)</f>
        <v>0</v>
      </c>
      <c r="S236" s="14" cm="1">
        <f t="array" ref="S236">INT(SUMPRODUCT(--ISNUMBER(SEARCH(immigration,C236)))&gt;0)</f>
        <v>0</v>
      </c>
      <c r="T236" s="14" cm="1">
        <f t="array" ref="T236">INT(SUMPRODUCT(--ISNUMBER(SEARCH(econineq,C237)))&gt;0)</f>
        <v>0</v>
      </c>
      <c r="U236" s="14" cm="1">
        <f t="array" ref="U236">INT(SUMPRODUCT(--ISNUMBER(SEARCH(climate,C236)))&gt;0)</f>
        <v>0</v>
      </c>
      <c r="V236" s="14" cm="1">
        <f t="array" ref="V236">INT(SUMPRODUCT(--ISNUMBER(SEARCH(abortion,C236)))&gt;0)</f>
        <v>0</v>
      </c>
      <c r="W236" s="14" cm="1">
        <f t="array" ref="W236">INT(SUMPRODUCT(--ISNUMBER(SEARCH(trump,C236)))&gt;0)</f>
        <v>0</v>
      </c>
      <c r="X236" s="14" cm="1">
        <f t="array" ref="X236">INT(SUMPRODUCT(--ISNUMBER(SEARCH(voting,C236)))&gt;0)</f>
        <v>0</v>
      </c>
      <c r="Y236" s="35" cm="1">
        <f t="array" ref="Y236">INT(SUMPRODUCT(--ISNUMBER(SEARCH(republicantrigger,C236)))&gt;0)</f>
        <v>1</v>
      </c>
      <c r="Z236" s="35" cm="1">
        <f t="array" ref="Z236">INT(SUMPRODUCT(--ISNUMBER(SEARCH(bipartisan,C236)))&gt;0)</f>
        <v>0</v>
      </c>
      <c r="AA236" s="35">
        <f t="shared" si="3"/>
        <v>0</v>
      </c>
      <c r="AB236" s="14"/>
      <c r="AC236" s="30" t="s">
        <v>223</v>
      </c>
      <c r="AD236" s="37" t="s">
        <v>223</v>
      </c>
    </row>
    <row r="237" spans="1:30" x14ac:dyDescent="0.25">
      <c r="A237" s="36">
        <v>3204</v>
      </c>
      <c r="B237" s="14" t="s">
        <v>6433</v>
      </c>
      <c r="C237" s="14" t="s">
        <v>6434</v>
      </c>
      <c r="D237" s="17">
        <v>44110</v>
      </c>
      <c r="E237" s="14" t="s">
        <v>30</v>
      </c>
      <c r="F237" s="14">
        <v>19</v>
      </c>
      <c r="G237" s="14">
        <v>10</v>
      </c>
      <c r="H237" s="14">
        <v>14</v>
      </c>
      <c r="I237" s="14">
        <v>7</v>
      </c>
      <c r="J237" s="14" t="s">
        <v>31</v>
      </c>
      <c r="K237" s="14" cm="1">
        <f t="array" ref="K237">INT(SUMPRODUCT(--ISNUMBER(SEARCH(economy,C237)))&gt;0)</f>
        <v>0</v>
      </c>
      <c r="L237" s="14" cm="1">
        <f t="array" ref="L237">INT(SUMPRODUCT(--ISNUMBER(SEARCH(healthcare,C237)))&gt;0)</f>
        <v>0</v>
      </c>
      <c r="M237" s="14" cm="1">
        <f t="array" ref="M237">INT(SUMPRODUCT(--ISNUMBER(SEARCH(supreme,C237)))&gt;0)</f>
        <v>0</v>
      </c>
      <c r="N237" s="14" cm="1">
        <f t="array" ref="N237">INT(SUMPRODUCT(--ISNUMBER(SEARCH(covid,C237)))&gt;0)</f>
        <v>0</v>
      </c>
      <c r="O237" s="14" cm="1">
        <f t="array" ref="O237">INT(SUMPRODUCT(--ISNUMBER(SEARCH(violent,C237)))&gt;0)</f>
        <v>0</v>
      </c>
      <c r="P237" s="14" cm="1">
        <f t="array" ref="P237">INT(SUMPRODUCT(--ISNUMBER(SEARCH(foreign,C237)))&gt;0)</f>
        <v>0</v>
      </c>
      <c r="Q237" s="14" cm="1">
        <f t="array" ref="Q237">INT(SUMPRODUCT(--ISNUMBER(SEARCH(gun,C237)))&gt;0)</f>
        <v>0</v>
      </c>
      <c r="R237" s="14" cm="1">
        <f t="array" ref="R237">INT(SUMPRODUCT(--ISNUMBER(SEARCH(race,C237)))&gt;0)</f>
        <v>0</v>
      </c>
      <c r="S237" s="14" cm="1">
        <f t="array" ref="S237">INT(SUMPRODUCT(--ISNUMBER(SEARCH(immigration,C237)))&gt;0)</f>
        <v>0</v>
      </c>
      <c r="T237" s="14" cm="1">
        <f t="array" ref="T237">INT(SUMPRODUCT(--ISNUMBER(SEARCH(econineq,C238)))&gt;0)</f>
        <v>0</v>
      </c>
      <c r="U237" s="14" cm="1">
        <f t="array" ref="U237">INT(SUMPRODUCT(--ISNUMBER(SEARCH(climate,C237)))&gt;0)</f>
        <v>0</v>
      </c>
      <c r="V237" s="14" cm="1">
        <f t="array" ref="V237">INT(SUMPRODUCT(--ISNUMBER(SEARCH(abortion,C237)))&gt;0)</f>
        <v>0</v>
      </c>
      <c r="W237" s="14" cm="1">
        <f t="array" ref="W237">INT(SUMPRODUCT(--ISNUMBER(SEARCH(trump,C237)))&gt;0)</f>
        <v>0</v>
      </c>
      <c r="X237" s="14" cm="1">
        <f t="array" ref="X237">INT(SUMPRODUCT(--ISNUMBER(SEARCH(voting,C237)))&gt;0)</f>
        <v>0</v>
      </c>
      <c r="Y237" s="35" cm="1">
        <f t="array" ref="Y237">INT(SUMPRODUCT(--ISNUMBER(SEARCH(republicantrigger,C237)))&gt;0)</f>
        <v>1</v>
      </c>
      <c r="Z237" s="35" cm="1">
        <f t="array" ref="Z237">INT(SUMPRODUCT(--ISNUMBER(SEARCH(bipartisan,C237)))&gt;0)</f>
        <v>0</v>
      </c>
      <c r="AA237" s="35">
        <f t="shared" si="3"/>
        <v>0</v>
      </c>
      <c r="AB237" s="14"/>
      <c r="AC237" s="30">
        <v>1</v>
      </c>
      <c r="AD237" s="37">
        <v>0</v>
      </c>
    </row>
    <row r="238" spans="1:30" x14ac:dyDescent="0.25">
      <c r="A238" s="36">
        <v>3205</v>
      </c>
      <c r="B238" s="14" t="s">
        <v>6435</v>
      </c>
      <c r="C238" s="14" t="s">
        <v>6436</v>
      </c>
      <c r="D238" s="17">
        <v>44110</v>
      </c>
      <c r="E238" s="14" t="s">
        <v>30</v>
      </c>
      <c r="F238" s="14">
        <v>20</v>
      </c>
      <c r="G238" s="14">
        <v>12</v>
      </c>
      <c r="H238" s="14">
        <v>14</v>
      </c>
      <c r="I238" s="14">
        <v>7</v>
      </c>
      <c r="J238" s="14" t="s">
        <v>31</v>
      </c>
      <c r="K238" s="14" cm="1">
        <f t="array" ref="K238">INT(SUMPRODUCT(--ISNUMBER(SEARCH(economy,C238)))&gt;0)</f>
        <v>0</v>
      </c>
      <c r="L238" s="14" cm="1">
        <f t="array" ref="L238">INT(SUMPRODUCT(--ISNUMBER(SEARCH(healthcare,C238)))&gt;0)</f>
        <v>0</v>
      </c>
      <c r="M238" s="14" cm="1">
        <f t="array" ref="M238">INT(SUMPRODUCT(--ISNUMBER(SEARCH(supreme,C238)))&gt;0)</f>
        <v>0</v>
      </c>
      <c r="N238" s="14" cm="1">
        <f t="array" ref="N238">INT(SUMPRODUCT(--ISNUMBER(SEARCH(covid,C238)))&gt;0)</f>
        <v>0</v>
      </c>
      <c r="O238" s="14" cm="1">
        <f t="array" ref="O238">INT(SUMPRODUCT(--ISNUMBER(SEARCH(violent,C238)))&gt;0)</f>
        <v>0</v>
      </c>
      <c r="P238" s="14" cm="1">
        <f t="array" ref="P238">INT(SUMPRODUCT(--ISNUMBER(SEARCH(foreign,C238)))&gt;0)</f>
        <v>0</v>
      </c>
      <c r="Q238" s="14" cm="1">
        <f t="array" ref="Q238">INT(SUMPRODUCT(--ISNUMBER(SEARCH(gun,C238)))&gt;0)</f>
        <v>0</v>
      </c>
      <c r="R238" s="14" cm="1">
        <f t="array" ref="R238">INT(SUMPRODUCT(--ISNUMBER(SEARCH(race,C238)))&gt;0)</f>
        <v>0</v>
      </c>
      <c r="S238" s="14" cm="1">
        <f t="array" ref="S238">INT(SUMPRODUCT(--ISNUMBER(SEARCH(immigration,C238)))&gt;0)</f>
        <v>0</v>
      </c>
      <c r="T238" s="14" cm="1">
        <f t="array" ref="T238">INT(SUMPRODUCT(--ISNUMBER(SEARCH(econineq,C239)))&gt;0)</f>
        <v>0</v>
      </c>
      <c r="U238" s="14" cm="1">
        <f t="array" ref="U238">INT(SUMPRODUCT(--ISNUMBER(SEARCH(climate,C238)))&gt;0)</f>
        <v>0</v>
      </c>
      <c r="V238" s="14" cm="1">
        <f t="array" ref="V238">INT(SUMPRODUCT(--ISNUMBER(SEARCH(abortion,C238)))&gt;0)</f>
        <v>0</v>
      </c>
      <c r="W238" s="14" cm="1">
        <f t="array" ref="W238">INT(SUMPRODUCT(--ISNUMBER(SEARCH(trump,C238)))&gt;0)</f>
        <v>0</v>
      </c>
      <c r="X238" s="14" cm="1">
        <f t="array" ref="X238">INT(SUMPRODUCT(--ISNUMBER(SEARCH(voting,C238)))&gt;0)</f>
        <v>0</v>
      </c>
      <c r="Y238" s="35" cm="1">
        <f t="array" ref="Y238">INT(SUMPRODUCT(--ISNUMBER(SEARCH(republicantrigger,C238)))&gt;0)</f>
        <v>0</v>
      </c>
      <c r="Z238" s="35" cm="1">
        <f t="array" ref="Z238">INT(SUMPRODUCT(--ISNUMBER(SEARCH(bipartisan,C238)))&gt;0)</f>
        <v>0</v>
      </c>
      <c r="AA238" s="35">
        <f t="shared" si="3"/>
        <v>1</v>
      </c>
      <c r="AB238" s="14"/>
      <c r="AC238" s="30" t="s">
        <v>223</v>
      </c>
      <c r="AD238" s="37" t="s">
        <v>223</v>
      </c>
    </row>
    <row r="239" spans="1:30" x14ac:dyDescent="0.25">
      <c r="A239" s="36">
        <v>3206</v>
      </c>
      <c r="B239" s="14" t="s">
        <v>6437</v>
      </c>
      <c r="C239" s="14" t="s">
        <v>6438</v>
      </c>
      <c r="D239" s="17">
        <v>44110</v>
      </c>
      <c r="E239" s="14" t="s">
        <v>70</v>
      </c>
      <c r="F239" s="14">
        <v>16</v>
      </c>
      <c r="G239" s="14">
        <v>4</v>
      </c>
      <c r="H239" s="14">
        <v>14</v>
      </c>
      <c r="I239" s="14">
        <v>7</v>
      </c>
      <c r="J239" s="14" t="s">
        <v>31</v>
      </c>
      <c r="K239" s="14" cm="1">
        <f t="array" ref="K239">INT(SUMPRODUCT(--ISNUMBER(SEARCH(economy,C239)))&gt;0)</f>
        <v>0</v>
      </c>
      <c r="L239" s="14" cm="1">
        <f t="array" ref="L239">INT(SUMPRODUCT(--ISNUMBER(SEARCH(healthcare,C239)))&gt;0)</f>
        <v>0</v>
      </c>
      <c r="M239" s="14" cm="1">
        <f t="array" ref="M239">INT(SUMPRODUCT(--ISNUMBER(SEARCH(supreme,C239)))&gt;0)</f>
        <v>0</v>
      </c>
      <c r="N239" s="14" cm="1">
        <f t="array" ref="N239">INT(SUMPRODUCT(--ISNUMBER(SEARCH(covid,C239)))&gt;0)</f>
        <v>0</v>
      </c>
      <c r="O239" s="14" cm="1">
        <f t="array" ref="O239">INT(SUMPRODUCT(--ISNUMBER(SEARCH(violent,C239)))&gt;0)</f>
        <v>0</v>
      </c>
      <c r="P239" s="14" cm="1">
        <f t="array" ref="P239">INT(SUMPRODUCT(--ISNUMBER(SEARCH(foreign,C239)))&gt;0)</f>
        <v>0</v>
      </c>
      <c r="Q239" s="14" cm="1">
        <f t="array" ref="Q239">INT(SUMPRODUCT(--ISNUMBER(SEARCH(gun,C239)))&gt;0)</f>
        <v>0</v>
      </c>
      <c r="R239" s="14" cm="1">
        <f t="array" ref="R239">INT(SUMPRODUCT(--ISNUMBER(SEARCH(race,C239)))&gt;0)</f>
        <v>0</v>
      </c>
      <c r="S239" s="14" cm="1">
        <f t="array" ref="S239">INT(SUMPRODUCT(--ISNUMBER(SEARCH(immigration,C239)))&gt;0)</f>
        <v>0</v>
      </c>
      <c r="T239" s="14" cm="1">
        <f t="array" ref="T239">INT(SUMPRODUCT(--ISNUMBER(SEARCH(econineq,C240)))&gt;0)</f>
        <v>0</v>
      </c>
      <c r="U239" s="14" cm="1">
        <f t="array" ref="U239">INT(SUMPRODUCT(--ISNUMBER(SEARCH(climate,C239)))&gt;0)</f>
        <v>0</v>
      </c>
      <c r="V239" s="14" cm="1">
        <f t="array" ref="V239">INT(SUMPRODUCT(--ISNUMBER(SEARCH(abortion,C239)))&gt;0)</f>
        <v>0</v>
      </c>
      <c r="W239" s="14" cm="1">
        <f t="array" ref="W239">INT(SUMPRODUCT(--ISNUMBER(SEARCH(trump,C239)))&gt;0)</f>
        <v>0</v>
      </c>
      <c r="X239" s="14" cm="1">
        <f t="array" ref="X239">INT(SUMPRODUCT(--ISNUMBER(SEARCH(voting,C239)))&gt;0)</f>
        <v>0</v>
      </c>
      <c r="Y239" s="35" cm="1">
        <f t="array" ref="Y239">INT(SUMPRODUCT(--ISNUMBER(SEARCH(republicantrigger,C239)))&gt;0)</f>
        <v>1</v>
      </c>
      <c r="Z239" s="35" cm="1">
        <f t="array" ref="Z239">INT(SUMPRODUCT(--ISNUMBER(SEARCH(bipartisan,C239)))&gt;0)</f>
        <v>0</v>
      </c>
      <c r="AA239" s="35">
        <f t="shared" si="3"/>
        <v>0</v>
      </c>
      <c r="AB239" s="14"/>
      <c r="AC239" s="30" t="s">
        <v>223</v>
      </c>
      <c r="AD239" s="37" t="s">
        <v>223</v>
      </c>
    </row>
    <row r="240" spans="1:30" x14ac:dyDescent="0.25">
      <c r="A240" s="36">
        <v>3207</v>
      </c>
      <c r="B240" s="14" t="s">
        <v>6439</v>
      </c>
      <c r="C240" s="14" t="s">
        <v>6440</v>
      </c>
      <c r="D240" s="17">
        <v>44110</v>
      </c>
      <c r="E240" s="14" t="s">
        <v>70</v>
      </c>
      <c r="F240" s="14">
        <v>17</v>
      </c>
      <c r="G240" s="14">
        <v>4</v>
      </c>
      <c r="H240" s="14">
        <v>14</v>
      </c>
      <c r="I240" s="14">
        <v>7</v>
      </c>
      <c r="J240" s="14" t="s">
        <v>31</v>
      </c>
      <c r="K240" s="14" cm="1">
        <f t="array" ref="K240">INT(SUMPRODUCT(--ISNUMBER(SEARCH(economy,C240)))&gt;0)</f>
        <v>0</v>
      </c>
      <c r="L240" s="14" cm="1">
        <f t="array" ref="L240">INT(SUMPRODUCT(--ISNUMBER(SEARCH(healthcare,C240)))&gt;0)</f>
        <v>0</v>
      </c>
      <c r="M240" s="14" cm="1">
        <f t="array" ref="M240">INT(SUMPRODUCT(--ISNUMBER(SEARCH(supreme,C240)))&gt;0)</f>
        <v>0</v>
      </c>
      <c r="N240" s="14" cm="1">
        <f t="array" ref="N240">INT(SUMPRODUCT(--ISNUMBER(SEARCH(covid,C240)))&gt;0)</f>
        <v>0</v>
      </c>
      <c r="O240" s="14" cm="1">
        <f t="array" ref="O240">INT(SUMPRODUCT(--ISNUMBER(SEARCH(violent,C240)))&gt;0)</f>
        <v>1</v>
      </c>
      <c r="P240" s="14" cm="1">
        <f t="array" ref="P240">INT(SUMPRODUCT(--ISNUMBER(SEARCH(foreign,C240)))&gt;0)</f>
        <v>0</v>
      </c>
      <c r="Q240" s="14" cm="1">
        <f t="array" ref="Q240">INT(SUMPRODUCT(--ISNUMBER(SEARCH(gun,C240)))&gt;0)</f>
        <v>0</v>
      </c>
      <c r="R240" s="14" cm="1">
        <f t="array" ref="R240">INT(SUMPRODUCT(--ISNUMBER(SEARCH(race,C240)))&gt;0)</f>
        <v>1</v>
      </c>
      <c r="S240" s="14" cm="1">
        <f t="array" ref="S240">INT(SUMPRODUCT(--ISNUMBER(SEARCH(immigration,C240)))&gt;0)</f>
        <v>0</v>
      </c>
      <c r="T240" s="14" cm="1">
        <f t="array" ref="T240">INT(SUMPRODUCT(--ISNUMBER(SEARCH(econineq,C241)))&gt;0)</f>
        <v>0</v>
      </c>
      <c r="U240" s="14" cm="1">
        <f t="array" ref="U240">INT(SUMPRODUCT(--ISNUMBER(SEARCH(climate,C240)))&gt;0)</f>
        <v>0</v>
      </c>
      <c r="V240" s="14" cm="1">
        <f t="array" ref="V240">INT(SUMPRODUCT(--ISNUMBER(SEARCH(abortion,C240)))&gt;0)</f>
        <v>0</v>
      </c>
      <c r="W240" s="14" cm="1">
        <f t="array" ref="W240">INT(SUMPRODUCT(--ISNUMBER(SEARCH(trump,C240)))&gt;0)</f>
        <v>0</v>
      </c>
      <c r="X240" s="14" cm="1">
        <f t="array" ref="X240">INT(SUMPRODUCT(--ISNUMBER(SEARCH(voting,C240)))&gt;0)</f>
        <v>0</v>
      </c>
      <c r="Y240" s="35" cm="1">
        <f t="array" ref="Y240">INT(SUMPRODUCT(--ISNUMBER(SEARCH(republicantrigger,C240)))&gt;0)</f>
        <v>1</v>
      </c>
      <c r="Z240" s="35" cm="1">
        <f t="array" ref="Z240">INT(SUMPRODUCT(--ISNUMBER(SEARCH(bipartisan,C240)))&gt;0)</f>
        <v>0</v>
      </c>
      <c r="AA240" s="35">
        <f t="shared" si="3"/>
        <v>0</v>
      </c>
      <c r="AB240" s="14"/>
      <c r="AC240" s="30" t="s">
        <v>223</v>
      </c>
      <c r="AD240" s="37" t="s">
        <v>223</v>
      </c>
    </row>
    <row r="241" spans="1:30" x14ac:dyDescent="0.25">
      <c r="A241" s="36">
        <v>3208</v>
      </c>
      <c r="B241" s="14" t="s">
        <v>6441</v>
      </c>
      <c r="C241" s="14" t="s">
        <v>6442</v>
      </c>
      <c r="D241" s="17">
        <v>44110</v>
      </c>
      <c r="E241" s="14" t="s">
        <v>30</v>
      </c>
      <c r="F241" s="14">
        <v>40</v>
      </c>
      <c r="G241" s="14">
        <v>12</v>
      </c>
      <c r="H241" s="14">
        <v>14</v>
      </c>
      <c r="I241" s="14">
        <v>7</v>
      </c>
      <c r="J241" s="14" t="s">
        <v>31</v>
      </c>
      <c r="K241" s="14" cm="1">
        <f t="array" ref="K241">INT(SUMPRODUCT(--ISNUMBER(SEARCH(economy,C241)))&gt;0)</f>
        <v>0</v>
      </c>
      <c r="L241" s="14" cm="1">
        <f t="array" ref="L241">INT(SUMPRODUCT(--ISNUMBER(SEARCH(healthcare,C241)))&gt;0)</f>
        <v>0</v>
      </c>
      <c r="M241" s="14" cm="1">
        <f t="array" ref="M241">INT(SUMPRODUCT(--ISNUMBER(SEARCH(supreme,C241)))&gt;0)</f>
        <v>0</v>
      </c>
      <c r="N241" s="14" cm="1">
        <f t="array" ref="N241">INT(SUMPRODUCT(--ISNUMBER(SEARCH(covid,C241)))&gt;0)</f>
        <v>0</v>
      </c>
      <c r="O241" s="14" cm="1">
        <f t="array" ref="O241">INT(SUMPRODUCT(--ISNUMBER(SEARCH(violent,C241)))&gt;0)</f>
        <v>0</v>
      </c>
      <c r="P241" s="14" cm="1">
        <f t="array" ref="P241">INT(SUMPRODUCT(--ISNUMBER(SEARCH(foreign,C241)))&gt;0)</f>
        <v>0</v>
      </c>
      <c r="Q241" s="14" cm="1">
        <f t="array" ref="Q241">INT(SUMPRODUCT(--ISNUMBER(SEARCH(gun,C241)))&gt;0)</f>
        <v>0</v>
      </c>
      <c r="R241" s="14" cm="1">
        <f t="array" ref="R241">INT(SUMPRODUCT(--ISNUMBER(SEARCH(race,C241)))&gt;0)</f>
        <v>0</v>
      </c>
      <c r="S241" s="14" cm="1">
        <f t="array" ref="S241">INT(SUMPRODUCT(--ISNUMBER(SEARCH(immigration,C241)))&gt;0)</f>
        <v>0</v>
      </c>
      <c r="T241" s="14" cm="1">
        <f t="array" ref="T241">INT(SUMPRODUCT(--ISNUMBER(SEARCH(econineq,C242)))&gt;0)</f>
        <v>0</v>
      </c>
      <c r="U241" s="14" cm="1">
        <f t="array" ref="U241">INT(SUMPRODUCT(--ISNUMBER(SEARCH(climate,C241)))&gt;0)</f>
        <v>0</v>
      </c>
      <c r="V241" s="14" cm="1">
        <f t="array" ref="V241">INT(SUMPRODUCT(--ISNUMBER(SEARCH(abortion,C241)))&gt;0)</f>
        <v>0</v>
      </c>
      <c r="W241" s="14" cm="1">
        <f t="array" ref="W241">INT(SUMPRODUCT(--ISNUMBER(SEARCH(trump,C241)))&gt;0)</f>
        <v>0</v>
      </c>
      <c r="X241" s="14" cm="1">
        <f t="array" ref="X241">INT(SUMPRODUCT(--ISNUMBER(SEARCH(voting,C241)))&gt;0)</f>
        <v>0</v>
      </c>
      <c r="Y241" s="35" cm="1">
        <f t="array" ref="Y241">INT(SUMPRODUCT(--ISNUMBER(SEARCH(republicantrigger,C241)))&gt;0)</f>
        <v>1</v>
      </c>
      <c r="Z241" s="35" cm="1">
        <f t="array" ref="Z241">INT(SUMPRODUCT(--ISNUMBER(SEARCH(bipartisan,C241)))&gt;0)</f>
        <v>0</v>
      </c>
      <c r="AA241" s="35">
        <f t="shared" si="3"/>
        <v>0</v>
      </c>
      <c r="AB241" s="14"/>
      <c r="AC241" s="30" t="s">
        <v>223</v>
      </c>
      <c r="AD241" s="37" t="s">
        <v>223</v>
      </c>
    </row>
    <row r="242" spans="1:30" x14ac:dyDescent="0.25">
      <c r="A242" s="36">
        <v>3209</v>
      </c>
      <c r="B242" s="14" t="s">
        <v>6443</v>
      </c>
      <c r="C242" s="14" t="s">
        <v>6444</v>
      </c>
      <c r="D242" s="17">
        <v>44109</v>
      </c>
      <c r="E242" s="14" t="s">
        <v>30</v>
      </c>
      <c r="F242" s="14">
        <v>12</v>
      </c>
      <c r="G242" s="14">
        <v>8</v>
      </c>
      <c r="H242" s="14">
        <v>14</v>
      </c>
      <c r="I242" s="14">
        <v>7</v>
      </c>
      <c r="J242" s="14" t="s">
        <v>31</v>
      </c>
      <c r="K242" s="14" cm="1">
        <f t="array" ref="K242">INT(SUMPRODUCT(--ISNUMBER(SEARCH(economy,C242)))&gt;0)</f>
        <v>1</v>
      </c>
      <c r="L242" s="14" cm="1">
        <f t="array" ref="L242">INT(SUMPRODUCT(--ISNUMBER(SEARCH(healthcare,C242)))&gt;0)</f>
        <v>0</v>
      </c>
      <c r="M242" s="14" cm="1">
        <f t="array" ref="M242">INT(SUMPRODUCT(--ISNUMBER(SEARCH(supreme,C242)))&gt;0)</f>
        <v>0</v>
      </c>
      <c r="N242" s="14" cm="1">
        <f t="array" ref="N242">INT(SUMPRODUCT(--ISNUMBER(SEARCH(covid,C242)))&gt;0)</f>
        <v>1</v>
      </c>
      <c r="O242" s="14" cm="1">
        <f t="array" ref="O242">INT(SUMPRODUCT(--ISNUMBER(SEARCH(violent,C242)))&gt;0)</f>
        <v>0</v>
      </c>
      <c r="P242" s="14" cm="1">
        <f t="array" ref="P242">INT(SUMPRODUCT(--ISNUMBER(SEARCH(foreign,C242)))&gt;0)</f>
        <v>0</v>
      </c>
      <c r="Q242" s="14" cm="1">
        <f t="array" ref="Q242">INT(SUMPRODUCT(--ISNUMBER(SEARCH(gun,C242)))&gt;0)</f>
        <v>0</v>
      </c>
      <c r="R242" s="14" cm="1">
        <f t="array" ref="R242">INT(SUMPRODUCT(--ISNUMBER(SEARCH(race,C242)))&gt;0)</f>
        <v>0</v>
      </c>
      <c r="S242" s="14" cm="1">
        <f t="array" ref="S242">INT(SUMPRODUCT(--ISNUMBER(SEARCH(immigration,C242)))&gt;0)</f>
        <v>0</v>
      </c>
      <c r="T242" s="14" cm="1">
        <f t="array" ref="T242">INT(SUMPRODUCT(--ISNUMBER(SEARCH(econineq,C243)))&gt;0)</f>
        <v>0</v>
      </c>
      <c r="U242" s="14" cm="1">
        <f t="array" ref="U242">INT(SUMPRODUCT(--ISNUMBER(SEARCH(climate,C242)))&gt;0)</f>
        <v>0</v>
      </c>
      <c r="V242" s="14" cm="1">
        <f t="array" ref="V242">INT(SUMPRODUCT(--ISNUMBER(SEARCH(abortion,C242)))&gt;0)</f>
        <v>0</v>
      </c>
      <c r="W242" s="14" cm="1">
        <f t="array" ref="W242">INT(SUMPRODUCT(--ISNUMBER(SEARCH(trump,C242)))&gt;0)</f>
        <v>0</v>
      </c>
      <c r="X242" s="14" cm="1">
        <f t="array" ref="X242">INT(SUMPRODUCT(--ISNUMBER(SEARCH(voting,C242)))&gt;0)</f>
        <v>1</v>
      </c>
      <c r="Y242" s="35" cm="1">
        <f t="array" ref="Y242">INT(SUMPRODUCT(--ISNUMBER(SEARCH(republicantrigger,C242)))&gt;0)</f>
        <v>1</v>
      </c>
      <c r="Z242" s="35" cm="1">
        <f t="array" ref="Z242">INT(SUMPRODUCT(--ISNUMBER(SEARCH(bipartisan,C242)))&gt;0)</f>
        <v>0</v>
      </c>
      <c r="AA242" s="35">
        <f t="shared" si="3"/>
        <v>0</v>
      </c>
      <c r="AB242" s="14"/>
      <c r="AC242" s="30">
        <v>0</v>
      </c>
      <c r="AD242" s="37">
        <v>1</v>
      </c>
    </row>
    <row r="243" spans="1:30" x14ac:dyDescent="0.25">
      <c r="A243" s="36">
        <v>3210</v>
      </c>
      <c r="B243" s="14" t="s">
        <v>6445</v>
      </c>
      <c r="C243" s="14" t="s">
        <v>6446</v>
      </c>
      <c r="D243" s="17">
        <v>44109</v>
      </c>
      <c r="E243" s="14" t="s">
        <v>30</v>
      </c>
      <c r="F243" s="14">
        <v>21</v>
      </c>
      <c r="G243" s="14">
        <v>13</v>
      </c>
      <c r="H243" s="14">
        <v>14</v>
      </c>
      <c r="I243" s="14">
        <v>7</v>
      </c>
      <c r="J243" s="14" t="s">
        <v>31</v>
      </c>
      <c r="K243" s="14" cm="1">
        <f t="array" ref="K243">INT(SUMPRODUCT(--ISNUMBER(SEARCH(economy,C243)))&gt;0)</f>
        <v>0</v>
      </c>
      <c r="L243" s="14" cm="1">
        <f t="array" ref="L243">INT(SUMPRODUCT(--ISNUMBER(SEARCH(healthcare,C243)))&gt;0)</f>
        <v>0</v>
      </c>
      <c r="M243" s="14" cm="1">
        <f t="array" ref="M243">INT(SUMPRODUCT(--ISNUMBER(SEARCH(supreme,C243)))&gt;0)</f>
        <v>0</v>
      </c>
      <c r="N243" s="14" cm="1">
        <f t="array" ref="N243">INT(SUMPRODUCT(--ISNUMBER(SEARCH(covid,C243)))&gt;0)</f>
        <v>0</v>
      </c>
      <c r="O243" s="14" cm="1">
        <f t="array" ref="O243">INT(SUMPRODUCT(--ISNUMBER(SEARCH(violent,C243)))&gt;0)</f>
        <v>0</v>
      </c>
      <c r="P243" s="14" cm="1">
        <f t="array" ref="P243">INT(SUMPRODUCT(--ISNUMBER(SEARCH(foreign,C243)))&gt;0)</f>
        <v>0</v>
      </c>
      <c r="Q243" s="14" cm="1">
        <f t="array" ref="Q243">INT(SUMPRODUCT(--ISNUMBER(SEARCH(gun,C243)))&gt;0)</f>
        <v>0</v>
      </c>
      <c r="R243" s="14" cm="1">
        <f t="array" ref="R243">INT(SUMPRODUCT(--ISNUMBER(SEARCH(race,C243)))&gt;0)</f>
        <v>0</v>
      </c>
      <c r="S243" s="14" cm="1">
        <f t="array" ref="S243">INT(SUMPRODUCT(--ISNUMBER(SEARCH(immigration,C243)))&gt;0)</f>
        <v>0</v>
      </c>
      <c r="T243" s="14" cm="1">
        <f t="array" ref="T243">INT(SUMPRODUCT(--ISNUMBER(SEARCH(econineq,C244)))&gt;0)</f>
        <v>0</v>
      </c>
      <c r="U243" s="14" cm="1">
        <f t="array" ref="U243">INT(SUMPRODUCT(--ISNUMBER(SEARCH(climate,C243)))&gt;0)</f>
        <v>0</v>
      </c>
      <c r="V243" s="14" cm="1">
        <f t="array" ref="V243">INT(SUMPRODUCT(--ISNUMBER(SEARCH(abortion,C243)))&gt;0)</f>
        <v>0</v>
      </c>
      <c r="W243" s="14" cm="1">
        <f t="array" ref="W243">INT(SUMPRODUCT(--ISNUMBER(SEARCH(trump,C243)))&gt;0)</f>
        <v>0</v>
      </c>
      <c r="X243" s="14" cm="1">
        <f t="array" ref="X243">INT(SUMPRODUCT(--ISNUMBER(SEARCH(voting,C243)))&gt;0)</f>
        <v>1</v>
      </c>
      <c r="Y243" s="35" cm="1">
        <f t="array" ref="Y243">INT(SUMPRODUCT(--ISNUMBER(SEARCH(republicantrigger,C243)))&gt;0)</f>
        <v>0</v>
      </c>
      <c r="Z243" s="35" cm="1">
        <f t="array" ref="Z243">INT(SUMPRODUCT(--ISNUMBER(SEARCH(bipartisan,C243)))&gt;0)</f>
        <v>0</v>
      </c>
      <c r="AA243" s="35">
        <f t="shared" si="3"/>
        <v>0</v>
      </c>
      <c r="AB243" s="14"/>
      <c r="AC243" s="30" t="s">
        <v>223</v>
      </c>
      <c r="AD243" s="37" t="s">
        <v>223</v>
      </c>
    </row>
    <row r="244" spans="1:30" x14ac:dyDescent="0.25">
      <c r="A244" s="36">
        <v>3211</v>
      </c>
      <c r="B244" s="14" t="s">
        <v>6447</v>
      </c>
      <c r="C244" s="14" t="s">
        <v>6448</v>
      </c>
      <c r="D244" s="17">
        <v>44109</v>
      </c>
      <c r="E244" s="14" t="s">
        <v>30</v>
      </c>
      <c r="F244" s="14">
        <v>20</v>
      </c>
      <c r="G244" s="14">
        <v>9</v>
      </c>
      <c r="H244" s="14">
        <v>14</v>
      </c>
      <c r="I244" s="14">
        <v>7</v>
      </c>
      <c r="J244" s="14" t="s">
        <v>31</v>
      </c>
      <c r="K244" s="14" cm="1">
        <f t="array" ref="K244">INT(SUMPRODUCT(--ISNUMBER(SEARCH(economy,C244)))&gt;0)</f>
        <v>0</v>
      </c>
      <c r="L244" s="14" cm="1">
        <f t="array" ref="L244">INT(SUMPRODUCT(--ISNUMBER(SEARCH(healthcare,C244)))&gt;0)</f>
        <v>0</v>
      </c>
      <c r="M244" s="14" cm="1">
        <f t="array" ref="M244">INT(SUMPRODUCT(--ISNUMBER(SEARCH(supreme,C244)))&gt;0)</f>
        <v>0</v>
      </c>
      <c r="N244" s="14" cm="1">
        <f t="array" ref="N244">INT(SUMPRODUCT(--ISNUMBER(SEARCH(covid,C244)))&gt;0)</f>
        <v>1</v>
      </c>
      <c r="O244" s="14" cm="1">
        <f t="array" ref="O244">INT(SUMPRODUCT(--ISNUMBER(SEARCH(violent,C244)))&gt;0)</f>
        <v>0</v>
      </c>
      <c r="P244" s="14" cm="1">
        <f t="array" ref="P244">INT(SUMPRODUCT(--ISNUMBER(SEARCH(foreign,C244)))&gt;0)</f>
        <v>0</v>
      </c>
      <c r="Q244" s="14" cm="1">
        <f t="array" ref="Q244">INT(SUMPRODUCT(--ISNUMBER(SEARCH(gun,C244)))&gt;0)</f>
        <v>0</v>
      </c>
      <c r="R244" s="14" cm="1">
        <f t="array" ref="R244">INT(SUMPRODUCT(--ISNUMBER(SEARCH(race,C244)))&gt;0)</f>
        <v>0</v>
      </c>
      <c r="S244" s="14" cm="1">
        <f t="array" ref="S244">INT(SUMPRODUCT(--ISNUMBER(SEARCH(immigration,C244)))&gt;0)</f>
        <v>0</v>
      </c>
      <c r="T244" s="14" cm="1">
        <f t="array" ref="T244">INT(SUMPRODUCT(--ISNUMBER(SEARCH(econineq,C245)))&gt;0)</f>
        <v>0</v>
      </c>
      <c r="U244" s="14" cm="1">
        <f t="array" ref="U244">INT(SUMPRODUCT(--ISNUMBER(SEARCH(climate,C244)))&gt;0)</f>
        <v>0</v>
      </c>
      <c r="V244" s="14" cm="1">
        <f t="array" ref="V244">INT(SUMPRODUCT(--ISNUMBER(SEARCH(abortion,C244)))&gt;0)</f>
        <v>0</v>
      </c>
      <c r="W244" s="14" cm="1">
        <f t="array" ref="W244">INT(SUMPRODUCT(--ISNUMBER(SEARCH(trump,C244)))&gt;0)</f>
        <v>1</v>
      </c>
      <c r="X244" s="14" cm="1">
        <f t="array" ref="X244">INT(SUMPRODUCT(--ISNUMBER(SEARCH(voting,C244)))&gt;0)</f>
        <v>0</v>
      </c>
      <c r="Y244" s="35" cm="1">
        <f t="array" ref="Y244">INT(SUMPRODUCT(--ISNUMBER(SEARCH(republicantrigger,C244)))&gt;0)</f>
        <v>0</v>
      </c>
      <c r="Z244" s="35" cm="1">
        <f t="array" ref="Z244">INT(SUMPRODUCT(--ISNUMBER(SEARCH(bipartisan,C244)))&gt;0)</f>
        <v>0</v>
      </c>
      <c r="AA244" s="35">
        <f t="shared" si="3"/>
        <v>0</v>
      </c>
      <c r="AB244" s="14"/>
      <c r="AC244" s="30" t="s">
        <v>223</v>
      </c>
      <c r="AD244" s="37" t="s">
        <v>223</v>
      </c>
    </row>
    <row r="245" spans="1:30" x14ac:dyDescent="0.25">
      <c r="A245" s="36">
        <v>3212</v>
      </c>
      <c r="B245" s="14" t="s">
        <v>6449</v>
      </c>
      <c r="C245" s="14" t="s">
        <v>6450</v>
      </c>
      <c r="D245" s="17">
        <v>44109</v>
      </c>
      <c r="E245" s="14" t="s">
        <v>30</v>
      </c>
      <c r="F245" s="14">
        <v>17</v>
      </c>
      <c r="G245" s="14">
        <v>8</v>
      </c>
      <c r="H245" s="14">
        <v>14</v>
      </c>
      <c r="I245" s="14">
        <v>7</v>
      </c>
      <c r="J245" s="14" t="s">
        <v>31</v>
      </c>
      <c r="K245" s="14" cm="1">
        <f t="array" ref="K245">INT(SUMPRODUCT(--ISNUMBER(SEARCH(economy,C245)))&gt;0)</f>
        <v>0</v>
      </c>
      <c r="L245" s="14" cm="1">
        <f t="array" ref="L245">INT(SUMPRODUCT(--ISNUMBER(SEARCH(healthcare,C245)))&gt;0)</f>
        <v>0</v>
      </c>
      <c r="M245" s="14" cm="1">
        <f t="array" ref="M245">INT(SUMPRODUCT(--ISNUMBER(SEARCH(supreme,C245)))&gt;0)</f>
        <v>0</v>
      </c>
      <c r="N245" s="14" cm="1">
        <f t="array" ref="N245">INT(SUMPRODUCT(--ISNUMBER(SEARCH(covid,C245)))&gt;0)</f>
        <v>0</v>
      </c>
      <c r="O245" s="14" cm="1">
        <f t="array" ref="O245">INT(SUMPRODUCT(--ISNUMBER(SEARCH(violent,C245)))&gt;0)</f>
        <v>0</v>
      </c>
      <c r="P245" s="14" cm="1">
        <f t="array" ref="P245">INT(SUMPRODUCT(--ISNUMBER(SEARCH(foreign,C245)))&gt;0)</f>
        <v>0</v>
      </c>
      <c r="Q245" s="14" cm="1">
        <f t="array" ref="Q245">INT(SUMPRODUCT(--ISNUMBER(SEARCH(gun,C245)))&gt;0)</f>
        <v>0</v>
      </c>
      <c r="R245" s="14" cm="1">
        <f t="array" ref="R245">INT(SUMPRODUCT(--ISNUMBER(SEARCH(race,C245)))&gt;0)</f>
        <v>0</v>
      </c>
      <c r="S245" s="14" cm="1">
        <f t="array" ref="S245">INT(SUMPRODUCT(--ISNUMBER(SEARCH(immigration,C245)))&gt;0)</f>
        <v>0</v>
      </c>
      <c r="T245" s="14" cm="1">
        <f t="array" ref="T245">INT(SUMPRODUCT(--ISNUMBER(SEARCH(econineq,C246)))&gt;0)</f>
        <v>0</v>
      </c>
      <c r="U245" s="14" cm="1">
        <f t="array" ref="U245">INT(SUMPRODUCT(--ISNUMBER(SEARCH(climate,C245)))&gt;0)</f>
        <v>0</v>
      </c>
      <c r="V245" s="14" cm="1">
        <f t="array" ref="V245">INT(SUMPRODUCT(--ISNUMBER(SEARCH(abortion,C245)))&gt;0)</f>
        <v>0</v>
      </c>
      <c r="W245" s="14" cm="1">
        <f t="array" ref="W245">INT(SUMPRODUCT(--ISNUMBER(SEARCH(trump,C245)))&gt;0)</f>
        <v>0</v>
      </c>
      <c r="X245" s="14" cm="1">
        <f t="array" ref="X245">INT(SUMPRODUCT(--ISNUMBER(SEARCH(voting,C245)))&gt;0)</f>
        <v>1</v>
      </c>
      <c r="Y245" s="35" cm="1">
        <f t="array" ref="Y245">INT(SUMPRODUCT(--ISNUMBER(SEARCH(republicantrigger,C245)))&gt;0)</f>
        <v>0</v>
      </c>
      <c r="Z245" s="35" cm="1">
        <f t="array" ref="Z245">INT(SUMPRODUCT(--ISNUMBER(SEARCH(bipartisan,C245)))&gt;0)</f>
        <v>0</v>
      </c>
      <c r="AA245" s="35">
        <f t="shared" si="3"/>
        <v>0</v>
      </c>
      <c r="AB245" s="14"/>
      <c r="AC245" s="30">
        <v>1</v>
      </c>
      <c r="AD245" s="37">
        <v>0</v>
      </c>
    </row>
    <row r="246" spans="1:30" x14ac:dyDescent="0.25">
      <c r="A246" s="36">
        <v>3213</v>
      </c>
      <c r="B246" s="14" t="s">
        <v>6451</v>
      </c>
      <c r="C246" s="14" t="s">
        <v>6452</v>
      </c>
      <c r="D246" s="17">
        <v>44109</v>
      </c>
      <c r="E246" s="14" t="s">
        <v>30</v>
      </c>
      <c r="F246" s="14">
        <v>71</v>
      </c>
      <c r="G246" s="14">
        <v>37</v>
      </c>
      <c r="H246" s="14">
        <v>14</v>
      </c>
      <c r="I246" s="14">
        <v>7</v>
      </c>
      <c r="J246" s="14" t="s">
        <v>31</v>
      </c>
      <c r="K246" s="14" cm="1">
        <f t="array" ref="K246">INT(SUMPRODUCT(--ISNUMBER(SEARCH(economy,C246)))&gt;0)</f>
        <v>0</v>
      </c>
      <c r="L246" s="14" cm="1">
        <f t="array" ref="L246">INT(SUMPRODUCT(--ISNUMBER(SEARCH(healthcare,C246)))&gt;0)</f>
        <v>0</v>
      </c>
      <c r="M246" s="14" cm="1">
        <f t="array" ref="M246">INT(SUMPRODUCT(--ISNUMBER(SEARCH(supreme,C246)))&gt;0)</f>
        <v>0</v>
      </c>
      <c r="N246" s="14" cm="1">
        <f t="array" ref="N246">INT(SUMPRODUCT(--ISNUMBER(SEARCH(covid,C246)))&gt;0)</f>
        <v>0</v>
      </c>
      <c r="O246" s="14" cm="1">
        <f t="array" ref="O246">INT(SUMPRODUCT(--ISNUMBER(SEARCH(violent,C246)))&gt;0)</f>
        <v>1</v>
      </c>
      <c r="P246" s="14" cm="1">
        <f t="array" ref="P246">INT(SUMPRODUCT(--ISNUMBER(SEARCH(foreign,C246)))&gt;0)</f>
        <v>0</v>
      </c>
      <c r="Q246" s="14" cm="1">
        <f t="array" ref="Q246">INT(SUMPRODUCT(--ISNUMBER(SEARCH(gun,C246)))&gt;0)</f>
        <v>0</v>
      </c>
      <c r="R246" s="14" cm="1">
        <f t="array" ref="R246">INT(SUMPRODUCT(--ISNUMBER(SEARCH(race,C246)))&gt;0)</f>
        <v>0</v>
      </c>
      <c r="S246" s="14" cm="1">
        <f t="array" ref="S246">INT(SUMPRODUCT(--ISNUMBER(SEARCH(immigration,C246)))&gt;0)</f>
        <v>0</v>
      </c>
      <c r="T246" s="14" cm="1">
        <f t="array" ref="T246">INT(SUMPRODUCT(--ISNUMBER(SEARCH(econineq,C247)))&gt;0)</f>
        <v>0</v>
      </c>
      <c r="U246" s="14" cm="1">
        <f t="array" ref="U246">INT(SUMPRODUCT(--ISNUMBER(SEARCH(climate,C246)))&gt;0)</f>
        <v>0</v>
      </c>
      <c r="V246" s="14" cm="1">
        <f t="array" ref="V246">INT(SUMPRODUCT(--ISNUMBER(SEARCH(abortion,C246)))&gt;0)</f>
        <v>0</v>
      </c>
      <c r="W246" s="14" cm="1">
        <f t="array" ref="W246">INT(SUMPRODUCT(--ISNUMBER(SEARCH(trump,C246)))&gt;0)</f>
        <v>0</v>
      </c>
      <c r="X246" s="14" cm="1">
        <f t="array" ref="X246">INT(SUMPRODUCT(--ISNUMBER(SEARCH(voting,C246)))&gt;0)</f>
        <v>0</v>
      </c>
      <c r="Y246" s="35" cm="1">
        <f t="array" ref="Y246">INT(SUMPRODUCT(--ISNUMBER(SEARCH(republicantrigger,C246)))&gt;0)</f>
        <v>1</v>
      </c>
      <c r="Z246" s="35" cm="1">
        <f t="array" ref="Z246">INT(SUMPRODUCT(--ISNUMBER(SEARCH(bipartisan,C246)))&gt;0)</f>
        <v>0</v>
      </c>
      <c r="AA246" s="35">
        <f t="shared" si="3"/>
        <v>0</v>
      </c>
      <c r="AB246" s="14"/>
      <c r="AC246" s="30">
        <v>1</v>
      </c>
      <c r="AD246" s="37">
        <v>0</v>
      </c>
    </row>
    <row r="247" spans="1:30" x14ac:dyDescent="0.25">
      <c r="A247" s="36">
        <v>3214</v>
      </c>
      <c r="B247" s="14" t="s">
        <v>6453</v>
      </c>
      <c r="C247" s="14" t="s">
        <v>6454</v>
      </c>
      <c r="D247" s="17">
        <v>44109</v>
      </c>
      <c r="E247" s="14" t="s">
        <v>30</v>
      </c>
      <c r="F247" s="14">
        <v>19</v>
      </c>
      <c r="G247" s="14">
        <v>7</v>
      </c>
      <c r="H247" s="14">
        <v>14</v>
      </c>
      <c r="I247" s="14">
        <v>7</v>
      </c>
      <c r="J247" s="14" t="s">
        <v>31</v>
      </c>
      <c r="K247" s="14" cm="1">
        <f t="array" ref="K247">INT(SUMPRODUCT(--ISNUMBER(SEARCH(economy,C247)))&gt;0)</f>
        <v>0</v>
      </c>
      <c r="L247" s="14" cm="1">
        <f t="array" ref="L247">INT(SUMPRODUCT(--ISNUMBER(SEARCH(healthcare,C247)))&gt;0)</f>
        <v>0</v>
      </c>
      <c r="M247" s="14" cm="1">
        <f t="array" ref="M247">INT(SUMPRODUCT(--ISNUMBER(SEARCH(supreme,C247)))&gt;0)</f>
        <v>0</v>
      </c>
      <c r="N247" s="14" cm="1">
        <f t="array" ref="N247">INT(SUMPRODUCT(--ISNUMBER(SEARCH(covid,C247)))&gt;0)</f>
        <v>0</v>
      </c>
      <c r="O247" s="14" cm="1">
        <f t="array" ref="O247">INT(SUMPRODUCT(--ISNUMBER(SEARCH(violent,C247)))&gt;0)</f>
        <v>0</v>
      </c>
      <c r="P247" s="14" cm="1">
        <f t="array" ref="P247">INT(SUMPRODUCT(--ISNUMBER(SEARCH(foreign,C247)))&gt;0)</f>
        <v>0</v>
      </c>
      <c r="Q247" s="14" cm="1">
        <f t="array" ref="Q247">INT(SUMPRODUCT(--ISNUMBER(SEARCH(gun,C247)))&gt;0)</f>
        <v>0</v>
      </c>
      <c r="R247" s="14" cm="1">
        <f t="array" ref="R247">INT(SUMPRODUCT(--ISNUMBER(SEARCH(race,C247)))&gt;0)</f>
        <v>0</v>
      </c>
      <c r="S247" s="14" cm="1">
        <f t="array" ref="S247">INT(SUMPRODUCT(--ISNUMBER(SEARCH(immigration,C247)))&gt;0)</f>
        <v>0</v>
      </c>
      <c r="T247" s="14" cm="1">
        <f t="array" ref="T247">INT(SUMPRODUCT(--ISNUMBER(SEARCH(econineq,C248)))&gt;0)</f>
        <v>0</v>
      </c>
      <c r="U247" s="14" cm="1">
        <f t="array" ref="U247">INT(SUMPRODUCT(--ISNUMBER(SEARCH(climate,C247)))&gt;0)</f>
        <v>0</v>
      </c>
      <c r="V247" s="14" cm="1">
        <f t="array" ref="V247">INT(SUMPRODUCT(--ISNUMBER(SEARCH(abortion,C247)))&gt;0)</f>
        <v>0</v>
      </c>
      <c r="W247" s="14" cm="1">
        <f t="array" ref="W247">INT(SUMPRODUCT(--ISNUMBER(SEARCH(trump,C247)))&gt;0)</f>
        <v>0</v>
      </c>
      <c r="X247" s="14" cm="1">
        <f t="array" ref="X247">INT(SUMPRODUCT(--ISNUMBER(SEARCH(voting,C247)))&gt;0)</f>
        <v>0</v>
      </c>
      <c r="Y247" s="35" cm="1">
        <f t="array" ref="Y247">INT(SUMPRODUCT(--ISNUMBER(SEARCH(republicantrigger,C247)))&gt;0)</f>
        <v>0</v>
      </c>
      <c r="Z247" s="35" cm="1">
        <f t="array" ref="Z247">INT(SUMPRODUCT(--ISNUMBER(SEARCH(bipartisan,C247)))&gt;0)</f>
        <v>0</v>
      </c>
      <c r="AA247" s="35">
        <f t="shared" si="3"/>
        <v>1</v>
      </c>
      <c r="AB247" s="14"/>
      <c r="AC247" s="30">
        <v>1</v>
      </c>
      <c r="AD247" s="37">
        <v>0</v>
      </c>
    </row>
    <row r="248" spans="1:30" x14ac:dyDescent="0.25">
      <c r="A248" s="36">
        <v>3215</v>
      </c>
      <c r="B248" s="14" t="s">
        <v>6455</v>
      </c>
      <c r="C248" s="14" t="s">
        <v>6456</v>
      </c>
      <c r="D248" s="17">
        <v>44109</v>
      </c>
      <c r="E248" s="14" t="s">
        <v>30</v>
      </c>
      <c r="F248" s="14">
        <v>27</v>
      </c>
      <c r="G248" s="14">
        <v>14</v>
      </c>
      <c r="H248" s="14">
        <v>14</v>
      </c>
      <c r="I248" s="14">
        <v>7</v>
      </c>
      <c r="J248" s="14" t="s">
        <v>31</v>
      </c>
      <c r="K248" s="14" cm="1">
        <f t="array" ref="K248">INT(SUMPRODUCT(--ISNUMBER(SEARCH(economy,C248)))&gt;0)</f>
        <v>0</v>
      </c>
      <c r="L248" s="14" cm="1">
        <f t="array" ref="L248">INT(SUMPRODUCT(--ISNUMBER(SEARCH(healthcare,C248)))&gt;0)</f>
        <v>0</v>
      </c>
      <c r="M248" s="14" cm="1">
        <f t="array" ref="M248">INT(SUMPRODUCT(--ISNUMBER(SEARCH(supreme,C248)))&gt;0)</f>
        <v>0</v>
      </c>
      <c r="N248" s="14" cm="1">
        <f t="array" ref="N248">INT(SUMPRODUCT(--ISNUMBER(SEARCH(covid,C248)))&gt;0)</f>
        <v>0</v>
      </c>
      <c r="O248" s="14" cm="1">
        <f t="array" ref="O248">INT(SUMPRODUCT(--ISNUMBER(SEARCH(violent,C248)))&gt;0)</f>
        <v>0</v>
      </c>
      <c r="P248" s="14" cm="1">
        <f t="array" ref="P248">INT(SUMPRODUCT(--ISNUMBER(SEARCH(foreign,C248)))&gt;0)</f>
        <v>0</v>
      </c>
      <c r="Q248" s="14" cm="1">
        <f t="array" ref="Q248">INT(SUMPRODUCT(--ISNUMBER(SEARCH(gun,C248)))&gt;0)</f>
        <v>0</v>
      </c>
      <c r="R248" s="14" cm="1">
        <f t="array" ref="R248">INT(SUMPRODUCT(--ISNUMBER(SEARCH(race,C248)))&gt;0)</f>
        <v>0</v>
      </c>
      <c r="S248" s="14" cm="1">
        <f t="array" ref="S248">INT(SUMPRODUCT(--ISNUMBER(SEARCH(immigration,C248)))&gt;0)</f>
        <v>0</v>
      </c>
      <c r="T248" s="14" cm="1">
        <f t="array" ref="T248">INT(SUMPRODUCT(--ISNUMBER(SEARCH(econineq,C249)))&gt;0)</f>
        <v>0</v>
      </c>
      <c r="U248" s="14" cm="1">
        <f t="array" ref="U248">INT(SUMPRODUCT(--ISNUMBER(SEARCH(climate,C248)))&gt;0)</f>
        <v>1</v>
      </c>
      <c r="V248" s="14" cm="1">
        <f t="array" ref="V248">INT(SUMPRODUCT(--ISNUMBER(SEARCH(abortion,C248)))&gt;0)</f>
        <v>0</v>
      </c>
      <c r="W248" s="14" cm="1">
        <f t="array" ref="W248">INT(SUMPRODUCT(--ISNUMBER(SEARCH(trump,C248)))&gt;0)</f>
        <v>0</v>
      </c>
      <c r="X248" s="14" cm="1">
        <f t="array" ref="X248">INT(SUMPRODUCT(--ISNUMBER(SEARCH(voting,C248)))&gt;0)</f>
        <v>0</v>
      </c>
      <c r="Y248" s="35" cm="1">
        <f t="array" ref="Y248">INT(SUMPRODUCT(--ISNUMBER(SEARCH(republicantrigger,C248)))&gt;0)</f>
        <v>1</v>
      </c>
      <c r="Z248" s="35" cm="1">
        <f t="array" ref="Z248">INT(SUMPRODUCT(--ISNUMBER(SEARCH(bipartisan,C248)))&gt;0)</f>
        <v>0</v>
      </c>
      <c r="AA248" s="35">
        <f t="shared" si="3"/>
        <v>0</v>
      </c>
      <c r="AB248" s="14"/>
      <c r="AC248" s="30" t="s">
        <v>223</v>
      </c>
      <c r="AD248" s="37" t="s">
        <v>223</v>
      </c>
    </row>
    <row r="249" spans="1:30" x14ac:dyDescent="0.25">
      <c r="A249" s="36">
        <v>3216</v>
      </c>
      <c r="B249" s="14" t="s">
        <v>6457</v>
      </c>
      <c r="C249" s="14" t="s">
        <v>6458</v>
      </c>
      <c r="D249" s="17">
        <v>44108</v>
      </c>
      <c r="E249" s="14" t="s">
        <v>30</v>
      </c>
      <c r="F249" s="14">
        <v>40</v>
      </c>
      <c r="G249" s="14">
        <v>22</v>
      </c>
      <c r="H249" s="14">
        <v>14</v>
      </c>
      <c r="I249" s="14">
        <v>7</v>
      </c>
      <c r="J249" s="14" t="s">
        <v>31</v>
      </c>
      <c r="K249" s="14" cm="1">
        <f t="array" ref="K249">INT(SUMPRODUCT(--ISNUMBER(SEARCH(economy,C249)))&gt;0)</f>
        <v>0</v>
      </c>
      <c r="L249" s="14" cm="1">
        <f t="array" ref="L249">INT(SUMPRODUCT(--ISNUMBER(SEARCH(healthcare,C249)))&gt;0)</f>
        <v>0</v>
      </c>
      <c r="M249" s="14" cm="1">
        <f t="array" ref="M249">INT(SUMPRODUCT(--ISNUMBER(SEARCH(supreme,C249)))&gt;0)</f>
        <v>0</v>
      </c>
      <c r="N249" s="14" cm="1">
        <f t="array" ref="N249">INT(SUMPRODUCT(--ISNUMBER(SEARCH(covid,C249)))&gt;0)</f>
        <v>0</v>
      </c>
      <c r="O249" s="14" cm="1">
        <f t="array" ref="O249">INT(SUMPRODUCT(--ISNUMBER(SEARCH(violent,C249)))&gt;0)</f>
        <v>0</v>
      </c>
      <c r="P249" s="14" cm="1">
        <f t="array" ref="P249">INT(SUMPRODUCT(--ISNUMBER(SEARCH(foreign,C249)))&gt;0)</f>
        <v>0</v>
      </c>
      <c r="Q249" s="14" cm="1">
        <f t="array" ref="Q249">INT(SUMPRODUCT(--ISNUMBER(SEARCH(gun,C249)))&gt;0)</f>
        <v>0</v>
      </c>
      <c r="R249" s="14" cm="1">
        <f t="array" ref="R249">INT(SUMPRODUCT(--ISNUMBER(SEARCH(race,C249)))&gt;0)</f>
        <v>0</v>
      </c>
      <c r="S249" s="14" cm="1">
        <f t="array" ref="S249">INT(SUMPRODUCT(--ISNUMBER(SEARCH(immigration,C249)))&gt;0)</f>
        <v>0</v>
      </c>
      <c r="T249" s="14" cm="1">
        <f t="array" ref="T249">INT(SUMPRODUCT(--ISNUMBER(SEARCH(econineq,C250)))&gt;0)</f>
        <v>0</v>
      </c>
      <c r="U249" s="14" cm="1">
        <f t="array" ref="U249">INT(SUMPRODUCT(--ISNUMBER(SEARCH(climate,C249)))&gt;0)</f>
        <v>0</v>
      </c>
      <c r="V249" s="14" cm="1">
        <f t="array" ref="V249">INT(SUMPRODUCT(--ISNUMBER(SEARCH(abortion,C249)))&gt;0)</f>
        <v>0</v>
      </c>
      <c r="W249" s="14" cm="1">
        <f t="array" ref="W249">INT(SUMPRODUCT(--ISNUMBER(SEARCH(trump,C249)))&gt;0)</f>
        <v>1</v>
      </c>
      <c r="X249" s="14" cm="1">
        <f t="array" ref="X249">INT(SUMPRODUCT(--ISNUMBER(SEARCH(voting,C249)))&gt;0)</f>
        <v>1</v>
      </c>
      <c r="Y249" s="35" cm="1">
        <f t="array" ref="Y249">INT(SUMPRODUCT(--ISNUMBER(SEARCH(republicantrigger,C249)))&gt;0)</f>
        <v>1</v>
      </c>
      <c r="Z249" s="35" cm="1">
        <f t="array" ref="Z249">INT(SUMPRODUCT(--ISNUMBER(SEARCH(bipartisan,C249)))&gt;0)</f>
        <v>0</v>
      </c>
      <c r="AA249" s="35">
        <f t="shared" si="3"/>
        <v>0</v>
      </c>
      <c r="AB249" s="14"/>
      <c r="AC249" s="30" t="s">
        <v>223</v>
      </c>
      <c r="AD249" s="37" t="s">
        <v>223</v>
      </c>
    </row>
    <row r="250" spans="1:30" x14ac:dyDescent="0.25">
      <c r="A250" s="36">
        <v>3217</v>
      </c>
      <c r="B250" s="14" t="s">
        <v>6459</v>
      </c>
      <c r="C250" s="14" t="s">
        <v>6460</v>
      </c>
      <c r="D250" s="17">
        <v>44108</v>
      </c>
      <c r="E250" s="14" t="s">
        <v>30</v>
      </c>
      <c r="F250" s="14">
        <v>24</v>
      </c>
      <c r="G250" s="14">
        <v>7</v>
      </c>
      <c r="H250" s="14">
        <v>14</v>
      </c>
      <c r="I250" s="14">
        <v>7</v>
      </c>
      <c r="J250" s="14" t="s">
        <v>31</v>
      </c>
      <c r="K250" s="14" cm="1">
        <f t="array" ref="K250">INT(SUMPRODUCT(--ISNUMBER(SEARCH(economy,C250)))&gt;0)</f>
        <v>0</v>
      </c>
      <c r="L250" s="14" cm="1">
        <f t="array" ref="L250">INT(SUMPRODUCT(--ISNUMBER(SEARCH(healthcare,C250)))&gt;0)</f>
        <v>0</v>
      </c>
      <c r="M250" s="14" cm="1">
        <f t="array" ref="M250">INT(SUMPRODUCT(--ISNUMBER(SEARCH(supreme,C250)))&gt;0)</f>
        <v>0</v>
      </c>
      <c r="N250" s="14" cm="1">
        <f t="array" ref="N250">INT(SUMPRODUCT(--ISNUMBER(SEARCH(covid,C250)))&gt;0)</f>
        <v>0</v>
      </c>
      <c r="O250" s="14" cm="1">
        <f t="array" ref="O250">INT(SUMPRODUCT(--ISNUMBER(SEARCH(violent,C250)))&gt;0)</f>
        <v>0</v>
      </c>
      <c r="P250" s="14" cm="1">
        <f t="array" ref="P250">INT(SUMPRODUCT(--ISNUMBER(SEARCH(foreign,C250)))&gt;0)</f>
        <v>0</v>
      </c>
      <c r="Q250" s="14" cm="1">
        <f t="array" ref="Q250">INT(SUMPRODUCT(--ISNUMBER(SEARCH(gun,C250)))&gt;0)</f>
        <v>0</v>
      </c>
      <c r="R250" s="14" cm="1">
        <f t="array" ref="R250">INT(SUMPRODUCT(--ISNUMBER(SEARCH(race,C250)))&gt;0)</f>
        <v>0</v>
      </c>
      <c r="S250" s="14" cm="1">
        <f t="array" ref="S250">INT(SUMPRODUCT(--ISNUMBER(SEARCH(immigration,C250)))&gt;0)</f>
        <v>0</v>
      </c>
      <c r="T250" s="14" cm="1">
        <f t="array" ref="T250">INT(SUMPRODUCT(--ISNUMBER(SEARCH(econineq,C251)))&gt;0)</f>
        <v>0</v>
      </c>
      <c r="U250" s="14" cm="1">
        <f t="array" ref="U250">INT(SUMPRODUCT(--ISNUMBER(SEARCH(climate,C250)))&gt;0)</f>
        <v>0</v>
      </c>
      <c r="V250" s="14" cm="1">
        <f t="array" ref="V250">INT(SUMPRODUCT(--ISNUMBER(SEARCH(abortion,C250)))&gt;0)</f>
        <v>0</v>
      </c>
      <c r="W250" s="14" cm="1">
        <f t="array" ref="W250">INT(SUMPRODUCT(--ISNUMBER(SEARCH(trump,C250)))&gt;0)</f>
        <v>0</v>
      </c>
      <c r="X250" s="14" cm="1">
        <f t="array" ref="X250">INT(SUMPRODUCT(--ISNUMBER(SEARCH(voting,C250)))&gt;0)</f>
        <v>0</v>
      </c>
      <c r="Y250" s="35" cm="1">
        <f t="array" ref="Y250">INT(SUMPRODUCT(--ISNUMBER(SEARCH(republicantrigger,C250)))&gt;0)</f>
        <v>0</v>
      </c>
      <c r="Z250" s="35" cm="1">
        <f t="array" ref="Z250">INT(SUMPRODUCT(--ISNUMBER(SEARCH(bipartisan,C250)))&gt;0)</f>
        <v>0</v>
      </c>
      <c r="AA250" s="35">
        <f t="shared" si="3"/>
        <v>1</v>
      </c>
      <c r="AB250" s="14"/>
      <c r="AC250" s="30">
        <v>1</v>
      </c>
      <c r="AD250" s="37">
        <v>0</v>
      </c>
    </row>
    <row r="251" spans="1:30" x14ac:dyDescent="0.25">
      <c r="A251" s="36">
        <v>3218</v>
      </c>
      <c r="B251" s="14" t="s">
        <v>6461</v>
      </c>
      <c r="C251" s="14" t="s">
        <v>6462</v>
      </c>
      <c r="D251" s="17">
        <v>44108</v>
      </c>
      <c r="E251" s="14" t="s">
        <v>30</v>
      </c>
      <c r="F251" s="14">
        <v>19</v>
      </c>
      <c r="G251" s="14">
        <v>8</v>
      </c>
      <c r="H251" s="14">
        <v>14</v>
      </c>
      <c r="I251" s="14">
        <v>7</v>
      </c>
      <c r="J251" s="14" t="s">
        <v>31</v>
      </c>
      <c r="K251" s="14" cm="1">
        <f t="array" ref="K251">INT(SUMPRODUCT(--ISNUMBER(SEARCH(economy,C251)))&gt;0)</f>
        <v>0</v>
      </c>
      <c r="L251" s="14" cm="1">
        <f t="array" ref="L251">INT(SUMPRODUCT(--ISNUMBER(SEARCH(healthcare,C251)))&gt;0)</f>
        <v>0</v>
      </c>
      <c r="M251" s="14" cm="1">
        <f t="array" ref="M251">INT(SUMPRODUCT(--ISNUMBER(SEARCH(supreme,C251)))&gt;0)</f>
        <v>0</v>
      </c>
      <c r="N251" s="14" cm="1">
        <f t="array" ref="N251">INT(SUMPRODUCT(--ISNUMBER(SEARCH(covid,C251)))&gt;0)</f>
        <v>0</v>
      </c>
      <c r="O251" s="14" cm="1">
        <f t="array" ref="O251">INT(SUMPRODUCT(--ISNUMBER(SEARCH(violent,C251)))&gt;0)</f>
        <v>0</v>
      </c>
      <c r="P251" s="14" cm="1">
        <f t="array" ref="P251">INT(SUMPRODUCT(--ISNUMBER(SEARCH(foreign,C251)))&gt;0)</f>
        <v>0</v>
      </c>
      <c r="Q251" s="14" cm="1">
        <f t="array" ref="Q251">INT(SUMPRODUCT(--ISNUMBER(SEARCH(gun,C251)))&gt;0)</f>
        <v>0</v>
      </c>
      <c r="R251" s="14" cm="1">
        <f t="array" ref="R251">INT(SUMPRODUCT(--ISNUMBER(SEARCH(race,C251)))&gt;0)</f>
        <v>0</v>
      </c>
      <c r="S251" s="14" cm="1">
        <f t="array" ref="S251">INT(SUMPRODUCT(--ISNUMBER(SEARCH(immigration,C251)))&gt;0)</f>
        <v>0</v>
      </c>
      <c r="T251" s="14" cm="1">
        <f t="array" ref="T251">INT(SUMPRODUCT(--ISNUMBER(SEARCH(econineq,C252)))&gt;0)</f>
        <v>0</v>
      </c>
      <c r="U251" s="14" cm="1">
        <f t="array" ref="U251">INT(SUMPRODUCT(--ISNUMBER(SEARCH(climate,C251)))&gt;0)</f>
        <v>0</v>
      </c>
      <c r="V251" s="14" cm="1">
        <f t="array" ref="V251">INT(SUMPRODUCT(--ISNUMBER(SEARCH(abortion,C251)))&gt;0)</f>
        <v>0</v>
      </c>
      <c r="W251" s="14" cm="1">
        <f t="array" ref="W251">INT(SUMPRODUCT(--ISNUMBER(SEARCH(trump,C251)))&gt;0)</f>
        <v>0</v>
      </c>
      <c r="X251" s="14" cm="1">
        <f t="array" ref="X251">INT(SUMPRODUCT(--ISNUMBER(SEARCH(voting,C251)))&gt;0)</f>
        <v>0</v>
      </c>
      <c r="Y251" s="35" cm="1">
        <f t="array" ref="Y251">INT(SUMPRODUCT(--ISNUMBER(SEARCH(republicantrigger,C251)))&gt;0)</f>
        <v>0</v>
      </c>
      <c r="Z251" s="35" cm="1">
        <f t="array" ref="Z251">INT(SUMPRODUCT(--ISNUMBER(SEARCH(bipartisan,C251)))&gt;0)</f>
        <v>0</v>
      </c>
      <c r="AA251" s="35">
        <f t="shared" si="3"/>
        <v>1</v>
      </c>
      <c r="AB251" s="14"/>
      <c r="AC251" s="30">
        <v>1</v>
      </c>
      <c r="AD251" s="37">
        <v>0</v>
      </c>
    </row>
    <row r="252" spans="1:30" x14ac:dyDescent="0.25">
      <c r="A252" s="36">
        <v>3219</v>
      </c>
      <c r="B252" s="14" t="s">
        <v>6463</v>
      </c>
      <c r="C252" s="14" t="s">
        <v>6464</v>
      </c>
      <c r="D252" s="17">
        <v>44108</v>
      </c>
      <c r="E252" s="14" t="s">
        <v>30</v>
      </c>
      <c r="F252" s="14">
        <v>16</v>
      </c>
      <c r="G252" s="14">
        <v>5</v>
      </c>
      <c r="H252" s="14">
        <v>14</v>
      </c>
      <c r="I252" s="14">
        <v>7</v>
      </c>
      <c r="J252" s="14" t="s">
        <v>31</v>
      </c>
      <c r="K252" s="14" cm="1">
        <f t="array" ref="K252">INT(SUMPRODUCT(--ISNUMBER(SEARCH(economy,C252)))&gt;0)</f>
        <v>1</v>
      </c>
      <c r="L252" s="14" cm="1">
        <f t="array" ref="L252">INT(SUMPRODUCT(--ISNUMBER(SEARCH(healthcare,C252)))&gt;0)</f>
        <v>0</v>
      </c>
      <c r="M252" s="14" cm="1">
        <f t="array" ref="M252">INT(SUMPRODUCT(--ISNUMBER(SEARCH(supreme,C252)))&gt;0)</f>
        <v>0</v>
      </c>
      <c r="N252" s="14" cm="1">
        <f t="array" ref="N252">INT(SUMPRODUCT(--ISNUMBER(SEARCH(covid,C252)))&gt;0)</f>
        <v>0</v>
      </c>
      <c r="O252" s="14" cm="1">
        <f t="array" ref="O252">INT(SUMPRODUCT(--ISNUMBER(SEARCH(violent,C252)))&gt;0)</f>
        <v>0</v>
      </c>
      <c r="P252" s="14" cm="1">
        <f t="array" ref="P252">INT(SUMPRODUCT(--ISNUMBER(SEARCH(foreign,C252)))&gt;0)</f>
        <v>0</v>
      </c>
      <c r="Q252" s="14" cm="1">
        <f t="array" ref="Q252">INT(SUMPRODUCT(--ISNUMBER(SEARCH(gun,C252)))&gt;0)</f>
        <v>0</v>
      </c>
      <c r="R252" s="14" cm="1">
        <f t="array" ref="R252">INT(SUMPRODUCT(--ISNUMBER(SEARCH(race,C252)))&gt;0)</f>
        <v>0</v>
      </c>
      <c r="S252" s="14" cm="1">
        <f t="array" ref="S252">INT(SUMPRODUCT(--ISNUMBER(SEARCH(immigration,C252)))&gt;0)</f>
        <v>0</v>
      </c>
      <c r="T252" s="14" cm="1">
        <f t="array" ref="T252">INT(SUMPRODUCT(--ISNUMBER(SEARCH(econineq,C253)))&gt;0)</f>
        <v>0</v>
      </c>
      <c r="U252" s="14" cm="1">
        <f t="array" ref="U252">INT(SUMPRODUCT(--ISNUMBER(SEARCH(climate,C252)))&gt;0)</f>
        <v>0</v>
      </c>
      <c r="V252" s="14" cm="1">
        <f t="array" ref="V252">INT(SUMPRODUCT(--ISNUMBER(SEARCH(abortion,C252)))&gt;0)</f>
        <v>0</v>
      </c>
      <c r="W252" s="14" cm="1">
        <f t="array" ref="W252">INT(SUMPRODUCT(--ISNUMBER(SEARCH(trump,C252)))&gt;0)</f>
        <v>0</v>
      </c>
      <c r="X252" s="14" cm="1">
        <f t="array" ref="X252">INT(SUMPRODUCT(--ISNUMBER(SEARCH(voting,C252)))&gt;0)</f>
        <v>1</v>
      </c>
      <c r="Y252" s="35" cm="1">
        <f t="array" ref="Y252">INT(SUMPRODUCT(--ISNUMBER(SEARCH(republicantrigger,C252)))&gt;0)</f>
        <v>1</v>
      </c>
      <c r="Z252" s="35" cm="1">
        <f t="array" ref="Z252">INT(SUMPRODUCT(--ISNUMBER(SEARCH(bipartisan,C252)))&gt;0)</f>
        <v>0</v>
      </c>
      <c r="AA252" s="35">
        <f t="shared" si="3"/>
        <v>0</v>
      </c>
      <c r="AB252" s="14"/>
      <c r="AC252" s="30">
        <v>1</v>
      </c>
      <c r="AD252" s="37">
        <v>0</v>
      </c>
    </row>
    <row r="253" spans="1:30" x14ac:dyDescent="0.25">
      <c r="A253" s="36">
        <v>3220</v>
      </c>
      <c r="B253" s="14" t="s">
        <v>6465</v>
      </c>
      <c r="C253" s="14" t="s">
        <v>6466</v>
      </c>
      <c r="D253" s="17">
        <v>44107</v>
      </c>
      <c r="E253" s="14" t="s">
        <v>30</v>
      </c>
      <c r="F253" s="14">
        <v>34</v>
      </c>
      <c r="G253" s="14">
        <v>13</v>
      </c>
      <c r="H253" s="14">
        <v>14</v>
      </c>
      <c r="I253" s="14">
        <v>7</v>
      </c>
      <c r="J253" s="14" t="s">
        <v>31</v>
      </c>
      <c r="K253" s="14" cm="1">
        <f t="array" ref="K253">INT(SUMPRODUCT(--ISNUMBER(SEARCH(economy,C253)))&gt;0)</f>
        <v>0</v>
      </c>
      <c r="L253" s="14" cm="1">
        <f t="array" ref="L253">INT(SUMPRODUCT(--ISNUMBER(SEARCH(healthcare,C253)))&gt;0)</f>
        <v>0</v>
      </c>
      <c r="M253" s="14" cm="1">
        <f t="array" ref="M253">INT(SUMPRODUCT(--ISNUMBER(SEARCH(supreme,C253)))&gt;0)</f>
        <v>0</v>
      </c>
      <c r="N253" s="14" cm="1">
        <f t="array" ref="N253">INT(SUMPRODUCT(--ISNUMBER(SEARCH(covid,C253)))&gt;0)</f>
        <v>0</v>
      </c>
      <c r="O253" s="14" cm="1">
        <f t="array" ref="O253">INT(SUMPRODUCT(--ISNUMBER(SEARCH(violent,C253)))&gt;0)</f>
        <v>0</v>
      </c>
      <c r="P253" s="14" cm="1">
        <f t="array" ref="P253">INT(SUMPRODUCT(--ISNUMBER(SEARCH(foreign,C253)))&gt;0)</f>
        <v>0</v>
      </c>
      <c r="Q253" s="14" cm="1">
        <f t="array" ref="Q253">INT(SUMPRODUCT(--ISNUMBER(SEARCH(gun,C253)))&gt;0)</f>
        <v>0</v>
      </c>
      <c r="R253" s="14" cm="1">
        <f t="array" ref="R253">INT(SUMPRODUCT(--ISNUMBER(SEARCH(race,C253)))&gt;0)</f>
        <v>0</v>
      </c>
      <c r="S253" s="14" cm="1">
        <f t="array" ref="S253">INT(SUMPRODUCT(--ISNUMBER(SEARCH(immigration,C253)))&gt;0)</f>
        <v>0</v>
      </c>
      <c r="T253" s="14" cm="1">
        <f t="array" ref="T253">INT(SUMPRODUCT(--ISNUMBER(SEARCH(econineq,C254)))&gt;0)</f>
        <v>0</v>
      </c>
      <c r="U253" s="14" cm="1">
        <f t="array" ref="U253">INT(SUMPRODUCT(--ISNUMBER(SEARCH(climate,C253)))&gt;0)</f>
        <v>0</v>
      </c>
      <c r="V253" s="14" cm="1">
        <f t="array" ref="V253">INT(SUMPRODUCT(--ISNUMBER(SEARCH(abortion,C253)))&gt;0)</f>
        <v>0</v>
      </c>
      <c r="W253" s="14" cm="1">
        <f t="array" ref="W253">INT(SUMPRODUCT(--ISNUMBER(SEARCH(trump,C253)))&gt;0)</f>
        <v>0</v>
      </c>
      <c r="X253" s="14" cm="1">
        <f t="array" ref="X253">INT(SUMPRODUCT(--ISNUMBER(SEARCH(voting,C253)))&gt;0)</f>
        <v>0</v>
      </c>
      <c r="Y253" s="35" cm="1">
        <f t="array" ref="Y253">INT(SUMPRODUCT(--ISNUMBER(SEARCH(republicantrigger,C253)))&gt;0)</f>
        <v>1</v>
      </c>
      <c r="Z253" s="35" cm="1">
        <f t="array" ref="Z253">INT(SUMPRODUCT(--ISNUMBER(SEARCH(bipartisan,C253)))&gt;0)</f>
        <v>0</v>
      </c>
      <c r="AA253" s="35">
        <f t="shared" si="3"/>
        <v>0</v>
      </c>
      <c r="AB253" s="14"/>
      <c r="AC253" s="30" t="s">
        <v>223</v>
      </c>
      <c r="AD253" s="37" t="s">
        <v>223</v>
      </c>
    </row>
    <row r="254" spans="1:30" x14ac:dyDescent="0.25">
      <c r="A254" s="36">
        <v>3221</v>
      </c>
      <c r="B254" s="14" t="s">
        <v>6467</v>
      </c>
      <c r="C254" s="14" t="s">
        <v>6468</v>
      </c>
      <c r="D254" s="17">
        <v>44107</v>
      </c>
      <c r="E254" s="14" t="s">
        <v>30</v>
      </c>
      <c r="F254" s="14">
        <v>18</v>
      </c>
      <c r="G254" s="14">
        <v>6</v>
      </c>
      <c r="H254" s="14">
        <v>14</v>
      </c>
      <c r="I254" s="14">
        <v>7</v>
      </c>
      <c r="J254" s="14" t="s">
        <v>31</v>
      </c>
      <c r="K254" s="14" cm="1">
        <f t="array" ref="K254">INT(SUMPRODUCT(--ISNUMBER(SEARCH(economy,C254)))&gt;0)</f>
        <v>0</v>
      </c>
      <c r="L254" s="14" cm="1">
        <f t="array" ref="L254">INT(SUMPRODUCT(--ISNUMBER(SEARCH(healthcare,C254)))&gt;0)</f>
        <v>0</v>
      </c>
      <c r="M254" s="14" cm="1">
        <f t="array" ref="M254">INT(SUMPRODUCT(--ISNUMBER(SEARCH(supreme,C254)))&gt;0)</f>
        <v>0</v>
      </c>
      <c r="N254" s="14" cm="1">
        <f t="array" ref="N254">INT(SUMPRODUCT(--ISNUMBER(SEARCH(covid,C254)))&gt;0)</f>
        <v>0</v>
      </c>
      <c r="O254" s="14" cm="1">
        <f t="array" ref="O254">INT(SUMPRODUCT(--ISNUMBER(SEARCH(violent,C254)))&gt;0)</f>
        <v>0</v>
      </c>
      <c r="P254" s="14" cm="1">
        <f t="array" ref="P254">INT(SUMPRODUCT(--ISNUMBER(SEARCH(foreign,C254)))&gt;0)</f>
        <v>0</v>
      </c>
      <c r="Q254" s="14" cm="1">
        <f t="array" ref="Q254">INT(SUMPRODUCT(--ISNUMBER(SEARCH(gun,C254)))&gt;0)</f>
        <v>0</v>
      </c>
      <c r="R254" s="14" cm="1">
        <f t="array" ref="R254">INT(SUMPRODUCT(--ISNUMBER(SEARCH(race,C254)))&gt;0)</f>
        <v>0</v>
      </c>
      <c r="S254" s="14" cm="1">
        <f t="array" ref="S254">INT(SUMPRODUCT(--ISNUMBER(SEARCH(immigration,C254)))&gt;0)</f>
        <v>0</v>
      </c>
      <c r="T254" s="14" cm="1">
        <f t="array" ref="T254">INT(SUMPRODUCT(--ISNUMBER(SEARCH(econineq,C255)))&gt;0)</f>
        <v>0</v>
      </c>
      <c r="U254" s="14" cm="1">
        <f t="array" ref="U254">INT(SUMPRODUCT(--ISNUMBER(SEARCH(climate,C254)))&gt;0)</f>
        <v>0</v>
      </c>
      <c r="V254" s="14" cm="1">
        <f t="array" ref="V254">INT(SUMPRODUCT(--ISNUMBER(SEARCH(abortion,C254)))&gt;0)</f>
        <v>0</v>
      </c>
      <c r="W254" s="14" cm="1">
        <f t="array" ref="W254">INT(SUMPRODUCT(--ISNUMBER(SEARCH(trump,C254)))&gt;0)</f>
        <v>0</v>
      </c>
      <c r="X254" s="14" cm="1">
        <f t="array" ref="X254">INT(SUMPRODUCT(--ISNUMBER(SEARCH(voting,C254)))&gt;0)</f>
        <v>1</v>
      </c>
      <c r="Y254" s="35" cm="1">
        <f t="array" ref="Y254">INT(SUMPRODUCT(--ISNUMBER(SEARCH(republicantrigger,C254)))&gt;0)</f>
        <v>1</v>
      </c>
      <c r="Z254" s="35" cm="1">
        <f t="array" ref="Z254">INT(SUMPRODUCT(--ISNUMBER(SEARCH(bipartisan,C254)))&gt;0)</f>
        <v>0</v>
      </c>
      <c r="AA254" s="35">
        <f t="shared" si="3"/>
        <v>0</v>
      </c>
      <c r="AB254" s="14"/>
      <c r="AC254" s="30" t="s">
        <v>223</v>
      </c>
      <c r="AD254" s="37" t="s">
        <v>223</v>
      </c>
    </row>
    <row r="255" spans="1:30" x14ac:dyDescent="0.25">
      <c r="A255" s="36">
        <v>3222</v>
      </c>
      <c r="B255" s="14" t="s">
        <v>6469</v>
      </c>
      <c r="C255" s="14" t="s">
        <v>6470</v>
      </c>
      <c r="D255" s="17">
        <v>44107</v>
      </c>
      <c r="E255" s="14" t="s">
        <v>30</v>
      </c>
      <c r="F255" s="14">
        <v>13</v>
      </c>
      <c r="G255" s="14">
        <v>3</v>
      </c>
      <c r="H255" s="14">
        <v>14</v>
      </c>
      <c r="I255" s="14">
        <v>7</v>
      </c>
      <c r="J255" s="14" t="s">
        <v>31</v>
      </c>
      <c r="K255" s="14" cm="1">
        <f t="array" ref="K255">INT(SUMPRODUCT(--ISNUMBER(SEARCH(economy,C255)))&gt;0)</f>
        <v>0</v>
      </c>
      <c r="L255" s="14" cm="1">
        <f t="array" ref="L255">INT(SUMPRODUCT(--ISNUMBER(SEARCH(healthcare,C255)))&gt;0)</f>
        <v>0</v>
      </c>
      <c r="M255" s="14" cm="1">
        <f t="array" ref="M255">INT(SUMPRODUCT(--ISNUMBER(SEARCH(supreme,C255)))&gt;0)</f>
        <v>0</v>
      </c>
      <c r="N255" s="14" cm="1">
        <f t="array" ref="N255">INT(SUMPRODUCT(--ISNUMBER(SEARCH(covid,C255)))&gt;0)</f>
        <v>0</v>
      </c>
      <c r="O255" s="14" cm="1">
        <f t="array" ref="O255">INT(SUMPRODUCT(--ISNUMBER(SEARCH(violent,C255)))&gt;0)</f>
        <v>0</v>
      </c>
      <c r="P255" s="14" cm="1">
        <f t="array" ref="P255">INT(SUMPRODUCT(--ISNUMBER(SEARCH(foreign,C255)))&gt;0)</f>
        <v>0</v>
      </c>
      <c r="Q255" s="14" cm="1">
        <f t="array" ref="Q255">INT(SUMPRODUCT(--ISNUMBER(SEARCH(gun,C255)))&gt;0)</f>
        <v>0</v>
      </c>
      <c r="R255" s="14" cm="1">
        <f t="array" ref="R255">INT(SUMPRODUCT(--ISNUMBER(SEARCH(race,C255)))&gt;0)</f>
        <v>0</v>
      </c>
      <c r="S255" s="14" cm="1">
        <f t="array" ref="S255">INT(SUMPRODUCT(--ISNUMBER(SEARCH(immigration,C255)))&gt;0)</f>
        <v>0</v>
      </c>
      <c r="T255" s="14" cm="1">
        <f t="array" ref="T255">INT(SUMPRODUCT(--ISNUMBER(SEARCH(econineq,C256)))&gt;0)</f>
        <v>0</v>
      </c>
      <c r="U255" s="14" cm="1">
        <f t="array" ref="U255">INT(SUMPRODUCT(--ISNUMBER(SEARCH(climate,C255)))&gt;0)</f>
        <v>0</v>
      </c>
      <c r="V255" s="14" cm="1">
        <f t="array" ref="V255">INT(SUMPRODUCT(--ISNUMBER(SEARCH(abortion,C255)))&gt;0)</f>
        <v>0</v>
      </c>
      <c r="W255" s="14" cm="1">
        <f t="array" ref="W255">INT(SUMPRODUCT(--ISNUMBER(SEARCH(trump,C255)))&gt;0)</f>
        <v>0</v>
      </c>
      <c r="X255" s="14" cm="1">
        <f t="array" ref="X255">INT(SUMPRODUCT(--ISNUMBER(SEARCH(voting,C255)))&gt;0)</f>
        <v>1</v>
      </c>
      <c r="Y255" s="35" cm="1">
        <f t="array" ref="Y255">INT(SUMPRODUCT(--ISNUMBER(SEARCH(republicantrigger,C255)))&gt;0)</f>
        <v>0</v>
      </c>
      <c r="Z255" s="35" cm="1">
        <f t="array" ref="Z255">INT(SUMPRODUCT(--ISNUMBER(SEARCH(bipartisan,C255)))&gt;0)</f>
        <v>0</v>
      </c>
      <c r="AA255" s="35">
        <f t="shared" si="3"/>
        <v>0</v>
      </c>
      <c r="AB255" s="14"/>
      <c r="AC255" s="30">
        <v>1</v>
      </c>
      <c r="AD255" s="37">
        <v>0</v>
      </c>
    </row>
    <row r="256" spans="1:30" x14ac:dyDescent="0.25">
      <c r="A256" s="36">
        <v>3223</v>
      </c>
      <c r="B256" s="14" t="s">
        <v>6471</v>
      </c>
      <c r="C256" s="14" t="s">
        <v>6472</v>
      </c>
      <c r="D256" s="17">
        <v>44107</v>
      </c>
      <c r="E256" s="14" t="s">
        <v>30</v>
      </c>
      <c r="F256" s="14">
        <v>51</v>
      </c>
      <c r="G256" s="14">
        <v>13</v>
      </c>
      <c r="H256" s="14">
        <v>14</v>
      </c>
      <c r="I256" s="14">
        <v>7</v>
      </c>
      <c r="J256" s="14" t="s">
        <v>31</v>
      </c>
      <c r="K256" s="14" cm="1">
        <f t="array" ref="K256">INT(SUMPRODUCT(--ISNUMBER(SEARCH(economy,C256)))&gt;0)</f>
        <v>0</v>
      </c>
      <c r="L256" s="14" cm="1">
        <f t="array" ref="L256">INT(SUMPRODUCT(--ISNUMBER(SEARCH(healthcare,C256)))&gt;0)</f>
        <v>0</v>
      </c>
      <c r="M256" s="14" cm="1">
        <f t="array" ref="M256">INT(SUMPRODUCT(--ISNUMBER(SEARCH(supreme,C256)))&gt;0)</f>
        <v>0</v>
      </c>
      <c r="N256" s="14" cm="1">
        <f t="array" ref="N256">INT(SUMPRODUCT(--ISNUMBER(SEARCH(covid,C256)))&gt;0)</f>
        <v>0</v>
      </c>
      <c r="O256" s="14" cm="1">
        <f t="array" ref="O256">INT(SUMPRODUCT(--ISNUMBER(SEARCH(violent,C256)))&gt;0)</f>
        <v>0</v>
      </c>
      <c r="P256" s="14" cm="1">
        <f t="array" ref="P256">INT(SUMPRODUCT(--ISNUMBER(SEARCH(foreign,C256)))&gt;0)</f>
        <v>0</v>
      </c>
      <c r="Q256" s="14" cm="1">
        <f t="array" ref="Q256">INT(SUMPRODUCT(--ISNUMBER(SEARCH(gun,C256)))&gt;0)</f>
        <v>0</v>
      </c>
      <c r="R256" s="14" cm="1">
        <f t="array" ref="R256">INT(SUMPRODUCT(--ISNUMBER(SEARCH(race,C256)))&gt;0)</f>
        <v>0</v>
      </c>
      <c r="S256" s="14" cm="1">
        <f t="array" ref="S256">INT(SUMPRODUCT(--ISNUMBER(SEARCH(immigration,C256)))&gt;0)</f>
        <v>0</v>
      </c>
      <c r="T256" s="14" cm="1">
        <f t="array" ref="T256">INT(SUMPRODUCT(--ISNUMBER(SEARCH(econineq,C257)))&gt;0)</f>
        <v>0</v>
      </c>
      <c r="U256" s="14" cm="1">
        <f t="array" ref="U256">INT(SUMPRODUCT(--ISNUMBER(SEARCH(climate,C256)))&gt;0)</f>
        <v>0</v>
      </c>
      <c r="V256" s="14" cm="1">
        <f t="array" ref="V256">INT(SUMPRODUCT(--ISNUMBER(SEARCH(abortion,C256)))&gt;0)</f>
        <v>0</v>
      </c>
      <c r="W256" s="14" cm="1">
        <f t="array" ref="W256">INT(SUMPRODUCT(--ISNUMBER(SEARCH(trump,C256)))&gt;0)</f>
        <v>0</v>
      </c>
      <c r="X256" s="14" cm="1">
        <f t="array" ref="X256">INT(SUMPRODUCT(--ISNUMBER(SEARCH(voting,C256)))&gt;0)</f>
        <v>0</v>
      </c>
      <c r="Y256" s="35" cm="1">
        <f t="array" ref="Y256">INT(SUMPRODUCT(--ISNUMBER(SEARCH(republicantrigger,C256)))&gt;0)</f>
        <v>0</v>
      </c>
      <c r="Z256" s="35" cm="1">
        <f t="array" ref="Z256">INT(SUMPRODUCT(--ISNUMBER(SEARCH(bipartisan,C256)))&gt;0)</f>
        <v>0</v>
      </c>
      <c r="AA256" s="35">
        <f t="shared" si="3"/>
        <v>1</v>
      </c>
      <c r="AB256" s="14"/>
      <c r="AC256" s="30">
        <v>0</v>
      </c>
      <c r="AD256" s="37">
        <v>1</v>
      </c>
    </row>
    <row r="257" spans="1:30" x14ac:dyDescent="0.25">
      <c r="A257" s="38">
        <v>3224</v>
      </c>
      <c r="B257" s="39" t="s">
        <v>6473</v>
      </c>
      <c r="C257" s="39" t="s">
        <v>6474</v>
      </c>
      <c r="D257" s="41">
        <v>44107</v>
      </c>
      <c r="E257" s="39" t="s">
        <v>30</v>
      </c>
      <c r="F257" s="39">
        <v>21</v>
      </c>
      <c r="G257" s="39">
        <v>11</v>
      </c>
      <c r="H257" s="39">
        <v>14</v>
      </c>
      <c r="I257" s="39">
        <v>7</v>
      </c>
      <c r="J257" s="39" t="s">
        <v>31</v>
      </c>
      <c r="K257" s="39" cm="1">
        <f t="array" ref="K257">INT(SUMPRODUCT(--ISNUMBER(SEARCH(economy,C257)))&gt;0)</f>
        <v>0</v>
      </c>
      <c r="L257" s="39" cm="1">
        <f t="array" ref="L257">INT(SUMPRODUCT(--ISNUMBER(SEARCH(healthcare,C257)))&gt;0)</f>
        <v>0</v>
      </c>
      <c r="M257" s="39" cm="1">
        <f t="array" ref="M257">INT(SUMPRODUCT(--ISNUMBER(SEARCH(supreme,C257)))&gt;0)</f>
        <v>0</v>
      </c>
      <c r="N257" s="39" cm="1">
        <f t="array" ref="N257">INT(SUMPRODUCT(--ISNUMBER(SEARCH(covid,C257)))&gt;0)</f>
        <v>0</v>
      </c>
      <c r="O257" s="39" cm="1">
        <f t="array" ref="O257">INT(SUMPRODUCT(--ISNUMBER(SEARCH(violent,C257)))&gt;0)</f>
        <v>0</v>
      </c>
      <c r="P257" s="39" cm="1">
        <f t="array" ref="P257">INT(SUMPRODUCT(--ISNUMBER(SEARCH(foreign,C257)))&gt;0)</f>
        <v>0</v>
      </c>
      <c r="Q257" s="39" cm="1">
        <f t="array" ref="Q257">INT(SUMPRODUCT(--ISNUMBER(SEARCH(gun,C257)))&gt;0)</f>
        <v>0</v>
      </c>
      <c r="R257" s="39" cm="1">
        <f t="array" ref="R257">INT(SUMPRODUCT(--ISNUMBER(SEARCH(race,C257)))&gt;0)</f>
        <v>0</v>
      </c>
      <c r="S257" s="39" cm="1">
        <f t="array" ref="S257">INT(SUMPRODUCT(--ISNUMBER(SEARCH(immigration,C257)))&gt;0)</f>
        <v>0</v>
      </c>
      <c r="T257" s="39" cm="1">
        <f t="array" ref="T257">INT(SUMPRODUCT(--ISNUMBER(SEARCH(econineq,C258)))&gt;0)</f>
        <v>0</v>
      </c>
      <c r="U257" s="39" cm="1">
        <f t="array" ref="U257">INT(SUMPRODUCT(--ISNUMBER(SEARCH(climate,C257)))&gt;0)</f>
        <v>0</v>
      </c>
      <c r="V257" s="39" cm="1">
        <f t="array" ref="V257">INT(SUMPRODUCT(--ISNUMBER(SEARCH(abortion,C257)))&gt;0)</f>
        <v>0</v>
      </c>
      <c r="W257" s="39" cm="1">
        <f t="array" ref="W257">INT(SUMPRODUCT(--ISNUMBER(SEARCH(trump,C257)))&gt;0)</f>
        <v>1</v>
      </c>
      <c r="X257" s="39" cm="1">
        <f t="array" ref="X257">INT(SUMPRODUCT(--ISNUMBER(SEARCH(voting,C257)))&gt;0)</f>
        <v>0</v>
      </c>
      <c r="Y257" s="59" cm="1">
        <f t="array" ref="Y257">INT(SUMPRODUCT(--ISNUMBER(SEARCH(republicantrigger,C257)))&gt;0)</f>
        <v>0</v>
      </c>
      <c r="Z257" s="59" cm="1">
        <f t="array" ref="Z257">INT(SUMPRODUCT(--ISNUMBER(SEARCH(bipartisan,C257)))&gt;0)</f>
        <v>0</v>
      </c>
      <c r="AA257" s="59">
        <f t="shared" si="3"/>
        <v>0</v>
      </c>
      <c r="AB257" s="39"/>
      <c r="AC257" s="44">
        <v>0</v>
      </c>
      <c r="AD257" s="45">
        <v>1</v>
      </c>
    </row>
    <row r="258" spans="1:30" x14ac:dyDescent="0.25">
      <c r="A258" s="16"/>
      <c r="B258" s="16"/>
      <c r="C258" s="16"/>
      <c r="D258" s="16"/>
      <c r="E258" s="16"/>
      <c r="F258" s="16"/>
      <c r="G258" s="16"/>
      <c r="H258" s="16"/>
      <c r="I258" s="16"/>
      <c r="J258" s="16"/>
      <c r="K258" s="21">
        <f t="shared" ref="K258:AD258" si="4">SUM(K2:K257)</f>
        <v>19</v>
      </c>
      <c r="L258" s="21">
        <f t="shared" si="4"/>
        <v>15</v>
      </c>
      <c r="M258" s="21">
        <f t="shared" si="4"/>
        <v>23</v>
      </c>
      <c r="N258" s="21">
        <f t="shared" si="4"/>
        <v>22</v>
      </c>
      <c r="O258" s="21">
        <f t="shared" si="4"/>
        <v>5</v>
      </c>
      <c r="P258" s="21">
        <f t="shared" si="4"/>
        <v>2</v>
      </c>
      <c r="Q258" s="21">
        <f t="shared" si="4"/>
        <v>3</v>
      </c>
      <c r="R258" s="21">
        <f t="shared" si="4"/>
        <v>3</v>
      </c>
      <c r="S258" s="21">
        <f t="shared" si="4"/>
        <v>0</v>
      </c>
      <c r="T258" s="21">
        <f t="shared" si="4"/>
        <v>1</v>
      </c>
      <c r="U258" s="21">
        <f t="shared" si="4"/>
        <v>6</v>
      </c>
      <c r="V258" s="21">
        <f t="shared" si="4"/>
        <v>0</v>
      </c>
      <c r="W258" s="21">
        <f t="shared" si="4"/>
        <v>24</v>
      </c>
      <c r="X258" s="21">
        <f t="shared" si="4"/>
        <v>81</v>
      </c>
      <c r="Y258" s="21">
        <f t="shared" si="4"/>
        <v>147</v>
      </c>
      <c r="Z258" s="21">
        <f t="shared" si="4"/>
        <v>7</v>
      </c>
      <c r="AA258" s="21">
        <f t="shared" si="4"/>
        <v>45</v>
      </c>
      <c r="AB258" s="21">
        <f t="shared" si="4"/>
        <v>0</v>
      </c>
      <c r="AC258" s="21">
        <f t="shared" si="4"/>
        <v>84</v>
      </c>
      <c r="AD258" s="21">
        <f t="shared" si="4"/>
        <v>40</v>
      </c>
    </row>
    <row r="259" spans="1:30" x14ac:dyDescent="0.25">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x14ac:dyDescent="0.25">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x14ac:dyDescent="0.25">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x14ac:dyDescent="0.25">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x14ac:dyDescent="0.25">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x14ac:dyDescent="0.25">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x14ac:dyDescent="0.2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x14ac:dyDescent="0.25">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x14ac:dyDescent="0.25">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x14ac:dyDescent="0.25">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x14ac:dyDescent="0.25">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x14ac:dyDescent="0.25">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x14ac:dyDescent="0.25">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x14ac:dyDescent="0.25">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x14ac:dyDescent="0.25">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x14ac:dyDescent="0.25">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x14ac:dyDescent="0.2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x14ac:dyDescent="0.25">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x14ac:dyDescent="0.25">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x14ac:dyDescent="0.25">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x14ac:dyDescent="0.25">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x14ac:dyDescent="0.25">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x14ac:dyDescent="0.25">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x14ac:dyDescent="0.25">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x14ac:dyDescent="0.25">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x14ac:dyDescent="0.25">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x14ac:dyDescent="0.2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x14ac:dyDescent="0.25">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x14ac:dyDescent="0.25">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x14ac:dyDescent="0.25">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x14ac:dyDescent="0.25">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x14ac:dyDescent="0.25">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x14ac:dyDescent="0.25">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x14ac:dyDescent="0.25">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x14ac:dyDescent="0.25">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x14ac:dyDescent="0.25">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x14ac:dyDescent="0.2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x14ac:dyDescent="0.25">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x14ac:dyDescent="0.25">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x14ac:dyDescent="0.25">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x14ac:dyDescent="0.25">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x14ac:dyDescent="0.25">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x14ac:dyDescent="0.25">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x14ac:dyDescent="0.25">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x14ac:dyDescent="0.2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x14ac:dyDescent="0.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x14ac:dyDescent="0.2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x14ac:dyDescent="0.2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x14ac:dyDescent="0.2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x14ac:dyDescent="0.2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x14ac:dyDescent="0.2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x14ac:dyDescent="0.2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x14ac:dyDescent="0.2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x14ac:dyDescent="0.2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x14ac:dyDescent="0.2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x14ac:dyDescent="0.2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x14ac:dyDescent="0.2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x14ac:dyDescent="0.25">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x14ac:dyDescent="0.25">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x14ac:dyDescent="0.25">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x14ac:dyDescent="0.25">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x14ac:dyDescent="0.25">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x14ac:dyDescent="0.25">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x14ac:dyDescent="0.25">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x14ac:dyDescent="0.25">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x14ac:dyDescent="0.25">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x14ac:dyDescent="0.2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x14ac:dyDescent="0.25">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x14ac:dyDescent="0.25">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x14ac:dyDescent="0.25">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x14ac:dyDescent="0.25">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x14ac:dyDescent="0.25">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x14ac:dyDescent="0.25">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x14ac:dyDescent="0.25">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x14ac:dyDescent="0.25">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x14ac:dyDescent="0.25">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row>
    <row r="335" spans="1:30" x14ac:dyDescent="0.2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row>
    <row r="336" spans="1:30" x14ac:dyDescent="0.25">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row>
    <row r="337" spans="1:30" x14ac:dyDescent="0.25">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row>
    <row r="338" spans="1:30" x14ac:dyDescent="0.25">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row>
    <row r="339" spans="1:30" x14ac:dyDescent="0.25">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row>
    <row r="340" spans="1:30" x14ac:dyDescent="0.25">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row>
    <row r="341" spans="1:30" x14ac:dyDescent="0.25">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row>
    <row r="342" spans="1:30" x14ac:dyDescent="0.25">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row>
    <row r="343" spans="1:30" x14ac:dyDescent="0.25">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row>
    <row r="344" spans="1:30" x14ac:dyDescent="0.25">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row>
    <row r="345" spans="1:30" x14ac:dyDescent="0.2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row>
    <row r="346" spans="1:30" x14ac:dyDescent="0.25">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row>
    <row r="347" spans="1:30" x14ac:dyDescent="0.25">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row>
    <row r="348" spans="1:30" x14ac:dyDescent="0.25">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row>
    <row r="349" spans="1:30" x14ac:dyDescent="0.25">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row>
    <row r="350" spans="1:30" x14ac:dyDescent="0.25">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row>
    <row r="351" spans="1:30" x14ac:dyDescent="0.25">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row>
    <row r="352" spans="1:30" x14ac:dyDescent="0.25">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row>
    <row r="353" spans="1:30" x14ac:dyDescent="0.25">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row>
    <row r="354" spans="1:30" x14ac:dyDescent="0.25">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row>
    <row r="355" spans="1:30" x14ac:dyDescent="0.2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row>
    <row r="356" spans="1:30" x14ac:dyDescent="0.25">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row>
    <row r="357" spans="1:30" x14ac:dyDescent="0.25">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row>
    <row r="358" spans="1:30" x14ac:dyDescent="0.25">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row>
    <row r="359" spans="1:30" x14ac:dyDescent="0.25">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row>
    <row r="360" spans="1:30" x14ac:dyDescent="0.25">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row>
    <row r="361" spans="1:30" x14ac:dyDescent="0.25">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row>
    <row r="362" spans="1:30" x14ac:dyDescent="0.25">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row>
    <row r="363" spans="1:30" x14ac:dyDescent="0.25">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row>
    <row r="364" spans="1:30" x14ac:dyDescent="0.25">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row>
    <row r="365" spans="1:30" x14ac:dyDescent="0.2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row>
    <row r="366" spans="1:30" x14ac:dyDescent="0.25">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row>
    <row r="367" spans="1:30" x14ac:dyDescent="0.25">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row>
    <row r="368" spans="1:30" x14ac:dyDescent="0.25">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row>
    <row r="369" spans="1:30" x14ac:dyDescent="0.25">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row>
    <row r="370" spans="1:30" x14ac:dyDescent="0.25">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row>
  </sheetData>
  <conditionalFormatting sqref="J2:J257">
    <cfRule type="cellIs" dxfId="10" priority="1" operator="equal">
      <formula>"R"</formula>
    </cfRule>
  </conditionalFormatting>
  <hyperlinks>
    <hyperlink ref="B2" r:id="rId1" xr:uid="{C34274A2-EB2C-4E3A-8C90-D7A42D1815B9}"/>
    <hyperlink ref="B3" r:id="rId2" xr:uid="{DA344F0E-644A-4C8E-AA48-E3024B9568F9}"/>
    <hyperlink ref="B4" r:id="rId3" xr:uid="{F83AE74E-D0AC-4562-986B-87C605719707}"/>
    <hyperlink ref="B5" r:id="rId4" xr:uid="{8212F4F3-A553-47BB-A920-01E76DB9DB7C}"/>
    <hyperlink ref="B6" r:id="rId5" xr:uid="{E5F30F2F-6FBB-41EF-A8FD-41D38C3329FC}"/>
    <hyperlink ref="B7" r:id="rId6" xr:uid="{A742F607-76BA-47EE-99EA-81A65D2F050F}"/>
    <hyperlink ref="B8" r:id="rId7" xr:uid="{2E989F22-0A04-4673-82A9-C769678B97EF}"/>
    <hyperlink ref="B9" r:id="rId8" xr:uid="{AF508D25-AD00-4306-A570-CDBD6E9B4516}"/>
    <hyperlink ref="B10" r:id="rId9" xr:uid="{E07DB12C-DDF0-42F3-980A-05305A0F5E43}"/>
    <hyperlink ref="B11" r:id="rId10" xr:uid="{BF616237-3281-4714-B552-4C0C6CEF41A5}"/>
    <hyperlink ref="B12" r:id="rId11" xr:uid="{FD48238E-EC72-4DD4-86D7-218DFADD8476}"/>
    <hyperlink ref="B13" r:id="rId12" xr:uid="{9FA52C61-2CC4-45B4-AB95-9924821ADA6D}"/>
    <hyperlink ref="B14" r:id="rId13" xr:uid="{E0B0ACB0-2744-4363-A203-ABBD49755C6B}"/>
    <hyperlink ref="B15" r:id="rId14" xr:uid="{FFBBF991-1D1A-4E91-A189-147BFB7ACD67}"/>
    <hyperlink ref="B16" r:id="rId15" xr:uid="{F73E26AC-97A1-44F3-A23F-C0E5E37CBB2F}"/>
    <hyperlink ref="B17" r:id="rId16" xr:uid="{72A9BC6A-D4CB-41BE-B211-5B610A2A1AE1}"/>
    <hyperlink ref="B18" r:id="rId17" xr:uid="{2EBF0FA4-743B-4EB8-AD7B-26C58C24D1EC}"/>
    <hyperlink ref="B19" r:id="rId18" xr:uid="{FA4E0D89-450F-4C40-BD8D-2B81A5D25344}"/>
    <hyperlink ref="B20" r:id="rId19" xr:uid="{B3CA70A2-DC17-46C5-8520-6DC9A9F3BDD8}"/>
    <hyperlink ref="B21" r:id="rId20" xr:uid="{377A8CA1-27A3-4ADE-80C1-CFB9695C8296}"/>
    <hyperlink ref="B22" r:id="rId21" xr:uid="{269B8A33-DC25-480D-9CBC-E9456A5C136D}"/>
    <hyperlink ref="B23" r:id="rId22" xr:uid="{2ABA5DE6-C47D-4D67-A0B2-4717065C57CC}"/>
    <hyperlink ref="B24" r:id="rId23" xr:uid="{D41DB2F0-4446-4199-BCBC-235B1270AFF3}"/>
    <hyperlink ref="B25" r:id="rId24" xr:uid="{4DD99721-A074-4B24-AFB3-CFC36482558E}"/>
    <hyperlink ref="B26" r:id="rId25" xr:uid="{22D1C839-341E-403D-A6C7-94F96829CA7C}"/>
    <hyperlink ref="B27" r:id="rId26" xr:uid="{B6656FFA-856B-4FDF-A277-FF45060CEA2C}"/>
    <hyperlink ref="B28" r:id="rId27" xr:uid="{983392D0-6153-4C06-8307-4D41F659E40C}"/>
    <hyperlink ref="B29" r:id="rId28" xr:uid="{4DB1BE3F-6A20-4F8E-972E-F70B2C0647C2}"/>
    <hyperlink ref="B30" r:id="rId29" xr:uid="{3D284BCB-BEE7-4AAE-AD24-4056709D7210}"/>
    <hyperlink ref="B31" r:id="rId30" xr:uid="{A44837E1-D063-4663-9E80-B50E082E6AE6}"/>
    <hyperlink ref="B32" r:id="rId31" xr:uid="{3ED4FD7E-29FA-40CD-8F42-8A64E5C4DC34}"/>
    <hyperlink ref="B33" r:id="rId32" xr:uid="{B6CFAF72-94C0-4CBB-96CA-8ACFB28DD9DC}"/>
    <hyperlink ref="B34" r:id="rId33" xr:uid="{CFC838AB-6B8F-477E-A0A6-DF336C432328}"/>
    <hyperlink ref="B35" r:id="rId34" xr:uid="{E9E0C3BB-3276-4812-91EF-E0505BD29575}"/>
    <hyperlink ref="B36" r:id="rId35" xr:uid="{466630CF-EFD2-4CF8-8779-94E0F984B262}"/>
    <hyperlink ref="B37" r:id="rId36" xr:uid="{B9AC588D-A860-469F-A18E-99A3CEDB2F78}"/>
    <hyperlink ref="B38" r:id="rId37" xr:uid="{A9C5A7A2-1600-4C65-A5B0-B04751F698ED}"/>
    <hyperlink ref="B39" r:id="rId38" xr:uid="{013FD12C-8ABE-4802-9C11-0BB1F1E126F2}"/>
    <hyperlink ref="B40" r:id="rId39" xr:uid="{4EFD58F5-EE1F-4B97-9FE3-BFD00B86A130}"/>
    <hyperlink ref="B41" r:id="rId40" xr:uid="{E6866FCA-23C1-4B46-B45B-2240529EEADE}"/>
    <hyperlink ref="B42" r:id="rId41" xr:uid="{EE725385-E19D-4C80-8C50-A92A344CF069}"/>
    <hyperlink ref="B43" r:id="rId42" xr:uid="{8C602300-2ED7-4E67-B6A9-885E35C88FD5}"/>
    <hyperlink ref="B44" r:id="rId43" xr:uid="{A010CFC0-6812-461B-8641-738B153FE911}"/>
    <hyperlink ref="B45" r:id="rId44" xr:uid="{32F963DA-9670-4F3E-9F82-C9860BDB18E2}"/>
    <hyperlink ref="B46" r:id="rId45" xr:uid="{C6920FD3-DCFF-4C18-BE12-B5F078996CEE}"/>
    <hyperlink ref="B47" r:id="rId46" xr:uid="{F52323BA-A54B-441F-A906-F4E8A59820EA}"/>
    <hyperlink ref="B48" r:id="rId47" xr:uid="{A19AF56E-4E91-4CB8-BF49-7ACC91458250}"/>
    <hyperlink ref="B49" r:id="rId48" xr:uid="{742D93DB-F706-4B42-BDE2-55F5EF0E3F6D}"/>
    <hyperlink ref="B50" r:id="rId49" xr:uid="{767C4872-D765-4611-9006-D8D9B2AF383C}"/>
    <hyperlink ref="B51" r:id="rId50" xr:uid="{A519B1A6-1F36-4DA9-92BE-B2AAFBD98076}"/>
    <hyperlink ref="B52" r:id="rId51" xr:uid="{EC460ADB-4FCB-4497-A570-BD3A83DC05D7}"/>
    <hyperlink ref="B53" r:id="rId52" xr:uid="{BD4285BC-7F3C-4617-869E-4A586A1A5312}"/>
    <hyperlink ref="B54" r:id="rId53" xr:uid="{F5A07493-9651-4546-921C-E1A1959BF575}"/>
    <hyperlink ref="B55" r:id="rId54" xr:uid="{E4452469-1DFC-439C-93C9-992E887C09D1}"/>
    <hyperlink ref="B56" r:id="rId55" xr:uid="{241442F2-CD7E-40B2-A79D-0341C0361ED6}"/>
    <hyperlink ref="B57" r:id="rId56" xr:uid="{22845DE8-B5B6-47C1-83B8-5F8B01CF5C66}"/>
    <hyperlink ref="B58" r:id="rId57" xr:uid="{0F1EFA02-6012-4946-AE06-C94F5183CD55}"/>
    <hyperlink ref="B59" r:id="rId58" xr:uid="{8289DB86-8BC4-435D-B202-CBB87C29B2B3}"/>
    <hyperlink ref="B60" r:id="rId59" xr:uid="{25233FA5-D75D-4D50-B099-EEA97E55FBBE}"/>
    <hyperlink ref="B61" r:id="rId60" xr:uid="{6431C5C2-959E-4AAA-B17E-267E01C34A59}"/>
    <hyperlink ref="B62" r:id="rId61" xr:uid="{25087242-A60A-4C06-AD1B-8F94D4D4A1E5}"/>
    <hyperlink ref="B63" r:id="rId62" xr:uid="{C123DF90-BBEE-4028-AFD8-D39518FFE764}"/>
    <hyperlink ref="B64" r:id="rId63" xr:uid="{0A82C828-8364-4566-B0F4-1B3E64FEA37E}"/>
    <hyperlink ref="B65" r:id="rId64" xr:uid="{B82BD27A-C0BA-4FB9-93F4-607B22BEA92D}"/>
    <hyperlink ref="B66" r:id="rId65" xr:uid="{4DFAC733-657A-4182-A4B6-9F29037A0D27}"/>
    <hyperlink ref="B67" r:id="rId66" xr:uid="{77A1BFE9-9ABE-4E04-8987-842FEDC314AF}"/>
    <hyperlink ref="B68" r:id="rId67" xr:uid="{03B89079-AC00-433B-8587-02DF39FA48BF}"/>
    <hyperlink ref="B69" r:id="rId68" xr:uid="{E4E26B2A-4917-40FA-BCCE-A78983DF850E}"/>
    <hyperlink ref="B70" r:id="rId69" xr:uid="{1A9774A8-F1BF-4B5F-B211-AE0156405599}"/>
    <hyperlink ref="B71" r:id="rId70" xr:uid="{A625D4D3-0DF0-4BD4-A655-DBE9BA8BE68C}"/>
    <hyperlink ref="B72" r:id="rId71" xr:uid="{4333D6ED-D78B-43DF-BF3F-CC5F21D32860}"/>
    <hyperlink ref="B73" r:id="rId72" xr:uid="{0E9D4E00-A358-4CA8-9CD3-F37F15C42E22}"/>
    <hyperlink ref="B74" r:id="rId73" xr:uid="{148DD5F6-C421-4FD2-A5BA-9EC75ACB9194}"/>
    <hyperlink ref="B75" r:id="rId74" xr:uid="{658000E5-4019-41F5-94E4-BFBAB1CE644C}"/>
    <hyperlink ref="B76" r:id="rId75" xr:uid="{94687FC0-7D7B-4990-92A1-54B652FA0BAF}"/>
    <hyperlink ref="B77" r:id="rId76" xr:uid="{377E36B4-D6F7-44A9-A4F8-B384D6A6B8F6}"/>
    <hyperlink ref="B78" r:id="rId77" xr:uid="{E3BA19E2-1A98-4943-B6C7-B985BAF38D19}"/>
    <hyperlink ref="B79" r:id="rId78" xr:uid="{A6AA2E7B-CA3F-40C6-AA3B-31E3AA01270D}"/>
    <hyperlink ref="B80" r:id="rId79" xr:uid="{2E80222C-715B-4186-B17D-D8D28847DB8A}"/>
    <hyperlink ref="B81" r:id="rId80" xr:uid="{A83C261F-4BAC-4748-9BF8-BD90EF1C0D9B}"/>
    <hyperlink ref="B82" r:id="rId81" xr:uid="{060D6237-3D38-4663-AF61-A7257DF2AC89}"/>
    <hyperlink ref="B83" r:id="rId82" xr:uid="{16CBDD5A-79C8-47FF-9A71-570F265615DC}"/>
    <hyperlink ref="B84" r:id="rId83" xr:uid="{3DCD9D7C-9AF6-4F4A-B84F-18556592ACAC}"/>
    <hyperlink ref="B85" r:id="rId84" xr:uid="{9F9F88E8-7CEA-42D6-9FD7-A09F72918A4D}"/>
    <hyperlink ref="B86" r:id="rId85" xr:uid="{0D550517-8AC2-4478-B10F-9BAFCB6F1964}"/>
    <hyperlink ref="B87" r:id="rId86" xr:uid="{2CE6C6DE-0469-4F2A-9B41-41186C67F507}"/>
    <hyperlink ref="B88" r:id="rId87" xr:uid="{26DF68A4-7011-4C0D-B2C5-F680A11CC3FE}"/>
    <hyperlink ref="B89" r:id="rId88" xr:uid="{A8C69B63-4808-4ABC-97ED-16F14DD60294}"/>
    <hyperlink ref="B90" r:id="rId89" xr:uid="{6FDFFAEC-29D2-4C9C-9FB5-4D33E5BDFAE8}"/>
    <hyperlink ref="B91" r:id="rId90" xr:uid="{29A76B75-C5C9-4246-8E82-D7AA37FFFF42}"/>
    <hyperlink ref="B92" r:id="rId91" xr:uid="{A8E39D0A-0FF7-485C-A2C8-AB9E7ED6DF8E}"/>
    <hyperlink ref="B93" r:id="rId92" xr:uid="{ED1B16E3-9685-4648-8B1B-7FA9F1A56367}"/>
    <hyperlink ref="B94" r:id="rId93" xr:uid="{9F4AD9FA-0814-4D02-89CC-D2AA8DBE3DCD}"/>
    <hyperlink ref="B95" r:id="rId94" xr:uid="{E6905ED3-EA70-400B-8ABE-F4AE9D5815A3}"/>
    <hyperlink ref="B96" r:id="rId95" xr:uid="{8B281D79-F2B4-4BFF-8296-FD3D4770062D}"/>
    <hyperlink ref="B97" r:id="rId96" xr:uid="{0E0DF67F-6D5C-4F0C-A470-17614AA6B417}"/>
    <hyperlink ref="B98" r:id="rId97" xr:uid="{CED617CD-D7D0-4D2F-9A90-F8A643782D35}"/>
    <hyperlink ref="B99" r:id="rId98" xr:uid="{1B320146-8328-4084-984D-310C8C36B068}"/>
    <hyperlink ref="B100" r:id="rId99" xr:uid="{D9085EDA-DD1B-4E0C-B944-D32C01929E07}"/>
    <hyperlink ref="B101" r:id="rId100" xr:uid="{7E654E2F-082B-4F49-AB1E-EDAB18210827}"/>
    <hyperlink ref="B102" r:id="rId101" xr:uid="{4DC96691-BADB-4993-9E32-765085EAE884}"/>
    <hyperlink ref="B103" r:id="rId102" xr:uid="{1FB346FC-DD89-4CAC-93FA-866F6F8DA1EC}"/>
    <hyperlink ref="B104" r:id="rId103" xr:uid="{6BBE6168-B42E-4372-AA3E-0B5848436358}"/>
    <hyperlink ref="B105" r:id="rId104" xr:uid="{F3750B54-47C6-418B-881C-14825951E391}"/>
    <hyperlink ref="B106" r:id="rId105" xr:uid="{1164D5C7-58F2-46C2-885A-3552D2893377}"/>
    <hyperlink ref="B107" r:id="rId106" xr:uid="{74B3EDB2-847E-4DA9-8541-AEBD1BA4E64A}"/>
    <hyperlink ref="B108" r:id="rId107" xr:uid="{3346FFE7-711B-4762-BA55-18117CB1B5F0}"/>
    <hyperlink ref="B109" r:id="rId108" xr:uid="{2FC9E3EB-61D4-43EA-B327-2149F47E72C1}"/>
    <hyperlink ref="B110" r:id="rId109" xr:uid="{2A24163E-0A99-4D00-9E52-80361FDA074E}"/>
    <hyperlink ref="B111" r:id="rId110" xr:uid="{6AF1F928-6A86-4F2D-B928-E98C31E3DDC2}"/>
    <hyperlink ref="B112" r:id="rId111" xr:uid="{09524972-847F-4625-BD57-C9F2B440B622}"/>
    <hyperlink ref="B113" r:id="rId112" xr:uid="{0168C510-201B-4C20-8985-9F8F5BABC840}"/>
    <hyperlink ref="B114" r:id="rId113" xr:uid="{1AF6B839-3DCC-492A-885E-2E6C45638748}"/>
    <hyperlink ref="B115" r:id="rId114" xr:uid="{1057C4B0-9C66-44A5-B39C-192185D38D4F}"/>
    <hyperlink ref="B116" r:id="rId115" xr:uid="{0C6BA9E8-BA96-48A1-BDF8-C1C80A0F27BC}"/>
    <hyperlink ref="B117" r:id="rId116" xr:uid="{20DB7FC8-72B0-403E-ACB2-0BD55DEFF7B7}"/>
    <hyperlink ref="B118" r:id="rId117" xr:uid="{6C36A8D2-EA4F-48EC-85B5-5AA39FD844D7}"/>
    <hyperlink ref="B119" r:id="rId118" xr:uid="{077EB2F1-F487-4C11-B5E0-97D677CB1040}"/>
    <hyperlink ref="B120" r:id="rId119" xr:uid="{4AB852D1-5467-48C4-8A92-A12CEDC85812}"/>
    <hyperlink ref="B121" r:id="rId120" xr:uid="{2040F0A1-A3F8-4453-9922-B522E5B06512}"/>
    <hyperlink ref="B122" r:id="rId121" xr:uid="{A1466CF8-42AE-46E6-B646-17FBA41EEB9C}"/>
    <hyperlink ref="B123" r:id="rId122" xr:uid="{73B950AD-8C74-46F3-A190-239D20701448}"/>
    <hyperlink ref="B124" r:id="rId123" xr:uid="{544FF2D2-BB80-4632-8A0C-523B543EAF58}"/>
    <hyperlink ref="B125" r:id="rId124" xr:uid="{15A2F60C-6807-4422-B853-688E56E4F4A7}"/>
    <hyperlink ref="B126" r:id="rId125" xr:uid="{93730944-B1E4-4F1D-8441-FFB390827A4B}"/>
    <hyperlink ref="B127" r:id="rId126" xr:uid="{C55B47A9-24ED-4249-AD3D-2928D718613D}"/>
    <hyperlink ref="B128" r:id="rId127" xr:uid="{6C1374CE-5C4B-4A51-AAAD-8EC45B92EE78}"/>
    <hyperlink ref="B129" r:id="rId128" xr:uid="{9FCE522C-DB19-4589-879F-5978FDD74C77}"/>
    <hyperlink ref="B130" r:id="rId129" xr:uid="{66BF8F8D-0E6D-4746-A583-CF82C4249EDA}"/>
    <hyperlink ref="B131" r:id="rId130" xr:uid="{CE49B587-C177-440A-A14B-0AAEFA76FA6F}"/>
    <hyperlink ref="B132" r:id="rId131" xr:uid="{079A07E6-9E30-4D1B-B0C4-BA08B11B2407}"/>
    <hyperlink ref="B133" r:id="rId132" xr:uid="{90DF6428-DA0D-4B25-BD63-6A6F11621087}"/>
    <hyperlink ref="B134" r:id="rId133" xr:uid="{2FC99D80-FD81-4FAE-8EAD-40BEB7987D16}"/>
    <hyperlink ref="B135" r:id="rId134" xr:uid="{FC3CB0E1-9E0B-411A-9662-37BD29A5E0EB}"/>
    <hyperlink ref="B136" r:id="rId135" xr:uid="{B45BCC00-498C-45C1-BF95-8F455D5285B3}"/>
    <hyperlink ref="B137" r:id="rId136" xr:uid="{96C4F0C1-29CC-4027-9292-76FE7987FF5E}"/>
    <hyperlink ref="B138" r:id="rId137" xr:uid="{23BBFEA9-D224-413F-A839-2495567E77C6}"/>
    <hyperlink ref="B139" r:id="rId138" xr:uid="{18240DF3-7ECE-4BEF-9F9E-5BB26F2A9132}"/>
    <hyperlink ref="B140" r:id="rId139" xr:uid="{261BDFD8-FDD6-4758-8F26-E4F37525FACC}"/>
    <hyperlink ref="B141" r:id="rId140" xr:uid="{E76FD780-6101-4163-BB97-FDA581EC1415}"/>
    <hyperlink ref="B142" r:id="rId141" xr:uid="{4715BF64-5B0B-4788-A3A1-2774C43A0B2D}"/>
    <hyperlink ref="B143" r:id="rId142" xr:uid="{17F65A46-FDC3-43F9-B3A6-920E3A074860}"/>
    <hyperlink ref="B144" r:id="rId143" xr:uid="{C6CB0F9B-1F6D-4512-95CE-0DE7254D6D7F}"/>
    <hyperlink ref="B145" r:id="rId144" xr:uid="{0AC1FD89-2B5E-495C-8C30-5D949E8E0EE5}"/>
    <hyperlink ref="B146" r:id="rId145" xr:uid="{ACEF1803-DE4D-46BB-B03E-A5D2F23B7931}"/>
    <hyperlink ref="B147" r:id="rId146" xr:uid="{369FA2CD-C5F4-4384-883B-43D1D91981B6}"/>
    <hyperlink ref="B148" r:id="rId147" xr:uid="{DE1C3CC5-5F60-4079-BAF3-BA1AF69E891F}"/>
    <hyperlink ref="B149" r:id="rId148" xr:uid="{1FB4A1F5-FC7D-43F5-A8DC-FD60261B8299}"/>
    <hyperlink ref="B150" r:id="rId149" xr:uid="{B6DA1E76-9600-4851-A298-5D74FF9313B0}"/>
    <hyperlink ref="B151" r:id="rId150" xr:uid="{CA4BE714-ABD1-440E-955A-5991080B477F}"/>
    <hyperlink ref="B152" r:id="rId151" xr:uid="{A59F3FAC-EDF0-499E-BBA7-311BDA549643}"/>
    <hyperlink ref="B153" r:id="rId152" xr:uid="{C3A22286-B200-4DB0-8B7A-80BB58797099}"/>
    <hyperlink ref="B154" r:id="rId153" xr:uid="{3A9C1729-559A-41E2-A9DF-EBFACB541EBE}"/>
    <hyperlink ref="B155" r:id="rId154" xr:uid="{E1B957BC-1C10-4AEB-B4CC-656CD15A25AB}"/>
    <hyperlink ref="B156" r:id="rId155" xr:uid="{9E2CA6AA-A207-4B2A-8E0F-F81A7A5C9630}"/>
    <hyperlink ref="B157" r:id="rId156" xr:uid="{866BAD37-8D72-4C40-A6D3-3EF359509422}"/>
    <hyperlink ref="B158" r:id="rId157" xr:uid="{A9E67969-15C9-409C-818E-19672C5B95BE}"/>
    <hyperlink ref="B159" r:id="rId158" xr:uid="{A942B91A-087A-469A-A9E9-559B85A60C27}"/>
    <hyperlink ref="B160" r:id="rId159" xr:uid="{7E39E3BE-D9B4-4C88-9B9A-E0C087E866E0}"/>
    <hyperlink ref="B161" r:id="rId160" xr:uid="{EFC4133A-1F5B-4A03-97F3-CAA2E93E1697}"/>
    <hyperlink ref="B162" r:id="rId161" xr:uid="{09E4619C-1C6D-48C7-BC32-80DDF28F5698}"/>
    <hyperlink ref="B163" r:id="rId162" xr:uid="{C4928D27-39C9-4A49-A498-2FD5CE6E83F7}"/>
    <hyperlink ref="B164" r:id="rId163" xr:uid="{3E10B6CD-D7DE-4A0F-B22D-DF5E2C74C682}"/>
    <hyperlink ref="B165" r:id="rId164" xr:uid="{7B04CAFB-83C1-4853-9A38-3F3588480177}"/>
    <hyperlink ref="B166" r:id="rId165" xr:uid="{21B88FAC-D7F9-4EE7-8A55-E2C64F7C7955}"/>
    <hyperlink ref="B167" r:id="rId166" xr:uid="{B6C25ACA-3FA6-4EB8-8FDE-E3F14306BB9E}"/>
    <hyperlink ref="B168" r:id="rId167" xr:uid="{395CEDA4-2FE0-42F1-B1BC-0BBEE9F57E23}"/>
    <hyperlink ref="B169" r:id="rId168" xr:uid="{ABCF6B45-42D7-487D-A393-97FC7EA157D0}"/>
    <hyperlink ref="B170" r:id="rId169" xr:uid="{06367959-2888-4E34-9002-C208CC25504D}"/>
    <hyperlink ref="B171" r:id="rId170" xr:uid="{66767609-53C7-44A3-836F-1C3939045D19}"/>
    <hyperlink ref="B172" r:id="rId171" xr:uid="{C61F004C-1379-43E5-AC7E-FED655E7510C}"/>
    <hyperlink ref="B173" r:id="rId172" xr:uid="{C09DC618-540D-4EB0-A0C2-8652A859C8A8}"/>
    <hyperlink ref="B174" r:id="rId173" xr:uid="{C2950C45-8E97-4C71-91C5-7119E74E80F1}"/>
    <hyperlink ref="B175" r:id="rId174" xr:uid="{50E9895D-C496-4F04-973C-FB96927A7E7A}"/>
    <hyperlink ref="B176" r:id="rId175" xr:uid="{9FAADA0C-E7FC-4F1E-9EF8-797ADB3F6842}"/>
    <hyperlink ref="B177" r:id="rId176" xr:uid="{86E8F29E-07BD-4D9D-8F98-4DDD6D6A15EB}"/>
    <hyperlink ref="B178" r:id="rId177" xr:uid="{02C1D46F-801A-4A33-A422-290F203D45D3}"/>
    <hyperlink ref="B179" r:id="rId178" xr:uid="{826F7AD2-E37B-4F3C-AE9B-D954273827F5}"/>
    <hyperlink ref="B180" r:id="rId179" xr:uid="{C75C2E2E-D814-49CC-AD59-12F375DB1741}"/>
    <hyperlink ref="B181" r:id="rId180" xr:uid="{EEF77BF1-1570-401F-8DAA-4279C1442B17}"/>
    <hyperlink ref="B182" r:id="rId181" xr:uid="{58A70BA8-B65B-4DE4-B137-022663E29750}"/>
    <hyperlink ref="B183" r:id="rId182" xr:uid="{0AF404D3-2E10-4429-A472-B75D5E8FE215}"/>
    <hyperlink ref="B184" r:id="rId183" xr:uid="{D7A532B1-5B18-4A7B-87DF-676A4D15CE39}"/>
    <hyperlink ref="B185" r:id="rId184" xr:uid="{F0E1D029-E903-4B95-B381-33E0464E5F4E}"/>
    <hyperlink ref="B186" r:id="rId185" xr:uid="{8758E0C7-CB35-4732-B3E7-AB394EAA4A2E}"/>
    <hyperlink ref="B187" r:id="rId186" xr:uid="{379B8023-1928-4ECE-82A8-BD68D7F7E775}"/>
    <hyperlink ref="B188" r:id="rId187" xr:uid="{B2C3AF00-8CD7-4F00-8402-423D9B7041BD}"/>
    <hyperlink ref="B189" r:id="rId188" xr:uid="{4798CD84-F52F-44D4-BC27-11CDD8DFE385}"/>
    <hyperlink ref="B190" r:id="rId189" xr:uid="{89D91C6F-0BDE-420F-AABB-93FD3D9115D9}"/>
    <hyperlink ref="B191" r:id="rId190" xr:uid="{33B434A9-CE9F-4B30-89A3-3BC40FB6C67A}"/>
    <hyperlink ref="B192" r:id="rId191" xr:uid="{4C52D0A6-557A-4485-BD41-C941996580A7}"/>
    <hyperlink ref="B193" r:id="rId192" xr:uid="{121381EF-E3DA-462E-B936-8B991E5A3F56}"/>
    <hyperlink ref="B194" r:id="rId193" xr:uid="{DC035776-65C8-4760-9CC3-B06FA3508203}"/>
    <hyperlink ref="B195" r:id="rId194" xr:uid="{3605BDE8-90B9-4DDF-B0C3-C5C939760E20}"/>
    <hyperlink ref="B196" r:id="rId195" xr:uid="{E2C2A147-BE78-4005-AABF-18C71E49C046}"/>
    <hyperlink ref="B197" r:id="rId196" xr:uid="{AA15DAD8-F9D3-41ED-B1F3-D3BA96A3301E}"/>
    <hyperlink ref="B198" r:id="rId197" xr:uid="{61EBE823-9F21-4FB4-9144-5ED14FF292AD}"/>
    <hyperlink ref="B199" r:id="rId198" xr:uid="{0C54EE4F-D9CC-42D4-96B2-B0A73BA04643}"/>
    <hyperlink ref="B200" r:id="rId199" xr:uid="{81D6BED0-BD51-47D2-BAD5-17CC1F5DCBE7}"/>
    <hyperlink ref="B201" r:id="rId200" xr:uid="{6EB43081-929E-4B42-B05C-BA015D385670}"/>
    <hyperlink ref="B202" r:id="rId201" xr:uid="{9F27D727-1E4F-4220-B4E4-242F86C38FC2}"/>
    <hyperlink ref="B203" r:id="rId202" xr:uid="{E9B63585-3268-4A80-8711-29DA0EF37405}"/>
    <hyperlink ref="B204" r:id="rId203" xr:uid="{9BC89522-765A-4425-BBF4-47F2B2EB55F1}"/>
    <hyperlink ref="B205" r:id="rId204" xr:uid="{F8C31A5C-FB79-4C47-A36E-A25E89ED60A3}"/>
    <hyperlink ref="B206" r:id="rId205" xr:uid="{B2930B2C-B358-4216-8BF4-4AC9660A8A6F}"/>
    <hyperlink ref="B207" r:id="rId206" xr:uid="{A6F0A0BA-F89F-4471-BE78-CB781C31D599}"/>
    <hyperlink ref="B208" r:id="rId207" xr:uid="{238DB16A-437F-4E93-8806-7AE2FD17E225}"/>
    <hyperlink ref="B209" r:id="rId208" xr:uid="{1E9B5028-AB6F-48A4-A5FB-691FF78EA1FF}"/>
    <hyperlink ref="B210" r:id="rId209" xr:uid="{5CE2D471-4ED9-4926-8863-103C5556A060}"/>
    <hyperlink ref="B211" r:id="rId210" xr:uid="{EDD8F373-4891-4232-9720-AC32BCE0639F}"/>
    <hyperlink ref="B212" r:id="rId211" xr:uid="{C7A87478-7433-41CB-97CA-E274C6D752C4}"/>
    <hyperlink ref="B213" r:id="rId212" xr:uid="{739913BE-26E9-418F-8E1D-4105A978BB3F}"/>
    <hyperlink ref="B214" r:id="rId213" xr:uid="{F33661F7-E887-4FF1-9C45-5A73B31DBED6}"/>
    <hyperlink ref="B215" r:id="rId214" xr:uid="{D2D3F872-E627-4FC6-B53B-DBF9483B6B79}"/>
    <hyperlink ref="B216" r:id="rId215" xr:uid="{0C009C35-1997-4215-9215-98F40A5574C7}"/>
    <hyperlink ref="B217" r:id="rId216" xr:uid="{D784D88D-C233-40DB-A519-739799D73785}"/>
    <hyperlink ref="B218" r:id="rId217" xr:uid="{F23DB9DE-C719-4451-8A80-1904C54273A4}"/>
    <hyperlink ref="B219" r:id="rId218" xr:uid="{358FB9F7-F8EE-4408-B8FD-89F6840DE935}"/>
    <hyperlink ref="B220" r:id="rId219" xr:uid="{1BA5E044-DF03-4F70-87B2-C2845908F039}"/>
    <hyperlink ref="B221" r:id="rId220" xr:uid="{2B341165-1C39-4434-9F57-BEDCDBBC06BE}"/>
    <hyperlink ref="B222" r:id="rId221" xr:uid="{8EBFA9EF-3728-477E-9721-4D5EADEB319F}"/>
    <hyperlink ref="B223" r:id="rId222" xr:uid="{A19D8697-BA80-461F-8539-E0D04468E8F5}"/>
    <hyperlink ref="B224" r:id="rId223" xr:uid="{CC912878-CB94-499C-9E90-643F4431BD16}"/>
    <hyperlink ref="B225" r:id="rId224" xr:uid="{DE539C7F-295E-4BFC-9921-284E552F1EBA}"/>
    <hyperlink ref="B226" r:id="rId225" xr:uid="{A8CDD93D-394F-4C9A-96C8-B28C28605CBE}"/>
    <hyperlink ref="B227" r:id="rId226" xr:uid="{FCF266F8-B185-446F-B045-1C800E336FBA}"/>
    <hyperlink ref="B228" r:id="rId227" xr:uid="{5E5699CA-9464-43FC-913A-859F119E98E5}"/>
    <hyperlink ref="B229" r:id="rId228" xr:uid="{351F2D20-6085-4BE5-B490-DF046E7CB203}"/>
    <hyperlink ref="B230" r:id="rId229" xr:uid="{37407FD4-53F8-43E0-BF20-EC2DFF4AA362}"/>
    <hyperlink ref="B231" r:id="rId230" xr:uid="{8C03EC18-44CF-49B6-9954-B05B78431B6B}"/>
    <hyperlink ref="B232" r:id="rId231" xr:uid="{E60226BC-CB57-42B0-83AB-EE4F61FA0F4F}"/>
    <hyperlink ref="B233" r:id="rId232" xr:uid="{7AD76122-A855-429D-9AE3-51F07D5BF2A5}"/>
    <hyperlink ref="B234" r:id="rId233" xr:uid="{45439297-7C1C-48AE-B05F-EFC005A2BB9F}"/>
    <hyperlink ref="B235" r:id="rId234" xr:uid="{8C858CB0-1636-4AC6-9CEB-BE686A6DB510}"/>
    <hyperlink ref="B236" r:id="rId235" xr:uid="{AD3E7BDB-CDA9-4554-9EA8-18C38EC5B4EE}"/>
    <hyperlink ref="B237" r:id="rId236" xr:uid="{97B1348B-A6F8-4104-B621-D684EA8BC29F}"/>
    <hyperlink ref="B238" r:id="rId237" xr:uid="{FA68D0AA-EDE4-4F2A-95DE-C90EBBF63E9B}"/>
    <hyperlink ref="B239" r:id="rId238" xr:uid="{C2CE7918-6150-459F-9538-5FDB432B5AE1}"/>
    <hyperlink ref="B240" r:id="rId239" xr:uid="{191D6D35-891F-46B5-A6EA-3C100F2EB5A6}"/>
    <hyperlink ref="B241" r:id="rId240" xr:uid="{28F26BF7-2331-45EB-B450-58D468C95E3C}"/>
    <hyperlink ref="B242" r:id="rId241" xr:uid="{BF857A7F-826D-433D-BAAF-4D9909055DB2}"/>
    <hyperlink ref="B243" r:id="rId242" xr:uid="{D40B5676-314D-4F4E-9591-BFD1F70CC346}"/>
    <hyperlink ref="B244" r:id="rId243" xr:uid="{3CF7B9D2-B279-44EB-AD7E-50AFD7990B62}"/>
    <hyperlink ref="B245" r:id="rId244" xr:uid="{86924CEE-3BA1-45E3-9F00-F7FE7D9CFAAD}"/>
    <hyperlink ref="B246" r:id="rId245" xr:uid="{DD1533C3-558A-4D17-9FDF-36801A739A6C}"/>
    <hyperlink ref="B247" r:id="rId246" xr:uid="{45CCF30E-1247-4FE7-99E3-596D6229DBF8}"/>
    <hyperlink ref="B248" r:id="rId247" xr:uid="{FCD708D7-A9CC-4108-A8DA-F247CEC0688D}"/>
    <hyperlink ref="B249" r:id="rId248" xr:uid="{76363CB5-6D0C-4D13-B1A7-3AEB47F3930F}"/>
    <hyperlink ref="B250" r:id="rId249" xr:uid="{8F7EA9E8-04E1-48F5-9894-BAB7D9EC7F29}"/>
    <hyperlink ref="B251" r:id="rId250" xr:uid="{47B5EA03-B663-4183-A9B9-E893D88FC29F}"/>
    <hyperlink ref="B252" r:id="rId251" xr:uid="{CF1ECCEC-C23E-4214-849F-C6318D101C1D}"/>
    <hyperlink ref="B253" r:id="rId252" xr:uid="{299B2C65-2F51-4D8C-8412-FDD450FD4080}"/>
    <hyperlink ref="B254" r:id="rId253" xr:uid="{70D46E8A-1B73-4B6F-8328-1BDA3D6314C9}"/>
    <hyperlink ref="B255" r:id="rId254" xr:uid="{C03207A9-A1AC-4274-84CF-7A5D6E5B92F2}"/>
    <hyperlink ref="B256" r:id="rId255" xr:uid="{BBDEAEBE-BAF1-44C6-9B77-03E882B99E56}"/>
    <hyperlink ref="B257" r:id="rId256" xr:uid="{44A98B4C-816E-488E-92D8-3E0C7C6C654E}"/>
  </hyperlinks>
  <pageMargins left="0.7" right="0.7" top="0.75" bottom="0.75" header="0.3" footer="0.3"/>
  <tableParts count="1">
    <tablePart r:id="rId257"/>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491C4-F1AD-49B5-A959-DD260BFD0E07}">
  <dimension ref="A1:AD618"/>
  <sheetViews>
    <sheetView topLeftCell="H181" workbookViewId="0">
      <selection activeCell="S184" sqref="S184:T184"/>
    </sheetView>
  </sheetViews>
  <sheetFormatPr defaultColWidth="11.42578125" defaultRowHeight="15" x14ac:dyDescent="0.25"/>
  <cols>
    <col min="2" max="2" width="37.85546875" customWidth="1"/>
    <col min="3" max="3" width="37.85546875" style="26" customWidth="1"/>
    <col min="4" max="4" width="12.42578125" customWidth="1"/>
    <col min="5" max="5" width="31.85546875" customWidth="1"/>
    <col min="6" max="7" width="21.85546875" customWidth="1"/>
    <col min="8" max="8" width="12.140625" customWidth="1"/>
    <col min="12" max="12" width="12.7109375" customWidth="1"/>
    <col min="13" max="13" width="29.28515625" customWidth="1"/>
    <col min="14" max="14" width="20" customWidth="1"/>
    <col min="15" max="16" width="15.42578125" customWidth="1"/>
    <col min="17" max="17" width="12.42578125" customWidth="1"/>
    <col min="18" max="20" width="26.42578125" customWidth="1"/>
    <col min="21" max="21" width="16.7109375" customWidth="1"/>
    <col min="23" max="23" width="15.42578125" customWidth="1"/>
    <col min="25" max="25" width="19.85546875" customWidth="1"/>
    <col min="26" max="26" width="15.7109375" customWidth="1"/>
    <col min="28" max="28" width="16" customWidth="1"/>
  </cols>
  <sheetData>
    <row r="1" spans="1:30" x14ac:dyDescent="0.25">
      <c r="A1" s="53" t="s">
        <v>0</v>
      </c>
      <c r="B1" s="52" t="s">
        <v>1</v>
      </c>
      <c r="C1" s="49" t="s">
        <v>2</v>
      </c>
      <c r="D1" s="52" t="s">
        <v>3</v>
      </c>
      <c r="E1" s="50" t="s">
        <v>4</v>
      </c>
      <c r="F1" s="52" t="s">
        <v>5</v>
      </c>
      <c r="G1" s="52" t="s">
        <v>6</v>
      </c>
      <c r="H1" s="52" t="s">
        <v>7</v>
      </c>
      <c r="I1" s="52" t="s">
        <v>8</v>
      </c>
      <c r="J1" s="52" t="s">
        <v>9</v>
      </c>
      <c r="K1" s="48" t="s">
        <v>10</v>
      </c>
      <c r="L1" s="48" t="s">
        <v>11</v>
      </c>
      <c r="M1" s="48" t="s">
        <v>12</v>
      </c>
      <c r="N1" s="48" t="s">
        <v>13</v>
      </c>
      <c r="O1" s="48" t="s">
        <v>14</v>
      </c>
      <c r="P1" s="48" t="s">
        <v>15</v>
      </c>
      <c r="Q1" s="48" t="s">
        <v>16</v>
      </c>
      <c r="R1" s="48" t="s">
        <v>17</v>
      </c>
      <c r="S1" s="48" t="s">
        <v>9149</v>
      </c>
      <c r="T1" s="48" t="s">
        <v>9150</v>
      </c>
      <c r="U1" s="48" t="s">
        <v>18</v>
      </c>
      <c r="V1" s="48" t="s">
        <v>19</v>
      </c>
      <c r="W1" s="48" t="s">
        <v>20</v>
      </c>
      <c r="X1" s="48" t="s">
        <v>21</v>
      </c>
      <c r="Y1" s="48" t="s">
        <v>22</v>
      </c>
      <c r="Z1" s="48" t="s">
        <v>23</v>
      </c>
      <c r="AA1" s="48" t="s">
        <v>24</v>
      </c>
      <c r="AB1" s="48" t="s">
        <v>25</v>
      </c>
      <c r="AC1" s="48" t="s">
        <v>201</v>
      </c>
      <c r="AD1" s="51" t="s">
        <v>27</v>
      </c>
    </row>
    <row r="2" spans="1:30" x14ac:dyDescent="0.25">
      <c r="A2" s="36">
        <v>3225</v>
      </c>
      <c r="B2" s="14" t="s">
        <v>6475</v>
      </c>
      <c r="C2" s="31" t="s">
        <v>6476</v>
      </c>
      <c r="D2" s="17">
        <v>44138</v>
      </c>
      <c r="E2" s="14" t="s">
        <v>30</v>
      </c>
      <c r="F2" s="14">
        <v>45</v>
      </c>
      <c r="G2" s="14">
        <v>17</v>
      </c>
      <c r="H2" s="14">
        <v>15</v>
      </c>
      <c r="I2" s="14">
        <v>8</v>
      </c>
      <c r="J2" s="14" t="s">
        <v>31</v>
      </c>
      <c r="K2" s="14" cm="1">
        <f t="array" ref="K2">INT(SUMPRODUCT(--ISNUMBER(SEARCH(economy,C2)))&gt;0)</f>
        <v>0</v>
      </c>
      <c r="L2" s="14" cm="1">
        <f t="array" ref="L2">INT(SUMPRODUCT(--ISNUMBER(SEARCH(healthcare,C2)))&gt;0)</f>
        <v>0</v>
      </c>
      <c r="M2" s="14" cm="1">
        <f t="array" ref="M2">INT(SUMPRODUCT(--ISNUMBER(SEARCH(supreme,C2)))&gt;0)</f>
        <v>0</v>
      </c>
      <c r="N2" s="14" cm="1">
        <f t="array" ref="N2">INT(SUMPRODUCT(--ISNUMBER(SEARCH(covid,C2)))&gt;0)</f>
        <v>0</v>
      </c>
      <c r="O2" s="14" cm="1">
        <f t="array" ref="O2">INT(SUMPRODUCT(--ISNUMBER(SEARCH(violent,C2)))&gt;0)</f>
        <v>0</v>
      </c>
      <c r="P2" s="14" cm="1">
        <f t="array" ref="P2">INT(SUMPRODUCT(--ISNUMBER(SEARCH(foreign,C2)))&gt;0)</f>
        <v>0</v>
      </c>
      <c r="Q2" s="14" cm="1">
        <f t="array" ref="Q2">INT(SUMPRODUCT(--ISNUMBER(SEARCH(gun,C2)))&gt;0)</f>
        <v>0</v>
      </c>
      <c r="R2" s="14" cm="1">
        <f t="array" ref="R2">INT(SUMPRODUCT(--ISNUMBER(SEARCH(race,C2)))&gt;0)</f>
        <v>0</v>
      </c>
      <c r="S2" s="14" cm="1">
        <f t="array" ref="S2">INT(SUMPRODUCT(--ISNUMBER(SEARCH(immigration,C2)))&gt;0)</f>
        <v>0</v>
      </c>
      <c r="T2" s="14" cm="1">
        <f t="array" ref="T2">INT(SUMPRODUCT(--ISNUMBER(SEARCH(econineq,C3)))&gt;0)</f>
        <v>0</v>
      </c>
      <c r="U2" s="14" cm="1">
        <f t="array" ref="U2">INT(SUMPRODUCT(--ISNUMBER(SEARCH(climate,C2)))&gt;0)</f>
        <v>0</v>
      </c>
      <c r="V2" s="14" cm="1">
        <f t="array" ref="V2">INT(SUMPRODUCT(--ISNUMBER(SEARCH(abortion,C2)))&gt;0)</f>
        <v>0</v>
      </c>
      <c r="W2" s="14" cm="1">
        <f t="array" ref="W2">INT(SUMPRODUCT(--ISNUMBER(SEARCH(trump,C2)))&gt;0)</f>
        <v>0</v>
      </c>
      <c r="X2" s="14" cm="1">
        <f t="array" ref="X2">INT(SUMPRODUCT(--ISNUMBER(SEARCH(voting,C2)))&gt;0)</f>
        <v>1</v>
      </c>
      <c r="Y2" s="35" cm="1">
        <f t="array" ref="Y2">INT(SUMPRODUCT(--ISNUMBER(SEARCH(republicantrigger,C2)))&gt;0)</f>
        <v>0</v>
      </c>
      <c r="Z2" s="35" cm="1">
        <f t="array" ref="Z2">INT(SUMPRODUCT(--ISNUMBER(SEARCH(bipartisan,C2)))&gt;0)</f>
        <v>0</v>
      </c>
      <c r="AA2" s="35">
        <f>INT(IF(COUNTIF(K2:Z2,1)=0,"1","0"))</f>
        <v>0</v>
      </c>
      <c r="AB2" s="14"/>
      <c r="AC2" s="30" t="s">
        <v>223</v>
      </c>
      <c r="AD2" s="37" t="s">
        <v>223</v>
      </c>
    </row>
    <row r="3" spans="1:30" x14ac:dyDescent="0.25">
      <c r="A3" s="36">
        <v>3226</v>
      </c>
      <c r="B3" s="14" t="s">
        <v>6477</v>
      </c>
      <c r="C3" s="31" t="s">
        <v>6478</v>
      </c>
      <c r="D3" s="17">
        <v>44138</v>
      </c>
      <c r="E3" s="14" t="s">
        <v>30</v>
      </c>
      <c r="F3" s="14">
        <v>61</v>
      </c>
      <c r="G3" s="14">
        <v>11</v>
      </c>
      <c r="H3" s="14">
        <v>15</v>
      </c>
      <c r="I3" s="14">
        <v>8</v>
      </c>
      <c r="J3" s="14" t="s">
        <v>31</v>
      </c>
      <c r="K3" s="14" cm="1">
        <f t="array" ref="K3">INT(SUMPRODUCT(--ISNUMBER(SEARCH(economy,C3)))&gt;0)</f>
        <v>0</v>
      </c>
      <c r="L3" s="14" cm="1">
        <f t="array" ref="L3">INT(SUMPRODUCT(--ISNUMBER(SEARCH(healthcare,C3)))&gt;0)</f>
        <v>0</v>
      </c>
      <c r="M3" s="14" cm="1">
        <f t="array" ref="M3">INT(SUMPRODUCT(--ISNUMBER(SEARCH(supreme,C3)))&gt;0)</f>
        <v>0</v>
      </c>
      <c r="N3" s="14" cm="1">
        <f t="array" ref="N3">INT(SUMPRODUCT(--ISNUMBER(SEARCH(covid,C3)))&gt;0)</f>
        <v>0</v>
      </c>
      <c r="O3" s="14" cm="1">
        <f t="array" ref="O3">INT(SUMPRODUCT(--ISNUMBER(SEARCH(violent,C3)))&gt;0)</f>
        <v>0</v>
      </c>
      <c r="P3" s="14" cm="1">
        <f t="array" ref="P3">INT(SUMPRODUCT(--ISNUMBER(SEARCH(foreign,C3)))&gt;0)</f>
        <v>0</v>
      </c>
      <c r="Q3" s="14" cm="1">
        <f t="array" ref="Q3">INT(SUMPRODUCT(--ISNUMBER(SEARCH(gun,C3)))&gt;0)</f>
        <v>0</v>
      </c>
      <c r="R3" s="14" cm="1">
        <f t="array" ref="R3">INT(SUMPRODUCT(--ISNUMBER(SEARCH(race,C3)))&gt;0)</f>
        <v>0</v>
      </c>
      <c r="S3" s="14" cm="1">
        <f t="array" ref="S3">INT(SUMPRODUCT(--ISNUMBER(SEARCH(immigration,C3)))&gt;0)</f>
        <v>0</v>
      </c>
      <c r="T3" s="14" cm="1">
        <f t="array" ref="T3">INT(SUMPRODUCT(--ISNUMBER(SEARCH(econineq,C4)))&gt;0)</f>
        <v>0</v>
      </c>
      <c r="U3" s="14" cm="1">
        <f t="array" ref="U3">INT(SUMPRODUCT(--ISNUMBER(SEARCH(climate,C3)))&gt;0)</f>
        <v>0</v>
      </c>
      <c r="V3" s="14" cm="1">
        <f t="array" ref="V3">INT(SUMPRODUCT(--ISNUMBER(SEARCH(abortion,C3)))&gt;0)</f>
        <v>0</v>
      </c>
      <c r="W3" s="14" cm="1">
        <f t="array" ref="W3">INT(SUMPRODUCT(--ISNUMBER(SEARCH(trump,C3)))&gt;0)</f>
        <v>1</v>
      </c>
      <c r="X3" s="14" cm="1">
        <f t="array" ref="X3">INT(SUMPRODUCT(--ISNUMBER(SEARCH(voting,C3)))&gt;0)</f>
        <v>1</v>
      </c>
      <c r="Y3" s="35" cm="1">
        <f t="array" ref="Y3">INT(SUMPRODUCT(--ISNUMBER(SEARCH(republicantrigger,C3)))&gt;0)</f>
        <v>0</v>
      </c>
      <c r="Z3" s="35" cm="1">
        <f t="array" ref="Z3">INT(SUMPRODUCT(--ISNUMBER(SEARCH(bipartisan,C3)))&gt;0)</f>
        <v>0</v>
      </c>
      <c r="AA3" s="35">
        <f t="shared" ref="AA3:AA66" si="0">INT(IF(COUNTIF(K3:Z3,1)=0,"1","0"))</f>
        <v>0</v>
      </c>
      <c r="AB3" s="14"/>
      <c r="AC3" s="30">
        <v>1</v>
      </c>
      <c r="AD3" s="37">
        <v>0</v>
      </c>
    </row>
    <row r="4" spans="1:30" x14ac:dyDescent="0.25">
      <c r="A4" s="36">
        <v>3227</v>
      </c>
      <c r="B4" s="14" t="s">
        <v>6479</v>
      </c>
      <c r="C4" s="31" t="s">
        <v>6480</v>
      </c>
      <c r="D4" s="17">
        <v>44138</v>
      </c>
      <c r="E4" s="14" t="s">
        <v>30</v>
      </c>
      <c r="F4" s="14">
        <v>2305</v>
      </c>
      <c r="G4" s="14">
        <v>290</v>
      </c>
      <c r="H4" s="14">
        <v>15</v>
      </c>
      <c r="I4" s="14">
        <v>8</v>
      </c>
      <c r="J4" s="14" t="s">
        <v>31</v>
      </c>
      <c r="K4" s="14" cm="1">
        <f t="array" ref="K4">INT(SUMPRODUCT(--ISNUMBER(SEARCH(economy,C4)))&gt;0)</f>
        <v>0</v>
      </c>
      <c r="L4" s="14" cm="1">
        <f t="array" ref="L4">INT(SUMPRODUCT(--ISNUMBER(SEARCH(healthcare,C4)))&gt;0)</f>
        <v>0</v>
      </c>
      <c r="M4" s="14" cm="1">
        <f t="array" ref="M4">INT(SUMPRODUCT(--ISNUMBER(SEARCH(supreme,C4)))&gt;0)</f>
        <v>0</v>
      </c>
      <c r="N4" s="14" cm="1">
        <f t="array" ref="N4">INT(SUMPRODUCT(--ISNUMBER(SEARCH(covid,C4)))&gt;0)</f>
        <v>0</v>
      </c>
      <c r="O4" s="14" cm="1">
        <f t="array" ref="O4">INT(SUMPRODUCT(--ISNUMBER(SEARCH(violent,C4)))&gt;0)</f>
        <v>0</v>
      </c>
      <c r="P4" s="14" cm="1">
        <f t="array" ref="P4">INT(SUMPRODUCT(--ISNUMBER(SEARCH(foreign,C4)))&gt;0)</f>
        <v>0</v>
      </c>
      <c r="Q4" s="14" cm="1">
        <f t="array" ref="Q4">INT(SUMPRODUCT(--ISNUMBER(SEARCH(gun,C4)))&gt;0)</f>
        <v>0</v>
      </c>
      <c r="R4" s="14" cm="1">
        <f t="array" ref="R4">INT(SUMPRODUCT(--ISNUMBER(SEARCH(race,C4)))&gt;0)</f>
        <v>0</v>
      </c>
      <c r="S4" s="14" cm="1">
        <f t="array" ref="S4">INT(SUMPRODUCT(--ISNUMBER(SEARCH(immigration,C4)))&gt;0)</f>
        <v>0</v>
      </c>
      <c r="T4" s="14" cm="1">
        <f t="array" ref="T4">INT(SUMPRODUCT(--ISNUMBER(SEARCH(econineq,C5)))&gt;0)</f>
        <v>0</v>
      </c>
      <c r="U4" s="14" cm="1">
        <f t="array" ref="U4">INT(SUMPRODUCT(--ISNUMBER(SEARCH(climate,C4)))&gt;0)</f>
        <v>0</v>
      </c>
      <c r="V4" s="14" cm="1">
        <f t="array" ref="V4">INT(SUMPRODUCT(--ISNUMBER(SEARCH(abortion,C4)))&gt;0)</f>
        <v>0</v>
      </c>
      <c r="W4" s="14" cm="1">
        <f t="array" ref="W4">INT(SUMPRODUCT(--ISNUMBER(SEARCH(trump,C4)))&gt;0)</f>
        <v>0</v>
      </c>
      <c r="X4" s="14" cm="1">
        <f t="array" ref="X4">INT(SUMPRODUCT(--ISNUMBER(SEARCH(voting,C4)))&gt;0)</f>
        <v>1</v>
      </c>
      <c r="Y4" s="35" cm="1">
        <f t="array" ref="Y4">INT(SUMPRODUCT(--ISNUMBER(SEARCH(republicantrigger,C4)))&gt;0)</f>
        <v>0</v>
      </c>
      <c r="Z4" s="35" cm="1">
        <f t="array" ref="Z4">INT(SUMPRODUCT(--ISNUMBER(SEARCH(bipartisan,C4)))&gt;0)</f>
        <v>0</v>
      </c>
      <c r="AA4" s="35">
        <f t="shared" si="0"/>
        <v>0</v>
      </c>
      <c r="AB4" s="14"/>
      <c r="AC4" s="30">
        <v>0</v>
      </c>
      <c r="AD4" s="37">
        <v>1</v>
      </c>
    </row>
    <row r="5" spans="1:30" x14ac:dyDescent="0.25">
      <c r="A5" s="36">
        <v>3228</v>
      </c>
      <c r="B5" s="14" t="s">
        <v>6481</v>
      </c>
      <c r="C5" s="31" t="s">
        <v>6482</v>
      </c>
      <c r="D5" s="17">
        <v>44138</v>
      </c>
      <c r="E5" s="14" t="s">
        <v>30</v>
      </c>
      <c r="F5" s="14">
        <v>60</v>
      </c>
      <c r="G5" s="14">
        <v>17</v>
      </c>
      <c r="H5" s="14">
        <v>15</v>
      </c>
      <c r="I5" s="14">
        <v>8</v>
      </c>
      <c r="J5" s="14" t="s">
        <v>31</v>
      </c>
      <c r="K5" s="14" cm="1">
        <f t="array" ref="K5">INT(SUMPRODUCT(--ISNUMBER(SEARCH(economy,C5)))&gt;0)</f>
        <v>0</v>
      </c>
      <c r="L5" s="14" cm="1">
        <f t="array" ref="L5">INT(SUMPRODUCT(--ISNUMBER(SEARCH(healthcare,C5)))&gt;0)</f>
        <v>0</v>
      </c>
      <c r="M5" s="14" cm="1">
        <f t="array" ref="M5">INT(SUMPRODUCT(--ISNUMBER(SEARCH(supreme,C5)))&gt;0)</f>
        <v>0</v>
      </c>
      <c r="N5" s="14" cm="1">
        <f t="array" ref="N5">INT(SUMPRODUCT(--ISNUMBER(SEARCH(covid,C5)))&gt;0)</f>
        <v>0</v>
      </c>
      <c r="O5" s="14" cm="1">
        <f t="array" ref="O5">INT(SUMPRODUCT(--ISNUMBER(SEARCH(violent,C5)))&gt;0)</f>
        <v>0</v>
      </c>
      <c r="P5" s="14" cm="1">
        <f t="array" ref="P5">INT(SUMPRODUCT(--ISNUMBER(SEARCH(foreign,C5)))&gt;0)</f>
        <v>0</v>
      </c>
      <c r="Q5" s="14" cm="1">
        <f t="array" ref="Q5">INT(SUMPRODUCT(--ISNUMBER(SEARCH(gun,C5)))&gt;0)</f>
        <v>0</v>
      </c>
      <c r="R5" s="14" cm="1">
        <f t="array" ref="R5">INT(SUMPRODUCT(--ISNUMBER(SEARCH(race,C5)))&gt;0)</f>
        <v>0</v>
      </c>
      <c r="S5" s="14" cm="1">
        <f t="array" ref="S5">INT(SUMPRODUCT(--ISNUMBER(SEARCH(immigration,C5)))&gt;0)</f>
        <v>0</v>
      </c>
      <c r="T5" s="14" cm="1">
        <f t="array" ref="T5">INT(SUMPRODUCT(--ISNUMBER(SEARCH(econineq,C6)))&gt;0)</f>
        <v>0</v>
      </c>
      <c r="U5" s="14" cm="1">
        <f t="array" ref="U5">INT(SUMPRODUCT(--ISNUMBER(SEARCH(climate,C5)))&gt;0)</f>
        <v>0</v>
      </c>
      <c r="V5" s="14" cm="1">
        <f t="array" ref="V5">INT(SUMPRODUCT(--ISNUMBER(SEARCH(abortion,C5)))&gt;0)</f>
        <v>0</v>
      </c>
      <c r="W5" s="14" cm="1">
        <f t="array" ref="W5">INT(SUMPRODUCT(--ISNUMBER(SEARCH(trump,C5)))&gt;0)</f>
        <v>0</v>
      </c>
      <c r="X5" s="14" cm="1">
        <f t="array" ref="X5">INT(SUMPRODUCT(--ISNUMBER(SEARCH(voting,C5)))&gt;0)</f>
        <v>1</v>
      </c>
      <c r="Y5" s="35" cm="1">
        <f t="array" ref="Y5">INT(SUMPRODUCT(--ISNUMBER(SEARCH(republicantrigger,C5)))&gt;0)</f>
        <v>0</v>
      </c>
      <c r="Z5" s="35" cm="1">
        <f t="array" ref="Z5">INT(SUMPRODUCT(--ISNUMBER(SEARCH(bipartisan,C5)))&gt;0)</f>
        <v>0</v>
      </c>
      <c r="AA5" s="35">
        <f t="shared" si="0"/>
        <v>0</v>
      </c>
      <c r="AB5" s="14"/>
      <c r="AC5" s="30">
        <v>0</v>
      </c>
      <c r="AD5" s="37">
        <v>1</v>
      </c>
    </row>
    <row r="6" spans="1:30" x14ac:dyDescent="0.25">
      <c r="A6" s="36">
        <v>3229</v>
      </c>
      <c r="B6" s="14" t="s">
        <v>6483</v>
      </c>
      <c r="C6" s="31" t="s">
        <v>6484</v>
      </c>
      <c r="D6" s="17">
        <v>44138</v>
      </c>
      <c r="E6" s="14" t="s">
        <v>30</v>
      </c>
      <c r="F6" s="14">
        <v>55</v>
      </c>
      <c r="G6" s="14">
        <v>18</v>
      </c>
      <c r="H6" s="14">
        <v>15</v>
      </c>
      <c r="I6" s="14">
        <v>8</v>
      </c>
      <c r="J6" s="14" t="s">
        <v>31</v>
      </c>
      <c r="K6" s="14" cm="1">
        <f t="array" ref="K6">INT(SUMPRODUCT(--ISNUMBER(SEARCH(economy,C6)))&gt;0)</f>
        <v>1</v>
      </c>
      <c r="L6" s="14" cm="1">
        <f t="array" ref="L6">INT(SUMPRODUCT(--ISNUMBER(SEARCH(healthcare,C6)))&gt;0)</f>
        <v>0</v>
      </c>
      <c r="M6" s="14" cm="1">
        <f t="array" ref="M6">INT(SUMPRODUCT(--ISNUMBER(SEARCH(supreme,C6)))&gt;0)</f>
        <v>0</v>
      </c>
      <c r="N6" s="14" cm="1">
        <f t="array" ref="N6">INT(SUMPRODUCT(--ISNUMBER(SEARCH(covid,C6)))&gt;0)</f>
        <v>0</v>
      </c>
      <c r="O6" s="14" cm="1">
        <f t="array" ref="O6">INT(SUMPRODUCT(--ISNUMBER(SEARCH(violent,C6)))&gt;0)</f>
        <v>0</v>
      </c>
      <c r="P6" s="14" cm="1">
        <f t="array" ref="P6">INT(SUMPRODUCT(--ISNUMBER(SEARCH(foreign,C6)))&gt;0)</f>
        <v>0</v>
      </c>
      <c r="Q6" s="14" cm="1">
        <f t="array" ref="Q6">INT(SUMPRODUCT(--ISNUMBER(SEARCH(gun,C6)))&gt;0)</f>
        <v>0</v>
      </c>
      <c r="R6" s="14" cm="1">
        <f t="array" ref="R6">INT(SUMPRODUCT(--ISNUMBER(SEARCH(race,C6)))&gt;0)</f>
        <v>0</v>
      </c>
      <c r="S6" s="14" cm="1">
        <f t="array" ref="S6">INT(SUMPRODUCT(--ISNUMBER(SEARCH(immigration,C6)))&gt;0)</f>
        <v>0</v>
      </c>
      <c r="T6" s="14" cm="1">
        <f t="array" ref="T6">INT(SUMPRODUCT(--ISNUMBER(SEARCH(econineq,C7)))&gt;0)</f>
        <v>0</v>
      </c>
      <c r="U6" s="14" cm="1">
        <f t="array" ref="U6">INT(SUMPRODUCT(--ISNUMBER(SEARCH(climate,C6)))&gt;0)</f>
        <v>0</v>
      </c>
      <c r="V6" s="14" cm="1">
        <f t="array" ref="V6">INT(SUMPRODUCT(--ISNUMBER(SEARCH(abortion,C6)))&gt;0)</f>
        <v>0</v>
      </c>
      <c r="W6" s="14" cm="1">
        <f t="array" ref="W6">INT(SUMPRODUCT(--ISNUMBER(SEARCH(trump,C6)))&gt;0)</f>
        <v>0</v>
      </c>
      <c r="X6" s="14" cm="1">
        <f t="array" ref="X6">INT(SUMPRODUCT(--ISNUMBER(SEARCH(voting,C6)))&gt;0)</f>
        <v>1</v>
      </c>
      <c r="Y6" s="35" cm="1">
        <f t="array" ref="Y6">INT(SUMPRODUCT(--ISNUMBER(SEARCH(republicantrigger,C6)))&gt;0)</f>
        <v>0</v>
      </c>
      <c r="Z6" s="35" cm="1">
        <f t="array" ref="Z6">INT(SUMPRODUCT(--ISNUMBER(SEARCH(bipartisan,C6)))&gt;0)</f>
        <v>0</v>
      </c>
      <c r="AA6" s="35">
        <f t="shared" si="0"/>
        <v>0</v>
      </c>
      <c r="AB6" s="14"/>
      <c r="AC6" s="30">
        <v>1</v>
      </c>
      <c r="AD6" s="37">
        <v>0</v>
      </c>
    </row>
    <row r="7" spans="1:30" x14ac:dyDescent="0.25">
      <c r="A7" s="36">
        <v>3230</v>
      </c>
      <c r="B7" s="14" t="s">
        <v>6485</v>
      </c>
      <c r="C7" s="31" t="s">
        <v>6486</v>
      </c>
      <c r="D7" s="17">
        <v>44138</v>
      </c>
      <c r="E7" s="14" t="s">
        <v>30</v>
      </c>
      <c r="F7" s="14">
        <v>112</v>
      </c>
      <c r="G7" s="14">
        <v>35</v>
      </c>
      <c r="H7" s="14">
        <v>15</v>
      </c>
      <c r="I7" s="14">
        <v>8</v>
      </c>
      <c r="J7" s="14" t="s">
        <v>31</v>
      </c>
      <c r="K7" s="14" cm="1">
        <f t="array" ref="K7">INT(SUMPRODUCT(--ISNUMBER(SEARCH(economy,C7)))&gt;0)</f>
        <v>0</v>
      </c>
      <c r="L7" s="14" cm="1">
        <f t="array" ref="L7">INT(SUMPRODUCT(--ISNUMBER(SEARCH(healthcare,C7)))&gt;0)</f>
        <v>0</v>
      </c>
      <c r="M7" s="14" cm="1">
        <f t="array" ref="M7">INT(SUMPRODUCT(--ISNUMBER(SEARCH(supreme,C7)))&gt;0)</f>
        <v>0</v>
      </c>
      <c r="N7" s="14" cm="1">
        <f t="array" ref="N7">INT(SUMPRODUCT(--ISNUMBER(SEARCH(covid,C7)))&gt;0)</f>
        <v>0</v>
      </c>
      <c r="O7" s="14" cm="1">
        <f t="array" ref="O7">INT(SUMPRODUCT(--ISNUMBER(SEARCH(violent,C7)))&gt;0)</f>
        <v>0</v>
      </c>
      <c r="P7" s="14" cm="1">
        <f t="array" ref="P7">INT(SUMPRODUCT(--ISNUMBER(SEARCH(foreign,C7)))&gt;0)</f>
        <v>0</v>
      </c>
      <c r="Q7" s="14" cm="1">
        <f t="array" ref="Q7">INT(SUMPRODUCT(--ISNUMBER(SEARCH(gun,C7)))&gt;0)</f>
        <v>0</v>
      </c>
      <c r="R7" s="14" cm="1">
        <f t="array" ref="R7">INT(SUMPRODUCT(--ISNUMBER(SEARCH(race,C7)))&gt;0)</f>
        <v>0</v>
      </c>
      <c r="S7" s="14" cm="1">
        <f t="array" ref="S7">INT(SUMPRODUCT(--ISNUMBER(SEARCH(immigration,C7)))&gt;0)</f>
        <v>0</v>
      </c>
      <c r="T7" s="14" cm="1">
        <f t="array" ref="T7">INT(SUMPRODUCT(--ISNUMBER(SEARCH(econineq,C8)))&gt;0)</f>
        <v>0</v>
      </c>
      <c r="U7" s="14" cm="1">
        <f t="array" ref="U7">INT(SUMPRODUCT(--ISNUMBER(SEARCH(climate,C7)))&gt;0)</f>
        <v>0</v>
      </c>
      <c r="V7" s="14" cm="1">
        <f t="array" ref="V7">INT(SUMPRODUCT(--ISNUMBER(SEARCH(abortion,C7)))&gt;0)</f>
        <v>0</v>
      </c>
      <c r="W7" s="14" cm="1">
        <f t="array" ref="W7">INT(SUMPRODUCT(--ISNUMBER(SEARCH(trump,C7)))&gt;0)</f>
        <v>1</v>
      </c>
      <c r="X7" s="14" cm="1">
        <f t="array" ref="X7">INT(SUMPRODUCT(--ISNUMBER(SEARCH(voting,C7)))&gt;0)</f>
        <v>1</v>
      </c>
      <c r="Y7" s="35" cm="1">
        <f t="array" ref="Y7">INT(SUMPRODUCT(--ISNUMBER(SEARCH(republicantrigger,C7)))&gt;0)</f>
        <v>0</v>
      </c>
      <c r="Z7" s="35" cm="1">
        <f t="array" ref="Z7">INT(SUMPRODUCT(--ISNUMBER(SEARCH(bipartisan,C7)))&gt;0)</f>
        <v>0</v>
      </c>
      <c r="AA7" s="35">
        <f t="shared" si="0"/>
        <v>0</v>
      </c>
      <c r="AB7" s="14"/>
      <c r="AC7" s="30">
        <v>0</v>
      </c>
      <c r="AD7" s="37">
        <v>1</v>
      </c>
    </row>
    <row r="8" spans="1:30" x14ac:dyDescent="0.25">
      <c r="A8" s="36">
        <v>3231</v>
      </c>
      <c r="B8" s="14" t="s">
        <v>6487</v>
      </c>
      <c r="C8" s="31" t="s">
        <v>6488</v>
      </c>
      <c r="D8" s="17">
        <v>44138</v>
      </c>
      <c r="E8" s="14" t="s">
        <v>30</v>
      </c>
      <c r="F8" s="14">
        <v>60</v>
      </c>
      <c r="G8" s="14">
        <v>14</v>
      </c>
      <c r="H8" s="14">
        <v>15</v>
      </c>
      <c r="I8" s="14">
        <v>8</v>
      </c>
      <c r="J8" s="14" t="s">
        <v>31</v>
      </c>
      <c r="K8" s="14" cm="1">
        <f t="array" ref="K8">INT(SUMPRODUCT(--ISNUMBER(SEARCH(economy,C8)))&gt;0)</f>
        <v>0</v>
      </c>
      <c r="L8" s="14" cm="1">
        <f t="array" ref="L8">INT(SUMPRODUCT(--ISNUMBER(SEARCH(healthcare,C8)))&gt;0)</f>
        <v>0</v>
      </c>
      <c r="M8" s="14" cm="1">
        <f t="array" ref="M8">INT(SUMPRODUCT(--ISNUMBER(SEARCH(supreme,C8)))&gt;0)</f>
        <v>0</v>
      </c>
      <c r="N8" s="14" cm="1">
        <f t="array" ref="N8">INT(SUMPRODUCT(--ISNUMBER(SEARCH(covid,C8)))&gt;0)</f>
        <v>0</v>
      </c>
      <c r="O8" s="14" cm="1">
        <f t="array" ref="O8">INT(SUMPRODUCT(--ISNUMBER(SEARCH(violent,C8)))&gt;0)</f>
        <v>0</v>
      </c>
      <c r="P8" s="14" cm="1">
        <f t="array" ref="P8">INT(SUMPRODUCT(--ISNUMBER(SEARCH(foreign,C8)))&gt;0)</f>
        <v>0</v>
      </c>
      <c r="Q8" s="14" cm="1">
        <f t="array" ref="Q8">INT(SUMPRODUCT(--ISNUMBER(SEARCH(gun,C8)))&gt;0)</f>
        <v>0</v>
      </c>
      <c r="R8" s="14" cm="1">
        <f t="array" ref="R8">INT(SUMPRODUCT(--ISNUMBER(SEARCH(race,C8)))&gt;0)</f>
        <v>0</v>
      </c>
      <c r="S8" s="14" cm="1">
        <f t="array" ref="S8">INT(SUMPRODUCT(--ISNUMBER(SEARCH(immigration,C8)))&gt;0)</f>
        <v>0</v>
      </c>
      <c r="T8" s="14" cm="1">
        <f t="array" ref="T8">INT(SUMPRODUCT(--ISNUMBER(SEARCH(econineq,C9)))&gt;0)</f>
        <v>0</v>
      </c>
      <c r="U8" s="14" cm="1">
        <f t="array" ref="U8">INT(SUMPRODUCT(--ISNUMBER(SEARCH(climate,C8)))&gt;0)</f>
        <v>0</v>
      </c>
      <c r="V8" s="14" cm="1">
        <f t="array" ref="V8">INT(SUMPRODUCT(--ISNUMBER(SEARCH(abortion,C8)))&gt;0)</f>
        <v>0</v>
      </c>
      <c r="W8" s="14" cm="1">
        <f t="array" ref="W8">INT(SUMPRODUCT(--ISNUMBER(SEARCH(trump,C8)))&gt;0)</f>
        <v>0</v>
      </c>
      <c r="X8" s="14" cm="1">
        <f t="array" ref="X8">INT(SUMPRODUCT(--ISNUMBER(SEARCH(voting,C8)))&gt;0)</f>
        <v>1</v>
      </c>
      <c r="Y8" s="35" cm="1">
        <f t="array" ref="Y8">INT(SUMPRODUCT(--ISNUMBER(SEARCH(republicantrigger,C8)))&gt;0)</f>
        <v>0</v>
      </c>
      <c r="Z8" s="35" cm="1">
        <f t="array" ref="Z8">INT(SUMPRODUCT(--ISNUMBER(SEARCH(bipartisan,C8)))&gt;0)</f>
        <v>0</v>
      </c>
      <c r="AA8" s="35">
        <f t="shared" si="0"/>
        <v>0</v>
      </c>
      <c r="AB8" s="14"/>
      <c r="AC8" s="30">
        <v>0</v>
      </c>
      <c r="AD8" s="37">
        <v>1</v>
      </c>
    </row>
    <row r="9" spans="1:30" x14ac:dyDescent="0.25">
      <c r="A9" s="36">
        <v>3232</v>
      </c>
      <c r="B9" s="14" t="s">
        <v>6489</v>
      </c>
      <c r="C9" s="31" t="s">
        <v>6490</v>
      </c>
      <c r="D9" s="17">
        <v>44138</v>
      </c>
      <c r="E9" s="14" t="s">
        <v>30</v>
      </c>
      <c r="F9" s="14">
        <v>99</v>
      </c>
      <c r="G9" s="14">
        <v>15</v>
      </c>
      <c r="H9" s="14">
        <v>15</v>
      </c>
      <c r="I9" s="14">
        <v>8</v>
      </c>
      <c r="J9" s="14" t="s">
        <v>31</v>
      </c>
      <c r="K9" s="14" cm="1">
        <f t="array" ref="K9">INT(SUMPRODUCT(--ISNUMBER(SEARCH(economy,C9)))&gt;0)</f>
        <v>0</v>
      </c>
      <c r="L9" s="14" cm="1">
        <f t="array" ref="L9">INT(SUMPRODUCT(--ISNUMBER(SEARCH(healthcare,C9)))&gt;0)</f>
        <v>0</v>
      </c>
      <c r="M9" s="14" cm="1">
        <f t="array" ref="M9">INT(SUMPRODUCT(--ISNUMBER(SEARCH(supreme,C9)))&gt;0)</f>
        <v>0</v>
      </c>
      <c r="N9" s="14" cm="1">
        <f t="array" ref="N9">INT(SUMPRODUCT(--ISNUMBER(SEARCH(covid,C9)))&gt;0)</f>
        <v>0</v>
      </c>
      <c r="O9" s="14" cm="1">
        <f t="array" ref="O9">INT(SUMPRODUCT(--ISNUMBER(SEARCH(violent,C9)))&gt;0)</f>
        <v>0</v>
      </c>
      <c r="P9" s="14" cm="1">
        <f t="array" ref="P9">INT(SUMPRODUCT(--ISNUMBER(SEARCH(foreign,C9)))&gt;0)</f>
        <v>0</v>
      </c>
      <c r="Q9" s="14" cm="1">
        <f t="array" ref="Q9">INT(SUMPRODUCT(--ISNUMBER(SEARCH(gun,C9)))&gt;0)</f>
        <v>0</v>
      </c>
      <c r="R9" s="14" cm="1">
        <f t="array" ref="R9">INT(SUMPRODUCT(--ISNUMBER(SEARCH(race,C9)))&gt;0)</f>
        <v>0</v>
      </c>
      <c r="S9" s="14" cm="1">
        <f t="array" ref="S9">INT(SUMPRODUCT(--ISNUMBER(SEARCH(immigration,C9)))&gt;0)</f>
        <v>0</v>
      </c>
      <c r="T9" s="14" cm="1">
        <f t="array" ref="T9">INT(SUMPRODUCT(--ISNUMBER(SEARCH(econineq,C10)))&gt;0)</f>
        <v>0</v>
      </c>
      <c r="U9" s="14" cm="1">
        <f t="array" ref="U9">INT(SUMPRODUCT(--ISNUMBER(SEARCH(climate,C9)))&gt;0)</f>
        <v>0</v>
      </c>
      <c r="V9" s="14" cm="1">
        <f t="array" ref="V9">INT(SUMPRODUCT(--ISNUMBER(SEARCH(abortion,C9)))&gt;0)</f>
        <v>0</v>
      </c>
      <c r="W9" s="14" cm="1">
        <f t="array" ref="W9">INT(SUMPRODUCT(--ISNUMBER(SEARCH(trump,C9)))&gt;0)</f>
        <v>0</v>
      </c>
      <c r="X9" s="14" cm="1">
        <f t="array" ref="X9">INT(SUMPRODUCT(--ISNUMBER(SEARCH(voting,C9)))&gt;0)</f>
        <v>1</v>
      </c>
      <c r="Y9" s="35" cm="1">
        <f t="array" ref="Y9">INT(SUMPRODUCT(--ISNUMBER(SEARCH(republicantrigger,C9)))&gt;0)</f>
        <v>0</v>
      </c>
      <c r="Z9" s="35" cm="1">
        <f t="array" ref="Z9">INT(SUMPRODUCT(--ISNUMBER(SEARCH(bipartisan,C9)))&gt;0)</f>
        <v>0</v>
      </c>
      <c r="AA9" s="35">
        <f t="shared" si="0"/>
        <v>0</v>
      </c>
      <c r="AB9" s="14"/>
      <c r="AC9" s="30">
        <v>1</v>
      </c>
      <c r="AD9" s="37">
        <v>0</v>
      </c>
    </row>
    <row r="10" spans="1:30" x14ac:dyDescent="0.25">
      <c r="A10" s="36">
        <v>3233</v>
      </c>
      <c r="B10" s="14" t="s">
        <v>6491</v>
      </c>
      <c r="C10" s="31" t="s">
        <v>6492</v>
      </c>
      <c r="D10" s="17">
        <v>44138</v>
      </c>
      <c r="E10" s="14" t="s">
        <v>30</v>
      </c>
      <c r="F10" s="14">
        <v>85</v>
      </c>
      <c r="G10" s="14">
        <v>23</v>
      </c>
      <c r="H10" s="14">
        <v>15</v>
      </c>
      <c r="I10" s="14">
        <v>8</v>
      </c>
      <c r="J10" s="14" t="s">
        <v>31</v>
      </c>
      <c r="K10" s="14" cm="1">
        <f t="array" ref="K10">INT(SUMPRODUCT(--ISNUMBER(SEARCH(economy,C10)))&gt;0)</f>
        <v>0</v>
      </c>
      <c r="L10" s="14" cm="1">
        <f t="array" ref="L10">INT(SUMPRODUCT(--ISNUMBER(SEARCH(healthcare,C10)))&gt;0)</f>
        <v>0</v>
      </c>
      <c r="M10" s="14" cm="1">
        <f t="array" ref="M10">INT(SUMPRODUCT(--ISNUMBER(SEARCH(supreme,C10)))&gt;0)</f>
        <v>0</v>
      </c>
      <c r="N10" s="14" cm="1">
        <f t="array" ref="N10">INT(SUMPRODUCT(--ISNUMBER(SEARCH(covid,C10)))&gt;0)</f>
        <v>0</v>
      </c>
      <c r="O10" s="14" cm="1">
        <f t="array" ref="O10">INT(SUMPRODUCT(--ISNUMBER(SEARCH(violent,C10)))&gt;0)</f>
        <v>0</v>
      </c>
      <c r="P10" s="14" cm="1">
        <f t="array" ref="P10">INT(SUMPRODUCT(--ISNUMBER(SEARCH(foreign,C10)))&gt;0)</f>
        <v>0</v>
      </c>
      <c r="Q10" s="14" cm="1">
        <f t="array" ref="Q10">INT(SUMPRODUCT(--ISNUMBER(SEARCH(gun,C10)))&gt;0)</f>
        <v>0</v>
      </c>
      <c r="R10" s="14" cm="1">
        <f t="array" ref="R10">INT(SUMPRODUCT(--ISNUMBER(SEARCH(race,C10)))&gt;0)</f>
        <v>0</v>
      </c>
      <c r="S10" s="14" cm="1">
        <f t="array" ref="S10">INT(SUMPRODUCT(--ISNUMBER(SEARCH(immigration,C10)))&gt;0)</f>
        <v>0</v>
      </c>
      <c r="T10" s="14" cm="1">
        <f t="array" ref="T10">INT(SUMPRODUCT(--ISNUMBER(SEARCH(econineq,C11)))&gt;0)</f>
        <v>0</v>
      </c>
      <c r="U10" s="14" cm="1">
        <f t="array" ref="U10">INT(SUMPRODUCT(--ISNUMBER(SEARCH(climate,C10)))&gt;0)</f>
        <v>0</v>
      </c>
      <c r="V10" s="14" cm="1">
        <f t="array" ref="V10">INT(SUMPRODUCT(--ISNUMBER(SEARCH(abortion,C10)))&gt;0)</f>
        <v>0</v>
      </c>
      <c r="W10" s="14" cm="1">
        <f t="array" ref="W10">INT(SUMPRODUCT(--ISNUMBER(SEARCH(trump,C10)))&gt;0)</f>
        <v>0</v>
      </c>
      <c r="X10" s="14" cm="1">
        <f t="array" ref="X10">INT(SUMPRODUCT(--ISNUMBER(SEARCH(voting,C10)))&gt;0)</f>
        <v>1</v>
      </c>
      <c r="Y10" s="35" cm="1">
        <f t="array" ref="Y10">INT(SUMPRODUCT(--ISNUMBER(SEARCH(republicantrigger,C10)))&gt;0)</f>
        <v>1</v>
      </c>
      <c r="Z10" s="35" cm="1">
        <f t="array" ref="Z10">INT(SUMPRODUCT(--ISNUMBER(SEARCH(bipartisan,C10)))&gt;0)</f>
        <v>0</v>
      </c>
      <c r="AA10" s="35">
        <f t="shared" si="0"/>
        <v>0</v>
      </c>
      <c r="AB10" s="14"/>
      <c r="AC10" s="30">
        <v>0</v>
      </c>
      <c r="AD10" s="37">
        <v>1</v>
      </c>
    </row>
    <row r="11" spans="1:30" x14ac:dyDescent="0.25">
      <c r="A11" s="36">
        <v>3234</v>
      </c>
      <c r="B11" s="14" t="s">
        <v>6493</v>
      </c>
      <c r="C11" s="31" t="s">
        <v>6494</v>
      </c>
      <c r="D11" s="17">
        <v>44138</v>
      </c>
      <c r="E11" s="14" t="s">
        <v>30</v>
      </c>
      <c r="F11" s="14">
        <v>443</v>
      </c>
      <c r="G11" s="14">
        <v>77</v>
      </c>
      <c r="H11" s="14">
        <v>15</v>
      </c>
      <c r="I11" s="14">
        <v>8</v>
      </c>
      <c r="J11" s="14" t="s">
        <v>31</v>
      </c>
      <c r="K11" s="14" cm="1">
        <f t="array" ref="K11">INT(SUMPRODUCT(--ISNUMBER(SEARCH(economy,C11)))&gt;0)</f>
        <v>0</v>
      </c>
      <c r="L11" s="14" cm="1">
        <f t="array" ref="L11">INT(SUMPRODUCT(--ISNUMBER(SEARCH(healthcare,C11)))&gt;0)</f>
        <v>0</v>
      </c>
      <c r="M11" s="14" cm="1">
        <f t="array" ref="M11">INT(SUMPRODUCT(--ISNUMBER(SEARCH(supreme,C11)))&gt;0)</f>
        <v>0</v>
      </c>
      <c r="N11" s="14" cm="1">
        <f t="array" ref="N11">INT(SUMPRODUCT(--ISNUMBER(SEARCH(covid,C11)))&gt;0)</f>
        <v>0</v>
      </c>
      <c r="O11" s="14" cm="1">
        <f t="array" ref="O11">INT(SUMPRODUCT(--ISNUMBER(SEARCH(violent,C11)))&gt;0)</f>
        <v>0</v>
      </c>
      <c r="P11" s="14" cm="1">
        <f t="array" ref="P11">INT(SUMPRODUCT(--ISNUMBER(SEARCH(foreign,C11)))&gt;0)</f>
        <v>0</v>
      </c>
      <c r="Q11" s="14" cm="1">
        <f t="array" ref="Q11">INT(SUMPRODUCT(--ISNUMBER(SEARCH(gun,C11)))&gt;0)</f>
        <v>0</v>
      </c>
      <c r="R11" s="14" cm="1">
        <f t="array" ref="R11">INT(SUMPRODUCT(--ISNUMBER(SEARCH(race,C11)))&gt;0)</f>
        <v>0</v>
      </c>
      <c r="S11" s="14" cm="1">
        <f t="array" ref="S11">INT(SUMPRODUCT(--ISNUMBER(SEARCH(immigration,C11)))&gt;0)</f>
        <v>0</v>
      </c>
      <c r="T11" s="14" cm="1">
        <f t="array" ref="T11">INT(SUMPRODUCT(--ISNUMBER(SEARCH(econineq,C12)))&gt;0)</f>
        <v>0</v>
      </c>
      <c r="U11" s="14" cm="1">
        <f t="array" ref="U11">INT(SUMPRODUCT(--ISNUMBER(SEARCH(climate,C11)))&gt;0)</f>
        <v>0</v>
      </c>
      <c r="V11" s="14" cm="1">
        <f t="array" ref="V11">INT(SUMPRODUCT(--ISNUMBER(SEARCH(abortion,C11)))&gt;0)</f>
        <v>0</v>
      </c>
      <c r="W11" s="14" cm="1">
        <f t="array" ref="W11">INT(SUMPRODUCT(--ISNUMBER(SEARCH(trump,C11)))&gt;0)</f>
        <v>0</v>
      </c>
      <c r="X11" s="14" cm="1">
        <f t="array" ref="X11">INT(SUMPRODUCT(--ISNUMBER(SEARCH(voting,C11)))&gt;0)</f>
        <v>1</v>
      </c>
      <c r="Y11" s="35" cm="1">
        <f t="array" ref="Y11">INT(SUMPRODUCT(--ISNUMBER(SEARCH(republicantrigger,C11)))&gt;0)</f>
        <v>0</v>
      </c>
      <c r="Z11" s="35" cm="1">
        <f t="array" ref="Z11">INT(SUMPRODUCT(--ISNUMBER(SEARCH(bipartisan,C11)))&gt;0)</f>
        <v>0</v>
      </c>
      <c r="AA11" s="35">
        <f t="shared" si="0"/>
        <v>0</v>
      </c>
      <c r="AB11" s="14"/>
      <c r="AC11" s="30" t="s">
        <v>223</v>
      </c>
      <c r="AD11" s="37" t="s">
        <v>223</v>
      </c>
    </row>
    <row r="12" spans="1:30" x14ac:dyDescent="0.25">
      <c r="A12" s="36">
        <v>3235</v>
      </c>
      <c r="B12" s="14" t="s">
        <v>6495</v>
      </c>
      <c r="C12" s="31" t="s">
        <v>6496</v>
      </c>
      <c r="D12" s="17">
        <v>44138</v>
      </c>
      <c r="E12" s="14" t="s">
        <v>30</v>
      </c>
      <c r="F12" s="14">
        <v>81</v>
      </c>
      <c r="G12" s="14">
        <v>19</v>
      </c>
      <c r="H12" s="14">
        <v>15</v>
      </c>
      <c r="I12" s="14">
        <v>8</v>
      </c>
      <c r="J12" s="14" t="s">
        <v>31</v>
      </c>
      <c r="K12" s="14" cm="1">
        <f t="array" ref="K12">INT(SUMPRODUCT(--ISNUMBER(SEARCH(economy,C12)))&gt;0)</f>
        <v>0</v>
      </c>
      <c r="L12" s="14" cm="1">
        <f t="array" ref="L12">INT(SUMPRODUCT(--ISNUMBER(SEARCH(healthcare,C12)))&gt;0)</f>
        <v>0</v>
      </c>
      <c r="M12" s="14" cm="1">
        <f t="array" ref="M12">INT(SUMPRODUCT(--ISNUMBER(SEARCH(supreme,C12)))&gt;0)</f>
        <v>0</v>
      </c>
      <c r="N12" s="14" cm="1">
        <f t="array" ref="N12">INT(SUMPRODUCT(--ISNUMBER(SEARCH(covid,C12)))&gt;0)</f>
        <v>0</v>
      </c>
      <c r="O12" s="14" cm="1">
        <f t="array" ref="O12">INT(SUMPRODUCT(--ISNUMBER(SEARCH(violent,C12)))&gt;0)</f>
        <v>0</v>
      </c>
      <c r="P12" s="14" cm="1">
        <f t="array" ref="P12">INT(SUMPRODUCT(--ISNUMBER(SEARCH(foreign,C12)))&gt;0)</f>
        <v>0</v>
      </c>
      <c r="Q12" s="14" cm="1">
        <f t="array" ref="Q12">INT(SUMPRODUCT(--ISNUMBER(SEARCH(gun,C12)))&gt;0)</f>
        <v>0</v>
      </c>
      <c r="R12" s="14" cm="1">
        <f t="array" ref="R12">INT(SUMPRODUCT(--ISNUMBER(SEARCH(race,C12)))&gt;0)</f>
        <v>0</v>
      </c>
      <c r="S12" s="14" cm="1">
        <f t="array" ref="S12">INT(SUMPRODUCT(--ISNUMBER(SEARCH(immigration,C12)))&gt;0)</f>
        <v>0</v>
      </c>
      <c r="T12" s="14" cm="1">
        <f t="array" ref="T12">INT(SUMPRODUCT(--ISNUMBER(SEARCH(econineq,C13)))&gt;0)</f>
        <v>0</v>
      </c>
      <c r="U12" s="14" cm="1">
        <f t="array" ref="U12">INT(SUMPRODUCT(--ISNUMBER(SEARCH(climate,C12)))&gt;0)</f>
        <v>0</v>
      </c>
      <c r="V12" s="14" cm="1">
        <f t="array" ref="V12">INT(SUMPRODUCT(--ISNUMBER(SEARCH(abortion,C12)))&gt;0)</f>
        <v>0</v>
      </c>
      <c r="W12" s="14" cm="1">
        <f t="array" ref="W12">INT(SUMPRODUCT(--ISNUMBER(SEARCH(trump,C12)))&gt;0)</f>
        <v>0</v>
      </c>
      <c r="X12" s="14" cm="1">
        <f t="array" ref="X12">INT(SUMPRODUCT(--ISNUMBER(SEARCH(voting,C12)))&gt;0)</f>
        <v>0</v>
      </c>
      <c r="Y12" s="35" cm="1">
        <f t="array" ref="Y12">INT(SUMPRODUCT(--ISNUMBER(SEARCH(republicantrigger,C12)))&gt;0)</f>
        <v>0</v>
      </c>
      <c r="Z12" s="35" cm="1">
        <f t="array" ref="Z12">INT(SUMPRODUCT(--ISNUMBER(SEARCH(bipartisan,C12)))&gt;0)</f>
        <v>0</v>
      </c>
      <c r="AA12" s="35">
        <f t="shared" si="0"/>
        <v>1</v>
      </c>
      <c r="AB12" s="14"/>
      <c r="AC12" s="30">
        <v>0</v>
      </c>
      <c r="AD12" s="37">
        <v>1</v>
      </c>
    </row>
    <row r="13" spans="1:30" x14ac:dyDescent="0.25">
      <c r="A13" s="36">
        <v>3236</v>
      </c>
      <c r="B13" s="14" t="s">
        <v>6497</v>
      </c>
      <c r="C13" s="31" t="s">
        <v>6498</v>
      </c>
      <c r="D13" s="17">
        <v>44138</v>
      </c>
      <c r="E13" s="14" t="s">
        <v>30</v>
      </c>
      <c r="F13" s="14">
        <v>80</v>
      </c>
      <c r="G13" s="14">
        <v>27</v>
      </c>
      <c r="H13" s="14">
        <v>15</v>
      </c>
      <c r="I13" s="14">
        <v>8</v>
      </c>
      <c r="J13" s="14" t="s">
        <v>31</v>
      </c>
      <c r="K13" s="14" cm="1">
        <f t="array" ref="K13">INT(SUMPRODUCT(--ISNUMBER(SEARCH(economy,C13)))&gt;0)</f>
        <v>0</v>
      </c>
      <c r="L13" s="14" cm="1">
        <f t="array" ref="L13">INT(SUMPRODUCT(--ISNUMBER(SEARCH(healthcare,C13)))&gt;0)</f>
        <v>0</v>
      </c>
      <c r="M13" s="14" cm="1">
        <f t="array" ref="M13">INT(SUMPRODUCT(--ISNUMBER(SEARCH(supreme,C13)))&gt;0)</f>
        <v>0</v>
      </c>
      <c r="N13" s="14" cm="1">
        <f t="array" ref="N13">INT(SUMPRODUCT(--ISNUMBER(SEARCH(covid,C13)))&gt;0)</f>
        <v>0</v>
      </c>
      <c r="O13" s="14" cm="1">
        <f t="array" ref="O13">INT(SUMPRODUCT(--ISNUMBER(SEARCH(violent,C13)))&gt;0)</f>
        <v>0</v>
      </c>
      <c r="P13" s="14" cm="1">
        <f t="array" ref="P13">INT(SUMPRODUCT(--ISNUMBER(SEARCH(foreign,C13)))&gt;0)</f>
        <v>0</v>
      </c>
      <c r="Q13" s="14" cm="1">
        <f t="array" ref="Q13">INT(SUMPRODUCT(--ISNUMBER(SEARCH(gun,C13)))&gt;0)</f>
        <v>0</v>
      </c>
      <c r="R13" s="14" cm="1">
        <f t="array" ref="R13">INT(SUMPRODUCT(--ISNUMBER(SEARCH(race,C13)))&gt;0)</f>
        <v>0</v>
      </c>
      <c r="S13" s="14" cm="1">
        <f t="array" ref="S13">INT(SUMPRODUCT(--ISNUMBER(SEARCH(immigration,C13)))&gt;0)</f>
        <v>0</v>
      </c>
      <c r="T13" s="14" cm="1">
        <f t="array" ref="T13">INT(SUMPRODUCT(--ISNUMBER(SEARCH(econineq,C14)))&gt;0)</f>
        <v>0</v>
      </c>
      <c r="U13" s="14" cm="1">
        <f t="array" ref="U13">INT(SUMPRODUCT(--ISNUMBER(SEARCH(climate,C13)))&gt;0)</f>
        <v>0</v>
      </c>
      <c r="V13" s="14" cm="1">
        <f t="array" ref="V13">INT(SUMPRODUCT(--ISNUMBER(SEARCH(abortion,C13)))&gt;0)</f>
        <v>0</v>
      </c>
      <c r="W13" s="14" cm="1">
        <f t="array" ref="W13">INT(SUMPRODUCT(--ISNUMBER(SEARCH(trump,C13)))&gt;0)</f>
        <v>0</v>
      </c>
      <c r="X13" s="14" cm="1">
        <f t="array" ref="X13">INT(SUMPRODUCT(--ISNUMBER(SEARCH(voting,C13)))&gt;0)</f>
        <v>1</v>
      </c>
      <c r="Y13" s="35" cm="1">
        <f t="array" ref="Y13">INT(SUMPRODUCT(--ISNUMBER(SEARCH(republicantrigger,C13)))&gt;0)</f>
        <v>0</v>
      </c>
      <c r="Z13" s="35" cm="1">
        <f t="array" ref="Z13">INT(SUMPRODUCT(--ISNUMBER(SEARCH(bipartisan,C13)))&gt;0)</f>
        <v>0</v>
      </c>
      <c r="AA13" s="35">
        <f t="shared" si="0"/>
        <v>0</v>
      </c>
      <c r="AB13" s="14"/>
      <c r="AC13" s="30">
        <v>1</v>
      </c>
      <c r="AD13" s="37">
        <v>0</v>
      </c>
    </row>
    <row r="14" spans="1:30" x14ac:dyDescent="0.25">
      <c r="A14" s="36">
        <v>3237</v>
      </c>
      <c r="B14" s="14" t="s">
        <v>6499</v>
      </c>
      <c r="C14" s="31" t="s">
        <v>6500</v>
      </c>
      <c r="D14" s="17">
        <v>44137</v>
      </c>
      <c r="E14" s="14" t="s">
        <v>30</v>
      </c>
      <c r="F14" s="14">
        <v>156</v>
      </c>
      <c r="G14" s="14">
        <v>52</v>
      </c>
      <c r="H14" s="14">
        <v>15</v>
      </c>
      <c r="I14" s="14">
        <v>8</v>
      </c>
      <c r="J14" s="14" t="s">
        <v>31</v>
      </c>
      <c r="K14" s="14" cm="1">
        <f t="array" ref="K14">INT(SUMPRODUCT(--ISNUMBER(SEARCH(economy,C14)))&gt;0)</f>
        <v>0</v>
      </c>
      <c r="L14" s="14" cm="1">
        <f t="array" ref="L14">INT(SUMPRODUCT(--ISNUMBER(SEARCH(healthcare,C14)))&gt;0)</f>
        <v>0</v>
      </c>
      <c r="M14" s="14" cm="1">
        <f t="array" ref="M14">INT(SUMPRODUCT(--ISNUMBER(SEARCH(supreme,C14)))&gt;0)</f>
        <v>0</v>
      </c>
      <c r="N14" s="14" cm="1">
        <f t="array" ref="N14">INT(SUMPRODUCT(--ISNUMBER(SEARCH(covid,C14)))&gt;0)</f>
        <v>0</v>
      </c>
      <c r="O14" s="14" cm="1">
        <f t="array" ref="O14">INT(SUMPRODUCT(--ISNUMBER(SEARCH(violent,C14)))&gt;0)</f>
        <v>0</v>
      </c>
      <c r="P14" s="14" cm="1">
        <f t="array" ref="P14">INT(SUMPRODUCT(--ISNUMBER(SEARCH(foreign,C14)))&gt;0)</f>
        <v>0</v>
      </c>
      <c r="Q14" s="14" cm="1">
        <f t="array" ref="Q14">INT(SUMPRODUCT(--ISNUMBER(SEARCH(gun,C14)))&gt;0)</f>
        <v>0</v>
      </c>
      <c r="R14" s="14" cm="1">
        <f t="array" ref="R14">INT(SUMPRODUCT(--ISNUMBER(SEARCH(race,C14)))&gt;0)</f>
        <v>0</v>
      </c>
      <c r="S14" s="14" cm="1">
        <f t="array" ref="S14">INT(SUMPRODUCT(--ISNUMBER(SEARCH(immigration,C14)))&gt;0)</f>
        <v>0</v>
      </c>
      <c r="T14" s="14" cm="1">
        <f t="array" ref="T14">INT(SUMPRODUCT(--ISNUMBER(SEARCH(econineq,C15)))&gt;0)</f>
        <v>0</v>
      </c>
      <c r="U14" s="14" cm="1">
        <f t="array" ref="U14">INT(SUMPRODUCT(--ISNUMBER(SEARCH(climate,C14)))&gt;0)</f>
        <v>0</v>
      </c>
      <c r="V14" s="14" cm="1">
        <f t="array" ref="V14">INT(SUMPRODUCT(--ISNUMBER(SEARCH(abortion,C14)))&gt;0)</f>
        <v>0</v>
      </c>
      <c r="W14" s="14" cm="1">
        <f t="array" ref="W14">INT(SUMPRODUCT(--ISNUMBER(SEARCH(trump,C14)))&gt;0)</f>
        <v>0</v>
      </c>
      <c r="X14" s="14" cm="1">
        <f t="array" ref="X14">INT(SUMPRODUCT(--ISNUMBER(SEARCH(voting,C14)))&gt;0)</f>
        <v>1</v>
      </c>
      <c r="Y14" s="35" cm="1">
        <f t="array" ref="Y14">INT(SUMPRODUCT(--ISNUMBER(SEARCH(republicantrigger,C14)))&gt;0)</f>
        <v>1</v>
      </c>
      <c r="Z14" s="35" cm="1">
        <f t="array" ref="Z14">INT(SUMPRODUCT(--ISNUMBER(SEARCH(bipartisan,C14)))&gt;0)</f>
        <v>0</v>
      </c>
      <c r="AA14" s="35">
        <f t="shared" si="0"/>
        <v>0</v>
      </c>
      <c r="AB14" s="14"/>
      <c r="AC14" s="30">
        <v>1</v>
      </c>
      <c r="AD14" s="37">
        <v>0</v>
      </c>
    </row>
    <row r="15" spans="1:30" x14ac:dyDescent="0.25">
      <c r="A15" s="36">
        <v>3238</v>
      </c>
      <c r="B15" s="14" t="s">
        <v>6501</v>
      </c>
      <c r="C15" s="31" t="s">
        <v>6502</v>
      </c>
      <c r="D15" s="17">
        <v>44137</v>
      </c>
      <c r="E15" s="14" t="s">
        <v>30</v>
      </c>
      <c r="F15" s="14">
        <v>77</v>
      </c>
      <c r="G15" s="14">
        <v>27</v>
      </c>
      <c r="H15" s="14">
        <v>15</v>
      </c>
      <c r="I15" s="14">
        <v>8</v>
      </c>
      <c r="J15" s="14" t="s">
        <v>31</v>
      </c>
      <c r="K15" s="14" cm="1">
        <f t="array" ref="K15">INT(SUMPRODUCT(--ISNUMBER(SEARCH(economy,C15)))&gt;0)</f>
        <v>0</v>
      </c>
      <c r="L15" s="14" cm="1">
        <f t="array" ref="L15">INT(SUMPRODUCT(--ISNUMBER(SEARCH(healthcare,C15)))&gt;0)</f>
        <v>0</v>
      </c>
      <c r="M15" s="14" cm="1">
        <f t="array" ref="M15">INT(SUMPRODUCT(--ISNUMBER(SEARCH(supreme,C15)))&gt;0)</f>
        <v>0</v>
      </c>
      <c r="N15" s="14" cm="1">
        <f t="array" ref="N15">INT(SUMPRODUCT(--ISNUMBER(SEARCH(covid,C15)))&gt;0)</f>
        <v>0</v>
      </c>
      <c r="O15" s="14" cm="1">
        <f t="array" ref="O15">INT(SUMPRODUCT(--ISNUMBER(SEARCH(violent,C15)))&gt;0)</f>
        <v>0</v>
      </c>
      <c r="P15" s="14" cm="1">
        <f t="array" ref="P15">INT(SUMPRODUCT(--ISNUMBER(SEARCH(foreign,C15)))&gt;0)</f>
        <v>0</v>
      </c>
      <c r="Q15" s="14" cm="1">
        <f t="array" ref="Q15">INT(SUMPRODUCT(--ISNUMBER(SEARCH(gun,C15)))&gt;0)</f>
        <v>0</v>
      </c>
      <c r="R15" s="14" cm="1">
        <f t="array" ref="R15">INT(SUMPRODUCT(--ISNUMBER(SEARCH(race,C15)))&gt;0)</f>
        <v>0</v>
      </c>
      <c r="S15" s="14" cm="1">
        <f t="array" ref="S15">INT(SUMPRODUCT(--ISNUMBER(SEARCH(immigration,C15)))&gt;0)</f>
        <v>0</v>
      </c>
      <c r="T15" s="14" cm="1">
        <f t="array" ref="T15">INT(SUMPRODUCT(--ISNUMBER(SEARCH(econineq,C16)))&gt;0)</f>
        <v>0</v>
      </c>
      <c r="U15" s="14" cm="1">
        <f t="array" ref="U15">INT(SUMPRODUCT(--ISNUMBER(SEARCH(climate,C15)))&gt;0)</f>
        <v>0</v>
      </c>
      <c r="V15" s="14" cm="1">
        <f t="array" ref="V15">INT(SUMPRODUCT(--ISNUMBER(SEARCH(abortion,C15)))&gt;0)</f>
        <v>0</v>
      </c>
      <c r="W15" s="14" cm="1">
        <f t="array" ref="W15">INT(SUMPRODUCT(--ISNUMBER(SEARCH(trump,C15)))&gt;0)</f>
        <v>0</v>
      </c>
      <c r="X15" s="14" cm="1">
        <f t="array" ref="X15">INT(SUMPRODUCT(--ISNUMBER(SEARCH(voting,C15)))&gt;0)</f>
        <v>1</v>
      </c>
      <c r="Y15" s="35" cm="1">
        <f t="array" ref="Y15">INT(SUMPRODUCT(--ISNUMBER(SEARCH(republicantrigger,C15)))&gt;0)</f>
        <v>0</v>
      </c>
      <c r="Z15" s="35" cm="1">
        <f t="array" ref="Z15">INT(SUMPRODUCT(--ISNUMBER(SEARCH(bipartisan,C15)))&gt;0)</f>
        <v>0</v>
      </c>
      <c r="AA15" s="35">
        <f t="shared" si="0"/>
        <v>0</v>
      </c>
      <c r="AB15" s="14"/>
      <c r="AC15" s="30" t="s">
        <v>223</v>
      </c>
      <c r="AD15" s="37" t="s">
        <v>223</v>
      </c>
    </row>
    <row r="16" spans="1:30" x14ac:dyDescent="0.25">
      <c r="A16" s="36">
        <v>3239</v>
      </c>
      <c r="B16" s="14" t="s">
        <v>6503</v>
      </c>
      <c r="C16" s="31" t="s">
        <v>6504</v>
      </c>
      <c r="D16" s="17">
        <v>44137</v>
      </c>
      <c r="E16" s="14" t="s">
        <v>30</v>
      </c>
      <c r="F16" s="14">
        <v>1397</v>
      </c>
      <c r="G16" s="14">
        <v>262</v>
      </c>
      <c r="H16" s="14">
        <v>15</v>
      </c>
      <c r="I16" s="14">
        <v>8</v>
      </c>
      <c r="J16" s="14" t="s">
        <v>31</v>
      </c>
      <c r="K16" s="14" cm="1">
        <f t="array" ref="K16">INT(SUMPRODUCT(--ISNUMBER(SEARCH(economy,C16)))&gt;0)</f>
        <v>0</v>
      </c>
      <c r="L16" s="14" cm="1">
        <f t="array" ref="L16">INT(SUMPRODUCT(--ISNUMBER(SEARCH(healthcare,C16)))&gt;0)</f>
        <v>0</v>
      </c>
      <c r="M16" s="14" cm="1">
        <f t="array" ref="M16">INT(SUMPRODUCT(--ISNUMBER(SEARCH(supreme,C16)))&gt;0)</f>
        <v>0</v>
      </c>
      <c r="N16" s="14" cm="1">
        <f t="array" ref="N16">INT(SUMPRODUCT(--ISNUMBER(SEARCH(covid,C16)))&gt;0)</f>
        <v>0</v>
      </c>
      <c r="O16" s="14" cm="1">
        <f t="array" ref="O16">INT(SUMPRODUCT(--ISNUMBER(SEARCH(violent,C16)))&gt;0)</f>
        <v>0</v>
      </c>
      <c r="P16" s="14" cm="1">
        <f t="array" ref="P16">INT(SUMPRODUCT(--ISNUMBER(SEARCH(foreign,C16)))&gt;0)</f>
        <v>0</v>
      </c>
      <c r="Q16" s="14" cm="1">
        <f t="array" ref="Q16">INT(SUMPRODUCT(--ISNUMBER(SEARCH(gun,C16)))&gt;0)</f>
        <v>0</v>
      </c>
      <c r="R16" s="14" cm="1">
        <f t="array" ref="R16">INT(SUMPRODUCT(--ISNUMBER(SEARCH(race,C16)))&gt;0)</f>
        <v>0</v>
      </c>
      <c r="S16" s="14" cm="1">
        <f t="array" ref="S16">INT(SUMPRODUCT(--ISNUMBER(SEARCH(immigration,C16)))&gt;0)</f>
        <v>0</v>
      </c>
      <c r="T16" s="14" cm="1">
        <f t="array" ref="T16">INT(SUMPRODUCT(--ISNUMBER(SEARCH(econineq,C17)))&gt;0)</f>
        <v>0</v>
      </c>
      <c r="U16" s="14" cm="1">
        <f t="array" ref="U16">INT(SUMPRODUCT(--ISNUMBER(SEARCH(climate,C16)))&gt;0)</f>
        <v>0</v>
      </c>
      <c r="V16" s="14" cm="1">
        <f t="array" ref="V16">INT(SUMPRODUCT(--ISNUMBER(SEARCH(abortion,C16)))&gt;0)</f>
        <v>0</v>
      </c>
      <c r="W16" s="14" cm="1">
        <f t="array" ref="W16">INT(SUMPRODUCT(--ISNUMBER(SEARCH(trump,C16)))&gt;0)</f>
        <v>1</v>
      </c>
      <c r="X16" s="14" cm="1">
        <f t="array" ref="X16">INT(SUMPRODUCT(--ISNUMBER(SEARCH(voting,C16)))&gt;0)</f>
        <v>0</v>
      </c>
      <c r="Y16" s="35" cm="1">
        <f t="array" ref="Y16">INT(SUMPRODUCT(--ISNUMBER(SEARCH(republicantrigger,C16)))&gt;0)</f>
        <v>0</v>
      </c>
      <c r="Z16" s="35" cm="1">
        <f t="array" ref="Z16">INT(SUMPRODUCT(--ISNUMBER(SEARCH(bipartisan,C16)))&gt;0)</f>
        <v>0</v>
      </c>
      <c r="AA16" s="35">
        <f t="shared" si="0"/>
        <v>0</v>
      </c>
      <c r="AB16" s="14"/>
      <c r="AC16" s="30">
        <v>0</v>
      </c>
      <c r="AD16" s="37">
        <v>1</v>
      </c>
    </row>
    <row r="17" spans="1:30" x14ac:dyDescent="0.25">
      <c r="A17" s="36">
        <v>3240</v>
      </c>
      <c r="B17" s="14" t="s">
        <v>6505</v>
      </c>
      <c r="C17" s="31" t="s">
        <v>6506</v>
      </c>
      <c r="D17" s="17">
        <v>44137</v>
      </c>
      <c r="E17" s="14" t="s">
        <v>30</v>
      </c>
      <c r="F17" s="14">
        <v>57</v>
      </c>
      <c r="G17" s="14">
        <v>26</v>
      </c>
      <c r="H17" s="14">
        <v>15</v>
      </c>
      <c r="I17" s="14">
        <v>8</v>
      </c>
      <c r="J17" s="14" t="s">
        <v>31</v>
      </c>
      <c r="K17" s="14" cm="1">
        <f t="array" ref="K17">INT(SUMPRODUCT(--ISNUMBER(SEARCH(economy,C17)))&gt;0)</f>
        <v>1</v>
      </c>
      <c r="L17" s="14" cm="1">
        <f t="array" ref="L17">INT(SUMPRODUCT(--ISNUMBER(SEARCH(healthcare,C17)))&gt;0)</f>
        <v>0</v>
      </c>
      <c r="M17" s="14" cm="1">
        <f t="array" ref="M17">INT(SUMPRODUCT(--ISNUMBER(SEARCH(supreme,C17)))&gt;0)</f>
        <v>1</v>
      </c>
      <c r="N17" s="14" cm="1">
        <f t="array" ref="N17">INT(SUMPRODUCT(--ISNUMBER(SEARCH(covid,C17)))&gt;0)</f>
        <v>0</v>
      </c>
      <c r="O17" s="14" cm="1">
        <f t="array" ref="O17">INT(SUMPRODUCT(--ISNUMBER(SEARCH(violent,C17)))&gt;0)</f>
        <v>0</v>
      </c>
      <c r="P17" s="14" cm="1">
        <f t="array" ref="P17">INT(SUMPRODUCT(--ISNUMBER(SEARCH(foreign,C17)))&gt;0)</f>
        <v>0</v>
      </c>
      <c r="Q17" s="14" cm="1">
        <f t="array" ref="Q17">INT(SUMPRODUCT(--ISNUMBER(SEARCH(gun,C17)))&gt;0)</f>
        <v>1</v>
      </c>
      <c r="R17" s="14" cm="1">
        <f t="array" ref="R17">INT(SUMPRODUCT(--ISNUMBER(SEARCH(race,C17)))&gt;0)</f>
        <v>0</v>
      </c>
      <c r="S17" s="14" cm="1">
        <f t="array" ref="S17">INT(SUMPRODUCT(--ISNUMBER(SEARCH(immigration,C17)))&gt;0)</f>
        <v>0</v>
      </c>
      <c r="T17" s="14" cm="1">
        <f t="array" ref="T17">INT(SUMPRODUCT(--ISNUMBER(SEARCH(econineq,C18)))&gt;0)</f>
        <v>0</v>
      </c>
      <c r="U17" s="14" cm="1">
        <f t="array" ref="U17">INT(SUMPRODUCT(--ISNUMBER(SEARCH(climate,C17)))&gt;0)</f>
        <v>0</v>
      </c>
      <c r="V17" s="14" cm="1">
        <f t="array" ref="V17">INT(SUMPRODUCT(--ISNUMBER(SEARCH(abortion,C17)))&gt;0)</f>
        <v>0</v>
      </c>
      <c r="W17" s="14" cm="1">
        <f t="array" ref="W17">INT(SUMPRODUCT(--ISNUMBER(SEARCH(trump,C17)))&gt;0)</f>
        <v>0</v>
      </c>
      <c r="X17" s="14" cm="1">
        <f t="array" ref="X17">INT(SUMPRODUCT(--ISNUMBER(SEARCH(voting,C17)))&gt;0)</f>
        <v>1</v>
      </c>
      <c r="Y17" s="35" cm="1">
        <f t="array" ref="Y17">INT(SUMPRODUCT(--ISNUMBER(SEARCH(republicantrigger,C17)))&gt;0)</f>
        <v>1</v>
      </c>
      <c r="Z17" s="35" cm="1">
        <f t="array" ref="Z17">INT(SUMPRODUCT(--ISNUMBER(SEARCH(bipartisan,C17)))&gt;0)</f>
        <v>0</v>
      </c>
      <c r="AA17" s="35">
        <f t="shared" si="0"/>
        <v>0</v>
      </c>
      <c r="AB17" s="14"/>
      <c r="AC17" s="30">
        <v>0</v>
      </c>
      <c r="AD17" s="37">
        <v>1</v>
      </c>
    </row>
    <row r="18" spans="1:30" x14ac:dyDescent="0.25">
      <c r="A18" s="36">
        <v>3241</v>
      </c>
      <c r="B18" s="14" t="s">
        <v>6507</v>
      </c>
      <c r="C18" s="31" t="s">
        <v>6508</v>
      </c>
      <c r="D18" s="17">
        <v>44137</v>
      </c>
      <c r="E18" s="14" t="s">
        <v>30</v>
      </c>
      <c r="F18" s="14">
        <v>174</v>
      </c>
      <c r="G18" s="14">
        <v>33</v>
      </c>
      <c r="H18" s="14">
        <v>15</v>
      </c>
      <c r="I18" s="14">
        <v>8</v>
      </c>
      <c r="J18" s="14" t="s">
        <v>31</v>
      </c>
      <c r="K18" s="14" cm="1">
        <f t="array" ref="K18">INT(SUMPRODUCT(--ISNUMBER(SEARCH(economy,C18)))&gt;0)</f>
        <v>0</v>
      </c>
      <c r="L18" s="14" cm="1">
        <f t="array" ref="L18">INT(SUMPRODUCT(--ISNUMBER(SEARCH(healthcare,C18)))&gt;0)</f>
        <v>0</v>
      </c>
      <c r="M18" s="14" cm="1">
        <f t="array" ref="M18">INT(SUMPRODUCT(--ISNUMBER(SEARCH(supreme,C18)))&gt;0)</f>
        <v>0</v>
      </c>
      <c r="N18" s="14" cm="1">
        <f t="array" ref="N18">INT(SUMPRODUCT(--ISNUMBER(SEARCH(covid,C18)))&gt;0)</f>
        <v>0</v>
      </c>
      <c r="O18" s="14" cm="1">
        <f t="array" ref="O18">INT(SUMPRODUCT(--ISNUMBER(SEARCH(violent,C18)))&gt;0)</f>
        <v>0</v>
      </c>
      <c r="P18" s="14" cm="1">
        <f t="array" ref="P18">INT(SUMPRODUCT(--ISNUMBER(SEARCH(foreign,C18)))&gt;0)</f>
        <v>0</v>
      </c>
      <c r="Q18" s="14" cm="1">
        <f t="array" ref="Q18">INT(SUMPRODUCT(--ISNUMBER(SEARCH(gun,C18)))&gt;0)</f>
        <v>0</v>
      </c>
      <c r="R18" s="14" cm="1">
        <f t="array" ref="R18">INT(SUMPRODUCT(--ISNUMBER(SEARCH(race,C18)))&gt;0)</f>
        <v>0</v>
      </c>
      <c r="S18" s="14" cm="1">
        <f t="array" ref="S18">INT(SUMPRODUCT(--ISNUMBER(SEARCH(immigration,C18)))&gt;0)</f>
        <v>0</v>
      </c>
      <c r="T18" s="14" cm="1">
        <f t="array" ref="T18">INT(SUMPRODUCT(--ISNUMBER(SEARCH(econineq,C19)))&gt;0)</f>
        <v>0</v>
      </c>
      <c r="U18" s="14" cm="1">
        <f t="array" ref="U18">INT(SUMPRODUCT(--ISNUMBER(SEARCH(climate,C18)))&gt;0)</f>
        <v>0</v>
      </c>
      <c r="V18" s="14" cm="1">
        <f t="array" ref="V18">INT(SUMPRODUCT(--ISNUMBER(SEARCH(abortion,C18)))&gt;0)</f>
        <v>0</v>
      </c>
      <c r="W18" s="14" cm="1">
        <f t="array" ref="W18">INT(SUMPRODUCT(--ISNUMBER(SEARCH(trump,C18)))&gt;0)</f>
        <v>1</v>
      </c>
      <c r="X18" s="14" cm="1">
        <f t="array" ref="X18">INT(SUMPRODUCT(--ISNUMBER(SEARCH(voting,C18)))&gt;0)</f>
        <v>1</v>
      </c>
      <c r="Y18" s="35" cm="1">
        <f t="array" ref="Y18">INT(SUMPRODUCT(--ISNUMBER(SEARCH(republicantrigger,C18)))&gt;0)</f>
        <v>0</v>
      </c>
      <c r="Z18" s="35" cm="1">
        <f t="array" ref="Z18">INT(SUMPRODUCT(--ISNUMBER(SEARCH(bipartisan,C18)))&gt;0)</f>
        <v>0</v>
      </c>
      <c r="AA18" s="35">
        <f t="shared" si="0"/>
        <v>0</v>
      </c>
      <c r="AB18" s="14"/>
      <c r="AC18" s="30">
        <v>1</v>
      </c>
      <c r="AD18" s="37">
        <v>0</v>
      </c>
    </row>
    <row r="19" spans="1:30" x14ac:dyDescent="0.25">
      <c r="A19" s="36">
        <v>3242</v>
      </c>
      <c r="B19" s="14" t="s">
        <v>6509</v>
      </c>
      <c r="C19" s="31" t="s">
        <v>6510</v>
      </c>
      <c r="D19" s="17">
        <v>44137</v>
      </c>
      <c r="E19" s="14" t="s">
        <v>30</v>
      </c>
      <c r="F19" s="14">
        <v>56</v>
      </c>
      <c r="G19" s="14">
        <v>20</v>
      </c>
      <c r="H19" s="14">
        <v>15</v>
      </c>
      <c r="I19" s="14">
        <v>8</v>
      </c>
      <c r="J19" s="14" t="s">
        <v>31</v>
      </c>
      <c r="K19" s="14" cm="1">
        <f t="array" ref="K19">INT(SUMPRODUCT(--ISNUMBER(SEARCH(economy,C19)))&gt;0)</f>
        <v>1</v>
      </c>
      <c r="L19" s="14" cm="1">
        <f t="array" ref="L19">INT(SUMPRODUCT(--ISNUMBER(SEARCH(healthcare,C19)))&gt;0)</f>
        <v>0</v>
      </c>
      <c r="M19" s="14" cm="1">
        <f t="array" ref="M19">INT(SUMPRODUCT(--ISNUMBER(SEARCH(supreme,C19)))&gt;0)</f>
        <v>0</v>
      </c>
      <c r="N19" s="14" cm="1">
        <f t="array" ref="N19">INT(SUMPRODUCT(--ISNUMBER(SEARCH(covid,C19)))&gt;0)</f>
        <v>0</v>
      </c>
      <c r="O19" s="14" cm="1">
        <f t="array" ref="O19">INT(SUMPRODUCT(--ISNUMBER(SEARCH(violent,C19)))&gt;0)</f>
        <v>0</v>
      </c>
      <c r="P19" s="14" cm="1">
        <f t="array" ref="P19">INT(SUMPRODUCT(--ISNUMBER(SEARCH(foreign,C19)))&gt;0)</f>
        <v>0</v>
      </c>
      <c r="Q19" s="14" cm="1">
        <f t="array" ref="Q19">INT(SUMPRODUCT(--ISNUMBER(SEARCH(gun,C19)))&gt;0)</f>
        <v>0</v>
      </c>
      <c r="R19" s="14" cm="1">
        <f t="array" ref="R19">INT(SUMPRODUCT(--ISNUMBER(SEARCH(race,C19)))&gt;0)</f>
        <v>0</v>
      </c>
      <c r="S19" s="14" cm="1">
        <f t="array" ref="S19">INT(SUMPRODUCT(--ISNUMBER(SEARCH(immigration,C19)))&gt;0)</f>
        <v>0</v>
      </c>
      <c r="T19" s="14" cm="1">
        <f t="array" ref="T19">INT(SUMPRODUCT(--ISNUMBER(SEARCH(econineq,C20)))&gt;0)</f>
        <v>0</v>
      </c>
      <c r="U19" s="14" cm="1">
        <f t="array" ref="U19">INT(SUMPRODUCT(--ISNUMBER(SEARCH(climate,C19)))&gt;0)</f>
        <v>0</v>
      </c>
      <c r="V19" s="14" cm="1">
        <f t="array" ref="V19">INT(SUMPRODUCT(--ISNUMBER(SEARCH(abortion,C19)))&gt;0)</f>
        <v>0</v>
      </c>
      <c r="W19" s="14" cm="1">
        <f t="array" ref="W19">INT(SUMPRODUCT(--ISNUMBER(SEARCH(trump,C19)))&gt;0)</f>
        <v>1</v>
      </c>
      <c r="X19" s="14" cm="1">
        <f t="array" ref="X19">INT(SUMPRODUCT(--ISNUMBER(SEARCH(voting,C19)))&gt;0)</f>
        <v>0</v>
      </c>
      <c r="Y19" s="35" cm="1">
        <f t="array" ref="Y19">INT(SUMPRODUCT(--ISNUMBER(SEARCH(republicantrigger,C19)))&gt;0)</f>
        <v>0</v>
      </c>
      <c r="Z19" s="35" cm="1">
        <f t="array" ref="Z19">INT(SUMPRODUCT(--ISNUMBER(SEARCH(bipartisan,C19)))&gt;0)</f>
        <v>0</v>
      </c>
      <c r="AA19" s="35">
        <f t="shared" si="0"/>
        <v>0</v>
      </c>
      <c r="AB19" s="14"/>
      <c r="AC19" s="30">
        <v>0</v>
      </c>
      <c r="AD19" s="37">
        <v>1</v>
      </c>
    </row>
    <row r="20" spans="1:30" x14ac:dyDescent="0.25">
      <c r="A20" s="36">
        <v>3243</v>
      </c>
      <c r="B20" s="14" t="s">
        <v>6511</v>
      </c>
      <c r="C20" s="31" t="s">
        <v>6512</v>
      </c>
      <c r="D20" s="17">
        <v>44137</v>
      </c>
      <c r="E20" s="14" t="s">
        <v>30</v>
      </c>
      <c r="F20" s="14">
        <v>46</v>
      </c>
      <c r="G20" s="14">
        <v>19</v>
      </c>
      <c r="H20" s="14">
        <v>15</v>
      </c>
      <c r="I20" s="14">
        <v>8</v>
      </c>
      <c r="J20" s="14" t="s">
        <v>31</v>
      </c>
      <c r="K20" s="14" cm="1">
        <f t="array" ref="K20">INT(SUMPRODUCT(--ISNUMBER(SEARCH(economy,C20)))&gt;0)</f>
        <v>0</v>
      </c>
      <c r="L20" s="14" cm="1">
        <f t="array" ref="L20">INT(SUMPRODUCT(--ISNUMBER(SEARCH(healthcare,C20)))&gt;0)</f>
        <v>0</v>
      </c>
      <c r="M20" s="14" cm="1">
        <f t="array" ref="M20">INT(SUMPRODUCT(--ISNUMBER(SEARCH(supreme,C20)))&gt;0)</f>
        <v>0</v>
      </c>
      <c r="N20" s="14" cm="1">
        <f t="array" ref="N20">INT(SUMPRODUCT(--ISNUMBER(SEARCH(covid,C20)))&gt;0)</f>
        <v>0</v>
      </c>
      <c r="O20" s="14" cm="1">
        <f t="array" ref="O20">INT(SUMPRODUCT(--ISNUMBER(SEARCH(violent,C20)))&gt;0)</f>
        <v>0</v>
      </c>
      <c r="P20" s="14" cm="1">
        <f t="array" ref="P20">INT(SUMPRODUCT(--ISNUMBER(SEARCH(foreign,C20)))&gt;0)</f>
        <v>0</v>
      </c>
      <c r="Q20" s="14" cm="1">
        <f t="array" ref="Q20">INT(SUMPRODUCT(--ISNUMBER(SEARCH(gun,C20)))&gt;0)</f>
        <v>0</v>
      </c>
      <c r="R20" s="14" cm="1">
        <f t="array" ref="R20">INT(SUMPRODUCT(--ISNUMBER(SEARCH(race,C20)))&gt;0)</f>
        <v>0</v>
      </c>
      <c r="S20" s="14" cm="1">
        <f t="array" ref="S20">INT(SUMPRODUCT(--ISNUMBER(SEARCH(immigration,C20)))&gt;0)</f>
        <v>0</v>
      </c>
      <c r="T20" s="14" cm="1">
        <f t="array" ref="T20">INT(SUMPRODUCT(--ISNUMBER(SEARCH(econineq,C21)))&gt;0)</f>
        <v>0</v>
      </c>
      <c r="U20" s="14" cm="1">
        <f t="array" ref="U20">INT(SUMPRODUCT(--ISNUMBER(SEARCH(climate,C20)))&gt;0)</f>
        <v>0</v>
      </c>
      <c r="V20" s="14" cm="1">
        <f t="array" ref="V20">INT(SUMPRODUCT(--ISNUMBER(SEARCH(abortion,C20)))&gt;0)</f>
        <v>0</v>
      </c>
      <c r="W20" s="14" cm="1">
        <f t="array" ref="W20">INT(SUMPRODUCT(--ISNUMBER(SEARCH(trump,C20)))&gt;0)</f>
        <v>0</v>
      </c>
      <c r="X20" s="14" cm="1">
        <f t="array" ref="X20">INT(SUMPRODUCT(--ISNUMBER(SEARCH(voting,C20)))&gt;0)</f>
        <v>0</v>
      </c>
      <c r="Y20" s="35" cm="1">
        <f t="array" ref="Y20">INT(SUMPRODUCT(--ISNUMBER(SEARCH(republicantrigger,C20)))&gt;0)</f>
        <v>0</v>
      </c>
      <c r="Z20" s="35" cm="1">
        <f t="array" ref="Z20">INT(SUMPRODUCT(--ISNUMBER(SEARCH(bipartisan,C20)))&gt;0)</f>
        <v>0</v>
      </c>
      <c r="AA20" s="35">
        <f t="shared" si="0"/>
        <v>1</v>
      </c>
      <c r="AB20" s="14"/>
      <c r="AC20" s="30">
        <v>0</v>
      </c>
      <c r="AD20" s="37">
        <v>1</v>
      </c>
    </row>
    <row r="21" spans="1:30" x14ac:dyDescent="0.25">
      <c r="A21" s="36">
        <v>3244</v>
      </c>
      <c r="B21" s="14" t="s">
        <v>6513</v>
      </c>
      <c r="C21" s="31" t="s">
        <v>6514</v>
      </c>
      <c r="D21" s="17">
        <v>44137</v>
      </c>
      <c r="E21" s="14" t="s">
        <v>30</v>
      </c>
      <c r="F21" s="14">
        <v>329</v>
      </c>
      <c r="G21" s="14">
        <v>81</v>
      </c>
      <c r="H21" s="14">
        <v>15</v>
      </c>
      <c r="I21" s="14">
        <v>8</v>
      </c>
      <c r="J21" s="14" t="s">
        <v>31</v>
      </c>
      <c r="K21" s="14" cm="1">
        <f t="array" ref="K21">INT(SUMPRODUCT(--ISNUMBER(SEARCH(economy,C21)))&gt;0)</f>
        <v>0</v>
      </c>
      <c r="L21" s="14" cm="1">
        <f t="array" ref="L21">INT(SUMPRODUCT(--ISNUMBER(SEARCH(healthcare,C21)))&gt;0)</f>
        <v>0</v>
      </c>
      <c r="M21" s="14" cm="1">
        <f t="array" ref="M21">INT(SUMPRODUCT(--ISNUMBER(SEARCH(supreme,C21)))&gt;0)</f>
        <v>0</v>
      </c>
      <c r="N21" s="14" cm="1">
        <f t="array" ref="N21">INT(SUMPRODUCT(--ISNUMBER(SEARCH(covid,C21)))&gt;0)</f>
        <v>0</v>
      </c>
      <c r="O21" s="14" cm="1">
        <f t="array" ref="O21">INT(SUMPRODUCT(--ISNUMBER(SEARCH(violent,C21)))&gt;0)</f>
        <v>0</v>
      </c>
      <c r="P21" s="14" cm="1">
        <f t="array" ref="P21">INT(SUMPRODUCT(--ISNUMBER(SEARCH(foreign,C21)))&gt;0)</f>
        <v>0</v>
      </c>
      <c r="Q21" s="14" cm="1">
        <f t="array" ref="Q21">INT(SUMPRODUCT(--ISNUMBER(SEARCH(gun,C21)))&gt;0)</f>
        <v>0</v>
      </c>
      <c r="R21" s="14" cm="1">
        <f t="array" ref="R21">INT(SUMPRODUCT(--ISNUMBER(SEARCH(race,C21)))&gt;0)</f>
        <v>0</v>
      </c>
      <c r="S21" s="14" cm="1">
        <f t="array" ref="S21">INT(SUMPRODUCT(--ISNUMBER(SEARCH(immigration,C21)))&gt;0)</f>
        <v>0</v>
      </c>
      <c r="T21" s="14" cm="1">
        <f t="array" ref="T21">INT(SUMPRODUCT(--ISNUMBER(SEARCH(econineq,C22)))&gt;0)</f>
        <v>0</v>
      </c>
      <c r="U21" s="14" cm="1">
        <f t="array" ref="U21">INT(SUMPRODUCT(--ISNUMBER(SEARCH(climate,C21)))&gt;0)</f>
        <v>0</v>
      </c>
      <c r="V21" s="14" cm="1">
        <f t="array" ref="V21">INT(SUMPRODUCT(--ISNUMBER(SEARCH(abortion,C21)))&gt;0)</f>
        <v>0</v>
      </c>
      <c r="W21" s="14" cm="1">
        <f t="array" ref="W21">INT(SUMPRODUCT(--ISNUMBER(SEARCH(trump,C21)))&gt;0)</f>
        <v>1</v>
      </c>
      <c r="X21" s="14" cm="1">
        <f t="array" ref="X21">INT(SUMPRODUCT(--ISNUMBER(SEARCH(voting,C21)))&gt;0)</f>
        <v>1</v>
      </c>
      <c r="Y21" s="35" cm="1">
        <f t="array" ref="Y21">INT(SUMPRODUCT(--ISNUMBER(SEARCH(republicantrigger,C21)))&gt;0)</f>
        <v>0</v>
      </c>
      <c r="Z21" s="35" cm="1">
        <f t="array" ref="Z21">INT(SUMPRODUCT(--ISNUMBER(SEARCH(bipartisan,C21)))&gt;0)</f>
        <v>0</v>
      </c>
      <c r="AA21" s="35">
        <f t="shared" si="0"/>
        <v>0</v>
      </c>
      <c r="AB21" s="14"/>
      <c r="AC21" s="30">
        <v>1</v>
      </c>
      <c r="AD21" s="37">
        <v>0</v>
      </c>
    </row>
    <row r="22" spans="1:30" x14ac:dyDescent="0.25">
      <c r="A22" s="36">
        <v>3245</v>
      </c>
      <c r="B22" s="14" t="s">
        <v>6515</v>
      </c>
      <c r="C22" s="31" t="s">
        <v>6516</v>
      </c>
      <c r="D22" s="17">
        <v>44137</v>
      </c>
      <c r="E22" s="14" t="s">
        <v>30</v>
      </c>
      <c r="F22" s="14">
        <v>132</v>
      </c>
      <c r="G22" s="14">
        <v>34</v>
      </c>
      <c r="H22" s="14">
        <v>15</v>
      </c>
      <c r="I22" s="14">
        <v>8</v>
      </c>
      <c r="J22" s="14" t="s">
        <v>31</v>
      </c>
      <c r="K22" s="14" cm="1">
        <f t="array" ref="K22">INT(SUMPRODUCT(--ISNUMBER(SEARCH(economy,C22)))&gt;0)</f>
        <v>0</v>
      </c>
      <c r="L22" s="14" cm="1">
        <f t="array" ref="L22">INT(SUMPRODUCT(--ISNUMBER(SEARCH(healthcare,C22)))&gt;0)</f>
        <v>0</v>
      </c>
      <c r="M22" s="14" cm="1">
        <f t="array" ref="M22">INT(SUMPRODUCT(--ISNUMBER(SEARCH(supreme,C22)))&gt;0)</f>
        <v>0</v>
      </c>
      <c r="N22" s="14" cm="1">
        <f t="array" ref="N22">INT(SUMPRODUCT(--ISNUMBER(SEARCH(covid,C22)))&gt;0)</f>
        <v>0</v>
      </c>
      <c r="O22" s="14" cm="1">
        <f t="array" ref="O22">INT(SUMPRODUCT(--ISNUMBER(SEARCH(violent,C22)))&gt;0)</f>
        <v>0</v>
      </c>
      <c r="P22" s="14" cm="1">
        <f t="array" ref="P22">INT(SUMPRODUCT(--ISNUMBER(SEARCH(foreign,C22)))&gt;0)</f>
        <v>0</v>
      </c>
      <c r="Q22" s="14" cm="1">
        <f t="array" ref="Q22">INT(SUMPRODUCT(--ISNUMBER(SEARCH(gun,C22)))&gt;0)</f>
        <v>0</v>
      </c>
      <c r="R22" s="14" cm="1">
        <f t="array" ref="R22">INT(SUMPRODUCT(--ISNUMBER(SEARCH(race,C22)))&gt;0)</f>
        <v>0</v>
      </c>
      <c r="S22" s="14" cm="1">
        <f t="array" ref="S22">INT(SUMPRODUCT(--ISNUMBER(SEARCH(immigration,C22)))&gt;0)</f>
        <v>0</v>
      </c>
      <c r="T22" s="14" cm="1">
        <f t="array" ref="T22">INT(SUMPRODUCT(--ISNUMBER(SEARCH(econineq,C23)))&gt;0)</f>
        <v>0</v>
      </c>
      <c r="U22" s="14" cm="1">
        <f t="array" ref="U22">INT(SUMPRODUCT(--ISNUMBER(SEARCH(climate,C22)))&gt;0)</f>
        <v>0</v>
      </c>
      <c r="V22" s="14" cm="1">
        <f t="array" ref="V22">INT(SUMPRODUCT(--ISNUMBER(SEARCH(abortion,C22)))&gt;0)</f>
        <v>0</v>
      </c>
      <c r="W22" s="14" cm="1">
        <f t="array" ref="W22">INT(SUMPRODUCT(--ISNUMBER(SEARCH(trump,C22)))&gt;0)</f>
        <v>1</v>
      </c>
      <c r="X22" s="14" cm="1">
        <f t="array" ref="X22">INT(SUMPRODUCT(--ISNUMBER(SEARCH(voting,C22)))&gt;0)</f>
        <v>0</v>
      </c>
      <c r="Y22" s="35" cm="1">
        <f t="array" ref="Y22">INT(SUMPRODUCT(--ISNUMBER(SEARCH(republicantrigger,C22)))&gt;0)</f>
        <v>0</v>
      </c>
      <c r="Z22" s="35" cm="1">
        <f t="array" ref="Z22">INT(SUMPRODUCT(--ISNUMBER(SEARCH(bipartisan,C22)))&gt;0)</f>
        <v>0</v>
      </c>
      <c r="AA22" s="35">
        <f t="shared" si="0"/>
        <v>0</v>
      </c>
      <c r="AB22" s="14"/>
      <c r="AC22" s="30">
        <v>0</v>
      </c>
      <c r="AD22" s="37">
        <v>1</v>
      </c>
    </row>
    <row r="23" spans="1:30" x14ac:dyDescent="0.25">
      <c r="A23" s="36">
        <v>3246</v>
      </c>
      <c r="B23" s="14" t="s">
        <v>6517</v>
      </c>
      <c r="C23" s="31" t="s">
        <v>6518</v>
      </c>
      <c r="D23" s="17">
        <v>44136</v>
      </c>
      <c r="E23" s="14" t="s">
        <v>30</v>
      </c>
      <c r="F23" s="14">
        <v>123</v>
      </c>
      <c r="G23" s="14">
        <v>26</v>
      </c>
      <c r="H23" s="14">
        <v>15</v>
      </c>
      <c r="I23" s="14">
        <v>8</v>
      </c>
      <c r="J23" s="14" t="s">
        <v>31</v>
      </c>
      <c r="K23" s="14" cm="1">
        <f t="array" ref="K23">INT(SUMPRODUCT(--ISNUMBER(SEARCH(economy,C23)))&gt;0)</f>
        <v>0</v>
      </c>
      <c r="L23" s="14" cm="1">
        <f t="array" ref="L23">INT(SUMPRODUCT(--ISNUMBER(SEARCH(healthcare,C23)))&gt;0)</f>
        <v>0</v>
      </c>
      <c r="M23" s="14" cm="1">
        <f t="array" ref="M23">INT(SUMPRODUCT(--ISNUMBER(SEARCH(supreme,C23)))&gt;0)</f>
        <v>0</v>
      </c>
      <c r="N23" s="14" cm="1">
        <f t="array" ref="N23">INT(SUMPRODUCT(--ISNUMBER(SEARCH(covid,C23)))&gt;0)</f>
        <v>0</v>
      </c>
      <c r="O23" s="14" cm="1">
        <f t="array" ref="O23">INT(SUMPRODUCT(--ISNUMBER(SEARCH(violent,C23)))&gt;0)</f>
        <v>0</v>
      </c>
      <c r="P23" s="14" cm="1">
        <f t="array" ref="P23">INT(SUMPRODUCT(--ISNUMBER(SEARCH(foreign,C23)))&gt;0)</f>
        <v>0</v>
      </c>
      <c r="Q23" s="14" cm="1">
        <f t="array" ref="Q23">INT(SUMPRODUCT(--ISNUMBER(SEARCH(gun,C23)))&gt;0)</f>
        <v>0</v>
      </c>
      <c r="R23" s="14" cm="1">
        <f t="array" ref="R23">INT(SUMPRODUCT(--ISNUMBER(SEARCH(race,C23)))&gt;0)</f>
        <v>0</v>
      </c>
      <c r="S23" s="14" cm="1">
        <f t="array" ref="S23">INT(SUMPRODUCT(--ISNUMBER(SEARCH(immigration,C23)))&gt;0)</f>
        <v>0</v>
      </c>
      <c r="T23" s="14" cm="1">
        <f t="array" ref="T23">INT(SUMPRODUCT(--ISNUMBER(SEARCH(econineq,C24)))&gt;0)</f>
        <v>0</v>
      </c>
      <c r="U23" s="14" cm="1">
        <f t="array" ref="U23">INT(SUMPRODUCT(--ISNUMBER(SEARCH(climate,C23)))&gt;0)</f>
        <v>0</v>
      </c>
      <c r="V23" s="14" cm="1">
        <f t="array" ref="V23">INT(SUMPRODUCT(--ISNUMBER(SEARCH(abortion,C23)))&gt;0)</f>
        <v>0</v>
      </c>
      <c r="W23" s="14" cm="1">
        <f t="array" ref="W23">INT(SUMPRODUCT(--ISNUMBER(SEARCH(trump,C23)))&gt;0)</f>
        <v>0</v>
      </c>
      <c r="X23" s="14" cm="1">
        <f t="array" ref="X23">INT(SUMPRODUCT(--ISNUMBER(SEARCH(voting,C23)))&gt;0)</f>
        <v>0</v>
      </c>
      <c r="Y23" s="35" cm="1">
        <f t="array" ref="Y23">INT(SUMPRODUCT(--ISNUMBER(SEARCH(republicantrigger,C23)))&gt;0)</f>
        <v>0</v>
      </c>
      <c r="Z23" s="35" cm="1">
        <f t="array" ref="Z23">INT(SUMPRODUCT(--ISNUMBER(SEARCH(bipartisan,C23)))&gt;0)</f>
        <v>0</v>
      </c>
      <c r="AA23" s="35">
        <f t="shared" si="0"/>
        <v>1</v>
      </c>
      <c r="AB23" s="14"/>
      <c r="AC23" s="30">
        <v>0</v>
      </c>
      <c r="AD23" s="37">
        <v>1</v>
      </c>
    </row>
    <row r="24" spans="1:30" x14ac:dyDescent="0.25">
      <c r="A24" s="36">
        <v>3247</v>
      </c>
      <c r="B24" s="14" t="s">
        <v>6519</v>
      </c>
      <c r="C24" s="31" t="s">
        <v>6520</v>
      </c>
      <c r="D24" s="17">
        <v>44136</v>
      </c>
      <c r="E24" s="14" t="s">
        <v>30</v>
      </c>
      <c r="F24" s="14">
        <v>38</v>
      </c>
      <c r="G24" s="14">
        <v>13</v>
      </c>
      <c r="H24" s="14">
        <v>15</v>
      </c>
      <c r="I24" s="14">
        <v>8</v>
      </c>
      <c r="J24" s="14" t="s">
        <v>31</v>
      </c>
      <c r="K24" s="14" cm="1">
        <f t="array" ref="K24">INT(SUMPRODUCT(--ISNUMBER(SEARCH(economy,C24)))&gt;0)</f>
        <v>1</v>
      </c>
      <c r="L24" s="14" cm="1">
        <f t="array" ref="L24">INT(SUMPRODUCT(--ISNUMBER(SEARCH(healthcare,C24)))&gt;0)</f>
        <v>0</v>
      </c>
      <c r="M24" s="14" cm="1">
        <f t="array" ref="M24">INT(SUMPRODUCT(--ISNUMBER(SEARCH(supreme,C24)))&gt;0)</f>
        <v>0</v>
      </c>
      <c r="N24" s="14" cm="1">
        <f t="array" ref="N24">INT(SUMPRODUCT(--ISNUMBER(SEARCH(covid,C24)))&gt;0)</f>
        <v>0</v>
      </c>
      <c r="O24" s="14" cm="1">
        <f t="array" ref="O24">INT(SUMPRODUCT(--ISNUMBER(SEARCH(violent,C24)))&gt;0)</f>
        <v>0</v>
      </c>
      <c r="P24" s="14" cm="1">
        <f t="array" ref="P24">INT(SUMPRODUCT(--ISNUMBER(SEARCH(foreign,C24)))&gt;0)</f>
        <v>0</v>
      </c>
      <c r="Q24" s="14" cm="1">
        <f t="array" ref="Q24">INT(SUMPRODUCT(--ISNUMBER(SEARCH(gun,C24)))&gt;0)</f>
        <v>0</v>
      </c>
      <c r="R24" s="14" cm="1">
        <f t="array" ref="R24">INT(SUMPRODUCT(--ISNUMBER(SEARCH(race,C24)))&gt;0)</f>
        <v>0</v>
      </c>
      <c r="S24" s="14" cm="1">
        <f t="array" ref="S24">INT(SUMPRODUCT(--ISNUMBER(SEARCH(immigration,C24)))&gt;0)</f>
        <v>0</v>
      </c>
      <c r="T24" s="14" cm="1">
        <f t="array" ref="T24">INT(SUMPRODUCT(--ISNUMBER(SEARCH(econineq,C25)))&gt;0)</f>
        <v>0</v>
      </c>
      <c r="U24" s="14" cm="1">
        <f t="array" ref="U24">INT(SUMPRODUCT(--ISNUMBER(SEARCH(climate,C24)))&gt;0)</f>
        <v>0</v>
      </c>
      <c r="V24" s="14" cm="1">
        <f t="array" ref="V24">INT(SUMPRODUCT(--ISNUMBER(SEARCH(abortion,C24)))&gt;0)</f>
        <v>0</v>
      </c>
      <c r="W24" s="14" cm="1">
        <f t="array" ref="W24">INT(SUMPRODUCT(--ISNUMBER(SEARCH(trump,C24)))&gt;0)</f>
        <v>1</v>
      </c>
      <c r="X24" s="14" cm="1">
        <f t="array" ref="X24">INT(SUMPRODUCT(--ISNUMBER(SEARCH(voting,C24)))&gt;0)</f>
        <v>0</v>
      </c>
      <c r="Y24" s="35" cm="1">
        <f t="array" ref="Y24">INT(SUMPRODUCT(--ISNUMBER(SEARCH(republicantrigger,C24)))&gt;0)</f>
        <v>0</v>
      </c>
      <c r="Z24" s="35" cm="1">
        <f t="array" ref="Z24">INT(SUMPRODUCT(--ISNUMBER(SEARCH(bipartisan,C24)))&gt;0)</f>
        <v>0</v>
      </c>
      <c r="AA24" s="35">
        <f t="shared" si="0"/>
        <v>0</v>
      </c>
      <c r="AB24" s="14"/>
      <c r="AC24" s="30" t="s">
        <v>223</v>
      </c>
      <c r="AD24" s="37" t="s">
        <v>223</v>
      </c>
    </row>
    <row r="25" spans="1:30" x14ac:dyDescent="0.25">
      <c r="A25" s="36">
        <v>3248</v>
      </c>
      <c r="B25" s="14" t="s">
        <v>6521</v>
      </c>
      <c r="C25" s="31" t="s">
        <v>6522</v>
      </c>
      <c r="D25" s="17">
        <v>44136</v>
      </c>
      <c r="E25" s="14" t="s">
        <v>30</v>
      </c>
      <c r="F25" s="14">
        <v>591</v>
      </c>
      <c r="G25" s="14">
        <v>110</v>
      </c>
      <c r="H25" s="14">
        <v>15</v>
      </c>
      <c r="I25" s="14">
        <v>8</v>
      </c>
      <c r="J25" s="14" t="s">
        <v>31</v>
      </c>
      <c r="K25" s="14" cm="1">
        <f t="array" ref="K25">INT(SUMPRODUCT(--ISNUMBER(SEARCH(economy,C25)))&gt;0)</f>
        <v>0</v>
      </c>
      <c r="L25" s="14" cm="1">
        <f t="array" ref="L25">INT(SUMPRODUCT(--ISNUMBER(SEARCH(healthcare,C25)))&gt;0)</f>
        <v>0</v>
      </c>
      <c r="M25" s="14" cm="1">
        <f t="array" ref="M25">INT(SUMPRODUCT(--ISNUMBER(SEARCH(supreme,C25)))&gt;0)</f>
        <v>0</v>
      </c>
      <c r="N25" s="14" cm="1">
        <f t="array" ref="N25">INT(SUMPRODUCT(--ISNUMBER(SEARCH(covid,C25)))&gt;0)</f>
        <v>0</v>
      </c>
      <c r="O25" s="14" cm="1">
        <f t="array" ref="O25">INT(SUMPRODUCT(--ISNUMBER(SEARCH(violent,C25)))&gt;0)</f>
        <v>0</v>
      </c>
      <c r="P25" s="14" cm="1">
        <f t="array" ref="P25">INT(SUMPRODUCT(--ISNUMBER(SEARCH(foreign,C25)))&gt;0)</f>
        <v>0</v>
      </c>
      <c r="Q25" s="14" cm="1">
        <f t="array" ref="Q25">INT(SUMPRODUCT(--ISNUMBER(SEARCH(gun,C25)))&gt;0)</f>
        <v>0</v>
      </c>
      <c r="R25" s="14" cm="1">
        <f t="array" ref="R25">INT(SUMPRODUCT(--ISNUMBER(SEARCH(race,C25)))&gt;0)</f>
        <v>0</v>
      </c>
      <c r="S25" s="14" cm="1">
        <f t="array" ref="S25">INT(SUMPRODUCT(--ISNUMBER(SEARCH(immigration,C25)))&gt;0)</f>
        <v>0</v>
      </c>
      <c r="T25" s="14" cm="1">
        <f t="array" ref="T25">INT(SUMPRODUCT(--ISNUMBER(SEARCH(econineq,C26)))&gt;0)</f>
        <v>0</v>
      </c>
      <c r="U25" s="14" cm="1">
        <f t="array" ref="U25">INT(SUMPRODUCT(--ISNUMBER(SEARCH(climate,C25)))&gt;0)</f>
        <v>0</v>
      </c>
      <c r="V25" s="14" cm="1">
        <f t="array" ref="V25">INT(SUMPRODUCT(--ISNUMBER(SEARCH(abortion,C25)))&gt;0)</f>
        <v>0</v>
      </c>
      <c r="W25" s="14" cm="1">
        <f t="array" ref="W25">INT(SUMPRODUCT(--ISNUMBER(SEARCH(trump,C25)))&gt;0)</f>
        <v>1</v>
      </c>
      <c r="X25" s="14" cm="1">
        <f t="array" ref="X25">INT(SUMPRODUCT(--ISNUMBER(SEARCH(voting,C25)))&gt;0)</f>
        <v>1</v>
      </c>
      <c r="Y25" s="35" cm="1">
        <f t="array" ref="Y25">INT(SUMPRODUCT(--ISNUMBER(SEARCH(republicantrigger,C25)))&gt;0)</f>
        <v>0</v>
      </c>
      <c r="Z25" s="35" cm="1">
        <f t="array" ref="Z25">INT(SUMPRODUCT(--ISNUMBER(SEARCH(bipartisan,C25)))&gt;0)</f>
        <v>0</v>
      </c>
      <c r="AA25" s="35">
        <f t="shared" si="0"/>
        <v>0</v>
      </c>
      <c r="AB25" s="14"/>
      <c r="AC25" s="30" t="s">
        <v>223</v>
      </c>
      <c r="AD25" s="37" t="s">
        <v>223</v>
      </c>
    </row>
    <row r="26" spans="1:30" x14ac:dyDescent="0.25">
      <c r="A26" s="36">
        <v>3249</v>
      </c>
      <c r="B26" s="14" t="s">
        <v>6523</v>
      </c>
      <c r="C26" s="31" t="s">
        <v>6524</v>
      </c>
      <c r="D26" s="17">
        <v>44136</v>
      </c>
      <c r="E26" s="14" t="s">
        <v>30</v>
      </c>
      <c r="F26" s="14">
        <v>869</v>
      </c>
      <c r="G26" s="14">
        <v>382</v>
      </c>
      <c r="H26" s="14">
        <v>15</v>
      </c>
      <c r="I26" s="14">
        <v>8</v>
      </c>
      <c r="J26" s="14" t="s">
        <v>31</v>
      </c>
      <c r="K26" s="14" cm="1">
        <f t="array" ref="K26">INT(SUMPRODUCT(--ISNUMBER(SEARCH(economy,C26)))&gt;0)</f>
        <v>0</v>
      </c>
      <c r="L26" s="14" cm="1">
        <f t="array" ref="L26">INT(SUMPRODUCT(--ISNUMBER(SEARCH(healthcare,C26)))&gt;0)</f>
        <v>0</v>
      </c>
      <c r="M26" s="14" cm="1">
        <f t="array" ref="M26">INT(SUMPRODUCT(--ISNUMBER(SEARCH(supreme,C26)))&gt;0)</f>
        <v>0</v>
      </c>
      <c r="N26" s="14" cm="1">
        <f t="array" ref="N26">INT(SUMPRODUCT(--ISNUMBER(SEARCH(covid,C26)))&gt;0)</f>
        <v>0</v>
      </c>
      <c r="O26" s="14" cm="1">
        <f t="array" ref="O26">INT(SUMPRODUCT(--ISNUMBER(SEARCH(violent,C26)))&gt;0)</f>
        <v>0</v>
      </c>
      <c r="P26" s="14" cm="1">
        <f t="array" ref="P26">INT(SUMPRODUCT(--ISNUMBER(SEARCH(foreign,C26)))&gt;0)</f>
        <v>0</v>
      </c>
      <c r="Q26" s="14" cm="1">
        <f t="array" ref="Q26">INT(SUMPRODUCT(--ISNUMBER(SEARCH(gun,C26)))&gt;0)</f>
        <v>0</v>
      </c>
      <c r="R26" s="14" cm="1">
        <f t="array" ref="R26">INT(SUMPRODUCT(--ISNUMBER(SEARCH(race,C26)))&gt;0)</f>
        <v>0</v>
      </c>
      <c r="S26" s="14" cm="1">
        <f t="array" ref="S26">INT(SUMPRODUCT(--ISNUMBER(SEARCH(immigration,C26)))&gt;0)</f>
        <v>0</v>
      </c>
      <c r="T26" s="14" cm="1">
        <f t="array" ref="T26">INT(SUMPRODUCT(--ISNUMBER(SEARCH(econineq,C27)))&gt;0)</f>
        <v>0</v>
      </c>
      <c r="U26" s="14" cm="1">
        <f t="array" ref="U26">INT(SUMPRODUCT(--ISNUMBER(SEARCH(climate,C26)))&gt;0)</f>
        <v>0</v>
      </c>
      <c r="V26" s="14" cm="1">
        <f t="array" ref="V26">INT(SUMPRODUCT(--ISNUMBER(SEARCH(abortion,C26)))&gt;0)</f>
        <v>0</v>
      </c>
      <c r="W26" s="14" cm="1">
        <f t="array" ref="W26">INT(SUMPRODUCT(--ISNUMBER(SEARCH(trump,C26)))&gt;0)</f>
        <v>1</v>
      </c>
      <c r="X26" s="14" cm="1">
        <f t="array" ref="X26">INT(SUMPRODUCT(--ISNUMBER(SEARCH(voting,C26)))&gt;0)</f>
        <v>1</v>
      </c>
      <c r="Y26" s="35" cm="1">
        <f t="array" ref="Y26">INT(SUMPRODUCT(--ISNUMBER(SEARCH(republicantrigger,C26)))&gt;0)</f>
        <v>0</v>
      </c>
      <c r="Z26" s="35" cm="1">
        <f t="array" ref="Z26">INT(SUMPRODUCT(--ISNUMBER(SEARCH(bipartisan,C26)))&gt;0)</f>
        <v>0</v>
      </c>
      <c r="AA26" s="35">
        <f t="shared" si="0"/>
        <v>0</v>
      </c>
      <c r="AB26" s="14"/>
      <c r="AC26" s="30">
        <v>0</v>
      </c>
      <c r="AD26" s="37">
        <v>1</v>
      </c>
    </row>
    <row r="27" spans="1:30" x14ac:dyDescent="0.25">
      <c r="A27" s="36">
        <v>3250</v>
      </c>
      <c r="B27" s="14" t="s">
        <v>6525</v>
      </c>
      <c r="C27" s="31" t="s">
        <v>6526</v>
      </c>
      <c r="D27" s="17">
        <v>44136</v>
      </c>
      <c r="E27" s="14" t="s">
        <v>30</v>
      </c>
      <c r="F27" s="14">
        <v>62</v>
      </c>
      <c r="G27" s="14">
        <v>15</v>
      </c>
      <c r="H27" s="14">
        <v>15</v>
      </c>
      <c r="I27" s="14">
        <v>8</v>
      </c>
      <c r="J27" s="14" t="s">
        <v>31</v>
      </c>
      <c r="K27" s="14" cm="1">
        <f t="array" ref="K27">INT(SUMPRODUCT(--ISNUMBER(SEARCH(economy,C27)))&gt;0)</f>
        <v>0</v>
      </c>
      <c r="L27" s="14" cm="1">
        <f t="array" ref="L27">INT(SUMPRODUCT(--ISNUMBER(SEARCH(healthcare,C27)))&gt;0)</f>
        <v>0</v>
      </c>
      <c r="M27" s="14" cm="1">
        <f t="array" ref="M27">INT(SUMPRODUCT(--ISNUMBER(SEARCH(supreme,C27)))&gt;0)</f>
        <v>0</v>
      </c>
      <c r="N27" s="14" cm="1">
        <f t="array" ref="N27">INT(SUMPRODUCT(--ISNUMBER(SEARCH(covid,C27)))&gt;0)</f>
        <v>0</v>
      </c>
      <c r="O27" s="14" cm="1">
        <f t="array" ref="O27">INT(SUMPRODUCT(--ISNUMBER(SEARCH(violent,C27)))&gt;0)</f>
        <v>0</v>
      </c>
      <c r="P27" s="14" cm="1">
        <f t="array" ref="P27">INT(SUMPRODUCT(--ISNUMBER(SEARCH(foreign,C27)))&gt;0)</f>
        <v>0</v>
      </c>
      <c r="Q27" s="14" cm="1">
        <f t="array" ref="Q27">INT(SUMPRODUCT(--ISNUMBER(SEARCH(gun,C27)))&gt;0)</f>
        <v>0</v>
      </c>
      <c r="R27" s="14" cm="1">
        <f t="array" ref="R27">INT(SUMPRODUCT(--ISNUMBER(SEARCH(race,C27)))&gt;0)</f>
        <v>0</v>
      </c>
      <c r="S27" s="14" cm="1">
        <f t="array" ref="S27">INT(SUMPRODUCT(--ISNUMBER(SEARCH(immigration,C27)))&gt;0)</f>
        <v>0</v>
      </c>
      <c r="T27" s="14" cm="1">
        <f t="array" ref="T27">INT(SUMPRODUCT(--ISNUMBER(SEARCH(econineq,C28)))&gt;0)</f>
        <v>0</v>
      </c>
      <c r="U27" s="14" cm="1">
        <f t="array" ref="U27">INT(SUMPRODUCT(--ISNUMBER(SEARCH(climate,C27)))&gt;0)</f>
        <v>0</v>
      </c>
      <c r="V27" s="14" cm="1">
        <f t="array" ref="V27">INT(SUMPRODUCT(--ISNUMBER(SEARCH(abortion,C27)))&gt;0)</f>
        <v>0</v>
      </c>
      <c r="W27" s="14" cm="1">
        <f t="array" ref="W27">INT(SUMPRODUCT(--ISNUMBER(SEARCH(trump,C27)))&gt;0)</f>
        <v>1</v>
      </c>
      <c r="X27" s="14" cm="1">
        <f t="array" ref="X27">INT(SUMPRODUCT(--ISNUMBER(SEARCH(voting,C27)))&gt;0)</f>
        <v>1</v>
      </c>
      <c r="Y27" s="35" cm="1">
        <f t="array" ref="Y27">INT(SUMPRODUCT(--ISNUMBER(SEARCH(republicantrigger,C27)))&gt;0)</f>
        <v>0</v>
      </c>
      <c r="Z27" s="35" cm="1">
        <f t="array" ref="Z27">INT(SUMPRODUCT(--ISNUMBER(SEARCH(bipartisan,C27)))&gt;0)</f>
        <v>0</v>
      </c>
      <c r="AA27" s="35">
        <f t="shared" si="0"/>
        <v>0</v>
      </c>
      <c r="AB27" s="14"/>
      <c r="AC27" s="30">
        <v>0</v>
      </c>
      <c r="AD27" s="37">
        <v>1</v>
      </c>
    </row>
    <row r="28" spans="1:30" x14ac:dyDescent="0.25">
      <c r="A28" s="36">
        <v>3251</v>
      </c>
      <c r="B28" s="14" t="s">
        <v>6527</v>
      </c>
      <c r="C28" s="31" t="s">
        <v>6528</v>
      </c>
      <c r="D28" s="17">
        <v>44136</v>
      </c>
      <c r="E28" s="14" t="s">
        <v>30</v>
      </c>
      <c r="F28" s="14">
        <v>55</v>
      </c>
      <c r="G28" s="14">
        <v>15</v>
      </c>
      <c r="H28" s="14">
        <v>15</v>
      </c>
      <c r="I28" s="14">
        <v>8</v>
      </c>
      <c r="J28" s="14" t="s">
        <v>31</v>
      </c>
      <c r="K28" s="14" cm="1">
        <f t="array" ref="K28">INT(SUMPRODUCT(--ISNUMBER(SEARCH(economy,C28)))&gt;0)</f>
        <v>0</v>
      </c>
      <c r="L28" s="14" cm="1">
        <f t="array" ref="L28">INT(SUMPRODUCT(--ISNUMBER(SEARCH(healthcare,C28)))&gt;0)</f>
        <v>0</v>
      </c>
      <c r="M28" s="14" cm="1">
        <f t="array" ref="M28">INT(SUMPRODUCT(--ISNUMBER(SEARCH(supreme,C28)))&gt;0)</f>
        <v>0</v>
      </c>
      <c r="N28" s="14" cm="1">
        <f t="array" ref="N28">INT(SUMPRODUCT(--ISNUMBER(SEARCH(covid,C28)))&gt;0)</f>
        <v>0</v>
      </c>
      <c r="O28" s="14" cm="1">
        <f t="array" ref="O28">INT(SUMPRODUCT(--ISNUMBER(SEARCH(violent,C28)))&gt;0)</f>
        <v>0</v>
      </c>
      <c r="P28" s="14" cm="1">
        <f t="array" ref="P28">INT(SUMPRODUCT(--ISNUMBER(SEARCH(foreign,C28)))&gt;0)</f>
        <v>0</v>
      </c>
      <c r="Q28" s="14" cm="1">
        <f t="array" ref="Q28">INT(SUMPRODUCT(--ISNUMBER(SEARCH(gun,C28)))&gt;0)</f>
        <v>0</v>
      </c>
      <c r="R28" s="14" cm="1">
        <f t="array" ref="R28">INT(SUMPRODUCT(--ISNUMBER(SEARCH(race,C28)))&gt;0)</f>
        <v>0</v>
      </c>
      <c r="S28" s="14" cm="1">
        <f t="array" ref="S28">INT(SUMPRODUCT(--ISNUMBER(SEARCH(immigration,C28)))&gt;0)</f>
        <v>0</v>
      </c>
      <c r="T28" s="14" cm="1">
        <f t="array" ref="T28">INT(SUMPRODUCT(--ISNUMBER(SEARCH(econineq,C29)))&gt;0)</f>
        <v>0</v>
      </c>
      <c r="U28" s="14" cm="1">
        <f t="array" ref="U28">INT(SUMPRODUCT(--ISNUMBER(SEARCH(climate,C28)))&gt;0)</f>
        <v>0</v>
      </c>
      <c r="V28" s="14" cm="1">
        <f t="array" ref="V28">INT(SUMPRODUCT(--ISNUMBER(SEARCH(abortion,C28)))&gt;0)</f>
        <v>0</v>
      </c>
      <c r="W28" s="14" cm="1">
        <f t="array" ref="W28">INT(SUMPRODUCT(--ISNUMBER(SEARCH(trump,C28)))&gt;0)</f>
        <v>0</v>
      </c>
      <c r="X28" s="14" cm="1">
        <f t="array" ref="X28">INT(SUMPRODUCT(--ISNUMBER(SEARCH(voting,C28)))&gt;0)</f>
        <v>0</v>
      </c>
      <c r="Y28" s="35" cm="1">
        <f t="array" ref="Y28">INT(SUMPRODUCT(--ISNUMBER(SEARCH(republicantrigger,C28)))&gt;0)</f>
        <v>1</v>
      </c>
      <c r="Z28" s="35" cm="1">
        <f t="array" ref="Z28">INT(SUMPRODUCT(--ISNUMBER(SEARCH(bipartisan,C28)))&gt;0)</f>
        <v>0</v>
      </c>
      <c r="AA28" s="35">
        <f t="shared" si="0"/>
        <v>0</v>
      </c>
      <c r="AB28" s="14"/>
      <c r="AC28" s="30" t="s">
        <v>223</v>
      </c>
      <c r="AD28" s="37" t="s">
        <v>223</v>
      </c>
    </row>
    <row r="29" spans="1:30" x14ac:dyDescent="0.25">
      <c r="A29" s="36">
        <v>3252</v>
      </c>
      <c r="B29" s="14" t="s">
        <v>6529</v>
      </c>
      <c r="C29" s="31" t="s">
        <v>6530</v>
      </c>
      <c r="D29" s="17">
        <v>44136</v>
      </c>
      <c r="E29" s="14" t="s">
        <v>30</v>
      </c>
      <c r="F29" s="14">
        <v>91</v>
      </c>
      <c r="G29" s="14">
        <v>21</v>
      </c>
      <c r="H29" s="14">
        <v>15</v>
      </c>
      <c r="I29" s="14">
        <v>8</v>
      </c>
      <c r="J29" s="14" t="s">
        <v>31</v>
      </c>
      <c r="K29" s="14" cm="1">
        <f t="array" ref="K29">INT(SUMPRODUCT(--ISNUMBER(SEARCH(economy,C29)))&gt;0)</f>
        <v>0</v>
      </c>
      <c r="L29" s="14" cm="1">
        <f t="array" ref="L29">INT(SUMPRODUCT(--ISNUMBER(SEARCH(healthcare,C29)))&gt;0)</f>
        <v>0</v>
      </c>
      <c r="M29" s="14" cm="1">
        <f t="array" ref="M29">INT(SUMPRODUCT(--ISNUMBER(SEARCH(supreme,C29)))&gt;0)</f>
        <v>0</v>
      </c>
      <c r="N29" s="14" cm="1">
        <f t="array" ref="N29">INT(SUMPRODUCT(--ISNUMBER(SEARCH(covid,C29)))&gt;0)</f>
        <v>0</v>
      </c>
      <c r="O29" s="14" cm="1">
        <f t="array" ref="O29">INT(SUMPRODUCT(--ISNUMBER(SEARCH(violent,C29)))&gt;0)</f>
        <v>0</v>
      </c>
      <c r="P29" s="14" cm="1">
        <f t="array" ref="P29">INT(SUMPRODUCT(--ISNUMBER(SEARCH(foreign,C29)))&gt;0)</f>
        <v>0</v>
      </c>
      <c r="Q29" s="14" cm="1">
        <f t="array" ref="Q29">INT(SUMPRODUCT(--ISNUMBER(SEARCH(gun,C29)))&gt;0)</f>
        <v>0</v>
      </c>
      <c r="R29" s="14" cm="1">
        <f t="array" ref="R29">INT(SUMPRODUCT(--ISNUMBER(SEARCH(race,C29)))&gt;0)</f>
        <v>0</v>
      </c>
      <c r="S29" s="14" cm="1">
        <f t="array" ref="S29">INT(SUMPRODUCT(--ISNUMBER(SEARCH(immigration,C29)))&gt;0)</f>
        <v>0</v>
      </c>
      <c r="T29" s="14" cm="1">
        <f t="array" ref="T29">INT(SUMPRODUCT(--ISNUMBER(SEARCH(econineq,C30)))&gt;0)</f>
        <v>0</v>
      </c>
      <c r="U29" s="14" cm="1">
        <f t="array" ref="U29">INT(SUMPRODUCT(--ISNUMBER(SEARCH(climate,C29)))&gt;0)</f>
        <v>0</v>
      </c>
      <c r="V29" s="14" cm="1">
        <f t="array" ref="V29">INT(SUMPRODUCT(--ISNUMBER(SEARCH(abortion,C29)))&gt;0)</f>
        <v>0</v>
      </c>
      <c r="W29" s="14" cm="1">
        <f t="array" ref="W29">INT(SUMPRODUCT(--ISNUMBER(SEARCH(trump,C29)))&gt;0)</f>
        <v>0</v>
      </c>
      <c r="X29" s="14" cm="1">
        <f t="array" ref="X29">INT(SUMPRODUCT(--ISNUMBER(SEARCH(voting,C29)))&gt;0)</f>
        <v>1</v>
      </c>
      <c r="Y29" s="35" cm="1">
        <f t="array" ref="Y29">INT(SUMPRODUCT(--ISNUMBER(SEARCH(republicantrigger,C29)))&gt;0)</f>
        <v>0</v>
      </c>
      <c r="Z29" s="35" cm="1">
        <f t="array" ref="Z29">INT(SUMPRODUCT(--ISNUMBER(SEARCH(bipartisan,C29)))&gt;0)</f>
        <v>0</v>
      </c>
      <c r="AA29" s="35">
        <f t="shared" si="0"/>
        <v>0</v>
      </c>
      <c r="AB29" s="14"/>
      <c r="AC29" s="30" t="s">
        <v>223</v>
      </c>
      <c r="AD29" s="37" t="s">
        <v>223</v>
      </c>
    </row>
    <row r="30" spans="1:30" x14ac:dyDescent="0.25">
      <c r="A30" s="36">
        <v>3253</v>
      </c>
      <c r="B30" s="14" t="s">
        <v>6531</v>
      </c>
      <c r="C30" s="31" t="s">
        <v>6532</v>
      </c>
      <c r="D30" s="17">
        <v>44136</v>
      </c>
      <c r="E30" s="14" t="s">
        <v>30</v>
      </c>
      <c r="F30" s="14">
        <v>214</v>
      </c>
      <c r="G30" s="14">
        <v>52</v>
      </c>
      <c r="H30" s="14">
        <v>15</v>
      </c>
      <c r="I30" s="14">
        <v>8</v>
      </c>
      <c r="J30" s="14" t="s">
        <v>31</v>
      </c>
      <c r="K30" s="14" cm="1">
        <f t="array" ref="K30">INT(SUMPRODUCT(--ISNUMBER(SEARCH(economy,C30)))&gt;0)</f>
        <v>0</v>
      </c>
      <c r="L30" s="14" cm="1">
        <f t="array" ref="L30">INT(SUMPRODUCT(--ISNUMBER(SEARCH(healthcare,C30)))&gt;0)</f>
        <v>0</v>
      </c>
      <c r="M30" s="14" cm="1">
        <f t="array" ref="M30">INT(SUMPRODUCT(--ISNUMBER(SEARCH(supreme,C30)))&gt;0)</f>
        <v>0</v>
      </c>
      <c r="N30" s="14" cm="1">
        <f t="array" ref="N30">INT(SUMPRODUCT(--ISNUMBER(SEARCH(covid,C30)))&gt;0)</f>
        <v>0</v>
      </c>
      <c r="O30" s="14" cm="1">
        <f t="array" ref="O30">INT(SUMPRODUCT(--ISNUMBER(SEARCH(violent,C30)))&gt;0)</f>
        <v>0</v>
      </c>
      <c r="P30" s="14" cm="1">
        <f t="array" ref="P30">INT(SUMPRODUCT(--ISNUMBER(SEARCH(foreign,C30)))&gt;0)</f>
        <v>0</v>
      </c>
      <c r="Q30" s="14" cm="1">
        <f t="array" ref="Q30">INT(SUMPRODUCT(--ISNUMBER(SEARCH(gun,C30)))&gt;0)</f>
        <v>0</v>
      </c>
      <c r="R30" s="14" cm="1">
        <f t="array" ref="R30">INT(SUMPRODUCT(--ISNUMBER(SEARCH(race,C30)))&gt;0)</f>
        <v>0</v>
      </c>
      <c r="S30" s="14" cm="1">
        <f t="array" ref="S30">INT(SUMPRODUCT(--ISNUMBER(SEARCH(immigration,C30)))&gt;0)</f>
        <v>0</v>
      </c>
      <c r="T30" s="14" cm="1">
        <f t="array" ref="T30">INT(SUMPRODUCT(--ISNUMBER(SEARCH(econineq,C31)))&gt;0)</f>
        <v>0</v>
      </c>
      <c r="U30" s="14" cm="1">
        <f t="array" ref="U30">INT(SUMPRODUCT(--ISNUMBER(SEARCH(climate,C30)))&gt;0)</f>
        <v>0</v>
      </c>
      <c r="V30" s="14" cm="1">
        <f t="array" ref="V30">INT(SUMPRODUCT(--ISNUMBER(SEARCH(abortion,C30)))&gt;0)</f>
        <v>0</v>
      </c>
      <c r="W30" s="14" cm="1">
        <f t="array" ref="W30">INT(SUMPRODUCT(--ISNUMBER(SEARCH(trump,C30)))&gt;0)</f>
        <v>1</v>
      </c>
      <c r="X30" s="14" cm="1">
        <f t="array" ref="X30">INT(SUMPRODUCT(--ISNUMBER(SEARCH(voting,C30)))&gt;0)</f>
        <v>1</v>
      </c>
      <c r="Y30" s="35" cm="1">
        <f t="array" ref="Y30">INT(SUMPRODUCT(--ISNUMBER(SEARCH(republicantrigger,C30)))&gt;0)</f>
        <v>0</v>
      </c>
      <c r="Z30" s="35" cm="1">
        <f t="array" ref="Z30">INT(SUMPRODUCT(--ISNUMBER(SEARCH(bipartisan,C30)))&gt;0)</f>
        <v>0</v>
      </c>
      <c r="AA30" s="35">
        <f t="shared" si="0"/>
        <v>0</v>
      </c>
      <c r="AB30" s="14"/>
      <c r="AC30" s="30" t="s">
        <v>223</v>
      </c>
      <c r="AD30" s="37" t="s">
        <v>223</v>
      </c>
    </row>
    <row r="31" spans="1:30" x14ac:dyDescent="0.25">
      <c r="A31" s="36">
        <v>3254</v>
      </c>
      <c r="B31" s="14" t="s">
        <v>6533</v>
      </c>
      <c r="C31" s="31" t="s">
        <v>6534</v>
      </c>
      <c r="D31" s="17">
        <v>44136</v>
      </c>
      <c r="E31" s="14" t="s">
        <v>30</v>
      </c>
      <c r="F31" s="14">
        <v>52</v>
      </c>
      <c r="G31" s="14">
        <v>24</v>
      </c>
      <c r="H31" s="14">
        <v>15</v>
      </c>
      <c r="I31" s="14">
        <v>8</v>
      </c>
      <c r="J31" s="14" t="s">
        <v>31</v>
      </c>
      <c r="K31" s="14" cm="1">
        <f t="array" ref="K31">INT(SUMPRODUCT(--ISNUMBER(SEARCH(economy,C31)))&gt;0)</f>
        <v>1</v>
      </c>
      <c r="L31" s="14" cm="1">
        <f t="array" ref="L31">INT(SUMPRODUCT(--ISNUMBER(SEARCH(healthcare,C31)))&gt;0)</f>
        <v>0</v>
      </c>
      <c r="M31" s="14" cm="1">
        <f t="array" ref="M31">INT(SUMPRODUCT(--ISNUMBER(SEARCH(supreme,C31)))&gt;0)</f>
        <v>0</v>
      </c>
      <c r="N31" s="14" cm="1">
        <f t="array" ref="N31">INT(SUMPRODUCT(--ISNUMBER(SEARCH(covid,C31)))&gt;0)</f>
        <v>0</v>
      </c>
      <c r="O31" s="14" cm="1">
        <f t="array" ref="O31">INT(SUMPRODUCT(--ISNUMBER(SEARCH(violent,C31)))&gt;0)</f>
        <v>0</v>
      </c>
      <c r="P31" s="14" cm="1">
        <f t="array" ref="P31">INT(SUMPRODUCT(--ISNUMBER(SEARCH(foreign,C31)))&gt;0)</f>
        <v>0</v>
      </c>
      <c r="Q31" s="14" cm="1">
        <f t="array" ref="Q31">INT(SUMPRODUCT(--ISNUMBER(SEARCH(gun,C31)))&gt;0)</f>
        <v>0</v>
      </c>
      <c r="R31" s="14" cm="1">
        <f t="array" ref="R31">INT(SUMPRODUCT(--ISNUMBER(SEARCH(race,C31)))&gt;0)</f>
        <v>0</v>
      </c>
      <c r="S31" s="14" cm="1">
        <f t="array" ref="S31">INT(SUMPRODUCT(--ISNUMBER(SEARCH(immigration,C31)))&gt;0)</f>
        <v>0</v>
      </c>
      <c r="T31" s="14" cm="1">
        <f t="array" ref="T31">INT(SUMPRODUCT(--ISNUMBER(SEARCH(econineq,C32)))&gt;0)</f>
        <v>0</v>
      </c>
      <c r="U31" s="14" cm="1">
        <f t="array" ref="U31">INT(SUMPRODUCT(--ISNUMBER(SEARCH(climate,C31)))&gt;0)</f>
        <v>0</v>
      </c>
      <c r="V31" s="14" cm="1">
        <f t="array" ref="V31">INT(SUMPRODUCT(--ISNUMBER(SEARCH(abortion,C31)))&gt;0)</f>
        <v>0</v>
      </c>
      <c r="W31" s="14" cm="1">
        <f t="array" ref="W31">INT(SUMPRODUCT(--ISNUMBER(SEARCH(trump,C31)))&gt;0)</f>
        <v>0</v>
      </c>
      <c r="X31" s="14" cm="1">
        <f t="array" ref="X31">INT(SUMPRODUCT(--ISNUMBER(SEARCH(voting,C31)))&gt;0)</f>
        <v>1</v>
      </c>
      <c r="Y31" s="35" cm="1">
        <f t="array" ref="Y31">INT(SUMPRODUCT(--ISNUMBER(SEARCH(republicantrigger,C31)))&gt;0)</f>
        <v>1</v>
      </c>
      <c r="Z31" s="35" cm="1">
        <f t="array" ref="Z31">INT(SUMPRODUCT(--ISNUMBER(SEARCH(bipartisan,C31)))&gt;0)</f>
        <v>0</v>
      </c>
      <c r="AA31" s="35">
        <f t="shared" si="0"/>
        <v>0</v>
      </c>
      <c r="AB31" s="14"/>
      <c r="AC31" s="30">
        <v>0</v>
      </c>
      <c r="AD31" s="37">
        <v>1</v>
      </c>
    </row>
    <row r="32" spans="1:30" x14ac:dyDescent="0.25">
      <c r="A32" s="36">
        <v>3255</v>
      </c>
      <c r="B32" s="14" t="s">
        <v>6535</v>
      </c>
      <c r="C32" s="31" t="s">
        <v>6536</v>
      </c>
      <c r="D32" s="17">
        <v>44135</v>
      </c>
      <c r="E32" s="14" t="s">
        <v>30</v>
      </c>
      <c r="F32" s="14">
        <v>69</v>
      </c>
      <c r="G32" s="14">
        <v>26</v>
      </c>
      <c r="H32" s="14">
        <v>15</v>
      </c>
      <c r="I32" s="14">
        <v>8</v>
      </c>
      <c r="J32" s="14" t="s">
        <v>31</v>
      </c>
      <c r="K32" s="14" cm="1">
        <f t="array" ref="K32">INT(SUMPRODUCT(--ISNUMBER(SEARCH(economy,C32)))&gt;0)</f>
        <v>1</v>
      </c>
      <c r="L32" s="14" cm="1">
        <f t="array" ref="L32">INT(SUMPRODUCT(--ISNUMBER(SEARCH(healthcare,C32)))&gt;0)</f>
        <v>0</v>
      </c>
      <c r="M32" s="14" cm="1">
        <f t="array" ref="M32">INT(SUMPRODUCT(--ISNUMBER(SEARCH(supreme,C32)))&gt;0)</f>
        <v>0</v>
      </c>
      <c r="N32" s="14" cm="1">
        <f t="array" ref="N32">INT(SUMPRODUCT(--ISNUMBER(SEARCH(covid,C32)))&gt;0)</f>
        <v>1</v>
      </c>
      <c r="O32" s="14" cm="1">
        <f t="array" ref="O32">INT(SUMPRODUCT(--ISNUMBER(SEARCH(violent,C32)))&gt;0)</f>
        <v>0</v>
      </c>
      <c r="P32" s="14" cm="1">
        <f t="array" ref="P32">INT(SUMPRODUCT(--ISNUMBER(SEARCH(foreign,C32)))&gt;0)</f>
        <v>0</v>
      </c>
      <c r="Q32" s="14" cm="1">
        <f t="array" ref="Q32">INT(SUMPRODUCT(--ISNUMBER(SEARCH(gun,C32)))&gt;0)</f>
        <v>0</v>
      </c>
      <c r="R32" s="14" cm="1">
        <f t="array" ref="R32">INT(SUMPRODUCT(--ISNUMBER(SEARCH(race,C32)))&gt;0)</f>
        <v>0</v>
      </c>
      <c r="S32" s="14" cm="1">
        <f t="array" ref="S32">INT(SUMPRODUCT(--ISNUMBER(SEARCH(immigration,C32)))&gt;0)</f>
        <v>0</v>
      </c>
      <c r="T32" s="14" cm="1">
        <f t="array" ref="T32">INT(SUMPRODUCT(--ISNUMBER(SEARCH(econineq,C33)))&gt;0)</f>
        <v>0</v>
      </c>
      <c r="U32" s="14" cm="1">
        <f t="array" ref="U32">INT(SUMPRODUCT(--ISNUMBER(SEARCH(climate,C32)))&gt;0)</f>
        <v>0</v>
      </c>
      <c r="V32" s="14" cm="1">
        <f t="array" ref="V32">INT(SUMPRODUCT(--ISNUMBER(SEARCH(abortion,C32)))&gt;0)</f>
        <v>0</v>
      </c>
      <c r="W32" s="14" cm="1">
        <f t="array" ref="W32">INT(SUMPRODUCT(--ISNUMBER(SEARCH(trump,C32)))&gt;0)</f>
        <v>0</v>
      </c>
      <c r="X32" s="14" cm="1">
        <f t="array" ref="X32">INT(SUMPRODUCT(--ISNUMBER(SEARCH(voting,C32)))&gt;0)</f>
        <v>1</v>
      </c>
      <c r="Y32" s="35" cm="1">
        <f t="array" ref="Y32">INT(SUMPRODUCT(--ISNUMBER(SEARCH(republicantrigger,C32)))&gt;0)</f>
        <v>0</v>
      </c>
      <c r="Z32" s="35" cm="1">
        <f t="array" ref="Z32">INT(SUMPRODUCT(--ISNUMBER(SEARCH(bipartisan,C32)))&gt;0)</f>
        <v>0</v>
      </c>
      <c r="AA32" s="35">
        <f t="shared" si="0"/>
        <v>0</v>
      </c>
      <c r="AB32" s="14"/>
      <c r="AC32" s="30">
        <v>0</v>
      </c>
      <c r="AD32" s="37">
        <v>1</v>
      </c>
    </row>
    <row r="33" spans="1:30" x14ac:dyDescent="0.25">
      <c r="A33" s="36">
        <v>3256</v>
      </c>
      <c r="B33" s="14" t="s">
        <v>6537</v>
      </c>
      <c r="C33" s="31" t="s">
        <v>6538</v>
      </c>
      <c r="D33" s="17">
        <v>44135</v>
      </c>
      <c r="E33" s="14" t="s">
        <v>30</v>
      </c>
      <c r="F33" s="14">
        <v>54</v>
      </c>
      <c r="G33" s="14">
        <v>21</v>
      </c>
      <c r="H33" s="14">
        <v>15</v>
      </c>
      <c r="I33" s="14">
        <v>8</v>
      </c>
      <c r="J33" s="14" t="s">
        <v>31</v>
      </c>
      <c r="K33" s="14" cm="1">
        <f t="array" ref="K33">INT(SUMPRODUCT(--ISNUMBER(SEARCH(economy,C33)))&gt;0)</f>
        <v>0</v>
      </c>
      <c r="L33" s="14" cm="1">
        <f t="array" ref="L33">INT(SUMPRODUCT(--ISNUMBER(SEARCH(healthcare,C33)))&gt;0)</f>
        <v>0</v>
      </c>
      <c r="M33" s="14" cm="1">
        <f t="array" ref="M33">INT(SUMPRODUCT(--ISNUMBER(SEARCH(supreme,C33)))&gt;0)</f>
        <v>0</v>
      </c>
      <c r="N33" s="14" cm="1">
        <f t="array" ref="N33">INT(SUMPRODUCT(--ISNUMBER(SEARCH(covid,C33)))&gt;0)</f>
        <v>0</v>
      </c>
      <c r="O33" s="14" cm="1">
        <f t="array" ref="O33">INT(SUMPRODUCT(--ISNUMBER(SEARCH(violent,C33)))&gt;0)</f>
        <v>0</v>
      </c>
      <c r="P33" s="14" cm="1">
        <f t="array" ref="P33">INT(SUMPRODUCT(--ISNUMBER(SEARCH(foreign,C33)))&gt;0)</f>
        <v>0</v>
      </c>
      <c r="Q33" s="14" cm="1">
        <f t="array" ref="Q33">INT(SUMPRODUCT(--ISNUMBER(SEARCH(gun,C33)))&gt;0)</f>
        <v>0</v>
      </c>
      <c r="R33" s="14" cm="1">
        <f t="array" ref="R33">INT(SUMPRODUCT(--ISNUMBER(SEARCH(race,C33)))&gt;0)</f>
        <v>0</v>
      </c>
      <c r="S33" s="14" cm="1">
        <f t="array" ref="S33">INT(SUMPRODUCT(--ISNUMBER(SEARCH(immigration,C33)))&gt;0)</f>
        <v>0</v>
      </c>
      <c r="T33" s="14" cm="1">
        <f t="array" ref="T33">INT(SUMPRODUCT(--ISNUMBER(SEARCH(econineq,C34)))&gt;0)</f>
        <v>0</v>
      </c>
      <c r="U33" s="14" cm="1">
        <f t="array" ref="U33">INT(SUMPRODUCT(--ISNUMBER(SEARCH(climate,C33)))&gt;0)</f>
        <v>0</v>
      </c>
      <c r="V33" s="14" cm="1">
        <f t="array" ref="V33">INT(SUMPRODUCT(--ISNUMBER(SEARCH(abortion,C33)))&gt;0)</f>
        <v>0</v>
      </c>
      <c r="W33" s="14" cm="1">
        <f t="array" ref="W33">INT(SUMPRODUCT(--ISNUMBER(SEARCH(trump,C33)))&gt;0)</f>
        <v>0</v>
      </c>
      <c r="X33" s="14" cm="1">
        <f t="array" ref="X33">INT(SUMPRODUCT(--ISNUMBER(SEARCH(voting,C33)))&gt;0)</f>
        <v>1</v>
      </c>
      <c r="Y33" s="35" cm="1">
        <f t="array" ref="Y33">INT(SUMPRODUCT(--ISNUMBER(SEARCH(republicantrigger,C33)))&gt;0)</f>
        <v>1</v>
      </c>
      <c r="Z33" s="35" cm="1">
        <f t="array" ref="Z33">INT(SUMPRODUCT(--ISNUMBER(SEARCH(bipartisan,C33)))&gt;0)</f>
        <v>0</v>
      </c>
      <c r="AA33" s="35">
        <f t="shared" si="0"/>
        <v>0</v>
      </c>
      <c r="AB33" s="14"/>
      <c r="AC33" s="30" t="s">
        <v>223</v>
      </c>
      <c r="AD33" s="37" t="s">
        <v>223</v>
      </c>
    </row>
    <row r="34" spans="1:30" x14ac:dyDescent="0.25">
      <c r="A34" s="36">
        <v>3257</v>
      </c>
      <c r="B34" s="14" t="s">
        <v>6539</v>
      </c>
      <c r="C34" s="31" t="s">
        <v>6540</v>
      </c>
      <c r="D34" s="17">
        <v>44135</v>
      </c>
      <c r="E34" s="14" t="s">
        <v>30</v>
      </c>
      <c r="F34" s="14">
        <v>77</v>
      </c>
      <c r="G34" s="14">
        <v>17</v>
      </c>
      <c r="H34" s="14">
        <v>15</v>
      </c>
      <c r="I34" s="14">
        <v>8</v>
      </c>
      <c r="J34" s="14" t="s">
        <v>31</v>
      </c>
      <c r="K34" s="14" cm="1">
        <f t="array" ref="K34">INT(SUMPRODUCT(--ISNUMBER(SEARCH(economy,C34)))&gt;0)</f>
        <v>0</v>
      </c>
      <c r="L34" s="14" cm="1">
        <f t="array" ref="L34">INT(SUMPRODUCT(--ISNUMBER(SEARCH(healthcare,C34)))&gt;0)</f>
        <v>0</v>
      </c>
      <c r="M34" s="14" cm="1">
        <f t="array" ref="M34">INT(SUMPRODUCT(--ISNUMBER(SEARCH(supreme,C34)))&gt;0)</f>
        <v>0</v>
      </c>
      <c r="N34" s="14" cm="1">
        <f t="array" ref="N34">INT(SUMPRODUCT(--ISNUMBER(SEARCH(covid,C34)))&gt;0)</f>
        <v>0</v>
      </c>
      <c r="O34" s="14" cm="1">
        <f t="array" ref="O34">INT(SUMPRODUCT(--ISNUMBER(SEARCH(violent,C34)))&gt;0)</f>
        <v>0</v>
      </c>
      <c r="P34" s="14" cm="1">
        <f t="array" ref="P34">INT(SUMPRODUCT(--ISNUMBER(SEARCH(foreign,C34)))&gt;0)</f>
        <v>0</v>
      </c>
      <c r="Q34" s="14" cm="1">
        <f t="array" ref="Q34">INT(SUMPRODUCT(--ISNUMBER(SEARCH(gun,C34)))&gt;0)</f>
        <v>0</v>
      </c>
      <c r="R34" s="14" cm="1">
        <f t="array" ref="R34">INT(SUMPRODUCT(--ISNUMBER(SEARCH(race,C34)))&gt;0)</f>
        <v>0</v>
      </c>
      <c r="S34" s="14" cm="1">
        <f t="array" ref="S34">INT(SUMPRODUCT(--ISNUMBER(SEARCH(immigration,C34)))&gt;0)</f>
        <v>0</v>
      </c>
      <c r="T34" s="14" cm="1">
        <f t="array" ref="T34">INT(SUMPRODUCT(--ISNUMBER(SEARCH(econineq,C35)))&gt;0)</f>
        <v>0</v>
      </c>
      <c r="U34" s="14" cm="1">
        <f t="array" ref="U34">INT(SUMPRODUCT(--ISNUMBER(SEARCH(climate,C34)))&gt;0)</f>
        <v>0</v>
      </c>
      <c r="V34" s="14" cm="1">
        <f t="array" ref="V34">INT(SUMPRODUCT(--ISNUMBER(SEARCH(abortion,C34)))&gt;0)</f>
        <v>0</v>
      </c>
      <c r="W34" s="14" cm="1">
        <f t="array" ref="W34">INT(SUMPRODUCT(--ISNUMBER(SEARCH(trump,C34)))&gt;0)</f>
        <v>0</v>
      </c>
      <c r="X34" s="14" cm="1">
        <f t="array" ref="X34">INT(SUMPRODUCT(--ISNUMBER(SEARCH(voting,C34)))&gt;0)</f>
        <v>1</v>
      </c>
      <c r="Y34" s="35" cm="1">
        <f t="array" ref="Y34">INT(SUMPRODUCT(--ISNUMBER(SEARCH(republicantrigger,C34)))&gt;0)</f>
        <v>0</v>
      </c>
      <c r="Z34" s="35" cm="1">
        <f t="array" ref="Z34">INT(SUMPRODUCT(--ISNUMBER(SEARCH(bipartisan,C34)))&gt;0)</f>
        <v>0</v>
      </c>
      <c r="AA34" s="35">
        <f t="shared" si="0"/>
        <v>0</v>
      </c>
      <c r="AB34" s="14"/>
      <c r="AC34" s="30">
        <v>1</v>
      </c>
      <c r="AD34" s="37">
        <v>0</v>
      </c>
    </row>
    <row r="35" spans="1:30" x14ac:dyDescent="0.25">
      <c r="A35" s="36">
        <v>3258</v>
      </c>
      <c r="B35" s="14" t="s">
        <v>6541</v>
      </c>
      <c r="C35" s="31" t="s">
        <v>6542</v>
      </c>
      <c r="D35" s="17">
        <v>44135</v>
      </c>
      <c r="E35" s="14" t="s">
        <v>30</v>
      </c>
      <c r="F35" s="14">
        <v>111</v>
      </c>
      <c r="G35" s="14">
        <v>37</v>
      </c>
      <c r="H35" s="14">
        <v>15</v>
      </c>
      <c r="I35" s="14">
        <v>8</v>
      </c>
      <c r="J35" s="14" t="s">
        <v>31</v>
      </c>
      <c r="K35" s="14" cm="1">
        <f t="array" ref="K35">INT(SUMPRODUCT(--ISNUMBER(SEARCH(economy,C35)))&gt;0)</f>
        <v>0</v>
      </c>
      <c r="L35" s="14" cm="1">
        <f t="array" ref="L35">INT(SUMPRODUCT(--ISNUMBER(SEARCH(healthcare,C35)))&gt;0)</f>
        <v>0</v>
      </c>
      <c r="M35" s="14" cm="1">
        <f t="array" ref="M35">INT(SUMPRODUCT(--ISNUMBER(SEARCH(supreme,C35)))&gt;0)</f>
        <v>0</v>
      </c>
      <c r="N35" s="14" cm="1">
        <f t="array" ref="N35">INT(SUMPRODUCT(--ISNUMBER(SEARCH(covid,C35)))&gt;0)</f>
        <v>0</v>
      </c>
      <c r="O35" s="14" cm="1">
        <f t="array" ref="O35">INT(SUMPRODUCT(--ISNUMBER(SEARCH(violent,C35)))&gt;0)</f>
        <v>0</v>
      </c>
      <c r="P35" s="14" cm="1">
        <f t="array" ref="P35">INT(SUMPRODUCT(--ISNUMBER(SEARCH(foreign,C35)))&gt;0)</f>
        <v>0</v>
      </c>
      <c r="Q35" s="14" cm="1">
        <f t="array" ref="Q35">INT(SUMPRODUCT(--ISNUMBER(SEARCH(gun,C35)))&gt;0)</f>
        <v>0</v>
      </c>
      <c r="R35" s="14" cm="1">
        <f t="array" ref="R35">INT(SUMPRODUCT(--ISNUMBER(SEARCH(race,C35)))&gt;0)</f>
        <v>0</v>
      </c>
      <c r="S35" s="14" cm="1">
        <f t="array" ref="S35">INT(SUMPRODUCT(--ISNUMBER(SEARCH(immigration,C35)))&gt;0)</f>
        <v>0</v>
      </c>
      <c r="T35" s="14" cm="1">
        <f t="array" ref="T35">INT(SUMPRODUCT(--ISNUMBER(SEARCH(econineq,C36)))&gt;0)</f>
        <v>0</v>
      </c>
      <c r="U35" s="14" cm="1">
        <f t="array" ref="U35">INT(SUMPRODUCT(--ISNUMBER(SEARCH(climate,C35)))&gt;0)</f>
        <v>0</v>
      </c>
      <c r="V35" s="14" cm="1">
        <f t="array" ref="V35">INT(SUMPRODUCT(--ISNUMBER(SEARCH(abortion,C35)))&gt;0)</f>
        <v>0</v>
      </c>
      <c r="W35" s="14" cm="1">
        <f t="array" ref="W35">INT(SUMPRODUCT(--ISNUMBER(SEARCH(trump,C35)))&gt;0)</f>
        <v>0</v>
      </c>
      <c r="X35" s="14" cm="1">
        <f t="array" ref="X35">INT(SUMPRODUCT(--ISNUMBER(SEARCH(voting,C35)))&gt;0)</f>
        <v>1</v>
      </c>
      <c r="Y35" s="35" cm="1">
        <f t="array" ref="Y35">INT(SUMPRODUCT(--ISNUMBER(SEARCH(republicantrigger,C35)))&gt;0)</f>
        <v>0</v>
      </c>
      <c r="Z35" s="35" cm="1">
        <f t="array" ref="Z35">INT(SUMPRODUCT(--ISNUMBER(SEARCH(bipartisan,C35)))&gt;0)</f>
        <v>0</v>
      </c>
      <c r="AA35" s="35">
        <f t="shared" si="0"/>
        <v>0</v>
      </c>
      <c r="AB35" s="14"/>
      <c r="AC35" s="30">
        <v>0</v>
      </c>
      <c r="AD35" s="37">
        <v>1</v>
      </c>
    </row>
    <row r="36" spans="1:30" x14ac:dyDescent="0.25">
      <c r="A36" s="36">
        <v>3259</v>
      </c>
      <c r="B36" s="14" t="s">
        <v>6543</v>
      </c>
      <c r="C36" s="31" t="s">
        <v>6544</v>
      </c>
      <c r="D36" s="17">
        <v>44135</v>
      </c>
      <c r="E36" s="14" t="s">
        <v>30</v>
      </c>
      <c r="F36" s="14">
        <v>45</v>
      </c>
      <c r="G36" s="14">
        <v>18</v>
      </c>
      <c r="H36" s="14">
        <v>15</v>
      </c>
      <c r="I36" s="14">
        <v>8</v>
      </c>
      <c r="J36" s="14" t="s">
        <v>31</v>
      </c>
      <c r="K36" s="14" cm="1">
        <f t="array" ref="K36">INT(SUMPRODUCT(--ISNUMBER(SEARCH(economy,C36)))&gt;0)</f>
        <v>0</v>
      </c>
      <c r="L36" s="14" cm="1">
        <f t="array" ref="L36">INT(SUMPRODUCT(--ISNUMBER(SEARCH(healthcare,C36)))&gt;0)</f>
        <v>0</v>
      </c>
      <c r="M36" s="14" cm="1">
        <f t="array" ref="M36">INT(SUMPRODUCT(--ISNUMBER(SEARCH(supreme,C36)))&gt;0)</f>
        <v>0</v>
      </c>
      <c r="N36" s="14" cm="1">
        <f t="array" ref="N36">INT(SUMPRODUCT(--ISNUMBER(SEARCH(covid,C36)))&gt;0)</f>
        <v>0</v>
      </c>
      <c r="O36" s="14" cm="1">
        <f t="array" ref="O36">INT(SUMPRODUCT(--ISNUMBER(SEARCH(violent,C36)))&gt;0)</f>
        <v>0</v>
      </c>
      <c r="P36" s="14" cm="1">
        <f t="array" ref="P36">INT(SUMPRODUCT(--ISNUMBER(SEARCH(foreign,C36)))&gt;0)</f>
        <v>0</v>
      </c>
      <c r="Q36" s="14" cm="1">
        <f t="array" ref="Q36">INT(SUMPRODUCT(--ISNUMBER(SEARCH(gun,C36)))&gt;0)</f>
        <v>0</v>
      </c>
      <c r="R36" s="14" cm="1">
        <f t="array" ref="R36">INT(SUMPRODUCT(--ISNUMBER(SEARCH(race,C36)))&gt;0)</f>
        <v>0</v>
      </c>
      <c r="S36" s="14" cm="1">
        <f t="array" ref="S36">INT(SUMPRODUCT(--ISNUMBER(SEARCH(immigration,C36)))&gt;0)</f>
        <v>0</v>
      </c>
      <c r="T36" s="14" cm="1">
        <f t="array" ref="T36">INT(SUMPRODUCT(--ISNUMBER(SEARCH(econineq,C37)))&gt;0)</f>
        <v>0</v>
      </c>
      <c r="U36" s="14" cm="1">
        <f t="array" ref="U36">INT(SUMPRODUCT(--ISNUMBER(SEARCH(climate,C36)))&gt;0)</f>
        <v>0</v>
      </c>
      <c r="V36" s="14" cm="1">
        <f t="array" ref="V36">INT(SUMPRODUCT(--ISNUMBER(SEARCH(abortion,C36)))&gt;0)</f>
        <v>0</v>
      </c>
      <c r="W36" s="14" cm="1">
        <f t="array" ref="W36">INT(SUMPRODUCT(--ISNUMBER(SEARCH(trump,C36)))&gt;0)</f>
        <v>0</v>
      </c>
      <c r="X36" s="14" cm="1">
        <f t="array" ref="X36">INT(SUMPRODUCT(--ISNUMBER(SEARCH(voting,C36)))&gt;0)</f>
        <v>1</v>
      </c>
      <c r="Y36" s="35" cm="1">
        <f t="array" ref="Y36">INT(SUMPRODUCT(--ISNUMBER(SEARCH(republicantrigger,C36)))&gt;0)</f>
        <v>0</v>
      </c>
      <c r="Z36" s="35" cm="1">
        <f t="array" ref="Z36">INT(SUMPRODUCT(--ISNUMBER(SEARCH(bipartisan,C36)))&gt;0)</f>
        <v>0</v>
      </c>
      <c r="AA36" s="35">
        <f t="shared" si="0"/>
        <v>0</v>
      </c>
      <c r="AB36" s="14"/>
      <c r="AC36" s="30">
        <v>0</v>
      </c>
      <c r="AD36" s="37">
        <v>1</v>
      </c>
    </row>
    <row r="37" spans="1:30" x14ac:dyDescent="0.25">
      <c r="A37" s="36">
        <v>3260</v>
      </c>
      <c r="B37" s="14" t="s">
        <v>6545</v>
      </c>
      <c r="C37" s="31" t="s">
        <v>6546</v>
      </c>
      <c r="D37" s="17">
        <v>44135</v>
      </c>
      <c r="E37" s="14" t="s">
        <v>30</v>
      </c>
      <c r="F37" s="14">
        <v>276</v>
      </c>
      <c r="G37" s="14">
        <v>50</v>
      </c>
      <c r="H37" s="14">
        <v>15</v>
      </c>
      <c r="I37" s="14">
        <v>8</v>
      </c>
      <c r="J37" s="14" t="s">
        <v>31</v>
      </c>
      <c r="K37" s="14" cm="1">
        <f t="array" ref="K37">INT(SUMPRODUCT(--ISNUMBER(SEARCH(economy,C37)))&gt;0)</f>
        <v>0</v>
      </c>
      <c r="L37" s="14" cm="1">
        <f t="array" ref="L37">INT(SUMPRODUCT(--ISNUMBER(SEARCH(healthcare,C37)))&gt;0)</f>
        <v>0</v>
      </c>
      <c r="M37" s="14" cm="1">
        <f t="array" ref="M37">INT(SUMPRODUCT(--ISNUMBER(SEARCH(supreme,C37)))&gt;0)</f>
        <v>0</v>
      </c>
      <c r="N37" s="14" cm="1">
        <f t="array" ref="N37">INT(SUMPRODUCT(--ISNUMBER(SEARCH(covid,C37)))&gt;0)</f>
        <v>0</v>
      </c>
      <c r="O37" s="14" cm="1">
        <f t="array" ref="O37">INT(SUMPRODUCT(--ISNUMBER(SEARCH(violent,C37)))&gt;0)</f>
        <v>0</v>
      </c>
      <c r="P37" s="14" cm="1">
        <f t="array" ref="P37">INT(SUMPRODUCT(--ISNUMBER(SEARCH(foreign,C37)))&gt;0)</f>
        <v>0</v>
      </c>
      <c r="Q37" s="14" cm="1">
        <f t="array" ref="Q37">INT(SUMPRODUCT(--ISNUMBER(SEARCH(gun,C37)))&gt;0)</f>
        <v>0</v>
      </c>
      <c r="R37" s="14" cm="1">
        <f t="array" ref="R37">INT(SUMPRODUCT(--ISNUMBER(SEARCH(race,C37)))&gt;0)</f>
        <v>0</v>
      </c>
      <c r="S37" s="14" cm="1">
        <f t="array" ref="S37">INT(SUMPRODUCT(--ISNUMBER(SEARCH(immigration,C37)))&gt;0)</f>
        <v>0</v>
      </c>
      <c r="T37" s="14" cm="1">
        <f t="array" ref="T37">INT(SUMPRODUCT(--ISNUMBER(SEARCH(econineq,C38)))&gt;0)</f>
        <v>0</v>
      </c>
      <c r="U37" s="14" cm="1">
        <f t="array" ref="U37">INT(SUMPRODUCT(--ISNUMBER(SEARCH(climate,C37)))&gt;0)</f>
        <v>0</v>
      </c>
      <c r="V37" s="14" cm="1">
        <f t="array" ref="V37">INT(SUMPRODUCT(--ISNUMBER(SEARCH(abortion,C37)))&gt;0)</f>
        <v>0</v>
      </c>
      <c r="W37" s="14" cm="1">
        <f t="array" ref="W37">INT(SUMPRODUCT(--ISNUMBER(SEARCH(trump,C37)))&gt;0)</f>
        <v>0</v>
      </c>
      <c r="X37" s="14" cm="1">
        <f t="array" ref="X37">INT(SUMPRODUCT(--ISNUMBER(SEARCH(voting,C37)))&gt;0)</f>
        <v>0</v>
      </c>
      <c r="Y37" s="35" cm="1">
        <f t="array" ref="Y37">INT(SUMPRODUCT(--ISNUMBER(SEARCH(republicantrigger,C37)))&gt;0)</f>
        <v>0</v>
      </c>
      <c r="Z37" s="35" cm="1">
        <f t="array" ref="Z37">INT(SUMPRODUCT(--ISNUMBER(SEARCH(bipartisan,C37)))&gt;0)</f>
        <v>0</v>
      </c>
      <c r="AA37" s="35">
        <f t="shared" si="0"/>
        <v>1</v>
      </c>
      <c r="AB37" s="14"/>
      <c r="AC37" s="30">
        <v>1</v>
      </c>
      <c r="AD37" s="37">
        <v>0</v>
      </c>
    </row>
    <row r="38" spans="1:30" x14ac:dyDescent="0.25">
      <c r="A38" s="36">
        <v>3261</v>
      </c>
      <c r="B38" s="14" t="s">
        <v>6547</v>
      </c>
      <c r="C38" s="31" t="s">
        <v>6548</v>
      </c>
      <c r="D38" s="17">
        <v>44134</v>
      </c>
      <c r="E38" s="14" t="s">
        <v>30</v>
      </c>
      <c r="F38" s="14">
        <v>78</v>
      </c>
      <c r="G38" s="14">
        <v>37</v>
      </c>
      <c r="H38" s="14">
        <v>15</v>
      </c>
      <c r="I38" s="14">
        <v>8</v>
      </c>
      <c r="J38" s="14" t="s">
        <v>31</v>
      </c>
      <c r="K38" s="14" cm="1">
        <f t="array" ref="K38">INT(SUMPRODUCT(--ISNUMBER(SEARCH(economy,C38)))&gt;0)</f>
        <v>0</v>
      </c>
      <c r="L38" s="14" cm="1">
        <f t="array" ref="L38">INT(SUMPRODUCT(--ISNUMBER(SEARCH(healthcare,C38)))&gt;0)</f>
        <v>0</v>
      </c>
      <c r="M38" s="14" cm="1">
        <f t="array" ref="M38">INT(SUMPRODUCT(--ISNUMBER(SEARCH(supreme,C38)))&gt;0)</f>
        <v>0</v>
      </c>
      <c r="N38" s="14" cm="1">
        <f t="array" ref="N38">INT(SUMPRODUCT(--ISNUMBER(SEARCH(covid,C38)))&gt;0)</f>
        <v>0</v>
      </c>
      <c r="O38" s="14" cm="1">
        <f t="array" ref="O38">INT(SUMPRODUCT(--ISNUMBER(SEARCH(violent,C38)))&gt;0)</f>
        <v>0</v>
      </c>
      <c r="P38" s="14" cm="1">
        <f t="array" ref="P38">INT(SUMPRODUCT(--ISNUMBER(SEARCH(foreign,C38)))&gt;0)</f>
        <v>0</v>
      </c>
      <c r="Q38" s="14" cm="1">
        <f t="array" ref="Q38">INT(SUMPRODUCT(--ISNUMBER(SEARCH(gun,C38)))&gt;0)</f>
        <v>0</v>
      </c>
      <c r="R38" s="14" cm="1">
        <f t="array" ref="R38">INT(SUMPRODUCT(--ISNUMBER(SEARCH(race,C38)))&gt;0)</f>
        <v>0</v>
      </c>
      <c r="S38" s="14" cm="1">
        <f t="array" ref="S38">INT(SUMPRODUCT(--ISNUMBER(SEARCH(immigration,C38)))&gt;0)</f>
        <v>0</v>
      </c>
      <c r="T38" s="14" cm="1">
        <f t="array" ref="T38">INT(SUMPRODUCT(--ISNUMBER(SEARCH(econineq,C39)))&gt;0)</f>
        <v>0</v>
      </c>
      <c r="U38" s="14" cm="1">
        <f t="array" ref="U38">INT(SUMPRODUCT(--ISNUMBER(SEARCH(climate,C38)))&gt;0)</f>
        <v>0</v>
      </c>
      <c r="V38" s="14" cm="1">
        <f t="array" ref="V38">INT(SUMPRODUCT(--ISNUMBER(SEARCH(abortion,C38)))&gt;0)</f>
        <v>0</v>
      </c>
      <c r="W38" s="14" cm="1">
        <f t="array" ref="W38">INT(SUMPRODUCT(--ISNUMBER(SEARCH(trump,C38)))&gt;0)</f>
        <v>0</v>
      </c>
      <c r="X38" s="14" cm="1">
        <f t="array" ref="X38">INT(SUMPRODUCT(--ISNUMBER(SEARCH(voting,C38)))&gt;0)</f>
        <v>1</v>
      </c>
      <c r="Y38" s="35" cm="1">
        <f t="array" ref="Y38">INT(SUMPRODUCT(--ISNUMBER(SEARCH(republicantrigger,C38)))&gt;0)</f>
        <v>1</v>
      </c>
      <c r="Z38" s="35" cm="1">
        <f t="array" ref="Z38">INT(SUMPRODUCT(--ISNUMBER(SEARCH(bipartisan,C38)))&gt;0)</f>
        <v>0</v>
      </c>
      <c r="AA38" s="35">
        <f t="shared" si="0"/>
        <v>0</v>
      </c>
      <c r="AB38" s="14"/>
      <c r="AC38" s="30">
        <v>0</v>
      </c>
      <c r="AD38" s="37">
        <v>1</v>
      </c>
    </row>
    <row r="39" spans="1:30" x14ac:dyDescent="0.25">
      <c r="A39" s="36">
        <v>3262</v>
      </c>
      <c r="B39" s="14" t="s">
        <v>6549</v>
      </c>
      <c r="C39" s="31" t="s">
        <v>6550</v>
      </c>
      <c r="D39" s="17">
        <v>44134</v>
      </c>
      <c r="E39" s="14" t="s">
        <v>30</v>
      </c>
      <c r="F39" s="14">
        <v>94</v>
      </c>
      <c r="G39" s="14">
        <v>13</v>
      </c>
      <c r="H39" s="14">
        <v>15</v>
      </c>
      <c r="I39" s="14">
        <v>8</v>
      </c>
      <c r="J39" s="14" t="s">
        <v>31</v>
      </c>
      <c r="K39" s="14" cm="1">
        <f t="array" ref="K39">INT(SUMPRODUCT(--ISNUMBER(SEARCH(economy,C39)))&gt;0)</f>
        <v>0</v>
      </c>
      <c r="L39" s="14" cm="1">
        <f t="array" ref="L39">INT(SUMPRODUCT(--ISNUMBER(SEARCH(healthcare,C39)))&gt;0)</f>
        <v>0</v>
      </c>
      <c r="M39" s="14" cm="1">
        <f t="array" ref="M39">INT(SUMPRODUCT(--ISNUMBER(SEARCH(supreme,C39)))&gt;0)</f>
        <v>0</v>
      </c>
      <c r="N39" s="14" cm="1">
        <f t="array" ref="N39">INT(SUMPRODUCT(--ISNUMBER(SEARCH(covid,C39)))&gt;0)</f>
        <v>0</v>
      </c>
      <c r="O39" s="14" cm="1">
        <f t="array" ref="O39">INT(SUMPRODUCT(--ISNUMBER(SEARCH(violent,C39)))&gt;0)</f>
        <v>0</v>
      </c>
      <c r="P39" s="14" cm="1">
        <f t="array" ref="P39">INT(SUMPRODUCT(--ISNUMBER(SEARCH(foreign,C39)))&gt;0)</f>
        <v>0</v>
      </c>
      <c r="Q39" s="14" cm="1">
        <f t="array" ref="Q39">INT(SUMPRODUCT(--ISNUMBER(SEARCH(gun,C39)))&gt;0)</f>
        <v>0</v>
      </c>
      <c r="R39" s="14" cm="1">
        <f t="array" ref="R39">INT(SUMPRODUCT(--ISNUMBER(SEARCH(race,C39)))&gt;0)</f>
        <v>0</v>
      </c>
      <c r="S39" s="14" cm="1">
        <f t="array" ref="S39">INT(SUMPRODUCT(--ISNUMBER(SEARCH(immigration,C39)))&gt;0)</f>
        <v>0</v>
      </c>
      <c r="T39" s="14" cm="1">
        <f t="array" ref="T39">INT(SUMPRODUCT(--ISNUMBER(SEARCH(econineq,C40)))&gt;0)</f>
        <v>0</v>
      </c>
      <c r="U39" s="14" cm="1">
        <f t="array" ref="U39">INT(SUMPRODUCT(--ISNUMBER(SEARCH(climate,C39)))&gt;0)</f>
        <v>0</v>
      </c>
      <c r="V39" s="14" cm="1">
        <f t="array" ref="V39">INT(SUMPRODUCT(--ISNUMBER(SEARCH(abortion,C39)))&gt;0)</f>
        <v>0</v>
      </c>
      <c r="W39" s="14" cm="1">
        <f t="array" ref="W39">INT(SUMPRODUCT(--ISNUMBER(SEARCH(trump,C39)))&gt;0)</f>
        <v>0</v>
      </c>
      <c r="X39" s="14" cm="1">
        <f t="array" ref="X39">INT(SUMPRODUCT(--ISNUMBER(SEARCH(voting,C39)))&gt;0)</f>
        <v>0</v>
      </c>
      <c r="Y39" s="35" cm="1">
        <f t="array" ref="Y39">INT(SUMPRODUCT(--ISNUMBER(SEARCH(republicantrigger,C39)))&gt;0)</f>
        <v>0</v>
      </c>
      <c r="Z39" s="35" cm="1">
        <f t="array" ref="Z39">INT(SUMPRODUCT(--ISNUMBER(SEARCH(bipartisan,C39)))&gt;0)</f>
        <v>0</v>
      </c>
      <c r="AA39" s="35">
        <f t="shared" si="0"/>
        <v>1</v>
      </c>
      <c r="AB39" s="14"/>
      <c r="AC39" s="30" t="s">
        <v>223</v>
      </c>
      <c r="AD39" s="37" t="s">
        <v>223</v>
      </c>
    </row>
    <row r="40" spans="1:30" x14ac:dyDescent="0.25">
      <c r="A40" s="36">
        <v>3263</v>
      </c>
      <c r="B40" s="14" t="s">
        <v>6551</v>
      </c>
      <c r="C40" s="31" t="s">
        <v>6552</v>
      </c>
      <c r="D40" s="17">
        <v>44134</v>
      </c>
      <c r="E40" s="14" t="s">
        <v>30</v>
      </c>
      <c r="F40" s="14">
        <v>636</v>
      </c>
      <c r="G40" s="14">
        <v>115</v>
      </c>
      <c r="H40" s="14">
        <v>15</v>
      </c>
      <c r="I40" s="14">
        <v>8</v>
      </c>
      <c r="J40" s="14" t="s">
        <v>31</v>
      </c>
      <c r="K40" s="14" cm="1">
        <f t="array" ref="K40">INT(SUMPRODUCT(--ISNUMBER(SEARCH(economy,C40)))&gt;0)</f>
        <v>1</v>
      </c>
      <c r="L40" s="14" cm="1">
        <f t="array" ref="L40">INT(SUMPRODUCT(--ISNUMBER(SEARCH(healthcare,C40)))&gt;0)</f>
        <v>0</v>
      </c>
      <c r="M40" s="14" cm="1">
        <f t="array" ref="M40">INT(SUMPRODUCT(--ISNUMBER(SEARCH(supreme,C40)))&gt;0)</f>
        <v>0</v>
      </c>
      <c r="N40" s="14" cm="1">
        <f t="array" ref="N40">INT(SUMPRODUCT(--ISNUMBER(SEARCH(covid,C40)))&gt;0)</f>
        <v>0</v>
      </c>
      <c r="O40" s="14" cm="1">
        <f t="array" ref="O40">INT(SUMPRODUCT(--ISNUMBER(SEARCH(violent,C40)))&gt;0)</f>
        <v>0</v>
      </c>
      <c r="P40" s="14" cm="1">
        <f t="array" ref="P40">INT(SUMPRODUCT(--ISNUMBER(SEARCH(foreign,C40)))&gt;0)</f>
        <v>0</v>
      </c>
      <c r="Q40" s="14" cm="1">
        <f t="array" ref="Q40">INT(SUMPRODUCT(--ISNUMBER(SEARCH(gun,C40)))&gt;0)</f>
        <v>0</v>
      </c>
      <c r="R40" s="14" cm="1">
        <f t="array" ref="R40">INT(SUMPRODUCT(--ISNUMBER(SEARCH(race,C40)))&gt;0)</f>
        <v>0</v>
      </c>
      <c r="S40" s="14" cm="1">
        <f t="array" ref="S40">INT(SUMPRODUCT(--ISNUMBER(SEARCH(immigration,C40)))&gt;0)</f>
        <v>0</v>
      </c>
      <c r="T40" s="14" cm="1">
        <f t="array" ref="T40">INT(SUMPRODUCT(--ISNUMBER(SEARCH(econineq,C41)))&gt;0)</f>
        <v>0</v>
      </c>
      <c r="U40" s="14" cm="1">
        <f t="array" ref="U40">INT(SUMPRODUCT(--ISNUMBER(SEARCH(climate,C40)))&gt;0)</f>
        <v>0</v>
      </c>
      <c r="V40" s="14" cm="1">
        <f t="array" ref="V40">INT(SUMPRODUCT(--ISNUMBER(SEARCH(abortion,C40)))&gt;0)</f>
        <v>0</v>
      </c>
      <c r="W40" s="14" cm="1">
        <f t="array" ref="W40">INT(SUMPRODUCT(--ISNUMBER(SEARCH(trump,C40)))&gt;0)</f>
        <v>0</v>
      </c>
      <c r="X40" s="14" cm="1">
        <f t="array" ref="X40">INT(SUMPRODUCT(--ISNUMBER(SEARCH(voting,C40)))&gt;0)</f>
        <v>1</v>
      </c>
      <c r="Y40" s="35" cm="1">
        <f t="array" ref="Y40">INT(SUMPRODUCT(--ISNUMBER(SEARCH(republicantrigger,C40)))&gt;0)</f>
        <v>0</v>
      </c>
      <c r="Z40" s="35" cm="1">
        <f t="array" ref="Z40">INT(SUMPRODUCT(--ISNUMBER(SEARCH(bipartisan,C40)))&gt;0)</f>
        <v>0</v>
      </c>
      <c r="AA40" s="35">
        <f t="shared" si="0"/>
        <v>0</v>
      </c>
      <c r="AB40" s="14"/>
      <c r="AC40" s="30">
        <v>1</v>
      </c>
      <c r="AD40" s="37">
        <v>0</v>
      </c>
    </row>
    <row r="41" spans="1:30" x14ac:dyDescent="0.25">
      <c r="A41" s="36">
        <v>3264</v>
      </c>
      <c r="B41" s="14" t="s">
        <v>6553</v>
      </c>
      <c r="C41" s="31" t="s">
        <v>6554</v>
      </c>
      <c r="D41" s="17">
        <v>44134</v>
      </c>
      <c r="E41" s="14" t="s">
        <v>30</v>
      </c>
      <c r="F41" s="14">
        <v>41</v>
      </c>
      <c r="G41" s="14">
        <v>16</v>
      </c>
      <c r="H41" s="14">
        <v>15</v>
      </c>
      <c r="I41" s="14">
        <v>8</v>
      </c>
      <c r="J41" s="14" t="s">
        <v>31</v>
      </c>
      <c r="K41" s="14" cm="1">
        <f t="array" ref="K41">INT(SUMPRODUCT(--ISNUMBER(SEARCH(economy,C41)))&gt;0)</f>
        <v>0</v>
      </c>
      <c r="L41" s="14" cm="1">
        <f t="array" ref="L41">INT(SUMPRODUCT(--ISNUMBER(SEARCH(healthcare,C41)))&gt;0)</f>
        <v>0</v>
      </c>
      <c r="M41" s="14" cm="1">
        <f t="array" ref="M41">INT(SUMPRODUCT(--ISNUMBER(SEARCH(supreme,C41)))&gt;0)</f>
        <v>0</v>
      </c>
      <c r="N41" s="14" cm="1">
        <f t="array" ref="N41">INT(SUMPRODUCT(--ISNUMBER(SEARCH(covid,C41)))&gt;0)</f>
        <v>0</v>
      </c>
      <c r="O41" s="14" cm="1">
        <f t="array" ref="O41">INT(SUMPRODUCT(--ISNUMBER(SEARCH(violent,C41)))&gt;0)</f>
        <v>0</v>
      </c>
      <c r="P41" s="14" cm="1">
        <f t="array" ref="P41">INT(SUMPRODUCT(--ISNUMBER(SEARCH(foreign,C41)))&gt;0)</f>
        <v>0</v>
      </c>
      <c r="Q41" s="14" cm="1">
        <f t="array" ref="Q41">INT(SUMPRODUCT(--ISNUMBER(SEARCH(gun,C41)))&gt;0)</f>
        <v>0</v>
      </c>
      <c r="R41" s="14" cm="1">
        <f t="array" ref="R41">INT(SUMPRODUCT(--ISNUMBER(SEARCH(race,C41)))&gt;0)</f>
        <v>0</v>
      </c>
      <c r="S41" s="14" cm="1">
        <f t="array" ref="S41">INT(SUMPRODUCT(--ISNUMBER(SEARCH(immigration,C41)))&gt;0)</f>
        <v>0</v>
      </c>
      <c r="T41" s="14" cm="1">
        <f t="array" ref="T41">INT(SUMPRODUCT(--ISNUMBER(SEARCH(econineq,C42)))&gt;0)</f>
        <v>0</v>
      </c>
      <c r="U41" s="14" cm="1">
        <f t="array" ref="U41">INT(SUMPRODUCT(--ISNUMBER(SEARCH(climate,C41)))&gt;0)</f>
        <v>0</v>
      </c>
      <c r="V41" s="14" cm="1">
        <f t="array" ref="V41">INT(SUMPRODUCT(--ISNUMBER(SEARCH(abortion,C41)))&gt;0)</f>
        <v>0</v>
      </c>
      <c r="W41" s="14" cm="1">
        <f t="array" ref="W41">INT(SUMPRODUCT(--ISNUMBER(SEARCH(trump,C41)))&gt;0)</f>
        <v>0</v>
      </c>
      <c r="X41" s="14" cm="1">
        <f t="array" ref="X41">INT(SUMPRODUCT(--ISNUMBER(SEARCH(voting,C41)))&gt;0)</f>
        <v>1</v>
      </c>
      <c r="Y41" s="35" cm="1">
        <f t="array" ref="Y41">INT(SUMPRODUCT(--ISNUMBER(SEARCH(republicantrigger,C41)))&gt;0)</f>
        <v>0</v>
      </c>
      <c r="Z41" s="35" cm="1">
        <f t="array" ref="Z41">INT(SUMPRODUCT(--ISNUMBER(SEARCH(bipartisan,C41)))&gt;0)</f>
        <v>0</v>
      </c>
      <c r="AA41" s="35">
        <f t="shared" si="0"/>
        <v>0</v>
      </c>
      <c r="AB41" s="14"/>
      <c r="AC41" s="30">
        <v>0</v>
      </c>
      <c r="AD41" s="37">
        <v>1</v>
      </c>
    </row>
    <row r="42" spans="1:30" x14ac:dyDescent="0.25">
      <c r="A42" s="36">
        <v>3265</v>
      </c>
      <c r="B42" s="14" t="s">
        <v>6555</v>
      </c>
      <c r="C42" s="31" t="s">
        <v>6556</v>
      </c>
      <c r="D42" s="17">
        <v>44134</v>
      </c>
      <c r="E42" s="14" t="s">
        <v>30</v>
      </c>
      <c r="F42" s="14">
        <v>58</v>
      </c>
      <c r="G42" s="14">
        <v>26</v>
      </c>
      <c r="H42" s="14">
        <v>15</v>
      </c>
      <c r="I42" s="14">
        <v>8</v>
      </c>
      <c r="J42" s="14" t="s">
        <v>31</v>
      </c>
      <c r="K42" s="14" cm="1">
        <f t="array" ref="K42">INT(SUMPRODUCT(--ISNUMBER(SEARCH(economy,C42)))&gt;0)</f>
        <v>0</v>
      </c>
      <c r="L42" s="14" cm="1">
        <f t="array" ref="L42">INT(SUMPRODUCT(--ISNUMBER(SEARCH(healthcare,C42)))&gt;0)</f>
        <v>0</v>
      </c>
      <c r="M42" s="14" cm="1">
        <f t="array" ref="M42">INT(SUMPRODUCT(--ISNUMBER(SEARCH(supreme,C42)))&gt;0)</f>
        <v>0</v>
      </c>
      <c r="N42" s="14" cm="1">
        <f t="array" ref="N42">INT(SUMPRODUCT(--ISNUMBER(SEARCH(covid,C42)))&gt;0)</f>
        <v>0</v>
      </c>
      <c r="O42" s="14" cm="1">
        <f t="array" ref="O42">INT(SUMPRODUCT(--ISNUMBER(SEARCH(violent,C42)))&gt;0)</f>
        <v>0</v>
      </c>
      <c r="P42" s="14" cm="1">
        <f t="array" ref="P42">INT(SUMPRODUCT(--ISNUMBER(SEARCH(foreign,C42)))&gt;0)</f>
        <v>0</v>
      </c>
      <c r="Q42" s="14" cm="1">
        <f t="array" ref="Q42">INT(SUMPRODUCT(--ISNUMBER(SEARCH(gun,C42)))&gt;0)</f>
        <v>0</v>
      </c>
      <c r="R42" s="14" cm="1">
        <f t="array" ref="R42">INT(SUMPRODUCT(--ISNUMBER(SEARCH(race,C42)))&gt;0)</f>
        <v>0</v>
      </c>
      <c r="S42" s="14" cm="1">
        <f t="array" ref="S42">INT(SUMPRODUCT(--ISNUMBER(SEARCH(immigration,C42)))&gt;0)</f>
        <v>0</v>
      </c>
      <c r="T42" s="14" cm="1">
        <f t="array" ref="T42">INT(SUMPRODUCT(--ISNUMBER(SEARCH(econineq,C43)))&gt;0)</f>
        <v>0</v>
      </c>
      <c r="U42" s="14" cm="1">
        <f t="array" ref="U42">INT(SUMPRODUCT(--ISNUMBER(SEARCH(climate,C42)))&gt;0)</f>
        <v>0</v>
      </c>
      <c r="V42" s="14" cm="1">
        <f t="array" ref="V42">INT(SUMPRODUCT(--ISNUMBER(SEARCH(abortion,C42)))&gt;0)</f>
        <v>0</v>
      </c>
      <c r="W42" s="14" cm="1">
        <f t="array" ref="W42">INT(SUMPRODUCT(--ISNUMBER(SEARCH(trump,C42)))&gt;0)</f>
        <v>0</v>
      </c>
      <c r="X42" s="14" cm="1">
        <f t="array" ref="X42">INT(SUMPRODUCT(--ISNUMBER(SEARCH(voting,C42)))&gt;0)</f>
        <v>0</v>
      </c>
      <c r="Y42" s="35" cm="1">
        <f t="array" ref="Y42">INT(SUMPRODUCT(--ISNUMBER(SEARCH(republicantrigger,C42)))&gt;0)</f>
        <v>1</v>
      </c>
      <c r="Z42" s="35" cm="1">
        <f t="array" ref="Z42">INT(SUMPRODUCT(--ISNUMBER(SEARCH(bipartisan,C42)))&gt;0)</f>
        <v>0</v>
      </c>
      <c r="AA42" s="35">
        <f t="shared" si="0"/>
        <v>0</v>
      </c>
      <c r="AB42" s="14"/>
      <c r="AC42" s="30">
        <v>0</v>
      </c>
      <c r="AD42" s="37">
        <v>1</v>
      </c>
    </row>
    <row r="43" spans="1:30" x14ac:dyDescent="0.25">
      <c r="A43" s="36">
        <v>3266</v>
      </c>
      <c r="B43" s="14" t="s">
        <v>6557</v>
      </c>
      <c r="C43" s="31" t="s">
        <v>6558</v>
      </c>
      <c r="D43" s="17">
        <v>44134</v>
      </c>
      <c r="E43" s="14" t="s">
        <v>30</v>
      </c>
      <c r="F43" s="14">
        <v>76</v>
      </c>
      <c r="G43" s="14">
        <v>20</v>
      </c>
      <c r="H43" s="14">
        <v>15</v>
      </c>
      <c r="I43" s="14">
        <v>8</v>
      </c>
      <c r="J43" s="14" t="s">
        <v>31</v>
      </c>
      <c r="K43" s="14" cm="1">
        <f t="array" ref="K43">INT(SUMPRODUCT(--ISNUMBER(SEARCH(economy,C43)))&gt;0)</f>
        <v>0</v>
      </c>
      <c r="L43" s="14" cm="1">
        <f t="array" ref="L43">INT(SUMPRODUCT(--ISNUMBER(SEARCH(healthcare,C43)))&gt;0)</f>
        <v>0</v>
      </c>
      <c r="M43" s="14" cm="1">
        <f t="array" ref="M43">INT(SUMPRODUCT(--ISNUMBER(SEARCH(supreme,C43)))&gt;0)</f>
        <v>0</v>
      </c>
      <c r="N43" s="14" cm="1">
        <f t="array" ref="N43">INT(SUMPRODUCT(--ISNUMBER(SEARCH(covid,C43)))&gt;0)</f>
        <v>0</v>
      </c>
      <c r="O43" s="14" cm="1">
        <f t="array" ref="O43">INT(SUMPRODUCT(--ISNUMBER(SEARCH(violent,C43)))&gt;0)</f>
        <v>0</v>
      </c>
      <c r="P43" s="14" cm="1">
        <f t="array" ref="P43">INT(SUMPRODUCT(--ISNUMBER(SEARCH(foreign,C43)))&gt;0)</f>
        <v>1</v>
      </c>
      <c r="Q43" s="14" cm="1">
        <f t="array" ref="Q43">INT(SUMPRODUCT(--ISNUMBER(SEARCH(gun,C43)))&gt;0)</f>
        <v>0</v>
      </c>
      <c r="R43" s="14" cm="1">
        <f t="array" ref="R43">INT(SUMPRODUCT(--ISNUMBER(SEARCH(race,C43)))&gt;0)</f>
        <v>0</v>
      </c>
      <c r="S43" s="14" cm="1">
        <f t="array" ref="S43">INT(SUMPRODUCT(--ISNUMBER(SEARCH(immigration,C43)))&gt;0)</f>
        <v>0</v>
      </c>
      <c r="T43" s="14" cm="1">
        <f t="array" ref="T43">INT(SUMPRODUCT(--ISNUMBER(SEARCH(econineq,C44)))&gt;0)</f>
        <v>0</v>
      </c>
      <c r="U43" s="14" cm="1">
        <f t="array" ref="U43">INT(SUMPRODUCT(--ISNUMBER(SEARCH(climate,C43)))&gt;0)</f>
        <v>0</v>
      </c>
      <c r="V43" s="14" cm="1">
        <f t="array" ref="V43">INT(SUMPRODUCT(--ISNUMBER(SEARCH(abortion,C43)))&gt;0)</f>
        <v>0</v>
      </c>
      <c r="W43" s="14" cm="1">
        <f t="array" ref="W43">INT(SUMPRODUCT(--ISNUMBER(SEARCH(trump,C43)))&gt;0)</f>
        <v>0</v>
      </c>
      <c r="X43" s="14" cm="1">
        <f t="array" ref="X43">INT(SUMPRODUCT(--ISNUMBER(SEARCH(voting,C43)))&gt;0)</f>
        <v>0</v>
      </c>
      <c r="Y43" s="35" cm="1">
        <f t="array" ref="Y43">INT(SUMPRODUCT(--ISNUMBER(SEARCH(republicantrigger,C43)))&gt;0)</f>
        <v>1</v>
      </c>
      <c r="Z43" s="35" cm="1">
        <f t="array" ref="Z43">INT(SUMPRODUCT(--ISNUMBER(SEARCH(bipartisan,C43)))&gt;0)</f>
        <v>0</v>
      </c>
      <c r="AA43" s="35">
        <f t="shared" si="0"/>
        <v>0</v>
      </c>
      <c r="AB43" s="14"/>
      <c r="AC43" s="30" t="s">
        <v>223</v>
      </c>
      <c r="AD43" s="37" t="s">
        <v>223</v>
      </c>
    </row>
    <row r="44" spans="1:30" x14ac:dyDescent="0.25">
      <c r="A44" s="36">
        <v>3267</v>
      </c>
      <c r="B44" s="14" t="s">
        <v>6559</v>
      </c>
      <c r="C44" s="31" t="s">
        <v>6560</v>
      </c>
      <c r="D44" s="17">
        <v>44134</v>
      </c>
      <c r="E44" s="14" t="s">
        <v>30</v>
      </c>
      <c r="F44" s="14">
        <v>48</v>
      </c>
      <c r="G44" s="14">
        <v>15</v>
      </c>
      <c r="H44" s="14">
        <v>15</v>
      </c>
      <c r="I44" s="14">
        <v>8</v>
      </c>
      <c r="J44" s="14" t="s">
        <v>31</v>
      </c>
      <c r="K44" s="14" cm="1">
        <f t="array" ref="K44">INT(SUMPRODUCT(--ISNUMBER(SEARCH(economy,C44)))&gt;0)</f>
        <v>0</v>
      </c>
      <c r="L44" s="14" cm="1">
        <f t="array" ref="L44">INT(SUMPRODUCT(--ISNUMBER(SEARCH(healthcare,C44)))&gt;0)</f>
        <v>0</v>
      </c>
      <c r="M44" s="14" cm="1">
        <f t="array" ref="M44">INT(SUMPRODUCT(--ISNUMBER(SEARCH(supreme,C44)))&gt;0)</f>
        <v>0</v>
      </c>
      <c r="N44" s="14" cm="1">
        <f t="array" ref="N44">INT(SUMPRODUCT(--ISNUMBER(SEARCH(covid,C44)))&gt;0)</f>
        <v>0</v>
      </c>
      <c r="O44" s="14" cm="1">
        <f t="array" ref="O44">INT(SUMPRODUCT(--ISNUMBER(SEARCH(violent,C44)))&gt;0)</f>
        <v>0</v>
      </c>
      <c r="P44" s="14" cm="1">
        <f t="array" ref="P44">INT(SUMPRODUCT(--ISNUMBER(SEARCH(foreign,C44)))&gt;0)</f>
        <v>0</v>
      </c>
      <c r="Q44" s="14" cm="1">
        <f t="array" ref="Q44">INT(SUMPRODUCT(--ISNUMBER(SEARCH(gun,C44)))&gt;0)</f>
        <v>0</v>
      </c>
      <c r="R44" s="14" cm="1">
        <f t="array" ref="R44">INT(SUMPRODUCT(--ISNUMBER(SEARCH(race,C44)))&gt;0)</f>
        <v>0</v>
      </c>
      <c r="S44" s="14" cm="1">
        <f t="array" ref="S44">INT(SUMPRODUCT(--ISNUMBER(SEARCH(immigration,C44)))&gt;0)</f>
        <v>0</v>
      </c>
      <c r="T44" s="14" cm="1">
        <f t="array" ref="T44">INT(SUMPRODUCT(--ISNUMBER(SEARCH(econineq,C45)))&gt;0)</f>
        <v>0</v>
      </c>
      <c r="U44" s="14" cm="1">
        <f t="array" ref="U44">INT(SUMPRODUCT(--ISNUMBER(SEARCH(climate,C44)))&gt;0)</f>
        <v>0</v>
      </c>
      <c r="V44" s="14" cm="1">
        <f t="array" ref="V44">INT(SUMPRODUCT(--ISNUMBER(SEARCH(abortion,C44)))&gt;0)</f>
        <v>0</v>
      </c>
      <c r="W44" s="14" cm="1">
        <f t="array" ref="W44">INT(SUMPRODUCT(--ISNUMBER(SEARCH(trump,C44)))&gt;0)</f>
        <v>0</v>
      </c>
      <c r="X44" s="14" cm="1">
        <f t="array" ref="X44">INT(SUMPRODUCT(--ISNUMBER(SEARCH(voting,C44)))&gt;0)</f>
        <v>0</v>
      </c>
      <c r="Y44" s="35" cm="1">
        <f t="array" ref="Y44">INT(SUMPRODUCT(--ISNUMBER(SEARCH(republicantrigger,C44)))&gt;0)</f>
        <v>1</v>
      </c>
      <c r="Z44" s="35" cm="1">
        <f t="array" ref="Z44">INT(SUMPRODUCT(--ISNUMBER(SEARCH(bipartisan,C44)))&gt;0)</f>
        <v>0</v>
      </c>
      <c r="AA44" s="35">
        <f t="shared" si="0"/>
        <v>0</v>
      </c>
      <c r="AB44" s="14"/>
      <c r="AC44" s="30">
        <v>1</v>
      </c>
      <c r="AD44" s="37">
        <v>0</v>
      </c>
    </row>
    <row r="45" spans="1:30" x14ac:dyDescent="0.25">
      <c r="A45" s="36">
        <v>3268</v>
      </c>
      <c r="B45" s="14" t="s">
        <v>6561</v>
      </c>
      <c r="C45" s="31" t="s">
        <v>6562</v>
      </c>
      <c r="D45" s="17">
        <v>44134</v>
      </c>
      <c r="E45" s="14" t="s">
        <v>30</v>
      </c>
      <c r="F45" s="14">
        <v>65</v>
      </c>
      <c r="G45" s="14">
        <v>21</v>
      </c>
      <c r="H45" s="14">
        <v>15</v>
      </c>
      <c r="I45" s="14">
        <v>8</v>
      </c>
      <c r="J45" s="14" t="s">
        <v>31</v>
      </c>
      <c r="K45" s="14" cm="1">
        <f t="array" ref="K45">INT(SUMPRODUCT(--ISNUMBER(SEARCH(economy,C45)))&gt;0)</f>
        <v>0</v>
      </c>
      <c r="L45" s="14" cm="1">
        <f t="array" ref="L45">INT(SUMPRODUCT(--ISNUMBER(SEARCH(healthcare,C45)))&gt;0)</f>
        <v>0</v>
      </c>
      <c r="M45" s="14" cm="1">
        <f t="array" ref="M45">INT(SUMPRODUCT(--ISNUMBER(SEARCH(supreme,C45)))&gt;0)</f>
        <v>0</v>
      </c>
      <c r="N45" s="14" cm="1">
        <f t="array" ref="N45">INT(SUMPRODUCT(--ISNUMBER(SEARCH(covid,C45)))&gt;0)</f>
        <v>0</v>
      </c>
      <c r="O45" s="14" cm="1">
        <f t="array" ref="O45">INT(SUMPRODUCT(--ISNUMBER(SEARCH(violent,C45)))&gt;0)</f>
        <v>0</v>
      </c>
      <c r="P45" s="14" cm="1">
        <f t="array" ref="P45">INT(SUMPRODUCT(--ISNUMBER(SEARCH(foreign,C45)))&gt;0)</f>
        <v>0</v>
      </c>
      <c r="Q45" s="14" cm="1">
        <f t="array" ref="Q45">INT(SUMPRODUCT(--ISNUMBER(SEARCH(gun,C45)))&gt;0)</f>
        <v>0</v>
      </c>
      <c r="R45" s="14" cm="1">
        <f t="array" ref="R45">INT(SUMPRODUCT(--ISNUMBER(SEARCH(race,C45)))&gt;0)</f>
        <v>0</v>
      </c>
      <c r="S45" s="14" cm="1">
        <f t="array" ref="S45">INT(SUMPRODUCT(--ISNUMBER(SEARCH(immigration,C45)))&gt;0)</f>
        <v>0</v>
      </c>
      <c r="T45" s="14" cm="1">
        <f t="array" ref="T45">INT(SUMPRODUCT(--ISNUMBER(SEARCH(econineq,C46)))&gt;0)</f>
        <v>0</v>
      </c>
      <c r="U45" s="14" cm="1">
        <f t="array" ref="U45">INT(SUMPRODUCT(--ISNUMBER(SEARCH(climate,C45)))&gt;0)</f>
        <v>0</v>
      </c>
      <c r="V45" s="14" cm="1">
        <f t="array" ref="V45">INT(SUMPRODUCT(--ISNUMBER(SEARCH(abortion,C45)))&gt;0)</f>
        <v>0</v>
      </c>
      <c r="W45" s="14" cm="1">
        <f t="array" ref="W45">INT(SUMPRODUCT(--ISNUMBER(SEARCH(trump,C45)))&gt;0)</f>
        <v>0</v>
      </c>
      <c r="X45" s="14" cm="1">
        <f t="array" ref="X45">INT(SUMPRODUCT(--ISNUMBER(SEARCH(voting,C45)))&gt;0)</f>
        <v>1</v>
      </c>
      <c r="Y45" s="35" cm="1">
        <f t="array" ref="Y45">INT(SUMPRODUCT(--ISNUMBER(SEARCH(republicantrigger,C45)))&gt;0)</f>
        <v>1</v>
      </c>
      <c r="Z45" s="35" cm="1">
        <f t="array" ref="Z45">INT(SUMPRODUCT(--ISNUMBER(SEARCH(bipartisan,C45)))&gt;0)</f>
        <v>0</v>
      </c>
      <c r="AA45" s="35">
        <f t="shared" si="0"/>
        <v>0</v>
      </c>
      <c r="AB45" s="14"/>
      <c r="AC45" s="30">
        <v>1</v>
      </c>
      <c r="AD45" s="37">
        <v>0</v>
      </c>
    </row>
    <row r="46" spans="1:30" x14ac:dyDescent="0.25">
      <c r="A46" s="36">
        <v>3269</v>
      </c>
      <c r="B46" s="14" t="s">
        <v>6563</v>
      </c>
      <c r="C46" s="31" t="s">
        <v>6564</v>
      </c>
      <c r="D46" s="17">
        <v>44134</v>
      </c>
      <c r="E46" s="14" t="s">
        <v>30</v>
      </c>
      <c r="F46" s="14">
        <v>59</v>
      </c>
      <c r="G46" s="14">
        <v>31</v>
      </c>
      <c r="H46" s="14">
        <v>15</v>
      </c>
      <c r="I46" s="14">
        <v>8</v>
      </c>
      <c r="J46" s="14" t="s">
        <v>31</v>
      </c>
      <c r="K46" s="14" cm="1">
        <f t="array" ref="K46">INT(SUMPRODUCT(--ISNUMBER(SEARCH(economy,C46)))&gt;0)</f>
        <v>0</v>
      </c>
      <c r="L46" s="14" cm="1">
        <f t="array" ref="L46">INT(SUMPRODUCT(--ISNUMBER(SEARCH(healthcare,C46)))&gt;0)</f>
        <v>0</v>
      </c>
      <c r="M46" s="14" cm="1">
        <f t="array" ref="M46">INT(SUMPRODUCT(--ISNUMBER(SEARCH(supreme,C46)))&gt;0)</f>
        <v>0</v>
      </c>
      <c r="N46" s="14" cm="1">
        <f t="array" ref="N46">INT(SUMPRODUCT(--ISNUMBER(SEARCH(covid,C46)))&gt;0)</f>
        <v>0</v>
      </c>
      <c r="O46" s="14" cm="1">
        <f t="array" ref="O46">INT(SUMPRODUCT(--ISNUMBER(SEARCH(violent,C46)))&gt;0)</f>
        <v>0</v>
      </c>
      <c r="P46" s="14" cm="1">
        <f t="array" ref="P46">INT(SUMPRODUCT(--ISNUMBER(SEARCH(foreign,C46)))&gt;0)</f>
        <v>0</v>
      </c>
      <c r="Q46" s="14" cm="1">
        <f t="array" ref="Q46">INT(SUMPRODUCT(--ISNUMBER(SEARCH(gun,C46)))&gt;0)</f>
        <v>0</v>
      </c>
      <c r="R46" s="14" cm="1">
        <f t="array" ref="R46">INT(SUMPRODUCT(--ISNUMBER(SEARCH(race,C46)))&gt;0)</f>
        <v>0</v>
      </c>
      <c r="S46" s="14" cm="1">
        <f t="array" ref="S46">INT(SUMPRODUCT(--ISNUMBER(SEARCH(immigration,C46)))&gt;0)</f>
        <v>0</v>
      </c>
      <c r="T46" s="14" cm="1">
        <f t="array" ref="T46">INT(SUMPRODUCT(--ISNUMBER(SEARCH(econineq,C47)))&gt;0)</f>
        <v>0</v>
      </c>
      <c r="U46" s="14" cm="1">
        <f t="array" ref="U46">INT(SUMPRODUCT(--ISNUMBER(SEARCH(climate,C46)))&gt;0)</f>
        <v>0</v>
      </c>
      <c r="V46" s="14" cm="1">
        <f t="array" ref="V46">INT(SUMPRODUCT(--ISNUMBER(SEARCH(abortion,C46)))&gt;0)</f>
        <v>0</v>
      </c>
      <c r="W46" s="14" cm="1">
        <f t="array" ref="W46">INT(SUMPRODUCT(--ISNUMBER(SEARCH(trump,C46)))&gt;0)</f>
        <v>0</v>
      </c>
      <c r="X46" s="14" cm="1">
        <f t="array" ref="X46">INT(SUMPRODUCT(--ISNUMBER(SEARCH(voting,C46)))&gt;0)</f>
        <v>0</v>
      </c>
      <c r="Y46" s="35" cm="1">
        <f t="array" ref="Y46">INT(SUMPRODUCT(--ISNUMBER(SEARCH(republicantrigger,C46)))&gt;0)</f>
        <v>1</v>
      </c>
      <c r="Z46" s="35" cm="1">
        <f t="array" ref="Z46">INT(SUMPRODUCT(--ISNUMBER(SEARCH(bipartisan,C46)))&gt;0)</f>
        <v>0</v>
      </c>
      <c r="AA46" s="35">
        <f t="shared" si="0"/>
        <v>0</v>
      </c>
      <c r="AB46" s="14"/>
      <c r="AC46" s="30">
        <v>0</v>
      </c>
      <c r="AD46" s="37">
        <v>1</v>
      </c>
    </row>
    <row r="47" spans="1:30" x14ac:dyDescent="0.25">
      <c r="A47" s="36">
        <v>3270</v>
      </c>
      <c r="B47" s="14" t="s">
        <v>6565</v>
      </c>
      <c r="C47" s="31" t="s">
        <v>6566</v>
      </c>
      <c r="D47" s="17">
        <v>44134</v>
      </c>
      <c r="E47" s="14" t="s">
        <v>30</v>
      </c>
      <c r="F47" s="14">
        <v>68</v>
      </c>
      <c r="G47" s="14">
        <v>28</v>
      </c>
      <c r="H47" s="14">
        <v>15</v>
      </c>
      <c r="I47" s="14">
        <v>8</v>
      </c>
      <c r="J47" s="14" t="s">
        <v>31</v>
      </c>
      <c r="K47" s="14" cm="1">
        <f t="array" ref="K47">INT(SUMPRODUCT(--ISNUMBER(SEARCH(economy,C47)))&gt;0)</f>
        <v>0</v>
      </c>
      <c r="L47" s="14" cm="1">
        <f t="array" ref="L47">INT(SUMPRODUCT(--ISNUMBER(SEARCH(healthcare,C47)))&gt;0)</f>
        <v>0</v>
      </c>
      <c r="M47" s="14" cm="1">
        <f t="array" ref="M47">INT(SUMPRODUCT(--ISNUMBER(SEARCH(supreme,C47)))&gt;0)</f>
        <v>0</v>
      </c>
      <c r="N47" s="14" cm="1">
        <f t="array" ref="N47">INT(SUMPRODUCT(--ISNUMBER(SEARCH(covid,C47)))&gt;0)</f>
        <v>0</v>
      </c>
      <c r="O47" s="14" cm="1">
        <f t="array" ref="O47">INT(SUMPRODUCT(--ISNUMBER(SEARCH(violent,C47)))&gt;0)</f>
        <v>0</v>
      </c>
      <c r="P47" s="14" cm="1">
        <f t="array" ref="P47">INT(SUMPRODUCT(--ISNUMBER(SEARCH(foreign,C47)))&gt;0)</f>
        <v>0</v>
      </c>
      <c r="Q47" s="14" cm="1">
        <f t="array" ref="Q47">INT(SUMPRODUCT(--ISNUMBER(SEARCH(gun,C47)))&gt;0)</f>
        <v>0</v>
      </c>
      <c r="R47" s="14" cm="1">
        <f t="array" ref="R47">INT(SUMPRODUCT(--ISNUMBER(SEARCH(race,C47)))&gt;0)</f>
        <v>0</v>
      </c>
      <c r="S47" s="14" cm="1">
        <f t="array" ref="S47">INT(SUMPRODUCT(--ISNUMBER(SEARCH(immigration,C47)))&gt;0)</f>
        <v>0</v>
      </c>
      <c r="T47" s="14" cm="1">
        <f t="array" ref="T47">INT(SUMPRODUCT(--ISNUMBER(SEARCH(econineq,C48)))&gt;0)</f>
        <v>0</v>
      </c>
      <c r="U47" s="14" cm="1">
        <f t="array" ref="U47">INT(SUMPRODUCT(--ISNUMBER(SEARCH(climate,C47)))&gt;0)</f>
        <v>1</v>
      </c>
      <c r="V47" s="14" cm="1">
        <f t="array" ref="V47">INT(SUMPRODUCT(--ISNUMBER(SEARCH(abortion,C47)))&gt;0)</f>
        <v>0</v>
      </c>
      <c r="W47" s="14" cm="1">
        <f t="array" ref="W47">INT(SUMPRODUCT(--ISNUMBER(SEARCH(trump,C47)))&gt;0)</f>
        <v>0</v>
      </c>
      <c r="X47" s="14" cm="1">
        <f t="array" ref="X47">INT(SUMPRODUCT(--ISNUMBER(SEARCH(voting,C47)))&gt;0)</f>
        <v>0</v>
      </c>
      <c r="Y47" s="35" cm="1">
        <f t="array" ref="Y47">INT(SUMPRODUCT(--ISNUMBER(SEARCH(republicantrigger,C47)))&gt;0)</f>
        <v>1</v>
      </c>
      <c r="Z47" s="35" cm="1">
        <f t="array" ref="Z47">INT(SUMPRODUCT(--ISNUMBER(SEARCH(bipartisan,C47)))&gt;0)</f>
        <v>0</v>
      </c>
      <c r="AA47" s="35">
        <f t="shared" si="0"/>
        <v>0</v>
      </c>
      <c r="AB47" s="14"/>
      <c r="AC47" s="30" t="s">
        <v>223</v>
      </c>
      <c r="AD47" s="37" t="s">
        <v>223</v>
      </c>
    </row>
    <row r="48" spans="1:30" x14ac:dyDescent="0.25">
      <c r="A48" s="36">
        <v>3271</v>
      </c>
      <c r="B48" s="14" t="s">
        <v>6567</v>
      </c>
      <c r="C48" s="31" t="s">
        <v>6568</v>
      </c>
      <c r="D48" s="17">
        <v>44134</v>
      </c>
      <c r="E48" s="14" t="s">
        <v>30</v>
      </c>
      <c r="F48" s="14">
        <v>67</v>
      </c>
      <c r="G48" s="14">
        <v>27</v>
      </c>
      <c r="H48" s="14">
        <v>15</v>
      </c>
      <c r="I48" s="14">
        <v>8</v>
      </c>
      <c r="J48" s="14" t="s">
        <v>31</v>
      </c>
      <c r="K48" s="14" cm="1">
        <f t="array" ref="K48">INT(SUMPRODUCT(--ISNUMBER(SEARCH(economy,C48)))&gt;0)</f>
        <v>0</v>
      </c>
      <c r="L48" s="14" cm="1">
        <f t="array" ref="L48">INT(SUMPRODUCT(--ISNUMBER(SEARCH(healthcare,C48)))&gt;0)</f>
        <v>0</v>
      </c>
      <c r="M48" s="14" cm="1">
        <f t="array" ref="M48">INT(SUMPRODUCT(--ISNUMBER(SEARCH(supreme,C48)))&gt;0)</f>
        <v>0</v>
      </c>
      <c r="N48" s="14" cm="1">
        <f t="array" ref="N48">INT(SUMPRODUCT(--ISNUMBER(SEARCH(covid,C48)))&gt;0)</f>
        <v>0</v>
      </c>
      <c r="O48" s="14" cm="1">
        <f t="array" ref="O48">INT(SUMPRODUCT(--ISNUMBER(SEARCH(violent,C48)))&gt;0)</f>
        <v>0</v>
      </c>
      <c r="P48" s="14" cm="1">
        <f t="array" ref="P48">INT(SUMPRODUCT(--ISNUMBER(SEARCH(foreign,C48)))&gt;0)</f>
        <v>0</v>
      </c>
      <c r="Q48" s="14" cm="1">
        <f t="array" ref="Q48">INT(SUMPRODUCT(--ISNUMBER(SEARCH(gun,C48)))&gt;0)</f>
        <v>0</v>
      </c>
      <c r="R48" s="14" cm="1">
        <f t="array" ref="R48">INT(SUMPRODUCT(--ISNUMBER(SEARCH(race,C48)))&gt;0)</f>
        <v>0</v>
      </c>
      <c r="S48" s="14" cm="1">
        <f t="array" ref="S48">INT(SUMPRODUCT(--ISNUMBER(SEARCH(immigration,C48)))&gt;0)</f>
        <v>0</v>
      </c>
      <c r="T48" s="14" cm="1">
        <f t="array" ref="T48">INT(SUMPRODUCT(--ISNUMBER(SEARCH(econineq,C49)))&gt;0)</f>
        <v>0</v>
      </c>
      <c r="U48" s="14" cm="1">
        <f t="array" ref="U48">INT(SUMPRODUCT(--ISNUMBER(SEARCH(climate,C48)))&gt;0)</f>
        <v>0</v>
      </c>
      <c r="V48" s="14" cm="1">
        <f t="array" ref="V48">INT(SUMPRODUCT(--ISNUMBER(SEARCH(abortion,C48)))&gt;0)</f>
        <v>0</v>
      </c>
      <c r="W48" s="14" cm="1">
        <f t="array" ref="W48">INT(SUMPRODUCT(--ISNUMBER(SEARCH(trump,C48)))&gt;0)</f>
        <v>0</v>
      </c>
      <c r="X48" s="14" cm="1">
        <f t="array" ref="X48">INT(SUMPRODUCT(--ISNUMBER(SEARCH(voting,C48)))&gt;0)</f>
        <v>0</v>
      </c>
      <c r="Y48" s="35" cm="1">
        <f t="array" ref="Y48">INT(SUMPRODUCT(--ISNUMBER(SEARCH(republicantrigger,C48)))&gt;0)</f>
        <v>0</v>
      </c>
      <c r="Z48" s="35" cm="1">
        <f t="array" ref="Z48">INT(SUMPRODUCT(--ISNUMBER(SEARCH(bipartisan,C48)))&gt;0)</f>
        <v>0</v>
      </c>
      <c r="AA48" s="35">
        <f t="shared" si="0"/>
        <v>1</v>
      </c>
      <c r="AB48" s="14"/>
      <c r="AC48" s="30">
        <v>1</v>
      </c>
      <c r="AD48" s="37">
        <v>0</v>
      </c>
    </row>
    <row r="49" spans="1:30" x14ac:dyDescent="0.25">
      <c r="A49" s="36">
        <v>3272</v>
      </c>
      <c r="B49" s="14" t="s">
        <v>6569</v>
      </c>
      <c r="C49" s="31" t="s">
        <v>6570</v>
      </c>
      <c r="D49" s="17">
        <v>44134</v>
      </c>
      <c r="E49" s="14" t="s">
        <v>30</v>
      </c>
      <c r="F49" s="14">
        <v>114</v>
      </c>
      <c r="G49" s="14">
        <v>50</v>
      </c>
      <c r="H49" s="14">
        <v>15</v>
      </c>
      <c r="I49" s="14">
        <v>8</v>
      </c>
      <c r="J49" s="14" t="s">
        <v>31</v>
      </c>
      <c r="K49" s="14" cm="1">
        <f t="array" ref="K49">INT(SUMPRODUCT(--ISNUMBER(SEARCH(economy,C49)))&gt;0)</f>
        <v>0</v>
      </c>
      <c r="L49" s="14" cm="1">
        <f t="array" ref="L49">INT(SUMPRODUCT(--ISNUMBER(SEARCH(healthcare,C49)))&gt;0)</f>
        <v>0</v>
      </c>
      <c r="M49" s="14" cm="1">
        <f t="array" ref="M49">INT(SUMPRODUCT(--ISNUMBER(SEARCH(supreme,C49)))&gt;0)</f>
        <v>0</v>
      </c>
      <c r="N49" s="14" cm="1">
        <f t="array" ref="N49">INT(SUMPRODUCT(--ISNUMBER(SEARCH(covid,C49)))&gt;0)</f>
        <v>0</v>
      </c>
      <c r="O49" s="14" cm="1">
        <f t="array" ref="O49">INT(SUMPRODUCT(--ISNUMBER(SEARCH(violent,C49)))&gt;0)</f>
        <v>0</v>
      </c>
      <c r="P49" s="14" cm="1">
        <f t="array" ref="P49">INT(SUMPRODUCT(--ISNUMBER(SEARCH(foreign,C49)))&gt;0)</f>
        <v>0</v>
      </c>
      <c r="Q49" s="14" cm="1">
        <f t="array" ref="Q49">INT(SUMPRODUCT(--ISNUMBER(SEARCH(gun,C49)))&gt;0)</f>
        <v>0</v>
      </c>
      <c r="R49" s="14" cm="1">
        <f t="array" ref="R49">INT(SUMPRODUCT(--ISNUMBER(SEARCH(race,C49)))&gt;0)</f>
        <v>0</v>
      </c>
      <c r="S49" s="14" cm="1">
        <f t="array" ref="S49">INT(SUMPRODUCT(--ISNUMBER(SEARCH(immigration,C49)))&gt;0)</f>
        <v>0</v>
      </c>
      <c r="T49" s="14" cm="1">
        <f t="array" ref="T49">INT(SUMPRODUCT(--ISNUMBER(SEARCH(econineq,C50)))&gt;0)</f>
        <v>0</v>
      </c>
      <c r="U49" s="14" cm="1">
        <f t="array" ref="U49">INT(SUMPRODUCT(--ISNUMBER(SEARCH(climate,C49)))&gt;0)</f>
        <v>0</v>
      </c>
      <c r="V49" s="14" cm="1">
        <f t="array" ref="V49">INT(SUMPRODUCT(--ISNUMBER(SEARCH(abortion,C49)))&gt;0)</f>
        <v>0</v>
      </c>
      <c r="W49" s="14" cm="1">
        <f t="array" ref="W49">INT(SUMPRODUCT(--ISNUMBER(SEARCH(trump,C49)))&gt;0)</f>
        <v>0</v>
      </c>
      <c r="X49" s="14" cm="1">
        <f t="array" ref="X49">INT(SUMPRODUCT(--ISNUMBER(SEARCH(voting,C49)))&gt;0)</f>
        <v>0</v>
      </c>
      <c r="Y49" s="35" cm="1">
        <f t="array" ref="Y49">INT(SUMPRODUCT(--ISNUMBER(SEARCH(republicantrigger,C49)))&gt;0)</f>
        <v>1</v>
      </c>
      <c r="Z49" s="35" cm="1">
        <f t="array" ref="Z49">INT(SUMPRODUCT(--ISNUMBER(SEARCH(bipartisan,C49)))&gt;0)</f>
        <v>0</v>
      </c>
      <c r="AA49" s="35">
        <f t="shared" si="0"/>
        <v>0</v>
      </c>
      <c r="AB49" s="14"/>
      <c r="AC49" s="30" t="s">
        <v>223</v>
      </c>
      <c r="AD49" s="37" t="s">
        <v>223</v>
      </c>
    </row>
    <row r="50" spans="1:30" x14ac:dyDescent="0.25">
      <c r="A50" s="36">
        <v>3273</v>
      </c>
      <c r="B50" s="14" t="s">
        <v>6571</v>
      </c>
      <c r="C50" s="31" t="s">
        <v>6572</v>
      </c>
      <c r="D50" s="17">
        <v>44133</v>
      </c>
      <c r="E50" s="14" t="s">
        <v>30</v>
      </c>
      <c r="F50" s="14">
        <v>196</v>
      </c>
      <c r="G50" s="14">
        <v>77</v>
      </c>
      <c r="H50" s="14">
        <v>15</v>
      </c>
      <c r="I50" s="14">
        <v>8</v>
      </c>
      <c r="J50" s="14" t="s">
        <v>31</v>
      </c>
      <c r="K50" s="14" cm="1">
        <f t="array" ref="K50">INT(SUMPRODUCT(--ISNUMBER(SEARCH(economy,C50)))&gt;0)</f>
        <v>0</v>
      </c>
      <c r="L50" s="14" cm="1">
        <f t="array" ref="L50">INT(SUMPRODUCT(--ISNUMBER(SEARCH(healthcare,C50)))&gt;0)</f>
        <v>0</v>
      </c>
      <c r="M50" s="14" cm="1">
        <f t="array" ref="M50">INT(SUMPRODUCT(--ISNUMBER(SEARCH(supreme,C50)))&gt;0)</f>
        <v>0</v>
      </c>
      <c r="N50" s="14" cm="1">
        <f t="array" ref="N50">INT(SUMPRODUCT(--ISNUMBER(SEARCH(covid,C50)))&gt;0)</f>
        <v>0</v>
      </c>
      <c r="O50" s="14" cm="1">
        <f t="array" ref="O50">INT(SUMPRODUCT(--ISNUMBER(SEARCH(violent,C50)))&gt;0)</f>
        <v>0</v>
      </c>
      <c r="P50" s="14" cm="1">
        <f t="array" ref="P50">INT(SUMPRODUCT(--ISNUMBER(SEARCH(foreign,C50)))&gt;0)</f>
        <v>0</v>
      </c>
      <c r="Q50" s="14" cm="1">
        <f t="array" ref="Q50">INT(SUMPRODUCT(--ISNUMBER(SEARCH(gun,C50)))&gt;0)</f>
        <v>0</v>
      </c>
      <c r="R50" s="14" cm="1">
        <f t="array" ref="R50">INT(SUMPRODUCT(--ISNUMBER(SEARCH(race,C50)))&gt;0)</f>
        <v>0</v>
      </c>
      <c r="S50" s="14" cm="1">
        <f t="array" ref="S50">INT(SUMPRODUCT(--ISNUMBER(SEARCH(immigration,C50)))&gt;0)</f>
        <v>0</v>
      </c>
      <c r="T50" s="14" cm="1">
        <f t="array" ref="T50">INT(SUMPRODUCT(--ISNUMBER(SEARCH(econineq,C51)))&gt;0)</f>
        <v>0</v>
      </c>
      <c r="U50" s="14" cm="1">
        <f t="array" ref="U50">INT(SUMPRODUCT(--ISNUMBER(SEARCH(climate,C50)))&gt;0)</f>
        <v>0</v>
      </c>
      <c r="V50" s="14" cm="1">
        <f t="array" ref="V50">INT(SUMPRODUCT(--ISNUMBER(SEARCH(abortion,C50)))&gt;0)</f>
        <v>0</v>
      </c>
      <c r="W50" s="14" cm="1">
        <f t="array" ref="W50">INT(SUMPRODUCT(--ISNUMBER(SEARCH(trump,C50)))&gt;0)</f>
        <v>0</v>
      </c>
      <c r="X50" s="14" cm="1">
        <f t="array" ref="X50">INT(SUMPRODUCT(--ISNUMBER(SEARCH(voting,C50)))&gt;0)</f>
        <v>1</v>
      </c>
      <c r="Y50" s="35" cm="1">
        <f t="array" ref="Y50">INT(SUMPRODUCT(--ISNUMBER(SEARCH(republicantrigger,C50)))&gt;0)</f>
        <v>1</v>
      </c>
      <c r="Z50" s="35" cm="1">
        <f t="array" ref="Z50">INT(SUMPRODUCT(--ISNUMBER(SEARCH(bipartisan,C50)))&gt;0)</f>
        <v>0</v>
      </c>
      <c r="AA50" s="35">
        <f t="shared" si="0"/>
        <v>0</v>
      </c>
      <c r="AB50" s="14"/>
      <c r="AC50" s="30">
        <v>0</v>
      </c>
      <c r="AD50" s="37">
        <v>1</v>
      </c>
    </row>
    <row r="51" spans="1:30" x14ac:dyDescent="0.25">
      <c r="A51" s="36">
        <v>3274</v>
      </c>
      <c r="B51" s="14" t="s">
        <v>6573</v>
      </c>
      <c r="C51" s="31" t="s">
        <v>6574</v>
      </c>
      <c r="D51" s="17">
        <v>44133</v>
      </c>
      <c r="E51" s="14" t="s">
        <v>30</v>
      </c>
      <c r="F51" s="14">
        <v>98</v>
      </c>
      <c r="G51" s="14">
        <v>26</v>
      </c>
      <c r="H51" s="14">
        <v>15</v>
      </c>
      <c r="I51" s="14">
        <v>8</v>
      </c>
      <c r="J51" s="14" t="s">
        <v>31</v>
      </c>
      <c r="K51" s="14" cm="1">
        <f t="array" ref="K51">INT(SUMPRODUCT(--ISNUMBER(SEARCH(economy,C51)))&gt;0)</f>
        <v>0</v>
      </c>
      <c r="L51" s="14" cm="1">
        <f t="array" ref="L51">INT(SUMPRODUCT(--ISNUMBER(SEARCH(healthcare,C51)))&gt;0)</f>
        <v>0</v>
      </c>
      <c r="M51" s="14" cm="1">
        <f t="array" ref="M51">INT(SUMPRODUCT(--ISNUMBER(SEARCH(supreme,C51)))&gt;0)</f>
        <v>0</v>
      </c>
      <c r="N51" s="14" cm="1">
        <f t="array" ref="N51">INT(SUMPRODUCT(--ISNUMBER(SEARCH(covid,C51)))&gt;0)</f>
        <v>0</v>
      </c>
      <c r="O51" s="14" cm="1">
        <f t="array" ref="O51">INT(SUMPRODUCT(--ISNUMBER(SEARCH(violent,C51)))&gt;0)</f>
        <v>1</v>
      </c>
      <c r="P51" s="14" cm="1">
        <f t="array" ref="P51">INT(SUMPRODUCT(--ISNUMBER(SEARCH(foreign,C51)))&gt;0)</f>
        <v>0</v>
      </c>
      <c r="Q51" s="14" cm="1">
        <f t="array" ref="Q51">INT(SUMPRODUCT(--ISNUMBER(SEARCH(gun,C51)))&gt;0)</f>
        <v>0</v>
      </c>
      <c r="R51" s="14" cm="1">
        <f t="array" ref="R51">INT(SUMPRODUCT(--ISNUMBER(SEARCH(race,C51)))&gt;0)</f>
        <v>0</v>
      </c>
      <c r="S51" s="14" cm="1">
        <f t="array" ref="S51">INT(SUMPRODUCT(--ISNUMBER(SEARCH(immigration,C51)))&gt;0)</f>
        <v>0</v>
      </c>
      <c r="T51" s="14" cm="1">
        <f t="array" ref="T51">INT(SUMPRODUCT(--ISNUMBER(SEARCH(econineq,C52)))&gt;0)</f>
        <v>0</v>
      </c>
      <c r="U51" s="14" cm="1">
        <f t="array" ref="U51">INT(SUMPRODUCT(--ISNUMBER(SEARCH(climate,C51)))&gt;0)</f>
        <v>0</v>
      </c>
      <c r="V51" s="14" cm="1">
        <f t="array" ref="V51">INT(SUMPRODUCT(--ISNUMBER(SEARCH(abortion,C51)))&gt;0)</f>
        <v>0</v>
      </c>
      <c r="W51" s="14" cm="1">
        <f t="array" ref="W51">INT(SUMPRODUCT(--ISNUMBER(SEARCH(trump,C51)))&gt;0)</f>
        <v>1</v>
      </c>
      <c r="X51" s="14" cm="1">
        <f t="array" ref="X51">INT(SUMPRODUCT(--ISNUMBER(SEARCH(voting,C51)))&gt;0)</f>
        <v>1</v>
      </c>
      <c r="Y51" s="35" cm="1">
        <f t="array" ref="Y51">INT(SUMPRODUCT(--ISNUMBER(SEARCH(republicantrigger,C51)))&gt;0)</f>
        <v>1</v>
      </c>
      <c r="Z51" s="35" cm="1">
        <f t="array" ref="Z51">INT(SUMPRODUCT(--ISNUMBER(SEARCH(bipartisan,C51)))&gt;0)</f>
        <v>0</v>
      </c>
      <c r="AA51" s="35">
        <f t="shared" si="0"/>
        <v>0</v>
      </c>
      <c r="AB51" s="14"/>
      <c r="AC51" s="30">
        <v>1</v>
      </c>
      <c r="AD51" s="37">
        <v>0</v>
      </c>
    </row>
    <row r="52" spans="1:30" x14ac:dyDescent="0.25">
      <c r="A52" s="36">
        <v>3275</v>
      </c>
      <c r="B52" s="14" t="s">
        <v>6575</v>
      </c>
      <c r="C52" s="31" t="s">
        <v>6576</v>
      </c>
      <c r="D52" s="17">
        <v>44133</v>
      </c>
      <c r="E52" s="14" t="s">
        <v>30</v>
      </c>
      <c r="F52" s="14">
        <v>58</v>
      </c>
      <c r="G52" s="14">
        <v>19</v>
      </c>
      <c r="H52" s="14">
        <v>15</v>
      </c>
      <c r="I52" s="14">
        <v>8</v>
      </c>
      <c r="J52" s="14" t="s">
        <v>31</v>
      </c>
      <c r="K52" s="14" cm="1">
        <f t="array" ref="K52">INT(SUMPRODUCT(--ISNUMBER(SEARCH(economy,C52)))&gt;0)</f>
        <v>0</v>
      </c>
      <c r="L52" s="14" cm="1">
        <f t="array" ref="L52">INT(SUMPRODUCT(--ISNUMBER(SEARCH(healthcare,C52)))&gt;0)</f>
        <v>0</v>
      </c>
      <c r="M52" s="14" cm="1">
        <f t="array" ref="M52">INT(SUMPRODUCT(--ISNUMBER(SEARCH(supreme,C52)))&gt;0)</f>
        <v>0</v>
      </c>
      <c r="N52" s="14" cm="1">
        <f t="array" ref="N52">INT(SUMPRODUCT(--ISNUMBER(SEARCH(covid,C52)))&gt;0)</f>
        <v>0</v>
      </c>
      <c r="O52" s="14" cm="1">
        <f t="array" ref="O52">INT(SUMPRODUCT(--ISNUMBER(SEARCH(violent,C52)))&gt;0)</f>
        <v>0</v>
      </c>
      <c r="P52" s="14" cm="1">
        <f t="array" ref="P52">INT(SUMPRODUCT(--ISNUMBER(SEARCH(foreign,C52)))&gt;0)</f>
        <v>0</v>
      </c>
      <c r="Q52" s="14" cm="1">
        <f t="array" ref="Q52">INT(SUMPRODUCT(--ISNUMBER(SEARCH(gun,C52)))&gt;0)</f>
        <v>0</v>
      </c>
      <c r="R52" s="14" cm="1">
        <f t="array" ref="R52">INT(SUMPRODUCT(--ISNUMBER(SEARCH(race,C52)))&gt;0)</f>
        <v>0</v>
      </c>
      <c r="S52" s="14" cm="1">
        <f t="array" ref="S52">INT(SUMPRODUCT(--ISNUMBER(SEARCH(immigration,C52)))&gt;0)</f>
        <v>0</v>
      </c>
      <c r="T52" s="14" cm="1">
        <f t="array" ref="T52">INT(SUMPRODUCT(--ISNUMBER(SEARCH(econineq,C53)))&gt;0)</f>
        <v>0</v>
      </c>
      <c r="U52" s="14" cm="1">
        <f t="array" ref="U52">INT(SUMPRODUCT(--ISNUMBER(SEARCH(climate,C52)))&gt;0)</f>
        <v>0</v>
      </c>
      <c r="V52" s="14" cm="1">
        <f t="array" ref="V52">INT(SUMPRODUCT(--ISNUMBER(SEARCH(abortion,C52)))&gt;0)</f>
        <v>0</v>
      </c>
      <c r="W52" s="14" cm="1">
        <f t="array" ref="W52">INT(SUMPRODUCT(--ISNUMBER(SEARCH(trump,C52)))&gt;0)</f>
        <v>0</v>
      </c>
      <c r="X52" s="14" cm="1">
        <f t="array" ref="X52">INT(SUMPRODUCT(--ISNUMBER(SEARCH(voting,C52)))&gt;0)</f>
        <v>0</v>
      </c>
      <c r="Y52" s="35" cm="1">
        <f t="array" ref="Y52">INT(SUMPRODUCT(--ISNUMBER(SEARCH(republicantrigger,C52)))&gt;0)</f>
        <v>0</v>
      </c>
      <c r="Z52" s="35" cm="1">
        <f t="array" ref="Z52">INT(SUMPRODUCT(--ISNUMBER(SEARCH(bipartisan,C52)))&gt;0)</f>
        <v>0</v>
      </c>
      <c r="AA52" s="35">
        <f t="shared" si="0"/>
        <v>1</v>
      </c>
      <c r="AB52" s="14"/>
      <c r="AC52" s="30" t="s">
        <v>223</v>
      </c>
      <c r="AD52" s="37" t="s">
        <v>223</v>
      </c>
    </row>
    <row r="53" spans="1:30" x14ac:dyDescent="0.25">
      <c r="A53" s="36">
        <v>3276</v>
      </c>
      <c r="B53" s="14" t="s">
        <v>6577</v>
      </c>
      <c r="C53" s="31" t="s">
        <v>6578</v>
      </c>
      <c r="D53" s="17">
        <v>44133</v>
      </c>
      <c r="E53" s="14" t="s">
        <v>30</v>
      </c>
      <c r="F53" s="14">
        <v>102</v>
      </c>
      <c r="G53" s="14">
        <v>39</v>
      </c>
      <c r="H53" s="14">
        <v>15</v>
      </c>
      <c r="I53" s="14">
        <v>8</v>
      </c>
      <c r="J53" s="14" t="s">
        <v>31</v>
      </c>
      <c r="K53" s="14" cm="1">
        <f t="array" ref="K53">INT(SUMPRODUCT(--ISNUMBER(SEARCH(economy,C53)))&gt;0)</f>
        <v>0</v>
      </c>
      <c r="L53" s="14" cm="1">
        <f t="array" ref="L53">INT(SUMPRODUCT(--ISNUMBER(SEARCH(healthcare,C53)))&gt;0)</f>
        <v>0</v>
      </c>
      <c r="M53" s="14" cm="1">
        <f t="array" ref="M53">INT(SUMPRODUCT(--ISNUMBER(SEARCH(supreme,C53)))&gt;0)</f>
        <v>0</v>
      </c>
      <c r="N53" s="14" cm="1">
        <f t="array" ref="N53">INT(SUMPRODUCT(--ISNUMBER(SEARCH(covid,C53)))&gt;0)</f>
        <v>0</v>
      </c>
      <c r="O53" s="14" cm="1">
        <f t="array" ref="O53">INT(SUMPRODUCT(--ISNUMBER(SEARCH(violent,C53)))&gt;0)</f>
        <v>0</v>
      </c>
      <c r="P53" s="14" cm="1">
        <f t="array" ref="P53">INT(SUMPRODUCT(--ISNUMBER(SEARCH(foreign,C53)))&gt;0)</f>
        <v>0</v>
      </c>
      <c r="Q53" s="14" cm="1">
        <f t="array" ref="Q53">INT(SUMPRODUCT(--ISNUMBER(SEARCH(gun,C53)))&gt;0)</f>
        <v>0</v>
      </c>
      <c r="R53" s="14" cm="1">
        <f t="array" ref="R53">INT(SUMPRODUCT(--ISNUMBER(SEARCH(race,C53)))&gt;0)</f>
        <v>0</v>
      </c>
      <c r="S53" s="14" cm="1">
        <f t="array" ref="S53">INT(SUMPRODUCT(--ISNUMBER(SEARCH(immigration,C53)))&gt;0)</f>
        <v>0</v>
      </c>
      <c r="T53" s="14" cm="1">
        <f t="array" ref="T53">INT(SUMPRODUCT(--ISNUMBER(SEARCH(econineq,C54)))&gt;0)</f>
        <v>0</v>
      </c>
      <c r="U53" s="14" cm="1">
        <f t="array" ref="U53">INT(SUMPRODUCT(--ISNUMBER(SEARCH(climate,C53)))&gt;0)</f>
        <v>0</v>
      </c>
      <c r="V53" s="14" cm="1">
        <f t="array" ref="V53">INT(SUMPRODUCT(--ISNUMBER(SEARCH(abortion,C53)))&gt;0)</f>
        <v>0</v>
      </c>
      <c r="W53" s="14" cm="1">
        <f t="array" ref="W53">INT(SUMPRODUCT(--ISNUMBER(SEARCH(trump,C53)))&gt;0)</f>
        <v>0</v>
      </c>
      <c r="X53" s="14" cm="1">
        <f t="array" ref="X53">INT(SUMPRODUCT(--ISNUMBER(SEARCH(voting,C53)))&gt;0)</f>
        <v>0</v>
      </c>
      <c r="Y53" s="35" cm="1">
        <f t="array" ref="Y53">INT(SUMPRODUCT(--ISNUMBER(SEARCH(republicantrigger,C53)))&gt;0)</f>
        <v>1</v>
      </c>
      <c r="Z53" s="35" cm="1">
        <f t="array" ref="Z53">INT(SUMPRODUCT(--ISNUMBER(SEARCH(bipartisan,C53)))&gt;0)</f>
        <v>0</v>
      </c>
      <c r="AA53" s="35">
        <f t="shared" si="0"/>
        <v>0</v>
      </c>
      <c r="AB53" s="14"/>
      <c r="AC53" s="30">
        <v>0</v>
      </c>
      <c r="AD53" s="37">
        <v>1</v>
      </c>
    </row>
    <row r="54" spans="1:30" x14ac:dyDescent="0.25">
      <c r="A54" s="36">
        <v>3277</v>
      </c>
      <c r="B54" s="14" t="s">
        <v>6579</v>
      </c>
      <c r="C54" s="31" t="s">
        <v>6580</v>
      </c>
      <c r="D54" s="17">
        <v>44133</v>
      </c>
      <c r="E54" s="14" t="s">
        <v>30</v>
      </c>
      <c r="F54" s="14">
        <v>58</v>
      </c>
      <c r="G54" s="14">
        <v>19</v>
      </c>
      <c r="H54" s="14">
        <v>15</v>
      </c>
      <c r="I54" s="14">
        <v>8</v>
      </c>
      <c r="J54" s="14" t="s">
        <v>31</v>
      </c>
      <c r="K54" s="14" cm="1">
        <f t="array" ref="K54">INT(SUMPRODUCT(--ISNUMBER(SEARCH(economy,C54)))&gt;0)</f>
        <v>0</v>
      </c>
      <c r="L54" s="14" cm="1">
        <f t="array" ref="L54">INT(SUMPRODUCT(--ISNUMBER(SEARCH(healthcare,C54)))&gt;0)</f>
        <v>0</v>
      </c>
      <c r="M54" s="14" cm="1">
        <f t="array" ref="M54">INT(SUMPRODUCT(--ISNUMBER(SEARCH(supreme,C54)))&gt;0)</f>
        <v>0</v>
      </c>
      <c r="N54" s="14" cm="1">
        <f t="array" ref="N54">INT(SUMPRODUCT(--ISNUMBER(SEARCH(covid,C54)))&gt;0)</f>
        <v>0</v>
      </c>
      <c r="O54" s="14" cm="1">
        <f t="array" ref="O54">INT(SUMPRODUCT(--ISNUMBER(SEARCH(violent,C54)))&gt;0)</f>
        <v>0</v>
      </c>
      <c r="P54" s="14" cm="1">
        <f t="array" ref="P54">INT(SUMPRODUCT(--ISNUMBER(SEARCH(foreign,C54)))&gt;0)</f>
        <v>0</v>
      </c>
      <c r="Q54" s="14" cm="1">
        <f t="array" ref="Q54">INT(SUMPRODUCT(--ISNUMBER(SEARCH(gun,C54)))&gt;0)</f>
        <v>0</v>
      </c>
      <c r="R54" s="14" cm="1">
        <f t="array" ref="R54">INT(SUMPRODUCT(--ISNUMBER(SEARCH(race,C54)))&gt;0)</f>
        <v>0</v>
      </c>
      <c r="S54" s="14" cm="1">
        <f t="array" ref="S54">INT(SUMPRODUCT(--ISNUMBER(SEARCH(immigration,C54)))&gt;0)</f>
        <v>0</v>
      </c>
      <c r="T54" s="14" cm="1">
        <f t="array" ref="T54">INT(SUMPRODUCT(--ISNUMBER(SEARCH(econineq,C55)))&gt;0)</f>
        <v>0</v>
      </c>
      <c r="U54" s="14" cm="1">
        <f t="array" ref="U54">INT(SUMPRODUCT(--ISNUMBER(SEARCH(climate,C54)))&gt;0)</f>
        <v>0</v>
      </c>
      <c r="V54" s="14" cm="1">
        <f t="array" ref="V54">INT(SUMPRODUCT(--ISNUMBER(SEARCH(abortion,C54)))&gt;0)</f>
        <v>0</v>
      </c>
      <c r="W54" s="14" cm="1">
        <f t="array" ref="W54">INT(SUMPRODUCT(--ISNUMBER(SEARCH(trump,C54)))&gt;0)</f>
        <v>0</v>
      </c>
      <c r="X54" s="14" cm="1">
        <f t="array" ref="X54">INT(SUMPRODUCT(--ISNUMBER(SEARCH(voting,C54)))&gt;0)</f>
        <v>1</v>
      </c>
      <c r="Y54" s="35" cm="1">
        <f t="array" ref="Y54">INT(SUMPRODUCT(--ISNUMBER(SEARCH(republicantrigger,C54)))&gt;0)</f>
        <v>1</v>
      </c>
      <c r="Z54" s="35" cm="1">
        <f t="array" ref="Z54">INT(SUMPRODUCT(--ISNUMBER(SEARCH(bipartisan,C54)))&gt;0)</f>
        <v>0</v>
      </c>
      <c r="AA54" s="35">
        <f t="shared" si="0"/>
        <v>0</v>
      </c>
      <c r="AB54" s="14"/>
      <c r="AC54" s="30">
        <v>0</v>
      </c>
      <c r="AD54" s="37">
        <v>1</v>
      </c>
    </row>
    <row r="55" spans="1:30" x14ac:dyDescent="0.25">
      <c r="A55" s="36">
        <v>3278</v>
      </c>
      <c r="B55" s="14" t="s">
        <v>6581</v>
      </c>
      <c r="C55" s="31" t="s">
        <v>6582</v>
      </c>
      <c r="D55" s="17">
        <v>44133</v>
      </c>
      <c r="E55" s="14" t="s">
        <v>30</v>
      </c>
      <c r="F55" s="14">
        <v>63</v>
      </c>
      <c r="G55" s="14">
        <v>33</v>
      </c>
      <c r="H55" s="14">
        <v>15</v>
      </c>
      <c r="I55" s="14">
        <v>8</v>
      </c>
      <c r="J55" s="14" t="s">
        <v>31</v>
      </c>
      <c r="K55" s="14" cm="1">
        <f t="array" ref="K55">INT(SUMPRODUCT(--ISNUMBER(SEARCH(economy,C55)))&gt;0)</f>
        <v>0</v>
      </c>
      <c r="L55" s="14" cm="1">
        <f t="array" ref="L55">INT(SUMPRODUCT(--ISNUMBER(SEARCH(healthcare,C55)))&gt;0)</f>
        <v>0</v>
      </c>
      <c r="M55" s="14" cm="1">
        <f t="array" ref="M55">INT(SUMPRODUCT(--ISNUMBER(SEARCH(supreme,C55)))&gt;0)</f>
        <v>0</v>
      </c>
      <c r="N55" s="14" cm="1">
        <f t="array" ref="N55">INT(SUMPRODUCT(--ISNUMBER(SEARCH(covid,C55)))&gt;0)</f>
        <v>0</v>
      </c>
      <c r="O55" s="14" cm="1">
        <f t="array" ref="O55">INT(SUMPRODUCT(--ISNUMBER(SEARCH(violent,C55)))&gt;0)</f>
        <v>0</v>
      </c>
      <c r="P55" s="14" cm="1">
        <f t="array" ref="P55">INT(SUMPRODUCT(--ISNUMBER(SEARCH(foreign,C55)))&gt;0)</f>
        <v>0</v>
      </c>
      <c r="Q55" s="14" cm="1">
        <f t="array" ref="Q55">INT(SUMPRODUCT(--ISNUMBER(SEARCH(gun,C55)))&gt;0)</f>
        <v>0</v>
      </c>
      <c r="R55" s="14" cm="1">
        <f t="array" ref="R55">INT(SUMPRODUCT(--ISNUMBER(SEARCH(race,C55)))&gt;0)</f>
        <v>0</v>
      </c>
      <c r="S55" s="14" cm="1">
        <f t="array" ref="S55">INT(SUMPRODUCT(--ISNUMBER(SEARCH(immigration,C55)))&gt;0)</f>
        <v>0</v>
      </c>
      <c r="T55" s="14" cm="1">
        <f t="array" ref="T55">INT(SUMPRODUCT(--ISNUMBER(SEARCH(econineq,C56)))&gt;0)</f>
        <v>0</v>
      </c>
      <c r="U55" s="14" cm="1">
        <f t="array" ref="U55">INT(SUMPRODUCT(--ISNUMBER(SEARCH(climate,C55)))&gt;0)</f>
        <v>0</v>
      </c>
      <c r="V55" s="14" cm="1">
        <f t="array" ref="V55">INT(SUMPRODUCT(--ISNUMBER(SEARCH(abortion,C55)))&gt;0)</f>
        <v>0</v>
      </c>
      <c r="W55" s="14" cm="1">
        <f t="array" ref="W55">INT(SUMPRODUCT(--ISNUMBER(SEARCH(trump,C55)))&gt;0)</f>
        <v>0</v>
      </c>
      <c r="X55" s="14" cm="1">
        <f t="array" ref="X55">INT(SUMPRODUCT(--ISNUMBER(SEARCH(voting,C55)))&gt;0)</f>
        <v>1</v>
      </c>
      <c r="Y55" s="35" cm="1">
        <f t="array" ref="Y55">INT(SUMPRODUCT(--ISNUMBER(SEARCH(republicantrigger,C55)))&gt;0)</f>
        <v>1</v>
      </c>
      <c r="Z55" s="35" cm="1">
        <f t="array" ref="Z55">INT(SUMPRODUCT(--ISNUMBER(SEARCH(bipartisan,C55)))&gt;0)</f>
        <v>0</v>
      </c>
      <c r="AA55" s="35">
        <f t="shared" si="0"/>
        <v>0</v>
      </c>
      <c r="AB55" s="14"/>
      <c r="AC55" s="30">
        <v>0</v>
      </c>
      <c r="AD55" s="37">
        <v>1</v>
      </c>
    </row>
    <row r="56" spans="1:30" x14ac:dyDescent="0.25">
      <c r="A56" s="36">
        <v>3279</v>
      </c>
      <c r="B56" s="14" t="s">
        <v>6583</v>
      </c>
      <c r="C56" s="31" t="s">
        <v>6584</v>
      </c>
      <c r="D56" s="17">
        <v>44132</v>
      </c>
      <c r="E56" s="14" t="s">
        <v>30</v>
      </c>
      <c r="F56" s="14">
        <v>1567</v>
      </c>
      <c r="G56" s="14">
        <v>214</v>
      </c>
      <c r="H56" s="14">
        <v>15</v>
      </c>
      <c r="I56" s="14">
        <v>8</v>
      </c>
      <c r="J56" s="14" t="s">
        <v>31</v>
      </c>
      <c r="K56" s="14" cm="1">
        <f t="array" ref="K56">INT(SUMPRODUCT(--ISNUMBER(SEARCH(economy,C56)))&gt;0)</f>
        <v>0</v>
      </c>
      <c r="L56" s="14" cm="1">
        <f t="array" ref="L56">INT(SUMPRODUCT(--ISNUMBER(SEARCH(healthcare,C56)))&gt;0)</f>
        <v>0</v>
      </c>
      <c r="M56" s="14" cm="1">
        <f t="array" ref="M56">INT(SUMPRODUCT(--ISNUMBER(SEARCH(supreme,C56)))&gt;0)</f>
        <v>0</v>
      </c>
      <c r="N56" s="14" cm="1">
        <f t="array" ref="N56">INT(SUMPRODUCT(--ISNUMBER(SEARCH(covid,C56)))&gt;0)</f>
        <v>0</v>
      </c>
      <c r="O56" s="14" cm="1">
        <f t="array" ref="O56">INT(SUMPRODUCT(--ISNUMBER(SEARCH(violent,C56)))&gt;0)</f>
        <v>0</v>
      </c>
      <c r="P56" s="14" cm="1">
        <f t="array" ref="P56">INT(SUMPRODUCT(--ISNUMBER(SEARCH(foreign,C56)))&gt;0)</f>
        <v>0</v>
      </c>
      <c r="Q56" s="14" cm="1">
        <f t="array" ref="Q56">INT(SUMPRODUCT(--ISNUMBER(SEARCH(gun,C56)))&gt;0)</f>
        <v>0</v>
      </c>
      <c r="R56" s="14" cm="1">
        <f t="array" ref="R56">INT(SUMPRODUCT(--ISNUMBER(SEARCH(race,C56)))&gt;0)</f>
        <v>0</v>
      </c>
      <c r="S56" s="14" cm="1">
        <f t="array" ref="S56">INT(SUMPRODUCT(--ISNUMBER(SEARCH(immigration,C56)))&gt;0)</f>
        <v>0</v>
      </c>
      <c r="T56" s="14" cm="1">
        <f t="array" ref="T56">INT(SUMPRODUCT(--ISNUMBER(SEARCH(econineq,C57)))&gt;0)</f>
        <v>0</v>
      </c>
      <c r="U56" s="14" cm="1">
        <f t="array" ref="U56">INT(SUMPRODUCT(--ISNUMBER(SEARCH(climate,C56)))&gt;0)</f>
        <v>0</v>
      </c>
      <c r="V56" s="14" cm="1">
        <f t="array" ref="V56">INT(SUMPRODUCT(--ISNUMBER(SEARCH(abortion,C56)))&gt;0)</f>
        <v>0</v>
      </c>
      <c r="W56" s="14" cm="1">
        <f t="array" ref="W56">INT(SUMPRODUCT(--ISNUMBER(SEARCH(trump,C56)))&gt;0)</f>
        <v>0</v>
      </c>
      <c r="X56" s="14" cm="1">
        <f t="array" ref="X56">INT(SUMPRODUCT(--ISNUMBER(SEARCH(voting,C56)))&gt;0)</f>
        <v>0</v>
      </c>
      <c r="Y56" s="35" cm="1">
        <f t="array" ref="Y56">INT(SUMPRODUCT(--ISNUMBER(SEARCH(republicantrigger,C56)))&gt;0)</f>
        <v>0</v>
      </c>
      <c r="Z56" s="35" cm="1">
        <f t="array" ref="Z56">INT(SUMPRODUCT(--ISNUMBER(SEARCH(bipartisan,C56)))&gt;0)</f>
        <v>0</v>
      </c>
      <c r="AA56" s="35">
        <f t="shared" si="0"/>
        <v>1</v>
      </c>
      <c r="AB56" s="14"/>
      <c r="AC56" s="30">
        <v>1</v>
      </c>
      <c r="AD56" s="37">
        <v>0</v>
      </c>
    </row>
    <row r="57" spans="1:30" x14ac:dyDescent="0.25">
      <c r="A57" s="36">
        <v>3280</v>
      </c>
      <c r="B57" s="14" t="s">
        <v>6585</v>
      </c>
      <c r="C57" s="31" t="s">
        <v>6586</v>
      </c>
      <c r="D57" s="17">
        <v>44132</v>
      </c>
      <c r="E57" s="14" t="s">
        <v>30</v>
      </c>
      <c r="F57" s="14">
        <v>48</v>
      </c>
      <c r="G57" s="14">
        <v>18</v>
      </c>
      <c r="H57" s="14">
        <v>15</v>
      </c>
      <c r="I57" s="14">
        <v>8</v>
      </c>
      <c r="J57" s="14" t="s">
        <v>31</v>
      </c>
      <c r="K57" s="14" cm="1">
        <f t="array" ref="K57">INT(SUMPRODUCT(--ISNUMBER(SEARCH(economy,C57)))&gt;0)</f>
        <v>0</v>
      </c>
      <c r="L57" s="14" cm="1">
        <f t="array" ref="L57">INT(SUMPRODUCT(--ISNUMBER(SEARCH(healthcare,C57)))&gt;0)</f>
        <v>0</v>
      </c>
      <c r="M57" s="14" cm="1">
        <f t="array" ref="M57">INT(SUMPRODUCT(--ISNUMBER(SEARCH(supreme,C57)))&gt;0)</f>
        <v>0</v>
      </c>
      <c r="N57" s="14" cm="1">
        <f t="array" ref="N57">INT(SUMPRODUCT(--ISNUMBER(SEARCH(covid,C57)))&gt;0)</f>
        <v>0</v>
      </c>
      <c r="O57" s="14" cm="1">
        <f t="array" ref="O57">INT(SUMPRODUCT(--ISNUMBER(SEARCH(violent,C57)))&gt;0)</f>
        <v>0</v>
      </c>
      <c r="P57" s="14" cm="1">
        <f t="array" ref="P57">INT(SUMPRODUCT(--ISNUMBER(SEARCH(foreign,C57)))&gt;0)</f>
        <v>0</v>
      </c>
      <c r="Q57" s="14" cm="1">
        <f t="array" ref="Q57">INT(SUMPRODUCT(--ISNUMBER(SEARCH(gun,C57)))&gt;0)</f>
        <v>0</v>
      </c>
      <c r="R57" s="14" cm="1">
        <f t="array" ref="R57">INT(SUMPRODUCT(--ISNUMBER(SEARCH(race,C57)))&gt;0)</f>
        <v>0</v>
      </c>
      <c r="S57" s="14" cm="1">
        <f t="array" ref="S57">INT(SUMPRODUCT(--ISNUMBER(SEARCH(immigration,C57)))&gt;0)</f>
        <v>0</v>
      </c>
      <c r="T57" s="14" cm="1">
        <f t="array" ref="T57">INT(SUMPRODUCT(--ISNUMBER(SEARCH(econineq,C58)))&gt;0)</f>
        <v>0</v>
      </c>
      <c r="U57" s="14" cm="1">
        <f t="array" ref="U57">INT(SUMPRODUCT(--ISNUMBER(SEARCH(climate,C57)))&gt;0)</f>
        <v>0</v>
      </c>
      <c r="V57" s="14" cm="1">
        <f t="array" ref="V57">INT(SUMPRODUCT(--ISNUMBER(SEARCH(abortion,C57)))&gt;0)</f>
        <v>0</v>
      </c>
      <c r="W57" s="14" cm="1">
        <f t="array" ref="W57">INT(SUMPRODUCT(--ISNUMBER(SEARCH(trump,C57)))&gt;0)</f>
        <v>0</v>
      </c>
      <c r="X57" s="14" cm="1">
        <f t="array" ref="X57">INT(SUMPRODUCT(--ISNUMBER(SEARCH(voting,C57)))&gt;0)</f>
        <v>0</v>
      </c>
      <c r="Y57" s="35" cm="1">
        <f t="array" ref="Y57">INT(SUMPRODUCT(--ISNUMBER(SEARCH(republicantrigger,C57)))&gt;0)</f>
        <v>1</v>
      </c>
      <c r="Z57" s="35" cm="1">
        <f t="array" ref="Z57">INT(SUMPRODUCT(--ISNUMBER(SEARCH(bipartisan,C57)))&gt;0)</f>
        <v>0</v>
      </c>
      <c r="AA57" s="35">
        <f t="shared" si="0"/>
        <v>0</v>
      </c>
      <c r="AB57" s="14"/>
      <c r="AC57" s="30">
        <v>0</v>
      </c>
      <c r="AD57" s="37">
        <v>1</v>
      </c>
    </row>
    <row r="58" spans="1:30" x14ac:dyDescent="0.25">
      <c r="A58" s="36">
        <v>3281</v>
      </c>
      <c r="B58" s="14" t="s">
        <v>6587</v>
      </c>
      <c r="C58" s="31" t="s">
        <v>6588</v>
      </c>
      <c r="D58" s="17">
        <v>44132</v>
      </c>
      <c r="E58" s="14" t="s">
        <v>30</v>
      </c>
      <c r="F58" s="14">
        <v>63</v>
      </c>
      <c r="G58" s="14">
        <v>17</v>
      </c>
      <c r="H58" s="14">
        <v>15</v>
      </c>
      <c r="I58" s="14">
        <v>8</v>
      </c>
      <c r="J58" s="14" t="s">
        <v>31</v>
      </c>
      <c r="K58" s="14" cm="1">
        <f t="array" ref="K58">INT(SUMPRODUCT(--ISNUMBER(SEARCH(economy,C58)))&gt;0)</f>
        <v>0</v>
      </c>
      <c r="L58" s="14" cm="1">
        <f t="array" ref="L58">INT(SUMPRODUCT(--ISNUMBER(SEARCH(healthcare,C58)))&gt;0)</f>
        <v>0</v>
      </c>
      <c r="M58" s="14" cm="1">
        <f t="array" ref="M58">INT(SUMPRODUCT(--ISNUMBER(SEARCH(supreme,C58)))&gt;0)</f>
        <v>0</v>
      </c>
      <c r="N58" s="14" cm="1">
        <f t="array" ref="N58">INT(SUMPRODUCT(--ISNUMBER(SEARCH(covid,C58)))&gt;0)</f>
        <v>0</v>
      </c>
      <c r="O58" s="14" cm="1">
        <f t="array" ref="O58">INT(SUMPRODUCT(--ISNUMBER(SEARCH(violent,C58)))&gt;0)</f>
        <v>0</v>
      </c>
      <c r="P58" s="14" cm="1">
        <f t="array" ref="P58">INT(SUMPRODUCT(--ISNUMBER(SEARCH(foreign,C58)))&gt;0)</f>
        <v>0</v>
      </c>
      <c r="Q58" s="14" cm="1">
        <f t="array" ref="Q58">INT(SUMPRODUCT(--ISNUMBER(SEARCH(gun,C58)))&gt;0)</f>
        <v>0</v>
      </c>
      <c r="R58" s="14" cm="1">
        <f t="array" ref="R58">INT(SUMPRODUCT(--ISNUMBER(SEARCH(race,C58)))&gt;0)</f>
        <v>0</v>
      </c>
      <c r="S58" s="14" cm="1">
        <f t="array" ref="S58">INT(SUMPRODUCT(--ISNUMBER(SEARCH(immigration,C58)))&gt;0)</f>
        <v>0</v>
      </c>
      <c r="T58" s="14" cm="1">
        <f t="array" ref="T58">INT(SUMPRODUCT(--ISNUMBER(SEARCH(econineq,C59)))&gt;0)</f>
        <v>0</v>
      </c>
      <c r="U58" s="14" cm="1">
        <f t="array" ref="U58">INT(SUMPRODUCT(--ISNUMBER(SEARCH(climate,C58)))&gt;0)</f>
        <v>0</v>
      </c>
      <c r="V58" s="14" cm="1">
        <f t="array" ref="V58">INT(SUMPRODUCT(--ISNUMBER(SEARCH(abortion,C58)))&gt;0)</f>
        <v>0</v>
      </c>
      <c r="W58" s="14" cm="1">
        <f t="array" ref="W58">INT(SUMPRODUCT(--ISNUMBER(SEARCH(trump,C58)))&gt;0)</f>
        <v>0</v>
      </c>
      <c r="X58" s="14" cm="1">
        <f t="array" ref="X58">INT(SUMPRODUCT(--ISNUMBER(SEARCH(voting,C58)))&gt;0)</f>
        <v>0</v>
      </c>
      <c r="Y58" s="35" cm="1">
        <f t="array" ref="Y58">INT(SUMPRODUCT(--ISNUMBER(SEARCH(republicantrigger,C58)))&gt;0)</f>
        <v>1</v>
      </c>
      <c r="Z58" s="35" cm="1">
        <f t="array" ref="Z58">INT(SUMPRODUCT(--ISNUMBER(SEARCH(bipartisan,C58)))&gt;0)</f>
        <v>0</v>
      </c>
      <c r="AA58" s="35">
        <f t="shared" si="0"/>
        <v>0</v>
      </c>
      <c r="AB58" s="14"/>
      <c r="AC58" s="30">
        <v>0</v>
      </c>
      <c r="AD58" s="37">
        <v>1</v>
      </c>
    </row>
    <row r="59" spans="1:30" x14ac:dyDescent="0.25">
      <c r="A59" s="36">
        <v>3282</v>
      </c>
      <c r="B59" s="14" t="s">
        <v>6589</v>
      </c>
      <c r="C59" s="31" t="s">
        <v>6590</v>
      </c>
      <c r="D59" s="17">
        <v>44132</v>
      </c>
      <c r="E59" s="14" t="s">
        <v>70</v>
      </c>
      <c r="F59" s="14">
        <v>15</v>
      </c>
      <c r="G59" s="14">
        <v>4</v>
      </c>
      <c r="H59" s="14">
        <v>15</v>
      </c>
      <c r="I59" s="14">
        <v>8</v>
      </c>
      <c r="J59" s="14" t="s">
        <v>31</v>
      </c>
      <c r="K59" s="14" cm="1">
        <f t="array" ref="K59">INT(SUMPRODUCT(--ISNUMBER(SEARCH(economy,C59)))&gt;0)</f>
        <v>0</v>
      </c>
      <c r="L59" s="14" cm="1">
        <f t="array" ref="L59">INT(SUMPRODUCT(--ISNUMBER(SEARCH(healthcare,C59)))&gt;0)</f>
        <v>0</v>
      </c>
      <c r="M59" s="14" cm="1">
        <f t="array" ref="M59">INT(SUMPRODUCT(--ISNUMBER(SEARCH(supreme,C59)))&gt;0)</f>
        <v>0</v>
      </c>
      <c r="N59" s="14" cm="1">
        <f t="array" ref="N59">INT(SUMPRODUCT(--ISNUMBER(SEARCH(covid,C59)))&gt;0)</f>
        <v>0</v>
      </c>
      <c r="O59" s="14" cm="1">
        <f t="array" ref="O59">INT(SUMPRODUCT(--ISNUMBER(SEARCH(violent,C59)))&gt;0)</f>
        <v>0</v>
      </c>
      <c r="P59" s="14" cm="1">
        <f t="array" ref="P59">INT(SUMPRODUCT(--ISNUMBER(SEARCH(foreign,C59)))&gt;0)</f>
        <v>0</v>
      </c>
      <c r="Q59" s="14" cm="1">
        <f t="array" ref="Q59">INT(SUMPRODUCT(--ISNUMBER(SEARCH(gun,C59)))&gt;0)</f>
        <v>0</v>
      </c>
      <c r="R59" s="14" cm="1">
        <f t="array" ref="R59">INT(SUMPRODUCT(--ISNUMBER(SEARCH(race,C59)))&gt;0)</f>
        <v>0</v>
      </c>
      <c r="S59" s="14" cm="1">
        <f t="array" ref="S59">INT(SUMPRODUCT(--ISNUMBER(SEARCH(immigration,C59)))&gt;0)</f>
        <v>0</v>
      </c>
      <c r="T59" s="14" cm="1">
        <f t="array" ref="T59">INT(SUMPRODUCT(--ISNUMBER(SEARCH(econineq,C60)))&gt;0)</f>
        <v>0</v>
      </c>
      <c r="U59" s="14" cm="1">
        <f t="array" ref="U59">INT(SUMPRODUCT(--ISNUMBER(SEARCH(climate,C59)))&gt;0)</f>
        <v>0</v>
      </c>
      <c r="V59" s="14" cm="1">
        <f t="array" ref="V59">INT(SUMPRODUCT(--ISNUMBER(SEARCH(abortion,C59)))&gt;0)</f>
        <v>0</v>
      </c>
      <c r="W59" s="14" cm="1">
        <f t="array" ref="W59">INT(SUMPRODUCT(--ISNUMBER(SEARCH(trump,C59)))&gt;0)</f>
        <v>0</v>
      </c>
      <c r="X59" s="14" cm="1">
        <f t="array" ref="X59">INT(SUMPRODUCT(--ISNUMBER(SEARCH(voting,C59)))&gt;0)</f>
        <v>1</v>
      </c>
      <c r="Y59" s="35" cm="1">
        <f t="array" ref="Y59">INT(SUMPRODUCT(--ISNUMBER(SEARCH(republicantrigger,C59)))&gt;0)</f>
        <v>0</v>
      </c>
      <c r="Z59" s="35" cm="1">
        <f t="array" ref="Z59">INT(SUMPRODUCT(--ISNUMBER(SEARCH(bipartisan,C59)))&gt;0)</f>
        <v>0</v>
      </c>
      <c r="AA59" s="35">
        <f t="shared" si="0"/>
        <v>0</v>
      </c>
      <c r="AB59" s="14"/>
      <c r="AC59" s="30" t="s">
        <v>223</v>
      </c>
      <c r="AD59" s="37" t="s">
        <v>223</v>
      </c>
    </row>
    <row r="60" spans="1:30" x14ac:dyDescent="0.25">
      <c r="A60" s="36">
        <v>3283</v>
      </c>
      <c r="B60" s="14" t="s">
        <v>6591</v>
      </c>
      <c r="C60" s="31" t="s">
        <v>6592</v>
      </c>
      <c r="D60" s="17">
        <v>44132</v>
      </c>
      <c r="E60" s="14" t="s">
        <v>30</v>
      </c>
      <c r="F60" s="14">
        <v>77</v>
      </c>
      <c r="G60" s="14">
        <v>18</v>
      </c>
      <c r="H60" s="14">
        <v>15</v>
      </c>
      <c r="I60" s="14">
        <v>8</v>
      </c>
      <c r="J60" s="14" t="s">
        <v>31</v>
      </c>
      <c r="K60" s="14" cm="1">
        <f t="array" ref="K60">INT(SUMPRODUCT(--ISNUMBER(SEARCH(economy,C60)))&gt;0)</f>
        <v>0</v>
      </c>
      <c r="L60" s="14" cm="1">
        <f t="array" ref="L60">INT(SUMPRODUCT(--ISNUMBER(SEARCH(healthcare,C60)))&gt;0)</f>
        <v>0</v>
      </c>
      <c r="M60" s="14" cm="1">
        <f t="array" ref="M60">INT(SUMPRODUCT(--ISNUMBER(SEARCH(supreme,C60)))&gt;0)</f>
        <v>0</v>
      </c>
      <c r="N60" s="14" cm="1">
        <f t="array" ref="N60">INT(SUMPRODUCT(--ISNUMBER(SEARCH(covid,C60)))&gt;0)</f>
        <v>0</v>
      </c>
      <c r="O60" s="14" cm="1">
        <f t="array" ref="O60">INT(SUMPRODUCT(--ISNUMBER(SEARCH(violent,C60)))&gt;0)</f>
        <v>0</v>
      </c>
      <c r="P60" s="14" cm="1">
        <f t="array" ref="P60">INT(SUMPRODUCT(--ISNUMBER(SEARCH(foreign,C60)))&gt;0)</f>
        <v>0</v>
      </c>
      <c r="Q60" s="14" cm="1">
        <f t="array" ref="Q60">INT(SUMPRODUCT(--ISNUMBER(SEARCH(gun,C60)))&gt;0)</f>
        <v>0</v>
      </c>
      <c r="R60" s="14" cm="1">
        <f t="array" ref="R60">INT(SUMPRODUCT(--ISNUMBER(SEARCH(race,C60)))&gt;0)</f>
        <v>0</v>
      </c>
      <c r="S60" s="14" cm="1">
        <f t="array" ref="S60">INT(SUMPRODUCT(--ISNUMBER(SEARCH(immigration,C60)))&gt;0)</f>
        <v>0</v>
      </c>
      <c r="T60" s="14" cm="1">
        <f t="array" ref="T60">INT(SUMPRODUCT(--ISNUMBER(SEARCH(econineq,C61)))&gt;0)</f>
        <v>0</v>
      </c>
      <c r="U60" s="14" cm="1">
        <f t="array" ref="U60">INT(SUMPRODUCT(--ISNUMBER(SEARCH(climate,C60)))&gt;0)</f>
        <v>0</v>
      </c>
      <c r="V60" s="14" cm="1">
        <f t="array" ref="V60">INT(SUMPRODUCT(--ISNUMBER(SEARCH(abortion,C60)))&gt;0)</f>
        <v>0</v>
      </c>
      <c r="W60" s="14" cm="1">
        <f t="array" ref="W60">INT(SUMPRODUCT(--ISNUMBER(SEARCH(trump,C60)))&gt;0)</f>
        <v>0</v>
      </c>
      <c r="X60" s="14" cm="1">
        <f t="array" ref="X60">INT(SUMPRODUCT(--ISNUMBER(SEARCH(voting,C60)))&gt;0)</f>
        <v>1</v>
      </c>
      <c r="Y60" s="35" cm="1">
        <f t="array" ref="Y60">INT(SUMPRODUCT(--ISNUMBER(SEARCH(republicantrigger,C60)))&gt;0)</f>
        <v>0</v>
      </c>
      <c r="Z60" s="35" cm="1">
        <f t="array" ref="Z60">INT(SUMPRODUCT(--ISNUMBER(SEARCH(bipartisan,C60)))&gt;0)</f>
        <v>0</v>
      </c>
      <c r="AA60" s="35">
        <f t="shared" si="0"/>
        <v>0</v>
      </c>
      <c r="AB60" s="14"/>
      <c r="AC60" s="30">
        <v>1</v>
      </c>
      <c r="AD60" s="37">
        <v>0</v>
      </c>
    </row>
    <row r="61" spans="1:30" x14ac:dyDescent="0.25">
      <c r="A61" s="36">
        <v>3284</v>
      </c>
      <c r="B61" s="14" t="s">
        <v>6593</v>
      </c>
      <c r="C61" s="31" t="s">
        <v>6594</v>
      </c>
      <c r="D61" s="17">
        <v>44132</v>
      </c>
      <c r="E61" s="14" t="s">
        <v>30</v>
      </c>
      <c r="F61" s="14">
        <v>726</v>
      </c>
      <c r="G61" s="14">
        <v>142</v>
      </c>
      <c r="H61" s="14">
        <v>15</v>
      </c>
      <c r="I61" s="14">
        <v>8</v>
      </c>
      <c r="J61" s="14" t="s">
        <v>31</v>
      </c>
      <c r="K61" s="14" cm="1">
        <f t="array" ref="K61">INT(SUMPRODUCT(--ISNUMBER(SEARCH(economy,C61)))&gt;0)</f>
        <v>0</v>
      </c>
      <c r="L61" s="14" cm="1">
        <f t="array" ref="L61">INT(SUMPRODUCT(--ISNUMBER(SEARCH(healthcare,C61)))&gt;0)</f>
        <v>0</v>
      </c>
      <c r="M61" s="14" cm="1">
        <f t="array" ref="M61">INT(SUMPRODUCT(--ISNUMBER(SEARCH(supreme,C61)))&gt;0)</f>
        <v>0</v>
      </c>
      <c r="N61" s="14" cm="1">
        <f t="array" ref="N61">INT(SUMPRODUCT(--ISNUMBER(SEARCH(covid,C61)))&gt;0)</f>
        <v>0</v>
      </c>
      <c r="O61" s="14" cm="1">
        <f t="array" ref="O61">INT(SUMPRODUCT(--ISNUMBER(SEARCH(violent,C61)))&gt;0)</f>
        <v>0</v>
      </c>
      <c r="P61" s="14" cm="1">
        <f t="array" ref="P61">INT(SUMPRODUCT(--ISNUMBER(SEARCH(foreign,C61)))&gt;0)</f>
        <v>0</v>
      </c>
      <c r="Q61" s="14" cm="1">
        <f t="array" ref="Q61">INT(SUMPRODUCT(--ISNUMBER(SEARCH(gun,C61)))&gt;0)</f>
        <v>0</v>
      </c>
      <c r="R61" s="14" cm="1">
        <f t="array" ref="R61">INT(SUMPRODUCT(--ISNUMBER(SEARCH(race,C61)))&gt;0)</f>
        <v>0</v>
      </c>
      <c r="S61" s="14" cm="1">
        <f t="array" ref="S61">INT(SUMPRODUCT(--ISNUMBER(SEARCH(immigration,C61)))&gt;0)</f>
        <v>0</v>
      </c>
      <c r="T61" s="14" cm="1">
        <f t="array" ref="T61">INT(SUMPRODUCT(--ISNUMBER(SEARCH(econineq,C62)))&gt;0)</f>
        <v>0</v>
      </c>
      <c r="U61" s="14" cm="1">
        <f t="array" ref="U61">INT(SUMPRODUCT(--ISNUMBER(SEARCH(climate,C61)))&gt;0)</f>
        <v>0</v>
      </c>
      <c r="V61" s="14" cm="1">
        <f t="array" ref="V61">INT(SUMPRODUCT(--ISNUMBER(SEARCH(abortion,C61)))&gt;0)</f>
        <v>0</v>
      </c>
      <c r="W61" s="14" cm="1">
        <f t="array" ref="W61">INT(SUMPRODUCT(--ISNUMBER(SEARCH(trump,C61)))&gt;0)</f>
        <v>0</v>
      </c>
      <c r="X61" s="14" cm="1">
        <f t="array" ref="X61">INT(SUMPRODUCT(--ISNUMBER(SEARCH(voting,C61)))&gt;0)</f>
        <v>0</v>
      </c>
      <c r="Y61" s="35" cm="1">
        <f t="array" ref="Y61">INT(SUMPRODUCT(--ISNUMBER(SEARCH(republicantrigger,C61)))&gt;0)</f>
        <v>0</v>
      </c>
      <c r="Z61" s="35" cm="1">
        <f t="array" ref="Z61">INT(SUMPRODUCT(--ISNUMBER(SEARCH(bipartisan,C61)))&gt;0)</f>
        <v>0</v>
      </c>
      <c r="AA61" s="35">
        <f t="shared" si="0"/>
        <v>1</v>
      </c>
      <c r="AB61" s="14"/>
      <c r="AC61" s="30">
        <v>0</v>
      </c>
      <c r="AD61" s="37">
        <v>1</v>
      </c>
    </row>
    <row r="62" spans="1:30" x14ac:dyDescent="0.25">
      <c r="A62" s="36">
        <v>3285</v>
      </c>
      <c r="B62" s="14" t="s">
        <v>6595</v>
      </c>
      <c r="C62" s="31" t="s">
        <v>6596</v>
      </c>
      <c r="D62" s="17">
        <v>44132</v>
      </c>
      <c r="E62" s="14" t="s">
        <v>30</v>
      </c>
      <c r="F62" s="14">
        <v>51</v>
      </c>
      <c r="G62" s="14">
        <v>18</v>
      </c>
      <c r="H62" s="14">
        <v>15</v>
      </c>
      <c r="I62" s="14">
        <v>8</v>
      </c>
      <c r="J62" s="14" t="s">
        <v>31</v>
      </c>
      <c r="K62" s="14" cm="1">
        <f t="array" ref="K62">INT(SUMPRODUCT(--ISNUMBER(SEARCH(economy,C62)))&gt;0)</f>
        <v>0</v>
      </c>
      <c r="L62" s="14" cm="1">
        <f t="array" ref="L62">INT(SUMPRODUCT(--ISNUMBER(SEARCH(healthcare,C62)))&gt;0)</f>
        <v>0</v>
      </c>
      <c r="M62" s="14" cm="1">
        <f t="array" ref="M62">INT(SUMPRODUCT(--ISNUMBER(SEARCH(supreme,C62)))&gt;0)</f>
        <v>0</v>
      </c>
      <c r="N62" s="14" cm="1">
        <f t="array" ref="N62">INT(SUMPRODUCT(--ISNUMBER(SEARCH(covid,C62)))&gt;0)</f>
        <v>0</v>
      </c>
      <c r="O62" s="14" cm="1">
        <f t="array" ref="O62">INT(SUMPRODUCT(--ISNUMBER(SEARCH(violent,C62)))&gt;0)</f>
        <v>0</v>
      </c>
      <c r="P62" s="14" cm="1">
        <f t="array" ref="P62">INT(SUMPRODUCT(--ISNUMBER(SEARCH(foreign,C62)))&gt;0)</f>
        <v>0</v>
      </c>
      <c r="Q62" s="14" cm="1">
        <f t="array" ref="Q62">INT(SUMPRODUCT(--ISNUMBER(SEARCH(gun,C62)))&gt;0)</f>
        <v>0</v>
      </c>
      <c r="R62" s="14" cm="1">
        <f t="array" ref="R62">INT(SUMPRODUCT(--ISNUMBER(SEARCH(race,C62)))&gt;0)</f>
        <v>0</v>
      </c>
      <c r="S62" s="14" cm="1">
        <f t="array" ref="S62">INT(SUMPRODUCT(--ISNUMBER(SEARCH(immigration,C62)))&gt;0)</f>
        <v>0</v>
      </c>
      <c r="T62" s="14" cm="1">
        <f t="array" ref="T62">INT(SUMPRODUCT(--ISNUMBER(SEARCH(econineq,C63)))&gt;0)</f>
        <v>0</v>
      </c>
      <c r="U62" s="14" cm="1">
        <f t="array" ref="U62">INT(SUMPRODUCT(--ISNUMBER(SEARCH(climate,C62)))&gt;0)</f>
        <v>0</v>
      </c>
      <c r="V62" s="14" cm="1">
        <f t="array" ref="V62">INT(SUMPRODUCT(--ISNUMBER(SEARCH(abortion,C62)))&gt;0)</f>
        <v>0</v>
      </c>
      <c r="W62" s="14" cm="1">
        <f t="array" ref="W62">INT(SUMPRODUCT(--ISNUMBER(SEARCH(trump,C62)))&gt;0)</f>
        <v>0</v>
      </c>
      <c r="X62" s="14" cm="1">
        <f t="array" ref="X62">INT(SUMPRODUCT(--ISNUMBER(SEARCH(voting,C62)))&gt;0)</f>
        <v>1</v>
      </c>
      <c r="Y62" s="35" cm="1">
        <f t="array" ref="Y62">INT(SUMPRODUCT(--ISNUMBER(SEARCH(republicantrigger,C62)))&gt;0)</f>
        <v>0</v>
      </c>
      <c r="Z62" s="35" cm="1">
        <f t="array" ref="Z62">INT(SUMPRODUCT(--ISNUMBER(SEARCH(bipartisan,C62)))&gt;0)</f>
        <v>0</v>
      </c>
      <c r="AA62" s="35">
        <f t="shared" si="0"/>
        <v>0</v>
      </c>
      <c r="AB62" s="14"/>
      <c r="AC62" s="30">
        <v>0</v>
      </c>
      <c r="AD62" s="37">
        <v>1</v>
      </c>
    </row>
    <row r="63" spans="1:30" x14ac:dyDescent="0.25">
      <c r="A63" s="36">
        <v>3286</v>
      </c>
      <c r="B63" s="14" t="s">
        <v>6597</v>
      </c>
      <c r="C63" s="31" t="s">
        <v>6598</v>
      </c>
      <c r="D63" s="17">
        <v>44132</v>
      </c>
      <c r="E63" s="14" t="s">
        <v>30</v>
      </c>
      <c r="F63" s="14">
        <v>86</v>
      </c>
      <c r="G63" s="14">
        <v>30</v>
      </c>
      <c r="H63" s="14">
        <v>15</v>
      </c>
      <c r="I63" s="14">
        <v>8</v>
      </c>
      <c r="J63" s="14" t="s">
        <v>31</v>
      </c>
      <c r="K63" s="14" cm="1">
        <f t="array" ref="K63">INT(SUMPRODUCT(--ISNUMBER(SEARCH(economy,C63)))&gt;0)</f>
        <v>0</v>
      </c>
      <c r="L63" s="14" cm="1">
        <f t="array" ref="L63">INT(SUMPRODUCT(--ISNUMBER(SEARCH(healthcare,C63)))&gt;0)</f>
        <v>0</v>
      </c>
      <c r="M63" s="14" cm="1">
        <f t="array" ref="M63">INT(SUMPRODUCT(--ISNUMBER(SEARCH(supreme,C63)))&gt;0)</f>
        <v>0</v>
      </c>
      <c r="N63" s="14" cm="1">
        <f t="array" ref="N63">INT(SUMPRODUCT(--ISNUMBER(SEARCH(covid,C63)))&gt;0)</f>
        <v>0</v>
      </c>
      <c r="O63" s="14" cm="1">
        <f t="array" ref="O63">INT(SUMPRODUCT(--ISNUMBER(SEARCH(violent,C63)))&gt;0)</f>
        <v>0</v>
      </c>
      <c r="P63" s="14" cm="1">
        <f t="array" ref="P63">INT(SUMPRODUCT(--ISNUMBER(SEARCH(foreign,C63)))&gt;0)</f>
        <v>0</v>
      </c>
      <c r="Q63" s="14" cm="1">
        <f t="array" ref="Q63">INT(SUMPRODUCT(--ISNUMBER(SEARCH(gun,C63)))&gt;0)</f>
        <v>0</v>
      </c>
      <c r="R63" s="14" cm="1">
        <f t="array" ref="R63">INT(SUMPRODUCT(--ISNUMBER(SEARCH(race,C63)))&gt;0)</f>
        <v>0</v>
      </c>
      <c r="S63" s="14" cm="1">
        <f t="array" ref="S63">INT(SUMPRODUCT(--ISNUMBER(SEARCH(immigration,C63)))&gt;0)</f>
        <v>0</v>
      </c>
      <c r="T63" s="14" cm="1">
        <f t="array" ref="T63">INT(SUMPRODUCT(--ISNUMBER(SEARCH(econineq,C64)))&gt;0)</f>
        <v>0</v>
      </c>
      <c r="U63" s="14" cm="1">
        <f t="array" ref="U63">INT(SUMPRODUCT(--ISNUMBER(SEARCH(climate,C63)))&gt;0)</f>
        <v>0</v>
      </c>
      <c r="V63" s="14" cm="1">
        <f t="array" ref="V63">INT(SUMPRODUCT(--ISNUMBER(SEARCH(abortion,C63)))&gt;0)</f>
        <v>0</v>
      </c>
      <c r="W63" s="14" cm="1">
        <f t="array" ref="W63">INT(SUMPRODUCT(--ISNUMBER(SEARCH(trump,C63)))&gt;0)</f>
        <v>0</v>
      </c>
      <c r="X63" s="14" cm="1">
        <f t="array" ref="X63">INT(SUMPRODUCT(--ISNUMBER(SEARCH(voting,C63)))&gt;0)</f>
        <v>1</v>
      </c>
      <c r="Y63" s="35" cm="1">
        <f t="array" ref="Y63">INT(SUMPRODUCT(--ISNUMBER(SEARCH(republicantrigger,C63)))&gt;0)</f>
        <v>1</v>
      </c>
      <c r="Z63" s="35" cm="1">
        <f t="array" ref="Z63">INT(SUMPRODUCT(--ISNUMBER(SEARCH(bipartisan,C63)))&gt;0)</f>
        <v>0</v>
      </c>
      <c r="AA63" s="35">
        <f t="shared" si="0"/>
        <v>0</v>
      </c>
      <c r="AB63" s="14"/>
      <c r="AC63" s="30" t="s">
        <v>223</v>
      </c>
      <c r="AD63" s="37" t="s">
        <v>223</v>
      </c>
    </row>
    <row r="64" spans="1:30" x14ac:dyDescent="0.25">
      <c r="A64" s="36">
        <v>3287</v>
      </c>
      <c r="B64" s="14" t="s">
        <v>6599</v>
      </c>
      <c r="C64" s="31" t="s">
        <v>6600</v>
      </c>
      <c r="D64" s="17">
        <v>44132</v>
      </c>
      <c r="E64" s="14" t="s">
        <v>30</v>
      </c>
      <c r="F64" s="14">
        <v>51</v>
      </c>
      <c r="G64" s="14">
        <v>15</v>
      </c>
      <c r="H64" s="14">
        <v>15</v>
      </c>
      <c r="I64" s="14">
        <v>8</v>
      </c>
      <c r="J64" s="14" t="s">
        <v>31</v>
      </c>
      <c r="K64" s="14" cm="1">
        <f t="array" ref="K64">INT(SUMPRODUCT(--ISNUMBER(SEARCH(economy,C64)))&gt;0)</f>
        <v>0</v>
      </c>
      <c r="L64" s="14" cm="1">
        <f t="array" ref="L64">INT(SUMPRODUCT(--ISNUMBER(SEARCH(healthcare,C64)))&gt;0)</f>
        <v>0</v>
      </c>
      <c r="M64" s="14" cm="1">
        <f t="array" ref="M64">INT(SUMPRODUCT(--ISNUMBER(SEARCH(supreme,C64)))&gt;0)</f>
        <v>0</v>
      </c>
      <c r="N64" s="14" cm="1">
        <f t="array" ref="N64">INT(SUMPRODUCT(--ISNUMBER(SEARCH(covid,C64)))&gt;0)</f>
        <v>0</v>
      </c>
      <c r="O64" s="14" cm="1">
        <f t="array" ref="O64">INT(SUMPRODUCT(--ISNUMBER(SEARCH(violent,C64)))&gt;0)</f>
        <v>0</v>
      </c>
      <c r="P64" s="14" cm="1">
        <f t="array" ref="P64">INT(SUMPRODUCT(--ISNUMBER(SEARCH(foreign,C64)))&gt;0)</f>
        <v>0</v>
      </c>
      <c r="Q64" s="14" cm="1">
        <f t="array" ref="Q64">INT(SUMPRODUCT(--ISNUMBER(SEARCH(gun,C64)))&gt;0)</f>
        <v>0</v>
      </c>
      <c r="R64" s="14" cm="1">
        <f t="array" ref="R64">INT(SUMPRODUCT(--ISNUMBER(SEARCH(race,C64)))&gt;0)</f>
        <v>0</v>
      </c>
      <c r="S64" s="14" cm="1">
        <f t="array" ref="S64">INT(SUMPRODUCT(--ISNUMBER(SEARCH(immigration,C64)))&gt;0)</f>
        <v>0</v>
      </c>
      <c r="T64" s="14" cm="1">
        <f t="array" ref="T64">INT(SUMPRODUCT(--ISNUMBER(SEARCH(econineq,C65)))&gt;0)</f>
        <v>0</v>
      </c>
      <c r="U64" s="14" cm="1">
        <f t="array" ref="U64">INT(SUMPRODUCT(--ISNUMBER(SEARCH(climate,C64)))&gt;0)</f>
        <v>0</v>
      </c>
      <c r="V64" s="14" cm="1">
        <f t="array" ref="V64">INT(SUMPRODUCT(--ISNUMBER(SEARCH(abortion,C64)))&gt;0)</f>
        <v>0</v>
      </c>
      <c r="W64" s="14" cm="1">
        <f t="array" ref="W64">INT(SUMPRODUCT(--ISNUMBER(SEARCH(trump,C64)))&gt;0)</f>
        <v>0</v>
      </c>
      <c r="X64" s="14" cm="1">
        <f t="array" ref="X64">INT(SUMPRODUCT(--ISNUMBER(SEARCH(voting,C64)))&gt;0)</f>
        <v>1</v>
      </c>
      <c r="Y64" s="35" cm="1">
        <f t="array" ref="Y64">INT(SUMPRODUCT(--ISNUMBER(SEARCH(republicantrigger,C64)))&gt;0)</f>
        <v>0</v>
      </c>
      <c r="Z64" s="35" cm="1">
        <f t="array" ref="Z64">INT(SUMPRODUCT(--ISNUMBER(SEARCH(bipartisan,C64)))&gt;0)</f>
        <v>0</v>
      </c>
      <c r="AA64" s="35">
        <f t="shared" si="0"/>
        <v>0</v>
      </c>
      <c r="AB64" s="14"/>
      <c r="AC64" s="30">
        <v>0</v>
      </c>
      <c r="AD64" s="37">
        <v>1</v>
      </c>
    </row>
    <row r="65" spans="1:30" x14ac:dyDescent="0.25">
      <c r="A65" s="36">
        <v>3288</v>
      </c>
      <c r="B65" s="14" t="s">
        <v>6601</v>
      </c>
      <c r="C65" s="31" t="s">
        <v>6602</v>
      </c>
      <c r="D65" s="17">
        <v>44132</v>
      </c>
      <c r="E65" s="14" t="s">
        <v>30</v>
      </c>
      <c r="F65" s="14">
        <v>58</v>
      </c>
      <c r="G65" s="14">
        <v>18</v>
      </c>
      <c r="H65" s="14">
        <v>15</v>
      </c>
      <c r="I65" s="14">
        <v>8</v>
      </c>
      <c r="J65" s="14" t="s">
        <v>31</v>
      </c>
      <c r="K65" s="14" cm="1">
        <f t="array" ref="K65">INT(SUMPRODUCT(--ISNUMBER(SEARCH(economy,C65)))&gt;0)</f>
        <v>0</v>
      </c>
      <c r="L65" s="14" cm="1">
        <f t="array" ref="L65">INT(SUMPRODUCT(--ISNUMBER(SEARCH(healthcare,C65)))&gt;0)</f>
        <v>0</v>
      </c>
      <c r="M65" s="14" cm="1">
        <f t="array" ref="M65">INT(SUMPRODUCT(--ISNUMBER(SEARCH(supreme,C65)))&gt;0)</f>
        <v>1</v>
      </c>
      <c r="N65" s="14" cm="1">
        <f t="array" ref="N65">INT(SUMPRODUCT(--ISNUMBER(SEARCH(covid,C65)))&gt;0)</f>
        <v>0</v>
      </c>
      <c r="O65" s="14" cm="1">
        <f t="array" ref="O65">INT(SUMPRODUCT(--ISNUMBER(SEARCH(violent,C65)))&gt;0)</f>
        <v>0</v>
      </c>
      <c r="P65" s="14" cm="1">
        <f t="array" ref="P65">INT(SUMPRODUCT(--ISNUMBER(SEARCH(foreign,C65)))&gt;0)</f>
        <v>0</v>
      </c>
      <c r="Q65" s="14" cm="1">
        <f t="array" ref="Q65">INT(SUMPRODUCT(--ISNUMBER(SEARCH(gun,C65)))&gt;0)</f>
        <v>0</v>
      </c>
      <c r="R65" s="14" cm="1">
        <f t="array" ref="R65">INT(SUMPRODUCT(--ISNUMBER(SEARCH(race,C65)))&gt;0)</f>
        <v>0</v>
      </c>
      <c r="S65" s="14" cm="1">
        <f t="array" ref="S65">INT(SUMPRODUCT(--ISNUMBER(SEARCH(immigration,C65)))&gt;0)</f>
        <v>0</v>
      </c>
      <c r="T65" s="14" cm="1">
        <f t="array" ref="T65">INT(SUMPRODUCT(--ISNUMBER(SEARCH(econineq,C66)))&gt;0)</f>
        <v>0</v>
      </c>
      <c r="U65" s="14" cm="1">
        <f t="array" ref="U65">INT(SUMPRODUCT(--ISNUMBER(SEARCH(climate,C65)))&gt;0)</f>
        <v>0</v>
      </c>
      <c r="V65" s="14" cm="1">
        <f t="array" ref="V65">INT(SUMPRODUCT(--ISNUMBER(SEARCH(abortion,C65)))&gt;0)</f>
        <v>0</v>
      </c>
      <c r="W65" s="14" cm="1">
        <f t="array" ref="W65">INT(SUMPRODUCT(--ISNUMBER(SEARCH(trump,C65)))&gt;0)</f>
        <v>0</v>
      </c>
      <c r="X65" s="14" cm="1">
        <f t="array" ref="X65">INT(SUMPRODUCT(--ISNUMBER(SEARCH(voting,C65)))&gt;0)</f>
        <v>0</v>
      </c>
      <c r="Y65" s="35" cm="1">
        <f t="array" ref="Y65">INT(SUMPRODUCT(--ISNUMBER(SEARCH(republicantrigger,C65)))&gt;0)</f>
        <v>0</v>
      </c>
      <c r="Z65" s="35" cm="1">
        <f t="array" ref="Z65">INT(SUMPRODUCT(--ISNUMBER(SEARCH(bipartisan,C65)))&gt;0)</f>
        <v>0</v>
      </c>
      <c r="AA65" s="35">
        <f t="shared" si="0"/>
        <v>0</v>
      </c>
      <c r="AB65" s="14"/>
      <c r="AC65" s="30">
        <v>0</v>
      </c>
      <c r="AD65" s="37">
        <v>1</v>
      </c>
    </row>
    <row r="66" spans="1:30" x14ac:dyDescent="0.25">
      <c r="A66" s="36">
        <v>3289</v>
      </c>
      <c r="B66" s="14" t="s">
        <v>6603</v>
      </c>
      <c r="C66" s="31" t="s">
        <v>6604</v>
      </c>
      <c r="D66" s="17">
        <v>44131</v>
      </c>
      <c r="E66" s="14" t="s">
        <v>30</v>
      </c>
      <c r="F66" s="14">
        <v>205</v>
      </c>
      <c r="G66" s="14">
        <v>45</v>
      </c>
      <c r="H66" s="14">
        <v>15</v>
      </c>
      <c r="I66" s="14">
        <v>8</v>
      </c>
      <c r="J66" s="14" t="s">
        <v>31</v>
      </c>
      <c r="K66" s="14" cm="1">
        <f t="array" ref="K66">INT(SUMPRODUCT(--ISNUMBER(SEARCH(economy,C66)))&gt;0)</f>
        <v>0</v>
      </c>
      <c r="L66" s="14" cm="1">
        <f t="array" ref="L66">INT(SUMPRODUCT(--ISNUMBER(SEARCH(healthcare,C66)))&gt;0)</f>
        <v>0</v>
      </c>
      <c r="M66" s="14" cm="1">
        <f t="array" ref="M66">INT(SUMPRODUCT(--ISNUMBER(SEARCH(supreme,C66)))&gt;0)</f>
        <v>0</v>
      </c>
      <c r="N66" s="14" cm="1">
        <f t="array" ref="N66">INT(SUMPRODUCT(--ISNUMBER(SEARCH(covid,C66)))&gt;0)</f>
        <v>0</v>
      </c>
      <c r="O66" s="14" cm="1">
        <f t="array" ref="O66">INT(SUMPRODUCT(--ISNUMBER(SEARCH(violent,C66)))&gt;0)</f>
        <v>0</v>
      </c>
      <c r="P66" s="14" cm="1">
        <f t="array" ref="P66">INT(SUMPRODUCT(--ISNUMBER(SEARCH(foreign,C66)))&gt;0)</f>
        <v>0</v>
      </c>
      <c r="Q66" s="14" cm="1">
        <f t="array" ref="Q66">INT(SUMPRODUCT(--ISNUMBER(SEARCH(gun,C66)))&gt;0)</f>
        <v>0</v>
      </c>
      <c r="R66" s="14" cm="1">
        <f t="array" ref="R66">INT(SUMPRODUCT(--ISNUMBER(SEARCH(race,C66)))&gt;0)</f>
        <v>0</v>
      </c>
      <c r="S66" s="14" cm="1">
        <f t="array" ref="S66">INT(SUMPRODUCT(--ISNUMBER(SEARCH(immigration,C66)))&gt;0)</f>
        <v>0</v>
      </c>
      <c r="T66" s="14" cm="1">
        <f t="array" ref="T66">INT(SUMPRODUCT(--ISNUMBER(SEARCH(econineq,C67)))&gt;0)</f>
        <v>0</v>
      </c>
      <c r="U66" s="14" cm="1">
        <f t="array" ref="U66">INT(SUMPRODUCT(--ISNUMBER(SEARCH(climate,C66)))&gt;0)</f>
        <v>0</v>
      </c>
      <c r="V66" s="14" cm="1">
        <f t="array" ref="V66">INT(SUMPRODUCT(--ISNUMBER(SEARCH(abortion,C66)))&gt;0)</f>
        <v>0</v>
      </c>
      <c r="W66" s="14" cm="1">
        <f t="array" ref="W66">INT(SUMPRODUCT(--ISNUMBER(SEARCH(trump,C66)))&gt;0)</f>
        <v>1</v>
      </c>
      <c r="X66" s="14" cm="1">
        <f t="array" ref="X66">INT(SUMPRODUCT(--ISNUMBER(SEARCH(voting,C66)))&gt;0)</f>
        <v>0</v>
      </c>
      <c r="Y66" s="35" cm="1">
        <f t="array" ref="Y66">INT(SUMPRODUCT(--ISNUMBER(SEARCH(republicantrigger,C66)))&gt;0)</f>
        <v>0</v>
      </c>
      <c r="Z66" s="35" cm="1">
        <f t="array" ref="Z66">INT(SUMPRODUCT(--ISNUMBER(SEARCH(bipartisan,C66)))&gt;0)</f>
        <v>0</v>
      </c>
      <c r="AA66" s="35">
        <f t="shared" si="0"/>
        <v>0</v>
      </c>
      <c r="AB66" s="14"/>
      <c r="AC66" s="30">
        <v>0</v>
      </c>
      <c r="AD66" s="37">
        <v>1</v>
      </c>
    </row>
    <row r="67" spans="1:30" x14ac:dyDescent="0.25">
      <c r="A67" s="36">
        <v>3290</v>
      </c>
      <c r="B67" s="14" t="s">
        <v>6605</v>
      </c>
      <c r="C67" s="31" t="s">
        <v>6606</v>
      </c>
      <c r="D67" s="17">
        <v>44131</v>
      </c>
      <c r="E67" s="14" t="s">
        <v>30</v>
      </c>
      <c r="F67" s="14">
        <v>1430</v>
      </c>
      <c r="G67" s="14">
        <v>209</v>
      </c>
      <c r="H67" s="14">
        <v>15</v>
      </c>
      <c r="I67" s="14">
        <v>8</v>
      </c>
      <c r="J67" s="14" t="s">
        <v>31</v>
      </c>
      <c r="K67" s="14" cm="1">
        <f t="array" ref="K67">INT(SUMPRODUCT(--ISNUMBER(SEARCH(economy,C67)))&gt;0)</f>
        <v>0</v>
      </c>
      <c r="L67" s="14" cm="1">
        <f t="array" ref="L67">INT(SUMPRODUCT(--ISNUMBER(SEARCH(healthcare,C67)))&gt;0)</f>
        <v>0</v>
      </c>
      <c r="M67" s="14" cm="1">
        <f t="array" ref="M67">INT(SUMPRODUCT(--ISNUMBER(SEARCH(supreme,C67)))&gt;0)</f>
        <v>0</v>
      </c>
      <c r="N67" s="14" cm="1">
        <f t="array" ref="N67">INT(SUMPRODUCT(--ISNUMBER(SEARCH(covid,C67)))&gt;0)</f>
        <v>0</v>
      </c>
      <c r="O67" s="14" cm="1">
        <f t="array" ref="O67">INT(SUMPRODUCT(--ISNUMBER(SEARCH(violent,C67)))&gt;0)</f>
        <v>0</v>
      </c>
      <c r="P67" s="14" cm="1">
        <f t="array" ref="P67">INT(SUMPRODUCT(--ISNUMBER(SEARCH(foreign,C67)))&gt;0)</f>
        <v>0</v>
      </c>
      <c r="Q67" s="14" cm="1">
        <f t="array" ref="Q67">INT(SUMPRODUCT(--ISNUMBER(SEARCH(gun,C67)))&gt;0)</f>
        <v>0</v>
      </c>
      <c r="R67" s="14" cm="1">
        <f t="array" ref="R67">INT(SUMPRODUCT(--ISNUMBER(SEARCH(race,C67)))&gt;0)</f>
        <v>0</v>
      </c>
      <c r="S67" s="14" cm="1">
        <f t="array" ref="S67">INT(SUMPRODUCT(--ISNUMBER(SEARCH(immigration,C67)))&gt;0)</f>
        <v>0</v>
      </c>
      <c r="T67" s="14" cm="1">
        <f t="array" ref="T67">INT(SUMPRODUCT(--ISNUMBER(SEARCH(econineq,C68)))&gt;0)</f>
        <v>0</v>
      </c>
      <c r="U67" s="14" cm="1">
        <f t="array" ref="U67">INT(SUMPRODUCT(--ISNUMBER(SEARCH(climate,C67)))&gt;0)</f>
        <v>0</v>
      </c>
      <c r="V67" s="14" cm="1">
        <f t="array" ref="V67">INT(SUMPRODUCT(--ISNUMBER(SEARCH(abortion,C67)))&gt;0)</f>
        <v>0</v>
      </c>
      <c r="W67" s="14" cm="1">
        <f t="array" ref="W67">INT(SUMPRODUCT(--ISNUMBER(SEARCH(trump,C67)))&gt;0)</f>
        <v>1</v>
      </c>
      <c r="X67" s="14" cm="1">
        <f t="array" ref="X67">INT(SUMPRODUCT(--ISNUMBER(SEARCH(voting,C67)))&gt;0)</f>
        <v>0</v>
      </c>
      <c r="Y67" s="35" cm="1">
        <f t="array" ref="Y67">INT(SUMPRODUCT(--ISNUMBER(SEARCH(republicantrigger,C67)))&gt;0)</f>
        <v>0</v>
      </c>
      <c r="Z67" s="35" cm="1">
        <f t="array" ref="Z67">INT(SUMPRODUCT(--ISNUMBER(SEARCH(bipartisan,C67)))&gt;0)</f>
        <v>0</v>
      </c>
      <c r="AA67" s="35">
        <f t="shared" ref="AA67:AA130" si="1">INT(IF(COUNTIF(K67:Z67,1)=0,"1","0"))</f>
        <v>0</v>
      </c>
      <c r="AB67" s="14"/>
      <c r="AC67" s="30">
        <v>1</v>
      </c>
      <c r="AD67" s="37">
        <v>0</v>
      </c>
    </row>
    <row r="68" spans="1:30" x14ac:dyDescent="0.25">
      <c r="A68" s="36">
        <v>3291</v>
      </c>
      <c r="B68" s="14" t="s">
        <v>6607</v>
      </c>
      <c r="C68" s="31" t="s">
        <v>6608</v>
      </c>
      <c r="D68" s="17">
        <v>44131</v>
      </c>
      <c r="E68" s="14" t="s">
        <v>30</v>
      </c>
      <c r="F68" s="14">
        <v>40</v>
      </c>
      <c r="G68" s="14">
        <v>11</v>
      </c>
      <c r="H68" s="14">
        <v>15</v>
      </c>
      <c r="I68" s="14">
        <v>8</v>
      </c>
      <c r="J68" s="14" t="s">
        <v>31</v>
      </c>
      <c r="K68" s="14" cm="1">
        <f t="array" ref="K68">INT(SUMPRODUCT(--ISNUMBER(SEARCH(economy,C68)))&gt;0)</f>
        <v>0</v>
      </c>
      <c r="L68" s="14" cm="1">
        <f t="array" ref="L68">INT(SUMPRODUCT(--ISNUMBER(SEARCH(healthcare,C68)))&gt;0)</f>
        <v>0</v>
      </c>
      <c r="M68" s="14" cm="1">
        <f t="array" ref="M68">INT(SUMPRODUCT(--ISNUMBER(SEARCH(supreme,C68)))&gt;0)</f>
        <v>0</v>
      </c>
      <c r="N68" s="14" cm="1">
        <f t="array" ref="N68">INT(SUMPRODUCT(--ISNUMBER(SEARCH(covid,C68)))&gt;0)</f>
        <v>0</v>
      </c>
      <c r="O68" s="14" cm="1">
        <f t="array" ref="O68">INT(SUMPRODUCT(--ISNUMBER(SEARCH(violent,C68)))&gt;0)</f>
        <v>0</v>
      </c>
      <c r="P68" s="14" cm="1">
        <f t="array" ref="P68">INT(SUMPRODUCT(--ISNUMBER(SEARCH(foreign,C68)))&gt;0)</f>
        <v>0</v>
      </c>
      <c r="Q68" s="14" cm="1">
        <f t="array" ref="Q68">INT(SUMPRODUCT(--ISNUMBER(SEARCH(gun,C68)))&gt;0)</f>
        <v>0</v>
      </c>
      <c r="R68" s="14" cm="1">
        <f t="array" ref="R68">INT(SUMPRODUCT(--ISNUMBER(SEARCH(race,C68)))&gt;0)</f>
        <v>0</v>
      </c>
      <c r="S68" s="14" cm="1">
        <f t="array" ref="S68">INT(SUMPRODUCT(--ISNUMBER(SEARCH(immigration,C68)))&gt;0)</f>
        <v>0</v>
      </c>
      <c r="T68" s="14" cm="1">
        <f t="array" ref="T68">INT(SUMPRODUCT(--ISNUMBER(SEARCH(econineq,C69)))&gt;0)</f>
        <v>0</v>
      </c>
      <c r="U68" s="14" cm="1">
        <f t="array" ref="U68">INT(SUMPRODUCT(--ISNUMBER(SEARCH(climate,C68)))&gt;0)</f>
        <v>0</v>
      </c>
      <c r="V68" s="14" cm="1">
        <f t="array" ref="V68">INT(SUMPRODUCT(--ISNUMBER(SEARCH(abortion,C68)))&gt;0)</f>
        <v>0</v>
      </c>
      <c r="W68" s="14" cm="1">
        <f t="array" ref="W68">INT(SUMPRODUCT(--ISNUMBER(SEARCH(trump,C68)))&gt;0)</f>
        <v>0</v>
      </c>
      <c r="X68" s="14" cm="1">
        <f t="array" ref="X68">INT(SUMPRODUCT(--ISNUMBER(SEARCH(voting,C68)))&gt;0)</f>
        <v>0</v>
      </c>
      <c r="Y68" s="35" cm="1">
        <f t="array" ref="Y68">INT(SUMPRODUCT(--ISNUMBER(SEARCH(republicantrigger,C68)))&gt;0)</f>
        <v>0</v>
      </c>
      <c r="Z68" s="35" cm="1">
        <f t="array" ref="Z68">INT(SUMPRODUCT(--ISNUMBER(SEARCH(bipartisan,C68)))&gt;0)</f>
        <v>0</v>
      </c>
      <c r="AA68" s="35">
        <f t="shared" si="1"/>
        <v>1</v>
      </c>
      <c r="AB68" s="14"/>
      <c r="AC68" s="30" t="s">
        <v>223</v>
      </c>
      <c r="AD68" s="37" t="s">
        <v>223</v>
      </c>
    </row>
    <row r="69" spans="1:30" x14ac:dyDescent="0.25">
      <c r="A69" s="36">
        <v>3292</v>
      </c>
      <c r="B69" s="14" t="s">
        <v>6609</v>
      </c>
      <c r="C69" s="31" t="s">
        <v>6610</v>
      </c>
      <c r="D69" s="17">
        <v>44131</v>
      </c>
      <c r="E69" s="14" t="s">
        <v>30</v>
      </c>
      <c r="F69" s="14">
        <v>70</v>
      </c>
      <c r="G69" s="14">
        <v>36</v>
      </c>
      <c r="H69" s="14">
        <v>15</v>
      </c>
      <c r="I69" s="14">
        <v>8</v>
      </c>
      <c r="J69" s="14" t="s">
        <v>31</v>
      </c>
      <c r="K69" s="14" cm="1">
        <f t="array" ref="K69">INT(SUMPRODUCT(--ISNUMBER(SEARCH(economy,C69)))&gt;0)</f>
        <v>0</v>
      </c>
      <c r="L69" s="14" cm="1">
        <f t="array" ref="L69">INT(SUMPRODUCT(--ISNUMBER(SEARCH(healthcare,C69)))&gt;0)</f>
        <v>0</v>
      </c>
      <c r="M69" s="14" cm="1">
        <f t="array" ref="M69">INT(SUMPRODUCT(--ISNUMBER(SEARCH(supreme,C69)))&gt;0)</f>
        <v>1</v>
      </c>
      <c r="N69" s="14" cm="1">
        <f t="array" ref="N69">INT(SUMPRODUCT(--ISNUMBER(SEARCH(covid,C69)))&gt;0)</f>
        <v>0</v>
      </c>
      <c r="O69" s="14" cm="1">
        <f t="array" ref="O69">INT(SUMPRODUCT(--ISNUMBER(SEARCH(violent,C69)))&gt;0)</f>
        <v>0</v>
      </c>
      <c r="P69" s="14" cm="1">
        <f t="array" ref="P69">INT(SUMPRODUCT(--ISNUMBER(SEARCH(foreign,C69)))&gt;0)</f>
        <v>0</v>
      </c>
      <c r="Q69" s="14" cm="1">
        <f t="array" ref="Q69">INT(SUMPRODUCT(--ISNUMBER(SEARCH(gun,C69)))&gt;0)</f>
        <v>0</v>
      </c>
      <c r="R69" s="14" cm="1">
        <f t="array" ref="R69">INT(SUMPRODUCT(--ISNUMBER(SEARCH(race,C69)))&gt;0)</f>
        <v>0</v>
      </c>
      <c r="S69" s="14" cm="1">
        <f t="array" ref="S69">INT(SUMPRODUCT(--ISNUMBER(SEARCH(immigration,C69)))&gt;0)</f>
        <v>0</v>
      </c>
      <c r="T69" s="14" cm="1">
        <f t="array" ref="T69">INT(SUMPRODUCT(--ISNUMBER(SEARCH(econineq,C70)))&gt;0)</f>
        <v>0</v>
      </c>
      <c r="U69" s="14" cm="1">
        <f t="array" ref="U69">INT(SUMPRODUCT(--ISNUMBER(SEARCH(climate,C69)))&gt;0)</f>
        <v>0</v>
      </c>
      <c r="V69" s="14" cm="1">
        <f t="array" ref="V69">INT(SUMPRODUCT(--ISNUMBER(SEARCH(abortion,C69)))&gt;0)</f>
        <v>0</v>
      </c>
      <c r="W69" s="14" cm="1">
        <f t="array" ref="W69">INT(SUMPRODUCT(--ISNUMBER(SEARCH(trump,C69)))&gt;0)</f>
        <v>0</v>
      </c>
      <c r="X69" s="14" cm="1">
        <f t="array" ref="X69">INT(SUMPRODUCT(--ISNUMBER(SEARCH(voting,C69)))&gt;0)</f>
        <v>0</v>
      </c>
      <c r="Y69" s="35" cm="1">
        <f t="array" ref="Y69">INT(SUMPRODUCT(--ISNUMBER(SEARCH(republicantrigger,C69)))&gt;0)</f>
        <v>1</v>
      </c>
      <c r="Z69" s="35" cm="1">
        <f t="array" ref="Z69">INT(SUMPRODUCT(--ISNUMBER(SEARCH(bipartisan,C69)))&gt;0)</f>
        <v>0</v>
      </c>
      <c r="AA69" s="35">
        <f t="shared" si="1"/>
        <v>0</v>
      </c>
      <c r="AB69" s="14"/>
      <c r="AC69" s="30">
        <v>0</v>
      </c>
      <c r="AD69" s="37">
        <v>1</v>
      </c>
    </row>
    <row r="70" spans="1:30" x14ac:dyDescent="0.25">
      <c r="A70" s="36">
        <v>3293</v>
      </c>
      <c r="B70" s="14" t="s">
        <v>6611</v>
      </c>
      <c r="C70" s="31" t="s">
        <v>6612</v>
      </c>
      <c r="D70" s="17">
        <v>44131</v>
      </c>
      <c r="E70" s="14" t="s">
        <v>70</v>
      </c>
      <c r="F70" s="14">
        <v>40</v>
      </c>
      <c r="G70" s="14">
        <v>17</v>
      </c>
      <c r="H70" s="14">
        <v>15</v>
      </c>
      <c r="I70" s="14">
        <v>8</v>
      </c>
      <c r="J70" s="14" t="s">
        <v>31</v>
      </c>
      <c r="K70" s="14" cm="1">
        <f t="array" ref="K70">INT(SUMPRODUCT(--ISNUMBER(SEARCH(economy,C70)))&gt;0)</f>
        <v>0</v>
      </c>
      <c r="L70" s="14" cm="1">
        <f t="array" ref="L70">INT(SUMPRODUCT(--ISNUMBER(SEARCH(healthcare,C70)))&gt;0)</f>
        <v>0</v>
      </c>
      <c r="M70" s="14" cm="1">
        <f t="array" ref="M70">INT(SUMPRODUCT(--ISNUMBER(SEARCH(supreme,C70)))&gt;0)</f>
        <v>0</v>
      </c>
      <c r="N70" s="14" cm="1">
        <f t="array" ref="N70">INT(SUMPRODUCT(--ISNUMBER(SEARCH(covid,C70)))&gt;0)</f>
        <v>0</v>
      </c>
      <c r="O70" s="14" cm="1">
        <f t="array" ref="O70">INT(SUMPRODUCT(--ISNUMBER(SEARCH(violent,C70)))&gt;0)</f>
        <v>0</v>
      </c>
      <c r="P70" s="14" cm="1">
        <f t="array" ref="P70">INT(SUMPRODUCT(--ISNUMBER(SEARCH(foreign,C70)))&gt;0)</f>
        <v>0</v>
      </c>
      <c r="Q70" s="14" cm="1">
        <f t="array" ref="Q70">INT(SUMPRODUCT(--ISNUMBER(SEARCH(gun,C70)))&gt;0)</f>
        <v>0</v>
      </c>
      <c r="R70" s="14" cm="1">
        <f t="array" ref="R70">INT(SUMPRODUCT(--ISNUMBER(SEARCH(race,C70)))&gt;0)</f>
        <v>0</v>
      </c>
      <c r="S70" s="14" cm="1">
        <f t="array" ref="S70">INT(SUMPRODUCT(--ISNUMBER(SEARCH(immigration,C70)))&gt;0)</f>
        <v>0</v>
      </c>
      <c r="T70" s="14" cm="1">
        <f t="array" ref="T70">INT(SUMPRODUCT(--ISNUMBER(SEARCH(econineq,C71)))&gt;0)</f>
        <v>0</v>
      </c>
      <c r="U70" s="14" cm="1">
        <f t="array" ref="U70">INT(SUMPRODUCT(--ISNUMBER(SEARCH(climate,C70)))&gt;0)</f>
        <v>0</v>
      </c>
      <c r="V70" s="14" cm="1">
        <f t="array" ref="V70">INT(SUMPRODUCT(--ISNUMBER(SEARCH(abortion,C70)))&gt;0)</f>
        <v>0</v>
      </c>
      <c r="W70" s="14" cm="1">
        <f t="array" ref="W70">INT(SUMPRODUCT(--ISNUMBER(SEARCH(trump,C70)))&gt;0)</f>
        <v>0</v>
      </c>
      <c r="X70" s="14" cm="1">
        <f t="array" ref="X70">INT(SUMPRODUCT(--ISNUMBER(SEARCH(voting,C70)))&gt;0)</f>
        <v>0</v>
      </c>
      <c r="Y70" s="35" cm="1">
        <f t="array" ref="Y70">INT(SUMPRODUCT(--ISNUMBER(SEARCH(republicantrigger,C70)))&gt;0)</f>
        <v>1</v>
      </c>
      <c r="Z70" s="35" cm="1">
        <f t="array" ref="Z70">INT(SUMPRODUCT(--ISNUMBER(SEARCH(bipartisan,C70)))&gt;0)</f>
        <v>0</v>
      </c>
      <c r="AA70" s="35">
        <f t="shared" si="1"/>
        <v>0</v>
      </c>
      <c r="AB70" s="14"/>
      <c r="AC70" s="30">
        <v>1</v>
      </c>
      <c r="AD70" s="37">
        <v>0</v>
      </c>
    </row>
    <row r="71" spans="1:30" x14ac:dyDescent="0.25">
      <c r="A71" s="36">
        <v>3294</v>
      </c>
      <c r="B71" s="14" t="s">
        <v>6613</v>
      </c>
      <c r="C71" s="31" t="s">
        <v>6614</v>
      </c>
      <c r="D71" s="17">
        <v>44131</v>
      </c>
      <c r="E71" s="14" t="s">
        <v>70</v>
      </c>
      <c r="F71" s="14">
        <v>40</v>
      </c>
      <c r="G71" s="14">
        <v>10</v>
      </c>
      <c r="H71" s="14">
        <v>15</v>
      </c>
      <c r="I71" s="14">
        <v>8</v>
      </c>
      <c r="J71" s="14" t="s">
        <v>31</v>
      </c>
      <c r="K71" s="14" cm="1">
        <f t="array" ref="K71">INT(SUMPRODUCT(--ISNUMBER(SEARCH(economy,C71)))&gt;0)</f>
        <v>0</v>
      </c>
      <c r="L71" s="14" cm="1">
        <f t="array" ref="L71">INT(SUMPRODUCT(--ISNUMBER(SEARCH(healthcare,C71)))&gt;0)</f>
        <v>0</v>
      </c>
      <c r="M71" s="14" cm="1">
        <f t="array" ref="M71">INT(SUMPRODUCT(--ISNUMBER(SEARCH(supreme,C71)))&gt;0)</f>
        <v>0</v>
      </c>
      <c r="N71" s="14" cm="1">
        <f t="array" ref="N71">INT(SUMPRODUCT(--ISNUMBER(SEARCH(covid,C71)))&gt;0)</f>
        <v>0</v>
      </c>
      <c r="O71" s="14" cm="1">
        <f t="array" ref="O71">INT(SUMPRODUCT(--ISNUMBER(SEARCH(violent,C71)))&gt;0)</f>
        <v>0</v>
      </c>
      <c r="P71" s="14" cm="1">
        <f t="array" ref="P71">INT(SUMPRODUCT(--ISNUMBER(SEARCH(foreign,C71)))&gt;0)</f>
        <v>0</v>
      </c>
      <c r="Q71" s="14" cm="1">
        <f t="array" ref="Q71">INT(SUMPRODUCT(--ISNUMBER(SEARCH(gun,C71)))&gt;0)</f>
        <v>0</v>
      </c>
      <c r="R71" s="14" cm="1">
        <f t="array" ref="R71">INT(SUMPRODUCT(--ISNUMBER(SEARCH(race,C71)))&gt;0)</f>
        <v>0</v>
      </c>
      <c r="S71" s="14" cm="1">
        <f t="array" ref="S71">INT(SUMPRODUCT(--ISNUMBER(SEARCH(immigration,C71)))&gt;0)</f>
        <v>0</v>
      </c>
      <c r="T71" s="14" cm="1">
        <f t="array" ref="T71">INT(SUMPRODUCT(--ISNUMBER(SEARCH(econineq,C72)))&gt;0)</f>
        <v>0</v>
      </c>
      <c r="U71" s="14" cm="1">
        <f t="array" ref="U71">INT(SUMPRODUCT(--ISNUMBER(SEARCH(climate,C71)))&gt;0)</f>
        <v>0</v>
      </c>
      <c r="V71" s="14" cm="1">
        <f t="array" ref="V71">INT(SUMPRODUCT(--ISNUMBER(SEARCH(abortion,C71)))&gt;0)</f>
        <v>0</v>
      </c>
      <c r="W71" s="14" cm="1">
        <f t="array" ref="W71">INT(SUMPRODUCT(--ISNUMBER(SEARCH(trump,C71)))&gt;0)</f>
        <v>0</v>
      </c>
      <c r="X71" s="14" cm="1">
        <f t="array" ref="X71">INT(SUMPRODUCT(--ISNUMBER(SEARCH(voting,C71)))&gt;0)</f>
        <v>0</v>
      </c>
      <c r="Y71" s="35" cm="1">
        <f t="array" ref="Y71">INT(SUMPRODUCT(--ISNUMBER(SEARCH(republicantrigger,C71)))&gt;0)</f>
        <v>1</v>
      </c>
      <c r="Z71" s="35" cm="1">
        <f t="array" ref="Z71">INT(SUMPRODUCT(--ISNUMBER(SEARCH(bipartisan,C71)))&gt;0)</f>
        <v>0</v>
      </c>
      <c r="AA71" s="35">
        <f t="shared" si="1"/>
        <v>0</v>
      </c>
      <c r="AB71" s="14"/>
      <c r="AC71" s="30">
        <v>1</v>
      </c>
      <c r="AD71" s="37">
        <v>0</v>
      </c>
    </row>
    <row r="72" spans="1:30" x14ac:dyDescent="0.25">
      <c r="A72" s="36">
        <v>3295</v>
      </c>
      <c r="B72" s="14" t="s">
        <v>6615</v>
      </c>
      <c r="C72" s="31" t="s">
        <v>6616</v>
      </c>
      <c r="D72" s="17">
        <v>44131</v>
      </c>
      <c r="E72" s="14" t="s">
        <v>70</v>
      </c>
      <c r="F72" s="14">
        <v>27</v>
      </c>
      <c r="G72" s="14">
        <v>11</v>
      </c>
      <c r="H72" s="14">
        <v>15</v>
      </c>
      <c r="I72" s="14">
        <v>8</v>
      </c>
      <c r="J72" s="14" t="s">
        <v>31</v>
      </c>
      <c r="K72" s="14" cm="1">
        <f t="array" ref="K72">INT(SUMPRODUCT(--ISNUMBER(SEARCH(economy,C72)))&gt;0)</f>
        <v>0</v>
      </c>
      <c r="L72" s="14" cm="1">
        <f t="array" ref="L72">INT(SUMPRODUCT(--ISNUMBER(SEARCH(healthcare,C72)))&gt;0)</f>
        <v>0</v>
      </c>
      <c r="M72" s="14" cm="1">
        <f t="array" ref="M72">INT(SUMPRODUCT(--ISNUMBER(SEARCH(supreme,C72)))&gt;0)</f>
        <v>0</v>
      </c>
      <c r="N72" s="14" cm="1">
        <f t="array" ref="N72">INT(SUMPRODUCT(--ISNUMBER(SEARCH(covid,C72)))&gt;0)</f>
        <v>0</v>
      </c>
      <c r="O72" s="14" cm="1">
        <f t="array" ref="O72">INT(SUMPRODUCT(--ISNUMBER(SEARCH(violent,C72)))&gt;0)</f>
        <v>0</v>
      </c>
      <c r="P72" s="14" cm="1">
        <f t="array" ref="P72">INT(SUMPRODUCT(--ISNUMBER(SEARCH(foreign,C72)))&gt;0)</f>
        <v>0</v>
      </c>
      <c r="Q72" s="14" cm="1">
        <f t="array" ref="Q72">INT(SUMPRODUCT(--ISNUMBER(SEARCH(gun,C72)))&gt;0)</f>
        <v>0</v>
      </c>
      <c r="R72" s="14" cm="1">
        <f t="array" ref="R72">INT(SUMPRODUCT(--ISNUMBER(SEARCH(race,C72)))&gt;0)</f>
        <v>0</v>
      </c>
      <c r="S72" s="14" cm="1">
        <f t="array" ref="S72">INT(SUMPRODUCT(--ISNUMBER(SEARCH(immigration,C72)))&gt;0)</f>
        <v>0</v>
      </c>
      <c r="T72" s="14" cm="1">
        <f t="array" ref="T72">INT(SUMPRODUCT(--ISNUMBER(SEARCH(econineq,C73)))&gt;0)</f>
        <v>0</v>
      </c>
      <c r="U72" s="14" cm="1">
        <f t="array" ref="U72">INT(SUMPRODUCT(--ISNUMBER(SEARCH(climate,C72)))&gt;0)</f>
        <v>0</v>
      </c>
      <c r="V72" s="14" cm="1">
        <f t="array" ref="V72">INT(SUMPRODUCT(--ISNUMBER(SEARCH(abortion,C72)))&gt;0)</f>
        <v>0</v>
      </c>
      <c r="W72" s="14" cm="1">
        <f t="array" ref="W72">INT(SUMPRODUCT(--ISNUMBER(SEARCH(trump,C72)))&gt;0)</f>
        <v>0</v>
      </c>
      <c r="X72" s="14" cm="1">
        <f t="array" ref="X72">INT(SUMPRODUCT(--ISNUMBER(SEARCH(voting,C72)))&gt;0)</f>
        <v>0</v>
      </c>
      <c r="Y72" s="35" cm="1">
        <f t="array" ref="Y72">INT(SUMPRODUCT(--ISNUMBER(SEARCH(republicantrigger,C72)))&gt;0)</f>
        <v>1</v>
      </c>
      <c r="Z72" s="35" cm="1">
        <f t="array" ref="Z72">INT(SUMPRODUCT(--ISNUMBER(SEARCH(bipartisan,C72)))&gt;0)</f>
        <v>0</v>
      </c>
      <c r="AA72" s="35">
        <f t="shared" si="1"/>
        <v>0</v>
      </c>
      <c r="AB72" s="14"/>
      <c r="AC72" s="30">
        <v>1</v>
      </c>
      <c r="AD72" s="37">
        <v>0</v>
      </c>
    </row>
    <row r="73" spans="1:30" x14ac:dyDescent="0.25">
      <c r="A73" s="36">
        <v>3296</v>
      </c>
      <c r="B73" s="14" t="s">
        <v>6617</v>
      </c>
      <c r="C73" s="31" t="s">
        <v>6618</v>
      </c>
      <c r="D73" s="17">
        <v>44131</v>
      </c>
      <c r="E73" s="14" t="s">
        <v>30</v>
      </c>
      <c r="F73" s="14">
        <v>165</v>
      </c>
      <c r="G73" s="14">
        <v>65</v>
      </c>
      <c r="H73" s="14">
        <v>15</v>
      </c>
      <c r="I73" s="14">
        <v>8</v>
      </c>
      <c r="J73" s="14" t="s">
        <v>31</v>
      </c>
      <c r="K73" s="14" cm="1">
        <f t="array" ref="K73">INT(SUMPRODUCT(--ISNUMBER(SEARCH(economy,C73)))&gt;0)</f>
        <v>0</v>
      </c>
      <c r="L73" s="14" cm="1">
        <f t="array" ref="L73">INT(SUMPRODUCT(--ISNUMBER(SEARCH(healthcare,C73)))&gt;0)</f>
        <v>0</v>
      </c>
      <c r="M73" s="14" cm="1">
        <f t="array" ref="M73">INT(SUMPRODUCT(--ISNUMBER(SEARCH(supreme,C73)))&gt;0)</f>
        <v>1</v>
      </c>
      <c r="N73" s="14" cm="1">
        <f t="array" ref="N73">INT(SUMPRODUCT(--ISNUMBER(SEARCH(covid,C73)))&gt;0)</f>
        <v>0</v>
      </c>
      <c r="O73" s="14" cm="1">
        <f t="array" ref="O73">INT(SUMPRODUCT(--ISNUMBER(SEARCH(violent,C73)))&gt;0)</f>
        <v>0</v>
      </c>
      <c r="P73" s="14" cm="1">
        <f t="array" ref="P73">INT(SUMPRODUCT(--ISNUMBER(SEARCH(foreign,C73)))&gt;0)</f>
        <v>0</v>
      </c>
      <c r="Q73" s="14" cm="1">
        <f t="array" ref="Q73">INT(SUMPRODUCT(--ISNUMBER(SEARCH(gun,C73)))&gt;0)</f>
        <v>0</v>
      </c>
      <c r="R73" s="14" cm="1">
        <f t="array" ref="R73">INT(SUMPRODUCT(--ISNUMBER(SEARCH(race,C73)))&gt;0)</f>
        <v>0</v>
      </c>
      <c r="S73" s="14" cm="1">
        <f t="array" ref="S73">INT(SUMPRODUCT(--ISNUMBER(SEARCH(immigration,C73)))&gt;0)</f>
        <v>0</v>
      </c>
      <c r="T73" s="14" cm="1">
        <f t="array" ref="T73">INT(SUMPRODUCT(--ISNUMBER(SEARCH(econineq,C74)))&gt;0)</f>
        <v>0</v>
      </c>
      <c r="U73" s="14" cm="1">
        <f t="array" ref="U73">INT(SUMPRODUCT(--ISNUMBER(SEARCH(climate,C73)))&gt;0)</f>
        <v>0</v>
      </c>
      <c r="V73" s="14" cm="1">
        <f t="array" ref="V73">INT(SUMPRODUCT(--ISNUMBER(SEARCH(abortion,C73)))&gt;0)</f>
        <v>0</v>
      </c>
      <c r="W73" s="14" cm="1">
        <f t="array" ref="W73">INT(SUMPRODUCT(--ISNUMBER(SEARCH(trump,C73)))&gt;0)</f>
        <v>0</v>
      </c>
      <c r="X73" s="14" cm="1">
        <f t="array" ref="X73">INT(SUMPRODUCT(--ISNUMBER(SEARCH(voting,C73)))&gt;0)</f>
        <v>0</v>
      </c>
      <c r="Y73" s="35" cm="1">
        <f t="array" ref="Y73">INT(SUMPRODUCT(--ISNUMBER(SEARCH(republicantrigger,C73)))&gt;0)</f>
        <v>1</v>
      </c>
      <c r="Z73" s="35" cm="1">
        <f t="array" ref="Z73">INT(SUMPRODUCT(--ISNUMBER(SEARCH(bipartisan,C73)))&gt;0)</f>
        <v>0</v>
      </c>
      <c r="AA73" s="35">
        <f t="shared" si="1"/>
        <v>0</v>
      </c>
      <c r="AB73" s="14"/>
      <c r="AC73" s="30" t="s">
        <v>223</v>
      </c>
      <c r="AD73" s="37" t="s">
        <v>223</v>
      </c>
    </row>
    <row r="74" spans="1:30" x14ac:dyDescent="0.25">
      <c r="A74" s="36">
        <v>3297</v>
      </c>
      <c r="B74" s="14" t="s">
        <v>6619</v>
      </c>
      <c r="C74" s="31" t="s">
        <v>6620</v>
      </c>
      <c r="D74" s="17">
        <v>44131</v>
      </c>
      <c r="E74" s="14" t="s">
        <v>30</v>
      </c>
      <c r="F74" s="14">
        <v>208</v>
      </c>
      <c r="G74" s="14">
        <v>44</v>
      </c>
      <c r="H74" s="14">
        <v>15</v>
      </c>
      <c r="I74" s="14">
        <v>8</v>
      </c>
      <c r="J74" s="14" t="s">
        <v>31</v>
      </c>
      <c r="K74" s="14" cm="1">
        <f t="array" ref="K74">INT(SUMPRODUCT(--ISNUMBER(SEARCH(economy,C74)))&gt;0)</f>
        <v>0</v>
      </c>
      <c r="L74" s="14" cm="1">
        <f t="array" ref="L74">INT(SUMPRODUCT(--ISNUMBER(SEARCH(healthcare,C74)))&gt;0)</f>
        <v>0</v>
      </c>
      <c r="M74" s="14" cm="1">
        <f t="array" ref="M74">INT(SUMPRODUCT(--ISNUMBER(SEARCH(supreme,C74)))&gt;0)</f>
        <v>1</v>
      </c>
      <c r="N74" s="14" cm="1">
        <f t="array" ref="N74">INT(SUMPRODUCT(--ISNUMBER(SEARCH(covid,C74)))&gt;0)</f>
        <v>0</v>
      </c>
      <c r="O74" s="14" cm="1">
        <f t="array" ref="O74">INT(SUMPRODUCT(--ISNUMBER(SEARCH(violent,C74)))&gt;0)</f>
        <v>0</v>
      </c>
      <c r="P74" s="14" cm="1">
        <f t="array" ref="P74">INT(SUMPRODUCT(--ISNUMBER(SEARCH(foreign,C74)))&gt;0)</f>
        <v>0</v>
      </c>
      <c r="Q74" s="14" cm="1">
        <f t="array" ref="Q74">INT(SUMPRODUCT(--ISNUMBER(SEARCH(gun,C74)))&gt;0)</f>
        <v>0</v>
      </c>
      <c r="R74" s="14" cm="1">
        <f t="array" ref="R74">INT(SUMPRODUCT(--ISNUMBER(SEARCH(race,C74)))&gt;0)</f>
        <v>0</v>
      </c>
      <c r="S74" s="14" cm="1">
        <f t="array" ref="S74">INT(SUMPRODUCT(--ISNUMBER(SEARCH(immigration,C74)))&gt;0)</f>
        <v>0</v>
      </c>
      <c r="T74" s="14" cm="1">
        <f t="array" ref="T74">INT(SUMPRODUCT(--ISNUMBER(SEARCH(econineq,C75)))&gt;0)</f>
        <v>0</v>
      </c>
      <c r="U74" s="14" cm="1">
        <f t="array" ref="U74">INT(SUMPRODUCT(--ISNUMBER(SEARCH(climate,C74)))&gt;0)</f>
        <v>0</v>
      </c>
      <c r="V74" s="14" cm="1">
        <f t="array" ref="V74">INT(SUMPRODUCT(--ISNUMBER(SEARCH(abortion,C74)))&gt;0)</f>
        <v>0</v>
      </c>
      <c r="W74" s="14" cm="1">
        <f t="array" ref="W74">INT(SUMPRODUCT(--ISNUMBER(SEARCH(trump,C74)))&gt;0)</f>
        <v>1</v>
      </c>
      <c r="X74" s="14" cm="1">
        <f t="array" ref="X74">INT(SUMPRODUCT(--ISNUMBER(SEARCH(voting,C74)))&gt;0)</f>
        <v>0</v>
      </c>
      <c r="Y74" s="35" cm="1">
        <f t="array" ref="Y74">INT(SUMPRODUCT(--ISNUMBER(SEARCH(republicantrigger,C74)))&gt;0)</f>
        <v>0</v>
      </c>
      <c r="Z74" s="35" cm="1">
        <f t="array" ref="Z74">INT(SUMPRODUCT(--ISNUMBER(SEARCH(bipartisan,C74)))&gt;0)</f>
        <v>0</v>
      </c>
      <c r="AA74" s="35">
        <f t="shared" si="1"/>
        <v>0</v>
      </c>
      <c r="AB74" s="14"/>
      <c r="AC74" s="30" t="s">
        <v>223</v>
      </c>
      <c r="AD74" s="37" t="s">
        <v>223</v>
      </c>
    </row>
    <row r="75" spans="1:30" x14ac:dyDescent="0.25">
      <c r="A75" s="36">
        <v>3298</v>
      </c>
      <c r="B75" s="14" t="s">
        <v>6621</v>
      </c>
      <c r="C75" s="31" t="s">
        <v>6622</v>
      </c>
      <c r="D75" s="17">
        <v>44131</v>
      </c>
      <c r="E75" s="14" t="s">
        <v>30</v>
      </c>
      <c r="F75" s="14">
        <v>917</v>
      </c>
      <c r="G75" s="14">
        <v>103</v>
      </c>
      <c r="H75" s="14">
        <v>15</v>
      </c>
      <c r="I75" s="14">
        <v>8</v>
      </c>
      <c r="J75" s="14" t="s">
        <v>31</v>
      </c>
      <c r="K75" s="14" cm="1">
        <f t="array" ref="K75">INT(SUMPRODUCT(--ISNUMBER(SEARCH(economy,C75)))&gt;0)</f>
        <v>0</v>
      </c>
      <c r="L75" s="14" cm="1">
        <f t="array" ref="L75">INT(SUMPRODUCT(--ISNUMBER(SEARCH(healthcare,C75)))&gt;0)</f>
        <v>0</v>
      </c>
      <c r="M75" s="14" cm="1">
        <f t="array" ref="M75">INT(SUMPRODUCT(--ISNUMBER(SEARCH(supreme,C75)))&gt;0)</f>
        <v>1</v>
      </c>
      <c r="N75" s="14" cm="1">
        <f t="array" ref="N75">INT(SUMPRODUCT(--ISNUMBER(SEARCH(covid,C75)))&gt;0)</f>
        <v>0</v>
      </c>
      <c r="O75" s="14" cm="1">
        <f t="array" ref="O75">INT(SUMPRODUCT(--ISNUMBER(SEARCH(violent,C75)))&gt;0)</f>
        <v>0</v>
      </c>
      <c r="P75" s="14" cm="1">
        <f t="array" ref="P75">INT(SUMPRODUCT(--ISNUMBER(SEARCH(foreign,C75)))&gt;0)</f>
        <v>0</v>
      </c>
      <c r="Q75" s="14" cm="1">
        <f t="array" ref="Q75">INT(SUMPRODUCT(--ISNUMBER(SEARCH(gun,C75)))&gt;0)</f>
        <v>0</v>
      </c>
      <c r="R75" s="14" cm="1">
        <f t="array" ref="R75">INT(SUMPRODUCT(--ISNUMBER(SEARCH(race,C75)))&gt;0)</f>
        <v>0</v>
      </c>
      <c r="S75" s="14" cm="1">
        <f t="array" ref="S75">INT(SUMPRODUCT(--ISNUMBER(SEARCH(immigration,C75)))&gt;0)</f>
        <v>0</v>
      </c>
      <c r="T75" s="14" cm="1">
        <f t="array" ref="T75">INT(SUMPRODUCT(--ISNUMBER(SEARCH(econineq,C76)))&gt;0)</f>
        <v>0</v>
      </c>
      <c r="U75" s="14" cm="1">
        <f t="array" ref="U75">INT(SUMPRODUCT(--ISNUMBER(SEARCH(climate,C75)))&gt;0)</f>
        <v>0</v>
      </c>
      <c r="V75" s="14" cm="1">
        <f t="array" ref="V75">INT(SUMPRODUCT(--ISNUMBER(SEARCH(abortion,C75)))&gt;0)</f>
        <v>0</v>
      </c>
      <c r="W75" s="14" cm="1">
        <f t="array" ref="W75">INT(SUMPRODUCT(--ISNUMBER(SEARCH(trump,C75)))&gt;0)</f>
        <v>0</v>
      </c>
      <c r="X75" s="14" cm="1">
        <f t="array" ref="X75">INT(SUMPRODUCT(--ISNUMBER(SEARCH(voting,C75)))&gt;0)</f>
        <v>1</v>
      </c>
      <c r="Y75" s="35" cm="1">
        <f t="array" ref="Y75">INT(SUMPRODUCT(--ISNUMBER(SEARCH(republicantrigger,C75)))&gt;0)</f>
        <v>0</v>
      </c>
      <c r="Z75" s="35" cm="1">
        <f t="array" ref="Z75">INT(SUMPRODUCT(--ISNUMBER(SEARCH(bipartisan,C75)))&gt;0)</f>
        <v>0</v>
      </c>
      <c r="AA75" s="35">
        <f t="shared" si="1"/>
        <v>0</v>
      </c>
      <c r="AB75" s="14"/>
      <c r="AC75" s="30" t="s">
        <v>223</v>
      </c>
      <c r="AD75" s="37" t="s">
        <v>223</v>
      </c>
    </row>
    <row r="76" spans="1:30" x14ac:dyDescent="0.25">
      <c r="A76" s="36">
        <v>3299</v>
      </c>
      <c r="B76" s="14" t="s">
        <v>6623</v>
      </c>
      <c r="C76" s="31" t="s">
        <v>6624</v>
      </c>
      <c r="D76" s="17">
        <v>44130</v>
      </c>
      <c r="E76" s="14" t="s">
        <v>30</v>
      </c>
      <c r="F76" s="14">
        <v>377</v>
      </c>
      <c r="G76" s="14">
        <v>104</v>
      </c>
      <c r="H76" s="14">
        <v>15</v>
      </c>
      <c r="I76" s="14">
        <v>8</v>
      </c>
      <c r="J76" s="14" t="s">
        <v>31</v>
      </c>
      <c r="K76" s="14" cm="1">
        <f t="array" ref="K76">INT(SUMPRODUCT(--ISNUMBER(SEARCH(economy,C76)))&gt;0)</f>
        <v>0</v>
      </c>
      <c r="L76" s="14" cm="1">
        <f t="array" ref="L76">INT(SUMPRODUCT(--ISNUMBER(SEARCH(healthcare,C76)))&gt;0)</f>
        <v>0</v>
      </c>
      <c r="M76" s="14" cm="1">
        <f t="array" ref="M76">INT(SUMPRODUCT(--ISNUMBER(SEARCH(supreme,C76)))&gt;0)</f>
        <v>0</v>
      </c>
      <c r="N76" s="14" cm="1">
        <f t="array" ref="N76">INT(SUMPRODUCT(--ISNUMBER(SEARCH(covid,C76)))&gt;0)</f>
        <v>0</v>
      </c>
      <c r="O76" s="14" cm="1">
        <f t="array" ref="O76">INT(SUMPRODUCT(--ISNUMBER(SEARCH(violent,C76)))&gt;0)</f>
        <v>0</v>
      </c>
      <c r="P76" s="14" cm="1">
        <f t="array" ref="P76">INT(SUMPRODUCT(--ISNUMBER(SEARCH(foreign,C76)))&gt;0)</f>
        <v>0</v>
      </c>
      <c r="Q76" s="14" cm="1">
        <f t="array" ref="Q76">INT(SUMPRODUCT(--ISNUMBER(SEARCH(gun,C76)))&gt;0)</f>
        <v>0</v>
      </c>
      <c r="R76" s="14" cm="1">
        <f t="array" ref="R76">INT(SUMPRODUCT(--ISNUMBER(SEARCH(race,C76)))&gt;0)</f>
        <v>0</v>
      </c>
      <c r="S76" s="14" cm="1">
        <f t="array" ref="S76">INT(SUMPRODUCT(--ISNUMBER(SEARCH(immigration,C76)))&gt;0)</f>
        <v>0</v>
      </c>
      <c r="T76" s="14" cm="1">
        <f t="array" ref="T76">INT(SUMPRODUCT(--ISNUMBER(SEARCH(econineq,C77)))&gt;0)</f>
        <v>0</v>
      </c>
      <c r="U76" s="14" cm="1">
        <f t="array" ref="U76">INT(SUMPRODUCT(--ISNUMBER(SEARCH(climate,C76)))&gt;0)</f>
        <v>0</v>
      </c>
      <c r="V76" s="14" cm="1">
        <f t="array" ref="V76">INT(SUMPRODUCT(--ISNUMBER(SEARCH(abortion,C76)))&gt;0)</f>
        <v>0</v>
      </c>
      <c r="W76" s="14" cm="1">
        <f t="array" ref="W76">INT(SUMPRODUCT(--ISNUMBER(SEARCH(trump,C76)))&gt;0)</f>
        <v>0</v>
      </c>
      <c r="X76" s="14" cm="1">
        <f t="array" ref="X76">INT(SUMPRODUCT(--ISNUMBER(SEARCH(voting,C76)))&gt;0)</f>
        <v>1</v>
      </c>
      <c r="Y76" s="35" cm="1">
        <f t="array" ref="Y76">INT(SUMPRODUCT(--ISNUMBER(SEARCH(republicantrigger,C76)))&gt;0)</f>
        <v>0</v>
      </c>
      <c r="Z76" s="35" cm="1">
        <f t="array" ref="Z76">INT(SUMPRODUCT(--ISNUMBER(SEARCH(bipartisan,C76)))&gt;0)</f>
        <v>0</v>
      </c>
      <c r="AA76" s="35">
        <f t="shared" si="1"/>
        <v>0</v>
      </c>
      <c r="AB76" s="14"/>
      <c r="AC76" s="30">
        <v>0</v>
      </c>
      <c r="AD76" s="37">
        <v>1</v>
      </c>
    </row>
    <row r="77" spans="1:30" x14ac:dyDescent="0.25">
      <c r="A77" s="36">
        <v>3300</v>
      </c>
      <c r="B77" s="14" t="s">
        <v>6625</v>
      </c>
      <c r="C77" s="31" t="s">
        <v>6626</v>
      </c>
      <c r="D77" s="17">
        <v>44130</v>
      </c>
      <c r="E77" s="14" t="s">
        <v>30</v>
      </c>
      <c r="F77" s="14">
        <v>110</v>
      </c>
      <c r="G77" s="14">
        <v>40</v>
      </c>
      <c r="H77" s="14">
        <v>15</v>
      </c>
      <c r="I77" s="14">
        <v>8</v>
      </c>
      <c r="J77" s="14" t="s">
        <v>31</v>
      </c>
      <c r="K77" s="14" cm="1">
        <f t="array" ref="K77">INT(SUMPRODUCT(--ISNUMBER(SEARCH(economy,C77)))&gt;0)</f>
        <v>0</v>
      </c>
      <c r="L77" s="14" cm="1">
        <f t="array" ref="L77">INT(SUMPRODUCT(--ISNUMBER(SEARCH(healthcare,C77)))&gt;0)</f>
        <v>0</v>
      </c>
      <c r="M77" s="14" cm="1">
        <f t="array" ref="M77">INT(SUMPRODUCT(--ISNUMBER(SEARCH(supreme,C77)))&gt;0)</f>
        <v>0</v>
      </c>
      <c r="N77" s="14" cm="1">
        <f t="array" ref="N77">INT(SUMPRODUCT(--ISNUMBER(SEARCH(covid,C77)))&gt;0)</f>
        <v>0</v>
      </c>
      <c r="O77" s="14" cm="1">
        <f t="array" ref="O77">INT(SUMPRODUCT(--ISNUMBER(SEARCH(violent,C77)))&gt;0)</f>
        <v>0</v>
      </c>
      <c r="P77" s="14" cm="1">
        <f t="array" ref="P77">INT(SUMPRODUCT(--ISNUMBER(SEARCH(foreign,C77)))&gt;0)</f>
        <v>0</v>
      </c>
      <c r="Q77" s="14" cm="1">
        <f t="array" ref="Q77">INT(SUMPRODUCT(--ISNUMBER(SEARCH(gun,C77)))&gt;0)</f>
        <v>0</v>
      </c>
      <c r="R77" s="14" cm="1">
        <f t="array" ref="R77">INT(SUMPRODUCT(--ISNUMBER(SEARCH(race,C77)))&gt;0)</f>
        <v>0</v>
      </c>
      <c r="S77" s="14" cm="1">
        <f t="array" ref="S77">INT(SUMPRODUCT(--ISNUMBER(SEARCH(immigration,C77)))&gt;0)</f>
        <v>0</v>
      </c>
      <c r="T77" s="14" cm="1">
        <f t="array" ref="T77">INT(SUMPRODUCT(--ISNUMBER(SEARCH(econineq,C78)))&gt;0)</f>
        <v>0</v>
      </c>
      <c r="U77" s="14" cm="1">
        <f t="array" ref="U77">INT(SUMPRODUCT(--ISNUMBER(SEARCH(climate,C77)))&gt;0)</f>
        <v>0</v>
      </c>
      <c r="V77" s="14" cm="1">
        <f t="array" ref="V77">INT(SUMPRODUCT(--ISNUMBER(SEARCH(abortion,C77)))&gt;0)</f>
        <v>0</v>
      </c>
      <c r="W77" s="14" cm="1">
        <f t="array" ref="W77">INT(SUMPRODUCT(--ISNUMBER(SEARCH(trump,C77)))&gt;0)</f>
        <v>0</v>
      </c>
      <c r="X77" s="14" cm="1">
        <f t="array" ref="X77">INT(SUMPRODUCT(--ISNUMBER(SEARCH(voting,C77)))&gt;0)</f>
        <v>0</v>
      </c>
      <c r="Y77" s="35" cm="1">
        <f t="array" ref="Y77">INT(SUMPRODUCT(--ISNUMBER(SEARCH(republicantrigger,C77)))&gt;0)</f>
        <v>1</v>
      </c>
      <c r="Z77" s="35" cm="1">
        <f t="array" ref="Z77">INT(SUMPRODUCT(--ISNUMBER(SEARCH(bipartisan,C77)))&gt;0)</f>
        <v>0</v>
      </c>
      <c r="AA77" s="35">
        <f t="shared" si="1"/>
        <v>0</v>
      </c>
      <c r="AB77" s="14"/>
      <c r="AC77" s="30">
        <v>1</v>
      </c>
      <c r="AD77" s="37">
        <v>0</v>
      </c>
    </row>
    <row r="78" spans="1:30" x14ac:dyDescent="0.25">
      <c r="A78" s="36">
        <v>3301</v>
      </c>
      <c r="B78" s="14" t="s">
        <v>6627</v>
      </c>
      <c r="C78" s="31" t="s">
        <v>6628</v>
      </c>
      <c r="D78" s="17">
        <v>44130</v>
      </c>
      <c r="E78" s="14" t="s">
        <v>30</v>
      </c>
      <c r="F78" s="14">
        <v>72</v>
      </c>
      <c r="G78" s="14">
        <v>32</v>
      </c>
      <c r="H78" s="14">
        <v>15</v>
      </c>
      <c r="I78" s="14">
        <v>8</v>
      </c>
      <c r="J78" s="14" t="s">
        <v>31</v>
      </c>
      <c r="K78" s="14" cm="1">
        <f t="array" ref="K78">INT(SUMPRODUCT(--ISNUMBER(SEARCH(economy,C78)))&gt;0)</f>
        <v>0</v>
      </c>
      <c r="L78" s="14" cm="1">
        <f t="array" ref="L78">INT(SUMPRODUCT(--ISNUMBER(SEARCH(healthcare,C78)))&gt;0)</f>
        <v>0</v>
      </c>
      <c r="M78" s="14" cm="1">
        <f t="array" ref="M78">INT(SUMPRODUCT(--ISNUMBER(SEARCH(supreme,C78)))&gt;0)</f>
        <v>0</v>
      </c>
      <c r="N78" s="14" cm="1">
        <f t="array" ref="N78">INT(SUMPRODUCT(--ISNUMBER(SEARCH(covid,C78)))&gt;0)</f>
        <v>0</v>
      </c>
      <c r="O78" s="14" cm="1">
        <f t="array" ref="O78">INT(SUMPRODUCT(--ISNUMBER(SEARCH(violent,C78)))&gt;0)</f>
        <v>0</v>
      </c>
      <c r="P78" s="14" cm="1">
        <f t="array" ref="P78">INT(SUMPRODUCT(--ISNUMBER(SEARCH(foreign,C78)))&gt;0)</f>
        <v>0</v>
      </c>
      <c r="Q78" s="14" cm="1">
        <f t="array" ref="Q78">INT(SUMPRODUCT(--ISNUMBER(SEARCH(gun,C78)))&gt;0)</f>
        <v>0</v>
      </c>
      <c r="R78" s="14" cm="1">
        <f t="array" ref="R78">INT(SUMPRODUCT(--ISNUMBER(SEARCH(race,C78)))&gt;0)</f>
        <v>0</v>
      </c>
      <c r="S78" s="14" cm="1">
        <f t="array" ref="S78">INT(SUMPRODUCT(--ISNUMBER(SEARCH(immigration,C78)))&gt;0)</f>
        <v>0</v>
      </c>
      <c r="T78" s="14" cm="1">
        <f t="array" ref="T78">INT(SUMPRODUCT(--ISNUMBER(SEARCH(econineq,C79)))&gt;0)</f>
        <v>0</v>
      </c>
      <c r="U78" s="14" cm="1">
        <f t="array" ref="U78">INT(SUMPRODUCT(--ISNUMBER(SEARCH(climate,C78)))&gt;0)</f>
        <v>0</v>
      </c>
      <c r="V78" s="14" cm="1">
        <f t="array" ref="V78">INT(SUMPRODUCT(--ISNUMBER(SEARCH(abortion,C78)))&gt;0)</f>
        <v>0</v>
      </c>
      <c r="W78" s="14" cm="1">
        <f t="array" ref="W78">INT(SUMPRODUCT(--ISNUMBER(SEARCH(trump,C78)))&gt;0)</f>
        <v>0</v>
      </c>
      <c r="X78" s="14" cm="1">
        <f t="array" ref="X78">INT(SUMPRODUCT(--ISNUMBER(SEARCH(voting,C78)))&gt;0)</f>
        <v>0</v>
      </c>
      <c r="Y78" s="35" cm="1">
        <f t="array" ref="Y78">INT(SUMPRODUCT(--ISNUMBER(SEARCH(republicantrigger,C78)))&gt;0)</f>
        <v>1</v>
      </c>
      <c r="Z78" s="35" cm="1">
        <f t="array" ref="Z78">INT(SUMPRODUCT(--ISNUMBER(SEARCH(bipartisan,C78)))&gt;0)</f>
        <v>0</v>
      </c>
      <c r="AA78" s="35">
        <f t="shared" si="1"/>
        <v>0</v>
      </c>
      <c r="AB78" s="14"/>
      <c r="AC78" s="30" t="s">
        <v>223</v>
      </c>
      <c r="AD78" s="37" t="s">
        <v>223</v>
      </c>
    </row>
    <row r="79" spans="1:30" x14ac:dyDescent="0.25">
      <c r="A79" s="36">
        <v>3302</v>
      </c>
      <c r="B79" s="14" t="s">
        <v>6629</v>
      </c>
      <c r="C79" s="31" t="s">
        <v>6630</v>
      </c>
      <c r="D79" s="17">
        <v>44130</v>
      </c>
      <c r="E79" s="14" t="s">
        <v>70</v>
      </c>
      <c r="F79" s="14">
        <v>41</v>
      </c>
      <c r="G79" s="14">
        <v>7</v>
      </c>
      <c r="H79" s="14">
        <v>15</v>
      </c>
      <c r="I79" s="14">
        <v>8</v>
      </c>
      <c r="J79" s="14" t="s">
        <v>31</v>
      </c>
      <c r="K79" s="14" cm="1">
        <f t="array" ref="K79">INT(SUMPRODUCT(--ISNUMBER(SEARCH(economy,C79)))&gt;0)</f>
        <v>0</v>
      </c>
      <c r="L79" s="14" cm="1">
        <f t="array" ref="L79">INT(SUMPRODUCT(--ISNUMBER(SEARCH(healthcare,C79)))&gt;0)</f>
        <v>0</v>
      </c>
      <c r="M79" s="14" cm="1">
        <f t="array" ref="M79">INT(SUMPRODUCT(--ISNUMBER(SEARCH(supreme,C79)))&gt;0)</f>
        <v>0</v>
      </c>
      <c r="N79" s="14" cm="1">
        <f t="array" ref="N79">INT(SUMPRODUCT(--ISNUMBER(SEARCH(covid,C79)))&gt;0)</f>
        <v>0</v>
      </c>
      <c r="O79" s="14" cm="1">
        <f t="array" ref="O79">INT(SUMPRODUCT(--ISNUMBER(SEARCH(violent,C79)))&gt;0)</f>
        <v>0</v>
      </c>
      <c r="P79" s="14" cm="1">
        <f t="array" ref="P79">INT(SUMPRODUCT(--ISNUMBER(SEARCH(foreign,C79)))&gt;0)</f>
        <v>0</v>
      </c>
      <c r="Q79" s="14" cm="1">
        <f t="array" ref="Q79">INT(SUMPRODUCT(--ISNUMBER(SEARCH(gun,C79)))&gt;0)</f>
        <v>0</v>
      </c>
      <c r="R79" s="14" cm="1">
        <f t="array" ref="R79">INT(SUMPRODUCT(--ISNUMBER(SEARCH(race,C79)))&gt;0)</f>
        <v>0</v>
      </c>
      <c r="S79" s="14" cm="1">
        <f t="array" ref="S79">INT(SUMPRODUCT(--ISNUMBER(SEARCH(immigration,C79)))&gt;0)</f>
        <v>0</v>
      </c>
      <c r="T79" s="14" cm="1">
        <f t="array" ref="T79">INT(SUMPRODUCT(--ISNUMBER(SEARCH(econineq,C80)))&gt;0)</f>
        <v>0</v>
      </c>
      <c r="U79" s="14" cm="1">
        <f t="array" ref="U79">INT(SUMPRODUCT(--ISNUMBER(SEARCH(climate,C79)))&gt;0)</f>
        <v>0</v>
      </c>
      <c r="V79" s="14" cm="1">
        <f t="array" ref="V79">INT(SUMPRODUCT(--ISNUMBER(SEARCH(abortion,C79)))&gt;0)</f>
        <v>0</v>
      </c>
      <c r="W79" s="14" cm="1">
        <f t="array" ref="W79">INT(SUMPRODUCT(--ISNUMBER(SEARCH(trump,C79)))&gt;0)</f>
        <v>0</v>
      </c>
      <c r="X79" s="14" cm="1">
        <f t="array" ref="X79">INT(SUMPRODUCT(--ISNUMBER(SEARCH(voting,C79)))&gt;0)</f>
        <v>0</v>
      </c>
      <c r="Y79" s="35" cm="1">
        <f t="array" ref="Y79">INT(SUMPRODUCT(--ISNUMBER(SEARCH(republicantrigger,C79)))&gt;0)</f>
        <v>0</v>
      </c>
      <c r="Z79" s="35" cm="1">
        <f t="array" ref="Z79">INT(SUMPRODUCT(--ISNUMBER(SEARCH(bipartisan,C79)))&gt;0)</f>
        <v>0</v>
      </c>
      <c r="AA79" s="35">
        <f t="shared" si="1"/>
        <v>1</v>
      </c>
      <c r="AB79" s="14"/>
      <c r="AC79" s="30" t="s">
        <v>223</v>
      </c>
      <c r="AD79" s="37" t="s">
        <v>223</v>
      </c>
    </row>
    <row r="80" spans="1:30" x14ac:dyDescent="0.25">
      <c r="A80" s="36">
        <v>3303</v>
      </c>
      <c r="B80" s="14" t="s">
        <v>6631</v>
      </c>
      <c r="C80" s="31" t="s">
        <v>6632</v>
      </c>
      <c r="D80" s="17">
        <v>44130</v>
      </c>
      <c r="E80" s="14" t="s">
        <v>30</v>
      </c>
      <c r="F80" s="14">
        <v>45</v>
      </c>
      <c r="G80" s="14">
        <v>17</v>
      </c>
      <c r="H80" s="14">
        <v>15</v>
      </c>
      <c r="I80" s="14">
        <v>8</v>
      </c>
      <c r="J80" s="14" t="s">
        <v>31</v>
      </c>
      <c r="K80" s="14" cm="1">
        <f t="array" ref="K80">INT(SUMPRODUCT(--ISNUMBER(SEARCH(economy,C80)))&gt;0)</f>
        <v>0</v>
      </c>
      <c r="L80" s="14" cm="1">
        <f t="array" ref="L80">INT(SUMPRODUCT(--ISNUMBER(SEARCH(healthcare,C80)))&gt;0)</f>
        <v>0</v>
      </c>
      <c r="M80" s="14" cm="1">
        <f t="array" ref="M80">INT(SUMPRODUCT(--ISNUMBER(SEARCH(supreme,C80)))&gt;0)</f>
        <v>1</v>
      </c>
      <c r="N80" s="14" cm="1">
        <f t="array" ref="N80">INT(SUMPRODUCT(--ISNUMBER(SEARCH(covid,C80)))&gt;0)</f>
        <v>0</v>
      </c>
      <c r="O80" s="14" cm="1">
        <f t="array" ref="O80">INT(SUMPRODUCT(--ISNUMBER(SEARCH(violent,C80)))&gt;0)</f>
        <v>0</v>
      </c>
      <c r="P80" s="14" cm="1">
        <f t="array" ref="P80">INT(SUMPRODUCT(--ISNUMBER(SEARCH(foreign,C80)))&gt;0)</f>
        <v>0</v>
      </c>
      <c r="Q80" s="14" cm="1">
        <f t="array" ref="Q80">INT(SUMPRODUCT(--ISNUMBER(SEARCH(gun,C80)))&gt;0)</f>
        <v>1</v>
      </c>
      <c r="R80" s="14" cm="1">
        <f t="array" ref="R80">INT(SUMPRODUCT(--ISNUMBER(SEARCH(race,C80)))&gt;0)</f>
        <v>0</v>
      </c>
      <c r="S80" s="14" cm="1">
        <f t="array" ref="S80">INT(SUMPRODUCT(--ISNUMBER(SEARCH(immigration,C80)))&gt;0)</f>
        <v>0</v>
      </c>
      <c r="T80" s="14" cm="1">
        <f t="array" ref="T80">INT(SUMPRODUCT(--ISNUMBER(SEARCH(econineq,C81)))&gt;0)</f>
        <v>0</v>
      </c>
      <c r="U80" s="14" cm="1">
        <f t="array" ref="U80">INT(SUMPRODUCT(--ISNUMBER(SEARCH(climate,C80)))&gt;0)</f>
        <v>1</v>
      </c>
      <c r="V80" s="14" cm="1">
        <f t="array" ref="V80">INT(SUMPRODUCT(--ISNUMBER(SEARCH(abortion,C80)))&gt;0)</f>
        <v>0</v>
      </c>
      <c r="W80" s="14" cm="1">
        <f t="array" ref="W80">INT(SUMPRODUCT(--ISNUMBER(SEARCH(trump,C80)))&gt;0)</f>
        <v>0</v>
      </c>
      <c r="X80" s="14" cm="1">
        <f t="array" ref="X80">INT(SUMPRODUCT(--ISNUMBER(SEARCH(voting,C80)))&gt;0)</f>
        <v>1</v>
      </c>
      <c r="Y80" s="35" cm="1">
        <f t="array" ref="Y80">INT(SUMPRODUCT(--ISNUMBER(SEARCH(republicantrigger,C80)))&gt;0)</f>
        <v>1</v>
      </c>
      <c r="Z80" s="35" cm="1">
        <f t="array" ref="Z80">INT(SUMPRODUCT(--ISNUMBER(SEARCH(bipartisan,C80)))&gt;0)</f>
        <v>0</v>
      </c>
      <c r="AA80" s="35">
        <f t="shared" si="1"/>
        <v>0</v>
      </c>
      <c r="AB80" s="14"/>
      <c r="AC80" s="30" t="s">
        <v>223</v>
      </c>
      <c r="AD80" s="37" t="s">
        <v>223</v>
      </c>
    </row>
    <row r="81" spans="1:30" x14ac:dyDescent="0.25">
      <c r="A81" s="36">
        <v>3304</v>
      </c>
      <c r="B81" s="14" t="s">
        <v>6633</v>
      </c>
      <c r="C81" s="31" t="s">
        <v>6634</v>
      </c>
      <c r="D81" s="17">
        <v>44130</v>
      </c>
      <c r="E81" s="14" t="s">
        <v>30</v>
      </c>
      <c r="F81" s="14">
        <v>266</v>
      </c>
      <c r="G81" s="14">
        <v>44</v>
      </c>
      <c r="H81" s="14">
        <v>15</v>
      </c>
      <c r="I81" s="14">
        <v>8</v>
      </c>
      <c r="J81" s="14" t="s">
        <v>31</v>
      </c>
      <c r="K81" s="14" cm="1">
        <f t="array" ref="K81">INT(SUMPRODUCT(--ISNUMBER(SEARCH(economy,C81)))&gt;0)</f>
        <v>0</v>
      </c>
      <c r="L81" s="14" cm="1">
        <f t="array" ref="L81">INT(SUMPRODUCT(--ISNUMBER(SEARCH(healthcare,C81)))&gt;0)</f>
        <v>0</v>
      </c>
      <c r="M81" s="14" cm="1">
        <f t="array" ref="M81">INT(SUMPRODUCT(--ISNUMBER(SEARCH(supreme,C81)))&gt;0)</f>
        <v>1</v>
      </c>
      <c r="N81" s="14" cm="1">
        <f t="array" ref="N81">INT(SUMPRODUCT(--ISNUMBER(SEARCH(covid,C81)))&gt;0)</f>
        <v>0</v>
      </c>
      <c r="O81" s="14" cm="1">
        <f t="array" ref="O81">INT(SUMPRODUCT(--ISNUMBER(SEARCH(violent,C81)))&gt;0)</f>
        <v>0</v>
      </c>
      <c r="P81" s="14" cm="1">
        <f t="array" ref="P81">INT(SUMPRODUCT(--ISNUMBER(SEARCH(foreign,C81)))&gt;0)</f>
        <v>0</v>
      </c>
      <c r="Q81" s="14" cm="1">
        <f t="array" ref="Q81">INT(SUMPRODUCT(--ISNUMBER(SEARCH(gun,C81)))&gt;0)</f>
        <v>0</v>
      </c>
      <c r="R81" s="14" cm="1">
        <f t="array" ref="R81">INT(SUMPRODUCT(--ISNUMBER(SEARCH(race,C81)))&gt;0)</f>
        <v>0</v>
      </c>
      <c r="S81" s="14" cm="1">
        <f t="array" ref="S81">INT(SUMPRODUCT(--ISNUMBER(SEARCH(immigration,C81)))&gt;0)</f>
        <v>0</v>
      </c>
      <c r="T81" s="14" cm="1">
        <f t="array" ref="T81">INT(SUMPRODUCT(--ISNUMBER(SEARCH(econineq,C82)))&gt;0)</f>
        <v>0</v>
      </c>
      <c r="U81" s="14" cm="1">
        <f t="array" ref="U81">INT(SUMPRODUCT(--ISNUMBER(SEARCH(climate,C81)))&gt;0)</f>
        <v>0</v>
      </c>
      <c r="V81" s="14" cm="1">
        <f t="array" ref="V81">INT(SUMPRODUCT(--ISNUMBER(SEARCH(abortion,C81)))&gt;0)</f>
        <v>0</v>
      </c>
      <c r="W81" s="14" cm="1">
        <f t="array" ref="W81">INT(SUMPRODUCT(--ISNUMBER(SEARCH(trump,C81)))&gt;0)</f>
        <v>0</v>
      </c>
      <c r="X81" s="14" cm="1">
        <f t="array" ref="X81">INT(SUMPRODUCT(--ISNUMBER(SEARCH(voting,C81)))&gt;0)</f>
        <v>0</v>
      </c>
      <c r="Y81" s="35" cm="1">
        <f t="array" ref="Y81">INT(SUMPRODUCT(--ISNUMBER(SEARCH(republicantrigger,C81)))&gt;0)</f>
        <v>1</v>
      </c>
      <c r="Z81" s="35" cm="1">
        <f t="array" ref="Z81">INT(SUMPRODUCT(--ISNUMBER(SEARCH(bipartisan,C81)))&gt;0)</f>
        <v>0</v>
      </c>
      <c r="AA81" s="35">
        <f t="shared" si="1"/>
        <v>0</v>
      </c>
      <c r="AB81" s="14"/>
      <c r="AC81" s="30" t="s">
        <v>223</v>
      </c>
      <c r="AD81" s="37" t="s">
        <v>223</v>
      </c>
    </row>
    <row r="82" spans="1:30" x14ac:dyDescent="0.25">
      <c r="A82" s="36">
        <v>3305</v>
      </c>
      <c r="B82" s="14" t="s">
        <v>6635</v>
      </c>
      <c r="C82" s="31" t="s">
        <v>6636</v>
      </c>
      <c r="D82" s="17">
        <v>44130</v>
      </c>
      <c r="E82" s="14" t="s">
        <v>30</v>
      </c>
      <c r="F82" s="14">
        <v>102</v>
      </c>
      <c r="G82" s="14">
        <v>30</v>
      </c>
      <c r="H82" s="14">
        <v>15</v>
      </c>
      <c r="I82" s="14">
        <v>8</v>
      </c>
      <c r="J82" s="14" t="s">
        <v>31</v>
      </c>
      <c r="K82" s="14" cm="1">
        <f t="array" ref="K82">INT(SUMPRODUCT(--ISNUMBER(SEARCH(economy,C82)))&gt;0)</f>
        <v>0</v>
      </c>
      <c r="L82" s="14" cm="1">
        <f t="array" ref="L82">INT(SUMPRODUCT(--ISNUMBER(SEARCH(healthcare,C82)))&gt;0)</f>
        <v>0</v>
      </c>
      <c r="M82" s="14" cm="1">
        <f t="array" ref="M82">INT(SUMPRODUCT(--ISNUMBER(SEARCH(supreme,C82)))&gt;0)</f>
        <v>0</v>
      </c>
      <c r="N82" s="14" cm="1">
        <f t="array" ref="N82">INT(SUMPRODUCT(--ISNUMBER(SEARCH(covid,C82)))&gt;0)</f>
        <v>0</v>
      </c>
      <c r="O82" s="14" cm="1">
        <f t="array" ref="O82">INT(SUMPRODUCT(--ISNUMBER(SEARCH(violent,C82)))&gt;0)</f>
        <v>0</v>
      </c>
      <c r="P82" s="14" cm="1">
        <f t="array" ref="P82">INT(SUMPRODUCT(--ISNUMBER(SEARCH(foreign,C82)))&gt;0)</f>
        <v>0</v>
      </c>
      <c r="Q82" s="14" cm="1">
        <f t="array" ref="Q82">INT(SUMPRODUCT(--ISNUMBER(SEARCH(gun,C82)))&gt;0)</f>
        <v>0</v>
      </c>
      <c r="R82" s="14" cm="1">
        <f t="array" ref="R82">INT(SUMPRODUCT(--ISNUMBER(SEARCH(race,C82)))&gt;0)</f>
        <v>0</v>
      </c>
      <c r="S82" s="14" cm="1">
        <f t="array" ref="S82">INT(SUMPRODUCT(--ISNUMBER(SEARCH(immigration,C82)))&gt;0)</f>
        <v>0</v>
      </c>
      <c r="T82" s="14" cm="1">
        <f t="array" ref="T82">INT(SUMPRODUCT(--ISNUMBER(SEARCH(econineq,C83)))&gt;0)</f>
        <v>0</v>
      </c>
      <c r="U82" s="14" cm="1">
        <f t="array" ref="U82">INT(SUMPRODUCT(--ISNUMBER(SEARCH(climate,C82)))&gt;0)</f>
        <v>0</v>
      </c>
      <c r="V82" s="14" cm="1">
        <f t="array" ref="V82">INT(SUMPRODUCT(--ISNUMBER(SEARCH(abortion,C82)))&gt;0)</f>
        <v>0</v>
      </c>
      <c r="W82" s="14" cm="1">
        <f t="array" ref="W82">INT(SUMPRODUCT(--ISNUMBER(SEARCH(trump,C82)))&gt;0)</f>
        <v>0</v>
      </c>
      <c r="X82" s="14" cm="1">
        <f t="array" ref="X82">INT(SUMPRODUCT(--ISNUMBER(SEARCH(voting,C82)))&gt;0)</f>
        <v>0</v>
      </c>
      <c r="Y82" s="35" cm="1">
        <f t="array" ref="Y82">INT(SUMPRODUCT(--ISNUMBER(SEARCH(republicantrigger,C82)))&gt;0)</f>
        <v>0</v>
      </c>
      <c r="Z82" s="35" cm="1">
        <f t="array" ref="Z82">INT(SUMPRODUCT(--ISNUMBER(SEARCH(bipartisan,C82)))&gt;0)</f>
        <v>0</v>
      </c>
      <c r="AA82" s="35">
        <f t="shared" si="1"/>
        <v>1</v>
      </c>
      <c r="AB82" s="14"/>
      <c r="AC82" s="30" t="s">
        <v>223</v>
      </c>
      <c r="AD82" s="37" t="s">
        <v>223</v>
      </c>
    </row>
    <row r="83" spans="1:30" x14ac:dyDescent="0.25">
      <c r="A83" s="36">
        <v>3306</v>
      </c>
      <c r="B83" s="14" t="s">
        <v>6637</v>
      </c>
      <c r="C83" s="31" t="s">
        <v>6638</v>
      </c>
      <c r="D83" s="17">
        <v>44129</v>
      </c>
      <c r="E83" s="14" t="s">
        <v>30</v>
      </c>
      <c r="F83" s="14">
        <v>163</v>
      </c>
      <c r="G83" s="14">
        <v>50</v>
      </c>
      <c r="H83" s="14">
        <v>15</v>
      </c>
      <c r="I83" s="14">
        <v>8</v>
      </c>
      <c r="J83" s="14" t="s">
        <v>31</v>
      </c>
      <c r="K83" s="14" cm="1">
        <f t="array" ref="K83">INT(SUMPRODUCT(--ISNUMBER(SEARCH(economy,C83)))&gt;0)</f>
        <v>0</v>
      </c>
      <c r="L83" s="14" cm="1">
        <f t="array" ref="L83">INT(SUMPRODUCT(--ISNUMBER(SEARCH(healthcare,C83)))&gt;0)</f>
        <v>0</v>
      </c>
      <c r="M83" s="14" cm="1">
        <f t="array" ref="M83">INT(SUMPRODUCT(--ISNUMBER(SEARCH(supreme,C83)))&gt;0)</f>
        <v>0</v>
      </c>
      <c r="N83" s="14" cm="1">
        <f t="array" ref="N83">INT(SUMPRODUCT(--ISNUMBER(SEARCH(covid,C83)))&gt;0)</f>
        <v>0</v>
      </c>
      <c r="O83" s="14" cm="1">
        <f t="array" ref="O83">INT(SUMPRODUCT(--ISNUMBER(SEARCH(violent,C83)))&gt;0)</f>
        <v>0</v>
      </c>
      <c r="P83" s="14" cm="1">
        <f t="array" ref="P83">INT(SUMPRODUCT(--ISNUMBER(SEARCH(foreign,C83)))&gt;0)</f>
        <v>0</v>
      </c>
      <c r="Q83" s="14" cm="1">
        <f t="array" ref="Q83">INT(SUMPRODUCT(--ISNUMBER(SEARCH(gun,C83)))&gt;0)</f>
        <v>0</v>
      </c>
      <c r="R83" s="14" cm="1">
        <f t="array" ref="R83">INT(SUMPRODUCT(--ISNUMBER(SEARCH(race,C83)))&gt;0)</f>
        <v>0</v>
      </c>
      <c r="S83" s="14" cm="1">
        <f t="array" ref="S83">INT(SUMPRODUCT(--ISNUMBER(SEARCH(immigration,C83)))&gt;0)</f>
        <v>0</v>
      </c>
      <c r="T83" s="14" cm="1">
        <f t="array" ref="T83">INT(SUMPRODUCT(--ISNUMBER(SEARCH(econineq,C84)))&gt;0)</f>
        <v>0</v>
      </c>
      <c r="U83" s="14" cm="1">
        <f t="array" ref="U83">INT(SUMPRODUCT(--ISNUMBER(SEARCH(climate,C83)))&gt;0)</f>
        <v>0</v>
      </c>
      <c r="V83" s="14" cm="1">
        <f t="array" ref="V83">INT(SUMPRODUCT(--ISNUMBER(SEARCH(abortion,C83)))&gt;0)</f>
        <v>0</v>
      </c>
      <c r="W83" s="14" cm="1">
        <f t="array" ref="W83">INT(SUMPRODUCT(--ISNUMBER(SEARCH(trump,C83)))&gt;0)</f>
        <v>0</v>
      </c>
      <c r="X83" s="14" cm="1">
        <f t="array" ref="X83">INT(SUMPRODUCT(--ISNUMBER(SEARCH(voting,C83)))&gt;0)</f>
        <v>1</v>
      </c>
      <c r="Y83" s="35" cm="1">
        <f t="array" ref="Y83">INT(SUMPRODUCT(--ISNUMBER(SEARCH(republicantrigger,C83)))&gt;0)</f>
        <v>1</v>
      </c>
      <c r="Z83" s="35" cm="1">
        <f t="array" ref="Z83">INT(SUMPRODUCT(--ISNUMBER(SEARCH(bipartisan,C83)))&gt;0)</f>
        <v>0</v>
      </c>
      <c r="AA83" s="35">
        <f t="shared" si="1"/>
        <v>0</v>
      </c>
      <c r="AB83" s="14"/>
      <c r="AC83" s="30">
        <v>0</v>
      </c>
      <c r="AD83" s="37">
        <v>1</v>
      </c>
    </row>
    <row r="84" spans="1:30" x14ac:dyDescent="0.25">
      <c r="A84" s="36">
        <v>3307</v>
      </c>
      <c r="B84" s="14" t="s">
        <v>6639</v>
      </c>
      <c r="C84" s="31" t="s">
        <v>6640</v>
      </c>
      <c r="D84" s="17">
        <v>44129</v>
      </c>
      <c r="E84" s="14" t="s">
        <v>30</v>
      </c>
      <c r="F84" s="14">
        <v>73</v>
      </c>
      <c r="G84" s="14">
        <v>33</v>
      </c>
      <c r="H84" s="14">
        <v>15</v>
      </c>
      <c r="I84" s="14">
        <v>8</v>
      </c>
      <c r="J84" s="14" t="s">
        <v>31</v>
      </c>
      <c r="K84" s="14" cm="1">
        <f t="array" ref="K84">INT(SUMPRODUCT(--ISNUMBER(SEARCH(economy,C84)))&gt;0)</f>
        <v>0</v>
      </c>
      <c r="L84" s="14" cm="1">
        <f t="array" ref="L84">INT(SUMPRODUCT(--ISNUMBER(SEARCH(healthcare,C84)))&gt;0)</f>
        <v>0</v>
      </c>
      <c r="M84" s="14" cm="1">
        <f t="array" ref="M84">INT(SUMPRODUCT(--ISNUMBER(SEARCH(supreme,C84)))&gt;0)</f>
        <v>1</v>
      </c>
      <c r="N84" s="14" cm="1">
        <f t="array" ref="N84">INT(SUMPRODUCT(--ISNUMBER(SEARCH(covid,C84)))&gt;0)</f>
        <v>0</v>
      </c>
      <c r="O84" s="14" cm="1">
        <f t="array" ref="O84">INT(SUMPRODUCT(--ISNUMBER(SEARCH(violent,C84)))&gt;0)</f>
        <v>0</v>
      </c>
      <c r="P84" s="14" cm="1">
        <f t="array" ref="P84">INT(SUMPRODUCT(--ISNUMBER(SEARCH(foreign,C84)))&gt;0)</f>
        <v>0</v>
      </c>
      <c r="Q84" s="14" cm="1">
        <f t="array" ref="Q84">INT(SUMPRODUCT(--ISNUMBER(SEARCH(gun,C84)))&gt;0)</f>
        <v>0</v>
      </c>
      <c r="R84" s="14" cm="1">
        <f t="array" ref="R84">INT(SUMPRODUCT(--ISNUMBER(SEARCH(race,C84)))&gt;0)</f>
        <v>0</v>
      </c>
      <c r="S84" s="14" cm="1">
        <f t="array" ref="S84">INT(SUMPRODUCT(--ISNUMBER(SEARCH(immigration,C84)))&gt;0)</f>
        <v>0</v>
      </c>
      <c r="T84" s="14" cm="1">
        <f t="array" ref="T84">INT(SUMPRODUCT(--ISNUMBER(SEARCH(econineq,C85)))&gt;0)</f>
        <v>0</v>
      </c>
      <c r="U84" s="14" cm="1">
        <f t="array" ref="U84">INT(SUMPRODUCT(--ISNUMBER(SEARCH(climate,C84)))&gt;0)</f>
        <v>0</v>
      </c>
      <c r="V84" s="14" cm="1">
        <f t="array" ref="V84">INT(SUMPRODUCT(--ISNUMBER(SEARCH(abortion,C84)))&gt;0)</f>
        <v>0</v>
      </c>
      <c r="W84" s="14" cm="1">
        <f t="array" ref="W84">INT(SUMPRODUCT(--ISNUMBER(SEARCH(trump,C84)))&gt;0)</f>
        <v>0</v>
      </c>
      <c r="X84" s="14" cm="1">
        <f t="array" ref="X84">INT(SUMPRODUCT(--ISNUMBER(SEARCH(voting,C84)))&gt;0)</f>
        <v>0</v>
      </c>
      <c r="Y84" s="35" cm="1">
        <f t="array" ref="Y84">INT(SUMPRODUCT(--ISNUMBER(SEARCH(republicantrigger,C84)))&gt;0)</f>
        <v>1</v>
      </c>
      <c r="Z84" s="35" cm="1">
        <f t="array" ref="Z84">INT(SUMPRODUCT(--ISNUMBER(SEARCH(bipartisan,C84)))&gt;0)</f>
        <v>0</v>
      </c>
      <c r="AA84" s="35">
        <f t="shared" si="1"/>
        <v>0</v>
      </c>
      <c r="AB84" s="14"/>
      <c r="AC84" s="30">
        <v>0</v>
      </c>
      <c r="AD84" s="37">
        <v>1</v>
      </c>
    </row>
    <row r="85" spans="1:30" x14ac:dyDescent="0.25">
      <c r="A85" s="36">
        <v>3308</v>
      </c>
      <c r="B85" s="14" t="s">
        <v>6641</v>
      </c>
      <c r="C85" s="31" t="s">
        <v>6642</v>
      </c>
      <c r="D85" s="17">
        <v>44129</v>
      </c>
      <c r="E85" s="14" t="s">
        <v>30</v>
      </c>
      <c r="F85" s="14">
        <v>282</v>
      </c>
      <c r="G85" s="14">
        <v>83</v>
      </c>
      <c r="H85" s="14">
        <v>15</v>
      </c>
      <c r="I85" s="14">
        <v>8</v>
      </c>
      <c r="J85" s="14" t="s">
        <v>31</v>
      </c>
      <c r="K85" s="14" cm="1">
        <f t="array" ref="K85">INT(SUMPRODUCT(--ISNUMBER(SEARCH(economy,C85)))&gt;0)</f>
        <v>0</v>
      </c>
      <c r="L85" s="14" cm="1">
        <f t="array" ref="L85">INT(SUMPRODUCT(--ISNUMBER(SEARCH(healthcare,C85)))&gt;0)</f>
        <v>0</v>
      </c>
      <c r="M85" s="14" cm="1">
        <f t="array" ref="M85">INT(SUMPRODUCT(--ISNUMBER(SEARCH(supreme,C85)))&gt;0)</f>
        <v>1</v>
      </c>
      <c r="N85" s="14" cm="1">
        <f t="array" ref="N85">INT(SUMPRODUCT(--ISNUMBER(SEARCH(covid,C85)))&gt;0)</f>
        <v>0</v>
      </c>
      <c r="O85" s="14" cm="1">
        <f t="array" ref="O85">INT(SUMPRODUCT(--ISNUMBER(SEARCH(violent,C85)))&gt;0)</f>
        <v>0</v>
      </c>
      <c r="P85" s="14" cm="1">
        <f t="array" ref="P85">INT(SUMPRODUCT(--ISNUMBER(SEARCH(foreign,C85)))&gt;0)</f>
        <v>0</v>
      </c>
      <c r="Q85" s="14" cm="1">
        <f t="array" ref="Q85">INT(SUMPRODUCT(--ISNUMBER(SEARCH(gun,C85)))&gt;0)</f>
        <v>0</v>
      </c>
      <c r="R85" s="14" cm="1">
        <f t="array" ref="R85">INT(SUMPRODUCT(--ISNUMBER(SEARCH(race,C85)))&gt;0)</f>
        <v>0</v>
      </c>
      <c r="S85" s="14" cm="1">
        <f t="array" ref="S85">INT(SUMPRODUCT(--ISNUMBER(SEARCH(immigration,C85)))&gt;0)</f>
        <v>0</v>
      </c>
      <c r="T85" s="14" cm="1">
        <f t="array" ref="T85">INT(SUMPRODUCT(--ISNUMBER(SEARCH(econineq,C86)))&gt;0)</f>
        <v>0</v>
      </c>
      <c r="U85" s="14" cm="1">
        <f t="array" ref="U85">INT(SUMPRODUCT(--ISNUMBER(SEARCH(climate,C85)))&gt;0)</f>
        <v>0</v>
      </c>
      <c r="V85" s="14" cm="1">
        <f t="array" ref="V85">INT(SUMPRODUCT(--ISNUMBER(SEARCH(abortion,C85)))&gt;0)</f>
        <v>0</v>
      </c>
      <c r="W85" s="14" cm="1">
        <f t="array" ref="W85">INT(SUMPRODUCT(--ISNUMBER(SEARCH(trump,C85)))&gt;0)</f>
        <v>0</v>
      </c>
      <c r="X85" s="14" cm="1">
        <f t="array" ref="X85">INT(SUMPRODUCT(--ISNUMBER(SEARCH(voting,C85)))&gt;0)</f>
        <v>1</v>
      </c>
      <c r="Y85" s="35" cm="1">
        <f t="array" ref="Y85">INT(SUMPRODUCT(--ISNUMBER(SEARCH(republicantrigger,C85)))&gt;0)</f>
        <v>0</v>
      </c>
      <c r="Z85" s="35" cm="1">
        <f t="array" ref="Z85">INT(SUMPRODUCT(--ISNUMBER(SEARCH(bipartisan,C85)))&gt;0)</f>
        <v>0</v>
      </c>
      <c r="AA85" s="35">
        <f t="shared" si="1"/>
        <v>0</v>
      </c>
      <c r="AB85" s="14"/>
      <c r="AC85" s="30" t="s">
        <v>223</v>
      </c>
      <c r="AD85" s="37" t="s">
        <v>223</v>
      </c>
    </row>
    <row r="86" spans="1:30" x14ac:dyDescent="0.25">
      <c r="A86" s="36">
        <v>3309</v>
      </c>
      <c r="B86" s="14" t="s">
        <v>6643</v>
      </c>
      <c r="C86" s="31" t="s">
        <v>6644</v>
      </c>
      <c r="D86" s="17">
        <v>44129</v>
      </c>
      <c r="E86" s="14" t="s">
        <v>30</v>
      </c>
      <c r="F86" s="14">
        <v>75</v>
      </c>
      <c r="G86" s="14">
        <v>27</v>
      </c>
      <c r="H86" s="14">
        <v>15</v>
      </c>
      <c r="I86" s="14">
        <v>8</v>
      </c>
      <c r="J86" s="14" t="s">
        <v>31</v>
      </c>
      <c r="K86" s="14" cm="1">
        <f t="array" ref="K86">INT(SUMPRODUCT(--ISNUMBER(SEARCH(economy,C86)))&gt;0)</f>
        <v>0</v>
      </c>
      <c r="L86" s="14" cm="1">
        <f t="array" ref="L86">INT(SUMPRODUCT(--ISNUMBER(SEARCH(healthcare,C86)))&gt;0)</f>
        <v>0</v>
      </c>
      <c r="M86" s="14" cm="1">
        <f t="array" ref="M86">INT(SUMPRODUCT(--ISNUMBER(SEARCH(supreme,C86)))&gt;0)</f>
        <v>0</v>
      </c>
      <c r="N86" s="14" cm="1">
        <f t="array" ref="N86">INT(SUMPRODUCT(--ISNUMBER(SEARCH(covid,C86)))&gt;0)</f>
        <v>0</v>
      </c>
      <c r="O86" s="14" cm="1">
        <f t="array" ref="O86">INT(SUMPRODUCT(--ISNUMBER(SEARCH(violent,C86)))&gt;0)</f>
        <v>0</v>
      </c>
      <c r="P86" s="14" cm="1">
        <f t="array" ref="P86">INT(SUMPRODUCT(--ISNUMBER(SEARCH(foreign,C86)))&gt;0)</f>
        <v>0</v>
      </c>
      <c r="Q86" s="14" cm="1">
        <f t="array" ref="Q86">INT(SUMPRODUCT(--ISNUMBER(SEARCH(gun,C86)))&gt;0)</f>
        <v>0</v>
      </c>
      <c r="R86" s="14" cm="1">
        <f t="array" ref="R86">INT(SUMPRODUCT(--ISNUMBER(SEARCH(race,C86)))&gt;0)</f>
        <v>0</v>
      </c>
      <c r="S86" s="14" cm="1">
        <f t="array" ref="S86">INT(SUMPRODUCT(--ISNUMBER(SEARCH(immigration,C86)))&gt;0)</f>
        <v>0</v>
      </c>
      <c r="T86" s="14" cm="1">
        <f t="array" ref="T86">INT(SUMPRODUCT(--ISNUMBER(SEARCH(econineq,C87)))&gt;0)</f>
        <v>0</v>
      </c>
      <c r="U86" s="14" cm="1">
        <f t="array" ref="U86">INT(SUMPRODUCT(--ISNUMBER(SEARCH(climate,C86)))&gt;0)</f>
        <v>0</v>
      </c>
      <c r="V86" s="14" cm="1">
        <f t="array" ref="V86">INT(SUMPRODUCT(--ISNUMBER(SEARCH(abortion,C86)))&gt;0)</f>
        <v>0</v>
      </c>
      <c r="W86" s="14" cm="1">
        <f t="array" ref="W86">INT(SUMPRODUCT(--ISNUMBER(SEARCH(trump,C86)))&gt;0)</f>
        <v>0</v>
      </c>
      <c r="X86" s="14" cm="1">
        <f t="array" ref="X86">INT(SUMPRODUCT(--ISNUMBER(SEARCH(voting,C86)))&gt;0)</f>
        <v>1</v>
      </c>
      <c r="Y86" s="35" cm="1">
        <f t="array" ref="Y86">INT(SUMPRODUCT(--ISNUMBER(SEARCH(republicantrigger,C86)))&gt;0)</f>
        <v>0</v>
      </c>
      <c r="Z86" s="35" cm="1">
        <f t="array" ref="Z86">INT(SUMPRODUCT(--ISNUMBER(SEARCH(bipartisan,C86)))&gt;0)</f>
        <v>0</v>
      </c>
      <c r="AA86" s="35">
        <f t="shared" si="1"/>
        <v>0</v>
      </c>
      <c r="AB86" s="14"/>
      <c r="AC86" s="30">
        <v>0</v>
      </c>
      <c r="AD86" s="37">
        <v>1</v>
      </c>
    </row>
    <row r="87" spans="1:30" x14ac:dyDescent="0.25">
      <c r="A87" s="36">
        <v>3310</v>
      </c>
      <c r="B87" s="14" t="s">
        <v>6645</v>
      </c>
      <c r="C87" s="31" t="s">
        <v>6646</v>
      </c>
      <c r="D87" s="17">
        <v>44128</v>
      </c>
      <c r="E87" s="14" t="s">
        <v>30</v>
      </c>
      <c r="F87" s="14">
        <v>124</v>
      </c>
      <c r="G87" s="14">
        <v>35</v>
      </c>
      <c r="H87" s="14">
        <v>15</v>
      </c>
      <c r="I87" s="14">
        <v>8</v>
      </c>
      <c r="J87" s="14" t="s">
        <v>31</v>
      </c>
      <c r="K87" s="14" cm="1">
        <f t="array" ref="K87">INT(SUMPRODUCT(--ISNUMBER(SEARCH(economy,C87)))&gt;0)</f>
        <v>0</v>
      </c>
      <c r="L87" s="14" cm="1">
        <f t="array" ref="L87">INT(SUMPRODUCT(--ISNUMBER(SEARCH(healthcare,C87)))&gt;0)</f>
        <v>0</v>
      </c>
      <c r="M87" s="14" cm="1">
        <f t="array" ref="M87">INT(SUMPRODUCT(--ISNUMBER(SEARCH(supreme,C87)))&gt;0)</f>
        <v>0</v>
      </c>
      <c r="N87" s="14" cm="1">
        <f t="array" ref="N87">INT(SUMPRODUCT(--ISNUMBER(SEARCH(covid,C87)))&gt;0)</f>
        <v>0</v>
      </c>
      <c r="O87" s="14" cm="1">
        <f t="array" ref="O87">INT(SUMPRODUCT(--ISNUMBER(SEARCH(violent,C87)))&gt;0)</f>
        <v>0</v>
      </c>
      <c r="P87" s="14" cm="1">
        <f t="array" ref="P87">INT(SUMPRODUCT(--ISNUMBER(SEARCH(foreign,C87)))&gt;0)</f>
        <v>0</v>
      </c>
      <c r="Q87" s="14" cm="1">
        <f t="array" ref="Q87">INT(SUMPRODUCT(--ISNUMBER(SEARCH(gun,C87)))&gt;0)</f>
        <v>0</v>
      </c>
      <c r="R87" s="14" cm="1">
        <f t="array" ref="R87">INT(SUMPRODUCT(--ISNUMBER(SEARCH(race,C87)))&gt;0)</f>
        <v>0</v>
      </c>
      <c r="S87" s="14" cm="1">
        <f t="array" ref="S87">INT(SUMPRODUCT(--ISNUMBER(SEARCH(immigration,C87)))&gt;0)</f>
        <v>0</v>
      </c>
      <c r="T87" s="14" cm="1">
        <f t="array" ref="T87">INT(SUMPRODUCT(--ISNUMBER(SEARCH(econineq,C88)))&gt;0)</f>
        <v>0</v>
      </c>
      <c r="U87" s="14" cm="1">
        <f t="array" ref="U87">INT(SUMPRODUCT(--ISNUMBER(SEARCH(climate,C87)))&gt;0)</f>
        <v>0</v>
      </c>
      <c r="V87" s="14" cm="1">
        <f t="array" ref="V87">INT(SUMPRODUCT(--ISNUMBER(SEARCH(abortion,C87)))&gt;0)</f>
        <v>0</v>
      </c>
      <c r="W87" s="14" cm="1">
        <f t="array" ref="W87">INT(SUMPRODUCT(--ISNUMBER(SEARCH(trump,C87)))&gt;0)</f>
        <v>0</v>
      </c>
      <c r="X87" s="14" cm="1">
        <f t="array" ref="X87">INT(SUMPRODUCT(--ISNUMBER(SEARCH(voting,C87)))&gt;0)</f>
        <v>0</v>
      </c>
      <c r="Y87" s="35" cm="1">
        <f t="array" ref="Y87">INT(SUMPRODUCT(--ISNUMBER(SEARCH(republicantrigger,C87)))&gt;0)</f>
        <v>1</v>
      </c>
      <c r="Z87" s="35" cm="1">
        <f t="array" ref="Z87">INT(SUMPRODUCT(--ISNUMBER(SEARCH(bipartisan,C87)))&gt;0)</f>
        <v>0</v>
      </c>
      <c r="AA87" s="35">
        <f t="shared" si="1"/>
        <v>0</v>
      </c>
      <c r="AB87" s="14"/>
      <c r="AC87" s="30" t="s">
        <v>223</v>
      </c>
      <c r="AD87" s="37" t="s">
        <v>223</v>
      </c>
    </row>
    <row r="88" spans="1:30" x14ac:dyDescent="0.25">
      <c r="A88" s="36">
        <v>3311</v>
      </c>
      <c r="B88" s="14" t="s">
        <v>6647</v>
      </c>
      <c r="C88" s="31" t="s">
        <v>6648</v>
      </c>
      <c r="D88" s="17">
        <v>44128</v>
      </c>
      <c r="E88" s="14" t="s">
        <v>30</v>
      </c>
      <c r="F88" s="14">
        <v>78</v>
      </c>
      <c r="G88" s="14">
        <v>31</v>
      </c>
      <c r="H88" s="14">
        <v>15</v>
      </c>
      <c r="I88" s="14">
        <v>8</v>
      </c>
      <c r="J88" s="14" t="s">
        <v>31</v>
      </c>
      <c r="K88" s="14" cm="1">
        <f t="array" ref="K88">INT(SUMPRODUCT(--ISNUMBER(SEARCH(economy,C88)))&gt;0)</f>
        <v>0</v>
      </c>
      <c r="L88" s="14" cm="1">
        <f t="array" ref="L88">INT(SUMPRODUCT(--ISNUMBER(SEARCH(healthcare,C88)))&gt;0)</f>
        <v>0</v>
      </c>
      <c r="M88" s="14" cm="1">
        <f t="array" ref="M88">INT(SUMPRODUCT(--ISNUMBER(SEARCH(supreme,C88)))&gt;0)</f>
        <v>0</v>
      </c>
      <c r="N88" s="14" cm="1">
        <f t="array" ref="N88">INT(SUMPRODUCT(--ISNUMBER(SEARCH(covid,C88)))&gt;0)</f>
        <v>0</v>
      </c>
      <c r="O88" s="14" cm="1">
        <f t="array" ref="O88">INT(SUMPRODUCT(--ISNUMBER(SEARCH(violent,C88)))&gt;0)</f>
        <v>0</v>
      </c>
      <c r="P88" s="14" cm="1">
        <f t="array" ref="P88">INT(SUMPRODUCT(--ISNUMBER(SEARCH(foreign,C88)))&gt;0)</f>
        <v>0</v>
      </c>
      <c r="Q88" s="14" cm="1">
        <f t="array" ref="Q88">INT(SUMPRODUCT(--ISNUMBER(SEARCH(gun,C88)))&gt;0)</f>
        <v>0</v>
      </c>
      <c r="R88" s="14" cm="1">
        <f t="array" ref="R88">INT(SUMPRODUCT(--ISNUMBER(SEARCH(race,C88)))&gt;0)</f>
        <v>0</v>
      </c>
      <c r="S88" s="14" cm="1">
        <f t="array" ref="S88">INT(SUMPRODUCT(--ISNUMBER(SEARCH(immigration,C88)))&gt;0)</f>
        <v>0</v>
      </c>
      <c r="T88" s="14" cm="1">
        <f t="array" ref="T88">INT(SUMPRODUCT(--ISNUMBER(SEARCH(econineq,C89)))&gt;0)</f>
        <v>0</v>
      </c>
      <c r="U88" s="14" cm="1">
        <f t="array" ref="U88">INT(SUMPRODUCT(--ISNUMBER(SEARCH(climate,C88)))&gt;0)</f>
        <v>0</v>
      </c>
      <c r="V88" s="14" cm="1">
        <f t="array" ref="V88">INT(SUMPRODUCT(--ISNUMBER(SEARCH(abortion,C88)))&gt;0)</f>
        <v>0</v>
      </c>
      <c r="W88" s="14" cm="1">
        <f t="array" ref="W88">INT(SUMPRODUCT(--ISNUMBER(SEARCH(trump,C88)))&gt;0)</f>
        <v>0</v>
      </c>
      <c r="X88" s="14" cm="1">
        <f t="array" ref="X88">INT(SUMPRODUCT(--ISNUMBER(SEARCH(voting,C88)))&gt;0)</f>
        <v>0</v>
      </c>
      <c r="Y88" s="35" cm="1">
        <f t="array" ref="Y88">INT(SUMPRODUCT(--ISNUMBER(SEARCH(republicantrigger,C88)))&gt;0)</f>
        <v>1</v>
      </c>
      <c r="Z88" s="35" cm="1">
        <f t="array" ref="Z88">INT(SUMPRODUCT(--ISNUMBER(SEARCH(bipartisan,C88)))&gt;0)</f>
        <v>0</v>
      </c>
      <c r="AA88" s="35">
        <f t="shared" si="1"/>
        <v>0</v>
      </c>
      <c r="AB88" s="14"/>
      <c r="AC88" s="30">
        <v>0</v>
      </c>
      <c r="AD88" s="37">
        <v>1</v>
      </c>
    </row>
    <row r="89" spans="1:30" x14ac:dyDescent="0.25">
      <c r="A89" s="36">
        <v>3312</v>
      </c>
      <c r="B89" s="14" t="s">
        <v>6649</v>
      </c>
      <c r="C89" s="31" t="s">
        <v>6650</v>
      </c>
      <c r="D89" s="17">
        <v>44128</v>
      </c>
      <c r="E89" s="14" t="s">
        <v>30</v>
      </c>
      <c r="F89" s="14">
        <v>59</v>
      </c>
      <c r="G89" s="14">
        <v>25</v>
      </c>
      <c r="H89" s="14">
        <v>15</v>
      </c>
      <c r="I89" s="14">
        <v>8</v>
      </c>
      <c r="J89" s="14" t="s">
        <v>31</v>
      </c>
      <c r="K89" s="14" cm="1">
        <f t="array" ref="K89">INT(SUMPRODUCT(--ISNUMBER(SEARCH(economy,C89)))&gt;0)</f>
        <v>0</v>
      </c>
      <c r="L89" s="14" cm="1">
        <f t="array" ref="L89">INT(SUMPRODUCT(--ISNUMBER(SEARCH(healthcare,C89)))&gt;0)</f>
        <v>0</v>
      </c>
      <c r="M89" s="14" cm="1">
        <f t="array" ref="M89">INT(SUMPRODUCT(--ISNUMBER(SEARCH(supreme,C89)))&gt;0)</f>
        <v>0</v>
      </c>
      <c r="N89" s="14" cm="1">
        <f t="array" ref="N89">INT(SUMPRODUCT(--ISNUMBER(SEARCH(covid,C89)))&gt;0)</f>
        <v>0</v>
      </c>
      <c r="O89" s="14" cm="1">
        <f t="array" ref="O89">INT(SUMPRODUCT(--ISNUMBER(SEARCH(violent,C89)))&gt;0)</f>
        <v>0</v>
      </c>
      <c r="P89" s="14" cm="1">
        <f t="array" ref="P89">INT(SUMPRODUCT(--ISNUMBER(SEARCH(foreign,C89)))&gt;0)</f>
        <v>0</v>
      </c>
      <c r="Q89" s="14" cm="1">
        <f t="array" ref="Q89">INT(SUMPRODUCT(--ISNUMBER(SEARCH(gun,C89)))&gt;0)</f>
        <v>0</v>
      </c>
      <c r="R89" s="14" cm="1">
        <f t="array" ref="R89">INT(SUMPRODUCT(--ISNUMBER(SEARCH(race,C89)))&gt;0)</f>
        <v>0</v>
      </c>
      <c r="S89" s="14" cm="1">
        <f t="array" ref="S89">INT(SUMPRODUCT(--ISNUMBER(SEARCH(immigration,C89)))&gt;0)</f>
        <v>0</v>
      </c>
      <c r="T89" s="14" cm="1">
        <f t="array" ref="T89">INT(SUMPRODUCT(--ISNUMBER(SEARCH(econineq,C90)))&gt;0)</f>
        <v>0</v>
      </c>
      <c r="U89" s="14" cm="1">
        <f t="array" ref="U89">INT(SUMPRODUCT(--ISNUMBER(SEARCH(climate,C89)))&gt;0)</f>
        <v>0</v>
      </c>
      <c r="V89" s="14" cm="1">
        <f t="array" ref="V89">INT(SUMPRODUCT(--ISNUMBER(SEARCH(abortion,C89)))&gt;0)</f>
        <v>0</v>
      </c>
      <c r="W89" s="14" cm="1">
        <f t="array" ref="W89">INT(SUMPRODUCT(--ISNUMBER(SEARCH(trump,C89)))&gt;0)</f>
        <v>0</v>
      </c>
      <c r="X89" s="14" cm="1">
        <f t="array" ref="X89">INT(SUMPRODUCT(--ISNUMBER(SEARCH(voting,C89)))&gt;0)</f>
        <v>1</v>
      </c>
      <c r="Y89" s="35" cm="1">
        <f t="array" ref="Y89">INT(SUMPRODUCT(--ISNUMBER(SEARCH(republicantrigger,C89)))&gt;0)</f>
        <v>1</v>
      </c>
      <c r="Z89" s="35" cm="1">
        <f t="array" ref="Z89">INT(SUMPRODUCT(--ISNUMBER(SEARCH(bipartisan,C89)))&gt;0)</f>
        <v>0</v>
      </c>
      <c r="AA89" s="35">
        <f t="shared" si="1"/>
        <v>0</v>
      </c>
      <c r="AB89" s="14"/>
      <c r="AC89" s="30">
        <v>0</v>
      </c>
      <c r="AD89" s="37">
        <v>1</v>
      </c>
    </row>
    <row r="90" spans="1:30" x14ac:dyDescent="0.25">
      <c r="A90" s="36">
        <v>3313</v>
      </c>
      <c r="B90" s="14" t="s">
        <v>6651</v>
      </c>
      <c r="C90" s="31" t="s">
        <v>6652</v>
      </c>
      <c r="D90" s="17">
        <v>44128</v>
      </c>
      <c r="E90" s="14" t="s">
        <v>70</v>
      </c>
      <c r="F90" s="14">
        <v>14</v>
      </c>
      <c r="G90" s="14">
        <v>5</v>
      </c>
      <c r="H90" s="14">
        <v>15</v>
      </c>
      <c r="I90" s="14">
        <v>8</v>
      </c>
      <c r="J90" s="14" t="s">
        <v>31</v>
      </c>
      <c r="K90" s="14" cm="1">
        <f t="array" ref="K90">INT(SUMPRODUCT(--ISNUMBER(SEARCH(economy,C90)))&gt;0)</f>
        <v>0</v>
      </c>
      <c r="L90" s="14" cm="1">
        <f t="array" ref="L90">INT(SUMPRODUCT(--ISNUMBER(SEARCH(healthcare,C90)))&gt;0)</f>
        <v>0</v>
      </c>
      <c r="M90" s="14" cm="1">
        <f t="array" ref="M90">INT(SUMPRODUCT(--ISNUMBER(SEARCH(supreme,C90)))&gt;0)</f>
        <v>0</v>
      </c>
      <c r="N90" s="14" cm="1">
        <f t="array" ref="N90">INT(SUMPRODUCT(--ISNUMBER(SEARCH(covid,C90)))&gt;0)</f>
        <v>0</v>
      </c>
      <c r="O90" s="14" cm="1">
        <f t="array" ref="O90">INT(SUMPRODUCT(--ISNUMBER(SEARCH(violent,C90)))&gt;0)</f>
        <v>0</v>
      </c>
      <c r="P90" s="14" cm="1">
        <f t="array" ref="P90">INT(SUMPRODUCT(--ISNUMBER(SEARCH(foreign,C90)))&gt;0)</f>
        <v>0</v>
      </c>
      <c r="Q90" s="14" cm="1">
        <f t="array" ref="Q90">INT(SUMPRODUCT(--ISNUMBER(SEARCH(gun,C90)))&gt;0)</f>
        <v>0</v>
      </c>
      <c r="R90" s="14" cm="1">
        <f t="array" ref="R90">INT(SUMPRODUCT(--ISNUMBER(SEARCH(race,C90)))&gt;0)</f>
        <v>0</v>
      </c>
      <c r="S90" s="14" cm="1">
        <f t="array" ref="S90">INT(SUMPRODUCT(--ISNUMBER(SEARCH(immigration,C90)))&gt;0)</f>
        <v>0</v>
      </c>
      <c r="T90" s="14" cm="1">
        <f t="array" ref="T90">INT(SUMPRODUCT(--ISNUMBER(SEARCH(econineq,C91)))&gt;0)</f>
        <v>1</v>
      </c>
      <c r="U90" s="14" cm="1">
        <f t="array" ref="U90">INT(SUMPRODUCT(--ISNUMBER(SEARCH(climate,C90)))&gt;0)</f>
        <v>0</v>
      </c>
      <c r="V90" s="14" cm="1">
        <f t="array" ref="V90">INT(SUMPRODUCT(--ISNUMBER(SEARCH(abortion,C90)))&gt;0)</f>
        <v>0</v>
      </c>
      <c r="W90" s="14" cm="1">
        <f t="array" ref="W90">INT(SUMPRODUCT(--ISNUMBER(SEARCH(trump,C90)))&gt;0)</f>
        <v>0</v>
      </c>
      <c r="X90" s="14" cm="1">
        <f t="array" ref="X90">INT(SUMPRODUCT(--ISNUMBER(SEARCH(voting,C90)))&gt;0)</f>
        <v>1</v>
      </c>
      <c r="Y90" s="35" cm="1">
        <f t="array" ref="Y90">INT(SUMPRODUCT(--ISNUMBER(SEARCH(republicantrigger,C90)))&gt;0)</f>
        <v>0</v>
      </c>
      <c r="Z90" s="35" cm="1">
        <f t="array" ref="Z90">INT(SUMPRODUCT(--ISNUMBER(SEARCH(bipartisan,C90)))&gt;0)</f>
        <v>0</v>
      </c>
      <c r="AA90" s="35">
        <f t="shared" si="1"/>
        <v>0</v>
      </c>
      <c r="AB90" s="14"/>
      <c r="AC90" s="30" t="s">
        <v>223</v>
      </c>
      <c r="AD90" s="37" t="s">
        <v>223</v>
      </c>
    </row>
    <row r="91" spans="1:30" x14ac:dyDescent="0.25">
      <c r="A91" s="36">
        <v>3314</v>
      </c>
      <c r="B91" s="14" t="s">
        <v>6653</v>
      </c>
      <c r="C91" s="31" t="s">
        <v>6654</v>
      </c>
      <c r="D91" s="17">
        <v>44128</v>
      </c>
      <c r="E91" s="14" t="s">
        <v>30</v>
      </c>
      <c r="F91" s="14">
        <v>41</v>
      </c>
      <c r="G91" s="14">
        <v>15</v>
      </c>
      <c r="H91" s="14">
        <v>15</v>
      </c>
      <c r="I91" s="14">
        <v>8</v>
      </c>
      <c r="J91" s="14" t="s">
        <v>31</v>
      </c>
      <c r="K91" s="14" cm="1">
        <f t="array" ref="K91">INT(SUMPRODUCT(--ISNUMBER(SEARCH(economy,C91)))&gt;0)</f>
        <v>1</v>
      </c>
      <c r="L91" s="14" cm="1">
        <f t="array" ref="L91">INT(SUMPRODUCT(--ISNUMBER(SEARCH(healthcare,C91)))&gt;0)</f>
        <v>0</v>
      </c>
      <c r="M91" s="14" cm="1">
        <f t="array" ref="M91">INT(SUMPRODUCT(--ISNUMBER(SEARCH(supreme,C91)))&gt;0)</f>
        <v>0</v>
      </c>
      <c r="N91" s="14" cm="1">
        <f t="array" ref="N91">INT(SUMPRODUCT(--ISNUMBER(SEARCH(covid,C91)))&gt;0)</f>
        <v>0</v>
      </c>
      <c r="O91" s="14" cm="1">
        <f t="array" ref="O91">INT(SUMPRODUCT(--ISNUMBER(SEARCH(violent,C91)))&gt;0)</f>
        <v>0</v>
      </c>
      <c r="P91" s="14" cm="1">
        <f t="array" ref="P91">INT(SUMPRODUCT(--ISNUMBER(SEARCH(foreign,C91)))&gt;0)</f>
        <v>0</v>
      </c>
      <c r="Q91" s="14" cm="1">
        <f t="array" ref="Q91">INT(SUMPRODUCT(--ISNUMBER(SEARCH(gun,C91)))&gt;0)</f>
        <v>0</v>
      </c>
      <c r="R91" s="14" cm="1">
        <f t="array" ref="R91">INT(SUMPRODUCT(--ISNUMBER(SEARCH(race,C91)))&gt;0)</f>
        <v>0</v>
      </c>
      <c r="S91" s="14" cm="1">
        <f t="array" ref="S91">INT(SUMPRODUCT(--ISNUMBER(SEARCH(immigration,C91)))&gt;0)</f>
        <v>0</v>
      </c>
      <c r="T91" s="14" cm="1">
        <f t="array" ref="T91">INT(SUMPRODUCT(--ISNUMBER(SEARCH(econineq,C92)))&gt;0)</f>
        <v>0</v>
      </c>
      <c r="U91" s="14" cm="1">
        <f t="array" ref="U91">INT(SUMPRODUCT(--ISNUMBER(SEARCH(climate,C91)))&gt;0)</f>
        <v>0</v>
      </c>
      <c r="V91" s="14" cm="1">
        <f t="array" ref="V91">INT(SUMPRODUCT(--ISNUMBER(SEARCH(abortion,C91)))&gt;0)</f>
        <v>0</v>
      </c>
      <c r="W91" s="14" cm="1">
        <f t="array" ref="W91">INT(SUMPRODUCT(--ISNUMBER(SEARCH(trump,C91)))&gt;0)</f>
        <v>0</v>
      </c>
      <c r="X91" s="14" cm="1">
        <f t="array" ref="X91">INT(SUMPRODUCT(--ISNUMBER(SEARCH(voting,C91)))&gt;0)</f>
        <v>1</v>
      </c>
      <c r="Y91" s="35" cm="1">
        <f t="array" ref="Y91">INT(SUMPRODUCT(--ISNUMBER(SEARCH(republicantrigger,C91)))&gt;0)</f>
        <v>1</v>
      </c>
      <c r="Z91" s="35" cm="1">
        <f t="array" ref="Z91">INT(SUMPRODUCT(--ISNUMBER(SEARCH(bipartisan,C91)))&gt;0)</f>
        <v>0</v>
      </c>
      <c r="AA91" s="35">
        <f t="shared" si="1"/>
        <v>0</v>
      </c>
      <c r="AB91" s="14"/>
      <c r="AC91" s="30">
        <v>0</v>
      </c>
      <c r="AD91" s="37">
        <v>1</v>
      </c>
    </row>
    <row r="92" spans="1:30" x14ac:dyDescent="0.25">
      <c r="A92" s="36">
        <v>3315</v>
      </c>
      <c r="B92" s="14" t="s">
        <v>6655</v>
      </c>
      <c r="C92" s="31" t="s">
        <v>6656</v>
      </c>
      <c r="D92" s="17">
        <v>44127</v>
      </c>
      <c r="E92" s="14" t="s">
        <v>30</v>
      </c>
      <c r="F92" s="14">
        <v>76</v>
      </c>
      <c r="G92" s="14">
        <v>26</v>
      </c>
      <c r="H92" s="14">
        <v>15</v>
      </c>
      <c r="I92" s="14">
        <v>8</v>
      </c>
      <c r="J92" s="14" t="s">
        <v>31</v>
      </c>
      <c r="K92" s="14" cm="1">
        <f t="array" ref="K92">INT(SUMPRODUCT(--ISNUMBER(SEARCH(economy,C92)))&gt;0)</f>
        <v>0</v>
      </c>
      <c r="L92" s="14" cm="1">
        <f t="array" ref="L92">INT(SUMPRODUCT(--ISNUMBER(SEARCH(healthcare,C92)))&gt;0)</f>
        <v>0</v>
      </c>
      <c r="M92" s="14" cm="1">
        <f t="array" ref="M92">INT(SUMPRODUCT(--ISNUMBER(SEARCH(supreme,C92)))&gt;0)</f>
        <v>1</v>
      </c>
      <c r="N92" s="14" cm="1">
        <f t="array" ref="N92">INT(SUMPRODUCT(--ISNUMBER(SEARCH(covid,C92)))&gt;0)</f>
        <v>0</v>
      </c>
      <c r="O92" s="14" cm="1">
        <f t="array" ref="O92">INT(SUMPRODUCT(--ISNUMBER(SEARCH(violent,C92)))&gt;0)</f>
        <v>0</v>
      </c>
      <c r="P92" s="14" cm="1">
        <f t="array" ref="P92">INT(SUMPRODUCT(--ISNUMBER(SEARCH(foreign,C92)))&gt;0)</f>
        <v>0</v>
      </c>
      <c r="Q92" s="14" cm="1">
        <f t="array" ref="Q92">INT(SUMPRODUCT(--ISNUMBER(SEARCH(gun,C92)))&gt;0)</f>
        <v>0</v>
      </c>
      <c r="R92" s="14" cm="1">
        <f t="array" ref="R92">INT(SUMPRODUCT(--ISNUMBER(SEARCH(race,C92)))&gt;0)</f>
        <v>0</v>
      </c>
      <c r="S92" s="14" cm="1">
        <f t="array" ref="S92">INT(SUMPRODUCT(--ISNUMBER(SEARCH(immigration,C92)))&gt;0)</f>
        <v>0</v>
      </c>
      <c r="T92" s="14" cm="1">
        <f t="array" ref="T92">INT(SUMPRODUCT(--ISNUMBER(SEARCH(econineq,C93)))&gt;0)</f>
        <v>0</v>
      </c>
      <c r="U92" s="14" cm="1">
        <f t="array" ref="U92">INT(SUMPRODUCT(--ISNUMBER(SEARCH(climate,C92)))&gt;0)</f>
        <v>0</v>
      </c>
      <c r="V92" s="14" cm="1">
        <f t="array" ref="V92">INT(SUMPRODUCT(--ISNUMBER(SEARCH(abortion,C92)))&gt;0)</f>
        <v>0</v>
      </c>
      <c r="W92" s="14" cm="1">
        <f t="array" ref="W92">INT(SUMPRODUCT(--ISNUMBER(SEARCH(trump,C92)))&gt;0)</f>
        <v>0</v>
      </c>
      <c r="X92" s="14" cm="1">
        <f t="array" ref="X92">INT(SUMPRODUCT(--ISNUMBER(SEARCH(voting,C92)))&gt;0)</f>
        <v>1</v>
      </c>
      <c r="Y92" s="35" cm="1">
        <f t="array" ref="Y92">INT(SUMPRODUCT(--ISNUMBER(SEARCH(republicantrigger,C92)))&gt;0)</f>
        <v>1</v>
      </c>
      <c r="Z92" s="35" cm="1">
        <f t="array" ref="Z92">INT(SUMPRODUCT(--ISNUMBER(SEARCH(bipartisan,C92)))&gt;0)</f>
        <v>0</v>
      </c>
      <c r="AA92" s="35">
        <f t="shared" si="1"/>
        <v>0</v>
      </c>
      <c r="AB92" s="14"/>
      <c r="AC92" s="30">
        <v>0</v>
      </c>
      <c r="AD92" s="37">
        <v>1</v>
      </c>
    </row>
    <row r="93" spans="1:30" x14ac:dyDescent="0.25">
      <c r="A93" s="36">
        <v>3316</v>
      </c>
      <c r="B93" s="14" t="s">
        <v>6657</v>
      </c>
      <c r="C93" s="31" t="s">
        <v>6658</v>
      </c>
      <c r="D93" s="17">
        <v>44127</v>
      </c>
      <c r="E93" s="14" t="s">
        <v>30</v>
      </c>
      <c r="F93" s="14">
        <v>153</v>
      </c>
      <c r="G93" s="14">
        <v>46</v>
      </c>
      <c r="H93" s="14">
        <v>15</v>
      </c>
      <c r="I93" s="14">
        <v>8</v>
      </c>
      <c r="J93" s="14" t="s">
        <v>31</v>
      </c>
      <c r="K93" s="14" cm="1">
        <f t="array" ref="K93">INT(SUMPRODUCT(--ISNUMBER(SEARCH(economy,C93)))&gt;0)</f>
        <v>0</v>
      </c>
      <c r="L93" s="14" cm="1">
        <f t="array" ref="L93">INT(SUMPRODUCT(--ISNUMBER(SEARCH(healthcare,C93)))&gt;0)</f>
        <v>0</v>
      </c>
      <c r="M93" s="14" cm="1">
        <f t="array" ref="M93">INT(SUMPRODUCT(--ISNUMBER(SEARCH(supreme,C93)))&gt;0)</f>
        <v>0</v>
      </c>
      <c r="N93" s="14" cm="1">
        <f t="array" ref="N93">INT(SUMPRODUCT(--ISNUMBER(SEARCH(covid,C93)))&gt;0)</f>
        <v>0</v>
      </c>
      <c r="O93" s="14" cm="1">
        <f t="array" ref="O93">INT(SUMPRODUCT(--ISNUMBER(SEARCH(violent,C93)))&gt;0)</f>
        <v>0</v>
      </c>
      <c r="P93" s="14" cm="1">
        <f t="array" ref="P93">INT(SUMPRODUCT(--ISNUMBER(SEARCH(foreign,C93)))&gt;0)</f>
        <v>0</v>
      </c>
      <c r="Q93" s="14" cm="1">
        <f t="array" ref="Q93">INT(SUMPRODUCT(--ISNUMBER(SEARCH(gun,C93)))&gt;0)</f>
        <v>0</v>
      </c>
      <c r="R93" s="14" cm="1">
        <f t="array" ref="R93">INT(SUMPRODUCT(--ISNUMBER(SEARCH(race,C93)))&gt;0)</f>
        <v>0</v>
      </c>
      <c r="S93" s="14" cm="1">
        <f t="array" ref="S93">INT(SUMPRODUCT(--ISNUMBER(SEARCH(immigration,C93)))&gt;0)</f>
        <v>0</v>
      </c>
      <c r="T93" s="14" cm="1">
        <f t="array" ref="T93">INT(SUMPRODUCT(--ISNUMBER(SEARCH(econineq,C94)))&gt;0)</f>
        <v>0</v>
      </c>
      <c r="U93" s="14" cm="1">
        <f t="array" ref="U93">INT(SUMPRODUCT(--ISNUMBER(SEARCH(climate,C93)))&gt;0)</f>
        <v>0</v>
      </c>
      <c r="V93" s="14" cm="1">
        <f t="array" ref="V93">INT(SUMPRODUCT(--ISNUMBER(SEARCH(abortion,C93)))&gt;0)</f>
        <v>0</v>
      </c>
      <c r="W93" s="14" cm="1">
        <f t="array" ref="W93">INT(SUMPRODUCT(--ISNUMBER(SEARCH(trump,C93)))&gt;0)</f>
        <v>0</v>
      </c>
      <c r="X93" s="14" cm="1">
        <f t="array" ref="X93">INT(SUMPRODUCT(--ISNUMBER(SEARCH(voting,C93)))&gt;0)</f>
        <v>0</v>
      </c>
      <c r="Y93" s="35" cm="1">
        <f t="array" ref="Y93">INT(SUMPRODUCT(--ISNUMBER(SEARCH(republicantrigger,C93)))&gt;0)</f>
        <v>1</v>
      </c>
      <c r="Z93" s="35" cm="1">
        <f t="array" ref="Z93">INT(SUMPRODUCT(--ISNUMBER(SEARCH(bipartisan,C93)))&gt;0)</f>
        <v>0</v>
      </c>
      <c r="AA93" s="35">
        <f t="shared" si="1"/>
        <v>0</v>
      </c>
      <c r="AB93" s="14"/>
      <c r="AC93" s="30">
        <v>0</v>
      </c>
      <c r="AD93" s="37">
        <v>1</v>
      </c>
    </row>
    <row r="94" spans="1:30" x14ac:dyDescent="0.25">
      <c r="A94" s="36">
        <v>3317</v>
      </c>
      <c r="B94" s="14" t="s">
        <v>6659</v>
      </c>
      <c r="C94" s="31" t="s">
        <v>6660</v>
      </c>
      <c r="D94" s="17">
        <v>44127</v>
      </c>
      <c r="E94" s="14" t="s">
        <v>30</v>
      </c>
      <c r="F94" s="14">
        <v>123</v>
      </c>
      <c r="G94" s="14">
        <v>41</v>
      </c>
      <c r="H94" s="14">
        <v>15</v>
      </c>
      <c r="I94" s="14">
        <v>8</v>
      </c>
      <c r="J94" s="14" t="s">
        <v>31</v>
      </c>
      <c r="K94" s="14" cm="1">
        <f t="array" ref="K94">INT(SUMPRODUCT(--ISNUMBER(SEARCH(economy,C94)))&gt;0)</f>
        <v>0</v>
      </c>
      <c r="L94" s="14" cm="1">
        <f t="array" ref="L94">INT(SUMPRODUCT(--ISNUMBER(SEARCH(healthcare,C94)))&gt;0)</f>
        <v>0</v>
      </c>
      <c r="M94" s="14" cm="1">
        <f t="array" ref="M94">INT(SUMPRODUCT(--ISNUMBER(SEARCH(supreme,C94)))&gt;0)</f>
        <v>0</v>
      </c>
      <c r="N94" s="14" cm="1">
        <f t="array" ref="N94">INT(SUMPRODUCT(--ISNUMBER(SEARCH(covid,C94)))&gt;0)</f>
        <v>0</v>
      </c>
      <c r="O94" s="14" cm="1">
        <f t="array" ref="O94">INT(SUMPRODUCT(--ISNUMBER(SEARCH(violent,C94)))&gt;0)</f>
        <v>0</v>
      </c>
      <c r="P94" s="14" cm="1">
        <f t="array" ref="P94">INT(SUMPRODUCT(--ISNUMBER(SEARCH(foreign,C94)))&gt;0)</f>
        <v>0</v>
      </c>
      <c r="Q94" s="14" cm="1">
        <f t="array" ref="Q94">INT(SUMPRODUCT(--ISNUMBER(SEARCH(gun,C94)))&gt;0)</f>
        <v>0</v>
      </c>
      <c r="R94" s="14" cm="1">
        <f t="array" ref="R94">INT(SUMPRODUCT(--ISNUMBER(SEARCH(race,C94)))&gt;0)</f>
        <v>0</v>
      </c>
      <c r="S94" s="14" cm="1">
        <f t="array" ref="S94">INT(SUMPRODUCT(--ISNUMBER(SEARCH(immigration,C94)))&gt;0)</f>
        <v>0</v>
      </c>
      <c r="T94" s="14" cm="1">
        <f t="array" ref="T94">INT(SUMPRODUCT(--ISNUMBER(SEARCH(econineq,C95)))&gt;0)</f>
        <v>0</v>
      </c>
      <c r="U94" s="14" cm="1">
        <f t="array" ref="U94">INT(SUMPRODUCT(--ISNUMBER(SEARCH(climate,C94)))&gt;0)</f>
        <v>0</v>
      </c>
      <c r="V94" s="14" cm="1">
        <f t="array" ref="V94">INT(SUMPRODUCT(--ISNUMBER(SEARCH(abortion,C94)))&gt;0)</f>
        <v>0</v>
      </c>
      <c r="W94" s="14" cm="1">
        <f t="array" ref="W94">INT(SUMPRODUCT(--ISNUMBER(SEARCH(trump,C94)))&gt;0)</f>
        <v>0</v>
      </c>
      <c r="X94" s="14" cm="1">
        <f t="array" ref="X94">INT(SUMPRODUCT(--ISNUMBER(SEARCH(voting,C94)))&gt;0)</f>
        <v>0</v>
      </c>
      <c r="Y94" s="35" cm="1">
        <f t="array" ref="Y94">INT(SUMPRODUCT(--ISNUMBER(SEARCH(republicantrigger,C94)))&gt;0)</f>
        <v>1</v>
      </c>
      <c r="Z94" s="35" cm="1">
        <f t="array" ref="Z94">INT(SUMPRODUCT(--ISNUMBER(SEARCH(bipartisan,C94)))&gt;0)</f>
        <v>0</v>
      </c>
      <c r="AA94" s="35">
        <f t="shared" si="1"/>
        <v>0</v>
      </c>
      <c r="AB94" s="14"/>
      <c r="AC94" s="30" t="s">
        <v>223</v>
      </c>
      <c r="AD94" s="37" t="s">
        <v>223</v>
      </c>
    </row>
    <row r="95" spans="1:30" x14ac:dyDescent="0.25">
      <c r="A95" s="36">
        <v>3318</v>
      </c>
      <c r="B95" s="14" t="s">
        <v>6661</v>
      </c>
      <c r="C95" s="31" t="s">
        <v>6662</v>
      </c>
      <c r="D95" s="17">
        <v>44127</v>
      </c>
      <c r="E95" s="14" t="s">
        <v>30</v>
      </c>
      <c r="F95" s="14">
        <v>79</v>
      </c>
      <c r="G95" s="14">
        <v>32</v>
      </c>
      <c r="H95" s="14">
        <v>15</v>
      </c>
      <c r="I95" s="14">
        <v>8</v>
      </c>
      <c r="J95" s="14" t="s">
        <v>31</v>
      </c>
      <c r="K95" s="14" cm="1">
        <f t="array" ref="K95">INT(SUMPRODUCT(--ISNUMBER(SEARCH(economy,C95)))&gt;0)</f>
        <v>0</v>
      </c>
      <c r="L95" s="14" cm="1">
        <f t="array" ref="L95">INT(SUMPRODUCT(--ISNUMBER(SEARCH(healthcare,C95)))&gt;0)</f>
        <v>0</v>
      </c>
      <c r="M95" s="14" cm="1">
        <f t="array" ref="M95">INT(SUMPRODUCT(--ISNUMBER(SEARCH(supreme,C95)))&gt;0)</f>
        <v>0</v>
      </c>
      <c r="N95" s="14" cm="1">
        <f t="array" ref="N95">INT(SUMPRODUCT(--ISNUMBER(SEARCH(covid,C95)))&gt;0)</f>
        <v>0</v>
      </c>
      <c r="O95" s="14" cm="1">
        <f t="array" ref="O95">INT(SUMPRODUCT(--ISNUMBER(SEARCH(violent,C95)))&gt;0)</f>
        <v>0</v>
      </c>
      <c r="P95" s="14" cm="1">
        <f t="array" ref="P95">INT(SUMPRODUCT(--ISNUMBER(SEARCH(foreign,C95)))&gt;0)</f>
        <v>0</v>
      </c>
      <c r="Q95" s="14" cm="1">
        <f t="array" ref="Q95">INT(SUMPRODUCT(--ISNUMBER(SEARCH(gun,C95)))&gt;0)</f>
        <v>0</v>
      </c>
      <c r="R95" s="14" cm="1">
        <f t="array" ref="R95">INT(SUMPRODUCT(--ISNUMBER(SEARCH(race,C95)))&gt;0)</f>
        <v>0</v>
      </c>
      <c r="S95" s="14" cm="1">
        <f t="array" ref="S95">INT(SUMPRODUCT(--ISNUMBER(SEARCH(immigration,C95)))&gt;0)</f>
        <v>0</v>
      </c>
      <c r="T95" s="14" cm="1">
        <f t="array" ref="T95">INT(SUMPRODUCT(--ISNUMBER(SEARCH(econineq,C96)))&gt;0)</f>
        <v>0</v>
      </c>
      <c r="U95" s="14" cm="1">
        <f t="array" ref="U95">INT(SUMPRODUCT(--ISNUMBER(SEARCH(climate,C95)))&gt;0)</f>
        <v>0</v>
      </c>
      <c r="V95" s="14" cm="1">
        <f t="array" ref="V95">INT(SUMPRODUCT(--ISNUMBER(SEARCH(abortion,C95)))&gt;0)</f>
        <v>0</v>
      </c>
      <c r="W95" s="14" cm="1">
        <f t="array" ref="W95">INT(SUMPRODUCT(--ISNUMBER(SEARCH(trump,C95)))&gt;0)</f>
        <v>0</v>
      </c>
      <c r="X95" s="14" cm="1">
        <f t="array" ref="X95">INT(SUMPRODUCT(--ISNUMBER(SEARCH(voting,C95)))&gt;0)</f>
        <v>1</v>
      </c>
      <c r="Y95" s="35" cm="1">
        <f t="array" ref="Y95">INT(SUMPRODUCT(--ISNUMBER(SEARCH(republicantrigger,C95)))&gt;0)</f>
        <v>1</v>
      </c>
      <c r="Z95" s="35" cm="1">
        <f t="array" ref="Z95">INT(SUMPRODUCT(--ISNUMBER(SEARCH(bipartisan,C95)))&gt;0)</f>
        <v>0</v>
      </c>
      <c r="AA95" s="35">
        <f t="shared" si="1"/>
        <v>0</v>
      </c>
      <c r="AB95" s="14"/>
      <c r="AC95" s="30">
        <v>1</v>
      </c>
      <c r="AD95" s="37">
        <v>0</v>
      </c>
    </row>
    <row r="96" spans="1:30" x14ac:dyDescent="0.25">
      <c r="A96" s="36">
        <v>3319</v>
      </c>
      <c r="B96" s="14" t="s">
        <v>6663</v>
      </c>
      <c r="C96" s="31" t="s">
        <v>6664</v>
      </c>
      <c r="D96" s="17">
        <v>44127</v>
      </c>
      <c r="E96" s="14" t="s">
        <v>30</v>
      </c>
      <c r="F96" s="14">
        <v>48</v>
      </c>
      <c r="G96" s="14">
        <v>16</v>
      </c>
      <c r="H96" s="14">
        <v>15</v>
      </c>
      <c r="I96" s="14">
        <v>8</v>
      </c>
      <c r="J96" s="14" t="s">
        <v>31</v>
      </c>
      <c r="K96" s="14" cm="1">
        <f t="array" ref="K96">INT(SUMPRODUCT(--ISNUMBER(SEARCH(economy,C96)))&gt;0)</f>
        <v>0</v>
      </c>
      <c r="L96" s="14" cm="1">
        <f t="array" ref="L96">INT(SUMPRODUCT(--ISNUMBER(SEARCH(healthcare,C96)))&gt;0)</f>
        <v>0</v>
      </c>
      <c r="M96" s="14" cm="1">
        <f t="array" ref="M96">INT(SUMPRODUCT(--ISNUMBER(SEARCH(supreme,C96)))&gt;0)</f>
        <v>1</v>
      </c>
      <c r="N96" s="14" cm="1">
        <f t="array" ref="N96">INT(SUMPRODUCT(--ISNUMBER(SEARCH(covid,C96)))&gt;0)</f>
        <v>0</v>
      </c>
      <c r="O96" s="14" cm="1">
        <f t="array" ref="O96">INT(SUMPRODUCT(--ISNUMBER(SEARCH(violent,C96)))&gt;0)</f>
        <v>0</v>
      </c>
      <c r="P96" s="14" cm="1">
        <f t="array" ref="P96">INT(SUMPRODUCT(--ISNUMBER(SEARCH(foreign,C96)))&gt;0)</f>
        <v>0</v>
      </c>
      <c r="Q96" s="14" cm="1">
        <f t="array" ref="Q96">INT(SUMPRODUCT(--ISNUMBER(SEARCH(gun,C96)))&gt;0)</f>
        <v>0</v>
      </c>
      <c r="R96" s="14" cm="1">
        <f t="array" ref="R96">INT(SUMPRODUCT(--ISNUMBER(SEARCH(race,C96)))&gt;0)</f>
        <v>0</v>
      </c>
      <c r="S96" s="14" cm="1">
        <f t="array" ref="S96">INT(SUMPRODUCT(--ISNUMBER(SEARCH(immigration,C96)))&gt;0)</f>
        <v>0</v>
      </c>
      <c r="T96" s="14" cm="1">
        <f t="array" ref="T96">INT(SUMPRODUCT(--ISNUMBER(SEARCH(econineq,C97)))&gt;0)</f>
        <v>0</v>
      </c>
      <c r="U96" s="14" cm="1">
        <f t="array" ref="U96">INT(SUMPRODUCT(--ISNUMBER(SEARCH(climate,C96)))&gt;0)</f>
        <v>0</v>
      </c>
      <c r="V96" s="14" cm="1">
        <f t="array" ref="V96">INT(SUMPRODUCT(--ISNUMBER(SEARCH(abortion,C96)))&gt;0)</f>
        <v>0</v>
      </c>
      <c r="W96" s="14" cm="1">
        <f t="array" ref="W96">INT(SUMPRODUCT(--ISNUMBER(SEARCH(trump,C96)))&gt;0)</f>
        <v>0</v>
      </c>
      <c r="X96" s="14" cm="1">
        <f t="array" ref="X96">INT(SUMPRODUCT(--ISNUMBER(SEARCH(voting,C96)))&gt;0)</f>
        <v>0</v>
      </c>
      <c r="Y96" s="35" cm="1">
        <f t="array" ref="Y96">INT(SUMPRODUCT(--ISNUMBER(SEARCH(republicantrigger,C96)))&gt;0)</f>
        <v>1</v>
      </c>
      <c r="Z96" s="35" cm="1">
        <f t="array" ref="Z96">INT(SUMPRODUCT(--ISNUMBER(SEARCH(bipartisan,C96)))&gt;0)</f>
        <v>0</v>
      </c>
      <c r="AA96" s="35">
        <f t="shared" si="1"/>
        <v>0</v>
      </c>
      <c r="AB96" s="14"/>
      <c r="AC96" s="30">
        <v>0</v>
      </c>
      <c r="AD96" s="37">
        <v>1</v>
      </c>
    </row>
    <row r="97" spans="1:30" x14ac:dyDescent="0.25">
      <c r="A97" s="36">
        <v>3320</v>
      </c>
      <c r="B97" s="14" t="s">
        <v>6665</v>
      </c>
      <c r="C97" s="31" t="s">
        <v>6666</v>
      </c>
      <c r="D97" s="17">
        <v>44127</v>
      </c>
      <c r="E97" s="14" t="s">
        <v>30</v>
      </c>
      <c r="F97" s="14">
        <v>66</v>
      </c>
      <c r="G97" s="14">
        <v>23</v>
      </c>
      <c r="H97" s="14">
        <v>15</v>
      </c>
      <c r="I97" s="14">
        <v>8</v>
      </c>
      <c r="J97" s="14" t="s">
        <v>31</v>
      </c>
      <c r="K97" s="14" cm="1">
        <f t="array" ref="K97">INT(SUMPRODUCT(--ISNUMBER(SEARCH(economy,C97)))&gt;0)</f>
        <v>0</v>
      </c>
      <c r="L97" s="14" cm="1">
        <f t="array" ref="L97">INT(SUMPRODUCT(--ISNUMBER(SEARCH(healthcare,C97)))&gt;0)</f>
        <v>0</v>
      </c>
      <c r="M97" s="14" cm="1">
        <f t="array" ref="M97">INT(SUMPRODUCT(--ISNUMBER(SEARCH(supreme,C97)))&gt;0)</f>
        <v>1</v>
      </c>
      <c r="N97" s="14" cm="1">
        <f t="array" ref="N97">INT(SUMPRODUCT(--ISNUMBER(SEARCH(covid,C97)))&gt;0)</f>
        <v>0</v>
      </c>
      <c r="O97" s="14" cm="1">
        <f t="array" ref="O97">INT(SUMPRODUCT(--ISNUMBER(SEARCH(violent,C97)))&gt;0)</f>
        <v>0</v>
      </c>
      <c r="P97" s="14" cm="1">
        <f t="array" ref="P97">INT(SUMPRODUCT(--ISNUMBER(SEARCH(foreign,C97)))&gt;0)</f>
        <v>0</v>
      </c>
      <c r="Q97" s="14" cm="1">
        <f t="array" ref="Q97">INT(SUMPRODUCT(--ISNUMBER(SEARCH(gun,C97)))&gt;0)</f>
        <v>0</v>
      </c>
      <c r="R97" s="14" cm="1">
        <f t="array" ref="R97">INT(SUMPRODUCT(--ISNUMBER(SEARCH(race,C97)))&gt;0)</f>
        <v>0</v>
      </c>
      <c r="S97" s="14" cm="1">
        <f t="array" ref="S97">INT(SUMPRODUCT(--ISNUMBER(SEARCH(immigration,C97)))&gt;0)</f>
        <v>0</v>
      </c>
      <c r="T97" s="14" cm="1">
        <f t="array" ref="T97">INT(SUMPRODUCT(--ISNUMBER(SEARCH(econineq,C98)))&gt;0)</f>
        <v>0</v>
      </c>
      <c r="U97" s="14" cm="1">
        <f t="array" ref="U97">INT(SUMPRODUCT(--ISNUMBER(SEARCH(climate,C97)))&gt;0)</f>
        <v>0</v>
      </c>
      <c r="V97" s="14" cm="1">
        <f t="array" ref="V97">INT(SUMPRODUCT(--ISNUMBER(SEARCH(abortion,C97)))&gt;0)</f>
        <v>0</v>
      </c>
      <c r="W97" s="14" cm="1">
        <f t="array" ref="W97">INT(SUMPRODUCT(--ISNUMBER(SEARCH(trump,C97)))&gt;0)</f>
        <v>0</v>
      </c>
      <c r="X97" s="14" cm="1">
        <f t="array" ref="X97">INT(SUMPRODUCT(--ISNUMBER(SEARCH(voting,C97)))&gt;0)</f>
        <v>0</v>
      </c>
      <c r="Y97" s="35" cm="1">
        <f t="array" ref="Y97">INT(SUMPRODUCT(--ISNUMBER(SEARCH(republicantrigger,C97)))&gt;0)</f>
        <v>1</v>
      </c>
      <c r="Z97" s="35" cm="1">
        <f t="array" ref="Z97">INT(SUMPRODUCT(--ISNUMBER(SEARCH(bipartisan,C97)))&gt;0)</f>
        <v>0</v>
      </c>
      <c r="AA97" s="35">
        <f t="shared" si="1"/>
        <v>0</v>
      </c>
      <c r="AB97" s="14"/>
      <c r="AC97" s="30" t="s">
        <v>223</v>
      </c>
      <c r="AD97" s="37" t="s">
        <v>223</v>
      </c>
    </row>
    <row r="98" spans="1:30" x14ac:dyDescent="0.25">
      <c r="A98" s="36">
        <v>3321</v>
      </c>
      <c r="B98" s="14" t="s">
        <v>6667</v>
      </c>
      <c r="C98" s="31" t="s">
        <v>6668</v>
      </c>
      <c r="D98" s="17">
        <v>44127</v>
      </c>
      <c r="E98" s="14" t="s">
        <v>30</v>
      </c>
      <c r="F98" s="14">
        <v>64</v>
      </c>
      <c r="G98" s="14">
        <v>25</v>
      </c>
      <c r="H98" s="14">
        <v>15</v>
      </c>
      <c r="I98" s="14">
        <v>8</v>
      </c>
      <c r="J98" s="14" t="s">
        <v>31</v>
      </c>
      <c r="K98" s="14" cm="1">
        <f t="array" ref="K98">INT(SUMPRODUCT(--ISNUMBER(SEARCH(economy,C98)))&gt;0)</f>
        <v>0</v>
      </c>
      <c r="L98" s="14" cm="1">
        <f t="array" ref="L98">INT(SUMPRODUCT(--ISNUMBER(SEARCH(healthcare,C98)))&gt;0)</f>
        <v>0</v>
      </c>
      <c r="M98" s="14" cm="1">
        <f t="array" ref="M98">INT(SUMPRODUCT(--ISNUMBER(SEARCH(supreme,C98)))&gt;0)</f>
        <v>0</v>
      </c>
      <c r="N98" s="14" cm="1">
        <f t="array" ref="N98">INT(SUMPRODUCT(--ISNUMBER(SEARCH(covid,C98)))&gt;0)</f>
        <v>0</v>
      </c>
      <c r="O98" s="14" cm="1">
        <f t="array" ref="O98">INT(SUMPRODUCT(--ISNUMBER(SEARCH(violent,C98)))&gt;0)</f>
        <v>0</v>
      </c>
      <c r="P98" s="14" cm="1">
        <f t="array" ref="P98">INT(SUMPRODUCT(--ISNUMBER(SEARCH(foreign,C98)))&gt;0)</f>
        <v>0</v>
      </c>
      <c r="Q98" s="14" cm="1">
        <f t="array" ref="Q98">INT(SUMPRODUCT(--ISNUMBER(SEARCH(gun,C98)))&gt;0)</f>
        <v>0</v>
      </c>
      <c r="R98" s="14" cm="1">
        <f t="array" ref="R98">INT(SUMPRODUCT(--ISNUMBER(SEARCH(race,C98)))&gt;0)</f>
        <v>0</v>
      </c>
      <c r="S98" s="14" cm="1">
        <f t="array" ref="S98">INT(SUMPRODUCT(--ISNUMBER(SEARCH(immigration,C98)))&gt;0)</f>
        <v>0</v>
      </c>
      <c r="T98" s="14" cm="1">
        <f t="array" ref="T98">INT(SUMPRODUCT(--ISNUMBER(SEARCH(econineq,C99)))&gt;0)</f>
        <v>0</v>
      </c>
      <c r="U98" s="14" cm="1">
        <f t="array" ref="U98">INT(SUMPRODUCT(--ISNUMBER(SEARCH(climate,C98)))&gt;0)</f>
        <v>0</v>
      </c>
      <c r="V98" s="14" cm="1">
        <f t="array" ref="V98">INT(SUMPRODUCT(--ISNUMBER(SEARCH(abortion,C98)))&gt;0)</f>
        <v>0</v>
      </c>
      <c r="W98" s="14" cm="1">
        <f t="array" ref="W98">INT(SUMPRODUCT(--ISNUMBER(SEARCH(trump,C98)))&gt;0)</f>
        <v>0</v>
      </c>
      <c r="X98" s="14" cm="1">
        <f t="array" ref="X98">INT(SUMPRODUCT(--ISNUMBER(SEARCH(voting,C98)))&gt;0)</f>
        <v>1</v>
      </c>
      <c r="Y98" s="35" cm="1">
        <f t="array" ref="Y98">INT(SUMPRODUCT(--ISNUMBER(SEARCH(republicantrigger,C98)))&gt;0)</f>
        <v>1</v>
      </c>
      <c r="Z98" s="35" cm="1">
        <f t="array" ref="Z98">INT(SUMPRODUCT(--ISNUMBER(SEARCH(bipartisan,C98)))&gt;0)</f>
        <v>0</v>
      </c>
      <c r="AA98" s="35">
        <f t="shared" si="1"/>
        <v>0</v>
      </c>
      <c r="AB98" s="14"/>
      <c r="AC98" s="30" t="s">
        <v>223</v>
      </c>
      <c r="AD98" s="37" t="s">
        <v>223</v>
      </c>
    </row>
    <row r="99" spans="1:30" x14ac:dyDescent="0.25">
      <c r="A99" s="36">
        <v>3322</v>
      </c>
      <c r="B99" s="14" t="s">
        <v>6669</v>
      </c>
      <c r="C99" s="31" t="s">
        <v>6670</v>
      </c>
      <c r="D99" s="17">
        <v>44126</v>
      </c>
      <c r="E99" s="14" t="s">
        <v>30</v>
      </c>
      <c r="F99" s="14">
        <v>103</v>
      </c>
      <c r="G99" s="14">
        <v>38</v>
      </c>
      <c r="H99" s="14">
        <v>15</v>
      </c>
      <c r="I99" s="14">
        <v>8</v>
      </c>
      <c r="J99" s="14" t="s">
        <v>31</v>
      </c>
      <c r="K99" s="14" cm="1">
        <f t="array" ref="K99">INT(SUMPRODUCT(--ISNUMBER(SEARCH(economy,C99)))&gt;0)</f>
        <v>0</v>
      </c>
      <c r="L99" s="14" cm="1">
        <f t="array" ref="L99">INT(SUMPRODUCT(--ISNUMBER(SEARCH(healthcare,C99)))&gt;0)</f>
        <v>0</v>
      </c>
      <c r="M99" s="14" cm="1">
        <f t="array" ref="M99">INT(SUMPRODUCT(--ISNUMBER(SEARCH(supreme,C99)))&gt;0)</f>
        <v>0</v>
      </c>
      <c r="N99" s="14" cm="1">
        <f t="array" ref="N99">INT(SUMPRODUCT(--ISNUMBER(SEARCH(covid,C99)))&gt;0)</f>
        <v>0</v>
      </c>
      <c r="O99" s="14" cm="1">
        <f t="array" ref="O99">INT(SUMPRODUCT(--ISNUMBER(SEARCH(violent,C99)))&gt;0)</f>
        <v>0</v>
      </c>
      <c r="P99" s="14" cm="1">
        <f t="array" ref="P99">INT(SUMPRODUCT(--ISNUMBER(SEARCH(foreign,C99)))&gt;0)</f>
        <v>0</v>
      </c>
      <c r="Q99" s="14" cm="1">
        <f t="array" ref="Q99">INT(SUMPRODUCT(--ISNUMBER(SEARCH(gun,C99)))&gt;0)</f>
        <v>0</v>
      </c>
      <c r="R99" s="14" cm="1">
        <f t="array" ref="R99">INT(SUMPRODUCT(--ISNUMBER(SEARCH(race,C99)))&gt;0)</f>
        <v>0</v>
      </c>
      <c r="S99" s="14" cm="1">
        <f t="array" ref="S99">INT(SUMPRODUCT(--ISNUMBER(SEARCH(immigration,C99)))&gt;0)</f>
        <v>0</v>
      </c>
      <c r="T99" s="14" cm="1">
        <f t="array" ref="T99">INT(SUMPRODUCT(--ISNUMBER(SEARCH(econineq,C100)))&gt;0)</f>
        <v>0</v>
      </c>
      <c r="U99" s="14" cm="1">
        <f t="array" ref="U99">INT(SUMPRODUCT(--ISNUMBER(SEARCH(climate,C99)))&gt;0)</f>
        <v>0</v>
      </c>
      <c r="V99" s="14" cm="1">
        <f t="array" ref="V99">INT(SUMPRODUCT(--ISNUMBER(SEARCH(abortion,C99)))&gt;0)</f>
        <v>0</v>
      </c>
      <c r="W99" s="14" cm="1">
        <f t="array" ref="W99">INT(SUMPRODUCT(--ISNUMBER(SEARCH(trump,C99)))&gt;0)</f>
        <v>0</v>
      </c>
      <c r="X99" s="14" cm="1">
        <f t="array" ref="X99">INT(SUMPRODUCT(--ISNUMBER(SEARCH(voting,C99)))&gt;0)</f>
        <v>0</v>
      </c>
      <c r="Y99" s="35" cm="1">
        <f t="array" ref="Y99">INT(SUMPRODUCT(--ISNUMBER(SEARCH(republicantrigger,C99)))&gt;0)</f>
        <v>1</v>
      </c>
      <c r="Z99" s="35" cm="1">
        <f t="array" ref="Z99">INT(SUMPRODUCT(--ISNUMBER(SEARCH(bipartisan,C99)))&gt;0)</f>
        <v>0</v>
      </c>
      <c r="AA99" s="35">
        <f t="shared" si="1"/>
        <v>0</v>
      </c>
      <c r="AB99" s="14"/>
      <c r="AC99" s="30" t="s">
        <v>223</v>
      </c>
      <c r="AD99" s="37" t="s">
        <v>223</v>
      </c>
    </row>
    <row r="100" spans="1:30" x14ac:dyDescent="0.25">
      <c r="A100" s="36">
        <v>3323</v>
      </c>
      <c r="B100" s="14" t="s">
        <v>6671</v>
      </c>
      <c r="C100" s="31" t="s">
        <v>6672</v>
      </c>
      <c r="D100" s="17">
        <v>44126</v>
      </c>
      <c r="E100" s="14" t="s">
        <v>30</v>
      </c>
      <c r="F100" s="14">
        <v>503</v>
      </c>
      <c r="G100" s="14">
        <v>93</v>
      </c>
      <c r="H100" s="14">
        <v>15</v>
      </c>
      <c r="I100" s="14">
        <v>8</v>
      </c>
      <c r="J100" s="14" t="s">
        <v>31</v>
      </c>
      <c r="K100" s="14" cm="1">
        <f t="array" ref="K100">INT(SUMPRODUCT(--ISNUMBER(SEARCH(economy,C100)))&gt;0)</f>
        <v>0</v>
      </c>
      <c r="L100" s="14" cm="1">
        <f t="array" ref="L100">INT(SUMPRODUCT(--ISNUMBER(SEARCH(healthcare,C100)))&gt;0)</f>
        <v>0</v>
      </c>
      <c r="M100" s="14" cm="1">
        <f t="array" ref="M100">INT(SUMPRODUCT(--ISNUMBER(SEARCH(supreme,C100)))&gt;0)</f>
        <v>1</v>
      </c>
      <c r="N100" s="14" cm="1">
        <f t="array" ref="N100">INT(SUMPRODUCT(--ISNUMBER(SEARCH(covid,C100)))&gt;0)</f>
        <v>0</v>
      </c>
      <c r="O100" s="14" cm="1">
        <f t="array" ref="O100">INT(SUMPRODUCT(--ISNUMBER(SEARCH(violent,C100)))&gt;0)</f>
        <v>0</v>
      </c>
      <c r="P100" s="14" cm="1">
        <f t="array" ref="P100">INT(SUMPRODUCT(--ISNUMBER(SEARCH(foreign,C100)))&gt;0)</f>
        <v>0</v>
      </c>
      <c r="Q100" s="14" cm="1">
        <f t="array" ref="Q100">INT(SUMPRODUCT(--ISNUMBER(SEARCH(gun,C100)))&gt;0)</f>
        <v>0</v>
      </c>
      <c r="R100" s="14" cm="1">
        <f t="array" ref="R100">INT(SUMPRODUCT(--ISNUMBER(SEARCH(race,C100)))&gt;0)</f>
        <v>0</v>
      </c>
      <c r="S100" s="14" cm="1">
        <f t="array" ref="S100">INT(SUMPRODUCT(--ISNUMBER(SEARCH(immigration,C100)))&gt;0)</f>
        <v>0</v>
      </c>
      <c r="T100" s="14" cm="1">
        <f t="array" ref="T100">INT(SUMPRODUCT(--ISNUMBER(SEARCH(econineq,C101)))&gt;0)</f>
        <v>0</v>
      </c>
      <c r="U100" s="14" cm="1">
        <f t="array" ref="U100">INT(SUMPRODUCT(--ISNUMBER(SEARCH(climate,C100)))&gt;0)</f>
        <v>0</v>
      </c>
      <c r="V100" s="14" cm="1">
        <f t="array" ref="V100">INT(SUMPRODUCT(--ISNUMBER(SEARCH(abortion,C100)))&gt;0)</f>
        <v>0</v>
      </c>
      <c r="W100" s="14" cm="1">
        <f t="array" ref="W100">INT(SUMPRODUCT(--ISNUMBER(SEARCH(trump,C100)))&gt;0)</f>
        <v>0</v>
      </c>
      <c r="X100" s="14" cm="1">
        <f t="array" ref="X100">INT(SUMPRODUCT(--ISNUMBER(SEARCH(voting,C100)))&gt;0)</f>
        <v>1</v>
      </c>
      <c r="Y100" s="35" cm="1">
        <f t="array" ref="Y100">INT(SUMPRODUCT(--ISNUMBER(SEARCH(republicantrigger,C100)))&gt;0)</f>
        <v>0</v>
      </c>
      <c r="Z100" s="35" cm="1">
        <f t="array" ref="Z100">INT(SUMPRODUCT(--ISNUMBER(SEARCH(bipartisan,C100)))&gt;0)</f>
        <v>0</v>
      </c>
      <c r="AA100" s="35">
        <f t="shared" si="1"/>
        <v>0</v>
      </c>
      <c r="AB100" s="14"/>
      <c r="AC100" s="30">
        <v>0</v>
      </c>
      <c r="AD100" s="37">
        <v>1</v>
      </c>
    </row>
    <row r="101" spans="1:30" x14ac:dyDescent="0.25">
      <c r="A101" s="36">
        <v>3324</v>
      </c>
      <c r="B101" s="14" t="s">
        <v>6673</v>
      </c>
      <c r="C101" s="31" t="s">
        <v>6674</v>
      </c>
      <c r="D101" s="17">
        <v>44126</v>
      </c>
      <c r="E101" s="14" t="s">
        <v>30</v>
      </c>
      <c r="F101" s="14">
        <v>96</v>
      </c>
      <c r="G101" s="14">
        <v>39</v>
      </c>
      <c r="H101" s="14">
        <v>15</v>
      </c>
      <c r="I101" s="14">
        <v>8</v>
      </c>
      <c r="J101" s="14" t="s">
        <v>31</v>
      </c>
      <c r="K101" s="14" cm="1">
        <f t="array" ref="K101">INT(SUMPRODUCT(--ISNUMBER(SEARCH(economy,C101)))&gt;0)</f>
        <v>0</v>
      </c>
      <c r="L101" s="14" cm="1">
        <f t="array" ref="L101">INT(SUMPRODUCT(--ISNUMBER(SEARCH(healthcare,C101)))&gt;0)</f>
        <v>0</v>
      </c>
      <c r="M101" s="14" cm="1">
        <f t="array" ref="M101">INT(SUMPRODUCT(--ISNUMBER(SEARCH(supreme,C101)))&gt;0)</f>
        <v>0</v>
      </c>
      <c r="N101" s="14" cm="1">
        <f t="array" ref="N101">INT(SUMPRODUCT(--ISNUMBER(SEARCH(covid,C101)))&gt;0)</f>
        <v>0</v>
      </c>
      <c r="O101" s="14" cm="1">
        <f t="array" ref="O101">INT(SUMPRODUCT(--ISNUMBER(SEARCH(violent,C101)))&gt;0)</f>
        <v>0</v>
      </c>
      <c r="P101" s="14" cm="1">
        <f t="array" ref="P101">INT(SUMPRODUCT(--ISNUMBER(SEARCH(foreign,C101)))&gt;0)</f>
        <v>0</v>
      </c>
      <c r="Q101" s="14" cm="1">
        <f t="array" ref="Q101">INT(SUMPRODUCT(--ISNUMBER(SEARCH(gun,C101)))&gt;0)</f>
        <v>0</v>
      </c>
      <c r="R101" s="14" cm="1">
        <f t="array" ref="R101">INT(SUMPRODUCT(--ISNUMBER(SEARCH(race,C101)))&gt;0)</f>
        <v>0</v>
      </c>
      <c r="S101" s="14" cm="1">
        <f t="array" ref="S101">INT(SUMPRODUCT(--ISNUMBER(SEARCH(immigration,C101)))&gt;0)</f>
        <v>0</v>
      </c>
      <c r="T101" s="14" cm="1">
        <f t="array" ref="T101">INT(SUMPRODUCT(--ISNUMBER(SEARCH(econineq,C102)))&gt;0)</f>
        <v>0</v>
      </c>
      <c r="U101" s="14" cm="1">
        <f t="array" ref="U101">INT(SUMPRODUCT(--ISNUMBER(SEARCH(climate,C101)))&gt;0)</f>
        <v>0</v>
      </c>
      <c r="V101" s="14" cm="1">
        <f t="array" ref="V101">INT(SUMPRODUCT(--ISNUMBER(SEARCH(abortion,C101)))&gt;0)</f>
        <v>0</v>
      </c>
      <c r="W101" s="14" cm="1">
        <f t="array" ref="W101">INT(SUMPRODUCT(--ISNUMBER(SEARCH(trump,C101)))&gt;0)</f>
        <v>0</v>
      </c>
      <c r="X101" s="14" cm="1">
        <f t="array" ref="X101">INT(SUMPRODUCT(--ISNUMBER(SEARCH(voting,C101)))&gt;0)</f>
        <v>1</v>
      </c>
      <c r="Y101" s="35" cm="1">
        <f t="array" ref="Y101">INT(SUMPRODUCT(--ISNUMBER(SEARCH(republicantrigger,C101)))&gt;0)</f>
        <v>1</v>
      </c>
      <c r="Z101" s="35" cm="1">
        <f t="array" ref="Z101">INT(SUMPRODUCT(--ISNUMBER(SEARCH(bipartisan,C101)))&gt;0)</f>
        <v>0</v>
      </c>
      <c r="AA101" s="35">
        <f t="shared" si="1"/>
        <v>0</v>
      </c>
      <c r="AB101" s="14"/>
      <c r="AC101" s="30">
        <v>0</v>
      </c>
      <c r="AD101" s="37">
        <v>1</v>
      </c>
    </row>
    <row r="102" spans="1:30" x14ac:dyDescent="0.25">
      <c r="A102" s="36">
        <v>3325</v>
      </c>
      <c r="B102" s="14" t="s">
        <v>6675</v>
      </c>
      <c r="C102" s="31" t="s">
        <v>6676</v>
      </c>
      <c r="D102" s="17">
        <v>44126</v>
      </c>
      <c r="E102" s="14" t="s">
        <v>30</v>
      </c>
      <c r="F102" s="14">
        <v>108</v>
      </c>
      <c r="G102" s="14">
        <v>24</v>
      </c>
      <c r="H102" s="14">
        <v>15</v>
      </c>
      <c r="I102" s="14">
        <v>8</v>
      </c>
      <c r="J102" s="14" t="s">
        <v>31</v>
      </c>
      <c r="K102" s="14" cm="1">
        <f t="array" ref="K102">INT(SUMPRODUCT(--ISNUMBER(SEARCH(economy,C102)))&gt;0)</f>
        <v>0</v>
      </c>
      <c r="L102" s="14" cm="1">
        <f t="array" ref="L102">INT(SUMPRODUCT(--ISNUMBER(SEARCH(healthcare,C102)))&gt;0)</f>
        <v>0</v>
      </c>
      <c r="M102" s="14" cm="1">
        <f t="array" ref="M102">INT(SUMPRODUCT(--ISNUMBER(SEARCH(supreme,C102)))&gt;0)</f>
        <v>1</v>
      </c>
      <c r="N102" s="14" cm="1">
        <f t="array" ref="N102">INT(SUMPRODUCT(--ISNUMBER(SEARCH(covid,C102)))&gt;0)</f>
        <v>0</v>
      </c>
      <c r="O102" s="14" cm="1">
        <f t="array" ref="O102">INT(SUMPRODUCT(--ISNUMBER(SEARCH(violent,C102)))&gt;0)</f>
        <v>0</v>
      </c>
      <c r="P102" s="14" cm="1">
        <f t="array" ref="P102">INT(SUMPRODUCT(--ISNUMBER(SEARCH(foreign,C102)))&gt;0)</f>
        <v>0</v>
      </c>
      <c r="Q102" s="14" cm="1">
        <f t="array" ref="Q102">INT(SUMPRODUCT(--ISNUMBER(SEARCH(gun,C102)))&gt;0)</f>
        <v>0</v>
      </c>
      <c r="R102" s="14" cm="1">
        <f t="array" ref="R102">INT(SUMPRODUCT(--ISNUMBER(SEARCH(race,C102)))&gt;0)</f>
        <v>0</v>
      </c>
      <c r="S102" s="14" cm="1">
        <f t="array" ref="S102">INT(SUMPRODUCT(--ISNUMBER(SEARCH(immigration,C102)))&gt;0)</f>
        <v>0</v>
      </c>
      <c r="T102" s="14" cm="1">
        <f t="array" ref="T102">INT(SUMPRODUCT(--ISNUMBER(SEARCH(econineq,C103)))&gt;0)</f>
        <v>0</v>
      </c>
      <c r="U102" s="14" cm="1">
        <f t="array" ref="U102">INT(SUMPRODUCT(--ISNUMBER(SEARCH(climate,C102)))&gt;0)</f>
        <v>0</v>
      </c>
      <c r="V102" s="14" cm="1">
        <f t="array" ref="V102">INT(SUMPRODUCT(--ISNUMBER(SEARCH(abortion,C102)))&gt;0)</f>
        <v>0</v>
      </c>
      <c r="W102" s="14" cm="1">
        <f t="array" ref="W102">INT(SUMPRODUCT(--ISNUMBER(SEARCH(trump,C102)))&gt;0)</f>
        <v>0</v>
      </c>
      <c r="X102" s="14" cm="1">
        <f t="array" ref="X102">INT(SUMPRODUCT(--ISNUMBER(SEARCH(voting,C102)))&gt;0)</f>
        <v>1</v>
      </c>
      <c r="Y102" s="35" cm="1">
        <f t="array" ref="Y102">INT(SUMPRODUCT(--ISNUMBER(SEARCH(republicantrigger,C102)))&gt;0)</f>
        <v>1</v>
      </c>
      <c r="Z102" s="35" cm="1">
        <f t="array" ref="Z102">INT(SUMPRODUCT(--ISNUMBER(SEARCH(bipartisan,C102)))&gt;0)</f>
        <v>1</v>
      </c>
      <c r="AA102" s="35">
        <f t="shared" si="1"/>
        <v>0</v>
      </c>
      <c r="AB102" s="14"/>
      <c r="AC102" s="30" t="s">
        <v>223</v>
      </c>
      <c r="AD102" s="37" t="s">
        <v>223</v>
      </c>
    </row>
    <row r="103" spans="1:30" x14ac:dyDescent="0.25">
      <c r="A103" s="36">
        <v>3326</v>
      </c>
      <c r="B103" s="14" t="s">
        <v>6677</v>
      </c>
      <c r="C103" s="31" t="s">
        <v>6678</v>
      </c>
      <c r="D103" s="17">
        <v>44125</v>
      </c>
      <c r="E103" s="14" t="s">
        <v>30</v>
      </c>
      <c r="F103" s="14">
        <v>61</v>
      </c>
      <c r="G103" s="14">
        <v>22</v>
      </c>
      <c r="H103" s="14">
        <v>15</v>
      </c>
      <c r="I103" s="14">
        <v>8</v>
      </c>
      <c r="J103" s="14" t="s">
        <v>31</v>
      </c>
      <c r="K103" s="14" cm="1">
        <f t="array" ref="K103">INT(SUMPRODUCT(--ISNUMBER(SEARCH(economy,C103)))&gt;0)</f>
        <v>0</v>
      </c>
      <c r="L103" s="14" cm="1">
        <f t="array" ref="L103">INT(SUMPRODUCT(--ISNUMBER(SEARCH(healthcare,C103)))&gt;0)</f>
        <v>0</v>
      </c>
      <c r="M103" s="14" cm="1">
        <f t="array" ref="M103">INT(SUMPRODUCT(--ISNUMBER(SEARCH(supreme,C103)))&gt;0)</f>
        <v>0</v>
      </c>
      <c r="N103" s="14" cm="1">
        <f t="array" ref="N103">INT(SUMPRODUCT(--ISNUMBER(SEARCH(covid,C103)))&gt;0)</f>
        <v>0</v>
      </c>
      <c r="O103" s="14" cm="1">
        <f t="array" ref="O103">INT(SUMPRODUCT(--ISNUMBER(SEARCH(violent,C103)))&gt;0)</f>
        <v>0</v>
      </c>
      <c r="P103" s="14" cm="1">
        <f t="array" ref="P103">INT(SUMPRODUCT(--ISNUMBER(SEARCH(foreign,C103)))&gt;0)</f>
        <v>0</v>
      </c>
      <c r="Q103" s="14" cm="1">
        <f t="array" ref="Q103">INT(SUMPRODUCT(--ISNUMBER(SEARCH(gun,C103)))&gt;0)</f>
        <v>0</v>
      </c>
      <c r="R103" s="14" cm="1">
        <f t="array" ref="R103">INT(SUMPRODUCT(--ISNUMBER(SEARCH(race,C103)))&gt;0)</f>
        <v>0</v>
      </c>
      <c r="S103" s="14" cm="1">
        <f t="array" ref="S103">INT(SUMPRODUCT(--ISNUMBER(SEARCH(immigration,C103)))&gt;0)</f>
        <v>0</v>
      </c>
      <c r="T103" s="14" cm="1">
        <f t="array" ref="T103">INT(SUMPRODUCT(--ISNUMBER(SEARCH(econineq,C104)))&gt;0)</f>
        <v>0</v>
      </c>
      <c r="U103" s="14" cm="1">
        <f t="array" ref="U103">INT(SUMPRODUCT(--ISNUMBER(SEARCH(climate,C103)))&gt;0)</f>
        <v>0</v>
      </c>
      <c r="V103" s="14" cm="1">
        <f t="array" ref="V103">INT(SUMPRODUCT(--ISNUMBER(SEARCH(abortion,C103)))&gt;0)</f>
        <v>0</v>
      </c>
      <c r="W103" s="14" cm="1">
        <f t="array" ref="W103">INT(SUMPRODUCT(--ISNUMBER(SEARCH(trump,C103)))&gt;0)</f>
        <v>0</v>
      </c>
      <c r="X103" s="14" cm="1">
        <f t="array" ref="X103">INT(SUMPRODUCT(--ISNUMBER(SEARCH(voting,C103)))&gt;0)</f>
        <v>0</v>
      </c>
      <c r="Y103" s="35" cm="1">
        <f t="array" ref="Y103">INT(SUMPRODUCT(--ISNUMBER(SEARCH(republicantrigger,C103)))&gt;0)</f>
        <v>1</v>
      </c>
      <c r="Z103" s="35" cm="1">
        <f t="array" ref="Z103">INT(SUMPRODUCT(--ISNUMBER(SEARCH(bipartisan,C103)))&gt;0)</f>
        <v>0</v>
      </c>
      <c r="AA103" s="35">
        <f t="shared" si="1"/>
        <v>0</v>
      </c>
      <c r="AB103" s="14"/>
      <c r="AC103" s="30" t="s">
        <v>223</v>
      </c>
      <c r="AD103" s="37" t="s">
        <v>223</v>
      </c>
    </row>
    <row r="104" spans="1:30" x14ac:dyDescent="0.25">
      <c r="A104" s="36">
        <v>3327</v>
      </c>
      <c r="B104" s="14" t="s">
        <v>6679</v>
      </c>
      <c r="C104" s="31" t="s">
        <v>6680</v>
      </c>
      <c r="D104" s="17">
        <v>44125</v>
      </c>
      <c r="E104" s="14" t="s">
        <v>30</v>
      </c>
      <c r="F104" s="14">
        <v>39</v>
      </c>
      <c r="G104" s="14">
        <v>20</v>
      </c>
      <c r="H104" s="14">
        <v>15</v>
      </c>
      <c r="I104" s="14">
        <v>8</v>
      </c>
      <c r="J104" s="14" t="s">
        <v>31</v>
      </c>
      <c r="K104" s="14" cm="1">
        <f t="array" ref="K104">INT(SUMPRODUCT(--ISNUMBER(SEARCH(economy,C104)))&gt;0)</f>
        <v>0</v>
      </c>
      <c r="L104" s="14" cm="1">
        <f t="array" ref="L104">INT(SUMPRODUCT(--ISNUMBER(SEARCH(healthcare,C104)))&gt;0)</f>
        <v>0</v>
      </c>
      <c r="M104" s="14" cm="1">
        <f t="array" ref="M104">INT(SUMPRODUCT(--ISNUMBER(SEARCH(supreme,C104)))&gt;0)</f>
        <v>0</v>
      </c>
      <c r="N104" s="14" cm="1">
        <f t="array" ref="N104">INT(SUMPRODUCT(--ISNUMBER(SEARCH(covid,C104)))&gt;0)</f>
        <v>0</v>
      </c>
      <c r="O104" s="14" cm="1">
        <f t="array" ref="O104">INT(SUMPRODUCT(--ISNUMBER(SEARCH(violent,C104)))&gt;0)</f>
        <v>0</v>
      </c>
      <c r="P104" s="14" cm="1">
        <f t="array" ref="P104">INT(SUMPRODUCT(--ISNUMBER(SEARCH(foreign,C104)))&gt;0)</f>
        <v>0</v>
      </c>
      <c r="Q104" s="14" cm="1">
        <f t="array" ref="Q104">INT(SUMPRODUCT(--ISNUMBER(SEARCH(gun,C104)))&gt;0)</f>
        <v>0</v>
      </c>
      <c r="R104" s="14" cm="1">
        <f t="array" ref="R104">INT(SUMPRODUCT(--ISNUMBER(SEARCH(race,C104)))&gt;0)</f>
        <v>0</v>
      </c>
      <c r="S104" s="14" cm="1">
        <f t="array" ref="S104">INT(SUMPRODUCT(--ISNUMBER(SEARCH(immigration,C104)))&gt;0)</f>
        <v>0</v>
      </c>
      <c r="T104" s="14" cm="1">
        <f t="array" ref="T104">INT(SUMPRODUCT(--ISNUMBER(SEARCH(econineq,C105)))&gt;0)</f>
        <v>0</v>
      </c>
      <c r="U104" s="14" cm="1">
        <f t="array" ref="U104">INT(SUMPRODUCT(--ISNUMBER(SEARCH(climate,C104)))&gt;0)</f>
        <v>0</v>
      </c>
      <c r="V104" s="14" cm="1">
        <f t="array" ref="V104">INT(SUMPRODUCT(--ISNUMBER(SEARCH(abortion,C104)))&gt;0)</f>
        <v>0</v>
      </c>
      <c r="W104" s="14" cm="1">
        <f t="array" ref="W104">INT(SUMPRODUCT(--ISNUMBER(SEARCH(trump,C104)))&gt;0)</f>
        <v>0</v>
      </c>
      <c r="X104" s="14" cm="1">
        <f t="array" ref="X104">INT(SUMPRODUCT(--ISNUMBER(SEARCH(voting,C104)))&gt;0)</f>
        <v>1</v>
      </c>
      <c r="Y104" s="35" cm="1">
        <f t="array" ref="Y104">INT(SUMPRODUCT(--ISNUMBER(SEARCH(republicantrigger,C104)))&gt;0)</f>
        <v>1</v>
      </c>
      <c r="Z104" s="35" cm="1">
        <f t="array" ref="Z104">INT(SUMPRODUCT(--ISNUMBER(SEARCH(bipartisan,C104)))&gt;0)</f>
        <v>0</v>
      </c>
      <c r="AA104" s="35">
        <f t="shared" si="1"/>
        <v>0</v>
      </c>
      <c r="AB104" s="14"/>
      <c r="AC104" s="30" t="s">
        <v>223</v>
      </c>
      <c r="AD104" s="37" t="s">
        <v>223</v>
      </c>
    </row>
    <row r="105" spans="1:30" x14ac:dyDescent="0.25">
      <c r="A105" s="36">
        <v>3328</v>
      </c>
      <c r="B105" s="14" t="s">
        <v>6681</v>
      </c>
      <c r="C105" s="31" t="s">
        <v>6682</v>
      </c>
      <c r="D105" s="17">
        <v>44125</v>
      </c>
      <c r="E105" s="14" t="s">
        <v>30</v>
      </c>
      <c r="F105" s="14">
        <v>54</v>
      </c>
      <c r="G105" s="14">
        <v>35</v>
      </c>
      <c r="H105" s="14">
        <v>15</v>
      </c>
      <c r="I105" s="14">
        <v>8</v>
      </c>
      <c r="J105" s="14" t="s">
        <v>31</v>
      </c>
      <c r="K105" s="14" cm="1">
        <f t="array" ref="K105">INT(SUMPRODUCT(--ISNUMBER(SEARCH(economy,C105)))&gt;0)</f>
        <v>0</v>
      </c>
      <c r="L105" s="14" cm="1">
        <f t="array" ref="L105">INT(SUMPRODUCT(--ISNUMBER(SEARCH(healthcare,C105)))&gt;0)</f>
        <v>0</v>
      </c>
      <c r="M105" s="14" cm="1">
        <f t="array" ref="M105">INT(SUMPRODUCT(--ISNUMBER(SEARCH(supreme,C105)))&gt;0)</f>
        <v>1</v>
      </c>
      <c r="N105" s="14" cm="1">
        <f t="array" ref="N105">INT(SUMPRODUCT(--ISNUMBER(SEARCH(covid,C105)))&gt;0)</f>
        <v>0</v>
      </c>
      <c r="O105" s="14" cm="1">
        <f t="array" ref="O105">INT(SUMPRODUCT(--ISNUMBER(SEARCH(violent,C105)))&gt;0)</f>
        <v>0</v>
      </c>
      <c r="P105" s="14" cm="1">
        <f t="array" ref="P105">INT(SUMPRODUCT(--ISNUMBER(SEARCH(foreign,C105)))&gt;0)</f>
        <v>0</v>
      </c>
      <c r="Q105" s="14" cm="1">
        <f t="array" ref="Q105">INT(SUMPRODUCT(--ISNUMBER(SEARCH(gun,C105)))&gt;0)</f>
        <v>0</v>
      </c>
      <c r="R105" s="14" cm="1">
        <f t="array" ref="R105">INT(SUMPRODUCT(--ISNUMBER(SEARCH(race,C105)))&gt;0)</f>
        <v>0</v>
      </c>
      <c r="S105" s="14" cm="1">
        <f t="array" ref="S105">INT(SUMPRODUCT(--ISNUMBER(SEARCH(immigration,C105)))&gt;0)</f>
        <v>0</v>
      </c>
      <c r="T105" s="14" cm="1">
        <f t="array" ref="T105">INT(SUMPRODUCT(--ISNUMBER(SEARCH(econineq,C106)))&gt;0)</f>
        <v>0</v>
      </c>
      <c r="U105" s="14" cm="1">
        <f t="array" ref="U105">INT(SUMPRODUCT(--ISNUMBER(SEARCH(climate,C105)))&gt;0)</f>
        <v>0</v>
      </c>
      <c r="V105" s="14" cm="1">
        <f t="array" ref="V105">INT(SUMPRODUCT(--ISNUMBER(SEARCH(abortion,C105)))&gt;0)</f>
        <v>0</v>
      </c>
      <c r="W105" s="14" cm="1">
        <f t="array" ref="W105">INT(SUMPRODUCT(--ISNUMBER(SEARCH(trump,C105)))&gt;0)</f>
        <v>0</v>
      </c>
      <c r="X105" s="14" cm="1">
        <f t="array" ref="X105">INT(SUMPRODUCT(--ISNUMBER(SEARCH(voting,C105)))&gt;0)</f>
        <v>0</v>
      </c>
      <c r="Y105" s="35" cm="1">
        <f t="array" ref="Y105">INT(SUMPRODUCT(--ISNUMBER(SEARCH(republicantrigger,C105)))&gt;0)</f>
        <v>1</v>
      </c>
      <c r="Z105" s="35" cm="1">
        <f t="array" ref="Z105">INT(SUMPRODUCT(--ISNUMBER(SEARCH(bipartisan,C105)))&gt;0)</f>
        <v>0</v>
      </c>
      <c r="AA105" s="35">
        <f t="shared" si="1"/>
        <v>0</v>
      </c>
      <c r="AB105" s="14"/>
      <c r="AC105" s="30">
        <v>0</v>
      </c>
      <c r="AD105" s="37">
        <v>1</v>
      </c>
    </row>
    <row r="106" spans="1:30" x14ac:dyDescent="0.25">
      <c r="A106" s="36">
        <v>3329</v>
      </c>
      <c r="B106" s="14" t="s">
        <v>6683</v>
      </c>
      <c r="C106" s="31" t="s">
        <v>6684</v>
      </c>
      <c r="D106" s="17">
        <v>44125</v>
      </c>
      <c r="E106" s="14" t="s">
        <v>30</v>
      </c>
      <c r="F106" s="14">
        <v>102</v>
      </c>
      <c r="G106" s="14">
        <v>51</v>
      </c>
      <c r="H106" s="14">
        <v>15</v>
      </c>
      <c r="I106" s="14">
        <v>8</v>
      </c>
      <c r="J106" s="14" t="s">
        <v>31</v>
      </c>
      <c r="K106" s="14" cm="1">
        <f t="array" ref="K106">INT(SUMPRODUCT(--ISNUMBER(SEARCH(economy,C106)))&gt;0)</f>
        <v>0</v>
      </c>
      <c r="L106" s="14" cm="1">
        <f t="array" ref="L106">INT(SUMPRODUCT(--ISNUMBER(SEARCH(healthcare,C106)))&gt;0)</f>
        <v>0</v>
      </c>
      <c r="M106" s="14" cm="1">
        <f t="array" ref="M106">INT(SUMPRODUCT(--ISNUMBER(SEARCH(supreme,C106)))&gt;0)</f>
        <v>1</v>
      </c>
      <c r="N106" s="14" cm="1">
        <f t="array" ref="N106">INT(SUMPRODUCT(--ISNUMBER(SEARCH(covid,C106)))&gt;0)</f>
        <v>0</v>
      </c>
      <c r="O106" s="14" cm="1">
        <f t="array" ref="O106">INT(SUMPRODUCT(--ISNUMBER(SEARCH(violent,C106)))&gt;0)</f>
        <v>0</v>
      </c>
      <c r="P106" s="14" cm="1">
        <f t="array" ref="P106">INT(SUMPRODUCT(--ISNUMBER(SEARCH(foreign,C106)))&gt;0)</f>
        <v>0</v>
      </c>
      <c r="Q106" s="14" cm="1">
        <f t="array" ref="Q106">INT(SUMPRODUCT(--ISNUMBER(SEARCH(gun,C106)))&gt;0)</f>
        <v>0</v>
      </c>
      <c r="R106" s="14" cm="1">
        <f t="array" ref="R106">INT(SUMPRODUCT(--ISNUMBER(SEARCH(race,C106)))&gt;0)</f>
        <v>0</v>
      </c>
      <c r="S106" s="14" cm="1">
        <f t="array" ref="S106">INT(SUMPRODUCT(--ISNUMBER(SEARCH(immigration,C106)))&gt;0)</f>
        <v>0</v>
      </c>
      <c r="T106" s="14" cm="1">
        <f t="array" ref="T106">INT(SUMPRODUCT(--ISNUMBER(SEARCH(econineq,C107)))&gt;0)</f>
        <v>0</v>
      </c>
      <c r="U106" s="14" cm="1">
        <f t="array" ref="U106">INT(SUMPRODUCT(--ISNUMBER(SEARCH(climate,C106)))&gt;0)</f>
        <v>0</v>
      </c>
      <c r="V106" s="14" cm="1">
        <f t="array" ref="V106">INT(SUMPRODUCT(--ISNUMBER(SEARCH(abortion,C106)))&gt;0)</f>
        <v>0</v>
      </c>
      <c r="W106" s="14" cm="1">
        <f t="array" ref="W106">INT(SUMPRODUCT(--ISNUMBER(SEARCH(trump,C106)))&gt;0)</f>
        <v>0</v>
      </c>
      <c r="X106" s="14" cm="1">
        <f t="array" ref="X106">INT(SUMPRODUCT(--ISNUMBER(SEARCH(voting,C106)))&gt;0)</f>
        <v>1</v>
      </c>
      <c r="Y106" s="35" cm="1">
        <f t="array" ref="Y106">INT(SUMPRODUCT(--ISNUMBER(SEARCH(republicantrigger,C106)))&gt;0)</f>
        <v>1</v>
      </c>
      <c r="Z106" s="35" cm="1">
        <f t="array" ref="Z106">INT(SUMPRODUCT(--ISNUMBER(SEARCH(bipartisan,C106)))&gt;0)</f>
        <v>0</v>
      </c>
      <c r="AA106" s="35">
        <f t="shared" si="1"/>
        <v>0</v>
      </c>
      <c r="AB106" s="14"/>
      <c r="AC106" s="30">
        <v>0</v>
      </c>
      <c r="AD106" s="37">
        <v>1</v>
      </c>
    </row>
    <row r="107" spans="1:30" x14ac:dyDescent="0.25">
      <c r="A107" s="36">
        <v>3330</v>
      </c>
      <c r="B107" s="14" t="s">
        <v>6685</v>
      </c>
      <c r="C107" s="31" t="s">
        <v>6686</v>
      </c>
      <c r="D107" s="17">
        <v>44125</v>
      </c>
      <c r="E107" s="14" t="s">
        <v>30</v>
      </c>
      <c r="F107" s="14">
        <v>71</v>
      </c>
      <c r="G107" s="14">
        <v>36</v>
      </c>
      <c r="H107" s="14">
        <v>15</v>
      </c>
      <c r="I107" s="14">
        <v>8</v>
      </c>
      <c r="J107" s="14" t="s">
        <v>31</v>
      </c>
      <c r="K107" s="14" cm="1">
        <f t="array" ref="K107">INT(SUMPRODUCT(--ISNUMBER(SEARCH(economy,C107)))&gt;0)</f>
        <v>0</v>
      </c>
      <c r="L107" s="14" cm="1">
        <f t="array" ref="L107">INT(SUMPRODUCT(--ISNUMBER(SEARCH(healthcare,C107)))&gt;0)</f>
        <v>0</v>
      </c>
      <c r="M107" s="14" cm="1">
        <f t="array" ref="M107">INT(SUMPRODUCT(--ISNUMBER(SEARCH(supreme,C107)))&gt;0)</f>
        <v>1</v>
      </c>
      <c r="N107" s="14" cm="1">
        <f t="array" ref="N107">INT(SUMPRODUCT(--ISNUMBER(SEARCH(covid,C107)))&gt;0)</f>
        <v>0</v>
      </c>
      <c r="O107" s="14" cm="1">
        <f t="array" ref="O107">INT(SUMPRODUCT(--ISNUMBER(SEARCH(violent,C107)))&gt;0)</f>
        <v>0</v>
      </c>
      <c r="P107" s="14" cm="1">
        <f t="array" ref="P107">INT(SUMPRODUCT(--ISNUMBER(SEARCH(foreign,C107)))&gt;0)</f>
        <v>0</v>
      </c>
      <c r="Q107" s="14" cm="1">
        <f t="array" ref="Q107">INT(SUMPRODUCT(--ISNUMBER(SEARCH(gun,C107)))&gt;0)</f>
        <v>0</v>
      </c>
      <c r="R107" s="14" cm="1">
        <f t="array" ref="R107">INT(SUMPRODUCT(--ISNUMBER(SEARCH(race,C107)))&gt;0)</f>
        <v>0</v>
      </c>
      <c r="S107" s="14" cm="1">
        <f t="array" ref="S107">INT(SUMPRODUCT(--ISNUMBER(SEARCH(immigration,C107)))&gt;0)</f>
        <v>0</v>
      </c>
      <c r="T107" s="14" cm="1">
        <f t="array" ref="T107">INT(SUMPRODUCT(--ISNUMBER(SEARCH(econineq,C108)))&gt;0)</f>
        <v>0</v>
      </c>
      <c r="U107" s="14" cm="1">
        <f t="array" ref="U107">INT(SUMPRODUCT(--ISNUMBER(SEARCH(climate,C107)))&gt;0)</f>
        <v>0</v>
      </c>
      <c r="V107" s="14" cm="1">
        <f t="array" ref="V107">INT(SUMPRODUCT(--ISNUMBER(SEARCH(abortion,C107)))&gt;0)</f>
        <v>0</v>
      </c>
      <c r="W107" s="14" cm="1">
        <f t="array" ref="W107">INT(SUMPRODUCT(--ISNUMBER(SEARCH(trump,C107)))&gt;0)</f>
        <v>0</v>
      </c>
      <c r="X107" s="14" cm="1">
        <f t="array" ref="X107">INT(SUMPRODUCT(--ISNUMBER(SEARCH(voting,C107)))&gt;0)</f>
        <v>0</v>
      </c>
      <c r="Y107" s="35" cm="1">
        <f t="array" ref="Y107">INT(SUMPRODUCT(--ISNUMBER(SEARCH(republicantrigger,C107)))&gt;0)</f>
        <v>1</v>
      </c>
      <c r="Z107" s="35" cm="1">
        <f t="array" ref="Z107">INT(SUMPRODUCT(--ISNUMBER(SEARCH(bipartisan,C107)))&gt;0)</f>
        <v>0</v>
      </c>
      <c r="AA107" s="35">
        <f t="shared" si="1"/>
        <v>0</v>
      </c>
      <c r="AB107" s="14"/>
      <c r="AC107" s="30">
        <v>0</v>
      </c>
      <c r="AD107" s="37">
        <v>1</v>
      </c>
    </row>
    <row r="108" spans="1:30" x14ac:dyDescent="0.25">
      <c r="A108" s="36">
        <v>3331</v>
      </c>
      <c r="B108" s="14" t="s">
        <v>6687</v>
      </c>
      <c r="C108" s="31" t="s">
        <v>6688</v>
      </c>
      <c r="D108" s="17">
        <v>44124</v>
      </c>
      <c r="E108" s="14" t="s">
        <v>30</v>
      </c>
      <c r="F108" s="14">
        <v>128</v>
      </c>
      <c r="G108" s="14">
        <v>71</v>
      </c>
      <c r="H108" s="14">
        <v>15</v>
      </c>
      <c r="I108" s="14">
        <v>8</v>
      </c>
      <c r="J108" s="14" t="s">
        <v>31</v>
      </c>
      <c r="K108" s="14" cm="1">
        <f t="array" ref="K108">INT(SUMPRODUCT(--ISNUMBER(SEARCH(economy,C108)))&gt;0)</f>
        <v>0</v>
      </c>
      <c r="L108" s="14" cm="1">
        <f t="array" ref="L108">INT(SUMPRODUCT(--ISNUMBER(SEARCH(healthcare,C108)))&gt;0)</f>
        <v>0</v>
      </c>
      <c r="M108" s="14" cm="1">
        <f t="array" ref="M108">INT(SUMPRODUCT(--ISNUMBER(SEARCH(supreme,C108)))&gt;0)</f>
        <v>0</v>
      </c>
      <c r="N108" s="14" cm="1">
        <f t="array" ref="N108">INT(SUMPRODUCT(--ISNUMBER(SEARCH(covid,C108)))&gt;0)</f>
        <v>0</v>
      </c>
      <c r="O108" s="14" cm="1">
        <f t="array" ref="O108">INT(SUMPRODUCT(--ISNUMBER(SEARCH(violent,C108)))&gt;0)</f>
        <v>0</v>
      </c>
      <c r="P108" s="14" cm="1">
        <f t="array" ref="P108">INT(SUMPRODUCT(--ISNUMBER(SEARCH(foreign,C108)))&gt;0)</f>
        <v>0</v>
      </c>
      <c r="Q108" s="14" cm="1">
        <f t="array" ref="Q108">INT(SUMPRODUCT(--ISNUMBER(SEARCH(gun,C108)))&gt;0)</f>
        <v>0</v>
      </c>
      <c r="R108" s="14" cm="1">
        <f t="array" ref="R108">INT(SUMPRODUCT(--ISNUMBER(SEARCH(race,C108)))&gt;0)</f>
        <v>0</v>
      </c>
      <c r="S108" s="14" cm="1">
        <f t="array" ref="S108">INT(SUMPRODUCT(--ISNUMBER(SEARCH(immigration,C108)))&gt;0)</f>
        <v>0</v>
      </c>
      <c r="T108" s="14" cm="1">
        <f t="array" ref="T108">INT(SUMPRODUCT(--ISNUMBER(SEARCH(econineq,C109)))&gt;0)</f>
        <v>0</v>
      </c>
      <c r="U108" s="14" cm="1">
        <f t="array" ref="U108">INT(SUMPRODUCT(--ISNUMBER(SEARCH(climate,C108)))&gt;0)</f>
        <v>0</v>
      </c>
      <c r="V108" s="14" cm="1">
        <f t="array" ref="V108">INT(SUMPRODUCT(--ISNUMBER(SEARCH(abortion,C108)))&gt;0)</f>
        <v>0</v>
      </c>
      <c r="W108" s="14" cm="1">
        <f t="array" ref="W108">INT(SUMPRODUCT(--ISNUMBER(SEARCH(trump,C108)))&gt;0)</f>
        <v>0</v>
      </c>
      <c r="X108" s="14" cm="1">
        <f t="array" ref="X108">INT(SUMPRODUCT(--ISNUMBER(SEARCH(voting,C108)))&gt;0)</f>
        <v>0</v>
      </c>
      <c r="Y108" s="35" cm="1">
        <f t="array" ref="Y108">INT(SUMPRODUCT(--ISNUMBER(SEARCH(republicantrigger,C108)))&gt;0)</f>
        <v>1</v>
      </c>
      <c r="Z108" s="35" cm="1">
        <f t="array" ref="Z108">INT(SUMPRODUCT(--ISNUMBER(SEARCH(bipartisan,C108)))&gt;0)</f>
        <v>0</v>
      </c>
      <c r="AA108" s="35">
        <f t="shared" si="1"/>
        <v>0</v>
      </c>
      <c r="AB108" s="14"/>
      <c r="AC108" s="30">
        <v>0</v>
      </c>
      <c r="AD108" s="37">
        <v>1</v>
      </c>
    </row>
    <row r="109" spans="1:30" x14ac:dyDescent="0.25">
      <c r="A109" s="36">
        <v>3332</v>
      </c>
      <c r="B109" s="14" t="s">
        <v>6689</v>
      </c>
      <c r="C109" s="31" t="s">
        <v>6690</v>
      </c>
      <c r="D109" s="17">
        <v>44124</v>
      </c>
      <c r="E109" s="14" t="s">
        <v>30</v>
      </c>
      <c r="F109" s="14">
        <v>85</v>
      </c>
      <c r="G109" s="14">
        <v>39</v>
      </c>
      <c r="H109" s="14">
        <v>15</v>
      </c>
      <c r="I109" s="14">
        <v>8</v>
      </c>
      <c r="J109" s="14" t="s">
        <v>31</v>
      </c>
      <c r="K109" s="14" cm="1">
        <f t="array" ref="K109">INT(SUMPRODUCT(--ISNUMBER(SEARCH(economy,C109)))&gt;0)</f>
        <v>0</v>
      </c>
      <c r="L109" s="14" cm="1">
        <f t="array" ref="L109">INT(SUMPRODUCT(--ISNUMBER(SEARCH(healthcare,C109)))&gt;0)</f>
        <v>0</v>
      </c>
      <c r="M109" s="14" cm="1">
        <f t="array" ref="M109">INT(SUMPRODUCT(--ISNUMBER(SEARCH(supreme,C109)))&gt;0)</f>
        <v>0</v>
      </c>
      <c r="N109" s="14" cm="1">
        <f t="array" ref="N109">INT(SUMPRODUCT(--ISNUMBER(SEARCH(covid,C109)))&gt;0)</f>
        <v>0</v>
      </c>
      <c r="O109" s="14" cm="1">
        <f t="array" ref="O109">INT(SUMPRODUCT(--ISNUMBER(SEARCH(violent,C109)))&gt;0)</f>
        <v>0</v>
      </c>
      <c r="P109" s="14" cm="1">
        <f t="array" ref="P109">INT(SUMPRODUCT(--ISNUMBER(SEARCH(foreign,C109)))&gt;0)</f>
        <v>0</v>
      </c>
      <c r="Q109" s="14" cm="1">
        <f t="array" ref="Q109">INT(SUMPRODUCT(--ISNUMBER(SEARCH(gun,C109)))&gt;0)</f>
        <v>0</v>
      </c>
      <c r="R109" s="14" cm="1">
        <f t="array" ref="R109">INT(SUMPRODUCT(--ISNUMBER(SEARCH(race,C109)))&gt;0)</f>
        <v>0</v>
      </c>
      <c r="S109" s="14" cm="1">
        <f t="array" ref="S109">INT(SUMPRODUCT(--ISNUMBER(SEARCH(immigration,C109)))&gt;0)</f>
        <v>0</v>
      </c>
      <c r="T109" s="14" cm="1">
        <f t="array" ref="T109">INT(SUMPRODUCT(--ISNUMBER(SEARCH(econineq,C110)))&gt;0)</f>
        <v>0</v>
      </c>
      <c r="U109" s="14" cm="1">
        <f t="array" ref="U109">INT(SUMPRODUCT(--ISNUMBER(SEARCH(climate,C109)))&gt;0)</f>
        <v>0</v>
      </c>
      <c r="V109" s="14" cm="1">
        <f t="array" ref="V109">INT(SUMPRODUCT(--ISNUMBER(SEARCH(abortion,C109)))&gt;0)</f>
        <v>0</v>
      </c>
      <c r="W109" s="14" cm="1">
        <f t="array" ref="W109">INT(SUMPRODUCT(--ISNUMBER(SEARCH(trump,C109)))&gt;0)</f>
        <v>0</v>
      </c>
      <c r="X109" s="14" cm="1">
        <f t="array" ref="X109">INT(SUMPRODUCT(--ISNUMBER(SEARCH(voting,C109)))&gt;0)</f>
        <v>0</v>
      </c>
      <c r="Y109" s="35" cm="1">
        <f t="array" ref="Y109">INT(SUMPRODUCT(--ISNUMBER(SEARCH(republicantrigger,C109)))&gt;0)</f>
        <v>1</v>
      </c>
      <c r="Z109" s="35" cm="1">
        <f t="array" ref="Z109">INT(SUMPRODUCT(--ISNUMBER(SEARCH(bipartisan,C109)))&gt;0)</f>
        <v>0</v>
      </c>
      <c r="AA109" s="35">
        <f t="shared" si="1"/>
        <v>0</v>
      </c>
      <c r="AB109" s="14"/>
      <c r="AC109" s="30" t="s">
        <v>223</v>
      </c>
      <c r="AD109" s="37" t="s">
        <v>223</v>
      </c>
    </row>
    <row r="110" spans="1:30" x14ac:dyDescent="0.25">
      <c r="A110" s="36">
        <v>3333</v>
      </c>
      <c r="B110" s="14" t="s">
        <v>6691</v>
      </c>
      <c r="C110" s="31" t="s">
        <v>6692</v>
      </c>
      <c r="D110" s="17">
        <v>44124</v>
      </c>
      <c r="E110" s="14" t="s">
        <v>30</v>
      </c>
      <c r="F110" s="14">
        <v>63</v>
      </c>
      <c r="G110" s="14">
        <v>29</v>
      </c>
      <c r="H110" s="14">
        <v>15</v>
      </c>
      <c r="I110" s="14">
        <v>8</v>
      </c>
      <c r="J110" s="14" t="s">
        <v>31</v>
      </c>
      <c r="K110" s="14" cm="1">
        <f t="array" ref="K110">INT(SUMPRODUCT(--ISNUMBER(SEARCH(economy,C110)))&gt;0)</f>
        <v>0</v>
      </c>
      <c r="L110" s="14" cm="1">
        <f t="array" ref="L110">INT(SUMPRODUCT(--ISNUMBER(SEARCH(healthcare,C110)))&gt;0)</f>
        <v>0</v>
      </c>
      <c r="M110" s="14" cm="1">
        <f t="array" ref="M110">INT(SUMPRODUCT(--ISNUMBER(SEARCH(supreme,C110)))&gt;0)</f>
        <v>0</v>
      </c>
      <c r="N110" s="14" cm="1">
        <f t="array" ref="N110">INT(SUMPRODUCT(--ISNUMBER(SEARCH(covid,C110)))&gt;0)</f>
        <v>0</v>
      </c>
      <c r="O110" s="14" cm="1">
        <f t="array" ref="O110">INT(SUMPRODUCT(--ISNUMBER(SEARCH(violent,C110)))&gt;0)</f>
        <v>0</v>
      </c>
      <c r="P110" s="14" cm="1">
        <f t="array" ref="P110">INT(SUMPRODUCT(--ISNUMBER(SEARCH(foreign,C110)))&gt;0)</f>
        <v>0</v>
      </c>
      <c r="Q110" s="14" cm="1">
        <f t="array" ref="Q110">INT(SUMPRODUCT(--ISNUMBER(SEARCH(gun,C110)))&gt;0)</f>
        <v>0</v>
      </c>
      <c r="R110" s="14" cm="1">
        <f t="array" ref="R110">INT(SUMPRODUCT(--ISNUMBER(SEARCH(race,C110)))&gt;0)</f>
        <v>0</v>
      </c>
      <c r="S110" s="14" cm="1">
        <f t="array" ref="S110">INT(SUMPRODUCT(--ISNUMBER(SEARCH(immigration,C110)))&gt;0)</f>
        <v>0</v>
      </c>
      <c r="T110" s="14" cm="1">
        <f t="array" ref="T110">INT(SUMPRODUCT(--ISNUMBER(SEARCH(econineq,C111)))&gt;0)</f>
        <v>0</v>
      </c>
      <c r="U110" s="14" cm="1">
        <f t="array" ref="U110">INT(SUMPRODUCT(--ISNUMBER(SEARCH(climate,C110)))&gt;0)</f>
        <v>0</v>
      </c>
      <c r="V110" s="14" cm="1">
        <f t="array" ref="V110">INT(SUMPRODUCT(--ISNUMBER(SEARCH(abortion,C110)))&gt;0)</f>
        <v>0</v>
      </c>
      <c r="W110" s="14" cm="1">
        <f t="array" ref="W110">INT(SUMPRODUCT(--ISNUMBER(SEARCH(trump,C110)))&gt;0)</f>
        <v>0</v>
      </c>
      <c r="X110" s="14" cm="1">
        <f t="array" ref="X110">INT(SUMPRODUCT(--ISNUMBER(SEARCH(voting,C110)))&gt;0)</f>
        <v>1</v>
      </c>
      <c r="Y110" s="35" cm="1">
        <f t="array" ref="Y110">INT(SUMPRODUCT(--ISNUMBER(SEARCH(republicantrigger,C110)))&gt;0)</f>
        <v>0</v>
      </c>
      <c r="Z110" s="35" cm="1">
        <f t="array" ref="Z110">INT(SUMPRODUCT(--ISNUMBER(SEARCH(bipartisan,C110)))&gt;0)</f>
        <v>0</v>
      </c>
      <c r="AA110" s="35">
        <f t="shared" si="1"/>
        <v>0</v>
      </c>
      <c r="AB110" s="14"/>
      <c r="AC110" s="30">
        <v>0</v>
      </c>
      <c r="AD110" s="37">
        <v>1</v>
      </c>
    </row>
    <row r="111" spans="1:30" x14ac:dyDescent="0.25">
      <c r="A111" s="36">
        <v>3334</v>
      </c>
      <c r="B111" s="14" t="s">
        <v>6693</v>
      </c>
      <c r="C111" s="31" t="s">
        <v>6694</v>
      </c>
      <c r="D111" s="17">
        <v>44124</v>
      </c>
      <c r="E111" s="14" t="s">
        <v>30</v>
      </c>
      <c r="F111" s="14">
        <v>43</v>
      </c>
      <c r="G111" s="14">
        <v>23</v>
      </c>
      <c r="H111" s="14">
        <v>15</v>
      </c>
      <c r="I111" s="14">
        <v>8</v>
      </c>
      <c r="J111" s="14" t="s">
        <v>31</v>
      </c>
      <c r="K111" s="14" cm="1">
        <f t="array" ref="K111">INT(SUMPRODUCT(--ISNUMBER(SEARCH(economy,C111)))&gt;0)</f>
        <v>0</v>
      </c>
      <c r="L111" s="14" cm="1">
        <f t="array" ref="L111">INT(SUMPRODUCT(--ISNUMBER(SEARCH(healthcare,C111)))&gt;0)</f>
        <v>0</v>
      </c>
      <c r="M111" s="14" cm="1">
        <f t="array" ref="M111">INT(SUMPRODUCT(--ISNUMBER(SEARCH(supreme,C111)))&gt;0)</f>
        <v>1</v>
      </c>
      <c r="N111" s="14" cm="1">
        <f t="array" ref="N111">INT(SUMPRODUCT(--ISNUMBER(SEARCH(covid,C111)))&gt;0)</f>
        <v>0</v>
      </c>
      <c r="O111" s="14" cm="1">
        <f t="array" ref="O111">INT(SUMPRODUCT(--ISNUMBER(SEARCH(violent,C111)))&gt;0)</f>
        <v>0</v>
      </c>
      <c r="P111" s="14" cm="1">
        <f t="array" ref="P111">INT(SUMPRODUCT(--ISNUMBER(SEARCH(foreign,C111)))&gt;0)</f>
        <v>0</v>
      </c>
      <c r="Q111" s="14" cm="1">
        <f t="array" ref="Q111">INT(SUMPRODUCT(--ISNUMBER(SEARCH(gun,C111)))&gt;0)</f>
        <v>0</v>
      </c>
      <c r="R111" s="14" cm="1">
        <f t="array" ref="R111">INT(SUMPRODUCT(--ISNUMBER(SEARCH(race,C111)))&gt;0)</f>
        <v>0</v>
      </c>
      <c r="S111" s="14" cm="1">
        <f t="array" ref="S111">INT(SUMPRODUCT(--ISNUMBER(SEARCH(immigration,C111)))&gt;0)</f>
        <v>0</v>
      </c>
      <c r="T111" s="14" cm="1">
        <f t="array" ref="T111">INT(SUMPRODUCT(--ISNUMBER(SEARCH(econineq,C112)))&gt;0)</f>
        <v>0</v>
      </c>
      <c r="U111" s="14" cm="1">
        <f t="array" ref="U111">INT(SUMPRODUCT(--ISNUMBER(SEARCH(climate,C111)))&gt;0)</f>
        <v>0</v>
      </c>
      <c r="V111" s="14" cm="1">
        <f t="array" ref="V111">INT(SUMPRODUCT(--ISNUMBER(SEARCH(abortion,C111)))&gt;0)</f>
        <v>0</v>
      </c>
      <c r="W111" s="14" cm="1">
        <f t="array" ref="W111">INT(SUMPRODUCT(--ISNUMBER(SEARCH(trump,C111)))&gt;0)</f>
        <v>0</v>
      </c>
      <c r="X111" s="14" cm="1">
        <f t="array" ref="X111">INT(SUMPRODUCT(--ISNUMBER(SEARCH(voting,C111)))&gt;0)</f>
        <v>0</v>
      </c>
      <c r="Y111" s="35" cm="1">
        <f t="array" ref="Y111">INT(SUMPRODUCT(--ISNUMBER(SEARCH(republicantrigger,C111)))&gt;0)</f>
        <v>1</v>
      </c>
      <c r="Z111" s="35" cm="1">
        <f t="array" ref="Z111">INT(SUMPRODUCT(--ISNUMBER(SEARCH(bipartisan,C111)))&gt;0)</f>
        <v>0</v>
      </c>
      <c r="AA111" s="35">
        <f t="shared" si="1"/>
        <v>0</v>
      </c>
      <c r="AB111" s="14"/>
      <c r="AC111" s="30" t="s">
        <v>223</v>
      </c>
      <c r="AD111" s="37" t="s">
        <v>223</v>
      </c>
    </row>
    <row r="112" spans="1:30" x14ac:dyDescent="0.25">
      <c r="A112" s="36">
        <v>3335</v>
      </c>
      <c r="B112" s="14" t="s">
        <v>6695</v>
      </c>
      <c r="C112" s="31" t="s">
        <v>6696</v>
      </c>
      <c r="D112" s="17">
        <v>44124</v>
      </c>
      <c r="E112" s="14" t="s">
        <v>30</v>
      </c>
      <c r="F112" s="14">
        <v>206</v>
      </c>
      <c r="G112" s="14">
        <v>107</v>
      </c>
      <c r="H112" s="14">
        <v>15</v>
      </c>
      <c r="I112" s="14">
        <v>8</v>
      </c>
      <c r="J112" s="14" t="s">
        <v>31</v>
      </c>
      <c r="K112" s="14" cm="1">
        <f t="array" ref="K112">INT(SUMPRODUCT(--ISNUMBER(SEARCH(economy,C112)))&gt;0)</f>
        <v>0</v>
      </c>
      <c r="L112" s="14" cm="1">
        <f t="array" ref="L112">INT(SUMPRODUCT(--ISNUMBER(SEARCH(healthcare,C112)))&gt;0)</f>
        <v>0</v>
      </c>
      <c r="M112" s="14" cm="1">
        <f t="array" ref="M112">INT(SUMPRODUCT(--ISNUMBER(SEARCH(supreme,C112)))&gt;0)</f>
        <v>0</v>
      </c>
      <c r="N112" s="14" cm="1">
        <f t="array" ref="N112">INT(SUMPRODUCT(--ISNUMBER(SEARCH(covid,C112)))&gt;0)</f>
        <v>0</v>
      </c>
      <c r="O112" s="14" cm="1">
        <f t="array" ref="O112">INT(SUMPRODUCT(--ISNUMBER(SEARCH(violent,C112)))&gt;0)</f>
        <v>0</v>
      </c>
      <c r="P112" s="14" cm="1">
        <f t="array" ref="P112">INT(SUMPRODUCT(--ISNUMBER(SEARCH(foreign,C112)))&gt;0)</f>
        <v>0</v>
      </c>
      <c r="Q112" s="14" cm="1">
        <f t="array" ref="Q112">INT(SUMPRODUCT(--ISNUMBER(SEARCH(gun,C112)))&gt;0)</f>
        <v>0</v>
      </c>
      <c r="R112" s="14" cm="1">
        <f t="array" ref="R112">INT(SUMPRODUCT(--ISNUMBER(SEARCH(race,C112)))&gt;0)</f>
        <v>0</v>
      </c>
      <c r="S112" s="14" cm="1">
        <f t="array" ref="S112">INT(SUMPRODUCT(--ISNUMBER(SEARCH(immigration,C112)))&gt;0)</f>
        <v>0</v>
      </c>
      <c r="T112" s="14" cm="1">
        <f t="array" ref="T112">INT(SUMPRODUCT(--ISNUMBER(SEARCH(econineq,C113)))&gt;0)</f>
        <v>0</v>
      </c>
      <c r="U112" s="14" cm="1">
        <f t="array" ref="U112">INT(SUMPRODUCT(--ISNUMBER(SEARCH(climate,C112)))&gt;0)</f>
        <v>0</v>
      </c>
      <c r="V112" s="14" cm="1">
        <f t="array" ref="V112">INT(SUMPRODUCT(--ISNUMBER(SEARCH(abortion,C112)))&gt;0)</f>
        <v>0</v>
      </c>
      <c r="W112" s="14" cm="1">
        <f t="array" ref="W112">INT(SUMPRODUCT(--ISNUMBER(SEARCH(trump,C112)))&gt;0)</f>
        <v>0</v>
      </c>
      <c r="X112" s="14" cm="1">
        <f t="array" ref="X112">INT(SUMPRODUCT(--ISNUMBER(SEARCH(voting,C112)))&gt;0)</f>
        <v>0</v>
      </c>
      <c r="Y112" s="35" cm="1">
        <f t="array" ref="Y112">INT(SUMPRODUCT(--ISNUMBER(SEARCH(republicantrigger,C112)))&gt;0)</f>
        <v>1</v>
      </c>
      <c r="Z112" s="35" cm="1">
        <f t="array" ref="Z112">INT(SUMPRODUCT(--ISNUMBER(SEARCH(bipartisan,C112)))&gt;0)</f>
        <v>0</v>
      </c>
      <c r="AA112" s="35">
        <f t="shared" si="1"/>
        <v>0</v>
      </c>
      <c r="AB112" s="14"/>
      <c r="AC112" s="30">
        <v>1</v>
      </c>
      <c r="AD112" s="37">
        <v>0</v>
      </c>
    </row>
    <row r="113" spans="1:30" x14ac:dyDescent="0.25">
      <c r="A113" s="36">
        <v>3336</v>
      </c>
      <c r="B113" s="14" t="s">
        <v>6697</v>
      </c>
      <c r="C113" s="31" t="s">
        <v>6698</v>
      </c>
      <c r="D113" s="17">
        <v>44124</v>
      </c>
      <c r="E113" s="14" t="s">
        <v>30</v>
      </c>
      <c r="F113" s="14">
        <v>147</v>
      </c>
      <c r="G113" s="14">
        <v>74</v>
      </c>
      <c r="H113" s="14">
        <v>15</v>
      </c>
      <c r="I113" s="14">
        <v>8</v>
      </c>
      <c r="J113" s="14" t="s">
        <v>31</v>
      </c>
      <c r="K113" s="14" cm="1">
        <f t="array" ref="K113">INT(SUMPRODUCT(--ISNUMBER(SEARCH(economy,C113)))&gt;0)</f>
        <v>0</v>
      </c>
      <c r="L113" s="14" cm="1">
        <f t="array" ref="L113">INT(SUMPRODUCT(--ISNUMBER(SEARCH(healthcare,C113)))&gt;0)</f>
        <v>0</v>
      </c>
      <c r="M113" s="14" cm="1">
        <f t="array" ref="M113">INT(SUMPRODUCT(--ISNUMBER(SEARCH(supreme,C113)))&gt;0)</f>
        <v>0</v>
      </c>
      <c r="N113" s="14" cm="1">
        <f t="array" ref="N113">INT(SUMPRODUCT(--ISNUMBER(SEARCH(covid,C113)))&gt;0)</f>
        <v>0</v>
      </c>
      <c r="O113" s="14" cm="1">
        <f t="array" ref="O113">INT(SUMPRODUCT(--ISNUMBER(SEARCH(violent,C113)))&gt;0)</f>
        <v>0</v>
      </c>
      <c r="P113" s="14" cm="1">
        <f t="array" ref="P113">INT(SUMPRODUCT(--ISNUMBER(SEARCH(foreign,C113)))&gt;0)</f>
        <v>0</v>
      </c>
      <c r="Q113" s="14" cm="1">
        <f t="array" ref="Q113">INT(SUMPRODUCT(--ISNUMBER(SEARCH(gun,C113)))&gt;0)</f>
        <v>0</v>
      </c>
      <c r="R113" s="14" cm="1">
        <f t="array" ref="R113">INT(SUMPRODUCT(--ISNUMBER(SEARCH(race,C113)))&gt;0)</f>
        <v>0</v>
      </c>
      <c r="S113" s="14" cm="1">
        <f t="array" ref="S113">INT(SUMPRODUCT(--ISNUMBER(SEARCH(immigration,C113)))&gt;0)</f>
        <v>0</v>
      </c>
      <c r="T113" s="14" cm="1">
        <f t="array" ref="T113">INT(SUMPRODUCT(--ISNUMBER(SEARCH(econineq,C114)))&gt;0)</f>
        <v>0</v>
      </c>
      <c r="U113" s="14" cm="1">
        <f t="array" ref="U113">INT(SUMPRODUCT(--ISNUMBER(SEARCH(climate,C113)))&gt;0)</f>
        <v>0</v>
      </c>
      <c r="V113" s="14" cm="1">
        <f t="array" ref="V113">INT(SUMPRODUCT(--ISNUMBER(SEARCH(abortion,C113)))&gt;0)</f>
        <v>0</v>
      </c>
      <c r="W113" s="14" cm="1">
        <f t="array" ref="W113">INT(SUMPRODUCT(--ISNUMBER(SEARCH(trump,C113)))&gt;0)</f>
        <v>0</v>
      </c>
      <c r="X113" s="14" cm="1">
        <f t="array" ref="X113">INT(SUMPRODUCT(--ISNUMBER(SEARCH(voting,C113)))&gt;0)</f>
        <v>0</v>
      </c>
      <c r="Y113" s="35" cm="1">
        <f t="array" ref="Y113">INT(SUMPRODUCT(--ISNUMBER(SEARCH(republicantrigger,C113)))&gt;0)</f>
        <v>1</v>
      </c>
      <c r="Z113" s="35" cm="1">
        <f t="array" ref="Z113">INT(SUMPRODUCT(--ISNUMBER(SEARCH(bipartisan,C113)))&gt;0)</f>
        <v>0</v>
      </c>
      <c r="AA113" s="35">
        <f t="shared" si="1"/>
        <v>0</v>
      </c>
      <c r="AB113" s="14"/>
      <c r="AC113" s="30">
        <v>0</v>
      </c>
      <c r="AD113" s="37">
        <v>1</v>
      </c>
    </row>
    <row r="114" spans="1:30" x14ac:dyDescent="0.25">
      <c r="A114" s="36">
        <v>3337</v>
      </c>
      <c r="B114" s="14" t="s">
        <v>6699</v>
      </c>
      <c r="C114" s="31" t="s">
        <v>6700</v>
      </c>
      <c r="D114" s="17">
        <v>44123</v>
      </c>
      <c r="E114" s="14" t="s">
        <v>30</v>
      </c>
      <c r="F114" s="14">
        <v>86</v>
      </c>
      <c r="G114" s="14">
        <v>38</v>
      </c>
      <c r="H114" s="14">
        <v>15</v>
      </c>
      <c r="I114" s="14">
        <v>8</v>
      </c>
      <c r="J114" s="14" t="s">
        <v>31</v>
      </c>
      <c r="K114" s="14" cm="1">
        <f t="array" ref="K114">INT(SUMPRODUCT(--ISNUMBER(SEARCH(economy,C114)))&gt;0)</f>
        <v>1</v>
      </c>
      <c r="L114" s="14" cm="1">
        <f t="array" ref="L114">INT(SUMPRODUCT(--ISNUMBER(SEARCH(healthcare,C114)))&gt;0)</f>
        <v>0</v>
      </c>
      <c r="M114" s="14" cm="1">
        <f t="array" ref="M114">INT(SUMPRODUCT(--ISNUMBER(SEARCH(supreme,C114)))&gt;0)</f>
        <v>0</v>
      </c>
      <c r="N114" s="14" cm="1">
        <f t="array" ref="N114">INT(SUMPRODUCT(--ISNUMBER(SEARCH(covid,C114)))&gt;0)</f>
        <v>0</v>
      </c>
      <c r="O114" s="14" cm="1">
        <f t="array" ref="O114">INT(SUMPRODUCT(--ISNUMBER(SEARCH(violent,C114)))&gt;0)</f>
        <v>0</v>
      </c>
      <c r="P114" s="14" cm="1">
        <f t="array" ref="P114">INT(SUMPRODUCT(--ISNUMBER(SEARCH(foreign,C114)))&gt;0)</f>
        <v>0</v>
      </c>
      <c r="Q114" s="14" cm="1">
        <f t="array" ref="Q114">INT(SUMPRODUCT(--ISNUMBER(SEARCH(gun,C114)))&gt;0)</f>
        <v>0</v>
      </c>
      <c r="R114" s="14" cm="1">
        <f t="array" ref="R114">INT(SUMPRODUCT(--ISNUMBER(SEARCH(race,C114)))&gt;0)</f>
        <v>0</v>
      </c>
      <c r="S114" s="14" cm="1">
        <f t="array" ref="S114">INT(SUMPRODUCT(--ISNUMBER(SEARCH(immigration,C114)))&gt;0)</f>
        <v>0</v>
      </c>
      <c r="T114" s="14" cm="1">
        <f t="array" ref="T114">INT(SUMPRODUCT(--ISNUMBER(SEARCH(econineq,C115)))&gt;0)</f>
        <v>0</v>
      </c>
      <c r="U114" s="14" cm="1">
        <f t="array" ref="U114">INT(SUMPRODUCT(--ISNUMBER(SEARCH(climate,C114)))&gt;0)</f>
        <v>0</v>
      </c>
      <c r="V114" s="14" cm="1">
        <f t="array" ref="V114">INT(SUMPRODUCT(--ISNUMBER(SEARCH(abortion,C114)))&gt;0)</f>
        <v>0</v>
      </c>
      <c r="W114" s="14" cm="1">
        <f t="array" ref="W114">INT(SUMPRODUCT(--ISNUMBER(SEARCH(trump,C114)))&gt;0)</f>
        <v>0</v>
      </c>
      <c r="X114" s="14" cm="1">
        <f t="array" ref="X114">INT(SUMPRODUCT(--ISNUMBER(SEARCH(voting,C114)))&gt;0)</f>
        <v>1</v>
      </c>
      <c r="Y114" s="35" cm="1">
        <f t="array" ref="Y114">INT(SUMPRODUCT(--ISNUMBER(SEARCH(republicantrigger,C114)))&gt;0)</f>
        <v>0</v>
      </c>
      <c r="Z114" s="35" cm="1">
        <f t="array" ref="Z114">INT(SUMPRODUCT(--ISNUMBER(SEARCH(bipartisan,C114)))&gt;0)</f>
        <v>0</v>
      </c>
      <c r="AA114" s="35">
        <f t="shared" si="1"/>
        <v>0</v>
      </c>
      <c r="AB114" s="14"/>
      <c r="AC114" s="30">
        <v>0</v>
      </c>
      <c r="AD114" s="37">
        <v>1</v>
      </c>
    </row>
    <row r="115" spans="1:30" x14ac:dyDescent="0.25">
      <c r="A115" s="36">
        <v>3338</v>
      </c>
      <c r="B115" s="14" t="s">
        <v>6701</v>
      </c>
      <c r="C115" s="31" t="s">
        <v>6702</v>
      </c>
      <c r="D115" s="17">
        <v>44123</v>
      </c>
      <c r="E115" s="14" t="s">
        <v>30</v>
      </c>
      <c r="F115" s="14">
        <v>74</v>
      </c>
      <c r="G115" s="14">
        <v>37</v>
      </c>
      <c r="H115" s="14">
        <v>15</v>
      </c>
      <c r="I115" s="14">
        <v>8</v>
      </c>
      <c r="J115" s="14" t="s">
        <v>31</v>
      </c>
      <c r="K115" s="14" cm="1">
        <f t="array" ref="K115">INT(SUMPRODUCT(--ISNUMBER(SEARCH(economy,C115)))&gt;0)</f>
        <v>0</v>
      </c>
      <c r="L115" s="14" cm="1">
        <f t="array" ref="L115">INT(SUMPRODUCT(--ISNUMBER(SEARCH(healthcare,C115)))&gt;0)</f>
        <v>0</v>
      </c>
      <c r="M115" s="14" cm="1">
        <f t="array" ref="M115">INT(SUMPRODUCT(--ISNUMBER(SEARCH(supreme,C115)))&gt;0)</f>
        <v>0</v>
      </c>
      <c r="N115" s="14" cm="1">
        <f t="array" ref="N115">INT(SUMPRODUCT(--ISNUMBER(SEARCH(covid,C115)))&gt;0)</f>
        <v>0</v>
      </c>
      <c r="O115" s="14" cm="1">
        <f t="array" ref="O115">INT(SUMPRODUCT(--ISNUMBER(SEARCH(violent,C115)))&gt;0)</f>
        <v>0</v>
      </c>
      <c r="P115" s="14" cm="1">
        <f t="array" ref="P115">INT(SUMPRODUCT(--ISNUMBER(SEARCH(foreign,C115)))&gt;0)</f>
        <v>0</v>
      </c>
      <c r="Q115" s="14" cm="1">
        <f t="array" ref="Q115">INT(SUMPRODUCT(--ISNUMBER(SEARCH(gun,C115)))&gt;0)</f>
        <v>0</v>
      </c>
      <c r="R115" s="14" cm="1">
        <f t="array" ref="R115">INT(SUMPRODUCT(--ISNUMBER(SEARCH(race,C115)))&gt;0)</f>
        <v>0</v>
      </c>
      <c r="S115" s="14" cm="1">
        <f t="array" ref="S115">INT(SUMPRODUCT(--ISNUMBER(SEARCH(immigration,C115)))&gt;0)</f>
        <v>0</v>
      </c>
      <c r="T115" s="14" cm="1">
        <f t="array" ref="T115">INT(SUMPRODUCT(--ISNUMBER(SEARCH(econineq,C116)))&gt;0)</f>
        <v>0</v>
      </c>
      <c r="U115" s="14" cm="1">
        <f t="array" ref="U115">INT(SUMPRODUCT(--ISNUMBER(SEARCH(climate,C115)))&gt;0)</f>
        <v>0</v>
      </c>
      <c r="V115" s="14" cm="1">
        <f t="array" ref="V115">INT(SUMPRODUCT(--ISNUMBER(SEARCH(abortion,C115)))&gt;0)</f>
        <v>0</v>
      </c>
      <c r="W115" s="14" cm="1">
        <f t="array" ref="W115">INT(SUMPRODUCT(--ISNUMBER(SEARCH(trump,C115)))&gt;0)</f>
        <v>0</v>
      </c>
      <c r="X115" s="14" cm="1">
        <f t="array" ref="X115">INT(SUMPRODUCT(--ISNUMBER(SEARCH(voting,C115)))&gt;0)</f>
        <v>0</v>
      </c>
      <c r="Y115" s="35" cm="1">
        <f t="array" ref="Y115">INT(SUMPRODUCT(--ISNUMBER(SEARCH(republicantrigger,C115)))&gt;0)</f>
        <v>1</v>
      </c>
      <c r="Z115" s="35" cm="1">
        <f t="array" ref="Z115">INT(SUMPRODUCT(--ISNUMBER(SEARCH(bipartisan,C115)))&gt;0)</f>
        <v>0</v>
      </c>
      <c r="AA115" s="35">
        <f t="shared" si="1"/>
        <v>0</v>
      </c>
      <c r="AB115" s="14"/>
      <c r="AC115" s="30" t="s">
        <v>223</v>
      </c>
      <c r="AD115" s="37" t="s">
        <v>223</v>
      </c>
    </row>
    <row r="116" spans="1:30" x14ac:dyDescent="0.25">
      <c r="A116" s="36">
        <v>3339</v>
      </c>
      <c r="B116" s="14" t="s">
        <v>6703</v>
      </c>
      <c r="C116" s="31" t="s">
        <v>6704</v>
      </c>
      <c r="D116" s="17">
        <v>44123</v>
      </c>
      <c r="E116" s="14" t="s">
        <v>30</v>
      </c>
      <c r="F116" s="14">
        <v>59</v>
      </c>
      <c r="G116" s="14">
        <v>35</v>
      </c>
      <c r="H116" s="14">
        <v>15</v>
      </c>
      <c r="I116" s="14">
        <v>8</v>
      </c>
      <c r="J116" s="14" t="s">
        <v>31</v>
      </c>
      <c r="K116" s="14" cm="1">
        <f t="array" ref="K116">INT(SUMPRODUCT(--ISNUMBER(SEARCH(economy,C116)))&gt;0)</f>
        <v>0</v>
      </c>
      <c r="L116" s="14" cm="1">
        <f t="array" ref="L116">INT(SUMPRODUCT(--ISNUMBER(SEARCH(healthcare,C116)))&gt;0)</f>
        <v>0</v>
      </c>
      <c r="M116" s="14" cm="1">
        <f t="array" ref="M116">INT(SUMPRODUCT(--ISNUMBER(SEARCH(supreme,C116)))&gt;0)</f>
        <v>0</v>
      </c>
      <c r="N116" s="14" cm="1">
        <f t="array" ref="N116">INT(SUMPRODUCT(--ISNUMBER(SEARCH(covid,C116)))&gt;0)</f>
        <v>0</v>
      </c>
      <c r="O116" s="14" cm="1">
        <f t="array" ref="O116">INT(SUMPRODUCT(--ISNUMBER(SEARCH(violent,C116)))&gt;0)</f>
        <v>0</v>
      </c>
      <c r="P116" s="14" cm="1">
        <f t="array" ref="P116">INT(SUMPRODUCT(--ISNUMBER(SEARCH(foreign,C116)))&gt;0)</f>
        <v>0</v>
      </c>
      <c r="Q116" s="14" cm="1">
        <f t="array" ref="Q116">INT(SUMPRODUCT(--ISNUMBER(SEARCH(gun,C116)))&gt;0)</f>
        <v>0</v>
      </c>
      <c r="R116" s="14" cm="1">
        <f t="array" ref="R116">INT(SUMPRODUCT(--ISNUMBER(SEARCH(race,C116)))&gt;0)</f>
        <v>0</v>
      </c>
      <c r="S116" s="14" cm="1">
        <f t="array" ref="S116">INT(SUMPRODUCT(--ISNUMBER(SEARCH(immigration,C116)))&gt;0)</f>
        <v>0</v>
      </c>
      <c r="T116" s="14" cm="1">
        <f t="array" ref="T116">INT(SUMPRODUCT(--ISNUMBER(SEARCH(econineq,C117)))&gt;0)</f>
        <v>0</v>
      </c>
      <c r="U116" s="14" cm="1">
        <f t="array" ref="U116">INT(SUMPRODUCT(--ISNUMBER(SEARCH(climate,C116)))&gt;0)</f>
        <v>0</v>
      </c>
      <c r="V116" s="14" cm="1">
        <f t="array" ref="V116">INT(SUMPRODUCT(--ISNUMBER(SEARCH(abortion,C116)))&gt;0)</f>
        <v>0</v>
      </c>
      <c r="W116" s="14" cm="1">
        <f t="array" ref="W116">INT(SUMPRODUCT(--ISNUMBER(SEARCH(trump,C116)))&gt;0)</f>
        <v>0</v>
      </c>
      <c r="X116" s="14" cm="1">
        <f t="array" ref="X116">INT(SUMPRODUCT(--ISNUMBER(SEARCH(voting,C116)))&gt;0)</f>
        <v>0</v>
      </c>
      <c r="Y116" s="35" cm="1">
        <f t="array" ref="Y116">INT(SUMPRODUCT(--ISNUMBER(SEARCH(republicantrigger,C116)))&gt;0)</f>
        <v>1</v>
      </c>
      <c r="Z116" s="35" cm="1">
        <f t="array" ref="Z116">INT(SUMPRODUCT(--ISNUMBER(SEARCH(bipartisan,C116)))&gt;0)</f>
        <v>0</v>
      </c>
      <c r="AA116" s="35">
        <f t="shared" si="1"/>
        <v>0</v>
      </c>
      <c r="AB116" s="14"/>
      <c r="AC116" s="30" t="s">
        <v>223</v>
      </c>
      <c r="AD116" s="37" t="s">
        <v>223</v>
      </c>
    </row>
    <row r="117" spans="1:30" x14ac:dyDescent="0.25">
      <c r="A117" s="36">
        <v>3340</v>
      </c>
      <c r="B117" s="14" t="s">
        <v>6705</v>
      </c>
      <c r="C117" s="31" t="s">
        <v>6706</v>
      </c>
      <c r="D117" s="17">
        <v>44123</v>
      </c>
      <c r="E117" s="14" t="s">
        <v>30</v>
      </c>
      <c r="F117" s="14">
        <v>123</v>
      </c>
      <c r="G117" s="14">
        <v>67</v>
      </c>
      <c r="H117" s="14">
        <v>15</v>
      </c>
      <c r="I117" s="14">
        <v>8</v>
      </c>
      <c r="J117" s="14" t="s">
        <v>31</v>
      </c>
      <c r="K117" s="14" cm="1">
        <f t="array" ref="K117">INT(SUMPRODUCT(--ISNUMBER(SEARCH(economy,C117)))&gt;0)</f>
        <v>0</v>
      </c>
      <c r="L117" s="14" cm="1">
        <f t="array" ref="L117">INT(SUMPRODUCT(--ISNUMBER(SEARCH(healthcare,C117)))&gt;0)</f>
        <v>0</v>
      </c>
      <c r="M117" s="14" cm="1">
        <f t="array" ref="M117">INT(SUMPRODUCT(--ISNUMBER(SEARCH(supreme,C117)))&gt;0)</f>
        <v>0</v>
      </c>
      <c r="N117" s="14" cm="1">
        <f t="array" ref="N117">INT(SUMPRODUCT(--ISNUMBER(SEARCH(covid,C117)))&gt;0)</f>
        <v>0</v>
      </c>
      <c r="O117" s="14" cm="1">
        <f t="array" ref="O117">INT(SUMPRODUCT(--ISNUMBER(SEARCH(violent,C117)))&gt;0)</f>
        <v>0</v>
      </c>
      <c r="P117" s="14" cm="1">
        <f t="array" ref="P117">INT(SUMPRODUCT(--ISNUMBER(SEARCH(foreign,C117)))&gt;0)</f>
        <v>0</v>
      </c>
      <c r="Q117" s="14" cm="1">
        <f t="array" ref="Q117">INT(SUMPRODUCT(--ISNUMBER(SEARCH(gun,C117)))&gt;0)</f>
        <v>0</v>
      </c>
      <c r="R117" s="14" cm="1">
        <f t="array" ref="R117">INT(SUMPRODUCT(--ISNUMBER(SEARCH(race,C117)))&gt;0)</f>
        <v>0</v>
      </c>
      <c r="S117" s="14" cm="1">
        <f t="array" ref="S117">INT(SUMPRODUCT(--ISNUMBER(SEARCH(immigration,C117)))&gt;0)</f>
        <v>0</v>
      </c>
      <c r="T117" s="14" cm="1">
        <f t="array" ref="T117">INT(SUMPRODUCT(--ISNUMBER(SEARCH(econineq,C118)))&gt;0)</f>
        <v>0</v>
      </c>
      <c r="U117" s="14" cm="1">
        <f t="array" ref="U117">INT(SUMPRODUCT(--ISNUMBER(SEARCH(climate,C117)))&gt;0)</f>
        <v>0</v>
      </c>
      <c r="V117" s="14" cm="1">
        <f t="array" ref="V117">INT(SUMPRODUCT(--ISNUMBER(SEARCH(abortion,C117)))&gt;0)</f>
        <v>0</v>
      </c>
      <c r="W117" s="14" cm="1">
        <f t="array" ref="W117">INT(SUMPRODUCT(--ISNUMBER(SEARCH(trump,C117)))&gt;0)</f>
        <v>0</v>
      </c>
      <c r="X117" s="14" cm="1">
        <f t="array" ref="X117">INT(SUMPRODUCT(--ISNUMBER(SEARCH(voting,C117)))&gt;0)</f>
        <v>0</v>
      </c>
      <c r="Y117" s="35" cm="1">
        <f t="array" ref="Y117">INT(SUMPRODUCT(--ISNUMBER(SEARCH(republicantrigger,C117)))&gt;0)</f>
        <v>0</v>
      </c>
      <c r="Z117" s="35" cm="1">
        <f t="array" ref="Z117">INT(SUMPRODUCT(--ISNUMBER(SEARCH(bipartisan,C117)))&gt;0)</f>
        <v>0</v>
      </c>
      <c r="AA117" s="35">
        <f t="shared" si="1"/>
        <v>1</v>
      </c>
      <c r="AB117" s="14"/>
      <c r="AC117" s="30" t="s">
        <v>223</v>
      </c>
      <c r="AD117" s="37" t="s">
        <v>223</v>
      </c>
    </row>
    <row r="118" spans="1:30" x14ac:dyDescent="0.25">
      <c r="A118" s="36">
        <v>3341</v>
      </c>
      <c r="B118" s="14" t="s">
        <v>6707</v>
      </c>
      <c r="C118" s="31" t="s">
        <v>6708</v>
      </c>
      <c r="D118" s="17">
        <v>44123</v>
      </c>
      <c r="E118" s="14" t="s">
        <v>30</v>
      </c>
      <c r="F118" s="14">
        <v>472</v>
      </c>
      <c r="G118" s="14">
        <v>267</v>
      </c>
      <c r="H118" s="14">
        <v>15</v>
      </c>
      <c r="I118" s="14">
        <v>8</v>
      </c>
      <c r="J118" s="14" t="s">
        <v>31</v>
      </c>
      <c r="K118" s="14" cm="1">
        <f t="array" ref="K118">INT(SUMPRODUCT(--ISNUMBER(SEARCH(economy,C118)))&gt;0)</f>
        <v>0</v>
      </c>
      <c r="L118" s="14" cm="1">
        <f t="array" ref="L118">INT(SUMPRODUCT(--ISNUMBER(SEARCH(healthcare,C118)))&gt;0)</f>
        <v>0</v>
      </c>
      <c r="M118" s="14" cm="1">
        <f t="array" ref="M118">INT(SUMPRODUCT(--ISNUMBER(SEARCH(supreme,C118)))&gt;0)</f>
        <v>0</v>
      </c>
      <c r="N118" s="14" cm="1">
        <f t="array" ref="N118">INT(SUMPRODUCT(--ISNUMBER(SEARCH(covid,C118)))&gt;0)</f>
        <v>0</v>
      </c>
      <c r="O118" s="14" cm="1">
        <f t="array" ref="O118">INT(SUMPRODUCT(--ISNUMBER(SEARCH(violent,C118)))&gt;0)</f>
        <v>0</v>
      </c>
      <c r="P118" s="14" cm="1">
        <f t="array" ref="P118">INT(SUMPRODUCT(--ISNUMBER(SEARCH(foreign,C118)))&gt;0)</f>
        <v>0</v>
      </c>
      <c r="Q118" s="14" cm="1">
        <f t="array" ref="Q118">INT(SUMPRODUCT(--ISNUMBER(SEARCH(gun,C118)))&gt;0)</f>
        <v>0</v>
      </c>
      <c r="R118" s="14" cm="1">
        <f t="array" ref="R118">INT(SUMPRODUCT(--ISNUMBER(SEARCH(race,C118)))&gt;0)</f>
        <v>0</v>
      </c>
      <c r="S118" s="14" cm="1">
        <f t="array" ref="S118">INT(SUMPRODUCT(--ISNUMBER(SEARCH(immigration,C118)))&gt;0)</f>
        <v>0</v>
      </c>
      <c r="T118" s="14" cm="1">
        <f t="array" ref="T118">INT(SUMPRODUCT(--ISNUMBER(SEARCH(econineq,C119)))&gt;0)</f>
        <v>0</v>
      </c>
      <c r="U118" s="14" cm="1">
        <f t="array" ref="U118">INT(SUMPRODUCT(--ISNUMBER(SEARCH(climate,C118)))&gt;0)</f>
        <v>0</v>
      </c>
      <c r="V118" s="14" cm="1">
        <f t="array" ref="V118">INT(SUMPRODUCT(--ISNUMBER(SEARCH(abortion,C118)))&gt;0)</f>
        <v>0</v>
      </c>
      <c r="W118" s="14" cm="1">
        <f t="array" ref="W118">INT(SUMPRODUCT(--ISNUMBER(SEARCH(trump,C118)))&gt;0)</f>
        <v>0</v>
      </c>
      <c r="X118" s="14" cm="1">
        <f t="array" ref="X118">INT(SUMPRODUCT(--ISNUMBER(SEARCH(voting,C118)))&gt;0)</f>
        <v>0</v>
      </c>
      <c r="Y118" s="35" cm="1">
        <f t="array" ref="Y118">INT(SUMPRODUCT(--ISNUMBER(SEARCH(republicantrigger,C118)))&gt;0)</f>
        <v>1</v>
      </c>
      <c r="Z118" s="35" cm="1">
        <f t="array" ref="Z118">INT(SUMPRODUCT(--ISNUMBER(SEARCH(bipartisan,C118)))&gt;0)</f>
        <v>0</v>
      </c>
      <c r="AA118" s="35">
        <f t="shared" si="1"/>
        <v>0</v>
      </c>
      <c r="AB118" s="14"/>
      <c r="AC118" s="30">
        <v>0</v>
      </c>
      <c r="AD118" s="37">
        <v>1</v>
      </c>
    </row>
    <row r="119" spans="1:30" x14ac:dyDescent="0.25">
      <c r="A119" s="36">
        <v>3342</v>
      </c>
      <c r="B119" s="14" t="s">
        <v>6709</v>
      </c>
      <c r="C119" s="31" t="s">
        <v>6710</v>
      </c>
      <c r="D119" s="17">
        <v>44123</v>
      </c>
      <c r="E119" s="14" t="s">
        <v>30</v>
      </c>
      <c r="F119" s="14">
        <v>108</v>
      </c>
      <c r="G119" s="14">
        <v>56</v>
      </c>
      <c r="H119" s="14">
        <v>15</v>
      </c>
      <c r="I119" s="14">
        <v>8</v>
      </c>
      <c r="J119" s="14" t="s">
        <v>31</v>
      </c>
      <c r="K119" s="14" cm="1">
        <f t="array" ref="K119">INT(SUMPRODUCT(--ISNUMBER(SEARCH(economy,C119)))&gt;0)</f>
        <v>0</v>
      </c>
      <c r="L119" s="14" cm="1">
        <f t="array" ref="L119">INT(SUMPRODUCT(--ISNUMBER(SEARCH(healthcare,C119)))&gt;0)</f>
        <v>0</v>
      </c>
      <c r="M119" s="14" cm="1">
        <f t="array" ref="M119">INT(SUMPRODUCT(--ISNUMBER(SEARCH(supreme,C119)))&gt;0)</f>
        <v>0</v>
      </c>
      <c r="N119" s="14" cm="1">
        <f t="array" ref="N119">INT(SUMPRODUCT(--ISNUMBER(SEARCH(covid,C119)))&gt;0)</f>
        <v>0</v>
      </c>
      <c r="O119" s="14" cm="1">
        <f t="array" ref="O119">INT(SUMPRODUCT(--ISNUMBER(SEARCH(violent,C119)))&gt;0)</f>
        <v>0</v>
      </c>
      <c r="P119" s="14" cm="1">
        <f t="array" ref="P119">INT(SUMPRODUCT(--ISNUMBER(SEARCH(foreign,C119)))&gt;0)</f>
        <v>0</v>
      </c>
      <c r="Q119" s="14" cm="1">
        <f t="array" ref="Q119">INT(SUMPRODUCT(--ISNUMBER(SEARCH(gun,C119)))&gt;0)</f>
        <v>0</v>
      </c>
      <c r="R119" s="14" cm="1">
        <f t="array" ref="R119">INT(SUMPRODUCT(--ISNUMBER(SEARCH(race,C119)))&gt;0)</f>
        <v>0</v>
      </c>
      <c r="S119" s="14" cm="1">
        <f t="array" ref="S119">INT(SUMPRODUCT(--ISNUMBER(SEARCH(immigration,C119)))&gt;0)</f>
        <v>0</v>
      </c>
      <c r="T119" s="14" cm="1">
        <f t="array" ref="T119">INT(SUMPRODUCT(--ISNUMBER(SEARCH(econineq,C120)))&gt;0)</f>
        <v>0</v>
      </c>
      <c r="U119" s="14" cm="1">
        <f t="array" ref="U119">INT(SUMPRODUCT(--ISNUMBER(SEARCH(climate,C119)))&gt;0)</f>
        <v>0</v>
      </c>
      <c r="V119" s="14" cm="1">
        <f t="array" ref="V119">INT(SUMPRODUCT(--ISNUMBER(SEARCH(abortion,C119)))&gt;0)</f>
        <v>0</v>
      </c>
      <c r="W119" s="14" cm="1">
        <f t="array" ref="W119">INT(SUMPRODUCT(--ISNUMBER(SEARCH(trump,C119)))&gt;0)</f>
        <v>0</v>
      </c>
      <c r="X119" s="14" cm="1">
        <f t="array" ref="X119">INT(SUMPRODUCT(--ISNUMBER(SEARCH(voting,C119)))&gt;0)</f>
        <v>1</v>
      </c>
      <c r="Y119" s="35" cm="1">
        <f t="array" ref="Y119">INT(SUMPRODUCT(--ISNUMBER(SEARCH(republicantrigger,C119)))&gt;0)</f>
        <v>1</v>
      </c>
      <c r="Z119" s="35" cm="1">
        <f t="array" ref="Z119">INT(SUMPRODUCT(--ISNUMBER(SEARCH(bipartisan,C119)))&gt;0)</f>
        <v>0</v>
      </c>
      <c r="AA119" s="35">
        <f t="shared" si="1"/>
        <v>0</v>
      </c>
      <c r="AB119" s="14"/>
      <c r="AC119" s="30" t="s">
        <v>223</v>
      </c>
      <c r="AD119" s="37" t="s">
        <v>223</v>
      </c>
    </row>
    <row r="120" spans="1:30" x14ac:dyDescent="0.25">
      <c r="A120" s="36">
        <v>3343</v>
      </c>
      <c r="B120" s="14" t="s">
        <v>6711</v>
      </c>
      <c r="C120" s="31" t="s">
        <v>6712</v>
      </c>
      <c r="D120" s="17">
        <v>44122</v>
      </c>
      <c r="E120" s="14" t="s">
        <v>30</v>
      </c>
      <c r="F120" s="14">
        <v>226</v>
      </c>
      <c r="G120" s="14">
        <v>97</v>
      </c>
      <c r="H120" s="14">
        <v>15</v>
      </c>
      <c r="I120" s="14">
        <v>8</v>
      </c>
      <c r="J120" s="14" t="s">
        <v>31</v>
      </c>
      <c r="K120" s="14" cm="1">
        <f t="array" ref="K120">INT(SUMPRODUCT(--ISNUMBER(SEARCH(economy,C120)))&gt;0)</f>
        <v>0</v>
      </c>
      <c r="L120" s="14" cm="1">
        <f t="array" ref="L120">INT(SUMPRODUCT(--ISNUMBER(SEARCH(healthcare,C120)))&gt;0)</f>
        <v>0</v>
      </c>
      <c r="M120" s="14" cm="1">
        <f t="array" ref="M120">INT(SUMPRODUCT(--ISNUMBER(SEARCH(supreme,C120)))&gt;0)</f>
        <v>0</v>
      </c>
      <c r="N120" s="14" cm="1">
        <f t="array" ref="N120">INT(SUMPRODUCT(--ISNUMBER(SEARCH(covid,C120)))&gt;0)</f>
        <v>0</v>
      </c>
      <c r="O120" s="14" cm="1">
        <f t="array" ref="O120">INT(SUMPRODUCT(--ISNUMBER(SEARCH(violent,C120)))&gt;0)</f>
        <v>0</v>
      </c>
      <c r="P120" s="14" cm="1">
        <f t="array" ref="P120">INT(SUMPRODUCT(--ISNUMBER(SEARCH(foreign,C120)))&gt;0)</f>
        <v>0</v>
      </c>
      <c r="Q120" s="14" cm="1">
        <f t="array" ref="Q120">INT(SUMPRODUCT(--ISNUMBER(SEARCH(gun,C120)))&gt;0)</f>
        <v>0</v>
      </c>
      <c r="R120" s="14" cm="1">
        <f t="array" ref="R120">INT(SUMPRODUCT(--ISNUMBER(SEARCH(race,C120)))&gt;0)</f>
        <v>0</v>
      </c>
      <c r="S120" s="14" cm="1">
        <f t="array" ref="S120">INT(SUMPRODUCT(--ISNUMBER(SEARCH(immigration,C120)))&gt;0)</f>
        <v>0</v>
      </c>
      <c r="T120" s="14" cm="1">
        <f t="array" ref="T120">INT(SUMPRODUCT(--ISNUMBER(SEARCH(econineq,C121)))&gt;0)</f>
        <v>0</v>
      </c>
      <c r="U120" s="14" cm="1">
        <f t="array" ref="U120">INT(SUMPRODUCT(--ISNUMBER(SEARCH(climate,C120)))&gt;0)</f>
        <v>0</v>
      </c>
      <c r="V120" s="14" cm="1">
        <f t="array" ref="V120">INT(SUMPRODUCT(--ISNUMBER(SEARCH(abortion,C120)))&gt;0)</f>
        <v>0</v>
      </c>
      <c r="W120" s="14" cm="1">
        <f t="array" ref="W120">INT(SUMPRODUCT(--ISNUMBER(SEARCH(trump,C120)))&gt;0)</f>
        <v>0</v>
      </c>
      <c r="X120" s="14" cm="1">
        <f t="array" ref="X120">INT(SUMPRODUCT(--ISNUMBER(SEARCH(voting,C120)))&gt;0)</f>
        <v>1</v>
      </c>
      <c r="Y120" s="35" cm="1">
        <f t="array" ref="Y120">INT(SUMPRODUCT(--ISNUMBER(SEARCH(republicantrigger,C120)))&gt;0)</f>
        <v>1</v>
      </c>
      <c r="Z120" s="35" cm="1">
        <f t="array" ref="Z120">INT(SUMPRODUCT(--ISNUMBER(SEARCH(bipartisan,C120)))&gt;0)</f>
        <v>0</v>
      </c>
      <c r="AA120" s="35">
        <f t="shared" si="1"/>
        <v>0</v>
      </c>
      <c r="AB120" s="14"/>
      <c r="AC120" s="30">
        <v>0</v>
      </c>
      <c r="AD120" s="37">
        <v>1</v>
      </c>
    </row>
    <row r="121" spans="1:30" x14ac:dyDescent="0.25">
      <c r="A121" s="36">
        <v>3344</v>
      </c>
      <c r="B121" s="14" t="s">
        <v>6713</v>
      </c>
      <c r="C121" s="31" t="s">
        <v>6714</v>
      </c>
      <c r="D121" s="17">
        <v>44122</v>
      </c>
      <c r="E121" s="14" t="s">
        <v>30</v>
      </c>
      <c r="F121" s="14">
        <v>345</v>
      </c>
      <c r="G121" s="14">
        <v>158</v>
      </c>
      <c r="H121" s="14">
        <v>15</v>
      </c>
      <c r="I121" s="14">
        <v>8</v>
      </c>
      <c r="J121" s="14" t="s">
        <v>31</v>
      </c>
      <c r="K121" s="14" cm="1">
        <f t="array" ref="K121">INT(SUMPRODUCT(--ISNUMBER(SEARCH(economy,C121)))&gt;0)</f>
        <v>0</v>
      </c>
      <c r="L121" s="14" cm="1">
        <f t="array" ref="L121">INT(SUMPRODUCT(--ISNUMBER(SEARCH(healthcare,C121)))&gt;0)</f>
        <v>0</v>
      </c>
      <c r="M121" s="14" cm="1">
        <f t="array" ref="M121">INT(SUMPRODUCT(--ISNUMBER(SEARCH(supreme,C121)))&gt;0)</f>
        <v>0</v>
      </c>
      <c r="N121" s="14" cm="1">
        <f t="array" ref="N121">INT(SUMPRODUCT(--ISNUMBER(SEARCH(covid,C121)))&gt;0)</f>
        <v>0</v>
      </c>
      <c r="O121" s="14" cm="1">
        <f t="array" ref="O121">INT(SUMPRODUCT(--ISNUMBER(SEARCH(violent,C121)))&gt;0)</f>
        <v>0</v>
      </c>
      <c r="P121" s="14" cm="1">
        <f t="array" ref="P121">INT(SUMPRODUCT(--ISNUMBER(SEARCH(foreign,C121)))&gt;0)</f>
        <v>0</v>
      </c>
      <c r="Q121" s="14" cm="1">
        <f t="array" ref="Q121">INT(SUMPRODUCT(--ISNUMBER(SEARCH(gun,C121)))&gt;0)</f>
        <v>0</v>
      </c>
      <c r="R121" s="14" cm="1">
        <f t="array" ref="R121">INT(SUMPRODUCT(--ISNUMBER(SEARCH(race,C121)))&gt;0)</f>
        <v>0</v>
      </c>
      <c r="S121" s="14" cm="1">
        <f t="array" ref="S121">INT(SUMPRODUCT(--ISNUMBER(SEARCH(immigration,C121)))&gt;0)</f>
        <v>0</v>
      </c>
      <c r="T121" s="14" cm="1">
        <f t="array" ref="T121">INT(SUMPRODUCT(--ISNUMBER(SEARCH(econineq,C122)))&gt;0)</f>
        <v>0</v>
      </c>
      <c r="U121" s="14" cm="1">
        <f t="array" ref="U121">INT(SUMPRODUCT(--ISNUMBER(SEARCH(climate,C121)))&gt;0)</f>
        <v>0</v>
      </c>
      <c r="V121" s="14" cm="1">
        <f t="array" ref="V121">INT(SUMPRODUCT(--ISNUMBER(SEARCH(abortion,C121)))&gt;0)</f>
        <v>0</v>
      </c>
      <c r="W121" s="14" cm="1">
        <f t="array" ref="W121">INT(SUMPRODUCT(--ISNUMBER(SEARCH(trump,C121)))&gt;0)</f>
        <v>0</v>
      </c>
      <c r="X121" s="14" cm="1">
        <f t="array" ref="X121">INT(SUMPRODUCT(--ISNUMBER(SEARCH(voting,C121)))&gt;0)</f>
        <v>1</v>
      </c>
      <c r="Y121" s="35" cm="1">
        <f t="array" ref="Y121">INT(SUMPRODUCT(--ISNUMBER(SEARCH(republicantrigger,C121)))&gt;0)</f>
        <v>1</v>
      </c>
      <c r="Z121" s="35" cm="1">
        <f t="array" ref="Z121">INT(SUMPRODUCT(--ISNUMBER(SEARCH(bipartisan,C121)))&gt;0)</f>
        <v>0</v>
      </c>
      <c r="AA121" s="35">
        <f t="shared" si="1"/>
        <v>0</v>
      </c>
      <c r="AB121" s="14"/>
      <c r="AC121" s="30" t="s">
        <v>223</v>
      </c>
      <c r="AD121" s="37" t="s">
        <v>223</v>
      </c>
    </row>
    <row r="122" spans="1:30" x14ac:dyDescent="0.25">
      <c r="A122" s="36">
        <v>3345</v>
      </c>
      <c r="B122" s="14" t="s">
        <v>6715</v>
      </c>
      <c r="C122" s="31" t="s">
        <v>6716</v>
      </c>
      <c r="D122" s="17">
        <v>44122</v>
      </c>
      <c r="E122" s="14" t="s">
        <v>30</v>
      </c>
      <c r="F122" s="14">
        <v>111</v>
      </c>
      <c r="G122" s="14">
        <v>62</v>
      </c>
      <c r="H122" s="14">
        <v>15</v>
      </c>
      <c r="I122" s="14">
        <v>8</v>
      </c>
      <c r="J122" s="14" t="s">
        <v>31</v>
      </c>
      <c r="K122" s="14" cm="1">
        <f t="array" ref="K122">INT(SUMPRODUCT(--ISNUMBER(SEARCH(economy,C122)))&gt;0)</f>
        <v>0</v>
      </c>
      <c r="L122" s="14" cm="1">
        <f t="array" ref="L122">INT(SUMPRODUCT(--ISNUMBER(SEARCH(healthcare,C122)))&gt;0)</f>
        <v>0</v>
      </c>
      <c r="M122" s="14" cm="1">
        <f t="array" ref="M122">INT(SUMPRODUCT(--ISNUMBER(SEARCH(supreme,C122)))&gt;0)</f>
        <v>0</v>
      </c>
      <c r="N122" s="14" cm="1">
        <f t="array" ref="N122">INT(SUMPRODUCT(--ISNUMBER(SEARCH(covid,C122)))&gt;0)</f>
        <v>0</v>
      </c>
      <c r="O122" s="14" cm="1">
        <f t="array" ref="O122">INT(SUMPRODUCT(--ISNUMBER(SEARCH(violent,C122)))&gt;0)</f>
        <v>0</v>
      </c>
      <c r="P122" s="14" cm="1">
        <f t="array" ref="P122">INT(SUMPRODUCT(--ISNUMBER(SEARCH(foreign,C122)))&gt;0)</f>
        <v>0</v>
      </c>
      <c r="Q122" s="14" cm="1">
        <f t="array" ref="Q122">INT(SUMPRODUCT(--ISNUMBER(SEARCH(gun,C122)))&gt;0)</f>
        <v>0</v>
      </c>
      <c r="R122" s="14" cm="1">
        <f t="array" ref="R122">INT(SUMPRODUCT(--ISNUMBER(SEARCH(race,C122)))&gt;0)</f>
        <v>0</v>
      </c>
      <c r="S122" s="14" cm="1">
        <f t="array" ref="S122">INT(SUMPRODUCT(--ISNUMBER(SEARCH(immigration,C122)))&gt;0)</f>
        <v>0</v>
      </c>
      <c r="T122" s="14" cm="1">
        <f t="array" ref="T122">INT(SUMPRODUCT(--ISNUMBER(SEARCH(econineq,C123)))&gt;0)</f>
        <v>0</v>
      </c>
      <c r="U122" s="14" cm="1">
        <f t="array" ref="U122">INT(SUMPRODUCT(--ISNUMBER(SEARCH(climate,C122)))&gt;0)</f>
        <v>0</v>
      </c>
      <c r="V122" s="14" cm="1">
        <f t="array" ref="V122">INT(SUMPRODUCT(--ISNUMBER(SEARCH(abortion,C122)))&gt;0)</f>
        <v>0</v>
      </c>
      <c r="W122" s="14" cm="1">
        <f t="array" ref="W122">INT(SUMPRODUCT(--ISNUMBER(SEARCH(trump,C122)))&gt;0)</f>
        <v>0</v>
      </c>
      <c r="X122" s="14" cm="1">
        <f t="array" ref="X122">INT(SUMPRODUCT(--ISNUMBER(SEARCH(voting,C122)))&gt;0)</f>
        <v>1</v>
      </c>
      <c r="Y122" s="35" cm="1">
        <f t="array" ref="Y122">INT(SUMPRODUCT(--ISNUMBER(SEARCH(republicantrigger,C122)))&gt;0)</f>
        <v>1</v>
      </c>
      <c r="Z122" s="35" cm="1">
        <f t="array" ref="Z122">INT(SUMPRODUCT(--ISNUMBER(SEARCH(bipartisan,C122)))&gt;0)</f>
        <v>0</v>
      </c>
      <c r="AA122" s="35">
        <f t="shared" si="1"/>
        <v>0</v>
      </c>
      <c r="AB122" s="14"/>
      <c r="AC122" s="30">
        <v>1</v>
      </c>
      <c r="AD122" s="37">
        <v>0</v>
      </c>
    </row>
    <row r="123" spans="1:30" x14ac:dyDescent="0.25">
      <c r="A123" s="36">
        <v>3346</v>
      </c>
      <c r="B123" s="14" t="s">
        <v>6717</v>
      </c>
      <c r="C123" s="31" t="s">
        <v>6718</v>
      </c>
      <c r="D123" s="17">
        <v>44122</v>
      </c>
      <c r="E123" s="14" t="s">
        <v>30</v>
      </c>
      <c r="F123" s="14">
        <v>74</v>
      </c>
      <c r="G123" s="14">
        <v>36</v>
      </c>
      <c r="H123" s="14">
        <v>15</v>
      </c>
      <c r="I123" s="14">
        <v>8</v>
      </c>
      <c r="J123" s="14" t="s">
        <v>31</v>
      </c>
      <c r="K123" s="14" cm="1">
        <f t="array" ref="K123">INT(SUMPRODUCT(--ISNUMBER(SEARCH(economy,C123)))&gt;0)</f>
        <v>0</v>
      </c>
      <c r="L123" s="14" cm="1">
        <f t="array" ref="L123">INT(SUMPRODUCT(--ISNUMBER(SEARCH(healthcare,C123)))&gt;0)</f>
        <v>0</v>
      </c>
      <c r="M123" s="14" cm="1">
        <f t="array" ref="M123">INT(SUMPRODUCT(--ISNUMBER(SEARCH(supreme,C123)))&gt;0)</f>
        <v>1</v>
      </c>
      <c r="N123" s="14" cm="1">
        <f t="array" ref="N123">INT(SUMPRODUCT(--ISNUMBER(SEARCH(covid,C123)))&gt;0)</f>
        <v>0</v>
      </c>
      <c r="O123" s="14" cm="1">
        <f t="array" ref="O123">INT(SUMPRODUCT(--ISNUMBER(SEARCH(violent,C123)))&gt;0)</f>
        <v>0</v>
      </c>
      <c r="P123" s="14" cm="1">
        <f t="array" ref="P123">INT(SUMPRODUCT(--ISNUMBER(SEARCH(foreign,C123)))&gt;0)</f>
        <v>0</v>
      </c>
      <c r="Q123" s="14" cm="1">
        <f t="array" ref="Q123">INT(SUMPRODUCT(--ISNUMBER(SEARCH(gun,C123)))&gt;0)</f>
        <v>0</v>
      </c>
      <c r="R123" s="14" cm="1">
        <f t="array" ref="R123">INT(SUMPRODUCT(--ISNUMBER(SEARCH(race,C123)))&gt;0)</f>
        <v>0</v>
      </c>
      <c r="S123" s="14" cm="1">
        <f t="array" ref="S123">INT(SUMPRODUCT(--ISNUMBER(SEARCH(immigration,C123)))&gt;0)</f>
        <v>0</v>
      </c>
      <c r="T123" s="14" cm="1">
        <f t="array" ref="T123">INT(SUMPRODUCT(--ISNUMBER(SEARCH(econineq,C124)))&gt;0)</f>
        <v>0</v>
      </c>
      <c r="U123" s="14" cm="1">
        <f t="array" ref="U123">INT(SUMPRODUCT(--ISNUMBER(SEARCH(climate,C123)))&gt;0)</f>
        <v>0</v>
      </c>
      <c r="V123" s="14" cm="1">
        <f t="array" ref="V123">INT(SUMPRODUCT(--ISNUMBER(SEARCH(abortion,C123)))&gt;0)</f>
        <v>0</v>
      </c>
      <c r="W123" s="14" cm="1">
        <f t="array" ref="W123">INT(SUMPRODUCT(--ISNUMBER(SEARCH(trump,C123)))&gt;0)</f>
        <v>0</v>
      </c>
      <c r="X123" s="14" cm="1">
        <f t="array" ref="X123">INT(SUMPRODUCT(--ISNUMBER(SEARCH(voting,C123)))&gt;0)</f>
        <v>0</v>
      </c>
      <c r="Y123" s="35" cm="1">
        <f t="array" ref="Y123">INT(SUMPRODUCT(--ISNUMBER(SEARCH(republicantrigger,C123)))&gt;0)</f>
        <v>1</v>
      </c>
      <c r="Z123" s="35" cm="1">
        <f t="array" ref="Z123">INT(SUMPRODUCT(--ISNUMBER(SEARCH(bipartisan,C123)))&gt;0)</f>
        <v>0</v>
      </c>
      <c r="AA123" s="35">
        <f t="shared" si="1"/>
        <v>0</v>
      </c>
      <c r="AB123" s="14"/>
      <c r="AC123" s="30" t="s">
        <v>223</v>
      </c>
      <c r="AD123" s="37" t="s">
        <v>223</v>
      </c>
    </row>
    <row r="124" spans="1:30" x14ac:dyDescent="0.25">
      <c r="A124" s="36">
        <v>3347</v>
      </c>
      <c r="B124" s="14" t="s">
        <v>6719</v>
      </c>
      <c r="C124" s="31" t="s">
        <v>6720</v>
      </c>
      <c r="D124" s="17">
        <v>44121</v>
      </c>
      <c r="E124" s="14" t="s">
        <v>30</v>
      </c>
      <c r="F124" s="14">
        <v>82</v>
      </c>
      <c r="G124" s="14">
        <v>42</v>
      </c>
      <c r="H124" s="14">
        <v>15</v>
      </c>
      <c r="I124" s="14">
        <v>8</v>
      </c>
      <c r="J124" s="14" t="s">
        <v>31</v>
      </c>
      <c r="K124" s="14" cm="1">
        <f t="array" ref="K124">INT(SUMPRODUCT(--ISNUMBER(SEARCH(economy,C124)))&gt;0)</f>
        <v>0</v>
      </c>
      <c r="L124" s="14" cm="1">
        <f t="array" ref="L124">INT(SUMPRODUCT(--ISNUMBER(SEARCH(healthcare,C124)))&gt;0)</f>
        <v>0</v>
      </c>
      <c r="M124" s="14" cm="1">
        <f t="array" ref="M124">INT(SUMPRODUCT(--ISNUMBER(SEARCH(supreme,C124)))&gt;0)</f>
        <v>0</v>
      </c>
      <c r="N124" s="14" cm="1">
        <f t="array" ref="N124">INT(SUMPRODUCT(--ISNUMBER(SEARCH(covid,C124)))&gt;0)</f>
        <v>0</v>
      </c>
      <c r="O124" s="14" cm="1">
        <f t="array" ref="O124">INT(SUMPRODUCT(--ISNUMBER(SEARCH(violent,C124)))&gt;0)</f>
        <v>0</v>
      </c>
      <c r="P124" s="14" cm="1">
        <f t="array" ref="P124">INT(SUMPRODUCT(--ISNUMBER(SEARCH(foreign,C124)))&gt;0)</f>
        <v>0</v>
      </c>
      <c r="Q124" s="14" cm="1">
        <f t="array" ref="Q124">INT(SUMPRODUCT(--ISNUMBER(SEARCH(gun,C124)))&gt;0)</f>
        <v>0</v>
      </c>
      <c r="R124" s="14" cm="1">
        <f t="array" ref="R124">INT(SUMPRODUCT(--ISNUMBER(SEARCH(race,C124)))&gt;0)</f>
        <v>0</v>
      </c>
      <c r="S124" s="14" cm="1">
        <f t="array" ref="S124">INT(SUMPRODUCT(--ISNUMBER(SEARCH(immigration,C124)))&gt;0)</f>
        <v>0</v>
      </c>
      <c r="T124" s="14" cm="1">
        <f t="array" ref="T124">INT(SUMPRODUCT(--ISNUMBER(SEARCH(econineq,C125)))&gt;0)</f>
        <v>0</v>
      </c>
      <c r="U124" s="14" cm="1">
        <f t="array" ref="U124">INT(SUMPRODUCT(--ISNUMBER(SEARCH(climate,C124)))&gt;0)</f>
        <v>0</v>
      </c>
      <c r="V124" s="14" cm="1">
        <f t="array" ref="V124">INT(SUMPRODUCT(--ISNUMBER(SEARCH(abortion,C124)))&gt;0)</f>
        <v>0</v>
      </c>
      <c r="W124" s="14" cm="1">
        <f t="array" ref="W124">INT(SUMPRODUCT(--ISNUMBER(SEARCH(trump,C124)))&gt;0)</f>
        <v>0</v>
      </c>
      <c r="X124" s="14" cm="1">
        <f t="array" ref="X124">INT(SUMPRODUCT(--ISNUMBER(SEARCH(voting,C124)))&gt;0)</f>
        <v>0</v>
      </c>
      <c r="Y124" s="35" cm="1">
        <f t="array" ref="Y124">INT(SUMPRODUCT(--ISNUMBER(SEARCH(republicantrigger,C124)))&gt;0)</f>
        <v>1</v>
      </c>
      <c r="Z124" s="35" cm="1">
        <f t="array" ref="Z124">INT(SUMPRODUCT(--ISNUMBER(SEARCH(bipartisan,C124)))&gt;0)</f>
        <v>0</v>
      </c>
      <c r="AA124" s="35">
        <f t="shared" si="1"/>
        <v>0</v>
      </c>
      <c r="AB124" s="14"/>
      <c r="AC124" s="30">
        <v>1</v>
      </c>
      <c r="AD124" s="37">
        <v>0</v>
      </c>
    </row>
    <row r="125" spans="1:30" x14ac:dyDescent="0.25">
      <c r="A125" s="36">
        <v>3348</v>
      </c>
      <c r="B125" s="14" t="s">
        <v>6721</v>
      </c>
      <c r="C125" s="31" t="s">
        <v>6722</v>
      </c>
      <c r="D125" s="17">
        <v>44121</v>
      </c>
      <c r="E125" s="14" t="s">
        <v>30</v>
      </c>
      <c r="F125" s="14">
        <v>190</v>
      </c>
      <c r="G125" s="14">
        <v>53</v>
      </c>
      <c r="H125" s="14">
        <v>15</v>
      </c>
      <c r="I125" s="14">
        <v>8</v>
      </c>
      <c r="J125" s="14" t="s">
        <v>31</v>
      </c>
      <c r="K125" s="14" cm="1">
        <f t="array" ref="K125">INT(SUMPRODUCT(--ISNUMBER(SEARCH(economy,C125)))&gt;0)</f>
        <v>0</v>
      </c>
      <c r="L125" s="14" cm="1">
        <f t="array" ref="L125">INT(SUMPRODUCT(--ISNUMBER(SEARCH(healthcare,C125)))&gt;0)</f>
        <v>0</v>
      </c>
      <c r="M125" s="14" cm="1">
        <f t="array" ref="M125">INT(SUMPRODUCT(--ISNUMBER(SEARCH(supreme,C125)))&gt;0)</f>
        <v>0</v>
      </c>
      <c r="N125" s="14" cm="1">
        <f t="array" ref="N125">INT(SUMPRODUCT(--ISNUMBER(SEARCH(covid,C125)))&gt;0)</f>
        <v>0</v>
      </c>
      <c r="O125" s="14" cm="1">
        <f t="array" ref="O125">INT(SUMPRODUCT(--ISNUMBER(SEARCH(violent,C125)))&gt;0)</f>
        <v>0</v>
      </c>
      <c r="P125" s="14" cm="1">
        <f t="array" ref="P125">INT(SUMPRODUCT(--ISNUMBER(SEARCH(foreign,C125)))&gt;0)</f>
        <v>0</v>
      </c>
      <c r="Q125" s="14" cm="1">
        <f t="array" ref="Q125">INT(SUMPRODUCT(--ISNUMBER(SEARCH(gun,C125)))&gt;0)</f>
        <v>0</v>
      </c>
      <c r="R125" s="14" cm="1">
        <f t="array" ref="R125">INT(SUMPRODUCT(--ISNUMBER(SEARCH(race,C125)))&gt;0)</f>
        <v>0</v>
      </c>
      <c r="S125" s="14" cm="1">
        <f t="array" ref="S125">INT(SUMPRODUCT(--ISNUMBER(SEARCH(immigration,C125)))&gt;0)</f>
        <v>0</v>
      </c>
      <c r="T125" s="14" cm="1">
        <f t="array" ref="T125">INT(SUMPRODUCT(--ISNUMBER(SEARCH(econineq,C126)))&gt;0)</f>
        <v>0</v>
      </c>
      <c r="U125" s="14" cm="1">
        <f t="array" ref="U125">INT(SUMPRODUCT(--ISNUMBER(SEARCH(climate,C125)))&gt;0)</f>
        <v>0</v>
      </c>
      <c r="V125" s="14" cm="1">
        <f t="array" ref="V125">INT(SUMPRODUCT(--ISNUMBER(SEARCH(abortion,C125)))&gt;0)</f>
        <v>0</v>
      </c>
      <c r="W125" s="14" cm="1">
        <f t="array" ref="W125">INT(SUMPRODUCT(--ISNUMBER(SEARCH(trump,C125)))&gt;0)</f>
        <v>0</v>
      </c>
      <c r="X125" s="14" cm="1">
        <f t="array" ref="X125">INT(SUMPRODUCT(--ISNUMBER(SEARCH(voting,C125)))&gt;0)</f>
        <v>1</v>
      </c>
      <c r="Y125" s="35" cm="1">
        <f t="array" ref="Y125">INT(SUMPRODUCT(--ISNUMBER(SEARCH(republicantrigger,C125)))&gt;0)</f>
        <v>0</v>
      </c>
      <c r="Z125" s="35" cm="1">
        <f t="array" ref="Z125">INT(SUMPRODUCT(--ISNUMBER(SEARCH(bipartisan,C125)))&gt;0)</f>
        <v>0</v>
      </c>
      <c r="AA125" s="35">
        <f t="shared" si="1"/>
        <v>0</v>
      </c>
      <c r="AB125" s="14"/>
      <c r="AC125" s="30">
        <v>1</v>
      </c>
      <c r="AD125" s="37">
        <v>0</v>
      </c>
    </row>
    <row r="126" spans="1:30" x14ac:dyDescent="0.25">
      <c r="A126" s="36">
        <v>3349</v>
      </c>
      <c r="B126" s="14" t="s">
        <v>6723</v>
      </c>
      <c r="C126" s="31" t="s">
        <v>6724</v>
      </c>
      <c r="D126" s="17">
        <v>44121</v>
      </c>
      <c r="E126" s="14" t="s">
        <v>30</v>
      </c>
      <c r="F126" s="14">
        <v>75</v>
      </c>
      <c r="G126" s="14">
        <v>28</v>
      </c>
      <c r="H126" s="14">
        <v>15</v>
      </c>
      <c r="I126" s="14">
        <v>8</v>
      </c>
      <c r="J126" s="14" t="s">
        <v>31</v>
      </c>
      <c r="K126" s="14" cm="1">
        <f t="array" ref="K126">INT(SUMPRODUCT(--ISNUMBER(SEARCH(economy,C126)))&gt;0)</f>
        <v>0</v>
      </c>
      <c r="L126" s="14" cm="1">
        <f t="array" ref="L126">INT(SUMPRODUCT(--ISNUMBER(SEARCH(healthcare,C126)))&gt;0)</f>
        <v>0</v>
      </c>
      <c r="M126" s="14" cm="1">
        <f t="array" ref="M126">INT(SUMPRODUCT(--ISNUMBER(SEARCH(supreme,C126)))&gt;0)</f>
        <v>0</v>
      </c>
      <c r="N126" s="14" cm="1">
        <f t="array" ref="N126">INT(SUMPRODUCT(--ISNUMBER(SEARCH(covid,C126)))&gt;0)</f>
        <v>0</v>
      </c>
      <c r="O126" s="14" cm="1">
        <f t="array" ref="O126">INT(SUMPRODUCT(--ISNUMBER(SEARCH(violent,C126)))&gt;0)</f>
        <v>0</v>
      </c>
      <c r="P126" s="14" cm="1">
        <f t="array" ref="P126">INT(SUMPRODUCT(--ISNUMBER(SEARCH(foreign,C126)))&gt;0)</f>
        <v>0</v>
      </c>
      <c r="Q126" s="14" cm="1">
        <f t="array" ref="Q126">INT(SUMPRODUCT(--ISNUMBER(SEARCH(gun,C126)))&gt;0)</f>
        <v>0</v>
      </c>
      <c r="R126" s="14" cm="1">
        <f t="array" ref="R126">INT(SUMPRODUCT(--ISNUMBER(SEARCH(race,C126)))&gt;0)</f>
        <v>0</v>
      </c>
      <c r="S126" s="14" cm="1">
        <f t="array" ref="S126">INT(SUMPRODUCT(--ISNUMBER(SEARCH(immigration,C126)))&gt;0)</f>
        <v>0</v>
      </c>
      <c r="T126" s="14" cm="1">
        <f t="array" ref="T126">INT(SUMPRODUCT(--ISNUMBER(SEARCH(econineq,C127)))&gt;0)</f>
        <v>0</v>
      </c>
      <c r="U126" s="14" cm="1">
        <f t="array" ref="U126">INT(SUMPRODUCT(--ISNUMBER(SEARCH(climate,C126)))&gt;0)</f>
        <v>0</v>
      </c>
      <c r="V126" s="14" cm="1">
        <f t="array" ref="V126">INT(SUMPRODUCT(--ISNUMBER(SEARCH(abortion,C126)))&gt;0)</f>
        <v>0</v>
      </c>
      <c r="W126" s="14" cm="1">
        <f t="array" ref="W126">INT(SUMPRODUCT(--ISNUMBER(SEARCH(trump,C126)))&gt;0)</f>
        <v>0</v>
      </c>
      <c r="X126" s="14" cm="1">
        <f t="array" ref="X126">INT(SUMPRODUCT(--ISNUMBER(SEARCH(voting,C126)))&gt;0)</f>
        <v>1</v>
      </c>
      <c r="Y126" s="35" cm="1">
        <f t="array" ref="Y126">INT(SUMPRODUCT(--ISNUMBER(SEARCH(republicantrigger,C126)))&gt;0)</f>
        <v>1</v>
      </c>
      <c r="Z126" s="35" cm="1">
        <f t="array" ref="Z126">INT(SUMPRODUCT(--ISNUMBER(SEARCH(bipartisan,C126)))&gt;0)</f>
        <v>0</v>
      </c>
      <c r="AA126" s="35">
        <f t="shared" si="1"/>
        <v>0</v>
      </c>
      <c r="AB126" s="14"/>
      <c r="AC126" s="30">
        <v>0</v>
      </c>
      <c r="AD126" s="37">
        <v>1</v>
      </c>
    </row>
    <row r="127" spans="1:30" x14ac:dyDescent="0.25">
      <c r="A127" s="36">
        <v>3350</v>
      </c>
      <c r="B127" s="14" t="s">
        <v>6725</v>
      </c>
      <c r="C127" s="31" t="s">
        <v>6726</v>
      </c>
      <c r="D127" s="17">
        <v>44120</v>
      </c>
      <c r="E127" s="14" t="s">
        <v>30</v>
      </c>
      <c r="F127" s="14">
        <v>106</v>
      </c>
      <c r="G127" s="14">
        <v>48</v>
      </c>
      <c r="H127" s="14">
        <v>15</v>
      </c>
      <c r="I127" s="14">
        <v>8</v>
      </c>
      <c r="J127" s="14" t="s">
        <v>31</v>
      </c>
      <c r="K127" s="14" cm="1">
        <f t="array" ref="K127">INT(SUMPRODUCT(--ISNUMBER(SEARCH(economy,C127)))&gt;0)</f>
        <v>0</v>
      </c>
      <c r="L127" s="14" cm="1">
        <f t="array" ref="L127">INT(SUMPRODUCT(--ISNUMBER(SEARCH(healthcare,C127)))&gt;0)</f>
        <v>0</v>
      </c>
      <c r="M127" s="14" cm="1">
        <f t="array" ref="M127">INT(SUMPRODUCT(--ISNUMBER(SEARCH(supreme,C127)))&gt;0)</f>
        <v>0</v>
      </c>
      <c r="N127" s="14" cm="1">
        <f t="array" ref="N127">INT(SUMPRODUCT(--ISNUMBER(SEARCH(covid,C127)))&gt;0)</f>
        <v>0</v>
      </c>
      <c r="O127" s="14" cm="1">
        <f t="array" ref="O127">INT(SUMPRODUCT(--ISNUMBER(SEARCH(violent,C127)))&gt;0)</f>
        <v>0</v>
      </c>
      <c r="P127" s="14" cm="1">
        <f t="array" ref="P127">INT(SUMPRODUCT(--ISNUMBER(SEARCH(foreign,C127)))&gt;0)</f>
        <v>0</v>
      </c>
      <c r="Q127" s="14" cm="1">
        <f t="array" ref="Q127">INT(SUMPRODUCT(--ISNUMBER(SEARCH(gun,C127)))&gt;0)</f>
        <v>0</v>
      </c>
      <c r="R127" s="14" cm="1">
        <f t="array" ref="R127">INT(SUMPRODUCT(--ISNUMBER(SEARCH(race,C127)))&gt;0)</f>
        <v>0</v>
      </c>
      <c r="S127" s="14" cm="1">
        <f t="array" ref="S127">INT(SUMPRODUCT(--ISNUMBER(SEARCH(immigration,C127)))&gt;0)</f>
        <v>0</v>
      </c>
      <c r="T127" s="14" cm="1">
        <f t="array" ref="T127">INT(SUMPRODUCT(--ISNUMBER(SEARCH(econineq,C128)))&gt;0)</f>
        <v>0</v>
      </c>
      <c r="U127" s="14" cm="1">
        <f t="array" ref="U127">INT(SUMPRODUCT(--ISNUMBER(SEARCH(climate,C127)))&gt;0)</f>
        <v>0</v>
      </c>
      <c r="V127" s="14" cm="1">
        <f t="array" ref="V127">INT(SUMPRODUCT(--ISNUMBER(SEARCH(abortion,C127)))&gt;0)</f>
        <v>0</v>
      </c>
      <c r="W127" s="14" cm="1">
        <f t="array" ref="W127">INT(SUMPRODUCT(--ISNUMBER(SEARCH(trump,C127)))&gt;0)</f>
        <v>0</v>
      </c>
      <c r="X127" s="14" cm="1">
        <f t="array" ref="X127">INT(SUMPRODUCT(--ISNUMBER(SEARCH(voting,C127)))&gt;0)</f>
        <v>0</v>
      </c>
      <c r="Y127" s="35" cm="1">
        <f t="array" ref="Y127">INT(SUMPRODUCT(--ISNUMBER(SEARCH(republicantrigger,C127)))&gt;0)</f>
        <v>1</v>
      </c>
      <c r="Z127" s="35" cm="1">
        <f t="array" ref="Z127">INT(SUMPRODUCT(--ISNUMBER(SEARCH(bipartisan,C127)))&gt;0)</f>
        <v>0</v>
      </c>
      <c r="AA127" s="35">
        <f t="shared" si="1"/>
        <v>0</v>
      </c>
      <c r="AB127" s="14"/>
      <c r="AC127" s="30" t="s">
        <v>223</v>
      </c>
      <c r="AD127" s="37" t="s">
        <v>223</v>
      </c>
    </row>
    <row r="128" spans="1:30" x14ac:dyDescent="0.25">
      <c r="A128" s="36">
        <v>3351</v>
      </c>
      <c r="B128" s="14" t="s">
        <v>6727</v>
      </c>
      <c r="C128" s="31" t="s">
        <v>6728</v>
      </c>
      <c r="D128" s="17">
        <v>44120</v>
      </c>
      <c r="E128" s="14" t="s">
        <v>30</v>
      </c>
      <c r="F128" s="14">
        <v>148</v>
      </c>
      <c r="G128" s="14">
        <v>33</v>
      </c>
      <c r="H128" s="14">
        <v>15</v>
      </c>
      <c r="I128" s="14">
        <v>8</v>
      </c>
      <c r="J128" s="14" t="s">
        <v>31</v>
      </c>
      <c r="K128" s="14" cm="1">
        <f t="array" ref="K128">INT(SUMPRODUCT(--ISNUMBER(SEARCH(economy,C128)))&gt;0)</f>
        <v>0</v>
      </c>
      <c r="L128" s="14" cm="1">
        <f t="array" ref="L128">INT(SUMPRODUCT(--ISNUMBER(SEARCH(healthcare,C128)))&gt;0)</f>
        <v>0</v>
      </c>
      <c r="M128" s="14" cm="1">
        <f t="array" ref="M128">INT(SUMPRODUCT(--ISNUMBER(SEARCH(supreme,C128)))&gt;0)</f>
        <v>0</v>
      </c>
      <c r="N128" s="14" cm="1">
        <f t="array" ref="N128">INT(SUMPRODUCT(--ISNUMBER(SEARCH(covid,C128)))&gt;0)</f>
        <v>0</v>
      </c>
      <c r="O128" s="14" cm="1">
        <f t="array" ref="O128">INT(SUMPRODUCT(--ISNUMBER(SEARCH(violent,C128)))&gt;0)</f>
        <v>0</v>
      </c>
      <c r="P128" s="14" cm="1">
        <f t="array" ref="P128">INT(SUMPRODUCT(--ISNUMBER(SEARCH(foreign,C128)))&gt;0)</f>
        <v>0</v>
      </c>
      <c r="Q128" s="14" cm="1">
        <f t="array" ref="Q128">INT(SUMPRODUCT(--ISNUMBER(SEARCH(gun,C128)))&gt;0)</f>
        <v>0</v>
      </c>
      <c r="R128" s="14" cm="1">
        <f t="array" ref="R128">INT(SUMPRODUCT(--ISNUMBER(SEARCH(race,C128)))&gt;0)</f>
        <v>0</v>
      </c>
      <c r="S128" s="14" cm="1">
        <f t="array" ref="S128">INT(SUMPRODUCT(--ISNUMBER(SEARCH(immigration,C128)))&gt;0)</f>
        <v>0</v>
      </c>
      <c r="T128" s="14" cm="1">
        <f t="array" ref="T128">INT(SUMPRODUCT(--ISNUMBER(SEARCH(econineq,C129)))&gt;0)</f>
        <v>0</v>
      </c>
      <c r="U128" s="14" cm="1">
        <f t="array" ref="U128">INT(SUMPRODUCT(--ISNUMBER(SEARCH(climate,C128)))&gt;0)</f>
        <v>0</v>
      </c>
      <c r="V128" s="14" cm="1">
        <f t="array" ref="V128">INT(SUMPRODUCT(--ISNUMBER(SEARCH(abortion,C128)))&gt;0)</f>
        <v>0</v>
      </c>
      <c r="W128" s="14" cm="1">
        <f t="array" ref="W128">INT(SUMPRODUCT(--ISNUMBER(SEARCH(trump,C128)))&gt;0)</f>
        <v>0</v>
      </c>
      <c r="X128" s="14" cm="1">
        <f t="array" ref="X128">INT(SUMPRODUCT(--ISNUMBER(SEARCH(voting,C128)))&gt;0)</f>
        <v>0</v>
      </c>
      <c r="Y128" s="35" cm="1">
        <f t="array" ref="Y128">INT(SUMPRODUCT(--ISNUMBER(SEARCH(republicantrigger,C128)))&gt;0)</f>
        <v>0</v>
      </c>
      <c r="Z128" s="35" cm="1">
        <f t="array" ref="Z128">INT(SUMPRODUCT(--ISNUMBER(SEARCH(bipartisan,C128)))&gt;0)</f>
        <v>0</v>
      </c>
      <c r="AA128" s="35">
        <f t="shared" si="1"/>
        <v>1</v>
      </c>
      <c r="AB128" s="14"/>
      <c r="AC128" s="30">
        <v>1</v>
      </c>
      <c r="AD128" s="37">
        <v>0</v>
      </c>
    </row>
    <row r="129" spans="1:30" x14ac:dyDescent="0.25">
      <c r="A129" s="36">
        <v>3352</v>
      </c>
      <c r="B129" s="14" t="s">
        <v>6729</v>
      </c>
      <c r="C129" s="31" t="s">
        <v>6730</v>
      </c>
      <c r="D129" s="17">
        <v>44120</v>
      </c>
      <c r="E129" s="14" t="s">
        <v>30</v>
      </c>
      <c r="F129" s="14">
        <v>55</v>
      </c>
      <c r="G129" s="14">
        <v>30</v>
      </c>
      <c r="H129" s="14">
        <v>15</v>
      </c>
      <c r="I129" s="14">
        <v>8</v>
      </c>
      <c r="J129" s="14" t="s">
        <v>31</v>
      </c>
      <c r="K129" s="14" cm="1">
        <f t="array" ref="K129">INT(SUMPRODUCT(--ISNUMBER(SEARCH(economy,C129)))&gt;0)</f>
        <v>1</v>
      </c>
      <c r="L129" s="14" cm="1">
        <f t="array" ref="L129">INT(SUMPRODUCT(--ISNUMBER(SEARCH(healthcare,C129)))&gt;0)</f>
        <v>0</v>
      </c>
      <c r="M129" s="14" cm="1">
        <f t="array" ref="M129">INT(SUMPRODUCT(--ISNUMBER(SEARCH(supreme,C129)))&gt;0)</f>
        <v>1</v>
      </c>
      <c r="N129" s="14" cm="1">
        <f t="array" ref="N129">INT(SUMPRODUCT(--ISNUMBER(SEARCH(covid,C129)))&gt;0)</f>
        <v>0</v>
      </c>
      <c r="O129" s="14" cm="1">
        <f t="array" ref="O129">INT(SUMPRODUCT(--ISNUMBER(SEARCH(violent,C129)))&gt;0)</f>
        <v>0</v>
      </c>
      <c r="P129" s="14" cm="1">
        <f t="array" ref="P129">INT(SUMPRODUCT(--ISNUMBER(SEARCH(foreign,C129)))&gt;0)</f>
        <v>0</v>
      </c>
      <c r="Q129" s="14" cm="1">
        <f t="array" ref="Q129">INT(SUMPRODUCT(--ISNUMBER(SEARCH(gun,C129)))&gt;0)</f>
        <v>1</v>
      </c>
      <c r="R129" s="14" cm="1">
        <f t="array" ref="R129">INT(SUMPRODUCT(--ISNUMBER(SEARCH(race,C129)))&gt;0)</f>
        <v>0</v>
      </c>
      <c r="S129" s="14" cm="1">
        <f t="array" ref="S129">INT(SUMPRODUCT(--ISNUMBER(SEARCH(immigration,C129)))&gt;0)</f>
        <v>0</v>
      </c>
      <c r="T129" s="14" cm="1">
        <f t="array" ref="T129">INT(SUMPRODUCT(--ISNUMBER(SEARCH(econineq,C130)))&gt;0)</f>
        <v>0</v>
      </c>
      <c r="U129" s="14" cm="1">
        <f t="array" ref="U129">INT(SUMPRODUCT(--ISNUMBER(SEARCH(climate,C129)))&gt;0)</f>
        <v>0</v>
      </c>
      <c r="V129" s="14" cm="1">
        <f t="array" ref="V129">INT(SUMPRODUCT(--ISNUMBER(SEARCH(abortion,C129)))&gt;0)</f>
        <v>0</v>
      </c>
      <c r="W129" s="14" cm="1">
        <f t="array" ref="W129">INT(SUMPRODUCT(--ISNUMBER(SEARCH(trump,C129)))&gt;0)</f>
        <v>0</v>
      </c>
      <c r="X129" s="14" cm="1">
        <f t="array" ref="X129">INT(SUMPRODUCT(--ISNUMBER(SEARCH(voting,C129)))&gt;0)</f>
        <v>1</v>
      </c>
      <c r="Y129" s="35" cm="1">
        <f t="array" ref="Y129">INT(SUMPRODUCT(--ISNUMBER(SEARCH(republicantrigger,C129)))&gt;0)</f>
        <v>1</v>
      </c>
      <c r="Z129" s="35" cm="1">
        <f t="array" ref="Z129">INT(SUMPRODUCT(--ISNUMBER(SEARCH(bipartisan,C129)))&gt;0)</f>
        <v>0</v>
      </c>
      <c r="AA129" s="35">
        <f t="shared" si="1"/>
        <v>0</v>
      </c>
      <c r="AB129" s="14"/>
      <c r="AC129" s="30">
        <v>1</v>
      </c>
      <c r="AD129" s="37">
        <v>0</v>
      </c>
    </row>
    <row r="130" spans="1:30" x14ac:dyDescent="0.25">
      <c r="A130" s="36">
        <v>3353</v>
      </c>
      <c r="B130" s="14" t="s">
        <v>6731</v>
      </c>
      <c r="C130" s="31" t="s">
        <v>6732</v>
      </c>
      <c r="D130" s="17">
        <v>44120</v>
      </c>
      <c r="E130" s="14" t="s">
        <v>30</v>
      </c>
      <c r="F130" s="14">
        <v>1578</v>
      </c>
      <c r="G130" s="14">
        <v>296</v>
      </c>
      <c r="H130" s="14">
        <v>15</v>
      </c>
      <c r="I130" s="14">
        <v>8</v>
      </c>
      <c r="J130" s="14" t="s">
        <v>31</v>
      </c>
      <c r="K130" s="14" cm="1">
        <f t="array" ref="K130">INT(SUMPRODUCT(--ISNUMBER(SEARCH(economy,C130)))&gt;0)</f>
        <v>1</v>
      </c>
      <c r="L130" s="14" cm="1">
        <f t="array" ref="L130">INT(SUMPRODUCT(--ISNUMBER(SEARCH(healthcare,C130)))&gt;0)</f>
        <v>0</v>
      </c>
      <c r="M130" s="14" cm="1">
        <f t="array" ref="M130">INT(SUMPRODUCT(--ISNUMBER(SEARCH(supreme,C130)))&gt;0)</f>
        <v>0</v>
      </c>
      <c r="N130" s="14" cm="1">
        <f t="array" ref="N130">INT(SUMPRODUCT(--ISNUMBER(SEARCH(covid,C130)))&gt;0)</f>
        <v>0</v>
      </c>
      <c r="O130" s="14" cm="1">
        <f t="array" ref="O130">INT(SUMPRODUCT(--ISNUMBER(SEARCH(violent,C130)))&gt;0)</f>
        <v>0</v>
      </c>
      <c r="P130" s="14" cm="1">
        <f t="array" ref="P130">INT(SUMPRODUCT(--ISNUMBER(SEARCH(foreign,C130)))&gt;0)</f>
        <v>0</v>
      </c>
      <c r="Q130" s="14" cm="1">
        <f t="array" ref="Q130">INT(SUMPRODUCT(--ISNUMBER(SEARCH(gun,C130)))&gt;0)</f>
        <v>0</v>
      </c>
      <c r="R130" s="14" cm="1">
        <f t="array" ref="R130">INT(SUMPRODUCT(--ISNUMBER(SEARCH(race,C130)))&gt;0)</f>
        <v>0</v>
      </c>
      <c r="S130" s="14" cm="1">
        <f t="array" ref="S130">INT(SUMPRODUCT(--ISNUMBER(SEARCH(immigration,C130)))&gt;0)</f>
        <v>0</v>
      </c>
      <c r="T130" s="14" cm="1">
        <f t="array" ref="T130">INT(SUMPRODUCT(--ISNUMBER(SEARCH(econineq,C131)))&gt;0)</f>
        <v>0</v>
      </c>
      <c r="U130" s="14" cm="1">
        <f t="array" ref="U130">INT(SUMPRODUCT(--ISNUMBER(SEARCH(climate,C130)))&gt;0)</f>
        <v>0</v>
      </c>
      <c r="V130" s="14" cm="1">
        <f t="array" ref="V130">INT(SUMPRODUCT(--ISNUMBER(SEARCH(abortion,C130)))&gt;0)</f>
        <v>0</v>
      </c>
      <c r="W130" s="14" cm="1">
        <f t="array" ref="W130">INT(SUMPRODUCT(--ISNUMBER(SEARCH(trump,C130)))&gt;0)</f>
        <v>0</v>
      </c>
      <c r="X130" s="14" cm="1">
        <f t="array" ref="X130">INT(SUMPRODUCT(--ISNUMBER(SEARCH(voting,C130)))&gt;0)</f>
        <v>0</v>
      </c>
      <c r="Y130" s="35" cm="1">
        <f t="array" ref="Y130">INT(SUMPRODUCT(--ISNUMBER(SEARCH(republicantrigger,C130)))&gt;0)</f>
        <v>0</v>
      </c>
      <c r="Z130" s="35" cm="1">
        <f t="array" ref="Z130">INT(SUMPRODUCT(--ISNUMBER(SEARCH(bipartisan,C130)))&gt;0)</f>
        <v>0</v>
      </c>
      <c r="AA130" s="35">
        <f t="shared" si="1"/>
        <v>0</v>
      </c>
      <c r="AB130" s="14"/>
      <c r="AC130" s="30" t="s">
        <v>223</v>
      </c>
      <c r="AD130" s="37" t="s">
        <v>223</v>
      </c>
    </row>
    <row r="131" spans="1:30" x14ac:dyDescent="0.25">
      <c r="A131" s="36">
        <v>3354</v>
      </c>
      <c r="B131" s="14" t="s">
        <v>6733</v>
      </c>
      <c r="C131" s="31" t="s">
        <v>6734</v>
      </c>
      <c r="D131" s="17">
        <v>44120</v>
      </c>
      <c r="E131" s="14" t="s">
        <v>30</v>
      </c>
      <c r="F131" s="14">
        <v>61</v>
      </c>
      <c r="G131" s="14">
        <v>34</v>
      </c>
      <c r="H131" s="14">
        <v>15</v>
      </c>
      <c r="I131" s="14">
        <v>8</v>
      </c>
      <c r="J131" s="14" t="s">
        <v>31</v>
      </c>
      <c r="K131" s="14" cm="1">
        <f t="array" ref="K131">INT(SUMPRODUCT(--ISNUMBER(SEARCH(economy,C131)))&gt;0)</f>
        <v>0</v>
      </c>
      <c r="L131" s="14" cm="1">
        <f t="array" ref="L131">INT(SUMPRODUCT(--ISNUMBER(SEARCH(healthcare,C131)))&gt;0)</f>
        <v>0</v>
      </c>
      <c r="M131" s="14" cm="1">
        <f t="array" ref="M131">INT(SUMPRODUCT(--ISNUMBER(SEARCH(supreme,C131)))&gt;0)</f>
        <v>0</v>
      </c>
      <c r="N131" s="14" cm="1">
        <f t="array" ref="N131">INT(SUMPRODUCT(--ISNUMBER(SEARCH(covid,C131)))&gt;0)</f>
        <v>0</v>
      </c>
      <c r="O131" s="14" cm="1">
        <f t="array" ref="O131">INT(SUMPRODUCT(--ISNUMBER(SEARCH(violent,C131)))&gt;0)</f>
        <v>0</v>
      </c>
      <c r="P131" s="14" cm="1">
        <f t="array" ref="P131">INT(SUMPRODUCT(--ISNUMBER(SEARCH(foreign,C131)))&gt;0)</f>
        <v>0</v>
      </c>
      <c r="Q131" s="14" cm="1">
        <f t="array" ref="Q131">INT(SUMPRODUCT(--ISNUMBER(SEARCH(gun,C131)))&gt;0)</f>
        <v>0</v>
      </c>
      <c r="R131" s="14" cm="1">
        <f t="array" ref="R131">INT(SUMPRODUCT(--ISNUMBER(SEARCH(race,C131)))&gt;0)</f>
        <v>0</v>
      </c>
      <c r="S131" s="14" cm="1">
        <f t="array" ref="S131">INT(SUMPRODUCT(--ISNUMBER(SEARCH(immigration,C131)))&gt;0)</f>
        <v>0</v>
      </c>
      <c r="T131" s="14" cm="1">
        <f t="array" ref="T131">INT(SUMPRODUCT(--ISNUMBER(SEARCH(econineq,C132)))&gt;0)</f>
        <v>0</v>
      </c>
      <c r="U131" s="14" cm="1">
        <f t="array" ref="U131">INT(SUMPRODUCT(--ISNUMBER(SEARCH(climate,C131)))&gt;0)</f>
        <v>1</v>
      </c>
      <c r="V131" s="14" cm="1">
        <f t="array" ref="V131">INT(SUMPRODUCT(--ISNUMBER(SEARCH(abortion,C131)))&gt;0)</f>
        <v>0</v>
      </c>
      <c r="W131" s="14" cm="1">
        <f t="array" ref="W131">INT(SUMPRODUCT(--ISNUMBER(SEARCH(trump,C131)))&gt;0)</f>
        <v>0</v>
      </c>
      <c r="X131" s="14" cm="1">
        <f t="array" ref="X131">INT(SUMPRODUCT(--ISNUMBER(SEARCH(voting,C131)))&gt;0)</f>
        <v>0</v>
      </c>
      <c r="Y131" s="35" cm="1">
        <f t="array" ref="Y131">INT(SUMPRODUCT(--ISNUMBER(SEARCH(republicantrigger,C131)))&gt;0)</f>
        <v>1</v>
      </c>
      <c r="Z131" s="35" cm="1">
        <f t="array" ref="Z131">INT(SUMPRODUCT(--ISNUMBER(SEARCH(bipartisan,C131)))&gt;0)</f>
        <v>0</v>
      </c>
      <c r="AA131" s="35">
        <f t="shared" ref="AA131:AA183" si="2">INT(IF(COUNTIF(K131:Z131,1)=0,"1","0"))</f>
        <v>0</v>
      </c>
      <c r="AB131" s="14"/>
      <c r="AC131" s="30">
        <v>1</v>
      </c>
      <c r="AD131" s="37">
        <v>0</v>
      </c>
    </row>
    <row r="132" spans="1:30" x14ac:dyDescent="0.25">
      <c r="A132" s="36">
        <v>3355</v>
      </c>
      <c r="B132" s="14" t="s">
        <v>6735</v>
      </c>
      <c r="C132" s="31" t="s">
        <v>6736</v>
      </c>
      <c r="D132" s="17">
        <v>44120</v>
      </c>
      <c r="E132" s="14" t="s">
        <v>30</v>
      </c>
      <c r="F132" s="14">
        <v>60</v>
      </c>
      <c r="G132" s="14">
        <v>34</v>
      </c>
      <c r="H132" s="14">
        <v>15</v>
      </c>
      <c r="I132" s="14">
        <v>8</v>
      </c>
      <c r="J132" s="14" t="s">
        <v>31</v>
      </c>
      <c r="K132" s="14" cm="1">
        <f t="array" ref="K132">INT(SUMPRODUCT(--ISNUMBER(SEARCH(economy,C132)))&gt;0)</f>
        <v>0</v>
      </c>
      <c r="L132" s="14" cm="1">
        <f t="array" ref="L132">INT(SUMPRODUCT(--ISNUMBER(SEARCH(healthcare,C132)))&gt;0)</f>
        <v>0</v>
      </c>
      <c r="M132" s="14" cm="1">
        <f t="array" ref="M132">INT(SUMPRODUCT(--ISNUMBER(SEARCH(supreme,C132)))&gt;0)</f>
        <v>0</v>
      </c>
      <c r="N132" s="14" cm="1">
        <f t="array" ref="N132">INT(SUMPRODUCT(--ISNUMBER(SEARCH(covid,C132)))&gt;0)</f>
        <v>0</v>
      </c>
      <c r="O132" s="14" cm="1">
        <f t="array" ref="O132">INT(SUMPRODUCT(--ISNUMBER(SEARCH(violent,C132)))&gt;0)</f>
        <v>0</v>
      </c>
      <c r="P132" s="14" cm="1">
        <f t="array" ref="P132">INT(SUMPRODUCT(--ISNUMBER(SEARCH(foreign,C132)))&gt;0)</f>
        <v>0</v>
      </c>
      <c r="Q132" s="14" cm="1">
        <f t="array" ref="Q132">INT(SUMPRODUCT(--ISNUMBER(SEARCH(gun,C132)))&gt;0)</f>
        <v>0</v>
      </c>
      <c r="R132" s="14" cm="1">
        <f t="array" ref="R132">INT(SUMPRODUCT(--ISNUMBER(SEARCH(race,C132)))&gt;0)</f>
        <v>0</v>
      </c>
      <c r="S132" s="14" cm="1">
        <f t="array" ref="S132">INT(SUMPRODUCT(--ISNUMBER(SEARCH(immigration,C132)))&gt;0)</f>
        <v>0</v>
      </c>
      <c r="T132" s="14" cm="1">
        <f t="array" ref="T132">INT(SUMPRODUCT(--ISNUMBER(SEARCH(econineq,C133)))&gt;0)</f>
        <v>0</v>
      </c>
      <c r="U132" s="14" cm="1">
        <f t="array" ref="U132">INT(SUMPRODUCT(--ISNUMBER(SEARCH(climate,C132)))&gt;0)</f>
        <v>0</v>
      </c>
      <c r="V132" s="14" cm="1">
        <f t="array" ref="V132">INT(SUMPRODUCT(--ISNUMBER(SEARCH(abortion,C132)))&gt;0)</f>
        <v>0</v>
      </c>
      <c r="W132" s="14" cm="1">
        <f t="array" ref="W132">INT(SUMPRODUCT(--ISNUMBER(SEARCH(trump,C132)))&gt;0)</f>
        <v>0</v>
      </c>
      <c r="X132" s="14" cm="1">
        <f t="array" ref="X132">INT(SUMPRODUCT(--ISNUMBER(SEARCH(voting,C132)))&gt;0)</f>
        <v>0</v>
      </c>
      <c r="Y132" s="35" cm="1">
        <f t="array" ref="Y132">INT(SUMPRODUCT(--ISNUMBER(SEARCH(republicantrigger,C132)))&gt;0)</f>
        <v>1</v>
      </c>
      <c r="Z132" s="35" cm="1">
        <f t="array" ref="Z132">INT(SUMPRODUCT(--ISNUMBER(SEARCH(bipartisan,C132)))&gt;0)</f>
        <v>0</v>
      </c>
      <c r="AA132" s="35">
        <f t="shared" si="2"/>
        <v>0</v>
      </c>
      <c r="AB132" s="14"/>
      <c r="AC132" s="30" t="s">
        <v>223</v>
      </c>
      <c r="AD132" s="37" t="s">
        <v>223</v>
      </c>
    </row>
    <row r="133" spans="1:30" x14ac:dyDescent="0.25">
      <c r="A133" s="36">
        <v>3356</v>
      </c>
      <c r="B133" s="14" t="s">
        <v>6737</v>
      </c>
      <c r="C133" s="31" t="s">
        <v>6738</v>
      </c>
      <c r="D133" s="17">
        <v>44120</v>
      </c>
      <c r="E133" s="14" t="s">
        <v>30</v>
      </c>
      <c r="F133" s="14">
        <v>53</v>
      </c>
      <c r="G133" s="14">
        <v>25</v>
      </c>
      <c r="H133" s="14">
        <v>15</v>
      </c>
      <c r="I133" s="14">
        <v>8</v>
      </c>
      <c r="J133" s="14" t="s">
        <v>31</v>
      </c>
      <c r="K133" s="14" cm="1">
        <f t="array" ref="K133">INT(SUMPRODUCT(--ISNUMBER(SEARCH(economy,C133)))&gt;0)</f>
        <v>0</v>
      </c>
      <c r="L133" s="14" cm="1">
        <f t="array" ref="L133">INT(SUMPRODUCT(--ISNUMBER(SEARCH(healthcare,C133)))&gt;0)</f>
        <v>0</v>
      </c>
      <c r="M133" s="14" cm="1">
        <f t="array" ref="M133">INT(SUMPRODUCT(--ISNUMBER(SEARCH(supreme,C133)))&gt;0)</f>
        <v>0</v>
      </c>
      <c r="N133" s="14" cm="1">
        <f t="array" ref="N133">INT(SUMPRODUCT(--ISNUMBER(SEARCH(covid,C133)))&gt;0)</f>
        <v>0</v>
      </c>
      <c r="O133" s="14" cm="1">
        <f t="array" ref="O133">INT(SUMPRODUCT(--ISNUMBER(SEARCH(violent,C133)))&gt;0)</f>
        <v>0</v>
      </c>
      <c r="P133" s="14" cm="1">
        <f t="array" ref="P133">INT(SUMPRODUCT(--ISNUMBER(SEARCH(foreign,C133)))&gt;0)</f>
        <v>0</v>
      </c>
      <c r="Q133" s="14" cm="1">
        <f t="array" ref="Q133">INT(SUMPRODUCT(--ISNUMBER(SEARCH(gun,C133)))&gt;0)</f>
        <v>0</v>
      </c>
      <c r="R133" s="14" cm="1">
        <f t="array" ref="R133">INT(SUMPRODUCT(--ISNUMBER(SEARCH(race,C133)))&gt;0)</f>
        <v>0</v>
      </c>
      <c r="S133" s="14" cm="1">
        <f t="array" ref="S133">INT(SUMPRODUCT(--ISNUMBER(SEARCH(immigration,C133)))&gt;0)</f>
        <v>0</v>
      </c>
      <c r="T133" s="14" cm="1">
        <f t="array" ref="T133">INT(SUMPRODUCT(--ISNUMBER(SEARCH(econineq,C134)))&gt;0)</f>
        <v>0</v>
      </c>
      <c r="U133" s="14" cm="1">
        <f t="array" ref="U133">INT(SUMPRODUCT(--ISNUMBER(SEARCH(climate,C133)))&gt;0)</f>
        <v>0</v>
      </c>
      <c r="V133" s="14" cm="1">
        <f t="array" ref="V133">INT(SUMPRODUCT(--ISNUMBER(SEARCH(abortion,C133)))&gt;0)</f>
        <v>0</v>
      </c>
      <c r="W133" s="14" cm="1">
        <f t="array" ref="W133">INT(SUMPRODUCT(--ISNUMBER(SEARCH(trump,C133)))&gt;0)</f>
        <v>0</v>
      </c>
      <c r="X133" s="14" cm="1">
        <f t="array" ref="X133">INT(SUMPRODUCT(--ISNUMBER(SEARCH(voting,C133)))&gt;0)</f>
        <v>0</v>
      </c>
      <c r="Y133" s="35" cm="1">
        <f t="array" ref="Y133">INT(SUMPRODUCT(--ISNUMBER(SEARCH(republicantrigger,C133)))&gt;0)</f>
        <v>0</v>
      </c>
      <c r="Z133" s="35" cm="1">
        <f t="array" ref="Z133">INT(SUMPRODUCT(--ISNUMBER(SEARCH(bipartisan,C133)))&gt;0)</f>
        <v>0</v>
      </c>
      <c r="AA133" s="35">
        <f t="shared" si="2"/>
        <v>1</v>
      </c>
      <c r="AB133" s="14"/>
      <c r="AC133" s="30" t="s">
        <v>223</v>
      </c>
      <c r="AD133" s="37" t="s">
        <v>223</v>
      </c>
    </row>
    <row r="134" spans="1:30" x14ac:dyDescent="0.25">
      <c r="A134" s="36">
        <v>3357</v>
      </c>
      <c r="B134" s="14" t="s">
        <v>6739</v>
      </c>
      <c r="C134" s="31" t="s">
        <v>6740</v>
      </c>
      <c r="D134" s="17">
        <v>44119</v>
      </c>
      <c r="E134" s="14" t="s">
        <v>30</v>
      </c>
      <c r="F134" s="14">
        <v>50</v>
      </c>
      <c r="G134" s="14">
        <v>22</v>
      </c>
      <c r="H134" s="14">
        <v>15</v>
      </c>
      <c r="I134" s="14">
        <v>8</v>
      </c>
      <c r="J134" s="14" t="s">
        <v>31</v>
      </c>
      <c r="K134" s="14" cm="1">
        <f t="array" ref="K134">INT(SUMPRODUCT(--ISNUMBER(SEARCH(economy,C134)))&gt;0)</f>
        <v>0</v>
      </c>
      <c r="L134" s="14" cm="1">
        <f t="array" ref="L134">INT(SUMPRODUCT(--ISNUMBER(SEARCH(healthcare,C134)))&gt;0)</f>
        <v>0</v>
      </c>
      <c r="M134" s="14" cm="1">
        <f t="array" ref="M134">INT(SUMPRODUCT(--ISNUMBER(SEARCH(supreme,C134)))&gt;0)</f>
        <v>0</v>
      </c>
      <c r="N134" s="14" cm="1">
        <f t="array" ref="N134">INT(SUMPRODUCT(--ISNUMBER(SEARCH(covid,C134)))&gt;0)</f>
        <v>0</v>
      </c>
      <c r="O134" s="14" cm="1">
        <f t="array" ref="O134">INT(SUMPRODUCT(--ISNUMBER(SEARCH(violent,C134)))&gt;0)</f>
        <v>0</v>
      </c>
      <c r="P134" s="14" cm="1">
        <f t="array" ref="P134">INT(SUMPRODUCT(--ISNUMBER(SEARCH(foreign,C134)))&gt;0)</f>
        <v>0</v>
      </c>
      <c r="Q134" s="14" cm="1">
        <f t="array" ref="Q134">INT(SUMPRODUCT(--ISNUMBER(SEARCH(gun,C134)))&gt;0)</f>
        <v>0</v>
      </c>
      <c r="R134" s="14" cm="1">
        <f t="array" ref="R134">INT(SUMPRODUCT(--ISNUMBER(SEARCH(race,C134)))&gt;0)</f>
        <v>0</v>
      </c>
      <c r="S134" s="14" cm="1">
        <f t="array" ref="S134">INT(SUMPRODUCT(--ISNUMBER(SEARCH(immigration,C134)))&gt;0)</f>
        <v>0</v>
      </c>
      <c r="T134" s="14" cm="1">
        <f t="array" ref="T134">INT(SUMPRODUCT(--ISNUMBER(SEARCH(econineq,C135)))&gt;0)</f>
        <v>0</v>
      </c>
      <c r="U134" s="14" cm="1">
        <f t="array" ref="U134">INT(SUMPRODUCT(--ISNUMBER(SEARCH(climate,C134)))&gt;0)</f>
        <v>0</v>
      </c>
      <c r="V134" s="14" cm="1">
        <f t="array" ref="V134">INT(SUMPRODUCT(--ISNUMBER(SEARCH(abortion,C134)))&gt;0)</f>
        <v>0</v>
      </c>
      <c r="W134" s="14" cm="1">
        <f t="array" ref="W134">INT(SUMPRODUCT(--ISNUMBER(SEARCH(trump,C134)))&gt;0)</f>
        <v>0</v>
      </c>
      <c r="X134" s="14" cm="1">
        <f t="array" ref="X134">INT(SUMPRODUCT(--ISNUMBER(SEARCH(voting,C134)))&gt;0)</f>
        <v>0</v>
      </c>
      <c r="Y134" s="35" cm="1">
        <f t="array" ref="Y134">INT(SUMPRODUCT(--ISNUMBER(SEARCH(republicantrigger,C134)))&gt;0)</f>
        <v>1</v>
      </c>
      <c r="Z134" s="35" cm="1">
        <f t="array" ref="Z134">INT(SUMPRODUCT(--ISNUMBER(SEARCH(bipartisan,C134)))&gt;0)</f>
        <v>0</v>
      </c>
      <c r="AA134" s="35">
        <f t="shared" si="2"/>
        <v>0</v>
      </c>
      <c r="AB134" s="14"/>
      <c r="AC134" s="30">
        <v>0</v>
      </c>
      <c r="AD134" s="37">
        <v>1</v>
      </c>
    </row>
    <row r="135" spans="1:30" x14ac:dyDescent="0.25">
      <c r="A135" s="36">
        <v>3358</v>
      </c>
      <c r="B135" s="14" t="s">
        <v>6741</v>
      </c>
      <c r="C135" s="31" t="s">
        <v>6742</v>
      </c>
      <c r="D135" s="17">
        <v>44119</v>
      </c>
      <c r="E135" s="14" t="s">
        <v>70</v>
      </c>
      <c r="F135" s="14">
        <v>25</v>
      </c>
      <c r="G135" s="14">
        <v>7</v>
      </c>
      <c r="H135" s="14">
        <v>15</v>
      </c>
      <c r="I135" s="14">
        <v>8</v>
      </c>
      <c r="J135" s="14" t="s">
        <v>31</v>
      </c>
      <c r="K135" s="14" cm="1">
        <f t="array" ref="K135">INT(SUMPRODUCT(--ISNUMBER(SEARCH(economy,C135)))&gt;0)</f>
        <v>0</v>
      </c>
      <c r="L135" s="14" cm="1">
        <f t="array" ref="L135">INT(SUMPRODUCT(--ISNUMBER(SEARCH(healthcare,C135)))&gt;0)</f>
        <v>0</v>
      </c>
      <c r="M135" s="14" cm="1">
        <f t="array" ref="M135">INT(SUMPRODUCT(--ISNUMBER(SEARCH(supreme,C135)))&gt;0)</f>
        <v>0</v>
      </c>
      <c r="N135" s="14" cm="1">
        <f t="array" ref="N135">INT(SUMPRODUCT(--ISNUMBER(SEARCH(covid,C135)))&gt;0)</f>
        <v>0</v>
      </c>
      <c r="O135" s="14" cm="1">
        <f t="array" ref="O135">INT(SUMPRODUCT(--ISNUMBER(SEARCH(violent,C135)))&gt;0)</f>
        <v>0</v>
      </c>
      <c r="P135" s="14" cm="1">
        <f t="array" ref="P135">INT(SUMPRODUCT(--ISNUMBER(SEARCH(foreign,C135)))&gt;0)</f>
        <v>0</v>
      </c>
      <c r="Q135" s="14" cm="1">
        <f t="array" ref="Q135">INT(SUMPRODUCT(--ISNUMBER(SEARCH(gun,C135)))&gt;0)</f>
        <v>0</v>
      </c>
      <c r="R135" s="14" cm="1">
        <f t="array" ref="R135">INT(SUMPRODUCT(--ISNUMBER(SEARCH(race,C135)))&gt;0)</f>
        <v>0</v>
      </c>
      <c r="S135" s="14" cm="1">
        <f t="array" ref="S135">INT(SUMPRODUCT(--ISNUMBER(SEARCH(immigration,C135)))&gt;0)</f>
        <v>0</v>
      </c>
      <c r="T135" s="14" cm="1">
        <f t="array" ref="T135">INT(SUMPRODUCT(--ISNUMBER(SEARCH(econineq,C136)))&gt;0)</f>
        <v>0</v>
      </c>
      <c r="U135" s="14" cm="1">
        <f t="array" ref="U135">INT(SUMPRODUCT(--ISNUMBER(SEARCH(climate,C135)))&gt;0)</f>
        <v>0</v>
      </c>
      <c r="V135" s="14" cm="1">
        <f t="array" ref="V135">INT(SUMPRODUCT(--ISNUMBER(SEARCH(abortion,C135)))&gt;0)</f>
        <v>0</v>
      </c>
      <c r="W135" s="14" cm="1">
        <f t="array" ref="W135">INT(SUMPRODUCT(--ISNUMBER(SEARCH(trump,C135)))&gt;0)</f>
        <v>0</v>
      </c>
      <c r="X135" s="14" cm="1">
        <f t="array" ref="X135">INT(SUMPRODUCT(--ISNUMBER(SEARCH(voting,C135)))&gt;0)</f>
        <v>0</v>
      </c>
      <c r="Y135" s="35" cm="1">
        <f t="array" ref="Y135">INT(SUMPRODUCT(--ISNUMBER(SEARCH(republicantrigger,C135)))&gt;0)</f>
        <v>0</v>
      </c>
      <c r="Z135" s="35" cm="1">
        <f t="array" ref="Z135">INT(SUMPRODUCT(--ISNUMBER(SEARCH(bipartisan,C135)))&gt;0)</f>
        <v>0</v>
      </c>
      <c r="AA135" s="35">
        <f t="shared" si="2"/>
        <v>1</v>
      </c>
      <c r="AB135" s="14"/>
      <c r="AC135" s="30" t="s">
        <v>223</v>
      </c>
      <c r="AD135" s="37" t="s">
        <v>223</v>
      </c>
    </row>
    <row r="136" spans="1:30" x14ac:dyDescent="0.25">
      <c r="A136" s="36">
        <v>3359</v>
      </c>
      <c r="B136" s="14" t="s">
        <v>6743</v>
      </c>
      <c r="C136" s="31" t="s">
        <v>6744</v>
      </c>
      <c r="D136" s="17">
        <v>44119</v>
      </c>
      <c r="E136" s="14" t="s">
        <v>30</v>
      </c>
      <c r="F136" s="14">
        <v>42</v>
      </c>
      <c r="G136" s="14">
        <v>22</v>
      </c>
      <c r="H136" s="14">
        <v>15</v>
      </c>
      <c r="I136" s="14">
        <v>8</v>
      </c>
      <c r="J136" s="14" t="s">
        <v>31</v>
      </c>
      <c r="K136" s="14" cm="1">
        <f t="array" ref="K136">INT(SUMPRODUCT(--ISNUMBER(SEARCH(economy,C136)))&gt;0)</f>
        <v>0</v>
      </c>
      <c r="L136" s="14" cm="1">
        <f t="array" ref="L136">INT(SUMPRODUCT(--ISNUMBER(SEARCH(healthcare,C136)))&gt;0)</f>
        <v>0</v>
      </c>
      <c r="M136" s="14" cm="1">
        <f t="array" ref="M136">INT(SUMPRODUCT(--ISNUMBER(SEARCH(supreme,C136)))&gt;0)</f>
        <v>0</v>
      </c>
      <c r="N136" s="14" cm="1">
        <f t="array" ref="N136">INT(SUMPRODUCT(--ISNUMBER(SEARCH(covid,C136)))&gt;0)</f>
        <v>0</v>
      </c>
      <c r="O136" s="14" cm="1">
        <f t="array" ref="O136">INT(SUMPRODUCT(--ISNUMBER(SEARCH(violent,C136)))&gt;0)</f>
        <v>0</v>
      </c>
      <c r="P136" s="14" cm="1">
        <f t="array" ref="P136">INT(SUMPRODUCT(--ISNUMBER(SEARCH(foreign,C136)))&gt;0)</f>
        <v>0</v>
      </c>
      <c r="Q136" s="14" cm="1">
        <f t="array" ref="Q136">INT(SUMPRODUCT(--ISNUMBER(SEARCH(gun,C136)))&gt;0)</f>
        <v>0</v>
      </c>
      <c r="R136" s="14" cm="1">
        <f t="array" ref="R136">INT(SUMPRODUCT(--ISNUMBER(SEARCH(race,C136)))&gt;0)</f>
        <v>0</v>
      </c>
      <c r="S136" s="14" cm="1">
        <f t="array" ref="S136">INT(SUMPRODUCT(--ISNUMBER(SEARCH(immigration,C136)))&gt;0)</f>
        <v>0</v>
      </c>
      <c r="T136" s="14" cm="1">
        <f t="array" ref="T136">INT(SUMPRODUCT(--ISNUMBER(SEARCH(econineq,C137)))&gt;0)</f>
        <v>0</v>
      </c>
      <c r="U136" s="14" cm="1">
        <f t="array" ref="U136">INT(SUMPRODUCT(--ISNUMBER(SEARCH(climate,C136)))&gt;0)</f>
        <v>0</v>
      </c>
      <c r="V136" s="14" cm="1">
        <f t="array" ref="V136">INT(SUMPRODUCT(--ISNUMBER(SEARCH(abortion,C136)))&gt;0)</f>
        <v>0</v>
      </c>
      <c r="W136" s="14" cm="1">
        <f t="array" ref="W136">INT(SUMPRODUCT(--ISNUMBER(SEARCH(trump,C136)))&gt;0)</f>
        <v>0</v>
      </c>
      <c r="X136" s="14" cm="1">
        <f t="array" ref="X136">INT(SUMPRODUCT(--ISNUMBER(SEARCH(voting,C136)))&gt;0)</f>
        <v>0</v>
      </c>
      <c r="Y136" s="35" cm="1">
        <f t="array" ref="Y136">INT(SUMPRODUCT(--ISNUMBER(SEARCH(republicantrigger,C136)))&gt;0)</f>
        <v>1</v>
      </c>
      <c r="Z136" s="35" cm="1">
        <f t="array" ref="Z136">INT(SUMPRODUCT(--ISNUMBER(SEARCH(bipartisan,C136)))&gt;0)</f>
        <v>0</v>
      </c>
      <c r="AA136" s="35">
        <f t="shared" si="2"/>
        <v>0</v>
      </c>
      <c r="AB136" s="14"/>
      <c r="AC136" s="30" t="s">
        <v>223</v>
      </c>
      <c r="AD136" s="37" t="s">
        <v>223</v>
      </c>
    </row>
    <row r="137" spans="1:30" x14ac:dyDescent="0.25">
      <c r="A137" s="36">
        <v>3360</v>
      </c>
      <c r="B137" s="14" t="s">
        <v>6745</v>
      </c>
      <c r="C137" s="31" t="s">
        <v>6746</v>
      </c>
      <c r="D137" s="17">
        <v>44119</v>
      </c>
      <c r="E137" s="14" t="s">
        <v>30</v>
      </c>
      <c r="F137" s="14">
        <v>31</v>
      </c>
      <c r="G137" s="14">
        <v>12</v>
      </c>
      <c r="H137" s="14">
        <v>15</v>
      </c>
      <c r="I137" s="14">
        <v>8</v>
      </c>
      <c r="J137" s="14" t="s">
        <v>31</v>
      </c>
      <c r="K137" s="14" cm="1">
        <f t="array" ref="K137">INT(SUMPRODUCT(--ISNUMBER(SEARCH(economy,C137)))&gt;0)</f>
        <v>0</v>
      </c>
      <c r="L137" s="14" cm="1">
        <f t="array" ref="L137">INT(SUMPRODUCT(--ISNUMBER(SEARCH(healthcare,C137)))&gt;0)</f>
        <v>0</v>
      </c>
      <c r="M137" s="14" cm="1">
        <f t="array" ref="M137">INT(SUMPRODUCT(--ISNUMBER(SEARCH(supreme,C137)))&gt;0)</f>
        <v>0</v>
      </c>
      <c r="N137" s="14" cm="1">
        <f t="array" ref="N137">INT(SUMPRODUCT(--ISNUMBER(SEARCH(covid,C137)))&gt;0)</f>
        <v>0</v>
      </c>
      <c r="O137" s="14" cm="1">
        <f t="array" ref="O137">INT(SUMPRODUCT(--ISNUMBER(SEARCH(violent,C137)))&gt;0)</f>
        <v>0</v>
      </c>
      <c r="P137" s="14" cm="1">
        <f t="array" ref="P137">INT(SUMPRODUCT(--ISNUMBER(SEARCH(foreign,C137)))&gt;0)</f>
        <v>0</v>
      </c>
      <c r="Q137" s="14" cm="1">
        <f t="array" ref="Q137">INT(SUMPRODUCT(--ISNUMBER(SEARCH(gun,C137)))&gt;0)</f>
        <v>0</v>
      </c>
      <c r="R137" s="14" cm="1">
        <f t="array" ref="R137">INT(SUMPRODUCT(--ISNUMBER(SEARCH(race,C137)))&gt;0)</f>
        <v>0</v>
      </c>
      <c r="S137" s="14" cm="1">
        <f t="array" ref="S137">INT(SUMPRODUCT(--ISNUMBER(SEARCH(immigration,C137)))&gt;0)</f>
        <v>0</v>
      </c>
      <c r="T137" s="14" cm="1">
        <f t="array" ref="T137">INT(SUMPRODUCT(--ISNUMBER(SEARCH(econineq,C138)))&gt;0)</f>
        <v>0</v>
      </c>
      <c r="U137" s="14" cm="1">
        <f t="array" ref="U137">INT(SUMPRODUCT(--ISNUMBER(SEARCH(climate,C137)))&gt;0)</f>
        <v>1</v>
      </c>
      <c r="V137" s="14" cm="1">
        <f t="array" ref="V137">INT(SUMPRODUCT(--ISNUMBER(SEARCH(abortion,C137)))&gt;0)</f>
        <v>0</v>
      </c>
      <c r="W137" s="14" cm="1">
        <f t="array" ref="W137">INT(SUMPRODUCT(--ISNUMBER(SEARCH(trump,C137)))&gt;0)</f>
        <v>0</v>
      </c>
      <c r="X137" s="14" cm="1">
        <f t="array" ref="X137">INT(SUMPRODUCT(--ISNUMBER(SEARCH(voting,C137)))&gt;0)</f>
        <v>0</v>
      </c>
      <c r="Y137" s="35" cm="1">
        <f t="array" ref="Y137">INT(SUMPRODUCT(--ISNUMBER(SEARCH(republicantrigger,C137)))&gt;0)</f>
        <v>1</v>
      </c>
      <c r="Z137" s="35" cm="1">
        <f t="array" ref="Z137">INT(SUMPRODUCT(--ISNUMBER(SEARCH(bipartisan,C137)))&gt;0)</f>
        <v>0</v>
      </c>
      <c r="AA137" s="35">
        <f t="shared" si="2"/>
        <v>0</v>
      </c>
      <c r="AB137" s="14"/>
      <c r="AC137" s="30">
        <v>1</v>
      </c>
      <c r="AD137" s="37">
        <v>0</v>
      </c>
    </row>
    <row r="138" spans="1:30" x14ac:dyDescent="0.25">
      <c r="A138" s="36">
        <v>3361</v>
      </c>
      <c r="B138" s="14" t="s">
        <v>6747</v>
      </c>
      <c r="C138" s="31" t="s">
        <v>6748</v>
      </c>
      <c r="D138" s="17">
        <v>44119</v>
      </c>
      <c r="E138" s="14" t="s">
        <v>30</v>
      </c>
      <c r="F138" s="14">
        <v>80</v>
      </c>
      <c r="G138" s="14">
        <v>39</v>
      </c>
      <c r="H138" s="14">
        <v>15</v>
      </c>
      <c r="I138" s="14">
        <v>8</v>
      </c>
      <c r="J138" s="14" t="s">
        <v>31</v>
      </c>
      <c r="K138" s="14" cm="1">
        <f t="array" ref="K138">INT(SUMPRODUCT(--ISNUMBER(SEARCH(economy,C138)))&gt;0)</f>
        <v>1</v>
      </c>
      <c r="L138" s="14" cm="1">
        <f t="array" ref="L138">INT(SUMPRODUCT(--ISNUMBER(SEARCH(healthcare,C138)))&gt;0)</f>
        <v>0</v>
      </c>
      <c r="M138" s="14" cm="1">
        <f t="array" ref="M138">INT(SUMPRODUCT(--ISNUMBER(SEARCH(supreme,C138)))&gt;0)</f>
        <v>0</v>
      </c>
      <c r="N138" s="14" cm="1">
        <f t="array" ref="N138">INT(SUMPRODUCT(--ISNUMBER(SEARCH(covid,C138)))&gt;0)</f>
        <v>0</v>
      </c>
      <c r="O138" s="14" cm="1">
        <f t="array" ref="O138">INT(SUMPRODUCT(--ISNUMBER(SEARCH(violent,C138)))&gt;0)</f>
        <v>0</v>
      </c>
      <c r="P138" s="14" cm="1">
        <f t="array" ref="P138">INT(SUMPRODUCT(--ISNUMBER(SEARCH(foreign,C138)))&gt;0)</f>
        <v>0</v>
      </c>
      <c r="Q138" s="14" cm="1">
        <f t="array" ref="Q138">INT(SUMPRODUCT(--ISNUMBER(SEARCH(gun,C138)))&gt;0)</f>
        <v>0</v>
      </c>
      <c r="R138" s="14" cm="1">
        <f t="array" ref="R138">INT(SUMPRODUCT(--ISNUMBER(SEARCH(race,C138)))&gt;0)</f>
        <v>0</v>
      </c>
      <c r="S138" s="14" cm="1">
        <f t="array" ref="S138">INT(SUMPRODUCT(--ISNUMBER(SEARCH(immigration,C138)))&gt;0)</f>
        <v>0</v>
      </c>
      <c r="T138" s="14" cm="1">
        <f t="array" ref="T138">INT(SUMPRODUCT(--ISNUMBER(SEARCH(econineq,C139)))&gt;0)</f>
        <v>0</v>
      </c>
      <c r="U138" s="14" cm="1">
        <f t="array" ref="U138">INT(SUMPRODUCT(--ISNUMBER(SEARCH(climate,C138)))&gt;0)</f>
        <v>0</v>
      </c>
      <c r="V138" s="14" cm="1">
        <f t="array" ref="V138">INT(SUMPRODUCT(--ISNUMBER(SEARCH(abortion,C138)))&gt;0)</f>
        <v>0</v>
      </c>
      <c r="W138" s="14" cm="1">
        <f t="array" ref="W138">INT(SUMPRODUCT(--ISNUMBER(SEARCH(trump,C138)))&gt;0)</f>
        <v>0</v>
      </c>
      <c r="X138" s="14" cm="1">
        <f t="array" ref="X138">INT(SUMPRODUCT(--ISNUMBER(SEARCH(voting,C138)))&gt;0)</f>
        <v>1</v>
      </c>
      <c r="Y138" s="35" cm="1">
        <f t="array" ref="Y138">INT(SUMPRODUCT(--ISNUMBER(SEARCH(republicantrigger,C138)))&gt;0)</f>
        <v>0</v>
      </c>
      <c r="Z138" s="35" cm="1">
        <f t="array" ref="Z138">INT(SUMPRODUCT(--ISNUMBER(SEARCH(bipartisan,C138)))&gt;0)</f>
        <v>0</v>
      </c>
      <c r="AA138" s="35">
        <f t="shared" si="2"/>
        <v>0</v>
      </c>
      <c r="AB138" s="14"/>
      <c r="AC138" s="30">
        <v>0</v>
      </c>
      <c r="AD138" s="37">
        <v>1</v>
      </c>
    </row>
    <row r="139" spans="1:30" x14ac:dyDescent="0.25">
      <c r="A139" s="36">
        <v>3362</v>
      </c>
      <c r="B139" s="14" t="s">
        <v>6749</v>
      </c>
      <c r="C139" s="31" t="s">
        <v>6750</v>
      </c>
      <c r="D139" s="17">
        <v>44119</v>
      </c>
      <c r="E139" s="14" t="s">
        <v>30</v>
      </c>
      <c r="F139" s="14">
        <v>139</v>
      </c>
      <c r="G139" s="14">
        <v>51</v>
      </c>
      <c r="H139" s="14">
        <v>15</v>
      </c>
      <c r="I139" s="14">
        <v>8</v>
      </c>
      <c r="J139" s="14" t="s">
        <v>31</v>
      </c>
      <c r="K139" s="14" cm="1">
        <f t="array" ref="K139">INT(SUMPRODUCT(--ISNUMBER(SEARCH(economy,C139)))&gt;0)</f>
        <v>0</v>
      </c>
      <c r="L139" s="14" cm="1">
        <f t="array" ref="L139">INT(SUMPRODUCT(--ISNUMBER(SEARCH(healthcare,C139)))&gt;0)</f>
        <v>0</v>
      </c>
      <c r="M139" s="14" cm="1">
        <f t="array" ref="M139">INT(SUMPRODUCT(--ISNUMBER(SEARCH(supreme,C139)))&gt;0)</f>
        <v>0</v>
      </c>
      <c r="N139" s="14" cm="1">
        <f t="array" ref="N139">INT(SUMPRODUCT(--ISNUMBER(SEARCH(covid,C139)))&gt;0)</f>
        <v>0</v>
      </c>
      <c r="O139" s="14" cm="1">
        <f t="array" ref="O139">INT(SUMPRODUCT(--ISNUMBER(SEARCH(violent,C139)))&gt;0)</f>
        <v>0</v>
      </c>
      <c r="P139" s="14" cm="1">
        <f t="array" ref="P139">INT(SUMPRODUCT(--ISNUMBER(SEARCH(foreign,C139)))&gt;0)</f>
        <v>0</v>
      </c>
      <c r="Q139" s="14" cm="1">
        <f t="array" ref="Q139">INT(SUMPRODUCT(--ISNUMBER(SEARCH(gun,C139)))&gt;0)</f>
        <v>0</v>
      </c>
      <c r="R139" s="14" cm="1">
        <f t="array" ref="R139">INT(SUMPRODUCT(--ISNUMBER(SEARCH(race,C139)))&gt;0)</f>
        <v>0</v>
      </c>
      <c r="S139" s="14" cm="1">
        <f t="array" ref="S139">INT(SUMPRODUCT(--ISNUMBER(SEARCH(immigration,C139)))&gt;0)</f>
        <v>0</v>
      </c>
      <c r="T139" s="14" cm="1">
        <f t="array" ref="T139">INT(SUMPRODUCT(--ISNUMBER(SEARCH(econineq,C140)))&gt;0)</f>
        <v>0</v>
      </c>
      <c r="U139" s="14" cm="1">
        <f t="array" ref="U139">INT(SUMPRODUCT(--ISNUMBER(SEARCH(climate,C139)))&gt;0)</f>
        <v>0</v>
      </c>
      <c r="V139" s="14" cm="1">
        <f t="array" ref="V139">INT(SUMPRODUCT(--ISNUMBER(SEARCH(abortion,C139)))&gt;0)</f>
        <v>0</v>
      </c>
      <c r="W139" s="14" cm="1">
        <f t="array" ref="W139">INT(SUMPRODUCT(--ISNUMBER(SEARCH(trump,C139)))&gt;0)</f>
        <v>0</v>
      </c>
      <c r="X139" s="14" cm="1">
        <f t="array" ref="X139">INT(SUMPRODUCT(--ISNUMBER(SEARCH(voting,C139)))&gt;0)</f>
        <v>0</v>
      </c>
      <c r="Y139" s="35" cm="1">
        <f t="array" ref="Y139">INT(SUMPRODUCT(--ISNUMBER(SEARCH(republicantrigger,C139)))&gt;0)</f>
        <v>1</v>
      </c>
      <c r="Z139" s="35" cm="1">
        <f t="array" ref="Z139">INT(SUMPRODUCT(--ISNUMBER(SEARCH(bipartisan,C139)))&gt;0)</f>
        <v>0</v>
      </c>
      <c r="AA139" s="35">
        <f t="shared" si="2"/>
        <v>0</v>
      </c>
      <c r="AB139" s="14"/>
      <c r="AC139" s="30" t="s">
        <v>223</v>
      </c>
      <c r="AD139" s="37" t="s">
        <v>223</v>
      </c>
    </row>
    <row r="140" spans="1:30" x14ac:dyDescent="0.25">
      <c r="A140" s="36">
        <v>3363</v>
      </c>
      <c r="B140" s="14" t="s">
        <v>6751</v>
      </c>
      <c r="C140" s="31" t="s">
        <v>6752</v>
      </c>
      <c r="D140" s="17">
        <v>44119</v>
      </c>
      <c r="E140" s="14" t="s">
        <v>30</v>
      </c>
      <c r="F140" s="14">
        <v>107</v>
      </c>
      <c r="G140" s="14">
        <v>63</v>
      </c>
      <c r="H140" s="14">
        <v>15</v>
      </c>
      <c r="I140" s="14">
        <v>8</v>
      </c>
      <c r="J140" s="14" t="s">
        <v>31</v>
      </c>
      <c r="K140" s="14" cm="1">
        <f t="array" ref="K140">INT(SUMPRODUCT(--ISNUMBER(SEARCH(economy,C140)))&gt;0)</f>
        <v>0</v>
      </c>
      <c r="L140" s="14" cm="1">
        <f t="array" ref="L140">INT(SUMPRODUCT(--ISNUMBER(SEARCH(healthcare,C140)))&gt;0)</f>
        <v>0</v>
      </c>
      <c r="M140" s="14" cm="1">
        <f t="array" ref="M140">INT(SUMPRODUCT(--ISNUMBER(SEARCH(supreme,C140)))&gt;0)</f>
        <v>0</v>
      </c>
      <c r="N140" s="14" cm="1">
        <f t="array" ref="N140">INT(SUMPRODUCT(--ISNUMBER(SEARCH(covid,C140)))&gt;0)</f>
        <v>0</v>
      </c>
      <c r="O140" s="14" cm="1">
        <f t="array" ref="O140">INT(SUMPRODUCT(--ISNUMBER(SEARCH(violent,C140)))&gt;0)</f>
        <v>0</v>
      </c>
      <c r="P140" s="14" cm="1">
        <f t="array" ref="P140">INT(SUMPRODUCT(--ISNUMBER(SEARCH(foreign,C140)))&gt;0)</f>
        <v>0</v>
      </c>
      <c r="Q140" s="14" cm="1">
        <f t="array" ref="Q140">INT(SUMPRODUCT(--ISNUMBER(SEARCH(gun,C140)))&gt;0)</f>
        <v>0</v>
      </c>
      <c r="R140" s="14" cm="1">
        <f t="array" ref="R140">INT(SUMPRODUCT(--ISNUMBER(SEARCH(race,C140)))&gt;0)</f>
        <v>0</v>
      </c>
      <c r="S140" s="14" cm="1">
        <f t="array" ref="S140">INT(SUMPRODUCT(--ISNUMBER(SEARCH(immigration,C140)))&gt;0)</f>
        <v>0</v>
      </c>
      <c r="T140" s="14" cm="1">
        <f t="array" ref="T140">INT(SUMPRODUCT(--ISNUMBER(SEARCH(econineq,C141)))&gt;0)</f>
        <v>0</v>
      </c>
      <c r="U140" s="14" cm="1">
        <f t="array" ref="U140">INT(SUMPRODUCT(--ISNUMBER(SEARCH(climate,C140)))&gt;0)</f>
        <v>0</v>
      </c>
      <c r="V140" s="14" cm="1">
        <f t="array" ref="V140">INT(SUMPRODUCT(--ISNUMBER(SEARCH(abortion,C140)))&gt;0)</f>
        <v>0</v>
      </c>
      <c r="W140" s="14" cm="1">
        <f t="array" ref="W140">INT(SUMPRODUCT(--ISNUMBER(SEARCH(trump,C140)))&gt;0)</f>
        <v>0</v>
      </c>
      <c r="X140" s="14" cm="1">
        <f t="array" ref="X140">INT(SUMPRODUCT(--ISNUMBER(SEARCH(voting,C140)))&gt;0)</f>
        <v>0</v>
      </c>
      <c r="Y140" s="35" cm="1">
        <f t="array" ref="Y140">INT(SUMPRODUCT(--ISNUMBER(SEARCH(republicantrigger,C140)))&gt;0)</f>
        <v>1</v>
      </c>
      <c r="Z140" s="35" cm="1">
        <f t="array" ref="Z140">INT(SUMPRODUCT(--ISNUMBER(SEARCH(bipartisan,C140)))&gt;0)</f>
        <v>0</v>
      </c>
      <c r="AA140" s="35">
        <f t="shared" si="2"/>
        <v>0</v>
      </c>
      <c r="AB140" s="14"/>
      <c r="AC140" s="30">
        <v>0</v>
      </c>
      <c r="AD140" s="37">
        <v>1</v>
      </c>
    </row>
    <row r="141" spans="1:30" x14ac:dyDescent="0.25">
      <c r="A141" s="36">
        <v>3364</v>
      </c>
      <c r="B141" s="14" t="s">
        <v>6753</v>
      </c>
      <c r="C141" s="31" t="s">
        <v>6754</v>
      </c>
      <c r="D141" s="17">
        <v>44119</v>
      </c>
      <c r="E141" s="14" t="s">
        <v>30</v>
      </c>
      <c r="F141" s="14">
        <v>29</v>
      </c>
      <c r="G141" s="14">
        <v>9</v>
      </c>
      <c r="H141" s="14">
        <v>15</v>
      </c>
      <c r="I141" s="14">
        <v>8</v>
      </c>
      <c r="J141" s="14" t="s">
        <v>31</v>
      </c>
      <c r="K141" s="14" cm="1">
        <f t="array" ref="K141">INT(SUMPRODUCT(--ISNUMBER(SEARCH(economy,C141)))&gt;0)</f>
        <v>1</v>
      </c>
      <c r="L141" s="14" cm="1">
        <f t="array" ref="L141">INT(SUMPRODUCT(--ISNUMBER(SEARCH(healthcare,C141)))&gt;0)</f>
        <v>0</v>
      </c>
      <c r="M141" s="14" cm="1">
        <f t="array" ref="M141">INT(SUMPRODUCT(--ISNUMBER(SEARCH(supreme,C141)))&gt;0)</f>
        <v>0</v>
      </c>
      <c r="N141" s="14" cm="1">
        <f t="array" ref="N141">INT(SUMPRODUCT(--ISNUMBER(SEARCH(covid,C141)))&gt;0)</f>
        <v>0</v>
      </c>
      <c r="O141" s="14" cm="1">
        <f t="array" ref="O141">INT(SUMPRODUCT(--ISNUMBER(SEARCH(violent,C141)))&gt;0)</f>
        <v>0</v>
      </c>
      <c r="P141" s="14" cm="1">
        <f t="array" ref="P141">INT(SUMPRODUCT(--ISNUMBER(SEARCH(foreign,C141)))&gt;0)</f>
        <v>0</v>
      </c>
      <c r="Q141" s="14" cm="1">
        <f t="array" ref="Q141">INT(SUMPRODUCT(--ISNUMBER(SEARCH(gun,C141)))&gt;0)</f>
        <v>0</v>
      </c>
      <c r="R141" s="14" cm="1">
        <f t="array" ref="R141">INT(SUMPRODUCT(--ISNUMBER(SEARCH(race,C141)))&gt;0)</f>
        <v>0</v>
      </c>
      <c r="S141" s="14" cm="1">
        <f t="array" ref="S141">INT(SUMPRODUCT(--ISNUMBER(SEARCH(immigration,C141)))&gt;0)</f>
        <v>0</v>
      </c>
      <c r="T141" s="14" cm="1">
        <f t="array" ref="T141">INT(SUMPRODUCT(--ISNUMBER(SEARCH(econineq,C142)))&gt;0)</f>
        <v>0</v>
      </c>
      <c r="U141" s="14" cm="1">
        <f t="array" ref="U141">INT(SUMPRODUCT(--ISNUMBER(SEARCH(climate,C141)))&gt;0)</f>
        <v>0</v>
      </c>
      <c r="V141" s="14" cm="1">
        <f t="array" ref="V141">INT(SUMPRODUCT(--ISNUMBER(SEARCH(abortion,C141)))&gt;0)</f>
        <v>0</v>
      </c>
      <c r="W141" s="14" cm="1">
        <f t="array" ref="W141">INT(SUMPRODUCT(--ISNUMBER(SEARCH(trump,C141)))&gt;0)</f>
        <v>0</v>
      </c>
      <c r="X141" s="14" cm="1">
        <f t="array" ref="X141">INT(SUMPRODUCT(--ISNUMBER(SEARCH(voting,C141)))&gt;0)</f>
        <v>0</v>
      </c>
      <c r="Y141" s="35" cm="1">
        <f t="array" ref="Y141">INT(SUMPRODUCT(--ISNUMBER(SEARCH(republicantrigger,C141)))&gt;0)</f>
        <v>0</v>
      </c>
      <c r="Z141" s="35" cm="1">
        <f t="array" ref="Z141">INT(SUMPRODUCT(--ISNUMBER(SEARCH(bipartisan,C141)))&gt;0)</f>
        <v>0</v>
      </c>
      <c r="AA141" s="35">
        <f t="shared" si="2"/>
        <v>0</v>
      </c>
      <c r="AB141" s="14"/>
      <c r="AC141" s="30" t="s">
        <v>223</v>
      </c>
      <c r="AD141" s="37" t="s">
        <v>223</v>
      </c>
    </row>
    <row r="142" spans="1:30" x14ac:dyDescent="0.25">
      <c r="A142" s="36">
        <v>3365</v>
      </c>
      <c r="B142" s="14" t="s">
        <v>6755</v>
      </c>
      <c r="C142" s="31" t="s">
        <v>6756</v>
      </c>
      <c r="D142" s="17">
        <v>44118</v>
      </c>
      <c r="E142" s="14" t="s">
        <v>30</v>
      </c>
      <c r="F142" s="14">
        <v>66</v>
      </c>
      <c r="G142" s="14">
        <v>30</v>
      </c>
      <c r="H142" s="14">
        <v>15</v>
      </c>
      <c r="I142" s="14">
        <v>8</v>
      </c>
      <c r="J142" s="14" t="s">
        <v>31</v>
      </c>
      <c r="K142" s="14" cm="1">
        <f t="array" ref="K142">INT(SUMPRODUCT(--ISNUMBER(SEARCH(economy,C142)))&gt;0)</f>
        <v>0</v>
      </c>
      <c r="L142" s="14" cm="1">
        <f t="array" ref="L142">INT(SUMPRODUCT(--ISNUMBER(SEARCH(healthcare,C142)))&gt;0)</f>
        <v>0</v>
      </c>
      <c r="M142" s="14" cm="1">
        <f t="array" ref="M142">INT(SUMPRODUCT(--ISNUMBER(SEARCH(supreme,C142)))&gt;0)</f>
        <v>0</v>
      </c>
      <c r="N142" s="14" cm="1">
        <f t="array" ref="N142">INT(SUMPRODUCT(--ISNUMBER(SEARCH(covid,C142)))&gt;0)</f>
        <v>0</v>
      </c>
      <c r="O142" s="14" cm="1">
        <f t="array" ref="O142">INT(SUMPRODUCT(--ISNUMBER(SEARCH(violent,C142)))&gt;0)</f>
        <v>0</v>
      </c>
      <c r="P142" s="14" cm="1">
        <f t="array" ref="P142">INT(SUMPRODUCT(--ISNUMBER(SEARCH(foreign,C142)))&gt;0)</f>
        <v>0</v>
      </c>
      <c r="Q142" s="14" cm="1">
        <f t="array" ref="Q142">INT(SUMPRODUCT(--ISNUMBER(SEARCH(gun,C142)))&gt;0)</f>
        <v>0</v>
      </c>
      <c r="R142" s="14" cm="1">
        <f t="array" ref="R142">INT(SUMPRODUCT(--ISNUMBER(SEARCH(race,C142)))&gt;0)</f>
        <v>0</v>
      </c>
      <c r="S142" s="14" cm="1">
        <f t="array" ref="S142">INT(SUMPRODUCT(--ISNUMBER(SEARCH(immigration,C142)))&gt;0)</f>
        <v>0</v>
      </c>
      <c r="T142" s="14" cm="1">
        <f t="array" ref="T142">INT(SUMPRODUCT(--ISNUMBER(SEARCH(econineq,C143)))&gt;0)</f>
        <v>0</v>
      </c>
      <c r="U142" s="14" cm="1">
        <f t="array" ref="U142">INT(SUMPRODUCT(--ISNUMBER(SEARCH(climate,C142)))&gt;0)</f>
        <v>0</v>
      </c>
      <c r="V142" s="14" cm="1">
        <f t="array" ref="V142">INT(SUMPRODUCT(--ISNUMBER(SEARCH(abortion,C142)))&gt;0)</f>
        <v>0</v>
      </c>
      <c r="W142" s="14" cm="1">
        <f t="array" ref="W142">INT(SUMPRODUCT(--ISNUMBER(SEARCH(trump,C142)))&gt;0)</f>
        <v>0</v>
      </c>
      <c r="X142" s="14" cm="1">
        <f t="array" ref="X142">INT(SUMPRODUCT(--ISNUMBER(SEARCH(voting,C142)))&gt;0)</f>
        <v>1</v>
      </c>
      <c r="Y142" s="35" cm="1">
        <f t="array" ref="Y142">INT(SUMPRODUCT(--ISNUMBER(SEARCH(republicantrigger,C142)))&gt;0)</f>
        <v>1</v>
      </c>
      <c r="Z142" s="35" cm="1">
        <f t="array" ref="Z142">INT(SUMPRODUCT(--ISNUMBER(SEARCH(bipartisan,C142)))&gt;0)</f>
        <v>0</v>
      </c>
      <c r="AA142" s="35">
        <f t="shared" si="2"/>
        <v>0</v>
      </c>
      <c r="AB142" s="14"/>
      <c r="AC142" s="30" t="s">
        <v>223</v>
      </c>
      <c r="AD142" s="37" t="s">
        <v>223</v>
      </c>
    </row>
    <row r="143" spans="1:30" x14ac:dyDescent="0.25">
      <c r="A143" s="36">
        <v>3366</v>
      </c>
      <c r="B143" s="14" t="s">
        <v>6757</v>
      </c>
      <c r="C143" s="31" t="s">
        <v>6758</v>
      </c>
      <c r="D143" s="17">
        <v>44118</v>
      </c>
      <c r="E143" s="14" t="s">
        <v>30</v>
      </c>
      <c r="F143" s="14">
        <v>187</v>
      </c>
      <c r="G143" s="14">
        <v>78</v>
      </c>
      <c r="H143" s="14">
        <v>15</v>
      </c>
      <c r="I143" s="14">
        <v>8</v>
      </c>
      <c r="J143" s="14" t="s">
        <v>31</v>
      </c>
      <c r="K143" s="14" cm="1">
        <f t="array" ref="K143">INT(SUMPRODUCT(--ISNUMBER(SEARCH(economy,C143)))&gt;0)</f>
        <v>0</v>
      </c>
      <c r="L143" s="14" cm="1">
        <f t="array" ref="L143">INT(SUMPRODUCT(--ISNUMBER(SEARCH(healthcare,C143)))&gt;0)</f>
        <v>0</v>
      </c>
      <c r="M143" s="14" cm="1">
        <f t="array" ref="M143">INT(SUMPRODUCT(--ISNUMBER(SEARCH(supreme,C143)))&gt;0)</f>
        <v>0</v>
      </c>
      <c r="N143" s="14" cm="1">
        <f t="array" ref="N143">INT(SUMPRODUCT(--ISNUMBER(SEARCH(covid,C143)))&gt;0)</f>
        <v>0</v>
      </c>
      <c r="O143" s="14" cm="1">
        <f t="array" ref="O143">INT(SUMPRODUCT(--ISNUMBER(SEARCH(violent,C143)))&gt;0)</f>
        <v>0</v>
      </c>
      <c r="P143" s="14" cm="1">
        <f t="array" ref="P143">INT(SUMPRODUCT(--ISNUMBER(SEARCH(foreign,C143)))&gt;0)</f>
        <v>0</v>
      </c>
      <c r="Q143" s="14" cm="1">
        <f t="array" ref="Q143">INT(SUMPRODUCT(--ISNUMBER(SEARCH(gun,C143)))&gt;0)</f>
        <v>0</v>
      </c>
      <c r="R143" s="14" cm="1">
        <f t="array" ref="R143">INT(SUMPRODUCT(--ISNUMBER(SEARCH(race,C143)))&gt;0)</f>
        <v>0</v>
      </c>
      <c r="S143" s="14" cm="1">
        <f t="array" ref="S143">INT(SUMPRODUCT(--ISNUMBER(SEARCH(immigration,C143)))&gt;0)</f>
        <v>0</v>
      </c>
      <c r="T143" s="14" cm="1">
        <f t="array" ref="T143">INT(SUMPRODUCT(--ISNUMBER(SEARCH(econineq,C144)))&gt;0)</f>
        <v>0</v>
      </c>
      <c r="U143" s="14" cm="1">
        <f t="array" ref="U143">INT(SUMPRODUCT(--ISNUMBER(SEARCH(climate,C143)))&gt;0)</f>
        <v>1</v>
      </c>
      <c r="V143" s="14" cm="1">
        <f t="array" ref="V143">INT(SUMPRODUCT(--ISNUMBER(SEARCH(abortion,C143)))&gt;0)</f>
        <v>0</v>
      </c>
      <c r="W143" s="14" cm="1">
        <f t="array" ref="W143">INT(SUMPRODUCT(--ISNUMBER(SEARCH(trump,C143)))&gt;0)</f>
        <v>0</v>
      </c>
      <c r="X143" s="14" cm="1">
        <f t="array" ref="X143">INT(SUMPRODUCT(--ISNUMBER(SEARCH(voting,C143)))&gt;0)</f>
        <v>1</v>
      </c>
      <c r="Y143" s="35" cm="1">
        <f t="array" ref="Y143">INT(SUMPRODUCT(--ISNUMBER(SEARCH(republicantrigger,C143)))&gt;0)</f>
        <v>1</v>
      </c>
      <c r="Z143" s="35" cm="1">
        <f t="array" ref="Z143">INT(SUMPRODUCT(--ISNUMBER(SEARCH(bipartisan,C143)))&gt;0)</f>
        <v>0</v>
      </c>
      <c r="AA143" s="35">
        <f t="shared" si="2"/>
        <v>0</v>
      </c>
      <c r="AB143" s="14"/>
      <c r="AC143" s="30" t="s">
        <v>223</v>
      </c>
      <c r="AD143" s="37" t="s">
        <v>223</v>
      </c>
    </row>
    <row r="144" spans="1:30" x14ac:dyDescent="0.25">
      <c r="A144" s="36">
        <v>3367</v>
      </c>
      <c r="B144" s="14" t="s">
        <v>6759</v>
      </c>
      <c r="C144" s="31" t="s">
        <v>6760</v>
      </c>
      <c r="D144" s="17">
        <v>44117</v>
      </c>
      <c r="E144" s="14" t="s">
        <v>30</v>
      </c>
      <c r="F144" s="14">
        <v>57</v>
      </c>
      <c r="G144" s="14">
        <v>23</v>
      </c>
      <c r="H144" s="14">
        <v>15</v>
      </c>
      <c r="I144" s="14">
        <v>8</v>
      </c>
      <c r="J144" s="14" t="s">
        <v>31</v>
      </c>
      <c r="K144" s="14" cm="1">
        <f t="array" ref="K144">INT(SUMPRODUCT(--ISNUMBER(SEARCH(economy,C144)))&gt;0)</f>
        <v>0</v>
      </c>
      <c r="L144" s="14" cm="1">
        <f t="array" ref="L144">INT(SUMPRODUCT(--ISNUMBER(SEARCH(healthcare,C144)))&gt;0)</f>
        <v>0</v>
      </c>
      <c r="M144" s="14" cm="1">
        <f t="array" ref="M144">INT(SUMPRODUCT(--ISNUMBER(SEARCH(supreme,C144)))&gt;0)</f>
        <v>0</v>
      </c>
      <c r="N144" s="14" cm="1">
        <f t="array" ref="N144">INT(SUMPRODUCT(--ISNUMBER(SEARCH(covid,C144)))&gt;0)</f>
        <v>0</v>
      </c>
      <c r="O144" s="14" cm="1">
        <f t="array" ref="O144">INT(SUMPRODUCT(--ISNUMBER(SEARCH(violent,C144)))&gt;0)</f>
        <v>0</v>
      </c>
      <c r="P144" s="14" cm="1">
        <f t="array" ref="P144">INT(SUMPRODUCT(--ISNUMBER(SEARCH(foreign,C144)))&gt;0)</f>
        <v>0</v>
      </c>
      <c r="Q144" s="14" cm="1">
        <f t="array" ref="Q144">INT(SUMPRODUCT(--ISNUMBER(SEARCH(gun,C144)))&gt;0)</f>
        <v>0</v>
      </c>
      <c r="R144" s="14" cm="1">
        <f t="array" ref="R144">INT(SUMPRODUCT(--ISNUMBER(SEARCH(race,C144)))&gt;0)</f>
        <v>0</v>
      </c>
      <c r="S144" s="14" cm="1">
        <f t="array" ref="S144">INT(SUMPRODUCT(--ISNUMBER(SEARCH(immigration,C144)))&gt;0)</f>
        <v>0</v>
      </c>
      <c r="T144" s="14" cm="1">
        <f t="array" ref="T144">INT(SUMPRODUCT(--ISNUMBER(SEARCH(econineq,C145)))&gt;0)</f>
        <v>0</v>
      </c>
      <c r="U144" s="14" cm="1">
        <f t="array" ref="U144">INT(SUMPRODUCT(--ISNUMBER(SEARCH(climate,C144)))&gt;0)</f>
        <v>1</v>
      </c>
      <c r="V144" s="14" cm="1">
        <f t="array" ref="V144">INT(SUMPRODUCT(--ISNUMBER(SEARCH(abortion,C144)))&gt;0)</f>
        <v>0</v>
      </c>
      <c r="W144" s="14" cm="1">
        <f t="array" ref="W144">INT(SUMPRODUCT(--ISNUMBER(SEARCH(trump,C144)))&gt;0)</f>
        <v>0</v>
      </c>
      <c r="X144" s="14" cm="1">
        <f t="array" ref="X144">INT(SUMPRODUCT(--ISNUMBER(SEARCH(voting,C144)))&gt;0)</f>
        <v>0</v>
      </c>
      <c r="Y144" s="35" cm="1">
        <f t="array" ref="Y144">INT(SUMPRODUCT(--ISNUMBER(SEARCH(republicantrigger,C144)))&gt;0)</f>
        <v>1</v>
      </c>
      <c r="Z144" s="35" cm="1">
        <f t="array" ref="Z144">INT(SUMPRODUCT(--ISNUMBER(SEARCH(bipartisan,C144)))&gt;0)</f>
        <v>0</v>
      </c>
      <c r="AA144" s="35">
        <f t="shared" si="2"/>
        <v>0</v>
      </c>
      <c r="AB144" s="14"/>
      <c r="AC144" s="30">
        <v>0</v>
      </c>
      <c r="AD144" s="37">
        <v>1</v>
      </c>
    </row>
    <row r="145" spans="1:30" x14ac:dyDescent="0.25">
      <c r="A145" s="36">
        <v>3368</v>
      </c>
      <c r="B145" s="14" t="s">
        <v>6761</v>
      </c>
      <c r="C145" s="31" t="s">
        <v>6762</v>
      </c>
      <c r="D145" s="17">
        <v>44117</v>
      </c>
      <c r="E145" s="14" t="s">
        <v>30</v>
      </c>
      <c r="F145" s="14">
        <v>152</v>
      </c>
      <c r="G145" s="14">
        <v>83</v>
      </c>
      <c r="H145" s="14">
        <v>15</v>
      </c>
      <c r="I145" s="14">
        <v>8</v>
      </c>
      <c r="J145" s="14" t="s">
        <v>31</v>
      </c>
      <c r="K145" s="14" cm="1">
        <f t="array" ref="K145">INT(SUMPRODUCT(--ISNUMBER(SEARCH(economy,C145)))&gt;0)</f>
        <v>0</v>
      </c>
      <c r="L145" s="14" cm="1">
        <f t="array" ref="L145">INT(SUMPRODUCT(--ISNUMBER(SEARCH(healthcare,C145)))&gt;0)</f>
        <v>0</v>
      </c>
      <c r="M145" s="14" cm="1">
        <f t="array" ref="M145">INT(SUMPRODUCT(--ISNUMBER(SEARCH(supreme,C145)))&gt;0)</f>
        <v>0</v>
      </c>
      <c r="N145" s="14" cm="1">
        <f t="array" ref="N145">INT(SUMPRODUCT(--ISNUMBER(SEARCH(covid,C145)))&gt;0)</f>
        <v>0</v>
      </c>
      <c r="O145" s="14" cm="1">
        <f t="array" ref="O145">INT(SUMPRODUCT(--ISNUMBER(SEARCH(violent,C145)))&gt;0)</f>
        <v>0</v>
      </c>
      <c r="P145" s="14" cm="1">
        <f t="array" ref="P145">INT(SUMPRODUCT(--ISNUMBER(SEARCH(foreign,C145)))&gt;0)</f>
        <v>0</v>
      </c>
      <c r="Q145" s="14" cm="1">
        <f t="array" ref="Q145">INT(SUMPRODUCT(--ISNUMBER(SEARCH(gun,C145)))&gt;0)</f>
        <v>0</v>
      </c>
      <c r="R145" s="14" cm="1">
        <f t="array" ref="R145">INT(SUMPRODUCT(--ISNUMBER(SEARCH(race,C145)))&gt;0)</f>
        <v>0</v>
      </c>
      <c r="S145" s="14" cm="1">
        <f t="array" ref="S145">INT(SUMPRODUCT(--ISNUMBER(SEARCH(immigration,C145)))&gt;0)</f>
        <v>0</v>
      </c>
      <c r="T145" s="14" cm="1">
        <f t="array" ref="T145">INT(SUMPRODUCT(--ISNUMBER(SEARCH(econineq,C146)))&gt;0)</f>
        <v>0</v>
      </c>
      <c r="U145" s="14" cm="1">
        <f t="array" ref="U145">INT(SUMPRODUCT(--ISNUMBER(SEARCH(climate,C145)))&gt;0)</f>
        <v>0</v>
      </c>
      <c r="V145" s="14" cm="1">
        <f t="array" ref="V145">INT(SUMPRODUCT(--ISNUMBER(SEARCH(abortion,C145)))&gt;0)</f>
        <v>0</v>
      </c>
      <c r="W145" s="14" cm="1">
        <f t="array" ref="W145">INT(SUMPRODUCT(--ISNUMBER(SEARCH(trump,C145)))&gt;0)</f>
        <v>0</v>
      </c>
      <c r="X145" s="14" cm="1">
        <f t="array" ref="X145">INT(SUMPRODUCT(--ISNUMBER(SEARCH(voting,C145)))&gt;0)</f>
        <v>1</v>
      </c>
      <c r="Y145" s="35" cm="1">
        <f t="array" ref="Y145">INT(SUMPRODUCT(--ISNUMBER(SEARCH(republicantrigger,C145)))&gt;0)</f>
        <v>1</v>
      </c>
      <c r="Z145" s="35" cm="1">
        <f t="array" ref="Z145">INT(SUMPRODUCT(--ISNUMBER(SEARCH(bipartisan,C145)))&gt;0)</f>
        <v>0</v>
      </c>
      <c r="AA145" s="35">
        <f t="shared" si="2"/>
        <v>0</v>
      </c>
      <c r="AB145" s="14"/>
      <c r="AC145" s="30" t="s">
        <v>223</v>
      </c>
      <c r="AD145" s="37" t="s">
        <v>223</v>
      </c>
    </row>
    <row r="146" spans="1:30" x14ac:dyDescent="0.25">
      <c r="A146" s="36">
        <v>3369</v>
      </c>
      <c r="B146" s="14" t="s">
        <v>6763</v>
      </c>
      <c r="C146" s="31" t="s">
        <v>6764</v>
      </c>
      <c r="D146" s="17">
        <v>44117</v>
      </c>
      <c r="E146" s="14" t="s">
        <v>30</v>
      </c>
      <c r="F146" s="14">
        <v>111</v>
      </c>
      <c r="G146" s="14">
        <v>69</v>
      </c>
      <c r="H146" s="14">
        <v>15</v>
      </c>
      <c r="I146" s="14">
        <v>8</v>
      </c>
      <c r="J146" s="14" t="s">
        <v>31</v>
      </c>
      <c r="K146" s="14" cm="1">
        <f t="array" ref="K146">INT(SUMPRODUCT(--ISNUMBER(SEARCH(economy,C146)))&gt;0)</f>
        <v>0</v>
      </c>
      <c r="L146" s="14" cm="1">
        <f t="array" ref="L146">INT(SUMPRODUCT(--ISNUMBER(SEARCH(healthcare,C146)))&gt;0)</f>
        <v>0</v>
      </c>
      <c r="M146" s="14" cm="1">
        <f t="array" ref="M146">INT(SUMPRODUCT(--ISNUMBER(SEARCH(supreme,C146)))&gt;0)</f>
        <v>0</v>
      </c>
      <c r="N146" s="14" cm="1">
        <f t="array" ref="N146">INT(SUMPRODUCT(--ISNUMBER(SEARCH(covid,C146)))&gt;0)</f>
        <v>0</v>
      </c>
      <c r="O146" s="14" cm="1">
        <f t="array" ref="O146">INT(SUMPRODUCT(--ISNUMBER(SEARCH(violent,C146)))&gt;0)</f>
        <v>0</v>
      </c>
      <c r="P146" s="14" cm="1">
        <f t="array" ref="P146">INT(SUMPRODUCT(--ISNUMBER(SEARCH(foreign,C146)))&gt;0)</f>
        <v>0</v>
      </c>
      <c r="Q146" s="14" cm="1">
        <f t="array" ref="Q146">INT(SUMPRODUCT(--ISNUMBER(SEARCH(gun,C146)))&gt;0)</f>
        <v>0</v>
      </c>
      <c r="R146" s="14" cm="1">
        <f t="array" ref="R146">INT(SUMPRODUCT(--ISNUMBER(SEARCH(race,C146)))&gt;0)</f>
        <v>0</v>
      </c>
      <c r="S146" s="14" cm="1">
        <f t="array" ref="S146">INT(SUMPRODUCT(--ISNUMBER(SEARCH(immigration,C146)))&gt;0)</f>
        <v>0</v>
      </c>
      <c r="T146" s="14" cm="1">
        <f t="array" ref="T146">INT(SUMPRODUCT(--ISNUMBER(SEARCH(econineq,C147)))&gt;0)</f>
        <v>0</v>
      </c>
      <c r="U146" s="14" cm="1">
        <f t="array" ref="U146">INT(SUMPRODUCT(--ISNUMBER(SEARCH(climate,C146)))&gt;0)</f>
        <v>1</v>
      </c>
      <c r="V146" s="14" cm="1">
        <f t="array" ref="V146">INT(SUMPRODUCT(--ISNUMBER(SEARCH(abortion,C146)))&gt;0)</f>
        <v>0</v>
      </c>
      <c r="W146" s="14" cm="1">
        <f t="array" ref="W146">INT(SUMPRODUCT(--ISNUMBER(SEARCH(trump,C146)))&gt;0)</f>
        <v>0</v>
      </c>
      <c r="X146" s="14" cm="1">
        <f t="array" ref="X146">INT(SUMPRODUCT(--ISNUMBER(SEARCH(voting,C146)))&gt;0)</f>
        <v>0</v>
      </c>
      <c r="Y146" s="35" cm="1">
        <f t="array" ref="Y146">INT(SUMPRODUCT(--ISNUMBER(SEARCH(republicantrigger,C146)))&gt;0)</f>
        <v>1</v>
      </c>
      <c r="Z146" s="35" cm="1">
        <f t="array" ref="Z146">INT(SUMPRODUCT(--ISNUMBER(SEARCH(bipartisan,C146)))&gt;0)</f>
        <v>0</v>
      </c>
      <c r="AA146" s="35">
        <f t="shared" si="2"/>
        <v>0</v>
      </c>
      <c r="AB146" s="14"/>
      <c r="AC146" s="30" t="s">
        <v>223</v>
      </c>
      <c r="AD146" s="37" t="s">
        <v>223</v>
      </c>
    </row>
    <row r="147" spans="1:30" x14ac:dyDescent="0.25">
      <c r="A147" s="36">
        <v>3370</v>
      </c>
      <c r="B147" s="14" t="s">
        <v>6765</v>
      </c>
      <c r="C147" s="31" t="s">
        <v>6766</v>
      </c>
      <c r="D147" s="17">
        <v>44116</v>
      </c>
      <c r="E147" s="14" t="s">
        <v>30</v>
      </c>
      <c r="F147" s="14">
        <v>73</v>
      </c>
      <c r="G147" s="14">
        <v>47</v>
      </c>
      <c r="H147" s="14">
        <v>15</v>
      </c>
      <c r="I147" s="14">
        <v>8</v>
      </c>
      <c r="J147" s="14" t="s">
        <v>31</v>
      </c>
      <c r="K147" s="14" cm="1">
        <f t="array" ref="K147">INT(SUMPRODUCT(--ISNUMBER(SEARCH(economy,C147)))&gt;0)</f>
        <v>0</v>
      </c>
      <c r="L147" s="14" cm="1">
        <f t="array" ref="L147">INT(SUMPRODUCT(--ISNUMBER(SEARCH(healthcare,C147)))&gt;0)</f>
        <v>0</v>
      </c>
      <c r="M147" s="14" cm="1">
        <f t="array" ref="M147">INT(SUMPRODUCT(--ISNUMBER(SEARCH(supreme,C147)))&gt;0)</f>
        <v>0</v>
      </c>
      <c r="N147" s="14" cm="1">
        <f t="array" ref="N147">INT(SUMPRODUCT(--ISNUMBER(SEARCH(covid,C147)))&gt;0)</f>
        <v>0</v>
      </c>
      <c r="O147" s="14" cm="1">
        <f t="array" ref="O147">INT(SUMPRODUCT(--ISNUMBER(SEARCH(violent,C147)))&gt;0)</f>
        <v>0</v>
      </c>
      <c r="P147" s="14" cm="1">
        <f t="array" ref="P147">INT(SUMPRODUCT(--ISNUMBER(SEARCH(foreign,C147)))&gt;0)</f>
        <v>0</v>
      </c>
      <c r="Q147" s="14" cm="1">
        <f t="array" ref="Q147">INT(SUMPRODUCT(--ISNUMBER(SEARCH(gun,C147)))&gt;0)</f>
        <v>0</v>
      </c>
      <c r="R147" s="14" cm="1">
        <f t="array" ref="R147">INT(SUMPRODUCT(--ISNUMBER(SEARCH(race,C147)))&gt;0)</f>
        <v>0</v>
      </c>
      <c r="S147" s="14" cm="1">
        <f t="array" ref="S147">INT(SUMPRODUCT(--ISNUMBER(SEARCH(immigration,C147)))&gt;0)</f>
        <v>0</v>
      </c>
      <c r="T147" s="14" cm="1">
        <f t="array" ref="T147">INT(SUMPRODUCT(--ISNUMBER(SEARCH(econineq,C148)))&gt;0)</f>
        <v>0</v>
      </c>
      <c r="U147" s="14" cm="1">
        <f t="array" ref="U147">INT(SUMPRODUCT(--ISNUMBER(SEARCH(climate,C147)))&gt;0)</f>
        <v>1</v>
      </c>
      <c r="V147" s="14" cm="1">
        <f t="array" ref="V147">INT(SUMPRODUCT(--ISNUMBER(SEARCH(abortion,C147)))&gt;0)</f>
        <v>0</v>
      </c>
      <c r="W147" s="14" cm="1">
        <f t="array" ref="W147">INT(SUMPRODUCT(--ISNUMBER(SEARCH(trump,C147)))&gt;0)</f>
        <v>0</v>
      </c>
      <c r="X147" s="14" cm="1">
        <f t="array" ref="X147">INT(SUMPRODUCT(--ISNUMBER(SEARCH(voting,C147)))&gt;0)</f>
        <v>1</v>
      </c>
      <c r="Y147" s="35" cm="1">
        <f t="array" ref="Y147">INT(SUMPRODUCT(--ISNUMBER(SEARCH(republicantrigger,C147)))&gt;0)</f>
        <v>1</v>
      </c>
      <c r="Z147" s="35" cm="1">
        <f t="array" ref="Z147">INT(SUMPRODUCT(--ISNUMBER(SEARCH(bipartisan,C147)))&gt;0)</f>
        <v>0</v>
      </c>
      <c r="AA147" s="35">
        <f t="shared" si="2"/>
        <v>0</v>
      </c>
      <c r="AB147" s="14"/>
      <c r="AC147" s="30">
        <v>0</v>
      </c>
      <c r="AD147" s="37">
        <v>1</v>
      </c>
    </row>
    <row r="148" spans="1:30" x14ac:dyDescent="0.25">
      <c r="A148" s="36">
        <v>3371</v>
      </c>
      <c r="B148" s="14" t="s">
        <v>6767</v>
      </c>
      <c r="C148" s="31" t="s">
        <v>6768</v>
      </c>
      <c r="D148" s="17">
        <v>44116</v>
      </c>
      <c r="E148" s="14" t="s">
        <v>30</v>
      </c>
      <c r="F148" s="14">
        <v>116</v>
      </c>
      <c r="G148" s="14">
        <v>53</v>
      </c>
      <c r="H148" s="14">
        <v>15</v>
      </c>
      <c r="I148" s="14">
        <v>8</v>
      </c>
      <c r="J148" s="14" t="s">
        <v>31</v>
      </c>
      <c r="K148" s="14" cm="1">
        <f t="array" ref="K148">INT(SUMPRODUCT(--ISNUMBER(SEARCH(economy,C148)))&gt;0)</f>
        <v>0</v>
      </c>
      <c r="L148" s="14" cm="1">
        <f t="array" ref="L148">INT(SUMPRODUCT(--ISNUMBER(SEARCH(healthcare,C148)))&gt;0)</f>
        <v>0</v>
      </c>
      <c r="M148" s="14" cm="1">
        <f t="array" ref="M148">INT(SUMPRODUCT(--ISNUMBER(SEARCH(supreme,C148)))&gt;0)</f>
        <v>0</v>
      </c>
      <c r="N148" s="14" cm="1">
        <f t="array" ref="N148">INT(SUMPRODUCT(--ISNUMBER(SEARCH(covid,C148)))&gt;0)</f>
        <v>0</v>
      </c>
      <c r="O148" s="14" cm="1">
        <f t="array" ref="O148">INT(SUMPRODUCT(--ISNUMBER(SEARCH(violent,C148)))&gt;0)</f>
        <v>0</v>
      </c>
      <c r="P148" s="14" cm="1">
        <f t="array" ref="P148">INT(SUMPRODUCT(--ISNUMBER(SEARCH(foreign,C148)))&gt;0)</f>
        <v>0</v>
      </c>
      <c r="Q148" s="14" cm="1">
        <f t="array" ref="Q148">INT(SUMPRODUCT(--ISNUMBER(SEARCH(gun,C148)))&gt;0)</f>
        <v>0</v>
      </c>
      <c r="R148" s="14" cm="1">
        <f t="array" ref="R148">INT(SUMPRODUCT(--ISNUMBER(SEARCH(race,C148)))&gt;0)</f>
        <v>0</v>
      </c>
      <c r="S148" s="14" cm="1">
        <f t="array" ref="S148">INT(SUMPRODUCT(--ISNUMBER(SEARCH(immigration,C148)))&gt;0)</f>
        <v>0</v>
      </c>
      <c r="T148" s="14" cm="1">
        <f t="array" ref="T148">INT(SUMPRODUCT(--ISNUMBER(SEARCH(econineq,C149)))&gt;0)</f>
        <v>0</v>
      </c>
      <c r="U148" s="14" cm="1">
        <f t="array" ref="U148">INT(SUMPRODUCT(--ISNUMBER(SEARCH(climate,C148)))&gt;0)</f>
        <v>0</v>
      </c>
      <c r="V148" s="14" cm="1">
        <f t="array" ref="V148">INT(SUMPRODUCT(--ISNUMBER(SEARCH(abortion,C148)))&gt;0)</f>
        <v>0</v>
      </c>
      <c r="W148" s="14" cm="1">
        <f t="array" ref="W148">INT(SUMPRODUCT(--ISNUMBER(SEARCH(trump,C148)))&gt;0)</f>
        <v>0</v>
      </c>
      <c r="X148" s="14" cm="1">
        <f t="array" ref="X148">INT(SUMPRODUCT(--ISNUMBER(SEARCH(voting,C148)))&gt;0)</f>
        <v>1</v>
      </c>
      <c r="Y148" s="35" cm="1">
        <f t="array" ref="Y148">INT(SUMPRODUCT(--ISNUMBER(SEARCH(republicantrigger,C148)))&gt;0)</f>
        <v>1</v>
      </c>
      <c r="Z148" s="35" cm="1">
        <f t="array" ref="Z148">INT(SUMPRODUCT(--ISNUMBER(SEARCH(bipartisan,C148)))&gt;0)</f>
        <v>0</v>
      </c>
      <c r="AA148" s="35">
        <f t="shared" si="2"/>
        <v>0</v>
      </c>
      <c r="AB148" s="14"/>
      <c r="AC148" s="30" t="s">
        <v>223</v>
      </c>
      <c r="AD148" s="37" t="s">
        <v>223</v>
      </c>
    </row>
    <row r="149" spans="1:30" x14ac:dyDescent="0.25">
      <c r="A149" s="36">
        <v>3372</v>
      </c>
      <c r="B149" s="14" t="s">
        <v>6769</v>
      </c>
      <c r="C149" s="31" t="s">
        <v>6770</v>
      </c>
      <c r="D149" s="17">
        <v>44116</v>
      </c>
      <c r="E149" s="14" t="s">
        <v>30</v>
      </c>
      <c r="F149" s="14">
        <v>154</v>
      </c>
      <c r="G149" s="14">
        <v>73</v>
      </c>
      <c r="H149" s="14">
        <v>15</v>
      </c>
      <c r="I149" s="14">
        <v>8</v>
      </c>
      <c r="J149" s="14" t="s">
        <v>31</v>
      </c>
      <c r="K149" s="14" cm="1">
        <f t="array" ref="K149">INT(SUMPRODUCT(--ISNUMBER(SEARCH(economy,C149)))&gt;0)</f>
        <v>0</v>
      </c>
      <c r="L149" s="14" cm="1">
        <f t="array" ref="L149">INT(SUMPRODUCT(--ISNUMBER(SEARCH(healthcare,C149)))&gt;0)</f>
        <v>0</v>
      </c>
      <c r="M149" s="14" cm="1">
        <f t="array" ref="M149">INT(SUMPRODUCT(--ISNUMBER(SEARCH(supreme,C149)))&gt;0)</f>
        <v>0</v>
      </c>
      <c r="N149" s="14" cm="1">
        <f t="array" ref="N149">INT(SUMPRODUCT(--ISNUMBER(SEARCH(covid,C149)))&gt;0)</f>
        <v>0</v>
      </c>
      <c r="O149" s="14" cm="1">
        <f t="array" ref="O149">INT(SUMPRODUCT(--ISNUMBER(SEARCH(violent,C149)))&gt;0)</f>
        <v>0</v>
      </c>
      <c r="P149" s="14" cm="1">
        <f t="array" ref="P149">INT(SUMPRODUCT(--ISNUMBER(SEARCH(foreign,C149)))&gt;0)</f>
        <v>0</v>
      </c>
      <c r="Q149" s="14" cm="1">
        <f t="array" ref="Q149">INT(SUMPRODUCT(--ISNUMBER(SEARCH(gun,C149)))&gt;0)</f>
        <v>0</v>
      </c>
      <c r="R149" s="14" cm="1">
        <f t="array" ref="R149">INT(SUMPRODUCT(--ISNUMBER(SEARCH(race,C149)))&gt;0)</f>
        <v>0</v>
      </c>
      <c r="S149" s="14" cm="1">
        <f t="array" ref="S149">INT(SUMPRODUCT(--ISNUMBER(SEARCH(immigration,C149)))&gt;0)</f>
        <v>0</v>
      </c>
      <c r="T149" s="14" cm="1">
        <f t="array" ref="T149">INT(SUMPRODUCT(--ISNUMBER(SEARCH(econineq,C150)))&gt;0)</f>
        <v>0</v>
      </c>
      <c r="U149" s="14" cm="1">
        <f t="array" ref="U149">INT(SUMPRODUCT(--ISNUMBER(SEARCH(climate,C149)))&gt;0)</f>
        <v>0</v>
      </c>
      <c r="V149" s="14" cm="1">
        <f t="array" ref="V149">INT(SUMPRODUCT(--ISNUMBER(SEARCH(abortion,C149)))&gt;0)</f>
        <v>0</v>
      </c>
      <c r="W149" s="14" cm="1">
        <f t="array" ref="W149">INT(SUMPRODUCT(--ISNUMBER(SEARCH(trump,C149)))&gt;0)</f>
        <v>0</v>
      </c>
      <c r="X149" s="14" cm="1">
        <f t="array" ref="X149">INT(SUMPRODUCT(--ISNUMBER(SEARCH(voting,C149)))&gt;0)</f>
        <v>0</v>
      </c>
      <c r="Y149" s="35" cm="1">
        <f t="array" ref="Y149">INT(SUMPRODUCT(--ISNUMBER(SEARCH(republicantrigger,C149)))&gt;0)</f>
        <v>1</v>
      </c>
      <c r="Z149" s="35" cm="1">
        <f t="array" ref="Z149">INT(SUMPRODUCT(--ISNUMBER(SEARCH(bipartisan,C149)))&gt;0)</f>
        <v>0</v>
      </c>
      <c r="AA149" s="35">
        <f t="shared" si="2"/>
        <v>0</v>
      </c>
      <c r="AB149" s="14"/>
      <c r="AC149" s="30">
        <v>0</v>
      </c>
      <c r="AD149" s="37">
        <v>1</v>
      </c>
    </row>
    <row r="150" spans="1:30" x14ac:dyDescent="0.25">
      <c r="A150" s="36">
        <v>3373</v>
      </c>
      <c r="B150" s="14" t="s">
        <v>6771</v>
      </c>
      <c r="C150" s="31" t="s">
        <v>6772</v>
      </c>
      <c r="D150" s="17">
        <v>44116</v>
      </c>
      <c r="E150" s="14" t="s">
        <v>30</v>
      </c>
      <c r="F150" s="14">
        <v>64</v>
      </c>
      <c r="G150" s="14">
        <v>34</v>
      </c>
      <c r="H150" s="14">
        <v>15</v>
      </c>
      <c r="I150" s="14">
        <v>8</v>
      </c>
      <c r="J150" s="14" t="s">
        <v>31</v>
      </c>
      <c r="K150" s="14" cm="1">
        <f t="array" ref="K150">INT(SUMPRODUCT(--ISNUMBER(SEARCH(economy,C150)))&gt;0)</f>
        <v>0</v>
      </c>
      <c r="L150" s="14" cm="1">
        <f t="array" ref="L150">INT(SUMPRODUCT(--ISNUMBER(SEARCH(healthcare,C150)))&gt;0)</f>
        <v>0</v>
      </c>
      <c r="M150" s="14" cm="1">
        <f t="array" ref="M150">INT(SUMPRODUCT(--ISNUMBER(SEARCH(supreme,C150)))&gt;0)</f>
        <v>0</v>
      </c>
      <c r="N150" s="14" cm="1">
        <f t="array" ref="N150">INT(SUMPRODUCT(--ISNUMBER(SEARCH(covid,C150)))&gt;0)</f>
        <v>0</v>
      </c>
      <c r="O150" s="14" cm="1">
        <f t="array" ref="O150">INT(SUMPRODUCT(--ISNUMBER(SEARCH(violent,C150)))&gt;0)</f>
        <v>0</v>
      </c>
      <c r="P150" s="14" cm="1">
        <f t="array" ref="P150">INT(SUMPRODUCT(--ISNUMBER(SEARCH(foreign,C150)))&gt;0)</f>
        <v>0</v>
      </c>
      <c r="Q150" s="14" cm="1">
        <f t="array" ref="Q150">INT(SUMPRODUCT(--ISNUMBER(SEARCH(gun,C150)))&gt;0)</f>
        <v>0</v>
      </c>
      <c r="R150" s="14" cm="1">
        <f t="array" ref="R150">INT(SUMPRODUCT(--ISNUMBER(SEARCH(race,C150)))&gt;0)</f>
        <v>0</v>
      </c>
      <c r="S150" s="14" cm="1">
        <f t="array" ref="S150">INT(SUMPRODUCT(--ISNUMBER(SEARCH(immigration,C150)))&gt;0)</f>
        <v>0</v>
      </c>
      <c r="T150" s="14" cm="1">
        <f t="array" ref="T150">INT(SUMPRODUCT(--ISNUMBER(SEARCH(econineq,C151)))&gt;0)</f>
        <v>0</v>
      </c>
      <c r="U150" s="14" cm="1">
        <f t="array" ref="U150">INT(SUMPRODUCT(--ISNUMBER(SEARCH(climate,C150)))&gt;0)</f>
        <v>0</v>
      </c>
      <c r="V150" s="14" cm="1">
        <f t="array" ref="V150">INT(SUMPRODUCT(--ISNUMBER(SEARCH(abortion,C150)))&gt;0)</f>
        <v>0</v>
      </c>
      <c r="W150" s="14" cm="1">
        <f t="array" ref="W150">INT(SUMPRODUCT(--ISNUMBER(SEARCH(trump,C150)))&gt;0)</f>
        <v>0</v>
      </c>
      <c r="X150" s="14" cm="1">
        <f t="array" ref="X150">INT(SUMPRODUCT(--ISNUMBER(SEARCH(voting,C150)))&gt;0)</f>
        <v>0</v>
      </c>
      <c r="Y150" s="35" cm="1">
        <f t="array" ref="Y150">INT(SUMPRODUCT(--ISNUMBER(SEARCH(republicantrigger,C150)))&gt;0)</f>
        <v>1</v>
      </c>
      <c r="Z150" s="35" cm="1">
        <f t="array" ref="Z150">INT(SUMPRODUCT(--ISNUMBER(SEARCH(bipartisan,C150)))&gt;0)</f>
        <v>0</v>
      </c>
      <c r="AA150" s="35">
        <f t="shared" si="2"/>
        <v>0</v>
      </c>
      <c r="AB150" s="14"/>
      <c r="AC150" s="30">
        <v>1</v>
      </c>
      <c r="AD150" s="37">
        <v>0</v>
      </c>
    </row>
    <row r="151" spans="1:30" x14ac:dyDescent="0.25">
      <c r="A151" s="36">
        <v>3374</v>
      </c>
      <c r="B151" s="14" t="s">
        <v>6773</v>
      </c>
      <c r="C151" s="31" t="s">
        <v>6774</v>
      </c>
      <c r="D151" s="17">
        <v>44116</v>
      </c>
      <c r="E151" s="14" t="s">
        <v>30</v>
      </c>
      <c r="F151" s="14">
        <v>775</v>
      </c>
      <c r="G151" s="14">
        <v>169</v>
      </c>
      <c r="H151" s="14">
        <v>15</v>
      </c>
      <c r="I151" s="14">
        <v>8</v>
      </c>
      <c r="J151" s="14" t="s">
        <v>31</v>
      </c>
      <c r="K151" s="14" cm="1">
        <f t="array" ref="K151">INT(SUMPRODUCT(--ISNUMBER(SEARCH(economy,C151)))&gt;0)</f>
        <v>0</v>
      </c>
      <c r="L151" s="14" cm="1">
        <f t="array" ref="L151">INT(SUMPRODUCT(--ISNUMBER(SEARCH(healthcare,C151)))&gt;0)</f>
        <v>0</v>
      </c>
      <c r="M151" s="14" cm="1">
        <f t="array" ref="M151">INT(SUMPRODUCT(--ISNUMBER(SEARCH(supreme,C151)))&gt;0)</f>
        <v>1</v>
      </c>
      <c r="N151" s="14" cm="1">
        <f t="array" ref="N151">INT(SUMPRODUCT(--ISNUMBER(SEARCH(covid,C151)))&gt;0)</f>
        <v>1</v>
      </c>
      <c r="O151" s="14" cm="1">
        <f t="array" ref="O151">INT(SUMPRODUCT(--ISNUMBER(SEARCH(violent,C151)))&gt;0)</f>
        <v>0</v>
      </c>
      <c r="P151" s="14" cm="1">
        <f t="array" ref="P151">INT(SUMPRODUCT(--ISNUMBER(SEARCH(foreign,C151)))&gt;0)</f>
        <v>0</v>
      </c>
      <c r="Q151" s="14" cm="1">
        <f t="array" ref="Q151">INT(SUMPRODUCT(--ISNUMBER(SEARCH(gun,C151)))&gt;0)</f>
        <v>0</v>
      </c>
      <c r="R151" s="14" cm="1">
        <f t="array" ref="R151">INT(SUMPRODUCT(--ISNUMBER(SEARCH(race,C151)))&gt;0)</f>
        <v>0</v>
      </c>
      <c r="S151" s="14" cm="1">
        <f t="array" ref="S151">INT(SUMPRODUCT(--ISNUMBER(SEARCH(immigration,C151)))&gt;0)</f>
        <v>0</v>
      </c>
      <c r="T151" s="14" cm="1">
        <f t="array" ref="T151">INT(SUMPRODUCT(--ISNUMBER(SEARCH(econineq,C152)))&gt;0)</f>
        <v>0</v>
      </c>
      <c r="U151" s="14" cm="1">
        <f t="array" ref="U151">INT(SUMPRODUCT(--ISNUMBER(SEARCH(climate,C151)))&gt;0)</f>
        <v>0</v>
      </c>
      <c r="V151" s="14" cm="1">
        <f t="array" ref="V151">INT(SUMPRODUCT(--ISNUMBER(SEARCH(abortion,C151)))&gt;0)</f>
        <v>0</v>
      </c>
      <c r="W151" s="14" cm="1">
        <f t="array" ref="W151">INT(SUMPRODUCT(--ISNUMBER(SEARCH(trump,C151)))&gt;0)</f>
        <v>0</v>
      </c>
      <c r="X151" s="14" cm="1">
        <f t="array" ref="X151">INT(SUMPRODUCT(--ISNUMBER(SEARCH(voting,C151)))&gt;0)</f>
        <v>0</v>
      </c>
      <c r="Y151" s="35" cm="1">
        <f t="array" ref="Y151">INT(SUMPRODUCT(--ISNUMBER(SEARCH(republicantrigger,C151)))&gt;0)</f>
        <v>0</v>
      </c>
      <c r="Z151" s="35" cm="1">
        <f t="array" ref="Z151">INT(SUMPRODUCT(--ISNUMBER(SEARCH(bipartisan,C151)))&gt;0)</f>
        <v>0</v>
      </c>
      <c r="AA151" s="35">
        <f t="shared" si="2"/>
        <v>0</v>
      </c>
      <c r="AB151" s="14"/>
      <c r="AC151" s="30" t="s">
        <v>223</v>
      </c>
      <c r="AD151" s="37" t="s">
        <v>223</v>
      </c>
    </row>
    <row r="152" spans="1:30" x14ac:dyDescent="0.25">
      <c r="A152" s="36">
        <v>3375</v>
      </c>
      <c r="B152" s="14" t="s">
        <v>6775</v>
      </c>
      <c r="C152" s="31" t="s">
        <v>6776</v>
      </c>
      <c r="D152" s="17">
        <v>44115</v>
      </c>
      <c r="E152" s="14" t="s">
        <v>30</v>
      </c>
      <c r="F152" s="14">
        <v>93</v>
      </c>
      <c r="G152" s="14">
        <v>45</v>
      </c>
      <c r="H152" s="14">
        <v>15</v>
      </c>
      <c r="I152" s="14">
        <v>8</v>
      </c>
      <c r="J152" s="14" t="s">
        <v>31</v>
      </c>
      <c r="K152" s="14" cm="1">
        <f t="array" ref="K152">INT(SUMPRODUCT(--ISNUMBER(SEARCH(economy,C152)))&gt;0)</f>
        <v>0</v>
      </c>
      <c r="L152" s="14" cm="1">
        <f t="array" ref="L152">INT(SUMPRODUCT(--ISNUMBER(SEARCH(healthcare,C152)))&gt;0)</f>
        <v>0</v>
      </c>
      <c r="M152" s="14" cm="1">
        <f t="array" ref="M152">INT(SUMPRODUCT(--ISNUMBER(SEARCH(supreme,C152)))&gt;0)</f>
        <v>0</v>
      </c>
      <c r="N152" s="14" cm="1">
        <f t="array" ref="N152">INT(SUMPRODUCT(--ISNUMBER(SEARCH(covid,C152)))&gt;0)</f>
        <v>0</v>
      </c>
      <c r="O152" s="14" cm="1">
        <f t="array" ref="O152">INT(SUMPRODUCT(--ISNUMBER(SEARCH(violent,C152)))&gt;0)</f>
        <v>0</v>
      </c>
      <c r="P152" s="14" cm="1">
        <f t="array" ref="P152">INT(SUMPRODUCT(--ISNUMBER(SEARCH(foreign,C152)))&gt;0)</f>
        <v>0</v>
      </c>
      <c r="Q152" s="14" cm="1">
        <f t="array" ref="Q152">INT(SUMPRODUCT(--ISNUMBER(SEARCH(gun,C152)))&gt;0)</f>
        <v>0</v>
      </c>
      <c r="R152" s="14" cm="1">
        <f t="array" ref="R152">INT(SUMPRODUCT(--ISNUMBER(SEARCH(race,C152)))&gt;0)</f>
        <v>0</v>
      </c>
      <c r="S152" s="14" cm="1">
        <f t="array" ref="S152">INT(SUMPRODUCT(--ISNUMBER(SEARCH(immigration,C152)))&gt;0)</f>
        <v>0</v>
      </c>
      <c r="T152" s="14" cm="1">
        <f t="array" ref="T152">INT(SUMPRODUCT(--ISNUMBER(SEARCH(econineq,C153)))&gt;0)</f>
        <v>0</v>
      </c>
      <c r="U152" s="14" cm="1">
        <f t="array" ref="U152">INT(SUMPRODUCT(--ISNUMBER(SEARCH(climate,C152)))&gt;0)</f>
        <v>0</v>
      </c>
      <c r="V152" s="14" cm="1">
        <f t="array" ref="V152">INT(SUMPRODUCT(--ISNUMBER(SEARCH(abortion,C152)))&gt;0)</f>
        <v>0</v>
      </c>
      <c r="W152" s="14" cm="1">
        <f t="array" ref="W152">INT(SUMPRODUCT(--ISNUMBER(SEARCH(trump,C152)))&gt;0)</f>
        <v>0</v>
      </c>
      <c r="X152" s="14" cm="1">
        <f t="array" ref="X152">INT(SUMPRODUCT(--ISNUMBER(SEARCH(voting,C152)))&gt;0)</f>
        <v>0</v>
      </c>
      <c r="Y152" s="35" cm="1">
        <f t="array" ref="Y152">INT(SUMPRODUCT(--ISNUMBER(SEARCH(republicantrigger,C152)))&gt;0)</f>
        <v>1</v>
      </c>
      <c r="Z152" s="35" cm="1">
        <f t="array" ref="Z152">INT(SUMPRODUCT(--ISNUMBER(SEARCH(bipartisan,C152)))&gt;0)</f>
        <v>0</v>
      </c>
      <c r="AA152" s="35">
        <f t="shared" si="2"/>
        <v>0</v>
      </c>
      <c r="AB152" s="14"/>
      <c r="AC152" s="30">
        <v>1</v>
      </c>
      <c r="AD152" s="37">
        <v>0</v>
      </c>
    </row>
    <row r="153" spans="1:30" x14ac:dyDescent="0.25">
      <c r="A153" s="36">
        <v>3376</v>
      </c>
      <c r="B153" s="14" t="s">
        <v>6777</v>
      </c>
      <c r="C153" s="31" t="s">
        <v>6778</v>
      </c>
      <c r="D153" s="17">
        <v>44115</v>
      </c>
      <c r="E153" s="14" t="s">
        <v>30</v>
      </c>
      <c r="F153" s="14">
        <v>99</v>
      </c>
      <c r="G153" s="14">
        <v>59</v>
      </c>
      <c r="H153" s="14">
        <v>15</v>
      </c>
      <c r="I153" s="14">
        <v>8</v>
      </c>
      <c r="J153" s="14" t="s">
        <v>31</v>
      </c>
      <c r="K153" s="14" cm="1">
        <f t="array" ref="K153">INT(SUMPRODUCT(--ISNUMBER(SEARCH(economy,C153)))&gt;0)</f>
        <v>0</v>
      </c>
      <c r="L153" s="14" cm="1">
        <f t="array" ref="L153">INT(SUMPRODUCT(--ISNUMBER(SEARCH(healthcare,C153)))&gt;0)</f>
        <v>0</v>
      </c>
      <c r="M153" s="14" cm="1">
        <f t="array" ref="M153">INT(SUMPRODUCT(--ISNUMBER(SEARCH(supreme,C153)))&gt;0)</f>
        <v>0</v>
      </c>
      <c r="N153" s="14" cm="1">
        <f t="array" ref="N153">INT(SUMPRODUCT(--ISNUMBER(SEARCH(covid,C153)))&gt;0)</f>
        <v>0</v>
      </c>
      <c r="O153" s="14" cm="1">
        <f t="array" ref="O153">INT(SUMPRODUCT(--ISNUMBER(SEARCH(violent,C153)))&gt;0)</f>
        <v>0</v>
      </c>
      <c r="P153" s="14" cm="1">
        <f t="array" ref="P153">INT(SUMPRODUCT(--ISNUMBER(SEARCH(foreign,C153)))&gt;0)</f>
        <v>0</v>
      </c>
      <c r="Q153" s="14" cm="1">
        <f t="array" ref="Q153">INT(SUMPRODUCT(--ISNUMBER(SEARCH(gun,C153)))&gt;0)</f>
        <v>0</v>
      </c>
      <c r="R153" s="14" cm="1">
        <f t="array" ref="R153">INT(SUMPRODUCT(--ISNUMBER(SEARCH(race,C153)))&gt;0)</f>
        <v>0</v>
      </c>
      <c r="S153" s="14" cm="1">
        <f t="array" ref="S153">INT(SUMPRODUCT(--ISNUMBER(SEARCH(immigration,C153)))&gt;0)</f>
        <v>0</v>
      </c>
      <c r="T153" s="14" cm="1">
        <f t="array" ref="T153">INT(SUMPRODUCT(--ISNUMBER(SEARCH(econineq,C154)))&gt;0)</f>
        <v>0</v>
      </c>
      <c r="U153" s="14" cm="1">
        <f t="array" ref="U153">INT(SUMPRODUCT(--ISNUMBER(SEARCH(climate,C153)))&gt;0)</f>
        <v>0</v>
      </c>
      <c r="V153" s="14" cm="1">
        <f t="array" ref="V153">INT(SUMPRODUCT(--ISNUMBER(SEARCH(abortion,C153)))&gt;0)</f>
        <v>0</v>
      </c>
      <c r="W153" s="14" cm="1">
        <f t="array" ref="W153">INT(SUMPRODUCT(--ISNUMBER(SEARCH(trump,C153)))&gt;0)</f>
        <v>0</v>
      </c>
      <c r="X153" s="14" cm="1">
        <f t="array" ref="X153">INT(SUMPRODUCT(--ISNUMBER(SEARCH(voting,C153)))&gt;0)</f>
        <v>0</v>
      </c>
      <c r="Y153" s="35" cm="1">
        <f t="array" ref="Y153">INT(SUMPRODUCT(--ISNUMBER(SEARCH(republicantrigger,C153)))&gt;0)</f>
        <v>1</v>
      </c>
      <c r="Z153" s="35" cm="1">
        <f t="array" ref="Z153">INT(SUMPRODUCT(--ISNUMBER(SEARCH(bipartisan,C153)))&gt;0)</f>
        <v>0</v>
      </c>
      <c r="AA153" s="35">
        <f t="shared" si="2"/>
        <v>0</v>
      </c>
      <c r="AB153" s="14"/>
      <c r="AC153" s="30" t="s">
        <v>223</v>
      </c>
      <c r="AD153" s="37" t="s">
        <v>223</v>
      </c>
    </row>
    <row r="154" spans="1:30" x14ac:dyDescent="0.25">
      <c r="A154" s="36">
        <v>3377</v>
      </c>
      <c r="B154" s="14" t="s">
        <v>6779</v>
      </c>
      <c r="C154" s="31" t="s">
        <v>6780</v>
      </c>
      <c r="D154" s="17">
        <v>44115</v>
      </c>
      <c r="E154" s="14" t="s">
        <v>30</v>
      </c>
      <c r="F154" s="14">
        <v>110</v>
      </c>
      <c r="G154" s="14">
        <v>60</v>
      </c>
      <c r="H154" s="14">
        <v>15</v>
      </c>
      <c r="I154" s="14">
        <v>8</v>
      </c>
      <c r="J154" s="14" t="s">
        <v>31</v>
      </c>
      <c r="K154" s="14" cm="1">
        <f t="array" ref="K154">INT(SUMPRODUCT(--ISNUMBER(SEARCH(economy,C154)))&gt;0)</f>
        <v>0</v>
      </c>
      <c r="L154" s="14" cm="1">
        <f t="array" ref="L154">INT(SUMPRODUCT(--ISNUMBER(SEARCH(healthcare,C154)))&gt;0)</f>
        <v>0</v>
      </c>
      <c r="M154" s="14" cm="1">
        <f t="array" ref="M154">INT(SUMPRODUCT(--ISNUMBER(SEARCH(supreme,C154)))&gt;0)</f>
        <v>0</v>
      </c>
      <c r="N154" s="14" cm="1">
        <f t="array" ref="N154">INT(SUMPRODUCT(--ISNUMBER(SEARCH(covid,C154)))&gt;0)</f>
        <v>0</v>
      </c>
      <c r="O154" s="14" cm="1">
        <f t="array" ref="O154">INT(SUMPRODUCT(--ISNUMBER(SEARCH(violent,C154)))&gt;0)</f>
        <v>0</v>
      </c>
      <c r="P154" s="14" cm="1">
        <f t="array" ref="P154">INT(SUMPRODUCT(--ISNUMBER(SEARCH(foreign,C154)))&gt;0)</f>
        <v>0</v>
      </c>
      <c r="Q154" s="14" cm="1">
        <f t="array" ref="Q154">INT(SUMPRODUCT(--ISNUMBER(SEARCH(gun,C154)))&gt;0)</f>
        <v>0</v>
      </c>
      <c r="R154" s="14" cm="1">
        <f t="array" ref="R154">INT(SUMPRODUCT(--ISNUMBER(SEARCH(race,C154)))&gt;0)</f>
        <v>0</v>
      </c>
      <c r="S154" s="14" cm="1">
        <f t="array" ref="S154">INT(SUMPRODUCT(--ISNUMBER(SEARCH(immigration,C154)))&gt;0)</f>
        <v>0</v>
      </c>
      <c r="T154" s="14" cm="1">
        <f t="array" ref="T154">INT(SUMPRODUCT(--ISNUMBER(SEARCH(econineq,C155)))&gt;0)</f>
        <v>0</v>
      </c>
      <c r="U154" s="14" cm="1">
        <f t="array" ref="U154">INT(SUMPRODUCT(--ISNUMBER(SEARCH(climate,C154)))&gt;0)</f>
        <v>0</v>
      </c>
      <c r="V154" s="14" cm="1">
        <f t="array" ref="V154">INT(SUMPRODUCT(--ISNUMBER(SEARCH(abortion,C154)))&gt;0)</f>
        <v>0</v>
      </c>
      <c r="W154" s="14" cm="1">
        <f t="array" ref="W154">INT(SUMPRODUCT(--ISNUMBER(SEARCH(trump,C154)))&gt;0)</f>
        <v>0</v>
      </c>
      <c r="X154" s="14" cm="1">
        <f t="array" ref="X154">INT(SUMPRODUCT(--ISNUMBER(SEARCH(voting,C154)))&gt;0)</f>
        <v>0</v>
      </c>
      <c r="Y154" s="35" cm="1">
        <f t="array" ref="Y154">INT(SUMPRODUCT(--ISNUMBER(SEARCH(republicantrigger,C154)))&gt;0)</f>
        <v>1</v>
      </c>
      <c r="Z154" s="35" cm="1">
        <f t="array" ref="Z154">INT(SUMPRODUCT(--ISNUMBER(SEARCH(bipartisan,C154)))&gt;0)</f>
        <v>0</v>
      </c>
      <c r="AA154" s="35">
        <f t="shared" si="2"/>
        <v>0</v>
      </c>
      <c r="AB154" s="14"/>
      <c r="AC154" s="30" t="s">
        <v>223</v>
      </c>
      <c r="AD154" s="37" t="s">
        <v>223</v>
      </c>
    </row>
    <row r="155" spans="1:30" x14ac:dyDescent="0.25">
      <c r="A155" s="36">
        <v>3378</v>
      </c>
      <c r="B155" s="14" t="s">
        <v>6781</v>
      </c>
      <c r="C155" s="31" t="s">
        <v>6782</v>
      </c>
      <c r="D155" s="17">
        <v>44115</v>
      </c>
      <c r="E155" s="14" t="s">
        <v>30</v>
      </c>
      <c r="F155" s="14">
        <v>87</v>
      </c>
      <c r="G155" s="14">
        <v>33</v>
      </c>
      <c r="H155" s="14">
        <v>15</v>
      </c>
      <c r="I155" s="14">
        <v>8</v>
      </c>
      <c r="J155" s="14" t="s">
        <v>31</v>
      </c>
      <c r="K155" s="14" cm="1">
        <f t="array" ref="K155">INT(SUMPRODUCT(--ISNUMBER(SEARCH(economy,C155)))&gt;0)</f>
        <v>0</v>
      </c>
      <c r="L155" s="14" cm="1">
        <f t="array" ref="L155">INT(SUMPRODUCT(--ISNUMBER(SEARCH(healthcare,C155)))&gt;0)</f>
        <v>0</v>
      </c>
      <c r="M155" s="14" cm="1">
        <f t="array" ref="M155">INT(SUMPRODUCT(--ISNUMBER(SEARCH(supreme,C155)))&gt;0)</f>
        <v>0</v>
      </c>
      <c r="N155" s="14" cm="1">
        <f t="array" ref="N155">INT(SUMPRODUCT(--ISNUMBER(SEARCH(covid,C155)))&gt;0)</f>
        <v>0</v>
      </c>
      <c r="O155" s="14" cm="1">
        <f t="array" ref="O155">INT(SUMPRODUCT(--ISNUMBER(SEARCH(violent,C155)))&gt;0)</f>
        <v>0</v>
      </c>
      <c r="P155" s="14" cm="1">
        <f t="array" ref="P155">INT(SUMPRODUCT(--ISNUMBER(SEARCH(foreign,C155)))&gt;0)</f>
        <v>0</v>
      </c>
      <c r="Q155" s="14" cm="1">
        <f t="array" ref="Q155">INT(SUMPRODUCT(--ISNUMBER(SEARCH(gun,C155)))&gt;0)</f>
        <v>0</v>
      </c>
      <c r="R155" s="14" cm="1">
        <f t="array" ref="R155">INT(SUMPRODUCT(--ISNUMBER(SEARCH(race,C155)))&gt;0)</f>
        <v>0</v>
      </c>
      <c r="S155" s="14" cm="1">
        <f t="array" ref="S155">INT(SUMPRODUCT(--ISNUMBER(SEARCH(immigration,C155)))&gt;0)</f>
        <v>0</v>
      </c>
      <c r="T155" s="14" cm="1">
        <f t="array" ref="T155">INT(SUMPRODUCT(--ISNUMBER(SEARCH(econineq,C156)))&gt;0)</f>
        <v>0</v>
      </c>
      <c r="U155" s="14" cm="1">
        <f t="array" ref="U155">INT(SUMPRODUCT(--ISNUMBER(SEARCH(climate,C155)))&gt;0)</f>
        <v>1</v>
      </c>
      <c r="V155" s="14" cm="1">
        <f t="array" ref="V155">INT(SUMPRODUCT(--ISNUMBER(SEARCH(abortion,C155)))&gt;0)</f>
        <v>0</v>
      </c>
      <c r="W155" s="14" cm="1">
        <f t="array" ref="W155">INT(SUMPRODUCT(--ISNUMBER(SEARCH(trump,C155)))&gt;0)</f>
        <v>0</v>
      </c>
      <c r="X155" s="14" cm="1">
        <f t="array" ref="X155">INT(SUMPRODUCT(--ISNUMBER(SEARCH(voting,C155)))&gt;0)</f>
        <v>1</v>
      </c>
      <c r="Y155" s="35" cm="1">
        <f t="array" ref="Y155">INT(SUMPRODUCT(--ISNUMBER(SEARCH(republicantrigger,C155)))&gt;0)</f>
        <v>1</v>
      </c>
      <c r="Z155" s="35" cm="1">
        <f t="array" ref="Z155">INT(SUMPRODUCT(--ISNUMBER(SEARCH(bipartisan,C155)))&gt;0)</f>
        <v>0</v>
      </c>
      <c r="AA155" s="35">
        <f t="shared" si="2"/>
        <v>0</v>
      </c>
      <c r="AB155" s="14"/>
      <c r="AC155" s="30">
        <v>0</v>
      </c>
      <c r="AD155" s="37">
        <v>1</v>
      </c>
    </row>
    <row r="156" spans="1:30" x14ac:dyDescent="0.25">
      <c r="A156" s="36">
        <v>3379</v>
      </c>
      <c r="B156" s="14" t="s">
        <v>6783</v>
      </c>
      <c r="C156" s="31" t="s">
        <v>6784</v>
      </c>
      <c r="D156" s="17">
        <v>44114</v>
      </c>
      <c r="E156" s="14" t="s">
        <v>30</v>
      </c>
      <c r="F156" s="14">
        <v>112</v>
      </c>
      <c r="G156" s="14">
        <v>40</v>
      </c>
      <c r="H156" s="14">
        <v>15</v>
      </c>
      <c r="I156" s="14">
        <v>8</v>
      </c>
      <c r="J156" s="14" t="s">
        <v>31</v>
      </c>
      <c r="K156" s="14" cm="1">
        <f t="array" ref="K156">INT(SUMPRODUCT(--ISNUMBER(SEARCH(economy,C156)))&gt;0)</f>
        <v>0</v>
      </c>
      <c r="L156" s="14" cm="1">
        <f t="array" ref="L156">INT(SUMPRODUCT(--ISNUMBER(SEARCH(healthcare,C156)))&gt;0)</f>
        <v>0</v>
      </c>
      <c r="M156" s="14" cm="1">
        <f t="array" ref="M156">INT(SUMPRODUCT(--ISNUMBER(SEARCH(supreme,C156)))&gt;0)</f>
        <v>0</v>
      </c>
      <c r="N156" s="14" cm="1">
        <f t="array" ref="N156">INT(SUMPRODUCT(--ISNUMBER(SEARCH(covid,C156)))&gt;0)</f>
        <v>0</v>
      </c>
      <c r="O156" s="14" cm="1">
        <f t="array" ref="O156">INT(SUMPRODUCT(--ISNUMBER(SEARCH(violent,C156)))&gt;0)</f>
        <v>0</v>
      </c>
      <c r="P156" s="14" cm="1">
        <f t="array" ref="P156">INT(SUMPRODUCT(--ISNUMBER(SEARCH(foreign,C156)))&gt;0)</f>
        <v>0</v>
      </c>
      <c r="Q156" s="14" cm="1">
        <f t="array" ref="Q156">INT(SUMPRODUCT(--ISNUMBER(SEARCH(gun,C156)))&gt;0)</f>
        <v>0</v>
      </c>
      <c r="R156" s="14" cm="1">
        <f t="array" ref="R156">INT(SUMPRODUCT(--ISNUMBER(SEARCH(race,C156)))&gt;0)</f>
        <v>0</v>
      </c>
      <c r="S156" s="14" cm="1">
        <f t="array" ref="S156">INT(SUMPRODUCT(--ISNUMBER(SEARCH(immigration,C156)))&gt;0)</f>
        <v>0</v>
      </c>
      <c r="T156" s="14" cm="1">
        <f t="array" ref="T156">INT(SUMPRODUCT(--ISNUMBER(SEARCH(econineq,C157)))&gt;0)</f>
        <v>0</v>
      </c>
      <c r="U156" s="14" cm="1">
        <f t="array" ref="U156">INT(SUMPRODUCT(--ISNUMBER(SEARCH(climate,C156)))&gt;0)</f>
        <v>1</v>
      </c>
      <c r="V156" s="14" cm="1">
        <f t="array" ref="V156">INT(SUMPRODUCT(--ISNUMBER(SEARCH(abortion,C156)))&gt;0)</f>
        <v>0</v>
      </c>
      <c r="W156" s="14" cm="1">
        <f t="array" ref="W156">INT(SUMPRODUCT(--ISNUMBER(SEARCH(trump,C156)))&gt;0)</f>
        <v>0</v>
      </c>
      <c r="X156" s="14" cm="1">
        <f t="array" ref="X156">INT(SUMPRODUCT(--ISNUMBER(SEARCH(voting,C156)))&gt;0)</f>
        <v>0</v>
      </c>
      <c r="Y156" s="35" cm="1">
        <f t="array" ref="Y156">INT(SUMPRODUCT(--ISNUMBER(SEARCH(republicantrigger,C156)))&gt;0)</f>
        <v>0</v>
      </c>
      <c r="Z156" s="35" cm="1">
        <f t="array" ref="Z156">INT(SUMPRODUCT(--ISNUMBER(SEARCH(bipartisan,C156)))&gt;0)</f>
        <v>0</v>
      </c>
      <c r="AA156" s="35">
        <f t="shared" si="2"/>
        <v>0</v>
      </c>
      <c r="AB156" s="14"/>
      <c r="AC156" s="30">
        <v>0</v>
      </c>
      <c r="AD156" s="37">
        <v>1</v>
      </c>
    </row>
    <row r="157" spans="1:30" x14ac:dyDescent="0.25">
      <c r="A157" s="36">
        <v>3380</v>
      </c>
      <c r="B157" s="14" t="s">
        <v>6785</v>
      </c>
      <c r="C157" s="31" t="s">
        <v>6786</v>
      </c>
      <c r="D157" s="17">
        <v>44114</v>
      </c>
      <c r="E157" s="14" t="s">
        <v>30</v>
      </c>
      <c r="F157" s="14">
        <v>61</v>
      </c>
      <c r="G157" s="14">
        <v>22</v>
      </c>
      <c r="H157" s="14">
        <v>15</v>
      </c>
      <c r="I157" s="14">
        <v>8</v>
      </c>
      <c r="J157" s="14" t="s">
        <v>31</v>
      </c>
      <c r="K157" s="14" cm="1">
        <f t="array" ref="K157">INT(SUMPRODUCT(--ISNUMBER(SEARCH(economy,C157)))&gt;0)</f>
        <v>0</v>
      </c>
      <c r="L157" s="14" cm="1">
        <f t="array" ref="L157">INT(SUMPRODUCT(--ISNUMBER(SEARCH(healthcare,C157)))&gt;0)</f>
        <v>0</v>
      </c>
      <c r="M157" s="14" cm="1">
        <f t="array" ref="M157">INT(SUMPRODUCT(--ISNUMBER(SEARCH(supreme,C157)))&gt;0)</f>
        <v>0</v>
      </c>
      <c r="N157" s="14" cm="1">
        <f t="array" ref="N157">INT(SUMPRODUCT(--ISNUMBER(SEARCH(covid,C157)))&gt;0)</f>
        <v>0</v>
      </c>
      <c r="O157" s="14" cm="1">
        <f t="array" ref="O157">INT(SUMPRODUCT(--ISNUMBER(SEARCH(violent,C157)))&gt;0)</f>
        <v>0</v>
      </c>
      <c r="P157" s="14" cm="1">
        <f t="array" ref="P157">INT(SUMPRODUCT(--ISNUMBER(SEARCH(foreign,C157)))&gt;0)</f>
        <v>0</v>
      </c>
      <c r="Q157" s="14" cm="1">
        <f t="array" ref="Q157">INT(SUMPRODUCT(--ISNUMBER(SEARCH(gun,C157)))&gt;0)</f>
        <v>0</v>
      </c>
      <c r="R157" s="14" cm="1">
        <f t="array" ref="R157">INT(SUMPRODUCT(--ISNUMBER(SEARCH(race,C157)))&gt;0)</f>
        <v>0</v>
      </c>
      <c r="S157" s="14" cm="1">
        <f t="array" ref="S157">INT(SUMPRODUCT(--ISNUMBER(SEARCH(immigration,C157)))&gt;0)</f>
        <v>0</v>
      </c>
      <c r="T157" s="14" cm="1">
        <f t="array" ref="T157">INT(SUMPRODUCT(--ISNUMBER(SEARCH(econineq,C158)))&gt;0)</f>
        <v>0</v>
      </c>
      <c r="U157" s="14" cm="1">
        <f t="array" ref="U157">INT(SUMPRODUCT(--ISNUMBER(SEARCH(climate,C157)))&gt;0)</f>
        <v>0</v>
      </c>
      <c r="V157" s="14" cm="1">
        <f t="array" ref="V157">INT(SUMPRODUCT(--ISNUMBER(SEARCH(abortion,C157)))&gt;0)</f>
        <v>0</v>
      </c>
      <c r="W157" s="14" cm="1">
        <f t="array" ref="W157">INT(SUMPRODUCT(--ISNUMBER(SEARCH(trump,C157)))&gt;0)</f>
        <v>0</v>
      </c>
      <c r="X157" s="14" cm="1">
        <f t="array" ref="X157">INT(SUMPRODUCT(--ISNUMBER(SEARCH(voting,C157)))&gt;0)</f>
        <v>0</v>
      </c>
      <c r="Y157" s="35" cm="1">
        <f t="array" ref="Y157">INT(SUMPRODUCT(--ISNUMBER(SEARCH(republicantrigger,C157)))&gt;0)</f>
        <v>1</v>
      </c>
      <c r="Z157" s="35" cm="1">
        <f t="array" ref="Z157">INT(SUMPRODUCT(--ISNUMBER(SEARCH(bipartisan,C157)))&gt;0)</f>
        <v>0</v>
      </c>
      <c r="AA157" s="35">
        <f t="shared" si="2"/>
        <v>0</v>
      </c>
      <c r="AB157" s="14"/>
      <c r="AC157" s="30" t="s">
        <v>223</v>
      </c>
      <c r="AD157" s="37" t="s">
        <v>223</v>
      </c>
    </row>
    <row r="158" spans="1:30" x14ac:dyDescent="0.25">
      <c r="A158" s="36">
        <v>3381</v>
      </c>
      <c r="B158" s="14" t="s">
        <v>6787</v>
      </c>
      <c r="C158" s="31" t="s">
        <v>6788</v>
      </c>
      <c r="D158" s="17">
        <v>44113</v>
      </c>
      <c r="E158" s="14" t="s">
        <v>30</v>
      </c>
      <c r="F158" s="14">
        <v>293</v>
      </c>
      <c r="G158" s="14">
        <v>104</v>
      </c>
      <c r="H158" s="14">
        <v>15</v>
      </c>
      <c r="I158" s="14">
        <v>8</v>
      </c>
      <c r="J158" s="14" t="s">
        <v>31</v>
      </c>
      <c r="K158" s="14" cm="1">
        <f t="array" ref="K158">INT(SUMPRODUCT(--ISNUMBER(SEARCH(economy,C158)))&gt;0)</f>
        <v>0</v>
      </c>
      <c r="L158" s="14" cm="1">
        <f t="array" ref="L158">INT(SUMPRODUCT(--ISNUMBER(SEARCH(healthcare,C158)))&gt;0)</f>
        <v>0</v>
      </c>
      <c r="M158" s="14" cm="1">
        <f t="array" ref="M158">INT(SUMPRODUCT(--ISNUMBER(SEARCH(supreme,C158)))&gt;0)</f>
        <v>0</v>
      </c>
      <c r="N158" s="14" cm="1">
        <f t="array" ref="N158">INT(SUMPRODUCT(--ISNUMBER(SEARCH(covid,C158)))&gt;0)</f>
        <v>0</v>
      </c>
      <c r="O158" s="14" cm="1">
        <f t="array" ref="O158">INT(SUMPRODUCT(--ISNUMBER(SEARCH(violent,C158)))&gt;0)</f>
        <v>0</v>
      </c>
      <c r="P158" s="14" cm="1">
        <f t="array" ref="P158">INT(SUMPRODUCT(--ISNUMBER(SEARCH(foreign,C158)))&gt;0)</f>
        <v>0</v>
      </c>
      <c r="Q158" s="14" cm="1">
        <f t="array" ref="Q158">INT(SUMPRODUCT(--ISNUMBER(SEARCH(gun,C158)))&gt;0)</f>
        <v>0</v>
      </c>
      <c r="R158" s="14" cm="1">
        <f t="array" ref="R158">INT(SUMPRODUCT(--ISNUMBER(SEARCH(race,C158)))&gt;0)</f>
        <v>0</v>
      </c>
      <c r="S158" s="14" cm="1">
        <f t="array" ref="S158">INT(SUMPRODUCT(--ISNUMBER(SEARCH(immigration,C158)))&gt;0)</f>
        <v>0</v>
      </c>
      <c r="T158" s="14" cm="1">
        <f t="array" ref="T158">INT(SUMPRODUCT(--ISNUMBER(SEARCH(econineq,C159)))&gt;0)</f>
        <v>0</v>
      </c>
      <c r="U158" s="14" cm="1">
        <f t="array" ref="U158">INT(SUMPRODUCT(--ISNUMBER(SEARCH(climate,C158)))&gt;0)</f>
        <v>0</v>
      </c>
      <c r="V158" s="14" cm="1">
        <f t="array" ref="V158">INT(SUMPRODUCT(--ISNUMBER(SEARCH(abortion,C158)))&gt;0)</f>
        <v>0</v>
      </c>
      <c r="W158" s="14" cm="1">
        <f t="array" ref="W158">INT(SUMPRODUCT(--ISNUMBER(SEARCH(trump,C158)))&gt;0)</f>
        <v>0</v>
      </c>
      <c r="X158" s="14" cm="1">
        <f t="array" ref="X158">INT(SUMPRODUCT(--ISNUMBER(SEARCH(voting,C158)))&gt;0)</f>
        <v>1</v>
      </c>
      <c r="Y158" s="35" cm="1">
        <f t="array" ref="Y158">INT(SUMPRODUCT(--ISNUMBER(SEARCH(republicantrigger,C158)))&gt;0)</f>
        <v>1</v>
      </c>
      <c r="Z158" s="35" cm="1">
        <f t="array" ref="Z158">INT(SUMPRODUCT(--ISNUMBER(SEARCH(bipartisan,C158)))&gt;0)</f>
        <v>0</v>
      </c>
      <c r="AA158" s="35">
        <f t="shared" si="2"/>
        <v>0</v>
      </c>
      <c r="AB158" s="14"/>
      <c r="AC158" s="30" t="s">
        <v>223</v>
      </c>
      <c r="AD158" s="37" t="s">
        <v>223</v>
      </c>
    </row>
    <row r="159" spans="1:30" x14ac:dyDescent="0.25">
      <c r="A159" s="36">
        <v>3382</v>
      </c>
      <c r="B159" s="14" t="s">
        <v>6789</v>
      </c>
      <c r="C159" s="31" t="s">
        <v>6790</v>
      </c>
      <c r="D159" s="17">
        <v>44113</v>
      </c>
      <c r="E159" s="14" t="s">
        <v>30</v>
      </c>
      <c r="F159" s="14">
        <v>67</v>
      </c>
      <c r="G159" s="14">
        <v>37</v>
      </c>
      <c r="H159" s="14">
        <v>15</v>
      </c>
      <c r="I159" s="14">
        <v>8</v>
      </c>
      <c r="J159" s="14" t="s">
        <v>31</v>
      </c>
      <c r="K159" s="14" cm="1">
        <f t="array" ref="K159">INT(SUMPRODUCT(--ISNUMBER(SEARCH(economy,C159)))&gt;0)</f>
        <v>0</v>
      </c>
      <c r="L159" s="14" cm="1">
        <f t="array" ref="L159">INT(SUMPRODUCT(--ISNUMBER(SEARCH(healthcare,C159)))&gt;0)</f>
        <v>0</v>
      </c>
      <c r="M159" s="14" cm="1">
        <f t="array" ref="M159">INT(SUMPRODUCT(--ISNUMBER(SEARCH(supreme,C159)))&gt;0)</f>
        <v>0</v>
      </c>
      <c r="N159" s="14" cm="1">
        <f t="array" ref="N159">INT(SUMPRODUCT(--ISNUMBER(SEARCH(covid,C159)))&gt;0)</f>
        <v>0</v>
      </c>
      <c r="O159" s="14" cm="1">
        <f t="array" ref="O159">INT(SUMPRODUCT(--ISNUMBER(SEARCH(violent,C159)))&gt;0)</f>
        <v>0</v>
      </c>
      <c r="P159" s="14" cm="1">
        <f t="array" ref="P159">INT(SUMPRODUCT(--ISNUMBER(SEARCH(foreign,C159)))&gt;0)</f>
        <v>0</v>
      </c>
      <c r="Q159" s="14" cm="1">
        <f t="array" ref="Q159">INT(SUMPRODUCT(--ISNUMBER(SEARCH(gun,C159)))&gt;0)</f>
        <v>0</v>
      </c>
      <c r="R159" s="14" cm="1">
        <f t="array" ref="R159">INT(SUMPRODUCT(--ISNUMBER(SEARCH(race,C159)))&gt;0)</f>
        <v>0</v>
      </c>
      <c r="S159" s="14" cm="1">
        <f t="array" ref="S159">INT(SUMPRODUCT(--ISNUMBER(SEARCH(immigration,C159)))&gt;0)</f>
        <v>0</v>
      </c>
      <c r="T159" s="14" cm="1">
        <f t="array" ref="T159">INT(SUMPRODUCT(--ISNUMBER(SEARCH(econineq,C160)))&gt;0)</f>
        <v>0</v>
      </c>
      <c r="U159" s="14" cm="1">
        <f t="array" ref="U159">INT(SUMPRODUCT(--ISNUMBER(SEARCH(climate,C159)))&gt;0)</f>
        <v>0</v>
      </c>
      <c r="V159" s="14" cm="1">
        <f t="array" ref="V159">INT(SUMPRODUCT(--ISNUMBER(SEARCH(abortion,C159)))&gt;0)</f>
        <v>0</v>
      </c>
      <c r="W159" s="14" cm="1">
        <f t="array" ref="W159">INT(SUMPRODUCT(--ISNUMBER(SEARCH(trump,C159)))&gt;0)</f>
        <v>0</v>
      </c>
      <c r="X159" s="14" cm="1">
        <f t="array" ref="X159">INT(SUMPRODUCT(--ISNUMBER(SEARCH(voting,C159)))&gt;0)</f>
        <v>1</v>
      </c>
      <c r="Y159" s="35" cm="1">
        <f t="array" ref="Y159">INT(SUMPRODUCT(--ISNUMBER(SEARCH(republicantrigger,C159)))&gt;0)</f>
        <v>1</v>
      </c>
      <c r="Z159" s="35" cm="1">
        <f t="array" ref="Z159">INT(SUMPRODUCT(--ISNUMBER(SEARCH(bipartisan,C159)))&gt;0)</f>
        <v>0</v>
      </c>
      <c r="AA159" s="35">
        <f t="shared" si="2"/>
        <v>0</v>
      </c>
      <c r="AB159" s="14"/>
      <c r="AC159" s="30">
        <v>0</v>
      </c>
      <c r="AD159" s="37">
        <v>1</v>
      </c>
    </row>
    <row r="160" spans="1:30" x14ac:dyDescent="0.25">
      <c r="A160" s="36">
        <v>3383</v>
      </c>
      <c r="B160" s="14" t="s">
        <v>6791</v>
      </c>
      <c r="C160" s="31" t="s">
        <v>6792</v>
      </c>
      <c r="D160" s="17">
        <v>44113</v>
      </c>
      <c r="E160" s="14" t="s">
        <v>30</v>
      </c>
      <c r="F160" s="14">
        <v>35</v>
      </c>
      <c r="G160" s="14">
        <v>22</v>
      </c>
      <c r="H160" s="14">
        <v>15</v>
      </c>
      <c r="I160" s="14">
        <v>8</v>
      </c>
      <c r="J160" s="14" t="s">
        <v>31</v>
      </c>
      <c r="K160" s="14" cm="1">
        <f t="array" ref="K160">INT(SUMPRODUCT(--ISNUMBER(SEARCH(economy,C160)))&gt;0)</f>
        <v>0</v>
      </c>
      <c r="L160" s="14" cm="1">
        <f t="array" ref="L160">INT(SUMPRODUCT(--ISNUMBER(SEARCH(healthcare,C160)))&gt;0)</f>
        <v>0</v>
      </c>
      <c r="M160" s="14" cm="1">
        <f t="array" ref="M160">INT(SUMPRODUCT(--ISNUMBER(SEARCH(supreme,C160)))&gt;0)</f>
        <v>0</v>
      </c>
      <c r="N160" s="14" cm="1">
        <f t="array" ref="N160">INT(SUMPRODUCT(--ISNUMBER(SEARCH(covid,C160)))&gt;0)</f>
        <v>0</v>
      </c>
      <c r="O160" s="14" cm="1">
        <f t="array" ref="O160">INT(SUMPRODUCT(--ISNUMBER(SEARCH(violent,C160)))&gt;0)</f>
        <v>0</v>
      </c>
      <c r="P160" s="14" cm="1">
        <f t="array" ref="P160">INT(SUMPRODUCT(--ISNUMBER(SEARCH(foreign,C160)))&gt;0)</f>
        <v>0</v>
      </c>
      <c r="Q160" s="14" cm="1">
        <f t="array" ref="Q160">INT(SUMPRODUCT(--ISNUMBER(SEARCH(gun,C160)))&gt;0)</f>
        <v>0</v>
      </c>
      <c r="R160" s="14" cm="1">
        <f t="array" ref="R160">INT(SUMPRODUCT(--ISNUMBER(SEARCH(race,C160)))&gt;0)</f>
        <v>0</v>
      </c>
      <c r="S160" s="14" cm="1">
        <f t="array" ref="S160">INT(SUMPRODUCT(--ISNUMBER(SEARCH(immigration,C160)))&gt;0)</f>
        <v>0</v>
      </c>
      <c r="T160" s="14" cm="1">
        <f t="array" ref="T160">INT(SUMPRODUCT(--ISNUMBER(SEARCH(econineq,C161)))&gt;0)</f>
        <v>0</v>
      </c>
      <c r="U160" s="14" cm="1">
        <f t="array" ref="U160">INT(SUMPRODUCT(--ISNUMBER(SEARCH(climate,C160)))&gt;0)</f>
        <v>1</v>
      </c>
      <c r="V160" s="14" cm="1">
        <f t="array" ref="V160">INT(SUMPRODUCT(--ISNUMBER(SEARCH(abortion,C160)))&gt;0)</f>
        <v>0</v>
      </c>
      <c r="W160" s="14" cm="1">
        <f t="array" ref="W160">INT(SUMPRODUCT(--ISNUMBER(SEARCH(trump,C160)))&gt;0)</f>
        <v>0</v>
      </c>
      <c r="X160" s="14" cm="1">
        <f t="array" ref="X160">INT(SUMPRODUCT(--ISNUMBER(SEARCH(voting,C160)))&gt;0)</f>
        <v>0</v>
      </c>
      <c r="Y160" s="35" cm="1">
        <f t="array" ref="Y160">INT(SUMPRODUCT(--ISNUMBER(SEARCH(republicantrigger,C160)))&gt;0)</f>
        <v>1</v>
      </c>
      <c r="Z160" s="35" cm="1">
        <f t="array" ref="Z160">INT(SUMPRODUCT(--ISNUMBER(SEARCH(bipartisan,C160)))&gt;0)</f>
        <v>0</v>
      </c>
      <c r="AA160" s="35">
        <f t="shared" si="2"/>
        <v>0</v>
      </c>
      <c r="AB160" s="14"/>
      <c r="AC160" s="30" t="s">
        <v>223</v>
      </c>
      <c r="AD160" s="37" t="s">
        <v>223</v>
      </c>
    </row>
    <row r="161" spans="1:30" x14ac:dyDescent="0.25">
      <c r="A161" s="36">
        <v>3384</v>
      </c>
      <c r="B161" s="14" t="s">
        <v>6793</v>
      </c>
      <c r="C161" s="31" t="s">
        <v>6794</v>
      </c>
      <c r="D161" s="17">
        <v>44113</v>
      </c>
      <c r="E161" s="14" t="s">
        <v>30</v>
      </c>
      <c r="F161" s="14">
        <v>73</v>
      </c>
      <c r="G161" s="14">
        <v>39</v>
      </c>
      <c r="H161" s="14">
        <v>15</v>
      </c>
      <c r="I161" s="14">
        <v>8</v>
      </c>
      <c r="J161" s="14" t="s">
        <v>31</v>
      </c>
      <c r="K161" s="14" cm="1">
        <f t="array" ref="K161">INT(SUMPRODUCT(--ISNUMBER(SEARCH(economy,C161)))&gt;0)</f>
        <v>0</v>
      </c>
      <c r="L161" s="14" cm="1">
        <f t="array" ref="L161">INT(SUMPRODUCT(--ISNUMBER(SEARCH(healthcare,C161)))&gt;0)</f>
        <v>0</v>
      </c>
      <c r="M161" s="14" cm="1">
        <f t="array" ref="M161">INT(SUMPRODUCT(--ISNUMBER(SEARCH(supreme,C161)))&gt;0)</f>
        <v>0</v>
      </c>
      <c r="N161" s="14" cm="1">
        <f t="array" ref="N161">INT(SUMPRODUCT(--ISNUMBER(SEARCH(covid,C161)))&gt;0)</f>
        <v>0</v>
      </c>
      <c r="O161" s="14" cm="1">
        <f t="array" ref="O161">INT(SUMPRODUCT(--ISNUMBER(SEARCH(violent,C161)))&gt;0)</f>
        <v>0</v>
      </c>
      <c r="P161" s="14" cm="1">
        <f t="array" ref="P161">INT(SUMPRODUCT(--ISNUMBER(SEARCH(foreign,C161)))&gt;0)</f>
        <v>0</v>
      </c>
      <c r="Q161" s="14" cm="1">
        <f t="array" ref="Q161">INT(SUMPRODUCT(--ISNUMBER(SEARCH(gun,C161)))&gt;0)</f>
        <v>0</v>
      </c>
      <c r="R161" s="14" cm="1">
        <f t="array" ref="R161">INT(SUMPRODUCT(--ISNUMBER(SEARCH(race,C161)))&gt;0)</f>
        <v>0</v>
      </c>
      <c r="S161" s="14" cm="1">
        <f t="array" ref="S161">INT(SUMPRODUCT(--ISNUMBER(SEARCH(immigration,C161)))&gt;0)</f>
        <v>0</v>
      </c>
      <c r="T161" s="14" cm="1">
        <f t="array" ref="T161">INT(SUMPRODUCT(--ISNUMBER(SEARCH(econineq,C162)))&gt;0)</f>
        <v>0</v>
      </c>
      <c r="U161" s="14" cm="1">
        <f t="array" ref="U161">INT(SUMPRODUCT(--ISNUMBER(SEARCH(climate,C161)))&gt;0)</f>
        <v>0</v>
      </c>
      <c r="V161" s="14" cm="1">
        <f t="array" ref="V161">INT(SUMPRODUCT(--ISNUMBER(SEARCH(abortion,C161)))&gt;0)</f>
        <v>0</v>
      </c>
      <c r="W161" s="14" cm="1">
        <f t="array" ref="W161">INT(SUMPRODUCT(--ISNUMBER(SEARCH(trump,C161)))&gt;0)</f>
        <v>0</v>
      </c>
      <c r="X161" s="14" cm="1">
        <f t="array" ref="X161">INT(SUMPRODUCT(--ISNUMBER(SEARCH(voting,C161)))&gt;0)</f>
        <v>1</v>
      </c>
      <c r="Y161" s="35" cm="1">
        <f t="array" ref="Y161">INT(SUMPRODUCT(--ISNUMBER(SEARCH(republicantrigger,C161)))&gt;0)</f>
        <v>1</v>
      </c>
      <c r="Z161" s="35" cm="1">
        <f t="array" ref="Z161">INT(SUMPRODUCT(--ISNUMBER(SEARCH(bipartisan,C161)))&gt;0)</f>
        <v>0</v>
      </c>
      <c r="AA161" s="35">
        <f t="shared" si="2"/>
        <v>0</v>
      </c>
      <c r="AB161" s="14"/>
      <c r="AC161" s="30" t="s">
        <v>223</v>
      </c>
      <c r="AD161" s="37" t="s">
        <v>223</v>
      </c>
    </row>
    <row r="162" spans="1:30" x14ac:dyDescent="0.25">
      <c r="A162" s="36">
        <v>3385</v>
      </c>
      <c r="B162" s="14" t="s">
        <v>6795</v>
      </c>
      <c r="C162" s="31" t="s">
        <v>6796</v>
      </c>
      <c r="D162" s="17">
        <v>44113</v>
      </c>
      <c r="E162" s="14" t="s">
        <v>30</v>
      </c>
      <c r="F162" s="14">
        <v>114</v>
      </c>
      <c r="G162" s="14">
        <v>58</v>
      </c>
      <c r="H162" s="14">
        <v>15</v>
      </c>
      <c r="I162" s="14">
        <v>8</v>
      </c>
      <c r="J162" s="14" t="s">
        <v>31</v>
      </c>
      <c r="K162" s="14" cm="1">
        <f t="array" ref="K162">INT(SUMPRODUCT(--ISNUMBER(SEARCH(economy,C162)))&gt;0)</f>
        <v>0</v>
      </c>
      <c r="L162" s="14" cm="1">
        <f t="array" ref="L162">INT(SUMPRODUCT(--ISNUMBER(SEARCH(healthcare,C162)))&gt;0)</f>
        <v>0</v>
      </c>
      <c r="M162" s="14" cm="1">
        <f t="array" ref="M162">INT(SUMPRODUCT(--ISNUMBER(SEARCH(supreme,C162)))&gt;0)</f>
        <v>0</v>
      </c>
      <c r="N162" s="14" cm="1">
        <f t="array" ref="N162">INT(SUMPRODUCT(--ISNUMBER(SEARCH(covid,C162)))&gt;0)</f>
        <v>0</v>
      </c>
      <c r="O162" s="14" cm="1">
        <f t="array" ref="O162">INT(SUMPRODUCT(--ISNUMBER(SEARCH(violent,C162)))&gt;0)</f>
        <v>0</v>
      </c>
      <c r="P162" s="14" cm="1">
        <f t="array" ref="P162">INT(SUMPRODUCT(--ISNUMBER(SEARCH(foreign,C162)))&gt;0)</f>
        <v>0</v>
      </c>
      <c r="Q162" s="14" cm="1">
        <f t="array" ref="Q162">INT(SUMPRODUCT(--ISNUMBER(SEARCH(gun,C162)))&gt;0)</f>
        <v>0</v>
      </c>
      <c r="R162" s="14" cm="1">
        <f t="array" ref="R162">INT(SUMPRODUCT(--ISNUMBER(SEARCH(race,C162)))&gt;0)</f>
        <v>0</v>
      </c>
      <c r="S162" s="14" cm="1">
        <f t="array" ref="S162">INT(SUMPRODUCT(--ISNUMBER(SEARCH(immigration,C162)))&gt;0)</f>
        <v>0</v>
      </c>
      <c r="T162" s="14" cm="1">
        <f t="array" ref="T162">INT(SUMPRODUCT(--ISNUMBER(SEARCH(econineq,C163)))&gt;0)</f>
        <v>0</v>
      </c>
      <c r="U162" s="14" cm="1">
        <f t="array" ref="U162">INT(SUMPRODUCT(--ISNUMBER(SEARCH(climate,C162)))&gt;0)</f>
        <v>1</v>
      </c>
      <c r="V162" s="14" cm="1">
        <f t="array" ref="V162">INT(SUMPRODUCT(--ISNUMBER(SEARCH(abortion,C162)))&gt;0)</f>
        <v>0</v>
      </c>
      <c r="W162" s="14" cm="1">
        <f t="array" ref="W162">INT(SUMPRODUCT(--ISNUMBER(SEARCH(trump,C162)))&gt;0)</f>
        <v>0</v>
      </c>
      <c r="X162" s="14" cm="1">
        <f t="array" ref="X162">INT(SUMPRODUCT(--ISNUMBER(SEARCH(voting,C162)))&gt;0)</f>
        <v>0</v>
      </c>
      <c r="Y162" s="35" cm="1">
        <f t="array" ref="Y162">INT(SUMPRODUCT(--ISNUMBER(SEARCH(republicantrigger,C162)))&gt;0)</f>
        <v>1</v>
      </c>
      <c r="Z162" s="35" cm="1">
        <f t="array" ref="Z162">INT(SUMPRODUCT(--ISNUMBER(SEARCH(bipartisan,C162)))&gt;0)</f>
        <v>0</v>
      </c>
      <c r="AA162" s="35">
        <f t="shared" si="2"/>
        <v>0</v>
      </c>
      <c r="AB162" s="14"/>
      <c r="AC162" s="30">
        <v>0</v>
      </c>
      <c r="AD162" s="37">
        <v>1</v>
      </c>
    </row>
    <row r="163" spans="1:30" x14ac:dyDescent="0.25">
      <c r="A163" s="36">
        <v>3386</v>
      </c>
      <c r="B163" s="14" t="s">
        <v>6797</v>
      </c>
      <c r="C163" s="31" t="s">
        <v>6798</v>
      </c>
      <c r="D163" s="17">
        <v>44112</v>
      </c>
      <c r="E163" s="14" t="s">
        <v>30</v>
      </c>
      <c r="F163" s="14">
        <v>102</v>
      </c>
      <c r="G163" s="14">
        <v>57</v>
      </c>
      <c r="H163" s="14">
        <v>15</v>
      </c>
      <c r="I163" s="14">
        <v>8</v>
      </c>
      <c r="J163" s="14" t="s">
        <v>31</v>
      </c>
      <c r="K163" s="14" cm="1">
        <f t="array" ref="K163">INT(SUMPRODUCT(--ISNUMBER(SEARCH(economy,C163)))&gt;0)</f>
        <v>0</v>
      </c>
      <c r="L163" s="14" cm="1">
        <f t="array" ref="L163">INT(SUMPRODUCT(--ISNUMBER(SEARCH(healthcare,C163)))&gt;0)</f>
        <v>0</v>
      </c>
      <c r="M163" s="14" cm="1">
        <f t="array" ref="M163">INT(SUMPRODUCT(--ISNUMBER(SEARCH(supreme,C163)))&gt;0)</f>
        <v>0</v>
      </c>
      <c r="N163" s="14" cm="1">
        <f t="array" ref="N163">INT(SUMPRODUCT(--ISNUMBER(SEARCH(covid,C163)))&gt;0)</f>
        <v>0</v>
      </c>
      <c r="O163" s="14" cm="1">
        <f t="array" ref="O163">INT(SUMPRODUCT(--ISNUMBER(SEARCH(violent,C163)))&gt;0)</f>
        <v>0</v>
      </c>
      <c r="P163" s="14" cm="1">
        <f t="array" ref="P163">INT(SUMPRODUCT(--ISNUMBER(SEARCH(foreign,C163)))&gt;0)</f>
        <v>0</v>
      </c>
      <c r="Q163" s="14" cm="1">
        <f t="array" ref="Q163">INT(SUMPRODUCT(--ISNUMBER(SEARCH(gun,C163)))&gt;0)</f>
        <v>0</v>
      </c>
      <c r="R163" s="14" cm="1">
        <f t="array" ref="R163">INT(SUMPRODUCT(--ISNUMBER(SEARCH(race,C163)))&gt;0)</f>
        <v>0</v>
      </c>
      <c r="S163" s="14" cm="1">
        <f t="array" ref="S163">INT(SUMPRODUCT(--ISNUMBER(SEARCH(immigration,C163)))&gt;0)</f>
        <v>0</v>
      </c>
      <c r="T163" s="14" cm="1">
        <f t="array" ref="T163">INT(SUMPRODUCT(--ISNUMBER(SEARCH(econineq,C164)))&gt;0)</f>
        <v>0</v>
      </c>
      <c r="U163" s="14" cm="1">
        <f t="array" ref="U163">INT(SUMPRODUCT(--ISNUMBER(SEARCH(climate,C163)))&gt;0)</f>
        <v>1</v>
      </c>
      <c r="V163" s="14" cm="1">
        <f t="array" ref="V163">INT(SUMPRODUCT(--ISNUMBER(SEARCH(abortion,C163)))&gt;0)</f>
        <v>0</v>
      </c>
      <c r="W163" s="14" cm="1">
        <f t="array" ref="W163">INT(SUMPRODUCT(--ISNUMBER(SEARCH(trump,C163)))&gt;0)</f>
        <v>0</v>
      </c>
      <c r="X163" s="14" cm="1">
        <f t="array" ref="X163">INT(SUMPRODUCT(--ISNUMBER(SEARCH(voting,C163)))&gt;0)</f>
        <v>1</v>
      </c>
      <c r="Y163" s="35" cm="1">
        <f t="array" ref="Y163">INT(SUMPRODUCT(--ISNUMBER(SEARCH(republicantrigger,C163)))&gt;0)</f>
        <v>1</v>
      </c>
      <c r="Z163" s="35" cm="1">
        <f t="array" ref="Z163">INT(SUMPRODUCT(--ISNUMBER(SEARCH(bipartisan,C163)))&gt;0)</f>
        <v>0</v>
      </c>
      <c r="AA163" s="35">
        <f t="shared" si="2"/>
        <v>0</v>
      </c>
      <c r="AB163" s="14"/>
      <c r="AC163" s="30">
        <v>0</v>
      </c>
      <c r="AD163" s="37">
        <v>1</v>
      </c>
    </row>
    <row r="164" spans="1:30" x14ac:dyDescent="0.25">
      <c r="A164" s="36">
        <v>3387</v>
      </c>
      <c r="B164" s="14" t="s">
        <v>6799</v>
      </c>
      <c r="C164" s="31" t="s">
        <v>6800</v>
      </c>
      <c r="D164" s="17">
        <v>44112</v>
      </c>
      <c r="E164" s="14" t="s">
        <v>30</v>
      </c>
      <c r="F164" s="14">
        <v>72</v>
      </c>
      <c r="G164" s="14">
        <v>38</v>
      </c>
      <c r="H164" s="14">
        <v>15</v>
      </c>
      <c r="I164" s="14">
        <v>8</v>
      </c>
      <c r="J164" s="14" t="s">
        <v>31</v>
      </c>
      <c r="K164" s="14" cm="1">
        <f t="array" ref="K164">INT(SUMPRODUCT(--ISNUMBER(SEARCH(economy,C164)))&gt;0)</f>
        <v>0</v>
      </c>
      <c r="L164" s="14" cm="1">
        <f t="array" ref="L164">INT(SUMPRODUCT(--ISNUMBER(SEARCH(healthcare,C164)))&gt;0)</f>
        <v>0</v>
      </c>
      <c r="M164" s="14" cm="1">
        <f t="array" ref="M164">INT(SUMPRODUCT(--ISNUMBER(SEARCH(supreme,C164)))&gt;0)</f>
        <v>0</v>
      </c>
      <c r="N164" s="14" cm="1">
        <f t="array" ref="N164">INT(SUMPRODUCT(--ISNUMBER(SEARCH(covid,C164)))&gt;0)</f>
        <v>0</v>
      </c>
      <c r="O164" s="14" cm="1">
        <f t="array" ref="O164">INT(SUMPRODUCT(--ISNUMBER(SEARCH(violent,C164)))&gt;0)</f>
        <v>0</v>
      </c>
      <c r="P164" s="14" cm="1">
        <f t="array" ref="P164">INT(SUMPRODUCT(--ISNUMBER(SEARCH(foreign,C164)))&gt;0)</f>
        <v>0</v>
      </c>
      <c r="Q164" s="14" cm="1">
        <f t="array" ref="Q164">INT(SUMPRODUCT(--ISNUMBER(SEARCH(gun,C164)))&gt;0)</f>
        <v>0</v>
      </c>
      <c r="R164" s="14" cm="1">
        <f t="array" ref="R164">INT(SUMPRODUCT(--ISNUMBER(SEARCH(race,C164)))&gt;0)</f>
        <v>0</v>
      </c>
      <c r="S164" s="14" cm="1">
        <f t="array" ref="S164">INT(SUMPRODUCT(--ISNUMBER(SEARCH(immigration,C164)))&gt;0)</f>
        <v>0</v>
      </c>
      <c r="T164" s="14" cm="1">
        <f t="array" ref="T164">INT(SUMPRODUCT(--ISNUMBER(SEARCH(econineq,C165)))&gt;0)</f>
        <v>0</v>
      </c>
      <c r="U164" s="14" cm="1">
        <f t="array" ref="U164">INT(SUMPRODUCT(--ISNUMBER(SEARCH(climate,C164)))&gt;0)</f>
        <v>1</v>
      </c>
      <c r="V164" s="14" cm="1">
        <f t="array" ref="V164">INT(SUMPRODUCT(--ISNUMBER(SEARCH(abortion,C164)))&gt;0)</f>
        <v>0</v>
      </c>
      <c r="W164" s="14" cm="1">
        <f t="array" ref="W164">INT(SUMPRODUCT(--ISNUMBER(SEARCH(trump,C164)))&gt;0)</f>
        <v>0</v>
      </c>
      <c r="X164" s="14" cm="1">
        <f t="array" ref="X164">INT(SUMPRODUCT(--ISNUMBER(SEARCH(voting,C164)))&gt;0)</f>
        <v>0</v>
      </c>
      <c r="Y164" s="35" cm="1">
        <f t="array" ref="Y164">INT(SUMPRODUCT(--ISNUMBER(SEARCH(republicantrigger,C164)))&gt;0)</f>
        <v>1</v>
      </c>
      <c r="Z164" s="35" cm="1">
        <f t="array" ref="Z164">INT(SUMPRODUCT(--ISNUMBER(SEARCH(bipartisan,C164)))&gt;0)</f>
        <v>0</v>
      </c>
      <c r="AA164" s="35">
        <f t="shared" si="2"/>
        <v>0</v>
      </c>
      <c r="AB164" s="14"/>
      <c r="AC164" s="30">
        <v>0</v>
      </c>
      <c r="AD164" s="37">
        <v>1</v>
      </c>
    </row>
    <row r="165" spans="1:30" x14ac:dyDescent="0.25">
      <c r="A165" s="36">
        <v>3388</v>
      </c>
      <c r="B165" s="14" t="s">
        <v>6801</v>
      </c>
      <c r="C165" s="31" t="s">
        <v>6802</v>
      </c>
      <c r="D165" s="17">
        <v>44112</v>
      </c>
      <c r="E165" s="14" t="s">
        <v>30</v>
      </c>
      <c r="F165" s="14">
        <v>27</v>
      </c>
      <c r="G165" s="14">
        <v>4</v>
      </c>
      <c r="H165" s="14">
        <v>15</v>
      </c>
      <c r="I165" s="14">
        <v>8</v>
      </c>
      <c r="J165" s="14" t="s">
        <v>31</v>
      </c>
      <c r="K165" s="14" cm="1">
        <f t="array" ref="K165">INT(SUMPRODUCT(--ISNUMBER(SEARCH(economy,C165)))&gt;0)</f>
        <v>0</v>
      </c>
      <c r="L165" s="14" cm="1">
        <f t="array" ref="L165">INT(SUMPRODUCT(--ISNUMBER(SEARCH(healthcare,C165)))&gt;0)</f>
        <v>0</v>
      </c>
      <c r="M165" s="14" cm="1">
        <f t="array" ref="M165">INT(SUMPRODUCT(--ISNUMBER(SEARCH(supreme,C165)))&gt;0)</f>
        <v>0</v>
      </c>
      <c r="N165" s="14" cm="1">
        <f t="array" ref="N165">INT(SUMPRODUCT(--ISNUMBER(SEARCH(covid,C165)))&gt;0)</f>
        <v>0</v>
      </c>
      <c r="O165" s="14" cm="1">
        <f t="array" ref="O165">INT(SUMPRODUCT(--ISNUMBER(SEARCH(violent,C165)))&gt;0)</f>
        <v>0</v>
      </c>
      <c r="P165" s="14" cm="1">
        <f t="array" ref="P165">INT(SUMPRODUCT(--ISNUMBER(SEARCH(foreign,C165)))&gt;0)</f>
        <v>0</v>
      </c>
      <c r="Q165" s="14" cm="1">
        <f t="array" ref="Q165">INT(SUMPRODUCT(--ISNUMBER(SEARCH(gun,C165)))&gt;0)</f>
        <v>0</v>
      </c>
      <c r="R165" s="14" cm="1">
        <f t="array" ref="R165">INT(SUMPRODUCT(--ISNUMBER(SEARCH(race,C165)))&gt;0)</f>
        <v>0</v>
      </c>
      <c r="S165" s="14" cm="1">
        <f t="array" ref="S165">INT(SUMPRODUCT(--ISNUMBER(SEARCH(immigration,C165)))&gt;0)</f>
        <v>0</v>
      </c>
      <c r="T165" s="14" cm="1">
        <f t="array" ref="T165">INT(SUMPRODUCT(--ISNUMBER(SEARCH(econineq,C166)))&gt;0)</f>
        <v>0</v>
      </c>
      <c r="U165" s="14" cm="1">
        <f t="array" ref="U165">INT(SUMPRODUCT(--ISNUMBER(SEARCH(climate,C165)))&gt;0)</f>
        <v>0</v>
      </c>
      <c r="V165" s="14" cm="1">
        <f t="array" ref="V165">INT(SUMPRODUCT(--ISNUMBER(SEARCH(abortion,C165)))&gt;0)</f>
        <v>0</v>
      </c>
      <c r="W165" s="14" cm="1">
        <f t="array" ref="W165">INT(SUMPRODUCT(--ISNUMBER(SEARCH(trump,C165)))&gt;0)</f>
        <v>0</v>
      </c>
      <c r="X165" s="14" cm="1">
        <f t="array" ref="X165">INT(SUMPRODUCT(--ISNUMBER(SEARCH(voting,C165)))&gt;0)</f>
        <v>0</v>
      </c>
      <c r="Y165" s="35" cm="1">
        <f t="array" ref="Y165">INT(SUMPRODUCT(--ISNUMBER(SEARCH(republicantrigger,C165)))&gt;0)</f>
        <v>0</v>
      </c>
      <c r="Z165" s="35" cm="1">
        <f t="array" ref="Z165">INT(SUMPRODUCT(--ISNUMBER(SEARCH(bipartisan,C165)))&gt;0)</f>
        <v>0</v>
      </c>
      <c r="AA165" s="35">
        <f t="shared" si="2"/>
        <v>1</v>
      </c>
      <c r="AB165" s="14"/>
      <c r="AC165" s="30" t="s">
        <v>223</v>
      </c>
      <c r="AD165" s="37" t="s">
        <v>223</v>
      </c>
    </row>
    <row r="166" spans="1:30" x14ac:dyDescent="0.25">
      <c r="A166" s="36">
        <v>3389</v>
      </c>
      <c r="B166" s="14" t="s">
        <v>6803</v>
      </c>
      <c r="C166" s="31" t="s">
        <v>6804</v>
      </c>
      <c r="D166" s="17">
        <v>44112</v>
      </c>
      <c r="E166" s="14" t="s">
        <v>30</v>
      </c>
      <c r="F166" s="14">
        <v>57</v>
      </c>
      <c r="G166" s="14">
        <v>33</v>
      </c>
      <c r="H166" s="14">
        <v>15</v>
      </c>
      <c r="I166" s="14">
        <v>8</v>
      </c>
      <c r="J166" s="14" t="s">
        <v>31</v>
      </c>
      <c r="K166" s="14" cm="1">
        <f t="array" ref="K166">INT(SUMPRODUCT(--ISNUMBER(SEARCH(economy,C166)))&gt;0)</f>
        <v>0</v>
      </c>
      <c r="L166" s="14" cm="1">
        <f t="array" ref="L166">INT(SUMPRODUCT(--ISNUMBER(SEARCH(healthcare,C166)))&gt;0)</f>
        <v>0</v>
      </c>
      <c r="M166" s="14" cm="1">
        <f t="array" ref="M166">INT(SUMPRODUCT(--ISNUMBER(SEARCH(supreme,C166)))&gt;0)</f>
        <v>0</v>
      </c>
      <c r="N166" s="14" cm="1">
        <f t="array" ref="N166">INT(SUMPRODUCT(--ISNUMBER(SEARCH(covid,C166)))&gt;0)</f>
        <v>0</v>
      </c>
      <c r="O166" s="14" cm="1">
        <f t="array" ref="O166">INT(SUMPRODUCT(--ISNUMBER(SEARCH(violent,C166)))&gt;0)</f>
        <v>0</v>
      </c>
      <c r="P166" s="14" cm="1">
        <f t="array" ref="P166">INT(SUMPRODUCT(--ISNUMBER(SEARCH(foreign,C166)))&gt;0)</f>
        <v>0</v>
      </c>
      <c r="Q166" s="14" cm="1">
        <f t="array" ref="Q166">INT(SUMPRODUCT(--ISNUMBER(SEARCH(gun,C166)))&gt;0)</f>
        <v>0</v>
      </c>
      <c r="R166" s="14" cm="1">
        <f t="array" ref="R166">INT(SUMPRODUCT(--ISNUMBER(SEARCH(race,C166)))&gt;0)</f>
        <v>0</v>
      </c>
      <c r="S166" s="14" cm="1">
        <f t="array" ref="S166">INT(SUMPRODUCT(--ISNUMBER(SEARCH(immigration,C166)))&gt;0)</f>
        <v>0</v>
      </c>
      <c r="T166" s="14" cm="1">
        <f t="array" ref="T166">INT(SUMPRODUCT(--ISNUMBER(SEARCH(econineq,C167)))&gt;0)</f>
        <v>0</v>
      </c>
      <c r="U166" s="14" cm="1">
        <f t="array" ref="U166">INT(SUMPRODUCT(--ISNUMBER(SEARCH(climate,C166)))&gt;0)</f>
        <v>0</v>
      </c>
      <c r="V166" s="14" cm="1">
        <f t="array" ref="V166">INT(SUMPRODUCT(--ISNUMBER(SEARCH(abortion,C166)))&gt;0)</f>
        <v>0</v>
      </c>
      <c r="W166" s="14" cm="1">
        <f t="array" ref="W166">INT(SUMPRODUCT(--ISNUMBER(SEARCH(trump,C166)))&gt;0)</f>
        <v>0</v>
      </c>
      <c r="X166" s="14" cm="1">
        <f t="array" ref="X166">INT(SUMPRODUCT(--ISNUMBER(SEARCH(voting,C166)))&gt;0)</f>
        <v>1</v>
      </c>
      <c r="Y166" s="35" cm="1">
        <f t="array" ref="Y166">INT(SUMPRODUCT(--ISNUMBER(SEARCH(republicantrigger,C166)))&gt;0)</f>
        <v>1</v>
      </c>
      <c r="Z166" s="35" cm="1">
        <f t="array" ref="Z166">INT(SUMPRODUCT(--ISNUMBER(SEARCH(bipartisan,C166)))&gt;0)</f>
        <v>0</v>
      </c>
      <c r="AA166" s="35">
        <f t="shared" si="2"/>
        <v>0</v>
      </c>
      <c r="AB166" s="14"/>
      <c r="AC166" s="30" t="s">
        <v>223</v>
      </c>
      <c r="AD166" s="37" t="s">
        <v>223</v>
      </c>
    </row>
    <row r="167" spans="1:30" x14ac:dyDescent="0.25">
      <c r="A167" s="36">
        <v>3390</v>
      </c>
      <c r="B167" s="14" t="s">
        <v>6805</v>
      </c>
      <c r="C167" s="31" t="s">
        <v>6806</v>
      </c>
      <c r="D167" s="17">
        <v>44112</v>
      </c>
      <c r="E167" s="14" t="s">
        <v>30</v>
      </c>
      <c r="F167" s="14">
        <v>139</v>
      </c>
      <c r="G167" s="14">
        <v>68</v>
      </c>
      <c r="H167" s="14">
        <v>15</v>
      </c>
      <c r="I167" s="14">
        <v>8</v>
      </c>
      <c r="J167" s="14" t="s">
        <v>31</v>
      </c>
      <c r="K167" s="14" cm="1">
        <f t="array" ref="K167">INT(SUMPRODUCT(--ISNUMBER(SEARCH(economy,C167)))&gt;0)</f>
        <v>0</v>
      </c>
      <c r="L167" s="14" cm="1">
        <f t="array" ref="L167">INT(SUMPRODUCT(--ISNUMBER(SEARCH(healthcare,C167)))&gt;0)</f>
        <v>0</v>
      </c>
      <c r="M167" s="14" cm="1">
        <f t="array" ref="M167">INT(SUMPRODUCT(--ISNUMBER(SEARCH(supreme,C167)))&gt;0)</f>
        <v>0</v>
      </c>
      <c r="N167" s="14" cm="1">
        <f t="array" ref="N167">INT(SUMPRODUCT(--ISNUMBER(SEARCH(covid,C167)))&gt;0)</f>
        <v>0</v>
      </c>
      <c r="O167" s="14" cm="1">
        <f t="array" ref="O167">INT(SUMPRODUCT(--ISNUMBER(SEARCH(violent,C167)))&gt;0)</f>
        <v>0</v>
      </c>
      <c r="P167" s="14" cm="1">
        <f t="array" ref="P167">INT(SUMPRODUCT(--ISNUMBER(SEARCH(foreign,C167)))&gt;0)</f>
        <v>0</v>
      </c>
      <c r="Q167" s="14" cm="1">
        <f t="array" ref="Q167">INT(SUMPRODUCT(--ISNUMBER(SEARCH(gun,C167)))&gt;0)</f>
        <v>0</v>
      </c>
      <c r="R167" s="14" cm="1">
        <f t="array" ref="R167">INT(SUMPRODUCT(--ISNUMBER(SEARCH(race,C167)))&gt;0)</f>
        <v>0</v>
      </c>
      <c r="S167" s="14" cm="1">
        <f t="array" ref="S167">INT(SUMPRODUCT(--ISNUMBER(SEARCH(immigration,C167)))&gt;0)</f>
        <v>0</v>
      </c>
      <c r="T167" s="14" cm="1">
        <f t="array" ref="T167">INT(SUMPRODUCT(--ISNUMBER(SEARCH(econineq,C168)))&gt;0)</f>
        <v>0</v>
      </c>
      <c r="U167" s="14" cm="1">
        <f t="array" ref="U167">INT(SUMPRODUCT(--ISNUMBER(SEARCH(climate,C167)))&gt;0)</f>
        <v>0</v>
      </c>
      <c r="V167" s="14" cm="1">
        <f t="array" ref="V167">INT(SUMPRODUCT(--ISNUMBER(SEARCH(abortion,C167)))&gt;0)</f>
        <v>0</v>
      </c>
      <c r="W167" s="14" cm="1">
        <f t="array" ref="W167">INT(SUMPRODUCT(--ISNUMBER(SEARCH(trump,C167)))&gt;0)</f>
        <v>0</v>
      </c>
      <c r="X167" s="14" cm="1">
        <f t="array" ref="X167">INT(SUMPRODUCT(--ISNUMBER(SEARCH(voting,C167)))&gt;0)</f>
        <v>1</v>
      </c>
      <c r="Y167" s="35" cm="1">
        <f t="array" ref="Y167">INT(SUMPRODUCT(--ISNUMBER(SEARCH(republicantrigger,C167)))&gt;0)</f>
        <v>1</v>
      </c>
      <c r="Z167" s="35" cm="1">
        <f t="array" ref="Z167">INT(SUMPRODUCT(--ISNUMBER(SEARCH(bipartisan,C167)))&gt;0)</f>
        <v>0</v>
      </c>
      <c r="AA167" s="35">
        <f t="shared" si="2"/>
        <v>0</v>
      </c>
      <c r="AB167" s="14"/>
      <c r="AC167" s="30">
        <v>0</v>
      </c>
      <c r="AD167" s="37">
        <v>1</v>
      </c>
    </row>
    <row r="168" spans="1:30" x14ac:dyDescent="0.25">
      <c r="A168" s="36">
        <v>3391</v>
      </c>
      <c r="B168" s="14" t="s">
        <v>6807</v>
      </c>
      <c r="C168" s="31" t="s">
        <v>6808</v>
      </c>
      <c r="D168" s="17">
        <v>44112</v>
      </c>
      <c r="E168" s="14" t="s">
        <v>30</v>
      </c>
      <c r="F168" s="14">
        <v>595</v>
      </c>
      <c r="G168" s="14">
        <v>334</v>
      </c>
      <c r="H168" s="14">
        <v>15</v>
      </c>
      <c r="I168" s="14">
        <v>8</v>
      </c>
      <c r="J168" s="14" t="s">
        <v>31</v>
      </c>
      <c r="K168" s="14" cm="1">
        <f t="array" ref="K168">INT(SUMPRODUCT(--ISNUMBER(SEARCH(economy,C168)))&gt;0)</f>
        <v>0</v>
      </c>
      <c r="L168" s="14" cm="1">
        <f t="array" ref="L168">INT(SUMPRODUCT(--ISNUMBER(SEARCH(healthcare,C168)))&gt;0)</f>
        <v>0</v>
      </c>
      <c r="M168" s="14" cm="1">
        <f t="array" ref="M168">INT(SUMPRODUCT(--ISNUMBER(SEARCH(supreme,C168)))&gt;0)</f>
        <v>0</v>
      </c>
      <c r="N168" s="14" cm="1">
        <f t="array" ref="N168">INT(SUMPRODUCT(--ISNUMBER(SEARCH(covid,C168)))&gt;0)</f>
        <v>0</v>
      </c>
      <c r="O168" s="14" cm="1">
        <f t="array" ref="O168">INT(SUMPRODUCT(--ISNUMBER(SEARCH(violent,C168)))&gt;0)</f>
        <v>0</v>
      </c>
      <c r="P168" s="14" cm="1">
        <f t="array" ref="P168">INT(SUMPRODUCT(--ISNUMBER(SEARCH(foreign,C168)))&gt;0)</f>
        <v>0</v>
      </c>
      <c r="Q168" s="14" cm="1">
        <f t="array" ref="Q168">INT(SUMPRODUCT(--ISNUMBER(SEARCH(gun,C168)))&gt;0)</f>
        <v>0</v>
      </c>
      <c r="R168" s="14" cm="1">
        <f t="array" ref="R168">INT(SUMPRODUCT(--ISNUMBER(SEARCH(race,C168)))&gt;0)</f>
        <v>0</v>
      </c>
      <c r="S168" s="14" cm="1">
        <f t="array" ref="S168">INT(SUMPRODUCT(--ISNUMBER(SEARCH(immigration,C168)))&gt;0)</f>
        <v>0</v>
      </c>
      <c r="T168" s="14" cm="1">
        <f t="array" ref="T168">INT(SUMPRODUCT(--ISNUMBER(SEARCH(econineq,C169)))&gt;0)</f>
        <v>0</v>
      </c>
      <c r="U168" s="14" cm="1">
        <f t="array" ref="U168">INT(SUMPRODUCT(--ISNUMBER(SEARCH(climate,C168)))&gt;0)</f>
        <v>0</v>
      </c>
      <c r="V168" s="14" cm="1">
        <f t="array" ref="V168">INT(SUMPRODUCT(--ISNUMBER(SEARCH(abortion,C168)))&gt;0)</f>
        <v>0</v>
      </c>
      <c r="W168" s="14" cm="1">
        <f t="array" ref="W168">INT(SUMPRODUCT(--ISNUMBER(SEARCH(trump,C168)))&gt;0)</f>
        <v>0</v>
      </c>
      <c r="X168" s="14" cm="1">
        <f t="array" ref="X168">INT(SUMPRODUCT(--ISNUMBER(SEARCH(voting,C168)))&gt;0)</f>
        <v>0</v>
      </c>
      <c r="Y168" s="35" cm="1">
        <f t="array" ref="Y168">INT(SUMPRODUCT(--ISNUMBER(SEARCH(republicantrigger,C168)))&gt;0)</f>
        <v>1</v>
      </c>
      <c r="Z168" s="35" cm="1">
        <f t="array" ref="Z168">INT(SUMPRODUCT(--ISNUMBER(SEARCH(bipartisan,C168)))&gt;0)</f>
        <v>0</v>
      </c>
      <c r="AA168" s="35">
        <f t="shared" si="2"/>
        <v>0</v>
      </c>
      <c r="AB168" s="14"/>
      <c r="AC168" s="30">
        <v>0</v>
      </c>
      <c r="AD168" s="37">
        <v>1</v>
      </c>
    </row>
    <row r="169" spans="1:30" x14ac:dyDescent="0.25">
      <c r="A169" s="36">
        <v>3392</v>
      </c>
      <c r="B169" s="14" t="s">
        <v>6809</v>
      </c>
      <c r="C169" s="31" t="s">
        <v>6778</v>
      </c>
      <c r="D169" s="17">
        <v>44111</v>
      </c>
      <c r="E169" s="14" t="s">
        <v>30</v>
      </c>
      <c r="F169" s="14">
        <v>118</v>
      </c>
      <c r="G169" s="14">
        <v>57</v>
      </c>
      <c r="H169" s="14">
        <v>15</v>
      </c>
      <c r="I169" s="14">
        <v>8</v>
      </c>
      <c r="J169" s="14" t="s">
        <v>31</v>
      </c>
      <c r="K169" s="14" cm="1">
        <f t="array" ref="K169">INT(SUMPRODUCT(--ISNUMBER(SEARCH(economy,C169)))&gt;0)</f>
        <v>0</v>
      </c>
      <c r="L169" s="14" cm="1">
        <f t="array" ref="L169">INT(SUMPRODUCT(--ISNUMBER(SEARCH(healthcare,C169)))&gt;0)</f>
        <v>0</v>
      </c>
      <c r="M169" s="14" cm="1">
        <f t="array" ref="M169">INT(SUMPRODUCT(--ISNUMBER(SEARCH(supreme,C169)))&gt;0)</f>
        <v>0</v>
      </c>
      <c r="N169" s="14" cm="1">
        <f t="array" ref="N169">INT(SUMPRODUCT(--ISNUMBER(SEARCH(covid,C169)))&gt;0)</f>
        <v>0</v>
      </c>
      <c r="O169" s="14" cm="1">
        <f t="array" ref="O169">INT(SUMPRODUCT(--ISNUMBER(SEARCH(violent,C169)))&gt;0)</f>
        <v>0</v>
      </c>
      <c r="P169" s="14" cm="1">
        <f t="array" ref="P169">INT(SUMPRODUCT(--ISNUMBER(SEARCH(foreign,C169)))&gt;0)</f>
        <v>0</v>
      </c>
      <c r="Q169" s="14" cm="1">
        <f t="array" ref="Q169">INT(SUMPRODUCT(--ISNUMBER(SEARCH(gun,C169)))&gt;0)</f>
        <v>0</v>
      </c>
      <c r="R169" s="14" cm="1">
        <f t="array" ref="R169">INT(SUMPRODUCT(--ISNUMBER(SEARCH(race,C169)))&gt;0)</f>
        <v>0</v>
      </c>
      <c r="S169" s="14" cm="1">
        <f t="array" ref="S169">INT(SUMPRODUCT(--ISNUMBER(SEARCH(immigration,C169)))&gt;0)</f>
        <v>0</v>
      </c>
      <c r="T169" s="14" cm="1">
        <f t="array" ref="T169">INT(SUMPRODUCT(--ISNUMBER(SEARCH(econineq,C170)))&gt;0)</f>
        <v>0</v>
      </c>
      <c r="U169" s="14" cm="1">
        <f t="array" ref="U169">INT(SUMPRODUCT(--ISNUMBER(SEARCH(climate,C169)))&gt;0)</f>
        <v>0</v>
      </c>
      <c r="V169" s="14" cm="1">
        <f t="array" ref="V169">INT(SUMPRODUCT(--ISNUMBER(SEARCH(abortion,C169)))&gt;0)</f>
        <v>0</v>
      </c>
      <c r="W169" s="14" cm="1">
        <f t="array" ref="W169">INT(SUMPRODUCT(--ISNUMBER(SEARCH(trump,C169)))&gt;0)</f>
        <v>0</v>
      </c>
      <c r="X169" s="14" cm="1">
        <f t="array" ref="X169">INT(SUMPRODUCT(--ISNUMBER(SEARCH(voting,C169)))&gt;0)</f>
        <v>0</v>
      </c>
      <c r="Y169" s="35" cm="1">
        <f t="array" ref="Y169">INT(SUMPRODUCT(--ISNUMBER(SEARCH(republicantrigger,C169)))&gt;0)</f>
        <v>1</v>
      </c>
      <c r="Z169" s="35" cm="1">
        <f t="array" ref="Z169">INT(SUMPRODUCT(--ISNUMBER(SEARCH(bipartisan,C169)))&gt;0)</f>
        <v>0</v>
      </c>
      <c r="AA169" s="35">
        <f t="shared" si="2"/>
        <v>0</v>
      </c>
      <c r="AB169" s="14"/>
      <c r="AC169" s="30" t="s">
        <v>223</v>
      </c>
      <c r="AD169" s="37" t="s">
        <v>223</v>
      </c>
    </row>
    <row r="170" spans="1:30" x14ac:dyDescent="0.25">
      <c r="A170" s="36">
        <v>3393</v>
      </c>
      <c r="B170" s="14" t="s">
        <v>6810</v>
      </c>
      <c r="C170" s="31" t="s">
        <v>6811</v>
      </c>
      <c r="D170" s="17">
        <v>44111</v>
      </c>
      <c r="E170" s="14" t="s">
        <v>30</v>
      </c>
      <c r="F170" s="14">
        <v>53</v>
      </c>
      <c r="G170" s="14">
        <v>34</v>
      </c>
      <c r="H170" s="14">
        <v>15</v>
      </c>
      <c r="I170" s="14">
        <v>8</v>
      </c>
      <c r="J170" s="14" t="s">
        <v>31</v>
      </c>
      <c r="K170" s="14" cm="1">
        <f t="array" ref="K170">INT(SUMPRODUCT(--ISNUMBER(SEARCH(economy,C170)))&gt;0)</f>
        <v>0</v>
      </c>
      <c r="L170" s="14" cm="1">
        <f t="array" ref="L170">INT(SUMPRODUCT(--ISNUMBER(SEARCH(healthcare,C170)))&gt;0)</f>
        <v>0</v>
      </c>
      <c r="M170" s="14" cm="1">
        <f t="array" ref="M170">INT(SUMPRODUCT(--ISNUMBER(SEARCH(supreme,C170)))&gt;0)</f>
        <v>0</v>
      </c>
      <c r="N170" s="14" cm="1">
        <f t="array" ref="N170">INT(SUMPRODUCT(--ISNUMBER(SEARCH(covid,C170)))&gt;0)</f>
        <v>0</v>
      </c>
      <c r="O170" s="14" cm="1">
        <f t="array" ref="O170">INT(SUMPRODUCT(--ISNUMBER(SEARCH(violent,C170)))&gt;0)</f>
        <v>0</v>
      </c>
      <c r="P170" s="14" cm="1">
        <f t="array" ref="P170">INT(SUMPRODUCT(--ISNUMBER(SEARCH(foreign,C170)))&gt;0)</f>
        <v>0</v>
      </c>
      <c r="Q170" s="14" cm="1">
        <f t="array" ref="Q170">INT(SUMPRODUCT(--ISNUMBER(SEARCH(gun,C170)))&gt;0)</f>
        <v>0</v>
      </c>
      <c r="R170" s="14" cm="1">
        <f t="array" ref="R170">INT(SUMPRODUCT(--ISNUMBER(SEARCH(race,C170)))&gt;0)</f>
        <v>0</v>
      </c>
      <c r="S170" s="14" cm="1">
        <f t="array" ref="S170">INT(SUMPRODUCT(--ISNUMBER(SEARCH(immigration,C170)))&gt;0)</f>
        <v>0</v>
      </c>
      <c r="T170" s="14" cm="1">
        <f t="array" ref="T170">INT(SUMPRODUCT(--ISNUMBER(SEARCH(econineq,C171)))&gt;0)</f>
        <v>0</v>
      </c>
      <c r="U170" s="14" cm="1">
        <f t="array" ref="U170">INT(SUMPRODUCT(--ISNUMBER(SEARCH(climate,C170)))&gt;0)</f>
        <v>0</v>
      </c>
      <c r="V170" s="14" cm="1">
        <f t="array" ref="V170">INT(SUMPRODUCT(--ISNUMBER(SEARCH(abortion,C170)))&gt;0)</f>
        <v>0</v>
      </c>
      <c r="W170" s="14" cm="1">
        <f t="array" ref="W170">INT(SUMPRODUCT(--ISNUMBER(SEARCH(trump,C170)))&gt;0)</f>
        <v>0</v>
      </c>
      <c r="X170" s="14" cm="1">
        <f t="array" ref="X170">INT(SUMPRODUCT(--ISNUMBER(SEARCH(voting,C170)))&gt;0)</f>
        <v>0</v>
      </c>
      <c r="Y170" s="35" cm="1">
        <f t="array" ref="Y170">INT(SUMPRODUCT(--ISNUMBER(SEARCH(republicantrigger,C170)))&gt;0)</f>
        <v>1</v>
      </c>
      <c r="Z170" s="35" cm="1">
        <f t="array" ref="Z170">INT(SUMPRODUCT(--ISNUMBER(SEARCH(bipartisan,C170)))&gt;0)</f>
        <v>0</v>
      </c>
      <c r="AA170" s="35">
        <f t="shared" si="2"/>
        <v>0</v>
      </c>
      <c r="AB170" s="14"/>
      <c r="AC170" s="30" t="s">
        <v>223</v>
      </c>
      <c r="AD170" s="37" t="s">
        <v>223</v>
      </c>
    </row>
    <row r="171" spans="1:30" x14ac:dyDescent="0.25">
      <c r="A171" s="36">
        <v>3394</v>
      </c>
      <c r="B171" s="14" t="s">
        <v>6812</v>
      </c>
      <c r="C171" s="31" t="s">
        <v>6813</v>
      </c>
      <c r="D171" s="17">
        <v>44111</v>
      </c>
      <c r="E171" s="14" t="s">
        <v>30</v>
      </c>
      <c r="F171" s="14">
        <v>99</v>
      </c>
      <c r="G171" s="14">
        <v>48</v>
      </c>
      <c r="H171" s="14">
        <v>15</v>
      </c>
      <c r="I171" s="14">
        <v>8</v>
      </c>
      <c r="J171" s="14" t="s">
        <v>31</v>
      </c>
      <c r="K171" s="14" cm="1">
        <f t="array" ref="K171">INT(SUMPRODUCT(--ISNUMBER(SEARCH(economy,C171)))&gt;0)</f>
        <v>0</v>
      </c>
      <c r="L171" s="14" cm="1">
        <f t="array" ref="L171">INT(SUMPRODUCT(--ISNUMBER(SEARCH(healthcare,C171)))&gt;0)</f>
        <v>0</v>
      </c>
      <c r="M171" s="14" cm="1">
        <f t="array" ref="M171">INT(SUMPRODUCT(--ISNUMBER(SEARCH(supreme,C171)))&gt;0)</f>
        <v>0</v>
      </c>
      <c r="N171" s="14" cm="1">
        <f t="array" ref="N171">INT(SUMPRODUCT(--ISNUMBER(SEARCH(covid,C171)))&gt;0)</f>
        <v>0</v>
      </c>
      <c r="O171" s="14" cm="1">
        <f t="array" ref="O171">INT(SUMPRODUCT(--ISNUMBER(SEARCH(violent,C171)))&gt;0)</f>
        <v>0</v>
      </c>
      <c r="P171" s="14" cm="1">
        <f t="array" ref="P171">INT(SUMPRODUCT(--ISNUMBER(SEARCH(foreign,C171)))&gt;0)</f>
        <v>0</v>
      </c>
      <c r="Q171" s="14" cm="1">
        <f t="array" ref="Q171">INT(SUMPRODUCT(--ISNUMBER(SEARCH(gun,C171)))&gt;0)</f>
        <v>0</v>
      </c>
      <c r="R171" s="14" cm="1">
        <f t="array" ref="R171">INT(SUMPRODUCT(--ISNUMBER(SEARCH(race,C171)))&gt;0)</f>
        <v>0</v>
      </c>
      <c r="S171" s="14" cm="1">
        <f t="array" ref="S171">INT(SUMPRODUCT(--ISNUMBER(SEARCH(immigration,C171)))&gt;0)</f>
        <v>0</v>
      </c>
      <c r="T171" s="14" cm="1">
        <f t="array" ref="T171">INT(SUMPRODUCT(--ISNUMBER(SEARCH(econineq,C172)))&gt;0)</f>
        <v>0</v>
      </c>
      <c r="U171" s="14" cm="1">
        <f t="array" ref="U171">INT(SUMPRODUCT(--ISNUMBER(SEARCH(climate,C171)))&gt;0)</f>
        <v>0</v>
      </c>
      <c r="V171" s="14" cm="1">
        <f t="array" ref="V171">INT(SUMPRODUCT(--ISNUMBER(SEARCH(abortion,C171)))&gt;0)</f>
        <v>0</v>
      </c>
      <c r="W171" s="14" cm="1">
        <f t="array" ref="W171">INT(SUMPRODUCT(--ISNUMBER(SEARCH(trump,C171)))&gt;0)</f>
        <v>0</v>
      </c>
      <c r="X171" s="14" cm="1">
        <f t="array" ref="X171">INT(SUMPRODUCT(--ISNUMBER(SEARCH(voting,C171)))&gt;0)</f>
        <v>0</v>
      </c>
      <c r="Y171" s="35" cm="1">
        <f t="array" ref="Y171">INT(SUMPRODUCT(--ISNUMBER(SEARCH(republicantrigger,C171)))&gt;0)</f>
        <v>1</v>
      </c>
      <c r="Z171" s="35" cm="1">
        <f t="array" ref="Z171">INT(SUMPRODUCT(--ISNUMBER(SEARCH(bipartisan,C171)))&gt;0)</f>
        <v>0</v>
      </c>
      <c r="AA171" s="35">
        <f t="shared" si="2"/>
        <v>0</v>
      </c>
      <c r="AB171" s="14"/>
      <c r="AC171" s="30">
        <v>0</v>
      </c>
      <c r="AD171" s="37">
        <v>1</v>
      </c>
    </row>
    <row r="172" spans="1:30" x14ac:dyDescent="0.25">
      <c r="A172" s="36">
        <v>3395</v>
      </c>
      <c r="B172" s="14" t="s">
        <v>6814</v>
      </c>
      <c r="C172" s="31" t="s">
        <v>6815</v>
      </c>
      <c r="D172" s="17">
        <v>44111</v>
      </c>
      <c r="E172" s="14" t="s">
        <v>30</v>
      </c>
      <c r="F172" s="14">
        <v>122</v>
      </c>
      <c r="G172" s="14">
        <v>44</v>
      </c>
      <c r="H172" s="14">
        <v>15</v>
      </c>
      <c r="I172" s="14">
        <v>8</v>
      </c>
      <c r="J172" s="14" t="s">
        <v>31</v>
      </c>
      <c r="K172" s="14" cm="1">
        <f t="array" ref="K172">INT(SUMPRODUCT(--ISNUMBER(SEARCH(economy,C172)))&gt;0)</f>
        <v>0</v>
      </c>
      <c r="L172" s="14" cm="1">
        <f t="array" ref="L172">INT(SUMPRODUCT(--ISNUMBER(SEARCH(healthcare,C172)))&gt;0)</f>
        <v>0</v>
      </c>
      <c r="M172" s="14" cm="1">
        <f t="array" ref="M172">INT(SUMPRODUCT(--ISNUMBER(SEARCH(supreme,C172)))&gt;0)</f>
        <v>0</v>
      </c>
      <c r="N172" s="14" cm="1">
        <f t="array" ref="N172">INT(SUMPRODUCT(--ISNUMBER(SEARCH(covid,C172)))&gt;0)</f>
        <v>0</v>
      </c>
      <c r="O172" s="14" cm="1">
        <f t="array" ref="O172">INT(SUMPRODUCT(--ISNUMBER(SEARCH(violent,C172)))&gt;0)</f>
        <v>0</v>
      </c>
      <c r="P172" s="14" cm="1">
        <f t="array" ref="P172">INT(SUMPRODUCT(--ISNUMBER(SEARCH(foreign,C172)))&gt;0)</f>
        <v>0</v>
      </c>
      <c r="Q172" s="14" cm="1">
        <f t="array" ref="Q172">INT(SUMPRODUCT(--ISNUMBER(SEARCH(gun,C172)))&gt;0)</f>
        <v>0</v>
      </c>
      <c r="R172" s="14" cm="1">
        <f t="array" ref="R172">INT(SUMPRODUCT(--ISNUMBER(SEARCH(race,C172)))&gt;0)</f>
        <v>0</v>
      </c>
      <c r="S172" s="14" cm="1">
        <f t="array" ref="S172">INT(SUMPRODUCT(--ISNUMBER(SEARCH(immigration,C172)))&gt;0)</f>
        <v>0</v>
      </c>
      <c r="T172" s="14" cm="1">
        <f t="array" ref="T172">INT(SUMPRODUCT(--ISNUMBER(SEARCH(econineq,C173)))&gt;0)</f>
        <v>0</v>
      </c>
      <c r="U172" s="14" cm="1">
        <f t="array" ref="U172">INT(SUMPRODUCT(--ISNUMBER(SEARCH(climate,C172)))&gt;0)</f>
        <v>0</v>
      </c>
      <c r="V172" s="14" cm="1">
        <f t="array" ref="V172">INT(SUMPRODUCT(--ISNUMBER(SEARCH(abortion,C172)))&gt;0)</f>
        <v>0</v>
      </c>
      <c r="W172" s="14" cm="1">
        <f t="array" ref="W172">INT(SUMPRODUCT(--ISNUMBER(SEARCH(trump,C172)))&gt;0)</f>
        <v>0</v>
      </c>
      <c r="X172" s="14" cm="1">
        <f t="array" ref="X172">INT(SUMPRODUCT(--ISNUMBER(SEARCH(voting,C172)))&gt;0)</f>
        <v>0</v>
      </c>
      <c r="Y172" s="35" cm="1">
        <f t="array" ref="Y172">INT(SUMPRODUCT(--ISNUMBER(SEARCH(republicantrigger,C172)))&gt;0)</f>
        <v>1</v>
      </c>
      <c r="Z172" s="35" cm="1">
        <f t="array" ref="Z172">INT(SUMPRODUCT(--ISNUMBER(SEARCH(bipartisan,C172)))&gt;0)</f>
        <v>0</v>
      </c>
      <c r="AA172" s="35">
        <f t="shared" si="2"/>
        <v>0</v>
      </c>
      <c r="AB172" s="14"/>
      <c r="AC172" s="30" t="s">
        <v>223</v>
      </c>
      <c r="AD172" s="37" t="s">
        <v>223</v>
      </c>
    </row>
    <row r="173" spans="1:30" x14ac:dyDescent="0.25">
      <c r="A173" s="36">
        <v>3396</v>
      </c>
      <c r="B173" s="14" t="s">
        <v>6816</v>
      </c>
      <c r="C173" s="31" t="s">
        <v>6817</v>
      </c>
      <c r="D173" s="17">
        <v>44111</v>
      </c>
      <c r="E173" s="14" t="s">
        <v>30</v>
      </c>
      <c r="F173" s="14">
        <v>1528</v>
      </c>
      <c r="G173" s="14">
        <v>754</v>
      </c>
      <c r="H173" s="14">
        <v>15</v>
      </c>
      <c r="I173" s="14">
        <v>8</v>
      </c>
      <c r="J173" s="14" t="s">
        <v>31</v>
      </c>
      <c r="K173" s="14" cm="1">
        <f t="array" ref="K173">INT(SUMPRODUCT(--ISNUMBER(SEARCH(economy,C173)))&gt;0)</f>
        <v>0</v>
      </c>
      <c r="L173" s="14" cm="1">
        <f t="array" ref="L173">INT(SUMPRODUCT(--ISNUMBER(SEARCH(healthcare,C173)))&gt;0)</f>
        <v>0</v>
      </c>
      <c r="M173" s="14" cm="1">
        <f t="array" ref="M173">INT(SUMPRODUCT(--ISNUMBER(SEARCH(supreme,C173)))&gt;0)</f>
        <v>0</v>
      </c>
      <c r="N173" s="14" cm="1">
        <f t="array" ref="N173">INT(SUMPRODUCT(--ISNUMBER(SEARCH(covid,C173)))&gt;0)</f>
        <v>0</v>
      </c>
      <c r="O173" s="14" cm="1">
        <f t="array" ref="O173">INT(SUMPRODUCT(--ISNUMBER(SEARCH(violent,C173)))&gt;0)</f>
        <v>0</v>
      </c>
      <c r="P173" s="14" cm="1">
        <f t="array" ref="P173">INT(SUMPRODUCT(--ISNUMBER(SEARCH(foreign,C173)))&gt;0)</f>
        <v>0</v>
      </c>
      <c r="Q173" s="14" cm="1">
        <f t="array" ref="Q173">INT(SUMPRODUCT(--ISNUMBER(SEARCH(gun,C173)))&gt;0)</f>
        <v>0</v>
      </c>
      <c r="R173" s="14" cm="1">
        <f t="array" ref="R173">INT(SUMPRODUCT(--ISNUMBER(SEARCH(race,C173)))&gt;0)</f>
        <v>0</v>
      </c>
      <c r="S173" s="14" cm="1">
        <f t="array" ref="S173">INT(SUMPRODUCT(--ISNUMBER(SEARCH(immigration,C173)))&gt;0)</f>
        <v>0</v>
      </c>
      <c r="T173" s="14" cm="1">
        <f t="array" ref="T173">INT(SUMPRODUCT(--ISNUMBER(SEARCH(econineq,C174)))&gt;0)</f>
        <v>0</v>
      </c>
      <c r="U173" s="14" cm="1">
        <f t="array" ref="U173">INT(SUMPRODUCT(--ISNUMBER(SEARCH(climate,C173)))&gt;0)</f>
        <v>0</v>
      </c>
      <c r="V173" s="14" cm="1">
        <f t="array" ref="V173">INT(SUMPRODUCT(--ISNUMBER(SEARCH(abortion,C173)))&gt;0)</f>
        <v>0</v>
      </c>
      <c r="W173" s="14" cm="1">
        <f t="array" ref="W173">INT(SUMPRODUCT(--ISNUMBER(SEARCH(trump,C173)))&gt;0)</f>
        <v>0</v>
      </c>
      <c r="X173" s="14" cm="1">
        <f t="array" ref="X173">INT(SUMPRODUCT(--ISNUMBER(SEARCH(voting,C173)))&gt;0)</f>
        <v>0</v>
      </c>
      <c r="Y173" s="35" cm="1">
        <f t="array" ref="Y173">INT(SUMPRODUCT(--ISNUMBER(SEARCH(republicantrigger,C173)))&gt;0)</f>
        <v>1</v>
      </c>
      <c r="Z173" s="35" cm="1">
        <f t="array" ref="Z173">INT(SUMPRODUCT(--ISNUMBER(SEARCH(bipartisan,C173)))&gt;0)</f>
        <v>0</v>
      </c>
      <c r="AA173" s="35">
        <f t="shared" si="2"/>
        <v>0</v>
      </c>
      <c r="AB173" s="14"/>
      <c r="AC173" s="30" t="s">
        <v>223</v>
      </c>
      <c r="AD173" s="37" t="s">
        <v>223</v>
      </c>
    </row>
    <row r="174" spans="1:30" x14ac:dyDescent="0.25">
      <c r="A174" s="36">
        <v>3397</v>
      </c>
      <c r="B174" s="14" t="s">
        <v>6818</v>
      </c>
      <c r="C174" s="31" t="s">
        <v>6819</v>
      </c>
      <c r="D174" s="17">
        <v>44111</v>
      </c>
      <c r="E174" s="14" t="s">
        <v>30</v>
      </c>
      <c r="F174" s="14">
        <v>114</v>
      </c>
      <c r="G174" s="14">
        <v>38</v>
      </c>
      <c r="H174" s="14">
        <v>15</v>
      </c>
      <c r="I174" s="14">
        <v>8</v>
      </c>
      <c r="J174" s="14" t="s">
        <v>31</v>
      </c>
      <c r="K174" s="14" cm="1">
        <f t="array" ref="K174">INT(SUMPRODUCT(--ISNUMBER(SEARCH(economy,C174)))&gt;0)</f>
        <v>0</v>
      </c>
      <c r="L174" s="14" cm="1">
        <f t="array" ref="L174">INT(SUMPRODUCT(--ISNUMBER(SEARCH(healthcare,C174)))&gt;0)</f>
        <v>0</v>
      </c>
      <c r="M174" s="14" cm="1">
        <f t="array" ref="M174">INT(SUMPRODUCT(--ISNUMBER(SEARCH(supreme,C174)))&gt;0)</f>
        <v>0</v>
      </c>
      <c r="N174" s="14" cm="1">
        <f t="array" ref="N174">INT(SUMPRODUCT(--ISNUMBER(SEARCH(covid,C174)))&gt;0)</f>
        <v>0</v>
      </c>
      <c r="O174" s="14" cm="1">
        <f t="array" ref="O174">INT(SUMPRODUCT(--ISNUMBER(SEARCH(violent,C174)))&gt;0)</f>
        <v>0</v>
      </c>
      <c r="P174" s="14" cm="1">
        <f t="array" ref="P174">INT(SUMPRODUCT(--ISNUMBER(SEARCH(foreign,C174)))&gt;0)</f>
        <v>0</v>
      </c>
      <c r="Q174" s="14" cm="1">
        <f t="array" ref="Q174">INT(SUMPRODUCT(--ISNUMBER(SEARCH(gun,C174)))&gt;0)</f>
        <v>0</v>
      </c>
      <c r="R174" s="14" cm="1">
        <f t="array" ref="R174">INT(SUMPRODUCT(--ISNUMBER(SEARCH(race,C174)))&gt;0)</f>
        <v>0</v>
      </c>
      <c r="S174" s="14" cm="1">
        <f t="array" ref="S174">INT(SUMPRODUCT(--ISNUMBER(SEARCH(immigration,C174)))&gt;0)</f>
        <v>0</v>
      </c>
      <c r="T174" s="14" cm="1">
        <f t="array" ref="T174">INT(SUMPRODUCT(--ISNUMBER(SEARCH(econineq,C175)))&gt;0)</f>
        <v>0</v>
      </c>
      <c r="U174" s="14" cm="1">
        <f t="array" ref="U174">INT(SUMPRODUCT(--ISNUMBER(SEARCH(climate,C174)))&gt;0)</f>
        <v>0</v>
      </c>
      <c r="V174" s="14" cm="1">
        <f t="array" ref="V174">INT(SUMPRODUCT(--ISNUMBER(SEARCH(abortion,C174)))&gt;0)</f>
        <v>0</v>
      </c>
      <c r="W174" s="14" cm="1">
        <f t="array" ref="W174">INT(SUMPRODUCT(--ISNUMBER(SEARCH(trump,C174)))&gt;0)</f>
        <v>0</v>
      </c>
      <c r="X174" s="14" cm="1">
        <f t="array" ref="X174">INT(SUMPRODUCT(--ISNUMBER(SEARCH(voting,C174)))&gt;0)</f>
        <v>0</v>
      </c>
      <c r="Y174" s="35" cm="1">
        <f t="array" ref="Y174">INT(SUMPRODUCT(--ISNUMBER(SEARCH(republicantrigger,C174)))&gt;0)</f>
        <v>1</v>
      </c>
      <c r="Z174" s="35" cm="1">
        <f t="array" ref="Z174">INT(SUMPRODUCT(--ISNUMBER(SEARCH(bipartisan,C174)))&gt;0)</f>
        <v>0</v>
      </c>
      <c r="AA174" s="35">
        <f t="shared" si="2"/>
        <v>0</v>
      </c>
      <c r="AB174" s="14"/>
      <c r="AC174" s="30">
        <v>0</v>
      </c>
      <c r="AD174" s="37">
        <v>1</v>
      </c>
    </row>
    <row r="175" spans="1:30" x14ac:dyDescent="0.25">
      <c r="A175" s="36">
        <v>3398</v>
      </c>
      <c r="B175" s="14" t="s">
        <v>6820</v>
      </c>
      <c r="C175" s="31" t="s">
        <v>6821</v>
      </c>
      <c r="D175" s="17">
        <v>44111</v>
      </c>
      <c r="E175" s="14" t="s">
        <v>30</v>
      </c>
      <c r="F175" s="14">
        <v>57</v>
      </c>
      <c r="G175" s="14">
        <v>19</v>
      </c>
      <c r="H175" s="14">
        <v>15</v>
      </c>
      <c r="I175" s="14">
        <v>8</v>
      </c>
      <c r="J175" s="14" t="s">
        <v>31</v>
      </c>
      <c r="K175" s="14" cm="1">
        <f t="array" ref="K175">INT(SUMPRODUCT(--ISNUMBER(SEARCH(economy,C175)))&gt;0)</f>
        <v>0</v>
      </c>
      <c r="L175" s="14" cm="1">
        <f t="array" ref="L175">INT(SUMPRODUCT(--ISNUMBER(SEARCH(healthcare,C175)))&gt;0)</f>
        <v>0</v>
      </c>
      <c r="M175" s="14" cm="1">
        <f t="array" ref="M175">INT(SUMPRODUCT(--ISNUMBER(SEARCH(supreme,C175)))&gt;0)</f>
        <v>0</v>
      </c>
      <c r="N175" s="14" cm="1">
        <f t="array" ref="N175">INT(SUMPRODUCT(--ISNUMBER(SEARCH(covid,C175)))&gt;0)</f>
        <v>0</v>
      </c>
      <c r="O175" s="14" cm="1">
        <f t="array" ref="O175">INT(SUMPRODUCT(--ISNUMBER(SEARCH(violent,C175)))&gt;0)</f>
        <v>0</v>
      </c>
      <c r="P175" s="14" cm="1">
        <f t="array" ref="P175">INT(SUMPRODUCT(--ISNUMBER(SEARCH(foreign,C175)))&gt;0)</f>
        <v>0</v>
      </c>
      <c r="Q175" s="14" cm="1">
        <f t="array" ref="Q175">INT(SUMPRODUCT(--ISNUMBER(SEARCH(gun,C175)))&gt;0)</f>
        <v>0</v>
      </c>
      <c r="R175" s="14" cm="1">
        <f t="array" ref="R175">INT(SUMPRODUCT(--ISNUMBER(SEARCH(race,C175)))&gt;0)</f>
        <v>0</v>
      </c>
      <c r="S175" s="14" cm="1">
        <f t="array" ref="S175">INT(SUMPRODUCT(--ISNUMBER(SEARCH(immigration,C175)))&gt;0)</f>
        <v>0</v>
      </c>
      <c r="T175" s="14" cm="1">
        <f t="array" ref="T175">INT(SUMPRODUCT(--ISNUMBER(SEARCH(econineq,C176)))&gt;0)</f>
        <v>0</v>
      </c>
      <c r="U175" s="14" cm="1">
        <f t="array" ref="U175">INT(SUMPRODUCT(--ISNUMBER(SEARCH(climate,C175)))&gt;0)</f>
        <v>0</v>
      </c>
      <c r="V175" s="14" cm="1">
        <f t="array" ref="V175">INT(SUMPRODUCT(--ISNUMBER(SEARCH(abortion,C175)))&gt;0)</f>
        <v>0</v>
      </c>
      <c r="W175" s="14" cm="1">
        <f t="array" ref="W175">INT(SUMPRODUCT(--ISNUMBER(SEARCH(trump,C175)))&gt;0)</f>
        <v>0</v>
      </c>
      <c r="X175" s="14" cm="1">
        <f t="array" ref="X175">INT(SUMPRODUCT(--ISNUMBER(SEARCH(voting,C175)))&gt;0)</f>
        <v>1</v>
      </c>
      <c r="Y175" s="35" cm="1">
        <f t="array" ref="Y175">INT(SUMPRODUCT(--ISNUMBER(SEARCH(republicantrigger,C175)))&gt;0)</f>
        <v>1</v>
      </c>
      <c r="Z175" s="35" cm="1">
        <f t="array" ref="Z175">INT(SUMPRODUCT(--ISNUMBER(SEARCH(bipartisan,C175)))&gt;0)</f>
        <v>0</v>
      </c>
      <c r="AA175" s="35">
        <f t="shared" si="2"/>
        <v>0</v>
      </c>
      <c r="AB175" s="14"/>
      <c r="AC175" s="30">
        <v>0</v>
      </c>
      <c r="AD175" s="37">
        <v>1</v>
      </c>
    </row>
    <row r="176" spans="1:30" x14ac:dyDescent="0.25">
      <c r="A176" s="36">
        <v>3399</v>
      </c>
      <c r="B176" s="14" t="s">
        <v>6822</v>
      </c>
      <c r="C176" s="31" t="s">
        <v>6823</v>
      </c>
      <c r="D176" s="17">
        <v>44111</v>
      </c>
      <c r="E176" s="14" t="s">
        <v>30</v>
      </c>
      <c r="F176" s="14">
        <v>107</v>
      </c>
      <c r="G176" s="14">
        <v>37</v>
      </c>
      <c r="H176" s="14">
        <v>15</v>
      </c>
      <c r="I176" s="14">
        <v>8</v>
      </c>
      <c r="J176" s="14" t="s">
        <v>31</v>
      </c>
      <c r="K176" s="14" cm="1">
        <f t="array" ref="K176">INT(SUMPRODUCT(--ISNUMBER(SEARCH(economy,C176)))&gt;0)</f>
        <v>0</v>
      </c>
      <c r="L176" s="14" cm="1">
        <f t="array" ref="L176">INT(SUMPRODUCT(--ISNUMBER(SEARCH(healthcare,C176)))&gt;0)</f>
        <v>0</v>
      </c>
      <c r="M176" s="14" cm="1">
        <f t="array" ref="M176">INT(SUMPRODUCT(--ISNUMBER(SEARCH(supreme,C176)))&gt;0)</f>
        <v>0</v>
      </c>
      <c r="N176" s="14" cm="1">
        <f t="array" ref="N176">INT(SUMPRODUCT(--ISNUMBER(SEARCH(covid,C176)))&gt;0)</f>
        <v>0</v>
      </c>
      <c r="O176" s="14" cm="1">
        <f t="array" ref="O176">INT(SUMPRODUCT(--ISNUMBER(SEARCH(violent,C176)))&gt;0)</f>
        <v>0</v>
      </c>
      <c r="P176" s="14" cm="1">
        <f t="array" ref="P176">INT(SUMPRODUCT(--ISNUMBER(SEARCH(foreign,C176)))&gt;0)</f>
        <v>0</v>
      </c>
      <c r="Q176" s="14" cm="1">
        <f t="array" ref="Q176">INT(SUMPRODUCT(--ISNUMBER(SEARCH(gun,C176)))&gt;0)</f>
        <v>0</v>
      </c>
      <c r="R176" s="14" cm="1">
        <f t="array" ref="R176">INT(SUMPRODUCT(--ISNUMBER(SEARCH(race,C176)))&gt;0)</f>
        <v>0</v>
      </c>
      <c r="S176" s="14" cm="1">
        <f t="array" ref="S176">INT(SUMPRODUCT(--ISNUMBER(SEARCH(immigration,C176)))&gt;0)</f>
        <v>0</v>
      </c>
      <c r="T176" s="14" cm="1">
        <f t="array" ref="T176">INT(SUMPRODUCT(--ISNUMBER(SEARCH(econineq,C177)))&gt;0)</f>
        <v>0</v>
      </c>
      <c r="U176" s="14" cm="1">
        <f t="array" ref="U176">INT(SUMPRODUCT(--ISNUMBER(SEARCH(climate,C176)))&gt;0)</f>
        <v>0</v>
      </c>
      <c r="V176" s="14" cm="1">
        <f t="array" ref="V176">INT(SUMPRODUCT(--ISNUMBER(SEARCH(abortion,C176)))&gt;0)</f>
        <v>0</v>
      </c>
      <c r="W176" s="14" cm="1">
        <f t="array" ref="W176">INT(SUMPRODUCT(--ISNUMBER(SEARCH(trump,C176)))&gt;0)</f>
        <v>0</v>
      </c>
      <c r="X176" s="14" cm="1">
        <f t="array" ref="X176">INT(SUMPRODUCT(--ISNUMBER(SEARCH(voting,C176)))&gt;0)</f>
        <v>1</v>
      </c>
      <c r="Y176" s="35" cm="1">
        <f t="array" ref="Y176">INT(SUMPRODUCT(--ISNUMBER(SEARCH(republicantrigger,C176)))&gt;0)</f>
        <v>1</v>
      </c>
      <c r="Z176" s="35" cm="1">
        <f t="array" ref="Z176">INT(SUMPRODUCT(--ISNUMBER(SEARCH(bipartisan,C176)))&gt;0)</f>
        <v>0</v>
      </c>
      <c r="AA176" s="35">
        <f t="shared" si="2"/>
        <v>0</v>
      </c>
      <c r="AB176" s="14"/>
      <c r="AC176" s="30">
        <v>0</v>
      </c>
      <c r="AD176" s="37">
        <v>1</v>
      </c>
    </row>
    <row r="177" spans="1:30" x14ac:dyDescent="0.25">
      <c r="A177" s="36">
        <v>3400</v>
      </c>
      <c r="B177" s="14" t="s">
        <v>6824</v>
      </c>
      <c r="C177" s="31" t="s">
        <v>6825</v>
      </c>
      <c r="D177" s="17">
        <v>44110</v>
      </c>
      <c r="E177" s="14" t="s">
        <v>30</v>
      </c>
      <c r="F177" s="14">
        <v>943</v>
      </c>
      <c r="G177" s="14">
        <v>365</v>
      </c>
      <c r="H177" s="14">
        <v>15</v>
      </c>
      <c r="I177" s="14">
        <v>8</v>
      </c>
      <c r="J177" s="14" t="s">
        <v>31</v>
      </c>
      <c r="K177" s="14" cm="1">
        <f t="array" ref="K177">INT(SUMPRODUCT(--ISNUMBER(SEARCH(economy,C177)))&gt;0)</f>
        <v>0</v>
      </c>
      <c r="L177" s="14" cm="1">
        <f t="array" ref="L177">INT(SUMPRODUCT(--ISNUMBER(SEARCH(healthcare,C177)))&gt;0)</f>
        <v>0</v>
      </c>
      <c r="M177" s="14" cm="1">
        <f t="array" ref="M177">INT(SUMPRODUCT(--ISNUMBER(SEARCH(supreme,C177)))&gt;0)</f>
        <v>0</v>
      </c>
      <c r="N177" s="14" cm="1">
        <f t="array" ref="N177">INT(SUMPRODUCT(--ISNUMBER(SEARCH(covid,C177)))&gt;0)</f>
        <v>0</v>
      </c>
      <c r="O177" s="14" cm="1">
        <f t="array" ref="O177">INT(SUMPRODUCT(--ISNUMBER(SEARCH(violent,C177)))&gt;0)</f>
        <v>0</v>
      </c>
      <c r="P177" s="14" cm="1">
        <f t="array" ref="P177">INT(SUMPRODUCT(--ISNUMBER(SEARCH(foreign,C177)))&gt;0)</f>
        <v>0</v>
      </c>
      <c r="Q177" s="14" cm="1">
        <f t="array" ref="Q177">INT(SUMPRODUCT(--ISNUMBER(SEARCH(gun,C177)))&gt;0)</f>
        <v>0</v>
      </c>
      <c r="R177" s="14" cm="1">
        <f t="array" ref="R177">INT(SUMPRODUCT(--ISNUMBER(SEARCH(race,C177)))&gt;0)</f>
        <v>0</v>
      </c>
      <c r="S177" s="14" cm="1">
        <f t="array" ref="S177">INT(SUMPRODUCT(--ISNUMBER(SEARCH(immigration,C177)))&gt;0)</f>
        <v>0</v>
      </c>
      <c r="T177" s="14" cm="1">
        <f t="array" ref="T177">INT(SUMPRODUCT(--ISNUMBER(SEARCH(econineq,C178)))&gt;0)</f>
        <v>0</v>
      </c>
      <c r="U177" s="14" cm="1">
        <f t="array" ref="U177">INT(SUMPRODUCT(--ISNUMBER(SEARCH(climate,C177)))&gt;0)</f>
        <v>0</v>
      </c>
      <c r="V177" s="14" cm="1">
        <f t="array" ref="V177">INT(SUMPRODUCT(--ISNUMBER(SEARCH(abortion,C177)))&gt;0)</f>
        <v>0</v>
      </c>
      <c r="W177" s="14" cm="1">
        <f t="array" ref="W177">INT(SUMPRODUCT(--ISNUMBER(SEARCH(trump,C177)))&gt;0)</f>
        <v>0</v>
      </c>
      <c r="X177" s="14" cm="1">
        <f t="array" ref="X177">INT(SUMPRODUCT(--ISNUMBER(SEARCH(voting,C177)))&gt;0)</f>
        <v>0</v>
      </c>
      <c r="Y177" s="35" cm="1">
        <f t="array" ref="Y177">INT(SUMPRODUCT(--ISNUMBER(SEARCH(republicantrigger,C177)))&gt;0)</f>
        <v>1</v>
      </c>
      <c r="Z177" s="35" cm="1">
        <f t="array" ref="Z177">INT(SUMPRODUCT(--ISNUMBER(SEARCH(bipartisan,C177)))&gt;0)</f>
        <v>0</v>
      </c>
      <c r="AA177" s="35">
        <f t="shared" si="2"/>
        <v>0</v>
      </c>
      <c r="AB177" s="14"/>
      <c r="AC177" s="30">
        <v>0</v>
      </c>
      <c r="AD177" s="37">
        <v>1</v>
      </c>
    </row>
    <row r="178" spans="1:30" x14ac:dyDescent="0.25">
      <c r="A178" s="36">
        <v>3401</v>
      </c>
      <c r="B178" s="14" t="s">
        <v>6826</v>
      </c>
      <c r="C178" s="31" t="s">
        <v>6827</v>
      </c>
      <c r="D178" s="17">
        <v>44110</v>
      </c>
      <c r="E178" s="14" t="s">
        <v>30</v>
      </c>
      <c r="F178" s="14">
        <v>467</v>
      </c>
      <c r="G178" s="14">
        <v>186</v>
      </c>
      <c r="H178" s="14">
        <v>15</v>
      </c>
      <c r="I178" s="14">
        <v>8</v>
      </c>
      <c r="J178" s="14" t="s">
        <v>31</v>
      </c>
      <c r="K178" s="14" cm="1">
        <f t="array" ref="K178">INT(SUMPRODUCT(--ISNUMBER(SEARCH(economy,C178)))&gt;0)</f>
        <v>0</v>
      </c>
      <c r="L178" s="14" cm="1">
        <f t="array" ref="L178">INT(SUMPRODUCT(--ISNUMBER(SEARCH(healthcare,C178)))&gt;0)</f>
        <v>0</v>
      </c>
      <c r="M178" s="14" cm="1">
        <f t="array" ref="M178">INT(SUMPRODUCT(--ISNUMBER(SEARCH(supreme,C178)))&gt;0)</f>
        <v>0</v>
      </c>
      <c r="N178" s="14" cm="1">
        <f t="array" ref="N178">INT(SUMPRODUCT(--ISNUMBER(SEARCH(covid,C178)))&gt;0)</f>
        <v>0</v>
      </c>
      <c r="O178" s="14" cm="1">
        <f t="array" ref="O178">INT(SUMPRODUCT(--ISNUMBER(SEARCH(violent,C178)))&gt;0)</f>
        <v>0</v>
      </c>
      <c r="P178" s="14" cm="1">
        <f t="array" ref="P178">INT(SUMPRODUCT(--ISNUMBER(SEARCH(foreign,C178)))&gt;0)</f>
        <v>0</v>
      </c>
      <c r="Q178" s="14" cm="1">
        <f t="array" ref="Q178">INT(SUMPRODUCT(--ISNUMBER(SEARCH(gun,C178)))&gt;0)</f>
        <v>0</v>
      </c>
      <c r="R178" s="14" cm="1">
        <f t="array" ref="R178">INT(SUMPRODUCT(--ISNUMBER(SEARCH(race,C178)))&gt;0)</f>
        <v>0</v>
      </c>
      <c r="S178" s="14" cm="1">
        <f t="array" ref="S178">INT(SUMPRODUCT(--ISNUMBER(SEARCH(immigration,C178)))&gt;0)</f>
        <v>0</v>
      </c>
      <c r="T178" s="14" cm="1">
        <f t="array" ref="T178">INT(SUMPRODUCT(--ISNUMBER(SEARCH(econineq,C179)))&gt;0)</f>
        <v>0</v>
      </c>
      <c r="U178" s="14" cm="1">
        <f t="array" ref="U178">INT(SUMPRODUCT(--ISNUMBER(SEARCH(climate,C178)))&gt;0)</f>
        <v>0</v>
      </c>
      <c r="V178" s="14" cm="1">
        <f t="array" ref="V178">INT(SUMPRODUCT(--ISNUMBER(SEARCH(abortion,C178)))&gt;0)</f>
        <v>0</v>
      </c>
      <c r="W178" s="14" cm="1">
        <f t="array" ref="W178">INT(SUMPRODUCT(--ISNUMBER(SEARCH(trump,C178)))&gt;0)</f>
        <v>0</v>
      </c>
      <c r="X178" s="14" cm="1">
        <f t="array" ref="X178">INT(SUMPRODUCT(--ISNUMBER(SEARCH(voting,C178)))&gt;0)</f>
        <v>0</v>
      </c>
      <c r="Y178" s="35" cm="1">
        <f t="array" ref="Y178">INT(SUMPRODUCT(--ISNUMBER(SEARCH(republicantrigger,C178)))&gt;0)</f>
        <v>1</v>
      </c>
      <c r="Z178" s="35" cm="1">
        <f t="array" ref="Z178">INT(SUMPRODUCT(--ISNUMBER(SEARCH(bipartisan,C178)))&gt;0)</f>
        <v>0</v>
      </c>
      <c r="AA178" s="35">
        <f t="shared" si="2"/>
        <v>0</v>
      </c>
      <c r="AB178" s="14"/>
      <c r="AC178" s="30" t="s">
        <v>223</v>
      </c>
      <c r="AD178" s="37" t="s">
        <v>223</v>
      </c>
    </row>
    <row r="179" spans="1:30" x14ac:dyDescent="0.25">
      <c r="A179" s="36">
        <v>3402</v>
      </c>
      <c r="B179" s="14" t="s">
        <v>6828</v>
      </c>
      <c r="C179" s="31" t="s">
        <v>6829</v>
      </c>
      <c r="D179" s="17">
        <v>44110</v>
      </c>
      <c r="E179" s="14" t="s">
        <v>30</v>
      </c>
      <c r="F179" s="14">
        <v>142</v>
      </c>
      <c r="G179" s="14">
        <v>65</v>
      </c>
      <c r="H179" s="14">
        <v>15</v>
      </c>
      <c r="I179" s="14">
        <v>8</v>
      </c>
      <c r="J179" s="14" t="s">
        <v>31</v>
      </c>
      <c r="K179" s="14" cm="1">
        <f t="array" ref="K179">INT(SUMPRODUCT(--ISNUMBER(SEARCH(economy,C179)))&gt;0)</f>
        <v>0</v>
      </c>
      <c r="L179" s="14" cm="1">
        <f t="array" ref="L179">INT(SUMPRODUCT(--ISNUMBER(SEARCH(healthcare,C179)))&gt;0)</f>
        <v>0</v>
      </c>
      <c r="M179" s="14" cm="1">
        <f t="array" ref="M179">INT(SUMPRODUCT(--ISNUMBER(SEARCH(supreme,C179)))&gt;0)</f>
        <v>0</v>
      </c>
      <c r="N179" s="14" cm="1">
        <f t="array" ref="N179">INT(SUMPRODUCT(--ISNUMBER(SEARCH(covid,C179)))&gt;0)</f>
        <v>0</v>
      </c>
      <c r="O179" s="14" cm="1">
        <f t="array" ref="O179">INT(SUMPRODUCT(--ISNUMBER(SEARCH(violent,C179)))&gt;0)</f>
        <v>0</v>
      </c>
      <c r="P179" s="14" cm="1">
        <f t="array" ref="P179">INT(SUMPRODUCT(--ISNUMBER(SEARCH(foreign,C179)))&gt;0)</f>
        <v>0</v>
      </c>
      <c r="Q179" s="14" cm="1">
        <f t="array" ref="Q179">INT(SUMPRODUCT(--ISNUMBER(SEARCH(gun,C179)))&gt;0)</f>
        <v>0</v>
      </c>
      <c r="R179" s="14" cm="1">
        <f t="array" ref="R179">INT(SUMPRODUCT(--ISNUMBER(SEARCH(race,C179)))&gt;0)</f>
        <v>0</v>
      </c>
      <c r="S179" s="14" cm="1">
        <f t="array" ref="S179">INT(SUMPRODUCT(--ISNUMBER(SEARCH(immigration,C179)))&gt;0)</f>
        <v>0</v>
      </c>
      <c r="T179" s="14" cm="1">
        <f t="array" ref="T179">INT(SUMPRODUCT(--ISNUMBER(SEARCH(econineq,C180)))&gt;0)</f>
        <v>0</v>
      </c>
      <c r="U179" s="14" cm="1">
        <f t="array" ref="U179">INT(SUMPRODUCT(--ISNUMBER(SEARCH(climate,C179)))&gt;0)</f>
        <v>0</v>
      </c>
      <c r="V179" s="14" cm="1">
        <f t="array" ref="V179">INT(SUMPRODUCT(--ISNUMBER(SEARCH(abortion,C179)))&gt;0)</f>
        <v>0</v>
      </c>
      <c r="W179" s="14" cm="1">
        <f t="array" ref="W179">INT(SUMPRODUCT(--ISNUMBER(SEARCH(trump,C179)))&gt;0)</f>
        <v>0</v>
      </c>
      <c r="X179" s="14" cm="1">
        <f t="array" ref="X179">INT(SUMPRODUCT(--ISNUMBER(SEARCH(voting,C179)))&gt;0)</f>
        <v>1</v>
      </c>
      <c r="Y179" s="35" cm="1">
        <f t="array" ref="Y179">INT(SUMPRODUCT(--ISNUMBER(SEARCH(republicantrigger,C179)))&gt;0)</f>
        <v>1</v>
      </c>
      <c r="Z179" s="35" cm="1">
        <f t="array" ref="Z179">INT(SUMPRODUCT(--ISNUMBER(SEARCH(bipartisan,C179)))&gt;0)</f>
        <v>0</v>
      </c>
      <c r="AA179" s="35">
        <f t="shared" si="2"/>
        <v>0</v>
      </c>
      <c r="AB179" s="14"/>
      <c r="AC179" s="30">
        <v>0</v>
      </c>
      <c r="AD179" s="37">
        <v>1</v>
      </c>
    </row>
    <row r="180" spans="1:30" x14ac:dyDescent="0.25">
      <c r="A180" s="36">
        <v>3403</v>
      </c>
      <c r="B180" s="14" t="s">
        <v>6830</v>
      </c>
      <c r="C180" s="31" t="s">
        <v>6831</v>
      </c>
      <c r="D180" s="17">
        <v>44110</v>
      </c>
      <c r="E180" s="14" t="s">
        <v>30</v>
      </c>
      <c r="F180" s="14">
        <v>153</v>
      </c>
      <c r="G180" s="14">
        <v>34</v>
      </c>
      <c r="H180" s="14">
        <v>15</v>
      </c>
      <c r="I180" s="14">
        <v>8</v>
      </c>
      <c r="J180" s="14" t="s">
        <v>31</v>
      </c>
      <c r="K180" s="14" cm="1">
        <f t="array" ref="K180">INT(SUMPRODUCT(--ISNUMBER(SEARCH(economy,C180)))&gt;0)</f>
        <v>0</v>
      </c>
      <c r="L180" s="14" cm="1">
        <f t="array" ref="L180">INT(SUMPRODUCT(--ISNUMBER(SEARCH(healthcare,C180)))&gt;0)</f>
        <v>0</v>
      </c>
      <c r="M180" s="14" cm="1">
        <f t="array" ref="M180">INT(SUMPRODUCT(--ISNUMBER(SEARCH(supreme,C180)))&gt;0)</f>
        <v>0</v>
      </c>
      <c r="N180" s="14" cm="1">
        <f t="array" ref="N180">INT(SUMPRODUCT(--ISNUMBER(SEARCH(covid,C180)))&gt;0)</f>
        <v>1</v>
      </c>
      <c r="O180" s="14" cm="1">
        <f t="array" ref="O180">INT(SUMPRODUCT(--ISNUMBER(SEARCH(violent,C180)))&gt;0)</f>
        <v>0</v>
      </c>
      <c r="P180" s="14" cm="1">
        <f t="array" ref="P180">INT(SUMPRODUCT(--ISNUMBER(SEARCH(foreign,C180)))&gt;0)</f>
        <v>0</v>
      </c>
      <c r="Q180" s="14" cm="1">
        <f t="array" ref="Q180">INT(SUMPRODUCT(--ISNUMBER(SEARCH(gun,C180)))&gt;0)</f>
        <v>0</v>
      </c>
      <c r="R180" s="14" cm="1">
        <f t="array" ref="R180">INT(SUMPRODUCT(--ISNUMBER(SEARCH(race,C180)))&gt;0)</f>
        <v>0</v>
      </c>
      <c r="S180" s="14" cm="1">
        <f t="array" ref="S180">INT(SUMPRODUCT(--ISNUMBER(SEARCH(immigration,C180)))&gt;0)</f>
        <v>0</v>
      </c>
      <c r="T180" s="14" cm="1">
        <f t="array" ref="T180">INT(SUMPRODUCT(--ISNUMBER(SEARCH(econineq,C181)))&gt;0)</f>
        <v>0</v>
      </c>
      <c r="U180" s="14" cm="1">
        <f t="array" ref="U180">INT(SUMPRODUCT(--ISNUMBER(SEARCH(climate,C180)))&gt;0)</f>
        <v>0</v>
      </c>
      <c r="V180" s="14" cm="1">
        <f t="array" ref="V180">INT(SUMPRODUCT(--ISNUMBER(SEARCH(abortion,C180)))&gt;0)</f>
        <v>0</v>
      </c>
      <c r="W180" s="14" cm="1">
        <f t="array" ref="W180">INT(SUMPRODUCT(--ISNUMBER(SEARCH(trump,C180)))&gt;0)</f>
        <v>0</v>
      </c>
      <c r="X180" s="14" cm="1">
        <f t="array" ref="X180">INT(SUMPRODUCT(--ISNUMBER(SEARCH(voting,C180)))&gt;0)</f>
        <v>0</v>
      </c>
      <c r="Y180" s="35" cm="1">
        <f t="array" ref="Y180">INT(SUMPRODUCT(--ISNUMBER(SEARCH(republicantrigger,C180)))&gt;0)</f>
        <v>0</v>
      </c>
      <c r="Z180" s="35" cm="1">
        <f t="array" ref="Z180">INT(SUMPRODUCT(--ISNUMBER(SEARCH(bipartisan,C180)))&gt;0)</f>
        <v>0</v>
      </c>
      <c r="AA180" s="35">
        <f t="shared" si="2"/>
        <v>0</v>
      </c>
      <c r="AB180" s="14"/>
      <c r="AC180" s="30" t="s">
        <v>223</v>
      </c>
      <c r="AD180" s="37" t="s">
        <v>223</v>
      </c>
    </row>
    <row r="181" spans="1:30" x14ac:dyDescent="0.25">
      <c r="A181" s="36">
        <v>3404</v>
      </c>
      <c r="B181" s="14" t="s">
        <v>6832</v>
      </c>
      <c r="C181" s="31" t="s">
        <v>6833</v>
      </c>
      <c r="D181" s="17">
        <v>44110</v>
      </c>
      <c r="E181" s="14" t="s">
        <v>30</v>
      </c>
      <c r="F181" s="14">
        <v>43</v>
      </c>
      <c r="G181" s="14">
        <v>13</v>
      </c>
      <c r="H181" s="14">
        <v>15</v>
      </c>
      <c r="I181" s="14">
        <v>8</v>
      </c>
      <c r="J181" s="14" t="s">
        <v>31</v>
      </c>
      <c r="K181" s="14" cm="1">
        <f t="array" ref="K181">INT(SUMPRODUCT(--ISNUMBER(SEARCH(economy,C181)))&gt;0)</f>
        <v>1</v>
      </c>
      <c r="L181" s="14" cm="1">
        <f t="array" ref="L181">INT(SUMPRODUCT(--ISNUMBER(SEARCH(healthcare,C181)))&gt;0)</f>
        <v>1</v>
      </c>
      <c r="M181" s="14" cm="1">
        <f t="array" ref="M181">INT(SUMPRODUCT(--ISNUMBER(SEARCH(supreme,C181)))&gt;0)</f>
        <v>0</v>
      </c>
      <c r="N181" s="14" cm="1">
        <f t="array" ref="N181">INT(SUMPRODUCT(--ISNUMBER(SEARCH(covid,C181)))&gt;0)</f>
        <v>1</v>
      </c>
      <c r="O181" s="14" cm="1">
        <f t="array" ref="O181">INT(SUMPRODUCT(--ISNUMBER(SEARCH(violent,C181)))&gt;0)</f>
        <v>0</v>
      </c>
      <c r="P181" s="14" cm="1">
        <f t="array" ref="P181">INT(SUMPRODUCT(--ISNUMBER(SEARCH(foreign,C181)))&gt;0)</f>
        <v>0</v>
      </c>
      <c r="Q181" s="14" cm="1">
        <f t="array" ref="Q181">INT(SUMPRODUCT(--ISNUMBER(SEARCH(gun,C181)))&gt;0)</f>
        <v>0</v>
      </c>
      <c r="R181" s="14" cm="1">
        <f t="array" ref="R181">INT(SUMPRODUCT(--ISNUMBER(SEARCH(race,C181)))&gt;0)</f>
        <v>0</v>
      </c>
      <c r="S181" s="14" cm="1">
        <f t="array" ref="S181">INT(SUMPRODUCT(--ISNUMBER(SEARCH(immigration,C181)))&gt;0)</f>
        <v>0</v>
      </c>
      <c r="T181" s="14" cm="1">
        <f t="array" ref="T181">INT(SUMPRODUCT(--ISNUMBER(SEARCH(econineq,C182)))&gt;0)</f>
        <v>0</v>
      </c>
      <c r="U181" s="14" cm="1">
        <f t="array" ref="U181">INT(SUMPRODUCT(--ISNUMBER(SEARCH(climate,C181)))&gt;0)</f>
        <v>0</v>
      </c>
      <c r="V181" s="14" cm="1">
        <f t="array" ref="V181">INT(SUMPRODUCT(--ISNUMBER(SEARCH(abortion,C181)))&gt;0)</f>
        <v>0</v>
      </c>
      <c r="W181" s="14" cm="1">
        <f t="array" ref="W181">INT(SUMPRODUCT(--ISNUMBER(SEARCH(trump,C181)))&gt;0)</f>
        <v>0</v>
      </c>
      <c r="X181" s="14" cm="1">
        <f t="array" ref="X181">INT(SUMPRODUCT(--ISNUMBER(SEARCH(voting,C181)))&gt;0)</f>
        <v>0</v>
      </c>
      <c r="Y181" s="35" cm="1">
        <f t="array" ref="Y181">INT(SUMPRODUCT(--ISNUMBER(SEARCH(republicantrigger,C181)))&gt;0)</f>
        <v>0</v>
      </c>
      <c r="Z181" s="35" cm="1">
        <f t="array" ref="Z181">INT(SUMPRODUCT(--ISNUMBER(SEARCH(bipartisan,C181)))&gt;0)</f>
        <v>0</v>
      </c>
      <c r="AA181" s="35">
        <f t="shared" si="2"/>
        <v>0</v>
      </c>
      <c r="AB181" s="14"/>
      <c r="AC181" s="30" t="s">
        <v>223</v>
      </c>
      <c r="AD181" s="37" t="s">
        <v>223</v>
      </c>
    </row>
    <row r="182" spans="1:30" x14ac:dyDescent="0.25">
      <c r="A182" s="36">
        <v>3405</v>
      </c>
      <c r="B182" s="14" t="s">
        <v>6834</v>
      </c>
      <c r="C182" s="31" t="s">
        <v>6835</v>
      </c>
      <c r="D182" s="17">
        <v>44109</v>
      </c>
      <c r="E182" s="14" t="s">
        <v>30</v>
      </c>
      <c r="F182" s="14">
        <v>123</v>
      </c>
      <c r="G182" s="14">
        <v>17</v>
      </c>
      <c r="H182" s="14">
        <v>15</v>
      </c>
      <c r="I182" s="14">
        <v>8</v>
      </c>
      <c r="J182" s="14" t="s">
        <v>31</v>
      </c>
      <c r="K182" s="14" cm="1">
        <f t="array" ref="K182">INT(SUMPRODUCT(--ISNUMBER(SEARCH(economy,C182)))&gt;0)</f>
        <v>0</v>
      </c>
      <c r="L182" s="14" cm="1">
        <f t="array" ref="L182">INT(SUMPRODUCT(--ISNUMBER(SEARCH(healthcare,C182)))&gt;0)</f>
        <v>0</v>
      </c>
      <c r="M182" s="14" cm="1">
        <f t="array" ref="M182">INT(SUMPRODUCT(--ISNUMBER(SEARCH(supreme,C182)))&gt;0)</f>
        <v>0</v>
      </c>
      <c r="N182" s="14" cm="1">
        <f t="array" ref="N182">INT(SUMPRODUCT(--ISNUMBER(SEARCH(covid,C182)))&gt;0)</f>
        <v>1</v>
      </c>
      <c r="O182" s="14" cm="1">
        <f t="array" ref="O182">INT(SUMPRODUCT(--ISNUMBER(SEARCH(violent,C182)))&gt;0)</f>
        <v>0</v>
      </c>
      <c r="P182" s="14" cm="1">
        <f t="array" ref="P182">INT(SUMPRODUCT(--ISNUMBER(SEARCH(foreign,C182)))&gt;0)</f>
        <v>1</v>
      </c>
      <c r="Q182" s="14" cm="1">
        <f t="array" ref="Q182">INT(SUMPRODUCT(--ISNUMBER(SEARCH(gun,C182)))&gt;0)</f>
        <v>0</v>
      </c>
      <c r="R182" s="14" cm="1">
        <f t="array" ref="R182">INT(SUMPRODUCT(--ISNUMBER(SEARCH(race,C182)))&gt;0)</f>
        <v>0</v>
      </c>
      <c r="S182" s="14" cm="1">
        <f t="array" ref="S182">INT(SUMPRODUCT(--ISNUMBER(SEARCH(immigration,C182)))&gt;0)</f>
        <v>0</v>
      </c>
      <c r="T182" s="14" cm="1">
        <f t="array" ref="T182">INT(SUMPRODUCT(--ISNUMBER(SEARCH(econineq,C183)))&gt;0)</f>
        <v>0</v>
      </c>
      <c r="U182" s="14" cm="1">
        <f t="array" ref="U182">INT(SUMPRODUCT(--ISNUMBER(SEARCH(climate,C182)))&gt;0)</f>
        <v>0</v>
      </c>
      <c r="V182" s="14" cm="1">
        <f t="array" ref="V182">INT(SUMPRODUCT(--ISNUMBER(SEARCH(abortion,C182)))&gt;0)</f>
        <v>0</v>
      </c>
      <c r="W182" s="14" cm="1">
        <f t="array" ref="W182">INT(SUMPRODUCT(--ISNUMBER(SEARCH(trump,C182)))&gt;0)</f>
        <v>0</v>
      </c>
      <c r="X182" s="14" cm="1">
        <f t="array" ref="X182">INT(SUMPRODUCT(--ISNUMBER(SEARCH(voting,C182)))&gt;0)</f>
        <v>0</v>
      </c>
      <c r="Y182" s="35" cm="1">
        <f t="array" ref="Y182">INT(SUMPRODUCT(--ISNUMBER(SEARCH(republicantrigger,C182)))&gt;0)</f>
        <v>0</v>
      </c>
      <c r="Z182" s="35" cm="1">
        <f t="array" ref="Z182">INT(SUMPRODUCT(--ISNUMBER(SEARCH(bipartisan,C182)))&gt;0)</f>
        <v>0</v>
      </c>
      <c r="AA182" s="35">
        <f t="shared" si="2"/>
        <v>0</v>
      </c>
      <c r="AB182" s="14"/>
      <c r="AC182" s="30" t="s">
        <v>223</v>
      </c>
      <c r="AD182" s="37" t="s">
        <v>223</v>
      </c>
    </row>
    <row r="183" spans="1:30" x14ac:dyDescent="0.25">
      <c r="A183" s="38">
        <v>3406</v>
      </c>
      <c r="B183" s="39" t="s">
        <v>6836</v>
      </c>
      <c r="C183" s="40" t="s">
        <v>6837</v>
      </c>
      <c r="D183" s="41">
        <v>44109</v>
      </c>
      <c r="E183" s="39" t="s">
        <v>30</v>
      </c>
      <c r="F183" s="39">
        <v>151</v>
      </c>
      <c r="G183" s="39">
        <v>39</v>
      </c>
      <c r="H183" s="39">
        <v>15</v>
      </c>
      <c r="I183" s="39">
        <v>8</v>
      </c>
      <c r="J183" s="39" t="s">
        <v>31</v>
      </c>
      <c r="K183" s="39" cm="1">
        <f t="array" ref="K183">INT(SUMPRODUCT(--ISNUMBER(SEARCH(economy,C183)))&gt;0)</f>
        <v>0</v>
      </c>
      <c r="L183" s="39" cm="1">
        <f t="array" ref="L183">INT(SUMPRODUCT(--ISNUMBER(SEARCH(healthcare,C183)))&gt;0)</f>
        <v>0</v>
      </c>
      <c r="M183" s="39" cm="1">
        <f t="array" ref="M183">INT(SUMPRODUCT(--ISNUMBER(SEARCH(supreme,C183)))&gt;0)</f>
        <v>1</v>
      </c>
      <c r="N183" s="39" cm="1">
        <f t="array" ref="N183">INT(SUMPRODUCT(--ISNUMBER(SEARCH(covid,C183)))&gt;0)</f>
        <v>0</v>
      </c>
      <c r="O183" s="39" cm="1">
        <f t="array" ref="O183">INT(SUMPRODUCT(--ISNUMBER(SEARCH(violent,C183)))&gt;0)</f>
        <v>0</v>
      </c>
      <c r="P183" s="39" cm="1">
        <f t="array" ref="P183">INT(SUMPRODUCT(--ISNUMBER(SEARCH(foreign,C183)))&gt;0)</f>
        <v>0</v>
      </c>
      <c r="Q183" s="39" cm="1">
        <f t="array" ref="Q183">INT(SUMPRODUCT(--ISNUMBER(SEARCH(gun,C183)))&gt;0)</f>
        <v>0</v>
      </c>
      <c r="R183" s="39" cm="1">
        <f t="array" ref="R183">INT(SUMPRODUCT(--ISNUMBER(SEARCH(race,C183)))&gt;0)</f>
        <v>0</v>
      </c>
      <c r="S183" s="39" cm="1">
        <f t="array" ref="S183">INT(SUMPRODUCT(--ISNUMBER(SEARCH(immigration,C183)))&gt;0)</f>
        <v>0</v>
      </c>
      <c r="T183" s="39" cm="1">
        <f t="array" ref="T183">INT(SUMPRODUCT(--ISNUMBER(SEARCH(econineq,C184)))&gt;0)</f>
        <v>0</v>
      </c>
      <c r="U183" s="39" cm="1">
        <f t="array" ref="U183">INT(SUMPRODUCT(--ISNUMBER(SEARCH(climate,C183)))&gt;0)</f>
        <v>0</v>
      </c>
      <c r="V183" s="39" cm="1">
        <f t="array" ref="V183">INT(SUMPRODUCT(--ISNUMBER(SEARCH(abortion,C183)))&gt;0)</f>
        <v>0</v>
      </c>
      <c r="W183" s="39" cm="1">
        <f t="array" ref="W183">INT(SUMPRODUCT(--ISNUMBER(SEARCH(trump,C183)))&gt;0)</f>
        <v>0</v>
      </c>
      <c r="X183" s="39" cm="1">
        <f t="array" ref="X183">INT(SUMPRODUCT(--ISNUMBER(SEARCH(voting,C183)))&gt;0)</f>
        <v>0</v>
      </c>
      <c r="Y183" s="59" cm="1">
        <f t="array" ref="Y183">INT(SUMPRODUCT(--ISNUMBER(SEARCH(republicantrigger,C183)))&gt;0)</f>
        <v>0</v>
      </c>
      <c r="Z183" s="59" cm="1">
        <f t="array" ref="Z183">INT(SUMPRODUCT(--ISNUMBER(SEARCH(bipartisan,C183)))&gt;0)</f>
        <v>0</v>
      </c>
      <c r="AA183" s="59">
        <f t="shared" si="2"/>
        <v>0</v>
      </c>
      <c r="AB183" s="39"/>
      <c r="AC183" s="44" t="s">
        <v>223</v>
      </c>
      <c r="AD183" s="45" t="s">
        <v>223</v>
      </c>
    </row>
    <row r="184" spans="1:30" x14ac:dyDescent="0.25">
      <c r="A184" s="16"/>
      <c r="B184" s="16"/>
      <c r="C184" s="117"/>
      <c r="D184" s="16"/>
      <c r="E184" s="16"/>
      <c r="F184" s="16"/>
      <c r="G184" s="16"/>
      <c r="H184" s="16"/>
      <c r="I184" s="16"/>
      <c r="J184" s="16"/>
      <c r="K184" s="21">
        <f t="shared" ref="K184:AD184" si="3">SUM(K2:K183)</f>
        <v>14</v>
      </c>
      <c r="L184" s="21">
        <f t="shared" si="3"/>
        <v>1</v>
      </c>
      <c r="M184" s="21">
        <f t="shared" si="3"/>
        <v>23</v>
      </c>
      <c r="N184" s="21">
        <f t="shared" si="3"/>
        <v>5</v>
      </c>
      <c r="O184" s="21">
        <f t="shared" si="3"/>
        <v>1</v>
      </c>
      <c r="P184" s="21">
        <f t="shared" si="3"/>
        <v>2</v>
      </c>
      <c r="Q184" s="21">
        <f t="shared" si="3"/>
        <v>3</v>
      </c>
      <c r="R184" s="21">
        <f t="shared" si="3"/>
        <v>0</v>
      </c>
      <c r="S184" s="21">
        <f t="shared" si="3"/>
        <v>0</v>
      </c>
      <c r="T184" s="21">
        <f t="shared" si="3"/>
        <v>1</v>
      </c>
      <c r="U184" s="21">
        <f t="shared" si="3"/>
        <v>14</v>
      </c>
      <c r="V184" s="21">
        <f t="shared" si="3"/>
        <v>0</v>
      </c>
      <c r="W184" s="21">
        <f t="shared" si="3"/>
        <v>16</v>
      </c>
      <c r="X184" s="21">
        <f t="shared" si="3"/>
        <v>82</v>
      </c>
      <c r="Y184" s="21">
        <f t="shared" si="3"/>
        <v>111</v>
      </c>
      <c r="Z184" s="21">
        <f t="shared" si="3"/>
        <v>1</v>
      </c>
      <c r="AA184" s="21">
        <f t="shared" si="3"/>
        <v>17</v>
      </c>
      <c r="AB184" s="21">
        <f t="shared" si="3"/>
        <v>0</v>
      </c>
      <c r="AC184" s="21">
        <f t="shared" si="3"/>
        <v>32</v>
      </c>
      <c r="AD184" s="21">
        <f t="shared" si="3"/>
        <v>76</v>
      </c>
    </row>
    <row r="185" spans="1:30" x14ac:dyDescent="0.25">
      <c r="A185" s="16"/>
      <c r="B185" s="16"/>
      <c r="C185" s="117"/>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x14ac:dyDescent="0.25">
      <c r="A186" s="16"/>
      <c r="B186" s="16"/>
      <c r="C186" s="117"/>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x14ac:dyDescent="0.25">
      <c r="A187" s="16"/>
      <c r="B187" s="16"/>
      <c r="C187" s="117"/>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x14ac:dyDescent="0.25">
      <c r="A188" s="16"/>
      <c r="B188" s="16"/>
      <c r="C188" s="117"/>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x14ac:dyDescent="0.25">
      <c r="A189" s="16"/>
      <c r="B189" s="16"/>
      <c r="C189" s="117"/>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x14ac:dyDescent="0.25">
      <c r="A190" s="16"/>
      <c r="B190" s="16"/>
      <c r="C190" s="117"/>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x14ac:dyDescent="0.25">
      <c r="A191" s="16"/>
      <c r="B191" s="16"/>
      <c r="C191" s="117"/>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x14ac:dyDescent="0.25">
      <c r="A192" s="16"/>
      <c r="B192" s="16"/>
      <c r="C192" s="117"/>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x14ac:dyDescent="0.25">
      <c r="A193" s="16"/>
      <c r="B193" s="16"/>
      <c r="C193" s="117"/>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x14ac:dyDescent="0.25">
      <c r="A194" s="16"/>
      <c r="B194" s="16"/>
      <c r="C194" s="117"/>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x14ac:dyDescent="0.25">
      <c r="A195" s="16"/>
      <c r="B195" s="16"/>
      <c r="C195" s="117"/>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x14ac:dyDescent="0.25">
      <c r="A196" s="16"/>
      <c r="B196" s="16"/>
      <c r="C196" s="117"/>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x14ac:dyDescent="0.25">
      <c r="A197" s="16"/>
      <c r="B197" s="16"/>
      <c r="C197" s="117"/>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x14ac:dyDescent="0.25">
      <c r="A198" s="16"/>
      <c r="B198" s="16"/>
      <c r="C198" s="117"/>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x14ac:dyDescent="0.25">
      <c r="A199" s="16"/>
      <c r="B199" s="16"/>
      <c r="C199" s="117"/>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x14ac:dyDescent="0.25">
      <c r="A200" s="16"/>
      <c r="B200" s="16"/>
      <c r="C200" s="117"/>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x14ac:dyDescent="0.25">
      <c r="A201" s="16"/>
      <c r="B201" s="16"/>
      <c r="C201" s="117"/>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x14ac:dyDescent="0.25">
      <c r="A202" s="16"/>
      <c r="B202" s="16"/>
      <c r="C202" s="117"/>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x14ac:dyDescent="0.25">
      <c r="A203" s="16"/>
      <c r="B203" s="16"/>
      <c r="C203" s="117"/>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x14ac:dyDescent="0.25">
      <c r="A204" s="16"/>
      <c r="B204" s="16"/>
      <c r="C204" s="117"/>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x14ac:dyDescent="0.25">
      <c r="A205" s="16"/>
      <c r="B205" s="16"/>
      <c r="C205" s="117"/>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x14ac:dyDescent="0.25">
      <c r="A206" s="16"/>
      <c r="B206" s="16"/>
      <c r="C206" s="117"/>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x14ac:dyDescent="0.25">
      <c r="A207" s="16"/>
      <c r="B207" s="16"/>
      <c r="C207" s="117"/>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x14ac:dyDescent="0.25">
      <c r="A208" s="16"/>
      <c r="B208" s="16"/>
      <c r="C208" s="117"/>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x14ac:dyDescent="0.25">
      <c r="A209" s="16"/>
      <c r="B209" s="16"/>
      <c r="C209" s="117"/>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x14ac:dyDescent="0.25">
      <c r="A210" s="16"/>
      <c r="B210" s="16"/>
      <c r="C210" s="117"/>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x14ac:dyDescent="0.25">
      <c r="A211" s="16"/>
      <c r="B211" s="16"/>
      <c r="C211" s="117"/>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x14ac:dyDescent="0.25">
      <c r="A212" s="16"/>
      <c r="B212" s="16"/>
      <c r="C212" s="117"/>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x14ac:dyDescent="0.25">
      <c r="A213" s="16"/>
      <c r="B213" s="16"/>
      <c r="C213" s="117"/>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x14ac:dyDescent="0.25">
      <c r="A214" s="16"/>
      <c r="B214" s="16"/>
      <c r="C214" s="117"/>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x14ac:dyDescent="0.25">
      <c r="A215" s="16"/>
      <c r="B215" s="16"/>
      <c r="C215" s="117"/>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x14ac:dyDescent="0.25">
      <c r="A216" s="16"/>
      <c r="B216" s="16"/>
      <c r="C216" s="117"/>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x14ac:dyDescent="0.25">
      <c r="A217" s="16"/>
      <c r="B217" s="16"/>
      <c r="C217" s="117"/>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x14ac:dyDescent="0.25">
      <c r="A218" s="16"/>
      <c r="B218" s="16"/>
      <c r="C218" s="117"/>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x14ac:dyDescent="0.25">
      <c r="A219" s="16"/>
      <c r="B219" s="16"/>
      <c r="C219" s="117"/>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x14ac:dyDescent="0.25">
      <c r="A220" s="16"/>
      <c r="B220" s="16"/>
      <c r="C220" s="117"/>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x14ac:dyDescent="0.25">
      <c r="A221" s="16"/>
      <c r="B221" s="16"/>
      <c r="C221" s="117"/>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x14ac:dyDescent="0.25">
      <c r="A222" s="16"/>
      <c r="B222" s="16"/>
      <c r="C222" s="117"/>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x14ac:dyDescent="0.25">
      <c r="A223" s="16"/>
      <c r="B223" s="16"/>
      <c r="C223" s="117"/>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x14ac:dyDescent="0.25">
      <c r="A224" s="16"/>
      <c r="B224" s="16"/>
      <c r="C224" s="117"/>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x14ac:dyDescent="0.25">
      <c r="A225" s="16"/>
      <c r="B225" s="16"/>
      <c r="C225" s="117"/>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x14ac:dyDescent="0.25">
      <c r="A226" s="16"/>
      <c r="B226" s="16"/>
      <c r="C226" s="117"/>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x14ac:dyDescent="0.25">
      <c r="A227" s="16"/>
      <c r="B227" s="16"/>
      <c r="C227" s="117"/>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x14ac:dyDescent="0.25">
      <c r="A228" s="16"/>
      <c r="B228" s="16"/>
      <c r="C228" s="117"/>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x14ac:dyDescent="0.25">
      <c r="A229" s="16"/>
      <c r="B229" s="16"/>
      <c r="C229" s="117"/>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x14ac:dyDescent="0.25">
      <c r="A230" s="16"/>
      <c r="B230" s="16"/>
      <c r="C230" s="117"/>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x14ac:dyDescent="0.25">
      <c r="A231" s="16"/>
      <c r="B231" s="16"/>
      <c r="C231" s="117"/>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x14ac:dyDescent="0.25">
      <c r="A232" s="16"/>
      <c r="B232" s="16"/>
      <c r="C232" s="117"/>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x14ac:dyDescent="0.25">
      <c r="A233" s="16"/>
      <c r="B233" s="16"/>
      <c r="C233" s="117"/>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x14ac:dyDescent="0.25">
      <c r="A234" s="16"/>
      <c r="B234" s="16"/>
      <c r="C234" s="117"/>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x14ac:dyDescent="0.25">
      <c r="A235" s="16"/>
      <c r="B235" s="16"/>
      <c r="C235" s="117"/>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x14ac:dyDescent="0.25">
      <c r="A236" s="16"/>
      <c r="B236" s="16"/>
      <c r="C236" s="117"/>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x14ac:dyDescent="0.25">
      <c r="A237" s="16"/>
      <c r="B237" s="16"/>
      <c r="C237" s="117"/>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x14ac:dyDescent="0.25">
      <c r="A238" s="16"/>
      <c r="B238" s="16"/>
      <c r="C238" s="117"/>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x14ac:dyDescent="0.25">
      <c r="A239" s="16"/>
      <c r="B239" s="16"/>
      <c r="C239" s="117"/>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x14ac:dyDescent="0.25">
      <c r="A240" s="16"/>
      <c r="B240" s="16"/>
      <c r="C240" s="117"/>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x14ac:dyDescent="0.25">
      <c r="A241" s="16"/>
      <c r="B241" s="16"/>
      <c r="C241" s="117"/>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x14ac:dyDescent="0.25">
      <c r="A242" s="16"/>
      <c r="B242" s="16"/>
      <c r="C242" s="117"/>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x14ac:dyDescent="0.25">
      <c r="A243" s="16"/>
      <c r="B243" s="16"/>
      <c r="C243" s="117"/>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x14ac:dyDescent="0.25">
      <c r="A244" s="16"/>
      <c r="B244" s="16"/>
      <c r="C244" s="117"/>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x14ac:dyDescent="0.25">
      <c r="A245" s="16"/>
      <c r="B245" s="16"/>
      <c r="C245" s="117"/>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x14ac:dyDescent="0.25">
      <c r="A246" s="16"/>
      <c r="B246" s="16"/>
      <c r="C246" s="117"/>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x14ac:dyDescent="0.25">
      <c r="A247" s="16"/>
      <c r="B247" s="16"/>
      <c r="C247" s="117"/>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x14ac:dyDescent="0.25">
      <c r="A248" s="16"/>
      <c r="B248" s="16"/>
      <c r="C248" s="117"/>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x14ac:dyDescent="0.25">
      <c r="A249" s="16"/>
      <c r="B249" s="16"/>
      <c r="C249" s="117"/>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x14ac:dyDescent="0.25">
      <c r="A250" s="16"/>
      <c r="B250" s="16"/>
      <c r="C250" s="117"/>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x14ac:dyDescent="0.25">
      <c r="A251" s="16"/>
      <c r="B251" s="16"/>
      <c r="C251" s="117"/>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x14ac:dyDescent="0.25">
      <c r="A252" s="16"/>
      <c r="B252" s="16"/>
      <c r="C252" s="117"/>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x14ac:dyDescent="0.25">
      <c r="A253" s="16"/>
      <c r="B253" s="16"/>
      <c r="C253" s="117"/>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x14ac:dyDescent="0.25">
      <c r="A254" s="16"/>
      <c r="B254" s="16"/>
      <c r="C254" s="117"/>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x14ac:dyDescent="0.25">
      <c r="A255" s="16"/>
      <c r="B255" s="16"/>
      <c r="C255" s="117"/>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x14ac:dyDescent="0.25">
      <c r="A256" s="16"/>
      <c r="B256" s="16"/>
      <c r="C256" s="117"/>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x14ac:dyDescent="0.25">
      <c r="A257" s="16"/>
      <c r="B257" s="16"/>
      <c r="C257" s="117"/>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x14ac:dyDescent="0.25">
      <c r="A258" s="16"/>
      <c r="B258" s="16"/>
      <c r="C258" s="117"/>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x14ac:dyDescent="0.25">
      <c r="A259" s="16"/>
      <c r="B259" s="16"/>
      <c r="C259" s="117"/>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x14ac:dyDescent="0.25">
      <c r="A260" s="16"/>
      <c r="B260" s="16"/>
      <c r="C260" s="117"/>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x14ac:dyDescent="0.25">
      <c r="A261" s="16"/>
      <c r="B261" s="16"/>
      <c r="C261" s="117"/>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x14ac:dyDescent="0.25">
      <c r="A262" s="16"/>
      <c r="B262" s="16"/>
      <c r="C262" s="117"/>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x14ac:dyDescent="0.25">
      <c r="A263" s="16"/>
      <c r="B263" s="16"/>
      <c r="C263" s="117"/>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x14ac:dyDescent="0.25">
      <c r="A264" s="16"/>
      <c r="B264" s="16"/>
      <c r="C264" s="117"/>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x14ac:dyDescent="0.25">
      <c r="A265" s="16"/>
      <c r="B265" s="16"/>
      <c r="C265" s="117"/>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x14ac:dyDescent="0.25">
      <c r="A266" s="16"/>
      <c r="B266" s="16"/>
      <c r="C266" s="117"/>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x14ac:dyDescent="0.25">
      <c r="A267" s="16"/>
      <c r="B267" s="16"/>
      <c r="C267" s="117"/>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x14ac:dyDescent="0.25">
      <c r="A268" s="16"/>
      <c r="B268" s="16"/>
      <c r="C268" s="117"/>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x14ac:dyDescent="0.25">
      <c r="A269" s="16"/>
      <c r="B269" s="16"/>
      <c r="C269" s="117"/>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x14ac:dyDescent="0.25">
      <c r="A270" s="16"/>
      <c r="B270" s="16"/>
      <c r="C270" s="117"/>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x14ac:dyDescent="0.25">
      <c r="A271" s="16"/>
      <c r="B271" s="16"/>
      <c r="C271" s="117"/>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x14ac:dyDescent="0.25">
      <c r="A272" s="16"/>
      <c r="B272" s="16"/>
      <c r="C272" s="117"/>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x14ac:dyDescent="0.25">
      <c r="A273" s="16"/>
      <c r="B273" s="16"/>
      <c r="C273" s="117"/>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x14ac:dyDescent="0.25">
      <c r="A274" s="16"/>
      <c r="B274" s="16"/>
      <c r="C274" s="117"/>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x14ac:dyDescent="0.25">
      <c r="A275" s="16"/>
      <c r="B275" s="16"/>
      <c r="C275" s="117"/>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x14ac:dyDescent="0.25">
      <c r="A276" s="16"/>
      <c r="B276" s="16"/>
      <c r="C276" s="117"/>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x14ac:dyDescent="0.25">
      <c r="A277" s="16"/>
      <c r="B277" s="16"/>
      <c r="C277" s="117"/>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x14ac:dyDescent="0.25">
      <c r="A278" s="16"/>
      <c r="B278" s="16"/>
      <c r="C278" s="117"/>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x14ac:dyDescent="0.25">
      <c r="A279" s="16"/>
      <c r="B279" s="16"/>
      <c r="C279" s="117"/>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x14ac:dyDescent="0.25">
      <c r="A280" s="16"/>
      <c r="B280" s="16"/>
      <c r="C280" s="117"/>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x14ac:dyDescent="0.25">
      <c r="A281" s="16"/>
      <c r="B281" s="16"/>
      <c r="C281" s="117"/>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x14ac:dyDescent="0.25">
      <c r="A282" s="16"/>
      <c r="B282" s="16"/>
      <c r="C282" s="117"/>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x14ac:dyDescent="0.25">
      <c r="A283" s="16"/>
      <c r="B283" s="16"/>
      <c r="C283" s="117"/>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x14ac:dyDescent="0.25">
      <c r="A284" s="16"/>
      <c r="B284" s="16"/>
      <c r="C284" s="117"/>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x14ac:dyDescent="0.25">
      <c r="A285" s="16"/>
      <c r="B285" s="16"/>
      <c r="C285" s="117"/>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x14ac:dyDescent="0.25">
      <c r="A286" s="16"/>
      <c r="B286" s="16"/>
      <c r="C286" s="117"/>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x14ac:dyDescent="0.25">
      <c r="A287" s="16"/>
      <c r="B287" s="16"/>
      <c r="C287" s="117"/>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x14ac:dyDescent="0.25">
      <c r="A288" s="16"/>
      <c r="B288" s="16"/>
      <c r="C288" s="117"/>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x14ac:dyDescent="0.25">
      <c r="A289" s="16"/>
      <c r="B289" s="16"/>
      <c r="C289" s="117"/>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x14ac:dyDescent="0.25">
      <c r="A290" s="16"/>
      <c r="B290" s="16"/>
      <c r="C290" s="117"/>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x14ac:dyDescent="0.25">
      <c r="A291" s="16"/>
      <c r="B291" s="16"/>
      <c r="C291" s="117"/>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x14ac:dyDescent="0.25">
      <c r="A292" s="16"/>
      <c r="B292" s="16"/>
      <c r="C292" s="117"/>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x14ac:dyDescent="0.25">
      <c r="A293" s="16"/>
      <c r="B293" s="16"/>
      <c r="C293" s="117"/>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x14ac:dyDescent="0.25">
      <c r="A294" s="16"/>
      <c r="B294" s="16"/>
      <c r="C294" s="117"/>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x14ac:dyDescent="0.25">
      <c r="A295" s="16"/>
      <c r="B295" s="16"/>
      <c r="C295" s="117"/>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x14ac:dyDescent="0.25">
      <c r="A296" s="16"/>
      <c r="B296" s="16"/>
      <c r="C296" s="117"/>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x14ac:dyDescent="0.25">
      <c r="A297" s="16"/>
      <c r="B297" s="16"/>
      <c r="C297" s="117"/>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x14ac:dyDescent="0.25">
      <c r="A298" s="16"/>
      <c r="B298" s="16"/>
      <c r="C298" s="117"/>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x14ac:dyDescent="0.25">
      <c r="A299" s="16"/>
      <c r="B299" s="16"/>
      <c r="C299" s="117"/>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x14ac:dyDescent="0.25">
      <c r="A300" s="16"/>
      <c r="B300" s="16"/>
      <c r="C300" s="117"/>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x14ac:dyDescent="0.25">
      <c r="A301" s="16"/>
      <c r="B301" s="16"/>
      <c r="C301" s="117"/>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x14ac:dyDescent="0.25">
      <c r="A302" s="16"/>
      <c r="B302" s="16"/>
      <c r="C302" s="117"/>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x14ac:dyDescent="0.25">
      <c r="A303" s="16"/>
      <c r="B303" s="16"/>
      <c r="C303" s="117"/>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x14ac:dyDescent="0.25">
      <c r="A304" s="16"/>
      <c r="B304" s="16"/>
      <c r="C304" s="117"/>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x14ac:dyDescent="0.25">
      <c r="A305" s="16"/>
      <c r="B305" s="16"/>
      <c r="C305" s="117"/>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x14ac:dyDescent="0.25">
      <c r="A306" s="16"/>
      <c r="B306" s="16"/>
      <c r="C306" s="117"/>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x14ac:dyDescent="0.25">
      <c r="A307" s="16"/>
      <c r="B307" s="16"/>
      <c r="C307" s="117"/>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x14ac:dyDescent="0.25">
      <c r="A308" s="16"/>
      <c r="B308" s="16"/>
      <c r="C308" s="117"/>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x14ac:dyDescent="0.25">
      <c r="A309" s="16"/>
      <c r="B309" s="16"/>
      <c r="C309" s="117"/>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x14ac:dyDescent="0.25">
      <c r="A310" s="16"/>
      <c r="B310" s="16"/>
      <c r="C310" s="117"/>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x14ac:dyDescent="0.25">
      <c r="A311" s="16"/>
      <c r="B311" s="16"/>
      <c r="C311" s="117"/>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x14ac:dyDescent="0.25">
      <c r="A312" s="16"/>
      <c r="B312" s="16"/>
      <c r="C312" s="117"/>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x14ac:dyDescent="0.25">
      <c r="A313" s="16"/>
      <c r="B313" s="16"/>
      <c r="C313" s="117"/>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x14ac:dyDescent="0.25">
      <c r="A314" s="16"/>
      <c r="B314" s="16"/>
      <c r="C314" s="117"/>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x14ac:dyDescent="0.25">
      <c r="A315" s="16"/>
      <c r="B315" s="16"/>
      <c r="C315" s="117"/>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x14ac:dyDescent="0.25">
      <c r="A316" s="16"/>
      <c r="B316" s="16"/>
      <c r="C316" s="117"/>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x14ac:dyDescent="0.25">
      <c r="A317" s="16"/>
      <c r="B317" s="16"/>
      <c r="C317" s="117"/>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x14ac:dyDescent="0.25">
      <c r="A318" s="16"/>
      <c r="B318" s="16"/>
      <c r="C318" s="117"/>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x14ac:dyDescent="0.25">
      <c r="A319" s="16"/>
      <c r="B319" s="16"/>
      <c r="C319" s="117"/>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x14ac:dyDescent="0.25">
      <c r="A320" s="16"/>
      <c r="B320" s="16"/>
      <c r="C320" s="117"/>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x14ac:dyDescent="0.25">
      <c r="A321" s="16"/>
      <c r="B321" s="16"/>
      <c r="C321" s="117"/>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x14ac:dyDescent="0.25">
      <c r="A322" s="16"/>
      <c r="B322" s="16"/>
      <c r="C322" s="117"/>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x14ac:dyDescent="0.25">
      <c r="A323" s="16"/>
      <c r="B323" s="16"/>
      <c r="C323" s="117"/>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x14ac:dyDescent="0.25">
      <c r="A324" s="16"/>
      <c r="B324" s="16"/>
      <c r="C324" s="117"/>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x14ac:dyDescent="0.25">
      <c r="A325" s="16"/>
      <c r="B325" s="16"/>
      <c r="C325" s="117"/>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x14ac:dyDescent="0.25">
      <c r="A326" s="16"/>
      <c r="B326" s="16"/>
      <c r="C326" s="117"/>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x14ac:dyDescent="0.25">
      <c r="A327" s="16"/>
      <c r="B327" s="16"/>
      <c r="C327" s="117"/>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x14ac:dyDescent="0.25">
      <c r="A328" s="16"/>
      <c r="B328" s="16"/>
      <c r="C328" s="117"/>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x14ac:dyDescent="0.25">
      <c r="A329" s="16"/>
      <c r="B329" s="16"/>
      <c r="C329" s="117"/>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x14ac:dyDescent="0.25">
      <c r="A330" s="16"/>
      <c r="B330" s="16"/>
      <c r="C330" s="117"/>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x14ac:dyDescent="0.25">
      <c r="A331" s="16"/>
      <c r="B331" s="16"/>
      <c r="C331" s="117"/>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x14ac:dyDescent="0.25">
      <c r="A332" s="16"/>
      <c r="B332" s="16"/>
      <c r="C332" s="117"/>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x14ac:dyDescent="0.25">
      <c r="A333" s="16"/>
      <c r="B333" s="16"/>
      <c r="C333" s="117"/>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x14ac:dyDescent="0.25">
      <c r="A334" s="16"/>
      <c r="B334" s="16"/>
      <c r="C334" s="117"/>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row>
    <row r="335" spans="1:30" x14ac:dyDescent="0.25">
      <c r="A335" s="16"/>
      <c r="B335" s="16"/>
      <c r="C335" s="117"/>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row>
    <row r="336" spans="1:30" x14ac:dyDescent="0.25">
      <c r="A336" s="16"/>
      <c r="B336" s="16"/>
      <c r="C336" s="117"/>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row>
    <row r="337" spans="1:30" x14ac:dyDescent="0.25">
      <c r="A337" s="16"/>
      <c r="B337" s="16"/>
      <c r="C337" s="117"/>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row>
    <row r="338" spans="1:30" x14ac:dyDescent="0.25">
      <c r="A338" s="16"/>
      <c r="B338" s="16"/>
      <c r="C338" s="117"/>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row>
    <row r="339" spans="1:30" x14ac:dyDescent="0.25">
      <c r="A339" s="16"/>
      <c r="B339" s="16"/>
      <c r="C339" s="117"/>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row>
    <row r="340" spans="1:30" x14ac:dyDescent="0.25">
      <c r="A340" s="16"/>
      <c r="B340" s="16"/>
      <c r="C340" s="117"/>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row>
    <row r="341" spans="1:30" x14ac:dyDescent="0.25">
      <c r="A341" s="16"/>
      <c r="B341" s="16"/>
      <c r="C341" s="117"/>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row>
    <row r="342" spans="1:30" x14ac:dyDescent="0.25">
      <c r="A342" s="16"/>
      <c r="B342" s="16"/>
      <c r="C342" s="117"/>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row>
    <row r="343" spans="1:30" x14ac:dyDescent="0.25">
      <c r="A343" s="16"/>
      <c r="B343" s="16"/>
      <c r="C343" s="117"/>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row>
    <row r="344" spans="1:30" x14ac:dyDescent="0.25">
      <c r="A344" s="16"/>
      <c r="B344" s="16"/>
      <c r="C344" s="117"/>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row>
    <row r="345" spans="1:30" x14ac:dyDescent="0.25">
      <c r="A345" s="16"/>
      <c r="B345" s="16"/>
      <c r="C345" s="117"/>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row>
    <row r="346" spans="1:30" x14ac:dyDescent="0.25">
      <c r="A346" s="16"/>
      <c r="B346" s="16"/>
      <c r="C346" s="117"/>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row>
    <row r="347" spans="1:30" x14ac:dyDescent="0.25">
      <c r="A347" s="16"/>
      <c r="B347" s="16"/>
      <c r="C347" s="117"/>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row>
    <row r="348" spans="1:30" x14ac:dyDescent="0.25">
      <c r="A348" s="16"/>
      <c r="B348" s="16"/>
      <c r="C348" s="117"/>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row>
    <row r="349" spans="1:30" x14ac:dyDescent="0.25">
      <c r="A349" s="16"/>
      <c r="B349" s="16"/>
      <c r="C349" s="117"/>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row>
    <row r="350" spans="1:30" x14ac:dyDescent="0.25">
      <c r="A350" s="16"/>
      <c r="B350" s="16"/>
      <c r="C350" s="117"/>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row>
    <row r="351" spans="1:30" x14ac:dyDescent="0.25">
      <c r="A351" s="16"/>
      <c r="B351" s="16"/>
      <c r="C351" s="117"/>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row>
    <row r="352" spans="1:30" x14ac:dyDescent="0.25">
      <c r="A352" s="16"/>
      <c r="B352" s="16"/>
      <c r="C352" s="117"/>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row>
    <row r="353" spans="1:30" x14ac:dyDescent="0.25">
      <c r="A353" s="16"/>
      <c r="B353" s="16"/>
      <c r="C353" s="117"/>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row>
    <row r="354" spans="1:30" x14ac:dyDescent="0.25">
      <c r="A354" s="16"/>
      <c r="B354" s="16"/>
      <c r="C354" s="117"/>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row>
    <row r="355" spans="1:30" x14ac:dyDescent="0.25">
      <c r="A355" s="16"/>
      <c r="B355" s="16"/>
      <c r="C355" s="117"/>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row>
    <row r="356" spans="1:30" x14ac:dyDescent="0.25">
      <c r="A356" s="16"/>
      <c r="B356" s="16"/>
      <c r="C356" s="117"/>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row>
    <row r="357" spans="1:30" x14ac:dyDescent="0.25">
      <c r="A357" s="16"/>
      <c r="B357" s="16"/>
      <c r="C357" s="117"/>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row>
    <row r="358" spans="1:30" x14ac:dyDescent="0.25">
      <c r="A358" s="16"/>
      <c r="B358" s="16"/>
      <c r="C358" s="117"/>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row>
    <row r="359" spans="1:30" x14ac:dyDescent="0.25">
      <c r="A359" s="16"/>
      <c r="B359" s="16"/>
      <c r="C359" s="117"/>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row>
    <row r="360" spans="1:30" x14ac:dyDescent="0.25">
      <c r="A360" s="16"/>
      <c r="B360" s="16"/>
      <c r="C360" s="117"/>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row>
    <row r="361" spans="1:30" x14ac:dyDescent="0.25">
      <c r="A361" s="16"/>
      <c r="B361" s="16"/>
      <c r="C361" s="117"/>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row>
    <row r="362" spans="1:30" x14ac:dyDescent="0.25">
      <c r="A362" s="16"/>
      <c r="B362" s="16"/>
      <c r="C362" s="117"/>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row>
    <row r="363" spans="1:30" x14ac:dyDescent="0.25">
      <c r="A363" s="16"/>
      <c r="B363" s="16"/>
      <c r="C363" s="117"/>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row>
    <row r="364" spans="1:30" x14ac:dyDescent="0.25">
      <c r="A364" s="16"/>
      <c r="B364" s="16"/>
      <c r="C364" s="117"/>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row>
    <row r="365" spans="1:30" x14ac:dyDescent="0.25">
      <c r="A365" s="16"/>
      <c r="B365" s="16"/>
      <c r="C365" s="117"/>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row>
    <row r="366" spans="1:30" x14ac:dyDescent="0.25">
      <c r="A366" s="16"/>
      <c r="B366" s="16"/>
      <c r="C366" s="117"/>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row>
    <row r="367" spans="1:30" x14ac:dyDescent="0.25">
      <c r="A367" s="16"/>
      <c r="B367" s="16"/>
      <c r="C367" s="117"/>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row>
    <row r="368" spans="1:30" x14ac:dyDescent="0.25">
      <c r="A368" s="16"/>
      <c r="B368" s="16"/>
      <c r="C368" s="117"/>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row>
    <row r="369" spans="1:30" x14ac:dyDescent="0.25">
      <c r="A369" s="16"/>
      <c r="B369" s="16"/>
      <c r="C369" s="117"/>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row>
    <row r="370" spans="1:30" x14ac:dyDescent="0.25">
      <c r="A370" s="16"/>
      <c r="B370" s="16"/>
      <c r="C370" s="117"/>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row>
    <row r="371" spans="1:30" x14ac:dyDescent="0.25">
      <c r="A371" s="16"/>
      <c r="B371" s="16"/>
      <c r="C371" s="117"/>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row>
    <row r="372" spans="1:30" x14ac:dyDescent="0.25">
      <c r="A372" s="16"/>
      <c r="B372" s="16"/>
      <c r="C372" s="117"/>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row>
    <row r="373" spans="1:30" x14ac:dyDescent="0.25">
      <c r="A373" s="16"/>
      <c r="B373" s="16"/>
      <c r="C373" s="117"/>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row>
    <row r="374" spans="1:30" x14ac:dyDescent="0.25">
      <c r="A374" s="16"/>
      <c r="B374" s="16"/>
      <c r="C374" s="117"/>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row>
    <row r="375" spans="1:30" x14ac:dyDescent="0.25">
      <c r="A375" s="16"/>
      <c r="B375" s="16"/>
      <c r="C375" s="117"/>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row>
    <row r="376" spans="1:30" x14ac:dyDescent="0.25">
      <c r="A376" s="16"/>
      <c r="B376" s="16"/>
      <c r="C376" s="117"/>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row>
    <row r="377" spans="1:30" x14ac:dyDescent="0.25">
      <c r="A377" s="16"/>
      <c r="B377" s="16"/>
      <c r="C377" s="117"/>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row>
    <row r="378" spans="1:30" x14ac:dyDescent="0.25">
      <c r="A378" s="16"/>
      <c r="B378" s="16"/>
      <c r="C378" s="117"/>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row>
    <row r="379" spans="1:30" x14ac:dyDescent="0.25">
      <c r="A379" s="16"/>
      <c r="B379" s="16"/>
      <c r="C379" s="117"/>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row>
    <row r="380" spans="1:30" x14ac:dyDescent="0.25">
      <c r="A380" s="16"/>
      <c r="B380" s="16"/>
      <c r="C380" s="117"/>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row>
    <row r="381" spans="1:30" x14ac:dyDescent="0.25">
      <c r="A381" s="16"/>
      <c r="B381" s="16"/>
      <c r="C381" s="117"/>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row>
    <row r="382" spans="1:30" x14ac:dyDescent="0.25">
      <c r="A382" s="16"/>
      <c r="B382" s="16"/>
      <c r="C382" s="117"/>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row>
    <row r="383" spans="1:30" x14ac:dyDescent="0.25">
      <c r="A383" s="16"/>
      <c r="B383" s="16"/>
      <c r="C383" s="117"/>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row>
    <row r="384" spans="1:30" x14ac:dyDescent="0.25">
      <c r="A384" s="16"/>
      <c r="B384" s="16"/>
      <c r="C384" s="117"/>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row>
    <row r="385" spans="1:30" x14ac:dyDescent="0.25">
      <c r="A385" s="16"/>
      <c r="B385" s="16"/>
      <c r="C385" s="117"/>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row>
    <row r="386" spans="1:30" x14ac:dyDescent="0.25">
      <c r="A386" s="16"/>
      <c r="B386" s="16"/>
      <c r="C386" s="117"/>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row>
    <row r="387" spans="1:30" x14ac:dyDescent="0.25">
      <c r="A387" s="16"/>
      <c r="B387" s="16"/>
      <c r="C387" s="117"/>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row>
    <row r="388" spans="1:30" x14ac:dyDescent="0.25">
      <c r="A388" s="16"/>
      <c r="B388" s="16"/>
      <c r="C388" s="117"/>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row>
    <row r="389" spans="1:30" x14ac:dyDescent="0.25">
      <c r="A389" s="16"/>
      <c r="B389" s="16"/>
      <c r="C389" s="117"/>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row>
    <row r="390" spans="1:30" x14ac:dyDescent="0.25">
      <c r="A390" s="16"/>
      <c r="B390" s="16"/>
      <c r="C390" s="117"/>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row>
    <row r="391" spans="1:30" x14ac:dyDescent="0.25">
      <c r="A391" s="16"/>
      <c r="B391" s="16"/>
      <c r="C391" s="117"/>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row>
    <row r="392" spans="1:30" x14ac:dyDescent="0.25">
      <c r="A392" s="16"/>
      <c r="B392" s="16"/>
      <c r="C392" s="117"/>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row>
    <row r="393" spans="1:30" x14ac:dyDescent="0.25">
      <c r="A393" s="16"/>
      <c r="B393" s="16"/>
      <c r="C393" s="117"/>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row>
    <row r="394" spans="1:30" x14ac:dyDescent="0.25">
      <c r="A394" s="16"/>
      <c r="B394" s="16"/>
      <c r="C394" s="117"/>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row>
    <row r="395" spans="1:30" x14ac:dyDescent="0.25">
      <c r="A395" s="16"/>
      <c r="B395" s="16"/>
      <c r="C395" s="117"/>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row>
    <row r="396" spans="1:30" x14ac:dyDescent="0.25">
      <c r="A396" s="16"/>
      <c r="B396" s="16"/>
      <c r="C396" s="117"/>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row>
    <row r="397" spans="1:30" x14ac:dyDescent="0.25">
      <c r="A397" s="16"/>
      <c r="B397" s="16"/>
      <c r="C397" s="117"/>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row>
    <row r="398" spans="1:30" x14ac:dyDescent="0.25">
      <c r="A398" s="16"/>
      <c r="B398" s="16"/>
      <c r="C398" s="117"/>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row>
    <row r="399" spans="1:30" x14ac:dyDescent="0.25">
      <c r="A399" s="16"/>
      <c r="B399" s="16"/>
      <c r="C399" s="117"/>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row>
    <row r="400" spans="1:30" x14ac:dyDescent="0.25">
      <c r="A400" s="16"/>
      <c r="B400" s="16"/>
      <c r="C400" s="117"/>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row>
    <row r="401" spans="1:30" x14ac:dyDescent="0.25">
      <c r="A401" s="16"/>
      <c r="B401" s="16"/>
      <c r="C401" s="117"/>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row>
    <row r="402" spans="1:30" x14ac:dyDescent="0.25">
      <c r="A402" s="16"/>
      <c r="B402" s="16"/>
      <c r="C402" s="117"/>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row>
    <row r="403" spans="1:30" x14ac:dyDescent="0.25">
      <c r="A403" s="16"/>
      <c r="B403" s="16"/>
      <c r="C403" s="117"/>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row>
    <row r="404" spans="1:30" x14ac:dyDescent="0.25">
      <c r="A404" s="16"/>
      <c r="B404" s="16"/>
      <c r="C404" s="117"/>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row>
    <row r="405" spans="1:30" x14ac:dyDescent="0.25">
      <c r="A405" s="16"/>
      <c r="B405" s="16"/>
      <c r="C405" s="117"/>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row>
    <row r="406" spans="1:30" x14ac:dyDescent="0.25">
      <c r="A406" s="16"/>
      <c r="B406" s="16"/>
      <c r="C406" s="117"/>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row>
    <row r="407" spans="1:30" x14ac:dyDescent="0.25">
      <c r="A407" s="16"/>
      <c r="B407" s="16"/>
      <c r="C407" s="117"/>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row>
    <row r="408" spans="1:30" x14ac:dyDescent="0.25">
      <c r="A408" s="16"/>
      <c r="B408" s="16"/>
      <c r="C408" s="117"/>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row>
    <row r="409" spans="1:30" x14ac:dyDescent="0.25">
      <c r="A409" s="16"/>
      <c r="B409" s="16"/>
      <c r="C409" s="117"/>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row>
    <row r="410" spans="1:30" x14ac:dyDescent="0.25">
      <c r="A410" s="16"/>
      <c r="B410" s="16"/>
      <c r="C410" s="117"/>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row>
    <row r="411" spans="1:30" x14ac:dyDescent="0.25">
      <c r="A411" s="16"/>
      <c r="B411" s="16"/>
      <c r="C411" s="117"/>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row>
    <row r="412" spans="1:30" x14ac:dyDescent="0.25">
      <c r="A412" s="16"/>
      <c r="B412" s="16"/>
      <c r="C412" s="117"/>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row>
    <row r="413" spans="1:30" x14ac:dyDescent="0.25">
      <c r="A413" s="16"/>
      <c r="B413" s="16"/>
      <c r="C413" s="117"/>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row>
    <row r="414" spans="1:30" x14ac:dyDescent="0.25">
      <c r="A414" s="16"/>
      <c r="B414" s="16"/>
      <c r="C414" s="117"/>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row>
    <row r="415" spans="1:30" x14ac:dyDescent="0.25">
      <c r="A415" s="16"/>
      <c r="B415" s="16"/>
      <c r="C415" s="117"/>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row>
    <row r="416" spans="1:30" x14ac:dyDescent="0.25">
      <c r="A416" s="16"/>
      <c r="B416" s="16"/>
      <c r="C416" s="117"/>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row>
    <row r="417" spans="1:30" x14ac:dyDescent="0.25">
      <c r="A417" s="16"/>
      <c r="B417" s="16"/>
      <c r="C417" s="117"/>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row>
    <row r="418" spans="1:30" x14ac:dyDescent="0.25">
      <c r="A418" s="16"/>
      <c r="B418" s="16"/>
      <c r="C418" s="117"/>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row>
    <row r="419" spans="1:30" x14ac:dyDescent="0.25">
      <c r="A419" s="16"/>
      <c r="B419" s="16"/>
      <c r="C419" s="117"/>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row>
    <row r="420" spans="1:30" x14ac:dyDescent="0.25">
      <c r="A420" s="16"/>
      <c r="B420" s="16"/>
      <c r="C420" s="117"/>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row>
    <row r="421" spans="1:30" x14ac:dyDescent="0.25">
      <c r="A421" s="16"/>
      <c r="B421" s="16"/>
      <c r="C421" s="117"/>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row>
    <row r="422" spans="1:30" x14ac:dyDescent="0.25">
      <c r="A422" s="16"/>
      <c r="B422" s="16"/>
      <c r="C422" s="117"/>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row>
    <row r="423" spans="1:30" x14ac:dyDescent="0.25">
      <c r="A423" s="16"/>
      <c r="B423" s="16"/>
      <c r="C423" s="117"/>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row>
    <row r="424" spans="1:30" x14ac:dyDescent="0.25">
      <c r="A424" s="16"/>
      <c r="B424" s="16"/>
      <c r="C424" s="117"/>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row>
    <row r="425" spans="1:30" x14ac:dyDescent="0.25">
      <c r="A425" s="16"/>
      <c r="B425" s="16"/>
      <c r="C425" s="117"/>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row>
    <row r="426" spans="1:30" x14ac:dyDescent="0.25">
      <c r="A426" s="16"/>
      <c r="B426" s="16"/>
      <c r="C426" s="117"/>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row>
    <row r="427" spans="1:30" x14ac:dyDescent="0.25">
      <c r="A427" s="16"/>
      <c r="B427" s="16"/>
      <c r="C427" s="117"/>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row>
    <row r="428" spans="1:30" x14ac:dyDescent="0.25">
      <c r="A428" s="16"/>
      <c r="B428" s="16"/>
      <c r="C428" s="117"/>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row>
    <row r="429" spans="1:30" x14ac:dyDescent="0.25">
      <c r="A429" s="16"/>
      <c r="B429" s="16"/>
      <c r="C429" s="117"/>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row>
    <row r="430" spans="1:30" x14ac:dyDescent="0.25">
      <c r="A430" s="16"/>
      <c r="B430" s="16"/>
      <c r="C430" s="117"/>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row>
    <row r="431" spans="1:30" x14ac:dyDescent="0.25">
      <c r="A431" s="16"/>
      <c r="B431" s="16"/>
      <c r="C431" s="117"/>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row>
    <row r="432" spans="1:30" x14ac:dyDescent="0.25">
      <c r="A432" s="16"/>
      <c r="B432" s="16"/>
      <c r="C432" s="117"/>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row>
    <row r="433" spans="1:30" x14ac:dyDescent="0.25">
      <c r="A433" s="16"/>
      <c r="B433" s="16"/>
      <c r="C433" s="117"/>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row>
    <row r="434" spans="1:30" x14ac:dyDescent="0.25">
      <c r="A434" s="16"/>
      <c r="B434" s="16"/>
      <c r="C434" s="117"/>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row>
    <row r="435" spans="1:30" x14ac:dyDescent="0.25">
      <c r="A435" s="16"/>
      <c r="B435" s="16"/>
      <c r="C435" s="117"/>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row>
    <row r="436" spans="1:30" x14ac:dyDescent="0.25">
      <c r="A436" s="16"/>
      <c r="B436" s="16"/>
      <c r="C436" s="117"/>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row>
    <row r="437" spans="1:30" x14ac:dyDescent="0.25">
      <c r="A437" s="16"/>
      <c r="B437" s="16"/>
      <c r="C437" s="117"/>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row>
    <row r="438" spans="1:30" x14ac:dyDescent="0.25">
      <c r="A438" s="16"/>
      <c r="B438" s="16"/>
      <c r="C438" s="117"/>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row>
    <row r="439" spans="1:30" x14ac:dyDescent="0.25">
      <c r="A439" s="16"/>
      <c r="B439" s="16"/>
      <c r="C439" s="117"/>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row>
    <row r="440" spans="1:30" x14ac:dyDescent="0.25">
      <c r="A440" s="16"/>
      <c r="B440" s="16"/>
      <c r="C440" s="117"/>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row>
    <row r="441" spans="1:30" x14ac:dyDescent="0.25">
      <c r="A441" s="16"/>
      <c r="B441" s="16"/>
      <c r="C441" s="117"/>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row>
    <row r="442" spans="1:30" x14ac:dyDescent="0.25">
      <c r="A442" s="16"/>
      <c r="B442" s="16"/>
      <c r="C442" s="117"/>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row>
    <row r="443" spans="1:30" x14ac:dyDescent="0.25">
      <c r="A443" s="16"/>
      <c r="B443" s="16"/>
      <c r="C443" s="117"/>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row>
    <row r="444" spans="1:30" x14ac:dyDescent="0.25">
      <c r="A444" s="16"/>
      <c r="B444" s="16"/>
      <c r="C444" s="117"/>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row>
    <row r="445" spans="1:30" x14ac:dyDescent="0.25">
      <c r="A445" s="16"/>
      <c r="B445" s="16"/>
      <c r="C445" s="117"/>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row>
    <row r="446" spans="1:30" x14ac:dyDescent="0.25">
      <c r="A446" s="16"/>
      <c r="B446" s="16"/>
      <c r="C446" s="117"/>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row>
    <row r="447" spans="1:30" x14ac:dyDescent="0.25">
      <c r="A447" s="16"/>
      <c r="B447" s="16"/>
      <c r="C447" s="117"/>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row>
    <row r="448" spans="1:30" x14ac:dyDescent="0.25">
      <c r="A448" s="16"/>
      <c r="B448" s="16"/>
      <c r="C448" s="117"/>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row>
    <row r="449" spans="1:30" x14ac:dyDescent="0.25">
      <c r="A449" s="16"/>
      <c r="B449" s="16"/>
      <c r="C449" s="117"/>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row>
    <row r="450" spans="1:30" x14ac:dyDescent="0.25">
      <c r="A450" s="16"/>
      <c r="B450" s="16"/>
      <c r="C450" s="117"/>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row>
    <row r="451" spans="1:30" x14ac:dyDescent="0.25">
      <c r="A451" s="16"/>
      <c r="B451" s="16"/>
      <c r="C451" s="117"/>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row>
    <row r="452" spans="1:30" x14ac:dyDescent="0.25">
      <c r="A452" s="16"/>
      <c r="B452" s="16"/>
      <c r="C452" s="117"/>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row>
    <row r="453" spans="1:30" x14ac:dyDescent="0.25">
      <c r="A453" s="16"/>
      <c r="B453" s="16"/>
      <c r="C453" s="117"/>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row>
    <row r="454" spans="1:30" x14ac:dyDescent="0.25">
      <c r="A454" s="16"/>
      <c r="B454" s="16"/>
      <c r="C454" s="117"/>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row>
    <row r="455" spans="1:30" x14ac:dyDescent="0.25">
      <c r="A455" s="16"/>
      <c r="B455" s="16"/>
      <c r="C455" s="117"/>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row>
    <row r="456" spans="1:30" x14ac:dyDescent="0.25">
      <c r="A456" s="16"/>
      <c r="B456" s="16"/>
      <c r="C456" s="117"/>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row>
    <row r="457" spans="1:30" x14ac:dyDescent="0.25">
      <c r="A457" s="16"/>
      <c r="B457" s="16"/>
      <c r="C457" s="117"/>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row>
    <row r="458" spans="1:30" x14ac:dyDescent="0.25">
      <c r="A458" s="16"/>
      <c r="B458" s="16"/>
      <c r="C458" s="117"/>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row>
    <row r="459" spans="1:30" x14ac:dyDescent="0.25">
      <c r="A459" s="16"/>
      <c r="B459" s="16"/>
      <c r="C459" s="117"/>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row>
    <row r="460" spans="1:30" x14ac:dyDescent="0.25">
      <c r="A460" s="16"/>
      <c r="B460" s="16"/>
      <c r="C460" s="117"/>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row>
    <row r="461" spans="1:30" x14ac:dyDescent="0.25">
      <c r="A461" s="16"/>
      <c r="B461" s="16"/>
      <c r="C461" s="117"/>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row>
    <row r="462" spans="1:30" x14ac:dyDescent="0.25">
      <c r="A462" s="16"/>
      <c r="B462" s="16"/>
      <c r="C462" s="117"/>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row>
    <row r="463" spans="1:30" x14ac:dyDescent="0.25">
      <c r="A463" s="16"/>
      <c r="B463" s="16"/>
      <c r="C463" s="117"/>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row>
    <row r="464" spans="1:30" x14ac:dyDescent="0.25">
      <c r="A464" s="16"/>
      <c r="B464" s="16"/>
      <c r="C464" s="117"/>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row>
    <row r="465" spans="1:30" x14ac:dyDescent="0.25">
      <c r="A465" s="16"/>
      <c r="B465" s="16"/>
      <c r="C465" s="117"/>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row>
    <row r="466" spans="1:30" x14ac:dyDescent="0.25">
      <c r="A466" s="16"/>
      <c r="B466" s="16"/>
      <c r="C466" s="117"/>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row>
    <row r="467" spans="1:30" x14ac:dyDescent="0.25">
      <c r="A467" s="16"/>
      <c r="B467" s="16"/>
      <c r="C467" s="117"/>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row>
    <row r="468" spans="1:30" x14ac:dyDescent="0.25">
      <c r="A468" s="16"/>
      <c r="B468" s="16"/>
      <c r="C468" s="117"/>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row>
    <row r="469" spans="1:30" x14ac:dyDescent="0.25">
      <c r="A469" s="16"/>
      <c r="B469" s="16"/>
      <c r="C469" s="117"/>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row>
    <row r="470" spans="1:30" x14ac:dyDescent="0.25">
      <c r="A470" s="16"/>
      <c r="B470" s="16"/>
      <c r="C470" s="117"/>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row>
    <row r="471" spans="1:30" x14ac:dyDescent="0.25">
      <c r="A471" s="16"/>
      <c r="B471" s="16"/>
      <c r="C471" s="117"/>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row>
    <row r="472" spans="1:30" x14ac:dyDescent="0.25">
      <c r="A472" s="16"/>
      <c r="B472" s="16"/>
      <c r="C472" s="117"/>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row>
    <row r="473" spans="1:30" x14ac:dyDescent="0.25">
      <c r="A473" s="16"/>
      <c r="B473" s="16"/>
      <c r="C473" s="117"/>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row>
    <row r="474" spans="1:30" x14ac:dyDescent="0.25">
      <c r="A474" s="16"/>
      <c r="B474" s="16"/>
      <c r="C474" s="117"/>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row>
    <row r="475" spans="1:30" x14ac:dyDescent="0.25">
      <c r="A475" s="16"/>
      <c r="B475" s="16"/>
      <c r="C475" s="117"/>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row>
    <row r="476" spans="1:30" x14ac:dyDescent="0.25">
      <c r="A476" s="16"/>
      <c r="B476" s="16"/>
      <c r="C476" s="117"/>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row>
    <row r="477" spans="1:30" x14ac:dyDescent="0.25">
      <c r="A477" s="16"/>
      <c r="B477" s="16"/>
      <c r="C477" s="117"/>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row>
    <row r="478" spans="1:30" x14ac:dyDescent="0.25">
      <c r="A478" s="16"/>
      <c r="B478" s="16"/>
      <c r="C478" s="117"/>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row>
    <row r="479" spans="1:30" x14ac:dyDescent="0.25">
      <c r="A479" s="16"/>
      <c r="B479" s="16"/>
      <c r="C479" s="117"/>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row>
    <row r="480" spans="1:30" x14ac:dyDescent="0.25">
      <c r="A480" s="16"/>
      <c r="B480" s="16"/>
      <c r="C480" s="117"/>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row>
    <row r="481" spans="1:30" x14ac:dyDescent="0.25">
      <c r="A481" s="16"/>
      <c r="B481" s="16"/>
      <c r="C481" s="117"/>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row>
    <row r="482" spans="1:30" x14ac:dyDescent="0.25">
      <c r="A482" s="16"/>
      <c r="B482" s="16"/>
      <c r="C482" s="117"/>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row>
    <row r="483" spans="1:30" x14ac:dyDescent="0.25">
      <c r="A483" s="16"/>
      <c r="B483" s="16"/>
      <c r="C483" s="117"/>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row>
    <row r="484" spans="1:30" x14ac:dyDescent="0.25">
      <c r="A484" s="16"/>
      <c r="B484" s="16"/>
      <c r="C484" s="117"/>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row>
    <row r="485" spans="1:30" x14ac:dyDescent="0.25">
      <c r="A485" s="16"/>
      <c r="B485" s="16"/>
      <c r="C485" s="117"/>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row>
    <row r="486" spans="1:30" x14ac:dyDescent="0.25">
      <c r="A486" s="16"/>
      <c r="B486" s="16"/>
      <c r="C486" s="117"/>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row>
    <row r="487" spans="1:30" x14ac:dyDescent="0.25">
      <c r="A487" s="16"/>
      <c r="B487" s="16"/>
      <c r="C487" s="117"/>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row>
    <row r="488" spans="1:30" x14ac:dyDescent="0.25">
      <c r="A488" s="16"/>
      <c r="B488" s="16"/>
      <c r="C488" s="117"/>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row>
    <row r="489" spans="1:30" x14ac:dyDescent="0.25">
      <c r="A489" s="16"/>
      <c r="B489" s="16"/>
      <c r="C489" s="117"/>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row>
    <row r="490" spans="1:30" x14ac:dyDescent="0.25">
      <c r="A490" s="16"/>
      <c r="B490" s="16"/>
      <c r="C490" s="117"/>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row>
    <row r="491" spans="1:30" x14ac:dyDescent="0.25">
      <c r="A491" s="16"/>
      <c r="B491" s="16"/>
      <c r="C491" s="117"/>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row>
    <row r="492" spans="1:30" x14ac:dyDescent="0.25">
      <c r="A492" s="16"/>
      <c r="B492" s="16"/>
      <c r="C492" s="117"/>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row>
    <row r="493" spans="1:30" x14ac:dyDescent="0.25">
      <c r="A493" s="16"/>
      <c r="B493" s="16"/>
      <c r="C493" s="117"/>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row>
    <row r="494" spans="1:30" x14ac:dyDescent="0.25">
      <c r="A494" s="16"/>
      <c r="B494" s="16"/>
      <c r="C494" s="117"/>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row>
    <row r="495" spans="1:30" x14ac:dyDescent="0.25">
      <c r="A495" s="16"/>
      <c r="B495" s="16"/>
      <c r="C495" s="117"/>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row>
    <row r="496" spans="1:30" x14ac:dyDescent="0.25">
      <c r="A496" s="16"/>
      <c r="B496" s="16"/>
      <c r="C496" s="117"/>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row>
    <row r="497" spans="1:30" x14ac:dyDescent="0.25">
      <c r="A497" s="16"/>
      <c r="B497" s="16"/>
      <c r="C497" s="117"/>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row>
    <row r="498" spans="1:30" x14ac:dyDescent="0.25">
      <c r="A498" s="16"/>
      <c r="B498" s="16"/>
      <c r="C498" s="117"/>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row>
    <row r="499" spans="1:30" x14ac:dyDescent="0.25">
      <c r="A499" s="16"/>
      <c r="B499" s="16"/>
      <c r="C499" s="117"/>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row>
    <row r="500" spans="1:30" x14ac:dyDescent="0.25">
      <c r="A500" s="16"/>
      <c r="B500" s="16"/>
      <c r="C500" s="117"/>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row>
    <row r="501" spans="1:30" x14ac:dyDescent="0.25">
      <c r="A501" s="16"/>
      <c r="B501" s="16"/>
      <c r="C501" s="117"/>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row>
    <row r="502" spans="1:30" x14ac:dyDescent="0.25">
      <c r="A502" s="16"/>
      <c r="B502" s="16"/>
      <c r="C502" s="117"/>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row>
    <row r="503" spans="1:30" x14ac:dyDescent="0.25">
      <c r="A503" s="16"/>
      <c r="B503" s="16"/>
      <c r="C503" s="117"/>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row>
    <row r="504" spans="1:30" x14ac:dyDescent="0.25">
      <c r="A504" s="16"/>
      <c r="B504" s="16"/>
      <c r="C504" s="117"/>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row>
    <row r="505" spans="1:30" x14ac:dyDescent="0.25">
      <c r="A505" s="16"/>
      <c r="B505" s="16"/>
      <c r="C505" s="117"/>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row>
    <row r="506" spans="1:30" x14ac:dyDescent="0.25">
      <c r="A506" s="16"/>
      <c r="B506" s="16"/>
      <c r="C506" s="117"/>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row>
    <row r="507" spans="1:30" x14ac:dyDescent="0.25">
      <c r="A507" s="16"/>
      <c r="B507" s="16"/>
      <c r="C507" s="117"/>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row>
    <row r="508" spans="1:30" x14ac:dyDescent="0.25">
      <c r="A508" s="16"/>
      <c r="B508" s="16"/>
      <c r="C508" s="117"/>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row>
    <row r="509" spans="1:30" x14ac:dyDescent="0.25">
      <c r="A509" s="16"/>
      <c r="B509" s="16"/>
      <c r="C509" s="117"/>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row>
    <row r="510" spans="1:30" x14ac:dyDescent="0.25">
      <c r="A510" s="16"/>
      <c r="B510" s="16"/>
      <c r="C510" s="117"/>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row>
    <row r="511" spans="1:30" x14ac:dyDescent="0.25">
      <c r="A511" s="16"/>
      <c r="B511" s="16"/>
      <c r="C511" s="117"/>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row>
    <row r="512" spans="1:30" x14ac:dyDescent="0.25">
      <c r="A512" s="16"/>
      <c r="B512" s="16"/>
      <c r="C512" s="117"/>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row>
    <row r="513" spans="1:30" x14ac:dyDescent="0.25">
      <c r="A513" s="16"/>
      <c r="B513" s="16"/>
      <c r="C513" s="117"/>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row>
    <row r="514" spans="1:30" x14ac:dyDescent="0.25">
      <c r="A514" s="16"/>
      <c r="B514" s="16"/>
      <c r="C514" s="117"/>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row>
    <row r="515" spans="1:30" x14ac:dyDescent="0.25">
      <c r="A515" s="16"/>
      <c r="B515" s="16"/>
      <c r="C515" s="117"/>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row>
    <row r="516" spans="1:30" x14ac:dyDescent="0.25">
      <c r="A516" s="16"/>
      <c r="B516" s="16"/>
      <c r="C516" s="117"/>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row>
    <row r="517" spans="1:30" x14ac:dyDescent="0.25">
      <c r="A517" s="16"/>
      <c r="B517" s="16"/>
      <c r="C517" s="117"/>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row>
    <row r="518" spans="1:30" x14ac:dyDescent="0.25">
      <c r="A518" s="16"/>
      <c r="B518" s="16"/>
      <c r="C518" s="117"/>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row>
    <row r="519" spans="1:30" x14ac:dyDescent="0.25">
      <c r="A519" s="16"/>
      <c r="B519" s="16"/>
      <c r="C519" s="117"/>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row>
    <row r="520" spans="1:30" x14ac:dyDescent="0.25">
      <c r="A520" s="16"/>
      <c r="B520" s="16"/>
      <c r="C520" s="117"/>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row>
    <row r="521" spans="1:30" x14ac:dyDescent="0.25">
      <c r="A521" s="16"/>
      <c r="B521" s="16"/>
      <c r="C521" s="117"/>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row>
    <row r="522" spans="1:30" x14ac:dyDescent="0.25">
      <c r="A522" s="16"/>
      <c r="B522" s="16"/>
      <c r="C522" s="117"/>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row>
    <row r="523" spans="1:30" x14ac:dyDescent="0.25">
      <c r="A523" s="16"/>
      <c r="B523" s="16"/>
      <c r="C523" s="117"/>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row>
    <row r="524" spans="1:30" x14ac:dyDescent="0.25">
      <c r="A524" s="16"/>
      <c r="B524" s="16"/>
      <c r="C524" s="117"/>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row>
    <row r="525" spans="1:30" x14ac:dyDescent="0.25">
      <c r="A525" s="16"/>
      <c r="B525" s="16"/>
      <c r="C525" s="117"/>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row>
    <row r="526" spans="1:30" x14ac:dyDescent="0.25">
      <c r="A526" s="16"/>
      <c r="B526" s="16"/>
      <c r="C526" s="117"/>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row>
    <row r="527" spans="1:30" x14ac:dyDescent="0.25">
      <c r="A527" s="16"/>
      <c r="B527" s="16"/>
      <c r="C527" s="117"/>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row>
    <row r="528" spans="1:30" x14ac:dyDescent="0.25">
      <c r="A528" s="16"/>
      <c r="B528" s="16"/>
      <c r="C528" s="117"/>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row>
    <row r="529" spans="1:30" x14ac:dyDescent="0.25">
      <c r="A529" s="16"/>
      <c r="B529" s="16"/>
      <c r="C529" s="117"/>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row>
    <row r="530" spans="1:30" x14ac:dyDescent="0.25">
      <c r="A530" s="16"/>
      <c r="B530" s="16"/>
      <c r="C530" s="117"/>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row>
    <row r="531" spans="1:30" x14ac:dyDescent="0.25">
      <c r="A531" s="16"/>
      <c r="B531" s="16"/>
      <c r="C531" s="117"/>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row>
    <row r="532" spans="1:30" x14ac:dyDescent="0.25">
      <c r="A532" s="16"/>
      <c r="B532" s="16"/>
      <c r="C532" s="117"/>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row>
    <row r="533" spans="1:30" x14ac:dyDescent="0.25">
      <c r="A533" s="16"/>
      <c r="B533" s="16"/>
      <c r="C533" s="117"/>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row>
    <row r="534" spans="1:30" x14ac:dyDescent="0.25">
      <c r="A534" s="16"/>
      <c r="B534" s="16"/>
      <c r="C534" s="117"/>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row>
    <row r="535" spans="1:30" x14ac:dyDescent="0.25">
      <c r="A535" s="16"/>
      <c r="B535" s="16"/>
      <c r="C535" s="117"/>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row>
    <row r="536" spans="1:30" x14ac:dyDescent="0.25">
      <c r="A536" s="16"/>
      <c r="B536" s="16"/>
      <c r="C536" s="117"/>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row>
    <row r="537" spans="1:30" x14ac:dyDescent="0.25">
      <c r="A537" s="16"/>
      <c r="B537" s="16"/>
      <c r="C537" s="117"/>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row>
    <row r="538" spans="1:30" x14ac:dyDescent="0.25">
      <c r="A538" s="16"/>
      <c r="B538" s="16"/>
      <c r="C538" s="117"/>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row>
    <row r="539" spans="1:30" x14ac:dyDescent="0.25">
      <c r="A539" s="16"/>
      <c r="B539" s="16"/>
      <c r="C539" s="117"/>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row>
    <row r="540" spans="1:30" x14ac:dyDescent="0.25">
      <c r="A540" s="16"/>
      <c r="B540" s="16"/>
      <c r="C540" s="117"/>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row>
    <row r="541" spans="1:30" x14ac:dyDescent="0.25">
      <c r="A541" s="16"/>
      <c r="B541" s="16"/>
      <c r="C541" s="117"/>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row>
    <row r="542" spans="1:30" x14ac:dyDescent="0.25">
      <c r="A542" s="16"/>
      <c r="B542" s="16"/>
      <c r="C542" s="117"/>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row>
    <row r="543" spans="1:30" x14ac:dyDescent="0.25">
      <c r="A543" s="16"/>
      <c r="B543" s="16"/>
      <c r="C543" s="117"/>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row>
    <row r="544" spans="1:30" x14ac:dyDescent="0.25">
      <c r="A544" s="16"/>
      <c r="B544" s="16"/>
      <c r="C544" s="117"/>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row>
    <row r="545" spans="1:30" x14ac:dyDescent="0.25">
      <c r="A545" s="16"/>
      <c r="B545" s="16"/>
      <c r="C545" s="117"/>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row>
    <row r="546" spans="1:30" x14ac:dyDescent="0.25">
      <c r="A546" s="16"/>
      <c r="B546" s="16"/>
      <c r="C546" s="117"/>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row>
    <row r="547" spans="1:30" x14ac:dyDescent="0.25">
      <c r="A547" s="16"/>
      <c r="B547" s="16"/>
      <c r="C547" s="117"/>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row>
    <row r="548" spans="1:30" x14ac:dyDescent="0.25">
      <c r="A548" s="16"/>
      <c r="B548" s="16"/>
      <c r="C548" s="117"/>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row>
    <row r="549" spans="1:30" x14ac:dyDescent="0.25">
      <c r="A549" s="16"/>
      <c r="B549" s="16"/>
      <c r="C549" s="117"/>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row>
    <row r="550" spans="1:30" x14ac:dyDescent="0.25">
      <c r="A550" s="16"/>
      <c r="B550" s="16"/>
      <c r="C550" s="117"/>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row>
    <row r="551" spans="1:30" x14ac:dyDescent="0.25">
      <c r="A551" s="16"/>
      <c r="B551" s="16"/>
      <c r="C551" s="117"/>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row>
    <row r="552" spans="1:30" x14ac:dyDescent="0.25">
      <c r="A552" s="16"/>
      <c r="B552" s="16"/>
      <c r="C552" s="117"/>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row>
    <row r="553" spans="1:30" x14ac:dyDescent="0.25">
      <c r="A553" s="16"/>
      <c r="B553" s="16"/>
      <c r="C553" s="117"/>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row>
    <row r="554" spans="1:30" x14ac:dyDescent="0.25">
      <c r="A554" s="16"/>
      <c r="B554" s="16"/>
      <c r="C554" s="117"/>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row>
    <row r="555" spans="1:30" x14ac:dyDescent="0.25">
      <c r="A555" s="16"/>
      <c r="B555" s="16"/>
      <c r="C555" s="117"/>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row>
    <row r="556" spans="1:30" x14ac:dyDescent="0.25">
      <c r="A556" s="16"/>
      <c r="B556" s="16"/>
      <c r="C556" s="117"/>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row>
    <row r="557" spans="1:30" x14ac:dyDescent="0.25">
      <c r="A557" s="16"/>
      <c r="B557" s="16"/>
      <c r="C557" s="117"/>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row>
    <row r="558" spans="1:30" x14ac:dyDescent="0.25">
      <c r="A558" s="16"/>
      <c r="B558" s="16"/>
      <c r="C558" s="117"/>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row>
    <row r="559" spans="1:30" x14ac:dyDescent="0.25">
      <c r="A559" s="16"/>
      <c r="B559" s="16"/>
      <c r="C559" s="117"/>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row>
    <row r="560" spans="1:30" x14ac:dyDescent="0.25">
      <c r="A560" s="16"/>
      <c r="B560" s="16"/>
      <c r="C560" s="117"/>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row>
    <row r="561" spans="1:30" x14ac:dyDescent="0.25">
      <c r="A561" s="16"/>
      <c r="B561" s="16"/>
      <c r="C561" s="117"/>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row>
    <row r="562" spans="1:30" x14ac:dyDescent="0.25">
      <c r="A562" s="16"/>
      <c r="B562" s="16"/>
      <c r="C562" s="117"/>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row>
    <row r="563" spans="1:30" x14ac:dyDescent="0.25">
      <c r="A563" s="16"/>
      <c r="B563" s="16"/>
      <c r="C563" s="117"/>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row>
    <row r="564" spans="1:30" x14ac:dyDescent="0.25">
      <c r="A564" s="16"/>
      <c r="B564" s="16"/>
      <c r="C564" s="117"/>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row>
    <row r="565" spans="1:30" x14ac:dyDescent="0.25">
      <c r="A565" s="16"/>
      <c r="B565" s="16"/>
      <c r="C565" s="117"/>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row>
    <row r="566" spans="1:30" x14ac:dyDescent="0.25">
      <c r="A566" s="16"/>
      <c r="B566" s="16"/>
      <c r="C566" s="117"/>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row>
    <row r="567" spans="1:30" x14ac:dyDescent="0.25">
      <c r="A567" s="16"/>
      <c r="B567" s="16"/>
      <c r="C567" s="117"/>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row>
    <row r="568" spans="1:30" x14ac:dyDescent="0.25">
      <c r="A568" s="16"/>
      <c r="B568" s="16"/>
      <c r="C568" s="117"/>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row>
    <row r="569" spans="1:30" x14ac:dyDescent="0.25">
      <c r="A569" s="16"/>
      <c r="B569" s="16"/>
      <c r="C569" s="117"/>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row>
    <row r="570" spans="1:30" x14ac:dyDescent="0.25">
      <c r="A570" s="16"/>
      <c r="B570" s="16"/>
      <c r="C570" s="117"/>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row>
    <row r="571" spans="1:30" x14ac:dyDescent="0.25">
      <c r="A571" s="16"/>
      <c r="B571" s="16"/>
      <c r="C571" s="117"/>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row>
    <row r="572" spans="1:30" x14ac:dyDescent="0.25">
      <c r="A572" s="16"/>
      <c r="B572" s="16"/>
      <c r="C572" s="117"/>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row>
    <row r="573" spans="1:30" x14ac:dyDescent="0.25">
      <c r="A573" s="16"/>
      <c r="B573" s="16"/>
      <c r="C573" s="117"/>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row>
    <row r="574" spans="1:30" x14ac:dyDescent="0.25">
      <c r="A574" s="16"/>
      <c r="B574" s="16"/>
      <c r="C574" s="117"/>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row>
    <row r="575" spans="1:30" x14ac:dyDescent="0.25">
      <c r="A575" s="16"/>
      <c r="B575" s="16"/>
      <c r="C575" s="117"/>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row>
    <row r="576" spans="1:30" x14ac:dyDescent="0.25">
      <c r="A576" s="16"/>
      <c r="B576" s="16"/>
      <c r="C576" s="117"/>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row>
    <row r="577" spans="1:30" x14ac:dyDescent="0.25">
      <c r="A577" s="16"/>
      <c r="B577" s="16"/>
      <c r="C577" s="117"/>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row>
    <row r="578" spans="1:30" x14ac:dyDescent="0.25">
      <c r="A578" s="16"/>
      <c r="B578" s="16"/>
      <c r="C578" s="117"/>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row>
    <row r="579" spans="1:30" x14ac:dyDescent="0.25">
      <c r="A579" s="16"/>
      <c r="B579" s="16"/>
      <c r="C579" s="117"/>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row>
    <row r="580" spans="1:30" x14ac:dyDescent="0.25">
      <c r="A580" s="16"/>
      <c r="B580" s="16"/>
      <c r="C580" s="117"/>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row>
    <row r="581" spans="1:30" x14ac:dyDescent="0.25">
      <c r="A581" s="16"/>
      <c r="B581" s="16"/>
      <c r="C581" s="117"/>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row>
    <row r="582" spans="1:30" x14ac:dyDescent="0.25">
      <c r="A582" s="16"/>
      <c r="B582" s="16"/>
      <c r="C582" s="117"/>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row>
    <row r="583" spans="1:30" x14ac:dyDescent="0.25">
      <c r="A583" s="16"/>
      <c r="B583" s="16"/>
      <c r="C583" s="117"/>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row>
    <row r="584" spans="1:30" x14ac:dyDescent="0.25">
      <c r="A584" s="16"/>
      <c r="B584" s="16"/>
      <c r="C584" s="117"/>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row>
    <row r="585" spans="1:30" x14ac:dyDescent="0.25">
      <c r="A585" s="16"/>
      <c r="B585" s="16"/>
      <c r="C585" s="117"/>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row>
    <row r="586" spans="1:30" x14ac:dyDescent="0.25">
      <c r="A586" s="16"/>
      <c r="B586" s="16"/>
      <c r="C586" s="117"/>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row>
    <row r="587" spans="1:30" x14ac:dyDescent="0.25">
      <c r="A587" s="16"/>
      <c r="B587" s="16"/>
      <c r="C587" s="117"/>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row>
    <row r="588" spans="1:30" x14ac:dyDescent="0.25">
      <c r="A588" s="16"/>
      <c r="B588" s="16"/>
      <c r="C588" s="117"/>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row>
    <row r="589" spans="1:30" x14ac:dyDescent="0.25">
      <c r="A589" s="16"/>
      <c r="B589" s="16"/>
      <c r="C589" s="117"/>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row>
    <row r="590" spans="1:30" x14ac:dyDescent="0.25">
      <c r="A590" s="16"/>
      <c r="B590" s="16"/>
      <c r="C590" s="117"/>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row>
    <row r="591" spans="1:30" x14ac:dyDescent="0.25">
      <c r="A591" s="16"/>
      <c r="B591" s="16"/>
      <c r="C591" s="117"/>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row>
    <row r="592" spans="1:30" x14ac:dyDescent="0.25">
      <c r="A592" s="16"/>
      <c r="B592" s="16"/>
      <c r="C592" s="117"/>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row>
    <row r="593" spans="1:30" x14ac:dyDescent="0.25">
      <c r="A593" s="16"/>
      <c r="B593" s="16"/>
      <c r="C593" s="117"/>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row>
    <row r="594" spans="1:30" x14ac:dyDescent="0.25">
      <c r="A594" s="16"/>
      <c r="B594" s="16"/>
      <c r="C594" s="117"/>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row>
    <row r="595" spans="1:30" x14ac:dyDescent="0.25">
      <c r="A595" s="16"/>
      <c r="B595" s="16"/>
      <c r="C595" s="117"/>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row>
    <row r="596" spans="1:30" x14ac:dyDescent="0.25">
      <c r="A596" s="16"/>
      <c r="B596" s="16"/>
      <c r="C596" s="117"/>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row>
    <row r="597" spans="1:30" x14ac:dyDescent="0.25">
      <c r="A597" s="16"/>
      <c r="B597" s="16"/>
      <c r="C597" s="117"/>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row>
    <row r="598" spans="1:30" x14ac:dyDescent="0.25">
      <c r="A598" s="16"/>
      <c r="B598" s="16"/>
      <c r="C598" s="117"/>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row>
    <row r="599" spans="1:30" x14ac:dyDescent="0.25">
      <c r="A599" s="16"/>
      <c r="B599" s="16"/>
      <c r="C599" s="117"/>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row>
    <row r="600" spans="1:30" x14ac:dyDescent="0.25">
      <c r="A600" s="16"/>
      <c r="B600" s="16"/>
      <c r="C600" s="117"/>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row>
    <row r="601" spans="1:30" x14ac:dyDescent="0.25">
      <c r="A601" s="16"/>
      <c r="B601" s="16"/>
      <c r="C601" s="117"/>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row>
    <row r="602" spans="1:30" x14ac:dyDescent="0.25">
      <c r="A602" s="16"/>
      <c r="B602" s="16"/>
      <c r="C602" s="117"/>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row>
    <row r="603" spans="1:30" x14ac:dyDescent="0.25">
      <c r="A603" s="16"/>
      <c r="B603" s="16"/>
      <c r="C603" s="117"/>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row>
    <row r="604" spans="1:30" x14ac:dyDescent="0.25">
      <c r="A604" s="16"/>
      <c r="B604" s="16"/>
      <c r="C604" s="117"/>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row>
    <row r="605" spans="1:30" x14ac:dyDescent="0.25">
      <c r="A605" s="16"/>
      <c r="B605" s="16"/>
      <c r="C605" s="117"/>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row>
    <row r="606" spans="1:30" x14ac:dyDescent="0.25">
      <c r="A606" s="16"/>
      <c r="B606" s="16"/>
      <c r="C606" s="117"/>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row>
    <row r="607" spans="1:30" x14ac:dyDescent="0.25">
      <c r="A607" s="16"/>
      <c r="B607" s="16"/>
      <c r="C607" s="117"/>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row>
    <row r="608" spans="1:30" x14ac:dyDescent="0.25">
      <c r="A608" s="16"/>
      <c r="B608" s="16"/>
      <c r="C608" s="117"/>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row>
    <row r="609" spans="1:30" x14ac:dyDescent="0.25">
      <c r="A609" s="16"/>
      <c r="B609" s="16"/>
      <c r="C609" s="117"/>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row>
    <row r="610" spans="1:30" x14ac:dyDescent="0.25">
      <c r="A610" s="16"/>
      <c r="B610" s="16"/>
      <c r="C610" s="117"/>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row>
    <row r="611" spans="1:30" x14ac:dyDescent="0.25">
      <c r="A611" s="16"/>
      <c r="B611" s="16"/>
      <c r="C611" s="117"/>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row>
    <row r="612" spans="1:30" x14ac:dyDescent="0.25">
      <c r="A612" s="16"/>
      <c r="B612" s="16"/>
      <c r="C612" s="117"/>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row>
    <row r="613" spans="1:30" x14ac:dyDescent="0.25">
      <c r="A613" s="16"/>
      <c r="B613" s="16"/>
      <c r="C613" s="117"/>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row>
    <row r="614" spans="1:30" x14ac:dyDescent="0.25">
      <c r="A614" s="16"/>
      <c r="B614" s="16"/>
      <c r="C614" s="117"/>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row>
    <row r="615" spans="1:30" x14ac:dyDescent="0.25">
      <c r="A615" s="16"/>
      <c r="B615" s="16"/>
      <c r="C615" s="117"/>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row>
    <row r="616" spans="1:30" x14ac:dyDescent="0.25">
      <c r="A616" s="16"/>
      <c r="B616" s="16"/>
      <c r="C616" s="117"/>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row>
    <row r="617" spans="1:30" x14ac:dyDescent="0.25">
      <c r="A617" s="16"/>
      <c r="B617" s="16"/>
      <c r="C617" s="117"/>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row>
    <row r="618" spans="1:30" x14ac:dyDescent="0.25">
      <c r="A618" s="16"/>
      <c r="B618" s="16"/>
      <c r="C618" s="117"/>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row>
  </sheetData>
  <conditionalFormatting sqref="J2:J183">
    <cfRule type="cellIs" dxfId="9" priority="1" operator="equal">
      <formula>"R"</formula>
    </cfRule>
  </conditionalFormatting>
  <hyperlinks>
    <hyperlink ref="B2" r:id="rId1" xr:uid="{B919666B-0E2B-4B67-8DEE-9F509E029C96}"/>
    <hyperlink ref="B3" r:id="rId2" xr:uid="{F7BD5F14-484C-4A01-9C27-8348D6196211}"/>
    <hyperlink ref="B4" r:id="rId3" xr:uid="{2E3CDB5A-D4D4-4C8E-932A-74D3882D2E59}"/>
    <hyperlink ref="B5" r:id="rId4" xr:uid="{5515E951-642B-474B-A725-73987A6DF66E}"/>
    <hyperlink ref="B6" r:id="rId5" xr:uid="{26AFFE6C-05B4-45B4-ACF2-C96CBDE40569}"/>
    <hyperlink ref="B7" r:id="rId6" xr:uid="{16B7E32A-58E3-4AD1-9354-DAA46159E331}"/>
    <hyperlink ref="B8" r:id="rId7" xr:uid="{9259DAAD-C2D5-41E4-87B8-9CE4A1D7A731}"/>
    <hyperlink ref="B9" r:id="rId8" xr:uid="{435528B5-0A22-4B5E-A865-18491278928B}"/>
    <hyperlink ref="B10" r:id="rId9" xr:uid="{04C45941-1EE7-434F-AC72-BF862D00D090}"/>
    <hyperlink ref="B11" r:id="rId10" xr:uid="{99B682B7-83A9-41CF-8EAB-6D749E1A1558}"/>
    <hyperlink ref="B12" r:id="rId11" xr:uid="{CD22000C-ED4B-4E1D-AC50-292D5FAC1C2A}"/>
    <hyperlink ref="B13" r:id="rId12" xr:uid="{22174392-2D0F-4307-A4AE-0A3E8C18BD15}"/>
    <hyperlink ref="B14" r:id="rId13" xr:uid="{71923F80-DB2F-4A03-989D-DA0408D848DD}"/>
    <hyperlink ref="B15" r:id="rId14" xr:uid="{48F467FE-F1C8-4A80-A640-4735411F85B1}"/>
    <hyperlink ref="B16" r:id="rId15" xr:uid="{F016A490-6AEF-44CE-891C-2730594F2588}"/>
    <hyperlink ref="B17" r:id="rId16" xr:uid="{E01FA700-6C6D-4D47-80E5-93714F50ABE9}"/>
    <hyperlink ref="B18" r:id="rId17" xr:uid="{446B576D-CAFA-483E-8EB6-9FC44EB3A187}"/>
    <hyperlink ref="B19" r:id="rId18" xr:uid="{E35B5995-508B-4F69-8520-93203DB1B555}"/>
    <hyperlink ref="B20" r:id="rId19" xr:uid="{C992E38D-A30B-4118-BA02-20A9F6E37A77}"/>
    <hyperlink ref="B21" r:id="rId20" xr:uid="{90E98B8D-9538-48F0-B405-B10D62709DDA}"/>
    <hyperlink ref="B22" r:id="rId21" xr:uid="{6FF6B9BC-124B-4FC4-90B1-D8807E47B9ED}"/>
    <hyperlink ref="B23" r:id="rId22" xr:uid="{2EF384EC-F0E4-4EF3-9268-FAE24FFE7252}"/>
    <hyperlink ref="B24" r:id="rId23" xr:uid="{3736E885-70C5-45C9-AD21-08FD55C99452}"/>
    <hyperlink ref="B25" r:id="rId24" xr:uid="{018B4171-9CE2-4FE2-9A6E-4E710E88AD57}"/>
    <hyperlink ref="B26" r:id="rId25" xr:uid="{DA5A1B3C-C3C0-4A0C-853B-89B33A90716F}"/>
    <hyperlink ref="B27" r:id="rId26" xr:uid="{F30B4748-1549-4501-9B48-415EFD04AB08}"/>
    <hyperlink ref="B28" r:id="rId27" xr:uid="{4EFED551-CAB7-4A58-B438-D447C6F2D859}"/>
    <hyperlink ref="B29" r:id="rId28" xr:uid="{18709A31-762B-4119-A09D-8D4376608389}"/>
    <hyperlink ref="B30" r:id="rId29" xr:uid="{2903EE02-CA2A-4EA0-AEB3-D07B7B3C052B}"/>
    <hyperlink ref="B31" r:id="rId30" xr:uid="{F9BFA6AC-2F18-40D6-9FFD-8ED64FFA7E52}"/>
    <hyperlink ref="B32" r:id="rId31" xr:uid="{AD2C1E51-EF17-47FD-9B44-28E44DF490F2}"/>
    <hyperlink ref="B33" r:id="rId32" xr:uid="{3345BE34-0FB3-44F4-B7B4-66129AEA8CA6}"/>
    <hyperlink ref="B34" r:id="rId33" xr:uid="{CED69256-47DC-4CBB-91D5-41EC6B5EDB5A}"/>
    <hyperlink ref="B35" r:id="rId34" xr:uid="{DE94E668-B20B-49A6-94DD-B389490FDD86}"/>
    <hyperlink ref="B36" r:id="rId35" xr:uid="{086CF22C-F3E1-464B-B9C1-F68FFA92C726}"/>
    <hyperlink ref="B37" r:id="rId36" xr:uid="{B0C5BD83-0D80-442D-A86D-5463DBD9801D}"/>
    <hyperlink ref="B38" r:id="rId37" xr:uid="{5A48CDE2-E1A6-42CD-B82A-BF340430B844}"/>
    <hyperlink ref="B39" r:id="rId38" xr:uid="{96E38A36-8C27-4C6C-9AA0-8149236C7AB5}"/>
    <hyperlink ref="B40" r:id="rId39" xr:uid="{561A650D-48B8-4199-878D-71639776B3E0}"/>
    <hyperlink ref="B41" r:id="rId40" xr:uid="{8EE74993-ACE8-4CBE-A1F3-29CDF80B8916}"/>
    <hyperlink ref="B42" r:id="rId41" xr:uid="{187BAFC9-1C4C-401F-AEA9-DDD3A6329945}"/>
    <hyperlink ref="B43" r:id="rId42" xr:uid="{1D31CA01-99A4-4D14-B483-DE17DA7E488D}"/>
    <hyperlink ref="B44" r:id="rId43" xr:uid="{90D90177-BB75-487F-BB90-35AD64F12D84}"/>
    <hyperlink ref="B45" r:id="rId44" xr:uid="{A1A8ADC0-DB2C-4BF9-B36C-38E6C163BB0C}"/>
    <hyperlink ref="B46" r:id="rId45" xr:uid="{8627A59F-FF59-460A-ACC9-D4986112C2EF}"/>
    <hyperlink ref="B47" r:id="rId46" xr:uid="{54ECB935-6159-4442-8FDE-D3403FD0DB57}"/>
    <hyperlink ref="B48" r:id="rId47" xr:uid="{1ADC41BD-5F8A-4E4B-B287-CEA4E9EADFC6}"/>
    <hyperlink ref="B49" r:id="rId48" xr:uid="{CA7F1A8E-B431-44F3-9E36-AD239DB122B7}"/>
    <hyperlink ref="B50" r:id="rId49" xr:uid="{6B1DCCE8-7922-4770-BCBA-F6A4C91BFB96}"/>
    <hyperlink ref="B51" r:id="rId50" xr:uid="{A485ED1E-0EDD-47AF-B9B8-625EE0D2DF2E}"/>
    <hyperlink ref="B52" r:id="rId51" xr:uid="{E42236B6-7501-4C56-8357-BBE7FCDE71EE}"/>
    <hyperlink ref="B53" r:id="rId52" xr:uid="{9C4D04F0-67B1-4E3B-A37E-FE3432E72D83}"/>
    <hyperlink ref="B54" r:id="rId53" xr:uid="{18F19E67-E397-4AE2-9F65-92FB9E99FFC3}"/>
    <hyperlink ref="B55" r:id="rId54" xr:uid="{3A61C8A1-5316-42AA-B35A-3B9CE6FB3B5A}"/>
    <hyperlink ref="B56" r:id="rId55" xr:uid="{B9505C7C-8F9D-48D8-A59F-22382F1DA0F4}"/>
    <hyperlink ref="B57" r:id="rId56" xr:uid="{5F5A7451-70F3-40B3-8C04-1EE98FAF1848}"/>
    <hyperlink ref="B58" r:id="rId57" xr:uid="{0FF6B934-E712-4201-93C4-92CE07752E4C}"/>
    <hyperlink ref="B59" r:id="rId58" xr:uid="{BA5F0217-539F-4E64-893F-8F074788F92B}"/>
    <hyperlink ref="B60" r:id="rId59" xr:uid="{E5544A09-FA57-4321-9850-DA958B21EE19}"/>
    <hyperlink ref="B61" r:id="rId60" xr:uid="{99540406-AE9F-4BF8-979E-CFE279929568}"/>
    <hyperlink ref="B62" r:id="rId61" xr:uid="{0D787D08-348D-4F37-BBAD-3CD57260A8F2}"/>
    <hyperlink ref="B63" r:id="rId62" xr:uid="{B2233B10-4B86-4328-9C70-128DFA82C346}"/>
    <hyperlink ref="B64" r:id="rId63" xr:uid="{F2BE0469-DA7C-4795-8CC4-8C4292EFDEA5}"/>
    <hyperlink ref="B65" r:id="rId64" xr:uid="{10670E35-4464-46D9-9BB5-0F3F67ED5447}"/>
    <hyperlink ref="B66" r:id="rId65" xr:uid="{C7F17F78-309D-4AD7-AA71-922238726D6C}"/>
    <hyperlink ref="B67" r:id="rId66" xr:uid="{C0B6DC8D-A37E-40E8-A8B5-BEF0487C2135}"/>
    <hyperlink ref="B68" r:id="rId67" xr:uid="{3F3C37F2-88EF-466B-8EF5-62764AF8A00A}"/>
    <hyperlink ref="B69" r:id="rId68" xr:uid="{B732AC64-073D-4AE0-ABA1-2C0945E9C2A6}"/>
    <hyperlink ref="B70" r:id="rId69" xr:uid="{0902FEFF-0D10-4137-AD9F-23E475E323A7}"/>
    <hyperlink ref="B71" r:id="rId70" xr:uid="{22629AEC-8E68-458B-B24C-490C6BDDB162}"/>
    <hyperlink ref="B72" r:id="rId71" xr:uid="{051D9074-11C8-4F91-97CC-AADB6BF703A5}"/>
    <hyperlink ref="B73" r:id="rId72" xr:uid="{C309EA70-6A18-43C3-96DA-0AB1A2C7EE38}"/>
    <hyperlink ref="B74" r:id="rId73" xr:uid="{428B71E6-F60C-4F25-A14C-79F331A1DC01}"/>
    <hyperlink ref="B75" r:id="rId74" xr:uid="{A6A70EA8-06C5-4ECE-9B53-69E8A9BB9D00}"/>
    <hyperlink ref="B76" r:id="rId75" xr:uid="{B6D24BB3-FE41-48AB-A7A5-631361A7EAC3}"/>
    <hyperlink ref="B77" r:id="rId76" xr:uid="{A880B37D-53A8-4535-8BBC-54375007B807}"/>
    <hyperlink ref="B78" r:id="rId77" xr:uid="{BFA750F4-0307-4CF3-8E31-969ECC061D51}"/>
    <hyperlink ref="B79" r:id="rId78" xr:uid="{57CA84DE-EB6D-401B-8E18-23B039E3B9A6}"/>
    <hyperlink ref="B80" r:id="rId79" xr:uid="{CC182A21-DBBA-4018-8E8D-3B0469FDA9B3}"/>
    <hyperlink ref="B81" r:id="rId80" xr:uid="{66E05B17-4D2D-4A78-AD9B-0D584D174B73}"/>
    <hyperlink ref="B82" r:id="rId81" xr:uid="{8E2AF385-7542-4846-9AF0-C3FBC0419516}"/>
    <hyperlink ref="B83" r:id="rId82" xr:uid="{B35BF0A3-D1A9-40B3-9DF7-891E712C1F55}"/>
    <hyperlink ref="B84" r:id="rId83" xr:uid="{E5A4A938-90A6-4C3F-BD43-A35BBBA21A4E}"/>
    <hyperlink ref="B85" r:id="rId84" xr:uid="{E4855CA0-1CAE-44EF-AC41-B28C6307F9B1}"/>
    <hyperlink ref="B86" r:id="rId85" xr:uid="{BFF50083-43DE-4CBE-8DE1-8EA4EC266928}"/>
    <hyperlink ref="B87" r:id="rId86" xr:uid="{D677CC9E-1D8E-47AA-8D05-221FBCAB9E71}"/>
    <hyperlink ref="B88" r:id="rId87" xr:uid="{CA11C118-541B-4410-B66D-70374F130553}"/>
    <hyperlink ref="B89" r:id="rId88" xr:uid="{68058297-2E66-4FBD-8E63-944DE01289CE}"/>
    <hyperlink ref="B90" r:id="rId89" xr:uid="{A29FFF75-481A-4748-964B-260589CE279A}"/>
    <hyperlink ref="B91" r:id="rId90" xr:uid="{B1F10D70-1B44-4EA9-9127-3B132C949E67}"/>
    <hyperlink ref="B92" r:id="rId91" xr:uid="{7804DFDD-A725-41DB-9E7D-E8B57D730BFF}"/>
    <hyperlink ref="B93" r:id="rId92" xr:uid="{CA065560-5BF0-451E-9C17-108BECFB5740}"/>
    <hyperlink ref="B94" r:id="rId93" xr:uid="{86DC27A2-C332-4F39-81FB-799666E32A56}"/>
    <hyperlink ref="B95" r:id="rId94" xr:uid="{133B2459-3840-4D8F-8873-F40B191C071E}"/>
    <hyperlink ref="B96" r:id="rId95" xr:uid="{AC7A9976-4799-4D6A-8FA8-079A19745EE2}"/>
    <hyperlink ref="B97" r:id="rId96" xr:uid="{17234CD4-48A3-46BD-B674-24EC87B2427E}"/>
    <hyperlink ref="B98" r:id="rId97" xr:uid="{51999CF5-8201-4918-815E-B32A673BB18C}"/>
    <hyperlink ref="B99" r:id="rId98" xr:uid="{15E90ED3-4531-4C82-8DDF-D6220BAF07FE}"/>
    <hyperlink ref="B100" r:id="rId99" xr:uid="{D65F79FC-63AF-4031-A1BF-FAAA93D551DA}"/>
    <hyperlink ref="B101" r:id="rId100" xr:uid="{DD47828F-9F91-4396-A0AA-6AAB377B69D6}"/>
    <hyperlink ref="B102" r:id="rId101" xr:uid="{B37126A9-7DED-4F34-B6B6-213A8CC73B9E}"/>
    <hyperlink ref="B103" r:id="rId102" xr:uid="{2834D8DB-3892-4C85-8565-57312CCF5675}"/>
    <hyperlink ref="B104" r:id="rId103" xr:uid="{6B8A14DD-6CC3-4C99-A256-02A699C6DCAA}"/>
    <hyperlink ref="B105" r:id="rId104" xr:uid="{7C847093-2231-442B-A960-31194876FE9D}"/>
    <hyperlink ref="B106" r:id="rId105" xr:uid="{2952A697-3C76-4B88-BA46-D99152D49E0E}"/>
    <hyperlink ref="B107" r:id="rId106" xr:uid="{7B627DCE-1D93-48AC-A0DE-CFD0A7DB6462}"/>
    <hyperlink ref="B108" r:id="rId107" xr:uid="{4FA3D62F-BBBE-450E-80FE-BBED7C646D39}"/>
    <hyperlink ref="B109" r:id="rId108" xr:uid="{68E15935-B667-4C9C-96EF-7B40B7FFD093}"/>
    <hyperlink ref="B110" r:id="rId109" xr:uid="{39B0EC35-395C-4A30-AA9D-62456825BC16}"/>
    <hyperlink ref="B111" r:id="rId110" xr:uid="{4543BCB4-77F2-4243-B9C3-6EE21856D51D}"/>
    <hyperlink ref="B112" r:id="rId111" xr:uid="{A3B8CA9D-DB3C-4E1B-B234-22CAECC80475}"/>
    <hyperlink ref="B113" r:id="rId112" xr:uid="{F4906EDE-E4FF-4ACE-AE90-6F26F6CB8D0B}"/>
    <hyperlink ref="B114" r:id="rId113" xr:uid="{06C6C37A-C7CD-494F-BA1C-0523DB7E074B}"/>
    <hyperlink ref="B115" r:id="rId114" xr:uid="{69264881-7323-4AB9-B0C1-A6A08D4C69EE}"/>
    <hyperlink ref="B116" r:id="rId115" xr:uid="{1B5D3300-20BA-4532-BDEA-8586B050A5D7}"/>
    <hyperlink ref="B117" r:id="rId116" xr:uid="{41F96D0C-BA39-4942-AC0C-62357346983C}"/>
    <hyperlink ref="B118" r:id="rId117" xr:uid="{C57307D9-4A9D-45D8-BE2F-AE5A82842AD3}"/>
    <hyperlink ref="B119" r:id="rId118" xr:uid="{17511AFD-CAE6-4FE1-BDFF-BF37F2715A21}"/>
    <hyperlink ref="B120" r:id="rId119" xr:uid="{AEEF97A2-94B6-4129-A928-EFBE0AB21FF8}"/>
    <hyperlink ref="B121" r:id="rId120" xr:uid="{138B025F-A9C6-477B-AB4C-547A4873C153}"/>
    <hyperlink ref="B122" r:id="rId121" xr:uid="{72B20441-3D20-40E8-83C9-3C677ACF6A72}"/>
    <hyperlink ref="B123" r:id="rId122" xr:uid="{1B7A2D09-1248-4468-9337-2987162FACB6}"/>
    <hyperlink ref="B124" r:id="rId123" xr:uid="{CDEBA532-80FA-4E8E-ADD9-7FF8C7705892}"/>
    <hyperlink ref="B125" r:id="rId124" xr:uid="{37F2EE77-3966-4037-BB8F-22DD22AD231E}"/>
    <hyperlink ref="B126" r:id="rId125" xr:uid="{E52916CC-E052-4828-BAA9-EA40D8FAEEFA}"/>
    <hyperlink ref="B127" r:id="rId126" xr:uid="{C38E60EA-B81E-4314-B5B3-B582FD29606D}"/>
    <hyperlink ref="B128" r:id="rId127" xr:uid="{BCCDE8A4-B140-444B-AE5F-6DBA92A04861}"/>
    <hyperlink ref="B129" r:id="rId128" xr:uid="{CA0A59FB-97BD-407B-96A2-61602A59A566}"/>
    <hyperlink ref="B130" r:id="rId129" xr:uid="{700226B7-A864-4510-B1C7-0B979E2F2DC4}"/>
    <hyperlink ref="B131" r:id="rId130" xr:uid="{84F6AB16-CA3A-4599-B9F1-ECB642D3C6B0}"/>
    <hyperlink ref="B132" r:id="rId131" xr:uid="{1265EDD5-08DE-43DA-9219-A76D96516E71}"/>
    <hyperlink ref="B133" r:id="rId132" xr:uid="{2C23605C-FD33-4909-8DB0-784B3DE278E7}"/>
    <hyperlink ref="B134" r:id="rId133" xr:uid="{C01C2637-4EF5-41D3-BECE-540705D0CF27}"/>
    <hyperlink ref="B135" r:id="rId134" xr:uid="{EA1D07FD-6707-4000-BB65-E93D8D9E02E8}"/>
    <hyperlink ref="B136" r:id="rId135" xr:uid="{A695CB1E-B77F-4EBD-9EA7-CBCAF50A71AF}"/>
    <hyperlink ref="B137" r:id="rId136" xr:uid="{496DEA5C-0DA1-4DD0-9EEA-BE5B1880C6C6}"/>
    <hyperlink ref="B138" r:id="rId137" xr:uid="{AF075A83-A280-4F0F-9F90-4D2410DB6D15}"/>
    <hyperlink ref="B139" r:id="rId138" xr:uid="{32EF3C83-E634-42DE-8060-4E839EBF6793}"/>
    <hyperlink ref="B140" r:id="rId139" xr:uid="{05F06C9C-B2C1-4967-91E1-327BE9750DA3}"/>
    <hyperlink ref="B141" r:id="rId140" xr:uid="{B15055EB-405D-4CC1-A253-841F3C0C5AA1}"/>
    <hyperlink ref="B142" r:id="rId141" xr:uid="{F6F1DBDE-E0DF-44C1-957D-A7AEC124DC9D}"/>
    <hyperlink ref="B143" r:id="rId142" xr:uid="{DFB01292-E599-4FCA-994F-147E7EBA80C2}"/>
    <hyperlink ref="B144" r:id="rId143" xr:uid="{52662B95-F336-4850-A602-6B460CBF29E8}"/>
    <hyperlink ref="B145" r:id="rId144" xr:uid="{9855EF13-969C-4C86-9EEB-23AA0AE541AA}"/>
    <hyperlink ref="B146" r:id="rId145" xr:uid="{29833F91-8E0A-4DE5-A2F8-B5A44E4461CE}"/>
    <hyperlink ref="B147" r:id="rId146" xr:uid="{AD60519A-0340-4E24-8E5A-FE5CF3BC049D}"/>
    <hyperlink ref="B148" r:id="rId147" xr:uid="{31ACBFA1-72C4-48C2-8EA1-9EDCC5846BE3}"/>
    <hyperlink ref="B149" r:id="rId148" xr:uid="{C23D6113-7061-4CC1-B597-310A485D65AB}"/>
    <hyperlink ref="B150" r:id="rId149" xr:uid="{0E406C64-59B2-4D9B-89EB-168F44EF86E8}"/>
    <hyperlink ref="B151" r:id="rId150" xr:uid="{B0DC989D-B6F0-47BE-BE60-4B4F257A8AE0}"/>
    <hyperlink ref="B152" r:id="rId151" xr:uid="{6C654BF6-BA0C-4E8F-9CC7-12ED92294FAF}"/>
    <hyperlink ref="B153" r:id="rId152" xr:uid="{FD0765B5-1B45-4AFC-8895-26A9CB9F8BEF}"/>
    <hyperlink ref="B154" r:id="rId153" xr:uid="{9F34079D-A553-4D6C-9ADF-46C7BDC4565A}"/>
    <hyperlink ref="B155" r:id="rId154" xr:uid="{D2AD9F12-8712-4AC1-A965-A14D1FCB2084}"/>
    <hyperlink ref="B156" r:id="rId155" xr:uid="{2AA8B562-3232-43CA-9ECF-658C52FD44C6}"/>
    <hyperlink ref="B157" r:id="rId156" xr:uid="{94A58E84-0847-4AFF-BE4E-E11FC0532AE0}"/>
    <hyperlink ref="B158" r:id="rId157" xr:uid="{A8E37C5E-1E3D-42FD-95E1-D37D5D4C4AF2}"/>
    <hyperlink ref="B159" r:id="rId158" xr:uid="{9180B445-3E86-46AE-BA5E-CB31CAE8337E}"/>
    <hyperlink ref="B160" r:id="rId159" xr:uid="{770045C4-00F0-4411-B611-248DCE0A98E7}"/>
    <hyperlink ref="B161" r:id="rId160" xr:uid="{7826A463-234A-457A-B649-BBF25049C558}"/>
    <hyperlink ref="B162" r:id="rId161" xr:uid="{43F416CF-63AC-48C4-935E-35FD7211F795}"/>
    <hyperlink ref="B163" r:id="rId162" xr:uid="{E0454A9C-3A9C-491E-BE3D-5E688731BDE7}"/>
    <hyperlink ref="B164" r:id="rId163" xr:uid="{D7947102-F7A3-420B-820D-1CD3AC9EED23}"/>
    <hyperlink ref="B165" r:id="rId164" xr:uid="{C6D271C9-361B-451F-801B-AD182B652907}"/>
    <hyperlink ref="B166" r:id="rId165" xr:uid="{55D43097-5993-490F-9F7C-677074A2726E}"/>
    <hyperlink ref="B167" r:id="rId166" xr:uid="{0BDBDE82-4003-4D91-A0B7-389B518BFB7C}"/>
    <hyperlink ref="B168" r:id="rId167" xr:uid="{16E47F2B-E88D-494C-8FBA-71F76D2517D4}"/>
    <hyperlink ref="B169" r:id="rId168" xr:uid="{A3450AC0-3251-4490-8EAC-17718D587FEF}"/>
    <hyperlink ref="B170" r:id="rId169" xr:uid="{33E22981-D769-464E-A956-399EF88EEE6C}"/>
    <hyperlink ref="B171" r:id="rId170" xr:uid="{43078C4D-7871-4779-99F6-7C67A3CB0F0E}"/>
    <hyperlink ref="B172" r:id="rId171" xr:uid="{A8CE667E-A0B8-4CEB-95DB-861344D05961}"/>
    <hyperlink ref="B173" r:id="rId172" xr:uid="{E0CCC0CF-677E-44BD-B4C6-0B1071FE3EA3}"/>
    <hyperlink ref="B174" r:id="rId173" xr:uid="{4F7F0253-30A3-443E-8527-EED8C84067D0}"/>
    <hyperlink ref="B175" r:id="rId174" xr:uid="{F501D359-69D0-4C44-87EC-041C0B229376}"/>
    <hyperlink ref="B176" r:id="rId175" xr:uid="{F8ADB75E-307C-40FA-B145-2294142D0F87}"/>
    <hyperlink ref="B177" r:id="rId176" xr:uid="{7C06E713-1906-4DA6-AA1E-94D37413D58B}"/>
    <hyperlink ref="B178" r:id="rId177" xr:uid="{6C1E0CF3-3540-41DE-9946-7421509E2ECB}"/>
    <hyperlink ref="B179" r:id="rId178" xr:uid="{E047FE65-7799-4DA0-962B-CFBAEC815B55}"/>
    <hyperlink ref="B180" r:id="rId179" xr:uid="{70FBC1E9-4C30-40EE-B08F-E460F7A9F549}"/>
    <hyperlink ref="B181" r:id="rId180" xr:uid="{596928B4-F47A-4C1C-A334-F559DCC43009}"/>
    <hyperlink ref="B182" r:id="rId181" xr:uid="{23BEA300-810D-45D6-B2D1-D41533C8B5C1}"/>
    <hyperlink ref="B183" r:id="rId182" xr:uid="{69649E80-D0A2-4ACF-AC9F-EB45DAB441FA}"/>
  </hyperlinks>
  <pageMargins left="0.7" right="0.7" top="0.75" bottom="0.75" header="0.3" footer="0.3"/>
  <tableParts count="1">
    <tablePart r:id="rId18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BC601-15D3-4445-9FDE-9DBD35DEBE95}">
  <dimension ref="A1:AD376"/>
  <sheetViews>
    <sheetView topLeftCell="G124" workbookViewId="0">
      <selection activeCell="T143" sqref="T143"/>
    </sheetView>
  </sheetViews>
  <sheetFormatPr defaultColWidth="11.42578125" defaultRowHeight="15" x14ac:dyDescent="0.25"/>
  <cols>
    <col min="2" max="2" width="21.42578125" customWidth="1"/>
    <col min="3" max="3" width="37.85546875" customWidth="1"/>
    <col min="4" max="4" width="15.28515625" customWidth="1"/>
    <col min="5" max="5" width="31.85546875" customWidth="1"/>
    <col min="6" max="7" width="21.85546875" customWidth="1"/>
    <col min="8" max="8" width="12.140625" customWidth="1"/>
    <col min="12" max="12" width="12.7109375" customWidth="1"/>
    <col min="13" max="13" width="29.28515625" customWidth="1"/>
    <col min="14" max="14" width="20" customWidth="1"/>
    <col min="15" max="16" width="15.42578125" customWidth="1"/>
    <col min="17" max="17" width="12.42578125" customWidth="1"/>
    <col min="18" max="20" width="26.42578125" customWidth="1"/>
    <col min="21" max="21" width="16.7109375" customWidth="1"/>
    <col min="23" max="23" width="15.42578125" customWidth="1"/>
    <col min="25" max="25" width="19.85546875" customWidth="1"/>
    <col min="26" max="26" width="15.7109375" customWidth="1"/>
    <col min="28" max="28" width="16" customWidth="1"/>
  </cols>
  <sheetData>
    <row r="1" spans="1:30" x14ac:dyDescent="0.25">
      <c r="A1" s="53" t="s">
        <v>0</v>
      </c>
      <c r="B1" s="52" t="s">
        <v>1</v>
      </c>
      <c r="C1" s="49" t="s">
        <v>2</v>
      </c>
      <c r="D1" s="52" t="s">
        <v>3</v>
      </c>
      <c r="E1" s="50" t="s">
        <v>4</v>
      </c>
      <c r="F1" s="52" t="s">
        <v>5</v>
      </c>
      <c r="G1" s="52" t="s">
        <v>6</v>
      </c>
      <c r="H1" s="52" t="s">
        <v>7</v>
      </c>
      <c r="I1" s="52" t="s">
        <v>8</v>
      </c>
      <c r="J1" s="52" t="s">
        <v>9</v>
      </c>
      <c r="K1" s="48" t="s">
        <v>10</v>
      </c>
      <c r="L1" s="48" t="s">
        <v>11</v>
      </c>
      <c r="M1" s="48" t="s">
        <v>12</v>
      </c>
      <c r="N1" s="48" t="s">
        <v>13</v>
      </c>
      <c r="O1" s="48" t="s">
        <v>14</v>
      </c>
      <c r="P1" s="48" t="s">
        <v>15</v>
      </c>
      <c r="Q1" s="48" t="s">
        <v>16</v>
      </c>
      <c r="R1" s="48" t="s">
        <v>17</v>
      </c>
      <c r="S1" s="48" t="s">
        <v>9149</v>
      </c>
      <c r="T1" s="48" t="s">
        <v>9150</v>
      </c>
      <c r="U1" s="48" t="s">
        <v>18</v>
      </c>
      <c r="V1" s="48" t="s">
        <v>19</v>
      </c>
      <c r="W1" s="48" t="s">
        <v>20</v>
      </c>
      <c r="X1" s="48" t="s">
        <v>21</v>
      </c>
      <c r="Y1" s="48" t="s">
        <v>22</v>
      </c>
      <c r="Z1" s="48" t="s">
        <v>23</v>
      </c>
      <c r="AA1" s="48" t="s">
        <v>24</v>
      </c>
      <c r="AB1" s="48" t="s">
        <v>25</v>
      </c>
      <c r="AC1" s="48" t="s">
        <v>201</v>
      </c>
      <c r="AD1" s="51" t="s">
        <v>27</v>
      </c>
    </row>
    <row r="2" spans="1:30" x14ac:dyDescent="0.25">
      <c r="A2" s="36">
        <v>3407</v>
      </c>
      <c r="B2" s="14" t="s">
        <v>7439</v>
      </c>
      <c r="C2" s="14" t="s">
        <v>7440</v>
      </c>
      <c r="D2" s="17">
        <v>44138</v>
      </c>
      <c r="E2" s="14" t="s">
        <v>30</v>
      </c>
      <c r="F2" s="14">
        <v>386</v>
      </c>
      <c r="G2" s="14">
        <v>47</v>
      </c>
      <c r="H2" s="14">
        <v>16</v>
      </c>
      <c r="I2" s="14">
        <v>8</v>
      </c>
      <c r="J2" s="14" t="s">
        <v>204</v>
      </c>
      <c r="K2" s="14" cm="1">
        <f t="array" ref="K2">INT(SUMPRODUCT(--ISNUMBER(SEARCH(economy,C2)))&gt;0)</f>
        <v>0</v>
      </c>
      <c r="L2" s="14" cm="1">
        <f t="array" ref="L2">INT(SUMPRODUCT(--ISNUMBER(SEARCH(healthcare,C2)))&gt;0)</f>
        <v>1</v>
      </c>
      <c r="M2" s="14" cm="1">
        <f t="array" ref="M2">INT(SUMPRODUCT(--ISNUMBER(SEARCH(supreme,C2)))&gt;0)</f>
        <v>0</v>
      </c>
      <c r="N2" s="14" cm="1">
        <f t="array" ref="N2">INT(SUMPRODUCT(--ISNUMBER(SEARCH(covid,C2)))&gt;0)</f>
        <v>0</v>
      </c>
      <c r="O2" s="14" cm="1">
        <f t="array" ref="O2">INT(SUMPRODUCT(--ISNUMBER(SEARCH(violent,C2)))&gt;0)</f>
        <v>0</v>
      </c>
      <c r="P2" s="14" cm="1">
        <f t="array" ref="P2">INT(SUMPRODUCT(--ISNUMBER(SEARCH(foreign,C2)))&gt;0)</f>
        <v>0</v>
      </c>
      <c r="Q2" s="14" cm="1">
        <f t="array" ref="Q2">INT(SUMPRODUCT(--ISNUMBER(SEARCH(gun,C2)))&gt;0)</f>
        <v>0</v>
      </c>
      <c r="R2" s="14" cm="1">
        <f t="array" ref="R2">INT(SUMPRODUCT(--ISNUMBER(SEARCH(race,C2)))&gt;0)</f>
        <v>0</v>
      </c>
      <c r="S2" s="14" cm="1">
        <f t="array" ref="S2">INT(SUMPRODUCT(--ISNUMBER(SEARCH(immigration,C2)))&gt;0)</f>
        <v>0</v>
      </c>
      <c r="T2" s="14" cm="1">
        <f t="array" ref="T2">INT(SUMPRODUCT(--ISNUMBER(SEARCH(econineq,C3)))&gt;0)</f>
        <v>0</v>
      </c>
      <c r="U2" s="14" cm="1">
        <f t="array" ref="U2">INT(SUMPRODUCT(--ISNUMBER(SEARCH(climate,C2)))&gt;0)</f>
        <v>1</v>
      </c>
      <c r="V2" s="14" cm="1">
        <f t="array" ref="V2">INT(SUMPRODUCT(--ISNUMBER(SEARCH(abortion,C2)))&gt;0)</f>
        <v>0</v>
      </c>
      <c r="W2" s="14" cm="1">
        <f t="array" ref="W2">INT(SUMPRODUCT(--ISNUMBER(SEARCH(trump,C2)))&gt;0)</f>
        <v>0</v>
      </c>
      <c r="X2" s="14" cm="1">
        <f t="array" ref="X2">INT(SUMPRODUCT(--ISNUMBER(SEARCH(voting,C2)))&gt;0)</f>
        <v>1</v>
      </c>
      <c r="Y2" s="14" cm="1">
        <f t="array" ref="Y2">INT(SUMPRODUCT(--ISNUMBER(SEARCH(democrattrigger,C2)))&gt;0)</f>
        <v>0</v>
      </c>
      <c r="Z2" s="14" cm="1">
        <f t="array" ref="Z2">INT(SUMPRODUCT(--ISNUMBER(SEARCH(bipartisan,C2)))&gt;0)</f>
        <v>0</v>
      </c>
      <c r="AA2" s="14">
        <f>INT(IF(COUNTIF(K2:Z2,1)=0,"1","0"))</f>
        <v>0</v>
      </c>
      <c r="AB2" s="14"/>
      <c r="AC2" s="30">
        <v>1</v>
      </c>
      <c r="AD2" s="37">
        <v>0</v>
      </c>
    </row>
    <row r="3" spans="1:30" x14ac:dyDescent="0.25">
      <c r="A3" s="36">
        <v>3408</v>
      </c>
      <c r="B3" s="14" t="s">
        <v>7441</v>
      </c>
      <c r="C3" s="14" t="s">
        <v>7442</v>
      </c>
      <c r="D3" s="17">
        <v>44138</v>
      </c>
      <c r="E3" s="14" t="s">
        <v>30</v>
      </c>
      <c r="F3" s="14">
        <v>442</v>
      </c>
      <c r="G3" s="14">
        <v>91</v>
      </c>
      <c r="H3" s="14">
        <v>16</v>
      </c>
      <c r="I3" s="14">
        <v>8</v>
      </c>
      <c r="J3" s="14" t="s">
        <v>204</v>
      </c>
      <c r="K3" s="14" cm="1">
        <f t="array" ref="K3">INT(SUMPRODUCT(--ISNUMBER(SEARCH(economy,C3)))&gt;0)</f>
        <v>0</v>
      </c>
      <c r="L3" s="14" cm="1">
        <f t="array" ref="L3">INT(SUMPRODUCT(--ISNUMBER(SEARCH(healthcare,C3)))&gt;0)</f>
        <v>0</v>
      </c>
      <c r="M3" s="14" cm="1">
        <f t="array" ref="M3">INT(SUMPRODUCT(--ISNUMBER(SEARCH(supreme,C3)))&gt;0)</f>
        <v>0</v>
      </c>
      <c r="N3" s="14" cm="1">
        <f t="array" ref="N3">INT(SUMPRODUCT(--ISNUMBER(SEARCH(covid,C3)))&gt;0)</f>
        <v>0</v>
      </c>
      <c r="O3" s="14" cm="1">
        <f t="array" ref="O3">INT(SUMPRODUCT(--ISNUMBER(SEARCH(violent,C3)))&gt;0)</f>
        <v>0</v>
      </c>
      <c r="P3" s="14" cm="1">
        <f t="array" ref="P3">INT(SUMPRODUCT(--ISNUMBER(SEARCH(foreign,C3)))&gt;0)</f>
        <v>0</v>
      </c>
      <c r="Q3" s="14" cm="1">
        <f t="array" ref="Q3">INT(SUMPRODUCT(--ISNUMBER(SEARCH(gun,C3)))&gt;0)</f>
        <v>0</v>
      </c>
      <c r="R3" s="14" cm="1">
        <f t="array" ref="R3">INT(SUMPRODUCT(--ISNUMBER(SEARCH(race,C3)))&gt;0)</f>
        <v>0</v>
      </c>
      <c r="S3" s="14" cm="1">
        <f t="array" ref="S3">INT(SUMPRODUCT(--ISNUMBER(SEARCH(immigration,C3)))&gt;0)</f>
        <v>0</v>
      </c>
      <c r="T3" s="14" cm="1">
        <f t="array" ref="T3">INT(SUMPRODUCT(--ISNUMBER(SEARCH(econineq,C4)))&gt;0)</f>
        <v>0</v>
      </c>
      <c r="U3" s="14" cm="1">
        <f t="array" ref="U3">INT(SUMPRODUCT(--ISNUMBER(SEARCH(climate,C3)))&gt;0)</f>
        <v>0</v>
      </c>
      <c r="V3" s="14" cm="1">
        <f t="array" ref="V3">INT(SUMPRODUCT(--ISNUMBER(SEARCH(abortion,C3)))&gt;0)</f>
        <v>0</v>
      </c>
      <c r="W3" s="14" cm="1">
        <f t="array" ref="W3">INT(SUMPRODUCT(--ISNUMBER(SEARCH(trump,C3)))&gt;0)</f>
        <v>0</v>
      </c>
      <c r="X3" s="14" cm="1">
        <f t="array" ref="X3">INT(SUMPRODUCT(--ISNUMBER(SEARCH(voting,C3)))&gt;0)</f>
        <v>1</v>
      </c>
      <c r="Y3" s="14" cm="1">
        <f t="array" ref="Y3">INT(SUMPRODUCT(--ISNUMBER(SEARCH(democrattrigger,C3)))&gt;0)</f>
        <v>0</v>
      </c>
      <c r="Z3" s="14" cm="1">
        <f t="array" ref="Z3">INT(SUMPRODUCT(--ISNUMBER(SEARCH(bipartisan,C3)))&gt;0)</f>
        <v>0</v>
      </c>
      <c r="AA3" s="14">
        <f t="shared" ref="AA3:AA66" si="0">INT(IF(COUNTIF(K3:Z3,1)=0,"1","0"))</f>
        <v>0</v>
      </c>
      <c r="AB3" s="14"/>
      <c r="AC3" s="30">
        <v>0</v>
      </c>
      <c r="AD3" s="37">
        <v>1</v>
      </c>
    </row>
    <row r="4" spans="1:30" x14ac:dyDescent="0.25">
      <c r="A4" s="36">
        <v>3409</v>
      </c>
      <c r="B4" s="14" t="s">
        <v>7443</v>
      </c>
      <c r="C4" s="14" t="s">
        <v>7444</v>
      </c>
      <c r="D4" s="17">
        <v>44138</v>
      </c>
      <c r="E4" s="14" t="s">
        <v>30</v>
      </c>
      <c r="F4" s="14">
        <v>888</v>
      </c>
      <c r="G4" s="14">
        <v>127</v>
      </c>
      <c r="H4" s="14">
        <v>16</v>
      </c>
      <c r="I4" s="14">
        <v>8</v>
      </c>
      <c r="J4" s="14" t="s">
        <v>204</v>
      </c>
      <c r="K4" s="14" cm="1">
        <f t="array" ref="K4">INT(SUMPRODUCT(--ISNUMBER(SEARCH(economy,C4)))&gt;0)</f>
        <v>0</v>
      </c>
      <c r="L4" s="14" cm="1">
        <f t="array" ref="L4">INT(SUMPRODUCT(--ISNUMBER(SEARCH(healthcare,C4)))&gt;0)</f>
        <v>0</v>
      </c>
      <c r="M4" s="14" cm="1">
        <f t="array" ref="M4">INT(SUMPRODUCT(--ISNUMBER(SEARCH(supreme,C4)))&gt;0)</f>
        <v>0</v>
      </c>
      <c r="N4" s="14" cm="1">
        <f t="array" ref="N4">INT(SUMPRODUCT(--ISNUMBER(SEARCH(covid,C4)))&gt;0)</f>
        <v>0</v>
      </c>
      <c r="O4" s="14" cm="1">
        <f t="array" ref="O4">INT(SUMPRODUCT(--ISNUMBER(SEARCH(violent,C4)))&gt;0)</f>
        <v>0</v>
      </c>
      <c r="P4" s="14" cm="1">
        <f t="array" ref="P4">INT(SUMPRODUCT(--ISNUMBER(SEARCH(foreign,C4)))&gt;0)</f>
        <v>0</v>
      </c>
      <c r="Q4" s="14" cm="1">
        <f t="array" ref="Q4">INT(SUMPRODUCT(--ISNUMBER(SEARCH(gun,C4)))&gt;0)</f>
        <v>0</v>
      </c>
      <c r="R4" s="14" cm="1">
        <f t="array" ref="R4">INT(SUMPRODUCT(--ISNUMBER(SEARCH(race,C4)))&gt;0)</f>
        <v>0</v>
      </c>
      <c r="S4" s="14" cm="1">
        <f t="array" ref="S4">INT(SUMPRODUCT(--ISNUMBER(SEARCH(immigration,C4)))&gt;0)</f>
        <v>0</v>
      </c>
      <c r="T4" s="14" cm="1">
        <f t="array" ref="T4">INT(SUMPRODUCT(--ISNUMBER(SEARCH(econineq,C5)))&gt;0)</f>
        <v>0</v>
      </c>
      <c r="U4" s="14" cm="1">
        <f t="array" ref="U4">INT(SUMPRODUCT(--ISNUMBER(SEARCH(climate,C4)))&gt;0)</f>
        <v>0</v>
      </c>
      <c r="V4" s="14" cm="1">
        <f t="array" ref="V4">INT(SUMPRODUCT(--ISNUMBER(SEARCH(abortion,C4)))&gt;0)</f>
        <v>0</v>
      </c>
      <c r="W4" s="14" cm="1">
        <f t="array" ref="W4">INT(SUMPRODUCT(--ISNUMBER(SEARCH(trump,C4)))&gt;0)</f>
        <v>0</v>
      </c>
      <c r="X4" s="14" cm="1">
        <f t="array" ref="X4">INT(SUMPRODUCT(--ISNUMBER(SEARCH(voting,C4)))&gt;0)</f>
        <v>1</v>
      </c>
      <c r="Y4" s="14" cm="1">
        <f t="array" ref="Y4">INT(SUMPRODUCT(--ISNUMBER(SEARCH(democrattrigger,C4)))&gt;0)</f>
        <v>0</v>
      </c>
      <c r="Z4" s="14" cm="1">
        <f t="array" ref="Z4">INT(SUMPRODUCT(--ISNUMBER(SEARCH(bipartisan,C4)))&gt;0)</f>
        <v>0</v>
      </c>
      <c r="AA4" s="14">
        <f t="shared" si="0"/>
        <v>0</v>
      </c>
      <c r="AB4" s="14"/>
      <c r="AC4" s="30">
        <v>1</v>
      </c>
      <c r="AD4" s="37">
        <v>0</v>
      </c>
    </row>
    <row r="5" spans="1:30" x14ac:dyDescent="0.25">
      <c r="A5" s="36">
        <v>3410</v>
      </c>
      <c r="B5" s="14" t="s">
        <v>7445</v>
      </c>
      <c r="C5" s="14" t="s">
        <v>7446</v>
      </c>
      <c r="D5" s="17">
        <v>44138</v>
      </c>
      <c r="E5" s="14" t="s">
        <v>30</v>
      </c>
      <c r="F5" s="14">
        <v>269</v>
      </c>
      <c r="G5" s="14">
        <v>58</v>
      </c>
      <c r="H5" s="14">
        <v>16</v>
      </c>
      <c r="I5" s="14">
        <v>8</v>
      </c>
      <c r="J5" s="14" t="s">
        <v>204</v>
      </c>
      <c r="K5" s="14" cm="1">
        <f t="array" ref="K5">INT(SUMPRODUCT(--ISNUMBER(SEARCH(economy,C5)))&gt;0)</f>
        <v>0</v>
      </c>
      <c r="L5" s="14" cm="1">
        <f t="array" ref="L5">INT(SUMPRODUCT(--ISNUMBER(SEARCH(healthcare,C5)))&gt;0)</f>
        <v>0</v>
      </c>
      <c r="M5" s="14" cm="1">
        <f t="array" ref="M5">INT(SUMPRODUCT(--ISNUMBER(SEARCH(supreme,C5)))&gt;0)</f>
        <v>0</v>
      </c>
      <c r="N5" s="14" cm="1">
        <f t="array" ref="N5">INT(SUMPRODUCT(--ISNUMBER(SEARCH(covid,C5)))&gt;0)</f>
        <v>0</v>
      </c>
      <c r="O5" s="14" cm="1">
        <f t="array" ref="O5">INT(SUMPRODUCT(--ISNUMBER(SEARCH(violent,C5)))&gt;0)</f>
        <v>0</v>
      </c>
      <c r="P5" s="14" cm="1">
        <f t="array" ref="P5">INT(SUMPRODUCT(--ISNUMBER(SEARCH(foreign,C5)))&gt;0)</f>
        <v>0</v>
      </c>
      <c r="Q5" s="14" cm="1">
        <f t="array" ref="Q5">INT(SUMPRODUCT(--ISNUMBER(SEARCH(gun,C5)))&gt;0)</f>
        <v>0</v>
      </c>
      <c r="R5" s="14" cm="1">
        <f t="array" ref="R5">INT(SUMPRODUCT(--ISNUMBER(SEARCH(race,C5)))&gt;0)</f>
        <v>0</v>
      </c>
      <c r="S5" s="14" cm="1">
        <f t="array" ref="S5">INT(SUMPRODUCT(--ISNUMBER(SEARCH(immigration,C5)))&gt;0)</f>
        <v>0</v>
      </c>
      <c r="T5" s="14" cm="1">
        <f t="array" ref="T5">INT(SUMPRODUCT(--ISNUMBER(SEARCH(econineq,C6)))&gt;0)</f>
        <v>0</v>
      </c>
      <c r="U5" s="14" cm="1">
        <f t="array" ref="U5">INT(SUMPRODUCT(--ISNUMBER(SEARCH(climate,C5)))&gt;0)</f>
        <v>0</v>
      </c>
      <c r="V5" s="14" cm="1">
        <f t="array" ref="V5">INT(SUMPRODUCT(--ISNUMBER(SEARCH(abortion,C5)))&gt;0)</f>
        <v>0</v>
      </c>
      <c r="W5" s="14" cm="1">
        <f t="array" ref="W5">INT(SUMPRODUCT(--ISNUMBER(SEARCH(trump,C5)))&gt;0)</f>
        <v>0</v>
      </c>
      <c r="X5" s="14" cm="1">
        <f t="array" ref="X5">INT(SUMPRODUCT(--ISNUMBER(SEARCH(voting,C5)))&gt;0)</f>
        <v>0</v>
      </c>
      <c r="Y5" s="14" cm="1">
        <f t="array" ref="Y5">INT(SUMPRODUCT(--ISNUMBER(SEARCH(democrattrigger,C5)))&gt;0)</f>
        <v>1</v>
      </c>
      <c r="Z5" s="14" cm="1">
        <f t="array" ref="Z5">INT(SUMPRODUCT(--ISNUMBER(SEARCH(bipartisan,C5)))&gt;0)</f>
        <v>0</v>
      </c>
      <c r="AA5" s="14">
        <f t="shared" si="0"/>
        <v>0</v>
      </c>
      <c r="AB5" s="14"/>
      <c r="AC5" s="30">
        <v>1</v>
      </c>
      <c r="AD5" s="37">
        <v>0</v>
      </c>
    </row>
    <row r="6" spans="1:30" x14ac:dyDescent="0.25">
      <c r="A6" s="36">
        <v>3411</v>
      </c>
      <c r="B6" s="14" t="s">
        <v>7447</v>
      </c>
      <c r="C6" s="14" t="s">
        <v>7448</v>
      </c>
      <c r="D6" s="17">
        <v>44138</v>
      </c>
      <c r="E6" s="14" t="s">
        <v>30</v>
      </c>
      <c r="F6" s="14">
        <v>835</v>
      </c>
      <c r="G6" s="14">
        <v>348</v>
      </c>
      <c r="H6" s="14">
        <v>16</v>
      </c>
      <c r="I6" s="14">
        <v>8</v>
      </c>
      <c r="J6" s="14" t="s">
        <v>204</v>
      </c>
      <c r="K6" s="14" cm="1">
        <f t="array" ref="K6">INT(SUMPRODUCT(--ISNUMBER(SEARCH(economy,C6)))&gt;0)</f>
        <v>0</v>
      </c>
      <c r="L6" s="14" cm="1">
        <f t="array" ref="L6">INT(SUMPRODUCT(--ISNUMBER(SEARCH(healthcare,C6)))&gt;0)</f>
        <v>0</v>
      </c>
      <c r="M6" s="14" cm="1">
        <f t="array" ref="M6">INT(SUMPRODUCT(--ISNUMBER(SEARCH(supreme,C6)))&gt;0)</f>
        <v>0</v>
      </c>
      <c r="N6" s="14" cm="1">
        <f t="array" ref="N6">INT(SUMPRODUCT(--ISNUMBER(SEARCH(covid,C6)))&gt;0)</f>
        <v>0</v>
      </c>
      <c r="O6" s="14" cm="1">
        <f t="array" ref="O6">INT(SUMPRODUCT(--ISNUMBER(SEARCH(violent,C6)))&gt;0)</f>
        <v>0</v>
      </c>
      <c r="P6" s="14" cm="1">
        <f t="array" ref="P6">INT(SUMPRODUCT(--ISNUMBER(SEARCH(foreign,C6)))&gt;0)</f>
        <v>0</v>
      </c>
      <c r="Q6" s="14" cm="1">
        <f t="array" ref="Q6">INT(SUMPRODUCT(--ISNUMBER(SEARCH(gun,C6)))&gt;0)</f>
        <v>0</v>
      </c>
      <c r="R6" s="14" cm="1">
        <f t="array" ref="R6">INT(SUMPRODUCT(--ISNUMBER(SEARCH(race,C6)))&gt;0)</f>
        <v>0</v>
      </c>
      <c r="S6" s="14" cm="1">
        <f t="array" ref="S6">INT(SUMPRODUCT(--ISNUMBER(SEARCH(immigration,C6)))&gt;0)</f>
        <v>0</v>
      </c>
      <c r="T6" s="14" cm="1">
        <f t="array" ref="T6">INT(SUMPRODUCT(--ISNUMBER(SEARCH(econineq,C7)))&gt;0)</f>
        <v>0</v>
      </c>
      <c r="U6" s="14" cm="1">
        <f t="array" ref="U6">INT(SUMPRODUCT(--ISNUMBER(SEARCH(climate,C6)))&gt;0)</f>
        <v>0</v>
      </c>
      <c r="V6" s="14" cm="1">
        <f t="array" ref="V6">INT(SUMPRODUCT(--ISNUMBER(SEARCH(abortion,C6)))&gt;0)</f>
        <v>0</v>
      </c>
      <c r="W6" s="14" cm="1">
        <f t="array" ref="W6">INT(SUMPRODUCT(--ISNUMBER(SEARCH(trump,C6)))&gt;0)</f>
        <v>0</v>
      </c>
      <c r="X6" s="14" cm="1">
        <f t="array" ref="X6">INT(SUMPRODUCT(--ISNUMBER(SEARCH(voting,C6)))&gt;0)</f>
        <v>1</v>
      </c>
      <c r="Y6" s="14" cm="1">
        <f t="array" ref="Y6">INT(SUMPRODUCT(--ISNUMBER(SEARCH(democrattrigger,C6)))&gt;0)</f>
        <v>0</v>
      </c>
      <c r="Z6" s="14" cm="1">
        <f t="array" ref="Z6">INT(SUMPRODUCT(--ISNUMBER(SEARCH(bipartisan,C6)))&gt;0)</f>
        <v>0</v>
      </c>
      <c r="AA6" s="14">
        <f t="shared" si="0"/>
        <v>0</v>
      </c>
      <c r="AB6" s="14"/>
      <c r="AC6" s="30" t="s">
        <v>223</v>
      </c>
      <c r="AD6" s="37" t="s">
        <v>223</v>
      </c>
    </row>
    <row r="7" spans="1:30" x14ac:dyDescent="0.25">
      <c r="A7" s="36">
        <v>3412</v>
      </c>
      <c r="B7" s="14" t="s">
        <v>7449</v>
      </c>
      <c r="C7" s="14" t="s">
        <v>7450</v>
      </c>
      <c r="D7" s="17">
        <v>44138</v>
      </c>
      <c r="E7" s="14" t="s">
        <v>30</v>
      </c>
      <c r="F7" s="14">
        <v>1043</v>
      </c>
      <c r="G7" s="14">
        <v>162</v>
      </c>
      <c r="H7" s="14">
        <v>16</v>
      </c>
      <c r="I7" s="14">
        <v>8</v>
      </c>
      <c r="J7" s="14" t="s">
        <v>204</v>
      </c>
      <c r="K7" s="14" cm="1">
        <f t="array" ref="K7">INT(SUMPRODUCT(--ISNUMBER(SEARCH(economy,C7)))&gt;0)</f>
        <v>0</v>
      </c>
      <c r="L7" s="14" cm="1">
        <f t="array" ref="L7">INT(SUMPRODUCT(--ISNUMBER(SEARCH(healthcare,C7)))&gt;0)</f>
        <v>0</v>
      </c>
      <c r="M7" s="14" cm="1">
        <f t="array" ref="M7">INT(SUMPRODUCT(--ISNUMBER(SEARCH(supreme,C7)))&gt;0)</f>
        <v>0</v>
      </c>
      <c r="N7" s="14" cm="1">
        <f t="array" ref="N7">INT(SUMPRODUCT(--ISNUMBER(SEARCH(covid,C7)))&gt;0)</f>
        <v>0</v>
      </c>
      <c r="O7" s="14" cm="1">
        <f t="array" ref="O7">INT(SUMPRODUCT(--ISNUMBER(SEARCH(violent,C7)))&gt;0)</f>
        <v>0</v>
      </c>
      <c r="P7" s="14" cm="1">
        <f t="array" ref="P7">INT(SUMPRODUCT(--ISNUMBER(SEARCH(foreign,C7)))&gt;0)</f>
        <v>0</v>
      </c>
      <c r="Q7" s="14" cm="1">
        <f t="array" ref="Q7">INT(SUMPRODUCT(--ISNUMBER(SEARCH(gun,C7)))&gt;0)</f>
        <v>0</v>
      </c>
      <c r="R7" s="14" cm="1">
        <f t="array" ref="R7">INT(SUMPRODUCT(--ISNUMBER(SEARCH(race,C7)))&gt;0)</f>
        <v>0</v>
      </c>
      <c r="S7" s="14" cm="1">
        <f t="array" ref="S7">INT(SUMPRODUCT(--ISNUMBER(SEARCH(immigration,C7)))&gt;0)</f>
        <v>0</v>
      </c>
      <c r="T7" s="14" cm="1">
        <f t="array" ref="T7">INT(SUMPRODUCT(--ISNUMBER(SEARCH(econineq,C8)))&gt;0)</f>
        <v>0</v>
      </c>
      <c r="U7" s="14" cm="1">
        <f t="array" ref="U7">INT(SUMPRODUCT(--ISNUMBER(SEARCH(climate,C7)))&gt;0)</f>
        <v>1</v>
      </c>
      <c r="V7" s="14" cm="1">
        <f t="array" ref="V7">INT(SUMPRODUCT(--ISNUMBER(SEARCH(abortion,C7)))&gt;0)</f>
        <v>0</v>
      </c>
      <c r="W7" s="14" cm="1">
        <f t="array" ref="W7">INT(SUMPRODUCT(--ISNUMBER(SEARCH(trump,C7)))&gt;0)</f>
        <v>0</v>
      </c>
      <c r="X7" s="14" cm="1">
        <f t="array" ref="X7">INT(SUMPRODUCT(--ISNUMBER(SEARCH(voting,C7)))&gt;0)</f>
        <v>1</v>
      </c>
      <c r="Y7" s="14" cm="1">
        <f t="array" ref="Y7">INT(SUMPRODUCT(--ISNUMBER(SEARCH(democrattrigger,C7)))&gt;0)</f>
        <v>0</v>
      </c>
      <c r="Z7" s="14" cm="1">
        <f t="array" ref="Z7">INT(SUMPRODUCT(--ISNUMBER(SEARCH(bipartisan,C7)))&gt;0)</f>
        <v>0</v>
      </c>
      <c r="AA7" s="14">
        <f t="shared" si="0"/>
        <v>0</v>
      </c>
      <c r="AB7" s="14"/>
      <c r="AC7" s="30">
        <v>1</v>
      </c>
      <c r="AD7" s="37">
        <v>0</v>
      </c>
    </row>
    <row r="8" spans="1:30" x14ac:dyDescent="0.25">
      <c r="A8" s="36">
        <v>3413</v>
      </c>
      <c r="B8" s="14" t="s">
        <v>7451</v>
      </c>
      <c r="C8" s="14" t="s">
        <v>7452</v>
      </c>
      <c r="D8" s="17">
        <v>44138</v>
      </c>
      <c r="E8" s="14" t="s">
        <v>30</v>
      </c>
      <c r="F8" s="14">
        <v>1080</v>
      </c>
      <c r="G8" s="14">
        <v>195</v>
      </c>
      <c r="H8" s="14">
        <v>16</v>
      </c>
      <c r="I8" s="14">
        <v>8</v>
      </c>
      <c r="J8" s="14" t="s">
        <v>204</v>
      </c>
      <c r="K8" s="14" cm="1">
        <f t="array" ref="K8">INT(SUMPRODUCT(--ISNUMBER(SEARCH(economy,C8)))&gt;0)</f>
        <v>0</v>
      </c>
      <c r="L8" s="14" cm="1">
        <f t="array" ref="L8">INT(SUMPRODUCT(--ISNUMBER(SEARCH(healthcare,C8)))&gt;0)</f>
        <v>0</v>
      </c>
      <c r="M8" s="14" cm="1">
        <f t="array" ref="M8">INT(SUMPRODUCT(--ISNUMBER(SEARCH(supreme,C8)))&gt;0)</f>
        <v>0</v>
      </c>
      <c r="N8" s="14" cm="1">
        <f t="array" ref="N8">INT(SUMPRODUCT(--ISNUMBER(SEARCH(covid,C8)))&gt;0)</f>
        <v>0</v>
      </c>
      <c r="O8" s="14" cm="1">
        <f t="array" ref="O8">INT(SUMPRODUCT(--ISNUMBER(SEARCH(violent,C8)))&gt;0)</f>
        <v>0</v>
      </c>
      <c r="P8" s="14" cm="1">
        <f t="array" ref="P8">INT(SUMPRODUCT(--ISNUMBER(SEARCH(foreign,C8)))&gt;0)</f>
        <v>0</v>
      </c>
      <c r="Q8" s="14" cm="1">
        <f t="array" ref="Q8">INT(SUMPRODUCT(--ISNUMBER(SEARCH(gun,C8)))&gt;0)</f>
        <v>0</v>
      </c>
      <c r="R8" s="14" cm="1">
        <f t="array" ref="R8">INT(SUMPRODUCT(--ISNUMBER(SEARCH(race,C8)))&gt;0)</f>
        <v>0</v>
      </c>
      <c r="S8" s="14" cm="1">
        <f t="array" ref="S8">INT(SUMPRODUCT(--ISNUMBER(SEARCH(immigration,C8)))&gt;0)</f>
        <v>0</v>
      </c>
      <c r="T8" s="14" cm="1">
        <f t="array" ref="T8">INT(SUMPRODUCT(--ISNUMBER(SEARCH(econineq,C9)))&gt;0)</f>
        <v>0</v>
      </c>
      <c r="U8" s="14" cm="1">
        <f t="array" ref="U8">INT(SUMPRODUCT(--ISNUMBER(SEARCH(climate,C8)))&gt;0)</f>
        <v>0</v>
      </c>
      <c r="V8" s="14" cm="1">
        <f t="array" ref="V8">INT(SUMPRODUCT(--ISNUMBER(SEARCH(abortion,C8)))&gt;0)</f>
        <v>0</v>
      </c>
      <c r="W8" s="14" cm="1">
        <f t="array" ref="W8">INT(SUMPRODUCT(--ISNUMBER(SEARCH(trump,C8)))&gt;0)</f>
        <v>0</v>
      </c>
      <c r="X8" s="14" cm="1">
        <f t="array" ref="X8">INT(SUMPRODUCT(--ISNUMBER(SEARCH(voting,C8)))&gt;0)</f>
        <v>1</v>
      </c>
      <c r="Y8" s="14" cm="1">
        <f t="array" ref="Y8">INT(SUMPRODUCT(--ISNUMBER(SEARCH(democrattrigger,C8)))&gt;0)</f>
        <v>1</v>
      </c>
      <c r="Z8" s="14" cm="1">
        <f t="array" ref="Z8">INT(SUMPRODUCT(--ISNUMBER(SEARCH(bipartisan,C8)))&gt;0)</f>
        <v>0</v>
      </c>
      <c r="AA8" s="14">
        <f t="shared" si="0"/>
        <v>0</v>
      </c>
      <c r="AB8" s="14"/>
      <c r="AC8" s="30" t="s">
        <v>223</v>
      </c>
      <c r="AD8" s="37" t="s">
        <v>223</v>
      </c>
    </row>
    <row r="9" spans="1:30" x14ac:dyDescent="0.25">
      <c r="A9" s="36">
        <v>3414</v>
      </c>
      <c r="B9" s="14" t="s">
        <v>7453</v>
      </c>
      <c r="C9" s="14" t="s">
        <v>7454</v>
      </c>
      <c r="D9" s="17">
        <v>44138</v>
      </c>
      <c r="E9" s="14" t="s">
        <v>30</v>
      </c>
      <c r="F9" s="14">
        <v>602</v>
      </c>
      <c r="G9" s="14">
        <v>126</v>
      </c>
      <c r="H9" s="14">
        <v>16</v>
      </c>
      <c r="I9" s="14">
        <v>8</v>
      </c>
      <c r="J9" s="14" t="s">
        <v>204</v>
      </c>
      <c r="K9" s="14" cm="1">
        <f t="array" ref="K9">INT(SUMPRODUCT(--ISNUMBER(SEARCH(economy,C9)))&gt;0)</f>
        <v>1</v>
      </c>
      <c r="L9" s="14" cm="1">
        <f t="array" ref="L9">INT(SUMPRODUCT(--ISNUMBER(SEARCH(healthcare,C9)))&gt;0)</f>
        <v>0</v>
      </c>
      <c r="M9" s="14" cm="1">
        <f t="array" ref="M9">INT(SUMPRODUCT(--ISNUMBER(SEARCH(supreme,C9)))&gt;0)</f>
        <v>0</v>
      </c>
      <c r="N9" s="14" cm="1">
        <f t="array" ref="N9">INT(SUMPRODUCT(--ISNUMBER(SEARCH(covid,C9)))&gt;0)</f>
        <v>0</v>
      </c>
      <c r="O9" s="14" cm="1">
        <f t="array" ref="O9">INT(SUMPRODUCT(--ISNUMBER(SEARCH(violent,C9)))&gt;0)</f>
        <v>0</v>
      </c>
      <c r="P9" s="14" cm="1">
        <f t="array" ref="P9">INT(SUMPRODUCT(--ISNUMBER(SEARCH(foreign,C9)))&gt;0)</f>
        <v>0</v>
      </c>
      <c r="Q9" s="14" cm="1">
        <f t="array" ref="Q9">INT(SUMPRODUCT(--ISNUMBER(SEARCH(gun,C9)))&gt;0)</f>
        <v>0</v>
      </c>
      <c r="R9" s="14" cm="1">
        <f t="array" ref="R9">INT(SUMPRODUCT(--ISNUMBER(SEARCH(race,C9)))&gt;0)</f>
        <v>0</v>
      </c>
      <c r="S9" s="14" cm="1">
        <f t="array" ref="S9">INT(SUMPRODUCT(--ISNUMBER(SEARCH(immigration,C9)))&gt;0)</f>
        <v>0</v>
      </c>
      <c r="T9" s="14" cm="1">
        <f t="array" ref="T9">INT(SUMPRODUCT(--ISNUMBER(SEARCH(econineq,C10)))&gt;0)</f>
        <v>0</v>
      </c>
      <c r="U9" s="14" cm="1">
        <f t="array" ref="U9">INT(SUMPRODUCT(--ISNUMBER(SEARCH(climate,C9)))&gt;0)</f>
        <v>0</v>
      </c>
      <c r="V9" s="14" cm="1">
        <f t="array" ref="V9">INT(SUMPRODUCT(--ISNUMBER(SEARCH(abortion,C9)))&gt;0)</f>
        <v>0</v>
      </c>
      <c r="W9" s="14" cm="1">
        <f t="array" ref="W9">INT(SUMPRODUCT(--ISNUMBER(SEARCH(trump,C9)))&gt;0)</f>
        <v>0</v>
      </c>
      <c r="X9" s="14" cm="1">
        <f t="array" ref="X9">INT(SUMPRODUCT(--ISNUMBER(SEARCH(voting,C9)))&gt;0)</f>
        <v>1</v>
      </c>
      <c r="Y9" s="14" cm="1">
        <f t="array" ref="Y9">INT(SUMPRODUCT(--ISNUMBER(SEARCH(democrattrigger,C9)))&gt;0)</f>
        <v>0</v>
      </c>
      <c r="Z9" s="14" cm="1">
        <f t="array" ref="Z9">INT(SUMPRODUCT(--ISNUMBER(SEARCH(bipartisan,C9)))&gt;0)</f>
        <v>0</v>
      </c>
      <c r="AA9" s="14">
        <f t="shared" si="0"/>
        <v>0</v>
      </c>
      <c r="AB9" s="14"/>
      <c r="AC9" s="30" t="s">
        <v>223</v>
      </c>
      <c r="AD9" s="37" t="s">
        <v>223</v>
      </c>
    </row>
    <row r="10" spans="1:30" x14ac:dyDescent="0.25">
      <c r="A10" s="36">
        <v>3415</v>
      </c>
      <c r="B10" s="14" t="s">
        <v>7455</v>
      </c>
      <c r="C10" s="14" t="s">
        <v>7456</v>
      </c>
      <c r="D10" s="17">
        <v>44138</v>
      </c>
      <c r="E10" s="14" t="s">
        <v>30</v>
      </c>
      <c r="F10" s="14">
        <v>746</v>
      </c>
      <c r="G10" s="14">
        <v>206</v>
      </c>
      <c r="H10" s="14">
        <v>16</v>
      </c>
      <c r="I10" s="14">
        <v>8</v>
      </c>
      <c r="J10" s="14" t="s">
        <v>204</v>
      </c>
      <c r="K10" s="14" cm="1">
        <f t="array" ref="K10">INT(SUMPRODUCT(--ISNUMBER(SEARCH(economy,C10)))&gt;0)</f>
        <v>0</v>
      </c>
      <c r="L10" s="14" cm="1">
        <f t="array" ref="L10">INT(SUMPRODUCT(--ISNUMBER(SEARCH(healthcare,C10)))&gt;0)</f>
        <v>0</v>
      </c>
      <c r="M10" s="14" cm="1">
        <f t="array" ref="M10">INT(SUMPRODUCT(--ISNUMBER(SEARCH(supreme,C10)))&gt;0)</f>
        <v>0</v>
      </c>
      <c r="N10" s="14" cm="1">
        <f t="array" ref="N10">INT(SUMPRODUCT(--ISNUMBER(SEARCH(covid,C10)))&gt;0)</f>
        <v>1</v>
      </c>
      <c r="O10" s="14" cm="1">
        <f t="array" ref="O10">INT(SUMPRODUCT(--ISNUMBER(SEARCH(violent,C10)))&gt;0)</f>
        <v>0</v>
      </c>
      <c r="P10" s="14" cm="1">
        <f t="array" ref="P10">INT(SUMPRODUCT(--ISNUMBER(SEARCH(foreign,C10)))&gt;0)</f>
        <v>0</v>
      </c>
      <c r="Q10" s="14" cm="1">
        <f t="array" ref="Q10">INT(SUMPRODUCT(--ISNUMBER(SEARCH(gun,C10)))&gt;0)</f>
        <v>0</v>
      </c>
      <c r="R10" s="14" cm="1">
        <f t="array" ref="R10">INT(SUMPRODUCT(--ISNUMBER(SEARCH(race,C10)))&gt;0)</f>
        <v>0</v>
      </c>
      <c r="S10" s="14" cm="1">
        <f t="array" ref="S10">INT(SUMPRODUCT(--ISNUMBER(SEARCH(immigration,C10)))&gt;0)</f>
        <v>0</v>
      </c>
      <c r="T10" s="14" cm="1">
        <f t="array" ref="T10">INT(SUMPRODUCT(--ISNUMBER(SEARCH(econineq,C11)))&gt;0)</f>
        <v>0</v>
      </c>
      <c r="U10" s="14" cm="1">
        <f t="array" ref="U10">INT(SUMPRODUCT(--ISNUMBER(SEARCH(climate,C10)))&gt;0)</f>
        <v>0</v>
      </c>
      <c r="V10" s="14" cm="1">
        <f t="array" ref="V10">INT(SUMPRODUCT(--ISNUMBER(SEARCH(abortion,C10)))&gt;0)</f>
        <v>0</v>
      </c>
      <c r="W10" s="14" cm="1">
        <f t="array" ref="W10">INT(SUMPRODUCT(--ISNUMBER(SEARCH(trump,C10)))&gt;0)</f>
        <v>0</v>
      </c>
      <c r="X10" s="14" cm="1">
        <f t="array" ref="X10">INT(SUMPRODUCT(--ISNUMBER(SEARCH(voting,C10)))&gt;0)</f>
        <v>0</v>
      </c>
      <c r="Y10" s="14" cm="1">
        <f t="array" ref="Y10">INT(SUMPRODUCT(--ISNUMBER(SEARCH(democrattrigger,C10)))&gt;0)</f>
        <v>1</v>
      </c>
      <c r="Z10" s="14" cm="1">
        <f t="array" ref="Z10">INT(SUMPRODUCT(--ISNUMBER(SEARCH(bipartisan,C10)))&gt;0)</f>
        <v>0</v>
      </c>
      <c r="AA10" s="14">
        <f t="shared" si="0"/>
        <v>0</v>
      </c>
      <c r="AB10" s="14"/>
      <c r="AC10" s="30">
        <v>0</v>
      </c>
      <c r="AD10" s="37">
        <v>1</v>
      </c>
    </row>
    <row r="11" spans="1:30" x14ac:dyDescent="0.25">
      <c r="A11" s="36">
        <v>3416</v>
      </c>
      <c r="B11" s="14" t="s">
        <v>7457</v>
      </c>
      <c r="C11" s="14" t="s">
        <v>7458</v>
      </c>
      <c r="D11" s="17">
        <v>44138</v>
      </c>
      <c r="E11" s="14" t="s">
        <v>30</v>
      </c>
      <c r="F11" s="14">
        <v>548</v>
      </c>
      <c r="G11" s="14">
        <v>108</v>
      </c>
      <c r="H11" s="14">
        <v>16</v>
      </c>
      <c r="I11" s="14">
        <v>8</v>
      </c>
      <c r="J11" s="14" t="s">
        <v>204</v>
      </c>
      <c r="K11" s="14" cm="1">
        <f t="array" ref="K11">INT(SUMPRODUCT(--ISNUMBER(SEARCH(economy,C11)))&gt;0)</f>
        <v>1</v>
      </c>
      <c r="L11" s="14" cm="1">
        <f t="array" ref="L11">INT(SUMPRODUCT(--ISNUMBER(SEARCH(healthcare,C11)))&gt;0)</f>
        <v>0</v>
      </c>
      <c r="M11" s="14" cm="1">
        <f t="array" ref="M11">INT(SUMPRODUCT(--ISNUMBER(SEARCH(supreme,C11)))&gt;0)</f>
        <v>0</v>
      </c>
      <c r="N11" s="14" cm="1">
        <f t="array" ref="N11">INT(SUMPRODUCT(--ISNUMBER(SEARCH(covid,C11)))&gt;0)</f>
        <v>0</v>
      </c>
      <c r="O11" s="14" cm="1">
        <f t="array" ref="O11">INT(SUMPRODUCT(--ISNUMBER(SEARCH(violent,C11)))&gt;0)</f>
        <v>0</v>
      </c>
      <c r="P11" s="14" cm="1">
        <f t="array" ref="P11">INT(SUMPRODUCT(--ISNUMBER(SEARCH(foreign,C11)))&gt;0)</f>
        <v>0</v>
      </c>
      <c r="Q11" s="14" cm="1">
        <f t="array" ref="Q11">INT(SUMPRODUCT(--ISNUMBER(SEARCH(gun,C11)))&gt;0)</f>
        <v>0</v>
      </c>
      <c r="R11" s="14" cm="1">
        <f t="array" ref="R11">INT(SUMPRODUCT(--ISNUMBER(SEARCH(race,C11)))&gt;0)</f>
        <v>0</v>
      </c>
      <c r="S11" s="14" cm="1">
        <f t="array" ref="S11">INT(SUMPRODUCT(--ISNUMBER(SEARCH(immigration,C11)))&gt;0)</f>
        <v>0</v>
      </c>
      <c r="T11" s="14" cm="1">
        <f t="array" ref="T11">INT(SUMPRODUCT(--ISNUMBER(SEARCH(econineq,C12)))&gt;0)</f>
        <v>0</v>
      </c>
      <c r="U11" s="14" cm="1">
        <f t="array" ref="U11">INT(SUMPRODUCT(--ISNUMBER(SEARCH(climate,C11)))&gt;0)</f>
        <v>0</v>
      </c>
      <c r="V11" s="14" cm="1">
        <f t="array" ref="V11">INT(SUMPRODUCT(--ISNUMBER(SEARCH(abortion,C11)))&gt;0)</f>
        <v>0</v>
      </c>
      <c r="W11" s="14" cm="1">
        <f t="array" ref="W11">INT(SUMPRODUCT(--ISNUMBER(SEARCH(trump,C11)))&gt;0)</f>
        <v>0</v>
      </c>
      <c r="X11" s="14" cm="1">
        <f t="array" ref="X11">INT(SUMPRODUCT(--ISNUMBER(SEARCH(voting,C11)))&gt;0)</f>
        <v>0</v>
      </c>
      <c r="Y11" s="14" cm="1">
        <f t="array" ref="Y11">INT(SUMPRODUCT(--ISNUMBER(SEARCH(democrattrigger,C11)))&gt;0)</f>
        <v>0</v>
      </c>
      <c r="Z11" s="14" cm="1">
        <f t="array" ref="Z11">INT(SUMPRODUCT(--ISNUMBER(SEARCH(bipartisan,C11)))&gt;0)</f>
        <v>0</v>
      </c>
      <c r="AA11" s="14">
        <f t="shared" si="0"/>
        <v>0</v>
      </c>
      <c r="AB11" s="14"/>
      <c r="AC11" s="30">
        <v>1</v>
      </c>
      <c r="AD11" s="37">
        <v>0</v>
      </c>
    </row>
    <row r="12" spans="1:30" x14ac:dyDescent="0.25">
      <c r="A12" s="36">
        <v>3417</v>
      </c>
      <c r="B12" s="14" t="s">
        <v>7459</v>
      </c>
      <c r="C12" s="14" t="s">
        <v>7460</v>
      </c>
      <c r="D12" s="17">
        <v>44137</v>
      </c>
      <c r="E12" s="14" t="s">
        <v>30</v>
      </c>
      <c r="F12" s="14">
        <v>466</v>
      </c>
      <c r="G12" s="14">
        <v>98</v>
      </c>
      <c r="H12" s="14">
        <v>16</v>
      </c>
      <c r="I12" s="14">
        <v>8</v>
      </c>
      <c r="J12" s="14" t="s">
        <v>204</v>
      </c>
      <c r="K12" s="14" cm="1">
        <f t="array" ref="K12">INT(SUMPRODUCT(--ISNUMBER(SEARCH(economy,C12)))&gt;0)</f>
        <v>1</v>
      </c>
      <c r="L12" s="14" cm="1">
        <f t="array" ref="L12">INT(SUMPRODUCT(--ISNUMBER(SEARCH(healthcare,C12)))&gt;0)</f>
        <v>0</v>
      </c>
      <c r="M12" s="14" cm="1">
        <f t="array" ref="M12">INT(SUMPRODUCT(--ISNUMBER(SEARCH(supreme,C12)))&gt;0)</f>
        <v>0</v>
      </c>
      <c r="N12" s="14" cm="1">
        <f t="array" ref="N12">INT(SUMPRODUCT(--ISNUMBER(SEARCH(covid,C12)))&gt;0)</f>
        <v>0</v>
      </c>
      <c r="O12" s="14" cm="1">
        <f t="array" ref="O12">INT(SUMPRODUCT(--ISNUMBER(SEARCH(violent,C12)))&gt;0)</f>
        <v>0</v>
      </c>
      <c r="P12" s="14" cm="1">
        <f t="array" ref="P12">INT(SUMPRODUCT(--ISNUMBER(SEARCH(foreign,C12)))&gt;0)</f>
        <v>0</v>
      </c>
      <c r="Q12" s="14" cm="1">
        <f t="array" ref="Q12">INT(SUMPRODUCT(--ISNUMBER(SEARCH(gun,C12)))&gt;0)</f>
        <v>0</v>
      </c>
      <c r="R12" s="14" cm="1">
        <f t="array" ref="R12">INT(SUMPRODUCT(--ISNUMBER(SEARCH(race,C12)))&gt;0)</f>
        <v>0</v>
      </c>
      <c r="S12" s="14" cm="1">
        <f t="array" ref="S12">INT(SUMPRODUCT(--ISNUMBER(SEARCH(immigration,C12)))&gt;0)</f>
        <v>0</v>
      </c>
      <c r="T12" s="14" cm="1">
        <f t="array" ref="T12">INT(SUMPRODUCT(--ISNUMBER(SEARCH(econineq,C13)))&gt;0)</f>
        <v>0</v>
      </c>
      <c r="U12" s="14" cm="1">
        <f t="array" ref="U12">INT(SUMPRODUCT(--ISNUMBER(SEARCH(climate,C12)))&gt;0)</f>
        <v>0</v>
      </c>
      <c r="V12" s="14" cm="1">
        <f t="array" ref="V12">INT(SUMPRODUCT(--ISNUMBER(SEARCH(abortion,C12)))&gt;0)</f>
        <v>0</v>
      </c>
      <c r="W12" s="14" cm="1">
        <f t="array" ref="W12">INT(SUMPRODUCT(--ISNUMBER(SEARCH(trump,C12)))&gt;0)</f>
        <v>0</v>
      </c>
      <c r="X12" s="14" cm="1">
        <f t="array" ref="X12">INT(SUMPRODUCT(--ISNUMBER(SEARCH(voting,C12)))&gt;0)</f>
        <v>0</v>
      </c>
      <c r="Y12" s="14" cm="1">
        <f t="array" ref="Y12">INT(SUMPRODUCT(--ISNUMBER(SEARCH(democrattrigger,C12)))&gt;0)</f>
        <v>0</v>
      </c>
      <c r="Z12" s="14" cm="1">
        <f t="array" ref="Z12">INT(SUMPRODUCT(--ISNUMBER(SEARCH(bipartisan,C12)))&gt;0)</f>
        <v>0</v>
      </c>
      <c r="AA12" s="14">
        <f t="shared" si="0"/>
        <v>0</v>
      </c>
      <c r="AB12" s="14"/>
      <c r="AC12" s="30">
        <v>1</v>
      </c>
      <c r="AD12" s="37">
        <v>0</v>
      </c>
    </row>
    <row r="13" spans="1:30" x14ac:dyDescent="0.25">
      <c r="A13" s="36">
        <v>3418</v>
      </c>
      <c r="B13" s="14" t="s">
        <v>7461</v>
      </c>
      <c r="C13" s="14" t="s">
        <v>7462</v>
      </c>
      <c r="D13" s="17">
        <v>44137</v>
      </c>
      <c r="E13" s="14" t="s">
        <v>30</v>
      </c>
      <c r="F13" s="14">
        <v>1665</v>
      </c>
      <c r="G13" s="14">
        <v>462</v>
      </c>
      <c r="H13" s="14">
        <v>16</v>
      </c>
      <c r="I13" s="14">
        <v>8</v>
      </c>
      <c r="J13" s="14" t="s">
        <v>204</v>
      </c>
      <c r="K13" s="14" cm="1">
        <f t="array" ref="K13">INT(SUMPRODUCT(--ISNUMBER(SEARCH(economy,C13)))&gt;0)</f>
        <v>0</v>
      </c>
      <c r="L13" s="14" cm="1">
        <f t="array" ref="L13">INT(SUMPRODUCT(--ISNUMBER(SEARCH(healthcare,C13)))&gt;0)</f>
        <v>0</v>
      </c>
      <c r="M13" s="14" cm="1">
        <f t="array" ref="M13">INT(SUMPRODUCT(--ISNUMBER(SEARCH(supreme,C13)))&gt;0)</f>
        <v>0</v>
      </c>
      <c r="N13" s="14" cm="1">
        <f t="array" ref="N13">INT(SUMPRODUCT(--ISNUMBER(SEARCH(covid,C13)))&gt;0)</f>
        <v>0</v>
      </c>
      <c r="O13" s="14" cm="1">
        <f t="array" ref="O13">INT(SUMPRODUCT(--ISNUMBER(SEARCH(violent,C13)))&gt;0)</f>
        <v>0</v>
      </c>
      <c r="P13" s="14" cm="1">
        <f t="array" ref="P13">INT(SUMPRODUCT(--ISNUMBER(SEARCH(foreign,C13)))&gt;0)</f>
        <v>0</v>
      </c>
      <c r="Q13" s="14" cm="1">
        <f t="array" ref="Q13">INT(SUMPRODUCT(--ISNUMBER(SEARCH(gun,C13)))&gt;0)</f>
        <v>0</v>
      </c>
      <c r="R13" s="14" cm="1">
        <f t="array" ref="R13">INT(SUMPRODUCT(--ISNUMBER(SEARCH(race,C13)))&gt;0)</f>
        <v>0</v>
      </c>
      <c r="S13" s="14" cm="1">
        <f t="array" ref="S13">INT(SUMPRODUCT(--ISNUMBER(SEARCH(immigration,C13)))&gt;0)</f>
        <v>0</v>
      </c>
      <c r="T13" s="14" cm="1">
        <f t="array" ref="T13">INT(SUMPRODUCT(--ISNUMBER(SEARCH(econineq,C14)))&gt;0)</f>
        <v>0</v>
      </c>
      <c r="U13" s="14" cm="1">
        <f t="array" ref="U13">INT(SUMPRODUCT(--ISNUMBER(SEARCH(climate,C13)))&gt;0)</f>
        <v>0</v>
      </c>
      <c r="V13" s="14" cm="1">
        <f t="array" ref="V13">INT(SUMPRODUCT(--ISNUMBER(SEARCH(abortion,C13)))&gt;0)</f>
        <v>0</v>
      </c>
      <c r="W13" s="14" cm="1">
        <f t="array" ref="W13">INT(SUMPRODUCT(--ISNUMBER(SEARCH(trump,C13)))&gt;0)</f>
        <v>0</v>
      </c>
      <c r="X13" s="14" cm="1">
        <f t="array" ref="X13">INT(SUMPRODUCT(--ISNUMBER(SEARCH(voting,C13)))&gt;0)</f>
        <v>1</v>
      </c>
      <c r="Y13" s="14" cm="1">
        <f t="array" ref="Y13">INT(SUMPRODUCT(--ISNUMBER(SEARCH(democrattrigger,C13)))&gt;0)</f>
        <v>0</v>
      </c>
      <c r="Z13" s="14" cm="1">
        <f t="array" ref="Z13">INT(SUMPRODUCT(--ISNUMBER(SEARCH(bipartisan,C13)))&gt;0)</f>
        <v>0</v>
      </c>
      <c r="AA13" s="14">
        <f t="shared" si="0"/>
        <v>0</v>
      </c>
      <c r="AB13" s="14"/>
      <c r="AC13" s="30">
        <v>0</v>
      </c>
      <c r="AD13" s="37">
        <v>1</v>
      </c>
    </row>
    <row r="14" spans="1:30" x14ac:dyDescent="0.25">
      <c r="A14" s="36">
        <v>3419</v>
      </c>
      <c r="B14" s="14" t="s">
        <v>7463</v>
      </c>
      <c r="C14" s="14" t="s">
        <v>7464</v>
      </c>
      <c r="D14" s="17">
        <v>44137</v>
      </c>
      <c r="E14" s="14" t="s">
        <v>30</v>
      </c>
      <c r="F14" s="14">
        <v>307</v>
      </c>
      <c r="G14" s="14">
        <v>92</v>
      </c>
      <c r="H14" s="14">
        <v>16</v>
      </c>
      <c r="I14" s="14">
        <v>8</v>
      </c>
      <c r="J14" s="14" t="s">
        <v>204</v>
      </c>
      <c r="K14" s="14" cm="1">
        <f t="array" ref="K14">INT(SUMPRODUCT(--ISNUMBER(SEARCH(economy,C14)))&gt;0)</f>
        <v>0</v>
      </c>
      <c r="L14" s="14" cm="1">
        <f t="array" ref="L14">INT(SUMPRODUCT(--ISNUMBER(SEARCH(healthcare,C14)))&gt;0)</f>
        <v>0</v>
      </c>
      <c r="M14" s="14" cm="1">
        <f t="array" ref="M14">INT(SUMPRODUCT(--ISNUMBER(SEARCH(supreme,C14)))&gt;0)</f>
        <v>0</v>
      </c>
      <c r="N14" s="14" cm="1">
        <f t="array" ref="N14">INT(SUMPRODUCT(--ISNUMBER(SEARCH(covid,C14)))&gt;0)</f>
        <v>0</v>
      </c>
      <c r="O14" s="14" cm="1">
        <f t="array" ref="O14">INT(SUMPRODUCT(--ISNUMBER(SEARCH(violent,C14)))&gt;0)</f>
        <v>0</v>
      </c>
      <c r="P14" s="14" cm="1">
        <f t="array" ref="P14">INT(SUMPRODUCT(--ISNUMBER(SEARCH(foreign,C14)))&gt;0)</f>
        <v>0</v>
      </c>
      <c r="Q14" s="14" cm="1">
        <f t="array" ref="Q14">INT(SUMPRODUCT(--ISNUMBER(SEARCH(gun,C14)))&gt;0)</f>
        <v>0</v>
      </c>
      <c r="R14" s="14" cm="1">
        <f t="array" ref="R14">INT(SUMPRODUCT(--ISNUMBER(SEARCH(race,C14)))&gt;0)</f>
        <v>0</v>
      </c>
      <c r="S14" s="14" cm="1">
        <f t="array" ref="S14">INT(SUMPRODUCT(--ISNUMBER(SEARCH(immigration,C14)))&gt;0)</f>
        <v>0</v>
      </c>
      <c r="T14" s="14" cm="1">
        <f t="array" ref="T14">INT(SUMPRODUCT(--ISNUMBER(SEARCH(econineq,C15)))&gt;0)</f>
        <v>0</v>
      </c>
      <c r="U14" s="14" cm="1">
        <f t="array" ref="U14">INT(SUMPRODUCT(--ISNUMBER(SEARCH(climate,C14)))&gt;0)</f>
        <v>0</v>
      </c>
      <c r="V14" s="14" cm="1">
        <f t="array" ref="V14">INT(SUMPRODUCT(--ISNUMBER(SEARCH(abortion,C14)))&gt;0)</f>
        <v>0</v>
      </c>
      <c r="W14" s="14" cm="1">
        <f t="array" ref="W14">INT(SUMPRODUCT(--ISNUMBER(SEARCH(trump,C14)))&gt;0)</f>
        <v>0</v>
      </c>
      <c r="X14" s="14" cm="1">
        <f t="array" ref="X14">INT(SUMPRODUCT(--ISNUMBER(SEARCH(voting,C14)))&gt;0)</f>
        <v>1</v>
      </c>
      <c r="Y14" s="14" cm="1">
        <f t="array" ref="Y14">INT(SUMPRODUCT(--ISNUMBER(SEARCH(democrattrigger,C14)))&gt;0)</f>
        <v>0</v>
      </c>
      <c r="Z14" s="14" cm="1">
        <f t="array" ref="Z14">INT(SUMPRODUCT(--ISNUMBER(SEARCH(bipartisan,C14)))&gt;0)</f>
        <v>0</v>
      </c>
      <c r="AA14" s="14">
        <f t="shared" si="0"/>
        <v>0</v>
      </c>
      <c r="AB14" s="14"/>
      <c r="AC14" s="30" t="s">
        <v>223</v>
      </c>
      <c r="AD14" s="37" t="s">
        <v>223</v>
      </c>
    </row>
    <row r="15" spans="1:30" x14ac:dyDescent="0.25">
      <c r="A15" s="36">
        <v>3420</v>
      </c>
      <c r="B15" s="14" t="s">
        <v>7465</v>
      </c>
      <c r="C15" s="14" t="s">
        <v>7466</v>
      </c>
      <c r="D15" s="17">
        <v>44137</v>
      </c>
      <c r="E15" s="14" t="s">
        <v>30</v>
      </c>
      <c r="F15" s="14">
        <v>709</v>
      </c>
      <c r="G15" s="14">
        <v>185</v>
      </c>
      <c r="H15" s="14">
        <v>16</v>
      </c>
      <c r="I15" s="14">
        <v>8</v>
      </c>
      <c r="J15" s="14" t="s">
        <v>204</v>
      </c>
      <c r="K15" s="14" cm="1">
        <f t="array" ref="K15">INT(SUMPRODUCT(--ISNUMBER(SEARCH(economy,C15)))&gt;0)</f>
        <v>0</v>
      </c>
      <c r="L15" s="14" cm="1">
        <f t="array" ref="L15">INT(SUMPRODUCT(--ISNUMBER(SEARCH(healthcare,C15)))&gt;0)</f>
        <v>1</v>
      </c>
      <c r="M15" s="14" cm="1">
        <f t="array" ref="M15">INT(SUMPRODUCT(--ISNUMBER(SEARCH(supreme,C15)))&gt;0)</f>
        <v>0</v>
      </c>
      <c r="N15" s="14" cm="1">
        <f t="array" ref="N15">INT(SUMPRODUCT(--ISNUMBER(SEARCH(covid,C15)))&gt;0)</f>
        <v>0</v>
      </c>
      <c r="O15" s="14" cm="1">
        <f t="array" ref="O15">INT(SUMPRODUCT(--ISNUMBER(SEARCH(violent,C15)))&gt;0)</f>
        <v>0</v>
      </c>
      <c r="P15" s="14" cm="1">
        <f t="array" ref="P15">INT(SUMPRODUCT(--ISNUMBER(SEARCH(foreign,C15)))&gt;0)</f>
        <v>0</v>
      </c>
      <c r="Q15" s="14" cm="1">
        <f t="array" ref="Q15">INT(SUMPRODUCT(--ISNUMBER(SEARCH(gun,C15)))&gt;0)</f>
        <v>0</v>
      </c>
      <c r="R15" s="14" cm="1">
        <f t="array" ref="R15">INT(SUMPRODUCT(--ISNUMBER(SEARCH(race,C15)))&gt;0)</f>
        <v>0</v>
      </c>
      <c r="S15" s="14" cm="1">
        <f t="array" ref="S15">INT(SUMPRODUCT(--ISNUMBER(SEARCH(immigration,C15)))&gt;0)</f>
        <v>0</v>
      </c>
      <c r="T15" s="14" cm="1">
        <f t="array" ref="T15">INT(SUMPRODUCT(--ISNUMBER(SEARCH(econineq,C16)))&gt;0)</f>
        <v>0</v>
      </c>
      <c r="U15" s="14" cm="1">
        <f t="array" ref="U15">INT(SUMPRODUCT(--ISNUMBER(SEARCH(climate,C15)))&gt;0)</f>
        <v>0</v>
      </c>
      <c r="V15" s="14" cm="1">
        <f t="array" ref="V15">INT(SUMPRODUCT(--ISNUMBER(SEARCH(abortion,C15)))&gt;0)</f>
        <v>0</v>
      </c>
      <c r="W15" s="14" cm="1">
        <f t="array" ref="W15">INT(SUMPRODUCT(--ISNUMBER(SEARCH(trump,C15)))&gt;0)</f>
        <v>0</v>
      </c>
      <c r="X15" s="14" cm="1">
        <f t="array" ref="X15">INT(SUMPRODUCT(--ISNUMBER(SEARCH(voting,C15)))&gt;0)</f>
        <v>1</v>
      </c>
      <c r="Y15" s="14" cm="1">
        <f t="array" ref="Y15">INT(SUMPRODUCT(--ISNUMBER(SEARCH(democrattrigger,C15)))&gt;0)</f>
        <v>0</v>
      </c>
      <c r="Z15" s="14" cm="1">
        <f t="array" ref="Z15">INT(SUMPRODUCT(--ISNUMBER(SEARCH(bipartisan,C15)))&gt;0)</f>
        <v>0</v>
      </c>
      <c r="AA15" s="14">
        <f t="shared" si="0"/>
        <v>0</v>
      </c>
      <c r="AB15" s="14"/>
      <c r="AC15" s="30">
        <v>0</v>
      </c>
      <c r="AD15" s="37">
        <v>1</v>
      </c>
    </row>
    <row r="16" spans="1:30" x14ac:dyDescent="0.25">
      <c r="A16" s="36">
        <v>3421</v>
      </c>
      <c r="B16" s="14" t="s">
        <v>7467</v>
      </c>
      <c r="C16" s="14" t="s">
        <v>7468</v>
      </c>
      <c r="D16" s="17">
        <v>44137</v>
      </c>
      <c r="E16" s="14" t="s">
        <v>30</v>
      </c>
      <c r="F16" s="14">
        <v>653</v>
      </c>
      <c r="G16" s="14">
        <v>194</v>
      </c>
      <c r="H16" s="14">
        <v>16</v>
      </c>
      <c r="I16" s="14">
        <v>8</v>
      </c>
      <c r="J16" s="14" t="s">
        <v>204</v>
      </c>
      <c r="K16" s="14" cm="1">
        <f t="array" ref="K16">INT(SUMPRODUCT(--ISNUMBER(SEARCH(economy,C16)))&gt;0)</f>
        <v>0</v>
      </c>
      <c r="L16" s="14" cm="1">
        <f t="array" ref="L16">INT(SUMPRODUCT(--ISNUMBER(SEARCH(healthcare,C16)))&gt;0)</f>
        <v>0</v>
      </c>
      <c r="M16" s="14" cm="1">
        <f t="array" ref="M16">INT(SUMPRODUCT(--ISNUMBER(SEARCH(supreme,C16)))&gt;0)</f>
        <v>0</v>
      </c>
      <c r="N16" s="14" cm="1">
        <f t="array" ref="N16">INT(SUMPRODUCT(--ISNUMBER(SEARCH(covid,C16)))&gt;0)</f>
        <v>0</v>
      </c>
      <c r="O16" s="14" cm="1">
        <f t="array" ref="O16">INT(SUMPRODUCT(--ISNUMBER(SEARCH(violent,C16)))&gt;0)</f>
        <v>0</v>
      </c>
      <c r="P16" s="14" cm="1">
        <f t="array" ref="P16">INT(SUMPRODUCT(--ISNUMBER(SEARCH(foreign,C16)))&gt;0)</f>
        <v>0</v>
      </c>
      <c r="Q16" s="14" cm="1">
        <f t="array" ref="Q16">INT(SUMPRODUCT(--ISNUMBER(SEARCH(gun,C16)))&gt;0)</f>
        <v>0</v>
      </c>
      <c r="R16" s="14" cm="1">
        <f t="array" ref="R16">INT(SUMPRODUCT(--ISNUMBER(SEARCH(race,C16)))&gt;0)</f>
        <v>0</v>
      </c>
      <c r="S16" s="14" cm="1">
        <f t="array" ref="S16">INT(SUMPRODUCT(--ISNUMBER(SEARCH(immigration,C16)))&gt;0)</f>
        <v>0</v>
      </c>
      <c r="T16" s="14" cm="1">
        <f t="array" ref="T16">INT(SUMPRODUCT(--ISNUMBER(SEARCH(econineq,C17)))&gt;0)</f>
        <v>0</v>
      </c>
      <c r="U16" s="14" cm="1">
        <f t="array" ref="U16">INT(SUMPRODUCT(--ISNUMBER(SEARCH(climate,C16)))&gt;0)</f>
        <v>0</v>
      </c>
      <c r="V16" s="14" cm="1">
        <f t="array" ref="V16">INT(SUMPRODUCT(--ISNUMBER(SEARCH(abortion,C16)))&gt;0)</f>
        <v>0</v>
      </c>
      <c r="W16" s="14" cm="1">
        <f t="array" ref="W16">INT(SUMPRODUCT(--ISNUMBER(SEARCH(trump,C16)))&gt;0)</f>
        <v>0</v>
      </c>
      <c r="X16" s="14" cm="1">
        <f t="array" ref="X16">INT(SUMPRODUCT(--ISNUMBER(SEARCH(voting,C16)))&gt;0)</f>
        <v>1</v>
      </c>
      <c r="Y16" s="14" cm="1">
        <f t="array" ref="Y16">INT(SUMPRODUCT(--ISNUMBER(SEARCH(democrattrigger,C16)))&gt;0)</f>
        <v>0</v>
      </c>
      <c r="Z16" s="14" cm="1">
        <f t="array" ref="Z16">INT(SUMPRODUCT(--ISNUMBER(SEARCH(bipartisan,C16)))&gt;0)</f>
        <v>0</v>
      </c>
      <c r="AA16" s="14">
        <f t="shared" si="0"/>
        <v>0</v>
      </c>
      <c r="AB16" s="14"/>
      <c r="AC16" s="30" t="s">
        <v>223</v>
      </c>
      <c r="AD16" s="37" t="s">
        <v>223</v>
      </c>
    </row>
    <row r="17" spans="1:30" x14ac:dyDescent="0.25">
      <c r="A17" s="36">
        <v>3422</v>
      </c>
      <c r="B17" s="14" t="s">
        <v>7469</v>
      </c>
      <c r="C17" s="14" t="s">
        <v>7470</v>
      </c>
      <c r="D17" s="17">
        <v>44136</v>
      </c>
      <c r="E17" s="14" t="s">
        <v>30</v>
      </c>
      <c r="F17" s="14">
        <v>467</v>
      </c>
      <c r="G17" s="14">
        <v>104</v>
      </c>
      <c r="H17" s="14">
        <v>16</v>
      </c>
      <c r="I17" s="14">
        <v>8</v>
      </c>
      <c r="J17" s="14" t="s">
        <v>204</v>
      </c>
      <c r="K17" s="14" cm="1">
        <f t="array" ref="K17">INT(SUMPRODUCT(--ISNUMBER(SEARCH(economy,C17)))&gt;0)</f>
        <v>1</v>
      </c>
      <c r="L17" s="14" cm="1">
        <f t="array" ref="L17">INT(SUMPRODUCT(--ISNUMBER(SEARCH(healthcare,C17)))&gt;0)</f>
        <v>0</v>
      </c>
      <c r="M17" s="14" cm="1">
        <f t="array" ref="M17">INT(SUMPRODUCT(--ISNUMBER(SEARCH(supreme,C17)))&gt;0)</f>
        <v>0</v>
      </c>
      <c r="N17" s="14" cm="1">
        <f t="array" ref="N17">INT(SUMPRODUCT(--ISNUMBER(SEARCH(covid,C17)))&gt;0)</f>
        <v>0</v>
      </c>
      <c r="O17" s="14" cm="1">
        <f t="array" ref="O17">INT(SUMPRODUCT(--ISNUMBER(SEARCH(violent,C17)))&gt;0)</f>
        <v>0</v>
      </c>
      <c r="P17" s="14" cm="1">
        <f t="array" ref="P17">INT(SUMPRODUCT(--ISNUMBER(SEARCH(foreign,C17)))&gt;0)</f>
        <v>0</v>
      </c>
      <c r="Q17" s="14" cm="1">
        <f t="array" ref="Q17">INT(SUMPRODUCT(--ISNUMBER(SEARCH(gun,C17)))&gt;0)</f>
        <v>0</v>
      </c>
      <c r="R17" s="14" cm="1">
        <f t="array" ref="R17">INT(SUMPRODUCT(--ISNUMBER(SEARCH(race,C17)))&gt;0)</f>
        <v>1</v>
      </c>
      <c r="S17" s="14" cm="1">
        <f t="array" ref="S17">INT(SUMPRODUCT(--ISNUMBER(SEARCH(immigration,C17)))&gt;0)</f>
        <v>0</v>
      </c>
      <c r="T17" s="14" cm="1">
        <f t="array" ref="T17">INT(SUMPRODUCT(--ISNUMBER(SEARCH(econineq,C18)))&gt;0)</f>
        <v>0</v>
      </c>
      <c r="U17" s="14" cm="1">
        <f t="array" ref="U17">INT(SUMPRODUCT(--ISNUMBER(SEARCH(climate,C17)))&gt;0)</f>
        <v>0</v>
      </c>
      <c r="V17" s="14" cm="1">
        <f t="array" ref="V17">INT(SUMPRODUCT(--ISNUMBER(SEARCH(abortion,C17)))&gt;0)</f>
        <v>0</v>
      </c>
      <c r="W17" s="14" cm="1">
        <f t="array" ref="W17">INT(SUMPRODUCT(--ISNUMBER(SEARCH(trump,C17)))&gt;0)</f>
        <v>0</v>
      </c>
      <c r="X17" s="14" cm="1">
        <f t="array" ref="X17">INT(SUMPRODUCT(--ISNUMBER(SEARCH(voting,C17)))&gt;0)</f>
        <v>1</v>
      </c>
      <c r="Y17" s="14" cm="1">
        <f t="array" ref="Y17">INT(SUMPRODUCT(--ISNUMBER(SEARCH(democrattrigger,C17)))&gt;0)</f>
        <v>0</v>
      </c>
      <c r="Z17" s="14" cm="1">
        <f t="array" ref="Z17">INT(SUMPRODUCT(--ISNUMBER(SEARCH(bipartisan,C17)))&gt;0)</f>
        <v>0</v>
      </c>
      <c r="AA17" s="14">
        <f t="shared" si="0"/>
        <v>0</v>
      </c>
      <c r="AB17" s="14"/>
      <c r="AC17" s="30">
        <v>1</v>
      </c>
      <c r="AD17" s="37">
        <v>0</v>
      </c>
    </row>
    <row r="18" spans="1:30" x14ac:dyDescent="0.25">
      <c r="A18" s="36">
        <v>3423</v>
      </c>
      <c r="B18" s="14" t="s">
        <v>7471</v>
      </c>
      <c r="C18" s="14" t="s">
        <v>7472</v>
      </c>
      <c r="D18" s="17">
        <v>44136</v>
      </c>
      <c r="E18" s="14" t="s">
        <v>30</v>
      </c>
      <c r="F18" s="14">
        <v>440</v>
      </c>
      <c r="G18" s="14">
        <v>113</v>
      </c>
      <c r="H18" s="14">
        <v>16</v>
      </c>
      <c r="I18" s="14">
        <v>8</v>
      </c>
      <c r="J18" s="14" t="s">
        <v>204</v>
      </c>
      <c r="K18" s="14" cm="1">
        <f t="array" ref="K18">INT(SUMPRODUCT(--ISNUMBER(SEARCH(economy,C18)))&gt;0)</f>
        <v>1</v>
      </c>
      <c r="L18" s="14" cm="1">
        <f t="array" ref="L18">INT(SUMPRODUCT(--ISNUMBER(SEARCH(healthcare,C18)))&gt;0)</f>
        <v>0</v>
      </c>
      <c r="M18" s="14" cm="1">
        <f t="array" ref="M18">INT(SUMPRODUCT(--ISNUMBER(SEARCH(supreme,C18)))&gt;0)</f>
        <v>0</v>
      </c>
      <c r="N18" s="14" cm="1">
        <f t="array" ref="N18">INT(SUMPRODUCT(--ISNUMBER(SEARCH(covid,C18)))&gt;0)</f>
        <v>1</v>
      </c>
      <c r="O18" s="14" cm="1">
        <f t="array" ref="O18">INT(SUMPRODUCT(--ISNUMBER(SEARCH(violent,C18)))&gt;0)</f>
        <v>0</v>
      </c>
      <c r="P18" s="14" cm="1">
        <f t="array" ref="P18">INT(SUMPRODUCT(--ISNUMBER(SEARCH(foreign,C18)))&gt;0)</f>
        <v>0</v>
      </c>
      <c r="Q18" s="14" cm="1">
        <f t="array" ref="Q18">INT(SUMPRODUCT(--ISNUMBER(SEARCH(gun,C18)))&gt;0)</f>
        <v>0</v>
      </c>
      <c r="R18" s="14" cm="1">
        <f t="array" ref="R18">INT(SUMPRODUCT(--ISNUMBER(SEARCH(race,C18)))&gt;0)</f>
        <v>0</v>
      </c>
      <c r="S18" s="14" cm="1">
        <f t="array" ref="S18">INT(SUMPRODUCT(--ISNUMBER(SEARCH(immigration,C18)))&gt;0)</f>
        <v>0</v>
      </c>
      <c r="T18" s="14" cm="1">
        <f t="array" ref="T18">INT(SUMPRODUCT(--ISNUMBER(SEARCH(econineq,C19)))&gt;0)</f>
        <v>0</v>
      </c>
      <c r="U18" s="14" cm="1">
        <f t="array" ref="U18">INT(SUMPRODUCT(--ISNUMBER(SEARCH(climate,C18)))&gt;0)</f>
        <v>0</v>
      </c>
      <c r="V18" s="14" cm="1">
        <f t="array" ref="V18">INT(SUMPRODUCT(--ISNUMBER(SEARCH(abortion,C18)))&gt;0)</f>
        <v>0</v>
      </c>
      <c r="W18" s="14" cm="1">
        <f t="array" ref="W18">INT(SUMPRODUCT(--ISNUMBER(SEARCH(trump,C18)))&gt;0)</f>
        <v>0</v>
      </c>
      <c r="X18" s="14" cm="1">
        <f t="array" ref="X18">INT(SUMPRODUCT(--ISNUMBER(SEARCH(voting,C18)))&gt;0)</f>
        <v>0</v>
      </c>
      <c r="Y18" s="14" cm="1">
        <f t="array" ref="Y18">INT(SUMPRODUCT(--ISNUMBER(SEARCH(democrattrigger,C18)))&gt;0)</f>
        <v>0</v>
      </c>
      <c r="Z18" s="14" cm="1">
        <f t="array" ref="Z18">INT(SUMPRODUCT(--ISNUMBER(SEARCH(bipartisan,C18)))&gt;0)</f>
        <v>0</v>
      </c>
      <c r="AA18" s="14">
        <f t="shared" si="0"/>
        <v>0</v>
      </c>
      <c r="AB18" s="14"/>
      <c r="AC18" s="30">
        <v>1</v>
      </c>
      <c r="AD18" s="37">
        <v>0</v>
      </c>
    </row>
    <row r="19" spans="1:30" x14ac:dyDescent="0.25">
      <c r="A19" s="36">
        <v>3424</v>
      </c>
      <c r="B19" s="14" t="s">
        <v>7473</v>
      </c>
      <c r="C19" s="14" t="s">
        <v>7474</v>
      </c>
      <c r="D19" s="17">
        <v>44136</v>
      </c>
      <c r="E19" s="14" t="s">
        <v>30</v>
      </c>
      <c r="F19" s="14">
        <v>432</v>
      </c>
      <c r="G19" s="14">
        <v>104</v>
      </c>
      <c r="H19" s="14">
        <v>16</v>
      </c>
      <c r="I19" s="14">
        <v>8</v>
      </c>
      <c r="J19" s="14" t="s">
        <v>204</v>
      </c>
      <c r="K19" s="14" cm="1">
        <f t="array" ref="K19">INT(SUMPRODUCT(--ISNUMBER(SEARCH(economy,C19)))&gt;0)</f>
        <v>0</v>
      </c>
      <c r="L19" s="14" cm="1">
        <f t="array" ref="L19">INT(SUMPRODUCT(--ISNUMBER(SEARCH(healthcare,C19)))&gt;0)</f>
        <v>0</v>
      </c>
      <c r="M19" s="14" cm="1">
        <f t="array" ref="M19">INT(SUMPRODUCT(--ISNUMBER(SEARCH(supreme,C19)))&gt;0)</f>
        <v>0</v>
      </c>
      <c r="N19" s="14" cm="1">
        <f t="array" ref="N19">INT(SUMPRODUCT(--ISNUMBER(SEARCH(covid,C19)))&gt;0)</f>
        <v>0</v>
      </c>
      <c r="O19" s="14" cm="1">
        <f t="array" ref="O19">INT(SUMPRODUCT(--ISNUMBER(SEARCH(violent,C19)))&gt;0)</f>
        <v>0</v>
      </c>
      <c r="P19" s="14" cm="1">
        <f t="array" ref="P19">INT(SUMPRODUCT(--ISNUMBER(SEARCH(foreign,C19)))&gt;0)</f>
        <v>0</v>
      </c>
      <c r="Q19" s="14" cm="1">
        <f t="array" ref="Q19">INT(SUMPRODUCT(--ISNUMBER(SEARCH(gun,C19)))&gt;0)</f>
        <v>0</v>
      </c>
      <c r="R19" s="14" cm="1">
        <f t="array" ref="R19">INT(SUMPRODUCT(--ISNUMBER(SEARCH(race,C19)))&gt;0)</f>
        <v>0</v>
      </c>
      <c r="S19" s="14" cm="1">
        <f t="array" ref="S19">INT(SUMPRODUCT(--ISNUMBER(SEARCH(immigration,C19)))&gt;0)</f>
        <v>0</v>
      </c>
      <c r="T19" s="14" cm="1">
        <f t="array" ref="T19">INT(SUMPRODUCT(--ISNUMBER(SEARCH(econineq,C20)))&gt;0)</f>
        <v>0</v>
      </c>
      <c r="U19" s="14" cm="1">
        <f t="array" ref="U19">INT(SUMPRODUCT(--ISNUMBER(SEARCH(climate,C19)))&gt;0)</f>
        <v>0</v>
      </c>
      <c r="V19" s="14" cm="1">
        <f t="array" ref="V19">INT(SUMPRODUCT(--ISNUMBER(SEARCH(abortion,C19)))&gt;0)</f>
        <v>0</v>
      </c>
      <c r="W19" s="14" cm="1">
        <f t="array" ref="W19">INT(SUMPRODUCT(--ISNUMBER(SEARCH(trump,C19)))&gt;0)</f>
        <v>0</v>
      </c>
      <c r="X19" s="14" cm="1">
        <f t="array" ref="X19">INT(SUMPRODUCT(--ISNUMBER(SEARCH(voting,C19)))&gt;0)</f>
        <v>1</v>
      </c>
      <c r="Y19" s="14" cm="1">
        <f t="array" ref="Y19">INT(SUMPRODUCT(--ISNUMBER(SEARCH(democrattrigger,C19)))&gt;0)</f>
        <v>0</v>
      </c>
      <c r="Z19" s="14" cm="1">
        <f t="array" ref="Z19">INT(SUMPRODUCT(--ISNUMBER(SEARCH(bipartisan,C19)))&gt;0)</f>
        <v>0</v>
      </c>
      <c r="AA19" s="14">
        <f t="shared" si="0"/>
        <v>0</v>
      </c>
      <c r="AB19" s="14"/>
      <c r="AC19" s="30">
        <v>1</v>
      </c>
      <c r="AD19" s="37">
        <v>0</v>
      </c>
    </row>
    <row r="20" spans="1:30" x14ac:dyDescent="0.25">
      <c r="A20" s="36">
        <v>3425</v>
      </c>
      <c r="B20" s="14" t="s">
        <v>7475</v>
      </c>
      <c r="C20" s="14" t="s">
        <v>7476</v>
      </c>
      <c r="D20" s="17">
        <v>44136</v>
      </c>
      <c r="E20" s="14" t="s">
        <v>30</v>
      </c>
      <c r="F20" s="14">
        <v>507</v>
      </c>
      <c r="G20" s="14">
        <v>133</v>
      </c>
      <c r="H20" s="14">
        <v>16</v>
      </c>
      <c r="I20" s="14">
        <v>8</v>
      </c>
      <c r="J20" s="14" t="s">
        <v>204</v>
      </c>
      <c r="K20" s="14" cm="1">
        <f t="array" ref="K20">INT(SUMPRODUCT(--ISNUMBER(SEARCH(economy,C20)))&gt;0)</f>
        <v>0</v>
      </c>
      <c r="L20" s="14" cm="1">
        <f t="array" ref="L20">INT(SUMPRODUCT(--ISNUMBER(SEARCH(healthcare,C20)))&gt;0)</f>
        <v>0</v>
      </c>
      <c r="M20" s="14" cm="1">
        <f t="array" ref="M20">INT(SUMPRODUCT(--ISNUMBER(SEARCH(supreme,C20)))&gt;0)</f>
        <v>0</v>
      </c>
      <c r="N20" s="14" cm="1">
        <f t="array" ref="N20">INT(SUMPRODUCT(--ISNUMBER(SEARCH(covid,C20)))&gt;0)</f>
        <v>0</v>
      </c>
      <c r="O20" s="14" cm="1">
        <f t="array" ref="O20">INT(SUMPRODUCT(--ISNUMBER(SEARCH(violent,C20)))&gt;0)</f>
        <v>0</v>
      </c>
      <c r="P20" s="14" cm="1">
        <f t="array" ref="P20">INT(SUMPRODUCT(--ISNUMBER(SEARCH(foreign,C20)))&gt;0)</f>
        <v>0</v>
      </c>
      <c r="Q20" s="14" cm="1">
        <f t="array" ref="Q20">INT(SUMPRODUCT(--ISNUMBER(SEARCH(gun,C20)))&gt;0)</f>
        <v>0</v>
      </c>
      <c r="R20" s="14" cm="1">
        <f t="array" ref="R20">INT(SUMPRODUCT(--ISNUMBER(SEARCH(race,C20)))&gt;0)</f>
        <v>0</v>
      </c>
      <c r="S20" s="14" cm="1">
        <f t="array" ref="S20">INT(SUMPRODUCT(--ISNUMBER(SEARCH(immigration,C20)))&gt;0)</f>
        <v>0</v>
      </c>
      <c r="T20" s="14" cm="1">
        <f t="array" ref="T20">INT(SUMPRODUCT(--ISNUMBER(SEARCH(econineq,C21)))&gt;0)</f>
        <v>0</v>
      </c>
      <c r="U20" s="14" cm="1">
        <f t="array" ref="U20">INT(SUMPRODUCT(--ISNUMBER(SEARCH(climate,C20)))&gt;0)</f>
        <v>0</v>
      </c>
      <c r="V20" s="14" cm="1">
        <f t="array" ref="V20">INT(SUMPRODUCT(--ISNUMBER(SEARCH(abortion,C20)))&gt;0)</f>
        <v>0</v>
      </c>
      <c r="W20" s="14" cm="1">
        <f t="array" ref="W20">INT(SUMPRODUCT(--ISNUMBER(SEARCH(trump,C20)))&gt;0)</f>
        <v>0</v>
      </c>
      <c r="X20" s="14" cm="1">
        <f t="array" ref="X20">INT(SUMPRODUCT(--ISNUMBER(SEARCH(voting,C20)))&gt;0)</f>
        <v>1</v>
      </c>
      <c r="Y20" s="14" cm="1">
        <f t="array" ref="Y20">INT(SUMPRODUCT(--ISNUMBER(SEARCH(democrattrigger,C20)))&gt;0)</f>
        <v>0</v>
      </c>
      <c r="Z20" s="14" cm="1">
        <f t="array" ref="Z20">INT(SUMPRODUCT(--ISNUMBER(SEARCH(bipartisan,C20)))&gt;0)</f>
        <v>0</v>
      </c>
      <c r="AA20" s="14">
        <f t="shared" si="0"/>
        <v>0</v>
      </c>
      <c r="AB20" s="14"/>
      <c r="AC20" s="30">
        <v>1</v>
      </c>
      <c r="AD20" s="37">
        <v>0</v>
      </c>
    </row>
    <row r="21" spans="1:30" x14ac:dyDescent="0.25">
      <c r="A21" s="36">
        <v>3426</v>
      </c>
      <c r="B21" s="14" t="s">
        <v>7477</v>
      </c>
      <c r="C21" s="14" t="s">
        <v>7478</v>
      </c>
      <c r="D21" s="17">
        <v>44136</v>
      </c>
      <c r="E21" s="14" t="s">
        <v>30</v>
      </c>
      <c r="F21" s="14">
        <v>691</v>
      </c>
      <c r="G21" s="14">
        <v>211</v>
      </c>
      <c r="H21" s="14">
        <v>16</v>
      </c>
      <c r="I21" s="14">
        <v>8</v>
      </c>
      <c r="J21" s="14" t="s">
        <v>204</v>
      </c>
      <c r="K21" s="14" cm="1">
        <f t="array" ref="K21">INT(SUMPRODUCT(--ISNUMBER(SEARCH(economy,C21)))&gt;0)</f>
        <v>0</v>
      </c>
      <c r="L21" s="14" cm="1">
        <f t="array" ref="L21">INT(SUMPRODUCT(--ISNUMBER(SEARCH(healthcare,C21)))&gt;0)</f>
        <v>1</v>
      </c>
      <c r="M21" s="14" cm="1">
        <f t="array" ref="M21">INT(SUMPRODUCT(--ISNUMBER(SEARCH(supreme,C21)))&gt;0)</f>
        <v>0</v>
      </c>
      <c r="N21" s="14" cm="1">
        <f t="array" ref="N21">INT(SUMPRODUCT(--ISNUMBER(SEARCH(covid,C21)))&gt;0)</f>
        <v>0</v>
      </c>
      <c r="O21" s="14" cm="1">
        <f t="array" ref="O21">INT(SUMPRODUCT(--ISNUMBER(SEARCH(violent,C21)))&gt;0)</f>
        <v>0</v>
      </c>
      <c r="P21" s="14" cm="1">
        <f t="array" ref="P21">INT(SUMPRODUCT(--ISNUMBER(SEARCH(foreign,C21)))&gt;0)</f>
        <v>0</v>
      </c>
      <c r="Q21" s="14" cm="1">
        <f t="array" ref="Q21">INT(SUMPRODUCT(--ISNUMBER(SEARCH(gun,C21)))&gt;0)</f>
        <v>0</v>
      </c>
      <c r="R21" s="14" cm="1">
        <f t="array" ref="R21">INT(SUMPRODUCT(--ISNUMBER(SEARCH(race,C21)))&gt;0)</f>
        <v>0</v>
      </c>
      <c r="S21" s="14" cm="1">
        <f t="array" ref="S21">INT(SUMPRODUCT(--ISNUMBER(SEARCH(immigration,C21)))&gt;0)</f>
        <v>0</v>
      </c>
      <c r="T21" s="14" cm="1">
        <f t="array" ref="T21">INT(SUMPRODUCT(--ISNUMBER(SEARCH(econineq,C22)))&gt;0)</f>
        <v>0</v>
      </c>
      <c r="U21" s="14" cm="1">
        <f t="array" ref="U21">INT(SUMPRODUCT(--ISNUMBER(SEARCH(climate,C21)))&gt;0)</f>
        <v>0</v>
      </c>
      <c r="V21" s="14" cm="1">
        <f t="array" ref="V21">INT(SUMPRODUCT(--ISNUMBER(SEARCH(abortion,C21)))&gt;0)</f>
        <v>0</v>
      </c>
      <c r="W21" s="14" cm="1">
        <f t="array" ref="W21">INT(SUMPRODUCT(--ISNUMBER(SEARCH(trump,C21)))&gt;0)</f>
        <v>0</v>
      </c>
      <c r="X21" s="14" cm="1">
        <f t="array" ref="X21">INT(SUMPRODUCT(--ISNUMBER(SEARCH(voting,C21)))&gt;0)</f>
        <v>0</v>
      </c>
      <c r="Y21" s="14" cm="1">
        <f t="array" ref="Y21">INT(SUMPRODUCT(--ISNUMBER(SEARCH(democrattrigger,C21)))&gt;0)</f>
        <v>0</v>
      </c>
      <c r="Z21" s="14" cm="1">
        <f t="array" ref="Z21">INT(SUMPRODUCT(--ISNUMBER(SEARCH(bipartisan,C21)))&gt;0)</f>
        <v>0</v>
      </c>
      <c r="AA21" s="14">
        <f t="shared" si="0"/>
        <v>0</v>
      </c>
      <c r="AB21" s="14"/>
      <c r="AC21" s="30" t="s">
        <v>223</v>
      </c>
      <c r="AD21" s="37" t="s">
        <v>223</v>
      </c>
    </row>
    <row r="22" spans="1:30" x14ac:dyDescent="0.25">
      <c r="A22" s="36">
        <v>3427</v>
      </c>
      <c r="B22" s="14" t="s">
        <v>7479</v>
      </c>
      <c r="C22" s="14" t="s">
        <v>7480</v>
      </c>
      <c r="D22" s="17">
        <v>44136</v>
      </c>
      <c r="E22" s="14" t="s">
        <v>30</v>
      </c>
      <c r="F22" s="14">
        <v>607</v>
      </c>
      <c r="G22" s="14">
        <v>118</v>
      </c>
      <c r="H22" s="14">
        <v>16</v>
      </c>
      <c r="I22" s="14">
        <v>8</v>
      </c>
      <c r="J22" s="14" t="s">
        <v>204</v>
      </c>
      <c r="K22" s="14" cm="1">
        <f t="array" ref="K22">INT(SUMPRODUCT(--ISNUMBER(SEARCH(economy,C22)))&gt;0)</f>
        <v>0</v>
      </c>
      <c r="L22" s="14" cm="1">
        <f t="array" ref="L22">INT(SUMPRODUCT(--ISNUMBER(SEARCH(healthcare,C22)))&gt;0)</f>
        <v>0</v>
      </c>
      <c r="M22" s="14" cm="1">
        <f t="array" ref="M22">INT(SUMPRODUCT(--ISNUMBER(SEARCH(supreme,C22)))&gt;0)</f>
        <v>0</v>
      </c>
      <c r="N22" s="14" cm="1">
        <f t="array" ref="N22">INT(SUMPRODUCT(--ISNUMBER(SEARCH(covid,C22)))&gt;0)</f>
        <v>0</v>
      </c>
      <c r="O22" s="14" cm="1">
        <f t="array" ref="O22">INT(SUMPRODUCT(--ISNUMBER(SEARCH(violent,C22)))&gt;0)</f>
        <v>0</v>
      </c>
      <c r="P22" s="14" cm="1">
        <f t="array" ref="P22">INT(SUMPRODUCT(--ISNUMBER(SEARCH(foreign,C22)))&gt;0)</f>
        <v>0</v>
      </c>
      <c r="Q22" s="14" cm="1">
        <f t="array" ref="Q22">INT(SUMPRODUCT(--ISNUMBER(SEARCH(gun,C22)))&gt;0)</f>
        <v>0</v>
      </c>
      <c r="R22" s="14" cm="1">
        <f t="array" ref="R22">INT(SUMPRODUCT(--ISNUMBER(SEARCH(race,C22)))&gt;0)</f>
        <v>0</v>
      </c>
      <c r="S22" s="14" cm="1">
        <f t="array" ref="S22">INT(SUMPRODUCT(--ISNUMBER(SEARCH(immigration,C22)))&gt;0)</f>
        <v>0</v>
      </c>
      <c r="T22" s="14" cm="1">
        <f t="array" ref="T22">INT(SUMPRODUCT(--ISNUMBER(SEARCH(econineq,C23)))&gt;0)</f>
        <v>0</v>
      </c>
      <c r="U22" s="14" cm="1">
        <f t="array" ref="U22">INT(SUMPRODUCT(--ISNUMBER(SEARCH(climate,C22)))&gt;0)</f>
        <v>0</v>
      </c>
      <c r="V22" s="14" cm="1">
        <f t="array" ref="V22">INT(SUMPRODUCT(--ISNUMBER(SEARCH(abortion,C22)))&gt;0)</f>
        <v>0</v>
      </c>
      <c r="W22" s="14" cm="1">
        <f t="array" ref="W22">INT(SUMPRODUCT(--ISNUMBER(SEARCH(trump,C22)))&gt;0)</f>
        <v>0</v>
      </c>
      <c r="X22" s="14" cm="1">
        <f t="array" ref="X22">INT(SUMPRODUCT(--ISNUMBER(SEARCH(voting,C22)))&gt;0)</f>
        <v>1</v>
      </c>
      <c r="Y22" s="14" cm="1">
        <f t="array" ref="Y22">INT(SUMPRODUCT(--ISNUMBER(SEARCH(democrattrigger,C22)))&gt;0)</f>
        <v>0</v>
      </c>
      <c r="Z22" s="14" cm="1">
        <f t="array" ref="Z22">INT(SUMPRODUCT(--ISNUMBER(SEARCH(bipartisan,C22)))&gt;0)</f>
        <v>0</v>
      </c>
      <c r="AA22" s="14">
        <f t="shared" si="0"/>
        <v>0</v>
      </c>
      <c r="AB22" s="14"/>
      <c r="AC22" s="30">
        <v>1</v>
      </c>
      <c r="AD22" s="37">
        <v>0</v>
      </c>
    </row>
    <row r="23" spans="1:30" x14ac:dyDescent="0.25">
      <c r="A23" s="36">
        <v>3428</v>
      </c>
      <c r="B23" s="14" t="s">
        <v>7481</v>
      </c>
      <c r="C23" s="14" t="s">
        <v>7482</v>
      </c>
      <c r="D23" s="17">
        <v>44135</v>
      </c>
      <c r="E23" s="14" t="s">
        <v>30</v>
      </c>
      <c r="F23" s="14">
        <v>470</v>
      </c>
      <c r="G23" s="14">
        <v>104</v>
      </c>
      <c r="H23" s="14">
        <v>16</v>
      </c>
      <c r="I23" s="14">
        <v>8</v>
      </c>
      <c r="J23" s="14" t="s">
        <v>204</v>
      </c>
      <c r="K23" s="14" cm="1">
        <f t="array" ref="K23">INT(SUMPRODUCT(--ISNUMBER(SEARCH(economy,C23)))&gt;0)</f>
        <v>0</v>
      </c>
      <c r="L23" s="14" cm="1">
        <f t="array" ref="L23">INT(SUMPRODUCT(--ISNUMBER(SEARCH(healthcare,C23)))&gt;0)</f>
        <v>0</v>
      </c>
      <c r="M23" s="14" cm="1">
        <f t="array" ref="M23">INT(SUMPRODUCT(--ISNUMBER(SEARCH(supreme,C23)))&gt;0)</f>
        <v>0</v>
      </c>
      <c r="N23" s="14" cm="1">
        <f t="array" ref="N23">INT(SUMPRODUCT(--ISNUMBER(SEARCH(covid,C23)))&gt;0)</f>
        <v>0</v>
      </c>
      <c r="O23" s="14" cm="1">
        <f t="array" ref="O23">INT(SUMPRODUCT(--ISNUMBER(SEARCH(violent,C23)))&gt;0)</f>
        <v>0</v>
      </c>
      <c r="P23" s="14" cm="1">
        <f t="array" ref="P23">INT(SUMPRODUCT(--ISNUMBER(SEARCH(foreign,C23)))&gt;0)</f>
        <v>0</v>
      </c>
      <c r="Q23" s="14" cm="1">
        <f t="array" ref="Q23">INT(SUMPRODUCT(--ISNUMBER(SEARCH(gun,C23)))&gt;0)</f>
        <v>0</v>
      </c>
      <c r="R23" s="14" cm="1">
        <f t="array" ref="R23">INT(SUMPRODUCT(--ISNUMBER(SEARCH(race,C23)))&gt;0)</f>
        <v>0</v>
      </c>
      <c r="S23" s="14" cm="1">
        <f t="array" ref="S23">INT(SUMPRODUCT(--ISNUMBER(SEARCH(immigration,C23)))&gt;0)</f>
        <v>0</v>
      </c>
      <c r="T23" s="14" cm="1">
        <f t="array" ref="T23">INT(SUMPRODUCT(--ISNUMBER(SEARCH(econineq,C24)))&gt;0)</f>
        <v>0</v>
      </c>
      <c r="U23" s="14" cm="1">
        <f t="array" ref="U23">INT(SUMPRODUCT(--ISNUMBER(SEARCH(climate,C23)))&gt;0)</f>
        <v>0</v>
      </c>
      <c r="V23" s="14" cm="1">
        <f t="array" ref="V23">INT(SUMPRODUCT(--ISNUMBER(SEARCH(abortion,C23)))&gt;0)</f>
        <v>0</v>
      </c>
      <c r="W23" s="14" cm="1">
        <f t="array" ref="W23">INT(SUMPRODUCT(--ISNUMBER(SEARCH(trump,C23)))&gt;0)</f>
        <v>0</v>
      </c>
      <c r="X23" s="14" cm="1">
        <f t="array" ref="X23">INT(SUMPRODUCT(--ISNUMBER(SEARCH(voting,C23)))&gt;0)</f>
        <v>1</v>
      </c>
      <c r="Y23" s="14" cm="1">
        <f t="array" ref="Y23">INT(SUMPRODUCT(--ISNUMBER(SEARCH(democrattrigger,C23)))&gt;0)</f>
        <v>0</v>
      </c>
      <c r="Z23" s="14" cm="1">
        <f t="array" ref="Z23">INT(SUMPRODUCT(--ISNUMBER(SEARCH(bipartisan,C23)))&gt;0)</f>
        <v>0</v>
      </c>
      <c r="AA23" s="14">
        <f t="shared" si="0"/>
        <v>0</v>
      </c>
      <c r="AB23" s="14"/>
      <c r="AC23" s="30">
        <v>1</v>
      </c>
      <c r="AD23" s="37">
        <v>0</v>
      </c>
    </row>
    <row r="24" spans="1:30" x14ac:dyDescent="0.25">
      <c r="A24" s="36">
        <v>3429</v>
      </c>
      <c r="B24" s="14" t="s">
        <v>7483</v>
      </c>
      <c r="C24" s="14" t="s">
        <v>7484</v>
      </c>
      <c r="D24" s="17">
        <v>44135</v>
      </c>
      <c r="E24" s="14" t="s">
        <v>30</v>
      </c>
      <c r="F24" s="14">
        <v>864</v>
      </c>
      <c r="G24" s="14">
        <v>219</v>
      </c>
      <c r="H24" s="14">
        <v>16</v>
      </c>
      <c r="I24" s="14">
        <v>8</v>
      </c>
      <c r="J24" s="14" t="s">
        <v>204</v>
      </c>
      <c r="K24" s="14" cm="1">
        <f t="array" ref="K24">INT(SUMPRODUCT(--ISNUMBER(SEARCH(economy,C24)))&gt;0)</f>
        <v>1</v>
      </c>
      <c r="L24" s="14" cm="1">
        <f t="array" ref="L24">INT(SUMPRODUCT(--ISNUMBER(SEARCH(healthcare,C24)))&gt;0)</f>
        <v>1</v>
      </c>
      <c r="M24" s="14" cm="1">
        <f t="array" ref="M24">INT(SUMPRODUCT(--ISNUMBER(SEARCH(supreme,C24)))&gt;0)</f>
        <v>0</v>
      </c>
      <c r="N24" s="14" cm="1">
        <f t="array" ref="N24">INT(SUMPRODUCT(--ISNUMBER(SEARCH(covid,C24)))&gt;0)</f>
        <v>0</v>
      </c>
      <c r="O24" s="14" cm="1">
        <f t="array" ref="O24">INT(SUMPRODUCT(--ISNUMBER(SEARCH(violent,C24)))&gt;0)</f>
        <v>0</v>
      </c>
      <c r="P24" s="14" cm="1">
        <f t="array" ref="P24">INT(SUMPRODUCT(--ISNUMBER(SEARCH(foreign,C24)))&gt;0)</f>
        <v>0</v>
      </c>
      <c r="Q24" s="14" cm="1">
        <f t="array" ref="Q24">INT(SUMPRODUCT(--ISNUMBER(SEARCH(gun,C24)))&gt;0)</f>
        <v>0</v>
      </c>
      <c r="R24" s="14" cm="1">
        <f t="array" ref="R24">INT(SUMPRODUCT(--ISNUMBER(SEARCH(race,C24)))&gt;0)</f>
        <v>0</v>
      </c>
      <c r="S24" s="14" cm="1">
        <f t="array" ref="S24">INT(SUMPRODUCT(--ISNUMBER(SEARCH(immigration,C24)))&gt;0)</f>
        <v>0</v>
      </c>
      <c r="T24" s="14" cm="1">
        <f t="array" ref="T24">INT(SUMPRODUCT(--ISNUMBER(SEARCH(econineq,C25)))&gt;0)</f>
        <v>0</v>
      </c>
      <c r="U24" s="14" cm="1">
        <f t="array" ref="U24">INT(SUMPRODUCT(--ISNUMBER(SEARCH(climate,C24)))&gt;0)</f>
        <v>0</v>
      </c>
      <c r="V24" s="14" cm="1">
        <f t="array" ref="V24">INT(SUMPRODUCT(--ISNUMBER(SEARCH(abortion,C24)))&gt;0)</f>
        <v>0</v>
      </c>
      <c r="W24" s="14" cm="1">
        <f t="array" ref="W24">INT(SUMPRODUCT(--ISNUMBER(SEARCH(trump,C24)))&gt;0)</f>
        <v>0</v>
      </c>
      <c r="X24" s="14" cm="1">
        <f t="array" ref="X24">INT(SUMPRODUCT(--ISNUMBER(SEARCH(voting,C24)))&gt;0)</f>
        <v>1</v>
      </c>
      <c r="Y24" s="14" cm="1">
        <f t="array" ref="Y24">INT(SUMPRODUCT(--ISNUMBER(SEARCH(democrattrigger,C24)))&gt;0)</f>
        <v>0</v>
      </c>
      <c r="Z24" s="14" cm="1">
        <f t="array" ref="Z24">INT(SUMPRODUCT(--ISNUMBER(SEARCH(bipartisan,C24)))&gt;0)</f>
        <v>0</v>
      </c>
      <c r="AA24" s="14">
        <f t="shared" si="0"/>
        <v>0</v>
      </c>
      <c r="AB24" s="14"/>
      <c r="AC24" s="30" t="s">
        <v>223</v>
      </c>
      <c r="AD24" s="37" t="s">
        <v>223</v>
      </c>
    </row>
    <row r="25" spans="1:30" x14ac:dyDescent="0.25">
      <c r="A25" s="36">
        <v>3430</v>
      </c>
      <c r="B25" s="14" t="s">
        <v>7485</v>
      </c>
      <c r="C25" s="14" t="s">
        <v>7486</v>
      </c>
      <c r="D25" s="17">
        <v>44135</v>
      </c>
      <c r="E25" s="14" t="s">
        <v>30</v>
      </c>
      <c r="F25" s="14">
        <v>1048</v>
      </c>
      <c r="G25" s="14">
        <v>237</v>
      </c>
      <c r="H25" s="14">
        <v>16</v>
      </c>
      <c r="I25" s="14">
        <v>8</v>
      </c>
      <c r="J25" s="14" t="s">
        <v>204</v>
      </c>
      <c r="K25" s="14" cm="1">
        <f t="array" ref="K25">INT(SUMPRODUCT(--ISNUMBER(SEARCH(economy,C25)))&gt;0)</f>
        <v>0</v>
      </c>
      <c r="L25" s="14" cm="1">
        <f t="array" ref="L25">INT(SUMPRODUCT(--ISNUMBER(SEARCH(healthcare,C25)))&gt;0)</f>
        <v>0</v>
      </c>
      <c r="M25" s="14" cm="1">
        <f t="array" ref="M25">INT(SUMPRODUCT(--ISNUMBER(SEARCH(supreme,C25)))&gt;0)</f>
        <v>0</v>
      </c>
      <c r="N25" s="14" cm="1">
        <f t="array" ref="N25">INT(SUMPRODUCT(--ISNUMBER(SEARCH(covid,C25)))&gt;0)</f>
        <v>0</v>
      </c>
      <c r="O25" s="14" cm="1">
        <f t="array" ref="O25">INT(SUMPRODUCT(--ISNUMBER(SEARCH(violent,C25)))&gt;0)</f>
        <v>0</v>
      </c>
      <c r="P25" s="14" cm="1">
        <f t="array" ref="P25">INT(SUMPRODUCT(--ISNUMBER(SEARCH(foreign,C25)))&gt;0)</f>
        <v>0</v>
      </c>
      <c r="Q25" s="14" cm="1">
        <f t="array" ref="Q25">INT(SUMPRODUCT(--ISNUMBER(SEARCH(gun,C25)))&gt;0)</f>
        <v>0</v>
      </c>
      <c r="R25" s="14" cm="1">
        <f t="array" ref="R25">INT(SUMPRODUCT(--ISNUMBER(SEARCH(race,C25)))&gt;0)</f>
        <v>0</v>
      </c>
      <c r="S25" s="14" cm="1">
        <f t="array" ref="S25">INT(SUMPRODUCT(--ISNUMBER(SEARCH(immigration,C25)))&gt;0)</f>
        <v>0</v>
      </c>
      <c r="T25" s="14" cm="1">
        <f t="array" ref="T25">INT(SUMPRODUCT(--ISNUMBER(SEARCH(econineq,C26)))&gt;0)</f>
        <v>0</v>
      </c>
      <c r="U25" s="14" cm="1">
        <f t="array" ref="U25">INT(SUMPRODUCT(--ISNUMBER(SEARCH(climate,C25)))&gt;0)</f>
        <v>1</v>
      </c>
      <c r="V25" s="14" cm="1">
        <f t="array" ref="V25">INT(SUMPRODUCT(--ISNUMBER(SEARCH(abortion,C25)))&gt;0)</f>
        <v>0</v>
      </c>
      <c r="W25" s="14" cm="1">
        <f t="array" ref="W25">INT(SUMPRODUCT(--ISNUMBER(SEARCH(trump,C25)))&gt;0)</f>
        <v>0</v>
      </c>
      <c r="X25" s="14" cm="1">
        <f t="array" ref="X25">INT(SUMPRODUCT(--ISNUMBER(SEARCH(voting,C25)))&gt;0)</f>
        <v>1</v>
      </c>
      <c r="Y25" s="14" cm="1">
        <f t="array" ref="Y25">INT(SUMPRODUCT(--ISNUMBER(SEARCH(democrattrigger,C25)))&gt;0)</f>
        <v>0</v>
      </c>
      <c r="Z25" s="14" cm="1">
        <f t="array" ref="Z25">INT(SUMPRODUCT(--ISNUMBER(SEARCH(bipartisan,C25)))&gt;0)</f>
        <v>0</v>
      </c>
      <c r="AA25" s="14">
        <f t="shared" si="0"/>
        <v>0</v>
      </c>
      <c r="AB25" s="14"/>
      <c r="AC25" s="30">
        <v>1</v>
      </c>
      <c r="AD25" s="37">
        <v>0</v>
      </c>
    </row>
    <row r="26" spans="1:30" x14ac:dyDescent="0.25">
      <c r="A26" s="36">
        <v>3431</v>
      </c>
      <c r="B26" s="14" t="s">
        <v>7487</v>
      </c>
      <c r="C26" s="14" t="s">
        <v>7488</v>
      </c>
      <c r="D26" s="17">
        <v>44135</v>
      </c>
      <c r="E26" s="14" t="s">
        <v>30</v>
      </c>
      <c r="F26" s="14">
        <v>1253</v>
      </c>
      <c r="G26" s="14">
        <v>172</v>
      </c>
      <c r="H26" s="14">
        <v>16</v>
      </c>
      <c r="I26" s="14">
        <v>8</v>
      </c>
      <c r="J26" s="14" t="s">
        <v>204</v>
      </c>
      <c r="K26" s="14" cm="1">
        <f t="array" ref="K26">INT(SUMPRODUCT(--ISNUMBER(SEARCH(economy,C26)))&gt;0)</f>
        <v>0</v>
      </c>
      <c r="L26" s="14" cm="1">
        <f t="array" ref="L26">INT(SUMPRODUCT(--ISNUMBER(SEARCH(healthcare,C26)))&gt;0)</f>
        <v>0</v>
      </c>
      <c r="M26" s="14" cm="1">
        <f t="array" ref="M26">INT(SUMPRODUCT(--ISNUMBER(SEARCH(supreme,C26)))&gt;0)</f>
        <v>0</v>
      </c>
      <c r="N26" s="14" cm="1">
        <f t="array" ref="N26">INT(SUMPRODUCT(--ISNUMBER(SEARCH(covid,C26)))&gt;0)</f>
        <v>0</v>
      </c>
      <c r="O26" s="14" cm="1">
        <f t="array" ref="O26">INT(SUMPRODUCT(--ISNUMBER(SEARCH(violent,C26)))&gt;0)</f>
        <v>0</v>
      </c>
      <c r="P26" s="14" cm="1">
        <f t="array" ref="P26">INT(SUMPRODUCT(--ISNUMBER(SEARCH(foreign,C26)))&gt;0)</f>
        <v>0</v>
      </c>
      <c r="Q26" s="14" cm="1">
        <f t="array" ref="Q26">INT(SUMPRODUCT(--ISNUMBER(SEARCH(gun,C26)))&gt;0)</f>
        <v>0</v>
      </c>
      <c r="R26" s="14" cm="1">
        <f t="array" ref="R26">INT(SUMPRODUCT(--ISNUMBER(SEARCH(race,C26)))&gt;0)</f>
        <v>0</v>
      </c>
      <c r="S26" s="14" cm="1">
        <f t="array" ref="S26">INT(SUMPRODUCT(--ISNUMBER(SEARCH(immigration,C26)))&gt;0)</f>
        <v>0</v>
      </c>
      <c r="T26" s="14" cm="1">
        <f t="array" ref="T26">INT(SUMPRODUCT(--ISNUMBER(SEARCH(econineq,C27)))&gt;0)</f>
        <v>0</v>
      </c>
      <c r="U26" s="14" cm="1">
        <f t="array" ref="U26">INT(SUMPRODUCT(--ISNUMBER(SEARCH(climate,C26)))&gt;0)</f>
        <v>0</v>
      </c>
      <c r="V26" s="14" cm="1">
        <f t="array" ref="V26">INT(SUMPRODUCT(--ISNUMBER(SEARCH(abortion,C26)))&gt;0)</f>
        <v>0</v>
      </c>
      <c r="W26" s="14" cm="1">
        <f t="array" ref="W26">INT(SUMPRODUCT(--ISNUMBER(SEARCH(trump,C26)))&gt;0)</f>
        <v>0</v>
      </c>
      <c r="X26" s="14" cm="1">
        <f t="array" ref="X26">INT(SUMPRODUCT(--ISNUMBER(SEARCH(voting,C26)))&gt;0)</f>
        <v>1</v>
      </c>
      <c r="Y26" s="14" cm="1">
        <f t="array" ref="Y26">INT(SUMPRODUCT(--ISNUMBER(SEARCH(democrattrigger,C26)))&gt;0)</f>
        <v>0</v>
      </c>
      <c r="Z26" s="14" cm="1">
        <f t="array" ref="Z26">INT(SUMPRODUCT(--ISNUMBER(SEARCH(bipartisan,C26)))&gt;0)</f>
        <v>0</v>
      </c>
      <c r="AA26" s="14">
        <f t="shared" si="0"/>
        <v>0</v>
      </c>
      <c r="AB26" s="14"/>
      <c r="AC26" s="30">
        <v>1</v>
      </c>
      <c r="AD26" s="37">
        <v>0</v>
      </c>
    </row>
    <row r="27" spans="1:30" x14ac:dyDescent="0.25">
      <c r="A27" s="36">
        <v>3432</v>
      </c>
      <c r="B27" s="14" t="s">
        <v>7489</v>
      </c>
      <c r="C27" s="14" t="s">
        <v>7490</v>
      </c>
      <c r="D27" s="17">
        <v>44135</v>
      </c>
      <c r="E27" s="14" t="s">
        <v>30</v>
      </c>
      <c r="F27" s="14">
        <v>656</v>
      </c>
      <c r="G27" s="14">
        <v>122</v>
      </c>
      <c r="H27" s="14">
        <v>16</v>
      </c>
      <c r="I27" s="14">
        <v>8</v>
      </c>
      <c r="J27" s="14" t="s">
        <v>204</v>
      </c>
      <c r="K27" s="14" cm="1">
        <f t="array" ref="K27">INT(SUMPRODUCT(--ISNUMBER(SEARCH(economy,C27)))&gt;0)</f>
        <v>0</v>
      </c>
      <c r="L27" s="14" cm="1">
        <f t="array" ref="L27">INT(SUMPRODUCT(--ISNUMBER(SEARCH(healthcare,C27)))&gt;0)</f>
        <v>0</v>
      </c>
      <c r="M27" s="14" cm="1">
        <f t="array" ref="M27">INT(SUMPRODUCT(--ISNUMBER(SEARCH(supreme,C27)))&gt;0)</f>
        <v>0</v>
      </c>
      <c r="N27" s="14" cm="1">
        <f t="array" ref="N27">INT(SUMPRODUCT(--ISNUMBER(SEARCH(covid,C27)))&gt;0)</f>
        <v>0</v>
      </c>
      <c r="O27" s="14" cm="1">
        <f t="array" ref="O27">INT(SUMPRODUCT(--ISNUMBER(SEARCH(violent,C27)))&gt;0)</f>
        <v>0</v>
      </c>
      <c r="P27" s="14" cm="1">
        <f t="array" ref="P27">INT(SUMPRODUCT(--ISNUMBER(SEARCH(foreign,C27)))&gt;0)</f>
        <v>0</v>
      </c>
      <c r="Q27" s="14" cm="1">
        <f t="array" ref="Q27">INT(SUMPRODUCT(--ISNUMBER(SEARCH(gun,C27)))&gt;0)</f>
        <v>0</v>
      </c>
      <c r="R27" s="14" cm="1">
        <f t="array" ref="R27">INT(SUMPRODUCT(--ISNUMBER(SEARCH(race,C27)))&gt;0)</f>
        <v>0</v>
      </c>
      <c r="S27" s="14" cm="1">
        <f t="array" ref="S27">INT(SUMPRODUCT(--ISNUMBER(SEARCH(immigration,C27)))&gt;0)</f>
        <v>0</v>
      </c>
      <c r="T27" s="14" cm="1">
        <f t="array" ref="T27">INT(SUMPRODUCT(--ISNUMBER(SEARCH(econineq,C28)))&gt;0)</f>
        <v>0</v>
      </c>
      <c r="U27" s="14" cm="1">
        <f t="array" ref="U27">INT(SUMPRODUCT(--ISNUMBER(SEARCH(climate,C27)))&gt;0)</f>
        <v>0</v>
      </c>
      <c r="V27" s="14" cm="1">
        <f t="array" ref="V27">INT(SUMPRODUCT(--ISNUMBER(SEARCH(abortion,C27)))&gt;0)</f>
        <v>0</v>
      </c>
      <c r="W27" s="14" cm="1">
        <f t="array" ref="W27">INT(SUMPRODUCT(--ISNUMBER(SEARCH(trump,C27)))&gt;0)</f>
        <v>0</v>
      </c>
      <c r="X27" s="14" cm="1">
        <f t="array" ref="X27">INT(SUMPRODUCT(--ISNUMBER(SEARCH(voting,C27)))&gt;0)</f>
        <v>1</v>
      </c>
      <c r="Y27" s="14" cm="1">
        <f t="array" ref="Y27">INT(SUMPRODUCT(--ISNUMBER(SEARCH(democrattrigger,C27)))&gt;0)</f>
        <v>0</v>
      </c>
      <c r="Z27" s="14" cm="1">
        <f t="array" ref="Z27">INT(SUMPRODUCT(--ISNUMBER(SEARCH(bipartisan,C27)))&gt;0)</f>
        <v>0</v>
      </c>
      <c r="AA27" s="14">
        <f t="shared" si="0"/>
        <v>0</v>
      </c>
      <c r="AB27" s="14"/>
      <c r="AC27" s="30">
        <v>1</v>
      </c>
      <c r="AD27" s="37">
        <v>0</v>
      </c>
    </row>
    <row r="28" spans="1:30" x14ac:dyDescent="0.25">
      <c r="A28" s="36">
        <v>3433</v>
      </c>
      <c r="B28" s="14" t="s">
        <v>7491</v>
      </c>
      <c r="C28" s="14" t="s">
        <v>7492</v>
      </c>
      <c r="D28" s="17">
        <v>44135</v>
      </c>
      <c r="E28" s="14" t="s">
        <v>30</v>
      </c>
      <c r="F28" s="14">
        <v>580</v>
      </c>
      <c r="G28" s="14">
        <v>188</v>
      </c>
      <c r="H28" s="14">
        <v>16</v>
      </c>
      <c r="I28" s="14">
        <v>8</v>
      </c>
      <c r="J28" s="14" t="s">
        <v>204</v>
      </c>
      <c r="K28" s="14" cm="1">
        <f t="array" ref="K28">INT(SUMPRODUCT(--ISNUMBER(SEARCH(economy,C28)))&gt;0)</f>
        <v>0</v>
      </c>
      <c r="L28" s="14" cm="1">
        <f t="array" ref="L28">INT(SUMPRODUCT(--ISNUMBER(SEARCH(healthcare,C28)))&gt;0)</f>
        <v>1</v>
      </c>
      <c r="M28" s="14" cm="1">
        <f t="array" ref="M28">INT(SUMPRODUCT(--ISNUMBER(SEARCH(supreme,C28)))&gt;0)</f>
        <v>0</v>
      </c>
      <c r="N28" s="14" cm="1">
        <f t="array" ref="N28">INT(SUMPRODUCT(--ISNUMBER(SEARCH(covid,C28)))&gt;0)</f>
        <v>0</v>
      </c>
      <c r="O28" s="14" cm="1">
        <f t="array" ref="O28">INT(SUMPRODUCT(--ISNUMBER(SEARCH(violent,C28)))&gt;0)</f>
        <v>0</v>
      </c>
      <c r="P28" s="14" cm="1">
        <f t="array" ref="P28">INT(SUMPRODUCT(--ISNUMBER(SEARCH(foreign,C28)))&gt;0)</f>
        <v>1</v>
      </c>
      <c r="Q28" s="14" cm="1">
        <f t="array" ref="Q28">INT(SUMPRODUCT(--ISNUMBER(SEARCH(gun,C28)))&gt;0)</f>
        <v>0</v>
      </c>
      <c r="R28" s="14" cm="1">
        <f t="array" ref="R28">INT(SUMPRODUCT(--ISNUMBER(SEARCH(race,C28)))&gt;0)</f>
        <v>0</v>
      </c>
      <c r="S28" s="14" cm="1">
        <f t="array" ref="S28">INT(SUMPRODUCT(--ISNUMBER(SEARCH(immigration,C28)))&gt;0)</f>
        <v>0</v>
      </c>
      <c r="T28" s="14" cm="1">
        <f t="array" ref="T28">INT(SUMPRODUCT(--ISNUMBER(SEARCH(econineq,C29)))&gt;0)</f>
        <v>0</v>
      </c>
      <c r="U28" s="14" cm="1">
        <f t="array" ref="U28">INT(SUMPRODUCT(--ISNUMBER(SEARCH(climate,C28)))&gt;0)</f>
        <v>0</v>
      </c>
      <c r="V28" s="14" cm="1">
        <f t="array" ref="V28">INT(SUMPRODUCT(--ISNUMBER(SEARCH(abortion,C28)))&gt;0)</f>
        <v>0</v>
      </c>
      <c r="W28" s="14" cm="1">
        <f t="array" ref="W28">INT(SUMPRODUCT(--ISNUMBER(SEARCH(trump,C28)))&gt;0)</f>
        <v>0</v>
      </c>
      <c r="X28" s="14" cm="1">
        <f t="array" ref="X28">INT(SUMPRODUCT(--ISNUMBER(SEARCH(voting,C28)))&gt;0)</f>
        <v>0</v>
      </c>
      <c r="Y28" s="14" cm="1">
        <f t="array" ref="Y28">INT(SUMPRODUCT(--ISNUMBER(SEARCH(democrattrigger,C28)))&gt;0)</f>
        <v>0</v>
      </c>
      <c r="Z28" s="14" cm="1">
        <f t="array" ref="Z28">INT(SUMPRODUCT(--ISNUMBER(SEARCH(bipartisan,C28)))&gt;0)</f>
        <v>0</v>
      </c>
      <c r="AA28" s="14">
        <f t="shared" si="0"/>
        <v>0</v>
      </c>
      <c r="AB28" s="14"/>
      <c r="AC28" s="30">
        <v>0</v>
      </c>
      <c r="AD28" s="37">
        <v>1</v>
      </c>
    </row>
    <row r="29" spans="1:30" x14ac:dyDescent="0.25">
      <c r="A29" s="36">
        <v>3434</v>
      </c>
      <c r="B29" s="14" t="s">
        <v>7493</v>
      </c>
      <c r="C29" s="14" t="s">
        <v>7494</v>
      </c>
      <c r="D29" s="17">
        <v>44135</v>
      </c>
      <c r="E29" s="14" t="s">
        <v>30</v>
      </c>
      <c r="F29" s="14">
        <v>1051</v>
      </c>
      <c r="G29" s="14">
        <v>322</v>
      </c>
      <c r="H29" s="14">
        <v>16</v>
      </c>
      <c r="I29" s="14">
        <v>8</v>
      </c>
      <c r="J29" s="14" t="s">
        <v>204</v>
      </c>
      <c r="K29" s="14" cm="1">
        <f t="array" ref="K29">INT(SUMPRODUCT(--ISNUMBER(SEARCH(economy,C29)))&gt;0)</f>
        <v>0</v>
      </c>
      <c r="L29" s="14" cm="1">
        <f t="array" ref="L29">INT(SUMPRODUCT(--ISNUMBER(SEARCH(healthcare,C29)))&gt;0)</f>
        <v>0</v>
      </c>
      <c r="M29" s="14" cm="1">
        <f t="array" ref="M29">INT(SUMPRODUCT(--ISNUMBER(SEARCH(supreme,C29)))&gt;0)</f>
        <v>0</v>
      </c>
      <c r="N29" s="14" cm="1">
        <f t="array" ref="N29">INT(SUMPRODUCT(--ISNUMBER(SEARCH(covid,C29)))&gt;0)</f>
        <v>0</v>
      </c>
      <c r="O29" s="14" cm="1">
        <f t="array" ref="O29">INT(SUMPRODUCT(--ISNUMBER(SEARCH(violent,C29)))&gt;0)</f>
        <v>0</v>
      </c>
      <c r="P29" s="14" cm="1">
        <f t="array" ref="P29">INT(SUMPRODUCT(--ISNUMBER(SEARCH(foreign,C29)))&gt;0)</f>
        <v>0</v>
      </c>
      <c r="Q29" s="14" cm="1">
        <f t="array" ref="Q29">INT(SUMPRODUCT(--ISNUMBER(SEARCH(gun,C29)))&gt;0)</f>
        <v>0</v>
      </c>
      <c r="R29" s="14" cm="1">
        <f t="array" ref="R29">INT(SUMPRODUCT(--ISNUMBER(SEARCH(race,C29)))&gt;0)</f>
        <v>0</v>
      </c>
      <c r="S29" s="14" cm="1">
        <f t="array" ref="S29">INT(SUMPRODUCT(--ISNUMBER(SEARCH(immigration,C29)))&gt;0)</f>
        <v>0</v>
      </c>
      <c r="T29" s="14" cm="1">
        <f t="array" ref="T29">INT(SUMPRODUCT(--ISNUMBER(SEARCH(econineq,C30)))&gt;0)</f>
        <v>0</v>
      </c>
      <c r="U29" s="14" cm="1">
        <f t="array" ref="U29">INT(SUMPRODUCT(--ISNUMBER(SEARCH(climate,C29)))&gt;0)</f>
        <v>0</v>
      </c>
      <c r="V29" s="14" cm="1">
        <f t="array" ref="V29">INT(SUMPRODUCT(--ISNUMBER(SEARCH(abortion,C29)))&gt;0)</f>
        <v>0</v>
      </c>
      <c r="W29" s="14" cm="1">
        <f t="array" ref="W29">INT(SUMPRODUCT(--ISNUMBER(SEARCH(trump,C29)))&gt;0)</f>
        <v>0</v>
      </c>
      <c r="X29" s="14" cm="1">
        <f t="array" ref="X29">INT(SUMPRODUCT(--ISNUMBER(SEARCH(voting,C29)))&gt;0)</f>
        <v>0</v>
      </c>
      <c r="Y29" s="14" cm="1">
        <f t="array" ref="Y29">INT(SUMPRODUCT(--ISNUMBER(SEARCH(democrattrigger,C29)))&gt;0)</f>
        <v>1</v>
      </c>
      <c r="Z29" s="14" cm="1">
        <f t="array" ref="Z29">INT(SUMPRODUCT(--ISNUMBER(SEARCH(bipartisan,C29)))&gt;0)</f>
        <v>0</v>
      </c>
      <c r="AA29" s="14">
        <f t="shared" si="0"/>
        <v>0</v>
      </c>
      <c r="AB29" s="14"/>
      <c r="AC29" s="30" t="s">
        <v>223</v>
      </c>
      <c r="AD29" s="37" t="s">
        <v>223</v>
      </c>
    </row>
    <row r="30" spans="1:30" x14ac:dyDescent="0.25">
      <c r="A30" s="36">
        <v>3435</v>
      </c>
      <c r="B30" s="14" t="s">
        <v>7495</v>
      </c>
      <c r="C30" s="14" t="s">
        <v>7496</v>
      </c>
      <c r="D30" s="17">
        <v>44134</v>
      </c>
      <c r="E30" s="14" t="s">
        <v>30</v>
      </c>
      <c r="F30" s="14">
        <v>643</v>
      </c>
      <c r="G30" s="14">
        <v>110</v>
      </c>
      <c r="H30" s="14">
        <v>16</v>
      </c>
      <c r="I30" s="14">
        <v>8</v>
      </c>
      <c r="J30" s="14" t="s">
        <v>204</v>
      </c>
      <c r="K30" s="14" cm="1">
        <f t="array" ref="K30">INT(SUMPRODUCT(--ISNUMBER(SEARCH(economy,C30)))&gt;0)</f>
        <v>0</v>
      </c>
      <c r="L30" s="14" cm="1">
        <f t="array" ref="L30">INT(SUMPRODUCT(--ISNUMBER(SEARCH(healthcare,C30)))&gt;0)</f>
        <v>0</v>
      </c>
      <c r="M30" s="14" cm="1">
        <f t="array" ref="M30">INT(SUMPRODUCT(--ISNUMBER(SEARCH(supreme,C30)))&gt;0)</f>
        <v>0</v>
      </c>
      <c r="N30" s="14" cm="1">
        <f t="array" ref="N30">INT(SUMPRODUCT(--ISNUMBER(SEARCH(covid,C30)))&gt;0)</f>
        <v>0</v>
      </c>
      <c r="O30" s="14" cm="1">
        <f t="array" ref="O30">INT(SUMPRODUCT(--ISNUMBER(SEARCH(violent,C30)))&gt;0)</f>
        <v>0</v>
      </c>
      <c r="P30" s="14" cm="1">
        <f t="array" ref="P30">INT(SUMPRODUCT(--ISNUMBER(SEARCH(foreign,C30)))&gt;0)</f>
        <v>0</v>
      </c>
      <c r="Q30" s="14" cm="1">
        <f t="array" ref="Q30">INT(SUMPRODUCT(--ISNUMBER(SEARCH(gun,C30)))&gt;0)</f>
        <v>0</v>
      </c>
      <c r="R30" s="14" cm="1">
        <f t="array" ref="R30">INT(SUMPRODUCT(--ISNUMBER(SEARCH(race,C30)))&gt;0)</f>
        <v>0</v>
      </c>
      <c r="S30" s="14" cm="1">
        <f t="array" ref="S30">INT(SUMPRODUCT(--ISNUMBER(SEARCH(immigration,C30)))&gt;0)</f>
        <v>0</v>
      </c>
      <c r="T30" s="14" cm="1">
        <f t="array" ref="T30">INT(SUMPRODUCT(--ISNUMBER(SEARCH(econineq,C31)))&gt;0)</f>
        <v>0</v>
      </c>
      <c r="U30" s="14" cm="1">
        <f t="array" ref="U30">INT(SUMPRODUCT(--ISNUMBER(SEARCH(climate,C30)))&gt;0)</f>
        <v>0</v>
      </c>
      <c r="V30" s="14" cm="1">
        <f t="array" ref="V30">INT(SUMPRODUCT(--ISNUMBER(SEARCH(abortion,C30)))&gt;0)</f>
        <v>0</v>
      </c>
      <c r="W30" s="14" cm="1">
        <f t="array" ref="W30">INT(SUMPRODUCT(--ISNUMBER(SEARCH(trump,C30)))&gt;0)</f>
        <v>0</v>
      </c>
      <c r="X30" s="14" cm="1">
        <f t="array" ref="X30">INT(SUMPRODUCT(--ISNUMBER(SEARCH(voting,C30)))&gt;0)</f>
        <v>1</v>
      </c>
      <c r="Y30" s="14" cm="1">
        <f t="array" ref="Y30">INT(SUMPRODUCT(--ISNUMBER(SEARCH(democrattrigger,C30)))&gt;0)</f>
        <v>0</v>
      </c>
      <c r="Z30" s="14" cm="1">
        <f t="array" ref="Z30">INT(SUMPRODUCT(--ISNUMBER(SEARCH(bipartisan,C30)))&gt;0)</f>
        <v>0</v>
      </c>
      <c r="AA30" s="14">
        <f t="shared" si="0"/>
        <v>0</v>
      </c>
      <c r="AB30" s="14"/>
      <c r="AC30" s="30">
        <v>1</v>
      </c>
      <c r="AD30" s="37">
        <v>0</v>
      </c>
    </row>
    <row r="31" spans="1:30" x14ac:dyDescent="0.25">
      <c r="A31" s="36">
        <v>3436</v>
      </c>
      <c r="B31" s="14" t="s">
        <v>7497</v>
      </c>
      <c r="C31" s="14" t="s">
        <v>7498</v>
      </c>
      <c r="D31" s="17">
        <v>44134</v>
      </c>
      <c r="E31" s="14" t="s">
        <v>30</v>
      </c>
      <c r="F31" s="14">
        <v>357</v>
      </c>
      <c r="G31" s="14">
        <v>83</v>
      </c>
      <c r="H31" s="14">
        <v>16</v>
      </c>
      <c r="I31" s="14">
        <v>8</v>
      </c>
      <c r="J31" s="14" t="s">
        <v>204</v>
      </c>
      <c r="K31" s="14" cm="1">
        <f t="array" ref="K31">INT(SUMPRODUCT(--ISNUMBER(SEARCH(economy,C31)))&gt;0)</f>
        <v>0</v>
      </c>
      <c r="L31" s="14" cm="1">
        <f t="array" ref="L31">INT(SUMPRODUCT(--ISNUMBER(SEARCH(healthcare,C31)))&gt;0)</f>
        <v>1</v>
      </c>
      <c r="M31" s="14" cm="1">
        <f t="array" ref="M31">INT(SUMPRODUCT(--ISNUMBER(SEARCH(supreme,C31)))&gt;0)</f>
        <v>0</v>
      </c>
      <c r="N31" s="14" cm="1">
        <f t="array" ref="N31">INT(SUMPRODUCT(--ISNUMBER(SEARCH(covid,C31)))&gt;0)</f>
        <v>1</v>
      </c>
      <c r="O31" s="14" cm="1">
        <f t="array" ref="O31">INT(SUMPRODUCT(--ISNUMBER(SEARCH(violent,C31)))&gt;0)</f>
        <v>0</v>
      </c>
      <c r="P31" s="14" cm="1">
        <f t="array" ref="P31">INT(SUMPRODUCT(--ISNUMBER(SEARCH(foreign,C31)))&gt;0)</f>
        <v>0</v>
      </c>
      <c r="Q31" s="14" cm="1">
        <f t="array" ref="Q31">INT(SUMPRODUCT(--ISNUMBER(SEARCH(gun,C31)))&gt;0)</f>
        <v>0</v>
      </c>
      <c r="R31" s="14" cm="1">
        <f t="array" ref="R31">INT(SUMPRODUCT(--ISNUMBER(SEARCH(race,C31)))&gt;0)</f>
        <v>0</v>
      </c>
      <c r="S31" s="14" cm="1">
        <f t="array" ref="S31">INT(SUMPRODUCT(--ISNUMBER(SEARCH(immigration,C31)))&gt;0)</f>
        <v>0</v>
      </c>
      <c r="T31" s="14" cm="1">
        <f t="array" ref="T31">INT(SUMPRODUCT(--ISNUMBER(SEARCH(econineq,C32)))&gt;0)</f>
        <v>0</v>
      </c>
      <c r="U31" s="14" cm="1">
        <f t="array" ref="U31">INT(SUMPRODUCT(--ISNUMBER(SEARCH(climate,C31)))&gt;0)</f>
        <v>0</v>
      </c>
      <c r="V31" s="14" cm="1">
        <f t="array" ref="V31">INT(SUMPRODUCT(--ISNUMBER(SEARCH(abortion,C31)))&gt;0)</f>
        <v>0</v>
      </c>
      <c r="W31" s="14" cm="1">
        <f t="array" ref="W31">INT(SUMPRODUCT(--ISNUMBER(SEARCH(trump,C31)))&gt;0)</f>
        <v>0</v>
      </c>
      <c r="X31" s="14" cm="1">
        <f t="array" ref="X31">INT(SUMPRODUCT(--ISNUMBER(SEARCH(voting,C31)))&gt;0)</f>
        <v>1</v>
      </c>
      <c r="Y31" s="14" cm="1">
        <f t="array" ref="Y31">INT(SUMPRODUCT(--ISNUMBER(SEARCH(democrattrigger,C31)))&gt;0)</f>
        <v>0</v>
      </c>
      <c r="Z31" s="14" cm="1">
        <f t="array" ref="Z31">INT(SUMPRODUCT(--ISNUMBER(SEARCH(bipartisan,C31)))&gt;0)</f>
        <v>0</v>
      </c>
      <c r="AA31" s="14">
        <f t="shared" si="0"/>
        <v>0</v>
      </c>
      <c r="AB31" s="14"/>
      <c r="AC31" s="30" t="s">
        <v>223</v>
      </c>
      <c r="AD31" s="37" t="s">
        <v>223</v>
      </c>
    </row>
    <row r="32" spans="1:30" x14ac:dyDescent="0.25">
      <c r="A32" s="36">
        <v>3437</v>
      </c>
      <c r="B32" s="14" t="s">
        <v>7499</v>
      </c>
      <c r="C32" s="14" t="s">
        <v>7500</v>
      </c>
      <c r="D32" s="17">
        <v>44134</v>
      </c>
      <c r="E32" s="14" t="s">
        <v>30</v>
      </c>
      <c r="F32" s="14">
        <v>780</v>
      </c>
      <c r="G32" s="14">
        <v>263</v>
      </c>
      <c r="H32" s="14">
        <v>16</v>
      </c>
      <c r="I32" s="14">
        <v>8</v>
      </c>
      <c r="J32" s="14" t="s">
        <v>204</v>
      </c>
      <c r="K32" s="14" cm="1">
        <f t="array" ref="K32">INT(SUMPRODUCT(--ISNUMBER(SEARCH(economy,C32)))&gt;0)</f>
        <v>1</v>
      </c>
      <c r="L32" s="14" cm="1">
        <f t="array" ref="L32">INT(SUMPRODUCT(--ISNUMBER(SEARCH(healthcare,C32)))&gt;0)</f>
        <v>0</v>
      </c>
      <c r="M32" s="14" cm="1">
        <f t="array" ref="M32">INT(SUMPRODUCT(--ISNUMBER(SEARCH(supreme,C32)))&gt;0)</f>
        <v>0</v>
      </c>
      <c r="N32" s="14" cm="1">
        <f t="array" ref="N32">INT(SUMPRODUCT(--ISNUMBER(SEARCH(covid,C32)))&gt;0)</f>
        <v>0</v>
      </c>
      <c r="O32" s="14" cm="1">
        <f t="array" ref="O32">INT(SUMPRODUCT(--ISNUMBER(SEARCH(violent,C32)))&gt;0)</f>
        <v>0</v>
      </c>
      <c r="P32" s="14" cm="1">
        <f t="array" ref="P32">INT(SUMPRODUCT(--ISNUMBER(SEARCH(foreign,C32)))&gt;0)</f>
        <v>0</v>
      </c>
      <c r="Q32" s="14" cm="1">
        <f t="array" ref="Q32">INT(SUMPRODUCT(--ISNUMBER(SEARCH(gun,C32)))&gt;0)</f>
        <v>0</v>
      </c>
      <c r="R32" s="14" cm="1">
        <f t="array" ref="R32">INT(SUMPRODUCT(--ISNUMBER(SEARCH(race,C32)))&gt;0)</f>
        <v>0</v>
      </c>
      <c r="S32" s="14" cm="1">
        <f t="array" ref="S32">INT(SUMPRODUCT(--ISNUMBER(SEARCH(immigration,C32)))&gt;0)</f>
        <v>0</v>
      </c>
      <c r="T32" s="14" cm="1">
        <f t="array" ref="T32">INT(SUMPRODUCT(--ISNUMBER(SEARCH(econineq,C33)))&gt;0)</f>
        <v>0</v>
      </c>
      <c r="U32" s="14" cm="1">
        <f t="array" ref="U32">INT(SUMPRODUCT(--ISNUMBER(SEARCH(climate,C32)))&gt;0)</f>
        <v>0</v>
      </c>
      <c r="V32" s="14" cm="1">
        <f t="array" ref="V32">INT(SUMPRODUCT(--ISNUMBER(SEARCH(abortion,C32)))&gt;0)</f>
        <v>0</v>
      </c>
      <c r="W32" s="14" cm="1">
        <f t="array" ref="W32">INT(SUMPRODUCT(--ISNUMBER(SEARCH(trump,C32)))&gt;0)</f>
        <v>0</v>
      </c>
      <c r="X32" s="14" cm="1">
        <f t="array" ref="X32">INT(SUMPRODUCT(--ISNUMBER(SEARCH(voting,C32)))&gt;0)</f>
        <v>0</v>
      </c>
      <c r="Y32" s="14" cm="1">
        <f t="array" ref="Y32">INT(SUMPRODUCT(--ISNUMBER(SEARCH(democrattrigger,C32)))&gt;0)</f>
        <v>1</v>
      </c>
      <c r="Z32" s="14" cm="1">
        <f t="array" ref="Z32">INT(SUMPRODUCT(--ISNUMBER(SEARCH(bipartisan,C32)))&gt;0)</f>
        <v>0</v>
      </c>
      <c r="AA32" s="14">
        <f t="shared" si="0"/>
        <v>0</v>
      </c>
      <c r="AB32" s="14"/>
      <c r="AC32" s="30" t="s">
        <v>223</v>
      </c>
      <c r="AD32" s="37" t="s">
        <v>223</v>
      </c>
    </row>
    <row r="33" spans="1:30" x14ac:dyDescent="0.25">
      <c r="A33" s="36">
        <v>3438</v>
      </c>
      <c r="B33" s="14" t="s">
        <v>7501</v>
      </c>
      <c r="C33" s="14" t="s">
        <v>7502</v>
      </c>
      <c r="D33" s="17">
        <v>44134</v>
      </c>
      <c r="E33" s="14" t="s">
        <v>30</v>
      </c>
      <c r="F33" s="14">
        <v>697</v>
      </c>
      <c r="G33" s="14">
        <v>247</v>
      </c>
      <c r="H33" s="14">
        <v>16</v>
      </c>
      <c r="I33" s="14">
        <v>8</v>
      </c>
      <c r="J33" s="14" t="s">
        <v>204</v>
      </c>
      <c r="K33" s="14" cm="1">
        <f t="array" ref="K33">INT(SUMPRODUCT(--ISNUMBER(SEARCH(economy,C33)))&gt;0)</f>
        <v>0</v>
      </c>
      <c r="L33" s="14" cm="1">
        <f t="array" ref="L33">INT(SUMPRODUCT(--ISNUMBER(SEARCH(healthcare,C33)))&gt;0)</f>
        <v>0</v>
      </c>
      <c r="M33" s="14" cm="1">
        <f t="array" ref="M33">INT(SUMPRODUCT(--ISNUMBER(SEARCH(supreme,C33)))&gt;0)</f>
        <v>0</v>
      </c>
      <c r="N33" s="14" cm="1">
        <f t="array" ref="N33">INT(SUMPRODUCT(--ISNUMBER(SEARCH(covid,C33)))&gt;0)</f>
        <v>0</v>
      </c>
      <c r="O33" s="14" cm="1">
        <f t="array" ref="O33">INT(SUMPRODUCT(--ISNUMBER(SEARCH(violent,C33)))&gt;0)</f>
        <v>0</v>
      </c>
      <c r="P33" s="14" cm="1">
        <f t="array" ref="P33">INT(SUMPRODUCT(--ISNUMBER(SEARCH(foreign,C33)))&gt;0)</f>
        <v>0</v>
      </c>
      <c r="Q33" s="14" cm="1">
        <f t="array" ref="Q33">INT(SUMPRODUCT(--ISNUMBER(SEARCH(gun,C33)))&gt;0)</f>
        <v>0</v>
      </c>
      <c r="R33" s="14" cm="1">
        <f t="array" ref="R33">INT(SUMPRODUCT(--ISNUMBER(SEARCH(race,C33)))&gt;0)</f>
        <v>0</v>
      </c>
      <c r="S33" s="14" cm="1">
        <f t="array" ref="S33">INT(SUMPRODUCT(--ISNUMBER(SEARCH(immigration,C33)))&gt;0)</f>
        <v>0</v>
      </c>
      <c r="T33" s="14" cm="1">
        <f t="array" ref="T33">INT(SUMPRODUCT(--ISNUMBER(SEARCH(econineq,C34)))&gt;0)</f>
        <v>0</v>
      </c>
      <c r="U33" s="14" cm="1">
        <f t="array" ref="U33">INT(SUMPRODUCT(--ISNUMBER(SEARCH(climate,C33)))&gt;0)</f>
        <v>0</v>
      </c>
      <c r="V33" s="14" cm="1">
        <f t="array" ref="V33">INT(SUMPRODUCT(--ISNUMBER(SEARCH(abortion,C33)))&gt;0)</f>
        <v>0</v>
      </c>
      <c r="W33" s="14" cm="1">
        <f t="array" ref="W33">INT(SUMPRODUCT(--ISNUMBER(SEARCH(trump,C33)))&gt;0)</f>
        <v>0</v>
      </c>
      <c r="X33" s="14" cm="1">
        <f t="array" ref="X33">INT(SUMPRODUCT(--ISNUMBER(SEARCH(voting,C33)))&gt;0)</f>
        <v>1</v>
      </c>
      <c r="Y33" s="14" cm="1">
        <f t="array" ref="Y33">INT(SUMPRODUCT(--ISNUMBER(SEARCH(democrattrigger,C33)))&gt;0)</f>
        <v>0</v>
      </c>
      <c r="Z33" s="14" cm="1">
        <f t="array" ref="Z33">INT(SUMPRODUCT(--ISNUMBER(SEARCH(bipartisan,C33)))&gt;0)</f>
        <v>0</v>
      </c>
      <c r="AA33" s="14">
        <f t="shared" si="0"/>
        <v>0</v>
      </c>
      <c r="AB33" s="14"/>
      <c r="AC33" s="30">
        <v>1</v>
      </c>
      <c r="AD33" s="37">
        <v>1</v>
      </c>
    </row>
    <row r="34" spans="1:30" x14ac:dyDescent="0.25">
      <c r="A34" s="36">
        <v>3439</v>
      </c>
      <c r="B34" s="14" t="s">
        <v>7503</v>
      </c>
      <c r="C34" s="14" t="s">
        <v>7504</v>
      </c>
      <c r="D34" s="17">
        <v>44134</v>
      </c>
      <c r="E34" s="14" t="s">
        <v>30</v>
      </c>
      <c r="F34" s="14">
        <v>943</v>
      </c>
      <c r="G34" s="14">
        <v>216</v>
      </c>
      <c r="H34" s="14">
        <v>16</v>
      </c>
      <c r="I34" s="14">
        <v>8</v>
      </c>
      <c r="J34" s="14" t="s">
        <v>204</v>
      </c>
      <c r="K34" s="14" cm="1">
        <f t="array" ref="K34">INT(SUMPRODUCT(--ISNUMBER(SEARCH(economy,C34)))&gt;0)</f>
        <v>0</v>
      </c>
      <c r="L34" s="14" cm="1">
        <f t="array" ref="L34">INT(SUMPRODUCT(--ISNUMBER(SEARCH(healthcare,C34)))&gt;0)</f>
        <v>0</v>
      </c>
      <c r="M34" s="14" cm="1">
        <f t="array" ref="M34">INT(SUMPRODUCT(--ISNUMBER(SEARCH(supreme,C34)))&gt;0)</f>
        <v>0</v>
      </c>
      <c r="N34" s="14" cm="1">
        <f t="array" ref="N34">INT(SUMPRODUCT(--ISNUMBER(SEARCH(covid,C34)))&gt;0)</f>
        <v>0</v>
      </c>
      <c r="O34" s="14" cm="1">
        <f t="array" ref="O34">INT(SUMPRODUCT(--ISNUMBER(SEARCH(violent,C34)))&gt;0)</f>
        <v>0</v>
      </c>
      <c r="P34" s="14" cm="1">
        <f t="array" ref="P34">INT(SUMPRODUCT(--ISNUMBER(SEARCH(foreign,C34)))&gt;0)</f>
        <v>0</v>
      </c>
      <c r="Q34" s="14" cm="1">
        <f t="array" ref="Q34">INT(SUMPRODUCT(--ISNUMBER(SEARCH(gun,C34)))&gt;0)</f>
        <v>0</v>
      </c>
      <c r="R34" s="14" cm="1">
        <f t="array" ref="R34">INT(SUMPRODUCT(--ISNUMBER(SEARCH(race,C34)))&gt;0)</f>
        <v>0</v>
      </c>
      <c r="S34" s="14" cm="1">
        <f t="array" ref="S34">INT(SUMPRODUCT(--ISNUMBER(SEARCH(immigration,C34)))&gt;0)</f>
        <v>0</v>
      </c>
      <c r="T34" s="14" cm="1">
        <f t="array" ref="T34">INT(SUMPRODUCT(--ISNUMBER(SEARCH(econineq,C35)))&gt;0)</f>
        <v>0</v>
      </c>
      <c r="U34" s="14" cm="1">
        <f t="array" ref="U34">INT(SUMPRODUCT(--ISNUMBER(SEARCH(climate,C34)))&gt;0)</f>
        <v>0</v>
      </c>
      <c r="V34" s="14" cm="1">
        <f t="array" ref="V34">INT(SUMPRODUCT(--ISNUMBER(SEARCH(abortion,C34)))&gt;0)</f>
        <v>0</v>
      </c>
      <c r="W34" s="14" cm="1">
        <f t="array" ref="W34">INT(SUMPRODUCT(--ISNUMBER(SEARCH(trump,C34)))&gt;0)</f>
        <v>0</v>
      </c>
      <c r="X34" s="14" cm="1">
        <f t="array" ref="X34">INT(SUMPRODUCT(--ISNUMBER(SEARCH(voting,C34)))&gt;0)</f>
        <v>0</v>
      </c>
      <c r="Y34" s="14" cm="1">
        <f t="array" ref="Y34">INT(SUMPRODUCT(--ISNUMBER(SEARCH(democrattrigger,C34)))&gt;0)</f>
        <v>0</v>
      </c>
      <c r="Z34" s="14" cm="1">
        <f t="array" ref="Z34">INT(SUMPRODUCT(--ISNUMBER(SEARCH(bipartisan,C34)))&gt;0)</f>
        <v>0</v>
      </c>
      <c r="AA34" s="14">
        <f t="shared" si="0"/>
        <v>1</v>
      </c>
      <c r="AB34" s="14"/>
      <c r="AC34" s="30">
        <v>1</v>
      </c>
      <c r="AD34" s="37">
        <v>0</v>
      </c>
    </row>
    <row r="35" spans="1:30" x14ac:dyDescent="0.25">
      <c r="A35" s="36">
        <v>3440</v>
      </c>
      <c r="B35" s="14" t="s">
        <v>7505</v>
      </c>
      <c r="C35" s="14" t="s">
        <v>7506</v>
      </c>
      <c r="D35" s="17">
        <v>44133</v>
      </c>
      <c r="E35" s="14" t="s">
        <v>30</v>
      </c>
      <c r="F35" s="14">
        <v>649</v>
      </c>
      <c r="G35" s="14">
        <v>132</v>
      </c>
      <c r="H35" s="14">
        <v>16</v>
      </c>
      <c r="I35" s="14">
        <v>8</v>
      </c>
      <c r="J35" s="14" t="s">
        <v>204</v>
      </c>
      <c r="K35" s="14" cm="1">
        <f t="array" ref="K35">INT(SUMPRODUCT(--ISNUMBER(SEARCH(economy,C35)))&gt;0)</f>
        <v>0</v>
      </c>
      <c r="L35" s="14" cm="1">
        <f t="array" ref="L35">INT(SUMPRODUCT(--ISNUMBER(SEARCH(healthcare,C35)))&gt;0)</f>
        <v>0</v>
      </c>
      <c r="M35" s="14" cm="1">
        <f t="array" ref="M35">INT(SUMPRODUCT(--ISNUMBER(SEARCH(supreme,C35)))&gt;0)</f>
        <v>0</v>
      </c>
      <c r="N35" s="14" cm="1">
        <f t="array" ref="N35">INT(SUMPRODUCT(--ISNUMBER(SEARCH(covid,C35)))&gt;0)</f>
        <v>0</v>
      </c>
      <c r="O35" s="14" cm="1">
        <f t="array" ref="O35">INT(SUMPRODUCT(--ISNUMBER(SEARCH(violent,C35)))&gt;0)</f>
        <v>0</v>
      </c>
      <c r="P35" s="14" cm="1">
        <f t="array" ref="P35">INT(SUMPRODUCT(--ISNUMBER(SEARCH(foreign,C35)))&gt;0)</f>
        <v>0</v>
      </c>
      <c r="Q35" s="14" cm="1">
        <f t="array" ref="Q35">INT(SUMPRODUCT(--ISNUMBER(SEARCH(gun,C35)))&gt;0)</f>
        <v>0</v>
      </c>
      <c r="R35" s="14" cm="1">
        <f t="array" ref="R35">INT(SUMPRODUCT(--ISNUMBER(SEARCH(race,C35)))&gt;0)</f>
        <v>0</v>
      </c>
      <c r="S35" s="14" cm="1">
        <f t="array" ref="S35">INT(SUMPRODUCT(--ISNUMBER(SEARCH(immigration,C35)))&gt;0)</f>
        <v>0</v>
      </c>
      <c r="T35" s="14" cm="1">
        <f t="array" ref="T35">INT(SUMPRODUCT(--ISNUMBER(SEARCH(econineq,C36)))&gt;0)</f>
        <v>0</v>
      </c>
      <c r="U35" s="14" cm="1">
        <f t="array" ref="U35">INT(SUMPRODUCT(--ISNUMBER(SEARCH(climate,C35)))&gt;0)</f>
        <v>0</v>
      </c>
      <c r="V35" s="14" cm="1">
        <f t="array" ref="V35">INT(SUMPRODUCT(--ISNUMBER(SEARCH(abortion,C35)))&gt;0)</f>
        <v>0</v>
      </c>
      <c r="W35" s="14" cm="1">
        <f t="array" ref="W35">INT(SUMPRODUCT(--ISNUMBER(SEARCH(trump,C35)))&gt;0)</f>
        <v>0</v>
      </c>
      <c r="X35" s="14" cm="1">
        <f t="array" ref="X35">INT(SUMPRODUCT(--ISNUMBER(SEARCH(voting,C35)))&gt;0)</f>
        <v>1</v>
      </c>
      <c r="Y35" s="14" cm="1">
        <f t="array" ref="Y35">INT(SUMPRODUCT(--ISNUMBER(SEARCH(democrattrigger,C35)))&gt;0)</f>
        <v>0</v>
      </c>
      <c r="Z35" s="14" cm="1">
        <f t="array" ref="Z35">INT(SUMPRODUCT(--ISNUMBER(SEARCH(bipartisan,C35)))&gt;0)</f>
        <v>0</v>
      </c>
      <c r="AA35" s="14">
        <f t="shared" si="0"/>
        <v>0</v>
      </c>
      <c r="AB35" s="14"/>
      <c r="AC35" s="30" t="s">
        <v>223</v>
      </c>
      <c r="AD35" s="37" t="s">
        <v>223</v>
      </c>
    </row>
    <row r="36" spans="1:30" x14ac:dyDescent="0.25">
      <c r="A36" s="36">
        <v>3441</v>
      </c>
      <c r="B36" s="14" t="s">
        <v>7507</v>
      </c>
      <c r="C36" s="14" t="s">
        <v>7508</v>
      </c>
      <c r="D36" s="17">
        <v>44133</v>
      </c>
      <c r="E36" s="14" t="s">
        <v>30</v>
      </c>
      <c r="F36" s="14">
        <v>568</v>
      </c>
      <c r="G36" s="14">
        <v>207</v>
      </c>
      <c r="H36" s="14">
        <v>16</v>
      </c>
      <c r="I36" s="14">
        <v>8</v>
      </c>
      <c r="J36" s="14" t="s">
        <v>204</v>
      </c>
      <c r="K36" s="14" cm="1">
        <f t="array" ref="K36">INT(SUMPRODUCT(--ISNUMBER(SEARCH(economy,C36)))&gt;0)</f>
        <v>1</v>
      </c>
      <c r="L36" s="14" cm="1">
        <f t="array" ref="L36">INT(SUMPRODUCT(--ISNUMBER(SEARCH(healthcare,C36)))&gt;0)</f>
        <v>0</v>
      </c>
      <c r="M36" s="14" cm="1">
        <f t="array" ref="M36">INT(SUMPRODUCT(--ISNUMBER(SEARCH(supreme,C36)))&gt;0)</f>
        <v>0</v>
      </c>
      <c r="N36" s="14" cm="1">
        <f t="array" ref="N36">INT(SUMPRODUCT(--ISNUMBER(SEARCH(covid,C36)))&gt;0)</f>
        <v>1</v>
      </c>
      <c r="O36" s="14" cm="1">
        <f t="array" ref="O36">INT(SUMPRODUCT(--ISNUMBER(SEARCH(violent,C36)))&gt;0)</f>
        <v>0</v>
      </c>
      <c r="P36" s="14" cm="1">
        <f t="array" ref="P36">INT(SUMPRODUCT(--ISNUMBER(SEARCH(foreign,C36)))&gt;0)</f>
        <v>0</v>
      </c>
      <c r="Q36" s="14" cm="1">
        <f t="array" ref="Q36">INT(SUMPRODUCT(--ISNUMBER(SEARCH(gun,C36)))&gt;0)</f>
        <v>0</v>
      </c>
      <c r="R36" s="14" cm="1">
        <f t="array" ref="R36">INT(SUMPRODUCT(--ISNUMBER(SEARCH(race,C36)))&gt;0)</f>
        <v>0</v>
      </c>
      <c r="S36" s="14" cm="1">
        <f t="array" ref="S36">INT(SUMPRODUCT(--ISNUMBER(SEARCH(immigration,C36)))&gt;0)</f>
        <v>0</v>
      </c>
      <c r="T36" s="14" cm="1">
        <f t="array" ref="T36">INT(SUMPRODUCT(--ISNUMBER(SEARCH(econineq,C37)))&gt;0)</f>
        <v>0</v>
      </c>
      <c r="U36" s="14" cm="1">
        <f t="array" ref="U36">INT(SUMPRODUCT(--ISNUMBER(SEARCH(climate,C36)))&gt;0)</f>
        <v>0</v>
      </c>
      <c r="V36" s="14" cm="1">
        <f t="array" ref="V36">INT(SUMPRODUCT(--ISNUMBER(SEARCH(abortion,C36)))&gt;0)</f>
        <v>0</v>
      </c>
      <c r="W36" s="14" cm="1">
        <f t="array" ref="W36">INT(SUMPRODUCT(--ISNUMBER(SEARCH(trump,C36)))&gt;0)</f>
        <v>0</v>
      </c>
      <c r="X36" s="14" cm="1">
        <f t="array" ref="X36">INT(SUMPRODUCT(--ISNUMBER(SEARCH(voting,C36)))&gt;0)</f>
        <v>0</v>
      </c>
      <c r="Y36" s="14" cm="1">
        <f t="array" ref="Y36">INT(SUMPRODUCT(--ISNUMBER(SEARCH(democrattrigger,C36)))&gt;0)</f>
        <v>1</v>
      </c>
      <c r="Z36" s="14" cm="1">
        <f t="array" ref="Z36">INT(SUMPRODUCT(--ISNUMBER(SEARCH(bipartisan,C36)))&gt;0)</f>
        <v>0</v>
      </c>
      <c r="AA36" s="14">
        <f t="shared" si="0"/>
        <v>0</v>
      </c>
      <c r="AB36" s="14"/>
      <c r="AC36" s="30" t="s">
        <v>223</v>
      </c>
      <c r="AD36" s="37" t="s">
        <v>223</v>
      </c>
    </row>
    <row r="37" spans="1:30" x14ac:dyDescent="0.25">
      <c r="A37" s="36">
        <v>3442</v>
      </c>
      <c r="B37" s="14" t="s">
        <v>7509</v>
      </c>
      <c r="C37" s="14" t="s">
        <v>7510</v>
      </c>
      <c r="D37" s="17">
        <v>44133</v>
      </c>
      <c r="E37" s="14" t="s">
        <v>30</v>
      </c>
      <c r="F37" s="14">
        <v>846</v>
      </c>
      <c r="G37" s="14">
        <v>167</v>
      </c>
      <c r="H37" s="14">
        <v>16</v>
      </c>
      <c r="I37" s="14">
        <v>8</v>
      </c>
      <c r="J37" s="14" t="s">
        <v>204</v>
      </c>
      <c r="K37" s="14" cm="1">
        <f t="array" ref="K37">INT(SUMPRODUCT(--ISNUMBER(SEARCH(economy,C37)))&gt;0)</f>
        <v>0</v>
      </c>
      <c r="L37" s="14" cm="1">
        <f t="array" ref="L37">INT(SUMPRODUCT(--ISNUMBER(SEARCH(healthcare,C37)))&gt;0)</f>
        <v>0</v>
      </c>
      <c r="M37" s="14" cm="1">
        <f t="array" ref="M37">INT(SUMPRODUCT(--ISNUMBER(SEARCH(supreme,C37)))&gt;0)</f>
        <v>0</v>
      </c>
      <c r="N37" s="14" cm="1">
        <f t="array" ref="N37">INT(SUMPRODUCT(--ISNUMBER(SEARCH(covid,C37)))&gt;0)</f>
        <v>0</v>
      </c>
      <c r="O37" s="14" cm="1">
        <f t="array" ref="O37">INT(SUMPRODUCT(--ISNUMBER(SEARCH(violent,C37)))&gt;0)</f>
        <v>0</v>
      </c>
      <c r="P37" s="14" cm="1">
        <f t="array" ref="P37">INT(SUMPRODUCT(--ISNUMBER(SEARCH(foreign,C37)))&gt;0)</f>
        <v>0</v>
      </c>
      <c r="Q37" s="14" cm="1">
        <f t="array" ref="Q37">INT(SUMPRODUCT(--ISNUMBER(SEARCH(gun,C37)))&gt;0)</f>
        <v>0</v>
      </c>
      <c r="R37" s="14" cm="1">
        <f t="array" ref="R37">INT(SUMPRODUCT(--ISNUMBER(SEARCH(race,C37)))&gt;0)</f>
        <v>0</v>
      </c>
      <c r="S37" s="14" cm="1">
        <f t="array" ref="S37">INT(SUMPRODUCT(--ISNUMBER(SEARCH(immigration,C37)))&gt;0)</f>
        <v>0</v>
      </c>
      <c r="T37" s="14" cm="1">
        <f t="array" ref="T37">INT(SUMPRODUCT(--ISNUMBER(SEARCH(econineq,C38)))&gt;0)</f>
        <v>0</v>
      </c>
      <c r="U37" s="14" cm="1">
        <f t="array" ref="U37">INT(SUMPRODUCT(--ISNUMBER(SEARCH(climate,C37)))&gt;0)</f>
        <v>0</v>
      </c>
      <c r="V37" s="14" cm="1">
        <f t="array" ref="V37">INT(SUMPRODUCT(--ISNUMBER(SEARCH(abortion,C37)))&gt;0)</f>
        <v>0</v>
      </c>
      <c r="W37" s="14" cm="1">
        <f t="array" ref="W37">INT(SUMPRODUCT(--ISNUMBER(SEARCH(trump,C37)))&gt;0)</f>
        <v>0</v>
      </c>
      <c r="X37" s="14" cm="1">
        <f t="array" ref="X37">INT(SUMPRODUCT(--ISNUMBER(SEARCH(voting,C37)))&gt;0)</f>
        <v>1</v>
      </c>
      <c r="Y37" s="14" cm="1">
        <f t="array" ref="Y37">INT(SUMPRODUCT(--ISNUMBER(SEARCH(democrattrigger,C37)))&gt;0)</f>
        <v>0</v>
      </c>
      <c r="Z37" s="14" cm="1">
        <f t="array" ref="Z37">INT(SUMPRODUCT(--ISNUMBER(SEARCH(bipartisan,C37)))&gt;0)</f>
        <v>1</v>
      </c>
      <c r="AA37" s="14">
        <f t="shared" si="0"/>
        <v>0</v>
      </c>
      <c r="AB37" s="14"/>
      <c r="AC37" s="30" t="s">
        <v>223</v>
      </c>
      <c r="AD37" s="37" t="s">
        <v>223</v>
      </c>
    </row>
    <row r="38" spans="1:30" x14ac:dyDescent="0.25">
      <c r="A38" s="36">
        <v>3443</v>
      </c>
      <c r="B38" s="14" t="s">
        <v>7511</v>
      </c>
      <c r="C38" s="14" t="s">
        <v>7512</v>
      </c>
      <c r="D38" s="17">
        <v>44133</v>
      </c>
      <c r="E38" s="14" t="s">
        <v>30</v>
      </c>
      <c r="F38" s="14">
        <v>711</v>
      </c>
      <c r="G38" s="14">
        <v>145</v>
      </c>
      <c r="H38" s="14">
        <v>16</v>
      </c>
      <c r="I38" s="14">
        <v>8</v>
      </c>
      <c r="J38" s="14" t="s">
        <v>204</v>
      </c>
      <c r="K38" s="14" cm="1">
        <f t="array" ref="K38">INT(SUMPRODUCT(--ISNUMBER(SEARCH(economy,C38)))&gt;0)</f>
        <v>0</v>
      </c>
      <c r="L38" s="14" cm="1">
        <f t="array" ref="L38">INT(SUMPRODUCT(--ISNUMBER(SEARCH(healthcare,C38)))&gt;0)</f>
        <v>0</v>
      </c>
      <c r="M38" s="14" cm="1">
        <f t="array" ref="M38">INT(SUMPRODUCT(--ISNUMBER(SEARCH(supreme,C38)))&gt;0)</f>
        <v>0</v>
      </c>
      <c r="N38" s="14" cm="1">
        <f t="array" ref="N38">INT(SUMPRODUCT(--ISNUMBER(SEARCH(covid,C38)))&gt;0)</f>
        <v>0</v>
      </c>
      <c r="O38" s="14" cm="1">
        <f t="array" ref="O38">INT(SUMPRODUCT(--ISNUMBER(SEARCH(violent,C38)))&gt;0)</f>
        <v>0</v>
      </c>
      <c r="P38" s="14" cm="1">
        <f t="array" ref="P38">INT(SUMPRODUCT(--ISNUMBER(SEARCH(foreign,C38)))&gt;0)</f>
        <v>0</v>
      </c>
      <c r="Q38" s="14" cm="1">
        <f t="array" ref="Q38">INT(SUMPRODUCT(--ISNUMBER(SEARCH(gun,C38)))&gt;0)</f>
        <v>0</v>
      </c>
      <c r="R38" s="14" cm="1">
        <f t="array" ref="R38">INT(SUMPRODUCT(--ISNUMBER(SEARCH(race,C38)))&gt;0)</f>
        <v>0</v>
      </c>
      <c r="S38" s="14" cm="1">
        <f t="array" ref="S38">INT(SUMPRODUCT(--ISNUMBER(SEARCH(immigration,C38)))&gt;0)</f>
        <v>0</v>
      </c>
      <c r="T38" s="14" cm="1">
        <f t="array" ref="T38">INT(SUMPRODUCT(--ISNUMBER(SEARCH(econineq,C39)))&gt;0)</f>
        <v>0</v>
      </c>
      <c r="U38" s="14" cm="1">
        <f t="array" ref="U38">INT(SUMPRODUCT(--ISNUMBER(SEARCH(climate,C38)))&gt;0)</f>
        <v>0</v>
      </c>
      <c r="V38" s="14" cm="1">
        <f t="array" ref="V38">INT(SUMPRODUCT(--ISNUMBER(SEARCH(abortion,C38)))&gt;0)</f>
        <v>0</v>
      </c>
      <c r="W38" s="14" cm="1">
        <f t="array" ref="W38">INT(SUMPRODUCT(--ISNUMBER(SEARCH(trump,C38)))&gt;0)</f>
        <v>0</v>
      </c>
      <c r="X38" s="14" cm="1">
        <f t="array" ref="X38">INT(SUMPRODUCT(--ISNUMBER(SEARCH(voting,C38)))&gt;0)</f>
        <v>0</v>
      </c>
      <c r="Y38" s="14" cm="1">
        <f t="array" ref="Y38">INT(SUMPRODUCT(--ISNUMBER(SEARCH(democrattrigger,C38)))&gt;0)</f>
        <v>1</v>
      </c>
      <c r="Z38" s="14" cm="1">
        <f t="array" ref="Z38">INT(SUMPRODUCT(--ISNUMBER(SEARCH(bipartisan,C38)))&gt;0)</f>
        <v>0</v>
      </c>
      <c r="AA38" s="14">
        <f t="shared" si="0"/>
        <v>0</v>
      </c>
      <c r="AB38" s="14"/>
      <c r="AC38" s="30">
        <v>1</v>
      </c>
      <c r="AD38" s="37">
        <v>0</v>
      </c>
    </row>
    <row r="39" spans="1:30" x14ac:dyDescent="0.25">
      <c r="A39" s="36">
        <v>3444</v>
      </c>
      <c r="B39" s="14" t="s">
        <v>7513</v>
      </c>
      <c r="C39" s="14" t="s">
        <v>7514</v>
      </c>
      <c r="D39" s="17">
        <v>44132</v>
      </c>
      <c r="E39" s="14" t="s">
        <v>30</v>
      </c>
      <c r="F39" s="14">
        <v>443</v>
      </c>
      <c r="G39" s="14">
        <v>142</v>
      </c>
      <c r="H39" s="14">
        <v>16</v>
      </c>
      <c r="I39" s="14">
        <v>8</v>
      </c>
      <c r="J39" s="14" t="s">
        <v>204</v>
      </c>
      <c r="K39" s="14" cm="1">
        <f t="array" ref="K39">INT(SUMPRODUCT(--ISNUMBER(SEARCH(economy,C39)))&gt;0)</f>
        <v>0</v>
      </c>
      <c r="L39" s="14" cm="1">
        <f t="array" ref="L39">INT(SUMPRODUCT(--ISNUMBER(SEARCH(healthcare,C39)))&gt;0)</f>
        <v>0</v>
      </c>
      <c r="M39" s="14" cm="1">
        <f t="array" ref="M39">INT(SUMPRODUCT(--ISNUMBER(SEARCH(supreme,C39)))&gt;0)</f>
        <v>0</v>
      </c>
      <c r="N39" s="14" cm="1">
        <f t="array" ref="N39">INT(SUMPRODUCT(--ISNUMBER(SEARCH(covid,C39)))&gt;0)</f>
        <v>1</v>
      </c>
      <c r="O39" s="14" cm="1">
        <f t="array" ref="O39">INT(SUMPRODUCT(--ISNUMBER(SEARCH(violent,C39)))&gt;0)</f>
        <v>0</v>
      </c>
      <c r="P39" s="14" cm="1">
        <f t="array" ref="P39">INT(SUMPRODUCT(--ISNUMBER(SEARCH(foreign,C39)))&gt;0)</f>
        <v>0</v>
      </c>
      <c r="Q39" s="14" cm="1">
        <f t="array" ref="Q39">INT(SUMPRODUCT(--ISNUMBER(SEARCH(gun,C39)))&gt;0)</f>
        <v>0</v>
      </c>
      <c r="R39" s="14" cm="1">
        <f t="array" ref="R39">INT(SUMPRODUCT(--ISNUMBER(SEARCH(race,C39)))&gt;0)</f>
        <v>0</v>
      </c>
      <c r="S39" s="14" cm="1">
        <f t="array" ref="S39">INT(SUMPRODUCT(--ISNUMBER(SEARCH(immigration,C39)))&gt;0)</f>
        <v>0</v>
      </c>
      <c r="T39" s="14" cm="1">
        <f t="array" ref="T39">INT(SUMPRODUCT(--ISNUMBER(SEARCH(econineq,C40)))&gt;0)</f>
        <v>0</v>
      </c>
      <c r="U39" s="14" cm="1">
        <f t="array" ref="U39">INT(SUMPRODUCT(--ISNUMBER(SEARCH(climate,C39)))&gt;0)</f>
        <v>0</v>
      </c>
      <c r="V39" s="14" cm="1">
        <f t="array" ref="V39">INT(SUMPRODUCT(--ISNUMBER(SEARCH(abortion,C39)))&gt;0)</f>
        <v>0</v>
      </c>
      <c r="W39" s="14" cm="1">
        <f t="array" ref="W39">INT(SUMPRODUCT(--ISNUMBER(SEARCH(trump,C39)))&gt;0)</f>
        <v>0</v>
      </c>
      <c r="X39" s="14" cm="1">
        <f t="array" ref="X39">INT(SUMPRODUCT(--ISNUMBER(SEARCH(voting,C39)))&gt;0)</f>
        <v>1</v>
      </c>
      <c r="Y39" s="14" cm="1">
        <f t="array" ref="Y39">INT(SUMPRODUCT(--ISNUMBER(SEARCH(democrattrigger,C39)))&gt;0)</f>
        <v>1</v>
      </c>
      <c r="Z39" s="14" cm="1">
        <f t="array" ref="Z39">INT(SUMPRODUCT(--ISNUMBER(SEARCH(bipartisan,C39)))&gt;0)</f>
        <v>0</v>
      </c>
      <c r="AA39" s="14">
        <f t="shared" si="0"/>
        <v>0</v>
      </c>
      <c r="AB39" s="14"/>
      <c r="AC39" s="30" t="s">
        <v>223</v>
      </c>
      <c r="AD39" s="37" t="s">
        <v>223</v>
      </c>
    </row>
    <row r="40" spans="1:30" x14ac:dyDescent="0.25">
      <c r="A40" s="36">
        <v>3445</v>
      </c>
      <c r="B40" s="14" t="s">
        <v>7515</v>
      </c>
      <c r="C40" s="14" t="s">
        <v>7516</v>
      </c>
      <c r="D40" s="17">
        <v>44132</v>
      </c>
      <c r="E40" s="14" t="s">
        <v>30</v>
      </c>
      <c r="F40" s="14">
        <v>1034</v>
      </c>
      <c r="G40" s="14">
        <v>150</v>
      </c>
      <c r="H40" s="14">
        <v>16</v>
      </c>
      <c r="I40" s="14">
        <v>8</v>
      </c>
      <c r="J40" s="14" t="s">
        <v>204</v>
      </c>
      <c r="K40" s="14" cm="1">
        <f t="array" ref="K40">INT(SUMPRODUCT(--ISNUMBER(SEARCH(economy,C40)))&gt;0)</f>
        <v>0</v>
      </c>
      <c r="L40" s="14" cm="1">
        <f t="array" ref="L40">INT(SUMPRODUCT(--ISNUMBER(SEARCH(healthcare,C40)))&gt;0)</f>
        <v>0</v>
      </c>
      <c r="M40" s="14" cm="1">
        <f t="array" ref="M40">INT(SUMPRODUCT(--ISNUMBER(SEARCH(supreme,C40)))&gt;0)</f>
        <v>0</v>
      </c>
      <c r="N40" s="14" cm="1">
        <f t="array" ref="N40">INT(SUMPRODUCT(--ISNUMBER(SEARCH(covid,C40)))&gt;0)</f>
        <v>0</v>
      </c>
      <c r="O40" s="14" cm="1">
        <f t="array" ref="O40">INT(SUMPRODUCT(--ISNUMBER(SEARCH(violent,C40)))&gt;0)</f>
        <v>0</v>
      </c>
      <c r="P40" s="14" cm="1">
        <f t="array" ref="P40">INT(SUMPRODUCT(--ISNUMBER(SEARCH(foreign,C40)))&gt;0)</f>
        <v>0</v>
      </c>
      <c r="Q40" s="14" cm="1">
        <f t="array" ref="Q40">INT(SUMPRODUCT(--ISNUMBER(SEARCH(gun,C40)))&gt;0)</f>
        <v>0</v>
      </c>
      <c r="R40" s="14" cm="1">
        <f t="array" ref="R40">INT(SUMPRODUCT(--ISNUMBER(SEARCH(race,C40)))&gt;0)</f>
        <v>0</v>
      </c>
      <c r="S40" s="14" cm="1">
        <f t="array" ref="S40">INT(SUMPRODUCT(--ISNUMBER(SEARCH(immigration,C40)))&gt;0)</f>
        <v>0</v>
      </c>
      <c r="T40" s="14" cm="1">
        <f t="array" ref="T40">INT(SUMPRODUCT(--ISNUMBER(SEARCH(econineq,C41)))&gt;0)</f>
        <v>0</v>
      </c>
      <c r="U40" s="14" cm="1">
        <f t="array" ref="U40">INT(SUMPRODUCT(--ISNUMBER(SEARCH(climate,C40)))&gt;0)</f>
        <v>0</v>
      </c>
      <c r="V40" s="14" cm="1">
        <f t="array" ref="V40">INT(SUMPRODUCT(--ISNUMBER(SEARCH(abortion,C40)))&gt;0)</f>
        <v>0</v>
      </c>
      <c r="W40" s="14" cm="1">
        <f t="array" ref="W40">INT(SUMPRODUCT(--ISNUMBER(SEARCH(trump,C40)))&gt;0)</f>
        <v>0</v>
      </c>
      <c r="X40" s="14" cm="1">
        <f t="array" ref="X40">INT(SUMPRODUCT(--ISNUMBER(SEARCH(voting,C40)))&gt;0)</f>
        <v>0</v>
      </c>
      <c r="Y40" s="14" cm="1">
        <f t="array" ref="Y40">INT(SUMPRODUCT(--ISNUMBER(SEARCH(democrattrigger,C40)))&gt;0)</f>
        <v>0</v>
      </c>
      <c r="Z40" s="14" cm="1">
        <f t="array" ref="Z40">INT(SUMPRODUCT(--ISNUMBER(SEARCH(bipartisan,C40)))&gt;0)</f>
        <v>0</v>
      </c>
      <c r="AA40" s="14">
        <f t="shared" si="0"/>
        <v>1</v>
      </c>
      <c r="AB40" s="14"/>
      <c r="AC40" s="30">
        <v>1</v>
      </c>
      <c r="AD40" s="37">
        <v>0</v>
      </c>
    </row>
    <row r="41" spans="1:30" x14ac:dyDescent="0.25">
      <c r="A41" s="36">
        <v>3446</v>
      </c>
      <c r="B41" s="14" t="s">
        <v>7517</v>
      </c>
      <c r="C41" s="14" t="s">
        <v>7518</v>
      </c>
      <c r="D41" s="17">
        <v>44132</v>
      </c>
      <c r="E41" s="14" t="s">
        <v>30</v>
      </c>
      <c r="F41" s="14">
        <v>501</v>
      </c>
      <c r="G41" s="14">
        <v>91</v>
      </c>
      <c r="H41" s="14">
        <v>16</v>
      </c>
      <c r="I41" s="14">
        <v>8</v>
      </c>
      <c r="J41" s="14" t="s">
        <v>204</v>
      </c>
      <c r="K41" s="14" cm="1">
        <f t="array" ref="K41">INT(SUMPRODUCT(--ISNUMBER(SEARCH(economy,C41)))&gt;0)</f>
        <v>0</v>
      </c>
      <c r="L41" s="14" cm="1">
        <f t="array" ref="L41">INT(SUMPRODUCT(--ISNUMBER(SEARCH(healthcare,C41)))&gt;0)</f>
        <v>0</v>
      </c>
      <c r="M41" s="14" cm="1">
        <f t="array" ref="M41">INT(SUMPRODUCT(--ISNUMBER(SEARCH(supreme,C41)))&gt;0)</f>
        <v>0</v>
      </c>
      <c r="N41" s="14" cm="1">
        <f t="array" ref="N41">INT(SUMPRODUCT(--ISNUMBER(SEARCH(covid,C41)))&gt;0)</f>
        <v>0</v>
      </c>
      <c r="O41" s="14" cm="1">
        <f t="array" ref="O41">INT(SUMPRODUCT(--ISNUMBER(SEARCH(violent,C41)))&gt;0)</f>
        <v>0</v>
      </c>
      <c r="P41" s="14" cm="1">
        <f t="array" ref="P41">INT(SUMPRODUCT(--ISNUMBER(SEARCH(foreign,C41)))&gt;0)</f>
        <v>0</v>
      </c>
      <c r="Q41" s="14" cm="1">
        <f t="array" ref="Q41">INT(SUMPRODUCT(--ISNUMBER(SEARCH(gun,C41)))&gt;0)</f>
        <v>0</v>
      </c>
      <c r="R41" s="14" cm="1">
        <f t="array" ref="R41">INT(SUMPRODUCT(--ISNUMBER(SEARCH(race,C41)))&gt;0)</f>
        <v>0</v>
      </c>
      <c r="S41" s="14" cm="1">
        <f t="array" ref="S41">INT(SUMPRODUCT(--ISNUMBER(SEARCH(immigration,C41)))&gt;0)</f>
        <v>0</v>
      </c>
      <c r="T41" s="14" cm="1">
        <f t="array" ref="T41">INT(SUMPRODUCT(--ISNUMBER(SEARCH(econineq,C42)))&gt;0)</f>
        <v>0</v>
      </c>
      <c r="U41" s="14" cm="1">
        <f t="array" ref="U41">INT(SUMPRODUCT(--ISNUMBER(SEARCH(climate,C41)))&gt;0)</f>
        <v>0</v>
      </c>
      <c r="V41" s="14" cm="1">
        <f t="array" ref="V41">INT(SUMPRODUCT(--ISNUMBER(SEARCH(abortion,C41)))&gt;0)</f>
        <v>0</v>
      </c>
      <c r="W41" s="14" cm="1">
        <f t="array" ref="W41">INT(SUMPRODUCT(--ISNUMBER(SEARCH(trump,C41)))&gt;0)</f>
        <v>0</v>
      </c>
      <c r="X41" s="14" cm="1">
        <f t="array" ref="X41">INT(SUMPRODUCT(--ISNUMBER(SEARCH(voting,C41)))&gt;0)</f>
        <v>0</v>
      </c>
      <c r="Y41" s="14" cm="1">
        <f t="array" ref="Y41">INT(SUMPRODUCT(--ISNUMBER(SEARCH(democrattrigger,C41)))&gt;0)</f>
        <v>0</v>
      </c>
      <c r="Z41" s="14" cm="1">
        <f t="array" ref="Z41">INT(SUMPRODUCT(--ISNUMBER(SEARCH(bipartisan,C41)))&gt;0)</f>
        <v>0</v>
      </c>
      <c r="AA41" s="14">
        <f t="shared" si="0"/>
        <v>1</v>
      </c>
      <c r="AB41" s="14"/>
      <c r="AC41" s="30" t="s">
        <v>223</v>
      </c>
      <c r="AD41" s="37" t="s">
        <v>223</v>
      </c>
    </row>
    <row r="42" spans="1:30" x14ac:dyDescent="0.25">
      <c r="A42" s="36">
        <v>3447</v>
      </c>
      <c r="B42" s="14" t="s">
        <v>7519</v>
      </c>
      <c r="C42" s="14" t="s">
        <v>7520</v>
      </c>
      <c r="D42" s="17">
        <v>44132</v>
      </c>
      <c r="E42" s="14" t="s">
        <v>30</v>
      </c>
      <c r="F42" s="14">
        <v>612</v>
      </c>
      <c r="G42" s="14">
        <v>142</v>
      </c>
      <c r="H42" s="14">
        <v>16</v>
      </c>
      <c r="I42" s="14">
        <v>8</v>
      </c>
      <c r="J42" s="14" t="s">
        <v>204</v>
      </c>
      <c r="K42" s="14" cm="1">
        <f t="array" ref="K42">INT(SUMPRODUCT(--ISNUMBER(SEARCH(economy,C42)))&gt;0)</f>
        <v>1</v>
      </c>
      <c r="L42" s="14" cm="1">
        <f t="array" ref="L42">INT(SUMPRODUCT(--ISNUMBER(SEARCH(healthcare,C42)))&gt;0)</f>
        <v>1</v>
      </c>
      <c r="M42" s="14" cm="1">
        <f t="array" ref="M42">INT(SUMPRODUCT(--ISNUMBER(SEARCH(supreme,C42)))&gt;0)</f>
        <v>0</v>
      </c>
      <c r="N42" s="14" cm="1">
        <f t="array" ref="N42">INT(SUMPRODUCT(--ISNUMBER(SEARCH(covid,C42)))&gt;0)</f>
        <v>0</v>
      </c>
      <c r="O42" s="14" cm="1">
        <f t="array" ref="O42">INT(SUMPRODUCT(--ISNUMBER(SEARCH(violent,C42)))&gt;0)</f>
        <v>0</v>
      </c>
      <c r="P42" s="14" cm="1">
        <f t="array" ref="P42">INT(SUMPRODUCT(--ISNUMBER(SEARCH(foreign,C42)))&gt;0)</f>
        <v>0</v>
      </c>
      <c r="Q42" s="14" cm="1">
        <f t="array" ref="Q42">INT(SUMPRODUCT(--ISNUMBER(SEARCH(gun,C42)))&gt;0)</f>
        <v>0</v>
      </c>
      <c r="R42" s="14" cm="1">
        <f t="array" ref="R42">INT(SUMPRODUCT(--ISNUMBER(SEARCH(race,C42)))&gt;0)</f>
        <v>0</v>
      </c>
      <c r="S42" s="14" cm="1">
        <f t="array" ref="S42">INT(SUMPRODUCT(--ISNUMBER(SEARCH(immigration,C42)))&gt;0)</f>
        <v>0</v>
      </c>
      <c r="T42" s="14" cm="1">
        <f t="array" ref="T42">INT(SUMPRODUCT(--ISNUMBER(SEARCH(econineq,C43)))&gt;0)</f>
        <v>0</v>
      </c>
      <c r="U42" s="14" cm="1">
        <f t="array" ref="U42">INT(SUMPRODUCT(--ISNUMBER(SEARCH(climate,C42)))&gt;0)</f>
        <v>0</v>
      </c>
      <c r="V42" s="14" cm="1">
        <f t="array" ref="V42">INT(SUMPRODUCT(--ISNUMBER(SEARCH(abortion,C42)))&gt;0)</f>
        <v>0</v>
      </c>
      <c r="W42" s="14" cm="1">
        <f t="array" ref="W42">INT(SUMPRODUCT(--ISNUMBER(SEARCH(trump,C42)))&gt;0)</f>
        <v>0</v>
      </c>
      <c r="X42" s="14" cm="1">
        <f t="array" ref="X42">INT(SUMPRODUCT(--ISNUMBER(SEARCH(voting,C42)))&gt;0)</f>
        <v>1</v>
      </c>
      <c r="Y42" s="14" cm="1">
        <f t="array" ref="Y42">INT(SUMPRODUCT(--ISNUMBER(SEARCH(democrattrigger,C42)))&gt;0)</f>
        <v>0</v>
      </c>
      <c r="Z42" s="14" cm="1">
        <f t="array" ref="Z42">INT(SUMPRODUCT(--ISNUMBER(SEARCH(bipartisan,C42)))&gt;0)</f>
        <v>0</v>
      </c>
      <c r="AA42" s="14">
        <f t="shared" si="0"/>
        <v>0</v>
      </c>
      <c r="AB42" s="14"/>
      <c r="AC42" s="30">
        <v>1</v>
      </c>
      <c r="AD42" s="37">
        <v>0</v>
      </c>
    </row>
    <row r="43" spans="1:30" x14ac:dyDescent="0.25">
      <c r="A43" s="36">
        <v>3448</v>
      </c>
      <c r="B43" s="14" t="s">
        <v>7521</v>
      </c>
      <c r="C43" s="14" t="s">
        <v>7522</v>
      </c>
      <c r="D43" s="17">
        <v>44132</v>
      </c>
      <c r="E43" s="14" t="s">
        <v>30</v>
      </c>
      <c r="F43" s="14">
        <v>601</v>
      </c>
      <c r="G43" s="14">
        <v>194</v>
      </c>
      <c r="H43" s="14">
        <v>16</v>
      </c>
      <c r="I43" s="14">
        <v>8</v>
      </c>
      <c r="J43" s="14" t="s">
        <v>204</v>
      </c>
      <c r="K43" s="14" cm="1">
        <f t="array" ref="K43">INT(SUMPRODUCT(--ISNUMBER(SEARCH(economy,C43)))&gt;0)</f>
        <v>0</v>
      </c>
      <c r="L43" s="14" cm="1">
        <f t="array" ref="L43">INT(SUMPRODUCT(--ISNUMBER(SEARCH(healthcare,C43)))&gt;0)</f>
        <v>0</v>
      </c>
      <c r="M43" s="14" cm="1">
        <f t="array" ref="M43">INT(SUMPRODUCT(--ISNUMBER(SEARCH(supreme,C43)))&gt;0)</f>
        <v>0</v>
      </c>
      <c r="N43" s="14" cm="1">
        <f t="array" ref="N43">INT(SUMPRODUCT(--ISNUMBER(SEARCH(covid,C43)))&gt;0)</f>
        <v>0</v>
      </c>
      <c r="O43" s="14" cm="1">
        <f t="array" ref="O43">INT(SUMPRODUCT(--ISNUMBER(SEARCH(violent,C43)))&gt;0)</f>
        <v>0</v>
      </c>
      <c r="P43" s="14" cm="1">
        <f t="array" ref="P43">INT(SUMPRODUCT(--ISNUMBER(SEARCH(foreign,C43)))&gt;0)</f>
        <v>0</v>
      </c>
      <c r="Q43" s="14" cm="1">
        <f t="array" ref="Q43">INT(SUMPRODUCT(--ISNUMBER(SEARCH(gun,C43)))&gt;0)</f>
        <v>0</v>
      </c>
      <c r="R43" s="14" cm="1">
        <f t="array" ref="R43">INT(SUMPRODUCT(--ISNUMBER(SEARCH(race,C43)))&gt;0)</f>
        <v>0</v>
      </c>
      <c r="S43" s="14" cm="1">
        <f t="array" ref="S43">INT(SUMPRODUCT(--ISNUMBER(SEARCH(immigration,C43)))&gt;0)</f>
        <v>0</v>
      </c>
      <c r="T43" s="14" cm="1">
        <f t="array" ref="T43">INT(SUMPRODUCT(--ISNUMBER(SEARCH(econineq,C44)))&gt;0)</f>
        <v>0</v>
      </c>
      <c r="U43" s="14" cm="1">
        <f t="array" ref="U43">INT(SUMPRODUCT(--ISNUMBER(SEARCH(climate,C43)))&gt;0)</f>
        <v>0</v>
      </c>
      <c r="V43" s="14" cm="1">
        <f t="array" ref="V43">INT(SUMPRODUCT(--ISNUMBER(SEARCH(abortion,C43)))&gt;0)</f>
        <v>0</v>
      </c>
      <c r="W43" s="14" cm="1">
        <f t="array" ref="W43">INT(SUMPRODUCT(--ISNUMBER(SEARCH(trump,C43)))&gt;0)</f>
        <v>0</v>
      </c>
      <c r="X43" s="14" cm="1">
        <f t="array" ref="X43">INT(SUMPRODUCT(--ISNUMBER(SEARCH(voting,C43)))&gt;0)</f>
        <v>0</v>
      </c>
      <c r="Y43" s="14" cm="1">
        <f t="array" ref="Y43">INT(SUMPRODUCT(--ISNUMBER(SEARCH(democrattrigger,C43)))&gt;0)</f>
        <v>1</v>
      </c>
      <c r="Z43" s="14" cm="1">
        <f t="array" ref="Z43">INT(SUMPRODUCT(--ISNUMBER(SEARCH(bipartisan,C43)))&gt;0)</f>
        <v>0</v>
      </c>
      <c r="AA43" s="14">
        <f t="shared" si="0"/>
        <v>0</v>
      </c>
      <c r="AB43" s="14"/>
      <c r="AC43" s="30" t="s">
        <v>223</v>
      </c>
      <c r="AD43" s="37" t="s">
        <v>223</v>
      </c>
    </row>
    <row r="44" spans="1:30" x14ac:dyDescent="0.25">
      <c r="A44" s="36">
        <v>3449</v>
      </c>
      <c r="B44" s="14" t="s">
        <v>7523</v>
      </c>
      <c r="C44" s="14" t="s">
        <v>7524</v>
      </c>
      <c r="D44" s="17">
        <v>44132</v>
      </c>
      <c r="E44" s="14" t="s">
        <v>30</v>
      </c>
      <c r="F44" s="14">
        <v>616</v>
      </c>
      <c r="G44" s="14">
        <v>171</v>
      </c>
      <c r="H44" s="14">
        <v>16</v>
      </c>
      <c r="I44" s="14">
        <v>8</v>
      </c>
      <c r="J44" s="14" t="s">
        <v>204</v>
      </c>
      <c r="K44" s="14" cm="1">
        <f t="array" ref="K44">INT(SUMPRODUCT(--ISNUMBER(SEARCH(economy,C44)))&gt;0)</f>
        <v>0</v>
      </c>
      <c r="L44" s="14" cm="1">
        <f t="array" ref="L44">INT(SUMPRODUCT(--ISNUMBER(SEARCH(healthcare,C44)))&gt;0)</f>
        <v>0</v>
      </c>
      <c r="M44" s="14" cm="1">
        <f t="array" ref="M44">INT(SUMPRODUCT(--ISNUMBER(SEARCH(supreme,C44)))&gt;0)</f>
        <v>0</v>
      </c>
      <c r="N44" s="14" cm="1">
        <f t="array" ref="N44">INT(SUMPRODUCT(--ISNUMBER(SEARCH(covid,C44)))&gt;0)</f>
        <v>0</v>
      </c>
      <c r="O44" s="14" cm="1">
        <f t="array" ref="O44">INT(SUMPRODUCT(--ISNUMBER(SEARCH(violent,C44)))&gt;0)</f>
        <v>0</v>
      </c>
      <c r="P44" s="14" cm="1">
        <f t="array" ref="P44">INT(SUMPRODUCT(--ISNUMBER(SEARCH(foreign,C44)))&gt;0)</f>
        <v>0</v>
      </c>
      <c r="Q44" s="14" cm="1">
        <f t="array" ref="Q44">INT(SUMPRODUCT(--ISNUMBER(SEARCH(gun,C44)))&gt;0)</f>
        <v>0</v>
      </c>
      <c r="R44" s="14" cm="1">
        <f t="array" ref="R44">INT(SUMPRODUCT(--ISNUMBER(SEARCH(race,C44)))&gt;0)</f>
        <v>0</v>
      </c>
      <c r="S44" s="14" cm="1">
        <f t="array" ref="S44">INT(SUMPRODUCT(--ISNUMBER(SEARCH(immigration,C44)))&gt;0)</f>
        <v>0</v>
      </c>
      <c r="T44" s="14" cm="1">
        <f t="array" ref="T44">INT(SUMPRODUCT(--ISNUMBER(SEARCH(econineq,C45)))&gt;0)</f>
        <v>0</v>
      </c>
      <c r="U44" s="14" cm="1">
        <f t="array" ref="U44">INT(SUMPRODUCT(--ISNUMBER(SEARCH(climate,C44)))&gt;0)</f>
        <v>0</v>
      </c>
      <c r="V44" s="14" cm="1">
        <f t="array" ref="V44">INT(SUMPRODUCT(--ISNUMBER(SEARCH(abortion,C44)))&gt;0)</f>
        <v>0</v>
      </c>
      <c r="W44" s="14" cm="1">
        <f t="array" ref="W44">INT(SUMPRODUCT(--ISNUMBER(SEARCH(trump,C44)))&gt;0)</f>
        <v>0</v>
      </c>
      <c r="X44" s="14" cm="1">
        <f t="array" ref="X44">INT(SUMPRODUCT(--ISNUMBER(SEARCH(voting,C44)))&gt;0)</f>
        <v>0</v>
      </c>
      <c r="Y44" s="14" cm="1">
        <f t="array" ref="Y44">INT(SUMPRODUCT(--ISNUMBER(SEARCH(democrattrigger,C44)))&gt;0)</f>
        <v>1</v>
      </c>
      <c r="Z44" s="14" cm="1">
        <f t="array" ref="Z44">INT(SUMPRODUCT(--ISNUMBER(SEARCH(bipartisan,C44)))&gt;0)</f>
        <v>0</v>
      </c>
      <c r="AA44" s="14">
        <f t="shared" si="0"/>
        <v>0</v>
      </c>
      <c r="AB44" s="14"/>
      <c r="AC44" s="30">
        <v>1</v>
      </c>
      <c r="AD44" s="37">
        <v>1</v>
      </c>
    </row>
    <row r="45" spans="1:30" x14ac:dyDescent="0.25">
      <c r="A45" s="36">
        <v>3450</v>
      </c>
      <c r="B45" s="14" t="s">
        <v>7525</v>
      </c>
      <c r="C45" s="14" t="s">
        <v>7526</v>
      </c>
      <c r="D45" s="17">
        <v>44131</v>
      </c>
      <c r="E45" s="14" t="s">
        <v>30</v>
      </c>
      <c r="F45" s="14">
        <v>842</v>
      </c>
      <c r="G45" s="14">
        <v>166</v>
      </c>
      <c r="H45" s="14">
        <v>16</v>
      </c>
      <c r="I45" s="14">
        <v>8</v>
      </c>
      <c r="J45" s="14" t="s">
        <v>204</v>
      </c>
      <c r="K45" s="14" cm="1">
        <f t="array" ref="K45">INT(SUMPRODUCT(--ISNUMBER(SEARCH(economy,C45)))&gt;0)</f>
        <v>1</v>
      </c>
      <c r="L45" s="14" cm="1">
        <f t="array" ref="L45">INT(SUMPRODUCT(--ISNUMBER(SEARCH(healthcare,C45)))&gt;0)</f>
        <v>0</v>
      </c>
      <c r="M45" s="14" cm="1">
        <f t="array" ref="M45">INT(SUMPRODUCT(--ISNUMBER(SEARCH(supreme,C45)))&gt;0)</f>
        <v>0</v>
      </c>
      <c r="N45" s="14" cm="1">
        <f t="array" ref="N45">INT(SUMPRODUCT(--ISNUMBER(SEARCH(covid,C45)))&gt;0)</f>
        <v>0</v>
      </c>
      <c r="O45" s="14" cm="1">
        <f t="array" ref="O45">INT(SUMPRODUCT(--ISNUMBER(SEARCH(violent,C45)))&gt;0)</f>
        <v>0</v>
      </c>
      <c r="P45" s="14" cm="1">
        <f t="array" ref="P45">INT(SUMPRODUCT(--ISNUMBER(SEARCH(foreign,C45)))&gt;0)</f>
        <v>0</v>
      </c>
      <c r="Q45" s="14" cm="1">
        <f t="array" ref="Q45">INT(SUMPRODUCT(--ISNUMBER(SEARCH(gun,C45)))&gt;0)</f>
        <v>0</v>
      </c>
      <c r="R45" s="14" cm="1">
        <f t="array" ref="R45">INT(SUMPRODUCT(--ISNUMBER(SEARCH(race,C45)))&gt;0)</f>
        <v>0</v>
      </c>
      <c r="S45" s="14" cm="1">
        <f t="array" ref="S45">INT(SUMPRODUCT(--ISNUMBER(SEARCH(immigration,C45)))&gt;0)</f>
        <v>0</v>
      </c>
      <c r="T45" s="14" cm="1">
        <f t="array" ref="T45">INT(SUMPRODUCT(--ISNUMBER(SEARCH(econineq,C46)))&gt;0)</f>
        <v>0</v>
      </c>
      <c r="U45" s="14" cm="1">
        <f t="array" ref="U45">INT(SUMPRODUCT(--ISNUMBER(SEARCH(climate,C45)))&gt;0)</f>
        <v>0</v>
      </c>
      <c r="V45" s="14" cm="1">
        <f t="array" ref="V45">INT(SUMPRODUCT(--ISNUMBER(SEARCH(abortion,C45)))&gt;0)</f>
        <v>0</v>
      </c>
      <c r="W45" s="14" cm="1">
        <f t="array" ref="W45">INT(SUMPRODUCT(--ISNUMBER(SEARCH(trump,C45)))&gt;0)</f>
        <v>0</v>
      </c>
      <c r="X45" s="14" cm="1">
        <f t="array" ref="X45">INT(SUMPRODUCT(--ISNUMBER(SEARCH(voting,C45)))&gt;0)</f>
        <v>1</v>
      </c>
      <c r="Y45" s="14" cm="1">
        <f t="array" ref="Y45">INT(SUMPRODUCT(--ISNUMBER(SEARCH(democrattrigger,C45)))&gt;0)</f>
        <v>0</v>
      </c>
      <c r="Z45" s="14" cm="1">
        <f t="array" ref="Z45">INT(SUMPRODUCT(--ISNUMBER(SEARCH(bipartisan,C45)))&gt;0)</f>
        <v>0</v>
      </c>
      <c r="AA45" s="14">
        <f t="shared" si="0"/>
        <v>0</v>
      </c>
      <c r="AB45" s="14"/>
      <c r="AC45" s="30">
        <v>1</v>
      </c>
      <c r="AD45" s="37">
        <v>0</v>
      </c>
    </row>
    <row r="46" spans="1:30" x14ac:dyDescent="0.25">
      <c r="A46" s="36">
        <v>3451</v>
      </c>
      <c r="B46" s="14" t="s">
        <v>7527</v>
      </c>
      <c r="C46" s="14" t="s">
        <v>7528</v>
      </c>
      <c r="D46" s="17">
        <v>44131</v>
      </c>
      <c r="E46" s="14" t="s">
        <v>30</v>
      </c>
      <c r="F46" s="14">
        <v>7883</v>
      </c>
      <c r="G46" s="14">
        <v>2306</v>
      </c>
      <c r="H46" s="14">
        <v>16</v>
      </c>
      <c r="I46" s="14">
        <v>8</v>
      </c>
      <c r="J46" s="14" t="s">
        <v>204</v>
      </c>
      <c r="K46" s="14" cm="1">
        <f t="array" ref="K46">INT(SUMPRODUCT(--ISNUMBER(SEARCH(economy,C46)))&gt;0)</f>
        <v>0</v>
      </c>
      <c r="L46" s="14" cm="1">
        <f t="array" ref="L46">INT(SUMPRODUCT(--ISNUMBER(SEARCH(healthcare,C46)))&gt;0)</f>
        <v>0</v>
      </c>
      <c r="M46" s="14" cm="1">
        <f t="array" ref="M46">INT(SUMPRODUCT(--ISNUMBER(SEARCH(supreme,C46)))&gt;0)</f>
        <v>1</v>
      </c>
      <c r="N46" s="14" cm="1">
        <f t="array" ref="N46">INT(SUMPRODUCT(--ISNUMBER(SEARCH(covid,C46)))&gt;0)</f>
        <v>0</v>
      </c>
      <c r="O46" s="14" cm="1">
        <f t="array" ref="O46">INT(SUMPRODUCT(--ISNUMBER(SEARCH(violent,C46)))&gt;0)</f>
        <v>0</v>
      </c>
      <c r="P46" s="14" cm="1">
        <f t="array" ref="P46">INT(SUMPRODUCT(--ISNUMBER(SEARCH(foreign,C46)))&gt;0)</f>
        <v>0</v>
      </c>
      <c r="Q46" s="14" cm="1">
        <f t="array" ref="Q46">INT(SUMPRODUCT(--ISNUMBER(SEARCH(gun,C46)))&gt;0)</f>
        <v>0</v>
      </c>
      <c r="R46" s="14" cm="1">
        <f t="array" ref="R46">INT(SUMPRODUCT(--ISNUMBER(SEARCH(race,C46)))&gt;0)</f>
        <v>0</v>
      </c>
      <c r="S46" s="14" cm="1">
        <f t="array" ref="S46">INT(SUMPRODUCT(--ISNUMBER(SEARCH(immigration,C46)))&gt;0)</f>
        <v>0</v>
      </c>
      <c r="T46" s="14" cm="1">
        <f t="array" ref="T46">INT(SUMPRODUCT(--ISNUMBER(SEARCH(econineq,C47)))&gt;0)</f>
        <v>0</v>
      </c>
      <c r="U46" s="14" cm="1">
        <f t="array" ref="U46">INT(SUMPRODUCT(--ISNUMBER(SEARCH(climate,C46)))&gt;0)</f>
        <v>0</v>
      </c>
      <c r="V46" s="14" cm="1">
        <f t="array" ref="V46">INT(SUMPRODUCT(--ISNUMBER(SEARCH(abortion,C46)))&gt;0)</f>
        <v>0</v>
      </c>
      <c r="W46" s="14" cm="1">
        <f t="array" ref="W46">INT(SUMPRODUCT(--ISNUMBER(SEARCH(trump,C46)))&gt;0)</f>
        <v>0</v>
      </c>
      <c r="X46" s="14" cm="1">
        <f t="array" ref="X46">INT(SUMPRODUCT(--ISNUMBER(SEARCH(voting,C46)))&gt;0)</f>
        <v>1</v>
      </c>
      <c r="Y46" s="14" cm="1">
        <f t="array" ref="Y46">INT(SUMPRODUCT(--ISNUMBER(SEARCH(democrattrigger,C46)))&gt;0)</f>
        <v>1</v>
      </c>
      <c r="Z46" s="14" cm="1">
        <f t="array" ref="Z46">INT(SUMPRODUCT(--ISNUMBER(SEARCH(bipartisan,C46)))&gt;0)</f>
        <v>0</v>
      </c>
      <c r="AA46" s="14">
        <f t="shared" si="0"/>
        <v>0</v>
      </c>
      <c r="AB46" s="14"/>
      <c r="AC46" s="30">
        <v>1</v>
      </c>
      <c r="AD46" s="37">
        <v>0</v>
      </c>
    </row>
    <row r="47" spans="1:30" x14ac:dyDescent="0.25">
      <c r="A47" s="36">
        <v>3452</v>
      </c>
      <c r="B47" s="14" t="s">
        <v>7529</v>
      </c>
      <c r="C47" s="14" t="s">
        <v>7530</v>
      </c>
      <c r="D47" s="17">
        <v>44131</v>
      </c>
      <c r="E47" s="14" t="s">
        <v>30</v>
      </c>
      <c r="F47" s="14">
        <v>836</v>
      </c>
      <c r="G47" s="14">
        <v>187</v>
      </c>
      <c r="H47" s="14">
        <v>16</v>
      </c>
      <c r="I47" s="14">
        <v>8</v>
      </c>
      <c r="J47" s="14" t="s">
        <v>204</v>
      </c>
      <c r="K47" s="14" cm="1">
        <f t="array" ref="K47">INT(SUMPRODUCT(--ISNUMBER(SEARCH(economy,C47)))&gt;0)</f>
        <v>0</v>
      </c>
      <c r="L47" s="14" cm="1">
        <f t="array" ref="L47">INT(SUMPRODUCT(--ISNUMBER(SEARCH(healthcare,C47)))&gt;0)</f>
        <v>0</v>
      </c>
      <c r="M47" s="14" cm="1">
        <f t="array" ref="M47">INT(SUMPRODUCT(--ISNUMBER(SEARCH(supreme,C47)))&gt;0)</f>
        <v>0</v>
      </c>
      <c r="N47" s="14" cm="1">
        <f t="array" ref="N47">INT(SUMPRODUCT(--ISNUMBER(SEARCH(covid,C47)))&gt;0)</f>
        <v>0</v>
      </c>
      <c r="O47" s="14" cm="1">
        <f t="array" ref="O47">INT(SUMPRODUCT(--ISNUMBER(SEARCH(violent,C47)))&gt;0)</f>
        <v>0</v>
      </c>
      <c r="P47" s="14" cm="1">
        <f t="array" ref="P47">INT(SUMPRODUCT(--ISNUMBER(SEARCH(foreign,C47)))&gt;0)</f>
        <v>0</v>
      </c>
      <c r="Q47" s="14" cm="1">
        <f t="array" ref="Q47">INT(SUMPRODUCT(--ISNUMBER(SEARCH(gun,C47)))&gt;0)</f>
        <v>0</v>
      </c>
      <c r="R47" s="14" cm="1">
        <f t="array" ref="R47">INT(SUMPRODUCT(--ISNUMBER(SEARCH(race,C47)))&gt;0)</f>
        <v>0</v>
      </c>
      <c r="S47" s="14" cm="1">
        <f t="array" ref="S47">INT(SUMPRODUCT(--ISNUMBER(SEARCH(immigration,C47)))&gt;0)</f>
        <v>0</v>
      </c>
      <c r="T47" s="14" cm="1">
        <f t="array" ref="T47">INT(SUMPRODUCT(--ISNUMBER(SEARCH(econineq,C48)))&gt;0)</f>
        <v>0</v>
      </c>
      <c r="U47" s="14" cm="1">
        <f t="array" ref="U47">INT(SUMPRODUCT(--ISNUMBER(SEARCH(climate,C47)))&gt;0)</f>
        <v>0</v>
      </c>
      <c r="V47" s="14" cm="1">
        <f t="array" ref="V47">INT(SUMPRODUCT(--ISNUMBER(SEARCH(abortion,C47)))&gt;0)</f>
        <v>0</v>
      </c>
      <c r="W47" s="14" cm="1">
        <f t="array" ref="W47">INT(SUMPRODUCT(--ISNUMBER(SEARCH(trump,C47)))&gt;0)</f>
        <v>0</v>
      </c>
      <c r="X47" s="14" cm="1">
        <f t="array" ref="X47">INT(SUMPRODUCT(--ISNUMBER(SEARCH(voting,C47)))&gt;0)</f>
        <v>1</v>
      </c>
      <c r="Y47" s="14" cm="1">
        <f t="array" ref="Y47">INT(SUMPRODUCT(--ISNUMBER(SEARCH(democrattrigger,C47)))&gt;0)</f>
        <v>0</v>
      </c>
      <c r="Z47" s="14" cm="1">
        <f t="array" ref="Z47">INT(SUMPRODUCT(--ISNUMBER(SEARCH(bipartisan,C47)))&gt;0)</f>
        <v>0</v>
      </c>
      <c r="AA47" s="14">
        <f t="shared" si="0"/>
        <v>0</v>
      </c>
      <c r="AB47" s="14"/>
      <c r="AC47" s="30" t="s">
        <v>223</v>
      </c>
      <c r="AD47" s="37" t="s">
        <v>223</v>
      </c>
    </row>
    <row r="48" spans="1:30" x14ac:dyDescent="0.25">
      <c r="A48" s="36">
        <v>3453</v>
      </c>
      <c r="B48" s="14" t="s">
        <v>7531</v>
      </c>
      <c r="C48" s="14" t="s">
        <v>7532</v>
      </c>
      <c r="D48" s="17">
        <v>44131</v>
      </c>
      <c r="E48" s="14" t="s">
        <v>30</v>
      </c>
      <c r="F48" s="14">
        <v>810</v>
      </c>
      <c r="G48" s="14">
        <v>168</v>
      </c>
      <c r="H48" s="14">
        <v>16</v>
      </c>
      <c r="I48" s="14">
        <v>8</v>
      </c>
      <c r="J48" s="14" t="s">
        <v>204</v>
      </c>
      <c r="K48" s="14" cm="1">
        <f t="array" ref="K48">INT(SUMPRODUCT(--ISNUMBER(SEARCH(economy,C48)))&gt;0)</f>
        <v>0</v>
      </c>
      <c r="L48" s="14" cm="1">
        <f t="array" ref="L48">INT(SUMPRODUCT(--ISNUMBER(SEARCH(healthcare,C48)))&gt;0)</f>
        <v>0</v>
      </c>
      <c r="M48" s="14" cm="1">
        <f t="array" ref="M48">INT(SUMPRODUCT(--ISNUMBER(SEARCH(supreme,C48)))&gt;0)</f>
        <v>0</v>
      </c>
      <c r="N48" s="14" cm="1">
        <f t="array" ref="N48">INT(SUMPRODUCT(--ISNUMBER(SEARCH(covid,C48)))&gt;0)</f>
        <v>0</v>
      </c>
      <c r="O48" s="14" cm="1">
        <f t="array" ref="O48">INT(SUMPRODUCT(--ISNUMBER(SEARCH(violent,C48)))&gt;0)</f>
        <v>0</v>
      </c>
      <c r="P48" s="14" cm="1">
        <f t="array" ref="P48">INT(SUMPRODUCT(--ISNUMBER(SEARCH(foreign,C48)))&gt;0)</f>
        <v>0</v>
      </c>
      <c r="Q48" s="14" cm="1">
        <f t="array" ref="Q48">INT(SUMPRODUCT(--ISNUMBER(SEARCH(gun,C48)))&gt;0)</f>
        <v>0</v>
      </c>
      <c r="R48" s="14" cm="1">
        <f t="array" ref="R48">INT(SUMPRODUCT(--ISNUMBER(SEARCH(race,C48)))&gt;0)</f>
        <v>0</v>
      </c>
      <c r="S48" s="14" cm="1">
        <f t="array" ref="S48">INT(SUMPRODUCT(--ISNUMBER(SEARCH(immigration,C48)))&gt;0)</f>
        <v>0</v>
      </c>
      <c r="T48" s="14" cm="1">
        <f t="array" ref="T48">INT(SUMPRODUCT(--ISNUMBER(SEARCH(econineq,C49)))&gt;0)</f>
        <v>0</v>
      </c>
      <c r="U48" s="14" cm="1">
        <f t="array" ref="U48">INT(SUMPRODUCT(--ISNUMBER(SEARCH(climate,C48)))&gt;0)</f>
        <v>0</v>
      </c>
      <c r="V48" s="14" cm="1">
        <f t="array" ref="V48">INT(SUMPRODUCT(--ISNUMBER(SEARCH(abortion,C48)))&gt;0)</f>
        <v>0</v>
      </c>
      <c r="W48" s="14" cm="1">
        <f t="array" ref="W48">INT(SUMPRODUCT(--ISNUMBER(SEARCH(trump,C48)))&gt;0)</f>
        <v>0</v>
      </c>
      <c r="X48" s="14" cm="1">
        <f t="array" ref="X48">INT(SUMPRODUCT(--ISNUMBER(SEARCH(voting,C48)))&gt;0)</f>
        <v>0</v>
      </c>
      <c r="Y48" s="14" cm="1">
        <f t="array" ref="Y48">INT(SUMPRODUCT(--ISNUMBER(SEARCH(democrattrigger,C48)))&gt;0)</f>
        <v>0</v>
      </c>
      <c r="Z48" s="14" cm="1">
        <f t="array" ref="Z48">INT(SUMPRODUCT(--ISNUMBER(SEARCH(bipartisan,C48)))&gt;0)</f>
        <v>0</v>
      </c>
      <c r="AA48" s="14">
        <f t="shared" si="0"/>
        <v>1</v>
      </c>
      <c r="AB48" s="14"/>
      <c r="AC48" s="30">
        <v>1</v>
      </c>
      <c r="AD48" s="37">
        <v>0</v>
      </c>
    </row>
    <row r="49" spans="1:30" x14ac:dyDescent="0.25">
      <c r="A49" s="36">
        <v>3454</v>
      </c>
      <c r="B49" s="14" t="s">
        <v>7533</v>
      </c>
      <c r="C49" s="14" t="s">
        <v>7534</v>
      </c>
      <c r="D49" s="17">
        <v>44131</v>
      </c>
      <c r="E49" s="14" t="s">
        <v>30</v>
      </c>
      <c r="F49" s="14">
        <v>1893</v>
      </c>
      <c r="G49" s="14">
        <v>457</v>
      </c>
      <c r="H49" s="14">
        <v>16</v>
      </c>
      <c r="I49" s="14">
        <v>8</v>
      </c>
      <c r="J49" s="14" t="s">
        <v>204</v>
      </c>
      <c r="K49" s="14" cm="1">
        <f t="array" ref="K49">INT(SUMPRODUCT(--ISNUMBER(SEARCH(economy,C49)))&gt;0)</f>
        <v>0</v>
      </c>
      <c r="L49" s="14" cm="1">
        <f t="array" ref="L49">INT(SUMPRODUCT(--ISNUMBER(SEARCH(healthcare,C49)))&gt;0)</f>
        <v>0</v>
      </c>
      <c r="M49" s="14" cm="1">
        <f t="array" ref="M49">INT(SUMPRODUCT(--ISNUMBER(SEARCH(supreme,C49)))&gt;0)</f>
        <v>1</v>
      </c>
      <c r="N49" s="14" cm="1">
        <f t="array" ref="N49">INT(SUMPRODUCT(--ISNUMBER(SEARCH(covid,C49)))&gt;0)</f>
        <v>0</v>
      </c>
      <c r="O49" s="14" cm="1">
        <f t="array" ref="O49">INT(SUMPRODUCT(--ISNUMBER(SEARCH(violent,C49)))&gt;0)</f>
        <v>0</v>
      </c>
      <c r="P49" s="14" cm="1">
        <f t="array" ref="P49">INT(SUMPRODUCT(--ISNUMBER(SEARCH(foreign,C49)))&gt;0)</f>
        <v>0</v>
      </c>
      <c r="Q49" s="14" cm="1">
        <f t="array" ref="Q49">INT(SUMPRODUCT(--ISNUMBER(SEARCH(gun,C49)))&gt;0)</f>
        <v>0</v>
      </c>
      <c r="R49" s="14" cm="1">
        <f t="array" ref="R49">INT(SUMPRODUCT(--ISNUMBER(SEARCH(race,C49)))&gt;0)</f>
        <v>0</v>
      </c>
      <c r="S49" s="14" cm="1">
        <f t="array" ref="S49">INT(SUMPRODUCT(--ISNUMBER(SEARCH(immigration,C49)))&gt;0)</f>
        <v>0</v>
      </c>
      <c r="T49" s="14" cm="1">
        <f t="array" ref="T49">INT(SUMPRODUCT(--ISNUMBER(SEARCH(econineq,C50)))&gt;0)</f>
        <v>0</v>
      </c>
      <c r="U49" s="14" cm="1">
        <f t="array" ref="U49">INT(SUMPRODUCT(--ISNUMBER(SEARCH(climate,C49)))&gt;0)</f>
        <v>0</v>
      </c>
      <c r="V49" s="14" cm="1">
        <f t="array" ref="V49">INT(SUMPRODUCT(--ISNUMBER(SEARCH(abortion,C49)))&gt;0)</f>
        <v>0</v>
      </c>
      <c r="W49" s="14" cm="1">
        <f t="array" ref="W49">INT(SUMPRODUCT(--ISNUMBER(SEARCH(trump,C49)))&gt;0)</f>
        <v>0</v>
      </c>
      <c r="X49" s="14" cm="1">
        <f t="array" ref="X49">INT(SUMPRODUCT(--ISNUMBER(SEARCH(voting,C49)))&gt;0)</f>
        <v>0</v>
      </c>
      <c r="Y49" s="14" cm="1">
        <f t="array" ref="Y49">INT(SUMPRODUCT(--ISNUMBER(SEARCH(democrattrigger,C49)))&gt;0)</f>
        <v>0</v>
      </c>
      <c r="Z49" s="14" cm="1">
        <f t="array" ref="Z49">INT(SUMPRODUCT(--ISNUMBER(SEARCH(bipartisan,C49)))&gt;0)</f>
        <v>0</v>
      </c>
      <c r="AA49" s="14">
        <f t="shared" si="0"/>
        <v>0</v>
      </c>
      <c r="AB49" s="14"/>
      <c r="AC49" s="30">
        <v>1</v>
      </c>
      <c r="AD49" s="37">
        <v>0</v>
      </c>
    </row>
    <row r="50" spans="1:30" x14ac:dyDescent="0.25">
      <c r="A50" s="36">
        <v>3455</v>
      </c>
      <c r="B50" s="14" t="s">
        <v>7535</v>
      </c>
      <c r="C50" s="14" t="s">
        <v>7536</v>
      </c>
      <c r="D50" s="17">
        <v>44130</v>
      </c>
      <c r="E50" s="14" t="s">
        <v>30</v>
      </c>
      <c r="F50" s="14">
        <v>995</v>
      </c>
      <c r="G50" s="14">
        <v>191</v>
      </c>
      <c r="H50" s="14">
        <v>16</v>
      </c>
      <c r="I50" s="14">
        <v>8</v>
      </c>
      <c r="J50" s="14" t="s">
        <v>204</v>
      </c>
      <c r="K50" s="14" cm="1">
        <f t="array" ref="K50">INT(SUMPRODUCT(--ISNUMBER(SEARCH(economy,C50)))&gt;0)</f>
        <v>1</v>
      </c>
      <c r="L50" s="14" cm="1">
        <f t="array" ref="L50">INT(SUMPRODUCT(--ISNUMBER(SEARCH(healthcare,C50)))&gt;0)</f>
        <v>0</v>
      </c>
      <c r="M50" s="14" cm="1">
        <f t="array" ref="M50">INT(SUMPRODUCT(--ISNUMBER(SEARCH(supreme,C50)))&gt;0)</f>
        <v>0</v>
      </c>
      <c r="N50" s="14" cm="1">
        <f t="array" ref="N50">INT(SUMPRODUCT(--ISNUMBER(SEARCH(covid,C50)))&gt;0)</f>
        <v>0</v>
      </c>
      <c r="O50" s="14" cm="1">
        <f t="array" ref="O50">INT(SUMPRODUCT(--ISNUMBER(SEARCH(violent,C50)))&gt;0)</f>
        <v>0</v>
      </c>
      <c r="P50" s="14" cm="1">
        <f t="array" ref="P50">INT(SUMPRODUCT(--ISNUMBER(SEARCH(foreign,C50)))&gt;0)</f>
        <v>0</v>
      </c>
      <c r="Q50" s="14" cm="1">
        <f t="array" ref="Q50">INT(SUMPRODUCT(--ISNUMBER(SEARCH(gun,C50)))&gt;0)</f>
        <v>0</v>
      </c>
      <c r="R50" s="14" cm="1">
        <f t="array" ref="R50">INT(SUMPRODUCT(--ISNUMBER(SEARCH(race,C50)))&gt;0)</f>
        <v>0</v>
      </c>
      <c r="S50" s="14" cm="1">
        <f t="array" ref="S50">INT(SUMPRODUCT(--ISNUMBER(SEARCH(immigration,C50)))&gt;0)</f>
        <v>0</v>
      </c>
      <c r="T50" s="14" cm="1">
        <f t="array" ref="T50">INT(SUMPRODUCT(--ISNUMBER(SEARCH(econineq,C51)))&gt;0)</f>
        <v>0</v>
      </c>
      <c r="U50" s="14" cm="1">
        <f t="array" ref="U50">INT(SUMPRODUCT(--ISNUMBER(SEARCH(climate,C50)))&gt;0)</f>
        <v>0</v>
      </c>
      <c r="V50" s="14" cm="1">
        <f t="array" ref="V50">INT(SUMPRODUCT(--ISNUMBER(SEARCH(abortion,C50)))&gt;0)</f>
        <v>0</v>
      </c>
      <c r="W50" s="14" cm="1">
        <f t="array" ref="W50">INT(SUMPRODUCT(--ISNUMBER(SEARCH(trump,C50)))&gt;0)</f>
        <v>0</v>
      </c>
      <c r="X50" s="14" cm="1">
        <f t="array" ref="X50">INT(SUMPRODUCT(--ISNUMBER(SEARCH(voting,C50)))&gt;0)</f>
        <v>1</v>
      </c>
      <c r="Y50" s="14" cm="1">
        <f t="array" ref="Y50">INT(SUMPRODUCT(--ISNUMBER(SEARCH(democrattrigger,C50)))&gt;0)</f>
        <v>0</v>
      </c>
      <c r="Z50" s="14" cm="1">
        <f t="array" ref="Z50">INT(SUMPRODUCT(--ISNUMBER(SEARCH(bipartisan,C50)))&gt;0)</f>
        <v>0</v>
      </c>
      <c r="AA50" s="14">
        <f t="shared" si="0"/>
        <v>0</v>
      </c>
      <c r="AB50" s="14"/>
      <c r="AC50" s="30">
        <v>1</v>
      </c>
      <c r="AD50" s="37">
        <v>0</v>
      </c>
    </row>
    <row r="51" spans="1:30" x14ac:dyDescent="0.25">
      <c r="A51" s="36">
        <v>3456</v>
      </c>
      <c r="B51" s="14" t="s">
        <v>7537</v>
      </c>
      <c r="C51" s="14" t="s">
        <v>7538</v>
      </c>
      <c r="D51" s="17">
        <v>44130</v>
      </c>
      <c r="E51" s="14" t="s">
        <v>30</v>
      </c>
      <c r="F51" s="14">
        <v>554</v>
      </c>
      <c r="G51" s="14">
        <v>209</v>
      </c>
      <c r="H51" s="14">
        <v>16</v>
      </c>
      <c r="I51" s="14">
        <v>8</v>
      </c>
      <c r="J51" s="14" t="s">
        <v>204</v>
      </c>
      <c r="K51" s="14" cm="1">
        <f t="array" ref="K51">INT(SUMPRODUCT(--ISNUMBER(SEARCH(economy,C51)))&gt;0)</f>
        <v>0</v>
      </c>
      <c r="L51" s="14" cm="1">
        <f t="array" ref="L51">INT(SUMPRODUCT(--ISNUMBER(SEARCH(healthcare,C51)))&gt;0)</f>
        <v>0</v>
      </c>
      <c r="M51" s="14" cm="1">
        <f t="array" ref="M51">INT(SUMPRODUCT(--ISNUMBER(SEARCH(supreme,C51)))&gt;0)</f>
        <v>1</v>
      </c>
      <c r="N51" s="14" cm="1">
        <f t="array" ref="N51">INT(SUMPRODUCT(--ISNUMBER(SEARCH(covid,C51)))&gt;0)</f>
        <v>1</v>
      </c>
      <c r="O51" s="14" cm="1">
        <f t="array" ref="O51">INT(SUMPRODUCT(--ISNUMBER(SEARCH(violent,C51)))&gt;0)</f>
        <v>0</v>
      </c>
      <c r="P51" s="14" cm="1">
        <f t="array" ref="P51">INT(SUMPRODUCT(--ISNUMBER(SEARCH(foreign,C51)))&gt;0)</f>
        <v>0</v>
      </c>
      <c r="Q51" s="14" cm="1">
        <f t="array" ref="Q51">INT(SUMPRODUCT(--ISNUMBER(SEARCH(gun,C51)))&gt;0)</f>
        <v>0</v>
      </c>
      <c r="R51" s="14" cm="1">
        <f t="array" ref="R51">INT(SUMPRODUCT(--ISNUMBER(SEARCH(race,C51)))&gt;0)</f>
        <v>0</v>
      </c>
      <c r="S51" s="14" cm="1">
        <f t="array" ref="S51">INT(SUMPRODUCT(--ISNUMBER(SEARCH(immigration,C51)))&gt;0)</f>
        <v>0</v>
      </c>
      <c r="T51" s="14" cm="1">
        <f t="array" ref="T51">INT(SUMPRODUCT(--ISNUMBER(SEARCH(econineq,C52)))&gt;0)</f>
        <v>0</v>
      </c>
      <c r="U51" s="14" cm="1">
        <f t="array" ref="U51">INT(SUMPRODUCT(--ISNUMBER(SEARCH(climate,C51)))&gt;0)</f>
        <v>0</v>
      </c>
      <c r="V51" s="14" cm="1">
        <f t="array" ref="V51">INT(SUMPRODUCT(--ISNUMBER(SEARCH(abortion,C51)))&gt;0)</f>
        <v>0</v>
      </c>
      <c r="W51" s="14" cm="1">
        <f t="array" ref="W51">INT(SUMPRODUCT(--ISNUMBER(SEARCH(trump,C51)))&gt;0)</f>
        <v>0</v>
      </c>
      <c r="X51" s="14" cm="1">
        <f t="array" ref="X51">INT(SUMPRODUCT(--ISNUMBER(SEARCH(voting,C51)))&gt;0)</f>
        <v>0</v>
      </c>
      <c r="Y51" s="14" cm="1">
        <f t="array" ref="Y51">INT(SUMPRODUCT(--ISNUMBER(SEARCH(democrattrigger,C51)))&gt;0)</f>
        <v>1</v>
      </c>
      <c r="Z51" s="14" cm="1">
        <f t="array" ref="Z51">INT(SUMPRODUCT(--ISNUMBER(SEARCH(bipartisan,C51)))&gt;0)</f>
        <v>0</v>
      </c>
      <c r="AA51" s="14">
        <f t="shared" si="0"/>
        <v>0</v>
      </c>
      <c r="AB51" s="14"/>
      <c r="AC51" s="30">
        <v>0</v>
      </c>
      <c r="AD51" s="37">
        <v>1</v>
      </c>
    </row>
    <row r="52" spans="1:30" x14ac:dyDescent="0.25">
      <c r="A52" s="36">
        <v>3457</v>
      </c>
      <c r="B52" s="14" t="s">
        <v>7539</v>
      </c>
      <c r="C52" s="14" t="s">
        <v>7540</v>
      </c>
      <c r="D52" s="17">
        <v>44130</v>
      </c>
      <c r="E52" s="14" t="s">
        <v>30</v>
      </c>
      <c r="F52" s="14">
        <v>826</v>
      </c>
      <c r="G52" s="14">
        <v>269</v>
      </c>
      <c r="H52" s="14">
        <v>16</v>
      </c>
      <c r="I52" s="14">
        <v>8</v>
      </c>
      <c r="J52" s="14" t="s">
        <v>204</v>
      </c>
      <c r="K52" s="14" cm="1">
        <f t="array" ref="K52">INT(SUMPRODUCT(--ISNUMBER(SEARCH(economy,C52)))&gt;0)</f>
        <v>0</v>
      </c>
      <c r="L52" s="14" cm="1">
        <f t="array" ref="L52">INT(SUMPRODUCT(--ISNUMBER(SEARCH(healthcare,C52)))&gt;0)</f>
        <v>1</v>
      </c>
      <c r="M52" s="14" cm="1">
        <f t="array" ref="M52">INT(SUMPRODUCT(--ISNUMBER(SEARCH(supreme,C52)))&gt;0)</f>
        <v>0</v>
      </c>
      <c r="N52" s="14" cm="1">
        <f t="array" ref="N52">INT(SUMPRODUCT(--ISNUMBER(SEARCH(covid,C52)))&gt;0)</f>
        <v>0</v>
      </c>
      <c r="O52" s="14" cm="1">
        <f t="array" ref="O52">INT(SUMPRODUCT(--ISNUMBER(SEARCH(violent,C52)))&gt;0)</f>
        <v>0</v>
      </c>
      <c r="P52" s="14" cm="1">
        <f t="array" ref="P52">INT(SUMPRODUCT(--ISNUMBER(SEARCH(foreign,C52)))&gt;0)</f>
        <v>0</v>
      </c>
      <c r="Q52" s="14" cm="1">
        <f t="array" ref="Q52">INT(SUMPRODUCT(--ISNUMBER(SEARCH(gun,C52)))&gt;0)</f>
        <v>0</v>
      </c>
      <c r="R52" s="14" cm="1">
        <f t="array" ref="R52">INT(SUMPRODUCT(--ISNUMBER(SEARCH(race,C52)))&gt;0)</f>
        <v>0</v>
      </c>
      <c r="S52" s="14" cm="1">
        <f t="array" ref="S52">INT(SUMPRODUCT(--ISNUMBER(SEARCH(immigration,C52)))&gt;0)</f>
        <v>0</v>
      </c>
      <c r="T52" s="14" cm="1">
        <f t="array" ref="T52">INT(SUMPRODUCT(--ISNUMBER(SEARCH(econineq,C53)))&gt;0)</f>
        <v>0</v>
      </c>
      <c r="U52" s="14" cm="1">
        <f t="array" ref="U52">INT(SUMPRODUCT(--ISNUMBER(SEARCH(climate,C52)))&gt;0)</f>
        <v>0</v>
      </c>
      <c r="V52" s="14" cm="1">
        <f t="array" ref="V52">INT(SUMPRODUCT(--ISNUMBER(SEARCH(abortion,C52)))&gt;0)</f>
        <v>0</v>
      </c>
      <c r="W52" s="14" cm="1">
        <f t="array" ref="W52">INT(SUMPRODUCT(--ISNUMBER(SEARCH(trump,C52)))&gt;0)</f>
        <v>0</v>
      </c>
      <c r="X52" s="14" cm="1">
        <f t="array" ref="X52">INT(SUMPRODUCT(--ISNUMBER(SEARCH(voting,C52)))&gt;0)</f>
        <v>0</v>
      </c>
      <c r="Y52" s="14" cm="1">
        <f t="array" ref="Y52">INT(SUMPRODUCT(--ISNUMBER(SEARCH(democrattrigger,C52)))&gt;0)</f>
        <v>0</v>
      </c>
      <c r="Z52" s="14" cm="1">
        <f t="array" ref="Z52">INT(SUMPRODUCT(--ISNUMBER(SEARCH(bipartisan,C52)))&gt;0)</f>
        <v>0</v>
      </c>
      <c r="AA52" s="14">
        <f t="shared" si="0"/>
        <v>0</v>
      </c>
      <c r="AB52" s="14"/>
      <c r="AC52" s="30">
        <v>0</v>
      </c>
      <c r="AD52" s="37">
        <v>1</v>
      </c>
    </row>
    <row r="53" spans="1:30" x14ac:dyDescent="0.25">
      <c r="A53" s="36">
        <v>3458</v>
      </c>
      <c r="B53" s="14" t="s">
        <v>7541</v>
      </c>
      <c r="C53" s="14" t="s">
        <v>7542</v>
      </c>
      <c r="D53" s="17">
        <v>44130</v>
      </c>
      <c r="E53" s="14" t="s">
        <v>30</v>
      </c>
      <c r="F53" s="14">
        <v>4855</v>
      </c>
      <c r="G53" s="14">
        <v>1313</v>
      </c>
      <c r="H53" s="14">
        <v>16</v>
      </c>
      <c r="I53" s="14">
        <v>8</v>
      </c>
      <c r="J53" s="14" t="s">
        <v>204</v>
      </c>
      <c r="K53" s="14" cm="1">
        <f t="array" ref="K53">INT(SUMPRODUCT(--ISNUMBER(SEARCH(economy,C53)))&gt;0)</f>
        <v>0</v>
      </c>
      <c r="L53" s="14" cm="1">
        <f t="array" ref="L53">INT(SUMPRODUCT(--ISNUMBER(SEARCH(healthcare,C53)))&gt;0)</f>
        <v>0</v>
      </c>
      <c r="M53" s="14" cm="1">
        <f t="array" ref="M53">INT(SUMPRODUCT(--ISNUMBER(SEARCH(supreme,C53)))&gt;0)</f>
        <v>0</v>
      </c>
      <c r="N53" s="14" cm="1">
        <f t="array" ref="N53">INT(SUMPRODUCT(--ISNUMBER(SEARCH(covid,C53)))&gt;0)</f>
        <v>0</v>
      </c>
      <c r="O53" s="14" cm="1">
        <f t="array" ref="O53">INT(SUMPRODUCT(--ISNUMBER(SEARCH(violent,C53)))&gt;0)</f>
        <v>0</v>
      </c>
      <c r="P53" s="14" cm="1">
        <f t="array" ref="P53">INT(SUMPRODUCT(--ISNUMBER(SEARCH(foreign,C53)))&gt;0)</f>
        <v>0</v>
      </c>
      <c r="Q53" s="14" cm="1">
        <f t="array" ref="Q53">INT(SUMPRODUCT(--ISNUMBER(SEARCH(gun,C53)))&gt;0)</f>
        <v>0</v>
      </c>
      <c r="R53" s="14" cm="1">
        <f t="array" ref="R53">INT(SUMPRODUCT(--ISNUMBER(SEARCH(race,C53)))&gt;0)</f>
        <v>0</v>
      </c>
      <c r="S53" s="14" cm="1">
        <f t="array" ref="S53">INT(SUMPRODUCT(--ISNUMBER(SEARCH(immigration,C53)))&gt;0)</f>
        <v>0</v>
      </c>
      <c r="T53" s="14" cm="1">
        <f t="array" ref="T53">INT(SUMPRODUCT(--ISNUMBER(SEARCH(econineq,C54)))&gt;0)</f>
        <v>0</v>
      </c>
      <c r="U53" s="14" cm="1">
        <f t="array" ref="U53">INT(SUMPRODUCT(--ISNUMBER(SEARCH(climate,C53)))&gt;0)</f>
        <v>0</v>
      </c>
      <c r="V53" s="14" cm="1">
        <f t="array" ref="V53">INT(SUMPRODUCT(--ISNUMBER(SEARCH(abortion,C53)))&gt;0)</f>
        <v>0</v>
      </c>
      <c r="W53" s="14" cm="1">
        <f t="array" ref="W53">INT(SUMPRODUCT(--ISNUMBER(SEARCH(trump,C53)))&gt;0)</f>
        <v>1</v>
      </c>
      <c r="X53" s="14" cm="1">
        <f t="array" ref="X53">INT(SUMPRODUCT(--ISNUMBER(SEARCH(voting,C53)))&gt;0)</f>
        <v>1</v>
      </c>
      <c r="Y53" s="14" cm="1">
        <f t="array" ref="Y53">INT(SUMPRODUCT(--ISNUMBER(SEARCH(democrattrigger,C53)))&gt;0)</f>
        <v>1</v>
      </c>
      <c r="Z53" s="14" cm="1">
        <f t="array" ref="Z53">INT(SUMPRODUCT(--ISNUMBER(SEARCH(bipartisan,C53)))&gt;0)</f>
        <v>1</v>
      </c>
      <c r="AA53" s="14">
        <f t="shared" si="0"/>
        <v>0</v>
      </c>
      <c r="AB53" s="14"/>
      <c r="AC53" s="30" t="s">
        <v>223</v>
      </c>
      <c r="AD53" s="37" t="s">
        <v>223</v>
      </c>
    </row>
    <row r="54" spans="1:30" x14ac:dyDescent="0.25">
      <c r="A54" s="36">
        <v>3459</v>
      </c>
      <c r="B54" s="14" t="s">
        <v>7543</v>
      </c>
      <c r="C54" s="14" t="s">
        <v>7544</v>
      </c>
      <c r="D54" s="17">
        <v>44129</v>
      </c>
      <c r="E54" s="14" t="s">
        <v>30</v>
      </c>
      <c r="F54" s="14">
        <v>1135</v>
      </c>
      <c r="G54" s="14">
        <v>312</v>
      </c>
      <c r="H54" s="14">
        <v>16</v>
      </c>
      <c r="I54" s="14">
        <v>8</v>
      </c>
      <c r="J54" s="14" t="s">
        <v>204</v>
      </c>
      <c r="K54" s="14" cm="1">
        <f t="array" ref="K54">INT(SUMPRODUCT(--ISNUMBER(SEARCH(economy,C54)))&gt;0)</f>
        <v>0</v>
      </c>
      <c r="L54" s="14" cm="1">
        <f t="array" ref="L54">INT(SUMPRODUCT(--ISNUMBER(SEARCH(healthcare,C54)))&gt;0)</f>
        <v>0</v>
      </c>
      <c r="M54" s="14" cm="1">
        <f t="array" ref="M54">INT(SUMPRODUCT(--ISNUMBER(SEARCH(supreme,C54)))&gt;0)</f>
        <v>1</v>
      </c>
      <c r="N54" s="14" cm="1">
        <f t="array" ref="N54">INT(SUMPRODUCT(--ISNUMBER(SEARCH(covid,C54)))&gt;0)</f>
        <v>1</v>
      </c>
      <c r="O54" s="14" cm="1">
        <f t="array" ref="O54">INT(SUMPRODUCT(--ISNUMBER(SEARCH(violent,C54)))&gt;0)</f>
        <v>0</v>
      </c>
      <c r="P54" s="14" cm="1">
        <f t="array" ref="P54">INT(SUMPRODUCT(--ISNUMBER(SEARCH(foreign,C54)))&gt;0)</f>
        <v>0</v>
      </c>
      <c r="Q54" s="14" cm="1">
        <f t="array" ref="Q54">INT(SUMPRODUCT(--ISNUMBER(SEARCH(gun,C54)))&gt;0)</f>
        <v>0</v>
      </c>
      <c r="R54" s="14" cm="1">
        <f t="array" ref="R54">INT(SUMPRODUCT(--ISNUMBER(SEARCH(race,C54)))&gt;0)</f>
        <v>0</v>
      </c>
      <c r="S54" s="14" cm="1">
        <f t="array" ref="S54">INT(SUMPRODUCT(--ISNUMBER(SEARCH(immigration,C54)))&gt;0)</f>
        <v>0</v>
      </c>
      <c r="T54" s="14" cm="1">
        <f t="array" ref="T54">INT(SUMPRODUCT(--ISNUMBER(SEARCH(econineq,C55)))&gt;0)</f>
        <v>0</v>
      </c>
      <c r="U54" s="14" cm="1">
        <f t="array" ref="U54">INT(SUMPRODUCT(--ISNUMBER(SEARCH(climate,C54)))&gt;0)</f>
        <v>0</v>
      </c>
      <c r="V54" s="14" cm="1">
        <f t="array" ref="V54">INT(SUMPRODUCT(--ISNUMBER(SEARCH(abortion,C54)))&gt;0)</f>
        <v>0</v>
      </c>
      <c r="W54" s="14" cm="1">
        <f t="array" ref="W54">INT(SUMPRODUCT(--ISNUMBER(SEARCH(trump,C54)))&gt;0)</f>
        <v>0</v>
      </c>
      <c r="X54" s="14" cm="1">
        <f t="array" ref="X54">INT(SUMPRODUCT(--ISNUMBER(SEARCH(voting,C54)))&gt;0)</f>
        <v>0</v>
      </c>
      <c r="Y54" s="14" cm="1">
        <f t="array" ref="Y54">INT(SUMPRODUCT(--ISNUMBER(SEARCH(democrattrigger,C54)))&gt;0)</f>
        <v>1</v>
      </c>
      <c r="Z54" s="14" cm="1">
        <f t="array" ref="Z54">INT(SUMPRODUCT(--ISNUMBER(SEARCH(bipartisan,C54)))&gt;0)</f>
        <v>0</v>
      </c>
      <c r="AA54" s="14">
        <f t="shared" si="0"/>
        <v>0</v>
      </c>
      <c r="AB54" s="14"/>
      <c r="AC54" s="30" t="s">
        <v>223</v>
      </c>
      <c r="AD54" s="37" t="s">
        <v>223</v>
      </c>
    </row>
    <row r="55" spans="1:30" x14ac:dyDescent="0.25">
      <c r="A55" s="36">
        <v>3460</v>
      </c>
      <c r="B55" s="14" t="s">
        <v>7545</v>
      </c>
      <c r="C55" s="14" t="s">
        <v>7546</v>
      </c>
      <c r="D55" s="17">
        <v>44129</v>
      </c>
      <c r="E55" s="14" t="s">
        <v>30</v>
      </c>
      <c r="F55" s="14">
        <v>499</v>
      </c>
      <c r="G55" s="14">
        <v>137</v>
      </c>
      <c r="H55" s="14">
        <v>16</v>
      </c>
      <c r="I55" s="14">
        <v>8</v>
      </c>
      <c r="J55" s="14" t="s">
        <v>204</v>
      </c>
      <c r="K55" s="14" cm="1">
        <f t="array" ref="K55">INT(SUMPRODUCT(--ISNUMBER(SEARCH(economy,C55)))&gt;0)</f>
        <v>1</v>
      </c>
      <c r="L55" s="14" cm="1">
        <f t="array" ref="L55">INT(SUMPRODUCT(--ISNUMBER(SEARCH(healthcare,C55)))&gt;0)</f>
        <v>1</v>
      </c>
      <c r="M55" s="14" cm="1">
        <f t="array" ref="M55">INT(SUMPRODUCT(--ISNUMBER(SEARCH(supreme,C55)))&gt;0)</f>
        <v>0</v>
      </c>
      <c r="N55" s="14" cm="1">
        <f t="array" ref="N55">INT(SUMPRODUCT(--ISNUMBER(SEARCH(covid,C55)))&gt;0)</f>
        <v>0</v>
      </c>
      <c r="O55" s="14" cm="1">
        <f t="array" ref="O55">INT(SUMPRODUCT(--ISNUMBER(SEARCH(violent,C55)))&gt;0)</f>
        <v>0</v>
      </c>
      <c r="P55" s="14" cm="1">
        <f t="array" ref="P55">INT(SUMPRODUCT(--ISNUMBER(SEARCH(foreign,C55)))&gt;0)</f>
        <v>0</v>
      </c>
      <c r="Q55" s="14" cm="1">
        <f t="array" ref="Q55">INT(SUMPRODUCT(--ISNUMBER(SEARCH(gun,C55)))&gt;0)</f>
        <v>0</v>
      </c>
      <c r="R55" s="14" cm="1">
        <f t="array" ref="R55">INT(SUMPRODUCT(--ISNUMBER(SEARCH(race,C55)))&gt;0)</f>
        <v>0</v>
      </c>
      <c r="S55" s="14" cm="1">
        <f t="array" ref="S55">INT(SUMPRODUCT(--ISNUMBER(SEARCH(immigration,C55)))&gt;0)</f>
        <v>0</v>
      </c>
      <c r="T55" s="14" cm="1">
        <f t="array" ref="T55">INT(SUMPRODUCT(--ISNUMBER(SEARCH(econineq,C56)))&gt;0)</f>
        <v>0</v>
      </c>
      <c r="U55" s="14" cm="1">
        <f t="array" ref="U55">INT(SUMPRODUCT(--ISNUMBER(SEARCH(climate,C55)))&gt;0)</f>
        <v>0</v>
      </c>
      <c r="V55" s="14" cm="1">
        <f t="array" ref="V55">INT(SUMPRODUCT(--ISNUMBER(SEARCH(abortion,C55)))&gt;0)</f>
        <v>0</v>
      </c>
      <c r="W55" s="14" cm="1">
        <f t="array" ref="W55">INT(SUMPRODUCT(--ISNUMBER(SEARCH(trump,C55)))&gt;0)</f>
        <v>0</v>
      </c>
      <c r="X55" s="14" cm="1">
        <f t="array" ref="X55">INT(SUMPRODUCT(--ISNUMBER(SEARCH(voting,C55)))&gt;0)</f>
        <v>1</v>
      </c>
      <c r="Y55" s="14" cm="1">
        <f t="array" ref="Y55">INT(SUMPRODUCT(--ISNUMBER(SEARCH(democrattrigger,C55)))&gt;0)</f>
        <v>0</v>
      </c>
      <c r="Z55" s="14" cm="1">
        <f t="array" ref="Z55">INT(SUMPRODUCT(--ISNUMBER(SEARCH(bipartisan,C55)))&gt;0)</f>
        <v>0</v>
      </c>
      <c r="AA55" s="14">
        <f t="shared" si="0"/>
        <v>0</v>
      </c>
      <c r="AB55" s="14"/>
      <c r="AC55" s="30" t="s">
        <v>223</v>
      </c>
      <c r="AD55" s="37" t="s">
        <v>223</v>
      </c>
    </row>
    <row r="56" spans="1:30" x14ac:dyDescent="0.25">
      <c r="A56" s="36">
        <v>3461</v>
      </c>
      <c r="B56" s="14" t="s">
        <v>7547</v>
      </c>
      <c r="C56" s="14" t="s">
        <v>7548</v>
      </c>
      <c r="D56" s="17">
        <v>44129</v>
      </c>
      <c r="E56" s="14" t="s">
        <v>30</v>
      </c>
      <c r="F56" s="14">
        <v>1054</v>
      </c>
      <c r="G56" s="14">
        <v>186</v>
      </c>
      <c r="H56" s="14">
        <v>16</v>
      </c>
      <c r="I56" s="14">
        <v>8</v>
      </c>
      <c r="J56" s="14" t="s">
        <v>204</v>
      </c>
      <c r="K56" s="14" cm="1">
        <f t="array" ref="K56">INT(SUMPRODUCT(--ISNUMBER(SEARCH(economy,C56)))&gt;0)</f>
        <v>0</v>
      </c>
      <c r="L56" s="14" cm="1">
        <f t="array" ref="L56">INT(SUMPRODUCT(--ISNUMBER(SEARCH(healthcare,C56)))&gt;0)</f>
        <v>0</v>
      </c>
      <c r="M56" s="14" cm="1">
        <f t="array" ref="M56">INT(SUMPRODUCT(--ISNUMBER(SEARCH(supreme,C56)))&gt;0)</f>
        <v>0</v>
      </c>
      <c r="N56" s="14" cm="1">
        <f t="array" ref="N56">INT(SUMPRODUCT(--ISNUMBER(SEARCH(covid,C56)))&gt;0)</f>
        <v>0</v>
      </c>
      <c r="O56" s="14" cm="1">
        <f t="array" ref="O56">INT(SUMPRODUCT(--ISNUMBER(SEARCH(violent,C56)))&gt;0)</f>
        <v>0</v>
      </c>
      <c r="P56" s="14" cm="1">
        <f t="array" ref="P56">INT(SUMPRODUCT(--ISNUMBER(SEARCH(foreign,C56)))&gt;0)</f>
        <v>0</v>
      </c>
      <c r="Q56" s="14" cm="1">
        <f t="array" ref="Q56">INT(SUMPRODUCT(--ISNUMBER(SEARCH(gun,C56)))&gt;0)</f>
        <v>0</v>
      </c>
      <c r="R56" s="14" cm="1">
        <f t="array" ref="R56">INT(SUMPRODUCT(--ISNUMBER(SEARCH(race,C56)))&gt;0)</f>
        <v>0</v>
      </c>
      <c r="S56" s="14" cm="1">
        <f t="array" ref="S56">INT(SUMPRODUCT(--ISNUMBER(SEARCH(immigration,C56)))&gt;0)</f>
        <v>0</v>
      </c>
      <c r="T56" s="14" cm="1">
        <f t="array" ref="T56">INT(SUMPRODUCT(--ISNUMBER(SEARCH(econineq,C57)))&gt;0)</f>
        <v>0</v>
      </c>
      <c r="U56" s="14" cm="1">
        <f t="array" ref="U56">INT(SUMPRODUCT(--ISNUMBER(SEARCH(climate,C56)))&gt;0)</f>
        <v>0</v>
      </c>
      <c r="V56" s="14" cm="1">
        <f t="array" ref="V56">INT(SUMPRODUCT(--ISNUMBER(SEARCH(abortion,C56)))&gt;0)</f>
        <v>0</v>
      </c>
      <c r="W56" s="14" cm="1">
        <f t="array" ref="W56">INT(SUMPRODUCT(--ISNUMBER(SEARCH(trump,C56)))&gt;0)</f>
        <v>0</v>
      </c>
      <c r="X56" s="14" cm="1">
        <f t="array" ref="X56">INT(SUMPRODUCT(--ISNUMBER(SEARCH(voting,C56)))&gt;0)</f>
        <v>1</v>
      </c>
      <c r="Y56" s="14" cm="1">
        <f t="array" ref="Y56">INT(SUMPRODUCT(--ISNUMBER(SEARCH(democrattrigger,C56)))&gt;0)</f>
        <v>0</v>
      </c>
      <c r="Z56" s="14" cm="1">
        <f t="array" ref="Z56">INT(SUMPRODUCT(--ISNUMBER(SEARCH(bipartisan,C56)))&gt;0)</f>
        <v>0</v>
      </c>
      <c r="AA56" s="14">
        <f t="shared" si="0"/>
        <v>0</v>
      </c>
      <c r="AB56" s="14"/>
      <c r="AC56" s="30">
        <v>1</v>
      </c>
      <c r="AD56" s="37">
        <v>0</v>
      </c>
    </row>
    <row r="57" spans="1:30" x14ac:dyDescent="0.25">
      <c r="A57" s="36">
        <v>3462</v>
      </c>
      <c r="B57" s="14" t="s">
        <v>7549</v>
      </c>
      <c r="C57" s="14" t="s">
        <v>7550</v>
      </c>
      <c r="D57" s="17">
        <v>44129</v>
      </c>
      <c r="E57" s="14" t="s">
        <v>30</v>
      </c>
      <c r="F57" s="14">
        <v>500</v>
      </c>
      <c r="G57" s="14">
        <v>120</v>
      </c>
      <c r="H57" s="14">
        <v>16</v>
      </c>
      <c r="I57" s="14">
        <v>8</v>
      </c>
      <c r="J57" s="14" t="s">
        <v>204</v>
      </c>
      <c r="K57" s="14" cm="1">
        <f t="array" ref="K57">INT(SUMPRODUCT(--ISNUMBER(SEARCH(economy,C57)))&gt;0)</f>
        <v>0</v>
      </c>
      <c r="L57" s="14" cm="1">
        <f t="array" ref="L57">INT(SUMPRODUCT(--ISNUMBER(SEARCH(healthcare,C57)))&gt;0)</f>
        <v>0</v>
      </c>
      <c r="M57" s="14" cm="1">
        <f t="array" ref="M57">INT(SUMPRODUCT(--ISNUMBER(SEARCH(supreme,C57)))&gt;0)</f>
        <v>0</v>
      </c>
      <c r="N57" s="14" cm="1">
        <f t="array" ref="N57">INT(SUMPRODUCT(--ISNUMBER(SEARCH(covid,C57)))&gt;0)</f>
        <v>0</v>
      </c>
      <c r="O57" s="14" cm="1">
        <f t="array" ref="O57">INT(SUMPRODUCT(--ISNUMBER(SEARCH(violent,C57)))&gt;0)</f>
        <v>0</v>
      </c>
      <c r="P57" s="14" cm="1">
        <f t="array" ref="P57">INT(SUMPRODUCT(--ISNUMBER(SEARCH(foreign,C57)))&gt;0)</f>
        <v>0</v>
      </c>
      <c r="Q57" s="14" cm="1">
        <f t="array" ref="Q57">INT(SUMPRODUCT(--ISNUMBER(SEARCH(gun,C57)))&gt;0)</f>
        <v>0</v>
      </c>
      <c r="R57" s="14" cm="1">
        <f t="array" ref="R57">INT(SUMPRODUCT(--ISNUMBER(SEARCH(race,C57)))&gt;0)</f>
        <v>0</v>
      </c>
      <c r="S57" s="14" cm="1">
        <f t="array" ref="S57">INT(SUMPRODUCT(--ISNUMBER(SEARCH(immigration,C57)))&gt;0)</f>
        <v>0</v>
      </c>
      <c r="T57" s="14" cm="1">
        <f t="array" ref="T57">INT(SUMPRODUCT(--ISNUMBER(SEARCH(econineq,C58)))&gt;0)</f>
        <v>0</v>
      </c>
      <c r="U57" s="14" cm="1">
        <f t="array" ref="U57">INT(SUMPRODUCT(--ISNUMBER(SEARCH(climate,C57)))&gt;0)</f>
        <v>0</v>
      </c>
      <c r="V57" s="14" cm="1">
        <f t="array" ref="V57">INT(SUMPRODUCT(--ISNUMBER(SEARCH(abortion,C57)))&gt;0)</f>
        <v>0</v>
      </c>
      <c r="W57" s="14" cm="1">
        <f t="array" ref="W57">INT(SUMPRODUCT(--ISNUMBER(SEARCH(trump,C57)))&gt;0)</f>
        <v>0</v>
      </c>
      <c r="X57" s="14" cm="1">
        <f t="array" ref="X57">INT(SUMPRODUCT(--ISNUMBER(SEARCH(voting,C57)))&gt;0)</f>
        <v>0</v>
      </c>
      <c r="Y57" s="14" cm="1">
        <f t="array" ref="Y57">INT(SUMPRODUCT(--ISNUMBER(SEARCH(democrattrigger,C57)))&gt;0)</f>
        <v>0</v>
      </c>
      <c r="Z57" s="14" cm="1">
        <f t="array" ref="Z57">INT(SUMPRODUCT(--ISNUMBER(SEARCH(bipartisan,C57)))&gt;0)</f>
        <v>0</v>
      </c>
      <c r="AA57" s="14">
        <f t="shared" si="0"/>
        <v>1</v>
      </c>
      <c r="AB57" s="14"/>
      <c r="AC57" s="30" t="s">
        <v>223</v>
      </c>
      <c r="AD57" s="37" t="s">
        <v>223</v>
      </c>
    </row>
    <row r="58" spans="1:30" x14ac:dyDescent="0.25">
      <c r="A58" s="36">
        <v>3463</v>
      </c>
      <c r="B58" s="14" t="s">
        <v>7551</v>
      </c>
      <c r="C58" s="14" t="s">
        <v>7552</v>
      </c>
      <c r="D58" s="17">
        <v>44129</v>
      </c>
      <c r="E58" s="14" t="s">
        <v>30</v>
      </c>
      <c r="F58" s="14">
        <v>904</v>
      </c>
      <c r="G58" s="14">
        <v>240</v>
      </c>
      <c r="H58" s="14">
        <v>16</v>
      </c>
      <c r="I58" s="14">
        <v>8</v>
      </c>
      <c r="J58" s="14" t="s">
        <v>204</v>
      </c>
      <c r="K58" s="14" cm="1">
        <f t="array" ref="K58">INT(SUMPRODUCT(--ISNUMBER(SEARCH(economy,C58)))&gt;0)</f>
        <v>0</v>
      </c>
      <c r="L58" s="14" cm="1">
        <f t="array" ref="L58">INT(SUMPRODUCT(--ISNUMBER(SEARCH(healthcare,C58)))&gt;0)</f>
        <v>1</v>
      </c>
      <c r="M58" s="14" cm="1">
        <f t="array" ref="M58">INT(SUMPRODUCT(--ISNUMBER(SEARCH(supreme,C58)))&gt;0)</f>
        <v>0</v>
      </c>
      <c r="N58" s="14" cm="1">
        <f t="array" ref="N58">INT(SUMPRODUCT(--ISNUMBER(SEARCH(covid,C58)))&gt;0)</f>
        <v>0</v>
      </c>
      <c r="O58" s="14" cm="1">
        <f t="array" ref="O58">INT(SUMPRODUCT(--ISNUMBER(SEARCH(violent,C58)))&gt;0)</f>
        <v>0</v>
      </c>
      <c r="P58" s="14" cm="1">
        <f t="array" ref="P58">INT(SUMPRODUCT(--ISNUMBER(SEARCH(foreign,C58)))&gt;0)</f>
        <v>0</v>
      </c>
      <c r="Q58" s="14" cm="1">
        <f t="array" ref="Q58">INT(SUMPRODUCT(--ISNUMBER(SEARCH(gun,C58)))&gt;0)</f>
        <v>0</v>
      </c>
      <c r="R58" s="14" cm="1">
        <f t="array" ref="R58">INT(SUMPRODUCT(--ISNUMBER(SEARCH(race,C58)))&gt;0)</f>
        <v>0</v>
      </c>
      <c r="S58" s="14" cm="1">
        <f t="array" ref="S58">INT(SUMPRODUCT(--ISNUMBER(SEARCH(immigration,C58)))&gt;0)</f>
        <v>0</v>
      </c>
      <c r="T58" s="14" cm="1">
        <f t="array" ref="T58">INT(SUMPRODUCT(--ISNUMBER(SEARCH(econineq,C59)))&gt;0)</f>
        <v>0</v>
      </c>
      <c r="U58" s="14" cm="1">
        <f t="array" ref="U58">INT(SUMPRODUCT(--ISNUMBER(SEARCH(climate,C58)))&gt;0)</f>
        <v>0</v>
      </c>
      <c r="V58" s="14" cm="1">
        <f t="array" ref="V58">INT(SUMPRODUCT(--ISNUMBER(SEARCH(abortion,C58)))&gt;0)</f>
        <v>0</v>
      </c>
      <c r="W58" s="14" cm="1">
        <f t="array" ref="W58">INT(SUMPRODUCT(--ISNUMBER(SEARCH(trump,C58)))&gt;0)</f>
        <v>0</v>
      </c>
      <c r="X58" s="14" cm="1">
        <f t="array" ref="X58">INT(SUMPRODUCT(--ISNUMBER(SEARCH(voting,C58)))&gt;0)</f>
        <v>0</v>
      </c>
      <c r="Y58" s="14" cm="1">
        <f t="array" ref="Y58">INT(SUMPRODUCT(--ISNUMBER(SEARCH(democrattrigger,C58)))&gt;0)</f>
        <v>0</v>
      </c>
      <c r="Z58" s="14" cm="1">
        <f t="array" ref="Z58">INT(SUMPRODUCT(--ISNUMBER(SEARCH(bipartisan,C58)))&gt;0)</f>
        <v>0</v>
      </c>
      <c r="AA58" s="14">
        <f t="shared" si="0"/>
        <v>0</v>
      </c>
      <c r="AB58" s="14"/>
      <c r="AC58" s="30">
        <v>1</v>
      </c>
      <c r="AD58" s="37">
        <v>0</v>
      </c>
    </row>
    <row r="59" spans="1:30" x14ac:dyDescent="0.25">
      <c r="A59" s="36">
        <v>3464</v>
      </c>
      <c r="B59" s="14" t="s">
        <v>7553</v>
      </c>
      <c r="C59" s="14" t="s">
        <v>7554</v>
      </c>
      <c r="D59" s="17">
        <v>44129</v>
      </c>
      <c r="E59" s="14" t="s">
        <v>30</v>
      </c>
      <c r="F59" s="14">
        <v>998</v>
      </c>
      <c r="G59" s="14">
        <v>284</v>
      </c>
      <c r="H59" s="14">
        <v>16</v>
      </c>
      <c r="I59" s="14">
        <v>8</v>
      </c>
      <c r="J59" s="14" t="s">
        <v>204</v>
      </c>
      <c r="K59" s="14" cm="1">
        <f t="array" ref="K59">INT(SUMPRODUCT(--ISNUMBER(SEARCH(economy,C59)))&gt;0)</f>
        <v>0</v>
      </c>
      <c r="L59" s="14" cm="1">
        <f t="array" ref="L59">INT(SUMPRODUCT(--ISNUMBER(SEARCH(healthcare,C59)))&gt;0)</f>
        <v>0</v>
      </c>
      <c r="M59" s="14" cm="1">
        <f t="array" ref="M59">INT(SUMPRODUCT(--ISNUMBER(SEARCH(supreme,C59)))&gt;0)</f>
        <v>0</v>
      </c>
      <c r="N59" s="14" cm="1">
        <f t="array" ref="N59">INT(SUMPRODUCT(--ISNUMBER(SEARCH(covid,C59)))&gt;0)</f>
        <v>0</v>
      </c>
      <c r="O59" s="14" cm="1">
        <f t="array" ref="O59">INT(SUMPRODUCT(--ISNUMBER(SEARCH(violent,C59)))&gt;0)</f>
        <v>0</v>
      </c>
      <c r="P59" s="14" cm="1">
        <f t="array" ref="P59">INT(SUMPRODUCT(--ISNUMBER(SEARCH(foreign,C59)))&gt;0)</f>
        <v>0</v>
      </c>
      <c r="Q59" s="14" cm="1">
        <f t="array" ref="Q59">INT(SUMPRODUCT(--ISNUMBER(SEARCH(gun,C59)))&gt;0)</f>
        <v>0</v>
      </c>
      <c r="R59" s="14" cm="1">
        <f t="array" ref="R59">INT(SUMPRODUCT(--ISNUMBER(SEARCH(race,C59)))&gt;0)</f>
        <v>0</v>
      </c>
      <c r="S59" s="14" cm="1">
        <f t="array" ref="S59">INT(SUMPRODUCT(--ISNUMBER(SEARCH(immigration,C59)))&gt;0)</f>
        <v>0</v>
      </c>
      <c r="T59" s="14" cm="1">
        <f t="array" ref="T59">INT(SUMPRODUCT(--ISNUMBER(SEARCH(econineq,C60)))&gt;0)</f>
        <v>0</v>
      </c>
      <c r="U59" s="14" cm="1">
        <f t="array" ref="U59">INT(SUMPRODUCT(--ISNUMBER(SEARCH(climate,C59)))&gt;0)</f>
        <v>0</v>
      </c>
      <c r="V59" s="14" cm="1">
        <f t="array" ref="V59">INT(SUMPRODUCT(--ISNUMBER(SEARCH(abortion,C59)))&gt;0)</f>
        <v>0</v>
      </c>
      <c r="W59" s="14" cm="1">
        <f t="array" ref="W59">INT(SUMPRODUCT(--ISNUMBER(SEARCH(trump,C59)))&gt;0)</f>
        <v>0</v>
      </c>
      <c r="X59" s="14" cm="1">
        <f t="array" ref="X59">INT(SUMPRODUCT(--ISNUMBER(SEARCH(voting,C59)))&gt;0)</f>
        <v>0</v>
      </c>
      <c r="Y59" s="14" cm="1">
        <f t="array" ref="Y59">INT(SUMPRODUCT(--ISNUMBER(SEARCH(democrattrigger,C59)))&gt;0)</f>
        <v>1</v>
      </c>
      <c r="Z59" s="14" cm="1">
        <f t="array" ref="Z59">INT(SUMPRODUCT(--ISNUMBER(SEARCH(bipartisan,C59)))&gt;0)</f>
        <v>0</v>
      </c>
      <c r="AA59" s="14">
        <f t="shared" si="0"/>
        <v>0</v>
      </c>
      <c r="AB59" s="14"/>
      <c r="AC59" s="30" t="s">
        <v>223</v>
      </c>
      <c r="AD59" s="37" t="s">
        <v>223</v>
      </c>
    </row>
    <row r="60" spans="1:30" x14ac:dyDescent="0.25">
      <c r="A60" s="36">
        <v>3465</v>
      </c>
      <c r="B60" s="14" t="s">
        <v>7555</v>
      </c>
      <c r="C60" s="14" t="s">
        <v>7556</v>
      </c>
      <c r="D60" s="17">
        <v>44129</v>
      </c>
      <c r="E60" s="14" t="s">
        <v>30</v>
      </c>
      <c r="F60" s="14">
        <v>581</v>
      </c>
      <c r="G60" s="14">
        <v>127</v>
      </c>
      <c r="H60" s="14">
        <v>16</v>
      </c>
      <c r="I60" s="14">
        <v>8</v>
      </c>
      <c r="J60" s="14" t="s">
        <v>204</v>
      </c>
      <c r="K60" s="14" cm="1">
        <f t="array" ref="K60">INT(SUMPRODUCT(--ISNUMBER(SEARCH(economy,C60)))&gt;0)</f>
        <v>0</v>
      </c>
      <c r="L60" s="14" cm="1">
        <f t="array" ref="L60">INT(SUMPRODUCT(--ISNUMBER(SEARCH(healthcare,C60)))&gt;0)</f>
        <v>0</v>
      </c>
      <c r="M60" s="14" cm="1">
        <f t="array" ref="M60">INT(SUMPRODUCT(--ISNUMBER(SEARCH(supreme,C60)))&gt;0)</f>
        <v>0</v>
      </c>
      <c r="N60" s="14" cm="1">
        <f t="array" ref="N60">INT(SUMPRODUCT(--ISNUMBER(SEARCH(covid,C60)))&gt;0)</f>
        <v>0</v>
      </c>
      <c r="O60" s="14" cm="1">
        <f t="array" ref="O60">INT(SUMPRODUCT(--ISNUMBER(SEARCH(violent,C60)))&gt;0)</f>
        <v>0</v>
      </c>
      <c r="P60" s="14" cm="1">
        <f t="array" ref="P60">INT(SUMPRODUCT(--ISNUMBER(SEARCH(foreign,C60)))&gt;0)</f>
        <v>0</v>
      </c>
      <c r="Q60" s="14" cm="1">
        <f t="array" ref="Q60">INT(SUMPRODUCT(--ISNUMBER(SEARCH(gun,C60)))&gt;0)</f>
        <v>0</v>
      </c>
      <c r="R60" s="14" cm="1">
        <f t="array" ref="R60">INT(SUMPRODUCT(--ISNUMBER(SEARCH(race,C60)))&gt;0)</f>
        <v>0</v>
      </c>
      <c r="S60" s="14" cm="1">
        <f t="array" ref="S60">INT(SUMPRODUCT(--ISNUMBER(SEARCH(immigration,C60)))&gt;0)</f>
        <v>0</v>
      </c>
      <c r="T60" s="14" cm="1">
        <f t="array" ref="T60">INT(SUMPRODUCT(--ISNUMBER(SEARCH(econineq,C61)))&gt;0)</f>
        <v>0</v>
      </c>
      <c r="U60" s="14" cm="1">
        <f t="array" ref="U60">INT(SUMPRODUCT(--ISNUMBER(SEARCH(climate,C60)))&gt;0)</f>
        <v>0</v>
      </c>
      <c r="V60" s="14" cm="1">
        <f t="array" ref="V60">INT(SUMPRODUCT(--ISNUMBER(SEARCH(abortion,C60)))&gt;0)</f>
        <v>0</v>
      </c>
      <c r="W60" s="14" cm="1">
        <f t="array" ref="W60">INT(SUMPRODUCT(--ISNUMBER(SEARCH(trump,C60)))&gt;0)</f>
        <v>0</v>
      </c>
      <c r="X60" s="14" cm="1">
        <f t="array" ref="X60">INT(SUMPRODUCT(--ISNUMBER(SEARCH(voting,C60)))&gt;0)</f>
        <v>1</v>
      </c>
      <c r="Y60" s="14" cm="1">
        <f t="array" ref="Y60">INT(SUMPRODUCT(--ISNUMBER(SEARCH(democrattrigger,C60)))&gt;0)</f>
        <v>0</v>
      </c>
      <c r="Z60" s="14" cm="1">
        <f t="array" ref="Z60">INT(SUMPRODUCT(--ISNUMBER(SEARCH(bipartisan,C60)))&gt;0)</f>
        <v>0</v>
      </c>
      <c r="AA60" s="14">
        <f t="shared" si="0"/>
        <v>0</v>
      </c>
      <c r="AB60" s="14"/>
      <c r="AC60" s="30">
        <v>1</v>
      </c>
      <c r="AD60" s="37">
        <v>0</v>
      </c>
    </row>
    <row r="61" spans="1:30" x14ac:dyDescent="0.25">
      <c r="A61" s="36">
        <v>3466</v>
      </c>
      <c r="B61" s="14" t="s">
        <v>7557</v>
      </c>
      <c r="C61" s="14" t="s">
        <v>7558</v>
      </c>
      <c r="D61" s="17">
        <v>44128</v>
      </c>
      <c r="E61" s="14" t="s">
        <v>30</v>
      </c>
      <c r="F61" s="14">
        <v>1058</v>
      </c>
      <c r="G61" s="14">
        <v>229</v>
      </c>
      <c r="H61" s="14">
        <v>16</v>
      </c>
      <c r="I61" s="14">
        <v>8</v>
      </c>
      <c r="J61" s="14" t="s">
        <v>204</v>
      </c>
      <c r="K61" s="14" cm="1">
        <f t="array" ref="K61">INT(SUMPRODUCT(--ISNUMBER(SEARCH(economy,C61)))&gt;0)</f>
        <v>0</v>
      </c>
      <c r="L61" s="14" cm="1">
        <f t="array" ref="L61">INT(SUMPRODUCT(--ISNUMBER(SEARCH(healthcare,C61)))&gt;0)</f>
        <v>0</v>
      </c>
      <c r="M61" s="14" cm="1">
        <f t="array" ref="M61">INT(SUMPRODUCT(--ISNUMBER(SEARCH(supreme,C61)))&gt;0)</f>
        <v>0</v>
      </c>
      <c r="N61" s="14" cm="1">
        <f t="array" ref="N61">INT(SUMPRODUCT(--ISNUMBER(SEARCH(covid,C61)))&gt;0)</f>
        <v>0</v>
      </c>
      <c r="O61" s="14" cm="1">
        <f t="array" ref="O61">INT(SUMPRODUCT(--ISNUMBER(SEARCH(violent,C61)))&gt;0)</f>
        <v>0</v>
      </c>
      <c r="P61" s="14" cm="1">
        <f t="array" ref="P61">INT(SUMPRODUCT(--ISNUMBER(SEARCH(foreign,C61)))&gt;0)</f>
        <v>0</v>
      </c>
      <c r="Q61" s="14" cm="1">
        <f t="array" ref="Q61">INT(SUMPRODUCT(--ISNUMBER(SEARCH(gun,C61)))&gt;0)</f>
        <v>0</v>
      </c>
      <c r="R61" s="14" cm="1">
        <f t="array" ref="R61">INT(SUMPRODUCT(--ISNUMBER(SEARCH(race,C61)))&gt;0)</f>
        <v>0</v>
      </c>
      <c r="S61" s="14" cm="1">
        <f t="array" ref="S61">INT(SUMPRODUCT(--ISNUMBER(SEARCH(immigration,C61)))&gt;0)</f>
        <v>0</v>
      </c>
      <c r="T61" s="14" cm="1">
        <f t="array" ref="T61">INT(SUMPRODUCT(--ISNUMBER(SEARCH(econineq,C62)))&gt;0)</f>
        <v>0</v>
      </c>
      <c r="U61" s="14" cm="1">
        <f t="array" ref="U61">INT(SUMPRODUCT(--ISNUMBER(SEARCH(climate,C61)))&gt;0)</f>
        <v>0</v>
      </c>
      <c r="V61" s="14" cm="1">
        <f t="array" ref="V61">INT(SUMPRODUCT(--ISNUMBER(SEARCH(abortion,C61)))&gt;0)</f>
        <v>0</v>
      </c>
      <c r="W61" s="14" cm="1">
        <f t="array" ref="W61">INT(SUMPRODUCT(--ISNUMBER(SEARCH(trump,C61)))&gt;0)</f>
        <v>0</v>
      </c>
      <c r="X61" s="14" cm="1">
        <f t="array" ref="X61">INT(SUMPRODUCT(--ISNUMBER(SEARCH(voting,C61)))&gt;0)</f>
        <v>1</v>
      </c>
      <c r="Y61" s="14" cm="1">
        <f t="array" ref="Y61">INT(SUMPRODUCT(--ISNUMBER(SEARCH(democrattrigger,C61)))&gt;0)</f>
        <v>0</v>
      </c>
      <c r="Z61" s="14" cm="1">
        <f t="array" ref="Z61">INT(SUMPRODUCT(--ISNUMBER(SEARCH(bipartisan,C61)))&gt;0)</f>
        <v>0</v>
      </c>
      <c r="AA61" s="14">
        <f t="shared" si="0"/>
        <v>0</v>
      </c>
      <c r="AB61" s="14"/>
      <c r="AC61" s="30">
        <v>1</v>
      </c>
      <c r="AD61" s="37">
        <v>0</v>
      </c>
    </row>
    <row r="62" spans="1:30" x14ac:dyDescent="0.25">
      <c r="A62" s="36">
        <v>3467</v>
      </c>
      <c r="B62" s="14" t="s">
        <v>7559</v>
      </c>
      <c r="C62" s="14" t="s">
        <v>7560</v>
      </c>
      <c r="D62" s="17">
        <v>44128</v>
      </c>
      <c r="E62" s="14" t="s">
        <v>30</v>
      </c>
      <c r="F62" s="14">
        <v>947</v>
      </c>
      <c r="G62" s="14">
        <v>317</v>
      </c>
      <c r="H62" s="14">
        <v>16</v>
      </c>
      <c r="I62" s="14">
        <v>8</v>
      </c>
      <c r="J62" s="14" t="s">
        <v>204</v>
      </c>
      <c r="K62" s="14" cm="1">
        <f t="array" ref="K62">INT(SUMPRODUCT(--ISNUMBER(SEARCH(economy,C62)))&gt;0)</f>
        <v>0</v>
      </c>
      <c r="L62" s="14" cm="1">
        <f t="array" ref="L62">INT(SUMPRODUCT(--ISNUMBER(SEARCH(healthcare,C62)))&gt;0)</f>
        <v>0</v>
      </c>
      <c r="M62" s="14" cm="1">
        <f t="array" ref="M62">INT(SUMPRODUCT(--ISNUMBER(SEARCH(supreme,C62)))&gt;0)</f>
        <v>0</v>
      </c>
      <c r="N62" s="14" cm="1">
        <f t="array" ref="N62">INT(SUMPRODUCT(--ISNUMBER(SEARCH(covid,C62)))&gt;0)</f>
        <v>0</v>
      </c>
      <c r="O62" s="14" cm="1">
        <f t="array" ref="O62">INT(SUMPRODUCT(--ISNUMBER(SEARCH(violent,C62)))&gt;0)</f>
        <v>0</v>
      </c>
      <c r="P62" s="14" cm="1">
        <f t="array" ref="P62">INT(SUMPRODUCT(--ISNUMBER(SEARCH(foreign,C62)))&gt;0)</f>
        <v>0</v>
      </c>
      <c r="Q62" s="14" cm="1">
        <f t="array" ref="Q62">INT(SUMPRODUCT(--ISNUMBER(SEARCH(gun,C62)))&gt;0)</f>
        <v>0</v>
      </c>
      <c r="R62" s="14" cm="1">
        <f t="array" ref="R62">INT(SUMPRODUCT(--ISNUMBER(SEARCH(race,C62)))&gt;0)</f>
        <v>0</v>
      </c>
      <c r="S62" s="14" cm="1">
        <f t="array" ref="S62">INT(SUMPRODUCT(--ISNUMBER(SEARCH(immigration,C62)))&gt;0)</f>
        <v>0</v>
      </c>
      <c r="T62" s="14" cm="1">
        <f t="array" ref="T62">INT(SUMPRODUCT(--ISNUMBER(SEARCH(econineq,C63)))&gt;0)</f>
        <v>0</v>
      </c>
      <c r="U62" s="14" cm="1">
        <f t="array" ref="U62">INT(SUMPRODUCT(--ISNUMBER(SEARCH(climate,C62)))&gt;0)</f>
        <v>0</v>
      </c>
      <c r="V62" s="14" cm="1">
        <f t="array" ref="V62">INT(SUMPRODUCT(--ISNUMBER(SEARCH(abortion,C62)))&gt;0)</f>
        <v>0</v>
      </c>
      <c r="W62" s="14" cm="1">
        <f t="array" ref="W62">INT(SUMPRODUCT(--ISNUMBER(SEARCH(trump,C62)))&gt;0)</f>
        <v>0</v>
      </c>
      <c r="X62" s="14" cm="1">
        <f t="array" ref="X62">INT(SUMPRODUCT(--ISNUMBER(SEARCH(voting,C62)))&gt;0)</f>
        <v>1</v>
      </c>
      <c r="Y62" s="14" cm="1">
        <f t="array" ref="Y62">INT(SUMPRODUCT(--ISNUMBER(SEARCH(democrattrigger,C62)))&gt;0)</f>
        <v>0</v>
      </c>
      <c r="Z62" s="14" cm="1">
        <f t="array" ref="Z62">INT(SUMPRODUCT(--ISNUMBER(SEARCH(bipartisan,C62)))&gt;0)</f>
        <v>0</v>
      </c>
      <c r="AA62" s="14">
        <f t="shared" si="0"/>
        <v>0</v>
      </c>
      <c r="AB62" s="14"/>
      <c r="AC62" s="30">
        <v>0</v>
      </c>
      <c r="AD62" s="37">
        <v>1</v>
      </c>
    </row>
    <row r="63" spans="1:30" x14ac:dyDescent="0.25">
      <c r="A63" s="36">
        <v>3468</v>
      </c>
      <c r="B63" s="14" t="s">
        <v>7561</v>
      </c>
      <c r="C63" s="14" t="s">
        <v>7562</v>
      </c>
      <c r="D63" s="17">
        <v>44128</v>
      </c>
      <c r="E63" s="14" t="s">
        <v>30</v>
      </c>
      <c r="F63" s="14">
        <v>575</v>
      </c>
      <c r="G63" s="14">
        <v>206</v>
      </c>
      <c r="H63" s="14">
        <v>16</v>
      </c>
      <c r="I63" s="14">
        <v>8</v>
      </c>
      <c r="J63" s="14" t="s">
        <v>204</v>
      </c>
      <c r="K63" s="14" cm="1">
        <f t="array" ref="K63">INT(SUMPRODUCT(--ISNUMBER(SEARCH(economy,C63)))&gt;0)</f>
        <v>0</v>
      </c>
      <c r="L63" s="14" cm="1">
        <f t="array" ref="L63">INT(SUMPRODUCT(--ISNUMBER(SEARCH(healthcare,C63)))&gt;0)</f>
        <v>0</v>
      </c>
      <c r="M63" s="14" cm="1">
        <f t="array" ref="M63">INT(SUMPRODUCT(--ISNUMBER(SEARCH(supreme,C63)))&gt;0)</f>
        <v>0</v>
      </c>
      <c r="N63" s="14" cm="1">
        <f t="array" ref="N63">INT(SUMPRODUCT(--ISNUMBER(SEARCH(covid,C63)))&gt;0)</f>
        <v>0</v>
      </c>
      <c r="O63" s="14" cm="1">
        <f t="array" ref="O63">INT(SUMPRODUCT(--ISNUMBER(SEARCH(violent,C63)))&gt;0)</f>
        <v>0</v>
      </c>
      <c r="P63" s="14" cm="1">
        <f t="array" ref="P63">INT(SUMPRODUCT(--ISNUMBER(SEARCH(foreign,C63)))&gt;0)</f>
        <v>0</v>
      </c>
      <c r="Q63" s="14" cm="1">
        <f t="array" ref="Q63">INT(SUMPRODUCT(--ISNUMBER(SEARCH(gun,C63)))&gt;0)</f>
        <v>0</v>
      </c>
      <c r="R63" s="14" cm="1">
        <f t="array" ref="R63">INT(SUMPRODUCT(--ISNUMBER(SEARCH(race,C63)))&gt;0)</f>
        <v>0</v>
      </c>
      <c r="S63" s="14" cm="1">
        <f t="array" ref="S63">INT(SUMPRODUCT(--ISNUMBER(SEARCH(immigration,C63)))&gt;0)</f>
        <v>0</v>
      </c>
      <c r="T63" s="14" cm="1">
        <f t="array" ref="T63">INT(SUMPRODUCT(--ISNUMBER(SEARCH(econineq,C64)))&gt;0)</f>
        <v>0</v>
      </c>
      <c r="U63" s="14" cm="1">
        <f t="array" ref="U63">INT(SUMPRODUCT(--ISNUMBER(SEARCH(climate,C63)))&gt;0)</f>
        <v>0</v>
      </c>
      <c r="V63" s="14" cm="1">
        <f t="array" ref="V63">INT(SUMPRODUCT(--ISNUMBER(SEARCH(abortion,C63)))&gt;0)</f>
        <v>0</v>
      </c>
      <c r="W63" s="14" cm="1">
        <f t="array" ref="W63">INT(SUMPRODUCT(--ISNUMBER(SEARCH(trump,C63)))&gt;0)</f>
        <v>1</v>
      </c>
      <c r="X63" s="14" cm="1">
        <f t="array" ref="X63">INT(SUMPRODUCT(--ISNUMBER(SEARCH(voting,C63)))&gt;0)</f>
        <v>1</v>
      </c>
      <c r="Y63" s="14" cm="1">
        <f t="array" ref="Y63">INT(SUMPRODUCT(--ISNUMBER(SEARCH(democrattrigger,C63)))&gt;0)</f>
        <v>1</v>
      </c>
      <c r="Z63" s="14" cm="1">
        <f t="array" ref="Z63">INT(SUMPRODUCT(--ISNUMBER(SEARCH(bipartisan,C63)))&gt;0)</f>
        <v>0</v>
      </c>
      <c r="AA63" s="14">
        <f t="shared" si="0"/>
        <v>0</v>
      </c>
      <c r="AB63" s="14"/>
      <c r="AC63" s="30" t="s">
        <v>223</v>
      </c>
      <c r="AD63" s="37" t="s">
        <v>223</v>
      </c>
    </row>
    <row r="64" spans="1:30" x14ac:dyDescent="0.25">
      <c r="A64" s="36">
        <v>3469</v>
      </c>
      <c r="B64" s="14" t="s">
        <v>7563</v>
      </c>
      <c r="C64" s="14" t="s">
        <v>7564</v>
      </c>
      <c r="D64" s="17">
        <v>44127</v>
      </c>
      <c r="E64" s="14" t="s">
        <v>30</v>
      </c>
      <c r="F64" s="14">
        <v>966</v>
      </c>
      <c r="G64" s="14">
        <v>200</v>
      </c>
      <c r="H64" s="14">
        <v>16</v>
      </c>
      <c r="I64" s="14">
        <v>8</v>
      </c>
      <c r="J64" s="14" t="s">
        <v>204</v>
      </c>
      <c r="K64" s="14" cm="1">
        <f t="array" ref="K64">INT(SUMPRODUCT(--ISNUMBER(SEARCH(economy,C64)))&gt;0)</f>
        <v>1</v>
      </c>
      <c r="L64" s="14" cm="1">
        <f t="array" ref="L64">INT(SUMPRODUCT(--ISNUMBER(SEARCH(healthcare,C64)))&gt;0)</f>
        <v>1</v>
      </c>
      <c r="M64" s="14" cm="1">
        <f t="array" ref="M64">INT(SUMPRODUCT(--ISNUMBER(SEARCH(supreme,C64)))&gt;0)</f>
        <v>0</v>
      </c>
      <c r="N64" s="14" cm="1">
        <f t="array" ref="N64">INT(SUMPRODUCT(--ISNUMBER(SEARCH(covid,C64)))&gt;0)</f>
        <v>0</v>
      </c>
      <c r="O64" s="14" cm="1">
        <f t="array" ref="O64">INT(SUMPRODUCT(--ISNUMBER(SEARCH(violent,C64)))&gt;0)</f>
        <v>0</v>
      </c>
      <c r="P64" s="14" cm="1">
        <f t="array" ref="P64">INT(SUMPRODUCT(--ISNUMBER(SEARCH(foreign,C64)))&gt;0)</f>
        <v>0</v>
      </c>
      <c r="Q64" s="14" cm="1">
        <f t="array" ref="Q64">INT(SUMPRODUCT(--ISNUMBER(SEARCH(gun,C64)))&gt;0)</f>
        <v>0</v>
      </c>
      <c r="R64" s="14" cm="1">
        <f t="array" ref="R64">INT(SUMPRODUCT(--ISNUMBER(SEARCH(race,C64)))&gt;0)</f>
        <v>0</v>
      </c>
      <c r="S64" s="14" cm="1">
        <f t="array" ref="S64">INT(SUMPRODUCT(--ISNUMBER(SEARCH(immigration,C64)))&gt;0)</f>
        <v>0</v>
      </c>
      <c r="T64" s="14" cm="1">
        <f t="array" ref="T64">INT(SUMPRODUCT(--ISNUMBER(SEARCH(econineq,C65)))&gt;0)</f>
        <v>0</v>
      </c>
      <c r="U64" s="14" cm="1">
        <f t="array" ref="U64">INT(SUMPRODUCT(--ISNUMBER(SEARCH(climate,C64)))&gt;0)</f>
        <v>0</v>
      </c>
      <c r="V64" s="14" cm="1">
        <f t="array" ref="V64">INT(SUMPRODUCT(--ISNUMBER(SEARCH(abortion,C64)))&gt;0)</f>
        <v>0</v>
      </c>
      <c r="W64" s="14" cm="1">
        <f t="array" ref="W64">INT(SUMPRODUCT(--ISNUMBER(SEARCH(trump,C64)))&gt;0)</f>
        <v>0</v>
      </c>
      <c r="X64" s="14" cm="1">
        <f t="array" ref="X64">INT(SUMPRODUCT(--ISNUMBER(SEARCH(voting,C64)))&gt;0)</f>
        <v>0</v>
      </c>
      <c r="Y64" s="14" cm="1">
        <f t="array" ref="Y64">INT(SUMPRODUCT(--ISNUMBER(SEARCH(democrattrigger,C64)))&gt;0)</f>
        <v>0</v>
      </c>
      <c r="Z64" s="14" cm="1">
        <f t="array" ref="Z64">INT(SUMPRODUCT(--ISNUMBER(SEARCH(bipartisan,C64)))&gt;0)</f>
        <v>0</v>
      </c>
      <c r="AA64" s="14">
        <f t="shared" si="0"/>
        <v>0</v>
      </c>
      <c r="AB64" s="14"/>
      <c r="AC64" s="30">
        <v>1</v>
      </c>
      <c r="AD64" s="37">
        <v>0</v>
      </c>
    </row>
    <row r="65" spans="1:30" x14ac:dyDescent="0.25">
      <c r="A65" s="36">
        <v>3470</v>
      </c>
      <c r="B65" s="14" t="s">
        <v>7565</v>
      </c>
      <c r="C65" s="14" t="s">
        <v>7566</v>
      </c>
      <c r="D65" s="17">
        <v>44127</v>
      </c>
      <c r="E65" s="14" t="s">
        <v>30</v>
      </c>
      <c r="F65" s="14">
        <v>1588</v>
      </c>
      <c r="G65" s="14">
        <v>490</v>
      </c>
      <c r="H65" s="14">
        <v>16</v>
      </c>
      <c r="I65" s="14">
        <v>8</v>
      </c>
      <c r="J65" s="14" t="s">
        <v>204</v>
      </c>
      <c r="K65" s="14" cm="1">
        <f t="array" ref="K65">INT(SUMPRODUCT(--ISNUMBER(SEARCH(economy,C65)))&gt;0)</f>
        <v>1</v>
      </c>
      <c r="L65" s="14" cm="1">
        <f t="array" ref="L65">INT(SUMPRODUCT(--ISNUMBER(SEARCH(healthcare,C65)))&gt;0)</f>
        <v>0</v>
      </c>
      <c r="M65" s="14" cm="1">
        <f t="array" ref="M65">INT(SUMPRODUCT(--ISNUMBER(SEARCH(supreme,C65)))&gt;0)</f>
        <v>0</v>
      </c>
      <c r="N65" s="14" cm="1">
        <f t="array" ref="N65">INT(SUMPRODUCT(--ISNUMBER(SEARCH(covid,C65)))&gt;0)</f>
        <v>1</v>
      </c>
      <c r="O65" s="14" cm="1">
        <f t="array" ref="O65">INT(SUMPRODUCT(--ISNUMBER(SEARCH(violent,C65)))&gt;0)</f>
        <v>0</v>
      </c>
      <c r="P65" s="14" cm="1">
        <f t="array" ref="P65">INT(SUMPRODUCT(--ISNUMBER(SEARCH(foreign,C65)))&gt;0)</f>
        <v>0</v>
      </c>
      <c r="Q65" s="14" cm="1">
        <f t="array" ref="Q65">INT(SUMPRODUCT(--ISNUMBER(SEARCH(gun,C65)))&gt;0)</f>
        <v>0</v>
      </c>
      <c r="R65" s="14" cm="1">
        <f t="array" ref="R65">INT(SUMPRODUCT(--ISNUMBER(SEARCH(race,C65)))&gt;0)</f>
        <v>0</v>
      </c>
      <c r="S65" s="14" cm="1">
        <f t="array" ref="S65">INT(SUMPRODUCT(--ISNUMBER(SEARCH(immigration,C65)))&gt;0)</f>
        <v>0</v>
      </c>
      <c r="T65" s="14" cm="1">
        <f t="array" ref="T65">INT(SUMPRODUCT(--ISNUMBER(SEARCH(econineq,C66)))&gt;0)</f>
        <v>0</v>
      </c>
      <c r="U65" s="14" cm="1">
        <f t="array" ref="U65">INT(SUMPRODUCT(--ISNUMBER(SEARCH(climate,C65)))&gt;0)</f>
        <v>0</v>
      </c>
      <c r="V65" s="14" cm="1">
        <f t="array" ref="V65">INT(SUMPRODUCT(--ISNUMBER(SEARCH(abortion,C65)))&gt;0)</f>
        <v>0</v>
      </c>
      <c r="W65" s="14" cm="1">
        <f t="array" ref="W65">INT(SUMPRODUCT(--ISNUMBER(SEARCH(trump,C65)))&gt;0)</f>
        <v>0</v>
      </c>
      <c r="X65" s="14" cm="1">
        <f t="array" ref="X65">INT(SUMPRODUCT(--ISNUMBER(SEARCH(voting,C65)))&gt;0)</f>
        <v>1</v>
      </c>
      <c r="Y65" s="14" cm="1">
        <f t="array" ref="Y65">INT(SUMPRODUCT(--ISNUMBER(SEARCH(democrattrigger,C65)))&gt;0)</f>
        <v>1</v>
      </c>
      <c r="Z65" s="14" cm="1">
        <f t="array" ref="Z65">INT(SUMPRODUCT(--ISNUMBER(SEARCH(bipartisan,C65)))&gt;0)</f>
        <v>0</v>
      </c>
      <c r="AA65" s="14">
        <f t="shared" si="0"/>
        <v>0</v>
      </c>
      <c r="AB65" s="14"/>
      <c r="AC65" s="30" t="s">
        <v>223</v>
      </c>
      <c r="AD65" s="37" t="s">
        <v>223</v>
      </c>
    </row>
    <row r="66" spans="1:30" x14ac:dyDescent="0.25">
      <c r="A66" s="36">
        <v>3471</v>
      </c>
      <c r="B66" s="14" t="s">
        <v>7567</v>
      </c>
      <c r="C66" s="14" t="s">
        <v>7568</v>
      </c>
      <c r="D66" s="17">
        <v>44127</v>
      </c>
      <c r="E66" s="14" t="s">
        <v>30</v>
      </c>
      <c r="F66" s="14">
        <v>687</v>
      </c>
      <c r="G66" s="14">
        <v>183</v>
      </c>
      <c r="H66" s="14">
        <v>16</v>
      </c>
      <c r="I66" s="14">
        <v>8</v>
      </c>
      <c r="J66" s="14" t="s">
        <v>204</v>
      </c>
      <c r="K66" s="14" cm="1">
        <f t="array" ref="K66">INT(SUMPRODUCT(--ISNUMBER(SEARCH(economy,C66)))&gt;0)</f>
        <v>0</v>
      </c>
      <c r="L66" s="14" cm="1">
        <f t="array" ref="L66">INT(SUMPRODUCT(--ISNUMBER(SEARCH(healthcare,C66)))&gt;0)</f>
        <v>1</v>
      </c>
      <c r="M66" s="14" cm="1">
        <f t="array" ref="M66">INT(SUMPRODUCT(--ISNUMBER(SEARCH(supreme,C66)))&gt;0)</f>
        <v>0</v>
      </c>
      <c r="N66" s="14" cm="1">
        <f t="array" ref="N66">INT(SUMPRODUCT(--ISNUMBER(SEARCH(covid,C66)))&gt;0)</f>
        <v>1</v>
      </c>
      <c r="O66" s="14" cm="1">
        <f t="array" ref="O66">INT(SUMPRODUCT(--ISNUMBER(SEARCH(violent,C66)))&gt;0)</f>
        <v>0</v>
      </c>
      <c r="P66" s="14" cm="1">
        <f t="array" ref="P66">INT(SUMPRODUCT(--ISNUMBER(SEARCH(foreign,C66)))&gt;0)</f>
        <v>0</v>
      </c>
      <c r="Q66" s="14" cm="1">
        <f t="array" ref="Q66">INT(SUMPRODUCT(--ISNUMBER(SEARCH(gun,C66)))&gt;0)</f>
        <v>0</v>
      </c>
      <c r="R66" s="14" cm="1">
        <f t="array" ref="R66">INT(SUMPRODUCT(--ISNUMBER(SEARCH(race,C66)))&gt;0)</f>
        <v>0</v>
      </c>
      <c r="S66" s="14" cm="1">
        <f t="array" ref="S66">INT(SUMPRODUCT(--ISNUMBER(SEARCH(immigration,C66)))&gt;0)</f>
        <v>0</v>
      </c>
      <c r="T66" s="14" cm="1">
        <f t="array" ref="T66">INT(SUMPRODUCT(--ISNUMBER(SEARCH(econineq,C67)))&gt;0)</f>
        <v>0</v>
      </c>
      <c r="U66" s="14" cm="1">
        <f t="array" ref="U66">INT(SUMPRODUCT(--ISNUMBER(SEARCH(climate,C66)))&gt;0)</f>
        <v>0</v>
      </c>
      <c r="V66" s="14" cm="1">
        <f t="array" ref="V66">INT(SUMPRODUCT(--ISNUMBER(SEARCH(abortion,C66)))&gt;0)</f>
        <v>0</v>
      </c>
      <c r="W66" s="14" cm="1">
        <f t="array" ref="W66">INT(SUMPRODUCT(--ISNUMBER(SEARCH(trump,C66)))&gt;0)</f>
        <v>0</v>
      </c>
      <c r="X66" s="14" cm="1">
        <f t="array" ref="X66">INT(SUMPRODUCT(--ISNUMBER(SEARCH(voting,C66)))&gt;0)</f>
        <v>0</v>
      </c>
      <c r="Y66" s="14" cm="1">
        <f t="array" ref="Y66">INT(SUMPRODUCT(--ISNUMBER(SEARCH(democrattrigger,C66)))&gt;0)</f>
        <v>0</v>
      </c>
      <c r="Z66" s="14" cm="1">
        <f t="array" ref="Z66">INT(SUMPRODUCT(--ISNUMBER(SEARCH(bipartisan,C66)))&gt;0)</f>
        <v>0</v>
      </c>
      <c r="AA66" s="14">
        <f t="shared" si="0"/>
        <v>0</v>
      </c>
      <c r="AB66" s="14"/>
      <c r="AC66" s="30">
        <v>1</v>
      </c>
      <c r="AD66" s="37">
        <v>0</v>
      </c>
    </row>
    <row r="67" spans="1:30" x14ac:dyDescent="0.25">
      <c r="A67" s="36">
        <v>3472</v>
      </c>
      <c r="B67" s="14" t="s">
        <v>7569</v>
      </c>
      <c r="C67" s="14" t="s">
        <v>7570</v>
      </c>
      <c r="D67" s="17">
        <v>44127</v>
      </c>
      <c r="E67" s="14" t="s">
        <v>30</v>
      </c>
      <c r="F67" s="14">
        <v>652</v>
      </c>
      <c r="G67" s="14">
        <v>125</v>
      </c>
      <c r="H67" s="14">
        <v>16</v>
      </c>
      <c r="I67" s="14">
        <v>8</v>
      </c>
      <c r="J67" s="14" t="s">
        <v>204</v>
      </c>
      <c r="K67" s="14" cm="1">
        <f t="array" ref="K67">INT(SUMPRODUCT(--ISNUMBER(SEARCH(economy,C67)))&gt;0)</f>
        <v>0</v>
      </c>
      <c r="L67" s="14" cm="1">
        <f t="array" ref="L67">INT(SUMPRODUCT(--ISNUMBER(SEARCH(healthcare,C67)))&gt;0)</f>
        <v>0</v>
      </c>
      <c r="M67" s="14" cm="1">
        <f t="array" ref="M67">INT(SUMPRODUCT(--ISNUMBER(SEARCH(supreme,C67)))&gt;0)</f>
        <v>0</v>
      </c>
      <c r="N67" s="14" cm="1">
        <f t="array" ref="N67">INT(SUMPRODUCT(--ISNUMBER(SEARCH(covid,C67)))&gt;0)</f>
        <v>0</v>
      </c>
      <c r="O67" s="14" cm="1">
        <f t="array" ref="O67">INT(SUMPRODUCT(--ISNUMBER(SEARCH(violent,C67)))&gt;0)</f>
        <v>0</v>
      </c>
      <c r="P67" s="14" cm="1">
        <f t="array" ref="P67">INT(SUMPRODUCT(--ISNUMBER(SEARCH(foreign,C67)))&gt;0)</f>
        <v>0</v>
      </c>
      <c r="Q67" s="14" cm="1">
        <f t="array" ref="Q67">INT(SUMPRODUCT(--ISNUMBER(SEARCH(gun,C67)))&gt;0)</f>
        <v>0</v>
      </c>
      <c r="R67" s="14" cm="1">
        <f t="array" ref="R67">INT(SUMPRODUCT(--ISNUMBER(SEARCH(race,C67)))&gt;0)</f>
        <v>0</v>
      </c>
      <c r="S67" s="14" cm="1">
        <f t="array" ref="S67">INT(SUMPRODUCT(--ISNUMBER(SEARCH(immigration,C67)))&gt;0)</f>
        <v>0</v>
      </c>
      <c r="T67" s="14" cm="1">
        <f t="array" ref="T67">INT(SUMPRODUCT(--ISNUMBER(SEARCH(econineq,C68)))&gt;0)</f>
        <v>0</v>
      </c>
      <c r="U67" s="14" cm="1">
        <f t="array" ref="U67">INT(SUMPRODUCT(--ISNUMBER(SEARCH(climate,C67)))&gt;0)</f>
        <v>0</v>
      </c>
      <c r="V67" s="14" cm="1">
        <f t="array" ref="V67">INT(SUMPRODUCT(--ISNUMBER(SEARCH(abortion,C67)))&gt;0)</f>
        <v>0</v>
      </c>
      <c r="W67" s="14" cm="1">
        <f t="array" ref="W67">INT(SUMPRODUCT(--ISNUMBER(SEARCH(trump,C67)))&gt;0)</f>
        <v>0</v>
      </c>
      <c r="X67" s="14" cm="1">
        <f t="array" ref="X67">INT(SUMPRODUCT(--ISNUMBER(SEARCH(voting,C67)))&gt;0)</f>
        <v>1</v>
      </c>
      <c r="Y67" s="14" cm="1">
        <f t="array" ref="Y67">INT(SUMPRODUCT(--ISNUMBER(SEARCH(democrattrigger,C67)))&gt;0)</f>
        <v>0</v>
      </c>
      <c r="Z67" s="14" cm="1">
        <f t="array" ref="Z67">INT(SUMPRODUCT(--ISNUMBER(SEARCH(bipartisan,C67)))&gt;0)</f>
        <v>0</v>
      </c>
      <c r="AA67" s="14">
        <f t="shared" ref="AA67:AA130" si="1">INT(IF(COUNTIF(K67:Z67,1)=0,"1","0"))</f>
        <v>0</v>
      </c>
      <c r="AB67" s="14"/>
      <c r="AC67" s="30">
        <v>1</v>
      </c>
      <c r="AD67" s="37">
        <v>0</v>
      </c>
    </row>
    <row r="68" spans="1:30" x14ac:dyDescent="0.25">
      <c r="A68" s="36">
        <v>3473</v>
      </c>
      <c r="B68" s="14" t="s">
        <v>7571</v>
      </c>
      <c r="C68" s="14" t="s">
        <v>7572</v>
      </c>
      <c r="D68" s="17">
        <v>44127</v>
      </c>
      <c r="E68" s="14" t="s">
        <v>30</v>
      </c>
      <c r="F68" s="14">
        <v>520</v>
      </c>
      <c r="G68" s="14">
        <v>113</v>
      </c>
      <c r="H68" s="14">
        <v>16</v>
      </c>
      <c r="I68" s="14">
        <v>8</v>
      </c>
      <c r="J68" s="14" t="s">
        <v>204</v>
      </c>
      <c r="K68" s="14" cm="1">
        <f t="array" ref="K68">INT(SUMPRODUCT(--ISNUMBER(SEARCH(economy,C68)))&gt;0)</f>
        <v>0</v>
      </c>
      <c r="L68" s="14" cm="1">
        <f t="array" ref="L68">INT(SUMPRODUCT(--ISNUMBER(SEARCH(healthcare,C68)))&gt;0)</f>
        <v>0</v>
      </c>
      <c r="M68" s="14" cm="1">
        <f t="array" ref="M68">INT(SUMPRODUCT(--ISNUMBER(SEARCH(supreme,C68)))&gt;0)</f>
        <v>0</v>
      </c>
      <c r="N68" s="14" cm="1">
        <f t="array" ref="N68">INT(SUMPRODUCT(--ISNUMBER(SEARCH(covid,C68)))&gt;0)</f>
        <v>0</v>
      </c>
      <c r="O68" s="14" cm="1">
        <f t="array" ref="O68">INT(SUMPRODUCT(--ISNUMBER(SEARCH(violent,C68)))&gt;0)</f>
        <v>0</v>
      </c>
      <c r="P68" s="14" cm="1">
        <f t="array" ref="P68">INT(SUMPRODUCT(--ISNUMBER(SEARCH(foreign,C68)))&gt;0)</f>
        <v>0</v>
      </c>
      <c r="Q68" s="14" cm="1">
        <f t="array" ref="Q68">INT(SUMPRODUCT(--ISNUMBER(SEARCH(gun,C68)))&gt;0)</f>
        <v>0</v>
      </c>
      <c r="R68" s="14" cm="1">
        <f t="array" ref="R68">INT(SUMPRODUCT(--ISNUMBER(SEARCH(race,C68)))&gt;0)</f>
        <v>0</v>
      </c>
      <c r="S68" s="14" cm="1">
        <f t="array" ref="S68">INT(SUMPRODUCT(--ISNUMBER(SEARCH(immigration,C68)))&gt;0)</f>
        <v>0</v>
      </c>
      <c r="T68" s="14" cm="1">
        <f t="array" ref="T68">INT(SUMPRODUCT(--ISNUMBER(SEARCH(econineq,C69)))&gt;0)</f>
        <v>0</v>
      </c>
      <c r="U68" s="14" cm="1">
        <f t="array" ref="U68">INT(SUMPRODUCT(--ISNUMBER(SEARCH(climate,C68)))&gt;0)</f>
        <v>0</v>
      </c>
      <c r="V68" s="14" cm="1">
        <f t="array" ref="V68">INT(SUMPRODUCT(--ISNUMBER(SEARCH(abortion,C68)))&gt;0)</f>
        <v>0</v>
      </c>
      <c r="W68" s="14" cm="1">
        <f t="array" ref="W68">INT(SUMPRODUCT(--ISNUMBER(SEARCH(trump,C68)))&gt;0)</f>
        <v>0</v>
      </c>
      <c r="X68" s="14" cm="1">
        <f t="array" ref="X68">INT(SUMPRODUCT(--ISNUMBER(SEARCH(voting,C68)))&gt;0)</f>
        <v>1</v>
      </c>
      <c r="Y68" s="14" cm="1">
        <f t="array" ref="Y68">INT(SUMPRODUCT(--ISNUMBER(SEARCH(democrattrigger,C68)))&gt;0)</f>
        <v>0</v>
      </c>
      <c r="Z68" s="14" cm="1">
        <f t="array" ref="Z68">INT(SUMPRODUCT(--ISNUMBER(SEARCH(bipartisan,C68)))&gt;0)</f>
        <v>0</v>
      </c>
      <c r="AA68" s="14">
        <f t="shared" si="1"/>
        <v>0</v>
      </c>
      <c r="AB68" s="14"/>
      <c r="AC68" s="30" t="s">
        <v>223</v>
      </c>
      <c r="AD68" s="37" t="s">
        <v>223</v>
      </c>
    </row>
    <row r="69" spans="1:30" x14ac:dyDescent="0.25">
      <c r="A69" s="36">
        <v>3474</v>
      </c>
      <c r="B69" s="14" t="s">
        <v>7573</v>
      </c>
      <c r="C69" s="14" t="s">
        <v>7574</v>
      </c>
      <c r="D69" s="17">
        <v>44127</v>
      </c>
      <c r="E69" s="14" t="s">
        <v>30</v>
      </c>
      <c r="F69" s="14">
        <v>551</v>
      </c>
      <c r="G69" s="14">
        <v>144</v>
      </c>
      <c r="H69" s="14">
        <v>16</v>
      </c>
      <c r="I69" s="14">
        <v>8</v>
      </c>
      <c r="J69" s="14" t="s">
        <v>204</v>
      </c>
      <c r="K69" s="14" cm="1">
        <f t="array" ref="K69">INT(SUMPRODUCT(--ISNUMBER(SEARCH(economy,C69)))&gt;0)</f>
        <v>0</v>
      </c>
      <c r="L69" s="14" cm="1">
        <f t="array" ref="L69">INT(SUMPRODUCT(--ISNUMBER(SEARCH(healthcare,C69)))&gt;0)</f>
        <v>0</v>
      </c>
      <c r="M69" s="14" cm="1">
        <f t="array" ref="M69">INT(SUMPRODUCT(--ISNUMBER(SEARCH(supreme,C69)))&gt;0)</f>
        <v>0</v>
      </c>
      <c r="N69" s="14" cm="1">
        <f t="array" ref="N69">INT(SUMPRODUCT(--ISNUMBER(SEARCH(covid,C69)))&gt;0)</f>
        <v>0</v>
      </c>
      <c r="O69" s="14" cm="1">
        <f t="array" ref="O69">INT(SUMPRODUCT(--ISNUMBER(SEARCH(violent,C69)))&gt;0)</f>
        <v>0</v>
      </c>
      <c r="P69" s="14" cm="1">
        <f t="array" ref="P69">INT(SUMPRODUCT(--ISNUMBER(SEARCH(foreign,C69)))&gt;0)</f>
        <v>0</v>
      </c>
      <c r="Q69" s="14" cm="1">
        <f t="array" ref="Q69">INT(SUMPRODUCT(--ISNUMBER(SEARCH(gun,C69)))&gt;0)</f>
        <v>0</v>
      </c>
      <c r="R69" s="14" cm="1">
        <f t="array" ref="R69">INT(SUMPRODUCT(--ISNUMBER(SEARCH(race,C69)))&gt;0)</f>
        <v>0</v>
      </c>
      <c r="S69" s="14" cm="1">
        <f t="array" ref="S69">INT(SUMPRODUCT(--ISNUMBER(SEARCH(immigration,C69)))&gt;0)</f>
        <v>0</v>
      </c>
      <c r="T69" s="14" cm="1">
        <f t="array" ref="T69">INT(SUMPRODUCT(--ISNUMBER(SEARCH(econineq,C70)))&gt;0)</f>
        <v>0</v>
      </c>
      <c r="U69" s="14" cm="1">
        <f t="array" ref="U69">INT(SUMPRODUCT(--ISNUMBER(SEARCH(climate,C69)))&gt;0)</f>
        <v>0</v>
      </c>
      <c r="V69" s="14" cm="1">
        <f t="array" ref="V69">INT(SUMPRODUCT(--ISNUMBER(SEARCH(abortion,C69)))&gt;0)</f>
        <v>0</v>
      </c>
      <c r="W69" s="14" cm="1">
        <f t="array" ref="W69">INT(SUMPRODUCT(--ISNUMBER(SEARCH(trump,C69)))&gt;0)</f>
        <v>0</v>
      </c>
      <c r="X69" s="14" cm="1">
        <f t="array" ref="X69">INT(SUMPRODUCT(--ISNUMBER(SEARCH(voting,C69)))&gt;0)</f>
        <v>0</v>
      </c>
      <c r="Y69" s="14" cm="1">
        <f t="array" ref="Y69">INT(SUMPRODUCT(--ISNUMBER(SEARCH(democrattrigger,C69)))&gt;0)</f>
        <v>0</v>
      </c>
      <c r="Z69" s="14" cm="1">
        <f t="array" ref="Z69">INT(SUMPRODUCT(--ISNUMBER(SEARCH(bipartisan,C69)))&gt;0)</f>
        <v>0</v>
      </c>
      <c r="AA69" s="14">
        <f t="shared" si="1"/>
        <v>1</v>
      </c>
      <c r="AB69" s="14"/>
      <c r="AC69" s="30">
        <v>0</v>
      </c>
      <c r="AD69" s="37">
        <v>1</v>
      </c>
    </row>
    <row r="70" spans="1:30" x14ac:dyDescent="0.25">
      <c r="A70" s="36">
        <v>3475</v>
      </c>
      <c r="B70" s="14" t="s">
        <v>7575</v>
      </c>
      <c r="C70" s="14" t="s">
        <v>7576</v>
      </c>
      <c r="D70" s="17">
        <v>44126</v>
      </c>
      <c r="E70" s="14" t="s">
        <v>30</v>
      </c>
      <c r="F70" s="14">
        <v>636</v>
      </c>
      <c r="G70" s="14">
        <v>99</v>
      </c>
      <c r="H70" s="14">
        <v>16</v>
      </c>
      <c r="I70" s="14">
        <v>8</v>
      </c>
      <c r="J70" s="14" t="s">
        <v>204</v>
      </c>
      <c r="K70" s="14" cm="1">
        <f t="array" ref="K70">INT(SUMPRODUCT(--ISNUMBER(SEARCH(economy,C70)))&gt;0)</f>
        <v>0</v>
      </c>
      <c r="L70" s="14" cm="1">
        <f t="array" ref="L70">INT(SUMPRODUCT(--ISNUMBER(SEARCH(healthcare,C70)))&gt;0)</f>
        <v>0</v>
      </c>
      <c r="M70" s="14" cm="1">
        <f t="array" ref="M70">INT(SUMPRODUCT(--ISNUMBER(SEARCH(supreme,C70)))&gt;0)</f>
        <v>0</v>
      </c>
      <c r="N70" s="14" cm="1">
        <f t="array" ref="N70">INT(SUMPRODUCT(--ISNUMBER(SEARCH(covid,C70)))&gt;0)</f>
        <v>0</v>
      </c>
      <c r="O70" s="14" cm="1">
        <f t="array" ref="O70">INT(SUMPRODUCT(--ISNUMBER(SEARCH(violent,C70)))&gt;0)</f>
        <v>0</v>
      </c>
      <c r="P70" s="14" cm="1">
        <f t="array" ref="P70">INT(SUMPRODUCT(--ISNUMBER(SEARCH(foreign,C70)))&gt;0)</f>
        <v>0</v>
      </c>
      <c r="Q70" s="14" cm="1">
        <f t="array" ref="Q70">INT(SUMPRODUCT(--ISNUMBER(SEARCH(gun,C70)))&gt;0)</f>
        <v>0</v>
      </c>
      <c r="R70" s="14" cm="1">
        <f t="array" ref="R70">INT(SUMPRODUCT(--ISNUMBER(SEARCH(race,C70)))&gt;0)</f>
        <v>0</v>
      </c>
      <c r="S70" s="14" cm="1">
        <f t="array" ref="S70">INT(SUMPRODUCT(--ISNUMBER(SEARCH(immigration,C70)))&gt;0)</f>
        <v>0</v>
      </c>
      <c r="T70" s="14" cm="1">
        <f t="array" ref="T70">INT(SUMPRODUCT(--ISNUMBER(SEARCH(econineq,C71)))&gt;0)</f>
        <v>0</v>
      </c>
      <c r="U70" s="14" cm="1">
        <f t="array" ref="U70">INT(SUMPRODUCT(--ISNUMBER(SEARCH(climate,C70)))&gt;0)</f>
        <v>0</v>
      </c>
      <c r="V70" s="14" cm="1">
        <f t="array" ref="V70">INT(SUMPRODUCT(--ISNUMBER(SEARCH(abortion,C70)))&gt;0)</f>
        <v>0</v>
      </c>
      <c r="W70" s="14" cm="1">
        <f t="array" ref="W70">INT(SUMPRODUCT(--ISNUMBER(SEARCH(trump,C70)))&gt;0)</f>
        <v>0</v>
      </c>
      <c r="X70" s="14" cm="1">
        <f t="array" ref="X70">INT(SUMPRODUCT(--ISNUMBER(SEARCH(voting,C70)))&gt;0)</f>
        <v>1</v>
      </c>
      <c r="Y70" s="14" cm="1">
        <f t="array" ref="Y70">INT(SUMPRODUCT(--ISNUMBER(SEARCH(democrattrigger,C70)))&gt;0)</f>
        <v>0</v>
      </c>
      <c r="Z70" s="14" cm="1">
        <f t="array" ref="Z70">INT(SUMPRODUCT(--ISNUMBER(SEARCH(bipartisan,C70)))&gt;0)</f>
        <v>0</v>
      </c>
      <c r="AA70" s="14">
        <f t="shared" si="1"/>
        <v>0</v>
      </c>
      <c r="AB70" s="14"/>
      <c r="AC70" s="30" t="s">
        <v>223</v>
      </c>
      <c r="AD70" s="37" t="s">
        <v>223</v>
      </c>
    </row>
    <row r="71" spans="1:30" x14ac:dyDescent="0.25">
      <c r="A71" s="36">
        <v>3476</v>
      </c>
      <c r="B71" s="14" t="s">
        <v>7577</v>
      </c>
      <c r="C71" s="14" t="s">
        <v>7578</v>
      </c>
      <c r="D71" s="17">
        <v>44126</v>
      </c>
      <c r="E71" s="14" t="s">
        <v>30</v>
      </c>
      <c r="F71" s="14">
        <v>573</v>
      </c>
      <c r="G71" s="14">
        <v>148</v>
      </c>
      <c r="H71" s="14">
        <v>16</v>
      </c>
      <c r="I71" s="14">
        <v>8</v>
      </c>
      <c r="J71" s="14" t="s">
        <v>204</v>
      </c>
      <c r="K71" s="14" cm="1">
        <f t="array" ref="K71">INT(SUMPRODUCT(--ISNUMBER(SEARCH(economy,C71)))&gt;0)</f>
        <v>0</v>
      </c>
      <c r="L71" s="14" cm="1">
        <f t="array" ref="L71">INT(SUMPRODUCT(--ISNUMBER(SEARCH(healthcare,C71)))&gt;0)</f>
        <v>1</v>
      </c>
      <c r="M71" s="14" cm="1">
        <f t="array" ref="M71">INT(SUMPRODUCT(--ISNUMBER(SEARCH(supreme,C71)))&gt;0)</f>
        <v>0</v>
      </c>
      <c r="N71" s="14" cm="1">
        <f t="array" ref="N71">INT(SUMPRODUCT(--ISNUMBER(SEARCH(covid,C71)))&gt;0)</f>
        <v>0</v>
      </c>
      <c r="O71" s="14" cm="1">
        <f t="array" ref="O71">INT(SUMPRODUCT(--ISNUMBER(SEARCH(violent,C71)))&gt;0)</f>
        <v>0</v>
      </c>
      <c r="P71" s="14" cm="1">
        <f t="array" ref="P71">INT(SUMPRODUCT(--ISNUMBER(SEARCH(foreign,C71)))&gt;0)</f>
        <v>0</v>
      </c>
      <c r="Q71" s="14" cm="1">
        <f t="array" ref="Q71">INT(SUMPRODUCT(--ISNUMBER(SEARCH(gun,C71)))&gt;0)</f>
        <v>0</v>
      </c>
      <c r="R71" s="14" cm="1">
        <f t="array" ref="R71">INT(SUMPRODUCT(--ISNUMBER(SEARCH(race,C71)))&gt;0)</f>
        <v>0</v>
      </c>
      <c r="S71" s="14" cm="1">
        <f t="array" ref="S71">INT(SUMPRODUCT(--ISNUMBER(SEARCH(immigration,C71)))&gt;0)</f>
        <v>0</v>
      </c>
      <c r="T71" s="14" cm="1">
        <f t="array" ref="T71">INT(SUMPRODUCT(--ISNUMBER(SEARCH(econineq,C72)))&gt;0)</f>
        <v>0</v>
      </c>
      <c r="U71" s="14" cm="1">
        <f t="array" ref="U71">INT(SUMPRODUCT(--ISNUMBER(SEARCH(climate,C71)))&gt;0)</f>
        <v>0</v>
      </c>
      <c r="V71" s="14" cm="1">
        <f t="array" ref="V71">INT(SUMPRODUCT(--ISNUMBER(SEARCH(abortion,C71)))&gt;0)</f>
        <v>0</v>
      </c>
      <c r="W71" s="14" cm="1">
        <f t="array" ref="W71">INT(SUMPRODUCT(--ISNUMBER(SEARCH(trump,C71)))&gt;0)</f>
        <v>0</v>
      </c>
      <c r="X71" s="14" cm="1">
        <f t="array" ref="X71">INT(SUMPRODUCT(--ISNUMBER(SEARCH(voting,C71)))&gt;0)</f>
        <v>0</v>
      </c>
      <c r="Y71" s="14" cm="1">
        <f t="array" ref="Y71">INT(SUMPRODUCT(--ISNUMBER(SEARCH(democrattrigger,C71)))&gt;0)</f>
        <v>0</v>
      </c>
      <c r="Z71" s="14" cm="1">
        <f t="array" ref="Z71">INT(SUMPRODUCT(--ISNUMBER(SEARCH(bipartisan,C71)))&gt;0)</f>
        <v>0</v>
      </c>
      <c r="AA71" s="14">
        <f t="shared" si="1"/>
        <v>0</v>
      </c>
      <c r="AB71" s="14"/>
      <c r="AC71" s="30">
        <v>1</v>
      </c>
      <c r="AD71" s="37">
        <v>0</v>
      </c>
    </row>
    <row r="72" spans="1:30" x14ac:dyDescent="0.25">
      <c r="A72" s="36">
        <v>3477</v>
      </c>
      <c r="B72" s="14" t="s">
        <v>7579</v>
      </c>
      <c r="C72" s="14" t="s">
        <v>7580</v>
      </c>
      <c r="D72" s="17">
        <v>44126</v>
      </c>
      <c r="E72" s="14" t="s">
        <v>30</v>
      </c>
      <c r="F72" s="14">
        <v>950</v>
      </c>
      <c r="G72" s="14">
        <v>301</v>
      </c>
      <c r="H72" s="14">
        <v>16</v>
      </c>
      <c r="I72" s="14">
        <v>8</v>
      </c>
      <c r="J72" s="14" t="s">
        <v>204</v>
      </c>
      <c r="K72" s="14" cm="1">
        <f t="array" ref="K72">INT(SUMPRODUCT(--ISNUMBER(SEARCH(economy,C72)))&gt;0)</f>
        <v>0</v>
      </c>
      <c r="L72" s="14" cm="1">
        <f t="array" ref="L72">INT(SUMPRODUCT(--ISNUMBER(SEARCH(healthcare,C72)))&gt;0)</f>
        <v>0</v>
      </c>
      <c r="M72" s="14" cm="1">
        <f t="array" ref="M72">INT(SUMPRODUCT(--ISNUMBER(SEARCH(supreme,C72)))&gt;0)</f>
        <v>1</v>
      </c>
      <c r="N72" s="14" cm="1">
        <f t="array" ref="N72">INT(SUMPRODUCT(--ISNUMBER(SEARCH(covid,C72)))&gt;0)</f>
        <v>1</v>
      </c>
      <c r="O72" s="14" cm="1">
        <f t="array" ref="O72">INT(SUMPRODUCT(--ISNUMBER(SEARCH(violent,C72)))&gt;0)</f>
        <v>0</v>
      </c>
      <c r="P72" s="14" cm="1">
        <f t="array" ref="P72">INT(SUMPRODUCT(--ISNUMBER(SEARCH(foreign,C72)))&gt;0)</f>
        <v>0</v>
      </c>
      <c r="Q72" s="14" cm="1">
        <f t="array" ref="Q72">INT(SUMPRODUCT(--ISNUMBER(SEARCH(gun,C72)))&gt;0)</f>
        <v>0</v>
      </c>
      <c r="R72" s="14" cm="1">
        <f t="array" ref="R72">INT(SUMPRODUCT(--ISNUMBER(SEARCH(race,C72)))&gt;0)</f>
        <v>0</v>
      </c>
      <c r="S72" s="14" cm="1">
        <f t="array" ref="S72">INT(SUMPRODUCT(--ISNUMBER(SEARCH(immigration,C72)))&gt;0)</f>
        <v>0</v>
      </c>
      <c r="T72" s="14" cm="1">
        <f t="array" ref="T72">INT(SUMPRODUCT(--ISNUMBER(SEARCH(econineq,C73)))&gt;0)</f>
        <v>0</v>
      </c>
      <c r="U72" s="14" cm="1">
        <f t="array" ref="U72">INT(SUMPRODUCT(--ISNUMBER(SEARCH(climate,C72)))&gt;0)</f>
        <v>0</v>
      </c>
      <c r="V72" s="14" cm="1">
        <f t="array" ref="V72">INT(SUMPRODUCT(--ISNUMBER(SEARCH(abortion,C72)))&gt;0)</f>
        <v>0</v>
      </c>
      <c r="W72" s="14" cm="1">
        <f t="array" ref="W72">INT(SUMPRODUCT(--ISNUMBER(SEARCH(trump,C72)))&gt;0)</f>
        <v>1</v>
      </c>
      <c r="X72" s="14" cm="1">
        <f t="array" ref="X72">INT(SUMPRODUCT(--ISNUMBER(SEARCH(voting,C72)))&gt;0)</f>
        <v>0</v>
      </c>
      <c r="Y72" s="14" cm="1">
        <f t="array" ref="Y72">INT(SUMPRODUCT(--ISNUMBER(SEARCH(democrattrigger,C72)))&gt;0)</f>
        <v>1</v>
      </c>
      <c r="Z72" s="14" cm="1">
        <f t="array" ref="Z72">INT(SUMPRODUCT(--ISNUMBER(SEARCH(bipartisan,C72)))&gt;0)</f>
        <v>0</v>
      </c>
      <c r="AA72" s="14">
        <f t="shared" si="1"/>
        <v>0</v>
      </c>
      <c r="AB72" s="14"/>
      <c r="AC72" s="30" t="s">
        <v>223</v>
      </c>
      <c r="AD72" s="37" t="s">
        <v>223</v>
      </c>
    </row>
    <row r="73" spans="1:30" x14ac:dyDescent="0.25">
      <c r="A73" s="36">
        <v>3478</v>
      </c>
      <c r="B73" s="14" t="s">
        <v>7581</v>
      </c>
      <c r="C73" s="14" t="s">
        <v>7582</v>
      </c>
      <c r="D73" s="17">
        <v>44126</v>
      </c>
      <c r="E73" s="14" t="s">
        <v>30</v>
      </c>
      <c r="F73" s="14">
        <v>455</v>
      </c>
      <c r="G73" s="14">
        <v>155</v>
      </c>
      <c r="H73" s="14">
        <v>16</v>
      </c>
      <c r="I73" s="14">
        <v>8</v>
      </c>
      <c r="J73" s="14" t="s">
        <v>204</v>
      </c>
      <c r="K73" s="14" cm="1">
        <f t="array" ref="K73">INT(SUMPRODUCT(--ISNUMBER(SEARCH(economy,C73)))&gt;0)</f>
        <v>1</v>
      </c>
      <c r="L73" s="14" cm="1">
        <f t="array" ref="L73">INT(SUMPRODUCT(--ISNUMBER(SEARCH(healthcare,C73)))&gt;0)</f>
        <v>0</v>
      </c>
      <c r="M73" s="14" cm="1">
        <f t="array" ref="M73">INT(SUMPRODUCT(--ISNUMBER(SEARCH(supreme,C73)))&gt;0)</f>
        <v>0</v>
      </c>
      <c r="N73" s="14" cm="1">
        <f t="array" ref="N73">INT(SUMPRODUCT(--ISNUMBER(SEARCH(covid,C73)))&gt;0)</f>
        <v>1</v>
      </c>
      <c r="O73" s="14" cm="1">
        <f t="array" ref="O73">INT(SUMPRODUCT(--ISNUMBER(SEARCH(violent,C73)))&gt;0)</f>
        <v>0</v>
      </c>
      <c r="P73" s="14" cm="1">
        <f t="array" ref="P73">INT(SUMPRODUCT(--ISNUMBER(SEARCH(foreign,C73)))&gt;0)</f>
        <v>0</v>
      </c>
      <c r="Q73" s="14" cm="1">
        <f t="array" ref="Q73">INT(SUMPRODUCT(--ISNUMBER(SEARCH(gun,C73)))&gt;0)</f>
        <v>0</v>
      </c>
      <c r="R73" s="14" cm="1">
        <f t="array" ref="R73">INT(SUMPRODUCT(--ISNUMBER(SEARCH(race,C73)))&gt;0)</f>
        <v>0</v>
      </c>
      <c r="S73" s="14" cm="1">
        <f t="array" ref="S73">INT(SUMPRODUCT(--ISNUMBER(SEARCH(immigration,C73)))&gt;0)</f>
        <v>0</v>
      </c>
      <c r="T73" s="14" cm="1">
        <f t="array" ref="T73">INT(SUMPRODUCT(--ISNUMBER(SEARCH(econineq,C74)))&gt;0)</f>
        <v>0</v>
      </c>
      <c r="U73" s="14" cm="1">
        <f t="array" ref="U73">INT(SUMPRODUCT(--ISNUMBER(SEARCH(climate,C73)))&gt;0)</f>
        <v>0</v>
      </c>
      <c r="V73" s="14" cm="1">
        <f t="array" ref="V73">INT(SUMPRODUCT(--ISNUMBER(SEARCH(abortion,C73)))&gt;0)</f>
        <v>0</v>
      </c>
      <c r="W73" s="14" cm="1">
        <f t="array" ref="W73">INT(SUMPRODUCT(--ISNUMBER(SEARCH(trump,C73)))&gt;0)</f>
        <v>0</v>
      </c>
      <c r="X73" s="14" cm="1">
        <f t="array" ref="X73">INT(SUMPRODUCT(--ISNUMBER(SEARCH(voting,C73)))&gt;0)</f>
        <v>1</v>
      </c>
      <c r="Y73" s="14" cm="1">
        <f t="array" ref="Y73">INT(SUMPRODUCT(--ISNUMBER(SEARCH(democrattrigger,C73)))&gt;0)</f>
        <v>1</v>
      </c>
      <c r="Z73" s="14" cm="1">
        <f t="array" ref="Z73">INT(SUMPRODUCT(--ISNUMBER(SEARCH(bipartisan,C73)))&gt;0)</f>
        <v>0</v>
      </c>
      <c r="AA73" s="14">
        <f t="shared" si="1"/>
        <v>0</v>
      </c>
      <c r="AB73" s="14"/>
      <c r="AC73" s="30" t="s">
        <v>223</v>
      </c>
      <c r="AD73" s="37" t="s">
        <v>223</v>
      </c>
    </row>
    <row r="74" spans="1:30" x14ac:dyDescent="0.25">
      <c r="A74" s="36">
        <v>3479</v>
      </c>
      <c r="B74" s="14" t="s">
        <v>7583</v>
      </c>
      <c r="C74" s="14" t="s">
        <v>7584</v>
      </c>
      <c r="D74" s="17">
        <v>44126</v>
      </c>
      <c r="E74" s="14" t="s">
        <v>30</v>
      </c>
      <c r="F74" s="14">
        <v>990</v>
      </c>
      <c r="G74" s="14">
        <v>272</v>
      </c>
      <c r="H74" s="14">
        <v>16</v>
      </c>
      <c r="I74" s="14">
        <v>8</v>
      </c>
      <c r="J74" s="14" t="s">
        <v>204</v>
      </c>
      <c r="K74" s="14" cm="1">
        <f t="array" ref="K74">INT(SUMPRODUCT(--ISNUMBER(SEARCH(economy,C74)))&gt;0)</f>
        <v>0</v>
      </c>
      <c r="L74" s="14" cm="1">
        <f t="array" ref="L74">INT(SUMPRODUCT(--ISNUMBER(SEARCH(healthcare,C74)))&gt;0)</f>
        <v>1</v>
      </c>
      <c r="M74" s="14" cm="1">
        <f t="array" ref="M74">INT(SUMPRODUCT(--ISNUMBER(SEARCH(supreme,C74)))&gt;0)</f>
        <v>0</v>
      </c>
      <c r="N74" s="14" cm="1">
        <f t="array" ref="N74">INT(SUMPRODUCT(--ISNUMBER(SEARCH(covid,C74)))&gt;0)</f>
        <v>0</v>
      </c>
      <c r="O74" s="14" cm="1">
        <f t="array" ref="O74">INT(SUMPRODUCT(--ISNUMBER(SEARCH(violent,C74)))&gt;0)</f>
        <v>0</v>
      </c>
      <c r="P74" s="14" cm="1">
        <f t="array" ref="P74">INT(SUMPRODUCT(--ISNUMBER(SEARCH(foreign,C74)))&gt;0)</f>
        <v>0</v>
      </c>
      <c r="Q74" s="14" cm="1">
        <f t="array" ref="Q74">INT(SUMPRODUCT(--ISNUMBER(SEARCH(gun,C74)))&gt;0)</f>
        <v>0</v>
      </c>
      <c r="R74" s="14" cm="1">
        <f t="array" ref="R74">INT(SUMPRODUCT(--ISNUMBER(SEARCH(race,C74)))&gt;0)</f>
        <v>0</v>
      </c>
      <c r="S74" s="14" cm="1">
        <f t="array" ref="S74">INT(SUMPRODUCT(--ISNUMBER(SEARCH(immigration,C74)))&gt;0)</f>
        <v>0</v>
      </c>
      <c r="T74" s="14" cm="1">
        <f t="array" ref="T74">INT(SUMPRODUCT(--ISNUMBER(SEARCH(econineq,C75)))&gt;0)</f>
        <v>0</v>
      </c>
      <c r="U74" s="14" cm="1">
        <f t="array" ref="U74">INT(SUMPRODUCT(--ISNUMBER(SEARCH(climate,C74)))&gt;0)</f>
        <v>0</v>
      </c>
      <c r="V74" s="14" cm="1">
        <f t="array" ref="V74">INT(SUMPRODUCT(--ISNUMBER(SEARCH(abortion,C74)))&gt;0)</f>
        <v>0</v>
      </c>
      <c r="W74" s="14" cm="1">
        <f t="array" ref="W74">INT(SUMPRODUCT(--ISNUMBER(SEARCH(trump,C74)))&gt;0)</f>
        <v>0</v>
      </c>
      <c r="X74" s="14" cm="1">
        <f t="array" ref="X74">INT(SUMPRODUCT(--ISNUMBER(SEARCH(voting,C74)))&gt;0)</f>
        <v>0</v>
      </c>
      <c r="Y74" s="14" cm="1">
        <f t="array" ref="Y74">INT(SUMPRODUCT(--ISNUMBER(SEARCH(democrattrigger,C74)))&gt;0)</f>
        <v>1</v>
      </c>
      <c r="Z74" s="14" cm="1">
        <f t="array" ref="Z74">INT(SUMPRODUCT(--ISNUMBER(SEARCH(bipartisan,C74)))&gt;0)</f>
        <v>0</v>
      </c>
      <c r="AA74" s="14">
        <f t="shared" si="1"/>
        <v>0</v>
      </c>
      <c r="AB74" s="14"/>
      <c r="AC74" s="30" t="s">
        <v>223</v>
      </c>
      <c r="AD74" s="37" t="s">
        <v>223</v>
      </c>
    </row>
    <row r="75" spans="1:30" x14ac:dyDescent="0.25">
      <c r="A75" s="36">
        <v>3480</v>
      </c>
      <c r="B75" s="14" t="s">
        <v>7585</v>
      </c>
      <c r="C75" s="14" t="s">
        <v>7586</v>
      </c>
      <c r="D75" s="17">
        <v>44126</v>
      </c>
      <c r="E75" s="14" t="s">
        <v>30</v>
      </c>
      <c r="F75" s="14">
        <v>842</v>
      </c>
      <c r="G75" s="14">
        <v>169</v>
      </c>
      <c r="H75" s="14">
        <v>16</v>
      </c>
      <c r="I75" s="14">
        <v>8</v>
      </c>
      <c r="J75" s="14" t="s">
        <v>204</v>
      </c>
      <c r="K75" s="14" cm="1">
        <f t="array" ref="K75">INT(SUMPRODUCT(--ISNUMBER(SEARCH(economy,C75)))&gt;0)</f>
        <v>0</v>
      </c>
      <c r="L75" s="14" cm="1">
        <f t="array" ref="L75">INT(SUMPRODUCT(--ISNUMBER(SEARCH(healthcare,C75)))&gt;0)</f>
        <v>0</v>
      </c>
      <c r="M75" s="14" cm="1">
        <f t="array" ref="M75">INT(SUMPRODUCT(--ISNUMBER(SEARCH(supreme,C75)))&gt;0)</f>
        <v>0</v>
      </c>
      <c r="N75" s="14" cm="1">
        <f t="array" ref="N75">INT(SUMPRODUCT(--ISNUMBER(SEARCH(covid,C75)))&gt;0)</f>
        <v>0</v>
      </c>
      <c r="O75" s="14" cm="1">
        <f t="array" ref="O75">INT(SUMPRODUCT(--ISNUMBER(SEARCH(violent,C75)))&gt;0)</f>
        <v>0</v>
      </c>
      <c r="P75" s="14" cm="1">
        <f t="array" ref="P75">INT(SUMPRODUCT(--ISNUMBER(SEARCH(foreign,C75)))&gt;0)</f>
        <v>0</v>
      </c>
      <c r="Q75" s="14" cm="1">
        <f t="array" ref="Q75">INT(SUMPRODUCT(--ISNUMBER(SEARCH(gun,C75)))&gt;0)</f>
        <v>0</v>
      </c>
      <c r="R75" s="14" cm="1">
        <f t="array" ref="R75">INT(SUMPRODUCT(--ISNUMBER(SEARCH(race,C75)))&gt;0)</f>
        <v>0</v>
      </c>
      <c r="S75" s="14" cm="1">
        <f t="array" ref="S75">INT(SUMPRODUCT(--ISNUMBER(SEARCH(immigration,C75)))&gt;0)</f>
        <v>0</v>
      </c>
      <c r="T75" s="14" cm="1">
        <f t="array" ref="T75">INT(SUMPRODUCT(--ISNUMBER(SEARCH(econineq,C76)))&gt;0)</f>
        <v>0</v>
      </c>
      <c r="U75" s="14" cm="1">
        <f t="array" ref="U75">INT(SUMPRODUCT(--ISNUMBER(SEARCH(climate,C75)))&gt;0)</f>
        <v>0</v>
      </c>
      <c r="V75" s="14" cm="1">
        <f t="array" ref="V75">INT(SUMPRODUCT(--ISNUMBER(SEARCH(abortion,C75)))&gt;0)</f>
        <v>0</v>
      </c>
      <c r="W75" s="14" cm="1">
        <f t="array" ref="W75">INT(SUMPRODUCT(--ISNUMBER(SEARCH(trump,C75)))&gt;0)</f>
        <v>0</v>
      </c>
      <c r="X75" s="14" cm="1">
        <f t="array" ref="X75">INT(SUMPRODUCT(--ISNUMBER(SEARCH(voting,C75)))&gt;0)</f>
        <v>1</v>
      </c>
      <c r="Y75" s="14" cm="1">
        <f t="array" ref="Y75">INT(SUMPRODUCT(--ISNUMBER(SEARCH(democrattrigger,C75)))&gt;0)</f>
        <v>0</v>
      </c>
      <c r="Z75" s="14" cm="1">
        <f t="array" ref="Z75">INT(SUMPRODUCT(--ISNUMBER(SEARCH(bipartisan,C75)))&gt;0)</f>
        <v>0</v>
      </c>
      <c r="AA75" s="14">
        <f t="shared" si="1"/>
        <v>0</v>
      </c>
      <c r="AB75" s="14"/>
      <c r="AC75" s="30">
        <v>1</v>
      </c>
      <c r="AD75" s="37">
        <v>0</v>
      </c>
    </row>
    <row r="76" spans="1:30" x14ac:dyDescent="0.25">
      <c r="A76" s="36">
        <v>3481</v>
      </c>
      <c r="B76" s="14" t="s">
        <v>7587</v>
      </c>
      <c r="C76" s="14" t="s">
        <v>7588</v>
      </c>
      <c r="D76" s="17">
        <v>44125</v>
      </c>
      <c r="E76" s="14" t="s">
        <v>30</v>
      </c>
      <c r="F76" s="14">
        <v>583</v>
      </c>
      <c r="G76" s="14">
        <v>183</v>
      </c>
      <c r="H76" s="14">
        <v>16</v>
      </c>
      <c r="I76" s="14">
        <v>8</v>
      </c>
      <c r="J76" s="14" t="s">
        <v>204</v>
      </c>
      <c r="K76" s="14" cm="1">
        <f t="array" ref="K76">INT(SUMPRODUCT(--ISNUMBER(SEARCH(economy,C76)))&gt;0)</f>
        <v>1</v>
      </c>
      <c r="L76" s="14" cm="1">
        <f t="array" ref="L76">INT(SUMPRODUCT(--ISNUMBER(SEARCH(healthcare,C76)))&gt;0)</f>
        <v>0</v>
      </c>
      <c r="M76" s="14" cm="1">
        <f t="array" ref="M76">INT(SUMPRODUCT(--ISNUMBER(SEARCH(supreme,C76)))&gt;0)</f>
        <v>0</v>
      </c>
      <c r="N76" s="14" cm="1">
        <f t="array" ref="N76">INT(SUMPRODUCT(--ISNUMBER(SEARCH(covid,C76)))&gt;0)</f>
        <v>0</v>
      </c>
      <c r="O76" s="14" cm="1">
        <f t="array" ref="O76">INT(SUMPRODUCT(--ISNUMBER(SEARCH(violent,C76)))&gt;0)</f>
        <v>0</v>
      </c>
      <c r="P76" s="14" cm="1">
        <f t="array" ref="P76">INT(SUMPRODUCT(--ISNUMBER(SEARCH(foreign,C76)))&gt;0)</f>
        <v>0</v>
      </c>
      <c r="Q76" s="14" cm="1">
        <f t="array" ref="Q76">INT(SUMPRODUCT(--ISNUMBER(SEARCH(gun,C76)))&gt;0)</f>
        <v>1</v>
      </c>
      <c r="R76" s="14" cm="1">
        <f t="array" ref="R76">INT(SUMPRODUCT(--ISNUMBER(SEARCH(race,C76)))&gt;0)</f>
        <v>0</v>
      </c>
      <c r="S76" s="14" cm="1">
        <f t="array" ref="S76">INT(SUMPRODUCT(--ISNUMBER(SEARCH(immigration,C76)))&gt;0)</f>
        <v>0</v>
      </c>
      <c r="T76" s="14" cm="1">
        <f t="array" ref="T76">INT(SUMPRODUCT(--ISNUMBER(SEARCH(econineq,C77)))&gt;0)</f>
        <v>0</v>
      </c>
      <c r="U76" s="14" cm="1">
        <f t="array" ref="U76">INT(SUMPRODUCT(--ISNUMBER(SEARCH(climate,C76)))&gt;0)</f>
        <v>0</v>
      </c>
      <c r="V76" s="14" cm="1">
        <f t="array" ref="V76">INT(SUMPRODUCT(--ISNUMBER(SEARCH(abortion,C76)))&gt;0)</f>
        <v>0</v>
      </c>
      <c r="W76" s="14" cm="1">
        <f t="array" ref="W76">INT(SUMPRODUCT(--ISNUMBER(SEARCH(trump,C76)))&gt;0)</f>
        <v>0</v>
      </c>
      <c r="X76" s="14" cm="1">
        <f t="array" ref="X76">INT(SUMPRODUCT(--ISNUMBER(SEARCH(voting,C76)))&gt;0)</f>
        <v>0</v>
      </c>
      <c r="Y76" s="14" cm="1">
        <f t="array" ref="Y76">INT(SUMPRODUCT(--ISNUMBER(SEARCH(democrattrigger,C76)))&gt;0)</f>
        <v>0</v>
      </c>
      <c r="Z76" s="14" cm="1">
        <f t="array" ref="Z76">INT(SUMPRODUCT(--ISNUMBER(SEARCH(bipartisan,C76)))&gt;0)</f>
        <v>0</v>
      </c>
      <c r="AA76" s="14">
        <f t="shared" si="1"/>
        <v>0</v>
      </c>
      <c r="AB76" s="14"/>
      <c r="AC76" s="30">
        <v>1</v>
      </c>
      <c r="AD76" s="37">
        <v>0</v>
      </c>
    </row>
    <row r="77" spans="1:30" x14ac:dyDescent="0.25">
      <c r="A77" s="36">
        <v>3482</v>
      </c>
      <c r="B77" s="14" t="s">
        <v>7589</v>
      </c>
      <c r="C77" s="14" t="s">
        <v>7590</v>
      </c>
      <c r="D77" s="17">
        <v>44125</v>
      </c>
      <c r="E77" s="14" t="s">
        <v>70</v>
      </c>
      <c r="F77" s="14">
        <v>513</v>
      </c>
      <c r="G77" s="14">
        <v>113</v>
      </c>
      <c r="H77" s="14">
        <v>16</v>
      </c>
      <c r="I77" s="14">
        <v>8</v>
      </c>
      <c r="J77" s="14" t="s">
        <v>204</v>
      </c>
      <c r="K77" s="14" cm="1">
        <f t="array" ref="K77">INT(SUMPRODUCT(--ISNUMBER(SEARCH(economy,C77)))&gt;0)</f>
        <v>0</v>
      </c>
      <c r="L77" s="14" cm="1">
        <f t="array" ref="L77">INT(SUMPRODUCT(--ISNUMBER(SEARCH(healthcare,C77)))&gt;0)</f>
        <v>0</v>
      </c>
      <c r="M77" s="14" cm="1">
        <f t="array" ref="M77">INT(SUMPRODUCT(--ISNUMBER(SEARCH(supreme,C77)))&gt;0)</f>
        <v>0</v>
      </c>
      <c r="N77" s="14" cm="1">
        <f t="array" ref="N77">INT(SUMPRODUCT(--ISNUMBER(SEARCH(covid,C77)))&gt;0)</f>
        <v>0</v>
      </c>
      <c r="O77" s="14" cm="1">
        <f t="array" ref="O77">INT(SUMPRODUCT(--ISNUMBER(SEARCH(violent,C77)))&gt;0)</f>
        <v>0</v>
      </c>
      <c r="P77" s="14" cm="1">
        <f t="array" ref="P77">INT(SUMPRODUCT(--ISNUMBER(SEARCH(foreign,C77)))&gt;0)</f>
        <v>0</v>
      </c>
      <c r="Q77" s="14" cm="1">
        <f t="array" ref="Q77">INT(SUMPRODUCT(--ISNUMBER(SEARCH(gun,C77)))&gt;0)</f>
        <v>0</v>
      </c>
      <c r="R77" s="14" cm="1">
        <f t="array" ref="R77">INT(SUMPRODUCT(--ISNUMBER(SEARCH(race,C77)))&gt;0)</f>
        <v>0</v>
      </c>
      <c r="S77" s="14" cm="1">
        <f t="array" ref="S77">INT(SUMPRODUCT(--ISNUMBER(SEARCH(immigration,C77)))&gt;0)</f>
        <v>0</v>
      </c>
      <c r="T77" s="14" cm="1">
        <f t="array" ref="T77">INT(SUMPRODUCT(--ISNUMBER(SEARCH(econineq,C78)))&gt;0)</f>
        <v>0</v>
      </c>
      <c r="U77" s="14" cm="1">
        <f t="array" ref="U77">INT(SUMPRODUCT(--ISNUMBER(SEARCH(climate,C77)))&gt;0)</f>
        <v>0</v>
      </c>
      <c r="V77" s="14" cm="1">
        <f t="array" ref="V77">INT(SUMPRODUCT(--ISNUMBER(SEARCH(abortion,C77)))&gt;0)</f>
        <v>0</v>
      </c>
      <c r="W77" s="14" cm="1">
        <f t="array" ref="W77">INT(SUMPRODUCT(--ISNUMBER(SEARCH(trump,C77)))&gt;0)</f>
        <v>0</v>
      </c>
      <c r="X77" s="14" cm="1">
        <f t="array" ref="X77">INT(SUMPRODUCT(--ISNUMBER(SEARCH(voting,C77)))&gt;0)</f>
        <v>0</v>
      </c>
      <c r="Y77" s="14" cm="1">
        <f t="array" ref="Y77">INT(SUMPRODUCT(--ISNUMBER(SEARCH(democrattrigger,C77)))&gt;0)</f>
        <v>1</v>
      </c>
      <c r="Z77" s="14" cm="1">
        <f t="array" ref="Z77">INT(SUMPRODUCT(--ISNUMBER(SEARCH(bipartisan,C77)))&gt;0)</f>
        <v>0</v>
      </c>
      <c r="AA77" s="14">
        <f t="shared" si="1"/>
        <v>0</v>
      </c>
      <c r="AB77" s="14"/>
      <c r="AC77" s="30" t="s">
        <v>223</v>
      </c>
      <c r="AD77" s="37" t="s">
        <v>223</v>
      </c>
    </row>
    <row r="78" spans="1:30" x14ac:dyDescent="0.25">
      <c r="A78" s="36">
        <v>3483</v>
      </c>
      <c r="B78" s="14" t="s">
        <v>7591</v>
      </c>
      <c r="C78" s="14" t="s">
        <v>7592</v>
      </c>
      <c r="D78" s="17">
        <v>44125</v>
      </c>
      <c r="E78" s="14" t="s">
        <v>30</v>
      </c>
      <c r="F78" s="14">
        <v>671</v>
      </c>
      <c r="G78" s="14">
        <v>248</v>
      </c>
      <c r="H78" s="14">
        <v>16</v>
      </c>
      <c r="I78" s="14">
        <v>8</v>
      </c>
      <c r="J78" s="14" t="s">
        <v>204</v>
      </c>
      <c r="K78" s="14" cm="1">
        <f t="array" ref="K78">INT(SUMPRODUCT(--ISNUMBER(SEARCH(economy,C78)))&gt;0)</f>
        <v>1</v>
      </c>
      <c r="L78" s="14" cm="1">
        <f t="array" ref="L78">INT(SUMPRODUCT(--ISNUMBER(SEARCH(healthcare,C78)))&gt;0)</f>
        <v>1</v>
      </c>
      <c r="M78" s="14" cm="1">
        <f t="array" ref="M78">INT(SUMPRODUCT(--ISNUMBER(SEARCH(supreme,C78)))&gt;0)</f>
        <v>0</v>
      </c>
      <c r="N78" s="14" cm="1">
        <f t="array" ref="N78">INT(SUMPRODUCT(--ISNUMBER(SEARCH(covid,C78)))&gt;0)</f>
        <v>0</v>
      </c>
      <c r="O78" s="14" cm="1">
        <f t="array" ref="O78">INT(SUMPRODUCT(--ISNUMBER(SEARCH(violent,C78)))&gt;0)</f>
        <v>0</v>
      </c>
      <c r="P78" s="14" cm="1">
        <f t="array" ref="P78">INT(SUMPRODUCT(--ISNUMBER(SEARCH(foreign,C78)))&gt;0)</f>
        <v>0</v>
      </c>
      <c r="Q78" s="14" cm="1">
        <f t="array" ref="Q78">INT(SUMPRODUCT(--ISNUMBER(SEARCH(gun,C78)))&gt;0)</f>
        <v>0</v>
      </c>
      <c r="R78" s="14" cm="1">
        <f t="array" ref="R78">INT(SUMPRODUCT(--ISNUMBER(SEARCH(race,C78)))&gt;0)</f>
        <v>0</v>
      </c>
      <c r="S78" s="14" cm="1">
        <f t="array" ref="S78">INT(SUMPRODUCT(--ISNUMBER(SEARCH(immigration,C78)))&gt;0)</f>
        <v>0</v>
      </c>
      <c r="T78" s="14" cm="1">
        <f t="array" ref="T78">INT(SUMPRODUCT(--ISNUMBER(SEARCH(econineq,C79)))&gt;0)</f>
        <v>0</v>
      </c>
      <c r="U78" s="14" cm="1">
        <f t="array" ref="U78">INT(SUMPRODUCT(--ISNUMBER(SEARCH(climate,C78)))&gt;0)</f>
        <v>0</v>
      </c>
      <c r="V78" s="14" cm="1">
        <f t="array" ref="V78">INT(SUMPRODUCT(--ISNUMBER(SEARCH(abortion,C78)))&gt;0)</f>
        <v>0</v>
      </c>
      <c r="W78" s="14" cm="1">
        <f t="array" ref="W78">INT(SUMPRODUCT(--ISNUMBER(SEARCH(trump,C78)))&gt;0)</f>
        <v>0</v>
      </c>
      <c r="X78" s="14" cm="1">
        <f t="array" ref="X78">INT(SUMPRODUCT(--ISNUMBER(SEARCH(voting,C78)))&gt;0)</f>
        <v>0</v>
      </c>
      <c r="Y78" s="14" cm="1">
        <f t="array" ref="Y78">INT(SUMPRODUCT(--ISNUMBER(SEARCH(democrattrigger,C78)))&gt;0)</f>
        <v>1</v>
      </c>
      <c r="Z78" s="14" cm="1">
        <f t="array" ref="Z78">INT(SUMPRODUCT(--ISNUMBER(SEARCH(bipartisan,C78)))&gt;0)</f>
        <v>0</v>
      </c>
      <c r="AA78" s="14">
        <f t="shared" si="1"/>
        <v>0</v>
      </c>
      <c r="AB78" s="14"/>
      <c r="AC78" s="30" t="s">
        <v>223</v>
      </c>
      <c r="AD78" s="37" t="s">
        <v>223</v>
      </c>
    </row>
    <row r="79" spans="1:30" x14ac:dyDescent="0.25">
      <c r="A79" s="36">
        <v>3484</v>
      </c>
      <c r="B79" s="14" t="s">
        <v>7593</v>
      </c>
      <c r="C79" s="14" t="s">
        <v>7594</v>
      </c>
      <c r="D79" s="17">
        <v>44125</v>
      </c>
      <c r="E79" s="14" t="s">
        <v>30</v>
      </c>
      <c r="F79" s="14">
        <v>1414</v>
      </c>
      <c r="G79" s="14">
        <v>491</v>
      </c>
      <c r="H79" s="14">
        <v>16</v>
      </c>
      <c r="I79" s="14">
        <v>8</v>
      </c>
      <c r="J79" s="14" t="s">
        <v>204</v>
      </c>
      <c r="K79" s="14" cm="1">
        <f t="array" ref="K79">INT(SUMPRODUCT(--ISNUMBER(SEARCH(economy,C79)))&gt;0)</f>
        <v>0</v>
      </c>
      <c r="L79" s="14" cm="1">
        <f t="array" ref="L79">INT(SUMPRODUCT(--ISNUMBER(SEARCH(healthcare,C79)))&gt;0)</f>
        <v>1</v>
      </c>
      <c r="M79" s="14" cm="1">
        <f t="array" ref="M79">INT(SUMPRODUCT(--ISNUMBER(SEARCH(supreme,C79)))&gt;0)</f>
        <v>0</v>
      </c>
      <c r="N79" s="14" cm="1">
        <f t="array" ref="N79">INT(SUMPRODUCT(--ISNUMBER(SEARCH(covid,C79)))&gt;0)</f>
        <v>1</v>
      </c>
      <c r="O79" s="14" cm="1">
        <f t="array" ref="O79">INT(SUMPRODUCT(--ISNUMBER(SEARCH(violent,C79)))&gt;0)</f>
        <v>0</v>
      </c>
      <c r="P79" s="14" cm="1">
        <f t="array" ref="P79">INT(SUMPRODUCT(--ISNUMBER(SEARCH(foreign,C79)))&gt;0)</f>
        <v>0</v>
      </c>
      <c r="Q79" s="14" cm="1">
        <f t="array" ref="Q79">INT(SUMPRODUCT(--ISNUMBER(SEARCH(gun,C79)))&gt;0)</f>
        <v>0</v>
      </c>
      <c r="R79" s="14" cm="1">
        <f t="array" ref="R79">INT(SUMPRODUCT(--ISNUMBER(SEARCH(race,C79)))&gt;0)</f>
        <v>0</v>
      </c>
      <c r="S79" s="14" cm="1">
        <f t="array" ref="S79">INT(SUMPRODUCT(--ISNUMBER(SEARCH(immigration,C79)))&gt;0)</f>
        <v>0</v>
      </c>
      <c r="T79" s="14" cm="1">
        <f t="array" ref="T79">INT(SUMPRODUCT(--ISNUMBER(SEARCH(econineq,C80)))&gt;0)</f>
        <v>0</v>
      </c>
      <c r="U79" s="14" cm="1">
        <f t="array" ref="U79">INT(SUMPRODUCT(--ISNUMBER(SEARCH(climate,C79)))&gt;0)</f>
        <v>0</v>
      </c>
      <c r="V79" s="14" cm="1">
        <f t="array" ref="V79">INT(SUMPRODUCT(--ISNUMBER(SEARCH(abortion,C79)))&gt;0)</f>
        <v>0</v>
      </c>
      <c r="W79" s="14" cm="1">
        <f t="array" ref="W79">INT(SUMPRODUCT(--ISNUMBER(SEARCH(trump,C79)))&gt;0)</f>
        <v>0</v>
      </c>
      <c r="X79" s="14" cm="1">
        <f t="array" ref="X79">INT(SUMPRODUCT(--ISNUMBER(SEARCH(voting,C79)))&gt;0)</f>
        <v>0</v>
      </c>
      <c r="Y79" s="14" cm="1">
        <f t="array" ref="Y79">INT(SUMPRODUCT(--ISNUMBER(SEARCH(democrattrigger,C79)))&gt;0)</f>
        <v>1</v>
      </c>
      <c r="Z79" s="14" cm="1">
        <f t="array" ref="Z79">INT(SUMPRODUCT(--ISNUMBER(SEARCH(bipartisan,C79)))&gt;0)</f>
        <v>0</v>
      </c>
      <c r="AA79" s="14">
        <f t="shared" si="1"/>
        <v>0</v>
      </c>
      <c r="AB79" s="14"/>
      <c r="AC79" s="30" t="s">
        <v>223</v>
      </c>
      <c r="AD79" s="37" t="s">
        <v>223</v>
      </c>
    </row>
    <row r="80" spans="1:30" x14ac:dyDescent="0.25">
      <c r="A80" s="36">
        <v>3485</v>
      </c>
      <c r="B80" s="14" t="s">
        <v>7595</v>
      </c>
      <c r="C80" s="14" t="s">
        <v>7596</v>
      </c>
      <c r="D80" s="17">
        <v>44125</v>
      </c>
      <c r="E80" s="14" t="s">
        <v>30</v>
      </c>
      <c r="F80" s="14">
        <v>643</v>
      </c>
      <c r="G80" s="14">
        <v>151</v>
      </c>
      <c r="H80" s="14">
        <v>16</v>
      </c>
      <c r="I80" s="14">
        <v>8</v>
      </c>
      <c r="J80" s="14" t="s">
        <v>204</v>
      </c>
      <c r="K80" s="14" cm="1">
        <f t="array" ref="K80">INT(SUMPRODUCT(--ISNUMBER(SEARCH(economy,C80)))&gt;0)</f>
        <v>1</v>
      </c>
      <c r="L80" s="14" cm="1">
        <f t="array" ref="L80">INT(SUMPRODUCT(--ISNUMBER(SEARCH(healthcare,C80)))&gt;0)</f>
        <v>0</v>
      </c>
      <c r="M80" s="14" cm="1">
        <f t="array" ref="M80">INT(SUMPRODUCT(--ISNUMBER(SEARCH(supreme,C80)))&gt;0)</f>
        <v>0</v>
      </c>
      <c r="N80" s="14" cm="1">
        <f t="array" ref="N80">INT(SUMPRODUCT(--ISNUMBER(SEARCH(covid,C80)))&gt;0)</f>
        <v>1</v>
      </c>
      <c r="O80" s="14" cm="1">
        <f t="array" ref="O80">INT(SUMPRODUCT(--ISNUMBER(SEARCH(violent,C80)))&gt;0)</f>
        <v>0</v>
      </c>
      <c r="P80" s="14" cm="1">
        <f t="array" ref="P80">INT(SUMPRODUCT(--ISNUMBER(SEARCH(foreign,C80)))&gt;0)</f>
        <v>0</v>
      </c>
      <c r="Q80" s="14" cm="1">
        <f t="array" ref="Q80">INT(SUMPRODUCT(--ISNUMBER(SEARCH(gun,C80)))&gt;0)</f>
        <v>0</v>
      </c>
      <c r="R80" s="14" cm="1">
        <f t="array" ref="R80">INT(SUMPRODUCT(--ISNUMBER(SEARCH(race,C80)))&gt;0)</f>
        <v>0</v>
      </c>
      <c r="S80" s="14" cm="1">
        <f t="array" ref="S80">INT(SUMPRODUCT(--ISNUMBER(SEARCH(immigration,C80)))&gt;0)</f>
        <v>0</v>
      </c>
      <c r="T80" s="14" cm="1">
        <f t="array" ref="T80">INT(SUMPRODUCT(--ISNUMBER(SEARCH(econineq,C81)))&gt;0)</f>
        <v>0</v>
      </c>
      <c r="U80" s="14" cm="1">
        <f t="array" ref="U80">INT(SUMPRODUCT(--ISNUMBER(SEARCH(climate,C80)))&gt;0)</f>
        <v>0</v>
      </c>
      <c r="V80" s="14" cm="1">
        <f t="array" ref="V80">INT(SUMPRODUCT(--ISNUMBER(SEARCH(abortion,C80)))&gt;0)</f>
        <v>0</v>
      </c>
      <c r="W80" s="14" cm="1">
        <f t="array" ref="W80">INT(SUMPRODUCT(--ISNUMBER(SEARCH(trump,C80)))&gt;0)</f>
        <v>0</v>
      </c>
      <c r="X80" s="14" cm="1">
        <f t="array" ref="X80">INT(SUMPRODUCT(--ISNUMBER(SEARCH(voting,C80)))&gt;0)</f>
        <v>0</v>
      </c>
      <c r="Y80" s="14" cm="1">
        <f t="array" ref="Y80">INT(SUMPRODUCT(--ISNUMBER(SEARCH(democrattrigger,C80)))&gt;0)</f>
        <v>0</v>
      </c>
      <c r="Z80" s="14" cm="1">
        <f t="array" ref="Z80">INT(SUMPRODUCT(--ISNUMBER(SEARCH(bipartisan,C80)))&gt;0)</f>
        <v>0</v>
      </c>
      <c r="AA80" s="14">
        <f t="shared" si="1"/>
        <v>0</v>
      </c>
      <c r="AB80" s="14"/>
      <c r="AC80" s="30" t="s">
        <v>223</v>
      </c>
      <c r="AD80" s="37" t="s">
        <v>223</v>
      </c>
    </row>
    <row r="81" spans="1:30" x14ac:dyDescent="0.25">
      <c r="A81" s="36">
        <v>3486</v>
      </c>
      <c r="B81" s="14" t="s">
        <v>7597</v>
      </c>
      <c r="C81" s="14" t="s">
        <v>7598</v>
      </c>
      <c r="D81" s="17">
        <v>44125</v>
      </c>
      <c r="E81" s="14" t="s">
        <v>30</v>
      </c>
      <c r="F81" s="14">
        <v>1773</v>
      </c>
      <c r="G81" s="14">
        <v>580</v>
      </c>
      <c r="H81" s="14">
        <v>16</v>
      </c>
      <c r="I81" s="14">
        <v>8</v>
      </c>
      <c r="J81" s="14" t="s">
        <v>204</v>
      </c>
      <c r="K81" s="14" cm="1">
        <f t="array" ref="K81">INT(SUMPRODUCT(--ISNUMBER(SEARCH(economy,C81)))&gt;0)</f>
        <v>0</v>
      </c>
      <c r="L81" s="14" cm="1">
        <f t="array" ref="L81">INT(SUMPRODUCT(--ISNUMBER(SEARCH(healthcare,C81)))&gt;0)</f>
        <v>0</v>
      </c>
      <c r="M81" s="14" cm="1">
        <f t="array" ref="M81">INT(SUMPRODUCT(--ISNUMBER(SEARCH(supreme,C81)))&gt;0)</f>
        <v>0</v>
      </c>
      <c r="N81" s="14" cm="1">
        <f t="array" ref="N81">INT(SUMPRODUCT(--ISNUMBER(SEARCH(covid,C81)))&gt;0)</f>
        <v>0</v>
      </c>
      <c r="O81" s="14" cm="1">
        <f t="array" ref="O81">INT(SUMPRODUCT(--ISNUMBER(SEARCH(violent,C81)))&gt;0)</f>
        <v>0</v>
      </c>
      <c r="P81" s="14" cm="1">
        <f t="array" ref="P81">INT(SUMPRODUCT(--ISNUMBER(SEARCH(foreign,C81)))&gt;0)</f>
        <v>0</v>
      </c>
      <c r="Q81" s="14" cm="1">
        <f t="array" ref="Q81">INT(SUMPRODUCT(--ISNUMBER(SEARCH(gun,C81)))&gt;0)</f>
        <v>0</v>
      </c>
      <c r="R81" s="14" cm="1">
        <f t="array" ref="R81">INT(SUMPRODUCT(--ISNUMBER(SEARCH(race,C81)))&gt;0)</f>
        <v>0</v>
      </c>
      <c r="S81" s="14" cm="1">
        <f t="array" ref="S81">INT(SUMPRODUCT(--ISNUMBER(SEARCH(immigration,C81)))&gt;0)</f>
        <v>0</v>
      </c>
      <c r="T81" s="14" cm="1">
        <f t="array" ref="T81">INT(SUMPRODUCT(--ISNUMBER(SEARCH(econineq,C82)))&gt;0)</f>
        <v>0</v>
      </c>
      <c r="U81" s="14" cm="1">
        <f t="array" ref="U81">INT(SUMPRODUCT(--ISNUMBER(SEARCH(climate,C81)))&gt;0)</f>
        <v>0</v>
      </c>
      <c r="V81" s="14" cm="1">
        <f t="array" ref="V81">INT(SUMPRODUCT(--ISNUMBER(SEARCH(abortion,C81)))&gt;0)</f>
        <v>0</v>
      </c>
      <c r="W81" s="14" cm="1">
        <f t="array" ref="W81">INT(SUMPRODUCT(--ISNUMBER(SEARCH(trump,C81)))&gt;0)</f>
        <v>0</v>
      </c>
      <c r="X81" s="14" cm="1">
        <f t="array" ref="X81">INT(SUMPRODUCT(--ISNUMBER(SEARCH(voting,C81)))&gt;0)</f>
        <v>0</v>
      </c>
      <c r="Y81" s="14" cm="1">
        <f t="array" ref="Y81">INT(SUMPRODUCT(--ISNUMBER(SEARCH(democrattrigger,C81)))&gt;0)</f>
        <v>1</v>
      </c>
      <c r="Z81" s="14" cm="1">
        <f t="array" ref="Z81">INT(SUMPRODUCT(--ISNUMBER(SEARCH(bipartisan,C81)))&gt;0)</f>
        <v>0</v>
      </c>
      <c r="AA81" s="14">
        <f t="shared" si="1"/>
        <v>0</v>
      </c>
      <c r="AB81" s="14"/>
      <c r="AC81" s="30" t="s">
        <v>223</v>
      </c>
      <c r="AD81" s="37" t="s">
        <v>223</v>
      </c>
    </row>
    <row r="82" spans="1:30" x14ac:dyDescent="0.25">
      <c r="A82" s="36">
        <v>3487</v>
      </c>
      <c r="B82" s="14" t="s">
        <v>7599</v>
      </c>
      <c r="C82" s="14" t="s">
        <v>7600</v>
      </c>
      <c r="D82" s="17">
        <v>44124</v>
      </c>
      <c r="E82" s="14" t="s">
        <v>30</v>
      </c>
      <c r="F82" s="14">
        <v>1006</v>
      </c>
      <c r="G82" s="14">
        <v>247</v>
      </c>
      <c r="H82" s="14">
        <v>16</v>
      </c>
      <c r="I82" s="14">
        <v>8</v>
      </c>
      <c r="J82" s="14" t="s">
        <v>204</v>
      </c>
      <c r="K82" s="14" cm="1">
        <f t="array" ref="K82">INT(SUMPRODUCT(--ISNUMBER(SEARCH(economy,C82)))&gt;0)</f>
        <v>0</v>
      </c>
      <c r="L82" s="14" cm="1">
        <f t="array" ref="L82">INT(SUMPRODUCT(--ISNUMBER(SEARCH(healthcare,C82)))&gt;0)</f>
        <v>0</v>
      </c>
      <c r="M82" s="14" cm="1">
        <f t="array" ref="M82">INT(SUMPRODUCT(--ISNUMBER(SEARCH(supreme,C82)))&gt;0)</f>
        <v>0</v>
      </c>
      <c r="N82" s="14" cm="1">
        <f t="array" ref="N82">INT(SUMPRODUCT(--ISNUMBER(SEARCH(covid,C82)))&gt;0)</f>
        <v>0</v>
      </c>
      <c r="O82" s="14" cm="1">
        <f t="array" ref="O82">INT(SUMPRODUCT(--ISNUMBER(SEARCH(violent,C82)))&gt;0)</f>
        <v>0</v>
      </c>
      <c r="P82" s="14" cm="1">
        <f t="array" ref="P82">INT(SUMPRODUCT(--ISNUMBER(SEARCH(foreign,C82)))&gt;0)</f>
        <v>0</v>
      </c>
      <c r="Q82" s="14" cm="1">
        <f t="array" ref="Q82">INT(SUMPRODUCT(--ISNUMBER(SEARCH(gun,C82)))&gt;0)</f>
        <v>0</v>
      </c>
      <c r="R82" s="14" cm="1">
        <f t="array" ref="R82">INT(SUMPRODUCT(--ISNUMBER(SEARCH(race,C82)))&gt;0)</f>
        <v>0</v>
      </c>
      <c r="S82" s="14" cm="1">
        <f t="array" ref="S82">INT(SUMPRODUCT(--ISNUMBER(SEARCH(immigration,C82)))&gt;0)</f>
        <v>0</v>
      </c>
      <c r="T82" s="14" cm="1">
        <f t="array" ref="T82">INT(SUMPRODUCT(--ISNUMBER(SEARCH(econineq,C83)))&gt;0)</f>
        <v>0</v>
      </c>
      <c r="U82" s="14" cm="1">
        <f t="array" ref="U82">INT(SUMPRODUCT(--ISNUMBER(SEARCH(climate,C82)))&gt;0)</f>
        <v>0</v>
      </c>
      <c r="V82" s="14" cm="1">
        <f t="array" ref="V82">INT(SUMPRODUCT(--ISNUMBER(SEARCH(abortion,C82)))&gt;0)</f>
        <v>0</v>
      </c>
      <c r="W82" s="14" cm="1">
        <f t="array" ref="W82">INT(SUMPRODUCT(--ISNUMBER(SEARCH(trump,C82)))&gt;0)</f>
        <v>0</v>
      </c>
      <c r="X82" s="14" cm="1">
        <f t="array" ref="X82">INT(SUMPRODUCT(--ISNUMBER(SEARCH(voting,C82)))&gt;0)</f>
        <v>1</v>
      </c>
      <c r="Y82" s="14" cm="1">
        <f t="array" ref="Y82">INT(SUMPRODUCT(--ISNUMBER(SEARCH(democrattrigger,C82)))&gt;0)</f>
        <v>0</v>
      </c>
      <c r="Z82" s="14" cm="1">
        <f t="array" ref="Z82">INT(SUMPRODUCT(--ISNUMBER(SEARCH(bipartisan,C82)))&gt;0)</f>
        <v>0</v>
      </c>
      <c r="AA82" s="14">
        <f t="shared" si="1"/>
        <v>0</v>
      </c>
      <c r="AB82" s="14"/>
      <c r="AC82" s="30">
        <v>1</v>
      </c>
      <c r="AD82" s="37">
        <v>0</v>
      </c>
    </row>
    <row r="83" spans="1:30" x14ac:dyDescent="0.25">
      <c r="A83" s="36">
        <v>3488</v>
      </c>
      <c r="B83" s="14" t="s">
        <v>7601</v>
      </c>
      <c r="C83" s="14" t="s">
        <v>7602</v>
      </c>
      <c r="D83" s="17">
        <v>44124</v>
      </c>
      <c r="E83" s="14" t="s">
        <v>30</v>
      </c>
      <c r="F83" s="14">
        <v>660</v>
      </c>
      <c r="G83" s="14">
        <v>243</v>
      </c>
      <c r="H83" s="14">
        <v>16</v>
      </c>
      <c r="I83" s="14">
        <v>8</v>
      </c>
      <c r="J83" s="14" t="s">
        <v>204</v>
      </c>
      <c r="K83" s="14" cm="1">
        <f t="array" ref="K83">INT(SUMPRODUCT(--ISNUMBER(SEARCH(economy,C83)))&gt;0)</f>
        <v>0</v>
      </c>
      <c r="L83" s="14" cm="1">
        <f t="array" ref="L83">INT(SUMPRODUCT(--ISNUMBER(SEARCH(healthcare,C83)))&gt;0)</f>
        <v>0</v>
      </c>
      <c r="M83" s="14" cm="1">
        <f t="array" ref="M83">INT(SUMPRODUCT(--ISNUMBER(SEARCH(supreme,C83)))&gt;0)</f>
        <v>0</v>
      </c>
      <c r="N83" s="14" cm="1">
        <f t="array" ref="N83">INT(SUMPRODUCT(--ISNUMBER(SEARCH(covid,C83)))&gt;0)</f>
        <v>0</v>
      </c>
      <c r="O83" s="14" cm="1">
        <f t="array" ref="O83">INT(SUMPRODUCT(--ISNUMBER(SEARCH(violent,C83)))&gt;0)</f>
        <v>0</v>
      </c>
      <c r="P83" s="14" cm="1">
        <f t="array" ref="P83">INT(SUMPRODUCT(--ISNUMBER(SEARCH(foreign,C83)))&gt;0)</f>
        <v>0</v>
      </c>
      <c r="Q83" s="14" cm="1">
        <f t="array" ref="Q83">INT(SUMPRODUCT(--ISNUMBER(SEARCH(gun,C83)))&gt;0)</f>
        <v>0</v>
      </c>
      <c r="R83" s="14" cm="1">
        <f t="array" ref="R83">INT(SUMPRODUCT(--ISNUMBER(SEARCH(race,C83)))&gt;0)</f>
        <v>0</v>
      </c>
      <c r="S83" s="14" cm="1">
        <f t="array" ref="S83">INT(SUMPRODUCT(--ISNUMBER(SEARCH(immigration,C83)))&gt;0)</f>
        <v>0</v>
      </c>
      <c r="T83" s="14" cm="1">
        <f t="array" ref="T83">INT(SUMPRODUCT(--ISNUMBER(SEARCH(econineq,C84)))&gt;0)</f>
        <v>0</v>
      </c>
      <c r="U83" s="14" cm="1">
        <f t="array" ref="U83">INT(SUMPRODUCT(--ISNUMBER(SEARCH(climate,C83)))&gt;0)</f>
        <v>0</v>
      </c>
      <c r="V83" s="14" cm="1">
        <f t="array" ref="V83">INT(SUMPRODUCT(--ISNUMBER(SEARCH(abortion,C83)))&gt;0)</f>
        <v>0</v>
      </c>
      <c r="W83" s="14" cm="1">
        <f t="array" ref="W83">INT(SUMPRODUCT(--ISNUMBER(SEARCH(trump,C83)))&gt;0)</f>
        <v>0</v>
      </c>
      <c r="X83" s="14" cm="1">
        <f t="array" ref="X83">INT(SUMPRODUCT(--ISNUMBER(SEARCH(voting,C83)))&gt;0)</f>
        <v>1</v>
      </c>
      <c r="Y83" s="14" cm="1">
        <f t="array" ref="Y83">INT(SUMPRODUCT(--ISNUMBER(SEARCH(democrattrigger,C83)))&gt;0)</f>
        <v>1</v>
      </c>
      <c r="Z83" s="14" cm="1">
        <f t="array" ref="Z83">INT(SUMPRODUCT(--ISNUMBER(SEARCH(bipartisan,C83)))&gt;0)</f>
        <v>0</v>
      </c>
      <c r="AA83" s="14">
        <f t="shared" si="1"/>
        <v>0</v>
      </c>
      <c r="AB83" s="14"/>
      <c r="AC83" s="30" t="s">
        <v>223</v>
      </c>
      <c r="AD83" s="37" t="s">
        <v>223</v>
      </c>
    </row>
    <row r="84" spans="1:30" x14ac:dyDescent="0.25">
      <c r="A84" s="36">
        <v>3489</v>
      </c>
      <c r="B84" s="14" t="s">
        <v>7603</v>
      </c>
      <c r="C84" s="14" t="s">
        <v>7604</v>
      </c>
      <c r="D84" s="17">
        <v>44124</v>
      </c>
      <c r="E84" s="14" t="s">
        <v>30</v>
      </c>
      <c r="F84" s="14">
        <v>929</v>
      </c>
      <c r="G84" s="14">
        <v>345</v>
      </c>
      <c r="H84" s="14">
        <v>16</v>
      </c>
      <c r="I84" s="14">
        <v>8</v>
      </c>
      <c r="J84" s="14" t="s">
        <v>204</v>
      </c>
      <c r="K84" s="14" cm="1">
        <f t="array" ref="K84">INT(SUMPRODUCT(--ISNUMBER(SEARCH(economy,C84)))&gt;0)</f>
        <v>0</v>
      </c>
      <c r="L84" s="14" cm="1">
        <f t="array" ref="L84">INT(SUMPRODUCT(--ISNUMBER(SEARCH(healthcare,C84)))&gt;0)</f>
        <v>0</v>
      </c>
      <c r="M84" s="14" cm="1">
        <f t="array" ref="M84">INT(SUMPRODUCT(--ISNUMBER(SEARCH(supreme,C84)))&gt;0)</f>
        <v>0</v>
      </c>
      <c r="N84" s="14" cm="1">
        <f t="array" ref="N84">INT(SUMPRODUCT(--ISNUMBER(SEARCH(covid,C84)))&gt;0)</f>
        <v>0</v>
      </c>
      <c r="O84" s="14" cm="1">
        <f t="array" ref="O84">INT(SUMPRODUCT(--ISNUMBER(SEARCH(violent,C84)))&gt;0)</f>
        <v>0</v>
      </c>
      <c r="P84" s="14" cm="1">
        <f t="array" ref="P84">INT(SUMPRODUCT(--ISNUMBER(SEARCH(foreign,C84)))&gt;0)</f>
        <v>0</v>
      </c>
      <c r="Q84" s="14" cm="1">
        <f t="array" ref="Q84">INT(SUMPRODUCT(--ISNUMBER(SEARCH(gun,C84)))&gt;0)</f>
        <v>0</v>
      </c>
      <c r="R84" s="14" cm="1">
        <f t="array" ref="R84">INT(SUMPRODUCT(--ISNUMBER(SEARCH(race,C84)))&gt;0)</f>
        <v>0</v>
      </c>
      <c r="S84" s="14" cm="1">
        <f t="array" ref="S84">INT(SUMPRODUCT(--ISNUMBER(SEARCH(immigration,C84)))&gt;0)</f>
        <v>0</v>
      </c>
      <c r="T84" s="14" cm="1">
        <f t="array" ref="T84">INT(SUMPRODUCT(--ISNUMBER(SEARCH(econineq,C85)))&gt;0)</f>
        <v>0</v>
      </c>
      <c r="U84" s="14" cm="1">
        <f t="array" ref="U84">INT(SUMPRODUCT(--ISNUMBER(SEARCH(climate,C84)))&gt;0)</f>
        <v>0</v>
      </c>
      <c r="V84" s="14" cm="1">
        <f t="array" ref="V84">INT(SUMPRODUCT(--ISNUMBER(SEARCH(abortion,C84)))&gt;0)</f>
        <v>0</v>
      </c>
      <c r="W84" s="14" cm="1">
        <f t="array" ref="W84">INT(SUMPRODUCT(--ISNUMBER(SEARCH(trump,C84)))&gt;0)</f>
        <v>0</v>
      </c>
      <c r="X84" s="14" cm="1">
        <f t="array" ref="X84">INT(SUMPRODUCT(--ISNUMBER(SEARCH(voting,C84)))&gt;0)</f>
        <v>1</v>
      </c>
      <c r="Y84" s="14" cm="1">
        <f t="array" ref="Y84">INT(SUMPRODUCT(--ISNUMBER(SEARCH(democrattrigger,C84)))&gt;0)</f>
        <v>0</v>
      </c>
      <c r="Z84" s="14" cm="1">
        <f t="array" ref="Z84">INT(SUMPRODUCT(--ISNUMBER(SEARCH(bipartisan,C84)))&gt;0)</f>
        <v>0</v>
      </c>
      <c r="AA84" s="14">
        <f t="shared" si="1"/>
        <v>0</v>
      </c>
      <c r="AB84" s="14"/>
      <c r="AC84" s="30" t="s">
        <v>223</v>
      </c>
      <c r="AD84" s="37" t="s">
        <v>223</v>
      </c>
    </row>
    <row r="85" spans="1:30" x14ac:dyDescent="0.25">
      <c r="A85" s="36">
        <v>3490</v>
      </c>
      <c r="B85" s="14" t="s">
        <v>7605</v>
      </c>
      <c r="C85" s="14" t="s">
        <v>7606</v>
      </c>
      <c r="D85" s="17">
        <v>44124</v>
      </c>
      <c r="E85" s="14" t="s">
        <v>30</v>
      </c>
      <c r="F85" s="14">
        <v>988</v>
      </c>
      <c r="G85" s="14">
        <v>286</v>
      </c>
      <c r="H85" s="14">
        <v>16</v>
      </c>
      <c r="I85" s="14">
        <v>8</v>
      </c>
      <c r="J85" s="14" t="s">
        <v>204</v>
      </c>
      <c r="K85" s="14" cm="1">
        <f t="array" ref="K85">INT(SUMPRODUCT(--ISNUMBER(SEARCH(economy,C85)))&gt;0)</f>
        <v>0</v>
      </c>
      <c r="L85" s="14" cm="1">
        <f t="array" ref="L85">INT(SUMPRODUCT(--ISNUMBER(SEARCH(healthcare,C85)))&gt;0)</f>
        <v>0</v>
      </c>
      <c r="M85" s="14" cm="1">
        <f t="array" ref="M85">INT(SUMPRODUCT(--ISNUMBER(SEARCH(supreme,C85)))&gt;0)</f>
        <v>0</v>
      </c>
      <c r="N85" s="14" cm="1">
        <f t="array" ref="N85">INT(SUMPRODUCT(--ISNUMBER(SEARCH(covid,C85)))&gt;0)</f>
        <v>0</v>
      </c>
      <c r="O85" s="14" cm="1">
        <f t="array" ref="O85">INT(SUMPRODUCT(--ISNUMBER(SEARCH(violent,C85)))&gt;0)</f>
        <v>0</v>
      </c>
      <c r="P85" s="14" cm="1">
        <f t="array" ref="P85">INT(SUMPRODUCT(--ISNUMBER(SEARCH(foreign,C85)))&gt;0)</f>
        <v>0</v>
      </c>
      <c r="Q85" s="14" cm="1">
        <f t="array" ref="Q85">INT(SUMPRODUCT(--ISNUMBER(SEARCH(gun,C85)))&gt;0)</f>
        <v>0</v>
      </c>
      <c r="R85" s="14" cm="1">
        <f t="array" ref="R85">INT(SUMPRODUCT(--ISNUMBER(SEARCH(race,C85)))&gt;0)</f>
        <v>0</v>
      </c>
      <c r="S85" s="14" cm="1">
        <f t="array" ref="S85">INT(SUMPRODUCT(--ISNUMBER(SEARCH(immigration,C85)))&gt;0)</f>
        <v>0</v>
      </c>
      <c r="T85" s="14" cm="1">
        <f t="array" ref="T85">INT(SUMPRODUCT(--ISNUMBER(SEARCH(econineq,C86)))&gt;0)</f>
        <v>0</v>
      </c>
      <c r="U85" s="14" cm="1">
        <f t="array" ref="U85">INT(SUMPRODUCT(--ISNUMBER(SEARCH(climate,C85)))&gt;0)</f>
        <v>0</v>
      </c>
      <c r="V85" s="14" cm="1">
        <f t="array" ref="V85">INT(SUMPRODUCT(--ISNUMBER(SEARCH(abortion,C85)))&gt;0)</f>
        <v>0</v>
      </c>
      <c r="W85" s="14" cm="1">
        <f t="array" ref="W85">INT(SUMPRODUCT(--ISNUMBER(SEARCH(trump,C85)))&gt;0)</f>
        <v>0</v>
      </c>
      <c r="X85" s="14" cm="1">
        <f t="array" ref="X85">INT(SUMPRODUCT(--ISNUMBER(SEARCH(voting,C85)))&gt;0)</f>
        <v>1</v>
      </c>
      <c r="Y85" s="14" cm="1">
        <f t="array" ref="Y85">INT(SUMPRODUCT(--ISNUMBER(SEARCH(democrattrigger,C85)))&gt;0)</f>
        <v>0</v>
      </c>
      <c r="Z85" s="14" cm="1">
        <f t="array" ref="Z85">INT(SUMPRODUCT(--ISNUMBER(SEARCH(bipartisan,C85)))&gt;0)</f>
        <v>0</v>
      </c>
      <c r="AA85" s="14">
        <f t="shared" si="1"/>
        <v>0</v>
      </c>
      <c r="AB85" s="14"/>
      <c r="AC85" s="30">
        <v>1</v>
      </c>
      <c r="AD85" s="37">
        <v>0</v>
      </c>
    </row>
    <row r="86" spans="1:30" x14ac:dyDescent="0.25">
      <c r="A86" s="36">
        <v>3491</v>
      </c>
      <c r="B86" s="14" t="s">
        <v>7607</v>
      </c>
      <c r="C86" s="14" t="s">
        <v>7608</v>
      </c>
      <c r="D86" s="17">
        <v>44124</v>
      </c>
      <c r="E86" s="14" t="s">
        <v>30</v>
      </c>
      <c r="F86" s="14">
        <v>1106</v>
      </c>
      <c r="G86" s="14">
        <v>377</v>
      </c>
      <c r="H86" s="14">
        <v>16</v>
      </c>
      <c r="I86" s="14">
        <v>8</v>
      </c>
      <c r="J86" s="14" t="s">
        <v>204</v>
      </c>
      <c r="K86" s="14" cm="1">
        <f t="array" ref="K86">INT(SUMPRODUCT(--ISNUMBER(SEARCH(economy,C86)))&gt;0)</f>
        <v>0</v>
      </c>
      <c r="L86" s="14" cm="1">
        <f t="array" ref="L86">INT(SUMPRODUCT(--ISNUMBER(SEARCH(healthcare,C86)))&gt;0)</f>
        <v>0</v>
      </c>
      <c r="M86" s="14" cm="1">
        <f t="array" ref="M86">INT(SUMPRODUCT(--ISNUMBER(SEARCH(supreme,C86)))&gt;0)</f>
        <v>0</v>
      </c>
      <c r="N86" s="14" cm="1">
        <f t="array" ref="N86">INT(SUMPRODUCT(--ISNUMBER(SEARCH(covid,C86)))&gt;0)</f>
        <v>0</v>
      </c>
      <c r="O86" s="14" cm="1">
        <f t="array" ref="O86">INT(SUMPRODUCT(--ISNUMBER(SEARCH(violent,C86)))&gt;0)</f>
        <v>0</v>
      </c>
      <c r="P86" s="14" cm="1">
        <f t="array" ref="P86">INT(SUMPRODUCT(--ISNUMBER(SEARCH(foreign,C86)))&gt;0)</f>
        <v>0</v>
      </c>
      <c r="Q86" s="14" cm="1">
        <f t="array" ref="Q86">INT(SUMPRODUCT(--ISNUMBER(SEARCH(gun,C86)))&gt;0)</f>
        <v>0</v>
      </c>
      <c r="R86" s="14" cm="1">
        <f t="array" ref="R86">INT(SUMPRODUCT(--ISNUMBER(SEARCH(race,C86)))&gt;0)</f>
        <v>0</v>
      </c>
      <c r="S86" s="14" cm="1">
        <f t="array" ref="S86">INT(SUMPRODUCT(--ISNUMBER(SEARCH(immigration,C86)))&gt;0)</f>
        <v>0</v>
      </c>
      <c r="T86" s="14" cm="1">
        <f t="array" ref="T86">INT(SUMPRODUCT(--ISNUMBER(SEARCH(econineq,C87)))&gt;0)</f>
        <v>0</v>
      </c>
      <c r="U86" s="14" cm="1">
        <f t="array" ref="U86">INT(SUMPRODUCT(--ISNUMBER(SEARCH(climate,C86)))&gt;0)</f>
        <v>0</v>
      </c>
      <c r="V86" s="14" cm="1">
        <f t="array" ref="V86">INT(SUMPRODUCT(--ISNUMBER(SEARCH(abortion,C86)))&gt;0)</f>
        <v>0</v>
      </c>
      <c r="W86" s="14" cm="1">
        <f t="array" ref="W86">INT(SUMPRODUCT(--ISNUMBER(SEARCH(trump,C86)))&gt;0)</f>
        <v>0</v>
      </c>
      <c r="X86" s="14" cm="1">
        <f t="array" ref="X86">INT(SUMPRODUCT(--ISNUMBER(SEARCH(voting,C86)))&gt;0)</f>
        <v>1</v>
      </c>
      <c r="Y86" s="14" cm="1">
        <f t="array" ref="Y86">INT(SUMPRODUCT(--ISNUMBER(SEARCH(democrattrigger,C86)))&gt;0)</f>
        <v>1</v>
      </c>
      <c r="Z86" s="14" cm="1">
        <f t="array" ref="Z86">INT(SUMPRODUCT(--ISNUMBER(SEARCH(bipartisan,C86)))&gt;0)</f>
        <v>0</v>
      </c>
      <c r="AA86" s="14">
        <f t="shared" si="1"/>
        <v>0</v>
      </c>
      <c r="AB86" s="14"/>
      <c r="AC86" s="30" t="s">
        <v>223</v>
      </c>
      <c r="AD86" s="37" t="s">
        <v>223</v>
      </c>
    </row>
    <row r="87" spans="1:30" x14ac:dyDescent="0.25">
      <c r="A87" s="36">
        <v>3492</v>
      </c>
      <c r="B87" s="14" t="s">
        <v>7609</v>
      </c>
      <c r="C87" s="14" t="s">
        <v>7610</v>
      </c>
      <c r="D87" s="17">
        <v>44123</v>
      </c>
      <c r="E87" s="14" t="s">
        <v>30</v>
      </c>
      <c r="F87" s="14">
        <v>727</v>
      </c>
      <c r="G87" s="14">
        <v>283</v>
      </c>
      <c r="H87" s="14">
        <v>16</v>
      </c>
      <c r="I87" s="14">
        <v>8</v>
      </c>
      <c r="J87" s="14" t="s">
        <v>204</v>
      </c>
      <c r="K87" s="14" cm="1">
        <f t="array" ref="K87">INT(SUMPRODUCT(--ISNUMBER(SEARCH(economy,C87)))&gt;0)</f>
        <v>0</v>
      </c>
      <c r="L87" s="14" cm="1">
        <f t="array" ref="L87">INT(SUMPRODUCT(--ISNUMBER(SEARCH(healthcare,C87)))&gt;0)</f>
        <v>0</v>
      </c>
      <c r="M87" s="14" cm="1">
        <f t="array" ref="M87">INT(SUMPRODUCT(--ISNUMBER(SEARCH(supreme,C87)))&gt;0)</f>
        <v>0</v>
      </c>
      <c r="N87" s="14" cm="1">
        <f t="array" ref="N87">INT(SUMPRODUCT(--ISNUMBER(SEARCH(covid,C87)))&gt;0)</f>
        <v>0</v>
      </c>
      <c r="O87" s="14" cm="1">
        <f t="array" ref="O87">INT(SUMPRODUCT(--ISNUMBER(SEARCH(violent,C87)))&gt;0)</f>
        <v>0</v>
      </c>
      <c r="P87" s="14" cm="1">
        <f t="array" ref="P87">INT(SUMPRODUCT(--ISNUMBER(SEARCH(foreign,C87)))&gt;0)</f>
        <v>0</v>
      </c>
      <c r="Q87" s="14" cm="1">
        <f t="array" ref="Q87">INT(SUMPRODUCT(--ISNUMBER(SEARCH(gun,C87)))&gt;0)</f>
        <v>0</v>
      </c>
      <c r="R87" s="14" cm="1">
        <f t="array" ref="R87">INT(SUMPRODUCT(--ISNUMBER(SEARCH(race,C87)))&gt;0)</f>
        <v>0</v>
      </c>
      <c r="S87" s="14" cm="1">
        <f t="array" ref="S87">INT(SUMPRODUCT(--ISNUMBER(SEARCH(immigration,C87)))&gt;0)</f>
        <v>0</v>
      </c>
      <c r="T87" s="14" cm="1">
        <f t="array" ref="T87">INT(SUMPRODUCT(--ISNUMBER(SEARCH(econineq,C88)))&gt;0)</f>
        <v>0</v>
      </c>
      <c r="U87" s="14" cm="1">
        <f t="array" ref="U87">INT(SUMPRODUCT(--ISNUMBER(SEARCH(climate,C87)))&gt;0)</f>
        <v>0</v>
      </c>
      <c r="V87" s="14" cm="1">
        <f t="array" ref="V87">INT(SUMPRODUCT(--ISNUMBER(SEARCH(abortion,C87)))&gt;0)</f>
        <v>0</v>
      </c>
      <c r="W87" s="14" cm="1">
        <f t="array" ref="W87">INT(SUMPRODUCT(--ISNUMBER(SEARCH(trump,C87)))&gt;0)</f>
        <v>0</v>
      </c>
      <c r="X87" s="14" cm="1">
        <f t="array" ref="X87">INT(SUMPRODUCT(--ISNUMBER(SEARCH(voting,C87)))&gt;0)</f>
        <v>0</v>
      </c>
      <c r="Y87" s="14" cm="1">
        <f t="array" ref="Y87">INT(SUMPRODUCT(--ISNUMBER(SEARCH(democrattrigger,C87)))&gt;0)</f>
        <v>1</v>
      </c>
      <c r="Z87" s="14" cm="1">
        <f t="array" ref="Z87">INT(SUMPRODUCT(--ISNUMBER(SEARCH(bipartisan,C87)))&gt;0)</f>
        <v>0</v>
      </c>
      <c r="AA87" s="14">
        <f t="shared" si="1"/>
        <v>0</v>
      </c>
      <c r="AB87" s="14"/>
      <c r="AC87" s="30">
        <v>0</v>
      </c>
      <c r="AD87" s="37">
        <v>1</v>
      </c>
    </row>
    <row r="88" spans="1:30" x14ac:dyDescent="0.25">
      <c r="A88" s="36">
        <v>3493</v>
      </c>
      <c r="B88" s="14" t="s">
        <v>7611</v>
      </c>
      <c r="C88" s="14" t="s">
        <v>7612</v>
      </c>
      <c r="D88" s="17">
        <v>44123</v>
      </c>
      <c r="E88" s="14" t="s">
        <v>30</v>
      </c>
      <c r="F88" s="14">
        <v>1063</v>
      </c>
      <c r="G88" s="14">
        <v>372</v>
      </c>
      <c r="H88" s="14">
        <v>16</v>
      </c>
      <c r="I88" s="14">
        <v>8</v>
      </c>
      <c r="J88" s="14" t="s">
        <v>204</v>
      </c>
      <c r="K88" s="14" cm="1">
        <f t="array" ref="K88">INT(SUMPRODUCT(--ISNUMBER(SEARCH(economy,C88)))&gt;0)</f>
        <v>0</v>
      </c>
      <c r="L88" s="14" cm="1">
        <f t="array" ref="L88">INT(SUMPRODUCT(--ISNUMBER(SEARCH(healthcare,C88)))&gt;0)</f>
        <v>1</v>
      </c>
      <c r="M88" s="14" cm="1">
        <f t="array" ref="M88">INT(SUMPRODUCT(--ISNUMBER(SEARCH(supreme,C88)))&gt;0)</f>
        <v>0</v>
      </c>
      <c r="N88" s="14" cm="1">
        <f t="array" ref="N88">INT(SUMPRODUCT(--ISNUMBER(SEARCH(covid,C88)))&gt;0)</f>
        <v>0</v>
      </c>
      <c r="O88" s="14" cm="1">
        <f t="array" ref="O88">INT(SUMPRODUCT(--ISNUMBER(SEARCH(violent,C88)))&gt;0)</f>
        <v>0</v>
      </c>
      <c r="P88" s="14" cm="1">
        <f t="array" ref="P88">INT(SUMPRODUCT(--ISNUMBER(SEARCH(foreign,C88)))&gt;0)</f>
        <v>0</v>
      </c>
      <c r="Q88" s="14" cm="1">
        <f t="array" ref="Q88">INT(SUMPRODUCT(--ISNUMBER(SEARCH(gun,C88)))&gt;0)</f>
        <v>0</v>
      </c>
      <c r="R88" s="14" cm="1">
        <f t="array" ref="R88">INT(SUMPRODUCT(--ISNUMBER(SEARCH(race,C88)))&gt;0)</f>
        <v>0</v>
      </c>
      <c r="S88" s="14" cm="1">
        <f t="array" ref="S88">INT(SUMPRODUCT(--ISNUMBER(SEARCH(immigration,C88)))&gt;0)</f>
        <v>0</v>
      </c>
      <c r="T88" s="14" cm="1">
        <f t="array" ref="T88">INT(SUMPRODUCT(--ISNUMBER(SEARCH(econineq,C89)))&gt;0)</f>
        <v>0</v>
      </c>
      <c r="U88" s="14" cm="1">
        <f t="array" ref="U88">INT(SUMPRODUCT(--ISNUMBER(SEARCH(climate,C88)))&gt;0)</f>
        <v>0</v>
      </c>
      <c r="V88" s="14" cm="1">
        <f t="array" ref="V88">INT(SUMPRODUCT(--ISNUMBER(SEARCH(abortion,C88)))&gt;0)</f>
        <v>0</v>
      </c>
      <c r="W88" s="14" cm="1">
        <f t="array" ref="W88">INT(SUMPRODUCT(--ISNUMBER(SEARCH(trump,C88)))&gt;0)</f>
        <v>0</v>
      </c>
      <c r="X88" s="14" cm="1">
        <f t="array" ref="X88">INT(SUMPRODUCT(--ISNUMBER(SEARCH(voting,C88)))&gt;0)</f>
        <v>0</v>
      </c>
      <c r="Y88" s="14" cm="1">
        <f t="array" ref="Y88">INT(SUMPRODUCT(--ISNUMBER(SEARCH(democrattrigger,C88)))&gt;0)</f>
        <v>1</v>
      </c>
      <c r="Z88" s="14" cm="1">
        <f t="array" ref="Z88">INT(SUMPRODUCT(--ISNUMBER(SEARCH(bipartisan,C88)))&gt;0)</f>
        <v>0</v>
      </c>
      <c r="AA88" s="14">
        <f t="shared" si="1"/>
        <v>0</v>
      </c>
      <c r="AB88" s="14"/>
      <c r="AC88" s="30">
        <v>0</v>
      </c>
      <c r="AD88" s="37">
        <v>1</v>
      </c>
    </row>
    <row r="89" spans="1:30" x14ac:dyDescent="0.25">
      <c r="A89" s="36">
        <v>3494</v>
      </c>
      <c r="B89" s="14" t="s">
        <v>7613</v>
      </c>
      <c r="C89" s="14" t="s">
        <v>7614</v>
      </c>
      <c r="D89" s="17">
        <v>44123</v>
      </c>
      <c r="E89" s="14" t="s">
        <v>30</v>
      </c>
      <c r="F89" s="14">
        <v>980</v>
      </c>
      <c r="G89" s="14">
        <v>511</v>
      </c>
      <c r="H89" s="14">
        <v>16</v>
      </c>
      <c r="I89" s="14">
        <v>8</v>
      </c>
      <c r="J89" s="14" t="s">
        <v>204</v>
      </c>
      <c r="K89" s="14" cm="1">
        <f t="array" ref="K89">INT(SUMPRODUCT(--ISNUMBER(SEARCH(economy,C89)))&gt;0)</f>
        <v>0</v>
      </c>
      <c r="L89" s="14" cm="1">
        <f t="array" ref="L89">INT(SUMPRODUCT(--ISNUMBER(SEARCH(healthcare,C89)))&gt;0)</f>
        <v>1</v>
      </c>
      <c r="M89" s="14" cm="1">
        <f t="array" ref="M89">INT(SUMPRODUCT(--ISNUMBER(SEARCH(supreme,C89)))&gt;0)</f>
        <v>0</v>
      </c>
      <c r="N89" s="14" cm="1">
        <f t="array" ref="N89">INT(SUMPRODUCT(--ISNUMBER(SEARCH(covid,C89)))&gt;0)</f>
        <v>0</v>
      </c>
      <c r="O89" s="14" cm="1">
        <f t="array" ref="O89">INT(SUMPRODUCT(--ISNUMBER(SEARCH(violent,C89)))&gt;0)</f>
        <v>0</v>
      </c>
      <c r="P89" s="14" cm="1">
        <f t="array" ref="P89">INT(SUMPRODUCT(--ISNUMBER(SEARCH(foreign,C89)))&gt;0)</f>
        <v>0</v>
      </c>
      <c r="Q89" s="14" cm="1">
        <f t="array" ref="Q89">INT(SUMPRODUCT(--ISNUMBER(SEARCH(gun,C89)))&gt;0)</f>
        <v>0</v>
      </c>
      <c r="R89" s="14" cm="1">
        <f t="array" ref="R89">INT(SUMPRODUCT(--ISNUMBER(SEARCH(race,C89)))&gt;0)</f>
        <v>0</v>
      </c>
      <c r="S89" s="14" cm="1">
        <f t="array" ref="S89">INT(SUMPRODUCT(--ISNUMBER(SEARCH(immigration,C89)))&gt;0)</f>
        <v>0</v>
      </c>
      <c r="T89" s="14" cm="1">
        <f t="array" ref="T89">INT(SUMPRODUCT(--ISNUMBER(SEARCH(econineq,C90)))&gt;0)</f>
        <v>0</v>
      </c>
      <c r="U89" s="14" cm="1">
        <f t="array" ref="U89">INT(SUMPRODUCT(--ISNUMBER(SEARCH(climate,C89)))&gt;0)</f>
        <v>0</v>
      </c>
      <c r="V89" s="14" cm="1">
        <f t="array" ref="V89">INT(SUMPRODUCT(--ISNUMBER(SEARCH(abortion,C89)))&gt;0)</f>
        <v>0</v>
      </c>
      <c r="W89" s="14" cm="1">
        <f t="array" ref="W89">INT(SUMPRODUCT(--ISNUMBER(SEARCH(trump,C89)))&gt;0)</f>
        <v>0</v>
      </c>
      <c r="X89" s="14" cm="1">
        <f t="array" ref="X89">INT(SUMPRODUCT(--ISNUMBER(SEARCH(voting,C89)))&gt;0)</f>
        <v>1</v>
      </c>
      <c r="Y89" s="14" cm="1">
        <f t="array" ref="Y89">INT(SUMPRODUCT(--ISNUMBER(SEARCH(democrattrigger,C89)))&gt;0)</f>
        <v>1</v>
      </c>
      <c r="Z89" s="14" cm="1">
        <f t="array" ref="Z89">INT(SUMPRODUCT(--ISNUMBER(SEARCH(bipartisan,C89)))&gt;0)</f>
        <v>0</v>
      </c>
      <c r="AA89" s="14">
        <f t="shared" si="1"/>
        <v>0</v>
      </c>
      <c r="AB89" s="14"/>
      <c r="AC89" s="30">
        <v>0</v>
      </c>
      <c r="AD89" s="37">
        <v>1</v>
      </c>
    </row>
    <row r="90" spans="1:30" x14ac:dyDescent="0.25">
      <c r="A90" s="36">
        <v>3495</v>
      </c>
      <c r="B90" s="14" t="s">
        <v>7615</v>
      </c>
      <c r="C90" s="14" t="s">
        <v>7616</v>
      </c>
      <c r="D90" s="17">
        <v>44123</v>
      </c>
      <c r="E90" s="14" t="s">
        <v>30</v>
      </c>
      <c r="F90" s="14">
        <v>2110</v>
      </c>
      <c r="G90" s="14">
        <v>721</v>
      </c>
      <c r="H90" s="14">
        <v>16</v>
      </c>
      <c r="I90" s="14">
        <v>8</v>
      </c>
      <c r="J90" s="14" t="s">
        <v>204</v>
      </c>
      <c r="K90" s="14" cm="1">
        <f t="array" ref="K90">INT(SUMPRODUCT(--ISNUMBER(SEARCH(economy,C90)))&gt;0)</f>
        <v>0</v>
      </c>
      <c r="L90" s="14" cm="1">
        <f t="array" ref="L90">INT(SUMPRODUCT(--ISNUMBER(SEARCH(healthcare,C90)))&gt;0)</f>
        <v>0</v>
      </c>
      <c r="M90" s="14" cm="1">
        <f t="array" ref="M90">INT(SUMPRODUCT(--ISNUMBER(SEARCH(supreme,C90)))&gt;0)</f>
        <v>1</v>
      </c>
      <c r="N90" s="14" cm="1">
        <f t="array" ref="N90">INT(SUMPRODUCT(--ISNUMBER(SEARCH(covid,C90)))&gt;0)</f>
        <v>0</v>
      </c>
      <c r="O90" s="14" cm="1">
        <f t="array" ref="O90">INT(SUMPRODUCT(--ISNUMBER(SEARCH(violent,C90)))&gt;0)</f>
        <v>0</v>
      </c>
      <c r="P90" s="14" cm="1">
        <f t="array" ref="P90">INT(SUMPRODUCT(--ISNUMBER(SEARCH(foreign,C90)))&gt;0)</f>
        <v>0</v>
      </c>
      <c r="Q90" s="14" cm="1">
        <f t="array" ref="Q90">INT(SUMPRODUCT(--ISNUMBER(SEARCH(gun,C90)))&gt;0)</f>
        <v>0</v>
      </c>
      <c r="R90" s="14" cm="1">
        <f t="array" ref="R90">INT(SUMPRODUCT(--ISNUMBER(SEARCH(race,C90)))&gt;0)</f>
        <v>0</v>
      </c>
      <c r="S90" s="14" cm="1">
        <f t="array" ref="S90">INT(SUMPRODUCT(--ISNUMBER(SEARCH(immigration,C90)))&gt;0)</f>
        <v>0</v>
      </c>
      <c r="T90" s="14" cm="1">
        <f t="array" ref="T90">INT(SUMPRODUCT(--ISNUMBER(SEARCH(econineq,C91)))&gt;0)</f>
        <v>0</v>
      </c>
      <c r="U90" s="14" cm="1">
        <f t="array" ref="U90">INT(SUMPRODUCT(--ISNUMBER(SEARCH(climate,C90)))&gt;0)</f>
        <v>0</v>
      </c>
      <c r="V90" s="14" cm="1">
        <f t="array" ref="V90">INT(SUMPRODUCT(--ISNUMBER(SEARCH(abortion,C90)))&gt;0)</f>
        <v>0</v>
      </c>
      <c r="W90" s="14" cm="1">
        <f t="array" ref="W90">INT(SUMPRODUCT(--ISNUMBER(SEARCH(trump,C90)))&gt;0)</f>
        <v>0</v>
      </c>
      <c r="X90" s="14" cm="1">
        <f t="array" ref="X90">INT(SUMPRODUCT(--ISNUMBER(SEARCH(voting,C90)))&gt;0)</f>
        <v>0</v>
      </c>
      <c r="Y90" s="14" cm="1">
        <f t="array" ref="Y90">INT(SUMPRODUCT(--ISNUMBER(SEARCH(democrattrigger,C90)))&gt;0)</f>
        <v>1</v>
      </c>
      <c r="Z90" s="14" cm="1">
        <f t="array" ref="Z90">INT(SUMPRODUCT(--ISNUMBER(SEARCH(bipartisan,C90)))&gt;0)</f>
        <v>0</v>
      </c>
      <c r="AA90" s="14">
        <f t="shared" si="1"/>
        <v>0</v>
      </c>
      <c r="AB90" s="14"/>
      <c r="AC90" s="30">
        <v>1</v>
      </c>
      <c r="AD90" s="37">
        <v>0</v>
      </c>
    </row>
    <row r="91" spans="1:30" x14ac:dyDescent="0.25">
      <c r="A91" s="36">
        <v>3496</v>
      </c>
      <c r="B91" s="14" t="s">
        <v>7617</v>
      </c>
      <c r="C91" s="14" t="s">
        <v>7618</v>
      </c>
      <c r="D91" s="17">
        <v>44123</v>
      </c>
      <c r="E91" s="14" t="s">
        <v>30</v>
      </c>
      <c r="F91" s="14">
        <v>18241</v>
      </c>
      <c r="G91" s="14">
        <v>3282</v>
      </c>
      <c r="H91" s="14">
        <v>16</v>
      </c>
      <c r="I91" s="14">
        <v>8</v>
      </c>
      <c r="J91" s="14" t="s">
        <v>204</v>
      </c>
      <c r="K91" s="14" cm="1">
        <f t="array" ref="K91">INT(SUMPRODUCT(--ISNUMBER(SEARCH(economy,C91)))&gt;0)</f>
        <v>0</v>
      </c>
      <c r="L91" s="14" cm="1">
        <f t="array" ref="L91">INT(SUMPRODUCT(--ISNUMBER(SEARCH(healthcare,C91)))&gt;0)</f>
        <v>1</v>
      </c>
      <c r="M91" s="14" cm="1">
        <f t="array" ref="M91">INT(SUMPRODUCT(--ISNUMBER(SEARCH(supreme,C91)))&gt;0)</f>
        <v>0</v>
      </c>
      <c r="N91" s="14" cm="1">
        <f t="array" ref="N91">INT(SUMPRODUCT(--ISNUMBER(SEARCH(covid,C91)))&gt;0)</f>
        <v>0</v>
      </c>
      <c r="O91" s="14" cm="1">
        <f t="array" ref="O91">INT(SUMPRODUCT(--ISNUMBER(SEARCH(violent,C91)))&gt;0)</f>
        <v>0</v>
      </c>
      <c r="P91" s="14" cm="1">
        <f t="array" ref="P91">INT(SUMPRODUCT(--ISNUMBER(SEARCH(foreign,C91)))&gt;0)</f>
        <v>0</v>
      </c>
      <c r="Q91" s="14" cm="1">
        <f t="array" ref="Q91">INT(SUMPRODUCT(--ISNUMBER(SEARCH(gun,C91)))&gt;0)</f>
        <v>0</v>
      </c>
      <c r="R91" s="14" cm="1">
        <f t="array" ref="R91">INT(SUMPRODUCT(--ISNUMBER(SEARCH(race,C91)))&gt;0)</f>
        <v>0</v>
      </c>
      <c r="S91" s="14" cm="1">
        <f t="array" ref="S91">INT(SUMPRODUCT(--ISNUMBER(SEARCH(immigration,C91)))&gt;0)</f>
        <v>0</v>
      </c>
      <c r="T91" s="14" cm="1">
        <f t="array" ref="T91">INT(SUMPRODUCT(--ISNUMBER(SEARCH(econineq,C92)))&gt;0)</f>
        <v>0</v>
      </c>
      <c r="U91" s="14" cm="1">
        <f t="array" ref="U91">INT(SUMPRODUCT(--ISNUMBER(SEARCH(climate,C91)))&gt;0)</f>
        <v>0</v>
      </c>
      <c r="V91" s="14" cm="1">
        <f t="array" ref="V91">INT(SUMPRODUCT(--ISNUMBER(SEARCH(abortion,C91)))&gt;0)</f>
        <v>0</v>
      </c>
      <c r="W91" s="14" cm="1">
        <f t="array" ref="W91">INT(SUMPRODUCT(--ISNUMBER(SEARCH(trump,C91)))&gt;0)</f>
        <v>0</v>
      </c>
      <c r="X91" s="14" cm="1">
        <f t="array" ref="X91">INT(SUMPRODUCT(--ISNUMBER(SEARCH(voting,C91)))&gt;0)</f>
        <v>0</v>
      </c>
      <c r="Y91" s="14" cm="1">
        <f t="array" ref="Y91">INT(SUMPRODUCT(--ISNUMBER(SEARCH(democrattrigger,C91)))&gt;0)</f>
        <v>0</v>
      </c>
      <c r="Z91" s="14" cm="1">
        <f t="array" ref="Z91">INT(SUMPRODUCT(--ISNUMBER(SEARCH(bipartisan,C91)))&gt;0)</f>
        <v>0</v>
      </c>
      <c r="AA91" s="14">
        <f t="shared" si="1"/>
        <v>0</v>
      </c>
      <c r="AB91" s="14"/>
      <c r="AC91" s="30" t="s">
        <v>223</v>
      </c>
      <c r="AD91" s="37" t="s">
        <v>223</v>
      </c>
    </row>
    <row r="92" spans="1:30" x14ac:dyDescent="0.25">
      <c r="A92" s="36">
        <v>3497</v>
      </c>
      <c r="B92" s="14" t="s">
        <v>7619</v>
      </c>
      <c r="C92" s="14" t="s">
        <v>7620</v>
      </c>
      <c r="D92" s="17">
        <v>44122</v>
      </c>
      <c r="E92" s="14" t="s">
        <v>30</v>
      </c>
      <c r="F92" s="14">
        <v>937</v>
      </c>
      <c r="G92" s="14">
        <v>263</v>
      </c>
      <c r="H92" s="14">
        <v>16</v>
      </c>
      <c r="I92" s="14">
        <v>8</v>
      </c>
      <c r="J92" s="14" t="s">
        <v>204</v>
      </c>
      <c r="K92" s="14" cm="1">
        <f t="array" ref="K92">INT(SUMPRODUCT(--ISNUMBER(SEARCH(economy,C92)))&gt;0)</f>
        <v>0</v>
      </c>
      <c r="L92" s="14" cm="1">
        <f t="array" ref="L92">INT(SUMPRODUCT(--ISNUMBER(SEARCH(healthcare,C92)))&gt;0)</f>
        <v>0</v>
      </c>
      <c r="M92" s="14" cm="1">
        <f t="array" ref="M92">INT(SUMPRODUCT(--ISNUMBER(SEARCH(supreme,C92)))&gt;0)</f>
        <v>0</v>
      </c>
      <c r="N92" s="14" cm="1">
        <f t="array" ref="N92">INT(SUMPRODUCT(--ISNUMBER(SEARCH(covid,C92)))&gt;0)</f>
        <v>0</v>
      </c>
      <c r="O92" s="14" cm="1">
        <f t="array" ref="O92">INT(SUMPRODUCT(--ISNUMBER(SEARCH(violent,C92)))&gt;0)</f>
        <v>0</v>
      </c>
      <c r="P92" s="14" cm="1">
        <f t="array" ref="P92">INT(SUMPRODUCT(--ISNUMBER(SEARCH(foreign,C92)))&gt;0)</f>
        <v>0</v>
      </c>
      <c r="Q92" s="14" cm="1">
        <f t="array" ref="Q92">INT(SUMPRODUCT(--ISNUMBER(SEARCH(gun,C92)))&gt;0)</f>
        <v>0</v>
      </c>
      <c r="R92" s="14" cm="1">
        <f t="array" ref="R92">INT(SUMPRODUCT(--ISNUMBER(SEARCH(race,C92)))&gt;0)</f>
        <v>1</v>
      </c>
      <c r="S92" s="14" cm="1">
        <f t="array" ref="S92">INT(SUMPRODUCT(--ISNUMBER(SEARCH(immigration,C92)))&gt;0)</f>
        <v>0</v>
      </c>
      <c r="T92" s="14" cm="1">
        <f t="array" ref="T92">INT(SUMPRODUCT(--ISNUMBER(SEARCH(econineq,C93)))&gt;0)</f>
        <v>0</v>
      </c>
      <c r="U92" s="14" cm="1">
        <f t="array" ref="U92">INT(SUMPRODUCT(--ISNUMBER(SEARCH(climate,C92)))&gt;0)</f>
        <v>0</v>
      </c>
      <c r="V92" s="14" cm="1">
        <f t="array" ref="V92">INT(SUMPRODUCT(--ISNUMBER(SEARCH(abortion,C92)))&gt;0)</f>
        <v>0</v>
      </c>
      <c r="W92" s="14" cm="1">
        <f t="array" ref="W92">INT(SUMPRODUCT(--ISNUMBER(SEARCH(trump,C92)))&gt;0)</f>
        <v>0</v>
      </c>
      <c r="X92" s="14" cm="1">
        <f t="array" ref="X92">INT(SUMPRODUCT(--ISNUMBER(SEARCH(voting,C92)))&gt;0)</f>
        <v>1</v>
      </c>
      <c r="Y92" s="14" cm="1">
        <f t="array" ref="Y92">INT(SUMPRODUCT(--ISNUMBER(SEARCH(democrattrigger,C92)))&gt;0)</f>
        <v>0</v>
      </c>
      <c r="Z92" s="14" cm="1">
        <f t="array" ref="Z92">INT(SUMPRODUCT(--ISNUMBER(SEARCH(bipartisan,C92)))&gt;0)</f>
        <v>0</v>
      </c>
      <c r="AA92" s="14">
        <f t="shared" si="1"/>
        <v>0</v>
      </c>
      <c r="AB92" s="14"/>
      <c r="AC92" s="30">
        <v>1</v>
      </c>
      <c r="AD92" s="37">
        <v>0</v>
      </c>
    </row>
    <row r="93" spans="1:30" x14ac:dyDescent="0.25">
      <c r="A93" s="36">
        <v>3498</v>
      </c>
      <c r="B93" s="14" t="s">
        <v>7621</v>
      </c>
      <c r="C93" s="14" t="s">
        <v>7622</v>
      </c>
      <c r="D93" s="17">
        <v>44122</v>
      </c>
      <c r="E93" s="14" t="s">
        <v>30</v>
      </c>
      <c r="F93" s="14">
        <v>627</v>
      </c>
      <c r="G93" s="14">
        <v>291</v>
      </c>
      <c r="H93" s="14">
        <v>16</v>
      </c>
      <c r="I93" s="14">
        <v>8</v>
      </c>
      <c r="J93" s="14" t="s">
        <v>204</v>
      </c>
      <c r="K93" s="14" cm="1">
        <f t="array" ref="K93">INT(SUMPRODUCT(--ISNUMBER(SEARCH(economy,C93)))&gt;0)</f>
        <v>0</v>
      </c>
      <c r="L93" s="14" cm="1">
        <f t="array" ref="L93">INT(SUMPRODUCT(--ISNUMBER(SEARCH(healthcare,C93)))&gt;0)</f>
        <v>0</v>
      </c>
      <c r="M93" s="14" cm="1">
        <f t="array" ref="M93">INT(SUMPRODUCT(--ISNUMBER(SEARCH(supreme,C93)))&gt;0)</f>
        <v>0</v>
      </c>
      <c r="N93" s="14" cm="1">
        <f t="array" ref="N93">INT(SUMPRODUCT(--ISNUMBER(SEARCH(covid,C93)))&gt;0)</f>
        <v>1</v>
      </c>
      <c r="O93" s="14" cm="1">
        <f t="array" ref="O93">INT(SUMPRODUCT(--ISNUMBER(SEARCH(violent,C93)))&gt;0)</f>
        <v>0</v>
      </c>
      <c r="P93" s="14" cm="1">
        <f t="array" ref="P93">INT(SUMPRODUCT(--ISNUMBER(SEARCH(foreign,C93)))&gt;0)</f>
        <v>0</v>
      </c>
      <c r="Q93" s="14" cm="1">
        <f t="array" ref="Q93">INT(SUMPRODUCT(--ISNUMBER(SEARCH(gun,C93)))&gt;0)</f>
        <v>0</v>
      </c>
      <c r="R93" s="14" cm="1">
        <f t="array" ref="R93">INT(SUMPRODUCT(--ISNUMBER(SEARCH(race,C93)))&gt;0)</f>
        <v>0</v>
      </c>
      <c r="S93" s="14" cm="1">
        <f t="array" ref="S93">INT(SUMPRODUCT(--ISNUMBER(SEARCH(immigration,C93)))&gt;0)</f>
        <v>0</v>
      </c>
      <c r="T93" s="14" cm="1">
        <f t="array" ref="T93">INT(SUMPRODUCT(--ISNUMBER(SEARCH(econineq,C94)))&gt;0)</f>
        <v>0</v>
      </c>
      <c r="U93" s="14" cm="1">
        <f t="array" ref="U93">INT(SUMPRODUCT(--ISNUMBER(SEARCH(climate,C93)))&gt;0)</f>
        <v>0</v>
      </c>
      <c r="V93" s="14" cm="1">
        <f t="array" ref="V93">INT(SUMPRODUCT(--ISNUMBER(SEARCH(abortion,C93)))&gt;0)</f>
        <v>0</v>
      </c>
      <c r="W93" s="14" cm="1">
        <f t="array" ref="W93">INT(SUMPRODUCT(--ISNUMBER(SEARCH(trump,C93)))&gt;0)</f>
        <v>0</v>
      </c>
      <c r="X93" s="14" cm="1">
        <f t="array" ref="X93">INT(SUMPRODUCT(--ISNUMBER(SEARCH(voting,C93)))&gt;0)</f>
        <v>0</v>
      </c>
      <c r="Y93" s="14" cm="1">
        <f t="array" ref="Y93">INT(SUMPRODUCT(--ISNUMBER(SEARCH(democrattrigger,C93)))&gt;0)</f>
        <v>1</v>
      </c>
      <c r="Z93" s="14" cm="1">
        <f t="array" ref="Z93">INT(SUMPRODUCT(--ISNUMBER(SEARCH(bipartisan,C93)))&gt;0)</f>
        <v>0</v>
      </c>
      <c r="AA93" s="14">
        <f t="shared" si="1"/>
        <v>0</v>
      </c>
      <c r="AB93" s="14"/>
      <c r="AC93" s="30">
        <v>1</v>
      </c>
      <c r="AD93" s="37">
        <v>0</v>
      </c>
    </row>
    <row r="94" spans="1:30" x14ac:dyDescent="0.25">
      <c r="A94" s="36">
        <v>3499</v>
      </c>
      <c r="B94" s="14" t="s">
        <v>7623</v>
      </c>
      <c r="C94" s="14" t="s">
        <v>7624</v>
      </c>
      <c r="D94" s="17">
        <v>44122</v>
      </c>
      <c r="E94" s="14" t="s">
        <v>30</v>
      </c>
      <c r="F94" s="14">
        <v>790</v>
      </c>
      <c r="G94" s="14">
        <v>316</v>
      </c>
      <c r="H94" s="14">
        <v>16</v>
      </c>
      <c r="I94" s="14">
        <v>8</v>
      </c>
      <c r="J94" s="14" t="s">
        <v>204</v>
      </c>
      <c r="K94" s="14" cm="1">
        <f t="array" ref="K94">INT(SUMPRODUCT(--ISNUMBER(SEARCH(economy,C94)))&gt;0)</f>
        <v>0</v>
      </c>
      <c r="L94" s="14" cm="1">
        <f t="array" ref="L94">INT(SUMPRODUCT(--ISNUMBER(SEARCH(healthcare,C94)))&gt;0)</f>
        <v>0</v>
      </c>
      <c r="M94" s="14" cm="1">
        <f t="array" ref="M94">INT(SUMPRODUCT(--ISNUMBER(SEARCH(supreme,C94)))&gt;0)</f>
        <v>0</v>
      </c>
      <c r="N94" s="14" cm="1">
        <f t="array" ref="N94">INT(SUMPRODUCT(--ISNUMBER(SEARCH(covid,C94)))&gt;0)</f>
        <v>1</v>
      </c>
      <c r="O94" s="14" cm="1">
        <f t="array" ref="O94">INT(SUMPRODUCT(--ISNUMBER(SEARCH(violent,C94)))&gt;0)</f>
        <v>0</v>
      </c>
      <c r="P94" s="14" cm="1">
        <f t="array" ref="P94">INT(SUMPRODUCT(--ISNUMBER(SEARCH(foreign,C94)))&gt;0)</f>
        <v>0</v>
      </c>
      <c r="Q94" s="14" cm="1">
        <f t="array" ref="Q94">INT(SUMPRODUCT(--ISNUMBER(SEARCH(gun,C94)))&gt;0)</f>
        <v>0</v>
      </c>
      <c r="R94" s="14" cm="1">
        <f t="array" ref="R94">INT(SUMPRODUCT(--ISNUMBER(SEARCH(race,C94)))&gt;0)</f>
        <v>0</v>
      </c>
      <c r="S94" s="14" cm="1">
        <f t="array" ref="S94">INT(SUMPRODUCT(--ISNUMBER(SEARCH(immigration,C94)))&gt;0)</f>
        <v>0</v>
      </c>
      <c r="T94" s="14" cm="1">
        <f t="array" ref="T94">INT(SUMPRODUCT(--ISNUMBER(SEARCH(econineq,C95)))&gt;0)</f>
        <v>0</v>
      </c>
      <c r="U94" s="14" cm="1">
        <f t="array" ref="U94">INT(SUMPRODUCT(--ISNUMBER(SEARCH(climate,C94)))&gt;0)</f>
        <v>0</v>
      </c>
      <c r="V94" s="14" cm="1">
        <f t="array" ref="V94">INT(SUMPRODUCT(--ISNUMBER(SEARCH(abortion,C94)))&gt;0)</f>
        <v>0</v>
      </c>
      <c r="W94" s="14" cm="1">
        <f t="array" ref="W94">INT(SUMPRODUCT(--ISNUMBER(SEARCH(trump,C94)))&gt;0)</f>
        <v>0</v>
      </c>
      <c r="X94" s="14" cm="1">
        <f t="array" ref="X94">INT(SUMPRODUCT(--ISNUMBER(SEARCH(voting,C94)))&gt;0)</f>
        <v>0</v>
      </c>
      <c r="Y94" s="14" cm="1">
        <f t="array" ref="Y94">INT(SUMPRODUCT(--ISNUMBER(SEARCH(democrattrigger,C94)))&gt;0)</f>
        <v>0</v>
      </c>
      <c r="Z94" s="14" cm="1">
        <f t="array" ref="Z94">INT(SUMPRODUCT(--ISNUMBER(SEARCH(bipartisan,C94)))&gt;0)</f>
        <v>0</v>
      </c>
      <c r="AA94" s="14">
        <f t="shared" si="1"/>
        <v>0</v>
      </c>
      <c r="AB94" s="14"/>
      <c r="AC94" s="30" t="s">
        <v>223</v>
      </c>
      <c r="AD94" s="37" t="s">
        <v>223</v>
      </c>
    </row>
    <row r="95" spans="1:30" x14ac:dyDescent="0.25">
      <c r="A95" s="36">
        <v>3500</v>
      </c>
      <c r="B95" s="14" t="s">
        <v>7625</v>
      </c>
      <c r="C95" s="14" t="s">
        <v>7626</v>
      </c>
      <c r="D95" s="17">
        <v>44122</v>
      </c>
      <c r="E95" s="14" t="s">
        <v>30</v>
      </c>
      <c r="F95" s="14">
        <v>1207</v>
      </c>
      <c r="G95" s="14">
        <v>418</v>
      </c>
      <c r="H95" s="14">
        <v>16</v>
      </c>
      <c r="I95" s="14">
        <v>8</v>
      </c>
      <c r="J95" s="14" t="s">
        <v>204</v>
      </c>
      <c r="K95" s="14" cm="1">
        <f t="array" ref="K95">INT(SUMPRODUCT(--ISNUMBER(SEARCH(economy,C95)))&gt;0)</f>
        <v>0</v>
      </c>
      <c r="L95" s="14" cm="1">
        <f t="array" ref="L95">INT(SUMPRODUCT(--ISNUMBER(SEARCH(healthcare,C95)))&gt;0)</f>
        <v>0</v>
      </c>
      <c r="M95" s="14" cm="1">
        <f t="array" ref="M95">INT(SUMPRODUCT(--ISNUMBER(SEARCH(supreme,C95)))&gt;0)</f>
        <v>0</v>
      </c>
      <c r="N95" s="14" cm="1">
        <f t="array" ref="N95">INT(SUMPRODUCT(--ISNUMBER(SEARCH(covid,C95)))&gt;0)</f>
        <v>0</v>
      </c>
      <c r="O95" s="14" cm="1">
        <f t="array" ref="O95">INT(SUMPRODUCT(--ISNUMBER(SEARCH(violent,C95)))&gt;0)</f>
        <v>0</v>
      </c>
      <c r="P95" s="14" cm="1">
        <f t="array" ref="P95">INT(SUMPRODUCT(--ISNUMBER(SEARCH(foreign,C95)))&gt;0)</f>
        <v>0</v>
      </c>
      <c r="Q95" s="14" cm="1">
        <f t="array" ref="Q95">INT(SUMPRODUCT(--ISNUMBER(SEARCH(gun,C95)))&gt;0)</f>
        <v>0</v>
      </c>
      <c r="R95" s="14" cm="1">
        <f t="array" ref="R95">INT(SUMPRODUCT(--ISNUMBER(SEARCH(race,C95)))&gt;0)</f>
        <v>0</v>
      </c>
      <c r="S95" s="14" cm="1">
        <f t="array" ref="S95">INT(SUMPRODUCT(--ISNUMBER(SEARCH(immigration,C95)))&gt;0)</f>
        <v>0</v>
      </c>
      <c r="T95" s="14" cm="1">
        <f t="array" ref="T95">INT(SUMPRODUCT(--ISNUMBER(SEARCH(econineq,C96)))&gt;0)</f>
        <v>0</v>
      </c>
      <c r="U95" s="14" cm="1">
        <f t="array" ref="U95">INT(SUMPRODUCT(--ISNUMBER(SEARCH(climate,C95)))&gt;0)</f>
        <v>0</v>
      </c>
      <c r="V95" s="14" cm="1">
        <f t="array" ref="V95">INT(SUMPRODUCT(--ISNUMBER(SEARCH(abortion,C95)))&gt;0)</f>
        <v>0</v>
      </c>
      <c r="W95" s="14" cm="1">
        <f t="array" ref="W95">INT(SUMPRODUCT(--ISNUMBER(SEARCH(trump,C95)))&gt;0)</f>
        <v>0</v>
      </c>
      <c r="X95" s="14" cm="1">
        <f t="array" ref="X95">INT(SUMPRODUCT(--ISNUMBER(SEARCH(voting,C95)))&gt;0)</f>
        <v>1</v>
      </c>
      <c r="Y95" s="14" cm="1">
        <f t="array" ref="Y95">INT(SUMPRODUCT(--ISNUMBER(SEARCH(democrattrigger,C95)))&gt;0)</f>
        <v>0</v>
      </c>
      <c r="Z95" s="14" cm="1">
        <f t="array" ref="Z95">INT(SUMPRODUCT(--ISNUMBER(SEARCH(bipartisan,C95)))&gt;0)</f>
        <v>0</v>
      </c>
      <c r="AA95" s="14">
        <f t="shared" si="1"/>
        <v>0</v>
      </c>
      <c r="AB95" s="14"/>
      <c r="AC95" s="30">
        <v>1</v>
      </c>
      <c r="AD95" s="37">
        <v>0</v>
      </c>
    </row>
    <row r="96" spans="1:30" x14ac:dyDescent="0.25">
      <c r="A96" s="36">
        <v>3501</v>
      </c>
      <c r="B96" s="14" t="s">
        <v>7627</v>
      </c>
      <c r="C96" s="14" t="s">
        <v>7628</v>
      </c>
      <c r="D96" s="17">
        <v>44121</v>
      </c>
      <c r="E96" s="14" t="s">
        <v>30</v>
      </c>
      <c r="F96" s="14">
        <v>1464</v>
      </c>
      <c r="G96" s="14">
        <v>289</v>
      </c>
      <c r="H96" s="14">
        <v>16</v>
      </c>
      <c r="I96" s="14">
        <v>8</v>
      </c>
      <c r="J96" s="14" t="s">
        <v>204</v>
      </c>
      <c r="K96" s="14" cm="1">
        <f t="array" ref="K96">INT(SUMPRODUCT(--ISNUMBER(SEARCH(economy,C96)))&gt;0)</f>
        <v>0</v>
      </c>
      <c r="L96" s="14" cm="1">
        <f t="array" ref="L96">INT(SUMPRODUCT(--ISNUMBER(SEARCH(healthcare,C96)))&gt;0)</f>
        <v>0</v>
      </c>
      <c r="M96" s="14" cm="1">
        <f t="array" ref="M96">INT(SUMPRODUCT(--ISNUMBER(SEARCH(supreme,C96)))&gt;0)</f>
        <v>0</v>
      </c>
      <c r="N96" s="14" cm="1">
        <f t="array" ref="N96">INT(SUMPRODUCT(--ISNUMBER(SEARCH(covid,C96)))&gt;0)</f>
        <v>0</v>
      </c>
      <c r="O96" s="14" cm="1">
        <f t="array" ref="O96">INT(SUMPRODUCT(--ISNUMBER(SEARCH(violent,C96)))&gt;0)</f>
        <v>0</v>
      </c>
      <c r="P96" s="14" cm="1">
        <f t="array" ref="P96">INT(SUMPRODUCT(--ISNUMBER(SEARCH(foreign,C96)))&gt;0)</f>
        <v>0</v>
      </c>
      <c r="Q96" s="14" cm="1">
        <f t="array" ref="Q96">INT(SUMPRODUCT(--ISNUMBER(SEARCH(gun,C96)))&gt;0)</f>
        <v>1</v>
      </c>
      <c r="R96" s="14" cm="1">
        <f t="array" ref="R96">INT(SUMPRODUCT(--ISNUMBER(SEARCH(race,C96)))&gt;0)</f>
        <v>0</v>
      </c>
      <c r="S96" s="14" cm="1">
        <f t="array" ref="S96">INT(SUMPRODUCT(--ISNUMBER(SEARCH(immigration,C96)))&gt;0)</f>
        <v>0</v>
      </c>
      <c r="T96" s="14" cm="1">
        <f t="array" ref="T96">INT(SUMPRODUCT(--ISNUMBER(SEARCH(econineq,C97)))&gt;0)</f>
        <v>0</v>
      </c>
      <c r="U96" s="14" cm="1">
        <f t="array" ref="U96">INT(SUMPRODUCT(--ISNUMBER(SEARCH(climate,C96)))&gt;0)</f>
        <v>0</v>
      </c>
      <c r="V96" s="14" cm="1">
        <f t="array" ref="V96">INT(SUMPRODUCT(--ISNUMBER(SEARCH(abortion,C96)))&gt;0)</f>
        <v>0</v>
      </c>
      <c r="W96" s="14" cm="1">
        <f t="array" ref="W96">INT(SUMPRODUCT(--ISNUMBER(SEARCH(trump,C96)))&gt;0)</f>
        <v>0</v>
      </c>
      <c r="X96" s="14" cm="1">
        <f t="array" ref="X96">INT(SUMPRODUCT(--ISNUMBER(SEARCH(voting,C96)))&gt;0)</f>
        <v>1</v>
      </c>
      <c r="Y96" s="14" cm="1">
        <f t="array" ref="Y96">INT(SUMPRODUCT(--ISNUMBER(SEARCH(democrattrigger,C96)))&gt;0)</f>
        <v>0</v>
      </c>
      <c r="Z96" s="14" cm="1">
        <f t="array" ref="Z96">INT(SUMPRODUCT(--ISNUMBER(SEARCH(bipartisan,C96)))&gt;0)</f>
        <v>0</v>
      </c>
      <c r="AA96" s="14">
        <f t="shared" si="1"/>
        <v>0</v>
      </c>
      <c r="AB96" s="14"/>
      <c r="AC96" s="30" t="s">
        <v>223</v>
      </c>
      <c r="AD96" s="37" t="s">
        <v>223</v>
      </c>
    </row>
    <row r="97" spans="1:30" x14ac:dyDescent="0.25">
      <c r="A97" s="36">
        <v>3502</v>
      </c>
      <c r="B97" s="14" t="s">
        <v>7629</v>
      </c>
      <c r="C97" s="14" t="s">
        <v>7630</v>
      </c>
      <c r="D97" s="17">
        <v>44121</v>
      </c>
      <c r="E97" s="14" t="s">
        <v>30</v>
      </c>
      <c r="F97" s="14">
        <v>714</v>
      </c>
      <c r="G97" s="14">
        <v>322</v>
      </c>
      <c r="H97" s="14">
        <v>16</v>
      </c>
      <c r="I97" s="14">
        <v>8</v>
      </c>
      <c r="J97" s="14" t="s">
        <v>204</v>
      </c>
      <c r="K97" s="14" cm="1">
        <f t="array" ref="K97">INT(SUMPRODUCT(--ISNUMBER(SEARCH(economy,C97)))&gt;0)</f>
        <v>0</v>
      </c>
      <c r="L97" s="14" cm="1">
        <f t="array" ref="L97">INT(SUMPRODUCT(--ISNUMBER(SEARCH(healthcare,C97)))&gt;0)</f>
        <v>1</v>
      </c>
      <c r="M97" s="14" cm="1">
        <f t="array" ref="M97">INT(SUMPRODUCT(--ISNUMBER(SEARCH(supreme,C97)))&gt;0)</f>
        <v>0</v>
      </c>
      <c r="N97" s="14" cm="1">
        <f t="array" ref="N97">INT(SUMPRODUCT(--ISNUMBER(SEARCH(covid,C97)))&gt;0)</f>
        <v>0</v>
      </c>
      <c r="O97" s="14" cm="1">
        <f t="array" ref="O97">INT(SUMPRODUCT(--ISNUMBER(SEARCH(violent,C97)))&gt;0)</f>
        <v>0</v>
      </c>
      <c r="P97" s="14" cm="1">
        <f t="array" ref="P97">INT(SUMPRODUCT(--ISNUMBER(SEARCH(foreign,C97)))&gt;0)</f>
        <v>0</v>
      </c>
      <c r="Q97" s="14" cm="1">
        <f t="array" ref="Q97">INT(SUMPRODUCT(--ISNUMBER(SEARCH(gun,C97)))&gt;0)</f>
        <v>0</v>
      </c>
      <c r="R97" s="14" cm="1">
        <f t="array" ref="R97">INT(SUMPRODUCT(--ISNUMBER(SEARCH(race,C97)))&gt;0)</f>
        <v>0</v>
      </c>
      <c r="S97" s="14" cm="1">
        <f t="array" ref="S97">INT(SUMPRODUCT(--ISNUMBER(SEARCH(immigration,C97)))&gt;0)</f>
        <v>0</v>
      </c>
      <c r="T97" s="14" cm="1">
        <f t="array" ref="T97">INT(SUMPRODUCT(--ISNUMBER(SEARCH(econineq,C98)))&gt;0)</f>
        <v>0</v>
      </c>
      <c r="U97" s="14" cm="1">
        <f t="array" ref="U97">INT(SUMPRODUCT(--ISNUMBER(SEARCH(climate,C97)))&gt;0)</f>
        <v>0</v>
      </c>
      <c r="V97" s="14" cm="1">
        <f t="array" ref="V97">INT(SUMPRODUCT(--ISNUMBER(SEARCH(abortion,C97)))&gt;0)</f>
        <v>0</v>
      </c>
      <c r="W97" s="14" cm="1">
        <f t="array" ref="W97">INT(SUMPRODUCT(--ISNUMBER(SEARCH(trump,C97)))&gt;0)</f>
        <v>0</v>
      </c>
      <c r="X97" s="14" cm="1">
        <f t="array" ref="X97">INT(SUMPRODUCT(--ISNUMBER(SEARCH(voting,C97)))&gt;0)</f>
        <v>0</v>
      </c>
      <c r="Y97" s="14" cm="1">
        <f t="array" ref="Y97">INT(SUMPRODUCT(--ISNUMBER(SEARCH(democrattrigger,C97)))&gt;0)</f>
        <v>1</v>
      </c>
      <c r="Z97" s="14" cm="1">
        <f t="array" ref="Z97">INT(SUMPRODUCT(--ISNUMBER(SEARCH(bipartisan,C97)))&gt;0)</f>
        <v>0</v>
      </c>
      <c r="AA97" s="14">
        <f t="shared" si="1"/>
        <v>0</v>
      </c>
      <c r="AB97" s="14"/>
      <c r="AC97" s="30">
        <v>1</v>
      </c>
      <c r="AD97" s="37">
        <v>0</v>
      </c>
    </row>
    <row r="98" spans="1:30" x14ac:dyDescent="0.25">
      <c r="A98" s="36">
        <v>3503</v>
      </c>
      <c r="B98" s="14" t="s">
        <v>7631</v>
      </c>
      <c r="C98" s="14" t="s">
        <v>7632</v>
      </c>
      <c r="D98" s="17">
        <v>44121</v>
      </c>
      <c r="E98" s="14" t="s">
        <v>30</v>
      </c>
      <c r="F98" s="14">
        <v>547</v>
      </c>
      <c r="G98" s="14">
        <v>177</v>
      </c>
      <c r="H98" s="14">
        <v>16</v>
      </c>
      <c r="I98" s="14">
        <v>8</v>
      </c>
      <c r="J98" s="14" t="s">
        <v>204</v>
      </c>
      <c r="K98" s="14" cm="1">
        <f t="array" ref="K98">INT(SUMPRODUCT(--ISNUMBER(SEARCH(economy,C98)))&gt;0)</f>
        <v>1</v>
      </c>
      <c r="L98" s="14" cm="1">
        <f t="array" ref="L98">INT(SUMPRODUCT(--ISNUMBER(SEARCH(healthcare,C98)))&gt;0)</f>
        <v>1</v>
      </c>
      <c r="M98" s="14" cm="1">
        <f t="array" ref="M98">INT(SUMPRODUCT(--ISNUMBER(SEARCH(supreme,C98)))&gt;0)</f>
        <v>0</v>
      </c>
      <c r="N98" s="14" cm="1">
        <f t="array" ref="N98">INT(SUMPRODUCT(--ISNUMBER(SEARCH(covid,C98)))&gt;0)</f>
        <v>0</v>
      </c>
      <c r="O98" s="14" cm="1">
        <f t="array" ref="O98">INT(SUMPRODUCT(--ISNUMBER(SEARCH(violent,C98)))&gt;0)</f>
        <v>0</v>
      </c>
      <c r="P98" s="14" cm="1">
        <f t="array" ref="P98">INT(SUMPRODUCT(--ISNUMBER(SEARCH(foreign,C98)))&gt;0)</f>
        <v>0</v>
      </c>
      <c r="Q98" s="14" cm="1">
        <f t="array" ref="Q98">INT(SUMPRODUCT(--ISNUMBER(SEARCH(gun,C98)))&gt;0)</f>
        <v>0</v>
      </c>
      <c r="R98" s="14" cm="1">
        <f t="array" ref="R98">INT(SUMPRODUCT(--ISNUMBER(SEARCH(race,C98)))&gt;0)</f>
        <v>0</v>
      </c>
      <c r="S98" s="14" cm="1">
        <f t="array" ref="S98">INT(SUMPRODUCT(--ISNUMBER(SEARCH(immigration,C98)))&gt;0)</f>
        <v>0</v>
      </c>
      <c r="T98" s="14" cm="1">
        <f t="array" ref="T98">INT(SUMPRODUCT(--ISNUMBER(SEARCH(econineq,C99)))&gt;0)</f>
        <v>0</v>
      </c>
      <c r="U98" s="14" cm="1">
        <f t="array" ref="U98">INT(SUMPRODUCT(--ISNUMBER(SEARCH(climate,C98)))&gt;0)</f>
        <v>0</v>
      </c>
      <c r="V98" s="14" cm="1">
        <f t="array" ref="V98">INT(SUMPRODUCT(--ISNUMBER(SEARCH(abortion,C98)))&gt;0)</f>
        <v>0</v>
      </c>
      <c r="W98" s="14" cm="1">
        <f t="array" ref="W98">INT(SUMPRODUCT(--ISNUMBER(SEARCH(trump,C98)))&gt;0)</f>
        <v>0</v>
      </c>
      <c r="X98" s="14" cm="1">
        <f t="array" ref="X98">INT(SUMPRODUCT(--ISNUMBER(SEARCH(voting,C98)))&gt;0)</f>
        <v>0</v>
      </c>
      <c r="Y98" s="14" cm="1">
        <f t="array" ref="Y98">INT(SUMPRODUCT(--ISNUMBER(SEARCH(democrattrigger,C98)))&gt;0)</f>
        <v>0</v>
      </c>
      <c r="Z98" s="14" cm="1">
        <f t="array" ref="Z98">INT(SUMPRODUCT(--ISNUMBER(SEARCH(bipartisan,C98)))&gt;0)</f>
        <v>0</v>
      </c>
      <c r="AA98" s="14">
        <f t="shared" si="1"/>
        <v>0</v>
      </c>
      <c r="AB98" s="14"/>
      <c r="AC98" s="30">
        <v>0</v>
      </c>
      <c r="AD98" s="37">
        <v>1</v>
      </c>
    </row>
    <row r="99" spans="1:30" x14ac:dyDescent="0.25">
      <c r="A99" s="36">
        <v>3504</v>
      </c>
      <c r="B99" s="14" t="s">
        <v>7633</v>
      </c>
      <c r="C99" s="14" t="s">
        <v>7634</v>
      </c>
      <c r="D99" s="17">
        <v>44120</v>
      </c>
      <c r="E99" s="14" t="s">
        <v>30</v>
      </c>
      <c r="F99" s="14">
        <v>757</v>
      </c>
      <c r="G99" s="14">
        <v>247</v>
      </c>
      <c r="H99" s="14">
        <v>16</v>
      </c>
      <c r="I99" s="14">
        <v>8</v>
      </c>
      <c r="J99" s="14" t="s">
        <v>204</v>
      </c>
      <c r="K99" s="14" cm="1">
        <f t="array" ref="K99">INT(SUMPRODUCT(--ISNUMBER(SEARCH(economy,C99)))&gt;0)</f>
        <v>0</v>
      </c>
      <c r="L99" s="14" cm="1">
        <f t="array" ref="L99">INT(SUMPRODUCT(--ISNUMBER(SEARCH(healthcare,C99)))&gt;0)</f>
        <v>1</v>
      </c>
      <c r="M99" s="14" cm="1">
        <f t="array" ref="M99">INT(SUMPRODUCT(--ISNUMBER(SEARCH(supreme,C99)))&gt;0)</f>
        <v>1</v>
      </c>
      <c r="N99" s="14" cm="1">
        <f t="array" ref="N99">INT(SUMPRODUCT(--ISNUMBER(SEARCH(covid,C99)))&gt;0)</f>
        <v>0</v>
      </c>
      <c r="O99" s="14" cm="1">
        <f t="array" ref="O99">INT(SUMPRODUCT(--ISNUMBER(SEARCH(violent,C99)))&gt;0)</f>
        <v>0</v>
      </c>
      <c r="P99" s="14" cm="1">
        <f t="array" ref="P99">INT(SUMPRODUCT(--ISNUMBER(SEARCH(foreign,C99)))&gt;0)</f>
        <v>0</v>
      </c>
      <c r="Q99" s="14" cm="1">
        <f t="array" ref="Q99">INT(SUMPRODUCT(--ISNUMBER(SEARCH(gun,C99)))&gt;0)</f>
        <v>0</v>
      </c>
      <c r="R99" s="14" cm="1">
        <f t="array" ref="R99">INT(SUMPRODUCT(--ISNUMBER(SEARCH(race,C99)))&gt;0)</f>
        <v>0</v>
      </c>
      <c r="S99" s="14" cm="1">
        <f t="array" ref="S99">INT(SUMPRODUCT(--ISNUMBER(SEARCH(immigration,C99)))&gt;0)</f>
        <v>0</v>
      </c>
      <c r="T99" s="14" cm="1">
        <f t="array" ref="T99">INT(SUMPRODUCT(--ISNUMBER(SEARCH(econineq,C100)))&gt;0)</f>
        <v>0</v>
      </c>
      <c r="U99" s="14" cm="1">
        <f t="array" ref="U99">INT(SUMPRODUCT(--ISNUMBER(SEARCH(climate,C99)))&gt;0)</f>
        <v>0</v>
      </c>
      <c r="V99" s="14" cm="1">
        <f t="array" ref="V99">INT(SUMPRODUCT(--ISNUMBER(SEARCH(abortion,C99)))&gt;0)</f>
        <v>0</v>
      </c>
      <c r="W99" s="14" cm="1">
        <f t="array" ref="W99">INT(SUMPRODUCT(--ISNUMBER(SEARCH(trump,C99)))&gt;0)</f>
        <v>0</v>
      </c>
      <c r="X99" s="14" cm="1">
        <f t="array" ref="X99">INT(SUMPRODUCT(--ISNUMBER(SEARCH(voting,C99)))&gt;0)</f>
        <v>0</v>
      </c>
      <c r="Y99" s="14" cm="1">
        <f t="array" ref="Y99">INT(SUMPRODUCT(--ISNUMBER(SEARCH(democrattrigger,C99)))&gt;0)</f>
        <v>1</v>
      </c>
      <c r="Z99" s="14" cm="1">
        <f t="array" ref="Z99">INT(SUMPRODUCT(--ISNUMBER(SEARCH(bipartisan,C99)))&gt;0)</f>
        <v>0</v>
      </c>
      <c r="AA99" s="14">
        <f t="shared" si="1"/>
        <v>0</v>
      </c>
      <c r="AB99" s="14"/>
      <c r="AC99" s="30" t="s">
        <v>223</v>
      </c>
      <c r="AD99" s="37" t="s">
        <v>223</v>
      </c>
    </row>
    <row r="100" spans="1:30" x14ac:dyDescent="0.25">
      <c r="A100" s="36">
        <v>3505</v>
      </c>
      <c r="B100" s="14" t="s">
        <v>7635</v>
      </c>
      <c r="C100" s="14" t="s">
        <v>7636</v>
      </c>
      <c r="D100" s="17">
        <v>44120</v>
      </c>
      <c r="E100" s="14" t="s">
        <v>30</v>
      </c>
      <c r="F100" s="14">
        <v>505</v>
      </c>
      <c r="G100" s="14">
        <v>187</v>
      </c>
      <c r="H100" s="14">
        <v>16</v>
      </c>
      <c r="I100" s="14">
        <v>8</v>
      </c>
      <c r="J100" s="14" t="s">
        <v>204</v>
      </c>
      <c r="K100" s="14" cm="1">
        <f t="array" ref="K100">INT(SUMPRODUCT(--ISNUMBER(SEARCH(economy,C100)))&gt;0)</f>
        <v>0</v>
      </c>
      <c r="L100" s="14" cm="1">
        <f t="array" ref="L100">INT(SUMPRODUCT(--ISNUMBER(SEARCH(healthcare,C100)))&gt;0)</f>
        <v>0</v>
      </c>
      <c r="M100" s="14" cm="1">
        <f t="array" ref="M100">INT(SUMPRODUCT(--ISNUMBER(SEARCH(supreme,C100)))&gt;0)</f>
        <v>0</v>
      </c>
      <c r="N100" s="14" cm="1">
        <f t="array" ref="N100">INT(SUMPRODUCT(--ISNUMBER(SEARCH(covid,C100)))&gt;0)</f>
        <v>1</v>
      </c>
      <c r="O100" s="14" cm="1">
        <f t="array" ref="O100">INT(SUMPRODUCT(--ISNUMBER(SEARCH(violent,C100)))&gt;0)</f>
        <v>0</v>
      </c>
      <c r="P100" s="14" cm="1">
        <f t="array" ref="P100">INT(SUMPRODUCT(--ISNUMBER(SEARCH(foreign,C100)))&gt;0)</f>
        <v>0</v>
      </c>
      <c r="Q100" s="14" cm="1">
        <f t="array" ref="Q100">INT(SUMPRODUCT(--ISNUMBER(SEARCH(gun,C100)))&gt;0)</f>
        <v>0</v>
      </c>
      <c r="R100" s="14" cm="1">
        <f t="array" ref="R100">INT(SUMPRODUCT(--ISNUMBER(SEARCH(race,C100)))&gt;0)</f>
        <v>0</v>
      </c>
      <c r="S100" s="14" cm="1">
        <f t="array" ref="S100">INT(SUMPRODUCT(--ISNUMBER(SEARCH(immigration,C100)))&gt;0)</f>
        <v>0</v>
      </c>
      <c r="T100" s="14" cm="1">
        <f t="array" ref="T100">INT(SUMPRODUCT(--ISNUMBER(SEARCH(econineq,C101)))&gt;0)</f>
        <v>0</v>
      </c>
      <c r="U100" s="14" cm="1">
        <f t="array" ref="U100">INT(SUMPRODUCT(--ISNUMBER(SEARCH(climate,C100)))&gt;0)</f>
        <v>0</v>
      </c>
      <c r="V100" s="14" cm="1">
        <f t="array" ref="V100">INT(SUMPRODUCT(--ISNUMBER(SEARCH(abortion,C100)))&gt;0)</f>
        <v>0</v>
      </c>
      <c r="W100" s="14" cm="1">
        <f t="array" ref="W100">INT(SUMPRODUCT(--ISNUMBER(SEARCH(trump,C100)))&gt;0)</f>
        <v>0</v>
      </c>
      <c r="X100" s="14" cm="1">
        <f t="array" ref="X100">INT(SUMPRODUCT(--ISNUMBER(SEARCH(voting,C100)))&gt;0)</f>
        <v>0</v>
      </c>
      <c r="Y100" s="14" cm="1">
        <f t="array" ref="Y100">INT(SUMPRODUCT(--ISNUMBER(SEARCH(democrattrigger,C100)))&gt;0)</f>
        <v>0</v>
      </c>
      <c r="Z100" s="14" cm="1">
        <f t="array" ref="Z100">INT(SUMPRODUCT(--ISNUMBER(SEARCH(bipartisan,C100)))&gt;0)</f>
        <v>0</v>
      </c>
      <c r="AA100" s="14">
        <f t="shared" si="1"/>
        <v>0</v>
      </c>
      <c r="AB100" s="14"/>
      <c r="AC100" s="30" t="s">
        <v>223</v>
      </c>
      <c r="AD100" s="37" t="s">
        <v>223</v>
      </c>
    </row>
    <row r="101" spans="1:30" x14ac:dyDescent="0.25">
      <c r="A101" s="36">
        <v>3506</v>
      </c>
      <c r="B101" s="14" t="s">
        <v>7637</v>
      </c>
      <c r="C101" s="14" t="s">
        <v>7638</v>
      </c>
      <c r="D101" s="17">
        <v>44120</v>
      </c>
      <c r="E101" s="14" t="s">
        <v>30</v>
      </c>
      <c r="F101" s="14">
        <v>915</v>
      </c>
      <c r="G101" s="14">
        <v>385</v>
      </c>
      <c r="H101" s="14">
        <v>16</v>
      </c>
      <c r="I101" s="14">
        <v>8</v>
      </c>
      <c r="J101" s="14" t="s">
        <v>204</v>
      </c>
      <c r="K101" s="14" cm="1">
        <f t="array" ref="K101">INT(SUMPRODUCT(--ISNUMBER(SEARCH(economy,C101)))&gt;0)</f>
        <v>0</v>
      </c>
      <c r="L101" s="14" cm="1">
        <f t="array" ref="L101">INT(SUMPRODUCT(--ISNUMBER(SEARCH(healthcare,C101)))&gt;0)</f>
        <v>0</v>
      </c>
      <c r="M101" s="14" cm="1">
        <f t="array" ref="M101">INT(SUMPRODUCT(--ISNUMBER(SEARCH(supreme,C101)))&gt;0)</f>
        <v>0</v>
      </c>
      <c r="N101" s="14" cm="1">
        <f t="array" ref="N101">INT(SUMPRODUCT(--ISNUMBER(SEARCH(covid,C101)))&gt;0)</f>
        <v>0</v>
      </c>
      <c r="O101" s="14" cm="1">
        <f t="array" ref="O101">INT(SUMPRODUCT(--ISNUMBER(SEARCH(violent,C101)))&gt;0)</f>
        <v>0</v>
      </c>
      <c r="P101" s="14" cm="1">
        <f t="array" ref="P101">INT(SUMPRODUCT(--ISNUMBER(SEARCH(foreign,C101)))&gt;0)</f>
        <v>0</v>
      </c>
      <c r="Q101" s="14" cm="1">
        <f t="array" ref="Q101">INT(SUMPRODUCT(--ISNUMBER(SEARCH(gun,C101)))&gt;0)</f>
        <v>0</v>
      </c>
      <c r="R101" s="14" cm="1">
        <f t="array" ref="R101">INT(SUMPRODUCT(--ISNUMBER(SEARCH(race,C101)))&gt;0)</f>
        <v>0</v>
      </c>
      <c r="S101" s="14" cm="1">
        <f t="array" ref="S101">INT(SUMPRODUCT(--ISNUMBER(SEARCH(immigration,C101)))&gt;0)</f>
        <v>0</v>
      </c>
      <c r="T101" s="14" cm="1">
        <f t="array" ref="T101">INT(SUMPRODUCT(--ISNUMBER(SEARCH(econineq,C102)))&gt;0)</f>
        <v>0</v>
      </c>
      <c r="U101" s="14" cm="1">
        <f t="array" ref="U101">INT(SUMPRODUCT(--ISNUMBER(SEARCH(climate,C101)))&gt;0)</f>
        <v>0</v>
      </c>
      <c r="V101" s="14" cm="1">
        <f t="array" ref="V101">INT(SUMPRODUCT(--ISNUMBER(SEARCH(abortion,C101)))&gt;0)</f>
        <v>0</v>
      </c>
      <c r="W101" s="14" cm="1">
        <f t="array" ref="W101">INT(SUMPRODUCT(--ISNUMBER(SEARCH(trump,C101)))&gt;0)</f>
        <v>0</v>
      </c>
      <c r="X101" s="14" cm="1">
        <f t="array" ref="X101">INT(SUMPRODUCT(--ISNUMBER(SEARCH(voting,C101)))&gt;0)</f>
        <v>1</v>
      </c>
      <c r="Y101" s="14" cm="1">
        <f t="array" ref="Y101">INT(SUMPRODUCT(--ISNUMBER(SEARCH(democrattrigger,C101)))&gt;0)</f>
        <v>0</v>
      </c>
      <c r="Z101" s="14" cm="1">
        <f t="array" ref="Z101">INT(SUMPRODUCT(--ISNUMBER(SEARCH(bipartisan,C101)))&gt;0)</f>
        <v>0</v>
      </c>
      <c r="AA101" s="14">
        <f t="shared" si="1"/>
        <v>0</v>
      </c>
      <c r="AB101" s="14"/>
      <c r="AC101" s="30" t="s">
        <v>223</v>
      </c>
      <c r="AD101" s="37" t="s">
        <v>223</v>
      </c>
    </row>
    <row r="102" spans="1:30" x14ac:dyDescent="0.25">
      <c r="A102" s="36">
        <v>3507</v>
      </c>
      <c r="B102" s="14" t="s">
        <v>7639</v>
      </c>
      <c r="C102" s="14" t="s">
        <v>7640</v>
      </c>
      <c r="D102" s="17">
        <v>44120</v>
      </c>
      <c r="E102" s="14" t="s">
        <v>30</v>
      </c>
      <c r="F102" s="14">
        <v>2140</v>
      </c>
      <c r="G102" s="14">
        <v>471</v>
      </c>
      <c r="H102" s="14">
        <v>16</v>
      </c>
      <c r="I102" s="14">
        <v>8</v>
      </c>
      <c r="J102" s="14" t="s">
        <v>204</v>
      </c>
      <c r="K102" s="14" cm="1">
        <f t="array" ref="K102">INT(SUMPRODUCT(--ISNUMBER(SEARCH(economy,C102)))&gt;0)</f>
        <v>0</v>
      </c>
      <c r="L102" s="14" cm="1">
        <f t="array" ref="L102">INT(SUMPRODUCT(--ISNUMBER(SEARCH(healthcare,C102)))&gt;0)</f>
        <v>0</v>
      </c>
      <c r="M102" s="14" cm="1">
        <f t="array" ref="M102">INT(SUMPRODUCT(--ISNUMBER(SEARCH(supreme,C102)))&gt;0)</f>
        <v>0</v>
      </c>
      <c r="N102" s="14" cm="1">
        <f t="array" ref="N102">INT(SUMPRODUCT(--ISNUMBER(SEARCH(covid,C102)))&gt;0)</f>
        <v>0</v>
      </c>
      <c r="O102" s="14" cm="1">
        <f t="array" ref="O102">INT(SUMPRODUCT(--ISNUMBER(SEARCH(violent,C102)))&gt;0)</f>
        <v>0</v>
      </c>
      <c r="P102" s="14" cm="1">
        <f t="array" ref="P102">INT(SUMPRODUCT(--ISNUMBER(SEARCH(foreign,C102)))&gt;0)</f>
        <v>0</v>
      </c>
      <c r="Q102" s="14" cm="1">
        <f t="array" ref="Q102">INT(SUMPRODUCT(--ISNUMBER(SEARCH(gun,C102)))&gt;0)</f>
        <v>0</v>
      </c>
      <c r="R102" s="14" cm="1">
        <f t="array" ref="R102">INT(SUMPRODUCT(--ISNUMBER(SEARCH(race,C102)))&gt;0)</f>
        <v>0</v>
      </c>
      <c r="S102" s="14" cm="1">
        <f t="array" ref="S102">INT(SUMPRODUCT(--ISNUMBER(SEARCH(immigration,C102)))&gt;0)</f>
        <v>0</v>
      </c>
      <c r="T102" s="14" cm="1">
        <f t="array" ref="T102">INT(SUMPRODUCT(--ISNUMBER(SEARCH(econineq,C103)))&gt;0)</f>
        <v>0</v>
      </c>
      <c r="U102" s="14" cm="1">
        <f t="array" ref="U102">INT(SUMPRODUCT(--ISNUMBER(SEARCH(climate,C102)))&gt;0)</f>
        <v>0</v>
      </c>
      <c r="V102" s="14" cm="1">
        <f t="array" ref="V102">INT(SUMPRODUCT(--ISNUMBER(SEARCH(abortion,C102)))&gt;0)</f>
        <v>0</v>
      </c>
      <c r="W102" s="14" cm="1">
        <f t="array" ref="W102">INT(SUMPRODUCT(--ISNUMBER(SEARCH(trump,C102)))&gt;0)</f>
        <v>0</v>
      </c>
      <c r="X102" s="14" cm="1">
        <f t="array" ref="X102">INT(SUMPRODUCT(--ISNUMBER(SEARCH(voting,C102)))&gt;0)</f>
        <v>1</v>
      </c>
      <c r="Y102" s="14" cm="1">
        <f t="array" ref="Y102">INT(SUMPRODUCT(--ISNUMBER(SEARCH(democrattrigger,C102)))&gt;0)</f>
        <v>0</v>
      </c>
      <c r="Z102" s="14" cm="1">
        <f t="array" ref="Z102">INT(SUMPRODUCT(--ISNUMBER(SEARCH(bipartisan,C102)))&gt;0)</f>
        <v>0</v>
      </c>
      <c r="AA102" s="14">
        <f t="shared" si="1"/>
        <v>0</v>
      </c>
      <c r="AB102" s="14"/>
      <c r="AC102" s="30">
        <v>1</v>
      </c>
      <c r="AD102" s="37">
        <v>0</v>
      </c>
    </row>
    <row r="103" spans="1:30" x14ac:dyDescent="0.25">
      <c r="A103" s="36">
        <v>3508</v>
      </c>
      <c r="B103" s="14" t="s">
        <v>7641</v>
      </c>
      <c r="C103" s="14" t="s">
        <v>7642</v>
      </c>
      <c r="D103" s="17">
        <v>44120</v>
      </c>
      <c r="E103" s="14" t="s">
        <v>30</v>
      </c>
      <c r="F103" s="14">
        <v>209</v>
      </c>
      <c r="G103" s="14">
        <v>73</v>
      </c>
      <c r="H103" s="14">
        <v>16</v>
      </c>
      <c r="I103" s="14">
        <v>8</v>
      </c>
      <c r="J103" s="14" t="s">
        <v>204</v>
      </c>
      <c r="K103" s="14" cm="1">
        <f t="array" ref="K103">INT(SUMPRODUCT(--ISNUMBER(SEARCH(economy,C103)))&gt;0)</f>
        <v>1</v>
      </c>
      <c r="L103" s="14" cm="1">
        <f t="array" ref="L103">INT(SUMPRODUCT(--ISNUMBER(SEARCH(healthcare,C103)))&gt;0)</f>
        <v>0</v>
      </c>
      <c r="M103" s="14" cm="1">
        <f t="array" ref="M103">INT(SUMPRODUCT(--ISNUMBER(SEARCH(supreme,C103)))&gt;0)</f>
        <v>0</v>
      </c>
      <c r="N103" s="14" cm="1">
        <f t="array" ref="N103">INT(SUMPRODUCT(--ISNUMBER(SEARCH(covid,C103)))&gt;0)</f>
        <v>1</v>
      </c>
      <c r="O103" s="14" cm="1">
        <f t="array" ref="O103">INT(SUMPRODUCT(--ISNUMBER(SEARCH(violent,C103)))&gt;0)</f>
        <v>0</v>
      </c>
      <c r="P103" s="14" cm="1">
        <f t="array" ref="P103">INT(SUMPRODUCT(--ISNUMBER(SEARCH(foreign,C103)))&gt;0)</f>
        <v>0</v>
      </c>
      <c r="Q103" s="14" cm="1">
        <f t="array" ref="Q103">INT(SUMPRODUCT(--ISNUMBER(SEARCH(gun,C103)))&gt;0)</f>
        <v>0</v>
      </c>
      <c r="R103" s="14" cm="1">
        <f t="array" ref="R103">INT(SUMPRODUCT(--ISNUMBER(SEARCH(race,C103)))&gt;0)</f>
        <v>0</v>
      </c>
      <c r="S103" s="14" cm="1">
        <f t="array" ref="S103">INT(SUMPRODUCT(--ISNUMBER(SEARCH(immigration,C103)))&gt;0)</f>
        <v>0</v>
      </c>
      <c r="T103" s="14" cm="1">
        <f t="array" ref="T103">INT(SUMPRODUCT(--ISNUMBER(SEARCH(econineq,C104)))&gt;0)</f>
        <v>0</v>
      </c>
      <c r="U103" s="14" cm="1">
        <f t="array" ref="U103">INT(SUMPRODUCT(--ISNUMBER(SEARCH(climate,C103)))&gt;0)</f>
        <v>0</v>
      </c>
      <c r="V103" s="14" cm="1">
        <f t="array" ref="V103">INT(SUMPRODUCT(--ISNUMBER(SEARCH(abortion,C103)))&gt;0)</f>
        <v>0</v>
      </c>
      <c r="W103" s="14" cm="1">
        <f t="array" ref="W103">INT(SUMPRODUCT(--ISNUMBER(SEARCH(trump,C103)))&gt;0)</f>
        <v>0</v>
      </c>
      <c r="X103" s="14" cm="1">
        <f t="array" ref="X103">INT(SUMPRODUCT(--ISNUMBER(SEARCH(voting,C103)))&gt;0)</f>
        <v>0</v>
      </c>
      <c r="Y103" s="14" cm="1">
        <f t="array" ref="Y103">INT(SUMPRODUCT(--ISNUMBER(SEARCH(democrattrigger,C103)))&gt;0)</f>
        <v>0</v>
      </c>
      <c r="Z103" s="14" cm="1">
        <f t="array" ref="Z103">INT(SUMPRODUCT(--ISNUMBER(SEARCH(bipartisan,C103)))&gt;0)</f>
        <v>0</v>
      </c>
      <c r="AA103" s="14">
        <f t="shared" si="1"/>
        <v>0</v>
      </c>
      <c r="AB103" s="14"/>
      <c r="AC103" s="30">
        <v>1</v>
      </c>
      <c r="AD103" s="37">
        <v>0</v>
      </c>
    </row>
    <row r="104" spans="1:30" x14ac:dyDescent="0.25">
      <c r="A104" s="36">
        <v>3509</v>
      </c>
      <c r="B104" s="14" t="s">
        <v>7643</v>
      </c>
      <c r="C104" s="14" t="s">
        <v>7644</v>
      </c>
      <c r="D104" s="17">
        <v>44119</v>
      </c>
      <c r="E104" s="14" t="s">
        <v>30</v>
      </c>
      <c r="F104" s="14">
        <v>843</v>
      </c>
      <c r="G104" s="14">
        <v>187</v>
      </c>
      <c r="H104" s="14">
        <v>16</v>
      </c>
      <c r="I104" s="14">
        <v>8</v>
      </c>
      <c r="J104" s="14" t="s">
        <v>204</v>
      </c>
      <c r="K104" s="14" cm="1">
        <f t="array" ref="K104">INT(SUMPRODUCT(--ISNUMBER(SEARCH(economy,C104)))&gt;0)</f>
        <v>0</v>
      </c>
      <c r="L104" s="14" cm="1">
        <f t="array" ref="L104">INT(SUMPRODUCT(--ISNUMBER(SEARCH(healthcare,C104)))&gt;0)</f>
        <v>0</v>
      </c>
      <c r="M104" s="14" cm="1">
        <f t="array" ref="M104">INT(SUMPRODUCT(--ISNUMBER(SEARCH(supreme,C104)))&gt;0)</f>
        <v>0</v>
      </c>
      <c r="N104" s="14" cm="1">
        <f t="array" ref="N104">INT(SUMPRODUCT(--ISNUMBER(SEARCH(covid,C104)))&gt;0)</f>
        <v>0</v>
      </c>
      <c r="O104" s="14" cm="1">
        <f t="array" ref="O104">INT(SUMPRODUCT(--ISNUMBER(SEARCH(violent,C104)))&gt;0)</f>
        <v>0</v>
      </c>
      <c r="P104" s="14" cm="1">
        <f t="array" ref="P104">INT(SUMPRODUCT(--ISNUMBER(SEARCH(foreign,C104)))&gt;0)</f>
        <v>0</v>
      </c>
      <c r="Q104" s="14" cm="1">
        <f t="array" ref="Q104">INT(SUMPRODUCT(--ISNUMBER(SEARCH(gun,C104)))&gt;0)</f>
        <v>0</v>
      </c>
      <c r="R104" s="14" cm="1">
        <f t="array" ref="R104">INT(SUMPRODUCT(--ISNUMBER(SEARCH(race,C104)))&gt;0)</f>
        <v>0</v>
      </c>
      <c r="S104" s="14" cm="1">
        <f t="array" ref="S104">INT(SUMPRODUCT(--ISNUMBER(SEARCH(immigration,C104)))&gt;0)</f>
        <v>0</v>
      </c>
      <c r="T104" s="14" cm="1">
        <f t="array" ref="T104">INT(SUMPRODUCT(--ISNUMBER(SEARCH(econineq,C105)))&gt;0)</f>
        <v>0</v>
      </c>
      <c r="U104" s="14" cm="1">
        <f t="array" ref="U104">INT(SUMPRODUCT(--ISNUMBER(SEARCH(climate,C104)))&gt;0)</f>
        <v>0</v>
      </c>
      <c r="V104" s="14" cm="1">
        <f t="array" ref="V104">INT(SUMPRODUCT(--ISNUMBER(SEARCH(abortion,C104)))&gt;0)</f>
        <v>0</v>
      </c>
      <c r="W104" s="14" cm="1">
        <f t="array" ref="W104">INT(SUMPRODUCT(--ISNUMBER(SEARCH(trump,C104)))&gt;0)</f>
        <v>0</v>
      </c>
      <c r="X104" s="14" cm="1">
        <f t="array" ref="X104">INT(SUMPRODUCT(--ISNUMBER(SEARCH(voting,C104)))&gt;0)</f>
        <v>1</v>
      </c>
      <c r="Y104" s="14" cm="1">
        <f t="array" ref="Y104">INT(SUMPRODUCT(--ISNUMBER(SEARCH(democrattrigger,C104)))&gt;0)</f>
        <v>1</v>
      </c>
      <c r="Z104" s="14" cm="1">
        <f t="array" ref="Z104">INT(SUMPRODUCT(--ISNUMBER(SEARCH(bipartisan,C104)))&gt;0)</f>
        <v>0</v>
      </c>
      <c r="AA104" s="14">
        <f t="shared" si="1"/>
        <v>0</v>
      </c>
      <c r="AB104" s="14"/>
      <c r="AC104" s="30" t="s">
        <v>223</v>
      </c>
      <c r="AD104" s="37" t="s">
        <v>223</v>
      </c>
    </row>
    <row r="105" spans="1:30" x14ac:dyDescent="0.25">
      <c r="A105" s="36">
        <v>3510</v>
      </c>
      <c r="B105" s="14" t="s">
        <v>7645</v>
      </c>
      <c r="C105" s="14" t="s">
        <v>7646</v>
      </c>
      <c r="D105" s="17">
        <v>44119</v>
      </c>
      <c r="E105" s="14" t="s">
        <v>30</v>
      </c>
      <c r="F105" s="14">
        <v>249</v>
      </c>
      <c r="G105" s="14">
        <v>121</v>
      </c>
      <c r="H105" s="14">
        <v>16</v>
      </c>
      <c r="I105" s="14">
        <v>8</v>
      </c>
      <c r="J105" s="14" t="s">
        <v>204</v>
      </c>
      <c r="K105" s="14" cm="1">
        <f t="array" ref="K105">INT(SUMPRODUCT(--ISNUMBER(SEARCH(economy,C105)))&gt;0)</f>
        <v>0</v>
      </c>
      <c r="L105" s="14" cm="1">
        <f t="array" ref="L105">INT(SUMPRODUCT(--ISNUMBER(SEARCH(healthcare,C105)))&gt;0)</f>
        <v>0</v>
      </c>
      <c r="M105" s="14" cm="1">
        <f t="array" ref="M105">INT(SUMPRODUCT(--ISNUMBER(SEARCH(supreme,C105)))&gt;0)</f>
        <v>0</v>
      </c>
      <c r="N105" s="14" cm="1">
        <f t="array" ref="N105">INT(SUMPRODUCT(--ISNUMBER(SEARCH(covid,C105)))&gt;0)</f>
        <v>0</v>
      </c>
      <c r="O105" s="14" cm="1">
        <f t="array" ref="O105">INT(SUMPRODUCT(--ISNUMBER(SEARCH(violent,C105)))&gt;0)</f>
        <v>0</v>
      </c>
      <c r="P105" s="14" cm="1">
        <f t="array" ref="P105">INT(SUMPRODUCT(--ISNUMBER(SEARCH(foreign,C105)))&gt;0)</f>
        <v>0</v>
      </c>
      <c r="Q105" s="14" cm="1">
        <f t="array" ref="Q105">INT(SUMPRODUCT(--ISNUMBER(SEARCH(gun,C105)))&gt;0)</f>
        <v>0</v>
      </c>
      <c r="R105" s="14" cm="1">
        <f t="array" ref="R105">INT(SUMPRODUCT(--ISNUMBER(SEARCH(race,C105)))&gt;0)</f>
        <v>0</v>
      </c>
      <c r="S105" s="14" cm="1">
        <f t="array" ref="S105">INT(SUMPRODUCT(--ISNUMBER(SEARCH(immigration,C105)))&gt;0)</f>
        <v>0</v>
      </c>
      <c r="T105" s="14" cm="1">
        <f t="array" ref="T105">INT(SUMPRODUCT(--ISNUMBER(SEARCH(econineq,C106)))&gt;0)</f>
        <v>0</v>
      </c>
      <c r="U105" s="14" cm="1">
        <f t="array" ref="U105">INT(SUMPRODUCT(--ISNUMBER(SEARCH(climate,C105)))&gt;0)</f>
        <v>0</v>
      </c>
      <c r="V105" s="14" cm="1">
        <f t="array" ref="V105">INT(SUMPRODUCT(--ISNUMBER(SEARCH(abortion,C105)))&gt;0)</f>
        <v>0</v>
      </c>
      <c r="W105" s="14" cm="1">
        <f t="array" ref="W105">INT(SUMPRODUCT(--ISNUMBER(SEARCH(trump,C105)))&gt;0)</f>
        <v>0</v>
      </c>
      <c r="X105" s="14" cm="1">
        <f t="array" ref="X105">INT(SUMPRODUCT(--ISNUMBER(SEARCH(voting,C105)))&gt;0)</f>
        <v>0</v>
      </c>
      <c r="Y105" s="14" cm="1">
        <f t="array" ref="Y105">INT(SUMPRODUCT(--ISNUMBER(SEARCH(democrattrigger,C105)))&gt;0)</f>
        <v>0</v>
      </c>
      <c r="Z105" s="14" cm="1">
        <f t="array" ref="Z105">INT(SUMPRODUCT(--ISNUMBER(SEARCH(bipartisan,C105)))&gt;0)</f>
        <v>0</v>
      </c>
      <c r="AA105" s="14">
        <f t="shared" si="1"/>
        <v>1</v>
      </c>
      <c r="AB105" s="14"/>
      <c r="AC105" s="30">
        <v>1</v>
      </c>
      <c r="AD105" s="37">
        <v>0</v>
      </c>
    </row>
    <row r="106" spans="1:30" x14ac:dyDescent="0.25">
      <c r="A106" s="36">
        <v>3511</v>
      </c>
      <c r="B106" s="14" t="s">
        <v>7647</v>
      </c>
      <c r="C106" s="14" t="s">
        <v>7648</v>
      </c>
      <c r="D106" s="17">
        <v>44119</v>
      </c>
      <c r="E106" s="14" t="s">
        <v>30</v>
      </c>
      <c r="F106" s="14">
        <v>1067</v>
      </c>
      <c r="G106" s="14">
        <v>455</v>
      </c>
      <c r="H106" s="14">
        <v>16</v>
      </c>
      <c r="I106" s="14">
        <v>8</v>
      </c>
      <c r="J106" s="14" t="s">
        <v>204</v>
      </c>
      <c r="K106" s="14" cm="1">
        <f t="array" ref="K106">INT(SUMPRODUCT(--ISNUMBER(SEARCH(economy,C106)))&gt;0)</f>
        <v>0</v>
      </c>
      <c r="L106" s="14" cm="1">
        <f t="array" ref="L106">INT(SUMPRODUCT(--ISNUMBER(SEARCH(healthcare,C106)))&gt;0)</f>
        <v>0</v>
      </c>
      <c r="M106" s="14" cm="1">
        <f t="array" ref="M106">INT(SUMPRODUCT(--ISNUMBER(SEARCH(supreme,C106)))&gt;0)</f>
        <v>0</v>
      </c>
      <c r="N106" s="14" cm="1">
        <f t="array" ref="N106">INT(SUMPRODUCT(--ISNUMBER(SEARCH(covid,C106)))&gt;0)</f>
        <v>0</v>
      </c>
      <c r="O106" s="14" cm="1">
        <f t="array" ref="O106">INT(SUMPRODUCT(--ISNUMBER(SEARCH(violent,C106)))&gt;0)</f>
        <v>0</v>
      </c>
      <c r="P106" s="14" cm="1">
        <f t="array" ref="P106">INT(SUMPRODUCT(--ISNUMBER(SEARCH(foreign,C106)))&gt;0)</f>
        <v>1</v>
      </c>
      <c r="Q106" s="14" cm="1">
        <f t="array" ref="Q106">INT(SUMPRODUCT(--ISNUMBER(SEARCH(gun,C106)))&gt;0)</f>
        <v>0</v>
      </c>
      <c r="R106" s="14" cm="1">
        <f t="array" ref="R106">INT(SUMPRODUCT(--ISNUMBER(SEARCH(race,C106)))&gt;0)</f>
        <v>0</v>
      </c>
      <c r="S106" s="14" cm="1">
        <f t="array" ref="S106">INT(SUMPRODUCT(--ISNUMBER(SEARCH(immigration,C106)))&gt;0)</f>
        <v>0</v>
      </c>
      <c r="T106" s="14" cm="1">
        <f t="array" ref="T106">INT(SUMPRODUCT(--ISNUMBER(SEARCH(econineq,C107)))&gt;0)</f>
        <v>0</v>
      </c>
      <c r="U106" s="14" cm="1">
        <f t="array" ref="U106">INT(SUMPRODUCT(--ISNUMBER(SEARCH(climate,C106)))&gt;0)</f>
        <v>0</v>
      </c>
      <c r="V106" s="14" cm="1">
        <f t="array" ref="V106">INT(SUMPRODUCT(--ISNUMBER(SEARCH(abortion,C106)))&gt;0)</f>
        <v>0</v>
      </c>
      <c r="W106" s="14" cm="1">
        <f t="array" ref="W106">INT(SUMPRODUCT(--ISNUMBER(SEARCH(trump,C106)))&gt;0)</f>
        <v>0</v>
      </c>
      <c r="X106" s="14" cm="1">
        <f t="array" ref="X106">INT(SUMPRODUCT(--ISNUMBER(SEARCH(voting,C106)))&gt;0)</f>
        <v>1</v>
      </c>
      <c r="Y106" s="14" cm="1">
        <f t="array" ref="Y106">INT(SUMPRODUCT(--ISNUMBER(SEARCH(democrattrigger,C106)))&gt;0)</f>
        <v>0</v>
      </c>
      <c r="Z106" s="14" cm="1">
        <f t="array" ref="Z106">INT(SUMPRODUCT(--ISNUMBER(SEARCH(bipartisan,C106)))&gt;0)</f>
        <v>0</v>
      </c>
      <c r="AA106" s="14">
        <f t="shared" si="1"/>
        <v>0</v>
      </c>
      <c r="AB106" s="14"/>
      <c r="AC106" s="30" t="s">
        <v>223</v>
      </c>
      <c r="AD106" s="37" t="s">
        <v>223</v>
      </c>
    </row>
    <row r="107" spans="1:30" x14ac:dyDescent="0.25">
      <c r="A107" s="36">
        <v>3512</v>
      </c>
      <c r="B107" s="14" t="s">
        <v>7649</v>
      </c>
      <c r="C107" s="14" t="s">
        <v>7650</v>
      </c>
      <c r="D107" s="17">
        <v>44119</v>
      </c>
      <c r="E107" s="14" t="s">
        <v>30</v>
      </c>
      <c r="F107" s="14">
        <v>1071</v>
      </c>
      <c r="G107" s="14">
        <v>334</v>
      </c>
      <c r="H107" s="14">
        <v>16</v>
      </c>
      <c r="I107" s="14">
        <v>8</v>
      </c>
      <c r="J107" s="14" t="s">
        <v>204</v>
      </c>
      <c r="K107" s="14" cm="1">
        <f t="array" ref="K107">INT(SUMPRODUCT(--ISNUMBER(SEARCH(economy,C107)))&gt;0)</f>
        <v>0</v>
      </c>
      <c r="L107" s="14" cm="1">
        <f t="array" ref="L107">INT(SUMPRODUCT(--ISNUMBER(SEARCH(healthcare,C107)))&gt;0)</f>
        <v>0</v>
      </c>
      <c r="M107" s="14" cm="1">
        <f t="array" ref="M107">INT(SUMPRODUCT(--ISNUMBER(SEARCH(supreme,C107)))&gt;0)</f>
        <v>0</v>
      </c>
      <c r="N107" s="14" cm="1">
        <f t="array" ref="N107">INT(SUMPRODUCT(--ISNUMBER(SEARCH(covid,C107)))&gt;0)</f>
        <v>0</v>
      </c>
      <c r="O107" s="14" cm="1">
        <f t="array" ref="O107">INT(SUMPRODUCT(--ISNUMBER(SEARCH(violent,C107)))&gt;0)</f>
        <v>0</v>
      </c>
      <c r="P107" s="14" cm="1">
        <f t="array" ref="P107">INT(SUMPRODUCT(--ISNUMBER(SEARCH(foreign,C107)))&gt;0)</f>
        <v>0</v>
      </c>
      <c r="Q107" s="14" cm="1">
        <f t="array" ref="Q107">INT(SUMPRODUCT(--ISNUMBER(SEARCH(gun,C107)))&gt;0)</f>
        <v>0</v>
      </c>
      <c r="R107" s="14" cm="1">
        <f t="array" ref="R107">INT(SUMPRODUCT(--ISNUMBER(SEARCH(race,C107)))&gt;0)</f>
        <v>0</v>
      </c>
      <c r="S107" s="14" cm="1">
        <f t="array" ref="S107">INT(SUMPRODUCT(--ISNUMBER(SEARCH(immigration,C107)))&gt;0)</f>
        <v>0</v>
      </c>
      <c r="T107" s="14" cm="1">
        <f t="array" ref="T107">INT(SUMPRODUCT(--ISNUMBER(SEARCH(econineq,C108)))&gt;0)</f>
        <v>0</v>
      </c>
      <c r="U107" s="14" cm="1">
        <f t="array" ref="U107">INT(SUMPRODUCT(--ISNUMBER(SEARCH(climate,C107)))&gt;0)</f>
        <v>0</v>
      </c>
      <c r="V107" s="14" cm="1">
        <f t="array" ref="V107">INT(SUMPRODUCT(--ISNUMBER(SEARCH(abortion,C107)))&gt;0)</f>
        <v>0</v>
      </c>
      <c r="W107" s="14" cm="1">
        <f t="array" ref="W107">INT(SUMPRODUCT(--ISNUMBER(SEARCH(trump,C107)))&gt;0)</f>
        <v>0</v>
      </c>
      <c r="X107" s="14" cm="1">
        <f t="array" ref="X107">INT(SUMPRODUCT(--ISNUMBER(SEARCH(voting,C107)))&gt;0)</f>
        <v>1</v>
      </c>
      <c r="Y107" s="14" cm="1">
        <f t="array" ref="Y107">INT(SUMPRODUCT(--ISNUMBER(SEARCH(democrattrigger,C107)))&gt;0)</f>
        <v>0</v>
      </c>
      <c r="Z107" s="14" cm="1">
        <f t="array" ref="Z107">INT(SUMPRODUCT(--ISNUMBER(SEARCH(bipartisan,C107)))&gt;0)</f>
        <v>0</v>
      </c>
      <c r="AA107" s="14">
        <f t="shared" si="1"/>
        <v>0</v>
      </c>
      <c r="AB107" s="14"/>
      <c r="AC107" s="30">
        <v>0</v>
      </c>
      <c r="AD107" s="37">
        <v>1</v>
      </c>
    </row>
    <row r="108" spans="1:30" x14ac:dyDescent="0.25">
      <c r="A108" s="36">
        <v>3513</v>
      </c>
      <c r="B108" s="14" t="s">
        <v>7651</v>
      </c>
      <c r="C108" s="14" t="s">
        <v>7652</v>
      </c>
      <c r="D108" s="17">
        <v>44118</v>
      </c>
      <c r="E108" s="14" t="s">
        <v>30</v>
      </c>
      <c r="F108" s="14">
        <v>587</v>
      </c>
      <c r="G108" s="14">
        <v>214</v>
      </c>
      <c r="H108" s="14">
        <v>16</v>
      </c>
      <c r="I108" s="14">
        <v>8</v>
      </c>
      <c r="J108" s="14" t="s">
        <v>204</v>
      </c>
      <c r="K108" s="14" cm="1">
        <f t="array" ref="K108">INT(SUMPRODUCT(--ISNUMBER(SEARCH(economy,C108)))&gt;0)</f>
        <v>0</v>
      </c>
      <c r="L108" s="14" cm="1">
        <f t="array" ref="L108">INT(SUMPRODUCT(--ISNUMBER(SEARCH(healthcare,C108)))&gt;0)</f>
        <v>0</v>
      </c>
      <c r="M108" s="14" cm="1">
        <f t="array" ref="M108">INT(SUMPRODUCT(--ISNUMBER(SEARCH(supreme,C108)))&gt;0)</f>
        <v>0</v>
      </c>
      <c r="N108" s="14" cm="1">
        <f t="array" ref="N108">INT(SUMPRODUCT(--ISNUMBER(SEARCH(covid,C108)))&gt;0)</f>
        <v>0</v>
      </c>
      <c r="O108" s="14" cm="1">
        <f t="array" ref="O108">INT(SUMPRODUCT(--ISNUMBER(SEARCH(violent,C108)))&gt;0)</f>
        <v>0</v>
      </c>
      <c r="P108" s="14" cm="1">
        <f t="array" ref="P108">INT(SUMPRODUCT(--ISNUMBER(SEARCH(foreign,C108)))&gt;0)</f>
        <v>0</v>
      </c>
      <c r="Q108" s="14" cm="1">
        <f t="array" ref="Q108">INT(SUMPRODUCT(--ISNUMBER(SEARCH(gun,C108)))&gt;0)</f>
        <v>0</v>
      </c>
      <c r="R108" s="14" cm="1">
        <f t="array" ref="R108">INT(SUMPRODUCT(--ISNUMBER(SEARCH(race,C108)))&gt;0)</f>
        <v>0</v>
      </c>
      <c r="S108" s="14" cm="1">
        <f t="array" ref="S108">INT(SUMPRODUCT(--ISNUMBER(SEARCH(immigration,C108)))&gt;0)</f>
        <v>0</v>
      </c>
      <c r="T108" s="14" cm="1">
        <f t="array" ref="T108">INT(SUMPRODUCT(--ISNUMBER(SEARCH(econineq,C109)))&gt;0)</f>
        <v>0</v>
      </c>
      <c r="U108" s="14" cm="1">
        <f t="array" ref="U108">INT(SUMPRODUCT(--ISNUMBER(SEARCH(climate,C108)))&gt;0)</f>
        <v>0</v>
      </c>
      <c r="V108" s="14" cm="1">
        <f t="array" ref="V108">INT(SUMPRODUCT(--ISNUMBER(SEARCH(abortion,C108)))&gt;0)</f>
        <v>0</v>
      </c>
      <c r="W108" s="14" cm="1">
        <f t="array" ref="W108">INT(SUMPRODUCT(--ISNUMBER(SEARCH(trump,C108)))&gt;0)</f>
        <v>0</v>
      </c>
      <c r="X108" s="14" cm="1">
        <f t="array" ref="X108">INT(SUMPRODUCT(--ISNUMBER(SEARCH(voting,C108)))&gt;0)</f>
        <v>1</v>
      </c>
      <c r="Y108" s="14" cm="1">
        <f t="array" ref="Y108">INT(SUMPRODUCT(--ISNUMBER(SEARCH(democrattrigger,C108)))&gt;0)</f>
        <v>1</v>
      </c>
      <c r="Z108" s="14" cm="1">
        <f t="array" ref="Z108">INT(SUMPRODUCT(--ISNUMBER(SEARCH(bipartisan,C108)))&gt;0)</f>
        <v>0</v>
      </c>
      <c r="AA108" s="14">
        <f t="shared" si="1"/>
        <v>0</v>
      </c>
      <c r="AB108" s="14"/>
      <c r="AC108" s="30">
        <v>1</v>
      </c>
      <c r="AD108" s="37">
        <v>1</v>
      </c>
    </row>
    <row r="109" spans="1:30" x14ac:dyDescent="0.25">
      <c r="A109" s="36">
        <v>3514</v>
      </c>
      <c r="B109" s="14" t="s">
        <v>7653</v>
      </c>
      <c r="C109" s="14" t="s">
        <v>7654</v>
      </c>
      <c r="D109" s="17">
        <v>44118</v>
      </c>
      <c r="E109" s="14" t="s">
        <v>30</v>
      </c>
      <c r="F109" s="14">
        <v>577</v>
      </c>
      <c r="G109" s="14">
        <v>201</v>
      </c>
      <c r="H109" s="14">
        <v>16</v>
      </c>
      <c r="I109" s="14">
        <v>8</v>
      </c>
      <c r="J109" s="14" t="s">
        <v>204</v>
      </c>
      <c r="K109" s="14" cm="1">
        <f t="array" ref="K109">INT(SUMPRODUCT(--ISNUMBER(SEARCH(economy,C109)))&gt;0)</f>
        <v>0</v>
      </c>
      <c r="L109" s="14" cm="1">
        <f t="array" ref="L109">INT(SUMPRODUCT(--ISNUMBER(SEARCH(healthcare,C109)))&gt;0)</f>
        <v>1</v>
      </c>
      <c r="M109" s="14" cm="1">
        <f t="array" ref="M109">INT(SUMPRODUCT(--ISNUMBER(SEARCH(supreme,C109)))&gt;0)</f>
        <v>0</v>
      </c>
      <c r="N109" s="14" cm="1">
        <f t="array" ref="N109">INT(SUMPRODUCT(--ISNUMBER(SEARCH(covid,C109)))&gt;0)</f>
        <v>0</v>
      </c>
      <c r="O109" s="14" cm="1">
        <f t="array" ref="O109">INT(SUMPRODUCT(--ISNUMBER(SEARCH(violent,C109)))&gt;0)</f>
        <v>0</v>
      </c>
      <c r="P109" s="14" cm="1">
        <f t="array" ref="P109">INT(SUMPRODUCT(--ISNUMBER(SEARCH(foreign,C109)))&gt;0)</f>
        <v>0</v>
      </c>
      <c r="Q109" s="14" cm="1">
        <f t="array" ref="Q109">INT(SUMPRODUCT(--ISNUMBER(SEARCH(gun,C109)))&gt;0)</f>
        <v>0</v>
      </c>
      <c r="R109" s="14" cm="1">
        <f t="array" ref="R109">INT(SUMPRODUCT(--ISNUMBER(SEARCH(race,C109)))&gt;0)</f>
        <v>0</v>
      </c>
      <c r="S109" s="14" cm="1">
        <f t="array" ref="S109">INT(SUMPRODUCT(--ISNUMBER(SEARCH(immigration,C109)))&gt;0)</f>
        <v>0</v>
      </c>
      <c r="T109" s="14" cm="1">
        <f t="array" ref="T109">INT(SUMPRODUCT(--ISNUMBER(SEARCH(econineq,C110)))&gt;0)</f>
        <v>0</v>
      </c>
      <c r="U109" s="14" cm="1">
        <f t="array" ref="U109">INT(SUMPRODUCT(--ISNUMBER(SEARCH(climate,C109)))&gt;0)</f>
        <v>0</v>
      </c>
      <c r="V109" s="14" cm="1">
        <f t="array" ref="V109">INT(SUMPRODUCT(--ISNUMBER(SEARCH(abortion,C109)))&gt;0)</f>
        <v>0</v>
      </c>
      <c r="W109" s="14" cm="1">
        <f t="array" ref="W109">INT(SUMPRODUCT(--ISNUMBER(SEARCH(trump,C109)))&gt;0)</f>
        <v>0</v>
      </c>
      <c r="X109" s="14" cm="1">
        <f t="array" ref="X109">INT(SUMPRODUCT(--ISNUMBER(SEARCH(voting,C109)))&gt;0)</f>
        <v>0</v>
      </c>
      <c r="Y109" s="14" cm="1">
        <f t="array" ref="Y109">INT(SUMPRODUCT(--ISNUMBER(SEARCH(democrattrigger,C109)))&gt;0)</f>
        <v>0</v>
      </c>
      <c r="Z109" s="14" cm="1">
        <f t="array" ref="Z109">INT(SUMPRODUCT(--ISNUMBER(SEARCH(bipartisan,C109)))&gt;0)</f>
        <v>0</v>
      </c>
      <c r="AA109" s="14">
        <f t="shared" si="1"/>
        <v>0</v>
      </c>
      <c r="AB109" s="14"/>
      <c r="AC109" s="30" t="s">
        <v>223</v>
      </c>
      <c r="AD109" s="37" t="s">
        <v>223</v>
      </c>
    </row>
    <row r="110" spans="1:30" x14ac:dyDescent="0.25">
      <c r="A110" s="36">
        <v>3515</v>
      </c>
      <c r="B110" s="14" t="s">
        <v>7655</v>
      </c>
      <c r="C110" s="14" t="s">
        <v>7656</v>
      </c>
      <c r="D110" s="17">
        <v>44118</v>
      </c>
      <c r="E110" s="14" t="s">
        <v>30</v>
      </c>
      <c r="F110" s="14">
        <v>451</v>
      </c>
      <c r="G110" s="14">
        <v>163</v>
      </c>
      <c r="H110" s="14">
        <v>16</v>
      </c>
      <c r="I110" s="14">
        <v>8</v>
      </c>
      <c r="J110" s="14" t="s">
        <v>204</v>
      </c>
      <c r="K110" s="14" cm="1">
        <f t="array" ref="K110">INT(SUMPRODUCT(--ISNUMBER(SEARCH(economy,C110)))&gt;0)</f>
        <v>0</v>
      </c>
      <c r="L110" s="14" cm="1">
        <f t="array" ref="L110">INT(SUMPRODUCT(--ISNUMBER(SEARCH(healthcare,C110)))&gt;0)</f>
        <v>0</v>
      </c>
      <c r="M110" s="14" cm="1">
        <f t="array" ref="M110">INT(SUMPRODUCT(--ISNUMBER(SEARCH(supreme,C110)))&gt;0)</f>
        <v>0</v>
      </c>
      <c r="N110" s="14" cm="1">
        <f t="array" ref="N110">INT(SUMPRODUCT(--ISNUMBER(SEARCH(covid,C110)))&gt;0)</f>
        <v>0</v>
      </c>
      <c r="O110" s="14" cm="1">
        <f t="array" ref="O110">INT(SUMPRODUCT(--ISNUMBER(SEARCH(violent,C110)))&gt;0)</f>
        <v>0</v>
      </c>
      <c r="P110" s="14" cm="1">
        <f t="array" ref="P110">INT(SUMPRODUCT(--ISNUMBER(SEARCH(foreign,C110)))&gt;0)</f>
        <v>0</v>
      </c>
      <c r="Q110" s="14" cm="1">
        <f t="array" ref="Q110">INT(SUMPRODUCT(--ISNUMBER(SEARCH(gun,C110)))&gt;0)</f>
        <v>0</v>
      </c>
      <c r="R110" s="14" cm="1">
        <f t="array" ref="R110">INT(SUMPRODUCT(--ISNUMBER(SEARCH(race,C110)))&gt;0)</f>
        <v>0</v>
      </c>
      <c r="S110" s="14" cm="1">
        <f t="array" ref="S110">INT(SUMPRODUCT(--ISNUMBER(SEARCH(immigration,C110)))&gt;0)</f>
        <v>0</v>
      </c>
      <c r="T110" s="14" cm="1">
        <f t="array" ref="T110">INT(SUMPRODUCT(--ISNUMBER(SEARCH(econineq,C111)))&gt;0)</f>
        <v>0</v>
      </c>
      <c r="U110" s="14" cm="1">
        <f t="array" ref="U110">INT(SUMPRODUCT(--ISNUMBER(SEARCH(climate,C110)))&gt;0)</f>
        <v>0</v>
      </c>
      <c r="V110" s="14" cm="1">
        <f t="array" ref="V110">INT(SUMPRODUCT(--ISNUMBER(SEARCH(abortion,C110)))&gt;0)</f>
        <v>0</v>
      </c>
      <c r="W110" s="14" cm="1">
        <f t="array" ref="W110">INT(SUMPRODUCT(--ISNUMBER(SEARCH(trump,C110)))&gt;0)</f>
        <v>0</v>
      </c>
      <c r="X110" s="14" cm="1">
        <f t="array" ref="X110">INT(SUMPRODUCT(--ISNUMBER(SEARCH(voting,C110)))&gt;0)</f>
        <v>1</v>
      </c>
      <c r="Y110" s="14" cm="1">
        <f t="array" ref="Y110">INT(SUMPRODUCT(--ISNUMBER(SEARCH(democrattrigger,C110)))&gt;0)</f>
        <v>0</v>
      </c>
      <c r="Z110" s="14" cm="1">
        <f t="array" ref="Z110">INT(SUMPRODUCT(--ISNUMBER(SEARCH(bipartisan,C110)))&gt;0)</f>
        <v>0</v>
      </c>
      <c r="AA110" s="14">
        <f t="shared" si="1"/>
        <v>0</v>
      </c>
      <c r="AB110" s="14"/>
      <c r="AC110" s="30">
        <v>1</v>
      </c>
      <c r="AD110" s="37">
        <v>0</v>
      </c>
    </row>
    <row r="111" spans="1:30" x14ac:dyDescent="0.25">
      <c r="A111" s="36">
        <v>3516</v>
      </c>
      <c r="B111" s="14" t="s">
        <v>7657</v>
      </c>
      <c r="C111" s="14" t="s">
        <v>7658</v>
      </c>
      <c r="D111" s="17">
        <v>44118</v>
      </c>
      <c r="E111" s="14" t="s">
        <v>30</v>
      </c>
      <c r="F111" s="14">
        <v>936</v>
      </c>
      <c r="G111" s="14">
        <v>257</v>
      </c>
      <c r="H111" s="14">
        <v>16</v>
      </c>
      <c r="I111" s="14">
        <v>8</v>
      </c>
      <c r="J111" s="14" t="s">
        <v>204</v>
      </c>
      <c r="K111" s="14" cm="1">
        <f t="array" ref="K111">INT(SUMPRODUCT(--ISNUMBER(SEARCH(economy,C111)))&gt;0)</f>
        <v>0</v>
      </c>
      <c r="L111" s="14" cm="1">
        <f t="array" ref="L111">INT(SUMPRODUCT(--ISNUMBER(SEARCH(healthcare,C111)))&gt;0)</f>
        <v>1</v>
      </c>
      <c r="M111" s="14" cm="1">
        <f t="array" ref="M111">INT(SUMPRODUCT(--ISNUMBER(SEARCH(supreme,C111)))&gt;0)</f>
        <v>0</v>
      </c>
      <c r="N111" s="14" cm="1">
        <f t="array" ref="N111">INT(SUMPRODUCT(--ISNUMBER(SEARCH(covid,C111)))&gt;0)</f>
        <v>0</v>
      </c>
      <c r="O111" s="14" cm="1">
        <f t="array" ref="O111">INT(SUMPRODUCT(--ISNUMBER(SEARCH(violent,C111)))&gt;0)</f>
        <v>0</v>
      </c>
      <c r="P111" s="14" cm="1">
        <f t="array" ref="P111">INT(SUMPRODUCT(--ISNUMBER(SEARCH(foreign,C111)))&gt;0)</f>
        <v>0</v>
      </c>
      <c r="Q111" s="14" cm="1">
        <f t="array" ref="Q111">INT(SUMPRODUCT(--ISNUMBER(SEARCH(gun,C111)))&gt;0)</f>
        <v>0</v>
      </c>
      <c r="R111" s="14" cm="1">
        <f t="array" ref="R111">INT(SUMPRODUCT(--ISNUMBER(SEARCH(race,C111)))&gt;0)</f>
        <v>0</v>
      </c>
      <c r="S111" s="14" cm="1">
        <f t="array" ref="S111">INT(SUMPRODUCT(--ISNUMBER(SEARCH(immigration,C111)))&gt;0)</f>
        <v>0</v>
      </c>
      <c r="T111" s="14" cm="1">
        <f t="array" ref="T111">INT(SUMPRODUCT(--ISNUMBER(SEARCH(econineq,C112)))&gt;0)</f>
        <v>0</v>
      </c>
      <c r="U111" s="14" cm="1">
        <f t="array" ref="U111">INT(SUMPRODUCT(--ISNUMBER(SEARCH(climate,C111)))&gt;0)</f>
        <v>0</v>
      </c>
      <c r="V111" s="14" cm="1">
        <f t="array" ref="V111">INT(SUMPRODUCT(--ISNUMBER(SEARCH(abortion,C111)))&gt;0)</f>
        <v>0</v>
      </c>
      <c r="W111" s="14" cm="1">
        <f t="array" ref="W111">INT(SUMPRODUCT(--ISNUMBER(SEARCH(trump,C111)))&gt;0)</f>
        <v>0</v>
      </c>
      <c r="X111" s="14" cm="1">
        <f t="array" ref="X111">INT(SUMPRODUCT(--ISNUMBER(SEARCH(voting,C111)))&gt;0)</f>
        <v>0</v>
      </c>
      <c r="Y111" s="14" cm="1">
        <f t="array" ref="Y111">INT(SUMPRODUCT(--ISNUMBER(SEARCH(democrattrigger,C111)))&gt;0)</f>
        <v>0</v>
      </c>
      <c r="Z111" s="14" cm="1">
        <f t="array" ref="Z111">INT(SUMPRODUCT(--ISNUMBER(SEARCH(bipartisan,C111)))&gt;0)</f>
        <v>0</v>
      </c>
      <c r="AA111" s="14">
        <f t="shared" si="1"/>
        <v>0</v>
      </c>
      <c r="AB111" s="14"/>
      <c r="AC111" s="30">
        <v>0</v>
      </c>
      <c r="AD111" s="37">
        <v>1</v>
      </c>
    </row>
    <row r="112" spans="1:30" x14ac:dyDescent="0.25">
      <c r="A112" s="36">
        <v>3517</v>
      </c>
      <c r="B112" s="14" t="s">
        <v>7659</v>
      </c>
      <c r="C112" s="14" t="s">
        <v>7660</v>
      </c>
      <c r="D112" s="17">
        <v>44117</v>
      </c>
      <c r="E112" s="14" t="s">
        <v>30</v>
      </c>
      <c r="F112" s="14">
        <v>667</v>
      </c>
      <c r="G112" s="14">
        <v>253</v>
      </c>
      <c r="H112" s="14">
        <v>16</v>
      </c>
      <c r="I112" s="14">
        <v>8</v>
      </c>
      <c r="J112" s="14" t="s">
        <v>204</v>
      </c>
      <c r="K112" s="14" cm="1">
        <f t="array" ref="K112">INT(SUMPRODUCT(--ISNUMBER(SEARCH(economy,C112)))&gt;0)</f>
        <v>0</v>
      </c>
      <c r="L112" s="14" cm="1">
        <f t="array" ref="L112">INT(SUMPRODUCT(--ISNUMBER(SEARCH(healthcare,C112)))&gt;0)</f>
        <v>1</v>
      </c>
      <c r="M112" s="14" cm="1">
        <f t="array" ref="M112">INT(SUMPRODUCT(--ISNUMBER(SEARCH(supreme,C112)))&gt;0)</f>
        <v>0</v>
      </c>
      <c r="N112" s="14" cm="1">
        <f t="array" ref="N112">INT(SUMPRODUCT(--ISNUMBER(SEARCH(covid,C112)))&gt;0)</f>
        <v>0</v>
      </c>
      <c r="O112" s="14" cm="1">
        <f t="array" ref="O112">INT(SUMPRODUCT(--ISNUMBER(SEARCH(violent,C112)))&gt;0)</f>
        <v>0</v>
      </c>
      <c r="P112" s="14" cm="1">
        <f t="array" ref="P112">INT(SUMPRODUCT(--ISNUMBER(SEARCH(foreign,C112)))&gt;0)</f>
        <v>0</v>
      </c>
      <c r="Q112" s="14" cm="1">
        <f t="array" ref="Q112">INT(SUMPRODUCT(--ISNUMBER(SEARCH(gun,C112)))&gt;0)</f>
        <v>0</v>
      </c>
      <c r="R112" s="14" cm="1">
        <f t="array" ref="R112">INT(SUMPRODUCT(--ISNUMBER(SEARCH(race,C112)))&gt;0)</f>
        <v>0</v>
      </c>
      <c r="S112" s="14" cm="1">
        <f t="array" ref="S112">INT(SUMPRODUCT(--ISNUMBER(SEARCH(immigration,C112)))&gt;0)</f>
        <v>0</v>
      </c>
      <c r="T112" s="14" cm="1">
        <f t="array" ref="T112">INT(SUMPRODUCT(--ISNUMBER(SEARCH(econineq,C113)))&gt;0)</f>
        <v>0</v>
      </c>
      <c r="U112" s="14" cm="1">
        <f t="array" ref="U112">INT(SUMPRODUCT(--ISNUMBER(SEARCH(climate,C112)))&gt;0)</f>
        <v>0</v>
      </c>
      <c r="V112" s="14" cm="1">
        <f t="array" ref="V112">INT(SUMPRODUCT(--ISNUMBER(SEARCH(abortion,C112)))&gt;0)</f>
        <v>0</v>
      </c>
      <c r="W112" s="14" cm="1">
        <f t="array" ref="W112">INT(SUMPRODUCT(--ISNUMBER(SEARCH(trump,C112)))&gt;0)</f>
        <v>0</v>
      </c>
      <c r="X112" s="14" cm="1">
        <f t="array" ref="X112">INT(SUMPRODUCT(--ISNUMBER(SEARCH(voting,C112)))&gt;0)</f>
        <v>0</v>
      </c>
      <c r="Y112" s="14" cm="1">
        <f t="array" ref="Y112">INT(SUMPRODUCT(--ISNUMBER(SEARCH(democrattrigger,C112)))&gt;0)</f>
        <v>1</v>
      </c>
      <c r="Z112" s="14" cm="1">
        <f t="array" ref="Z112">INT(SUMPRODUCT(--ISNUMBER(SEARCH(bipartisan,C112)))&gt;0)</f>
        <v>0</v>
      </c>
      <c r="AA112" s="14">
        <f t="shared" si="1"/>
        <v>0</v>
      </c>
      <c r="AB112" s="14"/>
      <c r="AC112" s="30" t="s">
        <v>223</v>
      </c>
      <c r="AD112" s="37" t="s">
        <v>223</v>
      </c>
    </row>
    <row r="113" spans="1:30" x14ac:dyDescent="0.25">
      <c r="A113" s="36">
        <v>3518</v>
      </c>
      <c r="B113" s="14" t="s">
        <v>7661</v>
      </c>
      <c r="C113" s="14" t="s">
        <v>7662</v>
      </c>
      <c r="D113" s="17">
        <v>44117</v>
      </c>
      <c r="E113" s="14" t="s">
        <v>30</v>
      </c>
      <c r="F113" s="14">
        <v>406</v>
      </c>
      <c r="G113" s="14">
        <v>160</v>
      </c>
      <c r="H113" s="14">
        <v>16</v>
      </c>
      <c r="I113" s="14">
        <v>8</v>
      </c>
      <c r="J113" s="14" t="s">
        <v>204</v>
      </c>
      <c r="K113" s="14" cm="1">
        <f t="array" ref="K113">INT(SUMPRODUCT(--ISNUMBER(SEARCH(economy,C113)))&gt;0)</f>
        <v>0</v>
      </c>
      <c r="L113" s="14" cm="1">
        <f t="array" ref="L113">INT(SUMPRODUCT(--ISNUMBER(SEARCH(healthcare,C113)))&gt;0)</f>
        <v>1</v>
      </c>
      <c r="M113" s="14" cm="1">
        <f t="array" ref="M113">INT(SUMPRODUCT(--ISNUMBER(SEARCH(supreme,C113)))&gt;0)</f>
        <v>0</v>
      </c>
      <c r="N113" s="14" cm="1">
        <f t="array" ref="N113">INT(SUMPRODUCT(--ISNUMBER(SEARCH(covid,C113)))&gt;0)</f>
        <v>0</v>
      </c>
      <c r="O113" s="14" cm="1">
        <f t="array" ref="O113">INT(SUMPRODUCT(--ISNUMBER(SEARCH(violent,C113)))&gt;0)</f>
        <v>0</v>
      </c>
      <c r="P113" s="14" cm="1">
        <f t="array" ref="P113">INT(SUMPRODUCT(--ISNUMBER(SEARCH(foreign,C113)))&gt;0)</f>
        <v>0</v>
      </c>
      <c r="Q113" s="14" cm="1">
        <f t="array" ref="Q113">INT(SUMPRODUCT(--ISNUMBER(SEARCH(gun,C113)))&gt;0)</f>
        <v>0</v>
      </c>
      <c r="R113" s="14" cm="1">
        <f t="array" ref="R113">INT(SUMPRODUCT(--ISNUMBER(SEARCH(race,C113)))&gt;0)</f>
        <v>0</v>
      </c>
      <c r="S113" s="14" cm="1">
        <f t="array" ref="S113">INT(SUMPRODUCT(--ISNUMBER(SEARCH(immigration,C113)))&gt;0)</f>
        <v>0</v>
      </c>
      <c r="T113" s="14" cm="1">
        <f t="array" ref="T113">INT(SUMPRODUCT(--ISNUMBER(SEARCH(econineq,C114)))&gt;0)</f>
        <v>0</v>
      </c>
      <c r="U113" s="14" cm="1">
        <f t="array" ref="U113">INT(SUMPRODUCT(--ISNUMBER(SEARCH(climate,C113)))&gt;0)</f>
        <v>0</v>
      </c>
      <c r="V113" s="14" cm="1">
        <f t="array" ref="V113">INT(SUMPRODUCT(--ISNUMBER(SEARCH(abortion,C113)))&gt;0)</f>
        <v>0</v>
      </c>
      <c r="W113" s="14" cm="1">
        <f t="array" ref="W113">INT(SUMPRODUCT(--ISNUMBER(SEARCH(trump,C113)))&gt;0)</f>
        <v>0</v>
      </c>
      <c r="X113" s="14" cm="1">
        <f t="array" ref="X113">INT(SUMPRODUCT(--ISNUMBER(SEARCH(voting,C113)))&gt;0)</f>
        <v>0</v>
      </c>
      <c r="Y113" s="14" cm="1">
        <f t="array" ref="Y113">INT(SUMPRODUCT(--ISNUMBER(SEARCH(democrattrigger,C113)))&gt;0)</f>
        <v>0</v>
      </c>
      <c r="Z113" s="14" cm="1">
        <f t="array" ref="Z113">INT(SUMPRODUCT(--ISNUMBER(SEARCH(bipartisan,C113)))&gt;0)</f>
        <v>0</v>
      </c>
      <c r="AA113" s="14">
        <f t="shared" si="1"/>
        <v>0</v>
      </c>
      <c r="AB113" s="14"/>
      <c r="AC113" s="30">
        <v>0</v>
      </c>
      <c r="AD113" s="37">
        <v>1</v>
      </c>
    </row>
    <row r="114" spans="1:30" x14ac:dyDescent="0.25">
      <c r="A114" s="36">
        <v>3519</v>
      </c>
      <c r="B114" s="14" t="s">
        <v>7663</v>
      </c>
      <c r="C114" s="14" t="s">
        <v>7664</v>
      </c>
      <c r="D114" s="17">
        <v>44117</v>
      </c>
      <c r="E114" s="14" t="s">
        <v>30</v>
      </c>
      <c r="F114" s="14">
        <v>719</v>
      </c>
      <c r="G114" s="14">
        <v>259</v>
      </c>
      <c r="H114" s="14">
        <v>16</v>
      </c>
      <c r="I114" s="14">
        <v>8</v>
      </c>
      <c r="J114" s="14" t="s">
        <v>204</v>
      </c>
      <c r="K114" s="14" cm="1">
        <f t="array" ref="K114">INT(SUMPRODUCT(--ISNUMBER(SEARCH(economy,C114)))&gt;0)</f>
        <v>1</v>
      </c>
      <c r="L114" s="14" cm="1">
        <f t="array" ref="L114">INT(SUMPRODUCT(--ISNUMBER(SEARCH(healthcare,C114)))&gt;0)</f>
        <v>0</v>
      </c>
      <c r="M114" s="14" cm="1">
        <f t="array" ref="M114">INT(SUMPRODUCT(--ISNUMBER(SEARCH(supreme,C114)))&gt;0)</f>
        <v>0</v>
      </c>
      <c r="N114" s="14" cm="1">
        <f t="array" ref="N114">INT(SUMPRODUCT(--ISNUMBER(SEARCH(covid,C114)))&gt;0)</f>
        <v>0</v>
      </c>
      <c r="O114" s="14" cm="1">
        <f t="array" ref="O114">INT(SUMPRODUCT(--ISNUMBER(SEARCH(violent,C114)))&gt;0)</f>
        <v>0</v>
      </c>
      <c r="P114" s="14" cm="1">
        <f t="array" ref="P114">INT(SUMPRODUCT(--ISNUMBER(SEARCH(foreign,C114)))&gt;0)</f>
        <v>0</v>
      </c>
      <c r="Q114" s="14" cm="1">
        <f t="array" ref="Q114">INT(SUMPRODUCT(--ISNUMBER(SEARCH(gun,C114)))&gt;0)</f>
        <v>0</v>
      </c>
      <c r="R114" s="14" cm="1">
        <f t="array" ref="R114">INT(SUMPRODUCT(--ISNUMBER(SEARCH(race,C114)))&gt;0)</f>
        <v>0</v>
      </c>
      <c r="S114" s="14" cm="1">
        <f t="array" ref="S114">INT(SUMPRODUCT(--ISNUMBER(SEARCH(immigration,C114)))&gt;0)</f>
        <v>0</v>
      </c>
      <c r="T114" s="14" cm="1">
        <f t="array" ref="T114">INT(SUMPRODUCT(--ISNUMBER(SEARCH(econineq,C115)))&gt;0)</f>
        <v>0</v>
      </c>
      <c r="U114" s="14" cm="1">
        <f t="array" ref="U114">INT(SUMPRODUCT(--ISNUMBER(SEARCH(climate,C114)))&gt;0)</f>
        <v>0</v>
      </c>
      <c r="V114" s="14" cm="1">
        <f t="array" ref="V114">INT(SUMPRODUCT(--ISNUMBER(SEARCH(abortion,C114)))&gt;0)</f>
        <v>0</v>
      </c>
      <c r="W114" s="14" cm="1">
        <f t="array" ref="W114">INT(SUMPRODUCT(--ISNUMBER(SEARCH(trump,C114)))&gt;0)</f>
        <v>0</v>
      </c>
      <c r="X114" s="14" cm="1">
        <f t="array" ref="X114">INT(SUMPRODUCT(--ISNUMBER(SEARCH(voting,C114)))&gt;0)</f>
        <v>0</v>
      </c>
      <c r="Y114" s="14" cm="1">
        <f t="array" ref="Y114">INT(SUMPRODUCT(--ISNUMBER(SEARCH(democrattrigger,C114)))&gt;0)</f>
        <v>0</v>
      </c>
      <c r="Z114" s="14" cm="1">
        <f t="array" ref="Z114">INT(SUMPRODUCT(--ISNUMBER(SEARCH(bipartisan,C114)))&gt;0)</f>
        <v>0</v>
      </c>
      <c r="AA114" s="14">
        <f t="shared" si="1"/>
        <v>0</v>
      </c>
      <c r="AB114" s="14"/>
      <c r="AC114" s="30" t="s">
        <v>223</v>
      </c>
      <c r="AD114" s="37" t="s">
        <v>223</v>
      </c>
    </row>
    <row r="115" spans="1:30" x14ac:dyDescent="0.25">
      <c r="A115" s="36">
        <v>3520</v>
      </c>
      <c r="B115" s="14" t="s">
        <v>7665</v>
      </c>
      <c r="C115" s="14" t="s">
        <v>7666</v>
      </c>
      <c r="D115" s="17">
        <v>44117</v>
      </c>
      <c r="E115" s="14" t="s">
        <v>30</v>
      </c>
      <c r="F115" s="14">
        <v>444</v>
      </c>
      <c r="G115" s="14">
        <v>150</v>
      </c>
      <c r="H115" s="14">
        <v>16</v>
      </c>
      <c r="I115" s="14">
        <v>8</v>
      </c>
      <c r="J115" s="14" t="s">
        <v>204</v>
      </c>
      <c r="K115" s="14" cm="1">
        <f t="array" ref="K115">INT(SUMPRODUCT(--ISNUMBER(SEARCH(economy,C115)))&gt;0)</f>
        <v>1</v>
      </c>
      <c r="L115" s="14" cm="1">
        <f t="array" ref="L115">INT(SUMPRODUCT(--ISNUMBER(SEARCH(healthcare,C115)))&gt;0)</f>
        <v>0</v>
      </c>
      <c r="M115" s="14" cm="1">
        <f t="array" ref="M115">INT(SUMPRODUCT(--ISNUMBER(SEARCH(supreme,C115)))&gt;0)</f>
        <v>0</v>
      </c>
      <c r="N115" s="14" cm="1">
        <f t="array" ref="N115">INT(SUMPRODUCT(--ISNUMBER(SEARCH(covid,C115)))&gt;0)</f>
        <v>1</v>
      </c>
      <c r="O115" s="14" cm="1">
        <f t="array" ref="O115">INT(SUMPRODUCT(--ISNUMBER(SEARCH(violent,C115)))&gt;0)</f>
        <v>0</v>
      </c>
      <c r="P115" s="14" cm="1">
        <f t="array" ref="P115">INT(SUMPRODUCT(--ISNUMBER(SEARCH(foreign,C115)))&gt;0)</f>
        <v>0</v>
      </c>
      <c r="Q115" s="14" cm="1">
        <f t="array" ref="Q115">INT(SUMPRODUCT(--ISNUMBER(SEARCH(gun,C115)))&gt;0)</f>
        <v>0</v>
      </c>
      <c r="R115" s="14" cm="1">
        <f t="array" ref="R115">INT(SUMPRODUCT(--ISNUMBER(SEARCH(race,C115)))&gt;0)</f>
        <v>0</v>
      </c>
      <c r="S115" s="14" cm="1">
        <f t="array" ref="S115">INT(SUMPRODUCT(--ISNUMBER(SEARCH(immigration,C115)))&gt;0)</f>
        <v>0</v>
      </c>
      <c r="T115" s="14" cm="1">
        <f t="array" ref="T115">INT(SUMPRODUCT(--ISNUMBER(SEARCH(econineq,C116)))&gt;0)</f>
        <v>0</v>
      </c>
      <c r="U115" s="14" cm="1">
        <f t="array" ref="U115">INT(SUMPRODUCT(--ISNUMBER(SEARCH(climate,C115)))&gt;0)</f>
        <v>0</v>
      </c>
      <c r="V115" s="14" cm="1">
        <f t="array" ref="V115">INT(SUMPRODUCT(--ISNUMBER(SEARCH(abortion,C115)))&gt;0)</f>
        <v>0</v>
      </c>
      <c r="W115" s="14" cm="1">
        <f t="array" ref="W115">INT(SUMPRODUCT(--ISNUMBER(SEARCH(trump,C115)))&gt;0)</f>
        <v>0</v>
      </c>
      <c r="X115" s="14" cm="1">
        <f t="array" ref="X115">INT(SUMPRODUCT(--ISNUMBER(SEARCH(voting,C115)))&gt;0)</f>
        <v>0</v>
      </c>
      <c r="Y115" s="14" cm="1">
        <f t="array" ref="Y115">INT(SUMPRODUCT(--ISNUMBER(SEARCH(democrattrigger,C115)))&gt;0)</f>
        <v>0</v>
      </c>
      <c r="Z115" s="14" cm="1">
        <f t="array" ref="Z115">INT(SUMPRODUCT(--ISNUMBER(SEARCH(bipartisan,C115)))&gt;0)</f>
        <v>0</v>
      </c>
      <c r="AA115" s="14">
        <f t="shared" si="1"/>
        <v>0</v>
      </c>
      <c r="AB115" s="14"/>
      <c r="AC115" s="30" t="s">
        <v>223</v>
      </c>
      <c r="AD115" s="37" t="s">
        <v>223</v>
      </c>
    </row>
    <row r="116" spans="1:30" x14ac:dyDescent="0.25">
      <c r="A116" s="36">
        <v>3521</v>
      </c>
      <c r="B116" s="14" t="s">
        <v>7667</v>
      </c>
      <c r="C116" s="14" t="s">
        <v>7668</v>
      </c>
      <c r="D116" s="17">
        <v>44117</v>
      </c>
      <c r="E116" s="14" t="s">
        <v>30</v>
      </c>
      <c r="F116" s="14">
        <v>1265</v>
      </c>
      <c r="G116" s="14">
        <v>424</v>
      </c>
      <c r="H116" s="14">
        <v>16</v>
      </c>
      <c r="I116" s="14">
        <v>8</v>
      </c>
      <c r="J116" s="14" t="s">
        <v>204</v>
      </c>
      <c r="K116" s="14" cm="1">
        <f t="array" ref="K116">INT(SUMPRODUCT(--ISNUMBER(SEARCH(economy,C116)))&gt;0)</f>
        <v>0</v>
      </c>
      <c r="L116" s="14" cm="1">
        <f t="array" ref="L116">INT(SUMPRODUCT(--ISNUMBER(SEARCH(healthcare,C116)))&gt;0)</f>
        <v>0</v>
      </c>
      <c r="M116" s="14" cm="1">
        <f t="array" ref="M116">INT(SUMPRODUCT(--ISNUMBER(SEARCH(supreme,C116)))&gt;0)</f>
        <v>0</v>
      </c>
      <c r="N116" s="14" cm="1">
        <f t="array" ref="N116">INT(SUMPRODUCT(--ISNUMBER(SEARCH(covid,C116)))&gt;0)</f>
        <v>0</v>
      </c>
      <c r="O116" s="14" cm="1">
        <f t="array" ref="O116">INT(SUMPRODUCT(--ISNUMBER(SEARCH(violent,C116)))&gt;0)</f>
        <v>0</v>
      </c>
      <c r="P116" s="14" cm="1">
        <f t="array" ref="P116">INT(SUMPRODUCT(--ISNUMBER(SEARCH(foreign,C116)))&gt;0)</f>
        <v>0</v>
      </c>
      <c r="Q116" s="14" cm="1">
        <f t="array" ref="Q116">INT(SUMPRODUCT(--ISNUMBER(SEARCH(gun,C116)))&gt;0)</f>
        <v>1</v>
      </c>
      <c r="R116" s="14" cm="1">
        <f t="array" ref="R116">INT(SUMPRODUCT(--ISNUMBER(SEARCH(race,C116)))&gt;0)</f>
        <v>0</v>
      </c>
      <c r="S116" s="14" cm="1">
        <f t="array" ref="S116">INT(SUMPRODUCT(--ISNUMBER(SEARCH(immigration,C116)))&gt;0)</f>
        <v>0</v>
      </c>
      <c r="T116" s="14" cm="1">
        <f t="array" ref="T116">INT(SUMPRODUCT(--ISNUMBER(SEARCH(econineq,C117)))&gt;0)</f>
        <v>0</v>
      </c>
      <c r="U116" s="14" cm="1">
        <f t="array" ref="U116">INT(SUMPRODUCT(--ISNUMBER(SEARCH(climate,C116)))&gt;0)</f>
        <v>0</v>
      </c>
      <c r="V116" s="14" cm="1">
        <f t="array" ref="V116">INT(SUMPRODUCT(--ISNUMBER(SEARCH(abortion,C116)))&gt;0)</f>
        <v>0</v>
      </c>
      <c r="W116" s="14" cm="1">
        <f t="array" ref="W116">INT(SUMPRODUCT(--ISNUMBER(SEARCH(trump,C116)))&gt;0)</f>
        <v>0</v>
      </c>
      <c r="X116" s="14" cm="1">
        <f t="array" ref="X116">INT(SUMPRODUCT(--ISNUMBER(SEARCH(voting,C116)))&gt;0)</f>
        <v>1</v>
      </c>
      <c r="Y116" s="14" cm="1">
        <f t="array" ref="Y116">INT(SUMPRODUCT(--ISNUMBER(SEARCH(democrattrigger,C116)))&gt;0)</f>
        <v>0</v>
      </c>
      <c r="Z116" s="14" cm="1">
        <f t="array" ref="Z116">INT(SUMPRODUCT(--ISNUMBER(SEARCH(bipartisan,C116)))&gt;0)</f>
        <v>0</v>
      </c>
      <c r="AA116" s="14">
        <f t="shared" si="1"/>
        <v>0</v>
      </c>
      <c r="AB116" s="14"/>
      <c r="AC116" s="30">
        <v>1</v>
      </c>
      <c r="AD116" s="37">
        <v>0</v>
      </c>
    </row>
    <row r="117" spans="1:30" x14ac:dyDescent="0.25">
      <c r="A117" s="36">
        <v>3522</v>
      </c>
      <c r="B117" s="14" t="s">
        <v>7669</v>
      </c>
      <c r="C117" s="14" t="s">
        <v>7670</v>
      </c>
      <c r="D117" s="17">
        <v>44116</v>
      </c>
      <c r="E117" s="14" t="s">
        <v>30</v>
      </c>
      <c r="F117" s="14">
        <v>1102</v>
      </c>
      <c r="G117" s="14">
        <v>299</v>
      </c>
      <c r="H117" s="14">
        <v>16</v>
      </c>
      <c r="I117" s="14">
        <v>8</v>
      </c>
      <c r="J117" s="14" t="s">
        <v>204</v>
      </c>
      <c r="K117" s="14" cm="1">
        <f t="array" ref="K117">INT(SUMPRODUCT(--ISNUMBER(SEARCH(economy,C117)))&gt;0)</f>
        <v>0</v>
      </c>
      <c r="L117" s="14" cm="1">
        <f t="array" ref="L117">INT(SUMPRODUCT(--ISNUMBER(SEARCH(healthcare,C117)))&gt;0)</f>
        <v>0</v>
      </c>
      <c r="M117" s="14" cm="1">
        <f t="array" ref="M117">INT(SUMPRODUCT(--ISNUMBER(SEARCH(supreme,C117)))&gt;0)</f>
        <v>0</v>
      </c>
      <c r="N117" s="14" cm="1">
        <f t="array" ref="N117">INT(SUMPRODUCT(--ISNUMBER(SEARCH(covid,C117)))&gt;0)</f>
        <v>0</v>
      </c>
      <c r="O117" s="14" cm="1">
        <f t="array" ref="O117">INT(SUMPRODUCT(--ISNUMBER(SEARCH(violent,C117)))&gt;0)</f>
        <v>0</v>
      </c>
      <c r="P117" s="14" cm="1">
        <f t="array" ref="P117">INT(SUMPRODUCT(--ISNUMBER(SEARCH(foreign,C117)))&gt;0)</f>
        <v>0</v>
      </c>
      <c r="Q117" s="14" cm="1">
        <f t="array" ref="Q117">INT(SUMPRODUCT(--ISNUMBER(SEARCH(gun,C117)))&gt;0)</f>
        <v>0</v>
      </c>
      <c r="R117" s="14" cm="1">
        <f t="array" ref="R117">INT(SUMPRODUCT(--ISNUMBER(SEARCH(race,C117)))&gt;0)</f>
        <v>0</v>
      </c>
      <c r="S117" s="14" cm="1">
        <f t="array" ref="S117">INT(SUMPRODUCT(--ISNUMBER(SEARCH(immigration,C117)))&gt;0)</f>
        <v>0</v>
      </c>
      <c r="T117" s="14" cm="1">
        <f t="array" ref="T117">INT(SUMPRODUCT(--ISNUMBER(SEARCH(econineq,C118)))&gt;0)</f>
        <v>0</v>
      </c>
      <c r="U117" s="14" cm="1">
        <f t="array" ref="U117">INT(SUMPRODUCT(--ISNUMBER(SEARCH(climate,C117)))&gt;0)</f>
        <v>0</v>
      </c>
      <c r="V117" s="14" cm="1">
        <f t="array" ref="V117">INT(SUMPRODUCT(--ISNUMBER(SEARCH(abortion,C117)))&gt;0)</f>
        <v>0</v>
      </c>
      <c r="W117" s="14" cm="1">
        <f t="array" ref="W117">INT(SUMPRODUCT(--ISNUMBER(SEARCH(trump,C117)))&gt;0)</f>
        <v>0</v>
      </c>
      <c r="X117" s="14" cm="1">
        <f t="array" ref="X117">INT(SUMPRODUCT(--ISNUMBER(SEARCH(voting,C117)))&gt;0)</f>
        <v>0</v>
      </c>
      <c r="Y117" s="14" cm="1">
        <f t="array" ref="Y117">INT(SUMPRODUCT(--ISNUMBER(SEARCH(democrattrigger,C117)))&gt;0)</f>
        <v>0</v>
      </c>
      <c r="Z117" s="14" cm="1">
        <f t="array" ref="Z117">INT(SUMPRODUCT(--ISNUMBER(SEARCH(bipartisan,C117)))&gt;0)</f>
        <v>0</v>
      </c>
      <c r="AA117" s="14">
        <f t="shared" si="1"/>
        <v>1</v>
      </c>
      <c r="AB117" s="14"/>
      <c r="AC117" s="30">
        <v>1</v>
      </c>
      <c r="AD117" s="37">
        <v>0</v>
      </c>
    </row>
    <row r="118" spans="1:30" x14ac:dyDescent="0.25">
      <c r="A118" s="36">
        <v>3523</v>
      </c>
      <c r="B118" s="14" t="s">
        <v>7671</v>
      </c>
      <c r="C118" s="14" t="s">
        <v>7672</v>
      </c>
      <c r="D118" s="17">
        <v>44116</v>
      </c>
      <c r="E118" s="14" t="s">
        <v>30</v>
      </c>
      <c r="F118" s="14">
        <v>728</v>
      </c>
      <c r="G118" s="14">
        <v>231</v>
      </c>
      <c r="H118" s="14">
        <v>16</v>
      </c>
      <c r="I118" s="14">
        <v>8</v>
      </c>
      <c r="J118" s="14" t="s">
        <v>204</v>
      </c>
      <c r="K118" s="14" cm="1">
        <f t="array" ref="K118">INT(SUMPRODUCT(--ISNUMBER(SEARCH(economy,C118)))&gt;0)</f>
        <v>0</v>
      </c>
      <c r="L118" s="14" cm="1">
        <f t="array" ref="L118">INT(SUMPRODUCT(--ISNUMBER(SEARCH(healthcare,C118)))&gt;0)</f>
        <v>0</v>
      </c>
      <c r="M118" s="14" cm="1">
        <f t="array" ref="M118">INT(SUMPRODUCT(--ISNUMBER(SEARCH(supreme,C118)))&gt;0)</f>
        <v>1</v>
      </c>
      <c r="N118" s="14" cm="1">
        <f t="array" ref="N118">INT(SUMPRODUCT(--ISNUMBER(SEARCH(covid,C118)))&gt;0)</f>
        <v>0</v>
      </c>
      <c r="O118" s="14" cm="1">
        <f t="array" ref="O118">INT(SUMPRODUCT(--ISNUMBER(SEARCH(violent,C118)))&gt;0)</f>
        <v>0</v>
      </c>
      <c r="P118" s="14" cm="1">
        <f t="array" ref="P118">INT(SUMPRODUCT(--ISNUMBER(SEARCH(foreign,C118)))&gt;0)</f>
        <v>0</v>
      </c>
      <c r="Q118" s="14" cm="1">
        <f t="array" ref="Q118">INT(SUMPRODUCT(--ISNUMBER(SEARCH(gun,C118)))&gt;0)</f>
        <v>0</v>
      </c>
      <c r="R118" s="14" cm="1">
        <f t="array" ref="R118">INT(SUMPRODUCT(--ISNUMBER(SEARCH(race,C118)))&gt;0)</f>
        <v>0</v>
      </c>
      <c r="S118" s="14" cm="1">
        <f t="array" ref="S118">INT(SUMPRODUCT(--ISNUMBER(SEARCH(immigration,C118)))&gt;0)</f>
        <v>0</v>
      </c>
      <c r="T118" s="14" cm="1">
        <f t="array" ref="T118">INT(SUMPRODUCT(--ISNUMBER(SEARCH(econineq,C119)))&gt;0)</f>
        <v>0</v>
      </c>
      <c r="U118" s="14" cm="1">
        <f t="array" ref="U118">INT(SUMPRODUCT(--ISNUMBER(SEARCH(climate,C118)))&gt;0)</f>
        <v>0</v>
      </c>
      <c r="V118" s="14" cm="1">
        <f t="array" ref="V118">INT(SUMPRODUCT(--ISNUMBER(SEARCH(abortion,C118)))&gt;0)</f>
        <v>0</v>
      </c>
      <c r="W118" s="14" cm="1">
        <f t="array" ref="W118">INT(SUMPRODUCT(--ISNUMBER(SEARCH(trump,C118)))&gt;0)</f>
        <v>0</v>
      </c>
      <c r="X118" s="14" cm="1">
        <f t="array" ref="X118">INT(SUMPRODUCT(--ISNUMBER(SEARCH(voting,C118)))&gt;0)</f>
        <v>0</v>
      </c>
      <c r="Y118" s="14" cm="1">
        <f t="array" ref="Y118">INT(SUMPRODUCT(--ISNUMBER(SEARCH(democrattrigger,C118)))&gt;0)</f>
        <v>1</v>
      </c>
      <c r="Z118" s="14" cm="1">
        <f t="array" ref="Z118">INT(SUMPRODUCT(--ISNUMBER(SEARCH(bipartisan,C118)))&gt;0)</f>
        <v>0</v>
      </c>
      <c r="AA118" s="14">
        <f t="shared" si="1"/>
        <v>0</v>
      </c>
      <c r="AB118" s="14"/>
      <c r="AC118" s="30" t="s">
        <v>223</v>
      </c>
      <c r="AD118" s="37" t="s">
        <v>223</v>
      </c>
    </row>
    <row r="119" spans="1:30" x14ac:dyDescent="0.25">
      <c r="A119" s="36">
        <v>3524</v>
      </c>
      <c r="B119" s="14" t="s">
        <v>7673</v>
      </c>
      <c r="C119" s="14" t="s">
        <v>7674</v>
      </c>
      <c r="D119" s="17">
        <v>44116</v>
      </c>
      <c r="E119" s="14" t="s">
        <v>30</v>
      </c>
      <c r="F119" s="14">
        <v>1281</v>
      </c>
      <c r="G119" s="14">
        <v>587</v>
      </c>
      <c r="H119" s="14">
        <v>16</v>
      </c>
      <c r="I119" s="14">
        <v>8</v>
      </c>
      <c r="J119" s="14" t="s">
        <v>204</v>
      </c>
      <c r="K119" s="14" cm="1">
        <f t="array" ref="K119">INT(SUMPRODUCT(--ISNUMBER(SEARCH(economy,C119)))&gt;0)</f>
        <v>0</v>
      </c>
      <c r="L119" s="14" cm="1">
        <f t="array" ref="L119">INT(SUMPRODUCT(--ISNUMBER(SEARCH(healthcare,C119)))&gt;0)</f>
        <v>0</v>
      </c>
      <c r="M119" s="14" cm="1">
        <f t="array" ref="M119">INT(SUMPRODUCT(--ISNUMBER(SEARCH(supreme,C119)))&gt;0)</f>
        <v>1</v>
      </c>
      <c r="N119" s="14" cm="1">
        <f t="array" ref="N119">INT(SUMPRODUCT(--ISNUMBER(SEARCH(covid,C119)))&gt;0)</f>
        <v>0</v>
      </c>
      <c r="O119" s="14" cm="1">
        <f t="array" ref="O119">INT(SUMPRODUCT(--ISNUMBER(SEARCH(violent,C119)))&gt;0)</f>
        <v>0</v>
      </c>
      <c r="P119" s="14" cm="1">
        <f t="array" ref="P119">INT(SUMPRODUCT(--ISNUMBER(SEARCH(foreign,C119)))&gt;0)</f>
        <v>0</v>
      </c>
      <c r="Q119" s="14" cm="1">
        <f t="array" ref="Q119">INT(SUMPRODUCT(--ISNUMBER(SEARCH(gun,C119)))&gt;0)</f>
        <v>0</v>
      </c>
      <c r="R119" s="14" cm="1">
        <f t="array" ref="R119">INT(SUMPRODUCT(--ISNUMBER(SEARCH(race,C119)))&gt;0)</f>
        <v>0</v>
      </c>
      <c r="S119" s="14" cm="1">
        <f t="array" ref="S119">INT(SUMPRODUCT(--ISNUMBER(SEARCH(immigration,C119)))&gt;0)</f>
        <v>0</v>
      </c>
      <c r="T119" s="14" cm="1">
        <f t="array" ref="T119">INT(SUMPRODUCT(--ISNUMBER(SEARCH(econineq,C120)))&gt;0)</f>
        <v>0</v>
      </c>
      <c r="U119" s="14" cm="1">
        <f t="array" ref="U119">INT(SUMPRODUCT(--ISNUMBER(SEARCH(climate,C119)))&gt;0)</f>
        <v>0</v>
      </c>
      <c r="V119" s="14" cm="1">
        <f t="array" ref="V119">INT(SUMPRODUCT(--ISNUMBER(SEARCH(abortion,C119)))&gt;0)</f>
        <v>0</v>
      </c>
      <c r="W119" s="14" cm="1">
        <f t="array" ref="W119">INT(SUMPRODUCT(--ISNUMBER(SEARCH(trump,C119)))&gt;0)</f>
        <v>1</v>
      </c>
      <c r="X119" s="14" cm="1">
        <f t="array" ref="X119">INT(SUMPRODUCT(--ISNUMBER(SEARCH(voting,C119)))&gt;0)</f>
        <v>0</v>
      </c>
      <c r="Y119" s="14" cm="1">
        <f t="array" ref="Y119">INT(SUMPRODUCT(--ISNUMBER(SEARCH(democrattrigger,C119)))&gt;0)</f>
        <v>1</v>
      </c>
      <c r="Z119" s="14" cm="1">
        <f t="array" ref="Z119">INT(SUMPRODUCT(--ISNUMBER(SEARCH(bipartisan,C119)))&gt;0)</f>
        <v>0</v>
      </c>
      <c r="AA119" s="14">
        <f t="shared" si="1"/>
        <v>0</v>
      </c>
      <c r="AB119" s="14"/>
      <c r="AC119" s="30">
        <v>0</v>
      </c>
      <c r="AD119" s="37">
        <v>1</v>
      </c>
    </row>
    <row r="120" spans="1:30" x14ac:dyDescent="0.25">
      <c r="A120" s="36">
        <v>3525</v>
      </c>
      <c r="B120" s="14" t="s">
        <v>7675</v>
      </c>
      <c r="C120" s="14" t="s">
        <v>7676</v>
      </c>
      <c r="D120" s="17">
        <v>44116</v>
      </c>
      <c r="E120" s="14" t="s">
        <v>30</v>
      </c>
      <c r="F120" s="14">
        <v>901</v>
      </c>
      <c r="G120" s="14">
        <v>254</v>
      </c>
      <c r="H120" s="14">
        <v>16</v>
      </c>
      <c r="I120" s="14">
        <v>8</v>
      </c>
      <c r="J120" s="14" t="s">
        <v>204</v>
      </c>
      <c r="K120" s="14" cm="1">
        <f t="array" ref="K120">INT(SUMPRODUCT(--ISNUMBER(SEARCH(economy,C120)))&gt;0)</f>
        <v>0</v>
      </c>
      <c r="L120" s="14" cm="1">
        <f t="array" ref="L120">INT(SUMPRODUCT(--ISNUMBER(SEARCH(healthcare,C120)))&gt;0)</f>
        <v>0</v>
      </c>
      <c r="M120" s="14" cm="1">
        <f t="array" ref="M120">INT(SUMPRODUCT(--ISNUMBER(SEARCH(supreme,C120)))&gt;0)</f>
        <v>0</v>
      </c>
      <c r="N120" s="14" cm="1">
        <f t="array" ref="N120">INT(SUMPRODUCT(--ISNUMBER(SEARCH(covid,C120)))&gt;0)</f>
        <v>0</v>
      </c>
      <c r="O120" s="14" cm="1">
        <f t="array" ref="O120">INT(SUMPRODUCT(--ISNUMBER(SEARCH(violent,C120)))&gt;0)</f>
        <v>0</v>
      </c>
      <c r="P120" s="14" cm="1">
        <f t="array" ref="P120">INT(SUMPRODUCT(--ISNUMBER(SEARCH(foreign,C120)))&gt;0)</f>
        <v>0</v>
      </c>
      <c r="Q120" s="14" cm="1">
        <f t="array" ref="Q120">INT(SUMPRODUCT(--ISNUMBER(SEARCH(gun,C120)))&gt;0)</f>
        <v>0</v>
      </c>
      <c r="R120" s="14" cm="1">
        <f t="array" ref="R120">INT(SUMPRODUCT(--ISNUMBER(SEARCH(race,C120)))&gt;0)</f>
        <v>0</v>
      </c>
      <c r="S120" s="14" cm="1">
        <f t="array" ref="S120">INT(SUMPRODUCT(--ISNUMBER(SEARCH(immigration,C120)))&gt;0)</f>
        <v>0</v>
      </c>
      <c r="T120" s="14" cm="1">
        <f t="array" ref="T120">INT(SUMPRODUCT(--ISNUMBER(SEARCH(econineq,C121)))&gt;0)</f>
        <v>0</v>
      </c>
      <c r="U120" s="14" cm="1">
        <f t="array" ref="U120">INT(SUMPRODUCT(--ISNUMBER(SEARCH(climate,C120)))&gt;0)</f>
        <v>0</v>
      </c>
      <c r="V120" s="14" cm="1">
        <f t="array" ref="V120">INT(SUMPRODUCT(--ISNUMBER(SEARCH(abortion,C120)))&gt;0)</f>
        <v>0</v>
      </c>
      <c r="W120" s="14" cm="1">
        <f t="array" ref="W120">INT(SUMPRODUCT(--ISNUMBER(SEARCH(trump,C120)))&gt;0)</f>
        <v>0</v>
      </c>
      <c r="X120" s="14" cm="1">
        <f t="array" ref="X120">INT(SUMPRODUCT(--ISNUMBER(SEARCH(voting,C120)))&gt;0)</f>
        <v>1</v>
      </c>
      <c r="Y120" s="14" cm="1">
        <f t="array" ref="Y120">INT(SUMPRODUCT(--ISNUMBER(SEARCH(democrattrigger,C120)))&gt;0)</f>
        <v>0</v>
      </c>
      <c r="Z120" s="14" cm="1">
        <f t="array" ref="Z120">INT(SUMPRODUCT(--ISNUMBER(SEARCH(bipartisan,C120)))&gt;0)</f>
        <v>0</v>
      </c>
      <c r="AA120" s="14">
        <f t="shared" si="1"/>
        <v>0</v>
      </c>
      <c r="AB120" s="14"/>
      <c r="AC120" s="30">
        <v>0</v>
      </c>
      <c r="AD120" s="37">
        <v>1</v>
      </c>
    </row>
    <row r="121" spans="1:30" x14ac:dyDescent="0.25">
      <c r="A121" s="36">
        <v>3526</v>
      </c>
      <c r="B121" s="14" t="s">
        <v>7677</v>
      </c>
      <c r="C121" s="14" t="s">
        <v>7678</v>
      </c>
      <c r="D121" s="17">
        <v>44116</v>
      </c>
      <c r="E121" s="14" t="s">
        <v>30</v>
      </c>
      <c r="F121" s="14">
        <v>1651</v>
      </c>
      <c r="G121" s="14">
        <v>593</v>
      </c>
      <c r="H121" s="14">
        <v>16</v>
      </c>
      <c r="I121" s="14">
        <v>8</v>
      </c>
      <c r="J121" s="14" t="s">
        <v>204</v>
      </c>
      <c r="K121" s="14" cm="1">
        <f t="array" ref="K121">INT(SUMPRODUCT(--ISNUMBER(SEARCH(economy,C121)))&gt;0)</f>
        <v>0</v>
      </c>
      <c r="L121" s="14" cm="1">
        <f t="array" ref="L121">INT(SUMPRODUCT(--ISNUMBER(SEARCH(healthcare,C121)))&gt;0)</f>
        <v>1</v>
      </c>
      <c r="M121" s="14" cm="1">
        <f t="array" ref="M121">INT(SUMPRODUCT(--ISNUMBER(SEARCH(supreme,C121)))&gt;0)</f>
        <v>0</v>
      </c>
      <c r="N121" s="14" cm="1">
        <f t="array" ref="N121">INT(SUMPRODUCT(--ISNUMBER(SEARCH(covid,C121)))&gt;0)</f>
        <v>0</v>
      </c>
      <c r="O121" s="14" cm="1">
        <f t="array" ref="O121">INT(SUMPRODUCT(--ISNUMBER(SEARCH(violent,C121)))&gt;0)</f>
        <v>0</v>
      </c>
      <c r="P121" s="14" cm="1">
        <f t="array" ref="P121">INT(SUMPRODUCT(--ISNUMBER(SEARCH(foreign,C121)))&gt;0)</f>
        <v>0</v>
      </c>
      <c r="Q121" s="14" cm="1">
        <f t="array" ref="Q121">INT(SUMPRODUCT(--ISNUMBER(SEARCH(gun,C121)))&gt;0)</f>
        <v>0</v>
      </c>
      <c r="R121" s="14" cm="1">
        <f t="array" ref="R121">INT(SUMPRODUCT(--ISNUMBER(SEARCH(race,C121)))&gt;0)</f>
        <v>0</v>
      </c>
      <c r="S121" s="14" cm="1">
        <f t="array" ref="S121">INT(SUMPRODUCT(--ISNUMBER(SEARCH(immigration,C121)))&gt;0)</f>
        <v>0</v>
      </c>
      <c r="T121" s="14" cm="1">
        <f t="array" ref="T121">INT(SUMPRODUCT(--ISNUMBER(SEARCH(econineq,C122)))&gt;0)</f>
        <v>0</v>
      </c>
      <c r="U121" s="14" cm="1">
        <f t="array" ref="U121">INT(SUMPRODUCT(--ISNUMBER(SEARCH(climate,C121)))&gt;0)</f>
        <v>0</v>
      </c>
      <c r="V121" s="14" cm="1">
        <f t="array" ref="V121">INT(SUMPRODUCT(--ISNUMBER(SEARCH(abortion,C121)))&gt;0)</f>
        <v>0</v>
      </c>
      <c r="W121" s="14" cm="1">
        <f t="array" ref="W121">INT(SUMPRODUCT(--ISNUMBER(SEARCH(trump,C121)))&gt;0)</f>
        <v>0</v>
      </c>
      <c r="X121" s="14" cm="1">
        <f t="array" ref="X121">INT(SUMPRODUCT(--ISNUMBER(SEARCH(voting,C121)))&gt;0)</f>
        <v>1</v>
      </c>
      <c r="Y121" s="14" cm="1">
        <f t="array" ref="Y121">INT(SUMPRODUCT(--ISNUMBER(SEARCH(democrattrigger,C121)))&gt;0)</f>
        <v>0</v>
      </c>
      <c r="Z121" s="14" cm="1">
        <f t="array" ref="Z121">INT(SUMPRODUCT(--ISNUMBER(SEARCH(bipartisan,C121)))&gt;0)</f>
        <v>0</v>
      </c>
      <c r="AA121" s="14">
        <f t="shared" si="1"/>
        <v>0</v>
      </c>
      <c r="AB121" s="14"/>
      <c r="AC121" s="30">
        <v>1</v>
      </c>
      <c r="AD121" s="37">
        <v>1</v>
      </c>
    </row>
    <row r="122" spans="1:30" x14ac:dyDescent="0.25">
      <c r="A122" s="36">
        <v>3527</v>
      </c>
      <c r="B122" s="14" t="s">
        <v>7679</v>
      </c>
      <c r="C122" s="14" t="s">
        <v>7680</v>
      </c>
      <c r="D122" s="17">
        <v>44115</v>
      </c>
      <c r="E122" s="14" t="s">
        <v>30</v>
      </c>
      <c r="F122" s="14">
        <v>824</v>
      </c>
      <c r="G122" s="14">
        <v>323</v>
      </c>
      <c r="H122" s="14">
        <v>16</v>
      </c>
      <c r="I122" s="14">
        <v>8</v>
      </c>
      <c r="J122" s="14" t="s">
        <v>204</v>
      </c>
      <c r="K122" s="14" cm="1">
        <f t="array" ref="K122">INT(SUMPRODUCT(--ISNUMBER(SEARCH(economy,C122)))&gt;0)</f>
        <v>0</v>
      </c>
      <c r="L122" s="14" cm="1">
        <f t="array" ref="L122">INT(SUMPRODUCT(--ISNUMBER(SEARCH(healthcare,C122)))&gt;0)</f>
        <v>0</v>
      </c>
      <c r="M122" s="14" cm="1">
        <f t="array" ref="M122">INT(SUMPRODUCT(--ISNUMBER(SEARCH(supreme,C122)))&gt;0)</f>
        <v>0</v>
      </c>
      <c r="N122" s="14" cm="1">
        <f t="array" ref="N122">INT(SUMPRODUCT(--ISNUMBER(SEARCH(covid,C122)))&gt;0)</f>
        <v>0</v>
      </c>
      <c r="O122" s="14" cm="1">
        <f t="array" ref="O122">INT(SUMPRODUCT(--ISNUMBER(SEARCH(violent,C122)))&gt;0)</f>
        <v>0</v>
      </c>
      <c r="P122" s="14" cm="1">
        <f t="array" ref="P122">INT(SUMPRODUCT(--ISNUMBER(SEARCH(foreign,C122)))&gt;0)</f>
        <v>0</v>
      </c>
      <c r="Q122" s="14" cm="1">
        <f t="array" ref="Q122">INT(SUMPRODUCT(--ISNUMBER(SEARCH(gun,C122)))&gt;0)</f>
        <v>0</v>
      </c>
      <c r="R122" s="14" cm="1">
        <f t="array" ref="R122">INT(SUMPRODUCT(--ISNUMBER(SEARCH(race,C122)))&gt;0)</f>
        <v>0</v>
      </c>
      <c r="S122" s="14" cm="1">
        <f t="array" ref="S122">INT(SUMPRODUCT(--ISNUMBER(SEARCH(immigration,C122)))&gt;0)</f>
        <v>0</v>
      </c>
      <c r="T122" s="14" cm="1">
        <f t="array" ref="T122">INT(SUMPRODUCT(--ISNUMBER(SEARCH(econineq,C123)))&gt;0)</f>
        <v>0</v>
      </c>
      <c r="U122" s="14" cm="1">
        <f t="array" ref="U122">INT(SUMPRODUCT(--ISNUMBER(SEARCH(climate,C122)))&gt;0)</f>
        <v>0</v>
      </c>
      <c r="V122" s="14" cm="1">
        <f t="array" ref="V122">INT(SUMPRODUCT(--ISNUMBER(SEARCH(abortion,C122)))&gt;0)</f>
        <v>0</v>
      </c>
      <c r="W122" s="14" cm="1">
        <f t="array" ref="W122">INT(SUMPRODUCT(--ISNUMBER(SEARCH(trump,C122)))&gt;0)</f>
        <v>1</v>
      </c>
      <c r="X122" s="14" cm="1">
        <f t="array" ref="X122">INT(SUMPRODUCT(--ISNUMBER(SEARCH(voting,C122)))&gt;0)</f>
        <v>1</v>
      </c>
      <c r="Y122" s="14" cm="1">
        <f t="array" ref="Y122">INT(SUMPRODUCT(--ISNUMBER(SEARCH(democrattrigger,C122)))&gt;0)</f>
        <v>1</v>
      </c>
      <c r="Z122" s="14" cm="1">
        <f t="array" ref="Z122">INT(SUMPRODUCT(--ISNUMBER(SEARCH(bipartisan,C122)))&gt;0)</f>
        <v>0</v>
      </c>
      <c r="AA122" s="14">
        <f t="shared" si="1"/>
        <v>0</v>
      </c>
      <c r="AB122" s="14"/>
      <c r="AC122" s="30" t="s">
        <v>223</v>
      </c>
      <c r="AD122" s="37" t="s">
        <v>223</v>
      </c>
    </row>
    <row r="123" spans="1:30" x14ac:dyDescent="0.25">
      <c r="A123" s="36">
        <v>3528</v>
      </c>
      <c r="B123" s="14" t="s">
        <v>7681</v>
      </c>
      <c r="C123" s="14" t="s">
        <v>7682</v>
      </c>
      <c r="D123" s="17">
        <v>44115</v>
      </c>
      <c r="E123" s="14" t="s">
        <v>30</v>
      </c>
      <c r="F123" s="14">
        <v>434</v>
      </c>
      <c r="G123" s="14">
        <v>138</v>
      </c>
      <c r="H123" s="14">
        <v>16</v>
      </c>
      <c r="I123" s="14">
        <v>8</v>
      </c>
      <c r="J123" s="14" t="s">
        <v>204</v>
      </c>
      <c r="K123" s="14" cm="1">
        <f t="array" ref="K123">INT(SUMPRODUCT(--ISNUMBER(SEARCH(economy,C123)))&gt;0)</f>
        <v>0</v>
      </c>
      <c r="L123" s="14" cm="1">
        <f t="array" ref="L123">INT(SUMPRODUCT(--ISNUMBER(SEARCH(healthcare,C123)))&gt;0)</f>
        <v>0</v>
      </c>
      <c r="M123" s="14" cm="1">
        <f t="array" ref="M123">INT(SUMPRODUCT(--ISNUMBER(SEARCH(supreme,C123)))&gt;0)</f>
        <v>0</v>
      </c>
      <c r="N123" s="14" cm="1">
        <f t="array" ref="N123">INT(SUMPRODUCT(--ISNUMBER(SEARCH(covid,C123)))&gt;0)</f>
        <v>1</v>
      </c>
      <c r="O123" s="14" cm="1">
        <f t="array" ref="O123">INT(SUMPRODUCT(--ISNUMBER(SEARCH(violent,C123)))&gt;0)</f>
        <v>0</v>
      </c>
      <c r="P123" s="14" cm="1">
        <f t="array" ref="P123">INT(SUMPRODUCT(--ISNUMBER(SEARCH(foreign,C123)))&gt;0)</f>
        <v>0</v>
      </c>
      <c r="Q123" s="14" cm="1">
        <f t="array" ref="Q123">INT(SUMPRODUCT(--ISNUMBER(SEARCH(gun,C123)))&gt;0)</f>
        <v>0</v>
      </c>
      <c r="R123" s="14" cm="1">
        <f t="array" ref="R123">INT(SUMPRODUCT(--ISNUMBER(SEARCH(race,C123)))&gt;0)</f>
        <v>0</v>
      </c>
      <c r="S123" s="14" cm="1">
        <f t="array" ref="S123">INT(SUMPRODUCT(--ISNUMBER(SEARCH(immigration,C123)))&gt;0)</f>
        <v>0</v>
      </c>
      <c r="T123" s="14" cm="1">
        <f t="array" ref="T123">INT(SUMPRODUCT(--ISNUMBER(SEARCH(econineq,C124)))&gt;0)</f>
        <v>0</v>
      </c>
      <c r="U123" s="14" cm="1">
        <f t="array" ref="U123">INT(SUMPRODUCT(--ISNUMBER(SEARCH(climate,C123)))&gt;0)</f>
        <v>0</v>
      </c>
      <c r="V123" s="14" cm="1">
        <f t="array" ref="V123">INT(SUMPRODUCT(--ISNUMBER(SEARCH(abortion,C123)))&gt;0)</f>
        <v>0</v>
      </c>
      <c r="W123" s="14" cm="1">
        <f t="array" ref="W123">INT(SUMPRODUCT(--ISNUMBER(SEARCH(trump,C123)))&gt;0)</f>
        <v>0</v>
      </c>
      <c r="X123" s="14" cm="1">
        <f t="array" ref="X123">INT(SUMPRODUCT(--ISNUMBER(SEARCH(voting,C123)))&gt;0)</f>
        <v>0</v>
      </c>
      <c r="Y123" s="14" cm="1">
        <f t="array" ref="Y123">INT(SUMPRODUCT(--ISNUMBER(SEARCH(democrattrigger,C123)))&gt;0)</f>
        <v>0</v>
      </c>
      <c r="Z123" s="14" cm="1">
        <f t="array" ref="Z123">INT(SUMPRODUCT(--ISNUMBER(SEARCH(bipartisan,C123)))&gt;0)</f>
        <v>0</v>
      </c>
      <c r="AA123" s="14">
        <f t="shared" si="1"/>
        <v>0</v>
      </c>
      <c r="AB123" s="14"/>
      <c r="AC123" s="30" t="s">
        <v>223</v>
      </c>
      <c r="AD123" s="37" t="s">
        <v>223</v>
      </c>
    </row>
    <row r="124" spans="1:30" x14ac:dyDescent="0.25">
      <c r="A124" s="36">
        <v>3529</v>
      </c>
      <c r="B124" s="14" t="s">
        <v>7683</v>
      </c>
      <c r="C124" s="14" t="s">
        <v>7684</v>
      </c>
      <c r="D124" s="17">
        <v>44115</v>
      </c>
      <c r="E124" s="14" t="s">
        <v>30</v>
      </c>
      <c r="F124" s="14">
        <v>2079</v>
      </c>
      <c r="G124" s="14">
        <v>835</v>
      </c>
      <c r="H124" s="14">
        <v>16</v>
      </c>
      <c r="I124" s="14">
        <v>8</v>
      </c>
      <c r="J124" s="14" t="s">
        <v>204</v>
      </c>
      <c r="K124" s="14" cm="1">
        <f t="array" ref="K124">INT(SUMPRODUCT(--ISNUMBER(SEARCH(economy,C124)))&gt;0)</f>
        <v>0</v>
      </c>
      <c r="L124" s="14" cm="1">
        <f t="array" ref="L124">INT(SUMPRODUCT(--ISNUMBER(SEARCH(healthcare,C124)))&gt;0)</f>
        <v>1</v>
      </c>
      <c r="M124" s="14" cm="1">
        <f t="array" ref="M124">INT(SUMPRODUCT(--ISNUMBER(SEARCH(supreme,C124)))&gt;0)</f>
        <v>0</v>
      </c>
      <c r="N124" s="14" cm="1">
        <f t="array" ref="N124">INT(SUMPRODUCT(--ISNUMBER(SEARCH(covid,C124)))&gt;0)</f>
        <v>0</v>
      </c>
      <c r="O124" s="14" cm="1">
        <f t="array" ref="O124">INT(SUMPRODUCT(--ISNUMBER(SEARCH(violent,C124)))&gt;0)</f>
        <v>0</v>
      </c>
      <c r="P124" s="14" cm="1">
        <f t="array" ref="P124">INT(SUMPRODUCT(--ISNUMBER(SEARCH(foreign,C124)))&gt;0)</f>
        <v>0</v>
      </c>
      <c r="Q124" s="14" cm="1">
        <f t="array" ref="Q124">INT(SUMPRODUCT(--ISNUMBER(SEARCH(gun,C124)))&gt;0)</f>
        <v>0</v>
      </c>
      <c r="R124" s="14" cm="1">
        <f t="array" ref="R124">INT(SUMPRODUCT(--ISNUMBER(SEARCH(race,C124)))&gt;0)</f>
        <v>0</v>
      </c>
      <c r="S124" s="14" cm="1">
        <f t="array" ref="S124">INT(SUMPRODUCT(--ISNUMBER(SEARCH(immigration,C124)))&gt;0)</f>
        <v>0</v>
      </c>
      <c r="T124" s="14" cm="1">
        <f t="array" ref="T124">INT(SUMPRODUCT(--ISNUMBER(SEARCH(econineq,C125)))&gt;0)</f>
        <v>0</v>
      </c>
      <c r="U124" s="14" cm="1">
        <f t="array" ref="U124">INT(SUMPRODUCT(--ISNUMBER(SEARCH(climate,C124)))&gt;0)</f>
        <v>0</v>
      </c>
      <c r="V124" s="14" cm="1">
        <f t="array" ref="V124">INT(SUMPRODUCT(--ISNUMBER(SEARCH(abortion,C124)))&gt;0)</f>
        <v>0</v>
      </c>
      <c r="W124" s="14" cm="1">
        <f t="array" ref="W124">INT(SUMPRODUCT(--ISNUMBER(SEARCH(trump,C124)))&gt;0)</f>
        <v>0</v>
      </c>
      <c r="X124" s="14" cm="1">
        <f t="array" ref="X124">INT(SUMPRODUCT(--ISNUMBER(SEARCH(voting,C124)))&gt;0)</f>
        <v>0</v>
      </c>
      <c r="Y124" s="14" cm="1">
        <f t="array" ref="Y124">INT(SUMPRODUCT(--ISNUMBER(SEARCH(democrattrigger,C124)))&gt;0)</f>
        <v>1</v>
      </c>
      <c r="Z124" s="14" cm="1">
        <f t="array" ref="Z124">INT(SUMPRODUCT(--ISNUMBER(SEARCH(bipartisan,C124)))&gt;0)</f>
        <v>0</v>
      </c>
      <c r="AA124" s="14">
        <f t="shared" si="1"/>
        <v>0</v>
      </c>
      <c r="AB124" s="14"/>
      <c r="AC124" s="30">
        <v>1</v>
      </c>
      <c r="AD124" s="37">
        <v>0</v>
      </c>
    </row>
    <row r="125" spans="1:30" x14ac:dyDescent="0.25">
      <c r="A125" s="36">
        <v>3530</v>
      </c>
      <c r="B125" s="14" t="s">
        <v>7685</v>
      </c>
      <c r="C125" s="14" t="s">
        <v>7686</v>
      </c>
      <c r="D125" s="17">
        <v>44114</v>
      </c>
      <c r="E125" s="14" t="s">
        <v>30</v>
      </c>
      <c r="F125" s="14">
        <v>534</v>
      </c>
      <c r="G125" s="14">
        <v>199</v>
      </c>
      <c r="H125" s="14">
        <v>16</v>
      </c>
      <c r="I125" s="14">
        <v>8</v>
      </c>
      <c r="J125" s="14" t="s">
        <v>204</v>
      </c>
      <c r="K125" s="14" cm="1">
        <f t="array" ref="K125">INT(SUMPRODUCT(--ISNUMBER(SEARCH(economy,C125)))&gt;0)</f>
        <v>0</v>
      </c>
      <c r="L125" s="14" cm="1">
        <f t="array" ref="L125">INT(SUMPRODUCT(--ISNUMBER(SEARCH(healthcare,C125)))&gt;0)</f>
        <v>0</v>
      </c>
      <c r="M125" s="14" cm="1">
        <f t="array" ref="M125">INT(SUMPRODUCT(--ISNUMBER(SEARCH(supreme,C125)))&gt;0)</f>
        <v>0</v>
      </c>
      <c r="N125" s="14" cm="1">
        <f t="array" ref="N125">INT(SUMPRODUCT(--ISNUMBER(SEARCH(covid,C125)))&gt;0)</f>
        <v>1</v>
      </c>
      <c r="O125" s="14" cm="1">
        <f t="array" ref="O125">INT(SUMPRODUCT(--ISNUMBER(SEARCH(violent,C125)))&gt;0)</f>
        <v>0</v>
      </c>
      <c r="P125" s="14" cm="1">
        <f t="array" ref="P125">INT(SUMPRODUCT(--ISNUMBER(SEARCH(foreign,C125)))&gt;0)</f>
        <v>0</v>
      </c>
      <c r="Q125" s="14" cm="1">
        <f t="array" ref="Q125">INT(SUMPRODUCT(--ISNUMBER(SEARCH(gun,C125)))&gt;0)</f>
        <v>0</v>
      </c>
      <c r="R125" s="14" cm="1">
        <f t="array" ref="R125">INT(SUMPRODUCT(--ISNUMBER(SEARCH(race,C125)))&gt;0)</f>
        <v>0</v>
      </c>
      <c r="S125" s="14" cm="1">
        <f t="array" ref="S125">INT(SUMPRODUCT(--ISNUMBER(SEARCH(immigration,C125)))&gt;0)</f>
        <v>0</v>
      </c>
      <c r="T125" s="14" cm="1">
        <f t="array" ref="T125">INT(SUMPRODUCT(--ISNUMBER(SEARCH(econineq,C126)))&gt;0)</f>
        <v>0</v>
      </c>
      <c r="U125" s="14" cm="1">
        <f t="array" ref="U125">INT(SUMPRODUCT(--ISNUMBER(SEARCH(climate,C125)))&gt;0)</f>
        <v>0</v>
      </c>
      <c r="V125" s="14" cm="1">
        <f t="array" ref="V125">INT(SUMPRODUCT(--ISNUMBER(SEARCH(abortion,C125)))&gt;0)</f>
        <v>0</v>
      </c>
      <c r="W125" s="14" cm="1">
        <f t="array" ref="W125">INT(SUMPRODUCT(--ISNUMBER(SEARCH(trump,C125)))&gt;0)</f>
        <v>0</v>
      </c>
      <c r="X125" s="14" cm="1">
        <f t="array" ref="X125">INT(SUMPRODUCT(--ISNUMBER(SEARCH(voting,C125)))&gt;0)</f>
        <v>0</v>
      </c>
      <c r="Y125" s="14" cm="1">
        <f t="array" ref="Y125">INT(SUMPRODUCT(--ISNUMBER(SEARCH(democrattrigger,C125)))&gt;0)</f>
        <v>0</v>
      </c>
      <c r="Z125" s="14" cm="1">
        <f t="array" ref="Z125">INT(SUMPRODUCT(--ISNUMBER(SEARCH(bipartisan,C125)))&gt;0)</f>
        <v>0</v>
      </c>
      <c r="AA125" s="14">
        <f t="shared" si="1"/>
        <v>0</v>
      </c>
      <c r="AB125" s="14"/>
      <c r="AC125" s="30" t="s">
        <v>223</v>
      </c>
      <c r="AD125" s="37" t="s">
        <v>223</v>
      </c>
    </row>
    <row r="126" spans="1:30" x14ac:dyDescent="0.25">
      <c r="A126" s="36">
        <v>3531</v>
      </c>
      <c r="B126" s="14" t="s">
        <v>7687</v>
      </c>
      <c r="C126" s="14" t="s">
        <v>7688</v>
      </c>
      <c r="D126" s="17">
        <v>44114</v>
      </c>
      <c r="E126" s="14" t="s">
        <v>30</v>
      </c>
      <c r="F126" s="14">
        <v>3392</v>
      </c>
      <c r="G126" s="14">
        <v>775</v>
      </c>
      <c r="H126" s="14">
        <v>16</v>
      </c>
      <c r="I126" s="14">
        <v>8</v>
      </c>
      <c r="J126" s="14" t="s">
        <v>204</v>
      </c>
      <c r="K126" s="14" cm="1">
        <f t="array" ref="K126">INT(SUMPRODUCT(--ISNUMBER(SEARCH(economy,C126)))&gt;0)</f>
        <v>0</v>
      </c>
      <c r="L126" s="14" cm="1">
        <f t="array" ref="L126">INT(SUMPRODUCT(--ISNUMBER(SEARCH(healthcare,C126)))&gt;0)</f>
        <v>0</v>
      </c>
      <c r="M126" s="14" cm="1">
        <f t="array" ref="M126">INT(SUMPRODUCT(--ISNUMBER(SEARCH(supreme,C126)))&gt;0)</f>
        <v>0</v>
      </c>
      <c r="N126" s="14" cm="1">
        <f t="array" ref="N126">INT(SUMPRODUCT(--ISNUMBER(SEARCH(covid,C126)))&gt;0)</f>
        <v>0</v>
      </c>
      <c r="O126" s="14" cm="1">
        <f t="array" ref="O126">INT(SUMPRODUCT(--ISNUMBER(SEARCH(violent,C126)))&gt;0)</f>
        <v>0</v>
      </c>
      <c r="P126" s="14" cm="1">
        <f t="array" ref="P126">INT(SUMPRODUCT(--ISNUMBER(SEARCH(foreign,C126)))&gt;0)</f>
        <v>0</v>
      </c>
      <c r="Q126" s="14" cm="1">
        <f t="array" ref="Q126">INT(SUMPRODUCT(--ISNUMBER(SEARCH(gun,C126)))&gt;0)</f>
        <v>0</v>
      </c>
      <c r="R126" s="14" cm="1">
        <f t="array" ref="R126">INT(SUMPRODUCT(--ISNUMBER(SEARCH(race,C126)))&gt;0)</f>
        <v>0</v>
      </c>
      <c r="S126" s="14" cm="1">
        <f t="array" ref="S126">INT(SUMPRODUCT(--ISNUMBER(SEARCH(immigration,C126)))&gt;0)</f>
        <v>0</v>
      </c>
      <c r="T126" s="14" cm="1">
        <f t="array" ref="T126">INT(SUMPRODUCT(--ISNUMBER(SEARCH(econineq,C127)))&gt;0)</f>
        <v>0</v>
      </c>
      <c r="U126" s="14" cm="1">
        <f t="array" ref="U126">INT(SUMPRODUCT(--ISNUMBER(SEARCH(climate,C126)))&gt;0)</f>
        <v>1</v>
      </c>
      <c r="V126" s="14" cm="1">
        <f t="array" ref="V126">INT(SUMPRODUCT(--ISNUMBER(SEARCH(abortion,C126)))&gt;0)</f>
        <v>0</v>
      </c>
      <c r="W126" s="14" cm="1">
        <f t="array" ref="W126">INT(SUMPRODUCT(--ISNUMBER(SEARCH(trump,C126)))&gt;0)</f>
        <v>0</v>
      </c>
      <c r="X126" s="14" cm="1">
        <f t="array" ref="X126">INT(SUMPRODUCT(--ISNUMBER(SEARCH(voting,C126)))&gt;0)</f>
        <v>1</v>
      </c>
      <c r="Y126" s="14" cm="1">
        <f t="array" ref="Y126">INT(SUMPRODUCT(--ISNUMBER(SEARCH(democrattrigger,C126)))&gt;0)</f>
        <v>0</v>
      </c>
      <c r="Z126" s="14" cm="1">
        <f t="array" ref="Z126">INT(SUMPRODUCT(--ISNUMBER(SEARCH(bipartisan,C126)))&gt;0)</f>
        <v>0</v>
      </c>
      <c r="AA126" s="14">
        <f t="shared" si="1"/>
        <v>0</v>
      </c>
      <c r="AB126" s="14"/>
      <c r="AC126" s="30">
        <v>1</v>
      </c>
      <c r="AD126" s="37">
        <v>0</v>
      </c>
    </row>
    <row r="127" spans="1:30" x14ac:dyDescent="0.25">
      <c r="A127" s="36">
        <v>3532</v>
      </c>
      <c r="B127" s="14" t="s">
        <v>7689</v>
      </c>
      <c r="C127" s="14" t="s">
        <v>7690</v>
      </c>
      <c r="D127" s="17">
        <v>44113</v>
      </c>
      <c r="E127" s="14" t="s">
        <v>30</v>
      </c>
      <c r="F127" s="14">
        <v>1297</v>
      </c>
      <c r="G127" s="14">
        <v>358</v>
      </c>
      <c r="H127" s="14">
        <v>16</v>
      </c>
      <c r="I127" s="14">
        <v>8</v>
      </c>
      <c r="J127" s="14" t="s">
        <v>204</v>
      </c>
      <c r="K127" s="14" cm="1">
        <f t="array" ref="K127">INT(SUMPRODUCT(--ISNUMBER(SEARCH(economy,C127)))&gt;0)</f>
        <v>0</v>
      </c>
      <c r="L127" s="14" cm="1">
        <f t="array" ref="L127">INT(SUMPRODUCT(--ISNUMBER(SEARCH(healthcare,C127)))&gt;0)</f>
        <v>0</v>
      </c>
      <c r="M127" s="14" cm="1">
        <f t="array" ref="M127">INT(SUMPRODUCT(--ISNUMBER(SEARCH(supreme,C127)))&gt;0)</f>
        <v>0</v>
      </c>
      <c r="N127" s="14" cm="1">
        <f t="array" ref="N127">INT(SUMPRODUCT(--ISNUMBER(SEARCH(covid,C127)))&gt;0)</f>
        <v>0</v>
      </c>
      <c r="O127" s="14" cm="1">
        <f t="array" ref="O127">INT(SUMPRODUCT(--ISNUMBER(SEARCH(violent,C127)))&gt;0)</f>
        <v>0</v>
      </c>
      <c r="P127" s="14" cm="1">
        <f t="array" ref="P127">INT(SUMPRODUCT(--ISNUMBER(SEARCH(foreign,C127)))&gt;0)</f>
        <v>0</v>
      </c>
      <c r="Q127" s="14" cm="1">
        <f t="array" ref="Q127">INT(SUMPRODUCT(--ISNUMBER(SEARCH(gun,C127)))&gt;0)</f>
        <v>0</v>
      </c>
      <c r="R127" s="14" cm="1">
        <f t="array" ref="R127">INT(SUMPRODUCT(--ISNUMBER(SEARCH(race,C127)))&gt;0)</f>
        <v>0</v>
      </c>
      <c r="S127" s="14" cm="1">
        <f t="array" ref="S127">INT(SUMPRODUCT(--ISNUMBER(SEARCH(immigration,C127)))&gt;0)</f>
        <v>0</v>
      </c>
      <c r="T127" s="14" cm="1">
        <f t="array" ref="T127">INT(SUMPRODUCT(--ISNUMBER(SEARCH(econineq,C128)))&gt;0)</f>
        <v>0</v>
      </c>
      <c r="U127" s="14" cm="1">
        <f t="array" ref="U127">INT(SUMPRODUCT(--ISNUMBER(SEARCH(climate,C127)))&gt;0)</f>
        <v>0</v>
      </c>
      <c r="V127" s="14" cm="1">
        <f t="array" ref="V127">INT(SUMPRODUCT(--ISNUMBER(SEARCH(abortion,C127)))&gt;0)</f>
        <v>0</v>
      </c>
      <c r="W127" s="14" cm="1">
        <f t="array" ref="W127">INT(SUMPRODUCT(--ISNUMBER(SEARCH(trump,C127)))&gt;0)</f>
        <v>0</v>
      </c>
      <c r="X127" s="14" cm="1">
        <f t="array" ref="X127">INT(SUMPRODUCT(--ISNUMBER(SEARCH(voting,C127)))&gt;0)</f>
        <v>0</v>
      </c>
      <c r="Y127" s="14" cm="1">
        <f t="array" ref="Y127">INT(SUMPRODUCT(--ISNUMBER(SEARCH(democrattrigger,C127)))&gt;0)</f>
        <v>1</v>
      </c>
      <c r="Z127" s="14" cm="1">
        <f t="array" ref="Z127">INT(SUMPRODUCT(--ISNUMBER(SEARCH(bipartisan,C127)))&gt;0)</f>
        <v>0</v>
      </c>
      <c r="AA127" s="14">
        <f t="shared" si="1"/>
        <v>0</v>
      </c>
      <c r="AB127" s="14"/>
      <c r="AC127" s="30" t="s">
        <v>223</v>
      </c>
      <c r="AD127" s="37" t="s">
        <v>223</v>
      </c>
    </row>
    <row r="128" spans="1:30" x14ac:dyDescent="0.25">
      <c r="A128" s="36">
        <v>3533</v>
      </c>
      <c r="B128" s="14" t="s">
        <v>7691</v>
      </c>
      <c r="C128" s="14" t="s">
        <v>7692</v>
      </c>
      <c r="D128" s="17">
        <v>44113</v>
      </c>
      <c r="E128" s="14" t="s">
        <v>30</v>
      </c>
      <c r="F128" s="14">
        <v>983</v>
      </c>
      <c r="G128" s="14">
        <v>304</v>
      </c>
      <c r="H128" s="14">
        <v>16</v>
      </c>
      <c r="I128" s="14">
        <v>8</v>
      </c>
      <c r="J128" s="14" t="s">
        <v>204</v>
      </c>
      <c r="K128" s="14" cm="1">
        <f t="array" ref="K128">INT(SUMPRODUCT(--ISNUMBER(SEARCH(economy,C128)))&gt;0)</f>
        <v>0</v>
      </c>
      <c r="L128" s="14" cm="1">
        <f t="array" ref="L128">INT(SUMPRODUCT(--ISNUMBER(SEARCH(healthcare,C128)))&gt;0)</f>
        <v>1</v>
      </c>
      <c r="M128" s="14" cm="1">
        <f t="array" ref="M128">INT(SUMPRODUCT(--ISNUMBER(SEARCH(supreme,C128)))&gt;0)</f>
        <v>0</v>
      </c>
      <c r="N128" s="14" cm="1">
        <f t="array" ref="N128">INT(SUMPRODUCT(--ISNUMBER(SEARCH(covid,C128)))&gt;0)</f>
        <v>1</v>
      </c>
      <c r="O128" s="14" cm="1">
        <f t="array" ref="O128">INT(SUMPRODUCT(--ISNUMBER(SEARCH(violent,C128)))&gt;0)</f>
        <v>0</v>
      </c>
      <c r="P128" s="14" cm="1">
        <f t="array" ref="P128">INT(SUMPRODUCT(--ISNUMBER(SEARCH(foreign,C128)))&gt;0)</f>
        <v>0</v>
      </c>
      <c r="Q128" s="14" cm="1">
        <f t="array" ref="Q128">INT(SUMPRODUCT(--ISNUMBER(SEARCH(gun,C128)))&gt;0)</f>
        <v>0</v>
      </c>
      <c r="R128" s="14" cm="1">
        <f t="array" ref="R128">INT(SUMPRODUCT(--ISNUMBER(SEARCH(race,C128)))&gt;0)</f>
        <v>0</v>
      </c>
      <c r="S128" s="14" cm="1">
        <f t="array" ref="S128">INT(SUMPRODUCT(--ISNUMBER(SEARCH(immigration,C128)))&gt;0)</f>
        <v>0</v>
      </c>
      <c r="T128" s="14" cm="1">
        <f t="array" ref="T128">INT(SUMPRODUCT(--ISNUMBER(SEARCH(econineq,C129)))&gt;0)</f>
        <v>0</v>
      </c>
      <c r="U128" s="14" cm="1">
        <f t="array" ref="U128">INT(SUMPRODUCT(--ISNUMBER(SEARCH(climate,C128)))&gt;0)</f>
        <v>0</v>
      </c>
      <c r="V128" s="14" cm="1">
        <f t="array" ref="V128">INT(SUMPRODUCT(--ISNUMBER(SEARCH(abortion,C128)))&gt;0)</f>
        <v>0</v>
      </c>
      <c r="W128" s="14" cm="1">
        <f t="array" ref="W128">INT(SUMPRODUCT(--ISNUMBER(SEARCH(trump,C128)))&gt;0)</f>
        <v>0</v>
      </c>
      <c r="X128" s="14" cm="1">
        <f t="array" ref="X128">INT(SUMPRODUCT(--ISNUMBER(SEARCH(voting,C128)))&gt;0)</f>
        <v>0</v>
      </c>
      <c r="Y128" s="14" cm="1">
        <f t="array" ref="Y128">INT(SUMPRODUCT(--ISNUMBER(SEARCH(democrattrigger,C128)))&gt;0)</f>
        <v>0</v>
      </c>
      <c r="Z128" s="14" cm="1">
        <f t="array" ref="Z128">INT(SUMPRODUCT(--ISNUMBER(SEARCH(bipartisan,C128)))&gt;0)</f>
        <v>0</v>
      </c>
      <c r="AA128" s="14">
        <f t="shared" si="1"/>
        <v>0</v>
      </c>
      <c r="AB128" s="14"/>
      <c r="AC128" s="30" t="s">
        <v>223</v>
      </c>
      <c r="AD128" s="37" t="s">
        <v>223</v>
      </c>
    </row>
    <row r="129" spans="1:30" x14ac:dyDescent="0.25">
      <c r="A129" s="36">
        <v>3534</v>
      </c>
      <c r="B129" s="14" t="s">
        <v>7693</v>
      </c>
      <c r="C129" s="14" t="s">
        <v>7694</v>
      </c>
      <c r="D129" s="17">
        <v>44113</v>
      </c>
      <c r="E129" s="14" t="s">
        <v>30</v>
      </c>
      <c r="F129" s="14">
        <v>1229</v>
      </c>
      <c r="G129" s="14">
        <v>349</v>
      </c>
      <c r="H129" s="14">
        <v>16</v>
      </c>
      <c r="I129" s="14">
        <v>8</v>
      </c>
      <c r="J129" s="14" t="s">
        <v>204</v>
      </c>
      <c r="K129" s="14" cm="1">
        <f t="array" ref="K129">INT(SUMPRODUCT(--ISNUMBER(SEARCH(economy,C129)))&gt;0)</f>
        <v>1</v>
      </c>
      <c r="L129" s="14" cm="1">
        <f t="array" ref="L129">INT(SUMPRODUCT(--ISNUMBER(SEARCH(healthcare,C129)))&gt;0)</f>
        <v>0</v>
      </c>
      <c r="M129" s="14" cm="1">
        <f t="array" ref="M129">INT(SUMPRODUCT(--ISNUMBER(SEARCH(supreme,C129)))&gt;0)</f>
        <v>0</v>
      </c>
      <c r="N129" s="14" cm="1">
        <f t="array" ref="N129">INT(SUMPRODUCT(--ISNUMBER(SEARCH(covid,C129)))&gt;0)</f>
        <v>0</v>
      </c>
      <c r="O129" s="14" cm="1">
        <f t="array" ref="O129">INT(SUMPRODUCT(--ISNUMBER(SEARCH(violent,C129)))&gt;0)</f>
        <v>0</v>
      </c>
      <c r="P129" s="14" cm="1">
        <f t="array" ref="P129">INT(SUMPRODUCT(--ISNUMBER(SEARCH(foreign,C129)))&gt;0)</f>
        <v>0</v>
      </c>
      <c r="Q129" s="14" cm="1">
        <f t="array" ref="Q129">INT(SUMPRODUCT(--ISNUMBER(SEARCH(gun,C129)))&gt;0)</f>
        <v>0</v>
      </c>
      <c r="R129" s="14" cm="1">
        <f t="array" ref="R129">INT(SUMPRODUCT(--ISNUMBER(SEARCH(race,C129)))&gt;0)</f>
        <v>0</v>
      </c>
      <c r="S129" s="14" cm="1">
        <f t="array" ref="S129">INT(SUMPRODUCT(--ISNUMBER(SEARCH(immigration,C129)))&gt;0)</f>
        <v>0</v>
      </c>
      <c r="T129" s="14" cm="1">
        <f t="array" ref="T129">INT(SUMPRODUCT(--ISNUMBER(SEARCH(econineq,C130)))&gt;0)</f>
        <v>0</v>
      </c>
      <c r="U129" s="14" cm="1">
        <f t="array" ref="U129">INT(SUMPRODUCT(--ISNUMBER(SEARCH(climate,C129)))&gt;0)</f>
        <v>1</v>
      </c>
      <c r="V129" s="14" cm="1">
        <f t="array" ref="V129">INT(SUMPRODUCT(--ISNUMBER(SEARCH(abortion,C129)))&gt;0)</f>
        <v>0</v>
      </c>
      <c r="W129" s="14" cm="1">
        <f t="array" ref="W129">INT(SUMPRODUCT(--ISNUMBER(SEARCH(trump,C129)))&gt;0)</f>
        <v>0</v>
      </c>
      <c r="X129" s="14" cm="1">
        <f t="array" ref="X129">INT(SUMPRODUCT(--ISNUMBER(SEARCH(voting,C129)))&gt;0)</f>
        <v>0</v>
      </c>
      <c r="Y129" s="14" cm="1">
        <f t="array" ref="Y129">INT(SUMPRODUCT(--ISNUMBER(SEARCH(democrattrigger,C129)))&gt;0)</f>
        <v>0</v>
      </c>
      <c r="Z129" s="14" cm="1">
        <f t="array" ref="Z129">INT(SUMPRODUCT(--ISNUMBER(SEARCH(bipartisan,C129)))&gt;0)</f>
        <v>0</v>
      </c>
      <c r="AA129" s="14">
        <f t="shared" si="1"/>
        <v>0</v>
      </c>
      <c r="AB129" s="14"/>
      <c r="AC129" s="30">
        <v>1</v>
      </c>
      <c r="AD129" s="37">
        <v>0</v>
      </c>
    </row>
    <row r="130" spans="1:30" x14ac:dyDescent="0.25">
      <c r="A130" s="36">
        <v>3535</v>
      </c>
      <c r="B130" s="14" t="s">
        <v>7695</v>
      </c>
      <c r="C130" s="14" t="s">
        <v>7696</v>
      </c>
      <c r="D130" s="17">
        <v>44113</v>
      </c>
      <c r="E130" s="14" t="s">
        <v>30</v>
      </c>
      <c r="F130" s="14">
        <v>1347</v>
      </c>
      <c r="G130" s="14">
        <v>554</v>
      </c>
      <c r="H130" s="14">
        <v>16</v>
      </c>
      <c r="I130" s="14">
        <v>8</v>
      </c>
      <c r="J130" s="14" t="s">
        <v>204</v>
      </c>
      <c r="K130" s="14" cm="1">
        <f t="array" ref="K130">INT(SUMPRODUCT(--ISNUMBER(SEARCH(economy,C130)))&gt;0)</f>
        <v>0</v>
      </c>
      <c r="L130" s="14" cm="1">
        <f t="array" ref="L130">INT(SUMPRODUCT(--ISNUMBER(SEARCH(healthcare,C130)))&gt;0)</f>
        <v>0</v>
      </c>
      <c r="M130" s="14" cm="1">
        <f t="array" ref="M130">INT(SUMPRODUCT(--ISNUMBER(SEARCH(supreme,C130)))&gt;0)</f>
        <v>0</v>
      </c>
      <c r="N130" s="14" cm="1">
        <f t="array" ref="N130">INT(SUMPRODUCT(--ISNUMBER(SEARCH(covid,C130)))&gt;0)</f>
        <v>1</v>
      </c>
      <c r="O130" s="14" cm="1">
        <f t="array" ref="O130">INT(SUMPRODUCT(--ISNUMBER(SEARCH(violent,C130)))&gt;0)</f>
        <v>0</v>
      </c>
      <c r="P130" s="14" cm="1">
        <f t="array" ref="P130">INT(SUMPRODUCT(--ISNUMBER(SEARCH(foreign,C130)))&gt;0)</f>
        <v>0</v>
      </c>
      <c r="Q130" s="14" cm="1">
        <f t="array" ref="Q130">INT(SUMPRODUCT(--ISNUMBER(SEARCH(gun,C130)))&gt;0)</f>
        <v>0</v>
      </c>
      <c r="R130" s="14" cm="1">
        <f t="array" ref="R130">INT(SUMPRODUCT(--ISNUMBER(SEARCH(race,C130)))&gt;0)</f>
        <v>0</v>
      </c>
      <c r="S130" s="14" cm="1">
        <f t="array" ref="S130">INT(SUMPRODUCT(--ISNUMBER(SEARCH(immigration,C130)))&gt;0)</f>
        <v>0</v>
      </c>
      <c r="T130" s="14" cm="1">
        <f t="array" ref="T130">INT(SUMPRODUCT(--ISNUMBER(SEARCH(econineq,C131)))&gt;0)</f>
        <v>0</v>
      </c>
      <c r="U130" s="14" cm="1">
        <f t="array" ref="U130">INT(SUMPRODUCT(--ISNUMBER(SEARCH(climate,C130)))&gt;0)</f>
        <v>0</v>
      </c>
      <c r="V130" s="14" cm="1">
        <f t="array" ref="V130">INT(SUMPRODUCT(--ISNUMBER(SEARCH(abortion,C130)))&gt;0)</f>
        <v>0</v>
      </c>
      <c r="W130" s="14" cm="1">
        <f t="array" ref="W130">INT(SUMPRODUCT(--ISNUMBER(SEARCH(trump,C130)))&gt;0)</f>
        <v>0</v>
      </c>
      <c r="X130" s="14" cm="1">
        <f t="array" ref="X130">INT(SUMPRODUCT(--ISNUMBER(SEARCH(voting,C130)))&gt;0)</f>
        <v>0</v>
      </c>
      <c r="Y130" s="14" cm="1">
        <f t="array" ref="Y130">INT(SUMPRODUCT(--ISNUMBER(SEARCH(democrattrigger,C130)))&gt;0)</f>
        <v>0</v>
      </c>
      <c r="Z130" s="14" cm="1">
        <f t="array" ref="Z130">INT(SUMPRODUCT(--ISNUMBER(SEARCH(bipartisan,C130)))&gt;0)</f>
        <v>1</v>
      </c>
      <c r="AA130" s="14">
        <f t="shared" si="1"/>
        <v>0</v>
      </c>
      <c r="AB130" s="14"/>
      <c r="AC130" s="30" t="s">
        <v>223</v>
      </c>
      <c r="AD130" s="37" t="s">
        <v>223</v>
      </c>
    </row>
    <row r="131" spans="1:30" x14ac:dyDescent="0.25">
      <c r="A131" s="36">
        <v>3536</v>
      </c>
      <c r="B131" s="14" t="s">
        <v>7697</v>
      </c>
      <c r="C131" s="14" t="s">
        <v>7698</v>
      </c>
      <c r="D131" s="17">
        <v>44112</v>
      </c>
      <c r="E131" s="14" t="s">
        <v>30</v>
      </c>
      <c r="F131" s="14">
        <v>1024</v>
      </c>
      <c r="G131" s="14">
        <v>316</v>
      </c>
      <c r="H131" s="14">
        <v>16</v>
      </c>
      <c r="I131" s="14">
        <v>8</v>
      </c>
      <c r="J131" s="14" t="s">
        <v>204</v>
      </c>
      <c r="K131" s="14" cm="1">
        <f t="array" ref="K131">INT(SUMPRODUCT(--ISNUMBER(SEARCH(economy,C131)))&gt;0)</f>
        <v>0</v>
      </c>
      <c r="L131" s="14" cm="1">
        <f t="array" ref="L131">INT(SUMPRODUCT(--ISNUMBER(SEARCH(healthcare,C131)))&gt;0)</f>
        <v>1</v>
      </c>
      <c r="M131" s="14" cm="1">
        <f t="array" ref="M131">INT(SUMPRODUCT(--ISNUMBER(SEARCH(supreme,C131)))&gt;0)</f>
        <v>0</v>
      </c>
      <c r="N131" s="14" cm="1">
        <f t="array" ref="N131">INT(SUMPRODUCT(--ISNUMBER(SEARCH(covid,C131)))&gt;0)</f>
        <v>0</v>
      </c>
      <c r="O131" s="14" cm="1">
        <f t="array" ref="O131">INT(SUMPRODUCT(--ISNUMBER(SEARCH(violent,C131)))&gt;0)</f>
        <v>0</v>
      </c>
      <c r="P131" s="14" cm="1">
        <f t="array" ref="P131">INT(SUMPRODUCT(--ISNUMBER(SEARCH(foreign,C131)))&gt;0)</f>
        <v>0</v>
      </c>
      <c r="Q131" s="14" cm="1">
        <f t="array" ref="Q131">INT(SUMPRODUCT(--ISNUMBER(SEARCH(gun,C131)))&gt;0)</f>
        <v>0</v>
      </c>
      <c r="R131" s="14" cm="1">
        <f t="array" ref="R131">INT(SUMPRODUCT(--ISNUMBER(SEARCH(race,C131)))&gt;0)</f>
        <v>0</v>
      </c>
      <c r="S131" s="14" cm="1">
        <f t="array" ref="S131">INT(SUMPRODUCT(--ISNUMBER(SEARCH(immigration,C131)))&gt;0)</f>
        <v>0</v>
      </c>
      <c r="T131" s="14" cm="1">
        <f t="array" ref="T131">INT(SUMPRODUCT(--ISNUMBER(SEARCH(econineq,C132)))&gt;0)</f>
        <v>0</v>
      </c>
      <c r="U131" s="14" cm="1">
        <f t="array" ref="U131">INT(SUMPRODUCT(--ISNUMBER(SEARCH(climate,C131)))&gt;0)</f>
        <v>0</v>
      </c>
      <c r="V131" s="14" cm="1">
        <f t="array" ref="V131">INT(SUMPRODUCT(--ISNUMBER(SEARCH(abortion,C131)))&gt;0)</f>
        <v>0</v>
      </c>
      <c r="W131" s="14" cm="1">
        <f t="array" ref="W131">INT(SUMPRODUCT(--ISNUMBER(SEARCH(trump,C131)))&gt;0)</f>
        <v>0</v>
      </c>
      <c r="X131" s="14" cm="1">
        <f t="array" ref="X131">INT(SUMPRODUCT(--ISNUMBER(SEARCH(voting,C131)))&gt;0)</f>
        <v>0</v>
      </c>
      <c r="Y131" s="14" cm="1">
        <f t="array" ref="Y131">INT(SUMPRODUCT(--ISNUMBER(SEARCH(democrattrigger,C131)))&gt;0)</f>
        <v>0</v>
      </c>
      <c r="Z131" s="14" cm="1">
        <f t="array" ref="Z131">INT(SUMPRODUCT(--ISNUMBER(SEARCH(bipartisan,C131)))&gt;0)</f>
        <v>0</v>
      </c>
      <c r="AA131" s="14">
        <f t="shared" ref="AA131:AA136" si="2">INT(IF(COUNTIF(K131:Z131,1)=0,"1","0"))</f>
        <v>0</v>
      </c>
      <c r="AB131" s="14"/>
      <c r="AC131" s="30">
        <v>1</v>
      </c>
      <c r="AD131" s="37">
        <v>0</v>
      </c>
    </row>
    <row r="132" spans="1:30" x14ac:dyDescent="0.25">
      <c r="A132" s="36">
        <v>3537</v>
      </c>
      <c r="B132" s="14" t="s">
        <v>7699</v>
      </c>
      <c r="C132" s="14" t="s">
        <v>7700</v>
      </c>
      <c r="D132" s="17">
        <v>44112</v>
      </c>
      <c r="E132" s="14" t="s">
        <v>30</v>
      </c>
      <c r="F132" s="14">
        <v>1136</v>
      </c>
      <c r="G132" s="14">
        <v>357</v>
      </c>
      <c r="H132" s="14">
        <v>16</v>
      </c>
      <c r="I132" s="14">
        <v>8</v>
      </c>
      <c r="J132" s="14" t="s">
        <v>204</v>
      </c>
      <c r="K132" s="14" cm="1">
        <f t="array" ref="K132">INT(SUMPRODUCT(--ISNUMBER(SEARCH(economy,C132)))&gt;0)</f>
        <v>0</v>
      </c>
      <c r="L132" s="14" cm="1">
        <f t="array" ref="L132">INT(SUMPRODUCT(--ISNUMBER(SEARCH(healthcare,C132)))&gt;0)</f>
        <v>0</v>
      </c>
      <c r="M132" s="14" cm="1">
        <f t="array" ref="M132">INT(SUMPRODUCT(--ISNUMBER(SEARCH(supreme,C132)))&gt;0)</f>
        <v>0</v>
      </c>
      <c r="N132" s="14" cm="1">
        <f t="array" ref="N132">INT(SUMPRODUCT(--ISNUMBER(SEARCH(covid,C132)))&gt;0)</f>
        <v>1</v>
      </c>
      <c r="O132" s="14" cm="1">
        <f t="array" ref="O132">INT(SUMPRODUCT(--ISNUMBER(SEARCH(violent,C132)))&gt;0)</f>
        <v>0</v>
      </c>
      <c r="P132" s="14" cm="1">
        <f t="array" ref="P132">INT(SUMPRODUCT(--ISNUMBER(SEARCH(foreign,C132)))&gt;0)</f>
        <v>0</v>
      </c>
      <c r="Q132" s="14" cm="1">
        <f t="array" ref="Q132">INT(SUMPRODUCT(--ISNUMBER(SEARCH(gun,C132)))&gt;0)</f>
        <v>0</v>
      </c>
      <c r="R132" s="14" cm="1">
        <f t="array" ref="R132">INT(SUMPRODUCT(--ISNUMBER(SEARCH(race,C132)))&gt;0)</f>
        <v>0</v>
      </c>
      <c r="S132" s="14" cm="1">
        <f t="array" ref="S132">INT(SUMPRODUCT(--ISNUMBER(SEARCH(immigration,C132)))&gt;0)</f>
        <v>0</v>
      </c>
      <c r="T132" s="14" cm="1">
        <f t="array" ref="T132">INT(SUMPRODUCT(--ISNUMBER(SEARCH(econineq,C133)))&gt;0)</f>
        <v>0</v>
      </c>
      <c r="U132" s="14" cm="1">
        <f t="array" ref="U132">INT(SUMPRODUCT(--ISNUMBER(SEARCH(climate,C132)))&gt;0)</f>
        <v>0</v>
      </c>
      <c r="V132" s="14" cm="1">
        <f t="array" ref="V132">INT(SUMPRODUCT(--ISNUMBER(SEARCH(abortion,C132)))&gt;0)</f>
        <v>0</v>
      </c>
      <c r="W132" s="14" cm="1">
        <f t="array" ref="W132">INT(SUMPRODUCT(--ISNUMBER(SEARCH(trump,C132)))&gt;0)</f>
        <v>0</v>
      </c>
      <c r="X132" s="14" cm="1">
        <f t="array" ref="X132">INT(SUMPRODUCT(--ISNUMBER(SEARCH(voting,C132)))&gt;0)</f>
        <v>0</v>
      </c>
      <c r="Y132" s="14" cm="1">
        <f t="array" ref="Y132">INT(SUMPRODUCT(--ISNUMBER(SEARCH(democrattrigger,C132)))&gt;0)</f>
        <v>0</v>
      </c>
      <c r="Z132" s="14" cm="1">
        <f t="array" ref="Z132">INT(SUMPRODUCT(--ISNUMBER(SEARCH(bipartisan,C132)))&gt;0)</f>
        <v>0</v>
      </c>
      <c r="AA132" s="14">
        <f t="shared" si="2"/>
        <v>0</v>
      </c>
      <c r="AB132" s="14"/>
      <c r="AC132" s="30" t="s">
        <v>223</v>
      </c>
      <c r="AD132" s="37" t="s">
        <v>223</v>
      </c>
    </row>
    <row r="133" spans="1:30" x14ac:dyDescent="0.25">
      <c r="A133" s="36">
        <v>3538</v>
      </c>
      <c r="B133" s="14" t="s">
        <v>7701</v>
      </c>
      <c r="C133" s="14" t="s">
        <v>7702</v>
      </c>
      <c r="D133" s="17">
        <v>44112</v>
      </c>
      <c r="E133" s="14" t="s">
        <v>30</v>
      </c>
      <c r="F133" s="14">
        <v>816</v>
      </c>
      <c r="G133" s="14">
        <v>286</v>
      </c>
      <c r="H133" s="14">
        <v>16</v>
      </c>
      <c r="I133" s="14">
        <v>8</v>
      </c>
      <c r="J133" s="14" t="s">
        <v>204</v>
      </c>
      <c r="K133" s="14" cm="1">
        <f t="array" ref="K133">INT(SUMPRODUCT(--ISNUMBER(SEARCH(economy,C133)))&gt;0)</f>
        <v>0</v>
      </c>
      <c r="L133" s="14" cm="1">
        <f t="array" ref="L133">INT(SUMPRODUCT(--ISNUMBER(SEARCH(healthcare,C133)))&gt;0)</f>
        <v>0</v>
      </c>
      <c r="M133" s="14" cm="1">
        <f t="array" ref="M133">INT(SUMPRODUCT(--ISNUMBER(SEARCH(supreme,C133)))&gt;0)</f>
        <v>0</v>
      </c>
      <c r="N133" s="14" cm="1">
        <f t="array" ref="N133">INT(SUMPRODUCT(--ISNUMBER(SEARCH(covid,C133)))&gt;0)</f>
        <v>0</v>
      </c>
      <c r="O133" s="14" cm="1">
        <f t="array" ref="O133">INT(SUMPRODUCT(--ISNUMBER(SEARCH(violent,C133)))&gt;0)</f>
        <v>0</v>
      </c>
      <c r="P133" s="14" cm="1">
        <f t="array" ref="P133">INT(SUMPRODUCT(--ISNUMBER(SEARCH(foreign,C133)))&gt;0)</f>
        <v>0</v>
      </c>
      <c r="Q133" s="14" cm="1">
        <f t="array" ref="Q133">INT(SUMPRODUCT(--ISNUMBER(SEARCH(gun,C133)))&gt;0)</f>
        <v>0</v>
      </c>
      <c r="R133" s="14" cm="1">
        <f t="array" ref="R133">INT(SUMPRODUCT(--ISNUMBER(SEARCH(race,C133)))&gt;0)</f>
        <v>0</v>
      </c>
      <c r="S133" s="14" cm="1">
        <f t="array" ref="S133">INT(SUMPRODUCT(--ISNUMBER(SEARCH(immigration,C133)))&gt;0)</f>
        <v>0</v>
      </c>
      <c r="T133" s="14" cm="1">
        <f t="array" ref="T133">INT(SUMPRODUCT(--ISNUMBER(SEARCH(econineq,C134)))&gt;0)</f>
        <v>0</v>
      </c>
      <c r="U133" s="14" cm="1">
        <f t="array" ref="U133">INT(SUMPRODUCT(--ISNUMBER(SEARCH(climate,C133)))&gt;0)</f>
        <v>0</v>
      </c>
      <c r="V133" s="14" cm="1">
        <f t="array" ref="V133">INT(SUMPRODUCT(--ISNUMBER(SEARCH(abortion,C133)))&gt;0)</f>
        <v>0</v>
      </c>
      <c r="W133" s="14" cm="1">
        <f t="array" ref="W133">INT(SUMPRODUCT(--ISNUMBER(SEARCH(trump,C133)))&gt;0)</f>
        <v>0</v>
      </c>
      <c r="X133" s="14" cm="1">
        <f t="array" ref="X133">INT(SUMPRODUCT(--ISNUMBER(SEARCH(voting,C133)))&gt;0)</f>
        <v>0</v>
      </c>
      <c r="Y133" s="14" cm="1">
        <f t="array" ref="Y133">INT(SUMPRODUCT(--ISNUMBER(SEARCH(democrattrigger,C133)))&gt;0)</f>
        <v>0</v>
      </c>
      <c r="Z133" s="14" cm="1">
        <f t="array" ref="Z133">INT(SUMPRODUCT(--ISNUMBER(SEARCH(bipartisan,C133)))&gt;0)</f>
        <v>0</v>
      </c>
      <c r="AA133" s="14">
        <f t="shared" si="2"/>
        <v>1</v>
      </c>
      <c r="AB133" s="14"/>
      <c r="AC133" s="30" t="s">
        <v>223</v>
      </c>
      <c r="AD133" s="37" t="s">
        <v>223</v>
      </c>
    </row>
    <row r="134" spans="1:30" x14ac:dyDescent="0.25">
      <c r="A134" s="36">
        <v>3539</v>
      </c>
      <c r="B134" s="14" t="s">
        <v>7703</v>
      </c>
      <c r="C134" s="14" t="s">
        <v>7704</v>
      </c>
      <c r="D134" s="17">
        <v>44111</v>
      </c>
      <c r="E134" s="14" t="s">
        <v>30</v>
      </c>
      <c r="F134" s="14">
        <v>877</v>
      </c>
      <c r="G134" s="14">
        <v>251</v>
      </c>
      <c r="H134" s="14">
        <v>16</v>
      </c>
      <c r="I134" s="14">
        <v>8</v>
      </c>
      <c r="J134" s="14" t="s">
        <v>204</v>
      </c>
      <c r="K134" s="14" cm="1">
        <f t="array" ref="K134">INT(SUMPRODUCT(--ISNUMBER(SEARCH(economy,C134)))&gt;0)</f>
        <v>0</v>
      </c>
      <c r="L134" s="14" cm="1">
        <f t="array" ref="L134">INT(SUMPRODUCT(--ISNUMBER(SEARCH(healthcare,C134)))&gt;0)</f>
        <v>1</v>
      </c>
      <c r="M134" s="14" cm="1">
        <f t="array" ref="M134">INT(SUMPRODUCT(--ISNUMBER(SEARCH(supreme,C134)))&gt;0)</f>
        <v>0</v>
      </c>
      <c r="N134" s="14" cm="1">
        <f t="array" ref="N134">INT(SUMPRODUCT(--ISNUMBER(SEARCH(covid,C134)))&gt;0)</f>
        <v>0</v>
      </c>
      <c r="O134" s="14" cm="1">
        <f t="array" ref="O134">INT(SUMPRODUCT(--ISNUMBER(SEARCH(violent,C134)))&gt;0)</f>
        <v>0</v>
      </c>
      <c r="P134" s="14" cm="1">
        <f t="array" ref="P134">INT(SUMPRODUCT(--ISNUMBER(SEARCH(foreign,C134)))&gt;0)</f>
        <v>0</v>
      </c>
      <c r="Q134" s="14" cm="1">
        <f t="array" ref="Q134">INT(SUMPRODUCT(--ISNUMBER(SEARCH(gun,C134)))&gt;0)</f>
        <v>0</v>
      </c>
      <c r="R134" s="14" cm="1">
        <f t="array" ref="R134">INT(SUMPRODUCT(--ISNUMBER(SEARCH(race,C134)))&gt;0)</f>
        <v>0</v>
      </c>
      <c r="S134" s="14" cm="1">
        <f t="array" ref="S134">INT(SUMPRODUCT(--ISNUMBER(SEARCH(immigration,C134)))&gt;0)</f>
        <v>0</v>
      </c>
      <c r="T134" s="14" cm="1">
        <f t="array" ref="T134">INT(SUMPRODUCT(--ISNUMBER(SEARCH(econineq,C135)))&gt;0)</f>
        <v>0</v>
      </c>
      <c r="U134" s="14" cm="1">
        <f t="array" ref="U134">INT(SUMPRODUCT(--ISNUMBER(SEARCH(climate,C134)))&gt;0)</f>
        <v>0</v>
      </c>
      <c r="V134" s="14" cm="1">
        <f t="array" ref="V134">INT(SUMPRODUCT(--ISNUMBER(SEARCH(abortion,C134)))&gt;0)</f>
        <v>0</v>
      </c>
      <c r="W134" s="14" cm="1">
        <f t="array" ref="W134">INT(SUMPRODUCT(--ISNUMBER(SEARCH(trump,C134)))&gt;0)</f>
        <v>0</v>
      </c>
      <c r="X134" s="14" cm="1">
        <f t="array" ref="X134">INT(SUMPRODUCT(--ISNUMBER(SEARCH(voting,C134)))&gt;0)</f>
        <v>0</v>
      </c>
      <c r="Y134" s="14" cm="1">
        <f t="array" ref="Y134">INT(SUMPRODUCT(--ISNUMBER(SEARCH(democrattrigger,C134)))&gt;0)</f>
        <v>0</v>
      </c>
      <c r="Z134" s="14" cm="1">
        <f t="array" ref="Z134">INT(SUMPRODUCT(--ISNUMBER(SEARCH(bipartisan,C134)))&gt;0)</f>
        <v>0</v>
      </c>
      <c r="AA134" s="14">
        <f t="shared" si="2"/>
        <v>0</v>
      </c>
      <c r="AB134" s="14"/>
      <c r="AC134" s="30" t="s">
        <v>223</v>
      </c>
      <c r="AD134" s="37" t="s">
        <v>223</v>
      </c>
    </row>
    <row r="135" spans="1:30" x14ac:dyDescent="0.25">
      <c r="A135" s="36">
        <v>3540</v>
      </c>
      <c r="B135" s="14" t="s">
        <v>7705</v>
      </c>
      <c r="C135" s="14" t="s">
        <v>7706</v>
      </c>
      <c r="D135" s="17">
        <v>44111</v>
      </c>
      <c r="E135" s="14" t="s">
        <v>30</v>
      </c>
      <c r="F135" s="14">
        <v>1974</v>
      </c>
      <c r="G135" s="14">
        <v>719</v>
      </c>
      <c r="H135" s="14">
        <v>16</v>
      </c>
      <c r="I135" s="14">
        <v>8</v>
      </c>
      <c r="J135" s="14" t="s">
        <v>204</v>
      </c>
      <c r="K135" s="14" cm="1">
        <f t="array" ref="K135">INT(SUMPRODUCT(--ISNUMBER(SEARCH(economy,C135)))&gt;0)</f>
        <v>1</v>
      </c>
      <c r="L135" s="14" cm="1">
        <f t="array" ref="L135">INT(SUMPRODUCT(--ISNUMBER(SEARCH(healthcare,C135)))&gt;0)</f>
        <v>0</v>
      </c>
      <c r="M135" s="14" cm="1">
        <f t="array" ref="M135">INT(SUMPRODUCT(--ISNUMBER(SEARCH(supreme,C135)))&gt;0)</f>
        <v>0</v>
      </c>
      <c r="N135" s="14" cm="1">
        <f t="array" ref="N135">INT(SUMPRODUCT(--ISNUMBER(SEARCH(covid,C135)))&gt;0)</f>
        <v>1</v>
      </c>
      <c r="O135" s="14" cm="1">
        <f t="array" ref="O135">INT(SUMPRODUCT(--ISNUMBER(SEARCH(violent,C135)))&gt;0)</f>
        <v>0</v>
      </c>
      <c r="P135" s="14" cm="1">
        <f t="array" ref="P135">INT(SUMPRODUCT(--ISNUMBER(SEARCH(foreign,C135)))&gt;0)</f>
        <v>0</v>
      </c>
      <c r="Q135" s="14" cm="1">
        <f t="array" ref="Q135">INT(SUMPRODUCT(--ISNUMBER(SEARCH(gun,C135)))&gt;0)</f>
        <v>0</v>
      </c>
      <c r="R135" s="14" cm="1">
        <f t="array" ref="R135">INT(SUMPRODUCT(--ISNUMBER(SEARCH(race,C135)))&gt;0)</f>
        <v>0</v>
      </c>
      <c r="S135" s="14" cm="1">
        <f t="array" ref="S135">INT(SUMPRODUCT(--ISNUMBER(SEARCH(immigration,C135)))&gt;0)</f>
        <v>0</v>
      </c>
      <c r="T135" s="14" cm="1">
        <f t="array" ref="T135">INT(SUMPRODUCT(--ISNUMBER(SEARCH(econineq,C136)))&gt;0)</f>
        <v>0</v>
      </c>
      <c r="U135" s="14" cm="1">
        <f t="array" ref="U135">INT(SUMPRODUCT(--ISNUMBER(SEARCH(climate,C135)))&gt;0)</f>
        <v>0</v>
      </c>
      <c r="V135" s="14" cm="1">
        <f t="array" ref="V135">INT(SUMPRODUCT(--ISNUMBER(SEARCH(abortion,C135)))&gt;0)</f>
        <v>0</v>
      </c>
      <c r="W135" s="14" cm="1">
        <f t="array" ref="W135">INT(SUMPRODUCT(--ISNUMBER(SEARCH(trump,C135)))&gt;0)</f>
        <v>0</v>
      </c>
      <c r="X135" s="14" cm="1">
        <f t="array" ref="X135">INT(SUMPRODUCT(--ISNUMBER(SEARCH(voting,C135)))&gt;0)</f>
        <v>0</v>
      </c>
      <c r="Y135" s="14" cm="1">
        <f t="array" ref="Y135">INT(SUMPRODUCT(--ISNUMBER(SEARCH(democrattrigger,C135)))&gt;0)</f>
        <v>0</v>
      </c>
      <c r="Z135" s="14" cm="1">
        <f t="array" ref="Z135">INT(SUMPRODUCT(--ISNUMBER(SEARCH(bipartisan,C135)))&gt;0)</f>
        <v>1</v>
      </c>
      <c r="AA135" s="14">
        <f t="shared" si="2"/>
        <v>0</v>
      </c>
      <c r="AB135" s="14"/>
      <c r="AC135" s="30" t="s">
        <v>223</v>
      </c>
      <c r="AD135" s="37" t="s">
        <v>223</v>
      </c>
    </row>
    <row r="136" spans="1:30" x14ac:dyDescent="0.25">
      <c r="A136" s="38">
        <v>3541</v>
      </c>
      <c r="B136" s="39" t="s">
        <v>7707</v>
      </c>
      <c r="C136" s="39" t="s">
        <v>7708</v>
      </c>
      <c r="D136" s="41">
        <v>44107</v>
      </c>
      <c r="E136" s="39" t="s">
        <v>30</v>
      </c>
      <c r="F136" s="39">
        <v>16940</v>
      </c>
      <c r="G136" s="39">
        <v>2511</v>
      </c>
      <c r="H136" s="39">
        <v>16</v>
      </c>
      <c r="I136" s="39">
        <v>8</v>
      </c>
      <c r="J136" s="39" t="s">
        <v>204</v>
      </c>
      <c r="K136" s="39" cm="1">
        <f t="array" ref="K136">INT(SUMPRODUCT(--ISNUMBER(SEARCH(economy,C136)))&gt;0)</f>
        <v>0</v>
      </c>
      <c r="L136" s="39" cm="1">
        <f t="array" ref="L136">INT(SUMPRODUCT(--ISNUMBER(SEARCH(healthcare,C136)))&gt;0)</f>
        <v>0</v>
      </c>
      <c r="M136" s="39" cm="1">
        <f t="array" ref="M136">INT(SUMPRODUCT(--ISNUMBER(SEARCH(supreme,C136)))&gt;0)</f>
        <v>0</v>
      </c>
      <c r="N136" s="39" cm="1">
        <f t="array" ref="N136">INT(SUMPRODUCT(--ISNUMBER(SEARCH(covid,C136)))&gt;0)</f>
        <v>1</v>
      </c>
      <c r="O136" s="39" cm="1">
        <f t="array" ref="O136">INT(SUMPRODUCT(--ISNUMBER(SEARCH(violent,C136)))&gt;0)</f>
        <v>0</v>
      </c>
      <c r="P136" s="39" cm="1">
        <f t="array" ref="P136">INT(SUMPRODUCT(--ISNUMBER(SEARCH(foreign,C136)))&gt;0)</f>
        <v>0</v>
      </c>
      <c r="Q136" s="39" cm="1">
        <f t="array" ref="Q136">INT(SUMPRODUCT(--ISNUMBER(SEARCH(gun,C136)))&gt;0)</f>
        <v>0</v>
      </c>
      <c r="R136" s="39" cm="1">
        <f t="array" ref="R136">INT(SUMPRODUCT(--ISNUMBER(SEARCH(race,C136)))&gt;0)</f>
        <v>0</v>
      </c>
      <c r="S136" s="39" cm="1">
        <f t="array" ref="S136">INT(SUMPRODUCT(--ISNUMBER(SEARCH(immigration,C136)))&gt;0)</f>
        <v>0</v>
      </c>
      <c r="T136" s="39" cm="1">
        <f t="array" ref="T136">INT(SUMPRODUCT(--ISNUMBER(SEARCH(econineq,C137)))&gt;0)</f>
        <v>0</v>
      </c>
      <c r="U136" s="39" cm="1">
        <f t="array" ref="U136">INT(SUMPRODUCT(--ISNUMBER(SEARCH(climate,C136)))&gt;0)</f>
        <v>0</v>
      </c>
      <c r="V136" s="39" cm="1">
        <f t="array" ref="V136">INT(SUMPRODUCT(--ISNUMBER(SEARCH(abortion,C136)))&gt;0)</f>
        <v>0</v>
      </c>
      <c r="W136" s="39" cm="1">
        <f t="array" ref="W136">INT(SUMPRODUCT(--ISNUMBER(SEARCH(trump,C136)))&gt;0)</f>
        <v>0</v>
      </c>
      <c r="X136" s="39" cm="1">
        <f t="array" ref="X136">INT(SUMPRODUCT(--ISNUMBER(SEARCH(voting,C136)))&gt;0)</f>
        <v>0</v>
      </c>
      <c r="Y136" s="39" cm="1">
        <f t="array" ref="Y136">INT(SUMPRODUCT(--ISNUMBER(SEARCH(democrattrigger,C136)))&gt;0)</f>
        <v>1</v>
      </c>
      <c r="Z136" s="39" cm="1">
        <f t="array" ref="Z136">INT(SUMPRODUCT(--ISNUMBER(SEARCH(bipartisan,C136)))&gt;0)</f>
        <v>0</v>
      </c>
      <c r="AA136" s="39">
        <f t="shared" si="2"/>
        <v>0</v>
      </c>
      <c r="AB136" s="39"/>
      <c r="AC136" s="44" t="s">
        <v>223</v>
      </c>
      <c r="AD136" s="45" t="s">
        <v>223</v>
      </c>
    </row>
    <row r="137" spans="1:30" x14ac:dyDescent="0.25">
      <c r="A137" s="16"/>
      <c r="B137" s="16"/>
      <c r="C137" s="16"/>
      <c r="D137" s="16"/>
      <c r="E137" s="16"/>
      <c r="F137" s="16"/>
      <c r="G137" s="16"/>
      <c r="H137" s="16"/>
      <c r="I137" s="16"/>
      <c r="J137" s="16"/>
      <c r="K137" s="21">
        <f t="shared" ref="K137:AD137" si="3">SUM(K2:K136)</f>
        <v>24</v>
      </c>
      <c r="L137" s="21">
        <f t="shared" si="3"/>
        <v>31</v>
      </c>
      <c r="M137" s="21">
        <f t="shared" si="3"/>
        <v>9</v>
      </c>
      <c r="N137" s="21">
        <f t="shared" si="3"/>
        <v>25</v>
      </c>
      <c r="O137" s="21">
        <f t="shared" si="3"/>
        <v>0</v>
      </c>
      <c r="P137" s="21">
        <f t="shared" si="3"/>
        <v>2</v>
      </c>
      <c r="Q137" s="21">
        <f t="shared" si="3"/>
        <v>3</v>
      </c>
      <c r="R137" s="21">
        <f t="shared" si="3"/>
        <v>2</v>
      </c>
      <c r="S137" s="21">
        <f t="shared" si="3"/>
        <v>0</v>
      </c>
      <c r="T137" s="21">
        <f t="shared" si="3"/>
        <v>0</v>
      </c>
      <c r="U137" s="21">
        <f t="shared" si="3"/>
        <v>5</v>
      </c>
      <c r="V137" s="21">
        <f t="shared" si="3"/>
        <v>0</v>
      </c>
      <c r="W137" s="21">
        <f t="shared" si="3"/>
        <v>5</v>
      </c>
      <c r="X137" s="21">
        <f t="shared" si="3"/>
        <v>65</v>
      </c>
      <c r="Y137" s="21">
        <f t="shared" si="3"/>
        <v>42</v>
      </c>
      <c r="Z137" s="21">
        <f t="shared" si="3"/>
        <v>4</v>
      </c>
      <c r="AA137" s="21">
        <f t="shared" si="3"/>
        <v>9</v>
      </c>
      <c r="AB137" s="21">
        <f t="shared" si="3"/>
        <v>0</v>
      </c>
      <c r="AC137" s="21">
        <f t="shared" si="3"/>
        <v>56</v>
      </c>
      <c r="AD137" s="21">
        <f t="shared" si="3"/>
        <v>22</v>
      </c>
    </row>
    <row r="138" spans="1:30" x14ac:dyDescent="0.25">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row>
    <row r="139" spans="1:30" x14ac:dyDescent="0.25">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row>
    <row r="140" spans="1:30" x14ac:dyDescent="0.25">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row>
    <row r="141" spans="1:30" x14ac:dyDescent="0.25">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row>
    <row r="142" spans="1:30" x14ac:dyDescent="0.25">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row>
    <row r="143" spans="1:30" x14ac:dyDescent="0.25">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row>
    <row r="144" spans="1:30" x14ac:dyDescent="0.25">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row>
    <row r="145" spans="1:30" x14ac:dyDescent="0.2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row>
    <row r="146" spans="1:30" x14ac:dyDescent="0.25">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row>
    <row r="147" spans="1:30" x14ac:dyDescent="0.25">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row>
    <row r="148" spans="1:30" x14ac:dyDescent="0.25">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row>
    <row r="149" spans="1:30" x14ac:dyDescent="0.25">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row>
    <row r="150" spans="1:30" x14ac:dyDescent="0.25">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row>
    <row r="151" spans="1:30" x14ac:dyDescent="0.25">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x14ac:dyDescent="0.25">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row>
    <row r="153" spans="1:30" x14ac:dyDescent="0.25">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x14ac:dyDescent="0.25">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x14ac:dyDescent="0.2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row>
    <row r="156" spans="1:30" x14ac:dyDescent="0.25">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row>
    <row r="157" spans="1:30" x14ac:dyDescent="0.25">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row>
    <row r="158" spans="1:30" x14ac:dyDescent="0.25">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row>
    <row r="159" spans="1:30" x14ac:dyDescent="0.25">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row>
    <row r="160" spans="1:30" x14ac:dyDescent="0.25">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row>
    <row r="161" spans="1:30" x14ac:dyDescent="0.25">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row>
    <row r="162" spans="1:30" x14ac:dyDescent="0.25">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row>
    <row r="163" spans="1:30" x14ac:dyDescent="0.25">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row>
    <row r="164" spans="1:30" x14ac:dyDescent="0.25">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row>
    <row r="165" spans="1:30" x14ac:dyDescent="0.2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row>
    <row r="166" spans="1:30" x14ac:dyDescent="0.25">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row>
    <row r="167" spans="1:30" x14ac:dyDescent="0.25">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row>
    <row r="168" spans="1:30" x14ac:dyDescent="0.25">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x14ac:dyDescent="0.25">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x14ac:dyDescent="0.25">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x14ac:dyDescent="0.25">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x14ac:dyDescent="0.25">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x14ac:dyDescent="0.25">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x14ac:dyDescent="0.25">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x14ac:dyDescent="0.2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x14ac:dyDescent="0.25">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x14ac:dyDescent="0.25">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x14ac:dyDescent="0.25">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x14ac:dyDescent="0.25">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x14ac:dyDescent="0.25">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x14ac:dyDescent="0.25">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x14ac:dyDescent="0.25">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x14ac:dyDescent="0.25">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x14ac:dyDescent="0.2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x14ac:dyDescent="0.2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x14ac:dyDescent="0.25">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x14ac:dyDescent="0.25">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x14ac:dyDescent="0.25">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x14ac:dyDescent="0.25">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x14ac:dyDescent="0.25">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x14ac:dyDescent="0.25">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x14ac:dyDescent="0.25">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x14ac:dyDescent="0.25">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x14ac:dyDescent="0.25">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x14ac:dyDescent="0.2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x14ac:dyDescent="0.25">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x14ac:dyDescent="0.25">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x14ac:dyDescent="0.25">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x14ac:dyDescent="0.25">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x14ac:dyDescent="0.25">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x14ac:dyDescent="0.25">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x14ac:dyDescent="0.25">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x14ac:dyDescent="0.25">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x14ac:dyDescent="0.25">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x14ac:dyDescent="0.2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x14ac:dyDescent="0.25">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x14ac:dyDescent="0.25">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x14ac:dyDescent="0.25">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x14ac:dyDescent="0.25">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x14ac:dyDescent="0.25">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x14ac:dyDescent="0.25">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x14ac:dyDescent="0.25">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x14ac:dyDescent="0.25">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x14ac:dyDescent="0.25">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x14ac:dyDescent="0.2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x14ac:dyDescent="0.25">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x14ac:dyDescent="0.25">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x14ac:dyDescent="0.25">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x14ac:dyDescent="0.25">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x14ac:dyDescent="0.25">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x14ac:dyDescent="0.25">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x14ac:dyDescent="0.25">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x14ac:dyDescent="0.25">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x14ac:dyDescent="0.25">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x14ac:dyDescent="0.2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x14ac:dyDescent="0.25">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x14ac:dyDescent="0.25">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x14ac:dyDescent="0.25">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x14ac:dyDescent="0.25">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x14ac:dyDescent="0.25">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x14ac:dyDescent="0.25">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x14ac:dyDescent="0.25">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x14ac:dyDescent="0.25">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x14ac:dyDescent="0.25">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x14ac:dyDescent="0.2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x14ac:dyDescent="0.25">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x14ac:dyDescent="0.25">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x14ac:dyDescent="0.25">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x14ac:dyDescent="0.25">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x14ac:dyDescent="0.25">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x14ac:dyDescent="0.25">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x14ac:dyDescent="0.25">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x14ac:dyDescent="0.25">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x14ac:dyDescent="0.25">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x14ac:dyDescent="0.2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x14ac:dyDescent="0.25">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x14ac:dyDescent="0.25">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x14ac:dyDescent="0.25">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x14ac:dyDescent="0.25">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x14ac:dyDescent="0.25">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x14ac:dyDescent="0.25">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x14ac:dyDescent="0.25">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x14ac:dyDescent="0.25">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x14ac:dyDescent="0.25">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x14ac:dyDescent="0.2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x14ac:dyDescent="0.25">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x14ac:dyDescent="0.25">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x14ac:dyDescent="0.25">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x14ac:dyDescent="0.25">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x14ac:dyDescent="0.25">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x14ac:dyDescent="0.25">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x14ac:dyDescent="0.25">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x14ac:dyDescent="0.25">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x14ac:dyDescent="0.25">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x14ac:dyDescent="0.2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x14ac:dyDescent="0.25">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x14ac:dyDescent="0.25">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x14ac:dyDescent="0.25">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x14ac:dyDescent="0.25">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x14ac:dyDescent="0.25">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x14ac:dyDescent="0.25">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x14ac:dyDescent="0.25">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x14ac:dyDescent="0.25">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x14ac:dyDescent="0.25">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x14ac:dyDescent="0.2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x14ac:dyDescent="0.25">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x14ac:dyDescent="0.25">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x14ac:dyDescent="0.25">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x14ac:dyDescent="0.25">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x14ac:dyDescent="0.25">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x14ac:dyDescent="0.25">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x14ac:dyDescent="0.25">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x14ac:dyDescent="0.25">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x14ac:dyDescent="0.25">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x14ac:dyDescent="0.2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x14ac:dyDescent="0.25">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x14ac:dyDescent="0.25">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x14ac:dyDescent="0.25">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x14ac:dyDescent="0.25">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x14ac:dyDescent="0.25">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x14ac:dyDescent="0.25">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x14ac:dyDescent="0.25">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x14ac:dyDescent="0.25">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x14ac:dyDescent="0.25">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x14ac:dyDescent="0.2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x14ac:dyDescent="0.25">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x14ac:dyDescent="0.25">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x14ac:dyDescent="0.25">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x14ac:dyDescent="0.25">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x14ac:dyDescent="0.25">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x14ac:dyDescent="0.25">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x14ac:dyDescent="0.25">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x14ac:dyDescent="0.2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x14ac:dyDescent="0.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x14ac:dyDescent="0.2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x14ac:dyDescent="0.2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x14ac:dyDescent="0.2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x14ac:dyDescent="0.2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x14ac:dyDescent="0.2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x14ac:dyDescent="0.2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x14ac:dyDescent="0.2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x14ac:dyDescent="0.2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x14ac:dyDescent="0.2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x14ac:dyDescent="0.2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x14ac:dyDescent="0.2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x14ac:dyDescent="0.25">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x14ac:dyDescent="0.25">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x14ac:dyDescent="0.25">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x14ac:dyDescent="0.25">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x14ac:dyDescent="0.25">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x14ac:dyDescent="0.25">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x14ac:dyDescent="0.25">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x14ac:dyDescent="0.25">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x14ac:dyDescent="0.25">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x14ac:dyDescent="0.2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x14ac:dyDescent="0.25">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x14ac:dyDescent="0.25">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x14ac:dyDescent="0.25">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x14ac:dyDescent="0.25">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x14ac:dyDescent="0.25">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x14ac:dyDescent="0.25">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x14ac:dyDescent="0.25">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x14ac:dyDescent="0.25">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x14ac:dyDescent="0.25">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row>
    <row r="335" spans="1:30" x14ac:dyDescent="0.2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row>
    <row r="336" spans="1:30" x14ac:dyDescent="0.25">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row>
    <row r="337" spans="1:30" x14ac:dyDescent="0.25">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row>
    <row r="338" spans="1:30" x14ac:dyDescent="0.25">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row>
    <row r="339" spans="1:30" x14ac:dyDescent="0.25">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row>
    <row r="340" spans="1:30" x14ac:dyDescent="0.25">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row>
    <row r="341" spans="1:30" x14ac:dyDescent="0.25">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row>
    <row r="342" spans="1:30" x14ac:dyDescent="0.25">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row>
    <row r="343" spans="1:30" x14ac:dyDescent="0.25">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row>
    <row r="344" spans="1:30" x14ac:dyDescent="0.25">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row>
    <row r="345" spans="1:30" x14ac:dyDescent="0.2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row>
    <row r="346" spans="1:30" x14ac:dyDescent="0.25">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row>
    <row r="347" spans="1:30" x14ac:dyDescent="0.25">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row>
    <row r="348" spans="1:30" x14ac:dyDescent="0.25">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row>
    <row r="349" spans="1:30" x14ac:dyDescent="0.25">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row>
    <row r="350" spans="1:30" x14ac:dyDescent="0.25">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row>
    <row r="351" spans="1:30" x14ac:dyDescent="0.25">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row>
    <row r="352" spans="1:30" x14ac:dyDescent="0.25">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row>
    <row r="353" spans="1:30" x14ac:dyDescent="0.25">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row>
    <row r="354" spans="1:30" x14ac:dyDescent="0.25">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row>
    <row r="355" spans="1:30" x14ac:dyDescent="0.2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row>
    <row r="356" spans="1:30" x14ac:dyDescent="0.25">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row>
    <row r="357" spans="1:30" x14ac:dyDescent="0.25">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row>
    <row r="358" spans="1:30" x14ac:dyDescent="0.25">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row>
    <row r="359" spans="1:30" x14ac:dyDescent="0.25">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row>
    <row r="360" spans="1:30" x14ac:dyDescent="0.25">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row>
    <row r="361" spans="1:30" x14ac:dyDescent="0.25">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row>
    <row r="362" spans="1:30" x14ac:dyDescent="0.25">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row>
    <row r="363" spans="1:30" x14ac:dyDescent="0.25">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row>
    <row r="364" spans="1:30" x14ac:dyDescent="0.25">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row>
    <row r="365" spans="1:30" x14ac:dyDescent="0.2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row>
    <row r="366" spans="1:30" x14ac:dyDescent="0.25">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row>
    <row r="367" spans="1:30" x14ac:dyDescent="0.25">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row>
    <row r="368" spans="1:30" x14ac:dyDescent="0.25">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row>
    <row r="369" spans="1:30" x14ac:dyDescent="0.25">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row>
    <row r="370" spans="1:30" x14ac:dyDescent="0.25">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row>
    <row r="371" spans="1:30" x14ac:dyDescent="0.25">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row>
    <row r="372" spans="1:30" x14ac:dyDescent="0.25">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row>
    <row r="373" spans="1:30" x14ac:dyDescent="0.25">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row>
    <row r="374" spans="1:30" x14ac:dyDescent="0.25">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row>
    <row r="375" spans="1:30" x14ac:dyDescent="0.2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row>
    <row r="376" spans="1:30" x14ac:dyDescent="0.25">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row>
  </sheetData>
  <conditionalFormatting sqref="J2:J136">
    <cfRule type="cellIs" dxfId="8" priority="1" operator="equal">
      <formula>"D"</formula>
    </cfRule>
  </conditionalFormatting>
  <hyperlinks>
    <hyperlink ref="B2" r:id="rId1" xr:uid="{99A5FBFD-ED76-498D-9E2A-C77B813827BE}"/>
    <hyperlink ref="B3" r:id="rId2" xr:uid="{BC8F00FF-11D7-47E1-914B-97EEE2EFD43F}"/>
    <hyperlink ref="B4" r:id="rId3" xr:uid="{235F46DD-46B3-4C90-8282-32A2F7AD5CA8}"/>
    <hyperlink ref="B5" r:id="rId4" xr:uid="{0298F101-70EA-49DE-927C-884567A706F2}"/>
    <hyperlink ref="B6" r:id="rId5" xr:uid="{2C628333-0C3C-44BF-9871-3A0067EFAEA8}"/>
    <hyperlink ref="B7" r:id="rId6" xr:uid="{D2678E35-A486-49CB-81BD-B47B63964BFC}"/>
    <hyperlink ref="B8" r:id="rId7" xr:uid="{4471DE4F-8E77-4DCC-B1FA-5DB1EC30347D}"/>
    <hyperlink ref="B9" r:id="rId8" xr:uid="{CC4005EF-41BD-4D9E-B4BD-E9C50A6F5E1A}"/>
    <hyperlink ref="B10" r:id="rId9" xr:uid="{73835041-1B41-48F9-BF5A-41655E35775E}"/>
    <hyperlink ref="B11" r:id="rId10" xr:uid="{C0F5B6CD-40D1-47E4-8880-3B25FCD965B6}"/>
    <hyperlink ref="B12" r:id="rId11" xr:uid="{52D50914-7CFB-45D9-806D-B5D1205A72E5}"/>
    <hyperlink ref="B13" r:id="rId12" xr:uid="{10C79BC4-681A-437D-ABAF-CF0E452AEB76}"/>
    <hyperlink ref="B14" r:id="rId13" xr:uid="{4B22B85F-C9ED-477A-97CF-383A9DE0DFA8}"/>
    <hyperlink ref="B15" r:id="rId14" xr:uid="{BCB09268-7605-463D-A6E1-097345E41277}"/>
    <hyperlink ref="B16" r:id="rId15" xr:uid="{078693FD-FE07-4B93-8C62-84787F6748B9}"/>
    <hyperlink ref="B17" r:id="rId16" xr:uid="{28302C93-F3B4-4523-AD46-EBC29E2DD1D9}"/>
    <hyperlink ref="B18" r:id="rId17" xr:uid="{2F1937EC-459C-48FA-B56C-D02F8DE929D1}"/>
    <hyperlink ref="B19" r:id="rId18" xr:uid="{9DEAB618-5FAD-4A49-9508-72A735DAEB44}"/>
    <hyperlink ref="B20" r:id="rId19" xr:uid="{8CA6319F-767B-448E-B81E-60D26B64745A}"/>
    <hyperlink ref="B21" r:id="rId20" xr:uid="{7D478EA6-E409-4A35-89DC-8EC02FB202A5}"/>
    <hyperlink ref="B22" r:id="rId21" xr:uid="{BECD703F-A2F9-4C97-B7C7-DEE09047E239}"/>
    <hyperlink ref="B23" r:id="rId22" xr:uid="{FC48377B-7CFF-47FF-AE99-799AF98CAD9D}"/>
    <hyperlink ref="B24" r:id="rId23" xr:uid="{58427FFE-2726-42E3-BF88-9C4B19E4B6D8}"/>
    <hyperlink ref="B25" r:id="rId24" xr:uid="{05DEE8FD-F820-434F-8037-62EAF40579EA}"/>
    <hyperlink ref="B26" r:id="rId25" xr:uid="{073760F4-FE82-4116-B321-3466874DBFBD}"/>
    <hyperlink ref="B27" r:id="rId26" xr:uid="{2CDD94A1-8FB2-40E7-941F-3427C3714EA6}"/>
    <hyperlink ref="B28" r:id="rId27" xr:uid="{936BF3E7-2819-49F7-AE3D-E500627776EF}"/>
    <hyperlink ref="B29" r:id="rId28" xr:uid="{FAC07978-0AD6-471D-9924-B928A8C8C693}"/>
    <hyperlink ref="B30" r:id="rId29" xr:uid="{D7BFA120-94B6-442B-B33F-497BCFB96086}"/>
    <hyperlink ref="B31" r:id="rId30" xr:uid="{6A167EF2-22CD-4F69-867F-28C36F3D4B94}"/>
    <hyperlink ref="B32" r:id="rId31" xr:uid="{0E2B0FCE-A49D-4C9D-800D-8916F7B914A2}"/>
    <hyperlink ref="B33" r:id="rId32" xr:uid="{1AB24EDE-E53E-482B-8583-32DF85415F9E}"/>
    <hyperlink ref="B34" r:id="rId33" xr:uid="{17BD7C8F-54CA-4600-A333-6E287B7EAD01}"/>
    <hyperlink ref="B35" r:id="rId34" xr:uid="{58466A30-A865-4C90-9CC4-3579DB988344}"/>
    <hyperlink ref="B36" r:id="rId35" xr:uid="{4C654F2E-38B5-48C4-A803-77B1EBC7A335}"/>
    <hyperlink ref="B37" r:id="rId36" xr:uid="{1553FF77-7A59-444C-A9B1-1348FACA718A}"/>
    <hyperlink ref="B38" r:id="rId37" xr:uid="{04FAAB3D-18F8-4153-9DB4-5716AC84EB57}"/>
    <hyperlink ref="B39" r:id="rId38" xr:uid="{3AC35E06-DE27-49F2-885A-A23F1456F66F}"/>
    <hyperlink ref="B40" r:id="rId39" xr:uid="{75F79674-4A47-49F8-8538-68AC5507115C}"/>
    <hyperlink ref="B41" r:id="rId40" xr:uid="{4DF80D4E-505A-4ED2-85A4-1992F8913E47}"/>
    <hyperlink ref="B42" r:id="rId41" xr:uid="{07AAFD1C-96F8-4406-8F3F-CAD5DF03AB8F}"/>
    <hyperlink ref="B43" r:id="rId42" xr:uid="{750B53CE-04F0-4E5A-9175-6A1F73E99BD2}"/>
    <hyperlink ref="B44" r:id="rId43" xr:uid="{CD5B713D-56CE-4503-8ED7-61D557FAB0CF}"/>
    <hyperlink ref="B45" r:id="rId44" xr:uid="{90B67E98-F3BC-485A-9655-3FCAC1E11759}"/>
    <hyperlink ref="B46" r:id="rId45" xr:uid="{26DF93B9-D61E-4518-9018-3A7979476D2A}"/>
    <hyperlink ref="B47" r:id="rId46" xr:uid="{C543552B-4D69-4B01-ACEA-62B6BD0165A0}"/>
    <hyperlink ref="B48" r:id="rId47" xr:uid="{75642689-2764-4720-AAB0-186B829A0FA9}"/>
    <hyperlink ref="B49" r:id="rId48" xr:uid="{0C5428B5-EC56-46D1-B11E-A1546A7F3754}"/>
    <hyperlink ref="B50" r:id="rId49" xr:uid="{1059F8D5-FAB5-47CB-AB6C-264A968B412A}"/>
    <hyperlink ref="B51" r:id="rId50" xr:uid="{87BD7E65-2E13-4C16-8960-6BA493138874}"/>
    <hyperlink ref="B52" r:id="rId51" xr:uid="{E2BE7445-6110-45AB-8A4D-47D77FC08C88}"/>
    <hyperlink ref="B53" r:id="rId52" xr:uid="{A4F65901-36BC-484E-828E-F0672E2F79BB}"/>
    <hyperlink ref="B54" r:id="rId53" xr:uid="{6DBC19D3-553B-4156-8DD1-3368135CCE6D}"/>
    <hyperlink ref="B55" r:id="rId54" xr:uid="{D76B88EB-5201-40B5-9A2D-65AA30FFAD8C}"/>
    <hyperlink ref="B56" r:id="rId55" xr:uid="{CFC1EF2E-5F56-4AD6-8EC4-E6344AAFD1D1}"/>
    <hyperlink ref="B57" r:id="rId56" xr:uid="{05792218-2662-4E06-BBC3-95A5DF9380DD}"/>
    <hyperlink ref="B58" r:id="rId57" xr:uid="{3D74A755-A4D5-41F7-8F76-C746174E9A6B}"/>
    <hyperlink ref="B59" r:id="rId58" xr:uid="{077D00A2-4A82-4FD7-98A4-4D38F37BEECD}"/>
    <hyperlink ref="B60" r:id="rId59" xr:uid="{B12E54D4-5F2D-4A12-A96F-4E406BAB6C8F}"/>
    <hyperlink ref="B61" r:id="rId60" xr:uid="{D197C77D-C5A2-4DAC-B943-906503F34F2B}"/>
    <hyperlink ref="B62" r:id="rId61" xr:uid="{A8884EBF-DF65-48D1-8619-D59A2976C2E1}"/>
    <hyperlink ref="B63" r:id="rId62" xr:uid="{1580E7FE-B99F-4F46-B995-4F17AF632F8F}"/>
    <hyperlink ref="B64" r:id="rId63" xr:uid="{001990FF-5B44-4F64-900F-950BCCFA9FF6}"/>
    <hyperlink ref="B65" r:id="rId64" xr:uid="{89694C41-FDA5-48C6-8942-984D30FAB8AD}"/>
    <hyperlink ref="B66" r:id="rId65" xr:uid="{00567B22-DFB7-4DF1-93D1-344F370C0CA3}"/>
    <hyperlink ref="B67" r:id="rId66" xr:uid="{3E85AC7A-FE03-4D6A-AA9E-3B2CF72EA405}"/>
    <hyperlink ref="B68" r:id="rId67" xr:uid="{A9D25A83-DE80-4378-BBFC-F2DD17D839BF}"/>
    <hyperlink ref="B69" r:id="rId68" xr:uid="{0CA4AEEE-62EF-4589-A4AC-D21A7552EA27}"/>
    <hyperlink ref="B70" r:id="rId69" xr:uid="{F94F2F3E-8B28-4B25-B76C-06B9F085D8E9}"/>
    <hyperlink ref="B71" r:id="rId70" xr:uid="{037510A6-E6FB-4932-8304-84DCD70402E2}"/>
    <hyperlink ref="B72" r:id="rId71" xr:uid="{94CE403B-7EAA-4716-ADE7-A34CC4207C0A}"/>
    <hyperlink ref="B73" r:id="rId72" xr:uid="{CD389901-CE67-4590-8573-F9793F3129AA}"/>
    <hyperlink ref="B74" r:id="rId73" xr:uid="{AE493FFD-F560-473E-BA07-1D9D3A63F3B7}"/>
    <hyperlink ref="B75" r:id="rId74" xr:uid="{CE8B0AC9-755C-4F01-9415-5EB0BC8E49D4}"/>
    <hyperlink ref="B76" r:id="rId75" xr:uid="{0C403F7A-48FF-4C13-B625-25191E5E06A9}"/>
    <hyperlink ref="B77" r:id="rId76" xr:uid="{C4A364BD-CF04-407D-BCB6-A76637DAADB9}"/>
    <hyperlink ref="B78" r:id="rId77" xr:uid="{10189172-9888-42D7-B77C-B40E17FB6169}"/>
    <hyperlink ref="B79" r:id="rId78" xr:uid="{0E5AC7C5-03DA-45A5-B54C-7C7BAAB39B9D}"/>
    <hyperlink ref="B80" r:id="rId79" xr:uid="{62063005-3854-4131-8B14-123E41EBCC40}"/>
    <hyperlink ref="B81" r:id="rId80" xr:uid="{C83F7093-F86B-443F-88BD-C3F44BB447B6}"/>
    <hyperlink ref="B82" r:id="rId81" xr:uid="{6CD46C88-9F8E-4AB5-95C1-F63016ABFAAD}"/>
    <hyperlink ref="B83" r:id="rId82" xr:uid="{5D19907E-D85E-44F7-B970-6C951352995B}"/>
    <hyperlink ref="B84" r:id="rId83" xr:uid="{63976914-2C85-40D6-84E1-ADCBDF6A4179}"/>
    <hyperlink ref="B85" r:id="rId84" xr:uid="{803EA095-6A7D-4FD9-B2CA-9BCBF825755F}"/>
    <hyperlink ref="B86" r:id="rId85" xr:uid="{14BA7B79-376F-464C-94BC-DBAE9607B61A}"/>
    <hyperlink ref="B87" r:id="rId86" xr:uid="{6DF85ED3-713D-45C5-93B7-93D92E627D46}"/>
    <hyperlink ref="B88" r:id="rId87" xr:uid="{6940A5C6-42D0-4251-A0D3-A6E57E0C079E}"/>
    <hyperlink ref="B89" r:id="rId88" xr:uid="{0B0A3E60-EF14-4D2C-95E7-1544642389E1}"/>
    <hyperlink ref="B90" r:id="rId89" xr:uid="{F795DA09-6F7A-43EC-81C8-D2A9F0DA4624}"/>
    <hyperlink ref="B91" r:id="rId90" xr:uid="{A40A4BEA-5A76-48D4-A703-B5A9A335CF1E}"/>
    <hyperlink ref="B92" r:id="rId91" xr:uid="{26648FC4-4750-4119-9901-7C9A58959CEF}"/>
    <hyperlink ref="B93" r:id="rId92" xr:uid="{94C25751-2E03-47D3-9B7A-84F89846501E}"/>
    <hyperlink ref="B94" r:id="rId93" xr:uid="{D06B75E9-9238-43B7-BB7B-5C67837F43D3}"/>
    <hyperlink ref="B95" r:id="rId94" xr:uid="{624BC3FD-33C0-4C15-BFC1-BEC4AB138A81}"/>
    <hyperlink ref="B96" r:id="rId95" xr:uid="{88A7A953-7694-41FA-87BC-02DB46F197D8}"/>
    <hyperlink ref="B97" r:id="rId96" xr:uid="{5763CC96-5FC2-4B91-8829-0D5064D8A620}"/>
    <hyperlink ref="B98" r:id="rId97" xr:uid="{89E8CA48-34E3-44FA-B210-9825F9422D08}"/>
    <hyperlink ref="B99" r:id="rId98" xr:uid="{1E931B8D-FCF4-4229-8732-221BA3384660}"/>
    <hyperlink ref="B100" r:id="rId99" xr:uid="{EFCAF9B4-3085-493D-80ED-CEC4CB8683FD}"/>
    <hyperlink ref="B101" r:id="rId100" xr:uid="{44679BA3-DB20-4AAC-A53D-F8DDF954395C}"/>
    <hyperlink ref="B102" r:id="rId101" xr:uid="{E88ADE1C-0F56-4A28-8560-03540E49ABA9}"/>
    <hyperlink ref="B103" r:id="rId102" xr:uid="{396B1772-B8BE-49D9-BF11-A3B3EFEC2F52}"/>
    <hyperlink ref="B104" r:id="rId103" xr:uid="{3AAD9F94-B042-4A64-B65B-5BF2E8DEB68B}"/>
    <hyperlink ref="B105" r:id="rId104" xr:uid="{091B9BDC-CB9A-4756-A510-B59754923352}"/>
    <hyperlink ref="B106" r:id="rId105" xr:uid="{99040E4F-AEA1-44D0-B74B-B4435B47C8E2}"/>
    <hyperlink ref="B107" r:id="rId106" xr:uid="{8FB27E7B-4D49-48B0-9703-AC077708D4B7}"/>
    <hyperlink ref="B108" r:id="rId107" xr:uid="{993E5FB7-D750-495E-B4F0-ACED6E78ABA0}"/>
    <hyperlink ref="B109" r:id="rId108" xr:uid="{255B052D-DE36-4F9C-8003-E315742984A6}"/>
    <hyperlink ref="B110" r:id="rId109" xr:uid="{4556B7AA-50C1-4B8B-9F0C-66E0CBAAE1A6}"/>
    <hyperlink ref="B111" r:id="rId110" xr:uid="{3CD55B16-0B5E-4E7B-AE77-E01F84A80BBE}"/>
    <hyperlink ref="B112" r:id="rId111" xr:uid="{39B5F76B-869A-41FC-979C-EE1FAFD4FB68}"/>
    <hyperlink ref="B113" r:id="rId112" xr:uid="{2630FB8B-C40A-43B3-9FBA-FB3618CA0AB2}"/>
    <hyperlink ref="B114" r:id="rId113" xr:uid="{84CC07DC-2642-499A-BC90-1D43CCA50E3A}"/>
    <hyperlink ref="B115" r:id="rId114" xr:uid="{0E747EFD-8ED8-42F4-B994-C7E6A0FB0221}"/>
    <hyperlink ref="B116" r:id="rId115" xr:uid="{E7C83DC0-AA23-4824-8688-C32EC3CC3D9F}"/>
    <hyperlink ref="B117" r:id="rId116" xr:uid="{9E897013-0C5C-46D6-AAFE-A7066C23896B}"/>
    <hyperlink ref="B118" r:id="rId117" xr:uid="{762AF473-2087-49B2-BBE7-133EED4DE176}"/>
    <hyperlink ref="B119" r:id="rId118" xr:uid="{FCAD48D0-5025-4644-A17F-7E1F7A190C2D}"/>
    <hyperlink ref="B120" r:id="rId119" xr:uid="{96D121CF-5648-4AD4-8E49-526B07132D2D}"/>
    <hyperlink ref="B121" r:id="rId120" xr:uid="{1C02B6EC-4CE9-49B2-A9DA-DFD89740EE9B}"/>
    <hyperlink ref="B122" r:id="rId121" xr:uid="{4113C414-F405-4443-AC87-BC0E7E96F63A}"/>
    <hyperlink ref="B123" r:id="rId122" xr:uid="{DBC6F994-0E1E-4D44-8738-D851428071CF}"/>
    <hyperlink ref="B124" r:id="rId123" xr:uid="{86C934FB-85A8-4FF1-B9D4-2D62E816BA01}"/>
    <hyperlink ref="B125" r:id="rId124" xr:uid="{F484C3AE-8737-4D69-AD55-1CFDF79FB0A9}"/>
    <hyperlink ref="B126" r:id="rId125" xr:uid="{F7294F50-CACF-410D-8C7D-AF6A38BE6689}"/>
    <hyperlink ref="B127" r:id="rId126" xr:uid="{F94D4647-29B4-4409-8053-3297C16BA2F0}"/>
    <hyperlink ref="B128" r:id="rId127" xr:uid="{DADB4600-2EC6-4509-BECB-91C32210B728}"/>
    <hyperlink ref="B129" r:id="rId128" xr:uid="{0AE014EB-E541-48D0-89F8-F102E7D79B58}"/>
    <hyperlink ref="B130" r:id="rId129" xr:uid="{B3C37EE6-AFEB-4A75-AE83-CBAF47D7D087}"/>
    <hyperlink ref="B131" r:id="rId130" xr:uid="{37ECAACC-9222-4528-A424-967E886834AF}"/>
    <hyperlink ref="B132" r:id="rId131" xr:uid="{DF059F05-B4C2-4595-97F5-9AEBDC922E23}"/>
    <hyperlink ref="B133" r:id="rId132" xr:uid="{AEA3CFF8-B1BC-4818-A45E-90D4200A84B0}"/>
    <hyperlink ref="B134" r:id="rId133" xr:uid="{B017DFF5-5985-42F8-AF8F-D31E2B615FB1}"/>
    <hyperlink ref="B135" r:id="rId134" xr:uid="{F9FD1A6A-F1B1-4EB5-B574-88D07EB1E8A1}"/>
    <hyperlink ref="B136" r:id="rId135" xr:uid="{E1A575DE-212D-4A0C-8DEF-738B3C3BA29B}"/>
  </hyperlinks>
  <pageMargins left="0.7" right="0.7" top="0.75" bottom="0.75" header="0.3" footer="0.3"/>
  <tableParts count="1">
    <tablePart r:id="rId136"/>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E4F4E-28A3-4A95-92DE-D148F2DB43FD}">
  <dimension ref="A1:AD303"/>
  <sheetViews>
    <sheetView topLeftCell="G269" workbookViewId="0">
      <selection activeCell="S303" sqref="S303:T303"/>
    </sheetView>
  </sheetViews>
  <sheetFormatPr defaultColWidth="11.42578125" defaultRowHeight="15" x14ac:dyDescent="0.25"/>
  <cols>
    <col min="2" max="2" width="21" customWidth="1"/>
    <col min="3" max="3" width="37.85546875" customWidth="1"/>
    <col min="4" max="4" width="13.28515625" customWidth="1"/>
    <col min="5" max="5" width="7.7109375" customWidth="1"/>
    <col min="6" max="7" width="21.85546875" customWidth="1"/>
    <col min="8" max="8" width="12.140625" customWidth="1"/>
    <col min="12" max="12" width="12.7109375" customWidth="1"/>
    <col min="13" max="13" width="29.28515625" customWidth="1"/>
    <col min="14" max="14" width="20" customWidth="1"/>
    <col min="15" max="16" width="15.42578125" customWidth="1"/>
    <col min="17" max="17" width="12.42578125" customWidth="1"/>
    <col min="18" max="20" width="26.42578125" customWidth="1"/>
    <col min="21" max="21" width="16.7109375" customWidth="1"/>
    <col min="23" max="23" width="15.42578125" customWidth="1"/>
    <col min="25" max="25" width="19.85546875" customWidth="1"/>
    <col min="26" max="26" width="15.7109375" customWidth="1"/>
    <col min="28" max="28" width="16" customWidth="1"/>
  </cols>
  <sheetData>
    <row r="1" spans="1:30" ht="90" x14ac:dyDescent="0.25">
      <c r="A1" s="53" t="s">
        <v>0</v>
      </c>
      <c r="B1" s="52" t="s">
        <v>1</v>
      </c>
      <c r="C1" s="49" t="s">
        <v>2</v>
      </c>
      <c r="D1" s="52" t="s">
        <v>3</v>
      </c>
      <c r="E1" s="50" t="s">
        <v>4</v>
      </c>
      <c r="F1" s="52" t="s">
        <v>5</v>
      </c>
      <c r="G1" s="52" t="s">
        <v>6</v>
      </c>
      <c r="H1" s="52" t="s">
        <v>7</v>
      </c>
      <c r="I1" s="52" t="s">
        <v>8</v>
      </c>
      <c r="J1" s="52" t="s">
        <v>9</v>
      </c>
      <c r="K1" s="48" t="s">
        <v>10</v>
      </c>
      <c r="L1" s="48" t="s">
        <v>11</v>
      </c>
      <c r="M1" s="48" t="s">
        <v>12</v>
      </c>
      <c r="N1" s="48" t="s">
        <v>13</v>
      </c>
      <c r="O1" s="48" t="s">
        <v>14</v>
      </c>
      <c r="P1" s="48" t="s">
        <v>15</v>
      </c>
      <c r="Q1" s="48" t="s">
        <v>16</v>
      </c>
      <c r="R1" s="48" t="s">
        <v>17</v>
      </c>
      <c r="S1" s="48" t="s">
        <v>9149</v>
      </c>
      <c r="T1" s="48" t="s">
        <v>9150</v>
      </c>
      <c r="U1" s="48" t="s">
        <v>18</v>
      </c>
      <c r="V1" s="48" t="s">
        <v>19</v>
      </c>
      <c r="W1" s="48" t="s">
        <v>20</v>
      </c>
      <c r="X1" s="48" t="s">
        <v>21</v>
      </c>
      <c r="Y1" s="48" t="s">
        <v>22</v>
      </c>
      <c r="Z1" s="48" t="s">
        <v>23</v>
      </c>
      <c r="AA1" s="48" t="s">
        <v>24</v>
      </c>
      <c r="AB1" s="48" t="s">
        <v>25</v>
      </c>
      <c r="AC1" s="48" t="s">
        <v>201</v>
      </c>
      <c r="AD1" s="51" t="s">
        <v>27</v>
      </c>
    </row>
    <row r="2" spans="1:30" x14ac:dyDescent="0.25">
      <c r="A2" s="36">
        <v>3542</v>
      </c>
      <c r="B2" s="14" t="s">
        <v>6838</v>
      </c>
      <c r="C2" s="14" t="s">
        <v>6839</v>
      </c>
      <c r="D2" s="17">
        <v>44138</v>
      </c>
      <c r="E2" s="14" t="s">
        <v>30</v>
      </c>
      <c r="F2" s="14">
        <v>246</v>
      </c>
      <c r="G2" s="14">
        <v>68</v>
      </c>
      <c r="H2" s="14">
        <v>17</v>
      </c>
      <c r="I2" s="14">
        <v>9</v>
      </c>
      <c r="J2" s="14" t="s">
        <v>31</v>
      </c>
      <c r="K2" s="14" cm="1">
        <f t="array" ref="K2">INT(SUMPRODUCT(--ISNUMBER(SEARCH(economy,C2)))&gt;0)</f>
        <v>0</v>
      </c>
      <c r="L2" s="14" cm="1">
        <f t="array" ref="L2">INT(SUMPRODUCT(--ISNUMBER(SEARCH(healthcare,C2)))&gt;0)</f>
        <v>0</v>
      </c>
      <c r="M2" s="14" cm="1">
        <f t="array" ref="M2">INT(SUMPRODUCT(--ISNUMBER(SEARCH(supreme,C2)))&gt;0)</f>
        <v>0</v>
      </c>
      <c r="N2" s="14" cm="1">
        <f t="array" ref="N2">INT(SUMPRODUCT(--ISNUMBER(SEARCH(covid,C2)))&gt;0)</f>
        <v>0</v>
      </c>
      <c r="O2" s="14" cm="1">
        <f t="array" ref="O2">INT(SUMPRODUCT(--ISNUMBER(SEARCH(violent,C2)))&gt;0)</f>
        <v>0</v>
      </c>
      <c r="P2" s="14" cm="1">
        <f t="array" ref="P2">INT(SUMPRODUCT(--ISNUMBER(SEARCH(foreign,C2)))&gt;0)</f>
        <v>0</v>
      </c>
      <c r="Q2" s="14" cm="1">
        <f t="array" ref="Q2">INT(SUMPRODUCT(--ISNUMBER(SEARCH(gun,C2)))&gt;0)</f>
        <v>0</v>
      </c>
      <c r="R2" s="14" cm="1">
        <f t="array" ref="R2">INT(SUMPRODUCT(--ISNUMBER(SEARCH(race,C2)))&gt;0)</f>
        <v>0</v>
      </c>
      <c r="S2" s="14" cm="1">
        <f t="array" ref="S2">INT(SUMPRODUCT(--ISNUMBER(SEARCH(immigration,C2)))&gt;0)</f>
        <v>0</v>
      </c>
      <c r="T2" s="14" cm="1">
        <f t="array" ref="T2">INT(SUMPRODUCT(--ISNUMBER(SEARCH(econineq,C3)))&gt;0)</f>
        <v>0</v>
      </c>
      <c r="U2" s="14" cm="1">
        <f t="array" ref="U2">INT(SUMPRODUCT(--ISNUMBER(SEARCH(climate,C2)))&gt;0)</f>
        <v>0</v>
      </c>
      <c r="V2" s="14" cm="1">
        <f t="array" ref="V2">INT(SUMPRODUCT(--ISNUMBER(SEARCH(abortion,C2)))&gt;0)</f>
        <v>0</v>
      </c>
      <c r="W2" s="14" cm="1">
        <f t="array" ref="W2">INT(SUMPRODUCT(--ISNUMBER(SEARCH(trump,C2)))&gt;0)</f>
        <v>0</v>
      </c>
      <c r="X2" s="14" cm="1">
        <f t="array" ref="X2">INT(SUMPRODUCT(--ISNUMBER(SEARCH(voting,C2)))&gt;0)</f>
        <v>1</v>
      </c>
      <c r="Y2" s="35" cm="1">
        <f t="array" ref="Y2">INT(SUMPRODUCT(--ISNUMBER(SEARCH(republicantrigger,C2)))&gt;0)</f>
        <v>1</v>
      </c>
      <c r="Z2" s="35" cm="1">
        <f t="array" ref="Z2">INT(SUMPRODUCT(--ISNUMBER(SEARCH(bipartisan,C2)))&gt;0)</f>
        <v>0</v>
      </c>
      <c r="AA2" s="35">
        <f>INT(IF(COUNTIF(K2:Z2,1)=0,"1","0"))</f>
        <v>0</v>
      </c>
      <c r="AB2" s="14"/>
      <c r="AC2" s="30" t="s">
        <v>223</v>
      </c>
      <c r="AD2" s="37"/>
    </row>
    <row r="3" spans="1:30" x14ac:dyDescent="0.25">
      <c r="A3" s="36">
        <v>3543</v>
      </c>
      <c r="B3" s="14" t="s">
        <v>6840</v>
      </c>
      <c r="C3" s="14" t="s">
        <v>6841</v>
      </c>
      <c r="D3" s="17">
        <v>44138</v>
      </c>
      <c r="E3" s="14" t="s">
        <v>30</v>
      </c>
      <c r="F3" s="14">
        <v>57</v>
      </c>
      <c r="G3" s="14">
        <v>12</v>
      </c>
      <c r="H3" s="14">
        <v>17</v>
      </c>
      <c r="I3" s="14">
        <v>9</v>
      </c>
      <c r="J3" s="14" t="s">
        <v>31</v>
      </c>
      <c r="K3" s="14" cm="1">
        <f t="array" ref="K3">INT(SUMPRODUCT(--ISNUMBER(SEARCH(economy,C3)))&gt;0)</f>
        <v>0</v>
      </c>
      <c r="L3" s="14" cm="1">
        <f t="array" ref="L3">INT(SUMPRODUCT(--ISNUMBER(SEARCH(healthcare,C3)))&gt;0)</f>
        <v>0</v>
      </c>
      <c r="M3" s="14" cm="1">
        <f t="array" ref="M3">INT(SUMPRODUCT(--ISNUMBER(SEARCH(supreme,C3)))&gt;0)</f>
        <v>0</v>
      </c>
      <c r="N3" s="14" cm="1">
        <f t="array" ref="N3">INT(SUMPRODUCT(--ISNUMBER(SEARCH(covid,C3)))&gt;0)</f>
        <v>0</v>
      </c>
      <c r="O3" s="14" cm="1">
        <f t="array" ref="O3">INT(SUMPRODUCT(--ISNUMBER(SEARCH(violent,C3)))&gt;0)</f>
        <v>0</v>
      </c>
      <c r="P3" s="14" cm="1">
        <f t="array" ref="P3">INT(SUMPRODUCT(--ISNUMBER(SEARCH(foreign,C3)))&gt;0)</f>
        <v>1</v>
      </c>
      <c r="Q3" s="14" cm="1">
        <f t="array" ref="Q3">INT(SUMPRODUCT(--ISNUMBER(SEARCH(gun,C3)))&gt;0)</f>
        <v>0</v>
      </c>
      <c r="R3" s="14" cm="1">
        <f t="array" ref="R3">INT(SUMPRODUCT(--ISNUMBER(SEARCH(race,C3)))&gt;0)</f>
        <v>0</v>
      </c>
      <c r="S3" s="14" cm="1">
        <f t="array" ref="S3">INT(SUMPRODUCT(--ISNUMBER(SEARCH(immigration,C3)))&gt;0)</f>
        <v>0</v>
      </c>
      <c r="T3" s="14" cm="1">
        <f t="array" ref="T3">INT(SUMPRODUCT(--ISNUMBER(SEARCH(econineq,C4)))&gt;0)</f>
        <v>0</v>
      </c>
      <c r="U3" s="14" cm="1">
        <f t="array" ref="U3">INT(SUMPRODUCT(--ISNUMBER(SEARCH(climate,C3)))&gt;0)</f>
        <v>0</v>
      </c>
      <c r="V3" s="14" cm="1">
        <f t="array" ref="V3">INT(SUMPRODUCT(--ISNUMBER(SEARCH(abortion,C3)))&gt;0)</f>
        <v>0</v>
      </c>
      <c r="W3" s="14" cm="1">
        <f t="array" ref="W3">INT(SUMPRODUCT(--ISNUMBER(SEARCH(trump,C3)))&gt;0)</f>
        <v>0</v>
      </c>
      <c r="X3" s="14" cm="1">
        <f t="array" ref="X3">INT(SUMPRODUCT(--ISNUMBER(SEARCH(voting,C3)))&gt;0)</f>
        <v>0</v>
      </c>
      <c r="Y3" s="35" cm="1">
        <f t="array" ref="Y3">INT(SUMPRODUCT(--ISNUMBER(SEARCH(republicantrigger,C3)))&gt;0)</f>
        <v>0</v>
      </c>
      <c r="Z3" s="35" cm="1">
        <f t="array" ref="Z3">INT(SUMPRODUCT(--ISNUMBER(SEARCH(bipartisan,C3)))&gt;0)</f>
        <v>0</v>
      </c>
      <c r="AA3" s="35">
        <f t="shared" ref="AA3:AA66" si="0">INT(IF(COUNTIF(K3:Z3,1)=0,"1","0"))</f>
        <v>0</v>
      </c>
      <c r="AB3" s="14"/>
      <c r="AC3" s="30" t="s">
        <v>223</v>
      </c>
      <c r="AD3" s="37" t="s">
        <v>223</v>
      </c>
    </row>
    <row r="4" spans="1:30" x14ac:dyDescent="0.25">
      <c r="A4" s="36">
        <v>3544</v>
      </c>
      <c r="B4" s="14" t="s">
        <v>6842</v>
      </c>
      <c r="C4" s="14" t="s">
        <v>6843</v>
      </c>
      <c r="D4" s="17">
        <v>44138</v>
      </c>
      <c r="E4" s="14" t="s">
        <v>30</v>
      </c>
      <c r="F4" s="14">
        <v>805</v>
      </c>
      <c r="G4" s="14">
        <v>270</v>
      </c>
      <c r="H4" s="14">
        <v>17</v>
      </c>
      <c r="I4" s="14">
        <v>9</v>
      </c>
      <c r="J4" s="14" t="s">
        <v>31</v>
      </c>
      <c r="K4" s="14" cm="1">
        <f t="array" ref="K4">INT(SUMPRODUCT(--ISNUMBER(SEARCH(economy,C4)))&gt;0)</f>
        <v>0</v>
      </c>
      <c r="L4" s="14" cm="1">
        <f t="array" ref="L4">INT(SUMPRODUCT(--ISNUMBER(SEARCH(healthcare,C4)))&gt;0)</f>
        <v>0</v>
      </c>
      <c r="M4" s="14" cm="1">
        <f t="array" ref="M4">INT(SUMPRODUCT(--ISNUMBER(SEARCH(supreme,C4)))&gt;0)</f>
        <v>0</v>
      </c>
      <c r="N4" s="14" cm="1">
        <f t="array" ref="N4">INT(SUMPRODUCT(--ISNUMBER(SEARCH(covid,C4)))&gt;0)</f>
        <v>0</v>
      </c>
      <c r="O4" s="14" cm="1">
        <f t="array" ref="O4">INT(SUMPRODUCT(--ISNUMBER(SEARCH(violent,C4)))&gt;0)</f>
        <v>0</v>
      </c>
      <c r="P4" s="14" cm="1">
        <f t="array" ref="P4">INT(SUMPRODUCT(--ISNUMBER(SEARCH(foreign,C4)))&gt;0)</f>
        <v>0</v>
      </c>
      <c r="Q4" s="14" cm="1">
        <f t="array" ref="Q4">INT(SUMPRODUCT(--ISNUMBER(SEARCH(gun,C4)))&gt;0)</f>
        <v>0</v>
      </c>
      <c r="R4" s="14" cm="1">
        <f t="array" ref="R4">INT(SUMPRODUCT(--ISNUMBER(SEARCH(race,C4)))&gt;0)</f>
        <v>0</v>
      </c>
      <c r="S4" s="14" cm="1">
        <f t="array" ref="S4">INT(SUMPRODUCT(--ISNUMBER(SEARCH(immigration,C4)))&gt;0)</f>
        <v>0</v>
      </c>
      <c r="T4" s="14" cm="1">
        <f t="array" ref="T4">INT(SUMPRODUCT(--ISNUMBER(SEARCH(econineq,C5)))&gt;0)</f>
        <v>0</v>
      </c>
      <c r="U4" s="14" cm="1">
        <f t="array" ref="U4">INT(SUMPRODUCT(--ISNUMBER(SEARCH(climate,C4)))&gt;0)</f>
        <v>0</v>
      </c>
      <c r="V4" s="14" cm="1">
        <f t="array" ref="V4">INT(SUMPRODUCT(--ISNUMBER(SEARCH(abortion,C4)))&gt;0)</f>
        <v>0</v>
      </c>
      <c r="W4" s="14" cm="1">
        <f t="array" ref="W4">INT(SUMPRODUCT(--ISNUMBER(SEARCH(trump,C4)))&gt;0)</f>
        <v>0</v>
      </c>
      <c r="X4" s="14" cm="1">
        <f t="array" ref="X4">INT(SUMPRODUCT(--ISNUMBER(SEARCH(voting,C4)))&gt;0)</f>
        <v>1</v>
      </c>
      <c r="Y4" s="35" cm="1">
        <f t="array" ref="Y4">INT(SUMPRODUCT(--ISNUMBER(SEARCH(republicantrigger,C4)))&gt;0)</f>
        <v>1</v>
      </c>
      <c r="Z4" s="35" cm="1">
        <f t="array" ref="Z4">INT(SUMPRODUCT(--ISNUMBER(SEARCH(bipartisan,C4)))&gt;0)</f>
        <v>0</v>
      </c>
      <c r="AA4" s="35">
        <f t="shared" si="0"/>
        <v>0</v>
      </c>
      <c r="AB4" s="14"/>
      <c r="AC4" s="30" t="s">
        <v>223</v>
      </c>
      <c r="AD4" s="37" t="s">
        <v>223</v>
      </c>
    </row>
    <row r="5" spans="1:30" x14ac:dyDescent="0.25">
      <c r="A5" s="36">
        <v>3545</v>
      </c>
      <c r="B5" s="14" t="s">
        <v>6844</v>
      </c>
      <c r="C5" s="14" t="s">
        <v>6845</v>
      </c>
      <c r="D5" s="17">
        <v>44138</v>
      </c>
      <c r="E5" s="14" t="s">
        <v>30</v>
      </c>
      <c r="F5" s="14">
        <v>341</v>
      </c>
      <c r="G5" s="14">
        <v>204</v>
      </c>
      <c r="H5" s="14">
        <v>17</v>
      </c>
      <c r="I5" s="14">
        <v>9</v>
      </c>
      <c r="J5" s="14" t="s">
        <v>31</v>
      </c>
      <c r="K5" s="14" cm="1">
        <f t="array" ref="K5">INT(SUMPRODUCT(--ISNUMBER(SEARCH(economy,C5)))&gt;0)</f>
        <v>0</v>
      </c>
      <c r="L5" s="14" cm="1">
        <f t="array" ref="L5">INT(SUMPRODUCT(--ISNUMBER(SEARCH(healthcare,C5)))&gt;0)</f>
        <v>0</v>
      </c>
      <c r="M5" s="14" cm="1">
        <f t="array" ref="M5">INT(SUMPRODUCT(--ISNUMBER(SEARCH(supreme,C5)))&gt;0)</f>
        <v>0</v>
      </c>
      <c r="N5" s="14" cm="1">
        <f t="array" ref="N5">INT(SUMPRODUCT(--ISNUMBER(SEARCH(covid,C5)))&gt;0)</f>
        <v>0</v>
      </c>
      <c r="O5" s="14" cm="1">
        <f t="array" ref="O5">INT(SUMPRODUCT(--ISNUMBER(SEARCH(violent,C5)))&gt;0)</f>
        <v>1</v>
      </c>
      <c r="P5" s="14" cm="1">
        <f t="array" ref="P5">INT(SUMPRODUCT(--ISNUMBER(SEARCH(foreign,C5)))&gt;0)</f>
        <v>0</v>
      </c>
      <c r="Q5" s="14" cm="1">
        <f t="array" ref="Q5">INT(SUMPRODUCT(--ISNUMBER(SEARCH(gun,C5)))&gt;0)</f>
        <v>0</v>
      </c>
      <c r="R5" s="14" cm="1">
        <f t="array" ref="R5">INT(SUMPRODUCT(--ISNUMBER(SEARCH(race,C5)))&gt;0)</f>
        <v>0</v>
      </c>
      <c r="S5" s="14" cm="1">
        <f t="array" ref="S5">INT(SUMPRODUCT(--ISNUMBER(SEARCH(immigration,C5)))&gt;0)</f>
        <v>0</v>
      </c>
      <c r="T5" s="14" cm="1">
        <f t="array" ref="T5">INT(SUMPRODUCT(--ISNUMBER(SEARCH(econineq,C6)))&gt;0)</f>
        <v>0</v>
      </c>
      <c r="U5" s="14" cm="1">
        <f t="array" ref="U5">INT(SUMPRODUCT(--ISNUMBER(SEARCH(climate,C5)))&gt;0)</f>
        <v>0</v>
      </c>
      <c r="V5" s="14" cm="1">
        <f t="array" ref="V5">INT(SUMPRODUCT(--ISNUMBER(SEARCH(abortion,C5)))&gt;0)</f>
        <v>0</v>
      </c>
      <c r="W5" s="14" cm="1">
        <f t="array" ref="W5">INT(SUMPRODUCT(--ISNUMBER(SEARCH(trump,C5)))&gt;0)</f>
        <v>0</v>
      </c>
      <c r="X5" s="14" cm="1">
        <f t="array" ref="X5">INT(SUMPRODUCT(--ISNUMBER(SEARCH(voting,C5)))&gt;0)</f>
        <v>0</v>
      </c>
      <c r="Y5" s="35" cm="1">
        <f t="array" ref="Y5">INT(SUMPRODUCT(--ISNUMBER(SEARCH(republicantrigger,C5)))&gt;0)</f>
        <v>0</v>
      </c>
      <c r="Z5" s="35" cm="1">
        <f t="array" ref="Z5">INT(SUMPRODUCT(--ISNUMBER(SEARCH(bipartisan,C5)))&gt;0)</f>
        <v>0</v>
      </c>
      <c r="AA5" s="35">
        <f t="shared" si="0"/>
        <v>0</v>
      </c>
      <c r="AB5" s="14"/>
      <c r="AC5" s="30" t="s">
        <v>223</v>
      </c>
      <c r="AD5" s="37" t="s">
        <v>223</v>
      </c>
    </row>
    <row r="6" spans="1:30" x14ac:dyDescent="0.25">
      <c r="A6" s="36">
        <v>3546</v>
      </c>
      <c r="B6" s="14" t="s">
        <v>6846</v>
      </c>
      <c r="C6" s="14" t="s">
        <v>6847</v>
      </c>
      <c r="D6" s="17">
        <v>44138</v>
      </c>
      <c r="E6" s="14" t="s">
        <v>30</v>
      </c>
      <c r="F6" s="14">
        <v>384</v>
      </c>
      <c r="G6" s="14">
        <v>62</v>
      </c>
      <c r="H6" s="14">
        <v>17</v>
      </c>
      <c r="I6" s="14">
        <v>9</v>
      </c>
      <c r="J6" s="14" t="s">
        <v>31</v>
      </c>
      <c r="K6" s="14" cm="1">
        <f t="array" ref="K6">INT(SUMPRODUCT(--ISNUMBER(SEARCH(economy,C6)))&gt;0)</f>
        <v>0</v>
      </c>
      <c r="L6" s="14" cm="1">
        <f t="array" ref="L6">INT(SUMPRODUCT(--ISNUMBER(SEARCH(healthcare,C6)))&gt;0)</f>
        <v>0</v>
      </c>
      <c r="M6" s="14" cm="1">
        <f t="array" ref="M6">INT(SUMPRODUCT(--ISNUMBER(SEARCH(supreme,C6)))&gt;0)</f>
        <v>0</v>
      </c>
      <c r="N6" s="14" cm="1">
        <f t="array" ref="N6">INT(SUMPRODUCT(--ISNUMBER(SEARCH(covid,C6)))&gt;0)</f>
        <v>0</v>
      </c>
      <c r="O6" s="14" cm="1">
        <f t="array" ref="O6">INT(SUMPRODUCT(--ISNUMBER(SEARCH(violent,C6)))&gt;0)</f>
        <v>0</v>
      </c>
      <c r="P6" s="14" cm="1">
        <f t="array" ref="P6">INT(SUMPRODUCT(--ISNUMBER(SEARCH(foreign,C6)))&gt;0)</f>
        <v>0</v>
      </c>
      <c r="Q6" s="14" cm="1">
        <f t="array" ref="Q6">INT(SUMPRODUCT(--ISNUMBER(SEARCH(gun,C6)))&gt;0)</f>
        <v>0</v>
      </c>
      <c r="R6" s="14" cm="1">
        <f t="array" ref="R6">INT(SUMPRODUCT(--ISNUMBER(SEARCH(race,C6)))&gt;0)</f>
        <v>0</v>
      </c>
      <c r="S6" s="14" cm="1">
        <f t="array" ref="S6">INT(SUMPRODUCT(--ISNUMBER(SEARCH(immigration,C6)))&gt;0)</f>
        <v>0</v>
      </c>
      <c r="T6" s="14" cm="1">
        <f t="array" ref="T6">INT(SUMPRODUCT(--ISNUMBER(SEARCH(econineq,C7)))&gt;0)</f>
        <v>0</v>
      </c>
      <c r="U6" s="14" cm="1">
        <f t="array" ref="U6">INT(SUMPRODUCT(--ISNUMBER(SEARCH(climate,C6)))&gt;0)</f>
        <v>0</v>
      </c>
      <c r="V6" s="14" cm="1">
        <f t="array" ref="V6">INT(SUMPRODUCT(--ISNUMBER(SEARCH(abortion,C6)))&gt;0)</f>
        <v>0</v>
      </c>
      <c r="W6" s="14" cm="1">
        <f t="array" ref="W6">INT(SUMPRODUCT(--ISNUMBER(SEARCH(trump,C6)))&gt;0)</f>
        <v>0</v>
      </c>
      <c r="X6" s="14" cm="1">
        <f t="array" ref="X6">INT(SUMPRODUCT(--ISNUMBER(SEARCH(voting,C6)))&gt;0)</f>
        <v>1</v>
      </c>
      <c r="Y6" s="35" cm="1">
        <f t="array" ref="Y6">INT(SUMPRODUCT(--ISNUMBER(SEARCH(republicantrigger,C6)))&gt;0)</f>
        <v>0</v>
      </c>
      <c r="Z6" s="35" cm="1">
        <f t="array" ref="Z6">INT(SUMPRODUCT(--ISNUMBER(SEARCH(bipartisan,C6)))&gt;0)</f>
        <v>0</v>
      </c>
      <c r="AA6" s="35">
        <f t="shared" si="0"/>
        <v>0</v>
      </c>
      <c r="AB6" s="14"/>
      <c r="AC6" s="30" t="s">
        <v>223</v>
      </c>
      <c r="AD6" s="37" t="s">
        <v>223</v>
      </c>
    </row>
    <row r="7" spans="1:30" x14ac:dyDescent="0.25">
      <c r="A7" s="36">
        <v>3547</v>
      </c>
      <c r="B7" s="14" t="s">
        <v>6848</v>
      </c>
      <c r="C7" s="14" t="s">
        <v>6849</v>
      </c>
      <c r="D7" s="17">
        <v>44138</v>
      </c>
      <c r="E7" s="14" t="s">
        <v>30</v>
      </c>
      <c r="F7" s="14">
        <v>1581</v>
      </c>
      <c r="G7" s="14">
        <v>200</v>
      </c>
      <c r="H7" s="14">
        <v>17</v>
      </c>
      <c r="I7" s="14">
        <v>9</v>
      </c>
      <c r="J7" s="14" t="s">
        <v>31</v>
      </c>
      <c r="K7" s="14" cm="1">
        <f t="array" ref="K7">INT(SUMPRODUCT(--ISNUMBER(SEARCH(economy,C7)))&gt;0)</f>
        <v>0</v>
      </c>
      <c r="L7" s="14" cm="1">
        <f t="array" ref="L7">INT(SUMPRODUCT(--ISNUMBER(SEARCH(healthcare,C7)))&gt;0)</f>
        <v>0</v>
      </c>
      <c r="M7" s="14" cm="1">
        <f t="array" ref="M7">INT(SUMPRODUCT(--ISNUMBER(SEARCH(supreme,C7)))&gt;0)</f>
        <v>0</v>
      </c>
      <c r="N7" s="14" cm="1">
        <f t="array" ref="N7">INT(SUMPRODUCT(--ISNUMBER(SEARCH(covid,C7)))&gt;0)</f>
        <v>0</v>
      </c>
      <c r="O7" s="14" cm="1">
        <f t="array" ref="O7">INT(SUMPRODUCT(--ISNUMBER(SEARCH(violent,C7)))&gt;0)</f>
        <v>0</v>
      </c>
      <c r="P7" s="14" cm="1">
        <f t="array" ref="P7">INT(SUMPRODUCT(--ISNUMBER(SEARCH(foreign,C7)))&gt;0)</f>
        <v>0</v>
      </c>
      <c r="Q7" s="14" cm="1">
        <f t="array" ref="Q7">INT(SUMPRODUCT(--ISNUMBER(SEARCH(gun,C7)))&gt;0)</f>
        <v>0</v>
      </c>
      <c r="R7" s="14" cm="1">
        <f t="array" ref="R7">INT(SUMPRODUCT(--ISNUMBER(SEARCH(race,C7)))&gt;0)</f>
        <v>0</v>
      </c>
      <c r="S7" s="14" cm="1">
        <f t="array" ref="S7">INT(SUMPRODUCT(--ISNUMBER(SEARCH(immigration,C7)))&gt;0)</f>
        <v>0</v>
      </c>
      <c r="T7" s="14" cm="1">
        <f t="array" ref="T7">INT(SUMPRODUCT(--ISNUMBER(SEARCH(econineq,C8)))&gt;0)</f>
        <v>0</v>
      </c>
      <c r="U7" s="14" cm="1">
        <f t="array" ref="U7">INT(SUMPRODUCT(--ISNUMBER(SEARCH(climate,C7)))&gt;0)</f>
        <v>0</v>
      </c>
      <c r="V7" s="14" cm="1">
        <f t="array" ref="V7">INT(SUMPRODUCT(--ISNUMBER(SEARCH(abortion,C7)))&gt;0)</f>
        <v>0</v>
      </c>
      <c r="W7" s="14" cm="1">
        <f t="array" ref="W7">INT(SUMPRODUCT(--ISNUMBER(SEARCH(trump,C7)))&gt;0)</f>
        <v>0</v>
      </c>
      <c r="X7" s="14" cm="1">
        <f t="array" ref="X7">INT(SUMPRODUCT(--ISNUMBER(SEARCH(voting,C7)))&gt;0)</f>
        <v>1</v>
      </c>
      <c r="Y7" s="35" cm="1">
        <f t="array" ref="Y7">INT(SUMPRODUCT(--ISNUMBER(SEARCH(republicantrigger,C7)))&gt;0)</f>
        <v>0</v>
      </c>
      <c r="Z7" s="35" cm="1">
        <f t="array" ref="Z7">INT(SUMPRODUCT(--ISNUMBER(SEARCH(bipartisan,C7)))&gt;0)</f>
        <v>0</v>
      </c>
      <c r="AA7" s="35">
        <f t="shared" si="0"/>
        <v>0</v>
      </c>
      <c r="AB7" s="14"/>
      <c r="AC7" s="30" t="s">
        <v>223</v>
      </c>
      <c r="AD7" s="37" t="s">
        <v>223</v>
      </c>
    </row>
    <row r="8" spans="1:30" x14ac:dyDescent="0.25">
      <c r="A8" s="36">
        <v>3548</v>
      </c>
      <c r="B8" s="14" t="s">
        <v>6850</v>
      </c>
      <c r="C8" s="14" t="s">
        <v>6851</v>
      </c>
      <c r="D8" s="17">
        <v>44137</v>
      </c>
      <c r="E8" s="14" t="s">
        <v>30</v>
      </c>
      <c r="F8" s="14">
        <v>472</v>
      </c>
      <c r="G8" s="14">
        <v>55</v>
      </c>
      <c r="H8" s="14">
        <v>17</v>
      </c>
      <c r="I8" s="14">
        <v>9</v>
      </c>
      <c r="J8" s="14" t="s">
        <v>31</v>
      </c>
      <c r="K8" s="14" cm="1">
        <f t="array" ref="K8">INT(SUMPRODUCT(--ISNUMBER(SEARCH(economy,C8)))&gt;0)</f>
        <v>0</v>
      </c>
      <c r="L8" s="14" cm="1">
        <f t="array" ref="L8">INT(SUMPRODUCT(--ISNUMBER(SEARCH(healthcare,C8)))&gt;0)</f>
        <v>0</v>
      </c>
      <c r="M8" s="14" cm="1">
        <f t="array" ref="M8">INT(SUMPRODUCT(--ISNUMBER(SEARCH(supreme,C8)))&gt;0)</f>
        <v>0</v>
      </c>
      <c r="N8" s="14" cm="1">
        <f t="array" ref="N8">INT(SUMPRODUCT(--ISNUMBER(SEARCH(covid,C8)))&gt;0)</f>
        <v>0</v>
      </c>
      <c r="O8" s="14" cm="1">
        <f t="array" ref="O8">INT(SUMPRODUCT(--ISNUMBER(SEARCH(violent,C8)))&gt;0)</f>
        <v>0</v>
      </c>
      <c r="P8" s="14" cm="1">
        <f t="array" ref="P8">INT(SUMPRODUCT(--ISNUMBER(SEARCH(foreign,C8)))&gt;0)</f>
        <v>0</v>
      </c>
      <c r="Q8" s="14" cm="1">
        <f t="array" ref="Q8">INT(SUMPRODUCT(--ISNUMBER(SEARCH(gun,C8)))&gt;0)</f>
        <v>0</v>
      </c>
      <c r="R8" s="14" cm="1">
        <f t="array" ref="R8">INT(SUMPRODUCT(--ISNUMBER(SEARCH(race,C8)))&gt;0)</f>
        <v>0</v>
      </c>
      <c r="S8" s="14" cm="1">
        <f t="array" ref="S8">INT(SUMPRODUCT(--ISNUMBER(SEARCH(immigration,C8)))&gt;0)</f>
        <v>0</v>
      </c>
      <c r="T8" s="14" cm="1">
        <f t="array" ref="T8">INT(SUMPRODUCT(--ISNUMBER(SEARCH(econineq,C9)))&gt;0)</f>
        <v>0</v>
      </c>
      <c r="U8" s="14" cm="1">
        <f t="array" ref="U8">INT(SUMPRODUCT(--ISNUMBER(SEARCH(climate,C8)))&gt;0)</f>
        <v>0</v>
      </c>
      <c r="V8" s="14" cm="1">
        <f t="array" ref="V8">INT(SUMPRODUCT(--ISNUMBER(SEARCH(abortion,C8)))&gt;0)</f>
        <v>0</v>
      </c>
      <c r="W8" s="14" cm="1">
        <f t="array" ref="W8">INT(SUMPRODUCT(--ISNUMBER(SEARCH(trump,C8)))&gt;0)</f>
        <v>0</v>
      </c>
      <c r="X8" s="14" cm="1">
        <f t="array" ref="X8">INT(SUMPRODUCT(--ISNUMBER(SEARCH(voting,C8)))&gt;0)</f>
        <v>1</v>
      </c>
      <c r="Y8" s="35" cm="1">
        <f t="array" ref="Y8">INT(SUMPRODUCT(--ISNUMBER(SEARCH(republicantrigger,C8)))&gt;0)</f>
        <v>0</v>
      </c>
      <c r="Z8" s="35" cm="1">
        <f t="array" ref="Z8">INT(SUMPRODUCT(--ISNUMBER(SEARCH(bipartisan,C8)))&gt;0)</f>
        <v>0</v>
      </c>
      <c r="AA8" s="35">
        <f t="shared" si="0"/>
        <v>0</v>
      </c>
      <c r="AB8" s="14"/>
      <c r="AC8" s="30" t="s">
        <v>223</v>
      </c>
      <c r="AD8" s="37" t="s">
        <v>223</v>
      </c>
    </row>
    <row r="9" spans="1:30" x14ac:dyDescent="0.25">
      <c r="A9" s="36">
        <v>3549</v>
      </c>
      <c r="B9" s="14" t="s">
        <v>6852</v>
      </c>
      <c r="C9" s="14" t="s">
        <v>6853</v>
      </c>
      <c r="D9" s="17">
        <v>44137</v>
      </c>
      <c r="E9" s="14" t="s">
        <v>30</v>
      </c>
      <c r="F9" s="14">
        <v>117</v>
      </c>
      <c r="G9" s="14">
        <v>19</v>
      </c>
      <c r="H9" s="14">
        <v>17</v>
      </c>
      <c r="I9" s="14">
        <v>9</v>
      </c>
      <c r="J9" s="14" t="s">
        <v>31</v>
      </c>
      <c r="K9" s="14" cm="1">
        <f t="array" ref="K9">INT(SUMPRODUCT(--ISNUMBER(SEARCH(economy,C9)))&gt;0)</f>
        <v>0</v>
      </c>
      <c r="L9" s="14" cm="1">
        <f t="array" ref="L9">INT(SUMPRODUCT(--ISNUMBER(SEARCH(healthcare,C9)))&gt;0)</f>
        <v>0</v>
      </c>
      <c r="M9" s="14" cm="1">
        <f t="array" ref="M9">INT(SUMPRODUCT(--ISNUMBER(SEARCH(supreme,C9)))&gt;0)</f>
        <v>0</v>
      </c>
      <c r="N9" s="14" cm="1">
        <f t="array" ref="N9">INT(SUMPRODUCT(--ISNUMBER(SEARCH(covid,C9)))&gt;0)</f>
        <v>0</v>
      </c>
      <c r="O9" s="14" cm="1">
        <f t="array" ref="O9">INT(SUMPRODUCT(--ISNUMBER(SEARCH(violent,C9)))&gt;0)</f>
        <v>0</v>
      </c>
      <c r="P9" s="14" cm="1">
        <f t="array" ref="P9">INT(SUMPRODUCT(--ISNUMBER(SEARCH(foreign,C9)))&gt;0)</f>
        <v>0</v>
      </c>
      <c r="Q9" s="14" cm="1">
        <f t="array" ref="Q9">INT(SUMPRODUCT(--ISNUMBER(SEARCH(gun,C9)))&gt;0)</f>
        <v>0</v>
      </c>
      <c r="R9" s="14" cm="1">
        <f t="array" ref="R9">INT(SUMPRODUCT(--ISNUMBER(SEARCH(race,C9)))&gt;0)</f>
        <v>0</v>
      </c>
      <c r="S9" s="14" cm="1">
        <f t="array" ref="S9">INT(SUMPRODUCT(--ISNUMBER(SEARCH(immigration,C9)))&gt;0)</f>
        <v>0</v>
      </c>
      <c r="T9" s="14" cm="1">
        <f t="array" ref="T9">INT(SUMPRODUCT(--ISNUMBER(SEARCH(econineq,C10)))&gt;0)</f>
        <v>0</v>
      </c>
      <c r="U9" s="14" cm="1">
        <f t="array" ref="U9">INT(SUMPRODUCT(--ISNUMBER(SEARCH(climate,C9)))&gt;0)</f>
        <v>0</v>
      </c>
      <c r="V9" s="14" cm="1">
        <f t="array" ref="V9">INT(SUMPRODUCT(--ISNUMBER(SEARCH(abortion,C9)))&gt;0)</f>
        <v>0</v>
      </c>
      <c r="W9" s="14" cm="1">
        <f t="array" ref="W9">INT(SUMPRODUCT(--ISNUMBER(SEARCH(trump,C9)))&gt;0)</f>
        <v>0</v>
      </c>
      <c r="X9" s="14" cm="1">
        <f t="array" ref="X9">INT(SUMPRODUCT(--ISNUMBER(SEARCH(voting,C9)))&gt;0)</f>
        <v>0</v>
      </c>
      <c r="Y9" s="35" cm="1">
        <f t="array" ref="Y9">INT(SUMPRODUCT(--ISNUMBER(SEARCH(republicantrigger,C9)))&gt;0)</f>
        <v>0</v>
      </c>
      <c r="Z9" s="35" cm="1">
        <f t="array" ref="Z9">INT(SUMPRODUCT(--ISNUMBER(SEARCH(bipartisan,C9)))&gt;0)</f>
        <v>0</v>
      </c>
      <c r="AA9" s="35">
        <f t="shared" si="0"/>
        <v>1</v>
      </c>
      <c r="AB9" s="14"/>
      <c r="AC9" s="30">
        <v>1</v>
      </c>
      <c r="AD9" s="37">
        <v>0</v>
      </c>
    </row>
    <row r="10" spans="1:30" x14ac:dyDescent="0.25">
      <c r="A10" s="36">
        <v>3550</v>
      </c>
      <c r="B10" s="14" t="s">
        <v>6854</v>
      </c>
      <c r="C10" s="14" t="s">
        <v>6855</v>
      </c>
      <c r="D10" s="17">
        <v>44136</v>
      </c>
      <c r="E10" s="14" t="s">
        <v>30</v>
      </c>
      <c r="F10" s="14">
        <v>388</v>
      </c>
      <c r="G10" s="14">
        <v>43</v>
      </c>
      <c r="H10" s="14">
        <v>17</v>
      </c>
      <c r="I10" s="14">
        <v>9</v>
      </c>
      <c r="J10" s="14" t="s">
        <v>31</v>
      </c>
      <c r="K10" s="14" cm="1">
        <f t="array" ref="K10">INT(SUMPRODUCT(--ISNUMBER(SEARCH(economy,C10)))&gt;0)</f>
        <v>0</v>
      </c>
      <c r="L10" s="14" cm="1">
        <f t="array" ref="L10">INT(SUMPRODUCT(--ISNUMBER(SEARCH(healthcare,C10)))&gt;0)</f>
        <v>0</v>
      </c>
      <c r="M10" s="14" cm="1">
        <f t="array" ref="M10">INT(SUMPRODUCT(--ISNUMBER(SEARCH(supreme,C10)))&gt;0)</f>
        <v>0</v>
      </c>
      <c r="N10" s="14" cm="1">
        <f t="array" ref="N10">INT(SUMPRODUCT(--ISNUMBER(SEARCH(covid,C10)))&gt;0)</f>
        <v>0</v>
      </c>
      <c r="O10" s="14" cm="1">
        <f t="array" ref="O10">INT(SUMPRODUCT(--ISNUMBER(SEARCH(violent,C10)))&gt;0)</f>
        <v>0</v>
      </c>
      <c r="P10" s="14" cm="1">
        <f t="array" ref="P10">INT(SUMPRODUCT(--ISNUMBER(SEARCH(foreign,C10)))&gt;0)</f>
        <v>0</v>
      </c>
      <c r="Q10" s="14" cm="1">
        <f t="array" ref="Q10">INT(SUMPRODUCT(--ISNUMBER(SEARCH(gun,C10)))&gt;0)</f>
        <v>0</v>
      </c>
      <c r="R10" s="14" cm="1">
        <f t="array" ref="R10">INT(SUMPRODUCT(--ISNUMBER(SEARCH(race,C10)))&gt;0)</f>
        <v>0</v>
      </c>
      <c r="S10" s="14" cm="1">
        <f t="array" ref="S10">INT(SUMPRODUCT(--ISNUMBER(SEARCH(immigration,C10)))&gt;0)</f>
        <v>0</v>
      </c>
      <c r="T10" s="14" cm="1">
        <f t="array" ref="T10">INT(SUMPRODUCT(--ISNUMBER(SEARCH(econineq,C11)))&gt;0)</f>
        <v>0</v>
      </c>
      <c r="U10" s="14" cm="1">
        <f t="array" ref="U10">INT(SUMPRODUCT(--ISNUMBER(SEARCH(climate,C10)))&gt;0)</f>
        <v>0</v>
      </c>
      <c r="V10" s="14" cm="1">
        <f t="array" ref="V10">INT(SUMPRODUCT(--ISNUMBER(SEARCH(abortion,C10)))&gt;0)</f>
        <v>0</v>
      </c>
      <c r="W10" s="14" cm="1">
        <f t="array" ref="W10">INT(SUMPRODUCT(--ISNUMBER(SEARCH(trump,C10)))&gt;0)</f>
        <v>0</v>
      </c>
      <c r="X10" s="14" cm="1">
        <f t="array" ref="X10">INT(SUMPRODUCT(--ISNUMBER(SEARCH(voting,C10)))&gt;0)</f>
        <v>0</v>
      </c>
      <c r="Y10" s="35" cm="1">
        <f t="array" ref="Y10">INT(SUMPRODUCT(--ISNUMBER(SEARCH(republicantrigger,C10)))&gt;0)</f>
        <v>0</v>
      </c>
      <c r="Z10" s="35" cm="1">
        <f t="array" ref="Z10">INT(SUMPRODUCT(--ISNUMBER(SEARCH(bipartisan,C10)))&gt;0)</f>
        <v>0</v>
      </c>
      <c r="AA10" s="35">
        <f t="shared" si="0"/>
        <v>1</v>
      </c>
      <c r="AB10" s="14"/>
      <c r="AC10" s="30" t="s">
        <v>223</v>
      </c>
      <c r="AD10" s="37" t="s">
        <v>223</v>
      </c>
    </row>
    <row r="11" spans="1:30" x14ac:dyDescent="0.25">
      <c r="A11" s="36">
        <v>3551</v>
      </c>
      <c r="B11" s="14" t="s">
        <v>6856</v>
      </c>
      <c r="C11" s="14" t="s">
        <v>6857</v>
      </c>
      <c r="D11" s="17">
        <v>44135</v>
      </c>
      <c r="E11" s="14" t="s">
        <v>30</v>
      </c>
      <c r="F11" s="14">
        <v>695</v>
      </c>
      <c r="G11" s="14">
        <v>160</v>
      </c>
      <c r="H11" s="14">
        <v>17</v>
      </c>
      <c r="I11" s="14">
        <v>9</v>
      </c>
      <c r="J11" s="14" t="s">
        <v>31</v>
      </c>
      <c r="K11" s="14" cm="1">
        <f t="array" ref="K11">INT(SUMPRODUCT(--ISNUMBER(SEARCH(economy,C11)))&gt;0)</f>
        <v>0</v>
      </c>
      <c r="L11" s="14" cm="1">
        <f t="array" ref="L11">INT(SUMPRODUCT(--ISNUMBER(SEARCH(healthcare,C11)))&gt;0)</f>
        <v>0</v>
      </c>
      <c r="M11" s="14" cm="1">
        <f t="array" ref="M11">INT(SUMPRODUCT(--ISNUMBER(SEARCH(supreme,C11)))&gt;0)</f>
        <v>0</v>
      </c>
      <c r="N11" s="14" cm="1">
        <f t="array" ref="N11">INT(SUMPRODUCT(--ISNUMBER(SEARCH(covid,C11)))&gt;0)</f>
        <v>0</v>
      </c>
      <c r="O11" s="14" cm="1">
        <f t="array" ref="O11">INT(SUMPRODUCT(--ISNUMBER(SEARCH(violent,C11)))&gt;0)</f>
        <v>0</v>
      </c>
      <c r="P11" s="14" cm="1">
        <f t="array" ref="P11">INT(SUMPRODUCT(--ISNUMBER(SEARCH(foreign,C11)))&gt;0)</f>
        <v>0</v>
      </c>
      <c r="Q11" s="14" cm="1">
        <f t="array" ref="Q11">INT(SUMPRODUCT(--ISNUMBER(SEARCH(gun,C11)))&gt;0)</f>
        <v>0</v>
      </c>
      <c r="R11" s="14" cm="1">
        <f t="array" ref="R11">INT(SUMPRODUCT(--ISNUMBER(SEARCH(race,C11)))&gt;0)</f>
        <v>0</v>
      </c>
      <c r="S11" s="14" cm="1">
        <f t="array" ref="S11">INT(SUMPRODUCT(--ISNUMBER(SEARCH(immigration,C11)))&gt;0)</f>
        <v>0</v>
      </c>
      <c r="T11" s="14" cm="1">
        <f t="array" ref="T11">INT(SUMPRODUCT(--ISNUMBER(SEARCH(econineq,C12)))&gt;0)</f>
        <v>0</v>
      </c>
      <c r="U11" s="14" cm="1">
        <f t="array" ref="U11">INT(SUMPRODUCT(--ISNUMBER(SEARCH(climate,C11)))&gt;0)</f>
        <v>0</v>
      </c>
      <c r="V11" s="14" cm="1">
        <f t="array" ref="V11">INT(SUMPRODUCT(--ISNUMBER(SEARCH(abortion,C11)))&gt;0)</f>
        <v>0</v>
      </c>
      <c r="W11" s="14" cm="1">
        <f t="array" ref="W11">INT(SUMPRODUCT(--ISNUMBER(SEARCH(trump,C11)))&gt;0)</f>
        <v>0</v>
      </c>
      <c r="X11" s="14" cm="1">
        <f t="array" ref="X11">INT(SUMPRODUCT(--ISNUMBER(SEARCH(voting,C11)))&gt;0)</f>
        <v>1</v>
      </c>
      <c r="Y11" s="35" cm="1">
        <f t="array" ref="Y11">INT(SUMPRODUCT(--ISNUMBER(SEARCH(republicantrigger,C11)))&gt;0)</f>
        <v>0</v>
      </c>
      <c r="Z11" s="35" cm="1">
        <f t="array" ref="Z11">INT(SUMPRODUCT(--ISNUMBER(SEARCH(bipartisan,C11)))&gt;0)</f>
        <v>0</v>
      </c>
      <c r="AA11" s="35">
        <f t="shared" si="0"/>
        <v>0</v>
      </c>
      <c r="AB11" s="14"/>
      <c r="AC11" s="30" t="s">
        <v>223</v>
      </c>
      <c r="AD11" s="37" t="s">
        <v>223</v>
      </c>
    </row>
    <row r="12" spans="1:30" x14ac:dyDescent="0.25">
      <c r="A12" s="36">
        <v>3552</v>
      </c>
      <c r="B12" s="14" t="s">
        <v>6858</v>
      </c>
      <c r="C12" s="14" t="s">
        <v>6859</v>
      </c>
      <c r="D12" s="17">
        <v>44135</v>
      </c>
      <c r="E12" s="14" t="s">
        <v>30</v>
      </c>
      <c r="F12" s="14">
        <v>319</v>
      </c>
      <c r="G12" s="14">
        <v>63</v>
      </c>
      <c r="H12" s="14">
        <v>17</v>
      </c>
      <c r="I12" s="14">
        <v>9</v>
      </c>
      <c r="J12" s="14" t="s">
        <v>31</v>
      </c>
      <c r="K12" s="14" cm="1">
        <f t="array" ref="K12">INT(SUMPRODUCT(--ISNUMBER(SEARCH(economy,C12)))&gt;0)</f>
        <v>0</v>
      </c>
      <c r="L12" s="14" cm="1">
        <f t="array" ref="L12">INT(SUMPRODUCT(--ISNUMBER(SEARCH(healthcare,C12)))&gt;0)</f>
        <v>0</v>
      </c>
      <c r="M12" s="14" cm="1">
        <f t="array" ref="M12">INT(SUMPRODUCT(--ISNUMBER(SEARCH(supreme,C12)))&gt;0)</f>
        <v>0</v>
      </c>
      <c r="N12" s="14" cm="1">
        <f t="array" ref="N12">INT(SUMPRODUCT(--ISNUMBER(SEARCH(covid,C12)))&gt;0)</f>
        <v>0</v>
      </c>
      <c r="O12" s="14" cm="1">
        <f t="array" ref="O12">INT(SUMPRODUCT(--ISNUMBER(SEARCH(violent,C12)))&gt;0)</f>
        <v>0</v>
      </c>
      <c r="P12" s="14" cm="1">
        <f t="array" ref="P12">INT(SUMPRODUCT(--ISNUMBER(SEARCH(foreign,C12)))&gt;0)</f>
        <v>0</v>
      </c>
      <c r="Q12" s="14" cm="1">
        <f t="array" ref="Q12">INT(SUMPRODUCT(--ISNUMBER(SEARCH(gun,C12)))&gt;0)</f>
        <v>0</v>
      </c>
      <c r="R12" s="14" cm="1">
        <f t="array" ref="R12">INT(SUMPRODUCT(--ISNUMBER(SEARCH(race,C12)))&gt;0)</f>
        <v>0</v>
      </c>
      <c r="S12" s="14" cm="1">
        <f t="array" ref="S12">INT(SUMPRODUCT(--ISNUMBER(SEARCH(immigration,C12)))&gt;0)</f>
        <v>0</v>
      </c>
      <c r="T12" s="14" cm="1">
        <f t="array" ref="T12">INT(SUMPRODUCT(--ISNUMBER(SEARCH(econineq,C13)))&gt;0)</f>
        <v>0</v>
      </c>
      <c r="U12" s="14" cm="1">
        <f t="array" ref="U12">INT(SUMPRODUCT(--ISNUMBER(SEARCH(climate,C12)))&gt;0)</f>
        <v>0</v>
      </c>
      <c r="V12" s="14" cm="1">
        <f t="array" ref="V12">INT(SUMPRODUCT(--ISNUMBER(SEARCH(abortion,C12)))&gt;0)</f>
        <v>0</v>
      </c>
      <c r="W12" s="14" cm="1">
        <f t="array" ref="W12">INT(SUMPRODUCT(--ISNUMBER(SEARCH(trump,C12)))&gt;0)</f>
        <v>0</v>
      </c>
      <c r="X12" s="14" cm="1">
        <f t="array" ref="X12">INT(SUMPRODUCT(--ISNUMBER(SEARCH(voting,C12)))&gt;0)</f>
        <v>1</v>
      </c>
      <c r="Y12" s="35" cm="1">
        <f t="array" ref="Y12">INT(SUMPRODUCT(--ISNUMBER(SEARCH(republicantrigger,C12)))&gt;0)</f>
        <v>0</v>
      </c>
      <c r="Z12" s="35" cm="1">
        <f t="array" ref="Z12">INT(SUMPRODUCT(--ISNUMBER(SEARCH(bipartisan,C12)))&gt;0)</f>
        <v>0</v>
      </c>
      <c r="AA12" s="35">
        <f t="shared" si="0"/>
        <v>0</v>
      </c>
      <c r="AB12" s="14"/>
      <c r="AC12" s="30" t="s">
        <v>223</v>
      </c>
      <c r="AD12" s="37" t="s">
        <v>223</v>
      </c>
    </row>
    <row r="13" spans="1:30" x14ac:dyDescent="0.25">
      <c r="A13" s="36">
        <v>3553</v>
      </c>
      <c r="B13" s="14" t="s">
        <v>6860</v>
      </c>
      <c r="C13" s="14" t="s">
        <v>6861</v>
      </c>
      <c r="D13" s="17">
        <v>44135</v>
      </c>
      <c r="E13" s="14" t="s">
        <v>30</v>
      </c>
      <c r="F13" s="14">
        <v>418</v>
      </c>
      <c r="G13" s="14">
        <v>123</v>
      </c>
      <c r="H13" s="14">
        <v>17</v>
      </c>
      <c r="I13" s="14">
        <v>9</v>
      </c>
      <c r="J13" s="14" t="s">
        <v>31</v>
      </c>
      <c r="K13" s="14" cm="1">
        <f t="array" ref="K13">INT(SUMPRODUCT(--ISNUMBER(SEARCH(economy,C13)))&gt;0)</f>
        <v>0</v>
      </c>
      <c r="L13" s="14" cm="1">
        <f t="array" ref="L13">INT(SUMPRODUCT(--ISNUMBER(SEARCH(healthcare,C13)))&gt;0)</f>
        <v>0</v>
      </c>
      <c r="M13" s="14" cm="1">
        <f t="array" ref="M13">INT(SUMPRODUCT(--ISNUMBER(SEARCH(supreme,C13)))&gt;0)</f>
        <v>0</v>
      </c>
      <c r="N13" s="14" cm="1">
        <f t="array" ref="N13">INT(SUMPRODUCT(--ISNUMBER(SEARCH(covid,C13)))&gt;0)</f>
        <v>0</v>
      </c>
      <c r="O13" s="14" cm="1">
        <f t="array" ref="O13">INT(SUMPRODUCT(--ISNUMBER(SEARCH(violent,C13)))&gt;0)</f>
        <v>0</v>
      </c>
      <c r="P13" s="14" cm="1">
        <f t="array" ref="P13">INT(SUMPRODUCT(--ISNUMBER(SEARCH(foreign,C13)))&gt;0)</f>
        <v>0</v>
      </c>
      <c r="Q13" s="14" cm="1">
        <f t="array" ref="Q13">INT(SUMPRODUCT(--ISNUMBER(SEARCH(gun,C13)))&gt;0)</f>
        <v>0</v>
      </c>
      <c r="R13" s="14" cm="1">
        <f t="array" ref="R13">INT(SUMPRODUCT(--ISNUMBER(SEARCH(race,C13)))&gt;0)</f>
        <v>0</v>
      </c>
      <c r="S13" s="14" cm="1">
        <f t="array" ref="S13">INT(SUMPRODUCT(--ISNUMBER(SEARCH(immigration,C13)))&gt;0)</f>
        <v>0</v>
      </c>
      <c r="T13" s="14" cm="1">
        <f t="array" ref="T13">INT(SUMPRODUCT(--ISNUMBER(SEARCH(econineq,C14)))&gt;0)</f>
        <v>0</v>
      </c>
      <c r="U13" s="14" cm="1">
        <f t="array" ref="U13">INT(SUMPRODUCT(--ISNUMBER(SEARCH(climate,C13)))&gt;0)</f>
        <v>0</v>
      </c>
      <c r="V13" s="14" cm="1">
        <f t="array" ref="V13">INT(SUMPRODUCT(--ISNUMBER(SEARCH(abortion,C13)))&gt;0)</f>
        <v>0</v>
      </c>
      <c r="W13" s="14" cm="1">
        <f t="array" ref="W13">INT(SUMPRODUCT(--ISNUMBER(SEARCH(trump,C13)))&gt;0)</f>
        <v>0</v>
      </c>
      <c r="X13" s="14" cm="1">
        <f t="array" ref="X13">INT(SUMPRODUCT(--ISNUMBER(SEARCH(voting,C13)))&gt;0)</f>
        <v>1</v>
      </c>
      <c r="Y13" s="35" cm="1">
        <f t="array" ref="Y13">INT(SUMPRODUCT(--ISNUMBER(SEARCH(republicantrigger,C13)))&gt;0)</f>
        <v>1</v>
      </c>
      <c r="Z13" s="35" cm="1">
        <f t="array" ref="Z13">INT(SUMPRODUCT(--ISNUMBER(SEARCH(bipartisan,C13)))&gt;0)</f>
        <v>0</v>
      </c>
      <c r="AA13" s="35">
        <f t="shared" si="0"/>
        <v>0</v>
      </c>
      <c r="AB13" s="14"/>
      <c r="AC13" s="30" t="s">
        <v>223</v>
      </c>
      <c r="AD13" s="37" t="s">
        <v>223</v>
      </c>
    </row>
    <row r="14" spans="1:30" x14ac:dyDescent="0.25">
      <c r="A14" s="36">
        <v>3554</v>
      </c>
      <c r="B14" s="14" t="s">
        <v>6862</v>
      </c>
      <c r="C14" s="14" t="s">
        <v>6863</v>
      </c>
      <c r="D14" s="17">
        <v>44135</v>
      </c>
      <c r="E14" s="14" t="s">
        <v>30</v>
      </c>
      <c r="F14" s="14">
        <v>372</v>
      </c>
      <c r="G14" s="14">
        <v>42</v>
      </c>
      <c r="H14" s="14">
        <v>17</v>
      </c>
      <c r="I14" s="14">
        <v>9</v>
      </c>
      <c r="J14" s="14" t="s">
        <v>31</v>
      </c>
      <c r="K14" s="14" cm="1">
        <f t="array" ref="K14">INT(SUMPRODUCT(--ISNUMBER(SEARCH(economy,C14)))&gt;0)</f>
        <v>0</v>
      </c>
      <c r="L14" s="14" cm="1">
        <f t="array" ref="L14">INT(SUMPRODUCT(--ISNUMBER(SEARCH(healthcare,C14)))&gt;0)</f>
        <v>0</v>
      </c>
      <c r="M14" s="14" cm="1">
        <f t="array" ref="M14">INT(SUMPRODUCT(--ISNUMBER(SEARCH(supreme,C14)))&gt;0)</f>
        <v>0</v>
      </c>
      <c r="N14" s="14" cm="1">
        <f t="array" ref="N14">INT(SUMPRODUCT(--ISNUMBER(SEARCH(covid,C14)))&gt;0)</f>
        <v>0</v>
      </c>
      <c r="O14" s="14" cm="1">
        <f t="array" ref="O14">INT(SUMPRODUCT(--ISNUMBER(SEARCH(violent,C14)))&gt;0)</f>
        <v>0</v>
      </c>
      <c r="P14" s="14" cm="1">
        <f t="array" ref="P14">INT(SUMPRODUCT(--ISNUMBER(SEARCH(foreign,C14)))&gt;0)</f>
        <v>0</v>
      </c>
      <c r="Q14" s="14" cm="1">
        <f t="array" ref="Q14">INT(SUMPRODUCT(--ISNUMBER(SEARCH(gun,C14)))&gt;0)</f>
        <v>0</v>
      </c>
      <c r="R14" s="14" cm="1">
        <f t="array" ref="R14">INT(SUMPRODUCT(--ISNUMBER(SEARCH(race,C14)))&gt;0)</f>
        <v>0</v>
      </c>
      <c r="S14" s="14" cm="1">
        <f t="array" ref="S14">INT(SUMPRODUCT(--ISNUMBER(SEARCH(immigration,C14)))&gt;0)</f>
        <v>0</v>
      </c>
      <c r="T14" s="14" cm="1">
        <f t="array" ref="T14">INT(SUMPRODUCT(--ISNUMBER(SEARCH(econineq,C15)))&gt;0)</f>
        <v>0</v>
      </c>
      <c r="U14" s="14" cm="1">
        <f t="array" ref="U14">INT(SUMPRODUCT(--ISNUMBER(SEARCH(climate,C14)))&gt;0)</f>
        <v>1</v>
      </c>
      <c r="V14" s="14" cm="1">
        <f t="array" ref="V14">INT(SUMPRODUCT(--ISNUMBER(SEARCH(abortion,C14)))&gt;0)</f>
        <v>0</v>
      </c>
      <c r="W14" s="14" cm="1">
        <f t="array" ref="W14">INT(SUMPRODUCT(--ISNUMBER(SEARCH(trump,C14)))&gt;0)</f>
        <v>0</v>
      </c>
      <c r="X14" s="14" cm="1">
        <f t="array" ref="X14">INT(SUMPRODUCT(--ISNUMBER(SEARCH(voting,C14)))&gt;0)</f>
        <v>1</v>
      </c>
      <c r="Y14" s="35" cm="1">
        <f t="array" ref="Y14">INT(SUMPRODUCT(--ISNUMBER(SEARCH(republicantrigger,C14)))&gt;0)</f>
        <v>0</v>
      </c>
      <c r="Z14" s="35" cm="1">
        <f t="array" ref="Z14">INT(SUMPRODUCT(--ISNUMBER(SEARCH(bipartisan,C14)))&gt;0)</f>
        <v>0</v>
      </c>
      <c r="AA14" s="35">
        <f t="shared" si="0"/>
        <v>0</v>
      </c>
      <c r="AB14" s="14"/>
      <c r="AC14" s="30">
        <v>1</v>
      </c>
      <c r="AD14" s="37">
        <v>0</v>
      </c>
    </row>
    <row r="15" spans="1:30" x14ac:dyDescent="0.25">
      <c r="A15" s="36">
        <v>3555</v>
      </c>
      <c r="B15" s="14" t="s">
        <v>6864</v>
      </c>
      <c r="C15" s="14" t="s">
        <v>6865</v>
      </c>
      <c r="D15" s="17">
        <v>44135</v>
      </c>
      <c r="E15" s="14" t="s">
        <v>30</v>
      </c>
      <c r="F15" s="14">
        <v>451</v>
      </c>
      <c r="G15" s="14">
        <v>91</v>
      </c>
      <c r="H15" s="14">
        <v>17</v>
      </c>
      <c r="I15" s="14">
        <v>9</v>
      </c>
      <c r="J15" s="14" t="s">
        <v>31</v>
      </c>
      <c r="K15" s="14" cm="1">
        <f t="array" ref="K15">INT(SUMPRODUCT(--ISNUMBER(SEARCH(economy,C15)))&gt;0)</f>
        <v>0</v>
      </c>
      <c r="L15" s="14" cm="1">
        <f t="array" ref="L15">INT(SUMPRODUCT(--ISNUMBER(SEARCH(healthcare,C15)))&gt;0)</f>
        <v>0</v>
      </c>
      <c r="M15" s="14" cm="1">
        <f t="array" ref="M15">INT(SUMPRODUCT(--ISNUMBER(SEARCH(supreme,C15)))&gt;0)</f>
        <v>0</v>
      </c>
      <c r="N15" s="14" cm="1">
        <f t="array" ref="N15">INT(SUMPRODUCT(--ISNUMBER(SEARCH(covid,C15)))&gt;0)</f>
        <v>0</v>
      </c>
      <c r="O15" s="14" cm="1">
        <f t="array" ref="O15">INT(SUMPRODUCT(--ISNUMBER(SEARCH(violent,C15)))&gt;0)</f>
        <v>0</v>
      </c>
      <c r="P15" s="14" cm="1">
        <f t="array" ref="P15">INT(SUMPRODUCT(--ISNUMBER(SEARCH(foreign,C15)))&gt;0)</f>
        <v>0</v>
      </c>
      <c r="Q15" s="14" cm="1">
        <f t="array" ref="Q15">INT(SUMPRODUCT(--ISNUMBER(SEARCH(gun,C15)))&gt;0)</f>
        <v>0</v>
      </c>
      <c r="R15" s="14" cm="1">
        <f t="array" ref="R15">INT(SUMPRODUCT(--ISNUMBER(SEARCH(race,C15)))&gt;0)</f>
        <v>0</v>
      </c>
      <c r="S15" s="14" cm="1">
        <f t="array" ref="S15">INT(SUMPRODUCT(--ISNUMBER(SEARCH(immigration,C15)))&gt;0)</f>
        <v>0</v>
      </c>
      <c r="T15" s="14" cm="1">
        <f t="array" ref="T15">INT(SUMPRODUCT(--ISNUMBER(SEARCH(econineq,C16)))&gt;0)</f>
        <v>0</v>
      </c>
      <c r="U15" s="14" cm="1">
        <f t="array" ref="U15">INT(SUMPRODUCT(--ISNUMBER(SEARCH(climate,C15)))&gt;0)</f>
        <v>0</v>
      </c>
      <c r="V15" s="14" cm="1">
        <f t="array" ref="V15">INT(SUMPRODUCT(--ISNUMBER(SEARCH(abortion,C15)))&gt;0)</f>
        <v>0</v>
      </c>
      <c r="W15" s="14" cm="1">
        <f t="array" ref="W15">INT(SUMPRODUCT(--ISNUMBER(SEARCH(trump,C15)))&gt;0)</f>
        <v>0</v>
      </c>
      <c r="X15" s="14" cm="1">
        <f t="array" ref="X15">INT(SUMPRODUCT(--ISNUMBER(SEARCH(voting,C15)))&gt;0)</f>
        <v>1</v>
      </c>
      <c r="Y15" s="35" cm="1">
        <f t="array" ref="Y15">INT(SUMPRODUCT(--ISNUMBER(SEARCH(republicantrigger,C15)))&gt;0)</f>
        <v>0</v>
      </c>
      <c r="Z15" s="35" cm="1">
        <f t="array" ref="Z15">INT(SUMPRODUCT(--ISNUMBER(SEARCH(bipartisan,C15)))&gt;0)</f>
        <v>0</v>
      </c>
      <c r="AA15" s="35">
        <f t="shared" si="0"/>
        <v>0</v>
      </c>
      <c r="AB15" s="14"/>
      <c r="AC15" s="30" t="s">
        <v>223</v>
      </c>
      <c r="AD15" s="37" t="s">
        <v>223</v>
      </c>
    </row>
    <row r="16" spans="1:30" x14ac:dyDescent="0.25">
      <c r="A16" s="36">
        <v>3556</v>
      </c>
      <c r="B16" s="14" t="s">
        <v>6866</v>
      </c>
      <c r="C16" s="14" t="s">
        <v>6867</v>
      </c>
      <c r="D16" s="17">
        <v>44134</v>
      </c>
      <c r="E16" s="14" t="s">
        <v>30</v>
      </c>
      <c r="F16" s="14">
        <v>249</v>
      </c>
      <c r="G16" s="14">
        <v>47</v>
      </c>
      <c r="H16" s="14">
        <v>17</v>
      </c>
      <c r="I16" s="14">
        <v>9</v>
      </c>
      <c r="J16" s="14" t="s">
        <v>31</v>
      </c>
      <c r="K16" s="14" cm="1">
        <f t="array" ref="K16">INT(SUMPRODUCT(--ISNUMBER(SEARCH(economy,C16)))&gt;0)</f>
        <v>0</v>
      </c>
      <c r="L16" s="14" cm="1">
        <f t="array" ref="L16">INT(SUMPRODUCT(--ISNUMBER(SEARCH(healthcare,C16)))&gt;0)</f>
        <v>0</v>
      </c>
      <c r="M16" s="14" cm="1">
        <f t="array" ref="M16">INT(SUMPRODUCT(--ISNUMBER(SEARCH(supreme,C16)))&gt;0)</f>
        <v>0</v>
      </c>
      <c r="N16" s="14" cm="1">
        <f t="array" ref="N16">INT(SUMPRODUCT(--ISNUMBER(SEARCH(covid,C16)))&gt;0)</f>
        <v>0</v>
      </c>
      <c r="O16" s="14" cm="1">
        <f t="array" ref="O16">INT(SUMPRODUCT(--ISNUMBER(SEARCH(violent,C16)))&gt;0)</f>
        <v>0</v>
      </c>
      <c r="P16" s="14" cm="1">
        <f t="array" ref="P16">INT(SUMPRODUCT(--ISNUMBER(SEARCH(foreign,C16)))&gt;0)</f>
        <v>0</v>
      </c>
      <c r="Q16" s="14" cm="1">
        <f t="array" ref="Q16">INT(SUMPRODUCT(--ISNUMBER(SEARCH(gun,C16)))&gt;0)</f>
        <v>0</v>
      </c>
      <c r="R16" s="14" cm="1">
        <f t="array" ref="R16">INT(SUMPRODUCT(--ISNUMBER(SEARCH(race,C16)))&gt;0)</f>
        <v>0</v>
      </c>
      <c r="S16" s="14" cm="1">
        <f t="array" ref="S16">INT(SUMPRODUCT(--ISNUMBER(SEARCH(immigration,C16)))&gt;0)</f>
        <v>0</v>
      </c>
      <c r="T16" s="14" cm="1">
        <f t="array" ref="T16">INT(SUMPRODUCT(--ISNUMBER(SEARCH(econineq,C17)))&gt;0)</f>
        <v>0</v>
      </c>
      <c r="U16" s="14" cm="1">
        <f t="array" ref="U16">INT(SUMPRODUCT(--ISNUMBER(SEARCH(climate,C16)))&gt;0)</f>
        <v>0</v>
      </c>
      <c r="V16" s="14" cm="1">
        <f t="array" ref="V16">INT(SUMPRODUCT(--ISNUMBER(SEARCH(abortion,C16)))&gt;0)</f>
        <v>0</v>
      </c>
      <c r="W16" s="14" cm="1">
        <f t="array" ref="W16">INT(SUMPRODUCT(--ISNUMBER(SEARCH(trump,C16)))&gt;0)</f>
        <v>0</v>
      </c>
      <c r="X16" s="14" cm="1">
        <f t="array" ref="X16">INT(SUMPRODUCT(--ISNUMBER(SEARCH(voting,C16)))&gt;0)</f>
        <v>1</v>
      </c>
      <c r="Y16" s="35" cm="1">
        <f t="array" ref="Y16">INT(SUMPRODUCT(--ISNUMBER(SEARCH(republicantrigger,C16)))&gt;0)</f>
        <v>0</v>
      </c>
      <c r="Z16" s="35" cm="1">
        <f t="array" ref="Z16">INT(SUMPRODUCT(--ISNUMBER(SEARCH(bipartisan,C16)))&gt;0)</f>
        <v>0</v>
      </c>
      <c r="AA16" s="35">
        <f t="shared" si="0"/>
        <v>0</v>
      </c>
      <c r="AB16" s="14"/>
      <c r="AC16" s="30" t="s">
        <v>223</v>
      </c>
      <c r="AD16" s="37" t="s">
        <v>223</v>
      </c>
    </row>
    <row r="17" spans="1:30" x14ac:dyDescent="0.25">
      <c r="A17" s="36">
        <v>3557</v>
      </c>
      <c r="B17" s="14" t="s">
        <v>6868</v>
      </c>
      <c r="C17" s="14" t="s">
        <v>6869</v>
      </c>
      <c r="D17" s="17">
        <v>44134</v>
      </c>
      <c r="E17" s="14" t="s">
        <v>30</v>
      </c>
      <c r="F17" s="14">
        <v>685</v>
      </c>
      <c r="G17" s="14">
        <v>640</v>
      </c>
      <c r="H17" s="14">
        <v>17</v>
      </c>
      <c r="I17" s="14">
        <v>9</v>
      </c>
      <c r="J17" s="14" t="s">
        <v>31</v>
      </c>
      <c r="K17" s="14" cm="1">
        <f t="array" ref="K17">INT(SUMPRODUCT(--ISNUMBER(SEARCH(economy,C17)))&gt;0)</f>
        <v>0</v>
      </c>
      <c r="L17" s="14" cm="1">
        <f t="array" ref="L17">INT(SUMPRODUCT(--ISNUMBER(SEARCH(healthcare,C17)))&gt;0)</f>
        <v>0</v>
      </c>
      <c r="M17" s="14" cm="1">
        <f t="array" ref="M17">INT(SUMPRODUCT(--ISNUMBER(SEARCH(supreme,C17)))&gt;0)</f>
        <v>0</v>
      </c>
      <c r="N17" s="14" cm="1">
        <f t="array" ref="N17">INT(SUMPRODUCT(--ISNUMBER(SEARCH(covid,C17)))&gt;0)</f>
        <v>0</v>
      </c>
      <c r="O17" s="14" cm="1">
        <f t="array" ref="O17">INT(SUMPRODUCT(--ISNUMBER(SEARCH(violent,C17)))&gt;0)</f>
        <v>0</v>
      </c>
      <c r="P17" s="14" cm="1">
        <f t="array" ref="P17">INT(SUMPRODUCT(--ISNUMBER(SEARCH(foreign,C17)))&gt;0)</f>
        <v>1</v>
      </c>
      <c r="Q17" s="14" cm="1">
        <f t="array" ref="Q17">INT(SUMPRODUCT(--ISNUMBER(SEARCH(gun,C17)))&gt;0)</f>
        <v>0</v>
      </c>
      <c r="R17" s="14" cm="1">
        <f t="array" ref="R17">INT(SUMPRODUCT(--ISNUMBER(SEARCH(race,C17)))&gt;0)</f>
        <v>0</v>
      </c>
      <c r="S17" s="14" cm="1">
        <f t="array" ref="S17">INT(SUMPRODUCT(--ISNUMBER(SEARCH(immigration,C17)))&gt;0)</f>
        <v>0</v>
      </c>
      <c r="T17" s="14" cm="1">
        <f t="array" ref="T17">INT(SUMPRODUCT(--ISNUMBER(SEARCH(econineq,C18)))&gt;0)</f>
        <v>0</v>
      </c>
      <c r="U17" s="14" cm="1">
        <f t="array" ref="U17">INT(SUMPRODUCT(--ISNUMBER(SEARCH(climate,C17)))&gt;0)</f>
        <v>0</v>
      </c>
      <c r="V17" s="14" cm="1">
        <f t="array" ref="V17">INT(SUMPRODUCT(--ISNUMBER(SEARCH(abortion,C17)))&gt;0)</f>
        <v>0</v>
      </c>
      <c r="W17" s="14" cm="1">
        <f t="array" ref="W17">INT(SUMPRODUCT(--ISNUMBER(SEARCH(trump,C17)))&gt;0)</f>
        <v>0</v>
      </c>
      <c r="X17" s="14" cm="1">
        <f t="array" ref="X17">INT(SUMPRODUCT(--ISNUMBER(SEARCH(voting,C17)))&gt;0)</f>
        <v>0</v>
      </c>
      <c r="Y17" s="35" cm="1">
        <f t="array" ref="Y17">INT(SUMPRODUCT(--ISNUMBER(SEARCH(republicantrigger,C17)))&gt;0)</f>
        <v>0</v>
      </c>
      <c r="Z17" s="35" cm="1">
        <f t="array" ref="Z17">INT(SUMPRODUCT(--ISNUMBER(SEARCH(bipartisan,C17)))&gt;0)</f>
        <v>1</v>
      </c>
      <c r="AA17" s="35">
        <f t="shared" si="0"/>
        <v>0</v>
      </c>
      <c r="AB17" s="14"/>
      <c r="AC17" s="30" t="s">
        <v>223</v>
      </c>
      <c r="AD17" s="37" t="s">
        <v>223</v>
      </c>
    </row>
    <row r="18" spans="1:30" x14ac:dyDescent="0.25">
      <c r="A18" s="36">
        <v>3558</v>
      </c>
      <c r="B18" s="14" t="s">
        <v>6870</v>
      </c>
      <c r="C18" s="14" t="s">
        <v>6871</v>
      </c>
      <c r="D18" s="17">
        <v>44134</v>
      </c>
      <c r="E18" s="14" t="s">
        <v>30</v>
      </c>
      <c r="F18" s="14">
        <v>32</v>
      </c>
      <c r="G18" s="14">
        <v>8</v>
      </c>
      <c r="H18" s="14">
        <v>17</v>
      </c>
      <c r="I18" s="14">
        <v>9</v>
      </c>
      <c r="J18" s="14" t="s">
        <v>31</v>
      </c>
      <c r="K18" s="14" cm="1">
        <f t="array" ref="K18">INT(SUMPRODUCT(--ISNUMBER(SEARCH(economy,C18)))&gt;0)</f>
        <v>0</v>
      </c>
      <c r="L18" s="14" cm="1">
        <f t="array" ref="L18">INT(SUMPRODUCT(--ISNUMBER(SEARCH(healthcare,C18)))&gt;0)</f>
        <v>0</v>
      </c>
      <c r="M18" s="14" cm="1">
        <f t="array" ref="M18">INT(SUMPRODUCT(--ISNUMBER(SEARCH(supreme,C18)))&gt;0)</f>
        <v>0</v>
      </c>
      <c r="N18" s="14" cm="1">
        <f t="array" ref="N18">INT(SUMPRODUCT(--ISNUMBER(SEARCH(covid,C18)))&gt;0)</f>
        <v>0</v>
      </c>
      <c r="O18" s="14" cm="1">
        <f t="array" ref="O18">INT(SUMPRODUCT(--ISNUMBER(SEARCH(violent,C18)))&gt;0)</f>
        <v>0</v>
      </c>
      <c r="P18" s="14" cm="1">
        <f t="array" ref="P18">INT(SUMPRODUCT(--ISNUMBER(SEARCH(foreign,C18)))&gt;0)</f>
        <v>0</v>
      </c>
      <c r="Q18" s="14" cm="1">
        <f t="array" ref="Q18">INT(SUMPRODUCT(--ISNUMBER(SEARCH(gun,C18)))&gt;0)</f>
        <v>0</v>
      </c>
      <c r="R18" s="14" cm="1">
        <f t="array" ref="R18">INT(SUMPRODUCT(--ISNUMBER(SEARCH(race,C18)))&gt;0)</f>
        <v>0</v>
      </c>
      <c r="S18" s="14" cm="1">
        <f t="array" ref="S18">INT(SUMPRODUCT(--ISNUMBER(SEARCH(immigration,C18)))&gt;0)</f>
        <v>0</v>
      </c>
      <c r="T18" s="14" cm="1">
        <f t="array" ref="T18">INT(SUMPRODUCT(--ISNUMBER(SEARCH(econineq,C19)))&gt;0)</f>
        <v>0</v>
      </c>
      <c r="U18" s="14" cm="1">
        <f t="array" ref="U18">INT(SUMPRODUCT(--ISNUMBER(SEARCH(climate,C18)))&gt;0)</f>
        <v>0</v>
      </c>
      <c r="V18" s="14" cm="1">
        <f t="array" ref="V18">INT(SUMPRODUCT(--ISNUMBER(SEARCH(abortion,C18)))&gt;0)</f>
        <v>0</v>
      </c>
      <c r="W18" s="14" cm="1">
        <f t="array" ref="W18">INT(SUMPRODUCT(--ISNUMBER(SEARCH(trump,C18)))&gt;0)</f>
        <v>0</v>
      </c>
      <c r="X18" s="14" cm="1">
        <f t="array" ref="X18">INT(SUMPRODUCT(--ISNUMBER(SEARCH(voting,C18)))&gt;0)</f>
        <v>0</v>
      </c>
      <c r="Y18" s="35" cm="1">
        <f t="array" ref="Y18">INT(SUMPRODUCT(--ISNUMBER(SEARCH(republicantrigger,C18)))&gt;0)</f>
        <v>0</v>
      </c>
      <c r="Z18" s="35" cm="1">
        <f t="array" ref="Z18">INT(SUMPRODUCT(--ISNUMBER(SEARCH(bipartisan,C18)))&gt;0)</f>
        <v>0</v>
      </c>
      <c r="AA18" s="35">
        <f t="shared" si="0"/>
        <v>1</v>
      </c>
      <c r="AB18" s="14"/>
      <c r="AC18" s="30">
        <v>1</v>
      </c>
      <c r="AD18" s="37">
        <v>0</v>
      </c>
    </row>
    <row r="19" spans="1:30" x14ac:dyDescent="0.25">
      <c r="A19" s="36">
        <v>3559</v>
      </c>
      <c r="B19" s="14" t="s">
        <v>6872</v>
      </c>
      <c r="C19" s="14" t="s">
        <v>6873</v>
      </c>
      <c r="D19" s="17">
        <v>44134</v>
      </c>
      <c r="E19" s="14" t="s">
        <v>30</v>
      </c>
      <c r="F19" s="14">
        <v>169</v>
      </c>
      <c r="G19" s="14">
        <v>61</v>
      </c>
      <c r="H19" s="14">
        <v>17</v>
      </c>
      <c r="I19" s="14">
        <v>9</v>
      </c>
      <c r="J19" s="14" t="s">
        <v>31</v>
      </c>
      <c r="K19" s="14" cm="1">
        <f t="array" ref="K19">INT(SUMPRODUCT(--ISNUMBER(SEARCH(economy,C19)))&gt;0)</f>
        <v>1</v>
      </c>
      <c r="L19" s="14" cm="1">
        <f t="array" ref="L19">INT(SUMPRODUCT(--ISNUMBER(SEARCH(healthcare,C19)))&gt;0)</f>
        <v>0</v>
      </c>
      <c r="M19" s="14" cm="1">
        <f t="array" ref="M19">INT(SUMPRODUCT(--ISNUMBER(SEARCH(supreme,C19)))&gt;0)</f>
        <v>0</v>
      </c>
      <c r="N19" s="14" cm="1">
        <f t="array" ref="N19">INT(SUMPRODUCT(--ISNUMBER(SEARCH(covid,C19)))&gt;0)</f>
        <v>0</v>
      </c>
      <c r="O19" s="14" cm="1">
        <f t="array" ref="O19">INT(SUMPRODUCT(--ISNUMBER(SEARCH(violent,C19)))&gt;0)</f>
        <v>0</v>
      </c>
      <c r="P19" s="14" cm="1">
        <f t="array" ref="P19">INT(SUMPRODUCT(--ISNUMBER(SEARCH(foreign,C19)))&gt;0)</f>
        <v>0</v>
      </c>
      <c r="Q19" s="14" cm="1">
        <f t="array" ref="Q19">INT(SUMPRODUCT(--ISNUMBER(SEARCH(gun,C19)))&gt;0)</f>
        <v>0</v>
      </c>
      <c r="R19" s="14" cm="1">
        <f t="array" ref="R19">INT(SUMPRODUCT(--ISNUMBER(SEARCH(race,C19)))&gt;0)</f>
        <v>0</v>
      </c>
      <c r="S19" s="14" cm="1">
        <f t="array" ref="S19">INT(SUMPRODUCT(--ISNUMBER(SEARCH(immigration,C19)))&gt;0)</f>
        <v>0</v>
      </c>
      <c r="T19" s="14" cm="1">
        <f t="array" ref="T19">INT(SUMPRODUCT(--ISNUMBER(SEARCH(econineq,C20)))&gt;0)</f>
        <v>0</v>
      </c>
      <c r="U19" s="14" cm="1">
        <f t="array" ref="U19">INT(SUMPRODUCT(--ISNUMBER(SEARCH(climate,C19)))&gt;0)</f>
        <v>1</v>
      </c>
      <c r="V19" s="14" cm="1">
        <f t="array" ref="V19">INT(SUMPRODUCT(--ISNUMBER(SEARCH(abortion,C19)))&gt;0)</f>
        <v>0</v>
      </c>
      <c r="W19" s="14" cm="1">
        <f t="array" ref="W19">INT(SUMPRODUCT(--ISNUMBER(SEARCH(trump,C19)))&gt;0)</f>
        <v>0</v>
      </c>
      <c r="X19" s="14" cm="1">
        <f t="array" ref="X19">INT(SUMPRODUCT(--ISNUMBER(SEARCH(voting,C19)))&gt;0)</f>
        <v>0</v>
      </c>
      <c r="Y19" s="35" cm="1">
        <f t="array" ref="Y19">INT(SUMPRODUCT(--ISNUMBER(SEARCH(republicantrigger,C19)))&gt;0)</f>
        <v>1</v>
      </c>
      <c r="Z19" s="35" cm="1">
        <f t="array" ref="Z19">INT(SUMPRODUCT(--ISNUMBER(SEARCH(bipartisan,C19)))&gt;0)</f>
        <v>0</v>
      </c>
      <c r="AA19" s="35">
        <f t="shared" si="0"/>
        <v>0</v>
      </c>
      <c r="AB19" s="14"/>
      <c r="AC19" s="30" t="s">
        <v>223</v>
      </c>
      <c r="AD19" s="37" t="s">
        <v>223</v>
      </c>
    </row>
    <row r="20" spans="1:30" x14ac:dyDescent="0.25">
      <c r="A20" s="36">
        <v>3560</v>
      </c>
      <c r="B20" s="14" t="s">
        <v>6874</v>
      </c>
      <c r="C20" s="14" t="s">
        <v>6875</v>
      </c>
      <c r="D20" s="17">
        <v>44134</v>
      </c>
      <c r="E20" s="14" t="s">
        <v>30</v>
      </c>
      <c r="F20" s="14">
        <v>119</v>
      </c>
      <c r="G20" s="14">
        <v>32</v>
      </c>
      <c r="H20" s="14">
        <v>17</v>
      </c>
      <c r="I20" s="14">
        <v>9</v>
      </c>
      <c r="J20" s="14" t="s">
        <v>31</v>
      </c>
      <c r="K20" s="14" cm="1">
        <f t="array" ref="K20">INT(SUMPRODUCT(--ISNUMBER(SEARCH(economy,C20)))&gt;0)</f>
        <v>0</v>
      </c>
      <c r="L20" s="14" cm="1">
        <f t="array" ref="L20">INT(SUMPRODUCT(--ISNUMBER(SEARCH(healthcare,C20)))&gt;0)</f>
        <v>0</v>
      </c>
      <c r="M20" s="14" cm="1">
        <f t="array" ref="M20">INT(SUMPRODUCT(--ISNUMBER(SEARCH(supreme,C20)))&gt;0)</f>
        <v>0</v>
      </c>
      <c r="N20" s="14" cm="1">
        <f t="array" ref="N20">INT(SUMPRODUCT(--ISNUMBER(SEARCH(covid,C20)))&gt;0)</f>
        <v>0</v>
      </c>
      <c r="O20" s="14" cm="1">
        <f t="array" ref="O20">INT(SUMPRODUCT(--ISNUMBER(SEARCH(violent,C20)))&gt;0)</f>
        <v>0</v>
      </c>
      <c r="P20" s="14" cm="1">
        <f t="array" ref="P20">INT(SUMPRODUCT(--ISNUMBER(SEARCH(foreign,C20)))&gt;0)</f>
        <v>1</v>
      </c>
      <c r="Q20" s="14" cm="1">
        <f t="array" ref="Q20">INT(SUMPRODUCT(--ISNUMBER(SEARCH(gun,C20)))&gt;0)</f>
        <v>0</v>
      </c>
      <c r="R20" s="14" cm="1">
        <f t="array" ref="R20">INT(SUMPRODUCT(--ISNUMBER(SEARCH(race,C20)))&gt;0)</f>
        <v>0</v>
      </c>
      <c r="S20" s="14" cm="1">
        <f t="array" ref="S20">INT(SUMPRODUCT(--ISNUMBER(SEARCH(immigration,C20)))&gt;0)</f>
        <v>0</v>
      </c>
      <c r="T20" s="14" cm="1">
        <f t="array" ref="T20">INT(SUMPRODUCT(--ISNUMBER(SEARCH(econineq,C21)))&gt;0)</f>
        <v>0</v>
      </c>
      <c r="U20" s="14" cm="1">
        <f t="array" ref="U20">INT(SUMPRODUCT(--ISNUMBER(SEARCH(climate,C20)))&gt;0)</f>
        <v>1</v>
      </c>
      <c r="V20" s="14" cm="1">
        <f t="array" ref="V20">INT(SUMPRODUCT(--ISNUMBER(SEARCH(abortion,C20)))&gt;0)</f>
        <v>0</v>
      </c>
      <c r="W20" s="14" cm="1">
        <f t="array" ref="W20">INT(SUMPRODUCT(--ISNUMBER(SEARCH(trump,C20)))&gt;0)</f>
        <v>0</v>
      </c>
      <c r="X20" s="14" cm="1">
        <f t="array" ref="X20">INT(SUMPRODUCT(--ISNUMBER(SEARCH(voting,C20)))&gt;0)</f>
        <v>1</v>
      </c>
      <c r="Y20" s="35" cm="1">
        <f t="array" ref="Y20">INT(SUMPRODUCT(--ISNUMBER(SEARCH(republicantrigger,C20)))&gt;0)</f>
        <v>0</v>
      </c>
      <c r="Z20" s="35" cm="1">
        <f t="array" ref="Z20">INT(SUMPRODUCT(--ISNUMBER(SEARCH(bipartisan,C20)))&gt;0)</f>
        <v>0</v>
      </c>
      <c r="AA20" s="35">
        <f t="shared" si="0"/>
        <v>0</v>
      </c>
      <c r="AB20" s="14"/>
      <c r="AC20" s="30">
        <v>1</v>
      </c>
      <c r="AD20" s="37">
        <v>0</v>
      </c>
    </row>
    <row r="21" spans="1:30" x14ac:dyDescent="0.25">
      <c r="A21" s="36">
        <v>3561</v>
      </c>
      <c r="B21" s="14" t="s">
        <v>6876</v>
      </c>
      <c r="C21" s="14" t="s">
        <v>6877</v>
      </c>
      <c r="D21" s="17">
        <v>44134</v>
      </c>
      <c r="E21" s="14" t="s">
        <v>30</v>
      </c>
      <c r="F21" s="14">
        <v>131</v>
      </c>
      <c r="G21" s="14">
        <v>26</v>
      </c>
      <c r="H21" s="14">
        <v>17</v>
      </c>
      <c r="I21" s="14">
        <v>9</v>
      </c>
      <c r="J21" s="14" t="s">
        <v>31</v>
      </c>
      <c r="K21" s="14" cm="1">
        <f t="array" ref="K21">INT(SUMPRODUCT(--ISNUMBER(SEARCH(economy,C21)))&gt;0)</f>
        <v>0</v>
      </c>
      <c r="L21" s="14" cm="1">
        <f t="array" ref="L21">INT(SUMPRODUCT(--ISNUMBER(SEARCH(healthcare,C21)))&gt;0)</f>
        <v>0</v>
      </c>
      <c r="M21" s="14" cm="1">
        <f t="array" ref="M21">INT(SUMPRODUCT(--ISNUMBER(SEARCH(supreme,C21)))&gt;0)</f>
        <v>0</v>
      </c>
      <c r="N21" s="14" cm="1">
        <f t="array" ref="N21">INT(SUMPRODUCT(--ISNUMBER(SEARCH(covid,C21)))&gt;0)</f>
        <v>0</v>
      </c>
      <c r="O21" s="14" cm="1">
        <f t="array" ref="O21">INT(SUMPRODUCT(--ISNUMBER(SEARCH(violent,C21)))&gt;0)</f>
        <v>0</v>
      </c>
      <c r="P21" s="14" cm="1">
        <f t="array" ref="P21">INT(SUMPRODUCT(--ISNUMBER(SEARCH(foreign,C21)))&gt;0)</f>
        <v>1</v>
      </c>
      <c r="Q21" s="14" cm="1">
        <f t="array" ref="Q21">INT(SUMPRODUCT(--ISNUMBER(SEARCH(gun,C21)))&gt;0)</f>
        <v>0</v>
      </c>
      <c r="R21" s="14" cm="1">
        <f t="array" ref="R21">INT(SUMPRODUCT(--ISNUMBER(SEARCH(race,C21)))&gt;0)</f>
        <v>0</v>
      </c>
      <c r="S21" s="14" cm="1">
        <f t="array" ref="S21">INT(SUMPRODUCT(--ISNUMBER(SEARCH(immigration,C21)))&gt;0)</f>
        <v>0</v>
      </c>
      <c r="T21" s="14" cm="1">
        <f t="array" ref="T21">INT(SUMPRODUCT(--ISNUMBER(SEARCH(econineq,C22)))&gt;0)</f>
        <v>0</v>
      </c>
      <c r="U21" s="14" cm="1">
        <f t="array" ref="U21">INT(SUMPRODUCT(--ISNUMBER(SEARCH(climate,C21)))&gt;0)</f>
        <v>0</v>
      </c>
      <c r="V21" s="14" cm="1">
        <f t="array" ref="V21">INT(SUMPRODUCT(--ISNUMBER(SEARCH(abortion,C21)))&gt;0)</f>
        <v>0</v>
      </c>
      <c r="W21" s="14" cm="1">
        <f t="array" ref="W21">INT(SUMPRODUCT(--ISNUMBER(SEARCH(trump,C21)))&gt;0)</f>
        <v>0</v>
      </c>
      <c r="X21" s="14" cm="1">
        <f t="array" ref="X21">INT(SUMPRODUCT(--ISNUMBER(SEARCH(voting,C21)))&gt;0)</f>
        <v>1</v>
      </c>
      <c r="Y21" s="35" cm="1">
        <f t="array" ref="Y21">INT(SUMPRODUCT(--ISNUMBER(SEARCH(republicantrigger,C21)))&gt;0)</f>
        <v>1</v>
      </c>
      <c r="Z21" s="35" cm="1">
        <f t="array" ref="Z21">INT(SUMPRODUCT(--ISNUMBER(SEARCH(bipartisan,C21)))&gt;0)</f>
        <v>0</v>
      </c>
      <c r="AA21" s="35">
        <f t="shared" si="0"/>
        <v>0</v>
      </c>
      <c r="AB21" s="14"/>
      <c r="AC21" s="30">
        <v>1</v>
      </c>
      <c r="AD21" s="37">
        <v>0</v>
      </c>
    </row>
    <row r="22" spans="1:30" x14ac:dyDescent="0.25">
      <c r="A22" s="36">
        <v>3562</v>
      </c>
      <c r="B22" s="14" t="s">
        <v>6878</v>
      </c>
      <c r="C22" s="14" t="s">
        <v>6879</v>
      </c>
      <c r="D22" s="17">
        <v>44134</v>
      </c>
      <c r="E22" s="14" t="s">
        <v>30</v>
      </c>
      <c r="F22" s="14">
        <v>154</v>
      </c>
      <c r="G22" s="14">
        <v>41</v>
      </c>
      <c r="H22" s="14">
        <v>17</v>
      </c>
      <c r="I22" s="14">
        <v>9</v>
      </c>
      <c r="J22" s="14" t="s">
        <v>31</v>
      </c>
      <c r="K22" s="14" cm="1">
        <f t="array" ref="K22">INT(SUMPRODUCT(--ISNUMBER(SEARCH(economy,C22)))&gt;0)</f>
        <v>0</v>
      </c>
      <c r="L22" s="14" cm="1">
        <f t="array" ref="L22">INT(SUMPRODUCT(--ISNUMBER(SEARCH(healthcare,C22)))&gt;0)</f>
        <v>0</v>
      </c>
      <c r="M22" s="14" cm="1">
        <f t="array" ref="M22">INT(SUMPRODUCT(--ISNUMBER(SEARCH(supreme,C22)))&gt;0)</f>
        <v>0</v>
      </c>
      <c r="N22" s="14" cm="1">
        <f t="array" ref="N22">INT(SUMPRODUCT(--ISNUMBER(SEARCH(covid,C22)))&gt;0)</f>
        <v>0</v>
      </c>
      <c r="O22" s="14" cm="1">
        <f t="array" ref="O22">INT(SUMPRODUCT(--ISNUMBER(SEARCH(violent,C22)))&gt;0)</f>
        <v>0</v>
      </c>
      <c r="P22" s="14" cm="1">
        <f t="array" ref="P22">INT(SUMPRODUCT(--ISNUMBER(SEARCH(foreign,C22)))&gt;0)</f>
        <v>0</v>
      </c>
      <c r="Q22" s="14" cm="1">
        <f t="array" ref="Q22">INT(SUMPRODUCT(--ISNUMBER(SEARCH(gun,C22)))&gt;0)</f>
        <v>0</v>
      </c>
      <c r="R22" s="14" cm="1">
        <f t="array" ref="R22">INT(SUMPRODUCT(--ISNUMBER(SEARCH(race,C22)))&gt;0)</f>
        <v>0</v>
      </c>
      <c r="S22" s="14" cm="1">
        <f t="array" ref="S22">INT(SUMPRODUCT(--ISNUMBER(SEARCH(immigration,C22)))&gt;0)</f>
        <v>0</v>
      </c>
      <c r="T22" s="14" cm="1">
        <f t="array" ref="T22">INT(SUMPRODUCT(--ISNUMBER(SEARCH(econineq,C23)))&gt;0)</f>
        <v>0</v>
      </c>
      <c r="U22" s="14" cm="1">
        <f t="array" ref="U22">INT(SUMPRODUCT(--ISNUMBER(SEARCH(climate,C22)))&gt;0)</f>
        <v>0</v>
      </c>
      <c r="V22" s="14" cm="1">
        <f t="array" ref="V22">INT(SUMPRODUCT(--ISNUMBER(SEARCH(abortion,C22)))&gt;0)</f>
        <v>0</v>
      </c>
      <c r="W22" s="14" cm="1">
        <f t="array" ref="W22">INT(SUMPRODUCT(--ISNUMBER(SEARCH(trump,C22)))&gt;0)</f>
        <v>0</v>
      </c>
      <c r="X22" s="14" cm="1">
        <f t="array" ref="X22">INT(SUMPRODUCT(--ISNUMBER(SEARCH(voting,C22)))&gt;0)</f>
        <v>0</v>
      </c>
      <c r="Y22" s="35" cm="1">
        <f t="array" ref="Y22">INT(SUMPRODUCT(--ISNUMBER(SEARCH(republicantrigger,C22)))&gt;0)</f>
        <v>0</v>
      </c>
      <c r="Z22" s="35" cm="1">
        <f t="array" ref="Z22">INT(SUMPRODUCT(--ISNUMBER(SEARCH(bipartisan,C22)))&gt;0)</f>
        <v>0</v>
      </c>
      <c r="AA22" s="35">
        <f t="shared" si="0"/>
        <v>1</v>
      </c>
      <c r="AB22" s="14"/>
      <c r="AC22" s="30" t="s">
        <v>223</v>
      </c>
      <c r="AD22" s="37" t="s">
        <v>223</v>
      </c>
    </row>
    <row r="23" spans="1:30" x14ac:dyDescent="0.25">
      <c r="A23" s="36">
        <v>3563</v>
      </c>
      <c r="B23" s="14" t="s">
        <v>6880</v>
      </c>
      <c r="C23" s="14" t="s">
        <v>6881</v>
      </c>
      <c r="D23" s="17">
        <v>44134</v>
      </c>
      <c r="E23" s="14" t="s">
        <v>30</v>
      </c>
      <c r="F23" s="14">
        <v>421</v>
      </c>
      <c r="G23" s="14">
        <v>106</v>
      </c>
      <c r="H23" s="14">
        <v>17</v>
      </c>
      <c r="I23" s="14">
        <v>9</v>
      </c>
      <c r="J23" s="14" t="s">
        <v>31</v>
      </c>
      <c r="K23" s="14" cm="1">
        <f t="array" ref="K23">INT(SUMPRODUCT(--ISNUMBER(SEARCH(economy,C23)))&gt;0)</f>
        <v>0</v>
      </c>
      <c r="L23" s="14" cm="1">
        <f t="array" ref="L23">INT(SUMPRODUCT(--ISNUMBER(SEARCH(healthcare,C23)))&gt;0)</f>
        <v>0</v>
      </c>
      <c r="M23" s="14" cm="1">
        <f t="array" ref="M23">INT(SUMPRODUCT(--ISNUMBER(SEARCH(supreme,C23)))&gt;0)</f>
        <v>0</v>
      </c>
      <c r="N23" s="14" cm="1">
        <f t="array" ref="N23">INT(SUMPRODUCT(--ISNUMBER(SEARCH(covid,C23)))&gt;0)</f>
        <v>0</v>
      </c>
      <c r="O23" s="14" cm="1">
        <f t="array" ref="O23">INT(SUMPRODUCT(--ISNUMBER(SEARCH(violent,C23)))&gt;0)</f>
        <v>0</v>
      </c>
      <c r="P23" s="14" cm="1">
        <f t="array" ref="P23">INT(SUMPRODUCT(--ISNUMBER(SEARCH(foreign,C23)))&gt;0)</f>
        <v>0</v>
      </c>
      <c r="Q23" s="14" cm="1">
        <f t="array" ref="Q23">INT(SUMPRODUCT(--ISNUMBER(SEARCH(gun,C23)))&gt;0)</f>
        <v>0</v>
      </c>
      <c r="R23" s="14" cm="1">
        <f t="array" ref="R23">INT(SUMPRODUCT(--ISNUMBER(SEARCH(race,C23)))&gt;0)</f>
        <v>0</v>
      </c>
      <c r="S23" s="14" cm="1">
        <f t="array" ref="S23">INT(SUMPRODUCT(--ISNUMBER(SEARCH(immigration,C23)))&gt;0)</f>
        <v>0</v>
      </c>
      <c r="T23" s="14" cm="1">
        <f t="array" ref="T23">INT(SUMPRODUCT(--ISNUMBER(SEARCH(econineq,C24)))&gt;0)</f>
        <v>0</v>
      </c>
      <c r="U23" s="14" cm="1">
        <f t="array" ref="U23">INT(SUMPRODUCT(--ISNUMBER(SEARCH(climate,C23)))&gt;0)</f>
        <v>0</v>
      </c>
      <c r="V23" s="14" cm="1">
        <f t="array" ref="V23">INT(SUMPRODUCT(--ISNUMBER(SEARCH(abortion,C23)))&gt;0)</f>
        <v>0</v>
      </c>
      <c r="W23" s="14" cm="1">
        <f t="array" ref="W23">INT(SUMPRODUCT(--ISNUMBER(SEARCH(trump,C23)))&gt;0)</f>
        <v>0</v>
      </c>
      <c r="X23" s="14" cm="1">
        <f t="array" ref="X23">INT(SUMPRODUCT(--ISNUMBER(SEARCH(voting,C23)))&gt;0)</f>
        <v>0</v>
      </c>
      <c r="Y23" s="35" cm="1">
        <f t="array" ref="Y23">INT(SUMPRODUCT(--ISNUMBER(SEARCH(republicantrigger,C23)))&gt;0)</f>
        <v>0</v>
      </c>
      <c r="Z23" s="35" cm="1">
        <f t="array" ref="Z23">INT(SUMPRODUCT(--ISNUMBER(SEARCH(bipartisan,C23)))&gt;0)</f>
        <v>0</v>
      </c>
      <c r="AA23" s="35">
        <f t="shared" si="0"/>
        <v>1</v>
      </c>
      <c r="AB23" s="14"/>
      <c r="AC23" s="30" t="s">
        <v>223</v>
      </c>
      <c r="AD23" s="37" t="s">
        <v>223</v>
      </c>
    </row>
    <row r="24" spans="1:30" x14ac:dyDescent="0.25">
      <c r="A24" s="36">
        <v>3564</v>
      </c>
      <c r="B24" s="14" t="s">
        <v>6882</v>
      </c>
      <c r="C24" s="14" t="s">
        <v>6883</v>
      </c>
      <c r="D24" s="17">
        <v>44134</v>
      </c>
      <c r="E24" s="14" t="s">
        <v>30</v>
      </c>
      <c r="F24" s="14">
        <v>211</v>
      </c>
      <c r="G24" s="14">
        <v>15</v>
      </c>
      <c r="H24" s="14">
        <v>17</v>
      </c>
      <c r="I24" s="14">
        <v>9</v>
      </c>
      <c r="J24" s="14" t="s">
        <v>31</v>
      </c>
      <c r="K24" s="14" cm="1">
        <f t="array" ref="K24">INT(SUMPRODUCT(--ISNUMBER(SEARCH(economy,C24)))&gt;0)</f>
        <v>0</v>
      </c>
      <c r="L24" s="14" cm="1">
        <f t="array" ref="L24">INT(SUMPRODUCT(--ISNUMBER(SEARCH(healthcare,C24)))&gt;0)</f>
        <v>0</v>
      </c>
      <c r="M24" s="14" cm="1">
        <f t="array" ref="M24">INT(SUMPRODUCT(--ISNUMBER(SEARCH(supreme,C24)))&gt;0)</f>
        <v>0</v>
      </c>
      <c r="N24" s="14" cm="1">
        <f t="array" ref="N24">INT(SUMPRODUCT(--ISNUMBER(SEARCH(covid,C24)))&gt;0)</f>
        <v>0</v>
      </c>
      <c r="O24" s="14" cm="1">
        <f t="array" ref="O24">INT(SUMPRODUCT(--ISNUMBER(SEARCH(violent,C24)))&gt;0)</f>
        <v>0</v>
      </c>
      <c r="P24" s="14" cm="1">
        <f t="array" ref="P24">INT(SUMPRODUCT(--ISNUMBER(SEARCH(foreign,C24)))&gt;0)</f>
        <v>0</v>
      </c>
      <c r="Q24" s="14" cm="1">
        <f t="array" ref="Q24">INT(SUMPRODUCT(--ISNUMBER(SEARCH(gun,C24)))&gt;0)</f>
        <v>0</v>
      </c>
      <c r="R24" s="14" cm="1">
        <f t="array" ref="R24">INT(SUMPRODUCT(--ISNUMBER(SEARCH(race,C24)))&gt;0)</f>
        <v>0</v>
      </c>
      <c r="S24" s="14" cm="1">
        <f t="array" ref="S24">INT(SUMPRODUCT(--ISNUMBER(SEARCH(immigration,C24)))&gt;0)</f>
        <v>0</v>
      </c>
      <c r="T24" s="14" cm="1">
        <f t="array" ref="T24">INT(SUMPRODUCT(--ISNUMBER(SEARCH(econineq,C25)))&gt;0)</f>
        <v>0</v>
      </c>
      <c r="U24" s="14" cm="1">
        <f t="array" ref="U24">INT(SUMPRODUCT(--ISNUMBER(SEARCH(climate,C24)))&gt;0)</f>
        <v>0</v>
      </c>
      <c r="V24" s="14" cm="1">
        <f t="array" ref="V24">INT(SUMPRODUCT(--ISNUMBER(SEARCH(abortion,C24)))&gt;0)</f>
        <v>0</v>
      </c>
      <c r="W24" s="14" cm="1">
        <f t="array" ref="W24">INT(SUMPRODUCT(--ISNUMBER(SEARCH(trump,C24)))&gt;0)</f>
        <v>0</v>
      </c>
      <c r="X24" s="14" cm="1">
        <f t="array" ref="X24">INT(SUMPRODUCT(--ISNUMBER(SEARCH(voting,C24)))&gt;0)</f>
        <v>0</v>
      </c>
      <c r="Y24" s="35" cm="1">
        <f t="array" ref="Y24">INT(SUMPRODUCT(--ISNUMBER(SEARCH(republicantrigger,C24)))&gt;0)</f>
        <v>0</v>
      </c>
      <c r="Z24" s="35" cm="1">
        <f t="array" ref="Z24">INT(SUMPRODUCT(--ISNUMBER(SEARCH(bipartisan,C24)))&gt;0)</f>
        <v>0</v>
      </c>
      <c r="AA24" s="35">
        <f t="shared" si="0"/>
        <v>1</v>
      </c>
      <c r="AB24" s="14"/>
      <c r="AC24" s="30" t="s">
        <v>223</v>
      </c>
      <c r="AD24" s="37" t="s">
        <v>223</v>
      </c>
    </row>
    <row r="25" spans="1:30" x14ac:dyDescent="0.25">
      <c r="A25" s="36">
        <v>3565</v>
      </c>
      <c r="B25" s="14" t="s">
        <v>6884</v>
      </c>
      <c r="C25" s="14" t="s">
        <v>6885</v>
      </c>
      <c r="D25" s="17">
        <v>44134</v>
      </c>
      <c r="E25" s="14" t="s">
        <v>30</v>
      </c>
      <c r="F25" s="14">
        <v>200</v>
      </c>
      <c r="G25" s="14">
        <v>46</v>
      </c>
      <c r="H25" s="14">
        <v>17</v>
      </c>
      <c r="I25" s="14">
        <v>9</v>
      </c>
      <c r="J25" s="14" t="s">
        <v>31</v>
      </c>
      <c r="K25" s="14" cm="1">
        <f t="array" ref="K25">INT(SUMPRODUCT(--ISNUMBER(SEARCH(economy,C25)))&gt;0)</f>
        <v>0</v>
      </c>
      <c r="L25" s="14" cm="1">
        <f t="array" ref="L25">INT(SUMPRODUCT(--ISNUMBER(SEARCH(healthcare,C25)))&gt;0)</f>
        <v>0</v>
      </c>
      <c r="M25" s="14" cm="1">
        <f t="array" ref="M25">INT(SUMPRODUCT(--ISNUMBER(SEARCH(supreme,C25)))&gt;0)</f>
        <v>0</v>
      </c>
      <c r="N25" s="14" cm="1">
        <f t="array" ref="N25">INT(SUMPRODUCT(--ISNUMBER(SEARCH(covid,C25)))&gt;0)</f>
        <v>0</v>
      </c>
      <c r="O25" s="14" cm="1">
        <f t="array" ref="O25">INT(SUMPRODUCT(--ISNUMBER(SEARCH(violent,C25)))&gt;0)</f>
        <v>0</v>
      </c>
      <c r="P25" s="14" cm="1">
        <f t="array" ref="P25">INT(SUMPRODUCT(--ISNUMBER(SEARCH(foreign,C25)))&gt;0)</f>
        <v>0</v>
      </c>
      <c r="Q25" s="14" cm="1">
        <f t="array" ref="Q25">INT(SUMPRODUCT(--ISNUMBER(SEARCH(gun,C25)))&gt;0)</f>
        <v>0</v>
      </c>
      <c r="R25" s="14" cm="1">
        <f t="array" ref="R25">INT(SUMPRODUCT(--ISNUMBER(SEARCH(race,C25)))&gt;0)</f>
        <v>0</v>
      </c>
      <c r="S25" s="14" cm="1">
        <f t="array" ref="S25">INT(SUMPRODUCT(--ISNUMBER(SEARCH(immigration,C25)))&gt;0)</f>
        <v>0</v>
      </c>
      <c r="T25" s="14" cm="1">
        <f t="array" ref="T25">INT(SUMPRODUCT(--ISNUMBER(SEARCH(econineq,C26)))&gt;0)</f>
        <v>0</v>
      </c>
      <c r="U25" s="14" cm="1">
        <f t="array" ref="U25">INT(SUMPRODUCT(--ISNUMBER(SEARCH(climate,C25)))&gt;0)</f>
        <v>0</v>
      </c>
      <c r="V25" s="14" cm="1">
        <f t="array" ref="V25">INT(SUMPRODUCT(--ISNUMBER(SEARCH(abortion,C25)))&gt;0)</f>
        <v>0</v>
      </c>
      <c r="W25" s="14" cm="1">
        <f t="array" ref="W25">INT(SUMPRODUCT(--ISNUMBER(SEARCH(trump,C25)))&gt;0)</f>
        <v>0</v>
      </c>
      <c r="X25" s="14" cm="1">
        <f t="array" ref="X25">INT(SUMPRODUCT(--ISNUMBER(SEARCH(voting,C25)))&gt;0)</f>
        <v>0</v>
      </c>
      <c r="Y25" s="35" cm="1">
        <f t="array" ref="Y25">INT(SUMPRODUCT(--ISNUMBER(SEARCH(republicantrigger,C25)))&gt;0)</f>
        <v>0</v>
      </c>
      <c r="Z25" s="35" cm="1">
        <f t="array" ref="Z25">INT(SUMPRODUCT(--ISNUMBER(SEARCH(bipartisan,C25)))&gt;0)</f>
        <v>0</v>
      </c>
      <c r="AA25" s="35">
        <f t="shared" si="0"/>
        <v>1</v>
      </c>
      <c r="AB25" s="14"/>
      <c r="AC25" s="30" t="s">
        <v>223</v>
      </c>
      <c r="AD25" s="37" t="s">
        <v>223</v>
      </c>
    </row>
    <row r="26" spans="1:30" x14ac:dyDescent="0.25">
      <c r="A26" s="36">
        <v>3566</v>
      </c>
      <c r="B26" s="14" t="s">
        <v>6886</v>
      </c>
      <c r="C26" s="14" t="s">
        <v>6887</v>
      </c>
      <c r="D26" s="17">
        <v>44133</v>
      </c>
      <c r="E26" s="14" t="s">
        <v>30</v>
      </c>
      <c r="F26" s="14">
        <v>730</v>
      </c>
      <c r="G26" s="14">
        <v>38</v>
      </c>
      <c r="H26" s="14">
        <v>17</v>
      </c>
      <c r="I26" s="14">
        <v>9</v>
      </c>
      <c r="J26" s="14" t="s">
        <v>31</v>
      </c>
      <c r="K26" s="14" cm="1">
        <f t="array" ref="K26">INT(SUMPRODUCT(--ISNUMBER(SEARCH(economy,C26)))&gt;0)</f>
        <v>0</v>
      </c>
      <c r="L26" s="14" cm="1">
        <f t="array" ref="L26">INT(SUMPRODUCT(--ISNUMBER(SEARCH(healthcare,C26)))&gt;0)</f>
        <v>0</v>
      </c>
      <c r="M26" s="14" cm="1">
        <f t="array" ref="M26">INT(SUMPRODUCT(--ISNUMBER(SEARCH(supreme,C26)))&gt;0)</f>
        <v>0</v>
      </c>
      <c r="N26" s="14" cm="1">
        <f t="array" ref="N26">INT(SUMPRODUCT(--ISNUMBER(SEARCH(covid,C26)))&gt;0)</f>
        <v>0</v>
      </c>
      <c r="O26" s="14" cm="1">
        <f t="array" ref="O26">INT(SUMPRODUCT(--ISNUMBER(SEARCH(violent,C26)))&gt;0)</f>
        <v>0</v>
      </c>
      <c r="P26" s="14" cm="1">
        <f t="array" ref="P26">INT(SUMPRODUCT(--ISNUMBER(SEARCH(foreign,C26)))&gt;0)</f>
        <v>0</v>
      </c>
      <c r="Q26" s="14" cm="1">
        <f t="array" ref="Q26">INT(SUMPRODUCT(--ISNUMBER(SEARCH(gun,C26)))&gt;0)</f>
        <v>0</v>
      </c>
      <c r="R26" s="14" cm="1">
        <f t="array" ref="R26">INT(SUMPRODUCT(--ISNUMBER(SEARCH(race,C26)))&gt;0)</f>
        <v>0</v>
      </c>
      <c r="S26" s="14" cm="1">
        <f t="array" ref="S26">INT(SUMPRODUCT(--ISNUMBER(SEARCH(immigration,C26)))&gt;0)</f>
        <v>0</v>
      </c>
      <c r="T26" s="14" cm="1">
        <f t="array" ref="T26">INT(SUMPRODUCT(--ISNUMBER(SEARCH(econineq,C27)))&gt;0)</f>
        <v>0</v>
      </c>
      <c r="U26" s="14" cm="1">
        <f t="array" ref="U26">INT(SUMPRODUCT(--ISNUMBER(SEARCH(climate,C26)))&gt;0)</f>
        <v>0</v>
      </c>
      <c r="V26" s="14" cm="1">
        <f t="array" ref="V26">INT(SUMPRODUCT(--ISNUMBER(SEARCH(abortion,C26)))&gt;0)</f>
        <v>0</v>
      </c>
      <c r="W26" s="14" cm="1">
        <f t="array" ref="W26">INT(SUMPRODUCT(--ISNUMBER(SEARCH(trump,C26)))&gt;0)</f>
        <v>0</v>
      </c>
      <c r="X26" s="14" cm="1">
        <f t="array" ref="X26">INT(SUMPRODUCT(--ISNUMBER(SEARCH(voting,C26)))&gt;0)</f>
        <v>0</v>
      </c>
      <c r="Y26" s="35" cm="1">
        <f t="array" ref="Y26">INT(SUMPRODUCT(--ISNUMBER(SEARCH(republicantrigger,C26)))&gt;0)</f>
        <v>0</v>
      </c>
      <c r="Z26" s="35" cm="1">
        <f t="array" ref="Z26">INT(SUMPRODUCT(--ISNUMBER(SEARCH(bipartisan,C26)))&gt;0)</f>
        <v>0</v>
      </c>
      <c r="AA26" s="35">
        <f t="shared" si="0"/>
        <v>1</v>
      </c>
      <c r="AB26" s="14"/>
      <c r="AC26" s="30">
        <v>1</v>
      </c>
      <c r="AD26" s="37">
        <v>0</v>
      </c>
    </row>
    <row r="27" spans="1:30" x14ac:dyDescent="0.25">
      <c r="A27" s="36">
        <v>3567</v>
      </c>
      <c r="B27" s="14" t="s">
        <v>6888</v>
      </c>
      <c r="C27" s="14" t="s">
        <v>6889</v>
      </c>
      <c r="D27" s="17">
        <v>44133</v>
      </c>
      <c r="E27" s="14" t="s">
        <v>30</v>
      </c>
      <c r="F27" s="14">
        <v>793</v>
      </c>
      <c r="G27" s="14">
        <v>208</v>
      </c>
      <c r="H27" s="14">
        <v>17</v>
      </c>
      <c r="I27" s="14">
        <v>9</v>
      </c>
      <c r="J27" s="14" t="s">
        <v>31</v>
      </c>
      <c r="K27" s="14" cm="1">
        <f t="array" ref="K27">INT(SUMPRODUCT(--ISNUMBER(SEARCH(economy,C27)))&gt;0)</f>
        <v>0</v>
      </c>
      <c r="L27" s="14" cm="1">
        <f t="array" ref="L27">INT(SUMPRODUCT(--ISNUMBER(SEARCH(healthcare,C27)))&gt;0)</f>
        <v>0</v>
      </c>
      <c r="M27" s="14" cm="1">
        <f t="array" ref="M27">INT(SUMPRODUCT(--ISNUMBER(SEARCH(supreme,C27)))&gt;0)</f>
        <v>0</v>
      </c>
      <c r="N27" s="14" cm="1">
        <f t="array" ref="N27">INT(SUMPRODUCT(--ISNUMBER(SEARCH(covid,C27)))&gt;0)</f>
        <v>0</v>
      </c>
      <c r="O27" s="14" cm="1">
        <f t="array" ref="O27">INT(SUMPRODUCT(--ISNUMBER(SEARCH(violent,C27)))&gt;0)</f>
        <v>0</v>
      </c>
      <c r="P27" s="14" cm="1">
        <f t="array" ref="P27">INT(SUMPRODUCT(--ISNUMBER(SEARCH(foreign,C27)))&gt;0)</f>
        <v>0</v>
      </c>
      <c r="Q27" s="14" cm="1">
        <f t="array" ref="Q27">INT(SUMPRODUCT(--ISNUMBER(SEARCH(gun,C27)))&gt;0)</f>
        <v>0</v>
      </c>
      <c r="R27" s="14" cm="1">
        <f t="array" ref="R27">INT(SUMPRODUCT(--ISNUMBER(SEARCH(race,C27)))&gt;0)</f>
        <v>0</v>
      </c>
      <c r="S27" s="14" cm="1">
        <f t="array" ref="S27">INT(SUMPRODUCT(--ISNUMBER(SEARCH(immigration,C27)))&gt;0)</f>
        <v>0</v>
      </c>
      <c r="T27" s="14" cm="1">
        <f t="array" ref="T27">INT(SUMPRODUCT(--ISNUMBER(SEARCH(econineq,C28)))&gt;0)</f>
        <v>0</v>
      </c>
      <c r="U27" s="14" cm="1">
        <f t="array" ref="U27">INT(SUMPRODUCT(--ISNUMBER(SEARCH(climate,C27)))&gt;0)</f>
        <v>0</v>
      </c>
      <c r="V27" s="14" cm="1">
        <f t="array" ref="V27">INT(SUMPRODUCT(--ISNUMBER(SEARCH(abortion,C27)))&gt;0)</f>
        <v>0</v>
      </c>
      <c r="W27" s="14" cm="1">
        <f t="array" ref="W27">INT(SUMPRODUCT(--ISNUMBER(SEARCH(trump,C27)))&gt;0)</f>
        <v>0</v>
      </c>
      <c r="X27" s="14" cm="1">
        <f t="array" ref="X27">INT(SUMPRODUCT(--ISNUMBER(SEARCH(voting,C27)))&gt;0)</f>
        <v>0</v>
      </c>
      <c r="Y27" s="35" cm="1">
        <f t="array" ref="Y27">INT(SUMPRODUCT(--ISNUMBER(SEARCH(republicantrigger,C27)))&gt;0)</f>
        <v>0</v>
      </c>
      <c r="Z27" s="35" cm="1">
        <f t="array" ref="Z27">INT(SUMPRODUCT(--ISNUMBER(SEARCH(bipartisan,C27)))&gt;0)</f>
        <v>0</v>
      </c>
      <c r="AA27" s="35">
        <f t="shared" si="0"/>
        <v>1</v>
      </c>
      <c r="AB27" s="14"/>
      <c r="AC27" s="30" t="s">
        <v>223</v>
      </c>
      <c r="AD27" s="37" t="s">
        <v>223</v>
      </c>
    </row>
    <row r="28" spans="1:30" x14ac:dyDescent="0.25">
      <c r="A28" s="36">
        <v>3568</v>
      </c>
      <c r="B28" s="14" t="s">
        <v>6890</v>
      </c>
      <c r="C28" s="14" t="s">
        <v>6891</v>
      </c>
      <c r="D28" s="17">
        <v>44133</v>
      </c>
      <c r="E28" s="14" t="s">
        <v>30</v>
      </c>
      <c r="F28" s="14">
        <v>71</v>
      </c>
      <c r="G28" s="14">
        <v>21</v>
      </c>
      <c r="H28" s="14">
        <v>17</v>
      </c>
      <c r="I28" s="14">
        <v>9</v>
      </c>
      <c r="J28" s="14" t="s">
        <v>31</v>
      </c>
      <c r="K28" s="14" cm="1">
        <f t="array" ref="K28">INT(SUMPRODUCT(--ISNUMBER(SEARCH(economy,C28)))&gt;0)</f>
        <v>0</v>
      </c>
      <c r="L28" s="14" cm="1">
        <f t="array" ref="L28">INT(SUMPRODUCT(--ISNUMBER(SEARCH(healthcare,C28)))&gt;0)</f>
        <v>0</v>
      </c>
      <c r="M28" s="14" cm="1">
        <f t="array" ref="M28">INT(SUMPRODUCT(--ISNUMBER(SEARCH(supreme,C28)))&gt;0)</f>
        <v>0</v>
      </c>
      <c r="N28" s="14" cm="1">
        <f t="array" ref="N28">INT(SUMPRODUCT(--ISNUMBER(SEARCH(covid,C28)))&gt;0)</f>
        <v>0</v>
      </c>
      <c r="O28" s="14" cm="1">
        <f t="array" ref="O28">INT(SUMPRODUCT(--ISNUMBER(SEARCH(violent,C28)))&gt;0)</f>
        <v>0</v>
      </c>
      <c r="P28" s="14" cm="1">
        <f t="array" ref="P28">INT(SUMPRODUCT(--ISNUMBER(SEARCH(foreign,C28)))&gt;0)</f>
        <v>0</v>
      </c>
      <c r="Q28" s="14" cm="1">
        <f t="array" ref="Q28">INT(SUMPRODUCT(--ISNUMBER(SEARCH(gun,C28)))&gt;0)</f>
        <v>0</v>
      </c>
      <c r="R28" s="14" cm="1">
        <f t="array" ref="R28">INT(SUMPRODUCT(--ISNUMBER(SEARCH(race,C28)))&gt;0)</f>
        <v>0</v>
      </c>
      <c r="S28" s="14" cm="1">
        <f t="array" ref="S28">INT(SUMPRODUCT(--ISNUMBER(SEARCH(immigration,C28)))&gt;0)</f>
        <v>0</v>
      </c>
      <c r="T28" s="14" cm="1">
        <f t="array" ref="T28">INT(SUMPRODUCT(--ISNUMBER(SEARCH(econineq,C29)))&gt;0)</f>
        <v>0</v>
      </c>
      <c r="U28" s="14" cm="1">
        <f t="array" ref="U28">INT(SUMPRODUCT(--ISNUMBER(SEARCH(climate,C28)))&gt;0)</f>
        <v>0</v>
      </c>
      <c r="V28" s="14" cm="1">
        <f t="array" ref="V28">INT(SUMPRODUCT(--ISNUMBER(SEARCH(abortion,C28)))&gt;0)</f>
        <v>0</v>
      </c>
      <c r="W28" s="14" cm="1">
        <f t="array" ref="W28">INT(SUMPRODUCT(--ISNUMBER(SEARCH(trump,C28)))&gt;0)</f>
        <v>0</v>
      </c>
      <c r="X28" s="14" cm="1">
        <f t="array" ref="X28">INT(SUMPRODUCT(--ISNUMBER(SEARCH(voting,C28)))&gt;0)</f>
        <v>0</v>
      </c>
      <c r="Y28" s="35" cm="1">
        <f t="array" ref="Y28">INT(SUMPRODUCT(--ISNUMBER(SEARCH(republicantrigger,C28)))&gt;0)</f>
        <v>0</v>
      </c>
      <c r="Z28" s="35" cm="1">
        <f t="array" ref="Z28">INT(SUMPRODUCT(--ISNUMBER(SEARCH(bipartisan,C28)))&gt;0)</f>
        <v>0</v>
      </c>
      <c r="AA28" s="35">
        <f t="shared" si="0"/>
        <v>1</v>
      </c>
      <c r="AB28" s="14"/>
      <c r="AC28" s="30">
        <v>1</v>
      </c>
      <c r="AD28" s="37">
        <v>0</v>
      </c>
    </row>
    <row r="29" spans="1:30" x14ac:dyDescent="0.25">
      <c r="A29" s="36">
        <v>3569</v>
      </c>
      <c r="B29" s="14" t="s">
        <v>6892</v>
      </c>
      <c r="C29" s="14" t="s">
        <v>6893</v>
      </c>
      <c r="D29" s="17">
        <v>44133</v>
      </c>
      <c r="E29" s="14" t="s">
        <v>30</v>
      </c>
      <c r="F29" s="14">
        <v>355</v>
      </c>
      <c r="G29" s="14">
        <v>38</v>
      </c>
      <c r="H29" s="14">
        <v>17</v>
      </c>
      <c r="I29" s="14">
        <v>9</v>
      </c>
      <c r="J29" s="14" t="s">
        <v>31</v>
      </c>
      <c r="K29" s="14" cm="1">
        <f t="array" ref="K29">INT(SUMPRODUCT(--ISNUMBER(SEARCH(economy,C29)))&gt;0)</f>
        <v>0</v>
      </c>
      <c r="L29" s="14" cm="1">
        <f t="array" ref="L29">INT(SUMPRODUCT(--ISNUMBER(SEARCH(healthcare,C29)))&gt;0)</f>
        <v>0</v>
      </c>
      <c r="M29" s="14" cm="1">
        <f t="array" ref="M29">INT(SUMPRODUCT(--ISNUMBER(SEARCH(supreme,C29)))&gt;0)</f>
        <v>0</v>
      </c>
      <c r="N29" s="14" cm="1">
        <f t="array" ref="N29">INT(SUMPRODUCT(--ISNUMBER(SEARCH(covid,C29)))&gt;0)</f>
        <v>0</v>
      </c>
      <c r="O29" s="14" cm="1">
        <f t="array" ref="O29">INT(SUMPRODUCT(--ISNUMBER(SEARCH(violent,C29)))&gt;0)</f>
        <v>0</v>
      </c>
      <c r="P29" s="14" cm="1">
        <f t="array" ref="P29">INT(SUMPRODUCT(--ISNUMBER(SEARCH(foreign,C29)))&gt;0)</f>
        <v>0</v>
      </c>
      <c r="Q29" s="14" cm="1">
        <f t="array" ref="Q29">INT(SUMPRODUCT(--ISNUMBER(SEARCH(gun,C29)))&gt;0)</f>
        <v>0</v>
      </c>
      <c r="R29" s="14" cm="1">
        <f t="array" ref="R29">INT(SUMPRODUCT(--ISNUMBER(SEARCH(race,C29)))&gt;0)</f>
        <v>0</v>
      </c>
      <c r="S29" s="14" cm="1">
        <f t="array" ref="S29">INT(SUMPRODUCT(--ISNUMBER(SEARCH(immigration,C29)))&gt;0)</f>
        <v>0</v>
      </c>
      <c r="T29" s="14" cm="1">
        <f t="array" ref="T29">INT(SUMPRODUCT(--ISNUMBER(SEARCH(econineq,C30)))&gt;0)</f>
        <v>0</v>
      </c>
      <c r="U29" s="14" cm="1">
        <f t="array" ref="U29">INT(SUMPRODUCT(--ISNUMBER(SEARCH(climate,C29)))&gt;0)</f>
        <v>0</v>
      </c>
      <c r="V29" s="14" cm="1">
        <f t="array" ref="V29">INT(SUMPRODUCT(--ISNUMBER(SEARCH(abortion,C29)))&gt;0)</f>
        <v>0</v>
      </c>
      <c r="W29" s="14" cm="1">
        <f t="array" ref="W29">INT(SUMPRODUCT(--ISNUMBER(SEARCH(trump,C29)))&gt;0)</f>
        <v>0</v>
      </c>
      <c r="X29" s="14" cm="1">
        <f t="array" ref="X29">INT(SUMPRODUCT(--ISNUMBER(SEARCH(voting,C29)))&gt;0)</f>
        <v>0</v>
      </c>
      <c r="Y29" s="35" cm="1">
        <f t="array" ref="Y29">INT(SUMPRODUCT(--ISNUMBER(SEARCH(republicantrigger,C29)))&gt;0)</f>
        <v>0</v>
      </c>
      <c r="Z29" s="35" cm="1">
        <f t="array" ref="Z29">INT(SUMPRODUCT(--ISNUMBER(SEARCH(bipartisan,C29)))&gt;0)</f>
        <v>0</v>
      </c>
      <c r="AA29" s="35">
        <f t="shared" si="0"/>
        <v>1</v>
      </c>
      <c r="AB29" s="14"/>
      <c r="AC29" s="30">
        <v>1</v>
      </c>
      <c r="AD29" s="37">
        <v>0</v>
      </c>
    </row>
    <row r="30" spans="1:30" x14ac:dyDescent="0.25">
      <c r="A30" s="36">
        <v>3570</v>
      </c>
      <c r="B30" s="14" t="s">
        <v>6894</v>
      </c>
      <c r="C30" s="14" t="s">
        <v>6895</v>
      </c>
      <c r="D30" s="17">
        <v>44133</v>
      </c>
      <c r="E30" s="14" t="s">
        <v>30</v>
      </c>
      <c r="F30" s="14">
        <v>105</v>
      </c>
      <c r="G30" s="14">
        <v>19</v>
      </c>
      <c r="H30" s="14">
        <v>17</v>
      </c>
      <c r="I30" s="14">
        <v>9</v>
      </c>
      <c r="J30" s="14" t="s">
        <v>31</v>
      </c>
      <c r="K30" s="14" cm="1">
        <f t="array" ref="K30">INT(SUMPRODUCT(--ISNUMBER(SEARCH(economy,C30)))&gt;0)</f>
        <v>0</v>
      </c>
      <c r="L30" s="14" cm="1">
        <f t="array" ref="L30">INT(SUMPRODUCT(--ISNUMBER(SEARCH(healthcare,C30)))&gt;0)</f>
        <v>0</v>
      </c>
      <c r="M30" s="14" cm="1">
        <f t="array" ref="M30">INT(SUMPRODUCT(--ISNUMBER(SEARCH(supreme,C30)))&gt;0)</f>
        <v>0</v>
      </c>
      <c r="N30" s="14" cm="1">
        <f t="array" ref="N30">INT(SUMPRODUCT(--ISNUMBER(SEARCH(covid,C30)))&gt;0)</f>
        <v>0</v>
      </c>
      <c r="O30" s="14" cm="1">
        <f t="array" ref="O30">INT(SUMPRODUCT(--ISNUMBER(SEARCH(violent,C30)))&gt;0)</f>
        <v>0</v>
      </c>
      <c r="P30" s="14" cm="1">
        <f t="array" ref="P30">INT(SUMPRODUCT(--ISNUMBER(SEARCH(foreign,C30)))&gt;0)</f>
        <v>0</v>
      </c>
      <c r="Q30" s="14" cm="1">
        <f t="array" ref="Q30">INT(SUMPRODUCT(--ISNUMBER(SEARCH(gun,C30)))&gt;0)</f>
        <v>0</v>
      </c>
      <c r="R30" s="14" cm="1">
        <f t="array" ref="R30">INT(SUMPRODUCT(--ISNUMBER(SEARCH(race,C30)))&gt;0)</f>
        <v>0</v>
      </c>
      <c r="S30" s="14" cm="1">
        <f t="array" ref="S30">INT(SUMPRODUCT(--ISNUMBER(SEARCH(immigration,C30)))&gt;0)</f>
        <v>0</v>
      </c>
      <c r="T30" s="14" cm="1">
        <f t="array" ref="T30">INT(SUMPRODUCT(--ISNUMBER(SEARCH(econineq,C31)))&gt;0)</f>
        <v>0</v>
      </c>
      <c r="U30" s="14" cm="1">
        <f t="array" ref="U30">INT(SUMPRODUCT(--ISNUMBER(SEARCH(climate,C30)))&gt;0)</f>
        <v>0</v>
      </c>
      <c r="V30" s="14" cm="1">
        <f t="array" ref="V30">INT(SUMPRODUCT(--ISNUMBER(SEARCH(abortion,C30)))&gt;0)</f>
        <v>0</v>
      </c>
      <c r="W30" s="14" cm="1">
        <f t="array" ref="W30">INT(SUMPRODUCT(--ISNUMBER(SEARCH(trump,C30)))&gt;0)</f>
        <v>0</v>
      </c>
      <c r="X30" s="14" cm="1">
        <f t="array" ref="X30">INT(SUMPRODUCT(--ISNUMBER(SEARCH(voting,C30)))&gt;0)</f>
        <v>0</v>
      </c>
      <c r="Y30" s="35" cm="1">
        <f t="array" ref="Y30">INT(SUMPRODUCT(--ISNUMBER(SEARCH(republicantrigger,C30)))&gt;0)</f>
        <v>0</v>
      </c>
      <c r="Z30" s="35" cm="1">
        <f t="array" ref="Z30">INT(SUMPRODUCT(--ISNUMBER(SEARCH(bipartisan,C30)))&gt;0)</f>
        <v>0</v>
      </c>
      <c r="AA30" s="35">
        <f t="shared" si="0"/>
        <v>1</v>
      </c>
      <c r="AB30" s="14"/>
      <c r="AC30" s="30" t="s">
        <v>223</v>
      </c>
      <c r="AD30" s="37" t="s">
        <v>223</v>
      </c>
    </row>
    <row r="31" spans="1:30" x14ac:dyDescent="0.25">
      <c r="A31" s="36">
        <v>3571</v>
      </c>
      <c r="B31" s="14" t="s">
        <v>6896</v>
      </c>
      <c r="C31" s="14" t="s">
        <v>6897</v>
      </c>
      <c r="D31" s="17">
        <v>44133</v>
      </c>
      <c r="E31" s="14" t="s">
        <v>30</v>
      </c>
      <c r="F31" s="14">
        <v>44</v>
      </c>
      <c r="G31" s="14">
        <v>13</v>
      </c>
      <c r="H31" s="14">
        <v>17</v>
      </c>
      <c r="I31" s="14">
        <v>9</v>
      </c>
      <c r="J31" s="14" t="s">
        <v>31</v>
      </c>
      <c r="K31" s="14" cm="1">
        <f t="array" ref="K31">INT(SUMPRODUCT(--ISNUMBER(SEARCH(economy,C31)))&gt;0)</f>
        <v>0</v>
      </c>
      <c r="L31" s="14" cm="1">
        <f t="array" ref="L31">INT(SUMPRODUCT(--ISNUMBER(SEARCH(healthcare,C31)))&gt;0)</f>
        <v>0</v>
      </c>
      <c r="M31" s="14" cm="1">
        <f t="array" ref="M31">INT(SUMPRODUCT(--ISNUMBER(SEARCH(supreme,C31)))&gt;0)</f>
        <v>0</v>
      </c>
      <c r="N31" s="14" cm="1">
        <f t="array" ref="N31">INT(SUMPRODUCT(--ISNUMBER(SEARCH(covid,C31)))&gt;0)</f>
        <v>0</v>
      </c>
      <c r="O31" s="14" cm="1">
        <f t="array" ref="O31">INT(SUMPRODUCT(--ISNUMBER(SEARCH(violent,C31)))&gt;0)</f>
        <v>0</v>
      </c>
      <c r="P31" s="14" cm="1">
        <f t="array" ref="P31">INT(SUMPRODUCT(--ISNUMBER(SEARCH(foreign,C31)))&gt;0)</f>
        <v>0</v>
      </c>
      <c r="Q31" s="14" cm="1">
        <f t="array" ref="Q31">INT(SUMPRODUCT(--ISNUMBER(SEARCH(gun,C31)))&gt;0)</f>
        <v>0</v>
      </c>
      <c r="R31" s="14" cm="1">
        <f t="array" ref="R31">INT(SUMPRODUCT(--ISNUMBER(SEARCH(race,C31)))&gt;0)</f>
        <v>0</v>
      </c>
      <c r="S31" s="14" cm="1">
        <f t="array" ref="S31">INT(SUMPRODUCT(--ISNUMBER(SEARCH(immigration,C31)))&gt;0)</f>
        <v>0</v>
      </c>
      <c r="T31" s="14" cm="1">
        <f t="array" ref="T31">INT(SUMPRODUCT(--ISNUMBER(SEARCH(econineq,C32)))&gt;0)</f>
        <v>0</v>
      </c>
      <c r="U31" s="14" cm="1">
        <f t="array" ref="U31">INT(SUMPRODUCT(--ISNUMBER(SEARCH(climate,C31)))&gt;0)</f>
        <v>0</v>
      </c>
      <c r="V31" s="14" cm="1">
        <f t="array" ref="V31">INT(SUMPRODUCT(--ISNUMBER(SEARCH(abortion,C31)))&gt;0)</f>
        <v>0</v>
      </c>
      <c r="W31" s="14" cm="1">
        <f t="array" ref="W31">INT(SUMPRODUCT(--ISNUMBER(SEARCH(trump,C31)))&gt;0)</f>
        <v>0</v>
      </c>
      <c r="X31" s="14" cm="1">
        <f t="array" ref="X31">INT(SUMPRODUCT(--ISNUMBER(SEARCH(voting,C31)))&gt;0)</f>
        <v>0</v>
      </c>
      <c r="Y31" s="35" cm="1">
        <f t="array" ref="Y31">INT(SUMPRODUCT(--ISNUMBER(SEARCH(republicantrigger,C31)))&gt;0)</f>
        <v>0</v>
      </c>
      <c r="Z31" s="35" cm="1">
        <f t="array" ref="Z31">INT(SUMPRODUCT(--ISNUMBER(SEARCH(bipartisan,C31)))&gt;0)</f>
        <v>0</v>
      </c>
      <c r="AA31" s="35">
        <f t="shared" si="0"/>
        <v>1</v>
      </c>
      <c r="AB31" s="14"/>
      <c r="AC31" s="30" t="s">
        <v>223</v>
      </c>
      <c r="AD31" s="37" t="s">
        <v>223</v>
      </c>
    </row>
    <row r="32" spans="1:30" x14ac:dyDescent="0.25">
      <c r="A32" s="36">
        <v>3572</v>
      </c>
      <c r="B32" s="14" t="s">
        <v>6898</v>
      </c>
      <c r="C32" s="14" t="s">
        <v>6899</v>
      </c>
      <c r="D32" s="17">
        <v>44133</v>
      </c>
      <c r="E32" s="14" t="s">
        <v>30</v>
      </c>
      <c r="F32" s="14">
        <v>337</v>
      </c>
      <c r="G32" s="14">
        <v>89</v>
      </c>
      <c r="H32" s="14">
        <v>17</v>
      </c>
      <c r="I32" s="14">
        <v>9</v>
      </c>
      <c r="J32" s="14" t="s">
        <v>31</v>
      </c>
      <c r="K32" s="14" cm="1">
        <f t="array" ref="K32">INT(SUMPRODUCT(--ISNUMBER(SEARCH(economy,C32)))&gt;0)</f>
        <v>1</v>
      </c>
      <c r="L32" s="14" cm="1">
        <f t="array" ref="L32">INT(SUMPRODUCT(--ISNUMBER(SEARCH(healthcare,C32)))&gt;0)</f>
        <v>0</v>
      </c>
      <c r="M32" s="14" cm="1">
        <f t="array" ref="M32">INT(SUMPRODUCT(--ISNUMBER(SEARCH(supreme,C32)))&gt;0)</f>
        <v>0</v>
      </c>
      <c r="N32" s="14" cm="1">
        <f t="array" ref="N32">INT(SUMPRODUCT(--ISNUMBER(SEARCH(covid,C32)))&gt;0)</f>
        <v>1</v>
      </c>
      <c r="O32" s="14" cm="1">
        <f t="array" ref="O32">INT(SUMPRODUCT(--ISNUMBER(SEARCH(violent,C32)))&gt;0)</f>
        <v>0</v>
      </c>
      <c r="P32" s="14" cm="1">
        <f t="array" ref="P32">INT(SUMPRODUCT(--ISNUMBER(SEARCH(foreign,C32)))&gt;0)</f>
        <v>0</v>
      </c>
      <c r="Q32" s="14" cm="1">
        <f t="array" ref="Q32">INT(SUMPRODUCT(--ISNUMBER(SEARCH(gun,C32)))&gt;0)</f>
        <v>0</v>
      </c>
      <c r="R32" s="14" cm="1">
        <f t="array" ref="R32">INT(SUMPRODUCT(--ISNUMBER(SEARCH(race,C32)))&gt;0)</f>
        <v>0</v>
      </c>
      <c r="S32" s="14" cm="1">
        <f t="array" ref="S32">INT(SUMPRODUCT(--ISNUMBER(SEARCH(immigration,C32)))&gt;0)</f>
        <v>0</v>
      </c>
      <c r="T32" s="14" cm="1">
        <f t="array" ref="T32">INT(SUMPRODUCT(--ISNUMBER(SEARCH(econineq,C33)))&gt;0)</f>
        <v>1</v>
      </c>
      <c r="U32" s="14" cm="1">
        <f t="array" ref="U32">INT(SUMPRODUCT(--ISNUMBER(SEARCH(climate,C32)))&gt;0)</f>
        <v>0</v>
      </c>
      <c r="V32" s="14" cm="1">
        <f t="array" ref="V32">INT(SUMPRODUCT(--ISNUMBER(SEARCH(abortion,C32)))&gt;0)</f>
        <v>0</v>
      </c>
      <c r="W32" s="14" cm="1">
        <f t="array" ref="W32">INT(SUMPRODUCT(--ISNUMBER(SEARCH(trump,C32)))&gt;0)</f>
        <v>0</v>
      </c>
      <c r="X32" s="14" cm="1">
        <f t="array" ref="X32">INT(SUMPRODUCT(--ISNUMBER(SEARCH(voting,C32)))&gt;0)</f>
        <v>0</v>
      </c>
      <c r="Y32" s="35" cm="1">
        <f t="array" ref="Y32">INT(SUMPRODUCT(--ISNUMBER(SEARCH(republicantrigger,C32)))&gt;0)</f>
        <v>0</v>
      </c>
      <c r="Z32" s="35" cm="1">
        <f t="array" ref="Z32">INT(SUMPRODUCT(--ISNUMBER(SEARCH(bipartisan,C32)))&gt;0)</f>
        <v>0</v>
      </c>
      <c r="AA32" s="35">
        <f t="shared" si="0"/>
        <v>0</v>
      </c>
      <c r="AB32" s="14"/>
      <c r="AC32" s="30" t="s">
        <v>223</v>
      </c>
      <c r="AD32" s="37" t="s">
        <v>223</v>
      </c>
    </row>
    <row r="33" spans="1:30" x14ac:dyDescent="0.25">
      <c r="A33" s="36">
        <v>3573</v>
      </c>
      <c r="B33" s="14" t="s">
        <v>6900</v>
      </c>
      <c r="C33" s="14" t="s">
        <v>6901</v>
      </c>
      <c r="D33" s="17">
        <v>44133</v>
      </c>
      <c r="E33" s="14" t="s">
        <v>30</v>
      </c>
      <c r="F33" s="14">
        <v>240</v>
      </c>
      <c r="G33" s="14">
        <v>85</v>
      </c>
      <c r="H33" s="14">
        <v>17</v>
      </c>
      <c r="I33" s="14">
        <v>9</v>
      </c>
      <c r="J33" s="14" t="s">
        <v>31</v>
      </c>
      <c r="K33" s="14" cm="1">
        <f t="array" ref="K33">INT(SUMPRODUCT(--ISNUMBER(SEARCH(economy,C33)))&gt;0)</f>
        <v>1</v>
      </c>
      <c r="L33" s="14" cm="1">
        <f t="array" ref="L33">INT(SUMPRODUCT(--ISNUMBER(SEARCH(healthcare,C33)))&gt;0)</f>
        <v>0</v>
      </c>
      <c r="M33" s="14" cm="1">
        <f t="array" ref="M33">INT(SUMPRODUCT(--ISNUMBER(SEARCH(supreme,C33)))&gt;0)</f>
        <v>0</v>
      </c>
      <c r="N33" s="14" cm="1">
        <f t="array" ref="N33">INT(SUMPRODUCT(--ISNUMBER(SEARCH(covid,C33)))&gt;0)</f>
        <v>1</v>
      </c>
      <c r="O33" s="14" cm="1">
        <f t="array" ref="O33">INT(SUMPRODUCT(--ISNUMBER(SEARCH(violent,C33)))&gt;0)</f>
        <v>0</v>
      </c>
      <c r="P33" s="14" cm="1">
        <f t="array" ref="P33">INT(SUMPRODUCT(--ISNUMBER(SEARCH(foreign,C33)))&gt;0)</f>
        <v>0</v>
      </c>
      <c r="Q33" s="14" cm="1">
        <f t="array" ref="Q33">INT(SUMPRODUCT(--ISNUMBER(SEARCH(gun,C33)))&gt;0)</f>
        <v>0</v>
      </c>
      <c r="R33" s="14" cm="1">
        <f t="array" ref="R33">INT(SUMPRODUCT(--ISNUMBER(SEARCH(race,C33)))&gt;0)</f>
        <v>0</v>
      </c>
      <c r="S33" s="14" cm="1">
        <f t="array" ref="S33">INT(SUMPRODUCT(--ISNUMBER(SEARCH(immigration,C33)))&gt;0)</f>
        <v>0</v>
      </c>
      <c r="T33" s="14" cm="1">
        <f t="array" ref="T33">INT(SUMPRODUCT(--ISNUMBER(SEARCH(econineq,C34)))&gt;0)</f>
        <v>0</v>
      </c>
      <c r="U33" s="14" cm="1">
        <f t="array" ref="U33">INT(SUMPRODUCT(--ISNUMBER(SEARCH(climate,C33)))&gt;0)</f>
        <v>0</v>
      </c>
      <c r="V33" s="14" cm="1">
        <f t="array" ref="V33">INT(SUMPRODUCT(--ISNUMBER(SEARCH(abortion,C33)))&gt;0)</f>
        <v>0</v>
      </c>
      <c r="W33" s="14" cm="1">
        <f t="array" ref="W33">INT(SUMPRODUCT(--ISNUMBER(SEARCH(trump,C33)))&gt;0)</f>
        <v>0</v>
      </c>
      <c r="X33" s="14" cm="1">
        <f t="array" ref="X33">INT(SUMPRODUCT(--ISNUMBER(SEARCH(voting,C33)))&gt;0)</f>
        <v>0</v>
      </c>
      <c r="Y33" s="35" cm="1">
        <f t="array" ref="Y33">INT(SUMPRODUCT(--ISNUMBER(SEARCH(republicantrigger,C33)))&gt;0)</f>
        <v>0</v>
      </c>
      <c r="Z33" s="35" cm="1">
        <f t="array" ref="Z33">INT(SUMPRODUCT(--ISNUMBER(SEARCH(bipartisan,C33)))&gt;0)</f>
        <v>0</v>
      </c>
      <c r="AA33" s="35">
        <f t="shared" si="0"/>
        <v>0</v>
      </c>
      <c r="AB33" s="14"/>
      <c r="AC33" s="30" t="s">
        <v>223</v>
      </c>
      <c r="AD33" s="37" t="s">
        <v>223</v>
      </c>
    </row>
    <row r="34" spans="1:30" x14ac:dyDescent="0.25">
      <c r="A34" s="36">
        <v>3574</v>
      </c>
      <c r="B34" s="14" t="s">
        <v>6902</v>
      </c>
      <c r="C34" s="14" t="s">
        <v>6903</v>
      </c>
      <c r="D34" s="17">
        <v>44133</v>
      </c>
      <c r="E34" s="14" t="s">
        <v>30</v>
      </c>
      <c r="F34" s="14">
        <v>193</v>
      </c>
      <c r="G34" s="14">
        <v>42</v>
      </c>
      <c r="H34" s="14">
        <v>17</v>
      </c>
      <c r="I34" s="14">
        <v>9</v>
      </c>
      <c r="J34" s="14" t="s">
        <v>31</v>
      </c>
      <c r="K34" s="14" cm="1">
        <f t="array" ref="K34">INT(SUMPRODUCT(--ISNUMBER(SEARCH(economy,C34)))&gt;0)</f>
        <v>0</v>
      </c>
      <c r="L34" s="14" cm="1">
        <f t="array" ref="L34">INT(SUMPRODUCT(--ISNUMBER(SEARCH(healthcare,C34)))&gt;0)</f>
        <v>0</v>
      </c>
      <c r="M34" s="14" cm="1">
        <f t="array" ref="M34">INT(SUMPRODUCT(--ISNUMBER(SEARCH(supreme,C34)))&gt;0)</f>
        <v>0</v>
      </c>
      <c r="N34" s="14" cm="1">
        <f t="array" ref="N34">INT(SUMPRODUCT(--ISNUMBER(SEARCH(covid,C34)))&gt;0)</f>
        <v>0</v>
      </c>
      <c r="O34" s="14" cm="1">
        <f t="array" ref="O34">INT(SUMPRODUCT(--ISNUMBER(SEARCH(violent,C34)))&gt;0)</f>
        <v>0</v>
      </c>
      <c r="P34" s="14" cm="1">
        <f t="array" ref="P34">INT(SUMPRODUCT(--ISNUMBER(SEARCH(foreign,C34)))&gt;0)</f>
        <v>0</v>
      </c>
      <c r="Q34" s="14" cm="1">
        <f t="array" ref="Q34">INT(SUMPRODUCT(--ISNUMBER(SEARCH(gun,C34)))&gt;0)</f>
        <v>0</v>
      </c>
      <c r="R34" s="14" cm="1">
        <f t="array" ref="R34">INT(SUMPRODUCT(--ISNUMBER(SEARCH(race,C34)))&gt;0)</f>
        <v>0</v>
      </c>
      <c r="S34" s="14" cm="1">
        <f t="array" ref="S34">INT(SUMPRODUCT(--ISNUMBER(SEARCH(immigration,C34)))&gt;0)</f>
        <v>0</v>
      </c>
      <c r="T34" s="14" cm="1">
        <f t="array" ref="T34">INT(SUMPRODUCT(--ISNUMBER(SEARCH(econineq,C35)))&gt;0)</f>
        <v>0</v>
      </c>
      <c r="U34" s="14" cm="1">
        <f t="array" ref="U34">INT(SUMPRODUCT(--ISNUMBER(SEARCH(climate,C34)))&gt;0)</f>
        <v>0</v>
      </c>
      <c r="V34" s="14" cm="1">
        <f t="array" ref="V34">INT(SUMPRODUCT(--ISNUMBER(SEARCH(abortion,C34)))&gt;0)</f>
        <v>0</v>
      </c>
      <c r="W34" s="14" cm="1">
        <f t="array" ref="W34">INT(SUMPRODUCT(--ISNUMBER(SEARCH(trump,C34)))&gt;0)</f>
        <v>0</v>
      </c>
      <c r="X34" s="14" cm="1">
        <f t="array" ref="X34">INT(SUMPRODUCT(--ISNUMBER(SEARCH(voting,C34)))&gt;0)</f>
        <v>1</v>
      </c>
      <c r="Y34" s="35" cm="1">
        <f t="array" ref="Y34">INT(SUMPRODUCT(--ISNUMBER(SEARCH(republicantrigger,C34)))&gt;0)</f>
        <v>1</v>
      </c>
      <c r="Z34" s="35" cm="1">
        <f t="array" ref="Z34">INT(SUMPRODUCT(--ISNUMBER(SEARCH(bipartisan,C34)))&gt;0)</f>
        <v>0</v>
      </c>
      <c r="AA34" s="35">
        <f t="shared" si="0"/>
        <v>0</v>
      </c>
      <c r="AB34" s="14"/>
      <c r="AC34" s="30" t="s">
        <v>223</v>
      </c>
      <c r="AD34" s="37" t="s">
        <v>223</v>
      </c>
    </row>
    <row r="35" spans="1:30" x14ac:dyDescent="0.25">
      <c r="A35" s="36">
        <v>3575</v>
      </c>
      <c r="B35" s="14" t="s">
        <v>6904</v>
      </c>
      <c r="C35" s="14" t="s">
        <v>6905</v>
      </c>
      <c r="D35" s="17">
        <v>44132</v>
      </c>
      <c r="E35" s="14" t="s">
        <v>30</v>
      </c>
      <c r="F35" s="14">
        <v>843</v>
      </c>
      <c r="G35" s="14">
        <v>741</v>
      </c>
      <c r="H35" s="14">
        <v>17</v>
      </c>
      <c r="I35" s="14">
        <v>9</v>
      </c>
      <c r="J35" s="14" t="s">
        <v>31</v>
      </c>
      <c r="K35" s="14" cm="1">
        <f t="array" ref="K35">INT(SUMPRODUCT(--ISNUMBER(SEARCH(economy,C35)))&gt;0)</f>
        <v>0</v>
      </c>
      <c r="L35" s="14" cm="1">
        <f t="array" ref="L35">INT(SUMPRODUCT(--ISNUMBER(SEARCH(healthcare,C35)))&gt;0)</f>
        <v>0</v>
      </c>
      <c r="M35" s="14" cm="1">
        <f t="array" ref="M35">INT(SUMPRODUCT(--ISNUMBER(SEARCH(supreme,C35)))&gt;0)</f>
        <v>0</v>
      </c>
      <c r="N35" s="14" cm="1">
        <f t="array" ref="N35">INT(SUMPRODUCT(--ISNUMBER(SEARCH(covid,C35)))&gt;0)</f>
        <v>0</v>
      </c>
      <c r="O35" s="14" cm="1">
        <f t="array" ref="O35">INT(SUMPRODUCT(--ISNUMBER(SEARCH(violent,C35)))&gt;0)</f>
        <v>0</v>
      </c>
      <c r="P35" s="14" cm="1">
        <f t="array" ref="P35">INT(SUMPRODUCT(--ISNUMBER(SEARCH(foreign,C35)))&gt;0)</f>
        <v>1</v>
      </c>
      <c r="Q35" s="14" cm="1">
        <f t="array" ref="Q35">INT(SUMPRODUCT(--ISNUMBER(SEARCH(gun,C35)))&gt;0)</f>
        <v>0</v>
      </c>
      <c r="R35" s="14" cm="1">
        <f t="array" ref="R35">INT(SUMPRODUCT(--ISNUMBER(SEARCH(race,C35)))&gt;0)</f>
        <v>0</v>
      </c>
      <c r="S35" s="14" cm="1">
        <f t="array" ref="S35">INT(SUMPRODUCT(--ISNUMBER(SEARCH(immigration,C35)))&gt;0)</f>
        <v>0</v>
      </c>
      <c r="T35" s="14" cm="1">
        <f t="array" ref="T35">INT(SUMPRODUCT(--ISNUMBER(SEARCH(econineq,C36)))&gt;0)</f>
        <v>0</v>
      </c>
      <c r="U35" s="14" cm="1">
        <f t="array" ref="U35">INT(SUMPRODUCT(--ISNUMBER(SEARCH(climate,C35)))&gt;0)</f>
        <v>0</v>
      </c>
      <c r="V35" s="14" cm="1">
        <f t="array" ref="V35">INT(SUMPRODUCT(--ISNUMBER(SEARCH(abortion,C35)))&gt;0)</f>
        <v>0</v>
      </c>
      <c r="W35" s="14" cm="1">
        <f t="array" ref="W35">INT(SUMPRODUCT(--ISNUMBER(SEARCH(trump,C35)))&gt;0)</f>
        <v>0</v>
      </c>
      <c r="X35" s="14" cm="1">
        <f t="array" ref="X35">INT(SUMPRODUCT(--ISNUMBER(SEARCH(voting,C35)))&gt;0)</f>
        <v>0</v>
      </c>
      <c r="Y35" s="35" cm="1">
        <f t="array" ref="Y35">INT(SUMPRODUCT(--ISNUMBER(SEARCH(republicantrigger,C35)))&gt;0)</f>
        <v>0</v>
      </c>
      <c r="Z35" s="35" cm="1">
        <f t="array" ref="Z35">INT(SUMPRODUCT(--ISNUMBER(SEARCH(bipartisan,C35)))&gt;0)</f>
        <v>1</v>
      </c>
      <c r="AA35" s="35">
        <f t="shared" si="0"/>
        <v>0</v>
      </c>
      <c r="AB35" s="14"/>
      <c r="AC35" s="30" t="s">
        <v>223</v>
      </c>
      <c r="AD35" s="37" t="s">
        <v>223</v>
      </c>
    </row>
    <row r="36" spans="1:30" x14ac:dyDescent="0.25">
      <c r="A36" s="36">
        <v>3576</v>
      </c>
      <c r="B36" s="14" t="s">
        <v>6906</v>
      </c>
      <c r="C36" s="14" t="s">
        <v>6907</v>
      </c>
      <c r="D36" s="17">
        <v>44132</v>
      </c>
      <c r="E36" s="14" t="s">
        <v>30</v>
      </c>
      <c r="F36" s="14">
        <v>113</v>
      </c>
      <c r="G36" s="14">
        <v>27</v>
      </c>
      <c r="H36" s="14">
        <v>17</v>
      </c>
      <c r="I36" s="14">
        <v>9</v>
      </c>
      <c r="J36" s="14" t="s">
        <v>31</v>
      </c>
      <c r="K36" s="14" cm="1">
        <f t="array" ref="K36">INT(SUMPRODUCT(--ISNUMBER(SEARCH(economy,C36)))&gt;0)</f>
        <v>0</v>
      </c>
      <c r="L36" s="14" cm="1">
        <f t="array" ref="L36">INT(SUMPRODUCT(--ISNUMBER(SEARCH(healthcare,C36)))&gt;0)</f>
        <v>0</v>
      </c>
      <c r="M36" s="14" cm="1">
        <f t="array" ref="M36">INT(SUMPRODUCT(--ISNUMBER(SEARCH(supreme,C36)))&gt;0)</f>
        <v>0</v>
      </c>
      <c r="N36" s="14" cm="1">
        <f t="array" ref="N36">INT(SUMPRODUCT(--ISNUMBER(SEARCH(covid,C36)))&gt;0)</f>
        <v>0</v>
      </c>
      <c r="O36" s="14" cm="1">
        <f t="array" ref="O36">INT(SUMPRODUCT(--ISNUMBER(SEARCH(violent,C36)))&gt;0)</f>
        <v>0</v>
      </c>
      <c r="P36" s="14" cm="1">
        <f t="array" ref="P36">INT(SUMPRODUCT(--ISNUMBER(SEARCH(foreign,C36)))&gt;0)</f>
        <v>1</v>
      </c>
      <c r="Q36" s="14" cm="1">
        <f t="array" ref="Q36">INT(SUMPRODUCT(--ISNUMBER(SEARCH(gun,C36)))&gt;0)</f>
        <v>0</v>
      </c>
      <c r="R36" s="14" cm="1">
        <f t="array" ref="R36">INT(SUMPRODUCT(--ISNUMBER(SEARCH(race,C36)))&gt;0)</f>
        <v>0</v>
      </c>
      <c r="S36" s="14" cm="1">
        <f t="array" ref="S36">INT(SUMPRODUCT(--ISNUMBER(SEARCH(immigration,C36)))&gt;0)</f>
        <v>0</v>
      </c>
      <c r="T36" s="14" cm="1">
        <f t="array" ref="T36">INT(SUMPRODUCT(--ISNUMBER(SEARCH(econineq,C37)))&gt;0)</f>
        <v>0</v>
      </c>
      <c r="U36" s="14" cm="1">
        <f t="array" ref="U36">INT(SUMPRODUCT(--ISNUMBER(SEARCH(climate,C36)))&gt;0)</f>
        <v>0</v>
      </c>
      <c r="V36" s="14" cm="1">
        <f t="array" ref="V36">INT(SUMPRODUCT(--ISNUMBER(SEARCH(abortion,C36)))&gt;0)</f>
        <v>0</v>
      </c>
      <c r="W36" s="14" cm="1">
        <f t="array" ref="W36">INT(SUMPRODUCT(--ISNUMBER(SEARCH(trump,C36)))&gt;0)</f>
        <v>0</v>
      </c>
      <c r="X36" s="14" cm="1">
        <f t="array" ref="X36">INT(SUMPRODUCT(--ISNUMBER(SEARCH(voting,C36)))&gt;0)</f>
        <v>1</v>
      </c>
      <c r="Y36" s="35" cm="1">
        <f t="array" ref="Y36">INT(SUMPRODUCT(--ISNUMBER(SEARCH(republicantrigger,C36)))&gt;0)</f>
        <v>0</v>
      </c>
      <c r="Z36" s="35" cm="1">
        <f t="array" ref="Z36">INT(SUMPRODUCT(--ISNUMBER(SEARCH(bipartisan,C36)))&gt;0)</f>
        <v>0</v>
      </c>
      <c r="AA36" s="35">
        <f t="shared" si="0"/>
        <v>0</v>
      </c>
      <c r="AB36" s="14"/>
      <c r="AC36" s="30">
        <v>1</v>
      </c>
      <c r="AD36" s="37">
        <v>0</v>
      </c>
    </row>
    <row r="37" spans="1:30" x14ac:dyDescent="0.25">
      <c r="A37" s="36">
        <v>3577</v>
      </c>
      <c r="B37" s="14" t="s">
        <v>6908</v>
      </c>
      <c r="C37" s="14" t="s">
        <v>6909</v>
      </c>
      <c r="D37" s="17">
        <v>44132</v>
      </c>
      <c r="E37" s="14" t="s">
        <v>30</v>
      </c>
      <c r="F37" s="14">
        <v>599</v>
      </c>
      <c r="G37" s="14">
        <v>190</v>
      </c>
      <c r="H37" s="14">
        <v>17</v>
      </c>
      <c r="I37" s="14">
        <v>9</v>
      </c>
      <c r="J37" s="14" t="s">
        <v>31</v>
      </c>
      <c r="K37" s="14" cm="1">
        <f t="array" ref="K37">INT(SUMPRODUCT(--ISNUMBER(SEARCH(economy,C37)))&gt;0)</f>
        <v>0</v>
      </c>
      <c r="L37" s="14" cm="1">
        <f t="array" ref="L37">INT(SUMPRODUCT(--ISNUMBER(SEARCH(healthcare,C37)))&gt;0)</f>
        <v>0</v>
      </c>
      <c r="M37" s="14" cm="1">
        <f t="array" ref="M37">INT(SUMPRODUCT(--ISNUMBER(SEARCH(supreme,C37)))&gt;0)</f>
        <v>0</v>
      </c>
      <c r="N37" s="14" cm="1">
        <f t="array" ref="N37">INT(SUMPRODUCT(--ISNUMBER(SEARCH(covid,C37)))&gt;0)</f>
        <v>0</v>
      </c>
      <c r="O37" s="14" cm="1">
        <f t="array" ref="O37">INT(SUMPRODUCT(--ISNUMBER(SEARCH(violent,C37)))&gt;0)</f>
        <v>0</v>
      </c>
      <c r="P37" s="14" cm="1">
        <f t="array" ref="P37">INT(SUMPRODUCT(--ISNUMBER(SEARCH(foreign,C37)))&gt;0)</f>
        <v>0</v>
      </c>
      <c r="Q37" s="14" cm="1">
        <f t="array" ref="Q37">INT(SUMPRODUCT(--ISNUMBER(SEARCH(gun,C37)))&gt;0)</f>
        <v>0</v>
      </c>
      <c r="R37" s="14" cm="1">
        <f t="array" ref="R37">INT(SUMPRODUCT(--ISNUMBER(SEARCH(race,C37)))&gt;0)</f>
        <v>0</v>
      </c>
      <c r="S37" s="14" cm="1">
        <f t="array" ref="S37">INT(SUMPRODUCT(--ISNUMBER(SEARCH(immigration,C37)))&gt;0)</f>
        <v>0</v>
      </c>
      <c r="T37" s="14" cm="1">
        <f t="array" ref="T37">INT(SUMPRODUCT(--ISNUMBER(SEARCH(econineq,C38)))&gt;0)</f>
        <v>0</v>
      </c>
      <c r="U37" s="14" cm="1">
        <f t="array" ref="U37">INT(SUMPRODUCT(--ISNUMBER(SEARCH(climate,C37)))&gt;0)</f>
        <v>0</v>
      </c>
      <c r="V37" s="14" cm="1">
        <f t="array" ref="V37">INT(SUMPRODUCT(--ISNUMBER(SEARCH(abortion,C37)))&gt;0)</f>
        <v>0</v>
      </c>
      <c r="W37" s="14" cm="1">
        <f t="array" ref="W37">INT(SUMPRODUCT(--ISNUMBER(SEARCH(trump,C37)))&gt;0)</f>
        <v>0</v>
      </c>
      <c r="X37" s="14" cm="1">
        <f t="array" ref="X37">INT(SUMPRODUCT(--ISNUMBER(SEARCH(voting,C37)))&gt;0)</f>
        <v>0</v>
      </c>
      <c r="Y37" s="35" cm="1">
        <f t="array" ref="Y37">INT(SUMPRODUCT(--ISNUMBER(SEARCH(republicantrigger,C37)))&gt;0)</f>
        <v>1</v>
      </c>
      <c r="Z37" s="35" cm="1">
        <f t="array" ref="Z37">INT(SUMPRODUCT(--ISNUMBER(SEARCH(bipartisan,C37)))&gt;0)</f>
        <v>0</v>
      </c>
      <c r="AA37" s="35">
        <f t="shared" si="0"/>
        <v>0</v>
      </c>
      <c r="AB37" s="14"/>
      <c r="AC37" s="30" t="s">
        <v>223</v>
      </c>
      <c r="AD37" s="37" t="s">
        <v>223</v>
      </c>
    </row>
    <row r="38" spans="1:30" x14ac:dyDescent="0.25">
      <c r="A38" s="36">
        <v>3578</v>
      </c>
      <c r="B38" s="14" t="s">
        <v>6910</v>
      </c>
      <c r="C38" s="14" t="s">
        <v>6911</v>
      </c>
      <c r="D38" s="17">
        <v>44132</v>
      </c>
      <c r="E38" s="14" t="s">
        <v>70</v>
      </c>
      <c r="F38" s="14">
        <v>106</v>
      </c>
      <c r="G38" s="14">
        <v>27</v>
      </c>
      <c r="H38" s="14">
        <v>17</v>
      </c>
      <c r="I38" s="14">
        <v>9</v>
      </c>
      <c r="J38" s="14" t="s">
        <v>31</v>
      </c>
      <c r="K38" s="14" cm="1">
        <f t="array" ref="K38">INT(SUMPRODUCT(--ISNUMBER(SEARCH(economy,C38)))&gt;0)</f>
        <v>0</v>
      </c>
      <c r="L38" s="14" cm="1">
        <f t="array" ref="L38">INT(SUMPRODUCT(--ISNUMBER(SEARCH(healthcare,C38)))&gt;0)</f>
        <v>0</v>
      </c>
      <c r="M38" s="14" cm="1">
        <f t="array" ref="M38">INT(SUMPRODUCT(--ISNUMBER(SEARCH(supreme,C38)))&gt;0)</f>
        <v>0</v>
      </c>
      <c r="N38" s="14" cm="1">
        <f t="array" ref="N38">INT(SUMPRODUCT(--ISNUMBER(SEARCH(covid,C38)))&gt;0)</f>
        <v>0</v>
      </c>
      <c r="O38" s="14" cm="1">
        <f t="array" ref="O38">INT(SUMPRODUCT(--ISNUMBER(SEARCH(violent,C38)))&gt;0)</f>
        <v>0</v>
      </c>
      <c r="P38" s="14" cm="1">
        <f t="array" ref="P38">INT(SUMPRODUCT(--ISNUMBER(SEARCH(foreign,C38)))&gt;0)</f>
        <v>0</v>
      </c>
      <c r="Q38" s="14" cm="1">
        <f t="array" ref="Q38">INT(SUMPRODUCT(--ISNUMBER(SEARCH(gun,C38)))&gt;0)</f>
        <v>0</v>
      </c>
      <c r="R38" s="14" cm="1">
        <f t="array" ref="R38">INT(SUMPRODUCT(--ISNUMBER(SEARCH(race,C38)))&gt;0)</f>
        <v>0</v>
      </c>
      <c r="S38" s="14" cm="1">
        <f t="array" ref="S38">INT(SUMPRODUCT(--ISNUMBER(SEARCH(immigration,C38)))&gt;0)</f>
        <v>0</v>
      </c>
      <c r="T38" s="14" cm="1">
        <f t="array" ref="T38">INT(SUMPRODUCT(--ISNUMBER(SEARCH(econineq,C39)))&gt;0)</f>
        <v>0</v>
      </c>
      <c r="U38" s="14" cm="1">
        <f t="array" ref="U38">INT(SUMPRODUCT(--ISNUMBER(SEARCH(climate,C38)))&gt;0)</f>
        <v>0</v>
      </c>
      <c r="V38" s="14" cm="1">
        <f t="array" ref="V38">INT(SUMPRODUCT(--ISNUMBER(SEARCH(abortion,C38)))&gt;0)</f>
        <v>0</v>
      </c>
      <c r="W38" s="14" cm="1">
        <f t="array" ref="W38">INT(SUMPRODUCT(--ISNUMBER(SEARCH(trump,C38)))&gt;0)</f>
        <v>0</v>
      </c>
      <c r="X38" s="14" cm="1">
        <f t="array" ref="X38">INT(SUMPRODUCT(--ISNUMBER(SEARCH(voting,C38)))&gt;0)</f>
        <v>0</v>
      </c>
      <c r="Y38" s="35" cm="1">
        <f t="array" ref="Y38">INT(SUMPRODUCT(--ISNUMBER(SEARCH(republicantrigger,C38)))&gt;0)</f>
        <v>1</v>
      </c>
      <c r="Z38" s="35" cm="1">
        <f t="array" ref="Z38">INT(SUMPRODUCT(--ISNUMBER(SEARCH(bipartisan,C38)))&gt;0)</f>
        <v>0</v>
      </c>
      <c r="AA38" s="35">
        <f t="shared" si="0"/>
        <v>0</v>
      </c>
      <c r="AB38" s="14"/>
      <c r="AC38" s="30" t="s">
        <v>223</v>
      </c>
      <c r="AD38" s="37" t="s">
        <v>223</v>
      </c>
    </row>
    <row r="39" spans="1:30" x14ac:dyDescent="0.25">
      <c r="A39" s="36">
        <v>3579</v>
      </c>
      <c r="B39" s="14" t="s">
        <v>6912</v>
      </c>
      <c r="C39" s="14" t="s">
        <v>6913</v>
      </c>
      <c r="D39" s="17">
        <v>44132</v>
      </c>
      <c r="E39" s="14" t="s">
        <v>30</v>
      </c>
      <c r="F39" s="14">
        <v>67</v>
      </c>
      <c r="G39" s="14">
        <v>19</v>
      </c>
      <c r="H39" s="14">
        <v>17</v>
      </c>
      <c r="I39" s="14">
        <v>9</v>
      </c>
      <c r="J39" s="14" t="s">
        <v>31</v>
      </c>
      <c r="K39" s="14" cm="1">
        <f t="array" ref="K39">INT(SUMPRODUCT(--ISNUMBER(SEARCH(economy,C39)))&gt;0)</f>
        <v>0</v>
      </c>
      <c r="L39" s="14" cm="1">
        <f t="array" ref="L39">INT(SUMPRODUCT(--ISNUMBER(SEARCH(healthcare,C39)))&gt;0)</f>
        <v>0</v>
      </c>
      <c r="M39" s="14" cm="1">
        <f t="array" ref="M39">INT(SUMPRODUCT(--ISNUMBER(SEARCH(supreme,C39)))&gt;0)</f>
        <v>0</v>
      </c>
      <c r="N39" s="14" cm="1">
        <f t="array" ref="N39">INT(SUMPRODUCT(--ISNUMBER(SEARCH(covid,C39)))&gt;0)</f>
        <v>0</v>
      </c>
      <c r="O39" s="14" cm="1">
        <f t="array" ref="O39">INT(SUMPRODUCT(--ISNUMBER(SEARCH(violent,C39)))&gt;0)</f>
        <v>0</v>
      </c>
      <c r="P39" s="14" cm="1">
        <f t="array" ref="P39">INT(SUMPRODUCT(--ISNUMBER(SEARCH(foreign,C39)))&gt;0)</f>
        <v>0</v>
      </c>
      <c r="Q39" s="14" cm="1">
        <f t="array" ref="Q39">INT(SUMPRODUCT(--ISNUMBER(SEARCH(gun,C39)))&gt;0)</f>
        <v>0</v>
      </c>
      <c r="R39" s="14" cm="1">
        <f t="array" ref="R39">INT(SUMPRODUCT(--ISNUMBER(SEARCH(race,C39)))&gt;0)</f>
        <v>0</v>
      </c>
      <c r="S39" s="14" cm="1">
        <f t="array" ref="S39">INT(SUMPRODUCT(--ISNUMBER(SEARCH(immigration,C39)))&gt;0)</f>
        <v>0</v>
      </c>
      <c r="T39" s="14" cm="1">
        <f t="array" ref="T39">INT(SUMPRODUCT(--ISNUMBER(SEARCH(econineq,C40)))&gt;0)</f>
        <v>0</v>
      </c>
      <c r="U39" s="14" cm="1">
        <f t="array" ref="U39">INT(SUMPRODUCT(--ISNUMBER(SEARCH(climate,C39)))&gt;0)</f>
        <v>0</v>
      </c>
      <c r="V39" s="14" cm="1">
        <f t="array" ref="V39">INT(SUMPRODUCT(--ISNUMBER(SEARCH(abortion,C39)))&gt;0)</f>
        <v>0</v>
      </c>
      <c r="W39" s="14" cm="1">
        <f t="array" ref="W39">INT(SUMPRODUCT(--ISNUMBER(SEARCH(trump,C39)))&gt;0)</f>
        <v>0</v>
      </c>
      <c r="X39" s="14" cm="1">
        <f t="array" ref="X39">INT(SUMPRODUCT(--ISNUMBER(SEARCH(voting,C39)))&gt;0)</f>
        <v>0</v>
      </c>
      <c r="Y39" s="35" cm="1">
        <f t="array" ref="Y39">INT(SUMPRODUCT(--ISNUMBER(SEARCH(republicantrigger,C39)))&gt;0)</f>
        <v>1</v>
      </c>
      <c r="Z39" s="35" cm="1">
        <f t="array" ref="Z39">INT(SUMPRODUCT(--ISNUMBER(SEARCH(bipartisan,C39)))&gt;0)</f>
        <v>0</v>
      </c>
      <c r="AA39" s="35">
        <f t="shared" si="0"/>
        <v>0</v>
      </c>
      <c r="AB39" s="14"/>
      <c r="AC39" s="30" t="s">
        <v>223</v>
      </c>
      <c r="AD39" s="37" t="s">
        <v>223</v>
      </c>
    </row>
    <row r="40" spans="1:30" x14ac:dyDescent="0.25">
      <c r="A40" s="36">
        <v>3580</v>
      </c>
      <c r="B40" s="14" t="s">
        <v>6914</v>
      </c>
      <c r="C40" s="14" t="s">
        <v>6915</v>
      </c>
      <c r="D40" s="17">
        <v>44132</v>
      </c>
      <c r="E40" s="14" t="s">
        <v>30</v>
      </c>
      <c r="F40" s="14">
        <v>246</v>
      </c>
      <c r="G40" s="14">
        <v>22</v>
      </c>
      <c r="H40" s="14">
        <v>17</v>
      </c>
      <c r="I40" s="14">
        <v>9</v>
      </c>
      <c r="J40" s="14" t="s">
        <v>31</v>
      </c>
      <c r="K40" s="14" cm="1">
        <f t="array" ref="K40">INT(SUMPRODUCT(--ISNUMBER(SEARCH(economy,C40)))&gt;0)</f>
        <v>0</v>
      </c>
      <c r="L40" s="14" cm="1">
        <f t="array" ref="L40">INT(SUMPRODUCT(--ISNUMBER(SEARCH(healthcare,C40)))&gt;0)</f>
        <v>0</v>
      </c>
      <c r="M40" s="14" cm="1">
        <f t="array" ref="M40">INT(SUMPRODUCT(--ISNUMBER(SEARCH(supreme,C40)))&gt;0)</f>
        <v>0</v>
      </c>
      <c r="N40" s="14" cm="1">
        <f t="array" ref="N40">INT(SUMPRODUCT(--ISNUMBER(SEARCH(covid,C40)))&gt;0)</f>
        <v>0</v>
      </c>
      <c r="O40" s="14" cm="1">
        <f t="array" ref="O40">INT(SUMPRODUCT(--ISNUMBER(SEARCH(violent,C40)))&gt;0)</f>
        <v>0</v>
      </c>
      <c r="P40" s="14" cm="1">
        <f t="array" ref="P40">INT(SUMPRODUCT(--ISNUMBER(SEARCH(foreign,C40)))&gt;0)</f>
        <v>0</v>
      </c>
      <c r="Q40" s="14" cm="1">
        <f t="array" ref="Q40">INT(SUMPRODUCT(--ISNUMBER(SEARCH(gun,C40)))&gt;0)</f>
        <v>0</v>
      </c>
      <c r="R40" s="14" cm="1">
        <f t="array" ref="R40">INT(SUMPRODUCT(--ISNUMBER(SEARCH(race,C40)))&gt;0)</f>
        <v>0</v>
      </c>
      <c r="S40" s="14" cm="1">
        <f t="array" ref="S40">INT(SUMPRODUCT(--ISNUMBER(SEARCH(immigration,C40)))&gt;0)</f>
        <v>0</v>
      </c>
      <c r="T40" s="14" cm="1">
        <f t="array" ref="T40">INT(SUMPRODUCT(--ISNUMBER(SEARCH(econineq,C41)))&gt;0)</f>
        <v>0</v>
      </c>
      <c r="U40" s="14" cm="1">
        <f t="array" ref="U40">INT(SUMPRODUCT(--ISNUMBER(SEARCH(climate,C40)))&gt;0)</f>
        <v>0</v>
      </c>
      <c r="V40" s="14" cm="1">
        <f t="array" ref="V40">INT(SUMPRODUCT(--ISNUMBER(SEARCH(abortion,C40)))&gt;0)</f>
        <v>0</v>
      </c>
      <c r="W40" s="14" cm="1">
        <f t="array" ref="W40">INT(SUMPRODUCT(--ISNUMBER(SEARCH(trump,C40)))&gt;0)</f>
        <v>0</v>
      </c>
      <c r="X40" s="14" cm="1">
        <f t="array" ref="X40">INT(SUMPRODUCT(--ISNUMBER(SEARCH(voting,C40)))&gt;0)</f>
        <v>1</v>
      </c>
      <c r="Y40" s="35" cm="1">
        <f t="array" ref="Y40">INT(SUMPRODUCT(--ISNUMBER(SEARCH(republicantrigger,C40)))&gt;0)</f>
        <v>0</v>
      </c>
      <c r="Z40" s="35" cm="1">
        <f t="array" ref="Z40">INT(SUMPRODUCT(--ISNUMBER(SEARCH(bipartisan,C40)))&gt;0)</f>
        <v>0</v>
      </c>
      <c r="AA40" s="35">
        <f t="shared" si="0"/>
        <v>0</v>
      </c>
      <c r="AB40" s="14"/>
      <c r="AC40" s="30" t="s">
        <v>223</v>
      </c>
      <c r="AD40" s="37" t="s">
        <v>223</v>
      </c>
    </row>
    <row r="41" spans="1:30" x14ac:dyDescent="0.25">
      <c r="A41" s="36">
        <v>3581</v>
      </c>
      <c r="B41" s="14" t="s">
        <v>6916</v>
      </c>
      <c r="C41" s="14" t="s">
        <v>6917</v>
      </c>
      <c r="D41" s="17">
        <v>44132</v>
      </c>
      <c r="E41" s="14" t="s">
        <v>30</v>
      </c>
      <c r="F41" s="14">
        <v>27</v>
      </c>
      <c r="G41" s="14">
        <v>6</v>
      </c>
      <c r="H41" s="14">
        <v>17</v>
      </c>
      <c r="I41" s="14">
        <v>9</v>
      </c>
      <c r="J41" s="14" t="s">
        <v>31</v>
      </c>
      <c r="K41" s="14" cm="1">
        <f t="array" ref="K41">INT(SUMPRODUCT(--ISNUMBER(SEARCH(economy,C41)))&gt;0)</f>
        <v>0</v>
      </c>
      <c r="L41" s="14" cm="1">
        <f t="array" ref="L41">INT(SUMPRODUCT(--ISNUMBER(SEARCH(healthcare,C41)))&gt;0)</f>
        <v>0</v>
      </c>
      <c r="M41" s="14" cm="1">
        <f t="array" ref="M41">INT(SUMPRODUCT(--ISNUMBER(SEARCH(supreme,C41)))&gt;0)</f>
        <v>0</v>
      </c>
      <c r="N41" s="14" cm="1">
        <f t="array" ref="N41">INT(SUMPRODUCT(--ISNUMBER(SEARCH(covid,C41)))&gt;0)</f>
        <v>0</v>
      </c>
      <c r="O41" s="14" cm="1">
        <f t="array" ref="O41">INT(SUMPRODUCT(--ISNUMBER(SEARCH(violent,C41)))&gt;0)</f>
        <v>0</v>
      </c>
      <c r="P41" s="14" cm="1">
        <f t="array" ref="P41">INT(SUMPRODUCT(--ISNUMBER(SEARCH(foreign,C41)))&gt;0)</f>
        <v>0</v>
      </c>
      <c r="Q41" s="14" cm="1">
        <f t="array" ref="Q41">INT(SUMPRODUCT(--ISNUMBER(SEARCH(gun,C41)))&gt;0)</f>
        <v>0</v>
      </c>
      <c r="R41" s="14" cm="1">
        <f t="array" ref="R41">INT(SUMPRODUCT(--ISNUMBER(SEARCH(race,C41)))&gt;0)</f>
        <v>0</v>
      </c>
      <c r="S41" s="14" cm="1">
        <f t="array" ref="S41">INT(SUMPRODUCT(--ISNUMBER(SEARCH(immigration,C41)))&gt;0)</f>
        <v>0</v>
      </c>
      <c r="T41" s="14" cm="1">
        <f t="array" ref="T41">INT(SUMPRODUCT(--ISNUMBER(SEARCH(econineq,C42)))&gt;0)</f>
        <v>0</v>
      </c>
      <c r="U41" s="14" cm="1">
        <f t="array" ref="U41">INT(SUMPRODUCT(--ISNUMBER(SEARCH(climate,C41)))&gt;0)</f>
        <v>0</v>
      </c>
      <c r="V41" s="14" cm="1">
        <f t="array" ref="V41">INT(SUMPRODUCT(--ISNUMBER(SEARCH(abortion,C41)))&gt;0)</f>
        <v>0</v>
      </c>
      <c r="W41" s="14" cm="1">
        <f t="array" ref="W41">INT(SUMPRODUCT(--ISNUMBER(SEARCH(trump,C41)))&gt;0)</f>
        <v>0</v>
      </c>
      <c r="X41" s="14" cm="1">
        <f t="array" ref="X41">INT(SUMPRODUCT(--ISNUMBER(SEARCH(voting,C41)))&gt;0)</f>
        <v>0</v>
      </c>
      <c r="Y41" s="35" cm="1">
        <f t="array" ref="Y41">INT(SUMPRODUCT(--ISNUMBER(SEARCH(republicantrigger,C41)))&gt;0)</f>
        <v>0</v>
      </c>
      <c r="Z41" s="35" cm="1">
        <f t="array" ref="Z41">INT(SUMPRODUCT(--ISNUMBER(SEARCH(bipartisan,C41)))&gt;0)</f>
        <v>0</v>
      </c>
      <c r="AA41" s="35">
        <f t="shared" si="0"/>
        <v>1</v>
      </c>
      <c r="AB41" s="14"/>
      <c r="AC41" s="30" t="s">
        <v>223</v>
      </c>
      <c r="AD41" s="37" t="s">
        <v>223</v>
      </c>
    </row>
    <row r="42" spans="1:30" x14ac:dyDescent="0.25">
      <c r="A42" s="36">
        <v>3582</v>
      </c>
      <c r="B42" s="14" t="s">
        <v>6918</v>
      </c>
      <c r="C42" s="14" t="s">
        <v>6919</v>
      </c>
      <c r="D42" s="17">
        <v>44132</v>
      </c>
      <c r="E42" s="14" t="s">
        <v>30</v>
      </c>
      <c r="F42" s="14">
        <v>1341</v>
      </c>
      <c r="G42" s="14">
        <v>333</v>
      </c>
      <c r="H42" s="14">
        <v>17</v>
      </c>
      <c r="I42" s="14">
        <v>9</v>
      </c>
      <c r="J42" s="14" t="s">
        <v>31</v>
      </c>
      <c r="K42" s="14" cm="1">
        <f t="array" ref="K42">INT(SUMPRODUCT(--ISNUMBER(SEARCH(economy,C42)))&gt;0)</f>
        <v>0</v>
      </c>
      <c r="L42" s="14" cm="1">
        <f t="array" ref="L42">INT(SUMPRODUCT(--ISNUMBER(SEARCH(healthcare,C42)))&gt;0)</f>
        <v>0</v>
      </c>
      <c r="M42" s="14" cm="1">
        <f t="array" ref="M42">INT(SUMPRODUCT(--ISNUMBER(SEARCH(supreme,C42)))&gt;0)</f>
        <v>0</v>
      </c>
      <c r="N42" s="14" cm="1">
        <f t="array" ref="N42">INT(SUMPRODUCT(--ISNUMBER(SEARCH(covid,C42)))&gt;0)</f>
        <v>0</v>
      </c>
      <c r="O42" s="14" cm="1">
        <f t="array" ref="O42">INT(SUMPRODUCT(--ISNUMBER(SEARCH(violent,C42)))&gt;0)</f>
        <v>0</v>
      </c>
      <c r="P42" s="14" cm="1">
        <f t="array" ref="P42">INT(SUMPRODUCT(--ISNUMBER(SEARCH(foreign,C42)))&gt;0)</f>
        <v>0</v>
      </c>
      <c r="Q42" s="14" cm="1">
        <f t="array" ref="Q42">INT(SUMPRODUCT(--ISNUMBER(SEARCH(gun,C42)))&gt;0)</f>
        <v>0</v>
      </c>
      <c r="R42" s="14" cm="1">
        <f t="array" ref="R42">INT(SUMPRODUCT(--ISNUMBER(SEARCH(race,C42)))&gt;0)</f>
        <v>0</v>
      </c>
      <c r="S42" s="14" cm="1">
        <f t="array" ref="S42">INT(SUMPRODUCT(--ISNUMBER(SEARCH(immigration,C42)))&gt;0)</f>
        <v>0</v>
      </c>
      <c r="T42" s="14" cm="1">
        <f t="array" ref="T42">INT(SUMPRODUCT(--ISNUMBER(SEARCH(econineq,C43)))&gt;0)</f>
        <v>0</v>
      </c>
      <c r="U42" s="14" cm="1">
        <f t="array" ref="U42">INT(SUMPRODUCT(--ISNUMBER(SEARCH(climate,C42)))&gt;0)</f>
        <v>0</v>
      </c>
      <c r="V42" s="14" cm="1">
        <f t="array" ref="V42">INT(SUMPRODUCT(--ISNUMBER(SEARCH(abortion,C42)))&gt;0)</f>
        <v>0</v>
      </c>
      <c r="W42" s="14" cm="1">
        <f t="array" ref="W42">INT(SUMPRODUCT(--ISNUMBER(SEARCH(trump,C42)))&gt;0)</f>
        <v>0</v>
      </c>
      <c r="X42" s="14" cm="1">
        <f t="array" ref="X42">INT(SUMPRODUCT(--ISNUMBER(SEARCH(voting,C42)))&gt;0)</f>
        <v>0</v>
      </c>
      <c r="Y42" s="35" cm="1">
        <f t="array" ref="Y42">INT(SUMPRODUCT(--ISNUMBER(SEARCH(republicantrigger,C42)))&gt;0)</f>
        <v>0</v>
      </c>
      <c r="Z42" s="35" cm="1">
        <f t="array" ref="Z42">INT(SUMPRODUCT(--ISNUMBER(SEARCH(bipartisan,C42)))&gt;0)</f>
        <v>0</v>
      </c>
      <c r="AA42" s="35">
        <f t="shared" si="0"/>
        <v>1</v>
      </c>
      <c r="AB42" s="14"/>
      <c r="AC42" s="30" t="s">
        <v>223</v>
      </c>
      <c r="AD42" s="37" t="s">
        <v>223</v>
      </c>
    </row>
    <row r="43" spans="1:30" x14ac:dyDescent="0.25">
      <c r="A43" s="36">
        <v>3583</v>
      </c>
      <c r="B43" s="14" t="s">
        <v>6920</v>
      </c>
      <c r="C43" s="14" t="s">
        <v>6921</v>
      </c>
      <c r="D43" s="17">
        <v>44132</v>
      </c>
      <c r="E43" s="14" t="s">
        <v>30</v>
      </c>
      <c r="F43" s="14">
        <v>111</v>
      </c>
      <c r="G43" s="14">
        <v>13</v>
      </c>
      <c r="H43" s="14">
        <v>17</v>
      </c>
      <c r="I43" s="14">
        <v>9</v>
      </c>
      <c r="J43" s="14" t="s">
        <v>31</v>
      </c>
      <c r="K43" s="14" cm="1">
        <f t="array" ref="K43">INT(SUMPRODUCT(--ISNUMBER(SEARCH(economy,C43)))&gt;0)</f>
        <v>0</v>
      </c>
      <c r="L43" s="14" cm="1">
        <f t="array" ref="L43">INT(SUMPRODUCT(--ISNUMBER(SEARCH(healthcare,C43)))&gt;0)</f>
        <v>0</v>
      </c>
      <c r="M43" s="14" cm="1">
        <f t="array" ref="M43">INT(SUMPRODUCT(--ISNUMBER(SEARCH(supreme,C43)))&gt;0)</f>
        <v>0</v>
      </c>
      <c r="N43" s="14" cm="1">
        <f t="array" ref="N43">INT(SUMPRODUCT(--ISNUMBER(SEARCH(covid,C43)))&gt;0)</f>
        <v>0</v>
      </c>
      <c r="O43" s="14" cm="1">
        <f t="array" ref="O43">INT(SUMPRODUCT(--ISNUMBER(SEARCH(violent,C43)))&gt;0)</f>
        <v>0</v>
      </c>
      <c r="P43" s="14" cm="1">
        <f t="array" ref="P43">INT(SUMPRODUCT(--ISNUMBER(SEARCH(foreign,C43)))&gt;0)</f>
        <v>0</v>
      </c>
      <c r="Q43" s="14" cm="1">
        <f t="array" ref="Q43">INT(SUMPRODUCT(--ISNUMBER(SEARCH(gun,C43)))&gt;0)</f>
        <v>0</v>
      </c>
      <c r="R43" s="14" cm="1">
        <f t="array" ref="R43">INT(SUMPRODUCT(--ISNUMBER(SEARCH(race,C43)))&gt;0)</f>
        <v>0</v>
      </c>
      <c r="S43" s="14" cm="1">
        <f t="array" ref="S43">INT(SUMPRODUCT(--ISNUMBER(SEARCH(immigration,C43)))&gt;0)</f>
        <v>0</v>
      </c>
      <c r="T43" s="14" cm="1">
        <f t="array" ref="T43">INT(SUMPRODUCT(--ISNUMBER(SEARCH(econineq,C44)))&gt;0)</f>
        <v>0</v>
      </c>
      <c r="U43" s="14" cm="1">
        <f t="array" ref="U43">INT(SUMPRODUCT(--ISNUMBER(SEARCH(climate,C43)))&gt;0)</f>
        <v>0</v>
      </c>
      <c r="V43" s="14" cm="1">
        <f t="array" ref="V43">INT(SUMPRODUCT(--ISNUMBER(SEARCH(abortion,C43)))&gt;0)</f>
        <v>0</v>
      </c>
      <c r="W43" s="14" cm="1">
        <f t="array" ref="W43">INT(SUMPRODUCT(--ISNUMBER(SEARCH(trump,C43)))&gt;0)</f>
        <v>0</v>
      </c>
      <c r="X43" s="14" cm="1">
        <f t="array" ref="X43">INT(SUMPRODUCT(--ISNUMBER(SEARCH(voting,C43)))&gt;0)</f>
        <v>1</v>
      </c>
      <c r="Y43" s="35" cm="1">
        <f t="array" ref="Y43">INT(SUMPRODUCT(--ISNUMBER(SEARCH(republicantrigger,C43)))&gt;0)</f>
        <v>0</v>
      </c>
      <c r="Z43" s="35" cm="1">
        <f t="array" ref="Z43">INT(SUMPRODUCT(--ISNUMBER(SEARCH(bipartisan,C43)))&gt;0)</f>
        <v>0</v>
      </c>
      <c r="AA43" s="35">
        <f t="shared" si="0"/>
        <v>0</v>
      </c>
      <c r="AB43" s="14"/>
      <c r="AC43" s="30" t="s">
        <v>223</v>
      </c>
      <c r="AD43" s="37" t="s">
        <v>223</v>
      </c>
    </row>
    <row r="44" spans="1:30" x14ac:dyDescent="0.25">
      <c r="A44" s="36">
        <v>3584</v>
      </c>
      <c r="B44" s="14" t="s">
        <v>6922</v>
      </c>
      <c r="C44" s="14" t="s">
        <v>6923</v>
      </c>
      <c r="D44" s="17">
        <v>44132</v>
      </c>
      <c r="E44" s="14" t="s">
        <v>30</v>
      </c>
      <c r="F44" s="14">
        <v>95</v>
      </c>
      <c r="G44" s="14">
        <v>19</v>
      </c>
      <c r="H44" s="14">
        <v>17</v>
      </c>
      <c r="I44" s="14">
        <v>9</v>
      </c>
      <c r="J44" s="14" t="s">
        <v>31</v>
      </c>
      <c r="K44" s="14" cm="1">
        <f t="array" ref="K44">INT(SUMPRODUCT(--ISNUMBER(SEARCH(economy,C44)))&gt;0)</f>
        <v>0</v>
      </c>
      <c r="L44" s="14" cm="1">
        <f t="array" ref="L44">INT(SUMPRODUCT(--ISNUMBER(SEARCH(healthcare,C44)))&gt;0)</f>
        <v>0</v>
      </c>
      <c r="M44" s="14" cm="1">
        <f t="array" ref="M44">INT(SUMPRODUCT(--ISNUMBER(SEARCH(supreme,C44)))&gt;0)</f>
        <v>0</v>
      </c>
      <c r="N44" s="14" cm="1">
        <f t="array" ref="N44">INT(SUMPRODUCT(--ISNUMBER(SEARCH(covid,C44)))&gt;0)</f>
        <v>0</v>
      </c>
      <c r="O44" s="14" cm="1">
        <f t="array" ref="O44">INT(SUMPRODUCT(--ISNUMBER(SEARCH(violent,C44)))&gt;0)</f>
        <v>0</v>
      </c>
      <c r="P44" s="14" cm="1">
        <f t="array" ref="P44">INT(SUMPRODUCT(--ISNUMBER(SEARCH(foreign,C44)))&gt;0)</f>
        <v>0</v>
      </c>
      <c r="Q44" s="14" cm="1">
        <f t="array" ref="Q44">INT(SUMPRODUCT(--ISNUMBER(SEARCH(gun,C44)))&gt;0)</f>
        <v>0</v>
      </c>
      <c r="R44" s="14" cm="1">
        <f t="array" ref="R44">INT(SUMPRODUCT(--ISNUMBER(SEARCH(race,C44)))&gt;0)</f>
        <v>0</v>
      </c>
      <c r="S44" s="14" cm="1">
        <f t="array" ref="S44">INT(SUMPRODUCT(--ISNUMBER(SEARCH(immigration,C44)))&gt;0)</f>
        <v>0</v>
      </c>
      <c r="T44" s="14" cm="1">
        <f t="array" ref="T44">INT(SUMPRODUCT(--ISNUMBER(SEARCH(econineq,C45)))&gt;0)</f>
        <v>0</v>
      </c>
      <c r="U44" s="14" cm="1">
        <f t="array" ref="U44">INT(SUMPRODUCT(--ISNUMBER(SEARCH(climate,C44)))&gt;0)</f>
        <v>0</v>
      </c>
      <c r="V44" s="14" cm="1">
        <f t="array" ref="V44">INT(SUMPRODUCT(--ISNUMBER(SEARCH(abortion,C44)))&gt;0)</f>
        <v>0</v>
      </c>
      <c r="W44" s="14" cm="1">
        <f t="array" ref="W44">INT(SUMPRODUCT(--ISNUMBER(SEARCH(trump,C44)))&gt;0)</f>
        <v>0</v>
      </c>
      <c r="X44" s="14" cm="1">
        <f t="array" ref="X44">INT(SUMPRODUCT(--ISNUMBER(SEARCH(voting,C44)))&gt;0)</f>
        <v>0</v>
      </c>
      <c r="Y44" s="35" cm="1">
        <f t="array" ref="Y44">INT(SUMPRODUCT(--ISNUMBER(SEARCH(republicantrigger,C44)))&gt;0)</f>
        <v>0</v>
      </c>
      <c r="Z44" s="35" cm="1">
        <f t="array" ref="Z44">INT(SUMPRODUCT(--ISNUMBER(SEARCH(bipartisan,C44)))&gt;0)</f>
        <v>0</v>
      </c>
      <c r="AA44" s="35">
        <f t="shared" si="0"/>
        <v>1</v>
      </c>
      <c r="AB44" s="14"/>
      <c r="AC44" s="30" t="s">
        <v>223</v>
      </c>
      <c r="AD44" s="37" t="s">
        <v>223</v>
      </c>
    </row>
    <row r="45" spans="1:30" x14ac:dyDescent="0.25">
      <c r="A45" s="36">
        <v>3585</v>
      </c>
      <c r="B45" s="14" t="s">
        <v>6924</v>
      </c>
      <c r="C45" s="14" t="s">
        <v>6925</v>
      </c>
      <c r="D45" s="17">
        <v>44131</v>
      </c>
      <c r="E45" s="14" t="s">
        <v>30</v>
      </c>
      <c r="F45" s="14">
        <v>22</v>
      </c>
      <c r="G45" s="14">
        <v>12</v>
      </c>
      <c r="H45" s="14">
        <v>17</v>
      </c>
      <c r="I45" s="14">
        <v>9</v>
      </c>
      <c r="J45" s="14" t="s">
        <v>31</v>
      </c>
      <c r="K45" s="14" cm="1">
        <f t="array" ref="K45">INT(SUMPRODUCT(--ISNUMBER(SEARCH(economy,C45)))&gt;0)</f>
        <v>0</v>
      </c>
      <c r="L45" s="14" cm="1">
        <f t="array" ref="L45">INT(SUMPRODUCT(--ISNUMBER(SEARCH(healthcare,C45)))&gt;0)</f>
        <v>0</v>
      </c>
      <c r="M45" s="14" cm="1">
        <f t="array" ref="M45">INT(SUMPRODUCT(--ISNUMBER(SEARCH(supreme,C45)))&gt;0)</f>
        <v>0</v>
      </c>
      <c r="N45" s="14" cm="1">
        <f t="array" ref="N45">INT(SUMPRODUCT(--ISNUMBER(SEARCH(covid,C45)))&gt;0)</f>
        <v>0</v>
      </c>
      <c r="O45" s="14" cm="1">
        <f t="array" ref="O45">INT(SUMPRODUCT(--ISNUMBER(SEARCH(violent,C45)))&gt;0)</f>
        <v>0</v>
      </c>
      <c r="P45" s="14" cm="1">
        <f t="array" ref="P45">INT(SUMPRODUCT(--ISNUMBER(SEARCH(foreign,C45)))&gt;0)</f>
        <v>0</v>
      </c>
      <c r="Q45" s="14" cm="1">
        <f t="array" ref="Q45">INT(SUMPRODUCT(--ISNUMBER(SEARCH(gun,C45)))&gt;0)</f>
        <v>0</v>
      </c>
      <c r="R45" s="14" cm="1">
        <f t="array" ref="R45">INT(SUMPRODUCT(--ISNUMBER(SEARCH(race,C45)))&gt;0)</f>
        <v>0</v>
      </c>
      <c r="S45" s="14" cm="1">
        <f t="array" ref="S45">INT(SUMPRODUCT(--ISNUMBER(SEARCH(immigration,C45)))&gt;0)</f>
        <v>0</v>
      </c>
      <c r="T45" s="14" cm="1">
        <f t="array" ref="T45">INT(SUMPRODUCT(--ISNUMBER(SEARCH(econineq,C46)))&gt;0)</f>
        <v>0</v>
      </c>
      <c r="U45" s="14" cm="1">
        <f t="array" ref="U45">INT(SUMPRODUCT(--ISNUMBER(SEARCH(climate,C45)))&gt;0)</f>
        <v>0</v>
      </c>
      <c r="V45" s="14" cm="1">
        <f t="array" ref="V45">INT(SUMPRODUCT(--ISNUMBER(SEARCH(abortion,C45)))&gt;0)</f>
        <v>0</v>
      </c>
      <c r="W45" s="14" cm="1">
        <f t="array" ref="W45">INT(SUMPRODUCT(--ISNUMBER(SEARCH(trump,C45)))&gt;0)</f>
        <v>0</v>
      </c>
      <c r="X45" s="14" cm="1">
        <f t="array" ref="X45">INT(SUMPRODUCT(--ISNUMBER(SEARCH(voting,C45)))&gt;0)</f>
        <v>0</v>
      </c>
      <c r="Y45" s="35" cm="1">
        <f t="array" ref="Y45">INT(SUMPRODUCT(--ISNUMBER(SEARCH(republicantrigger,C45)))&gt;0)</f>
        <v>0</v>
      </c>
      <c r="Z45" s="35" cm="1">
        <f t="array" ref="Z45">INT(SUMPRODUCT(--ISNUMBER(SEARCH(bipartisan,C45)))&gt;0)</f>
        <v>0</v>
      </c>
      <c r="AA45" s="35">
        <f t="shared" si="0"/>
        <v>1</v>
      </c>
      <c r="AB45" s="14"/>
      <c r="AC45" s="30">
        <v>1</v>
      </c>
      <c r="AD45" s="37">
        <v>0</v>
      </c>
    </row>
    <row r="46" spans="1:30" x14ac:dyDescent="0.25">
      <c r="A46" s="36">
        <v>3586</v>
      </c>
      <c r="B46" s="14" t="s">
        <v>6926</v>
      </c>
      <c r="C46" s="14" t="s">
        <v>6927</v>
      </c>
      <c r="D46" s="17">
        <v>44131</v>
      </c>
      <c r="E46" s="14" t="s">
        <v>30</v>
      </c>
      <c r="F46" s="14">
        <v>229</v>
      </c>
      <c r="G46" s="14">
        <v>46</v>
      </c>
      <c r="H46" s="14">
        <v>17</v>
      </c>
      <c r="I46" s="14">
        <v>9</v>
      </c>
      <c r="J46" s="14" t="s">
        <v>31</v>
      </c>
      <c r="K46" s="14" cm="1">
        <f t="array" ref="K46">INT(SUMPRODUCT(--ISNUMBER(SEARCH(economy,C46)))&gt;0)</f>
        <v>0</v>
      </c>
      <c r="L46" s="14" cm="1">
        <f t="array" ref="L46">INT(SUMPRODUCT(--ISNUMBER(SEARCH(healthcare,C46)))&gt;0)</f>
        <v>0</v>
      </c>
      <c r="M46" s="14" cm="1">
        <f t="array" ref="M46">INT(SUMPRODUCT(--ISNUMBER(SEARCH(supreme,C46)))&gt;0)</f>
        <v>0</v>
      </c>
      <c r="N46" s="14" cm="1">
        <f t="array" ref="N46">INT(SUMPRODUCT(--ISNUMBER(SEARCH(covid,C46)))&gt;0)</f>
        <v>0</v>
      </c>
      <c r="O46" s="14" cm="1">
        <f t="array" ref="O46">INT(SUMPRODUCT(--ISNUMBER(SEARCH(violent,C46)))&gt;0)</f>
        <v>0</v>
      </c>
      <c r="P46" s="14" cm="1">
        <f t="array" ref="P46">INT(SUMPRODUCT(--ISNUMBER(SEARCH(foreign,C46)))&gt;0)</f>
        <v>0</v>
      </c>
      <c r="Q46" s="14" cm="1">
        <f t="array" ref="Q46">INT(SUMPRODUCT(--ISNUMBER(SEARCH(gun,C46)))&gt;0)</f>
        <v>0</v>
      </c>
      <c r="R46" s="14" cm="1">
        <f t="array" ref="R46">INT(SUMPRODUCT(--ISNUMBER(SEARCH(race,C46)))&gt;0)</f>
        <v>1</v>
      </c>
      <c r="S46" s="14" cm="1">
        <f t="array" ref="S46">INT(SUMPRODUCT(--ISNUMBER(SEARCH(immigration,C46)))&gt;0)</f>
        <v>1</v>
      </c>
      <c r="T46" s="14" cm="1">
        <f t="array" ref="T46">INT(SUMPRODUCT(--ISNUMBER(SEARCH(econineq,C47)))&gt;0)</f>
        <v>0</v>
      </c>
      <c r="U46" s="14" cm="1">
        <f t="array" ref="U46">INT(SUMPRODUCT(--ISNUMBER(SEARCH(climate,C46)))&gt;0)</f>
        <v>0</v>
      </c>
      <c r="V46" s="14" cm="1">
        <f t="array" ref="V46">INT(SUMPRODUCT(--ISNUMBER(SEARCH(abortion,C46)))&gt;0)</f>
        <v>0</v>
      </c>
      <c r="W46" s="14" cm="1">
        <f t="array" ref="W46">INT(SUMPRODUCT(--ISNUMBER(SEARCH(trump,C46)))&gt;0)</f>
        <v>0</v>
      </c>
      <c r="X46" s="14" cm="1">
        <f t="array" ref="X46">INT(SUMPRODUCT(--ISNUMBER(SEARCH(voting,C46)))&gt;0)</f>
        <v>0</v>
      </c>
      <c r="Y46" s="35" cm="1">
        <f t="array" ref="Y46">INT(SUMPRODUCT(--ISNUMBER(SEARCH(republicantrigger,C46)))&gt;0)</f>
        <v>0</v>
      </c>
      <c r="Z46" s="35" cm="1">
        <f t="array" ref="Z46">INT(SUMPRODUCT(--ISNUMBER(SEARCH(bipartisan,C46)))&gt;0)</f>
        <v>0</v>
      </c>
      <c r="AA46" s="35">
        <f t="shared" si="0"/>
        <v>0</v>
      </c>
      <c r="AB46" s="14"/>
      <c r="AC46" s="30" t="s">
        <v>223</v>
      </c>
      <c r="AD46" s="37" t="s">
        <v>223</v>
      </c>
    </row>
    <row r="47" spans="1:30" x14ac:dyDescent="0.25">
      <c r="A47" s="36">
        <v>3587</v>
      </c>
      <c r="B47" s="14" t="s">
        <v>6928</v>
      </c>
      <c r="C47" s="14" t="s">
        <v>6929</v>
      </c>
      <c r="D47" s="17">
        <v>44131</v>
      </c>
      <c r="E47" s="14" t="s">
        <v>30</v>
      </c>
      <c r="F47" s="14">
        <v>79</v>
      </c>
      <c r="G47" s="14">
        <v>22</v>
      </c>
      <c r="H47" s="14">
        <v>17</v>
      </c>
      <c r="I47" s="14">
        <v>9</v>
      </c>
      <c r="J47" s="14" t="s">
        <v>31</v>
      </c>
      <c r="K47" s="14" cm="1">
        <f t="array" ref="K47">INT(SUMPRODUCT(--ISNUMBER(SEARCH(economy,C47)))&gt;0)</f>
        <v>0</v>
      </c>
      <c r="L47" s="14" cm="1">
        <f t="array" ref="L47">INT(SUMPRODUCT(--ISNUMBER(SEARCH(healthcare,C47)))&gt;0)</f>
        <v>0</v>
      </c>
      <c r="M47" s="14" cm="1">
        <f t="array" ref="M47">INT(SUMPRODUCT(--ISNUMBER(SEARCH(supreme,C47)))&gt;0)</f>
        <v>0</v>
      </c>
      <c r="N47" s="14" cm="1">
        <f t="array" ref="N47">INT(SUMPRODUCT(--ISNUMBER(SEARCH(covid,C47)))&gt;0)</f>
        <v>0</v>
      </c>
      <c r="O47" s="14" cm="1">
        <f t="array" ref="O47">INT(SUMPRODUCT(--ISNUMBER(SEARCH(violent,C47)))&gt;0)</f>
        <v>0</v>
      </c>
      <c r="P47" s="14" cm="1">
        <f t="array" ref="P47">INT(SUMPRODUCT(--ISNUMBER(SEARCH(foreign,C47)))&gt;0)</f>
        <v>1</v>
      </c>
      <c r="Q47" s="14" cm="1">
        <f t="array" ref="Q47">INT(SUMPRODUCT(--ISNUMBER(SEARCH(gun,C47)))&gt;0)</f>
        <v>0</v>
      </c>
      <c r="R47" s="14" cm="1">
        <f t="array" ref="R47">INT(SUMPRODUCT(--ISNUMBER(SEARCH(race,C47)))&gt;0)</f>
        <v>1</v>
      </c>
      <c r="S47" s="14" cm="1">
        <f t="array" ref="S47">INT(SUMPRODUCT(--ISNUMBER(SEARCH(immigration,C47)))&gt;0)</f>
        <v>1</v>
      </c>
      <c r="T47" s="14" cm="1">
        <f t="array" ref="T47">INT(SUMPRODUCT(--ISNUMBER(SEARCH(econineq,C48)))&gt;0)</f>
        <v>0</v>
      </c>
      <c r="U47" s="14" cm="1">
        <f t="array" ref="U47">INT(SUMPRODUCT(--ISNUMBER(SEARCH(climate,C47)))&gt;0)</f>
        <v>0</v>
      </c>
      <c r="V47" s="14" cm="1">
        <f t="array" ref="V47">INT(SUMPRODUCT(--ISNUMBER(SEARCH(abortion,C47)))&gt;0)</f>
        <v>0</v>
      </c>
      <c r="W47" s="14" cm="1">
        <f t="array" ref="W47">INT(SUMPRODUCT(--ISNUMBER(SEARCH(trump,C47)))&gt;0)</f>
        <v>0</v>
      </c>
      <c r="X47" s="14" cm="1">
        <f t="array" ref="X47">INT(SUMPRODUCT(--ISNUMBER(SEARCH(voting,C47)))&gt;0)</f>
        <v>0</v>
      </c>
      <c r="Y47" s="35" cm="1">
        <f t="array" ref="Y47">INT(SUMPRODUCT(--ISNUMBER(SEARCH(republicantrigger,C47)))&gt;0)</f>
        <v>0</v>
      </c>
      <c r="Z47" s="35" cm="1">
        <f t="array" ref="Z47">INT(SUMPRODUCT(--ISNUMBER(SEARCH(bipartisan,C47)))&gt;0)</f>
        <v>0</v>
      </c>
      <c r="AA47" s="35">
        <f t="shared" si="0"/>
        <v>0</v>
      </c>
      <c r="AB47" s="14"/>
      <c r="AC47" s="30">
        <v>1</v>
      </c>
      <c r="AD47" s="37">
        <v>0</v>
      </c>
    </row>
    <row r="48" spans="1:30" x14ac:dyDescent="0.25">
      <c r="A48" s="36">
        <v>3588</v>
      </c>
      <c r="B48" s="14" t="s">
        <v>6930</v>
      </c>
      <c r="C48" s="14" t="s">
        <v>6931</v>
      </c>
      <c r="D48" s="17">
        <v>44131</v>
      </c>
      <c r="E48" s="14" t="s">
        <v>30</v>
      </c>
      <c r="F48" s="14">
        <v>169</v>
      </c>
      <c r="G48" s="14">
        <v>41</v>
      </c>
      <c r="H48" s="14">
        <v>17</v>
      </c>
      <c r="I48" s="14">
        <v>9</v>
      </c>
      <c r="J48" s="14" t="s">
        <v>31</v>
      </c>
      <c r="K48" s="14" cm="1">
        <f t="array" ref="K48">INT(SUMPRODUCT(--ISNUMBER(SEARCH(economy,C48)))&gt;0)</f>
        <v>0</v>
      </c>
      <c r="L48" s="14" cm="1">
        <f t="array" ref="L48">INT(SUMPRODUCT(--ISNUMBER(SEARCH(healthcare,C48)))&gt;0)</f>
        <v>0</v>
      </c>
      <c r="M48" s="14" cm="1">
        <f t="array" ref="M48">INT(SUMPRODUCT(--ISNUMBER(SEARCH(supreme,C48)))&gt;0)</f>
        <v>0</v>
      </c>
      <c r="N48" s="14" cm="1">
        <f t="array" ref="N48">INT(SUMPRODUCT(--ISNUMBER(SEARCH(covid,C48)))&gt;0)</f>
        <v>0</v>
      </c>
      <c r="O48" s="14" cm="1">
        <f t="array" ref="O48">INT(SUMPRODUCT(--ISNUMBER(SEARCH(violent,C48)))&gt;0)</f>
        <v>0</v>
      </c>
      <c r="P48" s="14" cm="1">
        <f t="array" ref="P48">INT(SUMPRODUCT(--ISNUMBER(SEARCH(foreign,C48)))&gt;0)</f>
        <v>0</v>
      </c>
      <c r="Q48" s="14" cm="1">
        <f t="array" ref="Q48">INT(SUMPRODUCT(--ISNUMBER(SEARCH(gun,C48)))&gt;0)</f>
        <v>0</v>
      </c>
      <c r="R48" s="14" cm="1">
        <f t="array" ref="R48">INT(SUMPRODUCT(--ISNUMBER(SEARCH(race,C48)))&gt;0)</f>
        <v>0</v>
      </c>
      <c r="S48" s="14" cm="1">
        <f t="array" ref="S48">INT(SUMPRODUCT(--ISNUMBER(SEARCH(immigration,C48)))&gt;0)</f>
        <v>0</v>
      </c>
      <c r="T48" s="14" cm="1">
        <f t="array" ref="T48">INT(SUMPRODUCT(--ISNUMBER(SEARCH(econineq,C49)))&gt;0)</f>
        <v>0</v>
      </c>
      <c r="U48" s="14" cm="1">
        <f t="array" ref="U48">INT(SUMPRODUCT(--ISNUMBER(SEARCH(climate,C48)))&gt;0)</f>
        <v>0</v>
      </c>
      <c r="V48" s="14" cm="1">
        <f t="array" ref="V48">INT(SUMPRODUCT(--ISNUMBER(SEARCH(abortion,C48)))&gt;0)</f>
        <v>0</v>
      </c>
      <c r="W48" s="14" cm="1">
        <f t="array" ref="W48">INT(SUMPRODUCT(--ISNUMBER(SEARCH(trump,C48)))&gt;0)</f>
        <v>0</v>
      </c>
      <c r="X48" s="14" cm="1">
        <f t="array" ref="X48">INT(SUMPRODUCT(--ISNUMBER(SEARCH(voting,C48)))&gt;0)</f>
        <v>0</v>
      </c>
      <c r="Y48" s="35" cm="1">
        <f t="array" ref="Y48">INT(SUMPRODUCT(--ISNUMBER(SEARCH(republicantrigger,C48)))&gt;0)</f>
        <v>0</v>
      </c>
      <c r="Z48" s="35" cm="1">
        <f t="array" ref="Z48">INT(SUMPRODUCT(--ISNUMBER(SEARCH(bipartisan,C48)))&gt;0)</f>
        <v>0</v>
      </c>
      <c r="AA48" s="35">
        <f t="shared" si="0"/>
        <v>1</v>
      </c>
      <c r="AB48" s="14"/>
      <c r="AC48" s="30" t="s">
        <v>223</v>
      </c>
      <c r="AD48" s="37" t="s">
        <v>223</v>
      </c>
    </row>
    <row r="49" spans="1:30" x14ac:dyDescent="0.25">
      <c r="A49" s="36">
        <v>3589</v>
      </c>
      <c r="B49" s="14" t="s">
        <v>6932</v>
      </c>
      <c r="C49" s="14" t="s">
        <v>6933</v>
      </c>
      <c r="D49" s="17">
        <v>44131</v>
      </c>
      <c r="E49" s="14" t="s">
        <v>30</v>
      </c>
      <c r="F49" s="14">
        <v>882</v>
      </c>
      <c r="G49" s="14">
        <v>284</v>
      </c>
      <c r="H49" s="14">
        <v>17</v>
      </c>
      <c r="I49" s="14">
        <v>9</v>
      </c>
      <c r="J49" s="14" t="s">
        <v>31</v>
      </c>
      <c r="K49" s="14" cm="1">
        <f t="array" ref="K49">INT(SUMPRODUCT(--ISNUMBER(SEARCH(economy,C49)))&gt;0)</f>
        <v>0</v>
      </c>
      <c r="L49" s="14" cm="1">
        <f t="array" ref="L49">INT(SUMPRODUCT(--ISNUMBER(SEARCH(healthcare,C49)))&gt;0)</f>
        <v>0</v>
      </c>
      <c r="M49" s="14" cm="1">
        <f t="array" ref="M49">INT(SUMPRODUCT(--ISNUMBER(SEARCH(supreme,C49)))&gt;0)</f>
        <v>0</v>
      </c>
      <c r="N49" s="14" cm="1">
        <f t="array" ref="N49">INT(SUMPRODUCT(--ISNUMBER(SEARCH(covid,C49)))&gt;0)</f>
        <v>0</v>
      </c>
      <c r="O49" s="14" cm="1">
        <f t="array" ref="O49">INT(SUMPRODUCT(--ISNUMBER(SEARCH(violent,C49)))&gt;0)</f>
        <v>0</v>
      </c>
      <c r="P49" s="14" cm="1">
        <f t="array" ref="P49">INT(SUMPRODUCT(--ISNUMBER(SEARCH(foreign,C49)))&gt;0)</f>
        <v>1</v>
      </c>
      <c r="Q49" s="14" cm="1">
        <f t="array" ref="Q49">INT(SUMPRODUCT(--ISNUMBER(SEARCH(gun,C49)))&gt;0)</f>
        <v>0</v>
      </c>
      <c r="R49" s="14" cm="1">
        <f t="array" ref="R49">INT(SUMPRODUCT(--ISNUMBER(SEARCH(race,C49)))&gt;0)</f>
        <v>0</v>
      </c>
      <c r="S49" s="14" cm="1">
        <f t="array" ref="S49">INT(SUMPRODUCT(--ISNUMBER(SEARCH(immigration,C49)))&gt;0)</f>
        <v>0</v>
      </c>
      <c r="T49" s="14" cm="1">
        <f t="array" ref="T49">INT(SUMPRODUCT(--ISNUMBER(SEARCH(econineq,C50)))&gt;0)</f>
        <v>0</v>
      </c>
      <c r="U49" s="14" cm="1">
        <f t="array" ref="U49">INT(SUMPRODUCT(--ISNUMBER(SEARCH(climate,C49)))&gt;0)</f>
        <v>0</v>
      </c>
      <c r="V49" s="14" cm="1">
        <f t="array" ref="V49">INT(SUMPRODUCT(--ISNUMBER(SEARCH(abortion,C49)))&gt;0)</f>
        <v>0</v>
      </c>
      <c r="W49" s="14" cm="1">
        <f t="array" ref="W49">INT(SUMPRODUCT(--ISNUMBER(SEARCH(trump,C49)))&gt;0)</f>
        <v>0</v>
      </c>
      <c r="X49" s="14" cm="1">
        <f t="array" ref="X49">INT(SUMPRODUCT(--ISNUMBER(SEARCH(voting,C49)))&gt;0)</f>
        <v>0</v>
      </c>
      <c r="Y49" s="35" cm="1">
        <f t="array" ref="Y49">INT(SUMPRODUCT(--ISNUMBER(SEARCH(republicantrigger,C49)))&gt;0)</f>
        <v>0</v>
      </c>
      <c r="Z49" s="35" cm="1">
        <f t="array" ref="Z49">INT(SUMPRODUCT(--ISNUMBER(SEARCH(bipartisan,C49)))&gt;0)</f>
        <v>0</v>
      </c>
      <c r="AA49" s="35">
        <f t="shared" si="0"/>
        <v>0</v>
      </c>
      <c r="AB49" s="14"/>
      <c r="AC49" s="30" t="s">
        <v>223</v>
      </c>
      <c r="AD49" s="37" t="s">
        <v>223</v>
      </c>
    </row>
    <row r="50" spans="1:30" x14ac:dyDescent="0.25">
      <c r="A50" s="36">
        <v>3590</v>
      </c>
      <c r="B50" s="14" t="s">
        <v>6934</v>
      </c>
      <c r="C50" s="14" t="s">
        <v>6935</v>
      </c>
      <c r="D50" s="17">
        <v>44131</v>
      </c>
      <c r="E50" s="14" t="s">
        <v>30</v>
      </c>
      <c r="F50" s="14">
        <v>305</v>
      </c>
      <c r="G50" s="14">
        <v>72</v>
      </c>
      <c r="H50" s="14">
        <v>17</v>
      </c>
      <c r="I50" s="14">
        <v>9</v>
      </c>
      <c r="J50" s="14" t="s">
        <v>31</v>
      </c>
      <c r="K50" s="14" cm="1">
        <f t="array" ref="K50">INT(SUMPRODUCT(--ISNUMBER(SEARCH(economy,C50)))&gt;0)</f>
        <v>0</v>
      </c>
      <c r="L50" s="14" cm="1">
        <f t="array" ref="L50">INT(SUMPRODUCT(--ISNUMBER(SEARCH(healthcare,C50)))&gt;0)</f>
        <v>0</v>
      </c>
      <c r="M50" s="14" cm="1">
        <f t="array" ref="M50">INT(SUMPRODUCT(--ISNUMBER(SEARCH(supreme,C50)))&gt;0)</f>
        <v>0</v>
      </c>
      <c r="N50" s="14" cm="1">
        <f t="array" ref="N50">INT(SUMPRODUCT(--ISNUMBER(SEARCH(covid,C50)))&gt;0)</f>
        <v>0</v>
      </c>
      <c r="O50" s="14" cm="1">
        <f t="array" ref="O50">INT(SUMPRODUCT(--ISNUMBER(SEARCH(violent,C50)))&gt;0)</f>
        <v>0</v>
      </c>
      <c r="P50" s="14" cm="1">
        <f t="array" ref="P50">INT(SUMPRODUCT(--ISNUMBER(SEARCH(foreign,C50)))&gt;0)</f>
        <v>0</v>
      </c>
      <c r="Q50" s="14" cm="1">
        <f t="array" ref="Q50">INT(SUMPRODUCT(--ISNUMBER(SEARCH(gun,C50)))&gt;0)</f>
        <v>0</v>
      </c>
      <c r="R50" s="14" cm="1">
        <f t="array" ref="R50">INT(SUMPRODUCT(--ISNUMBER(SEARCH(race,C50)))&gt;0)</f>
        <v>0</v>
      </c>
      <c r="S50" s="14" cm="1">
        <f t="array" ref="S50">INT(SUMPRODUCT(--ISNUMBER(SEARCH(immigration,C50)))&gt;0)</f>
        <v>0</v>
      </c>
      <c r="T50" s="14" cm="1">
        <f t="array" ref="T50">INT(SUMPRODUCT(--ISNUMBER(SEARCH(econineq,C51)))&gt;0)</f>
        <v>0</v>
      </c>
      <c r="U50" s="14" cm="1">
        <f t="array" ref="U50">INT(SUMPRODUCT(--ISNUMBER(SEARCH(climate,C50)))&gt;0)</f>
        <v>0</v>
      </c>
      <c r="V50" s="14" cm="1">
        <f t="array" ref="V50">INT(SUMPRODUCT(--ISNUMBER(SEARCH(abortion,C50)))&gt;0)</f>
        <v>0</v>
      </c>
      <c r="W50" s="14" cm="1">
        <f t="array" ref="W50">INT(SUMPRODUCT(--ISNUMBER(SEARCH(trump,C50)))&gt;0)</f>
        <v>0</v>
      </c>
      <c r="X50" s="14" cm="1">
        <f t="array" ref="X50">INT(SUMPRODUCT(--ISNUMBER(SEARCH(voting,C50)))&gt;0)</f>
        <v>0</v>
      </c>
      <c r="Y50" s="35" cm="1">
        <f t="array" ref="Y50">INT(SUMPRODUCT(--ISNUMBER(SEARCH(republicantrigger,C50)))&gt;0)</f>
        <v>1</v>
      </c>
      <c r="Z50" s="35" cm="1">
        <f t="array" ref="Z50">INT(SUMPRODUCT(--ISNUMBER(SEARCH(bipartisan,C50)))&gt;0)</f>
        <v>0</v>
      </c>
      <c r="AA50" s="35">
        <f t="shared" si="0"/>
        <v>0</v>
      </c>
      <c r="AB50" s="14"/>
      <c r="AC50" s="30" t="s">
        <v>223</v>
      </c>
      <c r="AD50" s="37" t="s">
        <v>223</v>
      </c>
    </row>
    <row r="51" spans="1:30" x14ac:dyDescent="0.25">
      <c r="A51" s="36">
        <v>3591</v>
      </c>
      <c r="B51" s="14" t="s">
        <v>6936</v>
      </c>
      <c r="C51" s="14" t="s">
        <v>6937</v>
      </c>
      <c r="D51" s="17">
        <v>44131</v>
      </c>
      <c r="E51" s="14" t="s">
        <v>30</v>
      </c>
      <c r="F51" s="14">
        <v>2576</v>
      </c>
      <c r="G51" s="14">
        <v>444</v>
      </c>
      <c r="H51" s="14">
        <v>17</v>
      </c>
      <c r="I51" s="14">
        <v>9</v>
      </c>
      <c r="J51" s="14" t="s">
        <v>31</v>
      </c>
      <c r="K51" s="14" cm="1">
        <f t="array" ref="K51">INT(SUMPRODUCT(--ISNUMBER(SEARCH(economy,C51)))&gt;0)</f>
        <v>0</v>
      </c>
      <c r="L51" s="14" cm="1">
        <f t="array" ref="L51">INT(SUMPRODUCT(--ISNUMBER(SEARCH(healthcare,C51)))&gt;0)</f>
        <v>0</v>
      </c>
      <c r="M51" s="14" cm="1">
        <f t="array" ref="M51">INT(SUMPRODUCT(--ISNUMBER(SEARCH(supreme,C51)))&gt;0)</f>
        <v>1</v>
      </c>
      <c r="N51" s="14" cm="1">
        <f t="array" ref="N51">INT(SUMPRODUCT(--ISNUMBER(SEARCH(covid,C51)))&gt;0)</f>
        <v>0</v>
      </c>
      <c r="O51" s="14" cm="1">
        <f t="array" ref="O51">INT(SUMPRODUCT(--ISNUMBER(SEARCH(violent,C51)))&gt;0)</f>
        <v>0</v>
      </c>
      <c r="P51" s="14" cm="1">
        <f t="array" ref="P51">INT(SUMPRODUCT(--ISNUMBER(SEARCH(foreign,C51)))&gt;0)</f>
        <v>0</v>
      </c>
      <c r="Q51" s="14" cm="1">
        <f t="array" ref="Q51">INT(SUMPRODUCT(--ISNUMBER(SEARCH(gun,C51)))&gt;0)</f>
        <v>0</v>
      </c>
      <c r="R51" s="14" cm="1">
        <f t="array" ref="R51">INT(SUMPRODUCT(--ISNUMBER(SEARCH(race,C51)))&gt;0)</f>
        <v>0</v>
      </c>
      <c r="S51" s="14" cm="1">
        <f t="array" ref="S51">INT(SUMPRODUCT(--ISNUMBER(SEARCH(immigration,C51)))&gt;0)</f>
        <v>0</v>
      </c>
      <c r="T51" s="14" cm="1">
        <f t="array" ref="T51">INT(SUMPRODUCT(--ISNUMBER(SEARCH(econineq,C52)))&gt;0)</f>
        <v>0</v>
      </c>
      <c r="U51" s="14" cm="1">
        <f t="array" ref="U51">INT(SUMPRODUCT(--ISNUMBER(SEARCH(climate,C51)))&gt;0)</f>
        <v>0</v>
      </c>
      <c r="V51" s="14" cm="1">
        <f t="array" ref="V51">INT(SUMPRODUCT(--ISNUMBER(SEARCH(abortion,C51)))&gt;0)</f>
        <v>0</v>
      </c>
      <c r="W51" s="14" cm="1">
        <f t="array" ref="W51">INT(SUMPRODUCT(--ISNUMBER(SEARCH(trump,C51)))&gt;0)</f>
        <v>0</v>
      </c>
      <c r="X51" s="14" cm="1">
        <f t="array" ref="X51">INT(SUMPRODUCT(--ISNUMBER(SEARCH(voting,C51)))&gt;0)</f>
        <v>0</v>
      </c>
      <c r="Y51" s="35" cm="1">
        <f t="array" ref="Y51">INT(SUMPRODUCT(--ISNUMBER(SEARCH(republicantrigger,C51)))&gt;0)</f>
        <v>1</v>
      </c>
      <c r="Z51" s="35" cm="1">
        <f t="array" ref="Z51">INT(SUMPRODUCT(--ISNUMBER(SEARCH(bipartisan,C51)))&gt;0)</f>
        <v>0</v>
      </c>
      <c r="AA51" s="35">
        <f t="shared" si="0"/>
        <v>0</v>
      </c>
      <c r="AB51" s="14"/>
      <c r="AC51" s="30" t="s">
        <v>223</v>
      </c>
      <c r="AD51" s="37" t="s">
        <v>223</v>
      </c>
    </row>
    <row r="52" spans="1:30" x14ac:dyDescent="0.25">
      <c r="A52" s="36">
        <v>3592</v>
      </c>
      <c r="B52" s="14" t="s">
        <v>6938</v>
      </c>
      <c r="C52" s="14" t="s">
        <v>6939</v>
      </c>
      <c r="D52" s="17">
        <v>44131</v>
      </c>
      <c r="E52" s="14" t="s">
        <v>30</v>
      </c>
      <c r="F52" s="14">
        <v>410</v>
      </c>
      <c r="G52" s="14">
        <v>45</v>
      </c>
      <c r="H52" s="14">
        <v>17</v>
      </c>
      <c r="I52" s="14">
        <v>9</v>
      </c>
      <c r="J52" s="14" t="s">
        <v>31</v>
      </c>
      <c r="K52" s="14" cm="1">
        <f t="array" ref="K52">INT(SUMPRODUCT(--ISNUMBER(SEARCH(economy,C52)))&gt;0)</f>
        <v>0</v>
      </c>
      <c r="L52" s="14" cm="1">
        <f t="array" ref="L52">INT(SUMPRODUCT(--ISNUMBER(SEARCH(healthcare,C52)))&gt;0)</f>
        <v>0</v>
      </c>
      <c r="M52" s="14" cm="1">
        <f t="array" ref="M52">INT(SUMPRODUCT(--ISNUMBER(SEARCH(supreme,C52)))&gt;0)</f>
        <v>0</v>
      </c>
      <c r="N52" s="14" cm="1">
        <f t="array" ref="N52">INT(SUMPRODUCT(--ISNUMBER(SEARCH(covid,C52)))&gt;0)</f>
        <v>0</v>
      </c>
      <c r="O52" s="14" cm="1">
        <f t="array" ref="O52">INT(SUMPRODUCT(--ISNUMBER(SEARCH(violent,C52)))&gt;0)</f>
        <v>0</v>
      </c>
      <c r="P52" s="14" cm="1">
        <f t="array" ref="P52">INT(SUMPRODUCT(--ISNUMBER(SEARCH(foreign,C52)))&gt;0)</f>
        <v>0</v>
      </c>
      <c r="Q52" s="14" cm="1">
        <f t="array" ref="Q52">INT(SUMPRODUCT(--ISNUMBER(SEARCH(gun,C52)))&gt;0)</f>
        <v>0</v>
      </c>
      <c r="R52" s="14" cm="1">
        <f t="array" ref="R52">INT(SUMPRODUCT(--ISNUMBER(SEARCH(race,C52)))&gt;0)</f>
        <v>0</v>
      </c>
      <c r="S52" s="14" cm="1">
        <f t="array" ref="S52">INT(SUMPRODUCT(--ISNUMBER(SEARCH(immigration,C52)))&gt;0)</f>
        <v>0</v>
      </c>
      <c r="T52" s="14" cm="1">
        <f t="array" ref="T52">INT(SUMPRODUCT(--ISNUMBER(SEARCH(econineq,C53)))&gt;0)</f>
        <v>0</v>
      </c>
      <c r="U52" s="14" cm="1">
        <f t="array" ref="U52">INT(SUMPRODUCT(--ISNUMBER(SEARCH(climate,C52)))&gt;0)</f>
        <v>0</v>
      </c>
      <c r="V52" s="14" cm="1">
        <f t="array" ref="V52">INT(SUMPRODUCT(--ISNUMBER(SEARCH(abortion,C52)))&gt;0)</f>
        <v>0</v>
      </c>
      <c r="W52" s="14" cm="1">
        <f t="array" ref="W52">INT(SUMPRODUCT(--ISNUMBER(SEARCH(trump,C52)))&gt;0)</f>
        <v>0</v>
      </c>
      <c r="X52" s="14" cm="1">
        <f t="array" ref="X52">INT(SUMPRODUCT(--ISNUMBER(SEARCH(voting,C52)))&gt;0)</f>
        <v>0</v>
      </c>
      <c r="Y52" s="35" cm="1">
        <f t="array" ref="Y52">INT(SUMPRODUCT(--ISNUMBER(SEARCH(republicantrigger,C52)))&gt;0)</f>
        <v>0</v>
      </c>
      <c r="Z52" s="35" cm="1">
        <f t="array" ref="Z52">INT(SUMPRODUCT(--ISNUMBER(SEARCH(bipartisan,C52)))&gt;0)</f>
        <v>0</v>
      </c>
      <c r="AA52" s="35">
        <f t="shared" si="0"/>
        <v>1</v>
      </c>
      <c r="AB52" s="14"/>
      <c r="AC52" s="30" t="s">
        <v>223</v>
      </c>
      <c r="AD52" s="37" t="s">
        <v>223</v>
      </c>
    </row>
    <row r="53" spans="1:30" x14ac:dyDescent="0.25">
      <c r="A53" s="36">
        <v>3593</v>
      </c>
      <c r="B53" s="14" t="s">
        <v>6940</v>
      </c>
      <c r="C53" s="14" t="s">
        <v>6941</v>
      </c>
      <c r="D53" s="17">
        <v>44131</v>
      </c>
      <c r="E53" s="14" t="s">
        <v>30</v>
      </c>
      <c r="F53" s="14">
        <v>3104</v>
      </c>
      <c r="G53" s="14">
        <v>412</v>
      </c>
      <c r="H53" s="14">
        <v>17</v>
      </c>
      <c r="I53" s="14">
        <v>9</v>
      </c>
      <c r="J53" s="14" t="s">
        <v>31</v>
      </c>
      <c r="K53" s="14" cm="1">
        <f t="array" ref="K53">INT(SUMPRODUCT(--ISNUMBER(SEARCH(economy,C53)))&gt;0)</f>
        <v>0</v>
      </c>
      <c r="L53" s="14" cm="1">
        <f t="array" ref="L53">INT(SUMPRODUCT(--ISNUMBER(SEARCH(healthcare,C53)))&gt;0)</f>
        <v>0</v>
      </c>
      <c r="M53" s="14" cm="1">
        <f t="array" ref="M53">INT(SUMPRODUCT(--ISNUMBER(SEARCH(supreme,C53)))&gt;0)</f>
        <v>1</v>
      </c>
      <c r="N53" s="14" cm="1">
        <f t="array" ref="N53">INT(SUMPRODUCT(--ISNUMBER(SEARCH(covid,C53)))&gt;0)</f>
        <v>0</v>
      </c>
      <c r="O53" s="14" cm="1">
        <f t="array" ref="O53">INT(SUMPRODUCT(--ISNUMBER(SEARCH(violent,C53)))&gt;0)</f>
        <v>0</v>
      </c>
      <c r="P53" s="14" cm="1">
        <f t="array" ref="P53">INT(SUMPRODUCT(--ISNUMBER(SEARCH(foreign,C53)))&gt;0)</f>
        <v>0</v>
      </c>
      <c r="Q53" s="14" cm="1">
        <f t="array" ref="Q53">INT(SUMPRODUCT(--ISNUMBER(SEARCH(gun,C53)))&gt;0)</f>
        <v>0</v>
      </c>
      <c r="R53" s="14" cm="1">
        <f t="array" ref="R53">INT(SUMPRODUCT(--ISNUMBER(SEARCH(race,C53)))&gt;0)</f>
        <v>0</v>
      </c>
      <c r="S53" s="14" cm="1">
        <f t="array" ref="S53">INT(SUMPRODUCT(--ISNUMBER(SEARCH(immigration,C53)))&gt;0)</f>
        <v>0</v>
      </c>
      <c r="T53" s="14" cm="1">
        <f t="array" ref="T53">INT(SUMPRODUCT(--ISNUMBER(SEARCH(econineq,C54)))&gt;0)</f>
        <v>0</v>
      </c>
      <c r="U53" s="14" cm="1">
        <f t="array" ref="U53">INT(SUMPRODUCT(--ISNUMBER(SEARCH(climate,C53)))&gt;0)</f>
        <v>0</v>
      </c>
      <c r="V53" s="14" cm="1">
        <f t="array" ref="V53">INT(SUMPRODUCT(--ISNUMBER(SEARCH(abortion,C53)))&gt;0)</f>
        <v>0</v>
      </c>
      <c r="W53" s="14" cm="1">
        <f t="array" ref="W53">INT(SUMPRODUCT(--ISNUMBER(SEARCH(trump,C53)))&gt;0)</f>
        <v>0</v>
      </c>
      <c r="X53" s="14" cm="1">
        <f t="array" ref="X53">INT(SUMPRODUCT(--ISNUMBER(SEARCH(voting,C53)))&gt;0)</f>
        <v>0</v>
      </c>
      <c r="Y53" s="35" cm="1">
        <f t="array" ref="Y53">INT(SUMPRODUCT(--ISNUMBER(SEARCH(republicantrigger,C53)))&gt;0)</f>
        <v>0</v>
      </c>
      <c r="Z53" s="35" cm="1">
        <f t="array" ref="Z53">INT(SUMPRODUCT(--ISNUMBER(SEARCH(bipartisan,C53)))&gt;0)</f>
        <v>0</v>
      </c>
      <c r="AA53" s="35">
        <f t="shared" si="0"/>
        <v>0</v>
      </c>
      <c r="AB53" s="14"/>
      <c r="AC53" s="30" t="s">
        <v>223</v>
      </c>
      <c r="AD53" s="37" t="s">
        <v>223</v>
      </c>
    </row>
    <row r="54" spans="1:30" x14ac:dyDescent="0.25">
      <c r="A54" s="36">
        <v>3594</v>
      </c>
      <c r="B54" s="14" t="s">
        <v>6942</v>
      </c>
      <c r="C54" s="14" t="s">
        <v>6943</v>
      </c>
      <c r="D54" s="17">
        <v>44130</v>
      </c>
      <c r="E54" s="14" t="s">
        <v>30</v>
      </c>
      <c r="F54" s="14">
        <v>79</v>
      </c>
      <c r="G54" s="14">
        <v>15</v>
      </c>
      <c r="H54" s="14">
        <v>17</v>
      </c>
      <c r="I54" s="14">
        <v>9</v>
      </c>
      <c r="J54" s="14" t="s">
        <v>31</v>
      </c>
      <c r="K54" s="14" cm="1">
        <f t="array" ref="K54">INT(SUMPRODUCT(--ISNUMBER(SEARCH(economy,C54)))&gt;0)</f>
        <v>0</v>
      </c>
      <c r="L54" s="14" cm="1">
        <f t="array" ref="L54">INT(SUMPRODUCT(--ISNUMBER(SEARCH(healthcare,C54)))&gt;0)</f>
        <v>0</v>
      </c>
      <c r="M54" s="14" cm="1">
        <f t="array" ref="M54">INT(SUMPRODUCT(--ISNUMBER(SEARCH(supreme,C54)))&gt;0)</f>
        <v>1</v>
      </c>
      <c r="N54" s="14" cm="1">
        <f t="array" ref="N54">INT(SUMPRODUCT(--ISNUMBER(SEARCH(covid,C54)))&gt;0)</f>
        <v>0</v>
      </c>
      <c r="O54" s="14" cm="1">
        <f t="array" ref="O54">INT(SUMPRODUCT(--ISNUMBER(SEARCH(violent,C54)))&gt;0)</f>
        <v>0</v>
      </c>
      <c r="P54" s="14" cm="1">
        <f t="array" ref="P54">INT(SUMPRODUCT(--ISNUMBER(SEARCH(foreign,C54)))&gt;0)</f>
        <v>0</v>
      </c>
      <c r="Q54" s="14" cm="1">
        <f t="array" ref="Q54">INT(SUMPRODUCT(--ISNUMBER(SEARCH(gun,C54)))&gt;0)</f>
        <v>0</v>
      </c>
      <c r="R54" s="14" cm="1">
        <f t="array" ref="R54">INT(SUMPRODUCT(--ISNUMBER(SEARCH(race,C54)))&gt;0)</f>
        <v>0</v>
      </c>
      <c r="S54" s="14" cm="1">
        <f t="array" ref="S54">INT(SUMPRODUCT(--ISNUMBER(SEARCH(immigration,C54)))&gt;0)</f>
        <v>0</v>
      </c>
      <c r="T54" s="14" cm="1">
        <f t="array" ref="T54">INT(SUMPRODUCT(--ISNUMBER(SEARCH(econineq,C55)))&gt;0)</f>
        <v>0</v>
      </c>
      <c r="U54" s="14" cm="1">
        <f t="array" ref="U54">INT(SUMPRODUCT(--ISNUMBER(SEARCH(climate,C54)))&gt;0)</f>
        <v>0</v>
      </c>
      <c r="V54" s="14" cm="1">
        <f t="array" ref="V54">INT(SUMPRODUCT(--ISNUMBER(SEARCH(abortion,C54)))&gt;0)</f>
        <v>0</v>
      </c>
      <c r="W54" s="14" cm="1">
        <f t="array" ref="W54">INT(SUMPRODUCT(--ISNUMBER(SEARCH(trump,C54)))&gt;0)</f>
        <v>0</v>
      </c>
      <c r="X54" s="14" cm="1">
        <f t="array" ref="X54">INT(SUMPRODUCT(--ISNUMBER(SEARCH(voting,C54)))&gt;0)</f>
        <v>1</v>
      </c>
      <c r="Y54" s="35" cm="1">
        <f t="array" ref="Y54">INT(SUMPRODUCT(--ISNUMBER(SEARCH(republicantrigger,C54)))&gt;0)</f>
        <v>0</v>
      </c>
      <c r="Z54" s="35" cm="1">
        <f t="array" ref="Z54">INT(SUMPRODUCT(--ISNUMBER(SEARCH(bipartisan,C54)))&gt;0)</f>
        <v>0</v>
      </c>
      <c r="AA54" s="35">
        <f t="shared" si="0"/>
        <v>0</v>
      </c>
      <c r="AB54" s="14"/>
      <c r="AC54" s="30" t="s">
        <v>223</v>
      </c>
      <c r="AD54" s="37" t="s">
        <v>223</v>
      </c>
    </row>
    <row r="55" spans="1:30" x14ac:dyDescent="0.25">
      <c r="A55" s="36">
        <v>3595</v>
      </c>
      <c r="B55" s="14" t="s">
        <v>6944</v>
      </c>
      <c r="C55" s="14" t="s">
        <v>6945</v>
      </c>
      <c r="D55" s="17">
        <v>44130</v>
      </c>
      <c r="E55" s="14" t="s">
        <v>30</v>
      </c>
      <c r="F55" s="14">
        <v>457</v>
      </c>
      <c r="G55" s="14">
        <v>112</v>
      </c>
      <c r="H55" s="14">
        <v>17</v>
      </c>
      <c r="I55" s="14">
        <v>9</v>
      </c>
      <c r="J55" s="14" t="s">
        <v>31</v>
      </c>
      <c r="K55" s="14" cm="1">
        <f t="array" ref="K55">INT(SUMPRODUCT(--ISNUMBER(SEARCH(economy,C55)))&gt;0)</f>
        <v>0</v>
      </c>
      <c r="L55" s="14" cm="1">
        <f t="array" ref="L55">INT(SUMPRODUCT(--ISNUMBER(SEARCH(healthcare,C55)))&gt;0)</f>
        <v>0</v>
      </c>
      <c r="M55" s="14" cm="1">
        <f t="array" ref="M55">INT(SUMPRODUCT(--ISNUMBER(SEARCH(supreme,C55)))&gt;0)</f>
        <v>0</v>
      </c>
      <c r="N55" s="14" cm="1">
        <f t="array" ref="N55">INT(SUMPRODUCT(--ISNUMBER(SEARCH(covid,C55)))&gt;0)</f>
        <v>0</v>
      </c>
      <c r="O55" s="14" cm="1">
        <f t="array" ref="O55">INT(SUMPRODUCT(--ISNUMBER(SEARCH(violent,C55)))&gt;0)</f>
        <v>0</v>
      </c>
      <c r="P55" s="14" cm="1">
        <f t="array" ref="P55">INT(SUMPRODUCT(--ISNUMBER(SEARCH(foreign,C55)))&gt;0)</f>
        <v>0</v>
      </c>
      <c r="Q55" s="14" cm="1">
        <f t="array" ref="Q55">INT(SUMPRODUCT(--ISNUMBER(SEARCH(gun,C55)))&gt;0)</f>
        <v>0</v>
      </c>
      <c r="R55" s="14" cm="1">
        <f t="array" ref="R55">INT(SUMPRODUCT(--ISNUMBER(SEARCH(race,C55)))&gt;0)</f>
        <v>0</v>
      </c>
      <c r="S55" s="14" cm="1">
        <f t="array" ref="S55">INT(SUMPRODUCT(--ISNUMBER(SEARCH(immigration,C55)))&gt;0)</f>
        <v>0</v>
      </c>
      <c r="T55" s="14" cm="1">
        <f t="array" ref="T55">INT(SUMPRODUCT(--ISNUMBER(SEARCH(econineq,C56)))&gt;0)</f>
        <v>0</v>
      </c>
      <c r="U55" s="14" cm="1">
        <f t="array" ref="U55">INT(SUMPRODUCT(--ISNUMBER(SEARCH(climate,C55)))&gt;0)</f>
        <v>0</v>
      </c>
      <c r="V55" s="14" cm="1">
        <f t="array" ref="V55">INT(SUMPRODUCT(--ISNUMBER(SEARCH(abortion,C55)))&gt;0)</f>
        <v>0</v>
      </c>
      <c r="W55" s="14" cm="1">
        <f t="array" ref="W55">INT(SUMPRODUCT(--ISNUMBER(SEARCH(trump,C55)))&gt;0)</f>
        <v>0</v>
      </c>
      <c r="X55" s="14" cm="1">
        <f t="array" ref="X55">INT(SUMPRODUCT(--ISNUMBER(SEARCH(voting,C55)))&gt;0)</f>
        <v>1</v>
      </c>
      <c r="Y55" s="35" cm="1">
        <f t="array" ref="Y55">INT(SUMPRODUCT(--ISNUMBER(SEARCH(republicantrigger,C55)))&gt;0)</f>
        <v>1</v>
      </c>
      <c r="Z55" s="35" cm="1">
        <f t="array" ref="Z55">INT(SUMPRODUCT(--ISNUMBER(SEARCH(bipartisan,C55)))&gt;0)</f>
        <v>0</v>
      </c>
      <c r="AA55" s="35">
        <f t="shared" si="0"/>
        <v>0</v>
      </c>
      <c r="AB55" s="14"/>
      <c r="AC55" s="30" t="s">
        <v>223</v>
      </c>
      <c r="AD55" s="37" t="s">
        <v>223</v>
      </c>
    </row>
    <row r="56" spans="1:30" x14ac:dyDescent="0.25">
      <c r="A56" s="36">
        <v>3596</v>
      </c>
      <c r="B56" s="14" t="s">
        <v>6946</v>
      </c>
      <c r="C56" s="14" t="s">
        <v>6947</v>
      </c>
      <c r="D56" s="17">
        <v>44130</v>
      </c>
      <c r="E56" s="14" t="s">
        <v>30</v>
      </c>
      <c r="F56" s="14">
        <v>173</v>
      </c>
      <c r="G56" s="14">
        <v>49</v>
      </c>
      <c r="H56" s="14">
        <v>17</v>
      </c>
      <c r="I56" s="14">
        <v>9</v>
      </c>
      <c r="J56" s="14" t="s">
        <v>31</v>
      </c>
      <c r="K56" s="14" cm="1">
        <f t="array" ref="K56">INT(SUMPRODUCT(--ISNUMBER(SEARCH(economy,C56)))&gt;0)</f>
        <v>0</v>
      </c>
      <c r="L56" s="14" cm="1">
        <f t="array" ref="L56">INT(SUMPRODUCT(--ISNUMBER(SEARCH(healthcare,C56)))&gt;0)</f>
        <v>0</v>
      </c>
      <c r="M56" s="14" cm="1">
        <f t="array" ref="M56">INT(SUMPRODUCT(--ISNUMBER(SEARCH(supreme,C56)))&gt;0)</f>
        <v>0</v>
      </c>
      <c r="N56" s="14" cm="1">
        <f t="array" ref="N56">INT(SUMPRODUCT(--ISNUMBER(SEARCH(covid,C56)))&gt;0)</f>
        <v>0</v>
      </c>
      <c r="O56" s="14" cm="1">
        <f t="array" ref="O56">INT(SUMPRODUCT(--ISNUMBER(SEARCH(violent,C56)))&gt;0)</f>
        <v>0</v>
      </c>
      <c r="P56" s="14" cm="1">
        <f t="array" ref="P56">INT(SUMPRODUCT(--ISNUMBER(SEARCH(foreign,C56)))&gt;0)</f>
        <v>0</v>
      </c>
      <c r="Q56" s="14" cm="1">
        <f t="array" ref="Q56">INT(SUMPRODUCT(--ISNUMBER(SEARCH(gun,C56)))&gt;0)</f>
        <v>0</v>
      </c>
      <c r="R56" s="14" cm="1">
        <f t="array" ref="R56">INT(SUMPRODUCT(--ISNUMBER(SEARCH(race,C56)))&gt;0)</f>
        <v>0</v>
      </c>
      <c r="S56" s="14" cm="1">
        <f t="array" ref="S56">INT(SUMPRODUCT(--ISNUMBER(SEARCH(immigration,C56)))&gt;0)</f>
        <v>0</v>
      </c>
      <c r="T56" s="14" cm="1">
        <f t="array" ref="T56">INT(SUMPRODUCT(--ISNUMBER(SEARCH(econineq,C57)))&gt;0)</f>
        <v>0</v>
      </c>
      <c r="U56" s="14" cm="1">
        <f t="array" ref="U56">INT(SUMPRODUCT(--ISNUMBER(SEARCH(climate,C56)))&gt;0)</f>
        <v>0</v>
      </c>
      <c r="V56" s="14" cm="1">
        <f t="array" ref="V56">INT(SUMPRODUCT(--ISNUMBER(SEARCH(abortion,C56)))&gt;0)</f>
        <v>0</v>
      </c>
      <c r="W56" s="14" cm="1">
        <f t="array" ref="W56">INT(SUMPRODUCT(--ISNUMBER(SEARCH(trump,C56)))&gt;0)</f>
        <v>0</v>
      </c>
      <c r="X56" s="14" cm="1">
        <f t="array" ref="X56">INT(SUMPRODUCT(--ISNUMBER(SEARCH(voting,C56)))&gt;0)</f>
        <v>0</v>
      </c>
      <c r="Y56" s="35" cm="1">
        <f t="array" ref="Y56">INT(SUMPRODUCT(--ISNUMBER(SEARCH(republicantrigger,C56)))&gt;0)</f>
        <v>1</v>
      </c>
      <c r="Z56" s="35" cm="1">
        <f t="array" ref="Z56">INT(SUMPRODUCT(--ISNUMBER(SEARCH(bipartisan,C56)))&gt;0)</f>
        <v>0</v>
      </c>
      <c r="AA56" s="35">
        <f t="shared" si="0"/>
        <v>0</v>
      </c>
      <c r="AB56" s="14"/>
      <c r="AC56" s="30" t="s">
        <v>223</v>
      </c>
      <c r="AD56" s="37" t="s">
        <v>223</v>
      </c>
    </row>
    <row r="57" spans="1:30" x14ac:dyDescent="0.25">
      <c r="A57" s="36">
        <v>3597</v>
      </c>
      <c r="B57" s="14" t="s">
        <v>6948</v>
      </c>
      <c r="C57" s="14" t="s">
        <v>6949</v>
      </c>
      <c r="D57" s="17">
        <v>44130</v>
      </c>
      <c r="E57" s="14" t="s">
        <v>30</v>
      </c>
      <c r="F57" s="14">
        <v>45</v>
      </c>
      <c r="G57" s="14">
        <v>8</v>
      </c>
      <c r="H57" s="14">
        <v>17</v>
      </c>
      <c r="I57" s="14">
        <v>9</v>
      </c>
      <c r="J57" s="14" t="s">
        <v>31</v>
      </c>
      <c r="K57" s="14" cm="1">
        <f t="array" ref="K57">INT(SUMPRODUCT(--ISNUMBER(SEARCH(economy,C57)))&gt;0)</f>
        <v>0</v>
      </c>
      <c r="L57" s="14" cm="1">
        <f t="array" ref="L57">INT(SUMPRODUCT(--ISNUMBER(SEARCH(healthcare,C57)))&gt;0)</f>
        <v>0</v>
      </c>
      <c r="M57" s="14" cm="1">
        <f t="array" ref="M57">INT(SUMPRODUCT(--ISNUMBER(SEARCH(supreme,C57)))&gt;0)</f>
        <v>0</v>
      </c>
      <c r="N57" s="14" cm="1">
        <f t="array" ref="N57">INT(SUMPRODUCT(--ISNUMBER(SEARCH(covid,C57)))&gt;0)</f>
        <v>0</v>
      </c>
      <c r="O57" s="14" cm="1">
        <f t="array" ref="O57">INT(SUMPRODUCT(--ISNUMBER(SEARCH(violent,C57)))&gt;0)</f>
        <v>0</v>
      </c>
      <c r="P57" s="14" cm="1">
        <f t="array" ref="P57">INT(SUMPRODUCT(--ISNUMBER(SEARCH(foreign,C57)))&gt;0)</f>
        <v>0</v>
      </c>
      <c r="Q57" s="14" cm="1">
        <f t="array" ref="Q57">INT(SUMPRODUCT(--ISNUMBER(SEARCH(gun,C57)))&gt;0)</f>
        <v>0</v>
      </c>
      <c r="R57" s="14" cm="1">
        <f t="array" ref="R57">INT(SUMPRODUCT(--ISNUMBER(SEARCH(race,C57)))&gt;0)</f>
        <v>0</v>
      </c>
      <c r="S57" s="14" cm="1">
        <f t="array" ref="S57">INT(SUMPRODUCT(--ISNUMBER(SEARCH(immigration,C57)))&gt;0)</f>
        <v>0</v>
      </c>
      <c r="T57" s="14" cm="1">
        <f t="array" ref="T57">INT(SUMPRODUCT(--ISNUMBER(SEARCH(econineq,C58)))&gt;0)</f>
        <v>0</v>
      </c>
      <c r="U57" s="14" cm="1">
        <f t="array" ref="U57">INT(SUMPRODUCT(--ISNUMBER(SEARCH(climate,C57)))&gt;0)</f>
        <v>0</v>
      </c>
      <c r="V57" s="14" cm="1">
        <f t="array" ref="V57">INT(SUMPRODUCT(--ISNUMBER(SEARCH(abortion,C57)))&gt;0)</f>
        <v>0</v>
      </c>
      <c r="W57" s="14" cm="1">
        <f t="array" ref="W57">INT(SUMPRODUCT(--ISNUMBER(SEARCH(trump,C57)))&gt;0)</f>
        <v>0</v>
      </c>
      <c r="X57" s="14" cm="1">
        <f t="array" ref="X57">INT(SUMPRODUCT(--ISNUMBER(SEARCH(voting,C57)))&gt;0)</f>
        <v>0</v>
      </c>
      <c r="Y57" s="35" cm="1">
        <f t="array" ref="Y57">INT(SUMPRODUCT(--ISNUMBER(SEARCH(republicantrigger,C57)))&gt;0)</f>
        <v>0</v>
      </c>
      <c r="Z57" s="35" cm="1">
        <f t="array" ref="Z57">INT(SUMPRODUCT(--ISNUMBER(SEARCH(bipartisan,C57)))&gt;0)</f>
        <v>0</v>
      </c>
      <c r="AA57" s="35">
        <f t="shared" si="0"/>
        <v>1</v>
      </c>
      <c r="AB57" s="14"/>
      <c r="AC57" s="30" t="s">
        <v>223</v>
      </c>
      <c r="AD57" s="37" t="s">
        <v>223</v>
      </c>
    </row>
    <row r="58" spans="1:30" x14ac:dyDescent="0.25">
      <c r="A58" s="36">
        <v>3598</v>
      </c>
      <c r="B58" s="14" t="s">
        <v>6950</v>
      </c>
      <c r="C58" s="14" t="s">
        <v>6951</v>
      </c>
      <c r="D58" s="17">
        <v>44130</v>
      </c>
      <c r="E58" s="14" t="s">
        <v>30</v>
      </c>
      <c r="F58" s="14">
        <v>928</v>
      </c>
      <c r="G58" s="14">
        <v>242</v>
      </c>
      <c r="H58" s="14">
        <v>17</v>
      </c>
      <c r="I58" s="14">
        <v>9</v>
      </c>
      <c r="J58" s="14" t="s">
        <v>31</v>
      </c>
      <c r="K58" s="14" cm="1">
        <f t="array" ref="K58">INT(SUMPRODUCT(--ISNUMBER(SEARCH(economy,C58)))&gt;0)</f>
        <v>0</v>
      </c>
      <c r="L58" s="14" cm="1">
        <f t="array" ref="L58">INT(SUMPRODUCT(--ISNUMBER(SEARCH(healthcare,C58)))&gt;0)</f>
        <v>0</v>
      </c>
      <c r="M58" s="14" cm="1">
        <f t="array" ref="M58">INT(SUMPRODUCT(--ISNUMBER(SEARCH(supreme,C58)))&gt;0)</f>
        <v>0</v>
      </c>
      <c r="N58" s="14" cm="1">
        <f t="array" ref="N58">INT(SUMPRODUCT(--ISNUMBER(SEARCH(covid,C58)))&gt;0)</f>
        <v>0</v>
      </c>
      <c r="O58" s="14" cm="1">
        <f t="array" ref="O58">INT(SUMPRODUCT(--ISNUMBER(SEARCH(violent,C58)))&gt;0)</f>
        <v>0</v>
      </c>
      <c r="P58" s="14" cm="1">
        <f t="array" ref="P58">INT(SUMPRODUCT(--ISNUMBER(SEARCH(foreign,C58)))&gt;0)</f>
        <v>0</v>
      </c>
      <c r="Q58" s="14" cm="1">
        <f t="array" ref="Q58">INT(SUMPRODUCT(--ISNUMBER(SEARCH(gun,C58)))&gt;0)</f>
        <v>0</v>
      </c>
      <c r="R58" s="14" cm="1">
        <f t="array" ref="R58">INT(SUMPRODUCT(--ISNUMBER(SEARCH(race,C58)))&gt;0)</f>
        <v>0</v>
      </c>
      <c r="S58" s="14" cm="1">
        <f t="array" ref="S58">INT(SUMPRODUCT(--ISNUMBER(SEARCH(immigration,C58)))&gt;0)</f>
        <v>0</v>
      </c>
      <c r="T58" s="14" cm="1">
        <f t="array" ref="T58">INT(SUMPRODUCT(--ISNUMBER(SEARCH(econineq,C59)))&gt;0)</f>
        <v>0</v>
      </c>
      <c r="U58" s="14" cm="1">
        <f t="array" ref="U58">INT(SUMPRODUCT(--ISNUMBER(SEARCH(climate,C58)))&gt;0)</f>
        <v>0</v>
      </c>
      <c r="V58" s="14" cm="1">
        <f t="array" ref="V58">INT(SUMPRODUCT(--ISNUMBER(SEARCH(abortion,C58)))&gt;0)</f>
        <v>0</v>
      </c>
      <c r="W58" s="14" cm="1">
        <f t="array" ref="W58">INT(SUMPRODUCT(--ISNUMBER(SEARCH(trump,C58)))&gt;0)</f>
        <v>0</v>
      </c>
      <c r="X58" s="14" cm="1">
        <f t="array" ref="X58">INT(SUMPRODUCT(--ISNUMBER(SEARCH(voting,C58)))&gt;0)</f>
        <v>0</v>
      </c>
      <c r="Y58" s="35" cm="1">
        <f t="array" ref="Y58">INT(SUMPRODUCT(--ISNUMBER(SEARCH(republicantrigger,C58)))&gt;0)</f>
        <v>1</v>
      </c>
      <c r="Z58" s="35" cm="1">
        <f t="array" ref="Z58">INT(SUMPRODUCT(--ISNUMBER(SEARCH(bipartisan,C58)))&gt;0)</f>
        <v>0</v>
      </c>
      <c r="AA58" s="35">
        <f t="shared" si="0"/>
        <v>0</v>
      </c>
      <c r="AB58" s="14"/>
      <c r="AC58" s="30" t="s">
        <v>223</v>
      </c>
      <c r="AD58" s="37" t="s">
        <v>223</v>
      </c>
    </row>
    <row r="59" spans="1:30" x14ac:dyDescent="0.25">
      <c r="A59" s="36">
        <v>3599</v>
      </c>
      <c r="B59" s="14" t="s">
        <v>6952</v>
      </c>
      <c r="C59" s="14" t="s">
        <v>6953</v>
      </c>
      <c r="D59" s="17">
        <v>44130</v>
      </c>
      <c r="E59" s="14" t="s">
        <v>30</v>
      </c>
      <c r="F59" s="14">
        <v>731</v>
      </c>
      <c r="G59" s="14">
        <v>129</v>
      </c>
      <c r="H59" s="14">
        <v>17</v>
      </c>
      <c r="I59" s="14">
        <v>9</v>
      </c>
      <c r="J59" s="14" t="s">
        <v>31</v>
      </c>
      <c r="K59" s="14" cm="1">
        <f t="array" ref="K59">INT(SUMPRODUCT(--ISNUMBER(SEARCH(economy,C59)))&gt;0)</f>
        <v>0</v>
      </c>
      <c r="L59" s="14" cm="1">
        <f t="array" ref="L59">INT(SUMPRODUCT(--ISNUMBER(SEARCH(healthcare,C59)))&gt;0)</f>
        <v>0</v>
      </c>
      <c r="M59" s="14" cm="1">
        <f t="array" ref="M59">INT(SUMPRODUCT(--ISNUMBER(SEARCH(supreme,C59)))&gt;0)</f>
        <v>1</v>
      </c>
      <c r="N59" s="14" cm="1">
        <f t="array" ref="N59">INT(SUMPRODUCT(--ISNUMBER(SEARCH(covid,C59)))&gt;0)</f>
        <v>0</v>
      </c>
      <c r="O59" s="14" cm="1">
        <f t="array" ref="O59">INT(SUMPRODUCT(--ISNUMBER(SEARCH(violent,C59)))&gt;0)</f>
        <v>0</v>
      </c>
      <c r="P59" s="14" cm="1">
        <f t="array" ref="P59">INT(SUMPRODUCT(--ISNUMBER(SEARCH(foreign,C59)))&gt;0)</f>
        <v>0</v>
      </c>
      <c r="Q59" s="14" cm="1">
        <f t="array" ref="Q59">INT(SUMPRODUCT(--ISNUMBER(SEARCH(gun,C59)))&gt;0)</f>
        <v>0</v>
      </c>
      <c r="R59" s="14" cm="1">
        <f t="array" ref="R59">INT(SUMPRODUCT(--ISNUMBER(SEARCH(race,C59)))&gt;0)</f>
        <v>0</v>
      </c>
      <c r="S59" s="14" cm="1">
        <f t="array" ref="S59">INT(SUMPRODUCT(--ISNUMBER(SEARCH(immigration,C59)))&gt;0)</f>
        <v>0</v>
      </c>
      <c r="T59" s="14" cm="1">
        <f t="array" ref="T59">INT(SUMPRODUCT(--ISNUMBER(SEARCH(econineq,C60)))&gt;0)</f>
        <v>0</v>
      </c>
      <c r="U59" s="14" cm="1">
        <f t="array" ref="U59">INT(SUMPRODUCT(--ISNUMBER(SEARCH(climate,C59)))&gt;0)</f>
        <v>0</v>
      </c>
      <c r="V59" s="14" cm="1">
        <f t="array" ref="V59">INT(SUMPRODUCT(--ISNUMBER(SEARCH(abortion,C59)))&gt;0)</f>
        <v>0</v>
      </c>
      <c r="W59" s="14" cm="1">
        <f t="array" ref="W59">INT(SUMPRODUCT(--ISNUMBER(SEARCH(trump,C59)))&gt;0)</f>
        <v>0</v>
      </c>
      <c r="X59" s="14" cm="1">
        <f t="array" ref="X59">INT(SUMPRODUCT(--ISNUMBER(SEARCH(voting,C59)))&gt;0)</f>
        <v>1</v>
      </c>
      <c r="Y59" s="35" cm="1">
        <f t="array" ref="Y59">INT(SUMPRODUCT(--ISNUMBER(SEARCH(republicantrigger,C59)))&gt;0)</f>
        <v>0</v>
      </c>
      <c r="Z59" s="35" cm="1">
        <f t="array" ref="Z59">INT(SUMPRODUCT(--ISNUMBER(SEARCH(bipartisan,C59)))&gt;0)</f>
        <v>0</v>
      </c>
      <c r="AA59" s="35">
        <f t="shared" si="0"/>
        <v>0</v>
      </c>
      <c r="AB59" s="14"/>
      <c r="AC59" s="30" t="s">
        <v>223</v>
      </c>
      <c r="AD59" s="37" t="s">
        <v>223</v>
      </c>
    </row>
    <row r="60" spans="1:30" x14ac:dyDescent="0.25">
      <c r="A60" s="36">
        <v>3600</v>
      </c>
      <c r="B60" s="14" t="s">
        <v>6954</v>
      </c>
      <c r="C60" s="14" t="s">
        <v>6955</v>
      </c>
      <c r="D60" s="17">
        <v>44130</v>
      </c>
      <c r="E60" s="14" t="s">
        <v>30</v>
      </c>
      <c r="F60" s="14">
        <v>163</v>
      </c>
      <c r="G60" s="14">
        <v>28</v>
      </c>
      <c r="H60" s="14">
        <v>17</v>
      </c>
      <c r="I60" s="14">
        <v>9</v>
      </c>
      <c r="J60" s="14" t="s">
        <v>31</v>
      </c>
      <c r="K60" s="14" cm="1">
        <f t="array" ref="K60">INT(SUMPRODUCT(--ISNUMBER(SEARCH(economy,C60)))&gt;0)</f>
        <v>0</v>
      </c>
      <c r="L60" s="14" cm="1">
        <f t="array" ref="L60">INT(SUMPRODUCT(--ISNUMBER(SEARCH(healthcare,C60)))&gt;0)</f>
        <v>0</v>
      </c>
      <c r="M60" s="14" cm="1">
        <f t="array" ref="M60">INT(SUMPRODUCT(--ISNUMBER(SEARCH(supreme,C60)))&gt;0)</f>
        <v>0</v>
      </c>
      <c r="N60" s="14" cm="1">
        <f t="array" ref="N60">INT(SUMPRODUCT(--ISNUMBER(SEARCH(covid,C60)))&gt;0)</f>
        <v>0</v>
      </c>
      <c r="O60" s="14" cm="1">
        <f t="array" ref="O60">INT(SUMPRODUCT(--ISNUMBER(SEARCH(violent,C60)))&gt;0)</f>
        <v>0</v>
      </c>
      <c r="P60" s="14" cm="1">
        <f t="array" ref="P60">INT(SUMPRODUCT(--ISNUMBER(SEARCH(foreign,C60)))&gt;0)</f>
        <v>0</v>
      </c>
      <c r="Q60" s="14" cm="1">
        <f t="array" ref="Q60">INT(SUMPRODUCT(--ISNUMBER(SEARCH(gun,C60)))&gt;0)</f>
        <v>0</v>
      </c>
      <c r="R60" s="14" cm="1">
        <f t="array" ref="R60">INT(SUMPRODUCT(--ISNUMBER(SEARCH(race,C60)))&gt;0)</f>
        <v>0</v>
      </c>
      <c r="S60" s="14" cm="1">
        <f t="array" ref="S60">INT(SUMPRODUCT(--ISNUMBER(SEARCH(immigration,C60)))&gt;0)</f>
        <v>0</v>
      </c>
      <c r="T60" s="14" cm="1">
        <f t="array" ref="T60">INT(SUMPRODUCT(--ISNUMBER(SEARCH(econineq,C61)))&gt;0)</f>
        <v>0</v>
      </c>
      <c r="U60" s="14" cm="1">
        <f t="array" ref="U60">INT(SUMPRODUCT(--ISNUMBER(SEARCH(climate,C60)))&gt;0)</f>
        <v>0</v>
      </c>
      <c r="V60" s="14" cm="1">
        <f t="array" ref="V60">INT(SUMPRODUCT(--ISNUMBER(SEARCH(abortion,C60)))&gt;0)</f>
        <v>0</v>
      </c>
      <c r="W60" s="14" cm="1">
        <f t="array" ref="W60">INT(SUMPRODUCT(--ISNUMBER(SEARCH(trump,C60)))&gt;0)</f>
        <v>0</v>
      </c>
      <c r="X60" s="14" cm="1">
        <f t="array" ref="X60">INT(SUMPRODUCT(--ISNUMBER(SEARCH(voting,C60)))&gt;0)</f>
        <v>0</v>
      </c>
      <c r="Y60" s="35" cm="1">
        <f t="array" ref="Y60">INT(SUMPRODUCT(--ISNUMBER(SEARCH(republicantrigger,C60)))&gt;0)</f>
        <v>0</v>
      </c>
      <c r="Z60" s="35" cm="1">
        <f t="array" ref="Z60">INT(SUMPRODUCT(--ISNUMBER(SEARCH(bipartisan,C60)))&gt;0)</f>
        <v>0</v>
      </c>
      <c r="AA60" s="35">
        <f t="shared" si="0"/>
        <v>1</v>
      </c>
      <c r="AB60" s="14"/>
      <c r="AC60" s="30" t="s">
        <v>223</v>
      </c>
      <c r="AD60" s="37" t="s">
        <v>223</v>
      </c>
    </row>
    <row r="61" spans="1:30" x14ac:dyDescent="0.25">
      <c r="A61" s="36">
        <v>3601</v>
      </c>
      <c r="B61" s="14" t="s">
        <v>6956</v>
      </c>
      <c r="C61" s="14" t="s">
        <v>6957</v>
      </c>
      <c r="D61" s="17">
        <v>44130</v>
      </c>
      <c r="E61" s="14" t="s">
        <v>30</v>
      </c>
      <c r="F61" s="14">
        <v>999</v>
      </c>
      <c r="G61" s="14">
        <v>300</v>
      </c>
      <c r="H61" s="14">
        <v>17</v>
      </c>
      <c r="I61" s="14">
        <v>9</v>
      </c>
      <c r="J61" s="14" t="s">
        <v>31</v>
      </c>
      <c r="K61" s="14" cm="1">
        <f t="array" ref="K61">INT(SUMPRODUCT(--ISNUMBER(SEARCH(economy,C61)))&gt;0)</f>
        <v>0</v>
      </c>
      <c r="L61" s="14" cm="1">
        <f t="array" ref="L61">INT(SUMPRODUCT(--ISNUMBER(SEARCH(healthcare,C61)))&gt;0)</f>
        <v>0</v>
      </c>
      <c r="M61" s="14" cm="1">
        <f t="array" ref="M61">INT(SUMPRODUCT(--ISNUMBER(SEARCH(supreme,C61)))&gt;0)</f>
        <v>0</v>
      </c>
      <c r="N61" s="14" cm="1">
        <f t="array" ref="N61">INT(SUMPRODUCT(--ISNUMBER(SEARCH(covid,C61)))&gt;0)</f>
        <v>0</v>
      </c>
      <c r="O61" s="14" cm="1">
        <f t="array" ref="O61">INT(SUMPRODUCT(--ISNUMBER(SEARCH(violent,C61)))&gt;0)</f>
        <v>0</v>
      </c>
      <c r="P61" s="14" cm="1">
        <f t="array" ref="P61">INT(SUMPRODUCT(--ISNUMBER(SEARCH(foreign,C61)))&gt;0)</f>
        <v>0</v>
      </c>
      <c r="Q61" s="14" cm="1">
        <f t="array" ref="Q61">INT(SUMPRODUCT(--ISNUMBER(SEARCH(gun,C61)))&gt;0)</f>
        <v>0</v>
      </c>
      <c r="R61" s="14" cm="1">
        <f t="array" ref="R61">INT(SUMPRODUCT(--ISNUMBER(SEARCH(race,C61)))&gt;0)</f>
        <v>0</v>
      </c>
      <c r="S61" s="14" cm="1">
        <f t="array" ref="S61">INT(SUMPRODUCT(--ISNUMBER(SEARCH(immigration,C61)))&gt;0)</f>
        <v>0</v>
      </c>
      <c r="T61" s="14" cm="1">
        <f t="array" ref="T61">INT(SUMPRODUCT(--ISNUMBER(SEARCH(econineq,C62)))&gt;0)</f>
        <v>0</v>
      </c>
      <c r="U61" s="14" cm="1">
        <f t="array" ref="U61">INT(SUMPRODUCT(--ISNUMBER(SEARCH(climate,C61)))&gt;0)</f>
        <v>0</v>
      </c>
      <c r="V61" s="14" cm="1">
        <f t="array" ref="V61">INT(SUMPRODUCT(--ISNUMBER(SEARCH(abortion,C61)))&gt;0)</f>
        <v>0</v>
      </c>
      <c r="W61" s="14" cm="1">
        <f t="array" ref="W61">INT(SUMPRODUCT(--ISNUMBER(SEARCH(trump,C61)))&gt;0)</f>
        <v>0</v>
      </c>
      <c r="X61" s="14" cm="1">
        <f t="array" ref="X61">INT(SUMPRODUCT(--ISNUMBER(SEARCH(voting,C61)))&gt;0)</f>
        <v>0</v>
      </c>
      <c r="Y61" s="35" cm="1">
        <f t="array" ref="Y61">INT(SUMPRODUCT(--ISNUMBER(SEARCH(republicantrigger,C61)))&gt;0)</f>
        <v>0</v>
      </c>
      <c r="Z61" s="35" cm="1">
        <f t="array" ref="Z61">INT(SUMPRODUCT(--ISNUMBER(SEARCH(bipartisan,C61)))&gt;0)</f>
        <v>0</v>
      </c>
      <c r="AA61" s="35">
        <f t="shared" si="0"/>
        <v>1</v>
      </c>
      <c r="AB61" s="14"/>
      <c r="AC61" s="30" t="s">
        <v>223</v>
      </c>
      <c r="AD61" s="37" t="s">
        <v>223</v>
      </c>
    </row>
    <row r="62" spans="1:30" x14ac:dyDescent="0.25">
      <c r="A62" s="36">
        <v>3602</v>
      </c>
      <c r="B62" s="14" t="s">
        <v>6958</v>
      </c>
      <c r="C62" s="14" t="s">
        <v>6959</v>
      </c>
      <c r="D62" s="17">
        <v>44129</v>
      </c>
      <c r="E62" s="14" t="s">
        <v>30</v>
      </c>
      <c r="F62" s="14">
        <v>1059</v>
      </c>
      <c r="G62" s="14">
        <v>401</v>
      </c>
      <c r="H62" s="14">
        <v>17</v>
      </c>
      <c r="I62" s="14">
        <v>9</v>
      </c>
      <c r="J62" s="14" t="s">
        <v>31</v>
      </c>
      <c r="K62" s="14" cm="1">
        <f t="array" ref="K62">INT(SUMPRODUCT(--ISNUMBER(SEARCH(economy,C62)))&gt;0)</f>
        <v>0</v>
      </c>
      <c r="L62" s="14" cm="1">
        <f t="array" ref="L62">INT(SUMPRODUCT(--ISNUMBER(SEARCH(healthcare,C62)))&gt;0)</f>
        <v>0</v>
      </c>
      <c r="M62" s="14" cm="1">
        <f t="array" ref="M62">INT(SUMPRODUCT(--ISNUMBER(SEARCH(supreme,C62)))&gt;0)</f>
        <v>0</v>
      </c>
      <c r="N62" s="14" cm="1">
        <f t="array" ref="N62">INT(SUMPRODUCT(--ISNUMBER(SEARCH(covid,C62)))&gt;0)</f>
        <v>0</v>
      </c>
      <c r="O62" s="14" cm="1">
        <f t="array" ref="O62">INT(SUMPRODUCT(--ISNUMBER(SEARCH(violent,C62)))&gt;0)</f>
        <v>0</v>
      </c>
      <c r="P62" s="14" cm="1">
        <f t="array" ref="P62">INT(SUMPRODUCT(--ISNUMBER(SEARCH(foreign,C62)))&gt;0)</f>
        <v>0</v>
      </c>
      <c r="Q62" s="14" cm="1">
        <f t="array" ref="Q62">INT(SUMPRODUCT(--ISNUMBER(SEARCH(gun,C62)))&gt;0)</f>
        <v>0</v>
      </c>
      <c r="R62" s="14" cm="1">
        <f t="array" ref="R62">INT(SUMPRODUCT(--ISNUMBER(SEARCH(race,C62)))&gt;0)</f>
        <v>0</v>
      </c>
      <c r="S62" s="14" cm="1">
        <f t="array" ref="S62">INT(SUMPRODUCT(--ISNUMBER(SEARCH(immigration,C62)))&gt;0)</f>
        <v>0</v>
      </c>
      <c r="T62" s="14" cm="1">
        <f t="array" ref="T62">INT(SUMPRODUCT(--ISNUMBER(SEARCH(econineq,C63)))&gt;0)</f>
        <v>0</v>
      </c>
      <c r="U62" s="14" cm="1">
        <f t="array" ref="U62">INT(SUMPRODUCT(--ISNUMBER(SEARCH(climate,C62)))&gt;0)</f>
        <v>0</v>
      </c>
      <c r="V62" s="14" cm="1">
        <f t="array" ref="V62">INT(SUMPRODUCT(--ISNUMBER(SEARCH(abortion,C62)))&gt;0)</f>
        <v>0</v>
      </c>
      <c r="W62" s="14" cm="1">
        <f t="array" ref="W62">INT(SUMPRODUCT(--ISNUMBER(SEARCH(trump,C62)))&gt;0)</f>
        <v>0</v>
      </c>
      <c r="X62" s="14" cm="1">
        <f t="array" ref="X62">INT(SUMPRODUCT(--ISNUMBER(SEARCH(voting,C62)))&gt;0)</f>
        <v>1</v>
      </c>
      <c r="Y62" s="35" cm="1">
        <f t="array" ref="Y62">INT(SUMPRODUCT(--ISNUMBER(SEARCH(republicantrigger,C62)))&gt;0)</f>
        <v>1</v>
      </c>
      <c r="Z62" s="35" cm="1">
        <f t="array" ref="Z62">INT(SUMPRODUCT(--ISNUMBER(SEARCH(bipartisan,C62)))&gt;0)</f>
        <v>0</v>
      </c>
      <c r="AA62" s="35">
        <f t="shared" si="0"/>
        <v>0</v>
      </c>
      <c r="AB62" s="14"/>
      <c r="AC62" s="30" t="s">
        <v>223</v>
      </c>
      <c r="AD62" s="37" t="s">
        <v>223</v>
      </c>
    </row>
    <row r="63" spans="1:30" x14ac:dyDescent="0.25">
      <c r="A63" s="36">
        <v>3603</v>
      </c>
      <c r="B63" s="14" t="s">
        <v>6960</v>
      </c>
      <c r="C63" s="14" t="s">
        <v>6961</v>
      </c>
      <c r="D63" s="17">
        <v>44129</v>
      </c>
      <c r="E63" s="14" t="s">
        <v>30</v>
      </c>
      <c r="F63" s="14">
        <v>465</v>
      </c>
      <c r="G63" s="14">
        <v>120</v>
      </c>
      <c r="H63" s="14">
        <v>17</v>
      </c>
      <c r="I63" s="14">
        <v>9</v>
      </c>
      <c r="J63" s="14" t="s">
        <v>31</v>
      </c>
      <c r="K63" s="14" cm="1">
        <f t="array" ref="K63">INT(SUMPRODUCT(--ISNUMBER(SEARCH(economy,C63)))&gt;0)</f>
        <v>0</v>
      </c>
      <c r="L63" s="14" cm="1">
        <f t="array" ref="L63">INT(SUMPRODUCT(--ISNUMBER(SEARCH(healthcare,C63)))&gt;0)</f>
        <v>0</v>
      </c>
      <c r="M63" s="14" cm="1">
        <f t="array" ref="M63">INT(SUMPRODUCT(--ISNUMBER(SEARCH(supreme,C63)))&gt;0)</f>
        <v>0</v>
      </c>
      <c r="N63" s="14" cm="1">
        <f t="array" ref="N63">INT(SUMPRODUCT(--ISNUMBER(SEARCH(covid,C63)))&gt;0)</f>
        <v>0</v>
      </c>
      <c r="O63" s="14" cm="1">
        <f t="array" ref="O63">INT(SUMPRODUCT(--ISNUMBER(SEARCH(violent,C63)))&gt;0)</f>
        <v>0</v>
      </c>
      <c r="P63" s="14" cm="1">
        <f t="array" ref="P63">INT(SUMPRODUCT(--ISNUMBER(SEARCH(foreign,C63)))&gt;0)</f>
        <v>0</v>
      </c>
      <c r="Q63" s="14" cm="1">
        <f t="array" ref="Q63">INT(SUMPRODUCT(--ISNUMBER(SEARCH(gun,C63)))&gt;0)</f>
        <v>0</v>
      </c>
      <c r="R63" s="14" cm="1">
        <f t="array" ref="R63">INT(SUMPRODUCT(--ISNUMBER(SEARCH(race,C63)))&gt;0)</f>
        <v>0</v>
      </c>
      <c r="S63" s="14" cm="1">
        <f t="array" ref="S63">INT(SUMPRODUCT(--ISNUMBER(SEARCH(immigration,C63)))&gt;0)</f>
        <v>0</v>
      </c>
      <c r="T63" s="14" cm="1">
        <f t="array" ref="T63">INT(SUMPRODUCT(--ISNUMBER(SEARCH(econineq,C64)))&gt;0)</f>
        <v>0</v>
      </c>
      <c r="U63" s="14" cm="1">
        <f t="array" ref="U63">INT(SUMPRODUCT(--ISNUMBER(SEARCH(climate,C63)))&gt;0)</f>
        <v>1</v>
      </c>
      <c r="V63" s="14" cm="1">
        <f t="array" ref="V63">INT(SUMPRODUCT(--ISNUMBER(SEARCH(abortion,C63)))&gt;0)</f>
        <v>0</v>
      </c>
      <c r="W63" s="14" cm="1">
        <f t="array" ref="W63">INT(SUMPRODUCT(--ISNUMBER(SEARCH(trump,C63)))&gt;0)</f>
        <v>0</v>
      </c>
      <c r="X63" s="14" cm="1">
        <f t="array" ref="X63">INT(SUMPRODUCT(--ISNUMBER(SEARCH(voting,C63)))&gt;0)</f>
        <v>0</v>
      </c>
      <c r="Y63" s="35" cm="1">
        <f t="array" ref="Y63">INT(SUMPRODUCT(--ISNUMBER(SEARCH(republicantrigger,C63)))&gt;0)</f>
        <v>0</v>
      </c>
      <c r="Z63" s="35" cm="1">
        <f t="array" ref="Z63">INT(SUMPRODUCT(--ISNUMBER(SEARCH(bipartisan,C63)))&gt;0)</f>
        <v>0</v>
      </c>
      <c r="AA63" s="35">
        <f t="shared" si="0"/>
        <v>0</v>
      </c>
      <c r="AB63" s="14"/>
      <c r="AC63" s="30" t="s">
        <v>223</v>
      </c>
      <c r="AD63" s="37" t="s">
        <v>223</v>
      </c>
    </row>
    <row r="64" spans="1:30" x14ac:dyDescent="0.25">
      <c r="A64" s="36">
        <v>3604</v>
      </c>
      <c r="B64" s="14" t="s">
        <v>6962</v>
      </c>
      <c r="C64" s="14" t="s">
        <v>6963</v>
      </c>
      <c r="D64" s="17">
        <v>44129</v>
      </c>
      <c r="E64" s="14" t="s">
        <v>30</v>
      </c>
      <c r="F64" s="14">
        <v>535</v>
      </c>
      <c r="G64" s="14">
        <v>153</v>
      </c>
      <c r="H64" s="14">
        <v>17</v>
      </c>
      <c r="I64" s="14">
        <v>9</v>
      </c>
      <c r="J64" s="14" t="s">
        <v>31</v>
      </c>
      <c r="K64" s="14" cm="1">
        <f t="array" ref="K64">INT(SUMPRODUCT(--ISNUMBER(SEARCH(economy,C64)))&gt;0)</f>
        <v>1</v>
      </c>
      <c r="L64" s="14" cm="1">
        <f t="array" ref="L64">INT(SUMPRODUCT(--ISNUMBER(SEARCH(healthcare,C64)))&gt;0)</f>
        <v>0</v>
      </c>
      <c r="M64" s="14" cm="1">
        <f t="array" ref="M64">INT(SUMPRODUCT(--ISNUMBER(SEARCH(supreme,C64)))&gt;0)</f>
        <v>0</v>
      </c>
      <c r="N64" s="14" cm="1">
        <f t="array" ref="N64">INT(SUMPRODUCT(--ISNUMBER(SEARCH(covid,C64)))&gt;0)</f>
        <v>0</v>
      </c>
      <c r="O64" s="14" cm="1">
        <f t="array" ref="O64">INT(SUMPRODUCT(--ISNUMBER(SEARCH(violent,C64)))&gt;0)</f>
        <v>0</v>
      </c>
      <c r="P64" s="14" cm="1">
        <f t="array" ref="P64">INT(SUMPRODUCT(--ISNUMBER(SEARCH(foreign,C64)))&gt;0)</f>
        <v>0</v>
      </c>
      <c r="Q64" s="14" cm="1">
        <f t="array" ref="Q64">INT(SUMPRODUCT(--ISNUMBER(SEARCH(gun,C64)))&gt;0)</f>
        <v>0</v>
      </c>
      <c r="R64" s="14" cm="1">
        <f t="array" ref="R64">INT(SUMPRODUCT(--ISNUMBER(SEARCH(race,C64)))&gt;0)</f>
        <v>0</v>
      </c>
      <c r="S64" s="14" cm="1">
        <f t="array" ref="S64">INT(SUMPRODUCT(--ISNUMBER(SEARCH(immigration,C64)))&gt;0)</f>
        <v>0</v>
      </c>
      <c r="T64" s="14" cm="1">
        <f t="array" ref="T64">INT(SUMPRODUCT(--ISNUMBER(SEARCH(econineq,C65)))&gt;0)</f>
        <v>0</v>
      </c>
      <c r="U64" s="14" cm="1">
        <f t="array" ref="U64">INT(SUMPRODUCT(--ISNUMBER(SEARCH(climate,C64)))&gt;0)</f>
        <v>1</v>
      </c>
      <c r="V64" s="14" cm="1">
        <f t="array" ref="V64">INT(SUMPRODUCT(--ISNUMBER(SEARCH(abortion,C64)))&gt;0)</f>
        <v>0</v>
      </c>
      <c r="W64" s="14" cm="1">
        <f t="array" ref="W64">INT(SUMPRODUCT(--ISNUMBER(SEARCH(trump,C64)))&gt;0)</f>
        <v>0</v>
      </c>
      <c r="X64" s="14" cm="1">
        <f t="array" ref="X64">INT(SUMPRODUCT(--ISNUMBER(SEARCH(voting,C64)))&gt;0)</f>
        <v>0</v>
      </c>
      <c r="Y64" s="35" cm="1">
        <f t="array" ref="Y64">INT(SUMPRODUCT(--ISNUMBER(SEARCH(republicantrigger,C64)))&gt;0)</f>
        <v>0</v>
      </c>
      <c r="Z64" s="35" cm="1">
        <f t="array" ref="Z64">INT(SUMPRODUCT(--ISNUMBER(SEARCH(bipartisan,C64)))&gt;0)</f>
        <v>0</v>
      </c>
      <c r="AA64" s="35">
        <f t="shared" si="0"/>
        <v>0</v>
      </c>
      <c r="AB64" s="14"/>
      <c r="AC64" s="30" t="s">
        <v>223</v>
      </c>
      <c r="AD64" s="37" t="s">
        <v>223</v>
      </c>
    </row>
    <row r="65" spans="1:30" x14ac:dyDescent="0.25">
      <c r="A65" s="36">
        <v>3605</v>
      </c>
      <c r="B65" s="14" t="s">
        <v>6964</v>
      </c>
      <c r="C65" s="14" t="s">
        <v>6965</v>
      </c>
      <c r="D65" s="17">
        <v>44129</v>
      </c>
      <c r="E65" s="14" t="s">
        <v>30</v>
      </c>
      <c r="F65" s="14">
        <v>608</v>
      </c>
      <c r="G65" s="14">
        <v>254</v>
      </c>
      <c r="H65" s="14">
        <v>17</v>
      </c>
      <c r="I65" s="14">
        <v>9</v>
      </c>
      <c r="J65" s="14" t="s">
        <v>31</v>
      </c>
      <c r="K65" s="14" cm="1">
        <f t="array" ref="K65">INT(SUMPRODUCT(--ISNUMBER(SEARCH(economy,C65)))&gt;0)</f>
        <v>0</v>
      </c>
      <c r="L65" s="14" cm="1">
        <f t="array" ref="L65">INT(SUMPRODUCT(--ISNUMBER(SEARCH(healthcare,C65)))&gt;0)</f>
        <v>0</v>
      </c>
      <c r="M65" s="14" cm="1">
        <f t="array" ref="M65">INT(SUMPRODUCT(--ISNUMBER(SEARCH(supreme,C65)))&gt;0)</f>
        <v>0</v>
      </c>
      <c r="N65" s="14" cm="1">
        <f t="array" ref="N65">INT(SUMPRODUCT(--ISNUMBER(SEARCH(covid,C65)))&gt;0)</f>
        <v>1</v>
      </c>
      <c r="O65" s="14" cm="1">
        <f t="array" ref="O65">INT(SUMPRODUCT(--ISNUMBER(SEARCH(violent,C65)))&gt;0)</f>
        <v>0</v>
      </c>
      <c r="P65" s="14" cm="1">
        <f t="array" ref="P65">INT(SUMPRODUCT(--ISNUMBER(SEARCH(foreign,C65)))&gt;0)</f>
        <v>0</v>
      </c>
      <c r="Q65" s="14" cm="1">
        <f t="array" ref="Q65">INT(SUMPRODUCT(--ISNUMBER(SEARCH(gun,C65)))&gt;0)</f>
        <v>0</v>
      </c>
      <c r="R65" s="14" cm="1">
        <f t="array" ref="R65">INT(SUMPRODUCT(--ISNUMBER(SEARCH(race,C65)))&gt;0)</f>
        <v>0</v>
      </c>
      <c r="S65" s="14" cm="1">
        <f t="array" ref="S65">INT(SUMPRODUCT(--ISNUMBER(SEARCH(immigration,C65)))&gt;0)</f>
        <v>0</v>
      </c>
      <c r="T65" s="14" cm="1">
        <f t="array" ref="T65">INT(SUMPRODUCT(--ISNUMBER(SEARCH(econineq,C66)))&gt;0)</f>
        <v>0</v>
      </c>
      <c r="U65" s="14" cm="1">
        <f t="array" ref="U65">INT(SUMPRODUCT(--ISNUMBER(SEARCH(climate,C65)))&gt;0)</f>
        <v>0</v>
      </c>
      <c r="V65" s="14" cm="1">
        <f t="array" ref="V65">INT(SUMPRODUCT(--ISNUMBER(SEARCH(abortion,C65)))&gt;0)</f>
        <v>0</v>
      </c>
      <c r="W65" s="14" cm="1">
        <f t="array" ref="W65">INT(SUMPRODUCT(--ISNUMBER(SEARCH(trump,C65)))&gt;0)</f>
        <v>0</v>
      </c>
      <c r="X65" s="14" cm="1">
        <f t="array" ref="X65">INT(SUMPRODUCT(--ISNUMBER(SEARCH(voting,C65)))&gt;0)</f>
        <v>0</v>
      </c>
      <c r="Y65" s="35" cm="1">
        <f t="array" ref="Y65">INT(SUMPRODUCT(--ISNUMBER(SEARCH(republicantrigger,C65)))&gt;0)</f>
        <v>1</v>
      </c>
      <c r="Z65" s="35" cm="1">
        <f t="array" ref="Z65">INT(SUMPRODUCT(--ISNUMBER(SEARCH(bipartisan,C65)))&gt;0)</f>
        <v>0</v>
      </c>
      <c r="AA65" s="35">
        <f t="shared" si="0"/>
        <v>0</v>
      </c>
      <c r="AB65" s="14"/>
      <c r="AC65" s="30" t="s">
        <v>223</v>
      </c>
      <c r="AD65" s="37" t="s">
        <v>223</v>
      </c>
    </row>
    <row r="66" spans="1:30" x14ac:dyDescent="0.25">
      <c r="A66" s="36">
        <v>3606</v>
      </c>
      <c r="B66" s="14" t="s">
        <v>6966</v>
      </c>
      <c r="C66" s="14" t="s">
        <v>6967</v>
      </c>
      <c r="D66" s="17">
        <v>44129</v>
      </c>
      <c r="E66" s="14" t="s">
        <v>70</v>
      </c>
      <c r="F66" s="14">
        <v>97</v>
      </c>
      <c r="G66" s="14">
        <v>18</v>
      </c>
      <c r="H66" s="14">
        <v>17</v>
      </c>
      <c r="I66" s="14">
        <v>9</v>
      </c>
      <c r="J66" s="14" t="s">
        <v>31</v>
      </c>
      <c r="K66" s="14" cm="1">
        <f t="array" ref="K66">INT(SUMPRODUCT(--ISNUMBER(SEARCH(economy,C66)))&gt;0)</f>
        <v>0</v>
      </c>
      <c r="L66" s="14" cm="1">
        <f t="array" ref="L66">INT(SUMPRODUCT(--ISNUMBER(SEARCH(healthcare,C66)))&gt;0)</f>
        <v>0</v>
      </c>
      <c r="M66" s="14" cm="1">
        <f t="array" ref="M66">INT(SUMPRODUCT(--ISNUMBER(SEARCH(supreme,C66)))&gt;0)</f>
        <v>1</v>
      </c>
      <c r="N66" s="14" cm="1">
        <f t="array" ref="N66">INT(SUMPRODUCT(--ISNUMBER(SEARCH(covid,C66)))&gt;0)</f>
        <v>0</v>
      </c>
      <c r="O66" s="14" cm="1">
        <f t="array" ref="O66">INT(SUMPRODUCT(--ISNUMBER(SEARCH(violent,C66)))&gt;0)</f>
        <v>0</v>
      </c>
      <c r="P66" s="14" cm="1">
        <f t="array" ref="P66">INT(SUMPRODUCT(--ISNUMBER(SEARCH(foreign,C66)))&gt;0)</f>
        <v>0</v>
      </c>
      <c r="Q66" s="14" cm="1">
        <f t="array" ref="Q66">INT(SUMPRODUCT(--ISNUMBER(SEARCH(gun,C66)))&gt;0)</f>
        <v>0</v>
      </c>
      <c r="R66" s="14" cm="1">
        <f t="array" ref="R66">INT(SUMPRODUCT(--ISNUMBER(SEARCH(race,C66)))&gt;0)</f>
        <v>0</v>
      </c>
      <c r="S66" s="14" cm="1">
        <f t="array" ref="S66">INT(SUMPRODUCT(--ISNUMBER(SEARCH(immigration,C66)))&gt;0)</f>
        <v>0</v>
      </c>
      <c r="T66" s="14" cm="1">
        <f t="array" ref="T66">INT(SUMPRODUCT(--ISNUMBER(SEARCH(econineq,C67)))&gt;0)</f>
        <v>0</v>
      </c>
      <c r="U66" s="14" cm="1">
        <f t="array" ref="U66">INT(SUMPRODUCT(--ISNUMBER(SEARCH(climate,C66)))&gt;0)</f>
        <v>0</v>
      </c>
      <c r="V66" s="14" cm="1">
        <f t="array" ref="V66">INT(SUMPRODUCT(--ISNUMBER(SEARCH(abortion,C66)))&gt;0)</f>
        <v>0</v>
      </c>
      <c r="W66" s="14" cm="1">
        <f t="array" ref="W66">INT(SUMPRODUCT(--ISNUMBER(SEARCH(trump,C66)))&gt;0)</f>
        <v>0</v>
      </c>
      <c r="X66" s="14" cm="1">
        <f t="array" ref="X66">INT(SUMPRODUCT(--ISNUMBER(SEARCH(voting,C66)))&gt;0)</f>
        <v>0</v>
      </c>
      <c r="Y66" s="35" cm="1">
        <f t="array" ref="Y66">INT(SUMPRODUCT(--ISNUMBER(SEARCH(republicantrigger,C66)))&gt;0)</f>
        <v>1</v>
      </c>
      <c r="Z66" s="35" cm="1">
        <f t="array" ref="Z66">INT(SUMPRODUCT(--ISNUMBER(SEARCH(bipartisan,C66)))&gt;0)</f>
        <v>0</v>
      </c>
      <c r="AA66" s="35">
        <f t="shared" si="0"/>
        <v>0</v>
      </c>
      <c r="AB66" s="14"/>
      <c r="AC66" s="30" t="s">
        <v>223</v>
      </c>
      <c r="AD66" s="37" t="s">
        <v>223</v>
      </c>
    </row>
    <row r="67" spans="1:30" x14ac:dyDescent="0.25">
      <c r="A67" s="36">
        <v>3607</v>
      </c>
      <c r="B67" s="14" t="s">
        <v>6968</v>
      </c>
      <c r="C67" s="14" t="s">
        <v>6969</v>
      </c>
      <c r="D67" s="17">
        <v>44129</v>
      </c>
      <c r="E67" s="14" t="s">
        <v>70</v>
      </c>
      <c r="F67" s="14">
        <v>115</v>
      </c>
      <c r="G67" s="14">
        <v>16</v>
      </c>
      <c r="H67" s="14">
        <v>17</v>
      </c>
      <c r="I67" s="14">
        <v>9</v>
      </c>
      <c r="J67" s="14" t="s">
        <v>31</v>
      </c>
      <c r="K67" s="14" cm="1">
        <f t="array" ref="K67">INT(SUMPRODUCT(--ISNUMBER(SEARCH(economy,C67)))&gt;0)</f>
        <v>0</v>
      </c>
      <c r="L67" s="14" cm="1">
        <f t="array" ref="L67">INT(SUMPRODUCT(--ISNUMBER(SEARCH(healthcare,C67)))&gt;0)</f>
        <v>0</v>
      </c>
      <c r="M67" s="14" cm="1">
        <f t="array" ref="M67">INT(SUMPRODUCT(--ISNUMBER(SEARCH(supreme,C67)))&gt;0)</f>
        <v>1</v>
      </c>
      <c r="N67" s="14" cm="1">
        <f t="array" ref="N67">INT(SUMPRODUCT(--ISNUMBER(SEARCH(covid,C67)))&gt;0)</f>
        <v>0</v>
      </c>
      <c r="O67" s="14" cm="1">
        <f t="array" ref="O67">INT(SUMPRODUCT(--ISNUMBER(SEARCH(violent,C67)))&gt;0)</f>
        <v>0</v>
      </c>
      <c r="P67" s="14" cm="1">
        <f t="array" ref="P67">INT(SUMPRODUCT(--ISNUMBER(SEARCH(foreign,C67)))&gt;0)</f>
        <v>0</v>
      </c>
      <c r="Q67" s="14" cm="1">
        <f t="array" ref="Q67">INT(SUMPRODUCT(--ISNUMBER(SEARCH(gun,C67)))&gt;0)</f>
        <v>0</v>
      </c>
      <c r="R67" s="14" cm="1">
        <f t="array" ref="R67">INT(SUMPRODUCT(--ISNUMBER(SEARCH(race,C67)))&gt;0)</f>
        <v>0</v>
      </c>
      <c r="S67" s="14" cm="1">
        <f t="array" ref="S67">INT(SUMPRODUCT(--ISNUMBER(SEARCH(immigration,C67)))&gt;0)</f>
        <v>0</v>
      </c>
      <c r="T67" s="14" cm="1">
        <f t="array" ref="T67">INT(SUMPRODUCT(--ISNUMBER(SEARCH(econineq,C68)))&gt;0)</f>
        <v>0</v>
      </c>
      <c r="U67" s="14" cm="1">
        <f t="array" ref="U67">INT(SUMPRODUCT(--ISNUMBER(SEARCH(climate,C67)))&gt;0)</f>
        <v>0</v>
      </c>
      <c r="V67" s="14" cm="1">
        <f t="array" ref="V67">INT(SUMPRODUCT(--ISNUMBER(SEARCH(abortion,C67)))&gt;0)</f>
        <v>0</v>
      </c>
      <c r="W67" s="14" cm="1">
        <f t="array" ref="W67">INT(SUMPRODUCT(--ISNUMBER(SEARCH(trump,C67)))&gt;0)</f>
        <v>0</v>
      </c>
      <c r="X67" s="14" cm="1">
        <f t="array" ref="X67">INT(SUMPRODUCT(--ISNUMBER(SEARCH(voting,C67)))&gt;0)</f>
        <v>0</v>
      </c>
      <c r="Y67" s="35" cm="1">
        <f t="array" ref="Y67">INT(SUMPRODUCT(--ISNUMBER(SEARCH(republicantrigger,C67)))&gt;0)</f>
        <v>0</v>
      </c>
      <c r="Z67" s="35" cm="1">
        <f t="array" ref="Z67">INT(SUMPRODUCT(--ISNUMBER(SEARCH(bipartisan,C67)))&gt;0)</f>
        <v>0</v>
      </c>
      <c r="AA67" s="35">
        <f t="shared" ref="AA67:AA130" si="1">INT(IF(COUNTIF(K67:Z67,1)=0,"1","0"))</f>
        <v>0</v>
      </c>
      <c r="AB67" s="14"/>
      <c r="AC67" s="30" t="s">
        <v>223</v>
      </c>
      <c r="AD67" s="37" t="s">
        <v>223</v>
      </c>
    </row>
    <row r="68" spans="1:30" x14ac:dyDescent="0.25">
      <c r="A68" s="36">
        <v>3608</v>
      </c>
      <c r="B68" s="14" t="s">
        <v>6970</v>
      </c>
      <c r="C68" s="14" t="s">
        <v>6971</v>
      </c>
      <c r="D68" s="17">
        <v>44129</v>
      </c>
      <c r="E68" s="14" t="s">
        <v>30</v>
      </c>
      <c r="F68" s="14">
        <v>135</v>
      </c>
      <c r="G68" s="14">
        <v>30</v>
      </c>
      <c r="H68" s="14">
        <v>17</v>
      </c>
      <c r="I68" s="14">
        <v>9</v>
      </c>
      <c r="J68" s="14" t="s">
        <v>31</v>
      </c>
      <c r="K68" s="14" cm="1">
        <f t="array" ref="K68">INT(SUMPRODUCT(--ISNUMBER(SEARCH(economy,C68)))&gt;0)</f>
        <v>0</v>
      </c>
      <c r="L68" s="14" cm="1">
        <f t="array" ref="L68">INT(SUMPRODUCT(--ISNUMBER(SEARCH(healthcare,C68)))&gt;0)</f>
        <v>0</v>
      </c>
      <c r="M68" s="14" cm="1">
        <f t="array" ref="M68">INT(SUMPRODUCT(--ISNUMBER(SEARCH(supreme,C68)))&gt;0)</f>
        <v>0</v>
      </c>
      <c r="N68" s="14" cm="1">
        <f t="array" ref="N68">INT(SUMPRODUCT(--ISNUMBER(SEARCH(covid,C68)))&gt;0)</f>
        <v>0</v>
      </c>
      <c r="O68" s="14" cm="1">
        <f t="array" ref="O68">INT(SUMPRODUCT(--ISNUMBER(SEARCH(violent,C68)))&gt;0)</f>
        <v>0</v>
      </c>
      <c r="P68" s="14" cm="1">
        <f t="array" ref="P68">INT(SUMPRODUCT(--ISNUMBER(SEARCH(foreign,C68)))&gt;0)</f>
        <v>0</v>
      </c>
      <c r="Q68" s="14" cm="1">
        <f t="array" ref="Q68">INT(SUMPRODUCT(--ISNUMBER(SEARCH(gun,C68)))&gt;0)</f>
        <v>0</v>
      </c>
      <c r="R68" s="14" cm="1">
        <f t="array" ref="R68">INT(SUMPRODUCT(--ISNUMBER(SEARCH(race,C68)))&gt;0)</f>
        <v>1</v>
      </c>
      <c r="S68" s="14" cm="1">
        <f t="array" ref="S68">INT(SUMPRODUCT(--ISNUMBER(SEARCH(immigration,C68)))&gt;0)</f>
        <v>0</v>
      </c>
      <c r="T68" s="14" cm="1">
        <f t="array" ref="T68">INT(SUMPRODUCT(--ISNUMBER(SEARCH(econineq,C69)))&gt;0)</f>
        <v>0</v>
      </c>
      <c r="U68" s="14" cm="1">
        <f t="array" ref="U68">INT(SUMPRODUCT(--ISNUMBER(SEARCH(climate,C68)))&gt;0)</f>
        <v>0</v>
      </c>
      <c r="V68" s="14" cm="1">
        <f t="array" ref="V68">INT(SUMPRODUCT(--ISNUMBER(SEARCH(abortion,C68)))&gt;0)</f>
        <v>0</v>
      </c>
      <c r="W68" s="14" cm="1">
        <f t="array" ref="W68">INT(SUMPRODUCT(--ISNUMBER(SEARCH(trump,C68)))&gt;0)</f>
        <v>1</v>
      </c>
      <c r="X68" s="14" cm="1">
        <f t="array" ref="X68">INT(SUMPRODUCT(--ISNUMBER(SEARCH(voting,C68)))&gt;0)</f>
        <v>0</v>
      </c>
      <c r="Y68" s="35" cm="1">
        <f t="array" ref="Y68">INT(SUMPRODUCT(--ISNUMBER(SEARCH(republicantrigger,C68)))&gt;0)</f>
        <v>0</v>
      </c>
      <c r="Z68" s="35" cm="1">
        <f t="array" ref="Z68">INT(SUMPRODUCT(--ISNUMBER(SEARCH(bipartisan,C68)))&gt;0)</f>
        <v>0</v>
      </c>
      <c r="AA68" s="35">
        <f t="shared" si="1"/>
        <v>0</v>
      </c>
      <c r="AB68" s="14"/>
      <c r="AC68" s="30" t="s">
        <v>223</v>
      </c>
      <c r="AD68" s="37" t="s">
        <v>223</v>
      </c>
    </row>
    <row r="69" spans="1:30" x14ac:dyDescent="0.25">
      <c r="A69" s="36">
        <v>3609</v>
      </c>
      <c r="B69" s="14" t="s">
        <v>6972</v>
      </c>
      <c r="C69" s="14" t="s">
        <v>6973</v>
      </c>
      <c r="D69" s="17">
        <v>44129</v>
      </c>
      <c r="E69" s="14" t="s">
        <v>30</v>
      </c>
      <c r="F69" s="14">
        <v>2086</v>
      </c>
      <c r="G69" s="14">
        <v>417</v>
      </c>
      <c r="H69" s="14">
        <v>17</v>
      </c>
      <c r="I69" s="14">
        <v>9</v>
      </c>
      <c r="J69" s="14" t="s">
        <v>31</v>
      </c>
      <c r="K69" s="14" cm="1">
        <f t="array" ref="K69">INT(SUMPRODUCT(--ISNUMBER(SEARCH(economy,C69)))&gt;0)</f>
        <v>0</v>
      </c>
      <c r="L69" s="14" cm="1">
        <f t="array" ref="L69">INT(SUMPRODUCT(--ISNUMBER(SEARCH(healthcare,C69)))&gt;0)</f>
        <v>0</v>
      </c>
      <c r="M69" s="14" cm="1">
        <f t="array" ref="M69">INT(SUMPRODUCT(--ISNUMBER(SEARCH(supreme,C69)))&gt;0)</f>
        <v>0</v>
      </c>
      <c r="N69" s="14" cm="1">
        <f t="array" ref="N69">INT(SUMPRODUCT(--ISNUMBER(SEARCH(covid,C69)))&gt;0)</f>
        <v>0</v>
      </c>
      <c r="O69" s="14" cm="1">
        <f t="array" ref="O69">INT(SUMPRODUCT(--ISNUMBER(SEARCH(violent,C69)))&gt;0)</f>
        <v>0</v>
      </c>
      <c r="P69" s="14" cm="1">
        <f t="array" ref="P69">INT(SUMPRODUCT(--ISNUMBER(SEARCH(foreign,C69)))&gt;0)</f>
        <v>0</v>
      </c>
      <c r="Q69" s="14" cm="1">
        <f t="array" ref="Q69">INT(SUMPRODUCT(--ISNUMBER(SEARCH(gun,C69)))&gt;0)</f>
        <v>0</v>
      </c>
      <c r="R69" s="14" cm="1">
        <f t="array" ref="R69">INT(SUMPRODUCT(--ISNUMBER(SEARCH(race,C69)))&gt;0)</f>
        <v>0</v>
      </c>
      <c r="S69" s="14" cm="1">
        <f t="array" ref="S69">INT(SUMPRODUCT(--ISNUMBER(SEARCH(immigration,C69)))&gt;0)</f>
        <v>0</v>
      </c>
      <c r="T69" s="14" cm="1">
        <f t="array" ref="T69">INT(SUMPRODUCT(--ISNUMBER(SEARCH(econineq,C70)))&gt;0)</f>
        <v>0</v>
      </c>
      <c r="U69" s="14" cm="1">
        <f t="array" ref="U69">INT(SUMPRODUCT(--ISNUMBER(SEARCH(climate,C69)))&gt;0)</f>
        <v>0</v>
      </c>
      <c r="V69" s="14" cm="1">
        <f t="array" ref="V69">INT(SUMPRODUCT(--ISNUMBER(SEARCH(abortion,C69)))&gt;0)</f>
        <v>0</v>
      </c>
      <c r="W69" s="14" cm="1">
        <f t="array" ref="W69">INT(SUMPRODUCT(--ISNUMBER(SEARCH(trump,C69)))&gt;0)</f>
        <v>0</v>
      </c>
      <c r="X69" s="14" cm="1">
        <f t="array" ref="X69">INT(SUMPRODUCT(--ISNUMBER(SEARCH(voting,C69)))&gt;0)</f>
        <v>0</v>
      </c>
      <c r="Y69" s="35" cm="1">
        <f t="array" ref="Y69">INT(SUMPRODUCT(--ISNUMBER(SEARCH(republicantrigger,C69)))&gt;0)</f>
        <v>0</v>
      </c>
      <c r="Z69" s="35" cm="1">
        <f t="array" ref="Z69">INT(SUMPRODUCT(--ISNUMBER(SEARCH(bipartisan,C69)))&gt;0)</f>
        <v>0</v>
      </c>
      <c r="AA69" s="35">
        <f t="shared" si="1"/>
        <v>1</v>
      </c>
      <c r="AB69" s="14"/>
      <c r="AC69" s="30">
        <v>1</v>
      </c>
      <c r="AD69" s="37">
        <v>0</v>
      </c>
    </row>
    <row r="70" spans="1:30" x14ac:dyDescent="0.25">
      <c r="A70" s="36">
        <v>3610</v>
      </c>
      <c r="B70" s="14" t="s">
        <v>6974</v>
      </c>
      <c r="C70" s="14" t="s">
        <v>6975</v>
      </c>
      <c r="D70" s="17">
        <v>44129</v>
      </c>
      <c r="E70" s="14" t="s">
        <v>30</v>
      </c>
      <c r="F70" s="14">
        <v>123</v>
      </c>
      <c r="G70" s="14">
        <v>45</v>
      </c>
      <c r="H70" s="14">
        <v>17</v>
      </c>
      <c r="I70" s="14">
        <v>9</v>
      </c>
      <c r="J70" s="14" t="s">
        <v>31</v>
      </c>
      <c r="K70" s="14" cm="1">
        <f t="array" ref="K70">INT(SUMPRODUCT(--ISNUMBER(SEARCH(economy,C70)))&gt;0)</f>
        <v>0</v>
      </c>
      <c r="L70" s="14" cm="1">
        <f t="array" ref="L70">INT(SUMPRODUCT(--ISNUMBER(SEARCH(healthcare,C70)))&gt;0)</f>
        <v>0</v>
      </c>
      <c r="M70" s="14" cm="1">
        <f t="array" ref="M70">INT(SUMPRODUCT(--ISNUMBER(SEARCH(supreme,C70)))&gt;0)</f>
        <v>0</v>
      </c>
      <c r="N70" s="14" cm="1">
        <f t="array" ref="N70">INT(SUMPRODUCT(--ISNUMBER(SEARCH(covid,C70)))&gt;0)</f>
        <v>0</v>
      </c>
      <c r="O70" s="14" cm="1">
        <f t="array" ref="O70">INT(SUMPRODUCT(--ISNUMBER(SEARCH(violent,C70)))&gt;0)</f>
        <v>0</v>
      </c>
      <c r="P70" s="14" cm="1">
        <f t="array" ref="P70">INT(SUMPRODUCT(--ISNUMBER(SEARCH(foreign,C70)))&gt;0)</f>
        <v>1</v>
      </c>
      <c r="Q70" s="14" cm="1">
        <f t="array" ref="Q70">INT(SUMPRODUCT(--ISNUMBER(SEARCH(gun,C70)))&gt;0)</f>
        <v>0</v>
      </c>
      <c r="R70" s="14" cm="1">
        <f t="array" ref="R70">INT(SUMPRODUCT(--ISNUMBER(SEARCH(race,C70)))&gt;0)</f>
        <v>0</v>
      </c>
      <c r="S70" s="14" cm="1">
        <f t="array" ref="S70">INT(SUMPRODUCT(--ISNUMBER(SEARCH(immigration,C70)))&gt;0)</f>
        <v>0</v>
      </c>
      <c r="T70" s="14" cm="1">
        <f t="array" ref="T70">INT(SUMPRODUCT(--ISNUMBER(SEARCH(econineq,C71)))&gt;0)</f>
        <v>0</v>
      </c>
      <c r="U70" s="14" cm="1">
        <f t="array" ref="U70">INT(SUMPRODUCT(--ISNUMBER(SEARCH(climate,C70)))&gt;0)</f>
        <v>0</v>
      </c>
      <c r="V70" s="14" cm="1">
        <f t="array" ref="V70">INT(SUMPRODUCT(--ISNUMBER(SEARCH(abortion,C70)))&gt;0)</f>
        <v>0</v>
      </c>
      <c r="W70" s="14" cm="1">
        <f t="array" ref="W70">INT(SUMPRODUCT(--ISNUMBER(SEARCH(trump,C70)))&gt;0)</f>
        <v>0</v>
      </c>
      <c r="X70" s="14" cm="1">
        <f t="array" ref="X70">INT(SUMPRODUCT(--ISNUMBER(SEARCH(voting,C70)))&gt;0)</f>
        <v>0</v>
      </c>
      <c r="Y70" s="35" cm="1">
        <f t="array" ref="Y70">INT(SUMPRODUCT(--ISNUMBER(SEARCH(republicantrigger,C70)))&gt;0)</f>
        <v>0</v>
      </c>
      <c r="Z70" s="35" cm="1">
        <f t="array" ref="Z70">INT(SUMPRODUCT(--ISNUMBER(SEARCH(bipartisan,C70)))&gt;0)</f>
        <v>0</v>
      </c>
      <c r="AA70" s="35">
        <f t="shared" si="1"/>
        <v>0</v>
      </c>
      <c r="AB70" s="14"/>
      <c r="AC70" s="30" t="s">
        <v>223</v>
      </c>
      <c r="AD70" s="37" t="s">
        <v>223</v>
      </c>
    </row>
    <row r="71" spans="1:30" x14ac:dyDescent="0.25">
      <c r="A71" s="36">
        <v>3611</v>
      </c>
      <c r="B71" s="14" t="s">
        <v>6976</v>
      </c>
      <c r="C71" s="14" t="s">
        <v>6977</v>
      </c>
      <c r="D71" s="17">
        <v>44129</v>
      </c>
      <c r="E71" s="14" t="s">
        <v>30</v>
      </c>
      <c r="F71" s="14">
        <v>575</v>
      </c>
      <c r="G71" s="14">
        <v>104</v>
      </c>
      <c r="H71" s="14">
        <v>17</v>
      </c>
      <c r="I71" s="14">
        <v>9</v>
      </c>
      <c r="J71" s="14" t="s">
        <v>31</v>
      </c>
      <c r="K71" s="14" cm="1">
        <f t="array" ref="K71">INT(SUMPRODUCT(--ISNUMBER(SEARCH(economy,C71)))&gt;0)</f>
        <v>1</v>
      </c>
      <c r="L71" s="14" cm="1">
        <f t="array" ref="L71">INT(SUMPRODUCT(--ISNUMBER(SEARCH(healthcare,C71)))&gt;0)</f>
        <v>0</v>
      </c>
      <c r="M71" s="14" cm="1">
        <f t="array" ref="M71">INT(SUMPRODUCT(--ISNUMBER(SEARCH(supreme,C71)))&gt;0)</f>
        <v>0</v>
      </c>
      <c r="N71" s="14" cm="1">
        <f t="array" ref="N71">INT(SUMPRODUCT(--ISNUMBER(SEARCH(covid,C71)))&gt;0)</f>
        <v>0</v>
      </c>
      <c r="O71" s="14" cm="1">
        <f t="array" ref="O71">INT(SUMPRODUCT(--ISNUMBER(SEARCH(violent,C71)))&gt;0)</f>
        <v>0</v>
      </c>
      <c r="P71" s="14" cm="1">
        <f t="array" ref="P71">INT(SUMPRODUCT(--ISNUMBER(SEARCH(foreign,C71)))&gt;0)</f>
        <v>0</v>
      </c>
      <c r="Q71" s="14" cm="1">
        <f t="array" ref="Q71">INT(SUMPRODUCT(--ISNUMBER(SEARCH(gun,C71)))&gt;0)</f>
        <v>0</v>
      </c>
      <c r="R71" s="14" cm="1">
        <f t="array" ref="R71">INT(SUMPRODUCT(--ISNUMBER(SEARCH(race,C71)))&gt;0)</f>
        <v>0</v>
      </c>
      <c r="S71" s="14" cm="1">
        <f t="array" ref="S71">INT(SUMPRODUCT(--ISNUMBER(SEARCH(immigration,C71)))&gt;0)</f>
        <v>0</v>
      </c>
      <c r="T71" s="14" cm="1">
        <f t="array" ref="T71">INT(SUMPRODUCT(--ISNUMBER(SEARCH(econineq,C72)))&gt;0)</f>
        <v>0</v>
      </c>
      <c r="U71" s="14" cm="1">
        <f t="array" ref="U71">INT(SUMPRODUCT(--ISNUMBER(SEARCH(climate,C71)))&gt;0)</f>
        <v>1</v>
      </c>
      <c r="V71" s="14" cm="1">
        <f t="array" ref="V71">INT(SUMPRODUCT(--ISNUMBER(SEARCH(abortion,C71)))&gt;0)</f>
        <v>0</v>
      </c>
      <c r="W71" s="14" cm="1">
        <f t="array" ref="W71">INT(SUMPRODUCT(--ISNUMBER(SEARCH(trump,C71)))&gt;0)</f>
        <v>1</v>
      </c>
      <c r="X71" s="14" cm="1">
        <f t="array" ref="X71">INT(SUMPRODUCT(--ISNUMBER(SEARCH(voting,C71)))&gt;0)</f>
        <v>0</v>
      </c>
      <c r="Y71" s="35" cm="1">
        <f t="array" ref="Y71">INT(SUMPRODUCT(--ISNUMBER(SEARCH(republicantrigger,C71)))&gt;0)</f>
        <v>1</v>
      </c>
      <c r="Z71" s="35" cm="1">
        <f t="array" ref="Z71">INT(SUMPRODUCT(--ISNUMBER(SEARCH(bipartisan,C71)))&gt;0)</f>
        <v>0</v>
      </c>
      <c r="AA71" s="35">
        <f t="shared" si="1"/>
        <v>0</v>
      </c>
      <c r="AB71" s="14"/>
      <c r="AC71" s="30" t="s">
        <v>223</v>
      </c>
      <c r="AD71" s="37" t="s">
        <v>223</v>
      </c>
    </row>
    <row r="72" spans="1:30" x14ac:dyDescent="0.25">
      <c r="A72" s="36">
        <v>3612</v>
      </c>
      <c r="B72" s="14" t="s">
        <v>6978</v>
      </c>
      <c r="C72" s="14" t="s">
        <v>6979</v>
      </c>
      <c r="D72" s="17">
        <v>44128</v>
      </c>
      <c r="E72" s="14" t="s">
        <v>70</v>
      </c>
      <c r="F72" s="14">
        <v>185</v>
      </c>
      <c r="G72" s="14">
        <v>32</v>
      </c>
      <c r="H72" s="14">
        <v>17</v>
      </c>
      <c r="I72" s="14">
        <v>9</v>
      </c>
      <c r="J72" s="14" t="s">
        <v>31</v>
      </c>
      <c r="K72" s="14" cm="1">
        <f t="array" ref="K72">INT(SUMPRODUCT(--ISNUMBER(SEARCH(economy,C72)))&gt;0)</f>
        <v>0</v>
      </c>
      <c r="L72" s="14" cm="1">
        <f t="array" ref="L72">INT(SUMPRODUCT(--ISNUMBER(SEARCH(healthcare,C72)))&gt;0)</f>
        <v>0</v>
      </c>
      <c r="M72" s="14" cm="1">
        <f t="array" ref="M72">INT(SUMPRODUCT(--ISNUMBER(SEARCH(supreme,C72)))&gt;0)</f>
        <v>1</v>
      </c>
      <c r="N72" s="14" cm="1">
        <f t="array" ref="N72">INT(SUMPRODUCT(--ISNUMBER(SEARCH(covid,C72)))&gt;0)</f>
        <v>0</v>
      </c>
      <c r="O72" s="14" cm="1">
        <f t="array" ref="O72">INT(SUMPRODUCT(--ISNUMBER(SEARCH(violent,C72)))&gt;0)</f>
        <v>0</v>
      </c>
      <c r="P72" s="14" cm="1">
        <f t="array" ref="P72">INT(SUMPRODUCT(--ISNUMBER(SEARCH(foreign,C72)))&gt;0)</f>
        <v>0</v>
      </c>
      <c r="Q72" s="14" cm="1">
        <f t="array" ref="Q72">INT(SUMPRODUCT(--ISNUMBER(SEARCH(gun,C72)))&gt;0)</f>
        <v>0</v>
      </c>
      <c r="R72" s="14" cm="1">
        <f t="array" ref="R72">INT(SUMPRODUCT(--ISNUMBER(SEARCH(race,C72)))&gt;0)</f>
        <v>0</v>
      </c>
      <c r="S72" s="14" cm="1">
        <f t="array" ref="S72">INT(SUMPRODUCT(--ISNUMBER(SEARCH(immigration,C72)))&gt;0)</f>
        <v>0</v>
      </c>
      <c r="T72" s="14" cm="1">
        <f t="array" ref="T72">INT(SUMPRODUCT(--ISNUMBER(SEARCH(econineq,C73)))&gt;0)</f>
        <v>0</v>
      </c>
      <c r="U72" s="14" cm="1">
        <f t="array" ref="U72">INT(SUMPRODUCT(--ISNUMBER(SEARCH(climate,C72)))&gt;0)</f>
        <v>0</v>
      </c>
      <c r="V72" s="14" cm="1">
        <f t="array" ref="V72">INT(SUMPRODUCT(--ISNUMBER(SEARCH(abortion,C72)))&gt;0)</f>
        <v>0</v>
      </c>
      <c r="W72" s="14" cm="1">
        <f t="array" ref="W72">INT(SUMPRODUCT(--ISNUMBER(SEARCH(trump,C72)))&gt;0)</f>
        <v>0</v>
      </c>
      <c r="X72" s="14" cm="1">
        <f t="array" ref="X72">INT(SUMPRODUCT(--ISNUMBER(SEARCH(voting,C72)))&gt;0)</f>
        <v>0</v>
      </c>
      <c r="Y72" s="35" cm="1">
        <f t="array" ref="Y72">INT(SUMPRODUCT(--ISNUMBER(SEARCH(republicantrigger,C72)))&gt;0)</f>
        <v>1</v>
      </c>
      <c r="Z72" s="35" cm="1">
        <f t="array" ref="Z72">INT(SUMPRODUCT(--ISNUMBER(SEARCH(bipartisan,C72)))&gt;0)</f>
        <v>0</v>
      </c>
      <c r="AA72" s="35">
        <f t="shared" si="1"/>
        <v>0</v>
      </c>
      <c r="AB72" s="14"/>
      <c r="AC72" s="30" t="s">
        <v>223</v>
      </c>
      <c r="AD72" s="37" t="s">
        <v>223</v>
      </c>
    </row>
    <row r="73" spans="1:30" x14ac:dyDescent="0.25">
      <c r="A73" s="36">
        <v>3613</v>
      </c>
      <c r="B73" s="14" t="s">
        <v>6980</v>
      </c>
      <c r="C73" s="14" t="s">
        <v>6981</v>
      </c>
      <c r="D73" s="17">
        <v>44128</v>
      </c>
      <c r="E73" s="14" t="s">
        <v>30</v>
      </c>
      <c r="F73" s="14">
        <v>1510</v>
      </c>
      <c r="G73" s="14">
        <v>382</v>
      </c>
      <c r="H73" s="14">
        <v>17</v>
      </c>
      <c r="I73" s="14">
        <v>9</v>
      </c>
      <c r="J73" s="14" t="s">
        <v>31</v>
      </c>
      <c r="K73" s="14" cm="1">
        <f t="array" ref="K73">INT(SUMPRODUCT(--ISNUMBER(SEARCH(economy,C73)))&gt;0)</f>
        <v>0</v>
      </c>
      <c r="L73" s="14" cm="1">
        <f t="array" ref="L73">INT(SUMPRODUCT(--ISNUMBER(SEARCH(healthcare,C73)))&gt;0)</f>
        <v>0</v>
      </c>
      <c r="M73" s="14" cm="1">
        <f t="array" ref="M73">INT(SUMPRODUCT(--ISNUMBER(SEARCH(supreme,C73)))&gt;0)</f>
        <v>1</v>
      </c>
      <c r="N73" s="14" cm="1">
        <f t="array" ref="N73">INT(SUMPRODUCT(--ISNUMBER(SEARCH(covid,C73)))&gt;0)</f>
        <v>0</v>
      </c>
      <c r="O73" s="14" cm="1">
        <f t="array" ref="O73">INT(SUMPRODUCT(--ISNUMBER(SEARCH(violent,C73)))&gt;0)</f>
        <v>0</v>
      </c>
      <c r="P73" s="14" cm="1">
        <f t="array" ref="P73">INT(SUMPRODUCT(--ISNUMBER(SEARCH(foreign,C73)))&gt;0)</f>
        <v>0</v>
      </c>
      <c r="Q73" s="14" cm="1">
        <f t="array" ref="Q73">INT(SUMPRODUCT(--ISNUMBER(SEARCH(gun,C73)))&gt;0)</f>
        <v>0</v>
      </c>
      <c r="R73" s="14" cm="1">
        <f t="array" ref="R73">INT(SUMPRODUCT(--ISNUMBER(SEARCH(race,C73)))&gt;0)</f>
        <v>0</v>
      </c>
      <c r="S73" s="14" cm="1">
        <f t="array" ref="S73">INT(SUMPRODUCT(--ISNUMBER(SEARCH(immigration,C73)))&gt;0)</f>
        <v>0</v>
      </c>
      <c r="T73" s="14" cm="1">
        <f t="array" ref="T73">INT(SUMPRODUCT(--ISNUMBER(SEARCH(econineq,C74)))&gt;0)</f>
        <v>0</v>
      </c>
      <c r="U73" s="14" cm="1">
        <f t="array" ref="U73">INT(SUMPRODUCT(--ISNUMBER(SEARCH(climate,C73)))&gt;0)</f>
        <v>0</v>
      </c>
      <c r="V73" s="14" cm="1">
        <f t="array" ref="V73">INT(SUMPRODUCT(--ISNUMBER(SEARCH(abortion,C73)))&gt;0)</f>
        <v>0</v>
      </c>
      <c r="W73" s="14" cm="1">
        <f t="array" ref="W73">INT(SUMPRODUCT(--ISNUMBER(SEARCH(trump,C73)))&gt;0)</f>
        <v>0</v>
      </c>
      <c r="X73" s="14" cm="1">
        <f t="array" ref="X73">INT(SUMPRODUCT(--ISNUMBER(SEARCH(voting,C73)))&gt;0)</f>
        <v>0</v>
      </c>
      <c r="Y73" s="35" cm="1">
        <f t="array" ref="Y73">INT(SUMPRODUCT(--ISNUMBER(SEARCH(republicantrigger,C73)))&gt;0)</f>
        <v>1</v>
      </c>
      <c r="Z73" s="35" cm="1">
        <f t="array" ref="Z73">INT(SUMPRODUCT(--ISNUMBER(SEARCH(bipartisan,C73)))&gt;0)</f>
        <v>0</v>
      </c>
      <c r="AA73" s="35">
        <f t="shared" si="1"/>
        <v>0</v>
      </c>
      <c r="AB73" s="14"/>
      <c r="AC73" s="30" t="s">
        <v>223</v>
      </c>
      <c r="AD73" s="37" t="s">
        <v>223</v>
      </c>
    </row>
    <row r="74" spans="1:30" x14ac:dyDescent="0.25">
      <c r="A74" s="36">
        <v>3614</v>
      </c>
      <c r="B74" s="14" t="s">
        <v>6982</v>
      </c>
      <c r="C74" s="14" t="s">
        <v>6983</v>
      </c>
      <c r="D74" s="17">
        <v>44128</v>
      </c>
      <c r="E74" s="14" t="s">
        <v>30</v>
      </c>
      <c r="F74" s="14">
        <v>566</v>
      </c>
      <c r="G74" s="14">
        <v>198</v>
      </c>
      <c r="H74" s="14">
        <v>17</v>
      </c>
      <c r="I74" s="14">
        <v>9</v>
      </c>
      <c r="J74" s="14" t="s">
        <v>31</v>
      </c>
      <c r="K74" s="14" cm="1">
        <f t="array" ref="K74">INT(SUMPRODUCT(--ISNUMBER(SEARCH(economy,C74)))&gt;0)</f>
        <v>1</v>
      </c>
      <c r="L74" s="14" cm="1">
        <f t="array" ref="L74">INT(SUMPRODUCT(--ISNUMBER(SEARCH(healthcare,C74)))&gt;0)</f>
        <v>0</v>
      </c>
      <c r="M74" s="14" cm="1">
        <f t="array" ref="M74">INT(SUMPRODUCT(--ISNUMBER(SEARCH(supreme,C74)))&gt;0)</f>
        <v>0</v>
      </c>
      <c r="N74" s="14" cm="1">
        <f t="array" ref="N74">INT(SUMPRODUCT(--ISNUMBER(SEARCH(covid,C74)))&gt;0)</f>
        <v>0</v>
      </c>
      <c r="O74" s="14" cm="1">
        <f t="array" ref="O74">INT(SUMPRODUCT(--ISNUMBER(SEARCH(violent,C74)))&gt;0)</f>
        <v>0</v>
      </c>
      <c r="P74" s="14" cm="1">
        <f t="array" ref="P74">INT(SUMPRODUCT(--ISNUMBER(SEARCH(foreign,C74)))&gt;0)</f>
        <v>0</v>
      </c>
      <c r="Q74" s="14" cm="1">
        <f t="array" ref="Q74">INT(SUMPRODUCT(--ISNUMBER(SEARCH(gun,C74)))&gt;0)</f>
        <v>0</v>
      </c>
      <c r="R74" s="14" cm="1">
        <f t="array" ref="R74">INT(SUMPRODUCT(--ISNUMBER(SEARCH(race,C74)))&gt;0)</f>
        <v>0</v>
      </c>
      <c r="S74" s="14" cm="1">
        <f t="array" ref="S74">INT(SUMPRODUCT(--ISNUMBER(SEARCH(immigration,C74)))&gt;0)</f>
        <v>0</v>
      </c>
      <c r="T74" s="14" cm="1">
        <f t="array" ref="T74">INT(SUMPRODUCT(--ISNUMBER(SEARCH(econineq,C75)))&gt;0)</f>
        <v>0</v>
      </c>
      <c r="U74" s="14" cm="1">
        <f t="array" ref="U74">INT(SUMPRODUCT(--ISNUMBER(SEARCH(climate,C74)))&gt;0)</f>
        <v>1</v>
      </c>
      <c r="V74" s="14" cm="1">
        <f t="array" ref="V74">INT(SUMPRODUCT(--ISNUMBER(SEARCH(abortion,C74)))&gt;0)</f>
        <v>0</v>
      </c>
      <c r="W74" s="14" cm="1">
        <f t="array" ref="W74">INT(SUMPRODUCT(--ISNUMBER(SEARCH(trump,C74)))&gt;0)</f>
        <v>0</v>
      </c>
      <c r="X74" s="14" cm="1">
        <f t="array" ref="X74">INT(SUMPRODUCT(--ISNUMBER(SEARCH(voting,C74)))&gt;0)</f>
        <v>0</v>
      </c>
      <c r="Y74" s="35" cm="1">
        <f t="array" ref="Y74">INT(SUMPRODUCT(--ISNUMBER(SEARCH(republicantrigger,C74)))&gt;0)</f>
        <v>1</v>
      </c>
      <c r="Z74" s="35" cm="1">
        <f t="array" ref="Z74">INT(SUMPRODUCT(--ISNUMBER(SEARCH(bipartisan,C74)))&gt;0)</f>
        <v>0</v>
      </c>
      <c r="AA74" s="35">
        <f t="shared" si="1"/>
        <v>0</v>
      </c>
      <c r="AB74" s="14"/>
      <c r="AC74" s="30" t="s">
        <v>223</v>
      </c>
      <c r="AD74" s="37" t="s">
        <v>223</v>
      </c>
    </row>
    <row r="75" spans="1:30" x14ac:dyDescent="0.25">
      <c r="A75" s="36">
        <v>3615</v>
      </c>
      <c r="B75" s="14" t="s">
        <v>6984</v>
      </c>
      <c r="C75" s="14" t="s">
        <v>6985</v>
      </c>
      <c r="D75" s="17">
        <v>44128</v>
      </c>
      <c r="E75" s="14" t="s">
        <v>30</v>
      </c>
      <c r="F75" s="14">
        <v>1054</v>
      </c>
      <c r="G75" s="14">
        <v>451</v>
      </c>
      <c r="H75" s="14">
        <v>17</v>
      </c>
      <c r="I75" s="14">
        <v>9</v>
      </c>
      <c r="J75" s="14" t="s">
        <v>31</v>
      </c>
      <c r="K75" s="14" cm="1">
        <f t="array" ref="K75">INT(SUMPRODUCT(--ISNUMBER(SEARCH(economy,C75)))&gt;0)</f>
        <v>0</v>
      </c>
      <c r="L75" s="14" cm="1">
        <f t="array" ref="L75">INT(SUMPRODUCT(--ISNUMBER(SEARCH(healthcare,C75)))&gt;0)</f>
        <v>0</v>
      </c>
      <c r="M75" s="14" cm="1">
        <f t="array" ref="M75">INT(SUMPRODUCT(--ISNUMBER(SEARCH(supreme,C75)))&gt;0)</f>
        <v>0</v>
      </c>
      <c r="N75" s="14" cm="1">
        <f t="array" ref="N75">INT(SUMPRODUCT(--ISNUMBER(SEARCH(covid,C75)))&gt;0)</f>
        <v>0</v>
      </c>
      <c r="O75" s="14" cm="1">
        <f t="array" ref="O75">INT(SUMPRODUCT(--ISNUMBER(SEARCH(violent,C75)))&gt;0)</f>
        <v>0</v>
      </c>
      <c r="P75" s="14" cm="1">
        <f t="array" ref="P75">INT(SUMPRODUCT(--ISNUMBER(SEARCH(foreign,C75)))&gt;0)</f>
        <v>0</v>
      </c>
      <c r="Q75" s="14" cm="1">
        <f t="array" ref="Q75">INT(SUMPRODUCT(--ISNUMBER(SEARCH(gun,C75)))&gt;0)</f>
        <v>0</v>
      </c>
      <c r="R75" s="14" cm="1">
        <f t="array" ref="R75">INT(SUMPRODUCT(--ISNUMBER(SEARCH(race,C75)))&gt;0)</f>
        <v>0</v>
      </c>
      <c r="S75" s="14" cm="1">
        <f t="array" ref="S75">INT(SUMPRODUCT(--ISNUMBER(SEARCH(immigration,C75)))&gt;0)</f>
        <v>0</v>
      </c>
      <c r="T75" s="14" cm="1">
        <f t="array" ref="T75">INT(SUMPRODUCT(--ISNUMBER(SEARCH(econineq,C76)))&gt;0)</f>
        <v>1</v>
      </c>
      <c r="U75" s="14" cm="1">
        <f t="array" ref="U75">INT(SUMPRODUCT(--ISNUMBER(SEARCH(climate,C75)))&gt;0)</f>
        <v>1</v>
      </c>
      <c r="V75" s="14" cm="1">
        <f t="array" ref="V75">INT(SUMPRODUCT(--ISNUMBER(SEARCH(abortion,C75)))&gt;0)</f>
        <v>0</v>
      </c>
      <c r="W75" s="14" cm="1">
        <f t="array" ref="W75">INT(SUMPRODUCT(--ISNUMBER(SEARCH(trump,C75)))&gt;0)</f>
        <v>0</v>
      </c>
      <c r="X75" s="14" cm="1">
        <f t="array" ref="X75">INT(SUMPRODUCT(--ISNUMBER(SEARCH(voting,C75)))&gt;0)</f>
        <v>0</v>
      </c>
      <c r="Y75" s="35" cm="1">
        <f t="array" ref="Y75">INT(SUMPRODUCT(--ISNUMBER(SEARCH(republicantrigger,C75)))&gt;0)</f>
        <v>1</v>
      </c>
      <c r="Z75" s="35" cm="1">
        <f t="array" ref="Z75">INT(SUMPRODUCT(--ISNUMBER(SEARCH(bipartisan,C75)))&gt;0)</f>
        <v>0</v>
      </c>
      <c r="AA75" s="35">
        <f t="shared" si="1"/>
        <v>0</v>
      </c>
      <c r="AB75" s="14"/>
      <c r="AC75" s="30" t="s">
        <v>223</v>
      </c>
      <c r="AD75" s="37" t="s">
        <v>223</v>
      </c>
    </row>
    <row r="76" spans="1:30" x14ac:dyDescent="0.25">
      <c r="A76" s="36">
        <v>3616</v>
      </c>
      <c r="B76" s="14" t="s">
        <v>6986</v>
      </c>
      <c r="C76" s="14" t="s">
        <v>6987</v>
      </c>
      <c r="D76" s="17">
        <v>44128</v>
      </c>
      <c r="E76" s="14" t="s">
        <v>30</v>
      </c>
      <c r="F76" s="14">
        <v>152</v>
      </c>
      <c r="G76" s="14">
        <v>50</v>
      </c>
      <c r="H76" s="14">
        <v>17</v>
      </c>
      <c r="I76" s="14">
        <v>9</v>
      </c>
      <c r="J76" s="14" t="s">
        <v>31</v>
      </c>
      <c r="K76" s="14" cm="1">
        <f t="array" ref="K76">INT(SUMPRODUCT(--ISNUMBER(SEARCH(economy,C76)))&gt;0)</f>
        <v>1</v>
      </c>
      <c r="L76" s="14" cm="1">
        <f t="array" ref="L76">INT(SUMPRODUCT(--ISNUMBER(SEARCH(healthcare,C76)))&gt;0)</f>
        <v>0</v>
      </c>
      <c r="M76" s="14" cm="1">
        <f t="array" ref="M76">INT(SUMPRODUCT(--ISNUMBER(SEARCH(supreme,C76)))&gt;0)</f>
        <v>0</v>
      </c>
      <c r="N76" s="14" cm="1">
        <f t="array" ref="N76">INT(SUMPRODUCT(--ISNUMBER(SEARCH(covid,C76)))&gt;0)</f>
        <v>0</v>
      </c>
      <c r="O76" s="14" cm="1">
        <f t="array" ref="O76">INT(SUMPRODUCT(--ISNUMBER(SEARCH(violent,C76)))&gt;0)</f>
        <v>0</v>
      </c>
      <c r="P76" s="14" cm="1">
        <f t="array" ref="P76">INT(SUMPRODUCT(--ISNUMBER(SEARCH(foreign,C76)))&gt;0)</f>
        <v>0</v>
      </c>
      <c r="Q76" s="14" cm="1">
        <f t="array" ref="Q76">INT(SUMPRODUCT(--ISNUMBER(SEARCH(gun,C76)))&gt;0)</f>
        <v>0</v>
      </c>
      <c r="R76" s="14" cm="1">
        <f t="array" ref="R76">INT(SUMPRODUCT(--ISNUMBER(SEARCH(race,C76)))&gt;0)</f>
        <v>0</v>
      </c>
      <c r="S76" s="14" cm="1">
        <f t="array" ref="S76">INT(SUMPRODUCT(--ISNUMBER(SEARCH(immigration,C76)))&gt;0)</f>
        <v>0</v>
      </c>
      <c r="T76" s="14" cm="1">
        <f t="array" ref="T76">INT(SUMPRODUCT(--ISNUMBER(SEARCH(econineq,C77)))&gt;0)</f>
        <v>0</v>
      </c>
      <c r="U76" s="14" cm="1">
        <f t="array" ref="U76">INT(SUMPRODUCT(--ISNUMBER(SEARCH(climate,C76)))&gt;0)</f>
        <v>0</v>
      </c>
      <c r="V76" s="14" cm="1">
        <f t="array" ref="V76">INT(SUMPRODUCT(--ISNUMBER(SEARCH(abortion,C76)))&gt;0)</f>
        <v>0</v>
      </c>
      <c r="W76" s="14" cm="1">
        <f t="array" ref="W76">INT(SUMPRODUCT(--ISNUMBER(SEARCH(trump,C76)))&gt;0)</f>
        <v>0</v>
      </c>
      <c r="X76" s="14" cm="1">
        <f t="array" ref="X76">INT(SUMPRODUCT(--ISNUMBER(SEARCH(voting,C76)))&gt;0)</f>
        <v>0</v>
      </c>
      <c r="Y76" s="35" cm="1">
        <f t="array" ref="Y76">INT(SUMPRODUCT(--ISNUMBER(SEARCH(republicantrigger,C76)))&gt;0)</f>
        <v>0</v>
      </c>
      <c r="Z76" s="35" cm="1">
        <f t="array" ref="Z76">INT(SUMPRODUCT(--ISNUMBER(SEARCH(bipartisan,C76)))&gt;0)</f>
        <v>0</v>
      </c>
      <c r="AA76" s="35">
        <f t="shared" si="1"/>
        <v>0</v>
      </c>
      <c r="AB76" s="14"/>
      <c r="AC76" s="30" t="s">
        <v>223</v>
      </c>
      <c r="AD76" s="37" t="s">
        <v>223</v>
      </c>
    </row>
    <row r="77" spans="1:30" x14ac:dyDescent="0.25">
      <c r="A77" s="36">
        <v>3617</v>
      </c>
      <c r="B77" s="14" t="s">
        <v>6988</v>
      </c>
      <c r="C77" s="14" t="s">
        <v>6989</v>
      </c>
      <c r="D77" s="17">
        <v>44128</v>
      </c>
      <c r="E77" s="14" t="s">
        <v>70</v>
      </c>
      <c r="F77" s="14">
        <v>585</v>
      </c>
      <c r="G77" s="14">
        <v>97</v>
      </c>
      <c r="H77" s="14">
        <v>17</v>
      </c>
      <c r="I77" s="14">
        <v>9</v>
      </c>
      <c r="J77" s="14" t="s">
        <v>31</v>
      </c>
      <c r="K77" s="14" cm="1">
        <f t="array" ref="K77">INT(SUMPRODUCT(--ISNUMBER(SEARCH(economy,C77)))&gt;0)</f>
        <v>0</v>
      </c>
      <c r="L77" s="14" cm="1">
        <f t="array" ref="L77">INT(SUMPRODUCT(--ISNUMBER(SEARCH(healthcare,C77)))&gt;0)</f>
        <v>0</v>
      </c>
      <c r="M77" s="14" cm="1">
        <f t="array" ref="M77">INT(SUMPRODUCT(--ISNUMBER(SEARCH(supreme,C77)))&gt;0)</f>
        <v>0</v>
      </c>
      <c r="N77" s="14" cm="1">
        <f t="array" ref="N77">INT(SUMPRODUCT(--ISNUMBER(SEARCH(covid,C77)))&gt;0)</f>
        <v>0</v>
      </c>
      <c r="O77" s="14" cm="1">
        <f t="array" ref="O77">INT(SUMPRODUCT(--ISNUMBER(SEARCH(violent,C77)))&gt;0)</f>
        <v>0</v>
      </c>
      <c r="P77" s="14" cm="1">
        <f t="array" ref="P77">INT(SUMPRODUCT(--ISNUMBER(SEARCH(foreign,C77)))&gt;0)</f>
        <v>1</v>
      </c>
      <c r="Q77" s="14" cm="1">
        <f t="array" ref="Q77">INT(SUMPRODUCT(--ISNUMBER(SEARCH(gun,C77)))&gt;0)</f>
        <v>0</v>
      </c>
      <c r="R77" s="14" cm="1">
        <f t="array" ref="R77">INT(SUMPRODUCT(--ISNUMBER(SEARCH(race,C77)))&gt;0)</f>
        <v>0</v>
      </c>
      <c r="S77" s="14" cm="1">
        <f t="array" ref="S77">INT(SUMPRODUCT(--ISNUMBER(SEARCH(immigration,C77)))&gt;0)</f>
        <v>0</v>
      </c>
      <c r="T77" s="14" cm="1">
        <f t="array" ref="T77">INT(SUMPRODUCT(--ISNUMBER(SEARCH(econineq,C78)))&gt;0)</f>
        <v>0</v>
      </c>
      <c r="U77" s="14" cm="1">
        <f t="array" ref="U77">INT(SUMPRODUCT(--ISNUMBER(SEARCH(climate,C77)))&gt;0)</f>
        <v>0</v>
      </c>
      <c r="V77" s="14" cm="1">
        <f t="array" ref="V77">INT(SUMPRODUCT(--ISNUMBER(SEARCH(abortion,C77)))&gt;0)</f>
        <v>0</v>
      </c>
      <c r="W77" s="14" cm="1">
        <f t="array" ref="W77">INT(SUMPRODUCT(--ISNUMBER(SEARCH(trump,C77)))&gt;0)</f>
        <v>0</v>
      </c>
      <c r="X77" s="14" cm="1">
        <f t="array" ref="X77">INT(SUMPRODUCT(--ISNUMBER(SEARCH(voting,C77)))&gt;0)</f>
        <v>1</v>
      </c>
      <c r="Y77" s="35" cm="1">
        <f t="array" ref="Y77">INT(SUMPRODUCT(--ISNUMBER(SEARCH(republicantrigger,C77)))&gt;0)</f>
        <v>0</v>
      </c>
      <c r="Z77" s="35" cm="1">
        <f t="array" ref="Z77">INT(SUMPRODUCT(--ISNUMBER(SEARCH(bipartisan,C77)))&gt;0)</f>
        <v>0</v>
      </c>
      <c r="AA77" s="35">
        <f t="shared" si="1"/>
        <v>0</v>
      </c>
      <c r="AB77" s="14"/>
      <c r="AC77" s="30" t="s">
        <v>223</v>
      </c>
      <c r="AD77" s="37" t="s">
        <v>223</v>
      </c>
    </row>
    <row r="78" spans="1:30" x14ac:dyDescent="0.25">
      <c r="A78" s="36">
        <v>3618</v>
      </c>
      <c r="B78" s="14" t="s">
        <v>6990</v>
      </c>
      <c r="C78" s="14" t="s">
        <v>6991</v>
      </c>
      <c r="D78" s="17">
        <v>44128</v>
      </c>
      <c r="E78" s="14" t="s">
        <v>30</v>
      </c>
      <c r="F78" s="14">
        <v>1613</v>
      </c>
      <c r="G78" s="14">
        <v>430</v>
      </c>
      <c r="H78" s="14">
        <v>17</v>
      </c>
      <c r="I78" s="14">
        <v>9</v>
      </c>
      <c r="J78" s="14" t="s">
        <v>31</v>
      </c>
      <c r="K78" s="14" cm="1">
        <f t="array" ref="K78">INT(SUMPRODUCT(--ISNUMBER(SEARCH(economy,C78)))&gt;0)</f>
        <v>0</v>
      </c>
      <c r="L78" s="14" cm="1">
        <f t="array" ref="L78">INT(SUMPRODUCT(--ISNUMBER(SEARCH(healthcare,C78)))&gt;0)</f>
        <v>0</v>
      </c>
      <c r="M78" s="14" cm="1">
        <f t="array" ref="M78">INT(SUMPRODUCT(--ISNUMBER(SEARCH(supreme,C78)))&gt;0)</f>
        <v>0</v>
      </c>
      <c r="N78" s="14" cm="1">
        <f t="array" ref="N78">INT(SUMPRODUCT(--ISNUMBER(SEARCH(covid,C78)))&gt;0)</f>
        <v>0</v>
      </c>
      <c r="O78" s="14" cm="1">
        <f t="array" ref="O78">INT(SUMPRODUCT(--ISNUMBER(SEARCH(violent,C78)))&gt;0)</f>
        <v>0</v>
      </c>
      <c r="P78" s="14" cm="1">
        <f t="array" ref="P78">INT(SUMPRODUCT(--ISNUMBER(SEARCH(foreign,C78)))&gt;0)</f>
        <v>0</v>
      </c>
      <c r="Q78" s="14" cm="1">
        <f t="array" ref="Q78">INT(SUMPRODUCT(--ISNUMBER(SEARCH(gun,C78)))&gt;0)</f>
        <v>0</v>
      </c>
      <c r="R78" s="14" cm="1">
        <f t="array" ref="R78">INT(SUMPRODUCT(--ISNUMBER(SEARCH(race,C78)))&gt;0)</f>
        <v>0</v>
      </c>
      <c r="S78" s="14" cm="1">
        <f t="array" ref="S78">INT(SUMPRODUCT(--ISNUMBER(SEARCH(immigration,C78)))&gt;0)</f>
        <v>0</v>
      </c>
      <c r="T78" s="14" cm="1">
        <f t="array" ref="T78">INT(SUMPRODUCT(--ISNUMBER(SEARCH(econineq,C79)))&gt;0)</f>
        <v>0</v>
      </c>
      <c r="U78" s="14" cm="1">
        <f t="array" ref="U78">INT(SUMPRODUCT(--ISNUMBER(SEARCH(climate,C78)))&gt;0)</f>
        <v>0</v>
      </c>
      <c r="V78" s="14" cm="1">
        <f t="array" ref="V78">INT(SUMPRODUCT(--ISNUMBER(SEARCH(abortion,C78)))&gt;0)</f>
        <v>0</v>
      </c>
      <c r="W78" s="14" cm="1">
        <f t="array" ref="W78">INT(SUMPRODUCT(--ISNUMBER(SEARCH(trump,C78)))&gt;0)</f>
        <v>0</v>
      </c>
      <c r="X78" s="14" cm="1">
        <f t="array" ref="X78">INT(SUMPRODUCT(--ISNUMBER(SEARCH(voting,C78)))&gt;0)</f>
        <v>0</v>
      </c>
      <c r="Y78" s="35" cm="1">
        <f t="array" ref="Y78">INT(SUMPRODUCT(--ISNUMBER(SEARCH(republicantrigger,C78)))&gt;0)</f>
        <v>0</v>
      </c>
      <c r="Z78" s="35" cm="1">
        <f t="array" ref="Z78">INT(SUMPRODUCT(--ISNUMBER(SEARCH(bipartisan,C78)))&gt;0)</f>
        <v>0</v>
      </c>
      <c r="AA78" s="35">
        <f t="shared" si="1"/>
        <v>1</v>
      </c>
      <c r="AB78" s="14"/>
      <c r="AC78" s="30" t="s">
        <v>223</v>
      </c>
      <c r="AD78" s="37" t="s">
        <v>223</v>
      </c>
    </row>
    <row r="79" spans="1:30" x14ac:dyDescent="0.25">
      <c r="A79" s="36">
        <v>3619</v>
      </c>
      <c r="B79" s="14" t="s">
        <v>6992</v>
      </c>
      <c r="C79" s="14" t="s">
        <v>6993</v>
      </c>
      <c r="D79" s="17">
        <v>44128</v>
      </c>
      <c r="E79" s="14" t="s">
        <v>30</v>
      </c>
      <c r="F79" s="14">
        <v>452</v>
      </c>
      <c r="G79" s="14">
        <v>124</v>
      </c>
      <c r="H79" s="14">
        <v>17</v>
      </c>
      <c r="I79" s="14">
        <v>9</v>
      </c>
      <c r="J79" s="14" t="s">
        <v>31</v>
      </c>
      <c r="K79" s="14" cm="1">
        <f t="array" ref="K79">INT(SUMPRODUCT(--ISNUMBER(SEARCH(economy,C79)))&gt;0)</f>
        <v>0</v>
      </c>
      <c r="L79" s="14" cm="1">
        <f t="array" ref="L79">INT(SUMPRODUCT(--ISNUMBER(SEARCH(healthcare,C79)))&gt;0)</f>
        <v>0</v>
      </c>
      <c r="M79" s="14" cm="1">
        <f t="array" ref="M79">INT(SUMPRODUCT(--ISNUMBER(SEARCH(supreme,C79)))&gt;0)</f>
        <v>0</v>
      </c>
      <c r="N79" s="14" cm="1">
        <f t="array" ref="N79">INT(SUMPRODUCT(--ISNUMBER(SEARCH(covid,C79)))&gt;0)</f>
        <v>0</v>
      </c>
      <c r="O79" s="14" cm="1">
        <f t="array" ref="O79">INT(SUMPRODUCT(--ISNUMBER(SEARCH(violent,C79)))&gt;0)</f>
        <v>0</v>
      </c>
      <c r="P79" s="14" cm="1">
        <f t="array" ref="P79">INT(SUMPRODUCT(--ISNUMBER(SEARCH(foreign,C79)))&gt;0)</f>
        <v>0</v>
      </c>
      <c r="Q79" s="14" cm="1">
        <f t="array" ref="Q79">INT(SUMPRODUCT(--ISNUMBER(SEARCH(gun,C79)))&gt;0)</f>
        <v>0</v>
      </c>
      <c r="R79" s="14" cm="1">
        <f t="array" ref="R79">INT(SUMPRODUCT(--ISNUMBER(SEARCH(race,C79)))&gt;0)</f>
        <v>0</v>
      </c>
      <c r="S79" s="14" cm="1">
        <f t="array" ref="S79">INT(SUMPRODUCT(--ISNUMBER(SEARCH(immigration,C79)))&gt;0)</f>
        <v>1</v>
      </c>
      <c r="T79" s="14" cm="1">
        <f t="array" ref="T79">INT(SUMPRODUCT(--ISNUMBER(SEARCH(econineq,C80)))&gt;0)</f>
        <v>0</v>
      </c>
      <c r="U79" s="14" cm="1">
        <f t="array" ref="U79">INT(SUMPRODUCT(--ISNUMBER(SEARCH(climate,C79)))&gt;0)</f>
        <v>1</v>
      </c>
      <c r="V79" s="14" cm="1">
        <f t="array" ref="V79">INT(SUMPRODUCT(--ISNUMBER(SEARCH(abortion,C79)))&gt;0)</f>
        <v>0</v>
      </c>
      <c r="W79" s="14" cm="1">
        <f t="array" ref="W79">INT(SUMPRODUCT(--ISNUMBER(SEARCH(trump,C79)))&gt;0)</f>
        <v>0</v>
      </c>
      <c r="X79" s="14" cm="1">
        <f t="array" ref="X79">INT(SUMPRODUCT(--ISNUMBER(SEARCH(voting,C79)))&gt;0)</f>
        <v>0</v>
      </c>
      <c r="Y79" s="35" cm="1">
        <f t="array" ref="Y79">INT(SUMPRODUCT(--ISNUMBER(SEARCH(republicantrigger,C79)))&gt;0)</f>
        <v>1</v>
      </c>
      <c r="Z79" s="35" cm="1">
        <f t="array" ref="Z79">INT(SUMPRODUCT(--ISNUMBER(SEARCH(bipartisan,C79)))&gt;0)</f>
        <v>0</v>
      </c>
      <c r="AA79" s="35">
        <f t="shared" si="1"/>
        <v>0</v>
      </c>
      <c r="AB79" s="14"/>
      <c r="AC79" s="30" t="s">
        <v>223</v>
      </c>
      <c r="AD79" s="37" t="s">
        <v>223</v>
      </c>
    </row>
    <row r="80" spans="1:30" x14ac:dyDescent="0.25">
      <c r="A80" s="36">
        <v>3620</v>
      </c>
      <c r="B80" s="14" t="s">
        <v>6994</v>
      </c>
      <c r="C80" s="14" t="s">
        <v>6995</v>
      </c>
      <c r="D80" s="17">
        <v>44127</v>
      </c>
      <c r="E80" s="14" t="s">
        <v>30</v>
      </c>
      <c r="F80" s="14">
        <v>366</v>
      </c>
      <c r="G80" s="14">
        <v>140</v>
      </c>
      <c r="H80" s="14">
        <v>17</v>
      </c>
      <c r="I80" s="14">
        <v>9</v>
      </c>
      <c r="J80" s="14" t="s">
        <v>31</v>
      </c>
      <c r="K80" s="14" cm="1">
        <f t="array" ref="K80">INT(SUMPRODUCT(--ISNUMBER(SEARCH(economy,C80)))&gt;0)</f>
        <v>0</v>
      </c>
      <c r="L80" s="14" cm="1">
        <f t="array" ref="L80">INT(SUMPRODUCT(--ISNUMBER(SEARCH(healthcare,C80)))&gt;0)</f>
        <v>0</v>
      </c>
      <c r="M80" s="14" cm="1">
        <f t="array" ref="M80">INT(SUMPRODUCT(--ISNUMBER(SEARCH(supreme,C80)))&gt;0)</f>
        <v>0</v>
      </c>
      <c r="N80" s="14" cm="1">
        <f t="array" ref="N80">INT(SUMPRODUCT(--ISNUMBER(SEARCH(covid,C80)))&gt;0)</f>
        <v>0</v>
      </c>
      <c r="O80" s="14" cm="1">
        <f t="array" ref="O80">INT(SUMPRODUCT(--ISNUMBER(SEARCH(violent,C80)))&gt;0)</f>
        <v>0</v>
      </c>
      <c r="P80" s="14" cm="1">
        <f t="array" ref="P80">INT(SUMPRODUCT(--ISNUMBER(SEARCH(foreign,C80)))&gt;0)</f>
        <v>0</v>
      </c>
      <c r="Q80" s="14" cm="1">
        <f t="array" ref="Q80">INT(SUMPRODUCT(--ISNUMBER(SEARCH(gun,C80)))&gt;0)</f>
        <v>0</v>
      </c>
      <c r="R80" s="14" cm="1">
        <f t="array" ref="R80">INT(SUMPRODUCT(--ISNUMBER(SEARCH(race,C80)))&gt;0)</f>
        <v>0</v>
      </c>
      <c r="S80" s="14" cm="1">
        <f t="array" ref="S80">INT(SUMPRODUCT(--ISNUMBER(SEARCH(immigration,C80)))&gt;0)</f>
        <v>0</v>
      </c>
      <c r="T80" s="14" cm="1">
        <f t="array" ref="T80">INT(SUMPRODUCT(--ISNUMBER(SEARCH(econineq,C81)))&gt;0)</f>
        <v>0</v>
      </c>
      <c r="U80" s="14" cm="1">
        <f t="array" ref="U80">INT(SUMPRODUCT(--ISNUMBER(SEARCH(climate,C80)))&gt;0)</f>
        <v>1</v>
      </c>
      <c r="V80" s="14" cm="1">
        <f t="array" ref="V80">INT(SUMPRODUCT(--ISNUMBER(SEARCH(abortion,C80)))&gt;0)</f>
        <v>0</v>
      </c>
      <c r="W80" s="14" cm="1">
        <f t="array" ref="W80">INT(SUMPRODUCT(--ISNUMBER(SEARCH(trump,C80)))&gt;0)</f>
        <v>1</v>
      </c>
      <c r="X80" s="14" cm="1">
        <f t="array" ref="X80">INT(SUMPRODUCT(--ISNUMBER(SEARCH(voting,C80)))&gt;0)</f>
        <v>0</v>
      </c>
      <c r="Y80" s="35" cm="1">
        <f t="array" ref="Y80">INT(SUMPRODUCT(--ISNUMBER(SEARCH(republicantrigger,C80)))&gt;0)</f>
        <v>1</v>
      </c>
      <c r="Z80" s="35" cm="1">
        <f t="array" ref="Z80">INT(SUMPRODUCT(--ISNUMBER(SEARCH(bipartisan,C80)))&gt;0)</f>
        <v>0</v>
      </c>
      <c r="AA80" s="35">
        <f t="shared" si="1"/>
        <v>0</v>
      </c>
      <c r="AB80" s="14"/>
      <c r="AC80" s="30" t="s">
        <v>223</v>
      </c>
      <c r="AD80" s="37" t="s">
        <v>223</v>
      </c>
    </row>
    <row r="81" spans="1:30" x14ac:dyDescent="0.25">
      <c r="A81" s="36">
        <v>3621</v>
      </c>
      <c r="B81" s="14" t="s">
        <v>6996</v>
      </c>
      <c r="C81" s="14" t="s">
        <v>6997</v>
      </c>
      <c r="D81" s="17">
        <v>44127</v>
      </c>
      <c r="E81" s="14" t="s">
        <v>30</v>
      </c>
      <c r="F81" s="14">
        <v>72</v>
      </c>
      <c r="G81" s="14">
        <v>14</v>
      </c>
      <c r="H81" s="14">
        <v>17</v>
      </c>
      <c r="I81" s="14">
        <v>9</v>
      </c>
      <c r="J81" s="14" t="s">
        <v>31</v>
      </c>
      <c r="K81" s="14" cm="1">
        <f t="array" ref="K81">INT(SUMPRODUCT(--ISNUMBER(SEARCH(economy,C81)))&gt;0)</f>
        <v>0</v>
      </c>
      <c r="L81" s="14" cm="1">
        <f t="array" ref="L81">INT(SUMPRODUCT(--ISNUMBER(SEARCH(healthcare,C81)))&gt;0)</f>
        <v>0</v>
      </c>
      <c r="M81" s="14" cm="1">
        <f t="array" ref="M81">INT(SUMPRODUCT(--ISNUMBER(SEARCH(supreme,C81)))&gt;0)</f>
        <v>0</v>
      </c>
      <c r="N81" s="14" cm="1">
        <f t="array" ref="N81">INT(SUMPRODUCT(--ISNUMBER(SEARCH(covid,C81)))&gt;0)</f>
        <v>0</v>
      </c>
      <c r="O81" s="14" cm="1">
        <f t="array" ref="O81">INT(SUMPRODUCT(--ISNUMBER(SEARCH(violent,C81)))&gt;0)</f>
        <v>0</v>
      </c>
      <c r="P81" s="14" cm="1">
        <f t="array" ref="P81">INT(SUMPRODUCT(--ISNUMBER(SEARCH(foreign,C81)))&gt;0)</f>
        <v>0</v>
      </c>
      <c r="Q81" s="14" cm="1">
        <f t="array" ref="Q81">INT(SUMPRODUCT(--ISNUMBER(SEARCH(gun,C81)))&gt;0)</f>
        <v>0</v>
      </c>
      <c r="R81" s="14" cm="1">
        <f t="array" ref="R81">INT(SUMPRODUCT(--ISNUMBER(SEARCH(race,C81)))&gt;0)</f>
        <v>0</v>
      </c>
      <c r="S81" s="14" cm="1">
        <f t="array" ref="S81">INT(SUMPRODUCT(--ISNUMBER(SEARCH(immigration,C81)))&gt;0)</f>
        <v>0</v>
      </c>
      <c r="T81" s="14" cm="1">
        <f t="array" ref="T81">INT(SUMPRODUCT(--ISNUMBER(SEARCH(econineq,C82)))&gt;0)</f>
        <v>0</v>
      </c>
      <c r="U81" s="14" cm="1">
        <f t="array" ref="U81">INT(SUMPRODUCT(--ISNUMBER(SEARCH(climate,C81)))&gt;0)</f>
        <v>0</v>
      </c>
      <c r="V81" s="14" cm="1">
        <f t="array" ref="V81">INT(SUMPRODUCT(--ISNUMBER(SEARCH(abortion,C81)))&gt;0)</f>
        <v>0</v>
      </c>
      <c r="W81" s="14" cm="1">
        <f t="array" ref="W81">INT(SUMPRODUCT(--ISNUMBER(SEARCH(trump,C81)))&gt;0)</f>
        <v>0</v>
      </c>
      <c r="X81" s="14" cm="1">
        <f t="array" ref="X81">INT(SUMPRODUCT(--ISNUMBER(SEARCH(voting,C81)))&gt;0)</f>
        <v>1</v>
      </c>
      <c r="Y81" s="35" cm="1">
        <f t="array" ref="Y81">INT(SUMPRODUCT(--ISNUMBER(SEARCH(republicantrigger,C81)))&gt;0)</f>
        <v>0</v>
      </c>
      <c r="Z81" s="35" cm="1">
        <f t="array" ref="Z81">INT(SUMPRODUCT(--ISNUMBER(SEARCH(bipartisan,C81)))&gt;0)</f>
        <v>0</v>
      </c>
      <c r="AA81" s="35">
        <f t="shared" si="1"/>
        <v>0</v>
      </c>
      <c r="AB81" s="14"/>
      <c r="AC81" s="30" t="s">
        <v>223</v>
      </c>
      <c r="AD81" s="37" t="s">
        <v>223</v>
      </c>
    </row>
    <row r="82" spans="1:30" x14ac:dyDescent="0.25">
      <c r="A82" s="36">
        <v>3622</v>
      </c>
      <c r="B82" s="14" t="s">
        <v>6998</v>
      </c>
      <c r="C82" s="14" t="s">
        <v>6999</v>
      </c>
      <c r="D82" s="17">
        <v>44127</v>
      </c>
      <c r="E82" s="14" t="s">
        <v>30</v>
      </c>
      <c r="F82" s="14">
        <v>472</v>
      </c>
      <c r="G82" s="14">
        <v>96</v>
      </c>
      <c r="H82" s="14">
        <v>17</v>
      </c>
      <c r="I82" s="14">
        <v>9</v>
      </c>
      <c r="J82" s="14" t="s">
        <v>31</v>
      </c>
      <c r="K82" s="14" cm="1">
        <f t="array" ref="K82">INT(SUMPRODUCT(--ISNUMBER(SEARCH(economy,C82)))&gt;0)</f>
        <v>0</v>
      </c>
      <c r="L82" s="14" cm="1">
        <f t="array" ref="L82">INT(SUMPRODUCT(--ISNUMBER(SEARCH(healthcare,C82)))&gt;0)</f>
        <v>0</v>
      </c>
      <c r="M82" s="14" cm="1">
        <f t="array" ref="M82">INT(SUMPRODUCT(--ISNUMBER(SEARCH(supreme,C82)))&gt;0)</f>
        <v>0</v>
      </c>
      <c r="N82" s="14" cm="1">
        <f t="array" ref="N82">INT(SUMPRODUCT(--ISNUMBER(SEARCH(covid,C82)))&gt;0)</f>
        <v>0</v>
      </c>
      <c r="O82" s="14" cm="1">
        <f t="array" ref="O82">INT(SUMPRODUCT(--ISNUMBER(SEARCH(violent,C82)))&gt;0)</f>
        <v>0</v>
      </c>
      <c r="P82" s="14" cm="1">
        <f t="array" ref="P82">INT(SUMPRODUCT(--ISNUMBER(SEARCH(foreign,C82)))&gt;0)</f>
        <v>0</v>
      </c>
      <c r="Q82" s="14" cm="1">
        <f t="array" ref="Q82">INT(SUMPRODUCT(--ISNUMBER(SEARCH(gun,C82)))&gt;0)</f>
        <v>0</v>
      </c>
      <c r="R82" s="14" cm="1">
        <f t="array" ref="R82">INT(SUMPRODUCT(--ISNUMBER(SEARCH(race,C82)))&gt;0)</f>
        <v>0</v>
      </c>
      <c r="S82" s="14" cm="1">
        <f t="array" ref="S82">INT(SUMPRODUCT(--ISNUMBER(SEARCH(immigration,C82)))&gt;0)</f>
        <v>0</v>
      </c>
      <c r="T82" s="14" cm="1">
        <f t="array" ref="T82">INT(SUMPRODUCT(--ISNUMBER(SEARCH(econineq,C83)))&gt;0)</f>
        <v>0</v>
      </c>
      <c r="U82" s="14" cm="1">
        <f t="array" ref="U82">INT(SUMPRODUCT(--ISNUMBER(SEARCH(climate,C82)))&gt;0)</f>
        <v>0</v>
      </c>
      <c r="V82" s="14" cm="1">
        <f t="array" ref="V82">INT(SUMPRODUCT(--ISNUMBER(SEARCH(abortion,C82)))&gt;0)</f>
        <v>0</v>
      </c>
      <c r="W82" s="14" cm="1">
        <f t="array" ref="W82">INT(SUMPRODUCT(--ISNUMBER(SEARCH(trump,C82)))&gt;0)</f>
        <v>0</v>
      </c>
      <c r="X82" s="14" cm="1">
        <f t="array" ref="X82">INT(SUMPRODUCT(--ISNUMBER(SEARCH(voting,C82)))&gt;0)</f>
        <v>1</v>
      </c>
      <c r="Y82" s="35" cm="1">
        <f t="array" ref="Y82">INT(SUMPRODUCT(--ISNUMBER(SEARCH(republicantrigger,C82)))&gt;0)</f>
        <v>1</v>
      </c>
      <c r="Z82" s="35" cm="1">
        <f t="array" ref="Z82">INT(SUMPRODUCT(--ISNUMBER(SEARCH(bipartisan,C82)))&gt;0)</f>
        <v>0</v>
      </c>
      <c r="AA82" s="35">
        <f t="shared" si="1"/>
        <v>0</v>
      </c>
      <c r="AB82" s="14"/>
      <c r="AC82" s="30" t="s">
        <v>223</v>
      </c>
      <c r="AD82" s="37" t="s">
        <v>223</v>
      </c>
    </row>
    <row r="83" spans="1:30" x14ac:dyDescent="0.25">
      <c r="A83" s="36">
        <v>3623</v>
      </c>
      <c r="B83" s="14" t="s">
        <v>7000</v>
      </c>
      <c r="C83" s="14" t="s">
        <v>7001</v>
      </c>
      <c r="D83" s="17">
        <v>44127</v>
      </c>
      <c r="E83" s="14" t="s">
        <v>30</v>
      </c>
      <c r="F83" s="14">
        <v>66</v>
      </c>
      <c r="G83" s="14">
        <v>19</v>
      </c>
      <c r="H83" s="14">
        <v>17</v>
      </c>
      <c r="I83" s="14">
        <v>9</v>
      </c>
      <c r="J83" s="14" t="s">
        <v>31</v>
      </c>
      <c r="K83" s="14" cm="1">
        <f t="array" ref="K83">INT(SUMPRODUCT(--ISNUMBER(SEARCH(economy,C83)))&gt;0)</f>
        <v>0</v>
      </c>
      <c r="L83" s="14" cm="1">
        <f t="array" ref="L83">INT(SUMPRODUCT(--ISNUMBER(SEARCH(healthcare,C83)))&gt;0)</f>
        <v>0</v>
      </c>
      <c r="M83" s="14" cm="1">
        <f t="array" ref="M83">INT(SUMPRODUCT(--ISNUMBER(SEARCH(supreme,C83)))&gt;0)</f>
        <v>0</v>
      </c>
      <c r="N83" s="14" cm="1">
        <f t="array" ref="N83">INT(SUMPRODUCT(--ISNUMBER(SEARCH(covid,C83)))&gt;0)</f>
        <v>0</v>
      </c>
      <c r="O83" s="14" cm="1">
        <f t="array" ref="O83">INT(SUMPRODUCT(--ISNUMBER(SEARCH(violent,C83)))&gt;0)</f>
        <v>0</v>
      </c>
      <c r="P83" s="14" cm="1">
        <f t="array" ref="P83">INT(SUMPRODUCT(--ISNUMBER(SEARCH(foreign,C83)))&gt;0)</f>
        <v>0</v>
      </c>
      <c r="Q83" s="14" cm="1">
        <f t="array" ref="Q83">INT(SUMPRODUCT(--ISNUMBER(SEARCH(gun,C83)))&gt;0)</f>
        <v>0</v>
      </c>
      <c r="R83" s="14" cm="1">
        <f t="array" ref="R83">INT(SUMPRODUCT(--ISNUMBER(SEARCH(race,C83)))&gt;0)</f>
        <v>0</v>
      </c>
      <c r="S83" s="14" cm="1">
        <f t="array" ref="S83">INT(SUMPRODUCT(--ISNUMBER(SEARCH(immigration,C83)))&gt;0)</f>
        <v>0</v>
      </c>
      <c r="T83" s="14" cm="1">
        <f t="array" ref="T83">INT(SUMPRODUCT(--ISNUMBER(SEARCH(econineq,C84)))&gt;0)</f>
        <v>0</v>
      </c>
      <c r="U83" s="14" cm="1">
        <f t="array" ref="U83">INT(SUMPRODUCT(--ISNUMBER(SEARCH(climate,C83)))&gt;0)</f>
        <v>0</v>
      </c>
      <c r="V83" s="14" cm="1">
        <f t="array" ref="V83">INT(SUMPRODUCT(--ISNUMBER(SEARCH(abortion,C83)))&gt;0)</f>
        <v>0</v>
      </c>
      <c r="W83" s="14" cm="1">
        <f t="array" ref="W83">INT(SUMPRODUCT(--ISNUMBER(SEARCH(trump,C83)))&gt;0)</f>
        <v>0</v>
      </c>
      <c r="X83" s="14" cm="1">
        <f t="array" ref="X83">INT(SUMPRODUCT(--ISNUMBER(SEARCH(voting,C83)))&gt;0)</f>
        <v>0</v>
      </c>
      <c r="Y83" s="35" cm="1">
        <f t="array" ref="Y83">INT(SUMPRODUCT(--ISNUMBER(SEARCH(republicantrigger,C83)))&gt;0)</f>
        <v>0</v>
      </c>
      <c r="Z83" s="35" cm="1">
        <f t="array" ref="Z83">INT(SUMPRODUCT(--ISNUMBER(SEARCH(bipartisan,C83)))&gt;0)</f>
        <v>0</v>
      </c>
      <c r="AA83" s="35">
        <f t="shared" si="1"/>
        <v>1</v>
      </c>
      <c r="AB83" s="14"/>
      <c r="AC83" s="30" t="s">
        <v>223</v>
      </c>
      <c r="AD83" s="37" t="s">
        <v>223</v>
      </c>
    </row>
    <row r="84" spans="1:30" x14ac:dyDescent="0.25">
      <c r="A84" s="36">
        <v>3624</v>
      </c>
      <c r="B84" s="14" t="s">
        <v>7002</v>
      </c>
      <c r="C84" s="14" t="s">
        <v>7003</v>
      </c>
      <c r="D84" s="17">
        <v>44127</v>
      </c>
      <c r="E84" s="14" t="s">
        <v>30</v>
      </c>
      <c r="F84" s="14">
        <v>166</v>
      </c>
      <c r="G84" s="14">
        <v>21</v>
      </c>
      <c r="H84" s="14">
        <v>17</v>
      </c>
      <c r="I84" s="14">
        <v>9</v>
      </c>
      <c r="J84" s="14" t="s">
        <v>31</v>
      </c>
      <c r="K84" s="14" cm="1">
        <f t="array" ref="K84">INT(SUMPRODUCT(--ISNUMBER(SEARCH(economy,C84)))&gt;0)</f>
        <v>0</v>
      </c>
      <c r="L84" s="14" cm="1">
        <f t="array" ref="L84">INT(SUMPRODUCT(--ISNUMBER(SEARCH(healthcare,C84)))&gt;0)</f>
        <v>0</v>
      </c>
      <c r="M84" s="14" cm="1">
        <f t="array" ref="M84">INT(SUMPRODUCT(--ISNUMBER(SEARCH(supreme,C84)))&gt;0)</f>
        <v>0</v>
      </c>
      <c r="N84" s="14" cm="1">
        <f t="array" ref="N84">INT(SUMPRODUCT(--ISNUMBER(SEARCH(covid,C84)))&gt;0)</f>
        <v>0</v>
      </c>
      <c r="O84" s="14" cm="1">
        <f t="array" ref="O84">INT(SUMPRODUCT(--ISNUMBER(SEARCH(violent,C84)))&gt;0)</f>
        <v>0</v>
      </c>
      <c r="P84" s="14" cm="1">
        <f t="array" ref="P84">INT(SUMPRODUCT(--ISNUMBER(SEARCH(foreign,C84)))&gt;0)</f>
        <v>0</v>
      </c>
      <c r="Q84" s="14" cm="1">
        <f t="array" ref="Q84">INT(SUMPRODUCT(--ISNUMBER(SEARCH(gun,C84)))&gt;0)</f>
        <v>0</v>
      </c>
      <c r="R84" s="14" cm="1">
        <f t="array" ref="R84">INT(SUMPRODUCT(--ISNUMBER(SEARCH(race,C84)))&gt;0)</f>
        <v>0</v>
      </c>
      <c r="S84" s="14" cm="1">
        <f t="array" ref="S84">INT(SUMPRODUCT(--ISNUMBER(SEARCH(immigration,C84)))&gt;0)</f>
        <v>0</v>
      </c>
      <c r="T84" s="14" cm="1">
        <f t="array" ref="T84">INT(SUMPRODUCT(--ISNUMBER(SEARCH(econineq,C85)))&gt;0)</f>
        <v>0</v>
      </c>
      <c r="U84" s="14" cm="1">
        <f t="array" ref="U84">INT(SUMPRODUCT(--ISNUMBER(SEARCH(climate,C84)))&gt;0)</f>
        <v>0</v>
      </c>
      <c r="V84" s="14" cm="1">
        <f t="array" ref="V84">INT(SUMPRODUCT(--ISNUMBER(SEARCH(abortion,C84)))&gt;0)</f>
        <v>0</v>
      </c>
      <c r="W84" s="14" cm="1">
        <f t="array" ref="W84">INT(SUMPRODUCT(--ISNUMBER(SEARCH(trump,C84)))&gt;0)</f>
        <v>0</v>
      </c>
      <c r="X84" s="14" cm="1">
        <f t="array" ref="X84">INT(SUMPRODUCT(--ISNUMBER(SEARCH(voting,C84)))&gt;0)</f>
        <v>0</v>
      </c>
      <c r="Y84" s="35" cm="1">
        <f t="array" ref="Y84">INT(SUMPRODUCT(--ISNUMBER(SEARCH(republicantrigger,C84)))&gt;0)</f>
        <v>0</v>
      </c>
      <c r="Z84" s="35" cm="1">
        <f t="array" ref="Z84">INT(SUMPRODUCT(--ISNUMBER(SEARCH(bipartisan,C84)))&gt;0)</f>
        <v>0</v>
      </c>
      <c r="AA84" s="35">
        <f t="shared" si="1"/>
        <v>1</v>
      </c>
      <c r="AB84" s="14"/>
      <c r="AC84" s="30" t="s">
        <v>223</v>
      </c>
      <c r="AD84" s="37" t="s">
        <v>223</v>
      </c>
    </row>
    <row r="85" spans="1:30" x14ac:dyDescent="0.25">
      <c r="A85" s="36">
        <v>3625</v>
      </c>
      <c r="B85" s="14" t="s">
        <v>7004</v>
      </c>
      <c r="C85" s="14" t="s">
        <v>7005</v>
      </c>
      <c r="D85" s="17">
        <v>44127</v>
      </c>
      <c r="E85" s="14" t="s">
        <v>30</v>
      </c>
      <c r="F85" s="14">
        <v>218</v>
      </c>
      <c r="G85" s="14">
        <v>67</v>
      </c>
      <c r="H85" s="14">
        <v>17</v>
      </c>
      <c r="I85" s="14">
        <v>9</v>
      </c>
      <c r="J85" s="14" t="s">
        <v>31</v>
      </c>
      <c r="K85" s="14" cm="1">
        <f t="array" ref="K85">INT(SUMPRODUCT(--ISNUMBER(SEARCH(economy,C85)))&gt;0)</f>
        <v>1</v>
      </c>
      <c r="L85" s="14" cm="1">
        <f t="array" ref="L85">INT(SUMPRODUCT(--ISNUMBER(SEARCH(healthcare,C85)))&gt;0)</f>
        <v>0</v>
      </c>
      <c r="M85" s="14" cm="1">
        <f t="array" ref="M85">INT(SUMPRODUCT(--ISNUMBER(SEARCH(supreme,C85)))&gt;0)</f>
        <v>0</v>
      </c>
      <c r="N85" s="14" cm="1">
        <f t="array" ref="N85">INT(SUMPRODUCT(--ISNUMBER(SEARCH(covid,C85)))&gt;0)</f>
        <v>0</v>
      </c>
      <c r="O85" s="14" cm="1">
        <f t="array" ref="O85">INT(SUMPRODUCT(--ISNUMBER(SEARCH(violent,C85)))&gt;0)</f>
        <v>0</v>
      </c>
      <c r="P85" s="14" cm="1">
        <f t="array" ref="P85">INT(SUMPRODUCT(--ISNUMBER(SEARCH(foreign,C85)))&gt;0)</f>
        <v>1</v>
      </c>
      <c r="Q85" s="14" cm="1">
        <f t="array" ref="Q85">INT(SUMPRODUCT(--ISNUMBER(SEARCH(gun,C85)))&gt;0)</f>
        <v>0</v>
      </c>
      <c r="R85" s="14" cm="1">
        <f t="array" ref="R85">INT(SUMPRODUCT(--ISNUMBER(SEARCH(race,C85)))&gt;0)</f>
        <v>0</v>
      </c>
      <c r="S85" s="14" cm="1">
        <f t="array" ref="S85">INT(SUMPRODUCT(--ISNUMBER(SEARCH(immigration,C85)))&gt;0)</f>
        <v>0</v>
      </c>
      <c r="T85" s="14" cm="1">
        <f t="array" ref="T85">INT(SUMPRODUCT(--ISNUMBER(SEARCH(econineq,C86)))&gt;0)</f>
        <v>0</v>
      </c>
      <c r="U85" s="14" cm="1">
        <f t="array" ref="U85">INT(SUMPRODUCT(--ISNUMBER(SEARCH(climate,C85)))&gt;0)</f>
        <v>1</v>
      </c>
      <c r="V85" s="14" cm="1">
        <f t="array" ref="V85">INT(SUMPRODUCT(--ISNUMBER(SEARCH(abortion,C85)))&gt;0)</f>
        <v>0</v>
      </c>
      <c r="W85" s="14" cm="1">
        <f t="array" ref="W85">INT(SUMPRODUCT(--ISNUMBER(SEARCH(trump,C85)))&gt;0)</f>
        <v>0</v>
      </c>
      <c r="X85" s="14" cm="1">
        <f t="array" ref="X85">INT(SUMPRODUCT(--ISNUMBER(SEARCH(voting,C85)))&gt;0)</f>
        <v>0</v>
      </c>
      <c r="Y85" s="35" cm="1">
        <f t="array" ref="Y85">INT(SUMPRODUCT(--ISNUMBER(SEARCH(republicantrigger,C85)))&gt;0)</f>
        <v>0</v>
      </c>
      <c r="Z85" s="35" cm="1">
        <f t="array" ref="Z85">INT(SUMPRODUCT(--ISNUMBER(SEARCH(bipartisan,C85)))&gt;0)</f>
        <v>0</v>
      </c>
      <c r="AA85" s="35">
        <f t="shared" si="1"/>
        <v>0</v>
      </c>
      <c r="AB85" s="14"/>
      <c r="AC85" s="30" t="s">
        <v>223</v>
      </c>
      <c r="AD85" s="37" t="s">
        <v>223</v>
      </c>
    </row>
    <row r="86" spans="1:30" x14ac:dyDescent="0.25">
      <c r="A86" s="36">
        <v>3626</v>
      </c>
      <c r="B86" s="14" t="s">
        <v>7006</v>
      </c>
      <c r="C86" s="14" t="s">
        <v>7007</v>
      </c>
      <c r="D86" s="17">
        <v>44127</v>
      </c>
      <c r="E86" s="14" t="s">
        <v>30</v>
      </c>
      <c r="F86" s="14">
        <v>135</v>
      </c>
      <c r="G86" s="14">
        <v>28</v>
      </c>
      <c r="H86" s="14">
        <v>17</v>
      </c>
      <c r="I86" s="14">
        <v>9</v>
      </c>
      <c r="J86" s="14" t="s">
        <v>31</v>
      </c>
      <c r="K86" s="14" cm="1">
        <f t="array" ref="K86">INT(SUMPRODUCT(--ISNUMBER(SEARCH(economy,C86)))&gt;0)</f>
        <v>0</v>
      </c>
      <c r="L86" s="14" cm="1">
        <f t="array" ref="L86">INT(SUMPRODUCT(--ISNUMBER(SEARCH(healthcare,C86)))&gt;0)</f>
        <v>0</v>
      </c>
      <c r="M86" s="14" cm="1">
        <f t="array" ref="M86">INT(SUMPRODUCT(--ISNUMBER(SEARCH(supreme,C86)))&gt;0)</f>
        <v>0</v>
      </c>
      <c r="N86" s="14" cm="1">
        <f t="array" ref="N86">INT(SUMPRODUCT(--ISNUMBER(SEARCH(covid,C86)))&gt;0)</f>
        <v>0</v>
      </c>
      <c r="O86" s="14" cm="1">
        <f t="array" ref="O86">INT(SUMPRODUCT(--ISNUMBER(SEARCH(violent,C86)))&gt;0)</f>
        <v>0</v>
      </c>
      <c r="P86" s="14" cm="1">
        <f t="array" ref="P86">INT(SUMPRODUCT(--ISNUMBER(SEARCH(foreign,C86)))&gt;0)</f>
        <v>0</v>
      </c>
      <c r="Q86" s="14" cm="1">
        <f t="array" ref="Q86">INT(SUMPRODUCT(--ISNUMBER(SEARCH(gun,C86)))&gt;0)</f>
        <v>0</v>
      </c>
      <c r="R86" s="14" cm="1">
        <f t="array" ref="R86">INT(SUMPRODUCT(--ISNUMBER(SEARCH(race,C86)))&gt;0)</f>
        <v>0</v>
      </c>
      <c r="S86" s="14" cm="1">
        <f t="array" ref="S86">INT(SUMPRODUCT(--ISNUMBER(SEARCH(immigration,C86)))&gt;0)</f>
        <v>0</v>
      </c>
      <c r="T86" s="14" cm="1">
        <f t="array" ref="T86">INT(SUMPRODUCT(--ISNUMBER(SEARCH(econineq,C87)))&gt;0)</f>
        <v>0</v>
      </c>
      <c r="U86" s="14" cm="1">
        <f t="array" ref="U86">INT(SUMPRODUCT(--ISNUMBER(SEARCH(climate,C86)))&gt;0)</f>
        <v>0</v>
      </c>
      <c r="V86" s="14" cm="1">
        <f t="array" ref="V86">INT(SUMPRODUCT(--ISNUMBER(SEARCH(abortion,C86)))&gt;0)</f>
        <v>0</v>
      </c>
      <c r="W86" s="14" cm="1">
        <f t="array" ref="W86">INT(SUMPRODUCT(--ISNUMBER(SEARCH(trump,C86)))&gt;0)</f>
        <v>0</v>
      </c>
      <c r="X86" s="14" cm="1">
        <f t="array" ref="X86">INT(SUMPRODUCT(--ISNUMBER(SEARCH(voting,C86)))&gt;0)</f>
        <v>0</v>
      </c>
      <c r="Y86" s="35" cm="1">
        <f t="array" ref="Y86">INT(SUMPRODUCT(--ISNUMBER(SEARCH(republicantrigger,C86)))&gt;0)</f>
        <v>1</v>
      </c>
      <c r="Z86" s="35" cm="1">
        <f t="array" ref="Z86">INT(SUMPRODUCT(--ISNUMBER(SEARCH(bipartisan,C86)))&gt;0)</f>
        <v>0</v>
      </c>
      <c r="AA86" s="35">
        <f t="shared" si="1"/>
        <v>0</v>
      </c>
      <c r="AB86" s="14"/>
      <c r="AC86" s="30" t="s">
        <v>223</v>
      </c>
      <c r="AD86" s="37" t="s">
        <v>223</v>
      </c>
    </row>
    <row r="87" spans="1:30" x14ac:dyDescent="0.25">
      <c r="A87" s="36">
        <v>3627</v>
      </c>
      <c r="B87" s="14" t="s">
        <v>7008</v>
      </c>
      <c r="C87" s="14" t="s">
        <v>7009</v>
      </c>
      <c r="D87" s="17">
        <v>44127</v>
      </c>
      <c r="E87" s="14" t="s">
        <v>30</v>
      </c>
      <c r="F87" s="14">
        <v>232</v>
      </c>
      <c r="G87" s="14">
        <v>61</v>
      </c>
      <c r="H87" s="14">
        <v>17</v>
      </c>
      <c r="I87" s="14">
        <v>9</v>
      </c>
      <c r="J87" s="14" t="s">
        <v>31</v>
      </c>
      <c r="K87" s="14" cm="1">
        <f t="array" ref="K87">INT(SUMPRODUCT(--ISNUMBER(SEARCH(economy,C87)))&gt;0)</f>
        <v>0</v>
      </c>
      <c r="L87" s="14" cm="1">
        <f t="array" ref="L87">INT(SUMPRODUCT(--ISNUMBER(SEARCH(healthcare,C87)))&gt;0)</f>
        <v>0</v>
      </c>
      <c r="M87" s="14" cm="1">
        <f t="array" ref="M87">INT(SUMPRODUCT(--ISNUMBER(SEARCH(supreme,C87)))&gt;0)</f>
        <v>0</v>
      </c>
      <c r="N87" s="14" cm="1">
        <f t="array" ref="N87">INT(SUMPRODUCT(--ISNUMBER(SEARCH(covid,C87)))&gt;0)</f>
        <v>0</v>
      </c>
      <c r="O87" s="14" cm="1">
        <f t="array" ref="O87">INT(SUMPRODUCT(--ISNUMBER(SEARCH(violent,C87)))&gt;0)</f>
        <v>0</v>
      </c>
      <c r="P87" s="14" cm="1">
        <f t="array" ref="P87">INT(SUMPRODUCT(--ISNUMBER(SEARCH(foreign,C87)))&gt;0)</f>
        <v>0</v>
      </c>
      <c r="Q87" s="14" cm="1">
        <f t="array" ref="Q87">INT(SUMPRODUCT(--ISNUMBER(SEARCH(gun,C87)))&gt;0)</f>
        <v>0</v>
      </c>
      <c r="R87" s="14" cm="1">
        <f t="array" ref="R87">INT(SUMPRODUCT(--ISNUMBER(SEARCH(race,C87)))&gt;0)</f>
        <v>0</v>
      </c>
      <c r="S87" s="14" cm="1">
        <f t="array" ref="S87">INT(SUMPRODUCT(--ISNUMBER(SEARCH(immigration,C87)))&gt;0)</f>
        <v>0</v>
      </c>
      <c r="T87" s="14" cm="1">
        <f t="array" ref="T87">INT(SUMPRODUCT(--ISNUMBER(SEARCH(econineq,C88)))&gt;0)</f>
        <v>0</v>
      </c>
      <c r="U87" s="14" cm="1">
        <f t="array" ref="U87">INT(SUMPRODUCT(--ISNUMBER(SEARCH(climate,C87)))&gt;0)</f>
        <v>0</v>
      </c>
      <c r="V87" s="14" cm="1">
        <f t="array" ref="V87">INT(SUMPRODUCT(--ISNUMBER(SEARCH(abortion,C87)))&gt;0)</f>
        <v>0</v>
      </c>
      <c r="W87" s="14" cm="1">
        <f t="array" ref="W87">INT(SUMPRODUCT(--ISNUMBER(SEARCH(trump,C87)))&gt;0)</f>
        <v>0</v>
      </c>
      <c r="X87" s="14" cm="1">
        <f t="array" ref="X87">INT(SUMPRODUCT(--ISNUMBER(SEARCH(voting,C87)))&gt;0)</f>
        <v>0</v>
      </c>
      <c r="Y87" s="35" cm="1">
        <f t="array" ref="Y87">INT(SUMPRODUCT(--ISNUMBER(SEARCH(republicantrigger,C87)))&gt;0)</f>
        <v>0</v>
      </c>
      <c r="Z87" s="35" cm="1">
        <f t="array" ref="Z87">INT(SUMPRODUCT(--ISNUMBER(SEARCH(bipartisan,C87)))&gt;0)</f>
        <v>0</v>
      </c>
      <c r="AA87" s="35">
        <f t="shared" si="1"/>
        <v>1</v>
      </c>
      <c r="AB87" s="14"/>
      <c r="AC87" s="30" t="s">
        <v>223</v>
      </c>
      <c r="AD87" s="37" t="s">
        <v>223</v>
      </c>
    </row>
    <row r="88" spans="1:30" x14ac:dyDescent="0.25">
      <c r="A88" s="36">
        <v>3628</v>
      </c>
      <c r="B88" s="14" t="s">
        <v>7010</v>
      </c>
      <c r="C88" s="14" t="s">
        <v>7011</v>
      </c>
      <c r="D88" s="17">
        <v>44127</v>
      </c>
      <c r="E88" s="14" t="s">
        <v>30</v>
      </c>
      <c r="F88" s="14">
        <v>265</v>
      </c>
      <c r="G88" s="14">
        <v>46</v>
      </c>
      <c r="H88" s="14">
        <v>17</v>
      </c>
      <c r="I88" s="14">
        <v>9</v>
      </c>
      <c r="J88" s="14" t="s">
        <v>31</v>
      </c>
      <c r="K88" s="14" cm="1">
        <f t="array" ref="K88">INT(SUMPRODUCT(--ISNUMBER(SEARCH(economy,C88)))&gt;0)</f>
        <v>0</v>
      </c>
      <c r="L88" s="14" cm="1">
        <f t="array" ref="L88">INT(SUMPRODUCT(--ISNUMBER(SEARCH(healthcare,C88)))&gt;0)</f>
        <v>0</v>
      </c>
      <c r="M88" s="14" cm="1">
        <f t="array" ref="M88">INT(SUMPRODUCT(--ISNUMBER(SEARCH(supreme,C88)))&gt;0)</f>
        <v>1</v>
      </c>
      <c r="N88" s="14" cm="1">
        <f t="array" ref="N88">INT(SUMPRODUCT(--ISNUMBER(SEARCH(covid,C88)))&gt;0)</f>
        <v>0</v>
      </c>
      <c r="O88" s="14" cm="1">
        <f t="array" ref="O88">INT(SUMPRODUCT(--ISNUMBER(SEARCH(violent,C88)))&gt;0)</f>
        <v>0</v>
      </c>
      <c r="P88" s="14" cm="1">
        <f t="array" ref="P88">INT(SUMPRODUCT(--ISNUMBER(SEARCH(foreign,C88)))&gt;0)</f>
        <v>0</v>
      </c>
      <c r="Q88" s="14" cm="1">
        <f t="array" ref="Q88">INT(SUMPRODUCT(--ISNUMBER(SEARCH(gun,C88)))&gt;0)</f>
        <v>0</v>
      </c>
      <c r="R88" s="14" cm="1">
        <f t="array" ref="R88">INT(SUMPRODUCT(--ISNUMBER(SEARCH(race,C88)))&gt;0)</f>
        <v>0</v>
      </c>
      <c r="S88" s="14" cm="1">
        <f t="array" ref="S88">INT(SUMPRODUCT(--ISNUMBER(SEARCH(immigration,C88)))&gt;0)</f>
        <v>0</v>
      </c>
      <c r="T88" s="14" cm="1">
        <f t="array" ref="T88">INT(SUMPRODUCT(--ISNUMBER(SEARCH(econineq,C89)))&gt;0)</f>
        <v>0</v>
      </c>
      <c r="U88" s="14" cm="1">
        <f t="array" ref="U88">INT(SUMPRODUCT(--ISNUMBER(SEARCH(climate,C88)))&gt;0)</f>
        <v>0</v>
      </c>
      <c r="V88" s="14" cm="1">
        <f t="array" ref="V88">INT(SUMPRODUCT(--ISNUMBER(SEARCH(abortion,C88)))&gt;0)</f>
        <v>0</v>
      </c>
      <c r="W88" s="14" cm="1">
        <f t="array" ref="W88">INT(SUMPRODUCT(--ISNUMBER(SEARCH(trump,C88)))&gt;0)</f>
        <v>0</v>
      </c>
      <c r="X88" s="14" cm="1">
        <f t="array" ref="X88">INT(SUMPRODUCT(--ISNUMBER(SEARCH(voting,C88)))&gt;0)</f>
        <v>0</v>
      </c>
      <c r="Y88" s="35" cm="1">
        <f t="array" ref="Y88">INT(SUMPRODUCT(--ISNUMBER(SEARCH(republicantrigger,C88)))&gt;0)</f>
        <v>0</v>
      </c>
      <c r="Z88" s="35" cm="1">
        <f t="array" ref="Z88">INT(SUMPRODUCT(--ISNUMBER(SEARCH(bipartisan,C88)))&gt;0)</f>
        <v>0</v>
      </c>
      <c r="AA88" s="35">
        <f t="shared" si="1"/>
        <v>0</v>
      </c>
      <c r="AB88" s="14"/>
      <c r="AC88" s="30" t="s">
        <v>223</v>
      </c>
      <c r="AD88" s="37" t="s">
        <v>223</v>
      </c>
    </row>
    <row r="89" spans="1:30" x14ac:dyDescent="0.25">
      <c r="A89" s="36">
        <v>3629</v>
      </c>
      <c r="B89" s="14" t="s">
        <v>7012</v>
      </c>
      <c r="C89" s="14" t="s">
        <v>7013</v>
      </c>
      <c r="D89" s="17">
        <v>44127</v>
      </c>
      <c r="E89" s="14" t="s">
        <v>30</v>
      </c>
      <c r="F89" s="14">
        <v>165</v>
      </c>
      <c r="G89" s="14">
        <v>33</v>
      </c>
      <c r="H89" s="14">
        <v>17</v>
      </c>
      <c r="I89" s="14">
        <v>9</v>
      </c>
      <c r="J89" s="14" t="s">
        <v>31</v>
      </c>
      <c r="K89" s="14" cm="1">
        <f t="array" ref="K89">INT(SUMPRODUCT(--ISNUMBER(SEARCH(economy,C89)))&gt;0)</f>
        <v>0</v>
      </c>
      <c r="L89" s="14" cm="1">
        <f t="array" ref="L89">INT(SUMPRODUCT(--ISNUMBER(SEARCH(healthcare,C89)))&gt;0)</f>
        <v>0</v>
      </c>
      <c r="M89" s="14" cm="1">
        <f t="array" ref="M89">INT(SUMPRODUCT(--ISNUMBER(SEARCH(supreme,C89)))&gt;0)</f>
        <v>0</v>
      </c>
      <c r="N89" s="14" cm="1">
        <f t="array" ref="N89">INT(SUMPRODUCT(--ISNUMBER(SEARCH(covid,C89)))&gt;0)</f>
        <v>0</v>
      </c>
      <c r="O89" s="14" cm="1">
        <f t="array" ref="O89">INT(SUMPRODUCT(--ISNUMBER(SEARCH(violent,C89)))&gt;0)</f>
        <v>0</v>
      </c>
      <c r="P89" s="14" cm="1">
        <f t="array" ref="P89">INT(SUMPRODUCT(--ISNUMBER(SEARCH(foreign,C89)))&gt;0)</f>
        <v>0</v>
      </c>
      <c r="Q89" s="14" cm="1">
        <f t="array" ref="Q89">INT(SUMPRODUCT(--ISNUMBER(SEARCH(gun,C89)))&gt;0)</f>
        <v>0</v>
      </c>
      <c r="R89" s="14" cm="1">
        <f t="array" ref="R89">INT(SUMPRODUCT(--ISNUMBER(SEARCH(race,C89)))&gt;0)</f>
        <v>0</v>
      </c>
      <c r="S89" s="14" cm="1">
        <f t="array" ref="S89">INT(SUMPRODUCT(--ISNUMBER(SEARCH(immigration,C89)))&gt;0)</f>
        <v>0</v>
      </c>
      <c r="T89" s="14" cm="1">
        <f t="array" ref="T89">INT(SUMPRODUCT(--ISNUMBER(SEARCH(econineq,C90)))&gt;0)</f>
        <v>0</v>
      </c>
      <c r="U89" s="14" cm="1">
        <f t="array" ref="U89">INT(SUMPRODUCT(--ISNUMBER(SEARCH(climate,C89)))&gt;0)</f>
        <v>0</v>
      </c>
      <c r="V89" s="14" cm="1">
        <f t="array" ref="V89">INT(SUMPRODUCT(--ISNUMBER(SEARCH(abortion,C89)))&gt;0)</f>
        <v>0</v>
      </c>
      <c r="W89" s="14" cm="1">
        <f t="array" ref="W89">INT(SUMPRODUCT(--ISNUMBER(SEARCH(trump,C89)))&gt;0)</f>
        <v>0</v>
      </c>
      <c r="X89" s="14" cm="1">
        <f t="array" ref="X89">INT(SUMPRODUCT(--ISNUMBER(SEARCH(voting,C89)))&gt;0)</f>
        <v>0</v>
      </c>
      <c r="Y89" s="35" cm="1">
        <f t="array" ref="Y89">INT(SUMPRODUCT(--ISNUMBER(SEARCH(republicantrigger,C89)))&gt;0)</f>
        <v>0</v>
      </c>
      <c r="Z89" s="35" cm="1">
        <f t="array" ref="Z89">INT(SUMPRODUCT(--ISNUMBER(SEARCH(bipartisan,C89)))&gt;0)</f>
        <v>0</v>
      </c>
      <c r="AA89" s="35">
        <f t="shared" si="1"/>
        <v>1</v>
      </c>
      <c r="AB89" s="14"/>
      <c r="AC89" s="30" t="s">
        <v>223</v>
      </c>
      <c r="AD89" s="37" t="s">
        <v>223</v>
      </c>
    </row>
    <row r="90" spans="1:30" x14ac:dyDescent="0.25">
      <c r="A90" s="36">
        <v>3630</v>
      </c>
      <c r="B90" s="14" t="s">
        <v>7014</v>
      </c>
      <c r="C90" s="14" t="s">
        <v>7015</v>
      </c>
      <c r="D90" s="17">
        <v>44127</v>
      </c>
      <c r="E90" s="14" t="s">
        <v>30</v>
      </c>
      <c r="F90" s="14">
        <v>35</v>
      </c>
      <c r="G90" s="14">
        <v>15</v>
      </c>
      <c r="H90" s="14">
        <v>17</v>
      </c>
      <c r="I90" s="14">
        <v>9</v>
      </c>
      <c r="J90" s="14" t="s">
        <v>31</v>
      </c>
      <c r="K90" s="14" cm="1">
        <f t="array" ref="K90">INT(SUMPRODUCT(--ISNUMBER(SEARCH(economy,C90)))&gt;0)</f>
        <v>1</v>
      </c>
      <c r="L90" s="14" cm="1">
        <f t="array" ref="L90">INT(SUMPRODUCT(--ISNUMBER(SEARCH(healthcare,C90)))&gt;0)</f>
        <v>0</v>
      </c>
      <c r="M90" s="14" cm="1">
        <f t="array" ref="M90">INT(SUMPRODUCT(--ISNUMBER(SEARCH(supreme,C90)))&gt;0)</f>
        <v>0</v>
      </c>
      <c r="N90" s="14" cm="1">
        <f t="array" ref="N90">INT(SUMPRODUCT(--ISNUMBER(SEARCH(covid,C90)))&gt;0)</f>
        <v>1</v>
      </c>
      <c r="O90" s="14" cm="1">
        <f t="array" ref="O90">INT(SUMPRODUCT(--ISNUMBER(SEARCH(violent,C90)))&gt;0)</f>
        <v>0</v>
      </c>
      <c r="P90" s="14" cm="1">
        <f t="array" ref="P90">INT(SUMPRODUCT(--ISNUMBER(SEARCH(foreign,C90)))&gt;0)</f>
        <v>0</v>
      </c>
      <c r="Q90" s="14" cm="1">
        <f t="array" ref="Q90">INT(SUMPRODUCT(--ISNUMBER(SEARCH(gun,C90)))&gt;0)</f>
        <v>0</v>
      </c>
      <c r="R90" s="14" cm="1">
        <f t="array" ref="R90">INT(SUMPRODUCT(--ISNUMBER(SEARCH(race,C90)))&gt;0)</f>
        <v>0</v>
      </c>
      <c r="S90" s="14" cm="1">
        <f t="array" ref="S90">INT(SUMPRODUCT(--ISNUMBER(SEARCH(immigration,C90)))&gt;0)</f>
        <v>0</v>
      </c>
      <c r="T90" s="14" cm="1">
        <f t="array" ref="T90">INT(SUMPRODUCT(--ISNUMBER(SEARCH(econineq,C91)))&gt;0)</f>
        <v>0</v>
      </c>
      <c r="U90" s="14" cm="1">
        <f t="array" ref="U90">INT(SUMPRODUCT(--ISNUMBER(SEARCH(climate,C90)))&gt;0)</f>
        <v>0</v>
      </c>
      <c r="V90" s="14" cm="1">
        <f t="array" ref="V90">INT(SUMPRODUCT(--ISNUMBER(SEARCH(abortion,C90)))&gt;0)</f>
        <v>0</v>
      </c>
      <c r="W90" s="14" cm="1">
        <f t="array" ref="W90">INT(SUMPRODUCT(--ISNUMBER(SEARCH(trump,C90)))&gt;0)</f>
        <v>0</v>
      </c>
      <c r="X90" s="14" cm="1">
        <f t="array" ref="X90">INT(SUMPRODUCT(--ISNUMBER(SEARCH(voting,C90)))&gt;0)</f>
        <v>0</v>
      </c>
      <c r="Y90" s="35" cm="1">
        <f t="array" ref="Y90">INT(SUMPRODUCT(--ISNUMBER(SEARCH(republicantrigger,C90)))&gt;0)</f>
        <v>0</v>
      </c>
      <c r="Z90" s="35" cm="1">
        <f t="array" ref="Z90">INT(SUMPRODUCT(--ISNUMBER(SEARCH(bipartisan,C90)))&gt;0)</f>
        <v>1</v>
      </c>
      <c r="AA90" s="35">
        <f t="shared" si="1"/>
        <v>0</v>
      </c>
      <c r="AB90" s="14"/>
      <c r="AC90" s="30">
        <v>1</v>
      </c>
      <c r="AD90" s="37">
        <v>0</v>
      </c>
    </row>
    <row r="91" spans="1:30" x14ac:dyDescent="0.25">
      <c r="A91" s="36">
        <v>3631</v>
      </c>
      <c r="B91" s="14" t="s">
        <v>7016</v>
      </c>
      <c r="C91" s="14" t="s">
        <v>7017</v>
      </c>
      <c r="D91" s="17">
        <v>44127</v>
      </c>
      <c r="E91" s="14" t="s">
        <v>30</v>
      </c>
      <c r="F91" s="14">
        <v>556</v>
      </c>
      <c r="G91" s="14">
        <v>151</v>
      </c>
      <c r="H91" s="14">
        <v>17</v>
      </c>
      <c r="I91" s="14">
        <v>9</v>
      </c>
      <c r="J91" s="14" t="s">
        <v>31</v>
      </c>
      <c r="K91" s="14" cm="1">
        <f t="array" ref="K91">INT(SUMPRODUCT(--ISNUMBER(SEARCH(economy,C91)))&gt;0)</f>
        <v>0</v>
      </c>
      <c r="L91" s="14" cm="1">
        <f t="array" ref="L91">INT(SUMPRODUCT(--ISNUMBER(SEARCH(healthcare,C91)))&gt;0)</f>
        <v>0</v>
      </c>
      <c r="M91" s="14" cm="1">
        <f t="array" ref="M91">INT(SUMPRODUCT(--ISNUMBER(SEARCH(supreme,C91)))&gt;0)</f>
        <v>0</v>
      </c>
      <c r="N91" s="14" cm="1">
        <f t="array" ref="N91">INT(SUMPRODUCT(--ISNUMBER(SEARCH(covid,C91)))&gt;0)</f>
        <v>1</v>
      </c>
      <c r="O91" s="14" cm="1">
        <f t="array" ref="O91">INT(SUMPRODUCT(--ISNUMBER(SEARCH(violent,C91)))&gt;0)</f>
        <v>0</v>
      </c>
      <c r="P91" s="14" cm="1">
        <f t="array" ref="P91">INT(SUMPRODUCT(--ISNUMBER(SEARCH(foreign,C91)))&gt;0)</f>
        <v>0</v>
      </c>
      <c r="Q91" s="14" cm="1">
        <f t="array" ref="Q91">INT(SUMPRODUCT(--ISNUMBER(SEARCH(gun,C91)))&gt;0)</f>
        <v>0</v>
      </c>
      <c r="R91" s="14" cm="1">
        <f t="array" ref="R91">INT(SUMPRODUCT(--ISNUMBER(SEARCH(race,C91)))&gt;0)</f>
        <v>0</v>
      </c>
      <c r="S91" s="14" cm="1">
        <f t="array" ref="S91">INT(SUMPRODUCT(--ISNUMBER(SEARCH(immigration,C91)))&gt;0)</f>
        <v>0</v>
      </c>
      <c r="T91" s="14" cm="1">
        <f t="array" ref="T91">INT(SUMPRODUCT(--ISNUMBER(SEARCH(econineq,C92)))&gt;0)</f>
        <v>0</v>
      </c>
      <c r="U91" s="14" cm="1">
        <f t="array" ref="U91">INT(SUMPRODUCT(--ISNUMBER(SEARCH(climate,C91)))&gt;0)</f>
        <v>0</v>
      </c>
      <c r="V91" s="14" cm="1">
        <f t="array" ref="V91">INT(SUMPRODUCT(--ISNUMBER(SEARCH(abortion,C91)))&gt;0)</f>
        <v>0</v>
      </c>
      <c r="W91" s="14" cm="1">
        <f t="array" ref="W91">INT(SUMPRODUCT(--ISNUMBER(SEARCH(trump,C91)))&gt;0)</f>
        <v>0</v>
      </c>
      <c r="X91" s="14" cm="1">
        <f t="array" ref="X91">INT(SUMPRODUCT(--ISNUMBER(SEARCH(voting,C91)))&gt;0)</f>
        <v>0</v>
      </c>
      <c r="Y91" s="35" cm="1">
        <f t="array" ref="Y91">INT(SUMPRODUCT(--ISNUMBER(SEARCH(republicantrigger,C91)))&gt;0)</f>
        <v>0</v>
      </c>
      <c r="Z91" s="35" cm="1">
        <f t="array" ref="Z91">INT(SUMPRODUCT(--ISNUMBER(SEARCH(bipartisan,C91)))&gt;0)</f>
        <v>0</v>
      </c>
      <c r="AA91" s="35">
        <f t="shared" si="1"/>
        <v>0</v>
      </c>
      <c r="AB91" s="14"/>
      <c r="AC91" s="30" t="s">
        <v>223</v>
      </c>
      <c r="AD91" s="37" t="s">
        <v>223</v>
      </c>
    </row>
    <row r="92" spans="1:30" x14ac:dyDescent="0.25">
      <c r="A92" s="36">
        <v>3632</v>
      </c>
      <c r="B92" s="14" t="s">
        <v>7018</v>
      </c>
      <c r="C92" s="14" t="s">
        <v>7019</v>
      </c>
      <c r="D92" s="17">
        <v>44127</v>
      </c>
      <c r="E92" s="14" t="s">
        <v>30</v>
      </c>
      <c r="F92" s="14">
        <v>736</v>
      </c>
      <c r="G92" s="14">
        <v>148</v>
      </c>
      <c r="H92" s="14">
        <v>17</v>
      </c>
      <c r="I92" s="14">
        <v>9</v>
      </c>
      <c r="J92" s="14" t="s">
        <v>31</v>
      </c>
      <c r="K92" s="14" cm="1">
        <f t="array" ref="K92">INT(SUMPRODUCT(--ISNUMBER(SEARCH(economy,C92)))&gt;0)</f>
        <v>0</v>
      </c>
      <c r="L92" s="14" cm="1">
        <f t="array" ref="L92">INT(SUMPRODUCT(--ISNUMBER(SEARCH(healthcare,C92)))&gt;0)</f>
        <v>0</v>
      </c>
      <c r="M92" s="14" cm="1">
        <f t="array" ref="M92">INT(SUMPRODUCT(--ISNUMBER(SEARCH(supreme,C92)))&gt;0)</f>
        <v>0</v>
      </c>
      <c r="N92" s="14" cm="1">
        <f t="array" ref="N92">INT(SUMPRODUCT(--ISNUMBER(SEARCH(covid,C92)))&gt;0)</f>
        <v>0</v>
      </c>
      <c r="O92" s="14" cm="1">
        <f t="array" ref="O92">INT(SUMPRODUCT(--ISNUMBER(SEARCH(violent,C92)))&gt;0)</f>
        <v>0</v>
      </c>
      <c r="P92" s="14" cm="1">
        <f t="array" ref="P92">INT(SUMPRODUCT(--ISNUMBER(SEARCH(foreign,C92)))&gt;0)</f>
        <v>0</v>
      </c>
      <c r="Q92" s="14" cm="1">
        <f t="array" ref="Q92">INT(SUMPRODUCT(--ISNUMBER(SEARCH(gun,C92)))&gt;0)</f>
        <v>0</v>
      </c>
      <c r="R92" s="14" cm="1">
        <f t="array" ref="R92">INT(SUMPRODUCT(--ISNUMBER(SEARCH(race,C92)))&gt;0)</f>
        <v>0</v>
      </c>
      <c r="S92" s="14" cm="1">
        <f t="array" ref="S92">INT(SUMPRODUCT(--ISNUMBER(SEARCH(immigration,C92)))&gt;0)</f>
        <v>0</v>
      </c>
      <c r="T92" s="14" cm="1">
        <f t="array" ref="T92">INT(SUMPRODUCT(--ISNUMBER(SEARCH(econineq,C93)))&gt;0)</f>
        <v>0</v>
      </c>
      <c r="U92" s="14" cm="1">
        <f t="array" ref="U92">INT(SUMPRODUCT(--ISNUMBER(SEARCH(climate,C92)))&gt;0)</f>
        <v>0</v>
      </c>
      <c r="V92" s="14" cm="1">
        <f t="array" ref="V92">INT(SUMPRODUCT(--ISNUMBER(SEARCH(abortion,C92)))&gt;0)</f>
        <v>0</v>
      </c>
      <c r="W92" s="14" cm="1">
        <f t="array" ref="W92">INT(SUMPRODUCT(--ISNUMBER(SEARCH(trump,C92)))&gt;0)</f>
        <v>0</v>
      </c>
      <c r="X92" s="14" cm="1">
        <f t="array" ref="X92">INT(SUMPRODUCT(--ISNUMBER(SEARCH(voting,C92)))&gt;0)</f>
        <v>0</v>
      </c>
      <c r="Y92" s="35" cm="1">
        <f t="array" ref="Y92">INT(SUMPRODUCT(--ISNUMBER(SEARCH(republicantrigger,C92)))&gt;0)</f>
        <v>1</v>
      </c>
      <c r="Z92" s="35" cm="1">
        <f t="array" ref="Z92">INT(SUMPRODUCT(--ISNUMBER(SEARCH(bipartisan,C92)))&gt;0)</f>
        <v>0</v>
      </c>
      <c r="AA92" s="35">
        <f t="shared" si="1"/>
        <v>0</v>
      </c>
      <c r="AB92" s="14"/>
      <c r="AC92" s="30" t="s">
        <v>223</v>
      </c>
      <c r="AD92" s="37" t="s">
        <v>223</v>
      </c>
    </row>
    <row r="93" spans="1:30" x14ac:dyDescent="0.25">
      <c r="A93" s="36">
        <v>3633</v>
      </c>
      <c r="B93" s="14" t="s">
        <v>7020</v>
      </c>
      <c r="C93" s="14" t="s">
        <v>7021</v>
      </c>
      <c r="D93" s="17">
        <v>44127</v>
      </c>
      <c r="E93" s="14" t="s">
        <v>30</v>
      </c>
      <c r="F93" s="14">
        <v>52</v>
      </c>
      <c r="G93" s="14">
        <v>11</v>
      </c>
      <c r="H93" s="14">
        <v>17</v>
      </c>
      <c r="I93" s="14">
        <v>9</v>
      </c>
      <c r="J93" s="14" t="s">
        <v>31</v>
      </c>
      <c r="K93" s="14" cm="1">
        <f t="array" ref="K93">INT(SUMPRODUCT(--ISNUMBER(SEARCH(economy,C93)))&gt;0)</f>
        <v>0</v>
      </c>
      <c r="L93" s="14" cm="1">
        <f t="array" ref="L93">INT(SUMPRODUCT(--ISNUMBER(SEARCH(healthcare,C93)))&gt;0)</f>
        <v>0</v>
      </c>
      <c r="M93" s="14" cm="1">
        <f t="array" ref="M93">INT(SUMPRODUCT(--ISNUMBER(SEARCH(supreme,C93)))&gt;0)</f>
        <v>0</v>
      </c>
      <c r="N93" s="14" cm="1">
        <f t="array" ref="N93">INT(SUMPRODUCT(--ISNUMBER(SEARCH(covid,C93)))&gt;0)</f>
        <v>0</v>
      </c>
      <c r="O93" s="14" cm="1">
        <f t="array" ref="O93">INT(SUMPRODUCT(--ISNUMBER(SEARCH(violent,C93)))&gt;0)</f>
        <v>0</v>
      </c>
      <c r="P93" s="14" cm="1">
        <f t="array" ref="P93">INT(SUMPRODUCT(--ISNUMBER(SEARCH(foreign,C93)))&gt;0)</f>
        <v>0</v>
      </c>
      <c r="Q93" s="14" cm="1">
        <f t="array" ref="Q93">INT(SUMPRODUCT(--ISNUMBER(SEARCH(gun,C93)))&gt;0)</f>
        <v>0</v>
      </c>
      <c r="R93" s="14" cm="1">
        <f t="array" ref="R93">INT(SUMPRODUCT(--ISNUMBER(SEARCH(race,C93)))&gt;0)</f>
        <v>0</v>
      </c>
      <c r="S93" s="14" cm="1">
        <f t="array" ref="S93">INT(SUMPRODUCT(--ISNUMBER(SEARCH(immigration,C93)))&gt;0)</f>
        <v>0</v>
      </c>
      <c r="T93" s="14" cm="1">
        <f t="array" ref="T93">INT(SUMPRODUCT(--ISNUMBER(SEARCH(econineq,C94)))&gt;0)</f>
        <v>0</v>
      </c>
      <c r="U93" s="14" cm="1">
        <f t="array" ref="U93">INT(SUMPRODUCT(--ISNUMBER(SEARCH(climate,C93)))&gt;0)</f>
        <v>0</v>
      </c>
      <c r="V93" s="14" cm="1">
        <f t="array" ref="V93">INT(SUMPRODUCT(--ISNUMBER(SEARCH(abortion,C93)))&gt;0)</f>
        <v>0</v>
      </c>
      <c r="W93" s="14" cm="1">
        <f t="array" ref="W93">INT(SUMPRODUCT(--ISNUMBER(SEARCH(trump,C93)))&gt;0)</f>
        <v>0</v>
      </c>
      <c r="X93" s="14" cm="1">
        <f t="array" ref="X93">INT(SUMPRODUCT(--ISNUMBER(SEARCH(voting,C93)))&gt;0)</f>
        <v>0</v>
      </c>
      <c r="Y93" s="35" cm="1">
        <f t="array" ref="Y93">INT(SUMPRODUCT(--ISNUMBER(SEARCH(republicantrigger,C93)))&gt;0)</f>
        <v>0</v>
      </c>
      <c r="Z93" s="35" cm="1">
        <f t="array" ref="Z93">INT(SUMPRODUCT(--ISNUMBER(SEARCH(bipartisan,C93)))&gt;0)</f>
        <v>0</v>
      </c>
      <c r="AA93" s="35">
        <f t="shared" si="1"/>
        <v>1</v>
      </c>
      <c r="AB93" s="14"/>
      <c r="AC93" s="30" t="s">
        <v>223</v>
      </c>
      <c r="AD93" s="37" t="s">
        <v>223</v>
      </c>
    </row>
    <row r="94" spans="1:30" x14ac:dyDescent="0.25">
      <c r="A94" s="36">
        <v>3634</v>
      </c>
      <c r="B94" s="14" t="s">
        <v>7022</v>
      </c>
      <c r="C94" s="14" t="s">
        <v>7023</v>
      </c>
      <c r="D94" s="17">
        <v>44127</v>
      </c>
      <c r="E94" s="14" t="s">
        <v>30</v>
      </c>
      <c r="F94" s="14">
        <v>399</v>
      </c>
      <c r="G94" s="14">
        <v>104</v>
      </c>
      <c r="H94" s="14">
        <v>17</v>
      </c>
      <c r="I94" s="14">
        <v>9</v>
      </c>
      <c r="J94" s="14" t="s">
        <v>31</v>
      </c>
      <c r="K94" s="14" cm="1">
        <f t="array" ref="K94">INT(SUMPRODUCT(--ISNUMBER(SEARCH(economy,C94)))&gt;0)</f>
        <v>1</v>
      </c>
      <c r="L94" s="14" cm="1">
        <f t="array" ref="L94">INT(SUMPRODUCT(--ISNUMBER(SEARCH(healthcare,C94)))&gt;0)</f>
        <v>0</v>
      </c>
      <c r="M94" s="14" cm="1">
        <f t="array" ref="M94">INT(SUMPRODUCT(--ISNUMBER(SEARCH(supreme,C94)))&gt;0)</f>
        <v>0</v>
      </c>
      <c r="N94" s="14" cm="1">
        <f t="array" ref="N94">INT(SUMPRODUCT(--ISNUMBER(SEARCH(covid,C94)))&gt;0)</f>
        <v>0</v>
      </c>
      <c r="O94" s="14" cm="1">
        <f t="array" ref="O94">INT(SUMPRODUCT(--ISNUMBER(SEARCH(violent,C94)))&gt;0)</f>
        <v>0</v>
      </c>
      <c r="P94" s="14" cm="1">
        <f t="array" ref="P94">INT(SUMPRODUCT(--ISNUMBER(SEARCH(foreign,C94)))&gt;0)</f>
        <v>0</v>
      </c>
      <c r="Q94" s="14" cm="1">
        <f t="array" ref="Q94">INT(SUMPRODUCT(--ISNUMBER(SEARCH(gun,C94)))&gt;0)</f>
        <v>0</v>
      </c>
      <c r="R94" s="14" cm="1">
        <f t="array" ref="R94">INT(SUMPRODUCT(--ISNUMBER(SEARCH(race,C94)))&gt;0)</f>
        <v>0</v>
      </c>
      <c r="S94" s="14" cm="1">
        <f t="array" ref="S94">INT(SUMPRODUCT(--ISNUMBER(SEARCH(immigration,C94)))&gt;0)</f>
        <v>0</v>
      </c>
      <c r="T94" s="14" cm="1">
        <f t="array" ref="T94">INT(SUMPRODUCT(--ISNUMBER(SEARCH(econineq,C95)))&gt;0)</f>
        <v>0</v>
      </c>
      <c r="U94" s="14" cm="1">
        <f t="array" ref="U94">INT(SUMPRODUCT(--ISNUMBER(SEARCH(climate,C94)))&gt;0)</f>
        <v>1</v>
      </c>
      <c r="V94" s="14" cm="1">
        <f t="array" ref="V94">INT(SUMPRODUCT(--ISNUMBER(SEARCH(abortion,C94)))&gt;0)</f>
        <v>0</v>
      </c>
      <c r="W94" s="14" cm="1">
        <f t="array" ref="W94">INT(SUMPRODUCT(--ISNUMBER(SEARCH(trump,C94)))&gt;0)</f>
        <v>0</v>
      </c>
      <c r="X94" s="14" cm="1">
        <f t="array" ref="X94">INT(SUMPRODUCT(--ISNUMBER(SEARCH(voting,C94)))&gt;0)</f>
        <v>0</v>
      </c>
      <c r="Y94" s="35" cm="1">
        <f t="array" ref="Y94">INT(SUMPRODUCT(--ISNUMBER(SEARCH(republicantrigger,C94)))&gt;0)</f>
        <v>0</v>
      </c>
      <c r="Z94" s="35" cm="1">
        <f t="array" ref="Z94">INT(SUMPRODUCT(--ISNUMBER(SEARCH(bipartisan,C94)))&gt;0)</f>
        <v>0</v>
      </c>
      <c r="AA94" s="35">
        <f t="shared" si="1"/>
        <v>0</v>
      </c>
      <c r="AB94" s="14"/>
      <c r="AC94" s="30" t="s">
        <v>223</v>
      </c>
      <c r="AD94" s="37" t="s">
        <v>223</v>
      </c>
    </row>
    <row r="95" spans="1:30" x14ac:dyDescent="0.25">
      <c r="A95" s="36">
        <v>3635</v>
      </c>
      <c r="B95" s="14" t="s">
        <v>7024</v>
      </c>
      <c r="C95" s="14" t="s">
        <v>7025</v>
      </c>
      <c r="D95" s="17">
        <v>44127</v>
      </c>
      <c r="E95" s="14" t="s">
        <v>30</v>
      </c>
      <c r="F95" s="14">
        <v>280</v>
      </c>
      <c r="G95" s="14">
        <v>77</v>
      </c>
      <c r="H95" s="14">
        <v>17</v>
      </c>
      <c r="I95" s="14">
        <v>9</v>
      </c>
      <c r="J95" s="14" t="s">
        <v>31</v>
      </c>
      <c r="K95" s="14" cm="1">
        <f t="array" ref="K95">INT(SUMPRODUCT(--ISNUMBER(SEARCH(economy,C95)))&gt;0)</f>
        <v>0</v>
      </c>
      <c r="L95" s="14" cm="1">
        <f t="array" ref="L95">INT(SUMPRODUCT(--ISNUMBER(SEARCH(healthcare,C95)))&gt;0)</f>
        <v>0</v>
      </c>
      <c r="M95" s="14" cm="1">
        <f t="array" ref="M95">INT(SUMPRODUCT(--ISNUMBER(SEARCH(supreme,C95)))&gt;0)</f>
        <v>0</v>
      </c>
      <c r="N95" s="14" cm="1">
        <f t="array" ref="N95">INT(SUMPRODUCT(--ISNUMBER(SEARCH(covid,C95)))&gt;0)</f>
        <v>0</v>
      </c>
      <c r="O95" s="14" cm="1">
        <f t="array" ref="O95">INT(SUMPRODUCT(--ISNUMBER(SEARCH(violent,C95)))&gt;0)</f>
        <v>0</v>
      </c>
      <c r="P95" s="14" cm="1">
        <f t="array" ref="P95">INT(SUMPRODUCT(--ISNUMBER(SEARCH(foreign,C95)))&gt;0)</f>
        <v>0</v>
      </c>
      <c r="Q95" s="14" cm="1">
        <f t="array" ref="Q95">INT(SUMPRODUCT(--ISNUMBER(SEARCH(gun,C95)))&gt;0)</f>
        <v>0</v>
      </c>
      <c r="R95" s="14" cm="1">
        <f t="array" ref="R95">INT(SUMPRODUCT(--ISNUMBER(SEARCH(race,C95)))&gt;0)</f>
        <v>0</v>
      </c>
      <c r="S95" s="14" cm="1">
        <f t="array" ref="S95">INT(SUMPRODUCT(--ISNUMBER(SEARCH(immigration,C95)))&gt;0)</f>
        <v>0</v>
      </c>
      <c r="T95" s="14" cm="1">
        <f t="array" ref="T95">INT(SUMPRODUCT(--ISNUMBER(SEARCH(econineq,C96)))&gt;0)</f>
        <v>0</v>
      </c>
      <c r="U95" s="14" cm="1">
        <f t="array" ref="U95">INT(SUMPRODUCT(--ISNUMBER(SEARCH(climate,C95)))&gt;0)</f>
        <v>0</v>
      </c>
      <c r="V95" s="14" cm="1">
        <f t="array" ref="V95">INT(SUMPRODUCT(--ISNUMBER(SEARCH(abortion,C95)))&gt;0)</f>
        <v>0</v>
      </c>
      <c r="W95" s="14" cm="1">
        <f t="array" ref="W95">INT(SUMPRODUCT(--ISNUMBER(SEARCH(trump,C95)))&gt;0)</f>
        <v>0</v>
      </c>
      <c r="X95" s="14" cm="1">
        <f t="array" ref="X95">INT(SUMPRODUCT(--ISNUMBER(SEARCH(voting,C95)))&gt;0)</f>
        <v>0</v>
      </c>
      <c r="Y95" s="35" cm="1">
        <f t="array" ref="Y95">INT(SUMPRODUCT(--ISNUMBER(SEARCH(republicantrigger,C95)))&gt;0)</f>
        <v>0</v>
      </c>
      <c r="Z95" s="35" cm="1">
        <f t="array" ref="Z95">INT(SUMPRODUCT(--ISNUMBER(SEARCH(bipartisan,C95)))&gt;0)</f>
        <v>0</v>
      </c>
      <c r="AA95" s="35">
        <f t="shared" si="1"/>
        <v>1</v>
      </c>
      <c r="AB95" s="14"/>
      <c r="AC95" s="30" t="s">
        <v>223</v>
      </c>
      <c r="AD95" s="37" t="s">
        <v>223</v>
      </c>
    </row>
    <row r="96" spans="1:30" x14ac:dyDescent="0.25">
      <c r="A96" s="36">
        <v>3636</v>
      </c>
      <c r="B96" s="14" t="s">
        <v>7026</v>
      </c>
      <c r="C96" s="14" t="s">
        <v>7027</v>
      </c>
      <c r="D96" s="17">
        <v>44127</v>
      </c>
      <c r="E96" s="14" t="s">
        <v>30</v>
      </c>
      <c r="F96" s="14">
        <v>130</v>
      </c>
      <c r="G96" s="14">
        <v>15</v>
      </c>
      <c r="H96" s="14">
        <v>17</v>
      </c>
      <c r="I96" s="14">
        <v>9</v>
      </c>
      <c r="J96" s="14" t="s">
        <v>31</v>
      </c>
      <c r="K96" s="14" cm="1">
        <f t="array" ref="K96">INT(SUMPRODUCT(--ISNUMBER(SEARCH(economy,C96)))&gt;0)</f>
        <v>0</v>
      </c>
      <c r="L96" s="14" cm="1">
        <f t="array" ref="L96">INT(SUMPRODUCT(--ISNUMBER(SEARCH(healthcare,C96)))&gt;0)</f>
        <v>0</v>
      </c>
      <c r="M96" s="14" cm="1">
        <f t="array" ref="M96">INT(SUMPRODUCT(--ISNUMBER(SEARCH(supreme,C96)))&gt;0)</f>
        <v>0</v>
      </c>
      <c r="N96" s="14" cm="1">
        <f t="array" ref="N96">INT(SUMPRODUCT(--ISNUMBER(SEARCH(covid,C96)))&gt;0)</f>
        <v>0</v>
      </c>
      <c r="O96" s="14" cm="1">
        <f t="array" ref="O96">INT(SUMPRODUCT(--ISNUMBER(SEARCH(violent,C96)))&gt;0)</f>
        <v>0</v>
      </c>
      <c r="P96" s="14" cm="1">
        <f t="array" ref="P96">INT(SUMPRODUCT(--ISNUMBER(SEARCH(foreign,C96)))&gt;0)</f>
        <v>0</v>
      </c>
      <c r="Q96" s="14" cm="1">
        <f t="array" ref="Q96">INT(SUMPRODUCT(--ISNUMBER(SEARCH(gun,C96)))&gt;0)</f>
        <v>0</v>
      </c>
      <c r="R96" s="14" cm="1">
        <f t="array" ref="R96">INT(SUMPRODUCT(--ISNUMBER(SEARCH(race,C96)))&gt;0)</f>
        <v>0</v>
      </c>
      <c r="S96" s="14" cm="1">
        <f t="array" ref="S96">INT(SUMPRODUCT(--ISNUMBER(SEARCH(immigration,C96)))&gt;0)</f>
        <v>0</v>
      </c>
      <c r="T96" s="14" cm="1">
        <f t="array" ref="T96">INT(SUMPRODUCT(--ISNUMBER(SEARCH(econineq,C97)))&gt;0)</f>
        <v>0</v>
      </c>
      <c r="U96" s="14" cm="1">
        <f t="array" ref="U96">INT(SUMPRODUCT(--ISNUMBER(SEARCH(climate,C96)))&gt;0)</f>
        <v>0</v>
      </c>
      <c r="V96" s="14" cm="1">
        <f t="array" ref="V96">INT(SUMPRODUCT(--ISNUMBER(SEARCH(abortion,C96)))&gt;0)</f>
        <v>0</v>
      </c>
      <c r="W96" s="14" cm="1">
        <f t="array" ref="W96">INT(SUMPRODUCT(--ISNUMBER(SEARCH(trump,C96)))&gt;0)</f>
        <v>0</v>
      </c>
      <c r="X96" s="14" cm="1">
        <f t="array" ref="X96">INT(SUMPRODUCT(--ISNUMBER(SEARCH(voting,C96)))&gt;0)</f>
        <v>0</v>
      </c>
      <c r="Y96" s="35" cm="1">
        <f t="array" ref="Y96">INT(SUMPRODUCT(--ISNUMBER(SEARCH(republicantrigger,C96)))&gt;0)</f>
        <v>0</v>
      </c>
      <c r="Z96" s="35" cm="1">
        <f t="array" ref="Z96">INT(SUMPRODUCT(--ISNUMBER(SEARCH(bipartisan,C96)))&gt;0)</f>
        <v>0</v>
      </c>
      <c r="AA96" s="35">
        <f t="shared" si="1"/>
        <v>1</v>
      </c>
      <c r="AB96" s="14"/>
      <c r="AC96" s="30" t="s">
        <v>223</v>
      </c>
      <c r="AD96" s="37" t="s">
        <v>223</v>
      </c>
    </row>
    <row r="97" spans="1:30" x14ac:dyDescent="0.25">
      <c r="A97" s="36">
        <v>3637</v>
      </c>
      <c r="B97" s="14" t="s">
        <v>7028</v>
      </c>
      <c r="C97" s="14" t="s">
        <v>7029</v>
      </c>
      <c r="D97" s="17">
        <v>44127</v>
      </c>
      <c r="E97" s="14" t="s">
        <v>30</v>
      </c>
      <c r="F97" s="14">
        <v>146</v>
      </c>
      <c r="G97" s="14">
        <v>31</v>
      </c>
      <c r="H97" s="14">
        <v>17</v>
      </c>
      <c r="I97" s="14">
        <v>9</v>
      </c>
      <c r="J97" s="14" t="s">
        <v>31</v>
      </c>
      <c r="K97" s="14" cm="1">
        <f t="array" ref="K97">INT(SUMPRODUCT(--ISNUMBER(SEARCH(economy,C97)))&gt;0)</f>
        <v>0</v>
      </c>
      <c r="L97" s="14" cm="1">
        <f t="array" ref="L97">INT(SUMPRODUCT(--ISNUMBER(SEARCH(healthcare,C97)))&gt;0)</f>
        <v>0</v>
      </c>
      <c r="M97" s="14" cm="1">
        <f t="array" ref="M97">INT(SUMPRODUCT(--ISNUMBER(SEARCH(supreme,C97)))&gt;0)</f>
        <v>0</v>
      </c>
      <c r="N97" s="14" cm="1">
        <f t="array" ref="N97">INT(SUMPRODUCT(--ISNUMBER(SEARCH(covid,C97)))&gt;0)</f>
        <v>0</v>
      </c>
      <c r="O97" s="14" cm="1">
        <f t="array" ref="O97">INT(SUMPRODUCT(--ISNUMBER(SEARCH(violent,C97)))&gt;0)</f>
        <v>0</v>
      </c>
      <c r="P97" s="14" cm="1">
        <f t="array" ref="P97">INT(SUMPRODUCT(--ISNUMBER(SEARCH(foreign,C97)))&gt;0)</f>
        <v>0</v>
      </c>
      <c r="Q97" s="14" cm="1">
        <f t="array" ref="Q97">INT(SUMPRODUCT(--ISNUMBER(SEARCH(gun,C97)))&gt;0)</f>
        <v>0</v>
      </c>
      <c r="R97" s="14" cm="1">
        <f t="array" ref="R97">INT(SUMPRODUCT(--ISNUMBER(SEARCH(race,C97)))&gt;0)</f>
        <v>0</v>
      </c>
      <c r="S97" s="14" cm="1">
        <f t="array" ref="S97">INT(SUMPRODUCT(--ISNUMBER(SEARCH(immigration,C97)))&gt;0)</f>
        <v>0</v>
      </c>
      <c r="T97" s="14" cm="1">
        <f t="array" ref="T97">INT(SUMPRODUCT(--ISNUMBER(SEARCH(econineq,C98)))&gt;0)</f>
        <v>0</v>
      </c>
      <c r="U97" s="14" cm="1">
        <f t="array" ref="U97">INT(SUMPRODUCT(--ISNUMBER(SEARCH(climate,C97)))&gt;0)</f>
        <v>0</v>
      </c>
      <c r="V97" s="14" cm="1">
        <f t="array" ref="V97">INT(SUMPRODUCT(--ISNUMBER(SEARCH(abortion,C97)))&gt;0)</f>
        <v>0</v>
      </c>
      <c r="W97" s="14" cm="1">
        <f t="array" ref="W97">INT(SUMPRODUCT(--ISNUMBER(SEARCH(trump,C97)))&gt;0)</f>
        <v>0</v>
      </c>
      <c r="X97" s="14" cm="1">
        <f t="array" ref="X97">INT(SUMPRODUCT(--ISNUMBER(SEARCH(voting,C97)))&gt;0)</f>
        <v>0</v>
      </c>
      <c r="Y97" s="35" cm="1">
        <f t="array" ref="Y97">INT(SUMPRODUCT(--ISNUMBER(SEARCH(republicantrigger,C97)))&gt;0)</f>
        <v>0</v>
      </c>
      <c r="Z97" s="35" cm="1">
        <f t="array" ref="Z97">INT(SUMPRODUCT(--ISNUMBER(SEARCH(bipartisan,C97)))&gt;0)</f>
        <v>0</v>
      </c>
      <c r="AA97" s="35">
        <f t="shared" si="1"/>
        <v>1</v>
      </c>
      <c r="AB97" s="14"/>
      <c r="AC97" s="30" t="s">
        <v>223</v>
      </c>
      <c r="AD97" s="37" t="s">
        <v>223</v>
      </c>
    </row>
    <row r="98" spans="1:30" x14ac:dyDescent="0.25">
      <c r="A98" s="36">
        <v>3638</v>
      </c>
      <c r="B98" s="14" t="s">
        <v>7030</v>
      </c>
      <c r="C98" s="14" t="s">
        <v>7031</v>
      </c>
      <c r="D98" s="17">
        <v>44127</v>
      </c>
      <c r="E98" s="14" t="s">
        <v>30</v>
      </c>
      <c r="F98" s="14">
        <v>1103</v>
      </c>
      <c r="G98" s="14">
        <v>253</v>
      </c>
      <c r="H98" s="14">
        <v>17</v>
      </c>
      <c r="I98" s="14">
        <v>9</v>
      </c>
      <c r="J98" s="14" t="s">
        <v>31</v>
      </c>
      <c r="K98" s="14" cm="1">
        <f t="array" ref="K98">INT(SUMPRODUCT(--ISNUMBER(SEARCH(economy,C98)))&gt;0)</f>
        <v>0</v>
      </c>
      <c r="L98" s="14" cm="1">
        <f t="array" ref="L98">INT(SUMPRODUCT(--ISNUMBER(SEARCH(healthcare,C98)))&gt;0)</f>
        <v>0</v>
      </c>
      <c r="M98" s="14" cm="1">
        <f t="array" ref="M98">INT(SUMPRODUCT(--ISNUMBER(SEARCH(supreme,C98)))&gt;0)</f>
        <v>0</v>
      </c>
      <c r="N98" s="14" cm="1">
        <f t="array" ref="N98">INT(SUMPRODUCT(--ISNUMBER(SEARCH(covid,C98)))&gt;0)</f>
        <v>0</v>
      </c>
      <c r="O98" s="14" cm="1">
        <f t="array" ref="O98">INT(SUMPRODUCT(--ISNUMBER(SEARCH(violent,C98)))&gt;0)</f>
        <v>0</v>
      </c>
      <c r="P98" s="14" cm="1">
        <f t="array" ref="P98">INT(SUMPRODUCT(--ISNUMBER(SEARCH(foreign,C98)))&gt;0)</f>
        <v>0</v>
      </c>
      <c r="Q98" s="14" cm="1">
        <f t="array" ref="Q98">INT(SUMPRODUCT(--ISNUMBER(SEARCH(gun,C98)))&gt;0)</f>
        <v>0</v>
      </c>
      <c r="R98" s="14" cm="1">
        <f t="array" ref="R98">INT(SUMPRODUCT(--ISNUMBER(SEARCH(race,C98)))&gt;0)</f>
        <v>0</v>
      </c>
      <c r="S98" s="14" cm="1">
        <f t="array" ref="S98">INT(SUMPRODUCT(--ISNUMBER(SEARCH(immigration,C98)))&gt;0)</f>
        <v>0</v>
      </c>
      <c r="T98" s="14" cm="1">
        <f t="array" ref="T98">INT(SUMPRODUCT(--ISNUMBER(SEARCH(econineq,C99)))&gt;0)</f>
        <v>1</v>
      </c>
      <c r="U98" s="14" cm="1">
        <f t="array" ref="U98">INT(SUMPRODUCT(--ISNUMBER(SEARCH(climate,C98)))&gt;0)</f>
        <v>0</v>
      </c>
      <c r="V98" s="14" cm="1">
        <f t="array" ref="V98">INT(SUMPRODUCT(--ISNUMBER(SEARCH(abortion,C98)))&gt;0)</f>
        <v>0</v>
      </c>
      <c r="W98" s="14" cm="1">
        <f t="array" ref="W98">INT(SUMPRODUCT(--ISNUMBER(SEARCH(trump,C98)))&gt;0)</f>
        <v>0</v>
      </c>
      <c r="X98" s="14" cm="1">
        <f t="array" ref="X98">INT(SUMPRODUCT(--ISNUMBER(SEARCH(voting,C98)))&gt;0)</f>
        <v>0</v>
      </c>
      <c r="Y98" s="35" cm="1">
        <f t="array" ref="Y98">INT(SUMPRODUCT(--ISNUMBER(SEARCH(republicantrigger,C98)))&gt;0)</f>
        <v>0</v>
      </c>
      <c r="Z98" s="35" cm="1">
        <f t="array" ref="Z98">INT(SUMPRODUCT(--ISNUMBER(SEARCH(bipartisan,C98)))&gt;0)</f>
        <v>0</v>
      </c>
      <c r="AA98" s="35">
        <f t="shared" si="1"/>
        <v>0</v>
      </c>
      <c r="AB98" s="14"/>
      <c r="AC98" s="30" t="s">
        <v>223</v>
      </c>
      <c r="AD98" s="37" t="s">
        <v>223</v>
      </c>
    </row>
    <row r="99" spans="1:30" x14ac:dyDescent="0.25">
      <c r="A99" s="36">
        <v>3639</v>
      </c>
      <c r="B99" s="14" t="s">
        <v>7032</v>
      </c>
      <c r="C99" s="14" t="s">
        <v>7033</v>
      </c>
      <c r="D99" s="17">
        <v>44127</v>
      </c>
      <c r="E99" s="14" t="s">
        <v>30</v>
      </c>
      <c r="F99" s="14">
        <v>104</v>
      </c>
      <c r="G99" s="14">
        <v>30</v>
      </c>
      <c r="H99" s="14">
        <v>17</v>
      </c>
      <c r="I99" s="14">
        <v>9</v>
      </c>
      <c r="J99" s="14" t="s">
        <v>31</v>
      </c>
      <c r="K99" s="14" cm="1">
        <f t="array" ref="K99">INT(SUMPRODUCT(--ISNUMBER(SEARCH(economy,C99)))&gt;0)</f>
        <v>0</v>
      </c>
      <c r="L99" s="14" cm="1">
        <f t="array" ref="L99">INT(SUMPRODUCT(--ISNUMBER(SEARCH(healthcare,C99)))&gt;0)</f>
        <v>0</v>
      </c>
      <c r="M99" s="14" cm="1">
        <f t="array" ref="M99">INT(SUMPRODUCT(--ISNUMBER(SEARCH(supreme,C99)))&gt;0)</f>
        <v>0</v>
      </c>
      <c r="N99" s="14" cm="1">
        <f t="array" ref="N99">INT(SUMPRODUCT(--ISNUMBER(SEARCH(covid,C99)))&gt;0)</f>
        <v>0</v>
      </c>
      <c r="O99" s="14" cm="1">
        <f t="array" ref="O99">INT(SUMPRODUCT(--ISNUMBER(SEARCH(violent,C99)))&gt;0)</f>
        <v>0</v>
      </c>
      <c r="P99" s="14" cm="1">
        <f t="array" ref="P99">INT(SUMPRODUCT(--ISNUMBER(SEARCH(foreign,C99)))&gt;0)</f>
        <v>0</v>
      </c>
      <c r="Q99" s="14" cm="1">
        <f t="array" ref="Q99">INT(SUMPRODUCT(--ISNUMBER(SEARCH(gun,C99)))&gt;0)</f>
        <v>0</v>
      </c>
      <c r="R99" s="14" cm="1">
        <f t="array" ref="R99">INT(SUMPRODUCT(--ISNUMBER(SEARCH(race,C99)))&gt;0)</f>
        <v>0</v>
      </c>
      <c r="S99" s="14" cm="1">
        <f t="array" ref="S99">INT(SUMPRODUCT(--ISNUMBER(SEARCH(immigration,C99)))&gt;0)</f>
        <v>0</v>
      </c>
      <c r="T99" s="14" cm="1">
        <f t="array" ref="T99">INT(SUMPRODUCT(--ISNUMBER(SEARCH(econineq,C100)))&gt;0)</f>
        <v>0</v>
      </c>
      <c r="U99" s="14" cm="1">
        <f t="array" ref="U99">INT(SUMPRODUCT(--ISNUMBER(SEARCH(climate,C99)))&gt;0)</f>
        <v>0</v>
      </c>
      <c r="V99" s="14" cm="1">
        <f t="array" ref="V99">INT(SUMPRODUCT(--ISNUMBER(SEARCH(abortion,C99)))&gt;0)</f>
        <v>0</v>
      </c>
      <c r="W99" s="14" cm="1">
        <f t="array" ref="W99">INT(SUMPRODUCT(--ISNUMBER(SEARCH(trump,C99)))&gt;0)</f>
        <v>0</v>
      </c>
      <c r="X99" s="14" cm="1">
        <f t="array" ref="X99">INT(SUMPRODUCT(--ISNUMBER(SEARCH(voting,C99)))&gt;0)</f>
        <v>0</v>
      </c>
      <c r="Y99" s="35" cm="1">
        <f t="array" ref="Y99">INT(SUMPRODUCT(--ISNUMBER(SEARCH(republicantrigger,C99)))&gt;0)</f>
        <v>1</v>
      </c>
      <c r="Z99" s="35" cm="1">
        <f t="array" ref="Z99">INT(SUMPRODUCT(--ISNUMBER(SEARCH(bipartisan,C99)))&gt;0)</f>
        <v>0</v>
      </c>
      <c r="AA99" s="35">
        <f t="shared" si="1"/>
        <v>0</v>
      </c>
      <c r="AB99" s="14"/>
      <c r="AC99" s="30" t="s">
        <v>223</v>
      </c>
      <c r="AD99" s="37" t="s">
        <v>223</v>
      </c>
    </row>
    <row r="100" spans="1:30" x14ac:dyDescent="0.25">
      <c r="A100" s="36">
        <v>3640</v>
      </c>
      <c r="B100" s="14" t="s">
        <v>7034</v>
      </c>
      <c r="C100" s="14" t="s">
        <v>7035</v>
      </c>
      <c r="D100" s="17">
        <v>44127</v>
      </c>
      <c r="E100" s="14" t="s">
        <v>30</v>
      </c>
      <c r="F100" s="14">
        <v>412</v>
      </c>
      <c r="G100" s="14">
        <v>78</v>
      </c>
      <c r="H100" s="14">
        <v>17</v>
      </c>
      <c r="I100" s="14">
        <v>9</v>
      </c>
      <c r="J100" s="14" t="s">
        <v>31</v>
      </c>
      <c r="K100" s="14" cm="1">
        <f t="array" ref="K100">INT(SUMPRODUCT(--ISNUMBER(SEARCH(economy,C100)))&gt;0)</f>
        <v>0</v>
      </c>
      <c r="L100" s="14" cm="1">
        <f t="array" ref="L100">INT(SUMPRODUCT(--ISNUMBER(SEARCH(healthcare,C100)))&gt;0)</f>
        <v>0</v>
      </c>
      <c r="M100" s="14" cm="1">
        <f t="array" ref="M100">INT(SUMPRODUCT(--ISNUMBER(SEARCH(supreme,C100)))&gt;0)</f>
        <v>0</v>
      </c>
      <c r="N100" s="14" cm="1">
        <f t="array" ref="N100">INT(SUMPRODUCT(--ISNUMBER(SEARCH(covid,C100)))&gt;0)</f>
        <v>0</v>
      </c>
      <c r="O100" s="14" cm="1">
        <f t="array" ref="O100">INT(SUMPRODUCT(--ISNUMBER(SEARCH(violent,C100)))&gt;0)</f>
        <v>0</v>
      </c>
      <c r="P100" s="14" cm="1">
        <f t="array" ref="P100">INT(SUMPRODUCT(--ISNUMBER(SEARCH(foreign,C100)))&gt;0)</f>
        <v>0</v>
      </c>
      <c r="Q100" s="14" cm="1">
        <f t="array" ref="Q100">INT(SUMPRODUCT(--ISNUMBER(SEARCH(gun,C100)))&gt;0)</f>
        <v>0</v>
      </c>
      <c r="R100" s="14" cm="1">
        <f t="array" ref="R100">INT(SUMPRODUCT(--ISNUMBER(SEARCH(race,C100)))&gt;0)</f>
        <v>0</v>
      </c>
      <c r="S100" s="14" cm="1">
        <f t="array" ref="S100">INT(SUMPRODUCT(--ISNUMBER(SEARCH(immigration,C100)))&gt;0)</f>
        <v>0</v>
      </c>
      <c r="T100" s="14" cm="1">
        <f t="array" ref="T100">INT(SUMPRODUCT(--ISNUMBER(SEARCH(econineq,C101)))&gt;0)</f>
        <v>0</v>
      </c>
      <c r="U100" s="14" cm="1">
        <f t="array" ref="U100">INT(SUMPRODUCT(--ISNUMBER(SEARCH(climate,C100)))&gt;0)</f>
        <v>0</v>
      </c>
      <c r="V100" s="14" cm="1">
        <f t="array" ref="V100">INT(SUMPRODUCT(--ISNUMBER(SEARCH(abortion,C100)))&gt;0)</f>
        <v>0</v>
      </c>
      <c r="W100" s="14" cm="1">
        <f t="array" ref="W100">INT(SUMPRODUCT(--ISNUMBER(SEARCH(trump,C100)))&gt;0)</f>
        <v>0</v>
      </c>
      <c r="X100" s="14" cm="1">
        <f t="array" ref="X100">INT(SUMPRODUCT(--ISNUMBER(SEARCH(voting,C100)))&gt;0)</f>
        <v>0</v>
      </c>
      <c r="Y100" s="35" cm="1">
        <f t="array" ref="Y100">INT(SUMPRODUCT(--ISNUMBER(SEARCH(republicantrigger,C100)))&gt;0)</f>
        <v>0</v>
      </c>
      <c r="Z100" s="35" cm="1">
        <f t="array" ref="Z100">INT(SUMPRODUCT(--ISNUMBER(SEARCH(bipartisan,C100)))&gt;0)</f>
        <v>0</v>
      </c>
      <c r="AA100" s="35">
        <f t="shared" si="1"/>
        <v>1</v>
      </c>
      <c r="AB100" s="14"/>
      <c r="AC100" s="30" t="s">
        <v>223</v>
      </c>
      <c r="AD100" s="37" t="s">
        <v>223</v>
      </c>
    </row>
    <row r="101" spans="1:30" x14ac:dyDescent="0.25">
      <c r="A101" s="36">
        <v>3641</v>
      </c>
      <c r="B101" s="14" t="s">
        <v>7036</v>
      </c>
      <c r="C101" s="14" t="s">
        <v>7037</v>
      </c>
      <c r="D101" s="17">
        <v>44127</v>
      </c>
      <c r="E101" s="14" t="s">
        <v>30</v>
      </c>
      <c r="F101" s="14">
        <v>1521</v>
      </c>
      <c r="G101" s="14">
        <v>511</v>
      </c>
      <c r="H101" s="14">
        <v>17</v>
      </c>
      <c r="I101" s="14">
        <v>9</v>
      </c>
      <c r="J101" s="14" t="s">
        <v>31</v>
      </c>
      <c r="K101" s="14" cm="1">
        <f t="array" ref="K101">INT(SUMPRODUCT(--ISNUMBER(SEARCH(economy,C101)))&gt;0)</f>
        <v>0</v>
      </c>
      <c r="L101" s="14" cm="1">
        <f t="array" ref="L101">INT(SUMPRODUCT(--ISNUMBER(SEARCH(healthcare,C101)))&gt;0)</f>
        <v>0</v>
      </c>
      <c r="M101" s="14" cm="1">
        <f t="array" ref="M101">INT(SUMPRODUCT(--ISNUMBER(SEARCH(supreme,C101)))&gt;0)</f>
        <v>0</v>
      </c>
      <c r="N101" s="14" cm="1">
        <f t="array" ref="N101">INT(SUMPRODUCT(--ISNUMBER(SEARCH(covid,C101)))&gt;0)</f>
        <v>0</v>
      </c>
      <c r="O101" s="14" cm="1">
        <f t="array" ref="O101">INT(SUMPRODUCT(--ISNUMBER(SEARCH(violent,C101)))&gt;0)</f>
        <v>0</v>
      </c>
      <c r="P101" s="14" cm="1">
        <f t="array" ref="P101">INT(SUMPRODUCT(--ISNUMBER(SEARCH(foreign,C101)))&gt;0)</f>
        <v>0</v>
      </c>
      <c r="Q101" s="14" cm="1">
        <f t="array" ref="Q101">INT(SUMPRODUCT(--ISNUMBER(SEARCH(gun,C101)))&gt;0)</f>
        <v>0</v>
      </c>
      <c r="R101" s="14" cm="1">
        <f t="array" ref="R101">INT(SUMPRODUCT(--ISNUMBER(SEARCH(race,C101)))&gt;0)</f>
        <v>0</v>
      </c>
      <c r="S101" s="14" cm="1">
        <f t="array" ref="S101">INT(SUMPRODUCT(--ISNUMBER(SEARCH(immigration,C101)))&gt;0)</f>
        <v>0</v>
      </c>
      <c r="T101" s="14" cm="1">
        <f t="array" ref="T101">INT(SUMPRODUCT(--ISNUMBER(SEARCH(econineq,C102)))&gt;0)</f>
        <v>1</v>
      </c>
      <c r="U101" s="14" cm="1">
        <f t="array" ref="U101">INT(SUMPRODUCT(--ISNUMBER(SEARCH(climate,C101)))&gt;0)</f>
        <v>1</v>
      </c>
      <c r="V101" s="14" cm="1">
        <f t="array" ref="V101">INT(SUMPRODUCT(--ISNUMBER(SEARCH(abortion,C101)))&gt;0)</f>
        <v>0</v>
      </c>
      <c r="W101" s="14" cm="1">
        <f t="array" ref="W101">INT(SUMPRODUCT(--ISNUMBER(SEARCH(trump,C101)))&gt;0)</f>
        <v>0</v>
      </c>
      <c r="X101" s="14" cm="1">
        <f t="array" ref="X101">INT(SUMPRODUCT(--ISNUMBER(SEARCH(voting,C101)))&gt;0)</f>
        <v>0</v>
      </c>
      <c r="Y101" s="35" cm="1">
        <f t="array" ref="Y101">INT(SUMPRODUCT(--ISNUMBER(SEARCH(republicantrigger,C101)))&gt;0)</f>
        <v>1</v>
      </c>
      <c r="Z101" s="35" cm="1">
        <f t="array" ref="Z101">INT(SUMPRODUCT(--ISNUMBER(SEARCH(bipartisan,C101)))&gt;0)</f>
        <v>0</v>
      </c>
      <c r="AA101" s="35">
        <f t="shared" si="1"/>
        <v>0</v>
      </c>
      <c r="AB101" s="14"/>
      <c r="AC101" s="30" t="s">
        <v>223</v>
      </c>
      <c r="AD101" s="37" t="s">
        <v>223</v>
      </c>
    </row>
    <row r="102" spans="1:30" x14ac:dyDescent="0.25">
      <c r="A102" s="36">
        <v>3642</v>
      </c>
      <c r="B102" s="14" t="s">
        <v>7038</v>
      </c>
      <c r="C102" s="14" t="s">
        <v>7039</v>
      </c>
      <c r="D102" s="17">
        <v>44127</v>
      </c>
      <c r="E102" s="14" t="s">
        <v>30</v>
      </c>
      <c r="F102" s="14">
        <v>160</v>
      </c>
      <c r="G102" s="14">
        <v>43</v>
      </c>
      <c r="H102" s="14">
        <v>17</v>
      </c>
      <c r="I102" s="14">
        <v>9</v>
      </c>
      <c r="J102" s="14" t="s">
        <v>31</v>
      </c>
      <c r="K102" s="14" cm="1">
        <f t="array" ref="K102">INT(SUMPRODUCT(--ISNUMBER(SEARCH(economy,C102)))&gt;0)</f>
        <v>1</v>
      </c>
      <c r="L102" s="14" cm="1">
        <f t="array" ref="L102">INT(SUMPRODUCT(--ISNUMBER(SEARCH(healthcare,C102)))&gt;0)</f>
        <v>1</v>
      </c>
      <c r="M102" s="14" cm="1">
        <f t="array" ref="M102">INT(SUMPRODUCT(--ISNUMBER(SEARCH(supreme,C102)))&gt;0)</f>
        <v>0</v>
      </c>
      <c r="N102" s="14" cm="1">
        <f t="array" ref="N102">INT(SUMPRODUCT(--ISNUMBER(SEARCH(covid,C102)))&gt;0)</f>
        <v>0</v>
      </c>
      <c r="O102" s="14" cm="1">
        <f t="array" ref="O102">INT(SUMPRODUCT(--ISNUMBER(SEARCH(violent,C102)))&gt;0)</f>
        <v>0</v>
      </c>
      <c r="P102" s="14" cm="1">
        <f t="array" ref="P102">INT(SUMPRODUCT(--ISNUMBER(SEARCH(foreign,C102)))&gt;0)</f>
        <v>0</v>
      </c>
      <c r="Q102" s="14" cm="1">
        <f t="array" ref="Q102">INT(SUMPRODUCT(--ISNUMBER(SEARCH(gun,C102)))&gt;0)</f>
        <v>0</v>
      </c>
      <c r="R102" s="14" cm="1">
        <f t="array" ref="R102">INT(SUMPRODUCT(--ISNUMBER(SEARCH(race,C102)))&gt;0)</f>
        <v>0</v>
      </c>
      <c r="S102" s="14" cm="1">
        <f t="array" ref="S102">INT(SUMPRODUCT(--ISNUMBER(SEARCH(immigration,C102)))&gt;0)</f>
        <v>0</v>
      </c>
      <c r="T102" s="14" cm="1">
        <f t="array" ref="T102">INT(SUMPRODUCT(--ISNUMBER(SEARCH(econineq,C103)))&gt;0)</f>
        <v>0</v>
      </c>
      <c r="U102" s="14" cm="1">
        <f t="array" ref="U102">INT(SUMPRODUCT(--ISNUMBER(SEARCH(climate,C102)))&gt;0)</f>
        <v>0</v>
      </c>
      <c r="V102" s="14" cm="1">
        <f t="array" ref="V102">INT(SUMPRODUCT(--ISNUMBER(SEARCH(abortion,C102)))&gt;0)</f>
        <v>0</v>
      </c>
      <c r="W102" s="14" cm="1">
        <f t="array" ref="W102">INT(SUMPRODUCT(--ISNUMBER(SEARCH(trump,C102)))&gt;0)</f>
        <v>0</v>
      </c>
      <c r="X102" s="14" cm="1">
        <f t="array" ref="X102">INT(SUMPRODUCT(--ISNUMBER(SEARCH(voting,C102)))&gt;0)</f>
        <v>0</v>
      </c>
      <c r="Y102" s="35" cm="1">
        <f t="array" ref="Y102">INT(SUMPRODUCT(--ISNUMBER(SEARCH(republicantrigger,C102)))&gt;0)</f>
        <v>1</v>
      </c>
      <c r="Z102" s="35" cm="1">
        <f t="array" ref="Z102">INT(SUMPRODUCT(--ISNUMBER(SEARCH(bipartisan,C102)))&gt;0)</f>
        <v>0</v>
      </c>
      <c r="AA102" s="35">
        <f t="shared" si="1"/>
        <v>0</v>
      </c>
      <c r="AB102" s="14"/>
      <c r="AC102" s="30" t="s">
        <v>223</v>
      </c>
      <c r="AD102" s="37" t="s">
        <v>223</v>
      </c>
    </row>
    <row r="103" spans="1:30" x14ac:dyDescent="0.25">
      <c r="A103" s="36">
        <v>3643</v>
      </c>
      <c r="B103" s="14" t="s">
        <v>7040</v>
      </c>
      <c r="C103" s="14" t="s">
        <v>7041</v>
      </c>
      <c r="D103" s="17">
        <v>44127</v>
      </c>
      <c r="E103" s="14" t="s">
        <v>30</v>
      </c>
      <c r="F103" s="14">
        <v>503</v>
      </c>
      <c r="G103" s="14">
        <v>197</v>
      </c>
      <c r="H103" s="14">
        <v>17</v>
      </c>
      <c r="I103" s="14">
        <v>9</v>
      </c>
      <c r="J103" s="14" t="s">
        <v>31</v>
      </c>
      <c r="K103" s="14" cm="1">
        <f t="array" ref="K103">INT(SUMPRODUCT(--ISNUMBER(SEARCH(economy,C103)))&gt;0)</f>
        <v>0</v>
      </c>
      <c r="L103" s="14" cm="1">
        <f t="array" ref="L103">INT(SUMPRODUCT(--ISNUMBER(SEARCH(healthcare,C103)))&gt;0)</f>
        <v>0</v>
      </c>
      <c r="M103" s="14" cm="1">
        <f t="array" ref="M103">INT(SUMPRODUCT(--ISNUMBER(SEARCH(supreme,C103)))&gt;0)</f>
        <v>0</v>
      </c>
      <c r="N103" s="14" cm="1">
        <f t="array" ref="N103">INT(SUMPRODUCT(--ISNUMBER(SEARCH(covid,C103)))&gt;0)</f>
        <v>0</v>
      </c>
      <c r="O103" s="14" cm="1">
        <f t="array" ref="O103">INT(SUMPRODUCT(--ISNUMBER(SEARCH(violent,C103)))&gt;0)</f>
        <v>0</v>
      </c>
      <c r="P103" s="14" cm="1">
        <f t="array" ref="P103">INT(SUMPRODUCT(--ISNUMBER(SEARCH(foreign,C103)))&gt;0)</f>
        <v>0</v>
      </c>
      <c r="Q103" s="14" cm="1">
        <f t="array" ref="Q103">INT(SUMPRODUCT(--ISNUMBER(SEARCH(gun,C103)))&gt;0)</f>
        <v>1</v>
      </c>
      <c r="R103" s="14" cm="1">
        <f t="array" ref="R103">INT(SUMPRODUCT(--ISNUMBER(SEARCH(race,C103)))&gt;0)</f>
        <v>0</v>
      </c>
      <c r="S103" s="14" cm="1">
        <f t="array" ref="S103">INT(SUMPRODUCT(--ISNUMBER(SEARCH(immigration,C103)))&gt;0)</f>
        <v>0</v>
      </c>
      <c r="T103" s="14" cm="1">
        <f t="array" ref="T103">INT(SUMPRODUCT(--ISNUMBER(SEARCH(econineq,C104)))&gt;0)</f>
        <v>0</v>
      </c>
      <c r="U103" s="14" cm="1">
        <f t="array" ref="U103">INT(SUMPRODUCT(--ISNUMBER(SEARCH(climate,C103)))&gt;0)</f>
        <v>0</v>
      </c>
      <c r="V103" s="14" cm="1">
        <f t="array" ref="V103">INT(SUMPRODUCT(--ISNUMBER(SEARCH(abortion,C103)))&gt;0)</f>
        <v>0</v>
      </c>
      <c r="W103" s="14" cm="1">
        <f t="array" ref="W103">INT(SUMPRODUCT(--ISNUMBER(SEARCH(trump,C103)))&gt;0)</f>
        <v>0</v>
      </c>
      <c r="X103" s="14" cm="1">
        <f t="array" ref="X103">INT(SUMPRODUCT(--ISNUMBER(SEARCH(voting,C103)))&gt;0)</f>
        <v>0</v>
      </c>
      <c r="Y103" s="35" cm="1">
        <f t="array" ref="Y103">INT(SUMPRODUCT(--ISNUMBER(SEARCH(republicantrigger,C103)))&gt;0)</f>
        <v>1</v>
      </c>
      <c r="Z103" s="35" cm="1">
        <f t="array" ref="Z103">INT(SUMPRODUCT(--ISNUMBER(SEARCH(bipartisan,C103)))&gt;0)</f>
        <v>0</v>
      </c>
      <c r="AA103" s="35">
        <f t="shared" si="1"/>
        <v>0</v>
      </c>
      <c r="AB103" s="14"/>
      <c r="AC103" s="30" t="s">
        <v>223</v>
      </c>
      <c r="AD103" s="37" t="s">
        <v>223</v>
      </c>
    </row>
    <row r="104" spans="1:30" x14ac:dyDescent="0.25">
      <c r="A104" s="36">
        <v>3644</v>
      </c>
      <c r="B104" s="14" t="s">
        <v>7042</v>
      </c>
      <c r="C104" s="14" t="s">
        <v>7043</v>
      </c>
      <c r="D104" s="17">
        <v>44127</v>
      </c>
      <c r="E104" s="14" t="s">
        <v>30</v>
      </c>
      <c r="F104" s="14">
        <v>432</v>
      </c>
      <c r="G104" s="14">
        <v>59</v>
      </c>
      <c r="H104" s="14">
        <v>17</v>
      </c>
      <c r="I104" s="14">
        <v>9</v>
      </c>
      <c r="J104" s="14" t="s">
        <v>31</v>
      </c>
      <c r="K104" s="14" cm="1">
        <f t="array" ref="K104">INT(SUMPRODUCT(--ISNUMBER(SEARCH(economy,C104)))&gt;0)</f>
        <v>0</v>
      </c>
      <c r="L104" s="14" cm="1">
        <f t="array" ref="L104">INT(SUMPRODUCT(--ISNUMBER(SEARCH(healthcare,C104)))&gt;0)</f>
        <v>0</v>
      </c>
      <c r="M104" s="14" cm="1">
        <f t="array" ref="M104">INT(SUMPRODUCT(--ISNUMBER(SEARCH(supreme,C104)))&gt;0)</f>
        <v>0</v>
      </c>
      <c r="N104" s="14" cm="1">
        <f t="array" ref="N104">INT(SUMPRODUCT(--ISNUMBER(SEARCH(covid,C104)))&gt;0)</f>
        <v>0</v>
      </c>
      <c r="O104" s="14" cm="1">
        <f t="array" ref="O104">INT(SUMPRODUCT(--ISNUMBER(SEARCH(violent,C104)))&gt;0)</f>
        <v>0</v>
      </c>
      <c r="P104" s="14" cm="1">
        <f t="array" ref="P104">INT(SUMPRODUCT(--ISNUMBER(SEARCH(foreign,C104)))&gt;0)</f>
        <v>0</v>
      </c>
      <c r="Q104" s="14" cm="1">
        <f t="array" ref="Q104">INT(SUMPRODUCT(--ISNUMBER(SEARCH(gun,C104)))&gt;0)</f>
        <v>0</v>
      </c>
      <c r="R104" s="14" cm="1">
        <f t="array" ref="R104">INT(SUMPRODUCT(--ISNUMBER(SEARCH(race,C104)))&gt;0)</f>
        <v>0</v>
      </c>
      <c r="S104" s="14" cm="1">
        <f t="array" ref="S104">INT(SUMPRODUCT(--ISNUMBER(SEARCH(immigration,C104)))&gt;0)</f>
        <v>0</v>
      </c>
      <c r="T104" s="14" cm="1">
        <f t="array" ref="T104">INT(SUMPRODUCT(--ISNUMBER(SEARCH(econineq,C105)))&gt;0)</f>
        <v>0</v>
      </c>
      <c r="U104" s="14" cm="1">
        <f t="array" ref="U104">INT(SUMPRODUCT(--ISNUMBER(SEARCH(climate,C104)))&gt;0)</f>
        <v>0</v>
      </c>
      <c r="V104" s="14" cm="1">
        <f t="array" ref="V104">INT(SUMPRODUCT(--ISNUMBER(SEARCH(abortion,C104)))&gt;0)</f>
        <v>0</v>
      </c>
      <c r="W104" s="14" cm="1">
        <f t="array" ref="W104">INT(SUMPRODUCT(--ISNUMBER(SEARCH(trump,C104)))&gt;0)</f>
        <v>0</v>
      </c>
      <c r="X104" s="14" cm="1">
        <f t="array" ref="X104">INT(SUMPRODUCT(--ISNUMBER(SEARCH(voting,C104)))&gt;0)</f>
        <v>1</v>
      </c>
      <c r="Y104" s="35" cm="1">
        <f t="array" ref="Y104">INT(SUMPRODUCT(--ISNUMBER(SEARCH(republicantrigger,C104)))&gt;0)</f>
        <v>0</v>
      </c>
      <c r="Z104" s="35" cm="1">
        <f t="array" ref="Z104">INT(SUMPRODUCT(--ISNUMBER(SEARCH(bipartisan,C104)))&gt;0)</f>
        <v>0</v>
      </c>
      <c r="AA104" s="35">
        <f t="shared" si="1"/>
        <v>0</v>
      </c>
      <c r="AB104" s="14"/>
      <c r="AC104" s="30" t="s">
        <v>223</v>
      </c>
      <c r="AD104" s="37" t="s">
        <v>223</v>
      </c>
    </row>
    <row r="105" spans="1:30" x14ac:dyDescent="0.25">
      <c r="A105" s="36">
        <v>3645</v>
      </c>
      <c r="B105" s="14" t="s">
        <v>7044</v>
      </c>
      <c r="C105" s="14" t="s">
        <v>7045</v>
      </c>
      <c r="D105" s="17">
        <v>44126</v>
      </c>
      <c r="E105" s="14" t="s">
        <v>70</v>
      </c>
      <c r="F105" s="14">
        <v>130</v>
      </c>
      <c r="G105" s="14">
        <v>14</v>
      </c>
      <c r="H105" s="14">
        <v>17</v>
      </c>
      <c r="I105" s="14">
        <v>9</v>
      </c>
      <c r="J105" s="14" t="s">
        <v>31</v>
      </c>
      <c r="K105" s="14" cm="1">
        <f t="array" ref="K105">INT(SUMPRODUCT(--ISNUMBER(SEARCH(economy,C105)))&gt;0)</f>
        <v>0</v>
      </c>
      <c r="L105" s="14" cm="1">
        <f t="array" ref="L105">INT(SUMPRODUCT(--ISNUMBER(SEARCH(healthcare,C105)))&gt;0)</f>
        <v>0</v>
      </c>
      <c r="M105" s="14" cm="1">
        <f t="array" ref="M105">INT(SUMPRODUCT(--ISNUMBER(SEARCH(supreme,C105)))&gt;0)</f>
        <v>1</v>
      </c>
      <c r="N105" s="14" cm="1">
        <f t="array" ref="N105">INT(SUMPRODUCT(--ISNUMBER(SEARCH(covid,C105)))&gt;0)</f>
        <v>0</v>
      </c>
      <c r="O105" s="14" cm="1">
        <f t="array" ref="O105">INT(SUMPRODUCT(--ISNUMBER(SEARCH(violent,C105)))&gt;0)</f>
        <v>0</v>
      </c>
      <c r="P105" s="14" cm="1">
        <f t="array" ref="P105">INT(SUMPRODUCT(--ISNUMBER(SEARCH(foreign,C105)))&gt;0)</f>
        <v>0</v>
      </c>
      <c r="Q105" s="14" cm="1">
        <f t="array" ref="Q105">INT(SUMPRODUCT(--ISNUMBER(SEARCH(gun,C105)))&gt;0)</f>
        <v>0</v>
      </c>
      <c r="R105" s="14" cm="1">
        <f t="array" ref="R105">INT(SUMPRODUCT(--ISNUMBER(SEARCH(race,C105)))&gt;0)</f>
        <v>0</v>
      </c>
      <c r="S105" s="14" cm="1">
        <f t="array" ref="S105">INT(SUMPRODUCT(--ISNUMBER(SEARCH(immigration,C105)))&gt;0)</f>
        <v>0</v>
      </c>
      <c r="T105" s="14" cm="1">
        <f t="array" ref="T105">INT(SUMPRODUCT(--ISNUMBER(SEARCH(econineq,C106)))&gt;0)</f>
        <v>0</v>
      </c>
      <c r="U105" s="14" cm="1">
        <f t="array" ref="U105">INT(SUMPRODUCT(--ISNUMBER(SEARCH(climate,C105)))&gt;0)</f>
        <v>0</v>
      </c>
      <c r="V105" s="14" cm="1">
        <f t="array" ref="V105">INT(SUMPRODUCT(--ISNUMBER(SEARCH(abortion,C105)))&gt;0)</f>
        <v>0</v>
      </c>
      <c r="W105" s="14" cm="1">
        <f t="array" ref="W105">INT(SUMPRODUCT(--ISNUMBER(SEARCH(trump,C105)))&gt;0)</f>
        <v>0</v>
      </c>
      <c r="X105" s="14" cm="1">
        <f t="array" ref="X105">INT(SUMPRODUCT(--ISNUMBER(SEARCH(voting,C105)))&gt;0)</f>
        <v>0</v>
      </c>
      <c r="Y105" s="35" cm="1">
        <f t="array" ref="Y105">INT(SUMPRODUCT(--ISNUMBER(SEARCH(republicantrigger,C105)))&gt;0)</f>
        <v>0</v>
      </c>
      <c r="Z105" s="35" cm="1">
        <f t="array" ref="Z105">INT(SUMPRODUCT(--ISNUMBER(SEARCH(bipartisan,C105)))&gt;0)</f>
        <v>0</v>
      </c>
      <c r="AA105" s="35">
        <f t="shared" si="1"/>
        <v>0</v>
      </c>
      <c r="AB105" s="14"/>
      <c r="AC105" s="30" t="s">
        <v>223</v>
      </c>
      <c r="AD105" s="37" t="s">
        <v>223</v>
      </c>
    </row>
    <row r="106" spans="1:30" x14ac:dyDescent="0.25">
      <c r="A106" s="36">
        <v>3646</v>
      </c>
      <c r="B106" s="14" t="s">
        <v>7046</v>
      </c>
      <c r="C106" s="14" t="s">
        <v>7047</v>
      </c>
      <c r="D106" s="17">
        <v>44126</v>
      </c>
      <c r="E106" s="14" t="s">
        <v>30</v>
      </c>
      <c r="F106" s="14">
        <v>830</v>
      </c>
      <c r="G106" s="14">
        <v>151</v>
      </c>
      <c r="H106" s="14">
        <v>17</v>
      </c>
      <c r="I106" s="14">
        <v>9</v>
      </c>
      <c r="J106" s="14" t="s">
        <v>31</v>
      </c>
      <c r="K106" s="14" cm="1">
        <f t="array" ref="K106">INT(SUMPRODUCT(--ISNUMBER(SEARCH(economy,C106)))&gt;0)</f>
        <v>0</v>
      </c>
      <c r="L106" s="14" cm="1">
        <f t="array" ref="L106">INT(SUMPRODUCT(--ISNUMBER(SEARCH(healthcare,C106)))&gt;0)</f>
        <v>0</v>
      </c>
      <c r="M106" s="14" cm="1">
        <f t="array" ref="M106">INT(SUMPRODUCT(--ISNUMBER(SEARCH(supreme,C106)))&gt;0)</f>
        <v>1</v>
      </c>
      <c r="N106" s="14" cm="1">
        <f t="array" ref="N106">INT(SUMPRODUCT(--ISNUMBER(SEARCH(covid,C106)))&gt;0)</f>
        <v>0</v>
      </c>
      <c r="O106" s="14" cm="1">
        <f t="array" ref="O106">INT(SUMPRODUCT(--ISNUMBER(SEARCH(violent,C106)))&gt;0)</f>
        <v>0</v>
      </c>
      <c r="P106" s="14" cm="1">
        <f t="array" ref="P106">INT(SUMPRODUCT(--ISNUMBER(SEARCH(foreign,C106)))&gt;0)</f>
        <v>0</v>
      </c>
      <c r="Q106" s="14" cm="1">
        <f t="array" ref="Q106">INT(SUMPRODUCT(--ISNUMBER(SEARCH(gun,C106)))&gt;0)</f>
        <v>0</v>
      </c>
      <c r="R106" s="14" cm="1">
        <f t="array" ref="R106">INT(SUMPRODUCT(--ISNUMBER(SEARCH(race,C106)))&gt;0)</f>
        <v>0</v>
      </c>
      <c r="S106" s="14" cm="1">
        <f t="array" ref="S106">INT(SUMPRODUCT(--ISNUMBER(SEARCH(immigration,C106)))&gt;0)</f>
        <v>0</v>
      </c>
      <c r="T106" s="14" cm="1">
        <f t="array" ref="T106">INT(SUMPRODUCT(--ISNUMBER(SEARCH(econineq,C107)))&gt;0)</f>
        <v>0</v>
      </c>
      <c r="U106" s="14" cm="1">
        <f t="array" ref="U106">INT(SUMPRODUCT(--ISNUMBER(SEARCH(climate,C106)))&gt;0)</f>
        <v>0</v>
      </c>
      <c r="V106" s="14" cm="1">
        <f t="array" ref="V106">INT(SUMPRODUCT(--ISNUMBER(SEARCH(abortion,C106)))&gt;0)</f>
        <v>0</v>
      </c>
      <c r="W106" s="14" cm="1">
        <f t="array" ref="W106">INT(SUMPRODUCT(--ISNUMBER(SEARCH(trump,C106)))&gt;0)</f>
        <v>0</v>
      </c>
      <c r="X106" s="14" cm="1">
        <f t="array" ref="X106">INT(SUMPRODUCT(--ISNUMBER(SEARCH(voting,C106)))&gt;0)</f>
        <v>1</v>
      </c>
      <c r="Y106" s="35" cm="1">
        <f t="array" ref="Y106">INT(SUMPRODUCT(--ISNUMBER(SEARCH(republicantrigger,C106)))&gt;0)</f>
        <v>1</v>
      </c>
      <c r="Z106" s="35" cm="1">
        <f t="array" ref="Z106">INT(SUMPRODUCT(--ISNUMBER(SEARCH(bipartisan,C106)))&gt;0)</f>
        <v>0</v>
      </c>
      <c r="AA106" s="35">
        <f t="shared" si="1"/>
        <v>0</v>
      </c>
      <c r="AB106" s="14"/>
      <c r="AC106" s="30" t="s">
        <v>223</v>
      </c>
      <c r="AD106" s="37" t="s">
        <v>223</v>
      </c>
    </row>
    <row r="107" spans="1:30" x14ac:dyDescent="0.25">
      <c r="A107" s="36">
        <v>3647</v>
      </c>
      <c r="B107" s="14" t="s">
        <v>7048</v>
      </c>
      <c r="C107" s="14" t="s">
        <v>7049</v>
      </c>
      <c r="D107" s="17">
        <v>44126</v>
      </c>
      <c r="E107" s="14" t="s">
        <v>30</v>
      </c>
      <c r="F107" s="14">
        <v>666</v>
      </c>
      <c r="G107" s="14">
        <v>186</v>
      </c>
      <c r="H107" s="14">
        <v>17</v>
      </c>
      <c r="I107" s="14">
        <v>9</v>
      </c>
      <c r="J107" s="14" t="s">
        <v>31</v>
      </c>
      <c r="K107" s="14" cm="1">
        <f t="array" ref="K107">INT(SUMPRODUCT(--ISNUMBER(SEARCH(economy,C107)))&gt;0)</f>
        <v>0</v>
      </c>
      <c r="L107" s="14" cm="1">
        <f t="array" ref="L107">INT(SUMPRODUCT(--ISNUMBER(SEARCH(healthcare,C107)))&gt;0)</f>
        <v>0</v>
      </c>
      <c r="M107" s="14" cm="1">
        <f t="array" ref="M107">INT(SUMPRODUCT(--ISNUMBER(SEARCH(supreme,C107)))&gt;0)</f>
        <v>0</v>
      </c>
      <c r="N107" s="14" cm="1">
        <f t="array" ref="N107">INT(SUMPRODUCT(--ISNUMBER(SEARCH(covid,C107)))&gt;0)</f>
        <v>0</v>
      </c>
      <c r="O107" s="14" cm="1">
        <f t="array" ref="O107">INT(SUMPRODUCT(--ISNUMBER(SEARCH(violent,C107)))&gt;0)</f>
        <v>0</v>
      </c>
      <c r="P107" s="14" cm="1">
        <f t="array" ref="P107">INT(SUMPRODUCT(--ISNUMBER(SEARCH(foreign,C107)))&gt;0)</f>
        <v>0</v>
      </c>
      <c r="Q107" s="14" cm="1">
        <f t="array" ref="Q107">INT(SUMPRODUCT(--ISNUMBER(SEARCH(gun,C107)))&gt;0)</f>
        <v>0</v>
      </c>
      <c r="R107" s="14" cm="1">
        <f t="array" ref="R107">INT(SUMPRODUCT(--ISNUMBER(SEARCH(race,C107)))&gt;0)</f>
        <v>0</v>
      </c>
      <c r="S107" s="14" cm="1">
        <f t="array" ref="S107">INT(SUMPRODUCT(--ISNUMBER(SEARCH(immigration,C107)))&gt;0)</f>
        <v>0</v>
      </c>
      <c r="T107" s="14" cm="1">
        <f t="array" ref="T107">INT(SUMPRODUCT(--ISNUMBER(SEARCH(econineq,C108)))&gt;0)</f>
        <v>0</v>
      </c>
      <c r="U107" s="14" cm="1">
        <f t="array" ref="U107">INT(SUMPRODUCT(--ISNUMBER(SEARCH(climate,C107)))&gt;0)</f>
        <v>0</v>
      </c>
      <c r="V107" s="14" cm="1">
        <f t="array" ref="V107">INT(SUMPRODUCT(--ISNUMBER(SEARCH(abortion,C107)))&gt;0)</f>
        <v>0</v>
      </c>
      <c r="W107" s="14" cm="1">
        <f t="array" ref="W107">INT(SUMPRODUCT(--ISNUMBER(SEARCH(trump,C107)))&gt;0)</f>
        <v>0</v>
      </c>
      <c r="X107" s="14" cm="1">
        <f t="array" ref="X107">INT(SUMPRODUCT(--ISNUMBER(SEARCH(voting,C107)))&gt;0)</f>
        <v>0</v>
      </c>
      <c r="Y107" s="35" cm="1">
        <f t="array" ref="Y107">INT(SUMPRODUCT(--ISNUMBER(SEARCH(republicantrigger,C107)))&gt;0)</f>
        <v>1</v>
      </c>
      <c r="Z107" s="35" cm="1">
        <f t="array" ref="Z107">INT(SUMPRODUCT(--ISNUMBER(SEARCH(bipartisan,C107)))&gt;0)</f>
        <v>0</v>
      </c>
      <c r="AA107" s="35">
        <f t="shared" si="1"/>
        <v>0</v>
      </c>
      <c r="AB107" s="14"/>
      <c r="AC107" s="30" t="s">
        <v>223</v>
      </c>
      <c r="AD107" s="37" t="s">
        <v>223</v>
      </c>
    </row>
    <row r="108" spans="1:30" x14ac:dyDescent="0.25">
      <c r="A108" s="36">
        <v>3648</v>
      </c>
      <c r="B108" s="14" t="s">
        <v>7050</v>
      </c>
      <c r="C108" s="14" t="s">
        <v>7051</v>
      </c>
      <c r="D108" s="17">
        <v>44126</v>
      </c>
      <c r="E108" s="14" t="s">
        <v>30</v>
      </c>
      <c r="F108" s="14">
        <v>287</v>
      </c>
      <c r="G108" s="14">
        <v>43</v>
      </c>
      <c r="H108" s="14">
        <v>17</v>
      </c>
      <c r="I108" s="14">
        <v>9</v>
      </c>
      <c r="J108" s="14" t="s">
        <v>31</v>
      </c>
      <c r="K108" s="14" cm="1">
        <f t="array" ref="K108">INT(SUMPRODUCT(--ISNUMBER(SEARCH(economy,C108)))&gt;0)</f>
        <v>0</v>
      </c>
      <c r="L108" s="14" cm="1">
        <f t="array" ref="L108">INT(SUMPRODUCT(--ISNUMBER(SEARCH(healthcare,C108)))&gt;0)</f>
        <v>0</v>
      </c>
      <c r="M108" s="14" cm="1">
        <f t="array" ref="M108">INT(SUMPRODUCT(--ISNUMBER(SEARCH(supreme,C108)))&gt;0)</f>
        <v>0</v>
      </c>
      <c r="N108" s="14" cm="1">
        <f t="array" ref="N108">INT(SUMPRODUCT(--ISNUMBER(SEARCH(covid,C108)))&gt;0)</f>
        <v>0</v>
      </c>
      <c r="O108" s="14" cm="1">
        <f t="array" ref="O108">INT(SUMPRODUCT(--ISNUMBER(SEARCH(violent,C108)))&gt;0)</f>
        <v>0</v>
      </c>
      <c r="P108" s="14" cm="1">
        <f t="array" ref="P108">INT(SUMPRODUCT(--ISNUMBER(SEARCH(foreign,C108)))&gt;0)</f>
        <v>0</v>
      </c>
      <c r="Q108" s="14" cm="1">
        <f t="array" ref="Q108">INT(SUMPRODUCT(--ISNUMBER(SEARCH(gun,C108)))&gt;0)</f>
        <v>0</v>
      </c>
      <c r="R108" s="14" cm="1">
        <f t="array" ref="R108">INT(SUMPRODUCT(--ISNUMBER(SEARCH(race,C108)))&gt;0)</f>
        <v>0</v>
      </c>
      <c r="S108" s="14" cm="1">
        <f t="array" ref="S108">INT(SUMPRODUCT(--ISNUMBER(SEARCH(immigration,C108)))&gt;0)</f>
        <v>0</v>
      </c>
      <c r="T108" s="14" cm="1">
        <f t="array" ref="T108">INT(SUMPRODUCT(--ISNUMBER(SEARCH(econineq,C109)))&gt;0)</f>
        <v>0</v>
      </c>
      <c r="U108" s="14" cm="1">
        <f t="array" ref="U108">INT(SUMPRODUCT(--ISNUMBER(SEARCH(climate,C108)))&gt;0)</f>
        <v>0</v>
      </c>
      <c r="V108" s="14" cm="1">
        <f t="array" ref="V108">INT(SUMPRODUCT(--ISNUMBER(SEARCH(abortion,C108)))&gt;0)</f>
        <v>0</v>
      </c>
      <c r="W108" s="14" cm="1">
        <f t="array" ref="W108">INT(SUMPRODUCT(--ISNUMBER(SEARCH(trump,C108)))&gt;0)</f>
        <v>0</v>
      </c>
      <c r="X108" s="14" cm="1">
        <f t="array" ref="X108">INT(SUMPRODUCT(--ISNUMBER(SEARCH(voting,C108)))&gt;0)</f>
        <v>0</v>
      </c>
      <c r="Y108" s="35" cm="1">
        <f t="array" ref="Y108">INT(SUMPRODUCT(--ISNUMBER(SEARCH(republicantrigger,C108)))&gt;0)</f>
        <v>0</v>
      </c>
      <c r="Z108" s="35" cm="1">
        <f t="array" ref="Z108">INT(SUMPRODUCT(--ISNUMBER(SEARCH(bipartisan,C108)))&gt;0)</f>
        <v>0</v>
      </c>
      <c r="AA108" s="35">
        <f t="shared" si="1"/>
        <v>1</v>
      </c>
      <c r="AB108" s="14"/>
      <c r="AC108" s="30" t="s">
        <v>223</v>
      </c>
      <c r="AD108" s="37" t="s">
        <v>223</v>
      </c>
    </row>
    <row r="109" spans="1:30" x14ac:dyDescent="0.25">
      <c r="A109" s="36">
        <v>3649</v>
      </c>
      <c r="B109" s="14" t="s">
        <v>7052</v>
      </c>
      <c r="C109" s="14" t="s">
        <v>7053</v>
      </c>
      <c r="D109" s="17">
        <v>44126</v>
      </c>
      <c r="E109" s="14" t="s">
        <v>70</v>
      </c>
      <c r="F109" s="14">
        <v>184</v>
      </c>
      <c r="G109" s="14">
        <v>111</v>
      </c>
      <c r="H109" s="14">
        <v>17</v>
      </c>
      <c r="I109" s="14">
        <v>9</v>
      </c>
      <c r="J109" s="14" t="s">
        <v>31</v>
      </c>
      <c r="K109" s="14" cm="1">
        <f t="array" ref="K109">INT(SUMPRODUCT(--ISNUMBER(SEARCH(economy,C109)))&gt;0)</f>
        <v>1</v>
      </c>
      <c r="L109" s="14" cm="1">
        <f t="array" ref="L109">INT(SUMPRODUCT(--ISNUMBER(SEARCH(healthcare,C109)))&gt;0)</f>
        <v>0</v>
      </c>
      <c r="M109" s="14" cm="1">
        <f t="array" ref="M109">INT(SUMPRODUCT(--ISNUMBER(SEARCH(supreme,C109)))&gt;0)</f>
        <v>0</v>
      </c>
      <c r="N109" s="14" cm="1">
        <f t="array" ref="N109">INT(SUMPRODUCT(--ISNUMBER(SEARCH(covid,C109)))&gt;0)</f>
        <v>0</v>
      </c>
      <c r="O109" s="14" cm="1">
        <f t="array" ref="O109">INT(SUMPRODUCT(--ISNUMBER(SEARCH(violent,C109)))&gt;0)</f>
        <v>0</v>
      </c>
      <c r="P109" s="14" cm="1">
        <f t="array" ref="P109">INT(SUMPRODUCT(--ISNUMBER(SEARCH(foreign,C109)))&gt;0)</f>
        <v>0</v>
      </c>
      <c r="Q109" s="14" cm="1">
        <f t="array" ref="Q109">INT(SUMPRODUCT(--ISNUMBER(SEARCH(gun,C109)))&gt;0)</f>
        <v>0</v>
      </c>
      <c r="R109" s="14" cm="1">
        <f t="array" ref="R109">INT(SUMPRODUCT(--ISNUMBER(SEARCH(race,C109)))&gt;0)</f>
        <v>0</v>
      </c>
      <c r="S109" s="14" cm="1">
        <f t="array" ref="S109">INT(SUMPRODUCT(--ISNUMBER(SEARCH(immigration,C109)))&gt;0)</f>
        <v>0</v>
      </c>
      <c r="T109" s="14" cm="1">
        <f t="array" ref="T109">INT(SUMPRODUCT(--ISNUMBER(SEARCH(econineq,C110)))&gt;0)</f>
        <v>0</v>
      </c>
      <c r="U109" s="14" cm="1">
        <f t="array" ref="U109">INT(SUMPRODUCT(--ISNUMBER(SEARCH(climate,C109)))&gt;0)</f>
        <v>0</v>
      </c>
      <c r="V109" s="14" cm="1">
        <f t="array" ref="V109">INT(SUMPRODUCT(--ISNUMBER(SEARCH(abortion,C109)))&gt;0)</f>
        <v>0</v>
      </c>
      <c r="W109" s="14" cm="1">
        <f t="array" ref="W109">INT(SUMPRODUCT(--ISNUMBER(SEARCH(trump,C109)))&gt;0)</f>
        <v>0</v>
      </c>
      <c r="X109" s="14" cm="1">
        <f t="array" ref="X109">INT(SUMPRODUCT(--ISNUMBER(SEARCH(voting,C109)))&gt;0)</f>
        <v>0</v>
      </c>
      <c r="Y109" s="35" cm="1">
        <f t="array" ref="Y109">INT(SUMPRODUCT(--ISNUMBER(SEARCH(republicantrigger,C109)))&gt;0)</f>
        <v>1</v>
      </c>
      <c r="Z109" s="35" cm="1">
        <f t="array" ref="Z109">INT(SUMPRODUCT(--ISNUMBER(SEARCH(bipartisan,C109)))&gt;0)</f>
        <v>0</v>
      </c>
      <c r="AA109" s="35">
        <f t="shared" si="1"/>
        <v>0</v>
      </c>
      <c r="AB109" s="14"/>
      <c r="AC109" s="30" t="s">
        <v>223</v>
      </c>
      <c r="AD109" s="37" t="s">
        <v>223</v>
      </c>
    </row>
    <row r="110" spans="1:30" x14ac:dyDescent="0.25">
      <c r="A110" s="36">
        <v>3650</v>
      </c>
      <c r="B110" s="14" t="s">
        <v>7054</v>
      </c>
      <c r="C110" s="14" t="s">
        <v>7055</v>
      </c>
      <c r="D110" s="17">
        <v>44126</v>
      </c>
      <c r="E110" s="14" t="s">
        <v>70</v>
      </c>
      <c r="F110" s="14">
        <v>42</v>
      </c>
      <c r="G110" s="14">
        <v>18</v>
      </c>
      <c r="H110" s="14">
        <v>17</v>
      </c>
      <c r="I110" s="14">
        <v>9</v>
      </c>
      <c r="J110" s="14" t="s">
        <v>31</v>
      </c>
      <c r="K110" s="14" cm="1">
        <f t="array" ref="K110">INT(SUMPRODUCT(--ISNUMBER(SEARCH(economy,C110)))&gt;0)</f>
        <v>1</v>
      </c>
      <c r="L110" s="14" cm="1">
        <f t="array" ref="L110">INT(SUMPRODUCT(--ISNUMBER(SEARCH(healthcare,C110)))&gt;0)</f>
        <v>0</v>
      </c>
      <c r="M110" s="14" cm="1">
        <f t="array" ref="M110">INT(SUMPRODUCT(--ISNUMBER(SEARCH(supreme,C110)))&gt;0)</f>
        <v>0</v>
      </c>
      <c r="N110" s="14" cm="1">
        <f t="array" ref="N110">INT(SUMPRODUCT(--ISNUMBER(SEARCH(covid,C110)))&gt;0)</f>
        <v>0</v>
      </c>
      <c r="O110" s="14" cm="1">
        <f t="array" ref="O110">INT(SUMPRODUCT(--ISNUMBER(SEARCH(violent,C110)))&gt;0)</f>
        <v>0</v>
      </c>
      <c r="P110" s="14" cm="1">
        <f t="array" ref="P110">INT(SUMPRODUCT(--ISNUMBER(SEARCH(foreign,C110)))&gt;0)</f>
        <v>0</v>
      </c>
      <c r="Q110" s="14" cm="1">
        <f t="array" ref="Q110">INT(SUMPRODUCT(--ISNUMBER(SEARCH(gun,C110)))&gt;0)</f>
        <v>0</v>
      </c>
      <c r="R110" s="14" cm="1">
        <f t="array" ref="R110">INT(SUMPRODUCT(--ISNUMBER(SEARCH(race,C110)))&gt;0)</f>
        <v>0</v>
      </c>
      <c r="S110" s="14" cm="1">
        <f t="array" ref="S110">INT(SUMPRODUCT(--ISNUMBER(SEARCH(immigration,C110)))&gt;0)</f>
        <v>0</v>
      </c>
      <c r="T110" s="14" cm="1">
        <f t="array" ref="T110">INT(SUMPRODUCT(--ISNUMBER(SEARCH(econineq,C111)))&gt;0)</f>
        <v>0</v>
      </c>
      <c r="U110" s="14" cm="1">
        <f t="array" ref="U110">INT(SUMPRODUCT(--ISNUMBER(SEARCH(climate,C110)))&gt;0)</f>
        <v>0</v>
      </c>
      <c r="V110" s="14" cm="1">
        <f t="array" ref="V110">INT(SUMPRODUCT(--ISNUMBER(SEARCH(abortion,C110)))&gt;0)</f>
        <v>0</v>
      </c>
      <c r="W110" s="14" cm="1">
        <f t="array" ref="W110">INT(SUMPRODUCT(--ISNUMBER(SEARCH(trump,C110)))&gt;0)</f>
        <v>0</v>
      </c>
      <c r="X110" s="14" cm="1">
        <f t="array" ref="X110">INT(SUMPRODUCT(--ISNUMBER(SEARCH(voting,C110)))&gt;0)</f>
        <v>0</v>
      </c>
      <c r="Y110" s="35" cm="1">
        <f t="array" ref="Y110">INT(SUMPRODUCT(--ISNUMBER(SEARCH(republicantrigger,C110)))&gt;0)</f>
        <v>1</v>
      </c>
      <c r="Z110" s="35" cm="1">
        <f t="array" ref="Z110">INT(SUMPRODUCT(--ISNUMBER(SEARCH(bipartisan,C110)))&gt;0)</f>
        <v>0</v>
      </c>
      <c r="AA110" s="35">
        <f t="shared" si="1"/>
        <v>0</v>
      </c>
      <c r="AB110" s="14"/>
      <c r="AC110" s="30" t="s">
        <v>223</v>
      </c>
      <c r="AD110" s="37" t="s">
        <v>223</v>
      </c>
    </row>
    <row r="111" spans="1:30" x14ac:dyDescent="0.25">
      <c r="A111" s="36">
        <v>3651</v>
      </c>
      <c r="B111" s="14" t="s">
        <v>7056</v>
      </c>
      <c r="C111" s="14" t="s">
        <v>7057</v>
      </c>
      <c r="D111" s="17">
        <v>44126</v>
      </c>
      <c r="E111" s="14" t="s">
        <v>70</v>
      </c>
      <c r="F111" s="14">
        <v>20</v>
      </c>
      <c r="G111" s="14">
        <v>11</v>
      </c>
      <c r="H111" s="14">
        <v>17</v>
      </c>
      <c r="I111" s="14">
        <v>9</v>
      </c>
      <c r="J111" s="14" t="s">
        <v>31</v>
      </c>
      <c r="K111" s="14" cm="1">
        <f t="array" ref="K111">INT(SUMPRODUCT(--ISNUMBER(SEARCH(economy,C111)))&gt;0)</f>
        <v>1</v>
      </c>
      <c r="L111" s="14" cm="1">
        <f t="array" ref="L111">INT(SUMPRODUCT(--ISNUMBER(SEARCH(healthcare,C111)))&gt;0)</f>
        <v>0</v>
      </c>
      <c r="M111" s="14" cm="1">
        <f t="array" ref="M111">INT(SUMPRODUCT(--ISNUMBER(SEARCH(supreme,C111)))&gt;0)</f>
        <v>0</v>
      </c>
      <c r="N111" s="14" cm="1">
        <f t="array" ref="N111">INT(SUMPRODUCT(--ISNUMBER(SEARCH(covid,C111)))&gt;0)</f>
        <v>0</v>
      </c>
      <c r="O111" s="14" cm="1">
        <f t="array" ref="O111">INT(SUMPRODUCT(--ISNUMBER(SEARCH(violent,C111)))&gt;0)</f>
        <v>0</v>
      </c>
      <c r="P111" s="14" cm="1">
        <f t="array" ref="P111">INT(SUMPRODUCT(--ISNUMBER(SEARCH(foreign,C111)))&gt;0)</f>
        <v>0</v>
      </c>
      <c r="Q111" s="14" cm="1">
        <f t="array" ref="Q111">INT(SUMPRODUCT(--ISNUMBER(SEARCH(gun,C111)))&gt;0)</f>
        <v>0</v>
      </c>
      <c r="R111" s="14" cm="1">
        <f t="array" ref="R111">INT(SUMPRODUCT(--ISNUMBER(SEARCH(race,C111)))&gt;0)</f>
        <v>0</v>
      </c>
      <c r="S111" s="14" cm="1">
        <f t="array" ref="S111">INT(SUMPRODUCT(--ISNUMBER(SEARCH(immigration,C111)))&gt;0)</f>
        <v>0</v>
      </c>
      <c r="T111" s="14" cm="1">
        <f t="array" ref="T111">INT(SUMPRODUCT(--ISNUMBER(SEARCH(econineq,C112)))&gt;0)</f>
        <v>0</v>
      </c>
      <c r="U111" s="14" cm="1">
        <f t="array" ref="U111">INT(SUMPRODUCT(--ISNUMBER(SEARCH(climate,C111)))&gt;0)</f>
        <v>0</v>
      </c>
      <c r="V111" s="14" cm="1">
        <f t="array" ref="V111">INT(SUMPRODUCT(--ISNUMBER(SEARCH(abortion,C111)))&gt;0)</f>
        <v>0</v>
      </c>
      <c r="W111" s="14" cm="1">
        <f t="array" ref="W111">INT(SUMPRODUCT(--ISNUMBER(SEARCH(trump,C111)))&gt;0)</f>
        <v>0</v>
      </c>
      <c r="X111" s="14" cm="1">
        <f t="array" ref="X111">INT(SUMPRODUCT(--ISNUMBER(SEARCH(voting,C111)))&gt;0)</f>
        <v>0</v>
      </c>
      <c r="Y111" s="35" cm="1">
        <f t="array" ref="Y111">INT(SUMPRODUCT(--ISNUMBER(SEARCH(republicantrigger,C111)))&gt;0)</f>
        <v>1</v>
      </c>
      <c r="Z111" s="35" cm="1">
        <f t="array" ref="Z111">INT(SUMPRODUCT(--ISNUMBER(SEARCH(bipartisan,C111)))&gt;0)</f>
        <v>0</v>
      </c>
      <c r="AA111" s="35">
        <f t="shared" si="1"/>
        <v>0</v>
      </c>
      <c r="AB111" s="14"/>
      <c r="AC111" s="30" t="s">
        <v>223</v>
      </c>
      <c r="AD111" s="37" t="s">
        <v>223</v>
      </c>
    </row>
    <row r="112" spans="1:30" x14ac:dyDescent="0.25">
      <c r="A112" s="36">
        <v>3652</v>
      </c>
      <c r="B112" s="14" t="s">
        <v>7058</v>
      </c>
      <c r="C112" s="14" t="s">
        <v>7059</v>
      </c>
      <c r="D112" s="17">
        <v>44126</v>
      </c>
      <c r="E112" s="14" t="s">
        <v>70</v>
      </c>
      <c r="F112" s="14">
        <v>11</v>
      </c>
      <c r="G112" s="14">
        <v>7</v>
      </c>
      <c r="H112" s="14">
        <v>17</v>
      </c>
      <c r="I112" s="14">
        <v>9</v>
      </c>
      <c r="J112" s="14" t="s">
        <v>31</v>
      </c>
      <c r="K112" s="14" cm="1">
        <f t="array" ref="K112">INT(SUMPRODUCT(--ISNUMBER(SEARCH(economy,C112)))&gt;0)</f>
        <v>0</v>
      </c>
      <c r="L112" s="14" cm="1">
        <f t="array" ref="L112">INT(SUMPRODUCT(--ISNUMBER(SEARCH(healthcare,C112)))&gt;0)</f>
        <v>0</v>
      </c>
      <c r="M112" s="14" cm="1">
        <f t="array" ref="M112">INT(SUMPRODUCT(--ISNUMBER(SEARCH(supreme,C112)))&gt;0)</f>
        <v>0</v>
      </c>
      <c r="N112" s="14" cm="1">
        <f t="array" ref="N112">INT(SUMPRODUCT(--ISNUMBER(SEARCH(covid,C112)))&gt;0)</f>
        <v>1</v>
      </c>
      <c r="O112" s="14" cm="1">
        <f t="array" ref="O112">INT(SUMPRODUCT(--ISNUMBER(SEARCH(violent,C112)))&gt;0)</f>
        <v>0</v>
      </c>
      <c r="P112" s="14" cm="1">
        <f t="array" ref="P112">INT(SUMPRODUCT(--ISNUMBER(SEARCH(foreign,C112)))&gt;0)</f>
        <v>0</v>
      </c>
      <c r="Q112" s="14" cm="1">
        <f t="array" ref="Q112">INT(SUMPRODUCT(--ISNUMBER(SEARCH(gun,C112)))&gt;0)</f>
        <v>0</v>
      </c>
      <c r="R112" s="14" cm="1">
        <f t="array" ref="R112">INT(SUMPRODUCT(--ISNUMBER(SEARCH(race,C112)))&gt;0)</f>
        <v>0</v>
      </c>
      <c r="S112" s="14" cm="1">
        <f t="array" ref="S112">INT(SUMPRODUCT(--ISNUMBER(SEARCH(immigration,C112)))&gt;0)</f>
        <v>0</v>
      </c>
      <c r="T112" s="14" cm="1">
        <f t="array" ref="T112">INT(SUMPRODUCT(--ISNUMBER(SEARCH(econineq,C113)))&gt;0)</f>
        <v>0</v>
      </c>
      <c r="U112" s="14" cm="1">
        <f t="array" ref="U112">INT(SUMPRODUCT(--ISNUMBER(SEARCH(climate,C112)))&gt;0)</f>
        <v>0</v>
      </c>
      <c r="V112" s="14" cm="1">
        <f t="array" ref="V112">INT(SUMPRODUCT(--ISNUMBER(SEARCH(abortion,C112)))&gt;0)</f>
        <v>0</v>
      </c>
      <c r="W112" s="14" cm="1">
        <f t="array" ref="W112">INT(SUMPRODUCT(--ISNUMBER(SEARCH(trump,C112)))&gt;0)</f>
        <v>0</v>
      </c>
      <c r="X112" s="14" cm="1">
        <f t="array" ref="X112">INT(SUMPRODUCT(--ISNUMBER(SEARCH(voting,C112)))&gt;0)</f>
        <v>0</v>
      </c>
      <c r="Y112" s="35" cm="1">
        <f t="array" ref="Y112">INT(SUMPRODUCT(--ISNUMBER(SEARCH(republicantrigger,C112)))&gt;0)</f>
        <v>1</v>
      </c>
      <c r="Z112" s="35" cm="1">
        <f t="array" ref="Z112">INT(SUMPRODUCT(--ISNUMBER(SEARCH(bipartisan,C112)))&gt;0)</f>
        <v>0</v>
      </c>
      <c r="AA112" s="35">
        <f t="shared" si="1"/>
        <v>0</v>
      </c>
      <c r="AB112" s="14"/>
      <c r="AC112" s="30" t="s">
        <v>223</v>
      </c>
      <c r="AD112" s="37" t="s">
        <v>223</v>
      </c>
    </row>
    <row r="113" spans="1:30" x14ac:dyDescent="0.25">
      <c r="A113" s="36">
        <v>3653</v>
      </c>
      <c r="B113" s="14" t="s">
        <v>7060</v>
      </c>
      <c r="C113" s="14" t="s">
        <v>7061</v>
      </c>
      <c r="D113" s="17">
        <v>44126</v>
      </c>
      <c r="E113" s="14" t="s">
        <v>70</v>
      </c>
      <c r="F113" s="14">
        <v>16</v>
      </c>
      <c r="G113" s="14">
        <v>11</v>
      </c>
      <c r="H113" s="14">
        <v>17</v>
      </c>
      <c r="I113" s="14">
        <v>9</v>
      </c>
      <c r="J113" s="14" t="s">
        <v>31</v>
      </c>
      <c r="K113" s="14" cm="1">
        <f t="array" ref="K113">INT(SUMPRODUCT(--ISNUMBER(SEARCH(economy,C113)))&gt;0)</f>
        <v>0</v>
      </c>
      <c r="L113" s="14" cm="1">
        <f t="array" ref="L113">INT(SUMPRODUCT(--ISNUMBER(SEARCH(healthcare,C113)))&gt;0)</f>
        <v>0</v>
      </c>
      <c r="M113" s="14" cm="1">
        <f t="array" ref="M113">INT(SUMPRODUCT(--ISNUMBER(SEARCH(supreme,C113)))&gt;0)</f>
        <v>0</v>
      </c>
      <c r="N113" s="14" cm="1">
        <f t="array" ref="N113">INT(SUMPRODUCT(--ISNUMBER(SEARCH(covid,C113)))&gt;0)</f>
        <v>0</v>
      </c>
      <c r="O113" s="14" cm="1">
        <f t="array" ref="O113">INT(SUMPRODUCT(--ISNUMBER(SEARCH(violent,C113)))&gt;0)</f>
        <v>0</v>
      </c>
      <c r="P113" s="14" cm="1">
        <f t="array" ref="P113">INT(SUMPRODUCT(--ISNUMBER(SEARCH(foreign,C113)))&gt;0)</f>
        <v>0</v>
      </c>
      <c r="Q113" s="14" cm="1">
        <f t="array" ref="Q113">INT(SUMPRODUCT(--ISNUMBER(SEARCH(gun,C113)))&gt;0)</f>
        <v>0</v>
      </c>
      <c r="R113" s="14" cm="1">
        <f t="array" ref="R113">INT(SUMPRODUCT(--ISNUMBER(SEARCH(race,C113)))&gt;0)</f>
        <v>0</v>
      </c>
      <c r="S113" s="14" cm="1">
        <f t="array" ref="S113">INT(SUMPRODUCT(--ISNUMBER(SEARCH(immigration,C113)))&gt;0)</f>
        <v>0</v>
      </c>
      <c r="T113" s="14" cm="1">
        <f t="array" ref="T113">INT(SUMPRODUCT(--ISNUMBER(SEARCH(econineq,C114)))&gt;0)</f>
        <v>0</v>
      </c>
      <c r="U113" s="14" cm="1">
        <f t="array" ref="U113">INT(SUMPRODUCT(--ISNUMBER(SEARCH(climate,C113)))&gt;0)</f>
        <v>0</v>
      </c>
      <c r="V113" s="14" cm="1">
        <f t="array" ref="V113">INT(SUMPRODUCT(--ISNUMBER(SEARCH(abortion,C113)))&gt;0)</f>
        <v>0</v>
      </c>
      <c r="W113" s="14" cm="1">
        <f t="array" ref="W113">INT(SUMPRODUCT(--ISNUMBER(SEARCH(trump,C113)))&gt;0)</f>
        <v>0</v>
      </c>
      <c r="X113" s="14" cm="1">
        <f t="array" ref="X113">INT(SUMPRODUCT(--ISNUMBER(SEARCH(voting,C113)))&gt;0)</f>
        <v>0</v>
      </c>
      <c r="Y113" s="35" cm="1">
        <f t="array" ref="Y113">INT(SUMPRODUCT(--ISNUMBER(SEARCH(republicantrigger,C113)))&gt;0)</f>
        <v>1</v>
      </c>
      <c r="Z113" s="35" cm="1">
        <f t="array" ref="Z113">INT(SUMPRODUCT(--ISNUMBER(SEARCH(bipartisan,C113)))&gt;0)</f>
        <v>0</v>
      </c>
      <c r="AA113" s="35">
        <f t="shared" si="1"/>
        <v>0</v>
      </c>
      <c r="AB113" s="14"/>
      <c r="AC113" s="30" t="s">
        <v>223</v>
      </c>
      <c r="AD113" s="37" t="s">
        <v>223</v>
      </c>
    </row>
    <row r="114" spans="1:30" x14ac:dyDescent="0.25">
      <c r="A114" s="36">
        <v>3654</v>
      </c>
      <c r="B114" s="14" t="s">
        <v>7062</v>
      </c>
      <c r="C114" s="14" t="s">
        <v>7063</v>
      </c>
      <c r="D114" s="17">
        <v>44126</v>
      </c>
      <c r="E114" s="14" t="s">
        <v>30</v>
      </c>
      <c r="F114" s="14">
        <v>115</v>
      </c>
      <c r="G114" s="14">
        <v>61</v>
      </c>
      <c r="H114" s="14">
        <v>17</v>
      </c>
      <c r="I114" s="14">
        <v>9</v>
      </c>
      <c r="J114" s="14" t="s">
        <v>31</v>
      </c>
      <c r="K114" s="14" cm="1">
        <f t="array" ref="K114">INT(SUMPRODUCT(--ISNUMBER(SEARCH(economy,C114)))&gt;0)</f>
        <v>0</v>
      </c>
      <c r="L114" s="14" cm="1">
        <f t="array" ref="L114">INT(SUMPRODUCT(--ISNUMBER(SEARCH(healthcare,C114)))&gt;0)</f>
        <v>0</v>
      </c>
      <c r="M114" s="14" cm="1">
        <f t="array" ref="M114">INT(SUMPRODUCT(--ISNUMBER(SEARCH(supreme,C114)))&gt;0)</f>
        <v>0</v>
      </c>
      <c r="N114" s="14" cm="1">
        <f t="array" ref="N114">INT(SUMPRODUCT(--ISNUMBER(SEARCH(covid,C114)))&gt;0)</f>
        <v>1</v>
      </c>
      <c r="O114" s="14" cm="1">
        <f t="array" ref="O114">INT(SUMPRODUCT(--ISNUMBER(SEARCH(violent,C114)))&gt;0)</f>
        <v>0</v>
      </c>
      <c r="P114" s="14" cm="1">
        <f t="array" ref="P114">INT(SUMPRODUCT(--ISNUMBER(SEARCH(foreign,C114)))&gt;0)</f>
        <v>0</v>
      </c>
      <c r="Q114" s="14" cm="1">
        <f t="array" ref="Q114">INT(SUMPRODUCT(--ISNUMBER(SEARCH(gun,C114)))&gt;0)</f>
        <v>0</v>
      </c>
      <c r="R114" s="14" cm="1">
        <f t="array" ref="R114">INT(SUMPRODUCT(--ISNUMBER(SEARCH(race,C114)))&gt;0)</f>
        <v>0</v>
      </c>
      <c r="S114" s="14" cm="1">
        <f t="array" ref="S114">INT(SUMPRODUCT(--ISNUMBER(SEARCH(immigration,C114)))&gt;0)</f>
        <v>0</v>
      </c>
      <c r="T114" s="14" cm="1">
        <f t="array" ref="T114">INT(SUMPRODUCT(--ISNUMBER(SEARCH(econineq,C115)))&gt;0)</f>
        <v>0</v>
      </c>
      <c r="U114" s="14" cm="1">
        <f t="array" ref="U114">INT(SUMPRODUCT(--ISNUMBER(SEARCH(climate,C114)))&gt;0)</f>
        <v>0</v>
      </c>
      <c r="V114" s="14" cm="1">
        <f t="array" ref="V114">INT(SUMPRODUCT(--ISNUMBER(SEARCH(abortion,C114)))&gt;0)</f>
        <v>0</v>
      </c>
      <c r="W114" s="14" cm="1">
        <f t="array" ref="W114">INT(SUMPRODUCT(--ISNUMBER(SEARCH(trump,C114)))&gt;0)</f>
        <v>0</v>
      </c>
      <c r="X114" s="14" cm="1">
        <f t="array" ref="X114">INT(SUMPRODUCT(--ISNUMBER(SEARCH(voting,C114)))&gt;0)</f>
        <v>0</v>
      </c>
      <c r="Y114" s="35" cm="1">
        <f t="array" ref="Y114">INT(SUMPRODUCT(--ISNUMBER(SEARCH(republicantrigger,C114)))&gt;0)</f>
        <v>1</v>
      </c>
      <c r="Z114" s="35" cm="1">
        <f t="array" ref="Z114">INT(SUMPRODUCT(--ISNUMBER(SEARCH(bipartisan,C114)))&gt;0)</f>
        <v>0</v>
      </c>
      <c r="AA114" s="35">
        <f t="shared" si="1"/>
        <v>0</v>
      </c>
      <c r="AB114" s="14"/>
      <c r="AC114" s="30" t="s">
        <v>223</v>
      </c>
      <c r="AD114" s="37" t="s">
        <v>223</v>
      </c>
    </row>
    <row r="115" spans="1:30" x14ac:dyDescent="0.25">
      <c r="A115" s="36">
        <v>3655</v>
      </c>
      <c r="B115" s="14" t="s">
        <v>7064</v>
      </c>
      <c r="C115" s="14" t="s">
        <v>7065</v>
      </c>
      <c r="D115" s="17">
        <v>44126</v>
      </c>
      <c r="E115" s="14" t="s">
        <v>30</v>
      </c>
      <c r="F115" s="14">
        <v>502</v>
      </c>
      <c r="G115" s="14">
        <v>87</v>
      </c>
      <c r="H115" s="14">
        <v>17</v>
      </c>
      <c r="I115" s="14">
        <v>9</v>
      </c>
      <c r="J115" s="14" t="s">
        <v>31</v>
      </c>
      <c r="K115" s="14" cm="1">
        <f t="array" ref="K115">INT(SUMPRODUCT(--ISNUMBER(SEARCH(economy,C115)))&gt;0)</f>
        <v>0</v>
      </c>
      <c r="L115" s="14" cm="1">
        <f t="array" ref="L115">INT(SUMPRODUCT(--ISNUMBER(SEARCH(healthcare,C115)))&gt;0)</f>
        <v>0</v>
      </c>
      <c r="M115" s="14" cm="1">
        <f t="array" ref="M115">INT(SUMPRODUCT(--ISNUMBER(SEARCH(supreme,C115)))&gt;0)</f>
        <v>1</v>
      </c>
      <c r="N115" s="14" cm="1">
        <f t="array" ref="N115">INT(SUMPRODUCT(--ISNUMBER(SEARCH(covid,C115)))&gt;0)</f>
        <v>0</v>
      </c>
      <c r="O115" s="14" cm="1">
        <f t="array" ref="O115">INT(SUMPRODUCT(--ISNUMBER(SEARCH(violent,C115)))&gt;0)</f>
        <v>0</v>
      </c>
      <c r="P115" s="14" cm="1">
        <f t="array" ref="P115">INT(SUMPRODUCT(--ISNUMBER(SEARCH(foreign,C115)))&gt;0)</f>
        <v>0</v>
      </c>
      <c r="Q115" s="14" cm="1">
        <f t="array" ref="Q115">INT(SUMPRODUCT(--ISNUMBER(SEARCH(gun,C115)))&gt;0)</f>
        <v>0</v>
      </c>
      <c r="R115" s="14" cm="1">
        <f t="array" ref="R115">INT(SUMPRODUCT(--ISNUMBER(SEARCH(race,C115)))&gt;0)</f>
        <v>0</v>
      </c>
      <c r="S115" s="14" cm="1">
        <f t="array" ref="S115">INT(SUMPRODUCT(--ISNUMBER(SEARCH(immigration,C115)))&gt;0)</f>
        <v>0</v>
      </c>
      <c r="T115" s="14" cm="1">
        <f t="array" ref="T115">INT(SUMPRODUCT(--ISNUMBER(SEARCH(econineq,C116)))&gt;0)</f>
        <v>0</v>
      </c>
      <c r="U115" s="14" cm="1">
        <f t="array" ref="U115">INT(SUMPRODUCT(--ISNUMBER(SEARCH(climate,C115)))&gt;0)</f>
        <v>0</v>
      </c>
      <c r="V115" s="14" cm="1">
        <f t="array" ref="V115">INT(SUMPRODUCT(--ISNUMBER(SEARCH(abortion,C115)))&gt;0)</f>
        <v>0</v>
      </c>
      <c r="W115" s="14" cm="1">
        <f t="array" ref="W115">INT(SUMPRODUCT(--ISNUMBER(SEARCH(trump,C115)))&gt;0)</f>
        <v>0</v>
      </c>
      <c r="X115" s="14" cm="1">
        <f t="array" ref="X115">INT(SUMPRODUCT(--ISNUMBER(SEARCH(voting,C115)))&gt;0)</f>
        <v>0</v>
      </c>
      <c r="Y115" s="35" cm="1">
        <f t="array" ref="Y115">INT(SUMPRODUCT(--ISNUMBER(SEARCH(republicantrigger,C115)))&gt;0)</f>
        <v>0</v>
      </c>
      <c r="Z115" s="35" cm="1">
        <f t="array" ref="Z115">INT(SUMPRODUCT(--ISNUMBER(SEARCH(bipartisan,C115)))&gt;0)</f>
        <v>0</v>
      </c>
      <c r="AA115" s="35">
        <f t="shared" si="1"/>
        <v>0</v>
      </c>
      <c r="AB115" s="14"/>
      <c r="AC115" s="30" t="s">
        <v>223</v>
      </c>
      <c r="AD115" s="37" t="s">
        <v>223</v>
      </c>
    </row>
    <row r="116" spans="1:30" x14ac:dyDescent="0.25">
      <c r="A116" s="36">
        <v>3656</v>
      </c>
      <c r="B116" s="14" t="s">
        <v>7066</v>
      </c>
      <c r="C116" s="14" t="s">
        <v>7067</v>
      </c>
      <c r="D116" s="17">
        <v>44126</v>
      </c>
      <c r="E116" s="14" t="s">
        <v>30</v>
      </c>
      <c r="F116" s="14">
        <v>123</v>
      </c>
      <c r="G116" s="14">
        <v>26</v>
      </c>
      <c r="H116" s="14">
        <v>17</v>
      </c>
      <c r="I116" s="14">
        <v>9</v>
      </c>
      <c r="J116" s="14" t="s">
        <v>31</v>
      </c>
      <c r="K116" s="14" cm="1">
        <f t="array" ref="K116">INT(SUMPRODUCT(--ISNUMBER(SEARCH(economy,C116)))&gt;0)</f>
        <v>0</v>
      </c>
      <c r="L116" s="14" cm="1">
        <f t="array" ref="L116">INT(SUMPRODUCT(--ISNUMBER(SEARCH(healthcare,C116)))&gt;0)</f>
        <v>0</v>
      </c>
      <c r="M116" s="14" cm="1">
        <f t="array" ref="M116">INT(SUMPRODUCT(--ISNUMBER(SEARCH(supreme,C116)))&gt;0)</f>
        <v>1</v>
      </c>
      <c r="N116" s="14" cm="1">
        <f t="array" ref="N116">INT(SUMPRODUCT(--ISNUMBER(SEARCH(covid,C116)))&gt;0)</f>
        <v>0</v>
      </c>
      <c r="O116" s="14" cm="1">
        <f t="array" ref="O116">INT(SUMPRODUCT(--ISNUMBER(SEARCH(violent,C116)))&gt;0)</f>
        <v>0</v>
      </c>
      <c r="P116" s="14" cm="1">
        <f t="array" ref="P116">INT(SUMPRODUCT(--ISNUMBER(SEARCH(foreign,C116)))&gt;0)</f>
        <v>0</v>
      </c>
      <c r="Q116" s="14" cm="1">
        <f t="array" ref="Q116">INT(SUMPRODUCT(--ISNUMBER(SEARCH(gun,C116)))&gt;0)</f>
        <v>0</v>
      </c>
      <c r="R116" s="14" cm="1">
        <f t="array" ref="R116">INT(SUMPRODUCT(--ISNUMBER(SEARCH(race,C116)))&gt;0)</f>
        <v>0</v>
      </c>
      <c r="S116" s="14" cm="1">
        <f t="array" ref="S116">INT(SUMPRODUCT(--ISNUMBER(SEARCH(immigration,C116)))&gt;0)</f>
        <v>0</v>
      </c>
      <c r="T116" s="14" cm="1">
        <f t="array" ref="T116">INT(SUMPRODUCT(--ISNUMBER(SEARCH(econineq,C117)))&gt;0)</f>
        <v>0</v>
      </c>
      <c r="U116" s="14" cm="1">
        <f t="array" ref="U116">INT(SUMPRODUCT(--ISNUMBER(SEARCH(climate,C116)))&gt;0)</f>
        <v>0</v>
      </c>
      <c r="V116" s="14" cm="1">
        <f t="array" ref="V116">INT(SUMPRODUCT(--ISNUMBER(SEARCH(abortion,C116)))&gt;0)</f>
        <v>0</v>
      </c>
      <c r="W116" s="14" cm="1">
        <f t="array" ref="W116">INT(SUMPRODUCT(--ISNUMBER(SEARCH(trump,C116)))&gt;0)</f>
        <v>0</v>
      </c>
      <c r="X116" s="14" cm="1">
        <f t="array" ref="X116">INT(SUMPRODUCT(--ISNUMBER(SEARCH(voting,C116)))&gt;0)</f>
        <v>0</v>
      </c>
      <c r="Y116" s="35" cm="1">
        <f t="array" ref="Y116">INT(SUMPRODUCT(--ISNUMBER(SEARCH(republicantrigger,C116)))&gt;0)</f>
        <v>0</v>
      </c>
      <c r="Z116" s="35" cm="1">
        <f t="array" ref="Z116">INT(SUMPRODUCT(--ISNUMBER(SEARCH(bipartisan,C116)))&gt;0)</f>
        <v>0</v>
      </c>
      <c r="AA116" s="35">
        <f t="shared" si="1"/>
        <v>0</v>
      </c>
      <c r="AB116" s="14"/>
      <c r="AC116" s="30" t="s">
        <v>223</v>
      </c>
      <c r="AD116" s="37" t="s">
        <v>223</v>
      </c>
    </row>
    <row r="117" spans="1:30" x14ac:dyDescent="0.25">
      <c r="A117" s="36">
        <v>3657</v>
      </c>
      <c r="B117" s="14" t="s">
        <v>7068</v>
      </c>
      <c r="C117" s="14" t="s">
        <v>7069</v>
      </c>
      <c r="D117" s="17">
        <v>44126</v>
      </c>
      <c r="E117" s="14" t="s">
        <v>30</v>
      </c>
      <c r="F117" s="14">
        <v>96</v>
      </c>
      <c r="G117" s="14">
        <v>21</v>
      </c>
      <c r="H117" s="14">
        <v>17</v>
      </c>
      <c r="I117" s="14">
        <v>9</v>
      </c>
      <c r="J117" s="14" t="s">
        <v>31</v>
      </c>
      <c r="K117" s="14" cm="1">
        <f t="array" ref="K117">INT(SUMPRODUCT(--ISNUMBER(SEARCH(economy,C117)))&gt;0)</f>
        <v>0</v>
      </c>
      <c r="L117" s="14" cm="1">
        <f t="array" ref="L117">INT(SUMPRODUCT(--ISNUMBER(SEARCH(healthcare,C117)))&gt;0)</f>
        <v>0</v>
      </c>
      <c r="M117" s="14" cm="1">
        <f t="array" ref="M117">INT(SUMPRODUCT(--ISNUMBER(SEARCH(supreme,C117)))&gt;0)</f>
        <v>0</v>
      </c>
      <c r="N117" s="14" cm="1">
        <f t="array" ref="N117">INT(SUMPRODUCT(--ISNUMBER(SEARCH(covid,C117)))&gt;0)</f>
        <v>0</v>
      </c>
      <c r="O117" s="14" cm="1">
        <f t="array" ref="O117">INT(SUMPRODUCT(--ISNUMBER(SEARCH(violent,C117)))&gt;0)</f>
        <v>0</v>
      </c>
      <c r="P117" s="14" cm="1">
        <f t="array" ref="P117">INT(SUMPRODUCT(--ISNUMBER(SEARCH(foreign,C117)))&gt;0)</f>
        <v>1</v>
      </c>
      <c r="Q117" s="14" cm="1">
        <f t="array" ref="Q117">INT(SUMPRODUCT(--ISNUMBER(SEARCH(gun,C117)))&gt;0)</f>
        <v>0</v>
      </c>
      <c r="R117" s="14" cm="1">
        <f t="array" ref="R117">INT(SUMPRODUCT(--ISNUMBER(SEARCH(race,C117)))&gt;0)</f>
        <v>0</v>
      </c>
      <c r="S117" s="14" cm="1">
        <f t="array" ref="S117">INT(SUMPRODUCT(--ISNUMBER(SEARCH(immigration,C117)))&gt;0)</f>
        <v>0</v>
      </c>
      <c r="T117" s="14" cm="1">
        <f t="array" ref="T117">INT(SUMPRODUCT(--ISNUMBER(SEARCH(econineq,C118)))&gt;0)</f>
        <v>0</v>
      </c>
      <c r="U117" s="14" cm="1">
        <f t="array" ref="U117">INT(SUMPRODUCT(--ISNUMBER(SEARCH(climate,C117)))&gt;0)</f>
        <v>0</v>
      </c>
      <c r="V117" s="14" cm="1">
        <f t="array" ref="V117">INT(SUMPRODUCT(--ISNUMBER(SEARCH(abortion,C117)))&gt;0)</f>
        <v>0</v>
      </c>
      <c r="W117" s="14" cm="1">
        <f t="array" ref="W117">INT(SUMPRODUCT(--ISNUMBER(SEARCH(trump,C117)))&gt;0)</f>
        <v>0</v>
      </c>
      <c r="X117" s="14" cm="1">
        <f t="array" ref="X117">INT(SUMPRODUCT(--ISNUMBER(SEARCH(voting,C117)))&gt;0)</f>
        <v>0</v>
      </c>
      <c r="Y117" s="35" cm="1">
        <f t="array" ref="Y117">INT(SUMPRODUCT(--ISNUMBER(SEARCH(republicantrigger,C117)))&gt;0)</f>
        <v>0</v>
      </c>
      <c r="Z117" s="35" cm="1">
        <f t="array" ref="Z117">INT(SUMPRODUCT(--ISNUMBER(SEARCH(bipartisan,C117)))&gt;0)</f>
        <v>0</v>
      </c>
      <c r="AA117" s="35">
        <f t="shared" si="1"/>
        <v>0</v>
      </c>
      <c r="AB117" s="14"/>
      <c r="AC117" s="30" t="s">
        <v>223</v>
      </c>
      <c r="AD117" s="37" t="s">
        <v>223</v>
      </c>
    </row>
    <row r="118" spans="1:30" x14ac:dyDescent="0.25">
      <c r="A118" s="36">
        <v>3658</v>
      </c>
      <c r="B118" s="14" t="s">
        <v>7070</v>
      </c>
      <c r="C118" s="14" t="s">
        <v>7071</v>
      </c>
      <c r="D118" s="17">
        <v>44126</v>
      </c>
      <c r="E118" s="14" t="s">
        <v>30</v>
      </c>
      <c r="F118" s="14">
        <v>2068</v>
      </c>
      <c r="G118" s="14">
        <v>624</v>
      </c>
      <c r="H118" s="14">
        <v>17</v>
      </c>
      <c r="I118" s="14">
        <v>9</v>
      </c>
      <c r="J118" s="14" t="s">
        <v>31</v>
      </c>
      <c r="K118" s="14" cm="1">
        <f t="array" ref="K118">INT(SUMPRODUCT(--ISNUMBER(SEARCH(economy,C118)))&gt;0)</f>
        <v>0</v>
      </c>
      <c r="L118" s="14" cm="1">
        <f t="array" ref="L118">INT(SUMPRODUCT(--ISNUMBER(SEARCH(healthcare,C118)))&gt;0)</f>
        <v>0</v>
      </c>
      <c r="M118" s="14" cm="1">
        <f t="array" ref="M118">INT(SUMPRODUCT(--ISNUMBER(SEARCH(supreme,C118)))&gt;0)</f>
        <v>1</v>
      </c>
      <c r="N118" s="14" cm="1">
        <f t="array" ref="N118">INT(SUMPRODUCT(--ISNUMBER(SEARCH(covid,C118)))&gt;0)</f>
        <v>0</v>
      </c>
      <c r="O118" s="14" cm="1">
        <f t="array" ref="O118">INT(SUMPRODUCT(--ISNUMBER(SEARCH(violent,C118)))&gt;0)</f>
        <v>0</v>
      </c>
      <c r="P118" s="14" cm="1">
        <f t="array" ref="P118">INT(SUMPRODUCT(--ISNUMBER(SEARCH(foreign,C118)))&gt;0)</f>
        <v>0</v>
      </c>
      <c r="Q118" s="14" cm="1">
        <f t="array" ref="Q118">INT(SUMPRODUCT(--ISNUMBER(SEARCH(gun,C118)))&gt;0)</f>
        <v>0</v>
      </c>
      <c r="R118" s="14" cm="1">
        <f t="array" ref="R118">INT(SUMPRODUCT(--ISNUMBER(SEARCH(race,C118)))&gt;0)</f>
        <v>0</v>
      </c>
      <c r="S118" s="14" cm="1">
        <f t="array" ref="S118">INT(SUMPRODUCT(--ISNUMBER(SEARCH(immigration,C118)))&gt;0)</f>
        <v>0</v>
      </c>
      <c r="T118" s="14" cm="1">
        <f t="array" ref="T118">INT(SUMPRODUCT(--ISNUMBER(SEARCH(econineq,C119)))&gt;0)</f>
        <v>0</v>
      </c>
      <c r="U118" s="14" cm="1">
        <f t="array" ref="U118">INT(SUMPRODUCT(--ISNUMBER(SEARCH(climate,C118)))&gt;0)</f>
        <v>0</v>
      </c>
      <c r="V118" s="14" cm="1">
        <f t="array" ref="V118">INT(SUMPRODUCT(--ISNUMBER(SEARCH(abortion,C118)))&gt;0)</f>
        <v>0</v>
      </c>
      <c r="W118" s="14" cm="1">
        <f t="array" ref="W118">INT(SUMPRODUCT(--ISNUMBER(SEARCH(trump,C118)))&gt;0)</f>
        <v>0</v>
      </c>
      <c r="X118" s="14" cm="1">
        <f t="array" ref="X118">INT(SUMPRODUCT(--ISNUMBER(SEARCH(voting,C118)))&gt;0)</f>
        <v>1</v>
      </c>
      <c r="Y118" s="35" cm="1">
        <f t="array" ref="Y118">INT(SUMPRODUCT(--ISNUMBER(SEARCH(republicantrigger,C118)))&gt;0)</f>
        <v>1</v>
      </c>
      <c r="Z118" s="35" cm="1">
        <f t="array" ref="Z118">INT(SUMPRODUCT(--ISNUMBER(SEARCH(bipartisan,C118)))&gt;0)</f>
        <v>0</v>
      </c>
      <c r="AA118" s="35">
        <f t="shared" si="1"/>
        <v>0</v>
      </c>
      <c r="AB118" s="14"/>
      <c r="AC118" s="30">
        <v>0</v>
      </c>
      <c r="AD118" s="37">
        <v>1</v>
      </c>
    </row>
    <row r="119" spans="1:30" x14ac:dyDescent="0.25">
      <c r="A119" s="36">
        <v>3659</v>
      </c>
      <c r="B119" s="14" t="s">
        <v>7072</v>
      </c>
      <c r="C119" s="14" t="s">
        <v>7073</v>
      </c>
      <c r="D119" s="17">
        <v>44126</v>
      </c>
      <c r="E119" s="14" t="s">
        <v>30</v>
      </c>
      <c r="F119" s="14">
        <v>121</v>
      </c>
      <c r="G119" s="14">
        <v>47</v>
      </c>
      <c r="H119" s="14">
        <v>17</v>
      </c>
      <c r="I119" s="14">
        <v>9</v>
      </c>
      <c r="J119" s="14" t="s">
        <v>31</v>
      </c>
      <c r="K119" s="14" cm="1">
        <f t="array" ref="K119">INT(SUMPRODUCT(--ISNUMBER(SEARCH(economy,C119)))&gt;0)</f>
        <v>0</v>
      </c>
      <c r="L119" s="14" cm="1">
        <f t="array" ref="L119">INT(SUMPRODUCT(--ISNUMBER(SEARCH(healthcare,C119)))&gt;0)</f>
        <v>0</v>
      </c>
      <c r="M119" s="14" cm="1">
        <f t="array" ref="M119">INT(SUMPRODUCT(--ISNUMBER(SEARCH(supreme,C119)))&gt;0)</f>
        <v>0</v>
      </c>
      <c r="N119" s="14" cm="1">
        <f t="array" ref="N119">INT(SUMPRODUCT(--ISNUMBER(SEARCH(covid,C119)))&gt;0)</f>
        <v>0</v>
      </c>
      <c r="O119" s="14" cm="1">
        <f t="array" ref="O119">INT(SUMPRODUCT(--ISNUMBER(SEARCH(violent,C119)))&gt;0)</f>
        <v>0</v>
      </c>
      <c r="P119" s="14" cm="1">
        <f t="array" ref="P119">INT(SUMPRODUCT(--ISNUMBER(SEARCH(foreign,C119)))&gt;0)</f>
        <v>1</v>
      </c>
      <c r="Q119" s="14" cm="1">
        <f t="array" ref="Q119">INT(SUMPRODUCT(--ISNUMBER(SEARCH(gun,C119)))&gt;0)</f>
        <v>0</v>
      </c>
      <c r="R119" s="14" cm="1">
        <f t="array" ref="R119">INT(SUMPRODUCT(--ISNUMBER(SEARCH(race,C119)))&gt;0)</f>
        <v>0</v>
      </c>
      <c r="S119" s="14" cm="1">
        <f t="array" ref="S119">INT(SUMPRODUCT(--ISNUMBER(SEARCH(immigration,C119)))&gt;0)</f>
        <v>0</v>
      </c>
      <c r="T119" s="14" cm="1">
        <f t="array" ref="T119">INT(SUMPRODUCT(--ISNUMBER(SEARCH(econineq,C120)))&gt;0)</f>
        <v>0</v>
      </c>
      <c r="U119" s="14" cm="1">
        <f t="array" ref="U119">INT(SUMPRODUCT(--ISNUMBER(SEARCH(climate,C119)))&gt;0)</f>
        <v>0</v>
      </c>
      <c r="V119" s="14" cm="1">
        <f t="array" ref="V119">INT(SUMPRODUCT(--ISNUMBER(SEARCH(abortion,C119)))&gt;0)</f>
        <v>0</v>
      </c>
      <c r="W119" s="14" cm="1">
        <f t="array" ref="W119">INT(SUMPRODUCT(--ISNUMBER(SEARCH(trump,C119)))&gt;0)</f>
        <v>0</v>
      </c>
      <c r="X119" s="14" cm="1">
        <f t="array" ref="X119">INT(SUMPRODUCT(--ISNUMBER(SEARCH(voting,C119)))&gt;0)</f>
        <v>0</v>
      </c>
      <c r="Y119" s="35" cm="1">
        <f t="array" ref="Y119">INT(SUMPRODUCT(--ISNUMBER(SEARCH(republicantrigger,C119)))&gt;0)</f>
        <v>0</v>
      </c>
      <c r="Z119" s="35" cm="1">
        <f t="array" ref="Z119">INT(SUMPRODUCT(--ISNUMBER(SEARCH(bipartisan,C119)))&gt;0)</f>
        <v>0</v>
      </c>
      <c r="AA119" s="35">
        <f t="shared" si="1"/>
        <v>0</v>
      </c>
      <c r="AB119" s="14"/>
      <c r="AC119" s="30" t="s">
        <v>223</v>
      </c>
      <c r="AD119" s="37" t="s">
        <v>223</v>
      </c>
    </row>
    <row r="120" spans="1:30" x14ac:dyDescent="0.25">
      <c r="A120" s="36">
        <v>3660</v>
      </c>
      <c r="B120" s="14" t="s">
        <v>7074</v>
      </c>
      <c r="C120" s="14" t="s">
        <v>7075</v>
      </c>
      <c r="D120" s="17">
        <v>44126</v>
      </c>
      <c r="E120" s="14" t="s">
        <v>30</v>
      </c>
      <c r="F120" s="14">
        <v>644</v>
      </c>
      <c r="G120" s="14">
        <v>262</v>
      </c>
      <c r="H120" s="14">
        <v>17</v>
      </c>
      <c r="I120" s="14">
        <v>9</v>
      </c>
      <c r="J120" s="14" t="s">
        <v>31</v>
      </c>
      <c r="K120" s="14" cm="1">
        <f t="array" ref="K120">INT(SUMPRODUCT(--ISNUMBER(SEARCH(economy,C120)))&gt;0)</f>
        <v>0</v>
      </c>
      <c r="L120" s="14" cm="1">
        <f t="array" ref="L120">INT(SUMPRODUCT(--ISNUMBER(SEARCH(healthcare,C120)))&gt;0)</f>
        <v>0</v>
      </c>
      <c r="M120" s="14" cm="1">
        <f t="array" ref="M120">INT(SUMPRODUCT(--ISNUMBER(SEARCH(supreme,C120)))&gt;0)</f>
        <v>0</v>
      </c>
      <c r="N120" s="14" cm="1">
        <f t="array" ref="N120">INT(SUMPRODUCT(--ISNUMBER(SEARCH(covid,C120)))&gt;0)</f>
        <v>0</v>
      </c>
      <c r="O120" s="14" cm="1">
        <f t="array" ref="O120">INT(SUMPRODUCT(--ISNUMBER(SEARCH(violent,C120)))&gt;0)</f>
        <v>0</v>
      </c>
      <c r="P120" s="14" cm="1">
        <f t="array" ref="P120">INT(SUMPRODUCT(--ISNUMBER(SEARCH(foreign,C120)))&gt;0)</f>
        <v>0</v>
      </c>
      <c r="Q120" s="14" cm="1">
        <f t="array" ref="Q120">INT(SUMPRODUCT(--ISNUMBER(SEARCH(gun,C120)))&gt;0)</f>
        <v>0</v>
      </c>
      <c r="R120" s="14" cm="1">
        <f t="array" ref="R120">INT(SUMPRODUCT(--ISNUMBER(SEARCH(race,C120)))&gt;0)</f>
        <v>0</v>
      </c>
      <c r="S120" s="14" cm="1">
        <f t="array" ref="S120">INT(SUMPRODUCT(--ISNUMBER(SEARCH(immigration,C120)))&gt;0)</f>
        <v>0</v>
      </c>
      <c r="T120" s="14" cm="1">
        <f t="array" ref="T120">INT(SUMPRODUCT(--ISNUMBER(SEARCH(econineq,C121)))&gt;0)</f>
        <v>0</v>
      </c>
      <c r="U120" s="14" cm="1">
        <f t="array" ref="U120">INT(SUMPRODUCT(--ISNUMBER(SEARCH(climate,C120)))&gt;0)</f>
        <v>0</v>
      </c>
      <c r="V120" s="14" cm="1">
        <f t="array" ref="V120">INT(SUMPRODUCT(--ISNUMBER(SEARCH(abortion,C120)))&gt;0)</f>
        <v>0</v>
      </c>
      <c r="W120" s="14" cm="1">
        <f t="array" ref="W120">INT(SUMPRODUCT(--ISNUMBER(SEARCH(trump,C120)))&gt;0)</f>
        <v>0</v>
      </c>
      <c r="X120" s="14" cm="1">
        <f t="array" ref="X120">INT(SUMPRODUCT(--ISNUMBER(SEARCH(voting,C120)))&gt;0)</f>
        <v>1</v>
      </c>
      <c r="Y120" s="35" cm="1">
        <f t="array" ref="Y120">INT(SUMPRODUCT(--ISNUMBER(SEARCH(republicantrigger,C120)))&gt;0)</f>
        <v>0</v>
      </c>
      <c r="Z120" s="35" cm="1">
        <f t="array" ref="Z120">INT(SUMPRODUCT(--ISNUMBER(SEARCH(bipartisan,C120)))&gt;0)</f>
        <v>0</v>
      </c>
      <c r="AA120" s="35">
        <f t="shared" si="1"/>
        <v>0</v>
      </c>
      <c r="AB120" s="14"/>
      <c r="AC120" s="30" t="s">
        <v>223</v>
      </c>
      <c r="AD120" s="37" t="s">
        <v>223</v>
      </c>
    </row>
    <row r="121" spans="1:30" x14ac:dyDescent="0.25">
      <c r="A121" s="36">
        <v>3661</v>
      </c>
      <c r="B121" s="14" t="s">
        <v>7076</v>
      </c>
      <c r="C121" s="14" t="s">
        <v>7077</v>
      </c>
      <c r="D121" s="17">
        <v>44125</v>
      </c>
      <c r="E121" s="14" t="s">
        <v>30</v>
      </c>
      <c r="F121" s="14">
        <v>191</v>
      </c>
      <c r="G121" s="14">
        <v>72</v>
      </c>
      <c r="H121" s="14">
        <v>17</v>
      </c>
      <c r="I121" s="14">
        <v>9</v>
      </c>
      <c r="J121" s="14" t="s">
        <v>31</v>
      </c>
      <c r="K121" s="14" cm="1">
        <f t="array" ref="K121">INT(SUMPRODUCT(--ISNUMBER(SEARCH(economy,C121)))&gt;0)</f>
        <v>0</v>
      </c>
      <c r="L121" s="14" cm="1">
        <f t="array" ref="L121">INT(SUMPRODUCT(--ISNUMBER(SEARCH(healthcare,C121)))&gt;0)</f>
        <v>0</v>
      </c>
      <c r="M121" s="14" cm="1">
        <f t="array" ref="M121">INT(SUMPRODUCT(--ISNUMBER(SEARCH(supreme,C121)))&gt;0)</f>
        <v>0</v>
      </c>
      <c r="N121" s="14" cm="1">
        <f t="array" ref="N121">INT(SUMPRODUCT(--ISNUMBER(SEARCH(covid,C121)))&gt;0)</f>
        <v>0</v>
      </c>
      <c r="O121" s="14" cm="1">
        <f t="array" ref="O121">INT(SUMPRODUCT(--ISNUMBER(SEARCH(violent,C121)))&gt;0)</f>
        <v>0</v>
      </c>
      <c r="P121" s="14" cm="1">
        <f t="array" ref="P121">INT(SUMPRODUCT(--ISNUMBER(SEARCH(foreign,C121)))&gt;0)</f>
        <v>1</v>
      </c>
      <c r="Q121" s="14" cm="1">
        <f t="array" ref="Q121">INT(SUMPRODUCT(--ISNUMBER(SEARCH(gun,C121)))&gt;0)</f>
        <v>0</v>
      </c>
      <c r="R121" s="14" cm="1">
        <f t="array" ref="R121">INT(SUMPRODUCT(--ISNUMBER(SEARCH(race,C121)))&gt;0)</f>
        <v>0</v>
      </c>
      <c r="S121" s="14" cm="1">
        <f t="array" ref="S121">INT(SUMPRODUCT(--ISNUMBER(SEARCH(immigration,C121)))&gt;0)</f>
        <v>0</v>
      </c>
      <c r="T121" s="14" cm="1">
        <f t="array" ref="T121">INT(SUMPRODUCT(--ISNUMBER(SEARCH(econineq,C122)))&gt;0)</f>
        <v>0</v>
      </c>
      <c r="U121" s="14" cm="1">
        <f t="array" ref="U121">INT(SUMPRODUCT(--ISNUMBER(SEARCH(climate,C121)))&gt;0)</f>
        <v>0</v>
      </c>
      <c r="V121" s="14" cm="1">
        <f t="array" ref="V121">INT(SUMPRODUCT(--ISNUMBER(SEARCH(abortion,C121)))&gt;0)</f>
        <v>0</v>
      </c>
      <c r="W121" s="14" cm="1">
        <f t="array" ref="W121">INT(SUMPRODUCT(--ISNUMBER(SEARCH(trump,C121)))&gt;0)</f>
        <v>0</v>
      </c>
      <c r="X121" s="14" cm="1">
        <f t="array" ref="X121">INT(SUMPRODUCT(--ISNUMBER(SEARCH(voting,C121)))&gt;0)</f>
        <v>1</v>
      </c>
      <c r="Y121" s="35" cm="1">
        <f t="array" ref="Y121">INT(SUMPRODUCT(--ISNUMBER(SEARCH(republicantrigger,C121)))&gt;0)</f>
        <v>0</v>
      </c>
      <c r="Z121" s="35" cm="1">
        <f t="array" ref="Z121">INT(SUMPRODUCT(--ISNUMBER(SEARCH(bipartisan,C121)))&gt;0)</f>
        <v>0</v>
      </c>
      <c r="AA121" s="35">
        <f t="shared" si="1"/>
        <v>0</v>
      </c>
      <c r="AB121" s="14"/>
      <c r="AC121" s="30" t="s">
        <v>223</v>
      </c>
      <c r="AD121" s="37" t="s">
        <v>223</v>
      </c>
    </row>
    <row r="122" spans="1:30" x14ac:dyDescent="0.25">
      <c r="A122" s="36">
        <v>3662</v>
      </c>
      <c r="B122" s="14" t="s">
        <v>7078</v>
      </c>
      <c r="C122" s="14" t="s">
        <v>7079</v>
      </c>
      <c r="D122" s="17">
        <v>44125</v>
      </c>
      <c r="E122" s="14" t="s">
        <v>30</v>
      </c>
      <c r="F122" s="14">
        <v>356</v>
      </c>
      <c r="G122" s="14">
        <v>123</v>
      </c>
      <c r="H122" s="14">
        <v>17</v>
      </c>
      <c r="I122" s="14">
        <v>9</v>
      </c>
      <c r="J122" s="14" t="s">
        <v>31</v>
      </c>
      <c r="K122" s="14" cm="1">
        <f t="array" ref="K122">INT(SUMPRODUCT(--ISNUMBER(SEARCH(economy,C122)))&gt;0)</f>
        <v>1</v>
      </c>
      <c r="L122" s="14" cm="1">
        <f t="array" ref="L122">INT(SUMPRODUCT(--ISNUMBER(SEARCH(healthcare,C122)))&gt;0)</f>
        <v>0</v>
      </c>
      <c r="M122" s="14" cm="1">
        <f t="array" ref="M122">INT(SUMPRODUCT(--ISNUMBER(SEARCH(supreme,C122)))&gt;0)</f>
        <v>0</v>
      </c>
      <c r="N122" s="14" cm="1">
        <f t="array" ref="N122">INT(SUMPRODUCT(--ISNUMBER(SEARCH(covid,C122)))&gt;0)</f>
        <v>0</v>
      </c>
      <c r="O122" s="14" cm="1">
        <f t="array" ref="O122">INT(SUMPRODUCT(--ISNUMBER(SEARCH(violent,C122)))&gt;0)</f>
        <v>0</v>
      </c>
      <c r="P122" s="14" cm="1">
        <f t="array" ref="P122">INT(SUMPRODUCT(--ISNUMBER(SEARCH(foreign,C122)))&gt;0)</f>
        <v>0</v>
      </c>
      <c r="Q122" s="14" cm="1">
        <f t="array" ref="Q122">INT(SUMPRODUCT(--ISNUMBER(SEARCH(gun,C122)))&gt;0)</f>
        <v>0</v>
      </c>
      <c r="R122" s="14" cm="1">
        <f t="array" ref="R122">INT(SUMPRODUCT(--ISNUMBER(SEARCH(race,C122)))&gt;0)</f>
        <v>0</v>
      </c>
      <c r="S122" s="14" cm="1">
        <f t="array" ref="S122">INT(SUMPRODUCT(--ISNUMBER(SEARCH(immigration,C122)))&gt;0)</f>
        <v>0</v>
      </c>
      <c r="T122" s="14" cm="1">
        <f t="array" ref="T122">INT(SUMPRODUCT(--ISNUMBER(SEARCH(econineq,C123)))&gt;0)</f>
        <v>0</v>
      </c>
      <c r="U122" s="14" cm="1">
        <f t="array" ref="U122">INT(SUMPRODUCT(--ISNUMBER(SEARCH(climate,C122)))&gt;0)</f>
        <v>1</v>
      </c>
      <c r="V122" s="14" cm="1">
        <f t="array" ref="V122">INT(SUMPRODUCT(--ISNUMBER(SEARCH(abortion,C122)))&gt;0)</f>
        <v>0</v>
      </c>
      <c r="W122" s="14" cm="1">
        <f t="array" ref="W122">INT(SUMPRODUCT(--ISNUMBER(SEARCH(trump,C122)))&gt;0)</f>
        <v>0</v>
      </c>
      <c r="X122" s="14" cm="1">
        <f t="array" ref="X122">INT(SUMPRODUCT(--ISNUMBER(SEARCH(voting,C122)))&gt;0)</f>
        <v>0</v>
      </c>
      <c r="Y122" s="35" cm="1">
        <f t="array" ref="Y122">INT(SUMPRODUCT(--ISNUMBER(SEARCH(republicantrigger,C122)))&gt;0)</f>
        <v>0</v>
      </c>
      <c r="Z122" s="35" cm="1">
        <f t="array" ref="Z122">INT(SUMPRODUCT(--ISNUMBER(SEARCH(bipartisan,C122)))&gt;0)</f>
        <v>0</v>
      </c>
      <c r="AA122" s="35">
        <f t="shared" si="1"/>
        <v>0</v>
      </c>
      <c r="AB122" s="14"/>
      <c r="AC122" s="30" t="s">
        <v>223</v>
      </c>
      <c r="AD122" s="37" t="s">
        <v>223</v>
      </c>
    </row>
    <row r="123" spans="1:30" x14ac:dyDescent="0.25">
      <c r="A123" s="36">
        <v>3663</v>
      </c>
      <c r="B123" s="14" t="s">
        <v>7080</v>
      </c>
      <c r="C123" s="14" t="s">
        <v>7081</v>
      </c>
      <c r="D123" s="17">
        <v>44125</v>
      </c>
      <c r="E123" s="14" t="s">
        <v>30</v>
      </c>
      <c r="F123" s="14">
        <v>213</v>
      </c>
      <c r="G123" s="14">
        <v>58</v>
      </c>
      <c r="H123" s="14">
        <v>17</v>
      </c>
      <c r="I123" s="14">
        <v>9</v>
      </c>
      <c r="J123" s="14" t="s">
        <v>31</v>
      </c>
      <c r="K123" s="14" cm="1">
        <f t="array" ref="K123">INT(SUMPRODUCT(--ISNUMBER(SEARCH(economy,C123)))&gt;0)</f>
        <v>0</v>
      </c>
      <c r="L123" s="14" cm="1">
        <f t="array" ref="L123">INT(SUMPRODUCT(--ISNUMBER(SEARCH(healthcare,C123)))&gt;0)</f>
        <v>0</v>
      </c>
      <c r="M123" s="14" cm="1">
        <f t="array" ref="M123">INT(SUMPRODUCT(--ISNUMBER(SEARCH(supreme,C123)))&gt;0)</f>
        <v>0</v>
      </c>
      <c r="N123" s="14" cm="1">
        <f t="array" ref="N123">INT(SUMPRODUCT(--ISNUMBER(SEARCH(covid,C123)))&gt;0)</f>
        <v>1</v>
      </c>
      <c r="O123" s="14" cm="1">
        <f t="array" ref="O123">INT(SUMPRODUCT(--ISNUMBER(SEARCH(violent,C123)))&gt;0)</f>
        <v>0</v>
      </c>
      <c r="P123" s="14" cm="1">
        <f t="array" ref="P123">INT(SUMPRODUCT(--ISNUMBER(SEARCH(foreign,C123)))&gt;0)</f>
        <v>0</v>
      </c>
      <c r="Q123" s="14" cm="1">
        <f t="array" ref="Q123">INT(SUMPRODUCT(--ISNUMBER(SEARCH(gun,C123)))&gt;0)</f>
        <v>1</v>
      </c>
      <c r="R123" s="14" cm="1">
        <f t="array" ref="R123">INT(SUMPRODUCT(--ISNUMBER(SEARCH(race,C123)))&gt;0)</f>
        <v>0</v>
      </c>
      <c r="S123" s="14" cm="1">
        <f t="array" ref="S123">INT(SUMPRODUCT(--ISNUMBER(SEARCH(immigration,C123)))&gt;0)</f>
        <v>0</v>
      </c>
      <c r="T123" s="14" cm="1">
        <f t="array" ref="T123">INT(SUMPRODUCT(--ISNUMBER(SEARCH(econineq,C124)))&gt;0)</f>
        <v>0</v>
      </c>
      <c r="U123" s="14" cm="1">
        <f t="array" ref="U123">INT(SUMPRODUCT(--ISNUMBER(SEARCH(climate,C123)))&gt;0)</f>
        <v>0</v>
      </c>
      <c r="V123" s="14" cm="1">
        <f t="array" ref="V123">INT(SUMPRODUCT(--ISNUMBER(SEARCH(abortion,C123)))&gt;0)</f>
        <v>0</v>
      </c>
      <c r="W123" s="14" cm="1">
        <f t="array" ref="W123">INT(SUMPRODUCT(--ISNUMBER(SEARCH(trump,C123)))&gt;0)</f>
        <v>0</v>
      </c>
      <c r="X123" s="14" cm="1">
        <f t="array" ref="X123">INT(SUMPRODUCT(--ISNUMBER(SEARCH(voting,C123)))&gt;0)</f>
        <v>0</v>
      </c>
      <c r="Y123" s="35" cm="1">
        <f t="array" ref="Y123">INT(SUMPRODUCT(--ISNUMBER(SEARCH(republicantrigger,C123)))&gt;0)</f>
        <v>1</v>
      </c>
      <c r="Z123" s="35" cm="1">
        <f t="array" ref="Z123">INT(SUMPRODUCT(--ISNUMBER(SEARCH(bipartisan,C123)))&gt;0)</f>
        <v>0</v>
      </c>
      <c r="AA123" s="35">
        <f t="shared" si="1"/>
        <v>0</v>
      </c>
      <c r="AB123" s="14"/>
      <c r="AC123" s="30" t="s">
        <v>223</v>
      </c>
      <c r="AD123" s="37" t="s">
        <v>223</v>
      </c>
    </row>
    <row r="124" spans="1:30" x14ac:dyDescent="0.25">
      <c r="A124" s="36">
        <v>3664</v>
      </c>
      <c r="B124" s="14" t="s">
        <v>7082</v>
      </c>
      <c r="C124" s="14" t="s">
        <v>7083</v>
      </c>
      <c r="D124" s="17">
        <v>44125</v>
      </c>
      <c r="E124" s="14" t="s">
        <v>30</v>
      </c>
      <c r="F124" s="14">
        <v>107</v>
      </c>
      <c r="G124" s="14">
        <v>44</v>
      </c>
      <c r="H124" s="14">
        <v>17</v>
      </c>
      <c r="I124" s="14">
        <v>9</v>
      </c>
      <c r="J124" s="14" t="s">
        <v>31</v>
      </c>
      <c r="K124" s="14" cm="1">
        <f t="array" ref="K124">INT(SUMPRODUCT(--ISNUMBER(SEARCH(economy,C124)))&gt;0)</f>
        <v>0</v>
      </c>
      <c r="L124" s="14" cm="1">
        <f t="array" ref="L124">INT(SUMPRODUCT(--ISNUMBER(SEARCH(healthcare,C124)))&gt;0)</f>
        <v>0</v>
      </c>
      <c r="M124" s="14" cm="1">
        <f t="array" ref="M124">INT(SUMPRODUCT(--ISNUMBER(SEARCH(supreme,C124)))&gt;0)</f>
        <v>0</v>
      </c>
      <c r="N124" s="14" cm="1">
        <f t="array" ref="N124">INT(SUMPRODUCT(--ISNUMBER(SEARCH(covid,C124)))&gt;0)</f>
        <v>1</v>
      </c>
      <c r="O124" s="14" cm="1">
        <f t="array" ref="O124">INT(SUMPRODUCT(--ISNUMBER(SEARCH(violent,C124)))&gt;0)</f>
        <v>0</v>
      </c>
      <c r="P124" s="14" cm="1">
        <f t="array" ref="P124">INT(SUMPRODUCT(--ISNUMBER(SEARCH(foreign,C124)))&gt;0)</f>
        <v>1</v>
      </c>
      <c r="Q124" s="14" cm="1">
        <f t="array" ref="Q124">INT(SUMPRODUCT(--ISNUMBER(SEARCH(gun,C124)))&gt;0)</f>
        <v>0</v>
      </c>
      <c r="R124" s="14" cm="1">
        <f t="array" ref="R124">INT(SUMPRODUCT(--ISNUMBER(SEARCH(race,C124)))&gt;0)</f>
        <v>0</v>
      </c>
      <c r="S124" s="14" cm="1">
        <f t="array" ref="S124">INT(SUMPRODUCT(--ISNUMBER(SEARCH(immigration,C124)))&gt;0)</f>
        <v>0</v>
      </c>
      <c r="T124" s="14" cm="1">
        <f t="array" ref="T124">INT(SUMPRODUCT(--ISNUMBER(SEARCH(econineq,C125)))&gt;0)</f>
        <v>0</v>
      </c>
      <c r="U124" s="14" cm="1">
        <f t="array" ref="U124">INT(SUMPRODUCT(--ISNUMBER(SEARCH(climate,C124)))&gt;0)</f>
        <v>0</v>
      </c>
      <c r="V124" s="14" cm="1">
        <f t="array" ref="V124">INT(SUMPRODUCT(--ISNUMBER(SEARCH(abortion,C124)))&gt;0)</f>
        <v>0</v>
      </c>
      <c r="W124" s="14" cm="1">
        <f t="array" ref="W124">INT(SUMPRODUCT(--ISNUMBER(SEARCH(trump,C124)))&gt;0)</f>
        <v>0</v>
      </c>
      <c r="X124" s="14" cm="1">
        <f t="array" ref="X124">INT(SUMPRODUCT(--ISNUMBER(SEARCH(voting,C124)))&gt;0)</f>
        <v>0</v>
      </c>
      <c r="Y124" s="35" cm="1">
        <f t="array" ref="Y124">INT(SUMPRODUCT(--ISNUMBER(SEARCH(republicantrigger,C124)))&gt;0)</f>
        <v>0</v>
      </c>
      <c r="Z124" s="35" cm="1">
        <f t="array" ref="Z124">INT(SUMPRODUCT(--ISNUMBER(SEARCH(bipartisan,C124)))&gt;0)</f>
        <v>0</v>
      </c>
      <c r="AA124" s="35">
        <f t="shared" si="1"/>
        <v>0</v>
      </c>
      <c r="AB124" s="14"/>
      <c r="AC124" s="30" t="s">
        <v>223</v>
      </c>
      <c r="AD124" s="37" t="s">
        <v>223</v>
      </c>
    </row>
    <row r="125" spans="1:30" x14ac:dyDescent="0.25">
      <c r="A125" s="36">
        <v>3665</v>
      </c>
      <c r="B125" s="14" t="s">
        <v>7084</v>
      </c>
      <c r="C125" s="14" t="s">
        <v>7085</v>
      </c>
      <c r="D125" s="17">
        <v>44125</v>
      </c>
      <c r="E125" s="14" t="s">
        <v>30</v>
      </c>
      <c r="F125" s="14">
        <v>97</v>
      </c>
      <c r="G125" s="14">
        <v>32</v>
      </c>
      <c r="H125" s="14">
        <v>17</v>
      </c>
      <c r="I125" s="14">
        <v>9</v>
      </c>
      <c r="J125" s="14" t="s">
        <v>31</v>
      </c>
      <c r="K125" s="14" cm="1">
        <f t="array" ref="K125">INT(SUMPRODUCT(--ISNUMBER(SEARCH(economy,C125)))&gt;0)</f>
        <v>0</v>
      </c>
      <c r="L125" s="14" cm="1">
        <f t="array" ref="L125">INT(SUMPRODUCT(--ISNUMBER(SEARCH(healthcare,C125)))&gt;0)</f>
        <v>0</v>
      </c>
      <c r="M125" s="14" cm="1">
        <f t="array" ref="M125">INT(SUMPRODUCT(--ISNUMBER(SEARCH(supreme,C125)))&gt;0)</f>
        <v>0</v>
      </c>
      <c r="N125" s="14" cm="1">
        <f t="array" ref="N125">INT(SUMPRODUCT(--ISNUMBER(SEARCH(covid,C125)))&gt;0)</f>
        <v>1</v>
      </c>
      <c r="O125" s="14" cm="1">
        <f t="array" ref="O125">INT(SUMPRODUCT(--ISNUMBER(SEARCH(violent,C125)))&gt;0)</f>
        <v>0</v>
      </c>
      <c r="P125" s="14" cm="1">
        <f t="array" ref="P125">INT(SUMPRODUCT(--ISNUMBER(SEARCH(foreign,C125)))&gt;0)</f>
        <v>0</v>
      </c>
      <c r="Q125" s="14" cm="1">
        <f t="array" ref="Q125">INT(SUMPRODUCT(--ISNUMBER(SEARCH(gun,C125)))&gt;0)</f>
        <v>0</v>
      </c>
      <c r="R125" s="14" cm="1">
        <f t="array" ref="R125">INT(SUMPRODUCT(--ISNUMBER(SEARCH(race,C125)))&gt;0)</f>
        <v>0</v>
      </c>
      <c r="S125" s="14" cm="1">
        <f t="array" ref="S125">INT(SUMPRODUCT(--ISNUMBER(SEARCH(immigration,C125)))&gt;0)</f>
        <v>0</v>
      </c>
      <c r="T125" s="14" cm="1">
        <f t="array" ref="T125">INT(SUMPRODUCT(--ISNUMBER(SEARCH(econineq,C126)))&gt;0)</f>
        <v>0</v>
      </c>
      <c r="U125" s="14" cm="1">
        <f t="array" ref="U125">INT(SUMPRODUCT(--ISNUMBER(SEARCH(climate,C125)))&gt;0)</f>
        <v>0</v>
      </c>
      <c r="V125" s="14" cm="1">
        <f t="array" ref="V125">INT(SUMPRODUCT(--ISNUMBER(SEARCH(abortion,C125)))&gt;0)</f>
        <v>0</v>
      </c>
      <c r="W125" s="14" cm="1">
        <f t="array" ref="W125">INT(SUMPRODUCT(--ISNUMBER(SEARCH(trump,C125)))&gt;0)</f>
        <v>0</v>
      </c>
      <c r="X125" s="14" cm="1">
        <f t="array" ref="X125">INT(SUMPRODUCT(--ISNUMBER(SEARCH(voting,C125)))&gt;0)</f>
        <v>0</v>
      </c>
      <c r="Y125" s="35" cm="1">
        <f t="array" ref="Y125">INT(SUMPRODUCT(--ISNUMBER(SEARCH(republicantrigger,C125)))&gt;0)</f>
        <v>1</v>
      </c>
      <c r="Z125" s="35" cm="1">
        <f t="array" ref="Z125">INT(SUMPRODUCT(--ISNUMBER(SEARCH(bipartisan,C125)))&gt;0)</f>
        <v>0</v>
      </c>
      <c r="AA125" s="35">
        <f t="shared" si="1"/>
        <v>0</v>
      </c>
      <c r="AB125" s="14"/>
      <c r="AC125" s="30">
        <v>1</v>
      </c>
      <c r="AD125" s="37">
        <v>0</v>
      </c>
    </row>
    <row r="126" spans="1:30" x14ac:dyDescent="0.25">
      <c r="A126" s="36">
        <v>3666</v>
      </c>
      <c r="B126" s="14" t="s">
        <v>7086</v>
      </c>
      <c r="C126" s="14" t="s">
        <v>7087</v>
      </c>
      <c r="D126" s="17">
        <v>44125</v>
      </c>
      <c r="E126" s="14" t="s">
        <v>30</v>
      </c>
      <c r="F126" s="14">
        <v>2442</v>
      </c>
      <c r="G126" s="14">
        <v>806</v>
      </c>
      <c r="H126" s="14">
        <v>17</v>
      </c>
      <c r="I126" s="14">
        <v>9</v>
      </c>
      <c r="J126" s="14" t="s">
        <v>31</v>
      </c>
      <c r="K126" s="14" cm="1">
        <f t="array" ref="K126">INT(SUMPRODUCT(--ISNUMBER(SEARCH(economy,C126)))&gt;0)</f>
        <v>0</v>
      </c>
      <c r="L126" s="14" cm="1">
        <f t="array" ref="L126">INT(SUMPRODUCT(--ISNUMBER(SEARCH(healthcare,C126)))&gt;0)</f>
        <v>0</v>
      </c>
      <c r="M126" s="14" cm="1">
        <f t="array" ref="M126">INT(SUMPRODUCT(--ISNUMBER(SEARCH(supreme,C126)))&gt;0)</f>
        <v>0</v>
      </c>
      <c r="N126" s="14" cm="1">
        <f t="array" ref="N126">INT(SUMPRODUCT(--ISNUMBER(SEARCH(covid,C126)))&gt;0)</f>
        <v>0</v>
      </c>
      <c r="O126" s="14" cm="1">
        <f t="array" ref="O126">INT(SUMPRODUCT(--ISNUMBER(SEARCH(violent,C126)))&gt;0)</f>
        <v>0</v>
      </c>
      <c r="P126" s="14" cm="1">
        <f t="array" ref="P126">INT(SUMPRODUCT(--ISNUMBER(SEARCH(foreign,C126)))&gt;0)</f>
        <v>0</v>
      </c>
      <c r="Q126" s="14" cm="1">
        <f t="array" ref="Q126">INT(SUMPRODUCT(--ISNUMBER(SEARCH(gun,C126)))&gt;0)</f>
        <v>0</v>
      </c>
      <c r="R126" s="14" cm="1">
        <f t="array" ref="R126">INT(SUMPRODUCT(--ISNUMBER(SEARCH(race,C126)))&gt;0)</f>
        <v>0</v>
      </c>
      <c r="S126" s="14" cm="1">
        <f t="array" ref="S126">INT(SUMPRODUCT(--ISNUMBER(SEARCH(immigration,C126)))&gt;0)</f>
        <v>0</v>
      </c>
      <c r="T126" s="14" cm="1">
        <f t="array" ref="T126">INT(SUMPRODUCT(--ISNUMBER(SEARCH(econineq,C127)))&gt;0)</f>
        <v>0</v>
      </c>
      <c r="U126" s="14" cm="1">
        <f t="array" ref="U126">INT(SUMPRODUCT(--ISNUMBER(SEARCH(climate,C126)))&gt;0)</f>
        <v>0</v>
      </c>
      <c r="V126" s="14" cm="1">
        <f t="array" ref="V126">INT(SUMPRODUCT(--ISNUMBER(SEARCH(abortion,C126)))&gt;0)</f>
        <v>0</v>
      </c>
      <c r="W126" s="14" cm="1">
        <f t="array" ref="W126">INT(SUMPRODUCT(--ISNUMBER(SEARCH(trump,C126)))&gt;0)</f>
        <v>0</v>
      </c>
      <c r="X126" s="14" cm="1">
        <f t="array" ref="X126">INT(SUMPRODUCT(--ISNUMBER(SEARCH(voting,C126)))&gt;0)</f>
        <v>0</v>
      </c>
      <c r="Y126" s="35" cm="1">
        <f t="array" ref="Y126">INT(SUMPRODUCT(--ISNUMBER(SEARCH(republicantrigger,C126)))&gt;0)</f>
        <v>0</v>
      </c>
      <c r="Z126" s="35" cm="1">
        <f t="array" ref="Z126">INT(SUMPRODUCT(--ISNUMBER(SEARCH(bipartisan,C126)))&gt;0)</f>
        <v>0</v>
      </c>
      <c r="AA126" s="35">
        <f t="shared" si="1"/>
        <v>1</v>
      </c>
      <c r="AB126" s="14"/>
      <c r="AC126" s="30" t="s">
        <v>223</v>
      </c>
      <c r="AD126" s="37" t="s">
        <v>223</v>
      </c>
    </row>
    <row r="127" spans="1:30" x14ac:dyDescent="0.25">
      <c r="A127" s="36">
        <v>3667</v>
      </c>
      <c r="B127" s="14" t="s">
        <v>7088</v>
      </c>
      <c r="C127" s="14" t="s">
        <v>7089</v>
      </c>
      <c r="D127" s="17">
        <v>44124</v>
      </c>
      <c r="E127" s="14" t="s">
        <v>30</v>
      </c>
      <c r="F127" s="14">
        <v>204</v>
      </c>
      <c r="G127" s="14">
        <v>81</v>
      </c>
      <c r="H127" s="14">
        <v>17</v>
      </c>
      <c r="I127" s="14">
        <v>9</v>
      </c>
      <c r="J127" s="14" t="s">
        <v>31</v>
      </c>
      <c r="K127" s="14" cm="1">
        <f t="array" ref="K127">INT(SUMPRODUCT(--ISNUMBER(SEARCH(economy,C127)))&gt;0)</f>
        <v>0</v>
      </c>
      <c r="L127" s="14" cm="1">
        <f t="array" ref="L127">INT(SUMPRODUCT(--ISNUMBER(SEARCH(healthcare,C127)))&gt;0)</f>
        <v>0</v>
      </c>
      <c r="M127" s="14" cm="1">
        <f t="array" ref="M127">INT(SUMPRODUCT(--ISNUMBER(SEARCH(supreme,C127)))&gt;0)</f>
        <v>0</v>
      </c>
      <c r="N127" s="14" cm="1">
        <f t="array" ref="N127">INT(SUMPRODUCT(--ISNUMBER(SEARCH(covid,C127)))&gt;0)</f>
        <v>1</v>
      </c>
      <c r="O127" s="14" cm="1">
        <f t="array" ref="O127">INT(SUMPRODUCT(--ISNUMBER(SEARCH(violent,C127)))&gt;0)</f>
        <v>0</v>
      </c>
      <c r="P127" s="14" cm="1">
        <f t="array" ref="P127">INT(SUMPRODUCT(--ISNUMBER(SEARCH(foreign,C127)))&gt;0)</f>
        <v>0</v>
      </c>
      <c r="Q127" s="14" cm="1">
        <f t="array" ref="Q127">INT(SUMPRODUCT(--ISNUMBER(SEARCH(gun,C127)))&gt;0)</f>
        <v>0</v>
      </c>
      <c r="R127" s="14" cm="1">
        <f t="array" ref="R127">INT(SUMPRODUCT(--ISNUMBER(SEARCH(race,C127)))&gt;0)</f>
        <v>0</v>
      </c>
      <c r="S127" s="14" cm="1">
        <f t="array" ref="S127">INT(SUMPRODUCT(--ISNUMBER(SEARCH(immigration,C127)))&gt;0)</f>
        <v>0</v>
      </c>
      <c r="T127" s="14" cm="1">
        <f t="array" ref="T127">INT(SUMPRODUCT(--ISNUMBER(SEARCH(econineq,C128)))&gt;0)</f>
        <v>0</v>
      </c>
      <c r="U127" s="14" cm="1">
        <f t="array" ref="U127">INT(SUMPRODUCT(--ISNUMBER(SEARCH(climate,C127)))&gt;0)</f>
        <v>0</v>
      </c>
      <c r="V127" s="14" cm="1">
        <f t="array" ref="V127">INT(SUMPRODUCT(--ISNUMBER(SEARCH(abortion,C127)))&gt;0)</f>
        <v>0</v>
      </c>
      <c r="W127" s="14" cm="1">
        <f t="array" ref="W127">INT(SUMPRODUCT(--ISNUMBER(SEARCH(trump,C127)))&gt;0)</f>
        <v>0</v>
      </c>
      <c r="X127" s="14" cm="1">
        <f t="array" ref="X127">INT(SUMPRODUCT(--ISNUMBER(SEARCH(voting,C127)))&gt;0)</f>
        <v>0</v>
      </c>
      <c r="Y127" s="35" cm="1">
        <f t="array" ref="Y127">INT(SUMPRODUCT(--ISNUMBER(SEARCH(republicantrigger,C127)))&gt;0)</f>
        <v>0</v>
      </c>
      <c r="Z127" s="35" cm="1">
        <f t="array" ref="Z127">INT(SUMPRODUCT(--ISNUMBER(SEARCH(bipartisan,C127)))&gt;0)</f>
        <v>0</v>
      </c>
      <c r="AA127" s="35">
        <f t="shared" si="1"/>
        <v>0</v>
      </c>
      <c r="AB127" s="14"/>
      <c r="AC127" s="30" t="s">
        <v>223</v>
      </c>
      <c r="AD127" s="37" t="s">
        <v>223</v>
      </c>
    </row>
    <row r="128" spans="1:30" x14ac:dyDescent="0.25">
      <c r="A128" s="36">
        <v>3668</v>
      </c>
      <c r="B128" s="14" t="s">
        <v>7090</v>
      </c>
      <c r="C128" s="14" t="s">
        <v>7091</v>
      </c>
      <c r="D128" s="17">
        <v>44124</v>
      </c>
      <c r="E128" s="14" t="s">
        <v>30</v>
      </c>
      <c r="F128" s="14">
        <v>671</v>
      </c>
      <c r="G128" s="14">
        <v>183</v>
      </c>
      <c r="H128" s="14">
        <v>17</v>
      </c>
      <c r="I128" s="14">
        <v>9</v>
      </c>
      <c r="J128" s="14" t="s">
        <v>31</v>
      </c>
      <c r="K128" s="14" cm="1">
        <f t="array" ref="K128">INT(SUMPRODUCT(--ISNUMBER(SEARCH(economy,C128)))&gt;0)</f>
        <v>0</v>
      </c>
      <c r="L128" s="14" cm="1">
        <f t="array" ref="L128">INT(SUMPRODUCT(--ISNUMBER(SEARCH(healthcare,C128)))&gt;0)</f>
        <v>0</v>
      </c>
      <c r="M128" s="14" cm="1">
        <f t="array" ref="M128">INT(SUMPRODUCT(--ISNUMBER(SEARCH(supreme,C128)))&gt;0)</f>
        <v>0</v>
      </c>
      <c r="N128" s="14" cm="1">
        <f t="array" ref="N128">INT(SUMPRODUCT(--ISNUMBER(SEARCH(covid,C128)))&gt;0)</f>
        <v>0</v>
      </c>
      <c r="O128" s="14" cm="1">
        <f t="array" ref="O128">INT(SUMPRODUCT(--ISNUMBER(SEARCH(violent,C128)))&gt;0)</f>
        <v>0</v>
      </c>
      <c r="P128" s="14" cm="1">
        <f t="array" ref="P128">INT(SUMPRODUCT(--ISNUMBER(SEARCH(foreign,C128)))&gt;0)</f>
        <v>0</v>
      </c>
      <c r="Q128" s="14" cm="1">
        <f t="array" ref="Q128">INT(SUMPRODUCT(--ISNUMBER(SEARCH(gun,C128)))&gt;0)</f>
        <v>0</v>
      </c>
      <c r="R128" s="14" cm="1">
        <f t="array" ref="R128">INT(SUMPRODUCT(--ISNUMBER(SEARCH(race,C128)))&gt;0)</f>
        <v>0</v>
      </c>
      <c r="S128" s="14" cm="1">
        <f t="array" ref="S128">INT(SUMPRODUCT(--ISNUMBER(SEARCH(immigration,C128)))&gt;0)</f>
        <v>0</v>
      </c>
      <c r="T128" s="14" cm="1">
        <f t="array" ref="T128">INT(SUMPRODUCT(--ISNUMBER(SEARCH(econineq,C129)))&gt;0)</f>
        <v>0</v>
      </c>
      <c r="U128" s="14" cm="1">
        <f t="array" ref="U128">INT(SUMPRODUCT(--ISNUMBER(SEARCH(climate,C128)))&gt;0)</f>
        <v>0</v>
      </c>
      <c r="V128" s="14" cm="1">
        <f t="array" ref="V128">INT(SUMPRODUCT(--ISNUMBER(SEARCH(abortion,C128)))&gt;0)</f>
        <v>0</v>
      </c>
      <c r="W128" s="14" cm="1">
        <f t="array" ref="W128">INT(SUMPRODUCT(--ISNUMBER(SEARCH(trump,C128)))&gt;0)</f>
        <v>0</v>
      </c>
      <c r="X128" s="14" cm="1">
        <f t="array" ref="X128">INT(SUMPRODUCT(--ISNUMBER(SEARCH(voting,C128)))&gt;0)</f>
        <v>0</v>
      </c>
      <c r="Y128" s="35" cm="1">
        <f t="array" ref="Y128">INT(SUMPRODUCT(--ISNUMBER(SEARCH(republicantrigger,C128)))&gt;0)</f>
        <v>0</v>
      </c>
      <c r="Z128" s="35" cm="1">
        <f t="array" ref="Z128">INT(SUMPRODUCT(--ISNUMBER(SEARCH(bipartisan,C128)))&gt;0)</f>
        <v>0</v>
      </c>
      <c r="AA128" s="35">
        <f t="shared" si="1"/>
        <v>1</v>
      </c>
      <c r="AB128" s="14"/>
      <c r="AC128" s="30" t="s">
        <v>223</v>
      </c>
      <c r="AD128" s="37" t="s">
        <v>223</v>
      </c>
    </row>
    <row r="129" spans="1:30" x14ac:dyDescent="0.25">
      <c r="A129" s="36">
        <v>3669</v>
      </c>
      <c r="B129" s="14" t="s">
        <v>7092</v>
      </c>
      <c r="C129" s="14" t="s">
        <v>7093</v>
      </c>
      <c r="D129" s="17">
        <v>44124</v>
      </c>
      <c r="E129" s="14" t="s">
        <v>30</v>
      </c>
      <c r="F129" s="14">
        <v>195</v>
      </c>
      <c r="G129" s="14">
        <v>26</v>
      </c>
      <c r="H129" s="14">
        <v>17</v>
      </c>
      <c r="I129" s="14">
        <v>9</v>
      </c>
      <c r="J129" s="14" t="s">
        <v>31</v>
      </c>
      <c r="K129" s="14" cm="1">
        <f t="array" ref="K129">INT(SUMPRODUCT(--ISNUMBER(SEARCH(economy,C129)))&gt;0)</f>
        <v>0</v>
      </c>
      <c r="L129" s="14" cm="1">
        <f t="array" ref="L129">INT(SUMPRODUCT(--ISNUMBER(SEARCH(healthcare,C129)))&gt;0)</f>
        <v>0</v>
      </c>
      <c r="M129" s="14" cm="1">
        <f t="array" ref="M129">INT(SUMPRODUCT(--ISNUMBER(SEARCH(supreme,C129)))&gt;0)</f>
        <v>0</v>
      </c>
      <c r="N129" s="14" cm="1">
        <f t="array" ref="N129">INT(SUMPRODUCT(--ISNUMBER(SEARCH(covid,C129)))&gt;0)</f>
        <v>0</v>
      </c>
      <c r="O129" s="14" cm="1">
        <f t="array" ref="O129">INT(SUMPRODUCT(--ISNUMBER(SEARCH(violent,C129)))&gt;0)</f>
        <v>0</v>
      </c>
      <c r="P129" s="14" cm="1">
        <f t="array" ref="P129">INT(SUMPRODUCT(--ISNUMBER(SEARCH(foreign,C129)))&gt;0)</f>
        <v>0</v>
      </c>
      <c r="Q129" s="14" cm="1">
        <f t="array" ref="Q129">INT(SUMPRODUCT(--ISNUMBER(SEARCH(gun,C129)))&gt;0)</f>
        <v>0</v>
      </c>
      <c r="R129" s="14" cm="1">
        <f t="array" ref="R129">INT(SUMPRODUCT(--ISNUMBER(SEARCH(race,C129)))&gt;0)</f>
        <v>0</v>
      </c>
      <c r="S129" s="14" cm="1">
        <f t="array" ref="S129">INT(SUMPRODUCT(--ISNUMBER(SEARCH(immigration,C129)))&gt;0)</f>
        <v>0</v>
      </c>
      <c r="T129" s="14" cm="1">
        <f t="array" ref="T129">INT(SUMPRODUCT(--ISNUMBER(SEARCH(econineq,C130)))&gt;0)</f>
        <v>0</v>
      </c>
      <c r="U129" s="14" cm="1">
        <f t="array" ref="U129">INT(SUMPRODUCT(--ISNUMBER(SEARCH(climate,C129)))&gt;0)</f>
        <v>0</v>
      </c>
      <c r="V129" s="14" cm="1">
        <f t="array" ref="V129">INT(SUMPRODUCT(--ISNUMBER(SEARCH(abortion,C129)))&gt;0)</f>
        <v>0</v>
      </c>
      <c r="W129" s="14" cm="1">
        <f t="array" ref="W129">INT(SUMPRODUCT(--ISNUMBER(SEARCH(trump,C129)))&gt;0)</f>
        <v>0</v>
      </c>
      <c r="X129" s="14" cm="1">
        <f t="array" ref="X129">INT(SUMPRODUCT(--ISNUMBER(SEARCH(voting,C129)))&gt;0)</f>
        <v>1</v>
      </c>
      <c r="Y129" s="35" cm="1">
        <f t="array" ref="Y129">INT(SUMPRODUCT(--ISNUMBER(SEARCH(republicantrigger,C129)))&gt;0)</f>
        <v>0</v>
      </c>
      <c r="Z129" s="35" cm="1">
        <f t="array" ref="Z129">INT(SUMPRODUCT(--ISNUMBER(SEARCH(bipartisan,C129)))&gt;0)</f>
        <v>0</v>
      </c>
      <c r="AA129" s="35">
        <f t="shared" si="1"/>
        <v>0</v>
      </c>
      <c r="AB129" s="14"/>
      <c r="AC129" s="30" t="s">
        <v>223</v>
      </c>
      <c r="AD129" s="37" t="s">
        <v>223</v>
      </c>
    </row>
    <row r="130" spans="1:30" x14ac:dyDescent="0.25">
      <c r="A130" s="36">
        <v>3670</v>
      </c>
      <c r="B130" s="14" t="s">
        <v>7094</v>
      </c>
      <c r="C130" s="14" t="s">
        <v>7095</v>
      </c>
      <c r="D130" s="17">
        <v>44124</v>
      </c>
      <c r="E130" s="14" t="s">
        <v>30</v>
      </c>
      <c r="F130" s="14">
        <v>64</v>
      </c>
      <c r="G130" s="14">
        <v>21</v>
      </c>
      <c r="H130" s="14">
        <v>17</v>
      </c>
      <c r="I130" s="14">
        <v>9</v>
      </c>
      <c r="J130" s="14" t="s">
        <v>31</v>
      </c>
      <c r="K130" s="14" cm="1">
        <f t="array" ref="K130">INT(SUMPRODUCT(--ISNUMBER(SEARCH(economy,C130)))&gt;0)</f>
        <v>1</v>
      </c>
      <c r="L130" s="14" cm="1">
        <f t="array" ref="L130">INT(SUMPRODUCT(--ISNUMBER(SEARCH(healthcare,C130)))&gt;0)</f>
        <v>0</v>
      </c>
      <c r="M130" s="14" cm="1">
        <f t="array" ref="M130">INT(SUMPRODUCT(--ISNUMBER(SEARCH(supreme,C130)))&gt;0)</f>
        <v>0</v>
      </c>
      <c r="N130" s="14" cm="1">
        <f t="array" ref="N130">INT(SUMPRODUCT(--ISNUMBER(SEARCH(covid,C130)))&gt;0)</f>
        <v>1</v>
      </c>
      <c r="O130" s="14" cm="1">
        <f t="array" ref="O130">INT(SUMPRODUCT(--ISNUMBER(SEARCH(violent,C130)))&gt;0)</f>
        <v>0</v>
      </c>
      <c r="P130" s="14" cm="1">
        <f t="array" ref="P130">INT(SUMPRODUCT(--ISNUMBER(SEARCH(foreign,C130)))&gt;0)</f>
        <v>0</v>
      </c>
      <c r="Q130" s="14" cm="1">
        <f t="array" ref="Q130">INT(SUMPRODUCT(--ISNUMBER(SEARCH(gun,C130)))&gt;0)</f>
        <v>0</v>
      </c>
      <c r="R130" s="14" cm="1">
        <f t="array" ref="R130">INT(SUMPRODUCT(--ISNUMBER(SEARCH(race,C130)))&gt;0)</f>
        <v>0</v>
      </c>
      <c r="S130" s="14" cm="1">
        <f t="array" ref="S130">INT(SUMPRODUCT(--ISNUMBER(SEARCH(immigration,C130)))&gt;0)</f>
        <v>0</v>
      </c>
      <c r="T130" s="14" cm="1">
        <f t="array" ref="T130">INT(SUMPRODUCT(--ISNUMBER(SEARCH(econineq,C131)))&gt;0)</f>
        <v>0</v>
      </c>
      <c r="U130" s="14" cm="1">
        <f t="array" ref="U130">INT(SUMPRODUCT(--ISNUMBER(SEARCH(climate,C130)))&gt;0)</f>
        <v>0</v>
      </c>
      <c r="V130" s="14" cm="1">
        <f t="array" ref="V130">INT(SUMPRODUCT(--ISNUMBER(SEARCH(abortion,C130)))&gt;0)</f>
        <v>0</v>
      </c>
      <c r="W130" s="14" cm="1">
        <f t="array" ref="W130">INT(SUMPRODUCT(--ISNUMBER(SEARCH(trump,C130)))&gt;0)</f>
        <v>0</v>
      </c>
      <c r="X130" s="14" cm="1">
        <f t="array" ref="X130">INT(SUMPRODUCT(--ISNUMBER(SEARCH(voting,C130)))&gt;0)</f>
        <v>0</v>
      </c>
      <c r="Y130" s="35" cm="1">
        <f t="array" ref="Y130">INT(SUMPRODUCT(--ISNUMBER(SEARCH(republicantrigger,C130)))&gt;0)</f>
        <v>1</v>
      </c>
      <c r="Z130" s="35" cm="1">
        <f t="array" ref="Z130">INT(SUMPRODUCT(--ISNUMBER(SEARCH(bipartisan,C130)))&gt;0)</f>
        <v>0</v>
      </c>
      <c r="AA130" s="35">
        <f t="shared" si="1"/>
        <v>0</v>
      </c>
      <c r="AB130" s="14"/>
      <c r="AC130" s="30" t="s">
        <v>223</v>
      </c>
      <c r="AD130" s="37" t="s">
        <v>223</v>
      </c>
    </row>
    <row r="131" spans="1:30" x14ac:dyDescent="0.25">
      <c r="A131" s="36">
        <v>3671</v>
      </c>
      <c r="B131" s="14" t="s">
        <v>7096</v>
      </c>
      <c r="C131" s="14" t="s">
        <v>7097</v>
      </c>
      <c r="D131" s="17">
        <v>44124</v>
      </c>
      <c r="E131" s="14" t="s">
        <v>30</v>
      </c>
      <c r="F131" s="14">
        <v>117</v>
      </c>
      <c r="G131" s="14">
        <v>34</v>
      </c>
      <c r="H131" s="14">
        <v>17</v>
      </c>
      <c r="I131" s="14">
        <v>9</v>
      </c>
      <c r="J131" s="14" t="s">
        <v>31</v>
      </c>
      <c r="K131" s="14" cm="1">
        <f t="array" ref="K131">INT(SUMPRODUCT(--ISNUMBER(SEARCH(economy,C131)))&gt;0)</f>
        <v>0</v>
      </c>
      <c r="L131" s="14" cm="1">
        <f t="array" ref="L131">INT(SUMPRODUCT(--ISNUMBER(SEARCH(healthcare,C131)))&gt;0)</f>
        <v>0</v>
      </c>
      <c r="M131" s="14" cm="1">
        <f t="array" ref="M131">INT(SUMPRODUCT(--ISNUMBER(SEARCH(supreme,C131)))&gt;0)</f>
        <v>1</v>
      </c>
      <c r="N131" s="14" cm="1">
        <f t="array" ref="N131">INT(SUMPRODUCT(--ISNUMBER(SEARCH(covid,C131)))&gt;0)</f>
        <v>0</v>
      </c>
      <c r="O131" s="14" cm="1">
        <f t="array" ref="O131">INT(SUMPRODUCT(--ISNUMBER(SEARCH(violent,C131)))&gt;0)</f>
        <v>0</v>
      </c>
      <c r="P131" s="14" cm="1">
        <f t="array" ref="P131">INT(SUMPRODUCT(--ISNUMBER(SEARCH(foreign,C131)))&gt;0)</f>
        <v>0</v>
      </c>
      <c r="Q131" s="14" cm="1">
        <f t="array" ref="Q131">INT(SUMPRODUCT(--ISNUMBER(SEARCH(gun,C131)))&gt;0)</f>
        <v>0</v>
      </c>
      <c r="R131" s="14" cm="1">
        <f t="array" ref="R131">INT(SUMPRODUCT(--ISNUMBER(SEARCH(race,C131)))&gt;0)</f>
        <v>0</v>
      </c>
      <c r="S131" s="14" cm="1">
        <f t="array" ref="S131">INT(SUMPRODUCT(--ISNUMBER(SEARCH(immigration,C131)))&gt;0)</f>
        <v>0</v>
      </c>
      <c r="T131" s="14" cm="1">
        <f t="array" ref="T131">INT(SUMPRODUCT(--ISNUMBER(SEARCH(econineq,C132)))&gt;0)</f>
        <v>0</v>
      </c>
      <c r="U131" s="14" cm="1">
        <f t="array" ref="U131">INT(SUMPRODUCT(--ISNUMBER(SEARCH(climate,C131)))&gt;0)</f>
        <v>0</v>
      </c>
      <c r="V131" s="14" cm="1">
        <f t="array" ref="V131">INT(SUMPRODUCT(--ISNUMBER(SEARCH(abortion,C131)))&gt;0)</f>
        <v>0</v>
      </c>
      <c r="W131" s="14" cm="1">
        <f t="array" ref="W131">INT(SUMPRODUCT(--ISNUMBER(SEARCH(trump,C131)))&gt;0)</f>
        <v>0</v>
      </c>
      <c r="X131" s="14" cm="1">
        <f t="array" ref="X131">INT(SUMPRODUCT(--ISNUMBER(SEARCH(voting,C131)))&gt;0)</f>
        <v>0</v>
      </c>
      <c r="Y131" s="35" cm="1">
        <f t="array" ref="Y131">INT(SUMPRODUCT(--ISNUMBER(SEARCH(republicantrigger,C131)))&gt;0)</f>
        <v>0</v>
      </c>
      <c r="Z131" s="35" cm="1">
        <f t="array" ref="Z131">INT(SUMPRODUCT(--ISNUMBER(SEARCH(bipartisan,C131)))&gt;0)</f>
        <v>0</v>
      </c>
      <c r="AA131" s="35">
        <f t="shared" ref="AA131:AA194" si="2">INT(IF(COUNTIF(K131:Z131,1)=0,"1","0"))</f>
        <v>0</v>
      </c>
      <c r="AB131" s="14"/>
      <c r="AC131" s="30" t="s">
        <v>223</v>
      </c>
      <c r="AD131" s="37" t="s">
        <v>223</v>
      </c>
    </row>
    <row r="132" spans="1:30" x14ac:dyDescent="0.25">
      <c r="A132" s="36">
        <v>3672</v>
      </c>
      <c r="B132" s="14" t="s">
        <v>7098</v>
      </c>
      <c r="C132" s="14" t="s">
        <v>7099</v>
      </c>
      <c r="D132" s="17">
        <v>44124</v>
      </c>
      <c r="E132" s="14" t="s">
        <v>30</v>
      </c>
      <c r="F132" s="14">
        <v>78</v>
      </c>
      <c r="G132" s="14">
        <v>30</v>
      </c>
      <c r="H132" s="14">
        <v>17</v>
      </c>
      <c r="I132" s="14">
        <v>9</v>
      </c>
      <c r="J132" s="14" t="s">
        <v>31</v>
      </c>
      <c r="K132" s="14" cm="1">
        <f t="array" ref="K132">INT(SUMPRODUCT(--ISNUMBER(SEARCH(economy,C132)))&gt;0)</f>
        <v>0</v>
      </c>
      <c r="L132" s="14" cm="1">
        <f t="array" ref="L132">INT(SUMPRODUCT(--ISNUMBER(SEARCH(healthcare,C132)))&gt;0)</f>
        <v>0</v>
      </c>
      <c r="M132" s="14" cm="1">
        <f t="array" ref="M132">INT(SUMPRODUCT(--ISNUMBER(SEARCH(supreme,C132)))&gt;0)</f>
        <v>0</v>
      </c>
      <c r="N132" s="14" cm="1">
        <f t="array" ref="N132">INT(SUMPRODUCT(--ISNUMBER(SEARCH(covid,C132)))&gt;0)</f>
        <v>0</v>
      </c>
      <c r="O132" s="14" cm="1">
        <f t="array" ref="O132">INT(SUMPRODUCT(--ISNUMBER(SEARCH(violent,C132)))&gt;0)</f>
        <v>0</v>
      </c>
      <c r="P132" s="14" cm="1">
        <f t="array" ref="P132">INT(SUMPRODUCT(--ISNUMBER(SEARCH(foreign,C132)))&gt;0)</f>
        <v>0</v>
      </c>
      <c r="Q132" s="14" cm="1">
        <f t="array" ref="Q132">INT(SUMPRODUCT(--ISNUMBER(SEARCH(gun,C132)))&gt;0)</f>
        <v>0</v>
      </c>
      <c r="R132" s="14" cm="1">
        <f t="array" ref="R132">INT(SUMPRODUCT(--ISNUMBER(SEARCH(race,C132)))&gt;0)</f>
        <v>0</v>
      </c>
      <c r="S132" s="14" cm="1">
        <f t="array" ref="S132">INT(SUMPRODUCT(--ISNUMBER(SEARCH(immigration,C132)))&gt;0)</f>
        <v>0</v>
      </c>
      <c r="T132" s="14" cm="1">
        <f t="array" ref="T132">INT(SUMPRODUCT(--ISNUMBER(SEARCH(econineq,C133)))&gt;0)</f>
        <v>0</v>
      </c>
      <c r="U132" s="14" cm="1">
        <f t="array" ref="U132">INT(SUMPRODUCT(--ISNUMBER(SEARCH(climate,C132)))&gt;0)</f>
        <v>0</v>
      </c>
      <c r="V132" s="14" cm="1">
        <f t="array" ref="V132">INT(SUMPRODUCT(--ISNUMBER(SEARCH(abortion,C132)))&gt;0)</f>
        <v>0</v>
      </c>
      <c r="W132" s="14" cm="1">
        <f t="array" ref="W132">INT(SUMPRODUCT(--ISNUMBER(SEARCH(trump,C132)))&gt;0)</f>
        <v>0</v>
      </c>
      <c r="X132" s="14" cm="1">
        <f t="array" ref="X132">INT(SUMPRODUCT(--ISNUMBER(SEARCH(voting,C132)))&gt;0)</f>
        <v>0</v>
      </c>
      <c r="Y132" s="35" cm="1">
        <f t="array" ref="Y132">INT(SUMPRODUCT(--ISNUMBER(SEARCH(republicantrigger,C132)))&gt;0)</f>
        <v>0</v>
      </c>
      <c r="Z132" s="35" cm="1">
        <f t="array" ref="Z132">INT(SUMPRODUCT(--ISNUMBER(SEARCH(bipartisan,C132)))&gt;0)</f>
        <v>0</v>
      </c>
      <c r="AA132" s="35">
        <f t="shared" si="2"/>
        <v>1</v>
      </c>
      <c r="AB132" s="14"/>
      <c r="AC132" s="30" t="s">
        <v>223</v>
      </c>
      <c r="AD132" s="37" t="s">
        <v>223</v>
      </c>
    </row>
    <row r="133" spans="1:30" x14ac:dyDescent="0.25">
      <c r="A133" s="36">
        <v>3673</v>
      </c>
      <c r="B133" s="14" t="s">
        <v>7100</v>
      </c>
      <c r="C133" s="14" t="s">
        <v>7101</v>
      </c>
      <c r="D133" s="17">
        <v>44124</v>
      </c>
      <c r="E133" s="14" t="s">
        <v>30</v>
      </c>
      <c r="F133" s="14">
        <v>462</v>
      </c>
      <c r="G133" s="14">
        <v>107</v>
      </c>
      <c r="H133" s="14">
        <v>17</v>
      </c>
      <c r="I133" s="14">
        <v>9</v>
      </c>
      <c r="J133" s="14" t="s">
        <v>31</v>
      </c>
      <c r="K133" s="14" cm="1">
        <f t="array" ref="K133">INT(SUMPRODUCT(--ISNUMBER(SEARCH(economy,C133)))&gt;0)</f>
        <v>0</v>
      </c>
      <c r="L133" s="14" cm="1">
        <f t="array" ref="L133">INT(SUMPRODUCT(--ISNUMBER(SEARCH(healthcare,C133)))&gt;0)</f>
        <v>0</v>
      </c>
      <c r="M133" s="14" cm="1">
        <f t="array" ref="M133">INT(SUMPRODUCT(--ISNUMBER(SEARCH(supreme,C133)))&gt;0)</f>
        <v>0</v>
      </c>
      <c r="N133" s="14" cm="1">
        <f t="array" ref="N133">INT(SUMPRODUCT(--ISNUMBER(SEARCH(covid,C133)))&gt;0)</f>
        <v>0</v>
      </c>
      <c r="O133" s="14" cm="1">
        <f t="array" ref="O133">INT(SUMPRODUCT(--ISNUMBER(SEARCH(violent,C133)))&gt;0)</f>
        <v>0</v>
      </c>
      <c r="P133" s="14" cm="1">
        <f t="array" ref="P133">INT(SUMPRODUCT(--ISNUMBER(SEARCH(foreign,C133)))&gt;0)</f>
        <v>0</v>
      </c>
      <c r="Q133" s="14" cm="1">
        <f t="array" ref="Q133">INT(SUMPRODUCT(--ISNUMBER(SEARCH(gun,C133)))&gt;0)</f>
        <v>0</v>
      </c>
      <c r="R133" s="14" cm="1">
        <f t="array" ref="R133">INT(SUMPRODUCT(--ISNUMBER(SEARCH(race,C133)))&gt;0)</f>
        <v>0</v>
      </c>
      <c r="S133" s="14" cm="1">
        <f t="array" ref="S133">INT(SUMPRODUCT(--ISNUMBER(SEARCH(immigration,C133)))&gt;0)</f>
        <v>0</v>
      </c>
      <c r="T133" s="14" cm="1">
        <f t="array" ref="T133">INT(SUMPRODUCT(--ISNUMBER(SEARCH(econineq,C134)))&gt;0)</f>
        <v>0</v>
      </c>
      <c r="U133" s="14" cm="1">
        <f t="array" ref="U133">INT(SUMPRODUCT(--ISNUMBER(SEARCH(climate,C133)))&gt;0)</f>
        <v>0</v>
      </c>
      <c r="V133" s="14" cm="1">
        <f t="array" ref="V133">INT(SUMPRODUCT(--ISNUMBER(SEARCH(abortion,C133)))&gt;0)</f>
        <v>0</v>
      </c>
      <c r="W133" s="14" cm="1">
        <f t="array" ref="W133">INT(SUMPRODUCT(--ISNUMBER(SEARCH(trump,C133)))&gt;0)</f>
        <v>0</v>
      </c>
      <c r="X133" s="14" cm="1">
        <f t="array" ref="X133">INT(SUMPRODUCT(--ISNUMBER(SEARCH(voting,C133)))&gt;0)</f>
        <v>0</v>
      </c>
      <c r="Y133" s="35" cm="1">
        <f t="array" ref="Y133">INT(SUMPRODUCT(--ISNUMBER(SEARCH(republicantrigger,C133)))&gt;0)</f>
        <v>0</v>
      </c>
      <c r="Z133" s="35" cm="1">
        <f t="array" ref="Z133">INT(SUMPRODUCT(--ISNUMBER(SEARCH(bipartisan,C133)))&gt;0)</f>
        <v>0</v>
      </c>
      <c r="AA133" s="35">
        <f t="shared" si="2"/>
        <v>1</v>
      </c>
      <c r="AB133" s="14"/>
      <c r="AC133" s="30" t="s">
        <v>223</v>
      </c>
      <c r="AD133" s="37" t="s">
        <v>223</v>
      </c>
    </row>
    <row r="134" spans="1:30" x14ac:dyDescent="0.25">
      <c r="A134" s="36">
        <v>3674</v>
      </c>
      <c r="B134" s="14" t="s">
        <v>7102</v>
      </c>
      <c r="C134" s="14" t="s">
        <v>7103</v>
      </c>
      <c r="D134" s="17">
        <v>44124</v>
      </c>
      <c r="E134" s="14" t="s">
        <v>30</v>
      </c>
      <c r="F134" s="14">
        <v>59</v>
      </c>
      <c r="G134" s="14">
        <v>13</v>
      </c>
      <c r="H134" s="14">
        <v>17</v>
      </c>
      <c r="I134" s="14">
        <v>9</v>
      </c>
      <c r="J134" s="14" t="s">
        <v>31</v>
      </c>
      <c r="K134" s="14" cm="1">
        <f t="array" ref="K134">INT(SUMPRODUCT(--ISNUMBER(SEARCH(economy,C134)))&gt;0)</f>
        <v>0</v>
      </c>
      <c r="L134" s="14" cm="1">
        <f t="array" ref="L134">INT(SUMPRODUCT(--ISNUMBER(SEARCH(healthcare,C134)))&gt;0)</f>
        <v>0</v>
      </c>
      <c r="M134" s="14" cm="1">
        <f t="array" ref="M134">INT(SUMPRODUCT(--ISNUMBER(SEARCH(supreme,C134)))&gt;0)</f>
        <v>0</v>
      </c>
      <c r="N134" s="14" cm="1">
        <f t="array" ref="N134">INT(SUMPRODUCT(--ISNUMBER(SEARCH(covid,C134)))&gt;0)</f>
        <v>0</v>
      </c>
      <c r="O134" s="14" cm="1">
        <f t="array" ref="O134">INT(SUMPRODUCT(--ISNUMBER(SEARCH(violent,C134)))&gt;0)</f>
        <v>0</v>
      </c>
      <c r="P134" s="14" cm="1">
        <f t="array" ref="P134">INT(SUMPRODUCT(--ISNUMBER(SEARCH(foreign,C134)))&gt;0)</f>
        <v>0</v>
      </c>
      <c r="Q134" s="14" cm="1">
        <f t="array" ref="Q134">INT(SUMPRODUCT(--ISNUMBER(SEARCH(gun,C134)))&gt;0)</f>
        <v>0</v>
      </c>
      <c r="R134" s="14" cm="1">
        <f t="array" ref="R134">INT(SUMPRODUCT(--ISNUMBER(SEARCH(race,C134)))&gt;0)</f>
        <v>0</v>
      </c>
      <c r="S134" s="14" cm="1">
        <f t="array" ref="S134">INT(SUMPRODUCT(--ISNUMBER(SEARCH(immigration,C134)))&gt;0)</f>
        <v>0</v>
      </c>
      <c r="T134" s="14" cm="1">
        <f t="array" ref="T134">INT(SUMPRODUCT(--ISNUMBER(SEARCH(econineq,C135)))&gt;0)</f>
        <v>1</v>
      </c>
      <c r="U134" s="14" cm="1">
        <f t="array" ref="U134">INT(SUMPRODUCT(--ISNUMBER(SEARCH(climate,C134)))&gt;0)</f>
        <v>0</v>
      </c>
      <c r="V134" s="14" cm="1">
        <f t="array" ref="V134">INT(SUMPRODUCT(--ISNUMBER(SEARCH(abortion,C134)))&gt;0)</f>
        <v>0</v>
      </c>
      <c r="W134" s="14" cm="1">
        <f t="array" ref="W134">INT(SUMPRODUCT(--ISNUMBER(SEARCH(trump,C134)))&gt;0)</f>
        <v>0</v>
      </c>
      <c r="X134" s="14" cm="1">
        <f t="array" ref="X134">INT(SUMPRODUCT(--ISNUMBER(SEARCH(voting,C134)))&gt;0)</f>
        <v>0</v>
      </c>
      <c r="Y134" s="35" cm="1">
        <f t="array" ref="Y134">INT(SUMPRODUCT(--ISNUMBER(SEARCH(republicantrigger,C134)))&gt;0)</f>
        <v>0</v>
      </c>
      <c r="Z134" s="35" cm="1">
        <f t="array" ref="Z134">INT(SUMPRODUCT(--ISNUMBER(SEARCH(bipartisan,C134)))&gt;0)</f>
        <v>0</v>
      </c>
      <c r="AA134" s="35">
        <f t="shared" si="2"/>
        <v>0</v>
      </c>
      <c r="AB134" s="14"/>
      <c r="AC134" s="30" t="s">
        <v>223</v>
      </c>
      <c r="AD134" s="37" t="s">
        <v>223</v>
      </c>
    </row>
    <row r="135" spans="1:30" x14ac:dyDescent="0.25">
      <c r="A135" s="36">
        <v>3675</v>
      </c>
      <c r="B135" s="14" t="s">
        <v>7104</v>
      </c>
      <c r="C135" s="14" t="s">
        <v>7105</v>
      </c>
      <c r="D135" s="17">
        <v>44124</v>
      </c>
      <c r="E135" s="14" t="s">
        <v>30</v>
      </c>
      <c r="F135" s="14">
        <v>141</v>
      </c>
      <c r="G135" s="14">
        <v>78</v>
      </c>
      <c r="H135" s="14">
        <v>17</v>
      </c>
      <c r="I135" s="14">
        <v>9</v>
      </c>
      <c r="J135" s="14" t="s">
        <v>31</v>
      </c>
      <c r="K135" s="14" cm="1">
        <f t="array" ref="K135">INT(SUMPRODUCT(--ISNUMBER(SEARCH(economy,C135)))&gt;0)</f>
        <v>1</v>
      </c>
      <c r="L135" s="14" cm="1">
        <f t="array" ref="L135">INT(SUMPRODUCT(--ISNUMBER(SEARCH(healthcare,C135)))&gt;0)</f>
        <v>1</v>
      </c>
      <c r="M135" s="14" cm="1">
        <f t="array" ref="M135">INT(SUMPRODUCT(--ISNUMBER(SEARCH(supreme,C135)))&gt;0)</f>
        <v>0</v>
      </c>
      <c r="N135" s="14" cm="1">
        <f t="array" ref="N135">INT(SUMPRODUCT(--ISNUMBER(SEARCH(covid,C135)))&gt;0)</f>
        <v>0</v>
      </c>
      <c r="O135" s="14" cm="1">
        <f t="array" ref="O135">INT(SUMPRODUCT(--ISNUMBER(SEARCH(violent,C135)))&gt;0)</f>
        <v>0</v>
      </c>
      <c r="P135" s="14" cm="1">
        <f t="array" ref="P135">INT(SUMPRODUCT(--ISNUMBER(SEARCH(foreign,C135)))&gt;0)</f>
        <v>0</v>
      </c>
      <c r="Q135" s="14" cm="1">
        <f t="array" ref="Q135">INT(SUMPRODUCT(--ISNUMBER(SEARCH(gun,C135)))&gt;0)</f>
        <v>0</v>
      </c>
      <c r="R135" s="14" cm="1">
        <f t="array" ref="R135">INT(SUMPRODUCT(--ISNUMBER(SEARCH(race,C135)))&gt;0)</f>
        <v>0</v>
      </c>
      <c r="S135" s="14" cm="1">
        <f t="array" ref="S135">INT(SUMPRODUCT(--ISNUMBER(SEARCH(immigration,C135)))&gt;0)</f>
        <v>0</v>
      </c>
      <c r="T135" s="14" cm="1">
        <f t="array" ref="T135">INT(SUMPRODUCT(--ISNUMBER(SEARCH(econineq,C136)))&gt;0)</f>
        <v>0</v>
      </c>
      <c r="U135" s="14" cm="1">
        <f t="array" ref="U135">INT(SUMPRODUCT(--ISNUMBER(SEARCH(climate,C135)))&gt;0)</f>
        <v>0</v>
      </c>
      <c r="V135" s="14" cm="1">
        <f t="array" ref="V135">INT(SUMPRODUCT(--ISNUMBER(SEARCH(abortion,C135)))&gt;0)</f>
        <v>0</v>
      </c>
      <c r="W135" s="14" cm="1">
        <f t="array" ref="W135">INT(SUMPRODUCT(--ISNUMBER(SEARCH(trump,C135)))&gt;0)</f>
        <v>0</v>
      </c>
      <c r="X135" s="14" cm="1">
        <f t="array" ref="X135">INT(SUMPRODUCT(--ISNUMBER(SEARCH(voting,C135)))&gt;0)</f>
        <v>0</v>
      </c>
      <c r="Y135" s="35" cm="1">
        <f t="array" ref="Y135">INT(SUMPRODUCT(--ISNUMBER(SEARCH(republicantrigger,C135)))&gt;0)</f>
        <v>1</v>
      </c>
      <c r="Z135" s="35" cm="1">
        <f t="array" ref="Z135">INT(SUMPRODUCT(--ISNUMBER(SEARCH(bipartisan,C135)))&gt;0)</f>
        <v>0</v>
      </c>
      <c r="AA135" s="35">
        <f t="shared" si="2"/>
        <v>0</v>
      </c>
      <c r="AB135" s="14"/>
      <c r="AC135" s="30" t="s">
        <v>223</v>
      </c>
      <c r="AD135" s="37" t="s">
        <v>223</v>
      </c>
    </row>
    <row r="136" spans="1:30" x14ac:dyDescent="0.25">
      <c r="A136" s="36">
        <v>3676</v>
      </c>
      <c r="B136" s="14" t="s">
        <v>7106</v>
      </c>
      <c r="C136" s="14" t="s">
        <v>7107</v>
      </c>
      <c r="D136" s="17">
        <v>44124</v>
      </c>
      <c r="E136" s="14" t="s">
        <v>30</v>
      </c>
      <c r="F136" s="14">
        <v>100</v>
      </c>
      <c r="G136" s="14">
        <v>51</v>
      </c>
      <c r="H136" s="14">
        <v>17</v>
      </c>
      <c r="I136" s="14">
        <v>9</v>
      </c>
      <c r="J136" s="14" t="s">
        <v>31</v>
      </c>
      <c r="K136" s="14" cm="1">
        <f t="array" ref="K136">INT(SUMPRODUCT(--ISNUMBER(SEARCH(economy,C136)))&gt;0)</f>
        <v>0</v>
      </c>
      <c r="L136" s="14" cm="1">
        <f t="array" ref="L136">INT(SUMPRODUCT(--ISNUMBER(SEARCH(healthcare,C136)))&gt;0)</f>
        <v>0</v>
      </c>
      <c r="M136" s="14" cm="1">
        <f t="array" ref="M136">INT(SUMPRODUCT(--ISNUMBER(SEARCH(supreme,C136)))&gt;0)</f>
        <v>0</v>
      </c>
      <c r="N136" s="14" cm="1">
        <f t="array" ref="N136">INT(SUMPRODUCT(--ISNUMBER(SEARCH(covid,C136)))&gt;0)</f>
        <v>0</v>
      </c>
      <c r="O136" s="14" cm="1">
        <f t="array" ref="O136">INT(SUMPRODUCT(--ISNUMBER(SEARCH(violent,C136)))&gt;0)</f>
        <v>0</v>
      </c>
      <c r="P136" s="14" cm="1">
        <f t="array" ref="P136">INT(SUMPRODUCT(--ISNUMBER(SEARCH(foreign,C136)))&gt;0)</f>
        <v>0</v>
      </c>
      <c r="Q136" s="14" cm="1">
        <f t="array" ref="Q136">INT(SUMPRODUCT(--ISNUMBER(SEARCH(gun,C136)))&gt;0)</f>
        <v>0</v>
      </c>
      <c r="R136" s="14" cm="1">
        <f t="array" ref="R136">INT(SUMPRODUCT(--ISNUMBER(SEARCH(race,C136)))&gt;0)</f>
        <v>0</v>
      </c>
      <c r="S136" s="14" cm="1">
        <f t="array" ref="S136">INT(SUMPRODUCT(--ISNUMBER(SEARCH(immigration,C136)))&gt;0)</f>
        <v>0</v>
      </c>
      <c r="T136" s="14" cm="1">
        <f t="array" ref="T136">INT(SUMPRODUCT(--ISNUMBER(SEARCH(econineq,C137)))&gt;0)</f>
        <v>0</v>
      </c>
      <c r="U136" s="14" cm="1">
        <f t="array" ref="U136">INT(SUMPRODUCT(--ISNUMBER(SEARCH(climate,C136)))&gt;0)</f>
        <v>0</v>
      </c>
      <c r="V136" s="14" cm="1">
        <f t="array" ref="V136">INT(SUMPRODUCT(--ISNUMBER(SEARCH(abortion,C136)))&gt;0)</f>
        <v>0</v>
      </c>
      <c r="W136" s="14" cm="1">
        <f t="array" ref="W136">INT(SUMPRODUCT(--ISNUMBER(SEARCH(trump,C136)))&gt;0)</f>
        <v>1</v>
      </c>
      <c r="X136" s="14" cm="1">
        <f t="array" ref="X136">INT(SUMPRODUCT(--ISNUMBER(SEARCH(voting,C136)))&gt;0)</f>
        <v>0</v>
      </c>
      <c r="Y136" s="35" cm="1">
        <f t="array" ref="Y136">INT(SUMPRODUCT(--ISNUMBER(SEARCH(republicantrigger,C136)))&gt;0)</f>
        <v>1</v>
      </c>
      <c r="Z136" s="35" cm="1">
        <f t="array" ref="Z136">INT(SUMPRODUCT(--ISNUMBER(SEARCH(bipartisan,C136)))&gt;0)</f>
        <v>0</v>
      </c>
      <c r="AA136" s="35">
        <f t="shared" si="2"/>
        <v>0</v>
      </c>
      <c r="AB136" s="14"/>
      <c r="AC136" s="30" t="s">
        <v>223</v>
      </c>
      <c r="AD136" s="37" t="s">
        <v>223</v>
      </c>
    </row>
    <row r="137" spans="1:30" x14ac:dyDescent="0.25">
      <c r="A137" s="36">
        <v>3677</v>
      </c>
      <c r="B137" s="14" t="s">
        <v>7108</v>
      </c>
      <c r="C137" s="14" t="s">
        <v>7109</v>
      </c>
      <c r="D137" s="17">
        <v>44124</v>
      </c>
      <c r="E137" s="14" t="s">
        <v>30</v>
      </c>
      <c r="F137" s="14">
        <v>1284</v>
      </c>
      <c r="G137" s="14">
        <v>326</v>
      </c>
      <c r="H137" s="14">
        <v>17</v>
      </c>
      <c r="I137" s="14">
        <v>9</v>
      </c>
      <c r="J137" s="14" t="s">
        <v>31</v>
      </c>
      <c r="K137" s="14" cm="1">
        <f t="array" ref="K137">INT(SUMPRODUCT(--ISNUMBER(SEARCH(economy,C137)))&gt;0)</f>
        <v>0</v>
      </c>
      <c r="L137" s="14" cm="1">
        <f t="array" ref="L137">INT(SUMPRODUCT(--ISNUMBER(SEARCH(healthcare,C137)))&gt;0)</f>
        <v>0</v>
      </c>
      <c r="M137" s="14" cm="1">
        <f t="array" ref="M137">INT(SUMPRODUCT(--ISNUMBER(SEARCH(supreme,C137)))&gt;0)</f>
        <v>1</v>
      </c>
      <c r="N137" s="14" cm="1">
        <f t="array" ref="N137">INT(SUMPRODUCT(--ISNUMBER(SEARCH(covid,C137)))&gt;0)</f>
        <v>0</v>
      </c>
      <c r="O137" s="14" cm="1">
        <f t="array" ref="O137">INT(SUMPRODUCT(--ISNUMBER(SEARCH(violent,C137)))&gt;0)</f>
        <v>0</v>
      </c>
      <c r="P137" s="14" cm="1">
        <f t="array" ref="P137">INT(SUMPRODUCT(--ISNUMBER(SEARCH(foreign,C137)))&gt;0)</f>
        <v>0</v>
      </c>
      <c r="Q137" s="14" cm="1">
        <f t="array" ref="Q137">INT(SUMPRODUCT(--ISNUMBER(SEARCH(gun,C137)))&gt;0)</f>
        <v>0</v>
      </c>
      <c r="R137" s="14" cm="1">
        <f t="array" ref="R137">INT(SUMPRODUCT(--ISNUMBER(SEARCH(race,C137)))&gt;0)</f>
        <v>0</v>
      </c>
      <c r="S137" s="14" cm="1">
        <f t="array" ref="S137">INT(SUMPRODUCT(--ISNUMBER(SEARCH(immigration,C137)))&gt;0)</f>
        <v>0</v>
      </c>
      <c r="T137" s="14" cm="1">
        <f t="array" ref="T137">INT(SUMPRODUCT(--ISNUMBER(SEARCH(econineq,C138)))&gt;0)</f>
        <v>0</v>
      </c>
      <c r="U137" s="14" cm="1">
        <f t="array" ref="U137">INT(SUMPRODUCT(--ISNUMBER(SEARCH(climate,C137)))&gt;0)</f>
        <v>0</v>
      </c>
      <c r="V137" s="14" cm="1">
        <f t="array" ref="V137">INT(SUMPRODUCT(--ISNUMBER(SEARCH(abortion,C137)))&gt;0)</f>
        <v>0</v>
      </c>
      <c r="W137" s="14" cm="1">
        <f t="array" ref="W137">INT(SUMPRODUCT(--ISNUMBER(SEARCH(trump,C137)))&gt;0)</f>
        <v>0</v>
      </c>
      <c r="X137" s="14" cm="1">
        <f t="array" ref="X137">INT(SUMPRODUCT(--ISNUMBER(SEARCH(voting,C137)))&gt;0)</f>
        <v>0</v>
      </c>
      <c r="Y137" s="35" cm="1">
        <f t="array" ref="Y137">INT(SUMPRODUCT(--ISNUMBER(SEARCH(republicantrigger,C137)))&gt;0)</f>
        <v>0</v>
      </c>
      <c r="Z137" s="35" cm="1">
        <f t="array" ref="Z137">INT(SUMPRODUCT(--ISNUMBER(SEARCH(bipartisan,C137)))&gt;0)</f>
        <v>0</v>
      </c>
      <c r="AA137" s="35">
        <f t="shared" si="2"/>
        <v>0</v>
      </c>
      <c r="AB137" s="14"/>
      <c r="AC137" s="30" t="s">
        <v>223</v>
      </c>
      <c r="AD137" s="37" t="s">
        <v>223</v>
      </c>
    </row>
    <row r="138" spans="1:30" x14ac:dyDescent="0.25">
      <c r="A138" s="36">
        <v>3678</v>
      </c>
      <c r="B138" s="14" t="s">
        <v>7110</v>
      </c>
      <c r="C138" s="14" t="s">
        <v>7111</v>
      </c>
      <c r="D138" s="17">
        <v>44124</v>
      </c>
      <c r="E138" s="14" t="s">
        <v>30</v>
      </c>
      <c r="F138" s="14">
        <v>189</v>
      </c>
      <c r="G138" s="14">
        <v>53</v>
      </c>
      <c r="H138" s="14">
        <v>17</v>
      </c>
      <c r="I138" s="14">
        <v>9</v>
      </c>
      <c r="J138" s="14" t="s">
        <v>31</v>
      </c>
      <c r="K138" s="14" cm="1">
        <f t="array" ref="K138">INT(SUMPRODUCT(--ISNUMBER(SEARCH(economy,C138)))&gt;0)</f>
        <v>0</v>
      </c>
      <c r="L138" s="14" cm="1">
        <f t="array" ref="L138">INT(SUMPRODUCT(--ISNUMBER(SEARCH(healthcare,C138)))&gt;0)</f>
        <v>0</v>
      </c>
      <c r="M138" s="14" cm="1">
        <f t="array" ref="M138">INT(SUMPRODUCT(--ISNUMBER(SEARCH(supreme,C138)))&gt;0)</f>
        <v>0</v>
      </c>
      <c r="N138" s="14" cm="1">
        <f t="array" ref="N138">INT(SUMPRODUCT(--ISNUMBER(SEARCH(covid,C138)))&gt;0)</f>
        <v>0</v>
      </c>
      <c r="O138" s="14" cm="1">
        <f t="array" ref="O138">INT(SUMPRODUCT(--ISNUMBER(SEARCH(violent,C138)))&gt;0)</f>
        <v>0</v>
      </c>
      <c r="P138" s="14" cm="1">
        <f t="array" ref="P138">INT(SUMPRODUCT(--ISNUMBER(SEARCH(foreign,C138)))&gt;0)</f>
        <v>0</v>
      </c>
      <c r="Q138" s="14" cm="1">
        <f t="array" ref="Q138">INT(SUMPRODUCT(--ISNUMBER(SEARCH(gun,C138)))&gt;0)</f>
        <v>0</v>
      </c>
      <c r="R138" s="14" cm="1">
        <f t="array" ref="R138">INT(SUMPRODUCT(--ISNUMBER(SEARCH(race,C138)))&gt;0)</f>
        <v>0</v>
      </c>
      <c r="S138" s="14" cm="1">
        <f t="array" ref="S138">INT(SUMPRODUCT(--ISNUMBER(SEARCH(immigration,C138)))&gt;0)</f>
        <v>1</v>
      </c>
      <c r="T138" s="14" cm="1">
        <f t="array" ref="T138">INT(SUMPRODUCT(--ISNUMBER(SEARCH(econineq,C139)))&gt;0)</f>
        <v>0</v>
      </c>
      <c r="U138" s="14" cm="1">
        <f t="array" ref="U138">INT(SUMPRODUCT(--ISNUMBER(SEARCH(climate,C138)))&gt;0)</f>
        <v>0</v>
      </c>
      <c r="V138" s="14" cm="1">
        <f t="array" ref="V138">INT(SUMPRODUCT(--ISNUMBER(SEARCH(abortion,C138)))&gt;0)</f>
        <v>0</v>
      </c>
      <c r="W138" s="14" cm="1">
        <f t="array" ref="W138">INT(SUMPRODUCT(--ISNUMBER(SEARCH(trump,C138)))&gt;0)</f>
        <v>0</v>
      </c>
      <c r="X138" s="14" cm="1">
        <f t="array" ref="X138">INT(SUMPRODUCT(--ISNUMBER(SEARCH(voting,C138)))&gt;0)</f>
        <v>0</v>
      </c>
      <c r="Y138" s="35" cm="1">
        <f t="array" ref="Y138">INT(SUMPRODUCT(--ISNUMBER(SEARCH(republicantrigger,C138)))&gt;0)</f>
        <v>0</v>
      </c>
      <c r="Z138" s="35" cm="1">
        <f t="array" ref="Z138">INT(SUMPRODUCT(--ISNUMBER(SEARCH(bipartisan,C138)))&gt;0)</f>
        <v>0</v>
      </c>
      <c r="AA138" s="35">
        <f t="shared" si="2"/>
        <v>0</v>
      </c>
      <c r="AB138" s="14"/>
      <c r="AC138" s="30" t="s">
        <v>223</v>
      </c>
      <c r="AD138" s="37" t="s">
        <v>223</v>
      </c>
    </row>
    <row r="139" spans="1:30" x14ac:dyDescent="0.25">
      <c r="A139" s="36">
        <v>3679</v>
      </c>
      <c r="B139" s="14" t="s">
        <v>7112</v>
      </c>
      <c r="C139" s="14" t="s">
        <v>7113</v>
      </c>
      <c r="D139" s="17">
        <v>44124</v>
      </c>
      <c r="E139" s="14" t="s">
        <v>30</v>
      </c>
      <c r="F139" s="14">
        <v>816</v>
      </c>
      <c r="G139" s="14">
        <v>220</v>
      </c>
      <c r="H139" s="14">
        <v>17</v>
      </c>
      <c r="I139" s="14">
        <v>9</v>
      </c>
      <c r="J139" s="14" t="s">
        <v>31</v>
      </c>
      <c r="K139" s="14" cm="1">
        <f t="array" ref="K139">INT(SUMPRODUCT(--ISNUMBER(SEARCH(economy,C139)))&gt;0)</f>
        <v>0</v>
      </c>
      <c r="L139" s="14" cm="1">
        <f t="array" ref="L139">INT(SUMPRODUCT(--ISNUMBER(SEARCH(healthcare,C139)))&gt;0)</f>
        <v>0</v>
      </c>
      <c r="M139" s="14" cm="1">
        <f t="array" ref="M139">INT(SUMPRODUCT(--ISNUMBER(SEARCH(supreme,C139)))&gt;0)</f>
        <v>0</v>
      </c>
      <c r="N139" s="14" cm="1">
        <f t="array" ref="N139">INT(SUMPRODUCT(--ISNUMBER(SEARCH(covid,C139)))&gt;0)</f>
        <v>0</v>
      </c>
      <c r="O139" s="14" cm="1">
        <f t="array" ref="O139">INT(SUMPRODUCT(--ISNUMBER(SEARCH(violent,C139)))&gt;0)</f>
        <v>0</v>
      </c>
      <c r="P139" s="14" cm="1">
        <f t="array" ref="P139">INT(SUMPRODUCT(--ISNUMBER(SEARCH(foreign,C139)))&gt;0)</f>
        <v>0</v>
      </c>
      <c r="Q139" s="14" cm="1">
        <f t="array" ref="Q139">INT(SUMPRODUCT(--ISNUMBER(SEARCH(gun,C139)))&gt;0)</f>
        <v>0</v>
      </c>
      <c r="R139" s="14" cm="1">
        <f t="array" ref="R139">INT(SUMPRODUCT(--ISNUMBER(SEARCH(race,C139)))&gt;0)</f>
        <v>0</v>
      </c>
      <c r="S139" s="14" cm="1">
        <f t="array" ref="S139">INT(SUMPRODUCT(--ISNUMBER(SEARCH(immigration,C139)))&gt;0)</f>
        <v>0</v>
      </c>
      <c r="T139" s="14" cm="1">
        <f t="array" ref="T139">INT(SUMPRODUCT(--ISNUMBER(SEARCH(econineq,C140)))&gt;0)</f>
        <v>0</v>
      </c>
      <c r="U139" s="14" cm="1">
        <f t="array" ref="U139">INT(SUMPRODUCT(--ISNUMBER(SEARCH(climate,C139)))&gt;0)</f>
        <v>0</v>
      </c>
      <c r="V139" s="14" cm="1">
        <f t="array" ref="V139">INT(SUMPRODUCT(--ISNUMBER(SEARCH(abortion,C139)))&gt;0)</f>
        <v>0</v>
      </c>
      <c r="W139" s="14" cm="1">
        <f t="array" ref="W139">INT(SUMPRODUCT(--ISNUMBER(SEARCH(trump,C139)))&gt;0)</f>
        <v>0</v>
      </c>
      <c r="X139" s="14" cm="1">
        <f t="array" ref="X139">INT(SUMPRODUCT(--ISNUMBER(SEARCH(voting,C139)))&gt;0)</f>
        <v>1</v>
      </c>
      <c r="Y139" s="35" cm="1">
        <f t="array" ref="Y139">INT(SUMPRODUCT(--ISNUMBER(SEARCH(republicantrigger,C139)))&gt;0)</f>
        <v>0</v>
      </c>
      <c r="Z139" s="35" cm="1">
        <f t="array" ref="Z139">INT(SUMPRODUCT(--ISNUMBER(SEARCH(bipartisan,C139)))&gt;0)</f>
        <v>0</v>
      </c>
      <c r="AA139" s="35">
        <f t="shared" si="2"/>
        <v>0</v>
      </c>
      <c r="AB139" s="14"/>
      <c r="AC139" s="30" t="s">
        <v>223</v>
      </c>
      <c r="AD139" s="37" t="s">
        <v>223</v>
      </c>
    </row>
    <row r="140" spans="1:30" x14ac:dyDescent="0.25">
      <c r="A140" s="36">
        <v>3680</v>
      </c>
      <c r="B140" s="14" t="s">
        <v>7114</v>
      </c>
      <c r="C140" s="14" t="s">
        <v>7115</v>
      </c>
      <c r="D140" s="17">
        <v>44124</v>
      </c>
      <c r="E140" s="14" t="s">
        <v>30</v>
      </c>
      <c r="F140" s="14">
        <v>2188</v>
      </c>
      <c r="G140" s="14">
        <v>776</v>
      </c>
      <c r="H140" s="14">
        <v>17</v>
      </c>
      <c r="I140" s="14">
        <v>9</v>
      </c>
      <c r="J140" s="14" t="s">
        <v>31</v>
      </c>
      <c r="K140" s="14" cm="1">
        <f t="array" ref="K140">INT(SUMPRODUCT(--ISNUMBER(SEARCH(economy,C140)))&gt;0)</f>
        <v>0</v>
      </c>
      <c r="L140" s="14" cm="1">
        <f t="array" ref="L140">INT(SUMPRODUCT(--ISNUMBER(SEARCH(healthcare,C140)))&gt;0)</f>
        <v>0</v>
      </c>
      <c r="M140" s="14" cm="1">
        <f t="array" ref="M140">INT(SUMPRODUCT(--ISNUMBER(SEARCH(supreme,C140)))&gt;0)</f>
        <v>0</v>
      </c>
      <c r="N140" s="14" cm="1">
        <f t="array" ref="N140">INT(SUMPRODUCT(--ISNUMBER(SEARCH(covid,C140)))&gt;0)</f>
        <v>1</v>
      </c>
      <c r="O140" s="14" cm="1">
        <f t="array" ref="O140">INT(SUMPRODUCT(--ISNUMBER(SEARCH(violent,C140)))&gt;0)</f>
        <v>0</v>
      </c>
      <c r="P140" s="14" cm="1">
        <f t="array" ref="P140">INT(SUMPRODUCT(--ISNUMBER(SEARCH(foreign,C140)))&gt;0)</f>
        <v>0</v>
      </c>
      <c r="Q140" s="14" cm="1">
        <f t="array" ref="Q140">INT(SUMPRODUCT(--ISNUMBER(SEARCH(gun,C140)))&gt;0)</f>
        <v>0</v>
      </c>
      <c r="R140" s="14" cm="1">
        <f t="array" ref="R140">INT(SUMPRODUCT(--ISNUMBER(SEARCH(race,C140)))&gt;0)</f>
        <v>0</v>
      </c>
      <c r="S140" s="14" cm="1">
        <f t="array" ref="S140">INT(SUMPRODUCT(--ISNUMBER(SEARCH(immigration,C140)))&gt;0)</f>
        <v>0</v>
      </c>
      <c r="T140" s="14" cm="1">
        <f t="array" ref="T140">INT(SUMPRODUCT(--ISNUMBER(SEARCH(econineq,C141)))&gt;0)</f>
        <v>0</v>
      </c>
      <c r="U140" s="14" cm="1">
        <f t="array" ref="U140">INT(SUMPRODUCT(--ISNUMBER(SEARCH(climate,C140)))&gt;0)</f>
        <v>0</v>
      </c>
      <c r="V140" s="14" cm="1">
        <f t="array" ref="V140">INT(SUMPRODUCT(--ISNUMBER(SEARCH(abortion,C140)))&gt;0)</f>
        <v>0</v>
      </c>
      <c r="W140" s="14" cm="1">
        <f t="array" ref="W140">INT(SUMPRODUCT(--ISNUMBER(SEARCH(trump,C140)))&gt;0)</f>
        <v>0</v>
      </c>
      <c r="X140" s="14" cm="1">
        <f t="array" ref="X140">INT(SUMPRODUCT(--ISNUMBER(SEARCH(voting,C140)))&gt;0)</f>
        <v>0</v>
      </c>
      <c r="Y140" s="35" cm="1">
        <f t="array" ref="Y140">INT(SUMPRODUCT(--ISNUMBER(SEARCH(republicantrigger,C140)))&gt;0)</f>
        <v>0</v>
      </c>
      <c r="Z140" s="35" cm="1">
        <f t="array" ref="Z140">INT(SUMPRODUCT(--ISNUMBER(SEARCH(bipartisan,C140)))&gt;0)</f>
        <v>0</v>
      </c>
      <c r="AA140" s="35">
        <f t="shared" si="2"/>
        <v>0</v>
      </c>
      <c r="AB140" s="14"/>
      <c r="AC140" s="30" t="s">
        <v>223</v>
      </c>
      <c r="AD140" s="37" t="s">
        <v>223</v>
      </c>
    </row>
    <row r="141" spans="1:30" x14ac:dyDescent="0.25">
      <c r="A141" s="36">
        <v>3681</v>
      </c>
      <c r="B141" s="14" t="s">
        <v>7116</v>
      </c>
      <c r="C141" s="14" t="s">
        <v>7117</v>
      </c>
      <c r="D141" s="17">
        <v>44124</v>
      </c>
      <c r="E141" s="14" t="s">
        <v>30</v>
      </c>
      <c r="F141" s="14">
        <v>132</v>
      </c>
      <c r="G141" s="14">
        <v>40</v>
      </c>
      <c r="H141" s="14">
        <v>17</v>
      </c>
      <c r="I141" s="14">
        <v>9</v>
      </c>
      <c r="J141" s="14" t="s">
        <v>31</v>
      </c>
      <c r="K141" s="14" cm="1">
        <f t="array" ref="K141">INT(SUMPRODUCT(--ISNUMBER(SEARCH(economy,C141)))&gt;0)</f>
        <v>1</v>
      </c>
      <c r="L141" s="14" cm="1">
        <f t="array" ref="L141">INT(SUMPRODUCT(--ISNUMBER(SEARCH(healthcare,C141)))&gt;0)</f>
        <v>1</v>
      </c>
      <c r="M141" s="14" cm="1">
        <f t="array" ref="M141">INT(SUMPRODUCT(--ISNUMBER(SEARCH(supreme,C141)))&gt;0)</f>
        <v>0</v>
      </c>
      <c r="N141" s="14" cm="1">
        <f t="array" ref="N141">INT(SUMPRODUCT(--ISNUMBER(SEARCH(covid,C141)))&gt;0)</f>
        <v>1</v>
      </c>
      <c r="O141" s="14" cm="1">
        <f t="array" ref="O141">INT(SUMPRODUCT(--ISNUMBER(SEARCH(violent,C141)))&gt;0)</f>
        <v>0</v>
      </c>
      <c r="P141" s="14" cm="1">
        <f t="array" ref="P141">INT(SUMPRODUCT(--ISNUMBER(SEARCH(foreign,C141)))&gt;0)</f>
        <v>0</v>
      </c>
      <c r="Q141" s="14" cm="1">
        <f t="array" ref="Q141">INT(SUMPRODUCT(--ISNUMBER(SEARCH(gun,C141)))&gt;0)</f>
        <v>0</v>
      </c>
      <c r="R141" s="14" cm="1">
        <f t="array" ref="R141">INT(SUMPRODUCT(--ISNUMBER(SEARCH(race,C141)))&gt;0)</f>
        <v>0</v>
      </c>
      <c r="S141" s="14" cm="1">
        <f t="array" ref="S141">INT(SUMPRODUCT(--ISNUMBER(SEARCH(immigration,C141)))&gt;0)</f>
        <v>0</v>
      </c>
      <c r="T141" s="14" cm="1">
        <f t="array" ref="T141">INT(SUMPRODUCT(--ISNUMBER(SEARCH(econineq,C142)))&gt;0)</f>
        <v>0</v>
      </c>
      <c r="U141" s="14" cm="1">
        <f t="array" ref="U141">INT(SUMPRODUCT(--ISNUMBER(SEARCH(climate,C141)))&gt;0)</f>
        <v>0</v>
      </c>
      <c r="V141" s="14" cm="1">
        <f t="array" ref="V141">INT(SUMPRODUCT(--ISNUMBER(SEARCH(abortion,C141)))&gt;0)</f>
        <v>0</v>
      </c>
      <c r="W141" s="14" cm="1">
        <f t="array" ref="W141">INT(SUMPRODUCT(--ISNUMBER(SEARCH(trump,C141)))&gt;0)</f>
        <v>0</v>
      </c>
      <c r="X141" s="14" cm="1">
        <f t="array" ref="X141">INT(SUMPRODUCT(--ISNUMBER(SEARCH(voting,C141)))&gt;0)</f>
        <v>0</v>
      </c>
      <c r="Y141" s="35" cm="1">
        <f t="array" ref="Y141">INT(SUMPRODUCT(--ISNUMBER(SEARCH(republicantrigger,C141)))&gt;0)</f>
        <v>0</v>
      </c>
      <c r="Z141" s="35" cm="1">
        <f t="array" ref="Z141">INT(SUMPRODUCT(--ISNUMBER(SEARCH(bipartisan,C141)))&gt;0)</f>
        <v>0</v>
      </c>
      <c r="AA141" s="35">
        <f t="shared" si="2"/>
        <v>0</v>
      </c>
      <c r="AB141" s="14"/>
      <c r="AC141" s="30" t="s">
        <v>223</v>
      </c>
      <c r="AD141" s="37" t="s">
        <v>223</v>
      </c>
    </row>
    <row r="142" spans="1:30" x14ac:dyDescent="0.25">
      <c r="A142" s="36">
        <v>3682</v>
      </c>
      <c r="B142" s="14" t="s">
        <v>7118</v>
      </c>
      <c r="C142" s="14" t="s">
        <v>7119</v>
      </c>
      <c r="D142" s="17">
        <v>44123</v>
      </c>
      <c r="E142" s="14" t="s">
        <v>30</v>
      </c>
      <c r="F142" s="14">
        <v>127</v>
      </c>
      <c r="G142" s="14">
        <v>48</v>
      </c>
      <c r="H142" s="14">
        <v>17</v>
      </c>
      <c r="I142" s="14">
        <v>9</v>
      </c>
      <c r="J142" s="14" t="s">
        <v>31</v>
      </c>
      <c r="K142" s="14" cm="1">
        <f t="array" ref="K142">INT(SUMPRODUCT(--ISNUMBER(SEARCH(economy,C142)))&gt;0)</f>
        <v>0</v>
      </c>
      <c r="L142" s="14" cm="1">
        <f t="array" ref="L142">INT(SUMPRODUCT(--ISNUMBER(SEARCH(healthcare,C142)))&gt;0)</f>
        <v>0</v>
      </c>
      <c r="M142" s="14" cm="1">
        <f t="array" ref="M142">INT(SUMPRODUCT(--ISNUMBER(SEARCH(supreme,C142)))&gt;0)</f>
        <v>0</v>
      </c>
      <c r="N142" s="14" cm="1">
        <f t="array" ref="N142">INT(SUMPRODUCT(--ISNUMBER(SEARCH(covid,C142)))&gt;0)</f>
        <v>0</v>
      </c>
      <c r="O142" s="14" cm="1">
        <f t="array" ref="O142">INT(SUMPRODUCT(--ISNUMBER(SEARCH(violent,C142)))&gt;0)</f>
        <v>0</v>
      </c>
      <c r="P142" s="14" cm="1">
        <f t="array" ref="P142">INT(SUMPRODUCT(--ISNUMBER(SEARCH(foreign,C142)))&gt;0)</f>
        <v>0</v>
      </c>
      <c r="Q142" s="14" cm="1">
        <f t="array" ref="Q142">INT(SUMPRODUCT(--ISNUMBER(SEARCH(gun,C142)))&gt;0)</f>
        <v>0</v>
      </c>
      <c r="R142" s="14" cm="1">
        <f t="array" ref="R142">INT(SUMPRODUCT(--ISNUMBER(SEARCH(race,C142)))&gt;0)</f>
        <v>0</v>
      </c>
      <c r="S142" s="14" cm="1">
        <f t="array" ref="S142">INT(SUMPRODUCT(--ISNUMBER(SEARCH(immigration,C142)))&gt;0)</f>
        <v>0</v>
      </c>
      <c r="T142" s="14" cm="1">
        <f t="array" ref="T142">INT(SUMPRODUCT(--ISNUMBER(SEARCH(econineq,C143)))&gt;0)</f>
        <v>0</v>
      </c>
      <c r="U142" s="14" cm="1">
        <f t="array" ref="U142">INT(SUMPRODUCT(--ISNUMBER(SEARCH(climate,C142)))&gt;0)</f>
        <v>0</v>
      </c>
      <c r="V142" s="14" cm="1">
        <f t="array" ref="V142">INT(SUMPRODUCT(--ISNUMBER(SEARCH(abortion,C142)))&gt;0)</f>
        <v>0</v>
      </c>
      <c r="W142" s="14" cm="1">
        <f t="array" ref="W142">INT(SUMPRODUCT(--ISNUMBER(SEARCH(trump,C142)))&gt;0)</f>
        <v>0</v>
      </c>
      <c r="X142" s="14" cm="1">
        <f t="array" ref="X142">INT(SUMPRODUCT(--ISNUMBER(SEARCH(voting,C142)))&gt;0)</f>
        <v>0</v>
      </c>
      <c r="Y142" s="35" cm="1">
        <f t="array" ref="Y142">INT(SUMPRODUCT(--ISNUMBER(SEARCH(republicantrigger,C142)))&gt;0)</f>
        <v>0</v>
      </c>
      <c r="Z142" s="35" cm="1">
        <f t="array" ref="Z142">INT(SUMPRODUCT(--ISNUMBER(SEARCH(bipartisan,C142)))&gt;0)</f>
        <v>0</v>
      </c>
      <c r="AA142" s="35">
        <f t="shared" si="2"/>
        <v>1</v>
      </c>
      <c r="AB142" s="14"/>
      <c r="AC142" s="30" t="s">
        <v>223</v>
      </c>
      <c r="AD142" s="37" t="s">
        <v>223</v>
      </c>
    </row>
    <row r="143" spans="1:30" x14ac:dyDescent="0.25">
      <c r="A143" s="36">
        <v>3683</v>
      </c>
      <c r="B143" s="14" t="s">
        <v>7120</v>
      </c>
      <c r="C143" s="14" t="s">
        <v>7121</v>
      </c>
      <c r="D143" s="17">
        <v>44123</v>
      </c>
      <c r="E143" s="14" t="s">
        <v>30</v>
      </c>
      <c r="F143" s="14">
        <v>936</v>
      </c>
      <c r="G143" s="14">
        <v>205</v>
      </c>
      <c r="H143" s="14">
        <v>17</v>
      </c>
      <c r="I143" s="14">
        <v>9</v>
      </c>
      <c r="J143" s="14" t="s">
        <v>31</v>
      </c>
      <c r="K143" s="14" cm="1">
        <f t="array" ref="K143">INT(SUMPRODUCT(--ISNUMBER(SEARCH(economy,C143)))&gt;0)</f>
        <v>0</v>
      </c>
      <c r="L143" s="14" cm="1">
        <f t="array" ref="L143">INT(SUMPRODUCT(--ISNUMBER(SEARCH(healthcare,C143)))&gt;0)</f>
        <v>0</v>
      </c>
      <c r="M143" s="14" cm="1">
        <f t="array" ref="M143">INT(SUMPRODUCT(--ISNUMBER(SEARCH(supreme,C143)))&gt;0)</f>
        <v>0</v>
      </c>
      <c r="N143" s="14" cm="1">
        <f t="array" ref="N143">INT(SUMPRODUCT(--ISNUMBER(SEARCH(covid,C143)))&gt;0)</f>
        <v>0</v>
      </c>
      <c r="O143" s="14" cm="1">
        <f t="array" ref="O143">INT(SUMPRODUCT(--ISNUMBER(SEARCH(violent,C143)))&gt;0)</f>
        <v>0</v>
      </c>
      <c r="P143" s="14" cm="1">
        <f t="array" ref="P143">INT(SUMPRODUCT(--ISNUMBER(SEARCH(foreign,C143)))&gt;0)</f>
        <v>0</v>
      </c>
      <c r="Q143" s="14" cm="1">
        <f t="array" ref="Q143">INT(SUMPRODUCT(--ISNUMBER(SEARCH(gun,C143)))&gt;0)</f>
        <v>0</v>
      </c>
      <c r="R143" s="14" cm="1">
        <f t="array" ref="R143">INT(SUMPRODUCT(--ISNUMBER(SEARCH(race,C143)))&gt;0)</f>
        <v>0</v>
      </c>
      <c r="S143" s="14" cm="1">
        <f t="array" ref="S143">INT(SUMPRODUCT(--ISNUMBER(SEARCH(immigration,C143)))&gt;0)</f>
        <v>0</v>
      </c>
      <c r="T143" s="14" cm="1">
        <f t="array" ref="T143">INT(SUMPRODUCT(--ISNUMBER(SEARCH(econineq,C144)))&gt;0)</f>
        <v>0</v>
      </c>
      <c r="U143" s="14" cm="1">
        <f t="array" ref="U143">INT(SUMPRODUCT(--ISNUMBER(SEARCH(climate,C143)))&gt;0)</f>
        <v>0</v>
      </c>
      <c r="V143" s="14" cm="1">
        <f t="array" ref="V143">INT(SUMPRODUCT(--ISNUMBER(SEARCH(abortion,C143)))&gt;0)</f>
        <v>0</v>
      </c>
      <c r="W143" s="14" cm="1">
        <f t="array" ref="W143">INT(SUMPRODUCT(--ISNUMBER(SEARCH(trump,C143)))&gt;0)</f>
        <v>0</v>
      </c>
      <c r="X143" s="14" cm="1">
        <f t="array" ref="X143">INT(SUMPRODUCT(--ISNUMBER(SEARCH(voting,C143)))&gt;0)</f>
        <v>1</v>
      </c>
      <c r="Y143" s="35" cm="1">
        <f t="array" ref="Y143">INT(SUMPRODUCT(--ISNUMBER(SEARCH(republicantrigger,C143)))&gt;0)</f>
        <v>0</v>
      </c>
      <c r="Z143" s="35" cm="1">
        <f t="array" ref="Z143">INT(SUMPRODUCT(--ISNUMBER(SEARCH(bipartisan,C143)))&gt;0)</f>
        <v>0</v>
      </c>
      <c r="AA143" s="35">
        <f t="shared" si="2"/>
        <v>0</v>
      </c>
      <c r="AB143" s="14"/>
      <c r="AC143" s="30" t="s">
        <v>223</v>
      </c>
      <c r="AD143" s="37" t="s">
        <v>223</v>
      </c>
    </row>
    <row r="144" spans="1:30" x14ac:dyDescent="0.25">
      <c r="A144" s="36">
        <v>3684</v>
      </c>
      <c r="B144" s="14" t="s">
        <v>7122</v>
      </c>
      <c r="C144" s="14" t="s">
        <v>7123</v>
      </c>
      <c r="D144" s="17">
        <v>44123</v>
      </c>
      <c r="E144" s="14" t="s">
        <v>30</v>
      </c>
      <c r="F144" s="14">
        <v>422</v>
      </c>
      <c r="G144" s="14">
        <v>160</v>
      </c>
      <c r="H144" s="14">
        <v>17</v>
      </c>
      <c r="I144" s="14">
        <v>9</v>
      </c>
      <c r="J144" s="14" t="s">
        <v>31</v>
      </c>
      <c r="K144" s="14" cm="1">
        <f t="array" ref="K144">INT(SUMPRODUCT(--ISNUMBER(SEARCH(economy,C144)))&gt;0)</f>
        <v>0</v>
      </c>
      <c r="L144" s="14" cm="1">
        <f t="array" ref="L144">INT(SUMPRODUCT(--ISNUMBER(SEARCH(healthcare,C144)))&gt;0)</f>
        <v>0</v>
      </c>
      <c r="M144" s="14" cm="1">
        <f t="array" ref="M144">INT(SUMPRODUCT(--ISNUMBER(SEARCH(supreme,C144)))&gt;0)</f>
        <v>0</v>
      </c>
      <c r="N144" s="14" cm="1">
        <f t="array" ref="N144">INT(SUMPRODUCT(--ISNUMBER(SEARCH(covid,C144)))&gt;0)</f>
        <v>0</v>
      </c>
      <c r="O144" s="14" cm="1">
        <f t="array" ref="O144">INT(SUMPRODUCT(--ISNUMBER(SEARCH(violent,C144)))&gt;0)</f>
        <v>0</v>
      </c>
      <c r="P144" s="14" cm="1">
        <f t="array" ref="P144">INT(SUMPRODUCT(--ISNUMBER(SEARCH(foreign,C144)))&gt;0)</f>
        <v>0</v>
      </c>
      <c r="Q144" s="14" cm="1">
        <f t="array" ref="Q144">INT(SUMPRODUCT(--ISNUMBER(SEARCH(gun,C144)))&gt;0)</f>
        <v>0</v>
      </c>
      <c r="R144" s="14" cm="1">
        <f t="array" ref="R144">INT(SUMPRODUCT(--ISNUMBER(SEARCH(race,C144)))&gt;0)</f>
        <v>0</v>
      </c>
      <c r="S144" s="14" cm="1">
        <f t="array" ref="S144">INT(SUMPRODUCT(--ISNUMBER(SEARCH(immigration,C144)))&gt;0)</f>
        <v>1</v>
      </c>
      <c r="T144" s="14" cm="1">
        <f t="array" ref="T144">INT(SUMPRODUCT(--ISNUMBER(SEARCH(econineq,C145)))&gt;0)</f>
        <v>0</v>
      </c>
      <c r="U144" s="14" cm="1">
        <f t="array" ref="U144">INT(SUMPRODUCT(--ISNUMBER(SEARCH(climate,C144)))&gt;0)</f>
        <v>0</v>
      </c>
      <c r="V144" s="14" cm="1">
        <f t="array" ref="V144">INT(SUMPRODUCT(--ISNUMBER(SEARCH(abortion,C144)))&gt;0)</f>
        <v>0</v>
      </c>
      <c r="W144" s="14" cm="1">
        <f t="array" ref="W144">INT(SUMPRODUCT(--ISNUMBER(SEARCH(trump,C144)))&gt;0)</f>
        <v>0</v>
      </c>
      <c r="X144" s="14" cm="1">
        <f t="array" ref="X144">INT(SUMPRODUCT(--ISNUMBER(SEARCH(voting,C144)))&gt;0)</f>
        <v>0</v>
      </c>
      <c r="Y144" s="35" cm="1">
        <f t="array" ref="Y144">INT(SUMPRODUCT(--ISNUMBER(SEARCH(republicantrigger,C144)))&gt;0)</f>
        <v>1</v>
      </c>
      <c r="Z144" s="35" cm="1">
        <f t="array" ref="Z144">INT(SUMPRODUCT(--ISNUMBER(SEARCH(bipartisan,C144)))&gt;0)</f>
        <v>0</v>
      </c>
      <c r="AA144" s="35">
        <f t="shared" si="2"/>
        <v>0</v>
      </c>
      <c r="AB144" s="14"/>
      <c r="AC144" s="30" t="s">
        <v>223</v>
      </c>
      <c r="AD144" s="37" t="s">
        <v>223</v>
      </c>
    </row>
    <row r="145" spans="1:30" x14ac:dyDescent="0.25">
      <c r="A145" s="36">
        <v>3685</v>
      </c>
      <c r="B145" s="14" t="s">
        <v>7124</v>
      </c>
      <c r="C145" s="14" t="s">
        <v>7125</v>
      </c>
      <c r="D145" s="17">
        <v>44123</v>
      </c>
      <c r="E145" s="14" t="s">
        <v>30</v>
      </c>
      <c r="F145" s="14">
        <v>48</v>
      </c>
      <c r="G145" s="14">
        <v>34</v>
      </c>
      <c r="H145" s="14">
        <v>17</v>
      </c>
      <c r="I145" s="14">
        <v>9</v>
      </c>
      <c r="J145" s="14" t="s">
        <v>31</v>
      </c>
      <c r="K145" s="14" cm="1">
        <f t="array" ref="K145">INT(SUMPRODUCT(--ISNUMBER(SEARCH(economy,C145)))&gt;0)</f>
        <v>0</v>
      </c>
      <c r="L145" s="14" cm="1">
        <f t="array" ref="L145">INT(SUMPRODUCT(--ISNUMBER(SEARCH(healthcare,C145)))&gt;0)</f>
        <v>0</v>
      </c>
      <c r="M145" s="14" cm="1">
        <f t="array" ref="M145">INT(SUMPRODUCT(--ISNUMBER(SEARCH(supreme,C145)))&gt;0)</f>
        <v>0</v>
      </c>
      <c r="N145" s="14" cm="1">
        <f t="array" ref="N145">INT(SUMPRODUCT(--ISNUMBER(SEARCH(covid,C145)))&gt;0)</f>
        <v>0</v>
      </c>
      <c r="O145" s="14" cm="1">
        <f t="array" ref="O145">INT(SUMPRODUCT(--ISNUMBER(SEARCH(violent,C145)))&gt;0)</f>
        <v>0</v>
      </c>
      <c r="P145" s="14" cm="1">
        <f t="array" ref="P145">INT(SUMPRODUCT(--ISNUMBER(SEARCH(foreign,C145)))&gt;0)</f>
        <v>1</v>
      </c>
      <c r="Q145" s="14" cm="1">
        <f t="array" ref="Q145">INT(SUMPRODUCT(--ISNUMBER(SEARCH(gun,C145)))&gt;0)</f>
        <v>0</v>
      </c>
      <c r="R145" s="14" cm="1">
        <f t="array" ref="R145">INT(SUMPRODUCT(--ISNUMBER(SEARCH(race,C145)))&gt;0)</f>
        <v>0</v>
      </c>
      <c r="S145" s="14" cm="1">
        <f t="array" ref="S145">INT(SUMPRODUCT(--ISNUMBER(SEARCH(immigration,C145)))&gt;0)</f>
        <v>0</v>
      </c>
      <c r="T145" s="14" cm="1">
        <f t="array" ref="T145">INT(SUMPRODUCT(--ISNUMBER(SEARCH(econineq,C146)))&gt;0)</f>
        <v>0</v>
      </c>
      <c r="U145" s="14" cm="1">
        <f t="array" ref="U145">INT(SUMPRODUCT(--ISNUMBER(SEARCH(climate,C145)))&gt;0)</f>
        <v>0</v>
      </c>
      <c r="V145" s="14" cm="1">
        <f t="array" ref="V145">INT(SUMPRODUCT(--ISNUMBER(SEARCH(abortion,C145)))&gt;0)</f>
        <v>0</v>
      </c>
      <c r="W145" s="14" cm="1">
        <f t="array" ref="W145">INT(SUMPRODUCT(--ISNUMBER(SEARCH(trump,C145)))&gt;0)</f>
        <v>0</v>
      </c>
      <c r="X145" s="14" cm="1">
        <f t="array" ref="X145">INT(SUMPRODUCT(--ISNUMBER(SEARCH(voting,C145)))&gt;0)</f>
        <v>0</v>
      </c>
      <c r="Y145" s="35" cm="1">
        <f t="array" ref="Y145">INT(SUMPRODUCT(--ISNUMBER(SEARCH(republicantrigger,C145)))&gt;0)</f>
        <v>0</v>
      </c>
      <c r="Z145" s="35" cm="1">
        <f t="array" ref="Z145">INT(SUMPRODUCT(--ISNUMBER(SEARCH(bipartisan,C145)))&gt;0)</f>
        <v>0</v>
      </c>
      <c r="AA145" s="35">
        <f t="shared" si="2"/>
        <v>0</v>
      </c>
      <c r="AB145" s="14"/>
      <c r="AC145" s="30" t="s">
        <v>223</v>
      </c>
      <c r="AD145" s="37" t="s">
        <v>223</v>
      </c>
    </row>
    <row r="146" spans="1:30" x14ac:dyDescent="0.25">
      <c r="A146" s="36">
        <v>3686</v>
      </c>
      <c r="B146" s="14" t="s">
        <v>7126</v>
      </c>
      <c r="C146" s="14" t="s">
        <v>7127</v>
      </c>
      <c r="D146" s="17">
        <v>44123</v>
      </c>
      <c r="E146" s="14" t="s">
        <v>30</v>
      </c>
      <c r="F146" s="14">
        <v>383</v>
      </c>
      <c r="G146" s="14">
        <v>162</v>
      </c>
      <c r="H146" s="14">
        <v>17</v>
      </c>
      <c r="I146" s="14">
        <v>9</v>
      </c>
      <c r="J146" s="14" t="s">
        <v>31</v>
      </c>
      <c r="K146" s="14" cm="1">
        <f t="array" ref="K146">INT(SUMPRODUCT(--ISNUMBER(SEARCH(economy,C146)))&gt;0)</f>
        <v>0</v>
      </c>
      <c r="L146" s="14" cm="1">
        <f t="array" ref="L146">INT(SUMPRODUCT(--ISNUMBER(SEARCH(healthcare,C146)))&gt;0)</f>
        <v>0</v>
      </c>
      <c r="M146" s="14" cm="1">
        <f t="array" ref="M146">INT(SUMPRODUCT(--ISNUMBER(SEARCH(supreme,C146)))&gt;0)</f>
        <v>0</v>
      </c>
      <c r="N146" s="14" cm="1">
        <f t="array" ref="N146">INT(SUMPRODUCT(--ISNUMBER(SEARCH(covid,C146)))&gt;0)</f>
        <v>0</v>
      </c>
      <c r="O146" s="14" cm="1">
        <f t="array" ref="O146">INT(SUMPRODUCT(--ISNUMBER(SEARCH(violent,C146)))&gt;0)</f>
        <v>0</v>
      </c>
      <c r="P146" s="14" cm="1">
        <f t="array" ref="P146">INT(SUMPRODUCT(--ISNUMBER(SEARCH(foreign,C146)))&gt;0)</f>
        <v>0</v>
      </c>
      <c r="Q146" s="14" cm="1">
        <f t="array" ref="Q146">INT(SUMPRODUCT(--ISNUMBER(SEARCH(gun,C146)))&gt;0)</f>
        <v>0</v>
      </c>
      <c r="R146" s="14" cm="1">
        <f t="array" ref="R146">INT(SUMPRODUCT(--ISNUMBER(SEARCH(race,C146)))&gt;0)</f>
        <v>0</v>
      </c>
      <c r="S146" s="14" cm="1">
        <f t="array" ref="S146">INT(SUMPRODUCT(--ISNUMBER(SEARCH(immigration,C146)))&gt;0)</f>
        <v>0</v>
      </c>
      <c r="T146" s="14" cm="1">
        <f t="array" ref="T146">INT(SUMPRODUCT(--ISNUMBER(SEARCH(econineq,C147)))&gt;0)</f>
        <v>0</v>
      </c>
      <c r="U146" s="14" cm="1">
        <f t="array" ref="U146">INT(SUMPRODUCT(--ISNUMBER(SEARCH(climate,C146)))&gt;0)</f>
        <v>0</v>
      </c>
      <c r="V146" s="14" cm="1">
        <f t="array" ref="V146">INT(SUMPRODUCT(--ISNUMBER(SEARCH(abortion,C146)))&gt;0)</f>
        <v>0</v>
      </c>
      <c r="W146" s="14" cm="1">
        <f t="array" ref="W146">INT(SUMPRODUCT(--ISNUMBER(SEARCH(trump,C146)))&gt;0)</f>
        <v>1</v>
      </c>
      <c r="X146" s="14" cm="1">
        <f t="array" ref="X146">INT(SUMPRODUCT(--ISNUMBER(SEARCH(voting,C146)))&gt;0)</f>
        <v>0</v>
      </c>
      <c r="Y146" s="35" cm="1">
        <f t="array" ref="Y146">INT(SUMPRODUCT(--ISNUMBER(SEARCH(republicantrigger,C146)))&gt;0)</f>
        <v>0</v>
      </c>
      <c r="Z146" s="35" cm="1">
        <f t="array" ref="Z146">INT(SUMPRODUCT(--ISNUMBER(SEARCH(bipartisan,C146)))&gt;0)</f>
        <v>0</v>
      </c>
      <c r="AA146" s="35">
        <f t="shared" si="2"/>
        <v>0</v>
      </c>
      <c r="AB146" s="14"/>
      <c r="AC146" s="30" t="s">
        <v>223</v>
      </c>
      <c r="AD146" s="37" t="s">
        <v>223</v>
      </c>
    </row>
    <row r="147" spans="1:30" x14ac:dyDescent="0.25">
      <c r="A147" s="36">
        <v>3687</v>
      </c>
      <c r="B147" s="14" t="s">
        <v>7128</v>
      </c>
      <c r="C147" s="14" t="s">
        <v>7129</v>
      </c>
      <c r="D147" s="17">
        <v>44123</v>
      </c>
      <c r="E147" s="14" t="s">
        <v>30</v>
      </c>
      <c r="F147" s="14">
        <v>208</v>
      </c>
      <c r="G147" s="14">
        <v>129</v>
      </c>
      <c r="H147" s="14">
        <v>17</v>
      </c>
      <c r="I147" s="14">
        <v>9</v>
      </c>
      <c r="J147" s="14" t="s">
        <v>31</v>
      </c>
      <c r="K147" s="14" cm="1">
        <f t="array" ref="K147">INT(SUMPRODUCT(--ISNUMBER(SEARCH(economy,C147)))&gt;0)</f>
        <v>0</v>
      </c>
      <c r="L147" s="14" cm="1">
        <f t="array" ref="L147">INT(SUMPRODUCT(--ISNUMBER(SEARCH(healthcare,C147)))&gt;0)</f>
        <v>0</v>
      </c>
      <c r="M147" s="14" cm="1">
        <f t="array" ref="M147">INT(SUMPRODUCT(--ISNUMBER(SEARCH(supreme,C147)))&gt;0)</f>
        <v>0</v>
      </c>
      <c r="N147" s="14" cm="1">
        <f t="array" ref="N147">INT(SUMPRODUCT(--ISNUMBER(SEARCH(covid,C147)))&gt;0)</f>
        <v>0</v>
      </c>
      <c r="O147" s="14" cm="1">
        <f t="array" ref="O147">INT(SUMPRODUCT(--ISNUMBER(SEARCH(violent,C147)))&gt;0)</f>
        <v>0</v>
      </c>
      <c r="P147" s="14" cm="1">
        <f t="array" ref="P147">INT(SUMPRODUCT(--ISNUMBER(SEARCH(foreign,C147)))&gt;0)</f>
        <v>0</v>
      </c>
      <c r="Q147" s="14" cm="1">
        <f t="array" ref="Q147">INT(SUMPRODUCT(--ISNUMBER(SEARCH(gun,C147)))&gt;0)</f>
        <v>0</v>
      </c>
      <c r="R147" s="14" cm="1">
        <f t="array" ref="R147">INT(SUMPRODUCT(--ISNUMBER(SEARCH(race,C147)))&gt;0)</f>
        <v>0</v>
      </c>
      <c r="S147" s="14" cm="1">
        <f t="array" ref="S147">INT(SUMPRODUCT(--ISNUMBER(SEARCH(immigration,C147)))&gt;0)</f>
        <v>0</v>
      </c>
      <c r="T147" s="14" cm="1">
        <f t="array" ref="T147">INT(SUMPRODUCT(--ISNUMBER(SEARCH(econineq,C148)))&gt;0)</f>
        <v>0</v>
      </c>
      <c r="U147" s="14" cm="1">
        <f t="array" ref="U147">INT(SUMPRODUCT(--ISNUMBER(SEARCH(climate,C147)))&gt;0)</f>
        <v>0</v>
      </c>
      <c r="V147" s="14" cm="1">
        <f t="array" ref="V147">INT(SUMPRODUCT(--ISNUMBER(SEARCH(abortion,C147)))&gt;0)</f>
        <v>0</v>
      </c>
      <c r="W147" s="14" cm="1">
        <f t="array" ref="W147">INT(SUMPRODUCT(--ISNUMBER(SEARCH(trump,C147)))&gt;0)</f>
        <v>0</v>
      </c>
      <c r="X147" s="14" cm="1">
        <f t="array" ref="X147">INT(SUMPRODUCT(--ISNUMBER(SEARCH(voting,C147)))&gt;0)</f>
        <v>0</v>
      </c>
      <c r="Y147" s="35" cm="1">
        <f t="array" ref="Y147">INT(SUMPRODUCT(--ISNUMBER(SEARCH(republicantrigger,C147)))&gt;0)</f>
        <v>1</v>
      </c>
      <c r="Z147" s="35" cm="1">
        <f t="array" ref="Z147">INT(SUMPRODUCT(--ISNUMBER(SEARCH(bipartisan,C147)))&gt;0)</f>
        <v>0</v>
      </c>
      <c r="AA147" s="35">
        <f t="shared" si="2"/>
        <v>0</v>
      </c>
      <c r="AB147" s="14"/>
      <c r="AC147" s="30" t="s">
        <v>223</v>
      </c>
      <c r="AD147" s="37" t="s">
        <v>223</v>
      </c>
    </row>
    <row r="148" spans="1:30" x14ac:dyDescent="0.25">
      <c r="A148" s="36">
        <v>3688</v>
      </c>
      <c r="B148" s="14" t="s">
        <v>7130</v>
      </c>
      <c r="C148" s="14" t="s">
        <v>7131</v>
      </c>
      <c r="D148" s="17">
        <v>44123</v>
      </c>
      <c r="E148" s="14" t="s">
        <v>30</v>
      </c>
      <c r="F148" s="14">
        <v>761</v>
      </c>
      <c r="G148" s="14">
        <v>178</v>
      </c>
      <c r="H148" s="14">
        <v>17</v>
      </c>
      <c r="I148" s="14">
        <v>9</v>
      </c>
      <c r="J148" s="14" t="s">
        <v>31</v>
      </c>
      <c r="K148" s="14" cm="1">
        <f t="array" ref="K148">INT(SUMPRODUCT(--ISNUMBER(SEARCH(economy,C148)))&gt;0)</f>
        <v>0</v>
      </c>
      <c r="L148" s="14" cm="1">
        <f t="array" ref="L148">INT(SUMPRODUCT(--ISNUMBER(SEARCH(healthcare,C148)))&gt;0)</f>
        <v>0</v>
      </c>
      <c r="M148" s="14" cm="1">
        <f t="array" ref="M148">INT(SUMPRODUCT(--ISNUMBER(SEARCH(supreme,C148)))&gt;0)</f>
        <v>0</v>
      </c>
      <c r="N148" s="14" cm="1">
        <f t="array" ref="N148">INT(SUMPRODUCT(--ISNUMBER(SEARCH(covid,C148)))&gt;0)</f>
        <v>0</v>
      </c>
      <c r="O148" s="14" cm="1">
        <f t="array" ref="O148">INT(SUMPRODUCT(--ISNUMBER(SEARCH(violent,C148)))&gt;0)</f>
        <v>0</v>
      </c>
      <c r="P148" s="14" cm="1">
        <f t="array" ref="P148">INT(SUMPRODUCT(--ISNUMBER(SEARCH(foreign,C148)))&gt;0)</f>
        <v>0</v>
      </c>
      <c r="Q148" s="14" cm="1">
        <f t="array" ref="Q148">INT(SUMPRODUCT(--ISNUMBER(SEARCH(gun,C148)))&gt;0)</f>
        <v>0</v>
      </c>
      <c r="R148" s="14" cm="1">
        <f t="array" ref="R148">INT(SUMPRODUCT(--ISNUMBER(SEARCH(race,C148)))&gt;0)</f>
        <v>0</v>
      </c>
      <c r="S148" s="14" cm="1">
        <f t="array" ref="S148">INT(SUMPRODUCT(--ISNUMBER(SEARCH(immigration,C148)))&gt;0)</f>
        <v>0</v>
      </c>
      <c r="T148" s="14" cm="1">
        <f t="array" ref="T148">INT(SUMPRODUCT(--ISNUMBER(SEARCH(econineq,C149)))&gt;0)</f>
        <v>0</v>
      </c>
      <c r="U148" s="14" cm="1">
        <f t="array" ref="U148">INT(SUMPRODUCT(--ISNUMBER(SEARCH(climate,C148)))&gt;0)</f>
        <v>0</v>
      </c>
      <c r="V148" s="14" cm="1">
        <f t="array" ref="V148">INT(SUMPRODUCT(--ISNUMBER(SEARCH(abortion,C148)))&gt;0)</f>
        <v>0</v>
      </c>
      <c r="W148" s="14" cm="1">
        <f t="array" ref="W148">INT(SUMPRODUCT(--ISNUMBER(SEARCH(trump,C148)))&gt;0)</f>
        <v>0</v>
      </c>
      <c r="X148" s="14" cm="1">
        <f t="array" ref="X148">INT(SUMPRODUCT(--ISNUMBER(SEARCH(voting,C148)))&gt;0)</f>
        <v>1</v>
      </c>
      <c r="Y148" s="35" cm="1">
        <f t="array" ref="Y148">INT(SUMPRODUCT(--ISNUMBER(SEARCH(republicantrigger,C148)))&gt;0)</f>
        <v>1</v>
      </c>
      <c r="Z148" s="35" cm="1">
        <f t="array" ref="Z148">INT(SUMPRODUCT(--ISNUMBER(SEARCH(bipartisan,C148)))&gt;0)</f>
        <v>0</v>
      </c>
      <c r="AA148" s="35">
        <f t="shared" si="2"/>
        <v>0</v>
      </c>
      <c r="AB148" s="14"/>
      <c r="AC148" s="30" t="s">
        <v>223</v>
      </c>
      <c r="AD148" s="37" t="s">
        <v>223</v>
      </c>
    </row>
    <row r="149" spans="1:30" x14ac:dyDescent="0.25">
      <c r="A149" s="36">
        <v>3689</v>
      </c>
      <c r="B149" s="14" t="s">
        <v>7132</v>
      </c>
      <c r="C149" s="14" t="s">
        <v>7133</v>
      </c>
      <c r="D149" s="17">
        <v>44123</v>
      </c>
      <c r="E149" s="14" t="s">
        <v>30</v>
      </c>
      <c r="F149" s="14">
        <v>157</v>
      </c>
      <c r="G149" s="14">
        <v>58</v>
      </c>
      <c r="H149" s="14">
        <v>17</v>
      </c>
      <c r="I149" s="14">
        <v>9</v>
      </c>
      <c r="J149" s="14" t="s">
        <v>31</v>
      </c>
      <c r="K149" s="14" cm="1">
        <f t="array" ref="K149">INT(SUMPRODUCT(--ISNUMBER(SEARCH(economy,C149)))&gt;0)</f>
        <v>0</v>
      </c>
      <c r="L149" s="14" cm="1">
        <f t="array" ref="L149">INT(SUMPRODUCT(--ISNUMBER(SEARCH(healthcare,C149)))&gt;0)</f>
        <v>0</v>
      </c>
      <c r="M149" s="14" cm="1">
        <f t="array" ref="M149">INT(SUMPRODUCT(--ISNUMBER(SEARCH(supreme,C149)))&gt;0)</f>
        <v>0</v>
      </c>
      <c r="N149" s="14" cm="1">
        <f t="array" ref="N149">INT(SUMPRODUCT(--ISNUMBER(SEARCH(covid,C149)))&gt;0)</f>
        <v>0</v>
      </c>
      <c r="O149" s="14" cm="1">
        <f t="array" ref="O149">INT(SUMPRODUCT(--ISNUMBER(SEARCH(violent,C149)))&gt;0)</f>
        <v>0</v>
      </c>
      <c r="P149" s="14" cm="1">
        <f t="array" ref="P149">INT(SUMPRODUCT(--ISNUMBER(SEARCH(foreign,C149)))&gt;0)</f>
        <v>0</v>
      </c>
      <c r="Q149" s="14" cm="1">
        <f t="array" ref="Q149">INT(SUMPRODUCT(--ISNUMBER(SEARCH(gun,C149)))&gt;0)</f>
        <v>0</v>
      </c>
      <c r="R149" s="14" cm="1">
        <f t="array" ref="R149">INT(SUMPRODUCT(--ISNUMBER(SEARCH(race,C149)))&gt;0)</f>
        <v>0</v>
      </c>
      <c r="S149" s="14" cm="1">
        <f t="array" ref="S149">INT(SUMPRODUCT(--ISNUMBER(SEARCH(immigration,C149)))&gt;0)</f>
        <v>0</v>
      </c>
      <c r="T149" s="14" cm="1">
        <f t="array" ref="T149">INT(SUMPRODUCT(--ISNUMBER(SEARCH(econineq,C150)))&gt;0)</f>
        <v>0</v>
      </c>
      <c r="U149" s="14" cm="1">
        <f t="array" ref="U149">INT(SUMPRODUCT(--ISNUMBER(SEARCH(climate,C149)))&gt;0)</f>
        <v>0</v>
      </c>
      <c r="V149" s="14" cm="1">
        <f t="array" ref="V149">INT(SUMPRODUCT(--ISNUMBER(SEARCH(abortion,C149)))&gt;0)</f>
        <v>0</v>
      </c>
      <c r="W149" s="14" cm="1">
        <f t="array" ref="W149">INT(SUMPRODUCT(--ISNUMBER(SEARCH(trump,C149)))&gt;0)</f>
        <v>1</v>
      </c>
      <c r="X149" s="14" cm="1">
        <f t="array" ref="X149">INT(SUMPRODUCT(--ISNUMBER(SEARCH(voting,C149)))&gt;0)</f>
        <v>1</v>
      </c>
      <c r="Y149" s="35" cm="1">
        <f t="array" ref="Y149">INT(SUMPRODUCT(--ISNUMBER(SEARCH(republicantrigger,C149)))&gt;0)</f>
        <v>1</v>
      </c>
      <c r="Z149" s="35" cm="1">
        <f t="array" ref="Z149">INT(SUMPRODUCT(--ISNUMBER(SEARCH(bipartisan,C149)))&gt;0)</f>
        <v>0</v>
      </c>
      <c r="AA149" s="35">
        <f t="shared" si="2"/>
        <v>0</v>
      </c>
      <c r="AB149" s="14"/>
      <c r="AC149" s="30" t="s">
        <v>223</v>
      </c>
      <c r="AD149" s="37" t="s">
        <v>223</v>
      </c>
    </row>
    <row r="150" spans="1:30" x14ac:dyDescent="0.25">
      <c r="A150" s="36">
        <v>3690</v>
      </c>
      <c r="B150" s="14" t="s">
        <v>7134</v>
      </c>
      <c r="C150" s="14" t="s">
        <v>7135</v>
      </c>
      <c r="D150" s="17">
        <v>44123</v>
      </c>
      <c r="E150" s="14" t="s">
        <v>30</v>
      </c>
      <c r="F150" s="14">
        <v>338</v>
      </c>
      <c r="G150" s="14">
        <v>144</v>
      </c>
      <c r="H150" s="14">
        <v>17</v>
      </c>
      <c r="I150" s="14">
        <v>9</v>
      </c>
      <c r="J150" s="14" t="s">
        <v>31</v>
      </c>
      <c r="K150" s="14" cm="1">
        <f t="array" ref="K150">INT(SUMPRODUCT(--ISNUMBER(SEARCH(economy,C150)))&gt;0)</f>
        <v>0</v>
      </c>
      <c r="L150" s="14" cm="1">
        <f t="array" ref="L150">INT(SUMPRODUCT(--ISNUMBER(SEARCH(healthcare,C150)))&gt;0)</f>
        <v>0</v>
      </c>
      <c r="M150" s="14" cm="1">
        <f t="array" ref="M150">INT(SUMPRODUCT(--ISNUMBER(SEARCH(supreme,C150)))&gt;0)</f>
        <v>0</v>
      </c>
      <c r="N150" s="14" cm="1">
        <f t="array" ref="N150">INT(SUMPRODUCT(--ISNUMBER(SEARCH(covid,C150)))&gt;0)</f>
        <v>1</v>
      </c>
      <c r="O150" s="14" cm="1">
        <f t="array" ref="O150">INT(SUMPRODUCT(--ISNUMBER(SEARCH(violent,C150)))&gt;0)</f>
        <v>0</v>
      </c>
      <c r="P150" s="14" cm="1">
        <f t="array" ref="P150">INT(SUMPRODUCT(--ISNUMBER(SEARCH(foreign,C150)))&gt;0)</f>
        <v>0</v>
      </c>
      <c r="Q150" s="14" cm="1">
        <f t="array" ref="Q150">INT(SUMPRODUCT(--ISNUMBER(SEARCH(gun,C150)))&gt;0)</f>
        <v>0</v>
      </c>
      <c r="R150" s="14" cm="1">
        <f t="array" ref="R150">INT(SUMPRODUCT(--ISNUMBER(SEARCH(race,C150)))&gt;0)</f>
        <v>0</v>
      </c>
      <c r="S150" s="14" cm="1">
        <f t="array" ref="S150">INT(SUMPRODUCT(--ISNUMBER(SEARCH(immigration,C150)))&gt;0)</f>
        <v>0</v>
      </c>
      <c r="T150" s="14" cm="1">
        <f t="array" ref="T150">INT(SUMPRODUCT(--ISNUMBER(SEARCH(econineq,C151)))&gt;0)</f>
        <v>0</v>
      </c>
      <c r="U150" s="14" cm="1">
        <f t="array" ref="U150">INT(SUMPRODUCT(--ISNUMBER(SEARCH(climate,C150)))&gt;0)</f>
        <v>0</v>
      </c>
      <c r="V150" s="14" cm="1">
        <f t="array" ref="V150">INT(SUMPRODUCT(--ISNUMBER(SEARCH(abortion,C150)))&gt;0)</f>
        <v>0</v>
      </c>
      <c r="W150" s="14" cm="1">
        <f t="array" ref="W150">INT(SUMPRODUCT(--ISNUMBER(SEARCH(trump,C150)))&gt;0)</f>
        <v>0</v>
      </c>
      <c r="X150" s="14" cm="1">
        <f t="array" ref="X150">INT(SUMPRODUCT(--ISNUMBER(SEARCH(voting,C150)))&gt;0)</f>
        <v>1</v>
      </c>
      <c r="Y150" s="35" cm="1">
        <f t="array" ref="Y150">INT(SUMPRODUCT(--ISNUMBER(SEARCH(republicantrigger,C150)))&gt;0)</f>
        <v>1</v>
      </c>
      <c r="Z150" s="35" cm="1">
        <f t="array" ref="Z150">INT(SUMPRODUCT(--ISNUMBER(SEARCH(bipartisan,C150)))&gt;0)</f>
        <v>0</v>
      </c>
      <c r="AA150" s="35">
        <f t="shared" si="2"/>
        <v>0</v>
      </c>
      <c r="AB150" s="14"/>
      <c r="AC150" s="30" t="s">
        <v>223</v>
      </c>
      <c r="AD150" s="37" t="s">
        <v>223</v>
      </c>
    </row>
    <row r="151" spans="1:30" x14ac:dyDescent="0.25">
      <c r="A151" s="36">
        <v>3691</v>
      </c>
      <c r="B151" s="14" t="s">
        <v>7136</v>
      </c>
      <c r="C151" s="14" t="s">
        <v>7137</v>
      </c>
      <c r="D151" s="17">
        <v>44122</v>
      </c>
      <c r="E151" s="14" t="s">
        <v>30</v>
      </c>
      <c r="F151" s="14">
        <v>493</v>
      </c>
      <c r="G151" s="14">
        <v>198</v>
      </c>
      <c r="H151" s="14">
        <v>17</v>
      </c>
      <c r="I151" s="14">
        <v>9</v>
      </c>
      <c r="J151" s="14" t="s">
        <v>31</v>
      </c>
      <c r="K151" s="14" cm="1">
        <f t="array" ref="K151">INT(SUMPRODUCT(--ISNUMBER(SEARCH(economy,C151)))&gt;0)</f>
        <v>0</v>
      </c>
      <c r="L151" s="14" cm="1">
        <f t="array" ref="L151">INT(SUMPRODUCT(--ISNUMBER(SEARCH(healthcare,C151)))&gt;0)</f>
        <v>0</v>
      </c>
      <c r="M151" s="14" cm="1">
        <f t="array" ref="M151">INT(SUMPRODUCT(--ISNUMBER(SEARCH(supreme,C151)))&gt;0)</f>
        <v>0</v>
      </c>
      <c r="N151" s="14" cm="1">
        <f t="array" ref="N151">INT(SUMPRODUCT(--ISNUMBER(SEARCH(covid,C151)))&gt;0)</f>
        <v>0</v>
      </c>
      <c r="O151" s="14" cm="1">
        <f t="array" ref="O151">INT(SUMPRODUCT(--ISNUMBER(SEARCH(violent,C151)))&gt;0)</f>
        <v>0</v>
      </c>
      <c r="P151" s="14" cm="1">
        <f t="array" ref="P151">INT(SUMPRODUCT(--ISNUMBER(SEARCH(foreign,C151)))&gt;0)</f>
        <v>0</v>
      </c>
      <c r="Q151" s="14" cm="1">
        <f t="array" ref="Q151">INT(SUMPRODUCT(--ISNUMBER(SEARCH(gun,C151)))&gt;0)</f>
        <v>0</v>
      </c>
      <c r="R151" s="14" cm="1">
        <f t="array" ref="R151">INT(SUMPRODUCT(--ISNUMBER(SEARCH(race,C151)))&gt;0)</f>
        <v>0</v>
      </c>
      <c r="S151" s="14" cm="1">
        <f t="array" ref="S151">INT(SUMPRODUCT(--ISNUMBER(SEARCH(immigration,C151)))&gt;0)</f>
        <v>0</v>
      </c>
      <c r="T151" s="14" cm="1">
        <f t="array" ref="T151">INT(SUMPRODUCT(--ISNUMBER(SEARCH(econineq,C152)))&gt;0)</f>
        <v>0</v>
      </c>
      <c r="U151" s="14" cm="1">
        <f t="array" ref="U151">INT(SUMPRODUCT(--ISNUMBER(SEARCH(climate,C151)))&gt;0)</f>
        <v>0</v>
      </c>
      <c r="V151" s="14" cm="1">
        <f t="array" ref="V151">INT(SUMPRODUCT(--ISNUMBER(SEARCH(abortion,C151)))&gt;0)</f>
        <v>0</v>
      </c>
      <c r="W151" s="14" cm="1">
        <f t="array" ref="W151">INT(SUMPRODUCT(--ISNUMBER(SEARCH(trump,C151)))&gt;0)</f>
        <v>0</v>
      </c>
      <c r="X151" s="14" cm="1">
        <f t="array" ref="X151">INT(SUMPRODUCT(--ISNUMBER(SEARCH(voting,C151)))&gt;0)</f>
        <v>0</v>
      </c>
      <c r="Y151" s="35" cm="1">
        <f t="array" ref="Y151">INT(SUMPRODUCT(--ISNUMBER(SEARCH(republicantrigger,C151)))&gt;0)</f>
        <v>0</v>
      </c>
      <c r="Z151" s="35" cm="1">
        <f t="array" ref="Z151">INT(SUMPRODUCT(--ISNUMBER(SEARCH(bipartisan,C151)))&gt;0)</f>
        <v>0</v>
      </c>
      <c r="AA151" s="35">
        <f t="shared" si="2"/>
        <v>1</v>
      </c>
      <c r="AB151" s="14"/>
      <c r="AC151" s="30" t="s">
        <v>223</v>
      </c>
      <c r="AD151" s="37" t="s">
        <v>223</v>
      </c>
    </row>
    <row r="152" spans="1:30" x14ac:dyDescent="0.25">
      <c r="A152" s="36">
        <v>3692</v>
      </c>
      <c r="B152" s="14" t="s">
        <v>7138</v>
      </c>
      <c r="C152" s="14" t="s">
        <v>7139</v>
      </c>
      <c r="D152" s="17">
        <v>44122</v>
      </c>
      <c r="E152" s="14" t="s">
        <v>30</v>
      </c>
      <c r="F152" s="14">
        <v>199</v>
      </c>
      <c r="G152" s="14">
        <v>63</v>
      </c>
      <c r="H152" s="14">
        <v>17</v>
      </c>
      <c r="I152" s="14">
        <v>9</v>
      </c>
      <c r="J152" s="14" t="s">
        <v>31</v>
      </c>
      <c r="K152" s="14" cm="1">
        <f t="array" ref="K152">INT(SUMPRODUCT(--ISNUMBER(SEARCH(economy,C152)))&gt;0)</f>
        <v>0</v>
      </c>
      <c r="L152" s="14" cm="1">
        <f t="array" ref="L152">INT(SUMPRODUCT(--ISNUMBER(SEARCH(healthcare,C152)))&gt;0)</f>
        <v>0</v>
      </c>
      <c r="M152" s="14" cm="1">
        <f t="array" ref="M152">INT(SUMPRODUCT(--ISNUMBER(SEARCH(supreme,C152)))&gt;0)</f>
        <v>0</v>
      </c>
      <c r="N152" s="14" cm="1">
        <f t="array" ref="N152">INT(SUMPRODUCT(--ISNUMBER(SEARCH(covid,C152)))&gt;0)</f>
        <v>0</v>
      </c>
      <c r="O152" s="14" cm="1">
        <f t="array" ref="O152">INT(SUMPRODUCT(--ISNUMBER(SEARCH(violent,C152)))&gt;0)</f>
        <v>0</v>
      </c>
      <c r="P152" s="14" cm="1">
        <f t="array" ref="P152">INT(SUMPRODUCT(--ISNUMBER(SEARCH(foreign,C152)))&gt;0)</f>
        <v>0</v>
      </c>
      <c r="Q152" s="14" cm="1">
        <f t="array" ref="Q152">INT(SUMPRODUCT(--ISNUMBER(SEARCH(gun,C152)))&gt;0)</f>
        <v>0</v>
      </c>
      <c r="R152" s="14" cm="1">
        <f t="array" ref="R152">INT(SUMPRODUCT(--ISNUMBER(SEARCH(race,C152)))&gt;0)</f>
        <v>0</v>
      </c>
      <c r="S152" s="14" cm="1">
        <f t="array" ref="S152">INT(SUMPRODUCT(--ISNUMBER(SEARCH(immigration,C152)))&gt;0)</f>
        <v>0</v>
      </c>
      <c r="T152" s="14" cm="1">
        <f t="array" ref="T152">INT(SUMPRODUCT(--ISNUMBER(SEARCH(econineq,C153)))&gt;0)</f>
        <v>0</v>
      </c>
      <c r="U152" s="14" cm="1">
        <f t="array" ref="U152">INT(SUMPRODUCT(--ISNUMBER(SEARCH(climate,C152)))&gt;0)</f>
        <v>0</v>
      </c>
      <c r="V152" s="14" cm="1">
        <f t="array" ref="V152">INT(SUMPRODUCT(--ISNUMBER(SEARCH(abortion,C152)))&gt;0)</f>
        <v>0</v>
      </c>
      <c r="W152" s="14" cm="1">
        <f t="array" ref="W152">INT(SUMPRODUCT(--ISNUMBER(SEARCH(trump,C152)))&gt;0)</f>
        <v>0</v>
      </c>
      <c r="X152" s="14" cm="1">
        <f t="array" ref="X152">INT(SUMPRODUCT(--ISNUMBER(SEARCH(voting,C152)))&gt;0)</f>
        <v>1</v>
      </c>
      <c r="Y152" s="35" cm="1">
        <f t="array" ref="Y152">INT(SUMPRODUCT(--ISNUMBER(SEARCH(republicantrigger,C152)))&gt;0)</f>
        <v>0</v>
      </c>
      <c r="Z152" s="35" cm="1">
        <f t="array" ref="Z152">INT(SUMPRODUCT(--ISNUMBER(SEARCH(bipartisan,C152)))&gt;0)</f>
        <v>0</v>
      </c>
      <c r="AA152" s="35">
        <f t="shared" si="2"/>
        <v>0</v>
      </c>
      <c r="AB152" s="14"/>
      <c r="AC152" s="30" t="s">
        <v>223</v>
      </c>
      <c r="AD152" s="37" t="s">
        <v>223</v>
      </c>
    </row>
    <row r="153" spans="1:30" x14ac:dyDescent="0.25">
      <c r="A153" s="36">
        <v>3693</v>
      </c>
      <c r="B153" s="14" t="s">
        <v>7140</v>
      </c>
      <c r="C153" s="14" t="s">
        <v>7141</v>
      </c>
      <c r="D153" s="17">
        <v>44122</v>
      </c>
      <c r="E153" s="14" t="s">
        <v>30</v>
      </c>
      <c r="F153" s="14">
        <v>152</v>
      </c>
      <c r="G153" s="14">
        <v>75</v>
      </c>
      <c r="H153" s="14">
        <v>17</v>
      </c>
      <c r="I153" s="14">
        <v>9</v>
      </c>
      <c r="J153" s="14" t="s">
        <v>31</v>
      </c>
      <c r="K153" s="14" cm="1">
        <f t="array" ref="K153">INT(SUMPRODUCT(--ISNUMBER(SEARCH(economy,C153)))&gt;0)</f>
        <v>0</v>
      </c>
      <c r="L153" s="14" cm="1">
        <f t="array" ref="L153">INT(SUMPRODUCT(--ISNUMBER(SEARCH(healthcare,C153)))&gt;0)</f>
        <v>0</v>
      </c>
      <c r="M153" s="14" cm="1">
        <f t="array" ref="M153">INT(SUMPRODUCT(--ISNUMBER(SEARCH(supreme,C153)))&gt;0)</f>
        <v>1</v>
      </c>
      <c r="N153" s="14" cm="1">
        <f t="array" ref="N153">INT(SUMPRODUCT(--ISNUMBER(SEARCH(covid,C153)))&gt;0)</f>
        <v>0</v>
      </c>
      <c r="O153" s="14" cm="1">
        <f t="array" ref="O153">INT(SUMPRODUCT(--ISNUMBER(SEARCH(violent,C153)))&gt;0)</f>
        <v>0</v>
      </c>
      <c r="P153" s="14" cm="1">
        <f t="array" ref="P153">INT(SUMPRODUCT(--ISNUMBER(SEARCH(foreign,C153)))&gt;0)</f>
        <v>0</v>
      </c>
      <c r="Q153" s="14" cm="1">
        <f t="array" ref="Q153">INT(SUMPRODUCT(--ISNUMBER(SEARCH(gun,C153)))&gt;0)</f>
        <v>0</v>
      </c>
      <c r="R153" s="14" cm="1">
        <f t="array" ref="R153">INT(SUMPRODUCT(--ISNUMBER(SEARCH(race,C153)))&gt;0)</f>
        <v>0</v>
      </c>
      <c r="S153" s="14" cm="1">
        <f t="array" ref="S153">INT(SUMPRODUCT(--ISNUMBER(SEARCH(immigration,C153)))&gt;0)</f>
        <v>0</v>
      </c>
      <c r="T153" s="14" cm="1">
        <f t="array" ref="T153">INT(SUMPRODUCT(--ISNUMBER(SEARCH(econineq,C154)))&gt;0)</f>
        <v>0</v>
      </c>
      <c r="U153" s="14" cm="1">
        <f t="array" ref="U153">INT(SUMPRODUCT(--ISNUMBER(SEARCH(climate,C153)))&gt;0)</f>
        <v>1</v>
      </c>
      <c r="V153" s="14" cm="1">
        <f t="array" ref="V153">INT(SUMPRODUCT(--ISNUMBER(SEARCH(abortion,C153)))&gt;0)</f>
        <v>0</v>
      </c>
      <c r="W153" s="14" cm="1">
        <f t="array" ref="W153">INT(SUMPRODUCT(--ISNUMBER(SEARCH(trump,C153)))&gt;0)</f>
        <v>0</v>
      </c>
      <c r="X153" s="14" cm="1">
        <f t="array" ref="X153">INT(SUMPRODUCT(--ISNUMBER(SEARCH(voting,C153)))&gt;0)</f>
        <v>0</v>
      </c>
      <c r="Y153" s="35" cm="1">
        <f t="array" ref="Y153">INT(SUMPRODUCT(--ISNUMBER(SEARCH(republicantrigger,C153)))&gt;0)</f>
        <v>0</v>
      </c>
      <c r="Z153" s="35" cm="1">
        <f t="array" ref="Z153">INT(SUMPRODUCT(--ISNUMBER(SEARCH(bipartisan,C153)))&gt;0)</f>
        <v>0</v>
      </c>
      <c r="AA153" s="35">
        <f t="shared" si="2"/>
        <v>0</v>
      </c>
      <c r="AB153" s="14"/>
      <c r="AC153" s="30" t="s">
        <v>223</v>
      </c>
      <c r="AD153" s="37" t="s">
        <v>223</v>
      </c>
    </row>
    <row r="154" spans="1:30" x14ac:dyDescent="0.25">
      <c r="A154" s="36">
        <v>3694</v>
      </c>
      <c r="B154" s="14" t="s">
        <v>7142</v>
      </c>
      <c r="C154" s="14" t="s">
        <v>7143</v>
      </c>
      <c r="D154" s="17">
        <v>44121</v>
      </c>
      <c r="E154" s="14" t="s">
        <v>30</v>
      </c>
      <c r="F154" s="14">
        <v>1726</v>
      </c>
      <c r="G154" s="14">
        <v>435</v>
      </c>
      <c r="H154" s="14">
        <v>17</v>
      </c>
      <c r="I154" s="14">
        <v>9</v>
      </c>
      <c r="J154" s="14" t="s">
        <v>31</v>
      </c>
      <c r="K154" s="14" cm="1">
        <f t="array" ref="K154">INT(SUMPRODUCT(--ISNUMBER(SEARCH(economy,C154)))&gt;0)</f>
        <v>0</v>
      </c>
      <c r="L154" s="14" cm="1">
        <f t="array" ref="L154">INT(SUMPRODUCT(--ISNUMBER(SEARCH(healthcare,C154)))&gt;0)</f>
        <v>0</v>
      </c>
      <c r="M154" s="14" cm="1">
        <f t="array" ref="M154">INT(SUMPRODUCT(--ISNUMBER(SEARCH(supreme,C154)))&gt;0)</f>
        <v>0</v>
      </c>
      <c r="N154" s="14" cm="1">
        <f t="array" ref="N154">INT(SUMPRODUCT(--ISNUMBER(SEARCH(covid,C154)))&gt;0)</f>
        <v>0</v>
      </c>
      <c r="O154" s="14" cm="1">
        <f t="array" ref="O154">INT(SUMPRODUCT(--ISNUMBER(SEARCH(violent,C154)))&gt;0)</f>
        <v>0</v>
      </c>
      <c r="P154" s="14" cm="1">
        <f t="array" ref="P154">INT(SUMPRODUCT(--ISNUMBER(SEARCH(foreign,C154)))&gt;0)</f>
        <v>0</v>
      </c>
      <c r="Q154" s="14" cm="1">
        <f t="array" ref="Q154">INT(SUMPRODUCT(--ISNUMBER(SEARCH(gun,C154)))&gt;0)</f>
        <v>0</v>
      </c>
      <c r="R154" s="14" cm="1">
        <f t="array" ref="R154">INT(SUMPRODUCT(--ISNUMBER(SEARCH(race,C154)))&gt;0)</f>
        <v>0</v>
      </c>
      <c r="S154" s="14" cm="1">
        <f t="array" ref="S154">INT(SUMPRODUCT(--ISNUMBER(SEARCH(immigration,C154)))&gt;0)</f>
        <v>1</v>
      </c>
      <c r="T154" s="14" cm="1">
        <f t="array" ref="T154">INT(SUMPRODUCT(--ISNUMBER(SEARCH(econineq,C155)))&gt;0)</f>
        <v>0</v>
      </c>
      <c r="U154" s="14" cm="1">
        <f t="array" ref="U154">INT(SUMPRODUCT(--ISNUMBER(SEARCH(climate,C154)))&gt;0)</f>
        <v>0</v>
      </c>
      <c r="V154" s="14" cm="1">
        <f t="array" ref="V154">INT(SUMPRODUCT(--ISNUMBER(SEARCH(abortion,C154)))&gt;0)</f>
        <v>0</v>
      </c>
      <c r="W154" s="14" cm="1">
        <f t="array" ref="W154">INT(SUMPRODUCT(--ISNUMBER(SEARCH(trump,C154)))&gt;0)</f>
        <v>0</v>
      </c>
      <c r="X154" s="14" cm="1">
        <f t="array" ref="X154">INT(SUMPRODUCT(--ISNUMBER(SEARCH(voting,C154)))&gt;0)</f>
        <v>1</v>
      </c>
      <c r="Y154" s="35" cm="1">
        <f t="array" ref="Y154">INT(SUMPRODUCT(--ISNUMBER(SEARCH(republicantrigger,C154)))&gt;0)</f>
        <v>0</v>
      </c>
      <c r="Z154" s="35" cm="1">
        <f t="array" ref="Z154">INT(SUMPRODUCT(--ISNUMBER(SEARCH(bipartisan,C154)))&gt;0)</f>
        <v>0</v>
      </c>
      <c r="AA154" s="35">
        <f t="shared" si="2"/>
        <v>0</v>
      </c>
      <c r="AB154" s="14"/>
      <c r="AC154" s="30" t="s">
        <v>223</v>
      </c>
      <c r="AD154" s="37" t="s">
        <v>223</v>
      </c>
    </row>
    <row r="155" spans="1:30" x14ac:dyDescent="0.25">
      <c r="A155" s="36">
        <v>3695</v>
      </c>
      <c r="B155" s="14" t="s">
        <v>7144</v>
      </c>
      <c r="C155" s="14" t="s">
        <v>7145</v>
      </c>
      <c r="D155" s="17">
        <v>44121</v>
      </c>
      <c r="E155" s="14" t="s">
        <v>30</v>
      </c>
      <c r="F155" s="14">
        <v>173</v>
      </c>
      <c r="G155" s="14">
        <v>45</v>
      </c>
      <c r="H155" s="14">
        <v>17</v>
      </c>
      <c r="I155" s="14">
        <v>9</v>
      </c>
      <c r="J155" s="14" t="s">
        <v>31</v>
      </c>
      <c r="K155" s="14" cm="1">
        <f t="array" ref="K155">INT(SUMPRODUCT(--ISNUMBER(SEARCH(economy,C155)))&gt;0)</f>
        <v>0</v>
      </c>
      <c r="L155" s="14" cm="1">
        <f t="array" ref="L155">INT(SUMPRODUCT(--ISNUMBER(SEARCH(healthcare,C155)))&gt;0)</f>
        <v>0</v>
      </c>
      <c r="M155" s="14" cm="1">
        <f t="array" ref="M155">INT(SUMPRODUCT(--ISNUMBER(SEARCH(supreme,C155)))&gt;0)</f>
        <v>0</v>
      </c>
      <c r="N155" s="14" cm="1">
        <f t="array" ref="N155">INT(SUMPRODUCT(--ISNUMBER(SEARCH(covid,C155)))&gt;0)</f>
        <v>0</v>
      </c>
      <c r="O155" s="14" cm="1">
        <f t="array" ref="O155">INT(SUMPRODUCT(--ISNUMBER(SEARCH(violent,C155)))&gt;0)</f>
        <v>1</v>
      </c>
      <c r="P155" s="14" cm="1">
        <f t="array" ref="P155">INT(SUMPRODUCT(--ISNUMBER(SEARCH(foreign,C155)))&gt;0)</f>
        <v>0</v>
      </c>
      <c r="Q155" s="14" cm="1">
        <f t="array" ref="Q155">INT(SUMPRODUCT(--ISNUMBER(SEARCH(gun,C155)))&gt;0)</f>
        <v>0</v>
      </c>
      <c r="R155" s="14" cm="1">
        <f t="array" ref="R155">INT(SUMPRODUCT(--ISNUMBER(SEARCH(race,C155)))&gt;0)</f>
        <v>0</v>
      </c>
      <c r="S155" s="14" cm="1">
        <f t="array" ref="S155">INT(SUMPRODUCT(--ISNUMBER(SEARCH(immigration,C155)))&gt;0)</f>
        <v>0</v>
      </c>
      <c r="T155" s="14" cm="1">
        <f t="array" ref="T155">INT(SUMPRODUCT(--ISNUMBER(SEARCH(econineq,C156)))&gt;0)</f>
        <v>0</v>
      </c>
      <c r="U155" s="14" cm="1">
        <f t="array" ref="U155">INT(SUMPRODUCT(--ISNUMBER(SEARCH(climate,C155)))&gt;0)</f>
        <v>0</v>
      </c>
      <c r="V155" s="14" cm="1">
        <f t="array" ref="V155">INT(SUMPRODUCT(--ISNUMBER(SEARCH(abortion,C155)))&gt;0)</f>
        <v>0</v>
      </c>
      <c r="W155" s="14" cm="1">
        <f t="array" ref="W155">INT(SUMPRODUCT(--ISNUMBER(SEARCH(trump,C155)))&gt;0)</f>
        <v>0</v>
      </c>
      <c r="X155" s="14" cm="1">
        <f t="array" ref="X155">INT(SUMPRODUCT(--ISNUMBER(SEARCH(voting,C155)))&gt;0)</f>
        <v>0</v>
      </c>
      <c r="Y155" s="35" cm="1">
        <f t="array" ref="Y155">INT(SUMPRODUCT(--ISNUMBER(SEARCH(republicantrigger,C155)))&gt;0)</f>
        <v>1</v>
      </c>
      <c r="Z155" s="35" cm="1">
        <f t="array" ref="Z155">INT(SUMPRODUCT(--ISNUMBER(SEARCH(bipartisan,C155)))&gt;0)</f>
        <v>0</v>
      </c>
      <c r="AA155" s="35">
        <f t="shared" si="2"/>
        <v>0</v>
      </c>
      <c r="AB155" s="14"/>
      <c r="AC155" s="30" t="s">
        <v>223</v>
      </c>
      <c r="AD155" s="37" t="s">
        <v>223</v>
      </c>
    </row>
    <row r="156" spans="1:30" x14ac:dyDescent="0.25">
      <c r="A156" s="36">
        <v>3696</v>
      </c>
      <c r="B156" s="14" t="s">
        <v>7146</v>
      </c>
      <c r="C156" s="14" t="s">
        <v>7147</v>
      </c>
      <c r="D156" s="17">
        <v>44121</v>
      </c>
      <c r="E156" s="14" t="s">
        <v>30</v>
      </c>
      <c r="F156" s="14">
        <v>194</v>
      </c>
      <c r="G156" s="14">
        <v>72</v>
      </c>
      <c r="H156" s="14">
        <v>17</v>
      </c>
      <c r="I156" s="14">
        <v>9</v>
      </c>
      <c r="J156" s="14" t="s">
        <v>31</v>
      </c>
      <c r="K156" s="14" cm="1">
        <f t="array" ref="K156">INT(SUMPRODUCT(--ISNUMBER(SEARCH(economy,C156)))&gt;0)</f>
        <v>0</v>
      </c>
      <c r="L156" s="14" cm="1">
        <f t="array" ref="L156">INT(SUMPRODUCT(--ISNUMBER(SEARCH(healthcare,C156)))&gt;0)</f>
        <v>0</v>
      </c>
      <c r="M156" s="14" cm="1">
        <f t="array" ref="M156">INT(SUMPRODUCT(--ISNUMBER(SEARCH(supreme,C156)))&gt;0)</f>
        <v>0</v>
      </c>
      <c r="N156" s="14" cm="1">
        <f t="array" ref="N156">INT(SUMPRODUCT(--ISNUMBER(SEARCH(covid,C156)))&gt;0)</f>
        <v>1</v>
      </c>
      <c r="O156" s="14" cm="1">
        <f t="array" ref="O156">INT(SUMPRODUCT(--ISNUMBER(SEARCH(violent,C156)))&gt;0)</f>
        <v>0</v>
      </c>
      <c r="P156" s="14" cm="1">
        <f t="array" ref="P156">INT(SUMPRODUCT(--ISNUMBER(SEARCH(foreign,C156)))&gt;0)</f>
        <v>0</v>
      </c>
      <c r="Q156" s="14" cm="1">
        <f t="array" ref="Q156">INT(SUMPRODUCT(--ISNUMBER(SEARCH(gun,C156)))&gt;0)</f>
        <v>0</v>
      </c>
      <c r="R156" s="14" cm="1">
        <f t="array" ref="R156">INT(SUMPRODUCT(--ISNUMBER(SEARCH(race,C156)))&gt;0)</f>
        <v>0</v>
      </c>
      <c r="S156" s="14" cm="1">
        <f t="array" ref="S156">INT(SUMPRODUCT(--ISNUMBER(SEARCH(immigration,C156)))&gt;0)</f>
        <v>0</v>
      </c>
      <c r="T156" s="14" cm="1">
        <f t="array" ref="T156">INT(SUMPRODUCT(--ISNUMBER(SEARCH(econineq,C157)))&gt;0)</f>
        <v>0</v>
      </c>
      <c r="U156" s="14" cm="1">
        <f t="array" ref="U156">INT(SUMPRODUCT(--ISNUMBER(SEARCH(climate,C156)))&gt;0)</f>
        <v>0</v>
      </c>
      <c r="V156" s="14" cm="1">
        <f t="array" ref="V156">INT(SUMPRODUCT(--ISNUMBER(SEARCH(abortion,C156)))&gt;0)</f>
        <v>0</v>
      </c>
      <c r="W156" s="14" cm="1">
        <f t="array" ref="W156">INT(SUMPRODUCT(--ISNUMBER(SEARCH(trump,C156)))&gt;0)</f>
        <v>0</v>
      </c>
      <c r="X156" s="14" cm="1">
        <f t="array" ref="X156">INT(SUMPRODUCT(--ISNUMBER(SEARCH(voting,C156)))&gt;0)</f>
        <v>0</v>
      </c>
      <c r="Y156" s="35" cm="1">
        <f t="array" ref="Y156">INT(SUMPRODUCT(--ISNUMBER(SEARCH(republicantrigger,C156)))&gt;0)</f>
        <v>1</v>
      </c>
      <c r="Z156" s="35" cm="1">
        <f t="array" ref="Z156">INT(SUMPRODUCT(--ISNUMBER(SEARCH(bipartisan,C156)))&gt;0)</f>
        <v>0</v>
      </c>
      <c r="AA156" s="35">
        <f t="shared" si="2"/>
        <v>0</v>
      </c>
      <c r="AB156" s="14"/>
      <c r="AC156" s="30" t="s">
        <v>223</v>
      </c>
      <c r="AD156" s="37" t="s">
        <v>223</v>
      </c>
    </row>
    <row r="157" spans="1:30" x14ac:dyDescent="0.25">
      <c r="A157" s="36">
        <v>3697</v>
      </c>
      <c r="B157" s="14" t="s">
        <v>7148</v>
      </c>
      <c r="C157" s="14" t="s">
        <v>7149</v>
      </c>
      <c r="D157" s="17">
        <v>44121</v>
      </c>
      <c r="E157" s="14" t="s">
        <v>30</v>
      </c>
      <c r="F157" s="14">
        <v>163</v>
      </c>
      <c r="G157" s="14">
        <v>72</v>
      </c>
      <c r="H157" s="14">
        <v>17</v>
      </c>
      <c r="I157" s="14">
        <v>9</v>
      </c>
      <c r="J157" s="14" t="s">
        <v>31</v>
      </c>
      <c r="K157" s="14" cm="1">
        <f t="array" ref="K157">INT(SUMPRODUCT(--ISNUMBER(SEARCH(economy,C157)))&gt;0)</f>
        <v>1</v>
      </c>
      <c r="L157" s="14" cm="1">
        <f t="array" ref="L157">INT(SUMPRODUCT(--ISNUMBER(SEARCH(healthcare,C157)))&gt;0)</f>
        <v>0</v>
      </c>
      <c r="M157" s="14" cm="1">
        <f t="array" ref="M157">INT(SUMPRODUCT(--ISNUMBER(SEARCH(supreme,C157)))&gt;0)</f>
        <v>0</v>
      </c>
      <c r="N157" s="14" cm="1">
        <f t="array" ref="N157">INT(SUMPRODUCT(--ISNUMBER(SEARCH(covid,C157)))&gt;0)</f>
        <v>0</v>
      </c>
      <c r="O157" s="14" cm="1">
        <f t="array" ref="O157">INT(SUMPRODUCT(--ISNUMBER(SEARCH(violent,C157)))&gt;0)</f>
        <v>0</v>
      </c>
      <c r="P157" s="14" cm="1">
        <f t="array" ref="P157">INT(SUMPRODUCT(--ISNUMBER(SEARCH(foreign,C157)))&gt;0)</f>
        <v>0</v>
      </c>
      <c r="Q157" s="14" cm="1">
        <f t="array" ref="Q157">INT(SUMPRODUCT(--ISNUMBER(SEARCH(gun,C157)))&gt;0)</f>
        <v>0</v>
      </c>
      <c r="R157" s="14" cm="1">
        <f t="array" ref="R157">INT(SUMPRODUCT(--ISNUMBER(SEARCH(race,C157)))&gt;0)</f>
        <v>0</v>
      </c>
      <c r="S157" s="14" cm="1">
        <f t="array" ref="S157">INT(SUMPRODUCT(--ISNUMBER(SEARCH(immigration,C157)))&gt;0)</f>
        <v>0</v>
      </c>
      <c r="T157" s="14" cm="1">
        <f t="array" ref="T157">INT(SUMPRODUCT(--ISNUMBER(SEARCH(econineq,C158)))&gt;0)</f>
        <v>0</v>
      </c>
      <c r="U157" s="14" cm="1">
        <f t="array" ref="U157">INT(SUMPRODUCT(--ISNUMBER(SEARCH(climate,C157)))&gt;0)</f>
        <v>0</v>
      </c>
      <c r="V157" s="14" cm="1">
        <f t="array" ref="V157">INT(SUMPRODUCT(--ISNUMBER(SEARCH(abortion,C157)))&gt;0)</f>
        <v>0</v>
      </c>
      <c r="W157" s="14" cm="1">
        <f t="array" ref="W157">INT(SUMPRODUCT(--ISNUMBER(SEARCH(trump,C157)))&gt;0)</f>
        <v>0</v>
      </c>
      <c r="X157" s="14" cm="1">
        <f t="array" ref="X157">INT(SUMPRODUCT(--ISNUMBER(SEARCH(voting,C157)))&gt;0)</f>
        <v>0</v>
      </c>
      <c r="Y157" s="35" cm="1">
        <f t="array" ref="Y157">INT(SUMPRODUCT(--ISNUMBER(SEARCH(republicantrigger,C157)))&gt;0)</f>
        <v>0</v>
      </c>
      <c r="Z157" s="35" cm="1">
        <f t="array" ref="Z157">INT(SUMPRODUCT(--ISNUMBER(SEARCH(bipartisan,C157)))&gt;0)</f>
        <v>0</v>
      </c>
      <c r="AA157" s="35">
        <f t="shared" si="2"/>
        <v>0</v>
      </c>
      <c r="AB157" s="14"/>
      <c r="AC157" s="30" t="s">
        <v>223</v>
      </c>
      <c r="AD157" s="37" t="s">
        <v>223</v>
      </c>
    </row>
    <row r="158" spans="1:30" x14ac:dyDescent="0.25">
      <c r="A158" s="36">
        <v>3698</v>
      </c>
      <c r="B158" s="14" t="s">
        <v>7150</v>
      </c>
      <c r="C158" s="14" t="s">
        <v>7131</v>
      </c>
      <c r="D158" s="17">
        <v>44121</v>
      </c>
      <c r="E158" s="14" t="s">
        <v>30</v>
      </c>
      <c r="F158" s="14">
        <v>9185</v>
      </c>
      <c r="G158" s="14">
        <v>1629</v>
      </c>
      <c r="H158" s="14">
        <v>17</v>
      </c>
      <c r="I158" s="14">
        <v>9</v>
      </c>
      <c r="J158" s="14" t="s">
        <v>31</v>
      </c>
      <c r="K158" s="14" cm="1">
        <f t="array" ref="K158">INT(SUMPRODUCT(--ISNUMBER(SEARCH(economy,C158)))&gt;0)</f>
        <v>0</v>
      </c>
      <c r="L158" s="14" cm="1">
        <f t="array" ref="L158">INT(SUMPRODUCT(--ISNUMBER(SEARCH(healthcare,C158)))&gt;0)</f>
        <v>0</v>
      </c>
      <c r="M158" s="14" cm="1">
        <f t="array" ref="M158">INT(SUMPRODUCT(--ISNUMBER(SEARCH(supreme,C158)))&gt;0)</f>
        <v>0</v>
      </c>
      <c r="N158" s="14" cm="1">
        <f t="array" ref="N158">INT(SUMPRODUCT(--ISNUMBER(SEARCH(covid,C158)))&gt;0)</f>
        <v>0</v>
      </c>
      <c r="O158" s="14" cm="1">
        <f t="array" ref="O158">INT(SUMPRODUCT(--ISNUMBER(SEARCH(violent,C158)))&gt;0)</f>
        <v>0</v>
      </c>
      <c r="P158" s="14" cm="1">
        <f t="array" ref="P158">INT(SUMPRODUCT(--ISNUMBER(SEARCH(foreign,C158)))&gt;0)</f>
        <v>0</v>
      </c>
      <c r="Q158" s="14" cm="1">
        <f t="array" ref="Q158">INT(SUMPRODUCT(--ISNUMBER(SEARCH(gun,C158)))&gt;0)</f>
        <v>0</v>
      </c>
      <c r="R158" s="14" cm="1">
        <f t="array" ref="R158">INT(SUMPRODUCT(--ISNUMBER(SEARCH(race,C158)))&gt;0)</f>
        <v>0</v>
      </c>
      <c r="S158" s="14" cm="1">
        <f t="array" ref="S158">INT(SUMPRODUCT(--ISNUMBER(SEARCH(immigration,C158)))&gt;0)</f>
        <v>0</v>
      </c>
      <c r="T158" s="14" cm="1">
        <f t="array" ref="T158">INT(SUMPRODUCT(--ISNUMBER(SEARCH(econineq,C159)))&gt;0)</f>
        <v>0</v>
      </c>
      <c r="U158" s="14" cm="1">
        <f t="array" ref="U158">INT(SUMPRODUCT(--ISNUMBER(SEARCH(climate,C158)))&gt;0)</f>
        <v>0</v>
      </c>
      <c r="V158" s="14" cm="1">
        <f t="array" ref="V158">INT(SUMPRODUCT(--ISNUMBER(SEARCH(abortion,C158)))&gt;0)</f>
        <v>0</v>
      </c>
      <c r="W158" s="14" cm="1">
        <f t="array" ref="W158">INT(SUMPRODUCT(--ISNUMBER(SEARCH(trump,C158)))&gt;0)</f>
        <v>0</v>
      </c>
      <c r="X158" s="14" cm="1">
        <f t="array" ref="X158">INT(SUMPRODUCT(--ISNUMBER(SEARCH(voting,C158)))&gt;0)</f>
        <v>1</v>
      </c>
      <c r="Y158" s="35" cm="1">
        <f t="array" ref="Y158">INT(SUMPRODUCT(--ISNUMBER(SEARCH(republicantrigger,C158)))&gt;0)</f>
        <v>1</v>
      </c>
      <c r="Z158" s="35" cm="1">
        <f t="array" ref="Z158">INT(SUMPRODUCT(--ISNUMBER(SEARCH(bipartisan,C158)))&gt;0)</f>
        <v>0</v>
      </c>
      <c r="AA158" s="35">
        <f t="shared" si="2"/>
        <v>0</v>
      </c>
      <c r="AB158" s="14"/>
      <c r="AC158" s="30" t="s">
        <v>223</v>
      </c>
      <c r="AD158" s="37" t="s">
        <v>223</v>
      </c>
    </row>
    <row r="159" spans="1:30" x14ac:dyDescent="0.25">
      <c r="A159" s="36">
        <v>3699</v>
      </c>
      <c r="B159" s="14" t="s">
        <v>7151</v>
      </c>
      <c r="C159" s="14" t="s">
        <v>7152</v>
      </c>
      <c r="D159" s="17">
        <v>44121</v>
      </c>
      <c r="E159" s="14" t="s">
        <v>30</v>
      </c>
      <c r="F159" s="14">
        <v>586</v>
      </c>
      <c r="G159" s="14">
        <v>209</v>
      </c>
      <c r="H159" s="14">
        <v>17</v>
      </c>
      <c r="I159" s="14">
        <v>9</v>
      </c>
      <c r="J159" s="14" t="s">
        <v>31</v>
      </c>
      <c r="K159" s="14" cm="1">
        <f t="array" ref="K159">INT(SUMPRODUCT(--ISNUMBER(SEARCH(economy,C159)))&gt;0)</f>
        <v>1</v>
      </c>
      <c r="L159" s="14" cm="1">
        <f t="array" ref="L159">INT(SUMPRODUCT(--ISNUMBER(SEARCH(healthcare,C159)))&gt;0)</f>
        <v>0</v>
      </c>
      <c r="M159" s="14" cm="1">
        <f t="array" ref="M159">INT(SUMPRODUCT(--ISNUMBER(SEARCH(supreme,C159)))&gt;0)</f>
        <v>0</v>
      </c>
      <c r="N159" s="14" cm="1">
        <f t="array" ref="N159">INT(SUMPRODUCT(--ISNUMBER(SEARCH(covid,C159)))&gt;0)</f>
        <v>0</v>
      </c>
      <c r="O159" s="14" cm="1">
        <f t="array" ref="O159">INT(SUMPRODUCT(--ISNUMBER(SEARCH(violent,C159)))&gt;0)</f>
        <v>0</v>
      </c>
      <c r="P159" s="14" cm="1">
        <f t="array" ref="P159">INT(SUMPRODUCT(--ISNUMBER(SEARCH(foreign,C159)))&gt;0)</f>
        <v>0</v>
      </c>
      <c r="Q159" s="14" cm="1">
        <f t="array" ref="Q159">INT(SUMPRODUCT(--ISNUMBER(SEARCH(gun,C159)))&gt;0)</f>
        <v>0</v>
      </c>
      <c r="R159" s="14" cm="1">
        <f t="array" ref="R159">INT(SUMPRODUCT(--ISNUMBER(SEARCH(race,C159)))&gt;0)</f>
        <v>0</v>
      </c>
      <c r="S159" s="14" cm="1">
        <f t="array" ref="S159">INT(SUMPRODUCT(--ISNUMBER(SEARCH(immigration,C159)))&gt;0)</f>
        <v>0</v>
      </c>
      <c r="T159" s="14" cm="1">
        <f t="array" ref="T159">INT(SUMPRODUCT(--ISNUMBER(SEARCH(econineq,C160)))&gt;0)</f>
        <v>0</v>
      </c>
      <c r="U159" s="14" cm="1">
        <f t="array" ref="U159">INT(SUMPRODUCT(--ISNUMBER(SEARCH(climate,C159)))&gt;0)</f>
        <v>0</v>
      </c>
      <c r="V159" s="14" cm="1">
        <f t="array" ref="V159">INT(SUMPRODUCT(--ISNUMBER(SEARCH(abortion,C159)))&gt;0)</f>
        <v>0</v>
      </c>
      <c r="W159" s="14" cm="1">
        <f t="array" ref="W159">INT(SUMPRODUCT(--ISNUMBER(SEARCH(trump,C159)))&gt;0)</f>
        <v>0</v>
      </c>
      <c r="X159" s="14" cm="1">
        <f t="array" ref="X159">INT(SUMPRODUCT(--ISNUMBER(SEARCH(voting,C159)))&gt;0)</f>
        <v>0</v>
      </c>
      <c r="Y159" s="35" cm="1">
        <f t="array" ref="Y159">INT(SUMPRODUCT(--ISNUMBER(SEARCH(republicantrigger,C159)))&gt;0)</f>
        <v>1</v>
      </c>
      <c r="Z159" s="35" cm="1">
        <f t="array" ref="Z159">INT(SUMPRODUCT(--ISNUMBER(SEARCH(bipartisan,C159)))&gt;0)</f>
        <v>0</v>
      </c>
      <c r="AA159" s="35">
        <f t="shared" si="2"/>
        <v>0</v>
      </c>
      <c r="AB159" s="14"/>
      <c r="AC159" s="30" t="s">
        <v>223</v>
      </c>
      <c r="AD159" s="37" t="s">
        <v>223</v>
      </c>
    </row>
    <row r="160" spans="1:30" x14ac:dyDescent="0.25">
      <c r="A160" s="36">
        <v>3700</v>
      </c>
      <c r="B160" s="14" t="s">
        <v>7153</v>
      </c>
      <c r="C160" s="14" t="s">
        <v>7154</v>
      </c>
      <c r="D160" s="17">
        <v>44120</v>
      </c>
      <c r="E160" s="14" t="s">
        <v>30</v>
      </c>
      <c r="F160" s="14">
        <v>212</v>
      </c>
      <c r="G160" s="14">
        <v>59</v>
      </c>
      <c r="H160" s="14">
        <v>17</v>
      </c>
      <c r="I160" s="14">
        <v>9</v>
      </c>
      <c r="J160" s="14" t="s">
        <v>31</v>
      </c>
      <c r="K160" s="14" cm="1">
        <f t="array" ref="K160">INT(SUMPRODUCT(--ISNUMBER(SEARCH(economy,C160)))&gt;0)</f>
        <v>0</v>
      </c>
      <c r="L160" s="14" cm="1">
        <f t="array" ref="L160">INT(SUMPRODUCT(--ISNUMBER(SEARCH(healthcare,C160)))&gt;0)</f>
        <v>0</v>
      </c>
      <c r="M160" s="14" cm="1">
        <f t="array" ref="M160">INT(SUMPRODUCT(--ISNUMBER(SEARCH(supreme,C160)))&gt;0)</f>
        <v>1</v>
      </c>
      <c r="N160" s="14" cm="1">
        <f t="array" ref="N160">INT(SUMPRODUCT(--ISNUMBER(SEARCH(covid,C160)))&gt;0)</f>
        <v>0</v>
      </c>
      <c r="O160" s="14" cm="1">
        <f t="array" ref="O160">INT(SUMPRODUCT(--ISNUMBER(SEARCH(violent,C160)))&gt;0)</f>
        <v>0</v>
      </c>
      <c r="P160" s="14" cm="1">
        <f t="array" ref="P160">INT(SUMPRODUCT(--ISNUMBER(SEARCH(foreign,C160)))&gt;0)</f>
        <v>0</v>
      </c>
      <c r="Q160" s="14" cm="1">
        <f t="array" ref="Q160">INT(SUMPRODUCT(--ISNUMBER(SEARCH(gun,C160)))&gt;0)</f>
        <v>0</v>
      </c>
      <c r="R160" s="14" cm="1">
        <f t="array" ref="R160">INT(SUMPRODUCT(--ISNUMBER(SEARCH(race,C160)))&gt;0)</f>
        <v>0</v>
      </c>
      <c r="S160" s="14" cm="1">
        <f t="array" ref="S160">INT(SUMPRODUCT(--ISNUMBER(SEARCH(immigration,C160)))&gt;0)</f>
        <v>0</v>
      </c>
      <c r="T160" s="14" cm="1">
        <f t="array" ref="T160">INT(SUMPRODUCT(--ISNUMBER(SEARCH(econineq,C161)))&gt;0)</f>
        <v>0</v>
      </c>
      <c r="U160" s="14" cm="1">
        <f t="array" ref="U160">INT(SUMPRODUCT(--ISNUMBER(SEARCH(climate,C160)))&gt;0)</f>
        <v>0</v>
      </c>
      <c r="V160" s="14" cm="1">
        <f t="array" ref="V160">INT(SUMPRODUCT(--ISNUMBER(SEARCH(abortion,C160)))&gt;0)</f>
        <v>0</v>
      </c>
      <c r="W160" s="14" cm="1">
        <f t="array" ref="W160">INT(SUMPRODUCT(--ISNUMBER(SEARCH(trump,C160)))&gt;0)</f>
        <v>0</v>
      </c>
      <c r="X160" s="14" cm="1">
        <f t="array" ref="X160">INT(SUMPRODUCT(--ISNUMBER(SEARCH(voting,C160)))&gt;0)</f>
        <v>0</v>
      </c>
      <c r="Y160" s="35" cm="1">
        <f t="array" ref="Y160">INT(SUMPRODUCT(--ISNUMBER(SEARCH(republicantrigger,C160)))&gt;0)</f>
        <v>0</v>
      </c>
      <c r="Z160" s="35" cm="1">
        <f t="array" ref="Z160">INT(SUMPRODUCT(--ISNUMBER(SEARCH(bipartisan,C160)))&gt;0)</f>
        <v>0</v>
      </c>
      <c r="AA160" s="35">
        <f t="shared" si="2"/>
        <v>0</v>
      </c>
      <c r="AB160" s="14"/>
      <c r="AC160" s="30">
        <v>1</v>
      </c>
      <c r="AD160" s="37">
        <v>0</v>
      </c>
    </row>
    <row r="161" spans="1:30" x14ac:dyDescent="0.25">
      <c r="A161" s="36">
        <v>3701</v>
      </c>
      <c r="B161" s="14" t="s">
        <v>7155</v>
      </c>
      <c r="C161" s="14" t="s">
        <v>7156</v>
      </c>
      <c r="D161" s="17">
        <v>44120</v>
      </c>
      <c r="E161" s="14" t="s">
        <v>30</v>
      </c>
      <c r="F161" s="14">
        <v>299</v>
      </c>
      <c r="G161" s="14">
        <v>61</v>
      </c>
      <c r="H161" s="14">
        <v>17</v>
      </c>
      <c r="I161" s="14">
        <v>9</v>
      </c>
      <c r="J161" s="14" t="s">
        <v>31</v>
      </c>
      <c r="K161" s="14" cm="1">
        <f t="array" ref="K161">INT(SUMPRODUCT(--ISNUMBER(SEARCH(economy,C161)))&gt;0)</f>
        <v>0</v>
      </c>
      <c r="L161" s="14" cm="1">
        <f t="array" ref="L161">INT(SUMPRODUCT(--ISNUMBER(SEARCH(healthcare,C161)))&gt;0)</f>
        <v>0</v>
      </c>
      <c r="M161" s="14" cm="1">
        <f t="array" ref="M161">INT(SUMPRODUCT(--ISNUMBER(SEARCH(supreme,C161)))&gt;0)</f>
        <v>1</v>
      </c>
      <c r="N161" s="14" cm="1">
        <f t="array" ref="N161">INT(SUMPRODUCT(--ISNUMBER(SEARCH(covid,C161)))&gt;0)</f>
        <v>0</v>
      </c>
      <c r="O161" s="14" cm="1">
        <f t="array" ref="O161">INT(SUMPRODUCT(--ISNUMBER(SEARCH(violent,C161)))&gt;0)</f>
        <v>0</v>
      </c>
      <c r="P161" s="14" cm="1">
        <f t="array" ref="P161">INT(SUMPRODUCT(--ISNUMBER(SEARCH(foreign,C161)))&gt;0)</f>
        <v>0</v>
      </c>
      <c r="Q161" s="14" cm="1">
        <f t="array" ref="Q161">INT(SUMPRODUCT(--ISNUMBER(SEARCH(gun,C161)))&gt;0)</f>
        <v>0</v>
      </c>
      <c r="R161" s="14" cm="1">
        <f t="array" ref="R161">INT(SUMPRODUCT(--ISNUMBER(SEARCH(race,C161)))&gt;0)</f>
        <v>0</v>
      </c>
      <c r="S161" s="14" cm="1">
        <f t="array" ref="S161">INT(SUMPRODUCT(--ISNUMBER(SEARCH(immigration,C161)))&gt;0)</f>
        <v>0</v>
      </c>
      <c r="T161" s="14" cm="1">
        <f t="array" ref="T161">INT(SUMPRODUCT(--ISNUMBER(SEARCH(econineq,C162)))&gt;0)</f>
        <v>0</v>
      </c>
      <c r="U161" s="14" cm="1">
        <f t="array" ref="U161">INT(SUMPRODUCT(--ISNUMBER(SEARCH(climate,C161)))&gt;0)</f>
        <v>0</v>
      </c>
      <c r="V161" s="14" cm="1">
        <f t="array" ref="V161">INT(SUMPRODUCT(--ISNUMBER(SEARCH(abortion,C161)))&gt;0)</f>
        <v>0</v>
      </c>
      <c r="W161" s="14" cm="1">
        <f t="array" ref="W161">INT(SUMPRODUCT(--ISNUMBER(SEARCH(trump,C161)))&gt;0)</f>
        <v>0</v>
      </c>
      <c r="X161" s="14" cm="1">
        <f t="array" ref="X161">INT(SUMPRODUCT(--ISNUMBER(SEARCH(voting,C161)))&gt;0)</f>
        <v>0</v>
      </c>
      <c r="Y161" s="35" cm="1">
        <f t="array" ref="Y161">INT(SUMPRODUCT(--ISNUMBER(SEARCH(republicantrigger,C161)))&gt;0)</f>
        <v>0</v>
      </c>
      <c r="Z161" s="35" cm="1">
        <f t="array" ref="Z161">INT(SUMPRODUCT(--ISNUMBER(SEARCH(bipartisan,C161)))&gt;0)</f>
        <v>0</v>
      </c>
      <c r="AA161" s="35">
        <f t="shared" si="2"/>
        <v>0</v>
      </c>
      <c r="AB161" s="14"/>
      <c r="AC161" s="30" t="s">
        <v>223</v>
      </c>
      <c r="AD161" s="37" t="s">
        <v>223</v>
      </c>
    </row>
    <row r="162" spans="1:30" x14ac:dyDescent="0.25">
      <c r="A162" s="36">
        <v>3702</v>
      </c>
      <c r="B162" s="14" t="s">
        <v>7157</v>
      </c>
      <c r="C162" s="14" t="s">
        <v>7158</v>
      </c>
      <c r="D162" s="17">
        <v>44120</v>
      </c>
      <c r="E162" s="14" t="s">
        <v>70</v>
      </c>
      <c r="F162" s="14">
        <v>67</v>
      </c>
      <c r="G162" s="14">
        <v>19</v>
      </c>
      <c r="H162" s="14">
        <v>17</v>
      </c>
      <c r="I162" s="14">
        <v>9</v>
      </c>
      <c r="J162" s="14" t="s">
        <v>31</v>
      </c>
      <c r="K162" s="14" cm="1">
        <f t="array" ref="K162">INT(SUMPRODUCT(--ISNUMBER(SEARCH(economy,C162)))&gt;0)</f>
        <v>0</v>
      </c>
      <c r="L162" s="14" cm="1">
        <f t="array" ref="L162">INT(SUMPRODUCT(--ISNUMBER(SEARCH(healthcare,C162)))&gt;0)</f>
        <v>0</v>
      </c>
      <c r="M162" s="14" cm="1">
        <f t="array" ref="M162">INT(SUMPRODUCT(--ISNUMBER(SEARCH(supreme,C162)))&gt;0)</f>
        <v>0</v>
      </c>
      <c r="N162" s="14" cm="1">
        <f t="array" ref="N162">INT(SUMPRODUCT(--ISNUMBER(SEARCH(covid,C162)))&gt;0)</f>
        <v>1</v>
      </c>
      <c r="O162" s="14" cm="1">
        <f t="array" ref="O162">INT(SUMPRODUCT(--ISNUMBER(SEARCH(violent,C162)))&gt;0)</f>
        <v>0</v>
      </c>
      <c r="P162" s="14" cm="1">
        <f t="array" ref="P162">INT(SUMPRODUCT(--ISNUMBER(SEARCH(foreign,C162)))&gt;0)</f>
        <v>0</v>
      </c>
      <c r="Q162" s="14" cm="1">
        <f t="array" ref="Q162">INT(SUMPRODUCT(--ISNUMBER(SEARCH(gun,C162)))&gt;0)</f>
        <v>0</v>
      </c>
      <c r="R162" s="14" cm="1">
        <f t="array" ref="R162">INT(SUMPRODUCT(--ISNUMBER(SEARCH(race,C162)))&gt;0)</f>
        <v>0</v>
      </c>
      <c r="S162" s="14" cm="1">
        <f t="array" ref="S162">INT(SUMPRODUCT(--ISNUMBER(SEARCH(immigration,C162)))&gt;0)</f>
        <v>0</v>
      </c>
      <c r="T162" s="14" cm="1">
        <f t="array" ref="T162">INT(SUMPRODUCT(--ISNUMBER(SEARCH(econineq,C163)))&gt;0)</f>
        <v>0</v>
      </c>
      <c r="U162" s="14" cm="1">
        <f t="array" ref="U162">INT(SUMPRODUCT(--ISNUMBER(SEARCH(climate,C162)))&gt;0)</f>
        <v>0</v>
      </c>
      <c r="V162" s="14" cm="1">
        <f t="array" ref="V162">INT(SUMPRODUCT(--ISNUMBER(SEARCH(abortion,C162)))&gt;0)</f>
        <v>0</v>
      </c>
      <c r="W162" s="14" cm="1">
        <f t="array" ref="W162">INT(SUMPRODUCT(--ISNUMBER(SEARCH(trump,C162)))&gt;0)</f>
        <v>0</v>
      </c>
      <c r="X162" s="14" cm="1">
        <f t="array" ref="X162">INT(SUMPRODUCT(--ISNUMBER(SEARCH(voting,C162)))&gt;0)</f>
        <v>0</v>
      </c>
      <c r="Y162" s="35" cm="1">
        <f t="array" ref="Y162">INT(SUMPRODUCT(--ISNUMBER(SEARCH(republicantrigger,C162)))&gt;0)</f>
        <v>0</v>
      </c>
      <c r="Z162" s="35" cm="1">
        <f t="array" ref="Z162">INT(SUMPRODUCT(--ISNUMBER(SEARCH(bipartisan,C162)))&gt;0)</f>
        <v>0</v>
      </c>
      <c r="AA162" s="35">
        <f t="shared" si="2"/>
        <v>0</v>
      </c>
      <c r="AB162" s="14"/>
      <c r="AC162" s="30" t="s">
        <v>223</v>
      </c>
      <c r="AD162" s="37" t="s">
        <v>223</v>
      </c>
    </row>
    <row r="163" spans="1:30" x14ac:dyDescent="0.25">
      <c r="A163" s="36">
        <v>3703</v>
      </c>
      <c r="B163" s="14" t="s">
        <v>7159</v>
      </c>
      <c r="C163" s="14" t="s">
        <v>7160</v>
      </c>
      <c r="D163" s="17">
        <v>44120</v>
      </c>
      <c r="E163" s="14" t="s">
        <v>30</v>
      </c>
      <c r="F163" s="14">
        <v>125</v>
      </c>
      <c r="G163" s="14">
        <v>40</v>
      </c>
      <c r="H163" s="14">
        <v>17</v>
      </c>
      <c r="I163" s="14">
        <v>9</v>
      </c>
      <c r="J163" s="14" t="s">
        <v>31</v>
      </c>
      <c r="K163" s="14" cm="1">
        <f t="array" ref="K163">INT(SUMPRODUCT(--ISNUMBER(SEARCH(economy,C163)))&gt;0)</f>
        <v>0</v>
      </c>
      <c r="L163" s="14" cm="1">
        <f t="array" ref="L163">INT(SUMPRODUCT(--ISNUMBER(SEARCH(healthcare,C163)))&gt;0)</f>
        <v>0</v>
      </c>
      <c r="M163" s="14" cm="1">
        <f t="array" ref="M163">INT(SUMPRODUCT(--ISNUMBER(SEARCH(supreme,C163)))&gt;0)</f>
        <v>1</v>
      </c>
      <c r="N163" s="14" cm="1">
        <f t="array" ref="N163">INT(SUMPRODUCT(--ISNUMBER(SEARCH(covid,C163)))&gt;0)</f>
        <v>0</v>
      </c>
      <c r="O163" s="14" cm="1">
        <f t="array" ref="O163">INT(SUMPRODUCT(--ISNUMBER(SEARCH(violent,C163)))&gt;0)</f>
        <v>0</v>
      </c>
      <c r="P163" s="14" cm="1">
        <f t="array" ref="P163">INT(SUMPRODUCT(--ISNUMBER(SEARCH(foreign,C163)))&gt;0)</f>
        <v>0</v>
      </c>
      <c r="Q163" s="14" cm="1">
        <f t="array" ref="Q163">INT(SUMPRODUCT(--ISNUMBER(SEARCH(gun,C163)))&gt;0)</f>
        <v>0</v>
      </c>
      <c r="R163" s="14" cm="1">
        <f t="array" ref="R163">INT(SUMPRODUCT(--ISNUMBER(SEARCH(race,C163)))&gt;0)</f>
        <v>0</v>
      </c>
      <c r="S163" s="14" cm="1">
        <f t="array" ref="S163">INT(SUMPRODUCT(--ISNUMBER(SEARCH(immigration,C163)))&gt;0)</f>
        <v>0</v>
      </c>
      <c r="T163" s="14" cm="1">
        <f t="array" ref="T163">INT(SUMPRODUCT(--ISNUMBER(SEARCH(econineq,C164)))&gt;0)</f>
        <v>0</v>
      </c>
      <c r="U163" s="14" cm="1">
        <f t="array" ref="U163">INT(SUMPRODUCT(--ISNUMBER(SEARCH(climate,C163)))&gt;0)</f>
        <v>0</v>
      </c>
      <c r="V163" s="14" cm="1">
        <f t="array" ref="V163">INT(SUMPRODUCT(--ISNUMBER(SEARCH(abortion,C163)))&gt;0)</f>
        <v>0</v>
      </c>
      <c r="W163" s="14" cm="1">
        <f t="array" ref="W163">INT(SUMPRODUCT(--ISNUMBER(SEARCH(trump,C163)))&gt;0)</f>
        <v>0</v>
      </c>
      <c r="X163" s="14" cm="1">
        <f t="array" ref="X163">INT(SUMPRODUCT(--ISNUMBER(SEARCH(voting,C163)))&gt;0)</f>
        <v>0</v>
      </c>
      <c r="Y163" s="35" cm="1">
        <f t="array" ref="Y163">INT(SUMPRODUCT(--ISNUMBER(SEARCH(republicantrigger,C163)))&gt;0)</f>
        <v>0</v>
      </c>
      <c r="Z163" s="35" cm="1">
        <f t="array" ref="Z163">INT(SUMPRODUCT(--ISNUMBER(SEARCH(bipartisan,C163)))&gt;0)</f>
        <v>0</v>
      </c>
      <c r="AA163" s="35">
        <f t="shared" si="2"/>
        <v>0</v>
      </c>
      <c r="AB163" s="14"/>
      <c r="AC163" s="30" t="s">
        <v>223</v>
      </c>
      <c r="AD163" s="37" t="s">
        <v>223</v>
      </c>
    </row>
    <row r="164" spans="1:30" x14ac:dyDescent="0.25">
      <c r="A164" s="36">
        <v>3704</v>
      </c>
      <c r="B164" s="14" t="s">
        <v>7161</v>
      </c>
      <c r="C164" s="14" t="s">
        <v>7162</v>
      </c>
      <c r="D164" s="17">
        <v>44119</v>
      </c>
      <c r="E164" s="14" t="s">
        <v>30</v>
      </c>
      <c r="F164" s="14">
        <v>180</v>
      </c>
      <c r="G164" s="14">
        <v>50</v>
      </c>
      <c r="H164" s="14">
        <v>17</v>
      </c>
      <c r="I164" s="14">
        <v>9</v>
      </c>
      <c r="J164" s="14" t="s">
        <v>31</v>
      </c>
      <c r="K164" s="14" cm="1">
        <f t="array" ref="K164">INT(SUMPRODUCT(--ISNUMBER(SEARCH(economy,C164)))&gt;0)</f>
        <v>0</v>
      </c>
      <c r="L164" s="14" cm="1">
        <f t="array" ref="L164">INT(SUMPRODUCT(--ISNUMBER(SEARCH(healthcare,C164)))&gt;0)</f>
        <v>0</v>
      </c>
      <c r="M164" s="14" cm="1">
        <f t="array" ref="M164">INT(SUMPRODUCT(--ISNUMBER(SEARCH(supreme,C164)))&gt;0)</f>
        <v>0</v>
      </c>
      <c r="N164" s="14" cm="1">
        <f t="array" ref="N164">INT(SUMPRODUCT(--ISNUMBER(SEARCH(covid,C164)))&gt;0)</f>
        <v>0</v>
      </c>
      <c r="O164" s="14" cm="1">
        <f t="array" ref="O164">INT(SUMPRODUCT(--ISNUMBER(SEARCH(violent,C164)))&gt;0)</f>
        <v>0</v>
      </c>
      <c r="P164" s="14" cm="1">
        <f t="array" ref="P164">INT(SUMPRODUCT(--ISNUMBER(SEARCH(foreign,C164)))&gt;0)</f>
        <v>0</v>
      </c>
      <c r="Q164" s="14" cm="1">
        <f t="array" ref="Q164">INT(SUMPRODUCT(--ISNUMBER(SEARCH(gun,C164)))&gt;0)</f>
        <v>0</v>
      </c>
      <c r="R164" s="14" cm="1">
        <f t="array" ref="R164">INT(SUMPRODUCT(--ISNUMBER(SEARCH(race,C164)))&gt;0)</f>
        <v>0</v>
      </c>
      <c r="S164" s="14" cm="1">
        <f t="array" ref="S164">INT(SUMPRODUCT(--ISNUMBER(SEARCH(immigration,C164)))&gt;0)</f>
        <v>0</v>
      </c>
      <c r="T164" s="14" cm="1">
        <f t="array" ref="T164">INT(SUMPRODUCT(--ISNUMBER(SEARCH(econineq,C165)))&gt;0)</f>
        <v>0</v>
      </c>
      <c r="U164" s="14" cm="1">
        <f t="array" ref="U164">INT(SUMPRODUCT(--ISNUMBER(SEARCH(climate,C164)))&gt;0)</f>
        <v>0</v>
      </c>
      <c r="V164" s="14" cm="1">
        <f t="array" ref="V164">INT(SUMPRODUCT(--ISNUMBER(SEARCH(abortion,C164)))&gt;0)</f>
        <v>0</v>
      </c>
      <c r="W164" s="14" cm="1">
        <f t="array" ref="W164">INT(SUMPRODUCT(--ISNUMBER(SEARCH(trump,C164)))&gt;0)</f>
        <v>0</v>
      </c>
      <c r="X164" s="14" cm="1">
        <f t="array" ref="X164">INT(SUMPRODUCT(--ISNUMBER(SEARCH(voting,C164)))&gt;0)</f>
        <v>0</v>
      </c>
      <c r="Y164" s="35" cm="1">
        <f t="array" ref="Y164">INT(SUMPRODUCT(--ISNUMBER(SEARCH(republicantrigger,C164)))&gt;0)</f>
        <v>0</v>
      </c>
      <c r="Z164" s="35" cm="1">
        <f t="array" ref="Z164">INT(SUMPRODUCT(--ISNUMBER(SEARCH(bipartisan,C164)))&gt;0)</f>
        <v>0</v>
      </c>
      <c r="AA164" s="35">
        <f t="shared" si="2"/>
        <v>1</v>
      </c>
      <c r="AB164" s="14"/>
      <c r="AC164" s="30" t="s">
        <v>223</v>
      </c>
      <c r="AD164" s="37" t="s">
        <v>223</v>
      </c>
    </row>
    <row r="165" spans="1:30" x14ac:dyDescent="0.25">
      <c r="A165" s="36">
        <v>3705</v>
      </c>
      <c r="B165" s="14" t="s">
        <v>7163</v>
      </c>
      <c r="C165" s="14" t="s">
        <v>7164</v>
      </c>
      <c r="D165" s="17">
        <v>44119</v>
      </c>
      <c r="E165" s="14" t="s">
        <v>30</v>
      </c>
      <c r="F165" s="14">
        <v>617</v>
      </c>
      <c r="G165" s="14">
        <v>297</v>
      </c>
      <c r="H165" s="14">
        <v>17</v>
      </c>
      <c r="I165" s="14">
        <v>9</v>
      </c>
      <c r="J165" s="14" t="s">
        <v>31</v>
      </c>
      <c r="K165" s="14" cm="1">
        <f t="array" ref="K165">INT(SUMPRODUCT(--ISNUMBER(SEARCH(economy,C165)))&gt;0)</f>
        <v>0</v>
      </c>
      <c r="L165" s="14" cm="1">
        <f t="array" ref="L165">INT(SUMPRODUCT(--ISNUMBER(SEARCH(healthcare,C165)))&gt;0)</f>
        <v>0</v>
      </c>
      <c r="M165" s="14" cm="1">
        <f t="array" ref="M165">INT(SUMPRODUCT(--ISNUMBER(SEARCH(supreme,C165)))&gt;0)</f>
        <v>0</v>
      </c>
      <c r="N165" s="14" cm="1">
        <f t="array" ref="N165">INT(SUMPRODUCT(--ISNUMBER(SEARCH(covid,C165)))&gt;0)</f>
        <v>0</v>
      </c>
      <c r="O165" s="14" cm="1">
        <f t="array" ref="O165">INT(SUMPRODUCT(--ISNUMBER(SEARCH(violent,C165)))&gt;0)</f>
        <v>0</v>
      </c>
      <c r="P165" s="14" cm="1">
        <f t="array" ref="P165">INT(SUMPRODUCT(--ISNUMBER(SEARCH(foreign,C165)))&gt;0)</f>
        <v>0</v>
      </c>
      <c r="Q165" s="14" cm="1">
        <f t="array" ref="Q165">INT(SUMPRODUCT(--ISNUMBER(SEARCH(gun,C165)))&gt;0)</f>
        <v>0</v>
      </c>
      <c r="R165" s="14" cm="1">
        <f t="array" ref="R165">INT(SUMPRODUCT(--ISNUMBER(SEARCH(race,C165)))&gt;0)</f>
        <v>0</v>
      </c>
      <c r="S165" s="14" cm="1">
        <f t="array" ref="S165">INT(SUMPRODUCT(--ISNUMBER(SEARCH(immigration,C165)))&gt;0)</f>
        <v>0</v>
      </c>
      <c r="T165" s="14" cm="1">
        <f t="array" ref="T165">INT(SUMPRODUCT(--ISNUMBER(SEARCH(econineq,C166)))&gt;0)</f>
        <v>0</v>
      </c>
      <c r="U165" s="14" cm="1">
        <f t="array" ref="U165">INT(SUMPRODUCT(--ISNUMBER(SEARCH(climate,C165)))&gt;0)</f>
        <v>0</v>
      </c>
      <c r="V165" s="14" cm="1">
        <f t="array" ref="V165">INT(SUMPRODUCT(--ISNUMBER(SEARCH(abortion,C165)))&gt;0)</f>
        <v>0</v>
      </c>
      <c r="W165" s="14" cm="1">
        <f t="array" ref="W165">INT(SUMPRODUCT(--ISNUMBER(SEARCH(trump,C165)))&gt;0)</f>
        <v>0</v>
      </c>
      <c r="X165" s="14" cm="1">
        <f t="array" ref="X165">INT(SUMPRODUCT(--ISNUMBER(SEARCH(voting,C165)))&gt;0)</f>
        <v>0</v>
      </c>
      <c r="Y165" s="35" cm="1">
        <f t="array" ref="Y165">INT(SUMPRODUCT(--ISNUMBER(SEARCH(republicantrigger,C165)))&gt;0)</f>
        <v>0</v>
      </c>
      <c r="Z165" s="35" cm="1">
        <f t="array" ref="Z165">INT(SUMPRODUCT(--ISNUMBER(SEARCH(bipartisan,C165)))&gt;0)</f>
        <v>0</v>
      </c>
      <c r="AA165" s="35">
        <f t="shared" si="2"/>
        <v>1</v>
      </c>
      <c r="AB165" s="14"/>
      <c r="AC165" s="30" t="s">
        <v>223</v>
      </c>
      <c r="AD165" s="37" t="s">
        <v>223</v>
      </c>
    </row>
    <row r="166" spans="1:30" x14ac:dyDescent="0.25">
      <c r="A166" s="36">
        <v>3706</v>
      </c>
      <c r="B166" s="14" t="s">
        <v>7165</v>
      </c>
      <c r="C166" s="14" t="s">
        <v>7166</v>
      </c>
      <c r="D166" s="17">
        <v>44119</v>
      </c>
      <c r="E166" s="14" t="s">
        <v>30</v>
      </c>
      <c r="F166" s="14">
        <v>23387</v>
      </c>
      <c r="G166" s="14">
        <v>7479</v>
      </c>
      <c r="H166" s="14">
        <v>17</v>
      </c>
      <c r="I166" s="14">
        <v>9</v>
      </c>
      <c r="J166" s="14" t="s">
        <v>31</v>
      </c>
      <c r="K166" s="14" cm="1">
        <f t="array" ref="K166">INT(SUMPRODUCT(--ISNUMBER(SEARCH(economy,C166)))&gt;0)</f>
        <v>0</v>
      </c>
      <c r="L166" s="14" cm="1">
        <f t="array" ref="L166">INT(SUMPRODUCT(--ISNUMBER(SEARCH(healthcare,C166)))&gt;0)</f>
        <v>0</v>
      </c>
      <c r="M166" s="14" cm="1">
        <f t="array" ref="M166">INT(SUMPRODUCT(--ISNUMBER(SEARCH(supreme,C166)))&gt;0)</f>
        <v>0</v>
      </c>
      <c r="N166" s="14" cm="1">
        <f t="array" ref="N166">INT(SUMPRODUCT(--ISNUMBER(SEARCH(covid,C166)))&gt;0)</f>
        <v>0</v>
      </c>
      <c r="O166" s="14" cm="1">
        <f t="array" ref="O166">INT(SUMPRODUCT(--ISNUMBER(SEARCH(violent,C166)))&gt;0)</f>
        <v>0</v>
      </c>
      <c r="P166" s="14" cm="1">
        <f t="array" ref="P166">INT(SUMPRODUCT(--ISNUMBER(SEARCH(foreign,C166)))&gt;0)</f>
        <v>0</v>
      </c>
      <c r="Q166" s="14" cm="1">
        <f t="array" ref="Q166">INT(SUMPRODUCT(--ISNUMBER(SEARCH(gun,C166)))&gt;0)</f>
        <v>0</v>
      </c>
      <c r="R166" s="14" cm="1">
        <f t="array" ref="R166">INT(SUMPRODUCT(--ISNUMBER(SEARCH(race,C166)))&gt;0)</f>
        <v>0</v>
      </c>
      <c r="S166" s="14" cm="1">
        <f t="array" ref="S166">INT(SUMPRODUCT(--ISNUMBER(SEARCH(immigration,C166)))&gt;0)</f>
        <v>0</v>
      </c>
      <c r="T166" s="14" cm="1">
        <f t="array" ref="T166">INT(SUMPRODUCT(--ISNUMBER(SEARCH(econineq,C167)))&gt;0)</f>
        <v>0</v>
      </c>
      <c r="U166" s="14" cm="1">
        <f t="array" ref="U166">INT(SUMPRODUCT(--ISNUMBER(SEARCH(climate,C166)))&gt;0)</f>
        <v>0</v>
      </c>
      <c r="V166" s="14" cm="1">
        <f t="array" ref="V166">INT(SUMPRODUCT(--ISNUMBER(SEARCH(abortion,C166)))&gt;0)</f>
        <v>0</v>
      </c>
      <c r="W166" s="14" cm="1">
        <f t="array" ref="W166">INT(SUMPRODUCT(--ISNUMBER(SEARCH(trump,C166)))&gt;0)</f>
        <v>0</v>
      </c>
      <c r="X166" s="14" cm="1">
        <f t="array" ref="X166">INT(SUMPRODUCT(--ISNUMBER(SEARCH(voting,C166)))&gt;0)</f>
        <v>1</v>
      </c>
      <c r="Y166" s="35" cm="1">
        <f t="array" ref="Y166">INT(SUMPRODUCT(--ISNUMBER(SEARCH(republicantrigger,C166)))&gt;0)</f>
        <v>0</v>
      </c>
      <c r="Z166" s="35" cm="1">
        <f t="array" ref="Z166">INT(SUMPRODUCT(--ISNUMBER(SEARCH(bipartisan,C166)))&gt;0)</f>
        <v>0</v>
      </c>
      <c r="AA166" s="35">
        <f t="shared" si="2"/>
        <v>0</v>
      </c>
      <c r="AB166" s="14"/>
      <c r="AC166" s="30" t="s">
        <v>223</v>
      </c>
      <c r="AD166" s="37" t="s">
        <v>223</v>
      </c>
    </row>
    <row r="167" spans="1:30" x14ac:dyDescent="0.25">
      <c r="A167" s="36">
        <v>3707</v>
      </c>
      <c r="B167" s="14" t="s">
        <v>7167</v>
      </c>
      <c r="C167" s="14" t="s">
        <v>7168</v>
      </c>
      <c r="D167" s="17">
        <v>44119</v>
      </c>
      <c r="E167" s="14" t="s">
        <v>30</v>
      </c>
      <c r="F167" s="14">
        <v>2424</v>
      </c>
      <c r="G167" s="14">
        <v>442</v>
      </c>
      <c r="H167" s="14">
        <v>17</v>
      </c>
      <c r="I167" s="14">
        <v>9</v>
      </c>
      <c r="J167" s="14" t="s">
        <v>31</v>
      </c>
      <c r="K167" s="14" cm="1">
        <f t="array" ref="K167">INT(SUMPRODUCT(--ISNUMBER(SEARCH(economy,C167)))&gt;0)</f>
        <v>0</v>
      </c>
      <c r="L167" s="14" cm="1">
        <f t="array" ref="L167">INT(SUMPRODUCT(--ISNUMBER(SEARCH(healthcare,C167)))&gt;0)</f>
        <v>0</v>
      </c>
      <c r="M167" s="14" cm="1">
        <f t="array" ref="M167">INT(SUMPRODUCT(--ISNUMBER(SEARCH(supreme,C167)))&gt;0)</f>
        <v>0</v>
      </c>
      <c r="N167" s="14" cm="1">
        <f t="array" ref="N167">INT(SUMPRODUCT(--ISNUMBER(SEARCH(covid,C167)))&gt;0)</f>
        <v>0</v>
      </c>
      <c r="O167" s="14" cm="1">
        <f t="array" ref="O167">INT(SUMPRODUCT(--ISNUMBER(SEARCH(violent,C167)))&gt;0)</f>
        <v>0</v>
      </c>
      <c r="P167" s="14" cm="1">
        <f t="array" ref="P167">INT(SUMPRODUCT(--ISNUMBER(SEARCH(foreign,C167)))&gt;0)</f>
        <v>0</v>
      </c>
      <c r="Q167" s="14" cm="1">
        <f t="array" ref="Q167">INT(SUMPRODUCT(--ISNUMBER(SEARCH(gun,C167)))&gt;0)</f>
        <v>0</v>
      </c>
      <c r="R167" s="14" cm="1">
        <f t="array" ref="R167">INT(SUMPRODUCT(--ISNUMBER(SEARCH(race,C167)))&gt;0)</f>
        <v>0</v>
      </c>
      <c r="S167" s="14" cm="1">
        <f t="array" ref="S167">INT(SUMPRODUCT(--ISNUMBER(SEARCH(immigration,C167)))&gt;0)</f>
        <v>0</v>
      </c>
      <c r="T167" s="14" cm="1">
        <f t="array" ref="T167">INT(SUMPRODUCT(--ISNUMBER(SEARCH(econineq,C168)))&gt;0)</f>
        <v>0</v>
      </c>
      <c r="U167" s="14" cm="1">
        <f t="array" ref="U167">INT(SUMPRODUCT(--ISNUMBER(SEARCH(climate,C167)))&gt;0)</f>
        <v>0</v>
      </c>
      <c r="V167" s="14" cm="1">
        <f t="array" ref="V167">INT(SUMPRODUCT(--ISNUMBER(SEARCH(abortion,C167)))&gt;0)</f>
        <v>0</v>
      </c>
      <c r="W167" s="14" cm="1">
        <f t="array" ref="W167">INT(SUMPRODUCT(--ISNUMBER(SEARCH(trump,C167)))&gt;0)</f>
        <v>0</v>
      </c>
      <c r="X167" s="14" cm="1">
        <f t="array" ref="X167">INT(SUMPRODUCT(--ISNUMBER(SEARCH(voting,C167)))&gt;0)</f>
        <v>0</v>
      </c>
      <c r="Y167" s="35" cm="1">
        <f t="array" ref="Y167">INT(SUMPRODUCT(--ISNUMBER(SEARCH(republicantrigger,C167)))&gt;0)</f>
        <v>1</v>
      </c>
      <c r="Z167" s="35" cm="1">
        <f t="array" ref="Z167">INT(SUMPRODUCT(--ISNUMBER(SEARCH(bipartisan,C167)))&gt;0)</f>
        <v>0</v>
      </c>
      <c r="AA167" s="35">
        <f t="shared" si="2"/>
        <v>0</v>
      </c>
      <c r="AB167" s="14"/>
      <c r="AC167" s="30" t="s">
        <v>223</v>
      </c>
      <c r="AD167" s="37" t="s">
        <v>223</v>
      </c>
    </row>
    <row r="168" spans="1:30" x14ac:dyDescent="0.25">
      <c r="A168" s="36">
        <v>3708</v>
      </c>
      <c r="B168" s="14" t="s">
        <v>7169</v>
      </c>
      <c r="C168" s="14" t="s">
        <v>7170</v>
      </c>
      <c r="D168" s="17">
        <v>44119</v>
      </c>
      <c r="E168" s="14" t="s">
        <v>30</v>
      </c>
      <c r="F168" s="14">
        <v>110</v>
      </c>
      <c r="G168" s="14">
        <v>21</v>
      </c>
      <c r="H168" s="14">
        <v>17</v>
      </c>
      <c r="I168" s="14">
        <v>9</v>
      </c>
      <c r="J168" s="14" t="s">
        <v>31</v>
      </c>
      <c r="K168" s="14" cm="1">
        <f t="array" ref="K168">INT(SUMPRODUCT(--ISNUMBER(SEARCH(economy,C168)))&gt;0)</f>
        <v>0</v>
      </c>
      <c r="L168" s="14" cm="1">
        <f t="array" ref="L168">INT(SUMPRODUCT(--ISNUMBER(SEARCH(healthcare,C168)))&gt;0)</f>
        <v>0</v>
      </c>
      <c r="M168" s="14" cm="1">
        <f t="array" ref="M168">INT(SUMPRODUCT(--ISNUMBER(SEARCH(supreme,C168)))&gt;0)</f>
        <v>0</v>
      </c>
      <c r="N168" s="14" cm="1">
        <f t="array" ref="N168">INT(SUMPRODUCT(--ISNUMBER(SEARCH(covid,C168)))&gt;0)</f>
        <v>0</v>
      </c>
      <c r="O168" s="14" cm="1">
        <f t="array" ref="O168">INT(SUMPRODUCT(--ISNUMBER(SEARCH(violent,C168)))&gt;0)</f>
        <v>0</v>
      </c>
      <c r="P168" s="14" cm="1">
        <f t="array" ref="P168">INT(SUMPRODUCT(--ISNUMBER(SEARCH(foreign,C168)))&gt;0)</f>
        <v>1</v>
      </c>
      <c r="Q168" s="14" cm="1">
        <f t="array" ref="Q168">INT(SUMPRODUCT(--ISNUMBER(SEARCH(gun,C168)))&gt;0)</f>
        <v>0</v>
      </c>
      <c r="R168" s="14" cm="1">
        <f t="array" ref="R168">INT(SUMPRODUCT(--ISNUMBER(SEARCH(race,C168)))&gt;0)</f>
        <v>0</v>
      </c>
      <c r="S168" s="14" cm="1">
        <f t="array" ref="S168">INT(SUMPRODUCT(--ISNUMBER(SEARCH(immigration,C168)))&gt;0)</f>
        <v>0</v>
      </c>
      <c r="T168" s="14" cm="1">
        <f t="array" ref="T168">INT(SUMPRODUCT(--ISNUMBER(SEARCH(econineq,C169)))&gt;0)</f>
        <v>0</v>
      </c>
      <c r="U168" s="14" cm="1">
        <f t="array" ref="U168">INT(SUMPRODUCT(--ISNUMBER(SEARCH(climate,C168)))&gt;0)</f>
        <v>0</v>
      </c>
      <c r="V168" s="14" cm="1">
        <f t="array" ref="V168">INT(SUMPRODUCT(--ISNUMBER(SEARCH(abortion,C168)))&gt;0)</f>
        <v>0</v>
      </c>
      <c r="W168" s="14" cm="1">
        <f t="array" ref="W168">INT(SUMPRODUCT(--ISNUMBER(SEARCH(trump,C168)))&gt;0)</f>
        <v>0</v>
      </c>
      <c r="X168" s="14" cm="1">
        <f t="array" ref="X168">INT(SUMPRODUCT(--ISNUMBER(SEARCH(voting,C168)))&gt;0)</f>
        <v>0</v>
      </c>
      <c r="Y168" s="35" cm="1">
        <f t="array" ref="Y168">INT(SUMPRODUCT(--ISNUMBER(SEARCH(republicantrigger,C168)))&gt;0)</f>
        <v>0</v>
      </c>
      <c r="Z168" s="35" cm="1">
        <f t="array" ref="Z168">INT(SUMPRODUCT(--ISNUMBER(SEARCH(bipartisan,C168)))&gt;0)</f>
        <v>0</v>
      </c>
      <c r="AA168" s="35">
        <f t="shared" si="2"/>
        <v>0</v>
      </c>
      <c r="AB168" s="14"/>
      <c r="AC168" s="30" t="s">
        <v>223</v>
      </c>
      <c r="AD168" s="37" t="s">
        <v>223</v>
      </c>
    </row>
    <row r="169" spans="1:30" x14ac:dyDescent="0.25">
      <c r="A169" s="36">
        <v>3709</v>
      </c>
      <c r="B169" s="14" t="s">
        <v>7171</v>
      </c>
      <c r="C169" s="14" t="s">
        <v>7172</v>
      </c>
      <c r="D169" s="17">
        <v>44119</v>
      </c>
      <c r="E169" s="14" t="s">
        <v>30</v>
      </c>
      <c r="F169" s="14">
        <v>21</v>
      </c>
      <c r="G169" s="14">
        <v>2</v>
      </c>
      <c r="H169" s="14">
        <v>17</v>
      </c>
      <c r="I169" s="14">
        <v>9</v>
      </c>
      <c r="J169" s="14" t="s">
        <v>31</v>
      </c>
      <c r="K169" s="14" cm="1">
        <f t="array" ref="K169">INT(SUMPRODUCT(--ISNUMBER(SEARCH(economy,C169)))&gt;0)</f>
        <v>0</v>
      </c>
      <c r="L169" s="14" cm="1">
        <f t="array" ref="L169">INT(SUMPRODUCT(--ISNUMBER(SEARCH(healthcare,C169)))&gt;0)</f>
        <v>0</v>
      </c>
      <c r="M169" s="14" cm="1">
        <f t="array" ref="M169">INT(SUMPRODUCT(--ISNUMBER(SEARCH(supreme,C169)))&gt;0)</f>
        <v>0</v>
      </c>
      <c r="N169" s="14" cm="1">
        <f t="array" ref="N169">INT(SUMPRODUCT(--ISNUMBER(SEARCH(covid,C169)))&gt;0)</f>
        <v>0</v>
      </c>
      <c r="O169" s="14" cm="1">
        <f t="array" ref="O169">INT(SUMPRODUCT(--ISNUMBER(SEARCH(violent,C169)))&gt;0)</f>
        <v>0</v>
      </c>
      <c r="P169" s="14" cm="1">
        <f t="array" ref="P169">INT(SUMPRODUCT(--ISNUMBER(SEARCH(foreign,C169)))&gt;0)</f>
        <v>0</v>
      </c>
      <c r="Q169" s="14" cm="1">
        <f t="array" ref="Q169">INT(SUMPRODUCT(--ISNUMBER(SEARCH(gun,C169)))&gt;0)</f>
        <v>0</v>
      </c>
      <c r="R169" s="14" cm="1">
        <f t="array" ref="R169">INT(SUMPRODUCT(--ISNUMBER(SEARCH(race,C169)))&gt;0)</f>
        <v>0</v>
      </c>
      <c r="S169" s="14" cm="1">
        <f t="array" ref="S169">INT(SUMPRODUCT(--ISNUMBER(SEARCH(immigration,C169)))&gt;0)</f>
        <v>0</v>
      </c>
      <c r="T169" s="14" cm="1">
        <f t="array" ref="T169">INT(SUMPRODUCT(--ISNUMBER(SEARCH(econineq,C170)))&gt;0)</f>
        <v>0</v>
      </c>
      <c r="U169" s="14" cm="1">
        <f t="array" ref="U169">INT(SUMPRODUCT(--ISNUMBER(SEARCH(climate,C169)))&gt;0)</f>
        <v>0</v>
      </c>
      <c r="V169" s="14" cm="1">
        <f t="array" ref="V169">INT(SUMPRODUCT(--ISNUMBER(SEARCH(abortion,C169)))&gt;0)</f>
        <v>0</v>
      </c>
      <c r="W169" s="14" cm="1">
        <f t="array" ref="W169">INT(SUMPRODUCT(--ISNUMBER(SEARCH(trump,C169)))&gt;0)</f>
        <v>0</v>
      </c>
      <c r="X169" s="14" cm="1">
        <f t="array" ref="X169">INT(SUMPRODUCT(--ISNUMBER(SEARCH(voting,C169)))&gt;0)</f>
        <v>0</v>
      </c>
      <c r="Y169" s="35" cm="1">
        <f t="array" ref="Y169">INT(SUMPRODUCT(--ISNUMBER(SEARCH(republicantrigger,C169)))&gt;0)</f>
        <v>0</v>
      </c>
      <c r="Z169" s="35" cm="1">
        <f t="array" ref="Z169">INT(SUMPRODUCT(--ISNUMBER(SEARCH(bipartisan,C169)))&gt;0)</f>
        <v>0</v>
      </c>
      <c r="AA169" s="35">
        <f t="shared" si="2"/>
        <v>1</v>
      </c>
      <c r="AB169" s="14"/>
      <c r="AC169" s="30" t="s">
        <v>223</v>
      </c>
      <c r="AD169" s="37" t="s">
        <v>223</v>
      </c>
    </row>
    <row r="170" spans="1:30" x14ac:dyDescent="0.25">
      <c r="A170" s="36">
        <v>3710</v>
      </c>
      <c r="B170" s="14" t="s">
        <v>7173</v>
      </c>
      <c r="C170" s="14" t="s">
        <v>7174</v>
      </c>
      <c r="D170" s="17">
        <v>44119</v>
      </c>
      <c r="E170" s="14" t="s">
        <v>30</v>
      </c>
      <c r="F170" s="14">
        <v>1154</v>
      </c>
      <c r="G170" s="14">
        <v>354</v>
      </c>
      <c r="H170" s="14">
        <v>17</v>
      </c>
      <c r="I170" s="14">
        <v>9</v>
      </c>
      <c r="J170" s="14" t="s">
        <v>31</v>
      </c>
      <c r="K170" s="14" cm="1">
        <f t="array" ref="K170">INT(SUMPRODUCT(--ISNUMBER(SEARCH(economy,C170)))&gt;0)</f>
        <v>0</v>
      </c>
      <c r="L170" s="14" cm="1">
        <f t="array" ref="L170">INT(SUMPRODUCT(--ISNUMBER(SEARCH(healthcare,C170)))&gt;0)</f>
        <v>0</v>
      </c>
      <c r="M170" s="14" cm="1">
        <f t="array" ref="M170">INT(SUMPRODUCT(--ISNUMBER(SEARCH(supreme,C170)))&gt;0)</f>
        <v>1</v>
      </c>
      <c r="N170" s="14" cm="1">
        <f t="array" ref="N170">INT(SUMPRODUCT(--ISNUMBER(SEARCH(covid,C170)))&gt;0)</f>
        <v>0</v>
      </c>
      <c r="O170" s="14" cm="1">
        <f t="array" ref="O170">INT(SUMPRODUCT(--ISNUMBER(SEARCH(violent,C170)))&gt;0)</f>
        <v>0</v>
      </c>
      <c r="P170" s="14" cm="1">
        <f t="array" ref="P170">INT(SUMPRODUCT(--ISNUMBER(SEARCH(foreign,C170)))&gt;0)</f>
        <v>0</v>
      </c>
      <c r="Q170" s="14" cm="1">
        <f t="array" ref="Q170">INT(SUMPRODUCT(--ISNUMBER(SEARCH(gun,C170)))&gt;0)</f>
        <v>0</v>
      </c>
      <c r="R170" s="14" cm="1">
        <f t="array" ref="R170">INT(SUMPRODUCT(--ISNUMBER(SEARCH(race,C170)))&gt;0)</f>
        <v>0</v>
      </c>
      <c r="S170" s="14" cm="1">
        <f t="array" ref="S170">INT(SUMPRODUCT(--ISNUMBER(SEARCH(immigration,C170)))&gt;0)</f>
        <v>0</v>
      </c>
      <c r="T170" s="14" cm="1">
        <f t="array" ref="T170">INT(SUMPRODUCT(--ISNUMBER(SEARCH(econineq,C171)))&gt;0)</f>
        <v>0</v>
      </c>
      <c r="U170" s="14" cm="1">
        <f t="array" ref="U170">INT(SUMPRODUCT(--ISNUMBER(SEARCH(climate,C170)))&gt;0)</f>
        <v>0</v>
      </c>
      <c r="V170" s="14" cm="1">
        <f t="array" ref="V170">INT(SUMPRODUCT(--ISNUMBER(SEARCH(abortion,C170)))&gt;0)</f>
        <v>0</v>
      </c>
      <c r="W170" s="14" cm="1">
        <f t="array" ref="W170">INT(SUMPRODUCT(--ISNUMBER(SEARCH(trump,C170)))&gt;0)</f>
        <v>0</v>
      </c>
      <c r="X170" s="14" cm="1">
        <f t="array" ref="X170">INT(SUMPRODUCT(--ISNUMBER(SEARCH(voting,C170)))&gt;0)</f>
        <v>1</v>
      </c>
      <c r="Y170" s="35" cm="1">
        <f t="array" ref="Y170">INT(SUMPRODUCT(--ISNUMBER(SEARCH(republicantrigger,C170)))&gt;0)</f>
        <v>0</v>
      </c>
      <c r="Z170" s="35" cm="1">
        <f t="array" ref="Z170">INT(SUMPRODUCT(--ISNUMBER(SEARCH(bipartisan,C170)))&gt;0)</f>
        <v>0</v>
      </c>
      <c r="AA170" s="35">
        <f t="shared" si="2"/>
        <v>0</v>
      </c>
      <c r="AB170" s="14"/>
      <c r="AC170" s="30" t="s">
        <v>223</v>
      </c>
      <c r="AD170" s="37" t="s">
        <v>223</v>
      </c>
    </row>
    <row r="171" spans="1:30" x14ac:dyDescent="0.25">
      <c r="A171" s="36">
        <v>3711</v>
      </c>
      <c r="B171" s="14" t="s">
        <v>7175</v>
      </c>
      <c r="C171" s="14" t="s">
        <v>7176</v>
      </c>
      <c r="D171" s="17">
        <v>44119</v>
      </c>
      <c r="E171" s="14" t="s">
        <v>30</v>
      </c>
      <c r="F171" s="14">
        <v>164</v>
      </c>
      <c r="G171" s="14">
        <v>42</v>
      </c>
      <c r="H171" s="14">
        <v>17</v>
      </c>
      <c r="I171" s="14">
        <v>9</v>
      </c>
      <c r="J171" s="14" t="s">
        <v>31</v>
      </c>
      <c r="K171" s="14" cm="1">
        <f t="array" ref="K171">INT(SUMPRODUCT(--ISNUMBER(SEARCH(economy,C171)))&gt;0)</f>
        <v>0</v>
      </c>
      <c r="L171" s="14" cm="1">
        <f t="array" ref="L171">INT(SUMPRODUCT(--ISNUMBER(SEARCH(healthcare,C171)))&gt;0)</f>
        <v>0</v>
      </c>
      <c r="M171" s="14" cm="1">
        <f t="array" ref="M171">INT(SUMPRODUCT(--ISNUMBER(SEARCH(supreme,C171)))&gt;0)</f>
        <v>0</v>
      </c>
      <c r="N171" s="14" cm="1">
        <f t="array" ref="N171">INT(SUMPRODUCT(--ISNUMBER(SEARCH(covid,C171)))&gt;0)</f>
        <v>0</v>
      </c>
      <c r="O171" s="14" cm="1">
        <f t="array" ref="O171">INT(SUMPRODUCT(--ISNUMBER(SEARCH(violent,C171)))&gt;0)</f>
        <v>0</v>
      </c>
      <c r="P171" s="14" cm="1">
        <f t="array" ref="P171">INT(SUMPRODUCT(--ISNUMBER(SEARCH(foreign,C171)))&gt;0)</f>
        <v>0</v>
      </c>
      <c r="Q171" s="14" cm="1">
        <f t="array" ref="Q171">INT(SUMPRODUCT(--ISNUMBER(SEARCH(gun,C171)))&gt;0)</f>
        <v>0</v>
      </c>
      <c r="R171" s="14" cm="1">
        <f t="array" ref="R171">INT(SUMPRODUCT(--ISNUMBER(SEARCH(race,C171)))&gt;0)</f>
        <v>0</v>
      </c>
      <c r="S171" s="14" cm="1">
        <f t="array" ref="S171">INT(SUMPRODUCT(--ISNUMBER(SEARCH(immigration,C171)))&gt;0)</f>
        <v>0</v>
      </c>
      <c r="T171" s="14" cm="1">
        <f t="array" ref="T171">INT(SUMPRODUCT(--ISNUMBER(SEARCH(econineq,C172)))&gt;0)</f>
        <v>0</v>
      </c>
      <c r="U171" s="14" cm="1">
        <f t="array" ref="U171">INT(SUMPRODUCT(--ISNUMBER(SEARCH(climate,C171)))&gt;0)</f>
        <v>0</v>
      </c>
      <c r="V171" s="14" cm="1">
        <f t="array" ref="V171">INT(SUMPRODUCT(--ISNUMBER(SEARCH(abortion,C171)))&gt;0)</f>
        <v>0</v>
      </c>
      <c r="W171" s="14" cm="1">
        <f t="array" ref="W171">INT(SUMPRODUCT(--ISNUMBER(SEARCH(trump,C171)))&gt;0)</f>
        <v>0</v>
      </c>
      <c r="X171" s="14" cm="1">
        <f t="array" ref="X171">INT(SUMPRODUCT(--ISNUMBER(SEARCH(voting,C171)))&gt;0)</f>
        <v>0</v>
      </c>
      <c r="Y171" s="35" cm="1">
        <f t="array" ref="Y171">INT(SUMPRODUCT(--ISNUMBER(SEARCH(republicantrigger,C171)))&gt;0)</f>
        <v>0</v>
      </c>
      <c r="Z171" s="35" cm="1">
        <f t="array" ref="Z171">INT(SUMPRODUCT(--ISNUMBER(SEARCH(bipartisan,C171)))&gt;0)</f>
        <v>0</v>
      </c>
      <c r="AA171" s="35">
        <f t="shared" si="2"/>
        <v>1</v>
      </c>
      <c r="AB171" s="14"/>
      <c r="AC171" s="30" t="s">
        <v>223</v>
      </c>
      <c r="AD171" s="37" t="s">
        <v>223</v>
      </c>
    </row>
    <row r="172" spans="1:30" x14ac:dyDescent="0.25">
      <c r="A172" s="36">
        <v>3712</v>
      </c>
      <c r="B172" s="14" t="s">
        <v>7177</v>
      </c>
      <c r="C172" s="14" t="s">
        <v>7178</v>
      </c>
      <c r="D172" s="17">
        <v>44119</v>
      </c>
      <c r="E172" s="14" t="s">
        <v>30</v>
      </c>
      <c r="F172" s="14">
        <v>137</v>
      </c>
      <c r="G172" s="14">
        <v>27</v>
      </c>
      <c r="H172" s="14">
        <v>17</v>
      </c>
      <c r="I172" s="14">
        <v>9</v>
      </c>
      <c r="J172" s="14" t="s">
        <v>31</v>
      </c>
      <c r="K172" s="14" cm="1">
        <f t="array" ref="K172">INT(SUMPRODUCT(--ISNUMBER(SEARCH(economy,C172)))&gt;0)</f>
        <v>0</v>
      </c>
      <c r="L172" s="14" cm="1">
        <f t="array" ref="L172">INT(SUMPRODUCT(--ISNUMBER(SEARCH(healthcare,C172)))&gt;0)</f>
        <v>0</v>
      </c>
      <c r="M172" s="14" cm="1">
        <f t="array" ref="M172">INT(SUMPRODUCT(--ISNUMBER(SEARCH(supreme,C172)))&gt;0)</f>
        <v>0</v>
      </c>
      <c r="N172" s="14" cm="1">
        <f t="array" ref="N172">INT(SUMPRODUCT(--ISNUMBER(SEARCH(covid,C172)))&gt;0)</f>
        <v>0</v>
      </c>
      <c r="O172" s="14" cm="1">
        <f t="array" ref="O172">INT(SUMPRODUCT(--ISNUMBER(SEARCH(violent,C172)))&gt;0)</f>
        <v>0</v>
      </c>
      <c r="P172" s="14" cm="1">
        <f t="array" ref="P172">INT(SUMPRODUCT(--ISNUMBER(SEARCH(foreign,C172)))&gt;0)</f>
        <v>0</v>
      </c>
      <c r="Q172" s="14" cm="1">
        <f t="array" ref="Q172">INT(SUMPRODUCT(--ISNUMBER(SEARCH(gun,C172)))&gt;0)</f>
        <v>0</v>
      </c>
      <c r="R172" s="14" cm="1">
        <f t="array" ref="R172">INT(SUMPRODUCT(--ISNUMBER(SEARCH(race,C172)))&gt;0)</f>
        <v>0</v>
      </c>
      <c r="S172" s="14" cm="1">
        <f t="array" ref="S172">INT(SUMPRODUCT(--ISNUMBER(SEARCH(immigration,C172)))&gt;0)</f>
        <v>0</v>
      </c>
      <c r="T172" s="14" cm="1">
        <f t="array" ref="T172">INT(SUMPRODUCT(--ISNUMBER(SEARCH(econineq,C173)))&gt;0)</f>
        <v>0</v>
      </c>
      <c r="U172" s="14" cm="1">
        <f t="array" ref="U172">INT(SUMPRODUCT(--ISNUMBER(SEARCH(climate,C172)))&gt;0)</f>
        <v>0</v>
      </c>
      <c r="V172" s="14" cm="1">
        <f t="array" ref="V172">INT(SUMPRODUCT(--ISNUMBER(SEARCH(abortion,C172)))&gt;0)</f>
        <v>0</v>
      </c>
      <c r="W172" s="14" cm="1">
        <f t="array" ref="W172">INT(SUMPRODUCT(--ISNUMBER(SEARCH(trump,C172)))&gt;0)</f>
        <v>0</v>
      </c>
      <c r="X172" s="14" cm="1">
        <f t="array" ref="X172">INT(SUMPRODUCT(--ISNUMBER(SEARCH(voting,C172)))&gt;0)</f>
        <v>0</v>
      </c>
      <c r="Y172" s="35" cm="1">
        <f t="array" ref="Y172">INT(SUMPRODUCT(--ISNUMBER(SEARCH(republicantrigger,C172)))&gt;0)</f>
        <v>0</v>
      </c>
      <c r="Z172" s="35" cm="1">
        <f t="array" ref="Z172">INT(SUMPRODUCT(--ISNUMBER(SEARCH(bipartisan,C172)))&gt;0)</f>
        <v>0</v>
      </c>
      <c r="AA172" s="35">
        <f t="shared" si="2"/>
        <v>1</v>
      </c>
      <c r="AB172" s="14"/>
      <c r="AC172" s="30" t="s">
        <v>223</v>
      </c>
      <c r="AD172" s="37" t="s">
        <v>223</v>
      </c>
    </row>
    <row r="173" spans="1:30" x14ac:dyDescent="0.25">
      <c r="A173" s="36">
        <v>3713</v>
      </c>
      <c r="B173" s="14" t="s">
        <v>7179</v>
      </c>
      <c r="C173" s="14" t="s">
        <v>7180</v>
      </c>
      <c r="D173" s="17">
        <v>44119</v>
      </c>
      <c r="E173" s="14" t="s">
        <v>30</v>
      </c>
      <c r="F173" s="14">
        <v>332</v>
      </c>
      <c r="G173" s="14">
        <v>106</v>
      </c>
      <c r="H173" s="14">
        <v>17</v>
      </c>
      <c r="I173" s="14">
        <v>9</v>
      </c>
      <c r="J173" s="14" t="s">
        <v>31</v>
      </c>
      <c r="K173" s="14" cm="1">
        <f t="array" ref="K173">INT(SUMPRODUCT(--ISNUMBER(SEARCH(economy,C173)))&gt;0)</f>
        <v>0</v>
      </c>
      <c r="L173" s="14" cm="1">
        <f t="array" ref="L173">INT(SUMPRODUCT(--ISNUMBER(SEARCH(healthcare,C173)))&gt;0)</f>
        <v>0</v>
      </c>
      <c r="M173" s="14" cm="1">
        <f t="array" ref="M173">INT(SUMPRODUCT(--ISNUMBER(SEARCH(supreme,C173)))&gt;0)</f>
        <v>0</v>
      </c>
      <c r="N173" s="14" cm="1">
        <f t="array" ref="N173">INT(SUMPRODUCT(--ISNUMBER(SEARCH(covid,C173)))&gt;0)</f>
        <v>0</v>
      </c>
      <c r="O173" s="14" cm="1">
        <f t="array" ref="O173">INT(SUMPRODUCT(--ISNUMBER(SEARCH(violent,C173)))&gt;0)</f>
        <v>0</v>
      </c>
      <c r="P173" s="14" cm="1">
        <f t="array" ref="P173">INT(SUMPRODUCT(--ISNUMBER(SEARCH(foreign,C173)))&gt;0)</f>
        <v>0</v>
      </c>
      <c r="Q173" s="14" cm="1">
        <f t="array" ref="Q173">INT(SUMPRODUCT(--ISNUMBER(SEARCH(gun,C173)))&gt;0)</f>
        <v>0</v>
      </c>
      <c r="R173" s="14" cm="1">
        <f t="array" ref="R173">INT(SUMPRODUCT(--ISNUMBER(SEARCH(race,C173)))&gt;0)</f>
        <v>0</v>
      </c>
      <c r="S173" s="14" cm="1">
        <f t="array" ref="S173">INT(SUMPRODUCT(--ISNUMBER(SEARCH(immigration,C173)))&gt;0)</f>
        <v>0</v>
      </c>
      <c r="T173" s="14" cm="1">
        <f t="array" ref="T173">INT(SUMPRODUCT(--ISNUMBER(SEARCH(econineq,C174)))&gt;0)</f>
        <v>0</v>
      </c>
      <c r="U173" s="14" cm="1">
        <f t="array" ref="U173">INT(SUMPRODUCT(--ISNUMBER(SEARCH(climate,C173)))&gt;0)</f>
        <v>0</v>
      </c>
      <c r="V173" s="14" cm="1">
        <f t="array" ref="V173">INT(SUMPRODUCT(--ISNUMBER(SEARCH(abortion,C173)))&gt;0)</f>
        <v>0</v>
      </c>
      <c r="W173" s="14" cm="1">
        <f t="array" ref="W173">INT(SUMPRODUCT(--ISNUMBER(SEARCH(trump,C173)))&gt;0)</f>
        <v>0</v>
      </c>
      <c r="X173" s="14" cm="1">
        <f t="array" ref="X173">INT(SUMPRODUCT(--ISNUMBER(SEARCH(voting,C173)))&gt;0)</f>
        <v>0</v>
      </c>
      <c r="Y173" s="35" cm="1">
        <f t="array" ref="Y173">INT(SUMPRODUCT(--ISNUMBER(SEARCH(republicantrigger,C173)))&gt;0)</f>
        <v>0</v>
      </c>
      <c r="Z173" s="35" cm="1">
        <f t="array" ref="Z173">INT(SUMPRODUCT(--ISNUMBER(SEARCH(bipartisan,C173)))&gt;0)</f>
        <v>0</v>
      </c>
      <c r="AA173" s="35">
        <f t="shared" si="2"/>
        <v>1</v>
      </c>
      <c r="AB173" s="14"/>
      <c r="AC173" s="30" t="s">
        <v>223</v>
      </c>
      <c r="AD173" s="37" t="s">
        <v>223</v>
      </c>
    </row>
    <row r="174" spans="1:30" x14ac:dyDescent="0.25">
      <c r="A174" s="36">
        <v>3714</v>
      </c>
      <c r="B174" s="14" t="s">
        <v>7181</v>
      </c>
      <c r="C174" s="14" t="s">
        <v>7182</v>
      </c>
      <c r="D174" s="17">
        <v>44119</v>
      </c>
      <c r="E174" s="14" t="s">
        <v>30</v>
      </c>
      <c r="F174" s="14">
        <v>3711</v>
      </c>
      <c r="G174" s="14">
        <v>2420</v>
      </c>
      <c r="H174" s="14">
        <v>17</v>
      </c>
      <c r="I174" s="14">
        <v>9</v>
      </c>
      <c r="J174" s="14" t="s">
        <v>31</v>
      </c>
      <c r="K174" s="14" cm="1">
        <f t="array" ref="K174">INT(SUMPRODUCT(--ISNUMBER(SEARCH(economy,C174)))&gt;0)</f>
        <v>0</v>
      </c>
      <c r="L174" s="14" cm="1">
        <f t="array" ref="L174">INT(SUMPRODUCT(--ISNUMBER(SEARCH(healthcare,C174)))&gt;0)</f>
        <v>0</v>
      </c>
      <c r="M174" s="14" cm="1">
        <f t="array" ref="M174">INT(SUMPRODUCT(--ISNUMBER(SEARCH(supreme,C174)))&gt;0)</f>
        <v>0</v>
      </c>
      <c r="N174" s="14" cm="1">
        <f t="array" ref="N174">INT(SUMPRODUCT(--ISNUMBER(SEARCH(covid,C174)))&gt;0)</f>
        <v>0</v>
      </c>
      <c r="O174" s="14" cm="1">
        <f t="array" ref="O174">INT(SUMPRODUCT(--ISNUMBER(SEARCH(violent,C174)))&gt;0)</f>
        <v>0</v>
      </c>
      <c r="P174" s="14" cm="1">
        <f t="array" ref="P174">INT(SUMPRODUCT(--ISNUMBER(SEARCH(foreign,C174)))&gt;0)</f>
        <v>0</v>
      </c>
      <c r="Q174" s="14" cm="1">
        <f t="array" ref="Q174">INT(SUMPRODUCT(--ISNUMBER(SEARCH(gun,C174)))&gt;0)</f>
        <v>0</v>
      </c>
      <c r="R174" s="14" cm="1">
        <f t="array" ref="R174">INT(SUMPRODUCT(--ISNUMBER(SEARCH(race,C174)))&gt;0)</f>
        <v>0</v>
      </c>
      <c r="S174" s="14" cm="1">
        <f t="array" ref="S174">INT(SUMPRODUCT(--ISNUMBER(SEARCH(immigration,C174)))&gt;0)</f>
        <v>0</v>
      </c>
      <c r="T174" s="14" cm="1">
        <f t="array" ref="T174">INT(SUMPRODUCT(--ISNUMBER(SEARCH(econineq,C175)))&gt;0)</f>
        <v>0</v>
      </c>
      <c r="U174" s="14" cm="1">
        <f t="array" ref="U174">INT(SUMPRODUCT(--ISNUMBER(SEARCH(climate,C174)))&gt;0)</f>
        <v>0</v>
      </c>
      <c r="V174" s="14" cm="1">
        <f t="array" ref="V174">INT(SUMPRODUCT(--ISNUMBER(SEARCH(abortion,C174)))&gt;0)</f>
        <v>0</v>
      </c>
      <c r="W174" s="14" cm="1">
        <f t="array" ref="W174">INT(SUMPRODUCT(--ISNUMBER(SEARCH(trump,C174)))&gt;0)</f>
        <v>0</v>
      </c>
      <c r="X174" s="14" cm="1">
        <f t="array" ref="X174">INT(SUMPRODUCT(--ISNUMBER(SEARCH(voting,C174)))&gt;0)</f>
        <v>1</v>
      </c>
      <c r="Y174" s="35" cm="1">
        <f t="array" ref="Y174">INT(SUMPRODUCT(--ISNUMBER(SEARCH(republicantrigger,C174)))&gt;0)</f>
        <v>1</v>
      </c>
      <c r="Z174" s="35" cm="1">
        <f t="array" ref="Z174">INT(SUMPRODUCT(--ISNUMBER(SEARCH(bipartisan,C174)))&gt;0)</f>
        <v>0</v>
      </c>
      <c r="AA174" s="35">
        <f t="shared" si="2"/>
        <v>0</v>
      </c>
      <c r="AB174" s="14"/>
      <c r="AC174" s="30" t="s">
        <v>223</v>
      </c>
      <c r="AD174" s="37" t="s">
        <v>223</v>
      </c>
    </row>
    <row r="175" spans="1:30" x14ac:dyDescent="0.25">
      <c r="A175" s="36">
        <v>3715</v>
      </c>
      <c r="B175" s="14" t="s">
        <v>7183</v>
      </c>
      <c r="C175" s="14" t="s">
        <v>7184</v>
      </c>
      <c r="D175" s="17">
        <v>44119</v>
      </c>
      <c r="E175" s="14" t="s">
        <v>70</v>
      </c>
      <c r="F175" s="14">
        <v>70</v>
      </c>
      <c r="G175" s="14">
        <v>16</v>
      </c>
      <c r="H175" s="14">
        <v>17</v>
      </c>
      <c r="I175" s="14">
        <v>9</v>
      </c>
      <c r="J175" s="14" t="s">
        <v>31</v>
      </c>
      <c r="K175" s="14" cm="1">
        <f t="array" ref="K175">INT(SUMPRODUCT(--ISNUMBER(SEARCH(economy,C175)))&gt;0)</f>
        <v>0</v>
      </c>
      <c r="L175" s="14" cm="1">
        <f t="array" ref="L175">INT(SUMPRODUCT(--ISNUMBER(SEARCH(healthcare,C175)))&gt;0)</f>
        <v>0</v>
      </c>
      <c r="M175" s="14" cm="1">
        <f t="array" ref="M175">INT(SUMPRODUCT(--ISNUMBER(SEARCH(supreme,C175)))&gt;0)</f>
        <v>0</v>
      </c>
      <c r="N175" s="14" cm="1">
        <f t="array" ref="N175">INT(SUMPRODUCT(--ISNUMBER(SEARCH(covid,C175)))&gt;0)</f>
        <v>0</v>
      </c>
      <c r="O175" s="14" cm="1">
        <f t="array" ref="O175">INT(SUMPRODUCT(--ISNUMBER(SEARCH(violent,C175)))&gt;0)</f>
        <v>0</v>
      </c>
      <c r="P175" s="14" cm="1">
        <f t="array" ref="P175">INT(SUMPRODUCT(--ISNUMBER(SEARCH(foreign,C175)))&gt;0)</f>
        <v>0</v>
      </c>
      <c r="Q175" s="14" cm="1">
        <f t="array" ref="Q175">INT(SUMPRODUCT(--ISNUMBER(SEARCH(gun,C175)))&gt;0)</f>
        <v>0</v>
      </c>
      <c r="R175" s="14" cm="1">
        <f t="array" ref="R175">INT(SUMPRODUCT(--ISNUMBER(SEARCH(race,C175)))&gt;0)</f>
        <v>0</v>
      </c>
      <c r="S175" s="14" cm="1">
        <f t="array" ref="S175">INT(SUMPRODUCT(--ISNUMBER(SEARCH(immigration,C175)))&gt;0)</f>
        <v>0</v>
      </c>
      <c r="T175" s="14" cm="1">
        <f t="array" ref="T175">INT(SUMPRODUCT(--ISNUMBER(SEARCH(econineq,C176)))&gt;0)</f>
        <v>0</v>
      </c>
      <c r="U175" s="14" cm="1">
        <f t="array" ref="U175">INT(SUMPRODUCT(--ISNUMBER(SEARCH(climate,C175)))&gt;0)</f>
        <v>0</v>
      </c>
      <c r="V175" s="14" cm="1">
        <f t="array" ref="V175">INT(SUMPRODUCT(--ISNUMBER(SEARCH(abortion,C175)))&gt;0)</f>
        <v>0</v>
      </c>
      <c r="W175" s="14" cm="1">
        <f t="array" ref="W175">INT(SUMPRODUCT(--ISNUMBER(SEARCH(trump,C175)))&gt;0)</f>
        <v>0</v>
      </c>
      <c r="X175" s="14" cm="1">
        <f t="array" ref="X175">INT(SUMPRODUCT(--ISNUMBER(SEARCH(voting,C175)))&gt;0)</f>
        <v>0</v>
      </c>
      <c r="Y175" s="35" cm="1">
        <f t="array" ref="Y175">INT(SUMPRODUCT(--ISNUMBER(SEARCH(republicantrigger,C175)))&gt;0)</f>
        <v>0</v>
      </c>
      <c r="Z175" s="35" cm="1">
        <f t="array" ref="Z175">INT(SUMPRODUCT(--ISNUMBER(SEARCH(bipartisan,C175)))&gt;0)</f>
        <v>0</v>
      </c>
      <c r="AA175" s="35">
        <f t="shared" si="2"/>
        <v>1</v>
      </c>
      <c r="AB175" s="14"/>
      <c r="AC175" s="30" t="s">
        <v>223</v>
      </c>
      <c r="AD175" s="37" t="s">
        <v>223</v>
      </c>
    </row>
    <row r="176" spans="1:30" x14ac:dyDescent="0.25">
      <c r="A176" s="36">
        <v>3716</v>
      </c>
      <c r="B176" s="14" t="s">
        <v>7185</v>
      </c>
      <c r="C176" s="14" t="s">
        <v>7186</v>
      </c>
      <c r="D176" s="17">
        <v>44119</v>
      </c>
      <c r="E176" s="14" t="s">
        <v>30</v>
      </c>
      <c r="F176" s="14">
        <v>68</v>
      </c>
      <c r="G176" s="14">
        <v>23</v>
      </c>
      <c r="H176" s="14">
        <v>17</v>
      </c>
      <c r="I176" s="14">
        <v>9</v>
      </c>
      <c r="J176" s="14" t="s">
        <v>31</v>
      </c>
      <c r="K176" s="14" cm="1">
        <f t="array" ref="K176">INT(SUMPRODUCT(--ISNUMBER(SEARCH(economy,C176)))&gt;0)</f>
        <v>0</v>
      </c>
      <c r="L176" s="14" cm="1">
        <f t="array" ref="L176">INT(SUMPRODUCT(--ISNUMBER(SEARCH(healthcare,C176)))&gt;0)</f>
        <v>0</v>
      </c>
      <c r="M176" s="14" cm="1">
        <f t="array" ref="M176">INT(SUMPRODUCT(--ISNUMBER(SEARCH(supreme,C176)))&gt;0)</f>
        <v>1</v>
      </c>
      <c r="N176" s="14" cm="1">
        <f t="array" ref="N176">INT(SUMPRODUCT(--ISNUMBER(SEARCH(covid,C176)))&gt;0)</f>
        <v>0</v>
      </c>
      <c r="O176" s="14" cm="1">
        <f t="array" ref="O176">INT(SUMPRODUCT(--ISNUMBER(SEARCH(violent,C176)))&gt;0)</f>
        <v>0</v>
      </c>
      <c r="P176" s="14" cm="1">
        <f t="array" ref="P176">INT(SUMPRODUCT(--ISNUMBER(SEARCH(foreign,C176)))&gt;0)</f>
        <v>0</v>
      </c>
      <c r="Q176" s="14" cm="1">
        <f t="array" ref="Q176">INT(SUMPRODUCT(--ISNUMBER(SEARCH(gun,C176)))&gt;0)</f>
        <v>0</v>
      </c>
      <c r="R176" s="14" cm="1">
        <f t="array" ref="R176">INT(SUMPRODUCT(--ISNUMBER(SEARCH(race,C176)))&gt;0)</f>
        <v>0</v>
      </c>
      <c r="S176" s="14" cm="1">
        <f t="array" ref="S176">INT(SUMPRODUCT(--ISNUMBER(SEARCH(immigration,C176)))&gt;0)</f>
        <v>0</v>
      </c>
      <c r="T176" s="14" cm="1">
        <f t="array" ref="T176">INT(SUMPRODUCT(--ISNUMBER(SEARCH(econineq,C177)))&gt;0)</f>
        <v>0</v>
      </c>
      <c r="U176" s="14" cm="1">
        <f t="array" ref="U176">INT(SUMPRODUCT(--ISNUMBER(SEARCH(climate,C176)))&gt;0)</f>
        <v>0</v>
      </c>
      <c r="V176" s="14" cm="1">
        <f t="array" ref="V176">INT(SUMPRODUCT(--ISNUMBER(SEARCH(abortion,C176)))&gt;0)</f>
        <v>0</v>
      </c>
      <c r="W176" s="14" cm="1">
        <f t="array" ref="W176">INT(SUMPRODUCT(--ISNUMBER(SEARCH(trump,C176)))&gt;0)</f>
        <v>0</v>
      </c>
      <c r="X176" s="14" cm="1">
        <f t="array" ref="X176">INT(SUMPRODUCT(--ISNUMBER(SEARCH(voting,C176)))&gt;0)</f>
        <v>0</v>
      </c>
      <c r="Y176" s="35" cm="1">
        <f t="array" ref="Y176">INT(SUMPRODUCT(--ISNUMBER(SEARCH(republicantrigger,C176)))&gt;0)</f>
        <v>0</v>
      </c>
      <c r="Z176" s="35" cm="1">
        <f t="array" ref="Z176">INT(SUMPRODUCT(--ISNUMBER(SEARCH(bipartisan,C176)))&gt;0)</f>
        <v>0</v>
      </c>
      <c r="AA176" s="35">
        <f t="shared" si="2"/>
        <v>0</v>
      </c>
      <c r="AB176" s="14"/>
      <c r="AC176" s="30" t="s">
        <v>223</v>
      </c>
      <c r="AD176" s="37" t="s">
        <v>223</v>
      </c>
    </row>
    <row r="177" spans="1:30" x14ac:dyDescent="0.25">
      <c r="A177" s="36">
        <v>3717</v>
      </c>
      <c r="B177" s="14" t="s">
        <v>7187</v>
      </c>
      <c r="C177" s="14" t="s">
        <v>7188</v>
      </c>
      <c r="D177" s="17">
        <v>44119</v>
      </c>
      <c r="E177" s="14" t="s">
        <v>30</v>
      </c>
      <c r="F177" s="14">
        <v>570</v>
      </c>
      <c r="G177" s="14">
        <v>505</v>
      </c>
      <c r="H177" s="14">
        <v>17</v>
      </c>
      <c r="I177" s="14">
        <v>9</v>
      </c>
      <c r="J177" s="14" t="s">
        <v>31</v>
      </c>
      <c r="K177" s="14" cm="1">
        <f t="array" ref="K177">INT(SUMPRODUCT(--ISNUMBER(SEARCH(economy,C177)))&gt;0)</f>
        <v>0</v>
      </c>
      <c r="L177" s="14" cm="1">
        <f t="array" ref="L177">INT(SUMPRODUCT(--ISNUMBER(SEARCH(healthcare,C177)))&gt;0)</f>
        <v>0</v>
      </c>
      <c r="M177" s="14" cm="1">
        <f t="array" ref="M177">INT(SUMPRODUCT(--ISNUMBER(SEARCH(supreme,C177)))&gt;0)</f>
        <v>0</v>
      </c>
      <c r="N177" s="14" cm="1">
        <f t="array" ref="N177">INT(SUMPRODUCT(--ISNUMBER(SEARCH(covid,C177)))&gt;0)</f>
        <v>0</v>
      </c>
      <c r="O177" s="14" cm="1">
        <f t="array" ref="O177">INT(SUMPRODUCT(--ISNUMBER(SEARCH(violent,C177)))&gt;0)</f>
        <v>0</v>
      </c>
      <c r="P177" s="14" cm="1">
        <f t="array" ref="P177">INT(SUMPRODUCT(--ISNUMBER(SEARCH(foreign,C177)))&gt;0)</f>
        <v>1</v>
      </c>
      <c r="Q177" s="14" cm="1">
        <f t="array" ref="Q177">INT(SUMPRODUCT(--ISNUMBER(SEARCH(gun,C177)))&gt;0)</f>
        <v>0</v>
      </c>
      <c r="R177" s="14" cm="1">
        <f t="array" ref="R177">INT(SUMPRODUCT(--ISNUMBER(SEARCH(race,C177)))&gt;0)</f>
        <v>0</v>
      </c>
      <c r="S177" s="14" cm="1">
        <f t="array" ref="S177">INT(SUMPRODUCT(--ISNUMBER(SEARCH(immigration,C177)))&gt;0)</f>
        <v>0</v>
      </c>
      <c r="T177" s="14" cm="1">
        <f t="array" ref="T177">INT(SUMPRODUCT(--ISNUMBER(SEARCH(econineq,C178)))&gt;0)</f>
        <v>0</v>
      </c>
      <c r="U177" s="14" cm="1">
        <f t="array" ref="U177">INT(SUMPRODUCT(--ISNUMBER(SEARCH(climate,C177)))&gt;0)</f>
        <v>0</v>
      </c>
      <c r="V177" s="14" cm="1">
        <f t="array" ref="V177">INT(SUMPRODUCT(--ISNUMBER(SEARCH(abortion,C177)))&gt;0)</f>
        <v>0</v>
      </c>
      <c r="W177" s="14" cm="1">
        <f t="array" ref="W177">INT(SUMPRODUCT(--ISNUMBER(SEARCH(trump,C177)))&gt;0)</f>
        <v>0</v>
      </c>
      <c r="X177" s="14" cm="1">
        <f t="array" ref="X177">INT(SUMPRODUCT(--ISNUMBER(SEARCH(voting,C177)))&gt;0)</f>
        <v>0</v>
      </c>
      <c r="Y177" s="35" cm="1">
        <f t="array" ref="Y177">INT(SUMPRODUCT(--ISNUMBER(SEARCH(republicantrigger,C177)))&gt;0)</f>
        <v>0</v>
      </c>
      <c r="Z177" s="35" cm="1">
        <f t="array" ref="Z177">INT(SUMPRODUCT(--ISNUMBER(SEARCH(bipartisan,C177)))&gt;0)</f>
        <v>0</v>
      </c>
      <c r="AA177" s="35">
        <f t="shared" si="2"/>
        <v>0</v>
      </c>
      <c r="AB177" s="14"/>
      <c r="AC177" s="30" t="s">
        <v>223</v>
      </c>
      <c r="AD177" s="37" t="s">
        <v>223</v>
      </c>
    </row>
    <row r="178" spans="1:30" x14ac:dyDescent="0.25">
      <c r="A178" s="36">
        <v>3718</v>
      </c>
      <c r="B178" s="14" t="s">
        <v>7189</v>
      </c>
      <c r="C178" s="14" t="s">
        <v>7190</v>
      </c>
      <c r="D178" s="17">
        <v>44119</v>
      </c>
      <c r="E178" s="14" t="s">
        <v>30</v>
      </c>
      <c r="F178" s="14">
        <v>50</v>
      </c>
      <c r="G178" s="14">
        <v>13</v>
      </c>
      <c r="H178" s="14">
        <v>17</v>
      </c>
      <c r="I178" s="14">
        <v>9</v>
      </c>
      <c r="J178" s="14" t="s">
        <v>31</v>
      </c>
      <c r="K178" s="14" cm="1">
        <f t="array" ref="K178">INT(SUMPRODUCT(--ISNUMBER(SEARCH(economy,C178)))&gt;0)</f>
        <v>0</v>
      </c>
      <c r="L178" s="14" cm="1">
        <f t="array" ref="L178">INT(SUMPRODUCT(--ISNUMBER(SEARCH(healthcare,C178)))&gt;0)</f>
        <v>0</v>
      </c>
      <c r="M178" s="14" cm="1">
        <f t="array" ref="M178">INT(SUMPRODUCT(--ISNUMBER(SEARCH(supreme,C178)))&gt;0)</f>
        <v>0</v>
      </c>
      <c r="N178" s="14" cm="1">
        <f t="array" ref="N178">INT(SUMPRODUCT(--ISNUMBER(SEARCH(covid,C178)))&gt;0)</f>
        <v>0</v>
      </c>
      <c r="O178" s="14" cm="1">
        <f t="array" ref="O178">INT(SUMPRODUCT(--ISNUMBER(SEARCH(violent,C178)))&gt;0)</f>
        <v>0</v>
      </c>
      <c r="P178" s="14" cm="1">
        <f t="array" ref="P178">INT(SUMPRODUCT(--ISNUMBER(SEARCH(foreign,C178)))&gt;0)</f>
        <v>0</v>
      </c>
      <c r="Q178" s="14" cm="1">
        <f t="array" ref="Q178">INT(SUMPRODUCT(--ISNUMBER(SEARCH(gun,C178)))&gt;0)</f>
        <v>0</v>
      </c>
      <c r="R178" s="14" cm="1">
        <f t="array" ref="R178">INT(SUMPRODUCT(--ISNUMBER(SEARCH(race,C178)))&gt;0)</f>
        <v>1</v>
      </c>
      <c r="S178" s="14" cm="1">
        <f t="array" ref="S178">INT(SUMPRODUCT(--ISNUMBER(SEARCH(immigration,C178)))&gt;0)</f>
        <v>1</v>
      </c>
      <c r="T178" s="14" cm="1">
        <f t="array" ref="T178">INT(SUMPRODUCT(--ISNUMBER(SEARCH(econineq,C179)))&gt;0)</f>
        <v>0</v>
      </c>
      <c r="U178" s="14" cm="1">
        <f t="array" ref="U178">INT(SUMPRODUCT(--ISNUMBER(SEARCH(climate,C178)))&gt;0)</f>
        <v>0</v>
      </c>
      <c r="V178" s="14" cm="1">
        <f t="array" ref="V178">INT(SUMPRODUCT(--ISNUMBER(SEARCH(abortion,C178)))&gt;0)</f>
        <v>0</v>
      </c>
      <c r="W178" s="14" cm="1">
        <f t="array" ref="W178">INT(SUMPRODUCT(--ISNUMBER(SEARCH(trump,C178)))&gt;0)</f>
        <v>0</v>
      </c>
      <c r="X178" s="14" cm="1">
        <f t="array" ref="X178">INT(SUMPRODUCT(--ISNUMBER(SEARCH(voting,C178)))&gt;0)</f>
        <v>0</v>
      </c>
      <c r="Y178" s="35" cm="1">
        <f t="array" ref="Y178">INT(SUMPRODUCT(--ISNUMBER(SEARCH(republicantrigger,C178)))&gt;0)</f>
        <v>1</v>
      </c>
      <c r="Z178" s="35" cm="1">
        <f t="array" ref="Z178">INT(SUMPRODUCT(--ISNUMBER(SEARCH(bipartisan,C178)))&gt;0)</f>
        <v>0</v>
      </c>
      <c r="AA178" s="35">
        <f t="shared" si="2"/>
        <v>0</v>
      </c>
      <c r="AB178" s="14"/>
      <c r="AC178" s="30" t="s">
        <v>223</v>
      </c>
      <c r="AD178" s="37" t="s">
        <v>223</v>
      </c>
    </row>
    <row r="179" spans="1:30" x14ac:dyDescent="0.25">
      <c r="A179" s="36">
        <v>3719</v>
      </c>
      <c r="B179" s="14" t="s">
        <v>7191</v>
      </c>
      <c r="C179" s="14" t="s">
        <v>7192</v>
      </c>
      <c r="D179" s="17">
        <v>44118</v>
      </c>
      <c r="E179" s="14" t="s">
        <v>30</v>
      </c>
      <c r="F179" s="14">
        <v>199</v>
      </c>
      <c r="G179" s="14">
        <v>47</v>
      </c>
      <c r="H179" s="14">
        <v>17</v>
      </c>
      <c r="I179" s="14">
        <v>9</v>
      </c>
      <c r="J179" s="14" t="s">
        <v>31</v>
      </c>
      <c r="K179" s="14" cm="1">
        <f t="array" ref="K179">INT(SUMPRODUCT(--ISNUMBER(SEARCH(economy,C179)))&gt;0)</f>
        <v>0</v>
      </c>
      <c r="L179" s="14" cm="1">
        <f t="array" ref="L179">INT(SUMPRODUCT(--ISNUMBER(SEARCH(healthcare,C179)))&gt;0)</f>
        <v>0</v>
      </c>
      <c r="M179" s="14" cm="1">
        <f t="array" ref="M179">INT(SUMPRODUCT(--ISNUMBER(SEARCH(supreme,C179)))&gt;0)</f>
        <v>1</v>
      </c>
      <c r="N179" s="14" cm="1">
        <f t="array" ref="N179">INT(SUMPRODUCT(--ISNUMBER(SEARCH(covid,C179)))&gt;0)</f>
        <v>0</v>
      </c>
      <c r="O179" s="14" cm="1">
        <f t="array" ref="O179">INT(SUMPRODUCT(--ISNUMBER(SEARCH(violent,C179)))&gt;0)</f>
        <v>0</v>
      </c>
      <c r="P179" s="14" cm="1">
        <f t="array" ref="P179">INT(SUMPRODUCT(--ISNUMBER(SEARCH(foreign,C179)))&gt;0)</f>
        <v>0</v>
      </c>
      <c r="Q179" s="14" cm="1">
        <f t="array" ref="Q179">INT(SUMPRODUCT(--ISNUMBER(SEARCH(gun,C179)))&gt;0)</f>
        <v>0</v>
      </c>
      <c r="R179" s="14" cm="1">
        <f t="array" ref="R179">INT(SUMPRODUCT(--ISNUMBER(SEARCH(race,C179)))&gt;0)</f>
        <v>0</v>
      </c>
      <c r="S179" s="14" cm="1">
        <f t="array" ref="S179">INT(SUMPRODUCT(--ISNUMBER(SEARCH(immigration,C179)))&gt;0)</f>
        <v>0</v>
      </c>
      <c r="T179" s="14" cm="1">
        <f t="array" ref="T179">INT(SUMPRODUCT(--ISNUMBER(SEARCH(econineq,C180)))&gt;0)</f>
        <v>0</v>
      </c>
      <c r="U179" s="14" cm="1">
        <f t="array" ref="U179">INT(SUMPRODUCT(--ISNUMBER(SEARCH(climate,C179)))&gt;0)</f>
        <v>0</v>
      </c>
      <c r="V179" s="14" cm="1">
        <f t="array" ref="V179">INT(SUMPRODUCT(--ISNUMBER(SEARCH(abortion,C179)))&gt;0)</f>
        <v>0</v>
      </c>
      <c r="W179" s="14" cm="1">
        <f t="array" ref="W179">INT(SUMPRODUCT(--ISNUMBER(SEARCH(trump,C179)))&gt;0)</f>
        <v>0</v>
      </c>
      <c r="X179" s="14" cm="1">
        <f t="array" ref="X179">INT(SUMPRODUCT(--ISNUMBER(SEARCH(voting,C179)))&gt;0)</f>
        <v>0</v>
      </c>
      <c r="Y179" s="35" cm="1">
        <f t="array" ref="Y179">INT(SUMPRODUCT(--ISNUMBER(SEARCH(republicantrigger,C179)))&gt;0)</f>
        <v>0</v>
      </c>
      <c r="Z179" s="35" cm="1">
        <f t="array" ref="Z179">INT(SUMPRODUCT(--ISNUMBER(SEARCH(bipartisan,C179)))&gt;0)</f>
        <v>0</v>
      </c>
      <c r="AA179" s="35">
        <f t="shared" si="2"/>
        <v>0</v>
      </c>
      <c r="AB179" s="14"/>
      <c r="AC179" s="30" t="s">
        <v>223</v>
      </c>
      <c r="AD179" s="37" t="s">
        <v>223</v>
      </c>
    </row>
    <row r="180" spans="1:30" x14ac:dyDescent="0.25">
      <c r="A180" s="36">
        <v>3720</v>
      </c>
      <c r="B180" s="14" t="s">
        <v>7193</v>
      </c>
      <c r="C180" s="14" t="s">
        <v>7194</v>
      </c>
      <c r="D180" s="17">
        <v>44118</v>
      </c>
      <c r="E180" s="14" t="s">
        <v>30</v>
      </c>
      <c r="F180" s="14">
        <v>220</v>
      </c>
      <c r="G180" s="14">
        <v>64</v>
      </c>
      <c r="H180" s="14">
        <v>17</v>
      </c>
      <c r="I180" s="14">
        <v>9</v>
      </c>
      <c r="J180" s="14" t="s">
        <v>31</v>
      </c>
      <c r="K180" s="14" cm="1">
        <f t="array" ref="K180">INT(SUMPRODUCT(--ISNUMBER(SEARCH(economy,C180)))&gt;0)</f>
        <v>0</v>
      </c>
      <c r="L180" s="14" cm="1">
        <f t="array" ref="L180">INT(SUMPRODUCT(--ISNUMBER(SEARCH(healthcare,C180)))&gt;0)</f>
        <v>0</v>
      </c>
      <c r="M180" s="14" cm="1">
        <f t="array" ref="M180">INT(SUMPRODUCT(--ISNUMBER(SEARCH(supreme,C180)))&gt;0)</f>
        <v>0</v>
      </c>
      <c r="N180" s="14" cm="1">
        <f t="array" ref="N180">INT(SUMPRODUCT(--ISNUMBER(SEARCH(covid,C180)))&gt;0)</f>
        <v>0</v>
      </c>
      <c r="O180" s="14" cm="1">
        <f t="array" ref="O180">INT(SUMPRODUCT(--ISNUMBER(SEARCH(violent,C180)))&gt;0)</f>
        <v>0</v>
      </c>
      <c r="P180" s="14" cm="1">
        <f t="array" ref="P180">INT(SUMPRODUCT(--ISNUMBER(SEARCH(foreign,C180)))&gt;0)</f>
        <v>0</v>
      </c>
      <c r="Q180" s="14" cm="1">
        <f t="array" ref="Q180">INT(SUMPRODUCT(--ISNUMBER(SEARCH(gun,C180)))&gt;0)</f>
        <v>0</v>
      </c>
      <c r="R180" s="14" cm="1">
        <f t="array" ref="R180">INT(SUMPRODUCT(--ISNUMBER(SEARCH(race,C180)))&gt;0)</f>
        <v>0</v>
      </c>
      <c r="S180" s="14" cm="1">
        <f t="array" ref="S180">INT(SUMPRODUCT(--ISNUMBER(SEARCH(immigration,C180)))&gt;0)</f>
        <v>0</v>
      </c>
      <c r="T180" s="14" cm="1">
        <f t="array" ref="T180">INT(SUMPRODUCT(--ISNUMBER(SEARCH(econineq,C181)))&gt;0)</f>
        <v>0</v>
      </c>
      <c r="U180" s="14" cm="1">
        <f t="array" ref="U180">INT(SUMPRODUCT(--ISNUMBER(SEARCH(climate,C180)))&gt;0)</f>
        <v>0</v>
      </c>
      <c r="V180" s="14" cm="1">
        <f t="array" ref="V180">INT(SUMPRODUCT(--ISNUMBER(SEARCH(abortion,C180)))&gt;0)</f>
        <v>0</v>
      </c>
      <c r="W180" s="14" cm="1">
        <f t="array" ref="W180">INT(SUMPRODUCT(--ISNUMBER(SEARCH(trump,C180)))&gt;0)</f>
        <v>0</v>
      </c>
      <c r="X180" s="14" cm="1">
        <f t="array" ref="X180">INT(SUMPRODUCT(--ISNUMBER(SEARCH(voting,C180)))&gt;0)</f>
        <v>0</v>
      </c>
      <c r="Y180" s="35" cm="1">
        <f t="array" ref="Y180">INT(SUMPRODUCT(--ISNUMBER(SEARCH(republicantrigger,C180)))&gt;0)</f>
        <v>0</v>
      </c>
      <c r="Z180" s="35" cm="1">
        <f t="array" ref="Z180">INT(SUMPRODUCT(--ISNUMBER(SEARCH(bipartisan,C180)))&gt;0)</f>
        <v>0</v>
      </c>
      <c r="AA180" s="35">
        <f t="shared" si="2"/>
        <v>1</v>
      </c>
      <c r="AB180" s="14"/>
      <c r="AC180" s="30" t="s">
        <v>223</v>
      </c>
      <c r="AD180" s="37" t="s">
        <v>223</v>
      </c>
    </row>
    <row r="181" spans="1:30" x14ac:dyDescent="0.25">
      <c r="A181" s="36">
        <v>3721</v>
      </c>
      <c r="B181" s="14" t="s">
        <v>7195</v>
      </c>
      <c r="C181" s="14" t="s">
        <v>7196</v>
      </c>
      <c r="D181" s="17">
        <v>44118</v>
      </c>
      <c r="E181" s="14" t="s">
        <v>30</v>
      </c>
      <c r="F181" s="14">
        <v>210</v>
      </c>
      <c r="G181" s="14">
        <v>72</v>
      </c>
      <c r="H181" s="14">
        <v>17</v>
      </c>
      <c r="I181" s="14">
        <v>9</v>
      </c>
      <c r="J181" s="14" t="s">
        <v>31</v>
      </c>
      <c r="K181" s="14" cm="1">
        <f t="array" ref="K181">INT(SUMPRODUCT(--ISNUMBER(SEARCH(economy,C181)))&gt;0)</f>
        <v>0</v>
      </c>
      <c r="L181" s="14" cm="1">
        <f t="array" ref="L181">INT(SUMPRODUCT(--ISNUMBER(SEARCH(healthcare,C181)))&gt;0)</f>
        <v>0</v>
      </c>
      <c r="M181" s="14" cm="1">
        <f t="array" ref="M181">INT(SUMPRODUCT(--ISNUMBER(SEARCH(supreme,C181)))&gt;0)</f>
        <v>0</v>
      </c>
      <c r="N181" s="14" cm="1">
        <f t="array" ref="N181">INT(SUMPRODUCT(--ISNUMBER(SEARCH(covid,C181)))&gt;0)</f>
        <v>1</v>
      </c>
      <c r="O181" s="14" cm="1">
        <f t="array" ref="O181">INT(SUMPRODUCT(--ISNUMBER(SEARCH(violent,C181)))&gt;0)</f>
        <v>0</v>
      </c>
      <c r="P181" s="14" cm="1">
        <f t="array" ref="P181">INT(SUMPRODUCT(--ISNUMBER(SEARCH(foreign,C181)))&gt;0)</f>
        <v>0</v>
      </c>
      <c r="Q181" s="14" cm="1">
        <f t="array" ref="Q181">INT(SUMPRODUCT(--ISNUMBER(SEARCH(gun,C181)))&gt;0)</f>
        <v>0</v>
      </c>
      <c r="R181" s="14" cm="1">
        <f t="array" ref="R181">INT(SUMPRODUCT(--ISNUMBER(SEARCH(race,C181)))&gt;0)</f>
        <v>0</v>
      </c>
      <c r="S181" s="14" cm="1">
        <f t="array" ref="S181">INT(SUMPRODUCT(--ISNUMBER(SEARCH(immigration,C181)))&gt;0)</f>
        <v>0</v>
      </c>
      <c r="T181" s="14" cm="1">
        <f t="array" ref="T181">INT(SUMPRODUCT(--ISNUMBER(SEARCH(econineq,C182)))&gt;0)</f>
        <v>0</v>
      </c>
      <c r="U181" s="14" cm="1">
        <f t="array" ref="U181">INT(SUMPRODUCT(--ISNUMBER(SEARCH(climate,C181)))&gt;0)</f>
        <v>0</v>
      </c>
      <c r="V181" s="14" cm="1">
        <f t="array" ref="V181">INT(SUMPRODUCT(--ISNUMBER(SEARCH(abortion,C181)))&gt;0)</f>
        <v>0</v>
      </c>
      <c r="W181" s="14" cm="1">
        <f t="array" ref="W181">INT(SUMPRODUCT(--ISNUMBER(SEARCH(trump,C181)))&gt;0)</f>
        <v>0</v>
      </c>
      <c r="X181" s="14" cm="1">
        <f t="array" ref="X181">INT(SUMPRODUCT(--ISNUMBER(SEARCH(voting,C181)))&gt;0)</f>
        <v>0</v>
      </c>
      <c r="Y181" s="35" cm="1">
        <f t="array" ref="Y181">INT(SUMPRODUCT(--ISNUMBER(SEARCH(republicantrigger,C181)))&gt;0)</f>
        <v>0</v>
      </c>
      <c r="Z181" s="35" cm="1">
        <f t="array" ref="Z181">INT(SUMPRODUCT(--ISNUMBER(SEARCH(bipartisan,C181)))&gt;0)</f>
        <v>0</v>
      </c>
      <c r="AA181" s="35">
        <f t="shared" si="2"/>
        <v>0</v>
      </c>
      <c r="AB181" s="14"/>
      <c r="AC181" s="30" t="s">
        <v>223</v>
      </c>
      <c r="AD181" s="37" t="s">
        <v>223</v>
      </c>
    </row>
    <row r="182" spans="1:30" x14ac:dyDescent="0.25">
      <c r="A182" s="36">
        <v>3722</v>
      </c>
      <c r="B182" s="14" t="s">
        <v>7197</v>
      </c>
      <c r="C182" s="14" t="s">
        <v>7198</v>
      </c>
      <c r="D182" s="17">
        <v>44118</v>
      </c>
      <c r="E182" s="14" t="s">
        <v>30</v>
      </c>
      <c r="F182" s="14">
        <v>212</v>
      </c>
      <c r="G182" s="14">
        <v>64</v>
      </c>
      <c r="H182" s="14">
        <v>17</v>
      </c>
      <c r="I182" s="14">
        <v>9</v>
      </c>
      <c r="J182" s="14" t="s">
        <v>31</v>
      </c>
      <c r="K182" s="14" cm="1">
        <f t="array" ref="K182">INT(SUMPRODUCT(--ISNUMBER(SEARCH(economy,C182)))&gt;0)</f>
        <v>0</v>
      </c>
      <c r="L182" s="14" cm="1">
        <f t="array" ref="L182">INT(SUMPRODUCT(--ISNUMBER(SEARCH(healthcare,C182)))&gt;0)</f>
        <v>0</v>
      </c>
      <c r="M182" s="14" cm="1">
        <f t="array" ref="M182">INT(SUMPRODUCT(--ISNUMBER(SEARCH(supreme,C182)))&gt;0)</f>
        <v>0</v>
      </c>
      <c r="N182" s="14" cm="1">
        <f t="array" ref="N182">INT(SUMPRODUCT(--ISNUMBER(SEARCH(covid,C182)))&gt;0)</f>
        <v>0</v>
      </c>
      <c r="O182" s="14" cm="1">
        <f t="array" ref="O182">INT(SUMPRODUCT(--ISNUMBER(SEARCH(violent,C182)))&gt;0)</f>
        <v>0</v>
      </c>
      <c r="P182" s="14" cm="1">
        <f t="array" ref="P182">INT(SUMPRODUCT(--ISNUMBER(SEARCH(foreign,C182)))&gt;0)</f>
        <v>0</v>
      </c>
      <c r="Q182" s="14" cm="1">
        <f t="array" ref="Q182">INT(SUMPRODUCT(--ISNUMBER(SEARCH(gun,C182)))&gt;0)</f>
        <v>0</v>
      </c>
      <c r="R182" s="14" cm="1">
        <f t="array" ref="R182">INT(SUMPRODUCT(--ISNUMBER(SEARCH(race,C182)))&gt;0)</f>
        <v>0</v>
      </c>
      <c r="S182" s="14" cm="1">
        <f t="array" ref="S182">INT(SUMPRODUCT(--ISNUMBER(SEARCH(immigration,C182)))&gt;0)</f>
        <v>0</v>
      </c>
      <c r="T182" s="14" cm="1">
        <f t="array" ref="T182">INT(SUMPRODUCT(--ISNUMBER(SEARCH(econineq,C183)))&gt;0)</f>
        <v>0</v>
      </c>
      <c r="U182" s="14" cm="1">
        <f t="array" ref="U182">INT(SUMPRODUCT(--ISNUMBER(SEARCH(climate,C182)))&gt;0)</f>
        <v>0</v>
      </c>
      <c r="V182" s="14" cm="1">
        <f t="array" ref="V182">INT(SUMPRODUCT(--ISNUMBER(SEARCH(abortion,C182)))&gt;0)</f>
        <v>0</v>
      </c>
      <c r="W182" s="14" cm="1">
        <f t="array" ref="W182">INT(SUMPRODUCT(--ISNUMBER(SEARCH(trump,C182)))&gt;0)</f>
        <v>0</v>
      </c>
      <c r="X182" s="14" cm="1">
        <f t="array" ref="X182">INT(SUMPRODUCT(--ISNUMBER(SEARCH(voting,C182)))&gt;0)</f>
        <v>1</v>
      </c>
      <c r="Y182" s="35" cm="1">
        <f t="array" ref="Y182">INT(SUMPRODUCT(--ISNUMBER(SEARCH(republicantrigger,C182)))&gt;0)</f>
        <v>0</v>
      </c>
      <c r="Z182" s="35" cm="1">
        <f t="array" ref="Z182">INT(SUMPRODUCT(--ISNUMBER(SEARCH(bipartisan,C182)))&gt;0)</f>
        <v>0</v>
      </c>
      <c r="AA182" s="35">
        <f t="shared" si="2"/>
        <v>0</v>
      </c>
      <c r="AB182" s="14"/>
      <c r="AC182" s="30" t="s">
        <v>223</v>
      </c>
      <c r="AD182" s="37" t="s">
        <v>223</v>
      </c>
    </row>
    <row r="183" spans="1:30" x14ac:dyDescent="0.25">
      <c r="A183" s="36">
        <v>3723</v>
      </c>
      <c r="B183" s="14" t="s">
        <v>7199</v>
      </c>
      <c r="C183" s="14" t="s">
        <v>7200</v>
      </c>
      <c r="D183" s="17">
        <v>44118</v>
      </c>
      <c r="E183" s="14" t="s">
        <v>30</v>
      </c>
      <c r="F183" s="14">
        <v>435</v>
      </c>
      <c r="G183" s="14">
        <v>210</v>
      </c>
      <c r="H183" s="14">
        <v>17</v>
      </c>
      <c r="I183" s="14">
        <v>9</v>
      </c>
      <c r="J183" s="14" t="s">
        <v>31</v>
      </c>
      <c r="K183" s="14" cm="1">
        <f t="array" ref="K183">INT(SUMPRODUCT(--ISNUMBER(SEARCH(economy,C183)))&gt;0)</f>
        <v>0</v>
      </c>
      <c r="L183" s="14" cm="1">
        <f t="array" ref="L183">INT(SUMPRODUCT(--ISNUMBER(SEARCH(healthcare,C183)))&gt;0)</f>
        <v>0</v>
      </c>
      <c r="M183" s="14" cm="1">
        <f t="array" ref="M183">INT(SUMPRODUCT(--ISNUMBER(SEARCH(supreme,C183)))&gt;0)</f>
        <v>0</v>
      </c>
      <c r="N183" s="14" cm="1">
        <f t="array" ref="N183">INT(SUMPRODUCT(--ISNUMBER(SEARCH(covid,C183)))&gt;0)</f>
        <v>0</v>
      </c>
      <c r="O183" s="14" cm="1">
        <f t="array" ref="O183">INT(SUMPRODUCT(--ISNUMBER(SEARCH(violent,C183)))&gt;0)</f>
        <v>0</v>
      </c>
      <c r="P183" s="14" cm="1">
        <f t="array" ref="P183">INT(SUMPRODUCT(--ISNUMBER(SEARCH(foreign,C183)))&gt;0)</f>
        <v>0</v>
      </c>
      <c r="Q183" s="14" cm="1">
        <f t="array" ref="Q183">INT(SUMPRODUCT(--ISNUMBER(SEARCH(gun,C183)))&gt;0)</f>
        <v>0</v>
      </c>
      <c r="R183" s="14" cm="1">
        <f t="array" ref="R183">INT(SUMPRODUCT(--ISNUMBER(SEARCH(race,C183)))&gt;0)</f>
        <v>0</v>
      </c>
      <c r="S183" s="14" cm="1">
        <f t="array" ref="S183">INT(SUMPRODUCT(--ISNUMBER(SEARCH(immigration,C183)))&gt;0)</f>
        <v>0</v>
      </c>
      <c r="T183" s="14" cm="1">
        <f t="array" ref="T183">INT(SUMPRODUCT(--ISNUMBER(SEARCH(econineq,C184)))&gt;0)</f>
        <v>0</v>
      </c>
      <c r="U183" s="14" cm="1">
        <f t="array" ref="U183">INT(SUMPRODUCT(--ISNUMBER(SEARCH(climate,C183)))&gt;0)</f>
        <v>0</v>
      </c>
      <c r="V183" s="14" cm="1">
        <f t="array" ref="V183">INT(SUMPRODUCT(--ISNUMBER(SEARCH(abortion,C183)))&gt;0)</f>
        <v>0</v>
      </c>
      <c r="W183" s="14" cm="1">
        <f t="array" ref="W183">INT(SUMPRODUCT(--ISNUMBER(SEARCH(trump,C183)))&gt;0)</f>
        <v>0</v>
      </c>
      <c r="X183" s="14" cm="1">
        <f t="array" ref="X183">INT(SUMPRODUCT(--ISNUMBER(SEARCH(voting,C183)))&gt;0)</f>
        <v>0</v>
      </c>
      <c r="Y183" s="35" cm="1">
        <f t="array" ref="Y183">INT(SUMPRODUCT(--ISNUMBER(SEARCH(republicantrigger,C183)))&gt;0)</f>
        <v>0</v>
      </c>
      <c r="Z183" s="35" cm="1">
        <f t="array" ref="Z183">INT(SUMPRODUCT(--ISNUMBER(SEARCH(bipartisan,C183)))&gt;0)</f>
        <v>1</v>
      </c>
      <c r="AA183" s="35">
        <f t="shared" si="2"/>
        <v>0</v>
      </c>
      <c r="AB183" s="14"/>
      <c r="AC183" s="30" t="s">
        <v>223</v>
      </c>
      <c r="AD183" s="37" t="s">
        <v>223</v>
      </c>
    </row>
    <row r="184" spans="1:30" x14ac:dyDescent="0.25">
      <c r="A184" s="36">
        <v>3724</v>
      </c>
      <c r="B184" s="14" t="s">
        <v>7201</v>
      </c>
      <c r="C184" s="14" t="s">
        <v>7202</v>
      </c>
      <c r="D184" s="17">
        <v>44118</v>
      </c>
      <c r="E184" s="14" t="s">
        <v>30</v>
      </c>
      <c r="F184" s="14">
        <v>48</v>
      </c>
      <c r="G184" s="14">
        <v>10</v>
      </c>
      <c r="H184" s="14">
        <v>17</v>
      </c>
      <c r="I184" s="14">
        <v>9</v>
      </c>
      <c r="J184" s="14" t="s">
        <v>31</v>
      </c>
      <c r="K184" s="14" cm="1">
        <f t="array" ref="K184">INT(SUMPRODUCT(--ISNUMBER(SEARCH(economy,C184)))&gt;0)</f>
        <v>0</v>
      </c>
      <c r="L184" s="14" cm="1">
        <f t="array" ref="L184">INT(SUMPRODUCT(--ISNUMBER(SEARCH(healthcare,C184)))&gt;0)</f>
        <v>0</v>
      </c>
      <c r="M184" s="14" cm="1">
        <f t="array" ref="M184">INT(SUMPRODUCT(--ISNUMBER(SEARCH(supreme,C184)))&gt;0)</f>
        <v>0</v>
      </c>
      <c r="N184" s="14" cm="1">
        <f t="array" ref="N184">INT(SUMPRODUCT(--ISNUMBER(SEARCH(covid,C184)))&gt;0)</f>
        <v>0</v>
      </c>
      <c r="O184" s="14" cm="1">
        <f t="array" ref="O184">INT(SUMPRODUCT(--ISNUMBER(SEARCH(violent,C184)))&gt;0)</f>
        <v>0</v>
      </c>
      <c r="P184" s="14" cm="1">
        <f t="array" ref="P184">INT(SUMPRODUCT(--ISNUMBER(SEARCH(foreign,C184)))&gt;0)</f>
        <v>0</v>
      </c>
      <c r="Q184" s="14" cm="1">
        <f t="array" ref="Q184">INT(SUMPRODUCT(--ISNUMBER(SEARCH(gun,C184)))&gt;0)</f>
        <v>0</v>
      </c>
      <c r="R184" s="14" cm="1">
        <f t="array" ref="R184">INT(SUMPRODUCT(--ISNUMBER(SEARCH(race,C184)))&gt;0)</f>
        <v>0</v>
      </c>
      <c r="S184" s="14" cm="1">
        <f t="array" ref="S184">INT(SUMPRODUCT(--ISNUMBER(SEARCH(immigration,C184)))&gt;0)</f>
        <v>0</v>
      </c>
      <c r="T184" s="14" cm="1">
        <f t="array" ref="T184">INT(SUMPRODUCT(--ISNUMBER(SEARCH(econineq,C185)))&gt;0)</f>
        <v>0</v>
      </c>
      <c r="U184" s="14" cm="1">
        <f t="array" ref="U184">INT(SUMPRODUCT(--ISNUMBER(SEARCH(climate,C184)))&gt;0)</f>
        <v>0</v>
      </c>
      <c r="V184" s="14" cm="1">
        <f t="array" ref="V184">INT(SUMPRODUCT(--ISNUMBER(SEARCH(abortion,C184)))&gt;0)</f>
        <v>0</v>
      </c>
      <c r="W184" s="14" cm="1">
        <f t="array" ref="W184">INT(SUMPRODUCT(--ISNUMBER(SEARCH(trump,C184)))&gt;0)</f>
        <v>0</v>
      </c>
      <c r="X184" s="14" cm="1">
        <f t="array" ref="X184">INT(SUMPRODUCT(--ISNUMBER(SEARCH(voting,C184)))&gt;0)</f>
        <v>0</v>
      </c>
      <c r="Y184" s="35" cm="1">
        <f t="array" ref="Y184">INT(SUMPRODUCT(--ISNUMBER(SEARCH(republicantrigger,C184)))&gt;0)</f>
        <v>0</v>
      </c>
      <c r="Z184" s="35" cm="1">
        <f t="array" ref="Z184">INT(SUMPRODUCT(--ISNUMBER(SEARCH(bipartisan,C184)))&gt;0)</f>
        <v>0</v>
      </c>
      <c r="AA184" s="35">
        <f t="shared" si="2"/>
        <v>1</v>
      </c>
      <c r="AB184" s="14"/>
      <c r="AC184" s="30" t="s">
        <v>223</v>
      </c>
      <c r="AD184" s="37" t="s">
        <v>223</v>
      </c>
    </row>
    <row r="185" spans="1:30" x14ac:dyDescent="0.25">
      <c r="A185" s="36">
        <v>3725</v>
      </c>
      <c r="B185" s="14" t="s">
        <v>7203</v>
      </c>
      <c r="C185" s="14" t="s">
        <v>7204</v>
      </c>
      <c r="D185" s="17">
        <v>44118</v>
      </c>
      <c r="E185" s="14" t="s">
        <v>30</v>
      </c>
      <c r="F185" s="14">
        <v>673</v>
      </c>
      <c r="G185" s="14">
        <v>300</v>
      </c>
      <c r="H185" s="14">
        <v>17</v>
      </c>
      <c r="I185" s="14">
        <v>9</v>
      </c>
      <c r="J185" s="14" t="s">
        <v>31</v>
      </c>
      <c r="K185" s="14" cm="1">
        <f t="array" ref="K185">INT(SUMPRODUCT(--ISNUMBER(SEARCH(economy,C185)))&gt;0)</f>
        <v>0</v>
      </c>
      <c r="L185" s="14" cm="1">
        <f t="array" ref="L185">INT(SUMPRODUCT(--ISNUMBER(SEARCH(healthcare,C185)))&gt;0)</f>
        <v>1</v>
      </c>
      <c r="M185" s="14" cm="1">
        <f t="array" ref="M185">INT(SUMPRODUCT(--ISNUMBER(SEARCH(supreme,C185)))&gt;0)</f>
        <v>0</v>
      </c>
      <c r="N185" s="14" cm="1">
        <f t="array" ref="N185">INT(SUMPRODUCT(--ISNUMBER(SEARCH(covid,C185)))&gt;0)</f>
        <v>0</v>
      </c>
      <c r="O185" s="14" cm="1">
        <f t="array" ref="O185">INT(SUMPRODUCT(--ISNUMBER(SEARCH(violent,C185)))&gt;0)</f>
        <v>0</v>
      </c>
      <c r="P185" s="14" cm="1">
        <f t="array" ref="P185">INT(SUMPRODUCT(--ISNUMBER(SEARCH(foreign,C185)))&gt;0)</f>
        <v>0</v>
      </c>
      <c r="Q185" s="14" cm="1">
        <f t="array" ref="Q185">INT(SUMPRODUCT(--ISNUMBER(SEARCH(gun,C185)))&gt;0)</f>
        <v>0</v>
      </c>
      <c r="R185" s="14" cm="1">
        <f t="array" ref="R185">INT(SUMPRODUCT(--ISNUMBER(SEARCH(race,C185)))&gt;0)</f>
        <v>0</v>
      </c>
      <c r="S185" s="14" cm="1">
        <f t="array" ref="S185">INT(SUMPRODUCT(--ISNUMBER(SEARCH(immigration,C185)))&gt;0)</f>
        <v>0</v>
      </c>
      <c r="T185" s="14" cm="1">
        <f t="array" ref="T185">INT(SUMPRODUCT(--ISNUMBER(SEARCH(econineq,C186)))&gt;0)</f>
        <v>0</v>
      </c>
      <c r="U185" s="14" cm="1">
        <f t="array" ref="U185">INT(SUMPRODUCT(--ISNUMBER(SEARCH(climate,C185)))&gt;0)</f>
        <v>0</v>
      </c>
      <c r="V185" s="14" cm="1">
        <f t="array" ref="V185">INT(SUMPRODUCT(--ISNUMBER(SEARCH(abortion,C185)))&gt;0)</f>
        <v>0</v>
      </c>
      <c r="W185" s="14" cm="1">
        <f t="array" ref="W185">INT(SUMPRODUCT(--ISNUMBER(SEARCH(trump,C185)))&gt;0)</f>
        <v>0</v>
      </c>
      <c r="X185" s="14" cm="1">
        <f t="array" ref="X185">INT(SUMPRODUCT(--ISNUMBER(SEARCH(voting,C185)))&gt;0)</f>
        <v>0</v>
      </c>
      <c r="Y185" s="35" cm="1">
        <f t="array" ref="Y185">INT(SUMPRODUCT(--ISNUMBER(SEARCH(republicantrigger,C185)))&gt;0)</f>
        <v>0</v>
      </c>
      <c r="Z185" s="35" cm="1">
        <f t="array" ref="Z185">INT(SUMPRODUCT(--ISNUMBER(SEARCH(bipartisan,C185)))&gt;0)</f>
        <v>0</v>
      </c>
      <c r="AA185" s="35">
        <f t="shared" si="2"/>
        <v>0</v>
      </c>
      <c r="AB185" s="14"/>
      <c r="AC185" s="30" t="s">
        <v>223</v>
      </c>
      <c r="AD185" s="37" t="s">
        <v>223</v>
      </c>
    </row>
    <row r="186" spans="1:30" x14ac:dyDescent="0.25">
      <c r="A186" s="36">
        <v>3726</v>
      </c>
      <c r="B186" s="14" t="s">
        <v>7205</v>
      </c>
      <c r="C186" s="14" t="s">
        <v>7206</v>
      </c>
      <c r="D186" s="17">
        <v>44118</v>
      </c>
      <c r="E186" s="14" t="s">
        <v>30</v>
      </c>
      <c r="F186" s="14">
        <v>41</v>
      </c>
      <c r="G186" s="14">
        <v>14</v>
      </c>
      <c r="H186" s="14">
        <v>17</v>
      </c>
      <c r="I186" s="14">
        <v>9</v>
      </c>
      <c r="J186" s="14" t="s">
        <v>31</v>
      </c>
      <c r="K186" s="14" cm="1">
        <f t="array" ref="K186">INT(SUMPRODUCT(--ISNUMBER(SEARCH(economy,C186)))&gt;0)</f>
        <v>0</v>
      </c>
      <c r="L186" s="14" cm="1">
        <f t="array" ref="L186">INT(SUMPRODUCT(--ISNUMBER(SEARCH(healthcare,C186)))&gt;0)</f>
        <v>0</v>
      </c>
      <c r="M186" s="14" cm="1">
        <f t="array" ref="M186">INT(SUMPRODUCT(--ISNUMBER(SEARCH(supreme,C186)))&gt;0)</f>
        <v>0</v>
      </c>
      <c r="N186" s="14" cm="1">
        <f t="array" ref="N186">INT(SUMPRODUCT(--ISNUMBER(SEARCH(covid,C186)))&gt;0)</f>
        <v>0</v>
      </c>
      <c r="O186" s="14" cm="1">
        <f t="array" ref="O186">INT(SUMPRODUCT(--ISNUMBER(SEARCH(violent,C186)))&gt;0)</f>
        <v>0</v>
      </c>
      <c r="P186" s="14" cm="1">
        <f t="array" ref="P186">INT(SUMPRODUCT(--ISNUMBER(SEARCH(foreign,C186)))&gt;0)</f>
        <v>0</v>
      </c>
      <c r="Q186" s="14" cm="1">
        <f t="array" ref="Q186">INT(SUMPRODUCT(--ISNUMBER(SEARCH(gun,C186)))&gt;0)</f>
        <v>0</v>
      </c>
      <c r="R186" s="14" cm="1">
        <f t="array" ref="R186">INT(SUMPRODUCT(--ISNUMBER(SEARCH(race,C186)))&gt;0)</f>
        <v>0</v>
      </c>
      <c r="S186" s="14" cm="1">
        <f t="array" ref="S186">INT(SUMPRODUCT(--ISNUMBER(SEARCH(immigration,C186)))&gt;0)</f>
        <v>0</v>
      </c>
      <c r="T186" s="14" cm="1">
        <f t="array" ref="T186">INT(SUMPRODUCT(--ISNUMBER(SEARCH(econineq,C187)))&gt;0)</f>
        <v>0</v>
      </c>
      <c r="U186" s="14" cm="1">
        <f t="array" ref="U186">INT(SUMPRODUCT(--ISNUMBER(SEARCH(climate,C186)))&gt;0)</f>
        <v>0</v>
      </c>
      <c r="V186" s="14" cm="1">
        <f t="array" ref="V186">INT(SUMPRODUCT(--ISNUMBER(SEARCH(abortion,C186)))&gt;0)</f>
        <v>0</v>
      </c>
      <c r="W186" s="14" cm="1">
        <f t="array" ref="W186">INT(SUMPRODUCT(--ISNUMBER(SEARCH(trump,C186)))&gt;0)</f>
        <v>0</v>
      </c>
      <c r="X186" s="14" cm="1">
        <f t="array" ref="X186">INT(SUMPRODUCT(--ISNUMBER(SEARCH(voting,C186)))&gt;0)</f>
        <v>0</v>
      </c>
      <c r="Y186" s="35" cm="1">
        <f t="array" ref="Y186">INT(SUMPRODUCT(--ISNUMBER(SEARCH(republicantrigger,C186)))&gt;0)</f>
        <v>0</v>
      </c>
      <c r="Z186" s="35" cm="1">
        <f t="array" ref="Z186">INT(SUMPRODUCT(--ISNUMBER(SEARCH(bipartisan,C186)))&gt;0)</f>
        <v>0</v>
      </c>
      <c r="AA186" s="35">
        <f t="shared" si="2"/>
        <v>1</v>
      </c>
      <c r="AB186" s="14"/>
      <c r="AC186" s="30" t="s">
        <v>223</v>
      </c>
      <c r="AD186" s="37" t="s">
        <v>223</v>
      </c>
    </row>
    <row r="187" spans="1:30" x14ac:dyDescent="0.25">
      <c r="A187" s="36">
        <v>3727</v>
      </c>
      <c r="B187" s="14" t="s">
        <v>7207</v>
      </c>
      <c r="C187" s="14" t="s">
        <v>7208</v>
      </c>
      <c r="D187" s="17">
        <v>44118</v>
      </c>
      <c r="E187" s="14" t="s">
        <v>30</v>
      </c>
      <c r="F187" s="14">
        <v>402</v>
      </c>
      <c r="G187" s="14">
        <v>91</v>
      </c>
      <c r="H187" s="14">
        <v>17</v>
      </c>
      <c r="I187" s="14">
        <v>9</v>
      </c>
      <c r="J187" s="14" t="s">
        <v>31</v>
      </c>
      <c r="K187" s="14" cm="1">
        <f t="array" ref="K187">INT(SUMPRODUCT(--ISNUMBER(SEARCH(economy,C187)))&gt;0)</f>
        <v>0</v>
      </c>
      <c r="L187" s="14" cm="1">
        <f t="array" ref="L187">INT(SUMPRODUCT(--ISNUMBER(SEARCH(healthcare,C187)))&gt;0)</f>
        <v>0</v>
      </c>
      <c r="M187" s="14" cm="1">
        <f t="array" ref="M187">INT(SUMPRODUCT(--ISNUMBER(SEARCH(supreme,C187)))&gt;0)</f>
        <v>0</v>
      </c>
      <c r="N187" s="14" cm="1">
        <f t="array" ref="N187">INT(SUMPRODUCT(--ISNUMBER(SEARCH(covid,C187)))&gt;0)</f>
        <v>0</v>
      </c>
      <c r="O187" s="14" cm="1">
        <f t="array" ref="O187">INT(SUMPRODUCT(--ISNUMBER(SEARCH(violent,C187)))&gt;0)</f>
        <v>0</v>
      </c>
      <c r="P187" s="14" cm="1">
        <f t="array" ref="P187">INT(SUMPRODUCT(--ISNUMBER(SEARCH(foreign,C187)))&gt;0)</f>
        <v>0</v>
      </c>
      <c r="Q187" s="14" cm="1">
        <f t="array" ref="Q187">INT(SUMPRODUCT(--ISNUMBER(SEARCH(gun,C187)))&gt;0)</f>
        <v>0</v>
      </c>
      <c r="R187" s="14" cm="1">
        <f t="array" ref="R187">INT(SUMPRODUCT(--ISNUMBER(SEARCH(race,C187)))&gt;0)</f>
        <v>0</v>
      </c>
      <c r="S187" s="14" cm="1">
        <f t="array" ref="S187">INT(SUMPRODUCT(--ISNUMBER(SEARCH(immigration,C187)))&gt;0)</f>
        <v>0</v>
      </c>
      <c r="T187" s="14" cm="1">
        <f t="array" ref="T187">INT(SUMPRODUCT(--ISNUMBER(SEARCH(econineq,C188)))&gt;0)</f>
        <v>0</v>
      </c>
      <c r="U187" s="14" cm="1">
        <f t="array" ref="U187">INT(SUMPRODUCT(--ISNUMBER(SEARCH(climate,C187)))&gt;0)</f>
        <v>0</v>
      </c>
      <c r="V187" s="14" cm="1">
        <f t="array" ref="V187">INT(SUMPRODUCT(--ISNUMBER(SEARCH(abortion,C187)))&gt;0)</f>
        <v>0</v>
      </c>
      <c r="W187" s="14" cm="1">
        <f t="array" ref="W187">INT(SUMPRODUCT(--ISNUMBER(SEARCH(trump,C187)))&gt;0)</f>
        <v>0</v>
      </c>
      <c r="X187" s="14" cm="1">
        <f t="array" ref="X187">INT(SUMPRODUCT(--ISNUMBER(SEARCH(voting,C187)))&gt;0)</f>
        <v>0</v>
      </c>
      <c r="Y187" s="35" cm="1">
        <f t="array" ref="Y187">INT(SUMPRODUCT(--ISNUMBER(SEARCH(republicantrigger,C187)))&gt;0)</f>
        <v>0</v>
      </c>
      <c r="Z187" s="35" cm="1">
        <f t="array" ref="Z187">INT(SUMPRODUCT(--ISNUMBER(SEARCH(bipartisan,C187)))&gt;0)</f>
        <v>0</v>
      </c>
      <c r="AA187" s="35">
        <f t="shared" si="2"/>
        <v>1</v>
      </c>
      <c r="AB187" s="14"/>
      <c r="AC187" s="30" t="s">
        <v>223</v>
      </c>
      <c r="AD187" s="37" t="s">
        <v>223</v>
      </c>
    </row>
    <row r="188" spans="1:30" x14ac:dyDescent="0.25">
      <c r="A188" s="36">
        <v>3728</v>
      </c>
      <c r="B188" s="14" t="s">
        <v>7209</v>
      </c>
      <c r="C188" s="14" t="s">
        <v>7210</v>
      </c>
      <c r="D188" s="17">
        <v>44118</v>
      </c>
      <c r="E188" s="14" t="s">
        <v>30</v>
      </c>
      <c r="F188" s="14">
        <v>489</v>
      </c>
      <c r="G188" s="14">
        <v>91</v>
      </c>
      <c r="H188" s="14">
        <v>17</v>
      </c>
      <c r="I188" s="14">
        <v>9</v>
      </c>
      <c r="J188" s="14" t="s">
        <v>31</v>
      </c>
      <c r="K188" s="14" cm="1">
        <f t="array" ref="K188">INT(SUMPRODUCT(--ISNUMBER(SEARCH(economy,C188)))&gt;0)</f>
        <v>0</v>
      </c>
      <c r="L188" s="14" cm="1">
        <f t="array" ref="L188">INT(SUMPRODUCT(--ISNUMBER(SEARCH(healthcare,C188)))&gt;0)</f>
        <v>0</v>
      </c>
      <c r="M188" s="14" cm="1">
        <f t="array" ref="M188">INT(SUMPRODUCT(--ISNUMBER(SEARCH(supreme,C188)))&gt;0)</f>
        <v>1</v>
      </c>
      <c r="N188" s="14" cm="1">
        <f t="array" ref="N188">INT(SUMPRODUCT(--ISNUMBER(SEARCH(covid,C188)))&gt;0)</f>
        <v>0</v>
      </c>
      <c r="O188" s="14" cm="1">
        <f t="array" ref="O188">INT(SUMPRODUCT(--ISNUMBER(SEARCH(violent,C188)))&gt;0)</f>
        <v>0</v>
      </c>
      <c r="P188" s="14" cm="1">
        <f t="array" ref="P188">INT(SUMPRODUCT(--ISNUMBER(SEARCH(foreign,C188)))&gt;0)</f>
        <v>0</v>
      </c>
      <c r="Q188" s="14" cm="1">
        <f t="array" ref="Q188">INT(SUMPRODUCT(--ISNUMBER(SEARCH(gun,C188)))&gt;0)</f>
        <v>0</v>
      </c>
      <c r="R188" s="14" cm="1">
        <f t="array" ref="R188">INT(SUMPRODUCT(--ISNUMBER(SEARCH(race,C188)))&gt;0)</f>
        <v>0</v>
      </c>
      <c r="S188" s="14" cm="1">
        <f t="array" ref="S188">INT(SUMPRODUCT(--ISNUMBER(SEARCH(immigration,C188)))&gt;0)</f>
        <v>0</v>
      </c>
      <c r="T188" s="14" cm="1">
        <f t="array" ref="T188">INT(SUMPRODUCT(--ISNUMBER(SEARCH(econineq,C189)))&gt;0)</f>
        <v>0</v>
      </c>
      <c r="U188" s="14" cm="1">
        <f t="array" ref="U188">INT(SUMPRODUCT(--ISNUMBER(SEARCH(climate,C188)))&gt;0)</f>
        <v>0</v>
      </c>
      <c r="V188" s="14" cm="1">
        <f t="array" ref="V188">INT(SUMPRODUCT(--ISNUMBER(SEARCH(abortion,C188)))&gt;0)</f>
        <v>0</v>
      </c>
      <c r="W188" s="14" cm="1">
        <f t="array" ref="W188">INT(SUMPRODUCT(--ISNUMBER(SEARCH(trump,C188)))&gt;0)</f>
        <v>0</v>
      </c>
      <c r="X188" s="14" cm="1">
        <f t="array" ref="X188">INT(SUMPRODUCT(--ISNUMBER(SEARCH(voting,C188)))&gt;0)</f>
        <v>0</v>
      </c>
      <c r="Y188" s="35" cm="1">
        <f t="array" ref="Y188">INT(SUMPRODUCT(--ISNUMBER(SEARCH(republicantrigger,C188)))&gt;0)</f>
        <v>0</v>
      </c>
      <c r="Z188" s="35" cm="1">
        <f t="array" ref="Z188">INT(SUMPRODUCT(--ISNUMBER(SEARCH(bipartisan,C188)))&gt;0)</f>
        <v>0</v>
      </c>
      <c r="AA188" s="35">
        <f t="shared" si="2"/>
        <v>0</v>
      </c>
      <c r="AB188" s="14"/>
      <c r="AC188" s="30" t="s">
        <v>223</v>
      </c>
      <c r="AD188" s="37" t="s">
        <v>223</v>
      </c>
    </row>
    <row r="189" spans="1:30" x14ac:dyDescent="0.25">
      <c r="A189" s="36">
        <v>3729</v>
      </c>
      <c r="B189" s="14" t="s">
        <v>7211</v>
      </c>
      <c r="C189" s="14" t="s">
        <v>7212</v>
      </c>
      <c r="D189" s="17">
        <v>44118</v>
      </c>
      <c r="E189" s="14" t="s">
        <v>30</v>
      </c>
      <c r="F189" s="14">
        <v>574</v>
      </c>
      <c r="G189" s="14">
        <v>121</v>
      </c>
      <c r="H189" s="14">
        <v>17</v>
      </c>
      <c r="I189" s="14">
        <v>9</v>
      </c>
      <c r="J189" s="14" t="s">
        <v>31</v>
      </c>
      <c r="K189" s="14" cm="1">
        <f t="array" ref="K189">INT(SUMPRODUCT(--ISNUMBER(SEARCH(economy,C189)))&gt;0)</f>
        <v>0</v>
      </c>
      <c r="L189" s="14" cm="1">
        <f t="array" ref="L189">INT(SUMPRODUCT(--ISNUMBER(SEARCH(healthcare,C189)))&gt;0)</f>
        <v>0</v>
      </c>
      <c r="M189" s="14" cm="1">
        <f t="array" ref="M189">INT(SUMPRODUCT(--ISNUMBER(SEARCH(supreme,C189)))&gt;0)</f>
        <v>0</v>
      </c>
      <c r="N189" s="14" cm="1">
        <f t="array" ref="N189">INT(SUMPRODUCT(--ISNUMBER(SEARCH(covid,C189)))&gt;0)</f>
        <v>0</v>
      </c>
      <c r="O189" s="14" cm="1">
        <f t="array" ref="O189">INT(SUMPRODUCT(--ISNUMBER(SEARCH(violent,C189)))&gt;0)</f>
        <v>0</v>
      </c>
      <c r="P189" s="14" cm="1">
        <f t="array" ref="P189">INT(SUMPRODUCT(--ISNUMBER(SEARCH(foreign,C189)))&gt;0)</f>
        <v>0</v>
      </c>
      <c r="Q189" s="14" cm="1">
        <f t="array" ref="Q189">INT(SUMPRODUCT(--ISNUMBER(SEARCH(gun,C189)))&gt;0)</f>
        <v>0</v>
      </c>
      <c r="R189" s="14" cm="1">
        <f t="array" ref="R189">INT(SUMPRODUCT(--ISNUMBER(SEARCH(race,C189)))&gt;0)</f>
        <v>0</v>
      </c>
      <c r="S189" s="14" cm="1">
        <f t="array" ref="S189">INT(SUMPRODUCT(--ISNUMBER(SEARCH(immigration,C189)))&gt;0)</f>
        <v>0</v>
      </c>
      <c r="T189" s="14" cm="1">
        <f t="array" ref="T189">INT(SUMPRODUCT(--ISNUMBER(SEARCH(econineq,C190)))&gt;0)</f>
        <v>0</v>
      </c>
      <c r="U189" s="14" cm="1">
        <f t="array" ref="U189">INT(SUMPRODUCT(--ISNUMBER(SEARCH(climate,C189)))&gt;0)</f>
        <v>0</v>
      </c>
      <c r="V189" s="14" cm="1">
        <f t="array" ref="V189">INT(SUMPRODUCT(--ISNUMBER(SEARCH(abortion,C189)))&gt;0)</f>
        <v>0</v>
      </c>
      <c r="W189" s="14" cm="1">
        <f t="array" ref="W189">INT(SUMPRODUCT(--ISNUMBER(SEARCH(trump,C189)))&gt;0)</f>
        <v>0</v>
      </c>
      <c r="X189" s="14" cm="1">
        <f t="array" ref="X189">INT(SUMPRODUCT(--ISNUMBER(SEARCH(voting,C189)))&gt;0)</f>
        <v>0</v>
      </c>
      <c r="Y189" s="35" cm="1">
        <f t="array" ref="Y189">INT(SUMPRODUCT(--ISNUMBER(SEARCH(republicantrigger,C189)))&gt;0)</f>
        <v>0</v>
      </c>
      <c r="Z189" s="35" cm="1">
        <f t="array" ref="Z189">INT(SUMPRODUCT(--ISNUMBER(SEARCH(bipartisan,C189)))&gt;0)</f>
        <v>0</v>
      </c>
      <c r="AA189" s="35">
        <f t="shared" si="2"/>
        <v>1</v>
      </c>
      <c r="AB189" s="14"/>
      <c r="AC189" s="30" t="s">
        <v>223</v>
      </c>
      <c r="AD189" s="37" t="s">
        <v>223</v>
      </c>
    </row>
    <row r="190" spans="1:30" x14ac:dyDescent="0.25">
      <c r="A190" s="36">
        <v>3730</v>
      </c>
      <c r="B190" s="14" t="s">
        <v>7213</v>
      </c>
      <c r="C190" s="14" t="s">
        <v>7214</v>
      </c>
      <c r="D190" s="17">
        <v>44118</v>
      </c>
      <c r="E190" s="14" t="s">
        <v>30</v>
      </c>
      <c r="F190" s="14">
        <v>19</v>
      </c>
      <c r="G190" s="14">
        <v>6</v>
      </c>
      <c r="H190" s="14">
        <v>17</v>
      </c>
      <c r="I190" s="14">
        <v>9</v>
      </c>
      <c r="J190" s="14" t="s">
        <v>31</v>
      </c>
      <c r="K190" s="14" cm="1">
        <f t="array" ref="K190">INT(SUMPRODUCT(--ISNUMBER(SEARCH(economy,C190)))&gt;0)</f>
        <v>0</v>
      </c>
      <c r="L190" s="14" cm="1">
        <f t="array" ref="L190">INT(SUMPRODUCT(--ISNUMBER(SEARCH(healthcare,C190)))&gt;0)</f>
        <v>0</v>
      </c>
      <c r="M190" s="14" cm="1">
        <f t="array" ref="M190">INT(SUMPRODUCT(--ISNUMBER(SEARCH(supreme,C190)))&gt;0)</f>
        <v>0</v>
      </c>
      <c r="N190" s="14" cm="1">
        <f t="array" ref="N190">INT(SUMPRODUCT(--ISNUMBER(SEARCH(covid,C190)))&gt;0)</f>
        <v>0</v>
      </c>
      <c r="O190" s="14" cm="1">
        <f t="array" ref="O190">INT(SUMPRODUCT(--ISNUMBER(SEARCH(violent,C190)))&gt;0)</f>
        <v>0</v>
      </c>
      <c r="P190" s="14" cm="1">
        <f t="array" ref="P190">INT(SUMPRODUCT(--ISNUMBER(SEARCH(foreign,C190)))&gt;0)</f>
        <v>0</v>
      </c>
      <c r="Q190" s="14" cm="1">
        <f t="array" ref="Q190">INT(SUMPRODUCT(--ISNUMBER(SEARCH(gun,C190)))&gt;0)</f>
        <v>0</v>
      </c>
      <c r="R190" s="14" cm="1">
        <f t="array" ref="R190">INT(SUMPRODUCT(--ISNUMBER(SEARCH(race,C190)))&gt;0)</f>
        <v>0</v>
      </c>
      <c r="S190" s="14" cm="1">
        <f t="array" ref="S190">INT(SUMPRODUCT(--ISNUMBER(SEARCH(immigration,C190)))&gt;0)</f>
        <v>0</v>
      </c>
      <c r="T190" s="14" cm="1">
        <f t="array" ref="T190">INT(SUMPRODUCT(--ISNUMBER(SEARCH(econineq,C191)))&gt;0)</f>
        <v>0</v>
      </c>
      <c r="U190" s="14" cm="1">
        <f t="array" ref="U190">INT(SUMPRODUCT(--ISNUMBER(SEARCH(climate,C190)))&gt;0)</f>
        <v>0</v>
      </c>
      <c r="V190" s="14" cm="1">
        <f t="array" ref="V190">INT(SUMPRODUCT(--ISNUMBER(SEARCH(abortion,C190)))&gt;0)</f>
        <v>0</v>
      </c>
      <c r="W190" s="14" cm="1">
        <f t="array" ref="W190">INT(SUMPRODUCT(--ISNUMBER(SEARCH(trump,C190)))&gt;0)</f>
        <v>0</v>
      </c>
      <c r="X190" s="14" cm="1">
        <f t="array" ref="X190">INT(SUMPRODUCT(--ISNUMBER(SEARCH(voting,C190)))&gt;0)</f>
        <v>0</v>
      </c>
      <c r="Y190" s="35" cm="1">
        <f t="array" ref="Y190">INT(SUMPRODUCT(--ISNUMBER(SEARCH(republicantrigger,C190)))&gt;0)</f>
        <v>0</v>
      </c>
      <c r="Z190" s="35" cm="1">
        <f t="array" ref="Z190">INT(SUMPRODUCT(--ISNUMBER(SEARCH(bipartisan,C190)))&gt;0)</f>
        <v>0</v>
      </c>
      <c r="AA190" s="35">
        <f t="shared" si="2"/>
        <v>1</v>
      </c>
      <c r="AB190" s="14"/>
      <c r="AC190" s="30" t="s">
        <v>223</v>
      </c>
      <c r="AD190" s="37" t="s">
        <v>223</v>
      </c>
    </row>
    <row r="191" spans="1:30" x14ac:dyDescent="0.25">
      <c r="A191" s="36">
        <v>3731</v>
      </c>
      <c r="B191" s="14" t="s">
        <v>7215</v>
      </c>
      <c r="C191" s="14" t="s">
        <v>7216</v>
      </c>
      <c r="D191" s="17">
        <v>44118</v>
      </c>
      <c r="E191" s="14" t="s">
        <v>30</v>
      </c>
      <c r="F191" s="14">
        <v>148</v>
      </c>
      <c r="G191" s="14">
        <v>73</v>
      </c>
      <c r="H191" s="14">
        <v>17</v>
      </c>
      <c r="I191" s="14">
        <v>9</v>
      </c>
      <c r="J191" s="14" t="s">
        <v>31</v>
      </c>
      <c r="K191" s="14" cm="1">
        <f t="array" ref="K191">INT(SUMPRODUCT(--ISNUMBER(SEARCH(economy,C191)))&gt;0)</f>
        <v>0</v>
      </c>
      <c r="L191" s="14" cm="1">
        <f t="array" ref="L191">INT(SUMPRODUCT(--ISNUMBER(SEARCH(healthcare,C191)))&gt;0)</f>
        <v>0</v>
      </c>
      <c r="M191" s="14" cm="1">
        <f t="array" ref="M191">INT(SUMPRODUCT(--ISNUMBER(SEARCH(supreme,C191)))&gt;0)</f>
        <v>0</v>
      </c>
      <c r="N191" s="14" cm="1">
        <f t="array" ref="N191">INT(SUMPRODUCT(--ISNUMBER(SEARCH(covid,C191)))&gt;0)</f>
        <v>0</v>
      </c>
      <c r="O191" s="14" cm="1">
        <f t="array" ref="O191">INT(SUMPRODUCT(--ISNUMBER(SEARCH(violent,C191)))&gt;0)</f>
        <v>0</v>
      </c>
      <c r="P191" s="14" cm="1">
        <f t="array" ref="P191">INT(SUMPRODUCT(--ISNUMBER(SEARCH(foreign,C191)))&gt;0)</f>
        <v>0</v>
      </c>
      <c r="Q191" s="14" cm="1">
        <f t="array" ref="Q191">INT(SUMPRODUCT(--ISNUMBER(SEARCH(gun,C191)))&gt;0)</f>
        <v>0</v>
      </c>
      <c r="R191" s="14" cm="1">
        <f t="array" ref="R191">INT(SUMPRODUCT(--ISNUMBER(SEARCH(race,C191)))&gt;0)</f>
        <v>0</v>
      </c>
      <c r="S191" s="14" cm="1">
        <f t="array" ref="S191">INT(SUMPRODUCT(--ISNUMBER(SEARCH(immigration,C191)))&gt;0)</f>
        <v>0</v>
      </c>
      <c r="T191" s="14" cm="1">
        <f t="array" ref="T191">INT(SUMPRODUCT(--ISNUMBER(SEARCH(econineq,C192)))&gt;0)</f>
        <v>0</v>
      </c>
      <c r="U191" s="14" cm="1">
        <f t="array" ref="U191">INT(SUMPRODUCT(--ISNUMBER(SEARCH(climate,C191)))&gt;0)</f>
        <v>0</v>
      </c>
      <c r="V191" s="14" cm="1">
        <f t="array" ref="V191">INT(SUMPRODUCT(--ISNUMBER(SEARCH(abortion,C191)))&gt;0)</f>
        <v>0</v>
      </c>
      <c r="W191" s="14" cm="1">
        <f t="array" ref="W191">INT(SUMPRODUCT(--ISNUMBER(SEARCH(trump,C191)))&gt;0)</f>
        <v>0</v>
      </c>
      <c r="X191" s="14" cm="1">
        <f t="array" ref="X191">INT(SUMPRODUCT(--ISNUMBER(SEARCH(voting,C191)))&gt;0)</f>
        <v>0</v>
      </c>
      <c r="Y191" s="35" cm="1">
        <f t="array" ref="Y191">INT(SUMPRODUCT(--ISNUMBER(SEARCH(republicantrigger,C191)))&gt;0)</f>
        <v>0</v>
      </c>
      <c r="Z191" s="35" cm="1">
        <f t="array" ref="Z191">INT(SUMPRODUCT(--ISNUMBER(SEARCH(bipartisan,C191)))&gt;0)</f>
        <v>0</v>
      </c>
      <c r="AA191" s="35">
        <f t="shared" si="2"/>
        <v>1</v>
      </c>
      <c r="AB191" s="14"/>
      <c r="AC191" s="30" t="s">
        <v>223</v>
      </c>
      <c r="AD191" s="37" t="s">
        <v>223</v>
      </c>
    </row>
    <row r="192" spans="1:30" x14ac:dyDescent="0.25">
      <c r="A192" s="36">
        <v>3732</v>
      </c>
      <c r="B192" s="14" t="s">
        <v>7217</v>
      </c>
      <c r="C192" s="14" t="s">
        <v>7218</v>
      </c>
      <c r="D192" s="17">
        <v>44118</v>
      </c>
      <c r="E192" s="14" t="s">
        <v>30</v>
      </c>
      <c r="F192" s="14">
        <v>141</v>
      </c>
      <c r="G192" s="14">
        <v>45</v>
      </c>
      <c r="H192" s="14">
        <v>17</v>
      </c>
      <c r="I192" s="14">
        <v>9</v>
      </c>
      <c r="J192" s="14" t="s">
        <v>31</v>
      </c>
      <c r="K192" s="14" cm="1">
        <f t="array" ref="K192">INT(SUMPRODUCT(--ISNUMBER(SEARCH(economy,C192)))&gt;0)</f>
        <v>0</v>
      </c>
      <c r="L192" s="14" cm="1">
        <f t="array" ref="L192">INT(SUMPRODUCT(--ISNUMBER(SEARCH(healthcare,C192)))&gt;0)</f>
        <v>0</v>
      </c>
      <c r="M192" s="14" cm="1">
        <f t="array" ref="M192">INT(SUMPRODUCT(--ISNUMBER(SEARCH(supreme,C192)))&gt;0)</f>
        <v>0</v>
      </c>
      <c r="N192" s="14" cm="1">
        <f t="array" ref="N192">INT(SUMPRODUCT(--ISNUMBER(SEARCH(covid,C192)))&gt;0)</f>
        <v>1</v>
      </c>
      <c r="O192" s="14" cm="1">
        <f t="array" ref="O192">INT(SUMPRODUCT(--ISNUMBER(SEARCH(violent,C192)))&gt;0)</f>
        <v>0</v>
      </c>
      <c r="P192" s="14" cm="1">
        <f t="array" ref="P192">INT(SUMPRODUCT(--ISNUMBER(SEARCH(foreign,C192)))&gt;0)</f>
        <v>0</v>
      </c>
      <c r="Q192" s="14" cm="1">
        <f t="array" ref="Q192">INT(SUMPRODUCT(--ISNUMBER(SEARCH(gun,C192)))&gt;0)</f>
        <v>0</v>
      </c>
      <c r="R192" s="14" cm="1">
        <f t="array" ref="R192">INT(SUMPRODUCT(--ISNUMBER(SEARCH(race,C192)))&gt;0)</f>
        <v>0</v>
      </c>
      <c r="S192" s="14" cm="1">
        <f t="array" ref="S192">INT(SUMPRODUCT(--ISNUMBER(SEARCH(immigration,C192)))&gt;0)</f>
        <v>0</v>
      </c>
      <c r="T192" s="14" cm="1">
        <f t="array" ref="T192">INT(SUMPRODUCT(--ISNUMBER(SEARCH(econineq,C193)))&gt;0)</f>
        <v>0</v>
      </c>
      <c r="U192" s="14" cm="1">
        <f t="array" ref="U192">INT(SUMPRODUCT(--ISNUMBER(SEARCH(climate,C192)))&gt;0)</f>
        <v>0</v>
      </c>
      <c r="V192" s="14" cm="1">
        <f t="array" ref="V192">INT(SUMPRODUCT(--ISNUMBER(SEARCH(abortion,C192)))&gt;0)</f>
        <v>0</v>
      </c>
      <c r="W192" s="14" cm="1">
        <f t="array" ref="W192">INT(SUMPRODUCT(--ISNUMBER(SEARCH(trump,C192)))&gt;0)</f>
        <v>0</v>
      </c>
      <c r="X192" s="14" cm="1">
        <f t="array" ref="X192">INT(SUMPRODUCT(--ISNUMBER(SEARCH(voting,C192)))&gt;0)</f>
        <v>0</v>
      </c>
      <c r="Y192" s="35" cm="1">
        <f t="array" ref="Y192">INT(SUMPRODUCT(--ISNUMBER(SEARCH(republicantrigger,C192)))&gt;0)</f>
        <v>0</v>
      </c>
      <c r="Z192" s="35" cm="1">
        <f t="array" ref="Z192">INT(SUMPRODUCT(--ISNUMBER(SEARCH(bipartisan,C192)))&gt;0)</f>
        <v>0</v>
      </c>
      <c r="AA192" s="35">
        <f t="shared" si="2"/>
        <v>0</v>
      </c>
      <c r="AB192" s="14"/>
      <c r="AC192" s="30" t="s">
        <v>223</v>
      </c>
      <c r="AD192" s="37" t="s">
        <v>223</v>
      </c>
    </row>
    <row r="193" spans="1:30" x14ac:dyDescent="0.25">
      <c r="A193" s="36">
        <v>3733</v>
      </c>
      <c r="B193" s="14" t="s">
        <v>7219</v>
      </c>
      <c r="C193" s="14" t="s">
        <v>7220</v>
      </c>
      <c r="D193" s="17">
        <v>44118</v>
      </c>
      <c r="E193" s="14" t="s">
        <v>70</v>
      </c>
      <c r="F193" s="14">
        <v>122</v>
      </c>
      <c r="G193" s="14">
        <v>20</v>
      </c>
      <c r="H193" s="14">
        <v>17</v>
      </c>
      <c r="I193" s="14">
        <v>9</v>
      </c>
      <c r="J193" s="14" t="s">
        <v>31</v>
      </c>
      <c r="K193" s="14" cm="1">
        <f t="array" ref="K193">INT(SUMPRODUCT(--ISNUMBER(SEARCH(economy,C193)))&gt;0)</f>
        <v>0</v>
      </c>
      <c r="L193" s="14" cm="1">
        <f t="array" ref="L193">INT(SUMPRODUCT(--ISNUMBER(SEARCH(healthcare,C193)))&gt;0)</f>
        <v>0</v>
      </c>
      <c r="M193" s="14" cm="1">
        <f t="array" ref="M193">INT(SUMPRODUCT(--ISNUMBER(SEARCH(supreme,C193)))&gt;0)</f>
        <v>1</v>
      </c>
      <c r="N193" s="14" cm="1">
        <f t="array" ref="N193">INT(SUMPRODUCT(--ISNUMBER(SEARCH(covid,C193)))&gt;0)</f>
        <v>0</v>
      </c>
      <c r="O193" s="14" cm="1">
        <f t="array" ref="O193">INT(SUMPRODUCT(--ISNUMBER(SEARCH(violent,C193)))&gt;0)</f>
        <v>0</v>
      </c>
      <c r="P193" s="14" cm="1">
        <f t="array" ref="P193">INT(SUMPRODUCT(--ISNUMBER(SEARCH(foreign,C193)))&gt;0)</f>
        <v>0</v>
      </c>
      <c r="Q193" s="14" cm="1">
        <f t="array" ref="Q193">INT(SUMPRODUCT(--ISNUMBER(SEARCH(gun,C193)))&gt;0)</f>
        <v>0</v>
      </c>
      <c r="R193" s="14" cm="1">
        <f t="array" ref="R193">INT(SUMPRODUCT(--ISNUMBER(SEARCH(race,C193)))&gt;0)</f>
        <v>0</v>
      </c>
      <c r="S193" s="14" cm="1">
        <f t="array" ref="S193">INT(SUMPRODUCT(--ISNUMBER(SEARCH(immigration,C193)))&gt;0)</f>
        <v>0</v>
      </c>
      <c r="T193" s="14" cm="1">
        <f t="array" ref="T193">INT(SUMPRODUCT(--ISNUMBER(SEARCH(econineq,C194)))&gt;0)</f>
        <v>0</v>
      </c>
      <c r="U193" s="14" cm="1">
        <f t="array" ref="U193">INT(SUMPRODUCT(--ISNUMBER(SEARCH(climate,C193)))&gt;0)</f>
        <v>1</v>
      </c>
      <c r="V193" s="14" cm="1">
        <f t="array" ref="V193">INT(SUMPRODUCT(--ISNUMBER(SEARCH(abortion,C193)))&gt;0)</f>
        <v>0</v>
      </c>
      <c r="W193" s="14" cm="1">
        <f t="array" ref="W193">INT(SUMPRODUCT(--ISNUMBER(SEARCH(trump,C193)))&gt;0)</f>
        <v>0</v>
      </c>
      <c r="X193" s="14" cm="1">
        <f t="array" ref="X193">INT(SUMPRODUCT(--ISNUMBER(SEARCH(voting,C193)))&gt;0)</f>
        <v>0</v>
      </c>
      <c r="Y193" s="35" cm="1">
        <f t="array" ref="Y193">INT(SUMPRODUCT(--ISNUMBER(SEARCH(republicantrigger,C193)))&gt;0)</f>
        <v>0</v>
      </c>
      <c r="Z193" s="35" cm="1">
        <f t="array" ref="Z193">INT(SUMPRODUCT(--ISNUMBER(SEARCH(bipartisan,C193)))&gt;0)</f>
        <v>0</v>
      </c>
      <c r="AA193" s="35">
        <f t="shared" si="2"/>
        <v>0</v>
      </c>
      <c r="AB193" s="14"/>
      <c r="AC193" s="30" t="s">
        <v>223</v>
      </c>
      <c r="AD193" s="37" t="s">
        <v>223</v>
      </c>
    </row>
    <row r="194" spans="1:30" x14ac:dyDescent="0.25">
      <c r="A194" s="36">
        <v>3734</v>
      </c>
      <c r="B194" s="14" t="s">
        <v>7221</v>
      </c>
      <c r="C194" s="14" t="s">
        <v>7222</v>
      </c>
      <c r="D194" s="17">
        <v>44118</v>
      </c>
      <c r="E194" s="14" t="s">
        <v>70</v>
      </c>
      <c r="F194" s="14">
        <v>178</v>
      </c>
      <c r="G194" s="14">
        <v>38</v>
      </c>
      <c r="H194" s="14">
        <v>17</v>
      </c>
      <c r="I194" s="14">
        <v>9</v>
      </c>
      <c r="J194" s="14" t="s">
        <v>31</v>
      </c>
      <c r="K194" s="14" cm="1">
        <f t="array" ref="K194">INT(SUMPRODUCT(--ISNUMBER(SEARCH(economy,C194)))&gt;0)</f>
        <v>0</v>
      </c>
      <c r="L194" s="14" cm="1">
        <f t="array" ref="L194">INT(SUMPRODUCT(--ISNUMBER(SEARCH(healthcare,C194)))&gt;0)</f>
        <v>0</v>
      </c>
      <c r="M194" s="14" cm="1">
        <f t="array" ref="M194">INT(SUMPRODUCT(--ISNUMBER(SEARCH(supreme,C194)))&gt;0)</f>
        <v>1</v>
      </c>
      <c r="N194" s="14" cm="1">
        <f t="array" ref="N194">INT(SUMPRODUCT(--ISNUMBER(SEARCH(covid,C194)))&gt;0)</f>
        <v>0</v>
      </c>
      <c r="O194" s="14" cm="1">
        <f t="array" ref="O194">INT(SUMPRODUCT(--ISNUMBER(SEARCH(violent,C194)))&gt;0)</f>
        <v>0</v>
      </c>
      <c r="P194" s="14" cm="1">
        <f t="array" ref="P194">INT(SUMPRODUCT(--ISNUMBER(SEARCH(foreign,C194)))&gt;0)</f>
        <v>0</v>
      </c>
      <c r="Q194" s="14" cm="1">
        <f t="array" ref="Q194">INT(SUMPRODUCT(--ISNUMBER(SEARCH(gun,C194)))&gt;0)</f>
        <v>0</v>
      </c>
      <c r="R194" s="14" cm="1">
        <f t="array" ref="R194">INT(SUMPRODUCT(--ISNUMBER(SEARCH(race,C194)))&gt;0)</f>
        <v>0</v>
      </c>
      <c r="S194" s="14" cm="1">
        <f t="array" ref="S194">INT(SUMPRODUCT(--ISNUMBER(SEARCH(immigration,C194)))&gt;0)</f>
        <v>0</v>
      </c>
      <c r="T194" s="14" cm="1">
        <f t="array" ref="T194">INT(SUMPRODUCT(--ISNUMBER(SEARCH(econineq,C195)))&gt;0)</f>
        <v>0</v>
      </c>
      <c r="U194" s="14" cm="1">
        <f t="array" ref="U194">INT(SUMPRODUCT(--ISNUMBER(SEARCH(climate,C194)))&gt;0)</f>
        <v>0</v>
      </c>
      <c r="V194" s="14" cm="1">
        <f t="array" ref="V194">INT(SUMPRODUCT(--ISNUMBER(SEARCH(abortion,C194)))&gt;0)</f>
        <v>0</v>
      </c>
      <c r="W194" s="14" cm="1">
        <f t="array" ref="W194">INT(SUMPRODUCT(--ISNUMBER(SEARCH(trump,C194)))&gt;0)</f>
        <v>0</v>
      </c>
      <c r="X194" s="14" cm="1">
        <f t="array" ref="X194">INT(SUMPRODUCT(--ISNUMBER(SEARCH(voting,C194)))&gt;0)</f>
        <v>1</v>
      </c>
      <c r="Y194" s="35" cm="1">
        <f t="array" ref="Y194">INT(SUMPRODUCT(--ISNUMBER(SEARCH(republicantrigger,C194)))&gt;0)</f>
        <v>1</v>
      </c>
      <c r="Z194" s="35" cm="1">
        <f t="array" ref="Z194">INT(SUMPRODUCT(--ISNUMBER(SEARCH(bipartisan,C194)))&gt;0)</f>
        <v>0</v>
      </c>
      <c r="AA194" s="35">
        <f t="shared" si="2"/>
        <v>0</v>
      </c>
      <c r="AB194" s="14"/>
      <c r="AC194" s="30" t="s">
        <v>223</v>
      </c>
      <c r="AD194" s="37" t="s">
        <v>223</v>
      </c>
    </row>
    <row r="195" spans="1:30" x14ac:dyDescent="0.25">
      <c r="A195" s="36">
        <v>3735</v>
      </c>
      <c r="B195" s="14" t="s">
        <v>7223</v>
      </c>
      <c r="C195" s="14" t="s">
        <v>7224</v>
      </c>
      <c r="D195" s="17">
        <v>44118</v>
      </c>
      <c r="E195" s="14" t="s">
        <v>30</v>
      </c>
      <c r="F195" s="14">
        <v>236</v>
      </c>
      <c r="G195" s="14">
        <v>68</v>
      </c>
      <c r="H195" s="14">
        <v>17</v>
      </c>
      <c r="I195" s="14">
        <v>9</v>
      </c>
      <c r="J195" s="14" t="s">
        <v>31</v>
      </c>
      <c r="K195" s="14" cm="1">
        <f t="array" ref="K195">INT(SUMPRODUCT(--ISNUMBER(SEARCH(economy,C195)))&gt;0)</f>
        <v>0</v>
      </c>
      <c r="L195" s="14" cm="1">
        <f t="array" ref="L195">INT(SUMPRODUCT(--ISNUMBER(SEARCH(healthcare,C195)))&gt;0)</f>
        <v>0</v>
      </c>
      <c r="M195" s="14" cm="1">
        <f t="array" ref="M195">INT(SUMPRODUCT(--ISNUMBER(SEARCH(supreme,C195)))&gt;0)</f>
        <v>1</v>
      </c>
      <c r="N195" s="14" cm="1">
        <f t="array" ref="N195">INT(SUMPRODUCT(--ISNUMBER(SEARCH(covid,C195)))&gt;0)</f>
        <v>0</v>
      </c>
      <c r="O195" s="14" cm="1">
        <f t="array" ref="O195">INT(SUMPRODUCT(--ISNUMBER(SEARCH(violent,C195)))&gt;0)</f>
        <v>0</v>
      </c>
      <c r="P195" s="14" cm="1">
        <f t="array" ref="P195">INT(SUMPRODUCT(--ISNUMBER(SEARCH(foreign,C195)))&gt;0)</f>
        <v>0</v>
      </c>
      <c r="Q195" s="14" cm="1">
        <f t="array" ref="Q195">INT(SUMPRODUCT(--ISNUMBER(SEARCH(gun,C195)))&gt;0)</f>
        <v>0</v>
      </c>
      <c r="R195" s="14" cm="1">
        <f t="array" ref="R195">INT(SUMPRODUCT(--ISNUMBER(SEARCH(race,C195)))&gt;0)</f>
        <v>0</v>
      </c>
      <c r="S195" s="14" cm="1">
        <f t="array" ref="S195">INT(SUMPRODUCT(--ISNUMBER(SEARCH(immigration,C195)))&gt;0)</f>
        <v>0</v>
      </c>
      <c r="T195" s="14" cm="1">
        <f t="array" ref="T195">INT(SUMPRODUCT(--ISNUMBER(SEARCH(econineq,C196)))&gt;0)</f>
        <v>0</v>
      </c>
      <c r="U195" s="14" cm="1">
        <f t="array" ref="U195">INT(SUMPRODUCT(--ISNUMBER(SEARCH(climate,C195)))&gt;0)</f>
        <v>0</v>
      </c>
      <c r="V195" s="14" cm="1">
        <f t="array" ref="V195">INT(SUMPRODUCT(--ISNUMBER(SEARCH(abortion,C195)))&gt;0)</f>
        <v>0</v>
      </c>
      <c r="W195" s="14" cm="1">
        <f t="array" ref="W195">INT(SUMPRODUCT(--ISNUMBER(SEARCH(trump,C195)))&gt;0)</f>
        <v>0</v>
      </c>
      <c r="X195" s="14" cm="1">
        <f t="array" ref="X195">INT(SUMPRODUCT(--ISNUMBER(SEARCH(voting,C195)))&gt;0)</f>
        <v>0</v>
      </c>
      <c r="Y195" s="35" cm="1">
        <f t="array" ref="Y195">INT(SUMPRODUCT(--ISNUMBER(SEARCH(republicantrigger,C195)))&gt;0)</f>
        <v>1</v>
      </c>
      <c r="Z195" s="35" cm="1">
        <f t="array" ref="Z195">INT(SUMPRODUCT(--ISNUMBER(SEARCH(bipartisan,C195)))&gt;0)</f>
        <v>0</v>
      </c>
      <c r="AA195" s="35">
        <f t="shared" ref="AA195:AA258" si="3">INT(IF(COUNTIF(K195:Z195,1)=0,"1","0"))</f>
        <v>0</v>
      </c>
      <c r="AB195" s="14"/>
      <c r="AC195" s="30" t="s">
        <v>223</v>
      </c>
      <c r="AD195" s="37" t="s">
        <v>223</v>
      </c>
    </row>
    <row r="196" spans="1:30" x14ac:dyDescent="0.25">
      <c r="A196" s="36">
        <v>3736</v>
      </c>
      <c r="B196" s="14" t="s">
        <v>7225</v>
      </c>
      <c r="C196" s="14" t="s">
        <v>7226</v>
      </c>
      <c r="D196" s="17">
        <v>44118</v>
      </c>
      <c r="E196" s="14" t="s">
        <v>30</v>
      </c>
      <c r="F196" s="14">
        <v>65</v>
      </c>
      <c r="G196" s="14">
        <v>13</v>
      </c>
      <c r="H196" s="14">
        <v>17</v>
      </c>
      <c r="I196" s="14">
        <v>9</v>
      </c>
      <c r="J196" s="14" t="s">
        <v>31</v>
      </c>
      <c r="K196" s="14" cm="1">
        <f t="array" ref="K196">INT(SUMPRODUCT(--ISNUMBER(SEARCH(economy,C196)))&gt;0)</f>
        <v>0</v>
      </c>
      <c r="L196" s="14" cm="1">
        <f t="array" ref="L196">INT(SUMPRODUCT(--ISNUMBER(SEARCH(healthcare,C196)))&gt;0)</f>
        <v>0</v>
      </c>
      <c r="M196" s="14" cm="1">
        <f t="array" ref="M196">INT(SUMPRODUCT(--ISNUMBER(SEARCH(supreme,C196)))&gt;0)</f>
        <v>0</v>
      </c>
      <c r="N196" s="14" cm="1">
        <f t="array" ref="N196">INT(SUMPRODUCT(--ISNUMBER(SEARCH(covid,C196)))&gt;0)</f>
        <v>0</v>
      </c>
      <c r="O196" s="14" cm="1">
        <f t="array" ref="O196">INT(SUMPRODUCT(--ISNUMBER(SEARCH(violent,C196)))&gt;0)</f>
        <v>0</v>
      </c>
      <c r="P196" s="14" cm="1">
        <f t="array" ref="P196">INT(SUMPRODUCT(--ISNUMBER(SEARCH(foreign,C196)))&gt;0)</f>
        <v>1</v>
      </c>
      <c r="Q196" s="14" cm="1">
        <f t="array" ref="Q196">INT(SUMPRODUCT(--ISNUMBER(SEARCH(gun,C196)))&gt;0)</f>
        <v>0</v>
      </c>
      <c r="R196" s="14" cm="1">
        <f t="array" ref="R196">INT(SUMPRODUCT(--ISNUMBER(SEARCH(race,C196)))&gt;0)</f>
        <v>0</v>
      </c>
      <c r="S196" s="14" cm="1">
        <f t="array" ref="S196">INT(SUMPRODUCT(--ISNUMBER(SEARCH(immigration,C196)))&gt;0)</f>
        <v>0</v>
      </c>
      <c r="T196" s="14" cm="1">
        <f t="array" ref="T196">INT(SUMPRODUCT(--ISNUMBER(SEARCH(econineq,C197)))&gt;0)</f>
        <v>0</v>
      </c>
      <c r="U196" s="14" cm="1">
        <f t="array" ref="U196">INT(SUMPRODUCT(--ISNUMBER(SEARCH(climate,C196)))&gt;0)</f>
        <v>0</v>
      </c>
      <c r="V196" s="14" cm="1">
        <f t="array" ref="V196">INT(SUMPRODUCT(--ISNUMBER(SEARCH(abortion,C196)))&gt;0)</f>
        <v>0</v>
      </c>
      <c r="W196" s="14" cm="1">
        <f t="array" ref="W196">INT(SUMPRODUCT(--ISNUMBER(SEARCH(trump,C196)))&gt;0)</f>
        <v>0</v>
      </c>
      <c r="X196" s="14" cm="1">
        <f t="array" ref="X196">INT(SUMPRODUCT(--ISNUMBER(SEARCH(voting,C196)))&gt;0)</f>
        <v>0</v>
      </c>
      <c r="Y196" s="35" cm="1">
        <f t="array" ref="Y196">INT(SUMPRODUCT(--ISNUMBER(SEARCH(republicantrigger,C196)))&gt;0)</f>
        <v>0</v>
      </c>
      <c r="Z196" s="35" cm="1">
        <f t="array" ref="Z196">INT(SUMPRODUCT(--ISNUMBER(SEARCH(bipartisan,C196)))&gt;0)</f>
        <v>0</v>
      </c>
      <c r="AA196" s="35">
        <f t="shared" si="3"/>
        <v>0</v>
      </c>
      <c r="AB196" s="14"/>
      <c r="AC196" s="30" t="s">
        <v>223</v>
      </c>
      <c r="AD196" s="37" t="s">
        <v>223</v>
      </c>
    </row>
    <row r="197" spans="1:30" x14ac:dyDescent="0.25">
      <c r="A197" s="36">
        <v>3737</v>
      </c>
      <c r="B197" s="14" t="s">
        <v>7227</v>
      </c>
      <c r="C197" s="14" t="s">
        <v>7228</v>
      </c>
      <c r="D197" s="17">
        <v>44118</v>
      </c>
      <c r="E197" s="14" t="s">
        <v>30</v>
      </c>
      <c r="F197" s="14">
        <v>719</v>
      </c>
      <c r="G197" s="14">
        <v>377</v>
      </c>
      <c r="H197" s="14">
        <v>17</v>
      </c>
      <c r="I197" s="14">
        <v>9</v>
      </c>
      <c r="J197" s="14" t="s">
        <v>31</v>
      </c>
      <c r="K197" s="14" cm="1">
        <f t="array" ref="K197">INT(SUMPRODUCT(--ISNUMBER(SEARCH(economy,C197)))&gt;0)</f>
        <v>0</v>
      </c>
      <c r="L197" s="14" cm="1">
        <f t="array" ref="L197">INT(SUMPRODUCT(--ISNUMBER(SEARCH(healthcare,C197)))&gt;0)</f>
        <v>0</v>
      </c>
      <c r="M197" s="14" cm="1">
        <f t="array" ref="M197">INT(SUMPRODUCT(--ISNUMBER(SEARCH(supreme,C197)))&gt;0)</f>
        <v>0</v>
      </c>
      <c r="N197" s="14" cm="1">
        <f t="array" ref="N197">INT(SUMPRODUCT(--ISNUMBER(SEARCH(covid,C197)))&gt;0)</f>
        <v>1</v>
      </c>
      <c r="O197" s="14" cm="1">
        <f t="array" ref="O197">INT(SUMPRODUCT(--ISNUMBER(SEARCH(violent,C197)))&gt;0)</f>
        <v>0</v>
      </c>
      <c r="P197" s="14" cm="1">
        <f t="array" ref="P197">INT(SUMPRODUCT(--ISNUMBER(SEARCH(foreign,C197)))&gt;0)</f>
        <v>0</v>
      </c>
      <c r="Q197" s="14" cm="1">
        <f t="array" ref="Q197">INT(SUMPRODUCT(--ISNUMBER(SEARCH(gun,C197)))&gt;0)</f>
        <v>0</v>
      </c>
      <c r="R197" s="14" cm="1">
        <f t="array" ref="R197">INT(SUMPRODUCT(--ISNUMBER(SEARCH(race,C197)))&gt;0)</f>
        <v>0</v>
      </c>
      <c r="S197" s="14" cm="1">
        <f t="array" ref="S197">INT(SUMPRODUCT(--ISNUMBER(SEARCH(immigration,C197)))&gt;0)</f>
        <v>0</v>
      </c>
      <c r="T197" s="14" cm="1">
        <f t="array" ref="T197">INT(SUMPRODUCT(--ISNUMBER(SEARCH(econineq,C198)))&gt;0)</f>
        <v>0</v>
      </c>
      <c r="U197" s="14" cm="1">
        <f t="array" ref="U197">INT(SUMPRODUCT(--ISNUMBER(SEARCH(climate,C197)))&gt;0)</f>
        <v>0</v>
      </c>
      <c r="V197" s="14" cm="1">
        <f t="array" ref="V197">INT(SUMPRODUCT(--ISNUMBER(SEARCH(abortion,C197)))&gt;0)</f>
        <v>0</v>
      </c>
      <c r="W197" s="14" cm="1">
        <f t="array" ref="W197">INT(SUMPRODUCT(--ISNUMBER(SEARCH(trump,C197)))&gt;0)</f>
        <v>0</v>
      </c>
      <c r="X197" s="14" cm="1">
        <f t="array" ref="X197">INT(SUMPRODUCT(--ISNUMBER(SEARCH(voting,C197)))&gt;0)</f>
        <v>0</v>
      </c>
      <c r="Y197" s="35" cm="1">
        <f t="array" ref="Y197">INT(SUMPRODUCT(--ISNUMBER(SEARCH(republicantrigger,C197)))&gt;0)</f>
        <v>1</v>
      </c>
      <c r="Z197" s="35" cm="1">
        <f t="array" ref="Z197">INT(SUMPRODUCT(--ISNUMBER(SEARCH(bipartisan,C197)))&gt;0)</f>
        <v>0</v>
      </c>
      <c r="AA197" s="35">
        <f t="shared" si="3"/>
        <v>0</v>
      </c>
      <c r="AB197" s="14"/>
      <c r="AC197" s="30" t="s">
        <v>223</v>
      </c>
      <c r="AD197" s="37" t="s">
        <v>223</v>
      </c>
    </row>
    <row r="198" spans="1:30" x14ac:dyDescent="0.25">
      <c r="A198" s="36">
        <v>3738</v>
      </c>
      <c r="B198" s="14" t="s">
        <v>7229</v>
      </c>
      <c r="C198" s="14" t="s">
        <v>7230</v>
      </c>
      <c r="D198" s="17">
        <v>44118</v>
      </c>
      <c r="E198" s="14" t="s">
        <v>30</v>
      </c>
      <c r="F198" s="14">
        <v>65</v>
      </c>
      <c r="G198" s="14">
        <v>8</v>
      </c>
      <c r="H198" s="14">
        <v>17</v>
      </c>
      <c r="I198" s="14">
        <v>9</v>
      </c>
      <c r="J198" s="14" t="s">
        <v>31</v>
      </c>
      <c r="K198" s="14" cm="1">
        <f t="array" ref="K198">INT(SUMPRODUCT(--ISNUMBER(SEARCH(economy,C198)))&gt;0)</f>
        <v>0</v>
      </c>
      <c r="L198" s="14" cm="1">
        <f t="array" ref="L198">INT(SUMPRODUCT(--ISNUMBER(SEARCH(healthcare,C198)))&gt;0)</f>
        <v>0</v>
      </c>
      <c r="M198" s="14" cm="1">
        <f t="array" ref="M198">INT(SUMPRODUCT(--ISNUMBER(SEARCH(supreme,C198)))&gt;0)</f>
        <v>0</v>
      </c>
      <c r="N198" s="14" cm="1">
        <f t="array" ref="N198">INT(SUMPRODUCT(--ISNUMBER(SEARCH(covid,C198)))&gt;0)</f>
        <v>0</v>
      </c>
      <c r="O198" s="14" cm="1">
        <f t="array" ref="O198">INT(SUMPRODUCT(--ISNUMBER(SEARCH(violent,C198)))&gt;0)</f>
        <v>0</v>
      </c>
      <c r="P198" s="14" cm="1">
        <f t="array" ref="P198">INT(SUMPRODUCT(--ISNUMBER(SEARCH(foreign,C198)))&gt;0)</f>
        <v>0</v>
      </c>
      <c r="Q198" s="14" cm="1">
        <f t="array" ref="Q198">INT(SUMPRODUCT(--ISNUMBER(SEARCH(gun,C198)))&gt;0)</f>
        <v>0</v>
      </c>
      <c r="R198" s="14" cm="1">
        <f t="array" ref="R198">INT(SUMPRODUCT(--ISNUMBER(SEARCH(race,C198)))&gt;0)</f>
        <v>0</v>
      </c>
      <c r="S198" s="14" cm="1">
        <f t="array" ref="S198">INT(SUMPRODUCT(--ISNUMBER(SEARCH(immigration,C198)))&gt;0)</f>
        <v>0</v>
      </c>
      <c r="T198" s="14" cm="1">
        <f t="array" ref="T198">INT(SUMPRODUCT(--ISNUMBER(SEARCH(econineq,C199)))&gt;0)</f>
        <v>0</v>
      </c>
      <c r="U198" s="14" cm="1">
        <f t="array" ref="U198">INT(SUMPRODUCT(--ISNUMBER(SEARCH(climate,C198)))&gt;0)</f>
        <v>0</v>
      </c>
      <c r="V198" s="14" cm="1">
        <f t="array" ref="V198">INT(SUMPRODUCT(--ISNUMBER(SEARCH(abortion,C198)))&gt;0)</f>
        <v>0</v>
      </c>
      <c r="W198" s="14" cm="1">
        <f t="array" ref="W198">INT(SUMPRODUCT(--ISNUMBER(SEARCH(trump,C198)))&gt;0)</f>
        <v>0</v>
      </c>
      <c r="X198" s="14" cm="1">
        <f t="array" ref="X198">INT(SUMPRODUCT(--ISNUMBER(SEARCH(voting,C198)))&gt;0)</f>
        <v>0</v>
      </c>
      <c r="Y198" s="35" cm="1">
        <f t="array" ref="Y198">INT(SUMPRODUCT(--ISNUMBER(SEARCH(republicantrigger,C198)))&gt;0)</f>
        <v>0</v>
      </c>
      <c r="Z198" s="35" cm="1">
        <f t="array" ref="Z198">INT(SUMPRODUCT(--ISNUMBER(SEARCH(bipartisan,C198)))&gt;0)</f>
        <v>0</v>
      </c>
      <c r="AA198" s="35">
        <f t="shared" si="3"/>
        <v>1</v>
      </c>
      <c r="AB198" s="14"/>
      <c r="AC198" s="30" t="s">
        <v>223</v>
      </c>
      <c r="AD198" s="37" t="s">
        <v>223</v>
      </c>
    </row>
    <row r="199" spans="1:30" x14ac:dyDescent="0.25">
      <c r="A199" s="36">
        <v>3739</v>
      </c>
      <c r="B199" s="14" t="s">
        <v>7231</v>
      </c>
      <c r="C199" s="14" t="s">
        <v>7232</v>
      </c>
      <c r="D199" s="17">
        <v>44117</v>
      </c>
      <c r="E199" s="14" t="s">
        <v>30</v>
      </c>
      <c r="F199" s="14">
        <v>201</v>
      </c>
      <c r="G199" s="14">
        <v>41</v>
      </c>
      <c r="H199" s="14">
        <v>17</v>
      </c>
      <c r="I199" s="14">
        <v>9</v>
      </c>
      <c r="J199" s="14" t="s">
        <v>31</v>
      </c>
      <c r="K199" s="14" cm="1">
        <f t="array" ref="K199">INT(SUMPRODUCT(--ISNUMBER(SEARCH(economy,C199)))&gt;0)</f>
        <v>0</v>
      </c>
      <c r="L199" s="14" cm="1">
        <f t="array" ref="L199">INT(SUMPRODUCT(--ISNUMBER(SEARCH(healthcare,C199)))&gt;0)</f>
        <v>0</v>
      </c>
      <c r="M199" s="14" cm="1">
        <f t="array" ref="M199">INT(SUMPRODUCT(--ISNUMBER(SEARCH(supreme,C199)))&gt;0)</f>
        <v>0</v>
      </c>
      <c r="N199" s="14" cm="1">
        <f t="array" ref="N199">INT(SUMPRODUCT(--ISNUMBER(SEARCH(covid,C199)))&gt;0)</f>
        <v>0</v>
      </c>
      <c r="O199" s="14" cm="1">
        <f t="array" ref="O199">INT(SUMPRODUCT(--ISNUMBER(SEARCH(violent,C199)))&gt;0)</f>
        <v>0</v>
      </c>
      <c r="P199" s="14" cm="1">
        <f t="array" ref="P199">INT(SUMPRODUCT(--ISNUMBER(SEARCH(foreign,C199)))&gt;0)</f>
        <v>0</v>
      </c>
      <c r="Q199" s="14" cm="1">
        <f t="array" ref="Q199">INT(SUMPRODUCT(--ISNUMBER(SEARCH(gun,C199)))&gt;0)</f>
        <v>0</v>
      </c>
      <c r="R199" s="14" cm="1">
        <f t="array" ref="R199">INT(SUMPRODUCT(--ISNUMBER(SEARCH(race,C199)))&gt;0)</f>
        <v>0</v>
      </c>
      <c r="S199" s="14" cm="1">
        <f t="array" ref="S199">INT(SUMPRODUCT(--ISNUMBER(SEARCH(immigration,C199)))&gt;0)</f>
        <v>0</v>
      </c>
      <c r="T199" s="14" cm="1">
        <f t="array" ref="T199">INT(SUMPRODUCT(--ISNUMBER(SEARCH(econineq,C200)))&gt;0)</f>
        <v>0</v>
      </c>
      <c r="U199" s="14" cm="1">
        <f t="array" ref="U199">INT(SUMPRODUCT(--ISNUMBER(SEARCH(climate,C199)))&gt;0)</f>
        <v>0</v>
      </c>
      <c r="V199" s="14" cm="1">
        <f t="array" ref="V199">INT(SUMPRODUCT(--ISNUMBER(SEARCH(abortion,C199)))&gt;0)</f>
        <v>0</v>
      </c>
      <c r="W199" s="14" cm="1">
        <f t="array" ref="W199">INT(SUMPRODUCT(--ISNUMBER(SEARCH(trump,C199)))&gt;0)</f>
        <v>0</v>
      </c>
      <c r="X199" s="14" cm="1">
        <f t="array" ref="X199">INT(SUMPRODUCT(--ISNUMBER(SEARCH(voting,C199)))&gt;0)</f>
        <v>0</v>
      </c>
      <c r="Y199" s="35" cm="1">
        <f t="array" ref="Y199">INT(SUMPRODUCT(--ISNUMBER(SEARCH(republicantrigger,C199)))&gt;0)</f>
        <v>0</v>
      </c>
      <c r="Z199" s="35" cm="1">
        <f t="array" ref="Z199">INT(SUMPRODUCT(--ISNUMBER(SEARCH(bipartisan,C199)))&gt;0)</f>
        <v>0</v>
      </c>
      <c r="AA199" s="35">
        <f t="shared" si="3"/>
        <v>1</v>
      </c>
      <c r="AB199" s="14"/>
      <c r="AC199" s="30" t="s">
        <v>223</v>
      </c>
      <c r="AD199" s="37" t="s">
        <v>223</v>
      </c>
    </row>
    <row r="200" spans="1:30" x14ac:dyDescent="0.25">
      <c r="A200" s="36">
        <v>3740</v>
      </c>
      <c r="B200" s="14" t="s">
        <v>7233</v>
      </c>
      <c r="C200" s="14" t="s">
        <v>7234</v>
      </c>
      <c r="D200" s="17">
        <v>44117</v>
      </c>
      <c r="E200" s="14" t="s">
        <v>30</v>
      </c>
      <c r="F200" s="14">
        <v>65</v>
      </c>
      <c r="G200" s="14">
        <v>5</v>
      </c>
      <c r="H200" s="14">
        <v>17</v>
      </c>
      <c r="I200" s="14">
        <v>9</v>
      </c>
      <c r="J200" s="14" t="s">
        <v>31</v>
      </c>
      <c r="K200" s="14" cm="1">
        <f t="array" ref="K200">INT(SUMPRODUCT(--ISNUMBER(SEARCH(economy,C200)))&gt;0)</f>
        <v>0</v>
      </c>
      <c r="L200" s="14" cm="1">
        <f t="array" ref="L200">INT(SUMPRODUCT(--ISNUMBER(SEARCH(healthcare,C200)))&gt;0)</f>
        <v>0</v>
      </c>
      <c r="M200" s="14" cm="1">
        <f t="array" ref="M200">INT(SUMPRODUCT(--ISNUMBER(SEARCH(supreme,C200)))&gt;0)</f>
        <v>0</v>
      </c>
      <c r="N200" s="14" cm="1">
        <f t="array" ref="N200">INT(SUMPRODUCT(--ISNUMBER(SEARCH(covid,C200)))&gt;0)</f>
        <v>0</v>
      </c>
      <c r="O200" s="14" cm="1">
        <f t="array" ref="O200">INT(SUMPRODUCT(--ISNUMBER(SEARCH(violent,C200)))&gt;0)</f>
        <v>0</v>
      </c>
      <c r="P200" s="14" cm="1">
        <f t="array" ref="P200">INT(SUMPRODUCT(--ISNUMBER(SEARCH(foreign,C200)))&gt;0)</f>
        <v>0</v>
      </c>
      <c r="Q200" s="14" cm="1">
        <f t="array" ref="Q200">INT(SUMPRODUCT(--ISNUMBER(SEARCH(gun,C200)))&gt;0)</f>
        <v>0</v>
      </c>
      <c r="R200" s="14" cm="1">
        <f t="array" ref="R200">INT(SUMPRODUCT(--ISNUMBER(SEARCH(race,C200)))&gt;0)</f>
        <v>0</v>
      </c>
      <c r="S200" s="14" cm="1">
        <f t="array" ref="S200">INT(SUMPRODUCT(--ISNUMBER(SEARCH(immigration,C200)))&gt;0)</f>
        <v>0</v>
      </c>
      <c r="T200" s="14" cm="1">
        <f t="array" ref="T200">INT(SUMPRODUCT(--ISNUMBER(SEARCH(econineq,C201)))&gt;0)</f>
        <v>0</v>
      </c>
      <c r="U200" s="14" cm="1">
        <f t="array" ref="U200">INT(SUMPRODUCT(--ISNUMBER(SEARCH(climate,C200)))&gt;0)</f>
        <v>0</v>
      </c>
      <c r="V200" s="14" cm="1">
        <f t="array" ref="V200">INT(SUMPRODUCT(--ISNUMBER(SEARCH(abortion,C200)))&gt;0)</f>
        <v>0</v>
      </c>
      <c r="W200" s="14" cm="1">
        <f t="array" ref="W200">INT(SUMPRODUCT(--ISNUMBER(SEARCH(trump,C200)))&gt;0)</f>
        <v>0</v>
      </c>
      <c r="X200" s="14" cm="1">
        <f t="array" ref="X200">INT(SUMPRODUCT(--ISNUMBER(SEARCH(voting,C200)))&gt;0)</f>
        <v>0</v>
      </c>
      <c r="Y200" s="35" cm="1">
        <f t="array" ref="Y200">INT(SUMPRODUCT(--ISNUMBER(SEARCH(republicantrigger,C200)))&gt;0)</f>
        <v>0</v>
      </c>
      <c r="Z200" s="35" cm="1">
        <f t="array" ref="Z200">INT(SUMPRODUCT(--ISNUMBER(SEARCH(bipartisan,C200)))&gt;0)</f>
        <v>0</v>
      </c>
      <c r="AA200" s="35">
        <f t="shared" si="3"/>
        <v>1</v>
      </c>
      <c r="AB200" s="14"/>
      <c r="AC200" s="30" t="s">
        <v>223</v>
      </c>
      <c r="AD200" s="37" t="s">
        <v>223</v>
      </c>
    </row>
    <row r="201" spans="1:30" x14ac:dyDescent="0.25">
      <c r="A201" s="36">
        <v>3741</v>
      </c>
      <c r="B201" s="14" t="s">
        <v>7235</v>
      </c>
      <c r="C201" s="14" t="s">
        <v>7236</v>
      </c>
      <c r="D201" s="17">
        <v>44117</v>
      </c>
      <c r="E201" s="14" t="s">
        <v>30</v>
      </c>
      <c r="F201" s="14">
        <v>149</v>
      </c>
      <c r="G201" s="14">
        <v>40</v>
      </c>
      <c r="H201" s="14">
        <v>17</v>
      </c>
      <c r="I201" s="14">
        <v>9</v>
      </c>
      <c r="J201" s="14" t="s">
        <v>31</v>
      </c>
      <c r="K201" s="14" cm="1">
        <f t="array" ref="K201">INT(SUMPRODUCT(--ISNUMBER(SEARCH(economy,C201)))&gt;0)</f>
        <v>0</v>
      </c>
      <c r="L201" s="14" cm="1">
        <f t="array" ref="L201">INT(SUMPRODUCT(--ISNUMBER(SEARCH(healthcare,C201)))&gt;0)</f>
        <v>0</v>
      </c>
      <c r="M201" s="14" cm="1">
        <f t="array" ref="M201">INT(SUMPRODUCT(--ISNUMBER(SEARCH(supreme,C201)))&gt;0)</f>
        <v>0</v>
      </c>
      <c r="N201" s="14" cm="1">
        <f t="array" ref="N201">INT(SUMPRODUCT(--ISNUMBER(SEARCH(covid,C201)))&gt;0)</f>
        <v>0</v>
      </c>
      <c r="O201" s="14" cm="1">
        <f t="array" ref="O201">INT(SUMPRODUCT(--ISNUMBER(SEARCH(violent,C201)))&gt;0)</f>
        <v>0</v>
      </c>
      <c r="P201" s="14" cm="1">
        <f t="array" ref="P201">INT(SUMPRODUCT(--ISNUMBER(SEARCH(foreign,C201)))&gt;0)</f>
        <v>0</v>
      </c>
      <c r="Q201" s="14" cm="1">
        <f t="array" ref="Q201">INT(SUMPRODUCT(--ISNUMBER(SEARCH(gun,C201)))&gt;0)</f>
        <v>0</v>
      </c>
      <c r="R201" s="14" cm="1">
        <f t="array" ref="R201">INT(SUMPRODUCT(--ISNUMBER(SEARCH(race,C201)))&gt;0)</f>
        <v>0</v>
      </c>
      <c r="S201" s="14" cm="1">
        <f t="array" ref="S201">INT(SUMPRODUCT(--ISNUMBER(SEARCH(immigration,C201)))&gt;0)</f>
        <v>0</v>
      </c>
      <c r="T201" s="14" cm="1">
        <f t="array" ref="T201">INT(SUMPRODUCT(--ISNUMBER(SEARCH(econineq,C202)))&gt;0)</f>
        <v>0</v>
      </c>
      <c r="U201" s="14" cm="1">
        <f t="array" ref="U201">INT(SUMPRODUCT(--ISNUMBER(SEARCH(climate,C201)))&gt;0)</f>
        <v>0</v>
      </c>
      <c r="V201" s="14" cm="1">
        <f t="array" ref="V201">INT(SUMPRODUCT(--ISNUMBER(SEARCH(abortion,C201)))&gt;0)</f>
        <v>0</v>
      </c>
      <c r="W201" s="14" cm="1">
        <f t="array" ref="W201">INT(SUMPRODUCT(--ISNUMBER(SEARCH(trump,C201)))&gt;0)</f>
        <v>0</v>
      </c>
      <c r="X201" s="14" cm="1">
        <f t="array" ref="X201">INT(SUMPRODUCT(--ISNUMBER(SEARCH(voting,C201)))&gt;0)</f>
        <v>0</v>
      </c>
      <c r="Y201" s="35" cm="1">
        <f t="array" ref="Y201">INT(SUMPRODUCT(--ISNUMBER(SEARCH(republicantrigger,C201)))&gt;0)</f>
        <v>0</v>
      </c>
      <c r="Z201" s="35" cm="1">
        <f t="array" ref="Z201">INT(SUMPRODUCT(--ISNUMBER(SEARCH(bipartisan,C201)))&gt;0)</f>
        <v>0</v>
      </c>
      <c r="AA201" s="35">
        <f t="shared" si="3"/>
        <v>1</v>
      </c>
      <c r="AB201" s="14"/>
      <c r="AC201" s="30" t="s">
        <v>223</v>
      </c>
      <c r="AD201" s="37" t="s">
        <v>223</v>
      </c>
    </row>
    <row r="202" spans="1:30" x14ac:dyDescent="0.25">
      <c r="A202" s="36">
        <v>3742</v>
      </c>
      <c r="B202" s="14" t="s">
        <v>7237</v>
      </c>
      <c r="C202" s="14" t="s">
        <v>7238</v>
      </c>
      <c r="D202" s="17">
        <v>44117</v>
      </c>
      <c r="E202" s="14" t="s">
        <v>30</v>
      </c>
      <c r="F202" s="14">
        <v>88</v>
      </c>
      <c r="G202" s="14">
        <v>14</v>
      </c>
      <c r="H202" s="14">
        <v>17</v>
      </c>
      <c r="I202" s="14">
        <v>9</v>
      </c>
      <c r="J202" s="14" t="s">
        <v>31</v>
      </c>
      <c r="K202" s="14" cm="1">
        <f t="array" ref="K202">INT(SUMPRODUCT(--ISNUMBER(SEARCH(economy,C202)))&gt;0)</f>
        <v>0</v>
      </c>
      <c r="L202" s="14" cm="1">
        <f t="array" ref="L202">INT(SUMPRODUCT(--ISNUMBER(SEARCH(healthcare,C202)))&gt;0)</f>
        <v>0</v>
      </c>
      <c r="M202" s="14" cm="1">
        <f t="array" ref="M202">INT(SUMPRODUCT(--ISNUMBER(SEARCH(supreme,C202)))&gt;0)</f>
        <v>0</v>
      </c>
      <c r="N202" s="14" cm="1">
        <f t="array" ref="N202">INT(SUMPRODUCT(--ISNUMBER(SEARCH(covid,C202)))&gt;0)</f>
        <v>0</v>
      </c>
      <c r="O202" s="14" cm="1">
        <f t="array" ref="O202">INT(SUMPRODUCT(--ISNUMBER(SEARCH(violent,C202)))&gt;0)</f>
        <v>0</v>
      </c>
      <c r="P202" s="14" cm="1">
        <f t="array" ref="P202">INT(SUMPRODUCT(--ISNUMBER(SEARCH(foreign,C202)))&gt;0)</f>
        <v>0</v>
      </c>
      <c r="Q202" s="14" cm="1">
        <f t="array" ref="Q202">INT(SUMPRODUCT(--ISNUMBER(SEARCH(gun,C202)))&gt;0)</f>
        <v>0</v>
      </c>
      <c r="R202" s="14" cm="1">
        <f t="array" ref="R202">INT(SUMPRODUCT(--ISNUMBER(SEARCH(race,C202)))&gt;0)</f>
        <v>0</v>
      </c>
      <c r="S202" s="14" cm="1">
        <f t="array" ref="S202">INT(SUMPRODUCT(--ISNUMBER(SEARCH(immigration,C202)))&gt;0)</f>
        <v>0</v>
      </c>
      <c r="T202" s="14" cm="1">
        <f t="array" ref="T202">INT(SUMPRODUCT(--ISNUMBER(SEARCH(econineq,C203)))&gt;0)</f>
        <v>0</v>
      </c>
      <c r="U202" s="14" cm="1">
        <f t="array" ref="U202">INT(SUMPRODUCT(--ISNUMBER(SEARCH(climate,C202)))&gt;0)</f>
        <v>0</v>
      </c>
      <c r="V202" s="14" cm="1">
        <f t="array" ref="V202">INT(SUMPRODUCT(--ISNUMBER(SEARCH(abortion,C202)))&gt;0)</f>
        <v>0</v>
      </c>
      <c r="W202" s="14" cm="1">
        <f t="array" ref="W202">INT(SUMPRODUCT(--ISNUMBER(SEARCH(trump,C202)))&gt;0)</f>
        <v>0</v>
      </c>
      <c r="X202" s="14" cm="1">
        <f t="array" ref="X202">INT(SUMPRODUCT(--ISNUMBER(SEARCH(voting,C202)))&gt;0)</f>
        <v>0</v>
      </c>
      <c r="Y202" s="35" cm="1">
        <f t="array" ref="Y202">INT(SUMPRODUCT(--ISNUMBER(SEARCH(republicantrigger,C202)))&gt;0)</f>
        <v>0</v>
      </c>
      <c r="Z202" s="35" cm="1">
        <f t="array" ref="Z202">INT(SUMPRODUCT(--ISNUMBER(SEARCH(bipartisan,C202)))&gt;0)</f>
        <v>0</v>
      </c>
      <c r="AA202" s="35">
        <f t="shared" si="3"/>
        <v>1</v>
      </c>
      <c r="AB202" s="14"/>
      <c r="AC202" s="30" t="s">
        <v>223</v>
      </c>
      <c r="AD202" s="37" t="s">
        <v>223</v>
      </c>
    </row>
    <row r="203" spans="1:30" x14ac:dyDescent="0.25">
      <c r="A203" s="36">
        <v>3743</v>
      </c>
      <c r="B203" s="14" t="s">
        <v>7239</v>
      </c>
      <c r="C203" s="14" t="s">
        <v>7240</v>
      </c>
      <c r="D203" s="17">
        <v>44117</v>
      </c>
      <c r="E203" s="14" t="s">
        <v>30</v>
      </c>
      <c r="F203" s="14">
        <v>198</v>
      </c>
      <c r="G203" s="14">
        <v>55</v>
      </c>
      <c r="H203" s="14">
        <v>17</v>
      </c>
      <c r="I203" s="14">
        <v>9</v>
      </c>
      <c r="J203" s="14" t="s">
        <v>31</v>
      </c>
      <c r="K203" s="14" cm="1">
        <f t="array" ref="K203">INT(SUMPRODUCT(--ISNUMBER(SEARCH(economy,C203)))&gt;0)</f>
        <v>0</v>
      </c>
      <c r="L203" s="14" cm="1">
        <f t="array" ref="L203">INT(SUMPRODUCT(--ISNUMBER(SEARCH(healthcare,C203)))&gt;0)</f>
        <v>0</v>
      </c>
      <c r="M203" s="14" cm="1">
        <f t="array" ref="M203">INT(SUMPRODUCT(--ISNUMBER(SEARCH(supreme,C203)))&gt;0)</f>
        <v>0</v>
      </c>
      <c r="N203" s="14" cm="1">
        <f t="array" ref="N203">INT(SUMPRODUCT(--ISNUMBER(SEARCH(covid,C203)))&gt;0)</f>
        <v>0</v>
      </c>
      <c r="O203" s="14" cm="1">
        <f t="array" ref="O203">INT(SUMPRODUCT(--ISNUMBER(SEARCH(violent,C203)))&gt;0)</f>
        <v>0</v>
      </c>
      <c r="P203" s="14" cm="1">
        <f t="array" ref="P203">INT(SUMPRODUCT(--ISNUMBER(SEARCH(foreign,C203)))&gt;0)</f>
        <v>0</v>
      </c>
      <c r="Q203" s="14" cm="1">
        <f t="array" ref="Q203">INT(SUMPRODUCT(--ISNUMBER(SEARCH(gun,C203)))&gt;0)</f>
        <v>0</v>
      </c>
      <c r="R203" s="14" cm="1">
        <f t="array" ref="R203">INT(SUMPRODUCT(--ISNUMBER(SEARCH(race,C203)))&gt;0)</f>
        <v>0</v>
      </c>
      <c r="S203" s="14" cm="1">
        <f t="array" ref="S203">INT(SUMPRODUCT(--ISNUMBER(SEARCH(immigration,C203)))&gt;0)</f>
        <v>0</v>
      </c>
      <c r="T203" s="14" cm="1">
        <f t="array" ref="T203">INT(SUMPRODUCT(--ISNUMBER(SEARCH(econineq,C204)))&gt;0)</f>
        <v>0</v>
      </c>
      <c r="U203" s="14" cm="1">
        <f t="array" ref="U203">INT(SUMPRODUCT(--ISNUMBER(SEARCH(climate,C203)))&gt;0)</f>
        <v>0</v>
      </c>
      <c r="V203" s="14" cm="1">
        <f t="array" ref="V203">INT(SUMPRODUCT(--ISNUMBER(SEARCH(abortion,C203)))&gt;0)</f>
        <v>0</v>
      </c>
      <c r="W203" s="14" cm="1">
        <f t="array" ref="W203">INT(SUMPRODUCT(--ISNUMBER(SEARCH(trump,C203)))&gt;0)</f>
        <v>0</v>
      </c>
      <c r="X203" s="14" cm="1">
        <f t="array" ref="X203">INT(SUMPRODUCT(--ISNUMBER(SEARCH(voting,C203)))&gt;0)</f>
        <v>0</v>
      </c>
      <c r="Y203" s="35" cm="1">
        <f t="array" ref="Y203">INT(SUMPRODUCT(--ISNUMBER(SEARCH(republicantrigger,C203)))&gt;0)</f>
        <v>0</v>
      </c>
      <c r="Z203" s="35" cm="1">
        <f t="array" ref="Z203">INT(SUMPRODUCT(--ISNUMBER(SEARCH(bipartisan,C203)))&gt;0)</f>
        <v>0</v>
      </c>
      <c r="AA203" s="35">
        <f t="shared" si="3"/>
        <v>1</v>
      </c>
      <c r="AB203" s="14"/>
      <c r="AC203" s="30" t="s">
        <v>223</v>
      </c>
      <c r="AD203" s="37" t="s">
        <v>223</v>
      </c>
    </row>
    <row r="204" spans="1:30" x14ac:dyDescent="0.25">
      <c r="A204" s="36">
        <v>3744</v>
      </c>
      <c r="B204" s="14" t="s">
        <v>7241</v>
      </c>
      <c r="C204" s="14" t="s">
        <v>7242</v>
      </c>
      <c r="D204" s="17">
        <v>44117</v>
      </c>
      <c r="E204" s="14" t="s">
        <v>30</v>
      </c>
      <c r="F204" s="14">
        <v>234</v>
      </c>
      <c r="G204" s="14">
        <v>70</v>
      </c>
      <c r="H204" s="14">
        <v>17</v>
      </c>
      <c r="I204" s="14">
        <v>9</v>
      </c>
      <c r="J204" s="14" t="s">
        <v>31</v>
      </c>
      <c r="K204" s="14" cm="1">
        <f t="array" ref="K204">INT(SUMPRODUCT(--ISNUMBER(SEARCH(economy,C204)))&gt;0)</f>
        <v>0</v>
      </c>
      <c r="L204" s="14" cm="1">
        <f t="array" ref="L204">INT(SUMPRODUCT(--ISNUMBER(SEARCH(healthcare,C204)))&gt;0)</f>
        <v>0</v>
      </c>
      <c r="M204" s="14" cm="1">
        <f t="array" ref="M204">INT(SUMPRODUCT(--ISNUMBER(SEARCH(supreme,C204)))&gt;0)</f>
        <v>0</v>
      </c>
      <c r="N204" s="14" cm="1">
        <f t="array" ref="N204">INT(SUMPRODUCT(--ISNUMBER(SEARCH(covid,C204)))&gt;0)</f>
        <v>0</v>
      </c>
      <c r="O204" s="14" cm="1">
        <f t="array" ref="O204">INT(SUMPRODUCT(--ISNUMBER(SEARCH(violent,C204)))&gt;0)</f>
        <v>0</v>
      </c>
      <c r="P204" s="14" cm="1">
        <f t="array" ref="P204">INT(SUMPRODUCT(--ISNUMBER(SEARCH(foreign,C204)))&gt;0)</f>
        <v>0</v>
      </c>
      <c r="Q204" s="14" cm="1">
        <f t="array" ref="Q204">INT(SUMPRODUCT(--ISNUMBER(SEARCH(gun,C204)))&gt;0)</f>
        <v>0</v>
      </c>
      <c r="R204" s="14" cm="1">
        <f t="array" ref="R204">INT(SUMPRODUCT(--ISNUMBER(SEARCH(race,C204)))&gt;0)</f>
        <v>0</v>
      </c>
      <c r="S204" s="14" cm="1">
        <f t="array" ref="S204">INT(SUMPRODUCT(--ISNUMBER(SEARCH(immigration,C204)))&gt;0)</f>
        <v>0</v>
      </c>
      <c r="T204" s="14" cm="1">
        <f t="array" ref="T204">INT(SUMPRODUCT(--ISNUMBER(SEARCH(econineq,C205)))&gt;0)</f>
        <v>0</v>
      </c>
      <c r="U204" s="14" cm="1">
        <f t="array" ref="U204">INT(SUMPRODUCT(--ISNUMBER(SEARCH(climate,C204)))&gt;0)</f>
        <v>0</v>
      </c>
      <c r="V204" s="14" cm="1">
        <f t="array" ref="V204">INT(SUMPRODUCT(--ISNUMBER(SEARCH(abortion,C204)))&gt;0)</f>
        <v>0</v>
      </c>
      <c r="W204" s="14" cm="1">
        <f t="array" ref="W204">INT(SUMPRODUCT(--ISNUMBER(SEARCH(trump,C204)))&gt;0)</f>
        <v>0</v>
      </c>
      <c r="X204" s="14" cm="1">
        <f t="array" ref="X204">INT(SUMPRODUCT(--ISNUMBER(SEARCH(voting,C204)))&gt;0)</f>
        <v>0</v>
      </c>
      <c r="Y204" s="35" cm="1">
        <f t="array" ref="Y204">INT(SUMPRODUCT(--ISNUMBER(SEARCH(republicantrigger,C204)))&gt;0)</f>
        <v>0</v>
      </c>
      <c r="Z204" s="35" cm="1">
        <f t="array" ref="Z204">INT(SUMPRODUCT(--ISNUMBER(SEARCH(bipartisan,C204)))&gt;0)</f>
        <v>0</v>
      </c>
      <c r="AA204" s="35">
        <f t="shared" si="3"/>
        <v>1</v>
      </c>
      <c r="AB204" s="14"/>
      <c r="AC204" s="30" t="s">
        <v>223</v>
      </c>
      <c r="AD204" s="37" t="s">
        <v>223</v>
      </c>
    </row>
    <row r="205" spans="1:30" x14ac:dyDescent="0.25">
      <c r="A205" s="36">
        <v>3745</v>
      </c>
      <c r="B205" s="14" t="s">
        <v>7243</v>
      </c>
      <c r="C205" s="14" t="s">
        <v>7244</v>
      </c>
      <c r="D205" s="17">
        <v>44117</v>
      </c>
      <c r="E205" s="14" t="s">
        <v>30</v>
      </c>
      <c r="F205" s="14">
        <v>187</v>
      </c>
      <c r="G205" s="14">
        <v>32</v>
      </c>
      <c r="H205" s="14">
        <v>17</v>
      </c>
      <c r="I205" s="14">
        <v>9</v>
      </c>
      <c r="J205" s="14" t="s">
        <v>31</v>
      </c>
      <c r="K205" s="14" cm="1">
        <f t="array" ref="K205">INT(SUMPRODUCT(--ISNUMBER(SEARCH(economy,C205)))&gt;0)</f>
        <v>0</v>
      </c>
      <c r="L205" s="14" cm="1">
        <f t="array" ref="L205">INT(SUMPRODUCT(--ISNUMBER(SEARCH(healthcare,C205)))&gt;0)</f>
        <v>0</v>
      </c>
      <c r="M205" s="14" cm="1">
        <f t="array" ref="M205">INT(SUMPRODUCT(--ISNUMBER(SEARCH(supreme,C205)))&gt;0)</f>
        <v>1</v>
      </c>
      <c r="N205" s="14" cm="1">
        <f t="array" ref="N205">INT(SUMPRODUCT(--ISNUMBER(SEARCH(covid,C205)))&gt;0)</f>
        <v>0</v>
      </c>
      <c r="O205" s="14" cm="1">
        <f t="array" ref="O205">INT(SUMPRODUCT(--ISNUMBER(SEARCH(violent,C205)))&gt;0)</f>
        <v>0</v>
      </c>
      <c r="P205" s="14" cm="1">
        <f t="array" ref="P205">INT(SUMPRODUCT(--ISNUMBER(SEARCH(foreign,C205)))&gt;0)</f>
        <v>0</v>
      </c>
      <c r="Q205" s="14" cm="1">
        <f t="array" ref="Q205">INT(SUMPRODUCT(--ISNUMBER(SEARCH(gun,C205)))&gt;0)</f>
        <v>0</v>
      </c>
      <c r="R205" s="14" cm="1">
        <f t="array" ref="R205">INT(SUMPRODUCT(--ISNUMBER(SEARCH(race,C205)))&gt;0)</f>
        <v>0</v>
      </c>
      <c r="S205" s="14" cm="1">
        <f t="array" ref="S205">INT(SUMPRODUCT(--ISNUMBER(SEARCH(immigration,C205)))&gt;0)</f>
        <v>0</v>
      </c>
      <c r="T205" s="14" cm="1">
        <f t="array" ref="T205">INT(SUMPRODUCT(--ISNUMBER(SEARCH(econineq,C206)))&gt;0)</f>
        <v>0</v>
      </c>
      <c r="U205" s="14" cm="1">
        <f t="array" ref="U205">INT(SUMPRODUCT(--ISNUMBER(SEARCH(climate,C205)))&gt;0)</f>
        <v>0</v>
      </c>
      <c r="V205" s="14" cm="1">
        <f t="array" ref="V205">INT(SUMPRODUCT(--ISNUMBER(SEARCH(abortion,C205)))&gt;0)</f>
        <v>0</v>
      </c>
      <c r="W205" s="14" cm="1">
        <f t="array" ref="W205">INT(SUMPRODUCT(--ISNUMBER(SEARCH(trump,C205)))&gt;0)</f>
        <v>0</v>
      </c>
      <c r="X205" s="14" cm="1">
        <f t="array" ref="X205">INT(SUMPRODUCT(--ISNUMBER(SEARCH(voting,C205)))&gt;0)</f>
        <v>0</v>
      </c>
      <c r="Y205" s="35" cm="1">
        <f t="array" ref="Y205">INT(SUMPRODUCT(--ISNUMBER(SEARCH(republicantrigger,C205)))&gt;0)</f>
        <v>0</v>
      </c>
      <c r="Z205" s="35" cm="1">
        <f t="array" ref="Z205">INT(SUMPRODUCT(--ISNUMBER(SEARCH(bipartisan,C205)))&gt;0)</f>
        <v>0</v>
      </c>
      <c r="AA205" s="35">
        <f t="shared" si="3"/>
        <v>0</v>
      </c>
      <c r="AB205" s="14"/>
      <c r="AC205" s="30" t="s">
        <v>223</v>
      </c>
      <c r="AD205" s="37" t="s">
        <v>223</v>
      </c>
    </row>
    <row r="206" spans="1:30" x14ac:dyDescent="0.25">
      <c r="A206" s="36">
        <v>3746</v>
      </c>
      <c r="B206" s="14" t="s">
        <v>7245</v>
      </c>
      <c r="C206" s="14" t="s">
        <v>7246</v>
      </c>
      <c r="D206" s="17">
        <v>44117</v>
      </c>
      <c r="E206" s="14" t="s">
        <v>30</v>
      </c>
      <c r="F206" s="14">
        <v>108</v>
      </c>
      <c r="G206" s="14">
        <v>37</v>
      </c>
      <c r="H206" s="14">
        <v>17</v>
      </c>
      <c r="I206" s="14">
        <v>9</v>
      </c>
      <c r="J206" s="14" t="s">
        <v>31</v>
      </c>
      <c r="K206" s="14" cm="1">
        <f t="array" ref="K206">INT(SUMPRODUCT(--ISNUMBER(SEARCH(economy,C206)))&gt;0)</f>
        <v>0</v>
      </c>
      <c r="L206" s="14" cm="1">
        <f t="array" ref="L206">INT(SUMPRODUCT(--ISNUMBER(SEARCH(healthcare,C206)))&gt;0)</f>
        <v>0</v>
      </c>
      <c r="M206" s="14" cm="1">
        <f t="array" ref="M206">INT(SUMPRODUCT(--ISNUMBER(SEARCH(supreme,C206)))&gt;0)</f>
        <v>0</v>
      </c>
      <c r="N206" s="14" cm="1">
        <f t="array" ref="N206">INT(SUMPRODUCT(--ISNUMBER(SEARCH(covid,C206)))&gt;0)</f>
        <v>0</v>
      </c>
      <c r="O206" s="14" cm="1">
        <f t="array" ref="O206">INT(SUMPRODUCT(--ISNUMBER(SEARCH(violent,C206)))&gt;0)</f>
        <v>0</v>
      </c>
      <c r="P206" s="14" cm="1">
        <f t="array" ref="P206">INT(SUMPRODUCT(--ISNUMBER(SEARCH(foreign,C206)))&gt;0)</f>
        <v>0</v>
      </c>
      <c r="Q206" s="14" cm="1">
        <f t="array" ref="Q206">INT(SUMPRODUCT(--ISNUMBER(SEARCH(gun,C206)))&gt;0)</f>
        <v>0</v>
      </c>
      <c r="R206" s="14" cm="1">
        <f t="array" ref="R206">INT(SUMPRODUCT(--ISNUMBER(SEARCH(race,C206)))&gt;0)</f>
        <v>0</v>
      </c>
      <c r="S206" s="14" cm="1">
        <f t="array" ref="S206">INT(SUMPRODUCT(--ISNUMBER(SEARCH(immigration,C206)))&gt;0)</f>
        <v>0</v>
      </c>
      <c r="T206" s="14" cm="1">
        <f t="array" ref="T206">INT(SUMPRODUCT(--ISNUMBER(SEARCH(econineq,C207)))&gt;0)</f>
        <v>0</v>
      </c>
      <c r="U206" s="14" cm="1">
        <f t="array" ref="U206">INT(SUMPRODUCT(--ISNUMBER(SEARCH(climate,C206)))&gt;0)</f>
        <v>0</v>
      </c>
      <c r="V206" s="14" cm="1">
        <f t="array" ref="V206">INT(SUMPRODUCT(--ISNUMBER(SEARCH(abortion,C206)))&gt;0)</f>
        <v>0</v>
      </c>
      <c r="W206" s="14" cm="1">
        <f t="array" ref="W206">INT(SUMPRODUCT(--ISNUMBER(SEARCH(trump,C206)))&gt;0)</f>
        <v>0</v>
      </c>
      <c r="X206" s="14" cm="1">
        <f t="array" ref="X206">INT(SUMPRODUCT(--ISNUMBER(SEARCH(voting,C206)))&gt;0)</f>
        <v>0</v>
      </c>
      <c r="Y206" s="35" cm="1">
        <f t="array" ref="Y206">INT(SUMPRODUCT(--ISNUMBER(SEARCH(republicantrigger,C206)))&gt;0)</f>
        <v>0</v>
      </c>
      <c r="Z206" s="35" cm="1">
        <f t="array" ref="Z206">INT(SUMPRODUCT(--ISNUMBER(SEARCH(bipartisan,C206)))&gt;0)</f>
        <v>0</v>
      </c>
      <c r="AA206" s="35">
        <f t="shared" si="3"/>
        <v>1</v>
      </c>
      <c r="AB206" s="14"/>
      <c r="AC206" s="30" t="s">
        <v>223</v>
      </c>
      <c r="AD206" s="37" t="s">
        <v>223</v>
      </c>
    </row>
    <row r="207" spans="1:30" x14ac:dyDescent="0.25">
      <c r="A207" s="36">
        <v>3747</v>
      </c>
      <c r="B207" s="14" t="s">
        <v>7247</v>
      </c>
      <c r="C207" s="14" t="s">
        <v>7248</v>
      </c>
      <c r="D207" s="17">
        <v>44117</v>
      </c>
      <c r="E207" s="14" t="s">
        <v>30</v>
      </c>
      <c r="F207" s="14">
        <v>601</v>
      </c>
      <c r="G207" s="14">
        <v>178</v>
      </c>
      <c r="H207" s="14">
        <v>17</v>
      </c>
      <c r="I207" s="14">
        <v>9</v>
      </c>
      <c r="J207" s="14" t="s">
        <v>31</v>
      </c>
      <c r="K207" s="14" cm="1">
        <f t="array" ref="K207">INT(SUMPRODUCT(--ISNUMBER(SEARCH(economy,C207)))&gt;0)</f>
        <v>0</v>
      </c>
      <c r="L207" s="14" cm="1">
        <f t="array" ref="L207">INT(SUMPRODUCT(--ISNUMBER(SEARCH(healthcare,C207)))&gt;0)</f>
        <v>0</v>
      </c>
      <c r="M207" s="14" cm="1">
        <f t="array" ref="M207">INT(SUMPRODUCT(--ISNUMBER(SEARCH(supreme,C207)))&gt;0)</f>
        <v>1</v>
      </c>
      <c r="N207" s="14" cm="1">
        <f t="array" ref="N207">INT(SUMPRODUCT(--ISNUMBER(SEARCH(covid,C207)))&gt;0)</f>
        <v>0</v>
      </c>
      <c r="O207" s="14" cm="1">
        <f t="array" ref="O207">INT(SUMPRODUCT(--ISNUMBER(SEARCH(violent,C207)))&gt;0)</f>
        <v>0</v>
      </c>
      <c r="P207" s="14" cm="1">
        <f t="array" ref="P207">INT(SUMPRODUCT(--ISNUMBER(SEARCH(foreign,C207)))&gt;0)</f>
        <v>0</v>
      </c>
      <c r="Q207" s="14" cm="1">
        <f t="array" ref="Q207">INT(SUMPRODUCT(--ISNUMBER(SEARCH(gun,C207)))&gt;0)</f>
        <v>0</v>
      </c>
      <c r="R207" s="14" cm="1">
        <f t="array" ref="R207">INT(SUMPRODUCT(--ISNUMBER(SEARCH(race,C207)))&gt;0)</f>
        <v>0</v>
      </c>
      <c r="S207" s="14" cm="1">
        <f t="array" ref="S207">INT(SUMPRODUCT(--ISNUMBER(SEARCH(immigration,C207)))&gt;0)</f>
        <v>0</v>
      </c>
      <c r="T207" s="14" cm="1">
        <f t="array" ref="T207">INT(SUMPRODUCT(--ISNUMBER(SEARCH(econineq,C208)))&gt;0)</f>
        <v>0</v>
      </c>
      <c r="U207" s="14" cm="1">
        <f t="array" ref="U207">INT(SUMPRODUCT(--ISNUMBER(SEARCH(climate,C207)))&gt;0)</f>
        <v>0</v>
      </c>
      <c r="V207" s="14" cm="1">
        <f t="array" ref="V207">INT(SUMPRODUCT(--ISNUMBER(SEARCH(abortion,C207)))&gt;0)</f>
        <v>0</v>
      </c>
      <c r="W207" s="14" cm="1">
        <f t="array" ref="W207">INT(SUMPRODUCT(--ISNUMBER(SEARCH(trump,C207)))&gt;0)</f>
        <v>0</v>
      </c>
      <c r="X207" s="14" cm="1">
        <f t="array" ref="X207">INT(SUMPRODUCT(--ISNUMBER(SEARCH(voting,C207)))&gt;0)</f>
        <v>0</v>
      </c>
      <c r="Y207" s="35" cm="1">
        <f t="array" ref="Y207">INT(SUMPRODUCT(--ISNUMBER(SEARCH(republicantrigger,C207)))&gt;0)</f>
        <v>0</v>
      </c>
      <c r="Z207" s="35" cm="1">
        <f t="array" ref="Z207">INT(SUMPRODUCT(--ISNUMBER(SEARCH(bipartisan,C207)))&gt;0)</f>
        <v>0</v>
      </c>
      <c r="AA207" s="35">
        <f t="shared" si="3"/>
        <v>0</v>
      </c>
      <c r="AB207" s="14"/>
      <c r="AC207" s="30">
        <v>1</v>
      </c>
      <c r="AD207" s="37">
        <v>1</v>
      </c>
    </row>
    <row r="208" spans="1:30" x14ac:dyDescent="0.25">
      <c r="A208" s="36">
        <v>3748</v>
      </c>
      <c r="B208" s="14" t="s">
        <v>7249</v>
      </c>
      <c r="C208" s="14" t="s">
        <v>7250</v>
      </c>
      <c r="D208" s="17">
        <v>44117</v>
      </c>
      <c r="E208" s="14" t="s">
        <v>30</v>
      </c>
      <c r="F208" s="14">
        <v>1330</v>
      </c>
      <c r="G208" s="14">
        <v>344</v>
      </c>
      <c r="H208" s="14">
        <v>17</v>
      </c>
      <c r="I208" s="14">
        <v>9</v>
      </c>
      <c r="J208" s="14" t="s">
        <v>31</v>
      </c>
      <c r="K208" s="14" cm="1">
        <f t="array" ref="K208">INT(SUMPRODUCT(--ISNUMBER(SEARCH(economy,C208)))&gt;0)</f>
        <v>0</v>
      </c>
      <c r="L208" s="14" cm="1">
        <f t="array" ref="L208">INT(SUMPRODUCT(--ISNUMBER(SEARCH(healthcare,C208)))&gt;0)</f>
        <v>0</v>
      </c>
      <c r="M208" s="14" cm="1">
        <f t="array" ref="M208">INT(SUMPRODUCT(--ISNUMBER(SEARCH(supreme,C208)))&gt;0)</f>
        <v>1</v>
      </c>
      <c r="N208" s="14" cm="1">
        <f t="array" ref="N208">INT(SUMPRODUCT(--ISNUMBER(SEARCH(covid,C208)))&gt;0)</f>
        <v>0</v>
      </c>
      <c r="O208" s="14" cm="1">
        <f t="array" ref="O208">INT(SUMPRODUCT(--ISNUMBER(SEARCH(violent,C208)))&gt;0)</f>
        <v>0</v>
      </c>
      <c r="P208" s="14" cm="1">
        <f t="array" ref="P208">INT(SUMPRODUCT(--ISNUMBER(SEARCH(foreign,C208)))&gt;0)</f>
        <v>0</v>
      </c>
      <c r="Q208" s="14" cm="1">
        <f t="array" ref="Q208">INT(SUMPRODUCT(--ISNUMBER(SEARCH(gun,C208)))&gt;0)</f>
        <v>0</v>
      </c>
      <c r="R208" s="14" cm="1">
        <f t="array" ref="R208">INT(SUMPRODUCT(--ISNUMBER(SEARCH(race,C208)))&gt;0)</f>
        <v>0</v>
      </c>
      <c r="S208" s="14" cm="1">
        <f t="array" ref="S208">INT(SUMPRODUCT(--ISNUMBER(SEARCH(immigration,C208)))&gt;0)</f>
        <v>0</v>
      </c>
      <c r="T208" s="14" cm="1">
        <f t="array" ref="T208">INT(SUMPRODUCT(--ISNUMBER(SEARCH(econineq,C209)))&gt;0)</f>
        <v>0</v>
      </c>
      <c r="U208" s="14" cm="1">
        <f t="array" ref="U208">INT(SUMPRODUCT(--ISNUMBER(SEARCH(climate,C208)))&gt;0)</f>
        <v>0</v>
      </c>
      <c r="V208" s="14" cm="1">
        <f t="array" ref="V208">INT(SUMPRODUCT(--ISNUMBER(SEARCH(abortion,C208)))&gt;0)</f>
        <v>0</v>
      </c>
      <c r="W208" s="14" cm="1">
        <f t="array" ref="W208">INT(SUMPRODUCT(--ISNUMBER(SEARCH(trump,C208)))&gt;0)</f>
        <v>0</v>
      </c>
      <c r="X208" s="14" cm="1">
        <f t="array" ref="X208">INT(SUMPRODUCT(--ISNUMBER(SEARCH(voting,C208)))&gt;0)</f>
        <v>0</v>
      </c>
      <c r="Y208" s="35" cm="1">
        <f t="array" ref="Y208">INT(SUMPRODUCT(--ISNUMBER(SEARCH(republicantrigger,C208)))&gt;0)</f>
        <v>1</v>
      </c>
      <c r="Z208" s="35" cm="1">
        <f t="array" ref="Z208">INT(SUMPRODUCT(--ISNUMBER(SEARCH(bipartisan,C208)))&gt;0)</f>
        <v>0</v>
      </c>
      <c r="AA208" s="35">
        <f t="shared" si="3"/>
        <v>0</v>
      </c>
      <c r="AB208" s="14"/>
      <c r="AC208" s="30" t="s">
        <v>223</v>
      </c>
      <c r="AD208" s="37" t="s">
        <v>223</v>
      </c>
    </row>
    <row r="209" spans="1:30" x14ac:dyDescent="0.25">
      <c r="A209" s="36">
        <v>3749</v>
      </c>
      <c r="B209" s="14" t="s">
        <v>7251</v>
      </c>
      <c r="C209" s="14" t="s">
        <v>7252</v>
      </c>
      <c r="D209" s="17">
        <v>44117</v>
      </c>
      <c r="E209" s="14" t="s">
        <v>70</v>
      </c>
      <c r="F209" s="14">
        <v>32</v>
      </c>
      <c r="G209" s="14">
        <v>6</v>
      </c>
      <c r="H209" s="14">
        <v>17</v>
      </c>
      <c r="I209" s="14">
        <v>9</v>
      </c>
      <c r="J209" s="14" t="s">
        <v>31</v>
      </c>
      <c r="K209" s="14" cm="1">
        <f t="array" ref="K209">INT(SUMPRODUCT(--ISNUMBER(SEARCH(economy,C209)))&gt;0)</f>
        <v>1</v>
      </c>
      <c r="L209" s="14" cm="1">
        <f t="array" ref="L209">INT(SUMPRODUCT(--ISNUMBER(SEARCH(healthcare,C209)))&gt;0)</f>
        <v>0</v>
      </c>
      <c r="M209" s="14" cm="1">
        <f t="array" ref="M209">INT(SUMPRODUCT(--ISNUMBER(SEARCH(supreme,C209)))&gt;0)</f>
        <v>0</v>
      </c>
      <c r="N209" s="14" cm="1">
        <f t="array" ref="N209">INT(SUMPRODUCT(--ISNUMBER(SEARCH(covid,C209)))&gt;0)</f>
        <v>0</v>
      </c>
      <c r="O209" s="14" cm="1">
        <f t="array" ref="O209">INT(SUMPRODUCT(--ISNUMBER(SEARCH(violent,C209)))&gt;0)</f>
        <v>0</v>
      </c>
      <c r="P209" s="14" cm="1">
        <f t="array" ref="P209">INT(SUMPRODUCT(--ISNUMBER(SEARCH(foreign,C209)))&gt;0)</f>
        <v>1</v>
      </c>
      <c r="Q209" s="14" cm="1">
        <f t="array" ref="Q209">INT(SUMPRODUCT(--ISNUMBER(SEARCH(gun,C209)))&gt;0)</f>
        <v>0</v>
      </c>
      <c r="R209" s="14" cm="1">
        <f t="array" ref="R209">INT(SUMPRODUCT(--ISNUMBER(SEARCH(race,C209)))&gt;0)</f>
        <v>0</v>
      </c>
      <c r="S209" s="14" cm="1">
        <f t="array" ref="S209">INT(SUMPRODUCT(--ISNUMBER(SEARCH(immigration,C209)))&gt;0)</f>
        <v>0</v>
      </c>
      <c r="T209" s="14" cm="1">
        <f t="array" ref="T209">INT(SUMPRODUCT(--ISNUMBER(SEARCH(econineq,C210)))&gt;0)</f>
        <v>0</v>
      </c>
      <c r="U209" s="14" cm="1">
        <f t="array" ref="U209">INT(SUMPRODUCT(--ISNUMBER(SEARCH(climate,C209)))&gt;0)</f>
        <v>0</v>
      </c>
      <c r="V209" s="14" cm="1">
        <f t="array" ref="V209">INT(SUMPRODUCT(--ISNUMBER(SEARCH(abortion,C209)))&gt;0)</f>
        <v>0</v>
      </c>
      <c r="W209" s="14" cm="1">
        <f t="array" ref="W209">INT(SUMPRODUCT(--ISNUMBER(SEARCH(trump,C209)))&gt;0)</f>
        <v>0</v>
      </c>
      <c r="X209" s="14" cm="1">
        <f t="array" ref="X209">INT(SUMPRODUCT(--ISNUMBER(SEARCH(voting,C209)))&gt;0)</f>
        <v>0</v>
      </c>
      <c r="Y209" s="35" cm="1">
        <f t="array" ref="Y209">INT(SUMPRODUCT(--ISNUMBER(SEARCH(republicantrigger,C209)))&gt;0)</f>
        <v>0</v>
      </c>
      <c r="Z209" s="35" cm="1">
        <f t="array" ref="Z209">INT(SUMPRODUCT(--ISNUMBER(SEARCH(bipartisan,C209)))&gt;0)</f>
        <v>0</v>
      </c>
      <c r="AA209" s="35">
        <f t="shared" si="3"/>
        <v>0</v>
      </c>
      <c r="AB209" s="14"/>
      <c r="AC209" s="30" t="s">
        <v>223</v>
      </c>
      <c r="AD209" s="37" t="s">
        <v>223</v>
      </c>
    </row>
    <row r="210" spans="1:30" x14ac:dyDescent="0.25">
      <c r="A210" s="36">
        <v>3750</v>
      </c>
      <c r="B210" s="14" t="s">
        <v>7253</v>
      </c>
      <c r="C210" s="14" t="s">
        <v>7254</v>
      </c>
      <c r="D210" s="17">
        <v>44117</v>
      </c>
      <c r="E210" s="14" t="s">
        <v>70</v>
      </c>
      <c r="F210" s="14">
        <v>31</v>
      </c>
      <c r="G210" s="14">
        <v>7</v>
      </c>
      <c r="H210" s="14">
        <v>17</v>
      </c>
      <c r="I210" s="14">
        <v>9</v>
      </c>
      <c r="J210" s="14" t="s">
        <v>31</v>
      </c>
      <c r="K210" s="14" cm="1">
        <f t="array" ref="K210">INT(SUMPRODUCT(--ISNUMBER(SEARCH(economy,C210)))&gt;0)</f>
        <v>0</v>
      </c>
      <c r="L210" s="14" cm="1">
        <f t="array" ref="L210">INT(SUMPRODUCT(--ISNUMBER(SEARCH(healthcare,C210)))&gt;0)</f>
        <v>0</v>
      </c>
      <c r="M210" s="14" cm="1">
        <f t="array" ref="M210">INT(SUMPRODUCT(--ISNUMBER(SEARCH(supreme,C210)))&gt;0)</f>
        <v>0</v>
      </c>
      <c r="N210" s="14" cm="1">
        <f t="array" ref="N210">INT(SUMPRODUCT(--ISNUMBER(SEARCH(covid,C210)))&gt;0)</f>
        <v>0</v>
      </c>
      <c r="O210" s="14" cm="1">
        <f t="array" ref="O210">INT(SUMPRODUCT(--ISNUMBER(SEARCH(violent,C210)))&gt;0)</f>
        <v>0</v>
      </c>
      <c r="P210" s="14" cm="1">
        <f t="array" ref="P210">INT(SUMPRODUCT(--ISNUMBER(SEARCH(foreign,C210)))&gt;0)</f>
        <v>0</v>
      </c>
      <c r="Q210" s="14" cm="1">
        <f t="array" ref="Q210">INT(SUMPRODUCT(--ISNUMBER(SEARCH(gun,C210)))&gt;0)</f>
        <v>0</v>
      </c>
      <c r="R210" s="14" cm="1">
        <f t="array" ref="R210">INT(SUMPRODUCT(--ISNUMBER(SEARCH(race,C210)))&gt;0)</f>
        <v>0</v>
      </c>
      <c r="S210" s="14" cm="1">
        <f t="array" ref="S210">INT(SUMPRODUCT(--ISNUMBER(SEARCH(immigration,C210)))&gt;0)</f>
        <v>0</v>
      </c>
      <c r="T210" s="14" cm="1">
        <f t="array" ref="T210">INT(SUMPRODUCT(--ISNUMBER(SEARCH(econineq,C211)))&gt;0)</f>
        <v>0</v>
      </c>
      <c r="U210" s="14" cm="1">
        <f t="array" ref="U210">INT(SUMPRODUCT(--ISNUMBER(SEARCH(climate,C210)))&gt;0)</f>
        <v>0</v>
      </c>
      <c r="V210" s="14" cm="1">
        <f t="array" ref="V210">INT(SUMPRODUCT(--ISNUMBER(SEARCH(abortion,C210)))&gt;0)</f>
        <v>0</v>
      </c>
      <c r="W210" s="14" cm="1">
        <f t="array" ref="W210">INT(SUMPRODUCT(--ISNUMBER(SEARCH(trump,C210)))&gt;0)</f>
        <v>0</v>
      </c>
      <c r="X210" s="14" cm="1">
        <f t="array" ref="X210">INT(SUMPRODUCT(--ISNUMBER(SEARCH(voting,C210)))&gt;0)</f>
        <v>0</v>
      </c>
      <c r="Y210" s="35" cm="1">
        <f t="array" ref="Y210">INT(SUMPRODUCT(--ISNUMBER(SEARCH(republicantrigger,C210)))&gt;0)</f>
        <v>0</v>
      </c>
      <c r="Z210" s="35" cm="1">
        <f t="array" ref="Z210">INT(SUMPRODUCT(--ISNUMBER(SEARCH(bipartisan,C210)))&gt;0)</f>
        <v>0</v>
      </c>
      <c r="AA210" s="35">
        <f t="shared" si="3"/>
        <v>1</v>
      </c>
      <c r="AB210" s="14"/>
      <c r="AC210" s="30" t="s">
        <v>223</v>
      </c>
      <c r="AD210" s="37" t="s">
        <v>223</v>
      </c>
    </row>
    <row r="211" spans="1:30" x14ac:dyDescent="0.25">
      <c r="A211" s="36">
        <v>3751</v>
      </c>
      <c r="B211" s="14" t="s">
        <v>7255</v>
      </c>
      <c r="C211" s="14" t="s">
        <v>7256</v>
      </c>
      <c r="D211" s="17">
        <v>44117</v>
      </c>
      <c r="E211" s="14" t="s">
        <v>30</v>
      </c>
      <c r="F211" s="14">
        <v>70</v>
      </c>
      <c r="G211" s="14">
        <v>13</v>
      </c>
      <c r="H211" s="14">
        <v>17</v>
      </c>
      <c r="I211" s="14">
        <v>9</v>
      </c>
      <c r="J211" s="14" t="s">
        <v>31</v>
      </c>
      <c r="K211" s="14" cm="1">
        <f t="array" ref="K211">INT(SUMPRODUCT(--ISNUMBER(SEARCH(economy,C211)))&gt;0)</f>
        <v>0</v>
      </c>
      <c r="L211" s="14" cm="1">
        <f t="array" ref="L211">INT(SUMPRODUCT(--ISNUMBER(SEARCH(healthcare,C211)))&gt;0)</f>
        <v>0</v>
      </c>
      <c r="M211" s="14" cm="1">
        <f t="array" ref="M211">INT(SUMPRODUCT(--ISNUMBER(SEARCH(supreme,C211)))&gt;0)</f>
        <v>0</v>
      </c>
      <c r="N211" s="14" cm="1">
        <f t="array" ref="N211">INT(SUMPRODUCT(--ISNUMBER(SEARCH(covid,C211)))&gt;0)</f>
        <v>0</v>
      </c>
      <c r="O211" s="14" cm="1">
        <f t="array" ref="O211">INT(SUMPRODUCT(--ISNUMBER(SEARCH(violent,C211)))&gt;0)</f>
        <v>0</v>
      </c>
      <c r="P211" s="14" cm="1">
        <f t="array" ref="P211">INT(SUMPRODUCT(--ISNUMBER(SEARCH(foreign,C211)))&gt;0)</f>
        <v>0</v>
      </c>
      <c r="Q211" s="14" cm="1">
        <f t="array" ref="Q211">INT(SUMPRODUCT(--ISNUMBER(SEARCH(gun,C211)))&gt;0)</f>
        <v>0</v>
      </c>
      <c r="R211" s="14" cm="1">
        <f t="array" ref="R211">INT(SUMPRODUCT(--ISNUMBER(SEARCH(race,C211)))&gt;0)</f>
        <v>0</v>
      </c>
      <c r="S211" s="14" cm="1">
        <f t="array" ref="S211">INT(SUMPRODUCT(--ISNUMBER(SEARCH(immigration,C211)))&gt;0)</f>
        <v>0</v>
      </c>
      <c r="T211" s="14" cm="1">
        <f t="array" ref="T211">INT(SUMPRODUCT(--ISNUMBER(SEARCH(econineq,C212)))&gt;0)</f>
        <v>0</v>
      </c>
      <c r="U211" s="14" cm="1">
        <f t="array" ref="U211">INT(SUMPRODUCT(--ISNUMBER(SEARCH(climate,C211)))&gt;0)</f>
        <v>0</v>
      </c>
      <c r="V211" s="14" cm="1">
        <f t="array" ref="V211">INT(SUMPRODUCT(--ISNUMBER(SEARCH(abortion,C211)))&gt;0)</f>
        <v>0</v>
      </c>
      <c r="W211" s="14" cm="1">
        <f t="array" ref="W211">INT(SUMPRODUCT(--ISNUMBER(SEARCH(trump,C211)))&gt;0)</f>
        <v>0</v>
      </c>
      <c r="X211" s="14" cm="1">
        <f t="array" ref="X211">INT(SUMPRODUCT(--ISNUMBER(SEARCH(voting,C211)))&gt;0)</f>
        <v>0</v>
      </c>
      <c r="Y211" s="35" cm="1">
        <f t="array" ref="Y211">INT(SUMPRODUCT(--ISNUMBER(SEARCH(republicantrigger,C211)))&gt;0)</f>
        <v>0</v>
      </c>
      <c r="Z211" s="35" cm="1">
        <f t="array" ref="Z211">INT(SUMPRODUCT(--ISNUMBER(SEARCH(bipartisan,C211)))&gt;0)</f>
        <v>0</v>
      </c>
      <c r="AA211" s="35">
        <f t="shared" si="3"/>
        <v>1</v>
      </c>
      <c r="AB211" s="14"/>
      <c r="AC211" s="30" t="s">
        <v>223</v>
      </c>
      <c r="AD211" s="37" t="s">
        <v>223</v>
      </c>
    </row>
    <row r="212" spans="1:30" x14ac:dyDescent="0.25">
      <c r="A212" s="36">
        <v>3752</v>
      </c>
      <c r="B212" s="14" t="s">
        <v>7257</v>
      </c>
      <c r="C212" s="14" t="s">
        <v>7258</v>
      </c>
      <c r="D212" s="17">
        <v>44117</v>
      </c>
      <c r="E212" s="14" t="s">
        <v>30</v>
      </c>
      <c r="F212" s="14">
        <v>134</v>
      </c>
      <c r="G212" s="14">
        <v>71</v>
      </c>
      <c r="H212" s="14">
        <v>17</v>
      </c>
      <c r="I212" s="14">
        <v>9</v>
      </c>
      <c r="J212" s="14" t="s">
        <v>31</v>
      </c>
      <c r="K212" s="14" cm="1">
        <f t="array" ref="K212">INT(SUMPRODUCT(--ISNUMBER(SEARCH(economy,C212)))&gt;0)</f>
        <v>0</v>
      </c>
      <c r="L212" s="14" cm="1">
        <f t="array" ref="L212">INT(SUMPRODUCT(--ISNUMBER(SEARCH(healthcare,C212)))&gt;0)</f>
        <v>0</v>
      </c>
      <c r="M212" s="14" cm="1">
        <f t="array" ref="M212">INT(SUMPRODUCT(--ISNUMBER(SEARCH(supreme,C212)))&gt;0)</f>
        <v>0</v>
      </c>
      <c r="N212" s="14" cm="1">
        <f t="array" ref="N212">INT(SUMPRODUCT(--ISNUMBER(SEARCH(covid,C212)))&gt;0)</f>
        <v>0</v>
      </c>
      <c r="O212" s="14" cm="1">
        <f t="array" ref="O212">INT(SUMPRODUCT(--ISNUMBER(SEARCH(violent,C212)))&gt;0)</f>
        <v>0</v>
      </c>
      <c r="P212" s="14" cm="1">
        <f t="array" ref="P212">INT(SUMPRODUCT(--ISNUMBER(SEARCH(foreign,C212)))&gt;0)</f>
        <v>0</v>
      </c>
      <c r="Q212" s="14" cm="1">
        <f t="array" ref="Q212">INT(SUMPRODUCT(--ISNUMBER(SEARCH(gun,C212)))&gt;0)</f>
        <v>0</v>
      </c>
      <c r="R212" s="14" cm="1">
        <f t="array" ref="R212">INT(SUMPRODUCT(--ISNUMBER(SEARCH(race,C212)))&gt;0)</f>
        <v>0</v>
      </c>
      <c r="S212" s="14" cm="1">
        <f t="array" ref="S212">INT(SUMPRODUCT(--ISNUMBER(SEARCH(immigration,C212)))&gt;0)</f>
        <v>0</v>
      </c>
      <c r="T212" s="14" cm="1">
        <f t="array" ref="T212">INT(SUMPRODUCT(--ISNUMBER(SEARCH(econineq,C213)))&gt;0)</f>
        <v>0</v>
      </c>
      <c r="U212" s="14" cm="1">
        <f t="array" ref="U212">INT(SUMPRODUCT(--ISNUMBER(SEARCH(climate,C212)))&gt;0)</f>
        <v>0</v>
      </c>
      <c r="V212" s="14" cm="1">
        <f t="array" ref="V212">INT(SUMPRODUCT(--ISNUMBER(SEARCH(abortion,C212)))&gt;0)</f>
        <v>0</v>
      </c>
      <c r="W212" s="14" cm="1">
        <f t="array" ref="W212">INT(SUMPRODUCT(--ISNUMBER(SEARCH(trump,C212)))&gt;0)</f>
        <v>0</v>
      </c>
      <c r="X212" s="14" cm="1">
        <f t="array" ref="X212">INT(SUMPRODUCT(--ISNUMBER(SEARCH(voting,C212)))&gt;0)</f>
        <v>0</v>
      </c>
      <c r="Y212" s="35" cm="1">
        <f t="array" ref="Y212">INT(SUMPRODUCT(--ISNUMBER(SEARCH(republicantrigger,C212)))&gt;0)</f>
        <v>0</v>
      </c>
      <c r="Z212" s="35" cm="1">
        <f t="array" ref="Z212">INT(SUMPRODUCT(--ISNUMBER(SEARCH(bipartisan,C212)))&gt;0)</f>
        <v>0</v>
      </c>
      <c r="AA212" s="35">
        <f t="shared" si="3"/>
        <v>1</v>
      </c>
      <c r="AB212" s="14"/>
      <c r="AC212" s="30" t="s">
        <v>223</v>
      </c>
      <c r="AD212" s="37" t="s">
        <v>223</v>
      </c>
    </row>
    <row r="213" spans="1:30" x14ac:dyDescent="0.25">
      <c r="A213" s="36">
        <v>3753</v>
      </c>
      <c r="B213" s="14" t="s">
        <v>7259</v>
      </c>
      <c r="C213" s="14" t="s">
        <v>7260</v>
      </c>
      <c r="D213" s="17">
        <v>44116</v>
      </c>
      <c r="E213" s="14" t="s">
        <v>30</v>
      </c>
      <c r="F213" s="14">
        <v>245</v>
      </c>
      <c r="G213" s="14">
        <v>71</v>
      </c>
      <c r="H213" s="14">
        <v>17</v>
      </c>
      <c r="I213" s="14">
        <v>9</v>
      </c>
      <c r="J213" s="14" t="s">
        <v>31</v>
      </c>
      <c r="K213" s="14" cm="1">
        <f t="array" ref="K213">INT(SUMPRODUCT(--ISNUMBER(SEARCH(economy,C213)))&gt;0)</f>
        <v>0</v>
      </c>
      <c r="L213" s="14" cm="1">
        <f t="array" ref="L213">INT(SUMPRODUCT(--ISNUMBER(SEARCH(healthcare,C213)))&gt;0)</f>
        <v>0</v>
      </c>
      <c r="M213" s="14" cm="1">
        <f t="array" ref="M213">INT(SUMPRODUCT(--ISNUMBER(SEARCH(supreme,C213)))&gt;0)</f>
        <v>1</v>
      </c>
      <c r="N213" s="14" cm="1">
        <f t="array" ref="N213">INT(SUMPRODUCT(--ISNUMBER(SEARCH(covid,C213)))&gt;0)</f>
        <v>0</v>
      </c>
      <c r="O213" s="14" cm="1">
        <f t="array" ref="O213">INT(SUMPRODUCT(--ISNUMBER(SEARCH(violent,C213)))&gt;0)</f>
        <v>0</v>
      </c>
      <c r="P213" s="14" cm="1">
        <f t="array" ref="P213">INT(SUMPRODUCT(--ISNUMBER(SEARCH(foreign,C213)))&gt;0)</f>
        <v>0</v>
      </c>
      <c r="Q213" s="14" cm="1">
        <f t="array" ref="Q213">INT(SUMPRODUCT(--ISNUMBER(SEARCH(gun,C213)))&gt;0)</f>
        <v>0</v>
      </c>
      <c r="R213" s="14" cm="1">
        <f t="array" ref="R213">INT(SUMPRODUCT(--ISNUMBER(SEARCH(race,C213)))&gt;0)</f>
        <v>0</v>
      </c>
      <c r="S213" s="14" cm="1">
        <f t="array" ref="S213">INT(SUMPRODUCT(--ISNUMBER(SEARCH(immigration,C213)))&gt;0)</f>
        <v>0</v>
      </c>
      <c r="T213" s="14" cm="1">
        <f t="array" ref="T213">INT(SUMPRODUCT(--ISNUMBER(SEARCH(econineq,C214)))&gt;0)</f>
        <v>0</v>
      </c>
      <c r="U213" s="14" cm="1">
        <f t="array" ref="U213">INT(SUMPRODUCT(--ISNUMBER(SEARCH(climate,C213)))&gt;0)</f>
        <v>0</v>
      </c>
      <c r="V213" s="14" cm="1">
        <f t="array" ref="V213">INT(SUMPRODUCT(--ISNUMBER(SEARCH(abortion,C213)))&gt;0)</f>
        <v>0</v>
      </c>
      <c r="W213" s="14" cm="1">
        <f t="array" ref="W213">INT(SUMPRODUCT(--ISNUMBER(SEARCH(trump,C213)))&gt;0)</f>
        <v>0</v>
      </c>
      <c r="X213" s="14" cm="1">
        <f t="array" ref="X213">INT(SUMPRODUCT(--ISNUMBER(SEARCH(voting,C213)))&gt;0)</f>
        <v>0</v>
      </c>
      <c r="Y213" s="35" cm="1">
        <f t="array" ref="Y213">INT(SUMPRODUCT(--ISNUMBER(SEARCH(republicantrigger,C213)))&gt;0)</f>
        <v>1</v>
      </c>
      <c r="Z213" s="35" cm="1">
        <f t="array" ref="Z213">INT(SUMPRODUCT(--ISNUMBER(SEARCH(bipartisan,C213)))&gt;0)</f>
        <v>0</v>
      </c>
      <c r="AA213" s="35">
        <f t="shared" si="3"/>
        <v>0</v>
      </c>
      <c r="AB213" s="14"/>
      <c r="AC213" s="30" t="s">
        <v>223</v>
      </c>
      <c r="AD213" s="37" t="s">
        <v>223</v>
      </c>
    </row>
    <row r="214" spans="1:30" x14ac:dyDescent="0.25">
      <c r="A214" s="36">
        <v>3754</v>
      </c>
      <c r="B214" s="14" t="s">
        <v>7261</v>
      </c>
      <c r="C214" s="14" t="s">
        <v>7262</v>
      </c>
      <c r="D214" s="17">
        <v>44116</v>
      </c>
      <c r="E214" s="14" t="s">
        <v>30</v>
      </c>
      <c r="F214" s="14">
        <v>181</v>
      </c>
      <c r="G214" s="14">
        <v>30</v>
      </c>
      <c r="H214" s="14">
        <v>17</v>
      </c>
      <c r="I214" s="14">
        <v>9</v>
      </c>
      <c r="J214" s="14" t="s">
        <v>31</v>
      </c>
      <c r="K214" s="14" cm="1">
        <f t="array" ref="K214">INT(SUMPRODUCT(--ISNUMBER(SEARCH(economy,C214)))&gt;0)</f>
        <v>0</v>
      </c>
      <c r="L214" s="14" cm="1">
        <f t="array" ref="L214">INT(SUMPRODUCT(--ISNUMBER(SEARCH(healthcare,C214)))&gt;0)</f>
        <v>0</v>
      </c>
      <c r="M214" s="14" cm="1">
        <f t="array" ref="M214">INT(SUMPRODUCT(--ISNUMBER(SEARCH(supreme,C214)))&gt;0)</f>
        <v>1</v>
      </c>
      <c r="N214" s="14" cm="1">
        <f t="array" ref="N214">INT(SUMPRODUCT(--ISNUMBER(SEARCH(covid,C214)))&gt;0)</f>
        <v>0</v>
      </c>
      <c r="O214" s="14" cm="1">
        <f t="array" ref="O214">INT(SUMPRODUCT(--ISNUMBER(SEARCH(violent,C214)))&gt;0)</f>
        <v>0</v>
      </c>
      <c r="P214" s="14" cm="1">
        <f t="array" ref="P214">INT(SUMPRODUCT(--ISNUMBER(SEARCH(foreign,C214)))&gt;0)</f>
        <v>0</v>
      </c>
      <c r="Q214" s="14" cm="1">
        <f t="array" ref="Q214">INT(SUMPRODUCT(--ISNUMBER(SEARCH(gun,C214)))&gt;0)</f>
        <v>0</v>
      </c>
      <c r="R214" s="14" cm="1">
        <f t="array" ref="R214">INT(SUMPRODUCT(--ISNUMBER(SEARCH(race,C214)))&gt;0)</f>
        <v>0</v>
      </c>
      <c r="S214" s="14" cm="1">
        <f t="array" ref="S214">INT(SUMPRODUCT(--ISNUMBER(SEARCH(immigration,C214)))&gt;0)</f>
        <v>0</v>
      </c>
      <c r="T214" s="14" cm="1">
        <f t="array" ref="T214">INT(SUMPRODUCT(--ISNUMBER(SEARCH(econineq,C215)))&gt;0)</f>
        <v>0</v>
      </c>
      <c r="U214" s="14" cm="1">
        <f t="array" ref="U214">INT(SUMPRODUCT(--ISNUMBER(SEARCH(climate,C214)))&gt;0)</f>
        <v>0</v>
      </c>
      <c r="V214" s="14" cm="1">
        <f t="array" ref="V214">INT(SUMPRODUCT(--ISNUMBER(SEARCH(abortion,C214)))&gt;0)</f>
        <v>0</v>
      </c>
      <c r="W214" s="14" cm="1">
        <f t="array" ref="W214">INT(SUMPRODUCT(--ISNUMBER(SEARCH(trump,C214)))&gt;0)</f>
        <v>0</v>
      </c>
      <c r="X214" s="14" cm="1">
        <f t="array" ref="X214">INT(SUMPRODUCT(--ISNUMBER(SEARCH(voting,C214)))&gt;0)</f>
        <v>0</v>
      </c>
      <c r="Y214" s="35" cm="1">
        <f t="array" ref="Y214">INT(SUMPRODUCT(--ISNUMBER(SEARCH(republicantrigger,C214)))&gt;0)</f>
        <v>0</v>
      </c>
      <c r="Z214" s="35" cm="1">
        <f t="array" ref="Z214">INT(SUMPRODUCT(--ISNUMBER(SEARCH(bipartisan,C214)))&gt;0)</f>
        <v>0</v>
      </c>
      <c r="AA214" s="35">
        <f t="shared" si="3"/>
        <v>0</v>
      </c>
      <c r="AB214" s="14"/>
      <c r="AC214" s="30">
        <v>1</v>
      </c>
      <c r="AD214" s="37">
        <v>0</v>
      </c>
    </row>
    <row r="215" spans="1:30" x14ac:dyDescent="0.25">
      <c r="A215" s="36">
        <v>3755</v>
      </c>
      <c r="B215" s="14" t="s">
        <v>7263</v>
      </c>
      <c r="C215" s="14" t="s">
        <v>7264</v>
      </c>
      <c r="D215" s="17">
        <v>44116</v>
      </c>
      <c r="E215" s="14" t="s">
        <v>30</v>
      </c>
      <c r="F215" s="14">
        <v>807</v>
      </c>
      <c r="G215" s="14">
        <v>288</v>
      </c>
      <c r="H215" s="14">
        <v>17</v>
      </c>
      <c r="I215" s="14">
        <v>9</v>
      </c>
      <c r="J215" s="14" t="s">
        <v>31</v>
      </c>
      <c r="K215" s="14" cm="1">
        <f t="array" ref="K215">INT(SUMPRODUCT(--ISNUMBER(SEARCH(economy,C215)))&gt;0)</f>
        <v>0</v>
      </c>
      <c r="L215" s="14" cm="1">
        <f t="array" ref="L215">INT(SUMPRODUCT(--ISNUMBER(SEARCH(healthcare,C215)))&gt;0)</f>
        <v>0</v>
      </c>
      <c r="M215" s="14" cm="1">
        <f t="array" ref="M215">INT(SUMPRODUCT(--ISNUMBER(SEARCH(supreme,C215)))&gt;0)</f>
        <v>0</v>
      </c>
      <c r="N215" s="14" cm="1">
        <f t="array" ref="N215">INT(SUMPRODUCT(--ISNUMBER(SEARCH(covid,C215)))&gt;0)</f>
        <v>0</v>
      </c>
      <c r="O215" s="14" cm="1">
        <f t="array" ref="O215">INT(SUMPRODUCT(--ISNUMBER(SEARCH(violent,C215)))&gt;0)</f>
        <v>0</v>
      </c>
      <c r="P215" s="14" cm="1">
        <f t="array" ref="P215">INT(SUMPRODUCT(--ISNUMBER(SEARCH(foreign,C215)))&gt;0)</f>
        <v>0</v>
      </c>
      <c r="Q215" s="14" cm="1">
        <f t="array" ref="Q215">INT(SUMPRODUCT(--ISNUMBER(SEARCH(gun,C215)))&gt;0)</f>
        <v>0</v>
      </c>
      <c r="R215" s="14" cm="1">
        <f t="array" ref="R215">INT(SUMPRODUCT(--ISNUMBER(SEARCH(race,C215)))&gt;0)</f>
        <v>0</v>
      </c>
      <c r="S215" s="14" cm="1">
        <f t="array" ref="S215">INT(SUMPRODUCT(--ISNUMBER(SEARCH(immigration,C215)))&gt;0)</f>
        <v>0</v>
      </c>
      <c r="T215" s="14" cm="1">
        <f t="array" ref="T215">INT(SUMPRODUCT(--ISNUMBER(SEARCH(econineq,C216)))&gt;0)</f>
        <v>0</v>
      </c>
      <c r="U215" s="14" cm="1">
        <f t="array" ref="U215">INT(SUMPRODUCT(--ISNUMBER(SEARCH(climate,C215)))&gt;0)</f>
        <v>0</v>
      </c>
      <c r="V215" s="14" cm="1">
        <f t="array" ref="V215">INT(SUMPRODUCT(--ISNUMBER(SEARCH(abortion,C215)))&gt;0)</f>
        <v>0</v>
      </c>
      <c r="W215" s="14" cm="1">
        <f t="array" ref="W215">INT(SUMPRODUCT(--ISNUMBER(SEARCH(trump,C215)))&gt;0)</f>
        <v>0</v>
      </c>
      <c r="X215" s="14" cm="1">
        <f t="array" ref="X215">INT(SUMPRODUCT(--ISNUMBER(SEARCH(voting,C215)))&gt;0)</f>
        <v>0</v>
      </c>
      <c r="Y215" s="35" cm="1">
        <f t="array" ref="Y215">INT(SUMPRODUCT(--ISNUMBER(SEARCH(republicantrigger,C215)))&gt;0)</f>
        <v>0</v>
      </c>
      <c r="Z215" s="35" cm="1">
        <f t="array" ref="Z215">INT(SUMPRODUCT(--ISNUMBER(SEARCH(bipartisan,C215)))&gt;0)</f>
        <v>0</v>
      </c>
      <c r="AA215" s="35">
        <f t="shared" si="3"/>
        <v>1</v>
      </c>
      <c r="AB215" s="14"/>
      <c r="AC215" s="30" t="s">
        <v>223</v>
      </c>
      <c r="AD215" s="37" t="s">
        <v>223</v>
      </c>
    </row>
    <row r="216" spans="1:30" x14ac:dyDescent="0.25">
      <c r="A216" s="36">
        <v>3756</v>
      </c>
      <c r="B216" s="14" t="s">
        <v>7265</v>
      </c>
      <c r="C216" s="14" t="s">
        <v>7266</v>
      </c>
      <c r="D216" s="17">
        <v>44116</v>
      </c>
      <c r="E216" s="14" t="s">
        <v>30</v>
      </c>
      <c r="F216" s="14">
        <v>3134</v>
      </c>
      <c r="G216" s="14">
        <v>1272</v>
      </c>
      <c r="H216" s="14">
        <v>17</v>
      </c>
      <c r="I216" s="14">
        <v>9</v>
      </c>
      <c r="J216" s="14" t="s">
        <v>31</v>
      </c>
      <c r="K216" s="14" cm="1">
        <f t="array" ref="K216">INT(SUMPRODUCT(--ISNUMBER(SEARCH(economy,C216)))&gt;0)</f>
        <v>0</v>
      </c>
      <c r="L216" s="14" cm="1">
        <f t="array" ref="L216">INT(SUMPRODUCT(--ISNUMBER(SEARCH(healthcare,C216)))&gt;0)</f>
        <v>0</v>
      </c>
      <c r="M216" s="14" cm="1">
        <f t="array" ref="M216">INT(SUMPRODUCT(--ISNUMBER(SEARCH(supreme,C216)))&gt;0)</f>
        <v>0</v>
      </c>
      <c r="N216" s="14" cm="1">
        <f t="array" ref="N216">INT(SUMPRODUCT(--ISNUMBER(SEARCH(covid,C216)))&gt;0)</f>
        <v>1</v>
      </c>
      <c r="O216" s="14" cm="1">
        <f t="array" ref="O216">INT(SUMPRODUCT(--ISNUMBER(SEARCH(violent,C216)))&gt;0)</f>
        <v>0</v>
      </c>
      <c r="P216" s="14" cm="1">
        <f t="array" ref="P216">INT(SUMPRODUCT(--ISNUMBER(SEARCH(foreign,C216)))&gt;0)</f>
        <v>0</v>
      </c>
      <c r="Q216" s="14" cm="1">
        <f t="array" ref="Q216">INT(SUMPRODUCT(--ISNUMBER(SEARCH(gun,C216)))&gt;0)</f>
        <v>0</v>
      </c>
      <c r="R216" s="14" cm="1">
        <f t="array" ref="R216">INT(SUMPRODUCT(--ISNUMBER(SEARCH(race,C216)))&gt;0)</f>
        <v>0</v>
      </c>
      <c r="S216" s="14" cm="1">
        <f t="array" ref="S216">INT(SUMPRODUCT(--ISNUMBER(SEARCH(immigration,C216)))&gt;0)</f>
        <v>0</v>
      </c>
      <c r="T216" s="14" cm="1">
        <f t="array" ref="T216">INT(SUMPRODUCT(--ISNUMBER(SEARCH(econineq,C217)))&gt;0)</f>
        <v>0</v>
      </c>
      <c r="U216" s="14" cm="1">
        <f t="array" ref="U216">INT(SUMPRODUCT(--ISNUMBER(SEARCH(climate,C216)))&gt;0)</f>
        <v>0</v>
      </c>
      <c r="V216" s="14" cm="1">
        <f t="array" ref="V216">INT(SUMPRODUCT(--ISNUMBER(SEARCH(abortion,C216)))&gt;0)</f>
        <v>0</v>
      </c>
      <c r="W216" s="14" cm="1">
        <f t="array" ref="W216">INT(SUMPRODUCT(--ISNUMBER(SEARCH(trump,C216)))&gt;0)</f>
        <v>0</v>
      </c>
      <c r="X216" s="14" cm="1">
        <f t="array" ref="X216">INT(SUMPRODUCT(--ISNUMBER(SEARCH(voting,C216)))&gt;0)</f>
        <v>0</v>
      </c>
      <c r="Y216" s="35" cm="1">
        <f t="array" ref="Y216">INT(SUMPRODUCT(--ISNUMBER(SEARCH(republicantrigger,C216)))&gt;0)</f>
        <v>0</v>
      </c>
      <c r="Z216" s="35" cm="1">
        <f t="array" ref="Z216">INT(SUMPRODUCT(--ISNUMBER(SEARCH(bipartisan,C216)))&gt;0)</f>
        <v>0</v>
      </c>
      <c r="AA216" s="35">
        <f t="shared" si="3"/>
        <v>0</v>
      </c>
      <c r="AB216" s="14"/>
      <c r="AC216" s="30" t="s">
        <v>223</v>
      </c>
      <c r="AD216" s="37" t="s">
        <v>223</v>
      </c>
    </row>
    <row r="217" spans="1:30" x14ac:dyDescent="0.25">
      <c r="A217" s="36">
        <v>3757</v>
      </c>
      <c r="B217" s="14" t="s">
        <v>7267</v>
      </c>
      <c r="C217" s="14" t="s">
        <v>7268</v>
      </c>
      <c r="D217" s="17">
        <v>44116</v>
      </c>
      <c r="E217" s="14" t="s">
        <v>30</v>
      </c>
      <c r="F217" s="14">
        <v>68</v>
      </c>
      <c r="G217" s="14">
        <v>24</v>
      </c>
      <c r="H217" s="14">
        <v>17</v>
      </c>
      <c r="I217" s="14">
        <v>9</v>
      </c>
      <c r="J217" s="14" t="s">
        <v>31</v>
      </c>
      <c r="K217" s="14" cm="1">
        <f t="array" ref="K217">INT(SUMPRODUCT(--ISNUMBER(SEARCH(economy,C217)))&gt;0)</f>
        <v>0</v>
      </c>
      <c r="L217" s="14" cm="1">
        <f t="array" ref="L217">INT(SUMPRODUCT(--ISNUMBER(SEARCH(healthcare,C217)))&gt;0)</f>
        <v>0</v>
      </c>
      <c r="M217" s="14" cm="1">
        <f t="array" ref="M217">INT(SUMPRODUCT(--ISNUMBER(SEARCH(supreme,C217)))&gt;0)</f>
        <v>0</v>
      </c>
      <c r="N217" s="14" cm="1">
        <f t="array" ref="N217">INT(SUMPRODUCT(--ISNUMBER(SEARCH(covid,C217)))&gt;0)</f>
        <v>1</v>
      </c>
      <c r="O217" s="14" cm="1">
        <f t="array" ref="O217">INT(SUMPRODUCT(--ISNUMBER(SEARCH(violent,C217)))&gt;0)</f>
        <v>0</v>
      </c>
      <c r="P217" s="14" cm="1">
        <f t="array" ref="P217">INT(SUMPRODUCT(--ISNUMBER(SEARCH(foreign,C217)))&gt;0)</f>
        <v>0</v>
      </c>
      <c r="Q217" s="14" cm="1">
        <f t="array" ref="Q217">INT(SUMPRODUCT(--ISNUMBER(SEARCH(gun,C217)))&gt;0)</f>
        <v>0</v>
      </c>
      <c r="R217" s="14" cm="1">
        <f t="array" ref="R217">INT(SUMPRODUCT(--ISNUMBER(SEARCH(race,C217)))&gt;0)</f>
        <v>0</v>
      </c>
      <c r="S217" s="14" cm="1">
        <f t="array" ref="S217">INT(SUMPRODUCT(--ISNUMBER(SEARCH(immigration,C217)))&gt;0)</f>
        <v>0</v>
      </c>
      <c r="T217" s="14" cm="1">
        <f t="array" ref="T217">INT(SUMPRODUCT(--ISNUMBER(SEARCH(econineq,C218)))&gt;0)</f>
        <v>0</v>
      </c>
      <c r="U217" s="14" cm="1">
        <f t="array" ref="U217">INT(SUMPRODUCT(--ISNUMBER(SEARCH(climate,C217)))&gt;0)</f>
        <v>0</v>
      </c>
      <c r="V217" s="14" cm="1">
        <f t="array" ref="V217">INT(SUMPRODUCT(--ISNUMBER(SEARCH(abortion,C217)))&gt;0)</f>
        <v>0</v>
      </c>
      <c r="W217" s="14" cm="1">
        <f t="array" ref="W217">INT(SUMPRODUCT(--ISNUMBER(SEARCH(trump,C217)))&gt;0)</f>
        <v>0</v>
      </c>
      <c r="X217" s="14" cm="1">
        <f t="array" ref="X217">INT(SUMPRODUCT(--ISNUMBER(SEARCH(voting,C217)))&gt;0)</f>
        <v>0</v>
      </c>
      <c r="Y217" s="35" cm="1">
        <f t="array" ref="Y217">INT(SUMPRODUCT(--ISNUMBER(SEARCH(republicantrigger,C217)))&gt;0)</f>
        <v>0</v>
      </c>
      <c r="Z217" s="35" cm="1">
        <f t="array" ref="Z217">INT(SUMPRODUCT(--ISNUMBER(SEARCH(bipartisan,C217)))&gt;0)</f>
        <v>0</v>
      </c>
      <c r="AA217" s="35">
        <f t="shared" si="3"/>
        <v>0</v>
      </c>
      <c r="AB217" s="14"/>
      <c r="AC217" s="30" t="s">
        <v>223</v>
      </c>
      <c r="AD217" s="37" t="s">
        <v>223</v>
      </c>
    </row>
    <row r="218" spans="1:30" x14ac:dyDescent="0.25">
      <c r="A218" s="36">
        <v>3758</v>
      </c>
      <c r="B218" s="14" t="s">
        <v>7269</v>
      </c>
      <c r="C218" s="14" t="s">
        <v>7270</v>
      </c>
      <c r="D218" s="17">
        <v>44116</v>
      </c>
      <c r="E218" s="14" t="s">
        <v>30</v>
      </c>
      <c r="F218" s="14">
        <v>2541</v>
      </c>
      <c r="G218" s="14">
        <v>519</v>
      </c>
      <c r="H218" s="14">
        <v>17</v>
      </c>
      <c r="I218" s="14">
        <v>9</v>
      </c>
      <c r="J218" s="14" t="s">
        <v>31</v>
      </c>
      <c r="K218" s="14" cm="1">
        <f t="array" ref="K218">INT(SUMPRODUCT(--ISNUMBER(SEARCH(economy,C218)))&gt;0)</f>
        <v>0</v>
      </c>
      <c r="L218" s="14" cm="1">
        <f t="array" ref="L218">INT(SUMPRODUCT(--ISNUMBER(SEARCH(healthcare,C218)))&gt;0)</f>
        <v>0</v>
      </c>
      <c r="M218" s="14" cm="1">
        <f t="array" ref="M218">INT(SUMPRODUCT(--ISNUMBER(SEARCH(supreme,C218)))&gt;0)</f>
        <v>0</v>
      </c>
      <c r="N218" s="14" cm="1">
        <f t="array" ref="N218">INT(SUMPRODUCT(--ISNUMBER(SEARCH(covid,C218)))&gt;0)</f>
        <v>0</v>
      </c>
      <c r="O218" s="14" cm="1">
        <f t="array" ref="O218">INT(SUMPRODUCT(--ISNUMBER(SEARCH(violent,C218)))&gt;0)</f>
        <v>0</v>
      </c>
      <c r="P218" s="14" cm="1">
        <f t="array" ref="P218">INT(SUMPRODUCT(--ISNUMBER(SEARCH(foreign,C218)))&gt;0)</f>
        <v>0</v>
      </c>
      <c r="Q218" s="14" cm="1">
        <f t="array" ref="Q218">INT(SUMPRODUCT(--ISNUMBER(SEARCH(gun,C218)))&gt;0)</f>
        <v>0</v>
      </c>
      <c r="R218" s="14" cm="1">
        <f t="array" ref="R218">INT(SUMPRODUCT(--ISNUMBER(SEARCH(race,C218)))&gt;0)</f>
        <v>0</v>
      </c>
      <c r="S218" s="14" cm="1">
        <f t="array" ref="S218">INT(SUMPRODUCT(--ISNUMBER(SEARCH(immigration,C218)))&gt;0)</f>
        <v>0</v>
      </c>
      <c r="T218" s="14" cm="1">
        <f t="array" ref="T218">INT(SUMPRODUCT(--ISNUMBER(SEARCH(econineq,C219)))&gt;0)</f>
        <v>0</v>
      </c>
      <c r="U218" s="14" cm="1">
        <f t="array" ref="U218">INT(SUMPRODUCT(--ISNUMBER(SEARCH(climate,C218)))&gt;0)</f>
        <v>0</v>
      </c>
      <c r="V218" s="14" cm="1">
        <f t="array" ref="V218">INT(SUMPRODUCT(--ISNUMBER(SEARCH(abortion,C218)))&gt;0)</f>
        <v>0</v>
      </c>
      <c r="W218" s="14" cm="1">
        <f t="array" ref="W218">INT(SUMPRODUCT(--ISNUMBER(SEARCH(trump,C218)))&gt;0)</f>
        <v>0</v>
      </c>
      <c r="X218" s="14" cm="1">
        <f t="array" ref="X218">INT(SUMPRODUCT(--ISNUMBER(SEARCH(voting,C218)))&gt;0)</f>
        <v>0</v>
      </c>
      <c r="Y218" s="35" cm="1">
        <f t="array" ref="Y218">INT(SUMPRODUCT(--ISNUMBER(SEARCH(republicantrigger,C218)))&gt;0)</f>
        <v>0</v>
      </c>
      <c r="Z218" s="35" cm="1">
        <f t="array" ref="Z218">INT(SUMPRODUCT(--ISNUMBER(SEARCH(bipartisan,C218)))&gt;0)</f>
        <v>0</v>
      </c>
      <c r="AA218" s="35">
        <f t="shared" si="3"/>
        <v>1</v>
      </c>
      <c r="AB218" s="14"/>
      <c r="AC218" s="30" t="s">
        <v>223</v>
      </c>
      <c r="AD218" s="37" t="s">
        <v>223</v>
      </c>
    </row>
    <row r="219" spans="1:30" x14ac:dyDescent="0.25">
      <c r="A219" s="36">
        <v>3759</v>
      </c>
      <c r="B219" s="14" t="s">
        <v>7271</v>
      </c>
      <c r="C219" s="14" t="s">
        <v>7272</v>
      </c>
      <c r="D219" s="17">
        <v>44116</v>
      </c>
      <c r="E219" s="14" t="s">
        <v>30</v>
      </c>
      <c r="F219" s="14">
        <v>294</v>
      </c>
      <c r="G219" s="14">
        <v>113</v>
      </c>
      <c r="H219" s="14">
        <v>17</v>
      </c>
      <c r="I219" s="14">
        <v>9</v>
      </c>
      <c r="J219" s="14" t="s">
        <v>31</v>
      </c>
      <c r="K219" s="14" cm="1">
        <f t="array" ref="K219">INT(SUMPRODUCT(--ISNUMBER(SEARCH(economy,C219)))&gt;0)</f>
        <v>0</v>
      </c>
      <c r="L219" s="14" cm="1">
        <f t="array" ref="L219">INT(SUMPRODUCT(--ISNUMBER(SEARCH(healthcare,C219)))&gt;0)</f>
        <v>0</v>
      </c>
      <c r="M219" s="14" cm="1">
        <f t="array" ref="M219">INT(SUMPRODUCT(--ISNUMBER(SEARCH(supreme,C219)))&gt;0)</f>
        <v>0</v>
      </c>
      <c r="N219" s="14" cm="1">
        <f t="array" ref="N219">INT(SUMPRODUCT(--ISNUMBER(SEARCH(covid,C219)))&gt;0)</f>
        <v>1</v>
      </c>
      <c r="O219" s="14" cm="1">
        <f t="array" ref="O219">INT(SUMPRODUCT(--ISNUMBER(SEARCH(violent,C219)))&gt;0)</f>
        <v>0</v>
      </c>
      <c r="P219" s="14" cm="1">
        <f t="array" ref="P219">INT(SUMPRODUCT(--ISNUMBER(SEARCH(foreign,C219)))&gt;0)</f>
        <v>0</v>
      </c>
      <c r="Q219" s="14" cm="1">
        <f t="array" ref="Q219">INT(SUMPRODUCT(--ISNUMBER(SEARCH(gun,C219)))&gt;0)</f>
        <v>0</v>
      </c>
      <c r="R219" s="14" cm="1">
        <f t="array" ref="R219">INT(SUMPRODUCT(--ISNUMBER(SEARCH(race,C219)))&gt;0)</f>
        <v>0</v>
      </c>
      <c r="S219" s="14" cm="1">
        <f t="array" ref="S219">INT(SUMPRODUCT(--ISNUMBER(SEARCH(immigration,C219)))&gt;0)</f>
        <v>0</v>
      </c>
      <c r="T219" s="14" cm="1">
        <f t="array" ref="T219">INT(SUMPRODUCT(--ISNUMBER(SEARCH(econineq,C220)))&gt;0)</f>
        <v>0</v>
      </c>
      <c r="U219" s="14" cm="1">
        <f t="array" ref="U219">INT(SUMPRODUCT(--ISNUMBER(SEARCH(climate,C219)))&gt;0)</f>
        <v>0</v>
      </c>
      <c r="V219" s="14" cm="1">
        <f t="array" ref="V219">INT(SUMPRODUCT(--ISNUMBER(SEARCH(abortion,C219)))&gt;0)</f>
        <v>0</v>
      </c>
      <c r="W219" s="14" cm="1">
        <f t="array" ref="W219">INT(SUMPRODUCT(--ISNUMBER(SEARCH(trump,C219)))&gt;0)</f>
        <v>0</v>
      </c>
      <c r="X219" s="14" cm="1">
        <f t="array" ref="X219">INT(SUMPRODUCT(--ISNUMBER(SEARCH(voting,C219)))&gt;0)</f>
        <v>0</v>
      </c>
      <c r="Y219" s="35" cm="1">
        <f t="array" ref="Y219">INT(SUMPRODUCT(--ISNUMBER(SEARCH(republicantrigger,C219)))&gt;0)</f>
        <v>0</v>
      </c>
      <c r="Z219" s="35" cm="1">
        <f t="array" ref="Z219">INT(SUMPRODUCT(--ISNUMBER(SEARCH(bipartisan,C219)))&gt;0)</f>
        <v>0</v>
      </c>
      <c r="AA219" s="35">
        <f t="shared" si="3"/>
        <v>0</v>
      </c>
      <c r="AB219" s="14"/>
      <c r="AC219" s="30" t="s">
        <v>223</v>
      </c>
      <c r="AD219" s="37" t="s">
        <v>223</v>
      </c>
    </row>
    <row r="220" spans="1:30" x14ac:dyDescent="0.25">
      <c r="A220" s="36">
        <v>3760</v>
      </c>
      <c r="B220" s="14" t="s">
        <v>7273</v>
      </c>
      <c r="C220" s="14" t="s">
        <v>7274</v>
      </c>
      <c r="D220" s="17">
        <v>44116</v>
      </c>
      <c r="E220" s="14" t="s">
        <v>30</v>
      </c>
      <c r="F220" s="14">
        <v>868</v>
      </c>
      <c r="G220" s="14">
        <v>298</v>
      </c>
      <c r="H220" s="14">
        <v>17</v>
      </c>
      <c r="I220" s="14">
        <v>9</v>
      </c>
      <c r="J220" s="14" t="s">
        <v>31</v>
      </c>
      <c r="K220" s="14" cm="1">
        <f t="array" ref="K220">INT(SUMPRODUCT(--ISNUMBER(SEARCH(economy,C220)))&gt;0)</f>
        <v>0</v>
      </c>
      <c r="L220" s="14" cm="1">
        <f t="array" ref="L220">INT(SUMPRODUCT(--ISNUMBER(SEARCH(healthcare,C220)))&gt;0)</f>
        <v>0</v>
      </c>
      <c r="M220" s="14" cm="1">
        <f t="array" ref="M220">INT(SUMPRODUCT(--ISNUMBER(SEARCH(supreme,C220)))&gt;0)</f>
        <v>1</v>
      </c>
      <c r="N220" s="14" cm="1">
        <f t="array" ref="N220">INT(SUMPRODUCT(--ISNUMBER(SEARCH(covid,C220)))&gt;0)</f>
        <v>0</v>
      </c>
      <c r="O220" s="14" cm="1">
        <f t="array" ref="O220">INT(SUMPRODUCT(--ISNUMBER(SEARCH(violent,C220)))&gt;0)</f>
        <v>0</v>
      </c>
      <c r="P220" s="14" cm="1">
        <f t="array" ref="P220">INT(SUMPRODUCT(--ISNUMBER(SEARCH(foreign,C220)))&gt;0)</f>
        <v>0</v>
      </c>
      <c r="Q220" s="14" cm="1">
        <f t="array" ref="Q220">INT(SUMPRODUCT(--ISNUMBER(SEARCH(gun,C220)))&gt;0)</f>
        <v>0</v>
      </c>
      <c r="R220" s="14" cm="1">
        <f t="array" ref="R220">INT(SUMPRODUCT(--ISNUMBER(SEARCH(race,C220)))&gt;0)</f>
        <v>0</v>
      </c>
      <c r="S220" s="14" cm="1">
        <f t="array" ref="S220">INT(SUMPRODUCT(--ISNUMBER(SEARCH(immigration,C220)))&gt;0)</f>
        <v>0</v>
      </c>
      <c r="T220" s="14" cm="1">
        <f t="array" ref="T220">INT(SUMPRODUCT(--ISNUMBER(SEARCH(econineq,C221)))&gt;0)</f>
        <v>0</v>
      </c>
      <c r="U220" s="14" cm="1">
        <f t="array" ref="U220">INT(SUMPRODUCT(--ISNUMBER(SEARCH(climate,C220)))&gt;0)</f>
        <v>0</v>
      </c>
      <c r="V220" s="14" cm="1">
        <f t="array" ref="V220">INT(SUMPRODUCT(--ISNUMBER(SEARCH(abortion,C220)))&gt;0)</f>
        <v>0</v>
      </c>
      <c r="W220" s="14" cm="1">
        <f t="array" ref="W220">INT(SUMPRODUCT(--ISNUMBER(SEARCH(trump,C220)))&gt;0)</f>
        <v>0</v>
      </c>
      <c r="X220" s="14" cm="1">
        <f t="array" ref="X220">INT(SUMPRODUCT(--ISNUMBER(SEARCH(voting,C220)))&gt;0)</f>
        <v>0</v>
      </c>
      <c r="Y220" s="35" cm="1">
        <f t="array" ref="Y220">INT(SUMPRODUCT(--ISNUMBER(SEARCH(republicantrigger,C220)))&gt;0)</f>
        <v>0</v>
      </c>
      <c r="Z220" s="35" cm="1">
        <f t="array" ref="Z220">INT(SUMPRODUCT(--ISNUMBER(SEARCH(bipartisan,C220)))&gt;0)</f>
        <v>0</v>
      </c>
      <c r="AA220" s="35">
        <f t="shared" si="3"/>
        <v>0</v>
      </c>
      <c r="AB220" s="14"/>
      <c r="AC220" s="30" t="s">
        <v>223</v>
      </c>
      <c r="AD220" s="37" t="s">
        <v>223</v>
      </c>
    </row>
    <row r="221" spans="1:30" x14ac:dyDescent="0.25">
      <c r="A221" s="36">
        <v>3761</v>
      </c>
      <c r="B221" s="14" t="s">
        <v>7275</v>
      </c>
      <c r="C221" s="14" t="s">
        <v>7276</v>
      </c>
      <c r="D221" s="17">
        <v>44116</v>
      </c>
      <c r="E221" s="14" t="s">
        <v>30</v>
      </c>
      <c r="F221" s="14">
        <v>1048</v>
      </c>
      <c r="G221" s="14">
        <v>200</v>
      </c>
      <c r="H221" s="14">
        <v>17</v>
      </c>
      <c r="I221" s="14">
        <v>9</v>
      </c>
      <c r="J221" s="14" t="s">
        <v>31</v>
      </c>
      <c r="K221" s="14" cm="1">
        <f t="array" ref="K221">INT(SUMPRODUCT(--ISNUMBER(SEARCH(economy,C221)))&gt;0)</f>
        <v>0</v>
      </c>
      <c r="L221" s="14" cm="1">
        <f t="array" ref="L221">INT(SUMPRODUCT(--ISNUMBER(SEARCH(healthcare,C221)))&gt;0)</f>
        <v>0</v>
      </c>
      <c r="M221" s="14" cm="1">
        <f t="array" ref="M221">INT(SUMPRODUCT(--ISNUMBER(SEARCH(supreme,C221)))&gt;0)</f>
        <v>0</v>
      </c>
      <c r="N221" s="14" cm="1">
        <f t="array" ref="N221">INT(SUMPRODUCT(--ISNUMBER(SEARCH(covid,C221)))&gt;0)</f>
        <v>0</v>
      </c>
      <c r="O221" s="14" cm="1">
        <f t="array" ref="O221">INT(SUMPRODUCT(--ISNUMBER(SEARCH(violent,C221)))&gt;0)</f>
        <v>0</v>
      </c>
      <c r="P221" s="14" cm="1">
        <f t="array" ref="P221">INT(SUMPRODUCT(--ISNUMBER(SEARCH(foreign,C221)))&gt;0)</f>
        <v>0</v>
      </c>
      <c r="Q221" s="14" cm="1">
        <f t="array" ref="Q221">INT(SUMPRODUCT(--ISNUMBER(SEARCH(gun,C221)))&gt;0)</f>
        <v>0</v>
      </c>
      <c r="R221" s="14" cm="1">
        <f t="array" ref="R221">INT(SUMPRODUCT(--ISNUMBER(SEARCH(race,C221)))&gt;0)</f>
        <v>0</v>
      </c>
      <c r="S221" s="14" cm="1">
        <f t="array" ref="S221">INT(SUMPRODUCT(--ISNUMBER(SEARCH(immigration,C221)))&gt;0)</f>
        <v>0</v>
      </c>
      <c r="T221" s="14" cm="1">
        <f t="array" ref="T221">INT(SUMPRODUCT(--ISNUMBER(SEARCH(econineq,C222)))&gt;0)</f>
        <v>0</v>
      </c>
      <c r="U221" s="14" cm="1">
        <f t="array" ref="U221">INT(SUMPRODUCT(--ISNUMBER(SEARCH(climate,C221)))&gt;0)</f>
        <v>0</v>
      </c>
      <c r="V221" s="14" cm="1">
        <f t="array" ref="V221">INT(SUMPRODUCT(--ISNUMBER(SEARCH(abortion,C221)))&gt;0)</f>
        <v>0</v>
      </c>
      <c r="W221" s="14" cm="1">
        <f t="array" ref="W221">INT(SUMPRODUCT(--ISNUMBER(SEARCH(trump,C221)))&gt;0)</f>
        <v>0</v>
      </c>
      <c r="X221" s="14" cm="1">
        <f t="array" ref="X221">INT(SUMPRODUCT(--ISNUMBER(SEARCH(voting,C221)))&gt;0)</f>
        <v>0</v>
      </c>
      <c r="Y221" s="35" cm="1">
        <f t="array" ref="Y221">INT(SUMPRODUCT(--ISNUMBER(SEARCH(republicantrigger,C221)))&gt;0)</f>
        <v>0</v>
      </c>
      <c r="Z221" s="35" cm="1">
        <f t="array" ref="Z221">INT(SUMPRODUCT(--ISNUMBER(SEARCH(bipartisan,C221)))&gt;0)</f>
        <v>0</v>
      </c>
      <c r="AA221" s="35">
        <f t="shared" si="3"/>
        <v>1</v>
      </c>
      <c r="AB221" s="14"/>
      <c r="AC221" s="30">
        <v>1</v>
      </c>
      <c r="AD221" s="37">
        <v>0</v>
      </c>
    </row>
    <row r="222" spans="1:30" x14ac:dyDescent="0.25">
      <c r="A222" s="36">
        <v>3762</v>
      </c>
      <c r="B222" s="14" t="s">
        <v>7277</v>
      </c>
      <c r="C222" s="14" t="s">
        <v>7278</v>
      </c>
      <c r="D222" s="17">
        <v>44116</v>
      </c>
      <c r="E222" s="14" t="s">
        <v>30</v>
      </c>
      <c r="F222" s="14">
        <v>139</v>
      </c>
      <c r="G222" s="14">
        <v>55</v>
      </c>
      <c r="H222" s="14">
        <v>17</v>
      </c>
      <c r="I222" s="14">
        <v>9</v>
      </c>
      <c r="J222" s="14" t="s">
        <v>31</v>
      </c>
      <c r="K222" s="14" cm="1">
        <f t="array" ref="K222">INT(SUMPRODUCT(--ISNUMBER(SEARCH(economy,C222)))&gt;0)</f>
        <v>0</v>
      </c>
      <c r="L222" s="14" cm="1">
        <f t="array" ref="L222">INT(SUMPRODUCT(--ISNUMBER(SEARCH(healthcare,C222)))&gt;0)</f>
        <v>0</v>
      </c>
      <c r="M222" s="14" cm="1">
        <f t="array" ref="M222">INT(SUMPRODUCT(--ISNUMBER(SEARCH(supreme,C222)))&gt;0)</f>
        <v>0</v>
      </c>
      <c r="N222" s="14" cm="1">
        <f t="array" ref="N222">INT(SUMPRODUCT(--ISNUMBER(SEARCH(covid,C222)))&gt;0)</f>
        <v>0</v>
      </c>
      <c r="O222" s="14" cm="1">
        <f t="array" ref="O222">INT(SUMPRODUCT(--ISNUMBER(SEARCH(violent,C222)))&gt;0)</f>
        <v>0</v>
      </c>
      <c r="P222" s="14" cm="1">
        <f t="array" ref="P222">INT(SUMPRODUCT(--ISNUMBER(SEARCH(foreign,C222)))&gt;0)</f>
        <v>0</v>
      </c>
      <c r="Q222" s="14" cm="1">
        <f t="array" ref="Q222">INT(SUMPRODUCT(--ISNUMBER(SEARCH(gun,C222)))&gt;0)</f>
        <v>0</v>
      </c>
      <c r="R222" s="14" cm="1">
        <f t="array" ref="R222">INT(SUMPRODUCT(--ISNUMBER(SEARCH(race,C222)))&gt;0)</f>
        <v>0</v>
      </c>
      <c r="S222" s="14" cm="1">
        <f t="array" ref="S222">INT(SUMPRODUCT(--ISNUMBER(SEARCH(immigration,C222)))&gt;0)</f>
        <v>0</v>
      </c>
      <c r="T222" s="14" cm="1">
        <f t="array" ref="T222">INT(SUMPRODUCT(--ISNUMBER(SEARCH(econineq,C223)))&gt;0)</f>
        <v>0</v>
      </c>
      <c r="U222" s="14" cm="1">
        <f t="array" ref="U222">INT(SUMPRODUCT(--ISNUMBER(SEARCH(climate,C222)))&gt;0)</f>
        <v>0</v>
      </c>
      <c r="V222" s="14" cm="1">
        <f t="array" ref="V222">INT(SUMPRODUCT(--ISNUMBER(SEARCH(abortion,C222)))&gt;0)</f>
        <v>0</v>
      </c>
      <c r="W222" s="14" cm="1">
        <f t="array" ref="W222">INT(SUMPRODUCT(--ISNUMBER(SEARCH(trump,C222)))&gt;0)</f>
        <v>0</v>
      </c>
      <c r="X222" s="14" cm="1">
        <f t="array" ref="X222">INT(SUMPRODUCT(--ISNUMBER(SEARCH(voting,C222)))&gt;0)</f>
        <v>0</v>
      </c>
      <c r="Y222" s="35" cm="1">
        <f t="array" ref="Y222">INT(SUMPRODUCT(--ISNUMBER(SEARCH(republicantrigger,C222)))&gt;0)</f>
        <v>0</v>
      </c>
      <c r="Z222" s="35" cm="1">
        <f t="array" ref="Z222">INT(SUMPRODUCT(--ISNUMBER(SEARCH(bipartisan,C222)))&gt;0)</f>
        <v>0</v>
      </c>
      <c r="AA222" s="35">
        <f t="shared" si="3"/>
        <v>1</v>
      </c>
      <c r="AB222" s="14"/>
      <c r="AC222" s="30" t="s">
        <v>223</v>
      </c>
      <c r="AD222" s="37" t="s">
        <v>223</v>
      </c>
    </row>
    <row r="223" spans="1:30" x14ac:dyDescent="0.25">
      <c r="A223" s="36">
        <v>3763</v>
      </c>
      <c r="B223" s="14" t="s">
        <v>7279</v>
      </c>
      <c r="C223" s="14" t="s">
        <v>7280</v>
      </c>
      <c r="D223" s="17">
        <v>44116</v>
      </c>
      <c r="E223" s="14" t="s">
        <v>30</v>
      </c>
      <c r="F223" s="14">
        <v>1131</v>
      </c>
      <c r="G223" s="14">
        <v>311</v>
      </c>
      <c r="H223" s="14">
        <v>17</v>
      </c>
      <c r="I223" s="14">
        <v>9</v>
      </c>
      <c r="J223" s="14" t="s">
        <v>31</v>
      </c>
      <c r="K223" s="14" cm="1">
        <f t="array" ref="K223">INT(SUMPRODUCT(--ISNUMBER(SEARCH(economy,C223)))&gt;0)</f>
        <v>0</v>
      </c>
      <c r="L223" s="14" cm="1">
        <f t="array" ref="L223">INT(SUMPRODUCT(--ISNUMBER(SEARCH(healthcare,C223)))&gt;0)</f>
        <v>0</v>
      </c>
      <c r="M223" s="14" cm="1">
        <f t="array" ref="M223">INT(SUMPRODUCT(--ISNUMBER(SEARCH(supreme,C223)))&gt;0)</f>
        <v>0</v>
      </c>
      <c r="N223" s="14" cm="1">
        <f t="array" ref="N223">INT(SUMPRODUCT(--ISNUMBER(SEARCH(covid,C223)))&gt;0)</f>
        <v>0</v>
      </c>
      <c r="O223" s="14" cm="1">
        <f t="array" ref="O223">INT(SUMPRODUCT(--ISNUMBER(SEARCH(violent,C223)))&gt;0)</f>
        <v>0</v>
      </c>
      <c r="P223" s="14" cm="1">
        <f t="array" ref="P223">INT(SUMPRODUCT(--ISNUMBER(SEARCH(foreign,C223)))&gt;0)</f>
        <v>0</v>
      </c>
      <c r="Q223" s="14" cm="1">
        <f t="array" ref="Q223">INT(SUMPRODUCT(--ISNUMBER(SEARCH(gun,C223)))&gt;0)</f>
        <v>0</v>
      </c>
      <c r="R223" s="14" cm="1">
        <f t="array" ref="R223">INT(SUMPRODUCT(--ISNUMBER(SEARCH(race,C223)))&gt;0)</f>
        <v>0</v>
      </c>
      <c r="S223" s="14" cm="1">
        <f t="array" ref="S223">INT(SUMPRODUCT(--ISNUMBER(SEARCH(immigration,C223)))&gt;0)</f>
        <v>0</v>
      </c>
      <c r="T223" s="14" cm="1">
        <f t="array" ref="T223">INT(SUMPRODUCT(--ISNUMBER(SEARCH(econineq,C224)))&gt;0)</f>
        <v>0</v>
      </c>
      <c r="U223" s="14" cm="1">
        <f t="array" ref="U223">INT(SUMPRODUCT(--ISNUMBER(SEARCH(climate,C223)))&gt;0)</f>
        <v>0</v>
      </c>
      <c r="V223" s="14" cm="1">
        <f t="array" ref="V223">INT(SUMPRODUCT(--ISNUMBER(SEARCH(abortion,C223)))&gt;0)</f>
        <v>0</v>
      </c>
      <c r="W223" s="14" cm="1">
        <f t="array" ref="W223">INT(SUMPRODUCT(--ISNUMBER(SEARCH(trump,C223)))&gt;0)</f>
        <v>0</v>
      </c>
      <c r="X223" s="14" cm="1">
        <f t="array" ref="X223">INT(SUMPRODUCT(--ISNUMBER(SEARCH(voting,C223)))&gt;0)</f>
        <v>0</v>
      </c>
      <c r="Y223" s="35" cm="1">
        <f t="array" ref="Y223">INT(SUMPRODUCT(--ISNUMBER(SEARCH(republicantrigger,C223)))&gt;0)</f>
        <v>0</v>
      </c>
      <c r="Z223" s="35" cm="1">
        <f t="array" ref="Z223">INT(SUMPRODUCT(--ISNUMBER(SEARCH(bipartisan,C223)))&gt;0)</f>
        <v>0</v>
      </c>
      <c r="AA223" s="35">
        <f t="shared" si="3"/>
        <v>1</v>
      </c>
      <c r="AB223" s="14"/>
      <c r="AC223" s="30" t="s">
        <v>223</v>
      </c>
      <c r="AD223" s="37" t="s">
        <v>223</v>
      </c>
    </row>
    <row r="224" spans="1:30" x14ac:dyDescent="0.25">
      <c r="A224" s="36">
        <v>3764</v>
      </c>
      <c r="B224" s="14" t="s">
        <v>7281</v>
      </c>
      <c r="C224" s="14" t="s">
        <v>7282</v>
      </c>
      <c r="D224" s="17">
        <v>44116</v>
      </c>
      <c r="E224" s="14" t="s">
        <v>70</v>
      </c>
      <c r="F224" s="14">
        <v>164</v>
      </c>
      <c r="G224" s="14">
        <v>53</v>
      </c>
      <c r="H224" s="14">
        <v>17</v>
      </c>
      <c r="I224" s="14">
        <v>9</v>
      </c>
      <c r="J224" s="14" t="s">
        <v>31</v>
      </c>
      <c r="K224" s="14" cm="1">
        <f t="array" ref="K224">INT(SUMPRODUCT(--ISNUMBER(SEARCH(economy,C224)))&gt;0)</f>
        <v>0</v>
      </c>
      <c r="L224" s="14" cm="1">
        <f t="array" ref="L224">INT(SUMPRODUCT(--ISNUMBER(SEARCH(healthcare,C224)))&gt;0)</f>
        <v>0</v>
      </c>
      <c r="M224" s="14" cm="1">
        <f t="array" ref="M224">INT(SUMPRODUCT(--ISNUMBER(SEARCH(supreme,C224)))&gt;0)</f>
        <v>1</v>
      </c>
      <c r="N224" s="14" cm="1">
        <f t="array" ref="N224">INT(SUMPRODUCT(--ISNUMBER(SEARCH(covid,C224)))&gt;0)</f>
        <v>0</v>
      </c>
      <c r="O224" s="14" cm="1">
        <f t="array" ref="O224">INT(SUMPRODUCT(--ISNUMBER(SEARCH(violent,C224)))&gt;0)</f>
        <v>0</v>
      </c>
      <c r="P224" s="14" cm="1">
        <f t="array" ref="P224">INT(SUMPRODUCT(--ISNUMBER(SEARCH(foreign,C224)))&gt;0)</f>
        <v>0</v>
      </c>
      <c r="Q224" s="14" cm="1">
        <f t="array" ref="Q224">INT(SUMPRODUCT(--ISNUMBER(SEARCH(gun,C224)))&gt;0)</f>
        <v>0</v>
      </c>
      <c r="R224" s="14" cm="1">
        <f t="array" ref="R224">INT(SUMPRODUCT(--ISNUMBER(SEARCH(race,C224)))&gt;0)</f>
        <v>0</v>
      </c>
      <c r="S224" s="14" cm="1">
        <f t="array" ref="S224">INT(SUMPRODUCT(--ISNUMBER(SEARCH(immigration,C224)))&gt;0)</f>
        <v>0</v>
      </c>
      <c r="T224" s="14" cm="1">
        <f t="array" ref="T224">INT(SUMPRODUCT(--ISNUMBER(SEARCH(econineq,C225)))&gt;0)</f>
        <v>0</v>
      </c>
      <c r="U224" s="14" cm="1">
        <f t="array" ref="U224">INT(SUMPRODUCT(--ISNUMBER(SEARCH(climate,C224)))&gt;0)</f>
        <v>0</v>
      </c>
      <c r="V224" s="14" cm="1">
        <f t="array" ref="V224">INT(SUMPRODUCT(--ISNUMBER(SEARCH(abortion,C224)))&gt;0)</f>
        <v>0</v>
      </c>
      <c r="W224" s="14" cm="1">
        <f t="array" ref="W224">INT(SUMPRODUCT(--ISNUMBER(SEARCH(trump,C224)))&gt;0)</f>
        <v>0</v>
      </c>
      <c r="X224" s="14" cm="1">
        <f t="array" ref="X224">INT(SUMPRODUCT(--ISNUMBER(SEARCH(voting,C224)))&gt;0)</f>
        <v>0</v>
      </c>
      <c r="Y224" s="35" cm="1">
        <f t="array" ref="Y224">INT(SUMPRODUCT(--ISNUMBER(SEARCH(republicantrigger,C224)))&gt;0)</f>
        <v>0</v>
      </c>
      <c r="Z224" s="35" cm="1">
        <f t="array" ref="Z224">INT(SUMPRODUCT(--ISNUMBER(SEARCH(bipartisan,C224)))&gt;0)</f>
        <v>0</v>
      </c>
      <c r="AA224" s="35">
        <f t="shared" si="3"/>
        <v>0</v>
      </c>
      <c r="AB224" s="14"/>
      <c r="AC224" s="30" t="s">
        <v>223</v>
      </c>
      <c r="AD224" s="37" t="s">
        <v>223</v>
      </c>
    </row>
    <row r="225" spans="1:30" x14ac:dyDescent="0.25">
      <c r="A225" s="36">
        <v>3765</v>
      </c>
      <c r="B225" s="14" t="s">
        <v>7283</v>
      </c>
      <c r="C225" s="14" t="s">
        <v>7284</v>
      </c>
      <c r="D225" s="17">
        <v>44116</v>
      </c>
      <c r="E225" s="14" t="s">
        <v>30</v>
      </c>
      <c r="F225" s="14">
        <v>381</v>
      </c>
      <c r="G225" s="14">
        <v>88</v>
      </c>
      <c r="H225" s="14">
        <v>17</v>
      </c>
      <c r="I225" s="14">
        <v>9</v>
      </c>
      <c r="J225" s="14" t="s">
        <v>31</v>
      </c>
      <c r="K225" s="14" cm="1">
        <f t="array" ref="K225">INT(SUMPRODUCT(--ISNUMBER(SEARCH(economy,C225)))&gt;0)</f>
        <v>0</v>
      </c>
      <c r="L225" s="14" cm="1">
        <f t="array" ref="L225">INT(SUMPRODUCT(--ISNUMBER(SEARCH(healthcare,C225)))&gt;0)</f>
        <v>0</v>
      </c>
      <c r="M225" s="14" cm="1">
        <f t="array" ref="M225">INT(SUMPRODUCT(--ISNUMBER(SEARCH(supreme,C225)))&gt;0)</f>
        <v>1</v>
      </c>
      <c r="N225" s="14" cm="1">
        <f t="array" ref="N225">INT(SUMPRODUCT(--ISNUMBER(SEARCH(covid,C225)))&gt;0)</f>
        <v>0</v>
      </c>
      <c r="O225" s="14" cm="1">
        <f t="array" ref="O225">INT(SUMPRODUCT(--ISNUMBER(SEARCH(violent,C225)))&gt;0)</f>
        <v>0</v>
      </c>
      <c r="P225" s="14" cm="1">
        <f t="array" ref="P225">INT(SUMPRODUCT(--ISNUMBER(SEARCH(foreign,C225)))&gt;0)</f>
        <v>0</v>
      </c>
      <c r="Q225" s="14" cm="1">
        <f t="array" ref="Q225">INT(SUMPRODUCT(--ISNUMBER(SEARCH(gun,C225)))&gt;0)</f>
        <v>0</v>
      </c>
      <c r="R225" s="14" cm="1">
        <f t="array" ref="R225">INT(SUMPRODUCT(--ISNUMBER(SEARCH(race,C225)))&gt;0)</f>
        <v>0</v>
      </c>
      <c r="S225" s="14" cm="1">
        <f t="array" ref="S225">INT(SUMPRODUCT(--ISNUMBER(SEARCH(immigration,C225)))&gt;0)</f>
        <v>0</v>
      </c>
      <c r="T225" s="14" cm="1">
        <f t="array" ref="T225">INT(SUMPRODUCT(--ISNUMBER(SEARCH(econineq,C226)))&gt;0)</f>
        <v>0</v>
      </c>
      <c r="U225" s="14" cm="1">
        <f t="array" ref="U225">INT(SUMPRODUCT(--ISNUMBER(SEARCH(climate,C225)))&gt;0)</f>
        <v>0</v>
      </c>
      <c r="V225" s="14" cm="1">
        <f t="array" ref="V225">INT(SUMPRODUCT(--ISNUMBER(SEARCH(abortion,C225)))&gt;0)</f>
        <v>0</v>
      </c>
      <c r="W225" s="14" cm="1">
        <f t="array" ref="W225">INT(SUMPRODUCT(--ISNUMBER(SEARCH(trump,C225)))&gt;0)</f>
        <v>0</v>
      </c>
      <c r="X225" s="14" cm="1">
        <f t="array" ref="X225">INT(SUMPRODUCT(--ISNUMBER(SEARCH(voting,C225)))&gt;0)</f>
        <v>0</v>
      </c>
      <c r="Y225" s="35" cm="1">
        <f t="array" ref="Y225">INT(SUMPRODUCT(--ISNUMBER(SEARCH(republicantrigger,C225)))&gt;0)</f>
        <v>0</v>
      </c>
      <c r="Z225" s="35" cm="1">
        <f t="array" ref="Z225">INT(SUMPRODUCT(--ISNUMBER(SEARCH(bipartisan,C225)))&gt;0)</f>
        <v>0</v>
      </c>
      <c r="AA225" s="35">
        <f t="shared" si="3"/>
        <v>0</v>
      </c>
      <c r="AB225" s="14"/>
      <c r="AC225" s="30" t="s">
        <v>223</v>
      </c>
      <c r="AD225" s="37" t="s">
        <v>223</v>
      </c>
    </row>
    <row r="226" spans="1:30" x14ac:dyDescent="0.25">
      <c r="A226" s="36">
        <v>3766</v>
      </c>
      <c r="B226" s="14" t="s">
        <v>7285</v>
      </c>
      <c r="C226" s="14" t="s">
        <v>7286</v>
      </c>
      <c r="D226" s="17">
        <v>44116</v>
      </c>
      <c r="E226" s="14" t="s">
        <v>30</v>
      </c>
      <c r="F226" s="14">
        <v>90</v>
      </c>
      <c r="G226" s="14">
        <v>42</v>
      </c>
      <c r="H226" s="14">
        <v>17</v>
      </c>
      <c r="I226" s="14">
        <v>9</v>
      </c>
      <c r="J226" s="14" t="s">
        <v>31</v>
      </c>
      <c r="K226" s="14" cm="1">
        <f t="array" ref="K226">INT(SUMPRODUCT(--ISNUMBER(SEARCH(economy,C226)))&gt;0)</f>
        <v>0</v>
      </c>
      <c r="L226" s="14" cm="1">
        <f t="array" ref="L226">INT(SUMPRODUCT(--ISNUMBER(SEARCH(healthcare,C226)))&gt;0)</f>
        <v>0</v>
      </c>
      <c r="M226" s="14" cm="1">
        <f t="array" ref="M226">INT(SUMPRODUCT(--ISNUMBER(SEARCH(supreme,C226)))&gt;0)</f>
        <v>0</v>
      </c>
      <c r="N226" s="14" cm="1">
        <f t="array" ref="N226">INT(SUMPRODUCT(--ISNUMBER(SEARCH(covid,C226)))&gt;0)</f>
        <v>0</v>
      </c>
      <c r="O226" s="14" cm="1">
        <f t="array" ref="O226">INT(SUMPRODUCT(--ISNUMBER(SEARCH(violent,C226)))&gt;0)</f>
        <v>0</v>
      </c>
      <c r="P226" s="14" cm="1">
        <f t="array" ref="P226">INT(SUMPRODUCT(--ISNUMBER(SEARCH(foreign,C226)))&gt;0)</f>
        <v>0</v>
      </c>
      <c r="Q226" s="14" cm="1">
        <f t="array" ref="Q226">INT(SUMPRODUCT(--ISNUMBER(SEARCH(gun,C226)))&gt;0)</f>
        <v>0</v>
      </c>
      <c r="R226" s="14" cm="1">
        <f t="array" ref="R226">INT(SUMPRODUCT(--ISNUMBER(SEARCH(race,C226)))&gt;0)</f>
        <v>1</v>
      </c>
      <c r="S226" s="14" cm="1">
        <f t="array" ref="S226">INT(SUMPRODUCT(--ISNUMBER(SEARCH(immigration,C226)))&gt;0)</f>
        <v>0</v>
      </c>
      <c r="T226" s="14" cm="1">
        <f t="array" ref="T226">INT(SUMPRODUCT(--ISNUMBER(SEARCH(econineq,C227)))&gt;0)</f>
        <v>0</v>
      </c>
      <c r="U226" s="14" cm="1">
        <f t="array" ref="U226">INT(SUMPRODUCT(--ISNUMBER(SEARCH(climate,C226)))&gt;0)</f>
        <v>0</v>
      </c>
      <c r="V226" s="14" cm="1">
        <f t="array" ref="V226">INT(SUMPRODUCT(--ISNUMBER(SEARCH(abortion,C226)))&gt;0)</f>
        <v>0</v>
      </c>
      <c r="W226" s="14" cm="1">
        <f t="array" ref="W226">INT(SUMPRODUCT(--ISNUMBER(SEARCH(trump,C226)))&gt;0)</f>
        <v>0</v>
      </c>
      <c r="X226" s="14" cm="1">
        <f t="array" ref="X226">INT(SUMPRODUCT(--ISNUMBER(SEARCH(voting,C226)))&gt;0)</f>
        <v>1</v>
      </c>
      <c r="Y226" s="35" cm="1">
        <f t="array" ref="Y226">INT(SUMPRODUCT(--ISNUMBER(SEARCH(republicantrigger,C226)))&gt;0)</f>
        <v>1</v>
      </c>
      <c r="Z226" s="35" cm="1">
        <f t="array" ref="Z226">INT(SUMPRODUCT(--ISNUMBER(SEARCH(bipartisan,C226)))&gt;0)</f>
        <v>0</v>
      </c>
      <c r="AA226" s="35">
        <f t="shared" si="3"/>
        <v>0</v>
      </c>
      <c r="AB226" s="14"/>
      <c r="AC226" s="30" t="s">
        <v>223</v>
      </c>
      <c r="AD226" s="37" t="s">
        <v>223</v>
      </c>
    </row>
    <row r="227" spans="1:30" x14ac:dyDescent="0.25">
      <c r="A227" s="36">
        <v>3767</v>
      </c>
      <c r="B227" s="14" t="s">
        <v>7287</v>
      </c>
      <c r="C227" s="14" t="s">
        <v>7288</v>
      </c>
      <c r="D227" s="17">
        <v>44116</v>
      </c>
      <c r="E227" s="14" t="s">
        <v>30</v>
      </c>
      <c r="F227" s="14">
        <v>60</v>
      </c>
      <c r="G227" s="14">
        <v>20</v>
      </c>
      <c r="H227" s="14">
        <v>17</v>
      </c>
      <c r="I227" s="14">
        <v>9</v>
      </c>
      <c r="J227" s="14" t="s">
        <v>31</v>
      </c>
      <c r="K227" s="14" cm="1">
        <f t="array" ref="K227">INT(SUMPRODUCT(--ISNUMBER(SEARCH(economy,C227)))&gt;0)</f>
        <v>0</v>
      </c>
      <c r="L227" s="14" cm="1">
        <f t="array" ref="L227">INT(SUMPRODUCT(--ISNUMBER(SEARCH(healthcare,C227)))&gt;0)</f>
        <v>0</v>
      </c>
      <c r="M227" s="14" cm="1">
        <f t="array" ref="M227">INT(SUMPRODUCT(--ISNUMBER(SEARCH(supreme,C227)))&gt;0)</f>
        <v>0</v>
      </c>
      <c r="N227" s="14" cm="1">
        <f t="array" ref="N227">INT(SUMPRODUCT(--ISNUMBER(SEARCH(covid,C227)))&gt;0)</f>
        <v>0</v>
      </c>
      <c r="O227" s="14" cm="1">
        <f t="array" ref="O227">INT(SUMPRODUCT(--ISNUMBER(SEARCH(violent,C227)))&gt;0)</f>
        <v>0</v>
      </c>
      <c r="P227" s="14" cm="1">
        <f t="array" ref="P227">INT(SUMPRODUCT(--ISNUMBER(SEARCH(foreign,C227)))&gt;0)</f>
        <v>0</v>
      </c>
      <c r="Q227" s="14" cm="1">
        <f t="array" ref="Q227">INT(SUMPRODUCT(--ISNUMBER(SEARCH(gun,C227)))&gt;0)</f>
        <v>0</v>
      </c>
      <c r="R227" s="14" cm="1">
        <f t="array" ref="R227">INT(SUMPRODUCT(--ISNUMBER(SEARCH(race,C227)))&gt;0)</f>
        <v>0</v>
      </c>
      <c r="S227" s="14" cm="1">
        <f t="array" ref="S227">INT(SUMPRODUCT(--ISNUMBER(SEARCH(immigration,C227)))&gt;0)</f>
        <v>0</v>
      </c>
      <c r="T227" s="14" cm="1">
        <f t="array" ref="T227">INT(SUMPRODUCT(--ISNUMBER(SEARCH(econineq,C228)))&gt;0)</f>
        <v>0</v>
      </c>
      <c r="U227" s="14" cm="1">
        <f t="array" ref="U227">INT(SUMPRODUCT(--ISNUMBER(SEARCH(climate,C227)))&gt;0)</f>
        <v>0</v>
      </c>
      <c r="V227" s="14" cm="1">
        <f t="array" ref="V227">INT(SUMPRODUCT(--ISNUMBER(SEARCH(abortion,C227)))&gt;0)</f>
        <v>0</v>
      </c>
      <c r="W227" s="14" cm="1">
        <f t="array" ref="W227">INT(SUMPRODUCT(--ISNUMBER(SEARCH(trump,C227)))&gt;0)</f>
        <v>1</v>
      </c>
      <c r="X227" s="14" cm="1">
        <f t="array" ref="X227">INT(SUMPRODUCT(--ISNUMBER(SEARCH(voting,C227)))&gt;0)</f>
        <v>1</v>
      </c>
      <c r="Y227" s="35" cm="1">
        <f t="array" ref="Y227">INT(SUMPRODUCT(--ISNUMBER(SEARCH(republicantrigger,C227)))&gt;0)</f>
        <v>1</v>
      </c>
      <c r="Z227" s="35" cm="1">
        <f t="array" ref="Z227">INT(SUMPRODUCT(--ISNUMBER(SEARCH(bipartisan,C227)))&gt;0)</f>
        <v>0</v>
      </c>
      <c r="AA227" s="35">
        <f t="shared" si="3"/>
        <v>0</v>
      </c>
      <c r="AB227" s="14"/>
      <c r="AC227" s="30" t="s">
        <v>223</v>
      </c>
      <c r="AD227" s="37" t="s">
        <v>223</v>
      </c>
    </row>
    <row r="228" spans="1:30" x14ac:dyDescent="0.25">
      <c r="A228" s="36">
        <v>3768</v>
      </c>
      <c r="B228" s="14" t="s">
        <v>7289</v>
      </c>
      <c r="C228" s="14" t="s">
        <v>7290</v>
      </c>
      <c r="D228" s="17">
        <v>44116</v>
      </c>
      <c r="E228" s="14" t="s">
        <v>30</v>
      </c>
      <c r="F228" s="14">
        <v>247</v>
      </c>
      <c r="G228" s="14">
        <v>95</v>
      </c>
      <c r="H228" s="14">
        <v>17</v>
      </c>
      <c r="I228" s="14">
        <v>9</v>
      </c>
      <c r="J228" s="14" t="s">
        <v>31</v>
      </c>
      <c r="K228" s="14" cm="1">
        <f t="array" ref="K228">INT(SUMPRODUCT(--ISNUMBER(SEARCH(economy,C228)))&gt;0)</f>
        <v>0</v>
      </c>
      <c r="L228" s="14" cm="1">
        <f t="array" ref="L228">INT(SUMPRODUCT(--ISNUMBER(SEARCH(healthcare,C228)))&gt;0)</f>
        <v>0</v>
      </c>
      <c r="M228" s="14" cm="1">
        <f t="array" ref="M228">INT(SUMPRODUCT(--ISNUMBER(SEARCH(supreme,C228)))&gt;0)</f>
        <v>0</v>
      </c>
      <c r="N228" s="14" cm="1">
        <f t="array" ref="N228">INT(SUMPRODUCT(--ISNUMBER(SEARCH(covid,C228)))&gt;0)</f>
        <v>0</v>
      </c>
      <c r="O228" s="14" cm="1">
        <f t="array" ref="O228">INT(SUMPRODUCT(--ISNUMBER(SEARCH(violent,C228)))&gt;0)</f>
        <v>0</v>
      </c>
      <c r="P228" s="14" cm="1">
        <f t="array" ref="P228">INT(SUMPRODUCT(--ISNUMBER(SEARCH(foreign,C228)))&gt;0)</f>
        <v>0</v>
      </c>
      <c r="Q228" s="14" cm="1">
        <f t="array" ref="Q228">INT(SUMPRODUCT(--ISNUMBER(SEARCH(gun,C228)))&gt;0)</f>
        <v>0</v>
      </c>
      <c r="R228" s="14" cm="1">
        <f t="array" ref="R228">INT(SUMPRODUCT(--ISNUMBER(SEARCH(race,C228)))&gt;0)</f>
        <v>0</v>
      </c>
      <c r="S228" s="14" cm="1">
        <f t="array" ref="S228">INT(SUMPRODUCT(--ISNUMBER(SEARCH(immigration,C228)))&gt;0)</f>
        <v>0</v>
      </c>
      <c r="T228" s="14" cm="1">
        <f t="array" ref="T228">INT(SUMPRODUCT(--ISNUMBER(SEARCH(econineq,C229)))&gt;0)</f>
        <v>0</v>
      </c>
      <c r="U228" s="14" cm="1">
        <f t="array" ref="U228">INT(SUMPRODUCT(--ISNUMBER(SEARCH(climate,C228)))&gt;0)</f>
        <v>0</v>
      </c>
      <c r="V228" s="14" cm="1">
        <f t="array" ref="V228">INT(SUMPRODUCT(--ISNUMBER(SEARCH(abortion,C228)))&gt;0)</f>
        <v>0</v>
      </c>
      <c r="W228" s="14" cm="1">
        <f t="array" ref="W228">INT(SUMPRODUCT(--ISNUMBER(SEARCH(trump,C228)))&gt;0)</f>
        <v>0</v>
      </c>
      <c r="X228" s="14" cm="1">
        <f t="array" ref="X228">INT(SUMPRODUCT(--ISNUMBER(SEARCH(voting,C228)))&gt;0)</f>
        <v>0</v>
      </c>
      <c r="Y228" s="35" cm="1">
        <f t="array" ref="Y228">INT(SUMPRODUCT(--ISNUMBER(SEARCH(republicantrigger,C228)))&gt;0)</f>
        <v>0</v>
      </c>
      <c r="Z228" s="35" cm="1">
        <f t="array" ref="Z228">INT(SUMPRODUCT(--ISNUMBER(SEARCH(bipartisan,C228)))&gt;0)</f>
        <v>0</v>
      </c>
      <c r="AA228" s="35">
        <f t="shared" si="3"/>
        <v>1</v>
      </c>
      <c r="AB228" s="14"/>
      <c r="AC228" s="30" t="s">
        <v>223</v>
      </c>
      <c r="AD228" s="37" t="s">
        <v>223</v>
      </c>
    </row>
    <row r="229" spans="1:30" x14ac:dyDescent="0.25">
      <c r="A229" s="36">
        <v>3769</v>
      </c>
      <c r="B229" s="14" t="s">
        <v>7291</v>
      </c>
      <c r="C229" s="14" t="s">
        <v>7292</v>
      </c>
      <c r="D229" s="17">
        <v>44116</v>
      </c>
      <c r="E229" s="14" t="s">
        <v>30</v>
      </c>
      <c r="F229" s="14">
        <v>81</v>
      </c>
      <c r="G229" s="14">
        <v>24</v>
      </c>
      <c r="H229" s="14">
        <v>17</v>
      </c>
      <c r="I229" s="14">
        <v>9</v>
      </c>
      <c r="J229" s="14" t="s">
        <v>31</v>
      </c>
      <c r="K229" s="14" cm="1">
        <f t="array" ref="K229">INT(SUMPRODUCT(--ISNUMBER(SEARCH(economy,C229)))&gt;0)</f>
        <v>0</v>
      </c>
      <c r="L229" s="14" cm="1">
        <f t="array" ref="L229">INT(SUMPRODUCT(--ISNUMBER(SEARCH(healthcare,C229)))&gt;0)</f>
        <v>0</v>
      </c>
      <c r="M229" s="14" cm="1">
        <f t="array" ref="M229">INT(SUMPRODUCT(--ISNUMBER(SEARCH(supreme,C229)))&gt;0)</f>
        <v>0</v>
      </c>
      <c r="N229" s="14" cm="1">
        <f t="array" ref="N229">INT(SUMPRODUCT(--ISNUMBER(SEARCH(covid,C229)))&gt;0)</f>
        <v>0</v>
      </c>
      <c r="O229" s="14" cm="1">
        <f t="array" ref="O229">INT(SUMPRODUCT(--ISNUMBER(SEARCH(violent,C229)))&gt;0)</f>
        <v>0</v>
      </c>
      <c r="P229" s="14" cm="1">
        <f t="array" ref="P229">INT(SUMPRODUCT(--ISNUMBER(SEARCH(foreign,C229)))&gt;0)</f>
        <v>0</v>
      </c>
      <c r="Q229" s="14" cm="1">
        <f t="array" ref="Q229">INT(SUMPRODUCT(--ISNUMBER(SEARCH(gun,C229)))&gt;0)</f>
        <v>0</v>
      </c>
      <c r="R229" s="14" cm="1">
        <f t="array" ref="R229">INT(SUMPRODUCT(--ISNUMBER(SEARCH(race,C229)))&gt;0)</f>
        <v>1</v>
      </c>
      <c r="S229" s="14" cm="1">
        <f t="array" ref="S229">INT(SUMPRODUCT(--ISNUMBER(SEARCH(immigration,C229)))&gt;0)</f>
        <v>0</v>
      </c>
      <c r="T229" s="14" cm="1">
        <f t="array" ref="T229">INT(SUMPRODUCT(--ISNUMBER(SEARCH(econineq,C230)))&gt;0)</f>
        <v>0</v>
      </c>
      <c r="U229" s="14" cm="1">
        <f t="array" ref="U229">INT(SUMPRODUCT(--ISNUMBER(SEARCH(climate,C229)))&gt;0)</f>
        <v>0</v>
      </c>
      <c r="V229" s="14" cm="1">
        <f t="array" ref="V229">INT(SUMPRODUCT(--ISNUMBER(SEARCH(abortion,C229)))&gt;0)</f>
        <v>0</v>
      </c>
      <c r="W229" s="14" cm="1">
        <f t="array" ref="W229">INT(SUMPRODUCT(--ISNUMBER(SEARCH(trump,C229)))&gt;0)</f>
        <v>0</v>
      </c>
      <c r="X229" s="14" cm="1">
        <f t="array" ref="X229">INT(SUMPRODUCT(--ISNUMBER(SEARCH(voting,C229)))&gt;0)</f>
        <v>1</v>
      </c>
      <c r="Y229" s="35" cm="1">
        <f t="array" ref="Y229">INT(SUMPRODUCT(--ISNUMBER(SEARCH(republicantrigger,C229)))&gt;0)</f>
        <v>1</v>
      </c>
      <c r="Z229" s="35" cm="1">
        <f t="array" ref="Z229">INT(SUMPRODUCT(--ISNUMBER(SEARCH(bipartisan,C229)))&gt;0)</f>
        <v>0</v>
      </c>
      <c r="AA229" s="35">
        <f t="shared" si="3"/>
        <v>0</v>
      </c>
      <c r="AB229" s="14"/>
      <c r="AC229" s="30" t="s">
        <v>223</v>
      </c>
      <c r="AD229" s="37" t="s">
        <v>223</v>
      </c>
    </row>
    <row r="230" spans="1:30" x14ac:dyDescent="0.25">
      <c r="A230" s="36">
        <v>3770</v>
      </c>
      <c r="B230" s="14" t="s">
        <v>7293</v>
      </c>
      <c r="C230" s="14" t="s">
        <v>7294</v>
      </c>
      <c r="D230" s="17">
        <v>44116</v>
      </c>
      <c r="E230" s="14" t="s">
        <v>70</v>
      </c>
      <c r="F230" s="14">
        <v>243</v>
      </c>
      <c r="G230" s="14">
        <v>46</v>
      </c>
      <c r="H230" s="14">
        <v>17</v>
      </c>
      <c r="I230" s="14">
        <v>9</v>
      </c>
      <c r="J230" s="14" t="s">
        <v>31</v>
      </c>
      <c r="K230" s="14" cm="1">
        <f t="array" ref="K230">INT(SUMPRODUCT(--ISNUMBER(SEARCH(economy,C230)))&gt;0)</f>
        <v>0</v>
      </c>
      <c r="L230" s="14" cm="1">
        <f t="array" ref="L230">INT(SUMPRODUCT(--ISNUMBER(SEARCH(healthcare,C230)))&gt;0)</f>
        <v>0</v>
      </c>
      <c r="M230" s="14" cm="1">
        <f t="array" ref="M230">INT(SUMPRODUCT(--ISNUMBER(SEARCH(supreme,C230)))&gt;0)</f>
        <v>1</v>
      </c>
      <c r="N230" s="14" cm="1">
        <f t="array" ref="N230">INT(SUMPRODUCT(--ISNUMBER(SEARCH(covid,C230)))&gt;0)</f>
        <v>0</v>
      </c>
      <c r="O230" s="14" cm="1">
        <f t="array" ref="O230">INT(SUMPRODUCT(--ISNUMBER(SEARCH(violent,C230)))&gt;0)</f>
        <v>0</v>
      </c>
      <c r="P230" s="14" cm="1">
        <f t="array" ref="P230">INT(SUMPRODUCT(--ISNUMBER(SEARCH(foreign,C230)))&gt;0)</f>
        <v>0</v>
      </c>
      <c r="Q230" s="14" cm="1">
        <f t="array" ref="Q230">INT(SUMPRODUCT(--ISNUMBER(SEARCH(gun,C230)))&gt;0)</f>
        <v>0</v>
      </c>
      <c r="R230" s="14" cm="1">
        <f t="array" ref="R230">INT(SUMPRODUCT(--ISNUMBER(SEARCH(race,C230)))&gt;0)</f>
        <v>0</v>
      </c>
      <c r="S230" s="14" cm="1">
        <f t="array" ref="S230">INT(SUMPRODUCT(--ISNUMBER(SEARCH(immigration,C230)))&gt;0)</f>
        <v>0</v>
      </c>
      <c r="T230" s="14" cm="1">
        <f t="array" ref="T230">INT(SUMPRODUCT(--ISNUMBER(SEARCH(econineq,C231)))&gt;0)</f>
        <v>0</v>
      </c>
      <c r="U230" s="14" cm="1">
        <f t="array" ref="U230">INT(SUMPRODUCT(--ISNUMBER(SEARCH(climate,C230)))&gt;0)</f>
        <v>0</v>
      </c>
      <c r="V230" s="14" cm="1">
        <f t="array" ref="V230">INT(SUMPRODUCT(--ISNUMBER(SEARCH(abortion,C230)))&gt;0)</f>
        <v>0</v>
      </c>
      <c r="W230" s="14" cm="1">
        <f t="array" ref="W230">INT(SUMPRODUCT(--ISNUMBER(SEARCH(trump,C230)))&gt;0)</f>
        <v>0</v>
      </c>
      <c r="X230" s="14" cm="1">
        <f t="array" ref="X230">INT(SUMPRODUCT(--ISNUMBER(SEARCH(voting,C230)))&gt;0)</f>
        <v>0</v>
      </c>
      <c r="Y230" s="35" cm="1">
        <f t="array" ref="Y230">INT(SUMPRODUCT(--ISNUMBER(SEARCH(republicantrigger,C230)))&gt;0)</f>
        <v>0</v>
      </c>
      <c r="Z230" s="35" cm="1">
        <f t="array" ref="Z230">INT(SUMPRODUCT(--ISNUMBER(SEARCH(bipartisan,C230)))&gt;0)</f>
        <v>0</v>
      </c>
      <c r="AA230" s="35">
        <f t="shared" si="3"/>
        <v>0</v>
      </c>
      <c r="AB230" s="14"/>
      <c r="AC230" s="30" t="s">
        <v>223</v>
      </c>
      <c r="AD230" s="37" t="s">
        <v>223</v>
      </c>
    </row>
    <row r="231" spans="1:30" x14ac:dyDescent="0.25">
      <c r="A231" s="36">
        <v>3771</v>
      </c>
      <c r="B231" s="14" t="s">
        <v>7295</v>
      </c>
      <c r="C231" s="14" t="s">
        <v>7296</v>
      </c>
      <c r="D231" s="17">
        <v>44116</v>
      </c>
      <c r="E231" s="14" t="s">
        <v>70</v>
      </c>
      <c r="F231" s="14">
        <v>237</v>
      </c>
      <c r="G231" s="14">
        <v>35</v>
      </c>
      <c r="H231" s="14">
        <v>17</v>
      </c>
      <c r="I231" s="14">
        <v>9</v>
      </c>
      <c r="J231" s="14" t="s">
        <v>31</v>
      </c>
      <c r="K231" s="14" cm="1">
        <f t="array" ref="K231">INT(SUMPRODUCT(--ISNUMBER(SEARCH(economy,C231)))&gt;0)</f>
        <v>0</v>
      </c>
      <c r="L231" s="14" cm="1">
        <f t="array" ref="L231">INT(SUMPRODUCT(--ISNUMBER(SEARCH(healthcare,C231)))&gt;0)</f>
        <v>0</v>
      </c>
      <c r="M231" s="14" cm="1">
        <f t="array" ref="M231">INT(SUMPRODUCT(--ISNUMBER(SEARCH(supreme,C231)))&gt;0)</f>
        <v>0</v>
      </c>
      <c r="N231" s="14" cm="1">
        <f t="array" ref="N231">INT(SUMPRODUCT(--ISNUMBER(SEARCH(covid,C231)))&gt;0)</f>
        <v>0</v>
      </c>
      <c r="O231" s="14" cm="1">
        <f t="array" ref="O231">INT(SUMPRODUCT(--ISNUMBER(SEARCH(violent,C231)))&gt;0)</f>
        <v>0</v>
      </c>
      <c r="P231" s="14" cm="1">
        <f t="array" ref="P231">INT(SUMPRODUCT(--ISNUMBER(SEARCH(foreign,C231)))&gt;0)</f>
        <v>0</v>
      </c>
      <c r="Q231" s="14" cm="1">
        <f t="array" ref="Q231">INT(SUMPRODUCT(--ISNUMBER(SEARCH(gun,C231)))&gt;0)</f>
        <v>0</v>
      </c>
      <c r="R231" s="14" cm="1">
        <f t="array" ref="R231">INT(SUMPRODUCT(--ISNUMBER(SEARCH(race,C231)))&gt;0)</f>
        <v>0</v>
      </c>
      <c r="S231" s="14" cm="1">
        <f t="array" ref="S231">INT(SUMPRODUCT(--ISNUMBER(SEARCH(immigration,C231)))&gt;0)</f>
        <v>0</v>
      </c>
      <c r="T231" s="14" cm="1">
        <f t="array" ref="T231">INT(SUMPRODUCT(--ISNUMBER(SEARCH(econineq,C232)))&gt;0)</f>
        <v>0</v>
      </c>
      <c r="U231" s="14" cm="1">
        <f t="array" ref="U231">INT(SUMPRODUCT(--ISNUMBER(SEARCH(climate,C231)))&gt;0)</f>
        <v>0</v>
      </c>
      <c r="V231" s="14" cm="1">
        <f t="array" ref="V231">INT(SUMPRODUCT(--ISNUMBER(SEARCH(abortion,C231)))&gt;0)</f>
        <v>0</v>
      </c>
      <c r="W231" s="14" cm="1">
        <f t="array" ref="W231">INT(SUMPRODUCT(--ISNUMBER(SEARCH(trump,C231)))&gt;0)</f>
        <v>0</v>
      </c>
      <c r="X231" s="14" cm="1">
        <f t="array" ref="X231">INT(SUMPRODUCT(--ISNUMBER(SEARCH(voting,C231)))&gt;0)</f>
        <v>0</v>
      </c>
      <c r="Y231" s="35" cm="1">
        <f t="array" ref="Y231">INT(SUMPRODUCT(--ISNUMBER(SEARCH(republicantrigger,C231)))&gt;0)</f>
        <v>1</v>
      </c>
      <c r="Z231" s="35" cm="1">
        <f t="array" ref="Z231">INT(SUMPRODUCT(--ISNUMBER(SEARCH(bipartisan,C231)))&gt;0)</f>
        <v>0</v>
      </c>
      <c r="AA231" s="35">
        <f t="shared" si="3"/>
        <v>0</v>
      </c>
      <c r="AB231" s="14"/>
      <c r="AC231" s="30" t="s">
        <v>223</v>
      </c>
      <c r="AD231" s="37" t="s">
        <v>223</v>
      </c>
    </row>
    <row r="232" spans="1:30" x14ac:dyDescent="0.25">
      <c r="A232" s="36">
        <v>3772</v>
      </c>
      <c r="B232" s="14" t="s">
        <v>7297</v>
      </c>
      <c r="C232" s="14" t="s">
        <v>7298</v>
      </c>
      <c r="D232" s="17">
        <v>44116</v>
      </c>
      <c r="E232" s="14" t="s">
        <v>30</v>
      </c>
      <c r="F232" s="14">
        <v>2028</v>
      </c>
      <c r="G232" s="14">
        <v>509</v>
      </c>
      <c r="H232" s="14">
        <v>17</v>
      </c>
      <c r="I232" s="14">
        <v>9</v>
      </c>
      <c r="J232" s="14" t="s">
        <v>31</v>
      </c>
      <c r="K232" s="14" cm="1">
        <f t="array" ref="K232">INT(SUMPRODUCT(--ISNUMBER(SEARCH(economy,C232)))&gt;0)</f>
        <v>0</v>
      </c>
      <c r="L232" s="14" cm="1">
        <f t="array" ref="L232">INT(SUMPRODUCT(--ISNUMBER(SEARCH(healthcare,C232)))&gt;0)</f>
        <v>0</v>
      </c>
      <c r="M232" s="14" cm="1">
        <f t="array" ref="M232">INT(SUMPRODUCT(--ISNUMBER(SEARCH(supreme,C232)))&gt;0)</f>
        <v>0</v>
      </c>
      <c r="N232" s="14" cm="1">
        <f t="array" ref="N232">INT(SUMPRODUCT(--ISNUMBER(SEARCH(covid,C232)))&gt;0)</f>
        <v>0</v>
      </c>
      <c r="O232" s="14" cm="1">
        <f t="array" ref="O232">INT(SUMPRODUCT(--ISNUMBER(SEARCH(violent,C232)))&gt;0)</f>
        <v>0</v>
      </c>
      <c r="P232" s="14" cm="1">
        <f t="array" ref="P232">INT(SUMPRODUCT(--ISNUMBER(SEARCH(foreign,C232)))&gt;0)</f>
        <v>1</v>
      </c>
      <c r="Q232" s="14" cm="1">
        <f t="array" ref="Q232">INT(SUMPRODUCT(--ISNUMBER(SEARCH(gun,C232)))&gt;0)</f>
        <v>0</v>
      </c>
      <c r="R232" s="14" cm="1">
        <f t="array" ref="R232">INT(SUMPRODUCT(--ISNUMBER(SEARCH(race,C232)))&gt;0)</f>
        <v>0</v>
      </c>
      <c r="S232" s="14" cm="1">
        <f t="array" ref="S232">INT(SUMPRODUCT(--ISNUMBER(SEARCH(immigration,C232)))&gt;0)</f>
        <v>0</v>
      </c>
      <c r="T232" s="14" cm="1">
        <f t="array" ref="T232">INT(SUMPRODUCT(--ISNUMBER(SEARCH(econineq,C233)))&gt;0)</f>
        <v>0</v>
      </c>
      <c r="U232" s="14" cm="1">
        <f t="array" ref="U232">INT(SUMPRODUCT(--ISNUMBER(SEARCH(climate,C232)))&gt;0)</f>
        <v>0</v>
      </c>
      <c r="V232" s="14" cm="1">
        <f t="array" ref="V232">INT(SUMPRODUCT(--ISNUMBER(SEARCH(abortion,C232)))&gt;0)</f>
        <v>0</v>
      </c>
      <c r="W232" s="14" cm="1">
        <f t="array" ref="W232">INT(SUMPRODUCT(--ISNUMBER(SEARCH(trump,C232)))&gt;0)</f>
        <v>0</v>
      </c>
      <c r="X232" s="14" cm="1">
        <f t="array" ref="X232">INT(SUMPRODUCT(--ISNUMBER(SEARCH(voting,C232)))&gt;0)</f>
        <v>0</v>
      </c>
      <c r="Y232" s="35" cm="1">
        <f t="array" ref="Y232">INT(SUMPRODUCT(--ISNUMBER(SEARCH(republicantrigger,C232)))&gt;0)</f>
        <v>0</v>
      </c>
      <c r="Z232" s="35" cm="1">
        <f t="array" ref="Z232">INT(SUMPRODUCT(--ISNUMBER(SEARCH(bipartisan,C232)))&gt;0)</f>
        <v>0</v>
      </c>
      <c r="AA232" s="35">
        <f t="shared" si="3"/>
        <v>0</v>
      </c>
      <c r="AB232" s="14"/>
      <c r="AC232" s="30" t="s">
        <v>223</v>
      </c>
      <c r="AD232" s="37" t="s">
        <v>223</v>
      </c>
    </row>
    <row r="233" spans="1:30" x14ac:dyDescent="0.25">
      <c r="A233" s="36">
        <v>3773</v>
      </c>
      <c r="B233" s="14" t="s">
        <v>7299</v>
      </c>
      <c r="C233" s="14" t="s">
        <v>7300</v>
      </c>
      <c r="D233" s="17">
        <v>44115</v>
      </c>
      <c r="E233" s="14" t="s">
        <v>30</v>
      </c>
      <c r="F233" s="14">
        <v>73</v>
      </c>
      <c r="G233" s="14">
        <v>17</v>
      </c>
      <c r="H233" s="14">
        <v>17</v>
      </c>
      <c r="I233" s="14">
        <v>9</v>
      </c>
      <c r="J233" s="14" t="s">
        <v>31</v>
      </c>
      <c r="K233" s="14" cm="1">
        <f t="array" ref="K233">INT(SUMPRODUCT(--ISNUMBER(SEARCH(economy,C233)))&gt;0)</f>
        <v>0</v>
      </c>
      <c r="L233" s="14" cm="1">
        <f t="array" ref="L233">INT(SUMPRODUCT(--ISNUMBER(SEARCH(healthcare,C233)))&gt;0)</f>
        <v>0</v>
      </c>
      <c r="M233" s="14" cm="1">
        <f t="array" ref="M233">INT(SUMPRODUCT(--ISNUMBER(SEARCH(supreme,C233)))&gt;0)</f>
        <v>0</v>
      </c>
      <c r="N233" s="14" cm="1">
        <f t="array" ref="N233">INT(SUMPRODUCT(--ISNUMBER(SEARCH(covid,C233)))&gt;0)</f>
        <v>0</v>
      </c>
      <c r="O233" s="14" cm="1">
        <f t="array" ref="O233">INT(SUMPRODUCT(--ISNUMBER(SEARCH(violent,C233)))&gt;0)</f>
        <v>0</v>
      </c>
      <c r="P233" s="14" cm="1">
        <f t="array" ref="P233">INT(SUMPRODUCT(--ISNUMBER(SEARCH(foreign,C233)))&gt;0)</f>
        <v>0</v>
      </c>
      <c r="Q233" s="14" cm="1">
        <f t="array" ref="Q233">INT(SUMPRODUCT(--ISNUMBER(SEARCH(gun,C233)))&gt;0)</f>
        <v>0</v>
      </c>
      <c r="R233" s="14" cm="1">
        <f t="array" ref="R233">INT(SUMPRODUCT(--ISNUMBER(SEARCH(race,C233)))&gt;0)</f>
        <v>0</v>
      </c>
      <c r="S233" s="14" cm="1">
        <f t="array" ref="S233">INT(SUMPRODUCT(--ISNUMBER(SEARCH(immigration,C233)))&gt;0)</f>
        <v>0</v>
      </c>
      <c r="T233" s="14" cm="1">
        <f t="array" ref="T233">INT(SUMPRODUCT(--ISNUMBER(SEARCH(econineq,C234)))&gt;0)</f>
        <v>0</v>
      </c>
      <c r="U233" s="14" cm="1">
        <f t="array" ref="U233">INT(SUMPRODUCT(--ISNUMBER(SEARCH(climate,C233)))&gt;0)</f>
        <v>0</v>
      </c>
      <c r="V233" s="14" cm="1">
        <f t="array" ref="V233">INT(SUMPRODUCT(--ISNUMBER(SEARCH(abortion,C233)))&gt;0)</f>
        <v>0</v>
      </c>
      <c r="W233" s="14" cm="1">
        <f t="array" ref="W233">INT(SUMPRODUCT(--ISNUMBER(SEARCH(trump,C233)))&gt;0)</f>
        <v>0</v>
      </c>
      <c r="X233" s="14" cm="1">
        <f t="array" ref="X233">INT(SUMPRODUCT(--ISNUMBER(SEARCH(voting,C233)))&gt;0)</f>
        <v>0</v>
      </c>
      <c r="Y233" s="35" cm="1">
        <f t="array" ref="Y233">INT(SUMPRODUCT(--ISNUMBER(SEARCH(republicantrigger,C233)))&gt;0)</f>
        <v>0</v>
      </c>
      <c r="Z233" s="35" cm="1">
        <f t="array" ref="Z233">INT(SUMPRODUCT(--ISNUMBER(SEARCH(bipartisan,C233)))&gt;0)</f>
        <v>0</v>
      </c>
      <c r="AA233" s="35">
        <f t="shared" si="3"/>
        <v>1</v>
      </c>
      <c r="AB233" s="14"/>
      <c r="AC233" s="30" t="s">
        <v>223</v>
      </c>
      <c r="AD233" s="37" t="s">
        <v>223</v>
      </c>
    </row>
    <row r="234" spans="1:30" x14ac:dyDescent="0.25">
      <c r="A234" s="36">
        <v>3774</v>
      </c>
      <c r="B234" s="14" t="s">
        <v>7301</v>
      </c>
      <c r="C234" s="14" t="s">
        <v>7302</v>
      </c>
      <c r="D234" s="17">
        <v>44115</v>
      </c>
      <c r="E234" s="14" t="s">
        <v>70</v>
      </c>
      <c r="F234" s="14">
        <v>29</v>
      </c>
      <c r="G234" s="14">
        <v>12</v>
      </c>
      <c r="H234" s="14">
        <v>17</v>
      </c>
      <c r="I234" s="14">
        <v>9</v>
      </c>
      <c r="J234" s="14" t="s">
        <v>31</v>
      </c>
      <c r="K234" s="14" cm="1">
        <f t="array" ref="K234">INT(SUMPRODUCT(--ISNUMBER(SEARCH(economy,C234)))&gt;0)</f>
        <v>0</v>
      </c>
      <c r="L234" s="14" cm="1">
        <f t="array" ref="L234">INT(SUMPRODUCT(--ISNUMBER(SEARCH(healthcare,C234)))&gt;0)</f>
        <v>0</v>
      </c>
      <c r="M234" s="14" cm="1">
        <f t="array" ref="M234">INT(SUMPRODUCT(--ISNUMBER(SEARCH(supreme,C234)))&gt;0)</f>
        <v>1</v>
      </c>
      <c r="N234" s="14" cm="1">
        <f t="array" ref="N234">INT(SUMPRODUCT(--ISNUMBER(SEARCH(covid,C234)))&gt;0)</f>
        <v>0</v>
      </c>
      <c r="O234" s="14" cm="1">
        <f t="array" ref="O234">INT(SUMPRODUCT(--ISNUMBER(SEARCH(violent,C234)))&gt;0)</f>
        <v>0</v>
      </c>
      <c r="P234" s="14" cm="1">
        <f t="array" ref="P234">INT(SUMPRODUCT(--ISNUMBER(SEARCH(foreign,C234)))&gt;0)</f>
        <v>0</v>
      </c>
      <c r="Q234" s="14" cm="1">
        <f t="array" ref="Q234">INT(SUMPRODUCT(--ISNUMBER(SEARCH(gun,C234)))&gt;0)</f>
        <v>0</v>
      </c>
      <c r="R234" s="14" cm="1">
        <f t="array" ref="R234">INT(SUMPRODUCT(--ISNUMBER(SEARCH(race,C234)))&gt;0)</f>
        <v>0</v>
      </c>
      <c r="S234" s="14" cm="1">
        <f t="array" ref="S234">INT(SUMPRODUCT(--ISNUMBER(SEARCH(immigration,C234)))&gt;0)</f>
        <v>0</v>
      </c>
      <c r="T234" s="14" cm="1">
        <f t="array" ref="T234">INT(SUMPRODUCT(--ISNUMBER(SEARCH(econineq,C235)))&gt;0)</f>
        <v>0</v>
      </c>
      <c r="U234" s="14" cm="1">
        <f t="array" ref="U234">INT(SUMPRODUCT(--ISNUMBER(SEARCH(climate,C234)))&gt;0)</f>
        <v>0</v>
      </c>
      <c r="V234" s="14" cm="1">
        <f t="array" ref="V234">INT(SUMPRODUCT(--ISNUMBER(SEARCH(abortion,C234)))&gt;0)</f>
        <v>0</v>
      </c>
      <c r="W234" s="14" cm="1">
        <f t="array" ref="W234">INT(SUMPRODUCT(--ISNUMBER(SEARCH(trump,C234)))&gt;0)</f>
        <v>0</v>
      </c>
      <c r="X234" s="14" cm="1">
        <f t="array" ref="X234">INT(SUMPRODUCT(--ISNUMBER(SEARCH(voting,C234)))&gt;0)</f>
        <v>0</v>
      </c>
      <c r="Y234" s="35" cm="1">
        <f t="array" ref="Y234">INT(SUMPRODUCT(--ISNUMBER(SEARCH(republicantrigger,C234)))&gt;0)</f>
        <v>0</v>
      </c>
      <c r="Z234" s="35" cm="1">
        <f t="array" ref="Z234">INT(SUMPRODUCT(--ISNUMBER(SEARCH(bipartisan,C234)))&gt;0)</f>
        <v>0</v>
      </c>
      <c r="AA234" s="35">
        <f t="shared" si="3"/>
        <v>0</v>
      </c>
      <c r="AB234" s="14"/>
      <c r="AC234" s="30" t="s">
        <v>223</v>
      </c>
      <c r="AD234" s="37" t="s">
        <v>223</v>
      </c>
    </row>
    <row r="235" spans="1:30" x14ac:dyDescent="0.25">
      <c r="A235" s="36">
        <v>3775</v>
      </c>
      <c r="B235" s="14" t="s">
        <v>7303</v>
      </c>
      <c r="C235" s="14" t="s">
        <v>7304</v>
      </c>
      <c r="D235" s="17">
        <v>44115</v>
      </c>
      <c r="E235" s="14" t="s">
        <v>70</v>
      </c>
      <c r="F235" s="14">
        <v>20</v>
      </c>
      <c r="G235" s="14">
        <v>3</v>
      </c>
      <c r="H235" s="14">
        <v>17</v>
      </c>
      <c r="I235" s="14">
        <v>9</v>
      </c>
      <c r="J235" s="14" t="s">
        <v>31</v>
      </c>
      <c r="K235" s="14" cm="1">
        <f t="array" ref="K235">INT(SUMPRODUCT(--ISNUMBER(SEARCH(economy,C235)))&gt;0)</f>
        <v>0</v>
      </c>
      <c r="L235" s="14" cm="1">
        <f t="array" ref="L235">INT(SUMPRODUCT(--ISNUMBER(SEARCH(healthcare,C235)))&gt;0)</f>
        <v>0</v>
      </c>
      <c r="M235" s="14" cm="1">
        <f t="array" ref="M235">INT(SUMPRODUCT(--ISNUMBER(SEARCH(supreme,C235)))&gt;0)</f>
        <v>1</v>
      </c>
      <c r="N235" s="14" cm="1">
        <f t="array" ref="N235">INT(SUMPRODUCT(--ISNUMBER(SEARCH(covid,C235)))&gt;0)</f>
        <v>0</v>
      </c>
      <c r="O235" s="14" cm="1">
        <f t="array" ref="O235">INT(SUMPRODUCT(--ISNUMBER(SEARCH(violent,C235)))&gt;0)</f>
        <v>0</v>
      </c>
      <c r="P235" s="14" cm="1">
        <f t="array" ref="P235">INT(SUMPRODUCT(--ISNUMBER(SEARCH(foreign,C235)))&gt;0)</f>
        <v>0</v>
      </c>
      <c r="Q235" s="14" cm="1">
        <f t="array" ref="Q235">INT(SUMPRODUCT(--ISNUMBER(SEARCH(gun,C235)))&gt;0)</f>
        <v>0</v>
      </c>
      <c r="R235" s="14" cm="1">
        <f t="array" ref="R235">INT(SUMPRODUCT(--ISNUMBER(SEARCH(race,C235)))&gt;0)</f>
        <v>0</v>
      </c>
      <c r="S235" s="14" cm="1">
        <f t="array" ref="S235">INT(SUMPRODUCT(--ISNUMBER(SEARCH(immigration,C235)))&gt;0)</f>
        <v>0</v>
      </c>
      <c r="T235" s="14" cm="1">
        <f t="array" ref="T235">INT(SUMPRODUCT(--ISNUMBER(SEARCH(econineq,C236)))&gt;0)</f>
        <v>0</v>
      </c>
      <c r="U235" s="14" cm="1">
        <f t="array" ref="U235">INT(SUMPRODUCT(--ISNUMBER(SEARCH(climate,C235)))&gt;0)</f>
        <v>0</v>
      </c>
      <c r="V235" s="14" cm="1">
        <f t="array" ref="V235">INT(SUMPRODUCT(--ISNUMBER(SEARCH(abortion,C235)))&gt;0)</f>
        <v>0</v>
      </c>
      <c r="W235" s="14" cm="1">
        <f t="array" ref="W235">INT(SUMPRODUCT(--ISNUMBER(SEARCH(trump,C235)))&gt;0)</f>
        <v>0</v>
      </c>
      <c r="X235" s="14" cm="1">
        <f t="array" ref="X235">INT(SUMPRODUCT(--ISNUMBER(SEARCH(voting,C235)))&gt;0)</f>
        <v>0</v>
      </c>
      <c r="Y235" s="35" cm="1">
        <f t="array" ref="Y235">INT(SUMPRODUCT(--ISNUMBER(SEARCH(republicantrigger,C235)))&gt;0)</f>
        <v>0</v>
      </c>
      <c r="Z235" s="35" cm="1">
        <f t="array" ref="Z235">INT(SUMPRODUCT(--ISNUMBER(SEARCH(bipartisan,C235)))&gt;0)</f>
        <v>0</v>
      </c>
      <c r="AA235" s="35">
        <f t="shared" si="3"/>
        <v>0</v>
      </c>
      <c r="AB235" s="14"/>
      <c r="AC235" s="30" t="s">
        <v>223</v>
      </c>
      <c r="AD235" s="37" t="s">
        <v>223</v>
      </c>
    </row>
    <row r="236" spans="1:30" x14ac:dyDescent="0.25">
      <c r="A236" s="36">
        <v>3776</v>
      </c>
      <c r="B236" s="14" t="s">
        <v>7305</v>
      </c>
      <c r="C236" s="14" t="s">
        <v>7306</v>
      </c>
      <c r="D236" s="17">
        <v>44115</v>
      </c>
      <c r="E236" s="14" t="s">
        <v>30</v>
      </c>
      <c r="F236" s="14">
        <v>45</v>
      </c>
      <c r="G236" s="14">
        <v>13</v>
      </c>
      <c r="H236" s="14">
        <v>17</v>
      </c>
      <c r="I236" s="14">
        <v>9</v>
      </c>
      <c r="J236" s="14" t="s">
        <v>31</v>
      </c>
      <c r="K236" s="14" cm="1">
        <f t="array" ref="K236">INT(SUMPRODUCT(--ISNUMBER(SEARCH(economy,C236)))&gt;0)</f>
        <v>0</v>
      </c>
      <c r="L236" s="14" cm="1">
        <f t="array" ref="L236">INT(SUMPRODUCT(--ISNUMBER(SEARCH(healthcare,C236)))&gt;0)</f>
        <v>0</v>
      </c>
      <c r="M236" s="14" cm="1">
        <f t="array" ref="M236">INT(SUMPRODUCT(--ISNUMBER(SEARCH(supreme,C236)))&gt;0)</f>
        <v>1</v>
      </c>
      <c r="N236" s="14" cm="1">
        <f t="array" ref="N236">INT(SUMPRODUCT(--ISNUMBER(SEARCH(covid,C236)))&gt;0)</f>
        <v>0</v>
      </c>
      <c r="O236" s="14" cm="1">
        <f t="array" ref="O236">INT(SUMPRODUCT(--ISNUMBER(SEARCH(violent,C236)))&gt;0)</f>
        <v>0</v>
      </c>
      <c r="P236" s="14" cm="1">
        <f t="array" ref="P236">INT(SUMPRODUCT(--ISNUMBER(SEARCH(foreign,C236)))&gt;0)</f>
        <v>0</v>
      </c>
      <c r="Q236" s="14" cm="1">
        <f t="array" ref="Q236">INT(SUMPRODUCT(--ISNUMBER(SEARCH(gun,C236)))&gt;0)</f>
        <v>0</v>
      </c>
      <c r="R236" s="14" cm="1">
        <f t="array" ref="R236">INT(SUMPRODUCT(--ISNUMBER(SEARCH(race,C236)))&gt;0)</f>
        <v>0</v>
      </c>
      <c r="S236" s="14" cm="1">
        <f t="array" ref="S236">INT(SUMPRODUCT(--ISNUMBER(SEARCH(immigration,C236)))&gt;0)</f>
        <v>0</v>
      </c>
      <c r="T236" s="14" cm="1">
        <f t="array" ref="T236">INT(SUMPRODUCT(--ISNUMBER(SEARCH(econineq,C237)))&gt;0)</f>
        <v>0</v>
      </c>
      <c r="U236" s="14" cm="1">
        <f t="array" ref="U236">INT(SUMPRODUCT(--ISNUMBER(SEARCH(climate,C236)))&gt;0)</f>
        <v>0</v>
      </c>
      <c r="V236" s="14" cm="1">
        <f t="array" ref="V236">INT(SUMPRODUCT(--ISNUMBER(SEARCH(abortion,C236)))&gt;0)</f>
        <v>0</v>
      </c>
      <c r="W236" s="14" cm="1">
        <f t="array" ref="W236">INT(SUMPRODUCT(--ISNUMBER(SEARCH(trump,C236)))&gt;0)</f>
        <v>0</v>
      </c>
      <c r="X236" s="14" cm="1">
        <f t="array" ref="X236">INT(SUMPRODUCT(--ISNUMBER(SEARCH(voting,C236)))&gt;0)</f>
        <v>0</v>
      </c>
      <c r="Y236" s="35" cm="1">
        <f t="array" ref="Y236">INT(SUMPRODUCT(--ISNUMBER(SEARCH(republicantrigger,C236)))&gt;0)</f>
        <v>0</v>
      </c>
      <c r="Z236" s="35" cm="1">
        <f t="array" ref="Z236">INT(SUMPRODUCT(--ISNUMBER(SEARCH(bipartisan,C236)))&gt;0)</f>
        <v>0</v>
      </c>
      <c r="AA236" s="35">
        <f t="shared" si="3"/>
        <v>0</v>
      </c>
      <c r="AB236" s="14"/>
      <c r="AC236" s="30" t="s">
        <v>223</v>
      </c>
      <c r="AD236" s="37" t="s">
        <v>223</v>
      </c>
    </row>
    <row r="237" spans="1:30" x14ac:dyDescent="0.25">
      <c r="A237" s="36">
        <v>3777</v>
      </c>
      <c r="B237" s="14" t="s">
        <v>7307</v>
      </c>
      <c r="C237" s="14" t="s">
        <v>7308</v>
      </c>
      <c r="D237" s="17">
        <v>44115</v>
      </c>
      <c r="E237" s="14" t="s">
        <v>30</v>
      </c>
      <c r="F237" s="14">
        <v>197</v>
      </c>
      <c r="G237" s="14">
        <v>70</v>
      </c>
      <c r="H237" s="14">
        <v>17</v>
      </c>
      <c r="I237" s="14">
        <v>9</v>
      </c>
      <c r="J237" s="14" t="s">
        <v>31</v>
      </c>
      <c r="K237" s="14" cm="1">
        <f t="array" ref="K237">INT(SUMPRODUCT(--ISNUMBER(SEARCH(economy,C237)))&gt;0)</f>
        <v>0</v>
      </c>
      <c r="L237" s="14" cm="1">
        <f t="array" ref="L237">INT(SUMPRODUCT(--ISNUMBER(SEARCH(healthcare,C237)))&gt;0)</f>
        <v>0</v>
      </c>
      <c r="M237" s="14" cm="1">
        <f t="array" ref="M237">INT(SUMPRODUCT(--ISNUMBER(SEARCH(supreme,C237)))&gt;0)</f>
        <v>0</v>
      </c>
      <c r="N237" s="14" cm="1">
        <f t="array" ref="N237">INT(SUMPRODUCT(--ISNUMBER(SEARCH(covid,C237)))&gt;0)</f>
        <v>0</v>
      </c>
      <c r="O237" s="14" cm="1">
        <f t="array" ref="O237">INT(SUMPRODUCT(--ISNUMBER(SEARCH(violent,C237)))&gt;0)</f>
        <v>0</v>
      </c>
      <c r="P237" s="14" cm="1">
        <f t="array" ref="P237">INT(SUMPRODUCT(--ISNUMBER(SEARCH(foreign,C237)))&gt;0)</f>
        <v>0</v>
      </c>
      <c r="Q237" s="14" cm="1">
        <f t="array" ref="Q237">INT(SUMPRODUCT(--ISNUMBER(SEARCH(gun,C237)))&gt;0)</f>
        <v>0</v>
      </c>
      <c r="R237" s="14" cm="1">
        <f t="array" ref="R237">INT(SUMPRODUCT(--ISNUMBER(SEARCH(race,C237)))&gt;0)</f>
        <v>0</v>
      </c>
      <c r="S237" s="14" cm="1">
        <f t="array" ref="S237">INT(SUMPRODUCT(--ISNUMBER(SEARCH(immigration,C237)))&gt;0)</f>
        <v>0</v>
      </c>
      <c r="T237" s="14" cm="1">
        <f t="array" ref="T237">INT(SUMPRODUCT(--ISNUMBER(SEARCH(econineq,C238)))&gt;0)</f>
        <v>0</v>
      </c>
      <c r="U237" s="14" cm="1">
        <f t="array" ref="U237">INT(SUMPRODUCT(--ISNUMBER(SEARCH(climate,C237)))&gt;0)</f>
        <v>0</v>
      </c>
      <c r="V237" s="14" cm="1">
        <f t="array" ref="V237">INT(SUMPRODUCT(--ISNUMBER(SEARCH(abortion,C237)))&gt;0)</f>
        <v>0</v>
      </c>
      <c r="W237" s="14" cm="1">
        <f t="array" ref="W237">INT(SUMPRODUCT(--ISNUMBER(SEARCH(trump,C237)))&gt;0)</f>
        <v>0</v>
      </c>
      <c r="X237" s="14" cm="1">
        <f t="array" ref="X237">INT(SUMPRODUCT(--ISNUMBER(SEARCH(voting,C237)))&gt;0)</f>
        <v>0</v>
      </c>
      <c r="Y237" s="35" cm="1">
        <f t="array" ref="Y237">INT(SUMPRODUCT(--ISNUMBER(SEARCH(republicantrigger,C237)))&gt;0)</f>
        <v>0</v>
      </c>
      <c r="Z237" s="35" cm="1">
        <f t="array" ref="Z237">INT(SUMPRODUCT(--ISNUMBER(SEARCH(bipartisan,C237)))&gt;0)</f>
        <v>0</v>
      </c>
      <c r="AA237" s="35">
        <f t="shared" si="3"/>
        <v>1</v>
      </c>
      <c r="AB237" s="14"/>
      <c r="AC237" s="30" t="s">
        <v>223</v>
      </c>
      <c r="AD237" s="37" t="s">
        <v>223</v>
      </c>
    </row>
    <row r="238" spans="1:30" x14ac:dyDescent="0.25">
      <c r="A238" s="36">
        <v>3778</v>
      </c>
      <c r="B238" s="14" t="s">
        <v>7309</v>
      </c>
      <c r="C238" s="14" t="s">
        <v>7310</v>
      </c>
      <c r="D238" s="17">
        <v>44115</v>
      </c>
      <c r="E238" s="14" t="s">
        <v>30</v>
      </c>
      <c r="F238" s="14">
        <v>1463</v>
      </c>
      <c r="G238" s="14">
        <v>342</v>
      </c>
      <c r="H238" s="14">
        <v>17</v>
      </c>
      <c r="I238" s="14">
        <v>9</v>
      </c>
      <c r="J238" s="14" t="s">
        <v>31</v>
      </c>
      <c r="K238" s="14" cm="1">
        <f t="array" ref="K238">INT(SUMPRODUCT(--ISNUMBER(SEARCH(economy,C238)))&gt;0)</f>
        <v>0</v>
      </c>
      <c r="L238" s="14" cm="1">
        <f t="array" ref="L238">INT(SUMPRODUCT(--ISNUMBER(SEARCH(healthcare,C238)))&gt;0)</f>
        <v>0</v>
      </c>
      <c r="M238" s="14" cm="1">
        <f t="array" ref="M238">INT(SUMPRODUCT(--ISNUMBER(SEARCH(supreme,C238)))&gt;0)</f>
        <v>0</v>
      </c>
      <c r="N238" s="14" cm="1">
        <f t="array" ref="N238">INT(SUMPRODUCT(--ISNUMBER(SEARCH(covid,C238)))&gt;0)</f>
        <v>0</v>
      </c>
      <c r="O238" s="14" cm="1">
        <f t="array" ref="O238">INT(SUMPRODUCT(--ISNUMBER(SEARCH(violent,C238)))&gt;0)</f>
        <v>0</v>
      </c>
      <c r="P238" s="14" cm="1">
        <f t="array" ref="P238">INT(SUMPRODUCT(--ISNUMBER(SEARCH(foreign,C238)))&gt;0)</f>
        <v>0</v>
      </c>
      <c r="Q238" s="14" cm="1">
        <f t="array" ref="Q238">INT(SUMPRODUCT(--ISNUMBER(SEARCH(gun,C238)))&gt;0)</f>
        <v>0</v>
      </c>
      <c r="R238" s="14" cm="1">
        <f t="array" ref="R238">INT(SUMPRODUCT(--ISNUMBER(SEARCH(race,C238)))&gt;0)</f>
        <v>0</v>
      </c>
      <c r="S238" s="14" cm="1">
        <f t="array" ref="S238">INT(SUMPRODUCT(--ISNUMBER(SEARCH(immigration,C238)))&gt;0)</f>
        <v>0</v>
      </c>
      <c r="T238" s="14" cm="1">
        <f t="array" ref="T238">INT(SUMPRODUCT(--ISNUMBER(SEARCH(econineq,C239)))&gt;0)</f>
        <v>0</v>
      </c>
      <c r="U238" s="14" cm="1">
        <f t="array" ref="U238">INT(SUMPRODUCT(--ISNUMBER(SEARCH(climate,C238)))&gt;0)</f>
        <v>0</v>
      </c>
      <c r="V238" s="14" cm="1">
        <f t="array" ref="V238">INT(SUMPRODUCT(--ISNUMBER(SEARCH(abortion,C238)))&gt;0)</f>
        <v>0</v>
      </c>
      <c r="W238" s="14" cm="1">
        <f t="array" ref="W238">INT(SUMPRODUCT(--ISNUMBER(SEARCH(trump,C238)))&gt;0)</f>
        <v>0</v>
      </c>
      <c r="X238" s="14" cm="1">
        <f t="array" ref="X238">INT(SUMPRODUCT(--ISNUMBER(SEARCH(voting,C238)))&gt;0)</f>
        <v>0</v>
      </c>
      <c r="Y238" s="35" cm="1">
        <f t="array" ref="Y238">INT(SUMPRODUCT(--ISNUMBER(SEARCH(republicantrigger,C238)))&gt;0)</f>
        <v>0</v>
      </c>
      <c r="Z238" s="35" cm="1">
        <f t="array" ref="Z238">INT(SUMPRODUCT(--ISNUMBER(SEARCH(bipartisan,C238)))&gt;0)</f>
        <v>0</v>
      </c>
      <c r="AA238" s="35">
        <f t="shared" si="3"/>
        <v>1</v>
      </c>
      <c r="AB238" s="14"/>
      <c r="AC238" s="30" t="s">
        <v>223</v>
      </c>
      <c r="AD238" s="37" t="s">
        <v>223</v>
      </c>
    </row>
    <row r="239" spans="1:30" x14ac:dyDescent="0.25">
      <c r="A239" s="36">
        <v>3779</v>
      </c>
      <c r="B239" s="14" t="s">
        <v>7311</v>
      </c>
      <c r="C239" s="14" t="s">
        <v>7312</v>
      </c>
      <c r="D239" s="17">
        <v>44115</v>
      </c>
      <c r="E239" s="14" t="s">
        <v>30</v>
      </c>
      <c r="F239" s="14">
        <v>257</v>
      </c>
      <c r="G239" s="14">
        <v>69</v>
      </c>
      <c r="H239" s="14">
        <v>17</v>
      </c>
      <c r="I239" s="14">
        <v>9</v>
      </c>
      <c r="J239" s="14" t="s">
        <v>31</v>
      </c>
      <c r="K239" s="14" cm="1">
        <f t="array" ref="K239">INT(SUMPRODUCT(--ISNUMBER(SEARCH(economy,C239)))&gt;0)</f>
        <v>0</v>
      </c>
      <c r="L239" s="14" cm="1">
        <f t="array" ref="L239">INT(SUMPRODUCT(--ISNUMBER(SEARCH(healthcare,C239)))&gt;0)</f>
        <v>0</v>
      </c>
      <c r="M239" s="14" cm="1">
        <f t="array" ref="M239">INT(SUMPRODUCT(--ISNUMBER(SEARCH(supreme,C239)))&gt;0)</f>
        <v>0</v>
      </c>
      <c r="N239" s="14" cm="1">
        <f t="array" ref="N239">INT(SUMPRODUCT(--ISNUMBER(SEARCH(covid,C239)))&gt;0)</f>
        <v>0</v>
      </c>
      <c r="O239" s="14" cm="1">
        <f t="array" ref="O239">INT(SUMPRODUCT(--ISNUMBER(SEARCH(violent,C239)))&gt;0)</f>
        <v>0</v>
      </c>
      <c r="P239" s="14" cm="1">
        <f t="array" ref="P239">INT(SUMPRODUCT(--ISNUMBER(SEARCH(foreign,C239)))&gt;0)</f>
        <v>0</v>
      </c>
      <c r="Q239" s="14" cm="1">
        <f t="array" ref="Q239">INT(SUMPRODUCT(--ISNUMBER(SEARCH(gun,C239)))&gt;0)</f>
        <v>0</v>
      </c>
      <c r="R239" s="14" cm="1">
        <f t="array" ref="R239">INT(SUMPRODUCT(--ISNUMBER(SEARCH(race,C239)))&gt;0)</f>
        <v>0</v>
      </c>
      <c r="S239" s="14" cm="1">
        <f t="array" ref="S239">INT(SUMPRODUCT(--ISNUMBER(SEARCH(immigration,C239)))&gt;0)</f>
        <v>0</v>
      </c>
      <c r="T239" s="14" cm="1">
        <f t="array" ref="T239">INT(SUMPRODUCT(--ISNUMBER(SEARCH(econineq,C240)))&gt;0)</f>
        <v>0</v>
      </c>
      <c r="U239" s="14" cm="1">
        <f t="array" ref="U239">INT(SUMPRODUCT(--ISNUMBER(SEARCH(climate,C239)))&gt;0)</f>
        <v>0</v>
      </c>
      <c r="V239" s="14" cm="1">
        <f t="array" ref="V239">INT(SUMPRODUCT(--ISNUMBER(SEARCH(abortion,C239)))&gt;0)</f>
        <v>0</v>
      </c>
      <c r="W239" s="14" cm="1">
        <f t="array" ref="W239">INT(SUMPRODUCT(--ISNUMBER(SEARCH(trump,C239)))&gt;0)</f>
        <v>0</v>
      </c>
      <c r="X239" s="14" cm="1">
        <f t="array" ref="X239">INT(SUMPRODUCT(--ISNUMBER(SEARCH(voting,C239)))&gt;0)</f>
        <v>0</v>
      </c>
      <c r="Y239" s="35" cm="1">
        <f t="array" ref="Y239">INT(SUMPRODUCT(--ISNUMBER(SEARCH(republicantrigger,C239)))&gt;0)</f>
        <v>0</v>
      </c>
      <c r="Z239" s="35" cm="1">
        <f t="array" ref="Z239">INT(SUMPRODUCT(--ISNUMBER(SEARCH(bipartisan,C239)))&gt;0)</f>
        <v>0</v>
      </c>
      <c r="AA239" s="35">
        <f t="shared" si="3"/>
        <v>1</v>
      </c>
      <c r="AB239" s="14"/>
      <c r="AC239" s="30" t="s">
        <v>223</v>
      </c>
      <c r="AD239" s="37" t="s">
        <v>223</v>
      </c>
    </row>
    <row r="240" spans="1:30" x14ac:dyDescent="0.25">
      <c r="A240" s="36">
        <v>3780</v>
      </c>
      <c r="B240" s="14" t="s">
        <v>7313</v>
      </c>
      <c r="C240" s="14" t="s">
        <v>7314</v>
      </c>
      <c r="D240" s="17">
        <v>44115</v>
      </c>
      <c r="E240" s="14" t="s">
        <v>30</v>
      </c>
      <c r="F240" s="14">
        <v>372</v>
      </c>
      <c r="G240" s="14">
        <v>95</v>
      </c>
      <c r="H240" s="14">
        <v>17</v>
      </c>
      <c r="I240" s="14">
        <v>9</v>
      </c>
      <c r="J240" s="14" t="s">
        <v>31</v>
      </c>
      <c r="K240" s="14" cm="1">
        <f t="array" ref="K240">INT(SUMPRODUCT(--ISNUMBER(SEARCH(economy,C240)))&gt;0)</f>
        <v>0</v>
      </c>
      <c r="L240" s="14" cm="1">
        <f t="array" ref="L240">INT(SUMPRODUCT(--ISNUMBER(SEARCH(healthcare,C240)))&gt;0)</f>
        <v>0</v>
      </c>
      <c r="M240" s="14" cm="1">
        <f t="array" ref="M240">INT(SUMPRODUCT(--ISNUMBER(SEARCH(supreme,C240)))&gt;0)</f>
        <v>1</v>
      </c>
      <c r="N240" s="14" cm="1">
        <f t="array" ref="N240">INT(SUMPRODUCT(--ISNUMBER(SEARCH(covid,C240)))&gt;0)</f>
        <v>0</v>
      </c>
      <c r="O240" s="14" cm="1">
        <f t="array" ref="O240">INT(SUMPRODUCT(--ISNUMBER(SEARCH(violent,C240)))&gt;0)</f>
        <v>0</v>
      </c>
      <c r="P240" s="14" cm="1">
        <f t="array" ref="P240">INT(SUMPRODUCT(--ISNUMBER(SEARCH(foreign,C240)))&gt;0)</f>
        <v>0</v>
      </c>
      <c r="Q240" s="14" cm="1">
        <f t="array" ref="Q240">INT(SUMPRODUCT(--ISNUMBER(SEARCH(gun,C240)))&gt;0)</f>
        <v>0</v>
      </c>
      <c r="R240" s="14" cm="1">
        <f t="array" ref="R240">INT(SUMPRODUCT(--ISNUMBER(SEARCH(race,C240)))&gt;0)</f>
        <v>0</v>
      </c>
      <c r="S240" s="14" cm="1">
        <f t="array" ref="S240">INT(SUMPRODUCT(--ISNUMBER(SEARCH(immigration,C240)))&gt;0)</f>
        <v>0</v>
      </c>
      <c r="T240" s="14" cm="1">
        <f t="array" ref="T240">INT(SUMPRODUCT(--ISNUMBER(SEARCH(econineq,C241)))&gt;0)</f>
        <v>0</v>
      </c>
      <c r="U240" s="14" cm="1">
        <f t="array" ref="U240">INT(SUMPRODUCT(--ISNUMBER(SEARCH(climate,C240)))&gt;0)</f>
        <v>0</v>
      </c>
      <c r="V240" s="14" cm="1">
        <f t="array" ref="V240">INT(SUMPRODUCT(--ISNUMBER(SEARCH(abortion,C240)))&gt;0)</f>
        <v>0</v>
      </c>
      <c r="W240" s="14" cm="1">
        <f t="array" ref="W240">INT(SUMPRODUCT(--ISNUMBER(SEARCH(trump,C240)))&gt;0)</f>
        <v>1</v>
      </c>
      <c r="X240" s="14" cm="1">
        <f t="array" ref="X240">INT(SUMPRODUCT(--ISNUMBER(SEARCH(voting,C240)))&gt;0)</f>
        <v>0</v>
      </c>
      <c r="Y240" s="35" cm="1">
        <f t="array" ref="Y240">INT(SUMPRODUCT(--ISNUMBER(SEARCH(republicantrigger,C240)))&gt;0)</f>
        <v>0</v>
      </c>
      <c r="Z240" s="35" cm="1">
        <f t="array" ref="Z240">INT(SUMPRODUCT(--ISNUMBER(SEARCH(bipartisan,C240)))&gt;0)</f>
        <v>0</v>
      </c>
      <c r="AA240" s="35">
        <f t="shared" si="3"/>
        <v>0</v>
      </c>
      <c r="AB240" s="14"/>
      <c r="AC240" s="30" t="s">
        <v>223</v>
      </c>
      <c r="AD240" s="37" t="s">
        <v>223</v>
      </c>
    </row>
    <row r="241" spans="1:30" x14ac:dyDescent="0.25">
      <c r="A241" s="36">
        <v>3781</v>
      </c>
      <c r="B241" s="14" t="s">
        <v>7315</v>
      </c>
      <c r="C241" s="14" t="s">
        <v>7316</v>
      </c>
      <c r="D241" s="17">
        <v>44115</v>
      </c>
      <c r="E241" s="14" t="s">
        <v>30</v>
      </c>
      <c r="F241" s="14">
        <v>121</v>
      </c>
      <c r="G241" s="14">
        <v>43</v>
      </c>
      <c r="H241" s="14">
        <v>17</v>
      </c>
      <c r="I241" s="14">
        <v>9</v>
      </c>
      <c r="J241" s="14" t="s">
        <v>31</v>
      </c>
      <c r="K241" s="14" cm="1">
        <f t="array" ref="K241">INT(SUMPRODUCT(--ISNUMBER(SEARCH(economy,C241)))&gt;0)</f>
        <v>0</v>
      </c>
      <c r="L241" s="14" cm="1">
        <f t="array" ref="L241">INT(SUMPRODUCT(--ISNUMBER(SEARCH(healthcare,C241)))&gt;0)</f>
        <v>0</v>
      </c>
      <c r="M241" s="14" cm="1">
        <f t="array" ref="M241">INT(SUMPRODUCT(--ISNUMBER(SEARCH(supreme,C241)))&gt;0)</f>
        <v>0</v>
      </c>
      <c r="N241" s="14" cm="1">
        <f t="array" ref="N241">INT(SUMPRODUCT(--ISNUMBER(SEARCH(covid,C241)))&gt;0)</f>
        <v>0</v>
      </c>
      <c r="O241" s="14" cm="1">
        <f t="array" ref="O241">INT(SUMPRODUCT(--ISNUMBER(SEARCH(violent,C241)))&gt;0)</f>
        <v>0</v>
      </c>
      <c r="P241" s="14" cm="1">
        <f t="array" ref="P241">INT(SUMPRODUCT(--ISNUMBER(SEARCH(foreign,C241)))&gt;0)</f>
        <v>0</v>
      </c>
      <c r="Q241" s="14" cm="1">
        <f t="array" ref="Q241">INT(SUMPRODUCT(--ISNUMBER(SEARCH(gun,C241)))&gt;0)</f>
        <v>0</v>
      </c>
      <c r="R241" s="14" cm="1">
        <f t="array" ref="R241">INT(SUMPRODUCT(--ISNUMBER(SEARCH(race,C241)))&gt;0)</f>
        <v>0</v>
      </c>
      <c r="S241" s="14" cm="1">
        <f t="array" ref="S241">INT(SUMPRODUCT(--ISNUMBER(SEARCH(immigration,C241)))&gt;0)</f>
        <v>0</v>
      </c>
      <c r="T241" s="14" cm="1">
        <f t="array" ref="T241">INT(SUMPRODUCT(--ISNUMBER(SEARCH(econineq,C242)))&gt;0)</f>
        <v>0</v>
      </c>
      <c r="U241" s="14" cm="1">
        <f t="array" ref="U241">INT(SUMPRODUCT(--ISNUMBER(SEARCH(climate,C241)))&gt;0)</f>
        <v>0</v>
      </c>
      <c r="V241" s="14" cm="1">
        <f t="array" ref="V241">INT(SUMPRODUCT(--ISNUMBER(SEARCH(abortion,C241)))&gt;0)</f>
        <v>0</v>
      </c>
      <c r="W241" s="14" cm="1">
        <f t="array" ref="W241">INT(SUMPRODUCT(--ISNUMBER(SEARCH(trump,C241)))&gt;0)</f>
        <v>0</v>
      </c>
      <c r="X241" s="14" cm="1">
        <f t="array" ref="X241">INT(SUMPRODUCT(--ISNUMBER(SEARCH(voting,C241)))&gt;0)</f>
        <v>0</v>
      </c>
      <c r="Y241" s="35" cm="1">
        <f t="array" ref="Y241">INT(SUMPRODUCT(--ISNUMBER(SEARCH(republicantrigger,C241)))&gt;0)</f>
        <v>1</v>
      </c>
      <c r="Z241" s="35" cm="1">
        <f t="array" ref="Z241">INT(SUMPRODUCT(--ISNUMBER(SEARCH(bipartisan,C241)))&gt;0)</f>
        <v>0</v>
      </c>
      <c r="AA241" s="35">
        <f t="shared" si="3"/>
        <v>0</v>
      </c>
      <c r="AB241" s="14"/>
      <c r="AC241" s="30" t="s">
        <v>223</v>
      </c>
      <c r="AD241" s="37" t="s">
        <v>223</v>
      </c>
    </row>
    <row r="242" spans="1:30" x14ac:dyDescent="0.25">
      <c r="A242" s="36">
        <v>3782</v>
      </c>
      <c r="B242" s="14" t="s">
        <v>7317</v>
      </c>
      <c r="C242" s="14" t="s">
        <v>7318</v>
      </c>
      <c r="D242" s="17">
        <v>44115</v>
      </c>
      <c r="E242" s="14" t="s">
        <v>30</v>
      </c>
      <c r="F242" s="14">
        <v>255</v>
      </c>
      <c r="G242" s="14">
        <v>98</v>
      </c>
      <c r="H242" s="14">
        <v>17</v>
      </c>
      <c r="I242" s="14">
        <v>9</v>
      </c>
      <c r="J242" s="14" t="s">
        <v>31</v>
      </c>
      <c r="K242" s="14" cm="1">
        <f t="array" ref="K242">INT(SUMPRODUCT(--ISNUMBER(SEARCH(economy,C242)))&gt;0)</f>
        <v>0</v>
      </c>
      <c r="L242" s="14" cm="1">
        <f t="array" ref="L242">INT(SUMPRODUCT(--ISNUMBER(SEARCH(healthcare,C242)))&gt;0)</f>
        <v>0</v>
      </c>
      <c r="M242" s="14" cm="1">
        <f t="array" ref="M242">INT(SUMPRODUCT(--ISNUMBER(SEARCH(supreme,C242)))&gt;0)</f>
        <v>0</v>
      </c>
      <c r="N242" s="14" cm="1">
        <f t="array" ref="N242">INT(SUMPRODUCT(--ISNUMBER(SEARCH(covid,C242)))&gt;0)</f>
        <v>0</v>
      </c>
      <c r="O242" s="14" cm="1">
        <f t="array" ref="O242">INT(SUMPRODUCT(--ISNUMBER(SEARCH(violent,C242)))&gt;0)</f>
        <v>0</v>
      </c>
      <c r="P242" s="14" cm="1">
        <f t="array" ref="P242">INT(SUMPRODUCT(--ISNUMBER(SEARCH(foreign,C242)))&gt;0)</f>
        <v>0</v>
      </c>
      <c r="Q242" s="14" cm="1">
        <f t="array" ref="Q242">INT(SUMPRODUCT(--ISNUMBER(SEARCH(gun,C242)))&gt;0)</f>
        <v>0</v>
      </c>
      <c r="R242" s="14" cm="1">
        <f t="array" ref="R242">INT(SUMPRODUCT(--ISNUMBER(SEARCH(race,C242)))&gt;0)</f>
        <v>0</v>
      </c>
      <c r="S242" s="14" cm="1">
        <f t="array" ref="S242">INT(SUMPRODUCT(--ISNUMBER(SEARCH(immigration,C242)))&gt;0)</f>
        <v>0</v>
      </c>
      <c r="T242" s="14" cm="1">
        <f t="array" ref="T242">INT(SUMPRODUCT(--ISNUMBER(SEARCH(econineq,C243)))&gt;0)</f>
        <v>0</v>
      </c>
      <c r="U242" s="14" cm="1">
        <f t="array" ref="U242">INT(SUMPRODUCT(--ISNUMBER(SEARCH(climate,C242)))&gt;0)</f>
        <v>0</v>
      </c>
      <c r="V242" s="14" cm="1">
        <f t="array" ref="V242">INT(SUMPRODUCT(--ISNUMBER(SEARCH(abortion,C242)))&gt;0)</f>
        <v>0</v>
      </c>
      <c r="W242" s="14" cm="1">
        <f t="array" ref="W242">INT(SUMPRODUCT(--ISNUMBER(SEARCH(trump,C242)))&gt;0)</f>
        <v>0</v>
      </c>
      <c r="X242" s="14" cm="1">
        <f t="array" ref="X242">INT(SUMPRODUCT(--ISNUMBER(SEARCH(voting,C242)))&gt;0)</f>
        <v>0</v>
      </c>
      <c r="Y242" s="35" cm="1">
        <f t="array" ref="Y242">INT(SUMPRODUCT(--ISNUMBER(SEARCH(republicantrigger,C242)))&gt;0)</f>
        <v>0</v>
      </c>
      <c r="Z242" s="35" cm="1">
        <f t="array" ref="Z242">INT(SUMPRODUCT(--ISNUMBER(SEARCH(bipartisan,C242)))&gt;0)</f>
        <v>0</v>
      </c>
      <c r="AA242" s="35">
        <f t="shared" si="3"/>
        <v>1</v>
      </c>
      <c r="AB242" s="14"/>
      <c r="AC242" s="30" t="s">
        <v>223</v>
      </c>
      <c r="AD242" s="37" t="s">
        <v>223</v>
      </c>
    </row>
    <row r="243" spans="1:30" x14ac:dyDescent="0.25">
      <c r="A243" s="36">
        <v>3783</v>
      </c>
      <c r="B243" s="14" t="s">
        <v>7319</v>
      </c>
      <c r="C243" s="14" t="s">
        <v>7320</v>
      </c>
      <c r="D243" s="17">
        <v>44115</v>
      </c>
      <c r="E243" s="14" t="s">
        <v>30</v>
      </c>
      <c r="F243" s="14">
        <v>51</v>
      </c>
      <c r="G243" s="14">
        <v>28</v>
      </c>
      <c r="H243" s="14">
        <v>17</v>
      </c>
      <c r="I243" s="14">
        <v>9</v>
      </c>
      <c r="J243" s="14" t="s">
        <v>31</v>
      </c>
      <c r="K243" s="14" cm="1">
        <f t="array" ref="K243">INT(SUMPRODUCT(--ISNUMBER(SEARCH(economy,C243)))&gt;0)</f>
        <v>0</v>
      </c>
      <c r="L243" s="14" cm="1">
        <f t="array" ref="L243">INT(SUMPRODUCT(--ISNUMBER(SEARCH(healthcare,C243)))&gt;0)</f>
        <v>0</v>
      </c>
      <c r="M243" s="14" cm="1">
        <f t="array" ref="M243">INT(SUMPRODUCT(--ISNUMBER(SEARCH(supreme,C243)))&gt;0)</f>
        <v>0</v>
      </c>
      <c r="N243" s="14" cm="1">
        <f t="array" ref="N243">INT(SUMPRODUCT(--ISNUMBER(SEARCH(covid,C243)))&gt;0)</f>
        <v>0</v>
      </c>
      <c r="O243" s="14" cm="1">
        <f t="array" ref="O243">INT(SUMPRODUCT(--ISNUMBER(SEARCH(violent,C243)))&gt;0)</f>
        <v>0</v>
      </c>
      <c r="P243" s="14" cm="1">
        <f t="array" ref="P243">INT(SUMPRODUCT(--ISNUMBER(SEARCH(foreign,C243)))&gt;0)</f>
        <v>0</v>
      </c>
      <c r="Q243" s="14" cm="1">
        <f t="array" ref="Q243">INT(SUMPRODUCT(--ISNUMBER(SEARCH(gun,C243)))&gt;0)</f>
        <v>0</v>
      </c>
      <c r="R243" s="14" cm="1">
        <f t="array" ref="R243">INT(SUMPRODUCT(--ISNUMBER(SEARCH(race,C243)))&gt;0)</f>
        <v>0</v>
      </c>
      <c r="S243" s="14" cm="1">
        <f t="array" ref="S243">INT(SUMPRODUCT(--ISNUMBER(SEARCH(immigration,C243)))&gt;0)</f>
        <v>0</v>
      </c>
      <c r="T243" s="14" cm="1">
        <f t="array" ref="T243">INT(SUMPRODUCT(--ISNUMBER(SEARCH(econineq,C244)))&gt;0)</f>
        <v>0</v>
      </c>
      <c r="U243" s="14" cm="1">
        <f t="array" ref="U243">INT(SUMPRODUCT(--ISNUMBER(SEARCH(climate,C243)))&gt;0)</f>
        <v>0</v>
      </c>
      <c r="V243" s="14" cm="1">
        <f t="array" ref="V243">INT(SUMPRODUCT(--ISNUMBER(SEARCH(abortion,C243)))&gt;0)</f>
        <v>0</v>
      </c>
      <c r="W243" s="14" cm="1">
        <f t="array" ref="W243">INT(SUMPRODUCT(--ISNUMBER(SEARCH(trump,C243)))&gt;0)</f>
        <v>0</v>
      </c>
      <c r="X243" s="14" cm="1">
        <f t="array" ref="X243">INT(SUMPRODUCT(--ISNUMBER(SEARCH(voting,C243)))&gt;0)</f>
        <v>0</v>
      </c>
      <c r="Y243" s="35" cm="1">
        <f t="array" ref="Y243">INT(SUMPRODUCT(--ISNUMBER(SEARCH(republicantrigger,C243)))&gt;0)</f>
        <v>1</v>
      </c>
      <c r="Z243" s="35" cm="1">
        <f t="array" ref="Z243">INT(SUMPRODUCT(--ISNUMBER(SEARCH(bipartisan,C243)))&gt;0)</f>
        <v>0</v>
      </c>
      <c r="AA243" s="35">
        <f t="shared" si="3"/>
        <v>0</v>
      </c>
      <c r="AB243" s="14"/>
      <c r="AC243" s="30" t="s">
        <v>223</v>
      </c>
      <c r="AD243" s="37" t="s">
        <v>223</v>
      </c>
    </row>
    <row r="244" spans="1:30" x14ac:dyDescent="0.25">
      <c r="A244" s="36">
        <v>3784</v>
      </c>
      <c r="B244" s="14" t="s">
        <v>7321</v>
      </c>
      <c r="C244" s="14" t="s">
        <v>7322</v>
      </c>
      <c r="D244" s="17">
        <v>44115</v>
      </c>
      <c r="E244" s="14" t="s">
        <v>30</v>
      </c>
      <c r="F244" s="14">
        <v>55</v>
      </c>
      <c r="G244" s="14">
        <v>25</v>
      </c>
      <c r="H244" s="14">
        <v>17</v>
      </c>
      <c r="I244" s="14">
        <v>9</v>
      </c>
      <c r="J244" s="14" t="s">
        <v>31</v>
      </c>
      <c r="K244" s="14" cm="1">
        <f t="array" ref="K244">INT(SUMPRODUCT(--ISNUMBER(SEARCH(economy,C244)))&gt;0)</f>
        <v>0</v>
      </c>
      <c r="L244" s="14" cm="1">
        <f t="array" ref="L244">INT(SUMPRODUCT(--ISNUMBER(SEARCH(healthcare,C244)))&gt;0)</f>
        <v>0</v>
      </c>
      <c r="M244" s="14" cm="1">
        <f t="array" ref="M244">INT(SUMPRODUCT(--ISNUMBER(SEARCH(supreme,C244)))&gt;0)</f>
        <v>0</v>
      </c>
      <c r="N244" s="14" cm="1">
        <f t="array" ref="N244">INT(SUMPRODUCT(--ISNUMBER(SEARCH(covid,C244)))&gt;0)</f>
        <v>0</v>
      </c>
      <c r="O244" s="14" cm="1">
        <f t="array" ref="O244">INT(SUMPRODUCT(--ISNUMBER(SEARCH(violent,C244)))&gt;0)</f>
        <v>0</v>
      </c>
      <c r="P244" s="14" cm="1">
        <f t="array" ref="P244">INT(SUMPRODUCT(--ISNUMBER(SEARCH(foreign,C244)))&gt;0)</f>
        <v>0</v>
      </c>
      <c r="Q244" s="14" cm="1">
        <f t="array" ref="Q244">INT(SUMPRODUCT(--ISNUMBER(SEARCH(gun,C244)))&gt;0)</f>
        <v>0</v>
      </c>
      <c r="R244" s="14" cm="1">
        <f t="array" ref="R244">INT(SUMPRODUCT(--ISNUMBER(SEARCH(race,C244)))&gt;0)</f>
        <v>0</v>
      </c>
      <c r="S244" s="14" cm="1">
        <f t="array" ref="S244">INT(SUMPRODUCT(--ISNUMBER(SEARCH(immigration,C244)))&gt;0)</f>
        <v>0</v>
      </c>
      <c r="T244" s="14" cm="1">
        <f t="array" ref="T244">INT(SUMPRODUCT(--ISNUMBER(SEARCH(econineq,C245)))&gt;0)</f>
        <v>0</v>
      </c>
      <c r="U244" s="14" cm="1">
        <f t="array" ref="U244">INT(SUMPRODUCT(--ISNUMBER(SEARCH(climate,C244)))&gt;0)</f>
        <v>0</v>
      </c>
      <c r="V244" s="14" cm="1">
        <f t="array" ref="V244">INT(SUMPRODUCT(--ISNUMBER(SEARCH(abortion,C244)))&gt;0)</f>
        <v>0</v>
      </c>
      <c r="W244" s="14" cm="1">
        <f t="array" ref="W244">INT(SUMPRODUCT(--ISNUMBER(SEARCH(trump,C244)))&gt;0)</f>
        <v>0</v>
      </c>
      <c r="X244" s="14" cm="1">
        <f t="array" ref="X244">INT(SUMPRODUCT(--ISNUMBER(SEARCH(voting,C244)))&gt;0)</f>
        <v>1</v>
      </c>
      <c r="Y244" s="35" cm="1">
        <f t="array" ref="Y244">INT(SUMPRODUCT(--ISNUMBER(SEARCH(republicantrigger,C244)))&gt;0)</f>
        <v>0</v>
      </c>
      <c r="Z244" s="35" cm="1">
        <f t="array" ref="Z244">INT(SUMPRODUCT(--ISNUMBER(SEARCH(bipartisan,C244)))&gt;0)</f>
        <v>0</v>
      </c>
      <c r="AA244" s="35">
        <f t="shared" si="3"/>
        <v>0</v>
      </c>
      <c r="AB244" s="14"/>
      <c r="AC244" s="30" t="s">
        <v>223</v>
      </c>
      <c r="AD244" s="37" t="s">
        <v>223</v>
      </c>
    </row>
    <row r="245" spans="1:30" x14ac:dyDescent="0.25">
      <c r="A245" s="36">
        <v>3785</v>
      </c>
      <c r="B245" s="14" t="s">
        <v>7323</v>
      </c>
      <c r="C245" s="14" t="s">
        <v>7324</v>
      </c>
      <c r="D245" s="17">
        <v>44115</v>
      </c>
      <c r="E245" s="14" t="s">
        <v>30</v>
      </c>
      <c r="F245" s="14">
        <v>87</v>
      </c>
      <c r="G245" s="14">
        <v>33</v>
      </c>
      <c r="H245" s="14">
        <v>17</v>
      </c>
      <c r="I245" s="14">
        <v>9</v>
      </c>
      <c r="J245" s="14" t="s">
        <v>31</v>
      </c>
      <c r="K245" s="14" cm="1">
        <f t="array" ref="K245">INT(SUMPRODUCT(--ISNUMBER(SEARCH(economy,C245)))&gt;0)</f>
        <v>0</v>
      </c>
      <c r="L245" s="14" cm="1">
        <f t="array" ref="L245">INT(SUMPRODUCT(--ISNUMBER(SEARCH(healthcare,C245)))&gt;0)</f>
        <v>0</v>
      </c>
      <c r="M245" s="14" cm="1">
        <f t="array" ref="M245">INT(SUMPRODUCT(--ISNUMBER(SEARCH(supreme,C245)))&gt;0)</f>
        <v>1</v>
      </c>
      <c r="N245" s="14" cm="1">
        <f t="array" ref="N245">INT(SUMPRODUCT(--ISNUMBER(SEARCH(covid,C245)))&gt;0)</f>
        <v>0</v>
      </c>
      <c r="O245" s="14" cm="1">
        <f t="array" ref="O245">INT(SUMPRODUCT(--ISNUMBER(SEARCH(violent,C245)))&gt;0)</f>
        <v>0</v>
      </c>
      <c r="P245" s="14" cm="1">
        <f t="array" ref="P245">INT(SUMPRODUCT(--ISNUMBER(SEARCH(foreign,C245)))&gt;0)</f>
        <v>0</v>
      </c>
      <c r="Q245" s="14" cm="1">
        <f t="array" ref="Q245">INT(SUMPRODUCT(--ISNUMBER(SEARCH(gun,C245)))&gt;0)</f>
        <v>0</v>
      </c>
      <c r="R245" s="14" cm="1">
        <f t="array" ref="R245">INT(SUMPRODUCT(--ISNUMBER(SEARCH(race,C245)))&gt;0)</f>
        <v>0</v>
      </c>
      <c r="S245" s="14" cm="1">
        <f t="array" ref="S245">INT(SUMPRODUCT(--ISNUMBER(SEARCH(immigration,C245)))&gt;0)</f>
        <v>0</v>
      </c>
      <c r="T245" s="14" cm="1">
        <f t="array" ref="T245">INT(SUMPRODUCT(--ISNUMBER(SEARCH(econineq,C246)))&gt;0)</f>
        <v>0</v>
      </c>
      <c r="U245" s="14" cm="1">
        <f t="array" ref="U245">INT(SUMPRODUCT(--ISNUMBER(SEARCH(climate,C245)))&gt;0)</f>
        <v>0</v>
      </c>
      <c r="V245" s="14" cm="1">
        <f t="array" ref="V245">INT(SUMPRODUCT(--ISNUMBER(SEARCH(abortion,C245)))&gt;0)</f>
        <v>0</v>
      </c>
      <c r="W245" s="14" cm="1">
        <f t="array" ref="W245">INT(SUMPRODUCT(--ISNUMBER(SEARCH(trump,C245)))&gt;0)</f>
        <v>0</v>
      </c>
      <c r="X245" s="14" cm="1">
        <f t="array" ref="X245">INT(SUMPRODUCT(--ISNUMBER(SEARCH(voting,C245)))&gt;0)</f>
        <v>1</v>
      </c>
      <c r="Y245" s="35" cm="1">
        <f t="array" ref="Y245">INT(SUMPRODUCT(--ISNUMBER(SEARCH(republicantrigger,C245)))&gt;0)</f>
        <v>1</v>
      </c>
      <c r="Z245" s="35" cm="1">
        <f t="array" ref="Z245">INT(SUMPRODUCT(--ISNUMBER(SEARCH(bipartisan,C245)))&gt;0)</f>
        <v>0</v>
      </c>
      <c r="AA245" s="35">
        <f t="shared" si="3"/>
        <v>0</v>
      </c>
      <c r="AB245" s="14"/>
      <c r="AC245" s="30" t="s">
        <v>223</v>
      </c>
      <c r="AD245" s="37" t="s">
        <v>223</v>
      </c>
    </row>
    <row r="246" spans="1:30" x14ac:dyDescent="0.25">
      <c r="A246" s="36">
        <v>3786</v>
      </c>
      <c r="B246" s="14" t="s">
        <v>7325</v>
      </c>
      <c r="C246" s="14" t="s">
        <v>7326</v>
      </c>
      <c r="D246" s="17">
        <v>44115</v>
      </c>
      <c r="E246" s="14" t="s">
        <v>70</v>
      </c>
      <c r="F246" s="14">
        <v>29</v>
      </c>
      <c r="G246" s="14">
        <v>9</v>
      </c>
      <c r="H246" s="14">
        <v>17</v>
      </c>
      <c r="I246" s="14">
        <v>9</v>
      </c>
      <c r="J246" s="14" t="s">
        <v>31</v>
      </c>
      <c r="K246" s="14" cm="1">
        <f t="array" ref="K246">INT(SUMPRODUCT(--ISNUMBER(SEARCH(economy,C246)))&gt;0)</f>
        <v>0</v>
      </c>
      <c r="L246" s="14" cm="1">
        <f t="array" ref="L246">INT(SUMPRODUCT(--ISNUMBER(SEARCH(healthcare,C246)))&gt;0)</f>
        <v>0</v>
      </c>
      <c r="M246" s="14" cm="1">
        <f t="array" ref="M246">INT(SUMPRODUCT(--ISNUMBER(SEARCH(supreme,C246)))&gt;0)</f>
        <v>1</v>
      </c>
      <c r="N246" s="14" cm="1">
        <f t="array" ref="N246">INT(SUMPRODUCT(--ISNUMBER(SEARCH(covid,C246)))&gt;0)</f>
        <v>0</v>
      </c>
      <c r="O246" s="14" cm="1">
        <f t="array" ref="O246">INT(SUMPRODUCT(--ISNUMBER(SEARCH(violent,C246)))&gt;0)</f>
        <v>0</v>
      </c>
      <c r="P246" s="14" cm="1">
        <f t="array" ref="P246">INT(SUMPRODUCT(--ISNUMBER(SEARCH(foreign,C246)))&gt;0)</f>
        <v>0</v>
      </c>
      <c r="Q246" s="14" cm="1">
        <f t="array" ref="Q246">INT(SUMPRODUCT(--ISNUMBER(SEARCH(gun,C246)))&gt;0)</f>
        <v>0</v>
      </c>
      <c r="R246" s="14" cm="1">
        <f t="array" ref="R246">INT(SUMPRODUCT(--ISNUMBER(SEARCH(race,C246)))&gt;0)</f>
        <v>0</v>
      </c>
      <c r="S246" s="14" cm="1">
        <f t="array" ref="S246">INT(SUMPRODUCT(--ISNUMBER(SEARCH(immigration,C246)))&gt;0)</f>
        <v>0</v>
      </c>
      <c r="T246" s="14" cm="1">
        <f t="array" ref="T246">INT(SUMPRODUCT(--ISNUMBER(SEARCH(econineq,C247)))&gt;0)</f>
        <v>0</v>
      </c>
      <c r="U246" s="14" cm="1">
        <f t="array" ref="U246">INT(SUMPRODUCT(--ISNUMBER(SEARCH(climate,C246)))&gt;0)</f>
        <v>0</v>
      </c>
      <c r="V246" s="14" cm="1">
        <f t="array" ref="V246">INT(SUMPRODUCT(--ISNUMBER(SEARCH(abortion,C246)))&gt;0)</f>
        <v>0</v>
      </c>
      <c r="W246" s="14" cm="1">
        <f t="array" ref="W246">INT(SUMPRODUCT(--ISNUMBER(SEARCH(trump,C246)))&gt;0)</f>
        <v>0</v>
      </c>
      <c r="X246" s="14" cm="1">
        <f t="array" ref="X246">INT(SUMPRODUCT(--ISNUMBER(SEARCH(voting,C246)))&gt;0)</f>
        <v>0</v>
      </c>
      <c r="Y246" s="35" cm="1">
        <f t="array" ref="Y246">INT(SUMPRODUCT(--ISNUMBER(SEARCH(republicantrigger,C246)))&gt;0)</f>
        <v>0</v>
      </c>
      <c r="Z246" s="35" cm="1">
        <f t="array" ref="Z246">INT(SUMPRODUCT(--ISNUMBER(SEARCH(bipartisan,C246)))&gt;0)</f>
        <v>0</v>
      </c>
      <c r="AA246" s="35">
        <f t="shared" si="3"/>
        <v>0</v>
      </c>
      <c r="AB246" s="14"/>
      <c r="AC246" s="30" t="s">
        <v>223</v>
      </c>
      <c r="AD246" s="37" t="s">
        <v>223</v>
      </c>
    </row>
    <row r="247" spans="1:30" x14ac:dyDescent="0.25">
      <c r="A247" s="36">
        <v>3787</v>
      </c>
      <c r="B247" s="14" t="s">
        <v>7327</v>
      </c>
      <c r="C247" s="14" t="s">
        <v>7328</v>
      </c>
      <c r="D247" s="17">
        <v>44115</v>
      </c>
      <c r="E247" s="14" t="s">
        <v>30</v>
      </c>
      <c r="F247" s="14">
        <v>57</v>
      </c>
      <c r="G247" s="14">
        <v>26</v>
      </c>
      <c r="H247" s="14">
        <v>17</v>
      </c>
      <c r="I247" s="14">
        <v>9</v>
      </c>
      <c r="J247" s="14" t="s">
        <v>31</v>
      </c>
      <c r="K247" s="14" cm="1">
        <f t="array" ref="K247">INT(SUMPRODUCT(--ISNUMBER(SEARCH(economy,C247)))&gt;0)</f>
        <v>0</v>
      </c>
      <c r="L247" s="14" cm="1">
        <f t="array" ref="L247">INT(SUMPRODUCT(--ISNUMBER(SEARCH(healthcare,C247)))&gt;0)</f>
        <v>0</v>
      </c>
      <c r="M247" s="14" cm="1">
        <f t="array" ref="M247">INT(SUMPRODUCT(--ISNUMBER(SEARCH(supreme,C247)))&gt;0)</f>
        <v>1</v>
      </c>
      <c r="N247" s="14" cm="1">
        <f t="array" ref="N247">INT(SUMPRODUCT(--ISNUMBER(SEARCH(covid,C247)))&gt;0)</f>
        <v>0</v>
      </c>
      <c r="O247" s="14" cm="1">
        <f t="array" ref="O247">INT(SUMPRODUCT(--ISNUMBER(SEARCH(violent,C247)))&gt;0)</f>
        <v>0</v>
      </c>
      <c r="P247" s="14" cm="1">
        <f t="array" ref="P247">INT(SUMPRODUCT(--ISNUMBER(SEARCH(foreign,C247)))&gt;0)</f>
        <v>0</v>
      </c>
      <c r="Q247" s="14" cm="1">
        <f t="array" ref="Q247">INT(SUMPRODUCT(--ISNUMBER(SEARCH(gun,C247)))&gt;0)</f>
        <v>0</v>
      </c>
      <c r="R247" s="14" cm="1">
        <f t="array" ref="R247">INT(SUMPRODUCT(--ISNUMBER(SEARCH(race,C247)))&gt;0)</f>
        <v>0</v>
      </c>
      <c r="S247" s="14" cm="1">
        <f t="array" ref="S247">INT(SUMPRODUCT(--ISNUMBER(SEARCH(immigration,C247)))&gt;0)</f>
        <v>0</v>
      </c>
      <c r="T247" s="14" cm="1">
        <f t="array" ref="T247">INT(SUMPRODUCT(--ISNUMBER(SEARCH(econineq,C248)))&gt;0)</f>
        <v>0</v>
      </c>
      <c r="U247" s="14" cm="1">
        <f t="array" ref="U247">INT(SUMPRODUCT(--ISNUMBER(SEARCH(climate,C247)))&gt;0)</f>
        <v>0</v>
      </c>
      <c r="V247" s="14" cm="1">
        <f t="array" ref="V247">INT(SUMPRODUCT(--ISNUMBER(SEARCH(abortion,C247)))&gt;0)</f>
        <v>0</v>
      </c>
      <c r="W247" s="14" cm="1">
        <f t="array" ref="W247">INT(SUMPRODUCT(--ISNUMBER(SEARCH(trump,C247)))&gt;0)</f>
        <v>0</v>
      </c>
      <c r="X247" s="14" cm="1">
        <f t="array" ref="X247">INT(SUMPRODUCT(--ISNUMBER(SEARCH(voting,C247)))&gt;0)</f>
        <v>1</v>
      </c>
      <c r="Y247" s="35" cm="1">
        <f t="array" ref="Y247">INT(SUMPRODUCT(--ISNUMBER(SEARCH(republicantrigger,C247)))&gt;0)</f>
        <v>1</v>
      </c>
      <c r="Z247" s="35" cm="1">
        <f t="array" ref="Z247">INT(SUMPRODUCT(--ISNUMBER(SEARCH(bipartisan,C247)))&gt;0)</f>
        <v>0</v>
      </c>
      <c r="AA247" s="35">
        <f t="shared" si="3"/>
        <v>0</v>
      </c>
      <c r="AB247" s="14"/>
      <c r="AC247" s="30" t="s">
        <v>223</v>
      </c>
      <c r="AD247" s="37" t="s">
        <v>223</v>
      </c>
    </row>
    <row r="248" spans="1:30" x14ac:dyDescent="0.25">
      <c r="A248" s="36">
        <v>3788</v>
      </c>
      <c r="B248" s="14" t="s">
        <v>7329</v>
      </c>
      <c r="C248" s="14" t="s">
        <v>7330</v>
      </c>
      <c r="D248" s="17">
        <v>44115</v>
      </c>
      <c r="E248" s="14" t="s">
        <v>30</v>
      </c>
      <c r="F248" s="14">
        <v>8501</v>
      </c>
      <c r="G248" s="14">
        <v>1969</v>
      </c>
      <c r="H248" s="14">
        <v>17</v>
      </c>
      <c r="I248" s="14">
        <v>9</v>
      </c>
      <c r="J248" s="14" t="s">
        <v>31</v>
      </c>
      <c r="K248" s="14" cm="1">
        <f t="array" ref="K248">INT(SUMPRODUCT(--ISNUMBER(SEARCH(economy,C248)))&gt;0)</f>
        <v>0</v>
      </c>
      <c r="L248" s="14" cm="1">
        <f t="array" ref="L248">INT(SUMPRODUCT(--ISNUMBER(SEARCH(healthcare,C248)))&gt;0)</f>
        <v>0</v>
      </c>
      <c r="M248" s="14" cm="1">
        <f t="array" ref="M248">INT(SUMPRODUCT(--ISNUMBER(SEARCH(supreme,C248)))&gt;0)</f>
        <v>0</v>
      </c>
      <c r="N248" s="14" cm="1">
        <f t="array" ref="N248">INT(SUMPRODUCT(--ISNUMBER(SEARCH(covid,C248)))&gt;0)</f>
        <v>0</v>
      </c>
      <c r="O248" s="14" cm="1">
        <f t="array" ref="O248">INT(SUMPRODUCT(--ISNUMBER(SEARCH(violent,C248)))&gt;0)</f>
        <v>0</v>
      </c>
      <c r="P248" s="14" cm="1">
        <f t="array" ref="P248">INT(SUMPRODUCT(--ISNUMBER(SEARCH(foreign,C248)))&gt;0)</f>
        <v>0</v>
      </c>
      <c r="Q248" s="14" cm="1">
        <f t="array" ref="Q248">INT(SUMPRODUCT(--ISNUMBER(SEARCH(gun,C248)))&gt;0)</f>
        <v>0</v>
      </c>
      <c r="R248" s="14" cm="1">
        <f t="array" ref="R248">INT(SUMPRODUCT(--ISNUMBER(SEARCH(race,C248)))&gt;0)</f>
        <v>0</v>
      </c>
      <c r="S248" s="14" cm="1">
        <f t="array" ref="S248">INT(SUMPRODUCT(--ISNUMBER(SEARCH(immigration,C248)))&gt;0)</f>
        <v>0</v>
      </c>
      <c r="T248" s="14" cm="1">
        <f t="array" ref="T248">INT(SUMPRODUCT(--ISNUMBER(SEARCH(econineq,C249)))&gt;0)</f>
        <v>0</v>
      </c>
      <c r="U248" s="14" cm="1">
        <f t="array" ref="U248">INT(SUMPRODUCT(--ISNUMBER(SEARCH(climate,C248)))&gt;0)</f>
        <v>0</v>
      </c>
      <c r="V248" s="14" cm="1">
        <f t="array" ref="V248">INT(SUMPRODUCT(--ISNUMBER(SEARCH(abortion,C248)))&gt;0)</f>
        <v>0</v>
      </c>
      <c r="W248" s="14" cm="1">
        <f t="array" ref="W248">INT(SUMPRODUCT(--ISNUMBER(SEARCH(trump,C248)))&gt;0)</f>
        <v>0</v>
      </c>
      <c r="X248" s="14" cm="1">
        <f t="array" ref="X248">INT(SUMPRODUCT(--ISNUMBER(SEARCH(voting,C248)))&gt;0)</f>
        <v>0</v>
      </c>
      <c r="Y248" s="35" cm="1">
        <f t="array" ref="Y248">INT(SUMPRODUCT(--ISNUMBER(SEARCH(republicantrigger,C248)))&gt;0)</f>
        <v>0</v>
      </c>
      <c r="Z248" s="35" cm="1">
        <f t="array" ref="Z248">INT(SUMPRODUCT(--ISNUMBER(SEARCH(bipartisan,C248)))&gt;0)</f>
        <v>0</v>
      </c>
      <c r="AA248" s="35">
        <f t="shared" si="3"/>
        <v>1</v>
      </c>
      <c r="AB248" s="14"/>
      <c r="AC248" s="30" t="s">
        <v>223</v>
      </c>
      <c r="AD248" s="37" t="s">
        <v>223</v>
      </c>
    </row>
    <row r="249" spans="1:30" x14ac:dyDescent="0.25">
      <c r="A249" s="36">
        <v>3789</v>
      </c>
      <c r="B249" s="14" t="s">
        <v>7331</v>
      </c>
      <c r="C249" s="14" t="s">
        <v>7332</v>
      </c>
      <c r="D249" s="17">
        <v>44115</v>
      </c>
      <c r="E249" s="14" t="s">
        <v>30</v>
      </c>
      <c r="F249" s="14">
        <v>147</v>
      </c>
      <c r="G249" s="14">
        <v>24</v>
      </c>
      <c r="H249" s="14">
        <v>17</v>
      </c>
      <c r="I249" s="14">
        <v>9</v>
      </c>
      <c r="J249" s="14" t="s">
        <v>31</v>
      </c>
      <c r="K249" s="14" cm="1">
        <f t="array" ref="K249">INT(SUMPRODUCT(--ISNUMBER(SEARCH(economy,C249)))&gt;0)</f>
        <v>0</v>
      </c>
      <c r="L249" s="14" cm="1">
        <f t="array" ref="L249">INT(SUMPRODUCT(--ISNUMBER(SEARCH(healthcare,C249)))&gt;0)</f>
        <v>0</v>
      </c>
      <c r="M249" s="14" cm="1">
        <f t="array" ref="M249">INT(SUMPRODUCT(--ISNUMBER(SEARCH(supreme,C249)))&gt;0)</f>
        <v>0</v>
      </c>
      <c r="N249" s="14" cm="1">
        <f t="array" ref="N249">INT(SUMPRODUCT(--ISNUMBER(SEARCH(covid,C249)))&gt;0)</f>
        <v>0</v>
      </c>
      <c r="O249" s="14" cm="1">
        <f t="array" ref="O249">INT(SUMPRODUCT(--ISNUMBER(SEARCH(violent,C249)))&gt;0)</f>
        <v>0</v>
      </c>
      <c r="P249" s="14" cm="1">
        <f t="array" ref="P249">INT(SUMPRODUCT(--ISNUMBER(SEARCH(foreign,C249)))&gt;0)</f>
        <v>0</v>
      </c>
      <c r="Q249" s="14" cm="1">
        <f t="array" ref="Q249">INT(SUMPRODUCT(--ISNUMBER(SEARCH(gun,C249)))&gt;0)</f>
        <v>0</v>
      </c>
      <c r="R249" s="14" cm="1">
        <f t="array" ref="R249">INT(SUMPRODUCT(--ISNUMBER(SEARCH(race,C249)))&gt;0)</f>
        <v>0</v>
      </c>
      <c r="S249" s="14" cm="1">
        <f t="array" ref="S249">INT(SUMPRODUCT(--ISNUMBER(SEARCH(immigration,C249)))&gt;0)</f>
        <v>0</v>
      </c>
      <c r="T249" s="14" cm="1">
        <f t="array" ref="T249">INT(SUMPRODUCT(--ISNUMBER(SEARCH(econineq,C250)))&gt;0)</f>
        <v>0</v>
      </c>
      <c r="U249" s="14" cm="1">
        <f t="array" ref="U249">INT(SUMPRODUCT(--ISNUMBER(SEARCH(climate,C249)))&gt;0)</f>
        <v>0</v>
      </c>
      <c r="V249" s="14" cm="1">
        <f t="array" ref="V249">INT(SUMPRODUCT(--ISNUMBER(SEARCH(abortion,C249)))&gt;0)</f>
        <v>0</v>
      </c>
      <c r="W249" s="14" cm="1">
        <f t="array" ref="W249">INT(SUMPRODUCT(--ISNUMBER(SEARCH(trump,C249)))&gt;0)</f>
        <v>0</v>
      </c>
      <c r="X249" s="14" cm="1">
        <f t="array" ref="X249">INT(SUMPRODUCT(--ISNUMBER(SEARCH(voting,C249)))&gt;0)</f>
        <v>0</v>
      </c>
      <c r="Y249" s="35" cm="1">
        <f t="array" ref="Y249">INT(SUMPRODUCT(--ISNUMBER(SEARCH(republicantrigger,C249)))&gt;0)</f>
        <v>0</v>
      </c>
      <c r="Z249" s="35" cm="1">
        <f t="array" ref="Z249">INT(SUMPRODUCT(--ISNUMBER(SEARCH(bipartisan,C249)))&gt;0)</f>
        <v>0</v>
      </c>
      <c r="AA249" s="35">
        <f t="shared" si="3"/>
        <v>1</v>
      </c>
      <c r="AB249" s="14"/>
      <c r="AC249" s="30" t="s">
        <v>223</v>
      </c>
      <c r="AD249" s="37" t="s">
        <v>223</v>
      </c>
    </row>
    <row r="250" spans="1:30" x14ac:dyDescent="0.25">
      <c r="A250" s="36">
        <v>3790</v>
      </c>
      <c r="B250" s="14" t="s">
        <v>7333</v>
      </c>
      <c r="C250" s="14" t="s">
        <v>7334</v>
      </c>
      <c r="D250" s="17">
        <v>44114</v>
      </c>
      <c r="E250" s="14" t="s">
        <v>30</v>
      </c>
      <c r="F250" s="14">
        <v>105</v>
      </c>
      <c r="G250" s="14">
        <v>20</v>
      </c>
      <c r="H250" s="14">
        <v>17</v>
      </c>
      <c r="I250" s="14">
        <v>9</v>
      </c>
      <c r="J250" s="14" t="s">
        <v>31</v>
      </c>
      <c r="K250" s="14" cm="1">
        <f t="array" ref="K250">INT(SUMPRODUCT(--ISNUMBER(SEARCH(economy,C250)))&gt;0)</f>
        <v>0</v>
      </c>
      <c r="L250" s="14" cm="1">
        <f t="array" ref="L250">INT(SUMPRODUCT(--ISNUMBER(SEARCH(healthcare,C250)))&gt;0)</f>
        <v>0</v>
      </c>
      <c r="M250" s="14" cm="1">
        <f t="array" ref="M250">INT(SUMPRODUCT(--ISNUMBER(SEARCH(supreme,C250)))&gt;0)</f>
        <v>0</v>
      </c>
      <c r="N250" s="14" cm="1">
        <f t="array" ref="N250">INT(SUMPRODUCT(--ISNUMBER(SEARCH(covid,C250)))&gt;0)</f>
        <v>0</v>
      </c>
      <c r="O250" s="14" cm="1">
        <f t="array" ref="O250">INT(SUMPRODUCT(--ISNUMBER(SEARCH(violent,C250)))&gt;0)</f>
        <v>0</v>
      </c>
      <c r="P250" s="14" cm="1">
        <f t="array" ref="P250">INT(SUMPRODUCT(--ISNUMBER(SEARCH(foreign,C250)))&gt;0)</f>
        <v>0</v>
      </c>
      <c r="Q250" s="14" cm="1">
        <f t="array" ref="Q250">INT(SUMPRODUCT(--ISNUMBER(SEARCH(gun,C250)))&gt;0)</f>
        <v>0</v>
      </c>
      <c r="R250" s="14" cm="1">
        <f t="array" ref="R250">INT(SUMPRODUCT(--ISNUMBER(SEARCH(race,C250)))&gt;0)</f>
        <v>0</v>
      </c>
      <c r="S250" s="14" cm="1">
        <f t="array" ref="S250">INT(SUMPRODUCT(--ISNUMBER(SEARCH(immigration,C250)))&gt;0)</f>
        <v>0</v>
      </c>
      <c r="T250" s="14" cm="1">
        <f t="array" ref="T250">INT(SUMPRODUCT(--ISNUMBER(SEARCH(econineq,C251)))&gt;0)</f>
        <v>0</v>
      </c>
      <c r="U250" s="14" cm="1">
        <f t="array" ref="U250">INT(SUMPRODUCT(--ISNUMBER(SEARCH(climate,C250)))&gt;0)</f>
        <v>0</v>
      </c>
      <c r="V250" s="14" cm="1">
        <f t="array" ref="V250">INT(SUMPRODUCT(--ISNUMBER(SEARCH(abortion,C250)))&gt;0)</f>
        <v>0</v>
      </c>
      <c r="W250" s="14" cm="1">
        <f t="array" ref="W250">INT(SUMPRODUCT(--ISNUMBER(SEARCH(trump,C250)))&gt;0)</f>
        <v>0</v>
      </c>
      <c r="X250" s="14" cm="1">
        <f t="array" ref="X250">INT(SUMPRODUCT(--ISNUMBER(SEARCH(voting,C250)))&gt;0)</f>
        <v>0</v>
      </c>
      <c r="Y250" s="35" cm="1">
        <f t="array" ref="Y250">INT(SUMPRODUCT(--ISNUMBER(SEARCH(republicantrigger,C250)))&gt;0)</f>
        <v>0</v>
      </c>
      <c r="Z250" s="35" cm="1">
        <f t="array" ref="Z250">INT(SUMPRODUCT(--ISNUMBER(SEARCH(bipartisan,C250)))&gt;0)</f>
        <v>0</v>
      </c>
      <c r="AA250" s="35">
        <f t="shared" si="3"/>
        <v>1</v>
      </c>
      <c r="AB250" s="14"/>
      <c r="AC250" s="30" t="s">
        <v>223</v>
      </c>
      <c r="AD250" s="37" t="s">
        <v>223</v>
      </c>
    </row>
    <row r="251" spans="1:30" x14ac:dyDescent="0.25">
      <c r="A251" s="36">
        <v>3791</v>
      </c>
      <c r="B251" s="14" t="s">
        <v>7335</v>
      </c>
      <c r="C251" s="14" t="s">
        <v>7336</v>
      </c>
      <c r="D251" s="17">
        <v>44114</v>
      </c>
      <c r="E251" s="14" t="s">
        <v>30</v>
      </c>
      <c r="F251" s="14">
        <v>114</v>
      </c>
      <c r="G251" s="14">
        <v>64</v>
      </c>
      <c r="H251" s="14">
        <v>17</v>
      </c>
      <c r="I251" s="14">
        <v>9</v>
      </c>
      <c r="J251" s="14" t="s">
        <v>31</v>
      </c>
      <c r="K251" s="14" cm="1">
        <f t="array" ref="K251">INT(SUMPRODUCT(--ISNUMBER(SEARCH(economy,C251)))&gt;0)</f>
        <v>0</v>
      </c>
      <c r="L251" s="14" cm="1">
        <f t="array" ref="L251">INT(SUMPRODUCT(--ISNUMBER(SEARCH(healthcare,C251)))&gt;0)</f>
        <v>0</v>
      </c>
      <c r="M251" s="14" cm="1">
        <f t="array" ref="M251">INT(SUMPRODUCT(--ISNUMBER(SEARCH(supreme,C251)))&gt;0)</f>
        <v>0</v>
      </c>
      <c r="N251" s="14" cm="1">
        <f t="array" ref="N251">INT(SUMPRODUCT(--ISNUMBER(SEARCH(covid,C251)))&gt;0)</f>
        <v>0</v>
      </c>
      <c r="O251" s="14" cm="1">
        <f t="array" ref="O251">INT(SUMPRODUCT(--ISNUMBER(SEARCH(violent,C251)))&gt;0)</f>
        <v>0</v>
      </c>
      <c r="P251" s="14" cm="1">
        <f t="array" ref="P251">INT(SUMPRODUCT(--ISNUMBER(SEARCH(foreign,C251)))&gt;0)</f>
        <v>0</v>
      </c>
      <c r="Q251" s="14" cm="1">
        <f t="array" ref="Q251">INT(SUMPRODUCT(--ISNUMBER(SEARCH(gun,C251)))&gt;0)</f>
        <v>0</v>
      </c>
      <c r="R251" s="14" cm="1">
        <f t="array" ref="R251">INT(SUMPRODUCT(--ISNUMBER(SEARCH(race,C251)))&gt;0)</f>
        <v>0</v>
      </c>
      <c r="S251" s="14" cm="1">
        <f t="array" ref="S251">INT(SUMPRODUCT(--ISNUMBER(SEARCH(immigration,C251)))&gt;0)</f>
        <v>0</v>
      </c>
      <c r="T251" s="14" cm="1">
        <f t="array" ref="T251">INT(SUMPRODUCT(--ISNUMBER(SEARCH(econineq,C252)))&gt;0)</f>
        <v>0</v>
      </c>
      <c r="U251" s="14" cm="1">
        <f t="array" ref="U251">INT(SUMPRODUCT(--ISNUMBER(SEARCH(climate,C251)))&gt;0)</f>
        <v>0</v>
      </c>
      <c r="V251" s="14" cm="1">
        <f t="array" ref="V251">INT(SUMPRODUCT(--ISNUMBER(SEARCH(abortion,C251)))&gt;0)</f>
        <v>0</v>
      </c>
      <c r="W251" s="14" cm="1">
        <f t="array" ref="W251">INT(SUMPRODUCT(--ISNUMBER(SEARCH(trump,C251)))&gt;0)</f>
        <v>0</v>
      </c>
      <c r="X251" s="14" cm="1">
        <f t="array" ref="X251">INT(SUMPRODUCT(--ISNUMBER(SEARCH(voting,C251)))&gt;0)</f>
        <v>0</v>
      </c>
      <c r="Y251" s="35" cm="1">
        <f t="array" ref="Y251">INT(SUMPRODUCT(--ISNUMBER(SEARCH(republicantrigger,C251)))&gt;0)</f>
        <v>0</v>
      </c>
      <c r="Z251" s="35" cm="1">
        <f t="array" ref="Z251">INT(SUMPRODUCT(--ISNUMBER(SEARCH(bipartisan,C251)))&gt;0)</f>
        <v>0</v>
      </c>
      <c r="AA251" s="35">
        <f t="shared" si="3"/>
        <v>1</v>
      </c>
      <c r="AB251" s="14"/>
      <c r="AC251" s="30" t="s">
        <v>223</v>
      </c>
      <c r="AD251" s="37" t="s">
        <v>223</v>
      </c>
    </row>
    <row r="252" spans="1:30" x14ac:dyDescent="0.25">
      <c r="A252" s="36">
        <v>3792</v>
      </c>
      <c r="B252" s="14" t="s">
        <v>7337</v>
      </c>
      <c r="C252" s="14" t="s">
        <v>7338</v>
      </c>
      <c r="D252" s="17">
        <v>44114</v>
      </c>
      <c r="E252" s="14" t="s">
        <v>30</v>
      </c>
      <c r="F252" s="14">
        <v>53</v>
      </c>
      <c r="G252" s="14">
        <v>16</v>
      </c>
      <c r="H252" s="14">
        <v>17</v>
      </c>
      <c r="I252" s="14">
        <v>9</v>
      </c>
      <c r="J252" s="14" t="s">
        <v>31</v>
      </c>
      <c r="K252" s="14" cm="1">
        <f t="array" ref="K252">INT(SUMPRODUCT(--ISNUMBER(SEARCH(economy,C252)))&gt;0)</f>
        <v>0</v>
      </c>
      <c r="L252" s="14" cm="1">
        <f t="array" ref="L252">INT(SUMPRODUCT(--ISNUMBER(SEARCH(healthcare,C252)))&gt;0)</f>
        <v>0</v>
      </c>
      <c r="M252" s="14" cm="1">
        <f t="array" ref="M252">INT(SUMPRODUCT(--ISNUMBER(SEARCH(supreme,C252)))&gt;0)</f>
        <v>0</v>
      </c>
      <c r="N252" s="14" cm="1">
        <f t="array" ref="N252">INT(SUMPRODUCT(--ISNUMBER(SEARCH(covid,C252)))&gt;0)</f>
        <v>0</v>
      </c>
      <c r="O252" s="14" cm="1">
        <f t="array" ref="O252">INT(SUMPRODUCT(--ISNUMBER(SEARCH(violent,C252)))&gt;0)</f>
        <v>1</v>
      </c>
      <c r="P252" s="14" cm="1">
        <f t="array" ref="P252">INT(SUMPRODUCT(--ISNUMBER(SEARCH(foreign,C252)))&gt;0)</f>
        <v>0</v>
      </c>
      <c r="Q252" s="14" cm="1">
        <f t="array" ref="Q252">INT(SUMPRODUCT(--ISNUMBER(SEARCH(gun,C252)))&gt;0)</f>
        <v>0</v>
      </c>
      <c r="R252" s="14" cm="1">
        <f t="array" ref="R252">INT(SUMPRODUCT(--ISNUMBER(SEARCH(race,C252)))&gt;0)</f>
        <v>0</v>
      </c>
      <c r="S252" s="14" cm="1">
        <f t="array" ref="S252">INT(SUMPRODUCT(--ISNUMBER(SEARCH(immigration,C252)))&gt;0)</f>
        <v>0</v>
      </c>
      <c r="T252" s="14" cm="1">
        <f t="array" ref="T252">INT(SUMPRODUCT(--ISNUMBER(SEARCH(econineq,C253)))&gt;0)</f>
        <v>0</v>
      </c>
      <c r="U252" s="14" cm="1">
        <f t="array" ref="U252">INT(SUMPRODUCT(--ISNUMBER(SEARCH(climate,C252)))&gt;0)</f>
        <v>0</v>
      </c>
      <c r="V252" s="14" cm="1">
        <f t="array" ref="V252">INT(SUMPRODUCT(--ISNUMBER(SEARCH(abortion,C252)))&gt;0)</f>
        <v>0</v>
      </c>
      <c r="W252" s="14" cm="1">
        <f t="array" ref="W252">INT(SUMPRODUCT(--ISNUMBER(SEARCH(trump,C252)))&gt;0)</f>
        <v>0</v>
      </c>
      <c r="X252" s="14" cm="1">
        <f t="array" ref="X252">INT(SUMPRODUCT(--ISNUMBER(SEARCH(voting,C252)))&gt;0)</f>
        <v>0</v>
      </c>
      <c r="Y252" s="35" cm="1">
        <f t="array" ref="Y252">INT(SUMPRODUCT(--ISNUMBER(SEARCH(republicantrigger,C252)))&gt;0)</f>
        <v>0</v>
      </c>
      <c r="Z252" s="35" cm="1">
        <f t="array" ref="Z252">INT(SUMPRODUCT(--ISNUMBER(SEARCH(bipartisan,C252)))&gt;0)</f>
        <v>0</v>
      </c>
      <c r="AA252" s="35">
        <f t="shared" si="3"/>
        <v>0</v>
      </c>
      <c r="AB252" s="14"/>
      <c r="AC252" s="30" t="s">
        <v>223</v>
      </c>
      <c r="AD252" s="37" t="s">
        <v>223</v>
      </c>
    </row>
    <row r="253" spans="1:30" x14ac:dyDescent="0.25">
      <c r="A253" s="36">
        <v>3793</v>
      </c>
      <c r="B253" s="14" t="s">
        <v>7339</v>
      </c>
      <c r="C253" s="14" t="s">
        <v>7340</v>
      </c>
      <c r="D253" s="17">
        <v>44114</v>
      </c>
      <c r="E253" s="14" t="s">
        <v>30</v>
      </c>
      <c r="F253" s="14">
        <v>145</v>
      </c>
      <c r="G253" s="14">
        <v>60</v>
      </c>
      <c r="H253" s="14">
        <v>17</v>
      </c>
      <c r="I253" s="14">
        <v>9</v>
      </c>
      <c r="J253" s="14" t="s">
        <v>31</v>
      </c>
      <c r="K253" s="14" cm="1">
        <f t="array" ref="K253">INT(SUMPRODUCT(--ISNUMBER(SEARCH(economy,C253)))&gt;0)</f>
        <v>0</v>
      </c>
      <c r="L253" s="14" cm="1">
        <f t="array" ref="L253">INT(SUMPRODUCT(--ISNUMBER(SEARCH(healthcare,C253)))&gt;0)</f>
        <v>0</v>
      </c>
      <c r="M253" s="14" cm="1">
        <f t="array" ref="M253">INT(SUMPRODUCT(--ISNUMBER(SEARCH(supreme,C253)))&gt;0)</f>
        <v>0</v>
      </c>
      <c r="N253" s="14" cm="1">
        <f t="array" ref="N253">INT(SUMPRODUCT(--ISNUMBER(SEARCH(covid,C253)))&gt;0)</f>
        <v>0</v>
      </c>
      <c r="O253" s="14" cm="1">
        <f t="array" ref="O253">INT(SUMPRODUCT(--ISNUMBER(SEARCH(violent,C253)))&gt;0)</f>
        <v>0</v>
      </c>
      <c r="P253" s="14" cm="1">
        <f t="array" ref="P253">INT(SUMPRODUCT(--ISNUMBER(SEARCH(foreign,C253)))&gt;0)</f>
        <v>0</v>
      </c>
      <c r="Q253" s="14" cm="1">
        <f t="array" ref="Q253">INT(SUMPRODUCT(--ISNUMBER(SEARCH(gun,C253)))&gt;0)</f>
        <v>0</v>
      </c>
      <c r="R253" s="14" cm="1">
        <f t="array" ref="R253">INT(SUMPRODUCT(--ISNUMBER(SEARCH(race,C253)))&gt;0)</f>
        <v>0</v>
      </c>
      <c r="S253" s="14" cm="1">
        <f t="array" ref="S253">INT(SUMPRODUCT(--ISNUMBER(SEARCH(immigration,C253)))&gt;0)</f>
        <v>0</v>
      </c>
      <c r="T253" s="14" cm="1">
        <f t="array" ref="T253">INT(SUMPRODUCT(--ISNUMBER(SEARCH(econineq,C254)))&gt;0)</f>
        <v>0</v>
      </c>
      <c r="U253" s="14" cm="1">
        <f t="array" ref="U253">INT(SUMPRODUCT(--ISNUMBER(SEARCH(climate,C253)))&gt;0)</f>
        <v>0</v>
      </c>
      <c r="V253" s="14" cm="1">
        <f t="array" ref="V253">INT(SUMPRODUCT(--ISNUMBER(SEARCH(abortion,C253)))&gt;0)</f>
        <v>0</v>
      </c>
      <c r="W253" s="14" cm="1">
        <f t="array" ref="W253">INT(SUMPRODUCT(--ISNUMBER(SEARCH(trump,C253)))&gt;0)</f>
        <v>0</v>
      </c>
      <c r="X253" s="14" cm="1">
        <f t="array" ref="X253">INT(SUMPRODUCT(--ISNUMBER(SEARCH(voting,C253)))&gt;0)</f>
        <v>0</v>
      </c>
      <c r="Y253" s="35" cm="1">
        <f t="array" ref="Y253">INT(SUMPRODUCT(--ISNUMBER(SEARCH(republicantrigger,C253)))&gt;0)</f>
        <v>1</v>
      </c>
      <c r="Z253" s="35" cm="1">
        <f t="array" ref="Z253">INT(SUMPRODUCT(--ISNUMBER(SEARCH(bipartisan,C253)))&gt;0)</f>
        <v>0</v>
      </c>
      <c r="AA253" s="35">
        <f t="shared" si="3"/>
        <v>0</v>
      </c>
      <c r="AB253" s="14"/>
      <c r="AC253" s="30" t="s">
        <v>223</v>
      </c>
      <c r="AD253" s="37" t="s">
        <v>223</v>
      </c>
    </row>
    <row r="254" spans="1:30" x14ac:dyDescent="0.25">
      <c r="A254" s="36">
        <v>3794</v>
      </c>
      <c r="B254" s="14" t="s">
        <v>7341</v>
      </c>
      <c r="C254" s="14" t="s">
        <v>7342</v>
      </c>
      <c r="D254" s="17">
        <v>44114</v>
      </c>
      <c r="E254" s="14" t="s">
        <v>30</v>
      </c>
      <c r="F254" s="14">
        <v>81</v>
      </c>
      <c r="G254" s="14">
        <v>29</v>
      </c>
      <c r="H254" s="14">
        <v>17</v>
      </c>
      <c r="I254" s="14">
        <v>9</v>
      </c>
      <c r="J254" s="14" t="s">
        <v>31</v>
      </c>
      <c r="K254" s="14" cm="1">
        <f t="array" ref="K254">INT(SUMPRODUCT(--ISNUMBER(SEARCH(economy,C254)))&gt;0)</f>
        <v>0</v>
      </c>
      <c r="L254" s="14" cm="1">
        <f t="array" ref="L254">INT(SUMPRODUCT(--ISNUMBER(SEARCH(healthcare,C254)))&gt;0)</f>
        <v>0</v>
      </c>
      <c r="M254" s="14" cm="1">
        <f t="array" ref="M254">INT(SUMPRODUCT(--ISNUMBER(SEARCH(supreme,C254)))&gt;0)</f>
        <v>0</v>
      </c>
      <c r="N254" s="14" cm="1">
        <f t="array" ref="N254">INT(SUMPRODUCT(--ISNUMBER(SEARCH(covid,C254)))&gt;0)</f>
        <v>0</v>
      </c>
      <c r="O254" s="14" cm="1">
        <f t="array" ref="O254">INT(SUMPRODUCT(--ISNUMBER(SEARCH(violent,C254)))&gt;0)</f>
        <v>0</v>
      </c>
      <c r="P254" s="14" cm="1">
        <f t="array" ref="P254">INT(SUMPRODUCT(--ISNUMBER(SEARCH(foreign,C254)))&gt;0)</f>
        <v>0</v>
      </c>
      <c r="Q254" s="14" cm="1">
        <f t="array" ref="Q254">INT(SUMPRODUCT(--ISNUMBER(SEARCH(gun,C254)))&gt;0)</f>
        <v>0</v>
      </c>
      <c r="R254" s="14" cm="1">
        <f t="array" ref="R254">INT(SUMPRODUCT(--ISNUMBER(SEARCH(race,C254)))&gt;0)</f>
        <v>0</v>
      </c>
      <c r="S254" s="14" cm="1">
        <f t="array" ref="S254">INT(SUMPRODUCT(--ISNUMBER(SEARCH(immigration,C254)))&gt;0)</f>
        <v>0</v>
      </c>
      <c r="T254" s="14" cm="1">
        <f t="array" ref="T254">INT(SUMPRODUCT(--ISNUMBER(SEARCH(econineq,C255)))&gt;0)</f>
        <v>0</v>
      </c>
      <c r="U254" s="14" cm="1">
        <f t="array" ref="U254">INT(SUMPRODUCT(--ISNUMBER(SEARCH(climate,C254)))&gt;0)</f>
        <v>0</v>
      </c>
      <c r="V254" s="14" cm="1">
        <f t="array" ref="V254">INT(SUMPRODUCT(--ISNUMBER(SEARCH(abortion,C254)))&gt;0)</f>
        <v>0</v>
      </c>
      <c r="W254" s="14" cm="1">
        <f t="array" ref="W254">INT(SUMPRODUCT(--ISNUMBER(SEARCH(trump,C254)))&gt;0)</f>
        <v>0</v>
      </c>
      <c r="X254" s="14" cm="1">
        <f t="array" ref="X254">INT(SUMPRODUCT(--ISNUMBER(SEARCH(voting,C254)))&gt;0)</f>
        <v>0</v>
      </c>
      <c r="Y254" s="35" cm="1">
        <f t="array" ref="Y254">INT(SUMPRODUCT(--ISNUMBER(SEARCH(republicantrigger,C254)))&gt;0)</f>
        <v>0</v>
      </c>
      <c r="Z254" s="35" cm="1">
        <f t="array" ref="Z254">INT(SUMPRODUCT(--ISNUMBER(SEARCH(bipartisan,C254)))&gt;0)</f>
        <v>0</v>
      </c>
      <c r="AA254" s="35">
        <f t="shared" si="3"/>
        <v>1</v>
      </c>
      <c r="AB254" s="14"/>
      <c r="AC254" s="30" t="s">
        <v>223</v>
      </c>
      <c r="AD254" s="37" t="s">
        <v>223</v>
      </c>
    </row>
    <row r="255" spans="1:30" x14ac:dyDescent="0.25">
      <c r="A255" s="36">
        <v>3795</v>
      </c>
      <c r="B255" s="14" t="s">
        <v>7343</v>
      </c>
      <c r="C255" s="14" t="s">
        <v>7344</v>
      </c>
      <c r="D255" s="17">
        <v>44114</v>
      </c>
      <c r="E255" s="14" t="s">
        <v>30</v>
      </c>
      <c r="F255" s="14">
        <v>347</v>
      </c>
      <c r="G255" s="14">
        <v>82</v>
      </c>
      <c r="H255" s="14">
        <v>17</v>
      </c>
      <c r="I255" s="14">
        <v>9</v>
      </c>
      <c r="J255" s="14" t="s">
        <v>31</v>
      </c>
      <c r="K255" s="14" cm="1">
        <f t="array" ref="K255">INT(SUMPRODUCT(--ISNUMBER(SEARCH(economy,C255)))&gt;0)</f>
        <v>0</v>
      </c>
      <c r="L255" s="14" cm="1">
        <f t="array" ref="L255">INT(SUMPRODUCT(--ISNUMBER(SEARCH(healthcare,C255)))&gt;0)</f>
        <v>0</v>
      </c>
      <c r="M255" s="14" cm="1">
        <f t="array" ref="M255">INT(SUMPRODUCT(--ISNUMBER(SEARCH(supreme,C255)))&gt;0)</f>
        <v>0</v>
      </c>
      <c r="N255" s="14" cm="1">
        <f t="array" ref="N255">INT(SUMPRODUCT(--ISNUMBER(SEARCH(covid,C255)))&gt;0)</f>
        <v>0</v>
      </c>
      <c r="O255" s="14" cm="1">
        <f t="array" ref="O255">INT(SUMPRODUCT(--ISNUMBER(SEARCH(violent,C255)))&gt;0)</f>
        <v>0</v>
      </c>
      <c r="P255" s="14" cm="1">
        <f t="array" ref="P255">INT(SUMPRODUCT(--ISNUMBER(SEARCH(foreign,C255)))&gt;0)</f>
        <v>0</v>
      </c>
      <c r="Q255" s="14" cm="1">
        <f t="array" ref="Q255">INT(SUMPRODUCT(--ISNUMBER(SEARCH(gun,C255)))&gt;0)</f>
        <v>0</v>
      </c>
      <c r="R255" s="14" cm="1">
        <f t="array" ref="R255">INT(SUMPRODUCT(--ISNUMBER(SEARCH(race,C255)))&gt;0)</f>
        <v>0</v>
      </c>
      <c r="S255" s="14" cm="1">
        <f t="array" ref="S255">INT(SUMPRODUCT(--ISNUMBER(SEARCH(immigration,C255)))&gt;0)</f>
        <v>0</v>
      </c>
      <c r="T255" s="14" cm="1">
        <f t="array" ref="T255">INT(SUMPRODUCT(--ISNUMBER(SEARCH(econineq,C256)))&gt;0)</f>
        <v>0</v>
      </c>
      <c r="U255" s="14" cm="1">
        <f t="array" ref="U255">INT(SUMPRODUCT(--ISNUMBER(SEARCH(climate,C255)))&gt;0)</f>
        <v>0</v>
      </c>
      <c r="V255" s="14" cm="1">
        <f t="array" ref="V255">INT(SUMPRODUCT(--ISNUMBER(SEARCH(abortion,C255)))&gt;0)</f>
        <v>0</v>
      </c>
      <c r="W255" s="14" cm="1">
        <f t="array" ref="W255">INT(SUMPRODUCT(--ISNUMBER(SEARCH(trump,C255)))&gt;0)</f>
        <v>0</v>
      </c>
      <c r="X255" s="14" cm="1">
        <f t="array" ref="X255">INT(SUMPRODUCT(--ISNUMBER(SEARCH(voting,C255)))&gt;0)</f>
        <v>0</v>
      </c>
      <c r="Y255" s="35" cm="1">
        <f t="array" ref="Y255">INT(SUMPRODUCT(--ISNUMBER(SEARCH(republicantrigger,C255)))&gt;0)</f>
        <v>0</v>
      </c>
      <c r="Z255" s="35" cm="1">
        <f t="array" ref="Z255">INT(SUMPRODUCT(--ISNUMBER(SEARCH(bipartisan,C255)))&gt;0)</f>
        <v>0</v>
      </c>
      <c r="AA255" s="35">
        <f t="shared" si="3"/>
        <v>1</v>
      </c>
      <c r="AB255" s="14"/>
      <c r="AC255" s="30" t="s">
        <v>223</v>
      </c>
      <c r="AD255" s="37" t="s">
        <v>223</v>
      </c>
    </row>
    <row r="256" spans="1:30" x14ac:dyDescent="0.25">
      <c r="A256" s="36">
        <v>3796</v>
      </c>
      <c r="B256" s="14" t="s">
        <v>7345</v>
      </c>
      <c r="C256" s="14" t="s">
        <v>7346</v>
      </c>
      <c r="D256" s="17">
        <v>44114</v>
      </c>
      <c r="E256" s="14" t="s">
        <v>30</v>
      </c>
      <c r="F256" s="14">
        <v>1687</v>
      </c>
      <c r="G256" s="14">
        <v>666</v>
      </c>
      <c r="H256" s="14">
        <v>17</v>
      </c>
      <c r="I256" s="14">
        <v>9</v>
      </c>
      <c r="J256" s="14" t="s">
        <v>31</v>
      </c>
      <c r="K256" s="14" cm="1">
        <f t="array" ref="K256">INT(SUMPRODUCT(--ISNUMBER(SEARCH(economy,C256)))&gt;0)</f>
        <v>0</v>
      </c>
      <c r="L256" s="14" cm="1">
        <f t="array" ref="L256">INT(SUMPRODUCT(--ISNUMBER(SEARCH(healthcare,C256)))&gt;0)</f>
        <v>0</v>
      </c>
      <c r="M256" s="14" cm="1">
        <f t="array" ref="M256">INT(SUMPRODUCT(--ISNUMBER(SEARCH(supreme,C256)))&gt;0)</f>
        <v>0</v>
      </c>
      <c r="N256" s="14" cm="1">
        <f t="array" ref="N256">INT(SUMPRODUCT(--ISNUMBER(SEARCH(covid,C256)))&gt;0)</f>
        <v>0</v>
      </c>
      <c r="O256" s="14" cm="1">
        <f t="array" ref="O256">INT(SUMPRODUCT(--ISNUMBER(SEARCH(violent,C256)))&gt;0)</f>
        <v>0</v>
      </c>
      <c r="P256" s="14" cm="1">
        <f t="array" ref="P256">INT(SUMPRODUCT(--ISNUMBER(SEARCH(foreign,C256)))&gt;0)</f>
        <v>0</v>
      </c>
      <c r="Q256" s="14" cm="1">
        <f t="array" ref="Q256">INT(SUMPRODUCT(--ISNUMBER(SEARCH(gun,C256)))&gt;0)</f>
        <v>0</v>
      </c>
      <c r="R256" s="14" cm="1">
        <f t="array" ref="R256">INT(SUMPRODUCT(--ISNUMBER(SEARCH(race,C256)))&gt;0)</f>
        <v>0</v>
      </c>
      <c r="S256" s="14" cm="1">
        <f t="array" ref="S256">INT(SUMPRODUCT(--ISNUMBER(SEARCH(immigration,C256)))&gt;0)</f>
        <v>0</v>
      </c>
      <c r="T256" s="14" cm="1">
        <f t="array" ref="T256">INT(SUMPRODUCT(--ISNUMBER(SEARCH(econineq,C257)))&gt;0)</f>
        <v>0</v>
      </c>
      <c r="U256" s="14" cm="1">
        <f t="array" ref="U256">INT(SUMPRODUCT(--ISNUMBER(SEARCH(climate,C256)))&gt;0)</f>
        <v>0</v>
      </c>
      <c r="V256" s="14" cm="1">
        <f t="array" ref="V256">INT(SUMPRODUCT(--ISNUMBER(SEARCH(abortion,C256)))&gt;0)</f>
        <v>0</v>
      </c>
      <c r="W256" s="14" cm="1">
        <f t="array" ref="W256">INT(SUMPRODUCT(--ISNUMBER(SEARCH(trump,C256)))&gt;0)</f>
        <v>0</v>
      </c>
      <c r="X256" s="14" cm="1">
        <f t="array" ref="X256">INT(SUMPRODUCT(--ISNUMBER(SEARCH(voting,C256)))&gt;0)</f>
        <v>0</v>
      </c>
      <c r="Y256" s="35" cm="1">
        <f t="array" ref="Y256">INT(SUMPRODUCT(--ISNUMBER(SEARCH(republicantrigger,C256)))&gt;0)</f>
        <v>1</v>
      </c>
      <c r="Z256" s="35" cm="1">
        <f t="array" ref="Z256">INT(SUMPRODUCT(--ISNUMBER(SEARCH(bipartisan,C256)))&gt;0)</f>
        <v>0</v>
      </c>
      <c r="AA256" s="35">
        <f t="shared" si="3"/>
        <v>0</v>
      </c>
      <c r="AB256" s="14"/>
      <c r="AC256" s="30" t="s">
        <v>223</v>
      </c>
      <c r="AD256" s="37" t="s">
        <v>223</v>
      </c>
    </row>
    <row r="257" spans="1:30" x14ac:dyDescent="0.25">
      <c r="A257" s="36">
        <v>3797</v>
      </c>
      <c r="B257" s="14" t="s">
        <v>7347</v>
      </c>
      <c r="C257" s="14" t="s">
        <v>7348</v>
      </c>
      <c r="D257" s="17">
        <v>44114</v>
      </c>
      <c r="E257" s="14" t="s">
        <v>70</v>
      </c>
      <c r="F257" s="14">
        <v>61</v>
      </c>
      <c r="G257" s="14">
        <v>29</v>
      </c>
      <c r="H257" s="14">
        <v>17</v>
      </c>
      <c r="I257" s="14">
        <v>9</v>
      </c>
      <c r="J257" s="14" t="s">
        <v>31</v>
      </c>
      <c r="K257" s="14" cm="1">
        <f t="array" ref="K257">INT(SUMPRODUCT(--ISNUMBER(SEARCH(economy,C257)))&gt;0)</f>
        <v>0</v>
      </c>
      <c r="L257" s="14" cm="1">
        <f t="array" ref="L257">INT(SUMPRODUCT(--ISNUMBER(SEARCH(healthcare,C257)))&gt;0)</f>
        <v>0</v>
      </c>
      <c r="M257" s="14" cm="1">
        <f t="array" ref="M257">INT(SUMPRODUCT(--ISNUMBER(SEARCH(supreme,C257)))&gt;0)</f>
        <v>0</v>
      </c>
      <c r="N257" s="14" cm="1">
        <f t="array" ref="N257">INT(SUMPRODUCT(--ISNUMBER(SEARCH(covid,C257)))&gt;0)</f>
        <v>0</v>
      </c>
      <c r="O257" s="14" cm="1">
        <f t="array" ref="O257">INT(SUMPRODUCT(--ISNUMBER(SEARCH(violent,C257)))&gt;0)</f>
        <v>1</v>
      </c>
      <c r="P257" s="14" cm="1">
        <f t="array" ref="P257">INT(SUMPRODUCT(--ISNUMBER(SEARCH(foreign,C257)))&gt;0)</f>
        <v>1</v>
      </c>
      <c r="Q257" s="14" cm="1">
        <f t="array" ref="Q257">INT(SUMPRODUCT(--ISNUMBER(SEARCH(gun,C257)))&gt;0)</f>
        <v>0</v>
      </c>
      <c r="R257" s="14" cm="1">
        <f t="array" ref="R257">INT(SUMPRODUCT(--ISNUMBER(SEARCH(race,C257)))&gt;0)</f>
        <v>0</v>
      </c>
      <c r="S257" s="14" cm="1">
        <f t="array" ref="S257">INT(SUMPRODUCT(--ISNUMBER(SEARCH(immigration,C257)))&gt;0)</f>
        <v>0</v>
      </c>
      <c r="T257" s="14" cm="1">
        <f t="array" ref="T257">INT(SUMPRODUCT(--ISNUMBER(SEARCH(econineq,C258)))&gt;0)</f>
        <v>0</v>
      </c>
      <c r="U257" s="14" cm="1">
        <f t="array" ref="U257">INT(SUMPRODUCT(--ISNUMBER(SEARCH(climate,C257)))&gt;0)</f>
        <v>0</v>
      </c>
      <c r="V257" s="14" cm="1">
        <f t="array" ref="V257">INT(SUMPRODUCT(--ISNUMBER(SEARCH(abortion,C257)))&gt;0)</f>
        <v>0</v>
      </c>
      <c r="W257" s="14" cm="1">
        <f t="array" ref="W257">INT(SUMPRODUCT(--ISNUMBER(SEARCH(trump,C257)))&gt;0)</f>
        <v>0</v>
      </c>
      <c r="X257" s="14" cm="1">
        <f t="array" ref="X257">INT(SUMPRODUCT(--ISNUMBER(SEARCH(voting,C257)))&gt;0)</f>
        <v>0</v>
      </c>
      <c r="Y257" s="35" cm="1">
        <f t="array" ref="Y257">INT(SUMPRODUCT(--ISNUMBER(SEARCH(republicantrigger,C257)))&gt;0)</f>
        <v>0</v>
      </c>
      <c r="Z257" s="35" cm="1">
        <f t="array" ref="Z257">INT(SUMPRODUCT(--ISNUMBER(SEARCH(bipartisan,C257)))&gt;0)</f>
        <v>0</v>
      </c>
      <c r="AA257" s="35">
        <f t="shared" si="3"/>
        <v>0</v>
      </c>
      <c r="AB257" s="14"/>
      <c r="AC257" s="30" t="s">
        <v>223</v>
      </c>
      <c r="AD257" s="37" t="s">
        <v>223</v>
      </c>
    </row>
    <row r="258" spans="1:30" x14ac:dyDescent="0.25">
      <c r="A258" s="36">
        <v>3798</v>
      </c>
      <c r="B258" s="14" t="s">
        <v>7349</v>
      </c>
      <c r="C258" s="14" t="s">
        <v>7350</v>
      </c>
      <c r="D258" s="17">
        <v>44114</v>
      </c>
      <c r="E258" s="14" t="s">
        <v>70</v>
      </c>
      <c r="F258" s="14">
        <v>96</v>
      </c>
      <c r="G258" s="14">
        <v>61</v>
      </c>
      <c r="H258" s="14">
        <v>17</v>
      </c>
      <c r="I258" s="14">
        <v>9</v>
      </c>
      <c r="J258" s="14" t="s">
        <v>31</v>
      </c>
      <c r="K258" s="14" cm="1">
        <f t="array" ref="K258">INT(SUMPRODUCT(--ISNUMBER(SEARCH(economy,C258)))&gt;0)</f>
        <v>0</v>
      </c>
      <c r="L258" s="14" cm="1">
        <f t="array" ref="L258">INT(SUMPRODUCT(--ISNUMBER(SEARCH(healthcare,C258)))&gt;0)</f>
        <v>0</v>
      </c>
      <c r="M258" s="14" cm="1">
        <f t="array" ref="M258">INT(SUMPRODUCT(--ISNUMBER(SEARCH(supreme,C258)))&gt;0)</f>
        <v>0</v>
      </c>
      <c r="N258" s="14" cm="1">
        <f t="array" ref="N258">INT(SUMPRODUCT(--ISNUMBER(SEARCH(covid,C258)))&gt;0)</f>
        <v>0</v>
      </c>
      <c r="O258" s="14" cm="1">
        <f t="array" ref="O258">INT(SUMPRODUCT(--ISNUMBER(SEARCH(violent,C258)))&gt;0)</f>
        <v>0</v>
      </c>
      <c r="P258" s="14" cm="1">
        <f t="array" ref="P258">INT(SUMPRODUCT(--ISNUMBER(SEARCH(foreign,C258)))&gt;0)</f>
        <v>0</v>
      </c>
      <c r="Q258" s="14" cm="1">
        <f t="array" ref="Q258">INT(SUMPRODUCT(--ISNUMBER(SEARCH(gun,C258)))&gt;0)</f>
        <v>0</v>
      </c>
      <c r="R258" s="14" cm="1">
        <f t="array" ref="R258">INT(SUMPRODUCT(--ISNUMBER(SEARCH(race,C258)))&gt;0)</f>
        <v>0</v>
      </c>
      <c r="S258" s="14" cm="1">
        <f t="array" ref="S258">INT(SUMPRODUCT(--ISNUMBER(SEARCH(immigration,C258)))&gt;0)</f>
        <v>0</v>
      </c>
      <c r="T258" s="14" cm="1">
        <f t="array" ref="T258">INT(SUMPRODUCT(--ISNUMBER(SEARCH(econineq,C259)))&gt;0)</f>
        <v>0</v>
      </c>
      <c r="U258" s="14" cm="1">
        <f t="array" ref="U258">INT(SUMPRODUCT(--ISNUMBER(SEARCH(climate,C258)))&gt;0)</f>
        <v>0</v>
      </c>
      <c r="V258" s="14" cm="1">
        <f t="array" ref="V258">INT(SUMPRODUCT(--ISNUMBER(SEARCH(abortion,C258)))&gt;0)</f>
        <v>0</v>
      </c>
      <c r="W258" s="14" cm="1">
        <f t="array" ref="W258">INT(SUMPRODUCT(--ISNUMBER(SEARCH(trump,C258)))&gt;0)</f>
        <v>0</v>
      </c>
      <c r="X258" s="14" cm="1">
        <f t="array" ref="X258">INT(SUMPRODUCT(--ISNUMBER(SEARCH(voting,C258)))&gt;0)</f>
        <v>1</v>
      </c>
      <c r="Y258" s="35" cm="1">
        <f t="array" ref="Y258">INT(SUMPRODUCT(--ISNUMBER(SEARCH(republicantrigger,C258)))&gt;0)</f>
        <v>1</v>
      </c>
      <c r="Z258" s="35" cm="1">
        <f t="array" ref="Z258">INT(SUMPRODUCT(--ISNUMBER(SEARCH(bipartisan,C258)))&gt;0)</f>
        <v>0</v>
      </c>
      <c r="AA258" s="35">
        <f t="shared" si="3"/>
        <v>0</v>
      </c>
      <c r="AB258" s="14"/>
      <c r="AC258" s="30" t="s">
        <v>223</v>
      </c>
      <c r="AD258" s="37" t="s">
        <v>223</v>
      </c>
    </row>
    <row r="259" spans="1:30" x14ac:dyDescent="0.25">
      <c r="A259" s="36">
        <v>3799</v>
      </c>
      <c r="B259" s="14" t="s">
        <v>7351</v>
      </c>
      <c r="C259" s="14" t="s">
        <v>7352</v>
      </c>
      <c r="D259" s="17">
        <v>44114</v>
      </c>
      <c r="E259" s="14" t="s">
        <v>30</v>
      </c>
      <c r="F259" s="14">
        <v>102</v>
      </c>
      <c r="G259" s="14">
        <v>38</v>
      </c>
      <c r="H259" s="14">
        <v>17</v>
      </c>
      <c r="I259" s="14">
        <v>9</v>
      </c>
      <c r="J259" s="14" t="s">
        <v>31</v>
      </c>
      <c r="K259" s="14" cm="1">
        <f t="array" ref="K259">INT(SUMPRODUCT(--ISNUMBER(SEARCH(economy,C259)))&gt;0)</f>
        <v>0</v>
      </c>
      <c r="L259" s="14" cm="1">
        <f t="array" ref="L259">INT(SUMPRODUCT(--ISNUMBER(SEARCH(healthcare,C259)))&gt;0)</f>
        <v>0</v>
      </c>
      <c r="M259" s="14" cm="1">
        <f t="array" ref="M259">INT(SUMPRODUCT(--ISNUMBER(SEARCH(supreme,C259)))&gt;0)</f>
        <v>0</v>
      </c>
      <c r="N259" s="14" cm="1">
        <f t="array" ref="N259">INT(SUMPRODUCT(--ISNUMBER(SEARCH(covid,C259)))&gt;0)</f>
        <v>1</v>
      </c>
      <c r="O259" s="14" cm="1">
        <f t="array" ref="O259">INT(SUMPRODUCT(--ISNUMBER(SEARCH(violent,C259)))&gt;0)</f>
        <v>0</v>
      </c>
      <c r="P259" s="14" cm="1">
        <f t="array" ref="P259">INT(SUMPRODUCT(--ISNUMBER(SEARCH(foreign,C259)))&gt;0)</f>
        <v>0</v>
      </c>
      <c r="Q259" s="14" cm="1">
        <f t="array" ref="Q259">INT(SUMPRODUCT(--ISNUMBER(SEARCH(gun,C259)))&gt;0)</f>
        <v>0</v>
      </c>
      <c r="R259" s="14" cm="1">
        <f t="array" ref="R259">INT(SUMPRODUCT(--ISNUMBER(SEARCH(race,C259)))&gt;0)</f>
        <v>0</v>
      </c>
      <c r="S259" s="14" cm="1">
        <f t="array" ref="S259">INT(SUMPRODUCT(--ISNUMBER(SEARCH(immigration,C259)))&gt;0)</f>
        <v>0</v>
      </c>
      <c r="T259" s="14" cm="1">
        <f t="array" ref="T259">INT(SUMPRODUCT(--ISNUMBER(SEARCH(econineq,C260)))&gt;0)</f>
        <v>0</v>
      </c>
      <c r="U259" s="14" cm="1">
        <f t="array" ref="U259">INT(SUMPRODUCT(--ISNUMBER(SEARCH(climate,C259)))&gt;0)</f>
        <v>0</v>
      </c>
      <c r="V259" s="14" cm="1">
        <f t="array" ref="V259">INT(SUMPRODUCT(--ISNUMBER(SEARCH(abortion,C259)))&gt;0)</f>
        <v>0</v>
      </c>
      <c r="W259" s="14" cm="1">
        <f t="array" ref="W259">INT(SUMPRODUCT(--ISNUMBER(SEARCH(trump,C259)))&gt;0)</f>
        <v>0</v>
      </c>
      <c r="X259" s="14" cm="1">
        <f t="array" ref="X259">INT(SUMPRODUCT(--ISNUMBER(SEARCH(voting,C259)))&gt;0)</f>
        <v>0</v>
      </c>
      <c r="Y259" s="35" cm="1">
        <f t="array" ref="Y259">INT(SUMPRODUCT(--ISNUMBER(SEARCH(republicantrigger,C259)))&gt;0)</f>
        <v>0</v>
      </c>
      <c r="Z259" s="35" cm="1">
        <f t="array" ref="Z259">INT(SUMPRODUCT(--ISNUMBER(SEARCH(bipartisan,C259)))&gt;0)</f>
        <v>0</v>
      </c>
      <c r="AA259" s="35">
        <f t="shared" ref="AA259:AA302" si="4">INT(IF(COUNTIF(K259:Z259,1)=0,"1","0"))</f>
        <v>0</v>
      </c>
      <c r="AB259" s="14"/>
      <c r="AC259" s="30" t="s">
        <v>223</v>
      </c>
      <c r="AD259" s="37" t="s">
        <v>223</v>
      </c>
    </row>
    <row r="260" spans="1:30" x14ac:dyDescent="0.25">
      <c r="A260" s="36">
        <v>3800</v>
      </c>
      <c r="B260" s="14" t="s">
        <v>7353</v>
      </c>
      <c r="C260" s="14" t="s">
        <v>7354</v>
      </c>
      <c r="D260" s="17">
        <v>44114</v>
      </c>
      <c r="E260" s="14" t="s">
        <v>30</v>
      </c>
      <c r="F260" s="14">
        <v>423</v>
      </c>
      <c r="G260" s="14">
        <v>82</v>
      </c>
      <c r="H260" s="14">
        <v>17</v>
      </c>
      <c r="I260" s="14">
        <v>9</v>
      </c>
      <c r="J260" s="14" t="s">
        <v>31</v>
      </c>
      <c r="K260" s="14" cm="1">
        <f t="array" ref="K260">INT(SUMPRODUCT(--ISNUMBER(SEARCH(economy,C260)))&gt;0)</f>
        <v>0</v>
      </c>
      <c r="L260" s="14" cm="1">
        <f t="array" ref="L260">INT(SUMPRODUCT(--ISNUMBER(SEARCH(healthcare,C260)))&gt;0)</f>
        <v>0</v>
      </c>
      <c r="M260" s="14" cm="1">
        <f t="array" ref="M260">INT(SUMPRODUCT(--ISNUMBER(SEARCH(supreme,C260)))&gt;0)</f>
        <v>0</v>
      </c>
      <c r="N260" s="14" cm="1">
        <f t="array" ref="N260">INT(SUMPRODUCT(--ISNUMBER(SEARCH(covid,C260)))&gt;0)</f>
        <v>0</v>
      </c>
      <c r="O260" s="14" cm="1">
        <f t="array" ref="O260">INT(SUMPRODUCT(--ISNUMBER(SEARCH(violent,C260)))&gt;0)</f>
        <v>0</v>
      </c>
      <c r="P260" s="14" cm="1">
        <f t="array" ref="P260">INT(SUMPRODUCT(--ISNUMBER(SEARCH(foreign,C260)))&gt;0)</f>
        <v>0</v>
      </c>
      <c r="Q260" s="14" cm="1">
        <f t="array" ref="Q260">INT(SUMPRODUCT(--ISNUMBER(SEARCH(gun,C260)))&gt;0)</f>
        <v>0</v>
      </c>
      <c r="R260" s="14" cm="1">
        <f t="array" ref="R260">INT(SUMPRODUCT(--ISNUMBER(SEARCH(race,C260)))&gt;0)</f>
        <v>0</v>
      </c>
      <c r="S260" s="14" cm="1">
        <f t="array" ref="S260">INT(SUMPRODUCT(--ISNUMBER(SEARCH(immigration,C260)))&gt;0)</f>
        <v>0</v>
      </c>
      <c r="T260" s="14" cm="1">
        <f t="array" ref="T260">INT(SUMPRODUCT(--ISNUMBER(SEARCH(econineq,C261)))&gt;0)</f>
        <v>0</v>
      </c>
      <c r="U260" s="14" cm="1">
        <f t="array" ref="U260">INT(SUMPRODUCT(--ISNUMBER(SEARCH(climate,C260)))&gt;0)</f>
        <v>0</v>
      </c>
      <c r="V260" s="14" cm="1">
        <f t="array" ref="V260">INT(SUMPRODUCT(--ISNUMBER(SEARCH(abortion,C260)))&gt;0)</f>
        <v>0</v>
      </c>
      <c r="W260" s="14" cm="1">
        <f t="array" ref="W260">INT(SUMPRODUCT(--ISNUMBER(SEARCH(trump,C260)))&gt;0)</f>
        <v>0</v>
      </c>
      <c r="X260" s="14" cm="1">
        <f t="array" ref="X260">INT(SUMPRODUCT(--ISNUMBER(SEARCH(voting,C260)))&gt;0)</f>
        <v>0</v>
      </c>
      <c r="Y260" s="35" cm="1">
        <f t="array" ref="Y260">INT(SUMPRODUCT(--ISNUMBER(SEARCH(republicantrigger,C260)))&gt;0)</f>
        <v>0</v>
      </c>
      <c r="Z260" s="35" cm="1">
        <f t="array" ref="Z260">INT(SUMPRODUCT(--ISNUMBER(SEARCH(bipartisan,C260)))&gt;0)</f>
        <v>0</v>
      </c>
      <c r="AA260" s="35">
        <f t="shared" si="4"/>
        <v>1</v>
      </c>
      <c r="AB260" s="14"/>
      <c r="AC260" s="30" t="s">
        <v>223</v>
      </c>
      <c r="AD260" s="37" t="s">
        <v>223</v>
      </c>
    </row>
    <row r="261" spans="1:30" x14ac:dyDescent="0.25">
      <c r="A261" s="36">
        <v>3801</v>
      </c>
      <c r="B261" s="14" t="s">
        <v>7355</v>
      </c>
      <c r="C261" s="14" t="s">
        <v>7356</v>
      </c>
      <c r="D261" s="17">
        <v>44114</v>
      </c>
      <c r="E261" s="14" t="s">
        <v>30</v>
      </c>
      <c r="F261" s="14">
        <v>131</v>
      </c>
      <c r="G261" s="14">
        <v>66</v>
      </c>
      <c r="H261" s="14">
        <v>17</v>
      </c>
      <c r="I261" s="14">
        <v>9</v>
      </c>
      <c r="J261" s="14" t="s">
        <v>31</v>
      </c>
      <c r="K261" s="14" cm="1">
        <f t="array" ref="K261">INT(SUMPRODUCT(--ISNUMBER(SEARCH(economy,C261)))&gt;0)</f>
        <v>0</v>
      </c>
      <c r="L261" s="14" cm="1">
        <f t="array" ref="L261">INT(SUMPRODUCT(--ISNUMBER(SEARCH(healthcare,C261)))&gt;0)</f>
        <v>0</v>
      </c>
      <c r="M261" s="14" cm="1">
        <f t="array" ref="M261">INT(SUMPRODUCT(--ISNUMBER(SEARCH(supreme,C261)))&gt;0)</f>
        <v>0</v>
      </c>
      <c r="N261" s="14" cm="1">
        <f t="array" ref="N261">INT(SUMPRODUCT(--ISNUMBER(SEARCH(covid,C261)))&gt;0)</f>
        <v>0</v>
      </c>
      <c r="O261" s="14" cm="1">
        <f t="array" ref="O261">INT(SUMPRODUCT(--ISNUMBER(SEARCH(violent,C261)))&gt;0)</f>
        <v>0</v>
      </c>
      <c r="P261" s="14" cm="1">
        <f t="array" ref="P261">INT(SUMPRODUCT(--ISNUMBER(SEARCH(foreign,C261)))&gt;0)</f>
        <v>0</v>
      </c>
      <c r="Q261" s="14" cm="1">
        <f t="array" ref="Q261">INT(SUMPRODUCT(--ISNUMBER(SEARCH(gun,C261)))&gt;0)</f>
        <v>0</v>
      </c>
      <c r="R261" s="14" cm="1">
        <f t="array" ref="R261">INT(SUMPRODUCT(--ISNUMBER(SEARCH(race,C261)))&gt;0)</f>
        <v>1</v>
      </c>
      <c r="S261" s="14" cm="1">
        <f t="array" ref="S261">INT(SUMPRODUCT(--ISNUMBER(SEARCH(immigration,C261)))&gt;0)</f>
        <v>0</v>
      </c>
      <c r="T261" s="14" cm="1">
        <f t="array" ref="T261">INT(SUMPRODUCT(--ISNUMBER(SEARCH(econineq,C262)))&gt;0)</f>
        <v>0</v>
      </c>
      <c r="U261" s="14" cm="1">
        <f t="array" ref="U261">INT(SUMPRODUCT(--ISNUMBER(SEARCH(climate,C261)))&gt;0)</f>
        <v>0</v>
      </c>
      <c r="V261" s="14" cm="1">
        <f t="array" ref="V261">INT(SUMPRODUCT(--ISNUMBER(SEARCH(abortion,C261)))&gt;0)</f>
        <v>0</v>
      </c>
      <c r="W261" s="14" cm="1">
        <f t="array" ref="W261">INT(SUMPRODUCT(--ISNUMBER(SEARCH(trump,C261)))&gt;0)</f>
        <v>0</v>
      </c>
      <c r="X261" s="14" cm="1">
        <f t="array" ref="X261">INT(SUMPRODUCT(--ISNUMBER(SEARCH(voting,C261)))&gt;0)</f>
        <v>1</v>
      </c>
      <c r="Y261" s="35" cm="1">
        <f t="array" ref="Y261">INT(SUMPRODUCT(--ISNUMBER(SEARCH(republicantrigger,C261)))&gt;0)</f>
        <v>1</v>
      </c>
      <c r="Z261" s="35" cm="1">
        <f t="array" ref="Z261">INT(SUMPRODUCT(--ISNUMBER(SEARCH(bipartisan,C261)))&gt;0)</f>
        <v>0</v>
      </c>
      <c r="AA261" s="35">
        <f t="shared" si="4"/>
        <v>0</v>
      </c>
      <c r="AB261" s="14"/>
      <c r="AC261" s="30" t="s">
        <v>223</v>
      </c>
      <c r="AD261" s="37" t="s">
        <v>223</v>
      </c>
    </row>
    <row r="262" spans="1:30" x14ac:dyDescent="0.25">
      <c r="A262" s="36">
        <v>3802</v>
      </c>
      <c r="B262" s="14" t="s">
        <v>7357</v>
      </c>
      <c r="C262" s="14" t="s">
        <v>7358</v>
      </c>
      <c r="D262" s="17">
        <v>44113</v>
      </c>
      <c r="E262" s="14" t="s">
        <v>30</v>
      </c>
      <c r="F262" s="14">
        <v>427</v>
      </c>
      <c r="G262" s="14">
        <v>139</v>
      </c>
      <c r="H262" s="14">
        <v>17</v>
      </c>
      <c r="I262" s="14">
        <v>9</v>
      </c>
      <c r="J262" s="14" t="s">
        <v>31</v>
      </c>
      <c r="K262" s="14" cm="1">
        <f t="array" ref="K262">INT(SUMPRODUCT(--ISNUMBER(SEARCH(economy,C262)))&gt;0)</f>
        <v>1</v>
      </c>
      <c r="L262" s="14" cm="1">
        <f t="array" ref="L262">INT(SUMPRODUCT(--ISNUMBER(SEARCH(healthcare,C262)))&gt;0)</f>
        <v>0</v>
      </c>
      <c r="M262" s="14" cm="1">
        <f t="array" ref="M262">INT(SUMPRODUCT(--ISNUMBER(SEARCH(supreme,C262)))&gt;0)</f>
        <v>0</v>
      </c>
      <c r="N262" s="14" cm="1">
        <f t="array" ref="N262">INT(SUMPRODUCT(--ISNUMBER(SEARCH(covid,C262)))&gt;0)</f>
        <v>1</v>
      </c>
      <c r="O262" s="14" cm="1">
        <f t="array" ref="O262">INT(SUMPRODUCT(--ISNUMBER(SEARCH(violent,C262)))&gt;0)</f>
        <v>0</v>
      </c>
      <c r="P262" s="14" cm="1">
        <f t="array" ref="P262">INT(SUMPRODUCT(--ISNUMBER(SEARCH(foreign,C262)))&gt;0)</f>
        <v>0</v>
      </c>
      <c r="Q262" s="14" cm="1">
        <f t="array" ref="Q262">INT(SUMPRODUCT(--ISNUMBER(SEARCH(gun,C262)))&gt;0)</f>
        <v>0</v>
      </c>
      <c r="R262" s="14" cm="1">
        <f t="array" ref="R262">INT(SUMPRODUCT(--ISNUMBER(SEARCH(race,C262)))&gt;0)</f>
        <v>0</v>
      </c>
      <c r="S262" s="14" cm="1">
        <f t="array" ref="S262">INT(SUMPRODUCT(--ISNUMBER(SEARCH(immigration,C262)))&gt;0)</f>
        <v>0</v>
      </c>
      <c r="T262" s="14" cm="1">
        <f t="array" ref="T262">INT(SUMPRODUCT(--ISNUMBER(SEARCH(econineq,C263)))&gt;0)</f>
        <v>0</v>
      </c>
      <c r="U262" s="14" cm="1">
        <f t="array" ref="U262">INT(SUMPRODUCT(--ISNUMBER(SEARCH(climate,C262)))&gt;0)</f>
        <v>0</v>
      </c>
      <c r="V262" s="14" cm="1">
        <f t="array" ref="V262">INT(SUMPRODUCT(--ISNUMBER(SEARCH(abortion,C262)))&gt;0)</f>
        <v>0</v>
      </c>
      <c r="W262" s="14" cm="1">
        <f t="array" ref="W262">INT(SUMPRODUCT(--ISNUMBER(SEARCH(trump,C262)))&gt;0)</f>
        <v>0</v>
      </c>
      <c r="X262" s="14" cm="1">
        <f t="array" ref="X262">INT(SUMPRODUCT(--ISNUMBER(SEARCH(voting,C262)))&gt;0)</f>
        <v>0</v>
      </c>
      <c r="Y262" s="35" cm="1">
        <f t="array" ref="Y262">INT(SUMPRODUCT(--ISNUMBER(SEARCH(republicantrigger,C262)))&gt;0)</f>
        <v>1</v>
      </c>
      <c r="Z262" s="35" cm="1">
        <f t="array" ref="Z262">INT(SUMPRODUCT(--ISNUMBER(SEARCH(bipartisan,C262)))&gt;0)</f>
        <v>0</v>
      </c>
      <c r="AA262" s="35">
        <f t="shared" si="4"/>
        <v>0</v>
      </c>
      <c r="AB262" s="14"/>
      <c r="AC262" s="30" t="s">
        <v>223</v>
      </c>
      <c r="AD262" s="37" t="s">
        <v>223</v>
      </c>
    </row>
    <row r="263" spans="1:30" x14ac:dyDescent="0.25">
      <c r="A263" s="36">
        <v>3803</v>
      </c>
      <c r="B263" s="14" t="s">
        <v>7359</v>
      </c>
      <c r="C263" s="14" t="s">
        <v>7360</v>
      </c>
      <c r="D263" s="17">
        <v>44113</v>
      </c>
      <c r="E263" s="14" t="s">
        <v>30</v>
      </c>
      <c r="F263" s="14">
        <v>111</v>
      </c>
      <c r="G263" s="14">
        <v>69</v>
      </c>
      <c r="H263" s="14">
        <v>17</v>
      </c>
      <c r="I263" s="14">
        <v>9</v>
      </c>
      <c r="J263" s="14" t="s">
        <v>31</v>
      </c>
      <c r="K263" s="14" cm="1">
        <f t="array" ref="K263">INT(SUMPRODUCT(--ISNUMBER(SEARCH(economy,C263)))&gt;0)</f>
        <v>0</v>
      </c>
      <c r="L263" s="14" cm="1">
        <f t="array" ref="L263">INT(SUMPRODUCT(--ISNUMBER(SEARCH(healthcare,C263)))&gt;0)</f>
        <v>0</v>
      </c>
      <c r="M263" s="14" cm="1">
        <f t="array" ref="M263">INT(SUMPRODUCT(--ISNUMBER(SEARCH(supreme,C263)))&gt;0)</f>
        <v>0</v>
      </c>
      <c r="N263" s="14" cm="1">
        <f t="array" ref="N263">INT(SUMPRODUCT(--ISNUMBER(SEARCH(covid,C263)))&gt;0)</f>
        <v>0</v>
      </c>
      <c r="O263" s="14" cm="1">
        <f t="array" ref="O263">INT(SUMPRODUCT(--ISNUMBER(SEARCH(violent,C263)))&gt;0)</f>
        <v>0</v>
      </c>
      <c r="P263" s="14" cm="1">
        <f t="array" ref="P263">INT(SUMPRODUCT(--ISNUMBER(SEARCH(foreign,C263)))&gt;0)</f>
        <v>0</v>
      </c>
      <c r="Q263" s="14" cm="1">
        <f t="array" ref="Q263">INT(SUMPRODUCT(--ISNUMBER(SEARCH(gun,C263)))&gt;0)</f>
        <v>0</v>
      </c>
      <c r="R263" s="14" cm="1">
        <f t="array" ref="R263">INT(SUMPRODUCT(--ISNUMBER(SEARCH(race,C263)))&gt;0)</f>
        <v>0</v>
      </c>
      <c r="S263" s="14" cm="1">
        <f t="array" ref="S263">INT(SUMPRODUCT(--ISNUMBER(SEARCH(immigration,C263)))&gt;0)</f>
        <v>0</v>
      </c>
      <c r="T263" s="14" cm="1">
        <f t="array" ref="T263">INT(SUMPRODUCT(--ISNUMBER(SEARCH(econineq,C264)))&gt;0)</f>
        <v>0</v>
      </c>
      <c r="U263" s="14" cm="1">
        <f t="array" ref="U263">INT(SUMPRODUCT(--ISNUMBER(SEARCH(climate,C263)))&gt;0)</f>
        <v>0</v>
      </c>
      <c r="V263" s="14" cm="1">
        <f t="array" ref="V263">INT(SUMPRODUCT(--ISNUMBER(SEARCH(abortion,C263)))&gt;0)</f>
        <v>0</v>
      </c>
      <c r="W263" s="14" cm="1">
        <f t="array" ref="W263">INT(SUMPRODUCT(--ISNUMBER(SEARCH(trump,C263)))&gt;0)</f>
        <v>0</v>
      </c>
      <c r="X263" s="14" cm="1">
        <f t="array" ref="X263">INT(SUMPRODUCT(--ISNUMBER(SEARCH(voting,C263)))&gt;0)</f>
        <v>0</v>
      </c>
      <c r="Y263" s="35" cm="1">
        <f t="array" ref="Y263">INT(SUMPRODUCT(--ISNUMBER(SEARCH(republicantrigger,C263)))&gt;0)</f>
        <v>1</v>
      </c>
      <c r="Z263" s="35" cm="1">
        <f t="array" ref="Z263">INT(SUMPRODUCT(--ISNUMBER(SEARCH(bipartisan,C263)))&gt;0)</f>
        <v>0</v>
      </c>
      <c r="AA263" s="35">
        <f t="shared" si="4"/>
        <v>0</v>
      </c>
      <c r="AB263" s="14"/>
      <c r="AC263" s="30" t="s">
        <v>223</v>
      </c>
      <c r="AD263" s="37" t="s">
        <v>223</v>
      </c>
    </row>
    <row r="264" spans="1:30" x14ac:dyDescent="0.25">
      <c r="A264" s="36">
        <v>3804</v>
      </c>
      <c r="B264" s="14" t="s">
        <v>7361</v>
      </c>
      <c r="C264" s="14" t="s">
        <v>7362</v>
      </c>
      <c r="D264" s="17">
        <v>44113</v>
      </c>
      <c r="E264" s="14" t="s">
        <v>30</v>
      </c>
      <c r="F264" s="14">
        <v>29</v>
      </c>
      <c r="G264" s="14">
        <v>13</v>
      </c>
      <c r="H264" s="14">
        <v>17</v>
      </c>
      <c r="I264" s="14">
        <v>9</v>
      </c>
      <c r="J264" s="14" t="s">
        <v>31</v>
      </c>
      <c r="K264" s="14" cm="1">
        <f t="array" ref="K264">INT(SUMPRODUCT(--ISNUMBER(SEARCH(economy,C264)))&gt;0)</f>
        <v>0</v>
      </c>
      <c r="L264" s="14" cm="1">
        <f t="array" ref="L264">INT(SUMPRODUCT(--ISNUMBER(SEARCH(healthcare,C264)))&gt;0)</f>
        <v>0</v>
      </c>
      <c r="M264" s="14" cm="1">
        <f t="array" ref="M264">INT(SUMPRODUCT(--ISNUMBER(SEARCH(supreme,C264)))&gt;0)</f>
        <v>0</v>
      </c>
      <c r="N264" s="14" cm="1">
        <f t="array" ref="N264">INT(SUMPRODUCT(--ISNUMBER(SEARCH(covid,C264)))&gt;0)</f>
        <v>0</v>
      </c>
      <c r="O264" s="14" cm="1">
        <f t="array" ref="O264">INT(SUMPRODUCT(--ISNUMBER(SEARCH(violent,C264)))&gt;0)</f>
        <v>0</v>
      </c>
      <c r="P264" s="14" cm="1">
        <f t="array" ref="P264">INT(SUMPRODUCT(--ISNUMBER(SEARCH(foreign,C264)))&gt;0)</f>
        <v>0</v>
      </c>
      <c r="Q264" s="14" cm="1">
        <f t="array" ref="Q264">INT(SUMPRODUCT(--ISNUMBER(SEARCH(gun,C264)))&gt;0)</f>
        <v>0</v>
      </c>
      <c r="R264" s="14" cm="1">
        <f t="array" ref="R264">INT(SUMPRODUCT(--ISNUMBER(SEARCH(race,C264)))&gt;0)</f>
        <v>0</v>
      </c>
      <c r="S264" s="14" cm="1">
        <f t="array" ref="S264">INT(SUMPRODUCT(--ISNUMBER(SEARCH(immigration,C264)))&gt;0)</f>
        <v>0</v>
      </c>
      <c r="T264" s="14" cm="1">
        <f t="array" ref="T264">INT(SUMPRODUCT(--ISNUMBER(SEARCH(econineq,C265)))&gt;0)</f>
        <v>0</v>
      </c>
      <c r="U264" s="14" cm="1">
        <f t="array" ref="U264">INT(SUMPRODUCT(--ISNUMBER(SEARCH(climate,C264)))&gt;0)</f>
        <v>1</v>
      </c>
      <c r="V264" s="14" cm="1">
        <f t="array" ref="V264">INT(SUMPRODUCT(--ISNUMBER(SEARCH(abortion,C264)))&gt;0)</f>
        <v>0</v>
      </c>
      <c r="W264" s="14" cm="1">
        <f t="array" ref="W264">INT(SUMPRODUCT(--ISNUMBER(SEARCH(trump,C264)))&gt;0)</f>
        <v>0</v>
      </c>
      <c r="X264" s="14" cm="1">
        <f t="array" ref="X264">INT(SUMPRODUCT(--ISNUMBER(SEARCH(voting,C264)))&gt;0)</f>
        <v>0</v>
      </c>
      <c r="Y264" s="35" cm="1">
        <f t="array" ref="Y264">INT(SUMPRODUCT(--ISNUMBER(SEARCH(republicantrigger,C264)))&gt;0)</f>
        <v>0</v>
      </c>
      <c r="Z264" s="35" cm="1">
        <f t="array" ref="Z264">INT(SUMPRODUCT(--ISNUMBER(SEARCH(bipartisan,C264)))&gt;0)</f>
        <v>0</v>
      </c>
      <c r="AA264" s="35">
        <f t="shared" si="4"/>
        <v>0</v>
      </c>
      <c r="AB264" s="14"/>
      <c r="AC264" s="30" t="s">
        <v>223</v>
      </c>
      <c r="AD264" s="37" t="s">
        <v>223</v>
      </c>
    </row>
    <row r="265" spans="1:30" x14ac:dyDescent="0.25">
      <c r="A265" s="36">
        <v>3805</v>
      </c>
      <c r="B265" s="14" t="s">
        <v>7363</v>
      </c>
      <c r="C265" s="14" t="s">
        <v>7364</v>
      </c>
      <c r="D265" s="17">
        <v>44113</v>
      </c>
      <c r="E265" s="14" t="s">
        <v>30</v>
      </c>
      <c r="F265" s="14">
        <v>277</v>
      </c>
      <c r="G265" s="14">
        <v>108</v>
      </c>
      <c r="H265" s="14">
        <v>17</v>
      </c>
      <c r="I265" s="14">
        <v>9</v>
      </c>
      <c r="J265" s="14" t="s">
        <v>31</v>
      </c>
      <c r="K265" s="14" cm="1">
        <f t="array" ref="K265">INT(SUMPRODUCT(--ISNUMBER(SEARCH(economy,C265)))&gt;0)</f>
        <v>0</v>
      </c>
      <c r="L265" s="14" cm="1">
        <f t="array" ref="L265">INT(SUMPRODUCT(--ISNUMBER(SEARCH(healthcare,C265)))&gt;0)</f>
        <v>0</v>
      </c>
      <c r="M265" s="14" cm="1">
        <f t="array" ref="M265">INT(SUMPRODUCT(--ISNUMBER(SEARCH(supreme,C265)))&gt;0)</f>
        <v>1</v>
      </c>
      <c r="N265" s="14" cm="1">
        <f t="array" ref="N265">INT(SUMPRODUCT(--ISNUMBER(SEARCH(covid,C265)))&gt;0)</f>
        <v>0</v>
      </c>
      <c r="O265" s="14" cm="1">
        <f t="array" ref="O265">INT(SUMPRODUCT(--ISNUMBER(SEARCH(violent,C265)))&gt;0)</f>
        <v>0</v>
      </c>
      <c r="P265" s="14" cm="1">
        <f t="array" ref="P265">INT(SUMPRODUCT(--ISNUMBER(SEARCH(foreign,C265)))&gt;0)</f>
        <v>0</v>
      </c>
      <c r="Q265" s="14" cm="1">
        <f t="array" ref="Q265">INT(SUMPRODUCT(--ISNUMBER(SEARCH(gun,C265)))&gt;0)</f>
        <v>0</v>
      </c>
      <c r="R265" s="14" cm="1">
        <f t="array" ref="R265">INT(SUMPRODUCT(--ISNUMBER(SEARCH(race,C265)))&gt;0)</f>
        <v>0</v>
      </c>
      <c r="S265" s="14" cm="1">
        <f t="array" ref="S265">INT(SUMPRODUCT(--ISNUMBER(SEARCH(immigration,C265)))&gt;0)</f>
        <v>0</v>
      </c>
      <c r="T265" s="14" cm="1">
        <f t="array" ref="T265">INT(SUMPRODUCT(--ISNUMBER(SEARCH(econineq,C266)))&gt;0)</f>
        <v>0</v>
      </c>
      <c r="U265" s="14" cm="1">
        <f t="array" ref="U265">INT(SUMPRODUCT(--ISNUMBER(SEARCH(climate,C265)))&gt;0)</f>
        <v>0</v>
      </c>
      <c r="V265" s="14" cm="1">
        <f t="array" ref="V265">INT(SUMPRODUCT(--ISNUMBER(SEARCH(abortion,C265)))&gt;0)</f>
        <v>0</v>
      </c>
      <c r="W265" s="14" cm="1">
        <f t="array" ref="W265">INT(SUMPRODUCT(--ISNUMBER(SEARCH(trump,C265)))&gt;0)</f>
        <v>0</v>
      </c>
      <c r="X265" s="14" cm="1">
        <f t="array" ref="X265">INT(SUMPRODUCT(--ISNUMBER(SEARCH(voting,C265)))&gt;0)</f>
        <v>0</v>
      </c>
      <c r="Y265" s="35" cm="1">
        <f t="array" ref="Y265">INT(SUMPRODUCT(--ISNUMBER(SEARCH(republicantrigger,C265)))&gt;0)</f>
        <v>1</v>
      </c>
      <c r="Z265" s="35" cm="1">
        <f t="array" ref="Z265">INT(SUMPRODUCT(--ISNUMBER(SEARCH(bipartisan,C265)))&gt;0)</f>
        <v>0</v>
      </c>
      <c r="AA265" s="35">
        <f t="shared" si="4"/>
        <v>0</v>
      </c>
      <c r="AB265" s="14"/>
      <c r="AC265" s="30" t="s">
        <v>223</v>
      </c>
      <c r="AD265" s="37" t="s">
        <v>223</v>
      </c>
    </row>
    <row r="266" spans="1:30" x14ac:dyDescent="0.25">
      <c r="A266" s="36">
        <v>3806</v>
      </c>
      <c r="B266" s="14" t="s">
        <v>7365</v>
      </c>
      <c r="C266" s="14" t="s">
        <v>7366</v>
      </c>
      <c r="D266" s="17">
        <v>44113</v>
      </c>
      <c r="E266" s="14" t="s">
        <v>30</v>
      </c>
      <c r="F266" s="14">
        <v>189</v>
      </c>
      <c r="G266" s="14">
        <v>55</v>
      </c>
      <c r="H266" s="14">
        <v>17</v>
      </c>
      <c r="I266" s="14">
        <v>9</v>
      </c>
      <c r="J266" s="14" t="s">
        <v>31</v>
      </c>
      <c r="K266" s="14" cm="1">
        <f t="array" ref="K266">INT(SUMPRODUCT(--ISNUMBER(SEARCH(economy,C266)))&gt;0)</f>
        <v>0</v>
      </c>
      <c r="L266" s="14" cm="1">
        <f t="array" ref="L266">INT(SUMPRODUCT(--ISNUMBER(SEARCH(healthcare,C266)))&gt;0)</f>
        <v>0</v>
      </c>
      <c r="M266" s="14" cm="1">
        <f t="array" ref="M266">INT(SUMPRODUCT(--ISNUMBER(SEARCH(supreme,C266)))&gt;0)</f>
        <v>0</v>
      </c>
      <c r="N266" s="14" cm="1">
        <f t="array" ref="N266">INT(SUMPRODUCT(--ISNUMBER(SEARCH(covid,C266)))&gt;0)</f>
        <v>0</v>
      </c>
      <c r="O266" s="14" cm="1">
        <f t="array" ref="O266">INT(SUMPRODUCT(--ISNUMBER(SEARCH(violent,C266)))&gt;0)</f>
        <v>0</v>
      </c>
      <c r="P266" s="14" cm="1">
        <f t="array" ref="P266">INT(SUMPRODUCT(--ISNUMBER(SEARCH(foreign,C266)))&gt;0)</f>
        <v>0</v>
      </c>
      <c r="Q266" s="14" cm="1">
        <f t="array" ref="Q266">INT(SUMPRODUCT(--ISNUMBER(SEARCH(gun,C266)))&gt;0)</f>
        <v>0</v>
      </c>
      <c r="R266" s="14" cm="1">
        <f t="array" ref="R266">INT(SUMPRODUCT(--ISNUMBER(SEARCH(race,C266)))&gt;0)</f>
        <v>0</v>
      </c>
      <c r="S266" s="14" cm="1">
        <f t="array" ref="S266">INT(SUMPRODUCT(--ISNUMBER(SEARCH(immigration,C266)))&gt;0)</f>
        <v>0</v>
      </c>
      <c r="T266" s="14" cm="1">
        <f t="array" ref="T266">INT(SUMPRODUCT(--ISNUMBER(SEARCH(econineq,C267)))&gt;0)</f>
        <v>0</v>
      </c>
      <c r="U266" s="14" cm="1">
        <f t="array" ref="U266">INT(SUMPRODUCT(--ISNUMBER(SEARCH(climate,C266)))&gt;0)</f>
        <v>0</v>
      </c>
      <c r="V266" s="14" cm="1">
        <f t="array" ref="V266">INT(SUMPRODUCT(--ISNUMBER(SEARCH(abortion,C266)))&gt;0)</f>
        <v>0</v>
      </c>
      <c r="W266" s="14" cm="1">
        <f t="array" ref="W266">INT(SUMPRODUCT(--ISNUMBER(SEARCH(trump,C266)))&gt;0)</f>
        <v>0</v>
      </c>
      <c r="X266" s="14" cm="1">
        <f t="array" ref="X266">INT(SUMPRODUCT(--ISNUMBER(SEARCH(voting,C266)))&gt;0)</f>
        <v>0</v>
      </c>
      <c r="Y266" s="35" cm="1">
        <f t="array" ref="Y266">INT(SUMPRODUCT(--ISNUMBER(SEARCH(republicantrigger,C266)))&gt;0)</f>
        <v>0</v>
      </c>
      <c r="Z266" s="35" cm="1">
        <f t="array" ref="Z266">INT(SUMPRODUCT(--ISNUMBER(SEARCH(bipartisan,C266)))&gt;0)</f>
        <v>0</v>
      </c>
      <c r="AA266" s="35">
        <f t="shared" si="4"/>
        <v>1</v>
      </c>
      <c r="AB266" s="14"/>
      <c r="AC266" s="30" t="s">
        <v>223</v>
      </c>
      <c r="AD266" s="37" t="s">
        <v>223</v>
      </c>
    </row>
    <row r="267" spans="1:30" x14ac:dyDescent="0.25">
      <c r="A267" s="36">
        <v>3807</v>
      </c>
      <c r="B267" s="14" t="s">
        <v>7367</v>
      </c>
      <c r="C267" s="14" t="s">
        <v>7368</v>
      </c>
      <c r="D267" s="17">
        <v>44112</v>
      </c>
      <c r="E267" s="14" t="s">
        <v>30</v>
      </c>
      <c r="F267" s="14">
        <v>183</v>
      </c>
      <c r="G267" s="14">
        <v>39</v>
      </c>
      <c r="H267" s="14">
        <v>17</v>
      </c>
      <c r="I267" s="14">
        <v>9</v>
      </c>
      <c r="J267" s="14" t="s">
        <v>31</v>
      </c>
      <c r="K267" s="14" cm="1">
        <f t="array" ref="K267">INT(SUMPRODUCT(--ISNUMBER(SEARCH(economy,C267)))&gt;0)</f>
        <v>0</v>
      </c>
      <c r="L267" s="14" cm="1">
        <f t="array" ref="L267">INT(SUMPRODUCT(--ISNUMBER(SEARCH(healthcare,C267)))&gt;0)</f>
        <v>0</v>
      </c>
      <c r="M267" s="14" cm="1">
        <f t="array" ref="M267">INT(SUMPRODUCT(--ISNUMBER(SEARCH(supreme,C267)))&gt;0)</f>
        <v>0</v>
      </c>
      <c r="N267" s="14" cm="1">
        <f t="array" ref="N267">INT(SUMPRODUCT(--ISNUMBER(SEARCH(covid,C267)))&gt;0)</f>
        <v>0</v>
      </c>
      <c r="O267" s="14" cm="1">
        <f t="array" ref="O267">INT(SUMPRODUCT(--ISNUMBER(SEARCH(violent,C267)))&gt;0)</f>
        <v>0</v>
      </c>
      <c r="P267" s="14" cm="1">
        <f t="array" ref="P267">INT(SUMPRODUCT(--ISNUMBER(SEARCH(foreign,C267)))&gt;0)</f>
        <v>0</v>
      </c>
      <c r="Q267" s="14" cm="1">
        <f t="array" ref="Q267">INT(SUMPRODUCT(--ISNUMBER(SEARCH(gun,C267)))&gt;0)</f>
        <v>0</v>
      </c>
      <c r="R267" s="14" cm="1">
        <f t="array" ref="R267">INT(SUMPRODUCT(--ISNUMBER(SEARCH(race,C267)))&gt;0)</f>
        <v>0</v>
      </c>
      <c r="S267" s="14" cm="1">
        <f t="array" ref="S267">INT(SUMPRODUCT(--ISNUMBER(SEARCH(immigration,C267)))&gt;0)</f>
        <v>0</v>
      </c>
      <c r="T267" s="14" cm="1">
        <f t="array" ref="T267">INT(SUMPRODUCT(--ISNUMBER(SEARCH(econineq,C268)))&gt;0)</f>
        <v>0</v>
      </c>
      <c r="U267" s="14" cm="1">
        <f t="array" ref="U267">INT(SUMPRODUCT(--ISNUMBER(SEARCH(climate,C267)))&gt;0)</f>
        <v>0</v>
      </c>
      <c r="V267" s="14" cm="1">
        <f t="array" ref="V267">INT(SUMPRODUCT(--ISNUMBER(SEARCH(abortion,C267)))&gt;0)</f>
        <v>0</v>
      </c>
      <c r="W267" s="14" cm="1">
        <f t="array" ref="W267">INT(SUMPRODUCT(--ISNUMBER(SEARCH(trump,C267)))&gt;0)</f>
        <v>0</v>
      </c>
      <c r="X267" s="14" cm="1">
        <f t="array" ref="X267">INT(SUMPRODUCT(--ISNUMBER(SEARCH(voting,C267)))&gt;0)</f>
        <v>0</v>
      </c>
      <c r="Y267" s="35" cm="1">
        <f t="array" ref="Y267">INT(SUMPRODUCT(--ISNUMBER(SEARCH(republicantrigger,C267)))&gt;0)</f>
        <v>0</v>
      </c>
      <c r="Z267" s="35" cm="1">
        <f t="array" ref="Z267">INT(SUMPRODUCT(--ISNUMBER(SEARCH(bipartisan,C267)))&gt;0)</f>
        <v>0</v>
      </c>
      <c r="AA267" s="35">
        <f t="shared" si="4"/>
        <v>1</v>
      </c>
      <c r="AB267" s="14"/>
      <c r="AC267" s="30" t="s">
        <v>223</v>
      </c>
      <c r="AD267" s="37" t="s">
        <v>223</v>
      </c>
    </row>
    <row r="268" spans="1:30" x14ac:dyDescent="0.25">
      <c r="A268" s="36">
        <v>3808</v>
      </c>
      <c r="B268" s="14" t="s">
        <v>7369</v>
      </c>
      <c r="C268" s="14" t="s">
        <v>7370</v>
      </c>
      <c r="D268" s="17">
        <v>44112</v>
      </c>
      <c r="E268" s="14" t="s">
        <v>30</v>
      </c>
      <c r="F268" s="14">
        <v>26</v>
      </c>
      <c r="G268" s="14">
        <v>8</v>
      </c>
      <c r="H268" s="14">
        <v>17</v>
      </c>
      <c r="I268" s="14">
        <v>9</v>
      </c>
      <c r="J268" s="14" t="s">
        <v>31</v>
      </c>
      <c r="K268" s="14" cm="1">
        <f t="array" ref="K268">INT(SUMPRODUCT(--ISNUMBER(SEARCH(economy,C268)))&gt;0)</f>
        <v>1</v>
      </c>
      <c r="L268" s="14" cm="1">
        <f t="array" ref="L268">INT(SUMPRODUCT(--ISNUMBER(SEARCH(healthcare,C268)))&gt;0)</f>
        <v>0</v>
      </c>
      <c r="M268" s="14" cm="1">
        <f t="array" ref="M268">INT(SUMPRODUCT(--ISNUMBER(SEARCH(supreme,C268)))&gt;0)</f>
        <v>0</v>
      </c>
      <c r="N268" s="14" cm="1">
        <f t="array" ref="N268">INT(SUMPRODUCT(--ISNUMBER(SEARCH(covid,C268)))&gt;0)</f>
        <v>1</v>
      </c>
      <c r="O268" s="14" cm="1">
        <f t="array" ref="O268">INT(SUMPRODUCT(--ISNUMBER(SEARCH(violent,C268)))&gt;0)</f>
        <v>0</v>
      </c>
      <c r="P268" s="14" cm="1">
        <f t="array" ref="P268">INT(SUMPRODUCT(--ISNUMBER(SEARCH(foreign,C268)))&gt;0)</f>
        <v>0</v>
      </c>
      <c r="Q268" s="14" cm="1">
        <f t="array" ref="Q268">INT(SUMPRODUCT(--ISNUMBER(SEARCH(gun,C268)))&gt;0)</f>
        <v>0</v>
      </c>
      <c r="R268" s="14" cm="1">
        <f t="array" ref="R268">INT(SUMPRODUCT(--ISNUMBER(SEARCH(race,C268)))&gt;0)</f>
        <v>0</v>
      </c>
      <c r="S268" s="14" cm="1">
        <f t="array" ref="S268">INT(SUMPRODUCT(--ISNUMBER(SEARCH(immigration,C268)))&gt;0)</f>
        <v>0</v>
      </c>
      <c r="T268" s="14" cm="1">
        <f t="array" ref="T268">INT(SUMPRODUCT(--ISNUMBER(SEARCH(econineq,C269)))&gt;0)</f>
        <v>0</v>
      </c>
      <c r="U268" s="14" cm="1">
        <f t="array" ref="U268">INT(SUMPRODUCT(--ISNUMBER(SEARCH(climate,C268)))&gt;0)</f>
        <v>0</v>
      </c>
      <c r="V268" s="14" cm="1">
        <f t="array" ref="V268">INT(SUMPRODUCT(--ISNUMBER(SEARCH(abortion,C268)))&gt;0)</f>
        <v>0</v>
      </c>
      <c r="W268" s="14" cm="1">
        <f t="array" ref="W268">INT(SUMPRODUCT(--ISNUMBER(SEARCH(trump,C268)))&gt;0)</f>
        <v>0</v>
      </c>
      <c r="X268" s="14" cm="1">
        <f t="array" ref="X268">INT(SUMPRODUCT(--ISNUMBER(SEARCH(voting,C268)))&gt;0)</f>
        <v>0</v>
      </c>
      <c r="Y268" s="35" cm="1">
        <f t="array" ref="Y268">INT(SUMPRODUCT(--ISNUMBER(SEARCH(republicantrigger,C268)))&gt;0)</f>
        <v>0</v>
      </c>
      <c r="Z268" s="35" cm="1">
        <f t="array" ref="Z268">INT(SUMPRODUCT(--ISNUMBER(SEARCH(bipartisan,C268)))&gt;0)</f>
        <v>0</v>
      </c>
      <c r="AA268" s="35">
        <f t="shared" si="4"/>
        <v>0</v>
      </c>
      <c r="AB268" s="14"/>
      <c r="AC268" s="30">
        <v>1</v>
      </c>
      <c r="AD268" s="37">
        <v>0</v>
      </c>
    </row>
    <row r="269" spans="1:30" x14ac:dyDescent="0.25">
      <c r="A269" s="36">
        <v>3809</v>
      </c>
      <c r="B269" s="14" t="s">
        <v>7371</v>
      </c>
      <c r="C269" s="14" t="s">
        <v>7372</v>
      </c>
      <c r="D269" s="17">
        <v>44112</v>
      </c>
      <c r="E269" s="14" t="s">
        <v>30</v>
      </c>
      <c r="F269" s="14">
        <v>44</v>
      </c>
      <c r="G269" s="14">
        <v>8</v>
      </c>
      <c r="H269" s="14">
        <v>17</v>
      </c>
      <c r="I269" s="14">
        <v>9</v>
      </c>
      <c r="J269" s="14" t="s">
        <v>31</v>
      </c>
      <c r="K269" s="14" cm="1">
        <f t="array" ref="K269">INT(SUMPRODUCT(--ISNUMBER(SEARCH(economy,C269)))&gt;0)</f>
        <v>0</v>
      </c>
      <c r="L269" s="14" cm="1">
        <f t="array" ref="L269">INT(SUMPRODUCT(--ISNUMBER(SEARCH(healthcare,C269)))&gt;0)</f>
        <v>0</v>
      </c>
      <c r="M269" s="14" cm="1">
        <f t="array" ref="M269">INT(SUMPRODUCT(--ISNUMBER(SEARCH(supreme,C269)))&gt;0)</f>
        <v>0</v>
      </c>
      <c r="N269" s="14" cm="1">
        <f t="array" ref="N269">INT(SUMPRODUCT(--ISNUMBER(SEARCH(covid,C269)))&gt;0)</f>
        <v>0</v>
      </c>
      <c r="O269" s="14" cm="1">
        <f t="array" ref="O269">INT(SUMPRODUCT(--ISNUMBER(SEARCH(violent,C269)))&gt;0)</f>
        <v>0</v>
      </c>
      <c r="P269" s="14" cm="1">
        <f t="array" ref="P269">INT(SUMPRODUCT(--ISNUMBER(SEARCH(foreign,C269)))&gt;0)</f>
        <v>0</v>
      </c>
      <c r="Q269" s="14" cm="1">
        <f t="array" ref="Q269">INT(SUMPRODUCT(--ISNUMBER(SEARCH(gun,C269)))&gt;0)</f>
        <v>0</v>
      </c>
      <c r="R269" s="14" cm="1">
        <f t="array" ref="R269">INT(SUMPRODUCT(--ISNUMBER(SEARCH(race,C269)))&gt;0)</f>
        <v>0</v>
      </c>
      <c r="S269" s="14" cm="1">
        <f t="array" ref="S269">INT(SUMPRODUCT(--ISNUMBER(SEARCH(immigration,C269)))&gt;0)</f>
        <v>0</v>
      </c>
      <c r="T269" s="14" cm="1">
        <f t="array" ref="T269">INT(SUMPRODUCT(--ISNUMBER(SEARCH(econineq,C270)))&gt;0)</f>
        <v>0</v>
      </c>
      <c r="U269" s="14" cm="1">
        <f t="array" ref="U269">INT(SUMPRODUCT(--ISNUMBER(SEARCH(climate,C269)))&gt;0)</f>
        <v>0</v>
      </c>
      <c r="V269" s="14" cm="1">
        <f t="array" ref="V269">INT(SUMPRODUCT(--ISNUMBER(SEARCH(abortion,C269)))&gt;0)</f>
        <v>0</v>
      </c>
      <c r="W269" s="14" cm="1">
        <f t="array" ref="W269">INT(SUMPRODUCT(--ISNUMBER(SEARCH(trump,C269)))&gt;0)</f>
        <v>0</v>
      </c>
      <c r="X269" s="14" cm="1">
        <f t="array" ref="X269">INT(SUMPRODUCT(--ISNUMBER(SEARCH(voting,C269)))&gt;0)</f>
        <v>0</v>
      </c>
      <c r="Y269" s="35" cm="1">
        <f t="array" ref="Y269">INT(SUMPRODUCT(--ISNUMBER(SEARCH(republicantrigger,C269)))&gt;0)</f>
        <v>0</v>
      </c>
      <c r="Z269" s="35" cm="1">
        <f t="array" ref="Z269">INT(SUMPRODUCT(--ISNUMBER(SEARCH(bipartisan,C269)))&gt;0)</f>
        <v>0</v>
      </c>
      <c r="AA269" s="35">
        <f t="shared" si="4"/>
        <v>1</v>
      </c>
      <c r="AB269" s="14"/>
      <c r="AC269" s="30" t="s">
        <v>223</v>
      </c>
      <c r="AD269" s="37" t="s">
        <v>223</v>
      </c>
    </row>
    <row r="270" spans="1:30" x14ac:dyDescent="0.25">
      <c r="A270" s="36">
        <v>3810</v>
      </c>
      <c r="B270" s="14" t="s">
        <v>7373</v>
      </c>
      <c r="C270" s="14" t="s">
        <v>7374</v>
      </c>
      <c r="D270" s="17">
        <v>44112</v>
      </c>
      <c r="E270" s="14" t="s">
        <v>30</v>
      </c>
      <c r="F270" s="14">
        <v>94</v>
      </c>
      <c r="G270" s="14">
        <v>25</v>
      </c>
      <c r="H270" s="14">
        <v>17</v>
      </c>
      <c r="I270" s="14">
        <v>9</v>
      </c>
      <c r="J270" s="14" t="s">
        <v>31</v>
      </c>
      <c r="K270" s="14" cm="1">
        <f t="array" ref="K270">INT(SUMPRODUCT(--ISNUMBER(SEARCH(economy,C270)))&gt;0)</f>
        <v>0</v>
      </c>
      <c r="L270" s="14" cm="1">
        <f t="array" ref="L270">INT(SUMPRODUCT(--ISNUMBER(SEARCH(healthcare,C270)))&gt;0)</f>
        <v>0</v>
      </c>
      <c r="M270" s="14" cm="1">
        <f t="array" ref="M270">INT(SUMPRODUCT(--ISNUMBER(SEARCH(supreme,C270)))&gt;0)</f>
        <v>0</v>
      </c>
      <c r="N270" s="14" cm="1">
        <f t="array" ref="N270">INT(SUMPRODUCT(--ISNUMBER(SEARCH(covid,C270)))&gt;0)</f>
        <v>0</v>
      </c>
      <c r="O270" s="14" cm="1">
        <f t="array" ref="O270">INT(SUMPRODUCT(--ISNUMBER(SEARCH(violent,C270)))&gt;0)</f>
        <v>0</v>
      </c>
      <c r="P270" s="14" cm="1">
        <f t="array" ref="P270">INT(SUMPRODUCT(--ISNUMBER(SEARCH(foreign,C270)))&gt;0)</f>
        <v>0</v>
      </c>
      <c r="Q270" s="14" cm="1">
        <f t="array" ref="Q270">INT(SUMPRODUCT(--ISNUMBER(SEARCH(gun,C270)))&gt;0)</f>
        <v>0</v>
      </c>
      <c r="R270" s="14" cm="1">
        <f t="array" ref="R270">INT(SUMPRODUCT(--ISNUMBER(SEARCH(race,C270)))&gt;0)</f>
        <v>0</v>
      </c>
      <c r="S270" s="14" cm="1">
        <f t="array" ref="S270">INT(SUMPRODUCT(--ISNUMBER(SEARCH(immigration,C270)))&gt;0)</f>
        <v>0</v>
      </c>
      <c r="T270" s="14" cm="1">
        <f t="array" ref="T270">INT(SUMPRODUCT(--ISNUMBER(SEARCH(econineq,C271)))&gt;0)</f>
        <v>0</v>
      </c>
      <c r="U270" s="14" cm="1">
        <f t="array" ref="U270">INT(SUMPRODUCT(--ISNUMBER(SEARCH(climate,C270)))&gt;0)</f>
        <v>0</v>
      </c>
      <c r="V270" s="14" cm="1">
        <f t="array" ref="V270">INT(SUMPRODUCT(--ISNUMBER(SEARCH(abortion,C270)))&gt;0)</f>
        <v>0</v>
      </c>
      <c r="W270" s="14" cm="1">
        <f t="array" ref="W270">INT(SUMPRODUCT(--ISNUMBER(SEARCH(trump,C270)))&gt;0)</f>
        <v>0</v>
      </c>
      <c r="X270" s="14" cm="1">
        <f t="array" ref="X270">INT(SUMPRODUCT(--ISNUMBER(SEARCH(voting,C270)))&gt;0)</f>
        <v>0</v>
      </c>
      <c r="Y270" s="35" cm="1">
        <f t="array" ref="Y270">INT(SUMPRODUCT(--ISNUMBER(SEARCH(republicantrigger,C270)))&gt;0)</f>
        <v>0</v>
      </c>
      <c r="Z270" s="35" cm="1">
        <f t="array" ref="Z270">INT(SUMPRODUCT(--ISNUMBER(SEARCH(bipartisan,C270)))&gt;0)</f>
        <v>0</v>
      </c>
      <c r="AA270" s="35">
        <f t="shared" si="4"/>
        <v>1</v>
      </c>
      <c r="AB270" s="14"/>
      <c r="AC270" s="30" t="s">
        <v>223</v>
      </c>
      <c r="AD270" s="37" t="s">
        <v>223</v>
      </c>
    </row>
    <row r="271" spans="1:30" x14ac:dyDescent="0.25">
      <c r="A271" s="36">
        <v>3811</v>
      </c>
      <c r="B271" s="14" t="s">
        <v>7375</v>
      </c>
      <c r="C271" s="14" t="s">
        <v>7376</v>
      </c>
      <c r="D271" s="17">
        <v>44112</v>
      </c>
      <c r="E271" s="14" t="s">
        <v>30</v>
      </c>
      <c r="F271" s="14">
        <v>15</v>
      </c>
      <c r="G271" s="14">
        <v>3</v>
      </c>
      <c r="H271" s="14">
        <v>17</v>
      </c>
      <c r="I271" s="14">
        <v>9</v>
      </c>
      <c r="J271" s="14" t="s">
        <v>31</v>
      </c>
      <c r="K271" s="14" cm="1">
        <f t="array" ref="K271">INT(SUMPRODUCT(--ISNUMBER(SEARCH(economy,C271)))&gt;0)</f>
        <v>0</v>
      </c>
      <c r="L271" s="14" cm="1">
        <f t="array" ref="L271">INT(SUMPRODUCT(--ISNUMBER(SEARCH(healthcare,C271)))&gt;0)</f>
        <v>0</v>
      </c>
      <c r="M271" s="14" cm="1">
        <f t="array" ref="M271">INT(SUMPRODUCT(--ISNUMBER(SEARCH(supreme,C271)))&gt;0)</f>
        <v>0</v>
      </c>
      <c r="N271" s="14" cm="1">
        <f t="array" ref="N271">INT(SUMPRODUCT(--ISNUMBER(SEARCH(covid,C271)))&gt;0)</f>
        <v>0</v>
      </c>
      <c r="O271" s="14" cm="1">
        <f t="array" ref="O271">INT(SUMPRODUCT(--ISNUMBER(SEARCH(violent,C271)))&gt;0)</f>
        <v>0</v>
      </c>
      <c r="P271" s="14" cm="1">
        <f t="array" ref="P271">INT(SUMPRODUCT(--ISNUMBER(SEARCH(foreign,C271)))&gt;0)</f>
        <v>1</v>
      </c>
      <c r="Q271" s="14" cm="1">
        <f t="array" ref="Q271">INT(SUMPRODUCT(--ISNUMBER(SEARCH(gun,C271)))&gt;0)</f>
        <v>0</v>
      </c>
      <c r="R271" s="14" cm="1">
        <f t="array" ref="R271">INT(SUMPRODUCT(--ISNUMBER(SEARCH(race,C271)))&gt;0)</f>
        <v>0</v>
      </c>
      <c r="S271" s="14" cm="1">
        <f t="array" ref="S271">INT(SUMPRODUCT(--ISNUMBER(SEARCH(immigration,C271)))&gt;0)</f>
        <v>0</v>
      </c>
      <c r="T271" s="14" cm="1">
        <f t="array" ref="T271">INT(SUMPRODUCT(--ISNUMBER(SEARCH(econineq,C272)))&gt;0)</f>
        <v>0</v>
      </c>
      <c r="U271" s="14" cm="1">
        <f t="array" ref="U271">INT(SUMPRODUCT(--ISNUMBER(SEARCH(climate,C271)))&gt;0)</f>
        <v>1</v>
      </c>
      <c r="V271" s="14" cm="1">
        <f t="array" ref="V271">INT(SUMPRODUCT(--ISNUMBER(SEARCH(abortion,C271)))&gt;0)</f>
        <v>0</v>
      </c>
      <c r="W271" s="14" cm="1">
        <f t="array" ref="W271">INT(SUMPRODUCT(--ISNUMBER(SEARCH(trump,C271)))&gt;0)</f>
        <v>0</v>
      </c>
      <c r="X271" s="14" cm="1">
        <f t="array" ref="X271">INT(SUMPRODUCT(--ISNUMBER(SEARCH(voting,C271)))&gt;0)</f>
        <v>0</v>
      </c>
      <c r="Y271" s="35" cm="1">
        <f t="array" ref="Y271">INT(SUMPRODUCT(--ISNUMBER(SEARCH(republicantrigger,C271)))&gt;0)</f>
        <v>0</v>
      </c>
      <c r="Z271" s="35" cm="1">
        <f t="array" ref="Z271">INT(SUMPRODUCT(--ISNUMBER(SEARCH(bipartisan,C271)))&gt;0)</f>
        <v>0</v>
      </c>
      <c r="AA271" s="35">
        <f t="shared" si="4"/>
        <v>0</v>
      </c>
      <c r="AB271" s="14"/>
      <c r="AC271" s="30" t="s">
        <v>223</v>
      </c>
      <c r="AD271" s="37" t="s">
        <v>223</v>
      </c>
    </row>
    <row r="272" spans="1:30" x14ac:dyDescent="0.25">
      <c r="A272" s="36">
        <v>3812</v>
      </c>
      <c r="B272" s="14" t="s">
        <v>7377</v>
      </c>
      <c r="C272" s="14" t="s">
        <v>7378</v>
      </c>
      <c r="D272" s="17">
        <v>44112</v>
      </c>
      <c r="E272" s="14" t="s">
        <v>30</v>
      </c>
      <c r="F272" s="14">
        <v>21</v>
      </c>
      <c r="G272" s="14">
        <v>7</v>
      </c>
      <c r="H272" s="14">
        <v>17</v>
      </c>
      <c r="I272" s="14">
        <v>9</v>
      </c>
      <c r="J272" s="14" t="s">
        <v>31</v>
      </c>
      <c r="K272" s="14" cm="1">
        <f t="array" ref="K272">INT(SUMPRODUCT(--ISNUMBER(SEARCH(economy,C272)))&gt;0)</f>
        <v>0</v>
      </c>
      <c r="L272" s="14" cm="1">
        <f t="array" ref="L272">INT(SUMPRODUCT(--ISNUMBER(SEARCH(healthcare,C272)))&gt;0)</f>
        <v>0</v>
      </c>
      <c r="M272" s="14" cm="1">
        <f t="array" ref="M272">INT(SUMPRODUCT(--ISNUMBER(SEARCH(supreme,C272)))&gt;0)</f>
        <v>0</v>
      </c>
      <c r="N272" s="14" cm="1">
        <f t="array" ref="N272">INT(SUMPRODUCT(--ISNUMBER(SEARCH(covid,C272)))&gt;0)</f>
        <v>1</v>
      </c>
      <c r="O272" s="14" cm="1">
        <f t="array" ref="O272">INT(SUMPRODUCT(--ISNUMBER(SEARCH(violent,C272)))&gt;0)</f>
        <v>0</v>
      </c>
      <c r="P272" s="14" cm="1">
        <f t="array" ref="P272">INT(SUMPRODUCT(--ISNUMBER(SEARCH(foreign,C272)))&gt;0)</f>
        <v>0</v>
      </c>
      <c r="Q272" s="14" cm="1">
        <f t="array" ref="Q272">INT(SUMPRODUCT(--ISNUMBER(SEARCH(gun,C272)))&gt;0)</f>
        <v>0</v>
      </c>
      <c r="R272" s="14" cm="1">
        <f t="array" ref="R272">INT(SUMPRODUCT(--ISNUMBER(SEARCH(race,C272)))&gt;0)</f>
        <v>0</v>
      </c>
      <c r="S272" s="14" cm="1">
        <f t="array" ref="S272">INT(SUMPRODUCT(--ISNUMBER(SEARCH(immigration,C272)))&gt;0)</f>
        <v>0</v>
      </c>
      <c r="T272" s="14" cm="1">
        <f t="array" ref="T272">INT(SUMPRODUCT(--ISNUMBER(SEARCH(econineq,C273)))&gt;0)</f>
        <v>0</v>
      </c>
      <c r="U272" s="14" cm="1">
        <f t="array" ref="U272">INT(SUMPRODUCT(--ISNUMBER(SEARCH(climate,C272)))&gt;0)</f>
        <v>0</v>
      </c>
      <c r="V272" s="14" cm="1">
        <f t="array" ref="V272">INT(SUMPRODUCT(--ISNUMBER(SEARCH(abortion,C272)))&gt;0)</f>
        <v>0</v>
      </c>
      <c r="W272" s="14" cm="1">
        <f t="array" ref="W272">INT(SUMPRODUCT(--ISNUMBER(SEARCH(trump,C272)))&gt;0)</f>
        <v>0</v>
      </c>
      <c r="X272" s="14" cm="1">
        <f t="array" ref="X272">INT(SUMPRODUCT(--ISNUMBER(SEARCH(voting,C272)))&gt;0)</f>
        <v>0</v>
      </c>
      <c r="Y272" s="35" cm="1">
        <f t="array" ref="Y272">INT(SUMPRODUCT(--ISNUMBER(SEARCH(republicantrigger,C272)))&gt;0)</f>
        <v>0</v>
      </c>
      <c r="Z272" s="35" cm="1">
        <f t="array" ref="Z272">INT(SUMPRODUCT(--ISNUMBER(SEARCH(bipartisan,C272)))&gt;0)</f>
        <v>0</v>
      </c>
      <c r="AA272" s="35">
        <f t="shared" si="4"/>
        <v>0</v>
      </c>
      <c r="AB272" s="14"/>
      <c r="AC272" s="30">
        <v>1</v>
      </c>
      <c r="AD272" s="37">
        <v>0</v>
      </c>
    </row>
    <row r="273" spans="1:30" x14ac:dyDescent="0.25">
      <c r="A273" s="36">
        <v>3813</v>
      </c>
      <c r="B273" s="14" t="s">
        <v>7379</v>
      </c>
      <c r="C273" s="14" t="s">
        <v>7380</v>
      </c>
      <c r="D273" s="17">
        <v>44112</v>
      </c>
      <c r="E273" s="14" t="s">
        <v>30</v>
      </c>
      <c r="F273" s="14">
        <v>74</v>
      </c>
      <c r="G273" s="14">
        <v>28</v>
      </c>
      <c r="H273" s="14">
        <v>17</v>
      </c>
      <c r="I273" s="14">
        <v>9</v>
      </c>
      <c r="J273" s="14" t="s">
        <v>31</v>
      </c>
      <c r="K273" s="14" cm="1">
        <f t="array" ref="K273">INT(SUMPRODUCT(--ISNUMBER(SEARCH(economy,C273)))&gt;0)</f>
        <v>0</v>
      </c>
      <c r="L273" s="14" cm="1">
        <f t="array" ref="L273">INT(SUMPRODUCT(--ISNUMBER(SEARCH(healthcare,C273)))&gt;0)</f>
        <v>0</v>
      </c>
      <c r="M273" s="14" cm="1">
        <f t="array" ref="M273">INT(SUMPRODUCT(--ISNUMBER(SEARCH(supreme,C273)))&gt;0)</f>
        <v>0</v>
      </c>
      <c r="N273" s="14" cm="1">
        <f t="array" ref="N273">INT(SUMPRODUCT(--ISNUMBER(SEARCH(covid,C273)))&gt;0)</f>
        <v>0</v>
      </c>
      <c r="O273" s="14" cm="1">
        <f t="array" ref="O273">INT(SUMPRODUCT(--ISNUMBER(SEARCH(violent,C273)))&gt;0)</f>
        <v>0</v>
      </c>
      <c r="P273" s="14" cm="1">
        <f t="array" ref="P273">INT(SUMPRODUCT(--ISNUMBER(SEARCH(foreign,C273)))&gt;0)</f>
        <v>0</v>
      </c>
      <c r="Q273" s="14" cm="1">
        <f t="array" ref="Q273">INT(SUMPRODUCT(--ISNUMBER(SEARCH(gun,C273)))&gt;0)</f>
        <v>1</v>
      </c>
      <c r="R273" s="14" cm="1">
        <f t="array" ref="R273">INT(SUMPRODUCT(--ISNUMBER(SEARCH(race,C273)))&gt;0)</f>
        <v>0</v>
      </c>
      <c r="S273" s="14" cm="1">
        <f t="array" ref="S273">INT(SUMPRODUCT(--ISNUMBER(SEARCH(immigration,C273)))&gt;0)</f>
        <v>0</v>
      </c>
      <c r="T273" s="14" cm="1">
        <f t="array" ref="T273">INT(SUMPRODUCT(--ISNUMBER(SEARCH(econineq,C274)))&gt;0)</f>
        <v>0</v>
      </c>
      <c r="U273" s="14" cm="1">
        <f t="array" ref="U273">INT(SUMPRODUCT(--ISNUMBER(SEARCH(climate,C273)))&gt;0)</f>
        <v>0</v>
      </c>
      <c r="V273" s="14" cm="1">
        <f t="array" ref="V273">INT(SUMPRODUCT(--ISNUMBER(SEARCH(abortion,C273)))&gt;0)</f>
        <v>0</v>
      </c>
      <c r="W273" s="14" cm="1">
        <f t="array" ref="W273">INT(SUMPRODUCT(--ISNUMBER(SEARCH(trump,C273)))&gt;0)</f>
        <v>0</v>
      </c>
      <c r="X273" s="14" cm="1">
        <f t="array" ref="X273">INT(SUMPRODUCT(--ISNUMBER(SEARCH(voting,C273)))&gt;0)</f>
        <v>0</v>
      </c>
      <c r="Y273" s="35" cm="1">
        <f t="array" ref="Y273">INT(SUMPRODUCT(--ISNUMBER(SEARCH(republicantrigger,C273)))&gt;0)</f>
        <v>0</v>
      </c>
      <c r="Z273" s="35" cm="1">
        <f t="array" ref="Z273">INT(SUMPRODUCT(--ISNUMBER(SEARCH(bipartisan,C273)))&gt;0)</f>
        <v>0</v>
      </c>
      <c r="AA273" s="35">
        <f t="shared" si="4"/>
        <v>0</v>
      </c>
      <c r="AB273" s="14"/>
      <c r="AC273" s="30" t="s">
        <v>223</v>
      </c>
      <c r="AD273" s="37" t="s">
        <v>223</v>
      </c>
    </row>
    <row r="274" spans="1:30" x14ac:dyDescent="0.25">
      <c r="A274" s="36">
        <v>3814</v>
      </c>
      <c r="B274" s="14" t="s">
        <v>7381</v>
      </c>
      <c r="C274" s="14" t="s">
        <v>7382</v>
      </c>
      <c r="D274" s="17">
        <v>44112</v>
      </c>
      <c r="E274" s="14" t="s">
        <v>30</v>
      </c>
      <c r="F274" s="14">
        <v>28</v>
      </c>
      <c r="G274" s="14">
        <v>21</v>
      </c>
      <c r="H274" s="14">
        <v>17</v>
      </c>
      <c r="I274" s="14">
        <v>9</v>
      </c>
      <c r="J274" s="14" t="s">
        <v>31</v>
      </c>
      <c r="K274" s="14" cm="1">
        <f t="array" ref="K274">INT(SUMPRODUCT(--ISNUMBER(SEARCH(economy,C274)))&gt;0)</f>
        <v>0</v>
      </c>
      <c r="L274" s="14" cm="1">
        <f t="array" ref="L274">INT(SUMPRODUCT(--ISNUMBER(SEARCH(healthcare,C274)))&gt;0)</f>
        <v>0</v>
      </c>
      <c r="M274" s="14" cm="1">
        <f t="array" ref="M274">INT(SUMPRODUCT(--ISNUMBER(SEARCH(supreme,C274)))&gt;0)</f>
        <v>0</v>
      </c>
      <c r="N274" s="14" cm="1">
        <f t="array" ref="N274">INT(SUMPRODUCT(--ISNUMBER(SEARCH(covid,C274)))&gt;0)</f>
        <v>0</v>
      </c>
      <c r="O274" s="14" cm="1">
        <f t="array" ref="O274">INT(SUMPRODUCT(--ISNUMBER(SEARCH(violent,C274)))&gt;0)</f>
        <v>0</v>
      </c>
      <c r="P274" s="14" cm="1">
        <f t="array" ref="P274">INT(SUMPRODUCT(--ISNUMBER(SEARCH(foreign,C274)))&gt;0)</f>
        <v>1</v>
      </c>
      <c r="Q274" s="14" cm="1">
        <f t="array" ref="Q274">INT(SUMPRODUCT(--ISNUMBER(SEARCH(gun,C274)))&gt;0)</f>
        <v>0</v>
      </c>
      <c r="R274" s="14" cm="1">
        <f t="array" ref="R274">INT(SUMPRODUCT(--ISNUMBER(SEARCH(race,C274)))&gt;0)</f>
        <v>0</v>
      </c>
      <c r="S274" s="14" cm="1">
        <f t="array" ref="S274">INT(SUMPRODUCT(--ISNUMBER(SEARCH(immigration,C274)))&gt;0)</f>
        <v>0</v>
      </c>
      <c r="T274" s="14" cm="1">
        <f t="array" ref="T274">INT(SUMPRODUCT(--ISNUMBER(SEARCH(econineq,C275)))&gt;0)</f>
        <v>0</v>
      </c>
      <c r="U274" s="14" cm="1">
        <f t="array" ref="U274">INT(SUMPRODUCT(--ISNUMBER(SEARCH(climate,C274)))&gt;0)</f>
        <v>0</v>
      </c>
      <c r="V274" s="14" cm="1">
        <f t="array" ref="V274">INT(SUMPRODUCT(--ISNUMBER(SEARCH(abortion,C274)))&gt;0)</f>
        <v>0</v>
      </c>
      <c r="W274" s="14" cm="1">
        <f t="array" ref="W274">INT(SUMPRODUCT(--ISNUMBER(SEARCH(trump,C274)))&gt;0)</f>
        <v>0</v>
      </c>
      <c r="X274" s="14" cm="1">
        <f t="array" ref="X274">INT(SUMPRODUCT(--ISNUMBER(SEARCH(voting,C274)))&gt;0)</f>
        <v>0</v>
      </c>
      <c r="Y274" s="35" cm="1">
        <f t="array" ref="Y274">INT(SUMPRODUCT(--ISNUMBER(SEARCH(republicantrigger,C274)))&gt;0)</f>
        <v>0</v>
      </c>
      <c r="Z274" s="35" cm="1">
        <f t="array" ref="Z274">INT(SUMPRODUCT(--ISNUMBER(SEARCH(bipartisan,C274)))&gt;0)</f>
        <v>0</v>
      </c>
      <c r="AA274" s="35">
        <f t="shared" si="4"/>
        <v>0</v>
      </c>
      <c r="AB274" s="14"/>
      <c r="AC274" s="30" t="s">
        <v>223</v>
      </c>
      <c r="AD274" s="37" t="s">
        <v>223</v>
      </c>
    </row>
    <row r="275" spans="1:30" x14ac:dyDescent="0.25">
      <c r="A275" s="36">
        <v>3815</v>
      </c>
      <c r="B275" s="14" t="s">
        <v>7383</v>
      </c>
      <c r="C275" s="14" t="s">
        <v>7384</v>
      </c>
      <c r="D275" s="17">
        <v>44112</v>
      </c>
      <c r="E275" s="14" t="s">
        <v>30</v>
      </c>
      <c r="F275" s="14">
        <v>111</v>
      </c>
      <c r="G275" s="14">
        <v>20</v>
      </c>
      <c r="H275" s="14">
        <v>17</v>
      </c>
      <c r="I275" s="14">
        <v>9</v>
      </c>
      <c r="J275" s="14" t="s">
        <v>31</v>
      </c>
      <c r="K275" s="14" cm="1">
        <f t="array" ref="K275">INT(SUMPRODUCT(--ISNUMBER(SEARCH(economy,C275)))&gt;0)</f>
        <v>0</v>
      </c>
      <c r="L275" s="14" cm="1">
        <f t="array" ref="L275">INT(SUMPRODUCT(--ISNUMBER(SEARCH(healthcare,C275)))&gt;0)</f>
        <v>0</v>
      </c>
      <c r="M275" s="14" cm="1">
        <f t="array" ref="M275">INT(SUMPRODUCT(--ISNUMBER(SEARCH(supreme,C275)))&gt;0)</f>
        <v>0</v>
      </c>
      <c r="N275" s="14" cm="1">
        <f t="array" ref="N275">INT(SUMPRODUCT(--ISNUMBER(SEARCH(covid,C275)))&gt;0)</f>
        <v>0</v>
      </c>
      <c r="O275" s="14" cm="1">
        <f t="array" ref="O275">INT(SUMPRODUCT(--ISNUMBER(SEARCH(violent,C275)))&gt;0)</f>
        <v>0</v>
      </c>
      <c r="P275" s="14" cm="1">
        <f t="array" ref="P275">INT(SUMPRODUCT(--ISNUMBER(SEARCH(foreign,C275)))&gt;0)</f>
        <v>0</v>
      </c>
      <c r="Q275" s="14" cm="1">
        <f t="array" ref="Q275">INT(SUMPRODUCT(--ISNUMBER(SEARCH(gun,C275)))&gt;0)</f>
        <v>0</v>
      </c>
      <c r="R275" s="14" cm="1">
        <f t="array" ref="R275">INT(SUMPRODUCT(--ISNUMBER(SEARCH(race,C275)))&gt;0)</f>
        <v>0</v>
      </c>
      <c r="S275" s="14" cm="1">
        <f t="array" ref="S275">INT(SUMPRODUCT(--ISNUMBER(SEARCH(immigration,C275)))&gt;0)</f>
        <v>0</v>
      </c>
      <c r="T275" s="14" cm="1">
        <f t="array" ref="T275">INT(SUMPRODUCT(--ISNUMBER(SEARCH(econineq,C276)))&gt;0)</f>
        <v>0</v>
      </c>
      <c r="U275" s="14" cm="1">
        <f t="array" ref="U275">INT(SUMPRODUCT(--ISNUMBER(SEARCH(climate,C275)))&gt;0)</f>
        <v>0</v>
      </c>
      <c r="V275" s="14" cm="1">
        <f t="array" ref="V275">INT(SUMPRODUCT(--ISNUMBER(SEARCH(abortion,C275)))&gt;0)</f>
        <v>0</v>
      </c>
      <c r="W275" s="14" cm="1">
        <f t="array" ref="W275">INT(SUMPRODUCT(--ISNUMBER(SEARCH(trump,C275)))&gt;0)</f>
        <v>0</v>
      </c>
      <c r="X275" s="14" cm="1">
        <f t="array" ref="X275">INT(SUMPRODUCT(--ISNUMBER(SEARCH(voting,C275)))&gt;0)</f>
        <v>0</v>
      </c>
      <c r="Y275" s="35" cm="1">
        <f t="array" ref="Y275">INT(SUMPRODUCT(--ISNUMBER(SEARCH(republicantrigger,C275)))&gt;0)</f>
        <v>0</v>
      </c>
      <c r="Z275" s="35" cm="1">
        <f t="array" ref="Z275">INT(SUMPRODUCT(--ISNUMBER(SEARCH(bipartisan,C275)))&gt;0)</f>
        <v>0</v>
      </c>
      <c r="AA275" s="35">
        <f t="shared" si="4"/>
        <v>1</v>
      </c>
      <c r="AB275" s="14"/>
      <c r="AC275" s="30" t="s">
        <v>223</v>
      </c>
      <c r="AD275" s="37" t="s">
        <v>223</v>
      </c>
    </row>
    <row r="276" spans="1:30" x14ac:dyDescent="0.25">
      <c r="A276" s="36">
        <v>3816</v>
      </c>
      <c r="B276" s="14" t="s">
        <v>7385</v>
      </c>
      <c r="C276" s="14" t="s">
        <v>7386</v>
      </c>
      <c r="D276" s="17">
        <v>44112</v>
      </c>
      <c r="E276" s="14" t="s">
        <v>30</v>
      </c>
      <c r="F276" s="14">
        <v>685</v>
      </c>
      <c r="G276" s="14">
        <v>370</v>
      </c>
      <c r="H276" s="14">
        <v>17</v>
      </c>
      <c r="I276" s="14">
        <v>9</v>
      </c>
      <c r="J276" s="14" t="s">
        <v>31</v>
      </c>
      <c r="K276" s="14" cm="1">
        <f t="array" ref="K276">INT(SUMPRODUCT(--ISNUMBER(SEARCH(economy,C276)))&gt;0)</f>
        <v>0</v>
      </c>
      <c r="L276" s="14" cm="1">
        <f t="array" ref="L276">INT(SUMPRODUCT(--ISNUMBER(SEARCH(healthcare,C276)))&gt;0)</f>
        <v>0</v>
      </c>
      <c r="M276" s="14" cm="1">
        <f t="array" ref="M276">INT(SUMPRODUCT(--ISNUMBER(SEARCH(supreme,C276)))&gt;0)</f>
        <v>0</v>
      </c>
      <c r="N276" s="14" cm="1">
        <f t="array" ref="N276">INT(SUMPRODUCT(--ISNUMBER(SEARCH(covid,C276)))&gt;0)</f>
        <v>0</v>
      </c>
      <c r="O276" s="14" cm="1">
        <f t="array" ref="O276">INT(SUMPRODUCT(--ISNUMBER(SEARCH(violent,C276)))&gt;0)</f>
        <v>0</v>
      </c>
      <c r="P276" s="14" cm="1">
        <f t="array" ref="P276">INT(SUMPRODUCT(--ISNUMBER(SEARCH(foreign,C276)))&gt;0)</f>
        <v>0</v>
      </c>
      <c r="Q276" s="14" cm="1">
        <f t="array" ref="Q276">INT(SUMPRODUCT(--ISNUMBER(SEARCH(gun,C276)))&gt;0)</f>
        <v>0</v>
      </c>
      <c r="R276" s="14" cm="1">
        <f t="array" ref="R276">INT(SUMPRODUCT(--ISNUMBER(SEARCH(race,C276)))&gt;0)</f>
        <v>0</v>
      </c>
      <c r="S276" s="14" cm="1">
        <f t="array" ref="S276">INT(SUMPRODUCT(--ISNUMBER(SEARCH(immigration,C276)))&gt;0)</f>
        <v>0</v>
      </c>
      <c r="T276" s="14" cm="1">
        <f t="array" ref="T276">INT(SUMPRODUCT(--ISNUMBER(SEARCH(econineq,C277)))&gt;0)</f>
        <v>0</v>
      </c>
      <c r="U276" s="14" cm="1">
        <f t="array" ref="U276">INT(SUMPRODUCT(--ISNUMBER(SEARCH(climate,C276)))&gt;0)</f>
        <v>0</v>
      </c>
      <c r="V276" s="14" cm="1">
        <f t="array" ref="V276">INT(SUMPRODUCT(--ISNUMBER(SEARCH(abortion,C276)))&gt;0)</f>
        <v>0</v>
      </c>
      <c r="W276" s="14" cm="1">
        <f t="array" ref="W276">INT(SUMPRODUCT(--ISNUMBER(SEARCH(trump,C276)))&gt;0)</f>
        <v>0</v>
      </c>
      <c r="X276" s="14" cm="1">
        <f t="array" ref="X276">INT(SUMPRODUCT(--ISNUMBER(SEARCH(voting,C276)))&gt;0)</f>
        <v>0</v>
      </c>
      <c r="Y276" s="35" cm="1">
        <f t="array" ref="Y276">INT(SUMPRODUCT(--ISNUMBER(SEARCH(republicantrigger,C276)))&gt;0)</f>
        <v>0</v>
      </c>
      <c r="Z276" s="35" cm="1">
        <f t="array" ref="Z276">INT(SUMPRODUCT(--ISNUMBER(SEARCH(bipartisan,C276)))&gt;0)</f>
        <v>0</v>
      </c>
      <c r="AA276" s="35">
        <f t="shared" si="4"/>
        <v>1</v>
      </c>
      <c r="AB276" s="14"/>
      <c r="AC276" s="30" t="s">
        <v>223</v>
      </c>
      <c r="AD276" s="37" t="s">
        <v>223</v>
      </c>
    </row>
    <row r="277" spans="1:30" x14ac:dyDescent="0.25">
      <c r="A277" s="36">
        <v>3817</v>
      </c>
      <c r="B277" s="14" t="s">
        <v>7387</v>
      </c>
      <c r="C277" s="14" t="s">
        <v>7388</v>
      </c>
      <c r="D277" s="17">
        <v>44112</v>
      </c>
      <c r="E277" s="14" t="s">
        <v>30</v>
      </c>
      <c r="F277" s="14">
        <v>340</v>
      </c>
      <c r="G277" s="14">
        <v>131</v>
      </c>
      <c r="H277" s="14">
        <v>17</v>
      </c>
      <c r="I277" s="14">
        <v>9</v>
      </c>
      <c r="J277" s="14" t="s">
        <v>31</v>
      </c>
      <c r="K277" s="14" cm="1">
        <f t="array" ref="K277">INT(SUMPRODUCT(--ISNUMBER(SEARCH(economy,C277)))&gt;0)</f>
        <v>0</v>
      </c>
      <c r="L277" s="14" cm="1">
        <f t="array" ref="L277">INT(SUMPRODUCT(--ISNUMBER(SEARCH(healthcare,C277)))&gt;0)</f>
        <v>0</v>
      </c>
      <c r="M277" s="14" cm="1">
        <f t="array" ref="M277">INT(SUMPRODUCT(--ISNUMBER(SEARCH(supreme,C277)))&gt;0)</f>
        <v>0</v>
      </c>
      <c r="N277" s="14" cm="1">
        <f t="array" ref="N277">INT(SUMPRODUCT(--ISNUMBER(SEARCH(covid,C277)))&gt;0)</f>
        <v>0</v>
      </c>
      <c r="O277" s="14" cm="1">
        <f t="array" ref="O277">INT(SUMPRODUCT(--ISNUMBER(SEARCH(violent,C277)))&gt;0)</f>
        <v>0</v>
      </c>
      <c r="P277" s="14" cm="1">
        <f t="array" ref="P277">INT(SUMPRODUCT(--ISNUMBER(SEARCH(foreign,C277)))&gt;0)</f>
        <v>0</v>
      </c>
      <c r="Q277" s="14" cm="1">
        <f t="array" ref="Q277">INT(SUMPRODUCT(--ISNUMBER(SEARCH(gun,C277)))&gt;0)</f>
        <v>0</v>
      </c>
      <c r="R277" s="14" cm="1">
        <f t="array" ref="R277">INT(SUMPRODUCT(--ISNUMBER(SEARCH(race,C277)))&gt;0)</f>
        <v>0</v>
      </c>
      <c r="S277" s="14" cm="1">
        <f t="array" ref="S277">INT(SUMPRODUCT(--ISNUMBER(SEARCH(immigration,C277)))&gt;0)</f>
        <v>0</v>
      </c>
      <c r="T277" s="14" cm="1">
        <f t="array" ref="T277">INT(SUMPRODUCT(--ISNUMBER(SEARCH(econineq,C278)))&gt;0)</f>
        <v>0</v>
      </c>
      <c r="U277" s="14" cm="1">
        <f t="array" ref="U277">INT(SUMPRODUCT(--ISNUMBER(SEARCH(climate,C277)))&gt;0)</f>
        <v>0</v>
      </c>
      <c r="V277" s="14" cm="1">
        <f t="array" ref="V277">INT(SUMPRODUCT(--ISNUMBER(SEARCH(abortion,C277)))&gt;0)</f>
        <v>0</v>
      </c>
      <c r="W277" s="14" cm="1">
        <f t="array" ref="W277">INT(SUMPRODUCT(--ISNUMBER(SEARCH(trump,C277)))&gt;0)</f>
        <v>0</v>
      </c>
      <c r="X277" s="14" cm="1">
        <f t="array" ref="X277">INT(SUMPRODUCT(--ISNUMBER(SEARCH(voting,C277)))&gt;0)</f>
        <v>0</v>
      </c>
      <c r="Y277" s="35" cm="1">
        <f t="array" ref="Y277">INT(SUMPRODUCT(--ISNUMBER(SEARCH(republicantrigger,C277)))&gt;0)</f>
        <v>0</v>
      </c>
      <c r="Z277" s="35" cm="1">
        <f t="array" ref="Z277">INT(SUMPRODUCT(--ISNUMBER(SEARCH(bipartisan,C277)))&gt;0)</f>
        <v>0</v>
      </c>
      <c r="AA277" s="35">
        <f t="shared" si="4"/>
        <v>1</v>
      </c>
      <c r="AB277" s="14"/>
      <c r="AC277" s="30" t="s">
        <v>223</v>
      </c>
      <c r="AD277" s="37" t="s">
        <v>223</v>
      </c>
    </row>
    <row r="278" spans="1:30" x14ac:dyDescent="0.25">
      <c r="A278" s="36">
        <v>3818</v>
      </c>
      <c r="B278" s="14" t="s">
        <v>7389</v>
      </c>
      <c r="C278" s="14" t="s">
        <v>7390</v>
      </c>
      <c r="D278" s="17">
        <v>44111</v>
      </c>
      <c r="E278" s="14" t="s">
        <v>30</v>
      </c>
      <c r="F278" s="14">
        <v>116</v>
      </c>
      <c r="G278" s="14">
        <v>32</v>
      </c>
      <c r="H278" s="14">
        <v>17</v>
      </c>
      <c r="I278" s="14">
        <v>9</v>
      </c>
      <c r="J278" s="14" t="s">
        <v>31</v>
      </c>
      <c r="K278" s="14" cm="1">
        <f t="array" ref="K278">INT(SUMPRODUCT(--ISNUMBER(SEARCH(economy,C278)))&gt;0)</f>
        <v>0</v>
      </c>
      <c r="L278" s="14" cm="1">
        <f t="array" ref="L278">INT(SUMPRODUCT(--ISNUMBER(SEARCH(healthcare,C278)))&gt;0)</f>
        <v>0</v>
      </c>
      <c r="M278" s="14" cm="1">
        <f t="array" ref="M278">INT(SUMPRODUCT(--ISNUMBER(SEARCH(supreme,C278)))&gt;0)</f>
        <v>0</v>
      </c>
      <c r="N278" s="14" cm="1">
        <f t="array" ref="N278">INT(SUMPRODUCT(--ISNUMBER(SEARCH(covid,C278)))&gt;0)</f>
        <v>0</v>
      </c>
      <c r="O278" s="14" cm="1">
        <f t="array" ref="O278">INT(SUMPRODUCT(--ISNUMBER(SEARCH(violent,C278)))&gt;0)</f>
        <v>0</v>
      </c>
      <c r="P278" s="14" cm="1">
        <f t="array" ref="P278">INT(SUMPRODUCT(--ISNUMBER(SEARCH(foreign,C278)))&gt;0)</f>
        <v>0</v>
      </c>
      <c r="Q278" s="14" cm="1">
        <f t="array" ref="Q278">INT(SUMPRODUCT(--ISNUMBER(SEARCH(gun,C278)))&gt;0)</f>
        <v>0</v>
      </c>
      <c r="R278" s="14" cm="1">
        <f t="array" ref="R278">INT(SUMPRODUCT(--ISNUMBER(SEARCH(race,C278)))&gt;0)</f>
        <v>0</v>
      </c>
      <c r="S278" s="14" cm="1">
        <f t="array" ref="S278">INT(SUMPRODUCT(--ISNUMBER(SEARCH(immigration,C278)))&gt;0)</f>
        <v>0</v>
      </c>
      <c r="T278" s="14" cm="1">
        <f t="array" ref="T278">INT(SUMPRODUCT(--ISNUMBER(SEARCH(econineq,C279)))&gt;0)</f>
        <v>0</v>
      </c>
      <c r="U278" s="14" cm="1">
        <f t="array" ref="U278">INT(SUMPRODUCT(--ISNUMBER(SEARCH(climate,C278)))&gt;0)</f>
        <v>0</v>
      </c>
      <c r="V278" s="14" cm="1">
        <f t="array" ref="V278">INT(SUMPRODUCT(--ISNUMBER(SEARCH(abortion,C278)))&gt;0)</f>
        <v>0</v>
      </c>
      <c r="W278" s="14" cm="1">
        <f t="array" ref="W278">INT(SUMPRODUCT(--ISNUMBER(SEARCH(trump,C278)))&gt;0)</f>
        <v>0</v>
      </c>
      <c r="X278" s="14" cm="1">
        <f t="array" ref="X278">INT(SUMPRODUCT(--ISNUMBER(SEARCH(voting,C278)))&gt;0)</f>
        <v>0</v>
      </c>
      <c r="Y278" s="35" cm="1">
        <f t="array" ref="Y278">INT(SUMPRODUCT(--ISNUMBER(SEARCH(republicantrigger,C278)))&gt;0)</f>
        <v>0</v>
      </c>
      <c r="Z278" s="35" cm="1">
        <f t="array" ref="Z278">INT(SUMPRODUCT(--ISNUMBER(SEARCH(bipartisan,C278)))&gt;0)</f>
        <v>0</v>
      </c>
      <c r="AA278" s="35">
        <f t="shared" si="4"/>
        <v>1</v>
      </c>
      <c r="AB278" s="14"/>
      <c r="AC278" s="30" t="s">
        <v>223</v>
      </c>
      <c r="AD278" s="37" t="s">
        <v>223</v>
      </c>
    </row>
    <row r="279" spans="1:30" x14ac:dyDescent="0.25">
      <c r="A279" s="36">
        <v>3819</v>
      </c>
      <c r="B279" s="14" t="s">
        <v>7391</v>
      </c>
      <c r="C279" s="14" t="s">
        <v>7392</v>
      </c>
      <c r="D279" s="17">
        <v>44111</v>
      </c>
      <c r="E279" s="14" t="s">
        <v>30</v>
      </c>
      <c r="F279" s="14">
        <v>629</v>
      </c>
      <c r="G279" s="14">
        <v>312</v>
      </c>
      <c r="H279" s="14">
        <v>17</v>
      </c>
      <c r="I279" s="14">
        <v>9</v>
      </c>
      <c r="J279" s="14" t="s">
        <v>31</v>
      </c>
      <c r="K279" s="14" cm="1">
        <f t="array" ref="K279">INT(SUMPRODUCT(--ISNUMBER(SEARCH(economy,C279)))&gt;0)</f>
        <v>0</v>
      </c>
      <c r="L279" s="14" cm="1">
        <f t="array" ref="L279">INT(SUMPRODUCT(--ISNUMBER(SEARCH(healthcare,C279)))&gt;0)</f>
        <v>0</v>
      </c>
      <c r="M279" s="14" cm="1">
        <f t="array" ref="M279">INT(SUMPRODUCT(--ISNUMBER(SEARCH(supreme,C279)))&gt;0)</f>
        <v>0</v>
      </c>
      <c r="N279" s="14" cm="1">
        <f t="array" ref="N279">INT(SUMPRODUCT(--ISNUMBER(SEARCH(covid,C279)))&gt;0)</f>
        <v>1</v>
      </c>
      <c r="O279" s="14" cm="1">
        <f t="array" ref="O279">INT(SUMPRODUCT(--ISNUMBER(SEARCH(violent,C279)))&gt;0)</f>
        <v>0</v>
      </c>
      <c r="P279" s="14" cm="1">
        <f t="array" ref="P279">INT(SUMPRODUCT(--ISNUMBER(SEARCH(foreign,C279)))&gt;0)</f>
        <v>0</v>
      </c>
      <c r="Q279" s="14" cm="1">
        <f t="array" ref="Q279">INT(SUMPRODUCT(--ISNUMBER(SEARCH(gun,C279)))&gt;0)</f>
        <v>0</v>
      </c>
      <c r="R279" s="14" cm="1">
        <f t="array" ref="R279">INT(SUMPRODUCT(--ISNUMBER(SEARCH(race,C279)))&gt;0)</f>
        <v>0</v>
      </c>
      <c r="S279" s="14" cm="1">
        <f t="array" ref="S279">INT(SUMPRODUCT(--ISNUMBER(SEARCH(immigration,C279)))&gt;0)</f>
        <v>0</v>
      </c>
      <c r="T279" s="14" cm="1">
        <f t="array" ref="T279">INT(SUMPRODUCT(--ISNUMBER(SEARCH(econineq,C280)))&gt;0)</f>
        <v>0</v>
      </c>
      <c r="U279" s="14" cm="1">
        <f t="array" ref="U279">INT(SUMPRODUCT(--ISNUMBER(SEARCH(climate,C279)))&gt;0)</f>
        <v>0</v>
      </c>
      <c r="V279" s="14" cm="1">
        <f t="array" ref="V279">INT(SUMPRODUCT(--ISNUMBER(SEARCH(abortion,C279)))&gt;0)</f>
        <v>0</v>
      </c>
      <c r="W279" s="14" cm="1">
        <f t="array" ref="W279">INT(SUMPRODUCT(--ISNUMBER(SEARCH(trump,C279)))&gt;0)</f>
        <v>0</v>
      </c>
      <c r="X279" s="14" cm="1">
        <f t="array" ref="X279">INT(SUMPRODUCT(--ISNUMBER(SEARCH(voting,C279)))&gt;0)</f>
        <v>0</v>
      </c>
      <c r="Y279" s="35" cm="1">
        <f t="array" ref="Y279">INT(SUMPRODUCT(--ISNUMBER(SEARCH(republicantrigger,C279)))&gt;0)</f>
        <v>1</v>
      </c>
      <c r="Z279" s="35" cm="1">
        <f t="array" ref="Z279">INT(SUMPRODUCT(--ISNUMBER(SEARCH(bipartisan,C279)))&gt;0)</f>
        <v>0</v>
      </c>
      <c r="AA279" s="35">
        <f t="shared" si="4"/>
        <v>0</v>
      </c>
      <c r="AB279" s="14"/>
      <c r="AC279" s="30" t="s">
        <v>223</v>
      </c>
      <c r="AD279" s="37" t="s">
        <v>223</v>
      </c>
    </row>
    <row r="280" spans="1:30" x14ac:dyDescent="0.25">
      <c r="A280" s="36">
        <v>3820</v>
      </c>
      <c r="B280" s="14" t="s">
        <v>7393</v>
      </c>
      <c r="C280" s="14" t="s">
        <v>7394</v>
      </c>
      <c r="D280" s="17">
        <v>44111</v>
      </c>
      <c r="E280" s="14" t="s">
        <v>30</v>
      </c>
      <c r="F280" s="14">
        <v>612</v>
      </c>
      <c r="G280" s="14">
        <v>498</v>
      </c>
      <c r="H280" s="14">
        <v>17</v>
      </c>
      <c r="I280" s="14">
        <v>9</v>
      </c>
      <c r="J280" s="14" t="s">
        <v>31</v>
      </c>
      <c r="K280" s="14" cm="1">
        <f t="array" ref="K280">INT(SUMPRODUCT(--ISNUMBER(SEARCH(economy,C280)))&gt;0)</f>
        <v>0</v>
      </c>
      <c r="L280" s="14" cm="1">
        <f t="array" ref="L280">INT(SUMPRODUCT(--ISNUMBER(SEARCH(healthcare,C280)))&gt;0)</f>
        <v>0</v>
      </c>
      <c r="M280" s="14" cm="1">
        <f t="array" ref="M280">INT(SUMPRODUCT(--ISNUMBER(SEARCH(supreme,C280)))&gt;0)</f>
        <v>0</v>
      </c>
      <c r="N280" s="14" cm="1">
        <f t="array" ref="N280">INT(SUMPRODUCT(--ISNUMBER(SEARCH(covid,C280)))&gt;0)</f>
        <v>0</v>
      </c>
      <c r="O280" s="14" cm="1">
        <f t="array" ref="O280">INT(SUMPRODUCT(--ISNUMBER(SEARCH(violent,C280)))&gt;0)</f>
        <v>0</v>
      </c>
      <c r="P280" s="14" cm="1">
        <f t="array" ref="P280">INT(SUMPRODUCT(--ISNUMBER(SEARCH(foreign,C280)))&gt;0)</f>
        <v>1</v>
      </c>
      <c r="Q280" s="14" cm="1">
        <f t="array" ref="Q280">INT(SUMPRODUCT(--ISNUMBER(SEARCH(gun,C280)))&gt;0)</f>
        <v>0</v>
      </c>
      <c r="R280" s="14" cm="1">
        <f t="array" ref="R280">INT(SUMPRODUCT(--ISNUMBER(SEARCH(race,C280)))&gt;0)</f>
        <v>0</v>
      </c>
      <c r="S280" s="14" cm="1">
        <f t="array" ref="S280">INT(SUMPRODUCT(--ISNUMBER(SEARCH(immigration,C280)))&gt;0)</f>
        <v>0</v>
      </c>
      <c r="T280" s="14" cm="1">
        <f t="array" ref="T280">INT(SUMPRODUCT(--ISNUMBER(SEARCH(econineq,C281)))&gt;0)</f>
        <v>0</v>
      </c>
      <c r="U280" s="14" cm="1">
        <f t="array" ref="U280">INT(SUMPRODUCT(--ISNUMBER(SEARCH(climate,C280)))&gt;0)</f>
        <v>0</v>
      </c>
      <c r="V280" s="14" cm="1">
        <f t="array" ref="V280">INT(SUMPRODUCT(--ISNUMBER(SEARCH(abortion,C280)))&gt;0)</f>
        <v>0</v>
      </c>
      <c r="W280" s="14" cm="1">
        <f t="array" ref="W280">INT(SUMPRODUCT(--ISNUMBER(SEARCH(trump,C280)))&gt;0)</f>
        <v>0</v>
      </c>
      <c r="X280" s="14" cm="1">
        <f t="array" ref="X280">INT(SUMPRODUCT(--ISNUMBER(SEARCH(voting,C280)))&gt;0)</f>
        <v>0</v>
      </c>
      <c r="Y280" s="35" cm="1">
        <f t="array" ref="Y280">INT(SUMPRODUCT(--ISNUMBER(SEARCH(republicantrigger,C280)))&gt;0)</f>
        <v>0</v>
      </c>
      <c r="Z280" s="35" cm="1">
        <f t="array" ref="Z280">INT(SUMPRODUCT(--ISNUMBER(SEARCH(bipartisan,C280)))&gt;0)</f>
        <v>0</v>
      </c>
      <c r="AA280" s="35">
        <f t="shared" si="4"/>
        <v>0</v>
      </c>
      <c r="AB280" s="14"/>
      <c r="AC280" s="30" t="s">
        <v>223</v>
      </c>
      <c r="AD280" s="37" t="s">
        <v>223</v>
      </c>
    </row>
    <row r="281" spans="1:30" x14ac:dyDescent="0.25">
      <c r="A281" s="36">
        <v>3821</v>
      </c>
      <c r="B281" s="14" t="s">
        <v>7395</v>
      </c>
      <c r="C281" s="14" t="s">
        <v>7396</v>
      </c>
      <c r="D281" s="17">
        <v>44111</v>
      </c>
      <c r="E281" s="14" t="s">
        <v>70</v>
      </c>
      <c r="F281" s="14">
        <v>273</v>
      </c>
      <c r="G281" s="14">
        <v>132</v>
      </c>
      <c r="H281" s="14">
        <v>17</v>
      </c>
      <c r="I281" s="14">
        <v>9</v>
      </c>
      <c r="J281" s="14" t="s">
        <v>31</v>
      </c>
      <c r="K281" s="14" cm="1">
        <f t="array" ref="K281">INT(SUMPRODUCT(--ISNUMBER(SEARCH(economy,C281)))&gt;0)</f>
        <v>0</v>
      </c>
      <c r="L281" s="14" cm="1">
        <f t="array" ref="L281">INT(SUMPRODUCT(--ISNUMBER(SEARCH(healthcare,C281)))&gt;0)</f>
        <v>0</v>
      </c>
      <c r="M281" s="14" cm="1">
        <f t="array" ref="M281">INT(SUMPRODUCT(--ISNUMBER(SEARCH(supreme,C281)))&gt;0)</f>
        <v>0</v>
      </c>
      <c r="N281" s="14" cm="1">
        <f t="array" ref="N281">INT(SUMPRODUCT(--ISNUMBER(SEARCH(covid,C281)))&gt;0)</f>
        <v>0</v>
      </c>
      <c r="O281" s="14" cm="1">
        <f t="array" ref="O281">INT(SUMPRODUCT(--ISNUMBER(SEARCH(violent,C281)))&gt;0)</f>
        <v>0</v>
      </c>
      <c r="P281" s="14" cm="1">
        <f t="array" ref="P281">INT(SUMPRODUCT(--ISNUMBER(SEARCH(foreign,C281)))&gt;0)</f>
        <v>0</v>
      </c>
      <c r="Q281" s="14" cm="1">
        <f t="array" ref="Q281">INT(SUMPRODUCT(--ISNUMBER(SEARCH(gun,C281)))&gt;0)</f>
        <v>0</v>
      </c>
      <c r="R281" s="14" cm="1">
        <f t="array" ref="R281">INT(SUMPRODUCT(--ISNUMBER(SEARCH(race,C281)))&gt;0)</f>
        <v>0</v>
      </c>
      <c r="S281" s="14" cm="1">
        <f t="array" ref="S281">INT(SUMPRODUCT(--ISNUMBER(SEARCH(immigration,C281)))&gt;0)</f>
        <v>0</v>
      </c>
      <c r="T281" s="14" cm="1">
        <f t="array" ref="T281">INT(SUMPRODUCT(--ISNUMBER(SEARCH(econineq,C282)))&gt;0)</f>
        <v>0</v>
      </c>
      <c r="U281" s="14" cm="1">
        <f t="array" ref="U281">INT(SUMPRODUCT(--ISNUMBER(SEARCH(climate,C281)))&gt;0)</f>
        <v>0</v>
      </c>
      <c r="V281" s="14" cm="1">
        <f t="array" ref="V281">INT(SUMPRODUCT(--ISNUMBER(SEARCH(abortion,C281)))&gt;0)</f>
        <v>0</v>
      </c>
      <c r="W281" s="14" cm="1">
        <f t="array" ref="W281">INT(SUMPRODUCT(--ISNUMBER(SEARCH(trump,C281)))&gt;0)</f>
        <v>0</v>
      </c>
      <c r="X281" s="14" cm="1">
        <f t="array" ref="X281">INT(SUMPRODUCT(--ISNUMBER(SEARCH(voting,C281)))&gt;0)</f>
        <v>0</v>
      </c>
      <c r="Y281" s="35" cm="1">
        <f t="array" ref="Y281">INT(SUMPRODUCT(--ISNUMBER(SEARCH(republicantrigger,C281)))&gt;0)</f>
        <v>1</v>
      </c>
      <c r="Z281" s="35" cm="1">
        <f t="array" ref="Z281">INT(SUMPRODUCT(--ISNUMBER(SEARCH(bipartisan,C281)))&gt;0)</f>
        <v>0</v>
      </c>
      <c r="AA281" s="35">
        <f t="shared" si="4"/>
        <v>0</v>
      </c>
      <c r="AB281" s="14"/>
      <c r="AC281" s="30" t="s">
        <v>223</v>
      </c>
      <c r="AD281" s="37" t="s">
        <v>223</v>
      </c>
    </row>
    <row r="282" spans="1:30" x14ac:dyDescent="0.25">
      <c r="A282" s="36">
        <v>3822</v>
      </c>
      <c r="B282" s="14" t="s">
        <v>7397</v>
      </c>
      <c r="C282" s="14" t="s">
        <v>7398</v>
      </c>
      <c r="D282" s="17">
        <v>44111</v>
      </c>
      <c r="E282" s="14" t="s">
        <v>30</v>
      </c>
      <c r="F282" s="14">
        <v>365</v>
      </c>
      <c r="G282" s="14">
        <v>180</v>
      </c>
      <c r="H282" s="14">
        <v>17</v>
      </c>
      <c r="I282" s="14">
        <v>9</v>
      </c>
      <c r="J282" s="14" t="s">
        <v>31</v>
      </c>
      <c r="K282" s="14" cm="1">
        <f t="array" ref="K282">INT(SUMPRODUCT(--ISNUMBER(SEARCH(economy,C282)))&gt;0)</f>
        <v>0</v>
      </c>
      <c r="L282" s="14" cm="1">
        <f t="array" ref="L282">INT(SUMPRODUCT(--ISNUMBER(SEARCH(healthcare,C282)))&gt;0)</f>
        <v>0</v>
      </c>
      <c r="M282" s="14" cm="1">
        <f t="array" ref="M282">INT(SUMPRODUCT(--ISNUMBER(SEARCH(supreme,C282)))&gt;0)</f>
        <v>0</v>
      </c>
      <c r="N282" s="14" cm="1">
        <f t="array" ref="N282">INT(SUMPRODUCT(--ISNUMBER(SEARCH(covid,C282)))&gt;0)</f>
        <v>1</v>
      </c>
      <c r="O282" s="14" cm="1">
        <f t="array" ref="O282">INT(SUMPRODUCT(--ISNUMBER(SEARCH(violent,C282)))&gt;0)</f>
        <v>0</v>
      </c>
      <c r="P282" s="14" cm="1">
        <f t="array" ref="P282">INT(SUMPRODUCT(--ISNUMBER(SEARCH(foreign,C282)))&gt;0)</f>
        <v>0</v>
      </c>
      <c r="Q282" s="14" cm="1">
        <f t="array" ref="Q282">INT(SUMPRODUCT(--ISNUMBER(SEARCH(gun,C282)))&gt;0)</f>
        <v>0</v>
      </c>
      <c r="R282" s="14" cm="1">
        <f t="array" ref="R282">INT(SUMPRODUCT(--ISNUMBER(SEARCH(race,C282)))&gt;0)</f>
        <v>0</v>
      </c>
      <c r="S282" s="14" cm="1">
        <f t="array" ref="S282">INT(SUMPRODUCT(--ISNUMBER(SEARCH(immigration,C282)))&gt;0)</f>
        <v>0</v>
      </c>
      <c r="T282" s="14" cm="1">
        <f t="array" ref="T282">INT(SUMPRODUCT(--ISNUMBER(SEARCH(econineq,C283)))&gt;0)</f>
        <v>0</v>
      </c>
      <c r="U282" s="14" cm="1">
        <f t="array" ref="U282">INT(SUMPRODUCT(--ISNUMBER(SEARCH(climate,C282)))&gt;0)</f>
        <v>0</v>
      </c>
      <c r="V282" s="14" cm="1">
        <f t="array" ref="V282">INT(SUMPRODUCT(--ISNUMBER(SEARCH(abortion,C282)))&gt;0)</f>
        <v>0</v>
      </c>
      <c r="W282" s="14" cm="1">
        <f t="array" ref="W282">INT(SUMPRODUCT(--ISNUMBER(SEARCH(trump,C282)))&gt;0)</f>
        <v>0</v>
      </c>
      <c r="X282" s="14" cm="1">
        <f t="array" ref="X282">INT(SUMPRODUCT(--ISNUMBER(SEARCH(voting,C282)))&gt;0)</f>
        <v>1</v>
      </c>
      <c r="Y282" s="35" cm="1">
        <f t="array" ref="Y282">INT(SUMPRODUCT(--ISNUMBER(SEARCH(republicantrigger,C282)))&gt;0)</f>
        <v>1</v>
      </c>
      <c r="Z282" s="35" cm="1">
        <f t="array" ref="Z282">INT(SUMPRODUCT(--ISNUMBER(SEARCH(bipartisan,C282)))&gt;0)</f>
        <v>0</v>
      </c>
      <c r="AA282" s="35">
        <f t="shared" si="4"/>
        <v>0</v>
      </c>
      <c r="AB282" s="14"/>
      <c r="AC282" s="30" t="s">
        <v>223</v>
      </c>
      <c r="AD282" s="37" t="s">
        <v>223</v>
      </c>
    </row>
    <row r="283" spans="1:30" x14ac:dyDescent="0.25">
      <c r="A283" s="36">
        <v>3823</v>
      </c>
      <c r="B283" s="14" t="s">
        <v>7399</v>
      </c>
      <c r="C283" s="14" t="s">
        <v>7400</v>
      </c>
      <c r="D283" s="17">
        <v>44111</v>
      </c>
      <c r="E283" s="14" t="s">
        <v>30</v>
      </c>
      <c r="F283" s="14">
        <v>651</v>
      </c>
      <c r="G283" s="14">
        <v>320</v>
      </c>
      <c r="H283" s="14">
        <v>17</v>
      </c>
      <c r="I283" s="14">
        <v>9</v>
      </c>
      <c r="J283" s="14" t="s">
        <v>31</v>
      </c>
      <c r="K283" s="14" cm="1">
        <f t="array" ref="K283">INT(SUMPRODUCT(--ISNUMBER(SEARCH(economy,C283)))&gt;0)</f>
        <v>0</v>
      </c>
      <c r="L283" s="14" cm="1">
        <f t="array" ref="L283">INT(SUMPRODUCT(--ISNUMBER(SEARCH(healthcare,C283)))&gt;0)</f>
        <v>1</v>
      </c>
      <c r="M283" s="14" cm="1">
        <f t="array" ref="M283">INT(SUMPRODUCT(--ISNUMBER(SEARCH(supreme,C283)))&gt;0)</f>
        <v>0</v>
      </c>
      <c r="N283" s="14" cm="1">
        <f t="array" ref="N283">INT(SUMPRODUCT(--ISNUMBER(SEARCH(covid,C283)))&gt;0)</f>
        <v>1</v>
      </c>
      <c r="O283" s="14" cm="1">
        <f t="array" ref="O283">INT(SUMPRODUCT(--ISNUMBER(SEARCH(violent,C283)))&gt;0)</f>
        <v>0</v>
      </c>
      <c r="P283" s="14" cm="1">
        <f t="array" ref="P283">INT(SUMPRODUCT(--ISNUMBER(SEARCH(foreign,C283)))&gt;0)</f>
        <v>0</v>
      </c>
      <c r="Q283" s="14" cm="1">
        <f t="array" ref="Q283">INT(SUMPRODUCT(--ISNUMBER(SEARCH(gun,C283)))&gt;0)</f>
        <v>0</v>
      </c>
      <c r="R283" s="14" cm="1">
        <f t="array" ref="R283">INT(SUMPRODUCT(--ISNUMBER(SEARCH(race,C283)))&gt;0)</f>
        <v>0</v>
      </c>
      <c r="S283" s="14" cm="1">
        <f t="array" ref="S283">INT(SUMPRODUCT(--ISNUMBER(SEARCH(immigration,C283)))&gt;0)</f>
        <v>0</v>
      </c>
      <c r="T283" s="14" cm="1">
        <f t="array" ref="T283">INT(SUMPRODUCT(--ISNUMBER(SEARCH(econineq,C284)))&gt;0)</f>
        <v>0</v>
      </c>
      <c r="U283" s="14" cm="1">
        <f t="array" ref="U283">INT(SUMPRODUCT(--ISNUMBER(SEARCH(climate,C283)))&gt;0)</f>
        <v>0</v>
      </c>
      <c r="V283" s="14" cm="1">
        <f t="array" ref="V283">INT(SUMPRODUCT(--ISNUMBER(SEARCH(abortion,C283)))&gt;0)</f>
        <v>0</v>
      </c>
      <c r="W283" s="14" cm="1">
        <f t="array" ref="W283">INT(SUMPRODUCT(--ISNUMBER(SEARCH(trump,C283)))&gt;0)</f>
        <v>0</v>
      </c>
      <c r="X283" s="14" cm="1">
        <f t="array" ref="X283">INT(SUMPRODUCT(--ISNUMBER(SEARCH(voting,C283)))&gt;0)</f>
        <v>0</v>
      </c>
      <c r="Y283" s="35" cm="1">
        <f t="array" ref="Y283">INT(SUMPRODUCT(--ISNUMBER(SEARCH(republicantrigger,C283)))&gt;0)</f>
        <v>1</v>
      </c>
      <c r="Z283" s="35" cm="1">
        <f t="array" ref="Z283">INT(SUMPRODUCT(--ISNUMBER(SEARCH(bipartisan,C283)))&gt;0)</f>
        <v>0</v>
      </c>
      <c r="AA283" s="35">
        <f t="shared" si="4"/>
        <v>0</v>
      </c>
      <c r="AB283" s="14"/>
      <c r="AC283" s="30" t="s">
        <v>223</v>
      </c>
      <c r="AD283" s="37" t="s">
        <v>223</v>
      </c>
    </row>
    <row r="284" spans="1:30" x14ac:dyDescent="0.25">
      <c r="A284" s="36">
        <v>3824</v>
      </c>
      <c r="B284" s="14" t="s">
        <v>7401</v>
      </c>
      <c r="C284" s="14" t="s">
        <v>7402</v>
      </c>
      <c r="D284" s="17">
        <v>44110</v>
      </c>
      <c r="E284" s="14" t="s">
        <v>30</v>
      </c>
      <c r="F284" s="14">
        <v>149</v>
      </c>
      <c r="G284" s="14">
        <v>21</v>
      </c>
      <c r="H284" s="14">
        <v>17</v>
      </c>
      <c r="I284" s="14">
        <v>9</v>
      </c>
      <c r="J284" s="14" t="s">
        <v>31</v>
      </c>
      <c r="K284" s="14" cm="1">
        <f t="array" ref="K284">INT(SUMPRODUCT(--ISNUMBER(SEARCH(economy,C284)))&gt;0)</f>
        <v>0</v>
      </c>
      <c r="L284" s="14" cm="1">
        <f t="array" ref="L284">INT(SUMPRODUCT(--ISNUMBER(SEARCH(healthcare,C284)))&gt;0)</f>
        <v>0</v>
      </c>
      <c r="M284" s="14" cm="1">
        <f t="array" ref="M284">INT(SUMPRODUCT(--ISNUMBER(SEARCH(supreme,C284)))&gt;0)</f>
        <v>0</v>
      </c>
      <c r="N284" s="14" cm="1">
        <f t="array" ref="N284">INT(SUMPRODUCT(--ISNUMBER(SEARCH(covid,C284)))&gt;0)</f>
        <v>0</v>
      </c>
      <c r="O284" s="14" cm="1">
        <f t="array" ref="O284">INT(SUMPRODUCT(--ISNUMBER(SEARCH(violent,C284)))&gt;0)</f>
        <v>0</v>
      </c>
      <c r="P284" s="14" cm="1">
        <f t="array" ref="P284">INT(SUMPRODUCT(--ISNUMBER(SEARCH(foreign,C284)))&gt;0)</f>
        <v>0</v>
      </c>
      <c r="Q284" s="14" cm="1">
        <f t="array" ref="Q284">INT(SUMPRODUCT(--ISNUMBER(SEARCH(gun,C284)))&gt;0)</f>
        <v>0</v>
      </c>
      <c r="R284" s="14" cm="1">
        <f t="array" ref="R284">INT(SUMPRODUCT(--ISNUMBER(SEARCH(race,C284)))&gt;0)</f>
        <v>0</v>
      </c>
      <c r="S284" s="14" cm="1">
        <f t="array" ref="S284">INT(SUMPRODUCT(--ISNUMBER(SEARCH(immigration,C284)))&gt;0)</f>
        <v>0</v>
      </c>
      <c r="T284" s="14" cm="1">
        <f t="array" ref="T284">INT(SUMPRODUCT(--ISNUMBER(SEARCH(econineq,C285)))&gt;0)</f>
        <v>0</v>
      </c>
      <c r="U284" s="14" cm="1">
        <f t="array" ref="U284">INT(SUMPRODUCT(--ISNUMBER(SEARCH(climate,C284)))&gt;0)</f>
        <v>0</v>
      </c>
      <c r="V284" s="14" cm="1">
        <f t="array" ref="V284">INT(SUMPRODUCT(--ISNUMBER(SEARCH(abortion,C284)))&gt;0)</f>
        <v>0</v>
      </c>
      <c r="W284" s="14" cm="1">
        <f t="array" ref="W284">INT(SUMPRODUCT(--ISNUMBER(SEARCH(trump,C284)))&gt;0)</f>
        <v>0</v>
      </c>
      <c r="X284" s="14" cm="1">
        <f t="array" ref="X284">INT(SUMPRODUCT(--ISNUMBER(SEARCH(voting,C284)))&gt;0)</f>
        <v>0</v>
      </c>
      <c r="Y284" s="35" cm="1">
        <f t="array" ref="Y284">INT(SUMPRODUCT(--ISNUMBER(SEARCH(republicantrigger,C284)))&gt;0)</f>
        <v>0</v>
      </c>
      <c r="Z284" s="35" cm="1">
        <f t="array" ref="Z284">INT(SUMPRODUCT(--ISNUMBER(SEARCH(bipartisan,C284)))&gt;0)</f>
        <v>0</v>
      </c>
      <c r="AA284" s="35">
        <f t="shared" si="4"/>
        <v>1</v>
      </c>
      <c r="AB284" s="14"/>
      <c r="AC284" s="30">
        <v>1</v>
      </c>
      <c r="AD284" s="37">
        <v>0</v>
      </c>
    </row>
    <row r="285" spans="1:30" x14ac:dyDescent="0.25">
      <c r="A285" s="36">
        <v>3825</v>
      </c>
      <c r="B285" s="14" t="s">
        <v>7403</v>
      </c>
      <c r="C285" s="14" t="s">
        <v>7404</v>
      </c>
      <c r="D285" s="17">
        <v>44110</v>
      </c>
      <c r="E285" s="14" t="s">
        <v>70</v>
      </c>
      <c r="F285" s="14">
        <v>53</v>
      </c>
      <c r="G285" s="14">
        <v>12</v>
      </c>
      <c r="H285" s="14">
        <v>17</v>
      </c>
      <c r="I285" s="14">
        <v>9</v>
      </c>
      <c r="J285" s="14" t="s">
        <v>31</v>
      </c>
      <c r="K285" s="14" cm="1">
        <f t="array" ref="K285">INT(SUMPRODUCT(--ISNUMBER(SEARCH(economy,C285)))&gt;0)</f>
        <v>0</v>
      </c>
      <c r="L285" s="14" cm="1">
        <f t="array" ref="L285">INT(SUMPRODUCT(--ISNUMBER(SEARCH(healthcare,C285)))&gt;0)</f>
        <v>0</v>
      </c>
      <c r="M285" s="14" cm="1">
        <f t="array" ref="M285">INT(SUMPRODUCT(--ISNUMBER(SEARCH(supreme,C285)))&gt;0)</f>
        <v>0</v>
      </c>
      <c r="N285" s="14" cm="1">
        <f t="array" ref="N285">INT(SUMPRODUCT(--ISNUMBER(SEARCH(covid,C285)))&gt;0)</f>
        <v>0</v>
      </c>
      <c r="O285" s="14" cm="1">
        <f t="array" ref="O285">INT(SUMPRODUCT(--ISNUMBER(SEARCH(violent,C285)))&gt;0)</f>
        <v>0</v>
      </c>
      <c r="P285" s="14" cm="1">
        <f t="array" ref="P285">INT(SUMPRODUCT(--ISNUMBER(SEARCH(foreign,C285)))&gt;0)</f>
        <v>0</v>
      </c>
      <c r="Q285" s="14" cm="1">
        <f t="array" ref="Q285">INT(SUMPRODUCT(--ISNUMBER(SEARCH(gun,C285)))&gt;0)</f>
        <v>0</v>
      </c>
      <c r="R285" s="14" cm="1">
        <f t="array" ref="R285">INT(SUMPRODUCT(--ISNUMBER(SEARCH(race,C285)))&gt;0)</f>
        <v>0</v>
      </c>
      <c r="S285" s="14" cm="1">
        <f t="array" ref="S285">INT(SUMPRODUCT(--ISNUMBER(SEARCH(immigration,C285)))&gt;0)</f>
        <v>0</v>
      </c>
      <c r="T285" s="14" cm="1">
        <f t="array" ref="T285">INT(SUMPRODUCT(--ISNUMBER(SEARCH(econineq,C286)))&gt;0)</f>
        <v>0</v>
      </c>
      <c r="U285" s="14" cm="1">
        <f t="array" ref="U285">INT(SUMPRODUCT(--ISNUMBER(SEARCH(climate,C285)))&gt;0)</f>
        <v>0</v>
      </c>
      <c r="V285" s="14" cm="1">
        <f t="array" ref="V285">INT(SUMPRODUCT(--ISNUMBER(SEARCH(abortion,C285)))&gt;0)</f>
        <v>0</v>
      </c>
      <c r="W285" s="14" cm="1">
        <f t="array" ref="W285">INT(SUMPRODUCT(--ISNUMBER(SEARCH(trump,C285)))&gt;0)</f>
        <v>0</v>
      </c>
      <c r="X285" s="14" cm="1">
        <f t="array" ref="X285">INT(SUMPRODUCT(--ISNUMBER(SEARCH(voting,C285)))&gt;0)</f>
        <v>0</v>
      </c>
      <c r="Y285" s="35" cm="1">
        <f t="array" ref="Y285">INT(SUMPRODUCT(--ISNUMBER(SEARCH(republicantrigger,C285)))&gt;0)</f>
        <v>0</v>
      </c>
      <c r="Z285" s="35" cm="1">
        <f t="array" ref="Z285">INT(SUMPRODUCT(--ISNUMBER(SEARCH(bipartisan,C285)))&gt;0)</f>
        <v>0</v>
      </c>
      <c r="AA285" s="35">
        <f t="shared" si="4"/>
        <v>1</v>
      </c>
      <c r="AB285" s="14"/>
      <c r="AC285" s="30">
        <v>1</v>
      </c>
      <c r="AD285" s="37">
        <v>0</v>
      </c>
    </row>
    <row r="286" spans="1:30" x14ac:dyDescent="0.25">
      <c r="A286" s="36">
        <v>3826</v>
      </c>
      <c r="B286" s="14" t="s">
        <v>7405</v>
      </c>
      <c r="C286" s="14" t="s">
        <v>7406</v>
      </c>
      <c r="D286" s="17">
        <v>44110</v>
      </c>
      <c r="E286" s="14" t="s">
        <v>30</v>
      </c>
      <c r="F286" s="14">
        <v>84</v>
      </c>
      <c r="G286" s="14">
        <v>22</v>
      </c>
      <c r="H286" s="14">
        <v>17</v>
      </c>
      <c r="I286" s="14">
        <v>9</v>
      </c>
      <c r="J286" s="14" t="s">
        <v>31</v>
      </c>
      <c r="K286" s="14" cm="1">
        <f t="array" ref="K286">INT(SUMPRODUCT(--ISNUMBER(SEARCH(economy,C286)))&gt;0)</f>
        <v>0</v>
      </c>
      <c r="L286" s="14" cm="1">
        <f t="array" ref="L286">INT(SUMPRODUCT(--ISNUMBER(SEARCH(healthcare,C286)))&gt;0)</f>
        <v>0</v>
      </c>
      <c r="M286" s="14" cm="1">
        <f t="array" ref="M286">INT(SUMPRODUCT(--ISNUMBER(SEARCH(supreme,C286)))&gt;0)</f>
        <v>0</v>
      </c>
      <c r="N286" s="14" cm="1">
        <f t="array" ref="N286">INT(SUMPRODUCT(--ISNUMBER(SEARCH(covid,C286)))&gt;0)</f>
        <v>0</v>
      </c>
      <c r="O286" s="14" cm="1">
        <f t="array" ref="O286">INT(SUMPRODUCT(--ISNUMBER(SEARCH(violent,C286)))&gt;0)</f>
        <v>0</v>
      </c>
      <c r="P286" s="14" cm="1">
        <f t="array" ref="P286">INT(SUMPRODUCT(--ISNUMBER(SEARCH(foreign,C286)))&gt;0)</f>
        <v>1</v>
      </c>
      <c r="Q286" s="14" cm="1">
        <f t="array" ref="Q286">INT(SUMPRODUCT(--ISNUMBER(SEARCH(gun,C286)))&gt;0)</f>
        <v>1</v>
      </c>
      <c r="R286" s="14" cm="1">
        <f t="array" ref="R286">INT(SUMPRODUCT(--ISNUMBER(SEARCH(race,C286)))&gt;0)</f>
        <v>0</v>
      </c>
      <c r="S286" s="14" cm="1">
        <f t="array" ref="S286">INT(SUMPRODUCT(--ISNUMBER(SEARCH(immigration,C286)))&gt;0)</f>
        <v>0</v>
      </c>
      <c r="T286" s="14" cm="1">
        <f t="array" ref="T286">INT(SUMPRODUCT(--ISNUMBER(SEARCH(econineq,C287)))&gt;0)</f>
        <v>0</v>
      </c>
      <c r="U286" s="14" cm="1">
        <f t="array" ref="U286">INT(SUMPRODUCT(--ISNUMBER(SEARCH(climate,C286)))&gt;0)</f>
        <v>0</v>
      </c>
      <c r="V286" s="14" cm="1">
        <f t="array" ref="V286">INT(SUMPRODUCT(--ISNUMBER(SEARCH(abortion,C286)))&gt;0)</f>
        <v>0</v>
      </c>
      <c r="W286" s="14" cm="1">
        <f t="array" ref="W286">INT(SUMPRODUCT(--ISNUMBER(SEARCH(trump,C286)))&gt;0)</f>
        <v>0</v>
      </c>
      <c r="X286" s="14" cm="1">
        <f t="array" ref="X286">INT(SUMPRODUCT(--ISNUMBER(SEARCH(voting,C286)))&gt;0)</f>
        <v>0</v>
      </c>
      <c r="Y286" s="35" cm="1">
        <f t="array" ref="Y286">INT(SUMPRODUCT(--ISNUMBER(SEARCH(republicantrigger,C286)))&gt;0)</f>
        <v>0</v>
      </c>
      <c r="Z286" s="35" cm="1">
        <f t="array" ref="Z286">INT(SUMPRODUCT(--ISNUMBER(SEARCH(bipartisan,C286)))&gt;0)</f>
        <v>0</v>
      </c>
      <c r="AA286" s="35">
        <f t="shared" si="4"/>
        <v>0</v>
      </c>
      <c r="AB286" s="14"/>
      <c r="AC286" s="30" t="s">
        <v>223</v>
      </c>
      <c r="AD286" s="37" t="s">
        <v>223</v>
      </c>
    </row>
    <row r="287" spans="1:30" x14ac:dyDescent="0.25">
      <c r="A287" s="36">
        <v>3827</v>
      </c>
      <c r="B287" s="14" t="s">
        <v>7407</v>
      </c>
      <c r="C287" s="14" t="s">
        <v>7408</v>
      </c>
      <c r="D287" s="17">
        <v>44110</v>
      </c>
      <c r="E287" s="14" t="s">
        <v>70</v>
      </c>
      <c r="F287" s="14">
        <v>29</v>
      </c>
      <c r="G287" s="14">
        <v>13</v>
      </c>
      <c r="H287" s="14">
        <v>17</v>
      </c>
      <c r="I287" s="14">
        <v>9</v>
      </c>
      <c r="J287" s="14" t="s">
        <v>31</v>
      </c>
      <c r="K287" s="14" cm="1">
        <f t="array" ref="K287">INT(SUMPRODUCT(--ISNUMBER(SEARCH(economy,C287)))&gt;0)</f>
        <v>0</v>
      </c>
      <c r="L287" s="14" cm="1">
        <f t="array" ref="L287">INT(SUMPRODUCT(--ISNUMBER(SEARCH(healthcare,C287)))&gt;0)</f>
        <v>0</v>
      </c>
      <c r="M287" s="14" cm="1">
        <f t="array" ref="M287">INT(SUMPRODUCT(--ISNUMBER(SEARCH(supreme,C287)))&gt;0)</f>
        <v>0</v>
      </c>
      <c r="N287" s="14" cm="1">
        <f t="array" ref="N287">INT(SUMPRODUCT(--ISNUMBER(SEARCH(covid,C287)))&gt;0)</f>
        <v>0</v>
      </c>
      <c r="O287" s="14" cm="1">
        <f t="array" ref="O287">INT(SUMPRODUCT(--ISNUMBER(SEARCH(violent,C287)))&gt;0)</f>
        <v>0</v>
      </c>
      <c r="P287" s="14" cm="1">
        <f t="array" ref="P287">INT(SUMPRODUCT(--ISNUMBER(SEARCH(foreign,C287)))&gt;0)</f>
        <v>0</v>
      </c>
      <c r="Q287" s="14" cm="1">
        <f t="array" ref="Q287">INT(SUMPRODUCT(--ISNUMBER(SEARCH(gun,C287)))&gt;0)</f>
        <v>0</v>
      </c>
      <c r="R287" s="14" cm="1">
        <f t="array" ref="R287">INT(SUMPRODUCT(--ISNUMBER(SEARCH(race,C287)))&gt;0)</f>
        <v>0</v>
      </c>
      <c r="S287" s="14" cm="1">
        <f t="array" ref="S287">INT(SUMPRODUCT(--ISNUMBER(SEARCH(immigration,C287)))&gt;0)</f>
        <v>0</v>
      </c>
      <c r="T287" s="14" cm="1">
        <f t="array" ref="T287">INT(SUMPRODUCT(--ISNUMBER(SEARCH(econineq,C288)))&gt;0)</f>
        <v>0</v>
      </c>
      <c r="U287" s="14" cm="1">
        <f t="array" ref="U287">INT(SUMPRODUCT(--ISNUMBER(SEARCH(climate,C287)))&gt;0)</f>
        <v>0</v>
      </c>
      <c r="V287" s="14" cm="1">
        <f t="array" ref="V287">INT(SUMPRODUCT(--ISNUMBER(SEARCH(abortion,C287)))&gt;0)</f>
        <v>0</v>
      </c>
      <c r="W287" s="14" cm="1">
        <f t="array" ref="W287">INT(SUMPRODUCT(--ISNUMBER(SEARCH(trump,C287)))&gt;0)</f>
        <v>0</v>
      </c>
      <c r="X287" s="14" cm="1">
        <f t="array" ref="X287">INT(SUMPRODUCT(--ISNUMBER(SEARCH(voting,C287)))&gt;0)</f>
        <v>0</v>
      </c>
      <c r="Y287" s="35" cm="1">
        <f t="array" ref="Y287">INT(SUMPRODUCT(--ISNUMBER(SEARCH(republicantrigger,C287)))&gt;0)</f>
        <v>0</v>
      </c>
      <c r="Z287" s="35" cm="1">
        <f t="array" ref="Z287">INT(SUMPRODUCT(--ISNUMBER(SEARCH(bipartisan,C287)))&gt;0)</f>
        <v>0</v>
      </c>
      <c r="AA287" s="35">
        <f t="shared" si="4"/>
        <v>1</v>
      </c>
      <c r="AB287" s="14"/>
      <c r="AC287" s="30" t="s">
        <v>223</v>
      </c>
      <c r="AD287" s="37" t="s">
        <v>223</v>
      </c>
    </row>
    <row r="288" spans="1:30" x14ac:dyDescent="0.25">
      <c r="A288" s="36">
        <v>3828</v>
      </c>
      <c r="B288" s="14" t="s">
        <v>7409</v>
      </c>
      <c r="C288" s="14" t="s">
        <v>7410</v>
      </c>
      <c r="D288" s="17">
        <v>44110</v>
      </c>
      <c r="E288" s="14" t="s">
        <v>30</v>
      </c>
      <c r="F288" s="14">
        <v>95</v>
      </c>
      <c r="G288" s="14">
        <v>22</v>
      </c>
      <c r="H288" s="14">
        <v>17</v>
      </c>
      <c r="I288" s="14">
        <v>9</v>
      </c>
      <c r="J288" s="14" t="s">
        <v>31</v>
      </c>
      <c r="K288" s="14" cm="1">
        <f t="array" ref="K288">INT(SUMPRODUCT(--ISNUMBER(SEARCH(economy,C288)))&gt;0)</f>
        <v>0</v>
      </c>
      <c r="L288" s="14" cm="1">
        <f t="array" ref="L288">INT(SUMPRODUCT(--ISNUMBER(SEARCH(healthcare,C288)))&gt;0)</f>
        <v>0</v>
      </c>
      <c r="M288" s="14" cm="1">
        <f t="array" ref="M288">INT(SUMPRODUCT(--ISNUMBER(SEARCH(supreme,C288)))&gt;0)</f>
        <v>0</v>
      </c>
      <c r="N288" s="14" cm="1">
        <f t="array" ref="N288">INT(SUMPRODUCT(--ISNUMBER(SEARCH(covid,C288)))&gt;0)</f>
        <v>0</v>
      </c>
      <c r="O288" s="14" cm="1">
        <f t="array" ref="O288">INT(SUMPRODUCT(--ISNUMBER(SEARCH(violent,C288)))&gt;0)</f>
        <v>0</v>
      </c>
      <c r="P288" s="14" cm="1">
        <f t="array" ref="P288">INT(SUMPRODUCT(--ISNUMBER(SEARCH(foreign,C288)))&gt;0)</f>
        <v>0</v>
      </c>
      <c r="Q288" s="14" cm="1">
        <f t="array" ref="Q288">INT(SUMPRODUCT(--ISNUMBER(SEARCH(gun,C288)))&gt;0)</f>
        <v>0</v>
      </c>
      <c r="R288" s="14" cm="1">
        <f t="array" ref="R288">INT(SUMPRODUCT(--ISNUMBER(SEARCH(race,C288)))&gt;0)</f>
        <v>1</v>
      </c>
      <c r="S288" s="14" cm="1">
        <f t="array" ref="S288">INT(SUMPRODUCT(--ISNUMBER(SEARCH(immigration,C288)))&gt;0)</f>
        <v>0</v>
      </c>
      <c r="T288" s="14" cm="1">
        <f t="array" ref="T288">INT(SUMPRODUCT(--ISNUMBER(SEARCH(econineq,C289)))&gt;0)</f>
        <v>0</v>
      </c>
      <c r="U288" s="14" cm="1">
        <f t="array" ref="U288">INT(SUMPRODUCT(--ISNUMBER(SEARCH(climate,C288)))&gt;0)</f>
        <v>0</v>
      </c>
      <c r="V288" s="14" cm="1">
        <f t="array" ref="V288">INT(SUMPRODUCT(--ISNUMBER(SEARCH(abortion,C288)))&gt;0)</f>
        <v>0</v>
      </c>
      <c r="W288" s="14" cm="1">
        <f t="array" ref="W288">INT(SUMPRODUCT(--ISNUMBER(SEARCH(trump,C288)))&gt;0)</f>
        <v>0</v>
      </c>
      <c r="X288" s="14" cm="1">
        <f t="array" ref="X288">INT(SUMPRODUCT(--ISNUMBER(SEARCH(voting,C288)))&gt;0)</f>
        <v>0</v>
      </c>
      <c r="Y288" s="35" cm="1">
        <f t="array" ref="Y288">INT(SUMPRODUCT(--ISNUMBER(SEARCH(republicantrigger,C288)))&gt;0)</f>
        <v>0</v>
      </c>
      <c r="Z288" s="35" cm="1">
        <f t="array" ref="Z288">INT(SUMPRODUCT(--ISNUMBER(SEARCH(bipartisan,C288)))&gt;0)</f>
        <v>0</v>
      </c>
      <c r="AA288" s="35">
        <f t="shared" si="4"/>
        <v>0</v>
      </c>
      <c r="AB288" s="14"/>
      <c r="AC288" s="30" t="s">
        <v>223</v>
      </c>
      <c r="AD288" s="37" t="s">
        <v>223</v>
      </c>
    </row>
    <row r="289" spans="1:30" x14ac:dyDescent="0.25">
      <c r="A289" s="36">
        <v>3829</v>
      </c>
      <c r="B289" s="14" t="s">
        <v>7411</v>
      </c>
      <c r="C289" s="14" t="s">
        <v>7412</v>
      </c>
      <c r="D289" s="17">
        <v>44110</v>
      </c>
      <c r="E289" s="14" t="s">
        <v>30</v>
      </c>
      <c r="F289" s="14">
        <v>375</v>
      </c>
      <c r="G289" s="14">
        <v>93</v>
      </c>
      <c r="H289" s="14">
        <v>17</v>
      </c>
      <c r="I289" s="14">
        <v>9</v>
      </c>
      <c r="J289" s="14" t="s">
        <v>31</v>
      </c>
      <c r="K289" s="14" cm="1">
        <f t="array" ref="K289">INT(SUMPRODUCT(--ISNUMBER(SEARCH(economy,C289)))&gt;0)</f>
        <v>0</v>
      </c>
      <c r="L289" s="14" cm="1">
        <f t="array" ref="L289">INT(SUMPRODUCT(--ISNUMBER(SEARCH(healthcare,C289)))&gt;0)</f>
        <v>0</v>
      </c>
      <c r="M289" s="14" cm="1">
        <f t="array" ref="M289">INT(SUMPRODUCT(--ISNUMBER(SEARCH(supreme,C289)))&gt;0)</f>
        <v>0</v>
      </c>
      <c r="N289" s="14" cm="1">
        <f t="array" ref="N289">INT(SUMPRODUCT(--ISNUMBER(SEARCH(covid,C289)))&gt;0)</f>
        <v>0</v>
      </c>
      <c r="O289" s="14" cm="1">
        <f t="array" ref="O289">INT(SUMPRODUCT(--ISNUMBER(SEARCH(violent,C289)))&gt;0)</f>
        <v>0</v>
      </c>
      <c r="P289" s="14" cm="1">
        <f t="array" ref="P289">INT(SUMPRODUCT(--ISNUMBER(SEARCH(foreign,C289)))&gt;0)</f>
        <v>0</v>
      </c>
      <c r="Q289" s="14" cm="1">
        <f t="array" ref="Q289">INT(SUMPRODUCT(--ISNUMBER(SEARCH(gun,C289)))&gt;0)</f>
        <v>0</v>
      </c>
      <c r="R289" s="14" cm="1">
        <f t="array" ref="R289">INT(SUMPRODUCT(--ISNUMBER(SEARCH(race,C289)))&gt;0)</f>
        <v>0</v>
      </c>
      <c r="S289" s="14" cm="1">
        <f t="array" ref="S289">INT(SUMPRODUCT(--ISNUMBER(SEARCH(immigration,C289)))&gt;0)</f>
        <v>0</v>
      </c>
      <c r="T289" s="14" cm="1">
        <f t="array" ref="T289">INT(SUMPRODUCT(--ISNUMBER(SEARCH(econineq,C290)))&gt;0)</f>
        <v>0</v>
      </c>
      <c r="U289" s="14" cm="1">
        <f t="array" ref="U289">INT(SUMPRODUCT(--ISNUMBER(SEARCH(climate,C289)))&gt;0)</f>
        <v>0</v>
      </c>
      <c r="V289" s="14" cm="1">
        <f t="array" ref="V289">INT(SUMPRODUCT(--ISNUMBER(SEARCH(abortion,C289)))&gt;0)</f>
        <v>0</v>
      </c>
      <c r="W289" s="14" cm="1">
        <f t="array" ref="W289">INT(SUMPRODUCT(--ISNUMBER(SEARCH(trump,C289)))&gt;0)</f>
        <v>0</v>
      </c>
      <c r="X289" s="14" cm="1">
        <f t="array" ref="X289">INT(SUMPRODUCT(--ISNUMBER(SEARCH(voting,C289)))&gt;0)</f>
        <v>0</v>
      </c>
      <c r="Y289" s="35" cm="1">
        <f t="array" ref="Y289">INT(SUMPRODUCT(--ISNUMBER(SEARCH(republicantrigger,C289)))&gt;0)</f>
        <v>0</v>
      </c>
      <c r="Z289" s="35" cm="1">
        <f t="array" ref="Z289">INT(SUMPRODUCT(--ISNUMBER(SEARCH(bipartisan,C289)))&gt;0)</f>
        <v>0</v>
      </c>
      <c r="AA289" s="35">
        <f t="shared" si="4"/>
        <v>1</v>
      </c>
      <c r="AB289" s="14"/>
      <c r="AC289" s="30" t="s">
        <v>223</v>
      </c>
      <c r="AD289" s="37" t="s">
        <v>223</v>
      </c>
    </row>
    <row r="290" spans="1:30" x14ac:dyDescent="0.25">
      <c r="A290" s="36">
        <v>3830</v>
      </c>
      <c r="B290" s="14" t="s">
        <v>7413</v>
      </c>
      <c r="C290" s="14" t="s">
        <v>7414</v>
      </c>
      <c r="D290" s="17">
        <v>44110</v>
      </c>
      <c r="E290" s="14" t="s">
        <v>30</v>
      </c>
      <c r="F290" s="14">
        <v>91</v>
      </c>
      <c r="G290" s="14">
        <v>32</v>
      </c>
      <c r="H290" s="14">
        <v>17</v>
      </c>
      <c r="I290" s="14">
        <v>9</v>
      </c>
      <c r="J290" s="14" t="s">
        <v>31</v>
      </c>
      <c r="K290" s="14" cm="1">
        <f t="array" ref="K290">INT(SUMPRODUCT(--ISNUMBER(SEARCH(economy,C290)))&gt;0)</f>
        <v>0</v>
      </c>
      <c r="L290" s="14" cm="1">
        <f t="array" ref="L290">INT(SUMPRODUCT(--ISNUMBER(SEARCH(healthcare,C290)))&gt;0)</f>
        <v>0</v>
      </c>
      <c r="M290" s="14" cm="1">
        <f t="array" ref="M290">INT(SUMPRODUCT(--ISNUMBER(SEARCH(supreme,C290)))&gt;0)</f>
        <v>0</v>
      </c>
      <c r="N290" s="14" cm="1">
        <f t="array" ref="N290">INT(SUMPRODUCT(--ISNUMBER(SEARCH(covid,C290)))&gt;0)</f>
        <v>0</v>
      </c>
      <c r="O290" s="14" cm="1">
        <f t="array" ref="O290">INT(SUMPRODUCT(--ISNUMBER(SEARCH(violent,C290)))&gt;0)</f>
        <v>0</v>
      </c>
      <c r="P290" s="14" cm="1">
        <f t="array" ref="P290">INT(SUMPRODUCT(--ISNUMBER(SEARCH(foreign,C290)))&gt;0)</f>
        <v>0</v>
      </c>
      <c r="Q290" s="14" cm="1">
        <f t="array" ref="Q290">INT(SUMPRODUCT(--ISNUMBER(SEARCH(gun,C290)))&gt;0)</f>
        <v>0</v>
      </c>
      <c r="R290" s="14" cm="1">
        <f t="array" ref="R290">INT(SUMPRODUCT(--ISNUMBER(SEARCH(race,C290)))&gt;0)</f>
        <v>0</v>
      </c>
      <c r="S290" s="14" cm="1">
        <f t="array" ref="S290">INT(SUMPRODUCT(--ISNUMBER(SEARCH(immigration,C290)))&gt;0)</f>
        <v>0</v>
      </c>
      <c r="T290" s="14" cm="1">
        <f t="array" ref="T290">INT(SUMPRODUCT(--ISNUMBER(SEARCH(econineq,C291)))&gt;0)</f>
        <v>0</v>
      </c>
      <c r="U290" s="14" cm="1">
        <f t="array" ref="U290">INT(SUMPRODUCT(--ISNUMBER(SEARCH(climate,C290)))&gt;0)</f>
        <v>0</v>
      </c>
      <c r="V290" s="14" cm="1">
        <f t="array" ref="V290">INT(SUMPRODUCT(--ISNUMBER(SEARCH(abortion,C290)))&gt;0)</f>
        <v>0</v>
      </c>
      <c r="W290" s="14" cm="1">
        <f t="array" ref="W290">INT(SUMPRODUCT(--ISNUMBER(SEARCH(trump,C290)))&gt;0)</f>
        <v>0</v>
      </c>
      <c r="X290" s="14" cm="1">
        <f t="array" ref="X290">INT(SUMPRODUCT(--ISNUMBER(SEARCH(voting,C290)))&gt;0)</f>
        <v>0</v>
      </c>
      <c r="Y290" s="35" cm="1">
        <f t="array" ref="Y290">INT(SUMPRODUCT(--ISNUMBER(SEARCH(republicantrigger,C290)))&gt;0)</f>
        <v>0</v>
      </c>
      <c r="Z290" s="35" cm="1">
        <f t="array" ref="Z290">INT(SUMPRODUCT(--ISNUMBER(SEARCH(bipartisan,C290)))&gt;0)</f>
        <v>0</v>
      </c>
      <c r="AA290" s="35">
        <f t="shared" si="4"/>
        <v>1</v>
      </c>
      <c r="AB290" s="14"/>
      <c r="AC290" s="30" t="s">
        <v>223</v>
      </c>
      <c r="AD290" s="37" t="s">
        <v>223</v>
      </c>
    </row>
    <row r="291" spans="1:30" x14ac:dyDescent="0.25">
      <c r="A291" s="36">
        <v>3831</v>
      </c>
      <c r="B291" s="14" t="s">
        <v>7415</v>
      </c>
      <c r="C291" s="14" t="s">
        <v>7416</v>
      </c>
      <c r="D291" s="17">
        <v>44110</v>
      </c>
      <c r="E291" s="14" t="s">
        <v>30</v>
      </c>
      <c r="F291" s="14">
        <v>523</v>
      </c>
      <c r="G291" s="14">
        <v>245</v>
      </c>
      <c r="H291" s="14">
        <v>17</v>
      </c>
      <c r="I291" s="14">
        <v>9</v>
      </c>
      <c r="J291" s="14" t="s">
        <v>31</v>
      </c>
      <c r="K291" s="14" cm="1">
        <f t="array" ref="K291">INT(SUMPRODUCT(--ISNUMBER(SEARCH(economy,C291)))&gt;0)</f>
        <v>0</v>
      </c>
      <c r="L291" s="14" cm="1">
        <f t="array" ref="L291">INT(SUMPRODUCT(--ISNUMBER(SEARCH(healthcare,C291)))&gt;0)</f>
        <v>0</v>
      </c>
      <c r="M291" s="14" cm="1">
        <f t="array" ref="M291">INT(SUMPRODUCT(--ISNUMBER(SEARCH(supreme,C291)))&gt;0)</f>
        <v>0</v>
      </c>
      <c r="N291" s="14" cm="1">
        <f t="array" ref="N291">INT(SUMPRODUCT(--ISNUMBER(SEARCH(covid,C291)))&gt;0)</f>
        <v>0</v>
      </c>
      <c r="O291" s="14" cm="1">
        <f t="array" ref="O291">INT(SUMPRODUCT(--ISNUMBER(SEARCH(violent,C291)))&gt;0)</f>
        <v>0</v>
      </c>
      <c r="P291" s="14" cm="1">
        <f t="array" ref="P291">INT(SUMPRODUCT(--ISNUMBER(SEARCH(foreign,C291)))&gt;0)</f>
        <v>0</v>
      </c>
      <c r="Q291" s="14" cm="1">
        <f t="array" ref="Q291">INT(SUMPRODUCT(--ISNUMBER(SEARCH(gun,C291)))&gt;0)</f>
        <v>0</v>
      </c>
      <c r="R291" s="14" cm="1">
        <f t="array" ref="R291">INT(SUMPRODUCT(--ISNUMBER(SEARCH(race,C291)))&gt;0)</f>
        <v>0</v>
      </c>
      <c r="S291" s="14" cm="1">
        <f t="array" ref="S291">INT(SUMPRODUCT(--ISNUMBER(SEARCH(immigration,C291)))&gt;0)</f>
        <v>0</v>
      </c>
      <c r="T291" s="14" cm="1">
        <f t="array" ref="T291">INT(SUMPRODUCT(--ISNUMBER(SEARCH(econineq,C292)))&gt;0)</f>
        <v>0</v>
      </c>
      <c r="U291" s="14" cm="1">
        <f t="array" ref="U291">INT(SUMPRODUCT(--ISNUMBER(SEARCH(climate,C291)))&gt;0)</f>
        <v>0</v>
      </c>
      <c r="V291" s="14" cm="1">
        <f t="array" ref="V291">INT(SUMPRODUCT(--ISNUMBER(SEARCH(abortion,C291)))&gt;0)</f>
        <v>0</v>
      </c>
      <c r="W291" s="14" cm="1">
        <f t="array" ref="W291">INT(SUMPRODUCT(--ISNUMBER(SEARCH(trump,C291)))&gt;0)</f>
        <v>0</v>
      </c>
      <c r="X291" s="14" cm="1">
        <f t="array" ref="X291">INT(SUMPRODUCT(--ISNUMBER(SEARCH(voting,C291)))&gt;0)</f>
        <v>0</v>
      </c>
      <c r="Y291" s="35" cm="1">
        <f t="array" ref="Y291">INT(SUMPRODUCT(--ISNUMBER(SEARCH(republicantrigger,C291)))&gt;0)</f>
        <v>1</v>
      </c>
      <c r="Z291" s="35" cm="1">
        <f t="array" ref="Z291">INT(SUMPRODUCT(--ISNUMBER(SEARCH(bipartisan,C291)))&gt;0)</f>
        <v>0</v>
      </c>
      <c r="AA291" s="35">
        <f t="shared" si="4"/>
        <v>0</v>
      </c>
      <c r="AB291" s="14"/>
      <c r="AC291" s="30" t="s">
        <v>223</v>
      </c>
      <c r="AD291" s="37" t="s">
        <v>223</v>
      </c>
    </row>
    <row r="292" spans="1:30" x14ac:dyDescent="0.25">
      <c r="A292" s="36">
        <v>3832</v>
      </c>
      <c r="B292" s="14" t="s">
        <v>7417</v>
      </c>
      <c r="C292" s="14" t="s">
        <v>7418</v>
      </c>
      <c r="D292" s="17">
        <v>44110</v>
      </c>
      <c r="E292" s="14" t="s">
        <v>30</v>
      </c>
      <c r="F292" s="14">
        <v>128</v>
      </c>
      <c r="G292" s="14">
        <v>20</v>
      </c>
      <c r="H292" s="14">
        <v>17</v>
      </c>
      <c r="I292" s="14">
        <v>9</v>
      </c>
      <c r="J292" s="14" t="s">
        <v>31</v>
      </c>
      <c r="K292" s="14" cm="1">
        <f t="array" ref="K292">INT(SUMPRODUCT(--ISNUMBER(SEARCH(economy,C292)))&gt;0)</f>
        <v>0</v>
      </c>
      <c r="L292" s="14" cm="1">
        <f t="array" ref="L292">INT(SUMPRODUCT(--ISNUMBER(SEARCH(healthcare,C292)))&gt;0)</f>
        <v>0</v>
      </c>
      <c r="M292" s="14" cm="1">
        <f t="array" ref="M292">INT(SUMPRODUCT(--ISNUMBER(SEARCH(supreme,C292)))&gt;0)</f>
        <v>0</v>
      </c>
      <c r="N292" s="14" cm="1">
        <f t="array" ref="N292">INT(SUMPRODUCT(--ISNUMBER(SEARCH(covid,C292)))&gt;0)</f>
        <v>0</v>
      </c>
      <c r="O292" s="14" cm="1">
        <f t="array" ref="O292">INT(SUMPRODUCT(--ISNUMBER(SEARCH(violent,C292)))&gt;0)</f>
        <v>0</v>
      </c>
      <c r="P292" s="14" cm="1">
        <f t="array" ref="P292">INT(SUMPRODUCT(--ISNUMBER(SEARCH(foreign,C292)))&gt;0)</f>
        <v>0</v>
      </c>
      <c r="Q292" s="14" cm="1">
        <f t="array" ref="Q292">INT(SUMPRODUCT(--ISNUMBER(SEARCH(gun,C292)))&gt;0)</f>
        <v>0</v>
      </c>
      <c r="R292" s="14" cm="1">
        <f t="array" ref="R292">INT(SUMPRODUCT(--ISNUMBER(SEARCH(race,C292)))&gt;0)</f>
        <v>0</v>
      </c>
      <c r="S292" s="14" cm="1">
        <f t="array" ref="S292">INT(SUMPRODUCT(--ISNUMBER(SEARCH(immigration,C292)))&gt;0)</f>
        <v>0</v>
      </c>
      <c r="T292" s="14" cm="1">
        <f t="array" ref="T292">INT(SUMPRODUCT(--ISNUMBER(SEARCH(econineq,C293)))&gt;0)</f>
        <v>0</v>
      </c>
      <c r="U292" s="14" cm="1">
        <f t="array" ref="U292">INT(SUMPRODUCT(--ISNUMBER(SEARCH(climate,C292)))&gt;0)</f>
        <v>0</v>
      </c>
      <c r="V292" s="14" cm="1">
        <f t="array" ref="V292">INT(SUMPRODUCT(--ISNUMBER(SEARCH(abortion,C292)))&gt;0)</f>
        <v>0</v>
      </c>
      <c r="W292" s="14" cm="1">
        <f t="array" ref="W292">INT(SUMPRODUCT(--ISNUMBER(SEARCH(trump,C292)))&gt;0)</f>
        <v>0</v>
      </c>
      <c r="X292" s="14" cm="1">
        <f t="array" ref="X292">INT(SUMPRODUCT(--ISNUMBER(SEARCH(voting,C292)))&gt;0)</f>
        <v>0</v>
      </c>
      <c r="Y292" s="35" cm="1">
        <f t="array" ref="Y292">INT(SUMPRODUCT(--ISNUMBER(SEARCH(republicantrigger,C292)))&gt;0)</f>
        <v>0</v>
      </c>
      <c r="Z292" s="35" cm="1">
        <f t="array" ref="Z292">INT(SUMPRODUCT(--ISNUMBER(SEARCH(bipartisan,C292)))&gt;0)</f>
        <v>0</v>
      </c>
      <c r="AA292" s="35">
        <f t="shared" si="4"/>
        <v>1</v>
      </c>
      <c r="AB292" s="14"/>
      <c r="AC292" s="30" t="s">
        <v>223</v>
      </c>
      <c r="AD292" s="37" t="s">
        <v>223</v>
      </c>
    </row>
    <row r="293" spans="1:30" x14ac:dyDescent="0.25">
      <c r="A293" s="36">
        <v>3833</v>
      </c>
      <c r="B293" s="14" t="s">
        <v>7419</v>
      </c>
      <c r="C293" s="14" t="s">
        <v>7420</v>
      </c>
      <c r="D293" s="17">
        <v>44109</v>
      </c>
      <c r="E293" s="14" t="s">
        <v>30</v>
      </c>
      <c r="F293" s="14">
        <v>19</v>
      </c>
      <c r="G293" s="14">
        <v>3</v>
      </c>
      <c r="H293" s="14">
        <v>17</v>
      </c>
      <c r="I293" s="14">
        <v>9</v>
      </c>
      <c r="J293" s="14" t="s">
        <v>31</v>
      </c>
      <c r="K293" s="14" cm="1">
        <f t="array" ref="K293">INT(SUMPRODUCT(--ISNUMBER(SEARCH(economy,C293)))&gt;0)</f>
        <v>0</v>
      </c>
      <c r="L293" s="14" cm="1">
        <f t="array" ref="L293">INT(SUMPRODUCT(--ISNUMBER(SEARCH(healthcare,C293)))&gt;0)</f>
        <v>0</v>
      </c>
      <c r="M293" s="14" cm="1">
        <f t="array" ref="M293">INT(SUMPRODUCT(--ISNUMBER(SEARCH(supreme,C293)))&gt;0)</f>
        <v>0</v>
      </c>
      <c r="N293" s="14" cm="1">
        <f t="array" ref="N293">INT(SUMPRODUCT(--ISNUMBER(SEARCH(covid,C293)))&gt;0)</f>
        <v>0</v>
      </c>
      <c r="O293" s="14" cm="1">
        <f t="array" ref="O293">INT(SUMPRODUCT(--ISNUMBER(SEARCH(violent,C293)))&gt;0)</f>
        <v>0</v>
      </c>
      <c r="P293" s="14" cm="1">
        <f t="array" ref="P293">INT(SUMPRODUCT(--ISNUMBER(SEARCH(foreign,C293)))&gt;0)</f>
        <v>0</v>
      </c>
      <c r="Q293" s="14" cm="1">
        <f t="array" ref="Q293">INT(SUMPRODUCT(--ISNUMBER(SEARCH(gun,C293)))&gt;0)</f>
        <v>0</v>
      </c>
      <c r="R293" s="14" cm="1">
        <f t="array" ref="R293">INT(SUMPRODUCT(--ISNUMBER(SEARCH(race,C293)))&gt;0)</f>
        <v>0</v>
      </c>
      <c r="S293" s="14" cm="1">
        <f t="array" ref="S293">INT(SUMPRODUCT(--ISNUMBER(SEARCH(immigration,C293)))&gt;0)</f>
        <v>0</v>
      </c>
      <c r="T293" s="14" cm="1">
        <f t="array" ref="T293">INT(SUMPRODUCT(--ISNUMBER(SEARCH(econineq,C294)))&gt;0)</f>
        <v>0</v>
      </c>
      <c r="U293" s="14" cm="1">
        <f t="array" ref="U293">INT(SUMPRODUCT(--ISNUMBER(SEARCH(climate,C293)))&gt;0)</f>
        <v>0</v>
      </c>
      <c r="V293" s="14" cm="1">
        <f t="array" ref="V293">INT(SUMPRODUCT(--ISNUMBER(SEARCH(abortion,C293)))&gt;0)</f>
        <v>0</v>
      </c>
      <c r="W293" s="14" cm="1">
        <f t="array" ref="W293">INT(SUMPRODUCT(--ISNUMBER(SEARCH(trump,C293)))&gt;0)</f>
        <v>0</v>
      </c>
      <c r="X293" s="14" cm="1">
        <f t="array" ref="X293">INT(SUMPRODUCT(--ISNUMBER(SEARCH(voting,C293)))&gt;0)</f>
        <v>0</v>
      </c>
      <c r="Y293" s="35" cm="1">
        <f t="array" ref="Y293">INT(SUMPRODUCT(--ISNUMBER(SEARCH(republicantrigger,C293)))&gt;0)</f>
        <v>0</v>
      </c>
      <c r="Z293" s="35" cm="1">
        <f t="array" ref="Z293">INT(SUMPRODUCT(--ISNUMBER(SEARCH(bipartisan,C293)))&gt;0)</f>
        <v>0</v>
      </c>
      <c r="AA293" s="35">
        <f t="shared" si="4"/>
        <v>1</v>
      </c>
      <c r="AB293" s="14"/>
      <c r="AC293" s="30" t="s">
        <v>223</v>
      </c>
      <c r="AD293" s="37" t="s">
        <v>223</v>
      </c>
    </row>
    <row r="294" spans="1:30" x14ac:dyDescent="0.25">
      <c r="A294" s="36">
        <v>3834</v>
      </c>
      <c r="B294" s="14" t="s">
        <v>7421</v>
      </c>
      <c r="C294" s="14" t="s">
        <v>7422</v>
      </c>
      <c r="D294" s="17">
        <v>44108</v>
      </c>
      <c r="E294" s="14" t="s">
        <v>30</v>
      </c>
      <c r="F294" s="14">
        <v>386</v>
      </c>
      <c r="G294" s="14">
        <v>117</v>
      </c>
      <c r="H294" s="14">
        <v>17</v>
      </c>
      <c r="I294" s="14">
        <v>9</v>
      </c>
      <c r="J294" s="14" t="s">
        <v>31</v>
      </c>
      <c r="K294" s="14" cm="1">
        <f t="array" ref="K294">INT(SUMPRODUCT(--ISNUMBER(SEARCH(economy,C294)))&gt;0)</f>
        <v>0</v>
      </c>
      <c r="L294" s="14" cm="1">
        <f t="array" ref="L294">INT(SUMPRODUCT(--ISNUMBER(SEARCH(healthcare,C294)))&gt;0)</f>
        <v>0</v>
      </c>
      <c r="M294" s="14" cm="1">
        <f t="array" ref="M294">INT(SUMPRODUCT(--ISNUMBER(SEARCH(supreme,C294)))&gt;0)</f>
        <v>1</v>
      </c>
      <c r="N294" s="14" cm="1">
        <f t="array" ref="N294">INT(SUMPRODUCT(--ISNUMBER(SEARCH(covid,C294)))&gt;0)</f>
        <v>0</v>
      </c>
      <c r="O294" s="14" cm="1">
        <f t="array" ref="O294">INT(SUMPRODUCT(--ISNUMBER(SEARCH(violent,C294)))&gt;0)</f>
        <v>0</v>
      </c>
      <c r="P294" s="14" cm="1">
        <f t="array" ref="P294">INT(SUMPRODUCT(--ISNUMBER(SEARCH(foreign,C294)))&gt;0)</f>
        <v>0</v>
      </c>
      <c r="Q294" s="14" cm="1">
        <f t="array" ref="Q294">INT(SUMPRODUCT(--ISNUMBER(SEARCH(gun,C294)))&gt;0)</f>
        <v>0</v>
      </c>
      <c r="R294" s="14" cm="1">
        <f t="array" ref="R294">INT(SUMPRODUCT(--ISNUMBER(SEARCH(race,C294)))&gt;0)</f>
        <v>0</v>
      </c>
      <c r="S294" s="14" cm="1">
        <f t="array" ref="S294">INT(SUMPRODUCT(--ISNUMBER(SEARCH(immigration,C294)))&gt;0)</f>
        <v>0</v>
      </c>
      <c r="T294" s="14" cm="1">
        <f t="array" ref="T294">INT(SUMPRODUCT(--ISNUMBER(SEARCH(econineq,C295)))&gt;0)</f>
        <v>0</v>
      </c>
      <c r="U294" s="14" cm="1">
        <f t="array" ref="U294">INT(SUMPRODUCT(--ISNUMBER(SEARCH(climate,C294)))&gt;0)</f>
        <v>0</v>
      </c>
      <c r="V294" s="14" cm="1">
        <f t="array" ref="V294">INT(SUMPRODUCT(--ISNUMBER(SEARCH(abortion,C294)))&gt;0)</f>
        <v>0</v>
      </c>
      <c r="W294" s="14" cm="1">
        <f t="array" ref="W294">INT(SUMPRODUCT(--ISNUMBER(SEARCH(trump,C294)))&gt;0)</f>
        <v>0</v>
      </c>
      <c r="X294" s="14" cm="1">
        <f t="array" ref="X294">INT(SUMPRODUCT(--ISNUMBER(SEARCH(voting,C294)))&gt;0)</f>
        <v>0</v>
      </c>
      <c r="Y294" s="35" cm="1">
        <f t="array" ref="Y294">INT(SUMPRODUCT(--ISNUMBER(SEARCH(republicantrigger,C294)))&gt;0)</f>
        <v>1</v>
      </c>
      <c r="Z294" s="35" cm="1">
        <f t="array" ref="Z294">INT(SUMPRODUCT(--ISNUMBER(SEARCH(bipartisan,C294)))&gt;0)</f>
        <v>0</v>
      </c>
      <c r="AA294" s="35">
        <f t="shared" si="4"/>
        <v>0</v>
      </c>
      <c r="AB294" s="14"/>
      <c r="AC294" s="30" t="s">
        <v>223</v>
      </c>
      <c r="AD294" s="37" t="s">
        <v>223</v>
      </c>
    </row>
    <row r="295" spans="1:30" x14ac:dyDescent="0.25">
      <c r="A295" s="36">
        <v>3835</v>
      </c>
      <c r="B295" s="14" t="s">
        <v>7423</v>
      </c>
      <c r="C295" s="14" t="s">
        <v>7424</v>
      </c>
      <c r="D295" s="17">
        <v>44108</v>
      </c>
      <c r="E295" s="14" t="s">
        <v>30</v>
      </c>
      <c r="F295" s="14">
        <v>52</v>
      </c>
      <c r="G295" s="14">
        <v>11</v>
      </c>
      <c r="H295" s="14">
        <v>17</v>
      </c>
      <c r="I295" s="14">
        <v>9</v>
      </c>
      <c r="J295" s="14" t="s">
        <v>31</v>
      </c>
      <c r="K295" s="14" cm="1">
        <f t="array" ref="K295">INT(SUMPRODUCT(--ISNUMBER(SEARCH(economy,C295)))&gt;0)</f>
        <v>0</v>
      </c>
      <c r="L295" s="14" cm="1">
        <f t="array" ref="L295">INT(SUMPRODUCT(--ISNUMBER(SEARCH(healthcare,C295)))&gt;0)</f>
        <v>0</v>
      </c>
      <c r="M295" s="14" cm="1">
        <f t="array" ref="M295">INT(SUMPRODUCT(--ISNUMBER(SEARCH(supreme,C295)))&gt;0)</f>
        <v>0</v>
      </c>
      <c r="N295" s="14" cm="1">
        <f t="array" ref="N295">INT(SUMPRODUCT(--ISNUMBER(SEARCH(covid,C295)))&gt;0)</f>
        <v>0</v>
      </c>
      <c r="O295" s="14" cm="1">
        <f t="array" ref="O295">INT(SUMPRODUCT(--ISNUMBER(SEARCH(violent,C295)))&gt;0)</f>
        <v>0</v>
      </c>
      <c r="P295" s="14" cm="1">
        <f t="array" ref="P295">INT(SUMPRODUCT(--ISNUMBER(SEARCH(foreign,C295)))&gt;0)</f>
        <v>0</v>
      </c>
      <c r="Q295" s="14" cm="1">
        <f t="array" ref="Q295">INT(SUMPRODUCT(--ISNUMBER(SEARCH(gun,C295)))&gt;0)</f>
        <v>0</v>
      </c>
      <c r="R295" s="14" cm="1">
        <f t="array" ref="R295">INT(SUMPRODUCT(--ISNUMBER(SEARCH(race,C295)))&gt;0)</f>
        <v>0</v>
      </c>
      <c r="S295" s="14" cm="1">
        <f t="array" ref="S295">INT(SUMPRODUCT(--ISNUMBER(SEARCH(immigration,C295)))&gt;0)</f>
        <v>0</v>
      </c>
      <c r="T295" s="14" cm="1">
        <f t="array" ref="T295">INT(SUMPRODUCT(--ISNUMBER(SEARCH(econineq,C296)))&gt;0)</f>
        <v>0</v>
      </c>
      <c r="U295" s="14" cm="1">
        <f t="array" ref="U295">INT(SUMPRODUCT(--ISNUMBER(SEARCH(climate,C295)))&gt;0)</f>
        <v>0</v>
      </c>
      <c r="V295" s="14" cm="1">
        <f t="array" ref="V295">INT(SUMPRODUCT(--ISNUMBER(SEARCH(abortion,C295)))&gt;0)</f>
        <v>0</v>
      </c>
      <c r="W295" s="14" cm="1">
        <f t="array" ref="W295">INT(SUMPRODUCT(--ISNUMBER(SEARCH(trump,C295)))&gt;0)</f>
        <v>0</v>
      </c>
      <c r="X295" s="14" cm="1">
        <f t="array" ref="X295">INT(SUMPRODUCT(--ISNUMBER(SEARCH(voting,C295)))&gt;0)</f>
        <v>0</v>
      </c>
      <c r="Y295" s="35" cm="1">
        <f t="array" ref="Y295">INT(SUMPRODUCT(--ISNUMBER(SEARCH(republicantrigger,C295)))&gt;0)</f>
        <v>0</v>
      </c>
      <c r="Z295" s="35" cm="1">
        <f t="array" ref="Z295">INT(SUMPRODUCT(--ISNUMBER(SEARCH(bipartisan,C295)))&gt;0)</f>
        <v>0</v>
      </c>
      <c r="AA295" s="35">
        <f t="shared" si="4"/>
        <v>1</v>
      </c>
      <c r="AB295" s="14"/>
      <c r="AC295" s="30" t="s">
        <v>223</v>
      </c>
      <c r="AD295" s="37" t="s">
        <v>223</v>
      </c>
    </row>
    <row r="296" spans="1:30" x14ac:dyDescent="0.25">
      <c r="A296" s="36">
        <v>3836</v>
      </c>
      <c r="B296" s="14" t="s">
        <v>7425</v>
      </c>
      <c r="C296" s="14" t="s">
        <v>7426</v>
      </c>
      <c r="D296" s="17">
        <v>44108</v>
      </c>
      <c r="E296" s="14" t="s">
        <v>30</v>
      </c>
      <c r="F296" s="14">
        <v>271</v>
      </c>
      <c r="G296" s="14">
        <v>101</v>
      </c>
      <c r="H296" s="14">
        <v>17</v>
      </c>
      <c r="I296" s="14">
        <v>9</v>
      </c>
      <c r="J296" s="14" t="s">
        <v>31</v>
      </c>
      <c r="K296" s="14" cm="1">
        <f t="array" ref="K296">INT(SUMPRODUCT(--ISNUMBER(SEARCH(economy,C296)))&gt;0)</f>
        <v>0</v>
      </c>
      <c r="L296" s="14" cm="1">
        <f t="array" ref="L296">INT(SUMPRODUCT(--ISNUMBER(SEARCH(healthcare,C296)))&gt;0)</f>
        <v>0</v>
      </c>
      <c r="M296" s="14" cm="1">
        <f t="array" ref="M296">INT(SUMPRODUCT(--ISNUMBER(SEARCH(supreme,C296)))&gt;0)</f>
        <v>0</v>
      </c>
      <c r="N296" s="14" cm="1">
        <f t="array" ref="N296">INT(SUMPRODUCT(--ISNUMBER(SEARCH(covid,C296)))&gt;0)</f>
        <v>0</v>
      </c>
      <c r="O296" s="14" cm="1">
        <f t="array" ref="O296">INT(SUMPRODUCT(--ISNUMBER(SEARCH(violent,C296)))&gt;0)</f>
        <v>0</v>
      </c>
      <c r="P296" s="14" cm="1">
        <f t="array" ref="P296">INT(SUMPRODUCT(--ISNUMBER(SEARCH(foreign,C296)))&gt;0)</f>
        <v>0</v>
      </c>
      <c r="Q296" s="14" cm="1">
        <f t="array" ref="Q296">INT(SUMPRODUCT(--ISNUMBER(SEARCH(gun,C296)))&gt;0)</f>
        <v>0</v>
      </c>
      <c r="R296" s="14" cm="1">
        <f t="array" ref="R296">INT(SUMPRODUCT(--ISNUMBER(SEARCH(race,C296)))&gt;0)</f>
        <v>0</v>
      </c>
      <c r="S296" s="14" cm="1">
        <f t="array" ref="S296">INT(SUMPRODUCT(--ISNUMBER(SEARCH(immigration,C296)))&gt;0)</f>
        <v>0</v>
      </c>
      <c r="T296" s="14" cm="1">
        <f t="array" ref="T296">INT(SUMPRODUCT(--ISNUMBER(SEARCH(econineq,C297)))&gt;0)</f>
        <v>0</v>
      </c>
      <c r="U296" s="14" cm="1">
        <f t="array" ref="U296">INT(SUMPRODUCT(--ISNUMBER(SEARCH(climate,C296)))&gt;0)</f>
        <v>0</v>
      </c>
      <c r="V296" s="14" cm="1">
        <f t="array" ref="V296">INT(SUMPRODUCT(--ISNUMBER(SEARCH(abortion,C296)))&gt;0)</f>
        <v>0</v>
      </c>
      <c r="W296" s="14" cm="1">
        <f t="array" ref="W296">INT(SUMPRODUCT(--ISNUMBER(SEARCH(trump,C296)))&gt;0)</f>
        <v>0</v>
      </c>
      <c r="X296" s="14" cm="1">
        <f t="array" ref="X296">INT(SUMPRODUCT(--ISNUMBER(SEARCH(voting,C296)))&gt;0)</f>
        <v>0</v>
      </c>
      <c r="Y296" s="35" cm="1">
        <f t="array" ref="Y296">INT(SUMPRODUCT(--ISNUMBER(SEARCH(republicantrigger,C296)))&gt;0)</f>
        <v>0</v>
      </c>
      <c r="Z296" s="35" cm="1">
        <f t="array" ref="Z296">INT(SUMPRODUCT(--ISNUMBER(SEARCH(bipartisan,C296)))&gt;0)</f>
        <v>0</v>
      </c>
      <c r="AA296" s="35">
        <f t="shared" si="4"/>
        <v>1</v>
      </c>
      <c r="AB296" s="14"/>
      <c r="AC296" s="30" t="s">
        <v>223</v>
      </c>
      <c r="AD296" s="37" t="s">
        <v>223</v>
      </c>
    </row>
    <row r="297" spans="1:30" x14ac:dyDescent="0.25">
      <c r="A297" s="36">
        <v>3837</v>
      </c>
      <c r="B297" s="14" t="s">
        <v>7427</v>
      </c>
      <c r="C297" s="14" t="s">
        <v>7428</v>
      </c>
      <c r="D297" s="17">
        <v>44108</v>
      </c>
      <c r="E297" s="14" t="s">
        <v>30</v>
      </c>
      <c r="F297" s="14">
        <v>376</v>
      </c>
      <c r="G297" s="14">
        <v>121</v>
      </c>
      <c r="H297" s="14">
        <v>17</v>
      </c>
      <c r="I297" s="14">
        <v>9</v>
      </c>
      <c r="J297" s="14" t="s">
        <v>31</v>
      </c>
      <c r="K297" s="14" cm="1">
        <f t="array" ref="K297">INT(SUMPRODUCT(--ISNUMBER(SEARCH(economy,C297)))&gt;0)</f>
        <v>0</v>
      </c>
      <c r="L297" s="14" cm="1">
        <f t="array" ref="L297">INT(SUMPRODUCT(--ISNUMBER(SEARCH(healthcare,C297)))&gt;0)</f>
        <v>0</v>
      </c>
      <c r="M297" s="14" cm="1">
        <f t="array" ref="M297">INT(SUMPRODUCT(--ISNUMBER(SEARCH(supreme,C297)))&gt;0)</f>
        <v>1</v>
      </c>
      <c r="N297" s="14" cm="1">
        <f t="array" ref="N297">INT(SUMPRODUCT(--ISNUMBER(SEARCH(covid,C297)))&gt;0)</f>
        <v>0</v>
      </c>
      <c r="O297" s="14" cm="1">
        <f t="array" ref="O297">INT(SUMPRODUCT(--ISNUMBER(SEARCH(violent,C297)))&gt;0)</f>
        <v>0</v>
      </c>
      <c r="P297" s="14" cm="1">
        <f t="array" ref="P297">INT(SUMPRODUCT(--ISNUMBER(SEARCH(foreign,C297)))&gt;0)</f>
        <v>0</v>
      </c>
      <c r="Q297" s="14" cm="1">
        <f t="array" ref="Q297">INT(SUMPRODUCT(--ISNUMBER(SEARCH(gun,C297)))&gt;0)</f>
        <v>0</v>
      </c>
      <c r="R297" s="14" cm="1">
        <f t="array" ref="R297">INT(SUMPRODUCT(--ISNUMBER(SEARCH(race,C297)))&gt;0)</f>
        <v>0</v>
      </c>
      <c r="S297" s="14" cm="1">
        <f t="array" ref="S297">INT(SUMPRODUCT(--ISNUMBER(SEARCH(immigration,C297)))&gt;0)</f>
        <v>0</v>
      </c>
      <c r="T297" s="14" cm="1">
        <f t="array" ref="T297">INT(SUMPRODUCT(--ISNUMBER(SEARCH(econineq,C298)))&gt;0)</f>
        <v>0</v>
      </c>
      <c r="U297" s="14" cm="1">
        <f t="array" ref="U297">INT(SUMPRODUCT(--ISNUMBER(SEARCH(climate,C297)))&gt;0)</f>
        <v>0</v>
      </c>
      <c r="V297" s="14" cm="1">
        <f t="array" ref="V297">INT(SUMPRODUCT(--ISNUMBER(SEARCH(abortion,C297)))&gt;0)</f>
        <v>0</v>
      </c>
      <c r="W297" s="14" cm="1">
        <f t="array" ref="W297">INT(SUMPRODUCT(--ISNUMBER(SEARCH(trump,C297)))&gt;0)</f>
        <v>0</v>
      </c>
      <c r="X297" s="14" cm="1">
        <f t="array" ref="X297">INT(SUMPRODUCT(--ISNUMBER(SEARCH(voting,C297)))&gt;0)</f>
        <v>1</v>
      </c>
      <c r="Y297" s="35" cm="1">
        <f t="array" ref="Y297">INT(SUMPRODUCT(--ISNUMBER(SEARCH(republicantrigger,C297)))&gt;0)</f>
        <v>1</v>
      </c>
      <c r="Z297" s="35" cm="1">
        <f t="array" ref="Z297">INT(SUMPRODUCT(--ISNUMBER(SEARCH(bipartisan,C297)))&gt;0)</f>
        <v>1</v>
      </c>
      <c r="AA297" s="35">
        <f t="shared" si="4"/>
        <v>0</v>
      </c>
      <c r="AB297" s="14"/>
      <c r="AC297" s="30" t="s">
        <v>223</v>
      </c>
      <c r="AD297" s="37" t="s">
        <v>223</v>
      </c>
    </row>
    <row r="298" spans="1:30" x14ac:dyDescent="0.25">
      <c r="A298" s="36">
        <v>3838</v>
      </c>
      <c r="B298" s="14" t="s">
        <v>7429</v>
      </c>
      <c r="C298" s="14" t="s">
        <v>7430</v>
      </c>
      <c r="D298" s="17">
        <v>44108</v>
      </c>
      <c r="E298" s="14" t="s">
        <v>30</v>
      </c>
      <c r="F298" s="14">
        <v>3558</v>
      </c>
      <c r="G298" s="14">
        <v>1184</v>
      </c>
      <c r="H298" s="14">
        <v>17</v>
      </c>
      <c r="I298" s="14">
        <v>9</v>
      </c>
      <c r="J298" s="14" t="s">
        <v>31</v>
      </c>
      <c r="K298" s="14" cm="1">
        <f t="array" ref="K298">INT(SUMPRODUCT(--ISNUMBER(SEARCH(economy,C298)))&gt;0)</f>
        <v>0</v>
      </c>
      <c r="L298" s="14" cm="1">
        <f t="array" ref="L298">INT(SUMPRODUCT(--ISNUMBER(SEARCH(healthcare,C298)))&gt;0)</f>
        <v>0</v>
      </c>
      <c r="M298" s="14" cm="1">
        <f t="array" ref="M298">INT(SUMPRODUCT(--ISNUMBER(SEARCH(supreme,C298)))&gt;0)</f>
        <v>0</v>
      </c>
      <c r="N298" s="14" cm="1">
        <f t="array" ref="N298">INT(SUMPRODUCT(--ISNUMBER(SEARCH(covid,C298)))&gt;0)</f>
        <v>0</v>
      </c>
      <c r="O298" s="14" cm="1">
        <f t="array" ref="O298">INT(SUMPRODUCT(--ISNUMBER(SEARCH(violent,C298)))&gt;0)</f>
        <v>0</v>
      </c>
      <c r="P298" s="14" cm="1">
        <f t="array" ref="P298">INT(SUMPRODUCT(--ISNUMBER(SEARCH(foreign,C298)))&gt;0)</f>
        <v>0</v>
      </c>
      <c r="Q298" s="14" cm="1">
        <f t="array" ref="Q298">INT(SUMPRODUCT(--ISNUMBER(SEARCH(gun,C298)))&gt;0)</f>
        <v>0</v>
      </c>
      <c r="R298" s="14" cm="1">
        <f t="array" ref="R298">INT(SUMPRODUCT(--ISNUMBER(SEARCH(race,C298)))&gt;0)</f>
        <v>0</v>
      </c>
      <c r="S298" s="14" cm="1">
        <f t="array" ref="S298">INT(SUMPRODUCT(--ISNUMBER(SEARCH(immigration,C298)))&gt;0)</f>
        <v>0</v>
      </c>
      <c r="T298" s="14" cm="1">
        <f t="array" ref="T298">INT(SUMPRODUCT(--ISNUMBER(SEARCH(econineq,C299)))&gt;0)</f>
        <v>0</v>
      </c>
      <c r="U298" s="14" cm="1">
        <f t="array" ref="U298">INT(SUMPRODUCT(--ISNUMBER(SEARCH(climate,C298)))&gt;0)</f>
        <v>0</v>
      </c>
      <c r="V298" s="14" cm="1">
        <f t="array" ref="V298">INT(SUMPRODUCT(--ISNUMBER(SEARCH(abortion,C298)))&gt;0)</f>
        <v>0</v>
      </c>
      <c r="W298" s="14" cm="1">
        <f t="array" ref="W298">INT(SUMPRODUCT(--ISNUMBER(SEARCH(trump,C298)))&gt;0)</f>
        <v>1</v>
      </c>
      <c r="X298" s="14" cm="1">
        <f t="array" ref="X298">INT(SUMPRODUCT(--ISNUMBER(SEARCH(voting,C298)))&gt;0)</f>
        <v>0</v>
      </c>
      <c r="Y298" s="35" cm="1">
        <f t="array" ref="Y298">INT(SUMPRODUCT(--ISNUMBER(SEARCH(republicantrigger,C298)))&gt;0)</f>
        <v>0</v>
      </c>
      <c r="Z298" s="35" cm="1">
        <f t="array" ref="Z298">INT(SUMPRODUCT(--ISNUMBER(SEARCH(bipartisan,C298)))&gt;0)</f>
        <v>0</v>
      </c>
      <c r="AA298" s="35">
        <f t="shared" si="4"/>
        <v>0</v>
      </c>
      <c r="AB298" s="14"/>
      <c r="AC298" s="30" t="s">
        <v>223</v>
      </c>
      <c r="AD298" s="37" t="s">
        <v>223</v>
      </c>
    </row>
    <row r="299" spans="1:30" x14ac:dyDescent="0.25">
      <c r="A299" s="36">
        <v>3839</v>
      </c>
      <c r="B299" s="14" t="s">
        <v>7431</v>
      </c>
      <c r="C299" s="14" t="s">
        <v>7432</v>
      </c>
      <c r="D299" s="17">
        <v>44108</v>
      </c>
      <c r="E299" s="14" t="s">
        <v>30</v>
      </c>
      <c r="F299" s="14">
        <v>57</v>
      </c>
      <c r="G299" s="14">
        <v>25</v>
      </c>
      <c r="H299" s="14">
        <v>17</v>
      </c>
      <c r="I299" s="14">
        <v>9</v>
      </c>
      <c r="J299" s="14" t="s">
        <v>31</v>
      </c>
      <c r="K299" s="14" cm="1">
        <f t="array" ref="K299">INT(SUMPRODUCT(--ISNUMBER(SEARCH(economy,C299)))&gt;0)</f>
        <v>0</v>
      </c>
      <c r="L299" s="14" cm="1">
        <f t="array" ref="L299">INT(SUMPRODUCT(--ISNUMBER(SEARCH(healthcare,C299)))&gt;0)</f>
        <v>0</v>
      </c>
      <c r="M299" s="14" cm="1">
        <f t="array" ref="M299">INT(SUMPRODUCT(--ISNUMBER(SEARCH(supreme,C299)))&gt;0)</f>
        <v>0</v>
      </c>
      <c r="N299" s="14" cm="1">
        <f t="array" ref="N299">INT(SUMPRODUCT(--ISNUMBER(SEARCH(covid,C299)))&gt;0)</f>
        <v>0</v>
      </c>
      <c r="O299" s="14" cm="1">
        <f t="array" ref="O299">INT(SUMPRODUCT(--ISNUMBER(SEARCH(violent,C299)))&gt;0)</f>
        <v>0</v>
      </c>
      <c r="P299" s="14" cm="1">
        <f t="array" ref="P299">INT(SUMPRODUCT(--ISNUMBER(SEARCH(foreign,C299)))&gt;0)</f>
        <v>0</v>
      </c>
      <c r="Q299" s="14" cm="1">
        <f t="array" ref="Q299">INT(SUMPRODUCT(--ISNUMBER(SEARCH(gun,C299)))&gt;0)</f>
        <v>0</v>
      </c>
      <c r="R299" s="14" cm="1">
        <f t="array" ref="R299">INT(SUMPRODUCT(--ISNUMBER(SEARCH(race,C299)))&gt;0)</f>
        <v>0</v>
      </c>
      <c r="S299" s="14" cm="1">
        <f t="array" ref="S299">INT(SUMPRODUCT(--ISNUMBER(SEARCH(immigration,C299)))&gt;0)</f>
        <v>1</v>
      </c>
      <c r="T299" s="14" cm="1">
        <f t="array" ref="T299">INT(SUMPRODUCT(--ISNUMBER(SEARCH(econineq,C300)))&gt;0)</f>
        <v>0</v>
      </c>
      <c r="U299" s="14" cm="1">
        <f t="array" ref="U299">INT(SUMPRODUCT(--ISNUMBER(SEARCH(climate,C299)))&gt;0)</f>
        <v>0</v>
      </c>
      <c r="V299" s="14" cm="1">
        <f t="array" ref="V299">INT(SUMPRODUCT(--ISNUMBER(SEARCH(abortion,C299)))&gt;0)</f>
        <v>0</v>
      </c>
      <c r="W299" s="14" cm="1">
        <f t="array" ref="W299">INT(SUMPRODUCT(--ISNUMBER(SEARCH(trump,C299)))&gt;0)</f>
        <v>0</v>
      </c>
      <c r="X299" s="14" cm="1">
        <f t="array" ref="X299">INT(SUMPRODUCT(--ISNUMBER(SEARCH(voting,C299)))&gt;0)</f>
        <v>0</v>
      </c>
      <c r="Y299" s="35" cm="1">
        <f t="array" ref="Y299">INT(SUMPRODUCT(--ISNUMBER(SEARCH(republicantrigger,C299)))&gt;0)</f>
        <v>0</v>
      </c>
      <c r="Z299" s="35" cm="1">
        <f t="array" ref="Z299">INT(SUMPRODUCT(--ISNUMBER(SEARCH(bipartisan,C299)))&gt;0)</f>
        <v>1</v>
      </c>
      <c r="AA299" s="35">
        <f t="shared" si="4"/>
        <v>0</v>
      </c>
      <c r="AB299" s="14"/>
      <c r="AC299" s="30" t="s">
        <v>223</v>
      </c>
      <c r="AD299" s="37" t="s">
        <v>223</v>
      </c>
    </row>
    <row r="300" spans="1:30" x14ac:dyDescent="0.25">
      <c r="A300" s="36">
        <v>3840</v>
      </c>
      <c r="B300" s="14" t="s">
        <v>7433</v>
      </c>
      <c r="C300" s="14" t="s">
        <v>7434</v>
      </c>
      <c r="D300" s="17">
        <v>44107</v>
      </c>
      <c r="E300" s="14" t="s">
        <v>30</v>
      </c>
      <c r="F300" s="14">
        <v>239</v>
      </c>
      <c r="G300" s="14">
        <v>96</v>
      </c>
      <c r="H300" s="14">
        <v>17</v>
      </c>
      <c r="I300" s="14">
        <v>9</v>
      </c>
      <c r="J300" s="14" t="s">
        <v>31</v>
      </c>
      <c r="K300" s="14" cm="1">
        <f t="array" ref="K300">INT(SUMPRODUCT(--ISNUMBER(SEARCH(economy,C300)))&gt;0)</f>
        <v>0</v>
      </c>
      <c r="L300" s="14" cm="1">
        <f t="array" ref="L300">INT(SUMPRODUCT(--ISNUMBER(SEARCH(healthcare,C300)))&gt;0)</f>
        <v>0</v>
      </c>
      <c r="M300" s="14" cm="1">
        <f t="array" ref="M300">INT(SUMPRODUCT(--ISNUMBER(SEARCH(supreme,C300)))&gt;0)</f>
        <v>0</v>
      </c>
      <c r="N300" s="14" cm="1">
        <f t="array" ref="N300">INT(SUMPRODUCT(--ISNUMBER(SEARCH(covid,C300)))&gt;0)</f>
        <v>0</v>
      </c>
      <c r="O300" s="14" cm="1">
        <f t="array" ref="O300">INT(SUMPRODUCT(--ISNUMBER(SEARCH(violent,C300)))&gt;0)</f>
        <v>0</v>
      </c>
      <c r="P300" s="14" cm="1">
        <f t="array" ref="P300">INT(SUMPRODUCT(--ISNUMBER(SEARCH(foreign,C300)))&gt;0)</f>
        <v>0</v>
      </c>
      <c r="Q300" s="14" cm="1">
        <f t="array" ref="Q300">INT(SUMPRODUCT(--ISNUMBER(SEARCH(gun,C300)))&gt;0)</f>
        <v>0</v>
      </c>
      <c r="R300" s="14" cm="1">
        <f t="array" ref="R300">INT(SUMPRODUCT(--ISNUMBER(SEARCH(race,C300)))&gt;0)</f>
        <v>0</v>
      </c>
      <c r="S300" s="14" cm="1">
        <f t="array" ref="S300">INT(SUMPRODUCT(--ISNUMBER(SEARCH(immigration,C300)))&gt;0)</f>
        <v>0</v>
      </c>
      <c r="T300" s="14" cm="1">
        <f t="array" ref="T300">INT(SUMPRODUCT(--ISNUMBER(SEARCH(econineq,C301)))&gt;0)</f>
        <v>0</v>
      </c>
      <c r="U300" s="14" cm="1">
        <f t="array" ref="U300">INT(SUMPRODUCT(--ISNUMBER(SEARCH(climate,C300)))&gt;0)</f>
        <v>0</v>
      </c>
      <c r="V300" s="14" cm="1">
        <f t="array" ref="V300">INT(SUMPRODUCT(--ISNUMBER(SEARCH(abortion,C300)))&gt;0)</f>
        <v>0</v>
      </c>
      <c r="W300" s="14" cm="1">
        <f t="array" ref="W300">INT(SUMPRODUCT(--ISNUMBER(SEARCH(trump,C300)))&gt;0)</f>
        <v>0</v>
      </c>
      <c r="X300" s="14" cm="1">
        <f t="array" ref="X300">INT(SUMPRODUCT(--ISNUMBER(SEARCH(voting,C300)))&gt;0)</f>
        <v>0</v>
      </c>
      <c r="Y300" s="35" cm="1">
        <f t="array" ref="Y300">INT(SUMPRODUCT(--ISNUMBER(SEARCH(republicantrigger,C300)))&gt;0)</f>
        <v>0</v>
      </c>
      <c r="Z300" s="35" cm="1">
        <f t="array" ref="Z300">INT(SUMPRODUCT(--ISNUMBER(SEARCH(bipartisan,C300)))&gt;0)</f>
        <v>0</v>
      </c>
      <c r="AA300" s="35">
        <f t="shared" si="4"/>
        <v>1</v>
      </c>
      <c r="AB300" s="14"/>
      <c r="AC300" s="30" t="s">
        <v>223</v>
      </c>
      <c r="AD300" s="37" t="s">
        <v>223</v>
      </c>
    </row>
    <row r="301" spans="1:30" x14ac:dyDescent="0.25">
      <c r="A301" s="36">
        <v>3841</v>
      </c>
      <c r="B301" s="14" t="s">
        <v>7435</v>
      </c>
      <c r="C301" s="14" t="s">
        <v>7436</v>
      </c>
      <c r="D301" s="17">
        <v>44107</v>
      </c>
      <c r="E301" s="14" t="s">
        <v>30</v>
      </c>
      <c r="F301" s="14">
        <v>9</v>
      </c>
      <c r="G301" s="14">
        <v>5</v>
      </c>
      <c r="H301" s="14">
        <v>17</v>
      </c>
      <c r="I301" s="14">
        <v>9</v>
      </c>
      <c r="J301" s="14" t="s">
        <v>31</v>
      </c>
      <c r="K301" s="14" cm="1">
        <f t="array" ref="K301">INT(SUMPRODUCT(--ISNUMBER(SEARCH(economy,C301)))&gt;0)</f>
        <v>0</v>
      </c>
      <c r="L301" s="14" cm="1">
        <f t="array" ref="L301">INT(SUMPRODUCT(--ISNUMBER(SEARCH(healthcare,C301)))&gt;0)</f>
        <v>0</v>
      </c>
      <c r="M301" s="14" cm="1">
        <f t="array" ref="M301">INT(SUMPRODUCT(--ISNUMBER(SEARCH(supreme,C301)))&gt;0)</f>
        <v>0</v>
      </c>
      <c r="N301" s="14" cm="1">
        <f t="array" ref="N301">INT(SUMPRODUCT(--ISNUMBER(SEARCH(covid,C301)))&gt;0)</f>
        <v>0</v>
      </c>
      <c r="O301" s="14" cm="1">
        <f t="array" ref="O301">INT(SUMPRODUCT(--ISNUMBER(SEARCH(violent,C301)))&gt;0)</f>
        <v>0</v>
      </c>
      <c r="P301" s="14" cm="1">
        <f t="array" ref="P301">INT(SUMPRODUCT(--ISNUMBER(SEARCH(foreign,C301)))&gt;0)</f>
        <v>0</v>
      </c>
      <c r="Q301" s="14" cm="1">
        <f t="array" ref="Q301">INT(SUMPRODUCT(--ISNUMBER(SEARCH(gun,C301)))&gt;0)</f>
        <v>0</v>
      </c>
      <c r="R301" s="14" cm="1">
        <f t="array" ref="R301">INT(SUMPRODUCT(--ISNUMBER(SEARCH(race,C301)))&gt;0)</f>
        <v>0</v>
      </c>
      <c r="S301" s="14" cm="1">
        <f t="array" ref="S301">INT(SUMPRODUCT(--ISNUMBER(SEARCH(immigration,C301)))&gt;0)</f>
        <v>0</v>
      </c>
      <c r="T301" s="14" cm="1">
        <f t="array" ref="T301">INT(SUMPRODUCT(--ISNUMBER(SEARCH(econineq,C302)))&gt;0)</f>
        <v>0</v>
      </c>
      <c r="U301" s="14" cm="1">
        <f t="array" ref="U301">INT(SUMPRODUCT(--ISNUMBER(SEARCH(climate,C301)))&gt;0)</f>
        <v>0</v>
      </c>
      <c r="V301" s="14" cm="1">
        <f t="array" ref="V301">INT(SUMPRODUCT(--ISNUMBER(SEARCH(abortion,C301)))&gt;0)</f>
        <v>0</v>
      </c>
      <c r="W301" s="14" cm="1">
        <f t="array" ref="W301">INT(SUMPRODUCT(--ISNUMBER(SEARCH(trump,C301)))&gt;0)</f>
        <v>0</v>
      </c>
      <c r="X301" s="14" cm="1">
        <f t="array" ref="X301">INT(SUMPRODUCT(--ISNUMBER(SEARCH(voting,C301)))&gt;0)</f>
        <v>0</v>
      </c>
      <c r="Y301" s="35" cm="1">
        <f t="array" ref="Y301">INT(SUMPRODUCT(--ISNUMBER(SEARCH(republicantrigger,C301)))&gt;0)</f>
        <v>1</v>
      </c>
      <c r="Z301" s="35" cm="1">
        <f t="array" ref="Z301">INT(SUMPRODUCT(--ISNUMBER(SEARCH(bipartisan,C301)))&gt;0)</f>
        <v>0</v>
      </c>
      <c r="AA301" s="35">
        <f t="shared" si="4"/>
        <v>0</v>
      </c>
      <c r="AB301" s="14"/>
      <c r="AC301" s="30" t="s">
        <v>223</v>
      </c>
      <c r="AD301" s="37" t="s">
        <v>223</v>
      </c>
    </row>
    <row r="302" spans="1:30" x14ac:dyDescent="0.25">
      <c r="A302" s="38">
        <v>3842</v>
      </c>
      <c r="B302" s="39" t="s">
        <v>7437</v>
      </c>
      <c r="C302" s="39" t="s">
        <v>7438</v>
      </c>
      <c r="D302" s="41">
        <v>44107</v>
      </c>
      <c r="E302" s="39" t="s">
        <v>30</v>
      </c>
      <c r="F302" s="39">
        <v>185</v>
      </c>
      <c r="G302" s="39">
        <v>57</v>
      </c>
      <c r="H302" s="39">
        <v>17</v>
      </c>
      <c r="I302" s="39">
        <v>9</v>
      </c>
      <c r="J302" s="39" t="s">
        <v>31</v>
      </c>
      <c r="K302" s="39" cm="1">
        <f t="array" ref="K302">INT(SUMPRODUCT(--ISNUMBER(SEARCH(economy,C302)))&gt;0)</f>
        <v>0</v>
      </c>
      <c r="L302" s="39" cm="1">
        <f t="array" ref="L302">INT(SUMPRODUCT(--ISNUMBER(SEARCH(healthcare,C302)))&gt;0)</f>
        <v>0</v>
      </c>
      <c r="M302" s="39" cm="1">
        <f t="array" ref="M302">INT(SUMPRODUCT(--ISNUMBER(SEARCH(supreme,C302)))&gt;0)</f>
        <v>0</v>
      </c>
      <c r="N302" s="39" cm="1">
        <f t="array" ref="N302">INT(SUMPRODUCT(--ISNUMBER(SEARCH(covid,C302)))&gt;0)</f>
        <v>1</v>
      </c>
      <c r="O302" s="39" cm="1">
        <f t="array" ref="O302">INT(SUMPRODUCT(--ISNUMBER(SEARCH(violent,C302)))&gt;0)</f>
        <v>0</v>
      </c>
      <c r="P302" s="39" cm="1">
        <f t="array" ref="P302">INT(SUMPRODUCT(--ISNUMBER(SEARCH(foreign,C302)))&gt;0)</f>
        <v>0</v>
      </c>
      <c r="Q302" s="39" cm="1">
        <f t="array" ref="Q302">INT(SUMPRODUCT(--ISNUMBER(SEARCH(gun,C302)))&gt;0)</f>
        <v>0</v>
      </c>
      <c r="R302" s="39" cm="1">
        <f t="array" ref="R302">INT(SUMPRODUCT(--ISNUMBER(SEARCH(race,C302)))&gt;0)</f>
        <v>0</v>
      </c>
      <c r="S302" s="39" cm="1">
        <f t="array" ref="S302">INT(SUMPRODUCT(--ISNUMBER(SEARCH(immigration,C302)))&gt;0)</f>
        <v>0</v>
      </c>
      <c r="T302" s="39" cm="1">
        <f t="array" ref="T302">INT(SUMPRODUCT(--ISNUMBER(SEARCH(econineq,C303)))&gt;0)</f>
        <v>0</v>
      </c>
      <c r="U302" s="39" cm="1">
        <f t="array" ref="U302">INT(SUMPRODUCT(--ISNUMBER(SEARCH(climate,C302)))&gt;0)</f>
        <v>0</v>
      </c>
      <c r="V302" s="39" cm="1">
        <f t="array" ref="V302">INT(SUMPRODUCT(--ISNUMBER(SEARCH(abortion,C302)))&gt;0)</f>
        <v>0</v>
      </c>
      <c r="W302" s="39" cm="1">
        <f t="array" ref="W302">INT(SUMPRODUCT(--ISNUMBER(SEARCH(trump,C302)))&gt;0)</f>
        <v>0</v>
      </c>
      <c r="X302" s="39" cm="1">
        <f t="array" ref="X302">INT(SUMPRODUCT(--ISNUMBER(SEARCH(voting,C302)))&gt;0)</f>
        <v>0</v>
      </c>
      <c r="Y302" s="59" cm="1">
        <f t="array" ref="Y302">INT(SUMPRODUCT(--ISNUMBER(SEARCH(republicantrigger,C302)))&gt;0)</f>
        <v>0</v>
      </c>
      <c r="Z302" s="59" cm="1">
        <f t="array" ref="Z302">INT(SUMPRODUCT(--ISNUMBER(SEARCH(bipartisan,C302)))&gt;0)</f>
        <v>0</v>
      </c>
      <c r="AA302" s="59">
        <f t="shared" si="4"/>
        <v>0</v>
      </c>
      <c r="AB302" s="39"/>
      <c r="AC302" s="44" t="s">
        <v>223</v>
      </c>
      <c r="AD302" s="45" t="s">
        <v>223</v>
      </c>
    </row>
    <row r="303" spans="1:30" x14ac:dyDescent="0.25">
      <c r="K303" s="21">
        <f t="shared" ref="K303:AD303" si="5">SUM(K2:K302)</f>
        <v>23</v>
      </c>
      <c r="L303" s="21">
        <f t="shared" si="5"/>
        <v>5</v>
      </c>
      <c r="M303" s="21">
        <f t="shared" si="5"/>
        <v>46</v>
      </c>
      <c r="N303" s="21">
        <f t="shared" si="5"/>
        <v>31</v>
      </c>
      <c r="O303" s="21">
        <f t="shared" si="5"/>
        <v>4</v>
      </c>
      <c r="P303" s="21">
        <f t="shared" si="5"/>
        <v>26</v>
      </c>
      <c r="Q303" s="21">
        <f t="shared" si="5"/>
        <v>4</v>
      </c>
      <c r="R303" s="21">
        <f t="shared" si="5"/>
        <v>8</v>
      </c>
      <c r="S303" s="21">
        <f t="shared" si="5"/>
        <v>8</v>
      </c>
      <c r="T303" s="21">
        <f t="shared" si="5"/>
        <v>5</v>
      </c>
      <c r="U303" s="21">
        <f t="shared" si="5"/>
        <v>18</v>
      </c>
      <c r="V303" s="21">
        <f t="shared" si="5"/>
        <v>0</v>
      </c>
      <c r="W303" s="21">
        <f t="shared" si="5"/>
        <v>9</v>
      </c>
      <c r="X303" s="21">
        <f t="shared" si="5"/>
        <v>53</v>
      </c>
      <c r="Y303" s="21">
        <f t="shared" si="5"/>
        <v>85</v>
      </c>
      <c r="Z303" s="21">
        <f t="shared" si="5"/>
        <v>6</v>
      </c>
      <c r="AA303" s="21">
        <f t="shared" si="5"/>
        <v>101</v>
      </c>
      <c r="AB303" s="21">
        <f t="shared" si="5"/>
        <v>0</v>
      </c>
      <c r="AC303" s="21">
        <f t="shared" si="5"/>
        <v>22</v>
      </c>
      <c r="AD303" s="21">
        <f t="shared" si="5"/>
        <v>2</v>
      </c>
    </row>
  </sheetData>
  <conditionalFormatting sqref="J2:J302">
    <cfRule type="cellIs" dxfId="7" priority="1" operator="equal">
      <formula>"R"</formula>
    </cfRule>
  </conditionalFormatting>
  <hyperlinks>
    <hyperlink ref="B2" r:id="rId1" xr:uid="{13AC5D99-8DE9-4FF7-9768-E462D30C64EA}"/>
    <hyperlink ref="B3" r:id="rId2" xr:uid="{A501A39C-2D01-4999-9A21-DE0771A43EE1}"/>
    <hyperlink ref="B4" r:id="rId3" xr:uid="{C652F7E9-3ADB-47A8-AA92-E45D92079A5A}"/>
    <hyperlink ref="B5" r:id="rId4" xr:uid="{965CB56E-BB3E-47D3-B7F7-95B69BCE3CA9}"/>
    <hyperlink ref="B6" r:id="rId5" xr:uid="{1AC211BE-DBC7-4365-A34E-DA082B52139F}"/>
    <hyperlink ref="B7" r:id="rId6" xr:uid="{AD77FAD7-F0CC-4BDE-A148-E290E66B092B}"/>
    <hyperlink ref="B8" r:id="rId7" xr:uid="{88010EAD-2963-4F07-9BF9-84587ED33B1D}"/>
    <hyperlink ref="B9" r:id="rId8" xr:uid="{8BA60457-BB64-4861-B6DA-0FE5E1CFB97A}"/>
    <hyperlink ref="B10" r:id="rId9" xr:uid="{D183B0A0-93B2-4566-AE2A-D7A96A529766}"/>
    <hyperlink ref="B11" r:id="rId10" xr:uid="{E1A796C1-8D07-45D5-A877-9F2E96614AAA}"/>
    <hyperlink ref="B12" r:id="rId11" xr:uid="{C13D1EB5-D601-4382-B012-51CCFADAE23E}"/>
    <hyperlink ref="B13" r:id="rId12" xr:uid="{5291E980-B053-48C0-9590-B479912DF0C8}"/>
    <hyperlink ref="B14" r:id="rId13" xr:uid="{878E5778-9D57-4BD1-BBAA-E9EBEE1A5A0E}"/>
    <hyperlink ref="B15" r:id="rId14" xr:uid="{609B9ABB-4580-4F1C-B7B5-CDFD9D5844A0}"/>
    <hyperlink ref="B16" r:id="rId15" xr:uid="{F17E2720-A963-429A-9B91-4E2C33EF879A}"/>
    <hyperlink ref="B17" r:id="rId16" xr:uid="{B92EB89F-DB59-457B-B823-0D3AC1CF4E0D}"/>
    <hyperlink ref="B18" r:id="rId17" xr:uid="{E2F65A2D-EDFA-4EB8-B425-B03BA54F5ECA}"/>
    <hyperlink ref="B19" r:id="rId18" xr:uid="{6CFC1F60-A52D-459A-8614-08E3A148058B}"/>
    <hyperlink ref="B20" r:id="rId19" xr:uid="{EEA3F70B-C806-434F-A054-9165A56B8022}"/>
    <hyperlink ref="B21" r:id="rId20" xr:uid="{EAA3B68F-4DF2-447C-AA36-63399CAC1297}"/>
    <hyperlink ref="B22" r:id="rId21" xr:uid="{54F00498-1FDC-427D-8C6B-960624C5D197}"/>
    <hyperlink ref="B23" r:id="rId22" xr:uid="{AC927C55-E69F-4537-8409-879F0374A2CB}"/>
    <hyperlink ref="B24" r:id="rId23" xr:uid="{40F2926A-25D0-4287-8E5C-23887FC7480A}"/>
    <hyperlink ref="B25" r:id="rId24" xr:uid="{B1C55704-2DB2-4352-BFF1-EB8BD6D54B94}"/>
    <hyperlink ref="B26" r:id="rId25" xr:uid="{47ADAA20-E852-46C5-BC0A-7522F16A86B9}"/>
    <hyperlink ref="B27" r:id="rId26" xr:uid="{798DC991-7BAE-4902-B301-729AE0929978}"/>
    <hyperlink ref="B28" r:id="rId27" xr:uid="{DA583F1C-775B-429E-AA5D-7760D6570202}"/>
    <hyperlink ref="B29" r:id="rId28" xr:uid="{F1DB7DF4-0720-4000-82B7-20C1781FDCFF}"/>
    <hyperlink ref="B30" r:id="rId29" xr:uid="{96E880EA-0324-4E8E-86CF-7D146ED49E4A}"/>
    <hyperlink ref="B31" r:id="rId30" xr:uid="{418D2A54-740E-4D25-86ED-45E4A4255129}"/>
    <hyperlink ref="B32" r:id="rId31" xr:uid="{43A82F52-4495-42D9-9202-2DE830AADD99}"/>
    <hyperlink ref="B33" r:id="rId32" xr:uid="{A9157DF1-CFA4-4647-94AA-61153A732486}"/>
    <hyperlink ref="B34" r:id="rId33" xr:uid="{74CA26E0-30AC-40DA-B9AB-041E31FFD74E}"/>
    <hyperlink ref="B35" r:id="rId34" xr:uid="{13C99C8D-985F-411D-A62E-80C1CAAC2486}"/>
    <hyperlink ref="B36" r:id="rId35" xr:uid="{A6AF1A78-B687-4131-A5C1-F734BEDB836F}"/>
    <hyperlink ref="B37" r:id="rId36" xr:uid="{82693AB4-854A-4C09-809D-D8AFA59F30C2}"/>
    <hyperlink ref="B38" r:id="rId37" xr:uid="{166B8882-2CDF-47B5-9D02-A50D83ECC3FC}"/>
    <hyperlink ref="B39" r:id="rId38" xr:uid="{161A1F39-3F75-44A8-BB69-57F82096608C}"/>
    <hyperlink ref="B40" r:id="rId39" xr:uid="{C37FAF23-5BEE-4A67-A4A2-0B5228BE097D}"/>
    <hyperlink ref="B41" r:id="rId40" xr:uid="{71E7A14E-72B8-41D3-8E97-BC9FEB9DF72E}"/>
    <hyperlink ref="B42" r:id="rId41" xr:uid="{A8644BCB-2BDC-4353-B7A1-B1A55867F85F}"/>
    <hyperlink ref="B43" r:id="rId42" xr:uid="{664BDC7B-4866-4716-BE67-7541167F4977}"/>
    <hyperlink ref="B44" r:id="rId43" xr:uid="{2D6B724E-4C05-4B9E-9259-11F09B70DEBE}"/>
    <hyperlink ref="B45" r:id="rId44" xr:uid="{A30ABB1C-7FBE-4A22-95FC-08CE06E0DBD9}"/>
    <hyperlink ref="B46" r:id="rId45" xr:uid="{D770A745-CED0-4781-95E8-FCA80DD0EF2D}"/>
    <hyperlink ref="B47" r:id="rId46" xr:uid="{92F8E365-E2D4-4860-A614-06129C810110}"/>
    <hyperlink ref="B48" r:id="rId47" xr:uid="{6D771C68-7820-490D-9B41-7FEB91C114F4}"/>
    <hyperlink ref="B49" r:id="rId48" xr:uid="{1A58CE9F-2FF1-4B57-AE1E-055AA548A383}"/>
    <hyperlink ref="B50" r:id="rId49" xr:uid="{FBFD5DDF-A08C-434E-8DF3-EB48191E01E6}"/>
    <hyperlink ref="B51" r:id="rId50" xr:uid="{56032DF2-B7D2-46D8-9668-BCD68D37CBEC}"/>
    <hyperlink ref="B52" r:id="rId51" xr:uid="{79EBCB82-E2ED-4941-82C4-B8E66734C798}"/>
    <hyperlink ref="B53" r:id="rId52" xr:uid="{B3EE390E-AA3F-47D7-A322-E2B2BA787001}"/>
    <hyperlink ref="B54" r:id="rId53" xr:uid="{0DA927FC-C3F7-4C86-9B4A-E988015FD9FC}"/>
    <hyperlink ref="B55" r:id="rId54" xr:uid="{3A857429-72E5-4956-A5DF-EF295C9E7BA4}"/>
    <hyperlink ref="B56" r:id="rId55" xr:uid="{9E6F6C31-A8E4-4A17-B23A-A4F60A1055C7}"/>
    <hyperlink ref="B57" r:id="rId56" xr:uid="{C727165A-C36F-457C-B135-43764B9D9D4B}"/>
    <hyperlink ref="B58" r:id="rId57" xr:uid="{8316E96D-2BAD-41E7-812D-AB5403E7D9F8}"/>
    <hyperlink ref="B59" r:id="rId58" xr:uid="{6E65EAE5-08E7-4FAC-A4CD-EC601774941E}"/>
    <hyperlink ref="B60" r:id="rId59" xr:uid="{DEFFDF3B-2222-4D87-9417-A4C513C0EDD1}"/>
    <hyperlink ref="B61" r:id="rId60" xr:uid="{474AC74A-512C-41CE-BF8A-AFFD75E3271C}"/>
    <hyperlink ref="B62" r:id="rId61" xr:uid="{F72EE019-E5F1-465D-86DA-609194296F27}"/>
    <hyperlink ref="B63" r:id="rId62" xr:uid="{CBDF3C55-1EF7-450A-88EB-610B59289655}"/>
    <hyperlink ref="B64" r:id="rId63" xr:uid="{0FC8BEB9-8FAC-462D-AE8A-126616E9904D}"/>
    <hyperlink ref="B65" r:id="rId64" xr:uid="{8F3F74E9-9E65-4234-A90B-0EFB0606CB59}"/>
    <hyperlink ref="B66" r:id="rId65" xr:uid="{7C0CB53D-9B0A-4251-877A-38D5C73B66A6}"/>
    <hyperlink ref="B67" r:id="rId66" xr:uid="{5CCECA22-A8B5-4F60-A5BB-C65074E020FD}"/>
    <hyperlink ref="B68" r:id="rId67" xr:uid="{09ECD7B4-2015-4089-9C7A-9A10B34225B9}"/>
    <hyperlink ref="B69" r:id="rId68" xr:uid="{753070D7-E9C9-4F8C-9F8E-E27C6AE74BB2}"/>
    <hyperlink ref="B70" r:id="rId69" xr:uid="{934255C6-88F5-4E21-9061-462A7ADFCDCC}"/>
    <hyperlink ref="B71" r:id="rId70" xr:uid="{E932A53A-F5B7-450B-A9EE-40B7B1C3B593}"/>
    <hyperlink ref="B72" r:id="rId71" xr:uid="{88C401A5-D0D8-4D18-A066-538302C8C662}"/>
    <hyperlink ref="B73" r:id="rId72" xr:uid="{1A5E4279-9D5C-4F1E-A342-CEB55B31C59E}"/>
    <hyperlink ref="B74" r:id="rId73" xr:uid="{6B5DE622-4CD1-402B-B545-6B83AFC38523}"/>
    <hyperlink ref="B75" r:id="rId74" xr:uid="{AD608875-DA99-4461-A088-48CFC46908D9}"/>
    <hyperlink ref="B76" r:id="rId75" xr:uid="{791764CF-9217-46D9-9B09-11BA5BF97C34}"/>
    <hyperlink ref="B77" r:id="rId76" xr:uid="{D2DB41EB-8635-4A60-A85A-F96B1FE5DC4E}"/>
    <hyperlink ref="B78" r:id="rId77" xr:uid="{937DC4FE-8D2C-4BA5-A541-AE924D26068C}"/>
    <hyperlink ref="B79" r:id="rId78" xr:uid="{C8609346-AB8E-480E-BFD6-2FF33D0A6F09}"/>
    <hyperlink ref="B80" r:id="rId79" xr:uid="{D7B0C852-1F7E-4D49-9AFF-306B056270B3}"/>
    <hyperlink ref="B81" r:id="rId80" xr:uid="{68CD5C26-A879-4F1D-880F-24D7A93548E6}"/>
    <hyperlink ref="B82" r:id="rId81" xr:uid="{3BE35038-1BC1-44D9-B241-345D59C7D80C}"/>
    <hyperlink ref="B83" r:id="rId82" xr:uid="{86834C57-400B-4B1C-A73C-D665D53E3326}"/>
    <hyperlink ref="B84" r:id="rId83" xr:uid="{921DF6B0-8656-4305-A306-06A8ABAE4136}"/>
    <hyperlink ref="B85" r:id="rId84" xr:uid="{785D57D7-6EDD-46DD-904D-5AB439B5FA86}"/>
    <hyperlink ref="B86" r:id="rId85" xr:uid="{7EB292C3-9CCE-4DD6-A362-038BD5C93897}"/>
    <hyperlink ref="B87" r:id="rId86" xr:uid="{3E6EFA26-A8ED-42B1-AAE0-4B26D1C7F89C}"/>
    <hyperlink ref="B88" r:id="rId87" xr:uid="{7203545F-7B0D-4258-8A90-33F5876D635E}"/>
    <hyperlink ref="B89" r:id="rId88" xr:uid="{DD39CAE1-DA80-4250-BE6C-01C217181C6E}"/>
    <hyperlink ref="B90" r:id="rId89" xr:uid="{D1BBF13D-CEB1-4AF7-83FE-C4F33162DBEF}"/>
    <hyperlink ref="B91" r:id="rId90" xr:uid="{13D1169F-BAFF-4CB7-A44E-FEE4D2791B77}"/>
    <hyperlink ref="B92" r:id="rId91" xr:uid="{615AF0D7-D359-45A2-9C69-C26B4547D179}"/>
    <hyperlink ref="B93" r:id="rId92" xr:uid="{4E2BD129-01B0-4B39-9FA5-C403155E66C9}"/>
    <hyperlink ref="B94" r:id="rId93" xr:uid="{09AEF084-ADD6-44AE-8C90-AFA9FB14A410}"/>
    <hyperlink ref="B95" r:id="rId94" xr:uid="{FA985386-A0FD-49DA-AB81-C7D1E4733DB1}"/>
    <hyperlink ref="B96" r:id="rId95" xr:uid="{C2070C3D-BCC0-4A88-9063-F27FE011125F}"/>
    <hyperlink ref="B97" r:id="rId96" xr:uid="{1FDBF5E2-8E55-4CE0-AFFF-18F73F4701BA}"/>
    <hyperlink ref="B98" r:id="rId97" xr:uid="{61FFA1DA-AF35-4305-A5CC-8A2EF10D00B5}"/>
    <hyperlink ref="B99" r:id="rId98" xr:uid="{BFCC0656-1C54-47CB-A0FC-70FA99A7EDD2}"/>
    <hyperlink ref="B100" r:id="rId99" xr:uid="{DFAAAE6A-9318-4126-AC58-6F443748EC1C}"/>
    <hyperlink ref="B101" r:id="rId100" xr:uid="{21C6BD39-2356-486F-B045-7AC60090E2FD}"/>
    <hyperlink ref="B102" r:id="rId101" xr:uid="{2F4AD069-4020-469D-9F67-21600690F6F9}"/>
    <hyperlink ref="B103" r:id="rId102" xr:uid="{8744414D-7D92-4A77-888B-2186E8AAA222}"/>
    <hyperlink ref="B104" r:id="rId103" xr:uid="{5E012910-0C29-46CB-83F8-E369548E25E0}"/>
    <hyperlink ref="B105" r:id="rId104" xr:uid="{1E459004-1C89-4BEF-AA00-6A589E56284D}"/>
    <hyperlink ref="B106" r:id="rId105" xr:uid="{E00F6E16-A2BD-424F-822D-7DCF4E2F488F}"/>
    <hyperlink ref="B107" r:id="rId106" xr:uid="{38089BB2-4150-4C5C-B11B-D6665988A106}"/>
    <hyperlink ref="B108" r:id="rId107" xr:uid="{F7F8B9C3-E442-48E6-B317-EF0D07984A8C}"/>
    <hyperlink ref="B109" r:id="rId108" xr:uid="{84DE8F8E-6097-4626-8CA0-5FDAC82AA4CC}"/>
    <hyperlink ref="B110" r:id="rId109" xr:uid="{E0208544-2F68-4C75-B36D-1ADBF15630D5}"/>
    <hyperlink ref="B111" r:id="rId110" xr:uid="{5DB51531-55A0-42FB-A23B-18937E9AA3AE}"/>
    <hyperlink ref="B112" r:id="rId111" xr:uid="{413FA8DF-DED7-4C08-9C68-ECBAFF097426}"/>
    <hyperlink ref="B113" r:id="rId112" xr:uid="{920D335E-FB44-44D8-8F82-029B3FC9E42B}"/>
    <hyperlink ref="B114" r:id="rId113" xr:uid="{B9AC0787-3542-4D07-9C47-23297C3123F6}"/>
    <hyperlink ref="B115" r:id="rId114" xr:uid="{395465FB-BD48-4EFB-AE13-DE4337D4A434}"/>
    <hyperlink ref="B116" r:id="rId115" xr:uid="{E9D55931-2915-4A10-AC69-D6F4B3619E32}"/>
    <hyperlink ref="B117" r:id="rId116" xr:uid="{EF6BE605-DB64-440B-92DC-7B6F1655E9EB}"/>
    <hyperlink ref="B118" r:id="rId117" xr:uid="{25D4AA58-F791-4CF3-ACFA-534D570F0F1B}"/>
    <hyperlink ref="B119" r:id="rId118" xr:uid="{54087069-FCD5-4281-9AC3-699762CF58AE}"/>
    <hyperlink ref="B120" r:id="rId119" xr:uid="{0679C979-1599-4C88-BF24-3F81F74FC598}"/>
    <hyperlink ref="B121" r:id="rId120" xr:uid="{5DF1992F-63EE-43A8-A81F-A463C4D25E5F}"/>
    <hyperlink ref="B122" r:id="rId121" xr:uid="{86065D7B-2FB8-44DD-BBBE-40BA52A7BA46}"/>
    <hyperlink ref="B123" r:id="rId122" xr:uid="{34CDCAEB-2993-43D6-8729-99A46C8D2142}"/>
    <hyperlink ref="B124" r:id="rId123" xr:uid="{6A326CBF-6614-40D1-95B7-B0229F580FEB}"/>
    <hyperlink ref="B125" r:id="rId124" xr:uid="{7AC97132-55AC-4C29-B889-90327DF99625}"/>
    <hyperlink ref="B126" r:id="rId125" xr:uid="{83E92835-7108-41A9-B211-E4DC4B8B99C0}"/>
    <hyperlink ref="B127" r:id="rId126" xr:uid="{E2AD9BF7-21B4-4F44-9BC8-2E2DD4EECC82}"/>
    <hyperlink ref="B128" r:id="rId127" xr:uid="{9246E27C-DF61-4DCA-8767-4C2580E34A82}"/>
    <hyperlink ref="B129" r:id="rId128" xr:uid="{8E96076E-08E5-48C2-BC6D-CF484CB60339}"/>
    <hyperlink ref="B130" r:id="rId129" xr:uid="{9C0C1A3A-C37D-4353-89EA-C11BE4E317A8}"/>
    <hyperlink ref="B131" r:id="rId130" xr:uid="{6D780D7C-4EDA-449B-8616-3C09CEA0A771}"/>
    <hyperlink ref="B132" r:id="rId131" xr:uid="{7DE7C6D5-17B3-4DA2-9B92-5E857D92A8A9}"/>
    <hyperlink ref="B133" r:id="rId132" xr:uid="{E4948F02-A244-44A8-AFAD-1CC8DA4F2A77}"/>
    <hyperlink ref="B134" r:id="rId133" xr:uid="{9DE64EE5-38FA-4839-ADB9-6F5C79DBDC2F}"/>
    <hyperlink ref="B135" r:id="rId134" xr:uid="{99EF4819-D88F-48FB-AB9D-D955E33A8D87}"/>
    <hyperlink ref="B136" r:id="rId135" xr:uid="{DE23E4DC-8C4E-406A-991F-3CDBF55A0004}"/>
    <hyperlink ref="B137" r:id="rId136" xr:uid="{848034E0-CBA9-4455-BAE5-98A90D97EC4E}"/>
    <hyperlink ref="B138" r:id="rId137" xr:uid="{F6785BC0-977D-4D47-ACC1-C1547207E531}"/>
    <hyperlink ref="B139" r:id="rId138" xr:uid="{07CA3916-463D-4F00-8C9E-005A2C61465D}"/>
    <hyperlink ref="B140" r:id="rId139" xr:uid="{3D7A5437-D544-4453-A967-09C222E9702D}"/>
    <hyperlink ref="B141" r:id="rId140" xr:uid="{E9EC22B4-9E6D-46C4-8F2D-25D9F76A0F41}"/>
    <hyperlink ref="B142" r:id="rId141" xr:uid="{8588DC95-712C-43D9-9CCF-2EE3DD0E30C0}"/>
    <hyperlink ref="B143" r:id="rId142" xr:uid="{947B01C1-1F9A-4654-B525-9209C965935A}"/>
    <hyperlink ref="B144" r:id="rId143" xr:uid="{ADEB7799-656C-4D5C-96BE-3A187FD1103C}"/>
    <hyperlink ref="B145" r:id="rId144" xr:uid="{758C9ACA-FCB6-48A8-B1BE-5E16FE00AD79}"/>
    <hyperlink ref="B146" r:id="rId145" xr:uid="{217C2E9D-1D23-43F9-82BB-3891097AE8BC}"/>
    <hyperlink ref="B147" r:id="rId146" xr:uid="{DE5488FF-C3E4-44ED-BC92-1B3E1E8BD19D}"/>
    <hyperlink ref="B148" r:id="rId147" xr:uid="{0B2A4D32-1BB1-4745-B437-57289DB5199F}"/>
    <hyperlink ref="B149" r:id="rId148" xr:uid="{A83E6F7D-D107-4473-B91B-8EF7842371E1}"/>
    <hyperlink ref="B150" r:id="rId149" xr:uid="{5A473419-858D-46FF-863F-0E83B59120F5}"/>
    <hyperlink ref="B151" r:id="rId150" xr:uid="{21A25AFD-8FFF-41AA-B90E-31695BC630C8}"/>
    <hyperlink ref="B152" r:id="rId151" xr:uid="{8D435721-DF64-43E3-A4C2-94F30EFE5486}"/>
    <hyperlink ref="B153" r:id="rId152" xr:uid="{F9389671-8230-4C14-AC27-B8B9BB8E7760}"/>
    <hyperlink ref="B154" r:id="rId153" xr:uid="{8A582245-AFFE-4C5F-98BB-BD6962FCB1AA}"/>
    <hyperlink ref="B155" r:id="rId154" xr:uid="{E706113E-AF05-4F93-BB5E-5942A6643195}"/>
    <hyperlink ref="B156" r:id="rId155" xr:uid="{AC04BBA5-5509-44A5-98A4-5D1760FC12A2}"/>
    <hyperlink ref="B157" r:id="rId156" xr:uid="{3C722ACF-E08F-4DF4-A242-779B2F08521A}"/>
    <hyperlink ref="B158" r:id="rId157" xr:uid="{5D0B14FA-9935-4110-9ACA-FB18F1E6ECB9}"/>
    <hyperlink ref="B159" r:id="rId158" xr:uid="{C856C6F4-077C-40C7-B1AB-BA885EA67EBD}"/>
    <hyperlink ref="B160" r:id="rId159" xr:uid="{6319E13F-91DF-483C-BC33-D42D867777FD}"/>
    <hyperlink ref="B161" r:id="rId160" xr:uid="{0DFDBA89-0BCD-4F51-B393-83E1C04D019C}"/>
    <hyperlink ref="B162" r:id="rId161" xr:uid="{F188D914-034D-487E-B775-B46D4AE6E033}"/>
    <hyperlink ref="B163" r:id="rId162" xr:uid="{A8360847-0E88-4412-8712-159AC75DEB35}"/>
    <hyperlink ref="B164" r:id="rId163" xr:uid="{AC03AD76-58DE-4573-B6BC-4C6725EC78D7}"/>
    <hyperlink ref="B165" r:id="rId164" xr:uid="{6B27EDE2-3201-415E-B0EE-F7D8427D6730}"/>
    <hyperlink ref="B166" r:id="rId165" xr:uid="{8AAB823B-A29C-448C-A028-129130E5B10C}"/>
    <hyperlink ref="B167" r:id="rId166" xr:uid="{E411460F-5339-4643-820B-9B182994D4CF}"/>
    <hyperlink ref="B168" r:id="rId167" xr:uid="{379BD239-2B54-4A11-B593-2C4FE3A86490}"/>
    <hyperlink ref="B169" r:id="rId168" xr:uid="{533D174B-34C3-4F52-AF5A-71E9B68922E9}"/>
    <hyperlink ref="B170" r:id="rId169" xr:uid="{1B010EE7-6AB8-4029-A294-73CFA73AC559}"/>
    <hyperlink ref="B171" r:id="rId170" xr:uid="{B060233B-296A-4CCA-8CA4-387F778C659F}"/>
    <hyperlink ref="B172" r:id="rId171" xr:uid="{495B1E65-D31B-45E8-8B0A-4F54197C4C38}"/>
    <hyperlink ref="B173" r:id="rId172" xr:uid="{11DCE262-D90D-4DAE-80BE-DC95D41203BE}"/>
    <hyperlink ref="B174" r:id="rId173" xr:uid="{EE42298A-9DCF-44A4-BA30-1BB60799E81C}"/>
    <hyperlink ref="B175" r:id="rId174" xr:uid="{269A45D8-8E8C-439F-8C0C-A4AB2A99F698}"/>
    <hyperlink ref="B176" r:id="rId175" xr:uid="{BDE618D9-AE96-4DE7-AE3C-750442369939}"/>
    <hyperlink ref="B177" r:id="rId176" xr:uid="{022ABA4D-913B-43B3-8F8E-017D460076C8}"/>
    <hyperlink ref="B178" r:id="rId177" xr:uid="{056D8FC7-B5C3-47ED-A593-5E1B5A4283F1}"/>
    <hyperlink ref="B179" r:id="rId178" xr:uid="{04C9AAF2-7010-4AB2-A01D-51BDC0502B04}"/>
    <hyperlink ref="B180" r:id="rId179" xr:uid="{273E95BC-D2A9-44D5-9365-09C230993C26}"/>
    <hyperlink ref="B181" r:id="rId180" xr:uid="{7A01C8F8-ADB6-4DBE-8B2D-6AE423A9EE33}"/>
    <hyperlink ref="B182" r:id="rId181" xr:uid="{32D1BA3F-0C7C-4FF5-B0B9-226CEDC1DF49}"/>
    <hyperlink ref="B183" r:id="rId182" xr:uid="{0BA44658-DFE0-41BC-8D46-0F21F82AC619}"/>
    <hyperlink ref="B184" r:id="rId183" xr:uid="{758EAD26-F735-4E43-AA8E-400DCA770073}"/>
    <hyperlink ref="B185" r:id="rId184" xr:uid="{C703A243-A87B-4CCF-A41F-3802EE9DA47C}"/>
    <hyperlink ref="B186" r:id="rId185" xr:uid="{A46C47CE-D0B3-42D3-A185-7941FE1C2887}"/>
    <hyperlink ref="B187" r:id="rId186" xr:uid="{E97AED0C-4E85-4545-969E-97A26BC188A0}"/>
    <hyperlink ref="B188" r:id="rId187" xr:uid="{BD8288D1-52CF-46F5-AB64-2B40F5DF6B1D}"/>
    <hyperlink ref="B189" r:id="rId188" xr:uid="{F38CD21F-FF0A-49FD-B872-C3615CBF4AA8}"/>
    <hyperlink ref="B190" r:id="rId189" xr:uid="{DF9D816B-D87E-43B3-A340-14A89FF5BA3D}"/>
    <hyperlink ref="B191" r:id="rId190" xr:uid="{CC2906A8-E173-4FC9-A776-B1332CF9445F}"/>
    <hyperlink ref="B192" r:id="rId191" xr:uid="{E157FF62-6EFD-4EA9-A4F4-67A8625FD39E}"/>
    <hyperlink ref="B193" r:id="rId192" xr:uid="{EB43A7DF-5FE9-4659-A26D-F63CAA87DCB3}"/>
    <hyperlink ref="B194" r:id="rId193" xr:uid="{7D15E007-BEEF-4A37-B13A-960A3DAB2A61}"/>
    <hyperlink ref="B195" r:id="rId194" xr:uid="{807B8EEE-785E-4A66-B618-64D75E2BE40E}"/>
    <hyperlink ref="B196" r:id="rId195" xr:uid="{0842AF30-BCD8-4700-B602-B7C8ED023BB1}"/>
    <hyperlink ref="B197" r:id="rId196" xr:uid="{213766EE-88AA-4737-BC7C-9813FF3D8AAF}"/>
    <hyperlink ref="B198" r:id="rId197" xr:uid="{AA08C206-EA86-4BED-B143-9BD641ADAAE7}"/>
    <hyperlink ref="B199" r:id="rId198" xr:uid="{3FE2281B-285B-4AB4-8807-FBCDA84EE116}"/>
    <hyperlink ref="B200" r:id="rId199" xr:uid="{34FBCBE0-A7C8-4AF0-B7D4-3D07A06404CB}"/>
    <hyperlink ref="B201" r:id="rId200" xr:uid="{5E185A4C-A658-4456-AA08-D19FB0845EAC}"/>
    <hyperlink ref="B202" r:id="rId201" xr:uid="{0B827E31-0D71-42D2-985C-B6653A656E80}"/>
    <hyperlink ref="B203" r:id="rId202" xr:uid="{31108887-81C6-4C0F-8483-7350412426FE}"/>
    <hyperlink ref="B204" r:id="rId203" xr:uid="{77F4FF2F-C8D3-4C34-B38F-6D1A28DACC69}"/>
    <hyperlink ref="B205" r:id="rId204" xr:uid="{43B7B06F-5BAE-4818-A2FA-C520E823B9CD}"/>
    <hyperlink ref="B206" r:id="rId205" xr:uid="{9FCFDADA-9A74-44C1-847C-904CFC546C16}"/>
    <hyperlink ref="B207" r:id="rId206" xr:uid="{E1AEEEA5-0F83-44CC-A083-AE4B08E28A06}"/>
    <hyperlink ref="B208" r:id="rId207" xr:uid="{B9C0A1B1-03D8-4324-9C45-E71D3E5B78CA}"/>
    <hyperlink ref="B209" r:id="rId208" xr:uid="{3BB58348-C1C1-4E59-9301-C45BCC5C8299}"/>
    <hyperlink ref="B210" r:id="rId209" xr:uid="{BA2AEA9D-DCE4-45B3-BB3F-43FDD16697A1}"/>
    <hyperlink ref="B211" r:id="rId210" xr:uid="{FE7A5DD8-5EB6-4B5B-9BC0-11BB83AFFD12}"/>
    <hyperlink ref="B212" r:id="rId211" xr:uid="{047472C6-5A06-4F84-87FD-440103C0CC4B}"/>
    <hyperlink ref="B213" r:id="rId212" xr:uid="{B8E63EB9-3E5D-4C5B-9D62-AA9E4DD808F0}"/>
    <hyperlink ref="B214" r:id="rId213" xr:uid="{1D6FAAB8-63CD-4A76-B88C-7B7DDD1D12FB}"/>
    <hyperlink ref="B215" r:id="rId214" xr:uid="{7035838B-F7F2-4C34-95E5-E5AA5EEA3EB4}"/>
    <hyperlink ref="B216" r:id="rId215" xr:uid="{6328CFFD-A448-4837-8388-1B4CA94BA072}"/>
    <hyperlink ref="B217" r:id="rId216" xr:uid="{BB48D89E-60A0-4D04-8C61-FBA32611C5FE}"/>
    <hyperlink ref="B218" r:id="rId217" xr:uid="{5D28EE09-F15A-4FA3-BC55-AB6C03D38F16}"/>
    <hyperlink ref="B219" r:id="rId218" xr:uid="{688A2C2F-60E0-414D-A431-4C026FA2CFEF}"/>
    <hyperlink ref="B220" r:id="rId219" xr:uid="{A26D3132-3FC0-49CD-A180-96E98741008B}"/>
    <hyperlink ref="B221" r:id="rId220" xr:uid="{047F9A99-75EA-4ACA-ACB1-4673229C8380}"/>
    <hyperlink ref="B222" r:id="rId221" xr:uid="{7C7C27F9-40C9-4A86-B9F9-0981532F3305}"/>
    <hyperlink ref="B223" r:id="rId222" xr:uid="{B2DC6935-C10A-4E1F-B988-D929350DAAEF}"/>
    <hyperlink ref="B224" r:id="rId223" xr:uid="{7488B8F1-1F15-4210-A82A-BC3D186642BF}"/>
    <hyperlink ref="B225" r:id="rId224" xr:uid="{AEDDE6FA-7F85-43BD-B04B-E8C6B8165530}"/>
    <hyperlink ref="B226" r:id="rId225" xr:uid="{E9DACC64-C847-471E-928B-DECC0178206E}"/>
    <hyperlink ref="B227" r:id="rId226" xr:uid="{D58DF0C0-4571-4E59-9227-89623A87F2B8}"/>
    <hyperlink ref="B228" r:id="rId227" xr:uid="{D090A559-7D1A-4B1E-ADD2-475B33FB36CC}"/>
    <hyperlink ref="B229" r:id="rId228" xr:uid="{FD5B6F98-0ED9-4E6D-8F6E-06E26205C00D}"/>
    <hyperlink ref="B230" r:id="rId229" xr:uid="{6A317EE7-AC3C-4E16-9F4A-05B6B7042B1E}"/>
    <hyperlink ref="B231" r:id="rId230" xr:uid="{E7385B7A-320A-4F92-A139-DD8105B0A72D}"/>
    <hyperlink ref="B232" r:id="rId231" xr:uid="{8D7B6CC9-5584-4734-BBB5-04BDB8F820A5}"/>
    <hyperlink ref="B233" r:id="rId232" xr:uid="{BB2EAA07-D263-48F5-B0A8-84F4AB06113E}"/>
    <hyperlink ref="B234" r:id="rId233" xr:uid="{0A7BD0C3-21CF-4D01-8844-EBC6AE472251}"/>
    <hyperlink ref="B235" r:id="rId234" xr:uid="{79D145C2-91FA-4C1E-B2D7-9E3D1CBEFD6B}"/>
    <hyperlink ref="B236" r:id="rId235" xr:uid="{C7831CBF-9404-4B3B-8737-002248549DE8}"/>
    <hyperlink ref="B237" r:id="rId236" xr:uid="{6649A276-27B9-4FD5-AF5E-AD1B2302E2A3}"/>
    <hyperlink ref="B238" r:id="rId237" xr:uid="{72A3652F-D383-48F8-BBE4-A36C358D7CDA}"/>
    <hyperlink ref="B239" r:id="rId238" xr:uid="{ADD3B05B-40D6-4873-A282-B7809C745ECD}"/>
    <hyperlink ref="B240" r:id="rId239" xr:uid="{72EA86C2-1F18-4EBB-9EF9-ADF499248CE0}"/>
    <hyperlink ref="B241" r:id="rId240" xr:uid="{38574D49-9203-41E5-9916-37C52CF28766}"/>
    <hyperlink ref="B242" r:id="rId241" xr:uid="{54A30670-AEA4-49AF-B628-7A17E1783102}"/>
    <hyperlink ref="B243" r:id="rId242" xr:uid="{EFBD6009-711C-4FA7-A9D5-7BBD94A6F164}"/>
    <hyperlink ref="B244" r:id="rId243" xr:uid="{26EC36C6-2388-4E3D-8FF7-3FE7A835691B}"/>
    <hyperlink ref="B245" r:id="rId244" xr:uid="{1931597B-BDF7-47BA-8D28-0EFC58C04D4E}"/>
    <hyperlink ref="B246" r:id="rId245" xr:uid="{1927CF6A-5349-4E3A-AD8A-316D6E87304A}"/>
    <hyperlink ref="B247" r:id="rId246" xr:uid="{C3562E85-3912-4CD1-B9ED-6797662C7007}"/>
    <hyperlink ref="B248" r:id="rId247" xr:uid="{A054A743-4E85-4078-A282-E1EBB5BD56C3}"/>
    <hyperlink ref="B249" r:id="rId248" xr:uid="{CF04F71D-EF14-480E-8B07-BAE70A841D77}"/>
    <hyperlink ref="B250" r:id="rId249" xr:uid="{87276476-72B8-41E8-9963-7CAE517090AB}"/>
    <hyperlink ref="B251" r:id="rId250" xr:uid="{67E53C5E-4477-412A-B165-1E4FA8702FDF}"/>
    <hyperlink ref="B252" r:id="rId251" xr:uid="{ABB9AD4A-3424-4237-8042-056A0ECF93A3}"/>
    <hyperlink ref="B253" r:id="rId252" xr:uid="{386199D7-AC12-4A1A-BA9C-9C6992AF232C}"/>
    <hyperlink ref="B254" r:id="rId253" xr:uid="{12D60896-6190-49B1-BED7-696ACD14D6B9}"/>
    <hyperlink ref="B255" r:id="rId254" xr:uid="{745B40ED-4EFF-46E4-9718-5AE5719E011B}"/>
    <hyperlink ref="B256" r:id="rId255" xr:uid="{8555007F-3F78-4423-BB4E-7D60CEEFB6AA}"/>
    <hyperlink ref="B257" r:id="rId256" xr:uid="{CE0D7449-1EE1-4FF0-97D7-9AF052F55733}"/>
    <hyperlink ref="B258" r:id="rId257" xr:uid="{ABB3B0DF-CBDC-4D99-9FB9-61735C72C48E}"/>
    <hyperlink ref="B259" r:id="rId258" xr:uid="{DD81656E-BEDD-4BE9-A11C-652AC34676F8}"/>
    <hyperlink ref="B260" r:id="rId259" xr:uid="{F805B96D-4BA9-4025-B6AC-89B1375BD553}"/>
    <hyperlink ref="B261" r:id="rId260" xr:uid="{24D3CC49-F321-4F12-8044-6F6C202BC820}"/>
    <hyperlink ref="B262" r:id="rId261" xr:uid="{D824B855-766A-48EC-AA88-0600A9A79341}"/>
    <hyperlink ref="B263" r:id="rId262" xr:uid="{FC5256C8-4A4B-4A65-A218-661EDE1ACEBE}"/>
    <hyperlink ref="B264" r:id="rId263" xr:uid="{0B17E2B6-8ABF-48B1-A760-92BBF725CB26}"/>
    <hyperlink ref="B265" r:id="rId264" xr:uid="{9C3D3D07-E504-4CA5-99B8-20EE4F9F5F33}"/>
    <hyperlink ref="B266" r:id="rId265" xr:uid="{2E603ABB-66BA-4014-BACC-6E0E6239E577}"/>
    <hyperlink ref="B267" r:id="rId266" xr:uid="{82D4DCEC-11DD-4300-AC81-DDCF4012E087}"/>
    <hyperlink ref="B268" r:id="rId267" xr:uid="{FE91DC72-30E7-4E28-BC19-02FDF2F1FBBB}"/>
    <hyperlink ref="B269" r:id="rId268" xr:uid="{8A890BAA-A090-421B-95EC-19E9A394E54D}"/>
    <hyperlink ref="B270" r:id="rId269" xr:uid="{9A739BE8-8AEE-4F8B-A2CE-8373FC816E32}"/>
    <hyperlink ref="B271" r:id="rId270" xr:uid="{BC63283B-3572-4891-B735-C94BD9079893}"/>
    <hyperlink ref="B272" r:id="rId271" xr:uid="{5819D5EC-FDEB-4C0A-A5AC-86FA369B9B59}"/>
    <hyperlink ref="B273" r:id="rId272" xr:uid="{BA2A0472-D17B-4F18-9C8A-A0B4796EB1B5}"/>
    <hyperlink ref="B274" r:id="rId273" xr:uid="{AB146F5B-2D94-4571-832D-7F41E0C72302}"/>
    <hyperlink ref="B275" r:id="rId274" xr:uid="{ACEAD1FE-18F6-483E-B0ED-AC0522D5189E}"/>
    <hyperlink ref="B276" r:id="rId275" xr:uid="{0DF64E12-8E23-42C6-A06E-CF93C307443D}"/>
    <hyperlink ref="B277" r:id="rId276" xr:uid="{CFFCA191-8CB6-4748-A3E7-2352A68934DC}"/>
    <hyperlink ref="B278" r:id="rId277" xr:uid="{BD6638B5-9914-4D7B-9B6F-467BA5F62807}"/>
    <hyperlink ref="B279" r:id="rId278" xr:uid="{0FF921B0-6C94-4108-88C5-86ED803C3703}"/>
    <hyperlink ref="B280" r:id="rId279" xr:uid="{A0763560-7220-4B49-B592-072233591B34}"/>
    <hyperlink ref="B281" r:id="rId280" xr:uid="{ACF5548C-A7EC-415A-831F-6E2EB721F105}"/>
    <hyperlink ref="B282" r:id="rId281" xr:uid="{0CFBBD88-7B50-4D73-8E48-B3EA65AB8B72}"/>
    <hyperlink ref="B283" r:id="rId282" xr:uid="{F90BDF7D-2F50-4155-9A86-7F2B9A03BBE8}"/>
    <hyperlink ref="B284" r:id="rId283" xr:uid="{2212730B-A487-4362-AF89-30ED5C418AC1}"/>
    <hyperlink ref="B285" r:id="rId284" xr:uid="{EC6A2361-55AF-4EBB-9851-2539C5030B97}"/>
    <hyperlink ref="B286" r:id="rId285" xr:uid="{2EF48862-C807-4FC3-AC63-8662A76B9785}"/>
    <hyperlink ref="B287" r:id="rId286" xr:uid="{0A2A83A9-BCF0-4E91-B2AF-59351C0B507F}"/>
    <hyperlink ref="B288" r:id="rId287" xr:uid="{B42C0774-5EC1-425E-BFD5-CE9F53C57AA2}"/>
    <hyperlink ref="B289" r:id="rId288" xr:uid="{9575AB18-20DE-4159-9E33-70D8A73D8C6C}"/>
    <hyperlink ref="B290" r:id="rId289" xr:uid="{99D7CAF7-2FD7-4EF0-9633-CD9654EE25AA}"/>
    <hyperlink ref="B291" r:id="rId290" xr:uid="{3E51ACDE-5B3C-4F84-AD9D-85FB6EE2B7AC}"/>
    <hyperlink ref="B292" r:id="rId291" xr:uid="{2F09398C-CEE0-4A28-B37C-812BF46EA1E9}"/>
    <hyperlink ref="B293" r:id="rId292" xr:uid="{51139C47-B22A-4A17-A78F-F43B3B152758}"/>
    <hyperlink ref="B294" r:id="rId293" xr:uid="{AC3B6220-E002-4F89-B822-63C1C9F5B6D9}"/>
    <hyperlink ref="B295" r:id="rId294" xr:uid="{8935D5AA-B242-48E4-BB3A-5D4BF591A682}"/>
    <hyperlink ref="B296" r:id="rId295" xr:uid="{987B79AF-9801-44B9-AB0C-502185D01707}"/>
    <hyperlink ref="B297" r:id="rId296" xr:uid="{C1C3D059-5D62-46D4-8EF2-87A7658C73A9}"/>
    <hyperlink ref="B298" r:id="rId297" xr:uid="{F74CAFC2-4240-4E02-BC45-91A060D9822C}"/>
    <hyperlink ref="B299" r:id="rId298" xr:uid="{60E50037-9505-4A8B-87E3-60AEC9B5EB7D}"/>
    <hyperlink ref="B300" r:id="rId299" xr:uid="{C1FB07AD-59C7-447E-A23F-FD33E5344FC1}"/>
    <hyperlink ref="B301" r:id="rId300" xr:uid="{4ACE0F1B-7095-4CC8-9549-68A12191F1A4}"/>
    <hyperlink ref="B302" r:id="rId301" xr:uid="{97EB8316-3EA0-4F2D-BCE8-2091BF95AA86}"/>
  </hyperlinks>
  <pageMargins left="0.7" right="0.7" top="0.75" bottom="0.75" header="0.3" footer="0.3"/>
  <tableParts count="1">
    <tablePart r:id="rId30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AFDC6-1B05-47BD-922F-68FDB052A998}">
  <dimension ref="A1:AD356"/>
  <sheetViews>
    <sheetView topLeftCell="K1" workbookViewId="0">
      <selection activeCell="S17" sqref="S17"/>
    </sheetView>
  </sheetViews>
  <sheetFormatPr defaultColWidth="11.42578125" defaultRowHeight="15" x14ac:dyDescent="0.25"/>
  <cols>
    <col min="2" max="2" width="22.42578125" customWidth="1"/>
    <col min="3" max="3" width="37.85546875" customWidth="1"/>
    <col min="4" max="4" width="13.7109375" customWidth="1"/>
    <col min="5" max="5" width="8.85546875" customWidth="1"/>
    <col min="6" max="7" width="21.85546875" customWidth="1"/>
    <col min="8" max="8" width="12.140625" customWidth="1"/>
    <col min="12" max="12" width="12.7109375" customWidth="1"/>
    <col min="13" max="13" width="29.28515625" customWidth="1"/>
    <col min="14" max="14" width="20" customWidth="1"/>
    <col min="15" max="16" width="15.42578125" customWidth="1"/>
    <col min="17" max="17" width="18" customWidth="1"/>
    <col min="18" max="20" width="26.42578125" customWidth="1"/>
    <col min="21" max="21" width="16.7109375" customWidth="1"/>
    <col min="23" max="23" width="15.42578125" customWidth="1"/>
    <col min="25" max="25" width="19.85546875" customWidth="1"/>
    <col min="26" max="26" width="15.7109375" customWidth="1"/>
    <col min="28" max="28" width="16" customWidth="1"/>
  </cols>
  <sheetData>
    <row r="1" spans="1:30" ht="75" x14ac:dyDescent="0.25">
      <c r="A1" s="53" t="s">
        <v>0</v>
      </c>
      <c r="B1" s="52" t="s">
        <v>1</v>
      </c>
      <c r="C1" s="49" t="s">
        <v>2</v>
      </c>
      <c r="D1" s="52" t="s">
        <v>3</v>
      </c>
      <c r="E1" s="50" t="s">
        <v>4</v>
      </c>
      <c r="F1" s="52" t="s">
        <v>5</v>
      </c>
      <c r="G1" s="52" t="s">
        <v>6</v>
      </c>
      <c r="H1" s="52" t="s">
        <v>7</v>
      </c>
      <c r="I1" s="52" t="s">
        <v>8</v>
      </c>
      <c r="J1" s="52" t="s">
        <v>9</v>
      </c>
      <c r="K1" s="48" t="s">
        <v>10</v>
      </c>
      <c r="L1" s="48" t="s">
        <v>11</v>
      </c>
      <c r="M1" s="48" t="s">
        <v>12</v>
      </c>
      <c r="N1" s="48" t="s">
        <v>13</v>
      </c>
      <c r="O1" s="48" t="s">
        <v>14</v>
      </c>
      <c r="P1" s="48" t="s">
        <v>15</v>
      </c>
      <c r="Q1" s="48" t="s">
        <v>16</v>
      </c>
      <c r="R1" s="48" t="s">
        <v>17</v>
      </c>
      <c r="S1" s="48" t="s">
        <v>9149</v>
      </c>
      <c r="T1" s="48" t="s">
        <v>9150</v>
      </c>
      <c r="U1" s="48" t="s">
        <v>18</v>
      </c>
      <c r="V1" s="48" t="s">
        <v>19</v>
      </c>
      <c r="W1" s="48" t="s">
        <v>20</v>
      </c>
      <c r="X1" s="48" t="s">
        <v>21</v>
      </c>
      <c r="Y1" s="48" t="s">
        <v>22</v>
      </c>
      <c r="Z1" s="48" t="s">
        <v>23</v>
      </c>
      <c r="AA1" s="48" t="s">
        <v>24</v>
      </c>
      <c r="AB1" s="48" t="s">
        <v>25</v>
      </c>
      <c r="AC1" s="48" t="s">
        <v>201</v>
      </c>
      <c r="AD1" s="51" t="s">
        <v>27</v>
      </c>
    </row>
    <row r="2" spans="1:30" x14ac:dyDescent="0.25">
      <c r="A2" s="36">
        <v>3843</v>
      </c>
      <c r="B2" s="14" t="s">
        <v>7709</v>
      </c>
      <c r="C2" s="14" t="s">
        <v>7710</v>
      </c>
      <c r="D2" s="17">
        <v>44138</v>
      </c>
      <c r="E2" s="14" t="s">
        <v>30</v>
      </c>
      <c r="F2" s="14">
        <v>2389</v>
      </c>
      <c r="G2" s="14">
        <v>357</v>
      </c>
      <c r="H2" s="14">
        <v>18</v>
      </c>
      <c r="I2" s="14">
        <v>9</v>
      </c>
      <c r="J2" s="14" t="s">
        <v>204</v>
      </c>
      <c r="K2" s="14" cm="1">
        <f t="array" ref="K2">INT(SUMPRODUCT(--ISNUMBER(SEARCH(economy,C2)))&gt;0)</f>
        <v>0</v>
      </c>
      <c r="L2" s="14" cm="1">
        <f t="array" ref="L2">INT(SUMPRODUCT(--ISNUMBER(SEARCH(healthcare,C2)))&gt;0)</f>
        <v>0</v>
      </c>
      <c r="M2" s="14" cm="1">
        <f t="array" ref="M2">INT(SUMPRODUCT(--ISNUMBER(SEARCH(supreme,C2)))&gt;0)</f>
        <v>0</v>
      </c>
      <c r="N2" s="14" cm="1">
        <f t="array" ref="N2">INT(SUMPRODUCT(--ISNUMBER(SEARCH(covid,C2)))&gt;0)</f>
        <v>0</v>
      </c>
      <c r="O2" s="14" cm="1">
        <f t="array" ref="O2">INT(SUMPRODUCT(--ISNUMBER(SEARCH(violent,C2)))&gt;0)</f>
        <v>0</v>
      </c>
      <c r="P2" s="14" cm="1">
        <f t="array" ref="P2">INT(SUMPRODUCT(--ISNUMBER(SEARCH(foreign,C2)))&gt;0)</f>
        <v>0</v>
      </c>
      <c r="Q2" s="14" cm="1">
        <f t="array" ref="Q2">INT(SUMPRODUCT(--ISNUMBER(SEARCH(gun,C2)))&gt;0)</f>
        <v>0</v>
      </c>
      <c r="R2" s="14" cm="1">
        <f t="array" ref="R2">INT(SUMPRODUCT(--ISNUMBER(SEARCH(race,C2)))&gt;0)</f>
        <v>0</v>
      </c>
      <c r="S2" s="14" cm="1">
        <f t="array" ref="S2">INT(SUMPRODUCT(--ISNUMBER(SEARCH(immigration,C2)))&gt;0)</f>
        <v>0</v>
      </c>
      <c r="T2" s="14" cm="1">
        <f t="array" ref="T2">INT(SUMPRODUCT(--ISNUMBER(SEARCH(econineq,C3)))&gt;0)</f>
        <v>0</v>
      </c>
      <c r="U2" s="14" cm="1">
        <f t="array" ref="U2">INT(SUMPRODUCT(--ISNUMBER(SEARCH(climate,C2)))&gt;0)</f>
        <v>0</v>
      </c>
      <c r="V2" s="14" cm="1">
        <f t="array" ref="V2">INT(SUMPRODUCT(--ISNUMBER(SEARCH(abortion,C2)))&gt;0)</f>
        <v>0</v>
      </c>
      <c r="W2" s="14" cm="1">
        <f t="array" ref="W2">INT(SUMPRODUCT(--ISNUMBER(SEARCH(trump,C2)))&gt;0)</f>
        <v>0</v>
      </c>
      <c r="X2" s="14" cm="1">
        <f t="array" ref="X2">INT(SUMPRODUCT(--ISNUMBER(SEARCH(voting,C2)))&gt;0)</f>
        <v>1</v>
      </c>
      <c r="Y2" s="14" cm="1">
        <f t="array" ref="Y2">INT(SUMPRODUCT(--ISNUMBER(SEARCH(democrattrigger,C2)))&gt;0)</f>
        <v>0</v>
      </c>
      <c r="Z2" s="14" cm="1">
        <f t="array" ref="Z2">INT(SUMPRODUCT(--ISNUMBER(SEARCH(bipartisan,C2)))&gt;0)</f>
        <v>0</v>
      </c>
      <c r="AA2" s="14">
        <f>INT(IF(COUNTIF(K2:Z2,1)=0,"1","0"))</f>
        <v>0</v>
      </c>
      <c r="AB2" s="14"/>
      <c r="AC2" s="30">
        <v>0</v>
      </c>
      <c r="AD2" s="37">
        <v>1</v>
      </c>
    </row>
    <row r="3" spans="1:30" x14ac:dyDescent="0.25">
      <c r="A3" s="36">
        <v>3844</v>
      </c>
      <c r="B3" s="14" t="s">
        <v>7711</v>
      </c>
      <c r="C3" s="14" t="s">
        <v>7712</v>
      </c>
      <c r="D3" s="17">
        <v>44138</v>
      </c>
      <c r="E3" s="14" t="s">
        <v>30</v>
      </c>
      <c r="F3" s="14">
        <v>1526</v>
      </c>
      <c r="G3" s="14">
        <v>145</v>
      </c>
      <c r="H3" s="14">
        <v>18</v>
      </c>
      <c r="I3" s="14">
        <v>9</v>
      </c>
      <c r="J3" s="14" t="s">
        <v>204</v>
      </c>
      <c r="K3" s="14" cm="1">
        <f t="array" ref="K3">INT(SUMPRODUCT(--ISNUMBER(SEARCH(economy,C3)))&gt;0)</f>
        <v>0</v>
      </c>
      <c r="L3" s="14" cm="1">
        <f t="array" ref="L3">INT(SUMPRODUCT(--ISNUMBER(SEARCH(healthcare,C3)))&gt;0)</f>
        <v>0</v>
      </c>
      <c r="M3" s="14" cm="1">
        <f t="array" ref="M3">INT(SUMPRODUCT(--ISNUMBER(SEARCH(supreme,C3)))&gt;0)</f>
        <v>0</v>
      </c>
      <c r="N3" s="14" cm="1">
        <f t="array" ref="N3">INT(SUMPRODUCT(--ISNUMBER(SEARCH(covid,C3)))&gt;0)</f>
        <v>0</v>
      </c>
      <c r="O3" s="14" cm="1">
        <f t="array" ref="O3">INT(SUMPRODUCT(--ISNUMBER(SEARCH(violent,C3)))&gt;0)</f>
        <v>0</v>
      </c>
      <c r="P3" s="14" cm="1">
        <f t="array" ref="P3">INT(SUMPRODUCT(--ISNUMBER(SEARCH(foreign,C3)))&gt;0)</f>
        <v>0</v>
      </c>
      <c r="Q3" s="14" cm="1">
        <f t="array" ref="Q3">INT(SUMPRODUCT(--ISNUMBER(SEARCH(gun,C3)))&gt;0)</f>
        <v>0</v>
      </c>
      <c r="R3" s="14" cm="1">
        <f t="array" ref="R3">INT(SUMPRODUCT(--ISNUMBER(SEARCH(race,C3)))&gt;0)</f>
        <v>0</v>
      </c>
      <c r="S3" s="14" cm="1">
        <f t="array" ref="S3">INT(SUMPRODUCT(--ISNUMBER(SEARCH(immigration,C3)))&gt;0)</f>
        <v>0</v>
      </c>
      <c r="T3" s="14" cm="1">
        <f t="array" ref="T3">INT(SUMPRODUCT(--ISNUMBER(SEARCH(econineq,C4)))&gt;0)</f>
        <v>0</v>
      </c>
      <c r="U3" s="14" cm="1">
        <f t="array" ref="U3">INT(SUMPRODUCT(--ISNUMBER(SEARCH(climate,C3)))&gt;0)</f>
        <v>0</v>
      </c>
      <c r="V3" s="14" cm="1">
        <f t="array" ref="V3">INT(SUMPRODUCT(--ISNUMBER(SEARCH(abortion,C3)))&gt;0)</f>
        <v>0</v>
      </c>
      <c r="W3" s="14" cm="1">
        <f t="array" ref="W3">INT(SUMPRODUCT(--ISNUMBER(SEARCH(trump,C3)))&gt;0)</f>
        <v>0</v>
      </c>
      <c r="X3" s="14" cm="1">
        <f t="array" ref="X3">INT(SUMPRODUCT(--ISNUMBER(SEARCH(voting,C3)))&gt;0)</f>
        <v>1</v>
      </c>
      <c r="Y3" s="14" cm="1">
        <f t="array" ref="Y3">INT(SUMPRODUCT(--ISNUMBER(SEARCH(democrattrigger,C3)))&gt;0)</f>
        <v>0</v>
      </c>
      <c r="Z3" s="14" cm="1">
        <f t="array" ref="Z3">INT(SUMPRODUCT(--ISNUMBER(SEARCH(bipartisan,C3)))&gt;0)</f>
        <v>0</v>
      </c>
      <c r="AA3" s="14">
        <f t="shared" ref="AA3:AA66" si="0">INT(IF(COUNTIF(K3:Z3,1)=0,"1","0"))</f>
        <v>0</v>
      </c>
      <c r="AB3" s="14"/>
      <c r="AC3" s="30" t="s">
        <v>223</v>
      </c>
      <c r="AD3" s="37" t="s">
        <v>223</v>
      </c>
    </row>
    <row r="4" spans="1:30" x14ac:dyDescent="0.25">
      <c r="A4" s="36">
        <v>3845</v>
      </c>
      <c r="B4" s="14" t="s">
        <v>7713</v>
      </c>
      <c r="C4" s="14" t="s">
        <v>7714</v>
      </c>
      <c r="D4" s="17">
        <v>44138</v>
      </c>
      <c r="E4" s="14" t="s">
        <v>30</v>
      </c>
      <c r="F4" s="14">
        <v>1002</v>
      </c>
      <c r="G4" s="14">
        <v>283</v>
      </c>
      <c r="H4" s="14">
        <v>18</v>
      </c>
      <c r="I4" s="14">
        <v>9</v>
      </c>
      <c r="J4" s="14" t="s">
        <v>204</v>
      </c>
      <c r="K4" s="14" cm="1">
        <f t="array" ref="K4">INT(SUMPRODUCT(--ISNUMBER(SEARCH(economy,C4)))&gt;0)</f>
        <v>0</v>
      </c>
      <c r="L4" s="14" cm="1">
        <f t="array" ref="L4">INT(SUMPRODUCT(--ISNUMBER(SEARCH(healthcare,C4)))&gt;0)</f>
        <v>0</v>
      </c>
      <c r="M4" s="14" cm="1">
        <f t="array" ref="M4">INT(SUMPRODUCT(--ISNUMBER(SEARCH(supreme,C4)))&gt;0)</f>
        <v>0</v>
      </c>
      <c r="N4" s="14" cm="1">
        <f t="array" ref="N4">INT(SUMPRODUCT(--ISNUMBER(SEARCH(covid,C4)))&gt;0)</f>
        <v>0</v>
      </c>
      <c r="O4" s="14" cm="1">
        <f t="array" ref="O4">INT(SUMPRODUCT(--ISNUMBER(SEARCH(violent,C4)))&gt;0)</f>
        <v>0</v>
      </c>
      <c r="P4" s="14" cm="1">
        <f t="array" ref="P4">INT(SUMPRODUCT(--ISNUMBER(SEARCH(foreign,C4)))&gt;0)</f>
        <v>0</v>
      </c>
      <c r="Q4" s="14" cm="1">
        <f t="array" ref="Q4">INT(SUMPRODUCT(--ISNUMBER(SEARCH(gun,C4)))&gt;0)</f>
        <v>0</v>
      </c>
      <c r="R4" s="14" cm="1">
        <f t="array" ref="R4">INT(SUMPRODUCT(--ISNUMBER(SEARCH(race,C4)))&gt;0)</f>
        <v>0</v>
      </c>
      <c r="S4" s="14" cm="1">
        <f t="array" ref="S4">INT(SUMPRODUCT(--ISNUMBER(SEARCH(immigration,C4)))&gt;0)</f>
        <v>0</v>
      </c>
      <c r="T4" s="14" cm="1">
        <f t="array" ref="T4">INT(SUMPRODUCT(--ISNUMBER(SEARCH(econineq,C5)))&gt;0)</f>
        <v>0</v>
      </c>
      <c r="U4" s="14" cm="1">
        <f t="array" ref="U4">INT(SUMPRODUCT(--ISNUMBER(SEARCH(climate,C4)))&gt;0)</f>
        <v>0</v>
      </c>
      <c r="V4" s="14" cm="1">
        <f t="array" ref="V4">INT(SUMPRODUCT(--ISNUMBER(SEARCH(abortion,C4)))&gt;0)</f>
        <v>0</v>
      </c>
      <c r="W4" s="14" cm="1">
        <f t="array" ref="W4">INT(SUMPRODUCT(--ISNUMBER(SEARCH(trump,C4)))&gt;0)</f>
        <v>0</v>
      </c>
      <c r="X4" s="14" cm="1">
        <f t="array" ref="X4">INT(SUMPRODUCT(--ISNUMBER(SEARCH(voting,C4)))&gt;0)</f>
        <v>1</v>
      </c>
      <c r="Y4" s="14" cm="1">
        <f t="array" ref="Y4">INT(SUMPRODUCT(--ISNUMBER(SEARCH(democrattrigger,C4)))&gt;0)</f>
        <v>0</v>
      </c>
      <c r="Z4" s="14" cm="1">
        <f t="array" ref="Z4">INT(SUMPRODUCT(--ISNUMBER(SEARCH(bipartisan,C4)))&gt;0)</f>
        <v>0</v>
      </c>
      <c r="AA4" s="14">
        <f t="shared" si="0"/>
        <v>0</v>
      </c>
      <c r="AB4" s="14"/>
      <c r="AC4" s="30" t="s">
        <v>223</v>
      </c>
      <c r="AD4" s="37" t="s">
        <v>223</v>
      </c>
    </row>
    <row r="5" spans="1:30" x14ac:dyDescent="0.25">
      <c r="A5" s="36">
        <v>3846</v>
      </c>
      <c r="B5" s="14" t="s">
        <v>7715</v>
      </c>
      <c r="C5" s="14" t="s">
        <v>7716</v>
      </c>
      <c r="D5" s="17">
        <v>44138</v>
      </c>
      <c r="E5" s="14" t="s">
        <v>30</v>
      </c>
      <c r="F5" s="14">
        <v>2158</v>
      </c>
      <c r="G5" s="14">
        <v>272</v>
      </c>
      <c r="H5" s="14">
        <v>18</v>
      </c>
      <c r="I5" s="14">
        <v>9</v>
      </c>
      <c r="J5" s="14" t="s">
        <v>204</v>
      </c>
      <c r="K5" s="14" cm="1">
        <f t="array" ref="K5">INT(SUMPRODUCT(--ISNUMBER(SEARCH(economy,C5)))&gt;0)</f>
        <v>0</v>
      </c>
      <c r="L5" s="14" cm="1">
        <f t="array" ref="L5">INT(SUMPRODUCT(--ISNUMBER(SEARCH(healthcare,C5)))&gt;0)</f>
        <v>0</v>
      </c>
      <c r="M5" s="14" cm="1">
        <f t="array" ref="M5">INT(SUMPRODUCT(--ISNUMBER(SEARCH(supreme,C5)))&gt;0)</f>
        <v>0</v>
      </c>
      <c r="N5" s="14" cm="1">
        <f t="array" ref="N5">INT(SUMPRODUCT(--ISNUMBER(SEARCH(covid,C5)))&gt;0)</f>
        <v>0</v>
      </c>
      <c r="O5" s="14" cm="1">
        <f t="array" ref="O5">INT(SUMPRODUCT(--ISNUMBER(SEARCH(violent,C5)))&gt;0)</f>
        <v>0</v>
      </c>
      <c r="P5" s="14" cm="1">
        <f t="array" ref="P5">INT(SUMPRODUCT(--ISNUMBER(SEARCH(foreign,C5)))&gt;0)</f>
        <v>0</v>
      </c>
      <c r="Q5" s="14" cm="1">
        <f t="array" ref="Q5">INT(SUMPRODUCT(--ISNUMBER(SEARCH(gun,C5)))&gt;0)</f>
        <v>0</v>
      </c>
      <c r="R5" s="14" cm="1">
        <f t="array" ref="R5">INT(SUMPRODUCT(--ISNUMBER(SEARCH(race,C5)))&gt;0)</f>
        <v>0</v>
      </c>
      <c r="S5" s="14" cm="1">
        <f t="array" ref="S5">INT(SUMPRODUCT(--ISNUMBER(SEARCH(immigration,C5)))&gt;0)</f>
        <v>0</v>
      </c>
      <c r="T5" s="14" cm="1">
        <f t="array" ref="T5">INT(SUMPRODUCT(--ISNUMBER(SEARCH(econineq,C6)))&gt;0)</f>
        <v>0</v>
      </c>
      <c r="U5" s="14" cm="1">
        <f t="array" ref="U5">INT(SUMPRODUCT(--ISNUMBER(SEARCH(climate,C5)))&gt;0)</f>
        <v>0</v>
      </c>
      <c r="V5" s="14" cm="1">
        <f t="array" ref="V5">INT(SUMPRODUCT(--ISNUMBER(SEARCH(abortion,C5)))&gt;0)</f>
        <v>0</v>
      </c>
      <c r="W5" s="14" cm="1">
        <f t="array" ref="W5">INT(SUMPRODUCT(--ISNUMBER(SEARCH(trump,C5)))&gt;0)</f>
        <v>0</v>
      </c>
      <c r="X5" s="14" cm="1">
        <f t="array" ref="X5">INT(SUMPRODUCT(--ISNUMBER(SEARCH(voting,C5)))&gt;0)</f>
        <v>0</v>
      </c>
      <c r="Y5" s="14" cm="1">
        <f t="array" ref="Y5">INT(SUMPRODUCT(--ISNUMBER(SEARCH(democrattrigger,C5)))&gt;0)</f>
        <v>0</v>
      </c>
      <c r="Z5" s="14" cm="1">
        <f t="array" ref="Z5">INT(SUMPRODUCT(--ISNUMBER(SEARCH(bipartisan,C5)))&gt;0)</f>
        <v>0</v>
      </c>
      <c r="AA5" s="14">
        <f t="shared" si="0"/>
        <v>1</v>
      </c>
      <c r="AB5" s="14"/>
      <c r="AC5" s="30" t="s">
        <v>223</v>
      </c>
      <c r="AD5" s="37" t="s">
        <v>223</v>
      </c>
    </row>
    <row r="6" spans="1:30" x14ac:dyDescent="0.25">
      <c r="A6" s="36">
        <v>3847</v>
      </c>
      <c r="B6" s="14" t="s">
        <v>7717</v>
      </c>
      <c r="C6" s="14" t="s">
        <v>7718</v>
      </c>
      <c r="D6" s="17">
        <v>44138</v>
      </c>
      <c r="E6" s="14" t="s">
        <v>30</v>
      </c>
      <c r="F6" s="14">
        <v>18227</v>
      </c>
      <c r="G6" s="14">
        <v>8118</v>
      </c>
      <c r="H6" s="14">
        <v>18</v>
      </c>
      <c r="I6" s="14">
        <v>9</v>
      </c>
      <c r="J6" s="14" t="s">
        <v>204</v>
      </c>
      <c r="K6" s="14" cm="1">
        <f t="array" ref="K6">INT(SUMPRODUCT(--ISNUMBER(SEARCH(economy,C6)))&gt;0)</f>
        <v>0</v>
      </c>
      <c r="L6" s="14" cm="1">
        <f t="array" ref="L6">INT(SUMPRODUCT(--ISNUMBER(SEARCH(healthcare,C6)))&gt;0)</f>
        <v>0</v>
      </c>
      <c r="M6" s="14" cm="1">
        <f t="array" ref="M6">INT(SUMPRODUCT(--ISNUMBER(SEARCH(supreme,C6)))&gt;0)</f>
        <v>0</v>
      </c>
      <c r="N6" s="14" cm="1">
        <f t="array" ref="N6">INT(SUMPRODUCT(--ISNUMBER(SEARCH(covid,C6)))&gt;0)</f>
        <v>0</v>
      </c>
      <c r="O6" s="14" cm="1">
        <f t="array" ref="O6">INT(SUMPRODUCT(--ISNUMBER(SEARCH(violent,C6)))&gt;0)</f>
        <v>0</v>
      </c>
      <c r="P6" s="14" cm="1">
        <f t="array" ref="P6">INT(SUMPRODUCT(--ISNUMBER(SEARCH(foreign,C6)))&gt;0)</f>
        <v>0</v>
      </c>
      <c r="Q6" s="14" cm="1">
        <f t="array" ref="Q6">INT(SUMPRODUCT(--ISNUMBER(SEARCH(gun,C6)))&gt;0)</f>
        <v>0</v>
      </c>
      <c r="R6" s="14" cm="1">
        <f t="array" ref="R6">INT(SUMPRODUCT(--ISNUMBER(SEARCH(race,C6)))&gt;0)</f>
        <v>0</v>
      </c>
      <c r="S6" s="14" cm="1">
        <f t="array" ref="S6">INT(SUMPRODUCT(--ISNUMBER(SEARCH(immigration,C6)))&gt;0)</f>
        <v>0</v>
      </c>
      <c r="T6" s="14" cm="1">
        <f t="array" ref="T6">INT(SUMPRODUCT(--ISNUMBER(SEARCH(econineq,C7)))&gt;0)</f>
        <v>0</v>
      </c>
      <c r="U6" s="14" cm="1">
        <f t="array" ref="U6">INT(SUMPRODUCT(--ISNUMBER(SEARCH(climate,C6)))&gt;0)</f>
        <v>0</v>
      </c>
      <c r="V6" s="14" cm="1">
        <f t="array" ref="V6">INT(SUMPRODUCT(--ISNUMBER(SEARCH(abortion,C6)))&gt;0)</f>
        <v>0</v>
      </c>
      <c r="W6" s="14" cm="1">
        <f t="array" ref="W6">INT(SUMPRODUCT(--ISNUMBER(SEARCH(trump,C6)))&gt;0)</f>
        <v>0</v>
      </c>
      <c r="X6" s="14" cm="1">
        <f t="array" ref="X6">INT(SUMPRODUCT(--ISNUMBER(SEARCH(voting,C6)))&gt;0)</f>
        <v>0</v>
      </c>
      <c r="Y6" s="14" cm="1">
        <f t="array" ref="Y6">INT(SUMPRODUCT(--ISNUMBER(SEARCH(democrattrigger,C6)))&gt;0)</f>
        <v>0</v>
      </c>
      <c r="Z6" s="14" cm="1">
        <f t="array" ref="Z6">INT(SUMPRODUCT(--ISNUMBER(SEARCH(bipartisan,C6)))&gt;0)</f>
        <v>0</v>
      </c>
      <c r="AA6" s="14">
        <f t="shared" si="0"/>
        <v>1</v>
      </c>
      <c r="AB6" s="14"/>
      <c r="AC6" s="30" t="s">
        <v>223</v>
      </c>
      <c r="AD6" s="37" t="s">
        <v>223</v>
      </c>
    </row>
    <row r="7" spans="1:30" x14ac:dyDescent="0.25">
      <c r="A7" s="36">
        <v>3848</v>
      </c>
      <c r="B7" s="14" t="s">
        <v>7719</v>
      </c>
      <c r="C7" s="14" t="s">
        <v>7720</v>
      </c>
      <c r="D7" s="17">
        <v>44138</v>
      </c>
      <c r="E7" s="14" t="s">
        <v>30</v>
      </c>
      <c r="F7" s="14">
        <v>1778</v>
      </c>
      <c r="G7" s="14">
        <v>392</v>
      </c>
      <c r="H7" s="14">
        <v>18</v>
      </c>
      <c r="I7" s="14">
        <v>9</v>
      </c>
      <c r="J7" s="14" t="s">
        <v>204</v>
      </c>
      <c r="K7" s="14" cm="1">
        <f t="array" ref="K7">INT(SUMPRODUCT(--ISNUMBER(SEARCH(economy,C7)))&gt;0)</f>
        <v>0</v>
      </c>
      <c r="L7" s="14" cm="1">
        <f t="array" ref="L7">INT(SUMPRODUCT(--ISNUMBER(SEARCH(healthcare,C7)))&gt;0)</f>
        <v>0</v>
      </c>
      <c r="M7" s="14" cm="1">
        <f t="array" ref="M7">INT(SUMPRODUCT(--ISNUMBER(SEARCH(supreme,C7)))&gt;0)</f>
        <v>0</v>
      </c>
      <c r="N7" s="14" cm="1">
        <f t="array" ref="N7">INT(SUMPRODUCT(--ISNUMBER(SEARCH(covid,C7)))&gt;0)</f>
        <v>0</v>
      </c>
      <c r="O7" s="14" cm="1">
        <f t="array" ref="O7">INT(SUMPRODUCT(--ISNUMBER(SEARCH(violent,C7)))&gt;0)</f>
        <v>0</v>
      </c>
      <c r="P7" s="14" cm="1">
        <f t="array" ref="P7">INT(SUMPRODUCT(--ISNUMBER(SEARCH(foreign,C7)))&gt;0)</f>
        <v>0</v>
      </c>
      <c r="Q7" s="14" cm="1">
        <f t="array" ref="Q7">INT(SUMPRODUCT(--ISNUMBER(SEARCH(gun,C7)))&gt;0)</f>
        <v>0</v>
      </c>
      <c r="R7" s="14" cm="1">
        <f t="array" ref="R7">INT(SUMPRODUCT(--ISNUMBER(SEARCH(race,C7)))&gt;0)</f>
        <v>0</v>
      </c>
      <c r="S7" s="14" cm="1">
        <f t="array" ref="S7">INT(SUMPRODUCT(--ISNUMBER(SEARCH(immigration,C7)))&gt;0)</f>
        <v>0</v>
      </c>
      <c r="T7" s="14" cm="1">
        <f t="array" ref="T7">INT(SUMPRODUCT(--ISNUMBER(SEARCH(econineq,C8)))&gt;0)</f>
        <v>0</v>
      </c>
      <c r="U7" s="14" cm="1">
        <f t="array" ref="U7">INT(SUMPRODUCT(--ISNUMBER(SEARCH(climate,C7)))&gt;0)</f>
        <v>0</v>
      </c>
      <c r="V7" s="14" cm="1">
        <f t="array" ref="V7">INT(SUMPRODUCT(--ISNUMBER(SEARCH(abortion,C7)))&gt;0)</f>
        <v>0</v>
      </c>
      <c r="W7" s="14" cm="1">
        <f t="array" ref="W7">INT(SUMPRODUCT(--ISNUMBER(SEARCH(trump,C7)))&gt;0)</f>
        <v>0</v>
      </c>
      <c r="X7" s="14" cm="1">
        <f t="array" ref="X7">INT(SUMPRODUCT(--ISNUMBER(SEARCH(voting,C7)))&gt;0)</f>
        <v>0</v>
      </c>
      <c r="Y7" s="14" cm="1">
        <f t="array" ref="Y7">INT(SUMPRODUCT(--ISNUMBER(SEARCH(democrattrigger,C7)))&gt;0)</f>
        <v>0</v>
      </c>
      <c r="Z7" s="14" cm="1">
        <f t="array" ref="Z7">INT(SUMPRODUCT(--ISNUMBER(SEARCH(bipartisan,C7)))&gt;0)</f>
        <v>0</v>
      </c>
      <c r="AA7" s="14">
        <f t="shared" si="0"/>
        <v>1</v>
      </c>
      <c r="AB7" s="14"/>
      <c r="AC7" s="30">
        <v>0</v>
      </c>
      <c r="AD7" s="37">
        <v>1</v>
      </c>
    </row>
    <row r="8" spans="1:30" x14ac:dyDescent="0.25">
      <c r="A8" s="36">
        <v>3849</v>
      </c>
      <c r="B8" s="14" t="s">
        <v>7721</v>
      </c>
      <c r="C8" s="14" t="s">
        <v>7722</v>
      </c>
      <c r="D8" s="17">
        <v>44138</v>
      </c>
      <c r="E8" s="14" t="s">
        <v>30</v>
      </c>
      <c r="F8" s="14">
        <v>6413</v>
      </c>
      <c r="G8" s="14">
        <v>616</v>
      </c>
      <c r="H8" s="14">
        <v>18</v>
      </c>
      <c r="I8" s="14">
        <v>9</v>
      </c>
      <c r="J8" s="14" t="s">
        <v>204</v>
      </c>
      <c r="K8" s="14" cm="1">
        <f t="array" ref="K8">INT(SUMPRODUCT(--ISNUMBER(SEARCH(economy,C8)))&gt;0)</f>
        <v>0</v>
      </c>
      <c r="L8" s="14" cm="1">
        <f t="array" ref="L8">INT(SUMPRODUCT(--ISNUMBER(SEARCH(healthcare,C8)))&gt;0)</f>
        <v>0</v>
      </c>
      <c r="M8" s="14" cm="1">
        <f t="array" ref="M8">INT(SUMPRODUCT(--ISNUMBER(SEARCH(supreme,C8)))&gt;0)</f>
        <v>0</v>
      </c>
      <c r="N8" s="14" cm="1">
        <f t="array" ref="N8">INT(SUMPRODUCT(--ISNUMBER(SEARCH(covid,C8)))&gt;0)</f>
        <v>0</v>
      </c>
      <c r="O8" s="14" cm="1">
        <f t="array" ref="O8">INT(SUMPRODUCT(--ISNUMBER(SEARCH(violent,C8)))&gt;0)</f>
        <v>0</v>
      </c>
      <c r="P8" s="14" cm="1">
        <f t="array" ref="P8">INT(SUMPRODUCT(--ISNUMBER(SEARCH(foreign,C8)))&gt;0)</f>
        <v>0</v>
      </c>
      <c r="Q8" s="14" cm="1">
        <f t="array" ref="Q8">INT(SUMPRODUCT(--ISNUMBER(SEARCH(gun,C8)))&gt;0)</f>
        <v>0</v>
      </c>
      <c r="R8" s="14" cm="1">
        <f t="array" ref="R8">INT(SUMPRODUCT(--ISNUMBER(SEARCH(race,C8)))&gt;0)</f>
        <v>0</v>
      </c>
      <c r="S8" s="14" cm="1">
        <f t="array" ref="S8">INT(SUMPRODUCT(--ISNUMBER(SEARCH(immigration,C8)))&gt;0)</f>
        <v>0</v>
      </c>
      <c r="T8" s="14" cm="1">
        <f t="array" ref="T8">INT(SUMPRODUCT(--ISNUMBER(SEARCH(econineq,C9)))&gt;0)</f>
        <v>0</v>
      </c>
      <c r="U8" s="14" cm="1">
        <f t="array" ref="U8">INT(SUMPRODUCT(--ISNUMBER(SEARCH(climate,C8)))&gt;0)</f>
        <v>0</v>
      </c>
      <c r="V8" s="14" cm="1">
        <f t="array" ref="V8">INT(SUMPRODUCT(--ISNUMBER(SEARCH(abortion,C8)))&gt;0)</f>
        <v>0</v>
      </c>
      <c r="W8" s="14" cm="1">
        <f t="array" ref="W8">INT(SUMPRODUCT(--ISNUMBER(SEARCH(trump,C8)))&gt;0)</f>
        <v>0</v>
      </c>
      <c r="X8" s="14" cm="1">
        <f t="array" ref="X8">INT(SUMPRODUCT(--ISNUMBER(SEARCH(voting,C8)))&gt;0)</f>
        <v>1</v>
      </c>
      <c r="Y8" s="14" cm="1">
        <f t="array" ref="Y8">INT(SUMPRODUCT(--ISNUMBER(SEARCH(democrattrigger,C8)))&gt;0)</f>
        <v>0</v>
      </c>
      <c r="Z8" s="14" cm="1">
        <f t="array" ref="Z8">INT(SUMPRODUCT(--ISNUMBER(SEARCH(bipartisan,C8)))&gt;0)</f>
        <v>0</v>
      </c>
      <c r="AA8" s="14">
        <f t="shared" si="0"/>
        <v>0</v>
      </c>
      <c r="AB8" s="14"/>
      <c r="AC8" s="30" t="s">
        <v>223</v>
      </c>
      <c r="AD8" s="37" t="s">
        <v>223</v>
      </c>
    </row>
    <row r="9" spans="1:30" x14ac:dyDescent="0.25">
      <c r="A9" s="36">
        <v>3850</v>
      </c>
      <c r="B9" s="14" t="s">
        <v>7723</v>
      </c>
      <c r="C9" s="14" t="s">
        <v>7724</v>
      </c>
      <c r="D9" s="17">
        <v>44138</v>
      </c>
      <c r="E9" s="14" t="s">
        <v>30</v>
      </c>
      <c r="F9" s="14">
        <v>589</v>
      </c>
      <c r="G9" s="14">
        <v>122</v>
      </c>
      <c r="H9" s="14">
        <v>18</v>
      </c>
      <c r="I9" s="14">
        <v>9</v>
      </c>
      <c r="J9" s="14" t="s">
        <v>204</v>
      </c>
      <c r="K9" s="14" cm="1">
        <f t="array" ref="K9">INT(SUMPRODUCT(--ISNUMBER(SEARCH(economy,C9)))&gt;0)</f>
        <v>0</v>
      </c>
      <c r="L9" s="14" cm="1">
        <f t="array" ref="L9">INT(SUMPRODUCT(--ISNUMBER(SEARCH(healthcare,C9)))&gt;0)</f>
        <v>0</v>
      </c>
      <c r="M9" s="14" cm="1">
        <f t="array" ref="M9">INT(SUMPRODUCT(--ISNUMBER(SEARCH(supreme,C9)))&gt;0)</f>
        <v>0</v>
      </c>
      <c r="N9" s="14" cm="1">
        <f t="array" ref="N9">INT(SUMPRODUCT(--ISNUMBER(SEARCH(covid,C9)))&gt;0)</f>
        <v>0</v>
      </c>
      <c r="O9" s="14" cm="1">
        <f t="array" ref="O9">INT(SUMPRODUCT(--ISNUMBER(SEARCH(violent,C9)))&gt;0)</f>
        <v>0</v>
      </c>
      <c r="P9" s="14" cm="1">
        <f t="array" ref="P9">INT(SUMPRODUCT(--ISNUMBER(SEARCH(foreign,C9)))&gt;0)</f>
        <v>0</v>
      </c>
      <c r="Q9" s="14" cm="1">
        <f t="array" ref="Q9">INT(SUMPRODUCT(--ISNUMBER(SEARCH(gun,C9)))&gt;0)</f>
        <v>0</v>
      </c>
      <c r="R9" s="14" cm="1">
        <f t="array" ref="R9">INT(SUMPRODUCT(--ISNUMBER(SEARCH(race,C9)))&gt;0)</f>
        <v>0</v>
      </c>
      <c r="S9" s="14" cm="1">
        <f t="array" ref="S9">INT(SUMPRODUCT(--ISNUMBER(SEARCH(immigration,C9)))&gt;0)</f>
        <v>0</v>
      </c>
      <c r="T9" s="14" cm="1">
        <f t="array" ref="T9">INT(SUMPRODUCT(--ISNUMBER(SEARCH(econineq,C10)))&gt;0)</f>
        <v>0</v>
      </c>
      <c r="U9" s="14" cm="1">
        <f t="array" ref="U9">INT(SUMPRODUCT(--ISNUMBER(SEARCH(climate,C9)))&gt;0)</f>
        <v>0</v>
      </c>
      <c r="V9" s="14" cm="1">
        <f t="array" ref="V9">INT(SUMPRODUCT(--ISNUMBER(SEARCH(abortion,C9)))&gt;0)</f>
        <v>0</v>
      </c>
      <c r="W9" s="14" cm="1">
        <f t="array" ref="W9">INT(SUMPRODUCT(--ISNUMBER(SEARCH(trump,C9)))&gt;0)</f>
        <v>0</v>
      </c>
      <c r="X9" s="14" cm="1">
        <f t="array" ref="X9">INT(SUMPRODUCT(--ISNUMBER(SEARCH(voting,C9)))&gt;0)</f>
        <v>1</v>
      </c>
      <c r="Y9" s="14" cm="1">
        <f t="array" ref="Y9">INT(SUMPRODUCT(--ISNUMBER(SEARCH(democrattrigger,C9)))&gt;0)</f>
        <v>0</v>
      </c>
      <c r="Z9" s="14" cm="1">
        <f t="array" ref="Z9">INT(SUMPRODUCT(--ISNUMBER(SEARCH(bipartisan,C9)))&gt;0)</f>
        <v>0</v>
      </c>
      <c r="AA9" s="14">
        <f t="shared" si="0"/>
        <v>0</v>
      </c>
      <c r="AB9" s="14"/>
      <c r="AC9" s="30">
        <v>0</v>
      </c>
      <c r="AD9" s="37">
        <v>1</v>
      </c>
    </row>
    <row r="10" spans="1:30" x14ac:dyDescent="0.25">
      <c r="A10" s="36">
        <v>3851</v>
      </c>
      <c r="B10" s="14" t="s">
        <v>7725</v>
      </c>
      <c r="C10" s="14" t="s">
        <v>7726</v>
      </c>
      <c r="D10" s="17">
        <v>44138</v>
      </c>
      <c r="E10" s="14" t="s">
        <v>30</v>
      </c>
      <c r="F10" s="14">
        <v>1332</v>
      </c>
      <c r="G10" s="14">
        <v>353</v>
      </c>
      <c r="H10" s="14">
        <v>18</v>
      </c>
      <c r="I10" s="14">
        <v>9</v>
      </c>
      <c r="J10" s="14" t="s">
        <v>204</v>
      </c>
      <c r="K10" s="14" cm="1">
        <f t="array" ref="K10">INT(SUMPRODUCT(--ISNUMBER(SEARCH(economy,C10)))&gt;0)</f>
        <v>0</v>
      </c>
      <c r="L10" s="14" cm="1">
        <f t="array" ref="L10">INT(SUMPRODUCT(--ISNUMBER(SEARCH(healthcare,C10)))&gt;0)</f>
        <v>0</v>
      </c>
      <c r="M10" s="14" cm="1">
        <f t="array" ref="M10">INT(SUMPRODUCT(--ISNUMBER(SEARCH(supreme,C10)))&gt;0)</f>
        <v>0</v>
      </c>
      <c r="N10" s="14" cm="1">
        <f t="array" ref="N10">INT(SUMPRODUCT(--ISNUMBER(SEARCH(covid,C10)))&gt;0)</f>
        <v>0</v>
      </c>
      <c r="O10" s="14" cm="1">
        <f t="array" ref="O10">INT(SUMPRODUCT(--ISNUMBER(SEARCH(violent,C10)))&gt;0)</f>
        <v>0</v>
      </c>
      <c r="P10" s="14" cm="1">
        <f t="array" ref="P10">INT(SUMPRODUCT(--ISNUMBER(SEARCH(foreign,C10)))&gt;0)</f>
        <v>0</v>
      </c>
      <c r="Q10" s="14" cm="1">
        <f t="array" ref="Q10">INT(SUMPRODUCT(--ISNUMBER(SEARCH(gun,C10)))&gt;0)</f>
        <v>0</v>
      </c>
      <c r="R10" s="14" cm="1">
        <f t="array" ref="R10">INT(SUMPRODUCT(--ISNUMBER(SEARCH(race,C10)))&gt;0)</f>
        <v>0</v>
      </c>
      <c r="S10" s="14" cm="1">
        <f t="array" ref="S10">INT(SUMPRODUCT(--ISNUMBER(SEARCH(immigration,C10)))&gt;0)</f>
        <v>0</v>
      </c>
      <c r="T10" s="14" cm="1">
        <f t="array" ref="T10">INT(SUMPRODUCT(--ISNUMBER(SEARCH(econineq,C11)))&gt;0)</f>
        <v>0</v>
      </c>
      <c r="U10" s="14" cm="1">
        <f t="array" ref="U10">INT(SUMPRODUCT(--ISNUMBER(SEARCH(climate,C10)))&gt;0)</f>
        <v>0</v>
      </c>
      <c r="V10" s="14" cm="1">
        <f t="array" ref="V10">INT(SUMPRODUCT(--ISNUMBER(SEARCH(abortion,C10)))&gt;0)</f>
        <v>0</v>
      </c>
      <c r="W10" s="14" cm="1">
        <f t="array" ref="W10">INT(SUMPRODUCT(--ISNUMBER(SEARCH(trump,C10)))&gt;0)</f>
        <v>0</v>
      </c>
      <c r="X10" s="14" cm="1">
        <f t="array" ref="X10">INT(SUMPRODUCT(--ISNUMBER(SEARCH(voting,C10)))&gt;0)</f>
        <v>1</v>
      </c>
      <c r="Y10" s="14" cm="1">
        <f t="array" ref="Y10">INT(SUMPRODUCT(--ISNUMBER(SEARCH(democrattrigger,C10)))&gt;0)</f>
        <v>0</v>
      </c>
      <c r="Z10" s="14" cm="1">
        <f t="array" ref="Z10">INT(SUMPRODUCT(--ISNUMBER(SEARCH(bipartisan,C10)))&gt;0)</f>
        <v>0</v>
      </c>
      <c r="AA10" s="14">
        <f t="shared" si="0"/>
        <v>0</v>
      </c>
      <c r="AB10" s="14"/>
      <c r="AC10" s="30" t="s">
        <v>223</v>
      </c>
      <c r="AD10" s="37" t="s">
        <v>223</v>
      </c>
    </row>
    <row r="11" spans="1:30" x14ac:dyDescent="0.25">
      <c r="A11" s="36">
        <v>3852</v>
      </c>
      <c r="B11" s="14" t="s">
        <v>7727</v>
      </c>
      <c r="C11" s="14" t="s">
        <v>7728</v>
      </c>
      <c r="D11" s="17">
        <v>44138</v>
      </c>
      <c r="E11" s="14" t="s">
        <v>30</v>
      </c>
      <c r="F11" s="14">
        <v>1797</v>
      </c>
      <c r="G11" s="14">
        <v>219</v>
      </c>
      <c r="H11" s="14">
        <v>18</v>
      </c>
      <c r="I11" s="14">
        <v>9</v>
      </c>
      <c r="J11" s="14" t="s">
        <v>204</v>
      </c>
      <c r="K11" s="14" cm="1">
        <f t="array" ref="K11">INT(SUMPRODUCT(--ISNUMBER(SEARCH(economy,C11)))&gt;0)</f>
        <v>0</v>
      </c>
      <c r="L11" s="14" cm="1">
        <f t="array" ref="L11">INT(SUMPRODUCT(--ISNUMBER(SEARCH(healthcare,C11)))&gt;0)</f>
        <v>0</v>
      </c>
      <c r="M11" s="14" cm="1">
        <f t="array" ref="M11">INT(SUMPRODUCT(--ISNUMBER(SEARCH(supreme,C11)))&gt;0)</f>
        <v>0</v>
      </c>
      <c r="N11" s="14" cm="1">
        <f t="array" ref="N11">INT(SUMPRODUCT(--ISNUMBER(SEARCH(covid,C11)))&gt;0)</f>
        <v>0</v>
      </c>
      <c r="O11" s="14" cm="1">
        <f t="array" ref="O11">INT(SUMPRODUCT(--ISNUMBER(SEARCH(violent,C11)))&gt;0)</f>
        <v>0</v>
      </c>
      <c r="P11" s="14" cm="1">
        <f t="array" ref="P11">INT(SUMPRODUCT(--ISNUMBER(SEARCH(foreign,C11)))&gt;0)</f>
        <v>0</v>
      </c>
      <c r="Q11" s="14" cm="1">
        <f t="array" ref="Q11">INT(SUMPRODUCT(--ISNUMBER(SEARCH(gun,C11)))&gt;0)</f>
        <v>0</v>
      </c>
      <c r="R11" s="14" cm="1">
        <f t="array" ref="R11">INT(SUMPRODUCT(--ISNUMBER(SEARCH(race,C11)))&gt;0)</f>
        <v>0</v>
      </c>
      <c r="S11" s="14" cm="1">
        <f t="array" ref="S11">INT(SUMPRODUCT(--ISNUMBER(SEARCH(immigration,C11)))&gt;0)</f>
        <v>0</v>
      </c>
      <c r="T11" s="14" cm="1">
        <f t="array" ref="T11">INT(SUMPRODUCT(--ISNUMBER(SEARCH(econineq,C12)))&gt;0)</f>
        <v>0</v>
      </c>
      <c r="U11" s="14" cm="1">
        <f t="array" ref="U11">INT(SUMPRODUCT(--ISNUMBER(SEARCH(climate,C11)))&gt;0)</f>
        <v>0</v>
      </c>
      <c r="V11" s="14" cm="1">
        <f t="array" ref="V11">INT(SUMPRODUCT(--ISNUMBER(SEARCH(abortion,C11)))&gt;0)</f>
        <v>0</v>
      </c>
      <c r="W11" s="14" cm="1">
        <f t="array" ref="W11">INT(SUMPRODUCT(--ISNUMBER(SEARCH(trump,C11)))&gt;0)</f>
        <v>0</v>
      </c>
      <c r="X11" s="14" cm="1">
        <f t="array" ref="X11">INT(SUMPRODUCT(--ISNUMBER(SEARCH(voting,C11)))&gt;0)</f>
        <v>1</v>
      </c>
      <c r="Y11" s="14" cm="1">
        <f t="array" ref="Y11">INT(SUMPRODUCT(--ISNUMBER(SEARCH(democrattrigger,C11)))&gt;0)</f>
        <v>0</v>
      </c>
      <c r="Z11" s="14" cm="1">
        <f t="array" ref="Z11">INT(SUMPRODUCT(--ISNUMBER(SEARCH(bipartisan,C11)))&gt;0)</f>
        <v>0</v>
      </c>
      <c r="AA11" s="14">
        <f t="shared" si="0"/>
        <v>0</v>
      </c>
      <c r="AB11" s="14"/>
      <c r="AC11" s="30" t="s">
        <v>223</v>
      </c>
      <c r="AD11" s="37" t="s">
        <v>223</v>
      </c>
    </row>
    <row r="12" spans="1:30" x14ac:dyDescent="0.25">
      <c r="A12" s="36">
        <v>3853</v>
      </c>
      <c r="B12" s="14" t="s">
        <v>7729</v>
      </c>
      <c r="C12" s="14" t="s">
        <v>7730</v>
      </c>
      <c r="D12" s="17">
        <v>44138</v>
      </c>
      <c r="E12" s="14" t="s">
        <v>30</v>
      </c>
      <c r="F12" s="14">
        <v>2807</v>
      </c>
      <c r="G12" s="14">
        <v>545</v>
      </c>
      <c r="H12" s="14">
        <v>18</v>
      </c>
      <c r="I12" s="14">
        <v>9</v>
      </c>
      <c r="J12" s="14" t="s">
        <v>204</v>
      </c>
      <c r="K12" s="14" cm="1">
        <f t="array" ref="K12">INT(SUMPRODUCT(--ISNUMBER(SEARCH(economy,C12)))&gt;0)</f>
        <v>0</v>
      </c>
      <c r="L12" s="14" cm="1">
        <f t="array" ref="L12">INT(SUMPRODUCT(--ISNUMBER(SEARCH(healthcare,C12)))&gt;0)</f>
        <v>0</v>
      </c>
      <c r="M12" s="14" cm="1">
        <f t="array" ref="M12">INT(SUMPRODUCT(--ISNUMBER(SEARCH(supreme,C12)))&gt;0)</f>
        <v>0</v>
      </c>
      <c r="N12" s="14" cm="1">
        <f t="array" ref="N12">INT(SUMPRODUCT(--ISNUMBER(SEARCH(covid,C12)))&gt;0)</f>
        <v>0</v>
      </c>
      <c r="O12" s="14" cm="1">
        <f t="array" ref="O12">INT(SUMPRODUCT(--ISNUMBER(SEARCH(violent,C12)))&gt;0)</f>
        <v>0</v>
      </c>
      <c r="P12" s="14" cm="1">
        <f t="array" ref="P12">INT(SUMPRODUCT(--ISNUMBER(SEARCH(foreign,C12)))&gt;0)</f>
        <v>0</v>
      </c>
      <c r="Q12" s="14" cm="1">
        <f t="array" ref="Q12">INT(SUMPRODUCT(--ISNUMBER(SEARCH(gun,C12)))&gt;0)</f>
        <v>0</v>
      </c>
      <c r="R12" s="14" cm="1">
        <f t="array" ref="R12">INT(SUMPRODUCT(--ISNUMBER(SEARCH(race,C12)))&gt;0)</f>
        <v>0</v>
      </c>
      <c r="S12" s="14" cm="1">
        <f t="array" ref="S12">INT(SUMPRODUCT(--ISNUMBER(SEARCH(immigration,C12)))&gt;0)</f>
        <v>0</v>
      </c>
      <c r="T12" s="14" cm="1">
        <f t="array" ref="T12">INT(SUMPRODUCT(--ISNUMBER(SEARCH(econineq,C13)))&gt;0)</f>
        <v>0</v>
      </c>
      <c r="U12" s="14" cm="1">
        <f t="array" ref="U12">INT(SUMPRODUCT(--ISNUMBER(SEARCH(climate,C12)))&gt;0)</f>
        <v>0</v>
      </c>
      <c r="V12" s="14" cm="1">
        <f t="array" ref="V12">INT(SUMPRODUCT(--ISNUMBER(SEARCH(abortion,C12)))&gt;0)</f>
        <v>0</v>
      </c>
      <c r="W12" s="14" cm="1">
        <f t="array" ref="W12">INT(SUMPRODUCT(--ISNUMBER(SEARCH(trump,C12)))&gt;0)</f>
        <v>1</v>
      </c>
      <c r="X12" s="14" cm="1">
        <f t="array" ref="X12">INT(SUMPRODUCT(--ISNUMBER(SEARCH(voting,C12)))&gt;0)</f>
        <v>1</v>
      </c>
      <c r="Y12" s="14" cm="1">
        <f t="array" ref="Y12">INT(SUMPRODUCT(--ISNUMBER(SEARCH(democrattrigger,C12)))&gt;0)</f>
        <v>0</v>
      </c>
      <c r="Z12" s="14" cm="1">
        <f t="array" ref="Z12">INT(SUMPRODUCT(--ISNUMBER(SEARCH(bipartisan,C12)))&gt;0)</f>
        <v>0</v>
      </c>
      <c r="AA12" s="14">
        <f t="shared" si="0"/>
        <v>0</v>
      </c>
      <c r="AB12" s="14"/>
      <c r="AC12" s="30">
        <v>0</v>
      </c>
      <c r="AD12" s="37">
        <v>1</v>
      </c>
    </row>
    <row r="13" spans="1:30" x14ac:dyDescent="0.25">
      <c r="A13" s="36">
        <v>3854</v>
      </c>
      <c r="B13" s="14" t="s">
        <v>7731</v>
      </c>
      <c r="C13" s="14" t="s">
        <v>7732</v>
      </c>
      <c r="D13" s="17">
        <v>44138</v>
      </c>
      <c r="E13" s="14" t="s">
        <v>30</v>
      </c>
      <c r="F13" s="14">
        <v>471</v>
      </c>
      <c r="G13" s="14">
        <v>205</v>
      </c>
      <c r="H13" s="14">
        <v>18</v>
      </c>
      <c r="I13" s="14">
        <v>9</v>
      </c>
      <c r="J13" s="14" t="s">
        <v>204</v>
      </c>
      <c r="K13" s="14" cm="1">
        <f t="array" ref="K13">INT(SUMPRODUCT(--ISNUMBER(SEARCH(economy,C13)))&gt;0)</f>
        <v>0</v>
      </c>
      <c r="L13" s="14" cm="1">
        <f t="array" ref="L13">INT(SUMPRODUCT(--ISNUMBER(SEARCH(healthcare,C13)))&gt;0)</f>
        <v>0</v>
      </c>
      <c r="M13" s="14" cm="1">
        <f t="array" ref="M13">INT(SUMPRODUCT(--ISNUMBER(SEARCH(supreme,C13)))&gt;0)</f>
        <v>0</v>
      </c>
      <c r="N13" s="14" cm="1">
        <f t="array" ref="N13">INT(SUMPRODUCT(--ISNUMBER(SEARCH(covid,C13)))&gt;0)</f>
        <v>0</v>
      </c>
      <c r="O13" s="14" cm="1">
        <f t="array" ref="O13">INT(SUMPRODUCT(--ISNUMBER(SEARCH(violent,C13)))&gt;0)</f>
        <v>0</v>
      </c>
      <c r="P13" s="14" cm="1">
        <f t="array" ref="P13">INT(SUMPRODUCT(--ISNUMBER(SEARCH(foreign,C13)))&gt;0)</f>
        <v>0</v>
      </c>
      <c r="Q13" s="14" cm="1">
        <f t="array" ref="Q13">INT(SUMPRODUCT(--ISNUMBER(SEARCH(gun,C13)))&gt;0)</f>
        <v>0</v>
      </c>
      <c r="R13" s="14" cm="1">
        <f t="array" ref="R13">INT(SUMPRODUCT(--ISNUMBER(SEARCH(race,C13)))&gt;0)</f>
        <v>0</v>
      </c>
      <c r="S13" s="14" cm="1">
        <f t="array" ref="S13">INT(SUMPRODUCT(--ISNUMBER(SEARCH(immigration,C13)))&gt;0)</f>
        <v>0</v>
      </c>
      <c r="T13" s="14" cm="1">
        <f t="array" ref="T13">INT(SUMPRODUCT(--ISNUMBER(SEARCH(econineq,C14)))&gt;0)</f>
        <v>0</v>
      </c>
      <c r="U13" s="14" cm="1">
        <f t="array" ref="U13">INT(SUMPRODUCT(--ISNUMBER(SEARCH(climate,C13)))&gt;0)</f>
        <v>0</v>
      </c>
      <c r="V13" s="14" cm="1">
        <f t="array" ref="V13">INT(SUMPRODUCT(--ISNUMBER(SEARCH(abortion,C13)))&gt;0)</f>
        <v>0</v>
      </c>
      <c r="W13" s="14" cm="1">
        <f t="array" ref="W13">INT(SUMPRODUCT(--ISNUMBER(SEARCH(trump,C13)))&gt;0)</f>
        <v>0</v>
      </c>
      <c r="X13" s="14" cm="1">
        <f t="array" ref="X13">INT(SUMPRODUCT(--ISNUMBER(SEARCH(voting,C13)))&gt;0)</f>
        <v>1</v>
      </c>
      <c r="Y13" s="14" cm="1">
        <f t="array" ref="Y13">INT(SUMPRODUCT(--ISNUMBER(SEARCH(democrattrigger,C13)))&gt;0)</f>
        <v>0</v>
      </c>
      <c r="Z13" s="14" cm="1">
        <f t="array" ref="Z13">INT(SUMPRODUCT(--ISNUMBER(SEARCH(bipartisan,C13)))&gt;0)</f>
        <v>0</v>
      </c>
      <c r="AA13" s="14">
        <f t="shared" si="0"/>
        <v>0</v>
      </c>
      <c r="AB13" s="14"/>
      <c r="AC13" s="30">
        <v>1</v>
      </c>
      <c r="AD13" s="37">
        <v>0</v>
      </c>
    </row>
    <row r="14" spans="1:30" x14ac:dyDescent="0.25">
      <c r="A14" s="36">
        <v>3855</v>
      </c>
      <c r="B14" s="14" t="s">
        <v>7733</v>
      </c>
      <c r="C14" s="14" t="s">
        <v>7734</v>
      </c>
      <c r="D14" s="17">
        <v>44138</v>
      </c>
      <c r="E14" s="14" t="s">
        <v>30</v>
      </c>
      <c r="F14" s="14">
        <v>1569</v>
      </c>
      <c r="G14" s="14">
        <v>186</v>
      </c>
      <c r="H14" s="14">
        <v>18</v>
      </c>
      <c r="I14" s="14">
        <v>9</v>
      </c>
      <c r="J14" s="14" t="s">
        <v>204</v>
      </c>
      <c r="K14" s="14" cm="1">
        <f t="array" ref="K14">INT(SUMPRODUCT(--ISNUMBER(SEARCH(economy,C14)))&gt;0)</f>
        <v>0</v>
      </c>
      <c r="L14" s="14" cm="1">
        <f t="array" ref="L14">INT(SUMPRODUCT(--ISNUMBER(SEARCH(healthcare,C14)))&gt;0)</f>
        <v>0</v>
      </c>
      <c r="M14" s="14" cm="1">
        <f t="array" ref="M14">INT(SUMPRODUCT(--ISNUMBER(SEARCH(supreme,C14)))&gt;0)</f>
        <v>0</v>
      </c>
      <c r="N14" s="14" cm="1">
        <f t="array" ref="N14">INT(SUMPRODUCT(--ISNUMBER(SEARCH(covid,C14)))&gt;0)</f>
        <v>0</v>
      </c>
      <c r="O14" s="14" cm="1">
        <f t="array" ref="O14">INT(SUMPRODUCT(--ISNUMBER(SEARCH(violent,C14)))&gt;0)</f>
        <v>0</v>
      </c>
      <c r="P14" s="14" cm="1">
        <f t="array" ref="P14">INT(SUMPRODUCT(--ISNUMBER(SEARCH(foreign,C14)))&gt;0)</f>
        <v>0</v>
      </c>
      <c r="Q14" s="14" cm="1">
        <f t="array" ref="Q14">INT(SUMPRODUCT(--ISNUMBER(SEARCH(gun,C14)))&gt;0)</f>
        <v>0</v>
      </c>
      <c r="R14" s="14" cm="1">
        <f t="array" ref="R14">INT(SUMPRODUCT(--ISNUMBER(SEARCH(race,C14)))&gt;0)</f>
        <v>0</v>
      </c>
      <c r="S14" s="14" cm="1">
        <f t="array" ref="S14">INT(SUMPRODUCT(--ISNUMBER(SEARCH(immigration,C14)))&gt;0)</f>
        <v>0</v>
      </c>
      <c r="T14" s="14" cm="1">
        <f t="array" ref="T14">INT(SUMPRODUCT(--ISNUMBER(SEARCH(econineq,C15)))&gt;0)</f>
        <v>0</v>
      </c>
      <c r="U14" s="14" cm="1">
        <f t="array" ref="U14">INT(SUMPRODUCT(--ISNUMBER(SEARCH(climate,C14)))&gt;0)</f>
        <v>0</v>
      </c>
      <c r="V14" s="14" cm="1">
        <f t="array" ref="V14">INT(SUMPRODUCT(--ISNUMBER(SEARCH(abortion,C14)))&gt;0)</f>
        <v>0</v>
      </c>
      <c r="W14" s="14" cm="1">
        <f t="array" ref="W14">INT(SUMPRODUCT(--ISNUMBER(SEARCH(trump,C14)))&gt;0)</f>
        <v>0</v>
      </c>
      <c r="X14" s="14" cm="1">
        <f t="array" ref="X14">INT(SUMPRODUCT(--ISNUMBER(SEARCH(voting,C14)))&gt;0)</f>
        <v>1</v>
      </c>
      <c r="Y14" s="14" cm="1">
        <f t="array" ref="Y14">INT(SUMPRODUCT(--ISNUMBER(SEARCH(democrattrigger,C14)))&gt;0)</f>
        <v>0</v>
      </c>
      <c r="Z14" s="14" cm="1">
        <f t="array" ref="Z14">INT(SUMPRODUCT(--ISNUMBER(SEARCH(bipartisan,C14)))&gt;0)</f>
        <v>0</v>
      </c>
      <c r="AA14" s="14">
        <f t="shared" si="0"/>
        <v>0</v>
      </c>
      <c r="AB14" s="14"/>
      <c r="AC14" s="30" t="s">
        <v>223</v>
      </c>
      <c r="AD14" s="37" t="s">
        <v>223</v>
      </c>
    </row>
    <row r="15" spans="1:30" x14ac:dyDescent="0.25">
      <c r="A15" s="36">
        <v>3856</v>
      </c>
      <c r="B15" s="14" t="s">
        <v>7735</v>
      </c>
      <c r="C15" s="14" t="s">
        <v>7736</v>
      </c>
      <c r="D15" s="17">
        <v>44138</v>
      </c>
      <c r="E15" s="14" t="s">
        <v>30</v>
      </c>
      <c r="F15" s="14">
        <v>1486</v>
      </c>
      <c r="G15" s="14">
        <v>223</v>
      </c>
      <c r="H15" s="14">
        <v>18</v>
      </c>
      <c r="I15" s="14">
        <v>9</v>
      </c>
      <c r="J15" s="14" t="s">
        <v>204</v>
      </c>
      <c r="K15" s="14" cm="1">
        <f t="array" ref="K15">INT(SUMPRODUCT(--ISNUMBER(SEARCH(economy,C15)))&gt;0)</f>
        <v>0</v>
      </c>
      <c r="L15" s="14" cm="1">
        <f t="array" ref="L15">INT(SUMPRODUCT(--ISNUMBER(SEARCH(healthcare,C15)))&gt;0)</f>
        <v>0</v>
      </c>
      <c r="M15" s="14" cm="1">
        <f t="array" ref="M15">INT(SUMPRODUCT(--ISNUMBER(SEARCH(supreme,C15)))&gt;0)</f>
        <v>0</v>
      </c>
      <c r="N15" s="14" cm="1">
        <f t="array" ref="N15">INT(SUMPRODUCT(--ISNUMBER(SEARCH(covid,C15)))&gt;0)</f>
        <v>0</v>
      </c>
      <c r="O15" s="14" cm="1">
        <f t="array" ref="O15">INT(SUMPRODUCT(--ISNUMBER(SEARCH(violent,C15)))&gt;0)</f>
        <v>0</v>
      </c>
      <c r="P15" s="14" cm="1">
        <f t="array" ref="P15">INT(SUMPRODUCT(--ISNUMBER(SEARCH(foreign,C15)))&gt;0)</f>
        <v>0</v>
      </c>
      <c r="Q15" s="14" cm="1">
        <f t="array" ref="Q15">INT(SUMPRODUCT(--ISNUMBER(SEARCH(gun,C15)))&gt;0)</f>
        <v>0</v>
      </c>
      <c r="R15" s="14" cm="1">
        <f t="array" ref="R15">INT(SUMPRODUCT(--ISNUMBER(SEARCH(race,C15)))&gt;0)</f>
        <v>0</v>
      </c>
      <c r="S15" s="14" cm="1">
        <f t="array" ref="S15">INT(SUMPRODUCT(--ISNUMBER(SEARCH(immigration,C15)))&gt;0)</f>
        <v>0</v>
      </c>
      <c r="T15" s="14" cm="1">
        <f t="array" ref="T15">INT(SUMPRODUCT(--ISNUMBER(SEARCH(econineq,C16)))&gt;0)</f>
        <v>0</v>
      </c>
      <c r="U15" s="14" cm="1">
        <f t="array" ref="U15">INT(SUMPRODUCT(--ISNUMBER(SEARCH(climate,C15)))&gt;0)</f>
        <v>0</v>
      </c>
      <c r="V15" s="14" cm="1">
        <f t="array" ref="V15">INT(SUMPRODUCT(--ISNUMBER(SEARCH(abortion,C15)))&gt;0)</f>
        <v>0</v>
      </c>
      <c r="W15" s="14" cm="1">
        <f t="array" ref="W15">INT(SUMPRODUCT(--ISNUMBER(SEARCH(trump,C15)))&gt;0)</f>
        <v>0</v>
      </c>
      <c r="X15" s="14" cm="1">
        <f t="array" ref="X15">INT(SUMPRODUCT(--ISNUMBER(SEARCH(voting,C15)))&gt;0)</f>
        <v>1</v>
      </c>
      <c r="Y15" s="14" cm="1">
        <f t="array" ref="Y15">INT(SUMPRODUCT(--ISNUMBER(SEARCH(democrattrigger,C15)))&gt;0)</f>
        <v>0</v>
      </c>
      <c r="Z15" s="14" cm="1">
        <f t="array" ref="Z15">INT(SUMPRODUCT(--ISNUMBER(SEARCH(bipartisan,C15)))&gt;0)</f>
        <v>0</v>
      </c>
      <c r="AA15" s="14">
        <f t="shared" si="0"/>
        <v>0</v>
      </c>
      <c r="AB15" s="14"/>
      <c r="AC15" s="30" t="s">
        <v>223</v>
      </c>
      <c r="AD15" s="37" t="s">
        <v>223</v>
      </c>
    </row>
    <row r="16" spans="1:30" x14ac:dyDescent="0.25">
      <c r="A16" s="36">
        <v>3857</v>
      </c>
      <c r="B16" s="14" t="s">
        <v>7737</v>
      </c>
      <c r="C16" s="14" t="s">
        <v>7738</v>
      </c>
      <c r="D16" s="17">
        <v>44138</v>
      </c>
      <c r="E16" s="14" t="s">
        <v>30</v>
      </c>
      <c r="F16" s="14">
        <v>12719</v>
      </c>
      <c r="G16" s="14">
        <v>1515</v>
      </c>
      <c r="H16" s="14">
        <v>18</v>
      </c>
      <c r="I16" s="14">
        <v>9</v>
      </c>
      <c r="J16" s="14" t="s">
        <v>204</v>
      </c>
      <c r="K16" s="14" cm="1">
        <f t="array" ref="K16">INT(SUMPRODUCT(--ISNUMBER(SEARCH(economy,C16)))&gt;0)</f>
        <v>0</v>
      </c>
      <c r="L16" s="14" cm="1">
        <f t="array" ref="L16">INT(SUMPRODUCT(--ISNUMBER(SEARCH(healthcare,C16)))&gt;0)</f>
        <v>0</v>
      </c>
      <c r="M16" s="14" cm="1">
        <f t="array" ref="M16">INT(SUMPRODUCT(--ISNUMBER(SEARCH(supreme,C16)))&gt;0)</f>
        <v>0</v>
      </c>
      <c r="N16" s="14" cm="1">
        <f t="array" ref="N16">INT(SUMPRODUCT(--ISNUMBER(SEARCH(covid,C16)))&gt;0)</f>
        <v>0</v>
      </c>
      <c r="O16" s="14" cm="1">
        <f t="array" ref="O16">INT(SUMPRODUCT(--ISNUMBER(SEARCH(violent,C16)))&gt;0)</f>
        <v>0</v>
      </c>
      <c r="P16" s="14" cm="1">
        <f t="array" ref="P16">INT(SUMPRODUCT(--ISNUMBER(SEARCH(foreign,C16)))&gt;0)</f>
        <v>0</v>
      </c>
      <c r="Q16" s="14" cm="1">
        <f t="array" ref="Q16">INT(SUMPRODUCT(--ISNUMBER(SEARCH(gun,C16)))&gt;0)</f>
        <v>0</v>
      </c>
      <c r="R16" s="14" cm="1">
        <f t="array" ref="R16">INT(SUMPRODUCT(--ISNUMBER(SEARCH(race,C16)))&gt;0)</f>
        <v>0</v>
      </c>
      <c r="S16" s="14" cm="1">
        <f t="array" ref="S16">INT(SUMPRODUCT(--ISNUMBER(SEARCH(immigration,C16)))&gt;0)</f>
        <v>0</v>
      </c>
      <c r="T16" s="14" cm="1">
        <f t="array" ref="T16">INT(SUMPRODUCT(--ISNUMBER(SEARCH(econineq,C17)))&gt;0)</f>
        <v>0</v>
      </c>
      <c r="U16" s="14" cm="1">
        <f t="array" ref="U16">INT(SUMPRODUCT(--ISNUMBER(SEARCH(climate,C16)))&gt;0)</f>
        <v>0</v>
      </c>
      <c r="V16" s="14" cm="1">
        <f t="array" ref="V16">INT(SUMPRODUCT(--ISNUMBER(SEARCH(abortion,C16)))&gt;0)</f>
        <v>0</v>
      </c>
      <c r="W16" s="14" cm="1">
        <f t="array" ref="W16">INT(SUMPRODUCT(--ISNUMBER(SEARCH(trump,C16)))&gt;0)</f>
        <v>0</v>
      </c>
      <c r="X16" s="14" cm="1">
        <f t="array" ref="X16">INT(SUMPRODUCT(--ISNUMBER(SEARCH(voting,C16)))&gt;0)</f>
        <v>0</v>
      </c>
      <c r="Y16" s="14" cm="1">
        <f t="array" ref="Y16">INT(SUMPRODUCT(--ISNUMBER(SEARCH(democrattrigger,C16)))&gt;0)</f>
        <v>0</v>
      </c>
      <c r="Z16" s="14" cm="1">
        <f t="array" ref="Z16">INT(SUMPRODUCT(--ISNUMBER(SEARCH(bipartisan,C16)))&gt;0)</f>
        <v>0</v>
      </c>
      <c r="AA16" s="14">
        <f t="shared" si="0"/>
        <v>1</v>
      </c>
      <c r="AB16" s="14"/>
      <c r="AC16" s="30">
        <v>1</v>
      </c>
      <c r="AD16" s="37">
        <v>0</v>
      </c>
    </row>
    <row r="17" spans="1:30" x14ac:dyDescent="0.25">
      <c r="A17" s="36">
        <v>3858</v>
      </c>
      <c r="B17" s="14" t="s">
        <v>7739</v>
      </c>
      <c r="C17" s="14" t="s">
        <v>7740</v>
      </c>
      <c r="D17" s="17">
        <v>44138</v>
      </c>
      <c r="E17" s="14" t="s">
        <v>30</v>
      </c>
      <c r="F17" s="14">
        <v>904</v>
      </c>
      <c r="G17" s="14">
        <v>367</v>
      </c>
      <c r="H17" s="14">
        <v>18</v>
      </c>
      <c r="I17" s="14">
        <v>9</v>
      </c>
      <c r="J17" s="14" t="s">
        <v>204</v>
      </c>
      <c r="K17" s="14" cm="1">
        <f t="array" ref="K17">INT(SUMPRODUCT(--ISNUMBER(SEARCH(economy,C17)))&gt;0)</f>
        <v>0</v>
      </c>
      <c r="L17" s="14" cm="1">
        <f t="array" ref="L17">INT(SUMPRODUCT(--ISNUMBER(SEARCH(healthcare,C17)))&gt;0)</f>
        <v>0</v>
      </c>
      <c r="M17" s="14" cm="1">
        <f t="array" ref="M17">INT(SUMPRODUCT(--ISNUMBER(SEARCH(supreme,C17)))&gt;0)</f>
        <v>0</v>
      </c>
      <c r="N17" s="14" cm="1">
        <f t="array" ref="N17">INT(SUMPRODUCT(--ISNUMBER(SEARCH(covid,C17)))&gt;0)</f>
        <v>0</v>
      </c>
      <c r="O17" s="14" cm="1">
        <f t="array" ref="O17">INT(SUMPRODUCT(--ISNUMBER(SEARCH(violent,C17)))&gt;0)</f>
        <v>0</v>
      </c>
      <c r="P17" s="14" cm="1">
        <f t="array" ref="P17">INT(SUMPRODUCT(--ISNUMBER(SEARCH(foreign,C17)))&gt;0)</f>
        <v>0</v>
      </c>
      <c r="Q17" s="14" cm="1">
        <f t="array" ref="Q17">INT(SUMPRODUCT(--ISNUMBER(SEARCH(gun,C17)))&gt;0)</f>
        <v>0</v>
      </c>
      <c r="R17" s="14" cm="1">
        <f t="array" ref="R17">INT(SUMPRODUCT(--ISNUMBER(SEARCH(race,C17)))&gt;0)</f>
        <v>0</v>
      </c>
      <c r="S17" s="14" cm="1">
        <f t="array" ref="S17">INT(SUMPRODUCT(--ISNUMBER(SEARCH(immigration,C17)))&gt;0)</f>
        <v>0</v>
      </c>
      <c r="T17" s="14" cm="1">
        <f t="array" ref="T17">INT(SUMPRODUCT(--ISNUMBER(SEARCH(econineq,C18)))&gt;0)</f>
        <v>0</v>
      </c>
      <c r="U17" s="14" cm="1">
        <f t="array" ref="U17">INT(SUMPRODUCT(--ISNUMBER(SEARCH(climate,C17)))&gt;0)</f>
        <v>0</v>
      </c>
      <c r="V17" s="14" cm="1">
        <f t="array" ref="V17">INT(SUMPRODUCT(--ISNUMBER(SEARCH(abortion,C17)))&gt;0)</f>
        <v>0</v>
      </c>
      <c r="W17" s="14" cm="1">
        <f t="array" ref="W17">INT(SUMPRODUCT(--ISNUMBER(SEARCH(trump,C17)))&gt;0)</f>
        <v>0</v>
      </c>
      <c r="X17" s="14" cm="1">
        <f t="array" ref="X17">INT(SUMPRODUCT(--ISNUMBER(SEARCH(voting,C17)))&gt;0)</f>
        <v>1</v>
      </c>
      <c r="Y17" s="14" cm="1">
        <f t="array" ref="Y17">INT(SUMPRODUCT(--ISNUMBER(SEARCH(democrattrigger,C17)))&gt;0)</f>
        <v>0</v>
      </c>
      <c r="Z17" s="14" cm="1">
        <f t="array" ref="Z17">INT(SUMPRODUCT(--ISNUMBER(SEARCH(bipartisan,C17)))&gt;0)</f>
        <v>0</v>
      </c>
      <c r="AA17" s="14">
        <f t="shared" si="0"/>
        <v>0</v>
      </c>
      <c r="AB17" s="14"/>
      <c r="AC17" s="30">
        <v>1</v>
      </c>
      <c r="AD17" s="37">
        <v>0</v>
      </c>
    </row>
    <row r="18" spans="1:30" x14ac:dyDescent="0.25">
      <c r="A18" s="36">
        <v>3859</v>
      </c>
      <c r="B18" s="14" t="s">
        <v>7741</v>
      </c>
      <c r="C18" s="14" t="s">
        <v>7742</v>
      </c>
      <c r="D18" s="17">
        <v>44138</v>
      </c>
      <c r="E18" s="14" t="s">
        <v>30</v>
      </c>
      <c r="F18" s="14">
        <v>2002</v>
      </c>
      <c r="G18" s="14">
        <v>509</v>
      </c>
      <c r="H18" s="14">
        <v>18</v>
      </c>
      <c r="I18" s="14">
        <v>9</v>
      </c>
      <c r="J18" s="14" t="s">
        <v>204</v>
      </c>
      <c r="K18" s="14" cm="1">
        <f t="array" ref="K18">INT(SUMPRODUCT(--ISNUMBER(SEARCH(economy,C18)))&gt;0)</f>
        <v>0</v>
      </c>
      <c r="L18" s="14" cm="1">
        <f t="array" ref="L18">INT(SUMPRODUCT(--ISNUMBER(SEARCH(healthcare,C18)))&gt;0)</f>
        <v>0</v>
      </c>
      <c r="M18" s="14" cm="1">
        <f t="array" ref="M18">INT(SUMPRODUCT(--ISNUMBER(SEARCH(supreme,C18)))&gt;0)</f>
        <v>0</v>
      </c>
      <c r="N18" s="14" cm="1">
        <f t="array" ref="N18">INT(SUMPRODUCT(--ISNUMBER(SEARCH(covid,C18)))&gt;0)</f>
        <v>1</v>
      </c>
      <c r="O18" s="14" cm="1">
        <f t="array" ref="O18">INT(SUMPRODUCT(--ISNUMBER(SEARCH(violent,C18)))&gt;0)</f>
        <v>0</v>
      </c>
      <c r="P18" s="14" cm="1">
        <f t="array" ref="P18">INT(SUMPRODUCT(--ISNUMBER(SEARCH(foreign,C18)))&gt;0)</f>
        <v>0</v>
      </c>
      <c r="Q18" s="14" cm="1">
        <f t="array" ref="Q18">INT(SUMPRODUCT(--ISNUMBER(SEARCH(gun,C18)))&gt;0)</f>
        <v>0</v>
      </c>
      <c r="R18" s="14" cm="1">
        <f t="array" ref="R18">INT(SUMPRODUCT(--ISNUMBER(SEARCH(race,C18)))&gt;0)</f>
        <v>0</v>
      </c>
      <c r="S18" s="14" cm="1">
        <f t="array" ref="S18">INT(SUMPRODUCT(--ISNUMBER(SEARCH(immigration,C18)))&gt;0)</f>
        <v>0</v>
      </c>
      <c r="T18" s="14" cm="1">
        <f t="array" ref="T18">INT(SUMPRODUCT(--ISNUMBER(SEARCH(econineq,C19)))&gt;0)</f>
        <v>0</v>
      </c>
      <c r="U18" s="14" cm="1">
        <f t="array" ref="U18">INT(SUMPRODUCT(--ISNUMBER(SEARCH(climate,C18)))&gt;0)</f>
        <v>0</v>
      </c>
      <c r="V18" s="14" cm="1">
        <f t="array" ref="V18">INT(SUMPRODUCT(--ISNUMBER(SEARCH(abortion,C18)))&gt;0)</f>
        <v>0</v>
      </c>
      <c r="W18" s="14" cm="1">
        <f t="array" ref="W18">INT(SUMPRODUCT(--ISNUMBER(SEARCH(trump,C18)))&gt;0)</f>
        <v>0</v>
      </c>
      <c r="X18" s="14" cm="1">
        <f t="array" ref="X18">INT(SUMPRODUCT(--ISNUMBER(SEARCH(voting,C18)))&gt;0)</f>
        <v>1</v>
      </c>
      <c r="Y18" s="14" cm="1">
        <f t="array" ref="Y18">INT(SUMPRODUCT(--ISNUMBER(SEARCH(democrattrigger,C18)))&gt;0)</f>
        <v>0</v>
      </c>
      <c r="Z18" s="14" cm="1">
        <f t="array" ref="Z18">INT(SUMPRODUCT(--ISNUMBER(SEARCH(bipartisan,C18)))&gt;0)</f>
        <v>0</v>
      </c>
      <c r="AA18" s="14">
        <f t="shared" si="0"/>
        <v>0</v>
      </c>
      <c r="AB18" s="14"/>
      <c r="AC18" s="30" t="s">
        <v>223</v>
      </c>
      <c r="AD18" s="37" t="s">
        <v>223</v>
      </c>
    </row>
    <row r="19" spans="1:30" x14ac:dyDescent="0.25">
      <c r="A19" s="36">
        <v>3860</v>
      </c>
      <c r="B19" s="14" t="s">
        <v>7743</v>
      </c>
      <c r="C19" s="14" t="s">
        <v>7744</v>
      </c>
      <c r="D19" s="17">
        <v>44138</v>
      </c>
      <c r="E19" s="14" t="s">
        <v>30</v>
      </c>
      <c r="F19" s="14">
        <v>2238</v>
      </c>
      <c r="G19" s="14">
        <v>507</v>
      </c>
      <c r="H19" s="14">
        <v>18</v>
      </c>
      <c r="I19" s="14">
        <v>9</v>
      </c>
      <c r="J19" s="14" t="s">
        <v>204</v>
      </c>
      <c r="K19" s="14" cm="1">
        <f t="array" ref="K19">INT(SUMPRODUCT(--ISNUMBER(SEARCH(economy,C19)))&gt;0)</f>
        <v>0</v>
      </c>
      <c r="L19" s="14" cm="1">
        <f t="array" ref="L19">INT(SUMPRODUCT(--ISNUMBER(SEARCH(healthcare,C19)))&gt;0)</f>
        <v>0</v>
      </c>
      <c r="M19" s="14" cm="1">
        <f t="array" ref="M19">INT(SUMPRODUCT(--ISNUMBER(SEARCH(supreme,C19)))&gt;0)</f>
        <v>0</v>
      </c>
      <c r="N19" s="14" cm="1">
        <f t="array" ref="N19">INT(SUMPRODUCT(--ISNUMBER(SEARCH(covid,C19)))&gt;0)</f>
        <v>0</v>
      </c>
      <c r="O19" s="14" cm="1">
        <f t="array" ref="O19">INT(SUMPRODUCT(--ISNUMBER(SEARCH(violent,C19)))&gt;0)</f>
        <v>0</v>
      </c>
      <c r="P19" s="14" cm="1">
        <f t="array" ref="P19">INT(SUMPRODUCT(--ISNUMBER(SEARCH(foreign,C19)))&gt;0)</f>
        <v>0</v>
      </c>
      <c r="Q19" s="14" cm="1">
        <f t="array" ref="Q19">INT(SUMPRODUCT(--ISNUMBER(SEARCH(gun,C19)))&gt;0)</f>
        <v>0</v>
      </c>
      <c r="R19" s="14" cm="1">
        <f t="array" ref="R19">INT(SUMPRODUCT(--ISNUMBER(SEARCH(race,C19)))&gt;0)</f>
        <v>0</v>
      </c>
      <c r="S19" s="14" cm="1">
        <f t="array" ref="S19">INT(SUMPRODUCT(--ISNUMBER(SEARCH(immigration,C19)))&gt;0)</f>
        <v>0</v>
      </c>
      <c r="T19" s="14" cm="1">
        <f t="array" ref="T19">INT(SUMPRODUCT(--ISNUMBER(SEARCH(econineq,C20)))&gt;0)</f>
        <v>0</v>
      </c>
      <c r="U19" s="14" cm="1">
        <f t="array" ref="U19">INT(SUMPRODUCT(--ISNUMBER(SEARCH(climate,C19)))&gt;0)</f>
        <v>0</v>
      </c>
      <c r="V19" s="14" cm="1">
        <f t="array" ref="V19">INT(SUMPRODUCT(--ISNUMBER(SEARCH(abortion,C19)))&gt;0)</f>
        <v>0</v>
      </c>
      <c r="W19" s="14" cm="1">
        <f t="array" ref="W19">INT(SUMPRODUCT(--ISNUMBER(SEARCH(trump,C19)))&gt;0)</f>
        <v>0</v>
      </c>
      <c r="X19" s="14" cm="1">
        <f t="array" ref="X19">INT(SUMPRODUCT(--ISNUMBER(SEARCH(voting,C19)))&gt;0)</f>
        <v>1</v>
      </c>
      <c r="Y19" s="14" cm="1">
        <f t="array" ref="Y19">INT(SUMPRODUCT(--ISNUMBER(SEARCH(democrattrigger,C19)))&gt;0)</f>
        <v>0</v>
      </c>
      <c r="Z19" s="14" cm="1">
        <f t="array" ref="Z19">INT(SUMPRODUCT(--ISNUMBER(SEARCH(bipartisan,C19)))&gt;0)</f>
        <v>0</v>
      </c>
      <c r="AA19" s="14">
        <f t="shared" si="0"/>
        <v>0</v>
      </c>
      <c r="AB19" s="14"/>
      <c r="AC19" s="30" t="s">
        <v>223</v>
      </c>
      <c r="AD19" s="37" t="s">
        <v>223</v>
      </c>
    </row>
    <row r="20" spans="1:30" x14ac:dyDescent="0.25">
      <c r="A20" s="36">
        <v>3861</v>
      </c>
      <c r="B20" s="14" t="s">
        <v>7745</v>
      </c>
      <c r="C20" s="14" t="s">
        <v>7746</v>
      </c>
      <c r="D20" s="17">
        <v>44138</v>
      </c>
      <c r="E20" s="14" t="s">
        <v>30</v>
      </c>
      <c r="F20" s="14">
        <v>1467</v>
      </c>
      <c r="G20" s="14">
        <v>221</v>
      </c>
      <c r="H20" s="14">
        <v>18</v>
      </c>
      <c r="I20" s="14">
        <v>9</v>
      </c>
      <c r="J20" s="14" t="s">
        <v>204</v>
      </c>
      <c r="K20" s="14" cm="1">
        <f t="array" ref="K20">INT(SUMPRODUCT(--ISNUMBER(SEARCH(economy,C20)))&gt;0)</f>
        <v>0</v>
      </c>
      <c r="L20" s="14" cm="1">
        <f t="array" ref="L20">INT(SUMPRODUCT(--ISNUMBER(SEARCH(healthcare,C20)))&gt;0)</f>
        <v>0</v>
      </c>
      <c r="M20" s="14" cm="1">
        <f t="array" ref="M20">INT(SUMPRODUCT(--ISNUMBER(SEARCH(supreme,C20)))&gt;0)</f>
        <v>0</v>
      </c>
      <c r="N20" s="14" cm="1">
        <f t="array" ref="N20">INT(SUMPRODUCT(--ISNUMBER(SEARCH(covid,C20)))&gt;0)</f>
        <v>0</v>
      </c>
      <c r="O20" s="14" cm="1">
        <f t="array" ref="O20">INT(SUMPRODUCT(--ISNUMBER(SEARCH(violent,C20)))&gt;0)</f>
        <v>0</v>
      </c>
      <c r="P20" s="14" cm="1">
        <f t="array" ref="P20">INT(SUMPRODUCT(--ISNUMBER(SEARCH(foreign,C20)))&gt;0)</f>
        <v>0</v>
      </c>
      <c r="Q20" s="14" cm="1">
        <f t="array" ref="Q20">INT(SUMPRODUCT(--ISNUMBER(SEARCH(gun,C20)))&gt;0)</f>
        <v>0</v>
      </c>
      <c r="R20" s="14" cm="1">
        <f t="array" ref="R20">INT(SUMPRODUCT(--ISNUMBER(SEARCH(race,C20)))&gt;0)</f>
        <v>0</v>
      </c>
      <c r="S20" s="14" cm="1">
        <f t="array" ref="S20">INT(SUMPRODUCT(--ISNUMBER(SEARCH(immigration,C20)))&gt;0)</f>
        <v>0</v>
      </c>
      <c r="T20" s="14" cm="1">
        <f t="array" ref="T20">INT(SUMPRODUCT(--ISNUMBER(SEARCH(econineq,C21)))&gt;0)</f>
        <v>0</v>
      </c>
      <c r="U20" s="14" cm="1">
        <f t="array" ref="U20">INT(SUMPRODUCT(--ISNUMBER(SEARCH(climate,C20)))&gt;0)</f>
        <v>0</v>
      </c>
      <c r="V20" s="14" cm="1">
        <f t="array" ref="V20">INT(SUMPRODUCT(--ISNUMBER(SEARCH(abortion,C20)))&gt;0)</f>
        <v>0</v>
      </c>
      <c r="W20" s="14" cm="1">
        <f t="array" ref="W20">INT(SUMPRODUCT(--ISNUMBER(SEARCH(trump,C20)))&gt;0)</f>
        <v>0</v>
      </c>
      <c r="X20" s="14" cm="1">
        <f t="array" ref="X20">INT(SUMPRODUCT(--ISNUMBER(SEARCH(voting,C20)))&gt;0)</f>
        <v>1</v>
      </c>
      <c r="Y20" s="14" cm="1">
        <f t="array" ref="Y20">INT(SUMPRODUCT(--ISNUMBER(SEARCH(democrattrigger,C20)))&gt;0)</f>
        <v>0</v>
      </c>
      <c r="Z20" s="14" cm="1">
        <f t="array" ref="Z20">INT(SUMPRODUCT(--ISNUMBER(SEARCH(bipartisan,C20)))&gt;0)</f>
        <v>0</v>
      </c>
      <c r="AA20" s="14">
        <f t="shared" si="0"/>
        <v>0</v>
      </c>
      <c r="AB20" s="14"/>
      <c r="AC20" s="30">
        <v>1</v>
      </c>
      <c r="AD20" s="37">
        <v>0</v>
      </c>
    </row>
    <row r="21" spans="1:30" x14ac:dyDescent="0.25">
      <c r="A21" s="36">
        <v>3862</v>
      </c>
      <c r="B21" s="14" t="s">
        <v>7747</v>
      </c>
      <c r="C21" s="14" t="s">
        <v>7748</v>
      </c>
      <c r="D21" s="17">
        <v>44138</v>
      </c>
      <c r="E21" s="14" t="s">
        <v>30</v>
      </c>
      <c r="F21" s="14">
        <v>2730</v>
      </c>
      <c r="G21" s="14">
        <v>352</v>
      </c>
      <c r="H21" s="14">
        <v>18</v>
      </c>
      <c r="I21" s="14">
        <v>9</v>
      </c>
      <c r="J21" s="14" t="s">
        <v>204</v>
      </c>
      <c r="K21" s="14" cm="1">
        <f t="array" ref="K21">INT(SUMPRODUCT(--ISNUMBER(SEARCH(economy,C21)))&gt;0)</f>
        <v>0</v>
      </c>
      <c r="L21" s="14" cm="1">
        <f t="array" ref="L21">INT(SUMPRODUCT(--ISNUMBER(SEARCH(healthcare,C21)))&gt;0)</f>
        <v>0</v>
      </c>
      <c r="M21" s="14" cm="1">
        <f t="array" ref="M21">INT(SUMPRODUCT(--ISNUMBER(SEARCH(supreme,C21)))&gt;0)</f>
        <v>0</v>
      </c>
      <c r="N21" s="14" cm="1">
        <f t="array" ref="N21">INT(SUMPRODUCT(--ISNUMBER(SEARCH(covid,C21)))&gt;0)</f>
        <v>0</v>
      </c>
      <c r="O21" s="14" cm="1">
        <f t="array" ref="O21">INT(SUMPRODUCT(--ISNUMBER(SEARCH(violent,C21)))&gt;0)</f>
        <v>0</v>
      </c>
      <c r="P21" s="14" cm="1">
        <f t="array" ref="P21">INT(SUMPRODUCT(--ISNUMBER(SEARCH(foreign,C21)))&gt;0)</f>
        <v>0</v>
      </c>
      <c r="Q21" s="14" cm="1">
        <f t="array" ref="Q21">INT(SUMPRODUCT(--ISNUMBER(SEARCH(gun,C21)))&gt;0)</f>
        <v>0</v>
      </c>
      <c r="R21" s="14" cm="1">
        <f t="array" ref="R21">INT(SUMPRODUCT(--ISNUMBER(SEARCH(race,C21)))&gt;0)</f>
        <v>0</v>
      </c>
      <c r="S21" s="14" cm="1">
        <f t="array" ref="S21">INT(SUMPRODUCT(--ISNUMBER(SEARCH(immigration,C21)))&gt;0)</f>
        <v>0</v>
      </c>
      <c r="T21" s="14" cm="1">
        <f t="array" ref="T21">INT(SUMPRODUCT(--ISNUMBER(SEARCH(econineq,C22)))&gt;0)</f>
        <v>0</v>
      </c>
      <c r="U21" s="14" cm="1">
        <f t="array" ref="U21">INT(SUMPRODUCT(--ISNUMBER(SEARCH(climate,C21)))&gt;0)</f>
        <v>0</v>
      </c>
      <c r="V21" s="14" cm="1">
        <f t="array" ref="V21">INT(SUMPRODUCT(--ISNUMBER(SEARCH(abortion,C21)))&gt;0)</f>
        <v>0</v>
      </c>
      <c r="W21" s="14" cm="1">
        <f t="array" ref="W21">INT(SUMPRODUCT(--ISNUMBER(SEARCH(trump,C21)))&gt;0)</f>
        <v>0</v>
      </c>
      <c r="X21" s="14" cm="1">
        <f t="array" ref="X21">INT(SUMPRODUCT(--ISNUMBER(SEARCH(voting,C21)))&gt;0)</f>
        <v>0</v>
      </c>
      <c r="Y21" s="14" cm="1">
        <f t="array" ref="Y21">INT(SUMPRODUCT(--ISNUMBER(SEARCH(democrattrigger,C21)))&gt;0)</f>
        <v>0</v>
      </c>
      <c r="Z21" s="14" cm="1">
        <f t="array" ref="Z21">INT(SUMPRODUCT(--ISNUMBER(SEARCH(bipartisan,C21)))&gt;0)</f>
        <v>0</v>
      </c>
      <c r="AA21" s="14">
        <f t="shared" si="0"/>
        <v>1</v>
      </c>
      <c r="AB21" s="14"/>
      <c r="AC21" s="30">
        <v>1</v>
      </c>
      <c r="AD21" s="37">
        <v>0</v>
      </c>
    </row>
    <row r="22" spans="1:30" x14ac:dyDescent="0.25">
      <c r="A22" s="36">
        <v>3863</v>
      </c>
      <c r="B22" s="14" t="s">
        <v>7749</v>
      </c>
      <c r="C22" s="14" t="s">
        <v>7750</v>
      </c>
      <c r="D22" s="17">
        <v>44138</v>
      </c>
      <c r="E22" s="14" t="s">
        <v>30</v>
      </c>
      <c r="F22" s="14">
        <v>1770</v>
      </c>
      <c r="G22" s="14">
        <v>384</v>
      </c>
      <c r="H22" s="14">
        <v>18</v>
      </c>
      <c r="I22" s="14">
        <v>9</v>
      </c>
      <c r="J22" s="14" t="s">
        <v>204</v>
      </c>
      <c r="K22" s="14" cm="1">
        <f t="array" ref="K22">INT(SUMPRODUCT(--ISNUMBER(SEARCH(economy,C22)))&gt;0)</f>
        <v>0</v>
      </c>
      <c r="L22" s="14" cm="1">
        <f t="array" ref="L22">INT(SUMPRODUCT(--ISNUMBER(SEARCH(healthcare,C22)))&gt;0)</f>
        <v>0</v>
      </c>
      <c r="M22" s="14" cm="1">
        <f t="array" ref="M22">INT(SUMPRODUCT(--ISNUMBER(SEARCH(supreme,C22)))&gt;0)</f>
        <v>0</v>
      </c>
      <c r="N22" s="14" cm="1">
        <f t="array" ref="N22">INT(SUMPRODUCT(--ISNUMBER(SEARCH(covid,C22)))&gt;0)</f>
        <v>0</v>
      </c>
      <c r="O22" s="14" cm="1">
        <f t="array" ref="O22">INT(SUMPRODUCT(--ISNUMBER(SEARCH(violent,C22)))&gt;0)</f>
        <v>0</v>
      </c>
      <c r="P22" s="14" cm="1">
        <f t="array" ref="P22">INT(SUMPRODUCT(--ISNUMBER(SEARCH(foreign,C22)))&gt;0)</f>
        <v>0</v>
      </c>
      <c r="Q22" s="14" cm="1">
        <f t="array" ref="Q22">INT(SUMPRODUCT(--ISNUMBER(SEARCH(gun,C22)))&gt;0)</f>
        <v>0</v>
      </c>
      <c r="R22" s="14" cm="1">
        <f t="array" ref="R22">INT(SUMPRODUCT(--ISNUMBER(SEARCH(race,C22)))&gt;0)</f>
        <v>0</v>
      </c>
      <c r="S22" s="14" cm="1">
        <f t="array" ref="S22">INT(SUMPRODUCT(--ISNUMBER(SEARCH(immigration,C22)))&gt;0)</f>
        <v>0</v>
      </c>
      <c r="T22" s="14" cm="1">
        <f t="array" ref="T22">INT(SUMPRODUCT(--ISNUMBER(SEARCH(econineq,C23)))&gt;0)</f>
        <v>0</v>
      </c>
      <c r="U22" s="14" cm="1">
        <f t="array" ref="U22">INT(SUMPRODUCT(--ISNUMBER(SEARCH(climate,C22)))&gt;0)</f>
        <v>0</v>
      </c>
      <c r="V22" s="14" cm="1">
        <f t="array" ref="V22">INT(SUMPRODUCT(--ISNUMBER(SEARCH(abortion,C22)))&gt;0)</f>
        <v>0</v>
      </c>
      <c r="W22" s="14" cm="1">
        <f t="array" ref="W22">INT(SUMPRODUCT(--ISNUMBER(SEARCH(trump,C22)))&gt;0)</f>
        <v>0</v>
      </c>
      <c r="X22" s="14" cm="1">
        <f t="array" ref="X22">INT(SUMPRODUCT(--ISNUMBER(SEARCH(voting,C22)))&gt;0)</f>
        <v>0</v>
      </c>
      <c r="Y22" s="14" cm="1">
        <f t="array" ref="Y22">INT(SUMPRODUCT(--ISNUMBER(SEARCH(democrattrigger,C22)))&gt;0)</f>
        <v>1</v>
      </c>
      <c r="Z22" s="14" cm="1">
        <f t="array" ref="Z22">INT(SUMPRODUCT(--ISNUMBER(SEARCH(bipartisan,C22)))&gt;0)</f>
        <v>0</v>
      </c>
      <c r="AA22" s="14">
        <f t="shared" si="0"/>
        <v>0</v>
      </c>
      <c r="AB22" s="14"/>
      <c r="AC22" s="30">
        <v>0</v>
      </c>
      <c r="AD22" s="37">
        <v>1</v>
      </c>
    </row>
    <row r="23" spans="1:30" x14ac:dyDescent="0.25">
      <c r="A23" s="36">
        <v>3864</v>
      </c>
      <c r="B23" s="14" t="s">
        <v>7751</v>
      </c>
      <c r="C23" s="14" t="s">
        <v>7752</v>
      </c>
      <c r="D23" s="17">
        <v>44138</v>
      </c>
      <c r="E23" s="14" t="s">
        <v>30</v>
      </c>
      <c r="F23" s="14">
        <v>812</v>
      </c>
      <c r="G23" s="14">
        <v>288</v>
      </c>
      <c r="H23" s="14">
        <v>18</v>
      </c>
      <c r="I23" s="14">
        <v>9</v>
      </c>
      <c r="J23" s="14" t="s">
        <v>204</v>
      </c>
      <c r="K23" s="14" cm="1">
        <f t="array" ref="K23">INT(SUMPRODUCT(--ISNUMBER(SEARCH(economy,C23)))&gt;0)</f>
        <v>0</v>
      </c>
      <c r="L23" s="14" cm="1">
        <f t="array" ref="L23">INT(SUMPRODUCT(--ISNUMBER(SEARCH(healthcare,C23)))&gt;0)</f>
        <v>0</v>
      </c>
      <c r="M23" s="14" cm="1">
        <f t="array" ref="M23">INT(SUMPRODUCT(--ISNUMBER(SEARCH(supreme,C23)))&gt;0)</f>
        <v>0</v>
      </c>
      <c r="N23" s="14" cm="1">
        <f t="array" ref="N23">INT(SUMPRODUCT(--ISNUMBER(SEARCH(covid,C23)))&gt;0)</f>
        <v>0</v>
      </c>
      <c r="O23" s="14" cm="1">
        <f t="array" ref="O23">INT(SUMPRODUCT(--ISNUMBER(SEARCH(violent,C23)))&gt;0)</f>
        <v>0</v>
      </c>
      <c r="P23" s="14" cm="1">
        <f t="array" ref="P23">INT(SUMPRODUCT(--ISNUMBER(SEARCH(foreign,C23)))&gt;0)</f>
        <v>0</v>
      </c>
      <c r="Q23" s="14" cm="1">
        <f t="array" ref="Q23">INT(SUMPRODUCT(--ISNUMBER(SEARCH(gun,C23)))&gt;0)</f>
        <v>0</v>
      </c>
      <c r="R23" s="14" cm="1">
        <f t="array" ref="R23">INT(SUMPRODUCT(--ISNUMBER(SEARCH(race,C23)))&gt;0)</f>
        <v>0</v>
      </c>
      <c r="S23" s="14" cm="1">
        <f t="array" ref="S23">INT(SUMPRODUCT(--ISNUMBER(SEARCH(immigration,C23)))&gt;0)</f>
        <v>0</v>
      </c>
      <c r="T23" s="14" cm="1">
        <f t="array" ref="T23">INT(SUMPRODUCT(--ISNUMBER(SEARCH(econineq,C24)))&gt;0)</f>
        <v>0</v>
      </c>
      <c r="U23" s="14" cm="1">
        <f t="array" ref="U23">INT(SUMPRODUCT(--ISNUMBER(SEARCH(climate,C23)))&gt;0)</f>
        <v>0</v>
      </c>
      <c r="V23" s="14" cm="1">
        <f t="array" ref="V23">INT(SUMPRODUCT(--ISNUMBER(SEARCH(abortion,C23)))&gt;0)</f>
        <v>0</v>
      </c>
      <c r="W23" s="14" cm="1">
        <f t="array" ref="W23">INT(SUMPRODUCT(--ISNUMBER(SEARCH(trump,C23)))&gt;0)</f>
        <v>0</v>
      </c>
      <c r="X23" s="14" cm="1">
        <f t="array" ref="X23">INT(SUMPRODUCT(--ISNUMBER(SEARCH(voting,C23)))&gt;0)</f>
        <v>1</v>
      </c>
      <c r="Y23" s="14" cm="1">
        <f t="array" ref="Y23">INT(SUMPRODUCT(--ISNUMBER(SEARCH(democrattrigger,C23)))&gt;0)</f>
        <v>0</v>
      </c>
      <c r="Z23" s="14" cm="1">
        <f t="array" ref="Z23">INT(SUMPRODUCT(--ISNUMBER(SEARCH(bipartisan,C23)))&gt;0)</f>
        <v>0</v>
      </c>
      <c r="AA23" s="14">
        <f t="shared" si="0"/>
        <v>0</v>
      </c>
      <c r="AB23" s="14"/>
      <c r="AC23" s="30" t="s">
        <v>223</v>
      </c>
      <c r="AD23" s="37" t="s">
        <v>223</v>
      </c>
    </row>
    <row r="24" spans="1:30" x14ac:dyDescent="0.25">
      <c r="A24" s="36">
        <v>3865</v>
      </c>
      <c r="B24" s="14" t="s">
        <v>7753</v>
      </c>
      <c r="C24" s="14" t="s">
        <v>7754</v>
      </c>
      <c r="D24" s="17">
        <v>44138</v>
      </c>
      <c r="E24" s="14" t="s">
        <v>30</v>
      </c>
      <c r="F24" s="14">
        <v>1050</v>
      </c>
      <c r="G24" s="14">
        <v>284</v>
      </c>
      <c r="H24" s="14">
        <v>18</v>
      </c>
      <c r="I24" s="14">
        <v>9</v>
      </c>
      <c r="J24" s="14" t="s">
        <v>204</v>
      </c>
      <c r="K24" s="14" cm="1">
        <f t="array" ref="K24">INT(SUMPRODUCT(--ISNUMBER(SEARCH(economy,C24)))&gt;0)</f>
        <v>0</v>
      </c>
      <c r="L24" s="14" cm="1">
        <f t="array" ref="L24">INT(SUMPRODUCT(--ISNUMBER(SEARCH(healthcare,C24)))&gt;0)</f>
        <v>0</v>
      </c>
      <c r="M24" s="14" cm="1">
        <f t="array" ref="M24">INT(SUMPRODUCT(--ISNUMBER(SEARCH(supreme,C24)))&gt;0)</f>
        <v>0</v>
      </c>
      <c r="N24" s="14" cm="1">
        <f t="array" ref="N24">INT(SUMPRODUCT(--ISNUMBER(SEARCH(covid,C24)))&gt;0)</f>
        <v>0</v>
      </c>
      <c r="O24" s="14" cm="1">
        <f t="array" ref="O24">INT(SUMPRODUCT(--ISNUMBER(SEARCH(violent,C24)))&gt;0)</f>
        <v>0</v>
      </c>
      <c r="P24" s="14" cm="1">
        <f t="array" ref="P24">INT(SUMPRODUCT(--ISNUMBER(SEARCH(foreign,C24)))&gt;0)</f>
        <v>0</v>
      </c>
      <c r="Q24" s="14" cm="1">
        <f t="array" ref="Q24">INT(SUMPRODUCT(--ISNUMBER(SEARCH(gun,C24)))&gt;0)</f>
        <v>0</v>
      </c>
      <c r="R24" s="14" cm="1">
        <f t="array" ref="R24">INT(SUMPRODUCT(--ISNUMBER(SEARCH(race,C24)))&gt;0)</f>
        <v>0</v>
      </c>
      <c r="S24" s="14" cm="1">
        <f t="array" ref="S24">INT(SUMPRODUCT(--ISNUMBER(SEARCH(immigration,C24)))&gt;0)</f>
        <v>0</v>
      </c>
      <c r="T24" s="14" cm="1">
        <f t="array" ref="T24">INT(SUMPRODUCT(--ISNUMBER(SEARCH(econineq,C25)))&gt;0)</f>
        <v>0</v>
      </c>
      <c r="U24" s="14" cm="1">
        <f t="array" ref="U24">INT(SUMPRODUCT(--ISNUMBER(SEARCH(climate,C24)))&gt;0)</f>
        <v>0</v>
      </c>
      <c r="V24" s="14" cm="1">
        <f t="array" ref="V24">INT(SUMPRODUCT(--ISNUMBER(SEARCH(abortion,C24)))&gt;0)</f>
        <v>0</v>
      </c>
      <c r="W24" s="14" cm="1">
        <f t="array" ref="W24">INT(SUMPRODUCT(--ISNUMBER(SEARCH(trump,C24)))&gt;0)</f>
        <v>0</v>
      </c>
      <c r="X24" s="14" cm="1">
        <f t="array" ref="X24">INT(SUMPRODUCT(--ISNUMBER(SEARCH(voting,C24)))&gt;0)</f>
        <v>1</v>
      </c>
      <c r="Y24" s="14" cm="1">
        <f t="array" ref="Y24">INT(SUMPRODUCT(--ISNUMBER(SEARCH(democrattrigger,C24)))&gt;0)</f>
        <v>0</v>
      </c>
      <c r="Z24" s="14" cm="1">
        <f t="array" ref="Z24">INT(SUMPRODUCT(--ISNUMBER(SEARCH(bipartisan,C24)))&gt;0)</f>
        <v>0</v>
      </c>
      <c r="AA24" s="14">
        <f t="shared" si="0"/>
        <v>0</v>
      </c>
      <c r="AB24" s="14"/>
      <c r="AC24" s="30" t="s">
        <v>223</v>
      </c>
      <c r="AD24" s="37" t="s">
        <v>223</v>
      </c>
    </row>
    <row r="25" spans="1:30" x14ac:dyDescent="0.25">
      <c r="A25" s="36">
        <v>3866</v>
      </c>
      <c r="B25" s="14" t="s">
        <v>7755</v>
      </c>
      <c r="C25" s="14" t="s">
        <v>7756</v>
      </c>
      <c r="D25" s="17">
        <v>44138</v>
      </c>
      <c r="E25" s="14" t="s">
        <v>30</v>
      </c>
      <c r="F25" s="14">
        <v>3021</v>
      </c>
      <c r="G25" s="14">
        <v>378</v>
      </c>
      <c r="H25" s="14">
        <v>18</v>
      </c>
      <c r="I25" s="14">
        <v>9</v>
      </c>
      <c r="J25" s="14" t="s">
        <v>204</v>
      </c>
      <c r="K25" s="14" cm="1">
        <f t="array" ref="K25">INT(SUMPRODUCT(--ISNUMBER(SEARCH(economy,C25)))&gt;0)</f>
        <v>0</v>
      </c>
      <c r="L25" s="14" cm="1">
        <f t="array" ref="L25">INT(SUMPRODUCT(--ISNUMBER(SEARCH(healthcare,C25)))&gt;0)</f>
        <v>0</v>
      </c>
      <c r="M25" s="14" cm="1">
        <f t="array" ref="M25">INT(SUMPRODUCT(--ISNUMBER(SEARCH(supreme,C25)))&gt;0)</f>
        <v>0</v>
      </c>
      <c r="N25" s="14" cm="1">
        <f t="array" ref="N25">INT(SUMPRODUCT(--ISNUMBER(SEARCH(covid,C25)))&gt;0)</f>
        <v>0</v>
      </c>
      <c r="O25" s="14" cm="1">
        <f t="array" ref="O25">INT(SUMPRODUCT(--ISNUMBER(SEARCH(violent,C25)))&gt;0)</f>
        <v>0</v>
      </c>
      <c r="P25" s="14" cm="1">
        <f t="array" ref="P25">INT(SUMPRODUCT(--ISNUMBER(SEARCH(foreign,C25)))&gt;0)</f>
        <v>0</v>
      </c>
      <c r="Q25" s="14" cm="1">
        <f t="array" ref="Q25">INT(SUMPRODUCT(--ISNUMBER(SEARCH(gun,C25)))&gt;0)</f>
        <v>0</v>
      </c>
      <c r="R25" s="14" cm="1">
        <f t="array" ref="R25">INT(SUMPRODUCT(--ISNUMBER(SEARCH(race,C25)))&gt;0)</f>
        <v>0</v>
      </c>
      <c r="S25" s="14" cm="1">
        <f t="array" ref="S25">INT(SUMPRODUCT(--ISNUMBER(SEARCH(immigration,C25)))&gt;0)</f>
        <v>0</v>
      </c>
      <c r="T25" s="14" cm="1">
        <f t="array" ref="T25">INT(SUMPRODUCT(--ISNUMBER(SEARCH(econineq,C26)))&gt;0)</f>
        <v>0</v>
      </c>
      <c r="U25" s="14" cm="1">
        <f t="array" ref="U25">INT(SUMPRODUCT(--ISNUMBER(SEARCH(climate,C25)))&gt;0)</f>
        <v>0</v>
      </c>
      <c r="V25" s="14" cm="1">
        <f t="array" ref="V25">INT(SUMPRODUCT(--ISNUMBER(SEARCH(abortion,C25)))&gt;0)</f>
        <v>0</v>
      </c>
      <c r="W25" s="14" cm="1">
        <f t="array" ref="W25">INT(SUMPRODUCT(--ISNUMBER(SEARCH(trump,C25)))&gt;0)</f>
        <v>0</v>
      </c>
      <c r="X25" s="14" cm="1">
        <f t="array" ref="X25">INT(SUMPRODUCT(--ISNUMBER(SEARCH(voting,C25)))&gt;0)</f>
        <v>1</v>
      </c>
      <c r="Y25" s="14" cm="1">
        <f t="array" ref="Y25">INT(SUMPRODUCT(--ISNUMBER(SEARCH(democrattrigger,C25)))&gt;0)</f>
        <v>0</v>
      </c>
      <c r="Z25" s="14" cm="1">
        <f t="array" ref="Z25">INT(SUMPRODUCT(--ISNUMBER(SEARCH(bipartisan,C25)))&gt;0)</f>
        <v>0</v>
      </c>
      <c r="AA25" s="14">
        <f t="shared" si="0"/>
        <v>0</v>
      </c>
      <c r="AB25" s="14"/>
      <c r="AC25" s="30" t="s">
        <v>223</v>
      </c>
      <c r="AD25" s="37" t="s">
        <v>223</v>
      </c>
    </row>
    <row r="26" spans="1:30" x14ac:dyDescent="0.25">
      <c r="A26" s="36">
        <v>3867</v>
      </c>
      <c r="B26" s="14" t="s">
        <v>7757</v>
      </c>
      <c r="C26" s="14" t="s">
        <v>7758</v>
      </c>
      <c r="D26" s="17">
        <v>44138</v>
      </c>
      <c r="E26" s="14" t="s">
        <v>30</v>
      </c>
      <c r="F26" s="14">
        <v>4729</v>
      </c>
      <c r="G26" s="14">
        <v>1052</v>
      </c>
      <c r="H26" s="14">
        <v>18</v>
      </c>
      <c r="I26" s="14">
        <v>9</v>
      </c>
      <c r="J26" s="14" t="s">
        <v>204</v>
      </c>
      <c r="K26" s="14" cm="1">
        <f t="array" ref="K26">INT(SUMPRODUCT(--ISNUMBER(SEARCH(economy,C26)))&gt;0)</f>
        <v>0</v>
      </c>
      <c r="L26" s="14" cm="1">
        <f t="array" ref="L26">INT(SUMPRODUCT(--ISNUMBER(SEARCH(healthcare,C26)))&gt;0)</f>
        <v>0</v>
      </c>
      <c r="M26" s="14" cm="1">
        <f t="array" ref="M26">INT(SUMPRODUCT(--ISNUMBER(SEARCH(supreme,C26)))&gt;0)</f>
        <v>0</v>
      </c>
      <c r="N26" s="14" cm="1">
        <f t="array" ref="N26">INT(SUMPRODUCT(--ISNUMBER(SEARCH(covid,C26)))&gt;0)</f>
        <v>0</v>
      </c>
      <c r="O26" s="14" cm="1">
        <f t="array" ref="O26">INT(SUMPRODUCT(--ISNUMBER(SEARCH(violent,C26)))&gt;0)</f>
        <v>0</v>
      </c>
      <c r="P26" s="14" cm="1">
        <f t="array" ref="P26">INT(SUMPRODUCT(--ISNUMBER(SEARCH(foreign,C26)))&gt;0)</f>
        <v>0</v>
      </c>
      <c r="Q26" s="14" cm="1">
        <f t="array" ref="Q26">INT(SUMPRODUCT(--ISNUMBER(SEARCH(gun,C26)))&gt;0)</f>
        <v>0</v>
      </c>
      <c r="R26" s="14" cm="1">
        <f t="array" ref="R26">INT(SUMPRODUCT(--ISNUMBER(SEARCH(race,C26)))&gt;0)</f>
        <v>0</v>
      </c>
      <c r="S26" s="14" cm="1">
        <f t="array" ref="S26">INT(SUMPRODUCT(--ISNUMBER(SEARCH(immigration,C26)))&gt;0)</f>
        <v>0</v>
      </c>
      <c r="T26" s="14" cm="1">
        <f t="array" ref="T26">INT(SUMPRODUCT(--ISNUMBER(SEARCH(econineq,C27)))&gt;0)</f>
        <v>0</v>
      </c>
      <c r="U26" s="14" cm="1">
        <f t="array" ref="U26">INT(SUMPRODUCT(--ISNUMBER(SEARCH(climate,C26)))&gt;0)</f>
        <v>0</v>
      </c>
      <c r="V26" s="14" cm="1">
        <f t="array" ref="V26">INT(SUMPRODUCT(--ISNUMBER(SEARCH(abortion,C26)))&gt;0)</f>
        <v>0</v>
      </c>
      <c r="W26" s="14" cm="1">
        <f t="array" ref="W26">INT(SUMPRODUCT(--ISNUMBER(SEARCH(trump,C26)))&gt;0)</f>
        <v>0</v>
      </c>
      <c r="X26" s="14" cm="1">
        <f t="array" ref="X26">INT(SUMPRODUCT(--ISNUMBER(SEARCH(voting,C26)))&gt;0)</f>
        <v>0</v>
      </c>
      <c r="Y26" s="14" cm="1">
        <f t="array" ref="Y26">INT(SUMPRODUCT(--ISNUMBER(SEARCH(democrattrigger,C26)))&gt;0)</f>
        <v>0</v>
      </c>
      <c r="Z26" s="14" cm="1">
        <f t="array" ref="Z26">INT(SUMPRODUCT(--ISNUMBER(SEARCH(bipartisan,C26)))&gt;0)</f>
        <v>0</v>
      </c>
      <c r="AA26" s="14">
        <f t="shared" si="0"/>
        <v>1</v>
      </c>
      <c r="AB26" s="14"/>
      <c r="AC26" s="30" t="s">
        <v>223</v>
      </c>
      <c r="AD26" s="37" t="s">
        <v>223</v>
      </c>
    </row>
    <row r="27" spans="1:30" x14ac:dyDescent="0.25">
      <c r="A27" s="36">
        <v>3868</v>
      </c>
      <c r="B27" s="14" t="s">
        <v>7759</v>
      </c>
      <c r="C27" s="14" t="s">
        <v>7760</v>
      </c>
      <c r="D27" s="17">
        <v>44138</v>
      </c>
      <c r="E27" s="14" t="s">
        <v>30</v>
      </c>
      <c r="F27" s="14">
        <v>3313</v>
      </c>
      <c r="G27" s="14">
        <v>1065</v>
      </c>
      <c r="H27" s="14">
        <v>18</v>
      </c>
      <c r="I27" s="14">
        <v>9</v>
      </c>
      <c r="J27" s="14" t="s">
        <v>204</v>
      </c>
      <c r="K27" s="14" cm="1">
        <f t="array" ref="K27">INT(SUMPRODUCT(--ISNUMBER(SEARCH(economy,C27)))&gt;0)</f>
        <v>0</v>
      </c>
      <c r="L27" s="14" cm="1">
        <f t="array" ref="L27">INT(SUMPRODUCT(--ISNUMBER(SEARCH(healthcare,C27)))&gt;0)</f>
        <v>0</v>
      </c>
      <c r="M27" s="14" cm="1">
        <f t="array" ref="M27">INT(SUMPRODUCT(--ISNUMBER(SEARCH(supreme,C27)))&gt;0)</f>
        <v>0</v>
      </c>
      <c r="N27" s="14" cm="1">
        <f t="array" ref="N27">INT(SUMPRODUCT(--ISNUMBER(SEARCH(covid,C27)))&gt;0)</f>
        <v>0</v>
      </c>
      <c r="O27" s="14" cm="1">
        <f t="array" ref="O27">INT(SUMPRODUCT(--ISNUMBER(SEARCH(violent,C27)))&gt;0)</f>
        <v>0</v>
      </c>
      <c r="P27" s="14" cm="1">
        <f t="array" ref="P27">INT(SUMPRODUCT(--ISNUMBER(SEARCH(foreign,C27)))&gt;0)</f>
        <v>0</v>
      </c>
      <c r="Q27" s="14" cm="1">
        <f t="array" ref="Q27">INT(SUMPRODUCT(--ISNUMBER(SEARCH(gun,C27)))&gt;0)</f>
        <v>0</v>
      </c>
      <c r="R27" s="14" cm="1">
        <f t="array" ref="R27">INT(SUMPRODUCT(--ISNUMBER(SEARCH(race,C27)))&gt;0)</f>
        <v>0</v>
      </c>
      <c r="S27" s="14" cm="1">
        <f t="array" ref="S27">INT(SUMPRODUCT(--ISNUMBER(SEARCH(immigration,C27)))&gt;0)</f>
        <v>0</v>
      </c>
      <c r="T27" s="14" cm="1">
        <f t="array" ref="T27">INT(SUMPRODUCT(--ISNUMBER(SEARCH(econineq,C28)))&gt;0)</f>
        <v>0</v>
      </c>
      <c r="U27" s="14" cm="1">
        <f t="array" ref="U27">INT(SUMPRODUCT(--ISNUMBER(SEARCH(climate,C27)))&gt;0)</f>
        <v>0</v>
      </c>
      <c r="V27" s="14" cm="1">
        <f t="array" ref="V27">INT(SUMPRODUCT(--ISNUMBER(SEARCH(abortion,C27)))&gt;0)</f>
        <v>0</v>
      </c>
      <c r="W27" s="14" cm="1">
        <f t="array" ref="W27">INT(SUMPRODUCT(--ISNUMBER(SEARCH(trump,C27)))&gt;0)</f>
        <v>0</v>
      </c>
      <c r="X27" s="14" cm="1">
        <f t="array" ref="X27">INT(SUMPRODUCT(--ISNUMBER(SEARCH(voting,C27)))&gt;0)</f>
        <v>1</v>
      </c>
      <c r="Y27" s="14" cm="1">
        <f t="array" ref="Y27">INT(SUMPRODUCT(--ISNUMBER(SEARCH(democrattrigger,C27)))&gt;0)</f>
        <v>0</v>
      </c>
      <c r="Z27" s="14" cm="1">
        <f t="array" ref="Z27">INT(SUMPRODUCT(--ISNUMBER(SEARCH(bipartisan,C27)))&gt;0)</f>
        <v>0</v>
      </c>
      <c r="AA27" s="14">
        <f t="shared" si="0"/>
        <v>0</v>
      </c>
      <c r="AB27" s="14"/>
      <c r="AC27" s="30" t="s">
        <v>223</v>
      </c>
      <c r="AD27" s="37" t="s">
        <v>223</v>
      </c>
    </row>
    <row r="28" spans="1:30" x14ac:dyDescent="0.25">
      <c r="A28" s="36">
        <v>3869</v>
      </c>
      <c r="B28" s="14" t="s">
        <v>7761</v>
      </c>
      <c r="C28" s="14" t="s">
        <v>7762</v>
      </c>
      <c r="D28" s="17">
        <v>44137</v>
      </c>
      <c r="E28" s="14" t="s">
        <v>30</v>
      </c>
      <c r="F28" s="14">
        <v>1101</v>
      </c>
      <c r="G28" s="14">
        <v>310</v>
      </c>
      <c r="H28" s="14">
        <v>18</v>
      </c>
      <c r="I28" s="14">
        <v>9</v>
      </c>
      <c r="J28" s="14" t="s">
        <v>204</v>
      </c>
      <c r="K28" s="14" cm="1">
        <f t="array" ref="K28">INT(SUMPRODUCT(--ISNUMBER(SEARCH(economy,C28)))&gt;0)</f>
        <v>0</v>
      </c>
      <c r="L28" s="14" cm="1">
        <f t="array" ref="L28">INT(SUMPRODUCT(--ISNUMBER(SEARCH(healthcare,C28)))&gt;0)</f>
        <v>0</v>
      </c>
      <c r="M28" s="14" cm="1">
        <f t="array" ref="M28">INT(SUMPRODUCT(--ISNUMBER(SEARCH(supreme,C28)))&gt;0)</f>
        <v>0</v>
      </c>
      <c r="N28" s="14" cm="1">
        <f t="array" ref="N28">INT(SUMPRODUCT(--ISNUMBER(SEARCH(covid,C28)))&gt;0)</f>
        <v>0</v>
      </c>
      <c r="O28" s="14" cm="1">
        <f t="array" ref="O28">INT(SUMPRODUCT(--ISNUMBER(SEARCH(violent,C28)))&gt;0)</f>
        <v>0</v>
      </c>
      <c r="P28" s="14" cm="1">
        <f t="array" ref="P28">INT(SUMPRODUCT(--ISNUMBER(SEARCH(foreign,C28)))&gt;0)</f>
        <v>0</v>
      </c>
      <c r="Q28" s="14" cm="1">
        <f t="array" ref="Q28">INT(SUMPRODUCT(--ISNUMBER(SEARCH(gun,C28)))&gt;0)</f>
        <v>0</v>
      </c>
      <c r="R28" s="14" cm="1">
        <f t="array" ref="R28">INT(SUMPRODUCT(--ISNUMBER(SEARCH(race,C28)))&gt;0)</f>
        <v>0</v>
      </c>
      <c r="S28" s="14" cm="1">
        <f t="array" ref="S28">INT(SUMPRODUCT(--ISNUMBER(SEARCH(immigration,C28)))&gt;0)</f>
        <v>0</v>
      </c>
      <c r="T28" s="14" cm="1">
        <f t="array" ref="T28">INT(SUMPRODUCT(--ISNUMBER(SEARCH(econineq,C29)))&gt;0)</f>
        <v>0</v>
      </c>
      <c r="U28" s="14" cm="1">
        <f t="array" ref="U28">INT(SUMPRODUCT(--ISNUMBER(SEARCH(climate,C28)))&gt;0)</f>
        <v>0</v>
      </c>
      <c r="V28" s="14" cm="1">
        <f t="array" ref="V28">INT(SUMPRODUCT(--ISNUMBER(SEARCH(abortion,C28)))&gt;0)</f>
        <v>0</v>
      </c>
      <c r="W28" s="14" cm="1">
        <f t="array" ref="W28">INT(SUMPRODUCT(--ISNUMBER(SEARCH(trump,C28)))&gt;0)</f>
        <v>0</v>
      </c>
      <c r="X28" s="14" cm="1">
        <f t="array" ref="X28">INT(SUMPRODUCT(--ISNUMBER(SEARCH(voting,C28)))&gt;0)</f>
        <v>1</v>
      </c>
      <c r="Y28" s="14" cm="1">
        <f t="array" ref="Y28">INT(SUMPRODUCT(--ISNUMBER(SEARCH(democrattrigger,C28)))&gt;0)</f>
        <v>0</v>
      </c>
      <c r="Z28" s="14" cm="1">
        <f t="array" ref="Z28">INT(SUMPRODUCT(--ISNUMBER(SEARCH(bipartisan,C28)))&gt;0)</f>
        <v>0</v>
      </c>
      <c r="AA28" s="14">
        <f t="shared" si="0"/>
        <v>0</v>
      </c>
      <c r="AB28" s="14"/>
      <c r="AC28" s="30">
        <v>0</v>
      </c>
      <c r="AD28" s="37">
        <v>1</v>
      </c>
    </row>
    <row r="29" spans="1:30" x14ac:dyDescent="0.25">
      <c r="A29" s="36">
        <v>3870</v>
      </c>
      <c r="B29" s="14" t="s">
        <v>7763</v>
      </c>
      <c r="C29" s="14" t="s">
        <v>7764</v>
      </c>
      <c r="D29" s="17">
        <v>44137</v>
      </c>
      <c r="E29" s="14" t="s">
        <v>30</v>
      </c>
      <c r="F29" s="14">
        <v>1520</v>
      </c>
      <c r="G29" s="14">
        <v>291</v>
      </c>
      <c r="H29" s="14">
        <v>18</v>
      </c>
      <c r="I29" s="14">
        <v>9</v>
      </c>
      <c r="J29" s="14" t="s">
        <v>204</v>
      </c>
      <c r="K29" s="14" cm="1">
        <f t="array" ref="K29">INT(SUMPRODUCT(--ISNUMBER(SEARCH(economy,C29)))&gt;0)</f>
        <v>0</v>
      </c>
      <c r="L29" s="14" cm="1">
        <f t="array" ref="L29">INT(SUMPRODUCT(--ISNUMBER(SEARCH(healthcare,C29)))&gt;0)</f>
        <v>0</v>
      </c>
      <c r="M29" s="14" cm="1">
        <f t="array" ref="M29">INT(SUMPRODUCT(--ISNUMBER(SEARCH(supreme,C29)))&gt;0)</f>
        <v>0</v>
      </c>
      <c r="N29" s="14" cm="1">
        <f t="array" ref="N29">INT(SUMPRODUCT(--ISNUMBER(SEARCH(covid,C29)))&gt;0)</f>
        <v>0</v>
      </c>
      <c r="O29" s="14" cm="1">
        <f t="array" ref="O29">INT(SUMPRODUCT(--ISNUMBER(SEARCH(violent,C29)))&gt;0)</f>
        <v>0</v>
      </c>
      <c r="P29" s="14" cm="1">
        <f t="array" ref="P29">INT(SUMPRODUCT(--ISNUMBER(SEARCH(foreign,C29)))&gt;0)</f>
        <v>0</v>
      </c>
      <c r="Q29" s="14" cm="1">
        <f t="array" ref="Q29">INT(SUMPRODUCT(--ISNUMBER(SEARCH(gun,C29)))&gt;0)</f>
        <v>0</v>
      </c>
      <c r="R29" s="14" cm="1">
        <f t="array" ref="R29">INT(SUMPRODUCT(--ISNUMBER(SEARCH(race,C29)))&gt;0)</f>
        <v>0</v>
      </c>
      <c r="S29" s="14" cm="1">
        <f t="array" ref="S29">INT(SUMPRODUCT(--ISNUMBER(SEARCH(immigration,C29)))&gt;0)</f>
        <v>0</v>
      </c>
      <c r="T29" s="14" cm="1">
        <f t="array" ref="T29">INT(SUMPRODUCT(--ISNUMBER(SEARCH(econineq,C30)))&gt;0)</f>
        <v>0</v>
      </c>
      <c r="U29" s="14" cm="1">
        <f t="array" ref="U29">INT(SUMPRODUCT(--ISNUMBER(SEARCH(climate,C29)))&gt;0)</f>
        <v>0</v>
      </c>
      <c r="V29" s="14" cm="1">
        <f t="array" ref="V29">INT(SUMPRODUCT(--ISNUMBER(SEARCH(abortion,C29)))&gt;0)</f>
        <v>0</v>
      </c>
      <c r="W29" s="14" cm="1">
        <f t="array" ref="W29">INT(SUMPRODUCT(--ISNUMBER(SEARCH(trump,C29)))&gt;0)</f>
        <v>0</v>
      </c>
      <c r="X29" s="14" cm="1">
        <f t="array" ref="X29">INT(SUMPRODUCT(--ISNUMBER(SEARCH(voting,C29)))&gt;0)</f>
        <v>1</v>
      </c>
      <c r="Y29" s="14" cm="1">
        <f t="array" ref="Y29">INT(SUMPRODUCT(--ISNUMBER(SEARCH(democrattrigger,C29)))&gt;0)</f>
        <v>0</v>
      </c>
      <c r="Z29" s="14" cm="1">
        <f t="array" ref="Z29">INT(SUMPRODUCT(--ISNUMBER(SEARCH(bipartisan,C29)))&gt;0)</f>
        <v>0</v>
      </c>
      <c r="AA29" s="14">
        <f t="shared" si="0"/>
        <v>0</v>
      </c>
      <c r="AB29" s="14"/>
      <c r="AC29" s="30">
        <v>1</v>
      </c>
      <c r="AD29" s="37">
        <v>0</v>
      </c>
    </row>
    <row r="30" spans="1:30" x14ac:dyDescent="0.25">
      <c r="A30" s="36">
        <v>3871</v>
      </c>
      <c r="B30" s="14" t="s">
        <v>7765</v>
      </c>
      <c r="C30" s="14" t="s">
        <v>7766</v>
      </c>
      <c r="D30" s="17">
        <v>44137</v>
      </c>
      <c r="E30" s="14" t="s">
        <v>30</v>
      </c>
      <c r="F30" s="14">
        <v>2501</v>
      </c>
      <c r="G30" s="14">
        <v>577</v>
      </c>
      <c r="H30" s="14">
        <v>18</v>
      </c>
      <c r="I30" s="14">
        <v>9</v>
      </c>
      <c r="J30" s="14" t="s">
        <v>204</v>
      </c>
      <c r="K30" s="14" cm="1">
        <f t="array" ref="K30">INT(SUMPRODUCT(--ISNUMBER(SEARCH(economy,C30)))&gt;0)</f>
        <v>0</v>
      </c>
      <c r="L30" s="14" cm="1">
        <f t="array" ref="L30">INT(SUMPRODUCT(--ISNUMBER(SEARCH(healthcare,C30)))&gt;0)</f>
        <v>0</v>
      </c>
      <c r="M30" s="14" cm="1">
        <f t="array" ref="M30">INT(SUMPRODUCT(--ISNUMBER(SEARCH(supreme,C30)))&gt;0)</f>
        <v>1</v>
      </c>
      <c r="N30" s="14" cm="1">
        <f t="array" ref="N30">INT(SUMPRODUCT(--ISNUMBER(SEARCH(covid,C30)))&gt;0)</f>
        <v>0</v>
      </c>
      <c r="O30" s="14" cm="1">
        <f t="array" ref="O30">INT(SUMPRODUCT(--ISNUMBER(SEARCH(violent,C30)))&gt;0)</f>
        <v>0</v>
      </c>
      <c r="P30" s="14" cm="1">
        <f t="array" ref="P30">INT(SUMPRODUCT(--ISNUMBER(SEARCH(foreign,C30)))&gt;0)</f>
        <v>0</v>
      </c>
      <c r="Q30" s="14" cm="1">
        <f t="array" ref="Q30">INT(SUMPRODUCT(--ISNUMBER(SEARCH(gun,C30)))&gt;0)</f>
        <v>0</v>
      </c>
      <c r="R30" s="14" cm="1">
        <f t="array" ref="R30">INT(SUMPRODUCT(--ISNUMBER(SEARCH(race,C30)))&gt;0)</f>
        <v>0</v>
      </c>
      <c r="S30" s="14" cm="1">
        <f t="array" ref="S30">INT(SUMPRODUCT(--ISNUMBER(SEARCH(immigration,C30)))&gt;0)</f>
        <v>0</v>
      </c>
      <c r="T30" s="14" cm="1">
        <f t="array" ref="T30">INT(SUMPRODUCT(--ISNUMBER(SEARCH(econineq,C31)))&gt;0)</f>
        <v>0</v>
      </c>
      <c r="U30" s="14" cm="1">
        <f t="array" ref="U30">INT(SUMPRODUCT(--ISNUMBER(SEARCH(climate,C30)))&gt;0)</f>
        <v>0</v>
      </c>
      <c r="V30" s="14" cm="1">
        <f t="array" ref="V30">INT(SUMPRODUCT(--ISNUMBER(SEARCH(abortion,C30)))&gt;0)</f>
        <v>0</v>
      </c>
      <c r="W30" s="14" cm="1">
        <f t="array" ref="W30">INT(SUMPRODUCT(--ISNUMBER(SEARCH(trump,C30)))&gt;0)</f>
        <v>0</v>
      </c>
      <c r="X30" s="14" cm="1">
        <f t="array" ref="X30">INT(SUMPRODUCT(--ISNUMBER(SEARCH(voting,C30)))&gt;0)</f>
        <v>1</v>
      </c>
      <c r="Y30" s="14" cm="1">
        <f t="array" ref="Y30">INT(SUMPRODUCT(--ISNUMBER(SEARCH(democrattrigger,C30)))&gt;0)</f>
        <v>1</v>
      </c>
      <c r="Z30" s="14" cm="1">
        <f t="array" ref="Z30">INT(SUMPRODUCT(--ISNUMBER(SEARCH(bipartisan,C30)))&gt;0)</f>
        <v>0</v>
      </c>
      <c r="AA30" s="14">
        <f t="shared" si="0"/>
        <v>0</v>
      </c>
      <c r="AB30" s="14"/>
      <c r="AC30" s="30" t="s">
        <v>223</v>
      </c>
      <c r="AD30" s="37" t="s">
        <v>223</v>
      </c>
    </row>
    <row r="31" spans="1:30" x14ac:dyDescent="0.25">
      <c r="A31" s="36">
        <v>3872</v>
      </c>
      <c r="B31" s="14" t="s">
        <v>7767</v>
      </c>
      <c r="C31" s="14" t="s">
        <v>7768</v>
      </c>
      <c r="D31" s="17">
        <v>44137</v>
      </c>
      <c r="E31" s="14" t="s">
        <v>30</v>
      </c>
      <c r="F31" s="14">
        <v>7840</v>
      </c>
      <c r="G31" s="14">
        <v>1038</v>
      </c>
      <c r="H31" s="14">
        <v>18</v>
      </c>
      <c r="I31" s="14">
        <v>9</v>
      </c>
      <c r="J31" s="14" t="s">
        <v>204</v>
      </c>
      <c r="K31" s="14" cm="1">
        <f t="array" ref="K31">INT(SUMPRODUCT(--ISNUMBER(SEARCH(economy,C31)))&gt;0)</f>
        <v>0</v>
      </c>
      <c r="L31" s="14" cm="1">
        <f t="array" ref="L31">INT(SUMPRODUCT(--ISNUMBER(SEARCH(healthcare,C31)))&gt;0)</f>
        <v>0</v>
      </c>
      <c r="M31" s="14" cm="1">
        <f t="array" ref="M31">INT(SUMPRODUCT(--ISNUMBER(SEARCH(supreme,C31)))&gt;0)</f>
        <v>0</v>
      </c>
      <c r="N31" s="14" cm="1">
        <f t="array" ref="N31">INT(SUMPRODUCT(--ISNUMBER(SEARCH(covid,C31)))&gt;0)</f>
        <v>0</v>
      </c>
      <c r="O31" s="14" cm="1">
        <f t="array" ref="O31">INT(SUMPRODUCT(--ISNUMBER(SEARCH(violent,C31)))&gt;0)</f>
        <v>0</v>
      </c>
      <c r="P31" s="14" cm="1">
        <f t="array" ref="P31">INT(SUMPRODUCT(--ISNUMBER(SEARCH(foreign,C31)))&gt;0)</f>
        <v>0</v>
      </c>
      <c r="Q31" s="14" cm="1">
        <f t="array" ref="Q31">INT(SUMPRODUCT(--ISNUMBER(SEARCH(gun,C31)))&gt;0)</f>
        <v>0</v>
      </c>
      <c r="R31" s="14" cm="1">
        <f t="array" ref="R31">INT(SUMPRODUCT(--ISNUMBER(SEARCH(race,C31)))&gt;0)</f>
        <v>0</v>
      </c>
      <c r="S31" s="14" cm="1">
        <f t="array" ref="S31">INT(SUMPRODUCT(--ISNUMBER(SEARCH(immigration,C31)))&gt;0)</f>
        <v>0</v>
      </c>
      <c r="T31" s="14" cm="1">
        <f t="array" ref="T31">INT(SUMPRODUCT(--ISNUMBER(SEARCH(econineq,C32)))&gt;0)</f>
        <v>0</v>
      </c>
      <c r="U31" s="14" cm="1">
        <f t="array" ref="U31">INT(SUMPRODUCT(--ISNUMBER(SEARCH(climate,C31)))&gt;0)</f>
        <v>0</v>
      </c>
      <c r="V31" s="14" cm="1">
        <f t="array" ref="V31">INT(SUMPRODUCT(--ISNUMBER(SEARCH(abortion,C31)))&gt;0)</f>
        <v>0</v>
      </c>
      <c r="W31" s="14" cm="1">
        <f t="array" ref="W31">INT(SUMPRODUCT(--ISNUMBER(SEARCH(trump,C31)))&gt;0)</f>
        <v>0</v>
      </c>
      <c r="X31" s="14" cm="1">
        <f t="array" ref="X31">INT(SUMPRODUCT(--ISNUMBER(SEARCH(voting,C31)))&gt;0)</f>
        <v>1</v>
      </c>
      <c r="Y31" s="14" cm="1">
        <f t="array" ref="Y31">INT(SUMPRODUCT(--ISNUMBER(SEARCH(democrattrigger,C31)))&gt;0)</f>
        <v>0</v>
      </c>
      <c r="Z31" s="14" cm="1">
        <f t="array" ref="Z31">INT(SUMPRODUCT(--ISNUMBER(SEARCH(bipartisan,C31)))&gt;0)</f>
        <v>0</v>
      </c>
      <c r="AA31" s="14">
        <f t="shared" si="0"/>
        <v>0</v>
      </c>
      <c r="AB31" s="14"/>
      <c r="AC31" s="30" t="s">
        <v>223</v>
      </c>
      <c r="AD31" s="37" t="s">
        <v>223</v>
      </c>
    </row>
    <row r="32" spans="1:30" x14ac:dyDescent="0.25">
      <c r="A32" s="36">
        <v>3873</v>
      </c>
      <c r="B32" s="14" t="s">
        <v>7769</v>
      </c>
      <c r="C32" s="14" t="s">
        <v>7770</v>
      </c>
      <c r="D32" s="17">
        <v>44137</v>
      </c>
      <c r="E32" s="14" t="s">
        <v>30</v>
      </c>
      <c r="F32" s="14">
        <v>746</v>
      </c>
      <c r="G32" s="14">
        <v>169</v>
      </c>
      <c r="H32" s="14">
        <v>18</v>
      </c>
      <c r="I32" s="14">
        <v>9</v>
      </c>
      <c r="J32" s="14" t="s">
        <v>204</v>
      </c>
      <c r="K32" s="14" cm="1">
        <f t="array" ref="K32">INT(SUMPRODUCT(--ISNUMBER(SEARCH(economy,C32)))&gt;0)</f>
        <v>0</v>
      </c>
      <c r="L32" s="14" cm="1">
        <f t="array" ref="L32">INT(SUMPRODUCT(--ISNUMBER(SEARCH(healthcare,C32)))&gt;0)</f>
        <v>0</v>
      </c>
      <c r="M32" s="14" cm="1">
        <f t="array" ref="M32">INT(SUMPRODUCT(--ISNUMBER(SEARCH(supreme,C32)))&gt;0)</f>
        <v>0</v>
      </c>
      <c r="N32" s="14" cm="1">
        <f t="array" ref="N32">INT(SUMPRODUCT(--ISNUMBER(SEARCH(covid,C32)))&gt;0)</f>
        <v>0</v>
      </c>
      <c r="O32" s="14" cm="1">
        <f t="array" ref="O32">INT(SUMPRODUCT(--ISNUMBER(SEARCH(violent,C32)))&gt;0)</f>
        <v>0</v>
      </c>
      <c r="P32" s="14" cm="1">
        <f t="array" ref="P32">INT(SUMPRODUCT(--ISNUMBER(SEARCH(foreign,C32)))&gt;0)</f>
        <v>0</v>
      </c>
      <c r="Q32" s="14" cm="1">
        <f t="array" ref="Q32">INT(SUMPRODUCT(--ISNUMBER(SEARCH(gun,C32)))&gt;0)</f>
        <v>0</v>
      </c>
      <c r="R32" s="14" cm="1">
        <f t="array" ref="R32">INT(SUMPRODUCT(--ISNUMBER(SEARCH(race,C32)))&gt;0)</f>
        <v>0</v>
      </c>
      <c r="S32" s="14" cm="1">
        <f t="array" ref="S32">INT(SUMPRODUCT(--ISNUMBER(SEARCH(immigration,C32)))&gt;0)</f>
        <v>0</v>
      </c>
      <c r="T32" s="14" cm="1">
        <f t="array" ref="T32">INT(SUMPRODUCT(--ISNUMBER(SEARCH(econineq,C33)))&gt;0)</f>
        <v>0</v>
      </c>
      <c r="U32" s="14" cm="1">
        <f t="array" ref="U32">INT(SUMPRODUCT(--ISNUMBER(SEARCH(climate,C32)))&gt;0)</f>
        <v>0</v>
      </c>
      <c r="V32" s="14" cm="1">
        <f t="array" ref="V32">INT(SUMPRODUCT(--ISNUMBER(SEARCH(abortion,C32)))&gt;0)</f>
        <v>0</v>
      </c>
      <c r="W32" s="14" cm="1">
        <f t="array" ref="W32">INT(SUMPRODUCT(--ISNUMBER(SEARCH(trump,C32)))&gt;0)</f>
        <v>0</v>
      </c>
      <c r="X32" s="14" cm="1">
        <f t="array" ref="X32">INT(SUMPRODUCT(--ISNUMBER(SEARCH(voting,C32)))&gt;0)</f>
        <v>1</v>
      </c>
      <c r="Y32" s="14" cm="1">
        <f t="array" ref="Y32">INT(SUMPRODUCT(--ISNUMBER(SEARCH(democrattrigger,C32)))&gt;0)</f>
        <v>0</v>
      </c>
      <c r="Z32" s="14" cm="1">
        <f t="array" ref="Z32">INT(SUMPRODUCT(--ISNUMBER(SEARCH(bipartisan,C32)))&gt;0)</f>
        <v>0</v>
      </c>
      <c r="AA32" s="14">
        <f t="shared" si="0"/>
        <v>0</v>
      </c>
      <c r="AB32" s="14"/>
      <c r="AC32" s="30">
        <v>1</v>
      </c>
      <c r="AD32" s="37">
        <v>0</v>
      </c>
    </row>
    <row r="33" spans="1:30" x14ac:dyDescent="0.25">
      <c r="A33" s="36">
        <v>3874</v>
      </c>
      <c r="B33" s="14" t="s">
        <v>7771</v>
      </c>
      <c r="C33" s="14" t="s">
        <v>7772</v>
      </c>
      <c r="D33" s="17">
        <v>44137</v>
      </c>
      <c r="E33" s="14" t="s">
        <v>30</v>
      </c>
      <c r="F33" s="14">
        <v>668</v>
      </c>
      <c r="G33" s="14">
        <v>252</v>
      </c>
      <c r="H33" s="14">
        <v>18</v>
      </c>
      <c r="I33" s="14">
        <v>9</v>
      </c>
      <c r="J33" s="14" t="s">
        <v>204</v>
      </c>
      <c r="K33" s="14" cm="1">
        <f t="array" ref="K33">INT(SUMPRODUCT(--ISNUMBER(SEARCH(economy,C33)))&gt;0)</f>
        <v>0</v>
      </c>
      <c r="L33" s="14" cm="1">
        <f t="array" ref="L33">INT(SUMPRODUCT(--ISNUMBER(SEARCH(healthcare,C33)))&gt;0)</f>
        <v>0</v>
      </c>
      <c r="M33" s="14" cm="1">
        <f t="array" ref="M33">INT(SUMPRODUCT(--ISNUMBER(SEARCH(supreme,C33)))&gt;0)</f>
        <v>0</v>
      </c>
      <c r="N33" s="14" cm="1">
        <f t="array" ref="N33">INT(SUMPRODUCT(--ISNUMBER(SEARCH(covid,C33)))&gt;0)</f>
        <v>0</v>
      </c>
      <c r="O33" s="14" cm="1">
        <f t="array" ref="O33">INT(SUMPRODUCT(--ISNUMBER(SEARCH(violent,C33)))&gt;0)</f>
        <v>0</v>
      </c>
      <c r="P33" s="14" cm="1">
        <f t="array" ref="P33">INT(SUMPRODUCT(--ISNUMBER(SEARCH(foreign,C33)))&gt;0)</f>
        <v>0</v>
      </c>
      <c r="Q33" s="14" cm="1">
        <f t="array" ref="Q33">INT(SUMPRODUCT(--ISNUMBER(SEARCH(gun,C33)))&gt;0)</f>
        <v>0</v>
      </c>
      <c r="R33" s="14" cm="1">
        <f t="array" ref="R33">INT(SUMPRODUCT(--ISNUMBER(SEARCH(race,C33)))&gt;0)</f>
        <v>0</v>
      </c>
      <c r="S33" s="14" cm="1">
        <f t="array" ref="S33">INT(SUMPRODUCT(--ISNUMBER(SEARCH(immigration,C33)))&gt;0)</f>
        <v>0</v>
      </c>
      <c r="T33" s="14" cm="1">
        <f t="array" ref="T33">INT(SUMPRODUCT(--ISNUMBER(SEARCH(econineq,C34)))&gt;0)</f>
        <v>0</v>
      </c>
      <c r="U33" s="14" cm="1">
        <f t="array" ref="U33">INT(SUMPRODUCT(--ISNUMBER(SEARCH(climate,C33)))&gt;0)</f>
        <v>0</v>
      </c>
      <c r="V33" s="14" cm="1">
        <f t="array" ref="V33">INT(SUMPRODUCT(--ISNUMBER(SEARCH(abortion,C33)))&gt;0)</f>
        <v>0</v>
      </c>
      <c r="W33" s="14" cm="1">
        <f t="array" ref="W33">INT(SUMPRODUCT(--ISNUMBER(SEARCH(trump,C33)))&gt;0)</f>
        <v>0</v>
      </c>
      <c r="X33" s="14" cm="1">
        <f t="array" ref="X33">INT(SUMPRODUCT(--ISNUMBER(SEARCH(voting,C33)))&gt;0)</f>
        <v>1</v>
      </c>
      <c r="Y33" s="14" cm="1">
        <f t="array" ref="Y33">INT(SUMPRODUCT(--ISNUMBER(SEARCH(democrattrigger,C33)))&gt;0)</f>
        <v>0</v>
      </c>
      <c r="Z33" s="14" cm="1">
        <f t="array" ref="Z33">INT(SUMPRODUCT(--ISNUMBER(SEARCH(bipartisan,C33)))&gt;0)</f>
        <v>0</v>
      </c>
      <c r="AA33" s="14">
        <f t="shared" si="0"/>
        <v>0</v>
      </c>
      <c r="AB33" s="14"/>
      <c r="AC33" s="30" t="s">
        <v>223</v>
      </c>
      <c r="AD33" s="37" t="s">
        <v>223</v>
      </c>
    </row>
    <row r="34" spans="1:30" x14ac:dyDescent="0.25">
      <c r="A34" s="36">
        <v>3875</v>
      </c>
      <c r="B34" s="14" t="s">
        <v>7773</v>
      </c>
      <c r="C34" s="14" t="s">
        <v>7774</v>
      </c>
      <c r="D34" s="17">
        <v>44137</v>
      </c>
      <c r="E34" s="14" t="s">
        <v>30</v>
      </c>
      <c r="F34" s="14">
        <v>1128</v>
      </c>
      <c r="G34" s="14">
        <v>202</v>
      </c>
      <c r="H34" s="14">
        <v>18</v>
      </c>
      <c r="I34" s="14">
        <v>9</v>
      </c>
      <c r="J34" s="14" t="s">
        <v>204</v>
      </c>
      <c r="K34" s="14" cm="1">
        <f t="array" ref="K34">INT(SUMPRODUCT(--ISNUMBER(SEARCH(economy,C34)))&gt;0)</f>
        <v>0</v>
      </c>
      <c r="L34" s="14" cm="1">
        <f t="array" ref="L34">INT(SUMPRODUCT(--ISNUMBER(SEARCH(healthcare,C34)))&gt;0)</f>
        <v>0</v>
      </c>
      <c r="M34" s="14" cm="1">
        <f t="array" ref="M34">INT(SUMPRODUCT(--ISNUMBER(SEARCH(supreme,C34)))&gt;0)</f>
        <v>0</v>
      </c>
      <c r="N34" s="14" cm="1">
        <f t="array" ref="N34">INT(SUMPRODUCT(--ISNUMBER(SEARCH(covid,C34)))&gt;0)</f>
        <v>0</v>
      </c>
      <c r="O34" s="14" cm="1">
        <f t="array" ref="O34">INT(SUMPRODUCT(--ISNUMBER(SEARCH(violent,C34)))&gt;0)</f>
        <v>0</v>
      </c>
      <c r="P34" s="14" cm="1">
        <f t="array" ref="P34">INT(SUMPRODUCT(--ISNUMBER(SEARCH(foreign,C34)))&gt;0)</f>
        <v>0</v>
      </c>
      <c r="Q34" s="14" cm="1">
        <f t="array" ref="Q34">INT(SUMPRODUCT(--ISNUMBER(SEARCH(gun,C34)))&gt;0)</f>
        <v>0</v>
      </c>
      <c r="R34" s="14" cm="1">
        <f t="array" ref="R34">INT(SUMPRODUCT(--ISNUMBER(SEARCH(race,C34)))&gt;0)</f>
        <v>0</v>
      </c>
      <c r="S34" s="14" cm="1">
        <f t="array" ref="S34">INT(SUMPRODUCT(--ISNUMBER(SEARCH(immigration,C34)))&gt;0)</f>
        <v>0</v>
      </c>
      <c r="T34" s="14" cm="1">
        <f t="array" ref="T34">INT(SUMPRODUCT(--ISNUMBER(SEARCH(econineq,C35)))&gt;0)</f>
        <v>0</v>
      </c>
      <c r="U34" s="14" cm="1">
        <f t="array" ref="U34">INT(SUMPRODUCT(--ISNUMBER(SEARCH(climate,C34)))&gt;0)</f>
        <v>0</v>
      </c>
      <c r="V34" s="14" cm="1">
        <f t="array" ref="V34">INT(SUMPRODUCT(--ISNUMBER(SEARCH(abortion,C34)))&gt;0)</f>
        <v>0</v>
      </c>
      <c r="W34" s="14" cm="1">
        <f t="array" ref="W34">INT(SUMPRODUCT(--ISNUMBER(SEARCH(trump,C34)))&gt;0)</f>
        <v>0</v>
      </c>
      <c r="X34" s="14" cm="1">
        <f t="array" ref="X34">INT(SUMPRODUCT(--ISNUMBER(SEARCH(voting,C34)))&gt;0)</f>
        <v>0</v>
      </c>
      <c r="Y34" s="14" cm="1">
        <f t="array" ref="Y34">INT(SUMPRODUCT(--ISNUMBER(SEARCH(democrattrigger,C34)))&gt;0)</f>
        <v>0</v>
      </c>
      <c r="Z34" s="14" cm="1">
        <f t="array" ref="Z34">INT(SUMPRODUCT(--ISNUMBER(SEARCH(bipartisan,C34)))&gt;0)</f>
        <v>0</v>
      </c>
      <c r="AA34" s="14">
        <f t="shared" si="0"/>
        <v>1</v>
      </c>
      <c r="AB34" s="14"/>
      <c r="AC34" s="30" t="s">
        <v>223</v>
      </c>
      <c r="AD34" s="37" t="s">
        <v>223</v>
      </c>
    </row>
    <row r="35" spans="1:30" x14ac:dyDescent="0.25">
      <c r="A35" s="36">
        <v>3876</v>
      </c>
      <c r="B35" s="14" t="s">
        <v>7775</v>
      </c>
      <c r="C35" s="14" t="s">
        <v>7776</v>
      </c>
      <c r="D35" s="17">
        <v>44137</v>
      </c>
      <c r="E35" s="14" t="s">
        <v>30</v>
      </c>
      <c r="F35" s="14">
        <v>803</v>
      </c>
      <c r="G35" s="14">
        <v>215</v>
      </c>
      <c r="H35" s="14">
        <v>18</v>
      </c>
      <c r="I35" s="14">
        <v>9</v>
      </c>
      <c r="J35" s="14" t="s">
        <v>204</v>
      </c>
      <c r="K35" s="14" cm="1">
        <f t="array" ref="K35">INT(SUMPRODUCT(--ISNUMBER(SEARCH(economy,C35)))&gt;0)</f>
        <v>0</v>
      </c>
      <c r="L35" s="14" cm="1">
        <f t="array" ref="L35">INT(SUMPRODUCT(--ISNUMBER(SEARCH(healthcare,C35)))&gt;0)</f>
        <v>0</v>
      </c>
      <c r="M35" s="14" cm="1">
        <f t="array" ref="M35">INT(SUMPRODUCT(--ISNUMBER(SEARCH(supreme,C35)))&gt;0)</f>
        <v>0</v>
      </c>
      <c r="N35" s="14" cm="1">
        <f t="array" ref="N35">INT(SUMPRODUCT(--ISNUMBER(SEARCH(covid,C35)))&gt;0)</f>
        <v>0</v>
      </c>
      <c r="O35" s="14" cm="1">
        <f t="array" ref="O35">INT(SUMPRODUCT(--ISNUMBER(SEARCH(violent,C35)))&gt;0)</f>
        <v>0</v>
      </c>
      <c r="P35" s="14" cm="1">
        <f t="array" ref="P35">INT(SUMPRODUCT(--ISNUMBER(SEARCH(foreign,C35)))&gt;0)</f>
        <v>0</v>
      </c>
      <c r="Q35" s="14" cm="1">
        <f t="array" ref="Q35">INT(SUMPRODUCT(--ISNUMBER(SEARCH(gun,C35)))&gt;0)</f>
        <v>0</v>
      </c>
      <c r="R35" s="14" cm="1">
        <f t="array" ref="R35">INT(SUMPRODUCT(--ISNUMBER(SEARCH(race,C35)))&gt;0)</f>
        <v>0</v>
      </c>
      <c r="S35" s="14" cm="1">
        <f t="array" ref="S35">INT(SUMPRODUCT(--ISNUMBER(SEARCH(immigration,C35)))&gt;0)</f>
        <v>0</v>
      </c>
      <c r="T35" s="14" cm="1">
        <f t="array" ref="T35">INT(SUMPRODUCT(--ISNUMBER(SEARCH(econineq,C36)))&gt;0)</f>
        <v>0</v>
      </c>
      <c r="U35" s="14" cm="1">
        <f t="array" ref="U35">INT(SUMPRODUCT(--ISNUMBER(SEARCH(climate,C35)))&gt;0)</f>
        <v>0</v>
      </c>
      <c r="V35" s="14" cm="1">
        <f t="array" ref="V35">INT(SUMPRODUCT(--ISNUMBER(SEARCH(abortion,C35)))&gt;0)</f>
        <v>0</v>
      </c>
      <c r="W35" s="14" cm="1">
        <f t="array" ref="W35">INT(SUMPRODUCT(--ISNUMBER(SEARCH(trump,C35)))&gt;0)</f>
        <v>0</v>
      </c>
      <c r="X35" s="14" cm="1">
        <f t="array" ref="X35">INT(SUMPRODUCT(--ISNUMBER(SEARCH(voting,C35)))&gt;0)</f>
        <v>1</v>
      </c>
      <c r="Y35" s="14" cm="1">
        <f t="array" ref="Y35">INT(SUMPRODUCT(--ISNUMBER(SEARCH(democrattrigger,C35)))&gt;0)</f>
        <v>0</v>
      </c>
      <c r="Z35" s="14" cm="1">
        <f t="array" ref="Z35">INT(SUMPRODUCT(--ISNUMBER(SEARCH(bipartisan,C35)))&gt;0)</f>
        <v>0</v>
      </c>
      <c r="AA35" s="14">
        <f t="shared" si="0"/>
        <v>0</v>
      </c>
      <c r="AB35" s="14"/>
      <c r="AC35" s="30">
        <v>1</v>
      </c>
      <c r="AD35" s="37">
        <v>0</v>
      </c>
    </row>
    <row r="36" spans="1:30" x14ac:dyDescent="0.25">
      <c r="A36" s="36">
        <v>3877</v>
      </c>
      <c r="B36" s="14" t="s">
        <v>7777</v>
      </c>
      <c r="C36" s="14" t="s">
        <v>7778</v>
      </c>
      <c r="D36" s="17">
        <v>44137</v>
      </c>
      <c r="E36" s="14" t="s">
        <v>30</v>
      </c>
      <c r="F36" s="14">
        <v>734</v>
      </c>
      <c r="G36" s="14">
        <v>291</v>
      </c>
      <c r="H36" s="14">
        <v>18</v>
      </c>
      <c r="I36" s="14">
        <v>9</v>
      </c>
      <c r="J36" s="14" t="s">
        <v>204</v>
      </c>
      <c r="K36" s="14" cm="1">
        <f t="array" ref="K36">INT(SUMPRODUCT(--ISNUMBER(SEARCH(economy,C36)))&gt;0)</f>
        <v>0</v>
      </c>
      <c r="L36" s="14" cm="1">
        <f t="array" ref="L36">INT(SUMPRODUCT(--ISNUMBER(SEARCH(healthcare,C36)))&gt;0)</f>
        <v>0</v>
      </c>
      <c r="M36" s="14" cm="1">
        <f t="array" ref="M36">INT(SUMPRODUCT(--ISNUMBER(SEARCH(supreme,C36)))&gt;0)</f>
        <v>0</v>
      </c>
      <c r="N36" s="14" cm="1">
        <f t="array" ref="N36">INT(SUMPRODUCT(--ISNUMBER(SEARCH(covid,C36)))&gt;0)</f>
        <v>0</v>
      </c>
      <c r="O36" s="14" cm="1">
        <f t="array" ref="O36">INT(SUMPRODUCT(--ISNUMBER(SEARCH(violent,C36)))&gt;0)</f>
        <v>0</v>
      </c>
      <c r="P36" s="14" cm="1">
        <f t="array" ref="P36">INT(SUMPRODUCT(--ISNUMBER(SEARCH(foreign,C36)))&gt;0)</f>
        <v>0</v>
      </c>
      <c r="Q36" s="14" cm="1">
        <f t="array" ref="Q36">INT(SUMPRODUCT(--ISNUMBER(SEARCH(gun,C36)))&gt;0)</f>
        <v>0</v>
      </c>
      <c r="R36" s="14" cm="1">
        <f t="array" ref="R36">INT(SUMPRODUCT(--ISNUMBER(SEARCH(race,C36)))&gt;0)</f>
        <v>0</v>
      </c>
      <c r="S36" s="14" cm="1">
        <f t="array" ref="S36">INT(SUMPRODUCT(--ISNUMBER(SEARCH(immigration,C36)))&gt;0)</f>
        <v>0</v>
      </c>
      <c r="T36" s="14" cm="1">
        <f t="array" ref="T36">INT(SUMPRODUCT(--ISNUMBER(SEARCH(econineq,C37)))&gt;0)</f>
        <v>0</v>
      </c>
      <c r="U36" s="14" cm="1">
        <f t="array" ref="U36">INT(SUMPRODUCT(--ISNUMBER(SEARCH(climate,C36)))&gt;0)</f>
        <v>0</v>
      </c>
      <c r="V36" s="14" cm="1">
        <f t="array" ref="V36">INT(SUMPRODUCT(--ISNUMBER(SEARCH(abortion,C36)))&gt;0)</f>
        <v>0</v>
      </c>
      <c r="W36" s="14" cm="1">
        <f t="array" ref="W36">INT(SUMPRODUCT(--ISNUMBER(SEARCH(trump,C36)))&gt;0)</f>
        <v>0</v>
      </c>
      <c r="X36" s="14" cm="1">
        <f t="array" ref="X36">INT(SUMPRODUCT(--ISNUMBER(SEARCH(voting,C36)))&gt;0)</f>
        <v>1</v>
      </c>
      <c r="Y36" s="14" cm="1">
        <f t="array" ref="Y36">INT(SUMPRODUCT(--ISNUMBER(SEARCH(democrattrigger,C36)))&gt;0)</f>
        <v>0</v>
      </c>
      <c r="Z36" s="14" cm="1">
        <f t="array" ref="Z36">INT(SUMPRODUCT(--ISNUMBER(SEARCH(bipartisan,C36)))&gt;0)</f>
        <v>0</v>
      </c>
      <c r="AA36" s="14">
        <f t="shared" si="0"/>
        <v>0</v>
      </c>
      <c r="AB36" s="14"/>
      <c r="AC36" s="30" t="s">
        <v>223</v>
      </c>
      <c r="AD36" s="37" t="s">
        <v>223</v>
      </c>
    </row>
    <row r="37" spans="1:30" x14ac:dyDescent="0.25">
      <c r="A37" s="36">
        <v>3878</v>
      </c>
      <c r="B37" s="14" t="s">
        <v>7779</v>
      </c>
      <c r="C37" s="14" t="s">
        <v>7780</v>
      </c>
      <c r="D37" s="17">
        <v>44137</v>
      </c>
      <c r="E37" s="14" t="s">
        <v>30</v>
      </c>
      <c r="F37" s="14">
        <v>1850</v>
      </c>
      <c r="G37" s="14">
        <v>442</v>
      </c>
      <c r="H37" s="14">
        <v>18</v>
      </c>
      <c r="I37" s="14">
        <v>9</v>
      </c>
      <c r="J37" s="14" t="s">
        <v>204</v>
      </c>
      <c r="K37" s="14" cm="1">
        <f t="array" ref="K37">INT(SUMPRODUCT(--ISNUMBER(SEARCH(economy,C37)))&gt;0)</f>
        <v>0</v>
      </c>
      <c r="L37" s="14" cm="1">
        <f t="array" ref="L37">INT(SUMPRODUCT(--ISNUMBER(SEARCH(healthcare,C37)))&gt;0)</f>
        <v>0</v>
      </c>
      <c r="M37" s="14" cm="1">
        <f t="array" ref="M37">INT(SUMPRODUCT(--ISNUMBER(SEARCH(supreme,C37)))&gt;0)</f>
        <v>0</v>
      </c>
      <c r="N37" s="14" cm="1">
        <f t="array" ref="N37">INT(SUMPRODUCT(--ISNUMBER(SEARCH(covid,C37)))&gt;0)</f>
        <v>0</v>
      </c>
      <c r="O37" s="14" cm="1">
        <f t="array" ref="O37">INT(SUMPRODUCT(--ISNUMBER(SEARCH(violent,C37)))&gt;0)</f>
        <v>0</v>
      </c>
      <c r="P37" s="14" cm="1">
        <f t="array" ref="P37">INT(SUMPRODUCT(--ISNUMBER(SEARCH(foreign,C37)))&gt;0)</f>
        <v>0</v>
      </c>
      <c r="Q37" s="14" cm="1">
        <f t="array" ref="Q37">INT(SUMPRODUCT(--ISNUMBER(SEARCH(gun,C37)))&gt;0)</f>
        <v>0</v>
      </c>
      <c r="R37" s="14" cm="1">
        <f t="array" ref="R37">INT(SUMPRODUCT(--ISNUMBER(SEARCH(race,C37)))&gt;0)</f>
        <v>0</v>
      </c>
      <c r="S37" s="14" cm="1">
        <f t="array" ref="S37">INT(SUMPRODUCT(--ISNUMBER(SEARCH(immigration,C37)))&gt;0)</f>
        <v>0</v>
      </c>
      <c r="T37" s="14" cm="1">
        <f t="array" ref="T37">INT(SUMPRODUCT(--ISNUMBER(SEARCH(econineq,C38)))&gt;0)</f>
        <v>0</v>
      </c>
      <c r="U37" s="14" cm="1">
        <f t="array" ref="U37">INT(SUMPRODUCT(--ISNUMBER(SEARCH(climate,C37)))&gt;0)</f>
        <v>0</v>
      </c>
      <c r="V37" s="14" cm="1">
        <f t="array" ref="V37">INT(SUMPRODUCT(--ISNUMBER(SEARCH(abortion,C37)))&gt;0)</f>
        <v>0</v>
      </c>
      <c r="W37" s="14" cm="1">
        <f t="array" ref="W37">INT(SUMPRODUCT(--ISNUMBER(SEARCH(trump,C37)))&gt;0)</f>
        <v>0</v>
      </c>
      <c r="X37" s="14" cm="1">
        <f t="array" ref="X37">INT(SUMPRODUCT(--ISNUMBER(SEARCH(voting,C37)))&gt;0)</f>
        <v>0</v>
      </c>
      <c r="Y37" s="14" cm="1">
        <f t="array" ref="Y37">INT(SUMPRODUCT(--ISNUMBER(SEARCH(democrattrigger,C37)))&gt;0)</f>
        <v>0</v>
      </c>
      <c r="Z37" s="14" cm="1">
        <f t="array" ref="Z37">INT(SUMPRODUCT(--ISNUMBER(SEARCH(bipartisan,C37)))&gt;0)</f>
        <v>0</v>
      </c>
      <c r="AA37" s="14">
        <f t="shared" si="0"/>
        <v>1</v>
      </c>
      <c r="AB37" s="14"/>
      <c r="AC37" s="30" t="s">
        <v>223</v>
      </c>
      <c r="AD37" s="37" t="s">
        <v>223</v>
      </c>
    </row>
    <row r="38" spans="1:30" x14ac:dyDescent="0.25">
      <c r="A38" s="36">
        <v>3879</v>
      </c>
      <c r="B38" s="14" t="s">
        <v>7781</v>
      </c>
      <c r="C38" s="14" t="s">
        <v>7782</v>
      </c>
      <c r="D38" s="17">
        <v>44137</v>
      </c>
      <c r="E38" s="14" t="s">
        <v>30</v>
      </c>
      <c r="F38" s="14">
        <v>2242</v>
      </c>
      <c r="G38" s="14">
        <v>307</v>
      </c>
      <c r="H38" s="14">
        <v>18</v>
      </c>
      <c r="I38" s="14">
        <v>9</v>
      </c>
      <c r="J38" s="14" t="s">
        <v>204</v>
      </c>
      <c r="K38" s="14" cm="1">
        <f t="array" ref="K38">INT(SUMPRODUCT(--ISNUMBER(SEARCH(economy,C38)))&gt;0)</f>
        <v>0</v>
      </c>
      <c r="L38" s="14" cm="1">
        <f t="array" ref="L38">INT(SUMPRODUCT(--ISNUMBER(SEARCH(healthcare,C38)))&gt;0)</f>
        <v>0</v>
      </c>
      <c r="M38" s="14" cm="1">
        <f t="array" ref="M38">INT(SUMPRODUCT(--ISNUMBER(SEARCH(supreme,C38)))&gt;0)</f>
        <v>0</v>
      </c>
      <c r="N38" s="14" cm="1">
        <f t="array" ref="N38">INT(SUMPRODUCT(--ISNUMBER(SEARCH(covid,C38)))&gt;0)</f>
        <v>0</v>
      </c>
      <c r="O38" s="14" cm="1">
        <f t="array" ref="O38">INT(SUMPRODUCT(--ISNUMBER(SEARCH(violent,C38)))&gt;0)</f>
        <v>0</v>
      </c>
      <c r="P38" s="14" cm="1">
        <f t="array" ref="P38">INT(SUMPRODUCT(--ISNUMBER(SEARCH(foreign,C38)))&gt;0)</f>
        <v>0</v>
      </c>
      <c r="Q38" s="14" cm="1">
        <f t="array" ref="Q38">INT(SUMPRODUCT(--ISNUMBER(SEARCH(gun,C38)))&gt;0)</f>
        <v>0</v>
      </c>
      <c r="R38" s="14" cm="1">
        <f t="array" ref="R38">INT(SUMPRODUCT(--ISNUMBER(SEARCH(race,C38)))&gt;0)</f>
        <v>0</v>
      </c>
      <c r="S38" s="14" cm="1">
        <f t="array" ref="S38">INT(SUMPRODUCT(--ISNUMBER(SEARCH(immigration,C38)))&gt;0)</f>
        <v>0</v>
      </c>
      <c r="T38" s="14" cm="1">
        <f t="array" ref="T38">INT(SUMPRODUCT(--ISNUMBER(SEARCH(econineq,C39)))&gt;0)</f>
        <v>0</v>
      </c>
      <c r="U38" s="14" cm="1">
        <f t="array" ref="U38">INT(SUMPRODUCT(--ISNUMBER(SEARCH(climate,C38)))&gt;0)</f>
        <v>0</v>
      </c>
      <c r="V38" s="14" cm="1">
        <f t="array" ref="V38">INT(SUMPRODUCT(--ISNUMBER(SEARCH(abortion,C38)))&gt;0)</f>
        <v>0</v>
      </c>
      <c r="W38" s="14" cm="1">
        <f t="array" ref="W38">INT(SUMPRODUCT(--ISNUMBER(SEARCH(trump,C38)))&gt;0)</f>
        <v>0</v>
      </c>
      <c r="X38" s="14" cm="1">
        <f t="array" ref="X38">INT(SUMPRODUCT(--ISNUMBER(SEARCH(voting,C38)))&gt;0)</f>
        <v>1</v>
      </c>
      <c r="Y38" s="14" cm="1">
        <f t="array" ref="Y38">INT(SUMPRODUCT(--ISNUMBER(SEARCH(democrattrigger,C38)))&gt;0)</f>
        <v>0</v>
      </c>
      <c r="Z38" s="14" cm="1">
        <f t="array" ref="Z38">INT(SUMPRODUCT(--ISNUMBER(SEARCH(bipartisan,C38)))&gt;0)</f>
        <v>0</v>
      </c>
      <c r="AA38" s="14">
        <f t="shared" si="0"/>
        <v>0</v>
      </c>
      <c r="AB38" s="14"/>
      <c r="AC38" s="30" t="s">
        <v>223</v>
      </c>
      <c r="AD38" s="37" t="s">
        <v>223</v>
      </c>
    </row>
    <row r="39" spans="1:30" x14ac:dyDescent="0.25">
      <c r="A39" s="36">
        <v>3880</v>
      </c>
      <c r="B39" s="14" t="s">
        <v>7783</v>
      </c>
      <c r="C39" s="14" t="s">
        <v>7784</v>
      </c>
      <c r="D39" s="17">
        <v>44137</v>
      </c>
      <c r="E39" s="14" t="s">
        <v>30</v>
      </c>
      <c r="F39" s="14">
        <v>3700</v>
      </c>
      <c r="G39" s="14">
        <v>742</v>
      </c>
      <c r="H39" s="14">
        <v>18</v>
      </c>
      <c r="I39" s="14">
        <v>9</v>
      </c>
      <c r="J39" s="14" t="s">
        <v>204</v>
      </c>
      <c r="K39" s="14" cm="1">
        <f t="array" ref="K39">INT(SUMPRODUCT(--ISNUMBER(SEARCH(economy,C39)))&gt;0)</f>
        <v>0</v>
      </c>
      <c r="L39" s="14" cm="1">
        <f t="array" ref="L39">INT(SUMPRODUCT(--ISNUMBER(SEARCH(healthcare,C39)))&gt;0)</f>
        <v>0</v>
      </c>
      <c r="M39" s="14" cm="1">
        <f t="array" ref="M39">INT(SUMPRODUCT(--ISNUMBER(SEARCH(supreme,C39)))&gt;0)</f>
        <v>0</v>
      </c>
      <c r="N39" s="14" cm="1">
        <f t="array" ref="N39">INT(SUMPRODUCT(--ISNUMBER(SEARCH(covid,C39)))&gt;0)</f>
        <v>0</v>
      </c>
      <c r="O39" s="14" cm="1">
        <f t="array" ref="O39">INT(SUMPRODUCT(--ISNUMBER(SEARCH(violent,C39)))&gt;0)</f>
        <v>0</v>
      </c>
      <c r="P39" s="14" cm="1">
        <f t="array" ref="P39">INT(SUMPRODUCT(--ISNUMBER(SEARCH(foreign,C39)))&gt;0)</f>
        <v>0</v>
      </c>
      <c r="Q39" s="14" cm="1">
        <f t="array" ref="Q39">INT(SUMPRODUCT(--ISNUMBER(SEARCH(gun,C39)))&gt;0)</f>
        <v>0</v>
      </c>
      <c r="R39" s="14" cm="1">
        <f t="array" ref="R39">INT(SUMPRODUCT(--ISNUMBER(SEARCH(race,C39)))&gt;0)</f>
        <v>0</v>
      </c>
      <c r="S39" s="14" cm="1">
        <f t="array" ref="S39">INT(SUMPRODUCT(--ISNUMBER(SEARCH(immigration,C39)))&gt;0)</f>
        <v>0</v>
      </c>
      <c r="T39" s="14" cm="1">
        <f t="array" ref="T39">INT(SUMPRODUCT(--ISNUMBER(SEARCH(econineq,C40)))&gt;0)</f>
        <v>0</v>
      </c>
      <c r="U39" s="14" cm="1">
        <f t="array" ref="U39">INT(SUMPRODUCT(--ISNUMBER(SEARCH(climate,C39)))&gt;0)</f>
        <v>0</v>
      </c>
      <c r="V39" s="14" cm="1">
        <f t="array" ref="V39">INT(SUMPRODUCT(--ISNUMBER(SEARCH(abortion,C39)))&gt;0)</f>
        <v>0</v>
      </c>
      <c r="W39" s="14" cm="1">
        <f t="array" ref="W39">INT(SUMPRODUCT(--ISNUMBER(SEARCH(trump,C39)))&gt;0)</f>
        <v>0</v>
      </c>
      <c r="X39" s="14" cm="1">
        <f t="array" ref="X39">INT(SUMPRODUCT(--ISNUMBER(SEARCH(voting,C39)))&gt;0)</f>
        <v>0</v>
      </c>
      <c r="Y39" s="14" cm="1">
        <f t="array" ref="Y39">INT(SUMPRODUCT(--ISNUMBER(SEARCH(democrattrigger,C39)))&gt;0)</f>
        <v>0</v>
      </c>
      <c r="Z39" s="14" cm="1">
        <f t="array" ref="Z39">INT(SUMPRODUCT(--ISNUMBER(SEARCH(bipartisan,C39)))&gt;0)</f>
        <v>0</v>
      </c>
      <c r="AA39" s="14">
        <f t="shared" si="0"/>
        <v>1</v>
      </c>
      <c r="AB39" s="14"/>
      <c r="AC39" s="30">
        <v>0</v>
      </c>
      <c r="AD39" s="37">
        <v>1</v>
      </c>
    </row>
    <row r="40" spans="1:30" x14ac:dyDescent="0.25">
      <c r="A40" s="36">
        <v>3881</v>
      </c>
      <c r="B40" s="14" t="s">
        <v>7785</v>
      </c>
      <c r="C40" s="14" t="s">
        <v>7786</v>
      </c>
      <c r="D40" s="17">
        <v>44137</v>
      </c>
      <c r="E40" s="14" t="s">
        <v>30</v>
      </c>
      <c r="F40" s="14">
        <v>1245</v>
      </c>
      <c r="G40" s="14">
        <v>247</v>
      </c>
      <c r="H40" s="14">
        <v>18</v>
      </c>
      <c r="I40" s="14">
        <v>9</v>
      </c>
      <c r="J40" s="14" t="s">
        <v>204</v>
      </c>
      <c r="K40" s="14" cm="1">
        <f t="array" ref="K40">INT(SUMPRODUCT(--ISNUMBER(SEARCH(economy,C40)))&gt;0)</f>
        <v>0</v>
      </c>
      <c r="L40" s="14" cm="1">
        <f t="array" ref="L40">INT(SUMPRODUCT(--ISNUMBER(SEARCH(healthcare,C40)))&gt;0)</f>
        <v>0</v>
      </c>
      <c r="M40" s="14" cm="1">
        <f t="array" ref="M40">INT(SUMPRODUCT(--ISNUMBER(SEARCH(supreme,C40)))&gt;0)</f>
        <v>0</v>
      </c>
      <c r="N40" s="14" cm="1">
        <f t="array" ref="N40">INT(SUMPRODUCT(--ISNUMBER(SEARCH(covid,C40)))&gt;0)</f>
        <v>0</v>
      </c>
      <c r="O40" s="14" cm="1">
        <f t="array" ref="O40">INT(SUMPRODUCT(--ISNUMBER(SEARCH(violent,C40)))&gt;0)</f>
        <v>0</v>
      </c>
      <c r="P40" s="14" cm="1">
        <f t="array" ref="P40">INT(SUMPRODUCT(--ISNUMBER(SEARCH(foreign,C40)))&gt;0)</f>
        <v>0</v>
      </c>
      <c r="Q40" s="14" cm="1">
        <f t="array" ref="Q40">INT(SUMPRODUCT(--ISNUMBER(SEARCH(gun,C40)))&gt;0)</f>
        <v>0</v>
      </c>
      <c r="R40" s="14" cm="1">
        <f t="array" ref="R40">INT(SUMPRODUCT(--ISNUMBER(SEARCH(race,C40)))&gt;0)</f>
        <v>0</v>
      </c>
      <c r="S40" s="14" cm="1">
        <f t="array" ref="S40">INT(SUMPRODUCT(--ISNUMBER(SEARCH(immigration,C40)))&gt;0)</f>
        <v>0</v>
      </c>
      <c r="T40" s="14" cm="1">
        <f t="array" ref="T40">INT(SUMPRODUCT(--ISNUMBER(SEARCH(econineq,C41)))&gt;0)</f>
        <v>0</v>
      </c>
      <c r="U40" s="14" cm="1">
        <f t="array" ref="U40">INT(SUMPRODUCT(--ISNUMBER(SEARCH(climate,C40)))&gt;0)</f>
        <v>0</v>
      </c>
      <c r="V40" s="14" cm="1">
        <f t="array" ref="V40">INT(SUMPRODUCT(--ISNUMBER(SEARCH(abortion,C40)))&gt;0)</f>
        <v>0</v>
      </c>
      <c r="W40" s="14" cm="1">
        <f t="array" ref="W40">INT(SUMPRODUCT(--ISNUMBER(SEARCH(trump,C40)))&gt;0)</f>
        <v>0</v>
      </c>
      <c r="X40" s="14" cm="1">
        <f t="array" ref="X40">INT(SUMPRODUCT(--ISNUMBER(SEARCH(voting,C40)))&gt;0)</f>
        <v>1</v>
      </c>
      <c r="Y40" s="14" cm="1">
        <f t="array" ref="Y40">INT(SUMPRODUCT(--ISNUMBER(SEARCH(democrattrigger,C40)))&gt;0)</f>
        <v>0</v>
      </c>
      <c r="Z40" s="14" cm="1">
        <f t="array" ref="Z40">INT(SUMPRODUCT(--ISNUMBER(SEARCH(bipartisan,C40)))&gt;0)</f>
        <v>0</v>
      </c>
      <c r="AA40" s="14">
        <f t="shared" si="0"/>
        <v>0</v>
      </c>
      <c r="AB40" s="14"/>
      <c r="AC40" s="30">
        <v>1</v>
      </c>
      <c r="AD40" s="37">
        <v>0</v>
      </c>
    </row>
    <row r="41" spans="1:30" x14ac:dyDescent="0.25">
      <c r="A41" s="36">
        <v>3882</v>
      </c>
      <c r="B41" s="14" t="s">
        <v>7787</v>
      </c>
      <c r="C41" s="14" t="s">
        <v>7788</v>
      </c>
      <c r="D41" s="17">
        <v>44137</v>
      </c>
      <c r="E41" s="14" t="s">
        <v>30</v>
      </c>
      <c r="F41" s="14">
        <v>2306</v>
      </c>
      <c r="G41" s="14">
        <v>381</v>
      </c>
      <c r="H41" s="14">
        <v>18</v>
      </c>
      <c r="I41" s="14">
        <v>9</v>
      </c>
      <c r="J41" s="14" t="s">
        <v>204</v>
      </c>
      <c r="K41" s="14" cm="1">
        <f t="array" ref="K41">INT(SUMPRODUCT(--ISNUMBER(SEARCH(economy,C41)))&gt;0)</f>
        <v>0</v>
      </c>
      <c r="L41" s="14" cm="1">
        <f t="array" ref="L41">INT(SUMPRODUCT(--ISNUMBER(SEARCH(healthcare,C41)))&gt;0)</f>
        <v>0</v>
      </c>
      <c r="M41" s="14" cm="1">
        <f t="array" ref="M41">INT(SUMPRODUCT(--ISNUMBER(SEARCH(supreme,C41)))&gt;0)</f>
        <v>0</v>
      </c>
      <c r="N41" s="14" cm="1">
        <f t="array" ref="N41">INT(SUMPRODUCT(--ISNUMBER(SEARCH(covid,C41)))&gt;0)</f>
        <v>0</v>
      </c>
      <c r="O41" s="14" cm="1">
        <f t="array" ref="O41">INT(SUMPRODUCT(--ISNUMBER(SEARCH(violent,C41)))&gt;0)</f>
        <v>0</v>
      </c>
      <c r="P41" s="14" cm="1">
        <f t="array" ref="P41">INT(SUMPRODUCT(--ISNUMBER(SEARCH(foreign,C41)))&gt;0)</f>
        <v>0</v>
      </c>
      <c r="Q41" s="14" cm="1">
        <f t="array" ref="Q41">INT(SUMPRODUCT(--ISNUMBER(SEARCH(gun,C41)))&gt;0)</f>
        <v>0</v>
      </c>
      <c r="R41" s="14" cm="1">
        <f t="array" ref="R41">INT(SUMPRODUCT(--ISNUMBER(SEARCH(race,C41)))&gt;0)</f>
        <v>0</v>
      </c>
      <c r="S41" s="14" cm="1">
        <f t="array" ref="S41">INT(SUMPRODUCT(--ISNUMBER(SEARCH(immigration,C41)))&gt;0)</f>
        <v>0</v>
      </c>
      <c r="T41" s="14" cm="1">
        <f t="array" ref="T41">INT(SUMPRODUCT(--ISNUMBER(SEARCH(econineq,C42)))&gt;0)</f>
        <v>0</v>
      </c>
      <c r="U41" s="14" cm="1">
        <f t="array" ref="U41">INT(SUMPRODUCT(--ISNUMBER(SEARCH(climate,C41)))&gt;0)</f>
        <v>0</v>
      </c>
      <c r="V41" s="14" cm="1">
        <f t="array" ref="V41">INT(SUMPRODUCT(--ISNUMBER(SEARCH(abortion,C41)))&gt;0)</f>
        <v>0</v>
      </c>
      <c r="W41" s="14" cm="1">
        <f t="array" ref="W41">INT(SUMPRODUCT(--ISNUMBER(SEARCH(trump,C41)))&gt;0)</f>
        <v>0</v>
      </c>
      <c r="X41" s="14" cm="1">
        <f t="array" ref="X41">INT(SUMPRODUCT(--ISNUMBER(SEARCH(voting,C41)))&gt;0)</f>
        <v>1</v>
      </c>
      <c r="Y41" s="14" cm="1">
        <f t="array" ref="Y41">INT(SUMPRODUCT(--ISNUMBER(SEARCH(democrattrigger,C41)))&gt;0)</f>
        <v>0</v>
      </c>
      <c r="Z41" s="14" cm="1">
        <f t="array" ref="Z41">INT(SUMPRODUCT(--ISNUMBER(SEARCH(bipartisan,C41)))&gt;0)</f>
        <v>0</v>
      </c>
      <c r="AA41" s="14">
        <f t="shared" si="0"/>
        <v>0</v>
      </c>
      <c r="AB41" s="14"/>
      <c r="AC41" s="30" t="s">
        <v>223</v>
      </c>
      <c r="AD41" s="37" t="s">
        <v>223</v>
      </c>
    </row>
    <row r="42" spans="1:30" x14ac:dyDescent="0.25">
      <c r="A42" s="36">
        <v>3883</v>
      </c>
      <c r="B42" s="14" t="s">
        <v>7789</v>
      </c>
      <c r="C42" s="14" t="s">
        <v>7790</v>
      </c>
      <c r="D42" s="17">
        <v>44136</v>
      </c>
      <c r="E42" s="14" t="s">
        <v>30</v>
      </c>
      <c r="F42" s="14">
        <v>2721</v>
      </c>
      <c r="G42" s="14">
        <v>521</v>
      </c>
      <c r="H42" s="14">
        <v>18</v>
      </c>
      <c r="I42" s="14">
        <v>9</v>
      </c>
      <c r="J42" s="14" t="s">
        <v>204</v>
      </c>
      <c r="K42" s="14" cm="1">
        <f t="array" ref="K42">INT(SUMPRODUCT(--ISNUMBER(SEARCH(economy,C42)))&gt;0)</f>
        <v>0</v>
      </c>
      <c r="L42" s="14" cm="1">
        <f t="array" ref="L42">INT(SUMPRODUCT(--ISNUMBER(SEARCH(healthcare,C42)))&gt;0)</f>
        <v>0</v>
      </c>
      <c r="M42" s="14" cm="1">
        <f t="array" ref="M42">INT(SUMPRODUCT(--ISNUMBER(SEARCH(supreme,C42)))&gt;0)</f>
        <v>0</v>
      </c>
      <c r="N42" s="14" cm="1">
        <f t="array" ref="N42">INT(SUMPRODUCT(--ISNUMBER(SEARCH(covid,C42)))&gt;0)</f>
        <v>0</v>
      </c>
      <c r="O42" s="14" cm="1">
        <f t="array" ref="O42">INT(SUMPRODUCT(--ISNUMBER(SEARCH(violent,C42)))&gt;0)</f>
        <v>0</v>
      </c>
      <c r="P42" s="14" cm="1">
        <f t="array" ref="P42">INT(SUMPRODUCT(--ISNUMBER(SEARCH(foreign,C42)))&gt;0)</f>
        <v>0</v>
      </c>
      <c r="Q42" s="14" cm="1">
        <f t="array" ref="Q42">INT(SUMPRODUCT(--ISNUMBER(SEARCH(gun,C42)))&gt;0)</f>
        <v>0</v>
      </c>
      <c r="R42" s="14" cm="1">
        <f t="array" ref="R42">INT(SUMPRODUCT(--ISNUMBER(SEARCH(race,C42)))&gt;0)</f>
        <v>0</v>
      </c>
      <c r="S42" s="14" cm="1">
        <f t="array" ref="S42">INT(SUMPRODUCT(--ISNUMBER(SEARCH(immigration,C42)))&gt;0)</f>
        <v>0</v>
      </c>
      <c r="T42" s="14" cm="1">
        <f t="array" ref="T42">INT(SUMPRODUCT(--ISNUMBER(SEARCH(econineq,C43)))&gt;0)</f>
        <v>0</v>
      </c>
      <c r="U42" s="14" cm="1">
        <f t="array" ref="U42">INT(SUMPRODUCT(--ISNUMBER(SEARCH(climate,C42)))&gt;0)</f>
        <v>0</v>
      </c>
      <c r="V42" s="14" cm="1">
        <f t="array" ref="V42">INT(SUMPRODUCT(--ISNUMBER(SEARCH(abortion,C42)))&gt;0)</f>
        <v>0</v>
      </c>
      <c r="W42" s="14" cm="1">
        <f t="array" ref="W42">INT(SUMPRODUCT(--ISNUMBER(SEARCH(trump,C42)))&gt;0)</f>
        <v>0</v>
      </c>
      <c r="X42" s="14" cm="1">
        <f t="array" ref="X42">INT(SUMPRODUCT(--ISNUMBER(SEARCH(voting,C42)))&gt;0)</f>
        <v>1</v>
      </c>
      <c r="Y42" s="14" cm="1">
        <f t="array" ref="Y42">INT(SUMPRODUCT(--ISNUMBER(SEARCH(democrattrigger,C42)))&gt;0)</f>
        <v>0</v>
      </c>
      <c r="Z42" s="14" cm="1">
        <f t="array" ref="Z42">INT(SUMPRODUCT(--ISNUMBER(SEARCH(bipartisan,C42)))&gt;0)</f>
        <v>0</v>
      </c>
      <c r="AA42" s="14">
        <f t="shared" si="0"/>
        <v>0</v>
      </c>
      <c r="AB42" s="14"/>
      <c r="AC42" s="30">
        <v>1</v>
      </c>
      <c r="AD42" s="37">
        <v>0</v>
      </c>
    </row>
    <row r="43" spans="1:30" x14ac:dyDescent="0.25">
      <c r="A43" s="36">
        <v>3884</v>
      </c>
      <c r="B43" s="14" t="s">
        <v>7791</v>
      </c>
      <c r="C43" s="14" t="s">
        <v>7792</v>
      </c>
      <c r="D43" s="17">
        <v>44136</v>
      </c>
      <c r="E43" s="14" t="s">
        <v>30</v>
      </c>
      <c r="F43" s="14">
        <v>2303</v>
      </c>
      <c r="G43" s="14">
        <v>497</v>
      </c>
      <c r="H43" s="14">
        <v>18</v>
      </c>
      <c r="I43" s="14">
        <v>9</v>
      </c>
      <c r="J43" s="14" t="s">
        <v>204</v>
      </c>
      <c r="K43" s="14" cm="1">
        <f t="array" ref="K43">INT(SUMPRODUCT(--ISNUMBER(SEARCH(economy,C43)))&gt;0)</f>
        <v>0</v>
      </c>
      <c r="L43" s="14" cm="1">
        <f t="array" ref="L43">INT(SUMPRODUCT(--ISNUMBER(SEARCH(healthcare,C43)))&gt;0)</f>
        <v>0</v>
      </c>
      <c r="M43" s="14" cm="1">
        <f t="array" ref="M43">INT(SUMPRODUCT(--ISNUMBER(SEARCH(supreme,C43)))&gt;0)</f>
        <v>0</v>
      </c>
      <c r="N43" s="14" cm="1">
        <f t="array" ref="N43">INT(SUMPRODUCT(--ISNUMBER(SEARCH(covid,C43)))&gt;0)</f>
        <v>0</v>
      </c>
      <c r="O43" s="14" cm="1">
        <f t="array" ref="O43">INT(SUMPRODUCT(--ISNUMBER(SEARCH(violent,C43)))&gt;0)</f>
        <v>0</v>
      </c>
      <c r="P43" s="14" cm="1">
        <f t="array" ref="P43">INT(SUMPRODUCT(--ISNUMBER(SEARCH(foreign,C43)))&gt;0)</f>
        <v>0</v>
      </c>
      <c r="Q43" s="14" cm="1">
        <f t="array" ref="Q43">INT(SUMPRODUCT(--ISNUMBER(SEARCH(gun,C43)))&gt;0)</f>
        <v>0</v>
      </c>
      <c r="R43" s="14" cm="1">
        <f t="array" ref="R43">INT(SUMPRODUCT(--ISNUMBER(SEARCH(race,C43)))&gt;0)</f>
        <v>0</v>
      </c>
      <c r="S43" s="14" cm="1">
        <f t="array" ref="S43">INT(SUMPRODUCT(--ISNUMBER(SEARCH(immigration,C43)))&gt;0)</f>
        <v>0</v>
      </c>
      <c r="T43" s="14" cm="1">
        <f t="array" ref="T43">INT(SUMPRODUCT(--ISNUMBER(SEARCH(econineq,C44)))&gt;0)</f>
        <v>0</v>
      </c>
      <c r="U43" s="14" cm="1">
        <f t="array" ref="U43">INT(SUMPRODUCT(--ISNUMBER(SEARCH(climate,C43)))&gt;0)</f>
        <v>0</v>
      </c>
      <c r="V43" s="14" cm="1">
        <f t="array" ref="V43">INT(SUMPRODUCT(--ISNUMBER(SEARCH(abortion,C43)))&gt;0)</f>
        <v>0</v>
      </c>
      <c r="W43" s="14" cm="1">
        <f t="array" ref="W43">INT(SUMPRODUCT(--ISNUMBER(SEARCH(trump,C43)))&gt;0)</f>
        <v>0</v>
      </c>
      <c r="X43" s="14" cm="1">
        <f t="array" ref="X43">INT(SUMPRODUCT(--ISNUMBER(SEARCH(voting,C43)))&gt;0)</f>
        <v>1</v>
      </c>
      <c r="Y43" s="14" cm="1">
        <f t="array" ref="Y43">INT(SUMPRODUCT(--ISNUMBER(SEARCH(democrattrigger,C43)))&gt;0)</f>
        <v>0</v>
      </c>
      <c r="Z43" s="14" cm="1">
        <f t="array" ref="Z43">INT(SUMPRODUCT(--ISNUMBER(SEARCH(bipartisan,C43)))&gt;0)</f>
        <v>0</v>
      </c>
      <c r="AA43" s="14">
        <f t="shared" si="0"/>
        <v>0</v>
      </c>
      <c r="AB43" s="14"/>
      <c r="AC43" s="30" t="s">
        <v>223</v>
      </c>
      <c r="AD43" s="37" t="s">
        <v>223</v>
      </c>
    </row>
    <row r="44" spans="1:30" x14ac:dyDescent="0.25">
      <c r="A44" s="36">
        <v>3885</v>
      </c>
      <c r="B44" s="14" t="s">
        <v>7793</v>
      </c>
      <c r="C44" s="14" t="s">
        <v>7794</v>
      </c>
      <c r="D44" s="17">
        <v>44136</v>
      </c>
      <c r="E44" s="14" t="s">
        <v>30</v>
      </c>
      <c r="F44" s="14">
        <v>2147</v>
      </c>
      <c r="G44" s="14">
        <v>398</v>
      </c>
      <c r="H44" s="14">
        <v>18</v>
      </c>
      <c r="I44" s="14">
        <v>9</v>
      </c>
      <c r="J44" s="14" t="s">
        <v>204</v>
      </c>
      <c r="K44" s="14" cm="1">
        <f t="array" ref="K44">INT(SUMPRODUCT(--ISNUMBER(SEARCH(economy,C44)))&gt;0)</f>
        <v>0</v>
      </c>
      <c r="L44" s="14" cm="1">
        <f t="array" ref="L44">INT(SUMPRODUCT(--ISNUMBER(SEARCH(healthcare,C44)))&gt;0)</f>
        <v>0</v>
      </c>
      <c r="M44" s="14" cm="1">
        <f t="array" ref="M44">INT(SUMPRODUCT(--ISNUMBER(SEARCH(supreme,C44)))&gt;0)</f>
        <v>0</v>
      </c>
      <c r="N44" s="14" cm="1">
        <f t="array" ref="N44">INT(SUMPRODUCT(--ISNUMBER(SEARCH(covid,C44)))&gt;0)</f>
        <v>0</v>
      </c>
      <c r="O44" s="14" cm="1">
        <f t="array" ref="O44">INT(SUMPRODUCT(--ISNUMBER(SEARCH(violent,C44)))&gt;0)</f>
        <v>0</v>
      </c>
      <c r="P44" s="14" cm="1">
        <f t="array" ref="P44">INT(SUMPRODUCT(--ISNUMBER(SEARCH(foreign,C44)))&gt;0)</f>
        <v>0</v>
      </c>
      <c r="Q44" s="14" cm="1">
        <f t="array" ref="Q44">INT(SUMPRODUCT(--ISNUMBER(SEARCH(gun,C44)))&gt;0)</f>
        <v>0</v>
      </c>
      <c r="R44" s="14" cm="1">
        <f t="array" ref="R44">INT(SUMPRODUCT(--ISNUMBER(SEARCH(race,C44)))&gt;0)</f>
        <v>0</v>
      </c>
      <c r="S44" s="14" cm="1">
        <f t="array" ref="S44">INT(SUMPRODUCT(--ISNUMBER(SEARCH(immigration,C44)))&gt;0)</f>
        <v>0</v>
      </c>
      <c r="T44" s="14" cm="1">
        <f t="array" ref="T44">INT(SUMPRODUCT(--ISNUMBER(SEARCH(econineq,C45)))&gt;0)</f>
        <v>0</v>
      </c>
      <c r="U44" s="14" cm="1">
        <f t="array" ref="U44">INT(SUMPRODUCT(--ISNUMBER(SEARCH(climate,C44)))&gt;0)</f>
        <v>0</v>
      </c>
      <c r="V44" s="14" cm="1">
        <f t="array" ref="V44">INT(SUMPRODUCT(--ISNUMBER(SEARCH(abortion,C44)))&gt;0)</f>
        <v>0</v>
      </c>
      <c r="W44" s="14" cm="1">
        <f t="array" ref="W44">INT(SUMPRODUCT(--ISNUMBER(SEARCH(trump,C44)))&gt;0)</f>
        <v>0</v>
      </c>
      <c r="X44" s="14" cm="1">
        <f t="array" ref="X44">INT(SUMPRODUCT(--ISNUMBER(SEARCH(voting,C44)))&gt;0)</f>
        <v>1</v>
      </c>
      <c r="Y44" s="14" cm="1">
        <f t="array" ref="Y44">INT(SUMPRODUCT(--ISNUMBER(SEARCH(democrattrigger,C44)))&gt;0)</f>
        <v>0</v>
      </c>
      <c r="Z44" s="14" cm="1">
        <f t="array" ref="Z44">INT(SUMPRODUCT(--ISNUMBER(SEARCH(bipartisan,C44)))&gt;0)</f>
        <v>0</v>
      </c>
      <c r="AA44" s="14">
        <f t="shared" si="0"/>
        <v>0</v>
      </c>
      <c r="AB44" s="14"/>
      <c r="AC44" s="30">
        <v>1</v>
      </c>
      <c r="AD44" s="37">
        <v>0</v>
      </c>
    </row>
    <row r="45" spans="1:30" x14ac:dyDescent="0.25">
      <c r="A45" s="36">
        <v>3886</v>
      </c>
      <c r="B45" s="14" t="s">
        <v>7795</v>
      </c>
      <c r="C45" s="14" t="s">
        <v>7796</v>
      </c>
      <c r="D45" s="17">
        <v>44136</v>
      </c>
      <c r="E45" s="14" t="s">
        <v>30</v>
      </c>
      <c r="F45" s="14">
        <v>1515</v>
      </c>
      <c r="G45" s="14">
        <v>420</v>
      </c>
      <c r="H45" s="14">
        <v>18</v>
      </c>
      <c r="I45" s="14">
        <v>9</v>
      </c>
      <c r="J45" s="14" t="s">
        <v>204</v>
      </c>
      <c r="K45" s="14" cm="1">
        <f t="array" ref="K45">INT(SUMPRODUCT(--ISNUMBER(SEARCH(economy,C45)))&gt;0)</f>
        <v>0</v>
      </c>
      <c r="L45" s="14" cm="1">
        <f t="array" ref="L45">INT(SUMPRODUCT(--ISNUMBER(SEARCH(healthcare,C45)))&gt;0)</f>
        <v>0</v>
      </c>
      <c r="M45" s="14" cm="1">
        <f t="array" ref="M45">INT(SUMPRODUCT(--ISNUMBER(SEARCH(supreme,C45)))&gt;0)</f>
        <v>0</v>
      </c>
      <c r="N45" s="14" cm="1">
        <f t="array" ref="N45">INT(SUMPRODUCT(--ISNUMBER(SEARCH(covid,C45)))&gt;0)</f>
        <v>0</v>
      </c>
      <c r="O45" s="14" cm="1">
        <f t="array" ref="O45">INT(SUMPRODUCT(--ISNUMBER(SEARCH(violent,C45)))&gt;0)</f>
        <v>0</v>
      </c>
      <c r="P45" s="14" cm="1">
        <f t="array" ref="P45">INT(SUMPRODUCT(--ISNUMBER(SEARCH(foreign,C45)))&gt;0)</f>
        <v>0</v>
      </c>
      <c r="Q45" s="14" cm="1">
        <f t="array" ref="Q45">INT(SUMPRODUCT(--ISNUMBER(SEARCH(gun,C45)))&gt;0)</f>
        <v>0</v>
      </c>
      <c r="R45" s="14" cm="1">
        <f t="array" ref="R45">INT(SUMPRODUCT(--ISNUMBER(SEARCH(race,C45)))&gt;0)</f>
        <v>0</v>
      </c>
      <c r="S45" s="14" cm="1">
        <f t="array" ref="S45">INT(SUMPRODUCT(--ISNUMBER(SEARCH(immigration,C45)))&gt;0)</f>
        <v>0</v>
      </c>
      <c r="T45" s="14" cm="1">
        <f t="array" ref="T45">INT(SUMPRODUCT(--ISNUMBER(SEARCH(econineq,C46)))&gt;0)</f>
        <v>0</v>
      </c>
      <c r="U45" s="14" cm="1">
        <f t="array" ref="U45">INT(SUMPRODUCT(--ISNUMBER(SEARCH(climate,C45)))&gt;0)</f>
        <v>0</v>
      </c>
      <c r="V45" s="14" cm="1">
        <f t="array" ref="V45">INT(SUMPRODUCT(--ISNUMBER(SEARCH(abortion,C45)))&gt;0)</f>
        <v>0</v>
      </c>
      <c r="W45" s="14" cm="1">
        <f t="array" ref="W45">INT(SUMPRODUCT(--ISNUMBER(SEARCH(trump,C45)))&gt;0)</f>
        <v>0</v>
      </c>
      <c r="X45" s="14" cm="1">
        <f t="array" ref="X45">INT(SUMPRODUCT(--ISNUMBER(SEARCH(voting,C45)))&gt;0)</f>
        <v>1</v>
      </c>
      <c r="Y45" s="14" cm="1">
        <f t="array" ref="Y45">INT(SUMPRODUCT(--ISNUMBER(SEARCH(democrattrigger,C45)))&gt;0)</f>
        <v>0</v>
      </c>
      <c r="Z45" s="14" cm="1">
        <f t="array" ref="Z45">INT(SUMPRODUCT(--ISNUMBER(SEARCH(bipartisan,C45)))&gt;0)</f>
        <v>0</v>
      </c>
      <c r="AA45" s="14">
        <f t="shared" si="0"/>
        <v>0</v>
      </c>
      <c r="AB45" s="14"/>
      <c r="AC45" s="30" t="s">
        <v>223</v>
      </c>
      <c r="AD45" s="37" t="s">
        <v>223</v>
      </c>
    </row>
    <row r="46" spans="1:30" x14ac:dyDescent="0.25">
      <c r="A46" s="36">
        <v>3887</v>
      </c>
      <c r="B46" s="14" t="s">
        <v>7797</v>
      </c>
      <c r="C46" s="14" t="s">
        <v>7798</v>
      </c>
      <c r="D46" s="17">
        <v>44136</v>
      </c>
      <c r="E46" s="14" t="s">
        <v>30</v>
      </c>
      <c r="F46" s="14">
        <v>2510</v>
      </c>
      <c r="G46" s="14">
        <v>1008</v>
      </c>
      <c r="H46" s="14">
        <v>18</v>
      </c>
      <c r="I46" s="14">
        <v>9</v>
      </c>
      <c r="J46" s="14" t="s">
        <v>204</v>
      </c>
      <c r="K46" s="14" cm="1">
        <f t="array" ref="K46">INT(SUMPRODUCT(--ISNUMBER(SEARCH(economy,C46)))&gt;0)</f>
        <v>0</v>
      </c>
      <c r="L46" s="14" cm="1">
        <f t="array" ref="L46">INT(SUMPRODUCT(--ISNUMBER(SEARCH(healthcare,C46)))&gt;0)</f>
        <v>0</v>
      </c>
      <c r="M46" s="14" cm="1">
        <f t="array" ref="M46">INT(SUMPRODUCT(--ISNUMBER(SEARCH(supreme,C46)))&gt;0)</f>
        <v>0</v>
      </c>
      <c r="N46" s="14" cm="1">
        <f t="array" ref="N46">INT(SUMPRODUCT(--ISNUMBER(SEARCH(covid,C46)))&gt;0)</f>
        <v>0</v>
      </c>
      <c r="O46" s="14" cm="1">
        <f t="array" ref="O46">INT(SUMPRODUCT(--ISNUMBER(SEARCH(violent,C46)))&gt;0)</f>
        <v>0</v>
      </c>
      <c r="P46" s="14" cm="1">
        <f t="array" ref="P46">INT(SUMPRODUCT(--ISNUMBER(SEARCH(foreign,C46)))&gt;0)</f>
        <v>0</v>
      </c>
      <c r="Q46" s="14" cm="1">
        <f t="array" ref="Q46">INT(SUMPRODUCT(--ISNUMBER(SEARCH(gun,C46)))&gt;0)</f>
        <v>0</v>
      </c>
      <c r="R46" s="14" cm="1">
        <f t="array" ref="R46">INT(SUMPRODUCT(--ISNUMBER(SEARCH(race,C46)))&gt;0)</f>
        <v>0</v>
      </c>
      <c r="S46" s="14" cm="1">
        <f t="array" ref="S46">INT(SUMPRODUCT(--ISNUMBER(SEARCH(immigration,C46)))&gt;0)</f>
        <v>0</v>
      </c>
      <c r="T46" s="14" cm="1">
        <f t="array" ref="T46">INT(SUMPRODUCT(--ISNUMBER(SEARCH(econineq,C47)))&gt;0)</f>
        <v>0</v>
      </c>
      <c r="U46" s="14" cm="1">
        <f t="array" ref="U46">INT(SUMPRODUCT(--ISNUMBER(SEARCH(climate,C46)))&gt;0)</f>
        <v>0</v>
      </c>
      <c r="V46" s="14" cm="1">
        <f t="array" ref="V46">INT(SUMPRODUCT(--ISNUMBER(SEARCH(abortion,C46)))&gt;0)</f>
        <v>0</v>
      </c>
      <c r="W46" s="14" cm="1">
        <f t="array" ref="W46">INT(SUMPRODUCT(--ISNUMBER(SEARCH(trump,C46)))&gt;0)</f>
        <v>0</v>
      </c>
      <c r="X46" s="14" cm="1">
        <f t="array" ref="X46">INT(SUMPRODUCT(--ISNUMBER(SEARCH(voting,C46)))&gt;0)</f>
        <v>1</v>
      </c>
      <c r="Y46" s="14" cm="1">
        <f t="array" ref="Y46">INT(SUMPRODUCT(--ISNUMBER(SEARCH(democrattrigger,C46)))&gt;0)</f>
        <v>1</v>
      </c>
      <c r="Z46" s="14" cm="1">
        <f t="array" ref="Z46">INT(SUMPRODUCT(--ISNUMBER(SEARCH(bipartisan,C46)))&gt;0)</f>
        <v>0</v>
      </c>
      <c r="AA46" s="14">
        <f t="shared" si="0"/>
        <v>0</v>
      </c>
      <c r="AB46" s="14"/>
      <c r="AC46" s="30" t="s">
        <v>223</v>
      </c>
      <c r="AD46" s="37" t="s">
        <v>223</v>
      </c>
    </row>
    <row r="47" spans="1:30" x14ac:dyDescent="0.25">
      <c r="A47" s="36">
        <v>3888</v>
      </c>
      <c r="B47" s="14" t="s">
        <v>7799</v>
      </c>
      <c r="C47" s="14" t="s">
        <v>7800</v>
      </c>
      <c r="D47" s="17">
        <v>44136</v>
      </c>
      <c r="E47" s="14" t="s">
        <v>70</v>
      </c>
      <c r="F47" s="14">
        <v>3671</v>
      </c>
      <c r="G47" s="14">
        <v>1178</v>
      </c>
      <c r="H47" s="14">
        <v>18</v>
      </c>
      <c r="I47" s="14">
        <v>9</v>
      </c>
      <c r="J47" s="14" t="s">
        <v>204</v>
      </c>
      <c r="K47" s="14" cm="1">
        <f t="array" ref="K47">INT(SUMPRODUCT(--ISNUMBER(SEARCH(economy,C47)))&gt;0)</f>
        <v>0</v>
      </c>
      <c r="L47" s="14" cm="1">
        <f t="array" ref="L47">INT(SUMPRODUCT(--ISNUMBER(SEARCH(healthcare,C47)))&gt;0)</f>
        <v>0</v>
      </c>
      <c r="M47" s="14" cm="1">
        <f t="array" ref="M47">INT(SUMPRODUCT(--ISNUMBER(SEARCH(supreme,C47)))&gt;0)</f>
        <v>0</v>
      </c>
      <c r="N47" s="14" cm="1">
        <f t="array" ref="N47">INT(SUMPRODUCT(--ISNUMBER(SEARCH(covid,C47)))&gt;0)</f>
        <v>0</v>
      </c>
      <c r="O47" s="14" cm="1">
        <f t="array" ref="O47">INT(SUMPRODUCT(--ISNUMBER(SEARCH(violent,C47)))&gt;0)</f>
        <v>0</v>
      </c>
      <c r="P47" s="14" cm="1">
        <f t="array" ref="P47">INT(SUMPRODUCT(--ISNUMBER(SEARCH(foreign,C47)))&gt;0)</f>
        <v>0</v>
      </c>
      <c r="Q47" s="14" cm="1">
        <f t="array" ref="Q47">INT(SUMPRODUCT(--ISNUMBER(SEARCH(gun,C47)))&gt;0)</f>
        <v>0</v>
      </c>
      <c r="R47" s="14" cm="1">
        <f t="array" ref="R47">INT(SUMPRODUCT(--ISNUMBER(SEARCH(race,C47)))&gt;0)</f>
        <v>0</v>
      </c>
      <c r="S47" s="14" cm="1">
        <f t="array" ref="S47">INT(SUMPRODUCT(--ISNUMBER(SEARCH(immigration,C47)))&gt;0)</f>
        <v>0</v>
      </c>
      <c r="T47" s="14" cm="1">
        <f t="array" ref="T47">INT(SUMPRODUCT(--ISNUMBER(SEARCH(econineq,C48)))&gt;0)</f>
        <v>0</v>
      </c>
      <c r="U47" s="14" cm="1">
        <f t="array" ref="U47">INT(SUMPRODUCT(--ISNUMBER(SEARCH(climate,C47)))&gt;0)</f>
        <v>0</v>
      </c>
      <c r="V47" s="14" cm="1">
        <f t="array" ref="V47">INT(SUMPRODUCT(--ISNUMBER(SEARCH(abortion,C47)))&gt;0)</f>
        <v>0</v>
      </c>
      <c r="W47" s="14" cm="1">
        <f t="array" ref="W47">INT(SUMPRODUCT(--ISNUMBER(SEARCH(trump,C47)))&gt;0)</f>
        <v>0</v>
      </c>
      <c r="X47" s="14" cm="1">
        <f t="array" ref="X47">INT(SUMPRODUCT(--ISNUMBER(SEARCH(voting,C47)))&gt;0)</f>
        <v>1</v>
      </c>
      <c r="Y47" s="14" cm="1">
        <f t="array" ref="Y47">INT(SUMPRODUCT(--ISNUMBER(SEARCH(democrattrigger,C47)))&gt;0)</f>
        <v>1</v>
      </c>
      <c r="Z47" s="14" cm="1">
        <f t="array" ref="Z47">INT(SUMPRODUCT(--ISNUMBER(SEARCH(bipartisan,C47)))&gt;0)</f>
        <v>0</v>
      </c>
      <c r="AA47" s="14">
        <f t="shared" si="0"/>
        <v>0</v>
      </c>
      <c r="AB47" s="14"/>
      <c r="AC47" s="30">
        <v>0</v>
      </c>
      <c r="AD47" s="37">
        <v>1</v>
      </c>
    </row>
    <row r="48" spans="1:30" x14ac:dyDescent="0.25">
      <c r="A48" s="36">
        <v>3889</v>
      </c>
      <c r="B48" s="14" t="s">
        <v>7801</v>
      </c>
      <c r="C48" s="14" t="s">
        <v>7802</v>
      </c>
      <c r="D48" s="17">
        <v>44136</v>
      </c>
      <c r="E48" s="14" t="s">
        <v>30</v>
      </c>
      <c r="F48" s="14">
        <v>17542</v>
      </c>
      <c r="G48" s="14">
        <v>4441</v>
      </c>
      <c r="H48" s="14">
        <v>18</v>
      </c>
      <c r="I48" s="14">
        <v>9</v>
      </c>
      <c r="J48" s="14" t="s">
        <v>204</v>
      </c>
      <c r="K48" s="14" cm="1">
        <f t="array" ref="K48">INT(SUMPRODUCT(--ISNUMBER(SEARCH(economy,C48)))&gt;0)</f>
        <v>0</v>
      </c>
      <c r="L48" s="14" cm="1">
        <f t="array" ref="L48">INT(SUMPRODUCT(--ISNUMBER(SEARCH(healthcare,C48)))&gt;0)</f>
        <v>0</v>
      </c>
      <c r="M48" s="14" cm="1">
        <f t="array" ref="M48">INT(SUMPRODUCT(--ISNUMBER(SEARCH(supreme,C48)))&gt;0)</f>
        <v>0</v>
      </c>
      <c r="N48" s="14" cm="1">
        <f t="array" ref="N48">INT(SUMPRODUCT(--ISNUMBER(SEARCH(covid,C48)))&gt;0)</f>
        <v>0</v>
      </c>
      <c r="O48" s="14" cm="1">
        <f t="array" ref="O48">INT(SUMPRODUCT(--ISNUMBER(SEARCH(violent,C48)))&gt;0)</f>
        <v>0</v>
      </c>
      <c r="P48" s="14" cm="1">
        <f t="array" ref="P48">INT(SUMPRODUCT(--ISNUMBER(SEARCH(foreign,C48)))&gt;0)</f>
        <v>0</v>
      </c>
      <c r="Q48" s="14" cm="1">
        <f t="array" ref="Q48">INT(SUMPRODUCT(--ISNUMBER(SEARCH(gun,C48)))&gt;0)</f>
        <v>0</v>
      </c>
      <c r="R48" s="14" cm="1">
        <f t="array" ref="R48">INT(SUMPRODUCT(--ISNUMBER(SEARCH(race,C48)))&gt;0)</f>
        <v>0</v>
      </c>
      <c r="S48" s="14" cm="1">
        <f t="array" ref="S48">INT(SUMPRODUCT(--ISNUMBER(SEARCH(immigration,C48)))&gt;0)</f>
        <v>0</v>
      </c>
      <c r="T48" s="14" cm="1">
        <f t="array" ref="T48">INT(SUMPRODUCT(--ISNUMBER(SEARCH(econineq,C49)))&gt;0)</f>
        <v>0</v>
      </c>
      <c r="U48" s="14" cm="1">
        <f t="array" ref="U48">INT(SUMPRODUCT(--ISNUMBER(SEARCH(climate,C48)))&gt;0)</f>
        <v>0</v>
      </c>
      <c r="V48" s="14" cm="1">
        <f t="array" ref="V48">INT(SUMPRODUCT(--ISNUMBER(SEARCH(abortion,C48)))&gt;0)</f>
        <v>0</v>
      </c>
      <c r="W48" s="14" cm="1">
        <f t="array" ref="W48">INT(SUMPRODUCT(--ISNUMBER(SEARCH(trump,C48)))&gt;0)</f>
        <v>0</v>
      </c>
      <c r="X48" s="14" cm="1">
        <f t="array" ref="X48">INT(SUMPRODUCT(--ISNUMBER(SEARCH(voting,C48)))&gt;0)</f>
        <v>1</v>
      </c>
      <c r="Y48" s="14" cm="1">
        <f t="array" ref="Y48">INT(SUMPRODUCT(--ISNUMBER(SEARCH(democrattrigger,C48)))&gt;0)</f>
        <v>0</v>
      </c>
      <c r="Z48" s="14" cm="1">
        <f t="array" ref="Z48">INT(SUMPRODUCT(--ISNUMBER(SEARCH(bipartisan,C48)))&gt;0)</f>
        <v>0</v>
      </c>
      <c r="AA48" s="14">
        <f t="shared" si="0"/>
        <v>0</v>
      </c>
      <c r="AB48" s="14"/>
      <c r="AC48" s="30" t="s">
        <v>223</v>
      </c>
      <c r="AD48" s="37" t="s">
        <v>223</v>
      </c>
    </row>
    <row r="49" spans="1:30" x14ac:dyDescent="0.25">
      <c r="A49" s="36">
        <v>3890</v>
      </c>
      <c r="B49" s="14" t="s">
        <v>7803</v>
      </c>
      <c r="C49" s="14" t="s">
        <v>7804</v>
      </c>
      <c r="D49" s="17">
        <v>44135</v>
      </c>
      <c r="E49" s="14" t="s">
        <v>30</v>
      </c>
      <c r="F49" s="14">
        <v>1906</v>
      </c>
      <c r="G49" s="14">
        <v>318</v>
      </c>
      <c r="H49" s="14">
        <v>18</v>
      </c>
      <c r="I49" s="14">
        <v>9</v>
      </c>
      <c r="J49" s="14" t="s">
        <v>204</v>
      </c>
      <c r="K49" s="14" cm="1">
        <f t="array" ref="K49">INT(SUMPRODUCT(--ISNUMBER(SEARCH(economy,C49)))&gt;0)</f>
        <v>0</v>
      </c>
      <c r="L49" s="14" cm="1">
        <f t="array" ref="L49">INT(SUMPRODUCT(--ISNUMBER(SEARCH(healthcare,C49)))&gt;0)</f>
        <v>0</v>
      </c>
      <c r="M49" s="14" cm="1">
        <f t="array" ref="M49">INT(SUMPRODUCT(--ISNUMBER(SEARCH(supreme,C49)))&gt;0)</f>
        <v>0</v>
      </c>
      <c r="N49" s="14" cm="1">
        <f t="array" ref="N49">INT(SUMPRODUCT(--ISNUMBER(SEARCH(covid,C49)))&gt;0)</f>
        <v>0</v>
      </c>
      <c r="O49" s="14" cm="1">
        <f t="array" ref="O49">INT(SUMPRODUCT(--ISNUMBER(SEARCH(violent,C49)))&gt;0)</f>
        <v>0</v>
      </c>
      <c r="P49" s="14" cm="1">
        <f t="array" ref="P49">INT(SUMPRODUCT(--ISNUMBER(SEARCH(foreign,C49)))&gt;0)</f>
        <v>0</v>
      </c>
      <c r="Q49" s="14" cm="1">
        <f t="array" ref="Q49">INT(SUMPRODUCT(--ISNUMBER(SEARCH(gun,C49)))&gt;0)</f>
        <v>0</v>
      </c>
      <c r="R49" s="14" cm="1">
        <f t="array" ref="R49">INT(SUMPRODUCT(--ISNUMBER(SEARCH(race,C49)))&gt;0)</f>
        <v>0</v>
      </c>
      <c r="S49" s="14" cm="1">
        <f t="array" ref="S49">INT(SUMPRODUCT(--ISNUMBER(SEARCH(immigration,C49)))&gt;0)</f>
        <v>0</v>
      </c>
      <c r="T49" s="14" cm="1">
        <f t="array" ref="T49">INT(SUMPRODUCT(--ISNUMBER(SEARCH(econineq,C50)))&gt;0)</f>
        <v>0</v>
      </c>
      <c r="U49" s="14" cm="1">
        <f t="array" ref="U49">INT(SUMPRODUCT(--ISNUMBER(SEARCH(climate,C49)))&gt;0)</f>
        <v>0</v>
      </c>
      <c r="V49" s="14" cm="1">
        <f t="array" ref="V49">INT(SUMPRODUCT(--ISNUMBER(SEARCH(abortion,C49)))&gt;0)</f>
        <v>0</v>
      </c>
      <c r="W49" s="14" cm="1">
        <f t="array" ref="W49">INT(SUMPRODUCT(--ISNUMBER(SEARCH(trump,C49)))&gt;0)</f>
        <v>0</v>
      </c>
      <c r="X49" s="14" cm="1">
        <f t="array" ref="X49">INT(SUMPRODUCT(--ISNUMBER(SEARCH(voting,C49)))&gt;0)</f>
        <v>1</v>
      </c>
      <c r="Y49" s="14" cm="1">
        <f t="array" ref="Y49">INT(SUMPRODUCT(--ISNUMBER(SEARCH(democrattrigger,C49)))&gt;0)</f>
        <v>0</v>
      </c>
      <c r="Z49" s="14" cm="1">
        <f t="array" ref="Z49">INT(SUMPRODUCT(--ISNUMBER(SEARCH(bipartisan,C49)))&gt;0)</f>
        <v>0</v>
      </c>
      <c r="AA49" s="14">
        <f t="shared" si="0"/>
        <v>0</v>
      </c>
      <c r="AB49" s="14"/>
      <c r="AC49" s="30" t="s">
        <v>223</v>
      </c>
      <c r="AD49" s="37" t="s">
        <v>223</v>
      </c>
    </row>
    <row r="50" spans="1:30" x14ac:dyDescent="0.25">
      <c r="A50" s="36">
        <v>3891</v>
      </c>
      <c r="B50" s="14" t="s">
        <v>7805</v>
      </c>
      <c r="C50" s="14" t="s">
        <v>7806</v>
      </c>
      <c r="D50" s="17">
        <v>44135</v>
      </c>
      <c r="E50" s="14" t="s">
        <v>30</v>
      </c>
      <c r="F50" s="14">
        <v>730</v>
      </c>
      <c r="G50" s="14">
        <v>105</v>
      </c>
      <c r="H50" s="14">
        <v>18</v>
      </c>
      <c r="I50" s="14">
        <v>9</v>
      </c>
      <c r="J50" s="14" t="s">
        <v>204</v>
      </c>
      <c r="K50" s="14" cm="1">
        <f t="array" ref="K50">INT(SUMPRODUCT(--ISNUMBER(SEARCH(economy,C50)))&gt;0)</f>
        <v>0</v>
      </c>
      <c r="L50" s="14" cm="1">
        <f t="array" ref="L50">INT(SUMPRODUCT(--ISNUMBER(SEARCH(healthcare,C50)))&gt;0)</f>
        <v>0</v>
      </c>
      <c r="M50" s="14" cm="1">
        <f t="array" ref="M50">INT(SUMPRODUCT(--ISNUMBER(SEARCH(supreme,C50)))&gt;0)</f>
        <v>0</v>
      </c>
      <c r="N50" s="14" cm="1">
        <f t="array" ref="N50">INT(SUMPRODUCT(--ISNUMBER(SEARCH(covid,C50)))&gt;0)</f>
        <v>0</v>
      </c>
      <c r="O50" s="14" cm="1">
        <f t="array" ref="O50">INT(SUMPRODUCT(--ISNUMBER(SEARCH(violent,C50)))&gt;0)</f>
        <v>0</v>
      </c>
      <c r="P50" s="14" cm="1">
        <f t="array" ref="P50">INT(SUMPRODUCT(--ISNUMBER(SEARCH(foreign,C50)))&gt;0)</f>
        <v>0</v>
      </c>
      <c r="Q50" s="14" cm="1">
        <f t="array" ref="Q50">INT(SUMPRODUCT(--ISNUMBER(SEARCH(gun,C50)))&gt;0)</f>
        <v>0</v>
      </c>
      <c r="R50" s="14" cm="1">
        <f t="array" ref="R50">INT(SUMPRODUCT(--ISNUMBER(SEARCH(race,C50)))&gt;0)</f>
        <v>0</v>
      </c>
      <c r="S50" s="14" cm="1">
        <f t="array" ref="S50">INT(SUMPRODUCT(--ISNUMBER(SEARCH(immigration,C50)))&gt;0)</f>
        <v>0</v>
      </c>
      <c r="T50" s="14" cm="1">
        <f t="array" ref="T50">INT(SUMPRODUCT(--ISNUMBER(SEARCH(econineq,C51)))&gt;0)</f>
        <v>0</v>
      </c>
      <c r="U50" s="14" cm="1">
        <f t="array" ref="U50">INT(SUMPRODUCT(--ISNUMBER(SEARCH(climate,C50)))&gt;0)</f>
        <v>0</v>
      </c>
      <c r="V50" s="14" cm="1">
        <f t="array" ref="V50">INT(SUMPRODUCT(--ISNUMBER(SEARCH(abortion,C50)))&gt;0)</f>
        <v>0</v>
      </c>
      <c r="W50" s="14" cm="1">
        <f t="array" ref="W50">INT(SUMPRODUCT(--ISNUMBER(SEARCH(trump,C50)))&gt;0)</f>
        <v>0</v>
      </c>
      <c r="X50" s="14" cm="1">
        <f t="array" ref="X50">INT(SUMPRODUCT(--ISNUMBER(SEARCH(voting,C50)))&gt;0)</f>
        <v>1</v>
      </c>
      <c r="Y50" s="14" cm="1">
        <f t="array" ref="Y50">INT(SUMPRODUCT(--ISNUMBER(SEARCH(democrattrigger,C50)))&gt;0)</f>
        <v>0</v>
      </c>
      <c r="Z50" s="14" cm="1">
        <f t="array" ref="Z50">INT(SUMPRODUCT(--ISNUMBER(SEARCH(bipartisan,C50)))&gt;0)</f>
        <v>0</v>
      </c>
      <c r="AA50" s="14">
        <f t="shared" si="0"/>
        <v>0</v>
      </c>
      <c r="AB50" s="14"/>
      <c r="AC50" s="30">
        <v>1</v>
      </c>
      <c r="AD50" s="37">
        <v>0</v>
      </c>
    </row>
    <row r="51" spans="1:30" x14ac:dyDescent="0.25">
      <c r="A51" s="36">
        <v>3892</v>
      </c>
      <c r="B51" s="14" t="s">
        <v>7807</v>
      </c>
      <c r="C51" s="14" t="s">
        <v>7808</v>
      </c>
      <c r="D51" s="17">
        <v>44135</v>
      </c>
      <c r="E51" s="14" t="s">
        <v>30</v>
      </c>
      <c r="F51" s="14">
        <v>1043</v>
      </c>
      <c r="G51" s="14">
        <v>175</v>
      </c>
      <c r="H51" s="14">
        <v>18</v>
      </c>
      <c r="I51" s="14">
        <v>9</v>
      </c>
      <c r="J51" s="14" t="s">
        <v>204</v>
      </c>
      <c r="K51" s="14" cm="1">
        <f t="array" ref="K51">INT(SUMPRODUCT(--ISNUMBER(SEARCH(economy,C51)))&gt;0)</f>
        <v>0</v>
      </c>
      <c r="L51" s="14" cm="1">
        <f t="array" ref="L51">INT(SUMPRODUCT(--ISNUMBER(SEARCH(healthcare,C51)))&gt;0)</f>
        <v>0</v>
      </c>
      <c r="M51" s="14" cm="1">
        <f t="array" ref="M51">INT(SUMPRODUCT(--ISNUMBER(SEARCH(supreme,C51)))&gt;0)</f>
        <v>0</v>
      </c>
      <c r="N51" s="14" cm="1">
        <f t="array" ref="N51">INT(SUMPRODUCT(--ISNUMBER(SEARCH(covid,C51)))&gt;0)</f>
        <v>0</v>
      </c>
      <c r="O51" s="14" cm="1">
        <f t="array" ref="O51">INT(SUMPRODUCT(--ISNUMBER(SEARCH(violent,C51)))&gt;0)</f>
        <v>0</v>
      </c>
      <c r="P51" s="14" cm="1">
        <f t="array" ref="P51">INT(SUMPRODUCT(--ISNUMBER(SEARCH(foreign,C51)))&gt;0)</f>
        <v>0</v>
      </c>
      <c r="Q51" s="14" cm="1">
        <f t="array" ref="Q51">INT(SUMPRODUCT(--ISNUMBER(SEARCH(gun,C51)))&gt;0)</f>
        <v>0</v>
      </c>
      <c r="R51" s="14" cm="1">
        <f t="array" ref="R51">INT(SUMPRODUCT(--ISNUMBER(SEARCH(race,C51)))&gt;0)</f>
        <v>0</v>
      </c>
      <c r="S51" s="14" cm="1">
        <f t="array" ref="S51">INT(SUMPRODUCT(--ISNUMBER(SEARCH(immigration,C51)))&gt;0)</f>
        <v>0</v>
      </c>
      <c r="T51" s="14" cm="1">
        <f t="array" ref="T51">INT(SUMPRODUCT(--ISNUMBER(SEARCH(econineq,C52)))&gt;0)</f>
        <v>0</v>
      </c>
      <c r="U51" s="14" cm="1">
        <f t="array" ref="U51">INT(SUMPRODUCT(--ISNUMBER(SEARCH(climate,C51)))&gt;0)</f>
        <v>0</v>
      </c>
      <c r="V51" s="14" cm="1">
        <f t="array" ref="V51">INT(SUMPRODUCT(--ISNUMBER(SEARCH(abortion,C51)))&gt;0)</f>
        <v>0</v>
      </c>
      <c r="W51" s="14" cm="1">
        <f t="array" ref="W51">INT(SUMPRODUCT(--ISNUMBER(SEARCH(trump,C51)))&gt;0)</f>
        <v>0</v>
      </c>
      <c r="X51" s="14" cm="1">
        <f t="array" ref="X51">INT(SUMPRODUCT(--ISNUMBER(SEARCH(voting,C51)))&gt;0)</f>
        <v>0</v>
      </c>
      <c r="Y51" s="14" cm="1">
        <f t="array" ref="Y51">INT(SUMPRODUCT(--ISNUMBER(SEARCH(democrattrigger,C51)))&gt;0)</f>
        <v>0</v>
      </c>
      <c r="Z51" s="14" cm="1">
        <f t="array" ref="Z51">INT(SUMPRODUCT(--ISNUMBER(SEARCH(bipartisan,C51)))&gt;0)</f>
        <v>0</v>
      </c>
      <c r="AA51" s="14">
        <f t="shared" si="0"/>
        <v>1</v>
      </c>
      <c r="AB51" s="14"/>
      <c r="AC51" s="30" t="s">
        <v>223</v>
      </c>
      <c r="AD51" s="37" t="s">
        <v>223</v>
      </c>
    </row>
    <row r="52" spans="1:30" x14ac:dyDescent="0.25">
      <c r="A52" s="36">
        <v>3893</v>
      </c>
      <c r="B52" s="14" t="s">
        <v>7809</v>
      </c>
      <c r="C52" s="14" t="s">
        <v>7810</v>
      </c>
      <c r="D52" s="17">
        <v>44135</v>
      </c>
      <c r="E52" s="14" t="s">
        <v>30</v>
      </c>
      <c r="F52" s="14">
        <v>1061</v>
      </c>
      <c r="G52" s="14">
        <v>230</v>
      </c>
      <c r="H52" s="14">
        <v>18</v>
      </c>
      <c r="I52" s="14">
        <v>9</v>
      </c>
      <c r="J52" s="14" t="s">
        <v>204</v>
      </c>
      <c r="K52" s="14" cm="1">
        <f t="array" ref="K52">INT(SUMPRODUCT(--ISNUMBER(SEARCH(economy,C52)))&gt;0)</f>
        <v>0</v>
      </c>
      <c r="L52" s="14" cm="1">
        <f t="array" ref="L52">INT(SUMPRODUCT(--ISNUMBER(SEARCH(healthcare,C52)))&gt;0)</f>
        <v>0</v>
      </c>
      <c r="M52" s="14" cm="1">
        <f t="array" ref="M52">INT(SUMPRODUCT(--ISNUMBER(SEARCH(supreme,C52)))&gt;0)</f>
        <v>0</v>
      </c>
      <c r="N52" s="14" cm="1">
        <f t="array" ref="N52">INT(SUMPRODUCT(--ISNUMBER(SEARCH(covid,C52)))&gt;0)</f>
        <v>0</v>
      </c>
      <c r="O52" s="14" cm="1">
        <f t="array" ref="O52">INT(SUMPRODUCT(--ISNUMBER(SEARCH(violent,C52)))&gt;0)</f>
        <v>0</v>
      </c>
      <c r="P52" s="14" cm="1">
        <f t="array" ref="P52">INT(SUMPRODUCT(--ISNUMBER(SEARCH(foreign,C52)))&gt;0)</f>
        <v>0</v>
      </c>
      <c r="Q52" s="14" cm="1">
        <f t="array" ref="Q52">INT(SUMPRODUCT(--ISNUMBER(SEARCH(gun,C52)))&gt;0)</f>
        <v>0</v>
      </c>
      <c r="R52" s="14" cm="1">
        <f t="array" ref="R52">INT(SUMPRODUCT(--ISNUMBER(SEARCH(race,C52)))&gt;0)</f>
        <v>0</v>
      </c>
      <c r="S52" s="14" cm="1">
        <f t="array" ref="S52">INT(SUMPRODUCT(--ISNUMBER(SEARCH(immigration,C52)))&gt;0)</f>
        <v>0</v>
      </c>
      <c r="T52" s="14" cm="1">
        <f t="array" ref="T52">INT(SUMPRODUCT(--ISNUMBER(SEARCH(econineq,C53)))&gt;0)</f>
        <v>0</v>
      </c>
      <c r="U52" s="14" cm="1">
        <f t="array" ref="U52">INT(SUMPRODUCT(--ISNUMBER(SEARCH(climate,C52)))&gt;0)</f>
        <v>0</v>
      </c>
      <c r="V52" s="14" cm="1">
        <f t="array" ref="V52">INT(SUMPRODUCT(--ISNUMBER(SEARCH(abortion,C52)))&gt;0)</f>
        <v>0</v>
      </c>
      <c r="W52" s="14" cm="1">
        <f t="array" ref="W52">INT(SUMPRODUCT(--ISNUMBER(SEARCH(trump,C52)))&gt;0)</f>
        <v>0</v>
      </c>
      <c r="X52" s="14" cm="1">
        <f t="array" ref="X52">INT(SUMPRODUCT(--ISNUMBER(SEARCH(voting,C52)))&gt;0)</f>
        <v>1</v>
      </c>
      <c r="Y52" s="14" cm="1">
        <f t="array" ref="Y52">INT(SUMPRODUCT(--ISNUMBER(SEARCH(democrattrigger,C52)))&gt;0)</f>
        <v>0</v>
      </c>
      <c r="Z52" s="14" cm="1">
        <f t="array" ref="Z52">INT(SUMPRODUCT(--ISNUMBER(SEARCH(bipartisan,C52)))&gt;0)</f>
        <v>0</v>
      </c>
      <c r="AA52" s="14">
        <f t="shared" si="0"/>
        <v>0</v>
      </c>
      <c r="AB52" s="14"/>
      <c r="AC52" s="30">
        <v>1</v>
      </c>
      <c r="AD52" s="37">
        <v>0</v>
      </c>
    </row>
    <row r="53" spans="1:30" x14ac:dyDescent="0.25">
      <c r="A53" s="36">
        <v>3894</v>
      </c>
      <c r="B53" s="14" t="s">
        <v>7811</v>
      </c>
      <c r="C53" s="14" t="s">
        <v>7812</v>
      </c>
      <c r="D53" s="17">
        <v>44135</v>
      </c>
      <c r="E53" s="14" t="s">
        <v>30</v>
      </c>
      <c r="F53" s="14">
        <v>932</v>
      </c>
      <c r="G53" s="14">
        <v>475</v>
      </c>
      <c r="H53" s="14">
        <v>18</v>
      </c>
      <c r="I53" s="14">
        <v>9</v>
      </c>
      <c r="J53" s="14" t="s">
        <v>204</v>
      </c>
      <c r="K53" s="14" cm="1">
        <f t="array" ref="K53">INT(SUMPRODUCT(--ISNUMBER(SEARCH(economy,C53)))&gt;0)</f>
        <v>0</v>
      </c>
      <c r="L53" s="14" cm="1">
        <f t="array" ref="L53">INT(SUMPRODUCT(--ISNUMBER(SEARCH(healthcare,C53)))&gt;0)</f>
        <v>0</v>
      </c>
      <c r="M53" s="14" cm="1">
        <f t="array" ref="M53">INT(SUMPRODUCT(--ISNUMBER(SEARCH(supreme,C53)))&gt;0)</f>
        <v>0</v>
      </c>
      <c r="N53" s="14" cm="1">
        <f t="array" ref="N53">INT(SUMPRODUCT(--ISNUMBER(SEARCH(covid,C53)))&gt;0)</f>
        <v>0</v>
      </c>
      <c r="O53" s="14" cm="1">
        <f t="array" ref="O53">INT(SUMPRODUCT(--ISNUMBER(SEARCH(violent,C53)))&gt;0)</f>
        <v>0</v>
      </c>
      <c r="P53" s="14" cm="1">
        <f t="array" ref="P53">INT(SUMPRODUCT(--ISNUMBER(SEARCH(foreign,C53)))&gt;0)</f>
        <v>0</v>
      </c>
      <c r="Q53" s="14" cm="1">
        <f t="array" ref="Q53">INT(SUMPRODUCT(--ISNUMBER(SEARCH(gun,C53)))&gt;0)</f>
        <v>0</v>
      </c>
      <c r="R53" s="14" cm="1">
        <f t="array" ref="R53">INT(SUMPRODUCT(--ISNUMBER(SEARCH(race,C53)))&gt;0)</f>
        <v>0</v>
      </c>
      <c r="S53" s="14" cm="1">
        <f t="array" ref="S53">INT(SUMPRODUCT(--ISNUMBER(SEARCH(immigration,C53)))&gt;0)</f>
        <v>0</v>
      </c>
      <c r="T53" s="14" cm="1">
        <f t="array" ref="T53">INT(SUMPRODUCT(--ISNUMBER(SEARCH(econineq,C54)))&gt;0)</f>
        <v>0</v>
      </c>
      <c r="U53" s="14" cm="1">
        <f t="array" ref="U53">INT(SUMPRODUCT(--ISNUMBER(SEARCH(climate,C53)))&gt;0)</f>
        <v>0</v>
      </c>
      <c r="V53" s="14" cm="1">
        <f t="array" ref="V53">INT(SUMPRODUCT(--ISNUMBER(SEARCH(abortion,C53)))&gt;0)</f>
        <v>0</v>
      </c>
      <c r="W53" s="14" cm="1">
        <f t="array" ref="W53">INT(SUMPRODUCT(--ISNUMBER(SEARCH(trump,C53)))&gt;0)</f>
        <v>0</v>
      </c>
      <c r="X53" s="14" cm="1">
        <f t="array" ref="X53">INT(SUMPRODUCT(--ISNUMBER(SEARCH(voting,C53)))&gt;0)</f>
        <v>1</v>
      </c>
      <c r="Y53" s="14" cm="1">
        <f t="array" ref="Y53">INT(SUMPRODUCT(--ISNUMBER(SEARCH(democrattrigger,C53)))&gt;0)</f>
        <v>0</v>
      </c>
      <c r="Z53" s="14" cm="1">
        <f t="array" ref="Z53">INT(SUMPRODUCT(--ISNUMBER(SEARCH(bipartisan,C53)))&gt;0)</f>
        <v>0</v>
      </c>
      <c r="AA53" s="14">
        <f t="shared" si="0"/>
        <v>0</v>
      </c>
      <c r="AB53" s="14"/>
      <c r="AC53" s="30" t="s">
        <v>223</v>
      </c>
      <c r="AD53" s="37" t="s">
        <v>223</v>
      </c>
    </row>
    <row r="54" spans="1:30" x14ac:dyDescent="0.25">
      <c r="A54" s="36">
        <v>3895</v>
      </c>
      <c r="B54" s="14" t="s">
        <v>7813</v>
      </c>
      <c r="C54" s="14" t="s">
        <v>7814</v>
      </c>
      <c r="D54" s="17">
        <v>44135</v>
      </c>
      <c r="E54" s="14" t="s">
        <v>30</v>
      </c>
      <c r="F54" s="14">
        <v>692</v>
      </c>
      <c r="G54" s="14">
        <v>129</v>
      </c>
      <c r="H54" s="14">
        <v>18</v>
      </c>
      <c r="I54" s="14">
        <v>9</v>
      </c>
      <c r="J54" s="14" t="s">
        <v>204</v>
      </c>
      <c r="K54" s="14" cm="1">
        <f t="array" ref="K54">INT(SUMPRODUCT(--ISNUMBER(SEARCH(economy,C54)))&gt;0)</f>
        <v>0</v>
      </c>
      <c r="L54" s="14" cm="1">
        <f t="array" ref="L54">INT(SUMPRODUCT(--ISNUMBER(SEARCH(healthcare,C54)))&gt;0)</f>
        <v>0</v>
      </c>
      <c r="M54" s="14" cm="1">
        <f t="array" ref="M54">INT(SUMPRODUCT(--ISNUMBER(SEARCH(supreme,C54)))&gt;0)</f>
        <v>0</v>
      </c>
      <c r="N54" s="14" cm="1">
        <f t="array" ref="N54">INT(SUMPRODUCT(--ISNUMBER(SEARCH(covid,C54)))&gt;0)</f>
        <v>0</v>
      </c>
      <c r="O54" s="14" cm="1">
        <f t="array" ref="O54">INT(SUMPRODUCT(--ISNUMBER(SEARCH(violent,C54)))&gt;0)</f>
        <v>0</v>
      </c>
      <c r="P54" s="14" cm="1">
        <f t="array" ref="P54">INT(SUMPRODUCT(--ISNUMBER(SEARCH(foreign,C54)))&gt;0)</f>
        <v>0</v>
      </c>
      <c r="Q54" s="14" cm="1">
        <f t="array" ref="Q54">INT(SUMPRODUCT(--ISNUMBER(SEARCH(gun,C54)))&gt;0)</f>
        <v>0</v>
      </c>
      <c r="R54" s="14" cm="1">
        <f t="array" ref="R54">INT(SUMPRODUCT(--ISNUMBER(SEARCH(race,C54)))&gt;0)</f>
        <v>0</v>
      </c>
      <c r="S54" s="14" cm="1">
        <f t="array" ref="S54">INT(SUMPRODUCT(--ISNUMBER(SEARCH(immigration,C54)))&gt;0)</f>
        <v>0</v>
      </c>
      <c r="T54" s="14" cm="1">
        <f t="array" ref="T54">INT(SUMPRODUCT(--ISNUMBER(SEARCH(econineq,C55)))&gt;0)</f>
        <v>0</v>
      </c>
      <c r="U54" s="14" cm="1">
        <f t="array" ref="U54">INT(SUMPRODUCT(--ISNUMBER(SEARCH(climate,C54)))&gt;0)</f>
        <v>0</v>
      </c>
      <c r="V54" s="14" cm="1">
        <f t="array" ref="V54">INT(SUMPRODUCT(--ISNUMBER(SEARCH(abortion,C54)))&gt;0)</f>
        <v>0</v>
      </c>
      <c r="W54" s="14" cm="1">
        <f t="array" ref="W54">INT(SUMPRODUCT(--ISNUMBER(SEARCH(trump,C54)))&gt;0)</f>
        <v>0</v>
      </c>
      <c r="X54" s="14" cm="1">
        <f t="array" ref="X54">INT(SUMPRODUCT(--ISNUMBER(SEARCH(voting,C54)))&gt;0)</f>
        <v>1</v>
      </c>
      <c r="Y54" s="14" cm="1">
        <f t="array" ref="Y54">INT(SUMPRODUCT(--ISNUMBER(SEARCH(democrattrigger,C54)))&gt;0)</f>
        <v>0</v>
      </c>
      <c r="Z54" s="14" cm="1">
        <f t="array" ref="Z54">INT(SUMPRODUCT(--ISNUMBER(SEARCH(bipartisan,C54)))&gt;0)</f>
        <v>0</v>
      </c>
      <c r="AA54" s="14">
        <f t="shared" si="0"/>
        <v>0</v>
      </c>
      <c r="AB54" s="14"/>
      <c r="AC54" s="30" t="s">
        <v>223</v>
      </c>
      <c r="AD54" s="37" t="s">
        <v>223</v>
      </c>
    </row>
    <row r="55" spans="1:30" x14ac:dyDescent="0.25">
      <c r="A55" s="36">
        <v>3896</v>
      </c>
      <c r="B55" s="14" t="s">
        <v>7815</v>
      </c>
      <c r="C55" s="14" t="s">
        <v>7816</v>
      </c>
      <c r="D55" s="17">
        <v>44135</v>
      </c>
      <c r="E55" s="14" t="s">
        <v>30</v>
      </c>
      <c r="F55" s="14">
        <v>1600</v>
      </c>
      <c r="G55" s="14">
        <v>318</v>
      </c>
      <c r="H55" s="14">
        <v>18</v>
      </c>
      <c r="I55" s="14">
        <v>9</v>
      </c>
      <c r="J55" s="14" t="s">
        <v>204</v>
      </c>
      <c r="K55" s="14" cm="1">
        <f t="array" ref="K55">INT(SUMPRODUCT(--ISNUMBER(SEARCH(economy,C55)))&gt;0)</f>
        <v>0</v>
      </c>
      <c r="L55" s="14" cm="1">
        <f t="array" ref="L55">INT(SUMPRODUCT(--ISNUMBER(SEARCH(healthcare,C55)))&gt;0)</f>
        <v>0</v>
      </c>
      <c r="M55" s="14" cm="1">
        <f t="array" ref="M55">INT(SUMPRODUCT(--ISNUMBER(SEARCH(supreme,C55)))&gt;0)</f>
        <v>0</v>
      </c>
      <c r="N55" s="14" cm="1">
        <f t="array" ref="N55">INT(SUMPRODUCT(--ISNUMBER(SEARCH(covid,C55)))&gt;0)</f>
        <v>0</v>
      </c>
      <c r="O55" s="14" cm="1">
        <f t="array" ref="O55">INT(SUMPRODUCT(--ISNUMBER(SEARCH(violent,C55)))&gt;0)</f>
        <v>0</v>
      </c>
      <c r="P55" s="14" cm="1">
        <f t="array" ref="P55">INT(SUMPRODUCT(--ISNUMBER(SEARCH(foreign,C55)))&gt;0)</f>
        <v>0</v>
      </c>
      <c r="Q55" s="14" cm="1">
        <f t="array" ref="Q55">INT(SUMPRODUCT(--ISNUMBER(SEARCH(gun,C55)))&gt;0)</f>
        <v>0</v>
      </c>
      <c r="R55" s="14" cm="1">
        <f t="array" ref="R55">INT(SUMPRODUCT(--ISNUMBER(SEARCH(race,C55)))&gt;0)</f>
        <v>0</v>
      </c>
      <c r="S55" s="14" cm="1">
        <f t="array" ref="S55">INT(SUMPRODUCT(--ISNUMBER(SEARCH(immigration,C55)))&gt;0)</f>
        <v>0</v>
      </c>
      <c r="T55" s="14" cm="1">
        <f t="array" ref="T55">INT(SUMPRODUCT(--ISNUMBER(SEARCH(econineq,C56)))&gt;0)</f>
        <v>0</v>
      </c>
      <c r="U55" s="14" cm="1">
        <f t="array" ref="U55">INT(SUMPRODUCT(--ISNUMBER(SEARCH(climate,C55)))&gt;0)</f>
        <v>0</v>
      </c>
      <c r="V55" s="14" cm="1">
        <f t="array" ref="V55">INT(SUMPRODUCT(--ISNUMBER(SEARCH(abortion,C55)))&gt;0)</f>
        <v>0</v>
      </c>
      <c r="W55" s="14" cm="1">
        <f t="array" ref="W55">INT(SUMPRODUCT(--ISNUMBER(SEARCH(trump,C55)))&gt;0)</f>
        <v>0</v>
      </c>
      <c r="X55" s="14" cm="1">
        <f t="array" ref="X55">INT(SUMPRODUCT(--ISNUMBER(SEARCH(voting,C55)))&gt;0)</f>
        <v>0</v>
      </c>
      <c r="Y55" s="14" cm="1">
        <f t="array" ref="Y55">INT(SUMPRODUCT(--ISNUMBER(SEARCH(democrattrigger,C55)))&gt;0)</f>
        <v>0</v>
      </c>
      <c r="Z55" s="14" cm="1">
        <f t="array" ref="Z55">INT(SUMPRODUCT(--ISNUMBER(SEARCH(bipartisan,C55)))&gt;0)</f>
        <v>0</v>
      </c>
      <c r="AA55" s="14">
        <f t="shared" si="0"/>
        <v>1</v>
      </c>
      <c r="AB55" s="14"/>
      <c r="AC55" s="30">
        <v>1</v>
      </c>
      <c r="AD55" s="37">
        <v>0</v>
      </c>
    </row>
    <row r="56" spans="1:30" x14ac:dyDescent="0.25">
      <c r="A56" s="36">
        <v>3897</v>
      </c>
      <c r="B56" s="14" t="s">
        <v>7817</v>
      </c>
      <c r="C56" s="14" t="s">
        <v>7818</v>
      </c>
      <c r="D56" s="17">
        <v>44135</v>
      </c>
      <c r="E56" s="14" t="s">
        <v>30</v>
      </c>
      <c r="F56" s="14">
        <v>4687</v>
      </c>
      <c r="G56" s="14">
        <v>1256</v>
      </c>
      <c r="H56" s="14">
        <v>18</v>
      </c>
      <c r="I56" s="14">
        <v>9</v>
      </c>
      <c r="J56" s="14" t="s">
        <v>204</v>
      </c>
      <c r="K56" s="14" cm="1">
        <f t="array" ref="K56">INT(SUMPRODUCT(--ISNUMBER(SEARCH(economy,C56)))&gt;0)</f>
        <v>0</v>
      </c>
      <c r="L56" s="14" cm="1">
        <f t="array" ref="L56">INT(SUMPRODUCT(--ISNUMBER(SEARCH(healthcare,C56)))&gt;0)</f>
        <v>0</v>
      </c>
      <c r="M56" s="14" cm="1">
        <f t="array" ref="M56">INT(SUMPRODUCT(--ISNUMBER(SEARCH(supreme,C56)))&gt;0)</f>
        <v>0</v>
      </c>
      <c r="N56" s="14" cm="1">
        <f t="array" ref="N56">INT(SUMPRODUCT(--ISNUMBER(SEARCH(covid,C56)))&gt;0)</f>
        <v>0</v>
      </c>
      <c r="O56" s="14" cm="1">
        <f t="array" ref="O56">INT(SUMPRODUCT(--ISNUMBER(SEARCH(violent,C56)))&gt;0)</f>
        <v>0</v>
      </c>
      <c r="P56" s="14" cm="1">
        <f t="array" ref="P56">INT(SUMPRODUCT(--ISNUMBER(SEARCH(foreign,C56)))&gt;0)</f>
        <v>0</v>
      </c>
      <c r="Q56" s="14" cm="1">
        <f t="array" ref="Q56">INT(SUMPRODUCT(--ISNUMBER(SEARCH(gun,C56)))&gt;0)</f>
        <v>0</v>
      </c>
      <c r="R56" s="14" cm="1">
        <f t="array" ref="R56">INT(SUMPRODUCT(--ISNUMBER(SEARCH(race,C56)))&gt;0)</f>
        <v>0</v>
      </c>
      <c r="S56" s="14" cm="1">
        <f t="array" ref="S56">INT(SUMPRODUCT(--ISNUMBER(SEARCH(immigration,C56)))&gt;0)</f>
        <v>0</v>
      </c>
      <c r="T56" s="14" cm="1">
        <f t="array" ref="T56">INT(SUMPRODUCT(--ISNUMBER(SEARCH(econineq,C57)))&gt;0)</f>
        <v>0</v>
      </c>
      <c r="U56" s="14" cm="1">
        <f t="array" ref="U56">INT(SUMPRODUCT(--ISNUMBER(SEARCH(climate,C56)))&gt;0)</f>
        <v>0</v>
      </c>
      <c r="V56" s="14" cm="1">
        <f t="array" ref="V56">INT(SUMPRODUCT(--ISNUMBER(SEARCH(abortion,C56)))&gt;0)</f>
        <v>0</v>
      </c>
      <c r="W56" s="14" cm="1">
        <f t="array" ref="W56">INT(SUMPRODUCT(--ISNUMBER(SEARCH(trump,C56)))&gt;0)</f>
        <v>0</v>
      </c>
      <c r="X56" s="14" cm="1">
        <f t="array" ref="X56">INT(SUMPRODUCT(--ISNUMBER(SEARCH(voting,C56)))&gt;0)</f>
        <v>0</v>
      </c>
      <c r="Y56" s="14" cm="1">
        <f t="array" ref="Y56">INT(SUMPRODUCT(--ISNUMBER(SEARCH(democrattrigger,C56)))&gt;0)</f>
        <v>1</v>
      </c>
      <c r="Z56" s="14" cm="1">
        <f t="array" ref="Z56">INT(SUMPRODUCT(--ISNUMBER(SEARCH(bipartisan,C56)))&gt;0)</f>
        <v>0</v>
      </c>
      <c r="AA56" s="14">
        <f t="shared" si="0"/>
        <v>0</v>
      </c>
      <c r="AB56" s="14"/>
      <c r="AC56" s="30" t="s">
        <v>223</v>
      </c>
      <c r="AD56" s="37" t="s">
        <v>223</v>
      </c>
    </row>
    <row r="57" spans="1:30" x14ac:dyDescent="0.25">
      <c r="A57" s="36">
        <v>3898</v>
      </c>
      <c r="B57" s="14" t="s">
        <v>7819</v>
      </c>
      <c r="C57" s="14" t="s">
        <v>7820</v>
      </c>
      <c r="D57" s="17">
        <v>44135</v>
      </c>
      <c r="E57" s="14" t="s">
        <v>30</v>
      </c>
      <c r="F57" s="14">
        <v>1581</v>
      </c>
      <c r="G57" s="14">
        <v>313</v>
      </c>
      <c r="H57" s="14">
        <v>18</v>
      </c>
      <c r="I57" s="14">
        <v>9</v>
      </c>
      <c r="J57" s="14" t="s">
        <v>204</v>
      </c>
      <c r="K57" s="14" cm="1">
        <f t="array" ref="K57">INT(SUMPRODUCT(--ISNUMBER(SEARCH(economy,C57)))&gt;0)</f>
        <v>0</v>
      </c>
      <c r="L57" s="14" cm="1">
        <f t="array" ref="L57">INT(SUMPRODUCT(--ISNUMBER(SEARCH(healthcare,C57)))&gt;0)</f>
        <v>0</v>
      </c>
      <c r="M57" s="14" cm="1">
        <f t="array" ref="M57">INT(SUMPRODUCT(--ISNUMBER(SEARCH(supreme,C57)))&gt;0)</f>
        <v>0</v>
      </c>
      <c r="N57" s="14" cm="1">
        <f t="array" ref="N57">INT(SUMPRODUCT(--ISNUMBER(SEARCH(covid,C57)))&gt;0)</f>
        <v>0</v>
      </c>
      <c r="O57" s="14" cm="1">
        <f t="array" ref="O57">INT(SUMPRODUCT(--ISNUMBER(SEARCH(violent,C57)))&gt;0)</f>
        <v>0</v>
      </c>
      <c r="P57" s="14" cm="1">
        <f t="array" ref="P57">INT(SUMPRODUCT(--ISNUMBER(SEARCH(foreign,C57)))&gt;0)</f>
        <v>0</v>
      </c>
      <c r="Q57" s="14" cm="1">
        <f t="array" ref="Q57">INT(SUMPRODUCT(--ISNUMBER(SEARCH(gun,C57)))&gt;0)</f>
        <v>0</v>
      </c>
      <c r="R57" s="14" cm="1">
        <f t="array" ref="R57">INT(SUMPRODUCT(--ISNUMBER(SEARCH(race,C57)))&gt;0)</f>
        <v>0</v>
      </c>
      <c r="S57" s="14" cm="1">
        <f t="array" ref="S57">INT(SUMPRODUCT(--ISNUMBER(SEARCH(immigration,C57)))&gt;0)</f>
        <v>0</v>
      </c>
      <c r="T57" s="14" cm="1">
        <f t="array" ref="T57">INT(SUMPRODUCT(--ISNUMBER(SEARCH(econineq,C58)))&gt;0)</f>
        <v>0</v>
      </c>
      <c r="U57" s="14" cm="1">
        <f t="array" ref="U57">INT(SUMPRODUCT(--ISNUMBER(SEARCH(climate,C57)))&gt;0)</f>
        <v>0</v>
      </c>
      <c r="V57" s="14" cm="1">
        <f t="array" ref="V57">INT(SUMPRODUCT(--ISNUMBER(SEARCH(abortion,C57)))&gt;0)</f>
        <v>0</v>
      </c>
      <c r="W57" s="14" cm="1">
        <f t="array" ref="W57">INT(SUMPRODUCT(--ISNUMBER(SEARCH(trump,C57)))&gt;0)</f>
        <v>0</v>
      </c>
      <c r="X57" s="14" cm="1">
        <f t="array" ref="X57">INT(SUMPRODUCT(--ISNUMBER(SEARCH(voting,C57)))&gt;0)</f>
        <v>1</v>
      </c>
      <c r="Y57" s="14" cm="1">
        <f t="array" ref="Y57">INT(SUMPRODUCT(--ISNUMBER(SEARCH(democrattrigger,C57)))&gt;0)</f>
        <v>0</v>
      </c>
      <c r="Z57" s="14" cm="1">
        <f t="array" ref="Z57">INT(SUMPRODUCT(--ISNUMBER(SEARCH(bipartisan,C57)))&gt;0)</f>
        <v>0</v>
      </c>
      <c r="AA57" s="14">
        <f t="shared" si="0"/>
        <v>0</v>
      </c>
      <c r="AB57" s="14"/>
      <c r="AC57" s="30" t="s">
        <v>223</v>
      </c>
      <c r="AD57" s="37" t="s">
        <v>223</v>
      </c>
    </row>
    <row r="58" spans="1:30" x14ac:dyDescent="0.25">
      <c r="A58" s="36">
        <v>3899</v>
      </c>
      <c r="B58" s="14" t="s">
        <v>7821</v>
      </c>
      <c r="C58" s="14" t="s">
        <v>7822</v>
      </c>
      <c r="D58" s="17">
        <v>44135</v>
      </c>
      <c r="E58" s="14" t="s">
        <v>30</v>
      </c>
      <c r="F58" s="14">
        <v>7745</v>
      </c>
      <c r="G58" s="14">
        <v>1501</v>
      </c>
      <c r="H58" s="14">
        <v>18</v>
      </c>
      <c r="I58" s="14">
        <v>9</v>
      </c>
      <c r="J58" s="14" t="s">
        <v>204</v>
      </c>
      <c r="K58" s="14" cm="1">
        <f t="array" ref="K58">INT(SUMPRODUCT(--ISNUMBER(SEARCH(economy,C58)))&gt;0)</f>
        <v>0</v>
      </c>
      <c r="L58" s="14" cm="1">
        <f t="array" ref="L58">INT(SUMPRODUCT(--ISNUMBER(SEARCH(healthcare,C58)))&gt;0)</f>
        <v>0</v>
      </c>
      <c r="M58" s="14" cm="1">
        <f t="array" ref="M58">INT(SUMPRODUCT(--ISNUMBER(SEARCH(supreme,C58)))&gt;0)</f>
        <v>0</v>
      </c>
      <c r="N58" s="14" cm="1">
        <f t="array" ref="N58">INT(SUMPRODUCT(--ISNUMBER(SEARCH(covid,C58)))&gt;0)</f>
        <v>0</v>
      </c>
      <c r="O58" s="14" cm="1">
        <f t="array" ref="O58">INT(SUMPRODUCT(--ISNUMBER(SEARCH(violent,C58)))&gt;0)</f>
        <v>0</v>
      </c>
      <c r="P58" s="14" cm="1">
        <f t="array" ref="P58">INT(SUMPRODUCT(--ISNUMBER(SEARCH(foreign,C58)))&gt;0)</f>
        <v>0</v>
      </c>
      <c r="Q58" s="14" cm="1">
        <f t="array" ref="Q58">INT(SUMPRODUCT(--ISNUMBER(SEARCH(gun,C58)))&gt;0)</f>
        <v>0</v>
      </c>
      <c r="R58" s="14" cm="1">
        <f t="array" ref="R58">INT(SUMPRODUCT(--ISNUMBER(SEARCH(race,C58)))&gt;0)</f>
        <v>0</v>
      </c>
      <c r="S58" s="14" cm="1">
        <f t="array" ref="S58">INT(SUMPRODUCT(--ISNUMBER(SEARCH(immigration,C58)))&gt;0)</f>
        <v>0</v>
      </c>
      <c r="T58" s="14" cm="1">
        <f t="array" ref="T58">INT(SUMPRODUCT(--ISNUMBER(SEARCH(econineq,C59)))&gt;0)</f>
        <v>0</v>
      </c>
      <c r="U58" s="14" cm="1">
        <f t="array" ref="U58">INT(SUMPRODUCT(--ISNUMBER(SEARCH(climate,C58)))&gt;0)</f>
        <v>0</v>
      </c>
      <c r="V58" s="14" cm="1">
        <f t="array" ref="V58">INT(SUMPRODUCT(--ISNUMBER(SEARCH(abortion,C58)))&gt;0)</f>
        <v>0</v>
      </c>
      <c r="W58" s="14" cm="1">
        <f t="array" ref="W58">INT(SUMPRODUCT(--ISNUMBER(SEARCH(trump,C58)))&gt;0)</f>
        <v>0</v>
      </c>
      <c r="X58" s="14" cm="1">
        <f t="array" ref="X58">INT(SUMPRODUCT(--ISNUMBER(SEARCH(voting,C58)))&gt;0)</f>
        <v>0</v>
      </c>
      <c r="Y58" s="14" cm="1">
        <f t="array" ref="Y58">INT(SUMPRODUCT(--ISNUMBER(SEARCH(democrattrigger,C58)))&gt;0)</f>
        <v>0</v>
      </c>
      <c r="Z58" s="14" cm="1">
        <f t="array" ref="Z58">INT(SUMPRODUCT(--ISNUMBER(SEARCH(bipartisan,C58)))&gt;0)</f>
        <v>0</v>
      </c>
      <c r="AA58" s="14">
        <f t="shared" si="0"/>
        <v>1</v>
      </c>
      <c r="AB58" s="14"/>
      <c r="AC58" s="30">
        <v>1</v>
      </c>
      <c r="AD58" s="37">
        <v>0</v>
      </c>
    </row>
    <row r="59" spans="1:30" x14ac:dyDescent="0.25">
      <c r="A59" s="36">
        <v>3900</v>
      </c>
      <c r="B59" s="14" t="s">
        <v>7823</v>
      </c>
      <c r="C59" s="14" t="s">
        <v>7824</v>
      </c>
      <c r="D59" s="17">
        <v>44134</v>
      </c>
      <c r="E59" s="14" t="s">
        <v>30</v>
      </c>
      <c r="F59" s="14">
        <v>2469</v>
      </c>
      <c r="G59" s="14">
        <v>659</v>
      </c>
      <c r="H59" s="14">
        <v>18</v>
      </c>
      <c r="I59" s="14">
        <v>9</v>
      </c>
      <c r="J59" s="14" t="s">
        <v>204</v>
      </c>
      <c r="K59" s="14" cm="1">
        <f t="array" ref="K59">INT(SUMPRODUCT(--ISNUMBER(SEARCH(economy,C59)))&gt;0)</f>
        <v>0</v>
      </c>
      <c r="L59" s="14" cm="1">
        <f t="array" ref="L59">INT(SUMPRODUCT(--ISNUMBER(SEARCH(healthcare,C59)))&gt;0)</f>
        <v>1</v>
      </c>
      <c r="M59" s="14" cm="1">
        <f t="array" ref="M59">INT(SUMPRODUCT(--ISNUMBER(SEARCH(supreme,C59)))&gt;0)</f>
        <v>0</v>
      </c>
      <c r="N59" s="14" cm="1">
        <f t="array" ref="N59">INT(SUMPRODUCT(--ISNUMBER(SEARCH(covid,C59)))&gt;0)</f>
        <v>0</v>
      </c>
      <c r="O59" s="14" cm="1">
        <f t="array" ref="O59">INT(SUMPRODUCT(--ISNUMBER(SEARCH(violent,C59)))&gt;0)</f>
        <v>0</v>
      </c>
      <c r="P59" s="14" cm="1">
        <f t="array" ref="P59">INT(SUMPRODUCT(--ISNUMBER(SEARCH(foreign,C59)))&gt;0)</f>
        <v>0</v>
      </c>
      <c r="Q59" s="14" cm="1">
        <f t="array" ref="Q59">INT(SUMPRODUCT(--ISNUMBER(SEARCH(gun,C59)))&gt;0)</f>
        <v>0</v>
      </c>
      <c r="R59" s="14" cm="1">
        <f t="array" ref="R59">INT(SUMPRODUCT(--ISNUMBER(SEARCH(race,C59)))&gt;0)</f>
        <v>0</v>
      </c>
      <c r="S59" s="14" cm="1">
        <f t="array" ref="S59">INT(SUMPRODUCT(--ISNUMBER(SEARCH(immigration,C59)))&gt;0)</f>
        <v>0</v>
      </c>
      <c r="T59" s="14" cm="1">
        <f t="array" ref="T59">INT(SUMPRODUCT(--ISNUMBER(SEARCH(econineq,C60)))&gt;0)</f>
        <v>0</v>
      </c>
      <c r="U59" s="14" cm="1">
        <f t="array" ref="U59">INT(SUMPRODUCT(--ISNUMBER(SEARCH(climate,C59)))&gt;0)</f>
        <v>0</v>
      </c>
      <c r="V59" s="14" cm="1">
        <f t="array" ref="V59">INT(SUMPRODUCT(--ISNUMBER(SEARCH(abortion,C59)))&gt;0)</f>
        <v>0</v>
      </c>
      <c r="W59" s="14" cm="1">
        <f t="array" ref="W59">INT(SUMPRODUCT(--ISNUMBER(SEARCH(trump,C59)))&gt;0)</f>
        <v>0</v>
      </c>
      <c r="X59" s="14" cm="1">
        <f t="array" ref="X59">INT(SUMPRODUCT(--ISNUMBER(SEARCH(voting,C59)))&gt;0)</f>
        <v>1</v>
      </c>
      <c r="Y59" s="14" cm="1">
        <f t="array" ref="Y59">INT(SUMPRODUCT(--ISNUMBER(SEARCH(democrattrigger,C59)))&gt;0)</f>
        <v>0</v>
      </c>
      <c r="Z59" s="14" cm="1">
        <f t="array" ref="Z59">INT(SUMPRODUCT(--ISNUMBER(SEARCH(bipartisan,C59)))&gt;0)</f>
        <v>0</v>
      </c>
      <c r="AA59" s="14">
        <f t="shared" si="0"/>
        <v>0</v>
      </c>
      <c r="AB59" s="14"/>
      <c r="AC59" s="30">
        <v>0</v>
      </c>
      <c r="AD59" s="37">
        <v>1</v>
      </c>
    </row>
    <row r="60" spans="1:30" x14ac:dyDescent="0.25">
      <c r="A60" s="36">
        <v>3901</v>
      </c>
      <c r="B60" s="14" t="s">
        <v>7825</v>
      </c>
      <c r="C60" s="14" t="s">
        <v>7826</v>
      </c>
      <c r="D60" s="17">
        <v>44134</v>
      </c>
      <c r="E60" s="14" t="s">
        <v>30</v>
      </c>
      <c r="F60" s="14">
        <v>602</v>
      </c>
      <c r="G60" s="14">
        <v>184</v>
      </c>
      <c r="H60" s="14">
        <v>18</v>
      </c>
      <c r="I60" s="14">
        <v>9</v>
      </c>
      <c r="J60" s="14" t="s">
        <v>204</v>
      </c>
      <c r="K60" s="14" cm="1">
        <f t="array" ref="K60">INT(SUMPRODUCT(--ISNUMBER(SEARCH(economy,C60)))&gt;0)</f>
        <v>0</v>
      </c>
      <c r="L60" s="14" cm="1">
        <f t="array" ref="L60">INT(SUMPRODUCT(--ISNUMBER(SEARCH(healthcare,C60)))&gt;0)</f>
        <v>0</v>
      </c>
      <c r="M60" s="14" cm="1">
        <f t="array" ref="M60">INT(SUMPRODUCT(--ISNUMBER(SEARCH(supreme,C60)))&gt;0)</f>
        <v>0</v>
      </c>
      <c r="N60" s="14" cm="1">
        <f t="array" ref="N60">INT(SUMPRODUCT(--ISNUMBER(SEARCH(covid,C60)))&gt;0)</f>
        <v>1</v>
      </c>
      <c r="O60" s="14" cm="1">
        <f t="array" ref="O60">INT(SUMPRODUCT(--ISNUMBER(SEARCH(violent,C60)))&gt;0)</f>
        <v>0</v>
      </c>
      <c r="P60" s="14" cm="1">
        <f t="array" ref="P60">INT(SUMPRODUCT(--ISNUMBER(SEARCH(foreign,C60)))&gt;0)</f>
        <v>0</v>
      </c>
      <c r="Q60" s="14" cm="1">
        <f t="array" ref="Q60">INT(SUMPRODUCT(--ISNUMBER(SEARCH(gun,C60)))&gt;0)</f>
        <v>0</v>
      </c>
      <c r="R60" s="14" cm="1">
        <f t="array" ref="R60">INT(SUMPRODUCT(--ISNUMBER(SEARCH(race,C60)))&gt;0)</f>
        <v>0</v>
      </c>
      <c r="S60" s="14" cm="1">
        <f t="array" ref="S60">INT(SUMPRODUCT(--ISNUMBER(SEARCH(immigration,C60)))&gt;0)</f>
        <v>0</v>
      </c>
      <c r="T60" s="14" cm="1">
        <f t="array" ref="T60">INT(SUMPRODUCT(--ISNUMBER(SEARCH(econineq,C61)))&gt;0)</f>
        <v>0</v>
      </c>
      <c r="U60" s="14" cm="1">
        <f t="array" ref="U60">INT(SUMPRODUCT(--ISNUMBER(SEARCH(climate,C60)))&gt;0)</f>
        <v>0</v>
      </c>
      <c r="V60" s="14" cm="1">
        <f t="array" ref="V60">INT(SUMPRODUCT(--ISNUMBER(SEARCH(abortion,C60)))&gt;0)</f>
        <v>0</v>
      </c>
      <c r="W60" s="14" cm="1">
        <f t="array" ref="W60">INT(SUMPRODUCT(--ISNUMBER(SEARCH(trump,C60)))&gt;0)</f>
        <v>0</v>
      </c>
      <c r="X60" s="14" cm="1">
        <f t="array" ref="X60">INT(SUMPRODUCT(--ISNUMBER(SEARCH(voting,C60)))&gt;0)</f>
        <v>1</v>
      </c>
      <c r="Y60" s="14" cm="1">
        <f t="array" ref="Y60">INT(SUMPRODUCT(--ISNUMBER(SEARCH(democrattrigger,C60)))&gt;0)</f>
        <v>0</v>
      </c>
      <c r="Z60" s="14" cm="1">
        <f t="array" ref="Z60">INT(SUMPRODUCT(--ISNUMBER(SEARCH(bipartisan,C60)))&gt;0)</f>
        <v>0</v>
      </c>
      <c r="AA60" s="14">
        <f t="shared" si="0"/>
        <v>0</v>
      </c>
      <c r="AB60" s="14"/>
      <c r="AC60" s="30" t="s">
        <v>223</v>
      </c>
      <c r="AD60" s="37" t="s">
        <v>223</v>
      </c>
    </row>
    <row r="61" spans="1:30" x14ac:dyDescent="0.25">
      <c r="A61" s="36">
        <v>3902</v>
      </c>
      <c r="B61" s="14" t="s">
        <v>7827</v>
      </c>
      <c r="C61" s="14" t="s">
        <v>7828</v>
      </c>
      <c r="D61" s="17">
        <v>44134</v>
      </c>
      <c r="E61" s="14" t="s">
        <v>30</v>
      </c>
      <c r="F61" s="14">
        <v>4478</v>
      </c>
      <c r="G61" s="14">
        <v>972</v>
      </c>
      <c r="H61" s="14">
        <v>18</v>
      </c>
      <c r="I61" s="14">
        <v>9</v>
      </c>
      <c r="J61" s="14" t="s">
        <v>204</v>
      </c>
      <c r="K61" s="14" cm="1">
        <f t="array" ref="K61">INT(SUMPRODUCT(--ISNUMBER(SEARCH(economy,C61)))&gt;0)</f>
        <v>0</v>
      </c>
      <c r="L61" s="14" cm="1">
        <f t="array" ref="L61">INT(SUMPRODUCT(--ISNUMBER(SEARCH(healthcare,C61)))&gt;0)</f>
        <v>0</v>
      </c>
      <c r="M61" s="14" cm="1">
        <f t="array" ref="M61">INT(SUMPRODUCT(--ISNUMBER(SEARCH(supreme,C61)))&gt;0)</f>
        <v>0</v>
      </c>
      <c r="N61" s="14" cm="1">
        <f t="array" ref="N61">INT(SUMPRODUCT(--ISNUMBER(SEARCH(covid,C61)))&gt;0)</f>
        <v>1</v>
      </c>
      <c r="O61" s="14" cm="1">
        <f t="array" ref="O61">INT(SUMPRODUCT(--ISNUMBER(SEARCH(violent,C61)))&gt;0)</f>
        <v>0</v>
      </c>
      <c r="P61" s="14" cm="1">
        <f t="array" ref="P61">INT(SUMPRODUCT(--ISNUMBER(SEARCH(foreign,C61)))&gt;0)</f>
        <v>0</v>
      </c>
      <c r="Q61" s="14" cm="1">
        <f t="array" ref="Q61">INT(SUMPRODUCT(--ISNUMBER(SEARCH(gun,C61)))&gt;0)</f>
        <v>0</v>
      </c>
      <c r="R61" s="14" cm="1">
        <f t="array" ref="R61">INT(SUMPRODUCT(--ISNUMBER(SEARCH(race,C61)))&gt;0)</f>
        <v>0</v>
      </c>
      <c r="S61" s="14" cm="1">
        <f t="array" ref="S61">INT(SUMPRODUCT(--ISNUMBER(SEARCH(immigration,C61)))&gt;0)</f>
        <v>0</v>
      </c>
      <c r="T61" s="14" cm="1">
        <f t="array" ref="T61">INT(SUMPRODUCT(--ISNUMBER(SEARCH(econineq,C62)))&gt;0)</f>
        <v>0</v>
      </c>
      <c r="U61" s="14" cm="1">
        <f t="array" ref="U61">INT(SUMPRODUCT(--ISNUMBER(SEARCH(climate,C61)))&gt;0)</f>
        <v>0</v>
      </c>
      <c r="V61" s="14" cm="1">
        <f t="array" ref="V61">INT(SUMPRODUCT(--ISNUMBER(SEARCH(abortion,C61)))&gt;0)</f>
        <v>0</v>
      </c>
      <c r="W61" s="14" cm="1">
        <f t="array" ref="W61">INT(SUMPRODUCT(--ISNUMBER(SEARCH(trump,C61)))&gt;0)</f>
        <v>0</v>
      </c>
      <c r="X61" s="14" cm="1">
        <f t="array" ref="X61">INT(SUMPRODUCT(--ISNUMBER(SEARCH(voting,C61)))&gt;0)</f>
        <v>1</v>
      </c>
      <c r="Y61" s="14" cm="1">
        <f t="array" ref="Y61">INT(SUMPRODUCT(--ISNUMBER(SEARCH(democrattrigger,C61)))&gt;0)</f>
        <v>0</v>
      </c>
      <c r="Z61" s="14" cm="1">
        <f t="array" ref="Z61">INT(SUMPRODUCT(--ISNUMBER(SEARCH(bipartisan,C61)))&gt;0)</f>
        <v>0</v>
      </c>
      <c r="AA61" s="14">
        <f t="shared" si="0"/>
        <v>0</v>
      </c>
      <c r="AB61" s="14"/>
      <c r="AC61" s="30">
        <v>0</v>
      </c>
      <c r="AD61" s="37">
        <v>1</v>
      </c>
    </row>
    <row r="62" spans="1:30" x14ac:dyDescent="0.25">
      <c r="A62" s="36">
        <v>3903</v>
      </c>
      <c r="B62" s="14" t="s">
        <v>7829</v>
      </c>
      <c r="C62" s="14" t="s">
        <v>7830</v>
      </c>
      <c r="D62" s="17">
        <v>44134</v>
      </c>
      <c r="E62" s="14" t="s">
        <v>30</v>
      </c>
      <c r="F62" s="14">
        <v>3286</v>
      </c>
      <c r="G62" s="14">
        <v>645</v>
      </c>
      <c r="H62" s="14">
        <v>18</v>
      </c>
      <c r="I62" s="14">
        <v>9</v>
      </c>
      <c r="J62" s="14" t="s">
        <v>204</v>
      </c>
      <c r="K62" s="14" cm="1">
        <f t="array" ref="K62">INT(SUMPRODUCT(--ISNUMBER(SEARCH(economy,C62)))&gt;0)</f>
        <v>0</v>
      </c>
      <c r="L62" s="14" cm="1">
        <f t="array" ref="L62">INT(SUMPRODUCT(--ISNUMBER(SEARCH(healthcare,C62)))&gt;0)</f>
        <v>0</v>
      </c>
      <c r="M62" s="14" cm="1">
        <f t="array" ref="M62">INT(SUMPRODUCT(--ISNUMBER(SEARCH(supreme,C62)))&gt;0)</f>
        <v>0</v>
      </c>
      <c r="N62" s="14" cm="1">
        <f t="array" ref="N62">INT(SUMPRODUCT(--ISNUMBER(SEARCH(covid,C62)))&gt;0)</f>
        <v>0</v>
      </c>
      <c r="O62" s="14" cm="1">
        <f t="array" ref="O62">INT(SUMPRODUCT(--ISNUMBER(SEARCH(violent,C62)))&gt;0)</f>
        <v>0</v>
      </c>
      <c r="P62" s="14" cm="1">
        <f t="array" ref="P62">INT(SUMPRODUCT(--ISNUMBER(SEARCH(foreign,C62)))&gt;0)</f>
        <v>0</v>
      </c>
      <c r="Q62" s="14" cm="1">
        <f t="array" ref="Q62">INT(SUMPRODUCT(--ISNUMBER(SEARCH(gun,C62)))&gt;0)</f>
        <v>0</v>
      </c>
      <c r="R62" s="14" cm="1">
        <f t="array" ref="R62">INT(SUMPRODUCT(--ISNUMBER(SEARCH(race,C62)))&gt;0)</f>
        <v>0</v>
      </c>
      <c r="S62" s="14" cm="1">
        <f t="array" ref="S62">INT(SUMPRODUCT(--ISNUMBER(SEARCH(immigration,C62)))&gt;0)</f>
        <v>0</v>
      </c>
      <c r="T62" s="14" cm="1">
        <f t="array" ref="T62">INT(SUMPRODUCT(--ISNUMBER(SEARCH(econineq,C63)))&gt;0)</f>
        <v>0</v>
      </c>
      <c r="U62" s="14" cm="1">
        <f t="array" ref="U62">INT(SUMPRODUCT(--ISNUMBER(SEARCH(climate,C62)))&gt;0)</f>
        <v>0</v>
      </c>
      <c r="V62" s="14" cm="1">
        <f t="array" ref="V62">INT(SUMPRODUCT(--ISNUMBER(SEARCH(abortion,C62)))&gt;0)</f>
        <v>0</v>
      </c>
      <c r="W62" s="14" cm="1">
        <f t="array" ref="W62">INT(SUMPRODUCT(--ISNUMBER(SEARCH(trump,C62)))&gt;0)</f>
        <v>0</v>
      </c>
      <c r="X62" s="14" cm="1">
        <f t="array" ref="X62">INT(SUMPRODUCT(--ISNUMBER(SEARCH(voting,C62)))&gt;0)</f>
        <v>1</v>
      </c>
      <c r="Y62" s="14" cm="1">
        <f t="array" ref="Y62">INT(SUMPRODUCT(--ISNUMBER(SEARCH(democrattrigger,C62)))&gt;0)</f>
        <v>0</v>
      </c>
      <c r="Z62" s="14" cm="1">
        <f t="array" ref="Z62">INT(SUMPRODUCT(--ISNUMBER(SEARCH(bipartisan,C62)))&gt;0)</f>
        <v>0</v>
      </c>
      <c r="AA62" s="14">
        <f t="shared" si="0"/>
        <v>0</v>
      </c>
      <c r="AB62" s="14"/>
      <c r="AC62" s="30">
        <v>1</v>
      </c>
      <c r="AD62" s="37">
        <v>0</v>
      </c>
    </row>
    <row r="63" spans="1:30" x14ac:dyDescent="0.25">
      <c r="A63" s="36">
        <v>3904</v>
      </c>
      <c r="B63" s="14" t="s">
        <v>7831</v>
      </c>
      <c r="C63" s="14" t="s">
        <v>7832</v>
      </c>
      <c r="D63" s="17">
        <v>44134</v>
      </c>
      <c r="E63" s="14" t="s">
        <v>30</v>
      </c>
      <c r="F63" s="14">
        <v>1724</v>
      </c>
      <c r="G63" s="14">
        <v>345</v>
      </c>
      <c r="H63" s="14">
        <v>18</v>
      </c>
      <c r="I63" s="14">
        <v>9</v>
      </c>
      <c r="J63" s="14" t="s">
        <v>204</v>
      </c>
      <c r="K63" s="14" cm="1">
        <f t="array" ref="K63">INT(SUMPRODUCT(--ISNUMBER(SEARCH(economy,C63)))&gt;0)</f>
        <v>0</v>
      </c>
      <c r="L63" s="14" cm="1">
        <f t="array" ref="L63">INT(SUMPRODUCT(--ISNUMBER(SEARCH(healthcare,C63)))&gt;0)</f>
        <v>0</v>
      </c>
      <c r="M63" s="14" cm="1">
        <f t="array" ref="M63">INT(SUMPRODUCT(--ISNUMBER(SEARCH(supreme,C63)))&gt;0)</f>
        <v>0</v>
      </c>
      <c r="N63" s="14" cm="1">
        <f t="array" ref="N63">INT(SUMPRODUCT(--ISNUMBER(SEARCH(covid,C63)))&gt;0)</f>
        <v>0</v>
      </c>
      <c r="O63" s="14" cm="1">
        <f t="array" ref="O63">INT(SUMPRODUCT(--ISNUMBER(SEARCH(violent,C63)))&gt;0)</f>
        <v>0</v>
      </c>
      <c r="P63" s="14" cm="1">
        <f t="array" ref="P63">INT(SUMPRODUCT(--ISNUMBER(SEARCH(foreign,C63)))&gt;0)</f>
        <v>0</v>
      </c>
      <c r="Q63" s="14" cm="1">
        <f t="array" ref="Q63">INT(SUMPRODUCT(--ISNUMBER(SEARCH(gun,C63)))&gt;0)</f>
        <v>0</v>
      </c>
      <c r="R63" s="14" cm="1">
        <f t="array" ref="R63">INT(SUMPRODUCT(--ISNUMBER(SEARCH(race,C63)))&gt;0)</f>
        <v>0</v>
      </c>
      <c r="S63" s="14" cm="1">
        <f t="array" ref="S63">INT(SUMPRODUCT(--ISNUMBER(SEARCH(immigration,C63)))&gt;0)</f>
        <v>0</v>
      </c>
      <c r="T63" s="14" cm="1">
        <f t="array" ref="T63">INT(SUMPRODUCT(--ISNUMBER(SEARCH(econineq,C64)))&gt;0)</f>
        <v>0</v>
      </c>
      <c r="U63" s="14" cm="1">
        <f t="array" ref="U63">INT(SUMPRODUCT(--ISNUMBER(SEARCH(climate,C63)))&gt;0)</f>
        <v>0</v>
      </c>
      <c r="V63" s="14" cm="1">
        <f t="array" ref="V63">INT(SUMPRODUCT(--ISNUMBER(SEARCH(abortion,C63)))&gt;0)</f>
        <v>0</v>
      </c>
      <c r="W63" s="14" cm="1">
        <f t="array" ref="W63">INT(SUMPRODUCT(--ISNUMBER(SEARCH(trump,C63)))&gt;0)</f>
        <v>1</v>
      </c>
      <c r="X63" s="14" cm="1">
        <f t="array" ref="X63">INT(SUMPRODUCT(--ISNUMBER(SEARCH(voting,C63)))&gt;0)</f>
        <v>1</v>
      </c>
      <c r="Y63" s="14" cm="1">
        <f t="array" ref="Y63">INT(SUMPRODUCT(--ISNUMBER(SEARCH(democrattrigger,C63)))&gt;0)</f>
        <v>0</v>
      </c>
      <c r="Z63" s="14" cm="1">
        <f t="array" ref="Z63">INT(SUMPRODUCT(--ISNUMBER(SEARCH(bipartisan,C63)))&gt;0)</f>
        <v>0</v>
      </c>
      <c r="AA63" s="14">
        <f t="shared" si="0"/>
        <v>0</v>
      </c>
      <c r="AB63" s="14"/>
      <c r="AC63" s="30" t="s">
        <v>223</v>
      </c>
      <c r="AD63" s="37" t="s">
        <v>223</v>
      </c>
    </row>
    <row r="64" spans="1:30" x14ac:dyDescent="0.25">
      <c r="A64" s="36">
        <v>3905</v>
      </c>
      <c r="B64" s="14" t="s">
        <v>7833</v>
      </c>
      <c r="C64" s="14" t="s">
        <v>7834</v>
      </c>
      <c r="D64" s="17">
        <v>44134</v>
      </c>
      <c r="E64" s="14" t="s">
        <v>30</v>
      </c>
      <c r="F64" s="14">
        <v>1045</v>
      </c>
      <c r="G64" s="14">
        <v>270</v>
      </c>
      <c r="H64" s="14">
        <v>18</v>
      </c>
      <c r="I64" s="14">
        <v>9</v>
      </c>
      <c r="J64" s="14" t="s">
        <v>204</v>
      </c>
      <c r="K64" s="14" cm="1">
        <f t="array" ref="K64">INT(SUMPRODUCT(--ISNUMBER(SEARCH(economy,C64)))&gt;0)</f>
        <v>0</v>
      </c>
      <c r="L64" s="14" cm="1">
        <f t="array" ref="L64">INT(SUMPRODUCT(--ISNUMBER(SEARCH(healthcare,C64)))&gt;0)</f>
        <v>0</v>
      </c>
      <c r="M64" s="14" cm="1">
        <f t="array" ref="M64">INT(SUMPRODUCT(--ISNUMBER(SEARCH(supreme,C64)))&gt;0)</f>
        <v>0</v>
      </c>
      <c r="N64" s="14" cm="1">
        <f t="array" ref="N64">INT(SUMPRODUCT(--ISNUMBER(SEARCH(covid,C64)))&gt;0)</f>
        <v>0</v>
      </c>
      <c r="O64" s="14" cm="1">
        <f t="array" ref="O64">INT(SUMPRODUCT(--ISNUMBER(SEARCH(violent,C64)))&gt;0)</f>
        <v>0</v>
      </c>
      <c r="P64" s="14" cm="1">
        <f t="array" ref="P64">INT(SUMPRODUCT(--ISNUMBER(SEARCH(foreign,C64)))&gt;0)</f>
        <v>0</v>
      </c>
      <c r="Q64" s="14" cm="1">
        <f t="array" ref="Q64">INT(SUMPRODUCT(--ISNUMBER(SEARCH(gun,C64)))&gt;0)</f>
        <v>0</v>
      </c>
      <c r="R64" s="14" cm="1">
        <f t="array" ref="R64">INT(SUMPRODUCT(--ISNUMBER(SEARCH(race,C64)))&gt;0)</f>
        <v>0</v>
      </c>
      <c r="S64" s="14" cm="1">
        <f t="array" ref="S64">INT(SUMPRODUCT(--ISNUMBER(SEARCH(immigration,C64)))&gt;0)</f>
        <v>0</v>
      </c>
      <c r="T64" s="14" cm="1">
        <f t="array" ref="T64">INT(SUMPRODUCT(--ISNUMBER(SEARCH(econineq,C65)))&gt;0)</f>
        <v>0</v>
      </c>
      <c r="U64" s="14" cm="1">
        <f t="array" ref="U64">INT(SUMPRODUCT(--ISNUMBER(SEARCH(climate,C64)))&gt;0)</f>
        <v>0</v>
      </c>
      <c r="V64" s="14" cm="1">
        <f t="array" ref="V64">INT(SUMPRODUCT(--ISNUMBER(SEARCH(abortion,C64)))&gt;0)</f>
        <v>0</v>
      </c>
      <c r="W64" s="14" cm="1">
        <f t="array" ref="W64">INT(SUMPRODUCT(--ISNUMBER(SEARCH(trump,C64)))&gt;0)</f>
        <v>0</v>
      </c>
      <c r="X64" s="14" cm="1">
        <f t="array" ref="X64">INT(SUMPRODUCT(--ISNUMBER(SEARCH(voting,C64)))&gt;0)</f>
        <v>0</v>
      </c>
      <c r="Y64" s="14" cm="1">
        <f t="array" ref="Y64">INT(SUMPRODUCT(--ISNUMBER(SEARCH(democrattrigger,C64)))&gt;0)</f>
        <v>0</v>
      </c>
      <c r="Z64" s="14" cm="1">
        <f t="array" ref="Z64">INT(SUMPRODUCT(--ISNUMBER(SEARCH(bipartisan,C64)))&gt;0)</f>
        <v>0</v>
      </c>
      <c r="AA64" s="14">
        <f t="shared" si="0"/>
        <v>1</v>
      </c>
      <c r="AB64" s="14"/>
      <c r="AC64" s="30">
        <v>0</v>
      </c>
      <c r="AD64" s="37">
        <v>1</v>
      </c>
    </row>
    <row r="65" spans="1:30" x14ac:dyDescent="0.25">
      <c r="A65" s="36">
        <v>3906</v>
      </c>
      <c r="B65" s="14" t="s">
        <v>7835</v>
      </c>
      <c r="C65" s="14" t="s">
        <v>7836</v>
      </c>
      <c r="D65" s="17">
        <v>44134</v>
      </c>
      <c r="E65" s="14" t="s">
        <v>30</v>
      </c>
      <c r="F65" s="14">
        <v>978</v>
      </c>
      <c r="G65" s="14">
        <v>141</v>
      </c>
      <c r="H65" s="14">
        <v>18</v>
      </c>
      <c r="I65" s="14">
        <v>9</v>
      </c>
      <c r="J65" s="14" t="s">
        <v>204</v>
      </c>
      <c r="K65" s="14" cm="1">
        <f t="array" ref="K65">INT(SUMPRODUCT(--ISNUMBER(SEARCH(economy,C65)))&gt;0)</f>
        <v>0</v>
      </c>
      <c r="L65" s="14" cm="1">
        <f t="array" ref="L65">INT(SUMPRODUCT(--ISNUMBER(SEARCH(healthcare,C65)))&gt;0)</f>
        <v>0</v>
      </c>
      <c r="M65" s="14" cm="1">
        <f t="array" ref="M65">INT(SUMPRODUCT(--ISNUMBER(SEARCH(supreme,C65)))&gt;0)</f>
        <v>0</v>
      </c>
      <c r="N65" s="14" cm="1">
        <f t="array" ref="N65">INT(SUMPRODUCT(--ISNUMBER(SEARCH(covid,C65)))&gt;0)</f>
        <v>0</v>
      </c>
      <c r="O65" s="14" cm="1">
        <f t="array" ref="O65">INT(SUMPRODUCT(--ISNUMBER(SEARCH(violent,C65)))&gt;0)</f>
        <v>0</v>
      </c>
      <c r="P65" s="14" cm="1">
        <f t="array" ref="P65">INT(SUMPRODUCT(--ISNUMBER(SEARCH(foreign,C65)))&gt;0)</f>
        <v>0</v>
      </c>
      <c r="Q65" s="14" cm="1">
        <f t="array" ref="Q65">INT(SUMPRODUCT(--ISNUMBER(SEARCH(gun,C65)))&gt;0)</f>
        <v>0</v>
      </c>
      <c r="R65" s="14" cm="1">
        <f t="array" ref="R65">INT(SUMPRODUCT(--ISNUMBER(SEARCH(race,C65)))&gt;0)</f>
        <v>0</v>
      </c>
      <c r="S65" s="14" cm="1">
        <f t="array" ref="S65">INT(SUMPRODUCT(--ISNUMBER(SEARCH(immigration,C65)))&gt;0)</f>
        <v>0</v>
      </c>
      <c r="T65" s="14" cm="1">
        <f t="array" ref="T65">INT(SUMPRODUCT(--ISNUMBER(SEARCH(econineq,C66)))&gt;0)</f>
        <v>0</v>
      </c>
      <c r="U65" s="14" cm="1">
        <f t="array" ref="U65">INT(SUMPRODUCT(--ISNUMBER(SEARCH(climate,C65)))&gt;0)</f>
        <v>0</v>
      </c>
      <c r="V65" s="14" cm="1">
        <f t="array" ref="V65">INT(SUMPRODUCT(--ISNUMBER(SEARCH(abortion,C65)))&gt;0)</f>
        <v>0</v>
      </c>
      <c r="W65" s="14" cm="1">
        <f t="array" ref="W65">INT(SUMPRODUCT(--ISNUMBER(SEARCH(trump,C65)))&gt;0)</f>
        <v>0</v>
      </c>
      <c r="X65" s="14" cm="1">
        <f t="array" ref="X65">INT(SUMPRODUCT(--ISNUMBER(SEARCH(voting,C65)))&gt;0)</f>
        <v>1</v>
      </c>
      <c r="Y65" s="14" cm="1">
        <f t="array" ref="Y65">INT(SUMPRODUCT(--ISNUMBER(SEARCH(democrattrigger,C65)))&gt;0)</f>
        <v>0</v>
      </c>
      <c r="Z65" s="14" cm="1">
        <f t="array" ref="Z65">INT(SUMPRODUCT(--ISNUMBER(SEARCH(bipartisan,C65)))&gt;0)</f>
        <v>0</v>
      </c>
      <c r="AA65" s="14">
        <f t="shared" si="0"/>
        <v>0</v>
      </c>
      <c r="AB65" s="14"/>
      <c r="AC65" s="30" t="s">
        <v>223</v>
      </c>
      <c r="AD65" s="37" t="s">
        <v>223</v>
      </c>
    </row>
    <row r="66" spans="1:30" x14ac:dyDescent="0.25">
      <c r="A66" s="36">
        <v>3907</v>
      </c>
      <c r="B66" s="14" t="s">
        <v>7837</v>
      </c>
      <c r="C66" s="14" t="s">
        <v>7838</v>
      </c>
      <c r="D66" s="17">
        <v>44134</v>
      </c>
      <c r="E66" s="14" t="s">
        <v>30</v>
      </c>
      <c r="F66" s="14">
        <v>1652</v>
      </c>
      <c r="G66" s="14">
        <v>399</v>
      </c>
      <c r="H66" s="14">
        <v>18</v>
      </c>
      <c r="I66" s="14">
        <v>9</v>
      </c>
      <c r="J66" s="14" t="s">
        <v>204</v>
      </c>
      <c r="K66" s="14" cm="1">
        <f t="array" ref="K66">INT(SUMPRODUCT(--ISNUMBER(SEARCH(economy,C66)))&gt;0)</f>
        <v>0</v>
      </c>
      <c r="L66" s="14" cm="1">
        <f t="array" ref="L66">INT(SUMPRODUCT(--ISNUMBER(SEARCH(healthcare,C66)))&gt;0)</f>
        <v>0</v>
      </c>
      <c r="M66" s="14" cm="1">
        <f t="array" ref="M66">INT(SUMPRODUCT(--ISNUMBER(SEARCH(supreme,C66)))&gt;0)</f>
        <v>0</v>
      </c>
      <c r="N66" s="14" cm="1">
        <f t="array" ref="N66">INT(SUMPRODUCT(--ISNUMBER(SEARCH(covid,C66)))&gt;0)</f>
        <v>1</v>
      </c>
      <c r="O66" s="14" cm="1">
        <f t="array" ref="O66">INT(SUMPRODUCT(--ISNUMBER(SEARCH(violent,C66)))&gt;0)</f>
        <v>0</v>
      </c>
      <c r="P66" s="14" cm="1">
        <f t="array" ref="P66">INT(SUMPRODUCT(--ISNUMBER(SEARCH(foreign,C66)))&gt;0)</f>
        <v>0</v>
      </c>
      <c r="Q66" s="14" cm="1">
        <f t="array" ref="Q66">INT(SUMPRODUCT(--ISNUMBER(SEARCH(gun,C66)))&gt;0)</f>
        <v>0</v>
      </c>
      <c r="R66" s="14" cm="1">
        <f t="array" ref="R66">INT(SUMPRODUCT(--ISNUMBER(SEARCH(race,C66)))&gt;0)</f>
        <v>0</v>
      </c>
      <c r="S66" s="14" cm="1">
        <f t="array" ref="S66">INT(SUMPRODUCT(--ISNUMBER(SEARCH(immigration,C66)))&gt;0)</f>
        <v>0</v>
      </c>
      <c r="T66" s="14" cm="1">
        <f t="array" ref="T66">INT(SUMPRODUCT(--ISNUMBER(SEARCH(econineq,C67)))&gt;0)</f>
        <v>0</v>
      </c>
      <c r="U66" s="14" cm="1">
        <f t="array" ref="U66">INT(SUMPRODUCT(--ISNUMBER(SEARCH(climate,C66)))&gt;0)</f>
        <v>0</v>
      </c>
      <c r="V66" s="14" cm="1">
        <f t="array" ref="V66">INT(SUMPRODUCT(--ISNUMBER(SEARCH(abortion,C66)))&gt;0)</f>
        <v>0</v>
      </c>
      <c r="W66" s="14" cm="1">
        <f t="array" ref="W66">INT(SUMPRODUCT(--ISNUMBER(SEARCH(trump,C66)))&gt;0)</f>
        <v>0</v>
      </c>
      <c r="X66" s="14" cm="1">
        <f t="array" ref="X66">INT(SUMPRODUCT(--ISNUMBER(SEARCH(voting,C66)))&gt;0)</f>
        <v>1</v>
      </c>
      <c r="Y66" s="14" cm="1">
        <f t="array" ref="Y66">INT(SUMPRODUCT(--ISNUMBER(SEARCH(democrattrigger,C66)))&gt;0)</f>
        <v>0</v>
      </c>
      <c r="Z66" s="14" cm="1">
        <f t="array" ref="Z66">INT(SUMPRODUCT(--ISNUMBER(SEARCH(bipartisan,C66)))&gt;0)</f>
        <v>0</v>
      </c>
      <c r="AA66" s="14">
        <f t="shared" si="0"/>
        <v>0</v>
      </c>
      <c r="AB66" s="14"/>
      <c r="AC66" s="30" t="s">
        <v>223</v>
      </c>
      <c r="AD66" s="37" t="s">
        <v>223</v>
      </c>
    </row>
    <row r="67" spans="1:30" x14ac:dyDescent="0.25">
      <c r="A67" s="36">
        <v>3908</v>
      </c>
      <c r="B67" s="14" t="s">
        <v>7839</v>
      </c>
      <c r="C67" s="14" t="s">
        <v>7840</v>
      </c>
      <c r="D67" s="17">
        <v>44134</v>
      </c>
      <c r="E67" s="14" t="s">
        <v>30</v>
      </c>
      <c r="F67" s="14">
        <v>1205</v>
      </c>
      <c r="G67" s="14">
        <v>324</v>
      </c>
      <c r="H67" s="14">
        <v>18</v>
      </c>
      <c r="I67" s="14">
        <v>9</v>
      </c>
      <c r="J67" s="14" t="s">
        <v>204</v>
      </c>
      <c r="K67" s="14" cm="1">
        <f t="array" ref="K67">INT(SUMPRODUCT(--ISNUMBER(SEARCH(economy,C67)))&gt;0)</f>
        <v>0</v>
      </c>
      <c r="L67" s="14" cm="1">
        <f t="array" ref="L67">INT(SUMPRODUCT(--ISNUMBER(SEARCH(healthcare,C67)))&gt;0)</f>
        <v>0</v>
      </c>
      <c r="M67" s="14" cm="1">
        <f t="array" ref="M67">INT(SUMPRODUCT(--ISNUMBER(SEARCH(supreme,C67)))&gt;0)</f>
        <v>0</v>
      </c>
      <c r="N67" s="14" cm="1">
        <f t="array" ref="N67">INT(SUMPRODUCT(--ISNUMBER(SEARCH(covid,C67)))&gt;0)</f>
        <v>0</v>
      </c>
      <c r="O67" s="14" cm="1">
        <f t="array" ref="O67">INT(SUMPRODUCT(--ISNUMBER(SEARCH(violent,C67)))&gt;0)</f>
        <v>0</v>
      </c>
      <c r="P67" s="14" cm="1">
        <f t="array" ref="P67">INT(SUMPRODUCT(--ISNUMBER(SEARCH(foreign,C67)))&gt;0)</f>
        <v>0</v>
      </c>
      <c r="Q67" s="14" cm="1">
        <f t="array" ref="Q67">INT(SUMPRODUCT(--ISNUMBER(SEARCH(gun,C67)))&gt;0)</f>
        <v>0</v>
      </c>
      <c r="R67" s="14" cm="1">
        <f t="array" ref="R67">INT(SUMPRODUCT(--ISNUMBER(SEARCH(race,C67)))&gt;0)</f>
        <v>0</v>
      </c>
      <c r="S67" s="14" cm="1">
        <f t="array" ref="S67">INT(SUMPRODUCT(--ISNUMBER(SEARCH(immigration,C67)))&gt;0)</f>
        <v>0</v>
      </c>
      <c r="T67" s="14" cm="1">
        <f t="array" ref="T67">INT(SUMPRODUCT(--ISNUMBER(SEARCH(econineq,C68)))&gt;0)</f>
        <v>0</v>
      </c>
      <c r="U67" s="14" cm="1">
        <f t="array" ref="U67">INT(SUMPRODUCT(--ISNUMBER(SEARCH(climate,C67)))&gt;0)</f>
        <v>0</v>
      </c>
      <c r="V67" s="14" cm="1">
        <f t="array" ref="V67">INT(SUMPRODUCT(--ISNUMBER(SEARCH(abortion,C67)))&gt;0)</f>
        <v>0</v>
      </c>
      <c r="W67" s="14" cm="1">
        <f t="array" ref="W67">INT(SUMPRODUCT(--ISNUMBER(SEARCH(trump,C67)))&gt;0)</f>
        <v>0</v>
      </c>
      <c r="X67" s="14" cm="1">
        <f t="array" ref="X67">INT(SUMPRODUCT(--ISNUMBER(SEARCH(voting,C67)))&gt;0)</f>
        <v>1</v>
      </c>
      <c r="Y67" s="14" cm="1">
        <f t="array" ref="Y67">INT(SUMPRODUCT(--ISNUMBER(SEARCH(democrattrigger,C67)))&gt;0)</f>
        <v>0</v>
      </c>
      <c r="Z67" s="14" cm="1">
        <f t="array" ref="Z67">INT(SUMPRODUCT(--ISNUMBER(SEARCH(bipartisan,C67)))&gt;0)</f>
        <v>0</v>
      </c>
      <c r="AA67" s="14">
        <f t="shared" ref="AA67:AA130" si="1">INT(IF(COUNTIF(K67:Z67,1)=0,"1","0"))</f>
        <v>0</v>
      </c>
      <c r="AB67" s="14"/>
      <c r="AC67" s="30">
        <v>1</v>
      </c>
      <c r="AD67" s="37">
        <v>0</v>
      </c>
    </row>
    <row r="68" spans="1:30" x14ac:dyDescent="0.25">
      <c r="A68" s="36">
        <v>3909</v>
      </c>
      <c r="B68" s="14" t="s">
        <v>7841</v>
      </c>
      <c r="C68" s="14" t="s">
        <v>7842</v>
      </c>
      <c r="D68" s="17">
        <v>44134</v>
      </c>
      <c r="E68" s="14" t="s">
        <v>30</v>
      </c>
      <c r="F68" s="14">
        <v>744</v>
      </c>
      <c r="G68" s="14">
        <v>268</v>
      </c>
      <c r="H68" s="14">
        <v>18</v>
      </c>
      <c r="I68" s="14">
        <v>9</v>
      </c>
      <c r="J68" s="14" t="s">
        <v>204</v>
      </c>
      <c r="K68" s="14" cm="1">
        <f t="array" ref="K68">INT(SUMPRODUCT(--ISNUMBER(SEARCH(economy,C68)))&gt;0)</f>
        <v>0</v>
      </c>
      <c r="L68" s="14" cm="1">
        <f t="array" ref="L68">INT(SUMPRODUCT(--ISNUMBER(SEARCH(healthcare,C68)))&gt;0)</f>
        <v>0</v>
      </c>
      <c r="M68" s="14" cm="1">
        <f t="array" ref="M68">INT(SUMPRODUCT(--ISNUMBER(SEARCH(supreme,C68)))&gt;0)</f>
        <v>0</v>
      </c>
      <c r="N68" s="14" cm="1">
        <f t="array" ref="N68">INT(SUMPRODUCT(--ISNUMBER(SEARCH(covid,C68)))&gt;0)</f>
        <v>0</v>
      </c>
      <c r="O68" s="14" cm="1">
        <f t="array" ref="O68">INT(SUMPRODUCT(--ISNUMBER(SEARCH(violent,C68)))&gt;0)</f>
        <v>0</v>
      </c>
      <c r="P68" s="14" cm="1">
        <f t="array" ref="P68">INT(SUMPRODUCT(--ISNUMBER(SEARCH(foreign,C68)))&gt;0)</f>
        <v>0</v>
      </c>
      <c r="Q68" s="14" cm="1">
        <f t="array" ref="Q68">INT(SUMPRODUCT(--ISNUMBER(SEARCH(gun,C68)))&gt;0)</f>
        <v>0</v>
      </c>
      <c r="R68" s="14" cm="1">
        <f t="array" ref="R68">INT(SUMPRODUCT(--ISNUMBER(SEARCH(race,C68)))&gt;0)</f>
        <v>0</v>
      </c>
      <c r="S68" s="14" cm="1">
        <f t="array" ref="S68">INT(SUMPRODUCT(--ISNUMBER(SEARCH(immigration,C68)))&gt;0)</f>
        <v>0</v>
      </c>
      <c r="T68" s="14" cm="1">
        <f t="array" ref="T68">INT(SUMPRODUCT(--ISNUMBER(SEARCH(econineq,C69)))&gt;0)</f>
        <v>0</v>
      </c>
      <c r="U68" s="14" cm="1">
        <f t="array" ref="U68">INT(SUMPRODUCT(--ISNUMBER(SEARCH(climate,C68)))&gt;0)</f>
        <v>0</v>
      </c>
      <c r="V68" s="14" cm="1">
        <f t="array" ref="V68">INT(SUMPRODUCT(--ISNUMBER(SEARCH(abortion,C68)))&gt;0)</f>
        <v>0</v>
      </c>
      <c r="W68" s="14" cm="1">
        <f t="array" ref="W68">INT(SUMPRODUCT(--ISNUMBER(SEARCH(trump,C68)))&gt;0)</f>
        <v>0</v>
      </c>
      <c r="X68" s="14" cm="1">
        <f t="array" ref="X68">INT(SUMPRODUCT(--ISNUMBER(SEARCH(voting,C68)))&gt;0)</f>
        <v>1</v>
      </c>
      <c r="Y68" s="14" cm="1">
        <f t="array" ref="Y68">INT(SUMPRODUCT(--ISNUMBER(SEARCH(democrattrigger,C68)))&gt;0)</f>
        <v>0</v>
      </c>
      <c r="Z68" s="14" cm="1">
        <f t="array" ref="Z68">INT(SUMPRODUCT(--ISNUMBER(SEARCH(bipartisan,C68)))&gt;0)</f>
        <v>0</v>
      </c>
      <c r="AA68" s="14">
        <f t="shared" si="1"/>
        <v>0</v>
      </c>
      <c r="AB68" s="14"/>
      <c r="AC68" s="30" t="s">
        <v>223</v>
      </c>
      <c r="AD68" s="37" t="s">
        <v>223</v>
      </c>
    </row>
    <row r="69" spans="1:30" x14ac:dyDescent="0.25">
      <c r="A69" s="36">
        <v>3910</v>
      </c>
      <c r="B69" s="14" t="s">
        <v>7843</v>
      </c>
      <c r="C69" s="14" t="s">
        <v>7844</v>
      </c>
      <c r="D69" s="17">
        <v>44134</v>
      </c>
      <c r="E69" s="14" t="s">
        <v>30</v>
      </c>
      <c r="F69" s="14">
        <v>630</v>
      </c>
      <c r="G69" s="14">
        <v>190</v>
      </c>
      <c r="H69" s="14">
        <v>18</v>
      </c>
      <c r="I69" s="14">
        <v>9</v>
      </c>
      <c r="J69" s="14" t="s">
        <v>204</v>
      </c>
      <c r="K69" s="14" cm="1">
        <f t="array" ref="K69">INT(SUMPRODUCT(--ISNUMBER(SEARCH(economy,C69)))&gt;0)</f>
        <v>0</v>
      </c>
      <c r="L69" s="14" cm="1">
        <f t="array" ref="L69">INT(SUMPRODUCT(--ISNUMBER(SEARCH(healthcare,C69)))&gt;0)</f>
        <v>0</v>
      </c>
      <c r="M69" s="14" cm="1">
        <f t="array" ref="M69">INT(SUMPRODUCT(--ISNUMBER(SEARCH(supreme,C69)))&gt;0)</f>
        <v>0</v>
      </c>
      <c r="N69" s="14" cm="1">
        <f t="array" ref="N69">INT(SUMPRODUCT(--ISNUMBER(SEARCH(covid,C69)))&gt;0)</f>
        <v>0</v>
      </c>
      <c r="O69" s="14" cm="1">
        <f t="array" ref="O69">INT(SUMPRODUCT(--ISNUMBER(SEARCH(violent,C69)))&gt;0)</f>
        <v>0</v>
      </c>
      <c r="P69" s="14" cm="1">
        <f t="array" ref="P69">INT(SUMPRODUCT(--ISNUMBER(SEARCH(foreign,C69)))&gt;0)</f>
        <v>0</v>
      </c>
      <c r="Q69" s="14" cm="1">
        <f t="array" ref="Q69">INT(SUMPRODUCT(--ISNUMBER(SEARCH(gun,C69)))&gt;0)</f>
        <v>0</v>
      </c>
      <c r="R69" s="14" cm="1">
        <f t="array" ref="R69">INT(SUMPRODUCT(--ISNUMBER(SEARCH(race,C69)))&gt;0)</f>
        <v>0</v>
      </c>
      <c r="S69" s="14" cm="1">
        <f t="array" ref="S69">INT(SUMPRODUCT(--ISNUMBER(SEARCH(immigration,C69)))&gt;0)</f>
        <v>0</v>
      </c>
      <c r="T69" s="14" cm="1">
        <f t="array" ref="T69">INT(SUMPRODUCT(--ISNUMBER(SEARCH(econineq,C70)))&gt;0)</f>
        <v>1</v>
      </c>
      <c r="U69" s="14" cm="1">
        <f t="array" ref="U69">INT(SUMPRODUCT(--ISNUMBER(SEARCH(climate,C69)))&gt;0)</f>
        <v>0</v>
      </c>
      <c r="V69" s="14" cm="1">
        <f t="array" ref="V69">INT(SUMPRODUCT(--ISNUMBER(SEARCH(abortion,C69)))&gt;0)</f>
        <v>0</v>
      </c>
      <c r="W69" s="14" cm="1">
        <f t="array" ref="W69">INT(SUMPRODUCT(--ISNUMBER(SEARCH(trump,C69)))&gt;0)</f>
        <v>0</v>
      </c>
      <c r="X69" s="14" cm="1">
        <f t="array" ref="X69">INT(SUMPRODUCT(--ISNUMBER(SEARCH(voting,C69)))&gt;0)</f>
        <v>0</v>
      </c>
      <c r="Y69" s="14" cm="1">
        <f t="array" ref="Y69">INT(SUMPRODUCT(--ISNUMBER(SEARCH(democrattrigger,C69)))&gt;0)</f>
        <v>0</v>
      </c>
      <c r="Z69" s="14" cm="1">
        <f t="array" ref="Z69">INT(SUMPRODUCT(--ISNUMBER(SEARCH(bipartisan,C69)))&gt;0)</f>
        <v>0</v>
      </c>
      <c r="AA69" s="14">
        <f t="shared" si="1"/>
        <v>0</v>
      </c>
      <c r="AB69" s="14"/>
      <c r="AC69" s="30" t="s">
        <v>223</v>
      </c>
      <c r="AD69" s="37" t="s">
        <v>223</v>
      </c>
    </row>
    <row r="70" spans="1:30" x14ac:dyDescent="0.25">
      <c r="A70" s="36">
        <v>3911</v>
      </c>
      <c r="B70" s="14" t="s">
        <v>7845</v>
      </c>
      <c r="C70" s="14" t="s">
        <v>7846</v>
      </c>
      <c r="D70" s="17">
        <v>44134</v>
      </c>
      <c r="E70" s="14" t="s">
        <v>30</v>
      </c>
      <c r="F70" s="14">
        <v>4057</v>
      </c>
      <c r="G70" s="14">
        <v>1093</v>
      </c>
      <c r="H70" s="14">
        <v>18</v>
      </c>
      <c r="I70" s="14">
        <v>9</v>
      </c>
      <c r="J70" s="14" t="s">
        <v>204</v>
      </c>
      <c r="K70" s="14" cm="1">
        <f t="array" ref="K70">INT(SUMPRODUCT(--ISNUMBER(SEARCH(economy,C70)))&gt;0)</f>
        <v>0</v>
      </c>
      <c r="L70" s="14" cm="1">
        <f t="array" ref="L70">INT(SUMPRODUCT(--ISNUMBER(SEARCH(healthcare,C70)))&gt;0)</f>
        <v>0</v>
      </c>
      <c r="M70" s="14" cm="1">
        <f t="array" ref="M70">INT(SUMPRODUCT(--ISNUMBER(SEARCH(supreme,C70)))&gt;0)</f>
        <v>0</v>
      </c>
      <c r="N70" s="14" cm="1">
        <f t="array" ref="N70">INT(SUMPRODUCT(--ISNUMBER(SEARCH(covid,C70)))&gt;0)</f>
        <v>0</v>
      </c>
      <c r="O70" s="14" cm="1">
        <f t="array" ref="O70">INT(SUMPRODUCT(--ISNUMBER(SEARCH(violent,C70)))&gt;0)</f>
        <v>0</v>
      </c>
      <c r="P70" s="14" cm="1">
        <f t="array" ref="P70">INT(SUMPRODUCT(--ISNUMBER(SEARCH(foreign,C70)))&gt;0)</f>
        <v>0</v>
      </c>
      <c r="Q70" s="14" cm="1">
        <f t="array" ref="Q70">INT(SUMPRODUCT(--ISNUMBER(SEARCH(gun,C70)))&gt;0)</f>
        <v>0</v>
      </c>
      <c r="R70" s="14" cm="1">
        <f t="array" ref="R70">INT(SUMPRODUCT(--ISNUMBER(SEARCH(race,C70)))&gt;0)</f>
        <v>1</v>
      </c>
      <c r="S70" s="14" cm="1">
        <f t="array" ref="S70">INT(SUMPRODUCT(--ISNUMBER(SEARCH(immigration,C70)))&gt;0)</f>
        <v>1</v>
      </c>
      <c r="T70" s="14" cm="1">
        <f t="array" ref="T70">INT(SUMPRODUCT(--ISNUMBER(SEARCH(econineq,C71)))&gt;0)</f>
        <v>0</v>
      </c>
      <c r="U70" s="14" cm="1">
        <f t="array" ref="U70">INT(SUMPRODUCT(--ISNUMBER(SEARCH(climate,C70)))&gt;0)</f>
        <v>0</v>
      </c>
      <c r="V70" s="14" cm="1">
        <f t="array" ref="V70">INT(SUMPRODUCT(--ISNUMBER(SEARCH(abortion,C70)))&gt;0)</f>
        <v>0</v>
      </c>
      <c r="W70" s="14" cm="1">
        <f t="array" ref="W70">INT(SUMPRODUCT(--ISNUMBER(SEARCH(trump,C70)))&gt;0)</f>
        <v>0</v>
      </c>
      <c r="X70" s="14" cm="1">
        <f t="array" ref="X70">INT(SUMPRODUCT(--ISNUMBER(SEARCH(voting,C70)))&gt;0)</f>
        <v>0</v>
      </c>
      <c r="Y70" s="14" cm="1">
        <f t="array" ref="Y70">INT(SUMPRODUCT(--ISNUMBER(SEARCH(democrattrigger,C70)))&gt;0)</f>
        <v>0</v>
      </c>
      <c r="Z70" s="14" cm="1">
        <f t="array" ref="Z70">INT(SUMPRODUCT(--ISNUMBER(SEARCH(bipartisan,C70)))&gt;0)</f>
        <v>0</v>
      </c>
      <c r="AA70" s="14">
        <f t="shared" si="1"/>
        <v>0</v>
      </c>
      <c r="AB70" s="14"/>
      <c r="AC70" s="30" t="s">
        <v>223</v>
      </c>
      <c r="AD70" s="37" t="s">
        <v>223</v>
      </c>
    </row>
    <row r="71" spans="1:30" x14ac:dyDescent="0.25">
      <c r="A71" s="36">
        <v>3912</v>
      </c>
      <c r="B71" s="14" t="s">
        <v>7847</v>
      </c>
      <c r="C71" s="14" t="s">
        <v>7848</v>
      </c>
      <c r="D71" s="17">
        <v>44133</v>
      </c>
      <c r="E71" s="14" t="s">
        <v>30</v>
      </c>
      <c r="F71" s="14">
        <v>16472</v>
      </c>
      <c r="G71" s="14">
        <v>3709</v>
      </c>
      <c r="H71" s="14">
        <v>18</v>
      </c>
      <c r="I71" s="14">
        <v>9</v>
      </c>
      <c r="J71" s="14" t="s">
        <v>204</v>
      </c>
      <c r="K71" s="14" cm="1">
        <f t="array" ref="K71">INT(SUMPRODUCT(--ISNUMBER(SEARCH(economy,C71)))&gt;0)</f>
        <v>0</v>
      </c>
      <c r="L71" s="14" cm="1">
        <f t="array" ref="L71">INT(SUMPRODUCT(--ISNUMBER(SEARCH(healthcare,C71)))&gt;0)</f>
        <v>0</v>
      </c>
      <c r="M71" s="14" cm="1">
        <f t="array" ref="M71">INT(SUMPRODUCT(--ISNUMBER(SEARCH(supreme,C71)))&gt;0)</f>
        <v>0</v>
      </c>
      <c r="N71" s="14" cm="1">
        <f t="array" ref="N71">INT(SUMPRODUCT(--ISNUMBER(SEARCH(covid,C71)))&gt;0)</f>
        <v>0</v>
      </c>
      <c r="O71" s="14" cm="1">
        <f t="array" ref="O71">INT(SUMPRODUCT(--ISNUMBER(SEARCH(violent,C71)))&gt;0)</f>
        <v>0</v>
      </c>
      <c r="P71" s="14" cm="1">
        <f t="array" ref="P71">INT(SUMPRODUCT(--ISNUMBER(SEARCH(foreign,C71)))&gt;0)</f>
        <v>0</v>
      </c>
      <c r="Q71" s="14" cm="1">
        <f t="array" ref="Q71">INT(SUMPRODUCT(--ISNUMBER(SEARCH(gun,C71)))&gt;0)</f>
        <v>0</v>
      </c>
      <c r="R71" s="14" cm="1">
        <f t="array" ref="R71">INT(SUMPRODUCT(--ISNUMBER(SEARCH(race,C71)))&gt;0)</f>
        <v>0</v>
      </c>
      <c r="S71" s="14" cm="1">
        <f t="array" ref="S71">INT(SUMPRODUCT(--ISNUMBER(SEARCH(immigration,C71)))&gt;0)</f>
        <v>0</v>
      </c>
      <c r="T71" s="14" cm="1">
        <f t="array" ref="T71">INT(SUMPRODUCT(--ISNUMBER(SEARCH(econineq,C72)))&gt;0)</f>
        <v>0</v>
      </c>
      <c r="U71" s="14" cm="1">
        <f t="array" ref="U71">INT(SUMPRODUCT(--ISNUMBER(SEARCH(climate,C71)))&gt;0)</f>
        <v>0</v>
      </c>
      <c r="V71" s="14" cm="1">
        <f t="array" ref="V71">INT(SUMPRODUCT(--ISNUMBER(SEARCH(abortion,C71)))&gt;0)</f>
        <v>0</v>
      </c>
      <c r="W71" s="14" cm="1">
        <f t="array" ref="W71">INT(SUMPRODUCT(--ISNUMBER(SEARCH(trump,C71)))&gt;0)</f>
        <v>0</v>
      </c>
      <c r="X71" s="14" cm="1">
        <f t="array" ref="X71">INT(SUMPRODUCT(--ISNUMBER(SEARCH(voting,C71)))&gt;0)</f>
        <v>0</v>
      </c>
      <c r="Y71" s="14" cm="1">
        <f t="array" ref="Y71">INT(SUMPRODUCT(--ISNUMBER(SEARCH(democrattrigger,C71)))&gt;0)</f>
        <v>0</v>
      </c>
      <c r="Z71" s="14" cm="1">
        <f t="array" ref="Z71">INT(SUMPRODUCT(--ISNUMBER(SEARCH(bipartisan,C71)))&gt;0)</f>
        <v>0</v>
      </c>
      <c r="AA71" s="14">
        <f t="shared" si="1"/>
        <v>1</v>
      </c>
      <c r="AB71" s="14"/>
      <c r="AC71" s="30">
        <v>0</v>
      </c>
      <c r="AD71" s="37">
        <v>1</v>
      </c>
    </row>
    <row r="72" spans="1:30" x14ac:dyDescent="0.25">
      <c r="A72" s="36">
        <v>3913</v>
      </c>
      <c r="B72" s="14" t="s">
        <v>7849</v>
      </c>
      <c r="C72" s="14" t="s">
        <v>7850</v>
      </c>
      <c r="D72" s="17">
        <v>44133</v>
      </c>
      <c r="E72" s="14" t="s">
        <v>30</v>
      </c>
      <c r="F72" s="14">
        <v>799</v>
      </c>
      <c r="G72" s="14">
        <v>86</v>
      </c>
      <c r="H72" s="14">
        <v>18</v>
      </c>
      <c r="I72" s="14">
        <v>9</v>
      </c>
      <c r="J72" s="14" t="s">
        <v>204</v>
      </c>
      <c r="K72" s="14" cm="1">
        <f t="array" ref="K72">INT(SUMPRODUCT(--ISNUMBER(SEARCH(economy,C72)))&gt;0)</f>
        <v>0</v>
      </c>
      <c r="L72" s="14" cm="1">
        <f t="array" ref="L72">INT(SUMPRODUCT(--ISNUMBER(SEARCH(healthcare,C72)))&gt;0)</f>
        <v>0</v>
      </c>
      <c r="M72" s="14" cm="1">
        <f t="array" ref="M72">INT(SUMPRODUCT(--ISNUMBER(SEARCH(supreme,C72)))&gt;0)</f>
        <v>0</v>
      </c>
      <c r="N72" s="14" cm="1">
        <f t="array" ref="N72">INT(SUMPRODUCT(--ISNUMBER(SEARCH(covid,C72)))&gt;0)</f>
        <v>0</v>
      </c>
      <c r="O72" s="14" cm="1">
        <f t="array" ref="O72">INT(SUMPRODUCT(--ISNUMBER(SEARCH(violent,C72)))&gt;0)</f>
        <v>0</v>
      </c>
      <c r="P72" s="14" cm="1">
        <f t="array" ref="P72">INT(SUMPRODUCT(--ISNUMBER(SEARCH(foreign,C72)))&gt;0)</f>
        <v>0</v>
      </c>
      <c r="Q72" s="14" cm="1">
        <f t="array" ref="Q72">INT(SUMPRODUCT(--ISNUMBER(SEARCH(gun,C72)))&gt;0)</f>
        <v>0</v>
      </c>
      <c r="R72" s="14" cm="1">
        <f t="array" ref="R72">INT(SUMPRODUCT(--ISNUMBER(SEARCH(race,C72)))&gt;0)</f>
        <v>0</v>
      </c>
      <c r="S72" s="14" cm="1">
        <f t="array" ref="S72">INT(SUMPRODUCT(--ISNUMBER(SEARCH(immigration,C72)))&gt;0)</f>
        <v>0</v>
      </c>
      <c r="T72" s="14" cm="1">
        <f t="array" ref="T72">INT(SUMPRODUCT(--ISNUMBER(SEARCH(econineq,C73)))&gt;0)</f>
        <v>0</v>
      </c>
      <c r="U72" s="14" cm="1">
        <f t="array" ref="U72">INT(SUMPRODUCT(--ISNUMBER(SEARCH(climate,C72)))&gt;0)</f>
        <v>0</v>
      </c>
      <c r="V72" s="14" cm="1">
        <f t="array" ref="V72">INT(SUMPRODUCT(--ISNUMBER(SEARCH(abortion,C72)))&gt;0)</f>
        <v>0</v>
      </c>
      <c r="W72" s="14" cm="1">
        <f t="array" ref="W72">INT(SUMPRODUCT(--ISNUMBER(SEARCH(trump,C72)))&gt;0)</f>
        <v>0</v>
      </c>
      <c r="X72" s="14" cm="1">
        <f t="array" ref="X72">INT(SUMPRODUCT(--ISNUMBER(SEARCH(voting,C72)))&gt;0)</f>
        <v>1</v>
      </c>
      <c r="Y72" s="14" cm="1">
        <f t="array" ref="Y72">INT(SUMPRODUCT(--ISNUMBER(SEARCH(democrattrigger,C72)))&gt;0)</f>
        <v>0</v>
      </c>
      <c r="Z72" s="14" cm="1">
        <f t="array" ref="Z72">INT(SUMPRODUCT(--ISNUMBER(SEARCH(bipartisan,C72)))&gt;0)</f>
        <v>0</v>
      </c>
      <c r="AA72" s="14">
        <f t="shared" si="1"/>
        <v>0</v>
      </c>
      <c r="AB72" s="14"/>
      <c r="AC72" s="30" t="s">
        <v>223</v>
      </c>
      <c r="AD72" s="37" t="s">
        <v>223</v>
      </c>
    </row>
    <row r="73" spans="1:30" x14ac:dyDescent="0.25">
      <c r="A73" s="36">
        <v>3914</v>
      </c>
      <c r="B73" s="14" t="s">
        <v>7851</v>
      </c>
      <c r="C73" s="14" t="s">
        <v>7852</v>
      </c>
      <c r="D73" s="17">
        <v>44133</v>
      </c>
      <c r="E73" s="14" t="s">
        <v>30</v>
      </c>
      <c r="F73" s="14">
        <v>236</v>
      </c>
      <c r="G73" s="14">
        <v>80</v>
      </c>
      <c r="H73" s="14">
        <v>18</v>
      </c>
      <c r="I73" s="14">
        <v>9</v>
      </c>
      <c r="J73" s="14" t="s">
        <v>204</v>
      </c>
      <c r="K73" s="14" cm="1">
        <f t="array" ref="K73">INT(SUMPRODUCT(--ISNUMBER(SEARCH(economy,C73)))&gt;0)</f>
        <v>0</v>
      </c>
      <c r="L73" s="14" cm="1">
        <f t="array" ref="L73">INT(SUMPRODUCT(--ISNUMBER(SEARCH(healthcare,C73)))&gt;0)</f>
        <v>0</v>
      </c>
      <c r="M73" s="14" cm="1">
        <f t="array" ref="M73">INT(SUMPRODUCT(--ISNUMBER(SEARCH(supreme,C73)))&gt;0)</f>
        <v>0</v>
      </c>
      <c r="N73" s="14" cm="1">
        <f t="array" ref="N73">INT(SUMPRODUCT(--ISNUMBER(SEARCH(covid,C73)))&gt;0)</f>
        <v>0</v>
      </c>
      <c r="O73" s="14" cm="1">
        <f t="array" ref="O73">INT(SUMPRODUCT(--ISNUMBER(SEARCH(violent,C73)))&gt;0)</f>
        <v>0</v>
      </c>
      <c r="P73" s="14" cm="1">
        <f t="array" ref="P73">INT(SUMPRODUCT(--ISNUMBER(SEARCH(foreign,C73)))&gt;0)</f>
        <v>0</v>
      </c>
      <c r="Q73" s="14" cm="1">
        <f t="array" ref="Q73">INT(SUMPRODUCT(--ISNUMBER(SEARCH(gun,C73)))&gt;0)</f>
        <v>0</v>
      </c>
      <c r="R73" s="14" cm="1">
        <f t="array" ref="R73">INT(SUMPRODUCT(--ISNUMBER(SEARCH(race,C73)))&gt;0)</f>
        <v>0</v>
      </c>
      <c r="S73" s="14" cm="1">
        <f t="array" ref="S73">INT(SUMPRODUCT(--ISNUMBER(SEARCH(immigration,C73)))&gt;0)</f>
        <v>0</v>
      </c>
      <c r="T73" s="14" cm="1">
        <f t="array" ref="T73">INT(SUMPRODUCT(--ISNUMBER(SEARCH(econineq,C74)))&gt;0)</f>
        <v>0</v>
      </c>
      <c r="U73" s="14" cm="1">
        <f t="array" ref="U73">INT(SUMPRODUCT(--ISNUMBER(SEARCH(climate,C73)))&gt;0)</f>
        <v>0</v>
      </c>
      <c r="V73" s="14" cm="1">
        <f t="array" ref="V73">INT(SUMPRODUCT(--ISNUMBER(SEARCH(abortion,C73)))&gt;0)</f>
        <v>0</v>
      </c>
      <c r="W73" s="14" cm="1">
        <f t="array" ref="W73">INT(SUMPRODUCT(--ISNUMBER(SEARCH(trump,C73)))&gt;0)</f>
        <v>0</v>
      </c>
      <c r="X73" s="14" cm="1">
        <f t="array" ref="X73">INT(SUMPRODUCT(--ISNUMBER(SEARCH(voting,C73)))&gt;0)</f>
        <v>1</v>
      </c>
      <c r="Y73" s="14" cm="1">
        <f t="array" ref="Y73">INT(SUMPRODUCT(--ISNUMBER(SEARCH(democrattrigger,C73)))&gt;0)</f>
        <v>0</v>
      </c>
      <c r="Z73" s="14" cm="1">
        <f t="array" ref="Z73">INT(SUMPRODUCT(--ISNUMBER(SEARCH(bipartisan,C73)))&gt;0)</f>
        <v>0</v>
      </c>
      <c r="AA73" s="14">
        <f t="shared" si="1"/>
        <v>0</v>
      </c>
      <c r="AB73" s="14"/>
      <c r="AC73" s="30" t="s">
        <v>223</v>
      </c>
      <c r="AD73" s="37" t="s">
        <v>223</v>
      </c>
    </row>
    <row r="74" spans="1:30" x14ac:dyDescent="0.25">
      <c r="A74" s="36">
        <v>3915</v>
      </c>
      <c r="B74" s="14" t="s">
        <v>7853</v>
      </c>
      <c r="C74" s="14" t="s">
        <v>7854</v>
      </c>
      <c r="D74" s="17">
        <v>44133</v>
      </c>
      <c r="E74" s="14" t="s">
        <v>30</v>
      </c>
      <c r="F74" s="14">
        <v>2150</v>
      </c>
      <c r="G74" s="14">
        <v>359</v>
      </c>
      <c r="H74" s="14">
        <v>18</v>
      </c>
      <c r="I74" s="14">
        <v>9</v>
      </c>
      <c r="J74" s="14" t="s">
        <v>204</v>
      </c>
      <c r="K74" s="14" cm="1">
        <f t="array" ref="K74">INT(SUMPRODUCT(--ISNUMBER(SEARCH(economy,C74)))&gt;0)</f>
        <v>0</v>
      </c>
      <c r="L74" s="14" cm="1">
        <f t="array" ref="L74">INT(SUMPRODUCT(--ISNUMBER(SEARCH(healthcare,C74)))&gt;0)</f>
        <v>0</v>
      </c>
      <c r="M74" s="14" cm="1">
        <f t="array" ref="M74">INT(SUMPRODUCT(--ISNUMBER(SEARCH(supreme,C74)))&gt;0)</f>
        <v>0</v>
      </c>
      <c r="N74" s="14" cm="1">
        <f t="array" ref="N74">INT(SUMPRODUCT(--ISNUMBER(SEARCH(covid,C74)))&gt;0)</f>
        <v>0</v>
      </c>
      <c r="O74" s="14" cm="1">
        <f t="array" ref="O74">INT(SUMPRODUCT(--ISNUMBER(SEARCH(violent,C74)))&gt;0)</f>
        <v>0</v>
      </c>
      <c r="P74" s="14" cm="1">
        <f t="array" ref="P74">INT(SUMPRODUCT(--ISNUMBER(SEARCH(foreign,C74)))&gt;0)</f>
        <v>0</v>
      </c>
      <c r="Q74" s="14" cm="1">
        <f t="array" ref="Q74">INT(SUMPRODUCT(--ISNUMBER(SEARCH(gun,C74)))&gt;0)</f>
        <v>0</v>
      </c>
      <c r="R74" s="14" cm="1">
        <f t="array" ref="R74">INT(SUMPRODUCT(--ISNUMBER(SEARCH(race,C74)))&gt;0)</f>
        <v>0</v>
      </c>
      <c r="S74" s="14" cm="1">
        <f t="array" ref="S74">INT(SUMPRODUCT(--ISNUMBER(SEARCH(immigration,C74)))&gt;0)</f>
        <v>0</v>
      </c>
      <c r="T74" s="14" cm="1">
        <f t="array" ref="T74">INT(SUMPRODUCT(--ISNUMBER(SEARCH(econineq,C75)))&gt;0)</f>
        <v>0</v>
      </c>
      <c r="U74" s="14" cm="1">
        <f t="array" ref="U74">INT(SUMPRODUCT(--ISNUMBER(SEARCH(climate,C74)))&gt;0)</f>
        <v>0</v>
      </c>
      <c r="V74" s="14" cm="1">
        <f t="array" ref="V74">INT(SUMPRODUCT(--ISNUMBER(SEARCH(abortion,C74)))&gt;0)</f>
        <v>0</v>
      </c>
      <c r="W74" s="14" cm="1">
        <f t="array" ref="W74">INT(SUMPRODUCT(--ISNUMBER(SEARCH(trump,C74)))&gt;0)</f>
        <v>0</v>
      </c>
      <c r="X74" s="14" cm="1">
        <f t="array" ref="X74">INT(SUMPRODUCT(--ISNUMBER(SEARCH(voting,C74)))&gt;0)</f>
        <v>1</v>
      </c>
      <c r="Y74" s="14" cm="1">
        <f t="array" ref="Y74">INT(SUMPRODUCT(--ISNUMBER(SEARCH(democrattrigger,C74)))&gt;0)</f>
        <v>0</v>
      </c>
      <c r="Z74" s="14" cm="1">
        <f t="array" ref="Z74">INT(SUMPRODUCT(--ISNUMBER(SEARCH(bipartisan,C74)))&gt;0)</f>
        <v>0</v>
      </c>
      <c r="AA74" s="14">
        <f t="shared" si="1"/>
        <v>0</v>
      </c>
      <c r="AB74" s="14"/>
      <c r="AC74" s="30" t="s">
        <v>223</v>
      </c>
      <c r="AD74" s="37" t="s">
        <v>223</v>
      </c>
    </row>
    <row r="75" spans="1:30" x14ac:dyDescent="0.25">
      <c r="A75" s="36">
        <v>3916</v>
      </c>
      <c r="B75" s="14" t="s">
        <v>7855</v>
      </c>
      <c r="C75" s="14" t="s">
        <v>7856</v>
      </c>
      <c r="D75" s="17">
        <v>44133</v>
      </c>
      <c r="E75" s="14" t="s">
        <v>30</v>
      </c>
      <c r="F75" s="14">
        <v>1526</v>
      </c>
      <c r="G75" s="14">
        <v>662</v>
      </c>
      <c r="H75" s="14">
        <v>18</v>
      </c>
      <c r="I75" s="14">
        <v>9</v>
      </c>
      <c r="J75" s="14" t="s">
        <v>204</v>
      </c>
      <c r="K75" s="14" cm="1">
        <f t="array" ref="K75">INT(SUMPRODUCT(--ISNUMBER(SEARCH(economy,C75)))&gt;0)</f>
        <v>1</v>
      </c>
      <c r="L75" s="14" cm="1">
        <f t="array" ref="L75">INT(SUMPRODUCT(--ISNUMBER(SEARCH(healthcare,C75)))&gt;0)</f>
        <v>0</v>
      </c>
      <c r="M75" s="14" cm="1">
        <f t="array" ref="M75">INT(SUMPRODUCT(--ISNUMBER(SEARCH(supreme,C75)))&gt;0)</f>
        <v>0</v>
      </c>
      <c r="N75" s="14" cm="1">
        <f t="array" ref="N75">INT(SUMPRODUCT(--ISNUMBER(SEARCH(covid,C75)))&gt;0)</f>
        <v>0</v>
      </c>
      <c r="O75" s="14" cm="1">
        <f t="array" ref="O75">INT(SUMPRODUCT(--ISNUMBER(SEARCH(violent,C75)))&gt;0)</f>
        <v>0</v>
      </c>
      <c r="P75" s="14" cm="1">
        <f t="array" ref="P75">INT(SUMPRODUCT(--ISNUMBER(SEARCH(foreign,C75)))&gt;0)</f>
        <v>0</v>
      </c>
      <c r="Q75" s="14" cm="1">
        <f t="array" ref="Q75">INT(SUMPRODUCT(--ISNUMBER(SEARCH(gun,C75)))&gt;0)</f>
        <v>0</v>
      </c>
      <c r="R75" s="14" cm="1">
        <f t="array" ref="R75">INT(SUMPRODUCT(--ISNUMBER(SEARCH(race,C75)))&gt;0)</f>
        <v>0</v>
      </c>
      <c r="S75" s="14" cm="1">
        <f t="array" ref="S75">INT(SUMPRODUCT(--ISNUMBER(SEARCH(immigration,C75)))&gt;0)</f>
        <v>0</v>
      </c>
      <c r="T75" s="14" cm="1">
        <f t="array" ref="T75">INT(SUMPRODUCT(--ISNUMBER(SEARCH(econineq,C76)))&gt;0)</f>
        <v>0</v>
      </c>
      <c r="U75" s="14" cm="1">
        <f t="array" ref="U75">INT(SUMPRODUCT(--ISNUMBER(SEARCH(climate,C75)))&gt;0)</f>
        <v>0</v>
      </c>
      <c r="V75" s="14" cm="1">
        <f t="array" ref="V75">INT(SUMPRODUCT(--ISNUMBER(SEARCH(abortion,C75)))&gt;0)</f>
        <v>0</v>
      </c>
      <c r="W75" s="14" cm="1">
        <f t="array" ref="W75">INT(SUMPRODUCT(--ISNUMBER(SEARCH(trump,C75)))&gt;0)</f>
        <v>0</v>
      </c>
      <c r="X75" s="14" cm="1">
        <f t="array" ref="X75">INT(SUMPRODUCT(--ISNUMBER(SEARCH(voting,C75)))&gt;0)</f>
        <v>0</v>
      </c>
      <c r="Y75" s="14" cm="1">
        <f t="array" ref="Y75">INT(SUMPRODUCT(--ISNUMBER(SEARCH(democrattrigger,C75)))&gt;0)</f>
        <v>1</v>
      </c>
      <c r="Z75" s="14" cm="1">
        <f t="array" ref="Z75">INT(SUMPRODUCT(--ISNUMBER(SEARCH(bipartisan,C75)))&gt;0)</f>
        <v>0</v>
      </c>
      <c r="AA75" s="14">
        <f t="shared" si="1"/>
        <v>0</v>
      </c>
      <c r="AB75" s="14"/>
      <c r="AC75" s="30">
        <v>0</v>
      </c>
      <c r="AD75" s="37">
        <v>1</v>
      </c>
    </row>
    <row r="76" spans="1:30" x14ac:dyDescent="0.25">
      <c r="A76" s="36">
        <v>3917</v>
      </c>
      <c r="B76" s="14" t="s">
        <v>7857</v>
      </c>
      <c r="C76" s="14" t="s">
        <v>7858</v>
      </c>
      <c r="D76" s="17">
        <v>44133</v>
      </c>
      <c r="E76" s="14" t="s">
        <v>30</v>
      </c>
      <c r="F76" s="14">
        <v>478</v>
      </c>
      <c r="G76" s="14">
        <v>179</v>
      </c>
      <c r="H76" s="14">
        <v>18</v>
      </c>
      <c r="I76" s="14">
        <v>9</v>
      </c>
      <c r="J76" s="14" t="s">
        <v>204</v>
      </c>
      <c r="K76" s="14" cm="1">
        <f t="array" ref="K76">INT(SUMPRODUCT(--ISNUMBER(SEARCH(economy,C76)))&gt;0)</f>
        <v>1</v>
      </c>
      <c r="L76" s="14" cm="1">
        <f t="array" ref="L76">INT(SUMPRODUCT(--ISNUMBER(SEARCH(healthcare,C76)))&gt;0)</f>
        <v>0</v>
      </c>
      <c r="M76" s="14" cm="1">
        <f t="array" ref="M76">INT(SUMPRODUCT(--ISNUMBER(SEARCH(supreme,C76)))&gt;0)</f>
        <v>0</v>
      </c>
      <c r="N76" s="14" cm="1">
        <f t="array" ref="N76">INT(SUMPRODUCT(--ISNUMBER(SEARCH(covid,C76)))&gt;0)</f>
        <v>0</v>
      </c>
      <c r="O76" s="14" cm="1">
        <f t="array" ref="O76">INT(SUMPRODUCT(--ISNUMBER(SEARCH(violent,C76)))&gt;0)</f>
        <v>0</v>
      </c>
      <c r="P76" s="14" cm="1">
        <f t="array" ref="P76">INT(SUMPRODUCT(--ISNUMBER(SEARCH(foreign,C76)))&gt;0)</f>
        <v>0</v>
      </c>
      <c r="Q76" s="14" cm="1">
        <f t="array" ref="Q76">INT(SUMPRODUCT(--ISNUMBER(SEARCH(gun,C76)))&gt;0)</f>
        <v>0</v>
      </c>
      <c r="R76" s="14" cm="1">
        <f t="array" ref="R76">INT(SUMPRODUCT(--ISNUMBER(SEARCH(race,C76)))&gt;0)</f>
        <v>0</v>
      </c>
      <c r="S76" s="14" cm="1">
        <f t="array" ref="S76">INT(SUMPRODUCT(--ISNUMBER(SEARCH(immigration,C76)))&gt;0)</f>
        <v>0</v>
      </c>
      <c r="T76" s="14" cm="1">
        <f t="array" ref="T76">INT(SUMPRODUCT(--ISNUMBER(SEARCH(econineq,C77)))&gt;0)</f>
        <v>0</v>
      </c>
      <c r="U76" s="14" cm="1">
        <f t="array" ref="U76">INT(SUMPRODUCT(--ISNUMBER(SEARCH(climate,C76)))&gt;0)</f>
        <v>0</v>
      </c>
      <c r="V76" s="14" cm="1">
        <f t="array" ref="V76">INT(SUMPRODUCT(--ISNUMBER(SEARCH(abortion,C76)))&gt;0)</f>
        <v>0</v>
      </c>
      <c r="W76" s="14" cm="1">
        <f t="array" ref="W76">INT(SUMPRODUCT(--ISNUMBER(SEARCH(trump,C76)))&gt;0)</f>
        <v>0</v>
      </c>
      <c r="X76" s="14" cm="1">
        <f t="array" ref="X76">INT(SUMPRODUCT(--ISNUMBER(SEARCH(voting,C76)))&gt;0)</f>
        <v>0</v>
      </c>
      <c r="Y76" s="14" cm="1">
        <f t="array" ref="Y76">INT(SUMPRODUCT(--ISNUMBER(SEARCH(democrattrigger,C76)))&gt;0)</f>
        <v>0</v>
      </c>
      <c r="Z76" s="14" cm="1">
        <f t="array" ref="Z76">INT(SUMPRODUCT(--ISNUMBER(SEARCH(bipartisan,C76)))&gt;0)</f>
        <v>0</v>
      </c>
      <c r="AA76" s="14">
        <f t="shared" si="1"/>
        <v>0</v>
      </c>
      <c r="AB76" s="14"/>
      <c r="AC76" s="30" t="s">
        <v>223</v>
      </c>
      <c r="AD76" s="37" t="s">
        <v>223</v>
      </c>
    </row>
    <row r="77" spans="1:30" x14ac:dyDescent="0.25">
      <c r="A77" s="36">
        <v>3918</v>
      </c>
      <c r="B77" s="14" t="s">
        <v>7859</v>
      </c>
      <c r="C77" s="14" t="s">
        <v>7860</v>
      </c>
      <c r="D77" s="17">
        <v>44133</v>
      </c>
      <c r="E77" s="14" t="s">
        <v>30</v>
      </c>
      <c r="F77" s="14">
        <v>642</v>
      </c>
      <c r="G77" s="14">
        <v>139</v>
      </c>
      <c r="H77" s="14">
        <v>18</v>
      </c>
      <c r="I77" s="14">
        <v>9</v>
      </c>
      <c r="J77" s="14" t="s">
        <v>204</v>
      </c>
      <c r="K77" s="14" cm="1">
        <f t="array" ref="K77">INT(SUMPRODUCT(--ISNUMBER(SEARCH(economy,C77)))&gt;0)</f>
        <v>0</v>
      </c>
      <c r="L77" s="14" cm="1">
        <f t="array" ref="L77">INT(SUMPRODUCT(--ISNUMBER(SEARCH(healthcare,C77)))&gt;0)</f>
        <v>0</v>
      </c>
      <c r="M77" s="14" cm="1">
        <f t="array" ref="M77">INT(SUMPRODUCT(--ISNUMBER(SEARCH(supreme,C77)))&gt;0)</f>
        <v>0</v>
      </c>
      <c r="N77" s="14" cm="1">
        <f t="array" ref="N77">INT(SUMPRODUCT(--ISNUMBER(SEARCH(covid,C77)))&gt;0)</f>
        <v>0</v>
      </c>
      <c r="O77" s="14" cm="1">
        <f t="array" ref="O77">INT(SUMPRODUCT(--ISNUMBER(SEARCH(violent,C77)))&gt;0)</f>
        <v>0</v>
      </c>
      <c r="P77" s="14" cm="1">
        <f t="array" ref="P77">INT(SUMPRODUCT(--ISNUMBER(SEARCH(foreign,C77)))&gt;0)</f>
        <v>0</v>
      </c>
      <c r="Q77" s="14" cm="1">
        <f t="array" ref="Q77">INT(SUMPRODUCT(--ISNUMBER(SEARCH(gun,C77)))&gt;0)</f>
        <v>0</v>
      </c>
      <c r="R77" s="14" cm="1">
        <f t="array" ref="R77">INT(SUMPRODUCT(--ISNUMBER(SEARCH(race,C77)))&gt;0)</f>
        <v>0</v>
      </c>
      <c r="S77" s="14" cm="1">
        <f t="array" ref="S77">INT(SUMPRODUCT(--ISNUMBER(SEARCH(immigration,C77)))&gt;0)</f>
        <v>0</v>
      </c>
      <c r="T77" s="14" cm="1">
        <f t="array" ref="T77">INT(SUMPRODUCT(--ISNUMBER(SEARCH(econineq,C78)))&gt;0)</f>
        <v>0</v>
      </c>
      <c r="U77" s="14" cm="1">
        <f t="array" ref="U77">INT(SUMPRODUCT(--ISNUMBER(SEARCH(climate,C77)))&gt;0)</f>
        <v>0</v>
      </c>
      <c r="V77" s="14" cm="1">
        <f t="array" ref="V77">INT(SUMPRODUCT(--ISNUMBER(SEARCH(abortion,C77)))&gt;0)</f>
        <v>0</v>
      </c>
      <c r="W77" s="14" cm="1">
        <f t="array" ref="W77">INT(SUMPRODUCT(--ISNUMBER(SEARCH(trump,C77)))&gt;0)</f>
        <v>0</v>
      </c>
      <c r="X77" s="14" cm="1">
        <f t="array" ref="X77">INT(SUMPRODUCT(--ISNUMBER(SEARCH(voting,C77)))&gt;0)</f>
        <v>1</v>
      </c>
      <c r="Y77" s="14" cm="1">
        <f t="array" ref="Y77">INT(SUMPRODUCT(--ISNUMBER(SEARCH(democrattrigger,C77)))&gt;0)</f>
        <v>0</v>
      </c>
      <c r="Z77" s="14" cm="1">
        <f t="array" ref="Z77">INT(SUMPRODUCT(--ISNUMBER(SEARCH(bipartisan,C77)))&gt;0)</f>
        <v>0</v>
      </c>
      <c r="AA77" s="14">
        <f t="shared" si="1"/>
        <v>0</v>
      </c>
      <c r="AB77" s="14"/>
      <c r="AC77" s="30" t="s">
        <v>223</v>
      </c>
      <c r="AD77" s="37" t="s">
        <v>223</v>
      </c>
    </row>
    <row r="78" spans="1:30" x14ac:dyDescent="0.25">
      <c r="A78" s="36">
        <v>3919</v>
      </c>
      <c r="B78" s="14" t="s">
        <v>7861</v>
      </c>
      <c r="C78" s="14" t="s">
        <v>7862</v>
      </c>
      <c r="D78" s="17">
        <v>44133</v>
      </c>
      <c r="E78" s="14" t="s">
        <v>30</v>
      </c>
      <c r="F78" s="14">
        <v>2451</v>
      </c>
      <c r="G78" s="14">
        <v>700</v>
      </c>
      <c r="H78" s="14">
        <v>18</v>
      </c>
      <c r="I78" s="14">
        <v>9</v>
      </c>
      <c r="J78" s="14" t="s">
        <v>204</v>
      </c>
      <c r="K78" s="14" cm="1">
        <f t="array" ref="K78">INT(SUMPRODUCT(--ISNUMBER(SEARCH(economy,C78)))&gt;0)</f>
        <v>0</v>
      </c>
      <c r="L78" s="14" cm="1">
        <f t="array" ref="L78">INT(SUMPRODUCT(--ISNUMBER(SEARCH(healthcare,C78)))&gt;0)</f>
        <v>0</v>
      </c>
      <c r="M78" s="14" cm="1">
        <f t="array" ref="M78">INT(SUMPRODUCT(--ISNUMBER(SEARCH(supreme,C78)))&gt;0)</f>
        <v>0</v>
      </c>
      <c r="N78" s="14" cm="1">
        <f t="array" ref="N78">INT(SUMPRODUCT(--ISNUMBER(SEARCH(covid,C78)))&gt;0)</f>
        <v>1</v>
      </c>
      <c r="O78" s="14" cm="1">
        <f t="array" ref="O78">INT(SUMPRODUCT(--ISNUMBER(SEARCH(violent,C78)))&gt;0)</f>
        <v>0</v>
      </c>
      <c r="P78" s="14" cm="1">
        <f t="array" ref="P78">INT(SUMPRODUCT(--ISNUMBER(SEARCH(foreign,C78)))&gt;0)</f>
        <v>0</v>
      </c>
      <c r="Q78" s="14" cm="1">
        <f t="array" ref="Q78">INT(SUMPRODUCT(--ISNUMBER(SEARCH(gun,C78)))&gt;0)</f>
        <v>0</v>
      </c>
      <c r="R78" s="14" cm="1">
        <f t="array" ref="R78">INT(SUMPRODUCT(--ISNUMBER(SEARCH(race,C78)))&gt;0)</f>
        <v>0</v>
      </c>
      <c r="S78" s="14" cm="1">
        <f t="array" ref="S78">INT(SUMPRODUCT(--ISNUMBER(SEARCH(immigration,C78)))&gt;0)</f>
        <v>0</v>
      </c>
      <c r="T78" s="14" cm="1">
        <f t="array" ref="T78">INT(SUMPRODUCT(--ISNUMBER(SEARCH(econineq,C79)))&gt;0)</f>
        <v>0</v>
      </c>
      <c r="U78" s="14" cm="1">
        <f t="array" ref="U78">INT(SUMPRODUCT(--ISNUMBER(SEARCH(climate,C78)))&gt;0)</f>
        <v>0</v>
      </c>
      <c r="V78" s="14" cm="1">
        <f t="array" ref="V78">INT(SUMPRODUCT(--ISNUMBER(SEARCH(abortion,C78)))&gt;0)</f>
        <v>0</v>
      </c>
      <c r="W78" s="14" cm="1">
        <f t="array" ref="W78">INT(SUMPRODUCT(--ISNUMBER(SEARCH(trump,C78)))&gt;0)</f>
        <v>0</v>
      </c>
      <c r="X78" s="14" cm="1">
        <f t="array" ref="X78">INT(SUMPRODUCT(--ISNUMBER(SEARCH(voting,C78)))&gt;0)</f>
        <v>0</v>
      </c>
      <c r="Y78" s="14" cm="1">
        <f t="array" ref="Y78">INT(SUMPRODUCT(--ISNUMBER(SEARCH(democrattrigger,C78)))&gt;0)</f>
        <v>0</v>
      </c>
      <c r="Z78" s="14" cm="1">
        <f t="array" ref="Z78">INT(SUMPRODUCT(--ISNUMBER(SEARCH(bipartisan,C78)))&gt;0)</f>
        <v>0</v>
      </c>
      <c r="AA78" s="14">
        <f t="shared" si="1"/>
        <v>0</v>
      </c>
      <c r="AB78" s="14"/>
      <c r="AC78" s="30">
        <v>1</v>
      </c>
      <c r="AD78" s="37">
        <v>0</v>
      </c>
    </row>
    <row r="79" spans="1:30" x14ac:dyDescent="0.25">
      <c r="A79" s="36">
        <v>3920</v>
      </c>
      <c r="B79" s="14" t="s">
        <v>7863</v>
      </c>
      <c r="C79" s="14" t="s">
        <v>7864</v>
      </c>
      <c r="D79" s="17">
        <v>44133</v>
      </c>
      <c r="E79" s="14" t="s">
        <v>30</v>
      </c>
      <c r="F79" s="14">
        <v>1673</v>
      </c>
      <c r="G79" s="14">
        <v>493</v>
      </c>
      <c r="H79" s="14">
        <v>18</v>
      </c>
      <c r="I79" s="14">
        <v>9</v>
      </c>
      <c r="J79" s="14" t="s">
        <v>204</v>
      </c>
      <c r="K79" s="14" cm="1">
        <f t="array" ref="K79">INT(SUMPRODUCT(--ISNUMBER(SEARCH(economy,C79)))&gt;0)</f>
        <v>0</v>
      </c>
      <c r="L79" s="14" cm="1">
        <f t="array" ref="L79">INT(SUMPRODUCT(--ISNUMBER(SEARCH(healthcare,C79)))&gt;0)</f>
        <v>0</v>
      </c>
      <c r="M79" s="14" cm="1">
        <f t="array" ref="M79">INT(SUMPRODUCT(--ISNUMBER(SEARCH(supreme,C79)))&gt;0)</f>
        <v>0</v>
      </c>
      <c r="N79" s="14" cm="1">
        <f t="array" ref="N79">INT(SUMPRODUCT(--ISNUMBER(SEARCH(covid,C79)))&gt;0)</f>
        <v>0</v>
      </c>
      <c r="O79" s="14" cm="1">
        <f t="array" ref="O79">INT(SUMPRODUCT(--ISNUMBER(SEARCH(violent,C79)))&gt;0)</f>
        <v>0</v>
      </c>
      <c r="P79" s="14" cm="1">
        <f t="array" ref="P79">INT(SUMPRODUCT(--ISNUMBER(SEARCH(foreign,C79)))&gt;0)</f>
        <v>0</v>
      </c>
      <c r="Q79" s="14" cm="1">
        <f t="array" ref="Q79">INT(SUMPRODUCT(--ISNUMBER(SEARCH(gun,C79)))&gt;0)</f>
        <v>0</v>
      </c>
      <c r="R79" s="14" cm="1">
        <f t="array" ref="R79">INT(SUMPRODUCT(--ISNUMBER(SEARCH(race,C79)))&gt;0)</f>
        <v>0</v>
      </c>
      <c r="S79" s="14" cm="1">
        <f t="array" ref="S79">INT(SUMPRODUCT(--ISNUMBER(SEARCH(immigration,C79)))&gt;0)</f>
        <v>0</v>
      </c>
      <c r="T79" s="14" cm="1">
        <f t="array" ref="T79">INT(SUMPRODUCT(--ISNUMBER(SEARCH(econineq,C80)))&gt;0)</f>
        <v>0</v>
      </c>
      <c r="U79" s="14" cm="1">
        <f t="array" ref="U79">INT(SUMPRODUCT(--ISNUMBER(SEARCH(climate,C79)))&gt;0)</f>
        <v>0</v>
      </c>
      <c r="V79" s="14" cm="1">
        <f t="array" ref="V79">INT(SUMPRODUCT(--ISNUMBER(SEARCH(abortion,C79)))&gt;0)</f>
        <v>0</v>
      </c>
      <c r="W79" s="14" cm="1">
        <f t="array" ref="W79">INT(SUMPRODUCT(--ISNUMBER(SEARCH(trump,C79)))&gt;0)</f>
        <v>0</v>
      </c>
      <c r="X79" s="14" cm="1">
        <f t="array" ref="X79">INT(SUMPRODUCT(--ISNUMBER(SEARCH(voting,C79)))&gt;0)</f>
        <v>1</v>
      </c>
      <c r="Y79" s="14" cm="1">
        <f t="array" ref="Y79">INT(SUMPRODUCT(--ISNUMBER(SEARCH(democrattrigger,C79)))&gt;0)</f>
        <v>0</v>
      </c>
      <c r="Z79" s="14" cm="1">
        <f t="array" ref="Z79">INT(SUMPRODUCT(--ISNUMBER(SEARCH(bipartisan,C79)))&gt;0)</f>
        <v>0</v>
      </c>
      <c r="AA79" s="14">
        <f t="shared" si="1"/>
        <v>0</v>
      </c>
      <c r="AB79" s="14"/>
      <c r="AC79" s="30" t="s">
        <v>223</v>
      </c>
      <c r="AD79" s="37" t="s">
        <v>223</v>
      </c>
    </row>
    <row r="80" spans="1:30" x14ac:dyDescent="0.25">
      <c r="A80" s="36">
        <v>3921</v>
      </c>
      <c r="B80" s="14" t="s">
        <v>7865</v>
      </c>
      <c r="C80" s="14" t="s">
        <v>7866</v>
      </c>
      <c r="D80" s="17">
        <v>44133</v>
      </c>
      <c r="E80" s="14" t="s">
        <v>30</v>
      </c>
      <c r="F80" s="14">
        <v>3016</v>
      </c>
      <c r="G80" s="14">
        <v>1037</v>
      </c>
      <c r="H80" s="14">
        <v>18</v>
      </c>
      <c r="I80" s="14">
        <v>9</v>
      </c>
      <c r="J80" s="14" t="s">
        <v>204</v>
      </c>
      <c r="K80" s="14" cm="1">
        <f t="array" ref="K80">INT(SUMPRODUCT(--ISNUMBER(SEARCH(economy,C80)))&gt;0)</f>
        <v>0</v>
      </c>
      <c r="L80" s="14" cm="1">
        <f t="array" ref="L80">INT(SUMPRODUCT(--ISNUMBER(SEARCH(healthcare,C80)))&gt;0)</f>
        <v>0</v>
      </c>
      <c r="M80" s="14" cm="1">
        <f t="array" ref="M80">INT(SUMPRODUCT(--ISNUMBER(SEARCH(supreme,C80)))&gt;0)</f>
        <v>0</v>
      </c>
      <c r="N80" s="14" cm="1">
        <f t="array" ref="N80">INT(SUMPRODUCT(--ISNUMBER(SEARCH(covid,C80)))&gt;0)</f>
        <v>1</v>
      </c>
      <c r="O80" s="14" cm="1">
        <f t="array" ref="O80">INT(SUMPRODUCT(--ISNUMBER(SEARCH(violent,C80)))&gt;0)</f>
        <v>0</v>
      </c>
      <c r="P80" s="14" cm="1">
        <f t="array" ref="P80">INT(SUMPRODUCT(--ISNUMBER(SEARCH(foreign,C80)))&gt;0)</f>
        <v>0</v>
      </c>
      <c r="Q80" s="14" cm="1">
        <f t="array" ref="Q80">INT(SUMPRODUCT(--ISNUMBER(SEARCH(gun,C80)))&gt;0)</f>
        <v>0</v>
      </c>
      <c r="R80" s="14" cm="1">
        <f t="array" ref="R80">INT(SUMPRODUCT(--ISNUMBER(SEARCH(race,C80)))&gt;0)</f>
        <v>0</v>
      </c>
      <c r="S80" s="14" cm="1">
        <f t="array" ref="S80">INT(SUMPRODUCT(--ISNUMBER(SEARCH(immigration,C80)))&gt;0)</f>
        <v>0</v>
      </c>
      <c r="T80" s="14" cm="1">
        <f t="array" ref="T80">INT(SUMPRODUCT(--ISNUMBER(SEARCH(econineq,C81)))&gt;0)</f>
        <v>0</v>
      </c>
      <c r="U80" s="14" cm="1">
        <f t="array" ref="U80">INT(SUMPRODUCT(--ISNUMBER(SEARCH(climate,C80)))&gt;0)</f>
        <v>0</v>
      </c>
      <c r="V80" s="14" cm="1">
        <f t="array" ref="V80">INT(SUMPRODUCT(--ISNUMBER(SEARCH(abortion,C80)))&gt;0)</f>
        <v>0</v>
      </c>
      <c r="W80" s="14" cm="1">
        <f t="array" ref="W80">INT(SUMPRODUCT(--ISNUMBER(SEARCH(trump,C80)))&gt;0)</f>
        <v>0</v>
      </c>
      <c r="X80" s="14" cm="1">
        <f t="array" ref="X80">INT(SUMPRODUCT(--ISNUMBER(SEARCH(voting,C80)))&gt;0)</f>
        <v>0</v>
      </c>
      <c r="Y80" s="14" cm="1">
        <f t="array" ref="Y80">INT(SUMPRODUCT(--ISNUMBER(SEARCH(democrattrigger,C80)))&gt;0)</f>
        <v>1</v>
      </c>
      <c r="Z80" s="14" cm="1">
        <f t="array" ref="Z80">INT(SUMPRODUCT(--ISNUMBER(SEARCH(bipartisan,C80)))&gt;0)</f>
        <v>0</v>
      </c>
      <c r="AA80" s="14">
        <f t="shared" si="1"/>
        <v>0</v>
      </c>
      <c r="AB80" s="14"/>
      <c r="AC80" s="30" t="s">
        <v>223</v>
      </c>
      <c r="AD80" s="37" t="s">
        <v>223</v>
      </c>
    </row>
    <row r="81" spans="1:30" x14ac:dyDescent="0.25">
      <c r="A81" s="36">
        <v>3922</v>
      </c>
      <c r="B81" s="14" t="s">
        <v>7867</v>
      </c>
      <c r="C81" s="14" t="s">
        <v>7868</v>
      </c>
      <c r="D81" s="17">
        <v>44133</v>
      </c>
      <c r="E81" s="14" t="s">
        <v>30</v>
      </c>
      <c r="F81" s="14">
        <v>3344</v>
      </c>
      <c r="G81" s="14">
        <v>845</v>
      </c>
      <c r="H81" s="14">
        <v>18</v>
      </c>
      <c r="I81" s="14">
        <v>9</v>
      </c>
      <c r="J81" s="14" t="s">
        <v>204</v>
      </c>
      <c r="K81" s="14" cm="1">
        <f t="array" ref="K81">INT(SUMPRODUCT(--ISNUMBER(SEARCH(economy,C81)))&gt;0)</f>
        <v>0</v>
      </c>
      <c r="L81" s="14" cm="1">
        <f t="array" ref="L81">INT(SUMPRODUCT(--ISNUMBER(SEARCH(healthcare,C81)))&gt;0)</f>
        <v>0</v>
      </c>
      <c r="M81" s="14" cm="1">
        <f t="array" ref="M81">INT(SUMPRODUCT(--ISNUMBER(SEARCH(supreme,C81)))&gt;0)</f>
        <v>0</v>
      </c>
      <c r="N81" s="14" cm="1">
        <f t="array" ref="N81">INT(SUMPRODUCT(--ISNUMBER(SEARCH(covid,C81)))&gt;0)</f>
        <v>0</v>
      </c>
      <c r="O81" s="14" cm="1">
        <f t="array" ref="O81">INT(SUMPRODUCT(--ISNUMBER(SEARCH(violent,C81)))&gt;0)</f>
        <v>0</v>
      </c>
      <c r="P81" s="14" cm="1">
        <f t="array" ref="P81">INT(SUMPRODUCT(--ISNUMBER(SEARCH(foreign,C81)))&gt;0)</f>
        <v>0</v>
      </c>
      <c r="Q81" s="14" cm="1">
        <f t="array" ref="Q81">INT(SUMPRODUCT(--ISNUMBER(SEARCH(gun,C81)))&gt;0)</f>
        <v>0</v>
      </c>
      <c r="R81" s="14" cm="1">
        <f t="array" ref="R81">INT(SUMPRODUCT(--ISNUMBER(SEARCH(race,C81)))&gt;0)</f>
        <v>0</v>
      </c>
      <c r="S81" s="14" cm="1">
        <f t="array" ref="S81">INT(SUMPRODUCT(--ISNUMBER(SEARCH(immigration,C81)))&gt;0)</f>
        <v>0</v>
      </c>
      <c r="T81" s="14" cm="1">
        <f t="array" ref="T81">INT(SUMPRODUCT(--ISNUMBER(SEARCH(econineq,C82)))&gt;0)</f>
        <v>0</v>
      </c>
      <c r="U81" s="14" cm="1">
        <f t="array" ref="U81">INT(SUMPRODUCT(--ISNUMBER(SEARCH(climate,C81)))&gt;0)</f>
        <v>0</v>
      </c>
      <c r="V81" s="14" cm="1">
        <f t="array" ref="V81">INT(SUMPRODUCT(--ISNUMBER(SEARCH(abortion,C81)))&gt;0)</f>
        <v>0</v>
      </c>
      <c r="W81" s="14" cm="1">
        <f t="array" ref="W81">INT(SUMPRODUCT(--ISNUMBER(SEARCH(trump,C81)))&gt;0)</f>
        <v>0</v>
      </c>
      <c r="X81" s="14" cm="1">
        <f t="array" ref="X81">INT(SUMPRODUCT(--ISNUMBER(SEARCH(voting,C81)))&gt;0)</f>
        <v>1</v>
      </c>
      <c r="Y81" s="14" cm="1">
        <f t="array" ref="Y81">INT(SUMPRODUCT(--ISNUMBER(SEARCH(democrattrigger,C81)))&gt;0)</f>
        <v>0</v>
      </c>
      <c r="Z81" s="14" cm="1">
        <f t="array" ref="Z81">INT(SUMPRODUCT(--ISNUMBER(SEARCH(bipartisan,C81)))&gt;0)</f>
        <v>0</v>
      </c>
      <c r="AA81" s="14">
        <f t="shared" si="1"/>
        <v>0</v>
      </c>
      <c r="AB81" s="14"/>
      <c r="AC81" s="30" t="s">
        <v>223</v>
      </c>
      <c r="AD81" s="37" t="s">
        <v>223</v>
      </c>
    </row>
    <row r="82" spans="1:30" x14ac:dyDescent="0.25">
      <c r="A82" s="36">
        <v>3923</v>
      </c>
      <c r="B82" s="14" t="s">
        <v>7869</v>
      </c>
      <c r="C82" s="14" t="s">
        <v>7870</v>
      </c>
      <c r="D82" s="17">
        <v>44133</v>
      </c>
      <c r="E82" s="14" t="s">
        <v>30</v>
      </c>
      <c r="F82" s="14">
        <v>861</v>
      </c>
      <c r="G82" s="14">
        <v>176</v>
      </c>
      <c r="H82" s="14">
        <v>18</v>
      </c>
      <c r="I82" s="14">
        <v>9</v>
      </c>
      <c r="J82" s="14" t="s">
        <v>204</v>
      </c>
      <c r="K82" s="14" cm="1">
        <f t="array" ref="K82">INT(SUMPRODUCT(--ISNUMBER(SEARCH(economy,C82)))&gt;0)</f>
        <v>0</v>
      </c>
      <c r="L82" s="14" cm="1">
        <f t="array" ref="L82">INT(SUMPRODUCT(--ISNUMBER(SEARCH(healthcare,C82)))&gt;0)</f>
        <v>0</v>
      </c>
      <c r="M82" s="14" cm="1">
        <f t="array" ref="M82">INT(SUMPRODUCT(--ISNUMBER(SEARCH(supreme,C82)))&gt;0)</f>
        <v>0</v>
      </c>
      <c r="N82" s="14" cm="1">
        <f t="array" ref="N82">INT(SUMPRODUCT(--ISNUMBER(SEARCH(covid,C82)))&gt;0)</f>
        <v>0</v>
      </c>
      <c r="O82" s="14" cm="1">
        <f t="array" ref="O82">INT(SUMPRODUCT(--ISNUMBER(SEARCH(violent,C82)))&gt;0)</f>
        <v>0</v>
      </c>
      <c r="P82" s="14" cm="1">
        <f t="array" ref="P82">INT(SUMPRODUCT(--ISNUMBER(SEARCH(foreign,C82)))&gt;0)</f>
        <v>0</v>
      </c>
      <c r="Q82" s="14" cm="1">
        <f t="array" ref="Q82">INT(SUMPRODUCT(--ISNUMBER(SEARCH(gun,C82)))&gt;0)</f>
        <v>0</v>
      </c>
      <c r="R82" s="14" cm="1">
        <f t="array" ref="R82">INT(SUMPRODUCT(--ISNUMBER(SEARCH(race,C82)))&gt;0)</f>
        <v>0</v>
      </c>
      <c r="S82" s="14" cm="1">
        <f t="array" ref="S82">INT(SUMPRODUCT(--ISNUMBER(SEARCH(immigration,C82)))&gt;0)</f>
        <v>0</v>
      </c>
      <c r="T82" s="14" cm="1">
        <f t="array" ref="T82">INT(SUMPRODUCT(--ISNUMBER(SEARCH(econineq,C83)))&gt;0)</f>
        <v>0</v>
      </c>
      <c r="U82" s="14" cm="1">
        <f t="array" ref="U82">INT(SUMPRODUCT(--ISNUMBER(SEARCH(climate,C82)))&gt;0)</f>
        <v>0</v>
      </c>
      <c r="V82" s="14" cm="1">
        <f t="array" ref="V82">INT(SUMPRODUCT(--ISNUMBER(SEARCH(abortion,C82)))&gt;0)</f>
        <v>0</v>
      </c>
      <c r="W82" s="14" cm="1">
        <f t="array" ref="W82">INT(SUMPRODUCT(--ISNUMBER(SEARCH(trump,C82)))&gt;0)</f>
        <v>0</v>
      </c>
      <c r="X82" s="14" cm="1">
        <f t="array" ref="X82">INT(SUMPRODUCT(--ISNUMBER(SEARCH(voting,C82)))&gt;0)</f>
        <v>1</v>
      </c>
      <c r="Y82" s="14" cm="1">
        <f t="array" ref="Y82">INT(SUMPRODUCT(--ISNUMBER(SEARCH(democrattrigger,C82)))&gt;0)</f>
        <v>0</v>
      </c>
      <c r="Z82" s="14" cm="1">
        <f t="array" ref="Z82">INT(SUMPRODUCT(--ISNUMBER(SEARCH(bipartisan,C82)))&gt;0)</f>
        <v>0</v>
      </c>
      <c r="AA82" s="14">
        <f t="shared" si="1"/>
        <v>0</v>
      </c>
      <c r="AB82" s="14"/>
      <c r="AC82" s="30" t="s">
        <v>223</v>
      </c>
      <c r="AD82" s="37" t="s">
        <v>223</v>
      </c>
    </row>
    <row r="83" spans="1:30" x14ac:dyDescent="0.25">
      <c r="A83" s="36">
        <v>3924</v>
      </c>
      <c r="B83" s="14" t="s">
        <v>7871</v>
      </c>
      <c r="C83" s="14" t="s">
        <v>7872</v>
      </c>
      <c r="D83" s="17">
        <v>44132</v>
      </c>
      <c r="E83" s="14" t="s">
        <v>30</v>
      </c>
      <c r="F83" s="14">
        <v>3139</v>
      </c>
      <c r="G83" s="14">
        <v>651</v>
      </c>
      <c r="H83" s="14">
        <v>18</v>
      </c>
      <c r="I83" s="14">
        <v>9</v>
      </c>
      <c r="J83" s="14" t="s">
        <v>204</v>
      </c>
      <c r="K83" s="14" cm="1">
        <f t="array" ref="K83">INT(SUMPRODUCT(--ISNUMBER(SEARCH(economy,C83)))&gt;0)</f>
        <v>0</v>
      </c>
      <c r="L83" s="14" cm="1">
        <f t="array" ref="L83">INT(SUMPRODUCT(--ISNUMBER(SEARCH(healthcare,C83)))&gt;0)</f>
        <v>0</v>
      </c>
      <c r="M83" s="14" cm="1">
        <f t="array" ref="M83">INT(SUMPRODUCT(--ISNUMBER(SEARCH(supreme,C83)))&gt;0)</f>
        <v>0</v>
      </c>
      <c r="N83" s="14" cm="1">
        <f t="array" ref="N83">INT(SUMPRODUCT(--ISNUMBER(SEARCH(covid,C83)))&gt;0)</f>
        <v>0</v>
      </c>
      <c r="O83" s="14" cm="1">
        <f t="array" ref="O83">INT(SUMPRODUCT(--ISNUMBER(SEARCH(violent,C83)))&gt;0)</f>
        <v>0</v>
      </c>
      <c r="P83" s="14" cm="1">
        <f t="array" ref="P83">INT(SUMPRODUCT(--ISNUMBER(SEARCH(foreign,C83)))&gt;0)</f>
        <v>0</v>
      </c>
      <c r="Q83" s="14" cm="1">
        <f t="array" ref="Q83">INT(SUMPRODUCT(--ISNUMBER(SEARCH(gun,C83)))&gt;0)</f>
        <v>0</v>
      </c>
      <c r="R83" s="14" cm="1">
        <f t="array" ref="R83">INT(SUMPRODUCT(--ISNUMBER(SEARCH(race,C83)))&gt;0)</f>
        <v>0</v>
      </c>
      <c r="S83" s="14" cm="1">
        <f t="array" ref="S83">INT(SUMPRODUCT(--ISNUMBER(SEARCH(immigration,C83)))&gt;0)</f>
        <v>0</v>
      </c>
      <c r="T83" s="14" cm="1">
        <f t="array" ref="T83">INT(SUMPRODUCT(--ISNUMBER(SEARCH(econineq,C84)))&gt;0)</f>
        <v>0</v>
      </c>
      <c r="U83" s="14" cm="1">
        <f t="array" ref="U83">INT(SUMPRODUCT(--ISNUMBER(SEARCH(climate,C83)))&gt;0)</f>
        <v>0</v>
      </c>
      <c r="V83" s="14" cm="1">
        <f t="array" ref="V83">INT(SUMPRODUCT(--ISNUMBER(SEARCH(abortion,C83)))&gt;0)</f>
        <v>0</v>
      </c>
      <c r="W83" s="14" cm="1">
        <f t="array" ref="W83">INT(SUMPRODUCT(--ISNUMBER(SEARCH(trump,C83)))&gt;0)</f>
        <v>0</v>
      </c>
      <c r="X83" s="14" cm="1">
        <f t="array" ref="X83">INT(SUMPRODUCT(--ISNUMBER(SEARCH(voting,C83)))&gt;0)</f>
        <v>1</v>
      </c>
      <c r="Y83" s="14" cm="1">
        <f t="array" ref="Y83">INT(SUMPRODUCT(--ISNUMBER(SEARCH(democrattrigger,C83)))&gt;0)</f>
        <v>0</v>
      </c>
      <c r="Z83" s="14" cm="1">
        <f t="array" ref="Z83">INT(SUMPRODUCT(--ISNUMBER(SEARCH(bipartisan,C83)))&gt;0)</f>
        <v>0</v>
      </c>
      <c r="AA83" s="14">
        <f t="shared" si="1"/>
        <v>0</v>
      </c>
      <c r="AB83" s="14"/>
      <c r="AC83" s="30" t="s">
        <v>223</v>
      </c>
      <c r="AD83" s="37" t="s">
        <v>223</v>
      </c>
    </row>
    <row r="84" spans="1:30" x14ac:dyDescent="0.25">
      <c r="A84" s="36">
        <v>3925</v>
      </c>
      <c r="B84" s="14" t="s">
        <v>7873</v>
      </c>
      <c r="C84" s="14" t="s">
        <v>7874</v>
      </c>
      <c r="D84" s="17">
        <v>44132</v>
      </c>
      <c r="E84" s="14" t="s">
        <v>30</v>
      </c>
      <c r="F84" s="14">
        <v>2050</v>
      </c>
      <c r="G84" s="14">
        <v>253</v>
      </c>
      <c r="H84" s="14">
        <v>18</v>
      </c>
      <c r="I84" s="14">
        <v>9</v>
      </c>
      <c r="J84" s="14" t="s">
        <v>204</v>
      </c>
      <c r="K84" s="14" cm="1">
        <f t="array" ref="K84">INT(SUMPRODUCT(--ISNUMBER(SEARCH(economy,C84)))&gt;0)</f>
        <v>0</v>
      </c>
      <c r="L84" s="14" cm="1">
        <f t="array" ref="L84">INT(SUMPRODUCT(--ISNUMBER(SEARCH(healthcare,C84)))&gt;0)</f>
        <v>0</v>
      </c>
      <c r="M84" s="14" cm="1">
        <f t="array" ref="M84">INT(SUMPRODUCT(--ISNUMBER(SEARCH(supreme,C84)))&gt;0)</f>
        <v>0</v>
      </c>
      <c r="N84" s="14" cm="1">
        <f t="array" ref="N84">INT(SUMPRODUCT(--ISNUMBER(SEARCH(covid,C84)))&gt;0)</f>
        <v>0</v>
      </c>
      <c r="O84" s="14" cm="1">
        <f t="array" ref="O84">INT(SUMPRODUCT(--ISNUMBER(SEARCH(violent,C84)))&gt;0)</f>
        <v>0</v>
      </c>
      <c r="P84" s="14" cm="1">
        <f t="array" ref="P84">INT(SUMPRODUCT(--ISNUMBER(SEARCH(foreign,C84)))&gt;0)</f>
        <v>0</v>
      </c>
      <c r="Q84" s="14" cm="1">
        <f t="array" ref="Q84">INT(SUMPRODUCT(--ISNUMBER(SEARCH(gun,C84)))&gt;0)</f>
        <v>0</v>
      </c>
      <c r="R84" s="14" cm="1">
        <f t="array" ref="R84">INT(SUMPRODUCT(--ISNUMBER(SEARCH(race,C84)))&gt;0)</f>
        <v>0</v>
      </c>
      <c r="S84" s="14" cm="1">
        <f t="array" ref="S84">INT(SUMPRODUCT(--ISNUMBER(SEARCH(immigration,C84)))&gt;0)</f>
        <v>0</v>
      </c>
      <c r="T84" s="14" cm="1">
        <f t="array" ref="T84">INT(SUMPRODUCT(--ISNUMBER(SEARCH(econineq,C85)))&gt;0)</f>
        <v>0</v>
      </c>
      <c r="U84" s="14" cm="1">
        <f t="array" ref="U84">INT(SUMPRODUCT(--ISNUMBER(SEARCH(climate,C84)))&gt;0)</f>
        <v>0</v>
      </c>
      <c r="V84" s="14" cm="1">
        <f t="array" ref="V84">INT(SUMPRODUCT(--ISNUMBER(SEARCH(abortion,C84)))&gt;0)</f>
        <v>0</v>
      </c>
      <c r="W84" s="14" cm="1">
        <f t="array" ref="W84">INT(SUMPRODUCT(--ISNUMBER(SEARCH(trump,C84)))&gt;0)</f>
        <v>0</v>
      </c>
      <c r="X84" s="14" cm="1">
        <f t="array" ref="X84">INT(SUMPRODUCT(--ISNUMBER(SEARCH(voting,C84)))&gt;0)</f>
        <v>1</v>
      </c>
      <c r="Y84" s="14" cm="1">
        <f t="array" ref="Y84">INT(SUMPRODUCT(--ISNUMBER(SEARCH(democrattrigger,C84)))&gt;0)</f>
        <v>0</v>
      </c>
      <c r="Z84" s="14" cm="1">
        <f t="array" ref="Z84">INT(SUMPRODUCT(--ISNUMBER(SEARCH(bipartisan,C84)))&gt;0)</f>
        <v>0</v>
      </c>
      <c r="AA84" s="14">
        <f t="shared" si="1"/>
        <v>0</v>
      </c>
      <c r="AB84" s="14"/>
      <c r="AC84" s="30" t="s">
        <v>223</v>
      </c>
      <c r="AD84" s="37" t="s">
        <v>223</v>
      </c>
    </row>
    <row r="85" spans="1:30" x14ac:dyDescent="0.25">
      <c r="A85" s="36">
        <v>3926</v>
      </c>
      <c r="B85" s="14" t="s">
        <v>7875</v>
      </c>
      <c r="C85" s="14" t="s">
        <v>7876</v>
      </c>
      <c r="D85" s="17">
        <v>44132</v>
      </c>
      <c r="E85" s="14" t="s">
        <v>30</v>
      </c>
      <c r="F85" s="14">
        <v>554</v>
      </c>
      <c r="G85" s="14">
        <v>185</v>
      </c>
      <c r="H85" s="14">
        <v>18</v>
      </c>
      <c r="I85" s="14">
        <v>9</v>
      </c>
      <c r="J85" s="14" t="s">
        <v>204</v>
      </c>
      <c r="K85" s="14" cm="1">
        <f t="array" ref="K85">INT(SUMPRODUCT(--ISNUMBER(SEARCH(economy,C85)))&gt;0)</f>
        <v>0</v>
      </c>
      <c r="L85" s="14" cm="1">
        <f t="array" ref="L85">INT(SUMPRODUCT(--ISNUMBER(SEARCH(healthcare,C85)))&gt;0)</f>
        <v>0</v>
      </c>
      <c r="M85" s="14" cm="1">
        <f t="array" ref="M85">INT(SUMPRODUCT(--ISNUMBER(SEARCH(supreme,C85)))&gt;0)</f>
        <v>0</v>
      </c>
      <c r="N85" s="14" cm="1">
        <f t="array" ref="N85">INT(SUMPRODUCT(--ISNUMBER(SEARCH(covid,C85)))&gt;0)</f>
        <v>0</v>
      </c>
      <c r="O85" s="14" cm="1">
        <f t="array" ref="O85">INT(SUMPRODUCT(--ISNUMBER(SEARCH(violent,C85)))&gt;0)</f>
        <v>0</v>
      </c>
      <c r="P85" s="14" cm="1">
        <f t="array" ref="P85">INT(SUMPRODUCT(--ISNUMBER(SEARCH(foreign,C85)))&gt;0)</f>
        <v>0</v>
      </c>
      <c r="Q85" s="14" cm="1">
        <f t="array" ref="Q85">INT(SUMPRODUCT(--ISNUMBER(SEARCH(gun,C85)))&gt;0)</f>
        <v>0</v>
      </c>
      <c r="R85" s="14" cm="1">
        <f t="array" ref="R85">INT(SUMPRODUCT(--ISNUMBER(SEARCH(race,C85)))&gt;0)</f>
        <v>0</v>
      </c>
      <c r="S85" s="14" cm="1">
        <f t="array" ref="S85">INT(SUMPRODUCT(--ISNUMBER(SEARCH(immigration,C85)))&gt;0)</f>
        <v>0</v>
      </c>
      <c r="T85" s="14" cm="1">
        <f t="array" ref="T85">INT(SUMPRODUCT(--ISNUMBER(SEARCH(econineq,C86)))&gt;0)</f>
        <v>0</v>
      </c>
      <c r="U85" s="14" cm="1">
        <f t="array" ref="U85">INT(SUMPRODUCT(--ISNUMBER(SEARCH(climate,C85)))&gt;0)</f>
        <v>0</v>
      </c>
      <c r="V85" s="14" cm="1">
        <f t="array" ref="V85">INT(SUMPRODUCT(--ISNUMBER(SEARCH(abortion,C85)))&gt;0)</f>
        <v>0</v>
      </c>
      <c r="W85" s="14" cm="1">
        <f t="array" ref="W85">INT(SUMPRODUCT(--ISNUMBER(SEARCH(trump,C85)))&gt;0)</f>
        <v>0</v>
      </c>
      <c r="X85" s="14" cm="1">
        <f t="array" ref="X85">INT(SUMPRODUCT(--ISNUMBER(SEARCH(voting,C85)))&gt;0)</f>
        <v>1</v>
      </c>
      <c r="Y85" s="14" cm="1">
        <f t="array" ref="Y85">INT(SUMPRODUCT(--ISNUMBER(SEARCH(democrattrigger,C85)))&gt;0)</f>
        <v>0</v>
      </c>
      <c r="Z85" s="14" cm="1">
        <f t="array" ref="Z85">INT(SUMPRODUCT(--ISNUMBER(SEARCH(bipartisan,C85)))&gt;0)</f>
        <v>0</v>
      </c>
      <c r="AA85" s="14">
        <f t="shared" si="1"/>
        <v>0</v>
      </c>
      <c r="AB85" s="14"/>
      <c r="AC85" s="30" t="s">
        <v>223</v>
      </c>
      <c r="AD85" s="37" t="s">
        <v>223</v>
      </c>
    </row>
    <row r="86" spans="1:30" x14ac:dyDescent="0.25">
      <c r="A86" s="36">
        <v>3927</v>
      </c>
      <c r="B86" s="14" t="s">
        <v>7877</v>
      </c>
      <c r="C86" s="14" t="s">
        <v>7878</v>
      </c>
      <c r="D86" s="17">
        <v>44132</v>
      </c>
      <c r="E86" s="14" t="s">
        <v>30</v>
      </c>
      <c r="F86" s="14">
        <v>3265</v>
      </c>
      <c r="G86" s="14">
        <v>1298</v>
      </c>
      <c r="H86" s="14">
        <v>18</v>
      </c>
      <c r="I86" s="14">
        <v>9</v>
      </c>
      <c r="J86" s="14" t="s">
        <v>204</v>
      </c>
      <c r="K86" s="14" cm="1">
        <f t="array" ref="K86">INT(SUMPRODUCT(--ISNUMBER(SEARCH(economy,C86)))&gt;0)</f>
        <v>0</v>
      </c>
      <c r="L86" s="14" cm="1">
        <f t="array" ref="L86">INT(SUMPRODUCT(--ISNUMBER(SEARCH(healthcare,C86)))&gt;0)</f>
        <v>0</v>
      </c>
      <c r="M86" s="14" cm="1">
        <f t="array" ref="M86">INT(SUMPRODUCT(--ISNUMBER(SEARCH(supreme,C86)))&gt;0)</f>
        <v>1</v>
      </c>
      <c r="N86" s="14" cm="1">
        <f t="array" ref="N86">INT(SUMPRODUCT(--ISNUMBER(SEARCH(covid,C86)))&gt;0)</f>
        <v>1</v>
      </c>
      <c r="O86" s="14" cm="1">
        <f t="array" ref="O86">INT(SUMPRODUCT(--ISNUMBER(SEARCH(violent,C86)))&gt;0)</f>
        <v>0</v>
      </c>
      <c r="P86" s="14" cm="1">
        <f t="array" ref="P86">INT(SUMPRODUCT(--ISNUMBER(SEARCH(foreign,C86)))&gt;0)</f>
        <v>0</v>
      </c>
      <c r="Q86" s="14" cm="1">
        <f t="array" ref="Q86">INT(SUMPRODUCT(--ISNUMBER(SEARCH(gun,C86)))&gt;0)</f>
        <v>0</v>
      </c>
      <c r="R86" s="14" cm="1">
        <f t="array" ref="R86">INT(SUMPRODUCT(--ISNUMBER(SEARCH(race,C86)))&gt;0)</f>
        <v>0</v>
      </c>
      <c r="S86" s="14" cm="1">
        <f t="array" ref="S86">INT(SUMPRODUCT(--ISNUMBER(SEARCH(immigration,C86)))&gt;0)</f>
        <v>0</v>
      </c>
      <c r="T86" s="14" cm="1">
        <f t="array" ref="T86">INT(SUMPRODUCT(--ISNUMBER(SEARCH(econineq,C87)))&gt;0)</f>
        <v>0</v>
      </c>
      <c r="U86" s="14" cm="1">
        <f t="array" ref="U86">INT(SUMPRODUCT(--ISNUMBER(SEARCH(climate,C86)))&gt;0)</f>
        <v>0</v>
      </c>
      <c r="V86" s="14" cm="1">
        <f t="array" ref="V86">INT(SUMPRODUCT(--ISNUMBER(SEARCH(abortion,C86)))&gt;0)</f>
        <v>0</v>
      </c>
      <c r="W86" s="14" cm="1">
        <f t="array" ref="W86">INT(SUMPRODUCT(--ISNUMBER(SEARCH(trump,C86)))&gt;0)</f>
        <v>1</v>
      </c>
      <c r="X86" s="14" cm="1">
        <f t="array" ref="X86">INT(SUMPRODUCT(--ISNUMBER(SEARCH(voting,C86)))&gt;0)</f>
        <v>0</v>
      </c>
      <c r="Y86" s="14" cm="1">
        <f t="array" ref="Y86">INT(SUMPRODUCT(--ISNUMBER(SEARCH(democrattrigger,C86)))&gt;0)</f>
        <v>1</v>
      </c>
      <c r="Z86" s="14" cm="1">
        <f t="array" ref="Z86">INT(SUMPRODUCT(--ISNUMBER(SEARCH(bipartisan,C86)))&gt;0)</f>
        <v>0</v>
      </c>
      <c r="AA86" s="14">
        <f t="shared" si="1"/>
        <v>0</v>
      </c>
      <c r="AB86" s="14"/>
      <c r="AC86" s="30" t="s">
        <v>223</v>
      </c>
      <c r="AD86" s="37" t="s">
        <v>223</v>
      </c>
    </row>
    <row r="87" spans="1:30" x14ac:dyDescent="0.25">
      <c r="A87" s="36">
        <v>3928</v>
      </c>
      <c r="B87" s="14" t="s">
        <v>7879</v>
      </c>
      <c r="C87" s="14" t="s">
        <v>7880</v>
      </c>
      <c r="D87" s="17">
        <v>44132</v>
      </c>
      <c r="E87" s="14" t="s">
        <v>30</v>
      </c>
      <c r="F87" s="14">
        <v>1361</v>
      </c>
      <c r="G87" s="14">
        <v>406</v>
      </c>
      <c r="H87" s="14">
        <v>18</v>
      </c>
      <c r="I87" s="14">
        <v>9</v>
      </c>
      <c r="J87" s="14" t="s">
        <v>204</v>
      </c>
      <c r="K87" s="14" cm="1">
        <f t="array" ref="K87">INT(SUMPRODUCT(--ISNUMBER(SEARCH(economy,C87)))&gt;0)</f>
        <v>0</v>
      </c>
      <c r="L87" s="14" cm="1">
        <f t="array" ref="L87">INT(SUMPRODUCT(--ISNUMBER(SEARCH(healthcare,C87)))&gt;0)</f>
        <v>0</v>
      </c>
      <c r="M87" s="14" cm="1">
        <f t="array" ref="M87">INT(SUMPRODUCT(--ISNUMBER(SEARCH(supreme,C87)))&gt;0)</f>
        <v>0</v>
      </c>
      <c r="N87" s="14" cm="1">
        <f t="array" ref="N87">INT(SUMPRODUCT(--ISNUMBER(SEARCH(covid,C87)))&gt;0)</f>
        <v>0</v>
      </c>
      <c r="O87" s="14" cm="1">
        <f t="array" ref="O87">INT(SUMPRODUCT(--ISNUMBER(SEARCH(violent,C87)))&gt;0)</f>
        <v>0</v>
      </c>
      <c r="P87" s="14" cm="1">
        <f t="array" ref="P87">INT(SUMPRODUCT(--ISNUMBER(SEARCH(foreign,C87)))&gt;0)</f>
        <v>0</v>
      </c>
      <c r="Q87" s="14" cm="1">
        <f t="array" ref="Q87">INT(SUMPRODUCT(--ISNUMBER(SEARCH(gun,C87)))&gt;0)</f>
        <v>0</v>
      </c>
      <c r="R87" s="14" cm="1">
        <f t="array" ref="R87">INT(SUMPRODUCT(--ISNUMBER(SEARCH(race,C87)))&gt;0)</f>
        <v>0</v>
      </c>
      <c r="S87" s="14" cm="1">
        <f t="array" ref="S87">INT(SUMPRODUCT(--ISNUMBER(SEARCH(immigration,C87)))&gt;0)</f>
        <v>0</v>
      </c>
      <c r="T87" s="14" cm="1">
        <f t="array" ref="T87">INT(SUMPRODUCT(--ISNUMBER(SEARCH(econineq,C88)))&gt;0)</f>
        <v>0</v>
      </c>
      <c r="U87" s="14" cm="1">
        <f t="array" ref="U87">INT(SUMPRODUCT(--ISNUMBER(SEARCH(climate,C87)))&gt;0)</f>
        <v>0</v>
      </c>
      <c r="V87" s="14" cm="1">
        <f t="array" ref="V87">INT(SUMPRODUCT(--ISNUMBER(SEARCH(abortion,C87)))&gt;0)</f>
        <v>0</v>
      </c>
      <c r="W87" s="14" cm="1">
        <f t="array" ref="W87">INT(SUMPRODUCT(--ISNUMBER(SEARCH(trump,C87)))&gt;0)</f>
        <v>0</v>
      </c>
      <c r="X87" s="14" cm="1">
        <f t="array" ref="X87">INT(SUMPRODUCT(--ISNUMBER(SEARCH(voting,C87)))&gt;0)</f>
        <v>1</v>
      </c>
      <c r="Y87" s="14" cm="1">
        <f t="array" ref="Y87">INT(SUMPRODUCT(--ISNUMBER(SEARCH(democrattrigger,C87)))&gt;0)</f>
        <v>0</v>
      </c>
      <c r="Z87" s="14" cm="1">
        <f t="array" ref="Z87">INT(SUMPRODUCT(--ISNUMBER(SEARCH(bipartisan,C87)))&gt;0)</f>
        <v>0</v>
      </c>
      <c r="AA87" s="14">
        <f t="shared" si="1"/>
        <v>0</v>
      </c>
      <c r="AB87" s="14"/>
      <c r="AC87" s="30" t="s">
        <v>223</v>
      </c>
      <c r="AD87" s="37" t="s">
        <v>223</v>
      </c>
    </row>
    <row r="88" spans="1:30" x14ac:dyDescent="0.25">
      <c r="A88" s="36">
        <v>3929</v>
      </c>
      <c r="B88" s="14" t="s">
        <v>7881</v>
      </c>
      <c r="C88" s="14" t="s">
        <v>7882</v>
      </c>
      <c r="D88" s="17">
        <v>44132</v>
      </c>
      <c r="E88" s="14" t="s">
        <v>30</v>
      </c>
      <c r="F88" s="14">
        <v>3266</v>
      </c>
      <c r="G88" s="14">
        <v>560</v>
      </c>
      <c r="H88" s="14">
        <v>18</v>
      </c>
      <c r="I88" s="14">
        <v>9</v>
      </c>
      <c r="J88" s="14" t="s">
        <v>204</v>
      </c>
      <c r="K88" s="14" cm="1">
        <f t="array" ref="K88">INT(SUMPRODUCT(--ISNUMBER(SEARCH(economy,C88)))&gt;0)</f>
        <v>0</v>
      </c>
      <c r="L88" s="14" cm="1">
        <f t="array" ref="L88">INT(SUMPRODUCT(--ISNUMBER(SEARCH(healthcare,C88)))&gt;0)</f>
        <v>0</v>
      </c>
      <c r="M88" s="14" cm="1">
        <f t="array" ref="M88">INT(SUMPRODUCT(--ISNUMBER(SEARCH(supreme,C88)))&gt;0)</f>
        <v>0</v>
      </c>
      <c r="N88" s="14" cm="1">
        <f t="array" ref="N88">INT(SUMPRODUCT(--ISNUMBER(SEARCH(covid,C88)))&gt;0)</f>
        <v>0</v>
      </c>
      <c r="O88" s="14" cm="1">
        <f t="array" ref="O88">INT(SUMPRODUCT(--ISNUMBER(SEARCH(violent,C88)))&gt;0)</f>
        <v>0</v>
      </c>
      <c r="P88" s="14" cm="1">
        <f t="array" ref="P88">INT(SUMPRODUCT(--ISNUMBER(SEARCH(foreign,C88)))&gt;0)</f>
        <v>0</v>
      </c>
      <c r="Q88" s="14" cm="1">
        <f t="array" ref="Q88">INT(SUMPRODUCT(--ISNUMBER(SEARCH(gun,C88)))&gt;0)</f>
        <v>0</v>
      </c>
      <c r="R88" s="14" cm="1">
        <f t="array" ref="R88">INT(SUMPRODUCT(--ISNUMBER(SEARCH(race,C88)))&gt;0)</f>
        <v>0</v>
      </c>
      <c r="S88" s="14" cm="1">
        <f t="array" ref="S88">INT(SUMPRODUCT(--ISNUMBER(SEARCH(immigration,C88)))&gt;0)</f>
        <v>0</v>
      </c>
      <c r="T88" s="14" cm="1">
        <f t="array" ref="T88">INT(SUMPRODUCT(--ISNUMBER(SEARCH(econineq,C89)))&gt;0)</f>
        <v>0</v>
      </c>
      <c r="U88" s="14" cm="1">
        <f t="array" ref="U88">INT(SUMPRODUCT(--ISNUMBER(SEARCH(climate,C88)))&gt;0)</f>
        <v>0</v>
      </c>
      <c r="V88" s="14" cm="1">
        <f t="array" ref="V88">INT(SUMPRODUCT(--ISNUMBER(SEARCH(abortion,C88)))&gt;0)</f>
        <v>0</v>
      </c>
      <c r="W88" s="14" cm="1">
        <f t="array" ref="W88">INT(SUMPRODUCT(--ISNUMBER(SEARCH(trump,C88)))&gt;0)</f>
        <v>0</v>
      </c>
      <c r="X88" s="14" cm="1">
        <f t="array" ref="X88">INT(SUMPRODUCT(--ISNUMBER(SEARCH(voting,C88)))&gt;0)</f>
        <v>0</v>
      </c>
      <c r="Y88" s="14" cm="1">
        <f t="array" ref="Y88">INT(SUMPRODUCT(--ISNUMBER(SEARCH(democrattrigger,C88)))&gt;0)</f>
        <v>1</v>
      </c>
      <c r="Z88" s="14" cm="1">
        <f t="array" ref="Z88">INT(SUMPRODUCT(--ISNUMBER(SEARCH(bipartisan,C88)))&gt;0)</f>
        <v>0</v>
      </c>
      <c r="AA88" s="14">
        <f t="shared" si="1"/>
        <v>0</v>
      </c>
      <c r="AB88" s="14"/>
      <c r="AC88" s="30" t="s">
        <v>223</v>
      </c>
      <c r="AD88" s="37" t="s">
        <v>223</v>
      </c>
    </row>
    <row r="89" spans="1:30" x14ac:dyDescent="0.25">
      <c r="A89" s="36">
        <v>3930</v>
      </c>
      <c r="B89" s="14" t="s">
        <v>7883</v>
      </c>
      <c r="C89" s="14" t="s">
        <v>7884</v>
      </c>
      <c r="D89" s="17">
        <v>44132</v>
      </c>
      <c r="E89" s="14" t="s">
        <v>30</v>
      </c>
      <c r="F89" s="14">
        <v>606</v>
      </c>
      <c r="G89" s="14">
        <v>249</v>
      </c>
      <c r="H89" s="14">
        <v>18</v>
      </c>
      <c r="I89" s="14">
        <v>9</v>
      </c>
      <c r="J89" s="14" t="s">
        <v>204</v>
      </c>
      <c r="K89" s="14" cm="1">
        <f t="array" ref="K89">INT(SUMPRODUCT(--ISNUMBER(SEARCH(economy,C89)))&gt;0)</f>
        <v>0</v>
      </c>
      <c r="L89" s="14" cm="1">
        <f t="array" ref="L89">INT(SUMPRODUCT(--ISNUMBER(SEARCH(healthcare,C89)))&gt;0)</f>
        <v>0</v>
      </c>
      <c r="M89" s="14" cm="1">
        <f t="array" ref="M89">INT(SUMPRODUCT(--ISNUMBER(SEARCH(supreme,C89)))&gt;0)</f>
        <v>0</v>
      </c>
      <c r="N89" s="14" cm="1">
        <f t="array" ref="N89">INT(SUMPRODUCT(--ISNUMBER(SEARCH(covid,C89)))&gt;0)</f>
        <v>1</v>
      </c>
      <c r="O89" s="14" cm="1">
        <f t="array" ref="O89">INT(SUMPRODUCT(--ISNUMBER(SEARCH(violent,C89)))&gt;0)</f>
        <v>0</v>
      </c>
      <c r="P89" s="14" cm="1">
        <f t="array" ref="P89">INT(SUMPRODUCT(--ISNUMBER(SEARCH(foreign,C89)))&gt;0)</f>
        <v>0</v>
      </c>
      <c r="Q89" s="14" cm="1">
        <f t="array" ref="Q89">INT(SUMPRODUCT(--ISNUMBER(SEARCH(gun,C89)))&gt;0)</f>
        <v>0</v>
      </c>
      <c r="R89" s="14" cm="1">
        <f t="array" ref="R89">INT(SUMPRODUCT(--ISNUMBER(SEARCH(race,C89)))&gt;0)</f>
        <v>0</v>
      </c>
      <c r="S89" s="14" cm="1">
        <f t="array" ref="S89">INT(SUMPRODUCT(--ISNUMBER(SEARCH(immigration,C89)))&gt;0)</f>
        <v>0</v>
      </c>
      <c r="T89" s="14" cm="1">
        <f t="array" ref="T89">INT(SUMPRODUCT(--ISNUMBER(SEARCH(econineq,C90)))&gt;0)</f>
        <v>0</v>
      </c>
      <c r="U89" s="14" cm="1">
        <f t="array" ref="U89">INT(SUMPRODUCT(--ISNUMBER(SEARCH(climate,C89)))&gt;0)</f>
        <v>0</v>
      </c>
      <c r="V89" s="14" cm="1">
        <f t="array" ref="V89">INT(SUMPRODUCT(--ISNUMBER(SEARCH(abortion,C89)))&gt;0)</f>
        <v>0</v>
      </c>
      <c r="W89" s="14" cm="1">
        <f t="array" ref="W89">INT(SUMPRODUCT(--ISNUMBER(SEARCH(trump,C89)))&gt;0)</f>
        <v>0</v>
      </c>
      <c r="X89" s="14" cm="1">
        <f t="array" ref="X89">INT(SUMPRODUCT(--ISNUMBER(SEARCH(voting,C89)))&gt;0)</f>
        <v>0</v>
      </c>
      <c r="Y89" s="14" cm="1">
        <f t="array" ref="Y89">INT(SUMPRODUCT(--ISNUMBER(SEARCH(democrattrigger,C89)))&gt;0)</f>
        <v>1</v>
      </c>
      <c r="Z89" s="14" cm="1">
        <f t="array" ref="Z89">INT(SUMPRODUCT(--ISNUMBER(SEARCH(bipartisan,C89)))&gt;0)</f>
        <v>0</v>
      </c>
      <c r="AA89" s="14">
        <f t="shared" si="1"/>
        <v>0</v>
      </c>
      <c r="AB89" s="14"/>
      <c r="AC89" s="30" t="s">
        <v>223</v>
      </c>
      <c r="AD89" s="37" t="s">
        <v>223</v>
      </c>
    </row>
    <row r="90" spans="1:30" x14ac:dyDescent="0.25">
      <c r="A90" s="36">
        <v>3931</v>
      </c>
      <c r="B90" s="14" t="s">
        <v>7885</v>
      </c>
      <c r="C90" s="14" t="s">
        <v>7886</v>
      </c>
      <c r="D90" s="17">
        <v>44132</v>
      </c>
      <c r="E90" s="14" t="s">
        <v>30</v>
      </c>
      <c r="F90" s="14">
        <v>1413</v>
      </c>
      <c r="G90" s="14">
        <v>274</v>
      </c>
      <c r="H90" s="14">
        <v>18</v>
      </c>
      <c r="I90" s="14">
        <v>9</v>
      </c>
      <c r="J90" s="14" t="s">
        <v>204</v>
      </c>
      <c r="K90" s="14" cm="1">
        <f t="array" ref="K90">INT(SUMPRODUCT(--ISNUMBER(SEARCH(economy,C90)))&gt;0)</f>
        <v>0</v>
      </c>
      <c r="L90" s="14" cm="1">
        <f t="array" ref="L90">INT(SUMPRODUCT(--ISNUMBER(SEARCH(healthcare,C90)))&gt;0)</f>
        <v>0</v>
      </c>
      <c r="M90" s="14" cm="1">
        <f t="array" ref="M90">INT(SUMPRODUCT(--ISNUMBER(SEARCH(supreme,C90)))&gt;0)</f>
        <v>0</v>
      </c>
      <c r="N90" s="14" cm="1">
        <f t="array" ref="N90">INT(SUMPRODUCT(--ISNUMBER(SEARCH(covid,C90)))&gt;0)</f>
        <v>1</v>
      </c>
      <c r="O90" s="14" cm="1">
        <f t="array" ref="O90">INT(SUMPRODUCT(--ISNUMBER(SEARCH(violent,C90)))&gt;0)</f>
        <v>0</v>
      </c>
      <c r="P90" s="14" cm="1">
        <f t="array" ref="P90">INT(SUMPRODUCT(--ISNUMBER(SEARCH(foreign,C90)))&gt;0)</f>
        <v>0</v>
      </c>
      <c r="Q90" s="14" cm="1">
        <f t="array" ref="Q90">INT(SUMPRODUCT(--ISNUMBER(SEARCH(gun,C90)))&gt;0)</f>
        <v>0</v>
      </c>
      <c r="R90" s="14" cm="1">
        <f t="array" ref="R90">INT(SUMPRODUCT(--ISNUMBER(SEARCH(race,C90)))&gt;0)</f>
        <v>0</v>
      </c>
      <c r="S90" s="14" cm="1">
        <f t="array" ref="S90">INT(SUMPRODUCT(--ISNUMBER(SEARCH(immigration,C90)))&gt;0)</f>
        <v>0</v>
      </c>
      <c r="T90" s="14" cm="1">
        <f t="array" ref="T90">INT(SUMPRODUCT(--ISNUMBER(SEARCH(econineq,C91)))&gt;0)</f>
        <v>0</v>
      </c>
      <c r="U90" s="14" cm="1">
        <f t="array" ref="U90">INT(SUMPRODUCT(--ISNUMBER(SEARCH(climate,C90)))&gt;0)</f>
        <v>0</v>
      </c>
      <c r="V90" s="14" cm="1">
        <f t="array" ref="V90">INT(SUMPRODUCT(--ISNUMBER(SEARCH(abortion,C90)))&gt;0)</f>
        <v>0</v>
      </c>
      <c r="W90" s="14" cm="1">
        <f t="array" ref="W90">INT(SUMPRODUCT(--ISNUMBER(SEARCH(trump,C90)))&gt;0)</f>
        <v>0</v>
      </c>
      <c r="X90" s="14" cm="1">
        <f t="array" ref="X90">INT(SUMPRODUCT(--ISNUMBER(SEARCH(voting,C90)))&gt;0)</f>
        <v>0</v>
      </c>
      <c r="Y90" s="14" cm="1">
        <f t="array" ref="Y90">INT(SUMPRODUCT(--ISNUMBER(SEARCH(democrattrigger,C90)))&gt;0)</f>
        <v>0</v>
      </c>
      <c r="Z90" s="14" cm="1">
        <f t="array" ref="Z90">INT(SUMPRODUCT(--ISNUMBER(SEARCH(bipartisan,C90)))&gt;0)</f>
        <v>0</v>
      </c>
      <c r="AA90" s="14">
        <f t="shared" si="1"/>
        <v>0</v>
      </c>
      <c r="AB90" s="14"/>
      <c r="AC90" s="30" t="s">
        <v>223</v>
      </c>
      <c r="AD90" s="37" t="s">
        <v>223</v>
      </c>
    </row>
    <row r="91" spans="1:30" x14ac:dyDescent="0.25">
      <c r="A91" s="36">
        <v>3932</v>
      </c>
      <c r="B91" s="14" t="s">
        <v>7887</v>
      </c>
      <c r="C91" s="14" t="s">
        <v>7888</v>
      </c>
      <c r="D91" s="17">
        <v>44132</v>
      </c>
      <c r="E91" s="14" t="s">
        <v>30</v>
      </c>
      <c r="F91" s="14">
        <v>449</v>
      </c>
      <c r="G91" s="14">
        <v>120</v>
      </c>
      <c r="H91" s="14">
        <v>18</v>
      </c>
      <c r="I91" s="14">
        <v>9</v>
      </c>
      <c r="J91" s="14" t="s">
        <v>204</v>
      </c>
      <c r="K91" s="14" cm="1">
        <f t="array" ref="K91">INT(SUMPRODUCT(--ISNUMBER(SEARCH(economy,C91)))&gt;0)</f>
        <v>0</v>
      </c>
      <c r="L91" s="14" cm="1">
        <f t="array" ref="L91">INT(SUMPRODUCT(--ISNUMBER(SEARCH(healthcare,C91)))&gt;0)</f>
        <v>0</v>
      </c>
      <c r="M91" s="14" cm="1">
        <f t="array" ref="M91">INT(SUMPRODUCT(--ISNUMBER(SEARCH(supreme,C91)))&gt;0)</f>
        <v>0</v>
      </c>
      <c r="N91" s="14" cm="1">
        <f t="array" ref="N91">INT(SUMPRODUCT(--ISNUMBER(SEARCH(covid,C91)))&gt;0)</f>
        <v>0</v>
      </c>
      <c r="O91" s="14" cm="1">
        <f t="array" ref="O91">INT(SUMPRODUCT(--ISNUMBER(SEARCH(violent,C91)))&gt;0)</f>
        <v>0</v>
      </c>
      <c r="P91" s="14" cm="1">
        <f t="array" ref="P91">INT(SUMPRODUCT(--ISNUMBER(SEARCH(foreign,C91)))&gt;0)</f>
        <v>0</v>
      </c>
      <c r="Q91" s="14" cm="1">
        <f t="array" ref="Q91">INT(SUMPRODUCT(--ISNUMBER(SEARCH(gun,C91)))&gt;0)</f>
        <v>0</v>
      </c>
      <c r="R91" s="14" cm="1">
        <f t="array" ref="R91">INT(SUMPRODUCT(--ISNUMBER(SEARCH(race,C91)))&gt;0)</f>
        <v>0</v>
      </c>
      <c r="S91" s="14" cm="1">
        <f t="array" ref="S91">INT(SUMPRODUCT(--ISNUMBER(SEARCH(immigration,C91)))&gt;0)</f>
        <v>0</v>
      </c>
      <c r="T91" s="14" cm="1">
        <f t="array" ref="T91">INT(SUMPRODUCT(--ISNUMBER(SEARCH(econineq,C92)))&gt;0)</f>
        <v>0</v>
      </c>
      <c r="U91" s="14" cm="1">
        <f t="array" ref="U91">INT(SUMPRODUCT(--ISNUMBER(SEARCH(climate,C91)))&gt;0)</f>
        <v>0</v>
      </c>
      <c r="V91" s="14" cm="1">
        <f t="array" ref="V91">INT(SUMPRODUCT(--ISNUMBER(SEARCH(abortion,C91)))&gt;0)</f>
        <v>0</v>
      </c>
      <c r="W91" s="14" cm="1">
        <f t="array" ref="W91">INT(SUMPRODUCT(--ISNUMBER(SEARCH(trump,C91)))&gt;0)</f>
        <v>0</v>
      </c>
      <c r="X91" s="14" cm="1">
        <f t="array" ref="X91">INT(SUMPRODUCT(--ISNUMBER(SEARCH(voting,C91)))&gt;0)</f>
        <v>1</v>
      </c>
      <c r="Y91" s="14" cm="1">
        <f t="array" ref="Y91">INT(SUMPRODUCT(--ISNUMBER(SEARCH(democrattrigger,C91)))&gt;0)</f>
        <v>1</v>
      </c>
      <c r="Z91" s="14" cm="1">
        <f t="array" ref="Z91">INT(SUMPRODUCT(--ISNUMBER(SEARCH(bipartisan,C91)))&gt;0)</f>
        <v>0</v>
      </c>
      <c r="AA91" s="14">
        <f t="shared" si="1"/>
        <v>0</v>
      </c>
      <c r="AB91" s="14"/>
      <c r="AC91" s="30" t="s">
        <v>223</v>
      </c>
      <c r="AD91" s="37" t="s">
        <v>223</v>
      </c>
    </row>
    <row r="92" spans="1:30" x14ac:dyDescent="0.25">
      <c r="A92" s="36">
        <v>3933</v>
      </c>
      <c r="B92" s="14" t="s">
        <v>7889</v>
      </c>
      <c r="C92" s="14" t="s">
        <v>7890</v>
      </c>
      <c r="D92" s="17">
        <v>44132</v>
      </c>
      <c r="E92" s="14" t="s">
        <v>30</v>
      </c>
      <c r="F92" s="14">
        <v>8098</v>
      </c>
      <c r="G92" s="14">
        <v>1820</v>
      </c>
      <c r="H92" s="14">
        <v>18</v>
      </c>
      <c r="I92" s="14">
        <v>9</v>
      </c>
      <c r="J92" s="14" t="s">
        <v>204</v>
      </c>
      <c r="K92" s="14" cm="1">
        <f t="array" ref="K92">INT(SUMPRODUCT(--ISNUMBER(SEARCH(economy,C92)))&gt;0)</f>
        <v>0</v>
      </c>
      <c r="L92" s="14" cm="1">
        <f t="array" ref="L92">INT(SUMPRODUCT(--ISNUMBER(SEARCH(healthcare,C92)))&gt;0)</f>
        <v>0</v>
      </c>
      <c r="M92" s="14" cm="1">
        <f t="array" ref="M92">INT(SUMPRODUCT(--ISNUMBER(SEARCH(supreme,C92)))&gt;0)</f>
        <v>0</v>
      </c>
      <c r="N92" s="14" cm="1">
        <f t="array" ref="N92">INT(SUMPRODUCT(--ISNUMBER(SEARCH(covid,C92)))&gt;0)</f>
        <v>0</v>
      </c>
      <c r="O92" s="14" cm="1">
        <f t="array" ref="O92">INT(SUMPRODUCT(--ISNUMBER(SEARCH(violent,C92)))&gt;0)</f>
        <v>0</v>
      </c>
      <c r="P92" s="14" cm="1">
        <f t="array" ref="P92">INT(SUMPRODUCT(--ISNUMBER(SEARCH(foreign,C92)))&gt;0)</f>
        <v>0</v>
      </c>
      <c r="Q92" s="14" cm="1">
        <f t="array" ref="Q92">INT(SUMPRODUCT(--ISNUMBER(SEARCH(gun,C92)))&gt;0)</f>
        <v>0</v>
      </c>
      <c r="R92" s="14" cm="1">
        <f t="array" ref="R92">INT(SUMPRODUCT(--ISNUMBER(SEARCH(race,C92)))&gt;0)</f>
        <v>0</v>
      </c>
      <c r="S92" s="14" cm="1">
        <f t="array" ref="S92">INT(SUMPRODUCT(--ISNUMBER(SEARCH(immigration,C92)))&gt;0)</f>
        <v>0</v>
      </c>
      <c r="T92" s="14" cm="1">
        <f t="array" ref="T92">INT(SUMPRODUCT(--ISNUMBER(SEARCH(econineq,C93)))&gt;0)</f>
        <v>0</v>
      </c>
      <c r="U92" s="14" cm="1">
        <f t="array" ref="U92">INT(SUMPRODUCT(--ISNUMBER(SEARCH(climate,C92)))&gt;0)</f>
        <v>0</v>
      </c>
      <c r="V92" s="14" cm="1">
        <f t="array" ref="V92">INT(SUMPRODUCT(--ISNUMBER(SEARCH(abortion,C92)))&gt;0)</f>
        <v>0</v>
      </c>
      <c r="W92" s="14" cm="1">
        <f t="array" ref="W92">INT(SUMPRODUCT(--ISNUMBER(SEARCH(trump,C92)))&gt;0)</f>
        <v>0</v>
      </c>
      <c r="X92" s="14" cm="1">
        <f t="array" ref="X92">INT(SUMPRODUCT(--ISNUMBER(SEARCH(voting,C92)))&gt;0)</f>
        <v>1</v>
      </c>
      <c r="Y92" s="14" cm="1">
        <f t="array" ref="Y92">INT(SUMPRODUCT(--ISNUMBER(SEARCH(democrattrigger,C92)))&gt;0)</f>
        <v>0</v>
      </c>
      <c r="Z92" s="14" cm="1">
        <f t="array" ref="Z92">INT(SUMPRODUCT(--ISNUMBER(SEARCH(bipartisan,C92)))&gt;0)</f>
        <v>0</v>
      </c>
      <c r="AA92" s="14">
        <f t="shared" si="1"/>
        <v>0</v>
      </c>
      <c r="AB92" s="14"/>
      <c r="AC92" s="30" t="s">
        <v>223</v>
      </c>
      <c r="AD92" s="37" t="s">
        <v>223</v>
      </c>
    </row>
    <row r="93" spans="1:30" x14ac:dyDescent="0.25">
      <c r="A93" s="36">
        <v>3934</v>
      </c>
      <c r="B93" s="14" t="s">
        <v>7891</v>
      </c>
      <c r="C93" s="14" t="s">
        <v>7892</v>
      </c>
      <c r="D93" s="17">
        <v>44131</v>
      </c>
      <c r="E93" s="14" t="s">
        <v>30</v>
      </c>
      <c r="F93" s="14">
        <v>5133</v>
      </c>
      <c r="G93" s="14">
        <v>876</v>
      </c>
      <c r="H93" s="14">
        <v>18</v>
      </c>
      <c r="I93" s="14">
        <v>9</v>
      </c>
      <c r="J93" s="14" t="s">
        <v>204</v>
      </c>
      <c r="K93" s="14" cm="1">
        <f t="array" ref="K93">INT(SUMPRODUCT(--ISNUMBER(SEARCH(economy,C93)))&gt;0)</f>
        <v>0</v>
      </c>
      <c r="L93" s="14" cm="1">
        <f t="array" ref="L93">INT(SUMPRODUCT(--ISNUMBER(SEARCH(healthcare,C93)))&gt;0)</f>
        <v>0</v>
      </c>
      <c r="M93" s="14" cm="1">
        <f t="array" ref="M93">INT(SUMPRODUCT(--ISNUMBER(SEARCH(supreme,C93)))&gt;0)</f>
        <v>0</v>
      </c>
      <c r="N93" s="14" cm="1">
        <f t="array" ref="N93">INT(SUMPRODUCT(--ISNUMBER(SEARCH(covid,C93)))&gt;0)</f>
        <v>0</v>
      </c>
      <c r="O93" s="14" cm="1">
        <f t="array" ref="O93">INT(SUMPRODUCT(--ISNUMBER(SEARCH(violent,C93)))&gt;0)</f>
        <v>0</v>
      </c>
      <c r="P93" s="14" cm="1">
        <f t="array" ref="P93">INT(SUMPRODUCT(--ISNUMBER(SEARCH(foreign,C93)))&gt;0)</f>
        <v>0</v>
      </c>
      <c r="Q93" s="14" cm="1">
        <f t="array" ref="Q93">INT(SUMPRODUCT(--ISNUMBER(SEARCH(gun,C93)))&gt;0)</f>
        <v>0</v>
      </c>
      <c r="R93" s="14" cm="1">
        <f t="array" ref="R93">INT(SUMPRODUCT(--ISNUMBER(SEARCH(race,C93)))&gt;0)</f>
        <v>0</v>
      </c>
      <c r="S93" s="14" cm="1">
        <f t="array" ref="S93">INT(SUMPRODUCT(--ISNUMBER(SEARCH(immigration,C93)))&gt;0)</f>
        <v>0</v>
      </c>
      <c r="T93" s="14" cm="1">
        <f t="array" ref="T93">INT(SUMPRODUCT(--ISNUMBER(SEARCH(econineq,C94)))&gt;0)</f>
        <v>0</v>
      </c>
      <c r="U93" s="14" cm="1">
        <f t="array" ref="U93">INT(SUMPRODUCT(--ISNUMBER(SEARCH(climate,C93)))&gt;0)</f>
        <v>0</v>
      </c>
      <c r="V93" s="14" cm="1">
        <f t="array" ref="V93">INT(SUMPRODUCT(--ISNUMBER(SEARCH(abortion,C93)))&gt;0)</f>
        <v>0</v>
      </c>
      <c r="W93" s="14" cm="1">
        <f t="array" ref="W93">INT(SUMPRODUCT(--ISNUMBER(SEARCH(trump,C93)))&gt;0)</f>
        <v>0</v>
      </c>
      <c r="X93" s="14" cm="1">
        <f t="array" ref="X93">INT(SUMPRODUCT(--ISNUMBER(SEARCH(voting,C93)))&gt;0)</f>
        <v>1</v>
      </c>
      <c r="Y93" s="14" cm="1">
        <f t="array" ref="Y93">INT(SUMPRODUCT(--ISNUMBER(SEARCH(democrattrigger,C93)))&gt;0)</f>
        <v>0</v>
      </c>
      <c r="Z93" s="14" cm="1">
        <f t="array" ref="Z93">INT(SUMPRODUCT(--ISNUMBER(SEARCH(bipartisan,C93)))&gt;0)</f>
        <v>0</v>
      </c>
      <c r="AA93" s="14">
        <f t="shared" si="1"/>
        <v>0</v>
      </c>
      <c r="AB93" s="14"/>
      <c r="AC93" s="30">
        <v>1</v>
      </c>
      <c r="AD93" s="37">
        <v>0</v>
      </c>
    </row>
    <row r="94" spans="1:30" x14ac:dyDescent="0.25">
      <c r="A94" s="36">
        <v>3935</v>
      </c>
      <c r="B94" s="14" t="s">
        <v>7893</v>
      </c>
      <c r="C94" s="14" t="s">
        <v>7894</v>
      </c>
      <c r="D94" s="17">
        <v>44131</v>
      </c>
      <c r="E94" s="14" t="s">
        <v>30</v>
      </c>
      <c r="F94" s="14">
        <v>3799</v>
      </c>
      <c r="G94" s="14">
        <v>1257</v>
      </c>
      <c r="H94" s="14">
        <v>18</v>
      </c>
      <c r="I94" s="14">
        <v>9</v>
      </c>
      <c r="J94" s="14" t="s">
        <v>204</v>
      </c>
      <c r="K94" s="14" cm="1">
        <f t="array" ref="K94">INT(SUMPRODUCT(--ISNUMBER(SEARCH(economy,C94)))&gt;0)</f>
        <v>0</v>
      </c>
      <c r="L94" s="14" cm="1">
        <f t="array" ref="L94">INT(SUMPRODUCT(--ISNUMBER(SEARCH(healthcare,C94)))&gt;0)</f>
        <v>1</v>
      </c>
      <c r="M94" s="14" cm="1">
        <f t="array" ref="M94">INT(SUMPRODUCT(--ISNUMBER(SEARCH(supreme,C94)))&gt;0)</f>
        <v>0</v>
      </c>
      <c r="N94" s="14" cm="1">
        <f t="array" ref="N94">INT(SUMPRODUCT(--ISNUMBER(SEARCH(covid,C94)))&gt;0)</f>
        <v>1</v>
      </c>
      <c r="O94" s="14" cm="1">
        <f t="array" ref="O94">INT(SUMPRODUCT(--ISNUMBER(SEARCH(violent,C94)))&gt;0)</f>
        <v>0</v>
      </c>
      <c r="P94" s="14" cm="1">
        <f t="array" ref="P94">INT(SUMPRODUCT(--ISNUMBER(SEARCH(foreign,C94)))&gt;0)</f>
        <v>0</v>
      </c>
      <c r="Q94" s="14" cm="1">
        <f t="array" ref="Q94">INT(SUMPRODUCT(--ISNUMBER(SEARCH(gun,C94)))&gt;0)</f>
        <v>0</v>
      </c>
      <c r="R94" s="14" cm="1">
        <f t="array" ref="R94">INT(SUMPRODUCT(--ISNUMBER(SEARCH(race,C94)))&gt;0)</f>
        <v>0</v>
      </c>
      <c r="S94" s="14" cm="1">
        <f t="array" ref="S94">INT(SUMPRODUCT(--ISNUMBER(SEARCH(immigration,C94)))&gt;0)</f>
        <v>0</v>
      </c>
      <c r="T94" s="14" cm="1">
        <f t="array" ref="T94">INT(SUMPRODUCT(--ISNUMBER(SEARCH(econineq,C95)))&gt;0)</f>
        <v>0</v>
      </c>
      <c r="U94" s="14" cm="1">
        <f t="array" ref="U94">INT(SUMPRODUCT(--ISNUMBER(SEARCH(climate,C94)))&gt;0)</f>
        <v>0</v>
      </c>
      <c r="V94" s="14" cm="1">
        <f t="array" ref="V94">INT(SUMPRODUCT(--ISNUMBER(SEARCH(abortion,C94)))&gt;0)</f>
        <v>0</v>
      </c>
      <c r="W94" s="14" cm="1">
        <f t="array" ref="W94">INT(SUMPRODUCT(--ISNUMBER(SEARCH(trump,C94)))&gt;0)</f>
        <v>0</v>
      </c>
      <c r="X94" s="14" cm="1">
        <f t="array" ref="X94">INT(SUMPRODUCT(--ISNUMBER(SEARCH(voting,C94)))&gt;0)</f>
        <v>0</v>
      </c>
      <c r="Y94" s="14" cm="1">
        <f t="array" ref="Y94">INT(SUMPRODUCT(--ISNUMBER(SEARCH(democrattrigger,C94)))&gt;0)</f>
        <v>1</v>
      </c>
      <c r="Z94" s="14" cm="1">
        <f t="array" ref="Z94">INT(SUMPRODUCT(--ISNUMBER(SEARCH(bipartisan,C94)))&gt;0)</f>
        <v>0</v>
      </c>
      <c r="AA94" s="14">
        <f t="shared" si="1"/>
        <v>0</v>
      </c>
      <c r="AB94" s="14"/>
      <c r="AC94" s="30" t="s">
        <v>223</v>
      </c>
      <c r="AD94" s="37" t="s">
        <v>223</v>
      </c>
    </row>
    <row r="95" spans="1:30" x14ac:dyDescent="0.25">
      <c r="A95" s="36">
        <v>3936</v>
      </c>
      <c r="B95" s="14" t="s">
        <v>7895</v>
      </c>
      <c r="C95" s="14" t="s">
        <v>7896</v>
      </c>
      <c r="D95" s="17">
        <v>44131</v>
      </c>
      <c r="E95" s="14" t="s">
        <v>30</v>
      </c>
      <c r="F95" s="14">
        <v>1379</v>
      </c>
      <c r="G95" s="14">
        <v>284</v>
      </c>
      <c r="H95" s="14">
        <v>18</v>
      </c>
      <c r="I95" s="14">
        <v>9</v>
      </c>
      <c r="J95" s="14" t="s">
        <v>204</v>
      </c>
      <c r="K95" s="14" cm="1">
        <f t="array" ref="K95">INT(SUMPRODUCT(--ISNUMBER(SEARCH(economy,C95)))&gt;0)</f>
        <v>0</v>
      </c>
      <c r="L95" s="14" cm="1">
        <f t="array" ref="L95">INT(SUMPRODUCT(--ISNUMBER(SEARCH(healthcare,C95)))&gt;0)</f>
        <v>0</v>
      </c>
      <c r="M95" s="14" cm="1">
        <f t="array" ref="M95">INT(SUMPRODUCT(--ISNUMBER(SEARCH(supreme,C95)))&gt;0)</f>
        <v>0</v>
      </c>
      <c r="N95" s="14" cm="1">
        <f t="array" ref="N95">INT(SUMPRODUCT(--ISNUMBER(SEARCH(covid,C95)))&gt;0)</f>
        <v>0</v>
      </c>
      <c r="O95" s="14" cm="1">
        <f t="array" ref="O95">INT(SUMPRODUCT(--ISNUMBER(SEARCH(violent,C95)))&gt;0)</f>
        <v>0</v>
      </c>
      <c r="P95" s="14" cm="1">
        <f t="array" ref="P95">INT(SUMPRODUCT(--ISNUMBER(SEARCH(foreign,C95)))&gt;0)</f>
        <v>0</v>
      </c>
      <c r="Q95" s="14" cm="1">
        <f t="array" ref="Q95">INT(SUMPRODUCT(--ISNUMBER(SEARCH(gun,C95)))&gt;0)</f>
        <v>0</v>
      </c>
      <c r="R95" s="14" cm="1">
        <f t="array" ref="R95">INT(SUMPRODUCT(--ISNUMBER(SEARCH(race,C95)))&gt;0)</f>
        <v>0</v>
      </c>
      <c r="S95" s="14" cm="1">
        <f t="array" ref="S95">INT(SUMPRODUCT(--ISNUMBER(SEARCH(immigration,C95)))&gt;0)</f>
        <v>0</v>
      </c>
      <c r="T95" s="14" cm="1">
        <f t="array" ref="T95">INT(SUMPRODUCT(--ISNUMBER(SEARCH(econineq,C96)))&gt;0)</f>
        <v>0</v>
      </c>
      <c r="U95" s="14" cm="1">
        <f t="array" ref="U95">INT(SUMPRODUCT(--ISNUMBER(SEARCH(climate,C95)))&gt;0)</f>
        <v>0</v>
      </c>
      <c r="V95" s="14" cm="1">
        <f t="array" ref="V95">INT(SUMPRODUCT(--ISNUMBER(SEARCH(abortion,C95)))&gt;0)</f>
        <v>0</v>
      </c>
      <c r="W95" s="14" cm="1">
        <f t="array" ref="W95">INT(SUMPRODUCT(--ISNUMBER(SEARCH(trump,C95)))&gt;0)</f>
        <v>0</v>
      </c>
      <c r="X95" s="14" cm="1">
        <f t="array" ref="X95">INT(SUMPRODUCT(--ISNUMBER(SEARCH(voting,C95)))&gt;0)</f>
        <v>0</v>
      </c>
      <c r="Y95" s="14" cm="1">
        <f t="array" ref="Y95">INT(SUMPRODUCT(--ISNUMBER(SEARCH(democrattrigger,C95)))&gt;0)</f>
        <v>0</v>
      </c>
      <c r="Z95" s="14" cm="1">
        <f t="array" ref="Z95">INT(SUMPRODUCT(--ISNUMBER(SEARCH(bipartisan,C95)))&gt;0)</f>
        <v>0</v>
      </c>
      <c r="AA95" s="14">
        <f t="shared" si="1"/>
        <v>1</v>
      </c>
      <c r="AB95" s="14"/>
      <c r="AC95" s="30" t="s">
        <v>223</v>
      </c>
      <c r="AD95" s="37" t="s">
        <v>223</v>
      </c>
    </row>
    <row r="96" spans="1:30" x14ac:dyDescent="0.25">
      <c r="A96" s="36">
        <v>3937</v>
      </c>
      <c r="B96" s="14" t="s">
        <v>7897</v>
      </c>
      <c r="C96" s="14" t="s">
        <v>7898</v>
      </c>
      <c r="D96" s="17">
        <v>44131</v>
      </c>
      <c r="E96" s="14" t="s">
        <v>30</v>
      </c>
      <c r="F96" s="14">
        <v>268</v>
      </c>
      <c r="G96" s="14">
        <v>114</v>
      </c>
      <c r="H96" s="14">
        <v>18</v>
      </c>
      <c r="I96" s="14">
        <v>9</v>
      </c>
      <c r="J96" s="14" t="s">
        <v>204</v>
      </c>
      <c r="K96" s="14" cm="1">
        <f t="array" ref="K96">INT(SUMPRODUCT(--ISNUMBER(SEARCH(economy,C96)))&gt;0)</f>
        <v>0</v>
      </c>
      <c r="L96" s="14" cm="1">
        <f t="array" ref="L96">INT(SUMPRODUCT(--ISNUMBER(SEARCH(healthcare,C96)))&gt;0)</f>
        <v>0</v>
      </c>
      <c r="M96" s="14" cm="1">
        <f t="array" ref="M96">INT(SUMPRODUCT(--ISNUMBER(SEARCH(supreme,C96)))&gt;0)</f>
        <v>0</v>
      </c>
      <c r="N96" s="14" cm="1">
        <f t="array" ref="N96">INT(SUMPRODUCT(--ISNUMBER(SEARCH(covid,C96)))&gt;0)</f>
        <v>0</v>
      </c>
      <c r="O96" s="14" cm="1">
        <f t="array" ref="O96">INT(SUMPRODUCT(--ISNUMBER(SEARCH(violent,C96)))&gt;0)</f>
        <v>0</v>
      </c>
      <c r="P96" s="14" cm="1">
        <f t="array" ref="P96">INT(SUMPRODUCT(--ISNUMBER(SEARCH(foreign,C96)))&gt;0)</f>
        <v>0</v>
      </c>
      <c r="Q96" s="14" cm="1">
        <f t="array" ref="Q96">INT(SUMPRODUCT(--ISNUMBER(SEARCH(gun,C96)))&gt;0)</f>
        <v>0</v>
      </c>
      <c r="R96" s="14" cm="1">
        <f t="array" ref="R96">INT(SUMPRODUCT(--ISNUMBER(SEARCH(race,C96)))&gt;0)</f>
        <v>0</v>
      </c>
      <c r="S96" s="14" cm="1">
        <f t="array" ref="S96">INT(SUMPRODUCT(--ISNUMBER(SEARCH(immigration,C96)))&gt;0)</f>
        <v>0</v>
      </c>
      <c r="T96" s="14" cm="1">
        <f t="array" ref="T96">INT(SUMPRODUCT(--ISNUMBER(SEARCH(econineq,C97)))&gt;0)</f>
        <v>0</v>
      </c>
      <c r="U96" s="14" cm="1">
        <f t="array" ref="U96">INT(SUMPRODUCT(--ISNUMBER(SEARCH(climate,C96)))&gt;0)</f>
        <v>0</v>
      </c>
      <c r="V96" s="14" cm="1">
        <f t="array" ref="V96">INT(SUMPRODUCT(--ISNUMBER(SEARCH(abortion,C96)))&gt;0)</f>
        <v>0</v>
      </c>
      <c r="W96" s="14" cm="1">
        <f t="array" ref="W96">INT(SUMPRODUCT(--ISNUMBER(SEARCH(trump,C96)))&gt;0)</f>
        <v>0</v>
      </c>
      <c r="X96" s="14" cm="1">
        <f t="array" ref="X96">INT(SUMPRODUCT(--ISNUMBER(SEARCH(voting,C96)))&gt;0)</f>
        <v>1</v>
      </c>
      <c r="Y96" s="14" cm="1">
        <f t="array" ref="Y96">INT(SUMPRODUCT(--ISNUMBER(SEARCH(democrattrigger,C96)))&gt;0)</f>
        <v>1</v>
      </c>
      <c r="Z96" s="14" cm="1">
        <f t="array" ref="Z96">INT(SUMPRODUCT(--ISNUMBER(SEARCH(bipartisan,C96)))&gt;0)</f>
        <v>0</v>
      </c>
      <c r="AA96" s="14">
        <f t="shared" si="1"/>
        <v>0</v>
      </c>
      <c r="AB96" s="14"/>
      <c r="AC96" s="30" t="s">
        <v>223</v>
      </c>
      <c r="AD96" s="37" t="s">
        <v>223</v>
      </c>
    </row>
    <row r="97" spans="1:30" x14ac:dyDescent="0.25">
      <c r="A97" s="36">
        <v>3938</v>
      </c>
      <c r="B97" s="14" t="s">
        <v>7899</v>
      </c>
      <c r="C97" s="14" t="s">
        <v>7900</v>
      </c>
      <c r="D97" s="17">
        <v>44131</v>
      </c>
      <c r="E97" s="14" t="s">
        <v>30</v>
      </c>
      <c r="F97" s="14">
        <v>423</v>
      </c>
      <c r="G97" s="14">
        <v>173</v>
      </c>
      <c r="H97" s="14">
        <v>18</v>
      </c>
      <c r="I97" s="14">
        <v>9</v>
      </c>
      <c r="J97" s="14" t="s">
        <v>204</v>
      </c>
      <c r="K97" s="14" cm="1">
        <f t="array" ref="K97">INT(SUMPRODUCT(--ISNUMBER(SEARCH(economy,C97)))&gt;0)</f>
        <v>0</v>
      </c>
      <c r="L97" s="14" cm="1">
        <f t="array" ref="L97">INT(SUMPRODUCT(--ISNUMBER(SEARCH(healthcare,C97)))&gt;0)</f>
        <v>0</v>
      </c>
      <c r="M97" s="14" cm="1">
        <f t="array" ref="M97">INT(SUMPRODUCT(--ISNUMBER(SEARCH(supreme,C97)))&gt;0)</f>
        <v>0</v>
      </c>
      <c r="N97" s="14" cm="1">
        <f t="array" ref="N97">INT(SUMPRODUCT(--ISNUMBER(SEARCH(covid,C97)))&gt;0)</f>
        <v>0</v>
      </c>
      <c r="O97" s="14" cm="1">
        <f t="array" ref="O97">INT(SUMPRODUCT(--ISNUMBER(SEARCH(violent,C97)))&gt;0)</f>
        <v>0</v>
      </c>
      <c r="P97" s="14" cm="1">
        <f t="array" ref="P97">INT(SUMPRODUCT(--ISNUMBER(SEARCH(foreign,C97)))&gt;0)</f>
        <v>0</v>
      </c>
      <c r="Q97" s="14" cm="1">
        <f t="array" ref="Q97">INT(SUMPRODUCT(--ISNUMBER(SEARCH(gun,C97)))&gt;0)</f>
        <v>0</v>
      </c>
      <c r="R97" s="14" cm="1">
        <f t="array" ref="R97">INT(SUMPRODUCT(--ISNUMBER(SEARCH(race,C97)))&gt;0)</f>
        <v>0</v>
      </c>
      <c r="S97" s="14" cm="1">
        <f t="array" ref="S97">INT(SUMPRODUCT(--ISNUMBER(SEARCH(immigration,C97)))&gt;0)</f>
        <v>0</v>
      </c>
      <c r="T97" s="14" cm="1">
        <f t="array" ref="T97">INT(SUMPRODUCT(--ISNUMBER(SEARCH(econineq,C98)))&gt;0)</f>
        <v>0</v>
      </c>
      <c r="U97" s="14" cm="1">
        <f t="array" ref="U97">INT(SUMPRODUCT(--ISNUMBER(SEARCH(climate,C97)))&gt;0)</f>
        <v>0</v>
      </c>
      <c r="V97" s="14" cm="1">
        <f t="array" ref="V97">INT(SUMPRODUCT(--ISNUMBER(SEARCH(abortion,C97)))&gt;0)</f>
        <v>0</v>
      </c>
      <c r="W97" s="14" cm="1">
        <f t="array" ref="W97">INT(SUMPRODUCT(--ISNUMBER(SEARCH(trump,C97)))&gt;0)</f>
        <v>0</v>
      </c>
      <c r="X97" s="14" cm="1">
        <f t="array" ref="X97">INT(SUMPRODUCT(--ISNUMBER(SEARCH(voting,C97)))&gt;0)</f>
        <v>1</v>
      </c>
      <c r="Y97" s="14" cm="1">
        <f t="array" ref="Y97">INT(SUMPRODUCT(--ISNUMBER(SEARCH(democrattrigger,C97)))&gt;0)</f>
        <v>0</v>
      </c>
      <c r="Z97" s="14" cm="1">
        <f t="array" ref="Z97">INT(SUMPRODUCT(--ISNUMBER(SEARCH(bipartisan,C97)))&gt;0)</f>
        <v>0</v>
      </c>
      <c r="AA97" s="14">
        <f t="shared" si="1"/>
        <v>0</v>
      </c>
      <c r="AB97" s="14"/>
      <c r="AC97" s="30">
        <v>1</v>
      </c>
      <c r="AD97" s="37">
        <v>0</v>
      </c>
    </row>
    <row r="98" spans="1:30" x14ac:dyDescent="0.25">
      <c r="A98" s="36">
        <v>3939</v>
      </c>
      <c r="B98" s="14" t="s">
        <v>7901</v>
      </c>
      <c r="C98" s="14" t="s">
        <v>7902</v>
      </c>
      <c r="D98" s="17">
        <v>44131</v>
      </c>
      <c r="E98" s="14" t="s">
        <v>30</v>
      </c>
      <c r="F98" s="14">
        <v>5380</v>
      </c>
      <c r="G98" s="14">
        <v>2147</v>
      </c>
      <c r="H98" s="14">
        <v>18</v>
      </c>
      <c r="I98" s="14">
        <v>9</v>
      </c>
      <c r="J98" s="14" t="s">
        <v>204</v>
      </c>
      <c r="K98" s="14" cm="1">
        <f t="array" ref="K98">INT(SUMPRODUCT(--ISNUMBER(SEARCH(economy,C98)))&gt;0)</f>
        <v>1</v>
      </c>
      <c r="L98" s="14" cm="1">
        <f t="array" ref="L98">INT(SUMPRODUCT(--ISNUMBER(SEARCH(healthcare,C98)))&gt;0)</f>
        <v>0</v>
      </c>
      <c r="M98" s="14" cm="1">
        <f t="array" ref="M98">INT(SUMPRODUCT(--ISNUMBER(SEARCH(supreme,C98)))&gt;0)</f>
        <v>1</v>
      </c>
      <c r="N98" s="14" cm="1">
        <f t="array" ref="N98">INT(SUMPRODUCT(--ISNUMBER(SEARCH(covid,C98)))&gt;0)</f>
        <v>1</v>
      </c>
      <c r="O98" s="14" cm="1">
        <f t="array" ref="O98">INT(SUMPRODUCT(--ISNUMBER(SEARCH(violent,C98)))&gt;0)</f>
        <v>0</v>
      </c>
      <c r="P98" s="14" cm="1">
        <f t="array" ref="P98">INT(SUMPRODUCT(--ISNUMBER(SEARCH(foreign,C98)))&gt;0)</f>
        <v>0</v>
      </c>
      <c r="Q98" s="14" cm="1">
        <f t="array" ref="Q98">INT(SUMPRODUCT(--ISNUMBER(SEARCH(gun,C98)))&gt;0)</f>
        <v>0</v>
      </c>
      <c r="R98" s="14" cm="1">
        <f t="array" ref="R98">INT(SUMPRODUCT(--ISNUMBER(SEARCH(race,C98)))&gt;0)</f>
        <v>0</v>
      </c>
      <c r="S98" s="14" cm="1">
        <f t="array" ref="S98">INT(SUMPRODUCT(--ISNUMBER(SEARCH(immigration,C98)))&gt;0)</f>
        <v>0</v>
      </c>
      <c r="T98" s="14" cm="1">
        <f t="array" ref="T98">INT(SUMPRODUCT(--ISNUMBER(SEARCH(econineq,C99)))&gt;0)</f>
        <v>0</v>
      </c>
      <c r="U98" s="14" cm="1">
        <f t="array" ref="U98">INT(SUMPRODUCT(--ISNUMBER(SEARCH(climate,C98)))&gt;0)</f>
        <v>0</v>
      </c>
      <c r="V98" s="14" cm="1">
        <f t="array" ref="V98">INT(SUMPRODUCT(--ISNUMBER(SEARCH(abortion,C98)))&gt;0)</f>
        <v>0</v>
      </c>
      <c r="W98" s="14" cm="1">
        <f t="array" ref="W98">INT(SUMPRODUCT(--ISNUMBER(SEARCH(trump,C98)))&gt;0)</f>
        <v>1</v>
      </c>
      <c r="X98" s="14" cm="1">
        <f t="array" ref="X98">INT(SUMPRODUCT(--ISNUMBER(SEARCH(voting,C98)))&gt;0)</f>
        <v>0</v>
      </c>
      <c r="Y98" s="14" cm="1">
        <f t="array" ref="Y98">INT(SUMPRODUCT(--ISNUMBER(SEARCH(democrattrigger,C98)))&gt;0)</f>
        <v>1</v>
      </c>
      <c r="Z98" s="14" cm="1">
        <f t="array" ref="Z98">INT(SUMPRODUCT(--ISNUMBER(SEARCH(bipartisan,C98)))&gt;0)</f>
        <v>0</v>
      </c>
      <c r="AA98" s="14">
        <f t="shared" si="1"/>
        <v>0</v>
      </c>
      <c r="AB98" s="14"/>
      <c r="AC98" s="30" t="s">
        <v>223</v>
      </c>
      <c r="AD98" s="37" t="s">
        <v>223</v>
      </c>
    </row>
    <row r="99" spans="1:30" x14ac:dyDescent="0.25">
      <c r="A99" s="36">
        <v>3940</v>
      </c>
      <c r="B99" s="14" t="s">
        <v>7903</v>
      </c>
      <c r="C99" s="14" t="s">
        <v>7904</v>
      </c>
      <c r="D99" s="17">
        <v>44131</v>
      </c>
      <c r="E99" s="14" t="s">
        <v>30</v>
      </c>
      <c r="F99" s="14">
        <v>2013</v>
      </c>
      <c r="G99" s="14">
        <v>346</v>
      </c>
      <c r="H99" s="14">
        <v>18</v>
      </c>
      <c r="I99" s="14">
        <v>9</v>
      </c>
      <c r="J99" s="14" t="s">
        <v>204</v>
      </c>
      <c r="K99" s="14" cm="1">
        <f t="array" ref="K99">INT(SUMPRODUCT(--ISNUMBER(SEARCH(economy,C99)))&gt;0)</f>
        <v>0</v>
      </c>
      <c r="L99" s="14" cm="1">
        <f t="array" ref="L99">INT(SUMPRODUCT(--ISNUMBER(SEARCH(healthcare,C99)))&gt;0)</f>
        <v>0</v>
      </c>
      <c r="M99" s="14" cm="1">
        <f t="array" ref="M99">INT(SUMPRODUCT(--ISNUMBER(SEARCH(supreme,C99)))&gt;0)</f>
        <v>0</v>
      </c>
      <c r="N99" s="14" cm="1">
        <f t="array" ref="N99">INT(SUMPRODUCT(--ISNUMBER(SEARCH(covid,C99)))&gt;0)</f>
        <v>0</v>
      </c>
      <c r="O99" s="14" cm="1">
        <f t="array" ref="O99">INT(SUMPRODUCT(--ISNUMBER(SEARCH(violent,C99)))&gt;0)</f>
        <v>0</v>
      </c>
      <c r="P99" s="14" cm="1">
        <f t="array" ref="P99">INT(SUMPRODUCT(--ISNUMBER(SEARCH(foreign,C99)))&gt;0)</f>
        <v>0</v>
      </c>
      <c r="Q99" s="14" cm="1">
        <f t="array" ref="Q99">INT(SUMPRODUCT(--ISNUMBER(SEARCH(gun,C99)))&gt;0)</f>
        <v>0</v>
      </c>
      <c r="R99" s="14" cm="1">
        <f t="array" ref="R99">INT(SUMPRODUCT(--ISNUMBER(SEARCH(race,C99)))&gt;0)</f>
        <v>0</v>
      </c>
      <c r="S99" s="14" cm="1">
        <f t="array" ref="S99">INT(SUMPRODUCT(--ISNUMBER(SEARCH(immigration,C99)))&gt;0)</f>
        <v>0</v>
      </c>
      <c r="T99" s="14" cm="1">
        <f t="array" ref="T99">INT(SUMPRODUCT(--ISNUMBER(SEARCH(econineq,C100)))&gt;0)</f>
        <v>0</v>
      </c>
      <c r="U99" s="14" cm="1">
        <f t="array" ref="U99">INT(SUMPRODUCT(--ISNUMBER(SEARCH(climate,C99)))&gt;0)</f>
        <v>0</v>
      </c>
      <c r="V99" s="14" cm="1">
        <f t="array" ref="V99">INT(SUMPRODUCT(--ISNUMBER(SEARCH(abortion,C99)))&gt;0)</f>
        <v>0</v>
      </c>
      <c r="W99" s="14" cm="1">
        <f t="array" ref="W99">INT(SUMPRODUCT(--ISNUMBER(SEARCH(trump,C99)))&gt;0)</f>
        <v>0</v>
      </c>
      <c r="X99" s="14" cm="1">
        <f t="array" ref="X99">INT(SUMPRODUCT(--ISNUMBER(SEARCH(voting,C99)))&gt;0)</f>
        <v>1</v>
      </c>
      <c r="Y99" s="14" cm="1">
        <f t="array" ref="Y99">INT(SUMPRODUCT(--ISNUMBER(SEARCH(democrattrigger,C99)))&gt;0)</f>
        <v>0</v>
      </c>
      <c r="Z99" s="14" cm="1">
        <f t="array" ref="Z99">INT(SUMPRODUCT(--ISNUMBER(SEARCH(bipartisan,C99)))&gt;0)</f>
        <v>0</v>
      </c>
      <c r="AA99" s="14">
        <f t="shared" si="1"/>
        <v>0</v>
      </c>
      <c r="AB99" s="14"/>
      <c r="AC99" s="30" t="s">
        <v>223</v>
      </c>
      <c r="AD99" s="37" t="s">
        <v>223</v>
      </c>
    </row>
    <row r="100" spans="1:30" x14ac:dyDescent="0.25">
      <c r="A100" s="36">
        <v>3941</v>
      </c>
      <c r="B100" s="14" t="s">
        <v>7905</v>
      </c>
      <c r="C100" s="14" t="s">
        <v>7906</v>
      </c>
      <c r="D100" s="17">
        <v>44131</v>
      </c>
      <c r="E100" s="14" t="s">
        <v>30</v>
      </c>
      <c r="F100" s="14">
        <v>4928</v>
      </c>
      <c r="G100" s="14">
        <v>1181</v>
      </c>
      <c r="H100" s="14">
        <v>18</v>
      </c>
      <c r="I100" s="14">
        <v>9</v>
      </c>
      <c r="J100" s="14" t="s">
        <v>204</v>
      </c>
      <c r="K100" s="14" cm="1">
        <f t="array" ref="K100">INT(SUMPRODUCT(--ISNUMBER(SEARCH(economy,C100)))&gt;0)</f>
        <v>0</v>
      </c>
      <c r="L100" s="14" cm="1">
        <f t="array" ref="L100">INT(SUMPRODUCT(--ISNUMBER(SEARCH(healthcare,C100)))&gt;0)</f>
        <v>1</v>
      </c>
      <c r="M100" s="14" cm="1">
        <f t="array" ref="M100">INT(SUMPRODUCT(--ISNUMBER(SEARCH(supreme,C100)))&gt;0)</f>
        <v>0</v>
      </c>
      <c r="N100" s="14" cm="1">
        <f t="array" ref="N100">INT(SUMPRODUCT(--ISNUMBER(SEARCH(covid,C100)))&gt;0)</f>
        <v>1</v>
      </c>
      <c r="O100" s="14" cm="1">
        <f t="array" ref="O100">INT(SUMPRODUCT(--ISNUMBER(SEARCH(violent,C100)))&gt;0)</f>
        <v>0</v>
      </c>
      <c r="P100" s="14" cm="1">
        <f t="array" ref="P100">INT(SUMPRODUCT(--ISNUMBER(SEARCH(foreign,C100)))&gt;0)</f>
        <v>0</v>
      </c>
      <c r="Q100" s="14" cm="1">
        <f t="array" ref="Q100">INT(SUMPRODUCT(--ISNUMBER(SEARCH(gun,C100)))&gt;0)</f>
        <v>0</v>
      </c>
      <c r="R100" s="14" cm="1">
        <f t="array" ref="R100">INT(SUMPRODUCT(--ISNUMBER(SEARCH(race,C100)))&gt;0)</f>
        <v>0</v>
      </c>
      <c r="S100" s="14" cm="1">
        <f t="array" ref="S100">INT(SUMPRODUCT(--ISNUMBER(SEARCH(immigration,C100)))&gt;0)</f>
        <v>0</v>
      </c>
      <c r="T100" s="14" cm="1">
        <f t="array" ref="T100">INT(SUMPRODUCT(--ISNUMBER(SEARCH(econineq,C101)))&gt;0)</f>
        <v>0</v>
      </c>
      <c r="U100" s="14" cm="1">
        <f t="array" ref="U100">INT(SUMPRODUCT(--ISNUMBER(SEARCH(climate,C100)))&gt;0)</f>
        <v>0</v>
      </c>
      <c r="V100" s="14" cm="1">
        <f t="array" ref="V100">INT(SUMPRODUCT(--ISNUMBER(SEARCH(abortion,C100)))&gt;0)</f>
        <v>0</v>
      </c>
      <c r="W100" s="14" cm="1">
        <f t="array" ref="W100">INT(SUMPRODUCT(--ISNUMBER(SEARCH(trump,C100)))&gt;0)</f>
        <v>0</v>
      </c>
      <c r="X100" s="14" cm="1">
        <f t="array" ref="X100">INT(SUMPRODUCT(--ISNUMBER(SEARCH(voting,C100)))&gt;0)</f>
        <v>0</v>
      </c>
      <c r="Y100" s="14" cm="1">
        <f t="array" ref="Y100">INT(SUMPRODUCT(--ISNUMBER(SEARCH(democrattrigger,C100)))&gt;0)</f>
        <v>1</v>
      </c>
      <c r="Z100" s="14" cm="1">
        <f t="array" ref="Z100">INT(SUMPRODUCT(--ISNUMBER(SEARCH(bipartisan,C100)))&gt;0)</f>
        <v>0</v>
      </c>
      <c r="AA100" s="14">
        <f t="shared" si="1"/>
        <v>0</v>
      </c>
      <c r="AB100" s="14"/>
      <c r="AC100" s="30" t="s">
        <v>223</v>
      </c>
      <c r="AD100" s="37" t="s">
        <v>223</v>
      </c>
    </row>
    <row r="101" spans="1:30" x14ac:dyDescent="0.25">
      <c r="A101" s="36">
        <v>3942</v>
      </c>
      <c r="B101" s="14" t="s">
        <v>7907</v>
      </c>
      <c r="C101" s="14" t="s">
        <v>7908</v>
      </c>
      <c r="D101" s="17">
        <v>44131</v>
      </c>
      <c r="E101" s="14" t="s">
        <v>30</v>
      </c>
      <c r="F101" s="14">
        <v>4438</v>
      </c>
      <c r="G101" s="14">
        <v>791</v>
      </c>
      <c r="H101" s="14">
        <v>18</v>
      </c>
      <c r="I101" s="14">
        <v>9</v>
      </c>
      <c r="J101" s="14" t="s">
        <v>204</v>
      </c>
      <c r="K101" s="14" cm="1">
        <f t="array" ref="K101">INT(SUMPRODUCT(--ISNUMBER(SEARCH(economy,C101)))&gt;0)</f>
        <v>0</v>
      </c>
      <c r="L101" s="14" cm="1">
        <f t="array" ref="L101">INT(SUMPRODUCT(--ISNUMBER(SEARCH(healthcare,C101)))&gt;0)</f>
        <v>0</v>
      </c>
      <c r="M101" s="14" cm="1">
        <f t="array" ref="M101">INT(SUMPRODUCT(--ISNUMBER(SEARCH(supreme,C101)))&gt;0)</f>
        <v>0</v>
      </c>
      <c r="N101" s="14" cm="1">
        <f t="array" ref="N101">INT(SUMPRODUCT(--ISNUMBER(SEARCH(covid,C101)))&gt;0)</f>
        <v>0</v>
      </c>
      <c r="O101" s="14" cm="1">
        <f t="array" ref="O101">INT(SUMPRODUCT(--ISNUMBER(SEARCH(violent,C101)))&gt;0)</f>
        <v>0</v>
      </c>
      <c r="P101" s="14" cm="1">
        <f t="array" ref="P101">INT(SUMPRODUCT(--ISNUMBER(SEARCH(foreign,C101)))&gt;0)</f>
        <v>0</v>
      </c>
      <c r="Q101" s="14" cm="1">
        <f t="array" ref="Q101">INT(SUMPRODUCT(--ISNUMBER(SEARCH(gun,C101)))&gt;0)</f>
        <v>0</v>
      </c>
      <c r="R101" s="14" cm="1">
        <f t="array" ref="R101">INT(SUMPRODUCT(--ISNUMBER(SEARCH(race,C101)))&gt;0)</f>
        <v>0</v>
      </c>
      <c r="S101" s="14" cm="1">
        <f t="array" ref="S101">INT(SUMPRODUCT(--ISNUMBER(SEARCH(immigration,C101)))&gt;0)</f>
        <v>0</v>
      </c>
      <c r="T101" s="14" cm="1">
        <f t="array" ref="T101">INT(SUMPRODUCT(--ISNUMBER(SEARCH(econineq,C102)))&gt;0)</f>
        <v>0</v>
      </c>
      <c r="U101" s="14" cm="1">
        <f t="array" ref="U101">INT(SUMPRODUCT(--ISNUMBER(SEARCH(climate,C101)))&gt;0)</f>
        <v>0</v>
      </c>
      <c r="V101" s="14" cm="1">
        <f t="array" ref="V101">INT(SUMPRODUCT(--ISNUMBER(SEARCH(abortion,C101)))&gt;0)</f>
        <v>0</v>
      </c>
      <c r="W101" s="14" cm="1">
        <f t="array" ref="W101">INT(SUMPRODUCT(--ISNUMBER(SEARCH(trump,C101)))&gt;0)</f>
        <v>0</v>
      </c>
      <c r="X101" s="14" cm="1">
        <f t="array" ref="X101">INT(SUMPRODUCT(--ISNUMBER(SEARCH(voting,C101)))&gt;0)</f>
        <v>1</v>
      </c>
      <c r="Y101" s="14" cm="1">
        <f t="array" ref="Y101">INT(SUMPRODUCT(--ISNUMBER(SEARCH(democrattrigger,C101)))&gt;0)</f>
        <v>0</v>
      </c>
      <c r="Z101" s="14" cm="1">
        <f t="array" ref="Z101">INT(SUMPRODUCT(--ISNUMBER(SEARCH(bipartisan,C101)))&gt;0)</f>
        <v>0</v>
      </c>
      <c r="AA101" s="14">
        <f t="shared" si="1"/>
        <v>0</v>
      </c>
      <c r="AB101" s="14"/>
      <c r="AC101" s="30" t="s">
        <v>223</v>
      </c>
      <c r="AD101" s="37" t="s">
        <v>223</v>
      </c>
    </row>
    <row r="102" spans="1:30" x14ac:dyDescent="0.25">
      <c r="A102" s="36">
        <v>3943</v>
      </c>
      <c r="B102" s="14" t="s">
        <v>7909</v>
      </c>
      <c r="C102" s="14" t="s">
        <v>7910</v>
      </c>
      <c r="D102" s="17">
        <v>44131</v>
      </c>
      <c r="E102" s="14" t="s">
        <v>70</v>
      </c>
      <c r="F102" s="14">
        <v>653</v>
      </c>
      <c r="G102" s="14">
        <v>191</v>
      </c>
      <c r="H102" s="14">
        <v>18</v>
      </c>
      <c r="I102" s="14">
        <v>9</v>
      </c>
      <c r="J102" s="14" t="s">
        <v>204</v>
      </c>
      <c r="K102" s="14" cm="1">
        <f t="array" ref="K102">INT(SUMPRODUCT(--ISNUMBER(SEARCH(economy,C102)))&gt;0)</f>
        <v>0</v>
      </c>
      <c r="L102" s="14" cm="1">
        <f t="array" ref="L102">INT(SUMPRODUCT(--ISNUMBER(SEARCH(healthcare,C102)))&gt;0)</f>
        <v>1</v>
      </c>
      <c r="M102" s="14" cm="1">
        <f t="array" ref="M102">INT(SUMPRODUCT(--ISNUMBER(SEARCH(supreme,C102)))&gt;0)</f>
        <v>0</v>
      </c>
      <c r="N102" s="14" cm="1">
        <f t="array" ref="N102">INT(SUMPRODUCT(--ISNUMBER(SEARCH(covid,C102)))&gt;0)</f>
        <v>1</v>
      </c>
      <c r="O102" s="14" cm="1">
        <f t="array" ref="O102">INT(SUMPRODUCT(--ISNUMBER(SEARCH(violent,C102)))&gt;0)</f>
        <v>0</v>
      </c>
      <c r="P102" s="14" cm="1">
        <f t="array" ref="P102">INT(SUMPRODUCT(--ISNUMBER(SEARCH(foreign,C102)))&gt;0)</f>
        <v>0</v>
      </c>
      <c r="Q102" s="14" cm="1">
        <f t="array" ref="Q102">INT(SUMPRODUCT(--ISNUMBER(SEARCH(gun,C102)))&gt;0)</f>
        <v>0</v>
      </c>
      <c r="R102" s="14" cm="1">
        <f t="array" ref="R102">INT(SUMPRODUCT(--ISNUMBER(SEARCH(race,C102)))&gt;0)</f>
        <v>0</v>
      </c>
      <c r="S102" s="14" cm="1">
        <f t="array" ref="S102">INT(SUMPRODUCT(--ISNUMBER(SEARCH(immigration,C102)))&gt;0)</f>
        <v>0</v>
      </c>
      <c r="T102" s="14" cm="1">
        <f t="array" ref="T102">INT(SUMPRODUCT(--ISNUMBER(SEARCH(econineq,C103)))&gt;0)</f>
        <v>0</v>
      </c>
      <c r="U102" s="14" cm="1">
        <f t="array" ref="U102">INT(SUMPRODUCT(--ISNUMBER(SEARCH(climate,C102)))&gt;0)</f>
        <v>0</v>
      </c>
      <c r="V102" s="14" cm="1">
        <f t="array" ref="V102">INT(SUMPRODUCT(--ISNUMBER(SEARCH(abortion,C102)))&gt;0)</f>
        <v>0</v>
      </c>
      <c r="W102" s="14" cm="1">
        <f t="array" ref="W102">INT(SUMPRODUCT(--ISNUMBER(SEARCH(trump,C102)))&gt;0)</f>
        <v>0</v>
      </c>
      <c r="X102" s="14" cm="1">
        <f t="array" ref="X102">INT(SUMPRODUCT(--ISNUMBER(SEARCH(voting,C102)))&gt;0)</f>
        <v>1</v>
      </c>
      <c r="Y102" s="14" cm="1">
        <f t="array" ref="Y102">INT(SUMPRODUCT(--ISNUMBER(SEARCH(democrattrigger,C102)))&gt;0)</f>
        <v>1</v>
      </c>
      <c r="Z102" s="14" cm="1">
        <f t="array" ref="Z102">INT(SUMPRODUCT(--ISNUMBER(SEARCH(bipartisan,C102)))&gt;0)</f>
        <v>0</v>
      </c>
      <c r="AA102" s="14">
        <f t="shared" si="1"/>
        <v>0</v>
      </c>
      <c r="AB102" s="14"/>
      <c r="AC102" s="30" t="s">
        <v>223</v>
      </c>
      <c r="AD102" s="37" t="s">
        <v>223</v>
      </c>
    </row>
    <row r="103" spans="1:30" x14ac:dyDescent="0.25">
      <c r="A103" s="36">
        <v>3944</v>
      </c>
      <c r="B103" s="14" t="s">
        <v>7911</v>
      </c>
      <c r="C103" s="14" t="s">
        <v>7912</v>
      </c>
      <c r="D103" s="17">
        <v>44131</v>
      </c>
      <c r="E103" s="14" t="s">
        <v>30</v>
      </c>
      <c r="F103" s="14">
        <v>1568</v>
      </c>
      <c r="G103" s="14">
        <v>634</v>
      </c>
      <c r="H103" s="14">
        <v>18</v>
      </c>
      <c r="I103" s="14">
        <v>9</v>
      </c>
      <c r="J103" s="14" t="s">
        <v>204</v>
      </c>
      <c r="K103" s="14" cm="1">
        <f t="array" ref="K103">INT(SUMPRODUCT(--ISNUMBER(SEARCH(economy,C103)))&gt;0)</f>
        <v>0</v>
      </c>
      <c r="L103" s="14" cm="1">
        <f t="array" ref="L103">INT(SUMPRODUCT(--ISNUMBER(SEARCH(healthcare,C103)))&gt;0)</f>
        <v>1</v>
      </c>
      <c r="M103" s="14" cm="1">
        <f t="array" ref="M103">INT(SUMPRODUCT(--ISNUMBER(SEARCH(supreme,C103)))&gt;0)</f>
        <v>1</v>
      </c>
      <c r="N103" s="14" cm="1">
        <f t="array" ref="N103">INT(SUMPRODUCT(--ISNUMBER(SEARCH(covid,C103)))&gt;0)</f>
        <v>0</v>
      </c>
      <c r="O103" s="14" cm="1">
        <f t="array" ref="O103">INT(SUMPRODUCT(--ISNUMBER(SEARCH(violent,C103)))&gt;0)</f>
        <v>0</v>
      </c>
      <c r="P103" s="14" cm="1">
        <f t="array" ref="P103">INT(SUMPRODUCT(--ISNUMBER(SEARCH(foreign,C103)))&gt;0)</f>
        <v>0</v>
      </c>
      <c r="Q103" s="14" cm="1">
        <f t="array" ref="Q103">INT(SUMPRODUCT(--ISNUMBER(SEARCH(gun,C103)))&gt;0)</f>
        <v>0</v>
      </c>
      <c r="R103" s="14" cm="1">
        <f t="array" ref="R103">INT(SUMPRODUCT(--ISNUMBER(SEARCH(race,C103)))&gt;0)</f>
        <v>0</v>
      </c>
      <c r="S103" s="14" cm="1">
        <f t="array" ref="S103">INT(SUMPRODUCT(--ISNUMBER(SEARCH(immigration,C103)))&gt;0)</f>
        <v>0</v>
      </c>
      <c r="T103" s="14" cm="1">
        <f t="array" ref="T103">INT(SUMPRODUCT(--ISNUMBER(SEARCH(econineq,C104)))&gt;0)</f>
        <v>0</v>
      </c>
      <c r="U103" s="14" cm="1">
        <f t="array" ref="U103">INT(SUMPRODUCT(--ISNUMBER(SEARCH(climate,C103)))&gt;0)</f>
        <v>0</v>
      </c>
      <c r="V103" s="14" cm="1">
        <f t="array" ref="V103">INT(SUMPRODUCT(--ISNUMBER(SEARCH(abortion,C103)))&gt;0)</f>
        <v>0</v>
      </c>
      <c r="W103" s="14" cm="1">
        <f t="array" ref="W103">INT(SUMPRODUCT(--ISNUMBER(SEARCH(trump,C103)))&gt;0)</f>
        <v>1</v>
      </c>
      <c r="X103" s="14" cm="1">
        <f t="array" ref="X103">INT(SUMPRODUCT(--ISNUMBER(SEARCH(voting,C103)))&gt;0)</f>
        <v>1</v>
      </c>
      <c r="Y103" s="14" cm="1">
        <f t="array" ref="Y103">INT(SUMPRODUCT(--ISNUMBER(SEARCH(democrattrigger,C103)))&gt;0)</f>
        <v>1</v>
      </c>
      <c r="Z103" s="14" cm="1">
        <f t="array" ref="Z103">INT(SUMPRODUCT(--ISNUMBER(SEARCH(bipartisan,C103)))&gt;0)</f>
        <v>0</v>
      </c>
      <c r="AA103" s="14">
        <f t="shared" si="1"/>
        <v>0</v>
      </c>
      <c r="AB103" s="14"/>
      <c r="AC103" s="30">
        <v>1</v>
      </c>
      <c r="AD103" s="37">
        <v>1</v>
      </c>
    </row>
    <row r="104" spans="1:30" x14ac:dyDescent="0.25">
      <c r="A104" s="36">
        <v>3945</v>
      </c>
      <c r="B104" s="14" t="s">
        <v>7913</v>
      </c>
      <c r="C104" s="14" t="s">
        <v>7914</v>
      </c>
      <c r="D104" s="17">
        <v>44130</v>
      </c>
      <c r="E104" s="14" t="s">
        <v>70</v>
      </c>
      <c r="F104" s="14">
        <v>153</v>
      </c>
      <c r="G104" s="14">
        <v>61</v>
      </c>
      <c r="H104" s="14">
        <v>18</v>
      </c>
      <c r="I104" s="14">
        <v>9</v>
      </c>
      <c r="J104" s="14" t="s">
        <v>204</v>
      </c>
      <c r="K104" s="14" cm="1">
        <f t="array" ref="K104">INT(SUMPRODUCT(--ISNUMBER(SEARCH(economy,C104)))&gt;0)</f>
        <v>0</v>
      </c>
      <c r="L104" s="14" cm="1">
        <f t="array" ref="L104">INT(SUMPRODUCT(--ISNUMBER(SEARCH(healthcare,C104)))&gt;0)</f>
        <v>0</v>
      </c>
      <c r="M104" s="14" cm="1">
        <f t="array" ref="M104">INT(SUMPRODUCT(--ISNUMBER(SEARCH(supreme,C104)))&gt;0)</f>
        <v>0</v>
      </c>
      <c r="N104" s="14" cm="1">
        <f t="array" ref="N104">INT(SUMPRODUCT(--ISNUMBER(SEARCH(covid,C104)))&gt;0)</f>
        <v>0</v>
      </c>
      <c r="O104" s="14" cm="1">
        <f t="array" ref="O104">INT(SUMPRODUCT(--ISNUMBER(SEARCH(violent,C104)))&gt;0)</f>
        <v>0</v>
      </c>
      <c r="P104" s="14" cm="1">
        <f t="array" ref="P104">INT(SUMPRODUCT(--ISNUMBER(SEARCH(foreign,C104)))&gt;0)</f>
        <v>0</v>
      </c>
      <c r="Q104" s="14" cm="1">
        <f t="array" ref="Q104">INT(SUMPRODUCT(--ISNUMBER(SEARCH(gun,C104)))&gt;0)</f>
        <v>0</v>
      </c>
      <c r="R104" s="14" cm="1">
        <f t="array" ref="R104">INT(SUMPRODUCT(--ISNUMBER(SEARCH(race,C104)))&gt;0)</f>
        <v>0</v>
      </c>
      <c r="S104" s="14" cm="1">
        <f t="array" ref="S104">INT(SUMPRODUCT(--ISNUMBER(SEARCH(immigration,C104)))&gt;0)</f>
        <v>0</v>
      </c>
      <c r="T104" s="14" cm="1">
        <f t="array" ref="T104">INT(SUMPRODUCT(--ISNUMBER(SEARCH(econineq,C105)))&gt;0)</f>
        <v>0</v>
      </c>
      <c r="U104" s="14" cm="1">
        <f t="array" ref="U104">INT(SUMPRODUCT(--ISNUMBER(SEARCH(climate,C104)))&gt;0)</f>
        <v>0</v>
      </c>
      <c r="V104" s="14" cm="1">
        <f t="array" ref="V104">INT(SUMPRODUCT(--ISNUMBER(SEARCH(abortion,C104)))&gt;0)</f>
        <v>0</v>
      </c>
      <c r="W104" s="14" cm="1">
        <f t="array" ref="W104">INT(SUMPRODUCT(--ISNUMBER(SEARCH(trump,C104)))&gt;0)</f>
        <v>0</v>
      </c>
      <c r="X104" s="14" cm="1">
        <f t="array" ref="X104">INT(SUMPRODUCT(--ISNUMBER(SEARCH(voting,C104)))&gt;0)</f>
        <v>0</v>
      </c>
      <c r="Y104" s="14" cm="1">
        <f t="array" ref="Y104">INT(SUMPRODUCT(--ISNUMBER(SEARCH(democrattrigger,C104)))&gt;0)</f>
        <v>1</v>
      </c>
      <c r="Z104" s="14" cm="1">
        <f t="array" ref="Z104">INT(SUMPRODUCT(--ISNUMBER(SEARCH(bipartisan,C104)))&gt;0)</f>
        <v>0</v>
      </c>
      <c r="AA104" s="14">
        <f t="shared" si="1"/>
        <v>0</v>
      </c>
      <c r="AB104" s="14"/>
      <c r="AC104" s="30">
        <v>1</v>
      </c>
      <c r="AD104" s="37">
        <v>0</v>
      </c>
    </row>
    <row r="105" spans="1:30" x14ac:dyDescent="0.25">
      <c r="A105" s="36">
        <v>3946</v>
      </c>
      <c r="B105" s="14" t="s">
        <v>7915</v>
      </c>
      <c r="C105" s="14" t="s">
        <v>7916</v>
      </c>
      <c r="D105" s="17">
        <v>44130</v>
      </c>
      <c r="E105" s="14" t="s">
        <v>70</v>
      </c>
      <c r="F105" s="14">
        <v>141</v>
      </c>
      <c r="G105" s="14">
        <v>54</v>
      </c>
      <c r="H105" s="14">
        <v>18</v>
      </c>
      <c r="I105" s="14">
        <v>9</v>
      </c>
      <c r="J105" s="14" t="s">
        <v>204</v>
      </c>
      <c r="K105" s="14" cm="1">
        <f t="array" ref="K105">INT(SUMPRODUCT(--ISNUMBER(SEARCH(economy,C105)))&gt;0)</f>
        <v>0</v>
      </c>
      <c r="L105" s="14" cm="1">
        <f t="array" ref="L105">INT(SUMPRODUCT(--ISNUMBER(SEARCH(healthcare,C105)))&gt;0)</f>
        <v>0</v>
      </c>
      <c r="M105" s="14" cm="1">
        <f t="array" ref="M105">INT(SUMPRODUCT(--ISNUMBER(SEARCH(supreme,C105)))&gt;0)</f>
        <v>0</v>
      </c>
      <c r="N105" s="14" cm="1">
        <f t="array" ref="N105">INT(SUMPRODUCT(--ISNUMBER(SEARCH(covid,C105)))&gt;0)</f>
        <v>0</v>
      </c>
      <c r="O105" s="14" cm="1">
        <f t="array" ref="O105">INT(SUMPRODUCT(--ISNUMBER(SEARCH(violent,C105)))&gt;0)</f>
        <v>0</v>
      </c>
      <c r="P105" s="14" cm="1">
        <f t="array" ref="P105">INT(SUMPRODUCT(--ISNUMBER(SEARCH(foreign,C105)))&gt;0)</f>
        <v>0</v>
      </c>
      <c r="Q105" s="14" cm="1">
        <f t="array" ref="Q105">INT(SUMPRODUCT(--ISNUMBER(SEARCH(gun,C105)))&gt;0)</f>
        <v>0</v>
      </c>
      <c r="R105" s="14" cm="1">
        <f t="array" ref="R105">INT(SUMPRODUCT(--ISNUMBER(SEARCH(race,C105)))&gt;0)</f>
        <v>0</v>
      </c>
      <c r="S105" s="14" cm="1">
        <f t="array" ref="S105">INT(SUMPRODUCT(--ISNUMBER(SEARCH(immigration,C105)))&gt;0)</f>
        <v>0</v>
      </c>
      <c r="T105" s="14" cm="1">
        <f t="array" ref="T105">INT(SUMPRODUCT(--ISNUMBER(SEARCH(econineq,C106)))&gt;0)</f>
        <v>0</v>
      </c>
      <c r="U105" s="14" cm="1">
        <f t="array" ref="U105">INT(SUMPRODUCT(--ISNUMBER(SEARCH(climate,C105)))&gt;0)</f>
        <v>0</v>
      </c>
      <c r="V105" s="14" cm="1">
        <f t="array" ref="V105">INT(SUMPRODUCT(--ISNUMBER(SEARCH(abortion,C105)))&gt;0)</f>
        <v>0</v>
      </c>
      <c r="W105" s="14" cm="1">
        <f t="array" ref="W105">INT(SUMPRODUCT(--ISNUMBER(SEARCH(trump,C105)))&gt;0)</f>
        <v>0</v>
      </c>
      <c r="X105" s="14" cm="1">
        <f t="array" ref="X105">INT(SUMPRODUCT(--ISNUMBER(SEARCH(voting,C105)))&gt;0)</f>
        <v>0</v>
      </c>
      <c r="Y105" s="14" cm="1">
        <f t="array" ref="Y105">INT(SUMPRODUCT(--ISNUMBER(SEARCH(democrattrigger,C105)))&gt;0)</f>
        <v>1</v>
      </c>
      <c r="Z105" s="14" cm="1">
        <f t="array" ref="Z105">INT(SUMPRODUCT(--ISNUMBER(SEARCH(bipartisan,C105)))&gt;0)</f>
        <v>0</v>
      </c>
      <c r="AA105" s="14">
        <f t="shared" si="1"/>
        <v>0</v>
      </c>
      <c r="AB105" s="14"/>
      <c r="AC105" s="30" t="s">
        <v>223</v>
      </c>
      <c r="AD105" s="37" t="s">
        <v>223</v>
      </c>
    </row>
    <row r="106" spans="1:30" x14ac:dyDescent="0.25">
      <c r="A106" s="36">
        <v>3947</v>
      </c>
      <c r="B106" s="14" t="s">
        <v>7917</v>
      </c>
      <c r="C106" s="14" t="s">
        <v>7918</v>
      </c>
      <c r="D106" s="17">
        <v>44130</v>
      </c>
      <c r="E106" s="14" t="s">
        <v>70</v>
      </c>
      <c r="F106" s="14">
        <v>56</v>
      </c>
      <c r="G106" s="14">
        <v>31</v>
      </c>
      <c r="H106" s="14">
        <v>18</v>
      </c>
      <c r="I106" s="14">
        <v>9</v>
      </c>
      <c r="J106" s="14" t="s">
        <v>204</v>
      </c>
      <c r="K106" s="14" cm="1">
        <f t="array" ref="K106">INT(SUMPRODUCT(--ISNUMBER(SEARCH(economy,C106)))&gt;0)</f>
        <v>0</v>
      </c>
      <c r="L106" s="14" cm="1">
        <f t="array" ref="L106">INT(SUMPRODUCT(--ISNUMBER(SEARCH(healthcare,C106)))&gt;0)</f>
        <v>0</v>
      </c>
      <c r="M106" s="14" cm="1">
        <f t="array" ref="M106">INT(SUMPRODUCT(--ISNUMBER(SEARCH(supreme,C106)))&gt;0)</f>
        <v>0</v>
      </c>
      <c r="N106" s="14" cm="1">
        <f t="array" ref="N106">INT(SUMPRODUCT(--ISNUMBER(SEARCH(covid,C106)))&gt;0)</f>
        <v>0</v>
      </c>
      <c r="O106" s="14" cm="1">
        <f t="array" ref="O106">INT(SUMPRODUCT(--ISNUMBER(SEARCH(violent,C106)))&gt;0)</f>
        <v>0</v>
      </c>
      <c r="P106" s="14" cm="1">
        <f t="array" ref="P106">INT(SUMPRODUCT(--ISNUMBER(SEARCH(foreign,C106)))&gt;0)</f>
        <v>0</v>
      </c>
      <c r="Q106" s="14" cm="1">
        <f t="array" ref="Q106">INT(SUMPRODUCT(--ISNUMBER(SEARCH(gun,C106)))&gt;0)</f>
        <v>0</v>
      </c>
      <c r="R106" s="14" cm="1">
        <f t="array" ref="R106">INT(SUMPRODUCT(--ISNUMBER(SEARCH(race,C106)))&gt;0)</f>
        <v>0</v>
      </c>
      <c r="S106" s="14" cm="1">
        <f t="array" ref="S106">INT(SUMPRODUCT(--ISNUMBER(SEARCH(immigration,C106)))&gt;0)</f>
        <v>0</v>
      </c>
      <c r="T106" s="14" cm="1">
        <f t="array" ref="T106">INT(SUMPRODUCT(--ISNUMBER(SEARCH(econineq,C107)))&gt;0)</f>
        <v>0</v>
      </c>
      <c r="U106" s="14" cm="1">
        <f t="array" ref="U106">INT(SUMPRODUCT(--ISNUMBER(SEARCH(climate,C106)))&gt;0)</f>
        <v>0</v>
      </c>
      <c r="V106" s="14" cm="1">
        <f t="array" ref="V106">INT(SUMPRODUCT(--ISNUMBER(SEARCH(abortion,C106)))&gt;0)</f>
        <v>0</v>
      </c>
      <c r="W106" s="14" cm="1">
        <f t="array" ref="W106">INT(SUMPRODUCT(--ISNUMBER(SEARCH(trump,C106)))&gt;0)</f>
        <v>0</v>
      </c>
      <c r="X106" s="14" cm="1">
        <f t="array" ref="X106">INT(SUMPRODUCT(--ISNUMBER(SEARCH(voting,C106)))&gt;0)</f>
        <v>0</v>
      </c>
      <c r="Y106" s="14" cm="1">
        <f t="array" ref="Y106">INT(SUMPRODUCT(--ISNUMBER(SEARCH(democrattrigger,C106)))&gt;0)</f>
        <v>1</v>
      </c>
      <c r="Z106" s="14" cm="1">
        <f t="array" ref="Z106">INT(SUMPRODUCT(--ISNUMBER(SEARCH(bipartisan,C106)))&gt;0)</f>
        <v>0</v>
      </c>
      <c r="AA106" s="14">
        <f t="shared" si="1"/>
        <v>0</v>
      </c>
      <c r="AB106" s="14"/>
      <c r="AC106" s="30">
        <v>1</v>
      </c>
      <c r="AD106" s="37">
        <v>0</v>
      </c>
    </row>
    <row r="107" spans="1:30" x14ac:dyDescent="0.25">
      <c r="A107" s="36">
        <v>3948</v>
      </c>
      <c r="B107" s="14" t="s">
        <v>7919</v>
      </c>
      <c r="C107" s="14" t="s">
        <v>7920</v>
      </c>
      <c r="D107" s="17">
        <v>44130</v>
      </c>
      <c r="E107" s="14" t="s">
        <v>70</v>
      </c>
      <c r="F107" s="14">
        <v>30</v>
      </c>
      <c r="G107" s="14">
        <v>17</v>
      </c>
      <c r="H107" s="14">
        <v>18</v>
      </c>
      <c r="I107" s="14">
        <v>9</v>
      </c>
      <c r="J107" s="14" t="s">
        <v>204</v>
      </c>
      <c r="K107" s="14" cm="1">
        <f t="array" ref="K107">INT(SUMPRODUCT(--ISNUMBER(SEARCH(economy,C107)))&gt;0)</f>
        <v>0</v>
      </c>
      <c r="L107" s="14" cm="1">
        <f t="array" ref="L107">INT(SUMPRODUCT(--ISNUMBER(SEARCH(healthcare,C107)))&gt;0)</f>
        <v>0</v>
      </c>
      <c r="M107" s="14" cm="1">
        <f t="array" ref="M107">INT(SUMPRODUCT(--ISNUMBER(SEARCH(supreme,C107)))&gt;0)</f>
        <v>0</v>
      </c>
      <c r="N107" s="14" cm="1">
        <f t="array" ref="N107">INT(SUMPRODUCT(--ISNUMBER(SEARCH(covid,C107)))&gt;0)</f>
        <v>0</v>
      </c>
      <c r="O107" s="14" cm="1">
        <f t="array" ref="O107">INT(SUMPRODUCT(--ISNUMBER(SEARCH(violent,C107)))&gt;0)</f>
        <v>0</v>
      </c>
      <c r="P107" s="14" cm="1">
        <f t="array" ref="P107">INT(SUMPRODUCT(--ISNUMBER(SEARCH(foreign,C107)))&gt;0)</f>
        <v>0</v>
      </c>
      <c r="Q107" s="14" cm="1">
        <f t="array" ref="Q107">INT(SUMPRODUCT(--ISNUMBER(SEARCH(gun,C107)))&gt;0)</f>
        <v>0</v>
      </c>
      <c r="R107" s="14" cm="1">
        <f t="array" ref="R107">INT(SUMPRODUCT(--ISNUMBER(SEARCH(race,C107)))&gt;0)</f>
        <v>0</v>
      </c>
      <c r="S107" s="14" cm="1">
        <f t="array" ref="S107">INT(SUMPRODUCT(--ISNUMBER(SEARCH(immigration,C107)))&gt;0)</f>
        <v>0</v>
      </c>
      <c r="T107" s="14" cm="1">
        <f t="array" ref="T107">INT(SUMPRODUCT(--ISNUMBER(SEARCH(econineq,C108)))&gt;0)</f>
        <v>0</v>
      </c>
      <c r="U107" s="14" cm="1">
        <f t="array" ref="U107">INT(SUMPRODUCT(--ISNUMBER(SEARCH(climate,C107)))&gt;0)</f>
        <v>1</v>
      </c>
      <c r="V107" s="14" cm="1">
        <f t="array" ref="V107">INT(SUMPRODUCT(--ISNUMBER(SEARCH(abortion,C107)))&gt;0)</f>
        <v>0</v>
      </c>
      <c r="W107" s="14" cm="1">
        <f t="array" ref="W107">INT(SUMPRODUCT(--ISNUMBER(SEARCH(trump,C107)))&gt;0)</f>
        <v>0</v>
      </c>
      <c r="X107" s="14" cm="1">
        <f t="array" ref="X107">INT(SUMPRODUCT(--ISNUMBER(SEARCH(voting,C107)))&gt;0)</f>
        <v>0</v>
      </c>
      <c r="Y107" s="14" cm="1">
        <f t="array" ref="Y107">INT(SUMPRODUCT(--ISNUMBER(SEARCH(democrattrigger,C107)))&gt;0)</f>
        <v>1</v>
      </c>
      <c r="Z107" s="14" cm="1">
        <f t="array" ref="Z107">INT(SUMPRODUCT(--ISNUMBER(SEARCH(bipartisan,C107)))&gt;0)</f>
        <v>0</v>
      </c>
      <c r="AA107" s="14">
        <f t="shared" si="1"/>
        <v>0</v>
      </c>
      <c r="AB107" s="14"/>
      <c r="AC107" s="30" t="s">
        <v>223</v>
      </c>
      <c r="AD107" s="37" t="s">
        <v>223</v>
      </c>
    </row>
    <row r="108" spans="1:30" x14ac:dyDescent="0.25">
      <c r="A108" s="36">
        <v>3949</v>
      </c>
      <c r="B108" s="14" t="s">
        <v>7921</v>
      </c>
      <c r="C108" s="14" t="s">
        <v>7922</v>
      </c>
      <c r="D108" s="17">
        <v>44130</v>
      </c>
      <c r="E108" s="14" t="s">
        <v>70</v>
      </c>
      <c r="F108" s="14">
        <v>34</v>
      </c>
      <c r="G108" s="14">
        <v>21</v>
      </c>
      <c r="H108" s="14">
        <v>18</v>
      </c>
      <c r="I108" s="14">
        <v>9</v>
      </c>
      <c r="J108" s="14" t="s">
        <v>204</v>
      </c>
      <c r="K108" s="14" cm="1">
        <f t="array" ref="K108">INT(SUMPRODUCT(--ISNUMBER(SEARCH(economy,C108)))&gt;0)</f>
        <v>0</v>
      </c>
      <c r="L108" s="14" cm="1">
        <f t="array" ref="L108">INT(SUMPRODUCT(--ISNUMBER(SEARCH(healthcare,C108)))&gt;0)</f>
        <v>1</v>
      </c>
      <c r="M108" s="14" cm="1">
        <f t="array" ref="M108">INT(SUMPRODUCT(--ISNUMBER(SEARCH(supreme,C108)))&gt;0)</f>
        <v>0</v>
      </c>
      <c r="N108" s="14" cm="1">
        <f t="array" ref="N108">INT(SUMPRODUCT(--ISNUMBER(SEARCH(covid,C108)))&gt;0)</f>
        <v>0</v>
      </c>
      <c r="O108" s="14" cm="1">
        <f t="array" ref="O108">INT(SUMPRODUCT(--ISNUMBER(SEARCH(violent,C108)))&gt;0)</f>
        <v>0</v>
      </c>
      <c r="P108" s="14" cm="1">
        <f t="array" ref="P108">INT(SUMPRODUCT(--ISNUMBER(SEARCH(foreign,C108)))&gt;0)</f>
        <v>0</v>
      </c>
      <c r="Q108" s="14" cm="1">
        <f t="array" ref="Q108">INT(SUMPRODUCT(--ISNUMBER(SEARCH(gun,C108)))&gt;0)</f>
        <v>0</v>
      </c>
      <c r="R108" s="14" cm="1">
        <f t="array" ref="R108">INT(SUMPRODUCT(--ISNUMBER(SEARCH(race,C108)))&gt;0)</f>
        <v>0</v>
      </c>
      <c r="S108" s="14" cm="1">
        <f t="array" ref="S108">INT(SUMPRODUCT(--ISNUMBER(SEARCH(immigration,C108)))&gt;0)</f>
        <v>0</v>
      </c>
      <c r="T108" s="14" cm="1">
        <f t="array" ref="T108">INT(SUMPRODUCT(--ISNUMBER(SEARCH(econineq,C109)))&gt;0)</f>
        <v>0</v>
      </c>
      <c r="U108" s="14" cm="1">
        <f t="array" ref="U108">INT(SUMPRODUCT(--ISNUMBER(SEARCH(climate,C108)))&gt;0)</f>
        <v>0</v>
      </c>
      <c r="V108" s="14" cm="1">
        <f t="array" ref="V108">INT(SUMPRODUCT(--ISNUMBER(SEARCH(abortion,C108)))&gt;0)</f>
        <v>0</v>
      </c>
      <c r="W108" s="14" cm="1">
        <f t="array" ref="W108">INT(SUMPRODUCT(--ISNUMBER(SEARCH(trump,C108)))&gt;0)</f>
        <v>0</v>
      </c>
      <c r="X108" s="14" cm="1">
        <f t="array" ref="X108">INT(SUMPRODUCT(--ISNUMBER(SEARCH(voting,C108)))&gt;0)</f>
        <v>0</v>
      </c>
      <c r="Y108" s="14" cm="1">
        <f t="array" ref="Y108">INT(SUMPRODUCT(--ISNUMBER(SEARCH(democrattrigger,C108)))&gt;0)</f>
        <v>1</v>
      </c>
      <c r="Z108" s="14" cm="1">
        <f t="array" ref="Z108">INT(SUMPRODUCT(--ISNUMBER(SEARCH(bipartisan,C108)))&gt;0)</f>
        <v>0</v>
      </c>
      <c r="AA108" s="14">
        <f t="shared" si="1"/>
        <v>0</v>
      </c>
      <c r="AB108" s="14"/>
      <c r="AC108" s="30" t="s">
        <v>223</v>
      </c>
      <c r="AD108" s="37" t="s">
        <v>223</v>
      </c>
    </row>
    <row r="109" spans="1:30" x14ac:dyDescent="0.25">
      <c r="A109" s="36">
        <v>3950</v>
      </c>
      <c r="B109" s="14" t="s">
        <v>7923</v>
      </c>
      <c r="C109" s="14" t="s">
        <v>7924</v>
      </c>
      <c r="D109" s="17">
        <v>44130</v>
      </c>
      <c r="E109" s="14" t="s">
        <v>70</v>
      </c>
      <c r="F109" s="14">
        <v>29</v>
      </c>
      <c r="G109" s="14">
        <v>16</v>
      </c>
      <c r="H109" s="14">
        <v>18</v>
      </c>
      <c r="I109" s="14">
        <v>9</v>
      </c>
      <c r="J109" s="14" t="s">
        <v>204</v>
      </c>
      <c r="K109" s="14" cm="1">
        <f t="array" ref="K109">INT(SUMPRODUCT(--ISNUMBER(SEARCH(economy,C109)))&gt;0)</f>
        <v>0</v>
      </c>
      <c r="L109" s="14" cm="1">
        <f t="array" ref="L109">INT(SUMPRODUCT(--ISNUMBER(SEARCH(healthcare,C109)))&gt;0)</f>
        <v>0</v>
      </c>
      <c r="M109" s="14" cm="1">
        <f t="array" ref="M109">INT(SUMPRODUCT(--ISNUMBER(SEARCH(supreme,C109)))&gt;0)</f>
        <v>0</v>
      </c>
      <c r="N109" s="14" cm="1">
        <f t="array" ref="N109">INT(SUMPRODUCT(--ISNUMBER(SEARCH(covid,C109)))&gt;0)</f>
        <v>0</v>
      </c>
      <c r="O109" s="14" cm="1">
        <f t="array" ref="O109">INT(SUMPRODUCT(--ISNUMBER(SEARCH(violent,C109)))&gt;0)</f>
        <v>0</v>
      </c>
      <c r="P109" s="14" cm="1">
        <f t="array" ref="P109">INT(SUMPRODUCT(--ISNUMBER(SEARCH(foreign,C109)))&gt;0)</f>
        <v>0</v>
      </c>
      <c r="Q109" s="14" cm="1">
        <f t="array" ref="Q109">INT(SUMPRODUCT(--ISNUMBER(SEARCH(gun,C109)))&gt;0)</f>
        <v>0</v>
      </c>
      <c r="R109" s="14" cm="1">
        <f t="array" ref="R109">INT(SUMPRODUCT(--ISNUMBER(SEARCH(race,C109)))&gt;0)</f>
        <v>0</v>
      </c>
      <c r="S109" s="14" cm="1">
        <f t="array" ref="S109">INT(SUMPRODUCT(--ISNUMBER(SEARCH(immigration,C109)))&gt;0)</f>
        <v>0</v>
      </c>
      <c r="T109" s="14" cm="1">
        <f t="array" ref="T109">INT(SUMPRODUCT(--ISNUMBER(SEARCH(econineq,C110)))&gt;0)</f>
        <v>0</v>
      </c>
      <c r="U109" s="14" cm="1">
        <f t="array" ref="U109">INT(SUMPRODUCT(--ISNUMBER(SEARCH(climate,C109)))&gt;0)</f>
        <v>0</v>
      </c>
      <c r="V109" s="14" cm="1">
        <f t="array" ref="V109">INT(SUMPRODUCT(--ISNUMBER(SEARCH(abortion,C109)))&gt;0)</f>
        <v>0</v>
      </c>
      <c r="W109" s="14" cm="1">
        <f t="array" ref="W109">INT(SUMPRODUCT(--ISNUMBER(SEARCH(trump,C109)))&gt;0)</f>
        <v>0</v>
      </c>
      <c r="X109" s="14" cm="1">
        <f t="array" ref="X109">INT(SUMPRODUCT(--ISNUMBER(SEARCH(voting,C109)))&gt;0)</f>
        <v>0</v>
      </c>
      <c r="Y109" s="14" cm="1">
        <f t="array" ref="Y109">INT(SUMPRODUCT(--ISNUMBER(SEARCH(democrattrigger,C109)))&gt;0)</f>
        <v>1</v>
      </c>
      <c r="Z109" s="14" cm="1">
        <f t="array" ref="Z109">INT(SUMPRODUCT(--ISNUMBER(SEARCH(bipartisan,C109)))&gt;0)</f>
        <v>0</v>
      </c>
      <c r="AA109" s="14">
        <f t="shared" si="1"/>
        <v>0</v>
      </c>
      <c r="AB109" s="14"/>
      <c r="AC109" s="30">
        <v>1</v>
      </c>
      <c r="AD109" s="37">
        <v>0</v>
      </c>
    </row>
    <row r="110" spans="1:30" x14ac:dyDescent="0.25">
      <c r="A110" s="36">
        <v>3951</v>
      </c>
      <c r="B110" s="14" t="s">
        <v>7925</v>
      </c>
      <c r="C110" s="14" t="s">
        <v>7926</v>
      </c>
      <c r="D110" s="17">
        <v>44130</v>
      </c>
      <c r="E110" s="14" t="s">
        <v>70</v>
      </c>
      <c r="F110" s="14">
        <v>25</v>
      </c>
      <c r="G110" s="14">
        <v>12</v>
      </c>
      <c r="H110" s="14">
        <v>18</v>
      </c>
      <c r="I110" s="14">
        <v>9</v>
      </c>
      <c r="J110" s="14" t="s">
        <v>204</v>
      </c>
      <c r="K110" s="14" cm="1">
        <f t="array" ref="K110">INT(SUMPRODUCT(--ISNUMBER(SEARCH(economy,C110)))&gt;0)</f>
        <v>0</v>
      </c>
      <c r="L110" s="14" cm="1">
        <f t="array" ref="L110">INT(SUMPRODUCT(--ISNUMBER(SEARCH(healthcare,C110)))&gt;0)</f>
        <v>1</v>
      </c>
      <c r="M110" s="14" cm="1">
        <f t="array" ref="M110">INT(SUMPRODUCT(--ISNUMBER(SEARCH(supreme,C110)))&gt;0)</f>
        <v>0</v>
      </c>
      <c r="N110" s="14" cm="1">
        <f t="array" ref="N110">INT(SUMPRODUCT(--ISNUMBER(SEARCH(covid,C110)))&gt;0)</f>
        <v>0</v>
      </c>
      <c r="O110" s="14" cm="1">
        <f t="array" ref="O110">INT(SUMPRODUCT(--ISNUMBER(SEARCH(violent,C110)))&gt;0)</f>
        <v>0</v>
      </c>
      <c r="P110" s="14" cm="1">
        <f t="array" ref="P110">INT(SUMPRODUCT(--ISNUMBER(SEARCH(foreign,C110)))&gt;0)</f>
        <v>0</v>
      </c>
      <c r="Q110" s="14" cm="1">
        <f t="array" ref="Q110">INT(SUMPRODUCT(--ISNUMBER(SEARCH(gun,C110)))&gt;0)</f>
        <v>0</v>
      </c>
      <c r="R110" s="14" cm="1">
        <f t="array" ref="R110">INT(SUMPRODUCT(--ISNUMBER(SEARCH(race,C110)))&gt;0)</f>
        <v>0</v>
      </c>
      <c r="S110" s="14" cm="1">
        <f t="array" ref="S110">INT(SUMPRODUCT(--ISNUMBER(SEARCH(immigration,C110)))&gt;0)</f>
        <v>0</v>
      </c>
      <c r="T110" s="14" cm="1">
        <f t="array" ref="T110">INT(SUMPRODUCT(--ISNUMBER(SEARCH(econineq,C111)))&gt;0)</f>
        <v>0</v>
      </c>
      <c r="U110" s="14" cm="1">
        <f t="array" ref="U110">INT(SUMPRODUCT(--ISNUMBER(SEARCH(climate,C110)))&gt;0)</f>
        <v>0</v>
      </c>
      <c r="V110" s="14" cm="1">
        <f t="array" ref="V110">INT(SUMPRODUCT(--ISNUMBER(SEARCH(abortion,C110)))&gt;0)</f>
        <v>0</v>
      </c>
      <c r="W110" s="14" cm="1">
        <f t="array" ref="W110">INT(SUMPRODUCT(--ISNUMBER(SEARCH(trump,C110)))&gt;0)</f>
        <v>0</v>
      </c>
      <c r="X110" s="14" cm="1">
        <f t="array" ref="X110">INT(SUMPRODUCT(--ISNUMBER(SEARCH(voting,C110)))&gt;0)</f>
        <v>0</v>
      </c>
      <c r="Y110" s="14" cm="1">
        <f t="array" ref="Y110">INT(SUMPRODUCT(--ISNUMBER(SEARCH(democrattrigger,C110)))&gt;0)</f>
        <v>0</v>
      </c>
      <c r="Z110" s="14" cm="1">
        <f t="array" ref="Z110">INT(SUMPRODUCT(--ISNUMBER(SEARCH(bipartisan,C110)))&gt;0)</f>
        <v>0</v>
      </c>
      <c r="AA110" s="14">
        <f t="shared" si="1"/>
        <v>0</v>
      </c>
      <c r="AB110" s="14"/>
      <c r="AC110" s="30" t="s">
        <v>223</v>
      </c>
      <c r="AD110" s="37" t="s">
        <v>223</v>
      </c>
    </row>
    <row r="111" spans="1:30" x14ac:dyDescent="0.25">
      <c r="A111" s="36">
        <v>3952</v>
      </c>
      <c r="B111" s="14" t="s">
        <v>7927</v>
      </c>
      <c r="C111" s="14" t="s">
        <v>7928</v>
      </c>
      <c r="D111" s="17">
        <v>44130</v>
      </c>
      <c r="E111" s="14" t="s">
        <v>70</v>
      </c>
      <c r="F111" s="14">
        <v>21</v>
      </c>
      <c r="G111" s="14">
        <v>12</v>
      </c>
      <c r="H111" s="14">
        <v>18</v>
      </c>
      <c r="I111" s="14">
        <v>9</v>
      </c>
      <c r="J111" s="14" t="s">
        <v>204</v>
      </c>
      <c r="K111" s="14" cm="1">
        <f t="array" ref="K111">INT(SUMPRODUCT(--ISNUMBER(SEARCH(economy,C111)))&gt;0)</f>
        <v>0</v>
      </c>
      <c r="L111" s="14" cm="1">
        <f t="array" ref="L111">INT(SUMPRODUCT(--ISNUMBER(SEARCH(healthcare,C111)))&gt;0)</f>
        <v>1</v>
      </c>
      <c r="M111" s="14" cm="1">
        <f t="array" ref="M111">INT(SUMPRODUCT(--ISNUMBER(SEARCH(supreme,C111)))&gt;0)</f>
        <v>0</v>
      </c>
      <c r="N111" s="14" cm="1">
        <f t="array" ref="N111">INT(SUMPRODUCT(--ISNUMBER(SEARCH(covid,C111)))&gt;0)</f>
        <v>0</v>
      </c>
      <c r="O111" s="14" cm="1">
        <f t="array" ref="O111">INT(SUMPRODUCT(--ISNUMBER(SEARCH(violent,C111)))&gt;0)</f>
        <v>0</v>
      </c>
      <c r="P111" s="14" cm="1">
        <f t="array" ref="P111">INT(SUMPRODUCT(--ISNUMBER(SEARCH(foreign,C111)))&gt;0)</f>
        <v>0</v>
      </c>
      <c r="Q111" s="14" cm="1">
        <f t="array" ref="Q111">INT(SUMPRODUCT(--ISNUMBER(SEARCH(gun,C111)))&gt;0)</f>
        <v>0</v>
      </c>
      <c r="R111" s="14" cm="1">
        <f t="array" ref="R111">INT(SUMPRODUCT(--ISNUMBER(SEARCH(race,C111)))&gt;0)</f>
        <v>0</v>
      </c>
      <c r="S111" s="14" cm="1">
        <f t="array" ref="S111">INT(SUMPRODUCT(--ISNUMBER(SEARCH(immigration,C111)))&gt;0)</f>
        <v>0</v>
      </c>
      <c r="T111" s="14" cm="1">
        <f t="array" ref="T111">INT(SUMPRODUCT(--ISNUMBER(SEARCH(econineq,C112)))&gt;0)</f>
        <v>0</v>
      </c>
      <c r="U111" s="14" cm="1">
        <f t="array" ref="U111">INT(SUMPRODUCT(--ISNUMBER(SEARCH(climate,C111)))&gt;0)</f>
        <v>0</v>
      </c>
      <c r="V111" s="14" cm="1">
        <f t="array" ref="V111">INT(SUMPRODUCT(--ISNUMBER(SEARCH(abortion,C111)))&gt;0)</f>
        <v>0</v>
      </c>
      <c r="W111" s="14" cm="1">
        <f t="array" ref="W111">INT(SUMPRODUCT(--ISNUMBER(SEARCH(trump,C111)))&gt;0)</f>
        <v>0</v>
      </c>
      <c r="X111" s="14" cm="1">
        <f t="array" ref="X111">INT(SUMPRODUCT(--ISNUMBER(SEARCH(voting,C111)))&gt;0)</f>
        <v>0</v>
      </c>
      <c r="Y111" s="14" cm="1">
        <f t="array" ref="Y111">INT(SUMPRODUCT(--ISNUMBER(SEARCH(democrattrigger,C111)))&gt;0)</f>
        <v>1</v>
      </c>
      <c r="Z111" s="14" cm="1">
        <f t="array" ref="Z111">INT(SUMPRODUCT(--ISNUMBER(SEARCH(bipartisan,C111)))&gt;0)</f>
        <v>0</v>
      </c>
      <c r="AA111" s="14">
        <f t="shared" si="1"/>
        <v>0</v>
      </c>
      <c r="AB111" s="14"/>
      <c r="AC111" s="30" t="s">
        <v>223</v>
      </c>
      <c r="AD111" s="37" t="s">
        <v>223</v>
      </c>
    </row>
    <row r="112" spans="1:30" x14ac:dyDescent="0.25">
      <c r="A112" s="36">
        <v>3953</v>
      </c>
      <c r="B112" s="14" t="s">
        <v>7929</v>
      </c>
      <c r="C112" s="14" t="s">
        <v>7930</v>
      </c>
      <c r="D112" s="17">
        <v>44130</v>
      </c>
      <c r="E112" s="14" t="s">
        <v>70</v>
      </c>
      <c r="F112" s="14">
        <v>32</v>
      </c>
      <c r="G112" s="14">
        <v>13</v>
      </c>
      <c r="H112" s="14">
        <v>18</v>
      </c>
      <c r="I112" s="14">
        <v>9</v>
      </c>
      <c r="J112" s="14" t="s">
        <v>204</v>
      </c>
      <c r="K112" s="14" cm="1">
        <f t="array" ref="K112">INT(SUMPRODUCT(--ISNUMBER(SEARCH(economy,C112)))&gt;0)</f>
        <v>0</v>
      </c>
      <c r="L112" s="14" cm="1">
        <f t="array" ref="L112">INT(SUMPRODUCT(--ISNUMBER(SEARCH(healthcare,C112)))&gt;0)</f>
        <v>1</v>
      </c>
      <c r="M112" s="14" cm="1">
        <f t="array" ref="M112">INT(SUMPRODUCT(--ISNUMBER(SEARCH(supreme,C112)))&gt;0)</f>
        <v>0</v>
      </c>
      <c r="N112" s="14" cm="1">
        <f t="array" ref="N112">INT(SUMPRODUCT(--ISNUMBER(SEARCH(covid,C112)))&gt;0)</f>
        <v>0</v>
      </c>
      <c r="O112" s="14" cm="1">
        <f t="array" ref="O112">INT(SUMPRODUCT(--ISNUMBER(SEARCH(violent,C112)))&gt;0)</f>
        <v>0</v>
      </c>
      <c r="P112" s="14" cm="1">
        <f t="array" ref="P112">INT(SUMPRODUCT(--ISNUMBER(SEARCH(foreign,C112)))&gt;0)</f>
        <v>0</v>
      </c>
      <c r="Q112" s="14" cm="1">
        <f t="array" ref="Q112">INT(SUMPRODUCT(--ISNUMBER(SEARCH(gun,C112)))&gt;0)</f>
        <v>0</v>
      </c>
      <c r="R112" s="14" cm="1">
        <f t="array" ref="R112">INT(SUMPRODUCT(--ISNUMBER(SEARCH(race,C112)))&gt;0)</f>
        <v>0</v>
      </c>
      <c r="S112" s="14" cm="1">
        <f t="array" ref="S112">INT(SUMPRODUCT(--ISNUMBER(SEARCH(immigration,C112)))&gt;0)</f>
        <v>0</v>
      </c>
      <c r="T112" s="14" cm="1">
        <f t="array" ref="T112">INT(SUMPRODUCT(--ISNUMBER(SEARCH(econineq,C113)))&gt;0)</f>
        <v>0</v>
      </c>
      <c r="U112" s="14" cm="1">
        <f t="array" ref="U112">INT(SUMPRODUCT(--ISNUMBER(SEARCH(climate,C112)))&gt;0)</f>
        <v>0</v>
      </c>
      <c r="V112" s="14" cm="1">
        <f t="array" ref="V112">INT(SUMPRODUCT(--ISNUMBER(SEARCH(abortion,C112)))&gt;0)</f>
        <v>0</v>
      </c>
      <c r="W112" s="14" cm="1">
        <f t="array" ref="W112">INT(SUMPRODUCT(--ISNUMBER(SEARCH(trump,C112)))&gt;0)</f>
        <v>0</v>
      </c>
      <c r="X112" s="14" cm="1">
        <f t="array" ref="X112">INT(SUMPRODUCT(--ISNUMBER(SEARCH(voting,C112)))&gt;0)</f>
        <v>0</v>
      </c>
      <c r="Y112" s="14" cm="1">
        <f t="array" ref="Y112">INT(SUMPRODUCT(--ISNUMBER(SEARCH(democrattrigger,C112)))&gt;0)</f>
        <v>1</v>
      </c>
      <c r="Z112" s="14" cm="1">
        <f t="array" ref="Z112">INT(SUMPRODUCT(--ISNUMBER(SEARCH(bipartisan,C112)))&gt;0)</f>
        <v>0</v>
      </c>
      <c r="AA112" s="14">
        <f t="shared" si="1"/>
        <v>0</v>
      </c>
      <c r="AB112" s="14"/>
      <c r="AC112" s="30" t="s">
        <v>223</v>
      </c>
      <c r="AD112" s="37" t="s">
        <v>223</v>
      </c>
    </row>
    <row r="113" spans="1:30" x14ac:dyDescent="0.25">
      <c r="A113" s="36">
        <v>3954</v>
      </c>
      <c r="B113" s="14" t="s">
        <v>7931</v>
      </c>
      <c r="C113" s="14" t="s">
        <v>7932</v>
      </c>
      <c r="D113" s="17">
        <v>44130</v>
      </c>
      <c r="E113" s="14" t="s">
        <v>30</v>
      </c>
      <c r="F113" s="14">
        <v>491</v>
      </c>
      <c r="G113" s="14">
        <v>156</v>
      </c>
      <c r="H113" s="14">
        <v>18</v>
      </c>
      <c r="I113" s="14">
        <v>9</v>
      </c>
      <c r="J113" s="14" t="s">
        <v>204</v>
      </c>
      <c r="K113" s="14" cm="1">
        <f t="array" ref="K113">INT(SUMPRODUCT(--ISNUMBER(SEARCH(economy,C113)))&gt;0)</f>
        <v>0</v>
      </c>
      <c r="L113" s="14" cm="1">
        <f t="array" ref="L113">INT(SUMPRODUCT(--ISNUMBER(SEARCH(healthcare,C113)))&gt;0)</f>
        <v>0</v>
      </c>
      <c r="M113" s="14" cm="1">
        <f t="array" ref="M113">INT(SUMPRODUCT(--ISNUMBER(SEARCH(supreme,C113)))&gt;0)</f>
        <v>0</v>
      </c>
      <c r="N113" s="14" cm="1">
        <f t="array" ref="N113">INT(SUMPRODUCT(--ISNUMBER(SEARCH(covid,C113)))&gt;0)</f>
        <v>0</v>
      </c>
      <c r="O113" s="14" cm="1">
        <f t="array" ref="O113">INT(SUMPRODUCT(--ISNUMBER(SEARCH(violent,C113)))&gt;0)</f>
        <v>0</v>
      </c>
      <c r="P113" s="14" cm="1">
        <f t="array" ref="P113">INT(SUMPRODUCT(--ISNUMBER(SEARCH(foreign,C113)))&gt;0)</f>
        <v>0</v>
      </c>
      <c r="Q113" s="14" cm="1">
        <f t="array" ref="Q113">INT(SUMPRODUCT(--ISNUMBER(SEARCH(gun,C113)))&gt;0)</f>
        <v>0</v>
      </c>
      <c r="R113" s="14" cm="1">
        <f t="array" ref="R113">INT(SUMPRODUCT(--ISNUMBER(SEARCH(race,C113)))&gt;0)</f>
        <v>0</v>
      </c>
      <c r="S113" s="14" cm="1">
        <f t="array" ref="S113">INT(SUMPRODUCT(--ISNUMBER(SEARCH(immigration,C113)))&gt;0)</f>
        <v>0</v>
      </c>
      <c r="T113" s="14" cm="1">
        <f t="array" ref="T113">INT(SUMPRODUCT(--ISNUMBER(SEARCH(econineq,C114)))&gt;0)</f>
        <v>0</v>
      </c>
      <c r="U113" s="14" cm="1">
        <f t="array" ref="U113">INT(SUMPRODUCT(--ISNUMBER(SEARCH(climate,C113)))&gt;0)</f>
        <v>0</v>
      </c>
      <c r="V113" s="14" cm="1">
        <f t="array" ref="V113">INT(SUMPRODUCT(--ISNUMBER(SEARCH(abortion,C113)))&gt;0)</f>
        <v>0</v>
      </c>
      <c r="W113" s="14" cm="1">
        <f t="array" ref="W113">INT(SUMPRODUCT(--ISNUMBER(SEARCH(trump,C113)))&gt;0)</f>
        <v>0</v>
      </c>
      <c r="X113" s="14" cm="1">
        <f t="array" ref="X113">INT(SUMPRODUCT(--ISNUMBER(SEARCH(voting,C113)))&gt;0)</f>
        <v>0</v>
      </c>
      <c r="Y113" s="14" cm="1">
        <f t="array" ref="Y113">INT(SUMPRODUCT(--ISNUMBER(SEARCH(democrattrigger,C113)))&gt;0)</f>
        <v>1</v>
      </c>
      <c r="Z113" s="14" cm="1">
        <f t="array" ref="Z113">INT(SUMPRODUCT(--ISNUMBER(SEARCH(bipartisan,C113)))&gt;0)</f>
        <v>0</v>
      </c>
      <c r="AA113" s="14">
        <f t="shared" si="1"/>
        <v>0</v>
      </c>
      <c r="AB113" s="14"/>
      <c r="AC113" s="30" t="s">
        <v>223</v>
      </c>
      <c r="AD113" s="37" t="s">
        <v>223</v>
      </c>
    </row>
    <row r="114" spans="1:30" x14ac:dyDescent="0.25">
      <c r="A114" s="36">
        <v>3955</v>
      </c>
      <c r="B114" s="14" t="s">
        <v>7933</v>
      </c>
      <c r="C114" s="14" t="s">
        <v>7934</v>
      </c>
      <c r="D114" s="17">
        <v>44130</v>
      </c>
      <c r="E114" s="14" t="s">
        <v>30</v>
      </c>
      <c r="F114" s="14">
        <v>991</v>
      </c>
      <c r="G114" s="14">
        <v>170</v>
      </c>
      <c r="H114" s="14">
        <v>18</v>
      </c>
      <c r="I114" s="14">
        <v>9</v>
      </c>
      <c r="J114" s="14" t="s">
        <v>204</v>
      </c>
      <c r="K114" s="14" cm="1">
        <f t="array" ref="K114">INT(SUMPRODUCT(--ISNUMBER(SEARCH(economy,C114)))&gt;0)</f>
        <v>0</v>
      </c>
      <c r="L114" s="14" cm="1">
        <f t="array" ref="L114">INT(SUMPRODUCT(--ISNUMBER(SEARCH(healthcare,C114)))&gt;0)</f>
        <v>0</v>
      </c>
      <c r="M114" s="14" cm="1">
        <f t="array" ref="M114">INT(SUMPRODUCT(--ISNUMBER(SEARCH(supreme,C114)))&gt;0)</f>
        <v>0</v>
      </c>
      <c r="N114" s="14" cm="1">
        <f t="array" ref="N114">INT(SUMPRODUCT(--ISNUMBER(SEARCH(covid,C114)))&gt;0)</f>
        <v>0</v>
      </c>
      <c r="O114" s="14" cm="1">
        <f t="array" ref="O114">INT(SUMPRODUCT(--ISNUMBER(SEARCH(violent,C114)))&gt;0)</f>
        <v>0</v>
      </c>
      <c r="P114" s="14" cm="1">
        <f t="array" ref="P114">INT(SUMPRODUCT(--ISNUMBER(SEARCH(foreign,C114)))&gt;0)</f>
        <v>0</v>
      </c>
      <c r="Q114" s="14" cm="1">
        <f t="array" ref="Q114">INT(SUMPRODUCT(--ISNUMBER(SEARCH(gun,C114)))&gt;0)</f>
        <v>0</v>
      </c>
      <c r="R114" s="14" cm="1">
        <f t="array" ref="R114">INT(SUMPRODUCT(--ISNUMBER(SEARCH(race,C114)))&gt;0)</f>
        <v>0</v>
      </c>
      <c r="S114" s="14" cm="1">
        <f t="array" ref="S114">INT(SUMPRODUCT(--ISNUMBER(SEARCH(immigration,C114)))&gt;0)</f>
        <v>0</v>
      </c>
      <c r="T114" s="14" cm="1">
        <f t="array" ref="T114">INT(SUMPRODUCT(--ISNUMBER(SEARCH(econineq,C115)))&gt;0)</f>
        <v>0</v>
      </c>
      <c r="U114" s="14" cm="1">
        <f t="array" ref="U114">INT(SUMPRODUCT(--ISNUMBER(SEARCH(climate,C114)))&gt;0)</f>
        <v>0</v>
      </c>
      <c r="V114" s="14" cm="1">
        <f t="array" ref="V114">INT(SUMPRODUCT(--ISNUMBER(SEARCH(abortion,C114)))&gt;0)</f>
        <v>0</v>
      </c>
      <c r="W114" s="14" cm="1">
        <f t="array" ref="W114">INT(SUMPRODUCT(--ISNUMBER(SEARCH(trump,C114)))&gt;0)</f>
        <v>0</v>
      </c>
      <c r="X114" s="14" cm="1">
        <f t="array" ref="X114">INT(SUMPRODUCT(--ISNUMBER(SEARCH(voting,C114)))&gt;0)</f>
        <v>0</v>
      </c>
      <c r="Y114" s="14" cm="1">
        <f t="array" ref="Y114">INT(SUMPRODUCT(--ISNUMBER(SEARCH(democrattrigger,C114)))&gt;0)</f>
        <v>0</v>
      </c>
      <c r="Z114" s="14" cm="1">
        <f t="array" ref="Z114">INT(SUMPRODUCT(--ISNUMBER(SEARCH(bipartisan,C114)))&gt;0)</f>
        <v>0</v>
      </c>
      <c r="AA114" s="14">
        <f t="shared" si="1"/>
        <v>1</v>
      </c>
      <c r="AB114" s="14"/>
      <c r="AC114" s="30" t="s">
        <v>223</v>
      </c>
      <c r="AD114" s="37" t="s">
        <v>223</v>
      </c>
    </row>
    <row r="115" spans="1:30" x14ac:dyDescent="0.25">
      <c r="A115" s="36">
        <v>3956</v>
      </c>
      <c r="B115" s="14" t="s">
        <v>7935</v>
      </c>
      <c r="C115" s="14" t="s">
        <v>7936</v>
      </c>
      <c r="D115" s="17">
        <v>44130</v>
      </c>
      <c r="E115" s="14" t="s">
        <v>30</v>
      </c>
      <c r="F115" s="14">
        <v>4633</v>
      </c>
      <c r="G115" s="14">
        <v>1489</v>
      </c>
      <c r="H115" s="14">
        <v>18</v>
      </c>
      <c r="I115" s="14">
        <v>9</v>
      </c>
      <c r="J115" s="14" t="s">
        <v>204</v>
      </c>
      <c r="K115" s="14" cm="1">
        <f t="array" ref="K115">INT(SUMPRODUCT(--ISNUMBER(SEARCH(economy,C115)))&gt;0)</f>
        <v>0</v>
      </c>
      <c r="L115" s="14" cm="1">
        <f t="array" ref="L115">INT(SUMPRODUCT(--ISNUMBER(SEARCH(healthcare,C115)))&gt;0)</f>
        <v>0</v>
      </c>
      <c r="M115" s="14" cm="1">
        <f t="array" ref="M115">INT(SUMPRODUCT(--ISNUMBER(SEARCH(supreme,C115)))&gt;0)</f>
        <v>0</v>
      </c>
      <c r="N115" s="14" cm="1">
        <f t="array" ref="N115">INT(SUMPRODUCT(--ISNUMBER(SEARCH(covid,C115)))&gt;0)</f>
        <v>0</v>
      </c>
      <c r="O115" s="14" cm="1">
        <f t="array" ref="O115">INT(SUMPRODUCT(--ISNUMBER(SEARCH(violent,C115)))&gt;0)</f>
        <v>0</v>
      </c>
      <c r="P115" s="14" cm="1">
        <f t="array" ref="P115">INT(SUMPRODUCT(--ISNUMBER(SEARCH(foreign,C115)))&gt;0)</f>
        <v>0</v>
      </c>
      <c r="Q115" s="14" cm="1">
        <f t="array" ref="Q115">INT(SUMPRODUCT(--ISNUMBER(SEARCH(gun,C115)))&gt;0)</f>
        <v>0</v>
      </c>
      <c r="R115" s="14" cm="1">
        <f t="array" ref="R115">INT(SUMPRODUCT(--ISNUMBER(SEARCH(race,C115)))&gt;0)</f>
        <v>0</v>
      </c>
      <c r="S115" s="14" cm="1">
        <f t="array" ref="S115">INT(SUMPRODUCT(--ISNUMBER(SEARCH(immigration,C115)))&gt;0)</f>
        <v>0</v>
      </c>
      <c r="T115" s="14" cm="1">
        <f t="array" ref="T115">INT(SUMPRODUCT(--ISNUMBER(SEARCH(econineq,C116)))&gt;0)</f>
        <v>0</v>
      </c>
      <c r="U115" s="14" cm="1">
        <f t="array" ref="U115">INT(SUMPRODUCT(--ISNUMBER(SEARCH(climate,C115)))&gt;0)</f>
        <v>0</v>
      </c>
      <c r="V115" s="14" cm="1">
        <f t="array" ref="V115">INT(SUMPRODUCT(--ISNUMBER(SEARCH(abortion,C115)))&gt;0)</f>
        <v>0</v>
      </c>
      <c r="W115" s="14" cm="1">
        <f t="array" ref="W115">INT(SUMPRODUCT(--ISNUMBER(SEARCH(trump,C115)))&gt;0)</f>
        <v>0</v>
      </c>
      <c r="X115" s="14" cm="1">
        <f t="array" ref="X115">INT(SUMPRODUCT(--ISNUMBER(SEARCH(voting,C115)))&gt;0)</f>
        <v>1</v>
      </c>
      <c r="Y115" s="14" cm="1">
        <f t="array" ref="Y115">INT(SUMPRODUCT(--ISNUMBER(SEARCH(democrattrigger,C115)))&gt;0)</f>
        <v>0</v>
      </c>
      <c r="Z115" s="14" cm="1">
        <f t="array" ref="Z115">INT(SUMPRODUCT(--ISNUMBER(SEARCH(bipartisan,C115)))&gt;0)</f>
        <v>0</v>
      </c>
      <c r="AA115" s="14">
        <f t="shared" si="1"/>
        <v>0</v>
      </c>
      <c r="AB115" s="14"/>
      <c r="AC115" s="30" t="s">
        <v>223</v>
      </c>
      <c r="AD115" s="37" t="s">
        <v>223</v>
      </c>
    </row>
    <row r="116" spans="1:30" x14ac:dyDescent="0.25">
      <c r="A116" s="36">
        <v>3957</v>
      </c>
      <c r="B116" s="14" t="s">
        <v>7937</v>
      </c>
      <c r="C116" s="14" t="s">
        <v>7938</v>
      </c>
      <c r="D116" s="17">
        <v>44130</v>
      </c>
      <c r="E116" s="14" t="s">
        <v>30</v>
      </c>
      <c r="F116" s="14">
        <v>2569</v>
      </c>
      <c r="G116" s="14">
        <v>856</v>
      </c>
      <c r="H116" s="14">
        <v>18</v>
      </c>
      <c r="I116" s="14">
        <v>9</v>
      </c>
      <c r="J116" s="14" t="s">
        <v>204</v>
      </c>
      <c r="K116" s="14" cm="1">
        <f t="array" ref="K116">INT(SUMPRODUCT(--ISNUMBER(SEARCH(economy,C116)))&gt;0)</f>
        <v>0</v>
      </c>
      <c r="L116" s="14" cm="1">
        <f t="array" ref="L116">INT(SUMPRODUCT(--ISNUMBER(SEARCH(healthcare,C116)))&gt;0)</f>
        <v>0</v>
      </c>
      <c r="M116" s="14" cm="1">
        <f t="array" ref="M116">INT(SUMPRODUCT(--ISNUMBER(SEARCH(supreme,C116)))&gt;0)</f>
        <v>0</v>
      </c>
      <c r="N116" s="14" cm="1">
        <f t="array" ref="N116">INT(SUMPRODUCT(--ISNUMBER(SEARCH(covid,C116)))&gt;0)</f>
        <v>0</v>
      </c>
      <c r="O116" s="14" cm="1">
        <f t="array" ref="O116">INT(SUMPRODUCT(--ISNUMBER(SEARCH(violent,C116)))&gt;0)</f>
        <v>0</v>
      </c>
      <c r="P116" s="14" cm="1">
        <f t="array" ref="P116">INT(SUMPRODUCT(--ISNUMBER(SEARCH(foreign,C116)))&gt;0)</f>
        <v>0</v>
      </c>
      <c r="Q116" s="14" cm="1">
        <f t="array" ref="Q116">INT(SUMPRODUCT(--ISNUMBER(SEARCH(gun,C116)))&gt;0)</f>
        <v>0</v>
      </c>
      <c r="R116" s="14" cm="1">
        <f t="array" ref="R116">INT(SUMPRODUCT(--ISNUMBER(SEARCH(race,C116)))&gt;0)</f>
        <v>0</v>
      </c>
      <c r="S116" s="14" cm="1">
        <f t="array" ref="S116">INT(SUMPRODUCT(--ISNUMBER(SEARCH(immigration,C116)))&gt;0)</f>
        <v>0</v>
      </c>
      <c r="T116" s="14" cm="1">
        <f t="array" ref="T116">INT(SUMPRODUCT(--ISNUMBER(SEARCH(econineq,C117)))&gt;0)</f>
        <v>0</v>
      </c>
      <c r="U116" s="14" cm="1">
        <f t="array" ref="U116">INT(SUMPRODUCT(--ISNUMBER(SEARCH(climate,C116)))&gt;0)</f>
        <v>0</v>
      </c>
      <c r="V116" s="14" cm="1">
        <f t="array" ref="V116">INT(SUMPRODUCT(--ISNUMBER(SEARCH(abortion,C116)))&gt;0)</f>
        <v>0</v>
      </c>
      <c r="W116" s="14" cm="1">
        <f t="array" ref="W116">INT(SUMPRODUCT(--ISNUMBER(SEARCH(trump,C116)))&gt;0)</f>
        <v>1</v>
      </c>
      <c r="X116" s="14" cm="1">
        <f t="array" ref="X116">INT(SUMPRODUCT(--ISNUMBER(SEARCH(voting,C116)))&gt;0)</f>
        <v>0</v>
      </c>
      <c r="Y116" s="14" cm="1">
        <f t="array" ref="Y116">INT(SUMPRODUCT(--ISNUMBER(SEARCH(democrattrigger,C116)))&gt;0)</f>
        <v>1</v>
      </c>
      <c r="Z116" s="14" cm="1">
        <f t="array" ref="Z116">INT(SUMPRODUCT(--ISNUMBER(SEARCH(bipartisan,C116)))&gt;0)</f>
        <v>0</v>
      </c>
      <c r="AA116" s="14">
        <f t="shared" si="1"/>
        <v>0</v>
      </c>
      <c r="AB116" s="14"/>
      <c r="AC116" s="30" t="s">
        <v>223</v>
      </c>
      <c r="AD116" s="37" t="s">
        <v>223</v>
      </c>
    </row>
    <row r="117" spans="1:30" x14ac:dyDescent="0.25">
      <c r="A117" s="36">
        <v>3958</v>
      </c>
      <c r="B117" s="14" t="s">
        <v>7939</v>
      </c>
      <c r="C117" s="14" t="s">
        <v>7940</v>
      </c>
      <c r="D117" s="17">
        <v>44130</v>
      </c>
      <c r="E117" s="14" t="s">
        <v>30</v>
      </c>
      <c r="F117" s="14">
        <v>1357</v>
      </c>
      <c r="G117" s="14">
        <v>250</v>
      </c>
      <c r="H117" s="14">
        <v>18</v>
      </c>
      <c r="I117" s="14">
        <v>9</v>
      </c>
      <c r="J117" s="14" t="s">
        <v>204</v>
      </c>
      <c r="K117" s="14" cm="1">
        <f t="array" ref="K117">INT(SUMPRODUCT(--ISNUMBER(SEARCH(economy,C117)))&gt;0)</f>
        <v>0</v>
      </c>
      <c r="L117" s="14" cm="1">
        <f t="array" ref="L117">INT(SUMPRODUCT(--ISNUMBER(SEARCH(healthcare,C117)))&gt;0)</f>
        <v>0</v>
      </c>
      <c r="M117" s="14" cm="1">
        <f t="array" ref="M117">INT(SUMPRODUCT(--ISNUMBER(SEARCH(supreme,C117)))&gt;0)</f>
        <v>0</v>
      </c>
      <c r="N117" s="14" cm="1">
        <f t="array" ref="N117">INT(SUMPRODUCT(--ISNUMBER(SEARCH(covid,C117)))&gt;0)</f>
        <v>0</v>
      </c>
      <c r="O117" s="14" cm="1">
        <f t="array" ref="O117">INT(SUMPRODUCT(--ISNUMBER(SEARCH(violent,C117)))&gt;0)</f>
        <v>0</v>
      </c>
      <c r="P117" s="14" cm="1">
        <f t="array" ref="P117">INT(SUMPRODUCT(--ISNUMBER(SEARCH(foreign,C117)))&gt;0)</f>
        <v>0</v>
      </c>
      <c r="Q117" s="14" cm="1">
        <f t="array" ref="Q117">INT(SUMPRODUCT(--ISNUMBER(SEARCH(gun,C117)))&gt;0)</f>
        <v>0</v>
      </c>
      <c r="R117" s="14" cm="1">
        <f t="array" ref="R117">INT(SUMPRODUCT(--ISNUMBER(SEARCH(race,C117)))&gt;0)</f>
        <v>0</v>
      </c>
      <c r="S117" s="14" cm="1">
        <f t="array" ref="S117">INT(SUMPRODUCT(--ISNUMBER(SEARCH(immigration,C117)))&gt;0)</f>
        <v>0</v>
      </c>
      <c r="T117" s="14" cm="1">
        <f t="array" ref="T117">INT(SUMPRODUCT(--ISNUMBER(SEARCH(econineq,C118)))&gt;0)</f>
        <v>0</v>
      </c>
      <c r="U117" s="14" cm="1">
        <f t="array" ref="U117">INT(SUMPRODUCT(--ISNUMBER(SEARCH(climate,C117)))&gt;0)</f>
        <v>0</v>
      </c>
      <c r="V117" s="14" cm="1">
        <f t="array" ref="V117">INT(SUMPRODUCT(--ISNUMBER(SEARCH(abortion,C117)))&gt;0)</f>
        <v>0</v>
      </c>
      <c r="W117" s="14" cm="1">
        <f t="array" ref="W117">INT(SUMPRODUCT(--ISNUMBER(SEARCH(trump,C117)))&gt;0)</f>
        <v>0</v>
      </c>
      <c r="X117" s="14" cm="1">
        <f t="array" ref="X117">INT(SUMPRODUCT(--ISNUMBER(SEARCH(voting,C117)))&gt;0)</f>
        <v>1</v>
      </c>
      <c r="Y117" s="14" cm="1">
        <f t="array" ref="Y117">INT(SUMPRODUCT(--ISNUMBER(SEARCH(democrattrigger,C117)))&gt;0)</f>
        <v>1</v>
      </c>
      <c r="Z117" s="14" cm="1">
        <f t="array" ref="Z117">INT(SUMPRODUCT(--ISNUMBER(SEARCH(bipartisan,C117)))&gt;0)</f>
        <v>0</v>
      </c>
      <c r="AA117" s="14">
        <f t="shared" si="1"/>
        <v>0</v>
      </c>
      <c r="AB117" s="14"/>
      <c r="AC117" s="30">
        <v>1</v>
      </c>
      <c r="AD117" s="37">
        <v>0</v>
      </c>
    </row>
    <row r="118" spans="1:30" x14ac:dyDescent="0.25">
      <c r="A118" s="36">
        <v>3959</v>
      </c>
      <c r="B118" s="14" t="s">
        <v>7941</v>
      </c>
      <c r="C118" s="14" t="s">
        <v>7942</v>
      </c>
      <c r="D118" s="17">
        <v>44130</v>
      </c>
      <c r="E118" s="14" t="s">
        <v>30</v>
      </c>
      <c r="F118" s="14">
        <v>2902</v>
      </c>
      <c r="G118" s="14">
        <v>532</v>
      </c>
      <c r="H118" s="14">
        <v>18</v>
      </c>
      <c r="I118" s="14">
        <v>9</v>
      </c>
      <c r="J118" s="14" t="s">
        <v>204</v>
      </c>
      <c r="K118" s="14" cm="1">
        <f t="array" ref="K118">INT(SUMPRODUCT(--ISNUMBER(SEARCH(economy,C118)))&gt;0)</f>
        <v>0</v>
      </c>
      <c r="L118" s="14" cm="1">
        <f t="array" ref="L118">INT(SUMPRODUCT(--ISNUMBER(SEARCH(healthcare,C118)))&gt;0)</f>
        <v>0</v>
      </c>
      <c r="M118" s="14" cm="1">
        <f t="array" ref="M118">INT(SUMPRODUCT(--ISNUMBER(SEARCH(supreme,C118)))&gt;0)</f>
        <v>0</v>
      </c>
      <c r="N118" s="14" cm="1">
        <f t="array" ref="N118">INT(SUMPRODUCT(--ISNUMBER(SEARCH(covid,C118)))&gt;0)</f>
        <v>0</v>
      </c>
      <c r="O118" s="14" cm="1">
        <f t="array" ref="O118">INT(SUMPRODUCT(--ISNUMBER(SEARCH(violent,C118)))&gt;0)</f>
        <v>0</v>
      </c>
      <c r="P118" s="14" cm="1">
        <f t="array" ref="P118">INT(SUMPRODUCT(--ISNUMBER(SEARCH(foreign,C118)))&gt;0)</f>
        <v>0</v>
      </c>
      <c r="Q118" s="14" cm="1">
        <f t="array" ref="Q118">INT(SUMPRODUCT(--ISNUMBER(SEARCH(gun,C118)))&gt;0)</f>
        <v>0</v>
      </c>
      <c r="R118" s="14" cm="1">
        <f t="array" ref="R118">INT(SUMPRODUCT(--ISNUMBER(SEARCH(race,C118)))&gt;0)</f>
        <v>0</v>
      </c>
      <c r="S118" s="14" cm="1">
        <f t="array" ref="S118">INT(SUMPRODUCT(--ISNUMBER(SEARCH(immigration,C118)))&gt;0)</f>
        <v>0</v>
      </c>
      <c r="T118" s="14" cm="1">
        <f t="array" ref="T118">INT(SUMPRODUCT(--ISNUMBER(SEARCH(econineq,C119)))&gt;0)</f>
        <v>0</v>
      </c>
      <c r="U118" s="14" cm="1">
        <f t="array" ref="U118">INT(SUMPRODUCT(--ISNUMBER(SEARCH(climate,C118)))&gt;0)</f>
        <v>0</v>
      </c>
      <c r="V118" s="14" cm="1">
        <f t="array" ref="V118">INT(SUMPRODUCT(--ISNUMBER(SEARCH(abortion,C118)))&gt;0)</f>
        <v>0</v>
      </c>
      <c r="W118" s="14" cm="1">
        <f t="array" ref="W118">INT(SUMPRODUCT(--ISNUMBER(SEARCH(trump,C118)))&gt;0)</f>
        <v>0</v>
      </c>
      <c r="X118" s="14" cm="1">
        <f t="array" ref="X118">INT(SUMPRODUCT(--ISNUMBER(SEARCH(voting,C118)))&gt;0)</f>
        <v>1</v>
      </c>
      <c r="Y118" s="14" cm="1">
        <f t="array" ref="Y118">INT(SUMPRODUCT(--ISNUMBER(SEARCH(democrattrigger,C118)))&gt;0)</f>
        <v>0</v>
      </c>
      <c r="Z118" s="14" cm="1">
        <f t="array" ref="Z118">INT(SUMPRODUCT(--ISNUMBER(SEARCH(bipartisan,C118)))&gt;0)</f>
        <v>0</v>
      </c>
      <c r="AA118" s="14">
        <f t="shared" si="1"/>
        <v>0</v>
      </c>
      <c r="AB118" s="14"/>
      <c r="AC118" s="30">
        <v>1</v>
      </c>
      <c r="AD118" s="37">
        <v>0</v>
      </c>
    </row>
    <row r="119" spans="1:30" x14ac:dyDescent="0.25">
      <c r="A119" s="36">
        <v>3960</v>
      </c>
      <c r="B119" s="14" t="s">
        <v>7943</v>
      </c>
      <c r="C119" s="14" t="s">
        <v>7944</v>
      </c>
      <c r="D119" s="17">
        <v>44130</v>
      </c>
      <c r="E119" s="14" t="s">
        <v>30</v>
      </c>
      <c r="F119" s="14">
        <v>1046</v>
      </c>
      <c r="G119" s="14">
        <v>216</v>
      </c>
      <c r="H119" s="14">
        <v>18</v>
      </c>
      <c r="I119" s="14">
        <v>9</v>
      </c>
      <c r="J119" s="14" t="s">
        <v>204</v>
      </c>
      <c r="K119" s="14" cm="1">
        <f t="array" ref="K119">INT(SUMPRODUCT(--ISNUMBER(SEARCH(economy,C119)))&gt;0)</f>
        <v>0</v>
      </c>
      <c r="L119" s="14" cm="1">
        <f t="array" ref="L119">INT(SUMPRODUCT(--ISNUMBER(SEARCH(healthcare,C119)))&gt;0)</f>
        <v>0</v>
      </c>
      <c r="M119" s="14" cm="1">
        <f t="array" ref="M119">INT(SUMPRODUCT(--ISNUMBER(SEARCH(supreme,C119)))&gt;0)</f>
        <v>0</v>
      </c>
      <c r="N119" s="14" cm="1">
        <f t="array" ref="N119">INT(SUMPRODUCT(--ISNUMBER(SEARCH(covid,C119)))&gt;0)</f>
        <v>0</v>
      </c>
      <c r="O119" s="14" cm="1">
        <f t="array" ref="O119">INT(SUMPRODUCT(--ISNUMBER(SEARCH(violent,C119)))&gt;0)</f>
        <v>0</v>
      </c>
      <c r="P119" s="14" cm="1">
        <f t="array" ref="P119">INT(SUMPRODUCT(--ISNUMBER(SEARCH(foreign,C119)))&gt;0)</f>
        <v>0</v>
      </c>
      <c r="Q119" s="14" cm="1">
        <f t="array" ref="Q119">INT(SUMPRODUCT(--ISNUMBER(SEARCH(gun,C119)))&gt;0)</f>
        <v>0</v>
      </c>
      <c r="R119" s="14" cm="1">
        <f t="array" ref="R119">INT(SUMPRODUCT(--ISNUMBER(SEARCH(race,C119)))&gt;0)</f>
        <v>0</v>
      </c>
      <c r="S119" s="14" cm="1">
        <f t="array" ref="S119">INT(SUMPRODUCT(--ISNUMBER(SEARCH(immigration,C119)))&gt;0)</f>
        <v>0</v>
      </c>
      <c r="T119" s="14" cm="1">
        <f t="array" ref="T119">INT(SUMPRODUCT(--ISNUMBER(SEARCH(econineq,C120)))&gt;0)</f>
        <v>0</v>
      </c>
      <c r="U119" s="14" cm="1">
        <f t="array" ref="U119">INT(SUMPRODUCT(--ISNUMBER(SEARCH(climate,C119)))&gt;0)</f>
        <v>0</v>
      </c>
      <c r="V119" s="14" cm="1">
        <f t="array" ref="V119">INT(SUMPRODUCT(--ISNUMBER(SEARCH(abortion,C119)))&gt;0)</f>
        <v>0</v>
      </c>
      <c r="W119" s="14" cm="1">
        <f t="array" ref="W119">INT(SUMPRODUCT(--ISNUMBER(SEARCH(trump,C119)))&gt;0)</f>
        <v>0</v>
      </c>
      <c r="X119" s="14" cm="1">
        <f t="array" ref="X119">INT(SUMPRODUCT(--ISNUMBER(SEARCH(voting,C119)))&gt;0)</f>
        <v>1</v>
      </c>
      <c r="Y119" s="14" cm="1">
        <f t="array" ref="Y119">INT(SUMPRODUCT(--ISNUMBER(SEARCH(democrattrigger,C119)))&gt;0)</f>
        <v>0</v>
      </c>
      <c r="Z119" s="14" cm="1">
        <f t="array" ref="Z119">INT(SUMPRODUCT(--ISNUMBER(SEARCH(bipartisan,C119)))&gt;0)</f>
        <v>0</v>
      </c>
      <c r="AA119" s="14">
        <f t="shared" si="1"/>
        <v>0</v>
      </c>
      <c r="AB119" s="14"/>
      <c r="AC119" s="30">
        <v>1</v>
      </c>
      <c r="AD119" s="37">
        <v>0</v>
      </c>
    </row>
    <row r="120" spans="1:30" x14ac:dyDescent="0.25">
      <c r="A120" s="36">
        <v>3961</v>
      </c>
      <c r="B120" s="14" t="s">
        <v>7945</v>
      </c>
      <c r="C120" s="14" t="s">
        <v>7946</v>
      </c>
      <c r="D120" s="17">
        <v>44129</v>
      </c>
      <c r="E120" s="14" t="s">
        <v>30</v>
      </c>
      <c r="F120" s="14">
        <v>927</v>
      </c>
      <c r="G120" s="14">
        <v>218</v>
      </c>
      <c r="H120" s="14">
        <v>18</v>
      </c>
      <c r="I120" s="14">
        <v>9</v>
      </c>
      <c r="J120" s="14" t="s">
        <v>204</v>
      </c>
      <c r="K120" s="14" cm="1">
        <f t="array" ref="K120">INT(SUMPRODUCT(--ISNUMBER(SEARCH(economy,C120)))&gt;0)</f>
        <v>0</v>
      </c>
      <c r="L120" s="14" cm="1">
        <f t="array" ref="L120">INT(SUMPRODUCT(--ISNUMBER(SEARCH(healthcare,C120)))&gt;0)</f>
        <v>0</v>
      </c>
      <c r="M120" s="14" cm="1">
        <f t="array" ref="M120">INT(SUMPRODUCT(--ISNUMBER(SEARCH(supreme,C120)))&gt;0)</f>
        <v>0</v>
      </c>
      <c r="N120" s="14" cm="1">
        <f t="array" ref="N120">INT(SUMPRODUCT(--ISNUMBER(SEARCH(covid,C120)))&gt;0)</f>
        <v>0</v>
      </c>
      <c r="O120" s="14" cm="1">
        <f t="array" ref="O120">INT(SUMPRODUCT(--ISNUMBER(SEARCH(violent,C120)))&gt;0)</f>
        <v>0</v>
      </c>
      <c r="P120" s="14" cm="1">
        <f t="array" ref="P120">INT(SUMPRODUCT(--ISNUMBER(SEARCH(foreign,C120)))&gt;0)</f>
        <v>0</v>
      </c>
      <c r="Q120" s="14" cm="1">
        <f t="array" ref="Q120">INT(SUMPRODUCT(--ISNUMBER(SEARCH(gun,C120)))&gt;0)</f>
        <v>0</v>
      </c>
      <c r="R120" s="14" cm="1">
        <f t="array" ref="R120">INT(SUMPRODUCT(--ISNUMBER(SEARCH(race,C120)))&gt;0)</f>
        <v>0</v>
      </c>
      <c r="S120" s="14" cm="1">
        <f t="array" ref="S120">INT(SUMPRODUCT(--ISNUMBER(SEARCH(immigration,C120)))&gt;0)</f>
        <v>0</v>
      </c>
      <c r="T120" s="14" cm="1">
        <f t="array" ref="T120">INT(SUMPRODUCT(--ISNUMBER(SEARCH(econineq,C121)))&gt;0)</f>
        <v>0</v>
      </c>
      <c r="U120" s="14" cm="1">
        <f t="array" ref="U120">INT(SUMPRODUCT(--ISNUMBER(SEARCH(climate,C120)))&gt;0)</f>
        <v>0</v>
      </c>
      <c r="V120" s="14" cm="1">
        <f t="array" ref="V120">INT(SUMPRODUCT(--ISNUMBER(SEARCH(abortion,C120)))&gt;0)</f>
        <v>0</v>
      </c>
      <c r="W120" s="14" cm="1">
        <f t="array" ref="W120">INT(SUMPRODUCT(--ISNUMBER(SEARCH(trump,C120)))&gt;0)</f>
        <v>0</v>
      </c>
      <c r="X120" s="14" cm="1">
        <f t="array" ref="X120">INT(SUMPRODUCT(--ISNUMBER(SEARCH(voting,C120)))&gt;0)</f>
        <v>1</v>
      </c>
      <c r="Y120" s="14" cm="1">
        <f t="array" ref="Y120">INT(SUMPRODUCT(--ISNUMBER(SEARCH(democrattrigger,C120)))&gt;0)</f>
        <v>1</v>
      </c>
      <c r="Z120" s="14" cm="1">
        <f t="array" ref="Z120">INT(SUMPRODUCT(--ISNUMBER(SEARCH(bipartisan,C120)))&gt;0)</f>
        <v>0</v>
      </c>
      <c r="AA120" s="14">
        <f t="shared" si="1"/>
        <v>0</v>
      </c>
      <c r="AB120" s="14"/>
      <c r="AC120" s="30">
        <v>0</v>
      </c>
      <c r="AD120" s="37">
        <v>1</v>
      </c>
    </row>
    <row r="121" spans="1:30" x14ac:dyDescent="0.25">
      <c r="A121" s="36">
        <v>3962</v>
      </c>
      <c r="B121" s="14" t="s">
        <v>7947</v>
      </c>
      <c r="C121" s="14" t="s">
        <v>7948</v>
      </c>
      <c r="D121" s="17">
        <v>44129</v>
      </c>
      <c r="E121" s="14" t="s">
        <v>30</v>
      </c>
      <c r="F121" s="14">
        <v>1841</v>
      </c>
      <c r="G121" s="14">
        <v>392</v>
      </c>
      <c r="H121" s="14">
        <v>18</v>
      </c>
      <c r="I121" s="14">
        <v>9</v>
      </c>
      <c r="J121" s="14" t="s">
        <v>204</v>
      </c>
      <c r="K121" s="14" cm="1">
        <f t="array" ref="K121">INT(SUMPRODUCT(--ISNUMBER(SEARCH(economy,C121)))&gt;0)</f>
        <v>0</v>
      </c>
      <c r="L121" s="14" cm="1">
        <f t="array" ref="L121">INT(SUMPRODUCT(--ISNUMBER(SEARCH(healthcare,C121)))&gt;0)</f>
        <v>0</v>
      </c>
      <c r="M121" s="14" cm="1">
        <f t="array" ref="M121">INT(SUMPRODUCT(--ISNUMBER(SEARCH(supreme,C121)))&gt;0)</f>
        <v>0</v>
      </c>
      <c r="N121" s="14" cm="1">
        <f t="array" ref="N121">INT(SUMPRODUCT(--ISNUMBER(SEARCH(covid,C121)))&gt;0)</f>
        <v>0</v>
      </c>
      <c r="O121" s="14" cm="1">
        <f t="array" ref="O121">INT(SUMPRODUCT(--ISNUMBER(SEARCH(violent,C121)))&gt;0)</f>
        <v>0</v>
      </c>
      <c r="P121" s="14" cm="1">
        <f t="array" ref="P121">INT(SUMPRODUCT(--ISNUMBER(SEARCH(foreign,C121)))&gt;0)</f>
        <v>0</v>
      </c>
      <c r="Q121" s="14" cm="1">
        <f t="array" ref="Q121">INT(SUMPRODUCT(--ISNUMBER(SEARCH(gun,C121)))&gt;0)</f>
        <v>0</v>
      </c>
      <c r="R121" s="14" cm="1">
        <f t="array" ref="R121">INT(SUMPRODUCT(--ISNUMBER(SEARCH(race,C121)))&gt;0)</f>
        <v>0</v>
      </c>
      <c r="S121" s="14" cm="1">
        <f t="array" ref="S121">INT(SUMPRODUCT(--ISNUMBER(SEARCH(immigration,C121)))&gt;0)</f>
        <v>0</v>
      </c>
      <c r="T121" s="14" cm="1">
        <f t="array" ref="T121">INT(SUMPRODUCT(--ISNUMBER(SEARCH(econineq,C122)))&gt;0)</f>
        <v>0</v>
      </c>
      <c r="U121" s="14" cm="1">
        <f t="array" ref="U121">INT(SUMPRODUCT(--ISNUMBER(SEARCH(climate,C121)))&gt;0)</f>
        <v>0</v>
      </c>
      <c r="V121" s="14" cm="1">
        <f t="array" ref="V121">INT(SUMPRODUCT(--ISNUMBER(SEARCH(abortion,C121)))&gt;0)</f>
        <v>0</v>
      </c>
      <c r="W121" s="14" cm="1">
        <f t="array" ref="W121">INT(SUMPRODUCT(--ISNUMBER(SEARCH(trump,C121)))&gt;0)</f>
        <v>0</v>
      </c>
      <c r="X121" s="14" cm="1">
        <f t="array" ref="X121">INT(SUMPRODUCT(--ISNUMBER(SEARCH(voting,C121)))&gt;0)</f>
        <v>1</v>
      </c>
      <c r="Y121" s="14" cm="1">
        <f t="array" ref="Y121">INT(SUMPRODUCT(--ISNUMBER(SEARCH(democrattrigger,C121)))&gt;0)</f>
        <v>0</v>
      </c>
      <c r="Z121" s="14" cm="1">
        <f t="array" ref="Z121">INT(SUMPRODUCT(--ISNUMBER(SEARCH(bipartisan,C121)))&gt;0)</f>
        <v>0</v>
      </c>
      <c r="AA121" s="14">
        <f t="shared" si="1"/>
        <v>0</v>
      </c>
      <c r="AB121" s="14"/>
      <c r="AC121" s="30">
        <v>1</v>
      </c>
      <c r="AD121" s="37">
        <v>0</v>
      </c>
    </row>
    <row r="122" spans="1:30" x14ac:dyDescent="0.25">
      <c r="A122" s="36">
        <v>3963</v>
      </c>
      <c r="B122" s="14" t="s">
        <v>7949</v>
      </c>
      <c r="C122" s="14" t="s">
        <v>7950</v>
      </c>
      <c r="D122" s="17">
        <v>44129</v>
      </c>
      <c r="E122" s="14" t="s">
        <v>30</v>
      </c>
      <c r="F122" s="14">
        <v>1923</v>
      </c>
      <c r="G122" s="14">
        <v>390</v>
      </c>
      <c r="H122" s="14">
        <v>18</v>
      </c>
      <c r="I122" s="14">
        <v>9</v>
      </c>
      <c r="J122" s="14" t="s">
        <v>204</v>
      </c>
      <c r="K122" s="14" cm="1">
        <f t="array" ref="K122">INT(SUMPRODUCT(--ISNUMBER(SEARCH(economy,C122)))&gt;0)</f>
        <v>0</v>
      </c>
      <c r="L122" s="14" cm="1">
        <f t="array" ref="L122">INT(SUMPRODUCT(--ISNUMBER(SEARCH(healthcare,C122)))&gt;0)</f>
        <v>0</v>
      </c>
      <c r="M122" s="14" cm="1">
        <f t="array" ref="M122">INT(SUMPRODUCT(--ISNUMBER(SEARCH(supreme,C122)))&gt;0)</f>
        <v>0</v>
      </c>
      <c r="N122" s="14" cm="1">
        <f t="array" ref="N122">INT(SUMPRODUCT(--ISNUMBER(SEARCH(covid,C122)))&gt;0)</f>
        <v>0</v>
      </c>
      <c r="O122" s="14" cm="1">
        <f t="array" ref="O122">INT(SUMPRODUCT(--ISNUMBER(SEARCH(violent,C122)))&gt;0)</f>
        <v>0</v>
      </c>
      <c r="P122" s="14" cm="1">
        <f t="array" ref="P122">INT(SUMPRODUCT(--ISNUMBER(SEARCH(foreign,C122)))&gt;0)</f>
        <v>0</v>
      </c>
      <c r="Q122" s="14" cm="1">
        <f t="array" ref="Q122">INT(SUMPRODUCT(--ISNUMBER(SEARCH(gun,C122)))&gt;0)</f>
        <v>0</v>
      </c>
      <c r="R122" s="14" cm="1">
        <f t="array" ref="R122">INT(SUMPRODUCT(--ISNUMBER(SEARCH(race,C122)))&gt;0)</f>
        <v>0</v>
      </c>
      <c r="S122" s="14" cm="1">
        <f t="array" ref="S122">INT(SUMPRODUCT(--ISNUMBER(SEARCH(immigration,C122)))&gt;0)</f>
        <v>0</v>
      </c>
      <c r="T122" s="14" cm="1">
        <f t="array" ref="T122">INT(SUMPRODUCT(--ISNUMBER(SEARCH(econineq,C123)))&gt;0)</f>
        <v>0</v>
      </c>
      <c r="U122" s="14" cm="1">
        <f t="array" ref="U122">INT(SUMPRODUCT(--ISNUMBER(SEARCH(climate,C122)))&gt;0)</f>
        <v>0</v>
      </c>
      <c r="V122" s="14" cm="1">
        <f t="array" ref="V122">INT(SUMPRODUCT(--ISNUMBER(SEARCH(abortion,C122)))&gt;0)</f>
        <v>0</v>
      </c>
      <c r="W122" s="14" cm="1">
        <f t="array" ref="W122">INT(SUMPRODUCT(--ISNUMBER(SEARCH(trump,C122)))&gt;0)</f>
        <v>0</v>
      </c>
      <c r="X122" s="14" cm="1">
        <f t="array" ref="X122">INT(SUMPRODUCT(--ISNUMBER(SEARCH(voting,C122)))&gt;0)</f>
        <v>1</v>
      </c>
      <c r="Y122" s="14" cm="1">
        <f t="array" ref="Y122">INT(SUMPRODUCT(--ISNUMBER(SEARCH(democrattrigger,C122)))&gt;0)</f>
        <v>0</v>
      </c>
      <c r="Z122" s="14" cm="1">
        <f t="array" ref="Z122">INT(SUMPRODUCT(--ISNUMBER(SEARCH(bipartisan,C122)))&gt;0)</f>
        <v>0</v>
      </c>
      <c r="AA122" s="14">
        <f t="shared" si="1"/>
        <v>0</v>
      </c>
      <c r="AB122" s="14"/>
      <c r="AC122" s="30" t="s">
        <v>223</v>
      </c>
      <c r="AD122" s="37" t="s">
        <v>223</v>
      </c>
    </row>
    <row r="123" spans="1:30" x14ac:dyDescent="0.25">
      <c r="A123" s="36">
        <v>3964</v>
      </c>
      <c r="B123" s="14" t="s">
        <v>7951</v>
      </c>
      <c r="C123" s="14" t="s">
        <v>7952</v>
      </c>
      <c r="D123" s="17">
        <v>44129</v>
      </c>
      <c r="E123" s="14" t="s">
        <v>30</v>
      </c>
      <c r="F123" s="14">
        <v>3032</v>
      </c>
      <c r="G123" s="14">
        <v>575</v>
      </c>
      <c r="H123" s="14">
        <v>18</v>
      </c>
      <c r="I123" s="14">
        <v>9</v>
      </c>
      <c r="J123" s="14" t="s">
        <v>204</v>
      </c>
      <c r="K123" s="14" cm="1">
        <f t="array" ref="K123">INT(SUMPRODUCT(--ISNUMBER(SEARCH(economy,C123)))&gt;0)</f>
        <v>0</v>
      </c>
      <c r="L123" s="14" cm="1">
        <f t="array" ref="L123">INT(SUMPRODUCT(--ISNUMBER(SEARCH(healthcare,C123)))&gt;0)</f>
        <v>0</v>
      </c>
      <c r="M123" s="14" cm="1">
        <f t="array" ref="M123">INT(SUMPRODUCT(--ISNUMBER(SEARCH(supreme,C123)))&gt;0)</f>
        <v>0</v>
      </c>
      <c r="N123" s="14" cm="1">
        <f t="array" ref="N123">INT(SUMPRODUCT(--ISNUMBER(SEARCH(covid,C123)))&gt;0)</f>
        <v>0</v>
      </c>
      <c r="O123" s="14" cm="1">
        <f t="array" ref="O123">INT(SUMPRODUCT(--ISNUMBER(SEARCH(violent,C123)))&gt;0)</f>
        <v>0</v>
      </c>
      <c r="P123" s="14" cm="1">
        <f t="array" ref="P123">INT(SUMPRODUCT(--ISNUMBER(SEARCH(foreign,C123)))&gt;0)</f>
        <v>0</v>
      </c>
      <c r="Q123" s="14" cm="1">
        <f t="array" ref="Q123">INT(SUMPRODUCT(--ISNUMBER(SEARCH(gun,C123)))&gt;0)</f>
        <v>0</v>
      </c>
      <c r="R123" s="14" cm="1">
        <f t="array" ref="R123">INT(SUMPRODUCT(--ISNUMBER(SEARCH(race,C123)))&gt;0)</f>
        <v>0</v>
      </c>
      <c r="S123" s="14" cm="1">
        <f t="array" ref="S123">INT(SUMPRODUCT(--ISNUMBER(SEARCH(immigration,C123)))&gt;0)</f>
        <v>0</v>
      </c>
      <c r="T123" s="14" cm="1">
        <f t="array" ref="T123">INT(SUMPRODUCT(--ISNUMBER(SEARCH(econineq,C124)))&gt;0)</f>
        <v>0</v>
      </c>
      <c r="U123" s="14" cm="1">
        <f t="array" ref="U123">INT(SUMPRODUCT(--ISNUMBER(SEARCH(climate,C123)))&gt;0)</f>
        <v>0</v>
      </c>
      <c r="V123" s="14" cm="1">
        <f t="array" ref="V123">INT(SUMPRODUCT(--ISNUMBER(SEARCH(abortion,C123)))&gt;0)</f>
        <v>0</v>
      </c>
      <c r="W123" s="14" cm="1">
        <f t="array" ref="W123">INT(SUMPRODUCT(--ISNUMBER(SEARCH(trump,C123)))&gt;0)</f>
        <v>0</v>
      </c>
      <c r="X123" s="14" cm="1">
        <f t="array" ref="X123">INT(SUMPRODUCT(--ISNUMBER(SEARCH(voting,C123)))&gt;0)</f>
        <v>1</v>
      </c>
      <c r="Y123" s="14" cm="1">
        <f t="array" ref="Y123">INT(SUMPRODUCT(--ISNUMBER(SEARCH(democrattrigger,C123)))&gt;0)</f>
        <v>0</v>
      </c>
      <c r="Z123" s="14" cm="1">
        <f t="array" ref="Z123">INT(SUMPRODUCT(--ISNUMBER(SEARCH(bipartisan,C123)))&gt;0)</f>
        <v>0</v>
      </c>
      <c r="AA123" s="14">
        <f t="shared" si="1"/>
        <v>0</v>
      </c>
      <c r="AB123" s="14"/>
      <c r="AC123" s="30" t="s">
        <v>223</v>
      </c>
      <c r="AD123" s="37" t="s">
        <v>223</v>
      </c>
    </row>
    <row r="124" spans="1:30" x14ac:dyDescent="0.25">
      <c r="A124" s="36">
        <v>3965</v>
      </c>
      <c r="B124" s="14" t="s">
        <v>7953</v>
      </c>
      <c r="C124" s="14" t="s">
        <v>7954</v>
      </c>
      <c r="D124" s="17">
        <v>44129</v>
      </c>
      <c r="E124" s="14" t="s">
        <v>30</v>
      </c>
      <c r="F124" s="14">
        <v>1349</v>
      </c>
      <c r="G124" s="14">
        <v>427</v>
      </c>
      <c r="H124" s="14">
        <v>18</v>
      </c>
      <c r="I124" s="14">
        <v>9</v>
      </c>
      <c r="J124" s="14" t="s">
        <v>204</v>
      </c>
      <c r="K124" s="14" cm="1">
        <f t="array" ref="K124">INT(SUMPRODUCT(--ISNUMBER(SEARCH(economy,C124)))&gt;0)</f>
        <v>0</v>
      </c>
      <c r="L124" s="14" cm="1">
        <f t="array" ref="L124">INT(SUMPRODUCT(--ISNUMBER(SEARCH(healthcare,C124)))&gt;0)</f>
        <v>0</v>
      </c>
      <c r="M124" s="14" cm="1">
        <f t="array" ref="M124">INT(SUMPRODUCT(--ISNUMBER(SEARCH(supreme,C124)))&gt;0)</f>
        <v>0</v>
      </c>
      <c r="N124" s="14" cm="1">
        <f t="array" ref="N124">INT(SUMPRODUCT(--ISNUMBER(SEARCH(covid,C124)))&gt;0)</f>
        <v>0</v>
      </c>
      <c r="O124" s="14" cm="1">
        <f t="array" ref="O124">INT(SUMPRODUCT(--ISNUMBER(SEARCH(violent,C124)))&gt;0)</f>
        <v>0</v>
      </c>
      <c r="P124" s="14" cm="1">
        <f t="array" ref="P124">INT(SUMPRODUCT(--ISNUMBER(SEARCH(foreign,C124)))&gt;0)</f>
        <v>0</v>
      </c>
      <c r="Q124" s="14" cm="1">
        <f t="array" ref="Q124">INT(SUMPRODUCT(--ISNUMBER(SEARCH(gun,C124)))&gt;0)</f>
        <v>0</v>
      </c>
      <c r="R124" s="14" cm="1">
        <f t="array" ref="R124">INT(SUMPRODUCT(--ISNUMBER(SEARCH(race,C124)))&gt;0)</f>
        <v>0</v>
      </c>
      <c r="S124" s="14" cm="1">
        <f t="array" ref="S124">INT(SUMPRODUCT(--ISNUMBER(SEARCH(immigration,C124)))&gt;0)</f>
        <v>0</v>
      </c>
      <c r="T124" s="14" cm="1">
        <f t="array" ref="T124">INT(SUMPRODUCT(--ISNUMBER(SEARCH(econineq,C125)))&gt;0)</f>
        <v>0</v>
      </c>
      <c r="U124" s="14" cm="1">
        <f t="array" ref="U124">INT(SUMPRODUCT(--ISNUMBER(SEARCH(climate,C124)))&gt;0)</f>
        <v>0</v>
      </c>
      <c r="V124" s="14" cm="1">
        <f t="array" ref="V124">INT(SUMPRODUCT(--ISNUMBER(SEARCH(abortion,C124)))&gt;0)</f>
        <v>0</v>
      </c>
      <c r="W124" s="14" cm="1">
        <f t="array" ref="W124">INT(SUMPRODUCT(--ISNUMBER(SEARCH(trump,C124)))&gt;0)</f>
        <v>0</v>
      </c>
      <c r="X124" s="14" cm="1">
        <f t="array" ref="X124">INT(SUMPRODUCT(--ISNUMBER(SEARCH(voting,C124)))&gt;0)</f>
        <v>1</v>
      </c>
      <c r="Y124" s="14" cm="1">
        <f t="array" ref="Y124">INT(SUMPRODUCT(--ISNUMBER(SEARCH(democrattrigger,C124)))&gt;0)</f>
        <v>0</v>
      </c>
      <c r="Z124" s="14" cm="1">
        <f t="array" ref="Z124">INT(SUMPRODUCT(--ISNUMBER(SEARCH(bipartisan,C124)))&gt;0)</f>
        <v>0</v>
      </c>
      <c r="AA124" s="14">
        <f t="shared" si="1"/>
        <v>0</v>
      </c>
      <c r="AB124" s="14"/>
      <c r="AC124" s="30" t="s">
        <v>223</v>
      </c>
      <c r="AD124" s="37" t="s">
        <v>223</v>
      </c>
    </row>
    <row r="125" spans="1:30" x14ac:dyDescent="0.25">
      <c r="A125" s="36">
        <v>3966</v>
      </c>
      <c r="B125" s="14" t="s">
        <v>7955</v>
      </c>
      <c r="C125" s="14" t="s">
        <v>7956</v>
      </c>
      <c r="D125" s="17">
        <v>44129</v>
      </c>
      <c r="E125" s="14" t="s">
        <v>30</v>
      </c>
      <c r="F125" s="14">
        <v>1335</v>
      </c>
      <c r="G125" s="14">
        <v>281</v>
      </c>
      <c r="H125" s="14">
        <v>18</v>
      </c>
      <c r="I125" s="14">
        <v>9</v>
      </c>
      <c r="J125" s="14" t="s">
        <v>204</v>
      </c>
      <c r="K125" s="14" cm="1">
        <f t="array" ref="K125">INT(SUMPRODUCT(--ISNUMBER(SEARCH(economy,C125)))&gt;0)</f>
        <v>0</v>
      </c>
      <c r="L125" s="14" cm="1">
        <f t="array" ref="L125">INT(SUMPRODUCT(--ISNUMBER(SEARCH(healthcare,C125)))&gt;0)</f>
        <v>0</v>
      </c>
      <c r="M125" s="14" cm="1">
        <f t="array" ref="M125">INT(SUMPRODUCT(--ISNUMBER(SEARCH(supreme,C125)))&gt;0)</f>
        <v>0</v>
      </c>
      <c r="N125" s="14" cm="1">
        <f t="array" ref="N125">INT(SUMPRODUCT(--ISNUMBER(SEARCH(covid,C125)))&gt;0)</f>
        <v>0</v>
      </c>
      <c r="O125" s="14" cm="1">
        <f t="array" ref="O125">INT(SUMPRODUCT(--ISNUMBER(SEARCH(violent,C125)))&gt;0)</f>
        <v>0</v>
      </c>
      <c r="P125" s="14" cm="1">
        <f t="array" ref="P125">INT(SUMPRODUCT(--ISNUMBER(SEARCH(foreign,C125)))&gt;0)</f>
        <v>0</v>
      </c>
      <c r="Q125" s="14" cm="1">
        <f t="array" ref="Q125">INT(SUMPRODUCT(--ISNUMBER(SEARCH(gun,C125)))&gt;0)</f>
        <v>0</v>
      </c>
      <c r="R125" s="14" cm="1">
        <f t="array" ref="R125">INT(SUMPRODUCT(--ISNUMBER(SEARCH(race,C125)))&gt;0)</f>
        <v>0</v>
      </c>
      <c r="S125" s="14" cm="1">
        <f t="array" ref="S125">INT(SUMPRODUCT(--ISNUMBER(SEARCH(immigration,C125)))&gt;0)</f>
        <v>0</v>
      </c>
      <c r="T125" s="14" cm="1">
        <f t="array" ref="T125">INT(SUMPRODUCT(--ISNUMBER(SEARCH(econineq,C126)))&gt;0)</f>
        <v>0</v>
      </c>
      <c r="U125" s="14" cm="1">
        <f t="array" ref="U125">INT(SUMPRODUCT(--ISNUMBER(SEARCH(climate,C125)))&gt;0)</f>
        <v>0</v>
      </c>
      <c r="V125" s="14" cm="1">
        <f t="array" ref="V125">INT(SUMPRODUCT(--ISNUMBER(SEARCH(abortion,C125)))&gt;0)</f>
        <v>0</v>
      </c>
      <c r="W125" s="14" cm="1">
        <f t="array" ref="W125">INT(SUMPRODUCT(--ISNUMBER(SEARCH(trump,C125)))&gt;0)</f>
        <v>0</v>
      </c>
      <c r="X125" s="14" cm="1">
        <f t="array" ref="X125">INT(SUMPRODUCT(--ISNUMBER(SEARCH(voting,C125)))&gt;0)</f>
        <v>0</v>
      </c>
      <c r="Y125" s="14" cm="1">
        <f t="array" ref="Y125">INT(SUMPRODUCT(--ISNUMBER(SEARCH(democrattrigger,C125)))&gt;0)</f>
        <v>0</v>
      </c>
      <c r="Z125" s="14" cm="1">
        <f t="array" ref="Z125">INT(SUMPRODUCT(--ISNUMBER(SEARCH(bipartisan,C125)))&gt;0)</f>
        <v>0</v>
      </c>
      <c r="AA125" s="14">
        <f t="shared" si="1"/>
        <v>1</v>
      </c>
      <c r="AB125" s="14"/>
      <c r="AC125" s="30">
        <v>1</v>
      </c>
      <c r="AD125" s="37">
        <v>0</v>
      </c>
    </row>
    <row r="126" spans="1:30" x14ac:dyDescent="0.25">
      <c r="A126" s="36">
        <v>3967</v>
      </c>
      <c r="B126" s="14" t="s">
        <v>7957</v>
      </c>
      <c r="C126" s="14" t="s">
        <v>7958</v>
      </c>
      <c r="D126" s="17">
        <v>44129</v>
      </c>
      <c r="E126" s="14" t="s">
        <v>30</v>
      </c>
      <c r="F126" s="14">
        <v>6153</v>
      </c>
      <c r="G126" s="14">
        <v>768</v>
      </c>
      <c r="H126" s="14">
        <v>18</v>
      </c>
      <c r="I126" s="14">
        <v>9</v>
      </c>
      <c r="J126" s="14" t="s">
        <v>204</v>
      </c>
      <c r="K126" s="14" cm="1">
        <f t="array" ref="K126">INT(SUMPRODUCT(--ISNUMBER(SEARCH(economy,C126)))&gt;0)</f>
        <v>0</v>
      </c>
      <c r="L126" s="14" cm="1">
        <f t="array" ref="L126">INT(SUMPRODUCT(--ISNUMBER(SEARCH(healthcare,C126)))&gt;0)</f>
        <v>0</v>
      </c>
      <c r="M126" s="14" cm="1">
        <f t="array" ref="M126">INT(SUMPRODUCT(--ISNUMBER(SEARCH(supreme,C126)))&gt;0)</f>
        <v>0</v>
      </c>
      <c r="N126" s="14" cm="1">
        <f t="array" ref="N126">INT(SUMPRODUCT(--ISNUMBER(SEARCH(covid,C126)))&gt;0)</f>
        <v>0</v>
      </c>
      <c r="O126" s="14" cm="1">
        <f t="array" ref="O126">INT(SUMPRODUCT(--ISNUMBER(SEARCH(violent,C126)))&gt;0)</f>
        <v>0</v>
      </c>
      <c r="P126" s="14" cm="1">
        <f t="array" ref="P126">INT(SUMPRODUCT(--ISNUMBER(SEARCH(foreign,C126)))&gt;0)</f>
        <v>0</v>
      </c>
      <c r="Q126" s="14" cm="1">
        <f t="array" ref="Q126">INT(SUMPRODUCT(--ISNUMBER(SEARCH(gun,C126)))&gt;0)</f>
        <v>0</v>
      </c>
      <c r="R126" s="14" cm="1">
        <f t="array" ref="R126">INT(SUMPRODUCT(--ISNUMBER(SEARCH(race,C126)))&gt;0)</f>
        <v>0</v>
      </c>
      <c r="S126" s="14" cm="1">
        <f t="array" ref="S126">INT(SUMPRODUCT(--ISNUMBER(SEARCH(immigration,C126)))&gt;0)</f>
        <v>0</v>
      </c>
      <c r="T126" s="14" cm="1">
        <f t="array" ref="T126">INT(SUMPRODUCT(--ISNUMBER(SEARCH(econineq,C127)))&gt;0)</f>
        <v>0</v>
      </c>
      <c r="U126" s="14" cm="1">
        <f t="array" ref="U126">INT(SUMPRODUCT(--ISNUMBER(SEARCH(climate,C126)))&gt;0)</f>
        <v>0</v>
      </c>
      <c r="V126" s="14" cm="1">
        <f t="array" ref="V126">INT(SUMPRODUCT(--ISNUMBER(SEARCH(abortion,C126)))&gt;0)</f>
        <v>0</v>
      </c>
      <c r="W126" s="14" cm="1">
        <f t="array" ref="W126">INT(SUMPRODUCT(--ISNUMBER(SEARCH(trump,C126)))&gt;0)</f>
        <v>0</v>
      </c>
      <c r="X126" s="14" cm="1">
        <f t="array" ref="X126">INT(SUMPRODUCT(--ISNUMBER(SEARCH(voting,C126)))&gt;0)</f>
        <v>0</v>
      </c>
      <c r="Y126" s="14" cm="1">
        <f t="array" ref="Y126">INT(SUMPRODUCT(--ISNUMBER(SEARCH(democrattrigger,C126)))&gt;0)</f>
        <v>0</v>
      </c>
      <c r="Z126" s="14" cm="1">
        <f t="array" ref="Z126">INT(SUMPRODUCT(--ISNUMBER(SEARCH(bipartisan,C126)))&gt;0)</f>
        <v>0</v>
      </c>
      <c r="AA126" s="14">
        <f t="shared" si="1"/>
        <v>1</v>
      </c>
      <c r="AB126" s="14"/>
      <c r="AC126" s="30" t="s">
        <v>223</v>
      </c>
      <c r="AD126" s="37" t="s">
        <v>223</v>
      </c>
    </row>
    <row r="127" spans="1:30" x14ac:dyDescent="0.25">
      <c r="A127" s="36">
        <v>3968</v>
      </c>
      <c r="B127" s="14" t="s">
        <v>7959</v>
      </c>
      <c r="C127" s="14" t="s">
        <v>7960</v>
      </c>
      <c r="D127" s="17">
        <v>44129</v>
      </c>
      <c r="E127" s="14" t="s">
        <v>30</v>
      </c>
      <c r="F127" s="14">
        <v>1785</v>
      </c>
      <c r="G127" s="14">
        <v>255</v>
      </c>
      <c r="H127" s="14">
        <v>18</v>
      </c>
      <c r="I127" s="14">
        <v>9</v>
      </c>
      <c r="J127" s="14" t="s">
        <v>204</v>
      </c>
      <c r="K127" s="14" cm="1">
        <f t="array" ref="K127">INT(SUMPRODUCT(--ISNUMBER(SEARCH(economy,C127)))&gt;0)</f>
        <v>0</v>
      </c>
      <c r="L127" s="14" cm="1">
        <f t="array" ref="L127">INT(SUMPRODUCT(--ISNUMBER(SEARCH(healthcare,C127)))&gt;0)</f>
        <v>0</v>
      </c>
      <c r="M127" s="14" cm="1">
        <f t="array" ref="M127">INT(SUMPRODUCT(--ISNUMBER(SEARCH(supreme,C127)))&gt;0)</f>
        <v>0</v>
      </c>
      <c r="N127" s="14" cm="1">
        <f t="array" ref="N127">INT(SUMPRODUCT(--ISNUMBER(SEARCH(covid,C127)))&gt;0)</f>
        <v>0</v>
      </c>
      <c r="O127" s="14" cm="1">
        <f t="array" ref="O127">INT(SUMPRODUCT(--ISNUMBER(SEARCH(violent,C127)))&gt;0)</f>
        <v>0</v>
      </c>
      <c r="P127" s="14" cm="1">
        <f t="array" ref="P127">INT(SUMPRODUCT(--ISNUMBER(SEARCH(foreign,C127)))&gt;0)</f>
        <v>0</v>
      </c>
      <c r="Q127" s="14" cm="1">
        <f t="array" ref="Q127">INT(SUMPRODUCT(--ISNUMBER(SEARCH(gun,C127)))&gt;0)</f>
        <v>0</v>
      </c>
      <c r="R127" s="14" cm="1">
        <f t="array" ref="R127">INT(SUMPRODUCT(--ISNUMBER(SEARCH(race,C127)))&gt;0)</f>
        <v>0</v>
      </c>
      <c r="S127" s="14" cm="1">
        <f t="array" ref="S127">INT(SUMPRODUCT(--ISNUMBER(SEARCH(immigration,C127)))&gt;0)</f>
        <v>0</v>
      </c>
      <c r="T127" s="14" cm="1">
        <f t="array" ref="T127">INT(SUMPRODUCT(--ISNUMBER(SEARCH(econineq,C128)))&gt;0)</f>
        <v>0</v>
      </c>
      <c r="U127" s="14" cm="1">
        <f t="array" ref="U127">INT(SUMPRODUCT(--ISNUMBER(SEARCH(climate,C127)))&gt;0)</f>
        <v>0</v>
      </c>
      <c r="V127" s="14" cm="1">
        <f t="array" ref="V127">INT(SUMPRODUCT(--ISNUMBER(SEARCH(abortion,C127)))&gt;0)</f>
        <v>0</v>
      </c>
      <c r="W127" s="14" cm="1">
        <f t="array" ref="W127">INT(SUMPRODUCT(--ISNUMBER(SEARCH(trump,C127)))&gt;0)</f>
        <v>0</v>
      </c>
      <c r="X127" s="14" cm="1">
        <f t="array" ref="X127">INT(SUMPRODUCT(--ISNUMBER(SEARCH(voting,C127)))&gt;0)</f>
        <v>1</v>
      </c>
      <c r="Y127" s="14" cm="1">
        <f t="array" ref="Y127">INT(SUMPRODUCT(--ISNUMBER(SEARCH(democrattrigger,C127)))&gt;0)</f>
        <v>0</v>
      </c>
      <c r="Z127" s="14" cm="1">
        <f t="array" ref="Z127">INT(SUMPRODUCT(--ISNUMBER(SEARCH(bipartisan,C127)))&gt;0)</f>
        <v>0</v>
      </c>
      <c r="AA127" s="14">
        <f t="shared" si="1"/>
        <v>0</v>
      </c>
      <c r="AB127" s="14"/>
      <c r="AC127" s="30" t="s">
        <v>223</v>
      </c>
      <c r="AD127" s="37" t="s">
        <v>223</v>
      </c>
    </row>
    <row r="128" spans="1:30" x14ac:dyDescent="0.25">
      <c r="A128" s="36">
        <v>3969</v>
      </c>
      <c r="B128" s="14" t="s">
        <v>7961</v>
      </c>
      <c r="C128" s="14" t="s">
        <v>7962</v>
      </c>
      <c r="D128" s="17">
        <v>44128</v>
      </c>
      <c r="E128" s="14" t="s">
        <v>30</v>
      </c>
      <c r="F128" s="14">
        <v>4242</v>
      </c>
      <c r="G128" s="14">
        <v>470</v>
      </c>
      <c r="H128" s="14">
        <v>18</v>
      </c>
      <c r="I128" s="14">
        <v>9</v>
      </c>
      <c r="J128" s="14" t="s">
        <v>204</v>
      </c>
      <c r="K128" s="14" cm="1">
        <f t="array" ref="K128">INT(SUMPRODUCT(--ISNUMBER(SEARCH(economy,C128)))&gt;0)</f>
        <v>0</v>
      </c>
      <c r="L128" s="14" cm="1">
        <f t="array" ref="L128">INT(SUMPRODUCT(--ISNUMBER(SEARCH(healthcare,C128)))&gt;0)</f>
        <v>0</v>
      </c>
      <c r="M128" s="14" cm="1">
        <f t="array" ref="M128">INT(SUMPRODUCT(--ISNUMBER(SEARCH(supreme,C128)))&gt;0)</f>
        <v>0</v>
      </c>
      <c r="N128" s="14" cm="1">
        <f t="array" ref="N128">INT(SUMPRODUCT(--ISNUMBER(SEARCH(covid,C128)))&gt;0)</f>
        <v>0</v>
      </c>
      <c r="O128" s="14" cm="1">
        <f t="array" ref="O128">INT(SUMPRODUCT(--ISNUMBER(SEARCH(violent,C128)))&gt;0)</f>
        <v>0</v>
      </c>
      <c r="P128" s="14" cm="1">
        <f t="array" ref="P128">INT(SUMPRODUCT(--ISNUMBER(SEARCH(foreign,C128)))&gt;0)</f>
        <v>0</v>
      </c>
      <c r="Q128" s="14" cm="1">
        <f t="array" ref="Q128">INT(SUMPRODUCT(--ISNUMBER(SEARCH(gun,C128)))&gt;0)</f>
        <v>0</v>
      </c>
      <c r="R128" s="14" cm="1">
        <f t="array" ref="R128">INT(SUMPRODUCT(--ISNUMBER(SEARCH(race,C128)))&gt;0)</f>
        <v>0</v>
      </c>
      <c r="S128" s="14" cm="1">
        <f t="array" ref="S128">INT(SUMPRODUCT(--ISNUMBER(SEARCH(immigration,C128)))&gt;0)</f>
        <v>0</v>
      </c>
      <c r="T128" s="14" cm="1">
        <f t="array" ref="T128">INT(SUMPRODUCT(--ISNUMBER(SEARCH(econineq,C129)))&gt;0)</f>
        <v>0</v>
      </c>
      <c r="U128" s="14" cm="1">
        <f t="array" ref="U128">INT(SUMPRODUCT(--ISNUMBER(SEARCH(climate,C128)))&gt;0)</f>
        <v>0</v>
      </c>
      <c r="V128" s="14" cm="1">
        <f t="array" ref="V128">INT(SUMPRODUCT(--ISNUMBER(SEARCH(abortion,C128)))&gt;0)</f>
        <v>0</v>
      </c>
      <c r="W128" s="14" cm="1">
        <f t="array" ref="W128">INT(SUMPRODUCT(--ISNUMBER(SEARCH(trump,C128)))&gt;0)</f>
        <v>0</v>
      </c>
      <c r="X128" s="14" cm="1">
        <f t="array" ref="X128">INT(SUMPRODUCT(--ISNUMBER(SEARCH(voting,C128)))&gt;0)</f>
        <v>0</v>
      </c>
      <c r="Y128" s="14" cm="1">
        <f t="array" ref="Y128">INT(SUMPRODUCT(--ISNUMBER(SEARCH(democrattrigger,C128)))&gt;0)</f>
        <v>0</v>
      </c>
      <c r="Z128" s="14" cm="1">
        <f t="array" ref="Z128">INT(SUMPRODUCT(--ISNUMBER(SEARCH(bipartisan,C128)))&gt;0)</f>
        <v>0</v>
      </c>
      <c r="AA128" s="14">
        <f t="shared" si="1"/>
        <v>1</v>
      </c>
      <c r="AB128" s="14"/>
      <c r="AC128" s="30">
        <v>1</v>
      </c>
      <c r="AD128" s="37">
        <v>1</v>
      </c>
    </row>
    <row r="129" spans="1:30" x14ac:dyDescent="0.25">
      <c r="A129" s="36">
        <v>3970</v>
      </c>
      <c r="B129" s="14" t="s">
        <v>7963</v>
      </c>
      <c r="C129" s="14" t="s">
        <v>7964</v>
      </c>
      <c r="D129" s="17">
        <v>44128</v>
      </c>
      <c r="E129" s="14" t="s">
        <v>30</v>
      </c>
      <c r="F129" s="14">
        <v>1483</v>
      </c>
      <c r="G129" s="14">
        <v>291</v>
      </c>
      <c r="H129" s="14">
        <v>18</v>
      </c>
      <c r="I129" s="14">
        <v>9</v>
      </c>
      <c r="J129" s="14" t="s">
        <v>204</v>
      </c>
      <c r="K129" s="14" cm="1">
        <f t="array" ref="K129">INT(SUMPRODUCT(--ISNUMBER(SEARCH(economy,C129)))&gt;0)</f>
        <v>0</v>
      </c>
      <c r="L129" s="14" cm="1">
        <f t="array" ref="L129">INT(SUMPRODUCT(--ISNUMBER(SEARCH(healthcare,C129)))&gt;0)</f>
        <v>0</v>
      </c>
      <c r="M129" s="14" cm="1">
        <f t="array" ref="M129">INT(SUMPRODUCT(--ISNUMBER(SEARCH(supreme,C129)))&gt;0)</f>
        <v>0</v>
      </c>
      <c r="N129" s="14" cm="1">
        <f t="array" ref="N129">INT(SUMPRODUCT(--ISNUMBER(SEARCH(covid,C129)))&gt;0)</f>
        <v>0</v>
      </c>
      <c r="O129" s="14" cm="1">
        <f t="array" ref="O129">INT(SUMPRODUCT(--ISNUMBER(SEARCH(violent,C129)))&gt;0)</f>
        <v>0</v>
      </c>
      <c r="P129" s="14" cm="1">
        <f t="array" ref="P129">INT(SUMPRODUCT(--ISNUMBER(SEARCH(foreign,C129)))&gt;0)</f>
        <v>0</v>
      </c>
      <c r="Q129" s="14" cm="1">
        <f t="array" ref="Q129">INT(SUMPRODUCT(--ISNUMBER(SEARCH(gun,C129)))&gt;0)</f>
        <v>0</v>
      </c>
      <c r="R129" s="14" cm="1">
        <f t="array" ref="R129">INT(SUMPRODUCT(--ISNUMBER(SEARCH(race,C129)))&gt;0)</f>
        <v>0</v>
      </c>
      <c r="S129" s="14" cm="1">
        <f t="array" ref="S129">INT(SUMPRODUCT(--ISNUMBER(SEARCH(immigration,C129)))&gt;0)</f>
        <v>0</v>
      </c>
      <c r="T129" s="14" cm="1">
        <f t="array" ref="T129">INT(SUMPRODUCT(--ISNUMBER(SEARCH(econineq,C130)))&gt;0)</f>
        <v>0</v>
      </c>
      <c r="U129" s="14" cm="1">
        <f t="array" ref="U129">INT(SUMPRODUCT(--ISNUMBER(SEARCH(climate,C129)))&gt;0)</f>
        <v>0</v>
      </c>
      <c r="V129" s="14" cm="1">
        <f t="array" ref="V129">INT(SUMPRODUCT(--ISNUMBER(SEARCH(abortion,C129)))&gt;0)</f>
        <v>0</v>
      </c>
      <c r="W129" s="14" cm="1">
        <f t="array" ref="W129">INT(SUMPRODUCT(--ISNUMBER(SEARCH(trump,C129)))&gt;0)</f>
        <v>0</v>
      </c>
      <c r="X129" s="14" cm="1">
        <f t="array" ref="X129">INT(SUMPRODUCT(--ISNUMBER(SEARCH(voting,C129)))&gt;0)</f>
        <v>1</v>
      </c>
      <c r="Y129" s="14" cm="1">
        <f t="array" ref="Y129">INT(SUMPRODUCT(--ISNUMBER(SEARCH(democrattrigger,C129)))&gt;0)</f>
        <v>0</v>
      </c>
      <c r="Z129" s="14" cm="1">
        <f t="array" ref="Z129">INT(SUMPRODUCT(--ISNUMBER(SEARCH(bipartisan,C129)))&gt;0)</f>
        <v>0</v>
      </c>
      <c r="AA129" s="14">
        <f t="shared" si="1"/>
        <v>0</v>
      </c>
      <c r="AB129" s="14"/>
      <c r="AC129" s="30">
        <v>1</v>
      </c>
      <c r="AD129" s="37">
        <v>0</v>
      </c>
    </row>
    <row r="130" spans="1:30" x14ac:dyDescent="0.25">
      <c r="A130" s="36">
        <v>3971</v>
      </c>
      <c r="B130" s="14" t="s">
        <v>7965</v>
      </c>
      <c r="C130" s="14" t="s">
        <v>7966</v>
      </c>
      <c r="D130" s="17">
        <v>44128</v>
      </c>
      <c r="E130" s="14" t="s">
        <v>30</v>
      </c>
      <c r="F130" s="14">
        <v>3219</v>
      </c>
      <c r="G130" s="14">
        <v>1014</v>
      </c>
      <c r="H130" s="14">
        <v>18</v>
      </c>
      <c r="I130" s="14">
        <v>9</v>
      </c>
      <c r="J130" s="14" t="s">
        <v>204</v>
      </c>
      <c r="K130" s="14" cm="1">
        <f t="array" ref="K130">INT(SUMPRODUCT(--ISNUMBER(SEARCH(economy,C130)))&gt;0)</f>
        <v>0</v>
      </c>
      <c r="L130" s="14" cm="1">
        <f t="array" ref="L130">INT(SUMPRODUCT(--ISNUMBER(SEARCH(healthcare,C130)))&gt;0)</f>
        <v>0</v>
      </c>
      <c r="M130" s="14" cm="1">
        <f t="array" ref="M130">INT(SUMPRODUCT(--ISNUMBER(SEARCH(supreme,C130)))&gt;0)</f>
        <v>0</v>
      </c>
      <c r="N130" s="14" cm="1">
        <f t="array" ref="N130">INT(SUMPRODUCT(--ISNUMBER(SEARCH(covid,C130)))&gt;0)</f>
        <v>0</v>
      </c>
      <c r="O130" s="14" cm="1">
        <f t="array" ref="O130">INT(SUMPRODUCT(--ISNUMBER(SEARCH(violent,C130)))&gt;0)</f>
        <v>0</v>
      </c>
      <c r="P130" s="14" cm="1">
        <f t="array" ref="P130">INT(SUMPRODUCT(--ISNUMBER(SEARCH(foreign,C130)))&gt;0)</f>
        <v>0</v>
      </c>
      <c r="Q130" s="14" cm="1">
        <f t="array" ref="Q130">INT(SUMPRODUCT(--ISNUMBER(SEARCH(gun,C130)))&gt;0)</f>
        <v>0</v>
      </c>
      <c r="R130" s="14" cm="1">
        <f t="array" ref="R130">INT(SUMPRODUCT(--ISNUMBER(SEARCH(race,C130)))&gt;0)</f>
        <v>0</v>
      </c>
      <c r="S130" s="14" cm="1">
        <f t="array" ref="S130">INT(SUMPRODUCT(--ISNUMBER(SEARCH(immigration,C130)))&gt;0)</f>
        <v>0</v>
      </c>
      <c r="T130" s="14" cm="1">
        <f t="array" ref="T130">INT(SUMPRODUCT(--ISNUMBER(SEARCH(econineq,C131)))&gt;0)</f>
        <v>0</v>
      </c>
      <c r="U130" s="14" cm="1">
        <f t="array" ref="U130">INT(SUMPRODUCT(--ISNUMBER(SEARCH(climate,C130)))&gt;0)</f>
        <v>0</v>
      </c>
      <c r="V130" s="14" cm="1">
        <f t="array" ref="V130">INT(SUMPRODUCT(--ISNUMBER(SEARCH(abortion,C130)))&gt;0)</f>
        <v>0</v>
      </c>
      <c r="W130" s="14" cm="1">
        <f t="array" ref="W130">INT(SUMPRODUCT(--ISNUMBER(SEARCH(trump,C130)))&gt;0)</f>
        <v>0</v>
      </c>
      <c r="X130" s="14" cm="1">
        <f t="array" ref="X130">INT(SUMPRODUCT(--ISNUMBER(SEARCH(voting,C130)))&gt;0)</f>
        <v>0</v>
      </c>
      <c r="Y130" s="14" cm="1">
        <f t="array" ref="Y130">INT(SUMPRODUCT(--ISNUMBER(SEARCH(democrattrigger,C130)))&gt;0)</f>
        <v>1</v>
      </c>
      <c r="Z130" s="14" cm="1">
        <f t="array" ref="Z130">INT(SUMPRODUCT(--ISNUMBER(SEARCH(bipartisan,C130)))&gt;0)</f>
        <v>0</v>
      </c>
      <c r="AA130" s="14">
        <f t="shared" si="1"/>
        <v>0</v>
      </c>
      <c r="AB130" s="14"/>
      <c r="AC130" s="30">
        <v>0</v>
      </c>
      <c r="AD130" s="37">
        <v>1</v>
      </c>
    </row>
    <row r="131" spans="1:30" x14ac:dyDescent="0.25">
      <c r="A131" s="36">
        <v>3972</v>
      </c>
      <c r="B131" s="14" t="s">
        <v>7967</v>
      </c>
      <c r="C131" s="14" t="s">
        <v>7968</v>
      </c>
      <c r="D131" s="17">
        <v>44128</v>
      </c>
      <c r="E131" s="14" t="s">
        <v>30</v>
      </c>
      <c r="F131" s="14">
        <v>2234</v>
      </c>
      <c r="G131" s="14">
        <v>320</v>
      </c>
      <c r="H131" s="14">
        <v>18</v>
      </c>
      <c r="I131" s="14">
        <v>9</v>
      </c>
      <c r="J131" s="14" t="s">
        <v>204</v>
      </c>
      <c r="K131" s="14" cm="1">
        <f t="array" ref="K131">INT(SUMPRODUCT(--ISNUMBER(SEARCH(economy,C131)))&gt;0)</f>
        <v>0</v>
      </c>
      <c r="L131" s="14" cm="1">
        <f t="array" ref="L131">INT(SUMPRODUCT(--ISNUMBER(SEARCH(healthcare,C131)))&gt;0)</f>
        <v>0</v>
      </c>
      <c r="M131" s="14" cm="1">
        <f t="array" ref="M131">INT(SUMPRODUCT(--ISNUMBER(SEARCH(supreme,C131)))&gt;0)</f>
        <v>0</v>
      </c>
      <c r="N131" s="14" cm="1">
        <f t="array" ref="N131">INT(SUMPRODUCT(--ISNUMBER(SEARCH(covid,C131)))&gt;0)</f>
        <v>0</v>
      </c>
      <c r="O131" s="14" cm="1">
        <f t="array" ref="O131">INT(SUMPRODUCT(--ISNUMBER(SEARCH(violent,C131)))&gt;0)</f>
        <v>0</v>
      </c>
      <c r="P131" s="14" cm="1">
        <f t="array" ref="P131">INT(SUMPRODUCT(--ISNUMBER(SEARCH(foreign,C131)))&gt;0)</f>
        <v>0</v>
      </c>
      <c r="Q131" s="14" cm="1">
        <f t="array" ref="Q131">INT(SUMPRODUCT(--ISNUMBER(SEARCH(gun,C131)))&gt;0)</f>
        <v>0</v>
      </c>
      <c r="R131" s="14" cm="1">
        <f t="array" ref="R131">INT(SUMPRODUCT(--ISNUMBER(SEARCH(race,C131)))&gt;0)</f>
        <v>0</v>
      </c>
      <c r="S131" s="14" cm="1">
        <f t="array" ref="S131">INT(SUMPRODUCT(--ISNUMBER(SEARCH(immigration,C131)))&gt;0)</f>
        <v>0</v>
      </c>
      <c r="T131" s="14" cm="1">
        <f t="array" ref="T131">INT(SUMPRODUCT(--ISNUMBER(SEARCH(econineq,C132)))&gt;0)</f>
        <v>0</v>
      </c>
      <c r="U131" s="14" cm="1">
        <f t="array" ref="U131">INT(SUMPRODUCT(--ISNUMBER(SEARCH(climate,C131)))&gt;0)</f>
        <v>0</v>
      </c>
      <c r="V131" s="14" cm="1">
        <f t="array" ref="V131">INT(SUMPRODUCT(--ISNUMBER(SEARCH(abortion,C131)))&gt;0)</f>
        <v>0</v>
      </c>
      <c r="W131" s="14" cm="1">
        <f t="array" ref="W131">INT(SUMPRODUCT(--ISNUMBER(SEARCH(trump,C131)))&gt;0)</f>
        <v>0</v>
      </c>
      <c r="X131" s="14" cm="1">
        <f t="array" ref="X131">INT(SUMPRODUCT(--ISNUMBER(SEARCH(voting,C131)))&gt;0)</f>
        <v>1</v>
      </c>
      <c r="Y131" s="14" cm="1">
        <f t="array" ref="Y131">INT(SUMPRODUCT(--ISNUMBER(SEARCH(democrattrigger,C131)))&gt;0)</f>
        <v>0</v>
      </c>
      <c r="Z131" s="14" cm="1">
        <f t="array" ref="Z131">INT(SUMPRODUCT(--ISNUMBER(SEARCH(bipartisan,C131)))&gt;0)</f>
        <v>0</v>
      </c>
      <c r="AA131" s="14">
        <f t="shared" ref="AA131:AA194" si="2">INT(IF(COUNTIF(K131:Z131,1)=0,"1","0"))</f>
        <v>0</v>
      </c>
      <c r="AB131" s="14"/>
      <c r="AC131" s="30" t="s">
        <v>223</v>
      </c>
      <c r="AD131" s="37" t="s">
        <v>223</v>
      </c>
    </row>
    <row r="132" spans="1:30" x14ac:dyDescent="0.25">
      <c r="A132" s="36">
        <v>3973</v>
      </c>
      <c r="B132" s="14" t="s">
        <v>7969</v>
      </c>
      <c r="C132" s="14" t="s">
        <v>7970</v>
      </c>
      <c r="D132" s="17">
        <v>44128</v>
      </c>
      <c r="E132" s="14" t="s">
        <v>30</v>
      </c>
      <c r="F132" s="14">
        <v>2273</v>
      </c>
      <c r="G132" s="14">
        <v>397</v>
      </c>
      <c r="H132" s="14">
        <v>18</v>
      </c>
      <c r="I132" s="14">
        <v>9</v>
      </c>
      <c r="J132" s="14" t="s">
        <v>204</v>
      </c>
      <c r="K132" s="14" cm="1">
        <f t="array" ref="K132">INT(SUMPRODUCT(--ISNUMBER(SEARCH(economy,C132)))&gt;0)</f>
        <v>0</v>
      </c>
      <c r="L132" s="14" cm="1">
        <f t="array" ref="L132">INT(SUMPRODUCT(--ISNUMBER(SEARCH(healthcare,C132)))&gt;0)</f>
        <v>0</v>
      </c>
      <c r="M132" s="14" cm="1">
        <f t="array" ref="M132">INT(SUMPRODUCT(--ISNUMBER(SEARCH(supreme,C132)))&gt;0)</f>
        <v>0</v>
      </c>
      <c r="N132" s="14" cm="1">
        <f t="array" ref="N132">INT(SUMPRODUCT(--ISNUMBER(SEARCH(covid,C132)))&gt;0)</f>
        <v>0</v>
      </c>
      <c r="O132" s="14" cm="1">
        <f t="array" ref="O132">INT(SUMPRODUCT(--ISNUMBER(SEARCH(violent,C132)))&gt;0)</f>
        <v>0</v>
      </c>
      <c r="P132" s="14" cm="1">
        <f t="array" ref="P132">INT(SUMPRODUCT(--ISNUMBER(SEARCH(foreign,C132)))&gt;0)</f>
        <v>0</v>
      </c>
      <c r="Q132" s="14" cm="1">
        <f t="array" ref="Q132">INT(SUMPRODUCT(--ISNUMBER(SEARCH(gun,C132)))&gt;0)</f>
        <v>0</v>
      </c>
      <c r="R132" s="14" cm="1">
        <f t="array" ref="R132">INT(SUMPRODUCT(--ISNUMBER(SEARCH(race,C132)))&gt;0)</f>
        <v>0</v>
      </c>
      <c r="S132" s="14" cm="1">
        <f t="array" ref="S132">INT(SUMPRODUCT(--ISNUMBER(SEARCH(immigration,C132)))&gt;0)</f>
        <v>1</v>
      </c>
      <c r="T132" s="14" cm="1">
        <f t="array" ref="T132">INT(SUMPRODUCT(--ISNUMBER(SEARCH(econineq,C133)))&gt;0)</f>
        <v>0</v>
      </c>
      <c r="U132" s="14" cm="1">
        <f t="array" ref="U132">INT(SUMPRODUCT(--ISNUMBER(SEARCH(climate,C132)))&gt;0)</f>
        <v>0</v>
      </c>
      <c r="V132" s="14" cm="1">
        <f t="array" ref="V132">INT(SUMPRODUCT(--ISNUMBER(SEARCH(abortion,C132)))&gt;0)</f>
        <v>0</v>
      </c>
      <c r="W132" s="14" cm="1">
        <f t="array" ref="W132">INT(SUMPRODUCT(--ISNUMBER(SEARCH(trump,C132)))&gt;0)</f>
        <v>0</v>
      </c>
      <c r="X132" s="14" cm="1">
        <f t="array" ref="X132">INT(SUMPRODUCT(--ISNUMBER(SEARCH(voting,C132)))&gt;0)</f>
        <v>0</v>
      </c>
      <c r="Y132" s="14" cm="1">
        <f t="array" ref="Y132">INT(SUMPRODUCT(--ISNUMBER(SEARCH(democrattrigger,C132)))&gt;0)</f>
        <v>0</v>
      </c>
      <c r="Z132" s="14" cm="1">
        <f t="array" ref="Z132">INT(SUMPRODUCT(--ISNUMBER(SEARCH(bipartisan,C132)))&gt;0)</f>
        <v>0</v>
      </c>
      <c r="AA132" s="14">
        <f t="shared" si="2"/>
        <v>0</v>
      </c>
      <c r="AB132" s="14"/>
      <c r="AC132" s="30">
        <v>1</v>
      </c>
      <c r="AD132" s="37">
        <v>0</v>
      </c>
    </row>
    <row r="133" spans="1:30" x14ac:dyDescent="0.25">
      <c r="A133" s="36">
        <v>3974</v>
      </c>
      <c r="B133" s="14" t="s">
        <v>7971</v>
      </c>
      <c r="C133" s="14" t="s">
        <v>7972</v>
      </c>
      <c r="D133" s="17">
        <v>44128</v>
      </c>
      <c r="E133" s="14" t="s">
        <v>30</v>
      </c>
      <c r="F133" s="14">
        <v>2837</v>
      </c>
      <c r="G133" s="14">
        <v>536</v>
      </c>
      <c r="H133" s="14">
        <v>18</v>
      </c>
      <c r="I133" s="14">
        <v>9</v>
      </c>
      <c r="J133" s="14" t="s">
        <v>204</v>
      </c>
      <c r="K133" s="14" cm="1">
        <f t="array" ref="K133">INT(SUMPRODUCT(--ISNUMBER(SEARCH(economy,C133)))&gt;0)</f>
        <v>0</v>
      </c>
      <c r="L133" s="14" cm="1">
        <f t="array" ref="L133">INT(SUMPRODUCT(--ISNUMBER(SEARCH(healthcare,C133)))&gt;0)</f>
        <v>0</v>
      </c>
      <c r="M133" s="14" cm="1">
        <f t="array" ref="M133">INT(SUMPRODUCT(--ISNUMBER(SEARCH(supreme,C133)))&gt;0)</f>
        <v>0</v>
      </c>
      <c r="N133" s="14" cm="1">
        <f t="array" ref="N133">INT(SUMPRODUCT(--ISNUMBER(SEARCH(covid,C133)))&gt;0)</f>
        <v>0</v>
      </c>
      <c r="O133" s="14" cm="1">
        <f t="array" ref="O133">INT(SUMPRODUCT(--ISNUMBER(SEARCH(violent,C133)))&gt;0)</f>
        <v>0</v>
      </c>
      <c r="P133" s="14" cm="1">
        <f t="array" ref="P133">INT(SUMPRODUCT(--ISNUMBER(SEARCH(foreign,C133)))&gt;0)</f>
        <v>0</v>
      </c>
      <c r="Q133" s="14" cm="1">
        <f t="array" ref="Q133">INT(SUMPRODUCT(--ISNUMBER(SEARCH(gun,C133)))&gt;0)</f>
        <v>0</v>
      </c>
      <c r="R133" s="14" cm="1">
        <f t="array" ref="R133">INT(SUMPRODUCT(--ISNUMBER(SEARCH(race,C133)))&gt;0)</f>
        <v>0</v>
      </c>
      <c r="S133" s="14" cm="1">
        <f t="array" ref="S133">INT(SUMPRODUCT(--ISNUMBER(SEARCH(immigration,C133)))&gt;0)</f>
        <v>0</v>
      </c>
      <c r="T133" s="14" cm="1">
        <f t="array" ref="T133">INT(SUMPRODUCT(--ISNUMBER(SEARCH(econineq,C134)))&gt;0)</f>
        <v>0</v>
      </c>
      <c r="U133" s="14" cm="1">
        <f t="array" ref="U133">INT(SUMPRODUCT(--ISNUMBER(SEARCH(climate,C133)))&gt;0)</f>
        <v>0</v>
      </c>
      <c r="V133" s="14" cm="1">
        <f t="array" ref="V133">INT(SUMPRODUCT(--ISNUMBER(SEARCH(abortion,C133)))&gt;0)</f>
        <v>0</v>
      </c>
      <c r="W133" s="14" cm="1">
        <f t="array" ref="W133">INT(SUMPRODUCT(--ISNUMBER(SEARCH(trump,C133)))&gt;0)</f>
        <v>0</v>
      </c>
      <c r="X133" s="14" cm="1">
        <f t="array" ref="X133">INT(SUMPRODUCT(--ISNUMBER(SEARCH(voting,C133)))&gt;0)</f>
        <v>1</v>
      </c>
      <c r="Y133" s="14" cm="1">
        <f t="array" ref="Y133">INT(SUMPRODUCT(--ISNUMBER(SEARCH(democrattrigger,C133)))&gt;0)</f>
        <v>0</v>
      </c>
      <c r="Z133" s="14" cm="1">
        <f t="array" ref="Z133">INT(SUMPRODUCT(--ISNUMBER(SEARCH(bipartisan,C133)))&gt;0)</f>
        <v>0</v>
      </c>
      <c r="AA133" s="14">
        <f t="shared" si="2"/>
        <v>0</v>
      </c>
      <c r="AB133" s="14"/>
      <c r="AC133" s="30">
        <v>1</v>
      </c>
      <c r="AD133" s="37">
        <v>0</v>
      </c>
    </row>
    <row r="134" spans="1:30" x14ac:dyDescent="0.25">
      <c r="A134" s="36">
        <v>3975</v>
      </c>
      <c r="B134" s="14" t="s">
        <v>7973</v>
      </c>
      <c r="C134" s="14" t="s">
        <v>7974</v>
      </c>
      <c r="D134" s="17">
        <v>44128</v>
      </c>
      <c r="E134" s="14" t="s">
        <v>30</v>
      </c>
      <c r="F134" s="14">
        <v>932</v>
      </c>
      <c r="G134" s="14">
        <v>288</v>
      </c>
      <c r="H134" s="14">
        <v>18</v>
      </c>
      <c r="I134" s="14">
        <v>9</v>
      </c>
      <c r="J134" s="14" t="s">
        <v>204</v>
      </c>
      <c r="K134" s="14" cm="1">
        <f t="array" ref="K134">INT(SUMPRODUCT(--ISNUMBER(SEARCH(economy,C134)))&gt;0)</f>
        <v>0</v>
      </c>
      <c r="L134" s="14" cm="1">
        <f t="array" ref="L134">INT(SUMPRODUCT(--ISNUMBER(SEARCH(healthcare,C134)))&gt;0)</f>
        <v>0</v>
      </c>
      <c r="M134" s="14" cm="1">
        <f t="array" ref="M134">INT(SUMPRODUCT(--ISNUMBER(SEARCH(supreme,C134)))&gt;0)</f>
        <v>0</v>
      </c>
      <c r="N134" s="14" cm="1">
        <f t="array" ref="N134">INT(SUMPRODUCT(--ISNUMBER(SEARCH(covid,C134)))&gt;0)</f>
        <v>1</v>
      </c>
      <c r="O134" s="14" cm="1">
        <f t="array" ref="O134">INT(SUMPRODUCT(--ISNUMBER(SEARCH(violent,C134)))&gt;0)</f>
        <v>0</v>
      </c>
      <c r="P134" s="14" cm="1">
        <f t="array" ref="P134">INT(SUMPRODUCT(--ISNUMBER(SEARCH(foreign,C134)))&gt;0)</f>
        <v>0</v>
      </c>
      <c r="Q134" s="14" cm="1">
        <f t="array" ref="Q134">INT(SUMPRODUCT(--ISNUMBER(SEARCH(gun,C134)))&gt;0)</f>
        <v>0</v>
      </c>
      <c r="R134" s="14" cm="1">
        <f t="array" ref="R134">INT(SUMPRODUCT(--ISNUMBER(SEARCH(race,C134)))&gt;0)</f>
        <v>0</v>
      </c>
      <c r="S134" s="14" cm="1">
        <f t="array" ref="S134">INT(SUMPRODUCT(--ISNUMBER(SEARCH(immigration,C134)))&gt;0)</f>
        <v>0</v>
      </c>
      <c r="T134" s="14" cm="1">
        <f t="array" ref="T134">INT(SUMPRODUCT(--ISNUMBER(SEARCH(econineq,C135)))&gt;0)</f>
        <v>0</v>
      </c>
      <c r="U134" s="14" cm="1">
        <f t="array" ref="U134">INT(SUMPRODUCT(--ISNUMBER(SEARCH(climate,C134)))&gt;0)</f>
        <v>0</v>
      </c>
      <c r="V134" s="14" cm="1">
        <f t="array" ref="V134">INT(SUMPRODUCT(--ISNUMBER(SEARCH(abortion,C134)))&gt;0)</f>
        <v>0</v>
      </c>
      <c r="W134" s="14" cm="1">
        <f t="array" ref="W134">INT(SUMPRODUCT(--ISNUMBER(SEARCH(trump,C134)))&gt;0)</f>
        <v>0</v>
      </c>
      <c r="X134" s="14" cm="1">
        <f t="array" ref="X134">INT(SUMPRODUCT(--ISNUMBER(SEARCH(voting,C134)))&gt;0)</f>
        <v>1</v>
      </c>
      <c r="Y134" s="14" cm="1">
        <f t="array" ref="Y134">INT(SUMPRODUCT(--ISNUMBER(SEARCH(democrattrigger,C134)))&gt;0)</f>
        <v>0</v>
      </c>
      <c r="Z134" s="14" cm="1">
        <f t="array" ref="Z134">INT(SUMPRODUCT(--ISNUMBER(SEARCH(bipartisan,C134)))&gt;0)</f>
        <v>0</v>
      </c>
      <c r="AA134" s="14">
        <f t="shared" si="2"/>
        <v>0</v>
      </c>
      <c r="AB134" s="14"/>
      <c r="AC134" s="30" t="s">
        <v>223</v>
      </c>
      <c r="AD134" s="37" t="s">
        <v>223</v>
      </c>
    </row>
    <row r="135" spans="1:30" x14ac:dyDescent="0.25">
      <c r="A135" s="36">
        <v>3976</v>
      </c>
      <c r="B135" s="14" t="s">
        <v>7975</v>
      </c>
      <c r="C135" s="14" t="s">
        <v>7976</v>
      </c>
      <c r="D135" s="17">
        <v>44127</v>
      </c>
      <c r="E135" s="14" t="s">
        <v>30</v>
      </c>
      <c r="F135" s="14">
        <v>596</v>
      </c>
      <c r="G135" s="14">
        <v>158</v>
      </c>
      <c r="H135" s="14">
        <v>18</v>
      </c>
      <c r="I135" s="14">
        <v>9</v>
      </c>
      <c r="J135" s="14" t="s">
        <v>204</v>
      </c>
      <c r="K135" s="14" cm="1">
        <f t="array" ref="K135">INT(SUMPRODUCT(--ISNUMBER(SEARCH(economy,C135)))&gt;0)</f>
        <v>0</v>
      </c>
      <c r="L135" s="14" cm="1">
        <f t="array" ref="L135">INT(SUMPRODUCT(--ISNUMBER(SEARCH(healthcare,C135)))&gt;0)</f>
        <v>0</v>
      </c>
      <c r="M135" s="14" cm="1">
        <f t="array" ref="M135">INT(SUMPRODUCT(--ISNUMBER(SEARCH(supreme,C135)))&gt;0)</f>
        <v>0</v>
      </c>
      <c r="N135" s="14" cm="1">
        <f t="array" ref="N135">INT(SUMPRODUCT(--ISNUMBER(SEARCH(covid,C135)))&gt;0)</f>
        <v>0</v>
      </c>
      <c r="O135" s="14" cm="1">
        <f t="array" ref="O135">INT(SUMPRODUCT(--ISNUMBER(SEARCH(violent,C135)))&gt;0)</f>
        <v>0</v>
      </c>
      <c r="P135" s="14" cm="1">
        <f t="array" ref="P135">INT(SUMPRODUCT(--ISNUMBER(SEARCH(foreign,C135)))&gt;0)</f>
        <v>0</v>
      </c>
      <c r="Q135" s="14" cm="1">
        <f t="array" ref="Q135">INT(SUMPRODUCT(--ISNUMBER(SEARCH(gun,C135)))&gt;0)</f>
        <v>0</v>
      </c>
      <c r="R135" s="14" cm="1">
        <f t="array" ref="R135">INT(SUMPRODUCT(--ISNUMBER(SEARCH(race,C135)))&gt;0)</f>
        <v>0</v>
      </c>
      <c r="S135" s="14" cm="1">
        <f t="array" ref="S135">INT(SUMPRODUCT(--ISNUMBER(SEARCH(immigration,C135)))&gt;0)</f>
        <v>0</v>
      </c>
      <c r="T135" s="14" cm="1">
        <f t="array" ref="T135">INT(SUMPRODUCT(--ISNUMBER(SEARCH(econineq,C136)))&gt;0)</f>
        <v>0</v>
      </c>
      <c r="U135" s="14" cm="1">
        <f t="array" ref="U135">INT(SUMPRODUCT(--ISNUMBER(SEARCH(climate,C135)))&gt;0)</f>
        <v>0</v>
      </c>
      <c r="V135" s="14" cm="1">
        <f t="array" ref="V135">INT(SUMPRODUCT(--ISNUMBER(SEARCH(abortion,C135)))&gt;0)</f>
        <v>0</v>
      </c>
      <c r="W135" s="14" cm="1">
        <f t="array" ref="W135">INT(SUMPRODUCT(--ISNUMBER(SEARCH(trump,C135)))&gt;0)</f>
        <v>0</v>
      </c>
      <c r="X135" s="14" cm="1">
        <f t="array" ref="X135">INT(SUMPRODUCT(--ISNUMBER(SEARCH(voting,C135)))&gt;0)</f>
        <v>0</v>
      </c>
      <c r="Y135" s="14" cm="1">
        <f t="array" ref="Y135">INT(SUMPRODUCT(--ISNUMBER(SEARCH(democrattrigger,C135)))&gt;0)</f>
        <v>0</v>
      </c>
      <c r="Z135" s="14" cm="1">
        <f t="array" ref="Z135">INT(SUMPRODUCT(--ISNUMBER(SEARCH(bipartisan,C135)))&gt;0)</f>
        <v>0</v>
      </c>
      <c r="AA135" s="14">
        <f t="shared" si="2"/>
        <v>1</v>
      </c>
      <c r="AB135" s="14"/>
      <c r="AC135" s="30" t="s">
        <v>223</v>
      </c>
      <c r="AD135" s="37" t="s">
        <v>223</v>
      </c>
    </row>
    <row r="136" spans="1:30" x14ac:dyDescent="0.25">
      <c r="A136" s="36">
        <v>3977</v>
      </c>
      <c r="B136" s="14" t="s">
        <v>7977</v>
      </c>
      <c r="C136" s="14" t="s">
        <v>7978</v>
      </c>
      <c r="D136" s="17">
        <v>44127</v>
      </c>
      <c r="E136" s="14" t="s">
        <v>30</v>
      </c>
      <c r="F136" s="14">
        <v>1167</v>
      </c>
      <c r="G136" s="14">
        <v>374</v>
      </c>
      <c r="H136" s="14">
        <v>18</v>
      </c>
      <c r="I136" s="14">
        <v>9</v>
      </c>
      <c r="J136" s="14" t="s">
        <v>204</v>
      </c>
      <c r="K136" s="14" cm="1">
        <f t="array" ref="K136">INT(SUMPRODUCT(--ISNUMBER(SEARCH(economy,C136)))&gt;0)</f>
        <v>1</v>
      </c>
      <c r="L136" s="14" cm="1">
        <f t="array" ref="L136">INT(SUMPRODUCT(--ISNUMBER(SEARCH(healthcare,C136)))&gt;0)</f>
        <v>0</v>
      </c>
      <c r="M136" s="14" cm="1">
        <f t="array" ref="M136">INT(SUMPRODUCT(--ISNUMBER(SEARCH(supreme,C136)))&gt;0)</f>
        <v>0</v>
      </c>
      <c r="N136" s="14" cm="1">
        <f t="array" ref="N136">INT(SUMPRODUCT(--ISNUMBER(SEARCH(covid,C136)))&gt;0)</f>
        <v>1</v>
      </c>
      <c r="O136" s="14" cm="1">
        <f t="array" ref="O136">INT(SUMPRODUCT(--ISNUMBER(SEARCH(violent,C136)))&gt;0)</f>
        <v>0</v>
      </c>
      <c r="P136" s="14" cm="1">
        <f t="array" ref="P136">INT(SUMPRODUCT(--ISNUMBER(SEARCH(foreign,C136)))&gt;0)</f>
        <v>0</v>
      </c>
      <c r="Q136" s="14" cm="1">
        <f t="array" ref="Q136">INT(SUMPRODUCT(--ISNUMBER(SEARCH(gun,C136)))&gt;0)</f>
        <v>0</v>
      </c>
      <c r="R136" s="14" cm="1">
        <f t="array" ref="R136">INT(SUMPRODUCT(--ISNUMBER(SEARCH(race,C136)))&gt;0)</f>
        <v>1</v>
      </c>
      <c r="S136" s="14" cm="1">
        <f t="array" ref="S136">INT(SUMPRODUCT(--ISNUMBER(SEARCH(immigration,C136)))&gt;0)</f>
        <v>0</v>
      </c>
      <c r="T136" s="14" cm="1">
        <f t="array" ref="T136">INT(SUMPRODUCT(--ISNUMBER(SEARCH(econineq,C137)))&gt;0)</f>
        <v>0</v>
      </c>
      <c r="U136" s="14" cm="1">
        <f t="array" ref="U136">INT(SUMPRODUCT(--ISNUMBER(SEARCH(climate,C136)))&gt;0)</f>
        <v>0</v>
      </c>
      <c r="V136" s="14" cm="1">
        <f t="array" ref="V136">INT(SUMPRODUCT(--ISNUMBER(SEARCH(abortion,C136)))&gt;0)</f>
        <v>0</v>
      </c>
      <c r="W136" s="14" cm="1">
        <f t="array" ref="W136">INT(SUMPRODUCT(--ISNUMBER(SEARCH(trump,C136)))&gt;0)</f>
        <v>0</v>
      </c>
      <c r="X136" s="14" cm="1">
        <f t="array" ref="X136">INT(SUMPRODUCT(--ISNUMBER(SEARCH(voting,C136)))&gt;0)</f>
        <v>0</v>
      </c>
      <c r="Y136" s="14" cm="1">
        <f t="array" ref="Y136">INT(SUMPRODUCT(--ISNUMBER(SEARCH(democrattrigger,C136)))&gt;0)</f>
        <v>0</v>
      </c>
      <c r="Z136" s="14" cm="1">
        <f t="array" ref="Z136">INT(SUMPRODUCT(--ISNUMBER(SEARCH(bipartisan,C136)))&gt;0)</f>
        <v>0</v>
      </c>
      <c r="AA136" s="14">
        <f t="shared" si="2"/>
        <v>0</v>
      </c>
      <c r="AB136" s="14"/>
      <c r="AC136" s="30">
        <v>0</v>
      </c>
      <c r="AD136" s="37">
        <v>1</v>
      </c>
    </row>
    <row r="137" spans="1:30" x14ac:dyDescent="0.25">
      <c r="A137" s="36">
        <v>3978</v>
      </c>
      <c r="B137" s="14" t="s">
        <v>7979</v>
      </c>
      <c r="C137" s="14" t="s">
        <v>7980</v>
      </c>
      <c r="D137" s="17">
        <v>44127</v>
      </c>
      <c r="E137" s="14" t="s">
        <v>70</v>
      </c>
      <c r="F137" s="14">
        <v>1760</v>
      </c>
      <c r="G137" s="14">
        <v>422</v>
      </c>
      <c r="H137" s="14">
        <v>18</v>
      </c>
      <c r="I137" s="14">
        <v>9</v>
      </c>
      <c r="J137" s="14" t="s">
        <v>204</v>
      </c>
      <c r="K137" s="14" cm="1">
        <f t="array" ref="K137">INT(SUMPRODUCT(--ISNUMBER(SEARCH(economy,C137)))&gt;0)</f>
        <v>1</v>
      </c>
      <c r="L137" s="14" cm="1">
        <f t="array" ref="L137">INT(SUMPRODUCT(--ISNUMBER(SEARCH(healthcare,C137)))&gt;0)</f>
        <v>0</v>
      </c>
      <c r="M137" s="14" cm="1">
        <f t="array" ref="M137">INT(SUMPRODUCT(--ISNUMBER(SEARCH(supreme,C137)))&gt;0)</f>
        <v>0</v>
      </c>
      <c r="N137" s="14" cm="1">
        <f t="array" ref="N137">INT(SUMPRODUCT(--ISNUMBER(SEARCH(covid,C137)))&gt;0)</f>
        <v>0</v>
      </c>
      <c r="O137" s="14" cm="1">
        <f t="array" ref="O137">INT(SUMPRODUCT(--ISNUMBER(SEARCH(violent,C137)))&gt;0)</f>
        <v>0</v>
      </c>
      <c r="P137" s="14" cm="1">
        <f t="array" ref="P137">INT(SUMPRODUCT(--ISNUMBER(SEARCH(foreign,C137)))&gt;0)</f>
        <v>0</v>
      </c>
      <c r="Q137" s="14" cm="1">
        <f t="array" ref="Q137">INT(SUMPRODUCT(--ISNUMBER(SEARCH(gun,C137)))&gt;0)</f>
        <v>0</v>
      </c>
      <c r="R137" s="14" cm="1">
        <f t="array" ref="R137">INT(SUMPRODUCT(--ISNUMBER(SEARCH(race,C137)))&gt;0)</f>
        <v>0</v>
      </c>
      <c r="S137" s="14" cm="1">
        <f t="array" ref="S137">INT(SUMPRODUCT(--ISNUMBER(SEARCH(immigration,C137)))&gt;0)</f>
        <v>0</v>
      </c>
      <c r="T137" s="14" cm="1">
        <f t="array" ref="T137">INT(SUMPRODUCT(--ISNUMBER(SEARCH(econineq,C138)))&gt;0)</f>
        <v>0</v>
      </c>
      <c r="U137" s="14" cm="1">
        <f t="array" ref="U137">INT(SUMPRODUCT(--ISNUMBER(SEARCH(climate,C137)))&gt;0)</f>
        <v>1</v>
      </c>
      <c r="V137" s="14" cm="1">
        <f t="array" ref="V137">INT(SUMPRODUCT(--ISNUMBER(SEARCH(abortion,C137)))&gt;0)</f>
        <v>0</v>
      </c>
      <c r="W137" s="14" cm="1">
        <f t="array" ref="W137">INT(SUMPRODUCT(--ISNUMBER(SEARCH(trump,C137)))&gt;0)</f>
        <v>0</v>
      </c>
      <c r="X137" s="14" cm="1">
        <f t="array" ref="X137">INT(SUMPRODUCT(--ISNUMBER(SEARCH(voting,C137)))&gt;0)</f>
        <v>0</v>
      </c>
      <c r="Y137" s="14" cm="1">
        <f t="array" ref="Y137">INT(SUMPRODUCT(--ISNUMBER(SEARCH(democrattrigger,C137)))&gt;0)</f>
        <v>1</v>
      </c>
      <c r="Z137" s="14" cm="1">
        <f t="array" ref="Z137">INT(SUMPRODUCT(--ISNUMBER(SEARCH(bipartisan,C137)))&gt;0)</f>
        <v>0</v>
      </c>
      <c r="AA137" s="14">
        <f t="shared" si="2"/>
        <v>0</v>
      </c>
      <c r="AB137" s="14"/>
      <c r="AC137" s="30" t="s">
        <v>223</v>
      </c>
      <c r="AD137" s="37" t="s">
        <v>223</v>
      </c>
    </row>
    <row r="138" spans="1:30" x14ac:dyDescent="0.25">
      <c r="A138" s="36">
        <v>3979</v>
      </c>
      <c r="B138" s="14" t="s">
        <v>7981</v>
      </c>
      <c r="C138" s="14" t="s">
        <v>7982</v>
      </c>
      <c r="D138" s="17">
        <v>44127</v>
      </c>
      <c r="E138" s="14" t="s">
        <v>70</v>
      </c>
      <c r="F138" s="14">
        <v>1706</v>
      </c>
      <c r="G138" s="14">
        <v>377</v>
      </c>
      <c r="H138" s="14">
        <v>18</v>
      </c>
      <c r="I138" s="14">
        <v>9</v>
      </c>
      <c r="J138" s="14" t="s">
        <v>204</v>
      </c>
      <c r="K138" s="14" cm="1">
        <f t="array" ref="K138">INT(SUMPRODUCT(--ISNUMBER(SEARCH(economy,C138)))&gt;0)</f>
        <v>1</v>
      </c>
      <c r="L138" s="14" cm="1">
        <f t="array" ref="L138">INT(SUMPRODUCT(--ISNUMBER(SEARCH(healthcare,C138)))&gt;0)</f>
        <v>0</v>
      </c>
      <c r="M138" s="14" cm="1">
        <f t="array" ref="M138">INT(SUMPRODUCT(--ISNUMBER(SEARCH(supreme,C138)))&gt;0)</f>
        <v>0</v>
      </c>
      <c r="N138" s="14" cm="1">
        <f t="array" ref="N138">INT(SUMPRODUCT(--ISNUMBER(SEARCH(covid,C138)))&gt;0)</f>
        <v>0</v>
      </c>
      <c r="O138" s="14" cm="1">
        <f t="array" ref="O138">INT(SUMPRODUCT(--ISNUMBER(SEARCH(violent,C138)))&gt;0)</f>
        <v>0</v>
      </c>
      <c r="P138" s="14" cm="1">
        <f t="array" ref="P138">INT(SUMPRODUCT(--ISNUMBER(SEARCH(foreign,C138)))&gt;0)</f>
        <v>0</v>
      </c>
      <c r="Q138" s="14" cm="1">
        <f t="array" ref="Q138">INT(SUMPRODUCT(--ISNUMBER(SEARCH(gun,C138)))&gt;0)</f>
        <v>0</v>
      </c>
      <c r="R138" s="14" cm="1">
        <f t="array" ref="R138">INT(SUMPRODUCT(--ISNUMBER(SEARCH(race,C138)))&gt;0)</f>
        <v>0</v>
      </c>
      <c r="S138" s="14" cm="1">
        <f t="array" ref="S138">INT(SUMPRODUCT(--ISNUMBER(SEARCH(immigration,C138)))&gt;0)</f>
        <v>0</v>
      </c>
      <c r="T138" s="14" cm="1">
        <f t="array" ref="T138">INT(SUMPRODUCT(--ISNUMBER(SEARCH(econineq,C139)))&gt;0)</f>
        <v>0</v>
      </c>
      <c r="U138" s="14" cm="1">
        <f t="array" ref="U138">INT(SUMPRODUCT(--ISNUMBER(SEARCH(climate,C138)))&gt;0)</f>
        <v>1</v>
      </c>
      <c r="V138" s="14" cm="1">
        <f t="array" ref="V138">INT(SUMPRODUCT(--ISNUMBER(SEARCH(abortion,C138)))&gt;0)</f>
        <v>0</v>
      </c>
      <c r="W138" s="14" cm="1">
        <f t="array" ref="W138">INT(SUMPRODUCT(--ISNUMBER(SEARCH(trump,C138)))&gt;0)</f>
        <v>0</v>
      </c>
      <c r="X138" s="14" cm="1">
        <f t="array" ref="X138">INT(SUMPRODUCT(--ISNUMBER(SEARCH(voting,C138)))&gt;0)</f>
        <v>0</v>
      </c>
      <c r="Y138" s="14" cm="1">
        <f t="array" ref="Y138">INT(SUMPRODUCT(--ISNUMBER(SEARCH(democrattrigger,C138)))&gt;0)</f>
        <v>0</v>
      </c>
      <c r="Z138" s="14" cm="1">
        <f t="array" ref="Z138">INT(SUMPRODUCT(--ISNUMBER(SEARCH(bipartisan,C138)))&gt;0)</f>
        <v>0</v>
      </c>
      <c r="AA138" s="14">
        <f t="shared" si="2"/>
        <v>0</v>
      </c>
      <c r="AB138" s="14"/>
      <c r="AC138" s="30" t="s">
        <v>223</v>
      </c>
      <c r="AD138" s="37" t="s">
        <v>223</v>
      </c>
    </row>
    <row r="139" spans="1:30" x14ac:dyDescent="0.25">
      <c r="A139" s="36">
        <v>3980</v>
      </c>
      <c r="B139" s="14" t="s">
        <v>7983</v>
      </c>
      <c r="C139" s="14" t="s">
        <v>7984</v>
      </c>
      <c r="D139" s="17">
        <v>44127</v>
      </c>
      <c r="E139" s="14" t="s">
        <v>70</v>
      </c>
      <c r="F139" s="14">
        <v>1575</v>
      </c>
      <c r="G139" s="14">
        <v>521</v>
      </c>
      <c r="H139" s="14">
        <v>18</v>
      </c>
      <c r="I139" s="14">
        <v>9</v>
      </c>
      <c r="J139" s="14" t="s">
        <v>204</v>
      </c>
      <c r="K139" s="14" cm="1">
        <f t="array" ref="K139">INT(SUMPRODUCT(--ISNUMBER(SEARCH(economy,C139)))&gt;0)</f>
        <v>1</v>
      </c>
      <c r="L139" s="14" cm="1">
        <f t="array" ref="L139">INT(SUMPRODUCT(--ISNUMBER(SEARCH(healthcare,C139)))&gt;0)</f>
        <v>0</v>
      </c>
      <c r="M139" s="14" cm="1">
        <f t="array" ref="M139">INT(SUMPRODUCT(--ISNUMBER(SEARCH(supreme,C139)))&gt;0)</f>
        <v>0</v>
      </c>
      <c r="N139" s="14" cm="1">
        <f t="array" ref="N139">INT(SUMPRODUCT(--ISNUMBER(SEARCH(covid,C139)))&gt;0)</f>
        <v>0</v>
      </c>
      <c r="O139" s="14" cm="1">
        <f t="array" ref="O139">INT(SUMPRODUCT(--ISNUMBER(SEARCH(violent,C139)))&gt;0)</f>
        <v>0</v>
      </c>
      <c r="P139" s="14" cm="1">
        <f t="array" ref="P139">INT(SUMPRODUCT(--ISNUMBER(SEARCH(foreign,C139)))&gt;0)</f>
        <v>0</v>
      </c>
      <c r="Q139" s="14" cm="1">
        <f t="array" ref="Q139">INT(SUMPRODUCT(--ISNUMBER(SEARCH(gun,C139)))&gt;0)</f>
        <v>0</v>
      </c>
      <c r="R139" s="14" cm="1">
        <f t="array" ref="R139">INT(SUMPRODUCT(--ISNUMBER(SEARCH(race,C139)))&gt;0)</f>
        <v>0</v>
      </c>
      <c r="S139" s="14" cm="1">
        <f t="array" ref="S139">INT(SUMPRODUCT(--ISNUMBER(SEARCH(immigration,C139)))&gt;0)</f>
        <v>0</v>
      </c>
      <c r="T139" s="14" cm="1">
        <f t="array" ref="T139">INT(SUMPRODUCT(--ISNUMBER(SEARCH(econineq,C140)))&gt;0)</f>
        <v>0</v>
      </c>
      <c r="U139" s="14" cm="1">
        <f t="array" ref="U139">INT(SUMPRODUCT(--ISNUMBER(SEARCH(climate,C139)))&gt;0)</f>
        <v>1</v>
      </c>
      <c r="V139" s="14" cm="1">
        <f t="array" ref="V139">INT(SUMPRODUCT(--ISNUMBER(SEARCH(abortion,C139)))&gt;0)</f>
        <v>0</v>
      </c>
      <c r="W139" s="14" cm="1">
        <f t="array" ref="W139">INT(SUMPRODUCT(--ISNUMBER(SEARCH(trump,C139)))&gt;0)</f>
        <v>0</v>
      </c>
      <c r="X139" s="14" cm="1">
        <f t="array" ref="X139">INT(SUMPRODUCT(--ISNUMBER(SEARCH(voting,C139)))&gt;0)</f>
        <v>1</v>
      </c>
      <c r="Y139" s="14" cm="1">
        <f t="array" ref="Y139">INT(SUMPRODUCT(--ISNUMBER(SEARCH(democrattrigger,C139)))&gt;0)</f>
        <v>1</v>
      </c>
      <c r="Z139" s="14" cm="1">
        <f t="array" ref="Z139">INT(SUMPRODUCT(--ISNUMBER(SEARCH(bipartisan,C139)))&gt;0)</f>
        <v>0</v>
      </c>
      <c r="AA139" s="14">
        <f t="shared" si="2"/>
        <v>0</v>
      </c>
      <c r="AB139" s="14"/>
      <c r="AC139" s="30" t="s">
        <v>223</v>
      </c>
      <c r="AD139" s="37" t="s">
        <v>223</v>
      </c>
    </row>
    <row r="140" spans="1:30" x14ac:dyDescent="0.25">
      <c r="A140" s="36">
        <v>3981</v>
      </c>
      <c r="B140" s="14" t="s">
        <v>7985</v>
      </c>
      <c r="C140" s="14" t="s">
        <v>7986</v>
      </c>
      <c r="D140" s="17">
        <v>44127</v>
      </c>
      <c r="E140" s="14" t="s">
        <v>30</v>
      </c>
      <c r="F140" s="14">
        <v>5966</v>
      </c>
      <c r="G140" s="14">
        <v>2216</v>
      </c>
      <c r="H140" s="14">
        <v>18</v>
      </c>
      <c r="I140" s="14">
        <v>9</v>
      </c>
      <c r="J140" s="14" t="s">
        <v>204</v>
      </c>
      <c r="K140" s="14" cm="1">
        <f t="array" ref="K140">INT(SUMPRODUCT(--ISNUMBER(SEARCH(economy,C140)))&gt;0)</f>
        <v>0</v>
      </c>
      <c r="L140" s="14" cm="1">
        <f t="array" ref="L140">INT(SUMPRODUCT(--ISNUMBER(SEARCH(healthcare,C140)))&gt;0)</f>
        <v>0</v>
      </c>
      <c r="M140" s="14" cm="1">
        <f t="array" ref="M140">INT(SUMPRODUCT(--ISNUMBER(SEARCH(supreme,C140)))&gt;0)</f>
        <v>0</v>
      </c>
      <c r="N140" s="14" cm="1">
        <f t="array" ref="N140">INT(SUMPRODUCT(--ISNUMBER(SEARCH(covid,C140)))&gt;0)</f>
        <v>0</v>
      </c>
      <c r="O140" s="14" cm="1">
        <f t="array" ref="O140">INT(SUMPRODUCT(--ISNUMBER(SEARCH(violent,C140)))&gt;0)</f>
        <v>0</v>
      </c>
      <c r="P140" s="14" cm="1">
        <f t="array" ref="P140">INT(SUMPRODUCT(--ISNUMBER(SEARCH(foreign,C140)))&gt;0)</f>
        <v>0</v>
      </c>
      <c r="Q140" s="14" cm="1">
        <f t="array" ref="Q140">INT(SUMPRODUCT(--ISNUMBER(SEARCH(gun,C140)))&gt;0)</f>
        <v>0</v>
      </c>
      <c r="R140" s="14" cm="1">
        <f t="array" ref="R140">INT(SUMPRODUCT(--ISNUMBER(SEARCH(race,C140)))&gt;0)</f>
        <v>0</v>
      </c>
      <c r="S140" s="14" cm="1">
        <f t="array" ref="S140">INT(SUMPRODUCT(--ISNUMBER(SEARCH(immigration,C140)))&gt;0)</f>
        <v>0</v>
      </c>
      <c r="T140" s="14" cm="1">
        <f t="array" ref="T140">INT(SUMPRODUCT(--ISNUMBER(SEARCH(econineq,C141)))&gt;0)</f>
        <v>0</v>
      </c>
      <c r="U140" s="14" cm="1">
        <f t="array" ref="U140">INT(SUMPRODUCT(--ISNUMBER(SEARCH(climate,C140)))&gt;0)</f>
        <v>1</v>
      </c>
      <c r="V140" s="14" cm="1">
        <f t="array" ref="V140">INT(SUMPRODUCT(--ISNUMBER(SEARCH(abortion,C140)))&gt;0)</f>
        <v>0</v>
      </c>
      <c r="W140" s="14" cm="1">
        <f t="array" ref="W140">INT(SUMPRODUCT(--ISNUMBER(SEARCH(trump,C140)))&gt;0)</f>
        <v>0</v>
      </c>
      <c r="X140" s="14" cm="1">
        <f t="array" ref="X140">INT(SUMPRODUCT(--ISNUMBER(SEARCH(voting,C140)))&gt;0)</f>
        <v>0</v>
      </c>
      <c r="Y140" s="14" cm="1">
        <f t="array" ref="Y140">INT(SUMPRODUCT(--ISNUMBER(SEARCH(democrattrigger,C140)))&gt;0)</f>
        <v>1</v>
      </c>
      <c r="Z140" s="14" cm="1">
        <f t="array" ref="Z140">INT(SUMPRODUCT(--ISNUMBER(SEARCH(bipartisan,C140)))&gt;0)</f>
        <v>0</v>
      </c>
      <c r="AA140" s="14">
        <f t="shared" si="2"/>
        <v>0</v>
      </c>
      <c r="AB140" s="14"/>
      <c r="AC140" s="30" t="s">
        <v>223</v>
      </c>
      <c r="AD140" s="37" t="s">
        <v>223</v>
      </c>
    </row>
    <row r="141" spans="1:30" x14ac:dyDescent="0.25">
      <c r="A141" s="36">
        <v>3982</v>
      </c>
      <c r="B141" s="14" t="s">
        <v>7987</v>
      </c>
      <c r="C141" s="14" t="s">
        <v>7988</v>
      </c>
      <c r="D141" s="17">
        <v>44127</v>
      </c>
      <c r="E141" s="14" t="s">
        <v>70</v>
      </c>
      <c r="F141" s="14">
        <v>6030</v>
      </c>
      <c r="G141" s="14">
        <v>1157</v>
      </c>
      <c r="H141" s="14">
        <v>18</v>
      </c>
      <c r="I141" s="14">
        <v>9</v>
      </c>
      <c r="J141" s="14" t="s">
        <v>204</v>
      </c>
      <c r="K141" s="14" cm="1">
        <f t="array" ref="K141">INT(SUMPRODUCT(--ISNUMBER(SEARCH(economy,C141)))&gt;0)</f>
        <v>0</v>
      </c>
      <c r="L141" s="14" cm="1">
        <f t="array" ref="L141">INT(SUMPRODUCT(--ISNUMBER(SEARCH(healthcare,C141)))&gt;0)</f>
        <v>0</v>
      </c>
      <c r="M141" s="14" cm="1">
        <f t="array" ref="M141">INT(SUMPRODUCT(--ISNUMBER(SEARCH(supreme,C141)))&gt;0)</f>
        <v>0</v>
      </c>
      <c r="N141" s="14" cm="1">
        <f t="array" ref="N141">INT(SUMPRODUCT(--ISNUMBER(SEARCH(covid,C141)))&gt;0)</f>
        <v>0</v>
      </c>
      <c r="O141" s="14" cm="1">
        <f t="array" ref="O141">INT(SUMPRODUCT(--ISNUMBER(SEARCH(violent,C141)))&gt;0)</f>
        <v>0</v>
      </c>
      <c r="P141" s="14" cm="1">
        <f t="array" ref="P141">INT(SUMPRODUCT(--ISNUMBER(SEARCH(foreign,C141)))&gt;0)</f>
        <v>0</v>
      </c>
      <c r="Q141" s="14" cm="1">
        <f t="array" ref="Q141">INT(SUMPRODUCT(--ISNUMBER(SEARCH(gun,C141)))&gt;0)</f>
        <v>0</v>
      </c>
      <c r="R141" s="14" cm="1">
        <f t="array" ref="R141">INT(SUMPRODUCT(--ISNUMBER(SEARCH(race,C141)))&gt;0)</f>
        <v>0</v>
      </c>
      <c r="S141" s="14" cm="1">
        <f t="array" ref="S141">INT(SUMPRODUCT(--ISNUMBER(SEARCH(immigration,C141)))&gt;0)</f>
        <v>0</v>
      </c>
      <c r="T141" s="14" cm="1">
        <f t="array" ref="T141">INT(SUMPRODUCT(--ISNUMBER(SEARCH(econineq,C142)))&gt;0)</f>
        <v>0</v>
      </c>
      <c r="U141" s="14" cm="1">
        <f t="array" ref="U141">INT(SUMPRODUCT(--ISNUMBER(SEARCH(climate,C141)))&gt;0)</f>
        <v>0</v>
      </c>
      <c r="V141" s="14" cm="1">
        <f t="array" ref="V141">INT(SUMPRODUCT(--ISNUMBER(SEARCH(abortion,C141)))&gt;0)</f>
        <v>0</v>
      </c>
      <c r="W141" s="14" cm="1">
        <f t="array" ref="W141">INT(SUMPRODUCT(--ISNUMBER(SEARCH(trump,C141)))&gt;0)</f>
        <v>0</v>
      </c>
      <c r="X141" s="14" cm="1">
        <f t="array" ref="X141">INT(SUMPRODUCT(--ISNUMBER(SEARCH(voting,C141)))&gt;0)</f>
        <v>1</v>
      </c>
      <c r="Y141" s="14" cm="1">
        <f t="array" ref="Y141">INT(SUMPRODUCT(--ISNUMBER(SEARCH(democrattrigger,C141)))&gt;0)</f>
        <v>1</v>
      </c>
      <c r="Z141" s="14" cm="1">
        <f t="array" ref="Z141">INT(SUMPRODUCT(--ISNUMBER(SEARCH(bipartisan,C141)))&gt;0)</f>
        <v>0</v>
      </c>
      <c r="AA141" s="14">
        <f t="shared" si="2"/>
        <v>0</v>
      </c>
      <c r="AB141" s="14"/>
      <c r="AC141" s="30" t="s">
        <v>223</v>
      </c>
      <c r="AD141" s="37" t="s">
        <v>223</v>
      </c>
    </row>
    <row r="142" spans="1:30" x14ac:dyDescent="0.25">
      <c r="A142" s="36">
        <v>3983</v>
      </c>
      <c r="B142" s="14" t="s">
        <v>7989</v>
      </c>
      <c r="C142" s="14" t="s">
        <v>7990</v>
      </c>
      <c r="D142" s="17">
        <v>44127</v>
      </c>
      <c r="E142" s="14" t="s">
        <v>70</v>
      </c>
      <c r="F142" s="14">
        <v>4240</v>
      </c>
      <c r="G142" s="14">
        <v>842</v>
      </c>
      <c r="H142" s="14">
        <v>18</v>
      </c>
      <c r="I142" s="14">
        <v>9</v>
      </c>
      <c r="J142" s="14" t="s">
        <v>204</v>
      </c>
      <c r="K142" s="14" cm="1">
        <f t="array" ref="K142">INT(SUMPRODUCT(--ISNUMBER(SEARCH(economy,C142)))&gt;0)</f>
        <v>0</v>
      </c>
      <c r="L142" s="14" cm="1">
        <f t="array" ref="L142">INT(SUMPRODUCT(--ISNUMBER(SEARCH(healthcare,C142)))&gt;0)</f>
        <v>0</v>
      </c>
      <c r="M142" s="14" cm="1">
        <f t="array" ref="M142">INT(SUMPRODUCT(--ISNUMBER(SEARCH(supreme,C142)))&gt;0)</f>
        <v>0</v>
      </c>
      <c r="N142" s="14" cm="1">
        <f t="array" ref="N142">INT(SUMPRODUCT(--ISNUMBER(SEARCH(covid,C142)))&gt;0)</f>
        <v>0</v>
      </c>
      <c r="O142" s="14" cm="1">
        <f t="array" ref="O142">INT(SUMPRODUCT(--ISNUMBER(SEARCH(violent,C142)))&gt;0)</f>
        <v>0</v>
      </c>
      <c r="P142" s="14" cm="1">
        <f t="array" ref="P142">INT(SUMPRODUCT(--ISNUMBER(SEARCH(foreign,C142)))&gt;0)</f>
        <v>0</v>
      </c>
      <c r="Q142" s="14" cm="1">
        <f t="array" ref="Q142">INT(SUMPRODUCT(--ISNUMBER(SEARCH(gun,C142)))&gt;0)</f>
        <v>0</v>
      </c>
      <c r="R142" s="14" cm="1">
        <f t="array" ref="R142">INT(SUMPRODUCT(--ISNUMBER(SEARCH(race,C142)))&gt;0)</f>
        <v>0</v>
      </c>
      <c r="S142" s="14" cm="1">
        <f t="array" ref="S142">INT(SUMPRODUCT(--ISNUMBER(SEARCH(immigration,C142)))&gt;0)</f>
        <v>0</v>
      </c>
      <c r="T142" s="14" cm="1">
        <f t="array" ref="T142">INT(SUMPRODUCT(--ISNUMBER(SEARCH(econineq,C143)))&gt;0)</f>
        <v>0</v>
      </c>
      <c r="U142" s="14" cm="1">
        <f t="array" ref="U142">INT(SUMPRODUCT(--ISNUMBER(SEARCH(climate,C142)))&gt;0)</f>
        <v>0</v>
      </c>
      <c r="V142" s="14" cm="1">
        <f t="array" ref="V142">INT(SUMPRODUCT(--ISNUMBER(SEARCH(abortion,C142)))&gt;0)</f>
        <v>0</v>
      </c>
      <c r="W142" s="14" cm="1">
        <f t="array" ref="W142">INT(SUMPRODUCT(--ISNUMBER(SEARCH(trump,C142)))&gt;0)</f>
        <v>0</v>
      </c>
      <c r="X142" s="14" cm="1">
        <f t="array" ref="X142">INT(SUMPRODUCT(--ISNUMBER(SEARCH(voting,C142)))&gt;0)</f>
        <v>0</v>
      </c>
      <c r="Y142" s="14" cm="1">
        <f t="array" ref="Y142">INT(SUMPRODUCT(--ISNUMBER(SEARCH(democrattrigger,C142)))&gt;0)</f>
        <v>0</v>
      </c>
      <c r="Z142" s="14" cm="1">
        <f t="array" ref="Z142">INT(SUMPRODUCT(--ISNUMBER(SEARCH(bipartisan,C142)))&gt;0)</f>
        <v>0</v>
      </c>
      <c r="AA142" s="14">
        <f t="shared" si="2"/>
        <v>1</v>
      </c>
      <c r="AB142" s="14"/>
      <c r="AC142" s="30" t="s">
        <v>223</v>
      </c>
      <c r="AD142" s="37" t="s">
        <v>223</v>
      </c>
    </row>
    <row r="143" spans="1:30" x14ac:dyDescent="0.25">
      <c r="A143" s="36">
        <v>3984</v>
      </c>
      <c r="B143" s="14" t="s">
        <v>7991</v>
      </c>
      <c r="C143" s="14" t="s">
        <v>7992</v>
      </c>
      <c r="D143" s="17">
        <v>44127</v>
      </c>
      <c r="E143" s="14" t="s">
        <v>70</v>
      </c>
      <c r="F143" s="14">
        <v>3018</v>
      </c>
      <c r="G143" s="14">
        <v>505</v>
      </c>
      <c r="H143" s="14">
        <v>18</v>
      </c>
      <c r="I143" s="14">
        <v>9</v>
      </c>
      <c r="J143" s="14" t="s">
        <v>204</v>
      </c>
      <c r="K143" s="14" cm="1">
        <f t="array" ref="K143">INT(SUMPRODUCT(--ISNUMBER(SEARCH(economy,C143)))&gt;0)</f>
        <v>0</v>
      </c>
      <c r="L143" s="14" cm="1">
        <f t="array" ref="L143">INT(SUMPRODUCT(--ISNUMBER(SEARCH(healthcare,C143)))&gt;0)</f>
        <v>0</v>
      </c>
      <c r="M143" s="14" cm="1">
        <f t="array" ref="M143">INT(SUMPRODUCT(--ISNUMBER(SEARCH(supreme,C143)))&gt;0)</f>
        <v>0</v>
      </c>
      <c r="N143" s="14" cm="1">
        <f t="array" ref="N143">INT(SUMPRODUCT(--ISNUMBER(SEARCH(covid,C143)))&gt;0)</f>
        <v>0</v>
      </c>
      <c r="O143" s="14" cm="1">
        <f t="array" ref="O143">INT(SUMPRODUCT(--ISNUMBER(SEARCH(violent,C143)))&gt;0)</f>
        <v>0</v>
      </c>
      <c r="P143" s="14" cm="1">
        <f t="array" ref="P143">INT(SUMPRODUCT(--ISNUMBER(SEARCH(foreign,C143)))&gt;0)</f>
        <v>0</v>
      </c>
      <c r="Q143" s="14" cm="1">
        <f t="array" ref="Q143">INT(SUMPRODUCT(--ISNUMBER(SEARCH(gun,C143)))&gt;0)</f>
        <v>0</v>
      </c>
      <c r="R143" s="14" cm="1">
        <f t="array" ref="R143">INT(SUMPRODUCT(--ISNUMBER(SEARCH(race,C143)))&gt;0)</f>
        <v>0</v>
      </c>
      <c r="S143" s="14" cm="1">
        <f t="array" ref="S143">INT(SUMPRODUCT(--ISNUMBER(SEARCH(immigration,C143)))&gt;0)</f>
        <v>0</v>
      </c>
      <c r="T143" s="14" cm="1">
        <f t="array" ref="T143">INT(SUMPRODUCT(--ISNUMBER(SEARCH(econineq,C144)))&gt;0)</f>
        <v>0</v>
      </c>
      <c r="U143" s="14" cm="1">
        <f t="array" ref="U143">INT(SUMPRODUCT(--ISNUMBER(SEARCH(climate,C143)))&gt;0)</f>
        <v>1</v>
      </c>
      <c r="V143" s="14" cm="1">
        <f t="array" ref="V143">INT(SUMPRODUCT(--ISNUMBER(SEARCH(abortion,C143)))&gt;0)</f>
        <v>0</v>
      </c>
      <c r="W143" s="14" cm="1">
        <f t="array" ref="W143">INT(SUMPRODUCT(--ISNUMBER(SEARCH(trump,C143)))&gt;0)</f>
        <v>0</v>
      </c>
      <c r="X143" s="14" cm="1">
        <f t="array" ref="X143">INT(SUMPRODUCT(--ISNUMBER(SEARCH(voting,C143)))&gt;0)</f>
        <v>0</v>
      </c>
      <c r="Y143" s="14" cm="1">
        <f t="array" ref="Y143">INT(SUMPRODUCT(--ISNUMBER(SEARCH(democrattrigger,C143)))&gt;0)</f>
        <v>0</v>
      </c>
      <c r="Z143" s="14" cm="1">
        <f t="array" ref="Z143">INT(SUMPRODUCT(--ISNUMBER(SEARCH(bipartisan,C143)))&gt;0)</f>
        <v>0</v>
      </c>
      <c r="AA143" s="14">
        <f t="shared" si="2"/>
        <v>0</v>
      </c>
      <c r="AB143" s="14"/>
      <c r="AC143" s="30" t="s">
        <v>223</v>
      </c>
      <c r="AD143" s="37" t="s">
        <v>223</v>
      </c>
    </row>
    <row r="144" spans="1:30" x14ac:dyDescent="0.25">
      <c r="A144" s="36">
        <v>3985</v>
      </c>
      <c r="B144" s="14" t="s">
        <v>7993</v>
      </c>
      <c r="C144" s="14" t="s">
        <v>7994</v>
      </c>
      <c r="D144" s="17">
        <v>44127</v>
      </c>
      <c r="E144" s="14" t="s">
        <v>70</v>
      </c>
      <c r="F144" s="14">
        <v>2944</v>
      </c>
      <c r="G144" s="14">
        <v>497</v>
      </c>
      <c r="H144" s="14">
        <v>18</v>
      </c>
      <c r="I144" s="14">
        <v>9</v>
      </c>
      <c r="J144" s="14" t="s">
        <v>204</v>
      </c>
      <c r="K144" s="14" cm="1">
        <f t="array" ref="K144">INT(SUMPRODUCT(--ISNUMBER(SEARCH(economy,C144)))&gt;0)</f>
        <v>1</v>
      </c>
      <c r="L144" s="14" cm="1">
        <f t="array" ref="L144">INT(SUMPRODUCT(--ISNUMBER(SEARCH(healthcare,C144)))&gt;0)</f>
        <v>0</v>
      </c>
      <c r="M144" s="14" cm="1">
        <f t="array" ref="M144">INT(SUMPRODUCT(--ISNUMBER(SEARCH(supreme,C144)))&gt;0)</f>
        <v>0</v>
      </c>
      <c r="N144" s="14" cm="1">
        <f t="array" ref="N144">INT(SUMPRODUCT(--ISNUMBER(SEARCH(covid,C144)))&gt;0)</f>
        <v>0</v>
      </c>
      <c r="O144" s="14" cm="1">
        <f t="array" ref="O144">INT(SUMPRODUCT(--ISNUMBER(SEARCH(violent,C144)))&gt;0)</f>
        <v>0</v>
      </c>
      <c r="P144" s="14" cm="1">
        <f t="array" ref="P144">INT(SUMPRODUCT(--ISNUMBER(SEARCH(foreign,C144)))&gt;0)</f>
        <v>0</v>
      </c>
      <c r="Q144" s="14" cm="1">
        <f t="array" ref="Q144">INT(SUMPRODUCT(--ISNUMBER(SEARCH(gun,C144)))&gt;0)</f>
        <v>0</v>
      </c>
      <c r="R144" s="14" cm="1">
        <f t="array" ref="R144">INT(SUMPRODUCT(--ISNUMBER(SEARCH(race,C144)))&gt;0)</f>
        <v>0</v>
      </c>
      <c r="S144" s="14" cm="1">
        <f t="array" ref="S144">INT(SUMPRODUCT(--ISNUMBER(SEARCH(immigration,C144)))&gt;0)</f>
        <v>0</v>
      </c>
      <c r="T144" s="14" cm="1">
        <f t="array" ref="T144">INT(SUMPRODUCT(--ISNUMBER(SEARCH(econineq,C145)))&gt;0)</f>
        <v>0</v>
      </c>
      <c r="U144" s="14" cm="1">
        <f t="array" ref="U144">INT(SUMPRODUCT(--ISNUMBER(SEARCH(climate,C144)))&gt;0)</f>
        <v>0</v>
      </c>
      <c r="V144" s="14" cm="1">
        <f t="array" ref="V144">INT(SUMPRODUCT(--ISNUMBER(SEARCH(abortion,C144)))&gt;0)</f>
        <v>0</v>
      </c>
      <c r="W144" s="14" cm="1">
        <f t="array" ref="W144">INT(SUMPRODUCT(--ISNUMBER(SEARCH(trump,C144)))&gt;0)</f>
        <v>0</v>
      </c>
      <c r="X144" s="14" cm="1">
        <f t="array" ref="X144">INT(SUMPRODUCT(--ISNUMBER(SEARCH(voting,C144)))&gt;0)</f>
        <v>0</v>
      </c>
      <c r="Y144" s="14" cm="1">
        <f t="array" ref="Y144">INT(SUMPRODUCT(--ISNUMBER(SEARCH(democrattrigger,C144)))&gt;0)</f>
        <v>0</v>
      </c>
      <c r="Z144" s="14" cm="1">
        <f t="array" ref="Z144">INT(SUMPRODUCT(--ISNUMBER(SEARCH(bipartisan,C144)))&gt;0)</f>
        <v>0</v>
      </c>
      <c r="AA144" s="14">
        <f t="shared" si="2"/>
        <v>0</v>
      </c>
      <c r="AB144" s="14"/>
      <c r="AC144" s="30" t="s">
        <v>223</v>
      </c>
      <c r="AD144" s="37" t="s">
        <v>223</v>
      </c>
    </row>
    <row r="145" spans="1:30" x14ac:dyDescent="0.25">
      <c r="A145" s="36">
        <v>3986</v>
      </c>
      <c r="B145" s="14" t="s">
        <v>7995</v>
      </c>
      <c r="C145" s="14" t="s">
        <v>7996</v>
      </c>
      <c r="D145" s="17">
        <v>44127</v>
      </c>
      <c r="E145" s="14" t="s">
        <v>70</v>
      </c>
      <c r="F145" s="14">
        <v>3810</v>
      </c>
      <c r="G145" s="14">
        <v>794</v>
      </c>
      <c r="H145" s="14">
        <v>18</v>
      </c>
      <c r="I145" s="14">
        <v>9</v>
      </c>
      <c r="J145" s="14" t="s">
        <v>204</v>
      </c>
      <c r="K145" s="14" cm="1">
        <f t="array" ref="K145">INT(SUMPRODUCT(--ISNUMBER(SEARCH(economy,C145)))&gt;0)</f>
        <v>0</v>
      </c>
      <c r="L145" s="14" cm="1">
        <f t="array" ref="L145">INT(SUMPRODUCT(--ISNUMBER(SEARCH(healthcare,C145)))&gt;0)</f>
        <v>0</v>
      </c>
      <c r="M145" s="14" cm="1">
        <f t="array" ref="M145">INT(SUMPRODUCT(--ISNUMBER(SEARCH(supreme,C145)))&gt;0)</f>
        <v>0</v>
      </c>
      <c r="N145" s="14" cm="1">
        <f t="array" ref="N145">INT(SUMPRODUCT(--ISNUMBER(SEARCH(covid,C145)))&gt;0)</f>
        <v>1</v>
      </c>
      <c r="O145" s="14" cm="1">
        <f t="array" ref="O145">INT(SUMPRODUCT(--ISNUMBER(SEARCH(violent,C145)))&gt;0)</f>
        <v>0</v>
      </c>
      <c r="P145" s="14" cm="1">
        <f t="array" ref="P145">INT(SUMPRODUCT(--ISNUMBER(SEARCH(foreign,C145)))&gt;0)</f>
        <v>0</v>
      </c>
      <c r="Q145" s="14" cm="1">
        <f t="array" ref="Q145">INT(SUMPRODUCT(--ISNUMBER(SEARCH(gun,C145)))&gt;0)</f>
        <v>0</v>
      </c>
      <c r="R145" s="14" cm="1">
        <f t="array" ref="R145">INT(SUMPRODUCT(--ISNUMBER(SEARCH(race,C145)))&gt;0)</f>
        <v>0</v>
      </c>
      <c r="S145" s="14" cm="1">
        <f t="array" ref="S145">INT(SUMPRODUCT(--ISNUMBER(SEARCH(immigration,C145)))&gt;0)</f>
        <v>0</v>
      </c>
      <c r="T145" s="14" cm="1">
        <f t="array" ref="T145">INT(SUMPRODUCT(--ISNUMBER(SEARCH(econineq,C146)))&gt;0)</f>
        <v>0</v>
      </c>
      <c r="U145" s="14" cm="1">
        <f t="array" ref="U145">INT(SUMPRODUCT(--ISNUMBER(SEARCH(climate,C145)))&gt;0)</f>
        <v>0</v>
      </c>
      <c r="V145" s="14" cm="1">
        <f t="array" ref="V145">INT(SUMPRODUCT(--ISNUMBER(SEARCH(abortion,C145)))&gt;0)</f>
        <v>0</v>
      </c>
      <c r="W145" s="14" cm="1">
        <f t="array" ref="W145">INT(SUMPRODUCT(--ISNUMBER(SEARCH(trump,C145)))&gt;0)</f>
        <v>0</v>
      </c>
      <c r="X145" s="14" cm="1">
        <f t="array" ref="X145">INT(SUMPRODUCT(--ISNUMBER(SEARCH(voting,C145)))&gt;0)</f>
        <v>0</v>
      </c>
      <c r="Y145" s="14" cm="1">
        <f t="array" ref="Y145">INT(SUMPRODUCT(--ISNUMBER(SEARCH(democrattrigger,C145)))&gt;0)</f>
        <v>1</v>
      </c>
      <c r="Z145" s="14" cm="1">
        <f t="array" ref="Z145">INT(SUMPRODUCT(--ISNUMBER(SEARCH(bipartisan,C145)))&gt;0)</f>
        <v>0</v>
      </c>
      <c r="AA145" s="14">
        <f t="shared" si="2"/>
        <v>0</v>
      </c>
      <c r="AB145" s="14"/>
      <c r="AC145" s="30" t="s">
        <v>223</v>
      </c>
      <c r="AD145" s="37" t="s">
        <v>223</v>
      </c>
    </row>
    <row r="146" spans="1:30" x14ac:dyDescent="0.25">
      <c r="A146" s="36">
        <v>3987</v>
      </c>
      <c r="B146" s="14" t="s">
        <v>7997</v>
      </c>
      <c r="C146" s="14" t="s">
        <v>7998</v>
      </c>
      <c r="D146" s="17">
        <v>44127</v>
      </c>
      <c r="E146" s="14" t="s">
        <v>30</v>
      </c>
      <c r="F146" s="14">
        <v>10481</v>
      </c>
      <c r="G146" s="14">
        <v>2750</v>
      </c>
      <c r="H146" s="14">
        <v>18</v>
      </c>
      <c r="I146" s="14">
        <v>9</v>
      </c>
      <c r="J146" s="14" t="s">
        <v>204</v>
      </c>
      <c r="K146" s="14" cm="1">
        <f t="array" ref="K146">INT(SUMPRODUCT(--ISNUMBER(SEARCH(economy,C146)))&gt;0)</f>
        <v>1</v>
      </c>
      <c r="L146" s="14" cm="1">
        <f t="array" ref="L146">INT(SUMPRODUCT(--ISNUMBER(SEARCH(healthcare,C146)))&gt;0)</f>
        <v>0</v>
      </c>
      <c r="M146" s="14" cm="1">
        <f t="array" ref="M146">INT(SUMPRODUCT(--ISNUMBER(SEARCH(supreme,C146)))&gt;0)</f>
        <v>0</v>
      </c>
      <c r="N146" s="14" cm="1">
        <f t="array" ref="N146">INT(SUMPRODUCT(--ISNUMBER(SEARCH(covid,C146)))&gt;0)</f>
        <v>1</v>
      </c>
      <c r="O146" s="14" cm="1">
        <f t="array" ref="O146">INT(SUMPRODUCT(--ISNUMBER(SEARCH(violent,C146)))&gt;0)</f>
        <v>0</v>
      </c>
      <c r="P146" s="14" cm="1">
        <f t="array" ref="P146">INT(SUMPRODUCT(--ISNUMBER(SEARCH(foreign,C146)))&gt;0)</f>
        <v>0</v>
      </c>
      <c r="Q146" s="14" cm="1">
        <f t="array" ref="Q146">INT(SUMPRODUCT(--ISNUMBER(SEARCH(gun,C146)))&gt;0)</f>
        <v>0</v>
      </c>
      <c r="R146" s="14" cm="1">
        <f t="array" ref="R146">INT(SUMPRODUCT(--ISNUMBER(SEARCH(race,C146)))&gt;0)</f>
        <v>0</v>
      </c>
      <c r="S146" s="14" cm="1">
        <f t="array" ref="S146">INT(SUMPRODUCT(--ISNUMBER(SEARCH(immigration,C146)))&gt;0)</f>
        <v>0</v>
      </c>
      <c r="T146" s="14" cm="1">
        <f t="array" ref="T146">INT(SUMPRODUCT(--ISNUMBER(SEARCH(econineq,C147)))&gt;0)</f>
        <v>0</v>
      </c>
      <c r="U146" s="14" cm="1">
        <f t="array" ref="U146">INT(SUMPRODUCT(--ISNUMBER(SEARCH(climate,C146)))&gt;0)</f>
        <v>0</v>
      </c>
      <c r="V146" s="14" cm="1">
        <f t="array" ref="V146">INT(SUMPRODUCT(--ISNUMBER(SEARCH(abortion,C146)))&gt;0)</f>
        <v>0</v>
      </c>
      <c r="W146" s="14" cm="1">
        <f t="array" ref="W146">INT(SUMPRODUCT(--ISNUMBER(SEARCH(trump,C146)))&gt;0)</f>
        <v>0</v>
      </c>
      <c r="X146" s="14" cm="1">
        <f t="array" ref="X146">INT(SUMPRODUCT(--ISNUMBER(SEARCH(voting,C146)))&gt;0)</f>
        <v>0</v>
      </c>
      <c r="Y146" s="14" cm="1">
        <f t="array" ref="Y146">INT(SUMPRODUCT(--ISNUMBER(SEARCH(democrattrigger,C146)))&gt;0)</f>
        <v>1</v>
      </c>
      <c r="Z146" s="14" cm="1">
        <f t="array" ref="Z146">INT(SUMPRODUCT(--ISNUMBER(SEARCH(bipartisan,C146)))&gt;0)</f>
        <v>0</v>
      </c>
      <c r="AA146" s="14">
        <f t="shared" si="2"/>
        <v>0</v>
      </c>
      <c r="AB146" s="14"/>
      <c r="AC146" s="30" t="s">
        <v>223</v>
      </c>
      <c r="AD146" s="37" t="s">
        <v>223</v>
      </c>
    </row>
    <row r="147" spans="1:30" x14ac:dyDescent="0.25">
      <c r="A147" s="36">
        <v>3988</v>
      </c>
      <c r="B147" s="14" t="s">
        <v>7999</v>
      </c>
      <c r="C147" s="14" t="s">
        <v>8000</v>
      </c>
      <c r="D147" s="17">
        <v>44127</v>
      </c>
      <c r="E147" s="14" t="s">
        <v>30</v>
      </c>
      <c r="F147" s="14">
        <v>1146</v>
      </c>
      <c r="G147" s="14">
        <v>186</v>
      </c>
      <c r="H147" s="14">
        <v>18</v>
      </c>
      <c r="I147" s="14">
        <v>9</v>
      </c>
      <c r="J147" s="14" t="s">
        <v>204</v>
      </c>
      <c r="K147" s="14" cm="1">
        <f t="array" ref="K147">INT(SUMPRODUCT(--ISNUMBER(SEARCH(economy,C147)))&gt;0)</f>
        <v>0</v>
      </c>
      <c r="L147" s="14" cm="1">
        <f t="array" ref="L147">INT(SUMPRODUCT(--ISNUMBER(SEARCH(healthcare,C147)))&gt;0)</f>
        <v>0</v>
      </c>
      <c r="M147" s="14" cm="1">
        <f t="array" ref="M147">INT(SUMPRODUCT(--ISNUMBER(SEARCH(supreme,C147)))&gt;0)</f>
        <v>0</v>
      </c>
      <c r="N147" s="14" cm="1">
        <f t="array" ref="N147">INT(SUMPRODUCT(--ISNUMBER(SEARCH(covid,C147)))&gt;0)</f>
        <v>0</v>
      </c>
      <c r="O147" s="14" cm="1">
        <f t="array" ref="O147">INT(SUMPRODUCT(--ISNUMBER(SEARCH(violent,C147)))&gt;0)</f>
        <v>0</v>
      </c>
      <c r="P147" s="14" cm="1">
        <f t="array" ref="P147">INT(SUMPRODUCT(--ISNUMBER(SEARCH(foreign,C147)))&gt;0)</f>
        <v>0</v>
      </c>
      <c r="Q147" s="14" cm="1">
        <f t="array" ref="Q147">INT(SUMPRODUCT(--ISNUMBER(SEARCH(gun,C147)))&gt;0)</f>
        <v>0</v>
      </c>
      <c r="R147" s="14" cm="1">
        <f t="array" ref="R147">INT(SUMPRODUCT(--ISNUMBER(SEARCH(race,C147)))&gt;0)</f>
        <v>0</v>
      </c>
      <c r="S147" s="14" cm="1">
        <f t="array" ref="S147">INT(SUMPRODUCT(--ISNUMBER(SEARCH(immigration,C147)))&gt;0)</f>
        <v>0</v>
      </c>
      <c r="T147" s="14" cm="1">
        <f t="array" ref="T147">INT(SUMPRODUCT(--ISNUMBER(SEARCH(econineq,C148)))&gt;0)</f>
        <v>0</v>
      </c>
      <c r="U147" s="14" cm="1">
        <f t="array" ref="U147">INT(SUMPRODUCT(--ISNUMBER(SEARCH(climate,C147)))&gt;0)</f>
        <v>0</v>
      </c>
      <c r="V147" s="14" cm="1">
        <f t="array" ref="V147">INT(SUMPRODUCT(--ISNUMBER(SEARCH(abortion,C147)))&gt;0)</f>
        <v>0</v>
      </c>
      <c r="W147" s="14" cm="1">
        <f t="array" ref="W147">INT(SUMPRODUCT(--ISNUMBER(SEARCH(trump,C147)))&gt;0)</f>
        <v>0</v>
      </c>
      <c r="X147" s="14" cm="1">
        <f t="array" ref="X147">INT(SUMPRODUCT(--ISNUMBER(SEARCH(voting,C147)))&gt;0)</f>
        <v>1</v>
      </c>
      <c r="Y147" s="14" cm="1">
        <f t="array" ref="Y147">INT(SUMPRODUCT(--ISNUMBER(SEARCH(democrattrigger,C147)))&gt;0)</f>
        <v>0</v>
      </c>
      <c r="Z147" s="14" cm="1">
        <f t="array" ref="Z147">INT(SUMPRODUCT(--ISNUMBER(SEARCH(bipartisan,C147)))&gt;0)</f>
        <v>0</v>
      </c>
      <c r="AA147" s="14">
        <f t="shared" si="2"/>
        <v>0</v>
      </c>
      <c r="AB147" s="14"/>
      <c r="AC147" s="30" t="s">
        <v>223</v>
      </c>
      <c r="AD147" s="37" t="s">
        <v>223</v>
      </c>
    </row>
    <row r="148" spans="1:30" x14ac:dyDescent="0.25">
      <c r="A148" s="36">
        <v>3989</v>
      </c>
      <c r="B148" s="14" t="s">
        <v>8001</v>
      </c>
      <c r="C148" s="14" t="s">
        <v>8002</v>
      </c>
      <c r="D148" s="17">
        <v>44127</v>
      </c>
      <c r="E148" s="14" t="s">
        <v>30</v>
      </c>
      <c r="F148" s="14">
        <v>1277</v>
      </c>
      <c r="G148" s="14">
        <v>364</v>
      </c>
      <c r="H148" s="14">
        <v>18</v>
      </c>
      <c r="I148" s="14">
        <v>9</v>
      </c>
      <c r="J148" s="14" t="s">
        <v>204</v>
      </c>
      <c r="K148" s="14" cm="1">
        <f t="array" ref="K148">INT(SUMPRODUCT(--ISNUMBER(SEARCH(economy,C148)))&gt;0)</f>
        <v>0</v>
      </c>
      <c r="L148" s="14" cm="1">
        <f t="array" ref="L148">INT(SUMPRODUCT(--ISNUMBER(SEARCH(healthcare,C148)))&gt;0)</f>
        <v>0</v>
      </c>
      <c r="M148" s="14" cm="1">
        <f t="array" ref="M148">INT(SUMPRODUCT(--ISNUMBER(SEARCH(supreme,C148)))&gt;0)</f>
        <v>0</v>
      </c>
      <c r="N148" s="14" cm="1">
        <f t="array" ref="N148">INT(SUMPRODUCT(--ISNUMBER(SEARCH(covid,C148)))&gt;0)</f>
        <v>0</v>
      </c>
      <c r="O148" s="14" cm="1">
        <f t="array" ref="O148">INT(SUMPRODUCT(--ISNUMBER(SEARCH(violent,C148)))&gt;0)</f>
        <v>0</v>
      </c>
      <c r="P148" s="14" cm="1">
        <f t="array" ref="P148">INT(SUMPRODUCT(--ISNUMBER(SEARCH(foreign,C148)))&gt;0)</f>
        <v>0</v>
      </c>
      <c r="Q148" s="14" cm="1">
        <f t="array" ref="Q148">INT(SUMPRODUCT(--ISNUMBER(SEARCH(gun,C148)))&gt;0)</f>
        <v>0</v>
      </c>
      <c r="R148" s="14" cm="1">
        <f t="array" ref="R148">INT(SUMPRODUCT(--ISNUMBER(SEARCH(race,C148)))&gt;0)</f>
        <v>0</v>
      </c>
      <c r="S148" s="14" cm="1">
        <f t="array" ref="S148">INT(SUMPRODUCT(--ISNUMBER(SEARCH(immigration,C148)))&gt;0)</f>
        <v>0</v>
      </c>
      <c r="T148" s="14" cm="1">
        <f t="array" ref="T148">INT(SUMPRODUCT(--ISNUMBER(SEARCH(econineq,C149)))&gt;0)</f>
        <v>0</v>
      </c>
      <c r="U148" s="14" cm="1">
        <f t="array" ref="U148">INT(SUMPRODUCT(--ISNUMBER(SEARCH(climate,C148)))&gt;0)</f>
        <v>0</v>
      </c>
      <c r="V148" s="14" cm="1">
        <f t="array" ref="V148">INT(SUMPRODUCT(--ISNUMBER(SEARCH(abortion,C148)))&gt;0)</f>
        <v>0</v>
      </c>
      <c r="W148" s="14" cm="1">
        <f t="array" ref="W148">INT(SUMPRODUCT(--ISNUMBER(SEARCH(trump,C148)))&gt;0)</f>
        <v>0</v>
      </c>
      <c r="X148" s="14" cm="1">
        <f t="array" ref="X148">INT(SUMPRODUCT(--ISNUMBER(SEARCH(voting,C148)))&gt;0)</f>
        <v>0</v>
      </c>
      <c r="Y148" s="14" cm="1">
        <f t="array" ref="Y148">INT(SUMPRODUCT(--ISNUMBER(SEARCH(democrattrigger,C148)))&gt;0)</f>
        <v>0</v>
      </c>
      <c r="Z148" s="14" cm="1">
        <f t="array" ref="Z148">INT(SUMPRODUCT(--ISNUMBER(SEARCH(bipartisan,C148)))&gt;0)</f>
        <v>0</v>
      </c>
      <c r="AA148" s="14">
        <f t="shared" si="2"/>
        <v>1</v>
      </c>
      <c r="AB148" s="14"/>
      <c r="AC148" s="30">
        <v>0</v>
      </c>
      <c r="AD148" s="37">
        <v>1</v>
      </c>
    </row>
    <row r="149" spans="1:30" x14ac:dyDescent="0.25">
      <c r="A149" s="36">
        <v>3990</v>
      </c>
      <c r="B149" s="14" t="s">
        <v>8003</v>
      </c>
      <c r="C149" s="14" t="s">
        <v>8004</v>
      </c>
      <c r="D149" s="17">
        <v>44127</v>
      </c>
      <c r="E149" s="14" t="s">
        <v>30</v>
      </c>
      <c r="F149" s="14">
        <v>3873</v>
      </c>
      <c r="G149" s="14">
        <v>593</v>
      </c>
      <c r="H149" s="14">
        <v>18</v>
      </c>
      <c r="I149" s="14">
        <v>9</v>
      </c>
      <c r="J149" s="14" t="s">
        <v>204</v>
      </c>
      <c r="K149" s="14" cm="1">
        <f t="array" ref="K149">INT(SUMPRODUCT(--ISNUMBER(SEARCH(economy,C149)))&gt;0)</f>
        <v>0</v>
      </c>
      <c r="L149" s="14" cm="1">
        <f t="array" ref="L149">INT(SUMPRODUCT(--ISNUMBER(SEARCH(healthcare,C149)))&gt;0)</f>
        <v>0</v>
      </c>
      <c r="M149" s="14" cm="1">
        <f t="array" ref="M149">INT(SUMPRODUCT(--ISNUMBER(SEARCH(supreme,C149)))&gt;0)</f>
        <v>0</v>
      </c>
      <c r="N149" s="14" cm="1">
        <f t="array" ref="N149">INT(SUMPRODUCT(--ISNUMBER(SEARCH(covid,C149)))&gt;0)</f>
        <v>0</v>
      </c>
      <c r="O149" s="14" cm="1">
        <f t="array" ref="O149">INT(SUMPRODUCT(--ISNUMBER(SEARCH(violent,C149)))&gt;0)</f>
        <v>0</v>
      </c>
      <c r="P149" s="14" cm="1">
        <f t="array" ref="P149">INT(SUMPRODUCT(--ISNUMBER(SEARCH(foreign,C149)))&gt;0)</f>
        <v>0</v>
      </c>
      <c r="Q149" s="14" cm="1">
        <f t="array" ref="Q149">INT(SUMPRODUCT(--ISNUMBER(SEARCH(gun,C149)))&gt;0)</f>
        <v>0</v>
      </c>
      <c r="R149" s="14" cm="1">
        <f t="array" ref="R149">INT(SUMPRODUCT(--ISNUMBER(SEARCH(race,C149)))&gt;0)</f>
        <v>0</v>
      </c>
      <c r="S149" s="14" cm="1">
        <f t="array" ref="S149">INT(SUMPRODUCT(--ISNUMBER(SEARCH(immigration,C149)))&gt;0)</f>
        <v>0</v>
      </c>
      <c r="T149" s="14" cm="1">
        <f t="array" ref="T149">INT(SUMPRODUCT(--ISNUMBER(SEARCH(econineq,C150)))&gt;0)</f>
        <v>0</v>
      </c>
      <c r="U149" s="14" cm="1">
        <f t="array" ref="U149">INT(SUMPRODUCT(--ISNUMBER(SEARCH(climate,C149)))&gt;0)</f>
        <v>0</v>
      </c>
      <c r="V149" s="14" cm="1">
        <f t="array" ref="V149">INT(SUMPRODUCT(--ISNUMBER(SEARCH(abortion,C149)))&gt;0)</f>
        <v>0</v>
      </c>
      <c r="W149" s="14" cm="1">
        <f t="array" ref="W149">INT(SUMPRODUCT(--ISNUMBER(SEARCH(trump,C149)))&gt;0)</f>
        <v>0</v>
      </c>
      <c r="X149" s="14" cm="1">
        <f t="array" ref="X149">INT(SUMPRODUCT(--ISNUMBER(SEARCH(voting,C149)))&gt;0)</f>
        <v>1</v>
      </c>
      <c r="Y149" s="14" cm="1">
        <f t="array" ref="Y149">INT(SUMPRODUCT(--ISNUMBER(SEARCH(democrattrigger,C149)))&gt;0)</f>
        <v>0</v>
      </c>
      <c r="Z149" s="14" cm="1">
        <f t="array" ref="Z149">INT(SUMPRODUCT(--ISNUMBER(SEARCH(bipartisan,C149)))&gt;0)</f>
        <v>0</v>
      </c>
      <c r="AA149" s="14">
        <f t="shared" si="2"/>
        <v>0</v>
      </c>
      <c r="AB149" s="14"/>
      <c r="AC149" s="30" t="s">
        <v>223</v>
      </c>
      <c r="AD149" s="37" t="s">
        <v>223</v>
      </c>
    </row>
    <row r="150" spans="1:30" x14ac:dyDescent="0.25">
      <c r="A150" s="36">
        <v>3991</v>
      </c>
      <c r="B150" s="14" t="s">
        <v>8005</v>
      </c>
      <c r="C150" s="14" t="s">
        <v>8006</v>
      </c>
      <c r="D150" s="17">
        <v>44127</v>
      </c>
      <c r="E150" s="14" t="s">
        <v>30</v>
      </c>
      <c r="F150" s="14">
        <v>941</v>
      </c>
      <c r="G150" s="14">
        <v>247</v>
      </c>
      <c r="H150" s="14">
        <v>18</v>
      </c>
      <c r="I150" s="14">
        <v>9</v>
      </c>
      <c r="J150" s="14" t="s">
        <v>204</v>
      </c>
      <c r="K150" s="14" cm="1">
        <f t="array" ref="K150">INT(SUMPRODUCT(--ISNUMBER(SEARCH(economy,C150)))&gt;0)</f>
        <v>0</v>
      </c>
      <c r="L150" s="14" cm="1">
        <f t="array" ref="L150">INT(SUMPRODUCT(--ISNUMBER(SEARCH(healthcare,C150)))&gt;0)</f>
        <v>0</v>
      </c>
      <c r="M150" s="14" cm="1">
        <f t="array" ref="M150">INT(SUMPRODUCT(--ISNUMBER(SEARCH(supreme,C150)))&gt;0)</f>
        <v>0</v>
      </c>
      <c r="N150" s="14" cm="1">
        <f t="array" ref="N150">INT(SUMPRODUCT(--ISNUMBER(SEARCH(covid,C150)))&gt;0)</f>
        <v>0</v>
      </c>
      <c r="O150" s="14" cm="1">
        <f t="array" ref="O150">INT(SUMPRODUCT(--ISNUMBER(SEARCH(violent,C150)))&gt;0)</f>
        <v>0</v>
      </c>
      <c r="P150" s="14" cm="1">
        <f t="array" ref="P150">INT(SUMPRODUCT(--ISNUMBER(SEARCH(foreign,C150)))&gt;0)</f>
        <v>0</v>
      </c>
      <c r="Q150" s="14" cm="1">
        <f t="array" ref="Q150">INT(SUMPRODUCT(--ISNUMBER(SEARCH(gun,C150)))&gt;0)</f>
        <v>0</v>
      </c>
      <c r="R150" s="14" cm="1">
        <f t="array" ref="R150">INT(SUMPRODUCT(--ISNUMBER(SEARCH(race,C150)))&gt;0)</f>
        <v>0</v>
      </c>
      <c r="S150" s="14" cm="1">
        <f t="array" ref="S150">INT(SUMPRODUCT(--ISNUMBER(SEARCH(immigration,C150)))&gt;0)</f>
        <v>0</v>
      </c>
      <c r="T150" s="14" cm="1">
        <f t="array" ref="T150">INT(SUMPRODUCT(--ISNUMBER(SEARCH(econineq,C151)))&gt;0)</f>
        <v>0</v>
      </c>
      <c r="U150" s="14" cm="1">
        <f t="array" ref="U150">INT(SUMPRODUCT(--ISNUMBER(SEARCH(climate,C150)))&gt;0)</f>
        <v>0</v>
      </c>
      <c r="V150" s="14" cm="1">
        <f t="array" ref="V150">INT(SUMPRODUCT(--ISNUMBER(SEARCH(abortion,C150)))&gt;0)</f>
        <v>0</v>
      </c>
      <c r="W150" s="14" cm="1">
        <f t="array" ref="W150">INT(SUMPRODUCT(--ISNUMBER(SEARCH(trump,C150)))&gt;0)</f>
        <v>0</v>
      </c>
      <c r="X150" s="14" cm="1">
        <f t="array" ref="X150">INT(SUMPRODUCT(--ISNUMBER(SEARCH(voting,C150)))&gt;0)</f>
        <v>1</v>
      </c>
      <c r="Y150" s="14" cm="1">
        <f t="array" ref="Y150">INT(SUMPRODUCT(--ISNUMBER(SEARCH(democrattrigger,C150)))&gt;0)</f>
        <v>0</v>
      </c>
      <c r="Z150" s="14" cm="1">
        <f t="array" ref="Z150">INT(SUMPRODUCT(--ISNUMBER(SEARCH(bipartisan,C150)))&gt;0)</f>
        <v>0</v>
      </c>
      <c r="AA150" s="14">
        <f t="shared" si="2"/>
        <v>0</v>
      </c>
      <c r="AB150" s="14"/>
      <c r="AC150" s="30" t="s">
        <v>223</v>
      </c>
      <c r="AD150" s="37" t="s">
        <v>223</v>
      </c>
    </row>
    <row r="151" spans="1:30" x14ac:dyDescent="0.25">
      <c r="A151" s="36">
        <v>3992</v>
      </c>
      <c r="B151" s="14" t="s">
        <v>8007</v>
      </c>
      <c r="C151" s="14" t="s">
        <v>8008</v>
      </c>
      <c r="D151" s="17">
        <v>44127</v>
      </c>
      <c r="E151" s="14" t="s">
        <v>30</v>
      </c>
      <c r="F151" s="14">
        <v>3947</v>
      </c>
      <c r="G151" s="14">
        <v>511</v>
      </c>
      <c r="H151" s="14">
        <v>18</v>
      </c>
      <c r="I151" s="14">
        <v>9</v>
      </c>
      <c r="J151" s="14" t="s">
        <v>204</v>
      </c>
      <c r="K151" s="14" cm="1">
        <f t="array" ref="K151">INT(SUMPRODUCT(--ISNUMBER(SEARCH(economy,C151)))&gt;0)</f>
        <v>0</v>
      </c>
      <c r="L151" s="14" cm="1">
        <f t="array" ref="L151">INT(SUMPRODUCT(--ISNUMBER(SEARCH(healthcare,C151)))&gt;0)</f>
        <v>0</v>
      </c>
      <c r="M151" s="14" cm="1">
        <f t="array" ref="M151">INT(SUMPRODUCT(--ISNUMBER(SEARCH(supreme,C151)))&gt;0)</f>
        <v>0</v>
      </c>
      <c r="N151" s="14" cm="1">
        <f t="array" ref="N151">INT(SUMPRODUCT(--ISNUMBER(SEARCH(covid,C151)))&gt;0)</f>
        <v>0</v>
      </c>
      <c r="O151" s="14" cm="1">
        <f t="array" ref="O151">INT(SUMPRODUCT(--ISNUMBER(SEARCH(violent,C151)))&gt;0)</f>
        <v>0</v>
      </c>
      <c r="P151" s="14" cm="1">
        <f t="array" ref="P151">INT(SUMPRODUCT(--ISNUMBER(SEARCH(foreign,C151)))&gt;0)</f>
        <v>0</v>
      </c>
      <c r="Q151" s="14" cm="1">
        <f t="array" ref="Q151">INT(SUMPRODUCT(--ISNUMBER(SEARCH(gun,C151)))&gt;0)</f>
        <v>0</v>
      </c>
      <c r="R151" s="14" cm="1">
        <f t="array" ref="R151">INT(SUMPRODUCT(--ISNUMBER(SEARCH(race,C151)))&gt;0)</f>
        <v>0</v>
      </c>
      <c r="S151" s="14" cm="1">
        <f t="array" ref="S151">INT(SUMPRODUCT(--ISNUMBER(SEARCH(immigration,C151)))&gt;0)</f>
        <v>0</v>
      </c>
      <c r="T151" s="14" cm="1">
        <f t="array" ref="T151">INT(SUMPRODUCT(--ISNUMBER(SEARCH(econineq,C152)))&gt;0)</f>
        <v>0</v>
      </c>
      <c r="U151" s="14" cm="1">
        <f t="array" ref="U151">INT(SUMPRODUCT(--ISNUMBER(SEARCH(climate,C151)))&gt;0)</f>
        <v>0</v>
      </c>
      <c r="V151" s="14" cm="1">
        <f t="array" ref="V151">INT(SUMPRODUCT(--ISNUMBER(SEARCH(abortion,C151)))&gt;0)</f>
        <v>0</v>
      </c>
      <c r="W151" s="14" cm="1">
        <f t="array" ref="W151">INT(SUMPRODUCT(--ISNUMBER(SEARCH(trump,C151)))&gt;0)</f>
        <v>0</v>
      </c>
      <c r="X151" s="14" cm="1">
        <f t="array" ref="X151">INT(SUMPRODUCT(--ISNUMBER(SEARCH(voting,C151)))&gt;0)</f>
        <v>1</v>
      </c>
      <c r="Y151" s="14" cm="1">
        <f t="array" ref="Y151">INT(SUMPRODUCT(--ISNUMBER(SEARCH(democrattrigger,C151)))&gt;0)</f>
        <v>0</v>
      </c>
      <c r="Z151" s="14" cm="1">
        <f t="array" ref="Z151">INT(SUMPRODUCT(--ISNUMBER(SEARCH(bipartisan,C151)))&gt;0)</f>
        <v>0</v>
      </c>
      <c r="AA151" s="14">
        <f t="shared" si="2"/>
        <v>0</v>
      </c>
      <c r="AB151" s="14"/>
      <c r="AC151" s="30" t="s">
        <v>223</v>
      </c>
      <c r="AD151" s="37" t="s">
        <v>223</v>
      </c>
    </row>
    <row r="152" spans="1:30" x14ac:dyDescent="0.25">
      <c r="A152" s="36">
        <v>3993</v>
      </c>
      <c r="B152" s="14" t="s">
        <v>8009</v>
      </c>
      <c r="C152" s="14" t="s">
        <v>8010</v>
      </c>
      <c r="D152" s="17">
        <v>44126</v>
      </c>
      <c r="E152" s="14" t="s">
        <v>30</v>
      </c>
      <c r="F152" s="14">
        <v>4015</v>
      </c>
      <c r="G152" s="14">
        <v>620</v>
      </c>
      <c r="H152" s="14">
        <v>18</v>
      </c>
      <c r="I152" s="14">
        <v>9</v>
      </c>
      <c r="J152" s="14" t="s">
        <v>204</v>
      </c>
      <c r="K152" s="14" cm="1">
        <f t="array" ref="K152">INT(SUMPRODUCT(--ISNUMBER(SEARCH(economy,C152)))&gt;0)</f>
        <v>0</v>
      </c>
      <c r="L152" s="14" cm="1">
        <f t="array" ref="L152">INT(SUMPRODUCT(--ISNUMBER(SEARCH(healthcare,C152)))&gt;0)</f>
        <v>0</v>
      </c>
      <c r="M152" s="14" cm="1">
        <f t="array" ref="M152">INT(SUMPRODUCT(--ISNUMBER(SEARCH(supreme,C152)))&gt;0)</f>
        <v>0</v>
      </c>
      <c r="N152" s="14" cm="1">
        <f t="array" ref="N152">INT(SUMPRODUCT(--ISNUMBER(SEARCH(covid,C152)))&gt;0)</f>
        <v>0</v>
      </c>
      <c r="O152" s="14" cm="1">
        <f t="array" ref="O152">INT(SUMPRODUCT(--ISNUMBER(SEARCH(violent,C152)))&gt;0)</f>
        <v>0</v>
      </c>
      <c r="P152" s="14" cm="1">
        <f t="array" ref="P152">INT(SUMPRODUCT(--ISNUMBER(SEARCH(foreign,C152)))&gt;0)</f>
        <v>0</v>
      </c>
      <c r="Q152" s="14" cm="1">
        <f t="array" ref="Q152">INT(SUMPRODUCT(--ISNUMBER(SEARCH(gun,C152)))&gt;0)</f>
        <v>0</v>
      </c>
      <c r="R152" s="14" cm="1">
        <f t="array" ref="R152">INT(SUMPRODUCT(--ISNUMBER(SEARCH(race,C152)))&gt;0)</f>
        <v>0</v>
      </c>
      <c r="S152" s="14" cm="1">
        <f t="array" ref="S152">INT(SUMPRODUCT(--ISNUMBER(SEARCH(immigration,C152)))&gt;0)</f>
        <v>0</v>
      </c>
      <c r="T152" s="14" cm="1">
        <f t="array" ref="T152">INT(SUMPRODUCT(--ISNUMBER(SEARCH(econineq,C153)))&gt;0)</f>
        <v>0</v>
      </c>
      <c r="U152" s="14" cm="1">
        <f t="array" ref="U152">INT(SUMPRODUCT(--ISNUMBER(SEARCH(climate,C152)))&gt;0)</f>
        <v>0</v>
      </c>
      <c r="V152" s="14" cm="1">
        <f t="array" ref="V152">INT(SUMPRODUCT(--ISNUMBER(SEARCH(abortion,C152)))&gt;0)</f>
        <v>0</v>
      </c>
      <c r="W152" s="14" cm="1">
        <f t="array" ref="W152">INT(SUMPRODUCT(--ISNUMBER(SEARCH(trump,C152)))&gt;0)</f>
        <v>0</v>
      </c>
      <c r="X152" s="14" cm="1">
        <f t="array" ref="X152">INT(SUMPRODUCT(--ISNUMBER(SEARCH(voting,C152)))&gt;0)</f>
        <v>0</v>
      </c>
      <c r="Y152" s="14" cm="1">
        <f t="array" ref="Y152">INT(SUMPRODUCT(--ISNUMBER(SEARCH(democrattrigger,C152)))&gt;0)</f>
        <v>0</v>
      </c>
      <c r="Z152" s="14" cm="1">
        <f t="array" ref="Z152">INT(SUMPRODUCT(--ISNUMBER(SEARCH(bipartisan,C152)))&gt;0)</f>
        <v>0</v>
      </c>
      <c r="AA152" s="14">
        <f t="shared" si="2"/>
        <v>1</v>
      </c>
      <c r="AB152" s="14"/>
      <c r="AC152" s="30" t="s">
        <v>223</v>
      </c>
      <c r="AD152" s="37" t="s">
        <v>223</v>
      </c>
    </row>
    <row r="153" spans="1:30" x14ac:dyDescent="0.25">
      <c r="A153" s="36">
        <v>3994</v>
      </c>
      <c r="B153" s="14" t="s">
        <v>8011</v>
      </c>
      <c r="C153" s="14" t="s">
        <v>8012</v>
      </c>
      <c r="D153" s="17">
        <v>44126</v>
      </c>
      <c r="E153" s="14" t="s">
        <v>30</v>
      </c>
      <c r="F153" s="14">
        <v>5325</v>
      </c>
      <c r="G153" s="14">
        <v>1301</v>
      </c>
      <c r="H153" s="14">
        <v>18</v>
      </c>
      <c r="I153" s="14">
        <v>9</v>
      </c>
      <c r="J153" s="14" t="s">
        <v>204</v>
      </c>
      <c r="K153" s="14" cm="1">
        <f t="array" ref="K153">INT(SUMPRODUCT(--ISNUMBER(SEARCH(economy,C153)))&gt;0)</f>
        <v>0</v>
      </c>
      <c r="L153" s="14" cm="1">
        <f t="array" ref="L153">INT(SUMPRODUCT(--ISNUMBER(SEARCH(healthcare,C153)))&gt;0)</f>
        <v>0</v>
      </c>
      <c r="M153" s="14" cm="1">
        <f t="array" ref="M153">INT(SUMPRODUCT(--ISNUMBER(SEARCH(supreme,C153)))&gt;0)</f>
        <v>0</v>
      </c>
      <c r="N153" s="14" cm="1">
        <f t="array" ref="N153">INT(SUMPRODUCT(--ISNUMBER(SEARCH(covid,C153)))&gt;0)</f>
        <v>0</v>
      </c>
      <c r="O153" s="14" cm="1">
        <f t="array" ref="O153">INT(SUMPRODUCT(--ISNUMBER(SEARCH(violent,C153)))&gt;0)</f>
        <v>0</v>
      </c>
      <c r="P153" s="14" cm="1">
        <f t="array" ref="P153">INT(SUMPRODUCT(--ISNUMBER(SEARCH(foreign,C153)))&gt;0)</f>
        <v>0</v>
      </c>
      <c r="Q153" s="14" cm="1">
        <f t="array" ref="Q153">INT(SUMPRODUCT(--ISNUMBER(SEARCH(gun,C153)))&gt;0)</f>
        <v>0</v>
      </c>
      <c r="R153" s="14" cm="1">
        <f t="array" ref="R153">INT(SUMPRODUCT(--ISNUMBER(SEARCH(race,C153)))&gt;0)</f>
        <v>0</v>
      </c>
      <c r="S153" s="14" cm="1">
        <f t="array" ref="S153">INT(SUMPRODUCT(--ISNUMBER(SEARCH(immigration,C153)))&gt;0)</f>
        <v>0</v>
      </c>
      <c r="T153" s="14" cm="1">
        <f t="array" ref="T153">INT(SUMPRODUCT(--ISNUMBER(SEARCH(econineq,C154)))&gt;0)</f>
        <v>0</v>
      </c>
      <c r="U153" s="14" cm="1">
        <f t="array" ref="U153">INT(SUMPRODUCT(--ISNUMBER(SEARCH(climate,C153)))&gt;0)</f>
        <v>0</v>
      </c>
      <c r="V153" s="14" cm="1">
        <f t="array" ref="V153">INT(SUMPRODUCT(--ISNUMBER(SEARCH(abortion,C153)))&gt;0)</f>
        <v>0</v>
      </c>
      <c r="W153" s="14" cm="1">
        <f t="array" ref="W153">INT(SUMPRODUCT(--ISNUMBER(SEARCH(trump,C153)))&gt;0)</f>
        <v>0</v>
      </c>
      <c r="X153" s="14" cm="1">
        <f t="array" ref="X153">INT(SUMPRODUCT(--ISNUMBER(SEARCH(voting,C153)))&gt;0)</f>
        <v>0</v>
      </c>
      <c r="Y153" s="14" cm="1">
        <f t="array" ref="Y153">INT(SUMPRODUCT(--ISNUMBER(SEARCH(democrattrigger,C153)))&gt;0)</f>
        <v>1</v>
      </c>
      <c r="Z153" s="14" cm="1">
        <f t="array" ref="Z153">INT(SUMPRODUCT(--ISNUMBER(SEARCH(bipartisan,C153)))&gt;0)</f>
        <v>0</v>
      </c>
      <c r="AA153" s="14">
        <f t="shared" si="2"/>
        <v>0</v>
      </c>
      <c r="AB153" s="14"/>
      <c r="AC153" s="30" t="s">
        <v>223</v>
      </c>
      <c r="AD153" s="37" t="s">
        <v>223</v>
      </c>
    </row>
    <row r="154" spans="1:30" x14ac:dyDescent="0.25">
      <c r="A154" s="36">
        <v>3995</v>
      </c>
      <c r="B154" s="14" t="s">
        <v>8013</v>
      </c>
      <c r="C154" s="14" t="s">
        <v>8014</v>
      </c>
      <c r="D154" s="17">
        <v>44126</v>
      </c>
      <c r="E154" s="14" t="s">
        <v>30</v>
      </c>
      <c r="F154" s="14">
        <v>865</v>
      </c>
      <c r="G154" s="14">
        <v>187</v>
      </c>
      <c r="H154" s="14">
        <v>18</v>
      </c>
      <c r="I154" s="14">
        <v>9</v>
      </c>
      <c r="J154" s="14" t="s">
        <v>204</v>
      </c>
      <c r="K154" s="14" cm="1">
        <f t="array" ref="K154">INT(SUMPRODUCT(--ISNUMBER(SEARCH(economy,C154)))&gt;0)</f>
        <v>0</v>
      </c>
      <c r="L154" s="14" cm="1">
        <f t="array" ref="L154">INT(SUMPRODUCT(--ISNUMBER(SEARCH(healthcare,C154)))&gt;0)</f>
        <v>1</v>
      </c>
      <c r="M154" s="14" cm="1">
        <f t="array" ref="M154">INT(SUMPRODUCT(--ISNUMBER(SEARCH(supreme,C154)))&gt;0)</f>
        <v>0</v>
      </c>
      <c r="N154" s="14" cm="1">
        <f t="array" ref="N154">INT(SUMPRODUCT(--ISNUMBER(SEARCH(covid,C154)))&gt;0)</f>
        <v>0</v>
      </c>
      <c r="O154" s="14" cm="1">
        <f t="array" ref="O154">INT(SUMPRODUCT(--ISNUMBER(SEARCH(violent,C154)))&gt;0)</f>
        <v>0</v>
      </c>
      <c r="P154" s="14" cm="1">
        <f t="array" ref="P154">INT(SUMPRODUCT(--ISNUMBER(SEARCH(foreign,C154)))&gt;0)</f>
        <v>0</v>
      </c>
      <c r="Q154" s="14" cm="1">
        <f t="array" ref="Q154">INT(SUMPRODUCT(--ISNUMBER(SEARCH(gun,C154)))&gt;0)</f>
        <v>0</v>
      </c>
      <c r="R154" s="14" cm="1">
        <f t="array" ref="R154">INT(SUMPRODUCT(--ISNUMBER(SEARCH(race,C154)))&gt;0)</f>
        <v>0</v>
      </c>
      <c r="S154" s="14" cm="1">
        <f t="array" ref="S154">INT(SUMPRODUCT(--ISNUMBER(SEARCH(immigration,C154)))&gt;0)</f>
        <v>0</v>
      </c>
      <c r="T154" s="14" cm="1">
        <f t="array" ref="T154">INT(SUMPRODUCT(--ISNUMBER(SEARCH(econineq,C155)))&gt;0)</f>
        <v>0</v>
      </c>
      <c r="U154" s="14" cm="1">
        <f t="array" ref="U154">INT(SUMPRODUCT(--ISNUMBER(SEARCH(climate,C154)))&gt;0)</f>
        <v>0</v>
      </c>
      <c r="V154" s="14" cm="1">
        <f t="array" ref="V154">INT(SUMPRODUCT(--ISNUMBER(SEARCH(abortion,C154)))&gt;0)</f>
        <v>0</v>
      </c>
      <c r="W154" s="14" cm="1">
        <f t="array" ref="W154">INT(SUMPRODUCT(--ISNUMBER(SEARCH(trump,C154)))&gt;0)</f>
        <v>0</v>
      </c>
      <c r="X154" s="14" cm="1">
        <f t="array" ref="X154">INT(SUMPRODUCT(--ISNUMBER(SEARCH(voting,C154)))&gt;0)</f>
        <v>1</v>
      </c>
      <c r="Y154" s="14" cm="1">
        <f t="array" ref="Y154">INT(SUMPRODUCT(--ISNUMBER(SEARCH(democrattrigger,C154)))&gt;0)</f>
        <v>0</v>
      </c>
      <c r="Z154" s="14" cm="1">
        <f t="array" ref="Z154">INT(SUMPRODUCT(--ISNUMBER(SEARCH(bipartisan,C154)))&gt;0)</f>
        <v>0</v>
      </c>
      <c r="AA154" s="14">
        <f t="shared" si="2"/>
        <v>0</v>
      </c>
      <c r="AB154" s="14"/>
      <c r="AC154" s="30">
        <v>1</v>
      </c>
      <c r="AD154" s="37">
        <v>0</v>
      </c>
    </row>
    <row r="155" spans="1:30" x14ac:dyDescent="0.25">
      <c r="A155" s="36">
        <v>3996</v>
      </c>
      <c r="B155" s="14" t="s">
        <v>8015</v>
      </c>
      <c r="C155" s="14" t="s">
        <v>8016</v>
      </c>
      <c r="D155" s="17">
        <v>44126</v>
      </c>
      <c r="E155" s="14" t="s">
        <v>30</v>
      </c>
      <c r="F155" s="14">
        <v>746</v>
      </c>
      <c r="G155" s="14">
        <v>163</v>
      </c>
      <c r="H155" s="14">
        <v>18</v>
      </c>
      <c r="I155" s="14">
        <v>9</v>
      </c>
      <c r="J155" s="14" t="s">
        <v>204</v>
      </c>
      <c r="K155" s="14" cm="1">
        <f t="array" ref="K155">INT(SUMPRODUCT(--ISNUMBER(SEARCH(economy,C155)))&gt;0)</f>
        <v>0</v>
      </c>
      <c r="L155" s="14" cm="1">
        <f t="array" ref="L155">INT(SUMPRODUCT(--ISNUMBER(SEARCH(healthcare,C155)))&gt;0)</f>
        <v>0</v>
      </c>
      <c r="M155" s="14" cm="1">
        <f t="array" ref="M155">INT(SUMPRODUCT(--ISNUMBER(SEARCH(supreme,C155)))&gt;0)</f>
        <v>0</v>
      </c>
      <c r="N155" s="14" cm="1">
        <f t="array" ref="N155">INT(SUMPRODUCT(--ISNUMBER(SEARCH(covid,C155)))&gt;0)</f>
        <v>1</v>
      </c>
      <c r="O155" s="14" cm="1">
        <f t="array" ref="O155">INT(SUMPRODUCT(--ISNUMBER(SEARCH(violent,C155)))&gt;0)</f>
        <v>0</v>
      </c>
      <c r="P155" s="14" cm="1">
        <f t="array" ref="P155">INT(SUMPRODUCT(--ISNUMBER(SEARCH(foreign,C155)))&gt;0)</f>
        <v>0</v>
      </c>
      <c r="Q155" s="14" cm="1">
        <f t="array" ref="Q155">INT(SUMPRODUCT(--ISNUMBER(SEARCH(gun,C155)))&gt;0)</f>
        <v>0</v>
      </c>
      <c r="R155" s="14" cm="1">
        <f t="array" ref="R155">INT(SUMPRODUCT(--ISNUMBER(SEARCH(race,C155)))&gt;0)</f>
        <v>0</v>
      </c>
      <c r="S155" s="14" cm="1">
        <f t="array" ref="S155">INT(SUMPRODUCT(--ISNUMBER(SEARCH(immigration,C155)))&gt;0)</f>
        <v>0</v>
      </c>
      <c r="T155" s="14" cm="1">
        <f t="array" ref="T155">INT(SUMPRODUCT(--ISNUMBER(SEARCH(econineq,C156)))&gt;0)</f>
        <v>0</v>
      </c>
      <c r="U155" s="14" cm="1">
        <f t="array" ref="U155">INT(SUMPRODUCT(--ISNUMBER(SEARCH(climate,C155)))&gt;0)</f>
        <v>0</v>
      </c>
      <c r="V155" s="14" cm="1">
        <f t="array" ref="V155">INT(SUMPRODUCT(--ISNUMBER(SEARCH(abortion,C155)))&gt;0)</f>
        <v>0</v>
      </c>
      <c r="W155" s="14" cm="1">
        <f t="array" ref="W155">INT(SUMPRODUCT(--ISNUMBER(SEARCH(trump,C155)))&gt;0)</f>
        <v>0</v>
      </c>
      <c r="X155" s="14" cm="1">
        <f t="array" ref="X155">INT(SUMPRODUCT(--ISNUMBER(SEARCH(voting,C155)))&gt;0)</f>
        <v>0</v>
      </c>
      <c r="Y155" s="14" cm="1">
        <f t="array" ref="Y155">INT(SUMPRODUCT(--ISNUMBER(SEARCH(democrattrigger,C155)))&gt;0)</f>
        <v>0</v>
      </c>
      <c r="Z155" s="14" cm="1">
        <f t="array" ref="Z155">INT(SUMPRODUCT(--ISNUMBER(SEARCH(bipartisan,C155)))&gt;0)</f>
        <v>0</v>
      </c>
      <c r="AA155" s="14">
        <f t="shared" si="2"/>
        <v>0</v>
      </c>
      <c r="AB155" s="14"/>
      <c r="AC155" s="30" t="s">
        <v>223</v>
      </c>
      <c r="AD155" s="37" t="s">
        <v>223</v>
      </c>
    </row>
    <row r="156" spans="1:30" x14ac:dyDescent="0.25">
      <c r="A156" s="36">
        <v>3997</v>
      </c>
      <c r="B156" s="14" t="s">
        <v>8017</v>
      </c>
      <c r="C156" s="14" t="s">
        <v>8018</v>
      </c>
      <c r="D156" s="17">
        <v>44126</v>
      </c>
      <c r="E156" s="14" t="s">
        <v>30</v>
      </c>
      <c r="F156" s="14">
        <v>1126</v>
      </c>
      <c r="G156" s="14">
        <v>192</v>
      </c>
      <c r="H156" s="14">
        <v>18</v>
      </c>
      <c r="I156" s="14">
        <v>9</v>
      </c>
      <c r="J156" s="14" t="s">
        <v>204</v>
      </c>
      <c r="K156" s="14" cm="1">
        <f t="array" ref="K156">INT(SUMPRODUCT(--ISNUMBER(SEARCH(economy,C156)))&gt;0)</f>
        <v>0</v>
      </c>
      <c r="L156" s="14" cm="1">
        <f t="array" ref="L156">INT(SUMPRODUCT(--ISNUMBER(SEARCH(healthcare,C156)))&gt;0)</f>
        <v>0</v>
      </c>
      <c r="M156" s="14" cm="1">
        <f t="array" ref="M156">INT(SUMPRODUCT(--ISNUMBER(SEARCH(supreme,C156)))&gt;0)</f>
        <v>0</v>
      </c>
      <c r="N156" s="14" cm="1">
        <f t="array" ref="N156">INT(SUMPRODUCT(--ISNUMBER(SEARCH(covid,C156)))&gt;0)</f>
        <v>0</v>
      </c>
      <c r="O156" s="14" cm="1">
        <f t="array" ref="O156">INT(SUMPRODUCT(--ISNUMBER(SEARCH(violent,C156)))&gt;0)</f>
        <v>0</v>
      </c>
      <c r="P156" s="14" cm="1">
        <f t="array" ref="P156">INT(SUMPRODUCT(--ISNUMBER(SEARCH(foreign,C156)))&gt;0)</f>
        <v>0</v>
      </c>
      <c r="Q156" s="14" cm="1">
        <f t="array" ref="Q156">INT(SUMPRODUCT(--ISNUMBER(SEARCH(gun,C156)))&gt;0)</f>
        <v>0</v>
      </c>
      <c r="R156" s="14" cm="1">
        <f t="array" ref="R156">INT(SUMPRODUCT(--ISNUMBER(SEARCH(race,C156)))&gt;0)</f>
        <v>0</v>
      </c>
      <c r="S156" s="14" cm="1">
        <f t="array" ref="S156">INT(SUMPRODUCT(--ISNUMBER(SEARCH(immigration,C156)))&gt;0)</f>
        <v>0</v>
      </c>
      <c r="T156" s="14" cm="1">
        <f t="array" ref="T156">INT(SUMPRODUCT(--ISNUMBER(SEARCH(econineq,C157)))&gt;0)</f>
        <v>0</v>
      </c>
      <c r="U156" s="14" cm="1">
        <f t="array" ref="U156">INT(SUMPRODUCT(--ISNUMBER(SEARCH(climate,C156)))&gt;0)</f>
        <v>0</v>
      </c>
      <c r="V156" s="14" cm="1">
        <f t="array" ref="V156">INT(SUMPRODUCT(--ISNUMBER(SEARCH(abortion,C156)))&gt;0)</f>
        <v>0</v>
      </c>
      <c r="W156" s="14" cm="1">
        <f t="array" ref="W156">INT(SUMPRODUCT(--ISNUMBER(SEARCH(trump,C156)))&gt;0)</f>
        <v>0</v>
      </c>
      <c r="X156" s="14" cm="1">
        <f t="array" ref="X156">INT(SUMPRODUCT(--ISNUMBER(SEARCH(voting,C156)))&gt;0)</f>
        <v>1</v>
      </c>
      <c r="Y156" s="14" cm="1">
        <f t="array" ref="Y156">INT(SUMPRODUCT(--ISNUMBER(SEARCH(democrattrigger,C156)))&gt;0)</f>
        <v>0</v>
      </c>
      <c r="Z156" s="14" cm="1">
        <f t="array" ref="Z156">INT(SUMPRODUCT(--ISNUMBER(SEARCH(bipartisan,C156)))&gt;0)</f>
        <v>0</v>
      </c>
      <c r="AA156" s="14">
        <f t="shared" si="2"/>
        <v>0</v>
      </c>
      <c r="AB156" s="14"/>
      <c r="AC156" s="30">
        <v>1</v>
      </c>
      <c r="AD156" s="37">
        <v>0</v>
      </c>
    </row>
    <row r="157" spans="1:30" x14ac:dyDescent="0.25">
      <c r="A157" s="36">
        <v>3998</v>
      </c>
      <c r="B157" s="14" t="s">
        <v>8019</v>
      </c>
      <c r="C157" s="14" t="s">
        <v>8020</v>
      </c>
      <c r="D157" s="17">
        <v>44126</v>
      </c>
      <c r="E157" s="14" t="s">
        <v>30</v>
      </c>
      <c r="F157" s="14">
        <v>6730</v>
      </c>
      <c r="G157" s="14">
        <v>1034</v>
      </c>
      <c r="H157" s="14">
        <v>18</v>
      </c>
      <c r="I157" s="14">
        <v>9</v>
      </c>
      <c r="J157" s="14" t="s">
        <v>204</v>
      </c>
      <c r="K157" s="14" cm="1">
        <f t="array" ref="K157">INT(SUMPRODUCT(--ISNUMBER(SEARCH(economy,C157)))&gt;0)</f>
        <v>0</v>
      </c>
      <c r="L157" s="14" cm="1">
        <f t="array" ref="L157">INT(SUMPRODUCT(--ISNUMBER(SEARCH(healthcare,C157)))&gt;0)</f>
        <v>0</v>
      </c>
      <c r="M157" s="14" cm="1">
        <f t="array" ref="M157">INT(SUMPRODUCT(--ISNUMBER(SEARCH(supreme,C157)))&gt;0)</f>
        <v>0</v>
      </c>
      <c r="N157" s="14" cm="1">
        <f t="array" ref="N157">INT(SUMPRODUCT(--ISNUMBER(SEARCH(covid,C157)))&gt;0)</f>
        <v>0</v>
      </c>
      <c r="O157" s="14" cm="1">
        <f t="array" ref="O157">INT(SUMPRODUCT(--ISNUMBER(SEARCH(violent,C157)))&gt;0)</f>
        <v>0</v>
      </c>
      <c r="P157" s="14" cm="1">
        <f t="array" ref="P157">INT(SUMPRODUCT(--ISNUMBER(SEARCH(foreign,C157)))&gt;0)</f>
        <v>0</v>
      </c>
      <c r="Q157" s="14" cm="1">
        <f t="array" ref="Q157">INT(SUMPRODUCT(--ISNUMBER(SEARCH(gun,C157)))&gt;0)</f>
        <v>0</v>
      </c>
      <c r="R157" s="14" cm="1">
        <f t="array" ref="R157">INT(SUMPRODUCT(--ISNUMBER(SEARCH(race,C157)))&gt;0)</f>
        <v>0</v>
      </c>
      <c r="S157" s="14" cm="1">
        <f t="array" ref="S157">INT(SUMPRODUCT(--ISNUMBER(SEARCH(immigration,C157)))&gt;0)</f>
        <v>0</v>
      </c>
      <c r="T157" s="14" cm="1">
        <f t="array" ref="T157">INT(SUMPRODUCT(--ISNUMBER(SEARCH(econineq,C158)))&gt;0)</f>
        <v>0</v>
      </c>
      <c r="U157" s="14" cm="1">
        <f t="array" ref="U157">INT(SUMPRODUCT(--ISNUMBER(SEARCH(climate,C157)))&gt;0)</f>
        <v>0</v>
      </c>
      <c r="V157" s="14" cm="1">
        <f t="array" ref="V157">INT(SUMPRODUCT(--ISNUMBER(SEARCH(abortion,C157)))&gt;0)</f>
        <v>0</v>
      </c>
      <c r="W157" s="14" cm="1">
        <f t="array" ref="W157">INT(SUMPRODUCT(--ISNUMBER(SEARCH(trump,C157)))&gt;0)</f>
        <v>0</v>
      </c>
      <c r="X157" s="14" cm="1">
        <f t="array" ref="X157">INT(SUMPRODUCT(--ISNUMBER(SEARCH(voting,C157)))&gt;0)</f>
        <v>0</v>
      </c>
      <c r="Y157" s="14" cm="1">
        <f t="array" ref="Y157">INT(SUMPRODUCT(--ISNUMBER(SEARCH(democrattrigger,C157)))&gt;0)</f>
        <v>0</v>
      </c>
      <c r="Z157" s="14" cm="1">
        <f t="array" ref="Z157">INT(SUMPRODUCT(--ISNUMBER(SEARCH(bipartisan,C157)))&gt;0)</f>
        <v>0</v>
      </c>
      <c r="AA157" s="14">
        <f t="shared" si="2"/>
        <v>1</v>
      </c>
      <c r="AB157" s="14"/>
      <c r="AC157" s="30" t="s">
        <v>223</v>
      </c>
      <c r="AD157" s="37" t="s">
        <v>223</v>
      </c>
    </row>
    <row r="158" spans="1:30" x14ac:dyDescent="0.25">
      <c r="A158" s="36">
        <v>3999</v>
      </c>
      <c r="B158" s="14" t="s">
        <v>8021</v>
      </c>
      <c r="C158" s="14" t="s">
        <v>8022</v>
      </c>
      <c r="D158" s="17">
        <v>44126</v>
      </c>
      <c r="E158" s="14" t="s">
        <v>30</v>
      </c>
      <c r="F158" s="14">
        <v>19598</v>
      </c>
      <c r="G158" s="14">
        <v>4307</v>
      </c>
      <c r="H158" s="14">
        <v>18</v>
      </c>
      <c r="I158" s="14">
        <v>9</v>
      </c>
      <c r="J158" s="14" t="s">
        <v>204</v>
      </c>
      <c r="K158" s="14" cm="1">
        <f t="array" ref="K158">INT(SUMPRODUCT(--ISNUMBER(SEARCH(economy,C158)))&gt;0)</f>
        <v>0</v>
      </c>
      <c r="L158" s="14" cm="1">
        <f t="array" ref="L158">INT(SUMPRODUCT(--ISNUMBER(SEARCH(healthcare,C158)))&gt;0)</f>
        <v>0</v>
      </c>
      <c r="M158" s="14" cm="1">
        <f t="array" ref="M158">INT(SUMPRODUCT(--ISNUMBER(SEARCH(supreme,C158)))&gt;0)</f>
        <v>0</v>
      </c>
      <c r="N158" s="14" cm="1">
        <f t="array" ref="N158">INT(SUMPRODUCT(--ISNUMBER(SEARCH(covid,C158)))&gt;0)</f>
        <v>0</v>
      </c>
      <c r="O158" s="14" cm="1">
        <f t="array" ref="O158">INT(SUMPRODUCT(--ISNUMBER(SEARCH(violent,C158)))&gt;0)</f>
        <v>0</v>
      </c>
      <c r="P158" s="14" cm="1">
        <f t="array" ref="P158">INT(SUMPRODUCT(--ISNUMBER(SEARCH(foreign,C158)))&gt;0)</f>
        <v>0</v>
      </c>
      <c r="Q158" s="14" cm="1">
        <f t="array" ref="Q158">INT(SUMPRODUCT(--ISNUMBER(SEARCH(gun,C158)))&gt;0)</f>
        <v>0</v>
      </c>
      <c r="R158" s="14" cm="1">
        <f t="array" ref="R158">INT(SUMPRODUCT(--ISNUMBER(SEARCH(race,C158)))&gt;0)</f>
        <v>0</v>
      </c>
      <c r="S158" s="14" cm="1">
        <f t="array" ref="S158">INT(SUMPRODUCT(--ISNUMBER(SEARCH(immigration,C158)))&gt;0)</f>
        <v>0</v>
      </c>
      <c r="T158" s="14" cm="1">
        <f t="array" ref="T158">INT(SUMPRODUCT(--ISNUMBER(SEARCH(econineq,C159)))&gt;0)</f>
        <v>0</v>
      </c>
      <c r="U158" s="14" cm="1">
        <f t="array" ref="U158">INT(SUMPRODUCT(--ISNUMBER(SEARCH(climate,C158)))&gt;0)</f>
        <v>0</v>
      </c>
      <c r="V158" s="14" cm="1">
        <f t="array" ref="V158">INT(SUMPRODUCT(--ISNUMBER(SEARCH(abortion,C158)))&gt;0)</f>
        <v>0</v>
      </c>
      <c r="W158" s="14" cm="1">
        <f t="array" ref="W158">INT(SUMPRODUCT(--ISNUMBER(SEARCH(trump,C158)))&gt;0)</f>
        <v>0</v>
      </c>
      <c r="X158" s="14" cm="1">
        <f t="array" ref="X158">INT(SUMPRODUCT(--ISNUMBER(SEARCH(voting,C158)))&gt;0)</f>
        <v>0</v>
      </c>
      <c r="Y158" s="14" cm="1">
        <f t="array" ref="Y158">INT(SUMPRODUCT(--ISNUMBER(SEARCH(democrattrigger,C158)))&gt;0)</f>
        <v>1</v>
      </c>
      <c r="Z158" s="14" cm="1">
        <f t="array" ref="Z158">INT(SUMPRODUCT(--ISNUMBER(SEARCH(bipartisan,C158)))&gt;0)</f>
        <v>0</v>
      </c>
      <c r="AA158" s="14">
        <f t="shared" si="2"/>
        <v>0</v>
      </c>
      <c r="AB158" s="14"/>
      <c r="AC158" s="30">
        <v>1</v>
      </c>
      <c r="AD158" s="37">
        <v>0</v>
      </c>
    </row>
    <row r="159" spans="1:30" x14ac:dyDescent="0.25">
      <c r="A159" s="36">
        <v>4000</v>
      </c>
      <c r="B159" s="14" t="s">
        <v>8023</v>
      </c>
      <c r="C159" s="14" t="s">
        <v>8024</v>
      </c>
      <c r="D159" s="17">
        <v>44126</v>
      </c>
      <c r="E159" s="14" t="s">
        <v>30</v>
      </c>
      <c r="F159" s="14">
        <v>14865</v>
      </c>
      <c r="G159" s="14">
        <v>3885</v>
      </c>
      <c r="H159" s="14">
        <v>18</v>
      </c>
      <c r="I159" s="14">
        <v>9</v>
      </c>
      <c r="J159" s="14" t="s">
        <v>204</v>
      </c>
      <c r="K159" s="14" cm="1">
        <f t="array" ref="K159">INT(SUMPRODUCT(--ISNUMBER(SEARCH(economy,C159)))&gt;0)</f>
        <v>0</v>
      </c>
      <c r="L159" s="14" cm="1">
        <f t="array" ref="L159">INT(SUMPRODUCT(--ISNUMBER(SEARCH(healthcare,C159)))&gt;0)</f>
        <v>1</v>
      </c>
      <c r="M159" s="14" cm="1">
        <f t="array" ref="M159">INT(SUMPRODUCT(--ISNUMBER(SEARCH(supreme,C159)))&gt;0)</f>
        <v>0</v>
      </c>
      <c r="N159" s="14" cm="1">
        <f t="array" ref="N159">INT(SUMPRODUCT(--ISNUMBER(SEARCH(covid,C159)))&gt;0)</f>
        <v>0</v>
      </c>
      <c r="O159" s="14" cm="1">
        <f t="array" ref="O159">INT(SUMPRODUCT(--ISNUMBER(SEARCH(violent,C159)))&gt;0)</f>
        <v>0</v>
      </c>
      <c r="P159" s="14" cm="1">
        <f t="array" ref="P159">INT(SUMPRODUCT(--ISNUMBER(SEARCH(foreign,C159)))&gt;0)</f>
        <v>0</v>
      </c>
      <c r="Q159" s="14" cm="1">
        <f t="array" ref="Q159">INT(SUMPRODUCT(--ISNUMBER(SEARCH(gun,C159)))&gt;0)</f>
        <v>0</v>
      </c>
      <c r="R159" s="14" cm="1">
        <f t="array" ref="R159">INT(SUMPRODUCT(--ISNUMBER(SEARCH(race,C159)))&gt;0)</f>
        <v>0</v>
      </c>
      <c r="S159" s="14" cm="1">
        <f t="array" ref="S159">INT(SUMPRODUCT(--ISNUMBER(SEARCH(immigration,C159)))&gt;0)</f>
        <v>0</v>
      </c>
      <c r="T159" s="14" cm="1">
        <f t="array" ref="T159">INT(SUMPRODUCT(--ISNUMBER(SEARCH(econineq,C160)))&gt;0)</f>
        <v>0</v>
      </c>
      <c r="U159" s="14" cm="1">
        <f t="array" ref="U159">INT(SUMPRODUCT(--ISNUMBER(SEARCH(climate,C159)))&gt;0)</f>
        <v>0</v>
      </c>
      <c r="V159" s="14" cm="1">
        <f t="array" ref="V159">INT(SUMPRODUCT(--ISNUMBER(SEARCH(abortion,C159)))&gt;0)</f>
        <v>0</v>
      </c>
      <c r="W159" s="14" cm="1">
        <f t="array" ref="W159">INT(SUMPRODUCT(--ISNUMBER(SEARCH(trump,C159)))&gt;0)</f>
        <v>0</v>
      </c>
      <c r="X159" s="14" cm="1">
        <f t="array" ref="X159">INT(SUMPRODUCT(--ISNUMBER(SEARCH(voting,C159)))&gt;0)</f>
        <v>0</v>
      </c>
      <c r="Y159" s="14" cm="1">
        <f t="array" ref="Y159">INT(SUMPRODUCT(--ISNUMBER(SEARCH(democrattrigger,C159)))&gt;0)</f>
        <v>0</v>
      </c>
      <c r="Z159" s="14" cm="1">
        <f t="array" ref="Z159">INT(SUMPRODUCT(--ISNUMBER(SEARCH(bipartisan,C159)))&gt;0)</f>
        <v>0</v>
      </c>
      <c r="AA159" s="14">
        <f t="shared" si="2"/>
        <v>0</v>
      </c>
      <c r="AB159" s="14"/>
      <c r="AC159" s="30" t="s">
        <v>223</v>
      </c>
      <c r="AD159" s="37" t="s">
        <v>223</v>
      </c>
    </row>
    <row r="160" spans="1:30" x14ac:dyDescent="0.25">
      <c r="A160" s="36">
        <v>4001</v>
      </c>
      <c r="B160" s="14" t="s">
        <v>8025</v>
      </c>
      <c r="C160" s="14" t="s">
        <v>8026</v>
      </c>
      <c r="D160" s="17">
        <v>44126</v>
      </c>
      <c r="E160" s="14" t="s">
        <v>30</v>
      </c>
      <c r="F160" s="14">
        <v>2073</v>
      </c>
      <c r="G160" s="14">
        <v>719</v>
      </c>
      <c r="H160" s="14">
        <v>18</v>
      </c>
      <c r="I160" s="14">
        <v>9</v>
      </c>
      <c r="J160" s="14" t="s">
        <v>204</v>
      </c>
      <c r="K160" s="14" cm="1">
        <f t="array" ref="K160">INT(SUMPRODUCT(--ISNUMBER(SEARCH(economy,C160)))&gt;0)</f>
        <v>0</v>
      </c>
      <c r="L160" s="14" cm="1">
        <f t="array" ref="L160">INT(SUMPRODUCT(--ISNUMBER(SEARCH(healthcare,C160)))&gt;0)</f>
        <v>1</v>
      </c>
      <c r="M160" s="14" cm="1">
        <f t="array" ref="M160">INT(SUMPRODUCT(--ISNUMBER(SEARCH(supreme,C160)))&gt;0)</f>
        <v>0</v>
      </c>
      <c r="N160" s="14" cm="1">
        <f t="array" ref="N160">INT(SUMPRODUCT(--ISNUMBER(SEARCH(covid,C160)))&gt;0)</f>
        <v>0</v>
      </c>
      <c r="O160" s="14" cm="1">
        <f t="array" ref="O160">INT(SUMPRODUCT(--ISNUMBER(SEARCH(violent,C160)))&gt;0)</f>
        <v>0</v>
      </c>
      <c r="P160" s="14" cm="1">
        <f t="array" ref="P160">INT(SUMPRODUCT(--ISNUMBER(SEARCH(foreign,C160)))&gt;0)</f>
        <v>0</v>
      </c>
      <c r="Q160" s="14" cm="1">
        <f t="array" ref="Q160">INT(SUMPRODUCT(--ISNUMBER(SEARCH(gun,C160)))&gt;0)</f>
        <v>0</v>
      </c>
      <c r="R160" s="14" cm="1">
        <f t="array" ref="R160">INT(SUMPRODUCT(--ISNUMBER(SEARCH(race,C160)))&gt;0)</f>
        <v>0</v>
      </c>
      <c r="S160" s="14" cm="1">
        <f t="array" ref="S160">INT(SUMPRODUCT(--ISNUMBER(SEARCH(immigration,C160)))&gt;0)</f>
        <v>0</v>
      </c>
      <c r="T160" s="14" cm="1">
        <f t="array" ref="T160">INT(SUMPRODUCT(--ISNUMBER(SEARCH(econineq,C161)))&gt;0)</f>
        <v>0</v>
      </c>
      <c r="U160" s="14" cm="1">
        <f t="array" ref="U160">INT(SUMPRODUCT(--ISNUMBER(SEARCH(climate,C160)))&gt;0)</f>
        <v>0</v>
      </c>
      <c r="V160" s="14" cm="1">
        <f t="array" ref="V160">INT(SUMPRODUCT(--ISNUMBER(SEARCH(abortion,C160)))&gt;0)</f>
        <v>0</v>
      </c>
      <c r="W160" s="14" cm="1">
        <f t="array" ref="W160">INT(SUMPRODUCT(--ISNUMBER(SEARCH(trump,C160)))&gt;0)</f>
        <v>0</v>
      </c>
      <c r="X160" s="14" cm="1">
        <f t="array" ref="X160">INT(SUMPRODUCT(--ISNUMBER(SEARCH(voting,C160)))&gt;0)</f>
        <v>0</v>
      </c>
      <c r="Y160" s="14" cm="1">
        <f t="array" ref="Y160">INT(SUMPRODUCT(--ISNUMBER(SEARCH(democrattrigger,C160)))&gt;0)</f>
        <v>1</v>
      </c>
      <c r="Z160" s="14" cm="1">
        <f t="array" ref="Z160">INT(SUMPRODUCT(--ISNUMBER(SEARCH(bipartisan,C160)))&gt;0)</f>
        <v>0</v>
      </c>
      <c r="AA160" s="14">
        <f t="shared" si="2"/>
        <v>0</v>
      </c>
      <c r="AB160" s="14"/>
      <c r="AC160" s="30" t="s">
        <v>223</v>
      </c>
      <c r="AD160" s="37" t="s">
        <v>223</v>
      </c>
    </row>
    <row r="161" spans="1:30" x14ac:dyDescent="0.25">
      <c r="A161" s="36">
        <v>4002</v>
      </c>
      <c r="B161" s="14" t="s">
        <v>8027</v>
      </c>
      <c r="C161" s="14" t="s">
        <v>8028</v>
      </c>
      <c r="D161" s="17">
        <v>44126</v>
      </c>
      <c r="E161" s="14" t="s">
        <v>30</v>
      </c>
      <c r="F161" s="14">
        <v>1003</v>
      </c>
      <c r="G161" s="14">
        <v>214</v>
      </c>
      <c r="H161" s="14">
        <v>18</v>
      </c>
      <c r="I161" s="14">
        <v>9</v>
      </c>
      <c r="J161" s="14" t="s">
        <v>204</v>
      </c>
      <c r="K161" s="14" cm="1">
        <f t="array" ref="K161">INT(SUMPRODUCT(--ISNUMBER(SEARCH(economy,C161)))&gt;0)</f>
        <v>0</v>
      </c>
      <c r="L161" s="14" cm="1">
        <f t="array" ref="L161">INT(SUMPRODUCT(--ISNUMBER(SEARCH(healthcare,C161)))&gt;0)</f>
        <v>0</v>
      </c>
      <c r="M161" s="14" cm="1">
        <f t="array" ref="M161">INT(SUMPRODUCT(--ISNUMBER(SEARCH(supreme,C161)))&gt;0)</f>
        <v>0</v>
      </c>
      <c r="N161" s="14" cm="1">
        <f t="array" ref="N161">INT(SUMPRODUCT(--ISNUMBER(SEARCH(covid,C161)))&gt;0)</f>
        <v>0</v>
      </c>
      <c r="O161" s="14" cm="1">
        <f t="array" ref="O161">INT(SUMPRODUCT(--ISNUMBER(SEARCH(violent,C161)))&gt;0)</f>
        <v>0</v>
      </c>
      <c r="P161" s="14" cm="1">
        <f t="array" ref="P161">INT(SUMPRODUCT(--ISNUMBER(SEARCH(foreign,C161)))&gt;0)</f>
        <v>0</v>
      </c>
      <c r="Q161" s="14" cm="1">
        <f t="array" ref="Q161">INT(SUMPRODUCT(--ISNUMBER(SEARCH(gun,C161)))&gt;0)</f>
        <v>0</v>
      </c>
      <c r="R161" s="14" cm="1">
        <f t="array" ref="R161">INT(SUMPRODUCT(--ISNUMBER(SEARCH(race,C161)))&gt;0)</f>
        <v>0</v>
      </c>
      <c r="S161" s="14" cm="1">
        <f t="array" ref="S161">INT(SUMPRODUCT(--ISNUMBER(SEARCH(immigration,C161)))&gt;0)</f>
        <v>0</v>
      </c>
      <c r="T161" s="14" cm="1">
        <f t="array" ref="T161">INT(SUMPRODUCT(--ISNUMBER(SEARCH(econineq,C162)))&gt;0)</f>
        <v>0</v>
      </c>
      <c r="U161" s="14" cm="1">
        <f t="array" ref="U161">INT(SUMPRODUCT(--ISNUMBER(SEARCH(climate,C161)))&gt;0)</f>
        <v>0</v>
      </c>
      <c r="V161" s="14" cm="1">
        <f t="array" ref="V161">INT(SUMPRODUCT(--ISNUMBER(SEARCH(abortion,C161)))&gt;0)</f>
        <v>0</v>
      </c>
      <c r="W161" s="14" cm="1">
        <f t="array" ref="W161">INT(SUMPRODUCT(--ISNUMBER(SEARCH(trump,C161)))&gt;0)</f>
        <v>0</v>
      </c>
      <c r="X161" s="14" cm="1">
        <f t="array" ref="X161">INT(SUMPRODUCT(--ISNUMBER(SEARCH(voting,C161)))&gt;0)</f>
        <v>1</v>
      </c>
      <c r="Y161" s="14" cm="1">
        <f t="array" ref="Y161">INT(SUMPRODUCT(--ISNUMBER(SEARCH(democrattrigger,C161)))&gt;0)</f>
        <v>0</v>
      </c>
      <c r="Z161" s="14" cm="1">
        <f t="array" ref="Z161">INT(SUMPRODUCT(--ISNUMBER(SEARCH(bipartisan,C161)))&gt;0)</f>
        <v>0</v>
      </c>
      <c r="AA161" s="14">
        <f t="shared" si="2"/>
        <v>0</v>
      </c>
      <c r="AB161" s="14"/>
      <c r="AC161" s="30">
        <v>1</v>
      </c>
      <c r="AD161" s="37">
        <v>0</v>
      </c>
    </row>
    <row r="162" spans="1:30" x14ac:dyDescent="0.25">
      <c r="A162" s="36">
        <v>4003</v>
      </c>
      <c r="B162" s="14" t="s">
        <v>8029</v>
      </c>
      <c r="C162" s="14" t="s">
        <v>8030</v>
      </c>
      <c r="D162" s="17">
        <v>44126</v>
      </c>
      <c r="E162" s="14" t="s">
        <v>30</v>
      </c>
      <c r="F162" s="14">
        <v>674</v>
      </c>
      <c r="G162" s="14">
        <v>169</v>
      </c>
      <c r="H162" s="14">
        <v>18</v>
      </c>
      <c r="I162" s="14">
        <v>9</v>
      </c>
      <c r="J162" s="14" t="s">
        <v>204</v>
      </c>
      <c r="K162" s="14" cm="1">
        <f t="array" ref="K162">INT(SUMPRODUCT(--ISNUMBER(SEARCH(economy,C162)))&gt;0)</f>
        <v>0</v>
      </c>
      <c r="L162" s="14" cm="1">
        <f t="array" ref="L162">INT(SUMPRODUCT(--ISNUMBER(SEARCH(healthcare,C162)))&gt;0)</f>
        <v>0</v>
      </c>
      <c r="M162" s="14" cm="1">
        <f t="array" ref="M162">INT(SUMPRODUCT(--ISNUMBER(SEARCH(supreme,C162)))&gt;0)</f>
        <v>0</v>
      </c>
      <c r="N162" s="14" cm="1">
        <f t="array" ref="N162">INT(SUMPRODUCT(--ISNUMBER(SEARCH(covid,C162)))&gt;0)</f>
        <v>0</v>
      </c>
      <c r="O162" s="14" cm="1">
        <f t="array" ref="O162">INT(SUMPRODUCT(--ISNUMBER(SEARCH(violent,C162)))&gt;0)</f>
        <v>0</v>
      </c>
      <c r="P162" s="14" cm="1">
        <f t="array" ref="P162">INT(SUMPRODUCT(--ISNUMBER(SEARCH(foreign,C162)))&gt;0)</f>
        <v>0</v>
      </c>
      <c r="Q162" s="14" cm="1">
        <f t="array" ref="Q162">INT(SUMPRODUCT(--ISNUMBER(SEARCH(gun,C162)))&gt;0)</f>
        <v>0</v>
      </c>
      <c r="R162" s="14" cm="1">
        <f t="array" ref="R162">INT(SUMPRODUCT(--ISNUMBER(SEARCH(race,C162)))&gt;0)</f>
        <v>0</v>
      </c>
      <c r="S162" s="14" cm="1">
        <f t="array" ref="S162">INT(SUMPRODUCT(--ISNUMBER(SEARCH(immigration,C162)))&gt;0)</f>
        <v>0</v>
      </c>
      <c r="T162" s="14" cm="1">
        <f t="array" ref="T162">INT(SUMPRODUCT(--ISNUMBER(SEARCH(econineq,C163)))&gt;0)</f>
        <v>0</v>
      </c>
      <c r="U162" s="14" cm="1">
        <f t="array" ref="U162">INT(SUMPRODUCT(--ISNUMBER(SEARCH(climate,C162)))&gt;0)</f>
        <v>0</v>
      </c>
      <c r="V162" s="14" cm="1">
        <f t="array" ref="V162">INT(SUMPRODUCT(--ISNUMBER(SEARCH(abortion,C162)))&gt;0)</f>
        <v>0</v>
      </c>
      <c r="W162" s="14" cm="1">
        <f t="array" ref="W162">INT(SUMPRODUCT(--ISNUMBER(SEARCH(trump,C162)))&gt;0)</f>
        <v>0</v>
      </c>
      <c r="X162" s="14" cm="1">
        <f t="array" ref="X162">INT(SUMPRODUCT(--ISNUMBER(SEARCH(voting,C162)))&gt;0)</f>
        <v>1</v>
      </c>
      <c r="Y162" s="14" cm="1">
        <f t="array" ref="Y162">INT(SUMPRODUCT(--ISNUMBER(SEARCH(democrattrigger,C162)))&gt;0)</f>
        <v>0</v>
      </c>
      <c r="Z162" s="14" cm="1">
        <f t="array" ref="Z162">INT(SUMPRODUCT(--ISNUMBER(SEARCH(bipartisan,C162)))&gt;0)</f>
        <v>0</v>
      </c>
      <c r="AA162" s="14">
        <f t="shared" si="2"/>
        <v>0</v>
      </c>
      <c r="AB162" s="14"/>
      <c r="AC162" s="30" t="s">
        <v>223</v>
      </c>
      <c r="AD162" s="37" t="s">
        <v>223</v>
      </c>
    </row>
    <row r="163" spans="1:30" x14ac:dyDescent="0.25">
      <c r="A163" s="36">
        <v>4004</v>
      </c>
      <c r="B163" s="14" t="s">
        <v>8031</v>
      </c>
      <c r="C163" s="14" t="s">
        <v>8032</v>
      </c>
      <c r="D163" s="17">
        <v>44125</v>
      </c>
      <c r="E163" s="14" t="s">
        <v>30</v>
      </c>
      <c r="F163" s="14">
        <v>5113</v>
      </c>
      <c r="G163" s="14">
        <v>1002</v>
      </c>
      <c r="H163" s="14">
        <v>18</v>
      </c>
      <c r="I163" s="14">
        <v>9</v>
      </c>
      <c r="J163" s="14" t="s">
        <v>204</v>
      </c>
      <c r="K163" s="14" cm="1">
        <f t="array" ref="K163">INT(SUMPRODUCT(--ISNUMBER(SEARCH(economy,C163)))&gt;0)</f>
        <v>0</v>
      </c>
      <c r="L163" s="14" cm="1">
        <f t="array" ref="L163">INT(SUMPRODUCT(--ISNUMBER(SEARCH(healthcare,C163)))&gt;0)</f>
        <v>0</v>
      </c>
      <c r="M163" s="14" cm="1">
        <f t="array" ref="M163">INT(SUMPRODUCT(--ISNUMBER(SEARCH(supreme,C163)))&gt;0)</f>
        <v>0</v>
      </c>
      <c r="N163" s="14" cm="1">
        <f t="array" ref="N163">INT(SUMPRODUCT(--ISNUMBER(SEARCH(covid,C163)))&gt;0)</f>
        <v>0</v>
      </c>
      <c r="O163" s="14" cm="1">
        <f t="array" ref="O163">INT(SUMPRODUCT(--ISNUMBER(SEARCH(violent,C163)))&gt;0)</f>
        <v>0</v>
      </c>
      <c r="P163" s="14" cm="1">
        <f t="array" ref="P163">INT(SUMPRODUCT(--ISNUMBER(SEARCH(foreign,C163)))&gt;0)</f>
        <v>0</v>
      </c>
      <c r="Q163" s="14" cm="1">
        <f t="array" ref="Q163">INT(SUMPRODUCT(--ISNUMBER(SEARCH(gun,C163)))&gt;0)</f>
        <v>0</v>
      </c>
      <c r="R163" s="14" cm="1">
        <f t="array" ref="R163">INT(SUMPRODUCT(--ISNUMBER(SEARCH(race,C163)))&gt;0)</f>
        <v>0</v>
      </c>
      <c r="S163" s="14" cm="1">
        <f t="array" ref="S163">INT(SUMPRODUCT(--ISNUMBER(SEARCH(immigration,C163)))&gt;0)</f>
        <v>0</v>
      </c>
      <c r="T163" s="14" cm="1">
        <f t="array" ref="T163">INT(SUMPRODUCT(--ISNUMBER(SEARCH(econineq,C164)))&gt;0)</f>
        <v>0</v>
      </c>
      <c r="U163" s="14" cm="1">
        <f t="array" ref="U163">INT(SUMPRODUCT(--ISNUMBER(SEARCH(climate,C163)))&gt;0)</f>
        <v>0</v>
      </c>
      <c r="V163" s="14" cm="1">
        <f t="array" ref="V163">INT(SUMPRODUCT(--ISNUMBER(SEARCH(abortion,C163)))&gt;0)</f>
        <v>0</v>
      </c>
      <c r="W163" s="14" cm="1">
        <f t="array" ref="W163">INT(SUMPRODUCT(--ISNUMBER(SEARCH(trump,C163)))&gt;0)</f>
        <v>0</v>
      </c>
      <c r="X163" s="14" cm="1">
        <f t="array" ref="X163">INT(SUMPRODUCT(--ISNUMBER(SEARCH(voting,C163)))&gt;0)</f>
        <v>1</v>
      </c>
      <c r="Y163" s="14" cm="1">
        <f t="array" ref="Y163">INT(SUMPRODUCT(--ISNUMBER(SEARCH(democrattrigger,C163)))&gt;0)</f>
        <v>0</v>
      </c>
      <c r="Z163" s="14" cm="1">
        <f t="array" ref="Z163">INT(SUMPRODUCT(--ISNUMBER(SEARCH(bipartisan,C163)))&gt;0)</f>
        <v>0</v>
      </c>
      <c r="AA163" s="14">
        <f t="shared" si="2"/>
        <v>0</v>
      </c>
      <c r="AB163" s="14"/>
      <c r="AC163" s="30">
        <v>1</v>
      </c>
      <c r="AD163" s="37">
        <v>0</v>
      </c>
    </row>
    <row r="164" spans="1:30" x14ac:dyDescent="0.25">
      <c r="A164" s="36">
        <v>4005</v>
      </c>
      <c r="B164" s="14" t="s">
        <v>8033</v>
      </c>
      <c r="C164" s="14" t="s">
        <v>8034</v>
      </c>
      <c r="D164" s="17">
        <v>44125</v>
      </c>
      <c r="E164" s="14" t="s">
        <v>30</v>
      </c>
      <c r="F164" s="14">
        <v>2784</v>
      </c>
      <c r="G164" s="14">
        <v>699</v>
      </c>
      <c r="H164" s="14">
        <v>18</v>
      </c>
      <c r="I164" s="14">
        <v>9</v>
      </c>
      <c r="J164" s="14" t="s">
        <v>204</v>
      </c>
      <c r="K164" s="14" cm="1">
        <f t="array" ref="K164">INT(SUMPRODUCT(--ISNUMBER(SEARCH(economy,C164)))&gt;0)</f>
        <v>0</v>
      </c>
      <c r="L164" s="14" cm="1">
        <f t="array" ref="L164">INT(SUMPRODUCT(--ISNUMBER(SEARCH(healthcare,C164)))&gt;0)</f>
        <v>0</v>
      </c>
      <c r="M164" s="14" cm="1">
        <f t="array" ref="M164">INT(SUMPRODUCT(--ISNUMBER(SEARCH(supreme,C164)))&gt;0)</f>
        <v>0</v>
      </c>
      <c r="N164" s="14" cm="1">
        <f t="array" ref="N164">INT(SUMPRODUCT(--ISNUMBER(SEARCH(covid,C164)))&gt;0)</f>
        <v>0</v>
      </c>
      <c r="O164" s="14" cm="1">
        <f t="array" ref="O164">INT(SUMPRODUCT(--ISNUMBER(SEARCH(violent,C164)))&gt;0)</f>
        <v>0</v>
      </c>
      <c r="P164" s="14" cm="1">
        <f t="array" ref="P164">INT(SUMPRODUCT(--ISNUMBER(SEARCH(foreign,C164)))&gt;0)</f>
        <v>0</v>
      </c>
      <c r="Q164" s="14" cm="1">
        <f t="array" ref="Q164">INT(SUMPRODUCT(--ISNUMBER(SEARCH(gun,C164)))&gt;0)</f>
        <v>0</v>
      </c>
      <c r="R164" s="14" cm="1">
        <f t="array" ref="R164">INT(SUMPRODUCT(--ISNUMBER(SEARCH(race,C164)))&gt;0)</f>
        <v>0</v>
      </c>
      <c r="S164" s="14" cm="1">
        <f t="array" ref="S164">INT(SUMPRODUCT(--ISNUMBER(SEARCH(immigration,C164)))&gt;0)</f>
        <v>0</v>
      </c>
      <c r="T164" s="14" cm="1">
        <f t="array" ref="T164">INT(SUMPRODUCT(--ISNUMBER(SEARCH(econineq,C165)))&gt;0)</f>
        <v>0</v>
      </c>
      <c r="U164" s="14" cm="1">
        <f t="array" ref="U164">INT(SUMPRODUCT(--ISNUMBER(SEARCH(climate,C164)))&gt;0)</f>
        <v>0</v>
      </c>
      <c r="V164" s="14" cm="1">
        <f t="array" ref="V164">INT(SUMPRODUCT(--ISNUMBER(SEARCH(abortion,C164)))&gt;0)</f>
        <v>0</v>
      </c>
      <c r="W164" s="14" cm="1">
        <f t="array" ref="W164">INT(SUMPRODUCT(--ISNUMBER(SEARCH(trump,C164)))&gt;0)</f>
        <v>0</v>
      </c>
      <c r="X164" s="14" cm="1">
        <f t="array" ref="X164">INT(SUMPRODUCT(--ISNUMBER(SEARCH(voting,C164)))&gt;0)</f>
        <v>0</v>
      </c>
      <c r="Y164" s="14" cm="1">
        <f t="array" ref="Y164">INT(SUMPRODUCT(--ISNUMBER(SEARCH(democrattrigger,C164)))&gt;0)</f>
        <v>1</v>
      </c>
      <c r="Z164" s="14" cm="1">
        <f t="array" ref="Z164">INT(SUMPRODUCT(--ISNUMBER(SEARCH(bipartisan,C164)))&gt;0)</f>
        <v>0</v>
      </c>
      <c r="AA164" s="14">
        <f t="shared" si="2"/>
        <v>0</v>
      </c>
      <c r="AB164" s="14"/>
      <c r="AC164" s="30" t="s">
        <v>223</v>
      </c>
      <c r="AD164" s="37" t="s">
        <v>223</v>
      </c>
    </row>
    <row r="165" spans="1:30" x14ac:dyDescent="0.25">
      <c r="A165" s="36">
        <v>4006</v>
      </c>
      <c r="B165" s="14" t="s">
        <v>8035</v>
      </c>
      <c r="C165" s="14" t="s">
        <v>8036</v>
      </c>
      <c r="D165" s="17">
        <v>44125</v>
      </c>
      <c r="E165" s="14" t="s">
        <v>30</v>
      </c>
      <c r="F165" s="14">
        <v>698</v>
      </c>
      <c r="G165" s="14">
        <v>223</v>
      </c>
      <c r="H165" s="14">
        <v>18</v>
      </c>
      <c r="I165" s="14">
        <v>9</v>
      </c>
      <c r="J165" s="14" t="s">
        <v>204</v>
      </c>
      <c r="K165" s="14" cm="1">
        <f t="array" ref="K165">INT(SUMPRODUCT(--ISNUMBER(SEARCH(economy,C165)))&gt;0)</f>
        <v>0</v>
      </c>
      <c r="L165" s="14" cm="1">
        <f t="array" ref="L165">INT(SUMPRODUCT(--ISNUMBER(SEARCH(healthcare,C165)))&gt;0)</f>
        <v>0</v>
      </c>
      <c r="M165" s="14" cm="1">
        <f t="array" ref="M165">INT(SUMPRODUCT(--ISNUMBER(SEARCH(supreme,C165)))&gt;0)</f>
        <v>0</v>
      </c>
      <c r="N165" s="14" cm="1">
        <f t="array" ref="N165">INT(SUMPRODUCT(--ISNUMBER(SEARCH(covid,C165)))&gt;0)</f>
        <v>0</v>
      </c>
      <c r="O165" s="14" cm="1">
        <f t="array" ref="O165">INT(SUMPRODUCT(--ISNUMBER(SEARCH(violent,C165)))&gt;0)</f>
        <v>0</v>
      </c>
      <c r="P165" s="14" cm="1">
        <f t="array" ref="P165">INT(SUMPRODUCT(--ISNUMBER(SEARCH(foreign,C165)))&gt;0)</f>
        <v>0</v>
      </c>
      <c r="Q165" s="14" cm="1">
        <f t="array" ref="Q165">INT(SUMPRODUCT(--ISNUMBER(SEARCH(gun,C165)))&gt;0)</f>
        <v>0</v>
      </c>
      <c r="R165" s="14" cm="1">
        <f t="array" ref="R165">INT(SUMPRODUCT(--ISNUMBER(SEARCH(race,C165)))&gt;0)</f>
        <v>0</v>
      </c>
      <c r="S165" s="14" cm="1">
        <f t="array" ref="S165">INT(SUMPRODUCT(--ISNUMBER(SEARCH(immigration,C165)))&gt;0)</f>
        <v>0</v>
      </c>
      <c r="T165" s="14" cm="1">
        <f t="array" ref="T165">INT(SUMPRODUCT(--ISNUMBER(SEARCH(econineq,C166)))&gt;0)</f>
        <v>0</v>
      </c>
      <c r="U165" s="14" cm="1">
        <f t="array" ref="U165">INT(SUMPRODUCT(--ISNUMBER(SEARCH(climate,C165)))&gt;0)</f>
        <v>0</v>
      </c>
      <c r="V165" s="14" cm="1">
        <f t="array" ref="V165">INT(SUMPRODUCT(--ISNUMBER(SEARCH(abortion,C165)))&gt;0)</f>
        <v>0</v>
      </c>
      <c r="W165" s="14" cm="1">
        <f t="array" ref="W165">INT(SUMPRODUCT(--ISNUMBER(SEARCH(trump,C165)))&gt;0)</f>
        <v>0</v>
      </c>
      <c r="X165" s="14" cm="1">
        <f t="array" ref="X165">INT(SUMPRODUCT(--ISNUMBER(SEARCH(voting,C165)))&gt;0)</f>
        <v>1</v>
      </c>
      <c r="Y165" s="14" cm="1">
        <f t="array" ref="Y165">INT(SUMPRODUCT(--ISNUMBER(SEARCH(democrattrigger,C165)))&gt;0)</f>
        <v>0</v>
      </c>
      <c r="Z165" s="14" cm="1">
        <f t="array" ref="Z165">INT(SUMPRODUCT(--ISNUMBER(SEARCH(bipartisan,C165)))&gt;0)</f>
        <v>0</v>
      </c>
      <c r="AA165" s="14">
        <f t="shared" si="2"/>
        <v>0</v>
      </c>
      <c r="AB165" s="14"/>
      <c r="AC165" s="30" t="s">
        <v>223</v>
      </c>
      <c r="AD165" s="37" t="s">
        <v>223</v>
      </c>
    </row>
    <row r="166" spans="1:30" x14ac:dyDescent="0.25">
      <c r="A166" s="36">
        <v>4007</v>
      </c>
      <c r="B166" s="14" t="s">
        <v>8037</v>
      </c>
      <c r="C166" s="14" t="s">
        <v>8038</v>
      </c>
      <c r="D166" s="17">
        <v>44125</v>
      </c>
      <c r="E166" s="14" t="s">
        <v>70</v>
      </c>
      <c r="F166" s="14">
        <v>646</v>
      </c>
      <c r="G166" s="14">
        <v>256</v>
      </c>
      <c r="H166" s="14">
        <v>18</v>
      </c>
      <c r="I166" s="14">
        <v>9</v>
      </c>
      <c r="J166" s="14" t="s">
        <v>204</v>
      </c>
      <c r="K166" s="14" cm="1">
        <f t="array" ref="K166">INT(SUMPRODUCT(--ISNUMBER(SEARCH(economy,C166)))&gt;0)</f>
        <v>0</v>
      </c>
      <c r="L166" s="14" cm="1">
        <f t="array" ref="L166">INT(SUMPRODUCT(--ISNUMBER(SEARCH(healthcare,C166)))&gt;0)</f>
        <v>0</v>
      </c>
      <c r="M166" s="14" cm="1">
        <f t="array" ref="M166">INT(SUMPRODUCT(--ISNUMBER(SEARCH(supreme,C166)))&gt;0)</f>
        <v>0</v>
      </c>
      <c r="N166" s="14" cm="1">
        <f t="array" ref="N166">INT(SUMPRODUCT(--ISNUMBER(SEARCH(covid,C166)))&gt;0)</f>
        <v>0</v>
      </c>
      <c r="O166" s="14" cm="1">
        <f t="array" ref="O166">INT(SUMPRODUCT(--ISNUMBER(SEARCH(violent,C166)))&gt;0)</f>
        <v>0</v>
      </c>
      <c r="P166" s="14" cm="1">
        <f t="array" ref="P166">INT(SUMPRODUCT(--ISNUMBER(SEARCH(foreign,C166)))&gt;0)</f>
        <v>0</v>
      </c>
      <c r="Q166" s="14" cm="1">
        <f t="array" ref="Q166">INT(SUMPRODUCT(--ISNUMBER(SEARCH(gun,C166)))&gt;0)</f>
        <v>0</v>
      </c>
      <c r="R166" s="14" cm="1">
        <f t="array" ref="R166">INT(SUMPRODUCT(--ISNUMBER(SEARCH(race,C166)))&gt;0)</f>
        <v>0</v>
      </c>
      <c r="S166" s="14" cm="1">
        <f t="array" ref="S166">INT(SUMPRODUCT(--ISNUMBER(SEARCH(immigration,C166)))&gt;0)</f>
        <v>0</v>
      </c>
      <c r="T166" s="14" cm="1">
        <f t="array" ref="T166">INT(SUMPRODUCT(--ISNUMBER(SEARCH(econineq,C167)))&gt;0)</f>
        <v>0</v>
      </c>
      <c r="U166" s="14" cm="1">
        <f t="array" ref="U166">INT(SUMPRODUCT(--ISNUMBER(SEARCH(climate,C166)))&gt;0)</f>
        <v>0</v>
      </c>
      <c r="V166" s="14" cm="1">
        <f t="array" ref="V166">INT(SUMPRODUCT(--ISNUMBER(SEARCH(abortion,C166)))&gt;0)</f>
        <v>0</v>
      </c>
      <c r="W166" s="14" cm="1">
        <f t="array" ref="W166">INT(SUMPRODUCT(--ISNUMBER(SEARCH(trump,C166)))&gt;0)</f>
        <v>0</v>
      </c>
      <c r="X166" s="14" cm="1">
        <f t="array" ref="X166">INT(SUMPRODUCT(--ISNUMBER(SEARCH(voting,C166)))&gt;0)</f>
        <v>0</v>
      </c>
      <c r="Y166" s="14" cm="1">
        <f t="array" ref="Y166">INT(SUMPRODUCT(--ISNUMBER(SEARCH(democrattrigger,C166)))&gt;0)</f>
        <v>1</v>
      </c>
      <c r="Z166" s="14" cm="1">
        <f t="array" ref="Z166">INT(SUMPRODUCT(--ISNUMBER(SEARCH(bipartisan,C166)))&gt;0)</f>
        <v>0</v>
      </c>
      <c r="AA166" s="14">
        <f t="shared" si="2"/>
        <v>0</v>
      </c>
      <c r="AB166" s="14"/>
      <c r="AC166" s="30" t="s">
        <v>223</v>
      </c>
      <c r="AD166" s="37" t="s">
        <v>223</v>
      </c>
    </row>
    <row r="167" spans="1:30" x14ac:dyDescent="0.25">
      <c r="A167" s="36">
        <v>4008</v>
      </c>
      <c r="B167" s="14" t="s">
        <v>8039</v>
      </c>
      <c r="C167" s="14" t="s">
        <v>8040</v>
      </c>
      <c r="D167" s="17">
        <v>44125</v>
      </c>
      <c r="E167" s="14" t="s">
        <v>70</v>
      </c>
      <c r="F167" s="14">
        <v>554</v>
      </c>
      <c r="G167" s="14">
        <v>248</v>
      </c>
      <c r="H167" s="14">
        <v>18</v>
      </c>
      <c r="I167" s="14">
        <v>9</v>
      </c>
      <c r="J167" s="14" t="s">
        <v>204</v>
      </c>
      <c r="K167" s="14" cm="1">
        <f t="array" ref="K167">INT(SUMPRODUCT(--ISNUMBER(SEARCH(economy,C167)))&gt;0)</f>
        <v>0</v>
      </c>
      <c r="L167" s="14" cm="1">
        <f t="array" ref="L167">INT(SUMPRODUCT(--ISNUMBER(SEARCH(healthcare,C167)))&gt;0)</f>
        <v>0</v>
      </c>
      <c r="M167" s="14" cm="1">
        <f t="array" ref="M167">INT(SUMPRODUCT(--ISNUMBER(SEARCH(supreme,C167)))&gt;0)</f>
        <v>0</v>
      </c>
      <c r="N167" s="14" cm="1">
        <f t="array" ref="N167">INT(SUMPRODUCT(--ISNUMBER(SEARCH(covid,C167)))&gt;0)</f>
        <v>0</v>
      </c>
      <c r="O167" s="14" cm="1">
        <f t="array" ref="O167">INT(SUMPRODUCT(--ISNUMBER(SEARCH(violent,C167)))&gt;0)</f>
        <v>0</v>
      </c>
      <c r="P167" s="14" cm="1">
        <f t="array" ref="P167">INT(SUMPRODUCT(--ISNUMBER(SEARCH(foreign,C167)))&gt;0)</f>
        <v>0</v>
      </c>
      <c r="Q167" s="14" cm="1">
        <f t="array" ref="Q167">INT(SUMPRODUCT(--ISNUMBER(SEARCH(gun,C167)))&gt;0)</f>
        <v>0</v>
      </c>
      <c r="R167" s="14" cm="1">
        <f t="array" ref="R167">INT(SUMPRODUCT(--ISNUMBER(SEARCH(race,C167)))&gt;0)</f>
        <v>0</v>
      </c>
      <c r="S167" s="14" cm="1">
        <f t="array" ref="S167">INT(SUMPRODUCT(--ISNUMBER(SEARCH(immigration,C167)))&gt;0)</f>
        <v>0</v>
      </c>
      <c r="T167" s="14" cm="1">
        <f t="array" ref="T167">INT(SUMPRODUCT(--ISNUMBER(SEARCH(econineq,C168)))&gt;0)</f>
        <v>0</v>
      </c>
      <c r="U167" s="14" cm="1">
        <f t="array" ref="U167">INT(SUMPRODUCT(--ISNUMBER(SEARCH(climate,C167)))&gt;0)</f>
        <v>0</v>
      </c>
      <c r="V167" s="14" cm="1">
        <f t="array" ref="V167">INT(SUMPRODUCT(--ISNUMBER(SEARCH(abortion,C167)))&gt;0)</f>
        <v>0</v>
      </c>
      <c r="W167" s="14" cm="1">
        <f t="array" ref="W167">INT(SUMPRODUCT(--ISNUMBER(SEARCH(trump,C167)))&gt;0)</f>
        <v>0</v>
      </c>
      <c r="X167" s="14" cm="1">
        <f t="array" ref="X167">INT(SUMPRODUCT(--ISNUMBER(SEARCH(voting,C167)))&gt;0)</f>
        <v>0</v>
      </c>
      <c r="Y167" s="14" cm="1">
        <f t="array" ref="Y167">INT(SUMPRODUCT(--ISNUMBER(SEARCH(democrattrigger,C167)))&gt;0)</f>
        <v>1</v>
      </c>
      <c r="Z167" s="14" cm="1">
        <f t="array" ref="Z167">INT(SUMPRODUCT(--ISNUMBER(SEARCH(bipartisan,C167)))&gt;0)</f>
        <v>0</v>
      </c>
      <c r="AA167" s="14">
        <f t="shared" si="2"/>
        <v>0</v>
      </c>
      <c r="AB167" s="14"/>
      <c r="AC167" s="30" t="s">
        <v>223</v>
      </c>
      <c r="AD167" s="37" t="s">
        <v>223</v>
      </c>
    </row>
    <row r="168" spans="1:30" x14ac:dyDescent="0.25">
      <c r="A168" s="36">
        <v>4009</v>
      </c>
      <c r="B168" s="14" t="s">
        <v>8041</v>
      </c>
      <c r="C168" s="14" t="s">
        <v>8042</v>
      </c>
      <c r="D168" s="17">
        <v>44125</v>
      </c>
      <c r="E168" s="14" t="s">
        <v>70</v>
      </c>
      <c r="F168" s="14">
        <v>175</v>
      </c>
      <c r="G168" s="14">
        <v>48</v>
      </c>
      <c r="H168" s="14">
        <v>18</v>
      </c>
      <c r="I168" s="14">
        <v>9</v>
      </c>
      <c r="J168" s="14" t="s">
        <v>204</v>
      </c>
      <c r="K168" s="14" cm="1">
        <f t="array" ref="K168">INT(SUMPRODUCT(--ISNUMBER(SEARCH(economy,C168)))&gt;0)</f>
        <v>0</v>
      </c>
      <c r="L168" s="14" cm="1">
        <f t="array" ref="L168">INT(SUMPRODUCT(--ISNUMBER(SEARCH(healthcare,C168)))&gt;0)</f>
        <v>0</v>
      </c>
      <c r="M168" s="14" cm="1">
        <f t="array" ref="M168">INT(SUMPRODUCT(--ISNUMBER(SEARCH(supreme,C168)))&gt;0)</f>
        <v>0</v>
      </c>
      <c r="N168" s="14" cm="1">
        <f t="array" ref="N168">INT(SUMPRODUCT(--ISNUMBER(SEARCH(covid,C168)))&gt;0)</f>
        <v>0</v>
      </c>
      <c r="O168" s="14" cm="1">
        <f t="array" ref="O168">INT(SUMPRODUCT(--ISNUMBER(SEARCH(violent,C168)))&gt;0)</f>
        <v>0</v>
      </c>
      <c r="P168" s="14" cm="1">
        <f t="array" ref="P168">INT(SUMPRODUCT(--ISNUMBER(SEARCH(foreign,C168)))&gt;0)</f>
        <v>0</v>
      </c>
      <c r="Q168" s="14" cm="1">
        <f t="array" ref="Q168">INT(SUMPRODUCT(--ISNUMBER(SEARCH(gun,C168)))&gt;0)</f>
        <v>0</v>
      </c>
      <c r="R168" s="14" cm="1">
        <f t="array" ref="R168">INT(SUMPRODUCT(--ISNUMBER(SEARCH(race,C168)))&gt;0)</f>
        <v>0</v>
      </c>
      <c r="S168" s="14" cm="1">
        <f t="array" ref="S168">INT(SUMPRODUCT(--ISNUMBER(SEARCH(immigration,C168)))&gt;0)</f>
        <v>0</v>
      </c>
      <c r="T168" s="14" cm="1">
        <f t="array" ref="T168">INT(SUMPRODUCT(--ISNUMBER(SEARCH(econineq,C169)))&gt;0)</f>
        <v>0</v>
      </c>
      <c r="U168" s="14" cm="1">
        <f t="array" ref="U168">INT(SUMPRODUCT(--ISNUMBER(SEARCH(climate,C168)))&gt;0)</f>
        <v>0</v>
      </c>
      <c r="V168" s="14" cm="1">
        <f t="array" ref="V168">INT(SUMPRODUCT(--ISNUMBER(SEARCH(abortion,C168)))&gt;0)</f>
        <v>0</v>
      </c>
      <c r="W168" s="14" cm="1">
        <f t="array" ref="W168">INT(SUMPRODUCT(--ISNUMBER(SEARCH(trump,C168)))&gt;0)</f>
        <v>0</v>
      </c>
      <c r="X168" s="14" cm="1">
        <f t="array" ref="X168">INT(SUMPRODUCT(--ISNUMBER(SEARCH(voting,C168)))&gt;0)</f>
        <v>0</v>
      </c>
      <c r="Y168" s="14" cm="1">
        <f t="array" ref="Y168">INT(SUMPRODUCT(--ISNUMBER(SEARCH(democrattrigger,C168)))&gt;0)</f>
        <v>1</v>
      </c>
      <c r="Z168" s="14" cm="1">
        <f t="array" ref="Z168">INT(SUMPRODUCT(--ISNUMBER(SEARCH(bipartisan,C168)))&gt;0)</f>
        <v>0</v>
      </c>
      <c r="AA168" s="14">
        <f t="shared" si="2"/>
        <v>0</v>
      </c>
      <c r="AB168" s="14"/>
      <c r="AC168" s="30" t="s">
        <v>223</v>
      </c>
      <c r="AD168" s="37" t="s">
        <v>223</v>
      </c>
    </row>
    <row r="169" spans="1:30" x14ac:dyDescent="0.25">
      <c r="A169" s="36">
        <v>4010</v>
      </c>
      <c r="B169" s="14" t="s">
        <v>8043</v>
      </c>
      <c r="C169" s="14" t="s">
        <v>8044</v>
      </c>
      <c r="D169" s="17">
        <v>44125</v>
      </c>
      <c r="E169" s="14" t="s">
        <v>70</v>
      </c>
      <c r="F169" s="14">
        <v>140</v>
      </c>
      <c r="G169" s="14">
        <v>26</v>
      </c>
      <c r="H169" s="14">
        <v>18</v>
      </c>
      <c r="I169" s="14">
        <v>9</v>
      </c>
      <c r="J169" s="14" t="s">
        <v>204</v>
      </c>
      <c r="K169" s="14" cm="1">
        <f t="array" ref="K169">INT(SUMPRODUCT(--ISNUMBER(SEARCH(economy,C169)))&gt;0)</f>
        <v>0</v>
      </c>
      <c r="L169" s="14" cm="1">
        <f t="array" ref="L169">INT(SUMPRODUCT(--ISNUMBER(SEARCH(healthcare,C169)))&gt;0)</f>
        <v>0</v>
      </c>
      <c r="M169" s="14" cm="1">
        <f t="array" ref="M169">INT(SUMPRODUCT(--ISNUMBER(SEARCH(supreme,C169)))&gt;0)</f>
        <v>0</v>
      </c>
      <c r="N169" s="14" cm="1">
        <f t="array" ref="N169">INT(SUMPRODUCT(--ISNUMBER(SEARCH(covid,C169)))&gt;0)</f>
        <v>0</v>
      </c>
      <c r="O169" s="14" cm="1">
        <f t="array" ref="O169">INT(SUMPRODUCT(--ISNUMBER(SEARCH(violent,C169)))&gt;0)</f>
        <v>0</v>
      </c>
      <c r="P169" s="14" cm="1">
        <f t="array" ref="P169">INT(SUMPRODUCT(--ISNUMBER(SEARCH(foreign,C169)))&gt;0)</f>
        <v>0</v>
      </c>
      <c r="Q169" s="14" cm="1">
        <f t="array" ref="Q169">INT(SUMPRODUCT(--ISNUMBER(SEARCH(gun,C169)))&gt;0)</f>
        <v>0</v>
      </c>
      <c r="R169" s="14" cm="1">
        <f t="array" ref="R169">INT(SUMPRODUCT(--ISNUMBER(SEARCH(race,C169)))&gt;0)</f>
        <v>1</v>
      </c>
      <c r="S169" s="14" cm="1">
        <f t="array" ref="S169">INT(SUMPRODUCT(--ISNUMBER(SEARCH(immigration,C169)))&gt;0)</f>
        <v>0</v>
      </c>
      <c r="T169" s="14" cm="1">
        <f t="array" ref="T169">INT(SUMPRODUCT(--ISNUMBER(SEARCH(econineq,C170)))&gt;0)</f>
        <v>0</v>
      </c>
      <c r="U169" s="14" cm="1">
        <f t="array" ref="U169">INT(SUMPRODUCT(--ISNUMBER(SEARCH(climate,C169)))&gt;0)</f>
        <v>0</v>
      </c>
      <c r="V169" s="14" cm="1">
        <f t="array" ref="V169">INT(SUMPRODUCT(--ISNUMBER(SEARCH(abortion,C169)))&gt;0)</f>
        <v>0</v>
      </c>
      <c r="W169" s="14" cm="1">
        <f t="array" ref="W169">INT(SUMPRODUCT(--ISNUMBER(SEARCH(trump,C169)))&gt;0)</f>
        <v>0</v>
      </c>
      <c r="X169" s="14" cm="1">
        <f t="array" ref="X169">INT(SUMPRODUCT(--ISNUMBER(SEARCH(voting,C169)))&gt;0)</f>
        <v>0</v>
      </c>
      <c r="Y169" s="14" cm="1">
        <f t="array" ref="Y169">INT(SUMPRODUCT(--ISNUMBER(SEARCH(democrattrigger,C169)))&gt;0)</f>
        <v>1</v>
      </c>
      <c r="Z169" s="14" cm="1">
        <f t="array" ref="Z169">INT(SUMPRODUCT(--ISNUMBER(SEARCH(bipartisan,C169)))&gt;0)</f>
        <v>0</v>
      </c>
      <c r="AA169" s="14">
        <f t="shared" si="2"/>
        <v>0</v>
      </c>
      <c r="AB169" s="14"/>
      <c r="AC169" s="30" t="s">
        <v>223</v>
      </c>
      <c r="AD169" s="37" t="s">
        <v>223</v>
      </c>
    </row>
    <row r="170" spans="1:30" x14ac:dyDescent="0.25">
      <c r="A170" s="36">
        <v>4011</v>
      </c>
      <c r="B170" s="14" t="s">
        <v>8045</v>
      </c>
      <c r="C170" s="14" t="s">
        <v>8046</v>
      </c>
      <c r="D170" s="17">
        <v>44125</v>
      </c>
      <c r="E170" s="14" t="s">
        <v>70</v>
      </c>
      <c r="F170" s="14">
        <v>139</v>
      </c>
      <c r="G170" s="14">
        <v>29</v>
      </c>
      <c r="H170" s="14">
        <v>18</v>
      </c>
      <c r="I170" s="14">
        <v>9</v>
      </c>
      <c r="J170" s="14" t="s">
        <v>204</v>
      </c>
      <c r="K170" s="14" cm="1">
        <f t="array" ref="K170">INT(SUMPRODUCT(--ISNUMBER(SEARCH(economy,C170)))&gt;0)</f>
        <v>0</v>
      </c>
      <c r="L170" s="14" cm="1">
        <f t="array" ref="L170">INT(SUMPRODUCT(--ISNUMBER(SEARCH(healthcare,C170)))&gt;0)</f>
        <v>0</v>
      </c>
      <c r="M170" s="14" cm="1">
        <f t="array" ref="M170">INT(SUMPRODUCT(--ISNUMBER(SEARCH(supreme,C170)))&gt;0)</f>
        <v>0</v>
      </c>
      <c r="N170" s="14" cm="1">
        <f t="array" ref="N170">INT(SUMPRODUCT(--ISNUMBER(SEARCH(covid,C170)))&gt;0)</f>
        <v>0</v>
      </c>
      <c r="O170" s="14" cm="1">
        <f t="array" ref="O170">INT(SUMPRODUCT(--ISNUMBER(SEARCH(violent,C170)))&gt;0)</f>
        <v>0</v>
      </c>
      <c r="P170" s="14" cm="1">
        <f t="array" ref="P170">INT(SUMPRODUCT(--ISNUMBER(SEARCH(foreign,C170)))&gt;0)</f>
        <v>0</v>
      </c>
      <c r="Q170" s="14" cm="1">
        <f t="array" ref="Q170">INT(SUMPRODUCT(--ISNUMBER(SEARCH(gun,C170)))&gt;0)</f>
        <v>0</v>
      </c>
      <c r="R170" s="14" cm="1">
        <f t="array" ref="R170">INT(SUMPRODUCT(--ISNUMBER(SEARCH(race,C170)))&gt;0)</f>
        <v>1</v>
      </c>
      <c r="S170" s="14" cm="1">
        <f t="array" ref="S170">INT(SUMPRODUCT(--ISNUMBER(SEARCH(immigration,C170)))&gt;0)</f>
        <v>0</v>
      </c>
      <c r="T170" s="14" cm="1">
        <f t="array" ref="T170">INT(SUMPRODUCT(--ISNUMBER(SEARCH(econineq,C171)))&gt;0)</f>
        <v>0</v>
      </c>
      <c r="U170" s="14" cm="1">
        <f t="array" ref="U170">INT(SUMPRODUCT(--ISNUMBER(SEARCH(climate,C170)))&gt;0)</f>
        <v>0</v>
      </c>
      <c r="V170" s="14" cm="1">
        <f t="array" ref="V170">INT(SUMPRODUCT(--ISNUMBER(SEARCH(abortion,C170)))&gt;0)</f>
        <v>0</v>
      </c>
      <c r="W170" s="14" cm="1">
        <f t="array" ref="W170">INT(SUMPRODUCT(--ISNUMBER(SEARCH(trump,C170)))&gt;0)</f>
        <v>0</v>
      </c>
      <c r="X170" s="14" cm="1">
        <f t="array" ref="X170">INT(SUMPRODUCT(--ISNUMBER(SEARCH(voting,C170)))&gt;0)</f>
        <v>0</v>
      </c>
      <c r="Y170" s="14" cm="1">
        <f t="array" ref="Y170">INT(SUMPRODUCT(--ISNUMBER(SEARCH(democrattrigger,C170)))&gt;0)</f>
        <v>0</v>
      </c>
      <c r="Z170" s="14" cm="1">
        <f t="array" ref="Z170">INT(SUMPRODUCT(--ISNUMBER(SEARCH(bipartisan,C170)))&gt;0)</f>
        <v>1</v>
      </c>
      <c r="AA170" s="14">
        <f t="shared" si="2"/>
        <v>0</v>
      </c>
      <c r="AB170" s="14"/>
      <c r="AC170" s="30" t="s">
        <v>223</v>
      </c>
      <c r="AD170" s="37" t="s">
        <v>223</v>
      </c>
    </row>
    <row r="171" spans="1:30" x14ac:dyDescent="0.25">
      <c r="A171" s="36">
        <v>4012</v>
      </c>
      <c r="B171" s="14" t="s">
        <v>8047</v>
      </c>
      <c r="C171" s="14" t="s">
        <v>8048</v>
      </c>
      <c r="D171" s="17">
        <v>44125</v>
      </c>
      <c r="E171" s="14" t="s">
        <v>70</v>
      </c>
      <c r="F171" s="14">
        <v>243</v>
      </c>
      <c r="G171" s="14">
        <v>40</v>
      </c>
      <c r="H171" s="14">
        <v>18</v>
      </c>
      <c r="I171" s="14">
        <v>9</v>
      </c>
      <c r="J171" s="14" t="s">
        <v>204</v>
      </c>
      <c r="K171" s="14" cm="1">
        <f t="array" ref="K171">INT(SUMPRODUCT(--ISNUMBER(SEARCH(economy,C171)))&gt;0)</f>
        <v>0</v>
      </c>
      <c r="L171" s="14" cm="1">
        <f t="array" ref="L171">INT(SUMPRODUCT(--ISNUMBER(SEARCH(healthcare,C171)))&gt;0)</f>
        <v>1</v>
      </c>
      <c r="M171" s="14" cm="1">
        <f t="array" ref="M171">INT(SUMPRODUCT(--ISNUMBER(SEARCH(supreme,C171)))&gt;0)</f>
        <v>0</v>
      </c>
      <c r="N171" s="14" cm="1">
        <f t="array" ref="N171">INT(SUMPRODUCT(--ISNUMBER(SEARCH(covid,C171)))&gt;0)</f>
        <v>0</v>
      </c>
      <c r="O171" s="14" cm="1">
        <f t="array" ref="O171">INT(SUMPRODUCT(--ISNUMBER(SEARCH(violent,C171)))&gt;0)</f>
        <v>0</v>
      </c>
      <c r="P171" s="14" cm="1">
        <f t="array" ref="P171">INT(SUMPRODUCT(--ISNUMBER(SEARCH(foreign,C171)))&gt;0)</f>
        <v>0</v>
      </c>
      <c r="Q171" s="14" cm="1">
        <f t="array" ref="Q171">INT(SUMPRODUCT(--ISNUMBER(SEARCH(gun,C171)))&gt;0)</f>
        <v>0</v>
      </c>
      <c r="R171" s="14" cm="1">
        <f t="array" ref="R171">INT(SUMPRODUCT(--ISNUMBER(SEARCH(race,C171)))&gt;0)</f>
        <v>0</v>
      </c>
      <c r="S171" s="14" cm="1">
        <f t="array" ref="S171">INT(SUMPRODUCT(--ISNUMBER(SEARCH(immigration,C171)))&gt;0)</f>
        <v>0</v>
      </c>
      <c r="T171" s="14" cm="1">
        <f t="array" ref="T171">INT(SUMPRODUCT(--ISNUMBER(SEARCH(econineq,C172)))&gt;0)</f>
        <v>1</v>
      </c>
      <c r="U171" s="14" cm="1">
        <f t="array" ref="U171">INT(SUMPRODUCT(--ISNUMBER(SEARCH(climate,C171)))&gt;0)</f>
        <v>0</v>
      </c>
      <c r="V171" s="14" cm="1">
        <f t="array" ref="V171">INT(SUMPRODUCT(--ISNUMBER(SEARCH(abortion,C171)))&gt;0)</f>
        <v>0</v>
      </c>
      <c r="W171" s="14" cm="1">
        <f t="array" ref="W171">INT(SUMPRODUCT(--ISNUMBER(SEARCH(trump,C171)))&gt;0)</f>
        <v>0</v>
      </c>
      <c r="X171" s="14" cm="1">
        <f t="array" ref="X171">INT(SUMPRODUCT(--ISNUMBER(SEARCH(voting,C171)))&gt;0)</f>
        <v>0</v>
      </c>
      <c r="Y171" s="14" cm="1">
        <f t="array" ref="Y171">INT(SUMPRODUCT(--ISNUMBER(SEARCH(democrattrigger,C171)))&gt;0)</f>
        <v>0</v>
      </c>
      <c r="Z171" s="14" cm="1">
        <f t="array" ref="Z171">INT(SUMPRODUCT(--ISNUMBER(SEARCH(bipartisan,C171)))&gt;0)</f>
        <v>0</v>
      </c>
      <c r="AA171" s="14">
        <f t="shared" si="2"/>
        <v>0</v>
      </c>
      <c r="AB171" s="14"/>
      <c r="AC171" s="30" t="s">
        <v>223</v>
      </c>
      <c r="AD171" s="37" t="s">
        <v>223</v>
      </c>
    </row>
    <row r="172" spans="1:30" x14ac:dyDescent="0.25">
      <c r="A172" s="36">
        <v>4013</v>
      </c>
      <c r="B172" s="14" t="s">
        <v>8049</v>
      </c>
      <c r="C172" s="14" t="s">
        <v>8050</v>
      </c>
      <c r="D172" s="17">
        <v>44125</v>
      </c>
      <c r="E172" s="14" t="s">
        <v>30</v>
      </c>
      <c r="F172" s="14">
        <v>1906</v>
      </c>
      <c r="G172" s="14">
        <v>752</v>
      </c>
      <c r="H172" s="14">
        <v>18</v>
      </c>
      <c r="I172" s="14">
        <v>9</v>
      </c>
      <c r="J172" s="14" t="s">
        <v>204</v>
      </c>
      <c r="K172" s="14" cm="1">
        <f t="array" ref="K172">INT(SUMPRODUCT(--ISNUMBER(SEARCH(economy,C172)))&gt;0)</f>
        <v>0</v>
      </c>
      <c r="L172" s="14" cm="1">
        <f t="array" ref="L172">INT(SUMPRODUCT(--ISNUMBER(SEARCH(healthcare,C172)))&gt;0)</f>
        <v>1</v>
      </c>
      <c r="M172" s="14" cm="1">
        <f t="array" ref="M172">INT(SUMPRODUCT(--ISNUMBER(SEARCH(supreme,C172)))&gt;0)</f>
        <v>0</v>
      </c>
      <c r="N172" s="14" cm="1">
        <f t="array" ref="N172">INT(SUMPRODUCT(--ISNUMBER(SEARCH(covid,C172)))&gt;0)</f>
        <v>0</v>
      </c>
      <c r="O172" s="14" cm="1">
        <f t="array" ref="O172">INT(SUMPRODUCT(--ISNUMBER(SEARCH(violent,C172)))&gt;0)</f>
        <v>0</v>
      </c>
      <c r="P172" s="14" cm="1">
        <f t="array" ref="P172">INT(SUMPRODUCT(--ISNUMBER(SEARCH(foreign,C172)))&gt;0)</f>
        <v>0</v>
      </c>
      <c r="Q172" s="14" cm="1">
        <f t="array" ref="Q172">INT(SUMPRODUCT(--ISNUMBER(SEARCH(gun,C172)))&gt;0)</f>
        <v>0</v>
      </c>
      <c r="R172" s="14" cm="1">
        <f t="array" ref="R172">INT(SUMPRODUCT(--ISNUMBER(SEARCH(race,C172)))&gt;0)</f>
        <v>0</v>
      </c>
      <c r="S172" s="14" cm="1">
        <f t="array" ref="S172">INT(SUMPRODUCT(--ISNUMBER(SEARCH(immigration,C172)))&gt;0)</f>
        <v>0</v>
      </c>
      <c r="T172" s="14" cm="1">
        <f t="array" ref="T172">INT(SUMPRODUCT(--ISNUMBER(SEARCH(econineq,C173)))&gt;0)</f>
        <v>0</v>
      </c>
      <c r="U172" s="14" cm="1">
        <f t="array" ref="U172">INT(SUMPRODUCT(--ISNUMBER(SEARCH(climate,C172)))&gt;0)</f>
        <v>0</v>
      </c>
      <c r="V172" s="14" cm="1">
        <f t="array" ref="V172">INT(SUMPRODUCT(--ISNUMBER(SEARCH(abortion,C172)))&gt;0)</f>
        <v>0</v>
      </c>
      <c r="W172" s="14" cm="1">
        <f t="array" ref="W172">INT(SUMPRODUCT(--ISNUMBER(SEARCH(trump,C172)))&gt;0)</f>
        <v>0</v>
      </c>
      <c r="X172" s="14" cm="1">
        <f t="array" ref="X172">INT(SUMPRODUCT(--ISNUMBER(SEARCH(voting,C172)))&gt;0)</f>
        <v>0</v>
      </c>
      <c r="Y172" s="14" cm="1">
        <f t="array" ref="Y172">INT(SUMPRODUCT(--ISNUMBER(SEARCH(democrattrigger,C172)))&gt;0)</f>
        <v>1</v>
      </c>
      <c r="Z172" s="14" cm="1">
        <f t="array" ref="Z172">INT(SUMPRODUCT(--ISNUMBER(SEARCH(bipartisan,C172)))&gt;0)</f>
        <v>0</v>
      </c>
      <c r="AA172" s="14">
        <f t="shared" si="2"/>
        <v>0</v>
      </c>
      <c r="AB172" s="14"/>
      <c r="AC172" s="30" t="s">
        <v>223</v>
      </c>
      <c r="AD172" s="37" t="s">
        <v>223</v>
      </c>
    </row>
    <row r="173" spans="1:30" x14ac:dyDescent="0.25">
      <c r="A173" s="36">
        <v>4014</v>
      </c>
      <c r="B173" s="14" t="s">
        <v>8051</v>
      </c>
      <c r="C173" s="14" t="s">
        <v>8052</v>
      </c>
      <c r="D173" s="17">
        <v>44125</v>
      </c>
      <c r="E173" s="14" t="s">
        <v>30</v>
      </c>
      <c r="F173" s="14">
        <v>1789</v>
      </c>
      <c r="G173" s="14">
        <v>290</v>
      </c>
      <c r="H173" s="14">
        <v>18</v>
      </c>
      <c r="I173" s="14">
        <v>9</v>
      </c>
      <c r="J173" s="14" t="s">
        <v>204</v>
      </c>
      <c r="K173" s="14" cm="1">
        <f t="array" ref="K173">INT(SUMPRODUCT(--ISNUMBER(SEARCH(economy,C173)))&gt;0)</f>
        <v>0</v>
      </c>
      <c r="L173" s="14" cm="1">
        <f t="array" ref="L173">INT(SUMPRODUCT(--ISNUMBER(SEARCH(healthcare,C173)))&gt;0)</f>
        <v>0</v>
      </c>
      <c r="M173" s="14" cm="1">
        <f t="array" ref="M173">INT(SUMPRODUCT(--ISNUMBER(SEARCH(supreme,C173)))&gt;0)</f>
        <v>0</v>
      </c>
      <c r="N173" s="14" cm="1">
        <f t="array" ref="N173">INT(SUMPRODUCT(--ISNUMBER(SEARCH(covid,C173)))&gt;0)</f>
        <v>0</v>
      </c>
      <c r="O173" s="14" cm="1">
        <f t="array" ref="O173">INT(SUMPRODUCT(--ISNUMBER(SEARCH(violent,C173)))&gt;0)</f>
        <v>0</v>
      </c>
      <c r="P173" s="14" cm="1">
        <f t="array" ref="P173">INT(SUMPRODUCT(--ISNUMBER(SEARCH(foreign,C173)))&gt;0)</f>
        <v>0</v>
      </c>
      <c r="Q173" s="14" cm="1">
        <f t="array" ref="Q173">INT(SUMPRODUCT(--ISNUMBER(SEARCH(gun,C173)))&gt;0)</f>
        <v>0</v>
      </c>
      <c r="R173" s="14" cm="1">
        <f t="array" ref="R173">INT(SUMPRODUCT(--ISNUMBER(SEARCH(race,C173)))&gt;0)</f>
        <v>0</v>
      </c>
      <c r="S173" s="14" cm="1">
        <f t="array" ref="S173">INT(SUMPRODUCT(--ISNUMBER(SEARCH(immigration,C173)))&gt;0)</f>
        <v>0</v>
      </c>
      <c r="T173" s="14" cm="1">
        <f t="array" ref="T173">INT(SUMPRODUCT(--ISNUMBER(SEARCH(econineq,C174)))&gt;0)</f>
        <v>0</v>
      </c>
      <c r="U173" s="14" cm="1">
        <f t="array" ref="U173">INT(SUMPRODUCT(--ISNUMBER(SEARCH(climate,C173)))&gt;0)</f>
        <v>0</v>
      </c>
      <c r="V173" s="14" cm="1">
        <f t="array" ref="V173">INT(SUMPRODUCT(--ISNUMBER(SEARCH(abortion,C173)))&gt;0)</f>
        <v>0</v>
      </c>
      <c r="W173" s="14" cm="1">
        <f t="array" ref="W173">INT(SUMPRODUCT(--ISNUMBER(SEARCH(trump,C173)))&gt;0)</f>
        <v>0</v>
      </c>
      <c r="X173" s="14" cm="1">
        <f t="array" ref="X173">INT(SUMPRODUCT(--ISNUMBER(SEARCH(voting,C173)))&gt;0)</f>
        <v>0</v>
      </c>
      <c r="Y173" s="14" cm="1">
        <f t="array" ref="Y173">INT(SUMPRODUCT(--ISNUMBER(SEARCH(democrattrigger,C173)))&gt;0)</f>
        <v>0</v>
      </c>
      <c r="Z173" s="14" cm="1">
        <f t="array" ref="Z173">INT(SUMPRODUCT(--ISNUMBER(SEARCH(bipartisan,C173)))&gt;0)</f>
        <v>0</v>
      </c>
      <c r="AA173" s="14">
        <f t="shared" si="2"/>
        <v>1</v>
      </c>
      <c r="AB173" s="14"/>
      <c r="AC173" s="30" t="s">
        <v>223</v>
      </c>
      <c r="AD173" s="37" t="s">
        <v>223</v>
      </c>
    </row>
    <row r="174" spans="1:30" x14ac:dyDescent="0.25">
      <c r="A174" s="36">
        <v>4015</v>
      </c>
      <c r="B174" s="14" t="s">
        <v>8053</v>
      </c>
      <c r="C174" s="14" t="s">
        <v>8054</v>
      </c>
      <c r="D174" s="17">
        <v>44125</v>
      </c>
      <c r="E174" s="14" t="s">
        <v>30</v>
      </c>
      <c r="F174" s="14">
        <v>2738</v>
      </c>
      <c r="G174" s="14">
        <v>570</v>
      </c>
      <c r="H174" s="14">
        <v>18</v>
      </c>
      <c r="I174" s="14">
        <v>9</v>
      </c>
      <c r="J174" s="14" t="s">
        <v>204</v>
      </c>
      <c r="K174" s="14" cm="1">
        <f t="array" ref="K174">INT(SUMPRODUCT(--ISNUMBER(SEARCH(economy,C174)))&gt;0)</f>
        <v>0</v>
      </c>
      <c r="L174" s="14" cm="1">
        <f t="array" ref="L174">INT(SUMPRODUCT(--ISNUMBER(SEARCH(healthcare,C174)))&gt;0)</f>
        <v>0</v>
      </c>
      <c r="M174" s="14" cm="1">
        <f t="array" ref="M174">INT(SUMPRODUCT(--ISNUMBER(SEARCH(supreme,C174)))&gt;0)</f>
        <v>0</v>
      </c>
      <c r="N174" s="14" cm="1">
        <f t="array" ref="N174">INT(SUMPRODUCT(--ISNUMBER(SEARCH(covid,C174)))&gt;0)</f>
        <v>0</v>
      </c>
      <c r="O174" s="14" cm="1">
        <f t="array" ref="O174">INT(SUMPRODUCT(--ISNUMBER(SEARCH(violent,C174)))&gt;0)</f>
        <v>0</v>
      </c>
      <c r="P174" s="14" cm="1">
        <f t="array" ref="P174">INT(SUMPRODUCT(--ISNUMBER(SEARCH(foreign,C174)))&gt;0)</f>
        <v>0</v>
      </c>
      <c r="Q174" s="14" cm="1">
        <f t="array" ref="Q174">INT(SUMPRODUCT(--ISNUMBER(SEARCH(gun,C174)))&gt;0)</f>
        <v>0</v>
      </c>
      <c r="R174" s="14" cm="1">
        <f t="array" ref="R174">INT(SUMPRODUCT(--ISNUMBER(SEARCH(race,C174)))&gt;0)</f>
        <v>0</v>
      </c>
      <c r="S174" s="14" cm="1">
        <f t="array" ref="S174">INT(SUMPRODUCT(--ISNUMBER(SEARCH(immigration,C174)))&gt;0)</f>
        <v>0</v>
      </c>
      <c r="T174" s="14" cm="1">
        <f t="array" ref="T174">INT(SUMPRODUCT(--ISNUMBER(SEARCH(econineq,C175)))&gt;0)</f>
        <v>0</v>
      </c>
      <c r="U174" s="14" cm="1">
        <f t="array" ref="U174">INT(SUMPRODUCT(--ISNUMBER(SEARCH(climate,C174)))&gt;0)</f>
        <v>0</v>
      </c>
      <c r="V174" s="14" cm="1">
        <f t="array" ref="V174">INT(SUMPRODUCT(--ISNUMBER(SEARCH(abortion,C174)))&gt;0)</f>
        <v>0</v>
      </c>
      <c r="W174" s="14" cm="1">
        <f t="array" ref="W174">INT(SUMPRODUCT(--ISNUMBER(SEARCH(trump,C174)))&gt;0)</f>
        <v>0</v>
      </c>
      <c r="X174" s="14" cm="1">
        <f t="array" ref="X174">INT(SUMPRODUCT(--ISNUMBER(SEARCH(voting,C174)))&gt;0)</f>
        <v>0</v>
      </c>
      <c r="Y174" s="14" cm="1">
        <f t="array" ref="Y174">INT(SUMPRODUCT(--ISNUMBER(SEARCH(democrattrigger,C174)))&gt;0)</f>
        <v>0</v>
      </c>
      <c r="Z174" s="14" cm="1">
        <f t="array" ref="Z174">INT(SUMPRODUCT(--ISNUMBER(SEARCH(bipartisan,C174)))&gt;0)</f>
        <v>0</v>
      </c>
      <c r="AA174" s="14">
        <f t="shared" si="2"/>
        <v>1</v>
      </c>
      <c r="AB174" s="14"/>
      <c r="AC174" s="30" t="s">
        <v>223</v>
      </c>
      <c r="AD174" s="37" t="s">
        <v>223</v>
      </c>
    </row>
    <row r="175" spans="1:30" x14ac:dyDescent="0.25">
      <c r="A175" s="36">
        <v>4016</v>
      </c>
      <c r="B175" s="14" t="s">
        <v>8055</v>
      </c>
      <c r="C175" s="14" t="s">
        <v>8056</v>
      </c>
      <c r="D175" s="17">
        <v>44125</v>
      </c>
      <c r="E175" s="14" t="s">
        <v>30</v>
      </c>
      <c r="F175" s="14">
        <v>6066</v>
      </c>
      <c r="G175" s="14">
        <v>1073</v>
      </c>
      <c r="H175" s="14">
        <v>18</v>
      </c>
      <c r="I175" s="14">
        <v>9</v>
      </c>
      <c r="J175" s="14" t="s">
        <v>204</v>
      </c>
      <c r="K175" s="14" cm="1">
        <f t="array" ref="K175">INT(SUMPRODUCT(--ISNUMBER(SEARCH(economy,C175)))&gt;0)</f>
        <v>0</v>
      </c>
      <c r="L175" s="14" cm="1">
        <f t="array" ref="L175">INT(SUMPRODUCT(--ISNUMBER(SEARCH(healthcare,C175)))&gt;0)</f>
        <v>0</v>
      </c>
      <c r="M175" s="14" cm="1">
        <f t="array" ref="M175">INT(SUMPRODUCT(--ISNUMBER(SEARCH(supreme,C175)))&gt;0)</f>
        <v>0</v>
      </c>
      <c r="N175" s="14" cm="1">
        <f t="array" ref="N175">INT(SUMPRODUCT(--ISNUMBER(SEARCH(covid,C175)))&gt;0)</f>
        <v>0</v>
      </c>
      <c r="O175" s="14" cm="1">
        <f t="array" ref="O175">INT(SUMPRODUCT(--ISNUMBER(SEARCH(violent,C175)))&gt;0)</f>
        <v>0</v>
      </c>
      <c r="P175" s="14" cm="1">
        <f t="array" ref="P175">INT(SUMPRODUCT(--ISNUMBER(SEARCH(foreign,C175)))&gt;0)</f>
        <v>0</v>
      </c>
      <c r="Q175" s="14" cm="1">
        <f t="array" ref="Q175">INT(SUMPRODUCT(--ISNUMBER(SEARCH(gun,C175)))&gt;0)</f>
        <v>0</v>
      </c>
      <c r="R175" s="14" cm="1">
        <f t="array" ref="R175">INT(SUMPRODUCT(--ISNUMBER(SEARCH(race,C175)))&gt;0)</f>
        <v>0</v>
      </c>
      <c r="S175" s="14" cm="1">
        <f t="array" ref="S175">INT(SUMPRODUCT(--ISNUMBER(SEARCH(immigration,C175)))&gt;0)</f>
        <v>0</v>
      </c>
      <c r="T175" s="14" cm="1">
        <f t="array" ref="T175">INT(SUMPRODUCT(--ISNUMBER(SEARCH(econineq,C176)))&gt;0)</f>
        <v>0</v>
      </c>
      <c r="U175" s="14" cm="1">
        <f t="array" ref="U175">INT(SUMPRODUCT(--ISNUMBER(SEARCH(climate,C175)))&gt;0)</f>
        <v>0</v>
      </c>
      <c r="V175" s="14" cm="1">
        <f t="array" ref="V175">INT(SUMPRODUCT(--ISNUMBER(SEARCH(abortion,C175)))&gt;0)</f>
        <v>0</v>
      </c>
      <c r="W175" s="14" cm="1">
        <f t="array" ref="W175">INT(SUMPRODUCT(--ISNUMBER(SEARCH(trump,C175)))&gt;0)</f>
        <v>0</v>
      </c>
      <c r="X175" s="14" cm="1">
        <f t="array" ref="X175">INT(SUMPRODUCT(--ISNUMBER(SEARCH(voting,C175)))&gt;0)</f>
        <v>0</v>
      </c>
      <c r="Y175" s="14" cm="1">
        <f t="array" ref="Y175">INT(SUMPRODUCT(--ISNUMBER(SEARCH(democrattrigger,C175)))&gt;0)</f>
        <v>0</v>
      </c>
      <c r="Z175" s="14" cm="1">
        <f t="array" ref="Z175">INT(SUMPRODUCT(--ISNUMBER(SEARCH(bipartisan,C175)))&gt;0)</f>
        <v>0</v>
      </c>
      <c r="AA175" s="14">
        <f t="shared" si="2"/>
        <v>1</v>
      </c>
      <c r="AB175" s="14"/>
      <c r="AC175" s="30" t="s">
        <v>223</v>
      </c>
      <c r="AD175" s="37" t="s">
        <v>223</v>
      </c>
    </row>
    <row r="176" spans="1:30" x14ac:dyDescent="0.25">
      <c r="A176" s="36">
        <v>4017</v>
      </c>
      <c r="B176" s="14" t="s">
        <v>8057</v>
      </c>
      <c r="C176" s="14" t="s">
        <v>8058</v>
      </c>
      <c r="D176" s="17">
        <v>44125</v>
      </c>
      <c r="E176" s="14" t="s">
        <v>30</v>
      </c>
      <c r="F176" s="14">
        <v>19779</v>
      </c>
      <c r="G176" s="14">
        <v>5298</v>
      </c>
      <c r="H176" s="14">
        <v>18</v>
      </c>
      <c r="I176" s="14">
        <v>9</v>
      </c>
      <c r="J176" s="14" t="s">
        <v>204</v>
      </c>
      <c r="K176" s="14" cm="1">
        <f t="array" ref="K176">INT(SUMPRODUCT(--ISNUMBER(SEARCH(economy,C176)))&gt;0)</f>
        <v>0</v>
      </c>
      <c r="L176" s="14" cm="1">
        <f t="array" ref="L176">INT(SUMPRODUCT(--ISNUMBER(SEARCH(healthcare,C176)))&gt;0)</f>
        <v>0</v>
      </c>
      <c r="M176" s="14" cm="1">
        <f t="array" ref="M176">INT(SUMPRODUCT(--ISNUMBER(SEARCH(supreme,C176)))&gt;0)</f>
        <v>0</v>
      </c>
      <c r="N176" s="14" cm="1">
        <f t="array" ref="N176">INT(SUMPRODUCT(--ISNUMBER(SEARCH(covid,C176)))&gt;0)</f>
        <v>0</v>
      </c>
      <c r="O176" s="14" cm="1">
        <f t="array" ref="O176">INT(SUMPRODUCT(--ISNUMBER(SEARCH(violent,C176)))&gt;0)</f>
        <v>0</v>
      </c>
      <c r="P176" s="14" cm="1">
        <f t="array" ref="P176">INT(SUMPRODUCT(--ISNUMBER(SEARCH(foreign,C176)))&gt;0)</f>
        <v>1</v>
      </c>
      <c r="Q176" s="14" cm="1">
        <f t="array" ref="Q176">INT(SUMPRODUCT(--ISNUMBER(SEARCH(gun,C176)))&gt;0)</f>
        <v>0</v>
      </c>
      <c r="R176" s="14" cm="1">
        <f t="array" ref="R176">INT(SUMPRODUCT(--ISNUMBER(SEARCH(race,C176)))&gt;0)</f>
        <v>0</v>
      </c>
      <c r="S176" s="14" cm="1">
        <f t="array" ref="S176">INT(SUMPRODUCT(--ISNUMBER(SEARCH(immigration,C176)))&gt;0)</f>
        <v>0</v>
      </c>
      <c r="T176" s="14" cm="1">
        <f t="array" ref="T176">INT(SUMPRODUCT(--ISNUMBER(SEARCH(econineq,C177)))&gt;0)</f>
        <v>0</v>
      </c>
      <c r="U176" s="14" cm="1">
        <f t="array" ref="U176">INT(SUMPRODUCT(--ISNUMBER(SEARCH(climate,C176)))&gt;0)</f>
        <v>1</v>
      </c>
      <c r="V176" s="14" cm="1">
        <f t="array" ref="V176">INT(SUMPRODUCT(--ISNUMBER(SEARCH(abortion,C176)))&gt;0)</f>
        <v>0</v>
      </c>
      <c r="W176" s="14" cm="1">
        <f t="array" ref="W176">INT(SUMPRODUCT(--ISNUMBER(SEARCH(trump,C176)))&gt;0)</f>
        <v>0</v>
      </c>
      <c r="X176" s="14" cm="1">
        <f t="array" ref="X176">INT(SUMPRODUCT(--ISNUMBER(SEARCH(voting,C176)))&gt;0)</f>
        <v>0</v>
      </c>
      <c r="Y176" s="14" cm="1">
        <f t="array" ref="Y176">INT(SUMPRODUCT(--ISNUMBER(SEARCH(democrattrigger,C176)))&gt;0)</f>
        <v>0</v>
      </c>
      <c r="Z176" s="14" cm="1">
        <f t="array" ref="Z176">INT(SUMPRODUCT(--ISNUMBER(SEARCH(bipartisan,C176)))&gt;0)</f>
        <v>0</v>
      </c>
      <c r="AA176" s="14">
        <f t="shared" si="2"/>
        <v>0</v>
      </c>
      <c r="AB176" s="14"/>
      <c r="AC176" s="30" t="s">
        <v>223</v>
      </c>
      <c r="AD176" s="37" t="s">
        <v>223</v>
      </c>
    </row>
    <row r="177" spans="1:30" x14ac:dyDescent="0.25">
      <c r="A177" s="36">
        <v>4018</v>
      </c>
      <c r="B177" s="14" t="s">
        <v>8059</v>
      </c>
      <c r="C177" s="14" t="s">
        <v>8060</v>
      </c>
      <c r="D177" s="17">
        <v>44125</v>
      </c>
      <c r="E177" s="14" t="s">
        <v>30</v>
      </c>
      <c r="F177" s="14">
        <v>498</v>
      </c>
      <c r="G177" s="14">
        <v>140</v>
      </c>
      <c r="H177" s="14">
        <v>18</v>
      </c>
      <c r="I177" s="14">
        <v>9</v>
      </c>
      <c r="J177" s="14" t="s">
        <v>204</v>
      </c>
      <c r="K177" s="14" cm="1">
        <f t="array" ref="K177">INT(SUMPRODUCT(--ISNUMBER(SEARCH(economy,C177)))&gt;0)</f>
        <v>0</v>
      </c>
      <c r="L177" s="14" cm="1">
        <f t="array" ref="L177">INT(SUMPRODUCT(--ISNUMBER(SEARCH(healthcare,C177)))&gt;0)</f>
        <v>0</v>
      </c>
      <c r="M177" s="14" cm="1">
        <f t="array" ref="M177">INT(SUMPRODUCT(--ISNUMBER(SEARCH(supreme,C177)))&gt;0)</f>
        <v>0</v>
      </c>
      <c r="N177" s="14" cm="1">
        <f t="array" ref="N177">INT(SUMPRODUCT(--ISNUMBER(SEARCH(covid,C177)))&gt;0)</f>
        <v>0</v>
      </c>
      <c r="O177" s="14" cm="1">
        <f t="array" ref="O177">INT(SUMPRODUCT(--ISNUMBER(SEARCH(violent,C177)))&gt;0)</f>
        <v>0</v>
      </c>
      <c r="P177" s="14" cm="1">
        <f t="array" ref="P177">INT(SUMPRODUCT(--ISNUMBER(SEARCH(foreign,C177)))&gt;0)</f>
        <v>0</v>
      </c>
      <c r="Q177" s="14" cm="1">
        <f t="array" ref="Q177">INT(SUMPRODUCT(--ISNUMBER(SEARCH(gun,C177)))&gt;0)</f>
        <v>0</v>
      </c>
      <c r="R177" s="14" cm="1">
        <f t="array" ref="R177">INT(SUMPRODUCT(--ISNUMBER(SEARCH(race,C177)))&gt;0)</f>
        <v>1</v>
      </c>
      <c r="S177" s="14" cm="1">
        <f t="array" ref="S177">INT(SUMPRODUCT(--ISNUMBER(SEARCH(immigration,C177)))&gt;0)</f>
        <v>1</v>
      </c>
      <c r="T177" s="14" cm="1">
        <f t="array" ref="T177">INT(SUMPRODUCT(--ISNUMBER(SEARCH(econineq,C178)))&gt;0)</f>
        <v>0</v>
      </c>
      <c r="U177" s="14" cm="1">
        <f t="array" ref="U177">INT(SUMPRODUCT(--ISNUMBER(SEARCH(climate,C177)))&gt;0)</f>
        <v>0</v>
      </c>
      <c r="V177" s="14" cm="1">
        <f t="array" ref="V177">INT(SUMPRODUCT(--ISNUMBER(SEARCH(abortion,C177)))&gt;0)</f>
        <v>0</v>
      </c>
      <c r="W177" s="14" cm="1">
        <f t="array" ref="W177">INT(SUMPRODUCT(--ISNUMBER(SEARCH(trump,C177)))&gt;0)</f>
        <v>0</v>
      </c>
      <c r="X177" s="14" cm="1">
        <f t="array" ref="X177">INT(SUMPRODUCT(--ISNUMBER(SEARCH(voting,C177)))&gt;0)</f>
        <v>1</v>
      </c>
      <c r="Y177" s="14" cm="1">
        <f t="array" ref="Y177">INT(SUMPRODUCT(--ISNUMBER(SEARCH(democrattrigger,C177)))&gt;0)</f>
        <v>0</v>
      </c>
      <c r="Z177" s="14" cm="1">
        <f t="array" ref="Z177">INT(SUMPRODUCT(--ISNUMBER(SEARCH(bipartisan,C177)))&gt;0)</f>
        <v>0</v>
      </c>
      <c r="AA177" s="14">
        <f t="shared" si="2"/>
        <v>0</v>
      </c>
      <c r="AB177" s="14"/>
      <c r="AC177" s="30" t="s">
        <v>223</v>
      </c>
      <c r="AD177" s="37" t="s">
        <v>223</v>
      </c>
    </row>
    <row r="178" spans="1:30" x14ac:dyDescent="0.25">
      <c r="A178" s="36">
        <v>4019</v>
      </c>
      <c r="B178" s="14" t="s">
        <v>8061</v>
      </c>
      <c r="C178" s="14" t="s">
        <v>8062</v>
      </c>
      <c r="D178" s="17">
        <v>44124</v>
      </c>
      <c r="E178" s="14" t="s">
        <v>30</v>
      </c>
      <c r="F178" s="14">
        <v>291</v>
      </c>
      <c r="G178" s="14">
        <v>94</v>
      </c>
      <c r="H178" s="14">
        <v>18</v>
      </c>
      <c r="I178" s="14">
        <v>9</v>
      </c>
      <c r="J178" s="14" t="s">
        <v>204</v>
      </c>
      <c r="K178" s="14" cm="1">
        <f t="array" ref="K178">INT(SUMPRODUCT(--ISNUMBER(SEARCH(economy,C178)))&gt;0)</f>
        <v>0</v>
      </c>
      <c r="L178" s="14" cm="1">
        <f t="array" ref="L178">INT(SUMPRODUCT(--ISNUMBER(SEARCH(healthcare,C178)))&gt;0)</f>
        <v>0</v>
      </c>
      <c r="M178" s="14" cm="1">
        <f t="array" ref="M178">INT(SUMPRODUCT(--ISNUMBER(SEARCH(supreme,C178)))&gt;0)</f>
        <v>0</v>
      </c>
      <c r="N178" s="14" cm="1">
        <f t="array" ref="N178">INT(SUMPRODUCT(--ISNUMBER(SEARCH(covid,C178)))&gt;0)</f>
        <v>0</v>
      </c>
      <c r="O178" s="14" cm="1">
        <f t="array" ref="O178">INT(SUMPRODUCT(--ISNUMBER(SEARCH(violent,C178)))&gt;0)</f>
        <v>0</v>
      </c>
      <c r="P178" s="14" cm="1">
        <f t="array" ref="P178">INT(SUMPRODUCT(--ISNUMBER(SEARCH(foreign,C178)))&gt;0)</f>
        <v>0</v>
      </c>
      <c r="Q178" s="14" cm="1">
        <f t="array" ref="Q178">INT(SUMPRODUCT(--ISNUMBER(SEARCH(gun,C178)))&gt;0)</f>
        <v>0</v>
      </c>
      <c r="R178" s="14" cm="1">
        <f t="array" ref="R178">INT(SUMPRODUCT(--ISNUMBER(SEARCH(race,C178)))&gt;0)</f>
        <v>0</v>
      </c>
      <c r="S178" s="14" cm="1">
        <f t="array" ref="S178">INT(SUMPRODUCT(--ISNUMBER(SEARCH(immigration,C178)))&gt;0)</f>
        <v>0</v>
      </c>
      <c r="T178" s="14" cm="1">
        <f t="array" ref="T178">INT(SUMPRODUCT(--ISNUMBER(SEARCH(econineq,C179)))&gt;0)</f>
        <v>0</v>
      </c>
      <c r="U178" s="14" cm="1">
        <f t="array" ref="U178">INT(SUMPRODUCT(--ISNUMBER(SEARCH(climate,C178)))&gt;0)</f>
        <v>0</v>
      </c>
      <c r="V178" s="14" cm="1">
        <f t="array" ref="V178">INT(SUMPRODUCT(--ISNUMBER(SEARCH(abortion,C178)))&gt;0)</f>
        <v>0</v>
      </c>
      <c r="W178" s="14" cm="1">
        <f t="array" ref="W178">INT(SUMPRODUCT(--ISNUMBER(SEARCH(trump,C178)))&gt;0)</f>
        <v>0</v>
      </c>
      <c r="X178" s="14" cm="1">
        <f t="array" ref="X178">INT(SUMPRODUCT(--ISNUMBER(SEARCH(voting,C178)))&gt;0)</f>
        <v>0</v>
      </c>
      <c r="Y178" s="14" cm="1">
        <f t="array" ref="Y178">INT(SUMPRODUCT(--ISNUMBER(SEARCH(democrattrigger,C178)))&gt;0)</f>
        <v>0</v>
      </c>
      <c r="Z178" s="14" cm="1">
        <f t="array" ref="Z178">INT(SUMPRODUCT(--ISNUMBER(SEARCH(bipartisan,C178)))&gt;0)</f>
        <v>0</v>
      </c>
      <c r="AA178" s="14">
        <f t="shared" si="2"/>
        <v>1</v>
      </c>
      <c r="AB178" s="14"/>
      <c r="AC178" s="30" t="s">
        <v>223</v>
      </c>
      <c r="AD178" s="37" t="s">
        <v>223</v>
      </c>
    </row>
    <row r="179" spans="1:30" x14ac:dyDescent="0.25">
      <c r="A179" s="36">
        <v>4020</v>
      </c>
      <c r="B179" s="14" t="s">
        <v>8063</v>
      </c>
      <c r="C179" s="14" t="s">
        <v>8064</v>
      </c>
      <c r="D179" s="17">
        <v>44124</v>
      </c>
      <c r="E179" s="14" t="s">
        <v>30</v>
      </c>
      <c r="F179" s="14">
        <v>337</v>
      </c>
      <c r="G179" s="14">
        <v>142</v>
      </c>
      <c r="H179" s="14">
        <v>18</v>
      </c>
      <c r="I179" s="14">
        <v>9</v>
      </c>
      <c r="J179" s="14" t="s">
        <v>204</v>
      </c>
      <c r="K179" s="14" cm="1">
        <f t="array" ref="K179">INT(SUMPRODUCT(--ISNUMBER(SEARCH(economy,C179)))&gt;0)</f>
        <v>0</v>
      </c>
      <c r="L179" s="14" cm="1">
        <f t="array" ref="L179">INT(SUMPRODUCT(--ISNUMBER(SEARCH(healthcare,C179)))&gt;0)</f>
        <v>0</v>
      </c>
      <c r="M179" s="14" cm="1">
        <f t="array" ref="M179">INT(SUMPRODUCT(--ISNUMBER(SEARCH(supreme,C179)))&gt;0)</f>
        <v>0</v>
      </c>
      <c r="N179" s="14" cm="1">
        <f t="array" ref="N179">INT(SUMPRODUCT(--ISNUMBER(SEARCH(covid,C179)))&gt;0)</f>
        <v>0</v>
      </c>
      <c r="O179" s="14" cm="1">
        <f t="array" ref="O179">INT(SUMPRODUCT(--ISNUMBER(SEARCH(violent,C179)))&gt;0)</f>
        <v>0</v>
      </c>
      <c r="P179" s="14" cm="1">
        <f t="array" ref="P179">INT(SUMPRODUCT(--ISNUMBER(SEARCH(foreign,C179)))&gt;0)</f>
        <v>0</v>
      </c>
      <c r="Q179" s="14" cm="1">
        <f t="array" ref="Q179">INT(SUMPRODUCT(--ISNUMBER(SEARCH(gun,C179)))&gt;0)</f>
        <v>0</v>
      </c>
      <c r="R179" s="14" cm="1">
        <f t="array" ref="R179">INT(SUMPRODUCT(--ISNUMBER(SEARCH(race,C179)))&gt;0)</f>
        <v>1</v>
      </c>
      <c r="S179" s="14" cm="1">
        <f t="array" ref="S179">INT(SUMPRODUCT(--ISNUMBER(SEARCH(immigration,C179)))&gt;0)</f>
        <v>1</v>
      </c>
      <c r="T179" s="14" cm="1">
        <f t="array" ref="T179">INT(SUMPRODUCT(--ISNUMBER(SEARCH(econineq,C180)))&gt;0)</f>
        <v>0</v>
      </c>
      <c r="U179" s="14" cm="1">
        <f t="array" ref="U179">INT(SUMPRODUCT(--ISNUMBER(SEARCH(climate,C179)))&gt;0)</f>
        <v>0</v>
      </c>
      <c r="V179" s="14" cm="1">
        <f t="array" ref="V179">INT(SUMPRODUCT(--ISNUMBER(SEARCH(abortion,C179)))&gt;0)</f>
        <v>0</v>
      </c>
      <c r="W179" s="14" cm="1">
        <f t="array" ref="W179">INT(SUMPRODUCT(--ISNUMBER(SEARCH(trump,C179)))&gt;0)</f>
        <v>0</v>
      </c>
      <c r="X179" s="14" cm="1">
        <f t="array" ref="X179">INT(SUMPRODUCT(--ISNUMBER(SEARCH(voting,C179)))&gt;0)</f>
        <v>1</v>
      </c>
      <c r="Y179" s="14" cm="1">
        <f t="array" ref="Y179">INT(SUMPRODUCT(--ISNUMBER(SEARCH(democrattrigger,C179)))&gt;0)</f>
        <v>0</v>
      </c>
      <c r="Z179" s="14" cm="1">
        <f t="array" ref="Z179">INT(SUMPRODUCT(--ISNUMBER(SEARCH(bipartisan,C179)))&gt;0)</f>
        <v>0</v>
      </c>
      <c r="AA179" s="14">
        <f t="shared" si="2"/>
        <v>0</v>
      </c>
      <c r="AB179" s="14"/>
      <c r="AC179" s="30" t="s">
        <v>223</v>
      </c>
      <c r="AD179" s="37" t="s">
        <v>223</v>
      </c>
    </row>
    <row r="180" spans="1:30" x14ac:dyDescent="0.25">
      <c r="A180" s="36">
        <v>4021</v>
      </c>
      <c r="B180" s="14" t="s">
        <v>8065</v>
      </c>
      <c r="C180" s="14" t="s">
        <v>8066</v>
      </c>
      <c r="D180" s="17">
        <v>44124</v>
      </c>
      <c r="E180" s="14" t="s">
        <v>30</v>
      </c>
      <c r="F180" s="14">
        <v>1533</v>
      </c>
      <c r="G180" s="14">
        <v>242</v>
      </c>
      <c r="H180" s="14">
        <v>18</v>
      </c>
      <c r="I180" s="14">
        <v>9</v>
      </c>
      <c r="J180" s="14" t="s">
        <v>204</v>
      </c>
      <c r="K180" s="14" cm="1">
        <f t="array" ref="K180">INT(SUMPRODUCT(--ISNUMBER(SEARCH(economy,C180)))&gt;0)</f>
        <v>0</v>
      </c>
      <c r="L180" s="14" cm="1">
        <f t="array" ref="L180">INT(SUMPRODUCT(--ISNUMBER(SEARCH(healthcare,C180)))&gt;0)</f>
        <v>0</v>
      </c>
      <c r="M180" s="14" cm="1">
        <f t="array" ref="M180">INT(SUMPRODUCT(--ISNUMBER(SEARCH(supreme,C180)))&gt;0)</f>
        <v>0</v>
      </c>
      <c r="N180" s="14" cm="1">
        <f t="array" ref="N180">INT(SUMPRODUCT(--ISNUMBER(SEARCH(covid,C180)))&gt;0)</f>
        <v>0</v>
      </c>
      <c r="O180" s="14" cm="1">
        <f t="array" ref="O180">INT(SUMPRODUCT(--ISNUMBER(SEARCH(violent,C180)))&gt;0)</f>
        <v>0</v>
      </c>
      <c r="P180" s="14" cm="1">
        <f t="array" ref="P180">INT(SUMPRODUCT(--ISNUMBER(SEARCH(foreign,C180)))&gt;0)</f>
        <v>0</v>
      </c>
      <c r="Q180" s="14" cm="1">
        <f t="array" ref="Q180">INT(SUMPRODUCT(--ISNUMBER(SEARCH(gun,C180)))&gt;0)</f>
        <v>0</v>
      </c>
      <c r="R180" s="14" cm="1">
        <f t="array" ref="R180">INT(SUMPRODUCT(--ISNUMBER(SEARCH(race,C180)))&gt;0)</f>
        <v>0</v>
      </c>
      <c r="S180" s="14" cm="1">
        <f t="array" ref="S180">INT(SUMPRODUCT(--ISNUMBER(SEARCH(immigration,C180)))&gt;0)</f>
        <v>0</v>
      </c>
      <c r="T180" s="14" cm="1">
        <f t="array" ref="T180">INT(SUMPRODUCT(--ISNUMBER(SEARCH(econineq,C181)))&gt;0)</f>
        <v>0</v>
      </c>
      <c r="U180" s="14" cm="1">
        <f t="array" ref="U180">INT(SUMPRODUCT(--ISNUMBER(SEARCH(climate,C180)))&gt;0)</f>
        <v>0</v>
      </c>
      <c r="V180" s="14" cm="1">
        <f t="array" ref="V180">INT(SUMPRODUCT(--ISNUMBER(SEARCH(abortion,C180)))&gt;0)</f>
        <v>0</v>
      </c>
      <c r="W180" s="14" cm="1">
        <f t="array" ref="W180">INT(SUMPRODUCT(--ISNUMBER(SEARCH(trump,C180)))&gt;0)</f>
        <v>0</v>
      </c>
      <c r="X180" s="14" cm="1">
        <f t="array" ref="X180">INT(SUMPRODUCT(--ISNUMBER(SEARCH(voting,C180)))&gt;0)</f>
        <v>1</v>
      </c>
      <c r="Y180" s="14" cm="1">
        <f t="array" ref="Y180">INT(SUMPRODUCT(--ISNUMBER(SEARCH(democrattrigger,C180)))&gt;0)</f>
        <v>0</v>
      </c>
      <c r="Z180" s="14" cm="1">
        <f t="array" ref="Z180">INT(SUMPRODUCT(--ISNUMBER(SEARCH(bipartisan,C180)))&gt;0)</f>
        <v>0</v>
      </c>
      <c r="AA180" s="14">
        <f t="shared" si="2"/>
        <v>0</v>
      </c>
      <c r="AB180" s="14"/>
      <c r="AC180" s="30" t="s">
        <v>223</v>
      </c>
      <c r="AD180" s="37" t="s">
        <v>223</v>
      </c>
    </row>
    <row r="181" spans="1:30" x14ac:dyDescent="0.25">
      <c r="A181" s="36">
        <v>4022</v>
      </c>
      <c r="B181" s="14" t="s">
        <v>8067</v>
      </c>
      <c r="C181" s="14" t="s">
        <v>8068</v>
      </c>
      <c r="D181" s="17">
        <v>44124</v>
      </c>
      <c r="E181" s="14" t="s">
        <v>30</v>
      </c>
      <c r="F181" s="14">
        <v>1227</v>
      </c>
      <c r="G181" s="14">
        <v>297</v>
      </c>
      <c r="H181" s="14">
        <v>18</v>
      </c>
      <c r="I181" s="14">
        <v>9</v>
      </c>
      <c r="J181" s="14" t="s">
        <v>204</v>
      </c>
      <c r="K181" s="14" cm="1">
        <f t="array" ref="K181">INT(SUMPRODUCT(--ISNUMBER(SEARCH(economy,C181)))&gt;0)</f>
        <v>0</v>
      </c>
      <c r="L181" s="14" cm="1">
        <f t="array" ref="L181">INT(SUMPRODUCT(--ISNUMBER(SEARCH(healthcare,C181)))&gt;0)</f>
        <v>0</v>
      </c>
      <c r="M181" s="14" cm="1">
        <f t="array" ref="M181">INT(SUMPRODUCT(--ISNUMBER(SEARCH(supreme,C181)))&gt;0)</f>
        <v>0</v>
      </c>
      <c r="N181" s="14" cm="1">
        <f t="array" ref="N181">INT(SUMPRODUCT(--ISNUMBER(SEARCH(covid,C181)))&gt;0)</f>
        <v>1</v>
      </c>
      <c r="O181" s="14" cm="1">
        <f t="array" ref="O181">INT(SUMPRODUCT(--ISNUMBER(SEARCH(violent,C181)))&gt;0)</f>
        <v>1</v>
      </c>
      <c r="P181" s="14" cm="1">
        <f t="array" ref="P181">INT(SUMPRODUCT(--ISNUMBER(SEARCH(foreign,C181)))&gt;0)</f>
        <v>0</v>
      </c>
      <c r="Q181" s="14" cm="1">
        <f t="array" ref="Q181">INT(SUMPRODUCT(--ISNUMBER(SEARCH(gun,C181)))&gt;0)</f>
        <v>1</v>
      </c>
      <c r="R181" s="14" cm="1">
        <f t="array" ref="R181">INT(SUMPRODUCT(--ISNUMBER(SEARCH(race,C181)))&gt;0)</f>
        <v>0</v>
      </c>
      <c r="S181" s="14" cm="1">
        <f t="array" ref="S181">INT(SUMPRODUCT(--ISNUMBER(SEARCH(immigration,C181)))&gt;0)</f>
        <v>0</v>
      </c>
      <c r="T181" s="14" cm="1">
        <f t="array" ref="T181">INT(SUMPRODUCT(--ISNUMBER(SEARCH(econineq,C182)))&gt;0)</f>
        <v>0</v>
      </c>
      <c r="U181" s="14" cm="1">
        <f t="array" ref="U181">INT(SUMPRODUCT(--ISNUMBER(SEARCH(climate,C181)))&gt;0)</f>
        <v>0</v>
      </c>
      <c r="V181" s="14" cm="1">
        <f t="array" ref="V181">INT(SUMPRODUCT(--ISNUMBER(SEARCH(abortion,C181)))&gt;0)</f>
        <v>0</v>
      </c>
      <c r="W181" s="14" cm="1">
        <f t="array" ref="W181">INT(SUMPRODUCT(--ISNUMBER(SEARCH(trump,C181)))&gt;0)</f>
        <v>0</v>
      </c>
      <c r="X181" s="14" cm="1">
        <f t="array" ref="X181">INT(SUMPRODUCT(--ISNUMBER(SEARCH(voting,C181)))&gt;0)</f>
        <v>0</v>
      </c>
      <c r="Y181" s="14" cm="1">
        <f t="array" ref="Y181">INT(SUMPRODUCT(--ISNUMBER(SEARCH(democrattrigger,C181)))&gt;0)</f>
        <v>0</v>
      </c>
      <c r="Z181" s="14" cm="1">
        <f t="array" ref="Z181">INT(SUMPRODUCT(--ISNUMBER(SEARCH(bipartisan,C181)))&gt;0)</f>
        <v>0</v>
      </c>
      <c r="AA181" s="14">
        <f t="shared" si="2"/>
        <v>0</v>
      </c>
      <c r="AB181" s="14"/>
      <c r="AC181" s="30" t="s">
        <v>223</v>
      </c>
      <c r="AD181" s="37" t="s">
        <v>223</v>
      </c>
    </row>
    <row r="182" spans="1:30" x14ac:dyDescent="0.25">
      <c r="A182" s="36">
        <v>4023</v>
      </c>
      <c r="B182" s="14" t="s">
        <v>8069</v>
      </c>
      <c r="C182" s="14" t="s">
        <v>8070</v>
      </c>
      <c r="D182" s="17">
        <v>44124</v>
      </c>
      <c r="E182" s="14" t="s">
        <v>30</v>
      </c>
      <c r="F182" s="14">
        <v>439</v>
      </c>
      <c r="G182" s="14">
        <v>124</v>
      </c>
      <c r="H182" s="14">
        <v>18</v>
      </c>
      <c r="I182" s="14">
        <v>9</v>
      </c>
      <c r="J182" s="14" t="s">
        <v>204</v>
      </c>
      <c r="K182" s="14" cm="1">
        <f t="array" ref="K182">INT(SUMPRODUCT(--ISNUMBER(SEARCH(economy,C182)))&gt;0)</f>
        <v>0</v>
      </c>
      <c r="L182" s="14" cm="1">
        <f t="array" ref="L182">INT(SUMPRODUCT(--ISNUMBER(SEARCH(healthcare,C182)))&gt;0)</f>
        <v>0</v>
      </c>
      <c r="M182" s="14" cm="1">
        <f t="array" ref="M182">INT(SUMPRODUCT(--ISNUMBER(SEARCH(supreme,C182)))&gt;0)</f>
        <v>0</v>
      </c>
      <c r="N182" s="14" cm="1">
        <f t="array" ref="N182">INT(SUMPRODUCT(--ISNUMBER(SEARCH(covid,C182)))&gt;0)</f>
        <v>0</v>
      </c>
      <c r="O182" s="14" cm="1">
        <f t="array" ref="O182">INT(SUMPRODUCT(--ISNUMBER(SEARCH(violent,C182)))&gt;0)</f>
        <v>0</v>
      </c>
      <c r="P182" s="14" cm="1">
        <f t="array" ref="P182">INT(SUMPRODUCT(--ISNUMBER(SEARCH(foreign,C182)))&gt;0)</f>
        <v>0</v>
      </c>
      <c r="Q182" s="14" cm="1">
        <f t="array" ref="Q182">INT(SUMPRODUCT(--ISNUMBER(SEARCH(gun,C182)))&gt;0)</f>
        <v>0</v>
      </c>
      <c r="R182" s="14" cm="1">
        <f t="array" ref="R182">INT(SUMPRODUCT(--ISNUMBER(SEARCH(race,C182)))&gt;0)</f>
        <v>1</v>
      </c>
      <c r="S182" s="14" cm="1">
        <f t="array" ref="S182">INT(SUMPRODUCT(--ISNUMBER(SEARCH(immigration,C182)))&gt;0)</f>
        <v>0</v>
      </c>
      <c r="T182" s="14" cm="1">
        <f t="array" ref="T182">INT(SUMPRODUCT(--ISNUMBER(SEARCH(econineq,C183)))&gt;0)</f>
        <v>0</v>
      </c>
      <c r="U182" s="14" cm="1">
        <f t="array" ref="U182">INT(SUMPRODUCT(--ISNUMBER(SEARCH(climate,C182)))&gt;0)</f>
        <v>0</v>
      </c>
      <c r="V182" s="14" cm="1">
        <f t="array" ref="V182">INT(SUMPRODUCT(--ISNUMBER(SEARCH(abortion,C182)))&gt;0)</f>
        <v>0</v>
      </c>
      <c r="W182" s="14" cm="1">
        <f t="array" ref="W182">INT(SUMPRODUCT(--ISNUMBER(SEARCH(trump,C182)))&gt;0)</f>
        <v>0</v>
      </c>
      <c r="X182" s="14" cm="1">
        <f t="array" ref="X182">INT(SUMPRODUCT(--ISNUMBER(SEARCH(voting,C182)))&gt;0)</f>
        <v>1</v>
      </c>
      <c r="Y182" s="14" cm="1">
        <f t="array" ref="Y182">INT(SUMPRODUCT(--ISNUMBER(SEARCH(democrattrigger,C182)))&gt;0)</f>
        <v>0</v>
      </c>
      <c r="Z182" s="14" cm="1">
        <f t="array" ref="Z182">INT(SUMPRODUCT(--ISNUMBER(SEARCH(bipartisan,C182)))&gt;0)</f>
        <v>0</v>
      </c>
      <c r="AA182" s="14">
        <f t="shared" si="2"/>
        <v>0</v>
      </c>
      <c r="AB182" s="14"/>
      <c r="AC182" s="30" t="s">
        <v>223</v>
      </c>
      <c r="AD182" s="37" t="s">
        <v>223</v>
      </c>
    </row>
    <row r="183" spans="1:30" x14ac:dyDescent="0.25">
      <c r="A183" s="36">
        <v>4024</v>
      </c>
      <c r="B183" s="14" t="s">
        <v>8071</v>
      </c>
      <c r="C183" s="14" t="s">
        <v>8072</v>
      </c>
      <c r="D183" s="17">
        <v>44124</v>
      </c>
      <c r="E183" s="14" t="s">
        <v>30</v>
      </c>
      <c r="F183" s="14">
        <v>1342</v>
      </c>
      <c r="G183" s="14">
        <v>393</v>
      </c>
      <c r="H183" s="14">
        <v>18</v>
      </c>
      <c r="I183" s="14">
        <v>9</v>
      </c>
      <c r="J183" s="14" t="s">
        <v>204</v>
      </c>
      <c r="K183" s="14" cm="1">
        <f t="array" ref="K183">INT(SUMPRODUCT(--ISNUMBER(SEARCH(economy,C183)))&gt;0)</f>
        <v>0</v>
      </c>
      <c r="L183" s="14" cm="1">
        <f t="array" ref="L183">INT(SUMPRODUCT(--ISNUMBER(SEARCH(healthcare,C183)))&gt;0)</f>
        <v>0</v>
      </c>
      <c r="M183" s="14" cm="1">
        <f t="array" ref="M183">INT(SUMPRODUCT(--ISNUMBER(SEARCH(supreme,C183)))&gt;0)</f>
        <v>0</v>
      </c>
      <c r="N183" s="14" cm="1">
        <f t="array" ref="N183">INT(SUMPRODUCT(--ISNUMBER(SEARCH(covid,C183)))&gt;0)</f>
        <v>0</v>
      </c>
      <c r="O183" s="14" cm="1">
        <f t="array" ref="O183">INT(SUMPRODUCT(--ISNUMBER(SEARCH(violent,C183)))&gt;0)</f>
        <v>0</v>
      </c>
      <c r="P183" s="14" cm="1">
        <f t="array" ref="P183">INT(SUMPRODUCT(--ISNUMBER(SEARCH(foreign,C183)))&gt;0)</f>
        <v>0</v>
      </c>
      <c r="Q183" s="14" cm="1">
        <f t="array" ref="Q183">INT(SUMPRODUCT(--ISNUMBER(SEARCH(gun,C183)))&gt;0)</f>
        <v>0</v>
      </c>
      <c r="R183" s="14" cm="1">
        <f t="array" ref="R183">INT(SUMPRODUCT(--ISNUMBER(SEARCH(race,C183)))&gt;0)</f>
        <v>0</v>
      </c>
      <c r="S183" s="14" cm="1">
        <f t="array" ref="S183">INT(SUMPRODUCT(--ISNUMBER(SEARCH(immigration,C183)))&gt;0)</f>
        <v>0</v>
      </c>
      <c r="T183" s="14" cm="1">
        <f t="array" ref="T183">INT(SUMPRODUCT(--ISNUMBER(SEARCH(econineq,C184)))&gt;0)</f>
        <v>0</v>
      </c>
      <c r="U183" s="14" cm="1">
        <f t="array" ref="U183">INT(SUMPRODUCT(--ISNUMBER(SEARCH(climate,C183)))&gt;0)</f>
        <v>0</v>
      </c>
      <c r="V183" s="14" cm="1">
        <f t="array" ref="V183">INT(SUMPRODUCT(--ISNUMBER(SEARCH(abortion,C183)))&gt;0)</f>
        <v>0</v>
      </c>
      <c r="W183" s="14" cm="1">
        <f t="array" ref="W183">INT(SUMPRODUCT(--ISNUMBER(SEARCH(trump,C183)))&gt;0)</f>
        <v>0</v>
      </c>
      <c r="X183" s="14" cm="1">
        <f t="array" ref="X183">INT(SUMPRODUCT(--ISNUMBER(SEARCH(voting,C183)))&gt;0)</f>
        <v>1</v>
      </c>
      <c r="Y183" s="14" cm="1">
        <f t="array" ref="Y183">INT(SUMPRODUCT(--ISNUMBER(SEARCH(democrattrigger,C183)))&gt;0)</f>
        <v>0</v>
      </c>
      <c r="Z183" s="14" cm="1">
        <f t="array" ref="Z183">INT(SUMPRODUCT(--ISNUMBER(SEARCH(bipartisan,C183)))&gt;0)</f>
        <v>0</v>
      </c>
      <c r="AA183" s="14">
        <f t="shared" si="2"/>
        <v>0</v>
      </c>
      <c r="AB183" s="14"/>
      <c r="AC183" s="30">
        <v>1</v>
      </c>
      <c r="AD183" s="37">
        <v>1</v>
      </c>
    </row>
    <row r="184" spans="1:30" x14ac:dyDescent="0.25">
      <c r="A184" s="36">
        <v>4025</v>
      </c>
      <c r="B184" s="14" t="s">
        <v>8073</v>
      </c>
      <c r="C184" s="14" t="s">
        <v>8074</v>
      </c>
      <c r="D184" s="17">
        <v>44124</v>
      </c>
      <c r="E184" s="14" t="s">
        <v>30</v>
      </c>
      <c r="F184" s="14">
        <v>8339</v>
      </c>
      <c r="G184" s="14">
        <v>2977</v>
      </c>
      <c r="H184" s="14">
        <v>18</v>
      </c>
      <c r="I184" s="14">
        <v>9</v>
      </c>
      <c r="J184" s="14" t="s">
        <v>204</v>
      </c>
      <c r="K184" s="14" cm="1">
        <f t="array" ref="K184">INT(SUMPRODUCT(--ISNUMBER(SEARCH(economy,C184)))&gt;0)</f>
        <v>0</v>
      </c>
      <c r="L184" s="14" cm="1">
        <f t="array" ref="L184">INT(SUMPRODUCT(--ISNUMBER(SEARCH(healthcare,C184)))&gt;0)</f>
        <v>0</v>
      </c>
      <c r="M184" s="14" cm="1">
        <f t="array" ref="M184">INT(SUMPRODUCT(--ISNUMBER(SEARCH(supreme,C184)))&gt;0)</f>
        <v>0</v>
      </c>
      <c r="N184" s="14" cm="1">
        <f t="array" ref="N184">INT(SUMPRODUCT(--ISNUMBER(SEARCH(covid,C184)))&gt;0)</f>
        <v>0</v>
      </c>
      <c r="O184" s="14" cm="1">
        <f t="array" ref="O184">INT(SUMPRODUCT(--ISNUMBER(SEARCH(violent,C184)))&gt;0)</f>
        <v>0</v>
      </c>
      <c r="P184" s="14" cm="1">
        <f t="array" ref="P184">INT(SUMPRODUCT(--ISNUMBER(SEARCH(foreign,C184)))&gt;0)</f>
        <v>0</v>
      </c>
      <c r="Q184" s="14" cm="1">
        <f t="array" ref="Q184">INT(SUMPRODUCT(--ISNUMBER(SEARCH(gun,C184)))&gt;0)</f>
        <v>0</v>
      </c>
      <c r="R184" s="14" cm="1">
        <f t="array" ref="R184">INT(SUMPRODUCT(--ISNUMBER(SEARCH(race,C184)))&gt;0)</f>
        <v>0</v>
      </c>
      <c r="S184" s="14" cm="1">
        <f t="array" ref="S184">INT(SUMPRODUCT(--ISNUMBER(SEARCH(immigration,C184)))&gt;0)</f>
        <v>0</v>
      </c>
      <c r="T184" s="14" cm="1">
        <f t="array" ref="T184">INT(SUMPRODUCT(--ISNUMBER(SEARCH(econineq,C185)))&gt;0)</f>
        <v>0</v>
      </c>
      <c r="U184" s="14" cm="1">
        <f t="array" ref="U184">INT(SUMPRODUCT(--ISNUMBER(SEARCH(climate,C184)))&gt;0)</f>
        <v>0</v>
      </c>
      <c r="V184" s="14" cm="1">
        <f t="array" ref="V184">INT(SUMPRODUCT(--ISNUMBER(SEARCH(abortion,C184)))&gt;0)</f>
        <v>0</v>
      </c>
      <c r="W184" s="14" cm="1">
        <f t="array" ref="W184">INT(SUMPRODUCT(--ISNUMBER(SEARCH(trump,C184)))&gt;0)</f>
        <v>0</v>
      </c>
      <c r="X184" s="14" cm="1">
        <f t="array" ref="X184">INT(SUMPRODUCT(--ISNUMBER(SEARCH(voting,C184)))&gt;0)</f>
        <v>0</v>
      </c>
      <c r="Y184" s="14" cm="1">
        <f t="array" ref="Y184">INT(SUMPRODUCT(--ISNUMBER(SEARCH(democrattrigger,C184)))&gt;0)</f>
        <v>1</v>
      </c>
      <c r="Z184" s="14" cm="1">
        <f t="array" ref="Z184">INT(SUMPRODUCT(--ISNUMBER(SEARCH(bipartisan,C184)))&gt;0)</f>
        <v>0</v>
      </c>
      <c r="AA184" s="14">
        <f t="shared" si="2"/>
        <v>0</v>
      </c>
      <c r="AB184" s="14"/>
      <c r="AC184" s="30" t="s">
        <v>223</v>
      </c>
      <c r="AD184" s="37" t="s">
        <v>223</v>
      </c>
    </row>
    <row r="185" spans="1:30" x14ac:dyDescent="0.25">
      <c r="A185" s="36">
        <v>4026</v>
      </c>
      <c r="B185" s="14" t="s">
        <v>8075</v>
      </c>
      <c r="C185" s="14" t="s">
        <v>8076</v>
      </c>
      <c r="D185" s="17">
        <v>44124</v>
      </c>
      <c r="E185" s="14" t="s">
        <v>30</v>
      </c>
      <c r="F185" s="14">
        <v>81579</v>
      </c>
      <c r="G185" s="14">
        <v>12543</v>
      </c>
      <c r="H185" s="14">
        <v>18</v>
      </c>
      <c r="I185" s="14">
        <v>9</v>
      </c>
      <c r="J185" s="14" t="s">
        <v>204</v>
      </c>
      <c r="K185" s="14" cm="1">
        <f t="array" ref="K185">INT(SUMPRODUCT(--ISNUMBER(SEARCH(economy,C185)))&gt;0)</f>
        <v>0</v>
      </c>
      <c r="L185" s="14" cm="1">
        <f t="array" ref="L185">INT(SUMPRODUCT(--ISNUMBER(SEARCH(healthcare,C185)))&gt;0)</f>
        <v>0</v>
      </c>
      <c r="M185" s="14" cm="1">
        <f t="array" ref="M185">INT(SUMPRODUCT(--ISNUMBER(SEARCH(supreme,C185)))&gt;0)</f>
        <v>0</v>
      </c>
      <c r="N185" s="14" cm="1">
        <f t="array" ref="N185">INT(SUMPRODUCT(--ISNUMBER(SEARCH(covid,C185)))&gt;0)</f>
        <v>0</v>
      </c>
      <c r="O185" s="14" cm="1">
        <f t="array" ref="O185">INT(SUMPRODUCT(--ISNUMBER(SEARCH(violent,C185)))&gt;0)</f>
        <v>0</v>
      </c>
      <c r="P185" s="14" cm="1">
        <f t="array" ref="P185">INT(SUMPRODUCT(--ISNUMBER(SEARCH(foreign,C185)))&gt;0)</f>
        <v>0</v>
      </c>
      <c r="Q185" s="14" cm="1">
        <f t="array" ref="Q185">INT(SUMPRODUCT(--ISNUMBER(SEARCH(gun,C185)))&gt;0)</f>
        <v>0</v>
      </c>
      <c r="R185" s="14" cm="1">
        <f t="array" ref="R185">INT(SUMPRODUCT(--ISNUMBER(SEARCH(race,C185)))&gt;0)</f>
        <v>0</v>
      </c>
      <c r="S185" s="14" cm="1">
        <f t="array" ref="S185">INT(SUMPRODUCT(--ISNUMBER(SEARCH(immigration,C185)))&gt;0)</f>
        <v>0</v>
      </c>
      <c r="T185" s="14" cm="1">
        <f t="array" ref="T185">INT(SUMPRODUCT(--ISNUMBER(SEARCH(econineq,C186)))&gt;0)</f>
        <v>0</v>
      </c>
      <c r="U185" s="14" cm="1">
        <f t="array" ref="U185">INT(SUMPRODUCT(--ISNUMBER(SEARCH(climate,C185)))&gt;0)</f>
        <v>0</v>
      </c>
      <c r="V185" s="14" cm="1">
        <f t="array" ref="V185">INT(SUMPRODUCT(--ISNUMBER(SEARCH(abortion,C185)))&gt;0)</f>
        <v>0</v>
      </c>
      <c r="W185" s="14" cm="1">
        <f t="array" ref="W185">INT(SUMPRODUCT(--ISNUMBER(SEARCH(trump,C185)))&gt;0)</f>
        <v>0</v>
      </c>
      <c r="X185" s="14" cm="1">
        <f t="array" ref="X185">INT(SUMPRODUCT(--ISNUMBER(SEARCH(voting,C185)))&gt;0)</f>
        <v>0</v>
      </c>
      <c r="Y185" s="14" cm="1">
        <f t="array" ref="Y185">INT(SUMPRODUCT(--ISNUMBER(SEARCH(democrattrigger,C185)))&gt;0)</f>
        <v>0</v>
      </c>
      <c r="Z185" s="14" cm="1">
        <f t="array" ref="Z185">INT(SUMPRODUCT(--ISNUMBER(SEARCH(bipartisan,C185)))&gt;0)</f>
        <v>0</v>
      </c>
      <c r="AA185" s="14">
        <f t="shared" si="2"/>
        <v>1</v>
      </c>
      <c r="AB185" s="14"/>
      <c r="AC185" s="30" t="s">
        <v>223</v>
      </c>
      <c r="AD185" s="37" t="s">
        <v>223</v>
      </c>
    </row>
    <row r="186" spans="1:30" x14ac:dyDescent="0.25">
      <c r="A186" s="36">
        <v>4027</v>
      </c>
      <c r="B186" s="14" t="s">
        <v>8077</v>
      </c>
      <c r="C186" s="14" t="s">
        <v>8078</v>
      </c>
      <c r="D186" s="17">
        <v>44124</v>
      </c>
      <c r="E186" s="14" t="s">
        <v>30</v>
      </c>
      <c r="F186" s="14">
        <v>5982</v>
      </c>
      <c r="G186" s="14">
        <v>1706</v>
      </c>
      <c r="H186" s="14">
        <v>18</v>
      </c>
      <c r="I186" s="14">
        <v>9</v>
      </c>
      <c r="J186" s="14" t="s">
        <v>204</v>
      </c>
      <c r="K186" s="14" cm="1">
        <f t="array" ref="K186">INT(SUMPRODUCT(--ISNUMBER(SEARCH(economy,C186)))&gt;0)</f>
        <v>0</v>
      </c>
      <c r="L186" s="14" cm="1">
        <f t="array" ref="L186">INT(SUMPRODUCT(--ISNUMBER(SEARCH(healthcare,C186)))&gt;0)</f>
        <v>0</v>
      </c>
      <c r="M186" s="14" cm="1">
        <f t="array" ref="M186">INT(SUMPRODUCT(--ISNUMBER(SEARCH(supreme,C186)))&gt;0)</f>
        <v>0</v>
      </c>
      <c r="N186" s="14" cm="1">
        <f t="array" ref="N186">INT(SUMPRODUCT(--ISNUMBER(SEARCH(covid,C186)))&gt;0)</f>
        <v>0</v>
      </c>
      <c r="O186" s="14" cm="1">
        <f t="array" ref="O186">INT(SUMPRODUCT(--ISNUMBER(SEARCH(violent,C186)))&gt;0)</f>
        <v>0</v>
      </c>
      <c r="P186" s="14" cm="1">
        <f t="array" ref="P186">INT(SUMPRODUCT(--ISNUMBER(SEARCH(foreign,C186)))&gt;0)</f>
        <v>0</v>
      </c>
      <c r="Q186" s="14" cm="1">
        <f t="array" ref="Q186">INT(SUMPRODUCT(--ISNUMBER(SEARCH(gun,C186)))&gt;0)</f>
        <v>0</v>
      </c>
      <c r="R186" s="14" cm="1">
        <f t="array" ref="R186">INT(SUMPRODUCT(--ISNUMBER(SEARCH(race,C186)))&gt;0)</f>
        <v>0</v>
      </c>
      <c r="S186" s="14" cm="1">
        <f t="array" ref="S186">INT(SUMPRODUCT(--ISNUMBER(SEARCH(immigration,C186)))&gt;0)</f>
        <v>0</v>
      </c>
      <c r="T186" s="14" cm="1">
        <f t="array" ref="T186">INT(SUMPRODUCT(--ISNUMBER(SEARCH(econineq,C187)))&gt;0)</f>
        <v>0</v>
      </c>
      <c r="U186" s="14" cm="1">
        <f t="array" ref="U186">INT(SUMPRODUCT(--ISNUMBER(SEARCH(climate,C186)))&gt;0)</f>
        <v>0</v>
      </c>
      <c r="V186" s="14" cm="1">
        <f t="array" ref="V186">INT(SUMPRODUCT(--ISNUMBER(SEARCH(abortion,C186)))&gt;0)</f>
        <v>0</v>
      </c>
      <c r="W186" s="14" cm="1">
        <f t="array" ref="W186">INT(SUMPRODUCT(--ISNUMBER(SEARCH(trump,C186)))&gt;0)</f>
        <v>0</v>
      </c>
      <c r="X186" s="14" cm="1">
        <f t="array" ref="X186">INT(SUMPRODUCT(--ISNUMBER(SEARCH(voting,C186)))&gt;0)</f>
        <v>0</v>
      </c>
      <c r="Y186" s="14" cm="1">
        <f t="array" ref="Y186">INT(SUMPRODUCT(--ISNUMBER(SEARCH(democrattrigger,C186)))&gt;0)</f>
        <v>0</v>
      </c>
      <c r="Z186" s="14" cm="1">
        <f t="array" ref="Z186">INT(SUMPRODUCT(--ISNUMBER(SEARCH(bipartisan,C186)))&gt;0)</f>
        <v>0</v>
      </c>
      <c r="AA186" s="14">
        <f t="shared" si="2"/>
        <v>1</v>
      </c>
      <c r="AB186" s="14"/>
      <c r="AC186" s="30" t="s">
        <v>223</v>
      </c>
      <c r="AD186" s="37" t="s">
        <v>223</v>
      </c>
    </row>
    <row r="187" spans="1:30" x14ac:dyDescent="0.25">
      <c r="A187" s="36">
        <v>4028</v>
      </c>
      <c r="B187" s="14" t="s">
        <v>8079</v>
      </c>
      <c r="C187" s="14" t="s">
        <v>8080</v>
      </c>
      <c r="D187" s="17">
        <v>44124</v>
      </c>
      <c r="E187" s="14" t="s">
        <v>30</v>
      </c>
      <c r="F187" s="14">
        <v>5960</v>
      </c>
      <c r="G187" s="14">
        <v>1142</v>
      </c>
      <c r="H187" s="14">
        <v>18</v>
      </c>
      <c r="I187" s="14">
        <v>9</v>
      </c>
      <c r="J187" s="14" t="s">
        <v>204</v>
      </c>
      <c r="K187" s="14" cm="1">
        <f t="array" ref="K187">INT(SUMPRODUCT(--ISNUMBER(SEARCH(economy,C187)))&gt;0)</f>
        <v>0</v>
      </c>
      <c r="L187" s="14" cm="1">
        <f t="array" ref="L187">INT(SUMPRODUCT(--ISNUMBER(SEARCH(healthcare,C187)))&gt;0)</f>
        <v>0</v>
      </c>
      <c r="M187" s="14" cm="1">
        <f t="array" ref="M187">INT(SUMPRODUCT(--ISNUMBER(SEARCH(supreme,C187)))&gt;0)</f>
        <v>0</v>
      </c>
      <c r="N187" s="14" cm="1">
        <f t="array" ref="N187">INT(SUMPRODUCT(--ISNUMBER(SEARCH(covid,C187)))&gt;0)</f>
        <v>0</v>
      </c>
      <c r="O187" s="14" cm="1">
        <f t="array" ref="O187">INT(SUMPRODUCT(--ISNUMBER(SEARCH(violent,C187)))&gt;0)</f>
        <v>0</v>
      </c>
      <c r="P187" s="14" cm="1">
        <f t="array" ref="P187">INT(SUMPRODUCT(--ISNUMBER(SEARCH(foreign,C187)))&gt;0)</f>
        <v>0</v>
      </c>
      <c r="Q187" s="14" cm="1">
        <f t="array" ref="Q187">INT(SUMPRODUCT(--ISNUMBER(SEARCH(gun,C187)))&gt;0)</f>
        <v>0</v>
      </c>
      <c r="R187" s="14" cm="1">
        <f t="array" ref="R187">INT(SUMPRODUCT(--ISNUMBER(SEARCH(race,C187)))&gt;0)</f>
        <v>0</v>
      </c>
      <c r="S187" s="14" cm="1">
        <f t="array" ref="S187">INT(SUMPRODUCT(--ISNUMBER(SEARCH(immigration,C187)))&gt;0)</f>
        <v>0</v>
      </c>
      <c r="T187" s="14" cm="1">
        <f t="array" ref="T187">INT(SUMPRODUCT(--ISNUMBER(SEARCH(econineq,C188)))&gt;0)</f>
        <v>0</v>
      </c>
      <c r="U187" s="14" cm="1">
        <f t="array" ref="U187">INT(SUMPRODUCT(--ISNUMBER(SEARCH(climate,C187)))&gt;0)</f>
        <v>0</v>
      </c>
      <c r="V187" s="14" cm="1">
        <f t="array" ref="V187">INT(SUMPRODUCT(--ISNUMBER(SEARCH(abortion,C187)))&gt;0)</f>
        <v>0</v>
      </c>
      <c r="W187" s="14" cm="1">
        <f t="array" ref="W187">INT(SUMPRODUCT(--ISNUMBER(SEARCH(trump,C187)))&gt;0)</f>
        <v>0</v>
      </c>
      <c r="X187" s="14" cm="1">
        <f t="array" ref="X187">INT(SUMPRODUCT(--ISNUMBER(SEARCH(voting,C187)))&gt;0)</f>
        <v>0</v>
      </c>
      <c r="Y187" s="14" cm="1">
        <f t="array" ref="Y187">INT(SUMPRODUCT(--ISNUMBER(SEARCH(democrattrigger,C187)))&gt;0)</f>
        <v>0</v>
      </c>
      <c r="Z187" s="14" cm="1">
        <f t="array" ref="Z187">INT(SUMPRODUCT(--ISNUMBER(SEARCH(bipartisan,C187)))&gt;0)</f>
        <v>0</v>
      </c>
      <c r="AA187" s="14">
        <f t="shared" si="2"/>
        <v>1</v>
      </c>
      <c r="AB187" s="14"/>
      <c r="AC187" s="30" t="s">
        <v>223</v>
      </c>
      <c r="AD187" s="37" t="s">
        <v>223</v>
      </c>
    </row>
    <row r="188" spans="1:30" x14ac:dyDescent="0.25">
      <c r="A188" s="36">
        <v>4029</v>
      </c>
      <c r="B188" s="14" t="s">
        <v>8081</v>
      </c>
      <c r="C188" s="14" t="s">
        <v>8082</v>
      </c>
      <c r="D188" s="17">
        <v>44124</v>
      </c>
      <c r="E188" s="14" t="s">
        <v>30</v>
      </c>
      <c r="F188" s="14">
        <v>6615</v>
      </c>
      <c r="G188" s="14">
        <v>3781</v>
      </c>
      <c r="H188" s="14">
        <v>18</v>
      </c>
      <c r="I188" s="14">
        <v>9</v>
      </c>
      <c r="J188" s="14" t="s">
        <v>204</v>
      </c>
      <c r="K188" s="14" cm="1">
        <f t="array" ref="K188">INT(SUMPRODUCT(--ISNUMBER(SEARCH(economy,C188)))&gt;0)</f>
        <v>0</v>
      </c>
      <c r="L188" s="14" cm="1">
        <f t="array" ref="L188">INT(SUMPRODUCT(--ISNUMBER(SEARCH(healthcare,C188)))&gt;0)</f>
        <v>0</v>
      </c>
      <c r="M188" s="14" cm="1">
        <f t="array" ref="M188">INT(SUMPRODUCT(--ISNUMBER(SEARCH(supreme,C188)))&gt;0)</f>
        <v>0</v>
      </c>
      <c r="N188" s="14" cm="1">
        <f t="array" ref="N188">INT(SUMPRODUCT(--ISNUMBER(SEARCH(covid,C188)))&gt;0)</f>
        <v>0</v>
      </c>
      <c r="O188" s="14" cm="1">
        <f t="array" ref="O188">INT(SUMPRODUCT(--ISNUMBER(SEARCH(violent,C188)))&gt;0)</f>
        <v>0</v>
      </c>
      <c r="P188" s="14" cm="1">
        <f t="array" ref="P188">INT(SUMPRODUCT(--ISNUMBER(SEARCH(foreign,C188)))&gt;0)</f>
        <v>0</v>
      </c>
      <c r="Q188" s="14" cm="1">
        <f t="array" ref="Q188">INT(SUMPRODUCT(--ISNUMBER(SEARCH(gun,C188)))&gt;0)</f>
        <v>0</v>
      </c>
      <c r="R188" s="14" cm="1">
        <f t="array" ref="R188">INT(SUMPRODUCT(--ISNUMBER(SEARCH(race,C188)))&gt;0)</f>
        <v>0</v>
      </c>
      <c r="S188" s="14" cm="1">
        <f t="array" ref="S188">INT(SUMPRODUCT(--ISNUMBER(SEARCH(immigration,C188)))&gt;0)</f>
        <v>0</v>
      </c>
      <c r="T188" s="14" cm="1">
        <f t="array" ref="T188">INT(SUMPRODUCT(--ISNUMBER(SEARCH(econineq,C189)))&gt;0)</f>
        <v>0</v>
      </c>
      <c r="U188" s="14" cm="1">
        <f t="array" ref="U188">INT(SUMPRODUCT(--ISNUMBER(SEARCH(climate,C188)))&gt;0)</f>
        <v>0</v>
      </c>
      <c r="V188" s="14" cm="1">
        <f t="array" ref="V188">INT(SUMPRODUCT(--ISNUMBER(SEARCH(abortion,C188)))&gt;0)</f>
        <v>0</v>
      </c>
      <c r="W188" s="14" cm="1">
        <f t="array" ref="W188">INT(SUMPRODUCT(--ISNUMBER(SEARCH(trump,C188)))&gt;0)</f>
        <v>0</v>
      </c>
      <c r="X188" s="14" cm="1">
        <f t="array" ref="X188">INT(SUMPRODUCT(--ISNUMBER(SEARCH(voting,C188)))&gt;0)</f>
        <v>0</v>
      </c>
      <c r="Y188" s="14" cm="1">
        <f t="array" ref="Y188">INT(SUMPRODUCT(--ISNUMBER(SEARCH(democrattrigger,C188)))&gt;0)</f>
        <v>1</v>
      </c>
      <c r="Z188" s="14" cm="1">
        <f t="array" ref="Z188">INT(SUMPRODUCT(--ISNUMBER(SEARCH(bipartisan,C188)))&gt;0)</f>
        <v>0</v>
      </c>
      <c r="AA188" s="14">
        <f t="shared" si="2"/>
        <v>0</v>
      </c>
      <c r="AB188" s="14"/>
      <c r="AC188" s="30" t="s">
        <v>223</v>
      </c>
      <c r="AD188" s="37" t="s">
        <v>223</v>
      </c>
    </row>
    <row r="189" spans="1:30" x14ac:dyDescent="0.25">
      <c r="A189" s="36">
        <v>4030</v>
      </c>
      <c r="B189" s="14" t="s">
        <v>8083</v>
      </c>
      <c r="C189" s="14" t="s">
        <v>8084</v>
      </c>
      <c r="D189" s="17">
        <v>44124</v>
      </c>
      <c r="E189" s="14" t="s">
        <v>30</v>
      </c>
      <c r="F189" s="14">
        <v>509</v>
      </c>
      <c r="G189" s="14">
        <v>252</v>
      </c>
      <c r="H189" s="14">
        <v>18</v>
      </c>
      <c r="I189" s="14">
        <v>9</v>
      </c>
      <c r="J189" s="14" t="s">
        <v>204</v>
      </c>
      <c r="K189" s="14" cm="1">
        <f t="array" ref="K189">INT(SUMPRODUCT(--ISNUMBER(SEARCH(economy,C189)))&gt;0)</f>
        <v>0</v>
      </c>
      <c r="L189" s="14" cm="1">
        <f t="array" ref="L189">INT(SUMPRODUCT(--ISNUMBER(SEARCH(healthcare,C189)))&gt;0)</f>
        <v>0</v>
      </c>
      <c r="M189" s="14" cm="1">
        <f t="array" ref="M189">INT(SUMPRODUCT(--ISNUMBER(SEARCH(supreme,C189)))&gt;0)</f>
        <v>0</v>
      </c>
      <c r="N189" s="14" cm="1">
        <f t="array" ref="N189">INT(SUMPRODUCT(--ISNUMBER(SEARCH(covid,C189)))&gt;0)</f>
        <v>0</v>
      </c>
      <c r="O189" s="14" cm="1">
        <f t="array" ref="O189">INT(SUMPRODUCT(--ISNUMBER(SEARCH(violent,C189)))&gt;0)</f>
        <v>0</v>
      </c>
      <c r="P189" s="14" cm="1">
        <f t="array" ref="P189">INT(SUMPRODUCT(--ISNUMBER(SEARCH(foreign,C189)))&gt;0)</f>
        <v>0</v>
      </c>
      <c r="Q189" s="14" cm="1">
        <f t="array" ref="Q189">INT(SUMPRODUCT(--ISNUMBER(SEARCH(gun,C189)))&gt;0)</f>
        <v>0</v>
      </c>
      <c r="R189" s="14" cm="1">
        <f t="array" ref="R189">INT(SUMPRODUCT(--ISNUMBER(SEARCH(race,C189)))&gt;0)</f>
        <v>1</v>
      </c>
      <c r="S189" s="14" cm="1">
        <f t="array" ref="S189">INT(SUMPRODUCT(--ISNUMBER(SEARCH(immigration,C189)))&gt;0)</f>
        <v>1</v>
      </c>
      <c r="T189" s="14" cm="1">
        <f t="array" ref="T189">INT(SUMPRODUCT(--ISNUMBER(SEARCH(econineq,C190)))&gt;0)</f>
        <v>0</v>
      </c>
      <c r="U189" s="14" cm="1">
        <f t="array" ref="U189">INT(SUMPRODUCT(--ISNUMBER(SEARCH(climate,C189)))&gt;0)</f>
        <v>0</v>
      </c>
      <c r="V189" s="14" cm="1">
        <f t="array" ref="V189">INT(SUMPRODUCT(--ISNUMBER(SEARCH(abortion,C189)))&gt;0)</f>
        <v>0</v>
      </c>
      <c r="W189" s="14" cm="1">
        <f t="array" ref="W189">INT(SUMPRODUCT(--ISNUMBER(SEARCH(trump,C189)))&gt;0)</f>
        <v>0</v>
      </c>
      <c r="X189" s="14" cm="1">
        <f t="array" ref="X189">INT(SUMPRODUCT(--ISNUMBER(SEARCH(voting,C189)))&gt;0)</f>
        <v>1</v>
      </c>
      <c r="Y189" s="14" cm="1">
        <f t="array" ref="Y189">INT(SUMPRODUCT(--ISNUMBER(SEARCH(democrattrigger,C189)))&gt;0)</f>
        <v>0</v>
      </c>
      <c r="Z189" s="14" cm="1">
        <f t="array" ref="Z189">INT(SUMPRODUCT(--ISNUMBER(SEARCH(bipartisan,C189)))&gt;0)</f>
        <v>0</v>
      </c>
      <c r="AA189" s="14">
        <f t="shared" si="2"/>
        <v>0</v>
      </c>
      <c r="AB189" s="14"/>
      <c r="AC189" s="30" t="s">
        <v>223</v>
      </c>
      <c r="AD189" s="37" t="s">
        <v>223</v>
      </c>
    </row>
    <row r="190" spans="1:30" x14ac:dyDescent="0.25">
      <c r="A190" s="36">
        <v>4031</v>
      </c>
      <c r="B190" s="14" t="s">
        <v>8085</v>
      </c>
      <c r="C190" s="14" t="s">
        <v>8086</v>
      </c>
      <c r="D190" s="17">
        <v>44123</v>
      </c>
      <c r="E190" s="14" t="s">
        <v>30</v>
      </c>
      <c r="F190" s="14">
        <v>692</v>
      </c>
      <c r="G190" s="14">
        <v>206</v>
      </c>
      <c r="H190" s="14">
        <v>18</v>
      </c>
      <c r="I190" s="14">
        <v>9</v>
      </c>
      <c r="J190" s="14" t="s">
        <v>204</v>
      </c>
      <c r="K190" s="14" cm="1">
        <f t="array" ref="K190">INT(SUMPRODUCT(--ISNUMBER(SEARCH(economy,C190)))&gt;0)</f>
        <v>0</v>
      </c>
      <c r="L190" s="14" cm="1">
        <f t="array" ref="L190">INT(SUMPRODUCT(--ISNUMBER(SEARCH(healthcare,C190)))&gt;0)</f>
        <v>0</v>
      </c>
      <c r="M190" s="14" cm="1">
        <f t="array" ref="M190">INT(SUMPRODUCT(--ISNUMBER(SEARCH(supreme,C190)))&gt;0)</f>
        <v>0</v>
      </c>
      <c r="N190" s="14" cm="1">
        <f t="array" ref="N190">INT(SUMPRODUCT(--ISNUMBER(SEARCH(covid,C190)))&gt;0)</f>
        <v>0</v>
      </c>
      <c r="O190" s="14" cm="1">
        <f t="array" ref="O190">INT(SUMPRODUCT(--ISNUMBER(SEARCH(violent,C190)))&gt;0)</f>
        <v>0</v>
      </c>
      <c r="P190" s="14" cm="1">
        <f t="array" ref="P190">INT(SUMPRODUCT(--ISNUMBER(SEARCH(foreign,C190)))&gt;0)</f>
        <v>0</v>
      </c>
      <c r="Q190" s="14" cm="1">
        <f t="array" ref="Q190">INT(SUMPRODUCT(--ISNUMBER(SEARCH(gun,C190)))&gt;0)</f>
        <v>0</v>
      </c>
      <c r="R190" s="14" cm="1">
        <f t="array" ref="R190">INT(SUMPRODUCT(--ISNUMBER(SEARCH(race,C190)))&gt;0)</f>
        <v>0</v>
      </c>
      <c r="S190" s="14" cm="1">
        <f t="array" ref="S190">INT(SUMPRODUCT(--ISNUMBER(SEARCH(immigration,C190)))&gt;0)</f>
        <v>0</v>
      </c>
      <c r="T190" s="14" cm="1">
        <f t="array" ref="T190">INT(SUMPRODUCT(--ISNUMBER(SEARCH(econineq,C191)))&gt;0)</f>
        <v>0</v>
      </c>
      <c r="U190" s="14" cm="1">
        <f t="array" ref="U190">INT(SUMPRODUCT(--ISNUMBER(SEARCH(climate,C190)))&gt;0)</f>
        <v>0</v>
      </c>
      <c r="V190" s="14" cm="1">
        <f t="array" ref="V190">INT(SUMPRODUCT(--ISNUMBER(SEARCH(abortion,C190)))&gt;0)</f>
        <v>0</v>
      </c>
      <c r="W190" s="14" cm="1">
        <f t="array" ref="W190">INT(SUMPRODUCT(--ISNUMBER(SEARCH(trump,C190)))&gt;0)</f>
        <v>0</v>
      </c>
      <c r="X190" s="14" cm="1">
        <f t="array" ref="X190">INT(SUMPRODUCT(--ISNUMBER(SEARCH(voting,C190)))&gt;0)</f>
        <v>1</v>
      </c>
      <c r="Y190" s="14" cm="1">
        <f t="array" ref="Y190">INT(SUMPRODUCT(--ISNUMBER(SEARCH(democrattrigger,C190)))&gt;0)</f>
        <v>0</v>
      </c>
      <c r="Z190" s="14" cm="1">
        <f t="array" ref="Z190">INT(SUMPRODUCT(--ISNUMBER(SEARCH(bipartisan,C190)))&gt;0)</f>
        <v>0</v>
      </c>
      <c r="AA190" s="14">
        <f t="shared" si="2"/>
        <v>0</v>
      </c>
      <c r="AB190" s="14"/>
      <c r="AC190" s="30" t="s">
        <v>223</v>
      </c>
      <c r="AD190" s="37" t="s">
        <v>223</v>
      </c>
    </row>
    <row r="191" spans="1:30" x14ac:dyDescent="0.25">
      <c r="A191" s="36">
        <v>4032</v>
      </c>
      <c r="B191" s="14" t="s">
        <v>8087</v>
      </c>
      <c r="C191" s="14" t="s">
        <v>8088</v>
      </c>
      <c r="D191" s="17">
        <v>44123</v>
      </c>
      <c r="E191" s="14" t="s">
        <v>30</v>
      </c>
      <c r="F191" s="14">
        <v>811</v>
      </c>
      <c r="G191" s="14">
        <v>335</v>
      </c>
      <c r="H191" s="14">
        <v>18</v>
      </c>
      <c r="I191" s="14">
        <v>9</v>
      </c>
      <c r="J191" s="14" t="s">
        <v>204</v>
      </c>
      <c r="K191" s="14" cm="1">
        <f t="array" ref="K191">INT(SUMPRODUCT(--ISNUMBER(SEARCH(economy,C191)))&gt;0)</f>
        <v>0</v>
      </c>
      <c r="L191" s="14" cm="1">
        <f t="array" ref="L191">INT(SUMPRODUCT(--ISNUMBER(SEARCH(healthcare,C191)))&gt;0)</f>
        <v>0</v>
      </c>
      <c r="M191" s="14" cm="1">
        <f t="array" ref="M191">INT(SUMPRODUCT(--ISNUMBER(SEARCH(supreme,C191)))&gt;0)</f>
        <v>0</v>
      </c>
      <c r="N191" s="14" cm="1">
        <f t="array" ref="N191">INT(SUMPRODUCT(--ISNUMBER(SEARCH(covid,C191)))&gt;0)</f>
        <v>0</v>
      </c>
      <c r="O191" s="14" cm="1">
        <f t="array" ref="O191">INT(SUMPRODUCT(--ISNUMBER(SEARCH(violent,C191)))&gt;0)</f>
        <v>0</v>
      </c>
      <c r="P191" s="14" cm="1">
        <f t="array" ref="P191">INT(SUMPRODUCT(--ISNUMBER(SEARCH(foreign,C191)))&gt;0)</f>
        <v>0</v>
      </c>
      <c r="Q191" s="14" cm="1">
        <f t="array" ref="Q191">INT(SUMPRODUCT(--ISNUMBER(SEARCH(gun,C191)))&gt;0)</f>
        <v>1</v>
      </c>
      <c r="R191" s="14" cm="1">
        <f t="array" ref="R191">INT(SUMPRODUCT(--ISNUMBER(SEARCH(race,C191)))&gt;0)</f>
        <v>0</v>
      </c>
      <c r="S191" s="14" cm="1">
        <f t="array" ref="S191">INT(SUMPRODUCT(--ISNUMBER(SEARCH(immigration,C191)))&gt;0)</f>
        <v>0</v>
      </c>
      <c r="T191" s="14" cm="1">
        <f t="array" ref="T191">INT(SUMPRODUCT(--ISNUMBER(SEARCH(econineq,C192)))&gt;0)</f>
        <v>0</v>
      </c>
      <c r="U191" s="14" cm="1">
        <f t="array" ref="U191">INT(SUMPRODUCT(--ISNUMBER(SEARCH(climate,C191)))&gt;0)</f>
        <v>0</v>
      </c>
      <c r="V191" s="14" cm="1">
        <f t="array" ref="V191">INT(SUMPRODUCT(--ISNUMBER(SEARCH(abortion,C191)))&gt;0)</f>
        <v>0</v>
      </c>
      <c r="W191" s="14" cm="1">
        <f t="array" ref="W191">INT(SUMPRODUCT(--ISNUMBER(SEARCH(trump,C191)))&gt;0)</f>
        <v>0</v>
      </c>
      <c r="X191" s="14" cm="1">
        <f t="array" ref="X191">INT(SUMPRODUCT(--ISNUMBER(SEARCH(voting,C191)))&gt;0)</f>
        <v>1</v>
      </c>
      <c r="Y191" s="14" cm="1">
        <f t="array" ref="Y191">INT(SUMPRODUCT(--ISNUMBER(SEARCH(democrattrigger,C191)))&gt;0)</f>
        <v>0</v>
      </c>
      <c r="Z191" s="14" cm="1">
        <f t="array" ref="Z191">INT(SUMPRODUCT(--ISNUMBER(SEARCH(bipartisan,C191)))&gt;0)</f>
        <v>0</v>
      </c>
      <c r="AA191" s="14">
        <f t="shared" si="2"/>
        <v>0</v>
      </c>
      <c r="AB191" s="14"/>
      <c r="AC191" s="30" t="s">
        <v>223</v>
      </c>
      <c r="AD191" s="37" t="s">
        <v>223</v>
      </c>
    </row>
    <row r="192" spans="1:30" x14ac:dyDescent="0.25">
      <c r="A192" s="36">
        <v>4033</v>
      </c>
      <c r="B192" s="14" t="s">
        <v>8089</v>
      </c>
      <c r="C192" s="14" t="s">
        <v>8090</v>
      </c>
      <c r="D192" s="17">
        <v>44123</v>
      </c>
      <c r="E192" s="14" t="s">
        <v>30</v>
      </c>
      <c r="F192" s="14">
        <v>709</v>
      </c>
      <c r="G192" s="14">
        <v>278</v>
      </c>
      <c r="H192" s="14">
        <v>18</v>
      </c>
      <c r="I192" s="14">
        <v>9</v>
      </c>
      <c r="J192" s="14" t="s">
        <v>204</v>
      </c>
      <c r="K192" s="14" cm="1">
        <f t="array" ref="K192">INT(SUMPRODUCT(--ISNUMBER(SEARCH(economy,C192)))&gt;0)</f>
        <v>0</v>
      </c>
      <c r="L192" s="14" cm="1">
        <f t="array" ref="L192">INT(SUMPRODUCT(--ISNUMBER(SEARCH(healthcare,C192)))&gt;0)</f>
        <v>0</v>
      </c>
      <c r="M192" s="14" cm="1">
        <f t="array" ref="M192">INT(SUMPRODUCT(--ISNUMBER(SEARCH(supreme,C192)))&gt;0)</f>
        <v>0</v>
      </c>
      <c r="N192" s="14" cm="1">
        <f t="array" ref="N192">INT(SUMPRODUCT(--ISNUMBER(SEARCH(covid,C192)))&gt;0)</f>
        <v>0</v>
      </c>
      <c r="O192" s="14" cm="1">
        <f t="array" ref="O192">INT(SUMPRODUCT(--ISNUMBER(SEARCH(violent,C192)))&gt;0)</f>
        <v>0</v>
      </c>
      <c r="P192" s="14" cm="1">
        <f t="array" ref="P192">INT(SUMPRODUCT(--ISNUMBER(SEARCH(foreign,C192)))&gt;0)</f>
        <v>0</v>
      </c>
      <c r="Q192" s="14" cm="1">
        <f t="array" ref="Q192">INT(SUMPRODUCT(--ISNUMBER(SEARCH(gun,C192)))&gt;0)</f>
        <v>0</v>
      </c>
      <c r="R192" s="14" cm="1">
        <f t="array" ref="R192">INT(SUMPRODUCT(--ISNUMBER(SEARCH(race,C192)))&gt;0)</f>
        <v>0</v>
      </c>
      <c r="S192" s="14" cm="1">
        <f t="array" ref="S192">INT(SUMPRODUCT(--ISNUMBER(SEARCH(immigration,C192)))&gt;0)</f>
        <v>0</v>
      </c>
      <c r="T192" s="14" cm="1">
        <f t="array" ref="T192">INT(SUMPRODUCT(--ISNUMBER(SEARCH(econineq,C193)))&gt;0)</f>
        <v>0</v>
      </c>
      <c r="U192" s="14" cm="1">
        <f t="array" ref="U192">INT(SUMPRODUCT(--ISNUMBER(SEARCH(climate,C192)))&gt;0)</f>
        <v>0</v>
      </c>
      <c r="V192" s="14" cm="1">
        <f t="array" ref="V192">INT(SUMPRODUCT(--ISNUMBER(SEARCH(abortion,C192)))&gt;0)</f>
        <v>0</v>
      </c>
      <c r="W192" s="14" cm="1">
        <f t="array" ref="W192">INT(SUMPRODUCT(--ISNUMBER(SEARCH(trump,C192)))&gt;0)</f>
        <v>0</v>
      </c>
      <c r="X192" s="14" cm="1">
        <f t="array" ref="X192">INT(SUMPRODUCT(--ISNUMBER(SEARCH(voting,C192)))&gt;0)</f>
        <v>1</v>
      </c>
      <c r="Y192" s="14" cm="1">
        <f t="array" ref="Y192">INT(SUMPRODUCT(--ISNUMBER(SEARCH(democrattrigger,C192)))&gt;0)</f>
        <v>0</v>
      </c>
      <c r="Z192" s="14" cm="1">
        <f t="array" ref="Z192">INT(SUMPRODUCT(--ISNUMBER(SEARCH(bipartisan,C192)))&gt;0)</f>
        <v>0</v>
      </c>
      <c r="AA192" s="14">
        <f t="shared" si="2"/>
        <v>0</v>
      </c>
      <c r="AB192" s="14"/>
      <c r="AC192" s="30">
        <v>1</v>
      </c>
      <c r="AD192" s="37">
        <v>0</v>
      </c>
    </row>
    <row r="193" spans="1:30" x14ac:dyDescent="0.25">
      <c r="A193" s="36">
        <v>4034</v>
      </c>
      <c r="B193" s="14" t="s">
        <v>8091</v>
      </c>
      <c r="C193" s="14" t="s">
        <v>8092</v>
      </c>
      <c r="D193" s="17">
        <v>44123</v>
      </c>
      <c r="E193" s="14" t="s">
        <v>30</v>
      </c>
      <c r="F193" s="14">
        <v>15994</v>
      </c>
      <c r="G193" s="14">
        <v>5454</v>
      </c>
      <c r="H193" s="14">
        <v>18</v>
      </c>
      <c r="I193" s="14">
        <v>9</v>
      </c>
      <c r="J193" s="14" t="s">
        <v>204</v>
      </c>
      <c r="K193" s="14" cm="1">
        <f t="array" ref="K193">INT(SUMPRODUCT(--ISNUMBER(SEARCH(economy,C193)))&gt;0)</f>
        <v>0</v>
      </c>
      <c r="L193" s="14" cm="1">
        <f t="array" ref="L193">INT(SUMPRODUCT(--ISNUMBER(SEARCH(healthcare,C193)))&gt;0)</f>
        <v>0</v>
      </c>
      <c r="M193" s="14" cm="1">
        <f t="array" ref="M193">INT(SUMPRODUCT(--ISNUMBER(SEARCH(supreme,C193)))&gt;0)</f>
        <v>0</v>
      </c>
      <c r="N193" s="14" cm="1">
        <f t="array" ref="N193">INT(SUMPRODUCT(--ISNUMBER(SEARCH(covid,C193)))&gt;0)</f>
        <v>0</v>
      </c>
      <c r="O193" s="14" cm="1">
        <f t="array" ref="O193">INT(SUMPRODUCT(--ISNUMBER(SEARCH(violent,C193)))&gt;0)</f>
        <v>0</v>
      </c>
      <c r="P193" s="14" cm="1">
        <f t="array" ref="P193">INT(SUMPRODUCT(--ISNUMBER(SEARCH(foreign,C193)))&gt;0)</f>
        <v>0</v>
      </c>
      <c r="Q193" s="14" cm="1">
        <f t="array" ref="Q193">INT(SUMPRODUCT(--ISNUMBER(SEARCH(gun,C193)))&gt;0)</f>
        <v>0</v>
      </c>
      <c r="R193" s="14" cm="1">
        <f t="array" ref="R193">INT(SUMPRODUCT(--ISNUMBER(SEARCH(race,C193)))&gt;0)</f>
        <v>0</v>
      </c>
      <c r="S193" s="14" cm="1">
        <f t="array" ref="S193">INT(SUMPRODUCT(--ISNUMBER(SEARCH(immigration,C193)))&gt;0)</f>
        <v>0</v>
      </c>
      <c r="T193" s="14" cm="1">
        <f t="array" ref="T193">INT(SUMPRODUCT(--ISNUMBER(SEARCH(econineq,C194)))&gt;0)</f>
        <v>0</v>
      </c>
      <c r="U193" s="14" cm="1">
        <f t="array" ref="U193">INT(SUMPRODUCT(--ISNUMBER(SEARCH(climate,C193)))&gt;0)</f>
        <v>0</v>
      </c>
      <c r="V193" s="14" cm="1">
        <f t="array" ref="V193">INT(SUMPRODUCT(--ISNUMBER(SEARCH(abortion,C193)))&gt;0)</f>
        <v>0</v>
      </c>
      <c r="W193" s="14" cm="1">
        <f t="array" ref="W193">INT(SUMPRODUCT(--ISNUMBER(SEARCH(trump,C193)))&gt;0)</f>
        <v>1</v>
      </c>
      <c r="X193" s="14" cm="1">
        <f t="array" ref="X193">INT(SUMPRODUCT(--ISNUMBER(SEARCH(voting,C193)))&gt;0)</f>
        <v>1</v>
      </c>
      <c r="Y193" s="14" cm="1">
        <f t="array" ref="Y193">INT(SUMPRODUCT(--ISNUMBER(SEARCH(democrattrigger,C193)))&gt;0)</f>
        <v>1</v>
      </c>
      <c r="Z193" s="14" cm="1">
        <f t="array" ref="Z193">INT(SUMPRODUCT(--ISNUMBER(SEARCH(bipartisan,C193)))&gt;0)</f>
        <v>0</v>
      </c>
      <c r="AA193" s="14">
        <f t="shared" si="2"/>
        <v>0</v>
      </c>
      <c r="AB193" s="14"/>
      <c r="AC193" s="30" t="s">
        <v>223</v>
      </c>
      <c r="AD193" s="37" t="s">
        <v>223</v>
      </c>
    </row>
    <row r="194" spans="1:30" x14ac:dyDescent="0.25">
      <c r="A194" s="36">
        <v>4035</v>
      </c>
      <c r="B194" s="14" t="s">
        <v>8093</v>
      </c>
      <c r="C194" s="14" t="s">
        <v>8094</v>
      </c>
      <c r="D194" s="17">
        <v>44123</v>
      </c>
      <c r="E194" s="14" t="s">
        <v>30</v>
      </c>
      <c r="F194" s="14">
        <v>705</v>
      </c>
      <c r="G194" s="14">
        <v>176</v>
      </c>
      <c r="H194" s="14">
        <v>18</v>
      </c>
      <c r="I194" s="14">
        <v>9</v>
      </c>
      <c r="J194" s="14" t="s">
        <v>204</v>
      </c>
      <c r="K194" s="14" cm="1">
        <f t="array" ref="K194">INT(SUMPRODUCT(--ISNUMBER(SEARCH(economy,C194)))&gt;0)</f>
        <v>0</v>
      </c>
      <c r="L194" s="14" cm="1">
        <f t="array" ref="L194">INT(SUMPRODUCT(--ISNUMBER(SEARCH(healthcare,C194)))&gt;0)</f>
        <v>0</v>
      </c>
      <c r="M194" s="14" cm="1">
        <f t="array" ref="M194">INT(SUMPRODUCT(--ISNUMBER(SEARCH(supreme,C194)))&gt;0)</f>
        <v>0</v>
      </c>
      <c r="N194" s="14" cm="1">
        <f t="array" ref="N194">INT(SUMPRODUCT(--ISNUMBER(SEARCH(covid,C194)))&gt;0)</f>
        <v>0</v>
      </c>
      <c r="O194" s="14" cm="1">
        <f t="array" ref="O194">INT(SUMPRODUCT(--ISNUMBER(SEARCH(violent,C194)))&gt;0)</f>
        <v>0</v>
      </c>
      <c r="P194" s="14" cm="1">
        <f t="array" ref="P194">INT(SUMPRODUCT(--ISNUMBER(SEARCH(foreign,C194)))&gt;0)</f>
        <v>0</v>
      </c>
      <c r="Q194" s="14" cm="1">
        <f t="array" ref="Q194">INT(SUMPRODUCT(--ISNUMBER(SEARCH(gun,C194)))&gt;0)</f>
        <v>0</v>
      </c>
      <c r="R194" s="14" cm="1">
        <f t="array" ref="R194">INT(SUMPRODUCT(--ISNUMBER(SEARCH(race,C194)))&gt;0)</f>
        <v>0</v>
      </c>
      <c r="S194" s="14" cm="1">
        <f t="array" ref="S194">INT(SUMPRODUCT(--ISNUMBER(SEARCH(immigration,C194)))&gt;0)</f>
        <v>0</v>
      </c>
      <c r="T194" s="14" cm="1">
        <f t="array" ref="T194">INT(SUMPRODUCT(--ISNUMBER(SEARCH(econineq,C195)))&gt;0)</f>
        <v>0</v>
      </c>
      <c r="U194" s="14" cm="1">
        <f t="array" ref="U194">INT(SUMPRODUCT(--ISNUMBER(SEARCH(climate,C194)))&gt;0)</f>
        <v>0</v>
      </c>
      <c r="V194" s="14" cm="1">
        <f t="array" ref="V194">INT(SUMPRODUCT(--ISNUMBER(SEARCH(abortion,C194)))&gt;0)</f>
        <v>0</v>
      </c>
      <c r="W194" s="14" cm="1">
        <f t="array" ref="W194">INT(SUMPRODUCT(--ISNUMBER(SEARCH(trump,C194)))&gt;0)</f>
        <v>0</v>
      </c>
      <c r="X194" s="14" cm="1">
        <f t="array" ref="X194">INT(SUMPRODUCT(--ISNUMBER(SEARCH(voting,C194)))&gt;0)</f>
        <v>1</v>
      </c>
      <c r="Y194" s="14" cm="1">
        <f t="array" ref="Y194">INT(SUMPRODUCT(--ISNUMBER(SEARCH(democrattrigger,C194)))&gt;0)</f>
        <v>0</v>
      </c>
      <c r="Z194" s="14" cm="1">
        <f t="array" ref="Z194">INT(SUMPRODUCT(--ISNUMBER(SEARCH(bipartisan,C194)))&gt;0)</f>
        <v>0</v>
      </c>
      <c r="AA194" s="14">
        <f t="shared" si="2"/>
        <v>0</v>
      </c>
      <c r="AB194" s="14"/>
      <c r="AC194" s="30" t="s">
        <v>223</v>
      </c>
      <c r="AD194" s="37" t="s">
        <v>223</v>
      </c>
    </row>
    <row r="195" spans="1:30" x14ac:dyDescent="0.25">
      <c r="A195" s="36">
        <v>4036</v>
      </c>
      <c r="B195" s="14" t="s">
        <v>8095</v>
      </c>
      <c r="C195" s="14" t="s">
        <v>8096</v>
      </c>
      <c r="D195" s="17">
        <v>44123</v>
      </c>
      <c r="E195" s="14" t="s">
        <v>30</v>
      </c>
      <c r="F195" s="14">
        <v>3296</v>
      </c>
      <c r="G195" s="14">
        <v>1496</v>
      </c>
      <c r="H195" s="14">
        <v>18</v>
      </c>
      <c r="I195" s="14">
        <v>9</v>
      </c>
      <c r="J195" s="14" t="s">
        <v>204</v>
      </c>
      <c r="K195" s="14" cm="1">
        <f t="array" ref="K195">INT(SUMPRODUCT(--ISNUMBER(SEARCH(economy,C195)))&gt;0)</f>
        <v>0</v>
      </c>
      <c r="L195" s="14" cm="1">
        <f t="array" ref="L195">INT(SUMPRODUCT(--ISNUMBER(SEARCH(healthcare,C195)))&gt;0)</f>
        <v>0</v>
      </c>
      <c r="M195" s="14" cm="1">
        <f t="array" ref="M195">INT(SUMPRODUCT(--ISNUMBER(SEARCH(supreme,C195)))&gt;0)</f>
        <v>0</v>
      </c>
      <c r="N195" s="14" cm="1">
        <f t="array" ref="N195">INT(SUMPRODUCT(--ISNUMBER(SEARCH(covid,C195)))&gt;0)</f>
        <v>0</v>
      </c>
      <c r="O195" s="14" cm="1">
        <f t="array" ref="O195">INT(SUMPRODUCT(--ISNUMBER(SEARCH(violent,C195)))&gt;0)</f>
        <v>0</v>
      </c>
      <c r="P195" s="14" cm="1">
        <f t="array" ref="P195">INT(SUMPRODUCT(--ISNUMBER(SEARCH(foreign,C195)))&gt;0)</f>
        <v>0</v>
      </c>
      <c r="Q195" s="14" cm="1">
        <f t="array" ref="Q195">INT(SUMPRODUCT(--ISNUMBER(SEARCH(gun,C195)))&gt;0)</f>
        <v>0</v>
      </c>
      <c r="R195" s="14" cm="1">
        <f t="array" ref="R195">INT(SUMPRODUCT(--ISNUMBER(SEARCH(race,C195)))&gt;0)</f>
        <v>0</v>
      </c>
      <c r="S195" s="14" cm="1">
        <f t="array" ref="S195">INT(SUMPRODUCT(--ISNUMBER(SEARCH(immigration,C195)))&gt;0)</f>
        <v>0</v>
      </c>
      <c r="T195" s="14" cm="1">
        <f t="array" ref="T195">INT(SUMPRODUCT(--ISNUMBER(SEARCH(econineq,C196)))&gt;0)</f>
        <v>0</v>
      </c>
      <c r="U195" s="14" cm="1">
        <f t="array" ref="U195">INT(SUMPRODUCT(--ISNUMBER(SEARCH(climate,C195)))&gt;0)</f>
        <v>0</v>
      </c>
      <c r="V195" s="14" cm="1">
        <f t="array" ref="V195">INT(SUMPRODUCT(--ISNUMBER(SEARCH(abortion,C195)))&gt;0)</f>
        <v>0</v>
      </c>
      <c r="W195" s="14" cm="1">
        <f t="array" ref="W195">INT(SUMPRODUCT(--ISNUMBER(SEARCH(trump,C195)))&gt;0)</f>
        <v>0</v>
      </c>
      <c r="X195" s="14" cm="1">
        <f t="array" ref="X195">INT(SUMPRODUCT(--ISNUMBER(SEARCH(voting,C195)))&gt;0)</f>
        <v>0</v>
      </c>
      <c r="Y195" s="14" cm="1">
        <f t="array" ref="Y195">INT(SUMPRODUCT(--ISNUMBER(SEARCH(democrattrigger,C195)))&gt;0)</f>
        <v>1</v>
      </c>
      <c r="Z195" s="14" cm="1">
        <f t="array" ref="Z195">INT(SUMPRODUCT(--ISNUMBER(SEARCH(bipartisan,C195)))&gt;0)</f>
        <v>0</v>
      </c>
      <c r="AA195" s="14">
        <f t="shared" ref="AA195:AA258" si="3">INT(IF(COUNTIF(K195:Z195,1)=0,"1","0"))</f>
        <v>0</v>
      </c>
      <c r="AB195" s="14"/>
      <c r="AC195" s="30">
        <v>0</v>
      </c>
      <c r="AD195" s="37">
        <v>1</v>
      </c>
    </row>
    <row r="196" spans="1:30" x14ac:dyDescent="0.25">
      <c r="A196" s="36">
        <v>4037</v>
      </c>
      <c r="B196" s="14" t="s">
        <v>8097</v>
      </c>
      <c r="C196" s="14" t="s">
        <v>8098</v>
      </c>
      <c r="D196" s="17">
        <v>44123</v>
      </c>
      <c r="E196" s="14" t="s">
        <v>30</v>
      </c>
      <c r="F196" s="14">
        <v>11507</v>
      </c>
      <c r="G196" s="14">
        <v>2763</v>
      </c>
      <c r="H196" s="14">
        <v>18</v>
      </c>
      <c r="I196" s="14">
        <v>9</v>
      </c>
      <c r="J196" s="14" t="s">
        <v>204</v>
      </c>
      <c r="K196" s="14" cm="1">
        <f t="array" ref="K196">INT(SUMPRODUCT(--ISNUMBER(SEARCH(economy,C196)))&gt;0)</f>
        <v>0</v>
      </c>
      <c r="L196" s="14" cm="1">
        <f t="array" ref="L196">INT(SUMPRODUCT(--ISNUMBER(SEARCH(healthcare,C196)))&gt;0)</f>
        <v>0</v>
      </c>
      <c r="M196" s="14" cm="1">
        <f t="array" ref="M196">INT(SUMPRODUCT(--ISNUMBER(SEARCH(supreme,C196)))&gt;0)</f>
        <v>0</v>
      </c>
      <c r="N196" s="14" cm="1">
        <f t="array" ref="N196">INT(SUMPRODUCT(--ISNUMBER(SEARCH(covid,C196)))&gt;0)</f>
        <v>0</v>
      </c>
      <c r="O196" s="14" cm="1">
        <f t="array" ref="O196">INT(SUMPRODUCT(--ISNUMBER(SEARCH(violent,C196)))&gt;0)</f>
        <v>0</v>
      </c>
      <c r="P196" s="14" cm="1">
        <f t="array" ref="P196">INT(SUMPRODUCT(--ISNUMBER(SEARCH(foreign,C196)))&gt;0)</f>
        <v>0</v>
      </c>
      <c r="Q196" s="14" cm="1">
        <f t="array" ref="Q196">INT(SUMPRODUCT(--ISNUMBER(SEARCH(gun,C196)))&gt;0)</f>
        <v>0</v>
      </c>
      <c r="R196" s="14" cm="1">
        <f t="array" ref="R196">INT(SUMPRODUCT(--ISNUMBER(SEARCH(race,C196)))&gt;0)</f>
        <v>0</v>
      </c>
      <c r="S196" s="14" cm="1">
        <f t="array" ref="S196">INT(SUMPRODUCT(--ISNUMBER(SEARCH(immigration,C196)))&gt;0)</f>
        <v>0</v>
      </c>
      <c r="T196" s="14" cm="1">
        <f t="array" ref="T196">INT(SUMPRODUCT(--ISNUMBER(SEARCH(econineq,C197)))&gt;0)</f>
        <v>0</v>
      </c>
      <c r="U196" s="14" cm="1">
        <f t="array" ref="U196">INT(SUMPRODUCT(--ISNUMBER(SEARCH(climate,C196)))&gt;0)</f>
        <v>0</v>
      </c>
      <c r="V196" s="14" cm="1">
        <f t="array" ref="V196">INT(SUMPRODUCT(--ISNUMBER(SEARCH(abortion,C196)))&gt;0)</f>
        <v>0</v>
      </c>
      <c r="W196" s="14" cm="1">
        <f t="array" ref="W196">INT(SUMPRODUCT(--ISNUMBER(SEARCH(trump,C196)))&gt;0)</f>
        <v>0</v>
      </c>
      <c r="X196" s="14" cm="1">
        <f t="array" ref="X196">INT(SUMPRODUCT(--ISNUMBER(SEARCH(voting,C196)))&gt;0)</f>
        <v>0</v>
      </c>
      <c r="Y196" s="14" cm="1">
        <f t="array" ref="Y196">INT(SUMPRODUCT(--ISNUMBER(SEARCH(democrattrigger,C196)))&gt;0)</f>
        <v>0</v>
      </c>
      <c r="Z196" s="14" cm="1">
        <f t="array" ref="Z196">INT(SUMPRODUCT(--ISNUMBER(SEARCH(bipartisan,C196)))&gt;0)</f>
        <v>0</v>
      </c>
      <c r="AA196" s="14">
        <f t="shared" si="3"/>
        <v>1</v>
      </c>
      <c r="AB196" s="14"/>
      <c r="AC196" s="30" t="s">
        <v>223</v>
      </c>
      <c r="AD196" s="37" t="s">
        <v>223</v>
      </c>
    </row>
    <row r="197" spans="1:30" x14ac:dyDescent="0.25">
      <c r="A197" s="36">
        <v>4038</v>
      </c>
      <c r="B197" s="14" t="s">
        <v>8099</v>
      </c>
      <c r="C197" s="14" t="s">
        <v>8100</v>
      </c>
      <c r="D197" s="17">
        <v>44123</v>
      </c>
      <c r="E197" s="14" t="s">
        <v>30</v>
      </c>
      <c r="F197" s="14">
        <v>1748</v>
      </c>
      <c r="G197" s="14">
        <v>352</v>
      </c>
      <c r="H197" s="14">
        <v>18</v>
      </c>
      <c r="I197" s="14">
        <v>9</v>
      </c>
      <c r="J197" s="14" t="s">
        <v>204</v>
      </c>
      <c r="K197" s="14" cm="1">
        <f t="array" ref="K197">INT(SUMPRODUCT(--ISNUMBER(SEARCH(economy,C197)))&gt;0)</f>
        <v>0</v>
      </c>
      <c r="L197" s="14" cm="1">
        <f t="array" ref="L197">INT(SUMPRODUCT(--ISNUMBER(SEARCH(healthcare,C197)))&gt;0)</f>
        <v>0</v>
      </c>
      <c r="M197" s="14" cm="1">
        <f t="array" ref="M197">INT(SUMPRODUCT(--ISNUMBER(SEARCH(supreme,C197)))&gt;0)</f>
        <v>0</v>
      </c>
      <c r="N197" s="14" cm="1">
        <f t="array" ref="N197">INT(SUMPRODUCT(--ISNUMBER(SEARCH(covid,C197)))&gt;0)</f>
        <v>0</v>
      </c>
      <c r="O197" s="14" cm="1">
        <f t="array" ref="O197">INT(SUMPRODUCT(--ISNUMBER(SEARCH(violent,C197)))&gt;0)</f>
        <v>0</v>
      </c>
      <c r="P197" s="14" cm="1">
        <f t="array" ref="P197">INT(SUMPRODUCT(--ISNUMBER(SEARCH(foreign,C197)))&gt;0)</f>
        <v>0</v>
      </c>
      <c r="Q197" s="14" cm="1">
        <f t="array" ref="Q197">INT(SUMPRODUCT(--ISNUMBER(SEARCH(gun,C197)))&gt;0)</f>
        <v>0</v>
      </c>
      <c r="R197" s="14" cm="1">
        <f t="array" ref="R197">INT(SUMPRODUCT(--ISNUMBER(SEARCH(race,C197)))&gt;0)</f>
        <v>0</v>
      </c>
      <c r="S197" s="14" cm="1">
        <f t="array" ref="S197">INT(SUMPRODUCT(--ISNUMBER(SEARCH(immigration,C197)))&gt;0)</f>
        <v>0</v>
      </c>
      <c r="T197" s="14" cm="1">
        <f t="array" ref="T197">INT(SUMPRODUCT(--ISNUMBER(SEARCH(econineq,C198)))&gt;0)</f>
        <v>0</v>
      </c>
      <c r="U197" s="14" cm="1">
        <f t="array" ref="U197">INT(SUMPRODUCT(--ISNUMBER(SEARCH(climate,C197)))&gt;0)</f>
        <v>0</v>
      </c>
      <c r="V197" s="14" cm="1">
        <f t="array" ref="V197">INT(SUMPRODUCT(--ISNUMBER(SEARCH(abortion,C197)))&gt;0)</f>
        <v>0</v>
      </c>
      <c r="W197" s="14" cm="1">
        <f t="array" ref="W197">INT(SUMPRODUCT(--ISNUMBER(SEARCH(trump,C197)))&gt;0)</f>
        <v>0</v>
      </c>
      <c r="X197" s="14" cm="1">
        <f t="array" ref="X197">INT(SUMPRODUCT(--ISNUMBER(SEARCH(voting,C197)))&gt;0)</f>
        <v>0</v>
      </c>
      <c r="Y197" s="14" cm="1">
        <f t="array" ref="Y197">INT(SUMPRODUCT(--ISNUMBER(SEARCH(democrattrigger,C197)))&gt;0)</f>
        <v>0</v>
      </c>
      <c r="Z197" s="14" cm="1">
        <f t="array" ref="Z197">INT(SUMPRODUCT(--ISNUMBER(SEARCH(bipartisan,C197)))&gt;0)</f>
        <v>0</v>
      </c>
      <c r="AA197" s="14">
        <f t="shared" si="3"/>
        <v>1</v>
      </c>
      <c r="AB197" s="14"/>
      <c r="AC197" s="30" t="s">
        <v>223</v>
      </c>
      <c r="AD197" s="37" t="s">
        <v>223</v>
      </c>
    </row>
    <row r="198" spans="1:30" x14ac:dyDescent="0.25">
      <c r="A198" s="36">
        <v>4039</v>
      </c>
      <c r="B198" s="14" t="s">
        <v>8101</v>
      </c>
      <c r="C198" s="14" t="s">
        <v>8102</v>
      </c>
      <c r="D198" s="17">
        <v>44123</v>
      </c>
      <c r="E198" s="14" t="s">
        <v>30</v>
      </c>
      <c r="F198" s="14">
        <v>3970</v>
      </c>
      <c r="G198" s="14">
        <v>862</v>
      </c>
      <c r="H198" s="14">
        <v>18</v>
      </c>
      <c r="I198" s="14">
        <v>9</v>
      </c>
      <c r="J198" s="14" t="s">
        <v>204</v>
      </c>
      <c r="K198" s="14" cm="1">
        <f t="array" ref="K198">INT(SUMPRODUCT(--ISNUMBER(SEARCH(economy,C198)))&gt;0)</f>
        <v>0</v>
      </c>
      <c r="L198" s="14" cm="1">
        <f t="array" ref="L198">INT(SUMPRODUCT(--ISNUMBER(SEARCH(healthcare,C198)))&gt;0)</f>
        <v>0</v>
      </c>
      <c r="M198" s="14" cm="1">
        <f t="array" ref="M198">INT(SUMPRODUCT(--ISNUMBER(SEARCH(supreme,C198)))&gt;0)</f>
        <v>0</v>
      </c>
      <c r="N198" s="14" cm="1">
        <f t="array" ref="N198">INT(SUMPRODUCT(--ISNUMBER(SEARCH(covid,C198)))&gt;0)</f>
        <v>0</v>
      </c>
      <c r="O198" s="14" cm="1">
        <f t="array" ref="O198">INT(SUMPRODUCT(--ISNUMBER(SEARCH(violent,C198)))&gt;0)</f>
        <v>0</v>
      </c>
      <c r="P198" s="14" cm="1">
        <f t="array" ref="P198">INT(SUMPRODUCT(--ISNUMBER(SEARCH(foreign,C198)))&gt;0)</f>
        <v>0</v>
      </c>
      <c r="Q198" s="14" cm="1">
        <f t="array" ref="Q198">INT(SUMPRODUCT(--ISNUMBER(SEARCH(gun,C198)))&gt;0)</f>
        <v>0</v>
      </c>
      <c r="R198" s="14" cm="1">
        <f t="array" ref="R198">INT(SUMPRODUCT(--ISNUMBER(SEARCH(race,C198)))&gt;0)</f>
        <v>0</v>
      </c>
      <c r="S198" s="14" cm="1">
        <f t="array" ref="S198">INT(SUMPRODUCT(--ISNUMBER(SEARCH(immigration,C198)))&gt;0)</f>
        <v>0</v>
      </c>
      <c r="T198" s="14" cm="1">
        <f t="array" ref="T198">INT(SUMPRODUCT(--ISNUMBER(SEARCH(econineq,C199)))&gt;0)</f>
        <v>0</v>
      </c>
      <c r="U198" s="14" cm="1">
        <f t="array" ref="U198">INT(SUMPRODUCT(--ISNUMBER(SEARCH(climate,C198)))&gt;0)</f>
        <v>0</v>
      </c>
      <c r="V198" s="14" cm="1">
        <f t="array" ref="V198">INT(SUMPRODUCT(--ISNUMBER(SEARCH(abortion,C198)))&gt;0)</f>
        <v>0</v>
      </c>
      <c r="W198" s="14" cm="1">
        <f t="array" ref="W198">INT(SUMPRODUCT(--ISNUMBER(SEARCH(trump,C198)))&gt;0)</f>
        <v>0</v>
      </c>
      <c r="X198" s="14" cm="1">
        <f t="array" ref="X198">INT(SUMPRODUCT(--ISNUMBER(SEARCH(voting,C198)))&gt;0)</f>
        <v>0</v>
      </c>
      <c r="Y198" s="14" cm="1">
        <f t="array" ref="Y198">INT(SUMPRODUCT(--ISNUMBER(SEARCH(democrattrigger,C198)))&gt;0)</f>
        <v>0</v>
      </c>
      <c r="Z198" s="14" cm="1">
        <f t="array" ref="Z198">INT(SUMPRODUCT(--ISNUMBER(SEARCH(bipartisan,C198)))&gt;0)</f>
        <v>0</v>
      </c>
      <c r="AA198" s="14">
        <f t="shared" si="3"/>
        <v>1</v>
      </c>
      <c r="AB198" s="14"/>
      <c r="AC198" s="30" t="s">
        <v>223</v>
      </c>
      <c r="AD198" s="37" t="s">
        <v>223</v>
      </c>
    </row>
    <row r="199" spans="1:30" x14ac:dyDescent="0.25">
      <c r="A199" s="36">
        <v>4040</v>
      </c>
      <c r="B199" s="14" t="s">
        <v>8103</v>
      </c>
      <c r="C199" s="14" t="s">
        <v>8104</v>
      </c>
      <c r="D199" s="17">
        <v>44123</v>
      </c>
      <c r="E199" s="14" t="s">
        <v>30</v>
      </c>
      <c r="F199" s="14">
        <v>1352</v>
      </c>
      <c r="G199" s="14">
        <v>352</v>
      </c>
      <c r="H199" s="14">
        <v>18</v>
      </c>
      <c r="I199" s="14">
        <v>9</v>
      </c>
      <c r="J199" s="14" t="s">
        <v>204</v>
      </c>
      <c r="K199" s="14" cm="1">
        <f t="array" ref="K199">INT(SUMPRODUCT(--ISNUMBER(SEARCH(economy,C199)))&gt;0)</f>
        <v>0</v>
      </c>
      <c r="L199" s="14" cm="1">
        <f t="array" ref="L199">INT(SUMPRODUCT(--ISNUMBER(SEARCH(healthcare,C199)))&gt;0)</f>
        <v>0</v>
      </c>
      <c r="M199" s="14" cm="1">
        <f t="array" ref="M199">INT(SUMPRODUCT(--ISNUMBER(SEARCH(supreme,C199)))&gt;0)</f>
        <v>0</v>
      </c>
      <c r="N199" s="14" cm="1">
        <f t="array" ref="N199">INT(SUMPRODUCT(--ISNUMBER(SEARCH(covid,C199)))&gt;0)</f>
        <v>0</v>
      </c>
      <c r="O199" s="14" cm="1">
        <f t="array" ref="O199">INT(SUMPRODUCT(--ISNUMBER(SEARCH(violent,C199)))&gt;0)</f>
        <v>0</v>
      </c>
      <c r="P199" s="14" cm="1">
        <f t="array" ref="P199">INT(SUMPRODUCT(--ISNUMBER(SEARCH(foreign,C199)))&gt;0)</f>
        <v>0</v>
      </c>
      <c r="Q199" s="14" cm="1">
        <f t="array" ref="Q199">INT(SUMPRODUCT(--ISNUMBER(SEARCH(gun,C199)))&gt;0)</f>
        <v>0</v>
      </c>
      <c r="R199" s="14" cm="1">
        <f t="array" ref="R199">INT(SUMPRODUCT(--ISNUMBER(SEARCH(race,C199)))&gt;0)</f>
        <v>0</v>
      </c>
      <c r="S199" s="14" cm="1">
        <f t="array" ref="S199">INT(SUMPRODUCT(--ISNUMBER(SEARCH(immigration,C199)))&gt;0)</f>
        <v>0</v>
      </c>
      <c r="T199" s="14" cm="1">
        <f t="array" ref="T199">INT(SUMPRODUCT(--ISNUMBER(SEARCH(econineq,C200)))&gt;0)</f>
        <v>0</v>
      </c>
      <c r="U199" s="14" cm="1">
        <f t="array" ref="U199">INT(SUMPRODUCT(--ISNUMBER(SEARCH(climate,C199)))&gt;0)</f>
        <v>0</v>
      </c>
      <c r="V199" s="14" cm="1">
        <f t="array" ref="V199">INT(SUMPRODUCT(--ISNUMBER(SEARCH(abortion,C199)))&gt;0)</f>
        <v>0</v>
      </c>
      <c r="W199" s="14" cm="1">
        <f t="array" ref="W199">INT(SUMPRODUCT(--ISNUMBER(SEARCH(trump,C199)))&gt;0)</f>
        <v>0</v>
      </c>
      <c r="X199" s="14" cm="1">
        <f t="array" ref="X199">INT(SUMPRODUCT(--ISNUMBER(SEARCH(voting,C199)))&gt;0)</f>
        <v>0</v>
      </c>
      <c r="Y199" s="14" cm="1">
        <f t="array" ref="Y199">INT(SUMPRODUCT(--ISNUMBER(SEARCH(democrattrigger,C199)))&gt;0)</f>
        <v>0</v>
      </c>
      <c r="Z199" s="14" cm="1">
        <f t="array" ref="Z199">INT(SUMPRODUCT(--ISNUMBER(SEARCH(bipartisan,C199)))&gt;0)</f>
        <v>0</v>
      </c>
      <c r="AA199" s="14">
        <f t="shared" si="3"/>
        <v>1</v>
      </c>
      <c r="AB199" s="14"/>
      <c r="AC199" s="30">
        <v>1</v>
      </c>
      <c r="AD199" s="37">
        <v>0</v>
      </c>
    </row>
    <row r="200" spans="1:30" x14ac:dyDescent="0.25">
      <c r="A200" s="36">
        <v>4041</v>
      </c>
      <c r="B200" s="14" t="s">
        <v>8105</v>
      </c>
      <c r="C200" s="14" t="s">
        <v>8106</v>
      </c>
      <c r="D200" s="17">
        <v>44122</v>
      </c>
      <c r="E200" s="14" t="s">
        <v>30</v>
      </c>
      <c r="F200" s="14">
        <v>30673</v>
      </c>
      <c r="G200" s="14">
        <v>11744</v>
      </c>
      <c r="H200" s="14">
        <v>18</v>
      </c>
      <c r="I200" s="14">
        <v>9</v>
      </c>
      <c r="J200" s="14" t="s">
        <v>204</v>
      </c>
      <c r="K200" s="14" cm="1">
        <f t="array" ref="K200">INT(SUMPRODUCT(--ISNUMBER(SEARCH(economy,C200)))&gt;0)</f>
        <v>0</v>
      </c>
      <c r="L200" s="14" cm="1">
        <f t="array" ref="L200">INT(SUMPRODUCT(--ISNUMBER(SEARCH(healthcare,C200)))&gt;0)</f>
        <v>0</v>
      </c>
      <c r="M200" s="14" cm="1">
        <f t="array" ref="M200">INT(SUMPRODUCT(--ISNUMBER(SEARCH(supreme,C200)))&gt;0)</f>
        <v>0</v>
      </c>
      <c r="N200" s="14" cm="1">
        <f t="array" ref="N200">INT(SUMPRODUCT(--ISNUMBER(SEARCH(covid,C200)))&gt;0)</f>
        <v>0</v>
      </c>
      <c r="O200" s="14" cm="1">
        <f t="array" ref="O200">INT(SUMPRODUCT(--ISNUMBER(SEARCH(violent,C200)))&gt;0)</f>
        <v>0</v>
      </c>
      <c r="P200" s="14" cm="1">
        <f t="array" ref="P200">INT(SUMPRODUCT(--ISNUMBER(SEARCH(foreign,C200)))&gt;0)</f>
        <v>0</v>
      </c>
      <c r="Q200" s="14" cm="1">
        <f t="array" ref="Q200">INT(SUMPRODUCT(--ISNUMBER(SEARCH(gun,C200)))&gt;0)</f>
        <v>0</v>
      </c>
      <c r="R200" s="14" cm="1">
        <f t="array" ref="R200">INT(SUMPRODUCT(--ISNUMBER(SEARCH(race,C200)))&gt;0)</f>
        <v>0</v>
      </c>
      <c r="S200" s="14" cm="1">
        <f t="array" ref="S200">INT(SUMPRODUCT(--ISNUMBER(SEARCH(immigration,C200)))&gt;0)</f>
        <v>1</v>
      </c>
      <c r="T200" s="14" cm="1">
        <f t="array" ref="T200">INT(SUMPRODUCT(--ISNUMBER(SEARCH(econineq,C201)))&gt;0)</f>
        <v>0</v>
      </c>
      <c r="U200" s="14" cm="1">
        <f t="array" ref="U200">INT(SUMPRODUCT(--ISNUMBER(SEARCH(climate,C200)))&gt;0)</f>
        <v>0</v>
      </c>
      <c r="V200" s="14" cm="1">
        <f t="array" ref="V200">INT(SUMPRODUCT(--ISNUMBER(SEARCH(abortion,C200)))&gt;0)</f>
        <v>0</v>
      </c>
      <c r="W200" s="14" cm="1">
        <f t="array" ref="W200">INT(SUMPRODUCT(--ISNUMBER(SEARCH(trump,C200)))&gt;0)</f>
        <v>1</v>
      </c>
      <c r="X200" s="14" cm="1">
        <f t="array" ref="X200">INT(SUMPRODUCT(--ISNUMBER(SEARCH(voting,C200)))&gt;0)</f>
        <v>1</v>
      </c>
      <c r="Y200" s="14" cm="1">
        <f t="array" ref="Y200">INT(SUMPRODUCT(--ISNUMBER(SEARCH(democrattrigger,C200)))&gt;0)</f>
        <v>1</v>
      </c>
      <c r="Z200" s="14" cm="1">
        <f t="array" ref="Z200">INT(SUMPRODUCT(--ISNUMBER(SEARCH(bipartisan,C200)))&gt;0)</f>
        <v>0</v>
      </c>
      <c r="AA200" s="14">
        <f t="shared" si="3"/>
        <v>0</v>
      </c>
      <c r="AB200" s="14"/>
      <c r="AC200" s="30" t="s">
        <v>223</v>
      </c>
      <c r="AD200" s="37" t="s">
        <v>223</v>
      </c>
    </row>
    <row r="201" spans="1:30" x14ac:dyDescent="0.25">
      <c r="A201" s="36">
        <v>4042</v>
      </c>
      <c r="B201" s="14" t="s">
        <v>8107</v>
      </c>
      <c r="C201" s="14" t="s">
        <v>8108</v>
      </c>
      <c r="D201" s="17">
        <v>44122</v>
      </c>
      <c r="E201" s="14" t="s">
        <v>30</v>
      </c>
      <c r="F201" s="14">
        <v>5185</v>
      </c>
      <c r="G201" s="14">
        <v>1999</v>
      </c>
      <c r="H201" s="14">
        <v>18</v>
      </c>
      <c r="I201" s="14">
        <v>9</v>
      </c>
      <c r="J201" s="14" t="s">
        <v>204</v>
      </c>
      <c r="K201" s="14" cm="1">
        <f t="array" ref="K201">INT(SUMPRODUCT(--ISNUMBER(SEARCH(economy,C201)))&gt;0)</f>
        <v>0</v>
      </c>
      <c r="L201" s="14" cm="1">
        <f t="array" ref="L201">INT(SUMPRODUCT(--ISNUMBER(SEARCH(healthcare,C201)))&gt;0)</f>
        <v>0</v>
      </c>
      <c r="M201" s="14" cm="1">
        <f t="array" ref="M201">INT(SUMPRODUCT(--ISNUMBER(SEARCH(supreme,C201)))&gt;0)</f>
        <v>0</v>
      </c>
      <c r="N201" s="14" cm="1">
        <f t="array" ref="N201">INT(SUMPRODUCT(--ISNUMBER(SEARCH(covid,C201)))&gt;0)</f>
        <v>0</v>
      </c>
      <c r="O201" s="14" cm="1">
        <f t="array" ref="O201">INT(SUMPRODUCT(--ISNUMBER(SEARCH(violent,C201)))&gt;0)</f>
        <v>0</v>
      </c>
      <c r="P201" s="14" cm="1">
        <f t="array" ref="P201">INT(SUMPRODUCT(--ISNUMBER(SEARCH(foreign,C201)))&gt;0)</f>
        <v>0</v>
      </c>
      <c r="Q201" s="14" cm="1">
        <f t="array" ref="Q201">INT(SUMPRODUCT(--ISNUMBER(SEARCH(gun,C201)))&gt;0)</f>
        <v>0</v>
      </c>
      <c r="R201" s="14" cm="1">
        <f t="array" ref="R201">INT(SUMPRODUCT(--ISNUMBER(SEARCH(race,C201)))&gt;0)</f>
        <v>0</v>
      </c>
      <c r="S201" s="14" cm="1">
        <f t="array" ref="S201">INT(SUMPRODUCT(--ISNUMBER(SEARCH(immigration,C201)))&gt;0)</f>
        <v>0</v>
      </c>
      <c r="T201" s="14" cm="1">
        <f t="array" ref="T201">INT(SUMPRODUCT(--ISNUMBER(SEARCH(econineq,C202)))&gt;0)</f>
        <v>0</v>
      </c>
      <c r="U201" s="14" cm="1">
        <f t="array" ref="U201">INT(SUMPRODUCT(--ISNUMBER(SEARCH(climate,C201)))&gt;0)</f>
        <v>0</v>
      </c>
      <c r="V201" s="14" cm="1">
        <f t="array" ref="V201">INT(SUMPRODUCT(--ISNUMBER(SEARCH(abortion,C201)))&gt;0)</f>
        <v>0</v>
      </c>
      <c r="W201" s="14" cm="1">
        <f t="array" ref="W201">INT(SUMPRODUCT(--ISNUMBER(SEARCH(trump,C201)))&gt;0)</f>
        <v>0</v>
      </c>
      <c r="X201" s="14" cm="1">
        <f t="array" ref="X201">INT(SUMPRODUCT(--ISNUMBER(SEARCH(voting,C201)))&gt;0)</f>
        <v>0</v>
      </c>
      <c r="Y201" s="14" cm="1">
        <f t="array" ref="Y201">INT(SUMPRODUCT(--ISNUMBER(SEARCH(democrattrigger,C201)))&gt;0)</f>
        <v>1</v>
      </c>
      <c r="Z201" s="14" cm="1">
        <f t="array" ref="Z201">INT(SUMPRODUCT(--ISNUMBER(SEARCH(bipartisan,C201)))&gt;0)</f>
        <v>0</v>
      </c>
      <c r="AA201" s="14">
        <f t="shared" si="3"/>
        <v>0</v>
      </c>
      <c r="AB201" s="14"/>
      <c r="AC201" s="30" t="s">
        <v>223</v>
      </c>
      <c r="AD201" s="37" t="s">
        <v>223</v>
      </c>
    </row>
    <row r="202" spans="1:30" x14ac:dyDescent="0.25">
      <c r="A202" s="36">
        <v>4043</v>
      </c>
      <c r="B202" s="14" t="s">
        <v>8109</v>
      </c>
      <c r="C202" s="14" t="s">
        <v>8110</v>
      </c>
      <c r="D202" s="17">
        <v>44122</v>
      </c>
      <c r="E202" s="14" t="s">
        <v>30</v>
      </c>
      <c r="F202" s="14">
        <v>9898</v>
      </c>
      <c r="G202" s="14">
        <v>3123</v>
      </c>
      <c r="H202" s="14">
        <v>18</v>
      </c>
      <c r="I202" s="14">
        <v>9</v>
      </c>
      <c r="J202" s="14" t="s">
        <v>204</v>
      </c>
      <c r="K202" s="14" cm="1">
        <f t="array" ref="K202">INT(SUMPRODUCT(--ISNUMBER(SEARCH(economy,C202)))&gt;0)</f>
        <v>0</v>
      </c>
      <c r="L202" s="14" cm="1">
        <f t="array" ref="L202">INT(SUMPRODUCT(--ISNUMBER(SEARCH(healthcare,C202)))&gt;0)</f>
        <v>0</v>
      </c>
      <c r="M202" s="14" cm="1">
        <f t="array" ref="M202">INT(SUMPRODUCT(--ISNUMBER(SEARCH(supreme,C202)))&gt;0)</f>
        <v>0</v>
      </c>
      <c r="N202" s="14" cm="1">
        <f t="array" ref="N202">INT(SUMPRODUCT(--ISNUMBER(SEARCH(covid,C202)))&gt;0)</f>
        <v>0</v>
      </c>
      <c r="O202" s="14" cm="1">
        <f t="array" ref="O202">INT(SUMPRODUCT(--ISNUMBER(SEARCH(violent,C202)))&gt;0)</f>
        <v>0</v>
      </c>
      <c r="P202" s="14" cm="1">
        <f t="array" ref="P202">INT(SUMPRODUCT(--ISNUMBER(SEARCH(foreign,C202)))&gt;0)</f>
        <v>0</v>
      </c>
      <c r="Q202" s="14" cm="1">
        <f t="array" ref="Q202">INT(SUMPRODUCT(--ISNUMBER(SEARCH(gun,C202)))&gt;0)</f>
        <v>0</v>
      </c>
      <c r="R202" s="14" cm="1">
        <f t="array" ref="R202">INT(SUMPRODUCT(--ISNUMBER(SEARCH(race,C202)))&gt;0)</f>
        <v>0</v>
      </c>
      <c r="S202" s="14" cm="1">
        <f t="array" ref="S202">INT(SUMPRODUCT(--ISNUMBER(SEARCH(immigration,C202)))&gt;0)</f>
        <v>0</v>
      </c>
      <c r="T202" s="14" cm="1">
        <f t="array" ref="T202">INT(SUMPRODUCT(--ISNUMBER(SEARCH(econineq,C203)))&gt;0)</f>
        <v>0</v>
      </c>
      <c r="U202" s="14" cm="1">
        <f t="array" ref="U202">INT(SUMPRODUCT(--ISNUMBER(SEARCH(climate,C202)))&gt;0)</f>
        <v>0</v>
      </c>
      <c r="V202" s="14" cm="1">
        <f t="array" ref="V202">INT(SUMPRODUCT(--ISNUMBER(SEARCH(abortion,C202)))&gt;0)</f>
        <v>0</v>
      </c>
      <c r="W202" s="14" cm="1">
        <f t="array" ref="W202">INT(SUMPRODUCT(--ISNUMBER(SEARCH(trump,C202)))&gt;0)</f>
        <v>0</v>
      </c>
      <c r="X202" s="14" cm="1">
        <f t="array" ref="X202">INT(SUMPRODUCT(--ISNUMBER(SEARCH(voting,C202)))&gt;0)</f>
        <v>0</v>
      </c>
      <c r="Y202" s="14" cm="1">
        <f t="array" ref="Y202">INT(SUMPRODUCT(--ISNUMBER(SEARCH(democrattrigger,C202)))&gt;0)</f>
        <v>1</v>
      </c>
      <c r="Z202" s="14" cm="1">
        <f t="array" ref="Z202">INT(SUMPRODUCT(--ISNUMBER(SEARCH(bipartisan,C202)))&gt;0)</f>
        <v>0</v>
      </c>
      <c r="AA202" s="14">
        <f t="shared" si="3"/>
        <v>0</v>
      </c>
      <c r="AB202" s="14"/>
      <c r="AC202" s="30" t="s">
        <v>223</v>
      </c>
      <c r="AD202" s="37" t="s">
        <v>223</v>
      </c>
    </row>
    <row r="203" spans="1:30" x14ac:dyDescent="0.25">
      <c r="A203" s="36">
        <v>4044</v>
      </c>
      <c r="B203" s="14" t="s">
        <v>8111</v>
      </c>
      <c r="C203" s="14" t="s">
        <v>8112</v>
      </c>
      <c r="D203" s="17">
        <v>44122</v>
      </c>
      <c r="E203" s="14" t="s">
        <v>30</v>
      </c>
      <c r="F203" s="14">
        <v>2128</v>
      </c>
      <c r="G203" s="14">
        <v>488</v>
      </c>
      <c r="H203" s="14">
        <v>18</v>
      </c>
      <c r="I203" s="14">
        <v>9</v>
      </c>
      <c r="J203" s="14" t="s">
        <v>204</v>
      </c>
      <c r="K203" s="14" cm="1">
        <f t="array" ref="K203">INT(SUMPRODUCT(--ISNUMBER(SEARCH(economy,C203)))&gt;0)</f>
        <v>0</v>
      </c>
      <c r="L203" s="14" cm="1">
        <f t="array" ref="L203">INT(SUMPRODUCT(--ISNUMBER(SEARCH(healthcare,C203)))&gt;0)</f>
        <v>0</v>
      </c>
      <c r="M203" s="14" cm="1">
        <f t="array" ref="M203">INT(SUMPRODUCT(--ISNUMBER(SEARCH(supreme,C203)))&gt;0)</f>
        <v>0</v>
      </c>
      <c r="N203" s="14" cm="1">
        <f t="array" ref="N203">INT(SUMPRODUCT(--ISNUMBER(SEARCH(covid,C203)))&gt;0)</f>
        <v>0</v>
      </c>
      <c r="O203" s="14" cm="1">
        <f t="array" ref="O203">INT(SUMPRODUCT(--ISNUMBER(SEARCH(violent,C203)))&gt;0)</f>
        <v>0</v>
      </c>
      <c r="P203" s="14" cm="1">
        <f t="array" ref="P203">INT(SUMPRODUCT(--ISNUMBER(SEARCH(foreign,C203)))&gt;0)</f>
        <v>0</v>
      </c>
      <c r="Q203" s="14" cm="1">
        <f t="array" ref="Q203">INT(SUMPRODUCT(--ISNUMBER(SEARCH(gun,C203)))&gt;0)</f>
        <v>0</v>
      </c>
      <c r="R203" s="14" cm="1">
        <f t="array" ref="R203">INT(SUMPRODUCT(--ISNUMBER(SEARCH(race,C203)))&gt;0)</f>
        <v>0</v>
      </c>
      <c r="S203" s="14" cm="1">
        <f t="array" ref="S203">INT(SUMPRODUCT(--ISNUMBER(SEARCH(immigration,C203)))&gt;0)</f>
        <v>0</v>
      </c>
      <c r="T203" s="14" cm="1">
        <f t="array" ref="T203">INT(SUMPRODUCT(--ISNUMBER(SEARCH(econineq,C204)))&gt;0)</f>
        <v>0</v>
      </c>
      <c r="U203" s="14" cm="1">
        <f t="array" ref="U203">INT(SUMPRODUCT(--ISNUMBER(SEARCH(climate,C203)))&gt;0)</f>
        <v>0</v>
      </c>
      <c r="V203" s="14" cm="1">
        <f t="array" ref="V203">INT(SUMPRODUCT(--ISNUMBER(SEARCH(abortion,C203)))&gt;0)</f>
        <v>0</v>
      </c>
      <c r="W203" s="14" cm="1">
        <f t="array" ref="W203">INT(SUMPRODUCT(--ISNUMBER(SEARCH(trump,C203)))&gt;0)</f>
        <v>0</v>
      </c>
      <c r="X203" s="14" cm="1">
        <f t="array" ref="X203">INT(SUMPRODUCT(--ISNUMBER(SEARCH(voting,C203)))&gt;0)</f>
        <v>1</v>
      </c>
      <c r="Y203" s="14" cm="1">
        <f t="array" ref="Y203">INT(SUMPRODUCT(--ISNUMBER(SEARCH(democrattrigger,C203)))&gt;0)</f>
        <v>0</v>
      </c>
      <c r="Z203" s="14" cm="1">
        <f t="array" ref="Z203">INT(SUMPRODUCT(--ISNUMBER(SEARCH(bipartisan,C203)))&gt;0)</f>
        <v>0</v>
      </c>
      <c r="AA203" s="14">
        <f t="shared" si="3"/>
        <v>0</v>
      </c>
      <c r="AB203" s="14"/>
      <c r="AC203" s="30" t="s">
        <v>223</v>
      </c>
      <c r="AD203" s="37" t="s">
        <v>223</v>
      </c>
    </row>
    <row r="204" spans="1:30" x14ac:dyDescent="0.25">
      <c r="A204" s="36">
        <v>4045</v>
      </c>
      <c r="B204" s="14" t="s">
        <v>8113</v>
      </c>
      <c r="C204" s="14" t="s">
        <v>8114</v>
      </c>
      <c r="D204" s="17">
        <v>44122</v>
      </c>
      <c r="E204" s="14" t="s">
        <v>30</v>
      </c>
      <c r="F204" s="14">
        <v>12306</v>
      </c>
      <c r="G204" s="14">
        <v>2981</v>
      </c>
      <c r="H204" s="14">
        <v>18</v>
      </c>
      <c r="I204" s="14">
        <v>9</v>
      </c>
      <c r="J204" s="14" t="s">
        <v>204</v>
      </c>
      <c r="K204" s="14" cm="1">
        <f t="array" ref="K204">INT(SUMPRODUCT(--ISNUMBER(SEARCH(economy,C204)))&gt;0)</f>
        <v>0</v>
      </c>
      <c r="L204" s="14" cm="1">
        <f t="array" ref="L204">INT(SUMPRODUCT(--ISNUMBER(SEARCH(healthcare,C204)))&gt;0)</f>
        <v>0</v>
      </c>
      <c r="M204" s="14" cm="1">
        <f t="array" ref="M204">INT(SUMPRODUCT(--ISNUMBER(SEARCH(supreme,C204)))&gt;0)</f>
        <v>0</v>
      </c>
      <c r="N204" s="14" cm="1">
        <f t="array" ref="N204">INT(SUMPRODUCT(--ISNUMBER(SEARCH(covid,C204)))&gt;0)</f>
        <v>0</v>
      </c>
      <c r="O204" s="14" cm="1">
        <f t="array" ref="O204">INT(SUMPRODUCT(--ISNUMBER(SEARCH(violent,C204)))&gt;0)</f>
        <v>0</v>
      </c>
      <c r="P204" s="14" cm="1">
        <f t="array" ref="P204">INT(SUMPRODUCT(--ISNUMBER(SEARCH(foreign,C204)))&gt;0)</f>
        <v>0</v>
      </c>
      <c r="Q204" s="14" cm="1">
        <f t="array" ref="Q204">INT(SUMPRODUCT(--ISNUMBER(SEARCH(gun,C204)))&gt;0)</f>
        <v>0</v>
      </c>
      <c r="R204" s="14" cm="1">
        <f t="array" ref="R204">INT(SUMPRODUCT(--ISNUMBER(SEARCH(race,C204)))&gt;0)</f>
        <v>0</v>
      </c>
      <c r="S204" s="14" cm="1">
        <f t="array" ref="S204">INT(SUMPRODUCT(--ISNUMBER(SEARCH(immigration,C204)))&gt;0)</f>
        <v>0</v>
      </c>
      <c r="T204" s="14" cm="1">
        <f t="array" ref="T204">INT(SUMPRODUCT(--ISNUMBER(SEARCH(econineq,C205)))&gt;0)</f>
        <v>0</v>
      </c>
      <c r="U204" s="14" cm="1">
        <f t="array" ref="U204">INT(SUMPRODUCT(--ISNUMBER(SEARCH(climate,C204)))&gt;0)</f>
        <v>0</v>
      </c>
      <c r="V204" s="14" cm="1">
        <f t="array" ref="V204">INT(SUMPRODUCT(--ISNUMBER(SEARCH(abortion,C204)))&gt;0)</f>
        <v>0</v>
      </c>
      <c r="W204" s="14" cm="1">
        <f t="array" ref="W204">INT(SUMPRODUCT(--ISNUMBER(SEARCH(trump,C204)))&gt;0)</f>
        <v>0</v>
      </c>
      <c r="X204" s="14" cm="1">
        <f t="array" ref="X204">INT(SUMPRODUCT(--ISNUMBER(SEARCH(voting,C204)))&gt;0)</f>
        <v>1</v>
      </c>
      <c r="Y204" s="14" cm="1">
        <f t="array" ref="Y204">INT(SUMPRODUCT(--ISNUMBER(SEARCH(democrattrigger,C204)))&gt;0)</f>
        <v>0</v>
      </c>
      <c r="Z204" s="14" cm="1">
        <f t="array" ref="Z204">INT(SUMPRODUCT(--ISNUMBER(SEARCH(bipartisan,C204)))&gt;0)</f>
        <v>0</v>
      </c>
      <c r="AA204" s="14">
        <f t="shared" si="3"/>
        <v>0</v>
      </c>
      <c r="AB204" s="14"/>
      <c r="AC204" s="30" t="s">
        <v>223</v>
      </c>
      <c r="AD204" s="37" t="s">
        <v>223</v>
      </c>
    </row>
    <row r="205" spans="1:30" x14ac:dyDescent="0.25">
      <c r="A205" s="36">
        <v>4046</v>
      </c>
      <c r="B205" s="14" t="s">
        <v>8115</v>
      </c>
      <c r="C205" s="14" t="s">
        <v>8116</v>
      </c>
      <c r="D205" s="17">
        <v>44122</v>
      </c>
      <c r="E205" s="14" t="s">
        <v>30</v>
      </c>
      <c r="F205" s="14">
        <v>55687</v>
      </c>
      <c r="G205" s="14">
        <v>10780</v>
      </c>
      <c r="H205" s="14">
        <v>18</v>
      </c>
      <c r="I205" s="14">
        <v>9</v>
      </c>
      <c r="J205" s="14" t="s">
        <v>204</v>
      </c>
      <c r="K205" s="14" cm="1">
        <f t="array" ref="K205">INT(SUMPRODUCT(--ISNUMBER(SEARCH(economy,C205)))&gt;0)</f>
        <v>0</v>
      </c>
      <c r="L205" s="14" cm="1">
        <f t="array" ref="L205">INT(SUMPRODUCT(--ISNUMBER(SEARCH(healthcare,C205)))&gt;0)</f>
        <v>0</v>
      </c>
      <c r="M205" s="14" cm="1">
        <f t="array" ref="M205">INT(SUMPRODUCT(--ISNUMBER(SEARCH(supreme,C205)))&gt;0)</f>
        <v>0</v>
      </c>
      <c r="N205" s="14" cm="1">
        <f t="array" ref="N205">INT(SUMPRODUCT(--ISNUMBER(SEARCH(covid,C205)))&gt;0)</f>
        <v>0</v>
      </c>
      <c r="O205" s="14" cm="1">
        <f t="array" ref="O205">INT(SUMPRODUCT(--ISNUMBER(SEARCH(violent,C205)))&gt;0)</f>
        <v>0</v>
      </c>
      <c r="P205" s="14" cm="1">
        <f t="array" ref="P205">INT(SUMPRODUCT(--ISNUMBER(SEARCH(foreign,C205)))&gt;0)</f>
        <v>0</v>
      </c>
      <c r="Q205" s="14" cm="1">
        <f t="array" ref="Q205">INT(SUMPRODUCT(--ISNUMBER(SEARCH(gun,C205)))&gt;0)</f>
        <v>0</v>
      </c>
      <c r="R205" s="14" cm="1">
        <f t="array" ref="R205">INT(SUMPRODUCT(--ISNUMBER(SEARCH(race,C205)))&gt;0)</f>
        <v>0</v>
      </c>
      <c r="S205" s="14" cm="1">
        <f t="array" ref="S205">INT(SUMPRODUCT(--ISNUMBER(SEARCH(immigration,C205)))&gt;0)</f>
        <v>0</v>
      </c>
      <c r="T205" s="14" cm="1">
        <f t="array" ref="T205">INT(SUMPRODUCT(--ISNUMBER(SEARCH(econineq,C206)))&gt;0)</f>
        <v>0</v>
      </c>
      <c r="U205" s="14" cm="1">
        <f t="array" ref="U205">INT(SUMPRODUCT(--ISNUMBER(SEARCH(climate,C205)))&gt;0)</f>
        <v>0</v>
      </c>
      <c r="V205" s="14" cm="1">
        <f t="array" ref="V205">INT(SUMPRODUCT(--ISNUMBER(SEARCH(abortion,C205)))&gt;0)</f>
        <v>0</v>
      </c>
      <c r="W205" s="14" cm="1">
        <f t="array" ref="W205">INT(SUMPRODUCT(--ISNUMBER(SEARCH(trump,C205)))&gt;0)</f>
        <v>0</v>
      </c>
      <c r="X205" s="14" cm="1">
        <f t="array" ref="X205">INT(SUMPRODUCT(--ISNUMBER(SEARCH(voting,C205)))&gt;0)</f>
        <v>0</v>
      </c>
      <c r="Y205" s="14" cm="1">
        <f t="array" ref="Y205">INT(SUMPRODUCT(--ISNUMBER(SEARCH(democrattrigger,C205)))&gt;0)</f>
        <v>0</v>
      </c>
      <c r="Z205" s="14" cm="1">
        <f t="array" ref="Z205">INT(SUMPRODUCT(--ISNUMBER(SEARCH(bipartisan,C205)))&gt;0)</f>
        <v>0</v>
      </c>
      <c r="AA205" s="14">
        <f t="shared" si="3"/>
        <v>1</v>
      </c>
      <c r="AB205" s="14"/>
      <c r="AC205" s="30" t="s">
        <v>223</v>
      </c>
      <c r="AD205" s="37" t="s">
        <v>223</v>
      </c>
    </row>
    <row r="206" spans="1:30" x14ac:dyDescent="0.25">
      <c r="A206" s="36">
        <v>4047</v>
      </c>
      <c r="B206" s="14" t="s">
        <v>8117</v>
      </c>
      <c r="C206" s="14" t="s">
        <v>8118</v>
      </c>
      <c r="D206" s="17">
        <v>44122</v>
      </c>
      <c r="E206" s="14" t="s">
        <v>30</v>
      </c>
      <c r="F206" s="14">
        <v>1469</v>
      </c>
      <c r="G206" s="14">
        <v>312</v>
      </c>
      <c r="H206" s="14">
        <v>18</v>
      </c>
      <c r="I206" s="14">
        <v>9</v>
      </c>
      <c r="J206" s="14" t="s">
        <v>204</v>
      </c>
      <c r="K206" s="14" cm="1">
        <f t="array" ref="K206">INT(SUMPRODUCT(--ISNUMBER(SEARCH(economy,C206)))&gt;0)</f>
        <v>0</v>
      </c>
      <c r="L206" s="14" cm="1">
        <f t="array" ref="L206">INT(SUMPRODUCT(--ISNUMBER(SEARCH(healthcare,C206)))&gt;0)</f>
        <v>0</v>
      </c>
      <c r="M206" s="14" cm="1">
        <f t="array" ref="M206">INT(SUMPRODUCT(--ISNUMBER(SEARCH(supreme,C206)))&gt;0)</f>
        <v>0</v>
      </c>
      <c r="N206" s="14" cm="1">
        <f t="array" ref="N206">INT(SUMPRODUCT(--ISNUMBER(SEARCH(covid,C206)))&gt;0)</f>
        <v>0</v>
      </c>
      <c r="O206" s="14" cm="1">
        <f t="array" ref="O206">INT(SUMPRODUCT(--ISNUMBER(SEARCH(violent,C206)))&gt;0)</f>
        <v>0</v>
      </c>
      <c r="P206" s="14" cm="1">
        <f t="array" ref="P206">INT(SUMPRODUCT(--ISNUMBER(SEARCH(foreign,C206)))&gt;0)</f>
        <v>0</v>
      </c>
      <c r="Q206" s="14" cm="1">
        <f t="array" ref="Q206">INT(SUMPRODUCT(--ISNUMBER(SEARCH(gun,C206)))&gt;0)</f>
        <v>0</v>
      </c>
      <c r="R206" s="14" cm="1">
        <f t="array" ref="R206">INT(SUMPRODUCT(--ISNUMBER(SEARCH(race,C206)))&gt;0)</f>
        <v>0</v>
      </c>
      <c r="S206" s="14" cm="1">
        <f t="array" ref="S206">INT(SUMPRODUCT(--ISNUMBER(SEARCH(immigration,C206)))&gt;0)</f>
        <v>0</v>
      </c>
      <c r="T206" s="14" cm="1">
        <f t="array" ref="T206">INT(SUMPRODUCT(--ISNUMBER(SEARCH(econineq,C207)))&gt;0)</f>
        <v>0</v>
      </c>
      <c r="U206" s="14" cm="1">
        <f t="array" ref="U206">INT(SUMPRODUCT(--ISNUMBER(SEARCH(climate,C206)))&gt;0)</f>
        <v>0</v>
      </c>
      <c r="V206" s="14" cm="1">
        <f t="array" ref="V206">INT(SUMPRODUCT(--ISNUMBER(SEARCH(abortion,C206)))&gt;0)</f>
        <v>0</v>
      </c>
      <c r="W206" s="14" cm="1">
        <f t="array" ref="W206">INT(SUMPRODUCT(--ISNUMBER(SEARCH(trump,C206)))&gt;0)</f>
        <v>0</v>
      </c>
      <c r="X206" s="14" cm="1">
        <f t="array" ref="X206">INT(SUMPRODUCT(--ISNUMBER(SEARCH(voting,C206)))&gt;0)</f>
        <v>1</v>
      </c>
      <c r="Y206" s="14" cm="1">
        <f t="array" ref="Y206">INT(SUMPRODUCT(--ISNUMBER(SEARCH(democrattrigger,C206)))&gt;0)</f>
        <v>0</v>
      </c>
      <c r="Z206" s="14" cm="1">
        <f t="array" ref="Z206">INT(SUMPRODUCT(--ISNUMBER(SEARCH(bipartisan,C206)))&gt;0)</f>
        <v>0</v>
      </c>
      <c r="AA206" s="14">
        <f t="shared" si="3"/>
        <v>0</v>
      </c>
      <c r="AB206" s="14"/>
      <c r="AC206" s="30" t="s">
        <v>223</v>
      </c>
      <c r="AD206" s="37" t="s">
        <v>223</v>
      </c>
    </row>
    <row r="207" spans="1:30" x14ac:dyDescent="0.25">
      <c r="A207" s="36">
        <v>4048</v>
      </c>
      <c r="B207" s="14" t="s">
        <v>8119</v>
      </c>
      <c r="C207" s="14" t="s">
        <v>8120</v>
      </c>
      <c r="D207" s="17">
        <v>44122</v>
      </c>
      <c r="E207" s="14" t="s">
        <v>30</v>
      </c>
      <c r="F207" s="14">
        <v>711</v>
      </c>
      <c r="G207" s="14">
        <v>210</v>
      </c>
      <c r="H207" s="14">
        <v>18</v>
      </c>
      <c r="I207" s="14">
        <v>9</v>
      </c>
      <c r="J207" s="14" t="s">
        <v>204</v>
      </c>
      <c r="K207" s="14" cm="1">
        <f t="array" ref="K207">INT(SUMPRODUCT(--ISNUMBER(SEARCH(economy,C207)))&gt;0)</f>
        <v>1</v>
      </c>
      <c r="L207" s="14" cm="1">
        <f t="array" ref="L207">INT(SUMPRODUCT(--ISNUMBER(SEARCH(healthcare,C207)))&gt;0)</f>
        <v>0</v>
      </c>
      <c r="M207" s="14" cm="1">
        <f t="array" ref="M207">INT(SUMPRODUCT(--ISNUMBER(SEARCH(supreme,C207)))&gt;0)</f>
        <v>0</v>
      </c>
      <c r="N207" s="14" cm="1">
        <f t="array" ref="N207">INT(SUMPRODUCT(--ISNUMBER(SEARCH(covid,C207)))&gt;0)</f>
        <v>1</v>
      </c>
      <c r="O207" s="14" cm="1">
        <f t="array" ref="O207">INT(SUMPRODUCT(--ISNUMBER(SEARCH(violent,C207)))&gt;0)</f>
        <v>0</v>
      </c>
      <c r="P207" s="14" cm="1">
        <f t="array" ref="P207">INT(SUMPRODUCT(--ISNUMBER(SEARCH(foreign,C207)))&gt;0)</f>
        <v>0</v>
      </c>
      <c r="Q207" s="14" cm="1">
        <f t="array" ref="Q207">INT(SUMPRODUCT(--ISNUMBER(SEARCH(gun,C207)))&gt;0)</f>
        <v>0</v>
      </c>
      <c r="R207" s="14" cm="1">
        <f t="array" ref="R207">INT(SUMPRODUCT(--ISNUMBER(SEARCH(race,C207)))&gt;0)</f>
        <v>0</v>
      </c>
      <c r="S207" s="14" cm="1">
        <f t="array" ref="S207">INT(SUMPRODUCT(--ISNUMBER(SEARCH(immigration,C207)))&gt;0)</f>
        <v>0</v>
      </c>
      <c r="T207" s="14" cm="1">
        <f t="array" ref="T207">INT(SUMPRODUCT(--ISNUMBER(SEARCH(econineq,C208)))&gt;0)</f>
        <v>0</v>
      </c>
      <c r="U207" s="14" cm="1">
        <f t="array" ref="U207">INT(SUMPRODUCT(--ISNUMBER(SEARCH(climate,C207)))&gt;0)</f>
        <v>0</v>
      </c>
      <c r="V207" s="14" cm="1">
        <f t="array" ref="V207">INT(SUMPRODUCT(--ISNUMBER(SEARCH(abortion,C207)))&gt;0)</f>
        <v>0</v>
      </c>
      <c r="W207" s="14" cm="1">
        <f t="array" ref="W207">INT(SUMPRODUCT(--ISNUMBER(SEARCH(trump,C207)))&gt;0)</f>
        <v>0</v>
      </c>
      <c r="X207" s="14" cm="1">
        <f t="array" ref="X207">INT(SUMPRODUCT(--ISNUMBER(SEARCH(voting,C207)))&gt;0)</f>
        <v>0</v>
      </c>
      <c r="Y207" s="14" cm="1">
        <f t="array" ref="Y207">INT(SUMPRODUCT(--ISNUMBER(SEARCH(democrattrigger,C207)))&gt;0)</f>
        <v>0</v>
      </c>
      <c r="Z207" s="14" cm="1">
        <f t="array" ref="Z207">INT(SUMPRODUCT(--ISNUMBER(SEARCH(bipartisan,C207)))&gt;0)</f>
        <v>0</v>
      </c>
      <c r="AA207" s="14">
        <f t="shared" si="3"/>
        <v>0</v>
      </c>
      <c r="AB207" s="14"/>
      <c r="AC207" s="30">
        <v>1</v>
      </c>
      <c r="AD207" s="37">
        <v>0</v>
      </c>
    </row>
    <row r="208" spans="1:30" x14ac:dyDescent="0.25">
      <c r="A208" s="36">
        <v>4049</v>
      </c>
      <c r="B208" s="14" t="s">
        <v>8121</v>
      </c>
      <c r="C208" s="14" t="s">
        <v>8122</v>
      </c>
      <c r="D208" s="17">
        <v>44122</v>
      </c>
      <c r="E208" s="14" t="s">
        <v>30</v>
      </c>
      <c r="F208" s="14">
        <v>6430</v>
      </c>
      <c r="G208" s="14">
        <v>2012</v>
      </c>
      <c r="H208" s="14">
        <v>18</v>
      </c>
      <c r="I208" s="14">
        <v>9</v>
      </c>
      <c r="J208" s="14" t="s">
        <v>204</v>
      </c>
      <c r="K208" s="14" cm="1">
        <f t="array" ref="K208">INT(SUMPRODUCT(--ISNUMBER(SEARCH(economy,C208)))&gt;0)</f>
        <v>0</v>
      </c>
      <c r="L208" s="14" cm="1">
        <f t="array" ref="L208">INT(SUMPRODUCT(--ISNUMBER(SEARCH(healthcare,C208)))&gt;0)</f>
        <v>0</v>
      </c>
      <c r="M208" s="14" cm="1">
        <f t="array" ref="M208">INT(SUMPRODUCT(--ISNUMBER(SEARCH(supreme,C208)))&gt;0)</f>
        <v>0</v>
      </c>
      <c r="N208" s="14" cm="1">
        <f t="array" ref="N208">INT(SUMPRODUCT(--ISNUMBER(SEARCH(covid,C208)))&gt;0)</f>
        <v>0</v>
      </c>
      <c r="O208" s="14" cm="1">
        <f t="array" ref="O208">INT(SUMPRODUCT(--ISNUMBER(SEARCH(violent,C208)))&gt;0)</f>
        <v>0</v>
      </c>
      <c r="P208" s="14" cm="1">
        <f t="array" ref="P208">INT(SUMPRODUCT(--ISNUMBER(SEARCH(foreign,C208)))&gt;0)</f>
        <v>0</v>
      </c>
      <c r="Q208" s="14" cm="1">
        <f t="array" ref="Q208">INT(SUMPRODUCT(--ISNUMBER(SEARCH(gun,C208)))&gt;0)</f>
        <v>0</v>
      </c>
      <c r="R208" s="14" cm="1">
        <f t="array" ref="R208">INT(SUMPRODUCT(--ISNUMBER(SEARCH(race,C208)))&gt;0)</f>
        <v>0</v>
      </c>
      <c r="S208" s="14" cm="1">
        <f t="array" ref="S208">INT(SUMPRODUCT(--ISNUMBER(SEARCH(immigration,C208)))&gt;0)</f>
        <v>0</v>
      </c>
      <c r="T208" s="14" cm="1">
        <f t="array" ref="T208">INT(SUMPRODUCT(--ISNUMBER(SEARCH(econineq,C209)))&gt;0)</f>
        <v>0</v>
      </c>
      <c r="U208" s="14" cm="1">
        <f t="array" ref="U208">INT(SUMPRODUCT(--ISNUMBER(SEARCH(climate,C208)))&gt;0)</f>
        <v>0</v>
      </c>
      <c r="V208" s="14" cm="1">
        <f t="array" ref="V208">INT(SUMPRODUCT(--ISNUMBER(SEARCH(abortion,C208)))&gt;0)</f>
        <v>0</v>
      </c>
      <c r="W208" s="14" cm="1">
        <f t="array" ref="W208">INT(SUMPRODUCT(--ISNUMBER(SEARCH(trump,C208)))&gt;0)</f>
        <v>0</v>
      </c>
      <c r="X208" s="14" cm="1">
        <f t="array" ref="X208">INT(SUMPRODUCT(--ISNUMBER(SEARCH(voting,C208)))&gt;0)</f>
        <v>1</v>
      </c>
      <c r="Y208" s="14" cm="1">
        <f t="array" ref="Y208">INT(SUMPRODUCT(--ISNUMBER(SEARCH(democrattrigger,C208)))&gt;0)</f>
        <v>0</v>
      </c>
      <c r="Z208" s="14" cm="1">
        <f t="array" ref="Z208">INT(SUMPRODUCT(--ISNUMBER(SEARCH(bipartisan,C208)))&gt;0)</f>
        <v>0</v>
      </c>
      <c r="AA208" s="14">
        <f t="shared" si="3"/>
        <v>0</v>
      </c>
      <c r="AB208" s="14"/>
      <c r="AC208" s="30">
        <v>0</v>
      </c>
      <c r="AD208" s="37">
        <v>1</v>
      </c>
    </row>
    <row r="209" spans="1:30" x14ac:dyDescent="0.25">
      <c r="A209" s="36">
        <v>4050</v>
      </c>
      <c r="B209" s="14" t="s">
        <v>8123</v>
      </c>
      <c r="C209" s="14" t="s">
        <v>8124</v>
      </c>
      <c r="D209" s="17">
        <v>44122</v>
      </c>
      <c r="E209" s="14" t="s">
        <v>30</v>
      </c>
      <c r="F209" s="14">
        <v>2628</v>
      </c>
      <c r="G209" s="14">
        <v>567</v>
      </c>
      <c r="H209" s="14">
        <v>18</v>
      </c>
      <c r="I209" s="14">
        <v>9</v>
      </c>
      <c r="J209" s="14" t="s">
        <v>204</v>
      </c>
      <c r="K209" s="14" cm="1">
        <f t="array" ref="K209">INT(SUMPRODUCT(--ISNUMBER(SEARCH(economy,C209)))&gt;0)</f>
        <v>0</v>
      </c>
      <c r="L209" s="14" cm="1">
        <f t="array" ref="L209">INT(SUMPRODUCT(--ISNUMBER(SEARCH(healthcare,C209)))&gt;0)</f>
        <v>0</v>
      </c>
      <c r="M209" s="14" cm="1">
        <f t="array" ref="M209">INT(SUMPRODUCT(--ISNUMBER(SEARCH(supreme,C209)))&gt;0)</f>
        <v>0</v>
      </c>
      <c r="N209" s="14" cm="1">
        <f t="array" ref="N209">INT(SUMPRODUCT(--ISNUMBER(SEARCH(covid,C209)))&gt;0)</f>
        <v>0</v>
      </c>
      <c r="O209" s="14" cm="1">
        <f t="array" ref="O209">INT(SUMPRODUCT(--ISNUMBER(SEARCH(violent,C209)))&gt;0)</f>
        <v>0</v>
      </c>
      <c r="P209" s="14" cm="1">
        <f t="array" ref="P209">INT(SUMPRODUCT(--ISNUMBER(SEARCH(foreign,C209)))&gt;0)</f>
        <v>0</v>
      </c>
      <c r="Q209" s="14" cm="1">
        <f t="array" ref="Q209">INT(SUMPRODUCT(--ISNUMBER(SEARCH(gun,C209)))&gt;0)</f>
        <v>0</v>
      </c>
      <c r="R209" s="14" cm="1">
        <f t="array" ref="R209">INT(SUMPRODUCT(--ISNUMBER(SEARCH(race,C209)))&gt;0)</f>
        <v>0</v>
      </c>
      <c r="S209" s="14" cm="1">
        <f t="array" ref="S209">INT(SUMPRODUCT(--ISNUMBER(SEARCH(immigration,C209)))&gt;0)</f>
        <v>0</v>
      </c>
      <c r="T209" s="14" cm="1">
        <f t="array" ref="T209">INT(SUMPRODUCT(--ISNUMBER(SEARCH(econineq,C210)))&gt;0)</f>
        <v>0</v>
      </c>
      <c r="U209" s="14" cm="1">
        <f t="array" ref="U209">INT(SUMPRODUCT(--ISNUMBER(SEARCH(climate,C209)))&gt;0)</f>
        <v>0</v>
      </c>
      <c r="V209" s="14" cm="1">
        <f t="array" ref="V209">INT(SUMPRODUCT(--ISNUMBER(SEARCH(abortion,C209)))&gt;0)</f>
        <v>0</v>
      </c>
      <c r="W209" s="14" cm="1">
        <f t="array" ref="W209">INT(SUMPRODUCT(--ISNUMBER(SEARCH(trump,C209)))&gt;0)</f>
        <v>0</v>
      </c>
      <c r="X209" s="14" cm="1">
        <f t="array" ref="X209">INT(SUMPRODUCT(--ISNUMBER(SEARCH(voting,C209)))&gt;0)</f>
        <v>0</v>
      </c>
      <c r="Y209" s="14" cm="1">
        <f t="array" ref="Y209">INT(SUMPRODUCT(--ISNUMBER(SEARCH(democrattrigger,C209)))&gt;0)</f>
        <v>0</v>
      </c>
      <c r="Z209" s="14" cm="1">
        <f t="array" ref="Z209">INT(SUMPRODUCT(--ISNUMBER(SEARCH(bipartisan,C209)))&gt;0)</f>
        <v>0</v>
      </c>
      <c r="AA209" s="14">
        <f t="shared" si="3"/>
        <v>1</v>
      </c>
      <c r="AB209" s="14"/>
      <c r="AC209" s="30">
        <v>1</v>
      </c>
      <c r="AD209" s="37">
        <v>0</v>
      </c>
    </row>
    <row r="210" spans="1:30" x14ac:dyDescent="0.25">
      <c r="A210" s="36">
        <v>4051</v>
      </c>
      <c r="B210" s="14" t="s">
        <v>8125</v>
      </c>
      <c r="C210" s="14" t="s">
        <v>8126</v>
      </c>
      <c r="D210" s="17">
        <v>44122</v>
      </c>
      <c r="E210" s="14" t="s">
        <v>30</v>
      </c>
      <c r="F210" s="14">
        <v>730</v>
      </c>
      <c r="G210" s="14">
        <v>153</v>
      </c>
      <c r="H210" s="14">
        <v>18</v>
      </c>
      <c r="I210" s="14">
        <v>9</v>
      </c>
      <c r="J210" s="14" t="s">
        <v>204</v>
      </c>
      <c r="K210" s="14" cm="1">
        <f t="array" ref="K210">INT(SUMPRODUCT(--ISNUMBER(SEARCH(economy,C210)))&gt;0)</f>
        <v>0</v>
      </c>
      <c r="L210" s="14" cm="1">
        <f t="array" ref="L210">INT(SUMPRODUCT(--ISNUMBER(SEARCH(healthcare,C210)))&gt;0)</f>
        <v>0</v>
      </c>
      <c r="M210" s="14" cm="1">
        <f t="array" ref="M210">INT(SUMPRODUCT(--ISNUMBER(SEARCH(supreme,C210)))&gt;0)</f>
        <v>0</v>
      </c>
      <c r="N210" s="14" cm="1">
        <f t="array" ref="N210">INT(SUMPRODUCT(--ISNUMBER(SEARCH(covid,C210)))&gt;0)</f>
        <v>0</v>
      </c>
      <c r="O210" s="14" cm="1">
        <f t="array" ref="O210">INT(SUMPRODUCT(--ISNUMBER(SEARCH(violent,C210)))&gt;0)</f>
        <v>0</v>
      </c>
      <c r="P210" s="14" cm="1">
        <f t="array" ref="P210">INT(SUMPRODUCT(--ISNUMBER(SEARCH(foreign,C210)))&gt;0)</f>
        <v>0</v>
      </c>
      <c r="Q210" s="14" cm="1">
        <f t="array" ref="Q210">INT(SUMPRODUCT(--ISNUMBER(SEARCH(gun,C210)))&gt;0)</f>
        <v>0</v>
      </c>
      <c r="R210" s="14" cm="1">
        <f t="array" ref="R210">INT(SUMPRODUCT(--ISNUMBER(SEARCH(race,C210)))&gt;0)</f>
        <v>0</v>
      </c>
      <c r="S210" s="14" cm="1">
        <f t="array" ref="S210">INT(SUMPRODUCT(--ISNUMBER(SEARCH(immigration,C210)))&gt;0)</f>
        <v>0</v>
      </c>
      <c r="T210" s="14" cm="1">
        <f t="array" ref="T210">INT(SUMPRODUCT(--ISNUMBER(SEARCH(econineq,C211)))&gt;0)</f>
        <v>0</v>
      </c>
      <c r="U210" s="14" cm="1">
        <f t="array" ref="U210">INT(SUMPRODUCT(--ISNUMBER(SEARCH(climate,C210)))&gt;0)</f>
        <v>0</v>
      </c>
      <c r="V210" s="14" cm="1">
        <f t="array" ref="V210">INT(SUMPRODUCT(--ISNUMBER(SEARCH(abortion,C210)))&gt;0)</f>
        <v>0</v>
      </c>
      <c r="W210" s="14" cm="1">
        <f t="array" ref="W210">INT(SUMPRODUCT(--ISNUMBER(SEARCH(trump,C210)))&gt;0)</f>
        <v>0</v>
      </c>
      <c r="X210" s="14" cm="1">
        <f t="array" ref="X210">INT(SUMPRODUCT(--ISNUMBER(SEARCH(voting,C210)))&gt;0)</f>
        <v>0</v>
      </c>
      <c r="Y210" s="14" cm="1">
        <f t="array" ref="Y210">INT(SUMPRODUCT(--ISNUMBER(SEARCH(democrattrigger,C210)))&gt;0)</f>
        <v>0</v>
      </c>
      <c r="Z210" s="14" cm="1">
        <f t="array" ref="Z210">INT(SUMPRODUCT(--ISNUMBER(SEARCH(bipartisan,C210)))&gt;0)</f>
        <v>0</v>
      </c>
      <c r="AA210" s="14">
        <f t="shared" si="3"/>
        <v>1</v>
      </c>
      <c r="AB210" s="14"/>
      <c r="AC210" s="30" t="s">
        <v>223</v>
      </c>
      <c r="AD210" s="37" t="s">
        <v>223</v>
      </c>
    </row>
    <row r="211" spans="1:30" x14ac:dyDescent="0.25">
      <c r="A211" s="36">
        <v>4052</v>
      </c>
      <c r="B211" s="14" t="s">
        <v>8127</v>
      </c>
      <c r="C211" s="14" t="s">
        <v>8128</v>
      </c>
      <c r="D211" s="17">
        <v>44121</v>
      </c>
      <c r="E211" s="14" t="s">
        <v>30</v>
      </c>
      <c r="F211" s="14">
        <v>3325</v>
      </c>
      <c r="G211" s="14">
        <v>1386</v>
      </c>
      <c r="H211" s="14">
        <v>18</v>
      </c>
      <c r="I211" s="14">
        <v>9</v>
      </c>
      <c r="J211" s="14" t="s">
        <v>204</v>
      </c>
      <c r="K211" s="14" cm="1">
        <f t="array" ref="K211">INT(SUMPRODUCT(--ISNUMBER(SEARCH(economy,C211)))&gt;0)</f>
        <v>0</v>
      </c>
      <c r="L211" s="14" cm="1">
        <f t="array" ref="L211">INT(SUMPRODUCT(--ISNUMBER(SEARCH(healthcare,C211)))&gt;0)</f>
        <v>0</v>
      </c>
      <c r="M211" s="14" cm="1">
        <f t="array" ref="M211">INT(SUMPRODUCT(--ISNUMBER(SEARCH(supreme,C211)))&gt;0)</f>
        <v>0</v>
      </c>
      <c r="N211" s="14" cm="1">
        <f t="array" ref="N211">INT(SUMPRODUCT(--ISNUMBER(SEARCH(covid,C211)))&gt;0)</f>
        <v>0</v>
      </c>
      <c r="O211" s="14" cm="1">
        <f t="array" ref="O211">INT(SUMPRODUCT(--ISNUMBER(SEARCH(violent,C211)))&gt;0)</f>
        <v>0</v>
      </c>
      <c r="P211" s="14" cm="1">
        <f t="array" ref="P211">INT(SUMPRODUCT(--ISNUMBER(SEARCH(foreign,C211)))&gt;0)</f>
        <v>0</v>
      </c>
      <c r="Q211" s="14" cm="1">
        <f t="array" ref="Q211">INT(SUMPRODUCT(--ISNUMBER(SEARCH(gun,C211)))&gt;0)</f>
        <v>0</v>
      </c>
      <c r="R211" s="14" cm="1">
        <f t="array" ref="R211">INT(SUMPRODUCT(--ISNUMBER(SEARCH(race,C211)))&gt;0)</f>
        <v>0</v>
      </c>
      <c r="S211" s="14" cm="1">
        <f t="array" ref="S211">INT(SUMPRODUCT(--ISNUMBER(SEARCH(immigration,C211)))&gt;0)</f>
        <v>0</v>
      </c>
      <c r="T211" s="14" cm="1">
        <f t="array" ref="T211">INT(SUMPRODUCT(--ISNUMBER(SEARCH(econineq,C212)))&gt;0)</f>
        <v>0</v>
      </c>
      <c r="U211" s="14" cm="1">
        <f t="array" ref="U211">INT(SUMPRODUCT(--ISNUMBER(SEARCH(climate,C211)))&gt;0)</f>
        <v>0</v>
      </c>
      <c r="V211" s="14" cm="1">
        <f t="array" ref="V211">INT(SUMPRODUCT(--ISNUMBER(SEARCH(abortion,C211)))&gt;0)</f>
        <v>0</v>
      </c>
      <c r="W211" s="14" cm="1">
        <f t="array" ref="W211">INT(SUMPRODUCT(--ISNUMBER(SEARCH(trump,C211)))&gt;0)</f>
        <v>0</v>
      </c>
      <c r="X211" s="14" cm="1">
        <f t="array" ref="X211">INT(SUMPRODUCT(--ISNUMBER(SEARCH(voting,C211)))&gt;0)</f>
        <v>1</v>
      </c>
      <c r="Y211" s="14" cm="1">
        <f t="array" ref="Y211">INT(SUMPRODUCT(--ISNUMBER(SEARCH(democrattrigger,C211)))&gt;0)</f>
        <v>0</v>
      </c>
      <c r="Z211" s="14" cm="1">
        <f t="array" ref="Z211">INT(SUMPRODUCT(--ISNUMBER(SEARCH(bipartisan,C211)))&gt;0)</f>
        <v>0</v>
      </c>
      <c r="AA211" s="14">
        <f t="shared" si="3"/>
        <v>0</v>
      </c>
      <c r="AB211" s="14"/>
      <c r="AC211" s="30">
        <v>0</v>
      </c>
      <c r="AD211" s="37">
        <v>1</v>
      </c>
    </row>
    <row r="212" spans="1:30" x14ac:dyDescent="0.25">
      <c r="A212" s="36">
        <v>4053</v>
      </c>
      <c r="B212" s="14" t="s">
        <v>8129</v>
      </c>
      <c r="C212" s="14" t="s">
        <v>8130</v>
      </c>
      <c r="D212" s="17">
        <v>44121</v>
      </c>
      <c r="E212" s="14" t="s">
        <v>30</v>
      </c>
      <c r="F212" s="14">
        <v>1313</v>
      </c>
      <c r="G212" s="14">
        <v>245</v>
      </c>
      <c r="H212" s="14">
        <v>18</v>
      </c>
      <c r="I212" s="14">
        <v>9</v>
      </c>
      <c r="J212" s="14" t="s">
        <v>204</v>
      </c>
      <c r="K212" s="14" cm="1">
        <f t="array" ref="K212">INT(SUMPRODUCT(--ISNUMBER(SEARCH(economy,C212)))&gt;0)</f>
        <v>0</v>
      </c>
      <c r="L212" s="14" cm="1">
        <f t="array" ref="L212">INT(SUMPRODUCT(--ISNUMBER(SEARCH(healthcare,C212)))&gt;0)</f>
        <v>0</v>
      </c>
      <c r="M212" s="14" cm="1">
        <f t="array" ref="M212">INT(SUMPRODUCT(--ISNUMBER(SEARCH(supreme,C212)))&gt;0)</f>
        <v>0</v>
      </c>
      <c r="N212" s="14" cm="1">
        <f t="array" ref="N212">INT(SUMPRODUCT(--ISNUMBER(SEARCH(covid,C212)))&gt;0)</f>
        <v>0</v>
      </c>
      <c r="O212" s="14" cm="1">
        <f t="array" ref="O212">INT(SUMPRODUCT(--ISNUMBER(SEARCH(violent,C212)))&gt;0)</f>
        <v>0</v>
      </c>
      <c r="P212" s="14" cm="1">
        <f t="array" ref="P212">INT(SUMPRODUCT(--ISNUMBER(SEARCH(foreign,C212)))&gt;0)</f>
        <v>0</v>
      </c>
      <c r="Q212" s="14" cm="1">
        <f t="array" ref="Q212">INT(SUMPRODUCT(--ISNUMBER(SEARCH(gun,C212)))&gt;0)</f>
        <v>0</v>
      </c>
      <c r="R212" s="14" cm="1">
        <f t="array" ref="R212">INT(SUMPRODUCT(--ISNUMBER(SEARCH(race,C212)))&gt;0)</f>
        <v>0</v>
      </c>
      <c r="S212" s="14" cm="1">
        <f t="array" ref="S212">INT(SUMPRODUCT(--ISNUMBER(SEARCH(immigration,C212)))&gt;0)</f>
        <v>0</v>
      </c>
      <c r="T212" s="14" cm="1">
        <f t="array" ref="T212">INT(SUMPRODUCT(--ISNUMBER(SEARCH(econineq,C213)))&gt;0)</f>
        <v>0</v>
      </c>
      <c r="U212" s="14" cm="1">
        <f t="array" ref="U212">INT(SUMPRODUCT(--ISNUMBER(SEARCH(climate,C212)))&gt;0)</f>
        <v>0</v>
      </c>
      <c r="V212" s="14" cm="1">
        <f t="array" ref="V212">INT(SUMPRODUCT(--ISNUMBER(SEARCH(abortion,C212)))&gt;0)</f>
        <v>0</v>
      </c>
      <c r="W212" s="14" cm="1">
        <f t="array" ref="W212">INT(SUMPRODUCT(--ISNUMBER(SEARCH(trump,C212)))&gt;0)</f>
        <v>0</v>
      </c>
      <c r="X212" s="14" cm="1">
        <f t="array" ref="X212">INT(SUMPRODUCT(--ISNUMBER(SEARCH(voting,C212)))&gt;0)</f>
        <v>0</v>
      </c>
      <c r="Y212" s="14" cm="1">
        <f t="array" ref="Y212">INT(SUMPRODUCT(--ISNUMBER(SEARCH(democrattrigger,C212)))&gt;0)</f>
        <v>0</v>
      </c>
      <c r="Z212" s="14" cm="1">
        <f t="array" ref="Z212">INT(SUMPRODUCT(--ISNUMBER(SEARCH(bipartisan,C212)))&gt;0)</f>
        <v>0</v>
      </c>
      <c r="AA212" s="14">
        <f t="shared" si="3"/>
        <v>1</v>
      </c>
      <c r="AB212" s="14"/>
      <c r="AC212" s="30" t="s">
        <v>223</v>
      </c>
      <c r="AD212" s="37" t="s">
        <v>223</v>
      </c>
    </row>
    <row r="213" spans="1:30" x14ac:dyDescent="0.25">
      <c r="A213" s="36">
        <v>4054</v>
      </c>
      <c r="B213" s="14" t="s">
        <v>8131</v>
      </c>
      <c r="C213" s="14" t="s">
        <v>8132</v>
      </c>
      <c r="D213" s="17">
        <v>44121</v>
      </c>
      <c r="E213" s="14" t="s">
        <v>30</v>
      </c>
      <c r="F213" s="14">
        <v>12357</v>
      </c>
      <c r="G213" s="14">
        <v>3157</v>
      </c>
      <c r="H213" s="14">
        <v>18</v>
      </c>
      <c r="I213" s="14">
        <v>9</v>
      </c>
      <c r="J213" s="14" t="s">
        <v>204</v>
      </c>
      <c r="K213" s="14" cm="1">
        <f t="array" ref="K213">INT(SUMPRODUCT(--ISNUMBER(SEARCH(economy,C213)))&gt;0)</f>
        <v>0</v>
      </c>
      <c r="L213" s="14" cm="1">
        <f t="array" ref="L213">INT(SUMPRODUCT(--ISNUMBER(SEARCH(healthcare,C213)))&gt;0)</f>
        <v>0</v>
      </c>
      <c r="M213" s="14" cm="1">
        <f t="array" ref="M213">INT(SUMPRODUCT(--ISNUMBER(SEARCH(supreme,C213)))&gt;0)</f>
        <v>0</v>
      </c>
      <c r="N213" s="14" cm="1">
        <f t="array" ref="N213">INT(SUMPRODUCT(--ISNUMBER(SEARCH(covid,C213)))&gt;0)</f>
        <v>0</v>
      </c>
      <c r="O213" s="14" cm="1">
        <f t="array" ref="O213">INT(SUMPRODUCT(--ISNUMBER(SEARCH(violent,C213)))&gt;0)</f>
        <v>0</v>
      </c>
      <c r="P213" s="14" cm="1">
        <f t="array" ref="P213">INT(SUMPRODUCT(--ISNUMBER(SEARCH(foreign,C213)))&gt;0)</f>
        <v>0</v>
      </c>
      <c r="Q213" s="14" cm="1">
        <f t="array" ref="Q213">INT(SUMPRODUCT(--ISNUMBER(SEARCH(gun,C213)))&gt;0)</f>
        <v>0</v>
      </c>
      <c r="R213" s="14" cm="1">
        <f t="array" ref="R213">INT(SUMPRODUCT(--ISNUMBER(SEARCH(race,C213)))&gt;0)</f>
        <v>0</v>
      </c>
      <c r="S213" s="14" cm="1">
        <f t="array" ref="S213">INT(SUMPRODUCT(--ISNUMBER(SEARCH(immigration,C213)))&gt;0)</f>
        <v>0</v>
      </c>
      <c r="T213" s="14" cm="1">
        <f t="array" ref="T213">INT(SUMPRODUCT(--ISNUMBER(SEARCH(econineq,C214)))&gt;0)</f>
        <v>0</v>
      </c>
      <c r="U213" s="14" cm="1">
        <f t="array" ref="U213">INT(SUMPRODUCT(--ISNUMBER(SEARCH(climate,C213)))&gt;0)</f>
        <v>0</v>
      </c>
      <c r="V213" s="14" cm="1">
        <f t="array" ref="V213">INT(SUMPRODUCT(--ISNUMBER(SEARCH(abortion,C213)))&gt;0)</f>
        <v>0</v>
      </c>
      <c r="W213" s="14" cm="1">
        <f t="array" ref="W213">INT(SUMPRODUCT(--ISNUMBER(SEARCH(trump,C213)))&gt;0)</f>
        <v>0</v>
      </c>
      <c r="X213" s="14" cm="1">
        <f t="array" ref="X213">INT(SUMPRODUCT(--ISNUMBER(SEARCH(voting,C213)))&gt;0)</f>
        <v>0</v>
      </c>
      <c r="Y213" s="14" cm="1">
        <f t="array" ref="Y213">INT(SUMPRODUCT(--ISNUMBER(SEARCH(democrattrigger,C213)))&gt;0)</f>
        <v>0</v>
      </c>
      <c r="Z213" s="14" cm="1">
        <f t="array" ref="Z213">INT(SUMPRODUCT(--ISNUMBER(SEARCH(bipartisan,C213)))&gt;0)</f>
        <v>0</v>
      </c>
      <c r="AA213" s="14">
        <f t="shared" si="3"/>
        <v>1</v>
      </c>
      <c r="AB213" s="14"/>
      <c r="AC213" s="30" t="s">
        <v>223</v>
      </c>
      <c r="AD213" s="37" t="s">
        <v>223</v>
      </c>
    </row>
    <row r="214" spans="1:30" x14ac:dyDescent="0.25">
      <c r="A214" s="36">
        <v>4055</v>
      </c>
      <c r="B214" s="14" t="s">
        <v>8133</v>
      </c>
      <c r="C214" s="14" t="s">
        <v>8134</v>
      </c>
      <c r="D214" s="17">
        <v>44121</v>
      </c>
      <c r="E214" s="14" t="s">
        <v>30</v>
      </c>
      <c r="F214" s="14">
        <v>1405</v>
      </c>
      <c r="G214" s="14">
        <v>526</v>
      </c>
      <c r="H214" s="14">
        <v>18</v>
      </c>
      <c r="I214" s="14">
        <v>9</v>
      </c>
      <c r="J214" s="14" t="s">
        <v>204</v>
      </c>
      <c r="K214" s="14" cm="1">
        <f t="array" ref="K214">INT(SUMPRODUCT(--ISNUMBER(SEARCH(economy,C214)))&gt;0)</f>
        <v>0</v>
      </c>
      <c r="L214" s="14" cm="1">
        <f t="array" ref="L214">INT(SUMPRODUCT(--ISNUMBER(SEARCH(healthcare,C214)))&gt;0)</f>
        <v>0</v>
      </c>
      <c r="M214" s="14" cm="1">
        <f t="array" ref="M214">INT(SUMPRODUCT(--ISNUMBER(SEARCH(supreme,C214)))&gt;0)</f>
        <v>0</v>
      </c>
      <c r="N214" s="14" cm="1">
        <f t="array" ref="N214">INT(SUMPRODUCT(--ISNUMBER(SEARCH(covid,C214)))&gt;0)</f>
        <v>0</v>
      </c>
      <c r="O214" s="14" cm="1">
        <f t="array" ref="O214">INT(SUMPRODUCT(--ISNUMBER(SEARCH(violent,C214)))&gt;0)</f>
        <v>0</v>
      </c>
      <c r="P214" s="14" cm="1">
        <f t="array" ref="P214">INT(SUMPRODUCT(--ISNUMBER(SEARCH(foreign,C214)))&gt;0)</f>
        <v>0</v>
      </c>
      <c r="Q214" s="14" cm="1">
        <f t="array" ref="Q214">INT(SUMPRODUCT(--ISNUMBER(SEARCH(gun,C214)))&gt;0)</f>
        <v>0</v>
      </c>
      <c r="R214" s="14" cm="1">
        <f t="array" ref="R214">INT(SUMPRODUCT(--ISNUMBER(SEARCH(race,C214)))&gt;0)</f>
        <v>0</v>
      </c>
      <c r="S214" s="14" cm="1">
        <f t="array" ref="S214">INT(SUMPRODUCT(--ISNUMBER(SEARCH(immigration,C214)))&gt;0)</f>
        <v>0</v>
      </c>
      <c r="T214" s="14" cm="1">
        <f t="array" ref="T214">INT(SUMPRODUCT(--ISNUMBER(SEARCH(econineq,C215)))&gt;0)</f>
        <v>0</v>
      </c>
      <c r="U214" s="14" cm="1">
        <f t="array" ref="U214">INT(SUMPRODUCT(--ISNUMBER(SEARCH(climate,C214)))&gt;0)</f>
        <v>0</v>
      </c>
      <c r="V214" s="14" cm="1">
        <f t="array" ref="V214">INT(SUMPRODUCT(--ISNUMBER(SEARCH(abortion,C214)))&gt;0)</f>
        <v>0</v>
      </c>
      <c r="W214" s="14" cm="1">
        <f t="array" ref="W214">INT(SUMPRODUCT(--ISNUMBER(SEARCH(trump,C214)))&gt;0)</f>
        <v>0</v>
      </c>
      <c r="X214" s="14" cm="1">
        <f t="array" ref="X214">INT(SUMPRODUCT(--ISNUMBER(SEARCH(voting,C214)))&gt;0)</f>
        <v>1</v>
      </c>
      <c r="Y214" s="14" cm="1">
        <f t="array" ref="Y214">INT(SUMPRODUCT(--ISNUMBER(SEARCH(democrattrigger,C214)))&gt;0)</f>
        <v>0</v>
      </c>
      <c r="Z214" s="14" cm="1">
        <f t="array" ref="Z214">INT(SUMPRODUCT(--ISNUMBER(SEARCH(bipartisan,C214)))&gt;0)</f>
        <v>0</v>
      </c>
      <c r="AA214" s="14">
        <f t="shared" si="3"/>
        <v>0</v>
      </c>
      <c r="AB214" s="14"/>
      <c r="AC214" s="30" t="s">
        <v>223</v>
      </c>
      <c r="AD214" s="37" t="s">
        <v>223</v>
      </c>
    </row>
    <row r="215" spans="1:30" x14ac:dyDescent="0.25">
      <c r="A215" s="36">
        <v>4056</v>
      </c>
      <c r="B215" s="14" t="s">
        <v>8135</v>
      </c>
      <c r="C215" s="14" t="s">
        <v>8136</v>
      </c>
      <c r="D215" s="17">
        <v>44121</v>
      </c>
      <c r="E215" s="14" t="s">
        <v>30</v>
      </c>
      <c r="F215" s="14">
        <v>2862</v>
      </c>
      <c r="G215" s="14">
        <v>1362</v>
      </c>
      <c r="H215" s="14">
        <v>18</v>
      </c>
      <c r="I215" s="14">
        <v>9</v>
      </c>
      <c r="J215" s="14" t="s">
        <v>204</v>
      </c>
      <c r="K215" s="14" cm="1">
        <f t="array" ref="K215">INT(SUMPRODUCT(--ISNUMBER(SEARCH(economy,C215)))&gt;0)</f>
        <v>0</v>
      </c>
      <c r="L215" s="14" cm="1">
        <f t="array" ref="L215">INT(SUMPRODUCT(--ISNUMBER(SEARCH(healthcare,C215)))&gt;0)</f>
        <v>1</v>
      </c>
      <c r="M215" s="14" cm="1">
        <f t="array" ref="M215">INT(SUMPRODUCT(--ISNUMBER(SEARCH(supreme,C215)))&gt;0)</f>
        <v>0</v>
      </c>
      <c r="N215" s="14" cm="1">
        <f t="array" ref="N215">INT(SUMPRODUCT(--ISNUMBER(SEARCH(covid,C215)))&gt;0)</f>
        <v>0</v>
      </c>
      <c r="O215" s="14" cm="1">
        <f t="array" ref="O215">INT(SUMPRODUCT(--ISNUMBER(SEARCH(violent,C215)))&gt;0)</f>
        <v>0</v>
      </c>
      <c r="P215" s="14" cm="1">
        <f t="array" ref="P215">INT(SUMPRODUCT(--ISNUMBER(SEARCH(foreign,C215)))&gt;0)</f>
        <v>0</v>
      </c>
      <c r="Q215" s="14" cm="1">
        <f t="array" ref="Q215">INT(SUMPRODUCT(--ISNUMBER(SEARCH(gun,C215)))&gt;0)</f>
        <v>0</v>
      </c>
      <c r="R215" s="14" cm="1">
        <f t="array" ref="R215">INT(SUMPRODUCT(--ISNUMBER(SEARCH(race,C215)))&gt;0)</f>
        <v>0</v>
      </c>
      <c r="S215" s="14" cm="1">
        <f t="array" ref="S215">INT(SUMPRODUCT(--ISNUMBER(SEARCH(immigration,C215)))&gt;0)</f>
        <v>0</v>
      </c>
      <c r="T215" s="14" cm="1">
        <f t="array" ref="T215">INT(SUMPRODUCT(--ISNUMBER(SEARCH(econineq,C216)))&gt;0)</f>
        <v>0</v>
      </c>
      <c r="U215" s="14" cm="1">
        <f t="array" ref="U215">INT(SUMPRODUCT(--ISNUMBER(SEARCH(climate,C215)))&gt;0)</f>
        <v>0</v>
      </c>
      <c r="V215" s="14" cm="1">
        <f t="array" ref="V215">INT(SUMPRODUCT(--ISNUMBER(SEARCH(abortion,C215)))&gt;0)</f>
        <v>0</v>
      </c>
      <c r="W215" s="14" cm="1">
        <f t="array" ref="W215">INT(SUMPRODUCT(--ISNUMBER(SEARCH(trump,C215)))&gt;0)</f>
        <v>0</v>
      </c>
      <c r="X215" s="14" cm="1">
        <f t="array" ref="X215">INT(SUMPRODUCT(--ISNUMBER(SEARCH(voting,C215)))&gt;0)</f>
        <v>0</v>
      </c>
      <c r="Y215" s="14" cm="1">
        <f t="array" ref="Y215">INT(SUMPRODUCT(--ISNUMBER(SEARCH(democrattrigger,C215)))&gt;0)</f>
        <v>1</v>
      </c>
      <c r="Z215" s="14" cm="1">
        <f t="array" ref="Z215">INT(SUMPRODUCT(--ISNUMBER(SEARCH(bipartisan,C215)))&gt;0)</f>
        <v>0</v>
      </c>
      <c r="AA215" s="14">
        <f t="shared" si="3"/>
        <v>0</v>
      </c>
      <c r="AB215" s="14"/>
      <c r="AC215" s="30">
        <v>1</v>
      </c>
      <c r="AD215" s="37">
        <v>1</v>
      </c>
    </row>
    <row r="216" spans="1:30" x14ac:dyDescent="0.25">
      <c r="A216" s="36">
        <v>4057</v>
      </c>
      <c r="B216" s="14" t="s">
        <v>8137</v>
      </c>
      <c r="C216" s="14" t="s">
        <v>8138</v>
      </c>
      <c r="D216" s="17">
        <v>44121</v>
      </c>
      <c r="E216" s="14" t="s">
        <v>30</v>
      </c>
      <c r="F216" s="14">
        <v>949</v>
      </c>
      <c r="G216" s="14">
        <v>250</v>
      </c>
      <c r="H216" s="14">
        <v>18</v>
      </c>
      <c r="I216" s="14">
        <v>9</v>
      </c>
      <c r="J216" s="14" t="s">
        <v>204</v>
      </c>
      <c r="K216" s="14" cm="1">
        <f t="array" ref="K216">INT(SUMPRODUCT(--ISNUMBER(SEARCH(economy,C216)))&gt;0)</f>
        <v>0</v>
      </c>
      <c r="L216" s="14" cm="1">
        <f t="array" ref="L216">INT(SUMPRODUCT(--ISNUMBER(SEARCH(healthcare,C216)))&gt;0)</f>
        <v>0</v>
      </c>
      <c r="M216" s="14" cm="1">
        <f t="array" ref="M216">INT(SUMPRODUCT(--ISNUMBER(SEARCH(supreme,C216)))&gt;0)</f>
        <v>0</v>
      </c>
      <c r="N216" s="14" cm="1">
        <f t="array" ref="N216">INT(SUMPRODUCT(--ISNUMBER(SEARCH(covid,C216)))&gt;0)</f>
        <v>0</v>
      </c>
      <c r="O216" s="14" cm="1">
        <f t="array" ref="O216">INT(SUMPRODUCT(--ISNUMBER(SEARCH(violent,C216)))&gt;0)</f>
        <v>0</v>
      </c>
      <c r="P216" s="14" cm="1">
        <f t="array" ref="P216">INT(SUMPRODUCT(--ISNUMBER(SEARCH(foreign,C216)))&gt;0)</f>
        <v>0</v>
      </c>
      <c r="Q216" s="14" cm="1">
        <f t="array" ref="Q216">INT(SUMPRODUCT(--ISNUMBER(SEARCH(gun,C216)))&gt;0)</f>
        <v>0</v>
      </c>
      <c r="R216" s="14" cm="1">
        <f t="array" ref="R216">INT(SUMPRODUCT(--ISNUMBER(SEARCH(race,C216)))&gt;0)</f>
        <v>0</v>
      </c>
      <c r="S216" s="14" cm="1">
        <f t="array" ref="S216">INT(SUMPRODUCT(--ISNUMBER(SEARCH(immigration,C216)))&gt;0)</f>
        <v>0</v>
      </c>
      <c r="T216" s="14" cm="1">
        <f t="array" ref="T216">INT(SUMPRODUCT(--ISNUMBER(SEARCH(econineq,C217)))&gt;0)</f>
        <v>0</v>
      </c>
      <c r="U216" s="14" cm="1">
        <f t="array" ref="U216">INT(SUMPRODUCT(--ISNUMBER(SEARCH(climate,C216)))&gt;0)</f>
        <v>0</v>
      </c>
      <c r="V216" s="14" cm="1">
        <f t="array" ref="V216">INT(SUMPRODUCT(--ISNUMBER(SEARCH(abortion,C216)))&gt;0)</f>
        <v>0</v>
      </c>
      <c r="W216" s="14" cm="1">
        <f t="array" ref="W216">INT(SUMPRODUCT(--ISNUMBER(SEARCH(trump,C216)))&gt;0)</f>
        <v>0</v>
      </c>
      <c r="X216" s="14" cm="1">
        <f t="array" ref="X216">INT(SUMPRODUCT(--ISNUMBER(SEARCH(voting,C216)))&gt;0)</f>
        <v>0</v>
      </c>
      <c r="Y216" s="14" cm="1">
        <f t="array" ref="Y216">INT(SUMPRODUCT(--ISNUMBER(SEARCH(democrattrigger,C216)))&gt;0)</f>
        <v>0</v>
      </c>
      <c r="Z216" s="14" cm="1">
        <f t="array" ref="Z216">INT(SUMPRODUCT(--ISNUMBER(SEARCH(bipartisan,C216)))&gt;0)</f>
        <v>0</v>
      </c>
      <c r="AA216" s="14">
        <f t="shared" si="3"/>
        <v>1</v>
      </c>
      <c r="AB216" s="14"/>
      <c r="AC216" s="30" t="s">
        <v>223</v>
      </c>
      <c r="AD216" s="37" t="s">
        <v>223</v>
      </c>
    </row>
    <row r="217" spans="1:30" x14ac:dyDescent="0.25">
      <c r="A217" s="36">
        <v>4058</v>
      </c>
      <c r="B217" s="14" t="s">
        <v>8139</v>
      </c>
      <c r="C217" s="14" t="s">
        <v>8140</v>
      </c>
      <c r="D217" s="17">
        <v>44121</v>
      </c>
      <c r="E217" s="14" t="s">
        <v>30</v>
      </c>
      <c r="F217" s="14">
        <v>1124</v>
      </c>
      <c r="G217" s="14">
        <v>307</v>
      </c>
      <c r="H217" s="14">
        <v>18</v>
      </c>
      <c r="I217" s="14">
        <v>9</v>
      </c>
      <c r="J217" s="14" t="s">
        <v>204</v>
      </c>
      <c r="K217" s="14" cm="1">
        <f t="array" ref="K217">INT(SUMPRODUCT(--ISNUMBER(SEARCH(economy,C217)))&gt;0)</f>
        <v>1</v>
      </c>
      <c r="L217" s="14" cm="1">
        <f t="array" ref="L217">INT(SUMPRODUCT(--ISNUMBER(SEARCH(healthcare,C217)))&gt;0)</f>
        <v>0</v>
      </c>
      <c r="M217" s="14" cm="1">
        <f t="array" ref="M217">INT(SUMPRODUCT(--ISNUMBER(SEARCH(supreme,C217)))&gt;0)</f>
        <v>0</v>
      </c>
      <c r="N217" s="14" cm="1">
        <f t="array" ref="N217">INT(SUMPRODUCT(--ISNUMBER(SEARCH(covid,C217)))&gt;0)</f>
        <v>0</v>
      </c>
      <c r="O217" s="14" cm="1">
        <f t="array" ref="O217">INT(SUMPRODUCT(--ISNUMBER(SEARCH(violent,C217)))&gt;0)</f>
        <v>0</v>
      </c>
      <c r="P217" s="14" cm="1">
        <f t="array" ref="P217">INT(SUMPRODUCT(--ISNUMBER(SEARCH(foreign,C217)))&gt;0)</f>
        <v>0</v>
      </c>
      <c r="Q217" s="14" cm="1">
        <f t="array" ref="Q217">INT(SUMPRODUCT(--ISNUMBER(SEARCH(gun,C217)))&gt;0)</f>
        <v>0</v>
      </c>
      <c r="R217" s="14" cm="1">
        <f t="array" ref="R217">INT(SUMPRODUCT(--ISNUMBER(SEARCH(race,C217)))&gt;0)</f>
        <v>0</v>
      </c>
      <c r="S217" s="14" cm="1">
        <f t="array" ref="S217">INT(SUMPRODUCT(--ISNUMBER(SEARCH(immigration,C217)))&gt;0)</f>
        <v>0</v>
      </c>
      <c r="T217" s="14" cm="1">
        <f t="array" ref="T217">INT(SUMPRODUCT(--ISNUMBER(SEARCH(econineq,C218)))&gt;0)</f>
        <v>0</v>
      </c>
      <c r="U217" s="14" cm="1">
        <f t="array" ref="U217">INT(SUMPRODUCT(--ISNUMBER(SEARCH(climate,C217)))&gt;0)</f>
        <v>0</v>
      </c>
      <c r="V217" s="14" cm="1">
        <f t="array" ref="V217">INT(SUMPRODUCT(--ISNUMBER(SEARCH(abortion,C217)))&gt;0)</f>
        <v>0</v>
      </c>
      <c r="W217" s="14" cm="1">
        <f t="array" ref="W217">INT(SUMPRODUCT(--ISNUMBER(SEARCH(trump,C217)))&gt;0)</f>
        <v>0</v>
      </c>
      <c r="X217" s="14" cm="1">
        <f t="array" ref="X217">INT(SUMPRODUCT(--ISNUMBER(SEARCH(voting,C217)))&gt;0)</f>
        <v>0</v>
      </c>
      <c r="Y217" s="14" cm="1">
        <f t="array" ref="Y217">INT(SUMPRODUCT(--ISNUMBER(SEARCH(democrattrigger,C217)))&gt;0)</f>
        <v>0</v>
      </c>
      <c r="Z217" s="14" cm="1">
        <f t="array" ref="Z217">INT(SUMPRODUCT(--ISNUMBER(SEARCH(bipartisan,C217)))&gt;0)</f>
        <v>0</v>
      </c>
      <c r="AA217" s="14">
        <f t="shared" si="3"/>
        <v>0</v>
      </c>
      <c r="AB217" s="14"/>
      <c r="AC217" s="30">
        <v>1</v>
      </c>
      <c r="AD217" s="37">
        <v>0</v>
      </c>
    </row>
    <row r="218" spans="1:30" x14ac:dyDescent="0.25">
      <c r="A218" s="36">
        <v>4059</v>
      </c>
      <c r="B218" s="14" t="s">
        <v>8141</v>
      </c>
      <c r="C218" s="14" t="s">
        <v>8142</v>
      </c>
      <c r="D218" s="17">
        <v>44121</v>
      </c>
      <c r="E218" s="14" t="s">
        <v>30</v>
      </c>
      <c r="F218" s="14">
        <v>681</v>
      </c>
      <c r="G218" s="14">
        <v>303</v>
      </c>
      <c r="H218" s="14">
        <v>18</v>
      </c>
      <c r="I218" s="14">
        <v>9</v>
      </c>
      <c r="J218" s="14" t="s">
        <v>204</v>
      </c>
      <c r="K218" s="14" cm="1">
        <f t="array" ref="K218">INT(SUMPRODUCT(--ISNUMBER(SEARCH(economy,C218)))&gt;0)</f>
        <v>0</v>
      </c>
      <c r="L218" s="14" cm="1">
        <f t="array" ref="L218">INT(SUMPRODUCT(--ISNUMBER(SEARCH(healthcare,C218)))&gt;0)</f>
        <v>0</v>
      </c>
      <c r="M218" s="14" cm="1">
        <f t="array" ref="M218">INT(SUMPRODUCT(--ISNUMBER(SEARCH(supreme,C218)))&gt;0)</f>
        <v>0</v>
      </c>
      <c r="N218" s="14" cm="1">
        <f t="array" ref="N218">INT(SUMPRODUCT(--ISNUMBER(SEARCH(covid,C218)))&gt;0)</f>
        <v>0</v>
      </c>
      <c r="O218" s="14" cm="1">
        <f t="array" ref="O218">INT(SUMPRODUCT(--ISNUMBER(SEARCH(violent,C218)))&gt;0)</f>
        <v>0</v>
      </c>
      <c r="P218" s="14" cm="1">
        <f t="array" ref="P218">INT(SUMPRODUCT(--ISNUMBER(SEARCH(foreign,C218)))&gt;0)</f>
        <v>0</v>
      </c>
      <c r="Q218" s="14" cm="1">
        <f t="array" ref="Q218">INT(SUMPRODUCT(--ISNUMBER(SEARCH(gun,C218)))&gt;0)</f>
        <v>0</v>
      </c>
      <c r="R218" s="14" cm="1">
        <f t="array" ref="R218">INT(SUMPRODUCT(--ISNUMBER(SEARCH(race,C218)))&gt;0)</f>
        <v>0</v>
      </c>
      <c r="S218" s="14" cm="1">
        <f t="array" ref="S218">INT(SUMPRODUCT(--ISNUMBER(SEARCH(immigration,C218)))&gt;0)</f>
        <v>0</v>
      </c>
      <c r="T218" s="14" cm="1">
        <f t="array" ref="T218">INT(SUMPRODUCT(--ISNUMBER(SEARCH(econineq,C219)))&gt;0)</f>
        <v>0</v>
      </c>
      <c r="U218" s="14" cm="1">
        <f t="array" ref="U218">INT(SUMPRODUCT(--ISNUMBER(SEARCH(climate,C218)))&gt;0)</f>
        <v>0</v>
      </c>
      <c r="V218" s="14" cm="1">
        <f t="array" ref="V218">INT(SUMPRODUCT(--ISNUMBER(SEARCH(abortion,C218)))&gt;0)</f>
        <v>0</v>
      </c>
      <c r="W218" s="14" cm="1">
        <f t="array" ref="W218">INT(SUMPRODUCT(--ISNUMBER(SEARCH(trump,C218)))&gt;0)</f>
        <v>0</v>
      </c>
      <c r="X218" s="14" cm="1">
        <f t="array" ref="X218">INT(SUMPRODUCT(--ISNUMBER(SEARCH(voting,C218)))&gt;0)</f>
        <v>1</v>
      </c>
      <c r="Y218" s="14" cm="1">
        <f t="array" ref="Y218">INT(SUMPRODUCT(--ISNUMBER(SEARCH(democrattrigger,C218)))&gt;0)</f>
        <v>0</v>
      </c>
      <c r="Z218" s="14" cm="1">
        <f t="array" ref="Z218">INT(SUMPRODUCT(--ISNUMBER(SEARCH(bipartisan,C218)))&gt;0)</f>
        <v>0</v>
      </c>
      <c r="AA218" s="14">
        <f t="shared" si="3"/>
        <v>0</v>
      </c>
      <c r="AB218" s="14"/>
      <c r="AC218" s="30" t="s">
        <v>223</v>
      </c>
      <c r="AD218" s="37" t="s">
        <v>223</v>
      </c>
    </row>
    <row r="219" spans="1:30" x14ac:dyDescent="0.25">
      <c r="A219" s="36">
        <v>4060</v>
      </c>
      <c r="B219" s="14" t="s">
        <v>8143</v>
      </c>
      <c r="C219" s="14" t="s">
        <v>8144</v>
      </c>
      <c r="D219" s="17">
        <v>44121</v>
      </c>
      <c r="E219" s="14" t="s">
        <v>30</v>
      </c>
      <c r="F219" s="14">
        <v>2766</v>
      </c>
      <c r="G219" s="14">
        <v>446</v>
      </c>
      <c r="H219" s="14">
        <v>18</v>
      </c>
      <c r="I219" s="14">
        <v>9</v>
      </c>
      <c r="J219" s="14" t="s">
        <v>204</v>
      </c>
      <c r="K219" s="14" cm="1">
        <f t="array" ref="K219">INT(SUMPRODUCT(--ISNUMBER(SEARCH(economy,C219)))&gt;0)</f>
        <v>0</v>
      </c>
      <c r="L219" s="14" cm="1">
        <f t="array" ref="L219">INT(SUMPRODUCT(--ISNUMBER(SEARCH(healthcare,C219)))&gt;0)</f>
        <v>0</v>
      </c>
      <c r="M219" s="14" cm="1">
        <f t="array" ref="M219">INT(SUMPRODUCT(--ISNUMBER(SEARCH(supreme,C219)))&gt;0)</f>
        <v>0</v>
      </c>
      <c r="N219" s="14" cm="1">
        <f t="array" ref="N219">INT(SUMPRODUCT(--ISNUMBER(SEARCH(covid,C219)))&gt;0)</f>
        <v>0</v>
      </c>
      <c r="O219" s="14" cm="1">
        <f t="array" ref="O219">INT(SUMPRODUCT(--ISNUMBER(SEARCH(violent,C219)))&gt;0)</f>
        <v>0</v>
      </c>
      <c r="P219" s="14" cm="1">
        <f t="array" ref="P219">INT(SUMPRODUCT(--ISNUMBER(SEARCH(foreign,C219)))&gt;0)</f>
        <v>0</v>
      </c>
      <c r="Q219" s="14" cm="1">
        <f t="array" ref="Q219">INT(SUMPRODUCT(--ISNUMBER(SEARCH(gun,C219)))&gt;0)</f>
        <v>0</v>
      </c>
      <c r="R219" s="14" cm="1">
        <f t="array" ref="R219">INT(SUMPRODUCT(--ISNUMBER(SEARCH(race,C219)))&gt;0)</f>
        <v>0</v>
      </c>
      <c r="S219" s="14" cm="1">
        <f t="array" ref="S219">INT(SUMPRODUCT(--ISNUMBER(SEARCH(immigration,C219)))&gt;0)</f>
        <v>0</v>
      </c>
      <c r="T219" s="14" cm="1">
        <f t="array" ref="T219">INT(SUMPRODUCT(--ISNUMBER(SEARCH(econineq,C220)))&gt;0)</f>
        <v>0</v>
      </c>
      <c r="U219" s="14" cm="1">
        <f t="array" ref="U219">INT(SUMPRODUCT(--ISNUMBER(SEARCH(climate,C219)))&gt;0)</f>
        <v>0</v>
      </c>
      <c r="V219" s="14" cm="1">
        <f t="array" ref="V219">INT(SUMPRODUCT(--ISNUMBER(SEARCH(abortion,C219)))&gt;0)</f>
        <v>0</v>
      </c>
      <c r="W219" s="14" cm="1">
        <f t="array" ref="W219">INT(SUMPRODUCT(--ISNUMBER(SEARCH(trump,C219)))&gt;0)</f>
        <v>0</v>
      </c>
      <c r="X219" s="14" cm="1">
        <f t="array" ref="X219">INT(SUMPRODUCT(--ISNUMBER(SEARCH(voting,C219)))&gt;0)</f>
        <v>1</v>
      </c>
      <c r="Y219" s="14" cm="1">
        <f t="array" ref="Y219">INT(SUMPRODUCT(--ISNUMBER(SEARCH(democrattrigger,C219)))&gt;0)</f>
        <v>0</v>
      </c>
      <c r="Z219" s="14" cm="1">
        <f t="array" ref="Z219">INT(SUMPRODUCT(--ISNUMBER(SEARCH(bipartisan,C219)))&gt;0)</f>
        <v>0</v>
      </c>
      <c r="AA219" s="14">
        <f t="shared" si="3"/>
        <v>0</v>
      </c>
      <c r="AB219" s="14"/>
      <c r="AC219" s="30" t="s">
        <v>223</v>
      </c>
      <c r="AD219" s="37" t="s">
        <v>223</v>
      </c>
    </row>
    <row r="220" spans="1:30" x14ac:dyDescent="0.25">
      <c r="A220" s="36">
        <v>4061</v>
      </c>
      <c r="B220" s="14" t="s">
        <v>8145</v>
      </c>
      <c r="C220" s="14" t="s">
        <v>8146</v>
      </c>
      <c r="D220" s="17">
        <v>44121</v>
      </c>
      <c r="E220" s="14" t="s">
        <v>30</v>
      </c>
      <c r="F220" s="14">
        <v>3102</v>
      </c>
      <c r="G220" s="14">
        <v>1379</v>
      </c>
      <c r="H220" s="14">
        <v>18</v>
      </c>
      <c r="I220" s="14">
        <v>9</v>
      </c>
      <c r="J220" s="14" t="s">
        <v>204</v>
      </c>
      <c r="K220" s="14" cm="1">
        <f t="array" ref="K220">INT(SUMPRODUCT(--ISNUMBER(SEARCH(economy,C220)))&gt;0)</f>
        <v>0</v>
      </c>
      <c r="L220" s="14" cm="1">
        <f t="array" ref="L220">INT(SUMPRODUCT(--ISNUMBER(SEARCH(healthcare,C220)))&gt;0)</f>
        <v>0</v>
      </c>
      <c r="M220" s="14" cm="1">
        <f t="array" ref="M220">INT(SUMPRODUCT(--ISNUMBER(SEARCH(supreme,C220)))&gt;0)</f>
        <v>0</v>
      </c>
      <c r="N220" s="14" cm="1">
        <f t="array" ref="N220">INT(SUMPRODUCT(--ISNUMBER(SEARCH(covid,C220)))&gt;0)</f>
        <v>0</v>
      </c>
      <c r="O220" s="14" cm="1">
        <f t="array" ref="O220">INT(SUMPRODUCT(--ISNUMBER(SEARCH(violent,C220)))&gt;0)</f>
        <v>0</v>
      </c>
      <c r="P220" s="14" cm="1">
        <f t="array" ref="P220">INT(SUMPRODUCT(--ISNUMBER(SEARCH(foreign,C220)))&gt;0)</f>
        <v>0</v>
      </c>
      <c r="Q220" s="14" cm="1">
        <f t="array" ref="Q220">INT(SUMPRODUCT(--ISNUMBER(SEARCH(gun,C220)))&gt;0)</f>
        <v>0</v>
      </c>
      <c r="R220" s="14" cm="1">
        <f t="array" ref="R220">INT(SUMPRODUCT(--ISNUMBER(SEARCH(race,C220)))&gt;0)</f>
        <v>0</v>
      </c>
      <c r="S220" s="14" cm="1">
        <f t="array" ref="S220">INT(SUMPRODUCT(--ISNUMBER(SEARCH(immigration,C220)))&gt;0)</f>
        <v>0</v>
      </c>
      <c r="T220" s="14" cm="1">
        <f t="array" ref="T220">INT(SUMPRODUCT(--ISNUMBER(SEARCH(econineq,C221)))&gt;0)</f>
        <v>0</v>
      </c>
      <c r="U220" s="14" cm="1">
        <f t="array" ref="U220">INT(SUMPRODUCT(--ISNUMBER(SEARCH(climate,C220)))&gt;0)</f>
        <v>0</v>
      </c>
      <c r="V220" s="14" cm="1">
        <f t="array" ref="V220">INT(SUMPRODUCT(--ISNUMBER(SEARCH(abortion,C220)))&gt;0)</f>
        <v>0</v>
      </c>
      <c r="W220" s="14" cm="1">
        <f t="array" ref="W220">INT(SUMPRODUCT(--ISNUMBER(SEARCH(trump,C220)))&gt;0)</f>
        <v>0</v>
      </c>
      <c r="X220" s="14" cm="1">
        <f t="array" ref="X220">INT(SUMPRODUCT(--ISNUMBER(SEARCH(voting,C220)))&gt;0)</f>
        <v>0</v>
      </c>
      <c r="Y220" s="14" cm="1">
        <f t="array" ref="Y220">INT(SUMPRODUCT(--ISNUMBER(SEARCH(democrattrigger,C220)))&gt;0)</f>
        <v>1</v>
      </c>
      <c r="Z220" s="14" cm="1">
        <f t="array" ref="Z220">INT(SUMPRODUCT(--ISNUMBER(SEARCH(bipartisan,C220)))&gt;0)</f>
        <v>0</v>
      </c>
      <c r="AA220" s="14">
        <f t="shared" si="3"/>
        <v>0</v>
      </c>
      <c r="AB220" s="14"/>
      <c r="AC220" s="30">
        <v>1</v>
      </c>
      <c r="AD220" s="37">
        <v>1</v>
      </c>
    </row>
    <row r="221" spans="1:30" x14ac:dyDescent="0.25">
      <c r="A221" s="36">
        <v>4062</v>
      </c>
      <c r="B221" s="14" t="s">
        <v>8147</v>
      </c>
      <c r="C221" s="14" t="s">
        <v>8148</v>
      </c>
      <c r="D221" s="17">
        <v>44120</v>
      </c>
      <c r="E221" s="14" t="s">
        <v>30</v>
      </c>
      <c r="F221" s="14">
        <v>701</v>
      </c>
      <c r="G221" s="14">
        <v>209</v>
      </c>
      <c r="H221" s="14">
        <v>18</v>
      </c>
      <c r="I221" s="14">
        <v>9</v>
      </c>
      <c r="J221" s="14" t="s">
        <v>204</v>
      </c>
      <c r="K221" s="14" cm="1">
        <f t="array" ref="K221">INT(SUMPRODUCT(--ISNUMBER(SEARCH(economy,C221)))&gt;0)</f>
        <v>0</v>
      </c>
      <c r="L221" s="14" cm="1">
        <f t="array" ref="L221">INT(SUMPRODUCT(--ISNUMBER(SEARCH(healthcare,C221)))&gt;0)</f>
        <v>0</v>
      </c>
      <c r="M221" s="14" cm="1">
        <f t="array" ref="M221">INT(SUMPRODUCT(--ISNUMBER(SEARCH(supreme,C221)))&gt;0)</f>
        <v>0</v>
      </c>
      <c r="N221" s="14" cm="1">
        <f t="array" ref="N221">INT(SUMPRODUCT(--ISNUMBER(SEARCH(covid,C221)))&gt;0)</f>
        <v>0</v>
      </c>
      <c r="O221" s="14" cm="1">
        <f t="array" ref="O221">INT(SUMPRODUCT(--ISNUMBER(SEARCH(violent,C221)))&gt;0)</f>
        <v>0</v>
      </c>
      <c r="P221" s="14" cm="1">
        <f t="array" ref="P221">INT(SUMPRODUCT(--ISNUMBER(SEARCH(foreign,C221)))&gt;0)</f>
        <v>0</v>
      </c>
      <c r="Q221" s="14" cm="1">
        <f t="array" ref="Q221">INT(SUMPRODUCT(--ISNUMBER(SEARCH(gun,C221)))&gt;0)</f>
        <v>0</v>
      </c>
      <c r="R221" s="14" cm="1">
        <f t="array" ref="R221">INT(SUMPRODUCT(--ISNUMBER(SEARCH(race,C221)))&gt;0)</f>
        <v>1</v>
      </c>
      <c r="S221" s="14" cm="1">
        <f t="array" ref="S221">INT(SUMPRODUCT(--ISNUMBER(SEARCH(immigration,C221)))&gt;0)</f>
        <v>0</v>
      </c>
      <c r="T221" s="14" cm="1">
        <f t="array" ref="T221">INT(SUMPRODUCT(--ISNUMBER(SEARCH(econineq,C222)))&gt;0)</f>
        <v>0</v>
      </c>
      <c r="U221" s="14" cm="1">
        <f t="array" ref="U221">INT(SUMPRODUCT(--ISNUMBER(SEARCH(climate,C221)))&gt;0)</f>
        <v>0</v>
      </c>
      <c r="V221" s="14" cm="1">
        <f t="array" ref="V221">INT(SUMPRODUCT(--ISNUMBER(SEARCH(abortion,C221)))&gt;0)</f>
        <v>0</v>
      </c>
      <c r="W221" s="14" cm="1">
        <f t="array" ref="W221">INT(SUMPRODUCT(--ISNUMBER(SEARCH(trump,C221)))&gt;0)</f>
        <v>0</v>
      </c>
      <c r="X221" s="14" cm="1">
        <f t="array" ref="X221">INT(SUMPRODUCT(--ISNUMBER(SEARCH(voting,C221)))&gt;0)</f>
        <v>0</v>
      </c>
      <c r="Y221" s="14" cm="1">
        <f t="array" ref="Y221">INT(SUMPRODUCT(--ISNUMBER(SEARCH(democrattrigger,C221)))&gt;0)</f>
        <v>0</v>
      </c>
      <c r="Z221" s="14" cm="1">
        <f t="array" ref="Z221">INT(SUMPRODUCT(--ISNUMBER(SEARCH(bipartisan,C221)))&gt;0)</f>
        <v>0</v>
      </c>
      <c r="AA221" s="14">
        <f t="shared" si="3"/>
        <v>0</v>
      </c>
      <c r="AB221" s="14"/>
      <c r="AC221" s="30" t="s">
        <v>223</v>
      </c>
      <c r="AD221" s="37" t="s">
        <v>223</v>
      </c>
    </row>
    <row r="222" spans="1:30" x14ac:dyDescent="0.25">
      <c r="A222" s="36">
        <v>4063</v>
      </c>
      <c r="B222" s="14" t="s">
        <v>8149</v>
      </c>
      <c r="C222" s="14" t="s">
        <v>8150</v>
      </c>
      <c r="D222" s="17">
        <v>44120</v>
      </c>
      <c r="E222" s="14" t="s">
        <v>30</v>
      </c>
      <c r="F222" s="14">
        <v>1912</v>
      </c>
      <c r="G222" s="14">
        <v>784</v>
      </c>
      <c r="H222" s="14">
        <v>18</v>
      </c>
      <c r="I222" s="14">
        <v>9</v>
      </c>
      <c r="J222" s="14" t="s">
        <v>204</v>
      </c>
      <c r="K222" s="14" cm="1">
        <f t="array" ref="K222">INT(SUMPRODUCT(--ISNUMBER(SEARCH(economy,C222)))&gt;0)</f>
        <v>0</v>
      </c>
      <c r="L222" s="14" cm="1">
        <f t="array" ref="L222">INT(SUMPRODUCT(--ISNUMBER(SEARCH(healthcare,C222)))&gt;0)</f>
        <v>0</v>
      </c>
      <c r="M222" s="14" cm="1">
        <f t="array" ref="M222">INT(SUMPRODUCT(--ISNUMBER(SEARCH(supreme,C222)))&gt;0)</f>
        <v>0</v>
      </c>
      <c r="N222" s="14" cm="1">
        <f t="array" ref="N222">INT(SUMPRODUCT(--ISNUMBER(SEARCH(covid,C222)))&gt;0)</f>
        <v>0</v>
      </c>
      <c r="O222" s="14" cm="1">
        <f t="array" ref="O222">INT(SUMPRODUCT(--ISNUMBER(SEARCH(violent,C222)))&gt;0)</f>
        <v>0</v>
      </c>
      <c r="P222" s="14" cm="1">
        <f t="array" ref="P222">INT(SUMPRODUCT(--ISNUMBER(SEARCH(foreign,C222)))&gt;0)</f>
        <v>0</v>
      </c>
      <c r="Q222" s="14" cm="1">
        <f t="array" ref="Q222">INT(SUMPRODUCT(--ISNUMBER(SEARCH(gun,C222)))&gt;0)</f>
        <v>0</v>
      </c>
      <c r="R222" s="14" cm="1">
        <f t="array" ref="R222">INT(SUMPRODUCT(--ISNUMBER(SEARCH(race,C222)))&gt;0)</f>
        <v>0</v>
      </c>
      <c r="S222" s="14" cm="1">
        <f t="array" ref="S222">INT(SUMPRODUCT(--ISNUMBER(SEARCH(immigration,C222)))&gt;0)</f>
        <v>0</v>
      </c>
      <c r="T222" s="14" cm="1">
        <f t="array" ref="T222">INT(SUMPRODUCT(--ISNUMBER(SEARCH(econineq,C223)))&gt;0)</f>
        <v>0</v>
      </c>
      <c r="U222" s="14" cm="1">
        <f t="array" ref="U222">INT(SUMPRODUCT(--ISNUMBER(SEARCH(climate,C222)))&gt;0)</f>
        <v>0</v>
      </c>
      <c r="V222" s="14" cm="1">
        <f t="array" ref="V222">INT(SUMPRODUCT(--ISNUMBER(SEARCH(abortion,C222)))&gt;0)</f>
        <v>0</v>
      </c>
      <c r="W222" s="14" cm="1">
        <f t="array" ref="W222">INT(SUMPRODUCT(--ISNUMBER(SEARCH(trump,C222)))&gt;0)</f>
        <v>0</v>
      </c>
      <c r="X222" s="14" cm="1">
        <f t="array" ref="X222">INT(SUMPRODUCT(--ISNUMBER(SEARCH(voting,C222)))&gt;0)</f>
        <v>1</v>
      </c>
      <c r="Y222" s="14" cm="1">
        <f t="array" ref="Y222">INT(SUMPRODUCT(--ISNUMBER(SEARCH(democrattrigger,C222)))&gt;0)</f>
        <v>1</v>
      </c>
      <c r="Z222" s="14" cm="1">
        <f t="array" ref="Z222">INT(SUMPRODUCT(--ISNUMBER(SEARCH(bipartisan,C222)))&gt;0)</f>
        <v>0</v>
      </c>
      <c r="AA222" s="14">
        <f t="shared" si="3"/>
        <v>0</v>
      </c>
      <c r="AB222" s="14"/>
      <c r="AC222" s="30">
        <v>0</v>
      </c>
      <c r="AD222" s="37">
        <v>1</v>
      </c>
    </row>
    <row r="223" spans="1:30" x14ac:dyDescent="0.25">
      <c r="A223" s="36">
        <v>4064</v>
      </c>
      <c r="B223" s="14" t="s">
        <v>8151</v>
      </c>
      <c r="C223" s="14" t="s">
        <v>8152</v>
      </c>
      <c r="D223" s="17">
        <v>44120</v>
      </c>
      <c r="E223" s="14" t="s">
        <v>30</v>
      </c>
      <c r="F223" s="14">
        <v>2295</v>
      </c>
      <c r="G223" s="14">
        <v>510</v>
      </c>
      <c r="H223" s="14">
        <v>18</v>
      </c>
      <c r="I223" s="14">
        <v>9</v>
      </c>
      <c r="J223" s="14" t="s">
        <v>204</v>
      </c>
      <c r="K223" s="14" cm="1">
        <f t="array" ref="K223">INT(SUMPRODUCT(--ISNUMBER(SEARCH(economy,C223)))&gt;0)</f>
        <v>0</v>
      </c>
      <c r="L223" s="14" cm="1">
        <f t="array" ref="L223">INT(SUMPRODUCT(--ISNUMBER(SEARCH(healthcare,C223)))&gt;0)</f>
        <v>0</v>
      </c>
      <c r="M223" s="14" cm="1">
        <f t="array" ref="M223">INT(SUMPRODUCT(--ISNUMBER(SEARCH(supreme,C223)))&gt;0)</f>
        <v>0</v>
      </c>
      <c r="N223" s="14" cm="1">
        <f t="array" ref="N223">INT(SUMPRODUCT(--ISNUMBER(SEARCH(covid,C223)))&gt;0)</f>
        <v>0</v>
      </c>
      <c r="O223" s="14" cm="1">
        <f t="array" ref="O223">INT(SUMPRODUCT(--ISNUMBER(SEARCH(violent,C223)))&gt;0)</f>
        <v>0</v>
      </c>
      <c r="P223" s="14" cm="1">
        <f t="array" ref="P223">INT(SUMPRODUCT(--ISNUMBER(SEARCH(foreign,C223)))&gt;0)</f>
        <v>0</v>
      </c>
      <c r="Q223" s="14" cm="1">
        <f t="array" ref="Q223">INT(SUMPRODUCT(--ISNUMBER(SEARCH(gun,C223)))&gt;0)</f>
        <v>0</v>
      </c>
      <c r="R223" s="14" cm="1">
        <f t="array" ref="R223">INT(SUMPRODUCT(--ISNUMBER(SEARCH(race,C223)))&gt;0)</f>
        <v>0</v>
      </c>
      <c r="S223" s="14" cm="1">
        <f t="array" ref="S223">INT(SUMPRODUCT(--ISNUMBER(SEARCH(immigration,C223)))&gt;0)</f>
        <v>0</v>
      </c>
      <c r="T223" s="14" cm="1">
        <f t="array" ref="T223">INT(SUMPRODUCT(--ISNUMBER(SEARCH(econineq,C224)))&gt;0)</f>
        <v>0</v>
      </c>
      <c r="U223" s="14" cm="1">
        <f t="array" ref="U223">INT(SUMPRODUCT(--ISNUMBER(SEARCH(climate,C223)))&gt;0)</f>
        <v>0</v>
      </c>
      <c r="V223" s="14" cm="1">
        <f t="array" ref="V223">INT(SUMPRODUCT(--ISNUMBER(SEARCH(abortion,C223)))&gt;0)</f>
        <v>0</v>
      </c>
      <c r="W223" s="14" cm="1">
        <f t="array" ref="W223">INT(SUMPRODUCT(--ISNUMBER(SEARCH(trump,C223)))&gt;0)</f>
        <v>0</v>
      </c>
      <c r="X223" s="14" cm="1">
        <f t="array" ref="X223">INT(SUMPRODUCT(--ISNUMBER(SEARCH(voting,C223)))&gt;0)</f>
        <v>0</v>
      </c>
      <c r="Y223" s="14" cm="1">
        <f t="array" ref="Y223">INT(SUMPRODUCT(--ISNUMBER(SEARCH(democrattrigger,C223)))&gt;0)</f>
        <v>0</v>
      </c>
      <c r="Z223" s="14" cm="1">
        <f t="array" ref="Z223">INT(SUMPRODUCT(--ISNUMBER(SEARCH(bipartisan,C223)))&gt;0)</f>
        <v>0</v>
      </c>
      <c r="AA223" s="14">
        <f t="shared" si="3"/>
        <v>1</v>
      </c>
      <c r="AB223" s="14"/>
      <c r="AC223" s="30" t="s">
        <v>223</v>
      </c>
      <c r="AD223" s="37" t="s">
        <v>223</v>
      </c>
    </row>
    <row r="224" spans="1:30" x14ac:dyDescent="0.25">
      <c r="A224" s="36">
        <v>4065</v>
      </c>
      <c r="B224" s="14" t="s">
        <v>8153</v>
      </c>
      <c r="C224" s="14" t="s">
        <v>8154</v>
      </c>
      <c r="D224" s="17">
        <v>44120</v>
      </c>
      <c r="E224" s="14" t="s">
        <v>30</v>
      </c>
      <c r="F224" s="14">
        <v>1075</v>
      </c>
      <c r="G224" s="14">
        <v>434</v>
      </c>
      <c r="H224" s="14">
        <v>18</v>
      </c>
      <c r="I224" s="14">
        <v>9</v>
      </c>
      <c r="J224" s="14" t="s">
        <v>204</v>
      </c>
      <c r="K224" s="14" cm="1">
        <f t="array" ref="K224">INT(SUMPRODUCT(--ISNUMBER(SEARCH(economy,C224)))&gt;0)</f>
        <v>0</v>
      </c>
      <c r="L224" s="14" cm="1">
        <f t="array" ref="L224">INT(SUMPRODUCT(--ISNUMBER(SEARCH(healthcare,C224)))&gt;0)</f>
        <v>0</v>
      </c>
      <c r="M224" s="14" cm="1">
        <f t="array" ref="M224">INT(SUMPRODUCT(--ISNUMBER(SEARCH(supreme,C224)))&gt;0)</f>
        <v>0</v>
      </c>
      <c r="N224" s="14" cm="1">
        <f t="array" ref="N224">INT(SUMPRODUCT(--ISNUMBER(SEARCH(covid,C224)))&gt;0)</f>
        <v>0</v>
      </c>
      <c r="O224" s="14" cm="1">
        <f t="array" ref="O224">INT(SUMPRODUCT(--ISNUMBER(SEARCH(violent,C224)))&gt;0)</f>
        <v>0</v>
      </c>
      <c r="P224" s="14" cm="1">
        <f t="array" ref="P224">INT(SUMPRODUCT(--ISNUMBER(SEARCH(foreign,C224)))&gt;0)</f>
        <v>0</v>
      </c>
      <c r="Q224" s="14" cm="1">
        <f t="array" ref="Q224">INT(SUMPRODUCT(--ISNUMBER(SEARCH(gun,C224)))&gt;0)</f>
        <v>0</v>
      </c>
      <c r="R224" s="14" cm="1">
        <f t="array" ref="R224">INT(SUMPRODUCT(--ISNUMBER(SEARCH(race,C224)))&gt;0)</f>
        <v>0</v>
      </c>
      <c r="S224" s="14" cm="1">
        <f t="array" ref="S224">INT(SUMPRODUCT(--ISNUMBER(SEARCH(immigration,C224)))&gt;0)</f>
        <v>0</v>
      </c>
      <c r="T224" s="14" cm="1">
        <f t="array" ref="T224">INT(SUMPRODUCT(--ISNUMBER(SEARCH(econineq,C225)))&gt;0)</f>
        <v>0</v>
      </c>
      <c r="U224" s="14" cm="1">
        <f t="array" ref="U224">INT(SUMPRODUCT(--ISNUMBER(SEARCH(climate,C224)))&gt;0)</f>
        <v>0</v>
      </c>
      <c r="V224" s="14" cm="1">
        <f t="array" ref="V224">INT(SUMPRODUCT(--ISNUMBER(SEARCH(abortion,C224)))&gt;0)</f>
        <v>0</v>
      </c>
      <c r="W224" s="14" cm="1">
        <f t="array" ref="W224">INT(SUMPRODUCT(--ISNUMBER(SEARCH(trump,C224)))&gt;0)</f>
        <v>0</v>
      </c>
      <c r="X224" s="14" cm="1">
        <f t="array" ref="X224">INT(SUMPRODUCT(--ISNUMBER(SEARCH(voting,C224)))&gt;0)</f>
        <v>0</v>
      </c>
      <c r="Y224" s="14" cm="1">
        <f t="array" ref="Y224">INT(SUMPRODUCT(--ISNUMBER(SEARCH(democrattrigger,C224)))&gt;0)</f>
        <v>0</v>
      </c>
      <c r="Z224" s="14" cm="1">
        <f t="array" ref="Z224">INT(SUMPRODUCT(--ISNUMBER(SEARCH(bipartisan,C224)))&gt;0)</f>
        <v>0</v>
      </c>
      <c r="AA224" s="14">
        <f t="shared" si="3"/>
        <v>1</v>
      </c>
      <c r="AB224" s="14"/>
      <c r="AC224" s="30" t="s">
        <v>223</v>
      </c>
      <c r="AD224" s="37" t="s">
        <v>223</v>
      </c>
    </row>
    <row r="225" spans="1:30" x14ac:dyDescent="0.25">
      <c r="A225" s="36">
        <v>4066</v>
      </c>
      <c r="B225" s="14" t="s">
        <v>8155</v>
      </c>
      <c r="C225" s="14" t="s">
        <v>8156</v>
      </c>
      <c r="D225" s="17">
        <v>44120</v>
      </c>
      <c r="E225" s="14" t="s">
        <v>30</v>
      </c>
      <c r="F225" s="14">
        <v>1013</v>
      </c>
      <c r="G225" s="14">
        <v>427</v>
      </c>
      <c r="H225" s="14">
        <v>18</v>
      </c>
      <c r="I225" s="14">
        <v>9</v>
      </c>
      <c r="J225" s="14" t="s">
        <v>204</v>
      </c>
      <c r="K225" s="14" cm="1">
        <f t="array" ref="K225">INT(SUMPRODUCT(--ISNUMBER(SEARCH(economy,C225)))&gt;0)</f>
        <v>0</v>
      </c>
      <c r="L225" s="14" cm="1">
        <f t="array" ref="L225">INT(SUMPRODUCT(--ISNUMBER(SEARCH(healthcare,C225)))&gt;0)</f>
        <v>0</v>
      </c>
      <c r="M225" s="14" cm="1">
        <f t="array" ref="M225">INT(SUMPRODUCT(--ISNUMBER(SEARCH(supreme,C225)))&gt;0)</f>
        <v>0</v>
      </c>
      <c r="N225" s="14" cm="1">
        <f t="array" ref="N225">INT(SUMPRODUCT(--ISNUMBER(SEARCH(covid,C225)))&gt;0)</f>
        <v>0</v>
      </c>
      <c r="O225" s="14" cm="1">
        <f t="array" ref="O225">INT(SUMPRODUCT(--ISNUMBER(SEARCH(violent,C225)))&gt;0)</f>
        <v>0</v>
      </c>
      <c r="P225" s="14" cm="1">
        <f t="array" ref="P225">INT(SUMPRODUCT(--ISNUMBER(SEARCH(foreign,C225)))&gt;0)</f>
        <v>0</v>
      </c>
      <c r="Q225" s="14" cm="1">
        <f t="array" ref="Q225">INT(SUMPRODUCT(--ISNUMBER(SEARCH(gun,C225)))&gt;0)</f>
        <v>1</v>
      </c>
      <c r="R225" s="14" cm="1">
        <f t="array" ref="R225">INT(SUMPRODUCT(--ISNUMBER(SEARCH(race,C225)))&gt;0)</f>
        <v>0</v>
      </c>
      <c r="S225" s="14" cm="1">
        <f t="array" ref="S225">INT(SUMPRODUCT(--ISNUMBER(SEARCH(immigration,C225)))&gt;0)</f>
        <v>0</v>
      </c>
      <c r="T225" s="14" cm="1">
        <f t="array" ref="T225">INT(SUMPRODUCT(--ISNUMBER(SEARCH(econineq,C226)))&gt;0)</f>
        <v>0</v>
      </c>
      <c r="U225" s="14" cm="1">
        <f t="array" ref="U225">INT(SUMPRODUCT(--ISNUMBER(SEARCH(climate,C225)))&gt;0)</f>
        <v>0</v>
      </c>
      <c r="V225" s="14" cm="1">
        <f t="array" ref="V225">INT(SUMPRODUCT(--ISNUMBER(SEARCH(abortion,C225)))&gt;0)</f>
        <v>0</v>
      </c>
      <c r="W225" s="14" cm="1">
        <f t="array" ref="W225">INT(SUMPRODUCT(--ISNUMBER(SEARCH(trump,C225)))&gt;0)</f>
        <v>0</v>
      </c>
      <c r="X225" s="14" cm="1">
        <f t="array" ref="X225">INT(SUMPRODUCT(--ISNUMBER(SEARCH(voting,C225)))&gt;0)</f>
        <v>1</v>
      </c>
      <c r="Y225" s="14" cm="1">
        <f t="array" ref="Y225">INT(SUMPRODUCT(--ISNUMBER(SEARCH(democrattrigger,C225)))&gt;0)</f>
        <v>0</v>
      </c>
      <c r="Z225" s="14" cm="1">
        <f t="array" ref="Z225">INT(SUMPRODUCT(--ISNUMBER(SEARCH(bipartisan,C225)))&gt;0)</f>
        <v>0</v>
      </c>
      <c r="AA225" s="14">
        <f t="shared" si="3"/>
        <v>0</v>
      </c>
      <c r="AB225" s="14"/>
      <c r="AC225" s="30" t="s">
        <v>223</v>
      </c>
      <c r="AD225" s="37" t="s">
        <v>223</v>
      </c>
    </row>
    <row r="226" spans="1:30" x14ac:dyDescent="0.25">
      <c r="A226" s="36">
        <v>4067</v>
      </c>
      <c r="B226" s="14" t="s">
        <v>8157</v>
      </c>
      <c r="C226" s="14" t="s">
        <v>8158</v>
      </c>
      <c r="D226" s="17">
        <v>44120</v>
      </c>
      <c r="E226" s="14" t="s">
        <v>30</v>
      </c>
      <c r="F226" s="14">
        <v>1812</v>
      </c>
      <c r="G226" s="14">
        <v>389</v>
      </c>
      <c r="H226" s="14">
        <v>18</v>
      </c>
      <c r="I226" s="14">
        <v>9</v>
      </c>
      <c r="J226" s="14" t="s">
        <v>204</v>
      </c>
      <c r="K226" s="14" cm="1">
        <f t="array" ref="K226">INT(SUMPRODUCT(--ISNUMBER(SEARCH(economy,C226)))&gt;0)</f>
        <v>0</v>
      </c>
      <c r="L226" s="14" cm="1">
        <f t="array" ref="L226">INT(SUMPRODUCT(--ISNUMBER(SEARCH(healthcare,C226)))&gt;0)</f>
        <v>0</v>
      </c>
      <c r="M226" s="14" cm="1">
        <f t="array" ref="M226">INT(SUMPRODUCT(--ISNUMBER(SEARCH(supreme,C226)))&gt;0)</f>
        <v>0</v>
      </c>
      <c r="N226" s="14" cm="1">
        <f t="array" ref="N226">INT(SUMPRODUCT(--ISNUMBER(SEARCH(covid,C226)))&gt;0)</f>
        <v>0</v>
      </c>
      <c r="O226" s="14" cm="1">
        <f t="array" ref="O226">INT(SUMPRODUCT(--ISNUMBER(SEARCH(violent,C226)))&gt;0)</f>
        <v>0</v>
      </c>
      <c r="P226" s="14" cm="1">
        <f t="array" ref="P226">INT(SUMPRODUCT(--ISNUMBER(SEARCH(foreign,C226)))&gt;0)</f>
        <v>0</v>
      </c>
      <c r="Q226" s="14" cm="1">
        <f t="array" ref="Q226">INT(SUMPRODUCT(--ISNUMBER(SEARCH(gun,C226)))&gt;0)</f>
        <v>0</v>
      </c>
      <c r="R226" s="14" cm="1">
        <f t="array" ref="R226">INT(SUMPRODUCT(--ISNUMBER(SEARCH(race,C226)))&gt;0)</f>
        <v>0</v>
      </c>
      <c r="S226" s="14" cm="1">
        <f t="array" ref="S226">INT(SUMPRODUCT(--ISNUMBER(SEARCH(immigration,C226)))&gt;0)</f>
        <v>0</v>
      </c>
      <c r="T226" s="14" cm="1">
        <f t="array" ref="T226">INT(SUMPRODUCT(--ISNUMBER(SEARCH(econineq,C227)))&gt;0)</f>
        <v>0</v>
      </c>
      <c r="U226" s="14" cm="1">
        <f t="array" ref="U226">INT(SUMPRODUCT(--ISNUMBER(SEARCH(climate,C226)))&gt;0)</f>
        <v>0</v>
      </c>
      <c r="V226" s="14" cm="1">
        <f t="array" ref="V226">INT(SUMPRODUCT(--ISNUMBER(SEARCH(abortion,C226)))&gt;0)</f>
        <v>0</v>
      </c>
      <c r="W226" s="14" cm="1">
        <f t="array" ref="W226">INT(SUMPRODUCT(--ISNUMBER(SEARCH(trump,C226)))&gt;0)</f>
        <v>0</v>
      </c>
      <c r="X226" s="14" cm="1">
        <f t="array" ref="X226">INT(SUMPRODUCT(--ISNUMBER(SEARCH(voting,C226)))&gt;0)</f>
        <v>0</v>
      </c>
      <c r="Y226" s="14" cm="1">
        <f t="array" ref="Y226">INT(SUMPRODUCT(--ISNUMBER(SEARCH(democrattrigger,C226)))&gt;0)</f>
        <v>0</v>
      </c>
      <c r="Z226" s="14" cm="1">
        <f t="array" ref="Z226">INT(SUMPRODUCT(--ISNUMBER(SEARCH(bipartisan,C226)))&gt;0)</f>
        <v>0</v>
      </c>
      <c r="AA226" s="14">
        <f t="shared" si="3"/>
        <v>1</v>
      </c>
      <c r="AB226" s="14"/>
      <c r="AC226" s="30" t="s">
        <v>223</v>
      </c>
      <c r="AD226" s="37" t="s">
        <v>223</v>
      </c>
    </row>
    <row r="227" spans="1:30" x14ac:dyDescent="0.25">
      <c r="A227" s="36">
        <v>4068</v>
      </c>
      <c r="B227" s="14" t="s">
        <v>8159</v>
      </c>
      <c r="C227" s="14" t="s">
        <v>8160</v>
      </c>
      <c r="D227" s="17">
        <v>44120</v>
      </c>
      <c r="E227" s="14" t="s">
        <v>30</v>
      </c>
      <c r="F227" s="14">
        <v>5996</v>
      </c>
      <c r="G227" s="14">
        <v>1948</v>
      </c>
      <c r="H227" s="14">
        <v>18</v>
      </c>
      <c r="I227" s="14">
        <v>9</v>
      </c>
      <c r="J227" s="14" t="s">
        <v>204</v>
      </c>
      <c r="K227" s="14" cm="1">
        <f t="array" ref="K227">INT(SUMPRODUCT(--ISNUMBER(SEARCH(economy,C227)))&gt;0)</f>
        <v>0</v>
      </c>
      <c r="L227" s="14" cm="1">
        <f t="array" ref="L227">INT(SUMPRODUCT(--ISNUMBER(SEARCH(healthcare,C227)))&gt;0)</f>
        <v>0</v>
      </c>
      <c r="M227" s="14" cm="1">
        <f t="array" ref="M227">INT(SUMPRODUCT(--ISNUMBER(SEARCH(supreme,C227)))&gt;0)</f>
        <v>0</v>
      </c>
      <c r="N227" s="14" cm="1">
        <f t="array" ref="N227">INT(SUMPRODUCT(--ISNUMBER(SEARCH(covid,C227)))&gt;0)</f>
        <v>0</v>
      </c>
      <c r="O227" s="14" cm="1">
        <f t="array" ref="O227">INT(SUMPRODUCT(--ISNUMBER(SEARCH(violent,C227)))&gt;0)</f>
        <v>0</v>
      </c>
      <c r="P227" s="14" cm="1">
        <f t="array" ref="P227">INT(SUMPRODUCT(--ISNUMBER(SEARCH(foreign,C227)))&gt;0)</f>
        <v>0</v>
      </c>
      <c r="Q227" s="14" cm="1">
        <f t="array" ref="Q227">INT(SUMPRODUCT(--ISNUMBER(SEARCH(gun,C227)))&gt;0)</f>
        <v>0</v>
      </c>
      <c r="R227" s="14" cm="1">
        <f t="array" ref="R227">INT(SUMPRODUCT(--ISNUMBER(SEARCH(race,C227)))&gt;0)</f>
        <v>0</v>
      </c>
      <c r="S227" s="14" cm="1">
        <f t="array" ref="S227">INT(SUMPRODUCT(--ISNUMBER(SEARCH(immigration,C227)))&gt;0)</f>
        <v>0</v>
      </c>
      <c r="T227" s="14" cm="1">
        <f t="array" ref="T227">INT(SUMPRODUCT(--ISNUMBER(SEARCH(econineq,C228)))&gt;0)</f>
        <v>0</v>
      </c>
      <c r="U227" s="14" cm="1">
        <f t="array" ref="U227">INT(SUMPRODUCT(--ISNUMBER(SEARCH(climate,C227)))&gt;0)</f>
        <v>0</v>
      </c>
      <c r="V227" s="14" cm="1">
        <f t="array" ref="V227">INT(SUMPRODUCT(--ISNUMBER(SEARCH(abortion,C227)))&gt;0)</f>
        <v>0</v>
      </c>
      <c r="W227" s="14" cm="1">
        <f t="array" ref="W227">INT(SUMPRODUCT(--ISNUMBER(SEARCH(trump,C227)))&gt;0)</f>
        <v>0</v>
      </c>
      <c r="X227" s="14" cm="1">
        <f t="array" ref="X227">INT(SUMPRODUCT(--ISNUMBER(SEARCH(voting,C227)))&gt;0)</f>
        <v>0</v>
      </c>
      <c r="Y227" s="14" cm="1">
        <f t="array" ref="Y227">INT(SUMPRODUCT(--ISNUMBER(SEARCH(democrattrigger,C227)))&gt;0)</f>
        <v>0</v>
      </c>
      <c r="Z227" s="14" cm="1">
        <f t="array" ref="Z227">INT(SUMPRODUCT(--ISNUMBER(SEARCH(bipartisan,C227)))&gt;0)</f>
        <v>0</v>
      </c>
      <c r="AA227" s="14">
        <f t="shared" si="3"/>
        <v>1</v>
      </c>
      <c r="AB227" s="14"/>
      <c r="AC227" s="30" t="s">
        <v>223</v>
      </c>
      <c r="AD227" s="37" t="s">
        <v>223</v>
      </c>
    </row>
    <row r="228" spans="1:30" x14ac:dyDescent="0.25">
      <c r="A228" s="36">
        <v>4069</v>
      </c>
      <c r="B228" s="14" t="s">
        <v>8161</v>
      </c>
      <c r="C228" s="14" t="s">
        <v>8162</v>
      </c>
      <c r="D228" s="17">
        <v>44120</v>
      </c>
      <c r="E228" s="14" t="s">
        <v>30</v>
      </c>
      <c r="F228" s="14">
        <v>1142</v>
      </c>
      <c r="G228" s="14">
        <v>261</v>
      </c>
      <c r="H228" s="14">
        <v>18</v>
      </c>
      <c r="I228" s="14">
        <v>9</v>
      </c>
      <c r="J228" s="14" t="s">
        <v>204</v>
      </c>
      <c r="K228" s="14" cm="1">
        <f t="array" ref="K228">INT(SUMPRODUCT(--ISNUMBER(SEARCH(economy,C228)))&gt;0)</f>
        <v>0</v>
      </c>
      <c r="L228" s="14" cm="1">
        <f t="array" ref="L228">INT(SUMPRODUCT(--ISNUMBER(SEARCH(healthcare,C228)))&gt;0)</f>
        <v>0</v>
      </c>
      <c r="M228" s="14" cm="1">
        <f t="array" ref="M228">INT(SUMPRODUCT(--ISNUMBER(SEARCH(supreme,C228)))&gt;0)</f>
        <v>0</v>
      </c>
      <c r="N228" s="14" cm="1">
        <f t="array" ref="N228">INT(SUMPRODUCT(--ISNUMBER(SEARCH(covid,C228)))&gt;0)</f>
        <v>0</v>
      </c>
      <c r="O228" s="14" cm="1">
        <f t="array" ref="O228">INT(SUMPRODUCT(--ISNUMBER(SEARCH(violent,C228)))&gt;0)</f>
        <v>0</v>
      </c>
      <c r="P228" s="14" cm="1">
        <f t="array" ref="P228">INT(SUMPRODUCT(--ISNUMBER(SEARCH(foreign,C228)))&gt;0)</f>
        <v>0</v>
      </c>
      <c r="Q228" s="14" cm="1">
        <f t="array" ref="Q228">INT(SUMPRODUCT(--ISNUMBER(SEARCH(gun,C228)))&gt;0)</f>
        <v>0</v>
      </c>
      <c r="R228" s="14" cm="1">
        <f t="array" ref="R228">INT(SUMPRODUCT(--ISNUMBER(SEARCH(race,C228)))&gt;0)</f>
        <v>0</v>
      </c>
      <c r="S228" s="14" cm="1">
        <f t="array" ref="S228">INT(SUMPRODUCT(--ISNUMBER(SEARCH(immigration,C228)))&gt;0)</f>
        <v>0</v>
      </c>
      <c r="T228" s="14" cm="1">
        <f t="array" ref="T228">INT(SUMPRODUCT(--ISNUMBER(SEARCH(econineq,C229)))&gt;0)</f>
        <v>0</v>
      </c>
      <c r="U228" s="14" cm="1">
        <f t="array" ref="U228">INT(SUMPRODUCT(--ISNUMBER(SEARCH(climate,C228)))&gt;0)</f>
        <v>0</v>
      </c>
      <c r="V228" s="14" cm="1">
        <f t="array" ref="V228">INT(SUMPRODUCT(--ISNUMBER(SEARCH(abortion,C228)))&gt;0)</f>
        <v>0</v>
      </c>
      <c r="W228" s="14" cm="1">
        <f t="array" ref="W228">INT(SUMPRODUCT(--ISNUMBER(SEARCH(trump,C228)))&gt;0)</f>
        <v>0</v>
      </c>
      <c r="X228" s="14" cm="1">
        <f t="array" ref="X228">INT(SUMPRODUCT(--ISNUMBER(SEARCH(voting,C228)))&gt;0)</f>
        <v>0</v>
      </c>
      <c r="Y228" s="14" cm="1">
        <f t="array" ref="Y228">INT(SUMPRODUCT(--ISNUMBER(SEARCH(democrattrigger,C228)))&gt;0)</f>
        <v>0</v>
      </c>
      <c r="Z228" s="14" cm="1">
        <f t="array" ref="Z228">INT(SUMPRODUCT(--ISNUMBER(SEARCH(bipartisan,C228)))&gt;0)</f>
        <v>0</v>
      </c>
      <c r="AA228" s="14">
        <f t="shared" si="3"/>
        <v>1</v>
      </c>
      <c r="AB228" s="14"/>
      <c r="AC228" s="30" t="s">
        <v>223</v>
      </c>
      <c r="AD228" s="37" t="s">
        <v>223</v>
      </c>
    </row>
    <row r="229" spans="1:30" x14ac:dyDescent="0.25">
      <c r="A229" s="36">
        <v>4070</v>
      </c>
      <c r="B229" s="14" t="s">
        <v>8163</v>
      </c>
      <c r="C229" s="14" t="s">
        <v>8164</v>
      </c>
      <c r="D229" s="17">
        <v>44120</v>
      </c>
      <c r="E229" s="14" t="s">
        <v>30</v>
      </c>
      <c r="F229" s="14">
        <v>8132</v>
      </c>
      <c r="G229" s="14">
        <v>3357</v>
      </c>
      <c r="H229" s="14">
        <v>18</v>
      </c>
      <c r="I229" s="14">
        <v>9</v>
      </c>
      <c r="J229" s="14" t="s">
        <v>204</v>
      </c>
      <c r="K229" s="14" cm="1">
        <f t="array" ref="K229">INT(SUMPRODUCT(--ISNUMBER(SEARCH(economy,C229)))&gt;0)</f>
        <v>0</v>
      </c>
      <c r="L229" s="14" cm="1">
        <f t="array" ref="L229">INT(SUMPRODUCT(--ISNUMBER(SEARCH(healthcare,C229)))&gt;0)</f>
        <v>0</v>
      </c>
      <c r="M229" s="14" cm="1">
        <f t="array" ref="M229">INT(SUMPRODUCT(--ISNUMBER(SEARCH(supreme,C229)))&gt;0)</f>
        <v>0</v>
      </c>
      <c r="N229" s="14" cm="1">
        <f t="array" ref="N229">INT(SUMPRODUCT(--ISNUMBER(SEARCH(covid,C229)))&gt;0)</f>
        <v>0</v>
      </c>
      <c r="O229" s="14" cm="1">
        <f t="array" ref="O229">INT(SUMPRODUCT(--ISNUMBER(SEARCH(violent,C229)))&gt;0)</f>
        <v>0</v>
      </c>
      <c r="P229" s="14" cm="1">
        <f t="array" ref="P229">INT(SUMPRODUCT(--ISNUMBER(SEARCH(foreign,C229)))&gt;0)</f>
        <v>0</v>
      </c>
      <c r="Q229" s="14" cm="1">
        <f t="array" ref="Q229">INT(SUMPRODUCT(--ISNUMBER(SEARCH(gun,C229)))&gt;0)</f>
        <v>0</v>
      </c>
      <c r="R229" s="14" cm="1">
        <f t="array" ref="R229">INT(SUMPRODUCT(--ISNUMBER(SEARCH(race,C229)))&gt;0)</f>
        <v>0</v>
      </c>
      <c r="S229" s="14" cm="1">
        <f t="array" ref="S229">INT(SUMPRODUCT(--ISNUMBER(SEARCH(immigration,C229)))&gt;0)</f>
        <v>0</v>
      </c>
      <c r="T229" s="14" cm="1">
        <f t="array" ref="T229">INT(SUMPRODUCT(--ISNUMBER(SEARCH(econineq,C230)))&gt;0)</f>
        <v>0</v>
      </c>
      <c r="U229" s="14" cm="1">
        <f t="array" ref="U229">INT(SUMPRODUCT(--ISNUMBER(SEARCH(climate,C229)))&gt;0)</f>
        <v>0</v>
      </c>
      <c r="V229" s="14" cm="1">
        <f t="array" ref="V229">INT(SUMPRODUCT(--ISNUMBER(SEARCH(abortion,C229)))&gt;0)</f>
        <v>0</v>
      </c>
      <c r="W229" s="14" cm="1">
        <f t="array" ref="W229">INT(SUMPRODUCT(--ISNUMBER(SEARCH(trump,C229)))&gt;0)</f>
        <v>0</v>
      </c>
      <c r="X229" s="14" cm="1">
        <f t="array" ref="X229">INT(SUMPRODUCT(--ISNUMBER(SEARCH(voting,C229)))&gt;0)</f>
        <v>0</v>
      </c>
      <c r="Y229" s="14" cm="1">
        <f t="array" ref="Y229">INT(SUMPRODUCT(--ISNUMBER(SEARCH(democrattrigger,C229)))&gt;0)</f>
        <v>0</v>
      </c>
      <c r="Z229" s="14" cm="1">
        <f t="array" ref="Z229">INT(SUMPRODUCT(--ISNUMBER(SEARCH(bipartisan,C229)))&gt;0)</f>
        <v>0</v>
      </c>
      <c r="AA229" s="14">
        <f t="shared" si="3"/>
        <v>1</v>
      </c>
      <c r="AB229" s="14"/>
      <c r="AC229" s="30">
        <v>0</v>
      </c>
      <c r="AD229" s="37">
        <v>1</v>
      </c>
    </row>
    <row r="230" spans="1:30" x14ac:dyDescent="0.25">
      <c r="A230" s="36">
        <v>4071</v>
      </c>
      <c r="B230" s="14" t="s">
        <v>8165</v>
      </c>
      <c r="C230" s="14" t="s">
        <v>8166</v>
      </c>
      <c r="D230" s="17">
        <v>44120</v>
      </c>
      <c r="E230" s="14" t="s">
        <v>30</v>
      </c>
      <c r="F230" s="14">
        <v>4794</v>
      </c>
      <c r="G230" s="14">
        <v>1768</v>
      </c>
      <c r="H230" s="14">
        <v>18</v>
      </c>
      <c r="I230" s="14">
        <v>9</v>
      </c>
      <c r="J230" s="14" t="s">
        <v>204</v>
      </c>
      <c r="K230" s="14" cm="1">
        <f t="array" ref="K230">INT(SUMPRODUCT(--ISNUMBER(SEARCH(economy,C230)))&gt;0)</f>
        <v>0</v>
      </c>
      <c r="L230" s="14" cm="1">
        <f t="array" ref="L230">INT(SUMPRODUCT(--ISNUMBER(SEARCH(healthcare,C230)))&gt;0)</f>
        <v>0</v>
      </c>
      <c r="M230" s="14" cm="1">
        <f t="array" ref="M230">INT(SUMPRODUCT(--ISNUMBER(SEARCH(supreme,C230)))&gt;0)</f>
        <v>0</v>
      </c>
      <c r="N230" s="14" cm="1">
        <f t="array" ref="N230">INT(SUMPRODUCT(--ISNUMBER(SEARCH(covid,C230)))&gt;0)</f>
        <v>0</v>
      </c>
      <c r="O230" s="14" cm="1">
        <f t="array" ref="O230">INT(SUMPRODUCT(--ISNUMBER(SEARCH(violent,C230)))&gt;0)</f>
        <v>0</v>
      </c>
      <c r="P230" s="14" cm="1">
        <f t="array" ref="P230">INT(SUMPRODUCT(--ISNUMBER(SEARCH(foreign,C230)))&gt;0)</f>
        <v>1</v>
      </c>
      <c r="Q230" s="14" cm="1">
        <f t="array" ref="Q230">INT(SUMPRODUCT(--ISNUMBER(SEARCH(gun,C230)))&gt;0)</f>
        <v>0</v>
      </c>
      <c r="R230" s="14" cm="1">
        <f t="array" ref="R230">INT(SUMPRODUCT(--ISNUMBER(SEARCH(race,C230)))&gt;0)</f>
        <v>0</v>
      </c>
      <c r="S230" s="14" cm="1">
        <f t="array" ref="S230">INT(SUMPRODUCT(--ISNUMBER(SEARCH(immigration,C230)))&gt;0)</f>
        <v>0</v>
      </c>
      <c r="T230" s="14" cm="1">
        <f t="array" ref="T230">INT(SUMPRODUCT(--ISNUMBER(SEARCH(econineq,C231)))&gt;0)</f>
        <v>0</v>
      </c>
      <c r="U230" s="14" cm="1">
        <f t="array" ref="U230">INT(SUMPRODUCT(--ISNUMBER(SEARCH(climate,C230)))&gt;0)</f>
        <v>0</v>
      </c>
      <c r="V230" s="14" cm="1">
        <f t="array" ref="V230">INT(SUMPRODUCT(--ISNUMBER(SEARCH(abortion,C230)))&gt;0)</f>
        <v>0</v>
      </c>
      <c r="W230" s="14" cm="1">
        <f t="array" ref="W230">INT(SUMPRODUCT(--ISNUMBER(SEARCH(trump,C230)))&gt;0)</f>
        <v>0</v>
      </c>
      <c r="X230" s="14" cm="1">
        <f t="array" ref="X230">INT(SUMPRODUCT(--ISNUMBER(SEARCH(voting,C230)))&gt;0)</f>
        <v>0</v>
      </c>
      <c r="Y230" s="14" cm="1">
        <f t="array" ref="Y230">INT(SUMPRODUCT(--ISNUMBER(SEARCH(democrattrigger,C230)))&gt;0)</f>
        <v>1</v>
      </c>
      <c r="Z230" s="14" cm="1">
        <f t="array" ref="Z230">INT(SUMPRODUCT(--ISNUMBER(SEARCH(bipartisan,C230)))&gt;0)</f>
        <v>0</v>
      </c>
      <c r="AA230" s="14">
        <f t="shared" si="3"/>
        <v>0</v>
      </c>
      <c r="AB230" s="14"/>
      <c r="AC230" s="30" t="s">
        <v>223</v>
      </c>
      <c r="AD230" s="37" t="s">
        <v>223</v>
      </c>
    </row>
    <row r="231" spans="1:30" x14ac:dyDescent="0.25">
      <c r="A231" s="36">
        <v>4072</v>
      </c>
      <c r="B231" s="14" t="s">
        <v>8167</v>
      </c>
      <c r="C231" s="14" t="s">
        <v>8168</v>
      </c>
      <c r="D231" s="17">
        <v>44120</v>
      </c>
      <c r="E231" s="14" t="s">
        <v>30</v>
      </c>
      <c r="F231" s="14">
        <v>3891</v>
      </c>
      <c r="G231" s="14">
        <v>1524</v>
      </c>
      <c r="H231" s="14">
        <v>18</v>
      </c>
      <c r="I231" s="14">
        <v>9</v>
      </c>
      <c r="J231" s="14" t="s">
        <v>204</v>
      </c>
      <c r="K231" s="14" cm="1">
        <f t="array" ref="K231">INT(SUMPRODUCT(--ISNUMBER(SEARCH(economy,C231)))&gt;0)</f>
        <v>0</v>
      </c>
      <c r="L231" s="14" cm="1">
        <f t="array" ref="L231">INT(SUMPRODUCT(--ISNUMBER(SEARCH(healthcare,C231)))&gt;0)</f>
        <v>0</v>
      </c>
      <c r="M231" s="14" cm="1">
        <f t="array" ref="M231">INT(SUMPRODUCT(--ISNUMBER(SEARCH(supreme,C231)))&gt;0)</f>
        <v>0</v>
      </c>
      <c r="N231" s="14" cm="1">
        <f t="array" ref="N231">INT(SUMPRODUCT(--ISNUMBER(SEARCH(covid,C231)))&gt;0)</f>
        <v>0</v>
      </c>
      <c r="O231" s="14" cm="1">
        <f t="array" ref="O231">INT(SUMPRODUCT(--ISNUMBER(SEARCH(violent,C231)))&gt;0)</f>
        <v>0</v>
      </c>
      <c r="P231" s="14" cm="1">
        <f t="array" ref="P231">INT(SUMPRODUCT(--ISNUMBER(SEARCH(foreign,C231)))&gt;0)</f>
        <v>0</v>
      </c>
      <c r="Q231" s="14" cm="1">
        <f t="array" ref="Q231">INT(SUMPRODUCT(--ISNUMBER(SEARCH(gun,C231)))&gt;0)</f>
        <v>0</v>
      </c>
      <c r="R231" s="14" cm="1">
        <f t="array" ref="R231">INT(SUMPRODUCT(--ISNUMBER(SEARCH(race,C231)))&gt;0)</f>
        <v>0</v>
      </c>
      <c r="S231" s="14" cm="1">
        <f t="array" ref="S231">INT(SUMPRODUCT(--ISNUMBER(SEARCH(immigration,C231)))&gt;0)</f>
        <v>0</v>
      </c>
      <c r="T231" s="14" cm="1">
        <f t="array" ref="T231">INT(SUMPRODUCT(--ISNUMBER(SEARCH(econineq,C232)))&gt;0)</f>
        <v>0</v>
      </c>
      <c r="U231" s="14" cm="1">
        <f t="array" ref="U231">INT(SUMPRODUCT(--ISNUMBER(SEARCH(climate,C231)))&gt;0)</f>
        <v>0</v>
      </c>
      <c r="V231" s="14" cm="1">
        <f t="array" ref="V231">INT(SUMPRODUCT(--ISNUMBER(SEARCH(abortion,C231)))&gt;0)</f>
        <v>0</v>
      </c>
      <c r="W231" s="14" cm="1">
        <f t="array" ref="W231">INT(SUMPRODUCT(--ISNUMBER(SEARCH(trump,C231)))&gt;0)</f>
        <v>0</v>
      </c>
      <c r="X231" s="14" cm="1">
        <f t="array" ref="X231">INT(SUMPRODUCT(--ISNUMBER(SEARCH(voting,C231)))&gt;0)</f>
        <v>0</v>
      </c>
      <c r="Y231" s="14" cm="1">
        <f t="array" ref="Y231">INT(SUMPRODUCT(--ISNUMBER(SEARCH(democrattrigger,C231)))&gt;0)</f>
        <v>1</v>
      </c>
      <c r="Z231" s="14" cm="1">
        <f t="array" ref="Z231">INT(SUMPRODUCT(--ISNUMBER(SEARCH(bipartisan,C231)))&gt;0)</f>
        <v>0</v>
      </c>
      <c r="AA231" s="14">
        <f t="shared" si="3"/>
        <v>0</v>
      </c>
      <c r="AB231" s="14"/>
      <c r="AC231" s="30">
        <v>0</v>
      </c>
      <c r="AD231" s="37">
        <v>1</v>
      </c>
    </row>
    <row r="232" spans="1:30" x14ac:dyDescent="0.25">
      <c r="A232" s="36">
        <v>4073</v>
      </c>
      <c r="B232" s="14" t="s">
        <v>8169</v>
      </c>
      <c r="C232" s="14" t="s">
        <v>8170</v>
      </c>
      <c r="D232" s="17">
        <v>44119</v>
      </c>
      <c r="E232" s="14" t="s">
        <v>30</v>
      </c>
      <c r="F232" s="14">
        <v>794</v>
      </c>
      <c r="G232" s="14">
        <v>328</v>
      </c>
      <c r="H232" s="14">
        <v>18</v>
      </c>
      <c r="I232" s="14">
        <v>9</v>
      </c>
      <c r="J232" s="14" t="s">
        <v>204</v>
      </c>
      <c r="K232" s="14" cm="1">
        <f t="array" ref="K232">INT(SUMPRODUCT(--ISNUMBER(SEARCH(economy,C232)))&gt;0)</f>
        <v>0</v>
      </c>
      <c r="L232" s="14" cm="1">
        <f t="array" ref="L232">INT(SUMPRODUCT(--ISNUMBER(SEARCH(healthcare,C232)))&gt;0)</f>
        <v>0</v>
      </c>
      <c r="M232" s="14" cm="1">
        <f t="array" ref="M232">INT(SUMPRODUCT(--ISNUMBER(SEARCH(supreme,C232)))&gt;0)</f>
        <v>0</v>
      </c>
      <c r="N232" s="14" cm="1">
        <f t="array" ref="N232">INT(SUMPRODUCT(--ISNUMBER(SEARCH(covid,C232)))&gt;0)</f>
        <v>0</v>
      </c>
      <c r="O232" s="14" cm="1">
        <f t="array" ref="O232">INT(SUMPRODUCT(--ISNUMBER(SEARCH(violent,C232)))&gt;0)</f>
        <v>0</v>
      </c>
      <c r="P232" s="14" cm="1">
        <f t="array" ref="P232">INT(SUMPRODUCT(--ISNUMBER(SEARCH(foreign,C232)))&gt;0)</f>
        <v>0</v>
      </c>
      <c r="Q232" s="14" cm="1">
        <f t="array" ref="Q232">INT(SUMPRODUCT(--ISNUMBER(SEARCH(gun,C232)))&gt;0)</f>
        <v>0</v>
      </c>
      <c r="R232" s="14" cm="1">
        <f t="array" ref="R232">INT(SUMPRODUCT(--ISNUMBER(SEARCH(race,C232)))&gt;0)</f>
        <v>0</v>
      </c>
      <c r="S232" s="14" cm="1">
        <f t="array" ref="S232">INT(SUMPRODUCT(--ISNUMBER(SEARCH(immigration,C232)))&gt;0)</f>
        <v>0</v>
      </c>
      <c r="T232" s="14" cm="1">
        <f t="array" ref="T232">INT(SUMPRODUCT(--ISNUMBER(SEARCH(econineq,C233)))&gt;0)</f>
        <v>0</v>
      </c>
      <c r="U232" s="14" cm="1">
        <f t="array" ref="U232">INT(SUMPRODUCT(--ISNUMBER(SEARCH(climate,C232)))&gt;0)</f>
        <v>0</v>
      </c>
      <c r="V232" s="14" cm="1">
        <f t="array" ref="V232">INT(SUMPRODUCT(--ISNUMBER(SEARCH(abortion,C232)))&gt;0)</f>
        <v>0</v>
      </c>
      <c r="W232" s="14" cm="1">
        <f t="array" ref="W232">INT(SUMPRODUCT(--ISNUMBER(SEARCH(trump,C232)))&gt;0)</f>
        <v>0</v>
      </c>
      <c r="X232" s="14" cm="1">
        <f t="array" ref="X232">INT(SUMPRODUCT(--ISNUMBER(SEARCH(voting,C232)))&gt;0)</f>
        <v>0</v>
      </c>
      <c r="Y232" s="14" cm="1">
        <f t="array" ref="Y232">INT(SUMPRODUCT(--ISNUMBER(SEARCH(democrattrigger,C232)))&gt;0)</f>
        <v>0</v>
      </c>
      <c r="Z232" s="14" cm="1">
        <f t="array" ref="Z232">INT(SUMPRODUCT(--ISNUMBER(SEARCH(bipartisan,C232)))&gt;0)</f>
        <v>0</v>
      </c>
      <c r="AA232" s="14">
        <f t="shared" si="3"/>
        <v>1</v>
      </c>
      <c r="AB232" s="14"/>
      <c r="AC232" s="30" t="s">
        <v>223</v>
      </c>
      <c r="AD232" s="37" t="s">
        <v>223</v>
      </c>
    </row>
    <row r="233" spans="1:30" x14ac:dyDescent="0.25">
      <c r="A233" s="36">
        <v>4074</v>
      </c>
      <c r="B233" s="14" t="s">
        <v>8171</v>
      </c>
      <c r="C233" s="14" t="s">
        <v>8172</v>
      </c>
      <c r="D233" s="17">
        <v>44119</v>
      </c>
      <c r="E233" s="14" t="s">
        <v>30</v>
      </c>
      <c r="F233" s="14">
        <v>582</v>
      </c>
      <c r="G233" s="14">
        <v>197</v>
      </c>
      <c r="H233" s="14">
        <v>18</v>
      </c>
      <c r="I233" s="14">
        <v>9</v>
      </c>
      <c r="J233" s="14" t="s">
        <v>204</v>
      </c>
      <c r="K233" s="14" cm="1">
        <f t="array" ref="K233">INT(SUMPRODUCT(--ISNUMBER(SEARCH(economy,C233)))&gt;0)</f>
        <v>0</v>
      </c>
      <c r="L233" s="14" cm="1">
        <f t="array" ref="L233">INT(SUMPRODUCT(--ISNUMBER(SEARCH(healthcare,C233)))&gt;0)</f>
        <v>0</v>
      </c>
      <c r="M233" s="14" cm="1">
        <f t="array" ref="M233">INT(SUMPRODUCT(--ISNUMBER(SEARCH(supreme,C233)))&gt;0)</f>
        <v>0</v>
      </c>
      <c r="N233" s="14" cm="1">
        <f t="array" ref="N233">INT(SUMPRODUCT(--ISNUMBER(SEARCH(covid,C233)))&gt;0)</f>
        <v>0</v>
      </c>
      <c r="O233" s="14" cm="1">
        <f t="array" ref="O233">INT(SUMPRODUCT(--ISNUMBER(SEARCH(violent,C233)))&gt;0)</f>
        <v>0</v>
      </c>
      <c r="P233" s="14" cm="1">
        <f t="array" ref="P233">INT(SUMPRODUCT(--ISNUMBER(SEARCH(foreign,C233)))&gt;0)</f>
        <v>0</v>
      </c>
      <c r="Q233" s="14" cm="1">
        <f t="array" ref="Q233">INT(SUMPRODUCT(--ISNUMBER(SEARCH(gun,C233)))&gt;0)</f>
        <v>0</v>
      </c>
      <c r="R233" s="14" cm="1">
        <f t="array" ref="R233">INT(SUMPRODUCT(--ISNUMBER(SEARCH(race,C233)))&gt;0)</f>
        <v>0</v>
      </c>
      <c r="S233" s="14" cm="1">
        <f t="array" ref="S233">INT(SUMPRODUCT(--ISNUMBER(SEARCH(immigration,C233)))&gt;0)</f>
        <v>0</v>
      </c>
      <c r="T233" s="14" cm="1">
        <f t="array" ref="T233">INT(SUMPRODUCT(--ISNUMBER(SEARCH(econineq,C234)))&gt;0)</f>
        <v>0</v>
      </c>
      <c r="U233" s="14" cm="1">
        <f t="array" ref="U233">INT(SUMPRODUCT(--ISNUMBER(SEARCH(climate,C233)))&gt;0)</f>
        <v>0</v>
      </c>
      <c r="V233" s="14" cm="1">
        <f t="array" ref="V233">INT(SUMPRODUCT(--ISNUMBER(SEARCH(abortion,C233)))&gt;0)</f>
        <v>0</v>
      </c>
      <c r="W233" s="14" cm="1">
        <f t="array" ref="W233">INT(SUMPRODUCT(--ISNUMBER(SEARCH(trump,C233)))&gt;0)</f>
        <v>0</v>
      </c>
      <c r="X233" s="14" cm="1">
        <f t="array" ref="X233">INT(SUMPRODUCT(--ISNUMBER(SEARCH(voting,C233)))&gt;0)</f>
        <v>0</v>
      </c>
      <c r="Y233" s="14" cm="1">
        <f t="array" ref="Y233">INT(SUMPRODUCT(--ISNUMBER(SEARCH(democrattrigger,C233)))&gt;0)</f>
        <v>0</v>
      </c>
      <c r="Z233" s="14" cm="1">
        <f t="array" ref="Z233">INT(SUMPRODUCT(--ISNUMBER(SEARCH(bipartisan,C233)))&gt;0)</f>
        <v>0</v>
      </c>
      <c r="AA233" s="14">
        <f t="shared" si="3"/>
        <v>1</v>
      </c>
      <c r="AB233" s="14"/>
      <c r="AC233" s="30" t="s">
        <v>223</v>
      </c>
      <c r="AD233" s="37" t="s">
        <v>223</v>
      </c>
    </row>
    <row r="234" spans="1:30" x14ac:dyDescent="0.25">
      <c r="A234" s="36">
        <v>4075</v>
      </c>
      <c r="B234" s="14" t="s">
        <v>8173</v>
      </c>
      <c r="C234" s="14" t="s">
        <v>8174</v>
      </c>
      <c r="D234" s="17">
        <v>44119</v>
      </c>
      <c r="E234" s="14" t="s">
        <v>30</v>
      </c>
      <c r="F234" s="14">
        <v>3809</v>
      </c>
      <c r="G234" s="14">
        <v>856</v>
      </c>
      <c r="H234" s="14">
        <v>18</v>
      </c>
      <c r="I234" s="14">
        <v>9</v>
      </c>
      <c r="J234" s="14" t="s">
        <v>204</v>
      </c>
      <c r="K234" s="14" cm="1">
        <f t="array" ref="K234">INT(SUMPRODUCT(--ISNUMBER(SEARCH(economy,C234)))&gt;0)</f>
        <v>0</v>
      </c>
      <c r="L234" s="14" cm="1">
        <f t="array" ref="L234">INT(SUMPRODUCT(--ISNUMBER(SEARCH(healthcare,C234)))&gt;0)</f>
        <v>0</v>
      </c>
      <c r="M234" s="14" cm="1">
        <f t="array" ref="M234">INT(SUMPRODUCT(--ISNUMBER(SEARCH(supreme,C234)))&gt;0)</f>
        <v>0</v>
      </c>
      <c r="N234" s="14" cm="1">
        <f t="array" ref="N234">INT(SUMPRODUCT(--ISNUMBER(SEARCH(covid,C234)))&gt;0)</f>
        <v>0</v>
      </c>
      <c r="O234" s="14" cm="1">
        <f t="array" ref="O234">INT(SUMPRODUCT(--ISNUMBER(SEARCH(violent,C234)))&gt;0)</f>
        <v>0</v>
      </c>
      <c r="P234" s="14" cm="1">
        <f t="array" ref="P234">INT(SUMPRODUCT(--ISNUMBER(SEARCH(foreign,C234)))&gt;0)</f>
        <v>0</v>
      </c>
      <c r="Q234" s="14" cm="1">
        <f t="array" ref="Q234">INT(SUMPRODUCT(--ISNUMBER(SEARCH(gun,C234)))&gt;0)</f>
        <v>0</v>
      </c>
      <c r="R234" s="14" cm="1">
        <f t="array" ref="R234">INT(SUMPRODUCT(--ISNUMBER(SEARCH(race,C234)))&gt;0)</f>
        <v>0</v>
      </c>
      <c r="S234" s="14" cm="1">
        <f t="array" ref="S234">INT(SUMPRODUCT(--ISNUMBER(SEARCH(immigration,C234)))&gt;0)</f>
        <v>0</v>
      </c>
      <c r="T234" s="14" cm="1">
        <f t="array" ref="T234">INT(SUMPRODUCT(--ISNUMBER(SEARCH(econineq,C235)))&gt;0)</f>
        <v>0</v>
      </c>
      <c r="U234" s="14" cm="1">
        <f t="array" ref="U234">INT(SUMPRODUCT(--ISNUMBER(SEARCH(climate,C234)))&gt;0)</f>
        <v>0</v>
      </c>
      <c r="V234" s="14" cm="1">
        <f t="array" ref="V234">INT(SUMPRODUCT(--ISNUMBER(SEARCH(abortion,C234)))&gt;0)</f>
        <v>0</v>
      </c>
      <c r="W234" s="14" cm="1">
        <f t="array" ref="W234">INT(SUMPRODUCT(--ISNUMBER(SEARCH(trump,C234)))&gt;0)</f>
        <v>0</v>
      </c>
      <c r="X234" s="14" cm="1">
        <f t="array" ref="X234">INT(SUMPRODUCT(--ISNUMBER(SEARCH(voting,C234)))&gt;0)</f>
        <v>0</v>
      </c>
      <c r="Y234" s="14" cm="1">
        <f t="array" ref="Y234">INT(SUMPRODUCT(--ISNUMBER(SEARCH(democrattrigger,C234)))&gt;0)</f>
        <v>1</v>
      </c>
      <c r="Z234" s="14" cm="1">
        <f t="array" ref="Z234">INT(SUMPRODUCT(--ISNUMBER(SEARCH(bipartisan,C234)))&gt;0)</f>
        <v>0</v>
      </c>
      <c r="AA234" s="14">
        <f t="shared" si="3"/>
        <v>0</v>
      </c>
      <c r="AB234" s="14"/>
      <c r="AC234" s="30" t="s">
        <v>223</v>
      </c>
      <c r="AD234" s="37" t="s">
        <v>223</v>
      </c>
    </row>
    <row r="235" spans="1:30" x14ac:dyDescent="0.25">
      <c r="A235" s="36">
        <v>4076</v>
      </c>
      <c r="B235" s="14" t="s">
        <v>8175</v>
      </c>
      <c r="C235" s="14" t="s">
        <v>8176</v>
      </c>
      <c r="D235" s="17">
        <v>44119</v>
      </c>
      <c r="E235" s="14" t="s">
        <v>30</v>
      </c>
      <c r="F235" s="14">
        <v>5505</v>
      </c>
      <c r="G235" s="14">
        <v>962</v>
      </c>
      <c r="H235" s="14">
        <v>18</v>
      </c>
      <c r="I235" s="14">
        <v>9</v>
      </c>
      <c r="J235" s="14" t="s">
        <v>204</v>
      </c>
      <c r="K235" s="14" cm="1">
        <f t="array" ref="K235">INT(SUMPRODUCT(--ISNUMBER(SEARCH(economy,C235)))&gt;0)</f>
        <v>0</v>
      </c>
      <c r="L235" s="14" cm="1">
        <f t="array" ref="L235">INT(SUMPRODUCT(--ISNUMBER(SEARCH(healthcare,C235)))&gt;0)</f>
        <v>0</v>
      </c>
      <c r="M235" s="14" cm="1">
        <f t="array" ref="M235">INT(SUMPRODUCT(--ISNUMBER(SEARCH(supreme,C235)))&gt;0)</f>
        <v>0</v>
      </c>
      <c r="N235" s="14" cm="1">
        <f t="array" ref="N235">INT(SUMPRODUCT(--ISNUMBER(SEARCH(covid,C235)))&gt;0)</f>
        <v>0</v>
      </c>
      <c r="O235" s="14" cm="1">
        <f t="array" ref="O235">INT(SUMPRODUCT(--ISNUMBER(SEARCH(violent,C235)))&gt;0)</f>
        <v>0</v>
      </c>
      <c r="P235" s="14" cm="1">
        <f t="array" ref="P235">INT(SUMPRODUCT(--ISNUMBER(SEARCH(foreign,C235)))&gt;0)</f>
        <v>0</v>
      </c>
      <c r="Q235" s="14" cm="1">
        <f t="array" ref="Q235">INT(SUMPRODUCT(--ISNUMBER(SEARCH(gun,C235)))&gt;0)</f>
        <v>0</v>
      </c>
      <c r="R235" s="14" cm="1">
        <f t="array" ref="R235">INT(SUMPRODUCT(--ISNUMBER(SEARCH(race,C235)))&gt;0)</f>
        <v>0</v>
      </c>
      <c r="S235" s="14" cm="1">
        <f t="array" ref="S235">INT(SUMPRODUCT(--ISNUMBER(SEARCH(immigration,C235)))&gt;0)</f>
        <v>0</v>
      </c>
      <c r="T235" s="14" cm="1">
        <f t="array" ref="T235">INT(SUMPRODUCT(--ISNUMBER(SEARCH(econineq,C236)))&gt;0)</f>
        <v>0</v>
      </c>
      <c r="U235" s="14" cm="1">
        <f t="array" ref="U235">INT(SUMPRODUCT(--ISNUMBER(SEARCH(climate,C235)))&gt;0)</f>
        <v>0</v>
      </c>
      <c r="V235" s="14" cm="1">
        <f t="array" ref="V235">INT(SUMPRODUCT(--ISNUMBER(SEARCH(abortion,C235)))&gt;0)</f>
        <v>0</v>
      </c>
      <c r="W235" s="14" cm="1">
        <f t="array" ref="W235">INT(SUMPRODUCT(--ISNUMBER(SEARCH(trump,C235)))&gt;0)</f>
        <v>0</v>
      </c>
      <c r="X235" s="14" cm="1">
        <f t="array" ref="X235">INT(SUMPRODUCT(--ISNUMBER(SEARCH(voting,C235)))&gt;0)</f>
        <v>0</v>
      </c>
      <c r="Y235" s="14" cm="1">
        <f t="array" ref="Y235">INT(SUMPRODUCT(--ISNUMBER(SEARCH(democrattrigger,C235)))&gt;0)</f>
        <v>0</v>
      </c>
      <c r="Z235" s="14" cm="1">
        <f t="array" ref="Z235">INT(SUMPRODUCT(--ISNUMBER(SEARCH(bipartisan,C235)))&gt;0)</f>
        <v>0</v>
      </c>
      <c r="AA235" s="14">
        <f t="shared" si="3"/>
        <v>1</v>
      </c>
      <c r="AB235" s="14"/>
      <c r="AC235" s="30" t="s">
        <v>223</v>
      </c>
      <c r="AD235" s="37" t="s">
        <v>223</v>
      </c>
    </row>
    <row r="236" spans="1:30" x14ac:dyDescent="0.25">
      <c r="A236" s="36">
        <v>4077</v>
      </c>
      <c r="B236" s="14" t="s">
        <v>8177</v>
      </c>
      <c r="C236" s="14" t="s">
        <v>8178</v>
      </c>
      <c r="D236" s="17">
        <v>44119</v>
      </c>
      <c r="E236" s="14" t="s">
        <v>30</v>
      </c>
      <c r="F236" s="14">
        <v>7161</v>
      </c>
      <c r="G236" s="14">
        <v>2232</v>
      </c>
      <c r="H236" s="14">
        <v>18</v>
      </c>
      <c r="I236" s="14">
        <v>9</v>
      </c>
      <c r="J236" s="14" t="s">
        <v>204</v>
      </c>
      <c r="K236" s="14" cm="1">
        <f t="array" ref="K236">INT(SUMPRODUCT(--ISNUMBER(SEARCH(economy,C236)))&gt;0)</f>
        <v>0</v>
      </c>
      <c r="L236" s="14" cm="1">
        <f t="array" ref="L236">INT(SUMPRODUCT(--ISNUMBER(SEARCH(healthcare,C236)))&gt;0)</f>
        <v>0</v>
      </c>
      <c r="M236" s="14" cm="1">
        <f t="array" ref="M236">INT(SUMPRODUCT(--ISNUMBER(SEARCH(supreme,C236)))&gt;0)</f>
        <v>0</v>
      </c>
      <c r="N236" s="14" cm="1">
        <f t="array" ref="N236">INT(SUMPRODUCT(--ISNUMBER(SEARCH(covid,C236)))&gt;0)</f>
        <v>0</v>
      </c>
      <c r="O236" s="14" cm="1">
        <f t="array" ref="O236">INT(SUMPRODUCT(--ISNUMBER(SEARCH(violent,C236)))&gt;0)</f>
        <v>0</v>
      </c>
      <c r="P236" s="14" cm="1">
        <f t="array" ref="P236">INT(SUMPRODUCT(--ISNUMBER(SEARCH(foreign,C236)))&gt;0)</f>
        <v>0</v>
      </c>
      <c r="Q236" s="14" cm="1">
        <f t="array" ref="Q236">INT(SUMPRODUCT(--ISNUMBER(SEARCH(gun,C236)))&gt;0)</f>
        <v>0</v>
      </c>
      <c r="R236" s="14" cm="1">
        <f t="array" ref="R236">INT(SUMPRODUCT(--ISNUMBER(SEARCH(race,C236)))&gt;0)</f>
        <v>0</v>
      </c>
      <c r="S236" s="14" cm="1">
        <f t="array" ref="S236">INT(SUMPRODUCT(--ISNUMBER(SEARCH(immigration,C236)))&gt;0)</f>
        <v>0</v>
      </c>
      <c r="T236" s="14" cm="1">
        <f t="array" ref="T236">INT(SUMPRODUCT(--ISNUMBER(SEARCH(econineq,C237)))&gt;0)</f>
        <v>0</v>
      </c>
      <c r="U236" s="14" cm="1">
        <f t="array" ref="U236">INT(SUMPRODUCT(--ISNUMBER(SEARCH(climate,C236)))&gt;0)</f>
        <v>0</v>
      </c>
      <c r="V236" s="14" cm="1">
        <f t="array" ref="V236">INT(SUMPRODUCT(--ISNUMBER(SEARCH(abortion,C236)))&gt;0)</f>
        <v>0</v>
      </c>
      <c r="W236" s="14" cm="1">
        <f t="array" ref="W236">INT(SUMPRODUCT(--ISNUMBER(SEARCH(trump,C236)))&gt;0)</f>
        <v>0</v>
      </c>
      <c r="X236" s="14" cm="1">
        <f t="array" ref="X236">INT(SUMPRODUCT(--ISNUMBER(SEARCH(voting,C236)))&gt;0)</f>
        <v>0</v>
      </c>
      <c r="Y236" s="14" cm="1">
        <f t="array" ref="Y236">INT(SUMPRODUCT(--ISNUMBER(SEARCH(democrattrigger,C236)))&gt;0)</f>
        <v>1</v>
      </c>
      <c r="Z236" s="14" cm="1">
        <f t="array" ref="Z236">INT(SUMPRODUCT(--ISNUMBER(SEARCH(bipartisan,C236)))&gt;0)</f>
        <v>0</v>
      </c>
      <c r="AA236" s="14">
        <f t="shared" si="3"/>
        <v>0</v>
      </c>
      <c r="AB236" s="14"/>
      <c r="AC236" s="30">
        <v>1</v>
      </c>
      <c r="AD236" s="37">
        <v>1</v>
      </c>
    </row>
    <row r="237" spans="1:30" x14ac:dyDescent="0.25">
      <c r="A237" s="36">
        <v>4078</v>
      </c>
      <c r="B237" s="14" t="s">
        <v>8179</v>
      </c>
      <c r="C237" s="14" t="s">
        <v>8180</v>
      </c>
      <c r="D237" s="17">
        <v>44119</v>
      </c>
      <c r="E237" s="14" t="s">
        <v>30</v>
      </c>
      <c r="F237" s="14">
        <v>892</v>
      </c>
      <c r="G237" s="14">
        <v>304</v>
      </c>
      <c r="H237" s="14">
        <v>18</v>
      </c>
      <c r="I237" s="14">
        <v>9</v>
      </c>
      <c r="J237" s="14" t="s">
        <v>204</v>
      </c>
      <c r="K237" s="14" cm="1">
        <f t="array" ref="K237">INT(SUMPRODUCT(--ISNUMBER(SEARCH(economy,C237)))&gt;0)</f>
        <v>0</v>
      </c>
      <c r="L237" s="14" cm="1">
        <f t="array" ref="L237">INT(SUMPRODUCT(--ISNUMBER(SEARCH(healthcare,C237)))&gt;0)</f>
        <v>0</v>
      </c>
      <c r="M237" s="14" cm="1">
        <f t="array" ref="M237">INT(SUMPRODUCT(--ISNUMBER(SEARCH(supreme,C237)))&gt;0)</f>
        <v>0</v>
      </c>
      <c r="N237" s="14" cm="1">
        <f t="array" ref="N237">INT(SUMPRODUCT(--ISNUMBER(SEARCH(covid,C237)))&gt;0)</f>
        <v>0</v>
      </c>
      <c r="O237" s="14" cm="1">
        <f t="array" ref="O237">INT(SUMPRODUCT(--ISNUMBER(SEARCH(violent,C237)))&gt;0)</f>
        <v>0</v>
      </c>
      <c r="P237" s="14" cm="1">
        <f t="array" ref="P237">INT(SUMPRODUCT(--ISNUMBER(SEARCH(foreign,C237)))&gt;0)</f>
        <v>0</v>
      </c>
      <c r="Q237" s="14" cm="1">
        <f t="array" ref="Q237">INT(SUMPRODUCT(--ISNUMBER(SEARCH(gun,C237)))&gt;0)</f>
        <v>0</v>
      </c>
      <c r="R237" s="14" cm="1">
        <f t="array" ref="R237">INT(SUMPRODUCT(--ISNUMBER(SEARCH(race,C237)))&gt;0)</f>
        <v>0</v>
      </c>
      <c r="S237" s="14" cm="1">
        <f t="array" ref="S237">INT(SUMPRODUCT(--ISNUMBER(SEARCH(immigration,C237)))&gt;0)</f>
        <v>0</v>
      </c>
      <c r="T237" s="14" cm="1">
        <f t="array" ref="T237">INT(SUMPRODUCT(--ISNUMBER(SEARCH(econineq,C238)))&gt;0)</f>
        <v>0</v>
      </c>
      <c r="U237" s="14" cm="1">
        <f t="array" ref="U237">INT(SUMPRODUCT(--ISNUMBER(SEARCH(climate,C237)))&gt;0)</f>
        <v>0</v>
      </c>
      <c r="V237" s="14" cm="1">
        <f t="array" ref="V237">INT(SUMPRODUCT(--ISNUMBER(SEARCH(abortion,C237)))&gt;0)</f>
        <v>0</v>
      </c>
      <c r="W237" s="14" cm="1">
        <f t="array" ref="W237">INT(SUMPRODUCT(--ISNUMBER(SEARCH(trump,C237)))&gt;0)</f>
        <v>0</v>
      </c>
      <c r="X237" s="14" cm="1">
        <f t="array" ref="X237">INT(SUMPRODUCT(--ISNUMBER(SEARCH(voting,C237)))&gt;0)</f>
        <v>0</v>
      </c>
      <c r="Y237" s="14" cm="1">
        <f t="array" ref="Y237">INT(SUMPRODUCT(--ISNUMBER(SEARCH(democrattrigger,C237)))&gt;0)</f>
        <v>0</v>
      </c>
      <c r="Z237" s="14" cm="1">
        <f t="array" ref="Z237">INT(SUMPRODUCT(--ISNUMBER(SEARCH(bipartisan,C237)))&gt;0)</f>
        <v>0</v>
      </c>
      <c r="AA237" s="14">
        <f t="shared" si="3"/>
        <v>1</v>
      </c>
      <c r="AB237" s="14"/>
      <c r="AC237" s="30" t="s">
        <v>223</v>
      </c>
      <c r="AD237" s="37" t="s">
        <v>223</v>
      </c>
    </row>
    <row r="238" spans="1:30" x14ac:dyDescent="0.25">
      <c r="A238" s="36">
        <v>4079</v>
      </c>
      <c r="B238" s="14" t="s">
        <v>8181</v>
      </c>
      <c r="C238" s="14" t="s">
        <v>8182</v>
      </c>
      <c r="D238" s="17">
        <v>44119</v>
      </c>
      <c r="E238" s="14" t="s">
        <v>30</v>
      </c>
      <c r="F238" s="14">
        <v>3360</v>
      </c>
      <c r="G238" s="14">
        <v>1025</v>
      </c>
      <c r="H238" s="14">
        <v>18</v>
      </c>
      <c r="I238" s="14">
        <v>9</v>
      </c>
      <c r="J238" s="14" t="s">
        <v>204</v>
      </c>
      <c r="K238" s="14" cm="1">
        <f t="array" ref="K238">INT(SUMPRODUCT(--ISNUMBER(SEARCH(economy,C238)))&gt;0)</f>
        <v>0</v>
      </c>
      <c r="L238" s="14" cm="1">
        <f t="array" ref="L238">INT(SUMPRODUCT(--ISNUMBER(SEARCH(healthcare,C238)))&gt;0)</f>
        <v>0</v>
      </c>
      <c r="M238" s="14" cm="1">
        <f t="array" ref="M238">INT(SUMPRODUCT(--ISNUMBER(SEARCH(supreme,C238)))&gt;0)</f>
        <v>0</v>
      </c>
      <c r="N238" s="14" cm="1">
        <f t="array" ref="N238">INT(SUMPRODUCT(--ISNUMBER(SEARCH(covid,C238)))&gt;0)</f>
        <v>0</v>
      </c>
      <c r="O238" s="14" cm="1">
        <f t="array" ref="O238">INT(SUMPRODUCT(--ISNUMBER(SEARCH(violent,C238)))&gt;0)</f>
        <v>0</v>
      </c>
      <c r="P238" s="14" cm="1">
        <f t="array" ref="P238">INT(SUMPRODUCT(--ISNUMBER(SEARCH(foreign,C238)))&gt;0)</f>
        <v>0</v>
      </c>
      <c r="Q238" s="14" cm="1">
        <f t="array" ref="Q238">INT(SUMPRODUCT(--ISNUMBER(SEARCH(gun,C238)))&gt;0)</f>
        <v>0</v>
      </c>
      <c r="R238" s="14" cm="1">
        <f t="array" ref="R238">INT(SUMPRODUCT(--ISNUMBER(SEARCH(race,C238)))&gt;0)</f>
        <v>0</v>
      </c>
      <c r="S238" s="14" cm="1">
        <f t="array" ref="S238">INT(SUMPRODUCT(--ISNUMBER(SEARCH(immigration,C238)))&gt;0)</f>
        <v>0</v>
      </c>
      <c r="T238" s="14" cm="1">
        <f t="array" ref="T238">INT(SUMPRODUCT(--ISNUMBER(SEARCH(econineq,C239)))&gt;0)</f>
        <v>0</v>
      </c>
      <c r="U238" s="14" cm="1">
        <f t="array" ref="U238">INT(SUMPRODUCT(--ISNUMBER(SEARCH(climate,C238)))&gt;0)</f>
        <v>0</v>
      </c>
      <c r="V238" s="14" cm="1">
        <f t="array" ref="V238">INT(SUMPRODUCT(--ISNUMBER(SEARCH(abortion,C238)))&gt;0)</f>
        <v>0</v>
      </c>
      <c r="W238" s="14" cm="1">
        <f t="array" ref="W238">INT(SUMPRODUCT(--ISNUMBER(SEARCH(trump,C238)))&gt;0)</f>
        <v>0</v>
      </c>
      <c r="X238" s="14" cm="1">
        <f t="array" ref="X238">INT(SUMPRODUCT(--ISNUMBER(SEARCH(voting,C238)))&gt;0)</f>
        <v>1</v>
      </c>
      <c r="Y238" s="14" cm="1">
        <f t="array" ref="Y238">INT(SUMPRODUCT(--ISNUMBER(SEARCH(democrattrigger,C238)))&gt;0)</f>
        <v>0</v>
      </c>
      <c r="Z238" s="14" cm="1">
        <f t="array" ref="Z238">INT(SUMPRODUCT(--ISNUMBER(SEARCH(bipartisan,C238)))&gt;0)</f>
        <v>0</v>
      </c>
      <c r="AA238" s="14">
        <f t="shared" si="3"/>
        <v>0</v>
      </c>
      <c r="AB238" s="14"/>
      <c r="AC238" s="30">
        <v>1</v>
      </c>
      <c r="AD238" s="37">
        <v>1</v>
      </c>
    </row>
    <row r="239" spans="1:30" x14ac:dyDescent="0.25">
      <c r="A239" s="36">
        <v>4080</v>
      </c>
      <c r="B239" s="14" t="s">
        <v>8183</v>
      </c>
      <c r="C239" s="14" t="s">
        <v>8184</v>
      </c>
      <c r="D239" s="17">
        <v>44119</v>
      </c>
      <c r="E239" s="14" t="s">
        <v>30</v>
      </c>
      <c r="F239" s="14">
        <v>4257</v>
      </c>
      <c r="G239" s="14">
        <v>1550</v>
      </c>
      <c r="H239" s="14">
        <v>18</v>
      </c>
      <c r="I239" s="14">
        <v>9</v>
      </c>
      <c r="J239" s="14" t="s">
        <v>204</v>
      </c>
      <c r="K239" s="14" cm="1">
        <f t="array" ref="K239">INT(SUMPRODUCT(--ISNUMBER(SEARCH(economy,C239)))&gt;0)</f>
        <v>0</v>
      </c>
      <c r="L239" s="14" cm="1">
        <f t="array" ref="L239">INT(SUMPRODUCT(--ISNUMBER(SEARCH(healthcare,C239)))&gt;0)</f>
        <v>0</v>
      </c>
      <c r="M239" s="14" cm="1">
        <f t="array" ref="M239">INT(SUMPRODUCT(--ISNUMBER(SEARCH(supreme,C239)))&gt;0)</f>
        <v>0</v>
      </c>
      <c r="N239" s="14" cm="1">
        <f t="array" ref="N239">INT(SUMPRODUCT(--ISNUMBER(SEARCH(covid,C239)))&gt;0)</f>
        <v>0</v>
      </c>
      <c r="O239" s="14" cm="1">
        <f t="array" ref="O239">INT(SUMPRODUCT(--ISNUMBER(SEARCH(violent,C239)))&gt;0)</f>
        <v>0</v>
      </c>
      <c r="P239" s="14" cm="1">
        <f t="array" ref="P239">INT(SUMPRODUCT(--ISNUMBER(SEARCH(foreign,C239)))&gt;0)</f>
        <v>0</v>
      </c>
      <c r="Q239" s="14" cm="1">
        <f t="array" ref="Q239">INT(SUMPRODUCT(--ISNUMBER(SEARCH(gun,C239)))&gt;0)</f>
        <v>0</v>
      </c>
      <c r="R239" s="14" cm="1">
        <f t="array" ref="R239">INT(SUMPRODUCT(--ISNUMBER(SEARCH(race,C239)))&gt;0)</f>
        <v>0</v>
      </c>
      <c r="S239" s="14" cm="1">
        <f t="array" ref="S239">INT(SUMPRODUCT(--ISNUMBER(SEARCH(immigration,C239)))&gt;0)</f>
        <v>0</v>
      </c>
      <c r="T239" s="14" cm="1">
        <f t="array" ref="T239">INT(SUMPRODUCT(--ISNUMBER(SEARCH(econineq,C240)))&gt;0)</f>
        <v>0</v>
      </c>
      <c r="U239" s="14" cm="1">
        <f t="array" ref="U239">INT(SUMPRODUCT(--ISNUMBER(SEARCH(climate,C239)))&gt;0)</f>
        <v>0</v>
      </c>
      <c r="V239" s="14" cm="1">
        <f t="array" ref="V239">INT(SUMPRODUCT(--ISNUMBER(SEARCH(abortion,C239)))&gt;0)</f>
        <v>0</v>
      </c>
      <c r="W239" s="14" cm="1">
        <f t="array" ref="W239">INT(SUMPRODUCT(--ISNUMBER(SEARCH(trump,C239)))&gt;0)</f>
        <v>0</v>
      </c>
      <c r="X239" s="14" cm="1">
        <f t="array" ref="X239">INT(SUMPRODUCT(--ISNUMBER(SEARCH(voting,C239)))&gt;0)</f>
        <v>0</v>
      </c>
      <c r="Y239" s="14" cm="1">
        <f t="array" ref="Y239">INT(SUMPRODUCT(--ISNUMBER(SEARCH(democrattrigger,C239)))&gt;0)</f>
        <v>1</v>
      </c>
      <c r="Z239" s="14" cm="1">
        <f t="array" ref="Z239">INT(SUMPRODUCT(--ISNUMBER(SEARCH(bipartisan,C239)))&gt;0)</f>
        <v>0</v>
      </c>
      <c r="AA239" s="14">
        <f t="shared" si="3"/>
        <v>0</v>
      </c>
      <c r="AB239" s="14"/>
      <c r="AC239" s="30">
        <v>0</v>
      </c>
      <c r="AD239" s="37">
        <v>1</v>
      </c>
    </row>
    <row r="240" spans="1:30" x14ac:dyDescent="0.25">
      <c r="A240" s="36">
        <v>4081</v>
      </c>
      <c r="B240" s="14" t="s">
        <v>8185</v>
      </c>
      <c r="C240" s="14" t="s">
        <v>8186</v>
      </c>
      <c r="D240" s="17">
        <v>44118</v>
      </c>
      <c r="E240" s="14" t="s">
        <v>30</v>
      </c>
      <c r="F240" s="14">
        <v>1843</v>
      </c>
      <c r="G240" s="14">
        <v>336</v>
      </c>
      <c r="H240" s="14">
        <v>18</v>
      </c>
      <c r="I240" s="14">
        <v>9</v>
      </c>
      <c r="J240" s="14" t="s">
        <v>204</v>
      </c>
      <c r="K240" s="14" cm="1">
        <f t="array" ref="K240">INT(SUMPRODUCT(--ISNUMBER(SEARCH(economy,C240)))&gt;0)</f>
        <v>0</v>
      </c>
      <c r="L240" s="14" cm="1">
        <f t="array" ref="L240">INT(SUMPRODUCT(--ISNUMBER(SEARCH(healthcare,C240)))&gt;0)</f>
        <v>0</v>
      </c>
      <c r="M240" s="14" cm="1">
        <f t="array" ref="M240">INT(SUMPRODUCT(--ISNUMBER(SEARCH(supreme,C240)))&gt;0)</f>
        <v>0</v>
      </c>
      <c r="N240" s="14" cm="1">
        <f t="array" ref="N240">INT(SUMPRODUCT(--ISNUMBER(SEARCH(covid,C240)))&gt;0)</f>
        <v>0</v>
      </c>
      <c r="O240" s="14" cm="1">
        <f t="array" ref="O240">INT(SUMPRODUCT(--ISNUMBER(SEARCH(violent,C240)))&gt;0)</f>
        <v>0</v>
      </c>
      <c r="P240" s="14" cm="1">
        <f t="array" ref="P240">INT(SUMPRODUCT(--ISNUMBER(SEARCH(foreign,C240)))&gt;0)</f>
        <v>0</v>
      </c>
      <c r="Q240" s="14" cm="1">
        <f t="array" ref="Q240">INT(SUMPRODUCT(--ISNUMBER(SEARCH(gun,C240)))&gt;0)</f>
        <v>0</v>
      </c>
      <c r="R240" s="14" cm="1">
        <f t="array" ref="R240">INT(SUMPRODUCT(--ISNUMBER(SEARCH(race,C240)))&gt;0)</f>
        <v>0</v>
      </c>
      <c r="S240" s="14" cm="1">
        <f t="array" ref="S240">INT(SUMPRODUCT(--ISNUMBER(SEARCH(immigration,C240)))&gt;0)</f>
        <v>0</v>
      </c>
      <c r="T240" s="14" cm="1">
        <f t="array" ref="T240">INT(SUMPRODUCT(--ISNUMBER(SEARCH(econineq,C241)))&gt;0)</f>
        <v>0</v>
      </c>
      <c r="U240" s="14" cm="1">
        <f t="array" ref="U240">INT(SUMPRODUCT(--ISNUMBER(SEARCH(climate,C240)))&gt;0)</f>
        <v>0</v>
      </c>
      <c r="V240" s="14" cm="1">
        <f t="array" ref="V240">INT(SUMPRODUCT(--ISNUMBER(SEARCH(abortion,C240)))&gt;0)</f>
        <v>0</v>
      </c>
      <c r="W240" s="14" cm="1">
        <f t="array" ref="W240">INT(SUMPRODUCT(--ISNUMBER(SEARCH(trump,C240)))&gt;0)</f>
        <v>0</v>
      </c>
      <c r="X240" s="14" cm="1">
        <f t="array" ref="X240">INT(SUMPRODUCT(--ISNUMBER(SEARCH(voting,C240)))&gt;0)</f>
        <v>1</v>
      </c>
      <c r="Y240" s="14" cm="1">
        <f t="array" ref="Y240">INT(SUMPRODUCT(--ISNUMBER(SEARCH(democrattrigger,C240)))&gt;0)</f>
        <v>0</v>
      </c>
      <c r="Z240" s="14" cm="1">
        <f t="array" ref="Z240">INT(SUMPRODUCT(--ISNUMBER(SEARCH(bipartisan,C240)))&gt;0)</f>
        <v>0</v>
      </c>
      <c r="AA240" s="14">
        <f t="shared" si="3"/>
        <v>0</v>
      </c>
      <c r="AB240" s="14"/>
      <c r="AC240" s="30" t="s">
        <v>223</v>
      </c>
      <c r="AD240" s="37" t="s">
        <v>223</v>
      </c>
    </row>
    <row r="241" spans="1:30" x14ac:dyDescent="0.25">
      <c r="A241" s="36">
        <v>4082</v>
      </c>
      <c r="B241" s="14" t="s">
        <v>8187</v>
      </c>
      <c r="C241" s="14" t="s">
        <v>8188</v>
      </c>
      <c r="D241" s="17">
        <v>44118</v>
      </c>
      <c r="E241" s="14" t="s">
        <v>30</v>
      </c>
      <c r="F241" s="14">
        <v>1038</v>
      </c>
      <c r="G241" s="14">
        <v>427</v>
      </c>
      <c r="H241" s="14">
        <v>18</v>
      </c>
      <c r="I241" s="14">
        <v>9</v>
      </c>
      <c r="J241" s="14" t="s">
        <v>204</v>
      </c>
      <c r="K241" s="14" cm="1">
        <f t="array" ref="K241">INT(SUMPRODUCT(--ISNUMBER(SEARCH(economy,C241)))&gt;0)</f>
        <v>0</v>
      </c>
      <c r="L241" s="14" cm="1">
        <f t="array" ref="L241">INT(SUMPRODUCT(--ISNUMBER(SEARCH(healthcare,C241)))&gt;0)</f>
        <v>0</v>
      </c>
      <c r="M241" s="14" cm="1">
        <f t="array" ref="M241">INT(SUMPRODUCT(--ISNUMBER(SEARCH(supreme,C241)))&gt;0)</f>
        <v>0</v>
      </c>
      <c r="N241" s="14" cm="1">
        <f t="array" ref="N241">INT(SUMPRODUCT(--ISNUMBER(SEARCH(covid,C241)))&gt;0)</f>
        <v>0</v>
      </c>
      <c r="O241" s="14" cm="1">
        <f t="array" ref="O241">INT(SUMPRODUCT(--ISNUMBER(SEARCH(violent,C241)))&gt;0)</f>
        <v>0</v>
      </c>
      <c r="P241" s="14" cm="1">
        <f t="array" ref="P241">INT(SUMPRODUCT(--ISNUMBER(SEARCH(foreign,C241)))&gt;0)</f>
        <v>0</v>
      </c>
      <c r="Q241" s="14" cm="1">
        <f t="array" ref="Q241">INT(SUMPRODUCT(--ISNUMBER(SEARCH(gun,C241)))&gt;0)</f>
        <v>0</v>
      </c>
      <c r="R241" s="14" cm="1">
        <f t="array" ref="R241">INT(SUMPRODUCT(--ISNUMBER(SEARCH(race,C241)))&gt;0)</f>
        <v>0</v>
      </c>
      <c r="S241" s="14" cm="1">
        <f t="array" ref="S241">INT(SUMPRODUCT(--ISNUMBER(SEARCH(immigration,C241)))&gt;0)</f>
        <v>0</v>
      </c>
      <c r="T241" s="14" cm="1">
        <f t="array" ref="T241">INT(SUMPRODUCT(--ISNUMBER(SEARCH(econineq,C242)))&gt;0)</f>
        <v>0</v>
      </c>
      <c r="U241" s="14" cm="1">
        <f t="array" ref="U241">INT(SUMPRODUCT(--ISNUMBER(SEARCH(climate,C241)))&gt;0)</f>
        <v>0</v>
      </c>
      <c r="V241" s="14" cm="1">
        <f t="array" ref="V241">INT(SUMPRODUCT(--ISNUMBER(SEARCH(abortion,C241)))&gt;0)</f>
        <v>0</v>
      </c>
      <c r="W241" s="14" cm="1">
        <f t="array" ref="W241">INT(SUMPRODUCT(--ISNUMBER(SEARCH(trump,C241)))&gt;0)</f>
        <v>0</v>
      </c>
      <c r="X241" s="14" cm="1">
        <f t="array" ref="X241">INT(SUMPRODUCT(--ISNUMBER(SEARCH(voting,C241)))&gt;0)</f>
        <v>0</v>
      </c>
      <c r="Y241" s="14" cm="1">
        <f t="array" ref="Y241">INT(SUMPRODUCT(--ISNUMBER(SEARCH(democrattrigger,C241)))&gt;0)</f>
        <v>0</v>
      </c>
      <c r="Z241" s="14" cm="1">
        <f t="array" ref="Z241">INT(SUMPRODUCT(--ISNUMBER(SEARCH(bipartisan,C241)))&gt;0)</f>
        <v>0</v>
      </c>
      <c r="AA241" s="14">
        <f t="shared" si="3"/>
        <v>1</v>
      </c>
      <c r="AB241" s="14"/>
      <c r="AC241" s="30" t="s">
        <v>223</v>
      </c>
      <c r="AD241" s="37" t="s">
        <v>223</v>
      </c>
    </row>
    <row r="242" spans="1:30" x14ac:dyDescent="0.25">
      <c r="A242" s="36">
        <v>4083</v>
      </c>
      <c r="B242" s="14" t="s">
        <v>8189</v>
      </c>
      <c r="C242" s="14" t="s">
        <v>8190</v>
      </c>
      <c r="D242" s="17">
        <v>44118</v>
      </c>
      <c r="E242" s="14" t="s">
        <v>30</v>
      </c>
      <c r="F242" s="14">
        <v>3390</v>
      </c>
      <c r="G242" s="14">
        <v>1463</v>
      </c>
      <c r="H242" s="14">
        <v>18</v>
      </c>
      <c r="I242" s="14">
        <v>9</v>
      </c>
      <c r="J242" s="14" t="s">
        <v>204</v>
      </c>
      <c r="K242" s="14" cm="1">
        <f t="array" ref="K242">INT(SUMPRODUCT(--ISNUMBER(SEARCH(economy,C242)))&gt;0)</f>
        <v>0</v>
      </c>
      <c r="L242" s="14" cm="1">
        <f t="array" ref="L242">INT(SUMPRODUCT(--ISNUMBER(SEARCH(healthcare,C242)))&gt;0)</f>
        <v>0</v>
      </c>
      <c r="M242" s="14" cm="1">
        <f t="array" ref="M242">INT(SUMPRODUCT(--ISNUMBER(SEARCH(supreme,C242)))&gt;0)</f>
        <v>0</v>
      </c>
      <c r="N242" s="14" cm="1">
        <f t="array" ref="N242">INT(SUMPRODUCT(--ISNUMBER(SEARCH(covid,C242)))&gt;0)</f>
        <v>0</v>
      </c>
      <c r="O242" s="14" cm="1">
        <f t="array" ref="O242">INT(SUMPRODUCT(--ISNUMBER(SEARCH(violent,C242)))&gt;0)</f>
        <v>0</v>
      </c>
      <c r="P242" s="14" cm="1">
        <f t="array" ref="P242">INT(SUMPRODUCT(--ISNUMBER(SEARCH(foreign,C242)))&gt;0)</f>
        <v>0</v>
      </c>
      <c r="Q242" s="14" cm="1">
        <f t="array" ref="Q242">INT(SUMPRODUCT(--ISNUMBER(SEARCH(gun,C242)))&gt;0)</f>
        <v>0</v>
      </c>
      <c r="R242" s="14" cm="1">
        <f t="array" ref="R242">INT(SUMPRODUCT(--ISNUMBER(SEARCH(race,C242)))&gt;0)</f>
        <v>0</v>
      </c>
      <c r="S242" s="14" cm="1">
        <f t="array" ref="S242">INT(SUMPRODUCT(--ISNUMBER(SEARCH(immigration,C242)))&gt;0)</f>
        <v>0</v>
      </c>
      <c r="T242" s="14" cm="1">
        <f t="array" ref="T242">INT(SUMPRODUCT(--ISNUMBER(SEARCH(econineq,C243)))&gt;0)</f>
        <v>0</v>
      </c>
      <c r="U242" s="14" cm="1">
        <f t="array" ref="U242">INT(SUMPRODUCT(--ISNUMBER(SEARCH(climate,C242)))&gt;0)</f>
        <v>0</v>
      </c>
      <c r="V242" s="14" cm="1">
        <f t="array" ref="V242">INT(SUMPRODUCT(--ISNUMBER(SEARCH(abortion,C242)))&gt;0)</f>
        <v>0</v>
      </c>
      <c r="W242" s="14" cm="1">
        <f t="array" ref="W242">INT(SUMPRODUCT(--ISNUMBER(SEARCH(trump,C242)))&gt;0)</f>
        <v>0</v>
      </c>
      <c r="X242" s="14" cm="1">
        <f t="array" ref="X242">INT(SUMPRODUCT(--ISNUMBER(SEARCH(voting,C242)))&gt;0)</f>
        <v>0</v>
      </c>
      <c r="Y242" s="14" cm="1">
        <f t="array" ref="Y242">INT(SUMPRODUCT(--ISNUMBER(SEARCH(democrattrigger,C242)))&gt;0)</f>
        <v>0</v>
      </c>
      <c r="Z242" s="14" cm="1">
        <f t="array" ref="Z242">INT(SUMPRODUCT(--ISNUMBER(SEARCH(bipartisan,C242)))&gt;0)</f>
        <v>0</v>
      </c>
      <c r="AA242" s="14">
        <f t="shared" si="3"/>
        <v>1</v>
      </c>
      <c r="AB242" s="14"/>
      <c r="AC242" s="30">
        <v>0</v>
      </c>
      <c r="AD242" s="37">
        <v>1</v>
      </c>
    </row>
    <row r="243" spans="1:30" x14ac:dyDescent="0.25">
      <c r="A243" s="36">
        <v>4084</v>
      </c>
      <c r="B243" s="14" t="s">
        <v>8191</v>
      </c>
      <c r="C243" s="14" t="s">
        <v>8192</v>
      </c>
      <c r="D243" s="17">
        <v>44118</v>
      </c>
      <c r="E243" s="14" t="s">
        <v>70</v>
      </c>
      <c r="F243" s="14">
        <v>1210</v>
      </c>
      <c r="G243" s="14">
        <v>399</v>
      </c>
      <c r="H243" s="14">
        <v>18</v>
      </c>
      <c r="I243" s="14">
        <v>9</v>
      </c>
      <c r="J243" s="14" t="s">
        <v>204</v>
      </c>
      <c r="K243" s="14" cm="1">
        <f t="array" ref="K243">INT(SUMPRODUCT(--ISNUMBER(SEARCH(economy,C243)))&gt;0)</f>
        <v>0</v>
      </c>
      <c r="L243" s="14" cm="1">
        <f t="array" ref="L243">INT(SUMPRODUCT(--ISNUMBER(SEARCH(healthcare,C243)))&gt;0)</f>
        <v>0</v>
      </c>
      <c r="M243" s="14" cm="1">
        <f t="array" ref="M243">INT(SUMPRODUCT(--ISNUMBER(SEARCH(supreme,C243)))&gt;0)</f>
        <v>0</v>
      </c>
      <c r="N243" s="14" cm="1">
        <f t="array" ref="N243">INT(SUMPRODUCT(--ISNUMBER(SEARCH(covid,C243)))&gt;0)</f>
        <v>0</v>
      </c>
      <c r="O243" s="14" cm="1">
        <f t="array" ref="O243">INT(SUMPRODUCT(--ISNUMBER(SEARCH(violent,C243)))&gt;0)</f>
        <v>0</v>
      </c>
      <c r="P243" s="14" cm="1">
        <f t="array" ref="P243">INT(SUMPRODUCT(--ISNUMBER(SEARCH(foreign,C243)))&gt;0)</f>
        <v>0</v>
      </c>
      <c r="Q243" s="14" cm="1">
        <f t="array" ref="Q243">INT(SUMPRODUCT(--ISNUMBER(SEARCH(gun,C243)))&gt;0)</f>
        <v>0</v>
      </c>
      <c r="R243" s="14" cm="1">
        <f t="array" ref="R243">INT(SUMPRODUCT(--ISNUMBER(SEARCH(race,C243)))&gt;0)</f>
        <v>0</v>
      </c>
      <c r="S243" s="14" cm="1">
        <f t="array" ref="S243">INT(SUMPRODUCT(--ISNUMBER(SEARCH(immigration,C243)))&gt;0)</f>
        <v>0</v>
      </c>
      <c r="T243" s="14" cm="1">
        <f t="array" ref="T243">INT(SUMPRODUCT(--ISNUMBER(SEARCH(econineq,C244)))&gt;0)</f>
        <v>0</v>
      </c>
      <c r="U243" s="14" cm="1">
        <f t="array" ref="U243">INT(SUMPRODUCT(--ISNUMBER(SEARCH(climate,C243)))&gt;0)</f>
        <v>0</v>
      </c>
      <c r="V243" s="14" cm="1">
        <f t="array" ref="V243">INT(SUMPRODUCT(--ISNUMBER(SEARCH(abortion,C243)))&gt;0)</f>
        <v>0</v>
      </c>
      <c r="W243" s="14" cm="1">
        <f t="array" ref="W243">INT(SUMPRODUCT(--ISNUMBER(SEARCH(trump,C243)))&gt;0)</f>
        <v>0</v>
      </c>
      <c r="X243" s="14" cm="1">
        <f t="array" ref="X243">INT(SUMPRODUCT(--ISNUMBER(SEARCH(voting,C243)))&gt;0)</f>
        <v>0</v>
      </c>
      <c r="Y243" s="14" cm="1">
        <f t="array" ref="Y243">INT(SUMPRODUCT(--ISNUMBER(SEARCH(democrattrigger,C243)))&gt;0)</f>
        <v>1</v>
      </c>
      <c r="Z243" s="14" cm="1">
        <f t="array" ref="Z243">INT(SUMPRODUCT(--ISNUMBER(SEARCH(bipartisan,C243)))&gt;0)</f>
        <v>0</v>
      </c>
      <c r="AA243" s="14">
        <f t="shared" si="3"/>
        <v>0</v>
      </c>
      <c r="AB243" s="14"/>
      <c r="AC243" s="30" t="s">
        <v>223</v>
      </c>
      <c r="AD243" s="37" t="s">
        <v>223</v>
      </c>
    </row>
    <row r="244" spans="1:30" x14ac:dyDescent="0.25">
      <c r="A244" s="36">
        <v>4085</v>
      </c>
      <c r="B244" s="14" t="s">
        <v>8193</v>
      </c>
      <c r="C244" s="14" t="s">
        <v>8194</v>
      </c>
      <c r="D244" s="17">
        <v>44118</v>
      </c>
      <c r="E244" s="14" t="s">
        <v>70</v>
      </c>
      <c r="F244" s="14">
        <v>1286</v>
      </c>
      <c r="G244" s="14">
        <v>554</v>
      </c>
      <c r="H244" s="14">
        <v>18</v>
      </c>
      <c r="I244" s="14">
        <v>9</v>
      </c>
      <c r="J244" s="14" t="s">
        <v>204</v>
      </c>
      <c r="K244" s="14" cm="1">
        <f t="array" ref="K244">INT(SUMPRODUCT(--ISNUMBER(SEARCH(economy,C244)))&gt;0)</f>
        <v>0</v>
      </c>
      <c r="L244" s="14" cm="1">
        <f t="array" ref="L244">INT(SUMPRODUCT(--ISNUMBER(SEARCH(healthcare,C244)))&gt;0)</f>
        <v>0</v>
      </c>
      <c r="M244" s="14" cm="1">
        <f t="array" ref="M244">INT(SUMPRODUCT(--ISNUMBER(SEARCH(supreme,C244)))&gt;0)</f>
        <v>0</v>
      </c>
      <c r="N244" s="14" cm="1">
        <f t="array" ref="N244">INT(SUMPRODUCT(--ISNUMBER(SEARCH(covid,C244)))&gt;0)</f>
        <v>1</v>
      </c>
      <c r="O244" s="14" cm="1">
        <f t="array" ref="O244">INT(SUMPRODUCT(--ISNUMBER(SEARCH(violent,C244)))&gt;0)</f>
        <v>0</v>
      </c>
      <c r="P244" s="14" cm="1">
        <f t="array" ref="P244">INT(SUMPRODUCT(--ISNUMBER(SEARCH(foreign,C244)))&gt;0)</f>
        <v>0</v>
      </c>
      <c r="Q244" s="14" cm="1">
        <f t="array" ref="Q244">INT(SUMPRODUCT(--ISNUMBER(SEARCH(gun,C244)))&gt;0)</f>
        <v>0</v>
      </c>
      <c r="R244" s="14" cm="1">
        <f t="array" ref="R244">INT(SUMPRODUCT(--ISNUMBER(SEARCH(race,C244)))&gt;0)</f>
        <v>0</v>
      </c>
      <c r="S244" s="14" cm="1">
        <f t="array" ref="S244">INT(SUMPRODUCT(--ISNUMBER(SEARCH(immigration,C244)))&gt;0)</f>
        <v>0</v>
      </c>
      <c r="T244" s="14" cm="1">
        <f t="array" ref="T244">INT(SUMPRODUCT(--ISNUMBER(SEARCH(econineq,C245)))&gt;0)</f>
        <v>0</v>
      </c>
      <c r="U244" s="14" cm="1">
        <f t="array" ref="U244">INT(SUMPRODUCT(--ISNUMBER(SEARCH(climate,C244)))&gt;0)</f>
        <v>0</v>
      </c>
      <c r="V244" s="14" cm="1">
        <f t="array" ref="V244">INT(SUMPRODUCT(--ISNUMBER(SEARCH(abortion,C244)))&gt;0)</f>
        <v>0</v>
      </c>
      <c r="W244" s="14" cm="1">
        <f t="array" ref="W244">INT(SUMPRODUCT(--ISNUMBER(SEARCH(trump,C244)))&gt;0)</f>
        <v>0</v>
      </c>
      <c r="X244" s="14" cm="1">
        <f t="array" ref="X244">INT(SUMPRODUCT(--ISNUMBER(SEARCH(voting,C244)))&gt;0)</f>
        <v>0</v>
      </c>
      <c r="Y244" s="14" cm="1">
        <f t="array" ref="Y244">INT(SUMPRODUCT(--ISNUMBER(SEARCH(democrattrigger,C244)))&gt;0)</f>
        <v>1</v>
      </c>
      <c r="Z244" s="14" cm="1">
        <f t="array" ref="Z244">INT(SUMPRODUCT(--ISNUMBER(SEARCH(bipartisan,C244)))&gt;0)</f>
        <v>0</v>
      </c>
      <c r="AA244" s="14">
        <f t="shared" si="3"/>
        <v>0</v>
      </c>
      <c r="AB244" s="14"/>
      <c r="AC244" s="30">
        <v>0</v>
      </c>
      <c r="AD244" s="37">
        <v>1</v>
      </c>
    </row>
    <row r="245" spans="1:30" x14ac:dyDescent="0.25">
      <c r="A245" s="36">
        <v>4086</v>
      </c>
      <c r="B245" s="14" t="s">
        <v>8195</v>
      </c>
      <c r="C245" s="14" t="s">
        <v>8196</v>
      </c>
      <c r="D245" s="17">
        <v>44118</v>
      </c>
      <c r="E245" s="14" t="s">
        <v>70</v>
      </c>
      <c r="F245" s="14">
        <v>847</v>
      </c>
      <c r="G245" s="14">
        <v>318</v>
      </c>
      <c r="H245" s="14">
        <v>18</v>
      </c>
      <c r="I245" s="14">
        <v>9</v>
      </c>
      <c r="J245" s="14" t="s">
        <v>204</v>
      </c>
      <c r="K245" s="14" cm="1">
        <f t="array" ref="K245">INT(SUMPRODUCT(--ISNUMBER(SEARCH(economy,C245)))&gt;0)</f>
        <v>0</v>
      </c>
      <c r="L245" s="14" cm="1">
        <f t="array" ref="L245">INT(SUMPRODUCT(--ISNUMBER(SEARCH(healthcare,C245)))&gt;0)</f>
        <v>0</v>
      </c>
      <c r="M245" s="14" cm="1">
        <f t="array" ref="M245">INT(SUMPRODUCT(--ISNUMBER(SEARCH(supreme,C245)))&gt;0)</f>
        <v>0</v>
      </c>
      <c r="N245" s="14" cm="1">
        <f t="array" ref="N245">INT(SUMPRODUCT(--ISNUMBER(SEARCH(covid,C245)))&gt;0)</f>
        <v>1</v>
      </c>
      <c r="O245" s="14" cm="1">
        <f t="array" ref="O245">INT(SUMPRODUCT(--ISNUMBER(SEARCH(violent,C245)))&gt;0)</f>
        <v>0</v>
      </c>
      <c r="P245" s="14" cm="1">
        <f t="array" ref="P245">INT(SUMPRODUCT(--ISNUMBER(SEARCH(foreign,C245)))&gt;0)</f>
        <v>0</v>
      </c>
      <c r="Q245" s="14" cm="1">
        <f t="array" ref="Q245">INT(SUMPRODUCT(--ISNUMBER(SEARCH(gun,C245)))&gt;0)</f>
        <v>0</v>
      </c>
      <c r="R245" s="14" cm="1">
        <f t="array" ref="R245">INT(SUMPRODUCT(--ISNUMBER(SEARCH(race,C245)))&gt;0)</f>
        <v>0</v>
      </c>
      <c r="S245" s="14" cm="1">
        <f t="array" ref="S245">INT(SUMPRODUCT(--ISNUMBER(SEARCH(immigration,C245)))&gt;0)</f>
        <v>0</v>
      </c>
      <c r="T245" s="14" cm="1">
        <f t="array" ref="T245">INT(SUMPRODUCT(--ISNUMBER(SEARCH(econineq,C246)))&gt;0)</f>
        <v>0</v>
      </c>
      <c r="U245" s="14" cm="1">
        <f t="array" ref="U245">INT(SUMPRODUCT(--ISNUMBER(SEARCH(climate,C245)))&gt;0)</f>
        <v>0</v>
      </c>
      <c r="V245" s="14" cm="1">
        <f t="array" ref="V245">INT(SUMPRODUCT(--ISNUMBER(SEARCH(abortion,C245)))&gt;0)</f>
        <v>0</v>
      </c>
      <c r="W245" s="14" cm="1">
        <f t="array" ref="W245">INT(SUMPRODUCT(--ISNUMBER(SEARCH(trump,C245)))&gt;0)</f>
        <v>0</v>
      </c>
      <c r="X245" s="14" cm="1">
        <f t="array" ref="X245">INT(SUMPRODUCT(--ISNUMBER(SEARCH(voting,C245)))&gt;0)</f>
        <v>0</v>
      </c>
      <c r="Y245" s="14" cm="1">
        <f t="array" ref="Y245">INT(SUMPRODUCT(--ISNUMBER(SEARCH(democrattrigger,C245)))&gt;0)</f>
        <v>1</v>
      </c>
      <c r="Z245" s="14" cm="1">
        <f t="array" ref="Z245">INT(SUMPRODUCT(--ISNUMBER(SEARCH(bipartisan,C245)))&gt;0)</f>
        <v>0</v>
      </c>
      <c r="AA245" s="14">
        <f t="shared" si="3"/>
        <v>0</v>
      </c>
      <c r="AB245" s="14"/>
      <c r="AC245" s="30">
        <v>1</v>
      </c>
      <c r="AD245" s="37">
        <v>0</v>
      </c>
    </row>
    <row r="246" spans="1:30" x14ac:dyDescent="0.25">
      <c r="A246" s="36">
        <v>4087</v>
      </c>
      <c r="B246" s="14" t="s">
        <v>8197</v>
      </c>
      <c r="C246" s="14" t="s">
        <v>8198</v>
      </c>
      <c r="D246" s="17">
        <v>44118</v>
      </c>
      <c r="E246" s="14" t="s">
        <v>70</v>
      </c>
      <c r="F246" s="14">
        <v>1577</v>
      </c>
      <c r="G246" s="14">
        <v>554</v>
      </c>
      <c r="H246" s="14">
        <v>18</v>
      </c>
      <c r="I246" s="14">
        <v>9</v>
      </c>
      <c r="J246" s="14" t="s">
        <v>204</v>
      </c>
      <c r="K246" s="14" cm="1">
        <f t="array" ref="K246">INT(SUMPRODUCT(--ISNUMBER(SEARCH(economy,C246)))&gt;0)</f>
        <v>0</v>
      </c>
      <c r="L246" s="14" cm="1">
        <f t="array" ref="L246">INT(SUMPRODUCT(--ISNUMBER(SEARCH(healthcare,C246)))&gt;0)</f>
        <v>0</v>
      </c>
      <c r="M246" s="14" cm="1">
        <f t="array" ref="M246">INT(SUMPRODUCT(--ISNUMBER(SEARCH(supreme,C246)))&gt;0)</f>
        <v>0</v>
      </c>
      <c r="N246" s="14" cm="1">
        <f t="array" ref="N246">INT(SUMPRODUCT(--ISNUMBER(SEARCH(covid,C246)))&gt;0)</f>
        <v>1</v>
      </c>
      <c r="O246" s="14" cm="1">
        <f t="array" ref="O246">INT(SUMPRODUCT(--ISNUMBER(SEARCH(violent,C246)))&gt;0)</f>
        <v>0</v>
      </c>
      <c r="P246" s="14" cm="1">
        <f t="array" ref="P246">INT(SUMPRODUCT(--ISNUMBER(SEARCH(foreign,C246)))&gt;0)</f>
        <v>0</v>
      </c>
      <c r="Q246" s="14" cm="1">
        <f t="array" ref="Q246">INT(SUMPRODUCT(--ISNUMBER(SEARCH(gun,C246)))&gt;0)</f>
        <v>0</v>
      </c>
      <c r="R246" s="14" cm="1">
        <f t="array" ref="R246">INT(SUMPRODUCT(--ISNUMBER(SEARCH(race,C246)))&gt;0)</f>
        <v>0</v>
      </c>
      <c r="S246" s="14" cm="1">
        <f t="array" ref="S246">INT(SUMPRODUCT(--ISNUMBER(SEARCH(immigration,C246)))&gt;0)</f>
        <v>0</v>
      </c>
      <c r="T246" s="14" cm="1">
        <f t="array" ref="T246">INT(SUMPRODUCT(--ISNUMBER(SEARCH(econineq,C247)))&gt;0)</f>
        <v>0</v>
      </c>
      <c r="U246" s="14" cm="1">
        <f t="array" ref="U246">INT(SUMPRODUCT(--ISNUMBER(SEARCH(climate,C246)))&gt;0)</f>
        <v>0</v>
      </c>
      <c r="V246" s="14" cm="1">
        <f t="array" ref="V246">INT(SUMPRODUCT(--ISNUMBER(SEARCH(abortion,C246)))&gt;0)</f>
        <v>0</v>
      </c>
      <c r="W246" s="14" cm="1">
        <f t="array" ref="W246">INT(SUMPRODUCT(--ISNUMBER(SEARCH(trump,C246)))&gt;0)</f>
        <v>0</v>
      </c>
      <c r="X246" s="14" cm="1">
        <f t="array" ref="X246">INT(SUMPRODUCT(--ISNUMBER(SEARCH(voting,C246)))&gt;0)</f>
        <v>0</v>
      </c>
      <c r="Y246" s="14" cm="1">
        <f t="array" ref="Y246">INT(SUMPRODUCT(--ISNUMBER(SEARCH(democrattrigger,C246)))&gt;0)</f>
        <v>1</v>
      </c>
      <c r="Z246" s="14" cm="1">
        <f t="array" ref="Z246">INT(SUMPRODUCT(--ISNUMBER(SEARCH(bipartisan,C246)))&gt;0)</f>
        <v>0</v>
      </c>
      <c r="AA246" s="14">
        <f t="shared" si="3"/>
        <v>0</v>
      </c>
      <c r="AB246" s="14"/>
      <c r="AC246" s="30">
        <v>1</v>
      </c>
      <c r="AD246" s="37">
        <v>0</v>
      </c>
    </row>
    <row r="247" spans="1:30" x14ac:dyDescent="0.25">
      <c r="A247" s="36">
        <v>4088</v>
      </c>
      <c r="B247" s="14" t="s">
        <v>8199</v>
      </c>
      <c r="C247" s="14" t="s">
        <v>8200</v>
      </c>
      <c r="D247" s="17">
        <v>44118</v>
      </c>
      <c r="E247" s="14" t="s">
        <v>30</v>
      </c>
      <c r="F247" s="14">
        <v>9385</v>
      </c>
      <c r="G247" s="14">
        <v>3531</v>
      </c>
      <c r="H247" s="14">
        <v>18</v>
      </c>
      <c r="I247" s="14">
        <v>9</v>
      </c>
      <c r="J247" s="14" t="s">
        <v>204</v>
      </c>
      <c r="K247" s="14" cm="1">
        <f t="array" ref="K247">INT(SUMPRODUCT(--ISNUMBER(SEARCH(economy,C247)))&gt;0)</f>
        <v>0</v>
      </c>
      <c r="L247" s="14" cm="1">
        <f t="array" ref="L247">INT(SUMPRODUCT(--ISNUMBER(SEARCH(healthcare,C247)))&gt;0)</f>
        <v>0</v>
      </c>
      <c r="M247" s="14" cm="1">
        <f t="array" ref="M247">INT(SUMPRODUCT(--ISNUMBER(SEARCH(supreme,C247)))&gt;0)</f>
        <v>0</v>
      </c>
      <c r="N247" s="14" cm="1">
        <f t="array" ref="N247">INT(SUMPRODUCT(--ISNUMBER(SEARCH(covid,C247)))&gt;0)</f>
        <v>1</v>
      </c>
      <c r="O247" s="14" cm="1">
        <f t="array" ref="O247">INT(SUMPRODUCT(--ISNUMBER(SEARCH(violent,C247)))&gt;0)</f>
        <v>0</v>
      </c>
      <c r="P247" s="14" cm="1">
        <f t="array" ref="P247">INT(SUMPRODUCT(--ISNUMBER(SEARCH(foreign,C247)))&gt;0)</f>
        <v>0</v>
      </c>
      <c r="Q247" s="14" cm="1">
        <f t="array" ref="Q247">INT(SUMPRODUCT(--ISNUMBER(SEARCH(gun,C247)))&gt;0)</f>
        <v>0</v>
      </c>
      <c r="R247" s="14" cm="1">
        <f t="array" ref="R247">INT(SUMPRODUCT(--ISNUMBER(SEARCH(race,C247)))&gt;0)</f>
        <v>0</v>
      </c>
      <c r="S247" s="14" cm="1">
        <f t="array" ref="S247">INT(SUMPRODUCT(--ISNUMBER(SEARCH(immigration,C247)))&gt;0)</f>
        <v>0</v>
      </c>
      <c r="T247" s="14" cm="1">
        <f t="array" ref="T247">INT(SUMPRODUCT(--ISNUMBER(SEARCH(econineq,C248)))&gt;0)</f>
        <v>0</v>
      </c>
      <c r="U247" s="14" cm="1">
        <f t="array" ref="U247">INT(SUMPRODUCT(--ISNUMBER(SEARCH(climate,C247)))&gt;0)</f>
        <v>0</v>
      </c>
      <c r="V247" s="14" cm="1">
        <f t="array" ref="V247">INT(SUMPRODUCT(--ISNUMBER(SEARCH(abortion,C247)))&gt;0)</f>
        <v>0</v>
      </c>
      <c r="W247" s="14" cm="1">
        <f t="array" ref="W247">INT(SUMPRODUCT(--ISNUMBER(SEARCH(trump,C247)))&gt;0)</f>
        <v>0</v>
      </c>
      <c r="X247" s="14" cm="1">
        <f t="array" ref="X247">INT(SUMPRODUCT(--ISNUMBER(SEARCH(voting,C247)))&gt;0)</f>
        <v>0</v>
      </c>
      <c r="Y247" s="14" cm="1">
        <f t="array" ref="Y247">INT(SUMPRODUCT(--ISNUMBER(SEARCH(democrattrigger,C247)))&gt;0)</f>
        <v>1</v>
      </c>
      <c r="Z247" s="14" cm="1">
        <f t="array" ref="Z247">INT(SUMPRODUCT(--ISNUMBER(SEARCH(bipartisan,C247)))&gt;0)</f>
        <v>0</v>
      </c>
      <c r="AA247" s="14">
        <f t="shared" si="3"/>
        <v>0</v>
      </c>
      <c r="AB247" s="14"/>
      <c r="AC247" s="30">
        <v>1</v>
      </c>
      <c r="AD247" s="37">
        <v>0</v>
      </c>
    </row>
    <row r="248" spans="1:30" x14ac:dyDescent="0.25">
      <c r="A248" s="36">
        <v>4089</v>
      </c>
      <c r="B248" s="14" t="s">
        <v>8201</v>
      </c>
      <c r="C248" s="14" t="s">
        <v>8202</v>
      </c>
      <c r="D248" s="17">
        <v>44118</v>
      </c>
      <c r="E248" s="14" t="s">
        <v>30</v>
      </c>
      <c r="F248" s="14">
        <v>2299</v>
      </c>
      <c r="G248" s="14">
        <v>1191</v>
      </c>
      <c r="H248" s="14">
        <v>18</v>
      </c>
      <c r="I248" s="14">
        <v>9</v>
      </c>
      <c r="J248" s="14" t="s">
        <v>204</v>
      </c>
      <c r="K248" s="14" cm="1">
        <f t="array" ref="K248">INT(SUMPRODUCT(--ISNUMBER(SEARCH(economy,C248)))&gt;0)</f>
        <v>0</v>
      </c>
      <c r="L248" s="14" cm="1">
        <f t="array" ref="L248">INT(SUMPRODUCT(--ISNUMBER(SEARCH(healthcare,C248)))&gt;0)</f>
        <v>1</v>
      </c>
      <c r="M248" s="14" cm="1">
        <f t="array" ref="M248">INT(SUMPRODUCT(--ISNUMBER(SEARCH(supreme,C248)))&gt;0)</f>
        <v>0</v>
      </c>
      <c r="N248" s="14" cm="1">
        <f t="array" ref="N248">INT(SUMPRODUCT(--ISNUMBER(SEARCH(covid,C248)))&gt;0)</f>
        <v>0</v>
      </c>
      <c r="O248" s="14" cm="1">
        <f t="array" ref="O248">INT(SUMPRODUCT(--ISNUMBER(SEARCH(violent,C248)))&gt;0)</f>
        <v>0</v>
      </c>
      <c r="P248" s="14" cm="1">
        <f t="array" ref="P248">INT(SUMPRODUCT(--ISNUMBER(SEARCH(foreign,C248)))&gt;0)</f>
        <v>0</v>
      </c>
      <c r="Q248" s="14" cm="1">
        <f t="array" ref="Q248">INT(SUMPRODUCT(--ISNUMBER(SEARCH(gun,C248)))&gt;0)</f>
        <v>0</v>
      </c>
      <c r="R248" s="14" cm="1">
        <f t="array" ref="R248">INT(SUMPRODUCT(--ISNUMBER(SEARCH(race,C248)))&gt;0)</f>
        <v>0</v>
      </c>
      <c r="S248" s="14" cm="1">
        <f t="array" ref="S248">INT(SUMPRODUCT(--ISNUMBER(SEARCH(immigration,C248)))&gt;0)</f>
        <v>0</v>
      </c>
      <c r="T248" s="14" cm="1">
        <f t="array" ref="T248">INT(SUMPRODUCT(--ISNUMBER(SEARCH(econineq,C249)))&gt;0)</f>
        <v>0</v>
      </c>
      <c r="U248" s="14" cm="1">
        <f t="array" ref="U248">INT(SUMPRODUCT(--ISNUMBER(SEARCH(climate,C248)))&gt;0)</f>
        <v>0</v>
      </c>
      <c r="V248" s="14" cm="1">
        <f t="array" ref="V248">INT(SUMPRODUCT(--ISNUMBER(SEARCH(abortion,C248)))&gt;0)</f>
        <v>0</v>
      </c>
      <c r="W248" s="14" cm="1">
        <f t="array" ref="W248">INT(SUMPRODUCT(--ISNUMBER(SEARCH(trump,C248)))&gt;0)</f>
        <v>0</v>
      </c>
      <c r="X248" s="14" cm="1">
        <f t="array" ref="X248">INT(SUMPRODUCT(--ISNUMBER(SEARCH(voting,C248)))&gt;0)</f>
        <v>1</v>
      </c>
      <c r="Y248" s="14" cm="1">
        <f t="array" ref="Y248">INT(SUMPRODUCT(--ISNUMBER(SEARCH(democrattrigger,C248)))&gt;0)</f>
        <v>1</v>
      </c>
      <c r="Z248" s="14" cm="1">
        <f t="array" ref="Z248">INT(SUMPRODUCT(--ISNUMBER(SEARCH(bipartisan,C248)))&gt;0)</f>
        <v>0</v>
      </c>
      <c r="AA248" s="14">
        <f t="shared" si="3"/>
        <v>0</v>
      </c>
      <c r="AB248" s="14"/>
      <c r="AC248" s="30" t="s">
        <v>223</v>
      </c>
      <c r="AD248" s="37" t="s">
        <v>223</v>
      </c>
    </row>
    <row r="249" spans="1:30" x14ac:dyDescent="0.25">
      <c r="A249" s="36">
        <v>4090</v>
      </c>
      <c r="B249" s="14" t="s">
        <v>8203</v>
      </c>
      <c r="C249" s="14" t="s">
        <v>8204</v>
      </c>
      <c r="D249" s="17">
        <v>44118</v>
      </c>
      <c r="E249" s="14" t="s">
        <v>30</v>
      </c>
      <c r="F249" s="14">
        <v>9132</v>
      </c>
      <c r="G249" s="14">
        <v>2502</v>
      </c>
      <c r="H249" s="14">
        <v>18</v>
      </c>
      <c r="I249" s="14">
        <v>9</v>
      </c>
      <c r="J249" s="14" t="s">
        <v>204</v>
      </c>
      <c r="K249" s="14" cm="1">
        <f t="array" ref="K249">INT(SUMPRODUCT(--ISNUMBER(SEARCH(economy,C249)))&gt;0)</f>
        <v>0</v>
      </c>
      <c r="L249" s="14" cm="1">
        <f t="array" ref="L249">INT(SUMPRODUCT(--ISNUMBER(SEARCH(healthcare,C249)))&gt;0)</f>
        <v>0</v>
      </c>
      <c r="M249" s="14" cm="1">
        <f t="array" ref="M249">INT(SUMPRODUCT(--ISNUMBER(SEARCH(supreme,C249)))&gt;0)</f>
        <v>0</v>
      </c>
      <c r="N249" s="14" cm="1">
        <f t="array" ref="N249">INT(SUMPRODUCT(--ISNUMBER(SEARCH(covid,C249)))&gt;0)</f>
        <v>0</v>
      </c>
      <c r="O249" s="14" cm="1">
        <f t="array" ref="O249">INT(SUMPRODUCT(--ISNUMBER(SEARCH(violent,C249)))&gt;0)</f>
        <v>0</v>
      </c>
      <c r="P249" s="14" cm="1">
        <f t="array" ref="P249">INT(SUMPRODUCT(--ISNUMBER(SEARCH(foreign,C249)))&gt;0)</f>
        <v>0</v>
      </c>
      <c r="Q249" s="14" cm="1">
        <f t="array" ref="Q249">INT(SUMPRODUCT(--ISNUMBER(SEARCH(gun,C249)))&gt;0)</f>
        <v>0</v>
      </c>
      <c r="R249" s="14" cm="1">
        <f t="array" ref="R249">INT(SUMPRODUCT(--ISNUMBER(SEARCH(race,C249)))&gt;0)</f>
        <v>0</v>
      </c>
      <c r="S249" s="14" cm="1">
        <f t="array" ref="S249">INT(SUMPRODUCT(--ISNUMBER(SEARCH(immigration,C249)))&gt;0)</f>
        <v>0</v>
      </c>
      <c r="T249" s="14" cm="1">
        <f t="array" ref="T249">INT(SUMPRODUCT(--ISNUMBER(SEARCH(econineq,C250)))&gt;0)</f>
        <v>0</v>
      </c>
      <c r="U249" s="14" cm="1">
        <f t="array" ref="U249">INT(SUMPRODUCT(--ISNUMBER(SEARCH(climate,C249)))&gt;0)</f>
        <v>0</v>
      </c>
      <c r="V249" s="14" cm="1">
        <f t="array" ref="V249">INT(SUMPRODUCT(--ISNUMBER(SEARCH(abortion,C249)))&gt;0)</f>
        <v>0</v>
      </c>
      <c r="W249" s="14" cm="1">
        <f t="array" ref="W249">INT(SUMPRODUCT(--ISNUMBER(SEARCH(trump,C249)))&gt;0)</f>
        <v>0</v>
      </c>
      <c r="X249" s="14" cm="1">
        <f t="array" ref="X249">INT(SUMPRODUCT(--ISNUMBER(SEARCH(voting,C249)))&gt;0)</f>
        <v>1</v>
      </c>
      <c r="Y249" s="14" cm="1">
        <f t="array" ref="Y249">INT(SUMPRODUCT(--ISNUMBER(SEARCH(democrattrigger,C249)))&gt;0)</f>
        <v>0</v>
      </c>
      <c r="Z249" s="14" cm="1">
        <f t="array" ref="Z249">INT(SUMPRODUCT(--ISNUMBER(SEARCH(bipartisan,C249)))&gt;0)</f>
        <v>0</v>
      </c>
      <c r="AA249" s="14">
        <f t="shared" si="3"/>
        <v>0</v>
      </c>
      <c r="AB249" s="14"/>
      <c r="AC249" s="30" t="s">
        <v>223</v>
      </c>
      <c r="AD249" s="37" t="s">
        <v>223</v>
      </c>
    </row>
    <row r="250" spans="1:30" x14ac:dyDescent="0.25">
      <c r="A250" s="36">
        <v>4091</v>
      </c>
      <c r="B250" s="14" t="s">
        <v>8205</v>
      </c>
      <c r="C250" s="14" t="s">
        <v>8206</v>
      </c>
      <c r="D250" s="17">
        <v>44118</v>
      </c>
      <c r="E250" s="14" t="s">
        <v>30</v>
      </c>
      <c r="F250" s="14">
        <v>885</v>
      </c>
      <c r="G250" s="14">
        <v>324</v>
      </c>
      <c r="H250" s="14">
        <v>18</v>
      </c>
      <c r="I250" s="14">
        <v>9</v>
      </c>
      <c r="J250" s="14" t="s">
        <v>204</v>
      </c>
      <c r="K250" s="14" cm="1">
        <f t="array" ref="K250">INT(SUMPRODUCT(--ISNUMBER(SEARCH(economy,C250)))&gt;0)</f>
        <v>0</v>
      </c>
      <c r="L250" s="14" cm="1">
        <f t="array" ref="L250">INT(SUMPRODUCT(--ISNUMBER(SEARCH(healthcare,C250)))&gt;0)</f>
        <v>0</v>
      </c>
      <c r="M250" s="14" cm="1">
        <f t="array" ref="M250">INT(SUMPRODUCT(--ISNUMBER(SEARCH(supreme,C250)))&gt;0)</f>
        <v>0</v>
      </c>
      <c r="N250" s="14" cm="1">
        <f t="array" ref="N250">INT(SUMPRODUCT(--ISNUMBER(SEARCH(covid,C250)))&gt;0)</f>
        <v>0</v>
      </c>
      <c r="O250" s="14" cm="1">
        <f t="array" ref="O250">INT(SUMPRODUCT(--ISNUMBER(SEARCH(violent,C250)))&gt;0)</f>
        <v>0</v>
      </c>
      <c r="P250" s="14" cm="1">
        <f t="array" ref="P250">INT(SUMPRODUCT(--ISNUMBER(SEARCH(foreign,C250)))&gt;0)</f>
        <v>0</v>
      </c>
      <c r="Q250" s="14" cm="1">
        <f t="array" ref="Q250">INT(SUMPRODUCT(--ISNUMBER(SEARCH(gun,C250)))&gt;0)</f>
        <v>0</v>
      </c>
      <c r="R250" s="14" cm="1">
        <f t="array" ref="R250">INT(SUMPRODUCT(--ISNUMBER(SEARCH(race,C250)))&gt;0)</f>
        <v>0</v>
      </c>
      <c r="S250" s="14" cm="1">
        <f t="array" ref="S250">INT(SUMPRODUCT(--ISNUMBER(SEARCH(immigration,C250)))&gt;0)</f>
        <v>0</v>
      </c>
      <c r="T250" s="14" cm="1">
        <f t="array" ref="T250">INT(SUMPRODUCT(--ISNUMBER(SEARCH(econineq,C251)))&gt;0)</f>
        <v>0</v>
      </c>
      <c r="U250" s="14" cm="1">
        <f t="array" ref="U250">INT(SUMPRODUCT(--ISNUMBER(SEARCH(climate,C250)))&gt;0)</f>
        <v>0</v>
      </c>
      <c r="V250" s="14" cm="1">
        <f t="array" ref="V250">INT(SUMPRODUCT(--ISNUMBER(SEARCH(abortion,C250)))&gt;0)</f>
        <v>0</v>
      </c>
      <c r="W250" s="14" cm="1">
        <f t="array" ref="W250">INT(SUMPRODUCT(--ISNUMBER(SEARCH(trump,C250)))&gt;0)</f>
        <v>0</v>
      </c>
      <c r="X250" s="14" cm="1">
        <f t="array" ref="X250">INT(SUMPRODUCT(--ISNUMBER(SEARCH(voting,C250)))&gt;0)</f>
        <v>1</v>
      </c>
      <c r="Y250" s="14" cm="1">
        <f t="array" ref="Y250">INT(SUMPRODUCT(--ISNUMBER(SEARCH(democrattrigger,C250)))&gt;0)</f>
        <v>0</v>
      </c>
      <c r="Z250" s="14" cm="1">
        <f t="array" ref="Z250">INT(SUMPRODUCT(--ISNUMBER(SEARCH(bipartisan,C250)))&gt;0)</f>
        <v>0</v>
      </c>
      <c r="AA250" s="14">
        <f t="shared" si="3"/>
        <v>0</v>
      </c>
      <c r="AB250" s="14"/>
      <c r="AC250" s="30" t="s">
        <v>223</v>
      </c>
      <c r="AD250" s="37" t="s">
        <v>223</v>
      </c>
    </row>
    <row r="251" spans="1:30" x14ac:dyDescent="0.25">
      <c r="A251" s="36">
        <v>4092</v>
      </c>
      <c r="B251" s="14" t="s">
        <v>8207</v>
      </c>
      <c r="C251" s="14" t="s">
        <v>8208</v>
      </c>
      <c r="D251" s="17">
        <v>44118</v>
      </c>
      <c r="E251" s="14" t="s">
        <v>30</v>
      </c>
      <c r="F251" s="14">
        <v>5193</v>
      </c>
      <c r="G251" s="14">
        <v>944</v>
      </c>
      <c r="H251" s="14">
        <v>18</v>
      </c>
      <c r="I251" s="14">
        <v>9</v>
      </c>
      <c r="J251" s="14" t="s">
        <v>204</v>
      </c>
      <c r="K251" s="14" cm="1">
        <f t="array" ref="K251">INT(SUMPRODUCT(--ISNUMBER(SEARCH(economy,C251)))&gt;0)</f>
        <v>0</v>
      </c>
      <c r="L251" s="14" cm="1">
        <f t="array" ref="L251">INT(SUMPRODUCT(--ISNUMBER(SEARCH(healthcare,C251)))&gt;0)</f>
        <v>0</v>
      </c>
      <c r="M251" s="14" cm="1">
        <f t="array" ref="M251">INT(SUMPRODUCT(--ISNUMBER(SEARCH(supreme,C251)))&gt;0)</f>
        <v>0</v>
      </c>
      <c r="N251" s="14" cm="1">
        <f t="array" ref="N251">INT(SUMPRODUCT(--ISNUMBER(SEARCH(covid,C251)))&gt;0)</f>
        <v>0</v>
      </c>
      <c r="O251" s="14" cm="1">
        <f t="array" ref="O251">INT(SUMPRODUCT(--ISNUMBER(SEARCH(violent,C251)))&gt;0)</f>
        <v>0</v>
      </c>
      <c r="P251" s="14" cm="1">
        <f t="array" ref="P251">INT(SUMPRODUCT(--ISNUMBER(SEARCH(foreign,C251)))&gt;0)</f>
        <v>0</v>
      </c>
      <c r="Q251" s="14" cm="1">
        <f t="array" ref="Q251">INT(SUMPRODUCT(--ISNUMBER(SEARCH(gun,C251)))&gt;0)</f>
        <v>0</v>
      </c>
      <c r="R251" s="14" cm="1">
        <f t="array" ref="R251">INT(SUMPRODUCT(--ISNUMBER(SEARCH(race,C251)))&gt;0)</f>
        <v>0</v>
      </c>
      <c r="S251" s="14" cm="1">
        <f t="array" ref="S251">INT(SUMPRODUCT(--ISNUMBER(SEARCH(immigration,C251)))&gt;0)</f>
        <v>0</v>
      </c>
      <c r="T251" s="14" cm="1">
        <f t="array" ref="T251">INT(SUMPRODUCT(--ISNUMBER(SEARCH(econineq,C252)))&gt;0)</f>
        <v>0</v>
      </c>
      <c r="U251" s="14" cm="1">
        <f t="array" ref="U251">INT(SUMPRODUCT(--ISNUMBER(SEARCH(climate,C251)))&gt;0)</f>
        <v>0</v>
      </c>
      <c r="V251" s="14" cm="1">
        <f t="array" ref="V251">INT(SUMPRODUCT(--ISNUMBER(SEARCH(abortion,C251)))&gt;0)</f>
        <v>0</v>
      </c>
      <c r="W251" s="14" cm="1">
        <f t="array" ref="W251">INT(SUMPRODUCT(--ISNUMBER(SEARCH(trump,C251)))&gt;0)</f>
        <v>0</v>
      </c>
      <c r="X251" s="14" cm="1">
        <f t="array" ref="X251">INT(SUMPRODUCT(--ISNUMBER(SEARCH(voting,C251)))&gt;0)</f>
        <v>0</v>
      </c>
      <c r="Y251" s="14" cm="1">
        <f t="array" ref="Y251">INT(SUMPRODUCT(--ISNUMBER(SEARCH(democrattrigger,C251)))&gt;0)</f>
        <v>0</v>
      </c>
      <c r="Z251" s="14" cm="1">
        <f t="array" ref="Z251">INT(SUMPRODUCT(--ISNUMBER(SEARCH(bipartisan,C251)))&gt;0)</f>
        <v>0</v>
      </c>
      <c r="AA251" s="14">
        <f t="shared" si="3"/>
        <v>1</v>
      </c>
      <c r="AB251" s="14"/>
      <c r="AC251" s="30" t="s">
        <v>223</v>
      </c>
      <c r="AD251" s="37" t="s">
        <v>223</v>
      </c>
    </row>
    <row r="252" spans="1:30" x14ac:dyDescent="0.25">
      <c r="A252" s="36">
        <v>4093</v>
      </c>
      <c r="B252" s="14" t="s">
        <v>8209</v>
      </c>
      <c r="C252" s="14" t="s">
        <v>8210</v>
      </c>
      <c r="D252" s="17">
        <v>44118</v>
      </c>
      <c r="E252" s="14" t="s">
        <v>30</v>
      </c>
      <c r="F252" s="14">
        <v>671</v>
      </c>
      <c r="G252" s="14">
        <v>183</v>
      </c>
      <c r="H252" s="14">
        <v>18</v>
      </c>
      <c r="I252" s="14">
        <v>9</v>
      </c>
      <c r="J252" s="14" t="s">
        <v>204</v>
      </c>
      <c r="K252" s="14" cm="1">
        <f t="array" ref="K252">INT(SUMPRODUCT(--ISNUMBER(SEARCH(economy,C252)))&gt;0)</f>
        <v>0</v>
      </c>
      <c r="L252" s="14" cm="1">
        <f t="array" ref="L252">INT(SUMPRODUCT(--ISNUMBER(SEARCH(healthcare,C252)))&gt;0)</f>
        <v>0</v>
      </c>
      <c r="M252" s="14" cm="1">
        <f t="array" ref="M252">INT(SUMPRODUCT(--ISNUMBER(SEARCH(supreme,C252)))&gt;0)</f>
        <v>0</v>
      </c>
      <c r="N252" s="14" cm="1">
        <f t="array" ref="N252">INT(SUMPRODUCT(--ISNUMBER(SEARCH(covid,C252)))&gt;0)</f>
        <v>0</v>
      </c>
      <c r="O252" s="14" cm="1">
        <f t="array" ref="O252">INT(SUMPRODUCT(--ISNUMBER(SEARCH(violent,C252)))&gt;0)</f>
        <v>0</v>
      </c>
      <c r="P252" s="14" cm="1">
        <f t="array" ref="P252">INT(SUMPRODUCT(--ISNUMBER(SEARCH(foreign,C252)))&gt;0)</f>
        <v>0</v>
      </c>
      <c r="Q252" s="14" cm="1">
        <f t="array" ref="Q252">INT(SUMPRODUCT(--ISNUMBER(SEARCH(gun,C252)))&gt;0)</f>
        <v>0</v>
      </c>
      <c r="R252" s="14" cm="1">
        <f t="array" ref="R252">INT(SUMPRODUCT(--ISNUMBER(SEARCH(race,C252)))&gt;0)</f>
        <v>0</v>
      </c>
      <c r="S252" s="14" cm="1">
        <f t="array" ref="S252">INT(SUMPRODUCT(--ISNUMBER(SEARCH(immigration,C252)))&gt;0)</f>
        <v>0</v>
      </c>
      <c r="T252" s="14" cm="1">
        <f t="array" ref="T252">INT(SUMPRODUCT(--ISNUMBER(SEARCH(econineq,C253)))&gt;0)</f>
        <v>0</v>
      </c>
      <c r="U252" s="14" cm="1">
        <f t="array" ref="U252">INT(SUMPRODUCT(--ISNUMBER(SEARCH(climate,C252)))&gt;0)</f>
        <v>0</v>
      </c>
      <c r="V252" s="14" cm="1">
        <f t="array" ref="V252">INT(SUMPRODUCT(--ISNUMBER(SEARCH(abortion,C252)))&gt;0)</f>
        <v>0</v>
      </c>
      <c r="W252" s="14" cm="1">
        <f t="array" ref="W252">INT(SUMPRODUCT(--ISNUMBER(SEARCH(trump,C252)))&gt;0)</f>
        <v>0</v>
      </c>
      <c r="X252" s="14" cm="1">
        <f t="array" ref="X252">INT(SUMPRODUCT(--ISNUMBER(SEARCH(voting,C252)))&gt;0)</f>
        <v>1</v>
      </c>
      <c r="Y252" s="14" cm="1">
        <f t="array" ref="Y252">INT(SUMPRODUCT(--ISNUMBER(SEARCH(democrattrigger,C252)))&gt;0)</f>
        <v>0</v>
      </c>
      <c r="Z252" s="14" cm="1">
        <f t="array" ref="Z252">INT(SUMPRODUCT(--ISNUMBER(SEARCH(bipartisan,C252)))&gt;0)</f>
        <v>0</v>
      </c>
      <c r="AA252" s="14">
        <f t="shared" si="3"/>
        <v>0</v>
      </c>
      <c r="AB252" s="14"/>
      <c r="AC252" s="30" t="s">
        <v>223</v>
      </c>
      <c r="AD252" s="37" t="s">
        <v>223</v>
      </c>
    </row>
    <row r="253" spans="1:30" x14ac:dyDescent="0.25">
      <c r="A253" s="36">
        <v>4094</v>
      </c>
      <c r="B253" s="14" t="s">
        <v>8211</v>
      </c>
      <c r="C253" s="14" t="s">
        <v>8212</v>
      </c>
      <c r="D253" s="17">
        <v>44118</v>
      </c>
      <c r="E253" s="14" t="s">
        <v>30</v>
      </c>
      <c r="F253" s="14">
        <v>946</v>
      </c>
      <c r="G253" s="14">
        <v>242</v>
      </c>
      <c r="H253" s="14">
        <v>18</v>
      </c>
      <c r="I253" s="14">
        <v>9</v>
      </c>
      <c r="J253" s="14" t="s">
        <v>204</v>
      </c>
      <c r="K253" s="14" cm="1">
        <f t="array" ref="K253">INT(SUMPRODUCT(--ISNUMBER(SEARCH(economy,C253)))&gt;0)</f>
        <v>0</v>
      </c>
      <c r="L253" s="14" cm="1">
        <f t="array" ref="L253">INT(SUMPRODUCT(--ISNUMBER(SEARCH(healthcare,C253)))&gt;0)</f>
        <v>0</v>
      </c>
      <c r="M253" s="14" cm="1">
        <f t="array" ref="M253">INT(SUMPRODUCT(--ISNUMBER(SEARCH(supreme,C253)))&gt;0)</f>
        <v>0</v>
      </c>
      <c r="N253" s="14" cm="1">
        <f t="array" ref="N253">INT(SUMPRODUCT(--ISNUMBER(SEARCH(covid,C253)))&gt;0)</f>
        <v>0</v>
      </c>
      <c r="O253" s="14" cm="1">
        <f t="array" ref="O253">INT(SUMPRODUCT(--ISNUMBER(SEARCH(violent,C253)))&gt;0)</f>
        <v>0</v>
      </c>
      <c r="P253" s="14" cm="1">
        <f t="array" ref="P253">INT(SUMPRODUCT(--ISNUMBER(SEARCH(foreign,C253)))&gt;0)</f>
        <v>0</v>
      </c>
      <c r="Q253" s="14" cm="1">
        <f t="array" ref="Q253">INT(SUMPRODUCT(--ISNUMBER(SEARCH(gun,C253)))&gt;0)</f>
        <v>0</v>
      </c>
      <c r="R253" s="14" cm="1">
        <f t="array" ref="R253">INT(SUMPRODUCT(--ISNUMBER(SEARCH(race,C253)))&gt;0)</f>
        <v>0</v>
      </c>
      <c r="S253" s="14" cm="1">
        <f t="array" ref="S253">INT(SUMPRODUCT(--ISNUMBER(SEARCH(immigration,C253)))&gt;0)</f>
        <v>0</v>
      </c>
      <c r="T253" s="14" cm="1">
        <f t="array" ref="T253">INT(SUMPRODUCT(--ISNUMBER(SEARCH(econineq,C254)))&gt;0)</f>
        <v>0</v>
      </c>
      <c r="U253" s="14" cm="1">
        <f t="array" ref="U253">INT(SUMPRODUCT(--ISNUMBER(SEARCH(climate,C253)))&gt;0)</f>
        <v>0</v>
      </c>
      <c r="V253" s="14" cm="1">
        <f t="array" ref="V253">INT(SUMPRODUCT(--ISNUMBER(SEARCH(abortion,C253)))&gt;0)</f>
        <v>0</v>
      </c>
      <c r="W253" s="14" cm="1">
        <f t="array" ref="W253">INT(SUMPRODUCT(--ISNUMBER(SEARCH(trump,C253)))&gt;0)</f>
        <v>0</v>
      </c>
      <c r="X253" s="14" cm="1">
        <f t="array" ref="X253">INT(SUMPRODUCT(--ISNUMBER(SEARCH(voting,C253)))&gt;0)</f>
        <v>1</v>
      </c>
      <c r="Y253" s="14" cm="1">
        <f t="array" ref="Y253">INT(SUMPRODUCT(--ISNUMBER(SEARCH(democrattrigger,C253)))&gt;0)</f>
        <v>0</v>
      </c>
      <c r="Z253" s="14" cm="1">
        <f t="array" ref="Z253">INT(SUMPRODUCT(--ISNUMBER(SEARCH(bipartisan,C253)))&gt;0)</f>
        <v>0</v>
      </c>
      <c r="AA253" s="14">
        <f t="shared" si="3"/>
        <v>0</v>
      </c>
      <c r="AB253" s="14"/>
      <c r="AC253" s="30" t="s">
        <v>223</v>
      </c>
      <c r="AD253" s="37" t="s">
        <v>223</v>
      </c>
    </row>
    <row r="254" spans="1:30" x14ac:dyDescent="0.25">
      <c r="A254" s="36">
        <v>4095</v>
      </c>
      <c r="B254" s="14" t="s">
        <v>8213</v>
      </c>
      <c r="C254" s="14" t="s">
        <v>8214</v>
      </c>
      <c r="D254" s="17">
        <v>44118</v>
      </c>
      <c r="E254" s="14" t="s">
        <v>30</v>
      </c>
      <c r="F254" s="14">
        <v>2026</v>
      </c>
      <c r="G254" s="14">
        <v>334</v>
      </c>
      <c r="H254" s="14">
        <v>18</v>
      </c>
      <c r="I254" s="14">
        <v>9</v>
      </c>
      <c r="J254" s="14" t="s">
        <v>204</v>
      </c>
      <c r="K254" s="14" cm="1">
        <f t="array" ref="K254">INT(SUMPRODUCT(--ISNUMBER(SEARCH(economy,C254)))&gt;0)</f>
        <v>0</v>
      </c>
      <c r="L254" s="14" cm="1">
        <f t="array" ref="L254">INT(SUMPRODUCT(--ISNUMBER(SEARCH(healthcare,C254)))&gt;0)</f>
        <v>0</v>
      </c>
      <c r="M254" s="14" cm="1">
        <f t="array" ref="M254">INT(SUMPRODUCT(--ISNUMBER(SEARCH(supreme,C254)))&gt;0)</f>
        <v>0</v>
      </c>
      <c r="N254" s="14" cm="1">
        <f t="array" ref="N254">INT(SUMPRODUCT(--ISNUMBER(SEARCH(covid,C254)))&gt;0)</f>
        <v>0</v>
      </c>
      <c r="O254" s="14" cm="1">
        <f t="array" ref="O254">INT(SUMPRODUCT(--ISNUMBER(SEARCH(violent,C254)))&gt;0)</f>
        <v>0</v>
      </c>
      <c r="P254" s="14" cm="1">
        <f t="array" ref="P254">INT(SUMPRODUCT(--ISNUMBER(SEARCH(foreign,C254)))&gt;0)</f>
        <v>0</v>
      </c>
      <c r="Q254" s="14" cm="1">
        <f t="array" ref="Q254">INT(SUMPRODUCT(--ISNUMBER(SEARCH(gun,C254)))&gt;0)</f>
        <v>0</v>
      </c>
      <c r="R254" s="14" cm="1">
        <f t="array" ref="R254">INT(SUMPRODUCT(--ISNUMBER(SEARCH(race,C254)))&gt;0)</f>
        <v>0</v>
      </c>
      <c r="S254" s="14" cm="1">
        <f t="array" ref="S254">INT(SUMPRODUCT(--ISNUMBER(SEARCH(immigration,C254)))&gt;0)</f>
        <v>0</v>
      </c>
      <c r="T254" s="14" cm="1">
        <f t="array" ref="T254">INT(SUMPRODUCT(--ISNUMBER(SEARCH(econineq,C255)))&gt;0)</f>
        <v>0</v>
      </c>
      <c r="U254" s="14" cm="1">
        <f t="array" ref="U254">INT(SUMPRODUCT(--ISNUMBER(SEARCH(climate,C254)))&gt;0)</f>
        <v>0</v>
      </c>
      <c r="V254" s="14" cm="1">
        <f t="array" ref="V254">INT(SUMPRODUCT(--ISNUMBER(SEARCH(abortion,C254)))&gt;0)</f>
        <v>0</v>
      </c>
      <c r="W254" s="14" cm="1">
        <f t="array" ref="W254">INT(SUMPRODUCT(--ISNUMBER(SEARCH(trump,C254)))&gt;0)</f>
        <v>0</v>
      </c>
      <c r="X254" s="14" cm="1">
        <f t="array" ref="X254">INT(SUMPRODUCT(--ISNUMBER(SEARCH(voting,C254)))&gt;0)</f>
        <v>0</v>
      </c>
      <c r="Y254" s="14" cm="1">
        <f t="array" ref="Y254">INT(SUMPRODUCT(--ISNUMBER(SEARCH(democrattrigger,C254)))&gt;0)</f>
        <v>0</v>
      </c>
      <c r="Z254" s="14" cm="1">
        <f t="array" ref="Z254">INT(SUMPRODUCT(--ISNUMBER(SEARCH(bipartisan,C254)))&gt;0)</f>
        <v>0</v>
      </c>
      <c r="AA254" s="14">
        <f t="shared" si="3"/>
        <v>1</v>
      </c>
      <c r="AB254" s="14"/>
      <c r="AC254" s="30" t="s">
        <v>223</v>
      </c>
      <c r="AD254" s="37" t="s">
        <v>223</v>
      </c>
    </row>
    <row r="255" spans="1:30" x14ac:dyDescent="0.25">
      <c r="A255" s="36">
        <v>4096</v>
      </c>
      <c r="B255" s="14" t="s">
        <v>8215</v>
      </c>
      <c r="C255" s="14" t="s">
        <v>8216</v>
      </c>
      <c r="D255" s="17">
        <v>44117</v>
      </c>
      <c r="E255" s="14" t="s">
        <v>30</v>
      </c>
      <c r="F255" s="14">
        <v>426</v>
      </c>
      <c r="G255" s="14">
        <v>166</v>
      </c>
      <c r="H255" s="14">
        <v>18</v>
      </c>
      <c r="I255" s="14">
        <v>9</v>
      </c>
      <c r="J255" s="14" t="s">
        <v>204</v>
      </c>
      <c r="K255" s="14" cm="1">
        <f t="array" ref="K255">INT(SUMPRODUCT(--ISNUMBER(SEARCH(economy,C255)))&gt;0)</f>
        <v>0</v>
      </c>
      <c r="L255" s="14" cm="1">
        <f t="array" ref="L255">INT(SUMPRODUCT(--ISNUMBER(SEARCH(healthcare,C255)))&gt;0)</f>
        <v>0</v>
      </c>
      <c r="M255" s="14" cm="1">
        <f t="array" ref="M255">INT(SUMPRODUCT(--ISNUMBER(SEARCH(supreme,C255)))&gt;0)</f>
        <v>0</v>
      </c>
      <c r="N255" s="14" cm="1">
        <f t="array" ref="N255">INT(SUMPRODUCT(--ISNUMBER(SEARCH(covid,C255)))&gt;0)</f>
        <v>0</v>
      </c>
      <c r="O255" s="14" cm="1">
        <f t="array" ref="O255">INT(SUMPRODUCT(--ISNUMBER(SEARCH(violent,C255)))&gt;0)</f>
        <v>0</v>
      </c>
      <c r="P255" s="14" cm="1">
        <f t="array" ref="P255">INT(SUMPRODUCT(--ISNUMBER(SEARCH(foreign,C255)))&gt;0)</f>
        <v>0</v>
      </c>
      <c r="Q255" s="14" cm="1">
        <f t="array" ref="Q255">INT(SUMPRODUCT(--ISNUMBER(SEARCH(gun,C255)))&gt;0)</f>
        <v>0</v>
      </c>
      <c r="R255" s="14" cm="1">
        <f t="array" ref="R255">INT(SUMPRODUCT(--ISNUMBER(SEARCH(race,C255)))&gt;0)</f>
        <v>0</v>
      </c>
      <c r="S255" s="14" cm="1">
        <f t="array" ref="S255">INT(SUMPRODUCT(--ISNUMBER(SEARCH(immigration,C255)))&gt;0)</f>
        <v>0</v>
      </c>
      <c r="T255" s="14" cm="1">
        <f t="array" ref="T255">INT(SUMPRODUCT(--ISNUMBER(SEARCH(econineq,C256)))&gt;0)</f>
        <v>0</v>
      </c>
      <c r="U255" s="14" cm="1">
        <f t="array" ref="U255">INT(SUMPRODUCT(--ISNUMBER(SEARCH(climate,C255)))&gt;0)</f>
        <v>0</v>
      </c>
      <c r="V255" s="14" cm="1">
        <f t="array" ref="V255">INT(SUMPRODUCT(--ISNUMBER(SEARCH(abortion,C255)))&gt;0)</f>
        <v>0</v>
      </c>
      <c r="W255" s="14" cm="1">
        <f t="array" ref="W255">INT(SUMPRODUCT(--ISNUMBER(SEARCH(trump,C255)))&gt;0)</f>
        <v>0</v>
      </c>
      <c r="X255" s="14" cm="1">
        <f t="array" ref="X255">INT(SUMPRODUCT(--ISNUMBER(SEARCH(voting,C255)))&gt;0)</f>
        <v>1</v>
      </c>
      <c r="Y255" s="14" cm="1">
        <f t="array" ref="Y255">INT(SUMPRODUCT(--ISNUMBER(SEARCH(democrattrigger,C255)))&gt;0)</f>
        <v>0</v>
      </c>
      <c r="Z255" s="14" cm="1">
        <f t="array" ref="Z255">INT(SUMPRODUCT(--ISNUMBER(SEARCH(bipartisan,C255)))&gt;0)</f>
        <v>0</v>
      </c>
      <c r="AA255" s="14">
        <f t="shared" si="3"/>
        <v>0</v>
      </c>
      <c r="AB255" s="14"/>
      <c r="AC255" s="30" t="s">
        <v>223</v>
      </c>
      <c r="AD255" s="37" t="s">
        <v>223</v>
      </c>
    </row>
    <row r="256" spans="1:30" x14ac:dyDescent="0.25">
      <c r="A256" s="36">
        <v>4097</v>
      </c>
      <c r="B256" s="14" t="s">
        <v>8217</v>
      </c>
      <c r="C256" s="14" t="s">
        <v>8218</v>
      </c>
      <c r="D256" s="17">
        <v>44117</v>
      </c>
      <c r="E256" s="14" t="s">
        <v>30</v>
      </c>
      <c r="F256" s="14">
        <v>601</v>
      </c>
      <c r="G256" s="14">
        <v>232</v>
      </c>
      <c r="H256" s="14">
        <v>18</v>
      </c>
      <c r="I256" s="14">
        <v>9</v>
      </c>
      <c r="J256" s="14" t="s">
        <v>204</v>
      </c>
      <c r="K256" s="14" cm="1">
        <f t="array" ref="K256">INT(SUMPRODUCT(--ISNUMBER(SEARCH(economy,C256)))&gt;0)</f>
        <v>0</v>
      </c>
      <c r="L256" s="14" cm="1">
        <f t="array" ref="L256">INT(SUMPRODUCT(--ISNUMBER(SEARCH(healthcare,C256)))&gt;0)</f>
        <v>0</v>
      </c>
      <c r="M256" s="14" cm="1">
        <f t="array" ref="M256">INT(SUMPRODUCT(--ISNUMBER(SEARCH(supreme,C256)))&gt;0)</f>
        <v>0</v>
      </c>
      <c r="N256" s="14" cm="1">
        <f t="array" ref="N256">INT(SUMPRODUCT(--ISNUMBER(SEARCH(covid,C256)))&gt;0)</f>
        <v>0</v>
      </c>
      <c r="O256" s="14" cm="1">
        <f t="array" ref="O256">INT(SUMPRODUCT(--ISNUMBER(SEARCH(violent,C256)))&gt;0)</f>
        <v>0</v>
      </c>
      <c r="P256" s="14" cm="1">
        <f t="array" ref="P256">INT(SUMPRODUCT(--ISNUMBER(SEARCH(foreign,C256)))&gt;0)</f>
        <v>0</v>
      </c>
      <c r="Q256" s="14" cm="1">
        <f t="array" ref="Q256">INT(SUMPRODUCT(--ISNUMBER(SEARCH(gun,C256)))&gt;0)</f>
        <v>0</v>
      </c>
      <c r="R256" s="14" cm="1">
        <f t="array" ref="R256">INT(SUMPRODUCT(--ISNUMBER(SEARCH(race,C256)))&gt;0)</f>
        <v>0</v>
      </c>
      <c r="S256" s="14" cm="1">
        <f t="array" ref="S256">INT(SUMPRODUCT(--ISNUMBER(SEARCH(immigration,C256)))&gt;0)</f>
        <v>0</v>
      </c>
      <c r="T256" s="14" cm="1">
        <f t="array" ref="T256">INT(SUMPRODUCT(--ISNUMBER(SEARCH(econineq,C257)))&gt;0)</f>
        <v>0</v>
      </c>
      <c r="U256" s="14" cm="1">
        <f t="array" ref="U256">INT(SUMPRODUCT(--ISNUMBER(SEARCH(climate,C256)))&gt;0)</f>
        <v>0</v>
      </c>
      <c r="V256" s="14" cm="1">
        <f t="array" ref="V256">INT(SUMPRODUCT(--ISNUMBER(SEARCH(abortion,C256)))&gt;0)</f>
        <v>0</v>
      </c>
      <c r="W256" s="14" cm="1">
        <f t="array" ref="W256">INT(SUMPRODUCT(--ISNUMBER(SEARCH(trump,C256)))&gt;0)</f>
        <v>0</v>
      </c>
      <c r="X256" s="14" cm="1">
        <f t="array" ref="X256">INT(SUMPRODUCT(--ISNUMBER(SEARCH(voting,C256)))&gt;0)</f>
        <v>1</v>
      </c>
      <c r="Y256" s="14" cm="1">
        <f t="array" ref="Y256">INT(SUMPRODUCT(--ISNUMBER(SEARCH(democrattrigger,C256)))&gt;0)</f>
        <v>0</v>
      </c>
      <c r="Z256" s="14" cm="1">
        <f t="array" ref="Z256">INT(SUMPRODUCT(--ISNUMBER(SEARCH(bipartisan,C256)))&gt;0)</f>
        <v>0</v>
      </c>
      <c r="AA256" s="14">
        <f t="shared" si="3"/>
        <v>0</v>
      </c>
      <c r="AB256" s="14"/>
      <c r="AC256" s="30" t="s">
        <v>223</v>
      </c>
      <c r="AD256" s="37" t="s">
        <v>223</v>
      </c>
    </row>
    <row r="257" spans="1:30" x14ac:dyDescent="0.25">
      <c r="A257" s="36">
        <v>4098</v>
      </c>
      <c r="B257" s="14" t="s">
        <v>8219</v>
      </c>
      <c r="C257" s="14" t="s">
        <v>8220</v>
      </c>
      <c r="D257" s="17">
        <v>44117</v>
      </c>
      <c r="E257" s="14" t="s">
        <v>30</v>
      </c>
      <c r="F257" s="14">
        <v>2573</v>
      </c>
      <c r="G257" s="14">
        <v>1207</v>
      </c>
      <c r="H257" s="14">
        <v>18</v>
      </c>
      <c r="I257" s="14">
        <v>9</v>
      </c>
      <c r="J257" s="14" t="s">
        <v>204</v>
      </c>
      <c r="K257" s="14" cm="1">
        <f t="array" ref="K257">INT(SUMPRODUCT(--ISNUMBER(SEARCH(economy,C257)))&gt;0)</f>
        <v>0</v>
      </c>
      <c r="L257" s="14" cm="1">
        <f t="array" ref="L257">INT(SUMPRODUCT(--ISNUMBER(SEARCH(healthcare,C257)))&gt;0)</f>
        <v>0</v>
      </c>
      <c r="M257" s="14" cm="1">
        <f t="array" ref="M257">INT(SUMPRODUCT(--ISNUMBER(SEARCH(supreme,C257)))&gt;0)</f>
        <v>0</v>
      </c>
      <c r="N257" s="14" cm="1">
        <f t="array" ref="N257">INT(SUMPRODUCT(--ISNUMBER(SEARCH(covid,C257)))&gt;0)</f>
        <v>1</v>
      </c>
      <c r="O257" s="14" cm="1">
        <f t="array" ref="O257">INT(SUMPRODUCT(--ISNUMBER(SEARCH(violent,C257)))&gt;0)</f>
        <v>0</v>
      </c>
      <c r="P257" s="14" cm="1">
        <f t="array" ref="P257">INT(SUMPRODUCT(--ISNUMBER(SEARCH(foreign,C257)))&gt;0)</f>
        <v>0</v>
      </c>
      <c r="Q257" s="14" cm="1">
        <f t="array" ref="Q257">INT(SUMPRODUCT(--ISNUMBER(SEARCH(gun,C257)))&gt;0)</f>
        <v>0</v>
      </c>
      <c r="R257" s="14" cm="1">
        <f t="array" ref="R257">INT(SUMPRODUCT(--ISNUMBER(SEARCH(race,C257)))&gt;0)</f>
        <v>0</v>
      </c>
      <c r="S257" s="14" cm="1">
        <f t="array" ref="S257">INT(SUMPRODUCT(--ISNUMBER(SEARCH(immigration,C257)))&gt;0)</f>
        <v>0</v>
      </c>
      <c r="T257" s="14" cm="1">
        <f t="array" ref="T257">INT(SUMPRODUCT(--ISNUMBER(SEARCH(econineq,C258)))&gt;0)</f>
        <v>0</v>
      </c>
      <c r="U257" s="14" cm="1">
        <f t="array" ref="U257">INT(SUMPRODUCT(--ISNUMBER(SEARCH(climate,C257)))&gt;0)</f>
        <v>0</v>
      </c>
      <c r="V257" s="14" cm="1">
        <f t="array" ref="V257">INT(SUMPRODUCT(--ISNUMBER(SEARCH(abortion,C257)))&gt;0)</f>
        <v>0</v>
      </c>
      <c r="W257" s="14" cm="1">
        <f t="array" ref="W257">INT(SUMPRODUCT(--ISNUMBER(SEARCH(trump,C257)))&gt;0)</f>
        <v>0</v>
      </c>
      <c r="X257" s="14" cm="1">
        <f t="array" ref="X257">INT(SUMPRODUCT(--ISNUMBER(SEARCH(voting,C257)))&gt;0)</f>
        <v>0</v>
      </c>
      <c r="Y257" s="14" cm="1">
        <f t="array" ref="Y257">INT(SUMPRODUCT(--ISNUMBER(SEARCH(democrattrigger,C257)))&gt;0)</f>
        <v>1</v>
      </c>
      <c r="Z257" s="14" cm="1">
        <f t="array" ref="Z257">INT(SUMPRODUCT(--ISNUMBER(SEARCH(bipartisan,C257)))&gt;0)</f>
        <v>0</v>
      </c>
      <c r="AA257" s="14">
        <f t="shared" si="3"/>
        <v>0</v>
      </c>
      <c r="AB257" s="14"/>
      <c r="AC257" s="30">
        <v>0</v>
      </c>
      <c r="AD257" s="37">
        <v>1</v>
      </c>
    </row>
    <row r="258" spans="1:30" x14ac:dyDescent="0.25">
      <c r="A258" s="36">
        <v>4099</v>
      </c>
      <c r="B258" s="14" t="s">
        <v>8221</v>
      </c>
      <c r="C258" s="14" t="s">
        <v>8222</v>
      </c>
      <c r="D258" s="17">
        <v>44117</v>
      </c>
      <c r="E258" s="14" t="s">
        <v>30</v>
      </c>
      <c r="F258" s="14">
        <v>1299</v>
      </c>
      <c r="G258" s="14">
        <v>370</v>
      </c>
      <c r="H258" s="14">
        <v>18</v>
      </c>
      <c r="I258" s="14">
        <v>9</v>
      </c>
      <c r="J258" s="14" t="s">
        <v>204</v>
      </c>
      <c r="K258" s="14" cm="1">
        <f t="array" ref="K258">INT(SUMPRODUCT(--ISNUMBER(SEARCH(economy,C258)))&gt;0)</f>
        <v>0</v>
      </c>
      <c r="L258" s="14" cm="1">
        <f t="array" ref="L258">INT(SUMPRODUCT(--ISNUMBER(SEARCH(healthcare,C258)))&gt;0)</f>
        <v>0</v>
      </c>
      <c r="M258" s="14" cm="1">
        <f t="array" ref="M258">INT(SUMPRODUCT(--ISNUMBER(SEARCH(supreme,C258)))&gt;0)</f>
        <v>0</v>
      </c>
      <c r="N258" s="14" cm="1">
        <f t="array" ref="N258">INT(SUMPRODUCT(--ISNUMBER(SEARCH(covid,C258)))&gt;0)</f>
        <v>0</v>
      </c>
      <c r="O258" s="14" cm="1">
        <f t="array" ref="O258">INT(SUMPRODUCT(--ISNUMBER(SEARCH(violent,C258)))&gt;0)</f>
        <v>0</v>
      </c>
      <c r="P258" s="14" cm="1">
        <f t="array" ref="P258">INT(SUMPRODUCT(--ISNUMBER(SEARCH(foreign,C258)))&gt;0)</f>
        <v>0</v>
      </c>
      <c r="Q258" s="14" cm="1">
        <f t="array" ref="Q258">INT(SUMPRODUCT(--ISNUMBER(SEARCH(gun,C258)))&gt;0)</f>
        <v>0</v>
      </c>
      <c r="R258" s="14" cm="1">
        <f t="array" ref="R258">INT(SUMPRODUCT(--ISNUMBER(SEARCH(race,C258)))&gt;0)</f>
        <v>0</v>
      </c>
      <c r="S258" s="14" cm="1">
        <f t="array" ref="S258">INT(SUMPRODUCT(--ISNUMBER(SEARCH(immigration,C258)))&gt;0)</f>
        <v>0</v>
      </c>
      <c r="T258" s="14" cm="1">
        <f t="array" ref="T258">INT(SUMPRODUCT(--ISNUMBER(SEARCH(econineq,C259)))&gt;0)</f>
        <v>0</v>
      </c>
      <c r="U258" s="14" cm="1">
        <f t="array" ref="U258">INT(SUMPRODUCT(--ISNUMBER(SEARCH(climate,C258)))&gt;0)</f>
        <v>0</v>
      </c>
      <c r="V258" s="14" cm="1">
        <f t="array" ref="V258">INT(SUMPRODUCT(--ISNUMBER(SEARCH(abortion,C258)))&gt;0)</f>
        <v>0</v>
      </c>
      <c r="W258" s="14" cm="1">
        <f t="array" ref="W258">INT(SUMPRODUCT(--ISNUMBER(SEARCH(trump,C258)))&gt;0)</f>
        <v>0</v>
      </c>
      <c r="X258" s="14" cm="1">
        <f t="array" ref="X258">INT(SUMPRODUCT(--ISNUMBER(SEARCH(voting,C258)))&gt;0)</f>
        <v>0</v>
      </c>
      <c r="Y258" s="14" cm="1">
        <f t="array" ref="Y258">INT(SUMPRODUCT(--ISNUMBER(SEARCH(democrattrigger,C258)))&gt;0)</f>
        <v>0</v>
      </c>
      <c r="Z258" s="14" cm="1">
        <f t="array" ref="Z258">INT(SUMPRODUCT(--ISNUMBER(SEARCH(bipartisan,C258)))&gt;0)</f>
        <v>0</v>
      </c>
      <c r="AA258" s="14">
        <f t="shared" si="3"/>
        <v>1</v>
      </c>
      <c r="AB258" s="14"/>
      <c r="AC258" s="30">
        <v>1</v>
      </c>
      <c r="AD258" s="37">
        <v>0</v>
      </c>
    </row>
    <row r="259" spans="1:30" x14ac:dyDescent="0.25">
      <c r="A259" s="36">
        <v>4100</v>
      </c>
      <c r="B259" s="14" t="s">
        <v>8223</v>
      </c>
      <c r="C259" s="14" t="s">
        <v>8224</v>
      </c>
      <c r="D259" s="17">
        <v>44117</v>
      </c>
      <c r="E259" s="14" t="s">
        <v>30</v>
      </c>
      <c r="F259" s="14">
        <v>6793</v>
      </c>
      <c r="G259" s="14">
        <v>2355</v>
      </c>
      <c r="H259" s="14">
        <v>18</v>
      </c>
      <c r="I259" s="14">
        <v>9</v>
      </c>
      <c r="J259" s="14" t="s">
        <v>204</v>
      </c>
      <c r="K259" s="14" cm="1">
        <f t="array" ref="K259">INT(SUMPRODUCT(--ISNUMBER(SEARCH(economy,C259)))&gt;0)</f>
        <v>0</v>
      </c>
      <c r="L259" s="14" cm="1">
        <f t="array" ref="L259">INT(SUMPRODUCT(--ISNUMBER(SEARCH(healthcare,C259)))&gt;0)</f>
        <v>0</v>
      </c>
      <c r="M259" s="14" cm="1">
        <f t="array" ref="M259">INT(SUMPRODUCT(--ISNUMBER(SEARCH(supreme,C259)))&gt;0)</f>
        <v>0</v>
      </c>
      <c r="N259" s="14" cm="1">
        <f t="array" ref="N259">INT(SUMPRODUCT(--ISNUMBER(SEARCH(covid,C259)))&gt;0)</f>
        <v>0</v>
      </c>
      <c r="O259" s="14" cm="1">
        <f t="array" ref="O259">INT(SUMPRODUCT(--ISNUMBER(SEARCH(violent,C259)))&gt;0)</f>
        <v>0</v>
      </c>
      <c r="P259" s="14" cm="1">
        <f t="array" ref="P259">INT(SUMPRODUCT(--ISNUMBER(SEARCH(foreign,C259)))&gt;0)</f>
        <v>0</v>
      </c>
      <c r="Q259" s="14" cm="1">
        <f t="array" ref="Q259">INT(SUMPRODUCT(--ISNUMBER(SEARCH(gun,C259)))&gt;0)</f>
        <v>0</v>
      </c>
      <c r="R259" s="14" cm="1">
        <f t="array" ref="R259">INT(SUMPRODUCT(--ISNUMBER(SEARCH(race,C259)))&gt;0)</f>
        <v>0</v>
      </c>
      <c r="S259" s="14" cm="1">
        <f t="array" ref="S259">INT(SUMPRODUCT(--ISNUMBER(SEARCH(immigration,C259)))&gt;0)</f>
        <v>0</v>
      </c>
      <c r="T259" s="14" cm="1">
        <f t="array" ref="T259">INT(SUMPRODUCT(--ISNUMBER(SEARCH(econineq,C260)))&gt;0)</f>
        <v>0</v>
      </c>
      <c r="U259" s="14" cm="1">
        <f t="array" ref="U259">INT(SUMPRODUCT(--ISNUMBER(SEARCH(climate,C259)))&gt;0)</f>
        <v>0</v>
      </c>
      <c r="V259" s="14" cm="1">
        <f t="array" ref="V259">INT(SUMPRODUCT(--ISNUMBER(SEARCH(abortion,C259)))&gt;0)</f>
        <v>0</v>
      </c>
      <c r="W259" s="14" cm="1">
        <f t="array" ref="W259">INT(SUMPRODUCT(--ISNUMBER(SEARCH(trump,C259)))&gt;0)</f>
        <v>0</v>
      </c>
      <c r="X259" s="14" cm="1">
        <f t="array" ref="X259">INT(SUMPRODUCT(--ISNUMBER(SEARCH(voting,C259)))&gt;0)</f>
        <v>1</v>
      </c>
      <c r="Y259" s="14" cm="1">
        <f t="array" ref="Y259">INT(SUMPRODUCT(--ISNUMBER(SEARCH(democrattrigger,C259)))&gt;0)</f>
        <v>0</v>
      </c>
      <c r="Z259" s="14" cm="1">
        <f t="array" ref="Z259">INT(SUMPRODUCT(--ISNUMBER(SEARCH(bipartisan,C259)))&gt;0)</f>
        <v>0</v>
      </c>
      <c r="AA259" s="14">
        <f t="shared" ref="AA259:AA322" si="4">INT(IF(COUNTIF(K259:Z259,1)=0,"1","0"))</f>
        <v>0</v>
      </c>
      <c r="AB259" s="14"/>
      <c r="AC259" s="30" t="s">
        <v>223</v>
      </c>
      <c r="AD259" s="37" t="s">
        <v>223</v>
      </c>
    </row>
    <row r="260" spans="1:30" x14ac:dyDescent="0.25">
      <c r="A260" s="36">
        <v>4101</v>
      </c>
      <c r="B260" s="14" t="s">
        <v>8225</v>
      </c>
      <c r="C260" s="14" t="s">
        <v>8226</v>
      </c>
      <c r="D260" s="17">
        <v>44117</v>
      </c>
      <c r="E260" s="14" t="s">
        <v>70</v>
      </c>
      <c r="F260" s="14">
        <v>409</v>
      </c>
      <c r="G260" s="14">
        <v>220</v>
      </c>
      <c r="H260" s="14">
        <v>18</v>
      </c>
      <c r="I260" s="14">
        <v>9</v>
      </c>
      <c r="J260" s="14" t="s">
        <v>204</v>
      </c>
      <c r="K260" s="14" cm="1">
        <f t="array" ref="K260">INT(SUMPRODUCT(--ISNUMBER(SEARCH(economy,C260)))&gt;0)</f>
        <v>0</v>
      </c>
      <c r="L260" s="14" cm="1">
        <f t="array" ref="L260">INT(SUMPRODUCT(--ISNUMBER(SEARCH(healthcare,C260)))&gt;0)</f>
        <v>0</v>
      </c>
      <c r="M260" s="14" cm="1">
        <f t="array" ref="M260">INT(SUMPRODUCT(--ISNUMBER(SEARCH(supreme,C260)))&gt;0)</f>
        <v>0</v>
      </c>
      <c r="N260" s="14" cm="1">
        <f t="array" ref="N260">INT(SUMPRODUCT(--ISNUMBER(SEARCH(covid,C260)))&gt;0)</f>
        <v>0</v>
      </c>
      <c r="O260" s="14" cm="1">
        <f t="array" ref="O260">INT(SUMPRODUCT(--ISNUMBER(SEARCH(violent,C260)))&gt;0)</f>
        <v>0</v>
      </c>
      <c r="P260" s="14" cm="1">
        <f t="array" ref="P260">INT(SUMPRODUCT(--ISNUMBER(SEARCH(foreign,C260)))&gt;0)</f>
        <v>0</v>
      </c>
      <c r="Q260" s="14" cm="1">
        <f t="array" ref="Q260">INT(SUMPRODUCT(--ISNUMBER(SEARCH(gun,C260)))&gt;0)</f>
        <v>0</v>
      </c>
      <c r="R260" s="14" cm="1">
        <f t="array" ref="R260">INT(SUMPRODUCT(--ISNUMBER(SEARCH(race,C260)))&gt;0)</f>
        <v>0</v>
      </c>
      <c r="S260" s="14" cm="1">
        <f t="array" ref="S260">INT(SUMPRODUCT(--ISNUMBER(SEARCH(immigration,C260)))&gt;0)</f>
        <v>0</v>
      </c>
      <c r="T260" s="14" cm="1">
        <f t="array" ref="T260">INT(SUMPRODUCT(--ISNUMBER(SEARCH(econineq,C261)))&gt;0)</f>
        <v>0</v>
      </c>
      <c r="U260" s="14" cm="1">
        <f t="array" ref="U260">INT(SUMPRODUCT(--ISNUMBER(SEARCH(climate,C260)))&gt;0)</f>
        <v>0</v>
      </c>
      <c r="V260" s="14" cm="1">
        <f t="array" ref="V260">INT(SUMPRODUCT(--ISNUMBER(SEARCH(abortion,C260)))&gt;0)</f>
        <v>0</v>
      </c>
      <c r="W260" s="14" cm="1">
        <f t="array" ref="W260">INT(SUMPRODUCT(--ISNUMBER(SEARCH(trump,C260)))&gt;0)</f>
        <v>0</v>
      </c>
      <c r="X260" s="14" cm="1">
        <f t="array" ref="X260">INT(SUMPRODUCT(--ISNUMBER(SEARCH(voting,C260)))&gt;0)</f>
        <v>1</v>
      </c>
      <c r="Y260" s="14" cm="1">
        <f t="array" ref="Y260">INT(SUMPRODUCT(--ISNUMBER(SEARCH(democrattrigger,C260)))&gt;0)</f>
        <v>0</v>
      </c>
      <c r="Z260" s="14" cm="1">
        <f t="array" ref="Z260">INT(SUMPRODUCT(--ISNUMBER(SEARCH(bipartisan,C260)))&gt;0)</f>
        <v>0</v>
      </c>
      <c r="AA260" s="14">
        <f t="shared" si="4"/>
        <v>0</v>
      </c>
      <c r="AB260" s="14"/>
      <c r="AC260" s="30" t="s">
        <v>223</v>
      </c>
      <c r="AD260" s="37" t="s">
        <v>223</v>
      </c>
    </row>
    <row r="261" spans="1:30" x14ac:dyDescent="0.25">
      <c r="A261" s="36">
        <v>4102</v>
      </c>
      <c r="B261" s="14" t="s">
        <v>8227</v>
      </c>
      <c r="C261" s="14" t="s">
        <v>8228</v>
      </c>
      <c r="D261" s="17">
        <v>44117</v>
      </c>
      <c r="E261" s="14" t="s">
        <v>30</v>
      </c>
      <c r="F261" s="14">
        <v>565</v>
      </c>
      <c r="G261" s="14">
        <v>203</v>
      </c>
      <c r="H261" s="14">
        <v>18</v>
      </c>
      <c r="I261" s="14">
        <v>9</v>
      </c>
      <c r="J261" s="14" t="s">
        <v>204</v>
      </c>
      <c r="K261" s="14" cm="1">
        <f t="array" ref="K261">INT(SUMPRODUCT(--ISNUMBER(SEARCH(economy,C261)))&gt;0)</f>
        <v>0</v>
      </c>
      <c r="L261" s="14" cm="1">
        <f t="array" ref="L261">INT(SUMPRODUCT(--ISNUMBER(SEARCH(healthcare,C261)))&gt;0)</f>
        <v>0</v>
      </c>
      <c r="M261" s="14" cm="1">
        <f t="array" ref="M261">INT(SUMPRODUCT(--ISNUMBER(SEARCH(supreme,C261)))&gt;0)</f>
        <v>0</v>
      </c>
      <c r="N261" s="14" cm="1">
        <f t="array" ref="N261">INT(SUMPRODUCT(--ISNUMBER(SEARCH(covid,C261)))&gt;0)</f>
        <v>0</v>
      </c>
      <c r="O261" s="14" cm="1">
        <f t="array" ref="O261">INT(SUMPRODUCT(--ISNUMBER(SEARCH(violent,C261)))&gt;0)</f>
        <v>0</v>
      </c>
      <c r="P261" s="14" cm="1">
        <f t="array" ref="P261">INT(SUMPRODUCT(--ISNUMBER(SEARCH(foreign,C261)))&gt;0)</f>
        <v>0</v>
      </c>
      <c r="Q261" s="14" cm="1">
        <f t="array" ref="Q261">INT(SUMPRODUCT(--ISNUMBER(SEARCH(gun,C261)))&gt;0)</f>
        <v>0</v>
      </c>
      <c r="R261" s="14" cm="1">
        <f t="array" ref="R261">INT(SUMPRODUCT(--ISNUMBER(SEARCH(race,C261)))&gt;0)</f>
        <v>0</v>
      </c>
      <c r="S261" s="14" cm="1">
        <f t="array" ref="S261">INT(SUMPRODUCT(--ISNUMBER(SEARCH(immigration,C261)))&gt;0)</f>
        <v>0</v>
      </c>
      <c r="T261" s="14" cm="1">
        <f t="array" ref="T261">INT(SUMPRODUCT(--ISNUMBER(SEARCH(econineq,C262)))&gt;0)</f>
        <v>0</v>
      </c>
      <c r="U261" s="14" cm="1">
        <f t="array" ref="U261">INT(SUMPRODUCT(--ISNUMBER(SEARCH(climate,C261)))&gt;0)</f>
        <v>0</v>
      </c>
      <c r="V261" s="14" cm="1">
        <f t="array" ref="V261">INT(SUMPRODUCT(--ISNUMBER(SEARCH(abortion,C261)))&gt;0)</f>
        <v>0</v>
      </c>
      <c r="W261" s="14" cm="1">
        <f t="array" ref="W261">INT(SUMPRODUCT(--ISNUMBER(SEARCH(trump,C261)))&gt;0)</f>
        <v>0</v>
      </c>
      <c r="X261" s="14" cm="1">
        <f t="array" ref="X261">INT(SUMPRODUCT(--ISNUMBER(SEARCH(voting,C261)))&gt;0)</f>
        <v>1</v>
      </c>
      <c r="Y261" s="14" cm="1">
        <f t="array" ref="Y261">INT(SUMPRODUCT(--ISNUMBER(SEARCH(democrattrigger,C261)))&gt;0)</f>
        <v>0</v>
      </c>
      <c r="Z261" s="14" cm="1">
        <f t="array" ref="Z261">INT(SUMPRODUCT(--ISNUMBER(SEARCH(bipartisan,C261)))&gt;0)</f>
        <v>0</v>
      </c>
      <c r="AA261" s="14">
        <f t="shared" si="4"/>
        <v>0</v>
      </c>
      <c r="AB261" s="14"/>
      <c r="AC261" s="30">
        <v>1</v>
      </c>
      <c r="AD261" s="37">
        <v>0</v>
      </c>
    </row>
    <row r="262" spans="1:30" x14ac:dyDescent="0.25">
      <c r="A262" s="36">
        <v>4103</v>
      </c>
      <c r="B262" s="14" t="s">
        <v>8229</v>
      </c>
      <c r="C262" s="14" t="s">
        <v>8230</v>
      </c>
      <c r="D262" s="17">
        <v>44117</v>
      </c>
      <c r="E262" s="14" t="s">
        <v>30</v>
      </c>
      <c r="F262" s="14">
        <v>2089</v>
      </c>
      <c r="G262" s="14">
        <v>899</v>
      </c>
      <c r="H262" s="14">
        <v>18</v>
      </c>
      <c r="I262" s="14">
        <v>9</v>
      </c>
      <c r="J262" s="14" t="s">
        <v>204</v>
      </c>
      <c r="K262" s="14" cm="1">
        <f t="array" ref="K262">INT(SUMPRODUCT(--ISNUMBER(SEARCH(economy,C262)))&gt;0)</f>
        <v>0</v>
      </c>
      <c r="L262" s="14" cm="1">
        <f t="array" ref="L262">INT(SUMPRODUCT(--ISNUMBER(SEARCH(healthcare,C262)))&gt;0)</f>
        <v>1</v>
      </c>
      <c r="M262" s="14" cm="1">
        <f t="array" ref="M262">INT(SUMPRODUCT(--ISNUMBER(SEARCH(supreme,C262)))&gt;0)</f>
        <v>1</v>
      </c>
      <c r="N262" s="14" cm="1">
        <f t="array" ref="N262">INT(SUMPRODUCT(--ISNUMBER(SEARCH(covid,C262)))&gt;0)</f>
        <v>0</v>
      </c>
      <c r="O262" s="14" cm="1">
        <f t="array" ref="O262">INT(SUMPRODUCT(--ISNUMBER(SEARCH(violent,C262)))&gt;0)</f>
        <v>0</v>
      </c>
      <c r="P262" s="14" cm="1">
        <f t="array" ref="P262">INT(SUMPRODUCT(--ISNUMBER(SEARCH(foreign,C262)))&gt;0)</f>
        <v>0</v>
      </c>
      <c r="Q262" s="14" cm="1">
        <f t="array" ref="Q262">INT(SUMPRODUCT(--ISNUMBER(SEARCH(gun,C262)))&gt;0)</f>
        <v>0</v>
      </c>
      <c r="R262" s="14" cm="1">
        <f t="array" ref="R262">INT(SUMPRODUCT(--ISNUMBER(SEARCH(race,C262)))&gt;0)</f>
        <v>0</v>
      </c>
      <c r="S262" s="14" cm="1">
        <f t="array" ref="S262">INT(SUMPRODUCT(--ISNUMBER(SEARCH(immigration,C262)))&gt;0)</f>
        <v>0</v>
      </c>
      <c r="T262" s="14" cm="1">
        <f t="array" ref="T262">INT(SUMPRODUCT(--ISNUMBER(SEARCH(econineq,C263)))&gt;0)</f>
        <v>0</v>
      </c>
      <c r="U262" s="14" cm="1">
        <f t="array" ref="U262">INT(SUMPRODUCT(--ISNUMBER(SEARCH(climate,C262)))&gt;0)</f>
        <v>0</v>
      </c>
      <c r="V262" s="14" cm="1">
        <f t="array" ref="V262">INT(SUMPRODUCT(--ISNUMBER(SEARCH(abortion,C262)))&gt;0)</f>
        <v>0</v>
      </c>
      <c r="W262" s="14" cm="1">
        <f t="array" ref="W262">INT(SUMPRODUCT(--ISNUMBER(SEARCH(trump,C262)))&gt;0)</f>
        <v>1</v>
      </c>
      <c r="X262" s="14" cm="1">
        <f t="array" ref="X262">INT(SUMPRODUCT(--ISNUMBER(SEARCH(voting,C262)))&gt;0)</f>
        <v>0</v>
      </c>
      <c r="Y262" s="14" cm="1">
        <f t="array" ref="Y262">INT(SUMPRODUCT(--ISNUMBER(SEARCH(democrattrigger,C262)))&gt;0)</f>
        <v>1</v>
      </c>
      <c r="Z262" s="14" cm="1">
        <f t="array" ref="Z262">INT(SUMPRODUCT(--ISNUMBER(SEARCH(bipartisan,C262)))&gt;0)</f>
        <v>0</v>
      </c>
      <c r="AA262" s="14">
        <f t="shared" si="4"/>
        <v>0</v>
      </c>
      <c r="AB262" s="14"/>
      <c r="AC262" s="30">
        <v>1</v>
      </c>
      <c r="AD262" s="37">
        <v>1</v>
      </c>
    </row>
    <row r="263" spans="1:30" x14ac:dyDescent="0.25">
      <c r="A263" s="36">
        <v>4104</v>
      </c>
      <c r="B263" s="14" t="s">
        <v>8231</v>
      </c>
      <c r="C263" s="14" t="s">
        <v>8232</v>
      </c>
      <c r="D263" s="17">
        <v>44117</v>
      </c>
      <c r="E263" s="14" t="s">
        <v>30</v>
      </c>
      <c r="F263" s="14">
        <v>1684</v>
      </c>
      <c r="G263" s="14">
        <v>590</v>
      </c>
      <c r="H263" s="14">
        <v>18</v>
      </c>
      <c r="I263" s="14">
        <v>9</v>
      </c>
      <c r="J263" s="14" t="s">
        <v>204</v>
      </c>
      <c r="K263" s="14" cm="1">
        <f t="array" ref="K263">INT(SUMPRODUCT(--ISNUMBER(SEARCH(economy,C263)))&gt;0)</f>
        <v>0</v>
      </c>
      <c r="L263" s="14" cm="1">
        <f t="array" ref="L263">INT(SUMPRODUCT(--ISNUMBER(SEARCH(healthcare,C263)))&gt;0)</f>
        <v>0</v>
      </c>
      <c r="M263" s="14" cm="1">
        <f t="array" ref="M263">INT(SUMPRODUCT(--ISNUMBER(SEARCH(supreme,C263)))&gt;0)</f>
        <v>0</v>
      </c>
      <c r="N263" s="14" cm="1">
        <f t="array" ref="N263">INT(SUMPRODUCT(--ISNUMBER(SEARCH(covid,C263)))&gt;0)</f>
        <v>0</v>
      </c>
      <c r="O263" s="14" cm="1">
        <f t="array" ref="O263">INT(SUMPRODUCT(--ISNUMBER(SEARCH(violent,C263)))&gt;0)</f>
        <v>0</v>
      </c>
      <c r="P263" s="14" cm="1">
        <f t="array" ref="P263">INT(SUMPRODUCT(--ISNUMBER(SEARCH(foreign,C263)))&gt;0)</f>
        <v>0</v>
      </c>
      <c r="Q263" s="14" cm="1">
        <f t="array" ref="Q263">INT(SUMPRODUCT(--ISNUMBER(SEARCH(gun,C263)))&gt;0)</f>
        <v>0</v>
      </c>
      <c r="R263" s="14" cm="1">
        <f t="array" ref="R263">INT(SUMPRODUCT(--ISNUMBER(SEARCH(race,C263)))&gt;0)</f>
        <v>0</v>
      </c>
      <c r="S263" s="14" cm="1">
        <f t="array" ref="S263">INT(SUMPRODUCT(--ISNUMBER(SEARCH(immigration,C263)))&gt;0)</f>
        <v>0</v>
      </c>
      <c r="T263" s="14" cm="1">
        <f t="array" ref="T263">INT(SUMPRODUCT(--ISNUMBER(SEARCH(econineq,C264)))&gt;0)</f>
        <v>0</v>
      </c>
      <c r="U263" s="14" cm="1">
        <f t="array" ref="U263">INT(SUMPRODUCT(--ISNUMBER(SEARCH(climate,C263)))&gt;0)</f>
        <v>0</v>
      </c>
      <c r="V263" s="14" cm="1">
        <f t="array" ref="V263">INT(SUMPRODUCT(--ISNUMBER(SEARCH(abortion,C263)))&gt;0)</f>
        <v>0</v>
      </c>
      <c r="W263" s="14" cm="1">
        <f t="array" ref="W263">INT(SUMPRODUCT(--ISNUMBER(SEARCH(trump,C263)))&gt;0)</f>
        <v>0</v>
      </c>
      <c r="X263" s="14" cm="1">
        <f t="array" ref="X263">INT(SUMPRODUCT(--ISNUMBER(SEARCH(voting,C263)))&gt;0)</f>
        <v>1</v>
      </c>
      <c r="Y263" s="14" cm="1">
        <f t="array" ref="Y263">INT(SUMPRODUCT(--ISNUMBER(SEARCH(democrattrigger,C263)))&gt;0)</f>
        <v>1</v>
      </c>
      <c r="Z263" s="14" cm="1">
        <f t="array" ref="Z263">INT(SUMPRODUCT(--ISNUMBER(SEARCH(bipartisan,C263)))&gt;0)</f>
        <v>0</v>
      </c>
      <c r="AA263" s="14">
        <f t="shared" si="4"/>
        <v>0</v>
      </c>
      <c r="AB263" s="14"/>
      <c r="AC263" s="30">
        <v>1</v>
      </c>
      <c r="AD263" s="37">
        <v>0</v>
      </c>
    </row>
    <row r="264" spans="1:30" x14ac:dyDescent="0.25">
      <c r="A264" s="36">
        <v>4105</v>
      </c>
      <c r="B264" s="14" t="s">
        <v>8233</v>
      </c>
      <c r="C264" s="14" t="s">
        <v>8234</v>
      </c>
      <c r="D264" s="17">
        <v>44117</v>
      </c>
      <c r="E264" s="14" t="s">
        <v>30</v>
      </c>
      <c r="F264" s="14">
        <v>1462</v>
      </c>
      <c r="G264" s="14">
        <v>392</v>
      </c>
      <c r="H264" s="14">
        <v>18</v>
      </c>
      <c r="I264" s="14">
        <v>9</v>
      </c>
      <c r="J264" s="14" t="s">
        <v>204</v>
      </c>
      <c r="K264" s="14" cm="1">
        <f t="array" ref="K264">INT(SUMPRODUCT(--ISNUMBER(SEARCH(economy,C264)))&gt;0)</f>
        <v>0</v>
      </c>
      <c r="L264" s="14" cm="1">
        <f t="array" ref="L264">INT(SUMPRODUCT(--ISNUMBER(SEARCH(healthcare,C264)))&gt;0)</f>
        <v>0</v>
      </c>
      <c r="M264" s="14" cm="1">
        <f t="array" ref="M264">INT(SUMPRODUCT(--ISNUMBER(SEARCH(supreme,C264)))&gt;0)</f>
        <v>0</v>
      </c>
      <c r="N264" s="14" cm="1">
        <f t="array" ref="N264">INT(SUMPRODUCT(--ISNUMBER(SEARCH(covid,C264)))&gt;0)</f>
        <v>0</v>
      </c>
      <c r="O264" s="14" cm="1">
        <f t="array" ref="O264">INT(SUMPRODUCT(--ISNUMBER(SEARCH(violent,C264)))&gt;0)</f>
        <v>0</v>
      </c>
      <c r="P264" s="14" cm="1">
        <f t="array" ref="P264">INT(SUMPRODUCT(--ISNUMBER(SEARCH(foreign,C264)))&gt;0)</f>
        <v>0</v>
      </c>
      <c r="Q264" s="14" cm="1">
        <f t="array" ref="Q264">INT(SUMPRODUCT(--ISNUMBER(SEARCH(gun,C264)))&gt;0)</f>
        <v>0</v>
      </c>
      <c r="R264" s="14" cm="1">
        <f t="array" ref="R264">INT(SUMPRODUCT(--ISNUMBER(SEARCH(race,C264)))&gt;0)</f>
        <v>0</v>
      </c>
      <c r="S264" s="14" cm="1">
        <f t="array" ref="S264">INT(SUMPRODUCT(--ISNUMBER(SEARCH(immigration,C264)))&gt;0)</f>
        <v>0</v>
      </c>
      <c r="T264" s="14" cm="1">
        <f t="array" ref="T264">INT(SUMPRODUCT(--ISNUMBER(SEARCH(econineq,C265)))&gt;0)</f>
        <v>0</v>
      </c>
      <c r="U264" s="14" cm="1">
        <f t="array" ref="U264">INT(SUMPRODUCT(--ISNUMBER(SEARCH(climate,C264)))&gt;0)</f>
        <v>0</v>
      </c>
      <c r="V264" s="14" cm="1">
        <f t="array" ref="V264">INT(SUMPRODUCT(--ISNUMBER(SEARCH(abortion,C264)))&gt;0)</f>
        <v>0</v>
      </c>
      <c r="W264" s="14" cm="1">
        <f t="array" ref="W264">INT(SUMPRODUCT(--ISNUMBER(SEARCH(trump,C264)))&gt;0)</f>
        <v>0</v>
      </c>
      <c r="X264" s="14" cm="1">
        <f t="array" ref="X264">INT(SUMPRODUCT(--ISNUMBER(SEARCH(voting,C264)))&gt;0)</f>
        <v>0</v>
      </c>
      <c r="Y264" s="14" cm="1">
        <f t="array" ref="Y264">INT(SUMPRODUCT(--ISNUMBER(SEARCH(democrattrigger,C264)))&gt;0)</f>
        <v>0</v>
      </c>
      <c r="Z264" s="14" cm="1">
        <f t="array" ref="Z264">INT(SUMPRODUCT(--ISNUMBER(SEARCH(bipartisan,C264)))&gt;0)</f>
        <v>0</v>
      </c>
      <c r="AA264" s="14">
        <f t="shared" si="4"/>
        <v>1</v>
      </c>
      <c r="AB264" s="14"/>
      <c r="AC264" s="30" t="s">
        <v>223</v>
      </c>
      <c r="AD264" s="37" t="s">
        <v>223</v>
      </c>
    </row>
    <row r="265" spans="1:30" x14ac:dyDescent="0.25">
      <c r="A265" s="36">
        <v>4106</v>
      </c>
      <c r="B265" s="14" t="s">
        <v>8235</v>
      </c>
      <c r="C265" s="14" t="s">
        <v>8236</v>
      </c>
      <c r="D265" s="17">
        <v>44117</v>
      </c>
      <c r="E265" s="14" t="s">
        <v>30</v>
      </c>
      <c r="F265" s="14">
        <v>3384</v>
      </c>
      <c r="G265" s="14">
        <v>1150</v>
      </c>
      <c r="H265" s="14">
        <v>18</v>
      </c>
      <c r="I265" s="14">
        <v>9</v>
      </c>
      <c r="J265" s="14" t="s">
        <v>204</v>
      </c>
      <c r="K265" s="14" cm="1">
        <f t="array" ref="K265">INT(SUMPRODUCT(--ISNUMBER(SEARCH(economy,C265)))&gt;0)</f>
        <v>0</v>
      </c>
      <c r="L265" s="14" cm="1">
        <f t="array" ref="L265">INT(SUMPRODUCT(--ISNUMBER(SEARCH(healthcare,C265)))&gt;0)</f>
        <v>0</v>
      </c>
      <c r="M265" s="14" cm="1">
        <f t="array" ref="M265">INT(SUMPRODUCT(--ISNUMBER(SEARCH(supreme,C265)))&gt;0)</f>
        <v>0</v>
      </c>
      <c r="N265" s="14" cm="1">
        <f t="array" ref="N265">INT(SUMPRODUCT(--ISNUMBER(SEARCH(covid,C265)))&gt;0)</f>
        <v>0</v>
      </c>
      <c r="O265" s="14" cm="1">
        <f t="array" ref="O265">INT(SUMPRODUCT(--ISNUMBER(SEARCH(violent,C265)))&gt;0)</f>
        <v>0</v>
      </c>
      <c r="P265" s="14" cm="1">
        <f t="array" ref="P265">INT(SUMPRODUCT(--ISNUMBER(SEARCH(foreign,C265)))&gt;0)</f>
        <v>0</v>
      </c>
      <c r="Q265" s="14" cm="1">
        <f t="array" ref="Q265">INT(SUMPRODUCT(--ISNUMBER(SEARCH(gun,C265)))&gt;0)</f>
        <v>0</v>
      </c>
      <c r="R265" s="14" cm="1">
        <f t="array" ref="R265">INT(SUMPRODUCT(--ISNUMBER(SEARCH(race,C265)))&gt;0)</f>
        <v>0</v>
      </c>
      <c r="S265" s="14" cm="1">
        <f t="array" ref="S265">INT(SUMPRODUCT(--ISNUMBER(SEARCH(immigration,C265)))&gt;0)</f>
        <v>0</v>
      </c>
      <c r="T265" s="14" cm="1">
        <f t="array" ref="T265">INT(SUMPRODUCT(--ISNUMBER(SEARCH(econineq,C266)))&gt;0)</f>
        <v>0</v>
      </c>
      <c r="U265" s="14" cm="1">
        <f t="array" ref="U265">INT(SUMPRODUCT(--ISNUMBER(SEARCH(climate,C265)))&gt;0)</f>
        <v>0</v>
      </c>
      <c r="V265" s="14" cm="1">
        <f t="array" ref="V265">INT(SUMPRODUCT(--ISNUMBER(SEARCH(abortion,C265)))&gt;0)</f>
        <v>0</v>
      </c>
      <c r="W265" s="14" cm="1">
        <f t="array" ref="W265">INT(SUMPRODUCT(--ISNUMBER(SEARCH(trump,C265)))&gt;0)</f>
        <v>0</v>
      </c>
      <c r="X265" s="14" cm="1">
        <f t="array" ref="X265">INT(SUMPRODUCT(--ISNUMBER(SEARCH(voting,C265)))&gt;0)</f>
        <v>1</v>
      </c>
      <c r="Y265" s="14" cm="1">
        <f t="array" ref="Y265">INT(SUMPRODUCT(--ISNUMBER(SEARCH(democrattrigger,C265)))&gt;0)</f>
        <v>0</v>
      </c>
      <c r="Z265" s="14" cm="1">
        <f t="array" ref="Z265">INT(SUMPRODUCT(--ISNUMBER(SEARCH(bipartisan,C265)))&gt;0)</f>
        <v>0</v>
      </c>
      <c r="AA265" s="14">
        <f t="shared" si="4"/>
        <v>0</v>
      </c>
      <c r="AB265" s="14"/>
      <c r="AC265" s="30">
        <v>1</v>
      </c>
      <c r="AD265" s="37">
        <v>1</v>
      </c>
    </row>
    <row r="266" spans="1:30" x14ac:dyDescent="0.25">
      <c r="A266" s="36">
        <v>4107</v>
      </c>
      <c r="B266" s="14" t="s">
        <v>8237</v>
      </c>
      <c r="C266" s="14" t="s">
        <v>8238</v>
      </c>
      <c r="D266" s="17">
        <v>44117</v>
      </c>
      <c r="E266" s="14" t="s">
        <v>30</v>
      </c>
      <c r="F266" s="14">
        <v>9221</v>
      </c>
      <c r="G266" s="14">
        <v>2586</v>
      </c>
      <c r="H266" s="14">
        <v>18</v>
      </c>
      <c r="I266" s="14">
        <v>9</v>
      </c>
      <c r="J266" s="14" t="s">
        <v>204</v>
      </c>
      <c r="K266" s="14" cm="1">
        <f t="array" ref="K266">INT(SUMPRODUCT(--ISNUMBER(SEARCH(economy,C266)))&gt;0)</f>
        <v>0</v>
      </c>
      <c r="L266" s="14" cm="1">
        <f t="array" ref="L266">INT(SUMPRODUCT(--ISNUMBER(SEARCH(healthcare,C266)))&gt;0)</f>
        <v>0</v>
      </c>
      <c r="M266" s="14" cm="1">
        <f t="array" ref="M266">INT(SUMPRODUCT(--ISNUMBER(SEARCH(supreme,C266)))&gt;0)</f>
        <v>0</v>
      </c>
      <c r="N266" s="14" cm="1">
        <f t="array" ref="N266">INT(SUMPRODUCT(--ISNUMBER(SEARCH(covid,C266)))&gt;0)</f>
        <v>0</v>
      </c>
      <c r="O266" s="14" cm="1">
        <f t="array" ref="O266">INT(SUMPRODUCT(--ISNUMBER(SEARCH(violent,C266)))&gt;0)</f>
        <v>0</v>
      </c>
      <c r="P266" s="14" cm="1">
        <f t="array" ref="P266">INT(SUMPRODUCT(--ISNUMBER(SEARCH(foreign,C266)))&gt;0)</f>
        <v>0</v>
      </c>
      <c r="Q266" s="14" cm="1">
        <f t="array" ref="Q266">INT(SUMPRODUCT(--ISNUMBER(SEARCH(gun,C266)))&gt;0)</f>
        <v>0</v>
      </c>
      <c r="R266" s="14" cm="1">
        <f t="array" ref="R266">INT(SUMPRODUCT(--ISNUMBER(SEARCH(race,C266)))&gt;0)</f>
        <v>0</v>
      </c>
      <c r="S266" s="14" cm="1">
        <f t="array" ref="S266">INT(SUMPRODUCT(--ISNUMBER(SEARCH(immigration,C266)))&gt;0)</f>
        <v>0</v>
      </c>
      <c r="T266" s="14" cm="1">
        <f t="array" ref="T266">INT(SUMPRODUCT(--ISNUMBER(SEARCH(econineq,C267)))&gt;0)</f>
        <v>0</v>
      </c>
      <c r="U266" s="14" cm="1">
        <f t="array" ref="U266">INT(SUMPRODUCT(--ISNUMBER(SEARCH(climate,C266)))&gt;0)</f>
        <v>0</v>
      </c>
      <c r="V266" s="14" cm="1">
        <f t="array" ref="V266">INT(SUMPRODUCT(--ISNUMBER(SEARCH(abortion,C266)))&gt;0)</f>
        <v>0</v>
      </c>
      <c r="W266" s="14" cm="1">
        <f t="array" ref="W266">INT(SUMPRODUCT(--ISNUMBER(SEARCH(trump,C266)))&gt;0)</f>
        <v>0</v>
      </c>
      <c r="X266" s="14" cm="1">
        <f t="array" ref="X266">INT(SUMPRODUCT(--ISNUMBER(SEARCH(voting,C266)))&gt;0)</f>
        <v>1</v>
      </c>
      <c r="Y266" s="14" cm="1">
        <f t="array" ref="Y266">INT(SUMPRODUCT(--ISNUMBER(SEARCH(democrattrigger,C266)))&gt;0)</f>
        <v>0</v>
      </c>
      <c r="Z266" s="14" cm="1">
        <f t="array" ref="Z266">INT(SUMPRODUCT(--ISNUMBER(SEARCH(bipartisan,C266)))&gt;0)</f>
        <v>0</v>
      </c>
      <c r="AA266" s="14">
        <f t="shared" si="4"/>
        <v>0</v>
      </c>
      <c r="AB266" s="14"/>
      <c r="AC266" s="30" t="s">
        <v>223</v>
      </c>
      <c r="AD266" s="37" t="s">
        <v>223</v>
      </c>
    </row>
    <row r="267" spans="1:30" x14ac:dyDescent="0.25">
      <c r="A267" s="36">
        <v>4108</v>
      </c>
      <c r="B267" s="14" t="s">
        <v>8239</v>
      </c>
      <c r="C267" s="14" t="s">
        <v>8240</v>
      </c>
      <c r="D267" s="17">
        <v>44117</v>
      </c>
      <c r="E267" s="14" t="s">
        <v>30</v>
      </c>
      <c r="F267" s="14">
        <v>1156</v>
      </c>
      <c r="G267" s="14">
        <v>484</v>
      </c>
      <c r="H267" s="14">
        <v>18</v>
      </c>
      <c r="I267" s="14">
        <v>9</v>
      </c>
      <c r="J267" s="14" t="s">
        <v>204</v>
      </c>
      <c r="K267" s="14" cm="1">
        <f t="array" ref="K267">INT(SUMPRODUCT(--ISNUMBER(SEARCH(economy,C267)))&gt;0)</f>
        <v>0</v>
      </c>
      <c r="L267" s="14" cm="1">
        <f t="array" ref="L267">INT(SUMPRODUCT(--ISNUMBER(SEARCH(healthcare,C267)))&gt;0)</f>
        <v>0</v>
      </c>
      <c r="M267" s="14" cm="1">
        <f t="array" ref="M267">INT(SUMPRODUCT(--ISNUMBER(SEARCH(supreme,C267)))&gt;0)</f>
        <v>0</v>
      </c>
      <c r="N267" s="14" cm="1">
        <f t="array" ref="N267">INT(SUMPRODUCT(--ISNUMBER(SEARCH(covid,C267)))&gt;0)</f>
        <v>0</v>
      </c>
      <c r="O267" s="14" cm="1">
        <f t="array" ref="O267">INT(SUMPRODUCT(--ISNUMBER(SEARCH(violent,C267)))&gt;0)</f>
        <v>0</v>
      </c>
      <c r="P267" s="14" cm="1">
        <f t="array" ref="P267">INT(SUMPRODUCT(--ISNUMBER(SEARCH(foreign,C267)))&gt;0)</f>
        <v>0</v>
      </c>
      <c r="Q267" s="14" cm="1">
        <f t="array" ref="Q267">INT(SUMPRODUCT(--ISNUMBER(SEARCH(gun,C267)))&gt;0)</f>
        <v>0</v>
      </c>
      <c r="R267" s="14" cm="1">
        <f t="array" ref="R267">INT(SUMPRODUCT(--ISNUMBER(SEARCH(race,C267)))&gt;0)</f>
        <v>0</v>
      </c>
      <c r="S267" s="14" cm="1">
        <f t="array" ref="S267">INT(SUMPRODUCT(--ISNUMBER(SEARCH(immigration,C267)))&gt;0)</f>
        <v>0</v>
      </c>
      <c r="T267" s="14" cm="1">
        <f t="array" ref="T267">INT(SUMPRODUCT(--ISNUMBER(SEARCH(econineq,C268)))&gt;0)</f>
        <v>0</v>
      </c>
      <c r="U267" s="14" cm="1">
        <f t="array" ref="U267">INT(SUMPRODUCT(--ISNUMBER(SEARCH(climate,C267)))&gt;0)</f>
        <v>0</v>
      </c>
      <c r="V267" s="14" cm="1">
        <f t="array" ref="V267">INT(SUMPRODUCT(--ISNUMBER(SEARCH(abortion,C267)))&gt;0)</f>
        <v>0</v>
      </c>
      <c r="W267" s="14" cm="1">
        <f t="array" ref="W267">INT(SUMPRODUCT(--ISNUMBER(SEARCH(trump,C267)))&gt;0)</f>
        <v>0</v>
      </c>
      <c r="X267" s="14" cm="1">
        <f t="array" ref="X267">INT(SUMPRODUCT(--ISNUMBER(SEARCH(voting,C267)))&gt;0)</f>
        <v>1</v>
      </c>
      <c r="Y267" s="14" cm="1">
        <f t="array" ref="Y267">INT(SUMPRODUCT(--ISNUMBER(SEARCH(democrattrigger,C267)))&gt;0)</f>
        <v>0</v>
      </c>
      <c r="Z267" s="14" cm="1">
        <f t="array" ref="Z267">INT(SUMPRODUCT(--ISNUMBER(SEARCH(bipartisan,C267)))&gt;0)</f>
        <v>0</v>
      </c>
      <c r="AA267" s="14">
        <f t="shared" si="4"/>
        <v>0</v>
      </c>
      <c r="AB267" s="14"/>
      <c r="AC267" s="30" t="s">
        <v>223</v>
      </c>
      <c r="AD267" s="37" t="s">
        <v>223</v>
      </c>
    </row>
    <row r="268" spans="1:30" x14ac:dyDescent="0.25">
      <c r="A268" s="36">
        <v>4109</v>
      </c>
      <c r="B268" s="14" t="s">
        <v>8241</v>
      </c>
      <c r="C268" s="14" t="s">
        <v>8242</v>
      </c>
      <c r="D268" s="17">
        <v>44116</v>
      </c>
      <c r="E268" s="14" t="s">
        <v>30</v>
      </c>
      <c r="F268" s="14">
        <v>399</v>
      </c>
      <c r="G268" s="14">
        <v>194</v>
      </c>
      <c r="H268" s="14">
        <v>18</v>
      </c>
      <c r="I268" s="14">
        <v>9</v>
      </c>
      <c r="J268" s="14" t="s">
        <v>204</v>
      </c>
      <c r="K268" s="14" cm="1">
        <f t="array" ref="K268">INT(SUMPRODUCT(--ISNUMBER(SEARCH(economy,C268)))&gt;0)</f>
        <v>0</v>
      </c>
      <c r="L268" s="14" cm="1">
        <f t="array" ref="L268">INT(SUMPRODUCT(--ISNUMBER(SEARCH(healthcare,C268)))&gt;0)</f>
        <v>0</v>
      </c>
      <c r="M268" s="14" cm="1">
        <f t="array" ref="M268">INT(SUMPRODUCT(--ISNUMBER(SEARCH(supreme,C268)))&gt;0)</f>
        <v>0</v>
      </c>
      <c r="N268" s="14" cm="1">
        <f t="array" ref="N268">INT(SUMPRODUCT(--ISNUMBER(SEARCH(covid,C268)))&gt;0)</f>
        <v>0</v>
      </c>
      <c r="O268" s="14" cm="1">
        <f t="array" ref="O268">INT(SUMPRODUCT(--ISNUMBER(SEARCH(violent,C268)))&gt;0)</f>
        <v>0</v>
      </c>
      <c r="P268" s="14" cm="1">
        <f t="array" ref="P268">INT(SUMPRODUCT(--ISNUMBER(SEARCH(foreign,C268)))&gt;0)</f>
        <v>0</v>
      </c>
      <c r="Q268" s="14" cm="1">
        <f t="array" ref="Q268">INT(SUMPRODUCT(--ISNUMBER(SEARCH(gun,C268)))&gt;0)</f>
        <v>0</v>
      </c>
      <c r="R268" s="14" cm="1">
        <f t="array" ref="R268">INT(SUMPRODUCT(--ISNUMBER(SEARCH(race,C268)))&gt;0)</f>
        <v>0</v>
      </c>
      <c r="S268" s="14" cm="1">
        <f t="array" ref="S268">INT(SUMPRODUCT(--ISNUMBER(SEARCH(immigration,C268)))&gt;0)</f>
        <v>0</v>
      </c>
      <c r="T268" s="14" cm="1">
        <f t="array" ref="T268">INT(SUMPRODUCT(--ISNUMBER(SEARCH(econineq,C269)))&gt;0)</f>
        <v>0</v>
      </c>
      <c r="U268" s="14" cm="1">
        <f t="array" ref="U268">INT(SUMPRODUCT(--ISNUMBER(SEARCH(climate,C268)))&gt;0)</f>
        <v>0</v>
      </c>
      <c r="V268" s="14" cm="1">
        <f t="array" ref="V268">INT(SUMPRODUCT(--ISNUMBER(SEARCH(abortion,C268)))&gt;0)</f>
        <v>0</v>
      </c>
      <c r="W268" s="14" cm="1">
        <f t="array" ref="W268">INT(SUMPRODUCT(--ISNUMBER(SEARCH(trump,C268)))&gt;0)</f>
        <v>0</v>
      </c>
      <c r="X268" s="14" cm="1">
        <f t="array" ref="X268">INT(SUMPRODUCT(--ISNUMBER(SEARCH(voting,C268)))&gt;0)</f>
        <v>0</v>
      </c>
      <c r="Y268" s="14" cm="1">
        <f t="array" ref="Y268">INT(SUMPRODUCT(--ISNUMBER(SEARCH(democrattrigger,C268)))&gt;0)</f>
        <v>0</v>
      </c>
      <c r="Z268" s="14" cm="1">
        <f t="array" ref="Z268">INT(SUMPRODUCT(--ISNUMBER(SEARCH(bipartisan,C268)))&gt;0)</f>
        <v>0</v>
      </c>
      <c r="AA268" s="14">
        <f t="shared" si="4"/>
        <v>1</v>
      </c>
      <c r="AB268" s="14"/>
      <c r="AC268" s="30" t="s">
        <v>223</v>
      </c>
      <c r="AD268" s="37" t="s">
        <v>223</v>
      </c>
    </row>
    <row r="269" spans="1:30" x14ac:dyDescent="0.25">
      <c r="A269" s="36">
        <v>4110</v>
      </c>
      <c r="B269" s="14" t="s">
        <v>8243</v>
      </c>
      <c r="C269" s="14" t="s">
        <v>8244</v>
      </c>
      <c r="D269" s="17">
        <v>44116</v>
      </c>
      <c r="E269" s="14" t="s">
        <v>30</v>
      </c>
      <c r="F269" s="14">
        <v>880</v>
      </c>
      <c r="G269" s="14">
        <v>208</v>
      </c>
      <c r="H269" s="14">
        <v>18</v>
      </c>
      <c r="I269" s="14">
        <v>9</v>
      </c>
      <c r="J269" s="14" t="s">
        <v>204</v>
      </c>
      <c r="K269" s="14" cm="1">
        <f t="array" ref="K269">INT(SUMPRODUCT(--ISNUMBER(SEARCH(economy,C269)))&gt;0)</f>
        <v>0</v>
      </c>
      <c r="L269" s="14" cm="1">
        <f t="array" ref="L269">INT(SUMPRODUCT(--ISNUMBER(SEARCH(healthcare,C269)))&gt;0)</f>
        <v>0</v>
      </c>
      <c r="M269" s="14" cm="1">
        <f t="array" ref="M269">INT(SUMPRODUCT(--ISNUMBER(SEARCH(supreme,C269)))&gt;0)</f>
        <v>0</v>
      </c>
      <c r="N269" s="14" cm="1">
        <f t="array" ref="N269">INT(SUMPRODUCT(--ISNUMBER(SEARCH(covid,C269)))&gt;0)</f>
        <v>0</v>
      </c>
      <c r="O269" s="14" cm="1">
        <f t="array" ref="O269">INT(SUMPRODUCT(--ISNUMBER(SEARCH(violent,C269)))&gt;0)</f>
        <v>0</v>
      </c>
      <c r="P269" s="14" cm="1">
        <f t="array" ref="P269">INT(SUMPRODUCT(--ISNUMBER(SEARCH(foreign,C269)))&gt;0)</f>
        <v>0</v>
      </c>
      <c r="Q269" s="14" cm="1">
        <f t="array" ref="Q269">INT(SUMPRODUCT(--ISNUMBER(SEARCH(gun,C269)))&gt;0)</f>
        <v>0</v>
      </c>
      <c r="R269" s="14" cm="1">
        <f t="array" ref="R269">INT(SUMPRODUCT(--ISNUMBER(SEARCH(race,C269)))&gt;0)</f>
        <v>0</v>
      </c>
      <c r="S269" s="14" cm="1">
        <f t="array" ref="S269">INT(SUMPRODUCT(--ISNUMBER(SEARCH(immigration,C269)))&gt;0)</f>
        <v>0</v>
      </c>
      <c r="T269" s="14" cm="1">
        <f t="array" ref="T269">INT(SUMPRODUCT(--ISNUMBER(SEARCH(econineq,C270)))&gt;0)</f>
        <v>0</v>
      </c>
      <c r="U269" s="14" cm="1">
        <f t="array" ref="U269">INT(SUMPRODUCT(--ISNUMBER(SEARCH(climate,C269)))&gt;0)</f>
        <v>0</v>
      </c>
      <c r="V269" s="14" cm="1">
        <f t="array" ref="V269">INT(SUMPRODUCT(--ISNUMBER(SEARCH(abortion,C269)))&gt;0)</f>
        <v>0</v>
      </c>
      <c r="W269" s="14" cm="1">
        <f t="array" ref="W269">INT(SUMPRODUCT(--ISNUMBER(SEARCH(trump,C269)))&gt;0)</f>
        <v>0</v>
      </c>
      <c r="X269" s="14" cm="1">
        <f t="array" ref="X269">INT(SUMPRODUCT(--ISNUMBER(SEARCH(voting,C269)))&gt;0)</f>
        <v>0</v>
      </c>
      <c r="Y269" s="14" cm="1">
        <f t="array" ref="Y269">INT(SUMPRODUCT(--ISNUMBER(SEARCH(democrattrigger,C269)))&gt;0)</f>
        <v>0</v>
      </c>
      <c r="Z269" s="14" cm="1">
        <f t="array" ref="Z269">INT(SUMPRODUCT(--ISNUMBER(SEARCH(bipartisan,C269)))&gt;0)</f>
        <v>0</v>
      </c>
      <c r="AA269" s="14">
        <f t="shared" si="4"/>
        <v>1</v>
      </c>
      <c r="AB269" s="14"/>
      <c r="AC269" s="30" t="s">
        <v>223</v>
      </c>
      <c r="AD269" s="37" t="s">
        <v>223</v>
      </c>
    </row>
    <row r="270" spans="1:30" x14ac:dyDescent="0.25">
      <c r="A270" s="36">
        <v>4111</v>
      </c>
      <c r="B270" s="14" t="s">
        <v>8245</v>
      </c>
      <c r="C270" s="14" t="s">
        <v>8246</v>
      </c>
      <c r="D270" s="17">
        <v>44116</v>
      </c>
      <c r="E270" s="14" t="s">
        <v>30</v>
      </c>
      <c r="F270" s="14">
        <v>9096</v>
      </c>
      <c r="G270" s="14">
        <v>3117</v>
      </c>
      <c r="H270" s="14">
        <v>18</v>
      </c>
      <c r="I270" s="14">
        <v>9</v>
      </c>
      <c r="J270" s="14" t="s">
        <v>204</v>
      </c>
      <c r="K270" s="14" cm="1">
        <f t="array" ref="K270">INT(SUMPRODUCT(--ISNUMBER(SEARCH(economy,C270)))&gt;0)</f>
        <v>0</v>
      </c>
      <c r="L270" s="14" cm="1">
        <f t="array" ref="L270">INT(SUMPRODUCT(--ISNUMBER(SEARCH(healthcare,C270)))&gt;0)</f>
        <v>1</v>
      </c>
      <c r="M270" s="14" cm="1">
        <f t="array" ref="M270">INT(SUMPRODUCT(--ISNUMBER(SEARCH(supreme,C270)))&gt;0)</f>
        <v>0</v>
      </c>
      <c r="N270" s="14" cm="1">
        <f t="array" ref="N270">INT(SUMPRODUCT(--ISNUMBER(SEARCH(covid,C270)))&gt;0)</f>
        <v>0</v>
      </c>
      <c r="O270" s="14" cm="1">
        <f t="array" ref="O270">INT(SUMPRODUCT(--ISNUMBER(SEARCH(violent,C270)))&gt;0)</f>
        <v>0</v>
      </c>
      <c r="P270" s="14" cm="1">
        <f t="array" ref="P270">INT(SUMPRODUCT(--ISNUMBER(SEARCH(foreign,C270)))&gt;0)</f>
        <v>0</v>
      </c>
      <c r="Q270" s="14" cm="1">
        <f t="array" ref="Q270">INT(SUMPRODUCT(--ISNUMBER(SEARCH(gun,C270)))&gt;0)</f>
        <v>0</v>
      </c>
      <c r="R270" s="14" cm="1">
        <f t="array" ref="R270">INT(SUMPRODUCT(--ISNUMBER(SEARCH(race,C270)))&gt;0)</f>
        <v>0</v>
      </c>
      <c r="S270" s="14" cm="1">
        <f t="array" ref="S270">INT(SUMPRODUCT(--ISNUMBER(SEARCH(immigration,C270)))&gt;0)</f>
        <v>0</v>
      </c>
      <c r="T270" s="14" cm="1">
        <f t="array" ref="T270">INT(SUMPRODUCT(--ISNUMBER(SEARCH(econineq,C271)))&gt;0)</f>
        <v>0</v>
      </c>
      <c r="U270" s="14" cm="1">
        <f t="array" ref="U270">INT(SUMPRODUCT(--ISNUMBER(SEARCH(climate,C270)))&gt;0)</f>
        <v>0</v>
      </c>
      <c r="V270" s="14" cm="1">
        <f t="array" ref="V270">INT(SUMPRODUCT(--ISNUMBER(SEARCH(abortion,C270)))&gt;0)</f>
        <v>0</v>
      </c>
      <c r="W270" s="14" cm="1">
        <f t="array" ref="W270">INT(SUMPRODUCT(--ISNUMBER(SEARCH(trump,C270)))&gt;0)</f>
        <v>0</v>
      </c>
      <c r="X270" s="14" cm="1">
        <f t="array" ref="X270">INT(SUMPRODUCT(--ISNUMBER(SEARCH(voting,C270)))&gt;0)</f>
        <v>1</v>
      </c>
      <c r="Y270" s="14" cm="1">
        <f t="array" ref="Y270">INT(SUMPRODUCT(--ISNUMBER(SEARCH(democrattrigger,C270)))&gt;0)</f>
        <v>1</v>
      </c>
      <c r="Z270" s="14" cm="1">
        <f t="array" ref="Z270">INT(SUMPRODUCT(--ISNUMBER(SEARCH(bipartisan,C270)))&gt;0)</f>
        <v>0</v>
      </c>
      <c r="AA270" s="14">
        <f t="shared" si="4"/>
        <v>0</v>
      </c>
      <c r="AB270" s="14"/>
      <c r="AC270" s="30" t="s">
        <v>223</v>
      </c>
      <c r="AD270" s="37" t="s">
        <v>223</v>
      </c>
    </row>
    <row r="271" spans="1:30" x14ac:dyDescent="0.25">
      <c r="A271" s="36">
        <v>4112</v>
      </c>
      <c r="B271" s="14" t="s">
        <v>8247</v>
      </c>
      <c r="C271" s="14" t="s">
        <v>8248</v>
      </c>
      <c r="D271" s="17">
        <v>44116</v>
      </c>
      <c r="E271" s="14" t="s">
        <v>30</v>
      </c>
      <c r="F271" s="14">
        <v>8107</v>
      </c>
      <c r="G271" s="14">
        <v>3351</v>
      </c>
      <c r="H271" s="14">
        <v>18</v>
      </c>
      <c r="I271" s="14">
        <v>9</v>
      </c>
      <c r="J271" s="14" t="s">
        <v>204</v>
      </c>
      <c r="K271" s="14" cm="1">
        <f t="array" ref="K271">INT(SUMPRODUCT(--ISNUMBER(SEARCH(economy,C271)))&gt;0)</f>
        <v>0</v>
      </c>
      <c r="L271" s="14" cm="1">
        <f t="array" ref="L271">INT(SUMPRODUCT(--ISNUMBER(SEARCH(healthcare,C271)))&gt;0)</f>
        <v>0</v>
      </c>
      <c r="M271" s="14" cm="1">
        <f t="array" ref="M271">INT(SUMPRODUCT(--ISNUMBER(SEARCH(supreme,C271)))&gt;0)</f>
        <v>0</v>
      </c>
      <c r="N271" s="14" cm="1">
        <f t="array" ref="N271">INT(SUMPRODUCT(--ISNUMBER(SEARCH(covid,C271)))&gt;0)</f>
        <v>1</v>
      </c>
      <c r="O271" s="14" cm="1">
        <f t="array" ref="O271">INT(SUMPRODUCT(--ISNUMBER(SEARCH(violent,C271)))&gt;0)</f>
        <v>0</v>
      </c>
      <c r="P271" s="14" cm="1">
        <f t="array" ref="P271">INT(SUMPRODUCT(--ISNUMBER(SEARCH(foreign,C271)))&gt;0)</f>
        <v>0</v>
      </c>
      <c r="Q271" s="14" cm="1">
        <f t="array" ref="Q271">INT(SUMPRODUCT(--ISNUMBER(SEARCH(gun,C271)))&gt;0)</f>
        <v>0</v>
      </c>
      <c r="R271" s="14" cm="1">
        <f t="array" ref="R271">INT(SUMPRODUCT(--ISNUMBER(SEARCH(race,C271)))&gt;0)</f>
        <v>0</v>
      </c>
      <c r="S271" s="14" cm="1">
        <f t="array" ref="S271">INT(SUMPRODUCT(--ISNUMBER(SEARCH(immigration,C271)))&gt;0)</f>
        <v>0</v>
      </c>
      <c r="T271" s="14" cm="1">
        <f t="array" ref="T271">INT(SUMPRODUCT(--ISNUMBER(SEARCH(econineq,C272)))&gt;0)</f>
        <v>0</v>
      </c>
      <c r="U271" s="14" cm="1">
        <f t="array" ref="U271">INT(SUMPRODUCT(--ISNUMBER(SEARCH(climate,C271)))&gt;0)</f>
        <v>0</v>
      </c>
      <c r="V271" s="14" cm="1">
        <f t="array" ref="V271">INT(SUMPRODUCT(--ISNUMBER(SEARCH(abortion,C271)))&gt;0)</f>
        <v>0</v>
      </c>
      <c r="W271" s="14" cm="1">
        <f t="array" ref="W271">INT(SUMPRODUCT(--ISNUMBER(SEARCH(trump,C271)))&gt;0)</f>
        <v>0</v>
      </c>
      <c r="X271" s="14" cm="1">
        <f t="array" ref="X271">INT(SUMPRODUCT(--ISNUMBER(SEARCH(voting,C271)))&gt;0)</f>
        <v>0</v>
      </c>
      <c r="Y271" s="14" cm="1">
        <f t="array" ref="Y271">INT(SUMPRODUCT(--ISNUMBER(SEARCH(democrattrigger,C271)))&gt;0)</f>
        <v>1</v>
      </c>
      <c r="Z271" s="14" cm="1">
        <f t="array" ref="Z271">INT(SUMPRODUCT(--ISNUMBER(SEARCH(bipartisan,C271)))&gt;0)</f>
        <v>0</v>
      </c>
      <c r="AA271" s="14">
        <f t="shared" si="4"/>
        <v>0</v>
      </c>
      <c r="AB271" s="14"/>
      <c r="AC271" s="30">
        <v>1</v>
      </c>
      <c r="AD271" s="37">
        <v>0</v>
      </c>
    </row>
    <row r="272" spans="1:30" x14ac:dyDescent="0.25">
      <c r="A272" s="36">
        <v>4113</v>
      </c>
      <c r="B272" s="14" t="s">
        <v>8249</v>
      </c>
      <c r="C272" s="14" t="s">
        <v>8250</v>
      </c>
      <c r="D272" s="17">
        <v>44116</v>
      </c>
      <c r="E272" s="14" t="s">
        <v>30</v>
      </c>
      <c r="F272" s="14">
        <v>2742</v>
      </c>
      <c r="G272" s="14">
        <v>785</v>
      </c>
      <c r="H272" s="14">
        <v>18</v>
      </c>
      <c r="I272" s="14">
        <v>9</v>
      </c>
      <c r="J272" s="14" t="s">
        <v>204</v>
      </c>
      <c r="K272" s="14" cm="1">
        <f t="array" ref="K272">INT(SUMPRODUCT(--ISNUMBER(SEARCH(economy,C272)))&gt;0)</f>
        <v>0</v>
      </c>
      <c r="L272" s="14" cm="1">
        <f t="array" ref="L272">INT(SUMPRODUCT(--ISNUMBER(SEARCH(healthcare,C272)))&gt;0)</f>
        <v>0</v>
      </c>
      <c r="M272" s="14" cm="1">
        <f t="array" ref="M272">INT(SUMPRODUCT(--ISNUMBER(SEARCH(supreme,C272)))&gt;0)</f>
        <v>0</v>
      </c>
      <c r="N272" s="14" cm="1">
        <f t="array" ref="N272">INT(SUMPRODUCT(--ISNUMBER(SEARCH(covid,C272)))&gt;0)</f>
        <v>0</v>
      </c>
      <c r="O272" s="14" cm="1">
        <f t="array" ref="O272">INT(SUMPRODUCT(--ISNUMBER(SEARCH(violent,C272)))&gt;0)</f>
        <v>0</v>
      </c>
      <c r="P272" s="14" cm="1">
        <f t="array" ref="P272">INT(SUMPRODUCT(--ISNUMBER(SEARCH(foreign,C272)))&gt;0)</f>
        <v>0</v>
      </c>
      <c r="Q272" s="14" cm="1">
        <f t="array" ref="Q272">INT(SUMPRODUCT(--ISNUMBER(SEARCH(gun,C272)))&gt;0)</f>
        <v>0</v>
      </c>
      <c r="R272" s="14" cm="1">
        <f t="array" ref="R272">INT(SUMPRODUCT(--ISNUMBER(SEARCH(race,C272)))&gt;0)</f>
        <v>0</v>
      </c>
      <c r="S272" s="14" cm="1">
        <f t="array" ref="S272">INT(SUMPRODUCT(--ISNUMBER(SEARCH(immigration,C272)))&gt;0)</f>
        <v>0</v>
      </c>
      <c r="T272" s="14" cm="1">
        <f t="array" ref="T272">INT(SUMPRODUCT(--ISNUMBER(SEARCH(econineq,C273)))&gt;0)</f>
        <v>0</v>
      </c>
      <c r="U272" s="14" cm="1">
        <f t="array" ref="U272">INT(SUMPRODUCT(--ISNUMBER(SEARCH(climate,C272)))&gt;0)</f>
        <v>0</v>
      </c>
      <c r="V272" s="14" cm="1">
        <f t="array" ref="V272">INT(SUMPRODUCT(--ISNUMBER(SEARCH(abortion,C272)))&gt;0)</f>
        <v>0</v>
      </c>
      <c r="W272" s="14" cm="1">
        <f t="array" ref="W272">INT(SUMPRODUCT(--ISNUMBER(SEARCH(trump,C272)))&gt;0)</f>
        <v>0</v>
      </c>
      <c r="X272" s="14" cm="1">
        <f t="array" ref="X272">INT(SUMPRODUCT(--ISNUMBER(SEARCH(voting,C272)))&gt;0)</f>
        <v>0</v>
      </c>
      <c r="Y272" s="14" cm="1">
        <f t="array" ref="Y272">INT(SUMPRODUCT(--ISNUMBER(SEARCH(democrattrigger,C272)))&gt;0)</f>
        <v>0</v>
      </c>
      <c r="Z272" s="14" cm="1">
        <f t="array" ref="Z272">INT(SUMPRODUCT(--ISNUMBER(SEARCH(bipartisan,C272)))&gt;0)</f>
        <v>0</v>
      </c>
      <c r="AA272" s="14">
        <f t="shared" si="4"/>
        <v>1</v>
      </c>
      <c r="AB272" s="14"/>
      <c r="AC272" s="30" t="s">
        <v>223</v>
      </c>
      <c r="AD272" s="37" t="s">
        <v>223</v>
      </c>
    </row>
    <row r="273" spans="1:30" x14ac:dyDescent="0.25">
      <c r="A273" s="36">
        <v>4114</v>
      </c>
      <c r="B273" s="14" t="s">
        <v>8251</v>
      </c>
      <c r="C273" s="14" t="s">
        <v>8252</v>
      </c>
      <c r="D273" s="17">
        <v>44116</v>
      </c>
      <c r="E273" s="14" t="s">
        <v>30</v>
      </c>
      <c r="F273" s="14">
        <v>9992</v>
      </c>
      <c r="G273" s="14">
        <v>4416</v>
      </c>
      <c r="H273" s="14">
        <v>18</v>
      </c>
      <c r="I273" s="14">
        <v>9</v>
      </c>
      <c r="J273" s="14" t="s">
        <v>204</v>
      </c>
      <c r="K273" s="14" cm="1">
        <f t="array" ref="K273">INT(SUMPRODUCT(--ISNUMBER(SEARCH(economy,C273)))&gt;0)</f>
        <v>0</v>
      </c>
      <c r="L273" s="14" cm="1">
        <f t="array" ref="L273">INT(SUMPRODUCT(--ISNUMBER(SEARCH(healthcare,C273)))&gt;0)</f>
        <v>1</v>
      </c>
      <c r="M273" s="14" cm="1">
        <f t="array" ref="M273">INT(SUMPRODUCT(--ISNUMBER(SEARCH(supreme,C273)))&gt;0)</f>
        <v>1</v>
      </c>
      <c r="N273" s="14" cm="1">
        <f t="array" ref="N273">INT(SUMPRODUCT(--ISNUMBER(SEARCH(covid,C273)))&gt;0)</f>
        <v>0</v>
      </c>
      <c r="O273" s="14" cm="1">
        <f t="array" ref="O273">INT(SUMPRODUCT(--ISNUMBER(SEARCH(violent,C273)))&gt;0)</f>
        <v>0</v>
      </c>
      <c r="P273" s="14" cm="1">
        <f t="array" ref="P273">INT(SUMPRODUCT(--ISNUMBER(SEARCH(foreign,C273)))&gt;0)</f>
        <v>0</v>
      </c>
      <c r="Q273" s="14" cm="1">
        <f t="array" ref="Q273">INT(SUMPRODUCT(--ISNUMBER(SEARCH(gun,C273)))&gt;0)</f>
        <v>0</v>
      </c>
      <c r="R273" s="14" cm="1">
        <f t="array" ref="R273">INT(SUMPRODUCT(--ISNUMBER(SEARCH(race,C273)))&gt;0)</f>
        <v>0</v>
      </c>
      <c r="S273" s="14" cm="1">
        <f t="array" ref="S273">INT(SUMPRODUCT(--ISNUMBER(SEARCH(immigration,C273)))&gt;0)</f>
        <v>0</v>
      </c>
      <c r="T273" s="14" cm="1">
        <f t="array" ref="T273">INT(SUMPRODUCT(--ISNUMBER(SEARCH(econineq,C274)))&gt;0)</f>
        <v>0</v>
      </c>
      <c r="U273" s="14" cm="1">
        <f t="array" ref="U273">INT(SUMPRODUCT(--ISNUMBER(SEARCH(climate,C273)))&gt;0)</f>
        <v>0</v>
      </c>
      <c r="V273" s="14" cm="1">
        <f t="array" ref="V273">INT(SUMPRODUCT(--ISNUMBER(SEARCH(abortion,C273)))&gt;0)</f>
        <v>0</v>
      </c>
      <c r="W273" s="14" cm="1">
        <f t="array" ref="W273">INT(SUMPRODUCT(--ISNUMBER(SEARCH(trump,C273)))&gt;0)</f>
        <v>0</v>
      </c>
      <c r="X273" s="14" cm="1">
        <f t="array" ref="X273">INT(SUMPRODUCT(--ISNUMBER(SEARCH(voting,C273)))&gt;0)</f>
        <v>0</v>
      </c>
      <c r="Y273" s="14" cm="1">
        <f t="array" ref="Y273">INT(SUMPRODUCT(--ISNUMBER(SEARCH(democrattrigger,C273)))&gt;0)</f>
        <v>1</v>
      </c>
      <c r="Z273" s="14" cm="1">
        <f t="array" ref="Z273">INT(SUMPRODUCT(--ISNUMBER(SEARCH(bipartisan,C273)))&gt;0)</f>
        <v>0</v>
      </c>
      <c r="AA273" s="14">
        <f t="shared" si="4"/>
        <v>0</v>
      </c>
      <c r="AB273" s="14"/>
      <c r="AC273" s="30" t="s">
        <v>223</v>
      </c>
      <c r="AD273" s="37" t="s">
        <v>223</v>
      </c>
    </row>
    <row r="274" spans="1:30" x14ac:dyDescent="0.25">
      <c r="A274" s="36">
        <v>4115</v>
      </c>
      <c r="B274" s="14" t="s">
        <v>8253</v>
      </c>
      <c r="C274" s="14" t="s">
        <v>8254</v>
      </c>
      <c r="D274" s="17">
        <v>44116</v>
      </c>
      <c r="E274" s="14" t="s">
        <v>30</v>
      </c>
      <c r="F274" s="14">
        <v>4381</v>
      </c>
      <c r="G274" s="14">
        <v>387</v>
      </c>
      <c r="H274" s="14">
        <v>18</v>
      </c>
      <c r="I274" s="14">
        <v>9</v>
      </c>
      <c r="J274" s="14" t="s">
        <v>204</v>
      </c>
      <c r="K274" s="14" cm="1">
        <f t="array" ref="K274">INT(SUMPRODUCT(--ISNUMBER(SEARCH(economy,C274)))&gt;0)</f>
        <v>0</v>
      </c>
      <c r="L274" s="14" cm="1">
        <f t="array" ref="L274">INT(SUMPRODUCT(--ISNUMBER(SEARCH(healthcare,C274)))&gt;0)</f>
        <v>0</v>
      </c>
      <c r="M274" s="14" cm="1">
        <f t="array" ref="M274">INT(SUMPRODUCT(--ISNUMBER(SEARCH(supreme,C274)))&gt;0)</f>
        <v>0</v>
      </c>
      <c r="N274" s="14" cm="1">
        <f t="array" ref="N274">INT(SUMPRODUCT(--ISNUMBER(SEARCH(covid,C274)))&gt;0)</f>
        <v>0</v>
      </c>
      <c r="O274" s="14" cm="1">
        <f t="array" ref="O274">INT(SUMPRODUCT(--ISNUMBER(SEARCH(violent,C274)))&gt;0)</f>
        <v>0</v>
      </c>
      <c r="P274" s="14" cm="1">
        <f t="array" ref="P274">INT(SUMPRODUCT(--ISNUMBER(SEARCH(foreign,C274)))&gt;0)</f>
        <v>0</v>
      </c>
      <c r="Q274" s="14" cm="1">
        <f t="array" ref="Q274">INT(SUMPRODUCT(--ISNUMBER(SEARCH(gun,C274)))&gt;0)</f>
        <v>0</v>
      </c>
      <c r="R274" s="14" cm="1">
        <f t="array" ref="R274">INT(SUMPRODUCT(--ISNUMBER(SEARCH(race,C274)))&gt;0)</f>
        <v>0</v>
      </c>
      <c r="S274" s="14" cm="1">
        <f t="array" ref="S274">INT(SUMPRODUCT(--ISNUMBER(SEARCH(immigration,C274)))&gt;0)</f>
        <v>0</v>
      </c>
      <c r="T274" s="14" cm="1">
        <f t="array" ref="T274">INT(SUMPRODUCT(--ISNUMBER(SEARCH(econineq,C275)))&gt;0)</f>
        <v>0</v>
      </c>
      <c r="U274" s="14" cm="1">
        <f t="array" ref="U274">INT(SUMPRODUCT(--ISNUMBER(SEARCH(climate,C274)))&gt;0)</f>
        <v>0</v>
      </c>
      <c r="V274" s="14" cm="1">
        <f t="array" ref="V274">INT(SUMPRODUCT(--ISNUMBER(SEARCH(abortion,C274)))&gt;0)</f>
        <v>1</v>
      </c>
      <c r="W274" s="14" cm="1">
        <f t="array" ref="W274">INT(SUMPRODUCT(--ISNUMBER(SEARCH(trump,C274)))&gt;0)</f>
        <v>0</v>
      </c>
      <c r="X274" s="14" cm="1">
        <f t="array" ref="X274">INT(SUMPRODUCT(--ISNUMBER(SEARCH(voting,C274)))&gt;0)</f>
        <v>0</v>
      </c>
      <c r="Y274" s="14" cm="1">
        <f t="array" ref="Y274">INT(SUMPRODUCT(--ISNUMBER(SEARCH(democrattrigger,C274)))&gt;0)</f>
        <v>0</v>
      </c>
      <c r="Z274" s="14" cm="1">
        <f t="array" ref="Z274">INT(SUMPRODUCT(--ISNUMBER(SEARCH(bipartisan,C274)))&gt;0)</f>
        <v>0</v>
      </c>
      <c r="AA274" s="14">
        <f t="shared" si="4"/>
        <v>0</v>
      </c>
      <c r="AB274" s="14"/>
      <c r="AC274" s="30">
        <v>1</v>
      </c>
      <c r="AD274" s="37">
        <v>0</v>
      </c>
    </row>
    <row r="275" spans="1:30" x14ac:dyDescent="0.25">
      <c r="A275" s="36">
        <v>4116</v>
      </c>
      <c r="B275" s="14" t="s">
        <v>8255</v>
      </c>
      <c r="C275" s="14" t="s">
        <v>8256</v>
      </c>
      <c r="D275" s="17">
        <v>44115</v>
      </c>
      <c r="E275" s="14" t="s">
        <v>30</v>
      </c>
      <c r="F275" s="14">
        <v>791</v>
      </c>
      <c r="G275" s="14">
        <v>230</v>
      </c>
      <c r="H275" s="14">
        <v>18</v>
      </c>
      <c r="I275" s="14">
        <v>9</v>
      </c>
      <c r="J275" s="14" t="s">
        <v>204</v>
      </c>
      <c r="K275" s="14" cm="1">
        <f t="array" ref="K275">INT(SUMPRODUCT(--ISNUMBER(SEARCH(economy,C275)))&gt;0)</f>
        <v>0</v>
      </c>
      <c r="L275" s="14" cm="1">
        <f t="array" ref="L275">INT(SUMPRODUCT(--ISNUMBER(SEARCH(healthcare,C275)))&gt;0)</f>
        <v>0</v>
      </c>
      <c r="M275" s="14" cm="1">
        <f t="array" ref="M275">INT(SUMPRODUCT(--ISNUMBER(SEARCH(supreme,C275)))&gt;0)</f>
        <v>0</v>
      </c>
      <c r="N275" s="14" cm="1">
        <f t="array" ref="N275">INT(SUMPRODUCT(--ISNUMBER(SEARCH(covid,C275)))&gt;0)</f>
        <v>0</v>
      </c>
      <c r="O275" s="14" cm="1">
        <f t="array" ref="O275">INT(SUMPRODUCT(--ISNUMBER(SEARCH(violent,C275)))&gt;0)</f>
        <v>0</v>
      </c>
      <c r="P275" s="14" cm="1">
        <f t="array" ref="P275">INT(SUMPRODUCT(--ISNUMBER(SEARCH(foreign,C275)))&gt;0)</f>
        <v>0</v>
      </c>
      <c r="Q275" s="14" cm="1">
        <f t="array" ref="Q275">INT(SUMPRODUCT(--ISNUMBER(SEARCH(gun,C275)))&gt;0)</f>
        <v>0</v>
      </c>
      <c r="R275" s="14" cm="1">
        <f t="array" ref="R275">INT(SUMPRODUCT(--ISNUMBER(SEARCH(race,C275)))&gt;0)</f>
        <v>0</v>
      </c>
      <c r="S275" s="14" cm="1">
        <f t="array" ref="S275">INT(SUMPRODUCT(--ISNUMBER(SEARCH(immigration,C275)))&gt;0)</f>
        <v>0</v>
      </c>
      <c r="T275" s="14" cm="1">
        <f t="array" ref="T275">INT(SUMPRODUCT(--ISNUMBER(SEARCH(econineq,C276)))&gt;0)</f>
        <v>0</v>
      </c>
      <c r="U275" s="14" cm="1">
        <f t="array" ref="U275">INT(SUMPRODUCT(--ISNUMBER(SEARCH(climate,C275)))&gt;0)</f>
        <v>0</v>
      </c>
      <c r="V275" s="14" cm="1">
        <f t="array" ref="V275">INT(SUMPRODUCT(--ISNUMBER(SEARCH(abortion,C275)))&gt;0)</f>
        <v>0</v>
      </c>
      <c r="W275" s="14" cm="1">
        <f t="array" ref="W275">INT(SUMPRODUCT(--ISNUMBER(SEARCH(trump,C275)))&gt;0)</f>
        <v>0</v>
      </c>
      <c r="X275" s="14" cm="1">
        <f t="array" ref="X275">INT(SUMPRODUCT(--ISNUMBER(SEARCH(voting,C275)))&gt;0)</f>
        <v>1</v>
      </c>
      <c r="Y275" s="14" cm="1">
        <f t="array" ref="Y275">INT(SUMPRODUCT(--ISNUMBER(SEARCH(democrattrigger,C275)))&gt;0)</f>
        <v>0</v>
      </c>
      <c r="Z275" s="14" cm="1">
        <f t="array" ref="Z275">INT(SUMPRODUCT(--ISNUMBER(SEARCH(bipartisan,C275)))&gt;0)</f>
        <v>0</v>
      </c>
      <c r="AA275" s="14">
        <f t="shared" si="4"/>
        <v>0</v>
      </c>
      <c r="AB275" s="14"/>
      <c r="AC275" s="30" t="s">
        <v>223</v>
      </c>
      <c r="AD275" s="37" t="s">
        <v>223</v>
      </c>
    </row>
    <row r="276" spans="1:30" x14ac:dyDescent="0.25">
      <c r="A276" s="36">
        <v>4117</v>
      </c>
      <c r="B276" s="14" t="s">
        <v>8257</v>
      </c>
      <c r="C276" s="14" t="s">
        <v>8258</v>
      </c>
      <c r="D276" s="17">
        <v>44115</v>
      </c>
      <c r="E276" s="14" t="s">
        <v>30</v>
      </c>
      <c r="F276" s="14">
        <v>11291</v>
      </c>
      <c r="G276" s="14">
        <v>2775</v>
      </c>
      <c r="H276" s="14">
        <v>18</v>
      </c>
      <c r="I276" s="14">
        <v>9</v>
      </c>
      <c r="J276" s="14" t="s">
        <v>204</v>
      </c>
      <c r="K276" s="14" cm="1">
        <f t="array" ref="K276">INT(SUMPRODUCT(--ISNUMBER(SEARCH(economy,C276)))&gt;0)</f>
        <v>0</v>
      </c>
      <c r="L276" s="14" cm="1">
        <f t="array" ref="L276">INT(SUMPRODUCT(--ISNUMBER(SEARCH(healthcare,C276)))&gt;0)</f>
        <v>0</v>
      </c>
      <c r="M276" s="14" cm="1">
        <f t="array" ref="M276">INT(SUMPRODUCT(--ISNUMBER(SEARCH(supreme,C276)))&gt;0)</f>
        <v>0</v>
      </c>
      <c r="N276" s="14" cm="1">
        <f t="array" ref="N276">INT(SUMPRODUCT(--ISNUMBER(SEARCH(covid,C276)))&gt;0)</f>
        <v>0</v>
      </c>
      <c r="O276" s="14" cm="1">
        <f t="array" ref="O276">INT(SUMPRODUCT(--ISNUMBER(SEARCH(violent,C276)))&gt;0)</f>
        <v>0</v>
      </c>
      <c r="P276" s="14" cm="1">
        <f t="array" ref="P276">INT(SUMPRODUCT(--ISNUMBER(SEARCH(foreign,C276)))&gt;0)</f>
        <v>0</v>
      </c>
      <c r="Q276" s="14" cm="1">
        <f t="array" ref="Q276">INT(SUMPRODUCT(--ISNUMBER(SEARCH(gun,C276)))&gt;0)</f>
        <v>0</v>
      </c>
      <c r="R276" s="14" cm="1">
        <f t="array" ref="R276">INT(SUMPRODUCT(--ISNUMBER(SEARCH(race,C276)))&gt;0)</f>
        <v>0</v>
      </c>
      <c r="S276" s="14" cm="1">
        <f t="array" ref="S276">INT(SUMPRODUCT(--ISNUMBER(SEARCH(immigration,C276)))&gt;0)</f>
        <v>0</v>
      </c>
      <c r="T276" s="14" cm="1">
        <f t="array" ref="T276">INT(SUMPRODUCT(--ISNUMBER(SEARCH(econineq,C277)))&gt;0)</f>
        <v>0</v>
      </c>
      <c r="U276" s="14" cm="1">
        <f t="array" ref="U276">INT(SUMPRODUCT(--ISNUMBER(SEARCH(climate,C276)))&gt;0)</f>
        <v>0</v>
      </c>
      <c r="V276" s="14" cm="1">
        <f t="array" ref="V276">INT(SUMPRODUCT(--ISNUMBER(SEARCH(abortion,C276)))&gt;0)</f>
        <v>0</v>
      </c>
      <c r="W276" s="14" cm="1">
        <f t="array" ref="W276">INT(SUMPRODUCT(--ISNUMBER(SEARCH(trump,C276)))&gt;0)</f>
        <v>0</v>
      </c>
      <c r="X276" s="14" cm="1">
        <f t="array" ref="X276">INT(SUMPRODUCT(--ISNUMBER(SEARCH(voting,C276)))&gt;0)</f>
        <v>1</v>
      </c>
      <c r="Y276" s="14" cm="1">
        <f t="array" ref="Y276">INT(SUMPRODUCT(--ISNUMBER(SEARCH(democrattrigger,C276)))&gt;0)</f>
        <v>1</v>
      </c>
      <c r="Z276" s="14" cm="1">
        <f t="array" ref="Z276">INT(SUMPRODUCT(--ISNUMBER(SEARCH(bipartisan,C276)))&gt;0)</f>
        <v>0</v>
      </c>
      <c r="AA276" s="14">
        <f t="shared" si="4"/>
        <v>0</v>
      </c>
      <c r="AB276" s="14"/>
      <c r="AC276" s="30" t="s">
        <v>223</v>
      </c>
      <c r="AD276" s="37" t="s">
        <v>223</v>
      </c>
    </row>
    <row r="277" spans="1:30" x14ac:dyDescent="0.25">
      <c r="A277" s="36">
        <v>4118</v>
      </c>
      <c r="B277" s="14" t="s">
        <v>8259</v>
      </c>
      <c r="C277" s="14" t="s">
        <v>8260</v>
      </c>
      <c r="D277" s="17">
        <v>44115</v>
      </c>
      <c r="E277" s="14" t="s">
        <v>30</v>
      </c>
      <c r="F277" s="14">
        <v>2601</v>
      </c>
      <c r="G277" s="14">
        <v>758</v>
      </c>
      <c r="H277" s="14">
        <v>18</v>
      </c>
      <c r="I277" s="14">
        <v>9</v>
      </c>
      <c r="J277" s="14" t="s">
        <v>204</v>
      </c>
      <c r="K277" s="14" cm="1">
        <f t="array" ref="K277">INT(SUMPRODUCT(--ISNUMBER(SEARCH(economy,C277)))&gt;0)</f>
        <v>0</v>
      </c>
      <c r="L277" s="14" cm="1">
        <f t="array" ref="L277">INT(SUMPRODUCT(--ISNUMBER(SEARCH(healthcare,C277)))&gt;0)</f>
        <v>0</v>
      </c>
      <c r="M277" s="14" cm="1">
        <f t="array" ref="M277">INT(SUMPRODUCT(--ISNUMBER(SEARCH(supreme,C277)))&gt;0)</f>
        <v>0</v>
      </c>
      <c r="N277" s="14" cm="1">
        <f t="array" ref="N277">INT(SUMPRODUCT(--ISNUMBER(SEARCH(covid,C277)))&gt;0)</f>
        <v>0</v>
      </c>
      <c r="O277" s="14" cm="1">
        <f t="array" ref="O277">INT(SUMPRODUCT(--ISNUMBER(SEARCH(violent,C277)))&gt;0)</f>
        <v>0</v>
      </c>
      <c r="P277" s="14" cm="1">
        <f t="array" ref="P277">INT(SUMPRODUCT(--ISNUMBER(SEARCH(foreign,C277)))&gt;0)</f>
        <v>0</v>
      </c>
      <c r="Q277" s="14" cm="1">
        <f t="array" ref="Q277">INT(SUMPRODUCT(--ISNUMBER(SEARCH(gun,C277)))&gt;0)</f>
        <v>0</v>
      </c>
      <c r="R277" s="14" cm="1">
        <f t="array" ref="R277">INT(SUMPRODUCT(--ISNUMBER(SEARCH(race,C277)))&gt;0)</f>
        <v>0</v>
      </c>
      <c r="S277" s="14" cm="1">
        <f t="array" ref="S277">INT(SUMPRODUCT(--ISNUMBER(SEARCH(immigration,C277)))&gt;0)</f>
        <v>0</v>
      </c>
      <c r="T277" s="14" cm="1">
        <f t="array" ref="T277">INT(SUMPRODUCT(--ISNUMBER(SEARCH(econineq,C278)))&gt;0)</f>
        <v>0</v>
      </c>
      <c r="U277" s="14" cm="1">
        <f t="array" ref="U277">INT(SUMPRODUCT(--ISNUMBER(SEARCH(climate,C277)))&gt;0)</f>
        <v>0</v>
      </c>
      <c r="V277" s="14" cm="1">
        <f t="array" ref="V277">INT(SUMPRODUCT(--ISNUMBER(SEARCH(abortion,C277)))&gt;0)</f>
        <v>0</v>
      </c>
      <c r="W277" s="14" cm="1">
        <f t="array" ref="W277">INT(SUMPRODUCT(--ISNUMBER(SEARCH(trump,C277)))&gt;0)</f>
        <v>0</v>
      </c>
      <c r="X277" s="14" cm="1">
        <f t="array" ref="X277">INT(SUMPRODUCT(--ISNUMBER(SEARCH(voting,C277)))&gt;0)</f>
        <v>0</v>
      </c>
      <c r="Y277" s="14" cm="1">
        <f t="array" ref="Y277">INT(SUMPRODUCT(--ISNUMBER(SEARCH(democrattrigger,C277)))&gt;0)</f>
        <v>1</v>
      </c>
      <c r="Z277" s="14" cm="1">
        <f t="array" ref="Z277">INT(SUMPRODUCT(--ISNUMBER(SEARCH(bipartisan,C277)))&gt;0)</f>
        <v>0</v>
      </c>
      <c r="AA277" s="14">
        <f t="shared" si="4"/>
        <v>0</v>
      </c>
      <c r="AB277" s="14"/>
      <c r="AC277" s="30" t="s">
        <v>223</v>
      </c>
      <c r="AD277" s="37" t="s">
        <v>223</v>
      </c>
    </row>
    <row r="278" spans="1:30" x14ac:dyDescent="0.25">
      <c r="A278" s="36">
        <v>4119</v>
      </c>
      <c r="B278" s="14" t="s">
        <v>8261</v>
      </c>
      <c r="C278" s="14" t="s">
        <v>8262</v>
      </c>
      <c r="D278" s="17">
        <v>44115</v>
      </c>
      <c r="E278" s="14" t="s">
        <v>30</v>
      </c>
      <c r="F278" s="14">
        <v>1818</v>
      </c>
      <c r="G278" s="14">
        <v>674</v>
      </c>
      <c r="H278" s="14">
        <v>18</v>
      </c>
      <c r="I278" s="14">
        <v>9</v>
      </c>
      <c r="J278" s="14" t="s">
        <v>204</v>
      </c>
      <c r="K278" s="14" cm="1">
        <f t="array" ref="K278">INT(SUMPRODUCT(--ISNUMBER(SEARCH(economy,C278)))&gt;0)</f>
        <v>0</v>
      </c>
      <c r="L278" s="14" cm="1">
        <f t="array" ref="L278">INT(SUMPRODUCT(--ISNUMBER(SEARCH(healthcare,C278)))&gt;0)</f>
        <v>0</v>
      </c>
      <c r="M278" s="14" cm="1">
        <f t="array" ref="M278">INT(SUMPRODUCT(--ISNUMBER(SEARCH(supreme,C278)))&gt;0)</f>
        <v>0</v>
      </c>
      <c r="N278" s="14" cm="1">
        <f t="array" ref="N278">INT(SUMPRODUCT(--ISNUMBER(SEARCH(covid,C278)))&gt;0)</f>
        <v>0</v>
      </c>
      <c r="O278" s="14" cm="1">
        <f t="array" ref="O278">INT(SUMPRODUCT(--ISNUMBER(SEARCH(violent,C278)))&gt;0)</f>
        <v>0</v>
      </c>
      <c r="P278" s="14" cm="1">
        <f t="array" ref="P278">INT(SUMPRODUCT(--ISNUMBER(SEARCH(foreign,C278)))&gt;0)</f>
        <v>0</v>
      </c>
      <c r="Q278" s="14" cm="1">
        <f t="array" ref="Q278">INT(SUMPRODUCT(--ISNUMBER(SEARCH(gun,C278)))&gt;0)</f>
        <v>0</v>
      </c>
      <c r="R278" s="14" cm="1">
        <f t="array" ref="R278">INT(SUMPRODUCT(--ISNUMBER(SEARCH(race,C278)))&gt;0)</f>
        <v>0</v>
      </c>
      <c r="S278" s="14" cm="1">
        <f t="array" ref="S278">INT(SUMPRODUCT(--ISNUMBER(SEARCH(immigration,C278)))&gt;0)</f>
        <v>0</v>
      </c>
      <c r="T278" s="14" cm="1">
        <f t="array" ref="T278">INT(SUMPRODUCT(--ISNUMBER(SEARCH(econineq,C279)))&gt;0)</f>
        <v>0</v>
      </c>
      <c r="U278" s="14" cm="1">
        <f t="array" ref="U278">INT(SUMPRODUCT(--ISNUMBER(SEARCH(climate,C278)))&gt;0)</f>
        <v>0</v>
      </c>
      <c r="V278" s="14" cm="1">
        <f t="array" ref="V278">INT(SUMPRODUCT(--ISNUMBER(SEARCH(abortion,C278)))&gt;0)</f>
        <v>0</v>
      </c>
      <c r="W278" s="14" cm="1">
        <f t="array" ref="W278">INT(SUMPRODUCT(--ISNUMBER(SEARCH(trump,C278)))&gt;0)</f>
        <v>0</v>
      </c>
      <c r="X278" s="14" cm="1">
        <f t="array" ref="X278">INT(SUMPRODUCT(--ISNUMBER(SEARCH(voting,C278)))&gt;0)</f>
        <v>1</v>
      </c>
      <c r="Y278" s="14" cm="1">
        <f t="array" ref="Y278">INT(SUMPRODUCT(--ISNUMBER(SEARCH(democrattrigger,C278)))&gt;0)</f>
        <v>0</v>
      </c>
      <c r="Z278" s="14" cm="1">
        <f t="array" ref="Z278">INT(SUMPRODUCT(--ISNUMBER(SEARCH(bipartisan,C278)))&gt;0)</f>
        <v>0</v>
      </c>
      <c r="AA278" s="14">
        <f t="shared" si="4"/>
        <v>0</v>
      </c>
      <c r="AB278" s="14"/>
      <c r="AC278" s="30" t="s">
        <v>223</v>
      </c>
      <c r="AD278" s="37" t="s">
        <v>223</v>
      </c>
    </row>
    <row r="279" spans="1:30" x14ac:dyDescent="0.25">
      <c r="A279" s="36">
        <v>4120</v>
      </c>
      <c r="B279" s="14" t="s">
        <v>8263</v>
      </c>
      <c r="C279" s="14" t="s">
        <v>8264</v>
      </c>
      <c r="D279" s="17">
        <v>44115</v>
      </c>
      <c r="E279" s="14" t="s">
        <v>30</v>
      </c>
      <c r="F279" s="14">
        <v>2819</v>
      </c>
      <c r="G279" s="14">
        <v>980</v>
      </c>
      <c r="H279" s="14">
        <v>18</v>
      </c>
      <c r="I279" s="14">
        <v>9</v>
      </c>
      <c r="J279" s="14" t="s">
        <v>204</v>
      </c>
      <c r="K279" s="14" cm="1">
        <f t="array" ref="K279">INT(SUMPRODUCT(--ISNUMBER(SEARCH(economy,C279)))&gt;0)</f>
        <v>0</v>
      </c>
      <c r="L279" s="14" cm="1">
        <f t="array" ref="L279">INT(SUMPRODUCT(--ISNUMBER(SEARCH(healthcare,C279)))&gt;0)</f>
        <v>0</v>
      </c>
      <c r="M279" s="14" cm="1">
        <f t="array" ref="M279">INT(SUMPRODUCT(--ISNUMBER(SEARCH(supreme,C279)))&gt;0)</f>
        <v>0</v>
      </c>
      <c r="N279" s="14" cm="1">
        <f t="array" ref="N279">INT(SUMPRODUCT(--ISNUMBER(SEARCH(covid,C279)))&gt;0)</f>
        <v>0</v>
      </c>
      <c r="O279" s="14" cm="1">
        <f t="array" ref="O279">INT(SUMPRODUCT(--ISNUMBER(SEARCH(violent,C279)))&gt;0)</f>
        <v>0</v>
      </c>
      <c r="P279" s="14" cm="1">
        <f t="array" ref="P279">INT(SUMPRODUCT(--ISNUMBER(SEARCH(foreign,C279)))&gt;0)</f>
        <v>0</v>
      </c>
      <c r="Q279" s="14" cm="1">
        <f t="array" ref="Q279">INT(SUMPRODUCT(--ISNUMBER(SEARCH(gun,C279)))&gt;0)</f>
        <v>0</v>
      </c>
      <c r="R279" s="14" cm="1">
        <f t="array" ref="R279">INT(SUMPRODUCT(--ISNUMBER(SEARCH(race,C279)))&gt;0)</f>
        <v>0</v>
      </c>
      <c r="S279" s="14" cm="1">
        <f t="array" ref="S279">INT(SUMPRODUCT(--ISNUMBER(SEARCH(immigration,C279)))&gt;0)</f>
        <v>0</v>
      </c>
      <c r="T279" s="14" cm="1">
        <f t="array" ref="T279">INT(SUMPRODUCT(--ISNUMBER(SEARCH(econineq,C280)))&gt;0)</f>
        <v>0</v>
      </c>
      <c r="U279" s="14" cm="1">
        <f t="array" ref="U279">INT(SUMPRODUCT(--ISNUMBER(SEARCH(climate,C279)))&gt;0)</f>
        <v>0</v>
      </c>
      <c r="V279" s="14" cm="1">
        <f t="array" ref="V279">INT(SUMPRODUCT(--ISNUMBER(SEARCH(abortion,C279)))&gt;0)</f>
        <v>0</v>
      </c>
      <c r="W279" s="14" cm="1">
        <f t="array" ref="W279">INT(SUMPRODUCT(--ISNUMBER(SEARCH(trump,C279)))&gt;0)</f>
        <v>0</v>
      </c>
      <c r="X279" s="14" cm="1">
        <f t="array" ref="X279">INT(SUMPRODUCT(--ISNUMBER(SEARCH(voting,C279)))&gt;0)</f>
        <v>0</v>
      </c>
      <c r="Y279" s="14" cm="1">
        <f t="array" ref="Y279">INT(SUMPRODUCT(--ISNUMBER(SEARCH(democrattrigger,C279)))&gt;0)</f>
        <v>1</v>
      </c>
      <c r="Z279" s="14" cm="1">
        <f t="array" ref="Z279">INT(SUMPRODUCT(--ISNUMBER(SEARCH(bipartisan,C279)))&gt;0)</f>
        <v>0</v>
      </c>
      <c r="AA279" s="14">
        <f t="shared" si="4"/>
        <v>0</v>
      </c>
      <c r="AB279" s="14"/>
      <c r="AC279" s="30" t="s">
        <v>223</v>
      </c>
      <c r="AD279" s="37" t="s">
        <v>223</v>
      </c>
    </row>
    <row r="280" spans="1:30" x14ac:dyDescent="0.25">
      <c r="A280" s="36">
        <v>4121</v>
      </c>
      <c r="B280" s="14" t="s">
        <v>8265</v>
      </c>
      <c r="C280" s="14" t="s">
        <v>8266</v>
      </c>
      <c r="D280" s="17">
        <v>44114</v>
      </c>
      <c r="E280" s="14" t="s">
        <v>30</v>
      </c>
      <c r="F280" s="14">
        <v>5354</v>
      </c>
      <c r="G280" s="14">
        <v>1713</v>
      </c>
      <c r="H280" s="14">
        <v>18</v>
      </c>
      <c r="I280" s="14">
        <v>9</v>
      </c>
      <c r="J280" s="14" t="s">
        <v>204</v>
      </c>
      <c r="K280" s="14" cm="1">
        <f t="array" ref="K280">INT(SUMPRODUCT(--ISNUMBER(SEARCH(economy,C280)))&gt;0)</f>
        <v>0</v>
      </c>
      <c r="L280" s="14" cm="1">
        <f t="array" ref="L280">INT(SUMPRODUCT(--ISNUMBER(SEARCH(healthcare,C280)))&gt;0)</f>
        <v>0</v>
      </c>
      <c r="M280" s="14" cm="1">
        <f t="array" ref="M280">INT(SUMPRODUCT(--ISNUMBER(SEARCH(supreme,C280)))&gt;0)</f>
        <v>0</v>
      </c>
      <c r="N280" s="14" cm="1">
        <f t="array" ref="N280">INT(SUMPRODUCT(--ISNUMBER(SEARCH(covid,C280)))&gt;0)</f>
        <v>0</v>
      </c>
      <c r="O280" s="14" cm="1">
        <f t="array" ref="O280">INT(SUMPRODUCT(--ISNUMBER(SEARCH(violent,C280)))&gt;0)</f>
        <v>0</v>
      </c>
      <c r="P280" s="14" cm="1">
        <f t="array" ref="P280">INT(SUMPRODUCT(--ISNUMBER(SEARCH(foreign,C280)))&gt;0)</f>
        <v>0</v>
      </c>
      <c r="Q280" s="14" cm="1">
        <f t="array" ref="Q280">INT(SUMPRODUCT(--ISNUMBER(SEARCH(gun,C280)))&gt;0)</f>
        <v>0</v>
      </c>
      <c r="R280" s="14" cm="1">
        <f t="array" ref="R280">INT(SUMPRODUCT(--ISNUMBER(SEARCH(race,C280)))&gt;0)</f>
        <v>0</v>
      </c>
      <c r="S280" s="14" cm="1">
        <f t="array" ref="S280">INT(SUMPRODUCT(--ISNUMBER(SEARCH(immigration,C280)))&gt;0)</f>
        <v>0</v>
      </c>
      <c r="T280" s="14" cm="1">
        <f t="array" ref="T280">INT(SUMPRODUCT(--ISNUMBER(SEARCH(econineq,C281)))&gt;0)</f>
        <v>0</v>
      </c>
      <c r="U280" s="14" cm="1">
        <f t="array" ref="U280">INT(SUMPRODUCT(--ISNUMBER(SEARCH(climate,C280)))&gt;0)</f>
        <v>0</v>
      </c>
      <c r="V280" s="14" cm="1">
        <f t="array" ref="V280">INT(SUMPRODUCT(--ISNUMBER(SEARCH(abortion,C280)))&gt;0)</f>
        <v>0</v>
      </c>
      <c r="W280" s="14" cm="1">
        <f t="array" ref="W280">INT(SUMPRODUCT(--ISNUMBER(SEARCH(trump,C280)))&gt;0)</f>
        <v>0</v>
      </c>
      <c r="X280" s="14" cm="1">
        <f t="array" ref="X280">INT(SUMPRODUCT(--ISNUMBER(SEARCH(voting,C280)))&gt;0)</f>
        <v>0</v>
      </c>
      <c r="Y280" s="14" cm="1">
        <f t="array" ref="Y280">INT(SUMPRODUCT(--ISNUMBER(SEARCH(democrattrigger,C280)))&gt;0)</f>
        <v>0</v>
      </c>
      <c r="Z280" s="14" cm="1">
        <f t="array" ref="Z280">INT(SUMPRODUCT(--ISNUMBER(SEARCH(bipartisan,C280)))&gt;0)</f>
        <v>0</v>
      </c>
      <c r="AA280" s="14">
        <f t="shared" si="4"/>
        <v>1</v>
      </c>
      <c r="AB280" s="14"/>
      <c r="AC280" s="30" t="s">
        <v>223</v>
      </c>
      <c r="AD280" s="37" t="s">
        <v>223</v>
      </c>
    </row>
    <row r="281" spans="1:30" x14ac:dyDescent="0.25">
      <c r="A281" s="36">
        <v>4122</v>
      </c>
      <c r="B281" s="14" t="s">
        <v>8267</v>
      </c>
      <c r="C281" s="14" t="s">
        <v>8268</v>
      </c>
      <c r="D281" s="17">
        <v>44114</v>
      </c>
      <c r="E281" s="14" t="s">
        <v>30</v>
      </c>
      <c r="F281" s="14">
        <v>5055</v>
      </c>
      <c r="G281" s="14">
        <v>1890</v>
      </c>
      <c r="H281" s="14">
        <v>18</v>
      </c>
      <c r="I281" s="14">
        <v>9</v>
      </c>
      <c r="J281" s="14" t="s">
        <v>204</v>
      </c>
      <c r="K281" s="14" cm="1">
        <f t="array" ref="K281">INT(SUMPRODUCT(--ISNUMBER(SEARCH(economy,C281)))&gt;0)</f>
        <v>0</v>
      </c>
      <c r="L281" s="14" cm="1">
        <f t="array" ref="L281">INT(SUMPRODUCT(--ISNUMBER(SEARCH(healthcare,C281)))&gt;0)</f>
        <v>0</v>
      </c>
      <c r="M281" s="14" cm="1">
        <f t="array" ref="M281">INT(SUMPRODUCT(--ISNUMBER(SEARCH(supreme,C281)))&gt;0)</f>
        <v>0</v>
      </c>
      <c r="N281" s="14" cm="1">
        <f t="array" ref="N281">INT(SUMPRODUCT(--ISNUMBER(SEARCH(covid,C281)))&gt;0)</f>
        <v>0</v>
      </c>
      <c r="O281" s="14" cm="1">
        <f t="array" ref="O281">INT(SUMPRODUCT(--ISNUMBER(SEARCH(violent,C281)))&gt;0)</f>
        <v>0</v>
      </c>
      <c r="P281" s="14" cm="1">
        <f t="array" ref="P281">INT(SUMPRODUCT(--ISNUMBER(SEARCH(foreign,C281)))&gt;0)</f>
        <v>0</v>
      </c>
      <c r="Q281" s="14" cm="1">
        <f t="array" ref="Q281">INT(SUMPRODUCT(--ISNUMBER(SEARCH(gun,C281)))&gt;0)</f>
        <v>0</v>
      </c>
      <c r="R281" s="14" cm="1">
        <f t="array" ref="R281">INT(SUMPRODUCT(--ISNUMBER(SEARCH(race,C281)))&gt;0)</f>
        <v>0</v>
      </c>
      <c r="S281" s="14" cm="1">
        <f t="array" ref="S281">INT(SUMPRODUCT(--ISNUMBER(SEARCH(immigration,C281)))&gt;0)</f>
        <v>0</v>
      </c>
      <c r="T281" s="14" cm="1">
        <f t="array" ref="T281">INT(SUMPRODUCT(--ISNUMBER(SEARCH(econineq,C282)))&gt;0)</f>
        <v>0</v>
      </c>
      <c r="U281" s="14" cm="1">
        <f t="array" ref="U281">INT(SUMPRODUCT(--ISNUMBER(SEARCH(climate,C281)))&gt;0)</f>
        <v>0</v>
      </c>
      <c r="V281" s="14" cm="1">
        <f t="array" ref="V281">INT(SUMPRODUCT(--ISNUMBER(SEARCH(abortion,C281)))&gt;0)</f>
        <v>0</v>
      </c>
      <c r="W281" s="14" cm="1">
        <f t="array" ref="W281">INT(SUMPRODUCT(--ISNUMBER(SEARCH(trump,C281)))&gt;0)</f>
        <v>0</v>
      </c>
      <c r="X281" s="14" cm="1">
        <f t="array" ref="X281">INT(SUMPRODUCT(--ISNUMBER(SEARCH(voting,C281)))&gt;0)</f>
        <v>1</v>
      </c>
      <c r="Y281" s="14" cm="1">
        <f t="array" ref="Y281">INT(SUMPRODUCT(--ISNUMBER(SEARCH(democrattrigger,C281)))&gt;0)</f>
        <v>0</v>
      </c>
      <c r="Z281" s="14" cm="1">
        <f t="array" ref="Z281">INT(SUMPRODUCT(--ISNUMBER(SEARCH(bipartisan,C281)))&gt;0)</f>
        <v>0</v>
      </c>
      <c r="AA281" s="14">
        <f t="shared" si="4"/>
        <v>0</v>
      </c>
      <c r="AB281" s="14"/>
      <c r="AC281" s="30" t="s">
        <v>223</v>
      </c>
      <c r="AD281" s="37" t="s">
        <v>223</v>
      </c>
    </row>
    <row r="282" spans="1:30" x14ac:dyDescent="0.25">
      <c r="A282" s="36">
        <v>4123</v>
      </c>
      <c r="B282" s="14" t="s">
        <v>8269</v>
      </c>
      <c r="C282" s="14" t="s">
        <v>8270</v>
      </c>
      <c r="D282" s="17">
        <v>44114</v>
      </c>
      <c r="E282" s="14" t="s">
        <v>30</v>
      </c>
      <c r="F282" s="14">
        <v>2520</v>
      </c>
      <c r="G282" s="14">
        <v>831</v>
      </c>
      <c r="H282" s="14">
        <v>18</v>
      </c>
      <c r="I282" s="14">
        <v>9</v>
      </c>
      <c r="J282" s="14" t="s">
        <v>204</v>
      </c>
      <c r="K282" s="14" cm="1">
        <f t="array" ref="K282">INT(SUMPRODUCT(--ISNUMBER(SEARCH(economy,C282)))&gt;0)</f>
        <v>0</v>
      </c>
      <c r="L282" s="14" cm="1">
        <f t="array" ref="L282">INT(SUMPRODUCT(--ISNUMBER(SEARCH(healthcare,C282)))&gt;0)</f>
        <v>0</v>
      </c>
      <c r="M282" s="14" cm="1">
        <f t="array" ref="M282">INT(SUMPRODUCT(--ISNUMBER(SEARCH(supreme,C282)))&gt;0)</f>
        <v>0</v>
      </c>
      <c r="N282" s="14" cm="1">
        <f t="array" ref="N282">INT(SUMPRODUCT(--ISNUMBER(SEARCH(covid,C282)))&gt;0)</f>
        <v>0</v>
      </c>
      <c r="O282" s="14" cm="1">
        <f t="array" ref="O282">INT(SUMPRODUCT(--ISNUMBER(SEARCH(violent,C282)))&gt;0)</f>
        <v>0</v>
      </c>
      <c r="P282" s="14" cm="1">
        <f t="array" ref="P282">INT(SUMPRODUCT(--ISNUMBER(SEARCH(foreign,C282)))&gt;0)</f>
        <v>0</v>
      </c>
      <c r="Q282" s="14" cm="1">
        <f t="array" ref="Q282">INT(SUMPRODUCT(--ISNUMBER(SEARCH(gun,C282)))&gt;0)</f>
        <v>0</v>
      </c>
      <c r="R282" s="14" cm="1">
        <f t="array" ref="R282">INT(SUMPRODUCT(--ISNUMBER(SEARCH(race,C282)))&gt;0)</f>
        <v>0</v>
      </c>
      <c r="S282" s="14" cm="1">
        <f t="array" ref="S282">INT(SUMPRODUCT(--ISNUMBER(SEARCH(immigration,C282)))&gt;0)</f>
        <v>0</v>
      </c>
      <c r="T282" s="14" cm="1">
        <f t="array" ref="T282">INT(SUMPRODUCT(--ISNUMBER(SEARCH(econineq,C283)))&gt;0)</f>
        <v>0</v>
      </c>
      <c r="U282" s="14" cm="1">
        <f t="array" ref="U282">INT(SUMPRODUCT(--ISNUMBER(SEARCH(climate,C282)))&gt;0)</f>
        <v>0</v>
      </c>
      <c r="V282" s="14" cm="1">
        <f t="array" ref="V282">INT(SUMPRODUCT(--ISNUMBER(SEARCH(abortion,C282)))&gt;0)</f>
        <v>0</v>
      </c>
      <c r="W282" s="14" cm="1">
        <f t="array" ref="W282">INT(SUMPRODUCT(--ISNUMBER(SEARCH(trump,C282)))&gt;0)</f>
        <v>0</v>
      </c>
      <c r="X282" s="14" cm="1">
        <f t="array" ref="X282">INT(SUMPRODUCT(--ISNUMBER(SEARCH(voting,C282)))&gt;0)</f>
        <v>0</v>
      </c>
      <c r="Y282" s="14" cm="1">
        <f t="array" ref="Y282">INT(SUMPRODUCT(--ISNUMBER(SEARCH(democrattrigger,C282)))&gt;0)</f>
        <v>1</v>
      </c>
      <c r="Z282" s="14" cm="1">
        <f t="array" ref="Z282">INT(SUMPRODUCT(--ISNUMBER(SEARCH(bipartisan,C282)))&gt;0)</f>
        <v>0</v>
      </c>
      <c r="AA282" s="14">
        <f t="shared" si="4"/>
        <v>0</v>
      </c>
      <c r="AB282" s="14"/>
      <c r="AC282" s="30" t="s">
        <v>223</v>
      </c>
      <c r="AD282" s="37" t="s">
        <v>223</v>
      </c>
    </row>
    <row r="283" spans="1:30" x14ac:dyDescent="0.25">
      <c r="A283" s="36">
        <v>4124</v>
      </c>
      <c r="B283" s="14" t="s">
        <v>8271</v>
      </c>
      <c r="C283" s="14" t="s">
        <v>8272</v>
      </c>
      <c r="D283" s="17">
        <v>44114</v>
      </c>
      <c r="E283" s="14" t="s">
        <v>30</v>
      </c>
      <c r="F283" s="14">
        <v>24247</v>
      </c>
      <c r="G283" s="14">
        <v>13792</v>
      </c>
      <c r="H283" s="14">
        <v>18</v>
      </c>
      <c r="I283" s="14">
        <v>9</v>
      </c>
      <c r="J283" s="14" t="s">
        <v>204</v>
      </c>
      <c r="K283" s="14" cm="1">
        <f t="array" ref="K283">INT(SUMPRODUCT(--ISNUMBER(SEARCH(economy,C283)))&gt;0)</f>
        <v>0</v>
      </c>
      <c r="L283" s="14" cm="1">
        <f t="array" ref="L283">INT(SUMPRODUCT(--ISNUMBER(SEARCH(healthcare,C283)))&gt;0)</f>
        <v>0</v>
      </c>
      <c r="M283" s="14" cm="1">
        <f t="array" ref="M283">INT(SUMPRODUCT(--ISNUMBER(SEARCH(supreme,C283)))&gt;0)</f>
        <v>0</v>
      </c>
      <c r="N283" s="14" cm="1">
        <f t="array" ref="N283">INT(SUMPRODUCT(--ISNUMBER(SEARCH(covid,C283)))&gt;0)</f>
        <v>0</v>
      </c>
      <c r="O283" s="14" cm="1">
        <f t="array" ref="O283">INT(SUMPRODUCT(--ISNUMBER(SEARCH(violent,C283)))&gt;0)</f>
        <v>0</v>
      </c>
      <c r="P283" s="14" cm="1">
        <f t="array" ref="P283">INT(SUMPRODUCT(--ISNUMBER(SEARCH(foreign,C283)))&gt;0)</f>
        <v>0</v>
      </c>
      <c r="Q283" s="14" cm="1">
        <f t="array" ref="Q283">INT(SUMPRODUCT(--ISNUMBER(SEARCH(gun,C283)))&gt;0)</f>
        <v>0</v>
      </c>
      <c r="R283" s="14" cm="1">
        <f t="array" ref="R283">INT(SUMPRODUCT(--ISNUMBER(SEARCH(race,C283)))&gt;0)</f>
        <v>0</v>
      </c>
      <c r="S283" s="14" cm="1">
        <f t="array" ref="S283">INT(SUMPRODUCT(--ISNUMBER(SEARCH(immigration,C283)))&gt;0)</f>
        <v>0</v>
      </c>
      <c r="T283" s="14" cm="1">
        <f t="array" ref="T283">INT(SUMPRODUCT(--ISNUMBER(SEARCH(econineq,C284)))&gt;0)</f>
        <v>0</v>
      </c>
      <c r="U283" s="14" cm="1">
        <f t="array" ref="U283">INT(SUMPRODUCT(--ISNUMBER(SEARCH(climate,C283)))&gt;0)</f>
        <v>0</v>
      </c>
      <c r="V283" s="14" cm="1">
        <f t="array" ref="V283">INT(SUMPRODUCT(--ISNUMBER(SEARCH(abortion,C283)))&gt;0)</f>
        <v>0</v>
      </c>
      <c r="W283" s="14" cm="1">
        <f t="array" ref="W283">INT(SUMPRODUCT(--ISNUMBER(SEARCH(trump,C283)))&gt;0)</f>
        <v>0</v>
      </c>
      <c r="X283" s="14" cm="1">
        <f t="array" ref="X283">INT(SUMPRODUCT(--ISNUMBER(SEARCH(voting,C283)))&gt;0)</f>
        <v>0</v>
      </c>
      <c r="Y283" s="14" cm="1">
        <f t="array" ref="Y283">INT(SUMPRODUCT(--ISNUMBER(SEARCH(democrattrigger,C283)))&gt;0)</f>
        <v>1</v>
      </c>
      <c r="Z283" s="14" cm="1">
        <f t="array" ref="Z283">INT(SUMPRODUCT(--ISNUMBER(SEARCH(bipartisan,C283)))&gt;0)</f>
        <v>0</v>
      </c>
      <c r="AA283" s="14">
        <f t="shared" si="4"/>
        <v>0</v>
      </c>
      <c r="AB283" s="14"/>
      <c r="AC283" s="30" t="s">
        <v>223</v>
      </c>
      <c r="AD283" s="37" t="s">
        <v>223</v>
      </c>
    </row>
    <row r="284" spans="1:30" x14ac:dyDescent="0.25">
      <c r="A284" s="36">
        <v>4125</v>
      </c>
      <c r="B284" s="14" t="s">
        <v>8273</v>
      </c>
      <c r="C284" s="14" t="s">
        <v>8274</v>
      </c>
      <c r="D284" s="17">
        <v>44114</v>
      </c>
      <c r="E284" s="14" t="s">
        <v>30</v>
      </c>
      <c r="F284" s="14">
        <v>1308</v>
      </c>
      <c r="G284" s="14">
        <v>371</v>
      </c>
      <c r="H284" s="14">
        <v>18</v>
      </c>
      <c r="I284" s="14">
        <v>9</v>
      </c>
      <c r="J284" s="14" t="s">
        <v>204</v>
      </c>
      <c r="K284" s="14" cm="1">
        <f t="array" ref="K284">INT(SUMPRODUCT(--ISNUMBER(SEARCH(economy,C284)))&gt;0)</f>
        <v>0</v>
      </c>
      <c r="L284" s="14" cm="1">
        <f t="array" ref="L284">INT(SUMPRODUCT(--ISNUMBER(SEARCH(healthcare,C284)))&gt;0)</f>
        <v>0</v>
      </c>
      <c r="M284" s="14" cm="1">
        <f t="array" ref="M284">INT(SUMPRODUCT(--ISNUMBER(SEARCH(supreme,C284)))&gt;0)</f>
        <v>0</v>
      </c>
      <c r="N284" s="14" cm="1">
        <f t="array" ref="N284">INT(SUMPRODUCT(--ISNUMBER(SEARCH(covid,C284)))&gt;0)</f>
        <v>0</v>
      </c>
      <c r="O284" s="14" cm="1">
        <f t="array" ref="O284">INT(SUMPRODUCT(--ISNUMBER(SEARCH(violent,C284)))&gt;0)</f>
        <v>0</v>
      </c>
      <c r="P284" s="14" cm="1">
        <f t="array" ref="P284">INT(SUMPRODUCT(--ISNUMBER(SEARCH(foreign,C284)))&gt;0)</f>
        <v>0</v>
      </c>
      <c r="Q284" s="14" cm="1">
        <f t="array" ref="Q284">INT(SUMPRODUCT(--ISNUMBER(SEARCH(gun,C284)))&gt;0)</f>
        <v>0</v>
      </c>
      <c r="R284" s="14" cm="1">
        <f t="array" ref="R284">INT(SUMPRODUCT(--ISNUMBER(SEARCH(race,C284)))&gt;0)</f>
        <v>0</v>
      </c>
      <c r="S284" s="14" cm="1">
        <f t="array" ref="S284">INT(SUMPRODUCT(--ISNUMBER(SEARCH(immigration,C284)))&gt;0)</f>
        <v>0</v>
      </c>
      <c r="T284" s="14" cm="1">
        <f t="array" ref="T284">INT(SUMPRODUCT(--ISNUMBER(SEARCH(econineq,C285)))&gt;0)</f>
        <v>0</v>
      </c>
      <c r="U284" s="14" cm="1">
        <f t="array" ref="U284">INT(SUMPRODUCT(--ISNUMBER(SEARCH(climate,C284)))&gt;0)</f>
        <v>0</v>
      </c>
      <c r="V284" s="14" cm="1">
        <f t="array" ref="V284">INT(SUMPRODUCT(--ISNUMBER(SEARCH(abortion,C284)))&gt;0)</f>
        <v>0</v>
      </c>
      <c r="W284" s="14" cm="1">
        <f t="array" ref="W284">INT(SUMPRODUCT(--ISNUMBER(SEARCH(trump,C284)))&gt;0)</f>
        <v>0</v>
      </c>
      <c r="X284" s="14" cm="1">
        <f t="array" ref="X284">INT(SUMPRODUCT(--ISNUMBER(SEARCH(voting,C284)))&gt;0)</f>
        <v>0</v>
      </c>
      <c r="Y284" s="14" cm="1">
        <f t="array" ref="Y284">INT(SUMPRODUCT(--ISNUMBER(SEARCH(democrattrigger,C284)))&gt;0)</f>
        <v>1</v>
      </c>
      <c r="Z284" s="14" cm="1">
        <f t="array" ref="Z284">INT(SUMPRODUCT(--ISNUMBER(SEARCH(bipartisan,C284)))&gt;0)</f>
        <v>0</v>
      </c>
      <c r="AA284" s="14">
        <f t="shared" si="4"/>
        <v>0</v>
      </c>
      <c r="AB284" s="14"/>
      <c r="AC284" s="30" t="s">
        <v>223</v>
      </c>
      <c r="AD284" s="37" t="s">
        <v>223</v>
      </c>
    </row>
    <row r="285" spans="1:30" x14ac:dyDescent="0.25">
      <c r="A285" s="36">
        <v>4126</v>
      </c>
      <c r="B285" s="14" t="s">
        <v>8275</v>
      </c>
      <c r="C285" s="14" t="s">
        <v>8276</v>
      </c>
      <c r="D285" s="17">
        <v>44114</v>
      </c>
      <c r="E285" s="14" t="s">
        <v>30</v>
      </c>
      <c r="F285" s="14">
        <v>884</v>
      </c>
      <c r="G285" s="14">
        <v>331</v>
      </c>
      <c r="H285" s="14">
        <v>18</v>
      </c>
      <c r="I285" s="14">
        <v>9</v>
      </c>
      <c r="J285" s="14" t="s">
        <v>204</v>
      </c>
      <c r="K285" s="14" cm="1">
        <f t="array" ref="K285">INT(SUMPRODUCT(--ISNUMBER(SEARCH(economy,C285)))&gt;0)</f>
        <v>0</v>
      </c>
      <c r="L285" s="14" cm="1">
        <f t="array" ref="L285">INT(SUMPRODUCT(--ISNUMBER(SEARCH(healthcare,C285)))&gt;0)</f>
        <v>1</v>
      </c>
      <c r="M285" s="14" cm="1">
        <f t="array" ref="M285">INT(SUMPRODUCT(--ISNUMBER(SEARCH(supreme,C285)))&gt;0)</f>
        <v>0</v>
      </c>
      <c r="N285" s="14" cm="1">
        <f t="array" ref="N285">INT(SUMPRODUCT(--ISNUMBER(SEARCH(covid,C285)))&gt;0)</f>
        <v>0</v>
      </c>
      <c r="O285" s="14" cm="1">
        <f t="array" ref="O285">INT(SUMPRODUCT(--ISNUMBER(SEARCH(violent,C285)))&gt;0)</f>
        <v>0</v>
      </c>
      <c r="P285" s="14" cm="1">
        <f t="array" ref="P285">INT(SUMPRODUCT(--ISNUMBER(SEARCH(foreign,C285)))&gt;0)</f>
        <v>0</v>
      </c>
      <c r="Q285" s="14" cm="1">
        <f t="array" ref="Q285">INT(SUMPRODUCT(--ISNUMBER(SEARCH(gun,C285)))&gt;0)</f>
        <v>0</v>
      </c>
      <c r="R285" s="14" cm="1">
        <f t="array" ref="R285">INT(SUMPRODUCT(--ISNUMBER(SEARCH(race,C285)))&gt;0)</f>
        <v>0</v>
      </c>
      <c r="S285" s="14" cm="1">
        <f t="array" ref="S285">INT(SUMPRODUCT(--ISNUMBER(SEARCH(immigration,C285)))&gt;0)</f>
        <v>0</v>
      </c>
      <c r="T285" s="14" cm="1">
        <f t="array" ref="T285">INT(SUMPRODUCT(--ISNUMBER(SEARCH(econineq,C286)))&gt;0)</f>
        <v>0</v>
      </c>
      <c r="U285" s="14" cm="1">
        <f t="array" ref="U285">INT(SUMPRODUCT(--ISNUMBER(SEARCH(climate,C285)))&gt;0)</f>
        <v>0</v>
      </c>
      <c r="V285" s="14" cm="1">
        <f t="array" ref="V285">INT(SUMPRODUCT(--ISNUMBER(SEARCH(abortion,C285)))&gt;0)</f>
        <v>0</v>
      </c>
      <c r="W285" s="14" cm="1">
        <f t="array" ref="W285">INT(SUMPRODUCT(--ISNUMBER(SEARCH(trump,C285)))&gt;0)</f>
        <v>0</v>
      </c>
      <c r="X285" s="14" cm="1">
        <f t="array" ref="X285">INT(SUMPRODUCT(--ISNUMBER(SEARCH(voting,C285)))&gt;0)</f>
        <v>0</v>
      </c>
      <c r="Y285" s="14" cm="1">
        <f t="array" ref="Y285">INT(SUMPRODUCT(--ISNUMBER(SEARCH(democrattrigger,C285)))&gt;0)</f>
        <v>0</v>
      </c>
      <c r="Z285" s="14" cm="1">
        <f t="array" ref="Z285">INT(SUMPRODUCT(--ISNUMBER(SEARCH(bipartisan,C285)))&gt;0)</f>
        <v>0</v>
      </c>
      <c r="AA285" s="14">
        <f t="shared" si="4"/>
        <v>0</v>
      </c>
      <c r="AB285" s="14"/>
      <c r="AC285" s="30">
        <v>1</v>
      </c>
      <c r="AD285" s="37">
        <v>0</v>
      </c>
    </row>
    <row r="286" spans="1:30" x14ac:dyDescent="0.25">
      <c r="A286" s="36">
        <v>4127</v>
      </c>
      <c r="B286" s="14" t="s">
        <v>8277</v>
      </c>
      <c r="C286" s="14" t="s">
        <v>8278</v>
      </c>
      <c r="D286" s="17">
        <v>44114</v>
      </c>
      <c r="E286" s="14" t="s">
        <v>30</v>
      </c>
      <c r="F286" s="14">
        <v>4679</v>
      </c>
      <c r="G286" s="14">
        <v>1589</v>
      </c>
      <c r="H286" s="14">
        <v>18</v>
      </c>
      <c r="I286" s="14">
        <v>9</v>
      </c>
      <c r="J286" s="14" t="s">
        <v>204</v>
      </c>
      <c r="K286" s="14" cm="1">
        <f t="array" ref="K286">INT(SUMPRODUCT(--ISNUMBER(SEARCH(economy,C286)))&gt;0)</f>
        <v>0</v>
      </c>
      <c r="L286" s="14" cm="1">
        <f t="array" ref="L286">INT(SUMPRODUCT(--ISNUMBER(SEARCH(healthcare,C286)))&gt;0)</f>
        <v>0</v>
      </c>
      <c r="M286" s="14" cm="1">
        <f t="array" ref="M286">INT(SUMPRODUCT(--ISNUMBER(SEARCH(supreme,C286)))&gt;0)</f>
        <v>0</v>
      </c>
      <c r="N286" s="14" cm="1">
        <f t="array" ref="N286">INT(SUMPRODUCT(--ISNUMBER(SEARCH(covid,C286)))&gt;0)</f>
        <v>0</v>
      </c>
      <c r="O286" s="14" cm="1">
        <f t="array" ref="O286">INT(SUMPRODUCT(--ISNUMBER(SEARCH(violent,C286)))&gt;0)</f>
        <v>0</v>
      </c>
      <c r="P286" s="14" cm="1">
        <f t="array" ref="P286">INT(SUMPRODUCT(--ISNUMBER(SEARCH(foreign,C286)))&gt;0)</f>
        <v>0</v>
      </c>
      <c r="Q286" s="14" cm="1">
        <f t="array" ref="Q286">INT(SUMPRODUCT(--ISNUMBER(SEARCH(gun,C286)))&gt;0)</f>
        <v>0</v>
      </c>
      <c r="R286" s="14" cm="1">
        <f t="array" ref="R286">INT(SUMPRODUCT(--ISNUMBER(SEARCH(race,C286)))&gt;0)</f>
        <v>0</v>
      </c>
      <c r="S286" s="14" cm="1">
        <f t="array" ref="S286">INT(SUMPRODUCT(--ISNUMBER(SEARCH(immigration,C286)))&gt;0)</f>
        <v>0</v>
      </c>
      <c r="T286" s="14" cm="1">
        <f t="array" ref="T286">INT(SUMPRODUCT(--ISNUMBER(SEARCH(econineq,C287)))&gt;0)</f>
        <v>0</v>
      </c>
      <c r="U286" s="14" cm="1">
        <f t="array" ref="U286">INT(SUMPRODUCT(--ISNUMBER(SEARCH(climate,C286)))&gt;0)</f>
        <v>0</v>
      </c>
      <c r="V286" s="14" cm="1">
        <f t="array" ref="V286">INT(SUMPRODUCT(--ISNUMBER(SEARCH(abortion,C286)))&gt;0)</f>
        <v>0</v>
      </c>
      <c r="W286" s="14" cm="1">
        <f t="array" ref="W286">INT(SUMPRODUCT(--ISNUMBER(SEARCH(trump,C286)))&gt;0)</f>
        <v>0</v>
      </c>
      <c r="X286" s="14" cm="1">
        <f t="array" ref="X286">INT(SUMPRODUCT(--ISNUMBER(SEARCH(voting,C286)))&gt;0)</f>
        <v>0</v>
      </c>
      <c r="Y286" s="14" cm="1">
        <f t="array" ref="Y286">INT(SUMPRODUCT(--ISNUMBER(SEARCH(democrattrigger,C286)))&gt;0)</f>
        <v>1</v>
      </c>
      <c r="Z286" s="14" cm="1">
        <f t="array" ref="Z286">INT(SUMPRODUCT(--ISNUMBER(SEARCH(bipartisan,C286)))&gt;0)</f>
        <v>0</v>
      </c>
      <c r="AA286" s="14">
        <f t="shared" si="4"/>
        <v>0</v>
      </c>
      <c r="AB286" s="14"/>
      <c r="AC286" s="30">
        <v>0</v>
      </c>
      <c r="AD286" s="37">
        <v>1</v>
      </c>
    </row>
    <row r="287" spans="1:30" x14ac:dyDescent="0.25">
      <c r="A287" s="36">
        <v>4128</v>
      </c>
      <c r="B287" s="14" t="s">
        <v>8279</v>
      </c>
      <c r="C287" s="14" t="s">
        <v>8280</v>
      </c>
      <c r="D287" s="17">
        <v>44114</v>
      </c>
      <c r="E287" s="14" t="s">
        <v>30</v>
      </c>
      <c r="F287" s="14">
        <v>1706</v>
      </c>
      <c r="G287" s="14">
        <v>492</v>
      </c>
      <c r="H287" s="14">
        <v>18</v>
      </c>
      <c r="I287" s="14">
        <v>9</v>
      </c>
      <c r="J287" s="14" t="s">
        <v>204</v>
      </c>
      <c r="K287" s="14" cm="1">
        <f t="array" ref="K287">INT(SUMPRODUCT(--ISNUMBER(SEARCH(economy,C287)))&gt;0)</f>
        <v>0</v>
      </c>
      <c r="L287" s="14" cm="1">
        <f t="array" ref="L287">INT(SUMPRODUCT(--ISNUMBER(SEARCH(healthcare,C287)))&gt;0)</f>
        <v>0</v>
      </c>
      <c r="M287" s="14" cm="1">
        <f t="array" ref="M287">INT(SUMPRODUCT(--ISNUMBER(SEARCH(supreme,C287)))&gt;0)</f>
        <v>0</v>
      </c>
      <c r="N287" s="14" cm="1">
        <f t="array" ref="N287">INT(SUMPRODUCT(--ISNUMBER(SEARCH(covid,C287)))&gt;0)</f>
        <v>0</v>
      </c>
      <c r="O287" s="14" cm="1">
        <f t="array" ref="O287">INT(SUMPRODUCT(--ISNUMBER(SEARCH(violent,C287)))&gt;0)</f>
        <v>0</v>
      </c>
      <c r="P287" s="14" cm="1">
        <f t="array" ref="P287">INT(SUMPRODUCT(--ISNUMBER(SEARCH(foreign,C287)))&gt;0)</f>
        <v>1</v>
      </c>
      <c r="Q287" s="14" cm="1">
        <f t="array" ref="Q287">INT(SUMPRODUCT(--ISNUMBER(SEARCH(gun,C287)))&gt;0)</f>
        <v>0</v>
      </c>
      <c r="R287" s="14" cm="1">
        <f t="array" ref="R287">INT(SUMPRODUCT(--ISNUMBER(SEARCH(race,C287)))&gt;0)</f>
        <v>0</v>
      </c>
      <c r="S287" s="14" cm="1">
        <f t="array" ref="S287">INT(SUMPRODUCT(--ISNUMBER(SEARCH(immigration,C287)))&gt;0)</f>
        <v>0</v>
      </c>
      <c r="T287" s="14" cm="1">
        <f t="array" ref="T287">INT(SUMPRODUCT(--ISNUMBER(SEARCH(econineq,C288)))&gt;0)</f>
        <v>0</v>
      </c>
      <c r="U287" s="14" cm="1">
        <f t="array" ref="U287">INT(SUMPRODUCT(--ISNUMBER(SEARCH(climate,C287)))&gt;0)</f>
        <v>0</v>
      </c>
      <c r="V287" s="14" cm="1">
        <f t="array" ref="V287">INT(SUMPRODUCT(--ISNUMBER(SEARCH(abortion,C287)))&gt;0)</f>
        <v>0</v>
      </c>
      <c r="W287" s="14" cm="1">
        <f t="array" ref="W287">INT(SUMPRODUCT(--ISNUMBER(SEARCH(trump,C287)))&gt;0)</f>
        <v>0</v>
      </c>
      <c r="X287" s="14" cm="1">
        <f t="array" ref="X287">INT(SUMPRODUCT(--ISNUMBER(SEARCH(voting,C287)))&gt;0)</f>
        <v>0</v>
      </c>
      <c r="Y287" s="14" cm="1">
        <f t="array" ref="Y287">INT(SUMPRODUCT(--ISNUMBER(SEARCH(democrattrigger,C287)))&gt;0)</f>
        <v>1</v>
      </c>
      <c r="Z287" s="14" cm="1">
        <f t="array" ref="Z287">INT(SUMPRODUCT(--ISNUMBER(SEARCH(bipartisan,C287)))&gt;0)</f>
        <v>0</v>
      </c>
      <c r="AA287" s="14">
        <f t="shared" si="4"/>
        <v>0</v>
      </c>
      <c r="AB287" s="14"/>
      <c r="AC287" s="30" t="s">
        <v>223</v>
      </c>
      <c r="AD287" s="37" t="s">
        <v>223</v>
      </c>
    </row>
    <row r="288" spans="1:30" x14ac:dyDescent="0.25">
      <c r="A288" s="36">
        <v>4129</v>
      </c>
      <c r="B288" s="14" t="s">
        <v>8281</v>
      </c>
      <c r="C288" s="14" t="s">
        <v>8282</v>
      </c>
      <c r="D288" s="17">
        <v>44114</v>
      </c>
      <c r="E288" s="14" t="s">
        <v>30</v>
      </c>
      <c r="F288" s="14">
        <v>1042</v>
      </c>
      <c r="G288" s="14">
        <v>290</v>
      </c>
      <c r="H288" s="14">
        <v>18</v>
      </c>
      <c r="I288" s="14">
        <v>9</v>
      </c>
      <c r="J288" s="14" t="s">
        <v>204</v>
      </c>
      <c r="K288" s="14" cm="1">
        <f t="array" ref="K288">INT(SUMPRODUCT(--ISNUMBER(SEARCH(economy,C288)))&gt;0)</f>
        <v>0</v>
      </c>
      <c r="L288" s="14" cm="1">
        <f t="array" ref="L288">INT(SUMPRODUCT(--ISNUMBER(SEARCH(healthcare,C288)))&gt;0)</f>
        <v>0</v>
      </c>
      <c r="M288" s="14" cm="1">
        <f t="array" ref="M288">INT(SUMPRODUCT(--ISNUMBER(SEARCH(supreme,C288)))&gt;0)</f>
        <v>0</v>
      </c>
      <c r="N288" s="14" cm="1">
        <f t="array" ref="N288">INT(SUMPRODUCT(--ISNUMBER(SEARCH(covid,C288)))&gt;0)</f>
        <v>0</v>
      </c>
      <c r="O288" s="14" cm="1">
        <f t="array" ref="O288">INT(SUMPRODUCT(--ISNUMBER(SEARCH(violent,C288)))&gt;0)</f>
        <v>0</v>
      </c>
      <c r="P288" s="14" cm="1">
        <f t="array" ref="P288">INT(SUMPRODUCT(--ISNUMBER(SEARCH(foreign,C288)))&gt;0)</f>
        <v>0</v>
      </c>
      <c r="Q288" s="14" cm="1">
        <f t="array" ref="Q288">INT(SUMPRODUCT(--ISNUMBER(SEARCH(gun,C288)))&gt;0)</f>
        <v>0</v>
      </c>
      <c r="R288" s="14" cm="1">
        <f t="array" ref="R288">INT(SUMPRODUCT(--ISNUMBER(SEARCH(race,C288)))&gt;0)</f>
        <v>0</v>
      </c>
      <c r="S288" s="14" cm="1">
        <f t="array" ref="S288">INT(SUMPRODUCT(--ISNUMBER(SEARCH(immigration,C288)))&gt;0)</f>
        <v>0</v>
      </c>
      <c r="T288" s="14" cm="1">
        <f t="array" ref="T288">INT(SUMPRODUCT(--ISNUMBER(SEARCH(econineq,C289)))&gt;0)</f>
        <v>0</v>
      </c>
      <c r="U288" s="14" cm="1">
        <f t="array" ref="U288">INT(SUMPRODUCT(--ISNUMBER(SEARCH(climate,C288)))&gt;0)</f>
        <v>0</v>
      </c>
      <c r="V288" s="14" cm="1">
        <f t="array" ref="V288">INT(SUMPRODUCT(--ISNUMBER(SEARCH(abortion,C288)))&gt;0)</f>
        <v>0</v>
      </c>
      <c r="W288" s="14" cm="1">
        <f t="array" ref="W288">INT(SUMPRODUCT(--ISNUMBER(SEARCH(trump,C288)))&gt;0)</f>
        <v>0</v>
      </c>
      <c r="X288" s="14" cm="1">
        <f t="array" ref="X288">INT(SUMPRODUCT(--ISNUMBER(SEARCH(voting,C288)))&gt;0)</f>
        <v>1</v>
      </c>
      <c r="Y288" s="14" cm="1">
        <f t="array" ref="Y288">INT(SUMPRODUCT(--ISNUMBER(SEARCH(democrattrigger,C288)))&gt;0)</f>
        <v>0</v>
      </c>
      <c r="Z288" s="14" cm="1">
        <f t="array" ref="Z288">INT(SUMPRODUCT(--ISNUMBER(SEARCH(bipartisan,C288)))&gt;0)</f>
        <v>0</v>
      </c>
      <c r="AA288" s="14">
        <f t="shared" si="4"/>
        <v>0</v>
      </c>
      <c r="AB288" s="14"/>
      <c r="AC288" s="30" t="s">
        <v>223</v>
      </c>
      <c r="AD288" s="37" t="s">
        <v>223</v>
      </c>
    </row>
    <row r="289" spans="1:30" x14ac:dyDescent="0.25">
      <c r="A289" s="36">
        <v>4130</v>
      </c>
      <c r="B289" s="14" t="s">
        <v>8283</v>
      </c>
      <c r="C289" s="14" t="s">
        <v>8284</v>
      </c>
      <c r="D289" s="17">
        <v>44114</v>
      </c>
      <c r="E289" s="14" t="s">
        <v>30</v>
      </c>
      <c r="F289" s="14">
        <v>4111</v>
      </c>
      <c r="G289" s="14">
        <v>1650</v>
      </c>
      <c r="H289" s="14">
        <v>18</v>
      </c>
      <c r="I289" s="14">
        <v>9</v>
      </c>
      <c r="J289" s="14" t="s">
        <v>204</v>
      </c>
      <c r="K289" s="14" cm="1">
        <f t="array" ref="K289">INT(SUMPRODUCT(--ISNUMBER(SEARCH(economy,C289)))&gt;0)</f>
        <v>0</v>
      </c>
      <c r="L289" s="14" cm="1">
        <f t="array" ref="L289">INT(SUMPRODUCT(--ISNUMBER(SEARCH(healthcare,C289)))&gt;0)</f>
        <v>0</v>
      </c>
      <c r="M289" s="14" cm="1">
        <f t="array" ref="M289">INT(SUMPRODUCT(--ISNUMBER(SEARCH(supreme,C289)))&gt;0)</f>
        <v>0</v>
      </c>
      <c r="N289" s="14" cm="1">
        <f t="array" ref="N289">INT(SUMPRODUCT(--ISNUMBER(SEARCH(covid,C289)))&gt;0)</f>
        <v>0</v>
      </c>
      <c r="O289" s="14" cm="1">
        <f t="array" ref="O289">INT(SUMPRODUCT(--ISNUMBER(SEARCH(violent,C289)))&gt;0)</f>
        <v>0</v>
      </c>
      <c r="P289" s="14" cm="1">
        <f t="array" ref="P289">INT(SUMPRODUCT(--ISNUMBER(SEARCH(foreign,C289)))&gt;0)</f>
        <v>0</v>
      </c>
      <c r="Q289" s="14" cm="1">
        <f t="array" ref="Q289">INT(SUMPRODUCT(--ISNUMBER(SEARCH(gun,C289)))&gt;0)</f>
        <v>0</v>
      </c>
      <c r="R289" s="14" cm="1">
        <f t="array" ref="R289">INT(SUMPRODUCT(--ISNUMBER(SEARCH(race,C289)))&gt;0)</f>
        <v>0</v>
      </c>
      <c r="S289" s="14" cm="1">
        <f t="array" ref="S289">INT(SUMPRODUCT(--ISNUMBER(SEARCH(immigration,C289)))&gt;0)</f>
        <v>0</v>
      </c>
      <c r="T289" s="14" cm="1">
        <f t="array" ref="T289">INT(SUMPRODUCT(--ISNUMBER(SEARCH(econineq,C290)))&gt;0)</f>
        <v>0</v>
      </c>
      <c r="U289" s="14" cm="1">
        <f t="array" ref="U289">INT(SUMPRODUCT(--ISNUMBER(SEARCH(climate,C289)))&gt;0)</f>
        <v>0</v>
      </c>
      <c r="V289" s="14" cm="1">
        <f t="array" ref="V289">INT(SUMPRODUCT(--ISNUMBER(SEARCH(abortion,C289)))&gt;0)</f>
        <v>0</v>
      </c>
      <c r="W289" s="14" cm="1">
        <f t="array" ref="W289">INT(SUMPRODUCT(--ISNUMBER(SEARCH(trump,C289)))&gt;0)</f>
        <v>0</v>
      </c>
      <c r="X289" s="14" cm="1">
        <f t="array" ref="X289">INT(SUMPRODUCT(--ISNUMBER(SEARCH(voting,C289)))&gt;0)</f>
        <v>0</v>
      </c>
      <c r="Y289" s="14" cm="1">
        <f t="array" ref="Y289">INT(SUMPRODUCT(--ISNUMBER(SEARCH(democrattrigger,C289)))&gt;0)</f>
        <v>1</v>
      </c>
      <c r="Z289" s="14" cm="1">
        <f t="array" ref="Z289">INT(SUMPRODUCT(--ISNUMBER(SEARCH(bipartisan,C289)))&gt;0)</f>
        <v>0</v>
      </c>
      <c r="AA289" s="14">
        <f t="shared" si="4"/>
        <v>0</v>
      </c>
      <c r="AB289" s="14"/>
      <c r="AC289" s="30">
        <v>1</v>
      </c>
      <c r="AD289" s="37">
        <v>0</v>
      </c>
    </row>
    <row r="290" spans="1:30" x14ac:dyDescent="0.25">
      <c r="A290" s="36">
        <v>4131</v>
      </c>
      <c r="B290" s="14" t="s">
        <v>8285</v>
      </c>
      <c r="C290" s="14" t="s">
        <v>8286</v>
      </c>
      <c r="D290" s="17">
        <v>44114</v>
      </c>
      <c r="E290" s="14" t="s">
        <v>30</v>
      </c>
      <c r="F290" s="14">
        <v>1154</v>
      </c>
      <c r="G290" s="14">
        <v>638</v>
      </c>
      <c r="H290" s="14">
        <v>18</v>
      </c>
      <c r="I290" s="14">
        <v>9</v>
      </c>
      <c r="J290" s="14" t="s">
        <v>204</v>
      </c>
      <c r="K290" s="14" cm="1">
        <f t="array" ref="K290">INT(SUMPRODUCT(--ISNUMBER(SEARCH(economy,C290)))&gt;0)</f>
        <v>0</v>
      </c>
      <c r="L290" s="14" cm="1">
        <f t="array" ref="L290">INT(SUMPRODUCT(--ISNUMBER(SEARCH(healthcare,C290)))&gt;0)</f>
        <v>1</v>
      </c>
      <c r="M290" s="14" cm="1">
        <f t="array" ref="M290">INT(SUMPRODUCT(--ISNUMBER(SEARCH(supreme,C290)))&gt;0)</f>
        <v>0</v>
      </c>
      <c r="N290" s="14" cm="1">
        <f t="array" ref="N290">INT(SUMPRODUCT(--ISNUMBER(SEARCH(covid,C290)))&gt;0)</f>
        <v>0</v>
      </c>
      <c r="O290" s="14" cm="1">
        <f t="array" ref="O290">INT(SUMPRODUCT(--ISNUMBER(SEARCH(violent,C290)))&gt;0)</f>
        <v>0</v>
      </c>
      <c r="P290" s="14" cm="1">
        <f t="array" ref="P290">INT(SUMPRODUCT(--ISNUMBER(SEARCH(foreign,C290)))&gt;0)</f>
        <v>0</v>
      </c>
      <c r="Q290" s="14" cm="1">
        <f t="array" ref="Q290">INT(SUMPRODUCT(--ISNUMBER(SEARCH(gun,C290)))&gt;0)</f>
        <v>0</v>
      </c>
      <c r="R290" s="14" cm="1">
        <f t="array" ref="R290">INT(SUMPRODUCT(--ISNUMBER(SEARCH(race,C290)))&gt;0)</f>
        <v>0</v>
      </c>
      <c r="S290" s="14" cm="1">
        <f t="array" ref="S290">INT(SUMPRODUCT(--ISNUMBER(SEARCH(immigration,C290)))&gt;0)</f>
        <v>0</v>
      </c>
      <c r="T290" s="14" cm="1">
        <f t="array" ref="T290">INT(SUMPRODUCT(--ISNUMBER(SEARCH(econineq,C291)))&gt;0)</f>
        <v>0</v>
      </c>
      <c r="U290" s="14" cm="1">
        <f t="array" ref="U290">INT(SUMPRODUCT(--ISNUMBER(SEARCH(climate,C290)))&gt;0)</f>
        <v>0</v>
      </c>
      <c r="V290" s="14" cm="1">
        <f t="array" ref="V290">INT(SUMPRODUCT(--ISNUMBER(SEARCH(abortion,C290)))&gt;0)</f>
        <v>0</v>
      </c>
      <c r="W290" s="14" cm="1">
        <f t="array" ref="W290">INT(SUMPRODUCT(--ISNUMBER(SEARCH(trump,C290)))&gt;0)</f>
        <v>0</v>
      </c>
      <c r="X290" s="14" cm="1">
        <f t="array" ref="X290">INT(SUMPRODUCT(--ISNUMBER(SEARCH(voting,C290)))&gt;0)</f>
        <v>0</v>
      </c>
      <c r="Y290" s="14" cm="1">
        <f t="array" ref="Y290">INT(SUMPRODUCT(--ISNUMBER(SEARCH(democrattrigger,C290)))&gt;0)</f>
        <v>1</v>
      </c>
      <c r="Z290" s="14" cm="1">
        <f t="array" ref="Z290">INT(SUMPRODUCT(--ISNUMBER(SEARCH(bipartisan,C290)))&gt;0)</f>
        <v>0</v>
      </c>
      <c r="AA290" s="14">
        <f t="shared" si="4"/>
        <v>0</v>
      </c>
      <c r="AB290" s="14"/>
      <c r="AC290" s="30">
        <v>1</v>
      </c>
      <c r="AD290" s="37">
        <v>1</v>
      </c>
    </row>
    <row r="291" spans="1:30" x14ac:dyDescent="0.25">
      <c r="A291" s="36">
        <v>4132</v>
      </c>
      <c r="B291" s="14" t="s">
        <v>8287</v>
      </c>
      <c r="C291" s="14" t="s">
        <v>8288</v>
      </c>
      <c r="D291" s="17">
        <v>44114</v>
      </c>
      <c r="E291" s="14" t="s">
        <v>30</v>
      </c>
      <c r="F291" s="14">
        <v>3999</v>
      </c>
      <c r="G291" s="14">
        <v>1690</v>
      </c>
      <c r="H291" s="14">
        <v>18</v>
      </c>
      <c r="I291" s="14">
        <v>9</v>
      </c>
      <c r="J291" s="14" t="s">
        <v>204</v>
      </c>
      <c r="K291" s="14" cm="1">
        <f t="array" ref="K291">INT(SUMPRODUCT(--ISNUMBER(SEARCH(economy,C291)))&gt;0)</f>
        <v>0</v>
      </c>
      <c r="L291" s="14" cm="1">
        <f t="array" ref="L291">INT(SUMPRODUCT(--ISNUMBER(SEARCH(healthcare,C291)))&gt;0)</f>
        <v>0</v>
      </c>
      <c r="M291" s="14" cm="1">
        <f t="array" ref="M291">INT(SUMPRODUCT(--ISNUMBER(SEARCH(supreme,C291)))&gt;0)</f>
        <v>0</v>
      </c>
      <c r="N291" s="14" cm="1">
        <f t="array" ref="N291">INT(SUMPRODUCT(--ISNUMBER(SEARCH(covid,C291)))&gt;0)</f>
        <v>0</v>
      </c>
      <c r="O291" s="14" cm="1">
        <f t="array" ref="O291">INT(SUMPRODUCT(--ISNUMBER(SEARCH(violent,C291)))&gt;0)</f>
        <v>0</v>
      </c>
      <c r="P291" s="14" cm="1">
        <f t="array" ref="P291">INT(SUMPRODUCT(--ISNUMBER(SEARCH(foreign,C291)))&gt;0)</f>
        <v>0</v>
      </c>
      <c r="Q291" s="14" cm="1">
        <f t="array" ref="Q291">INT(SUMPRODUCT(--ISNUMBER(SEARCH(gun,C291)))&gt;0)</f>
        <v>0</v>
      </c>
      <c r="R291" s="14" cm="1">
        <f t="array" ref="R291">INT(SUMPRODUCT(--ISNUMBER(SEARCH(race,C291)))&gt;0)</f>
        <v>0</v>
      </c>
      <c r="S291" s="14" cm="1">
        <f t="array" ref="S291">INT(SUMPRODUCT(--ISNUMBER(SEARCH(immigration,C291)))&gt;0)</f>
        <v>0</v>
      </c>
      <c r="T291" s="14" cm="1">
        <f t="array" ref="T291">INT(SUMPRODUCT(--ISNUMBER(SEARCH(econineq,C292)))&gt;0)</f>
        <v>0</v>
      </c>
      <c r="U291" s="14" cm="1">
        <f t="array" ref="U291">INT(SUMPRODUCT(--ISNUMBER(SEARCH(climate,C291)))&gt;0)</f>
        <v>0</v>
      </c>
      <c r="V291" s="14" cm="1">
        <f t="array" ref="V291">INT(SUMPRODUCT(--ISNUMBER(SEARCH(abortion,C291)))&gt;0)</f>
        <v>0</v>
      </c>
      <c r="W291" s="14" cm="1">
        <f t="array" ref="W291">INT(SUMPRODUCT(--ISNUMBER(SEARCH(trump,C291)))&gt;0)</f>
        <v>0</v>
      </c>
      <c r="X291" s="14" cm="1">
        <f t="array" ref="X291">INT(SUMPRODUCT(--ISNUMBER(SEARCH(voting,C291)))&gt;0)</f>
        <v>0</v>
      </c>
      <c r="Y291" s="14" cm="1">
        <f t="array" ref="Y291">INT(SUMPRODUCT(--ISNUMBER(SEARCH(democrattrigger,C291)))&gt;0)</f>
        <v>1</v>
      </c>
      <c r="Z291" s="14" cm="1">
        <f t="array" ref="Z291">INT(SUMPRODUCT(--ISNUMBER(SEARCH(bipartisan,C291)))&gt;0)</f>
        <v>0</v>
      </c>
      <c r="AA291" s="14">
        <f t="shared" si="4"/>
        <v>0</v>
      </c>
      <c r="AB291" s="14"/>
      <c r="AC291" s="30">
        <v>0</v>
      </c>
      <c r="AD291" s="37">
        <v>1</v>
      </c>
    </row>
    <row r="292" spans="1:30" x14ac:dyDescent="0.25">
      <c r="A292" s="36">
        <v>4133</v>
      </c>
      <c r="B292" s="14" t="s">
        <v>8289</v>
      </c>
      <c r="C292" s="14" t="s">
        <v>8290</v>
      </c>
      <c r="D292" s="17">
        <v>44114</v>
      </c>
      <c r="E292" s="14" t="s">
        <v>30</v>
      </c>
      <c r="F292" s="14">
        <v>3256</v>
      </c>
      <c r="G292" s="14">
        <v>1122</v>
      </c>
      <c r="H292" s="14">
        <v>18</v>
      </c>
      <c r="I292" s="14">
        <v>9</v>
      </c>
      <c r="J292" s="14" t="s">
        <v>204</v>
      </c>
      <c r="K292" s="14" cm="1">
        <f t="array" ref="K292">INT(SUMPRODUCT(--ISNUMBER(SEARCH(economy,C292)))&gt;0)</f>
        <v>0</v>
      </c>
      <c r="L292" s="14" cm="1">
        <f t="array" ref="L292">INT(SUMPRODUCT(--ISNUMBER(SEARCH(healthcare,C292)))&gt;0)</f>
        <v>0</v>
      </c>
      <c r="M292" s="14" cm="1">
        <f t="array" ref="M292">INT(SUMPRODUCT(--ISNUMBER(SEARCH(supreme,C292)))&gt;0)</f>
        <v>0</v>
      </c>
      <c r="N292" s="14" cm="1">
        <f t="array" ref="N292">INT(SUMPRODUCT(--ISNUMBER(SEARCH(covid,C292)))&gt;0)</f>
        <v>0</v>
      </c>
      <c r="O292" s="14" cm="1">
        <f t="array" ref="O292">INT(SUMPRODUCT(--ISNUMBER(SEARCH(violent,C292)))&gt;0)</f>
        <v>0</v>
      </c>
      <c r="P292" s="14" cm="1">
        <f t="array" ref="P292">INT(SUMPRODUCT(--ISNUMBER(SEARCH(foreign,C292)))&gt;0)</f>
        <v>0</v>
      </c>
      <c r="Q292" s="14" cm="1">
        <f t="array" ref="Q292">INT(SUMPRODUCT(--ISNUMBER(SEARCH(gun,C292)))&gt;0)</f>
        <v>0</v>
      </c>
      <c r="R292" s="14" cm="1">
        <f t="array" ref="R292">INT(SUMPRODUCT(--ISNUMBER(SEARCH(race,C292)))&gt;0)</f>
        <v>0</v>
      </c>
      <c r="S292" s="14" cm="1">
        <f t="array" ref="S292">INT(SUMPRODUCT(--ISNUMBER(SEARCH(immigration,C292)))&gt;0)</f>
        <v>0</v>
      </c>
      <c r="T292" s="14" cm="1">
        <f t="array" ref="T292">INT(SUMPRODUCT(--ISNUMBER(SEARCH(econineq,C293)))&gt;0)</f>
        <v>0</v>
      </c>
      <c r="U292" s="14" cm="1">
        <f t="array" ref="U292">INT(SUMPRODUCT(--ISNUMBER(SEARCH(climate,C292)))&gt;0)</f>
        <v>0</v>
      </c>
      <c r="V292" s="14" cm="1">
        <f t="array" ref="V292">INT(SUMPRODUCT(--ISNUMBER(SEARCH(abortion,C292)))&gt;0)</f>
        <v>0</v>
      </c>
      <c r="W292" s="14" cm="1">
        <f t="array" ref="W292">INT(SUMPRODUCT(--ISNUMBER(SEARCH(trump,C292)))&gt;0)</f>
        <v>0</v>
      </c>
      <c r="X292" s="14" cm="1">
        <f t="array" ref="X292">INT(SUMPRODUCT(--ISNUMBER(SEARCH(voting,C292)))&gt;0)</f>
        <v>0</v>
      </c>
      <c r="Y292" s="14" cm="1">
        <f t="array" ref="Y292">INT(SUMPRODUCT(--ISNUMBER(SEARCH(democrattrigger,C292)))&gt;0)</f>
        <v>1</v>
      </c>
      <c r="Z292" s="14" cm="1">
        <f t="array" ref="Z292">INT(SUMPRODUCT(--ISNUMBER(SEARCH(bipartisan,C292)))&gt;0)</f>
        <v>0</v>
      </c>
      <c r="AA292" s="14">
        <f t="shared" si="4"/>
        <v>0</v>
      </c>
      <c r="AB292" s="14"/>
      <c r="AC292" s="30">
        <v>0</v>
      </c>
      <c r="AD292" s="37">
        <v>1</v>
      </c>
    </row>
    <row r="293" spans="1:30" x14ac:dyDescent="0.25">
      <c r="A293" s="36">
        <v>4134</v>
      </c>
      <c r="B293" s="14" t="s">
        <v>8291</v>
      </c>
      <c r="C293" s="14" t="s">
        <v>8292</v>
      </c>
      <c r="D293" s="17">
        <v>44114</v>
      </c>
      <c r="E293" s="14" t="s">
        <v>30</v>
      </c>
      <c r="F293" s="14">
        <v>1145</v>
      </c>
      <c r="G293" s="14">
        <v>317</v>
      </c>
      <c r="H293" s="14">
        <v>18</v>
      </c>
      <c r="I293" s="14">
        <v>9</v>
      </c>
      <c r="J293" s="14" t="s">
        <v>204</v>
      </c>
      <c r="K293" s="14" cm="1">
        <f t="array" ref="K293">INT(SUMPRODUCT(--ISNUMBER(SEARCH(economy,C293)))&gt;0)</f>
        <v>0</v>
      </c>
      <c r="L293" s="14" cm="1">
        <f t="array" ref="L293">INT(SUMPRODUCT(--ISNUMBER(SEARCH(healthcare,C293)))&gt;0)</f>
        <v>0</v>
      </c>
      <c r="M293" s="14" cm="1">
        <f t="array" ref="M293">INT(SUMPRODUCT(--ISNUMBER(SEARCH(supreme,C293)))&gt;0)</f>
        <v>0</v>
      </c>
      <c r="N293" s="14" cm="1">
        <f t="array" ref="N293">INT(SUMPRODUCT(--ISNUMBER(SEARCH(covid,C293)))&gt;0)</f>
        <v>0</v>
      </c>
      <c r="O293" s="14" cm="1">
        <f t="array" ref="O293">INT(SUMPRODUCT(--ISNUMBER(SEARCH(violent,C293)))&gt;0)</f>
        <v>0</v>
      </c>
      <c r="P293" s="14" cm="1">
        <f t="array" ref="P293">INT(SUMPRODUCT(--ISNUMBER(SEARCH(foreign,C293)))&gt;0)</f>
        <v>0</v>
      </c>
      <c r="Q293" s="14" cm="1">
        <f t="array" ref="Q293">INT(SUMPRODUCT(--ISNUMBER(SEARCH(gun,C293)))&gt;0)</f>
        <v>0</v>
      </c>
      <c r="R293" s="14" cm="1">
        <f t="array" ref="R293">INT(SUMPRODUCT(--ISNUMBER(SEARCH(race,C293)))&gt;0)</f>
        <v>0</v>
      </c>
      <c r="S293" s="14" cm="1">
        <f t="array" ref="S293">INT(SUMPRODUCT(--ISNUMBER(SEARCH(immigration,C293)))&gt;0)</f>
        <v>0</v>
      </c>
      <c r="T293" s="14" cm="1">
        <f t="array" ref="T293">INT(SUMPRODUCT(--ISNUMBER(SEARCH(econineq,C294)))&gt;0)</f>
        <v>0</v>
      </c>
      <c r="U293" s="14" cm="1">
        <f t="array" ref="U293">INT(SUMPRODUCT(--ISNUMBER(SEARCH(climate,C293)))&gt;0)</f>
        <v>0</v>
      </c>
      <c r="V293" s="14" cm="1">
        <f t="array" ref="V293">INT(SUMPRODUCT(--ISNUMBER(SEARCH(abortion,C293)))&gt;0)</f>
        <v>0</v>
      </c>
      <c r="W293" s="14" cm="1">
        <f t="array" ref="W293">INT(SUMPRODUCT(--ISNUMBER(SEARCH(trump,C293)))&gt;0)</f>
        <v>0</v>
      </c>
      <c r="X293" s="14" cm="1">
        <f t="array" ref="X293">INT(SUMPRODUCT(--ISNUMBER(SEARCH(voting,C293)))&gt;0)</f>
        <v>1</v>
      </c>
      <c r="Y293" s="14" cm="1">
        <f t="array" ref="Y293">INT(SUMPRODUCT(--ISNUMBER(SEARCH(democrattrigger,C293)))&gt;0)</f>
        <v>0</v>
      </c>
      <c r="Z293" s="14" cm="1">
        <f t="array" ref="Z293">INT(SUMPRODUCT(--ISNUMBER(SEARCH(bipartisan,C293)))&gt;0)</f>
        <v>0</v>
      </c>
      <c r="AA293" s="14">
        <f t="shared" si="4"/>
        <v>0</v>
      </c>
      <c r="AB293" s="14"/>
      <c r="AC293" s="30" t="s">
        <v>223</v>
      </c>
      <c r="AD293" s="37" t="s">
        <v>223</v>
      </c>
    </row>
    <row r="294" spans="1:30" x14ac:dyDescent="0.25">
      <c r="A294" s="36">
        <v>4135</v>
      </c>
      <c r="B294" s="14" t="s">
        <v>8293</v>
      </c>
      <c r="C294" s="14" t="s">
        <v>8294</v>
      </c>
      <c r="D294" s="17">
        <v>44114</v>
      </c>
      <c r="E294" s="14" t="s">
        <v>30</v>
      </c>
      <c r="F294" s="14">
        <v>24392</v>
      </c>
      <c r="G294" s="14">
        <v>4168</v>
      </c>
      <c r="H294" s="14">
        <v>18</v>
      </c>
      <c r="I294" s="14">
        <v>9</v>
      </c>
      <c r="J294" s="14" t="s">
        <v>204</v>
      </c>
      <c r="K294" s="14" cm="1">
        <f t="array" ref="K294">INT(SUMPRODUCT(--ISNUMBER(SEARCH(economy,C294)))&gt;0)</f>
        <v>0</v>
      </c>
      <c r="L294" s="14" cm="1">
        <f t="array" ref="L294">INT(SUMPRODUCT(--ISNUMBER(SEARCH(healthcare,C294)))&gt;0)</f>
        <v>0</v>
      </c>
      <c r="M294" s="14" cm="1">
        <f t="array" ref="M294">INT(SUMPRODUCT(--ISNUMBER(SEARCH(supreme,C294)))&gt;0)</f>
        <v>0</v>
      </c>
      <c r="N294" s="14" cm="1">
        <f t="array" ref="N294">INT(SUMPRODUCT(--ISNUMBER(SEARCH(covid,C294)))&gt;0)</f>
        <v>0</v>
      </c>
      <c r="O294" s="14" cm="1">
        <f t="array" ref="O294">INT(SUMPRODUCT(--ISNUMBER(SEARCH(violent,C294)))&gt;0)</f>
        <v>0</v>
      </c>
      <c r="P294" s="14" cm="1">
        <f t="array" ref="P294">INT(SUMPRODUCT(--ISNUMBER(SEARCH(foreign,C294)))&gt;0)</f>
        <v>0</v>
      </c>
      <c r="Q294" s="14" cm="1">
        <f t="array" ref="Q294">INT(SUMPRODUCT(--ISNUMBER(SEARCH(gun,C294)))&gt;0)</f>
        <v>0</v>
      </c>
      <c r="R294" s="14" cm="1">
        <f t="array" ref="R294">INT(SUMPRODUCT(--ISNUMBER(SEARCH(race,C294)))&gt;0)</f>
        <v>0</v>
      </c>
      <c r="S294" s="14" cm="1">
        <f t="array" ref="S294">INT(SUMPRODUCT(--ISNUMBER(SEARCH(immigration,C294)))&gt;0)</f>
        <v>0</v>
      </c>
      <c r="T294" s="14" cm="1">
        <f t="array" ref="T294">INT(SUMPRODUCT(--ISNUMBER(SEARCH(econineq,C295)))&gt;0)</f>
        <v>0</v>
      </c>
      <c r="U294" s="14" cm="1">
        <f t="array" ref="U294">INT(SUMPRODUCT(--ISNUMBER(SEARCH(climate,C294)))&gt;0)</f>
        <v>0</v>
      </c>
      <c r="V294" s="14" cm="1">
        <f t="array" ref="V294">INT(SUMPRODUCT(--ISNUMBER(SEARCH(abortion,C294)))&gt;0)</f>
        <v>0</v>
      </c>
      <c r="W294" s="14" cm="1">
        <f t="array" ref="W294">INT(SUMPRODUCT(--ISNUMBER(SEARCH(trump,C294)))&gt;0)</f>
        <v>0</v>
      </c>
      <c r="X294" s="14" cm="1">
        <f t="array" ref="X294">INT(SUMPRODUCT(--ISNUMBER(SEARCH(voting,C294)))&gt;0)</f>
        <v>0</v>
      </c>
      <c r="Y294" s="14" cm="1">
        <f t="array" ref="Y294">INT(SUMPRODUCT(--ISNUMBER(SEARCH(democrattrigger,C294)))&gt;0)</f>
        <v>0</v>
      </c>
      <c r="Z294" s="14" cm="1">
        <f t="array" ref="Z294">INT(SUMPRODUCT(--ISNUMBER(SEARCH(bipartisan,C294)))&gt;0)</f>
        <v>0</v>
      </c>
      <c r="AA294" s="14">
        <f t="shared" si="4"/>
        <v>1</v>
      </c>
      <c r="AB294" s="14"/>
      <c r="AC294" s="30" t="s">
        <v>223</v>
      </c>
      <c r="AD294" s="37" t="s">
        <v>223</v>
      </c>
    </row>
    <row r="295" spans="1:30" x14ac:dyDescent="0.25">
      <c r="A295" s="36">
        <v>4136</v>
      </c>
      <c r="B295" s="14" t="s">
        <v>8295</v>
      </c>
      <c r="C295" s="14" t="s">
        <v>8296</v>
      </c>
      <c r="D295" s="17">
        <v>44114</v>
      </c>
      <c r="E295" s="14" t="s">
        <v>30</v>
      </c>
      <c r="F295" s="14">
        <v>6610</v>
      </c>
      <c r="G295" s="14">
        <v>2710</v>
      </c>
      <c r="H295" s="14">
        <v>18</v>
      </c>
      <c r="I295" s="14">
        <v>9</v>
      </c>
      <c r="J295" s="14" t="s">
        <v>204</v>
      </c>
      <c r="K295" s="14" cm="1">
        <f t="array" ref="K295">INT(SUMPRODUCT(--ISNUMBER(SEARCH(economy,C295)))&gt;0)</f>
        <v>1</v>
      </c>
      <c r="L295" s="14" cm="1">
        <f t="array" ref="L295">INT(SUMPRODUCT(--ISNUMBER(SEARCH(healthcare,C295)))&gt;0)</f>
        <v>0</v>
      </c>
      <c r="M295" s="14" cm="1">
        <f t="array" ref="M295">INT(SUMPRODUCT(--ISNUMBER(SEARCH(supreme,C295)))&gt;0)</f>
        <v>0</v>
      </c>
      <c r="N295" s="14" cm="1">
        <f t="array" ref="N295">INT(SUMPRODUCT(--ISNUMBER(SEARCH(covid,C295)))&gt;0)</f>
        <v>0</v>
      </c>
      <c r="O295" s="14" cm="1">
        <f t="array" ref="O295">INT(SUMPRODUCT(--ISNUMBER(SEARCH(violent,C295)))&gt;0)</f>
        <v>0</v>
      </c>
      <c r="P295" s="14" cm="1">
        <f t="array" ref="P295">INT(SUMPRODUCT(--ISNUMBER(SEARCH(foreign,C295)))&gt;0)</f>
        <v>0</v>
      </c>
      <c r="Q295" s="14" cm="1">
        <f t="array" ref="Q295">INT(SUMPRODUCT(--ISNUMBER(SEARCH(gun,C295)))&gt;0)</f>
        <v>0</v>
      </c>
      <c r="R295" s="14" cm="1">
        <f t="array" ref="R295">INT(SUMPRODUCT(--ISNUMBER(SEARCH(race,C295)))&gt;0)</f>
        <v>0</v>
      </c>
      <c r="S295" s="14" cm="1">
        <f t="array" ref="S295">INT(SUMPRODUCT(--ISNUMBER(SEARCH(immigration,C295)))&gt;0)</f>
        <v>0</v>
      </c>
      <c r="T295" s="14" cm="1">
        <f t="array" ref="T295">INT(SUMPRODUCT(--ISNUMBER(SEARCH(econineq,C296)))&gt;0)</f>
        <v>0</v>
      </c>
      <c r="U295" s="14" cm="1">
        <f t="array" ref="U295">INT(SUMPRODUCT(--ISNUMBER(SEARCH(climate,C295)))&gt;0)</f>
        <v>1</v>
      </c>
      <c r="V295" s="14" cm="1">
        <f t="array" ref="V295">INT(SUMPRODUCT(--ISNUMBER(SEARCH(abortion,C295)))&gt;0)</f>
        <v>0</v>
      </c>
      <c r="W295" s="14" cm="1">
        <f t="array" ref="W295">INT(SUMPRODUCT(--ISNUMBER(SEARCH(trump,C295)))&gt;0)</f>
        <v>0</v>
      </c>
      <c r="X295" s="14" cm="1">
        <f t="array" ref="X295">INT(SUMPRODUCT(--ISNUMBER(SEARCH(voting,C295)))&gt;0)</f>
        <v>1</v>
      </c>
      <c r="Y295" s="14" cm="1">
        <f t="array" ref="Y295">INT(SUMPRODUCT(--ISNUMBER(SEARCH(democrattrigger,C295)))&gt;0)</f>
        <v>1</v>
      </c>
      <c r="Z295" s="14" cm="1">
        <f t="array" ref="Z295">INT(SUMPRODUCT(--ISNUMBER(SEARCH(bipartisan,C295)))&gt;0)</f>
        <v>0</v>
      </c>
      <c r="AA295" s="14">
        <f t="shared" si="4"/>
        <v>0</v>
      </c>
      <c r="AB295" s="14"/>
      <c r="AC295" s="30" t="s">
        <v>223</v>
      </c>
      <c r="AD295" s="37" t="s">
        <v>223</v>
      </c>
    </row>
    <row r="296" spans="1:30" x14ac:dyDescent="0.25">
      <c r="A296" s="36">
        <v>4137</v>
      </c>
      <c r="B296" s="14" t="s">
        <v>8297</v>
      </c>
      <c r="C296" s="14" t="s">
        <v>8298</v>
      </c>
      <c r="D296" s="17">
        <v>44114</v>
      </c>
      <c r="E296" s="14" t="s">
        <v>30</v>
      </c>
      <c r="F296" s="14">
        <v>1308</v>
      </c>
      <c r="G296" s="14">
        <v>415</v>
      </c>
      <c r="H296" s="14">
        <v>18</v>
      </c>
      <c r="I296" s="14">
        <v>9</v>
      </c>
      <c r="J296" s="14" t="s">
        <v>204</v>
      </c>
      <c r="K296" s="14" cm="1">
        <f t="array" ref="K296">INT(SUMPRODUCT(--ISNUMBER(SEARCH(economy,C296)))&gt;0)</f>
        <v>0</v>
      </c>
      <c r="L296" s="14" cm="1">
        <f t="array" ref="L296">INT(SUMPRODUCT(--ISNUMBER(SEARCH(healthcare,C296)))&gt;0)</f>
        <v>0</v>
      </c>
      <c r="M296" s="14" cm="1">
        <f t="array" ref="M296">INT(SUMPRODUCT(--ISNUMBER(SEARCH(supreme,C296)))&gt;0)</f>
        <v>0</v>
      </c>
      <c r="N296" s="14" cm="1">
        <f t="array" ref="N296">INT(SUMPRODUCT(--ISNUMBER(SEARCH(covid,C296)))&gt;0)</f>
        <v>0</v>
      </c>
      <c r="O296" s="14" cm="1">
        <f t="array" ref="O296">INT(SUMPRODUCT(--ISNUMBER(SEARCH(violent,C296)))&gt;0)</f>
        <v>0</v>
      </c>
      <c r="P296" s="14" cm="1">
        <f t="array" ref="P296">INT(SUMPRODUCT(--ISNUMBER(SEARCH(foreign,C296)))&gt;0)</f>
        <v>0</v>
      </c>
      <c r="Q296" s="14" cm="1">
        <f t="array" ref="Q296">INT(SUMPRODUCT(--ISNUMBER(SEARCH(gun,C296)))&gt;0)</f>
        <v>0</v>
      </c>
      <c r="R296" s="14" cm="1">
        <f t="array" ref="R296">INT(SUMPRODUCT(--ISNUMBER(SEARCH(race,C296)))&gt;0)</f>
        <v>0</v>
      </c>
      <c r="S296" s="14" cm="1">
        <f t="array" ref="S296">INT(SUMPRODUCT(--ISNUMBER(SEARCH(immigration,C296)))&gt;0)</f>
        <v>0</v>
      </c>
      <c r="T296" s="14" cm="1">
        <f t="array" ref="T296">INT(SUMPRODUCT(--ISNUMBER(SEARCH(econineq,C297)))&gt;0)</f>
        <v>0</v>
      </c>
      <c r="U296" s="14" cm="1">
        <f t="array" ref="U296">INT(SUMPRODUCT(--ISNUMBER(SEARCH(climate,C296)))&gt;0)</f>
        <v>1</v>
      </c>
      <c r="V296" s="14" cm="1">
        <f t="array" ref="V296">INT(SUMPRODUCT(--ISNUMBER(SEARCH(abortion,C296)))&gt;0)</f>
        <v>0</v>
      </c>
      <c r="W296" s="14" cm="1">
        <f t="array" ref="W296">INT(SUMPRODUCT(--ISNUMBER(SEARCH(trump,C296)))&gt;0)</f>
        <v>0</v>
      </c>
      <c r="X296" s="14" cm="1">
        <f t="array" ref="X296">INT(SUMPRODUCT(--ISNUMBER(SEARCH(voting,C296)))&gt;0)</f>
        <v>0</v>
      </c>
      <c r="Y296" s="14" cm="1">
        <f t="array" ref="Y296">INT(SUMPRODUCT(--ISNUMBER(SEARCH(democrattrigger,C296)))&gt;0)</f>
        <v>0</v>
      </c>
      <c r="Z296" s="14" cm="1">
        <f t="array" ref="Z296">INT(SUMPRODUCT(--ISNUMBER(SEARCH(bipartisan,C296)))&gt;0)</f>
        <v>0</v>
      </c>
      <c r="AA296" s="14">
        <f t="shared" si="4"/>
        <v>0</v>
      </c>
      <c r="AB296" s="14"/>
      <c r="AC296" s="30" t="s">
        <v>223</v>
      </c>
      <c r="AD296" s="37" t="s">
        <v>223</v>
      </c>
    </row>
    <row r="297" spans="1:30" x14ac:dyDescent="0.25">
      <c r="A297" s="36">
        <v>4138</v>
      </c>
      <c r="B297" s="14" t="s">
        <v>8299</v>
      </c>
      <c r="C297" s="14" t="s">
        <v>8300</v>
      </c>
      <c r="D297" s="17">
        <v>44114</v>
      </c>
      <c r="E297" s="14" t="s">
        <v>30</v>
      </c>
      <c r="F297" s="14">
        <v>862</v>
      </c>
      <c r="G297" s="14">
        <v>403</v>
      </c>
      <c r="H297" s="14">
        <v>18</v>
      </c>
      <c r="I297" s="14">
        <v>9</v>
      </c>
      <c r="J297" s="14" t="s">
        <v>204</v>
      </c>
      <c r="K297" s="14" cm="1">
        <f t="array" ref="K297">INT(SUMPRODUCT(--ISNUMBER(SEARCH(economy,C297)))&gt;0)</f>
        <v>0</v>
      </c>
      <c r="L297" s="14" cm="1">
        <f t="array" ref="L297">INT(SUMPRODUCT(--ISNUMBER(SEARCH(healthcare,C297)))&gt;0)</f>
        <v>0</v>
      </c>
      <c r="M297" s="14" cm="1">
        <f t="array" ref="M297">INT(SUMPRODUCT(--ISNUMBER(SEARCH(supreme,C297)))&gt;0)</f>
        <v>0</v>
      </c>
      <c r="N297" s="14" cm="1">
        <f t="array" ref="N297">INT(SUMPRODUCT(--ISNUMBER(SEARCH(covid,C297)))&gt;0)</f>
        <v>0</v>
      </c>
      <c r="O297" s="14" cm="1">
        <f t="array" ref="O297">INT(SUMPRODUCT(--ISNUMBER(SEARCH(violent,C297)))&gt;0)</f>
        <v>0</v>
      </c>
      <c r="P297" s="14" cm="1">
        <f t="array" ref="P297">INT(SUMPRODUCT(--ISNUMBER(SEARCH(foreign,C297)))&gt;0)</f>
        <v>0</v>
      </c>
      <c r="Q297" s="14" cm="1">
        <f t="array" ref="Q297">INT(SUMPRODUCT(--ISNUMBER(SEARCH(gun,C297)))&gt;0)</f>
        <v>0</v>
      </c>
      <c r="R297" s="14" cm="1">
        <f t="array" ref="R297">INT(SUMPRODUCT(--ISNUMBER(SEARCH(race,C297)))&gt;0)</f>
        <v>0</v>
      </c>
      <c r="S297" s="14" cm="1">
        <f t="array" ref="S297">INT(SUMPRODUCT(--ISNUMBER(SEARCH(immigration,C297)))&gt;0)</f>
        <v>1</v>
      </c>
      <c r="T297" s="14" cm="1">
        <f t="array" ref="T297">INT(SUMPRODUCT(--ISNUMBER(SEARCH(econineq,C298)))&gt;0)</f>
        <v>0</v>
      </c>
      <c r="U297" s="14" cm="1">
        <f t="array" ref="U297">INT(SUMPRODUCT(--ISNUMBER(SEARCH(climate,C297)))&gt;0)</f>
        <v>0</v>
      </c>
      <c r="V297" s="14" cm="1">
        <f t="array" ref="V297">INT(SUMPRODUCT(--ISNUMBER(SEARCH(abortion,C297)))&gt;0)</f>
        <v>0</v>
      </c>
      <c r="W297" s="14" cm="1">
        <f t="array" ref="W297">INT(SUMPRODUCT(--ISNUMBER(SEARCH(trump,C297)))&gt;0)</f>
        <v>0</v>
      </c>
      <c r="X297" s="14" cm="1">
        <f t="array" ref="X297">INT(SUMPRODUCT(--ISNUMBER(SEARCH(voting,C297)))&gt;0)</f>
        <v>0</v>
      </c>
      <c r="Y297" s="14" cm="1">
        <f t="array" ref="Y297">INT(SUMPRODUCT(--ISNUMBER(SEARCH(democrattrigger,C297)))&gt;0)</f>
        <v>1</v>
      </c>
      <c r="Z297" s="14" cm="1">
        <f t="array" ref="Z297">INT(SUMPRODUCT(--ISNUMBER(SEARCH(bipartisan,C297)))&gt;0)</f>
        <v>1</v>
      </c>
      <c r="AA297" s="14">
        <f t="shared" si="4"/>
        <v>0</v>
      </c>
      <c r="AB297" s="14"/>
      <c r="AC297" s="30">
        <v>1</v>
      </c>
      <c r="AD297" s="37">
        <v>1</v>
      </c>
    </row>
    <row r="298" spans="1:30" x14ac:dyDescent="0.25">
      <c r="A298" s="36">
        <v>4139</v>
      </c>
      <c r="B298" s="14" t="s">
        <v>8301</v>
      </c>
      <c r="C298" s="14" t="s">
        <v>8302</v>
      </c>
      <c r="D298" s="17">
        <v>44114</v>
      </c>
      <c r="E298" s="14" t="s">
        <v>30</v>
      </c>
      <c r="F298" s="14">
        <v>785</v>
      </c>
      <c r="G298" s="14">
        <v>306</v>
      </c>
      <c r="H298" s="14">
        <v>18</v>
      </c>
      <c r="I298" s="14">
        <v>9</v>
      </c>
      <c r="J298" s="14" t="s">
        <v>204</v>
      </c>
      <c r="K298" s="14" cm="1">
        <f t="array" ref="K298">INT(SUMPRODUCT(--ISNUMBER(SEARCH(economy,C298)))&gt;0)</f>
        <v>0</v>
      </c>
      <c r="L298" s="14" cm="1">
        <f t="array" ref="L298">INT(SUMPRODUCT(--ISNUMBER(SEARCH(healthcare,C298)))&gt;0)</f>
        <v>0</v>
      </c>
      <c r="M298" s="14" cm="1">
        <f t="array" ref="M298">INT(SUMPRODUCT(--ISNUMBER(SEARCH(supreme,C298)))&gt;0)</f>
        <v>0</v>
      </c>
      <c r="N298" s="14" cm="1">
        <f t="array" ref="N298">INT(SUMPRODUCT(--ISNUMBER(SEARCH(covid,C298)))&gt;0)</f>
        <v>0</v>
      </c>
      <c r="O298" s="14" cm="1">
        <f t="array" ref="O298">INT(SUMPRODUCT(--ISNUMBER(SEARCH(violent,C298)))&gt;0)</f>
        <v>0</v>
      </c>
      <c r="P298" s="14" cm="1">
        <f t="array" ref="P298">INT(SUMPRODUCT(--ISNUMBER(SEARCH(foreign,C298)))&gt;0)</f>
        <v>0</v>
      </c>
      <c r="Q298" s="14" cm="1">
        <f t="array" ref="Q298">INT(SUMPRODUCT(--ISNUMBER(SEARCH(gun,C298)))&gt;0)</f>
        <v>0</v>
      </c>
      <c r="R298" s="14" cm="1">
        <f t="array" ref="R298">INT(SUMPRODUCT(--ISNUMBER(SEARCH(race,C298)))&gt;0)</f>
        <v>1</v>
      </c>
      <c r="S298" s="14" cm="1">
        <f t="array" ref="S298">INT(SUMPRODUCT(--ISNUMBER(SEARCH(immigration,C298)))&gt;0)</f>
        <v>1</v>
      </c>
      <c r="T298" s="14" cm="1">
        <f t="array" ref="T298">INT(SUMPRODUCT(--ISNUMBER(SEARCH(econineq,C299)))&gt;0)</f>
        <v>0</v>
      </c>
      <c r="U298" s="14" cm="1">
        <f t="array" ref="U298">INT(SUMPRODUCT(--ISNUMBER(SEARCH(climate,C298)))&gt;0)</f>
        <v>0</v>
      </c>
      <c r="V298" s="14" cm="1">
        <f t="array" ref="V298">INT(SUMPRODUCT(--ISNUMBER(SEARCH(abortion,C298)))&gt;0)</f>
        <v>0</v>
      </c>
      <c r="W298" s="14" cm="1">
        <f t="array" ref="W298">INT(SUMPRODUCT(--ISNUMBER(SEARCH(trump,C298)))&gt;0)</f>
        <v>0</v>
      </c>
      <c r="X298" s="14" cm="1">
        <f t="array" ref="X298">INT(SUMPRODUCT(--ISNUMBER(SEARCH(voting,C298)))&gt;0)</f>
        <v>0</v>
      </c>
      <c r="Y298" s="14" cm="1">
        <f t="array" ref="Y298">INT(SUMPRODUCT(--ISNUMBER(SEARCH(democrattrigger,C298)))&gt;0)</f>
        <v>1</v>
      </c>
      <c r="Z298" s="14" cm="1">
        <f t="array" ref="Z298">INT(SUMPRODUCT(--ISNUMBER(SEARCH(bipartisan,C298)))&gt;0)</f>
        <v>1</v>
      </c>
      <c r="AA298" s="14">
        <f t="shared" si="4"/>
        <v>0</v>
      </c>
      <c r="AB298" s="14"/>
      <c r="AC298" s="30" t="s">
        <v>223</v>
      </c>
      <c r="AD298" s="37" t="s">
        <v>223</v>
      </c>
    </row>
    <row r="299" spans="1:30" x14ac:dyDescent="0.25">
      <c r="A299" s="36">
        <v>4140</v>
      </c>
      <c r="B299" s="14" t="s">
        <v>8303</v>
      </c>
      <c r="C299" s="14" t="s">
        <v>8304</v>
      </c>
      <c r="D299" s="17">
        <v>44114</v>
      </c>
      <c r="E299" s="14" t="s">
        <v>30</v>
      </c>
      <c r="F299" s="14">
        <v>1410</v>
      </c>
      <c r="G299" s="14">
        <v>475</v>
      </c>
      <c r="H299" s="14">
        <v>18</v>
      </c>
      <c r="I299" s="14">
        <v>9</v>
      </c>
      <c r="J299" s="14" t="s">
        <v>204</v>
      </c>
      <c r="K299" s="14" cm="1">
        <f t="array" ref="K299">INT(SUMPRODUCT(--ISNUMBER(SEARCH(economy,C299)))&gt;0)</f>
        <v>0</v>
      </c>
      <c r="L299" s="14" cm="1">
        <f t="array" ref="L299">INT(SUMPRODUCT(--ISNUMBER(SEARCH(healthcare,C299)))&gt;0)</f>
        <v>0</v>
      </c>
      <c r="M299" s="14" cm="1">
        <f t="array" ref="M299">INT(SUMPRODUCT(--ISNUMBER(SEARCH(supreme,C299)))&gt;0)</f>
        <v>0</v>
      </c>
      <c r="N299" s="14" cm="1">
        <f t="array" ref="N299">INT(SUMPRODUCT(--ISNUMBER(SEARCH(covid,C299)))&gt;0)</f>
        <v>0</v>
      </c>
      <c r="O299" s="14" cm="1">
        <f t="array" ref="O299">INT(SUMPRODUCT(--ISNUMBER(SEARCH(violent,C299)))&gt;0)</f>
        <v>0</v>
      </c>
      <c r="P299" s="14" cm="1">
        <f t="array" ref="P299">INT(SUMPRODUCT(--ISNUMBER(SEARCH(foreign,C299)))&gt;0)</f>
        <v>0</v>
      </c>
      <c r="Q299" s="14" cm="1">
        <f t="array" ref="Q299">INT(SUMPRODUCT(--ISNUMBER(SEARCH(gun,C299)))&gt;0)</f>
        <v>0</v>
      </c>
      <c r="R299" s="14" cm="1">
        <f t="array" ref="R299">INT(SUMPRODUCT(--ISNUMBER(SEARCH(race,C299)))&gt;0)</f>
        <v>0</v>
      </c>
      <c r="S299" s="14" cm="1">
        <f t="array" ref="S299">INT(SUMPRODUCT(--ISNUMBER(SEARCH(immigration,C299)))&gt;0)</f>
        <v>0</v>
      </c>
      <c r="T299" s="14" cm="1">
        <f t="array" ref="T299">INT(SUMPRODUCT(--ISNUMBER(SEARCH(econineq,C300)))&gt;0)</f>
        <v>0</v>
      </c>
      <c r="U299" s="14" cm="1">
        <f t="array" ref="U299">INT(SUMPRODUCT(--ISNUMBER(SEARCH(climate,C299)))&gt;0)</f>
        <v>0</v>
      </c>
      <c r="V299" s="14" cm="1">
        <f t="array" ref="V299">INT(SUMPRODUCT(--ISNUMBER(SEARCH(abortion,C299)))&gt;0)</f>
        <v>0</v>
      </c>
      <c r="W299" s="14" cm="1">
        <f t="array" ref="W299">INT(SUMPRODUCT(--ISNUMBER(SEARCH(trump,C299)))&gt;0)</f>
        <v>0</v>
      </c>
      <c r="X299" s="14" cm="1">
        <f t="array" ref="X299">INT(SUMPRODUCT(--ISNUMBER(SEARCH(voting,C299)))&gt;0)</f>
        <v>0</v>
      </c>
      <c r="Y299" s="14" cm="1">
        <f t="array" ref="Y299">INT(SUMPRODUCT(--ISNUMBER(SEARCH(democrattrigger,C299)))&gt;0)</f>
        <v>1</v>
      </c>
      <c r="Z299" s="14" cm="1">
        <f t="array" ref="Z299">INT(SUMPRODUCT(--ISNUMBER(SEARCH(bipartisan,C299)))&gt;0)</f>
        <v>0</v>
      </c>
      <c r="AA299" s="14">
        <f t="shared" si="4"/>
        <v>0</v>
      </c>
      <c r="AB299" s="14"/>
      <c r="AC299" s="30" t="s">
        <v>223</v>
      </c>
      <c r="AD299" s="37" t="s">
        <v>223</v>
      </c>
    </row>
    <row r="300" spans="1:30" x14ac:dyDescent="0.25">
      <c r="A300" s="36">
        <v>4141</v>
      </c>
      <c r="B300" s="14" t="s">
        <v>8305</v>
      </c>
      <c r="C300" s="14" t="s">
        <v>8306</v>
      </c>
      <c r="D300" s="17">
        <v>44114</v>
      </c>
      <c r="E300" s="14" t="s">
        <v>30</v>
      </c>
      <c r="F300" s="14">
        <v>688</v>
      </c>
      <c r="G300" s="14">
        <v>230</v>
      </c>
      <c r="H300" s="14">
        <v>18</v>
      </c>
      <c r="I300" s="14">
        <v>9</v>
      </c>
      <c r="J300" s="14" t="s">
        <v>204</v>
      </c>
      <c r="K300" s="14" cm="1">
        <f t="array" ref="K300">INT(SUMPRODUCT(--ISNUMBER(SEARCH(economy,C300)))&gt;0)</f>
        <v>0</v>
      </c>
      <c r="L300" s="14" cm="1">
        <f t="array" ref="L300">INT(SUMPRODUCT(--ISNUMBER(SEARCH(healthcare,C300)))&gt;0)</f>
        <v>0</v>
      </c>
      <c r="M300" s="14" cm="1">
        <f t="array" ref="M300">INT(SUMPRODUCT(--ISNUMBER(SEARCH(supreme,C300)))&gt;0)</f>
        <v>0</v>
      </c>
      <c r="N300" s="14" cm="1">
        <f t="array" ref="N300">INT(SUMPRODUCT(--ISNUMBER(SEARCH(covid,C300)))&gt;0)</f>
        <v>0</v>
      </c>
      <c r="O300" s="14" cm="1">
        <f t="array" ref="O300">INT(SUMPRODUCT(--ISNUMBER(SEARCH(violent,C300)))&gt;0)</f>
        <v>0</v>
      </c>
      <c r="P300" s="14" cm="1">
        <f t="array" ref="P300">INT(SUMPRODUCT(--ISNUMBER(SEARCH(foreign,C300)))&gt;0)</f>
        <v>0</v>
      </c>
      <c r="Q300" s="14" cm="1">
        <f t="array" ref="Q300">INT(SUMPRODUCT(--ISNUMBER(SEARCH(gun,C300)))&gt;0)</f>
        <v>0</v>
      </c>
      <c r="R300" s="14" cm="1">
        <f t="array" ref="R300">INT(SUMPRODUCT(--ISNUMBER(SEARCH(race,C300)))&gt;0)</f>
        <v>0</v>
      </c>
      <c r="S300" s="14" cm="1">
        <f t="array" ref="S300">INT(SUMPRODUCT(--ISNUMBER(SEARCH(immigration,C300)))&gt;0)</f>
        <v>0</v>
      </c>
      <c r="T300" s="14" cm="1">
        <f t="array" ref="T300">INT(SUMPRODUCT(--ISNUMBER(SEARCH(econineq,C301)))&gt;0)</f>
        <v>1</v>
      </c>
      <c r="U300" s="14" cm="1">
        <f t="array" ref="U300">INT(SUMPRODUCT(--ISNUMBER(SEARCH(climate,C300)))&gt;0)</f>
        <v>0</v>
      </c>
      <c r="V300" s="14" cm="1">
        <f t="array" ref="V300">INT(SUMPRODUCT(--ISNUMBER(SEARCH(abortion,C300)))&gt;0)</f>
        <v>0</v>
      </c>
      <c r="W300" s="14" cm="1">
        <f t="array" ref="W300">INT(SUMPRODUCT(--ISNUMBER(SEARCH(trump,C300)))&gt;0)</f>
        <v>0</v>
      </c>
      <c r="X300" s="14" cm="1">
        <f t="array" ref="X300">INT(SUMPRODUCT(--ISNUMBER(SEARCH(voting,C300)))&gt;0)</f>
        <v>0</v>
      </c>
      <c r="Y300" s="14" cm="1">
        <f t="array" ref="Y300">INT(SUMPRODUCT(--ISNUMBER(SEARCH(democrattrigger,C300)))&gt;0)</f>
        <v>0</v>
      </c>
      <c r="Z300" s="14" cm="1">
        <f t="array" ref="Z300">INT(SUMPRODUCT(--ISNUMBER(SEARCH(bipartisan,C300)))&gt;0)</f>
        <v>0</v>
      </c>
      <c r="AA300" s="14">
        <f t="shared" si="4"/>
        <v>0</v>
      </c>
      <c r="AB300" s="14"/>
      <c r="AC300" s="30" t="s">
        <v>223</v>
      </c>
      <c r="AD300" s="37" t="s">
        <v>223</v>
      </c>
    </row>
    <row r="301" spans="1:30" x14ac:dyDescent="0.25">
      <c r="A301" s="36">
        <v>4142</v>
      </c>
      <c r="B301" s="14" t="s">
        <v>8307</v>
      </c>
      <c r="C301" s="14" t="s">
        <v>8308</v>
      </c>
      <c r="D301" s="17">
        <v>44114</v>
      </c>
      <c r="E301" s="14" t="s">
        <v>30</v>
      </c>
      <c r="F301" s="14">
        <v>833</v>
      </c>
      <c r="G301" s="14">
        <v>279</v>
      </c>
      <c r="H301" s="14">
        <v>18</v>
      </c>
      <c r="I301" s="14">
        <v>9</v>
      </c>
      <c r="J301" s="14" t="s">
        <v>204</v>
      </c>
      <c r="K301" s="14" cm="1">
        <f t="array" ref="K301">INT(SUMPRODUCT(--ISNUMBER(SEARCH(economy,C301)))&gt;0)</f>
        <v>1</v>
      </c>
      <c r="L301" s="14" cm="1">
        <f t="array" ref="L301">INT(SUMPRODUCT(--ISNUMBER(SEARCH(healthcare,C301)))&gt;0)</f>
        <v>1</v>
      </c>
      <c r="M301" s="14" cm="1">
        <f t="array" ref="M301">INT(SUMPRODUCT(--ISNUMBER(SEARCH(supreme,C301)))&gt;0)</f>
        <v>0</v>
      </c>
      <c r="N301" s="14" cm="1">
        <f t="array" ref="N301">INT(SUMPRODUCT(--ISNUMBER(SEARCH(covid,C301)))&gt;0)</f>
        <v>0</v>
      </c>
      <c r="O301" s="14" cm="1">
        <f t="array" ref="O301">INT(SUMPRODUCT(--ISNUMBER(SEARCH(violent,C301)))&gt;0)</f>
        <v>1</v>
      </c>
      <c r="P301" s="14" cm="1">
        <f t="array" ref="P301">INT(SUMPRODUCT(--ISNUMBER(SEARCH(foreign,C301)))&gt;0)</f>
        <v>0</v>
      </c>
      <c r="Q301" s="14" cm="1">
        <f t="array" ref="Q301">INT(SUMPRODUCT(--ISNUMBER(SEARCH(gun,C301)))&gt;0)</f>
        <v>0</v>
      </c>
      <c r="R301" s="14" cm="1">
        <f t="array" ref="R301">INT(SUMPRODUCT(--ISNUMBER(SEARCH(race,C301)))&gt;0)</f>
        <v>1</v>
      </c>
      <c r="S301" s="14" cm="1">
        <f t="array" ref="S301">INT(SUMPRODUCT(--ISNUMBER(SEARCH(immigration,C301)))&gt;0)</f>
        <v>0</v>
      </c>
      <c r="T301" s="14" cm="1">
        <f t="array" ref="T301">INT(SUMPRODUCT(--ISNUMBER(SEARCH(econineq,C302)))&gt;0)</f>
        <v>0</v>
      </c>
      <c r="U301" s="14" cm="1">
        <f t="array" ref="U301">INT(SUMPRODUCT(--ISNUMBER(SEARCH(climate,C301)))&gt;0)</f>
        <v>0</v>
      </c>
      <c r="V301" s="14" cm="1">
        <f t="array" ref="V301">INT(SUMPRODUCT(--ISNUMBER(SEARCH(abortion,C301)))&gt;0)</f>
        <v>0</v>
      </c>
      <c r="W301" s="14" cm="1">
        <f t="array" ref="W301">INT(SUMPRODUCT(--ISNUMBER(SEARCH(trump,C301)))&gt;0)</f>
        <v>0</v>
      </c>
      <c r="X301" s="14" cm="1">
        <f t="array" ref="X301">INT(SUMPRODUCT(--ISNUMBER(SEARCH(voting,C301)))&gt;0)</f>
        <v>0</v>
      </c>
      <c r="Y301" s="14" cm="1">
        <f t="array" ref="Y301">INT(SUMPRODUCT(--ISNUMBER(SEARCH(democrattrigger,C301)))&gt;0)</f>
        <v>0</v>
      </c>
      <c r="Z301" s="14" cm="1">
        <f t="array" ref="Z301">INT(SUMPRODUCT(--ISNUMBER(SEARCH(bipartisan,C301)))&gt;0)</f>
        <v>0</v>
      </c>
      <c r="AA301" s="14">
        <f t="shared" si="4"/>
        <v>0</v>
      </c>
      <c r="AB301" s="14"/>
      <c r="AC301" s="30" t="s">
        <v>223</v>
      </c>
      <c r="AD301" s="37" t="s">
        <v>223</v>
      </c>
    </row>
    <row r="302" spans="1:30" x14ac:dyDescent="0.25">
      <c r="A302" s="36">
        <v>4143</v>
      </c>
      <c r="B302" s="14" t="s">
        <v>8309</v>
      </c>
      <c r="C302" s="14" t="s">
        <v>8310</v>
      </c>
      <c r="D302" s="17">
        <v>44114</v>
      </c>
      <c r="E302" s="14" t="s">
        <v>30</v>
      </c>
      <c r="F302" s="14">
        <v>1787</v>
      </c>
      <c r="G302" s="14">
        <v>855</v>
      </c>
      <c r="H302" s="14">
        <v>18</v>
      </c>
      <c r="I302" s="14">
        <v>9</v>
      </c>
      <c r="J302" s="14" t="s">
        <v>204</v>
      </c>
      <c r="K302" s="14" cm="1">
        <f t="array" ref="K302">INT(SUMPRODUCT(--ISNUMBER(SEARCH(economy,C302)))&gt;0)</f>
        <v>0</v>
      </c>
      <c r="L302" s="14" cm="1">
        <f t="array" ref="L302">INT(SUMPRODUCT(--ISNUMBER(SEARCH(healthcare,C302)))&gt;0)</f>
        <v>0</v>
      </c>
      <c r="M302" s="14" cm="1">
        <f t="array" ref="M302">INT(SUMPRODUCT(--ISNUMBER(SEARCH(supreme,C302)))&gt;0)</f>
        <v>0</v>
      </c>
      <c r="N302" s="14" cm="1">
        <f t="array" ref="N302">INT(SUMPRODUCT(--ISNUMBER(SEARCH(covid,C302)))&gt;0)</f>
        <v>0</v>
      </c>
      <c r="O302" s="14" cm="1">
        <f t="array" ref="O302">INT(SUMPRODUCT(--ISNUMBER(SEARCH(violent,C302)))&gt;0)</f>
        <v>0</v>
      </c>
      <c r="P302" s="14" cm="1">
        <f t="array" ref="P302">INT(SUMPRODUCT(--ISNUMBER(SEARCH(foreign,C302)))&gt;0)</f>
        <v>0</v>
      </c>
      <c r="Q302" s="14" cm="1">
        <f t="array" ref="Q302">INT(SUMPRODUCT(--ISNUMBER(SEARCH(gun,C302)))&gt;0)</f>
        <v>1</v>
      </c>
      <c r="R302" s="14" cm="1">
        <f t="array" ref="R302">INT(SUMPRODUCT(--ISNUMBER(SEARCH(race,C302)))&gt;0)</f>
        <v>0</v>
      </c>
      <c r="S302" s="14" cm="1">
        <f t="array" ref="S302">INT(SUMPRODUCT(--ISNUMBER(SEARCH(immigration,C302)))&gt;0)</f>
        <v>0</v>
      </c>
      <c r="T302" s="14" cm="1">
        <f t="array" ref="T302">INT(SUMPRODUCT(--ISNUMBER(SEARCH(econineq,C303)))&gt;0)</f>
        <v>0</v>
      </c>
      <c r="U302" s="14" cm="1">
        <f t="array" ref="U302">INT(SUMPRODUCT(--ISNUMBER(SEARCH(climate,C302)))&gt;0)</f>
        <v>0</v>
      </c>
      <c r="V302" s="14" cm="1">
        <f t="array" ref="V302">INT(SUMPRODUCT(--ISNUMBER(SEARCH(abortion,C302)))&gt;0)</f>
        <v>0</v>
      </c>
      <c r="W302" s="14" cm="1">
        <f t="array" ref="W302">INT(SUMPRODUCT(--ISNUMBER(SEARCH(trump,C302)))&gt;0)</f>
        <v>0</v>
      </c>
      <c r="X302" s="14" cm="1">
        <f t="array" ref="X302">INT(SUMPRODUCT(--ISNUMBER(SEARCH(voting,C302)))&gt;0)</f>
        <v>0</v>
      </c>
      <c r="Y302" s="14" cm="1">
        <f t="array" ref="Y302">INT(SUMPRODUCT(--ISNUMBER(SEARCH(democrattrigger,C302)))&gt;0)</f>
        <v>1</v>
      </c>
      <c r="Z302" s="14" cm="1">
        <f t="array" ref="Z302">INT(SUMPRODUCT(--ISNUMBER(SEARCH(bipartisan,C302)))&gt;0)</f>
        <v>0</v>
      </c>
      <c r="AA302" s="14">
        <f t="shared" si="4"/>
        <v>0</v>
      </c>
      <c r="AB302" s="14"/>
      <c r="AC302" s="30">
        <v>1</v>
      </c>
      <c r="AD302" s="37">
        <v>1</v>
      </c>
    </row>
    <row r="303" spans="1:30" x14ac:dyDescent="0.25">
      <c r="A303" s="36">
        <v>4144</v>
      </c>
      <c r="B303" s="14" t="s">
        <v>8311</v>
      </c>
      <c r="C303" s="14" t="s">
        <v>8312</v>
      </c>
      <c r="D303" s="17">
        <v>44114</v>
      </c>
      <c r="E303" s="14" t="s">
        <v>30</v>
      </c>
      <c r="F303" s="14">
        <v>1389</v>
      </c>
      <c r="G303" s="14">
        <v>482</v>
      </c>
      <c r="H303" s="14">
        <v>18</v>
      </c>
      <c r="I303" s="14">
        <v>9</v>
      </c>
      <c r="J303" s="14" t="s">
        <v>204</v>
      </c>
      <c r="K303" s="14" cm="1">
        <f t="array" ref="K303">INT(SUMPRODUCT(--ISNUMBER(SEARCH(economy,C303)))&gt;0)</f>
        <v>0</v>
      </c>
      <c r="L303" s="14" cm="1">
        <f t="array" ref="L303">INT(SUMPRODUCT(--ISNUMBER(SEARCH(healthcare,C303)))&gt;0)</f>
        <v>0</v>
      </c>
      <c r="M303" s="14" cm="1">
        <f t="array" ref="M303">INT(SUMPRODUCT(--ISNUMBER(SEARCH(supreme,C303)))&gt;0)</f>
        <v>0</v>
      </c>
      <c r="N303" s="14" cm="1">
        <f t="array" ref="N303">INT(SUMPRODUCT(--ISNUMBER(SEARCH(covid,C303)))&gt;0)</f>
        <v>0</v>
      </c>
      <c r="O303" s="14" cm="1">
        <f t="array" ref="O303">INT(SUMPRODUCT(--ISNUMBER(SEARCH(violent,C303)))&gt;0)</f>
        <v>0</v>
      </c>
      <c r="P303" s="14" cm="1">
        <f t="array" ref="P303">INT(SUMPRODUCT(--ISNUMBER(SEARCH(foreign,C303)))&gt;0)</f>
        <v>0</v>
      </c>
      <c r="Q303" s="14" cm="1">
        <f t="array" ref="Q303">INT(SUMPRODUCT(--ISNUMBER(SEARCH(gun,C303)))&gt;0)</f>
        <v>0</v>
      </c>
      <c r="R303" s="14" cm="1">
        <f t="array" ref="R303">INT(SUMPRODUCT(--ISNUMBER(SEARCH(race,C303)))&gt;0)</f>
        <v>1</v>
      </c>
      <c r="S303" s="14" cm="1">
        <f t="array" ref="S303">INT(SUMPRODUCT(--ISNUMBER(SEARCH(immigration,C303)))&gt;0)</f>
        <v>0</v>
      </c>
      <c r="T303" s="14" cm="1">
        <f t="array" ref="T303">INT(SUMPRODUCT(--ISNUMBER(SEARCH(econineq,C304)))&gt;0)</f>
        <v>0</v>
      </c>
      <c r="U303" s="14" cm="1">
        <f t="array" ref="U303">INT(SUMPRODUCT(--ISNUMBER(SEARCH(climate,C303)))&gt;0)</f>
        <v>0</v>
      </c>
      <c r="V303" s="14" cm="1">
        <f t="array" ref="V303">INT(SUMPRODUCT(--ISNUMBER(SEARCH(abortion,C303)))&gt;0)</f>
        <v>0</v>
      </c>
      <c r="W303" s="14" cm="1">
        <f t="array" ref="W303">INT(SUMPRODUCT(--ISNUMBER(SEARCH(trump,C303)))&gt;0)</f>
        <v>0</v>
      </c>
      <c r="X303" s="14" cm="1">
        <f t="array" ref="X303">INT(SUMPRODUCT(--ISNUMBER(SEARCH(voting,C303)))&gt;0)</f>
        <v>0</v>
      </c>
      <c r="Y303" s="14" cm="1">
        <f t="array" ref="Y303">INT(SUMPRODUCT(--ISNUMBER(SEARCH(democrattrigger,C303)))&gt;0)</f>
        <v>1</v>
      </c>
      <c r="Z303" s="14" cm="1">
        <f t="array" ref="Z303">INT(SUMPRODUCT(--ISNUMBER(SEARCH(bipartisan,C303)))&gt;0)</f>
        <v>0</v>
      </c>
      <c r="AA303" s="14">
        <f t="shared" si="4"/>
        <v>0</v>
      </c>
      <c r="AB303" s="14"/>
      <c r="AC303" s="30" t="s">
        <v>223</v>
      </c>
      <c r="AD303" s="37" t="s">
        <v>223</v>
      </c>
    </row>
    <row r="304" spans="1:30" x14ac:dyDescent="0.25">
      <c r="A304" s="36">
        <v>4145</v>
      </c>
      <c r="B304" s="14" t="s">
        <v>8313</v>
      </c>
      <c r="C304" s="14" t="s">
        <v>8314</v>
      </c>
      <c r="D304" s="17">
        <v>44114</v>
      </c>
      <c r="E304" s="14" t="s">
        <v>30</v>
      </c>
      <c r="F304" s="14">
        <v>1855</v>
      </c>
      <c r="G304" s="14">
        <v>684</v>
      </c>
      <c r="H304" s="14">
        <v>18</v>
      </c>
      <c r="I304" s="14">
        <v>9</v>
      </c>
      <c r="J304" s="14" t="s">
        <v>204</v>
      </c>
      <c r="K304" s="14" cm="1">
        <f t="array" ref="K304">INT(SUMPRODUCT(--ISNUMBER(SEARCH(economy,C304)))&gt;0)</f>
        <v>0</v>
      </c>
      <c r="L304" s="14" cm="1">
        <f t="array" ref="L304">INT(SUMPRODUCT(--ISNUMBER(SEARCH(healthcare,C304)))&gt;0)</f>
        <v>0</v>
      </c>
      <c r="M304" s="14" cm="1">
        <f t="array" ref="M304">INT(SUMPRODUCT(--ISNUMBER(SEARCH(supreme,C304)))&gt;0)</f>
        <v>0</v>
      </c>
      <c r="N304" s="14" cm="1">
        <f t="array" ref="N304">INT(SUMPRODUCT(--ISNUMBER(SEARCH(covid,C304)))&gt;0)</f>
        <v>1</v>
      </c>
      <c r="O304" s="14" cm="1">
        <f t="array" ref="O304">INT(SUMPRODUCT(--ISNUMBER(SEARCH(violent,C304)))&gt;0)</f>
        <v>0</v>
      </c>
      <c r="P304" s="14" cm="1">
        <f t="array" ref="P304">INT(SUMPRODUCT(--ISNUMBER(SEARCH(foreign,C304)))&gt;0)</f>
        <v>0</v>
      </c>
      <c r="Q304" s="14" cm="1">
        <f t="array" ref="Q304">INT(SUMPRODUCT(--ISNUMBER(SEARCH(gun,C304)))&gt;0)</f>
        <v>0</v>
      </c>
      <c r="R304" s="14" cm="1">
        <f t="array" ref="R304">INT(SUMPRODUCT(--ISNUMBER(SEARCH(race,C304)))&gt;0)</f>
        <v>0</v>
      </c>
      <c r="S304" s="14" cm="1">
        <f t="array" ref="S304">INT(SUMPRODUCT(--ISNUMBER(SEARCH(immigration,C304)))&gt;0)</f>
        <v>0</v>
      </c>
      <c r="T304" s="14" cm="1">
        <f t="array" ref="T304">INT(SUMPRODUCT(--ISNUMBER(SEARCH(econineq,C305)))&gt;0)</f>
        <v>0</v>
      </c>
      <c r="U304" s="14" cm="1">
        <f t="array" ref="U304">INT(SUMPRODUCT(--ISNUMBER(SEARCH(climate,C304)))&gt;0)</f>
        <v>0</v>
      </c>
      <c r="V304" s="14" cm="1">
        <f t="array" ref="V304">INT(SUMPRODUCT(--ISNUMBER(SEARCH(abortion,C304)))&gt;0)</f>
        <v>0</v>
      </c>
      <c r="W304" s="14" cm="1">
        <f t="array" ref="W304">INT(SUMPRODUCT(--ISNUMBER(SEARCH(trump,C304)))&gt;0)</f>
        <v>0</v>
      </c>
      <c r="X304" s="14" cm="1">
        <f t="array" ref="X304">INT(SUMPRODUCT(--ISNUMBER(SEARCH(voting,C304)))&gt;0)</f>
        <v>0</v>
      </c>
      <c r="Y304" s="14" cm="1">
        <f t="array" ref="Y304">INT(SUMPRODUCT(--ISNUMBER(SEARCH(democrattrigger,C304)))&gt;0)</f>
        <v>1</v>
      </c>
      <c r="Z304" s="14" cm="1">
        <f t="array" ref="Z304">INT(SUMPRODUCT(--ISNUMBER(SEARCH(bipartisan,C304)))&gt;0)</f>
        <v>0</v>
      </c>
      <c r="AA304" s="14">
        <f t="shared" si="4"/>
        <v>0</v>
      </c>
      <c r="AB304" s="14"/>
      <c r="AC304" s="30">
        <v>0</v>
      </c>
      <c r="AD304" s="37">
        <v>1</v>
      </c>
    </row>
    <row r="305" spans="1:30" x14ac:dyDescent="0.25">
      <c r="A305" s="36">
        <v>4146</v>
      </c>
      <c r="B305" s="14" t="s">
        <v>8315</v>
      </c>
      <c r="C305" s="14" t="s">
        <v>8316</v>
      </c>
      <c r="D305" s="17">
        <v>44114</v>
      </c>
      <c r="E305" s="14" t="s">
        <v>30</v>
      </c>
      <c r="F305" s="14">
        <v>1682</v>
      </c>
      <c r="G305" s="14">
        <v>743</v>
      </c>
      <c r="H305" s="14">
        <v>18</v>
      </c>
      <c r="I305" s="14">
        <v>9</v>
      </c>
      <c r="J305" s="14" t="s">
        <v>204</v>
      </c>
      <c r="K305" s="14" cm="1">
        <f t="array" ref="K305">INT(SUMPRODUCT(--ISNUMBER(SEARCH(economy,C305)))&gt;0)</f>
        <v>1</v>
      </c>
      <c r="L305" s="14" cm="1">
        <f t="array" ref="L305">INT(SUMPRODUCT(--ISNUMBER(SEARCH(healthcare,C305)))&gt;0)</f>
        <v>0</v>
      </c>
      <c r="M305" s="14" cm="1">
        <f t="array" ref="M305">INT(SUMPRODUCT(--ISNUMBER(SEARCH(supreme,C305)))&gt;0)</f>
        <v>1</v>
      </c>
      <c r="N305" s="14" cm="1">
        <f t="array" ref="N305">INT(SUMPRODUCT(--ISNUMBER(SEARCH(covid,C305)))&gt;0)</f>
        <v>1</v>
      </c>
      <c r="O305" s="14" cm="1">
        <f t="array" ref="O305">INT(SUMPRODUCT(--ISNUMBER(SEARCH(violent,C305)))&gt;0)</f>
        <v>0</v>
      </c>
      <c r="P305" s="14" cm="1">
        <f t="array" ref="P305">INT(SUMPRODUCT(--ISNUMBER(SEARCH(foreign,C305)))&gt;0)</f>
        <v>0</v>
      </c>
      <c r="Q305" s="14" cm="1">
        <f t="array" ref="Q305">INT(SUMPRODUCT(--ISNUMBER(SEARCH(gun,C305)))&gt;0)</f>
        <v>0</v>
      </c>
      <c r="R305" s="14" cm="1">
        <f t="array" ref="R305">INT(SUMPRODUCT(--ISNUMBER(SEARCH(race,C305)))&gt;0)</f>
        <v>0</v>
      </c>
      <c r="S305" s="14" cm="1">
        <f t="array" ref="S305">INT(SUMPRODUCT(--ISNUMBER(SEARCH(immigration,C305)))&gt;0)</f>
        <v>0</v>
      </c>
      <c r="T305" s="14" cm="1">
        <f t="array" ref="T305">INT(SUMPRODUCT(--ISNUMBER(SEARCH(econineq,C306)))&gt;0)</f>
        <v>0</v>
      </c>
      <c r="U305" s="14" cm="1">
        <f t="array" ref="U305">INT(SUMPRODUCT(--ISNUMBER(SEARCH(climate,C305)))&gt;0)</f>
        <v>0</v>
      </c>
      <c r="V305" s="14" cm="1">
        <f t="array" ref="V305">INT(SUMPRODUCT(--ISNUMBER(SEARCH(abortion,C305)))&gt;0)</f>
        <v>0</v>
      </c>
      <c r="W305" s="14" cm="1">
        <f t="array" ref="W305">INT(SUMPRODUCT(--ISNUMBER(SEARCH(trump,C305)))&gt;0)</f>
        <v>1</v>
      </c>
      <c r="X305" s="14" cm="1">
        <f t="array" ref="X305">INT(SUMPRODUCT(--ISNUMBER(SEARCH(voting,C305)))&gt;0)</f>
        <v>0</v>
      </c>
      <c r="Y305" s="14" cm="1">
        <f t="array" ref="Y305">INT(SUMPRODUCT(--ISNUMBER(SEARCH(democrattrigger,C305)))&gt;0)</f>
        <v>1</v>
      </c>
      <c r="Z305" s="14" cm="1">
        <f t="array" ref="Z305">INT(SUMPRODUCT(--ISNUMBER(SEARCH(bipartisan,C305)))&gt;0)</f>
        <v>0</v>
      </c>
      <c r="AA305" s="14">
        <f t="shared" si="4"/>
        <v>0</v>
      </c>
      <c r="AB305" s="14"/>
      <c r="AC305" s="30" t="s">
        <v>223</v>
      </c>
      <c r="AD305" s="37" t="s">
        <v>223</v>
      </c>
    </row>
    <row r="306" spans="1:30" x14ac:dyDescent="0.25">
      <c r="A306" s="36">
        <v>4147</v>
      </c>
      <c r="B306" s="14" t="s">
        <v>8317</v>
      </c>
      <c r="C306" s="14" t="s">
        <v>8318</v>
      </c>
      <c r="D306" s="17">
        <v>44114</v>
      </c>
      <c r="E306" s="14" t="s">
        <v>30</v>
      </c>
      <c r="F306" s="14">
        <v>19328</v>
      </c>
      <c r="G306" s="14">
        <v>5332</v>
      </c>
      <c r="H306" s="14">
        <v>18</v>
      </c>
      <c r="I306" s="14">
        <v>9</v>
      </c>
      <c r="J306" s="14" t="s">
        <v>204</v>
      </c>
      <c r="K306" s="14" cm="1">
        <f t="array" ref="K306">INT(SUMPRODUCT(--ISNUMBER(SEARCH(economy,C306)))&gt;0)</f>
        <v>0</v>
      </c>
      <c r="L306" s="14" cm="1">
        <f t="array" ref="L306">INT(SUMPRODUCT(--ISNUMBER(SEARCH(healthcare,C306)))&gt;0)</f>
        <v>0</v>
      </c>
      <c r="M306" s="14" cm="1">
        <f t="array" ref="M306">INT(SUMPRODUCT(--ISNUMBER(SEARCH(supreme,C306)))&gt;0)</f>
        <v>0</v>
      </c>
      <c r="N306" s="14" cm="1">
        <f t="array" ref="N306">INT(SUMPRODUCT(--ISNUMBER(SEARCH(covid,C306)))&gt;0)</f>
        <v>0</v>
      </c>
      <c r="O306" s="14" cm="1">
        <f t="array" ref="O306">INT(SUMPRODUCT(--ISNUMBER(SEARCH(violent,C306)))&gt;0)</f>
        <v>0</v>
      </c>
      <c r="P306" s="14" cm="1">
        <f t="array" ref="P306">INT(SUMPRODUCT(--ISNUMBER(SEARCH(foreign,C306)))&gt;0)</f>
        <v>0</v>
      </c>
      <c r="Q306" s="14" cm="1">
        <f t="array" ref="Q306">INT(SUMPRODUCT(--ISNUMBER(SEARCH(gun,C306)))&gt;0)</f>
        <v>0</v>
      </c>
      <c r="R306" s="14" cm="1">
        <f t="array" ref="R306">INT(SUMPRODUCT(--ISNUMBER(SEARCH(race,C306)))&gt;0)</f>
        <v>0</v>
      </c>
      <c r="S306" s="14" cm="1">
        <f t="array" ref="S306">INT(SUMPRODUCT(--ISNUMBER(SEARCH(immigration,C306)))&gt;0)</f>
        <v>0</v>
      </c>
      <c r="T306" s="14" cm="1">
        <f t="array" ref="T306">INT(SUMPRODUCT(--ISNUMBER(SEARCH(econineq,C307)))&gt;0)</f>
        <v>0</v>
      </c>
      <c r="U306" s="14" cm="1">
        <f t="array" ref="U306">INT(SUMPRODUCT(--ISNUMBER(SEARCH(climate,C306)))&gt;0)</f>
        <v>0</v>
      </c>
      <c r="V306" s="14" cm="1">
        <f t="array" ref="V306">INT(SUMPRODUCT(--ISNUMBER(SEARCH(abortion,C306)))&gt;0)</f>
        <v>0</v>
      </c>
      <c r="W306" s="14" cm="1">
        <f t="array" ref="W306">INT(SUMPRODUCT(--ISNUMBER(SEARCH(trump,C306)))&gt;0)</f>
        <v>0</v>
      </c>
      <c r="X306" s="14" cm="1">
        <f t="array" ref="X306">INT(SUMPRODUCT(--ISNUMBER(SEARCH(voting,C306)))&gt;0)</f>
        <v>0</v>
      </c>
      <c r="Y306" s="14" cm="1">
        <f t="array" ref="Y306">INT(SUMPRODUCT(--ISNUMBER(SEARCH(democrattrigger,C306)))&gt;0)</f>
        <v>1</v>
      </c>
      <c r="Z306" s="14" cm="1">
        <f t="array" ref="Z306">INT(SUMPRODUCT(--ISNUMBER(SEARCH(bipartisan,C306)))&gt;0)</f>
        <v>0</v>
      </c>
      <c r="AA306" s="14">
        <f t="shared" si="4"/>
        <v>0</v>
      </c>
      <c r="AB306" s="14"/>
      <c r="AC306" s="30" t="s">
        <v>223</v>
      </c>
      <c r="AD306" s="37" t="s">
        <v>223</v>
      </c>
    </row>
    <row r="307" spans="1:30" x14ac:dyDescent="0.25">
      <c r="A307" s="36">
        <v>4148</v>
      </c>
      <c r="B307" s="14" t="s">
        <v>8319</v>
      </c>
      <c r="C307" s="14" t="s">
        <v>8320</v>
      </c>
      <c r="D307" s="17">
        <v>44114</v>
      </c>
      <c r="E307" s="14" t="s">
        <v>30</v>
      </c>
      <c r="F307" s="14">
        <v>1029</v>
      </c>
      <c r="G307" s="14">
        <v>217</v>
      </c>
      <c r="H307" s="14">
        <v>18</v>
      </c>
      <c r="I307" s="14">
        <v>9</v>
      </c>
      <c r="J307" s="14" t="s">
        <v>204</v>
      </c>
      <c r="K307" s="14" cm="1">
        <f t="array" ref="K307">INT(SUMPRODUCT(--ISNUMBER(SEARCH(economy,C307)))&gt;0)</f>
        <v>0</v>
      </c>
      <c r="L307" s="14" cm="1">
        <f t="array" ref="L307">INT(SUMPRODUCT(--ISNUMBER(SEARCH(healthcare,C307)))&gt;0)</f>
        <v>0</v>
      </c>
      <c r="M307" s="14" cm="1">
        <f t="array" ref="M307">INT(SUMPRODUCT(--ISNUMBER(SEARCH(supreme,C307)))&gt;0)</f>
        <v>0</v>
      </c>
      <c r="N307" s="14" cm="1">
        <f t="array" ref="N307">INT(SUMPRODUCT(--ISNUMBER(SEARCH(covid,C307)))&gt;0)</f>
        <v>0</v>
      </c>
      <c r="O307" s="14" cm="1">
        <f t="array" ref="O307">INT(SUMPRODUCT(--ISNUMBER(SEARCH(violent,C307)))&gt;0)</f>
        <v>0</v>
      </c>
      <c r="P307" s="14" cm="1">
        <f t="array" ref="P307">INT(SUMPRODUCT(--ISNUMBER(SEARCH(foreign,C307)))&gt;0)</f>
        <v>0</v>
      </c>
      <c r="Q307" s="14" cm="1">
        <f t="array" ref="Q307">INT(SUMPRODUCT(--ISNUMBER(SEARCH(gun,C307)))&gt;0)</f>
        <v>0</v>
      </c>
      <c r="R307" s="14" cm="1">
        <f t="array" ref="R307">INT(SUMPRODUCT(--ISNUMBER(SEARCH(race,C307)))&gt;0)</f>
        <v>0</v>
      </c>
      <c r="S307" s="14" cm="1">
        <f t="array" ref="S307">INT(SUMPRODUCT(--ISNUMBER(SEARCH(immigration,C307)))&gt;0)</f>
        <v>0</v>
      </c>
      <c r="T307" s="14" cm="1">
        <f t="array" ref="T307">INT(SUMPRODUCT(--ISNUMBER(SEARCH(econineq,C308)))&gt;0)</f>
        <v>0</v>
      </c>
      <c r="U307" s="14" cm="1">
        <f t="array" ref="U307">INT(SUMPRODUCT(--ISNUMBER(SEARCH(climate,C307)))&gt;0)</f>
        <v>0</v>
      </c>
      <c r="V307" s="14" cm="1">
        <f t="array" ref="V307">INT(SUMPRODUCT(--ISNUMBER(SEARCH(abortion,C307)))&gt;0)</f>
        <v>0</v>
      </c>
      <c r="W307" s="14" cm="1">
        <f t="array" ref="W307">INT(SUMPRODUCT(--ISNUMBER(SEARCH(trump,C307)))&gt;0)</f>
        <v>0</v>
      </c>
      <c r="X307" s="14" cm="1">
        <f t="array" ref="X307">INT(SUMPRODUCT(--ISNUMBER(SEARCH(voting,C307)))&gt;0)</f>
        <v>0</v>
      </c>
      <c r="Y307" s="14" cm="1">
        <f t="array" ref="Y307">INT(SUMPRODUCT(--ISNUMBER(SEARCH(democrattrigger,C307)))&gt;0)</f>
        <v>1</v>
      </c>
      <c r="Z307" s="14" cm="1">
        <f t="array" ref="Z307">INT(SUMPRODUCT(--ISNUMBER(SEARCH(bipartisan,C307)))&gt;0)</f>
        <v>0</v>
      </c>
      <c r="AA307" s="14">
        <f t="shared" si="4"/>
        <v>0</v>
      </c>
      <c r="AB307" s="14"/>
      <c r="AC307" s="30" t="s">
        <v>223</v>
      </c>
      <c r="AD307" s="37" t="s">
        <v>223</v>
      </c>
    </row>
    <row r="308" spans="1:30" x14ac:dyDescent="0.25">
      <c r="A308" s="36">
        <v>4149</v>
      </c>
      <c r="B308" s="14" t="s">
        <v>8321</v>
      </c>
      <c r="C308" s="14" t="s">
        <v>8322</v>
      </c>
      <c r="D308" s="17">
        <v>44114</v>
      </c>
      <c r="E308" s="14" t="s">
        <v>30</v>
      </c>
      <c r="F308" s="14">
        <v>3622</v>
      </c>
      <c r="G308" s="14">
        <v>1616</v>
      </c>
      <c r="H308" s="14">
        <v>18</v>
      </c>
      <c r="I308" s="14">
        <v>9</v>
      </c>
      <c r="J308" s="14" t="s">
        <v>204</v>
      </c>
      <c r="K308" s="14" cm="1">
        <f t="array" ref="K308">INT(SUMPRODUCT(--ISNUMBER(SEARCH(economy,C308)))&gt;0)</f>
        <v>0</v>
      </c>
      <c r="L308" s="14" cm="1">
        <f t="array" ref="L308">INT(SUMPRODUCT(--ISNUMBER(SEARCH(healthcare,C308)))&gt;0)</f>
        <v>0</v>
      </c>
      <c r="M308" s="14" cm="1">
        <f t="array" ref="M308">INT(SUMPRODUCT(--ISNUMBER(SEARCH(supreme,C308)))&gt;0)</f>
        <v>0</v>
      </c>
      <c r="N308" s="14" cm="1">
        <f t="array" ref="N308">INT(SUMPRODUCT(--ISNUMBER(SEARCH(covid,C308)))&gt;0)</f>
        <v>1</v>
      </c>
      <c r="O308" s="14" cm="1">
        <f t="array" ref="O308">INT(SUMPRODUCT(--ISNUMBER(SEARCH(violent,C308)))&gt;0)</f>
        <v>0</v>
      </c>
      <c r="P308" s="14" cm="1">
        <f t="array" ref="P308">INT(SUMPRODUCT(--ISNUMBER(SEARCH(foreign,C308)))&gt;0)</f>
        <v>0</v>
      </c>
      <c r="Q308" s="14" cm="1">
        <f t="array" ref="Q308">INT(SUMPRODUCT(--ISNUMBER(SEARCH(gun,C308)))&gt;0)</f>
        <v>0</v>
      </c>
      <c r="R308" s="14" cm="1">
        <f t="array" ref="R308">INT(SUMPRODUCT(--ISNUMBER(SEARCH(race,C308)))&gt;0)</f>
        <v>0</v>
      </c>
      <c r="S308" s="14" cm="1">
        <f t="array" ref="S308">INT(SUMPRODUCT(--ISNUMBER(SEARCH(immigration,C308)))&gt;0)</f>
        <v>0</v>
      </c>
      <c r="T308" s="14" cm="1">
        <f t="array" ref="T308">INT(SUMPRODUCT(--ISNUMBER(SEARCH(econineq,C309)))&gt;0)</f>
        <v>0</v>
      </c>
      <c r="U308" s="14" cm="1">
        <f t="array" ref="U308">INT(SUMPRODUCT(--ISNUMBER(SEARCH(climate,C308)))&gt;0)</f>
        <v>0</v>
      </c>
      <c r="V308" s="14" cm="1">
        <f t="array" ref="V308">INT(SUMPRODUCT(--ISNUMBER(SEARCH(abortion,C308)))&gt;0)</f>
        <v>0</v>
      </c>
      <c r="W308" s="14" cm="1">
        <f t="array" ref="W308">INT(SUMPRODUCT(--ISNUMBER(SEARCH(trump,C308)))&gt;0)</f>
        <v>0</v>
      </c>
      <c r="X308" s="14" cm="1">
        <f t="array" ref="X308">INT(SUMPRODUCT(--ISNUMBER(SEARCH(voting,C308)))&gt;0)</f>
        <v>0</v>
      </c>
      <c r="Y308" s="14" cm="1">
        <f t="array" ref="Y308">INT(SUMPRODUCT(--ISNUMBER(SEARCH(democrattrigger,C308)))&gt;0)</f>
        <v>1</v>
      </c>
      <c r="Z308" s="14" cm="1">
        <f t="array" ref="Z308">INT(SUMPRODUCT(--ISNUMBER(SEARCH(bipartisan,C308)))&gt;0)</f>
        <v>0</v>
      </c>
      <c r="AA308" s="14">
        <f t="shared" si="4"/>
        <v>0</v>
      </c>
      <c r="AB308" s="14"/>
      <c r="AC308" s="30" t="s">
        <v>223</v>
      </c>
      <c r="AD308" s="37" t="s">
        <v>223</v>
      </c>
    </row>
    <row r="309" spans="1:30" x14ac:dyDescent="0.25">
      <c r="A309" s="36">
        <v>4150</v>
      </c>
      <c r="B309" s="14" t="s">
        <v>8323</v>
      </c>
      <c r="C309" s="14" t="s">
        <v>8324</v>
      </c>
      <c r="D309" s="17">
        <v>44114</v>
      </c>
      <c r="E309" s="14" t="s">
        <v>30</v>
      </c>
      <c r="F309" s="14">
        <v>2805</v>
      </c>
      <c r="G309" s="14">
        <v>935</v>
      </c>
      <c r="H309" s="14">
        <v>18</v>
      </c>
      <c r="I309" s="14">
        <v>9</v>
      </c>
      <c r="J309" s="14" t="s">
        <v>204</v>
      </c>
      <c r="K309" s="14" cm="1">
        <f t="array" ref="K309">INT(SUMPRODUCT(--ISNUMBER(SEARCH(economy,C309)))&gt;0)</f>
        <v>0</v>
      </c>
      <c r="L309" s="14" cm="1">
        <f t="array" ref="L309">INT(SUMPRODUCT(--ISNUMBER(SEARCH(healthcare,C309)))&gt;0)</f>
        <v>0</v>
      </c>
      <c r="M309" s="14" cm="1">
        <f t="array" ref="M309">INT(SUMPRODUCT(--ISNUMBER(SEARCH(supreme,C309)))&gt;0)</f>
        <v>0</v>
      </c>
      <c r="N309" s="14" cm="1">
        <f t="array" ref="N309">INT(SUMPRODUCT(--ISNUMBER(SEARCH(covid,C309)))&gt;0)</f>
        <v>0</v>
      </c>
      <c r="O309" s="14" cm="1">
        <f t="array" ref="O309">INT(SUMPRODUCT(--ISNUMBER(SEARCH(violent,C309)))&gt;0)</f>
        <v>0</v>
      </c>
      <c r="P309" s="14" cm="1">
        <f t="array" ref="P309">INT(SUMPRODUCT(--ISNUMBER(SEARCH(foreign,C309)))&gt;0)</f>
        <v>0</v>
      </c>
      <c r="Q309" s="14" cm="1">
        <f t="array" ref="Q309">INT(SUMPRODUCT(--ISNUMBER(SEARCH(gun,C309)))&gt;0)</f>
        <v>0</v>
      </c>
      <c r="R309" s="14" cm="1">
        <f t="array" ref="R309">INT(SUMPRODUCT(--ISNUMBER(SEARCH(race,C309)))&gt;0)</f>
        <v>0</v>
      </c>
      <c r="S309" s="14" cm="1">
        <f t="array" ref="S309">INT(SUMPRODUCT(--ISNUMBER(SEARCH(immigration,C309)))&gt;0)</f>
        <v>0</v>
      </c>
      <c r="T309" s="14" cm="1">
        <f t="array" ref="T309">INT(SUMPRODUCT(--ISNUMBER(SEARCH(econineq,C310)))&gt;0)</f>
        <v>0</v>
      </c>
      <c r="U309" s="14" cm="1">
        <f t="array" ref="U309">INT(SUMPRODUCT(--ISNUMBER(SEARCH(climate,C309)))&gt;0)</f>
        <v>0</v>
      </c>
      <c r="V309" s="14" cm="1">
        <f t="array" ref="V309">INT(SUMPRODUCT(--ISNUMBER(SEARCH(abortion,C309)))&gt;0)</f>
        <v>0</v>
      </c>
      <c r="W309" s="14" cm="1">
        <f t="array" ref="W309">INT(SUMPRODUCT(--ISNUMBER(SEARCH(trump,C309)))&gt;0)</f>
        <v>0</v>
      </c>
      <c r="X309" s="14" cm="1">
        <f t="array" ref="X309">INT(SUMPRODUCT(--ISNUMBER(SEARCH(voting,C309)))&gt;0)</f>
        <v>0</v>
      </c>
      <c r="Y309" s="14" cm="1">
        <f t="array" ref="Y309">INT(SUMPRODUCT(--ISNUMBER(SEARCH(democrattrigger,C309)))&gt;0)</f>
        <v>0</v>
      </c>
      <c r="Z309" s="14" cm="1">
        <f t="array" ref="Z309">INT(SUMPRODUCT(--ISNUMBER(SEARCH(bipartisan,C309)))&gt;0)</f>
        <v>0</v>
      </c>
      <c r="AA309" s="14">
        <f t="shared" si="4"/>
        <v>1</v>
      </c>
      <c r="AB309" s="14"/>
      <c r="AC309" s="30">
        <v>0</v>
      </c>
      <c r="AD309" s="37">
        <v>1</v>
      </c>
    </row>
    <row r="310" spans="1:30" x14ac:dyDescent="0.25">
      <c r="A310" s="36">
        <v>4151</v>
      </c>
      <c r="B310" s="14" t="s">
        <v>8325</v>
      </c>
      <c r="C310" s="14" t="s">
        <v>8326</v>
      </c>
      <c r="D310" s="17">
        <v>44114</v>
      </c>
      <c r="E310" s="14" t="s">
        <v>30</v>
      </c>
      <c r="F310" s="14">
        <v>2145</v>
      </c>
      <c r="G310" s="14">
        <v>1069</v>
      </c>
      <c r="H310" s="14">
        <v>18</v>
      </c>
      <c r="I310" s="14">
        <v>9</v>
      </c>
      <c r="J310" s="14" t="s">
        <v>204</v>
      </c>
      <c r="K310" s="14" cm="1">
        <f t="array" ref="K310">INT(SUMPRODUCT(--ISNUMBER(SEARCH(economy,C310)))&gt;0)</f>
        <v>0</v>
      </c>
      <c r="L310" s="14" cm="1">
        <f t="array" ref="L310">INT(SUMPRODUCT(--ISNUMBER(SEARCH(healthcare,C310)))&gt;0)</f>
        <v>0</v>
      </c>
      <c r="M310" s="14" cm="1">
        <f t="array" ref="M310">INT(SUMPRODUCT(--ISNUMBER(SEARCH(supreme,C310)))&gt;0)</f>
        <v>0</v>
      </c>
      <c r="N310" s="14" cm="1">
        <f t="array" ref="N310">INT(SUMPRODUCT(--ISNUMBER(SEARCH(covid,C310)))&gt;0)</f>
        <v>1</v>
      </c>
      <c r="O310" s="14" cm="1">
        <f t="array" ref="O310">INT(SUMPRODUCT(--ISNUMBER(SEARCH(violent,C310)))&gt;0)</f>
        <v>0</v>
      </c>
      <c r="P310" s="14" cm="1">
        <f t="array" ref="P310">INT(SUMPRODUCT(--ISNUMBER(SEARCH(foreign,C310)))&gt;0)</f>
        <v>0</v>
      </c>
      <c r="Q310" s="14" cm="1">
        <f t="array" ref="Q310">INT(SUMPRODUCT(--ISNUMBER(SEARCH(gun,C310)))&gt;0)</f>
        <v>0</v>
      </c>
      <c r="R310" s="14" cm="1">
        <f t="array" ref="R310">INT(SUMPRODUCT(--ISNUMBER(SEARCH(race,C310)))&gt;0)</f>
        <v>0</v>
      </c>
      <c r="S310" s="14" cm="1">
        <f t="array" ref="S310">INT(SUMPRODUCT(--ISNUMBER(SEARCH(immigration,C310)))&gt;0)</f>
        <v>0</v>
      </c>
      <c r="T310" s="14" cm="1">
        <f t="array" ref="T310">INT(SUMPRODUCT(--ISNUMBER(SEARCH(econineq,C311)))&gt;0)</f>
        <v>0</v>
      </c>
      <c r="U310" s="14" cm="1">
        <f t="array" ref="U310">INT(SUMPRODUCT(--ISNUMBER(SEARCH(climate,C310)))&gt;0)</f>
        <v>0</v>
      </c>
      <c r="V310" s="14" cm="1">
        <f t="array" ref="V310">INT(SUMPRODUCT(--ISNUMBER(SEARCH(abortion,C310)))&gt;0)</f>
        <v>0</v>
      </c>
      <c r="W310" s="14" cm="1">
        <f t="array" ref="W310">INT(SUMPRODUCT(--ISNUMBER(SEARCH(trump,C310)))&gt;0)</f>
        <v>0</v>
      </c>
      <c r="X310" s="14" cm="1">
        <f t="array" ref="X310">INT(SUMPRODUCT(--ISNUMBER(SEARCH(voting,C310)))&gt;0)</f>
        <v>0</v>
      </c>
      <c r="Y310" s="14" cm="1">
        <f t="array" ref="Y310">INT(SUMPRODUCT(--ISNUMBER(SEARCH(democrattrigger,C310)))&gt;0)</f>
        <v>1</v>
      </c>
      <c r="Z310" s="14" cm="1">
        <f t="array" ref="Z310">INT(SUMPRODUCT(--ISNUMBER(SEARCH(bipartisan,C310)))&gt;0)</f>
        <v>0</v>
      </c>
      <c r="AA310" s="14">
        <f t="shared" si="4"/>
        <v>0</v>
      </c>
      <c r="AB310" s="14"/>
      <c r="AC310" s="30">
        <v>0</v>
      </c>
      <c r="AD310" s="37">
        <v>1</v>
      </c>
    </row>
    <row r="311" spans="1:30" x14ac:dyDescent="0.25">
      <c r="A311" s="36">
        <v>4152</v>
      </c>
      <c r="B311" s="14" t="s">
        <v>8327</v>
      </c>
      <c r="C311" s="14" t="s">
        <v>8328</v>
      </c>
      <c r="D311" s="17">
        <v>44114</v>
      </c>
      <c r="E311" s="14" t="s">
        <v>30</v>
      </c>
      <c r="F311" s="14">
        <v>790</v>
      </c>
      <c r="G311" s="14">
        <v>334</v>
      </c>
      <c r="H311" s="14">
        <v>18</v>
      </c>
      <c r="I311" s="14">
        <v>9</v>
      </c>
      <c r="J311" s="14" t="s">
        <v>204</v>
      </c>
      <c r="K311" s="14" cm="1">
        <f t="array" ref="K311">INT(SUMPRODUCT(--ISNUMBER(SEARCH(economy,C311)))&gt;0)</f>
        <v>1</v>
      </c>
      <c r="L311" s="14" cm="1">
        <f t="array" ref="L311">INT(SUMPRODUCT(--ISNUMBER(SEARCH(healthcare,C311)))&gt;0)</f>
        <v>0</v>
      </c>
      <c r="M311" s="14" cm="1">
        <f t="array" ref="M311">INT(SUMPRODUCT(--ISNUMBER(SEARCH(supreme,C311)))&gt;0)</f>
        <v>0</v>
      </c>
      <c r="N311" s="14" cm="1">
        <f t="array" ref="N311">INT(SUMPRODUCT(--ISNUMBER(SEARCH(covid,C311)))&gt;0)</f>
        <v>1</v>
      </c>
      <c r="O311" s="14" cm="1">
        <f t="array" ref="O311">INT(SUMPRODUCT(--ISNUMBER(SEARCH(violent,C311)))&gt;0)</f>
        <v>0</v>
      </c>
      <c r="P311" s="14" cm="1">
        <f t="array" ref="P311">INT(SUMPRODUCT(--ISNUMBER(SEARCH(foreign,C311)))&gt;0)</f>
        <v>0</v>
      </c>
      <c r="Q311" s="14" cm="1">
        <f t="array" ref="Q311">INT(SUMPRODUCT(--ISNUMBER(SEARCH(gun,C311)))&gt;0)</f>
        <v>0</v>
      </c>
      <c r="R311" s="14" cm="1">
        <f t="array" ref="R311">INT(SUMPRODUCT(--ISNUMBER(SEARCH(race,C311)))&gt;0)</f>
        <v>0</v>
      </c>
      <c r="S311" s="14" cm="1">
        <f t="array" ref="S311">INT(SUMPRODUCT(--ISNUMBER(SEARCH(immigration,C311)))&gt;0)</f>
        <v>0</v>
      </c>
      <c r="T311" s="14" cm="1">
        <f t="array" ref="T311">INT(SUMPRODUCT(--ISNUMBER(SEARCH(econineq,C312)))&gt;0)</f>
        <v>0</v>
      </c>
      <c r="U311" s="14" cm="1">
        <f t="array" ref="U311">INT(SUMPRODUCT(--ISNUMBER(SEARCH(climate,C311)))&gt;0)</f>
        <v>0</v>
      </c>
      <c r="V311" s="14" cm="1">
        <f t="array" ref="V311">INT(SUMPRODUCT(--ISNUMBER(SEARCH(abortion,C311)))&gt;0)</f>
        <v>0</v>
      </c>
      <c r="W311" s="14" cm="1">
        <f t="array" ref="W311">INT(SUMPRODUCT(--ISNUMBER(SEARCH(trump,C311)))&gt;0)</f>
        <v>0</v>
      </c>
      <c r="X311" s="14" cm="1">
        <f t="array" ref="X311">INT(SUMPRODUCT(--ISNUMBER(SEARCH(voting,C311)))&gt;0)</f>
        <v>0</v>
      </c>
      <c r="Y311" s="14" cm="1">
        <f t="array" ref="Y311">INT(SUMPRODUCT(--ISNUMBER(SEARCH(democrattrigger,C311)))&gt;0)</f>
        <v>1</v>
      </c>
      <c r="Z311" s="14" cm="1">
        <f t="array" ref="Z311">INT(SUMPRODUCT(--ISNUMBER(SEARCH(bipartisan,C311)))&gt;0)</f>
        <v>0</v>
      </c>
      <c r="AA311" s="14">
        <f t="shared" si="4"/>
        <v>0</v>
      </c>
      <c r="AB311" s="14"/>
      <c r="AC311" s="30" t="s">
        <v>223</v>
      </c>
      <c r="AD311" s="37" t="s">
        <v>223</v>
      </c>
    </row>
    <row r="312" spans="1:30" x14ac:dyDescent="0.25">
      <c r="A312" s="36">
        <v>4153</v>
      </c>
      <c r="B312" s="14" t="s">
        <v>8329</v>
      </c>
      <c r="C312" s="14" t="s">
        <v>8330</v>
      </c>
      <c r="D312" s="17">
        <v>44114</v>
      </c>
      <c r="E312" s="14" t="s">
        <v>30</v>
      </c>
      <c r="F312" s="14">
        <v>1350</v>
      </c>
      <c r="G312" s="14">
        <v>468</v>
      </c>
      <c r="H312" s="14">
        <v>18</v>
      </c>
      <c r="I312" s="14">
        <v>9</v>
      </c>
      <c r="J312" s="14" t="s">
        <v>204</v>
      </c>
      <c r="K312" s="14" cm="1">
        <f t="array" ref="K312">INT(SUMPRODUCT(--ISNUMBER(SEARCH(economy,C312)))&gt;0)</f>
        <v>0</v>
      </c>
      <c r="L312" s="14" cm="1">
        <f t="array" ref="L312">INT(SUMPRODUCT(--ISNUMBER(SEARCH(healthcare,C312)))&gt;0)</f>
        <v>1</v>
      </c>
      <c r="M312" s="14" cm="1">
        <f t="array" ref="M312">INT(SUMPRODUCT(--ISNUMBER(SEARCH(supreme,C312)))&gt;0)</f>
        <v>0</v>
      </c>
      <c r="N312" s="14" cm="1">
        <f t="array" ref="N312">INT(SUMPRODUCT(--ISNUMBER(SEARCH(covid,C312)))&gt;0)</f>
        <v>1</v>
      </c>
      <c r="O312" s="14" cm="1">
        <f t="array" ref="O312">INT(SUMPRODUCT(--ISNUMBER(SEARCH(violent,C312)))&gt;0)</f>
        <v>0</v>
      </c>
      <c r="P312" s="14" cm="1">
        <f t="array" ref="P312">INT(SUMPRODUCT(--ISNUMBER(SEARCH(foreign,C312)))&gt;0)</f>
        <v>0</v>
      </c>
      <c r="Q312" s="14" cm="1">
        <f t="array" ref="Q312">INT(SUMPRODUCT(--ISNUMBER(SEARCH(gun,C312)))&gt;0)</f>
        <v>0</v>
      </c>
      <c r="R312" s="14" cm="1">
        <f t="array" ref="R312">INT(SUMPRODUCT(--ISNUMBER(SEARCH(race,C312)))&gt;0)</f>
        <v>0</v>
      </c>
      <c r="S312" s="14" cm="1">
        <f t="array" ref="S312">INT(SUMPRODUCT(--ISNUMBER(SEARCH(immigration,C312)))&gt;0)</f>
        <v>0</v>
      </c>
      <c r="T312" s="14" cm="1">
        <f t="array" ref="T312">INT(SUMPRODUCT(--ISNUMBER(SEARCH(econineq,C313)))&gt;0)</f>
        <v>0</v>
      </c>
      <c r="U312" s="14" cm="1">
        <f t="array" ref="U312">INT(SUMPRODUCT(--ISNUMBER(SEARCH(climate,C312)))&gt;0)</f>
        <v>0</v>
      </c>
      <c r="V312" s="14" cm="1">
        <f t="array" ref="V312">INT(SUMPRODUCT(--ISNUMBER(SEARCH(abortion,C312)))&gt;0)</f>
        <v>0</v>
      </c>
      <c r="W312" s="14" cm="1">
        <f t="array" ref="W312">INT(SUMPRODUCT(--ISNUMBER(SEARCH(trump,C312)))&gt;0)</f>
        <v>0</v>
      </c>
      <c r="X312" s="14" cm="1">
        <f t="array" ref="X312">INT(SUMPRODUCT(--ISNUMBER(SEARCH(voting,C312)))&gt;0)</f>
        <v>0</v>
      </c>
      <c r="Y312" s="14" cm="1">
        <f t="array" ref="Y312">INT(SUMPRODUCT(--ISNUMBER(SEARCH(democrattrigger,C312)))&gt;0)</f>
        <v>0</v>
      </c>
      <c r="Z312" s="14" cm="1">
        <f t="array" ref="Z312">INT(SUMPRODUCT(--ISNUMBER(SEARCH(bipartisan,C312)))&gt;0)</f>
        <v>0</v>
      </c>
      <c r="AA312" s="14">
        <f t="shared" si="4"/>
        <v>0</v>
      </c>
      <c r="AB312" s="14"/>
      <c r="AC312" s="30" t="s">
        <v>223</v>
      </c>
      <c r="AD312" s="37" t="s">
        <v>223</v>
      </c>
    </row>
    <row r="313" spans="1:30" x14ac:dyDescent="0.25">
      <c r="A313" s="36">
        <v>4154</v>
      </c>
      <c r="B313" s="14" t="s">
        <v>8331</v>
      </c>
      <c r="C313" s="14" t="s">
        <v>8332</v>
      </c>
      <c r="D313" s="17">
        <v>44114</v>
      </c>
      <c r="E313" s="14" t="s">
        <v>30</v>
      </c>
      <c r="F313" s="14">
        <v>14463</v>
      </c>
      <c r="G313" s="14">
        <v>4407</v>
      </c>
      <c r="H313" s="14">
        <v>18</v>
      </c>
      <c r="I313" s="14">
        <v>9</v>
      </c>
      <c r="J313" s="14" t="s">
        <v>204</v>
      </c>
      <c r="K313" s="14" cm="1">
        <f t="array" ref="K313">INT(SUMPRODUCT(--ISNUMBER(SEARCH(economy,C313)))&gt;0)</f>
        <v>0</v>
      </c>
      <c r="L313" s="14" cm="1">
        <f t="array" ref="L313">INT(SUMPRODUCT(--ISNUMBER(SEARCH(healthcare,C313)))&gt;0)</f>
        <v>0</v>
      </c>
      <c r="M313" s="14" cm="1">
        <f t="array" ref="M313">INT(SUMPRODUCT(--ISNUMBER(SEARCH(supreme,C313)))&gt;0)</f>
        <v>0</v>
      </c>
      <c r="N313" s="14" cm="1">
        <f t="array" ref="N313">INT(SUMPRODUCT(--ISNUMBER(SEARCH(covid,C313)))&gt;0)</f>
        <v>0</v>
      </c>
      <c r="O313" s="14" cm="1">
        <f t="array" ref="O313">INT(SUMPRODUCT(--ISNUMBER(SEARCH(violent,C313)))&gt;0)</f>
        <v>0</v>
      </c>
      <c r="P313" s="14" cm="1">
        <f t="array" ref="P313">INT(SUMPRODUCT(--ISNUMBER(SEARCH(foreign,C313)))&gt;0)</f>
        <v>0</v>
      </c>
      <c r="Q313" s="14" cm="1">
        <f t="array" ref="Q313">INT(SUMPRODUCT(--ISNUMBER(SEARCH(gun,C313)))&gt;0)</f>
        <v>0</v>
      </c>
      <c r="R313" s="14" cm="1">
        <f t="array" ref="R313">INT(SUMPRODUCT(--ISNUMBER(SEARCH(race,C313)))&gt;0)</f>
        <v>0</v>
      </c>
      <c r="S313" s="14" cm="1">
        <f t="array" ref="S313">INT(SUMPRODUCT(--ISNUMBER(SEARCH(immigration,C313)))&gt;0)</f>
        <v>0</v>
      </c>
      <c r="T313" s="14" cm="1">
        <f t="array" ref="T313">INT(SUMPRODUCT(--ISNUMBER(SEARCH(econineq,C314)))&gt;0)</f>
        <v>0</v>
      </c>
      <c r="U313" s="14" cm="1">
        <f t="array" ref="U313">INT(SUMPRODUCT(--ISNUMBER(SEARCH(climate,C313)))&gt;0)</f>
        <v>0</v>
      </c>
      <c r="V313" s="14" cm="1">
        <f t="array" ref="V313">INT(SUMPRODUCT(--ISNUMBER(SEARCH(abortion,C313)))&gt;0)</f>
        <v>0</v>
      </c>
      <c r="W313" s="14" cm="1">
        <f t="array" ref="W313">INT(SUMPRODUCT(--ISNUMBER(SEARCH(trump,C313)))&gt;0)</f>
        <v>0</v>
      </c>
      <c r="X313" s="14" cm="1">
        <f t="array" ref="X313">INT(SUMPRODUCT(--ISNUMBER(SEARCH(voting,C313)))&gt;0)</f>
        <v>0</v>
      </c>
      <c r="Y313" s="14" cm="1">
        <f t="array" ref="Y313">INT(SUMPRODUCT(--ISNUMBER(SEARCH(democrattrigger,C313)))&gt;0)</f>
        <v>0</v>
      </c>
      <c r="Z313" s="14" cm="1">
        <f t="array" ref="Z313">INT(SUMPRODUCT(--ISNUMBER(SEARCH(bipartisan,C313)))&gt;0)</f>
        <v>0</v>
      </c>
      <c r="AA313" s="14">
        <f t="shared" si="4"/>
        <v>1</v>
      </c>
      <c r="AB313" s="14"/>
      <c r="AC313" s="30">
        <v>1</v>
      </c>
      <c r="AD313" s="37">
        <v>0</v>
      </c>
    </row>
    <row r="314" spans="1:30" x14ac:dyDescent="0.25">
      <c r="A314" s="36">
        <v>4155</v>
      </c>
      <c r="B314" s="14" t="s">
        <v>8333</v>
      </c>
      <c r="C314" s="14" t="s">
        <v>8334</v>
      </c>
      <c r="D314" s="17">
        <v>44113</v>
      </c>
      <c r="E314" s="14" t="s">
        <v>30</v>
      </c>
      <c r="F314" s="14">
        <v>2103</v>
      </c>
      <c r="G314" s="14">
        <v>594</v>
      </c>
      <c r="H314" s="14">
        <v>18</v>
      </c>
      <c r="I314" s="14">
        <v>9</v>
      </c>
      <c r="J314" s="14" t="s">
        <v>204</v>
      </c>
      <c r="K314" s="14" cm="1">
        <f t="array" ref="K314">INT(SUMPRODUCT(--ISNUMBER(SEARCH(economy,C314)))&gt;0)</f>
        <v>0</v>
      </c>
      <c r="L314" s="14" cm="1">
        <f t="array" ref="L314">INT(SUMPRODUCT(--ISNUMBER(SEARCH(healthcare,C314)))&gt;0)</f>
        <v>0</v>
      </c>
      <c r="M314" s="14" cm="1">
        <f t="array" ref="M314">INT(SUMPRODUCT(--ISNUMBER(SEARCH(supreme,C314)))&gt;0)</f>
        <v>0</v>
      </c>
      <c r="N314" s="14" cm="1">
        <f t="array" ref="N314">INT(SUMPRODUCT(--ISNUMBER(SEARCH(covid,C314)))&gt;0)</f>
        <v>0</v>
      </c>
      <c r="O314" s="14" cm="1">
        <f t="array" ref="O314">INT(SUMPRODUCT(--ISNUMBER(SEARCH(violent,C314)))&gt;0)</f>
        <v>0</v>
      </c>
      <c r="P314" s="14" cm="1">
        <f t="array" ref="P314">INT(SUMPRODUCT(--ISNUMBER(SEARCH(foreign,C314)))&gt;0)</f>
        <v>0</v>
      </c>
      <c r="Q314" s="14" cm="1">
        <f t="array" ref="Q314">INT(SUMPRODUCT(--ISNUMBER(SEARCH(gun,C314)))&gt;0)</f>
        <v>0</v>
      </c>
      <c r="R314" s="14" cm="1">
        <f t="array" ref="R314">INT(SUMPRODUCT(--ISNUMBER(SEARCH(race,C314)))&gt;0)</f>
        <v>0</v>
      </c>
      <c r="S314" s="14" cm="1">
        <f t="array" ref="S314">INT(SUMPRODUCT(--ISNUMBER(SEARCH(immigration,C314)))&gt;0)</f>
        <v>0</v>
      </c>
      <c r="T314" s="14" cm="1">
        <f t="array" ref="T314">INT(SUMPRODUCT(--ISNUMBER(SEARCH(econineq,C315)))&gt;0)</f>
        <v>0</v>
      </c>
      <c r="U314" s="14" cm="1">
        <f t="array" ref="U314">INT(SUMPRODUCT(--ISNUMBER(SEARCH(climate,C314)))&gt;0)</f>
        <v>0</v>
      </c>
      <c r="V314" s="14" cm="1">
        <f t="array" ref="V314">INT(SUMPRODUCT(--ISNUMBER(SEARCH(abortion,C314)))&gt;0)</f>
        <v>0</v>
      </c>
      <c r="W314" s="14" cm="1">
        <f t="array" ref="W314">INT(SUMPRODUCT(--ISNUMBER(SEARCH(trump,C314)))&gt;0)</f>
        <v>0</v>
      </c>
      <c r="X314" s="14" cm="1">
        <f t="array" ref="X314">INT(SUMPRODUCT(--ISNUMBER(SEARCH(voting,C314)))&gt;0)</f>
        <v>0</v>
      </c>
      <c r="Y314" s="14" cm="1">
        <f t="array" ref="Y314">INT(SUMPRODUCT(--ISNUMBER(SEARCH(democrattrigger,C314)))&gt;0)</f>
        <v>1</v>
      </c>
      <c r="Z314" s="14" cm="1">
        <f t="array" ref="Z314">INT(SUMPRODUCT(--ISNUMBER(SEARCH(bipartisan,C314)))&gt;0)</f>
        <v>0</v>
      </c>
      <c r="AA314" s="14">
        <f t="shared" si="4"/>
        <v>0</v>
      </c>
      <c r="AB314" s="14"/>
      <c r="AC314" s="30" t="s">
        <v>223</v>
      </c>
      <c r="AD314" s="37" t="s">
        <v>223</v>
      </c>
    </row>
    <row r="315" spans="1:30" x14ac:dyDescent="0.25">
      <c r="A315" s="36">
        <v>4156</v>
      </c>
      <c r="B315" s="14" t="s">
        <v>8335</v>
      </c>
      <c r="C315" s="14" t="s">
        <v>8336</v>
      </c>
      <c r="D315" s="17">
        <v>44113</v>
      </c>
      <c r="E315" s="14" t="s">
        <v>30</v>
      </c>
      <c r="F315" s="14">
        <v>3956</v>
      </c>
      <c r="G315" s="14">
        <v>677</v>
      </c>
      <c r="H315" s="14">
        <v>18</v>
      </c>
      <c r="I315" s="14">
        <v>9</v>
      </c>
      <c r="J315" s="14" t="s">
        <v>204</v>
      </c>
      <c r="K315" s="14" cm="1">
        <f t="array" ref="K315">INT(SUMPRODUCT(--ISNUMBER(SEARCH(economy,C315)))&gt;0)</f>
        <v>0</v>
      </c>
      <c r="L315" s="14" cm="1">
        <f t="array" ref="L315">INT(SUMPRODUCT(--ISNUMBER(SEARCH(healthcare,C315)))&gt;0)</f>
        <v>0</v>
      </c>
      <c r="M315" s="14" cm="1">
        <f t="array" ref="M315">INT(SUMPRODUCT(--ISNUMBER(SEARCH(supreme,C315)))&gt;0)</f>
        <v>0</v>
      </c>
      <c r="N315" s="14" cm="1">
        <f t="array" ref="N315">INT(SUMPRODUCT(--ISNUMBER(SEARCH(covid,C315)))&gt;0)</f>
        <v>0</v>
      </c>
      <c r="O315" s="14" cm="1">
        <f t="array" ref="O315">INT(SUMPRODUCT(--ISNUMBER(SEARCH(violent,C315)))&gt;0)</f>
        <v>0</v>
      </c>
      <c r="P315" s="14" cm="1">
        <f t="array" ref="P315">INT(SUMPRODUCT(--ISNUMBER(SEARCH(foreign,C315)))&gt;0)</f>
        <v>0</v>
      </c>
      <c r="Q315" s="14" cm="1">
        <f t="array" ref="Q315">INT(SUMPRODUCT(--ISNUMBER(SEARCH(gun,C315)))&gt;0)</f>
        <v>0</v>
      </c>
      <c r="R315" s="14" cm="1">
        <f t="array" ref="R315">INT(SUMPRODUCT(--ISNUMBER(SEARCH(race,C315)))&gt;0)</f>
        <v>0</v>
      </c>
      <c r="S315" s="14" cm="1">
        <f t="array" ref="S315">INT(SUMPRODUCT(--ISNUMBER(SEARCH(immigration,C315)))&gt;0)</f>
        <v>0</v>
      </c>
      <c r="T315" s="14" cm="1">
        <f t="array" ref="T315">INT(SUMPRODUCT(--ISNUMBER(SEARCH(econineq,C316)))&gt;0)</f>
        <v>0</v>
      </c>
      <c r="U315" s="14" cm="1">
        <f t="array" ref="U315">INT(SUMPRODUCT(--ISNUMBER(SEARCH(climate,C315)))&gt;0)</f>
        <v>0</v>
      </c>
      <c r="V315" s="14" cm="1">
        <f t="array" ref="V315">INT(SUMPRODUCT(--ISNUMBER(SEARCH(abortion,C315)))&gt;0)</f>
        <v>0</v>
      </c>
      <c r="W315" s="14" cm="1">
        <f t="array" ref="W315">INT(SUMPRODUCT(--ISNUMBER(SEARCH(trump,C315)))&gt;0)</f>
        <v>0</v>
      </c>
      <c r="X315" s="14" cm="1">
        <f t="array" ref="X315">INT(SUMPRODUCT(--ISNUMBER(SEARCH(voting,C315)))&gt;0)</f>
        <v>0</v>
      </c>
      <c r="Y315" s="14" cm="1">
        <f t="array" ref="Y315">INT(SUMPRODUCT(--ISNUMBER(SEARCH(democrattrigger,C315)))&gt;0)</f>
        <v>0</v>
      </c>
      <c r="Z315" s="14" cm="1">
        <f t="array" ref="Z315">INT(SUMPRODUCT(--ISNUMBER(SEARCH(bipartisan,C315)))&gt;0)</f>
        <v>0</v>
      </c>
      <c r="AA315" s="14">
        <f t="shared" si="4"/>
        <v>1</v>
      </c>
      <c r="AB315" s="14"/>
      <c r="AC315" s="30">
        <v>1</v>
      </c>
      <c r="AD315" s="37">
        <v>0</v>
      </c>
    </row>
    <row r="316" spans="1:30" x14ac:dyDescent="0.25">
      <c r="A316" s="36">
        <v>4157</v>
      </c>
      <c r="B316" s="14" t="s">
        <v>8337</v>
      </c>
      <c r="C316" s="14" t="s">
        <v>8338</v>
      </c>
      <c r="D316" s="17">
        <v>44113</v>
      </c>
      <c r="E316" s="14" t="s">
        <v>30</v>
      </c>
      <c r="F316" s="14">
        <v>1298</v>
      </c>
      <c r="G316" s="14">
        <v>420</v>
      </c>
      <c r="H316" s="14">
        <v>18</v>
      </c>
      <c r="I316" s="14">
        <v>9</v>
      </c>
      <c r="J316" s="14" t="s">
        <v>204</v>
      </c>
      <c r="K316" s="14" cm="1">
        <f t="array" ref="K316">INT(SUMPRODUCT(--ISNUMBER(SEARCH(economy,C316)))&gt;0)</f>
        <v>0</v>
      </c>
      <c r="L316" s="14" cm="1">
        <f t="array" ref="L316">INT(SUMPRODUCT(--ISNUMBER(SEARCH(healthcare,C316)))&gt;0)</f>
        <v>0</v>
      </c>
      <c r="M316" s="14" cm="1">
        <f t="array" ref="M316">INT(SUMPRODUCT(--ISNUMBER(SEARCH(supreme,C316)))&gt;0)</f>
        <v>0</v>
      </c>
      <c r="N316" s="14" cm="1">
        <f t="array" ref="N316">INT(SUMPRODUCT(--ISNUMBER(SEARCH(covid,C316)))&gt;0)</f>
        <v>0</v>
      </c>
      <c r="O316" s="14" cm="1">
        <f t="array" ref="O316">INT(SUMPRODUCT(--ISNUMBER(SEARCH(violent,C316)))&gt;0)</f>
        <v>0</v>
      </c>
      <c r="P316" s="14" cm="1">
        <f t="array" ref="P316">INT(SUMPRODUCT(--ISNUMBER(SEARCH(foreign,C316)))&gt;0)</f>
        <v>0</v>
      </c>
      <c r="Q316" s="14" cm="1">
        <f t="array" ref="Q316">INT(SUMPRODUCT(--ISNUMBER(SEARCH(gun,C316)))&gt;0)</f>
        <v>0</v>
      </c>
      <c r="R316" s="14" cm="1">
        <f t="array" ref="R316">INT(SUMPRODUCT(--ISNUMBER(SEARCH(race,C316)))&gt;0)</f>
        <v>0</v>
      </c>
      <c r="S316" s="14" cm="1">
        <f t="array" ref="S316">INT(SUMPRODUCT(--ISNUMBER(SEARCH(immigration,C316)))&gt;0)</f>
        <v>0</v>
      </c>
      <c r="T316" s="14" cm="1">
        <f t="array" ref="T316">INT(SUMPRODUCT(--ISNUMBER(SEARCH(econineq,C317)))&gt;0)</f>
        <v>0</v>
      </c>
      <c r="U316" s="14" cm="1">
        <f t="array" ref="U316">INT(SUMPRODUCT(--ISNUMBER(SEARCH(climate,C316)))&gt;0)</f>
        <v>0</v>
      </c>
      <c r="V316" s="14" cm="1">
        <f t="array" ref="V316">INT(SUMPRODUCT(--ISNUMBER(SEARCH(abortion,C316)))&gt;0)</f>
        <v>0</v>
      </c>
      <c r="W316" s="14" cm="1">
        <f t="array" ref="W316">INT(SUMPRODUCT(--ISNUMBER(SEARCH(trump,C316)))&gt;0)</f>
        <v>0</v>
      </c>
      <c r="X316" s="14" cm="1">
        <f t="array" ref="X316">INT(SUMPRODUCT(--ISNUMBER(SEARCH(voting,C316)))&gt;0)</f>
        <v>0</v>
      </c>
      <c r="Y316" s="14" cm="1">
        <f t="array" ref="Y316">INT(SUMPRODUCT(--ISNUMBER(SEARCH(democrattrigger,C316)))&gt;0)</f>
        <v>0</v>
      </c>
      <c r="Z316" s="14" cm="1">
        <f t="array" ref="Z316">INT(SUMPRODUCT(--ISNUMBER(SEARCH(bipartisan,C316)))&gt;0)</f>
        <v>0</v>
      </c>
      <c r="AA316" s="14">
        <f t="shared" si="4"/>
        <v>1</v>
      </c>
      <c r="AB316" s="14"/>
      <c r="AC316" s="30">
        <v>0</v>
      </c>
      <c r="AD316" s="37">
        <v>1</v>
      </c>
    </row>
    <row r="317" spans="1:30" x14ac:dyDescent="0.25">
      <c r="A317" s="36">
        <v>4158</v>
      </c>
      <c r="B317" s="14" t="s">
        <v>8339</v>
      </c>
      <c r="C317" s="14" t="s">
        <v>8340</v>
      </c>
      <c r="D317" s="17">
        <v>44113</v>
      </c>
      <c r="E317" s="14" t="s">
        <v>30</v>
      </c>
      <c r="F317" s="14">
        <v>4209</v>
      </c>
      <c r="G317" s="14">
        <v>1233</v>
      </c>
      <c r="H317" s="14">
        <v>18</v>
      </c>
      <c r="I317" s="14">
        <v>9</v>
      </c>
      <c r="J317" s="14" t="s">
        <v>204</v>
      </c>
      <c r="K317" s="14" cm="1">
        <f t="array" ref="K317">INT(SUMPRODUCT(--ISNUMBER(SEARCH(economy,C317)))&gt;0)</f>
        <v>0</v>
      </c>
      <c r="L317" s="14" cm="1">
        <f t="array" ref="L317">INT(SUMPRODUCT(--ISNUMBER(SEARCH(healthcare,C317)))&gt;0)</f>
        <v>0</v>
      </c>
      <c r="M317" s="14" cm="1">
        <f t="array" ref="M317">INT(SUMPRODUCT(--ISNUMBER(SEARCH(supreme,C317)))&gt;0)</f>
        <v>0</v>
      </c>
      <c r="N317" s="14" cm="1">
        <f t="array" ref="N317">INT(SUMPRODUCT(--ISNUMBER(SEARCH(covid,C317)))&gt;0)</f>
        <v>0</v>
      </c>
      <c r="O317" s="14" cm="1">
        <f t="array" ref="O317">INT(SUMPRODUCT(--ISNUMBER(SEARCH(violent,C317)))&gt;0)</f>
        <v>0</v>
      </c>
      <c r="P317" s="14" cm="1">
        <f t="array" ref="P317">INT(SUMPRODUCT(--ISNUMBER(SEARCH(foreign,C317)))&gt;0)</f>
        <v>0</v>
      </c>
      <c r="Q317" s="14" cm="1">
        <f t="array" ref="Q317">INT(SUMPRODUCT(--ISNUMBER(SEARCH(gun,C317)))&gt;0)</f>
        <v>0</v>
      </c>
      <c r="R317" s="14" cm="1">
        <f t="array" ref="R317">INT(SUMPRODUCT(--ISNUMBER(SEARCH(race,C317)))&gt;0)</f>
        <v>0</v>
      </c>
      <c r="S317" s="14" cm="1">
        <f t="array" ref="S317">INT(SUMPRODUCT(--ISNUMBER(SEARCH(immigration,C317)))&gt;0)</f>
        <v>0</v>
      </c>
      <c r="T317" s="14" cm="1">
        <f t="array" ref="T317">INT(SUMPRODUCT(--ISNUMBER(SEARCH(econineq,C318)))&gt;0)</f>
        <v>0</v>
      </c>
      <c r="U317" s="14" cm="1">
        <f t="array" ref="U317">INT(SUMPRODUCT(--ISNUMBER(SEARCH(climate,C317)))&gt;0)</f>
        <v>0</v>
      </c>
      <c r="V317" s="14" cm="1">
        <f t="array" ref="V317">INT(SUMPRODUCT(--ISNUMBER(SEARCH(abortion,C317)))&gt;0)</f>
        <v>0</v>
      </c>
      <c r="W317" s="14" cm="1">
        <f t="array" ref="W317">INT(SUMPRODUCT(--ISNUMBER(SEARCH(trump,C317)))&gt;0)</f>
        <v>0</v>
      </c>
      <c r="X317" s="14" cm="1">
        <f t="array" ref="X317">INT(SUMPRODUCT(--ISNUMBER(SEARCH(voting,C317)))&gt;0)</f>
        <v>0</v>
      </c>
      <c r="Y317" s="14" cm="1">
        <f t="array" ref="Y317">INT(SUMPRODUCT(--ISNUMBER(SEARCH(democrattrigger,C317)))&gt;0)</f>
        <v>0</v>
      </c>
      <c r="Z317" s="14" cm="1">
        <f t="array" ref="Z317">INT(SUMPRODUCT(--ISNUMBER(SEARCH(bipartisan,C317)))&gt;0)</f>
        <v>0</v>
      </c>
      <c r="AA317" s="14">
        <f t="shared" si="4"/>
        <v>1</v>
      </c>
      <c r="AB317" s="14"/>
      <c r="AC317" s="30" t="s">
        <v>223</v>
      </c>
      <c r="AD317" s="37" t="s">
        <v>223</v>
      </c>
    </row>
    <row r="318" spans="1:30" x14ac:dyDescent="0.25">
      <c r="A318" s="36">
        <v>4159</v>
      </c>
      <c r="B318" s="14" t="s">
        <v>8341</v>
      </c>
      <c r="C318" s="14" t="s">
        <v>8342</v>
      </c>
      <c r="D318" s="17">
        <v>44113</v>
      </c>
      <c r="E318" s="14" t="s">
        <v>30</v>
      </c>
      <c r="F318" s="14">
        <v>4896</v>
      </c>
      <c r="G318" s="14">
        <v>1864</v>
      </c>
      <c r="H318" s="14">
        <v>18</v>
      </c>
      <c r="I318" s="14">
        <v>9</v>
      </c>
      <c r="J318" s="14" t="s">
        <v>204</v>
      </c>
      <c r="K318" s="14" cm="1">
        <f t="array" ref="K318">INT(SUMPRODUCT(--ISNUMBER(SEARCH(economy,C318)))&gt;0)</f>
        <v>1</v>
      </c>
      <c r="L318" s="14" cm="1">
        <f t="array" ref="L318">INT(SUMPRODUCT(--ISNUMBER(SEARCH(healthcare,C318)))&gt;0)</f>
        <v>1</v>
      </c>
      <c r="M318" s="14" cm="1">
        <f t="array" ref="M318">INT(SUMPRODUCT(--ISNUMBER(SEARCH(supreme,C318)))&gt;0)</f>
        <v>0</v>
      </c>
      <c r="N318" s="14" cm="1">
        <f t="array" ref="N318">INT(SUMPRODUCT(--ISNUMBER(SEARCH(covid,C318)))&gt;0)</f>
        <v>0</v>
      </c>
      <c r="O318" s="14" cm="1">
        <f t="array" ref="O318">INT(SUMPRODUCT(--ISNUMBER(SEARCH(violent,C318)))&gt;0)</f>
        <v>0</v>
      </c>
      <c r="P318" s="14" cm="1">
        <f t="array" ref="P318">INT(SUMPRODUCT(--ISNUMBER(SEARCH(foreign,C318)))&gt;0)</f>
        <v>0</v>
      </c>
      <c r="Q318" s="14" cm="1">
        <f t="array" ref="Q318">INT(SUMPRODUCT(--ISNUMBER(SEARCH(gun,C318)))&gt;0)</f>
        <v>0</v>
      </c>
      <c r="R318" s="14" cm="1">
        <f t="array" ref="R318">INT(SUMPRODUCT(--ISNUMBER(SEARCH(race,C318)))&gt;0)</f>
        <v>0</v>
      </c>
      <c r="S318" s="14" cm="1">
        <f t="array" ref="S318">INT(SUMPRODUCT(--ISNUMBER(SEARCH(immigration,C318)))&gt;0)</f>
        <v>0</v>
      </c>
      <c r="T318" s="14" cm="1">
        <f t="array" ref="T318">INT(SUMPRODUCT(--ISNUMBER(SEARCH(econineq,C319)))&gt;0)</f>
        <v>0</v>
      </c>
      <c r="U318" s="14" cm="1">
        <f t="array" ref="U318">INT(SUMPRODUCT(--ISNUMBER(SEARCH(climate,C318)))&gt;0)</f>
        <v>0</v>
      </c>
      <c r="V318" s="14" cm="1">
        <f t="array" ref="V318">INT(SUMPRODUCT(--ISNUMBER(SEARCH(abortion,C318)))&gt;0)</f>
        <v>0</v>
      </c>
      <c r="W318" s="14" cm="1">
        <f t="array" ref="W318">INT(SUMPRODUCT(--ISNUMBER(SEARCH(trump,C318)))&gt;0)</f>
        <v>0</v>
      </c>
      <c r="X318" s="14" cm="1">
        <f t="array" ref="X318">INT(SUMPRODUCT(--ISNUMBER(SEARCH(voting,C318)))&gt;0)</f>
        <v>0</v>
      </c>
      <c r="Y318" s="14" cm="1">
        <f t="array" ref="Y318">INT(SUMPRODUCT(--ISNUMBER(SEARCH(democrattrigger,C318)))&gt;0)</f>
        <v>1</v>
      </c>
      <c r="Z318" s="14" cm="1">
        <f t="array" ref="Z318">INT(SUMPRODUCT(--ISNUMBER(SEARCH(bipartisan,C318)))&gt;0)</f>
        <v>0</v>
      </c>
      <c r="AA318" s="14">
        <f t="shared" si="4"/>
        <v>0</v>
      </c>
      <c r="AB318" s="14"/>
      <c r="AC318" s="30" t="s">
        <v>223</v>
      </c>
      <c r="AD318" s="37" t="s">
        <v>223</v>
      </c>
    </row>
    <row r="319" spans="1:30" x14ac:dyDescent="0.25">
      <c r="A319" s="36">
        <v>4160</v>
      </c>
      <c r="B319" s="14" t="s">
        <v>8343</v>
      </c>
      <c r="C319" s="14" t="s">
        <v>8344</v>
      </c>
      <c r="D319" s="17">
        <v>44113</v>
      </c>
      <c r="E319" s="14" t="s">
        <v>70</v>
      </c>
      <c r="F319" s="14">
        <v>667</v>
      </c>
      <c r="G319" s="14">
        <v>261</v>
      </c>
      <c r="H319" s="14">
        <v>18</v>
      </c>
      <c r="I319" s="14">
        <v>9</v>
      </c>
      <c r="J319" s="14" t="s">
        <v>204</v>
      </c>
      <c r="K319" s="14" cm="1">
        <f t="array" ref="K319">INT(SUMPRODUCT(--ISNUMBER(SEARCH(economy,C319)))&gt;0)</f>
        <v>0</v>
      </c>
      <c r="L319" s="14" cm="1">
        <f t="array" ref="L319">INT(SUMPRODUCT(--ISNUMBER(SEARCH(healthcare,C319)))&gt;0)</f>
        <v>0</v>
      </c>
      <c r="M319" s="14" cm="1">
        <f t="array" ref="M319">INT(SUMPRODUCT(--ISNUMBER(SEARCH(supreme,C319)))&gt;0)</f>
        <v>0</v>
      </c>
      <c r="N319" s="14" cm="1">
        <f t="array" ref="N319">INT(SUMPRODUCT(--ISNUMBER(SEARCH(covid,C319)))&gt;0)</f>
        <v>0</v>
      </c>
      <c r="O319" s="14" cm="1">
        <f t="array" ref="O319">INT(SUMPRODUCT(--ISNUMBER(SEARCH(violent,C319)))&gt;0)</f>
        <v>0</v>
      </c>
      <c r="P319" s="14" cm="1">
        <f t="array" ref="P319">INT(SUMPRODUCT(--ISNUMBER(SEARCH(foreign,C319)))&gt;0)</f>
        <v>0</v>
      </c>
      <c r="Q319" s="14" cm="1">
        <f t="array" ref="Q319">INT(SUMPRODUCT(--ISNUMBER(SEARCH(gun,C319)))&gt;0)</f>
        <v>0</v>
      </c>
      <c r="R319" s="14" cm="1">
        <f t="array" ref="R319">INT(SUMPRODUCT(--ISNUMBER(SEARCH(race,C319)))&gt;0)</f>
        <v>0</v>
      </c>
      <c r="S319" s="14" cm="1">
        <f t="array" ref="S319">INT(SUMPRODUCT(--ISNUMBER(SEARCH(immigration,C319)))&gt;0)</f>
        <v>0</v>
      </c>
      <c r="T319" s="14" cm="1">
        <f t="array" ref="T319">INT(SUMPRODUCT(--ISNUMBER(SEARCH(econineq,C320)))&gt;0)</f>
        <v>0</v>
      </c>
      <c r="U319" s="14" cm="1">
        <f t="array" ref="U319">INT(SUMPRODUCT(--ISNUMBER(SEARCH(climate,C319)))&gt;0)</f>
        <v>0</v>
      </c>
      <c r="V319" s="14" cm="1">
        <f t="array" ref="V319">INT(SUMPRODUCT(--ISNUMBER(SEARCH(abortion,C319)))&gt;0)</f>
        <v>0</v>
      </c>
      <c r="W319" s="14" cm="1">
        <f t="array" ref="W319">INT(SUMPRODUCT(--ISNUMBER(SEARCH(trump,C319)))&gt;0)</f>
        <v>0</v>
      </c>
      <c r="X319" s="14" cm="1">
        <f t="array" ref="X319">INT(SUMPRODUCT(--ISNUMBER(SEARCH(voting,C319)))&gt;0)</f>
        <v>0</v>
      </c>
      <c r="Y319" s="14" cm="1">
        <f t="array" ref="Y319">INT(SUMPRODUCT(--ISNUMBER(SEARCH(democrattrigger,C319)))&gt;0)</f>
        <v>0</v>
      </c>
      <c r="Z319" s="14" cm="1">
        <f t="array" ref="Z319">INT(SUMPRODUCT(--ISNUMBER(SEARCH(bipartisan,C319)))&gt;0)</f>
        <v>0</v>
      </c>
      <c r="AA319" s="14">
        <f t="shared" si="4"/>
        <v>1</v>
      </c>
      <c r="AB319" s="14"/>
      <c r="AC319" s="30" t="s">
        <v>223</v>
      </c>
      <c r="AD319" s="37" t="s">
        <v>223</v>
      </c>
    </row>
    <row r="320" spans="1:30" x14ac:dyDescent="0.25">
      <c r="A320" s="36">
        <v>4161</v>
      </c>
      <c r="B320" s="14" t="s">
        <v>8345</v>
      </c>
      <c r="C320" s="14" t="s">
        <v>8346</v>
      </c>
      <c r="D320" s="17">
        <v>44113</v>
      </c>
      <c r="E320" s="14" t="s">
        <v>30</v>
      </c>
      <c r="F320" s="14">
        <v>6393</v>
      </c>
      <c r="G320" s="14">
        <v>1977</v>
      </c>
      <c r="H320" s="14">
        <v>18</v>
      </c>
      <c r="I320" s="14">
        <v>9</v>
      </c>
      <c r="J320" s="14" t="s">
        <v>204</v>
      </c>
      <c r="K320" s="14" cm="1">
        <f t="array" ref="K320">INT(SUMPRODUCT(--ISNUMBER(SEARCH(economy,C320)))&gt;0)</f>
        <v>0</v>
      </c>
      <c r="L320" s="14" cm="1">
        <f t="array" ref="L320">INT(SUMPRODUCT(--ISNUMBER(SEARCH(healthcare,C320)))&gt;0)</f>
        <v>0</v>
      </c>
      <c r="M320" s="14" cm="1">
        <f t="array" ref="M320">INT(SUMPRODUCT(--ISNUMBER(SEARCH(supreme,C320)))&gt;0)</f>
        <v>0</v>
      </c>
      <c r="N320" s="14" cm="1">
        <f t="array" ref="N320">INT(SUMPRODUCT(--ISNUMBER(SEARCH(covid,C320)))&gt;0)</f>
        <v>0</v>
      </c>
      <c r="O320" s="14" cm="1">
        <f t="array" ref="O320">INT(SUMPRODUCT(--ISNUMBER(SEARCH(violent,C320)))&gt;0)</f>
        <v>0</v>
      </c>
      <c r="P320" s="14" cm="1">
        <f t="array" ref="P320">INT(SUMPRODUCT(--ISNUMBER(SEARCH(foreign,C320)))&gt;0)</f>
        <v>0</v>
      </c>
      <c r="Q320" s="14" cm="1">
        <f t="array" ref="Q320">INT(SUMPRODUCT(--ISNUMBER(SEARCH(gun,C320)))&gt;0)</f>
        <v>0</v>
      </c>
      <c r="R320" s="14" cm="1">
        <f t="array" ref="R320">INT(SUMPRODUCT(--ISNUMBER(SEARCH(race,C320)))&gt;0)</f>
        <v>0</v>
      </c>
      <c r="S320" s="14" cm="1">
        <f t="array" ref="S320">INT(SUMPRODUCT(--ISNUMBER(SEARCH(immigration,C320)))&gt;0)</f>
        <v>0</v>
      </c>
      <c r="T320" s="14" cm="1">
        <f t="array" ref="T320">INT(SUMPRODUCT(--ISNUMBER(SEARCH(econineq,C321)))&gt;0)</f>
        <v>0</v>
      </c>
      <c r="U320" s="14" cm="1">
        <f t="array" ref="U320">INT(SUMPRODUCT(--ISNUMBER(SEARCH(climate,C320)))&gt;0)</f>
        <v>0</v>
      </c>
      <c r="V320" s="14" cm="1">
        <f t="array" ref="V320">INT(SUMPRODUCT(--ISNUMBER(SEARCH(abortion,C320)))&gt;0)</f>
        <v>0</v>
      </c>
      <c r="W320" s="14" cm="1">
        <f t="array" ref="W320">INT(SUMPRODUCT(--ISNUMBER(SEARCH(trump,C320)))&gt;0)</f>
        <v>0</v>
      </c>
      <c r="X320" s="14" cm="1">
        <f t="array" ref="X320">INT(SUMPRODUCT(--ISNUMBER(SEARCH(voting,C320)))&gt;0)</f>
        <v>0</v>
      </c>
      <c r="Y320" s="14" cm="1">
        <f t="array" ref="Y320">INT(SUMPRODUCT(--ISNUMBER(SEARCH(democrattrigger,C320)))&gt;0)</f>
        <v>1</v>
      </c>
      <c r="Z320" s="14" cm="1">
        <f t="array" ref="Z320">INT(SUMPRODUCT(--ISNUMBER(SEARCH(bipartisan,C320)))&gt;0)</f>
        <v>0</v>
      </c>
      <c r="AA320" s="14">
        <f t="shared" si="4"/>
        <v>0</v>
      </c>
      <c r="AB320" s="14"/>
      <c r="AC320" s="30" t="s">
        <v>223</v>
      </c>
      <c r="AD320" s="37" t="s">
        <v>223</v>
      </c>
    </row>
    <row r="321" spans="1:30" x14ac:dyDescent="0.25">
      <c r="A321" s="36">
        <v>4162</v>
      </c>
      <c r="B321" s="14" t="s">
        <v>8347</v>
      </c>
      <c r="C321" s="14" t="s">
        <v>8348</v>
      </c>
      <c r="D321" s="17">
        <v>44113</v>
      </c>
      <c r="E321" s="14" t="s">
        <v>30</v>
      </c>
      <c r="F321" s="14">
        <v>2266</v>
      </c>
      <c r="G321" s="14">
        <v>859</v>
      </c>
      <c r="H321" s="14">
        <v>18</v>
      </c>
      <c r="I321" s="14">
        <v>9</v>
      </c>
      <c r="J321" s="14" t="s">
        <v>204</v>
      </c>
      <c r="K321" s="14" cm="1">
        <f t="array" ref="K321">INT(SUMPRODUCT(--ISNUMBER(SEARCH(economy,C321)))&gt;0)</f>
        <v>0</v>
      </c>
      <c r="L321" s="14" cm="1">
        <f t="array" ref="L321">INT(SUMPRODUCT(--ISNUMBER(SEARCH(healthcare,C321)))&gt;0)</f>
        <v>0</v>
      </c>
      <c r="M321" s="14" cm="1">
        <f t="array" ref="M321">INT(SUMPRODUCT(--ISNUMBER(SEARCH(supreme,C321)))&gt;0)</f>
        <v>0</v>
      </c>
      <c r="N321" s="14" cm="1">
        <f t="array" ref="N321">INT(SUMPRODUCT(--ISNUMBER(SEARCH(covid,C321)))&gt;0)</f>
        <v>0</v>
      </c>
      <c r="O321" s="14" cm="1">
        <f t="array" ref="O321">INT(SUMPRODUCT(--ISNUMBER(SEARCH(violent,C321)))&gt;0)</f>
        <v>0</v>
      </c>
      <c r="P321" s="14" cm="1">
        <f t="array" ref="P321">INT(SUMPRODUCT(--ISNUMBER(SEARCH(foreign,C321)))&gt;0)</f>
        <v>0</v>
      </c>
      <c r="Q321" s="14" cm="1">
        <f t="array" ref="Q321">INT(SUMPRODUCT(--ISNUMBER(SEARCH(gun,C321)))&gt;0)</f>
        <v>0</v>
      </c>
      <c r="R321" s="14" cm="1">
        <f t="array" ref="R321">INT(SUMPRODUCT(--ISNUMBER(SEARCH(race,C321)))&gt;0)</f>
        <v>0</v>
      </c>
      <c r="S321" s="14" cm="1">
        <f t="array" ref="S321">INT(SUMPRODUCT(--ISNUMBER(SEARCH(immigration,C321)))&gt;0)</f>
        <v>0</v>
      </c>
      <c r="T321" s="14" cm="1">
        <f t="array" ref="T321">INT(SUMPRODUCT(--ISNUMBER(SEARCH(econineq,C322)))&gt;0)</f>
        <v>0</v>
      </c>
      <c r="U321" s="14" cm="1">
        <f t="array" ref="U321">INT(SUMPRODUCT(--ISNUMBER(SEARCH(climate,C321)))&gt;0)</f>
        <v>0</v>
      </c>
      <c r="V321" s="14" cm="1">
        <f t="array" ref="V321">INT(SUMPRODUCT(--ISNUMBER(SEARCH(abortion,C321)))&gt;0)</f>
        <v>0</v>
      </c>
      <c r="W321" s="14" cm="1">
        <f t="array" ref="W321">INT(SUMPRODUCT(--ISNUMBER(SEARCH(trump,C321)))&gt;0)</f>
        <v>0</v>
      </c>
      <c r="X321" s="14" cm="1">
        <f t="array" ref="X321">INT(SUMPRODUCT(--ISNUMBER(SEARCH(voting,C321)))&gt;0)</f>
        <v>1</v>
      </c>
      <c r="Y321" s="14" cm="1">
        <f t="array" ref="Y321">INT(SUMPRODUCT(--ISNUMBER(SEARCH(democrattrigger,C321)))&gt;0)</f>
        <v>0</v>
      </c>
      <c r="Z321" s="14" cm="1">
        <f t="array" ref="Z321">INT(SUMPRODUCT(--ISNUMBER(SEARCH(bipartisan,C321)))&gt;0)</f>
        <v>0</v>
      </c>
      <c r="AA321" s="14">
        <f t="shared" si="4"/>
        <v>0</v>
      </c>
      <c r="AB321" s="14"/>
      <c r="AC321" s="30" t="s">
        <v>223</v>
      </c>
      <c r="AD321" s="37" t="s">
        <v>223</v>
      </c>
    </row>
    <row r="322" spans="1:30" x14ac:dyDescent="0.25">
      <c r="A322" s="36">
        <v>4163</v>
      </c>
      <c r="B322" s="14" t="s">
        <v>8349</v>
      </c>
      <c r="C322" s="14" t="s">
        <v>8350</v>
      </c>
      <c r="D322" s="17">
        <v>44113</v>
      </c>
      <c r="E322" s="14" t="s">
        <v>30</v>
      </c>
      <c r="F322" s="14">
        <v>8359</v>
      </c>
      <c r="G322" s="14">
        <v>2623</v>
      </c>
      <c r="H322" s="14">
        <v>18</v>
      </c>
      <c r="I322" s="14">
        <v>9</v>
      </c>
      <c r="J322" s="14" t="s">
        <v>204</v>
      </c>
      <c r="K322" s="14" cm="1">
        <f t="array" ref="K322">INT(SUMPRODUCT(--ISNUMBER(SEARCH(economy,C322)))&gt;0)</f>
        <v>0</v>
      </c>
      <c r="L322" s="14" cm="1">
        <f t="array" ref="L322">INT(SUMPRODUCT(--ISNUMBER(SEARCH(healthcare,C322)))&gt;0)</f>
        <v>0</v>
      </c>
      <c r="M322" s="14" cm="1">
        <f t="array" ref="M322">INT(SUMPRODUCT(--ISNUMBER(SEARCH(supreme,C322)))&gt;0)</f>
        <v>0</v>
      </c>
      <c r="N322" s="14" cm="1">
        <f t="array" ref="N322">INT(SUMPRODUCT(--ISNUMBER(SEARCH(covid,C322)))&gt;0)</f>
        <v>0</v>
      </c>
      <c r="O322" s="14" cm="1">
        <f t="array" ref="O322">INT(SUMPRODUCT(--ISNUMBER(SEARCH(violent,C322)))&gt;0)</f>
        <v>0</v>
      </c>
      <c r="P322" s="14" cm="1">
        <f t="array" ref="P322">INT(SUMPRODUCT(--ISNUMBER(SEARCH(foreign,C322)))&gt;0)</f>
        <v>0</v>
      </c>
      <c r="Q322" s="14" cm="1">
        <f t="array" ref="Q322">INT(SUMPRODUCT(--ISNUMBER(SEARCH(gun,C322)))&gt;0)</f>
        <v>0</v>
      </c>
      <c r="R322" s="14" cm="1">
        <f t="array" ref="R322">INT(SUMPRODUCT(--ISNUMBER(SEARCH(race,C322)))&gt;0)</f>
        <v>0</v>
      </c>
      <c r="S322" s="14" cm="1">
        <f t="array" ref="S322">INT(SUMPRODUCT(--ISNUMBER(SEARCH(immigration,C322)))&gt;0)</f>
        <v>0</v>
      </c>
      <c r="T322" s="14" cm="1">
        <f t="array" ref="T322">INT(SUMPRODUCT(--ISNUMBER(SEARCH(econineq,C323)))&gt;0)</f>
        <v>0</v>
      </c>
      <c r="U322" s="14" cm="1">
        <f t="array" ref="U322">INT(SUMPRODUCT(--ISNUMBER(SEARCH(climate,C322)))&gt;0)</f>
        <v>0</v>
      </c>
      <c r="V322" s="14" cm="1">
        <f t="array" ref="V322">INT(SUMPRODUCT(--ISNUMBER(SEARCH(abortion,C322)))&gt;0)</f>
        <v>0</v>
      </c>
      <c r="W322" s="14" cm="1">
        <f t="array" ref="W322">INT(SUMPRODUCT(--ISNUMBER(SEARCH(trump,C322)))&gt;0)</f>
        <v>0</v>
      </c>
      <c r="X322" s="14" cm="1">
        <f t="array" ref="X322">INT(SUMPRODUCT(--ISNUMBER(SEARCH(voting,C322)))&gt;0)</f>
        <v>0</v>
      </c>
      <c r="Y322" s="14" cm="1">
        <f t="array" ref="Y322">INT(SUMPRODUCT(--ISNUMBER(SEARCH(democrattrigger,C322)))&gt;0)</f>
        <v>0</v>
      </c>
      <c r="Z322" s="14" cm="1">
        <f t="array" ref="Z322">INT(SUMPRODUCT(--ISNUMBER(SEARCH(bipartisan,C322)))&gt;0)</f>
        <v>0</v>
      </c>
      <c r="AA322" s="14">
        <f t="shared" si="4"/>
        <v>1</v>
      </c>
      <c r="AB322" s="14"/>
      <c r="AC322" s="30" t="s">
        <v>223</v>
      </c>
      <c r="AD322" s="37" t="s">
        <v>223</v>
      </c>
    </row>
    <row r="323" spans="1:30" x14ac:dyDescent="0.25">
      <c r="A323" s="36">
        <v>4164</v>
      </c>
      <c r="B323" s="14" t="s">
        <v>8351</v>
      </c>
      <c r="C323" s="14" t="s">
        <v>8352</v>
      </c>
      <c r="D323" s="17">
        <v>44113</v>
      </c>
      <c r="E323" s="14" t="s">
        <v>30</v>
      </c>
      <c r="F323" s="14">
        <v>785</v>
      </c>
      <c r="G323" s="14">
        <v>152</v>
      </c>
      <c r="H323" s="14">
        <v>18</v>
      </c>
      <c r="I323" s="14">
        <v>9</v>
      </c>
      <c r="J323" s="14" t="s">
        <v>204</v>
      </c>
      <c r="K323" s="14" cm="1">
        <f t="array" ref="K323">INT(SUMPRODUCT(--ISNUMBER(SEARCH(economy,C323)))&gt;0)</f>
        <v>0</v>
      </c>
      <c r="L323" s="14" cm="1">
        <f t="array" ref="L323">INT(SUMPRODUCT(--ISNUMBER(SEARCH(healthcare,C323)))&gt;0)</f>
        <v>0</v>
      </c>
      <c r="M323" s="14" cm="1">
        <f t="array" ref="M323">INT(SUMPRODUCT(--ISNUMBER(SEARCH(supreme,C323)))&gt;0)</f>
        <v>0</v>
      </c>
      <c r="N323" s="14" cm="1">
        <f t="array" ref="N323">INT(SUMPRODUCT(--ISNUMBER(SEARCH(covid,C323)))&gt;0)</f>
        <v>0</v>
      </c>
      <c r="O323" s="14" cm="1">
        <f t="array" ref="O323">INT(SUMPRODUCT(--ISNUMBER(SEARCH(violent,C323)))&gt;0)</f>
        <v>0</v>
      </c>
      <c r="P323" s="14" cm="1">
        <f t="array" ref="P323">INT(SUMPRODUCT(--ISNUMBER(SEARCH(foreign,C323)))&gt;0)</f>
        <v>0</v>
      </c>
      <c r="Q323" s="14" cm="1">
        <f t="array" ref="Q323">INT(SUMPRODUCT(--ISNUMBER(SEARCH(gun,C323)))&gt;0)</f>
        <v>0</v>
      </c>
      <c r="R323" s="14" cm="1">
        <f t="array" ref="R323">INT(SUMPRODUCT(--ISNUMBER(SEARCH(race,C323)))&gt;0)</f>
        <v>0</v>
      </c>
      <c r="S323" s="14" cm="1">
        <f t="array" ref="S323">INT(SUMPRODUCT(--ISNUMBER(SEARCH(immigration,C323)))&gt;0)</f>
        <v>0</v>
      </c>
      <c r="T323" s="14" cm="1">
        <f t="array" ref="T323">INT(SUMPRODUCT(--ISNUMBER(SEARCH(econineq,C324)))&gt;0)</f>
        <v>0</v>
      </c>
      <c r="U323" s="14" cm="1">
        <f t="array" ref="U323">INT(SUMPRODUCT(--ISNUMBER(SEARCH(climate,C323)))&gt;0)</f>
        <v>0</v>
      </c>
      <c r="V323" s="14" cm="1">
        <f t="array" ref="V323">INT(SUMPRODUCT(--ISNUMBER(SEARCH(abortion,C323)))&gt;0)</f>
        <v>0</v>
      </c>
      <c r="W323" s="14" cm="1">
        <f t="array" ref="W323">INT(SUMPRODUCT(--ISNUMBER(SEARCH(trump,C323)))&gt;0)</f>
        <v>0</v>
      </c>
      <c r="X323" s="14" cm="1">
        <f t="array" ref="X323">INT(SUMPRODUCT(--ISNUMBER(SEARCH(voting,C323)))&gt;0)</f>
        <v>1</v>
      </c>
      <c r="Y323" s="14" cm="1">
        <f t="array" ref="Y323">INT(SUMPRODUCT(--ISNUMBER(SEARCH(democrattrigger,C323)))&gt;0)</f>
        <v>1</v>
      </c>
      <c r="Z323" s="14" cm="1">
        <f t="array" ref="Z323">INT(SUMPRODUCT(--ISNUMBER(SEARCH(bipartisan,C323)))&gt;0)</f>
        <v>0</v>
      </c>
      <c r="AA323" s="14">
        <f t="shared" ref="AA323:AA355" si="5">INT(IF(COUNTIF(K323:Z323,1)=0,"1","0"))</f>
        <v>0</v>
      </c>
      <c r="AB323" s="14"/>
      <c r="AC323" s="30" t="s">
        <v>223</v>
      </c>
      <c r="AD323" s="37" t="s">
        <v>223</v>
      </c>
    </row>
    <row r="324" spans="1:30" x14ac:dyDescent="0.25">
      <c r="A324" s="36">
        <v>4165</v>
      </c>
      <c r="B324" s="14" t="s">
        <v>8353</v>
      </c>
      <c r="C324" s="14" t="s">
        <v>8354</v>
      </c>
      <c r="D324" s="17">
        <v>44112</v>
      </c>
      <c r="E324" s="14" t="s">
        <v>30</v>
      </c>
      <c r="F324" s="14">
        <v>15240</v>
      </c>
      <c r="G324" s="14">
        <v>6001</v>
      </c>
      <c r="H324" s="14">
        <v>18</v>
      </c>
      <c r="I324" s="14">
        <v>9</v>
      </c>
      <c r="J324" s="14" t="s">
        <v>204</v>
      </c>
      <c r="K324" s="14" cm="1">
        <f t="array" ref="K324">INT(SUMPRODUCT(--ISNUMBER(SEARCH(economy,C324)))&gt;0)</f>
        <v>0</v>
      </c>
      <c r="L324" s="14" cm="1">
        <f t="array" ref="L324">INT(SUMPRODUCT(--ISNUMBER(SEARCH(healthcare,C324)))&gt;0)</f>
        <v>1</v>
      </c>
      <c r="M324" s="14" cm="1">
        <f t="array" ref="M324">INT(SUMPRODUCT(--ISNUMBER(SEARCH(supreme,C324)))&gt;0)</f>
        <v>0</v>
      </c>
      <c r="N324" s="14" cm="1">
        <f t="array" ref="N324">INT(SUMPRODUCT(--ISNUMBER(SEARCH(covid,C324)))&gt;0)</f>
        <v>0</v>
      </c>
      <c r="O324" s="14" cm="1">
        <f t="array" ref="O324">INT(SUMPRODUCT(--ISNUMBER(SEARCH(violent,C324)))&gt;0)</f>
        <v>0</v>
      </c>
      <c r="P324" s="14" cm="1">
        <f t="array" ref="P324">INT(SUMPRODUCT(--ISNUMBER(SEARCH(foreign,C324)))&gt;0)</f>
        <v>0</v>
      </c>
      <c r="Q324" s="14" cm="1">
        <f t="array" ref="Q324">INT(SUMPRODUCT(--ISNUMBER(SEARCH(gun,C324)))&gt;0)</f>
        <v>0</v>
      </c>
      <c r="R324" s="14" cm="1">
        <f t="array" ref="R324">INT(SUMPRODUCT(--ISNUMBER(SEARCH(race,C324)))&gt;0)</f>
        <v>0</v>
      </c>
      <c r="S324" s="14" cm="1">
        <f t="array" ref="S324">INT(SUMPRODUCT(--ISNUMBER(SEARCH(immigration,C324)))&gt;0)</f>
        <v>0</v>
      </c>
      <c r="T324" s="14" cm="1">
        <f t="array" ref="T324">INT(SUMPRODUCT(--ISNUMBER(SEARCH(econineq,C325)))&gt;0)</f>
        <v>0</v>
      </c>
      <c r="U324" s="14" cm="1">
        <f t="array" ref="U324">INT(SUMPRODUCT(--ISNUMBER(SEARCH(climate,C324)))&gt;0)</f>
        <v>0</v>
      </c>
      <c r="V324" s="14" cm="1">
        <f t="array" ref="V324">INT(SUMPRODUCT(--ISNUMBER(SEARCH(abortion,C324)))&gt;0)</f>
        <v>0</v>
      </c>
      <c r="W324" s="14" cm="1">
        <f t="array" ref="W324">INT(SUMPRODUCT(--ISNUMBER(SEARCH(trump,C324)))&gt;0)</f>
        <v>0</v>
      </c>
      <c r="X324" s="14" cm="1">
        <f t="array" ref="X324">INT(SUMPRODUCT(--ISNUMBER(SEARCH(voting,C324)))&gt;0)</f>
        <v>1</v>
      </c>
      <c r="Y324" s="14" cm="1">
        <f t="array" ref="Y324">INT(SUMPRODUCT(--ISNUMBER(SEARCH(democrattrigger,C324)))&gt;0)</f>
        <v>1</v>
      </c>
      <c r="Z324" s="14" cm="1">
        <f t="array" ref="Z324">INT(SUMPRODUCT(--ISNUMBER(SEARCH(bipartisan,C324)))&gt;0)</f>
        <v>0</v>
      </c>
      <c r="AA324" s="14">
        <f t="shared" si="5"/>
        <v>0</v>
      </c>
      <c r="AB324" s="14"/>
      <c r="AC324" s="30" t="s">
        <v>223</v>
      </c>
      <c r="AD324" s="37" t="s">
        <v>223</v>
      </c>
    </row>
    <row r="325" spans="1:30" x14ac:dyDescent="0.25">
      <c r="A325" s="36">
        <v>4166</v>
      </c>
      <c r="B325" s="14" t="s">
        <v>8355</v>
      </c>
      <c r="C325" s="14" t="s">
        <v>8356</v>
      </c>
      <c r="D325" s="17">
        <v>44112</v>
      </c>
      <c r="E325" s="14" t="s">
        <v>30</v>
      </c>
      <c r="F325" s="14">
        <v>1091</v>
      </c>
      <c r="G325" s="14">
        <v>600</v>
      </c>
      <c r="H325" s="14">
        <v>18</v>
      </c>
      <c r="I325" s="14">
        <v>9</v>
      </c>
      <c r="J325" s="14" t="s">
        <v>204</v>
      </c>
      <c r="K325" s="14" cm="1">
        <f t="array" ref="K325">INT(SUMPRODUCT(--ISNUMBER(SEARCH(economy,C325)))&gt;0)</f>
        <v>0</v>
      </c>
      <c r="L325" s="14" cm="1">
        <f t="array" ref="L325">INT(SUMPRODUCT(--ISNUMBER(SEARCH(healthcare,C325)))&gt;0)</f>
        <v>0</v>
      </c>
      <c r="M325" s="14" cm="1">
        <f t="array" ref="M325">INT(SUMPRODUCT(--ISNUMBER(SEARCH(supreme,C325)))&gt;0)</f>
        <v>0</v>
      </c>
      <c r="N325" s="14" cm="1">
        <f t="array" ref="N325">INT(SUMPRODUCT(--ISNUMBER(SEARCH(covid,C325)))&gt;0)</f>
        <v>0</v>
      </c>
      <c r="O325" s="14" cm="1">
        <f t="array" ref="O325">INT(SUMPRODUCT(--ISNUMBER(SEARCH(violent,C325)))&gt;0)</f>
        <v>0</v>
      </c>
      <c r="P325" s="14" cm="1">
        <f t="array" ref="P325">INT(SUMPRODUCT(--ISNUMBER(SEARCH(foreign,C325)))&gt;0)</f>
        <v>0</v>
      </c>
      <c r="Q325" s="14" cm="1">
        <f t="array" ref="Q325">INT(SUMPRODUCT(--ISNUMBER(SEARCH(gun,C325)))&gt;0)</f>
        <v>0</v>
      </c>
      <c r="R325" s="14" cm="1">
        <f t="array" ref="R325">INT(SUMPRODUCT(--ISNUMBER(SEARCH(race,C325)))&gt;0)</f>
        <v>0</v>
      </c>
      <c r="S325" s="14" cm="1">
        <f t="array" ref="S325">INT(SUMPRODUCT(--ISNUMBER(SEARCH(immigration,C325)))&gt;0)</f>
        <v>0</v>
      </c>
      <c r="T325" s="14" cm="1">
        <f t="array" ref="T325">INT(SUMPRODUCT(--ISNUMBER(SEARCH(econineq,C326)))&gt;0)</f>
        <v>0</v>
      </c>
      <c r="U325" s="14" cm="1">
        <f t="array" ref="U325">INT(SUMPRODUCT(--ISNUMBER(SEARCH(climate,C325)))&gt;0)</f>
        <v>0</v>
      </c>
      <c r="V325" s="14" cm="1">
        <f t="array" ref="V325">INT(SUMPRODUCT(--ISNUMBER(SEARCH(abortion,C325)))&gt;0)</f>
        <v>0</v>
      </c>
      <c r="W325" s="14" cm="1">
        <f t="array" ref="W325">INT(SUMPRODUCT(--ISNUMBER(SEARCH(trump,C325)))&gt;0)</f>
        <v>0</v>
      </c>
      <c r="X325" s="14" cm="1">
        <f t="array" ref="X325">INT(SUMPRODUCT(--ISNUMBER(SEARCH(voting,C325)))&gt;0)</f>
        <v>0</v>
      </c>
      <c r="Y325" s="14" cm="1">
        <f t="array" ref="Y325">INT(SUMPRODUCT(--ISNUMBER(SEARCH(democrattrigger,C325)))&gt;0)</f>
        <v>1</v>
      </c>
      <c r="Z325" s="14" cm="1">
        <f t="array" ref="Z325">INT(SUMPRODUCT(--ISNUMBER(SEARCH(bipartisan,C325)))&gt;0)</f>
        <v>0</v>
      </c>
      <c r="AA325" s="14">
        <f t="shared" si="5"/>
        <v>0</v>
      </c>
      <c r="AB325" s="14"/>
      <c r="AC325" s="30" t="s">
        <v>223</v>
      </c>
      <c r="AD325" s="37" t="s">
        <v>223</v>
      </c>
    </row>
    <row r="326" spans="1:30" x14ac:dyDescent="0.25">
      <c r="A326" s="36">
        <v>4167</v>
      </c>
      <c r="B326" s="14" t="s">
        <v>8357</v>
      </c>
      <c r="C326" s="14" t="s">
        <v>8358</v>
      </c>
      <c r="D326" s="17">
        <v>44112</v>
      </c>
      <c r="E326" s="14" t="s">
        <v>30</v>
      </c>
      <c r="F326" s="14">
        <v>19036</v>
      </c>
      <c r="G326" s="14">
        <v>4756</v>
      </c>
      <c r="H326" s="14">
        <v>18</v>
      </c>
      <c r="I326" s="14">
        <v>9</v>
      </c>
      <c r="J326" s="14" t="s">
        <v>204</v>
      </c>
      <c r="K326" s="14" cm="1">
        <f t="array" ref="K326">INT(SUMPRODUCT(--ISNUMBER(SEARCH(economy,C326)))&gt;0)</f>
        <v>0</v>
      </c>
      <c r="L326" s="14" cm="1">
        <f t="array" ref="L326">INT(SUMPRODUCT(--ISNUMBER(SEARCH(healthcare,C326)))&gt;0)</f>
        <v>0</v>
      </c>
      <c r="M326" s="14" cm="1">
        <f t="array" ref="M326">INT(SUMPRODUCT(--ISNUMBER(SEARCH(supreme,C326)))&gt;0)</f>
        <v>0</v>
      </c>
      <c r="N326" s="14" cm="1">
        <f t="array" ref="N326">INT(SUMPRODUCT(--ISNUMBER(SEARCH(covid,C326)))&gt;0)</f>
        <v>0</v>
      </c>
      <c r="O326" s="14" cm="1">
        <f t="array" ref="O326">INT(SUMPRODUCT(--ISNUMBER(SEARCH(violent,C326)))&gt;0)</f>
        <v>0</v>
      </c>
      <c r="P326" s="14" cm="1">
        <f t="array" ref="P326">INT(SUMPRODUCT(--ISNUMBER(SEARCH(foreign,C326)))&gt;0)</f>
        <v>0</v>
      </c>
      <c r="Q326" s="14" cm="1">
        <f t="array" ref="Q326">INT(SUMPRODUCT(--ISNUMBER(SEARCH(gun,C326)))&gt;0)</f>
        <v>0</v>
      </c>
      <c r="R326" s="14" cm="1">
        <f t="array" ref="R326">INT(SUMPRODUCT(--ISNUMBER(SEARCH(race,C326)))&gt;0)</f>
        <v>0</v>
      </c>
      <c r="S326" s="14" cm="1">
        <f t="array" ref="S326">INT(SUMPRODUCT(--ISNUMBER(SEARCH(immigration,C326)))&gt;0)</f>
        <v>0</v>
      </c>
      <c r="T326" s="14" cm="1">
        <f t="array" ref="T326">INT(SUMPRODUCT(--ISNUMBER(SEARCH(econineq,C327)))&gt;0)</f>
        <v>0</v>
      </c>
      <c r="U326" s="14" cm="1">
        <f t="array" ref="U326">INT(SUMPRODUCT(--ISNUMBER(SEARCH(climate,C326)))&gt;0)</f>
        <v>0</v>
      </c>
      <c r="V326" s="14" cm="1">
        <f t="array" ref="V326">INT(SUMPRODUCT(--ISNUMBER(SEARCH(abortion,C326)))&gt;0)</f>
        <v>0</v>
      </c>
      <c r="W326" s="14" cm="1">
        <f t="array" ref="W326">INT(SUMPRODUCT(--ISNUMBER(SEARCH(trump,C326)))&gt;0)</f>
        <v>0</v>
      </c>
      <c r="X326" s="14" cm="1">
        <f t="array" ref="X326">INT(SUMPRODUCT(--ISNUMBER(SEARCH(voting,C326)))&gt;0)</f>
        <v>0</v>
      </c>
      <c r="Y326" s="14" cm="1">
        <f t="array" ref="Y326">INT(SUMPRODUCT(--ISNUMBER(SEARCH(democrattrigger,C326)))&gt;0)</f>
        <v>0</v>
      </c>
      <c r="Z326" s="14" cm="1">
        <f t="array" ref="Z326">INT(SUMPRODUCT(--ISNUMBER(SEARCH(bipartisan,C326)))&gt;0)</f>
        <v>0</v>
      </c>
      <c r="AA326" s="14">
        <f t="shared" si="5"/>
        <v>1</v>
      </c>
      <c r="AB326" s="14"/>
      <c r="AC326" s="30" t="s">
        <v>223</v>
      </c>
      <c r="AD326" s="37" t="s">
        <v>223</v>
      </c>
    </row>
    <row r="327" spans="1:30" x14ac:dyDescent="0.25">
      <c r="A327" s="36">
        <v>4168</v>
      </c>
      <c r="B327" s="14" t="s">
        <v>8359</v>
      </c>
      <c r="C327" s="14" t="s">
        <v>8360</v>
      </c>
      <c r="D327" s="17">
        <v>44112</v>
      </c>
      <c r="E327" s="14" t="s">
        <v>30</v>
      </c>
      <c r="F327" s="14">
        <v>1658</v>
      </c>
      <c r="G327" s="14">
        <v>735</v>
      </c>
      <c r="H327" s="14">
        <v>18</v>
      </c>
      <c r="I327" s="14">
        <v>9</v>
      </c>
      <c r="J327" s="14" t="s">
        <v>204</v>
      </c>
      <c r="K327" s="14" cm="1">
        <f t="array" ref="K327">INT(SUMPRODUCT(--ISNUMBER(SEARCH(economy,C327)))&gt;0)</f>
        <v>0</v>
      </c>
      <c r="L327" s="14" cm="1">
        <f t="array" ref="L327">INT(SUMPRODUCT(--ISNUMBER(SEARCH(healthcare,C327)))&gt;0)</f>
        <v>0</v>
      </c>
      <c r="M327" s="14" cm="1">
        <f t="array" ref="M327">INT(SUMPRODUCT(--ISNUMBER(SEARCH(supreme,C327)))&gt;0)</f>
        <v>0</v>
      </c>
      <c r="N327" s="14" cm="1">
        <f t="array" ref="N327">INT(SUMPRODUCT(--ISNUMBER(SEARCH(covid,C327)))&gt;0)</f>
        <v>0</v>
      </c>
      <c r="O327" s="14" cm="1">
        <f t="array" ref="O327">INT(SUMPRODUCT(--ISNUMBER(SEARCH(violent,C327)))&gt;0)</f>
        <v>0</v>
      </c>
      <c r="P327" s="14" cm="1">
        <f t="array" ref="P327">INT(SUMPRODUCT(--ISNUMBER(SEARCH(foreign,C327)))&gt;0)</f>
        <v>0</v>
      </c>
      <c r="Q327" s="14" cm="1">
        <f t="array" ref="Q327">INT(SUMPRODUCT(--ISNUMBER(SEARCH(gun,C327)))&gt;0)</f>
        <v>0</v>
      </c>
      <c r="R327" s="14" cm="1">
        <f t="array" ref="R327">INT(SUMPRODUCT(--ISNUMBER(SEARCH(race,C327)))&gt;0)</f>
        <v>0</v>
      </c>
      <c r="S327" s="14" cm="1">
        <f t="array" ref="S327">INT(SUMPRODUCT(--ISNUMBER(SEARCH(immigration,C327)))&gt;0)</f>
        <v>0</v>
      </c>
      <c r="T327" s="14" cm="1">
        <f t="array" ref="T327">INT(SUMPRODUCT(--ISNUMBER(SEARCH(econineq,C328)))&gt;0)</f>
        <v>0</v>
      </c>
      <c r="U327" s="14" cm="1">
        <f t="array" ref="U327">INT(SUMPRODUCT(--ISNUMBER(SEARCH(climate,C327)))&gt;0)</f>
        <v>0</v>
      </c>
      <c r="V327" s="14" cm="1">
        <f t="array" ref="V327">INT(SUMPRODUCT(--ISNUMBER(SEARCH(abortion,C327)))&gt;0)</f>
        <v>0</v>
      </c>
      <c r="W327" s="14" cm="1">
        <f t="array" ref="W327">INT(SUMPRODUCT(--ISNUMBER(SEARCH(trump,C327)))&gt;0)</f>
        <v>0</v>
      </c>
      <c r="X327" s="14" cm="1">
        <f t="array" ref="X327">INT(SUMPRODUCT(--ISNUMBER(SEARCH(voting,C327)))&gt;0)</f>
        <v>1</v>
      </c>
      <c r="Y327" s="14" cm="1">
        <f t="array" ref="Y327">INT(SUMPRODUCT(--ISNUMBER(SEARCH(democrattrigger,C327)))&gt;0)</f>
        <v>1</v>
      </c>
      <c r="Z327" s="14" cm="1">
        <f t="array" ref="Z327">INT(SUMPRODUCT(--ISNUMBER(SEARCH(bipartisan,C327)))&gt;0)</f>
        <v>0</v>
      </c>
      <c r="AA327" s="14">
        <f t="shared" si="5"/>
        <v>0</v>
      </c>
      <c r="AB327" s="14"/>
      <c r="AC327" s="30">
        <v>0</v>
      </c>
      <c r="AD327" s="37">
        <v>1</v>
      </c>
    </row>
    <row r="328" spans="1:30" x14ac:dyDescent="0.25">
      <c r="A328" s="36">
        <v>4169</v>
      </c>
      <c r="B328" s="14" t="s">
        <v>8361</v>
      </c>
      <c r="C328" s="14" t="s">
        <v>8362</v>
      </c>
      <c r="D328" s="17">
        <v>44112</v>
      </c>
      <c r="E328" s="14" t="s">
        <v>30</v>
      </c>
      <c r="F328" s="14">
        <v>1175</v>
      </c>
      <c r="G328" s="14">
        <v>431</v>
      </c>
      <c r="H328" s="14">
        <v>18</v>
      </c>
      <c r="I328" s="14">
        <v>9</v>
      </c>
      <c r="J328" s="14" t="s">
        <v>204</v>
      </c>
      <c r="K328" s="14" cm="1">
        <f t="array" ref="K328">INT(SUMPRODUCT(--ISNUMBER(SEARCH(economy,C328)))&gt;0)</f>
        <v>1</v>
      </c>
      <c r="L328" s="14" cm="1">
        <f t="array" ref="L328">INT(SUMPRODUCT(--ISNUMBER(SEARCH(healthcare,C328)))&gt;0)</f>
        <v>0</v>
      </c>
      <c r="M328" s="14" cm="1">
        <f t="array" ref="M328">INT(SUMPRODUCT(--ISNUMBER(SEARCH(supreme,C328)))&gt;0)</f>
        <v>0</v>
      </c>
      <c r="N328" s="14" cm="1">
        <f t="array" ref="N328">INT(SUMPRODUCT(--ISNUMBER(SEARCH(covid,C328)))&gt;0)</f>
        <v>1</v>
      </c>
      <c r="O328" s="14" cm="1">
        <f t="array" ref="O328">INT(SUMPRODUCT(--ISNUMBER(SEARCH(violent,C328)))&gt;0)</f>
        <v>0</v>
      </c>
      <c r="P328" s="14" cm="1">
        <f t="array" ref="P328">INT(SUMPRODUCT(--ISNUMBER(SEARCH(foreign,C328)))&gt;0)</f>
        <v>0</v>
      </c>
      <c r="Q328" s="14" cm="1">
        <f t="array" ref="Q328">INT(SUMPRODUCT(--ISNUMBER(SEARCH(gun,C328)))&gt;0)</f>
        <v>0</v>
      </c>
      <c r="R328" s="14" cm="1">
        <f t="array" ref="R328">INT(SUMPRODUCT(--ISNUMBER(SEARCH(race,C328)))&gt;0)</f>
        <v>1</v>
      </c>
      <c r="S328" s="14" cm="1">
        <f t="array" ref="S328">INT(SUMPRODUCT(--ISNUMBER(SEARCH(immigration,C328)))&gt;0)</f>
        <v>0</v>
      </c>
      <c r="T328" s="14" cm="1">
        <f t="array" ref="T328">INT(SUMPRODUCT(--ISNUMBER(SEARCH(econineq,C329)))&gt;0)</f>
        <v>0</v>
      </c>
      <c r="U328" s="14" cm="1">
        <f t="array" ref="U328">INT(SUMPRODUCT(--ISNUMBER(SEARCH(climate,C328)))&gt;0)</f>
        <v>0</v>
      </c>
      <c r="V328" s="14" cm="1">
        <f t="array" ref="V328">INT(SUMPRODUCT(--ISNUMBER(SEARCH(abortion,C328)))&gt;0)</f>
        <v>0</v>
      </c>
      <c r="W328" s="14" cm="1">
        <f t="array" ref="W328">INT(SUMPRODUCT(--ISNUMBER(SEARCH(trump,C328)))&gt;0)</f>
        <v>0</v>
      </c>
      <c r="X328" s="14" cm="1">
        <f t="array" ref="X328">INT(SUMPRODUCT(--ISNUMBER(SEARCH(voting,C328)))&gt;0)</f>
        <v>0</v>
      </c>
      <c r="Y328" s="14" cm="1">
        <f t="array" ref="Y328">INT(SUMPRODUCT(--ISNUMBER(SEARCH(democrattrigger,C328)))&gt;0)</f>
        <v>0</v>
      </c>
      <c r="Z328" s="14" cm="1">
        <f t="array" ref="Z328">INT(SUMPRODUCT(--ISNUMBER(SEARCH(bipartisan,C328)))&gt;0)</f>
        <v>0</v>
      </c>
      <c r="AA328" s="14">
        <f t="shared" si="5"/>
        <v>0</v>
      </c>
      <c r="AB328" s="14"/>
      <c r="AC328" s="30">
        <v>1</v>
      </c>
      <c r="AD328" s="37">
        <v>0</v>
      </c>
    </row>
    <row r="329" spans="1:30" x14ac:dyDescent="0.25">
      <c r="A329" s="36">
        <v>4170</v>
      </c>
      <c r="B329" s="14" t="s">
        <v>8363</v>
      </c>
      <c r="C329" s="14" t="s">
        <v>8364</v>
      </c>
      <c r="D329" s="17">
        <v>44112</v>
      </c>
      <c r="E329" s="14" t="s">
        <v>30</v>
      </c>
      <c r="F329" s="14">
        <v>1470</v>
      </c>
      <c r="G329" s="14">
        <v>646</v>
      </c>
      <c r="H329" s="14">
        <v>18</v>
      </c>
      <c r="I329" s="14">
        <v>9</v>
      </c>
      <c r="J329" s="14" t="s">
        <v>204</v>
      </c>
      <c r="K329" s="14" cm="1">
        <f t="array" ref="K329">INT(SUMPRODUCT(--ISNUMBER(SEARCH(economy,C329)))&gt;0)</f>
        <v>1</v>
      </c>
      <c r="L329" s="14" cm="1">
        <f t="array" ref="L329">INT(SUMPRODUCT(--ISNUMBER(SEARCH(healthcare,C329)))&gt;0)</f>
        <v>1</v>
      </c>
      <c r="M329" s="14" cm="1">
        <f t="array" ref="M329">INT(SUMPRODUCT(--ISNUMBER(SEARCH(supreme,C329)))&gt;0)</f>
        <v>0</v>
      </c>
      <c r="N329" s="14" cm="1">
        <f t="array" ref="N329">INT(SUMPRODUCT(--ISNUMBER(SEARCH(covid,C329)))&gt;0)</f>
        <v>1</v>
      </c>
      <c r="O329" s="14" cm="1">
        <f t="array" ref="O329">INT(SUMPRODUCT(--ISNUMBER(SEARCH(violent,C329)))&gt;0)</f>
        <v>0</v>
      </c>
      <c r="P329" s="14" cm="1">
        <f t="array" ref="P329">INT(SUMPRODUCT(--ISNUMBER(SEARCH(foreign,C329)))&gt;0)</f>
        <v>0</v>
      </c>
      <c r="Q329" s="14" cm="1">
        <f t="array" ref="Q329">INT(SUMPRODUCT(--ISNUMBER(SEARCH(gun,C329)))&gt;0)</f>
        <v>0</v>
      </c>
      <c r="R329" s="14" cm="1">
        <f t="array" ref="R329">INT(SUMPRODUCT(--ISNUMBER(SEARCH(race,C329)))&gt;0)</f>
        <v>0</v>
      </c>
      <c r="S329" s="14" cm="1">
        <f t="array" ref="S329">INT(SUMPRODUCT(--ISNUMBER(SEARCH(immigration,C329)))&gt;0)</f>
        <v>0</v>
      </c>
      <c r="T329" s="14" cm="1">
        <f t="array" ref="T329">INT(SUMPRODUCT(--ISNUMBER(SEARCH(econineq,C330)))&gt;0)</f>
        <v>0</v>
      </c>
      <c r="U329" s="14" cm="1">
        <f t="array" ref="U329">INT(SUMPRODUCT(--ISNUMBER(SEARCH(climate,C329)))&gt;0)</f>
        <v>0</v>
      </c>
      <c r="V329" s="14" cm="1">
        <f t="array" ref="V329">INT(SUMPRODUCT(--ISNUMBER(SEARCH(abortion,C329)))&gt;0)</f>
        <v>0</v>
      </c>
      <c r="W329" s="14" cm="1">
        <f t="array" ref="W329">INT(SUMPRODUCT(--ISNUMBER(SEARCH(trump,C329)))&gt;0)</f>
        <v>0</v>
      </c>
      <c r="X329" s="14" cm="1">
        <f t="array" ref="X329">INT(SUMPRODUCT(--ISNUMBER(SEARCH(voting,C329)))&gt;0)</f>
        <v>1</v>
      </c>
      <c r="Y329" s="14" cm="1">
        <f t="array" ref="Y329">INT(SUMPRODUCT(--ISNUMBER(SEARCH(democrattrigger,C329)))&gt;0)</f>
        <v>1</v>
      </c>
      <c r="Z329" s="14" cm="1">
        <f t="array" ref="Z329">INT(SUMPRODUCT(--ISNUMBER(SEARCH(bipartisan,C329)))&gt;0)</f>
        <v>0</v>
      </c>
      <c r="AA329" s="14">
        <f t="shared" si="5"/>
        <v>0</v>
      </c>
      <c r="AB329" s="14"/>
      <c r="AC329" s="30">
        <v>1</v>
      </c>
      <c r="AD329" s="37">
        <v>0</v>
      </c>
    </row>
    <row r="330" spans="1:30" x14ac:dyDescent="0.25">
      <c r="A330" s="36">
        <v>4171</v>
      </c>
      <c r="B330" s="14" t="s">
        <v>8365</v>
      </c>
      <c r="C330" s="14" t="s">
        <v>8366</v>
      </c>
      <c r="D330" s="17">
        <v>44112</v>
      </c>
      <c r="E330" s="14" t="s">
        <v>30</v>
      </c>
      <c r="F330" s="14">
        <v>1625</v>
      </c>
      <c r="G330" s="14">
        <v>357</v>
      </c>
      <c r="H330" s="14">
        <v>18</v>
      </c>
      <c r="I330" s="14">
        <v>9</v>
      </c>
      <c r="J330" s="14" t="s">
        <v>204</v>
      </c>
      <c r="K330" s="14" cm="1">
        <f t="array" ref="K330">INT(SUMPRODUCT(--ISNUMBER(SEARCH(economy,C330)))&gt;0)</f>
        <v>0</v>
      </c>
      <c r="L330" s="14" cm="1">
        <f t="array" ref="L330">INT(SUMPRODUCT(--ISNUMBER(SEARCH(healthcare,C330)))&gt;0)</f>
        <v>0</v>
      </c>
      <c r="M330" s="14" cm="1">
        <f t="array" ref="M330">INT(SUMPRODUCT(--ISNUMBER(SEARCH(supreme,C330)))&gt;0)</f>
        <v>0</v>
      </c>
      <c r="N330" s="14" cm="1">
        <f t="array" ref="N330">INT(SUMPRODUCT(--ISNUMBER(SEARCH(covid,C330)))&gt;0)</f>
        <v>0</v>
      </c>
      <c r="O330" s="14" cm="1">
        <f t="array" ref="O330">INT(SUMPRODUCT(--ISNUMBER(SEARCH(violent,C330)))&gt;0)</f>
        <v>0</v>
      </c>
      <c r="P330" s="14" cm="1">
        <f t="array" ref="P330">INT(SUMPRODUCT(--ISNUMBER(SEARCH(foreign,C330)))&gt;0)</f>
        <v>0</v>
      </c>
      <c r="Q330" s="14" cm="1">
        <f t="array" ref="Q330">INT(SUMPRODUCT(--ISNUMBER(SEARCH(gun,C330)))&gt;0)</f>
        <v>0</v>
      </c>
      <c r="R330" s="14" cm="1">
        <f t="array" ref="R330">INT(SUMPRODUCT(--ISNUMBER(SEARCH(race,C330)))&gt;0)</f>
        <v>0</v>
      </c>
      <c r="S330" s="14" cm="1">
        <f t="array" ref="S330">INT(SUMPRODUCT(--ISNUMBER(SEARCH(immigration,C330)))&gt;0)</f>
        <v>0</v>
      </c>
      <c r="T330" s="14" cm="1">
        <f t="array" ref="T330">INT(SUMPRODUCT(--ISNUMBER(SEARCH(econineq,C331)))&gt;0)</f>
        <v>0</v>
      </c>
      <c r="U330" s="14" cm="1">
        <f t="array" ref="U330">INT(SUMPRODUCT(--ISNUMBER(SEARCH(climate,C330)))&gt;0)</f>
        <v>0</v>
      </c>
      <c r="V330" s="14" cm="1">
        <f t="array" ref="V330">INT(SUMPRODUCT(--ISNUMBER(SEARCH(abortion,C330)))&gt;0)</f>
        <v>0</v>
      </c>
      <c r="W330" s="14" cm="1">
        <f t="array" ref="W330">INT(SUMPRODUCT(--ISNUMBER(SEARCH(trump,C330)))&gt;0)</f>
        <v>0</v>
      </c>
      <c r="X330" s="14" cm="1">
        <f t="array" ref="X330">INT(SUMPRODUCT(--ISNUMBER(SEARCH(voting,C330)))&gt;0)</f>
        <v>0</v>
      </c>
      <c r="Y330" s="14" cm="1">
        <f t="array" ref="Y330">INT(SUMPRODUCT(--ISNUMBER(SEARCH(democrattrigger,C330)))&gt;0)</f>
        <v>1</v>
      </c>
      <c r="Z330" s="14" cm="1">
        <f t="array" ref="Z330">INT(SUMPRODUCT(--ISNUMBER(SEARCH(bipartisan,C330)))&gt;0)</f>
        <v>0</v>
      </c>
      <c r="AA330" s="14">
        <f t="shared" si="5"/>
        <v>0</v>
      </c>
      <c r="AB330" s="14"/>
      <c r="AC330" s="30">
        <v>0</v>
      </c>
      <c r="AD330" s="37">
        <v>1</v>
      </c>
    </row>
    <row r="331" spans="1:30" x14ac:dyDescent="0.25">
      <c r="A331" s="36">
        <v>4172</v>
      </c>
      <c r="B331" s="14" t="s">
        <v>8367</v>
      </c>
      <c r="C331" s="14" t="s">
        <v>8368</v>
      </c>
      <c r="D331" s="17">
        <v>44111</v>
      </c>
      <c r="E331" s="14" t="s">
        <v>30</v>
      </c>
      <c r="F331" s="14">
        <v>2144</v>
      </c>
      <c r="G331" s="14">
        <v>740</v>
      </c>
      <c r="H331" s="14">
        <v>18</v>
      </c>
      <c r="I331" s="14">
        <v>9</v>
      </c>
      <c r="J331" s="14" t="s">
        <v>204</v>
      </c>
      <c r="K331" s="14" cm="1">
        <f t="array" ref="K331">INT(SUMPRODUCT(--ISNUMBER(SEARCH(economy,C331)))&gt;0)</f>
        <v>0</v>
      </c>
      <c r="L331" s="14" cm="1">
        <f t="array" ref="L331">INT(SUMPRODUCT(--ISNUMBER(SEARCH(healthcare,C331)))&gt;0)</f>
        <v>0</v>
      </c>
      <c r="M331" s="14" cm="1">
        <f t="array" ref="M331">INT(SUMPRODUCT(--ISNUMBER(SEARCH(supreme,C331)))&gt;0)</f>
        <v>0</v>
      </c>
      <c r="N331" s="14" cm="1">
        <f t="array" ref="N331">INT(SUMPRODUCT(--ISNUMBER(SEARCH(covid,C331)))&gt;0)</f>
        <v>0</v>
      </c>
      <c r="O331" s="14" cm="1">
        <f t="array" ref="O331">INT(SUMPRODUCT(--ISNUMBER(SEARCH(violent,C331)))&gt;0)</f>
        <v>0</v>
      </c>
      <c r="P331" s="14" cm="1">
        <f t="array" ref="P331">INT(SUMPRODUCT(--ISNUMBER(SEARCH(foreign,C331)))&gt;0)</f>
        <v>0</v>
      </c>
      <c r="Q331" s="14" cm="1">
        <f t="array" ref="Q331">INT(SUMPRODUCT(--ISNUMBER(SEARCH(gun,C331)))&gt;0)</f>
        <v>0</v>
      </c>
      <c r="R331" s="14" cm="1">
        <f t="array" ref="R331">INT(SUMPRODUCT(--ISNUMBER(SEARCH(race,C331)))&gt;0)</f>
        <v>0</v>
      </c>
      <c r="S331" s="14" cm="1">
        <f t="array" ref="S331">INT(SUMPRODUCT(--ISNUMBER(SEARCH(immigration,C331)))&gt;0)</f>
        <v>0</v>
      </c>
      <c r="T331" s="14" cm="1">
        <f t="array" ref="T331">INT(SUMPRODUCT(--ISNUMBER(SEARCH(econineq,C332)))&gt;0)</f>
        <v>0</v>
      </c>
      <c r="U331" s="14" cm="1">
        <f t="array" ref="U331">INT(SUMPRODUCT(--ISNUMBER(SEARCH(climate,C331)))&gt;0)</f>
        <v>0</v>
      </c>
      <c r="V331" s="14" cm="1">
        <f t="array" ref="V331">INT(SUMPRODUCT(--ISNUMBER(SEARCH(abortion,C331)))&gt;0)</f>
        <v>0</v>
      </c>
      <c r="W331" s="14" cm="1">
        <f t="array" ref="W331">INT(SUMPRODUCT(--ISNUMBER(SEARCH(trump,C331)))&gt;0)</f>
        <v>0</v>
      </c>
      <c r="X331" s="14" cm="1">
        <f t="array" ref="X331">INT(SUMPRODUCT(--ISNUMBER(SEARCH(voting,C331)))&gt;0)</f>
        <v>0</v>
      </c>
      <c r="Y331" s="14" cm="1">
        <f t="array" ref="Y331">INT(SUMPRODUCT(--ISNUMBER(SEARCH(democrattrigger,C331)))&gt;0)</f>
        <v>0</v>
      </c>
      <c r="Z331" s="14" cm="1">
        <f t="array" ref="Z331">INT(SUMPRODUCT(--ISNUMBER(SEARCH(bipartisan,C331)))&gt;0)</f>
        <v>0</v>
      </c>
      <c r="AA331" s="14">
        <f t="shared" si="5"/>
        <v>1</v>
      </c>
      <c r="AB331" s="14"/>
      <c r="AC331" s="30">
        <v>1</v>
      </c>
      <c r="AD331" s="37">
        <v>0</v>
      </c>
    </row>
    <row r="332" spans="1:30" x14ac:dyDescent="0.25">
      <c r="A332" s="36">
        <v>4173</v>
      </c>
      <c r="B332" s="14" t="s">
        <v>8369</v>
      </c>
      <c r="C332" s="14" t="s">
        <v>8370</v>
      </c>
      <c r="D332" s="17">
        <v>44111</v>
      </c>
      <c r="E332" s="14" t="s">
        <v>30</v>
      </c>
      <c r="F332" s="14">
        <v>826</v>
      </c>
      <c r="G332" s="14">
        <v>299</v>
      </c>
      <c r="H332" s="14">
        <v>18</v>
      </c>
      <c r="I332" s="14">
        <v>9</v>
      </c>
      <c r="J332" s="14" t="s">
        <v>204</v>
      </c>
      <c r="K332" s="14" cm="1">
        <f t="array" ref="K332">INT(SUMPRODUCT(--ISNUMBER(SEARCH(economy,C332)))&gt;0)</f>
        <v>0</v>
      </c>
      <c r="L332" s="14" cm="1">
        <f t="array" ref="L332">INT(SUMPRODUCT(--ISNUMBER(SEARCH(healthcare,C332)))&gt;0)</f>
        <v>0</v>
      </c>
      <c r="M332" s="14" cm="1">
        <f t="array" ref="M332">INT(SUMPRODUCT(--ISNUMBER(SEARCH(supreme,C332)))&gt;0)</f>
        <v>0</v>
      </c>
      <c r="N332" s="14" cm="1">
        <f t="array" ref="N332">INT(SUMPRODUCT(--ISNUMBER(SEARCH(covid,C332)))&gt;0)</f>
        <v>0</v>
      </c>
      <c r="O332" s="14" cm="1">
        <f t="array" ref="O332">INT(SUMPRODUCT(--ISNUMBER(SEARCH(violent,C332)))&gt;0)</f>
        <v>0</v>
      </c>
      <c r="P332" s="14" cm="1">
        <f t="array" ref="P332">INT(SUMPRODUCT(--ISNUMBER(SEARCH(foreign,C332)))&gt;0)</f>
        <v>0</v>
      </c>
      <c r="Q332" s="14" cm="1">
        <f t="array" ref="Q332">INT(SUMPRODUCT(--ISNUMBER(SEARCH(gun,C332)))&gt;0)</f>
        <v>0</v>
      </c>
      <c r="R332" s="14" cm="1">
        <f t="array" ref="R332">INT(SUMPRODUCT(--ISNUMBER(SEARCH(race,C332)))&gt;0)</f>
        <v>1</v>
      </c>
      <c r="S332" s="14" cm="1">
        <f t="array" ref="S332">INT(SUMPRODUCT(--ISNUMBER(SEARCH(immigration,C332)))&gt;0)</f>
        <v>0</v>
      </c>
      <c r="T332" s="14" cm="1">
        <f t="array" ref="T332">INT(SUMPRODUCT(--ISNUMBER(SEARCH(econineq,C333)))&gt;0)</f>
        <v>0</v>
      </c>
      <c r="U332" s="14" cm="1">
        <f t="array" ref="U332">INT(SUMPRODUCT(--ISNUMBER(SEARCH(climate,C332)))&gt;0)</f>
        <v>0</v>
      </c>
      <c r="V332" s="14" cm="1">
        <f t="array" ref="V332">INT(SUMPRODUCT(--ISNUMBER(SEARCH(abortion,C332)))&gt;0)</f>
        <v>0</v>
      </c>
      <c r="W332" s="14" cm="1">
        <f t="array" ref="W332">INT(SUMPRODUCT(--ISNUMBER(SEARCH(trump,C332)))&gt;0)</f>
        <v>0</v>
      </c>
      <c r="X332" s="14" cm="1">
        <f t="array" ref="X332">INT(SUMPRODUCT(--ISNUMBER(SEARCH(voting,C332)))&gt;0)</f>
        <v>0</v>
      </c>
      <c r="Y332" s="14" cm="1">
        <f t="array" ref="Y332">INT(SUMPRODUCT(--ISNUMBER(SEARCH(democrattrigger,C332)))&gt;0)</f>
        <v>0</v>
      </c>
      <c r="Z332" s="14" cm="1">
        <f t="array" ref="Z332">INT(SUMPRODUCT(--ISNUMBER(SEARCH(bipartisan,C332)))&gt;0)</f>
        <v>0</v>
      </c>
      <c r="AA332" s="14">
        <f t="shared" si="5"/>
        <v>0</v>
      </c>
      <c r="AB332" s="14"/>
      <c r="AC332" s="30">
        <v>1</v>
      </c>
      <c r="AD332" s="37">
        <v>0</v>
      </c>
    </row>
    <row r="333" spans="1:30" x14ac:dyDescent="0.25">
      <c r="A333" s="36">
        <v>4174</v>
      </c>
      <c r="B333" s="14" t="s">
        <v>8371</v>
      </c>
      <c r="C333" s="14" t="s">
        <v>8372</v>
      </c>
      <c r="D333" s="17">
        <v>44111</v>
      </c>
      <c r="E333" s="14" t="s">
        <v>30</v>
      </c>
      <c r="F333" s="14">
        <v>1171</v>
      </c>
      <c r="G333" s="14">
        <v>446</v>
      </c>
      <c r="H333" s="14">
        <v>18</v>
      </c>
      <c r="I333" s="14">
        <v>9</v>
      </c>
      <c r="J333" s="14" t="s">
        <v>204</v>
      </c>
      <c r="K333" s="14" cm="1">
        <f t="array" ref="K333">INT(SUMPRODUCT(--ISNUMBER(SEARCH(economy,C333)))&gt;0)</f>
        <v>0</v>
      </c>
      <c r="L333" s="14" cm="1">
        <f t="array" ref="L333">INT(SUMPRODUCT(--ISNUMBER(SEARCH(healthcare,C333)))&gt;0)</f>
        <v>0</v>
      </c>
      <c r="M333" s="14" cm="1">
        <f t="array" ref="M333">INT(SUMPRODUCT(--ISNUMBER(SEARCH(supreme,C333)))&gt;0)</f>
        <v>0</v>
      </c>
      <c r="N333" s="14" cm="1">
        <f t="array" ref="N333">INT(SUMPRODUCT(--ISNUMBER(SEARCH(covid,C333)))&gt;0)</f>
        <v>0</v>
      </c>
      <c r="O333" s="14" cm="1">
        <f t="array" ref="O333">INT(SUMPRODUCT(--ISNUMBER(SEARCH(violent,C333)))&gt;0)</f>
        <v>0</v>
      </c>
      <c r="P333" s="14" cm="1">
        <f t="array" ref="P333">INT(SUMPRODUCT(--ISNUMBER(SEARCH(foreign,C333)))&gt;0)</f>
        <v>0</v>
      </c>
      <c r="Q333" s="14" cm="1">
        <f t="array" ref="Q333">INT(SUMPRODUCT(--ISNUMBER(SEARCH(gun,C333)))&gt;0)</f>
        <v>0</v>
      </c>
      <c r="R333" s="14" cm="1">
        <f t="array" ref="R333">INT(SUMPRODUCT(--ISNUMBER(SEARCH(race,C333)))&gt;0)</f>
        <v>0</v>
      </c>
      <c r="S333" s="14" cm="1">
        <f t="array" ref="S333">INT(SUMPRODUCT(--ISNUMBER(SEARCH(immigration,C333)))&gt;0)</f>
        <v>0</v>
      </c>
      <c r="T333" s="14" cm="1">
        <f t="array" ref="T333">INT(SUMPRODUCT(--ISNUMBER(SEARCH(econineq,C334)))&gt;0)</f>
        <v>0</v>
      </c>
      <c r="U333" s="14" cm="1">
        <f t="array" ref="U333">INT(SUMPRODUCT(--ISNUMBER(SEARCH(climate,C333)))&gt;0)</f>
        <v>0</v>
      </c>
      <c r="V333" s="14" cm="1">
        <f t="array" ref="V333">INT(SUMPRODUCT(--ISNUMBER(SEARCH(abortion,C333)))&gt;0)</f>
        <v>0</v>
      </c>
      <c r="W333" s="14" cm="1">
        <f t="array" ref="W333">INT(SUMPRODUCT(--ISNUMBER(SEARCH(trump,C333)))&gt;0)</f>
        <v>0</v>
      </c>
      <c r="X333" s="14" cm="1">
        <f t="array" ref="X333">INT(SUMPRODUCT(--ISNUMBER(SEARCH(voting,C333)))&gt;0)</f>
        <v>1</v>
      </c>
      <c r="Y333" s="14" cm="1">
        <f t="array" ref="Y333">INT(SUMPRODUCT(--ISNUMBER(SEARCH(democrattrigger,C333)))&gt;0)</f>
        <v>0</v>
      </c>
      <c r="Z333" s="14" cm="1">
        <f t="array" ref="Z333">INT(SUMPRODUCT(--ISNUMBER(SEARCH(bipartisan,C333)))&gt;0)</f>
        <v>0</v>
      </c>
      <c r="AA333" s="14">
        <f t="shared" si="5"/>
        <v>0</v>
      </c>
      <c r="AB333" s="14"/>
      <c r="AC333" s="30" t="s">
        <v>223</v>
      </c>
      <c r="AD333" s="37" t="s">
        <v>223</v>
      </c>
    </row>
    <row r="334" spans="1:30" x14ac:dyDescent="0.25">
      <c r="A334" s="36">
        <v>4175</v>
      </c>
      <c r="B334" s="14" t="s">
        <v>8373</v>
      </c>
      <c r="C334" s="14" t="s">
        <v>8374</v>
      </c>
      <c r="D334" s="17">
        <v>44111</v>
      </c>
      <c r="E334" s="14" t="s">
        <v>30</v>
      </c>
      <c r="F334" s="14">
        <v>2231</v>
      </c>
      <c r="G334" s="14">
        <v>1269</v>
      </c>
      <c r="H334" s="14">
        <v>18</v>
      </c>
      <c r="I334" s="14">
        <v>9</v>
      </c>
      <c r="J334" s="14" t="s">
        <v>204</v>
      </c>
      <c r="K334" s="14" cm="1">
        <f t="array" ref="K334">INT(SUMPRODUCT(--ISNUMBER(SEARCH(economy,C334)))&gt;0)</f>
        <v>0</v>
      </c>
      <c r="L334" s="14" cm="1">
        <f t="array" ref="L334">INT(SUMPRODUCT(--ISNUMBER(SEARCH(healthcare,C334)))&gt;0)</f>
        <v>0</v>
      </c>
      <c r="M334" s="14" cm="1">
        <f t="array" ref="M334">INT(SUMPRODUCT(--ISNUMBER(SEARCH(supreme,C334)))&gt;0)</f>
        <v>0</v>
      </c>
      <c r="N334" s="14" cm="1">
        <f t="array" ref="N334">INT(SUMPRODUCT(--ISNUMBER(SEARCH(covid,C334)))&gt;0)</f>
        <v>0</v>
      </c>
      <c r="O334" s="14" cm="1">
        <f t="array" ref="O334">INT(SUMPRODUCT(--ISNUMBER(SEARCH(violent,C334)))&gt;0)</f>
        <v>0</v>
      </c>
      <c r="P334" s="14" cm="1">
        <f t="array" ref="P334">INT(SUMPRODUCT(--ISNUMBER(SEARCH(foreign,C334)))&gt;0)</f>
        <v>0</v>
      </c>
      <c r="Q334" s="14" cm="1">
        <f t="array" ref="Q334">INT(SUMPRODUCT(--ISNUMBER(SEARCH(gun,C334)))&gt;0)</f>
        <v>0</v>
      </c>
      <c r="R334" s="14" cm="1">
        <f t="array" ref="R334">INT(SUMPRODUCT(--ISNUMBER(SEARCH(race,C334)))&gt;0)</f>
        <v>0</v>
      </c>
      <c r="S334" s="14" cm="1">
        <f t="array" ref="S334">INT(SUMPRODUCT(--ISNUMBER(SEARCH(immigration,C334)))&gt;0)</f>
        <v>0</v>
      </c>
      <c r="T334" s="14" cm="1">
        <f t="array" ref="T334">INT(SUMPRODUCT(--ISNUMBER(SEARCH(econineq,C335)))&gt;0)</f>
        <v>0</v>
      </c>
      <c r="U334" s="14" cm="1">
        <f t="array" ref="U334">INT(SUMPRODUCT(--ISNUMBER(SEARCH(climate,C334)))&gt;0)</f>
        <v>0</v>
      </c>
      <c r="V334" s="14" cm="1">
        <f t="array" ref="V334">INT(SUMPRODUCT(--ISNUMBER(SEARCH(abortion,C334)))&gt;0)</f>
        <v>1</v>
      </c>
      <c r="W334" s="14" cm="1">
        <f t="array" ref="W334">INT(SUMPRODUCT(--ISNUMBER(SEARCH(trump,C334)))&gt;0)</f>
        <v>0</v>
      </c>
      <c r="X334" s="14" cm="1">
        <f t="array" ref="X334">INT(SUMPRODUCT(--ISNUMBER(SEARCH(voting,C334)))&gt;0)</f>
        <v>0</v>
      </c>
      <c r="Y334" s="14" cm="1">
        <f t="array" ref="Y334">INT(SUMPRODUCT(--ISNUMBER(SEARCH(democrattrigger,C334)))&gt;0)</f>
        <v>1</v>
      </c>
      <c r="Z334" s="14" cm="1">
        <f t="array" ref="Z334">INT(SUMPRODUCT(--ISNUMBER(SEARCH(bipartisan,C334)))&gt;0)</f>
        <v>0</v>
      </c>
      <c r="AA334" s="14">
        <f t="shared" si="5"/>
        <v>0</v>
      </c>
      <c r="AB334" s="14"/>
      <c r="AC334" s="30" t="s">
        <v>223</v>
      </c>
      <c r="AD334" s="37" t="s">
        <v>223</v>
      </c>
    </row>
    <row r="335" spans="1:30" x14ac:dyDescent="0.25">
      <c r="A335" s="36">
        <v>4176</v>
      </c>
      <c r="B335" s="14" t="s">
        <v>8375</v>
      </c>
      <c r="C335" s="14" t="s">
        <v>8376</v>
      </c>
      <c r="D335" s="17">
        <v>44111</v>
      </c>
      <c r="E335" s="14" t="s">
        <v>30</v>
      </c>
      <c r="F335" s="14">
        <v>12905</v>
      </c>
      <c r="G335" s="14">
        <v>4393</v>
      </c>
      <c r="H335" s="14">
        <v>18</v>
      </c>
      <c r="I335" s="14">
        <v>9</v>
      </c>
      <c r="J335" s="14" t="s">
        <v>204</v>
      </c>
      <c r="K335" s="14" cm="1">
        <f t="array" ref="K335">INT(SUMPRODUCT(--ISNUMBER(SEARCH(economy,C335)))&gt;0)</f>
        <v>0</v>
      </c>
      <c r="L335" s="14" cm="1">
        <f t="array" ref="L335">INT(SUMPRODUCT(--ISNUMBER(SEARCH(healthcare,C335)))&gt;0)</f>
        <v>0</v>
      </c>
      <c r="M335" s="14" cm="1">
        <f t="array" ref="M335">INT(SUMPRODUCT(--ISNUMBER(SEARCH(supreme,C335)))&gt;0)</f>
        <v>0</v>
      </c>
      <c r="N335" s="14" cm="1">
        <f t="array" ref="N335">INT(SUMPRODUCT(--ISNUMBER(SEARCH(covid,C335)))&gt;0)</f>
        <v>0</v>
      </c>
      <c r="O335" s="14" cm="1">
        <f t="array" ref="O335">INT(SUMPRODUCT(--ISNUMBER(SEARCH(violent,C335)))&gt;0)</f>
        <v>0</v>
      </c>
      <c r="P335" s="14" cm="1">
        <f t="array" ref="P335">INT(SUMPRODUCT(--ISNUMBER(SEARCH(foreign,C335)))&gt;0)</f>
        <v>0</v>
      </c>
      <c r="Q335" s="14" cm="1">
        <f t="array" ref="Q335">INT(SUMPRODUCT(--ISNUMBER(SEARCH(gun,C335)))&gt;0)</f>
        <v>0</v>
      </c>
      <c r="R335" s="14" cm="1">
        <f t="array" ref="R335">INT(SUMPRODUCT(--ISNUMBER(SEARCH(race,C335)))&gt;0)</f>
        <v>0</v>
      </c>
      <c r="S335" s="14" cm="1">
        <f t="array" ref="S335">INT(SUMPRODUCT(--ISNUMBER(SEARCH(immigration,C335)))&gt;0)</f>
        <v>0</v>
      </c>
      <c r="T335" s="14" cm="1">
        <f t="array" ref="T335">INT(SUMPRODUCT(--ISNUMBER(SEARCH(econineq,C336)))&gt;0)</f>
        <v>0</v>
      </c>
      <c r="U335" s="14" cm="1">
        <f t="array" ref="U335">INT(SUMPRODUCT(--ISNUMBER(SEARCH(climate,C335)))&gt;0)</f>
        <v>0</v>
      </c>
      <c r="V335" s="14" cm="1">
        <f t="array" ref="V335">INT(SUMPRODUCT(--ISNUMBER(SEARCH(abortion,C335)))&gt;0)</f>
        <v>0</v>
      </c>
      <c r="W335" s="14" cm="1">
        <f t="array" ref="W335">INT(SUMPRODUCT(--ISNUMBER(SEARCH(trump,C335)))&gt;0)</f>
        <v>0</v>
      </c>
      <c r="X335" s="14" cm="1">
        <f t="array" ref="X335">INT(SUMPRODUCT(--ISNUMBER(SEARCH(voting,C335)))&gt;0)</f>
        <v>0</v>
      </c>
      <c r="Y335" s="14" cm="1">
        <f t="array" ref="Y335">INT(SUMPRODUCT(--ISNUMBER(SEARCH(democrattrigger,C335)))&gt;0)</f>
        <v>1</v>
      </c>
      <c r="Z335" s="14" cm="1">
        <f t="array" ref="Z335">INT(SUMPRODUCT(--ISNUMBER(SEARCH(bipartisan,C335)))&gt;0)</f>
        <v>0</v>
      </c>
      <c r="AA335" s="14">
        <f t="shared" si="5"/>
        <v>0</v>
      </c>
      <c r="AB335" s="14"/>
      <c r="AC335" s="30">
        <v>1</v>
      </c>
      <c r="AD335" s="37">
        <v>0</v>
      </c>
    </row>
    <row r="336" spans="1:30" x14ac:dyDescent="0.25">
      <c r="A336" s="36">
        <v>4177</v>
      </c>
      <c r="B336" s="14" t="s">
        <v>8377</v>
      </c>
      <c r="C336" s="14" t="s">
        <v>8378</v>
      </c>
      <c r="D336" s="17">
        <v>44111</v>
      </c>
      <c r="E336" s="14" t="s">
        <v>30</v>
      </c>
      <c r="F336" s="14">
        <v>4033</v>
      </c>
      <c r="G336" s="14">
        <v>1283</v>
      </c>
      <c r="H336" s="14">
        <v>18</v>
      </c>
      <c r="I336" s="14">
        <v>9</v>
      </c>
      <c r="J336" s="14" t="s">
        <v>204</v>
      </c>
      <c r="K336" s="14" cm="1">
        <f t="array" ref="K336">INT(SUMPRODUCT(--ISNUMBER(SEARCH(economy,C336)))&gt;0)</f>
        <v>0</v>
      </c>
      <c r="L336" s="14" cm="1">
        <f t="array" ref="L336">INT(SUMPRODUCT(--ISNUMBER(SEARCH(healthcare,C336)))&gt;0)</f>
        <v>0</v>
      </c>
      <c r="M336" s="14" cm="1">
        <f t="array" ref="M336">INT(SUMPRODUCT(--ISNUMBER(SEARCH(supreme,C336)))&gt;0)</f>
        <v>0</v>
      </c>
      <c r="N336" s="14" cm="1">
        <f t="array" ref="N336">INT(SUMPRODUCT(--ISNUMBER(SEARCH(covid,C336)))&gt;0)</f>
        <v>0</v>
      </c>
      <c r="O336" s="14" cm="1">
        <f t="array" ref="O336">INT(SUMPRODUCT(--ISNUMBER(SEARCH(violent,C336)))&gt;0)</f>
        <v>0</v>
      </c>
      <c r="P336" s="14" cm="1">
        <f t="array" ref="P336">INT(SUMPRODUCT(--ISNUMBER(SEARCH(foreign,C336)))&gt;0)</f>
        <v>0</v>
      </c>
      <c r="Q336" s="14" cm="1">
        <f t="array" ref="Q336">INT(SUMPRODUCT(--ISNUMBER(SEARCH(gun,C336)))&gt;0)</f>
        <v>0</v>
      </c>
      <c r="R336" s="14" cm="1">
        <f t="array" ref="R336">INT(SUMPRODUCT(--ISNUMBER(SEARCH(race,C336)))&gt;0)</f>
        <v>0</v>
      </c>
      <c r="S336" s="14" cm="1">
        <f t="array" ref="S336">INT(SUMPRODUCT(--ISNUMBER(SEARCH(immigration,C336)))&gt;0)</f>
        <v>0</v>
      </c>
      <c r="T336" s="14" cm="1">
        <f t="array" ref="T336">INT(SUMPRODUCT(--ISNUMBER(SEARCH(econineq,C337)))&gt;0)</f>
        <v>0</v>
      </c>
      <c r="U336" s="14" cm="1">
        <f t="array" ref="U336">INT(SUMPRODUCT(--ISNUMBER(SEARCH(climate,C336)))&gt;0)</f>
        <v>0</v>
      </c>
      <c r="V336" s="14" cm="1">
        <f t="array" ref="V336">INT(SUMPRODUCT(--ISNUMBER(SEARCH(abortion,C336)))&gt;0)</f>
        <v>0</v>
      </c>
      <c r="W336" s="14" cm="1">
        <f t="array" ref="W336">INT(SUMPRODUCT(--ISNUMBER(SEARCH(trump,C336)))&gt;0)</f>
        <v>0</v>
      </c>
      <c r="X336" s="14" cm="1">
        <f t="array" ref="X336">INT(SUMPRODUCT(--ISNUMBER(SEARCH(voting,C336)))&gt;0)</f>
        <v>0</v>
      </c>
      <c r="Y336" s="14" cm="1">
        <f t="array" ref="Y336">INT(SUMPRODUCT(--ISNUMBER(SEARCH(democrattrigger,C336)))&gt;0)</f>
        <v>1</v>
      </c>
      <c r="Z336" s="14" cm="1">
        <f t="array" ref="Z336">INT(SUMPRODUCT(--ISNUMBER(SEARCH(bipartisan,C336)))&gt;0)</f>
        <v>0</v>
      </c>
      <c r="AA336" s="14">
        <f t="shared" si="5"/>
        <v>0</v>
      </c>
      <c r="AB336" s="14"/>
      <c r="AC336" s="30" t="s">
        <v>223</v>
      </c>
      <c r="AD336" s="37" t="s">
        <v>223</v>
      </c>
    </row>
    <row r="337" spans="1:30" x14ac:dyDescent="0.25">
      <c r="A337" s="36">
        <v>4178</v>
      </c>
      <c r="B337" s="14" t="s">
        <v>8379</v>
      </c>
      <c r="C337" s="14" t="s">
        <v>8380</v>
      </c>
      <c r="D337" s="17">
        <v>44111</v>
      </c>
      <c r="E337" s="14" t="s">
        <v>30</v>
      </c>
      <c r="F337" s="14">
        <v>4058</v>
      </c>
      <c r="G337" s="14">
        <v>1292</v>
      </c>
      <c r="H337" s="14">
        <v>18</v>
      </c>
      <c r="I337" s="14">
        <v>9</v>
      </c>
      <c r="J337" s="14" t="s">
        <v>204</v>
      </c>
      <c r="K337" s="14" cm="1">
        <f t="array" ref="K337">INT(SUMPRODUCT(--ISNUMBER(SEARCH(economy,C337)))&gt;0)</f>
        <v>0</v>
      </c>
      <c r="L337" s="14" cm="1">
        <f t="array" ref="L337">INT(SUMPRODUCT(--ISNUMBER(SEARCH(healthcare,C337)))&gt;0)</f>
        <v>0</v>
      </c>
      <c r="M337" s="14" cm="1">
        <f t="array" ref="M337">INT(SUMPRODUCT(--ISNUMBER(SEARCH(supreme,C337)))&gt;0)</f>
        <v>0</v>
      </c>
      <c r="N337" s="14" cm="1">
        <f t="array" ref="N337">INT(SUMPRODUCT(--ISNUMBER(SEARCH(covid,C337)))&gt;0)</f>
        <v>0</v>
      </c>
      <c r="O337" s="14" cm="1">
        <f t="array" ref="O337">INT(SUMPRODUCT(--ISNUMBER(SEARCH(violent,C337)))&gt;0)</f>
        <v>0</v>
      </c>
      <c r="P337" s="14" cm="1">
        <f t="array" ref="P337">INT(SUMPRODUCT(--ISNUMBER(SEARCH(foreign,C337)))&gt;0)</f>
        <v>0</v>
      </c>
      <c r="Q337" s="14" cm="1">
        <f t="array" ref="Q337">INT(SUMPRODUCT(--ISNUMBER(SEARCH(gun,C337)))&gt;0)</f>
        <v>0</v>
      </c>
      <c r="R337" s="14" cm="1">
        <f t="array" ref="R337">INT(SUMPRODUCT(--ISNUMBER(SEARCH(race,C337)))&gt;0)</f>
        <v>0</v>
      </c>
      <c r="S337" s="14" cm="1">
        <f t="array" ref="S337">INT(SUMPRODUCT(--ISNUMBER(SEARCH(immigration,C337)))&gt;0)</f>
        <v>0</v>
      </c>
      <c r="T337" s="14" cm="1">
        <f t="array" ref="T337">INT(SUMPRODUCT(--ISNUMBER(SEARCH(econineq,C338)))&gt;0)</f>
        <v>0</v>
      </c>
      <c r="U337" s="14" cm="1">
        <f t="array" ref="U337">INT(SUMPRODUCT(--ISNUMBER(SEARCH(climate,C337)))&gt;0)</f>
        <v>0</v>
      </c>
      <c r="V337" s="14" cm="1">
        <f t="array" ref="V337">INT(SUMPRODUCT(--ISNUMBER(SEARCH(abortion,C337)))&gt;0)</f>
        <v>0</v>
      </c>
      <c r="W337" s="14" cm="1">
        <f t="array" ref="W337">INT(SUMPRODUCT(--ISNUMBER(SEARCH(trump,C337)))&gt;0)</f>
        <v>0</v>
      </c>
      <c r="X337" s="14" cm="1">
        <f t="array" ref="X337">INT(SUMPRODUCT(--ISNUMBER(SEARCH(voting,C337)))&gt;0)</f>
        <v>1</v>
      </c>
      <c r="Y337" s="14" cm="1">
        <f t="array" ref="Y337">INT(SUMPRODUCT(--ISNUMBER(SEARCH(democrattrigger,C337)))&gt;0)</f>
        <v>0</v>
      </c>
      <c r="Z337" s="14" cm="1">
        <f t="array" ref="Z337">INT(SUMPRODUCT(--ISNUMBER(SEARCH(bipartisan,C337)))&gt;0)</f>
        <v>0</v>
      </c>
      <c r="AA337" s="14">
        <f t="shared" si="5"/>
        <v>0</v>
      </c>
      <c r="AB337" s="14"/>
      <c r="AC337" s="30">
        <v>0</v>
      </c>
      <c r="AD337" s="37">
        <v>1</v>
      </c>
    </row>
    <row r="338" spans="1:30" x14ac:dyDescent="0.25">
      <c r="A338" s="36">
        <v>4179</v>
      </c>
      <c r="B338" s="14" t="s">
        <v>8381</v>
      </c>
      <c r="C338" s="14" t="s">
        <v>8382</v>
      </c>
      <c r="D338" s="17">
        <v>44111</v>
      </c>
      <c r="E338" s="14" t="s">
        <v>30</v>
      </c>
      <c r="F338" s="14">
        <v>5271</v>
      </c>
      <c r="G338" s="14">
        <v>1165</v>
      </c>
      <c r="H338" s="14">
        <v>18</v>
      </c>
      <c r="I338" s="14">
        <v>9</v>
      </c>
      <c r="J338" s="14" t="s">
        <v>204</v>
      </c>
      <c r="K338" s="14" cm="1">
        <f t="array" ref="K338">INT(SUMPRODUCT(--ISNUMBER(SEARCH(economy,C338)))&gt;0)</f>
        <v>0</v>
      </c>
      <c r="L338" s="14" cm="1">
        <f t="array" ref="L338">INT(SUMPRODUCT(--ISNUMBER(SEARCH(healthcare,C338)))&gt;0)</f>
        <v>0</v>
      </c>
      <c r="M338" s="14" cm="1">
        <f t="array" ref="M338">INT(SUMPRODUCT(--ISNUMBER(SEARCH(supreme,C338)))&gt;0)</f>
        <v>0</v>
      </c>
      <c r="N338" s="14" cm="1">
        <f t="array" ref="N338">INT(SUMPRODUCT(--ISNUMBER(SEARCH(covid,C338)))&gt;0)</f>
        <v>0</v>
      </c>
      <c r="O338" s="14" cm="1">
        <f t="array" ref="O338">INT(SUMPRODUCT(--ISNUMBER(SEARCH(violent,C338)))&gt;0)</f>
        <v>0</v>
      </c>
      <c r="P338" s="14" cm="1">
        <f t="array" ref="P338">INT(SUMPRODUCT(--ISNUMBER(SEARCH(foreign,C338)))&gt;0)</f>
        <v>0</v>
      </c>
      <c r="Q338" s="14" cm="1">
        <f t="array" ref="Q338">INT(SUMPRODUCT(--ISNUMBER(SEARCH(gun,C338)))&gt;0)</f>
        <v>0</v>
      </c>
      <c r="R338" s="14" cm="1">
        <f t="array" ref="R338">INT(SUMPRODUCT(--ISNUMBER(SEARCH(race,C338)))&gt;0)</f>
        <v>0</v>
      </c>
      <c r="S338" s="14" cm="1">
        <f t="array" ref="S338">INT(SUMPRODUCT(--ISNUMBER(SEARCH(immigration,C338)))&gt;0)</f>
        <v>0</v>
      </c>
      <c r="T338" s="14" cm="1">
        <f t="array" ref="T338">INT(SUMPRODUCT(--ISNUMBER(SEARCH(econineq,C339)))&gt;0)</f>
        <v>0</v>
      </c>
      <c r="U338" s="14" cm="1">
        <f t="array" ref="U338">INT(SUMPRODUCT(--ISNUMBER(SEARCH(climate,C338)))&gt;0)</f>
        <v>0</v>
      </c>
      <c r="V338" s="14" cm="1">
        <f t="array" ref="V338">INT(SUMPRODUCT(--ISNUMBER(SEARCH(abortion,C338)))&gt;0)</f>
        <v>0</v>
      </c>
      <c r="W338" s="14" cm="1">
        <f t="array" ref="W338">INT(SUMPRODUCT(--ISNUMBER(SEARCH(trump,C338)))&gt;0)</f>
        <v>0</v>
      </c>
      <c r="X338" s="14" cm="1">
        <f t="array" ref="X338">INT(SUMPRODUCT(--ISNUMBER(SEARCH(voting,C338)))&gt;0)</f>
        <v>0</v>
      </c>
      <c r="Y338" s="14" cm="1">
        <f t="array" ref="Y338">INT(SUMPRODUCT(--ISNUMBER(SEARCH(democrattrigger,C338)))&gt;0)</f>
        <v>0</v>
      </c>
      <c r="Z338" s="14" cm="1">
        <f t="array" ref="Z338">INT(SUMPRODUCT(--ISNUMBER(SEARCH(bipartisan,C338)))&gt;0)</f>
        <v>0</v>
      </c>
      <c r="AA338" s="14">
        <f t="shared" si="5"/>
        <v>1</v>
      </c>
      <c r="AB338" s="14"/>
      <c r="AC338" s="30" t="s">
        <v>223</v>
      </c>
      <c r="AD338" s="37" t="s">
        <v>223</v>
      </c>
    </row>
    <row r="339" spans="1:30" x14ac:dyDescent="0.25">
      <c r="A339" s="36">
        <v>4180</v>
      </c>
      <c r="B339" s="14" t="s">
        <v>8383</v>
      </c>
      <c r="C339" s="14" t="s">
        <v>8384</v>
      </c>
      <c r="D339" s="17">
        <v>44110</v>
      </c>
      <c r="E339" s="14" t="s">
        <v>30</v>
      </c>
      <c r="F339" s="14">
        <v>665</v>
      </c>
      <c r="G339" s="14">
        <v>212</v>
      </c>
      <c r="H339" s="14">
        <v>18</v>
      </c>
      <c r="I339" s="14">
        <v>9</v>
      </c>
      <c r="J339" s="14" t="s">
        <v>204</v>
      </c>
      <c r="K339" s="14" cm="1">
        <f t="array" ref="K339">INT(SUMPRODUCT(--ISNUMBER(SEARCH(economy,C339)))&gt;0)</f>
        <v>0</v>
      </c>
      <c r="L339" s="14" cm="1">
        <f t="array" ref="L339">INT(SUMPRODUCT(--ISNUMBER(SEARCH(healthcare,C339)))&gt;0)</f>
        <v>1</v>
      </c>
      <c r="M339" s="14" cm="1">
        <f t="array" ref="M339">INT(SUMPRODUCT(--ISNUMBER(SEARCH(supreme,C339)))&gt;0)</f>
        <v>0</v>
      </c>
      <c r="N339" s="14" cm="1">
        <f t="array" ref="N339">INT(SUMPRODUCT(--ISNUMBER(SEARCH(covid,C339)))&gt;0)</f>
        <v>0</v>
      </c>
      <c r="O339" s="14" cm="1">
        <f t="array" ref="O339">INT(SUMPRODUCT(--ISNUMBER(SEARCH(violent,C339)))&gt;0)</f>
        <v>0</v>
      </c>
      <c r="P339" s="14" cm="1">
        <f t="array" ref="P339">INT(SUMPRODUCT(--ISNUMBER(SEARCH(foreign,C339)))&gt;0)</f>
        <v>0</v>
      </c>
      <c r="Q339" s="14" cm="1">
        <f t="array" ref="Q339">INT(SUMPRODUCT(--ISNUMBER(SEARCH(gun,C339)))&gt;0)</f>
        <v>0</v>
      </c>
      <c r="R339" s="14" cm="1">
        <f t="array" ref="R339">INT(SUMPRODUCT(--ISNUMBER(SEARCH(race,C339)))&gt;0)</f>
        <v>0</v>
      </c>
      <c r="S339" s="14" cm="1">
        <f t="array" ref="S339">INT(SUMPRODUCT(--ISNUMBER(SEARCH(immigration,C339)))&gt;0)</f>
        <v>0</v>
      </c>
      <c r="T339" s="14" cm="1">
        <f t="array" ref="T339">INT(SUMPRODUCT(--ISNUMBER(SEARCH(econineq,C340)))&gt;0)</f>
        <v>0</v>
      </c>
      <c r="U339" s="14" cm="1">
        <f t="array" ref="U339">INT(SUMPRODUCT(--ISNUMBER(SEARCH(climate,C339)))&gt;0)</f>
        <v>0</v>
      </c>
      <c r="V339" s="14" cm="1">
        <f t="array" ref="V339">INT(SUMPRODUCT(--ISNUMBER(SEARCH(abortion,C339)))&gt;0)</f>
        <v>0</v>
      </c>
      <c r="W339" s="14" cm="1">
        <f t="array" ref="W339">INT(SUMPRODUCT(--ISNUMBER(SEARCH(trump,C339)))&gt;0)</f>
        <v>0</v>
      </c>
      <c r="X339" s="14" cm="1">
        <f t="array" ref="X339">INT(SUMPRODUCT(--ISNUMBER(SEARCH(voting,C339)))&gt;0)</f>
        <v>0</v>
      </c>
      <c r="Y339" s="14" cm="1">
        <f t="array" ref="Y339">INT(SUMPRODUCT(--ISNUMBER(SEARCH(democrattrigger,C339)))&gt;0)</f>
        <v>0</v>
      </c>
      <c r="Z339" s="14" cm="1">
        <f t="array" ref="Z339">INT(SUMPRODUCT(--ISNUMBER(SEARCH(bipartisan,C339)))&gt;0)</f>
        <v>0</v>
      </c>
      <c r="AA339" s="14">
        <f t="shared" si="5"/>
        <v>0</v>
      </c>
      <c r="AB339" s="14"/>
      <c r="AC339" s="30" t="s">
        <v>223</v>
      </c>
      <c r="AD339" s="37" t="s">
        <v>223</v>
      </c>
    </row>
    <row r="340" spans="1:30" x14ac:dyDescent="0.25">
      <c r="A340" s="36">
        <v>4181</v>
      </c>
      <c r="B340" s="14" t="s">
        <v>8385</v>
      </c>
      <c r="C340" s="14" t="s">
        <v>8386</v>
      </c>
      <c r="D340" s="17">
        <v>44110</v>
      </c>
      <c r="E340" s="14" t="s">
        <v>30</v>
      </c>
      <c r="F340" s="14">
        <v>6944</v>
      </c>
      <c r="G340" s="14">
        <v>3297</v>
      </c>
      <c r="H340" s="14">
        <v>18</v>
      </c>
      <c r="I340" s="14">
        <v>9</v>
      </c>
      <c r="J340" s="14" t="s">
        <v>204</v>
      </c>
      <c r="K340" s="14" cm="1">
        <f t="array" ref="K340">INT(SUMPRODUCT(--ISNUMBER(SEARCH(economy,C340)))&gt;0)</f>
        <v>0</v>
      </c>
      <c r="L340" s="14" cm="1">
        <f t="array" ref="L340">INT(SUMPRODUCT(--ISNUMBER(SEARCH(healthcare,C340)))&gt;0)</f>
        <v>0</v>
      </c>
      <c r="M340" s="14" cm="1">
        <f t="array" ref="M340">INT(SUMPRODUCT(--ISNUMBER(SEARCH(supreme,C340)))&gt;0)</f>
        <v>0</v>
      </c>
      <c r="N340" s="14" cm="1">
        <f t="array" ref="N340">INT(SUMPRODUCT(--ISNUMBER(SEARCH(covid,C340)))&gt;0)</f>
        <v>1</v>
      </c>
      <c r="O340" s="14" cm="1">
        <f t="array" ref="O340">INT(SUMPRODUCT(--ISNUMBER(SEARCH(violent,C340)))&gt;0)</f>
        <v>0</v>
      </c>
      <c r="P340" s="14" cm="1">
        <f t="array" ref="P340">INT(SUMPRODUCT(--ISNUMBER(SEARCH(foreign,C340)))&gt;0)</f>
        <v>0</v>
      </c>
      <c r="Q340" s="14" cm="1">
        <f t="array" ref="Q340">INT(SUMPRODUCT(--ISNUMBER(SEARCH(gun,C340)))&gt;0)</f>
        <v>0</v>
      </c>
      <c r="R340" s="14" cm="1">
        <f t="array" ref="R340">INT(SUMPRODUCT(--ISNUMBER(SEARCH(race,C340)))&gt;0)</f>
        <v>0</v>
      </c>
      <c r="S340" s="14" cm="1">
        <f t="array" ref="S340">INT(SUMPRODUCT(--ISNUMBER(SEARCH(immigration,C340)))&gt;0)</f>
        <v>0</v>
      </c>
      <c r="T340" s="14" cm="1">
        <f t="array" ref="T340">INT(SUMPRODUCT(--ISNUMBER(SEARCH(econineq,C341)))&gt;0)</f>
        <v>0</v>
      </c>
      <c r="U340" s="14" cm="1">
        <f t="array" ref="U340">INT(SUMPRODUCT(--ISNUMBER(SEARCH(climate,C340)))&gt;0)</f>
        <v>0</v>
      </c>
      <c r="V340" s="14" cm="1">
        <f t="array" ref="V340">INT(SUMPRODUCT(--ISNUMBER(SEARCH(abortion,C340)))&gt;0)</f>
        <v>0</v>
      </c>
      <c r="W340" s="14" cm="1">
        <f t="array" ref="W340">INT(SUMPRODUCT(--ISNUMBER(SEARCH(trump,C340)))&gt;0)</f>
        <v>1</v>
      </c>
      <c r="X340" s="14" cm="1">
        <f t="array" ref="X340">INT(SUMPRODUCT(--ISNUMBER(SEARCH(voting,C340)))&gt;0)</f>
        <v>0</v>
      </c>
      <c r="Y340" s="14" cm="1">
        <f t="array" ref="Y340">INT(SUMPRODUCT(--ISNUMBER(SEARCH(democrattrigger,C340)))&gt;0)</f>
        <v>1</v>
      </c>
      <c r="Z340" s="14" cm="1">
        <f t="array" ref="Z340">INT(SUMPRODUCT(--ISNUMBER(SEARCH(bipartisan,C340)))&gt;0)</f>
        <v>0</v>
      </c>
      <c r="AA340" s="14">
        <f t="shared" si="5"/>
        <v>0</v>
      </c>
      <c r="AB340" s="14"/>
      <c r="AC340" s="30" t="s">
        <v>223</v>
      </c>
      <c r="AD340" s="37" t="s">
        <v>223</v>
      </c>
    </row>
    <row r="341" spans="1:30" x14ac:dyDescent="0.25">
      <c r="A341" s="36">
        <v>4182</v>
      </c>
      <c r="B341" s="14" t="s">
        <v>8387</v>
      </c>
      <c r="C341" s="14" t="s">
        <v>8388</v>
      </c>
      <c r="D341" s="17">
        <v>44110</v>
      </c>
      <c r="E341" s="14" t="s">
        <v>30</v>
      </c>
      <c r="F341" s="14">
        <v>2292</v>
      </c>
      <c r="G341" s="14">
        <v>942</v>
      </c>
      <c r="H341" s="14">
        <v>18</v>
      </c>
      <c r="I341" s="14">
        <v>9</v>
      </c>
      <c r="J341" s="14" t="s">
        <v>204</v>
      </c>
      <c r="K341" s="14" cm="1">
        <f t="array" ref="K341">INT(SUMPRODUCT(--ISNUMBER(SEARCH(economy,C341)))&gt;0)</f>
        <v>0</v>
      </c>
      <c r="L341" s="14" cm="1">
        <f t="array" ref="L341">INT(SUMPRODUCT(--ISNUMBER(SEARCH(healthcare,C341)))&gt;0)</f>
        <v>0</v>
      </c>
      <c r="M341" s="14" cm="1">
        <f t="array" ref="M341">INT(SUMPRODUCT(--ISNUMBER(SEARCH(supreme,C341)))&gt;0)</f>
        <v>0</v>
      </c>
      <c r="N341" s="14" cm="1">
        <f t="array" ref="N341">INT(SUMPRODUCT(--ISNUMBER(SEARCH(covid,C341)))&gt;0)</f>
        <v>0</v>
      </c>
      <c r="O341" s="14" cm="1">
        <f t="array" ref="O341">INT(SUMPRODUCT(--ISNUMBER(SEARCH(violent,C341)))&gt;0)</f>
        <v>0</v>
      </c>
      <c r="P341" s="14" cm="1">
        <f t="array" ref="P341">INT(SUMPRODUCT(--ISNUMBER(SEARCH(foreign,C341)))&gt;0)</f>
        <v>0</v>
      </c>
      <c r="Q341" s="14" cm="1">
        <f t="array" ref="Q341">INT(SUMPRODUCT(--ISNUMBER(SEARCH(gun,C341)))&gt;0)</f>
        <v>0</v>
      </c>
      <c r="R341" s="14" cm="1">
        <f t="array" ref="R341">INT(SUMPRODUCT(--ISNUMBER(SEARCH(race,C341)))&gt;0)</f>
        <v>0</v>
      </c>
      <c r="S341" s="14" cm="1">
        <f t="array" ref="S341">INT(SUMPRODUCT(--ISNUMBER(SEARCH(immigration,C341)))&gt;0)</f>
        <v>0</v>
      </c>
      <c r="T341" s="14" cm="1">
        <f t="array" ref="T341">INT(SUMPRODUCT(--ISNUMBER(SEARCH(econineq,C342)))&gt;0)</f>
        <v>0</v>
      </c>
      <c r="U341" s="14" cm="1">
        <f t="array" ref="U341">INT(SUMPRODUCT(--ISNUMBER(SEARCH(climate,C341)))&gt;0)</f>
        <v>0</v>
      </c>
      <c r="V341" s="14" cm="1">
        <f t="array" ref="V341">INT(SUMPRODUCT(--ISNUMBER(SEARCH(abortion,C341)))&gt;0)</f>
        <v>0</v>
      </c>
      <c r="W341" s="14" cm="1">
        <f t="array" ref="W341">INT(SUMPRODUCT(--ISNUMBER(SEARCH(trump,C341)))&gt;0)</f>
        <v>0</v>
      </c>
      <c r="X341" s="14" cm="1">
        <f t="array" ref="X341">INT(SUMPRODUCT(--ISNUMBER(SEARCH(voting,C341)))&gt;0)</f>
        <v>1</v>
      </c>
      <c r="Y341" s="14" cm="1">
        <f t="array" ref="Y341">INT(SUMPRODUCT(--ISNUMBER(SEARCH(democrattrigger,C341)))&gt;0)</f>
        <v>1</v>
      </c>
      <c r="Z341" s="14" cm="1">
        <f t="array" ref="Z341">INT(SUMPRODUCT(--ISNUMBER(SEARCH(bipartisan,C341)))&gt;0)</f>
        <v>0</v>
      </c>
      <c r="AA341" s="14">
        <f t="shared" si="5"/>
        <v>0</v>
      </c>
      <c r="AB341" s="14"/>
      <c r="AC341" s="30">
        <v>0</v>
      </c>
      <c r="AD341" s="37">
        <v>1</v>
      </c>
    </row>
    <row r="342" spans="1:30" x14ac:dyDescent="0.25">
      <c r="A342" s="36">
        <v>4183</v>
      </c>
      <c r="B342" s="14" t="s">
        <v>8389</v>
      </c>
      <c r="C342" s="14" t="s">
        <v>8390</v>
      </c>
      <c r="D342" s="17">
        <v>44110</v>
      </c>
      <c r="E342" s="14" t="s">
        <v>30</v>
      </c>
      <c r="F342" s="14">
        <v>583</v>
      </c>
      <c r="G342" s="14">
        <v>241</v>
      </c>
      <c r="H342" s="14">
        <v>18</v>
      </c>
      <c r="I342" s="14">
        <v>9</v>
      </c>
      <c r="J342" s="14" t="s">
        <v>204</v>
      </c>
      <c r="K342" s="14" cm="1">
        <f t="array" ref="K342">INT(SUMPRODUCT(--ISNUMBER(SEARCH(economy,C342)))&gt;0)</f>
        <v>0</v>
      </c>
      <c r="L342" s="14" cm="1">
        <f t="array" ref="L342">INT(SUMPRODUCT(--ISNUMBER(SEARCH(healthcare,C342)))&gt;0)</f>
        <v>1</v>
      </c>
      <c r="M342" s="14" cm="1">
        <f t="array" ref="M342">INT(SUMPRODUCT(--ISNUMBER(SEARCH(supreme,C342)))&gt;0)</f>
        <v>0</v>
      </c>
      <c r="N342" s="14" cm="1">
        <f t="array" ref="N342">INT(SUMPRODUCT(--ISNUMBER(SEARCH(covid,C342)))&gt;0)</f>
        <v>0</v>
      </c>
      <c r="O342" s="14" cm="1">
        <f t="array" ref="O342">INT(SUMPRODUCT(--ISNUMBER(SEARCH(violent,C342)))&gt;0)</f>
        <v>0</v>
      </c>
      <c r="P342" s="14" cm="1">
        <f t="array" ref="P342">INT(SUMPRODUCT(--ISNUMBER(SEARCH(foreign,C342)))&gt;0)</f>
        <v>0</v>
      </c>
      <c r="Q342" s="14" cm="1">
        <f t="array" ref="Q342">INT(SUMPRODUCT(--ISNUMBER(SEARCH(gun,C342)))&gt;0)</f>
        <v>0</v>
      </c>
      <c r="R342" s="14" cm="1">
        <f t="array" ref="R342">INT(SUMPRODUCT(--ISNUMBER(SEARCH(race,C342)))&gt;0)</f>
        <v>0</v>
      </c>
      <c r="S342" s="14" cm="1">
        <f t="array" ref="S342">INT(SUMPRODUCT(--ISNUMBER(SEARCH(immigration,C342)))&gt;0)</f>
        <v>0</v>
      </c>
      <c r="T342" s="14" cm="1">
        <f t="array" ref="T342">INT(SUMPRODUCT(--ISNUMBER(SEARCH(econineq,C343)))&gt;0)</f>
        <v>0</v>
      </c>
      <c r="U342" s="14" cm="1">
        <f t="array" ref="U342">INT(SUMPRODUCT(--ISNUMBER(SEARCH(climate,C342)))&gt;0)</f>
        <v>0</v>
      </c>
      <c r="V342" s="14" cm="1">
        <f t="array" ref="V342">INT(SUMPRODUCT(--ISNUMBER(SEARCH(abortion,C342)))&gt;0)</f>
        <v>0</v>
      </c>
      <c r="W342" s="14" cm="1">
        <f t="array" ref="W342">INT(SUMPRODUCT(--ISNUMBER(SEARCH(trump,C342)))&gt;0)</f>
        <v>0</v>
      </c>
      <c r="X342" s="14" cm="1">
        <f t="array" ref="X342">INT(SUMPRODUCT(--ISNUMBER(SEARCH(voting,C342)))&gt;0)</f>
        <v>0</v>
      </c>
      <c r="Y342" s="14" cm="1">
        <f t="array" ref="Y342">INT(SUMPRODUCT(--ISNUMBER(SEARCH(democrattrigger,C342)))&gt;0)</f>
        <v>0</v>
      </c>
      <c r="Z342" s="14" cm="1">
        <f t="array" ref="Z342">INT(SUMPRODUCT(--ISNUMBER(SEARCH(bipartisan,C342)))&gt;0)</f>
        <v>0</v>
      </c>
      <c r="AA342" s="14">
        <f t="shared" si="5"/>
        <v>0</v>
      </c>
      <c r="AB342" s="14"/>
      <c r="AC342" s="30" t="s">
        <v>223</v>
      </c>
      <c r="AD342" s="37" t="s">
        <v>223</v>
      </c>
    </row>
    <row r="343" spans="1:30" x14ac:dyDescent="0.25">
      <c r="A343" s="36">
        <v>4184</v>
      </c>
      <c r="B343" s="14" t="s">
        <v>8391</v>
      </c>
      <c r="C343" s="14" t="s">
        <v>8392</v>
      </c>
      <c r="D343" s="17">
        <v>44110</v>
      </c>
      <c r="E343" s="14" t="s">
        <v>30</v>
      </c>
      <c r="F343" s="14">
        <v>1709</v>
      </c>
      <c r="G343" s="14">
        <v>534</v>
      </c>
      <c r="H343" s="14">
        <v>18</v>
      </c>
      <c r="I343" s="14">
        <v>9</v>
      </c>
      <c r="J343" s="14" t="s">
        <v>204</v>
      </c>
      <c r="K343" s="14" cm="1">
        <f t="array" ref="K343">INT(SUMPRODUCT(--ISNUMBER(SEARCH(economy,C343)))&gt;0)</f>
        <v>0</v>
      </c>
      <c r="L343" s="14" cm="1">
        <f t="array" ref="L343">INT(SUMPRODUCT(--ISNUMBER(SEARCH(healthcare,C343)))&gt;0)</f>
        <v>0</v>
      </c>
      <c r="M343" s="14" cm="1">
        <f t="array" ref="M343">INT(SUMPRODUCT(--ISNUMBER(SEARCH(supreme,C343)))&gt;0)</f>
        <v>0</v>
      </c>
      <c r="N343" s="14" cm="1">
        <f t="array" ref="N343">INT(SUMPRODUCT(--ISNUMBER(SEARCH(covid,C343)))&gt;0)</f>
        <v>0</v>
      </c>
      <c r="O343" s="14" cm="1">
        <f t="array" ref="O343">INT(SUMPRODUCT(--ISNUMBER(SEARCH(violent,C343)))&gt;0)</f>
        <v>0</v>
      </c>
      <c r="P343" s="14" cm="1">
        <f t="array" ref="P343">INT(SUMPRODUCT(--ISNUMBER(SEARCH(foreign,C343)))&gt;0)</f>
        <v>0</v>
      </c>
      <c r="Q343" s="14" cm="1">
        <f t="array" ref="Q343">INT(SUMPRODUCT(--ISNUMBER(SEARCH(gun,C343)))&gt;0)</f>
        <v>0</v>
      </c>
      <c r="R343" s="14" cm="1">
        <f t="array" ref="R343">INT(SUMPRODUCT(--ISNUMBER(SEARCH(race,C343)))&gt;0)</f>
        <v>1</v>
      </c>
      <c r="S343" s="14" cm="1">
        <f t="array" ref="S343">INT(SUMPRODUCT(--ISNUMBER(SEARCH(immigration,C343)))&gt;0)</f>
        <v>0</v>
      </c>
      <c r="T343" s="14" cm="1">
        <f t="array" ref="T343">INT(SUMPRODUCT(--ISNUMBER(SEARCH(econineq,C344)))&gt;0)</f>
        <v>0</v>
      </c>
      <c r="U343" s="14" cm="1">
        <f t="array" ref="U343">INT(SUMPRODUCT(--ISNUMBER(SEARCH(climate,C343)))&gt;0)</f>
        <v>0</v>
      </c>
      <c r="V343" s="14" cm="1">
        <f t="array" ref="V343">INT(SUMPRODUCT(--ISNUMBER(SEARCH(abortion,C343)))&gt;0)</f>
        <v>0</v>
      </c>
      <c r="W343" s="14" cm="1">
        <f t="array" ref="W343">INT(SUMPRODUCT(--ISNUMBER(SEARCH(trump,C343)))&gt;0)</f>
        <v>0</v>
      </c>
      <c r="X343" s="14" cm="1">
        <f t="array" ref="X343">INT(SUMPRODUCT(--ISNUMBER(SEARCH(voting,C343)))&gt;0)</f>
        <v>0</v>
      </c>
      <c r="Y343" s="14" cm="1">
        <f t="array" ref="Y343">INT(SUMPRODUCT(--ISNUMBER(SEARCH(democrattrigger,C343)))&gt;0)</f>
        <v>0</v>
      </c>
      <c r="Z343" s="14" cm="1">
        <f t="array" ref="Z343">INT(SUMPRODUCT(--ISNUMBER(SEARCH(bipartisan,C343)))&gt;0)</f>
        <v>0</v>
      </c>
      <c r="AA343" s="14">
        <f t="shared" si="5"/>
        <v>0</v>
      </c>
      <c r="AB343" s="14"/>
      <c r="AC343" s="30" t="s">
        <v>223</v>
      </c>
      <c r="AD343" s="37" t="s">
        <v>223</v>
      </c>
    </row>
    <row r="344" spans="1:30" x14ac:dyDescent="0.25">
      <c r="A344" s="36">
        <v>4185</v>
      </c>
      <c r="B344" s="14" t="s">
        <v>8393</v>
      </c>
      <c r="C344" s="14" t="s">
        <v>8394</v>
      </c>
      <c r="D344" s="17">
        <v>44110</v>
      </c>
      <c r="E344" s="14" t="s">
        <v>30</v>
      </c>
      <c r="F344" s="14">
        <v>7883</v>
      </c>
      <c r="G344" s="14">
        <v>1723</v>
      </c>
      <c r="H344" s="14">
        <v>18</v>
      </c>
      <c r="I344" s="14">
        <v>9</v>
      </c>
      <c r="J344" s="14" t="s">
        <v>204</v>
      </c>
      <c r="K344" s="14" cm="1">
        <f t="array" ref="K344">INT(SUMPRODUCT(--ISNUMBER(SEARCH(economy,C344)))&gt;0)</f>
        <v>0</v>
      </c>
      <c r="L344" s="14" cm="1">
        <f t="array" ref="L344">INT(SUMPRODUCT(--ISNUMBER(SEARCH(healthcare,C344)))&gt;0)</f>
        <v>0</v>
      </c>
      <c r="M344" s="14" cm="1">
        <f t="array" ref="M344">INT(SUMPRODUCT(--ISNUMBER(SEARCH(supreme,C344)))&gt;0)</f>
        <v>0</v>
      </c>
      <c r="N344" s="14" cm="1">
        <f t="array" ref="N344">INT(SUMPRODUCT(--ISNUMBER(SEARCH(covid,C344)))&gt;0)</f>
        <v>0</v>
      </c>
      <c r="O344" s="14" cm="1">
        <f t="array" ref="O344">INT(SUMPRODUCT(--ISNUMBER(SEARCH(violent,C344)))&gt;0)</f>
        <v>0</v>
      </c>
      <c r="P344" s="14" cm="1">
        <f t="array" ref="P344">INT(SUMPRODUCT(--ISNUMBER(SEARCH(foreign,C344)))&gt;0)</f>
        <v>0</v>
      </c>
      <c r="Q344" s="14" cm="1">
        <f t="array" ref="Q344">INT(SUMPRODUCT(--ISNUMBER(SEARCH(gun,C344)))&gt;0)</f>
        <v>0</v>
      </c>
      <c r="R344" s="14" cm="1">
        <f t="array" ref="R344">INT(SUMPRODUCT(--ISNUMBER(SEARCH(race,C344)))&gt;0)</f>
        <v>0</v>
      </c>
      <c r="S344" s="14" cm="1">
        <f t="array" ref="S344">INT(SUMPRODUCT(--ISNUMBER(SEARCH(immigration,C344)))&gt;0)</f>
        <v>0</v>
      </c>
      <c r="T344" s="14" cm="1">
        <f t="array" ref="T344">INT(SUMPRODUCT(--ISNUMBER(SEARCH(econineq,C345)))&gt;0)</f>
        <v>0</v>
      </c>
      <c r="U344" s="14" cm="1">
        <f t="array" ref="U344">INT(SUMPRODUCT(--ISNUMBER(SEARCH(climate,C344)))&gt;0)</f>
        <v>0</v>
      </c>
      <c r="V344" s="14" cm="1">
        <f t="array" ref="V344">INT(SUMPRODUCT(--ISNUMBER(SEARCH(abortion,C344)))&gt;0)</f>
        <v>0</v>
      </c>
      <c r="W344" s="14" cm="1">
        <f t="array" ref="W344">INT(SUMPRODUCT(--ISNUMBER(SEARCH(trump,C344)))&gt;0)</f>
        <v>0</v>
      </c>
      <c r="X344" s="14" cm="1">
        <f t="array" ref="X344">INT(SUMPRODUCT(--ISNUMBER(SEARCH(voting,C344)))&gt;0)</f>
        <v>0</v>
      </c>
      <c r="Y344" s="14" cm="1">
        <f t="array" ref="Y344">INT(SUMPRODUCT(--ISNUMBER(SEARCH(democrattrigger,C344)))&gt;0)</f>
        <v>0</v>
      </c>
      <c r="Z344" s="14" cm="1">
        <f t="array" ref="Z344">INT(SUMPRODUCT(--ISNUMBER(SEARCH(bipartisan,C344)))&gt;0)</f>
        <v>0</v>
      </c>
      <c r="AA344" s="14">
        <f t="shared" si="5"/>
        <v>1</v>
      </c>
      <c r="AB344" s="14"/>
      <c r="AC344" s="30" t="s">
        <v>223</v>
      </c>
      <c r="AD344" s="37" t="s">
        <v>223</v>
      </c>
    </row>
    <row r="345" spans="1:30" x14ac:dyDescent="0.25">
      <c r="A345" s="36">
        <v>4186</v>
      </c>
      <c r="B345" s="14" t="s">
        <v>8395</v>
      </c>
      <c r="C345" s="14" t="s">
        <v>8396</v>
      </c>
      <c r="D345" s="17">
        <v>44109</v>
      </c>
      <c r="E345" s="14" t="s">
        <v>30</v>
      </c>
      <c r="F345" s="14">
        <v>4548</v>
      </c>
      <c r="G345" s="14">
        <v>1573</v>
      </c>
      <c r="H345" s="14">
        <v>18</v>
      </c>
      <c r="I345" s="14">
        <v>9</v>
      </c>
      <c r="J345" s="14" t="s">
        <v>204</v>
      </c>
      <c r="K345" s="14" cm="1">
        <f t="array" ref="K345">INT(SUMPRODUCT(--ISNUMBER(SEARCH(economy,C345)))&gt;0)</f>
        <v>0</v>
      </c>
      <c r="L345" s="14" cm="1">
        <f t="array" ref="L345">INT(SUMPRODUCT(--ISNUMBER(SEARCH(healthcare,C345)))&gt;0)</f>
        <v>0</v>
      </c>
      <c r="M345" s="14" cm="1">
        <f t="array" ref="M345">INT(SUMPRODUCT(--ISNUMBER(SEARCH(supreme,C345)))&gt;0)</f>
        <v>0</v>
      </c>
      <c r="N345" s="14" cm="1">
        <f t="array" ref="N345">INT(SUMPRODUCT(--ISNUMBER(SEARCH(covid,C345)))&gt;0)</f>
        <v>0</v>
      </c>
      <c r="O345" s="14" cm="1">
        <f t="array" ref="O345">INT(SUMPRODUCT(--ISNUMBER(SEARCH(violent,C345)))&gt;0)</f>
        <v>0</v>
      </c>
      <c r="P345" s="14" cm="1">
        <f t="array" ref="P345">INT(SUMPRODUCT(--ISNUMBER(SEARCH(foreign,C345)))&gt;0)</f>
        <v>0</v>
      </c>
      <c r="Q345" s="14" cm="1">
        <f t="array" ref="Q345">INT(SUMPRODUCT(--ISNUMBER(SEARCH(gun,C345)))&gt;0)</f>
        <v>0</v>
      </c>
      <c r="R345" s="14" cm="1">
        <f t="array" ref="R345">INT(SUMPRODUCT(--ISNUMBER(SEARCH(race,C345)))&gt;0)</f>
        <v>0</v>
      </c>
      <c r="S345" s="14" cm="1">
        <f t="array" ref="S345">INT(SUMPRODUCT(--ISNUMBER(SEARCH(immigration,C345)))&gt;0)</f>
        <v>0</v>
      </c>
      <c r="T345" s="14" cm="1">
        <f t="array" ref="T345">INT(SUMPRODUCT(--ISNUMBER(SEARCH(econineq,C346)))&gt;0)</f>
        <v>0</v>
      </c>
      <c r="U345" s="14" cm="1">
        <f t="array" ref="U345">INT(SUMPRODUCT(--ISNUMBER(SEARCH(climate,C345)))&gt;0)</f>
        <v>0</v>
      </c>
      <c r="V345" s="14" cm="1">
        <f t="array" ref="V345">INT(SUMPRODUCT(--ISNUMBER(SEARCH(abortion,C345)))&gt;0)</f>
        <v>0</v>
      </c>
      <c r="W345" s="14" cm="1">
        <f t="array" ref="W345">INT(SUMPRODUCT(--ISNUMBER(SEARCH(trump,C345)))&gt;0)</f>
        <v>0</v>
      </c>
      <c r="X345" s="14" cm="1">
        <f t="array" ref="X345">INT(SUMPRODUCT(--ISNUMBER(SEARCH(voting,C345)))&gt;0)</f>
        <v>0</v>
      </c>
      <c r="Y345" s="14" cm="1">
        <f t="array" ref="Y345">INT(SUMPRODUCT(--ISNUMBER(SEARCH(democrattrigger,C345)))&gt;0)</f>
        <v>1</v>
      </c>
      <c r="Z345" s="14" cm="1">
        <f t="array" ref="Z345">INT(SUMPRODUCT(--ISNUMBER(SEARCH(bipartisan,C345)))&gt;0)</f>
        <v>0</v>
      </c>
      <c r="AA345" s="14">
        <f t="shared" si="5"/>
        <v>0</v>
      </c>
      <c r="AB345" s="14"/>
      <c r="AC345" s="30" t="s">
        <v>223</v>
      </c>
      <c r="AD345" s="37" t="s">
        <v>223</v>
      </c>
    </row>
    <row r="346" spans="1:30" x14ac:dyDescent="0.25">
      <c r="A346" s="36">
        <v>4187</v>
      </c>
      <c r="B346" s="14" t="s">
        <v>8397</v>
      </c>
      <c r="C346" s="14" t="s">
        <v>8398</v>
      </c>
      <c r="D346" s="17">
        <v>44109</v>
      </c>
      <c r="E346" s="14" t="s">
        <v>30</v>
      </c>
      <c r="F346" s="14">
        <v>1390</v>
      </c>
      <c r="G346" s="14">
        <v>612</v>
      </c>
      <c r="H346" s="14">
        <v>18</v>
      </c>
      <c r="I346" s="14">
        <v>9</v>
      </c>
      <c r="J346" s="14" t="s">
        <v>204</v>
      </c>
      <c r="K346" s="14" cm="1">
        <f t="array" ref="K346">INT(SUMPRODUCT(--ISNUMBER(SEARCH(economy,C346)))&gt;0)</f>
        <v>0</v>
      </c>
      <c r="L346" s="14" cm="1">
        <f t="array" ref="L346">INT(SUMPRODUCT(--ISNUMBER(SEARCH(healthcare,C346)))&gt;0)</f>
        <v>0</v>
      </c>
      <c r="M346" s="14" cm="1">
        <f t="array" ref="M346">INT(SUMPRODUCT(--ISNUMBER(SEARCH(supreme,C346)))&gt;0)</f>
        <v>1</v>
      </c>
      <c r="N346" s="14" cm="1">
        <f t="array" ref="N346">INT(SUMPRODUCT(--ISNUMBER(SEARCH(covid,C346)))&gt;0)</f>
        <v>0</v>
      </c>
      <c r="O346" s="14" cm="1">
        <f t="array" ref="O346">INT(SUMPRODUCT(--ISNUMBER(SEARCH(violent,C346)))&gt;0)</f>
        <v>0</v>
      </c>
      <c r="P346" s="14" cm="1">
        <f t="array" ref="P346">INT(SUMPRODUCT(--ISNUMBER(SEARCH(foreign,C346)))&gt;0)</f>
        <v>0</v>
      </c>
      <c r="Q346" s="14" cm="1">
        <f t="array" ref="Q346">INT(SUMPRODUCT(--ISNUMBER(SEARCH(gun,C346)))&gt;0)</f>
        <v>0</v>
      </c>
      <c r="R346" s="14" cm="1">
        <f t="array" ref="R346">INT(SUMPRODUCT(--ISNUMBER(SEARCH(race,C346)))&gt;0)</f>
        <v>1</v>
      </c>
      <c r="S346" s="14" cm="1">
        <f t="array" ref="S346">INT(SUMPRODUCT(--ISNUMBER(SEARCH(immigration,C346)))&gt;0)</f>
        <v>0</v>
      </c>
      <c r="T346" s="14" cm="1">
        <f t="array" ref="T346">INT(SUMPRODUCT(--ISNUMBER(SEARCH(econineq,C347)))&gt;0)</f>
        <v>0</v>
      </c>
      <c r="U346" s="14" cm="1">
        <f t="array" ref="U346">INT(SUMPRODUCT(--ISNUMBER(SEARCH(climate,C346)))&gt;0)</f>
        <v>0</v>
      </c>
      <c r="V346" s="14" cm="1">
        <f t="array" ref="V346">INT(SUMPRODUCT(--ISNUMBER(SEARCH(abortion,C346)))&gt;0)</f>
        <v>0</v>
      </c>
      <c r="W346" s="14" cm="1">
        <f t="array" ref="W346">INT(SUMPRODUCT(--ISNUMBER(SEARCH(trump,C346)))&gt;0)</f>
        <v>0</v>
      </c>
      <c r="X346" s="14" cm="1">
        <f t="array" ref="X346">INT(SUMPRODUCT(--ISNUMBER(SEARCH(voting,C346)))&gt;0)</f>
        <v>1</v>
      </c>
      <c r="Y346" s="14" cm="1">
        <f t="array" ref="Y346">INT(SUMPRODUCT(--ISNUMBER(SEARCH(democrattrigger,C346)))&gt;0)</f>
        <v>1</v>
      </c>
      <c r="Z346" s="14" cm="1">
        <f t="array" ref="Z346">INT(SUMPRODUCT(--ISNUMBER(SEARCH(bipartisan,C346)))&gt;0)</f>
        <v>0</v>
      </c>
      <c r="AA346" s="14">
        <f t="shared" si="5"/>
        <v>0</v>
      </c>
      <c r="AB346" s="14"/>
      <c r="AC346" s="30" t="s">
        <v>223</v>
      </c>
      <c r="AD346" s="37" t="s">
        <v>223</v>
      </c>
    </row>
    <row r="347" spans="1:30" x14ac:dyDescent="0.25">
      <c r="A347" s="36">
        <v>4188</v>
      </c>
      <c r="B347" s="14" t="s">
        <v>8399</v>
      </c>
      <c r="C347" s="14" t="s">
        <v>8400</v>
      </c>
      <c r="D347" s="17">
        <v>44109</v>
      </c>
      <c r="E347" s="14" t="s">
        <v>30</v>
      </c>
      <c r="F347" s="14">
        <v>1441</v>
      </c>
      <c r="G347" s="14">
        <v>596</v>
      </c>
      <c r="H347" s="14">
        <v>18</v>
      </c>
      <c r="I347" s="14">
        <v>9</v>
      </c>
      <c r="J347" s="14" t="s">
        <v>204</v>
      </c>
      <c r="K347" s="14" cm="1">
        <f t="array" ref="K347">INT(SUMPRODUCT(--ISNUMBER(SEARCH(economy,C347)))&gt;0)</f>
        <v>0</v>
      </c>
      <c r="L347" s="14" cm="1">
        <f t="array" ref="L347">INT(SUMPRODUCT(--ISNUMBER(SEARCH(healthcare,C347)))&gt;0)</f>
        <v>0</v>
      </c>
      <c r="M347" s="14" cm="1">
        <f t="array" ref="M347">INT(SUMPRODUCT(--ISNUMBER(SEARCH(supreme,C347)))&gt;0)</f>
        <v>0</v>
      </c>
      <c r="N347" s="14" cm="1">
        <f t="array" ref="N347">INT(SUMPRODUCT(--ISNUMBER(SEARCH(covid,C347)))&gt;0)</f>
        <v>1</v>
      </c>
      <c r="O347" s="14" cm="1">
        <f t="array" ref="O347">INT(SUMPRODUCT(--ISNUMBER(SEARCH(violent,C347)))&gt;0)</f>
        <v>0</v>
      </c>
      <c r="P347" s="14" cm="1">
        <f t="array" ref="P347">INT(SUMPRODUCT(--ISNUMBER(SEARCH(foreign,C347)))&gt;0)</f>
        <v>0</v>
      </c>
      <c r="Q347" s="14" cm="1">
        <f t="array" ref="Q347">INT(SUMPRODUCT(--ISNUMBER(SEARCH(gun,C347)))&gt;0)</f>
        <v>0</v>
      </c>
      <c r="R347" s="14" cm="1">
        <f t="array" ref="R347">INT(SUMPRODUCT(--ISNUMBER(SEARCH(race,C347)))&gt;0)</f>
        <v>0</v>
      </c>
      <c r="S347" s="14" cm="1">
        <f t="array" ref="S347">INT(SUMPRODUCT(--ISNUMBER(SEARCH(immigration,C347)))&gt;0)</f>
        <v>0</v>
      </c>
      <c r="T347" s="14" cm="1">
        <f t="array" ref="T347">INT(SUMPRODUCT(--ISNUMBER(SEARCH(econineq,C348)))&gt;0)</f>
        <v>0</v>
      </c>
      <c r="U347" s="14" cm="1">
        <f t="array" ref="U347">INT(SUMPRODUCT(--ISNUMBER(SEARCH(climate,C347)))&gt;0)</f>
        <v>0</v>
      </c>
      <c r="V347" s="14" cm="1">
        <f t="array" ref="V347">INT(SUMPRODUCT(--ISNUMBER(SEARCH(abortion,C347)))&gt;0)</f>
        <v>0</v>
      </c>
      <c r="W347" s="14" cm="1">
        <f t="array" ref="W347">INT(SUMPRODUCT(--ISNUMBER(SEARCH(trump,C347)))&gt;0)</f>
        <v>1</v>
      </c>
      <c r="X347" s="14" cm="1">
        <f t="array" ref="X347">INT(SUMPRODUCT(--ISNUMBER(SEARCH(voting,C347)))&gt;0)</f>
        <v>1</v>
      </c>
      <c r="Y347" s="14" cm="1">
        <f t="array" ref="Y347">INT(SUMPRODUCT(--ISNUMBER(SEARCH(democrattrigger,C347)))&gt;0)</f>
        <v>1</v>
      </c>
      <c r="Z347" s="14" cm="1">
        <f t="array" ref="Z347">INT(SUMPRODUCT(--ISNUMBER(SEARCH(bipartisan,C347)))&gt;0)</f>
        <v>0</v>
      </c>
      <c r="AA347" s="14">
        <f t="shared" si="5"/>
        <v>0</v>
      </c>
      <c r="AB347" s="14"/>
      <c r="AC347" s="30" t="s">
        <v>223</v>
      </c>
      <c r="AD347" s="37" t="s">
        <v>223</v>
      </c>
    </row>
    <row r="348" spans="1:30" x14ac:dyDescent="0.25">
      <c r="A348" s="36">
        <v>4189</v>
      </c>
      <c r="B348" s="14" t="s">
        <v>8401</v>
      </c>
      <c r="C348" s="14" t="s">
        <v>8402</v>
      </c>
      <c r="D348" s="17">
        <v>44109</v>
      </c>
      <c r="E348" s="14" t="s">
        <v>30</v>
      </c>
      <c r="F348" s="14">
        <v>437</v>
      </c>
      <c r="G348" s="14">
        <v>269</v>
      </c>
      <c r="H348" s="14">
        <v>18</v>
      </c>
      <c r="I348" s="14">
        <v>9</v>
      </c>
      <c r="J348" s="14" t="s">
        <v>204</v>
      </c>
      <c r="K348" s="14" cm="1">
        <f t="array" ref="K348">INT(SUMPRODUCT(--ISNUMBER(SEARCH(economy,C348)))&gt;0)</f>
        <v>0</v>
      </c>
      <c r="L348" s="14" cm="1">
        <f t="array" ref="L348">INT(SUMPRODUCT(--ISNUMBER(SEARCH(healthcare,C348)))&gt;0)</f>
        <v>0</v>
      </c>
      <c r="M348" s="14" cm="1">
        <f t="array" ref="M348">INT(SUMPRODUCT(--ISNUMBER(SEARCH(supreme,C348)))&gt;0)</f>
        <v>0</v>
      </c>
      <c r="N348" s="14" cm="1">
        <f t="array" ref="N348">INT(SUMPRODUCT(--ISNUMBER(SEARCH(covid,C348)))&gt;0)</f>
        <v>0</v>
      </c>
      <c r="O348" s="14" cm="1">
        <f t="array" ref="O348">INT(SUMPRODUCT(--ISNUMBER(SEARCH(violent,C348)))&gt;0)</f>
        <v>0</v>
      </c>
      <c r="P348" s="14" cm="1">
        <f t="array" ref="P348">INT(SUMPRODUCT(--ISNUMBER(SEARCH(foreign,C348)))&gt;0)</f>
        <v>0</v>
      </c>
      <c r="Q348" s="14" cm="1">
        <f t="array" ref="Q348">INT(SUMPRODUCT(--ISNUMBER(SEARCH(gun,C348)))&gt;0)</f>
        <v>0</v>
      </c>
      <c r="R348" s="14" cm="1">
        <f t="array" ref="R348">INT(SUMPRODUCT(--ISNUMBER(SEARCH(race,C348)))&gt;0)</f>
        <v>0</v>
      </c>
      <c r="S348" s="14" cm="1">
        <f t="array" ref="S348">INT(SUMPRODUCT(--ISNUMBER(SEARCH(immigration,C348)))&gt;0)</f>
        <v>0</v>
      </c>
      <c r="T348" s="14" cm="1">
        <f t="array" ref="T348">INT(SUMPRODUCT(--ISNUMBER(SEARCH(econineq,C349)))&gt;0)</f>
        <v>0</v>
      </c>
      <c r="U348" s="14" cm="1">
        <f t="array" ref="U348">INT(SUMPRODUCT(--ISNUMBER(SEARCH(climate,C348)))&gt;0)</f>
        <v>0</v>
      </c>
      <c r="V348" s="14" cm="1">
        <f t="array" ref="V348">INT(SUMPRODUCT(--ISNUMBER(SEARCH(abortion,C348)))&gt;0)</f>
        <v>0</v>
      </c>
      <c r="W348" s="14" cm="1">
        <f t="array" ref="W348">INT(SUMPRODUCT(--ISNUMBER(SEARCH(trump,C348)))&gt;0)</f>
        <v>0</v>
      </c>
      <c r="X348" s="14" cm="1">
        <f t="array" ref="X348">INT(SUMPRODUCT(--ISNUMBER(SEARCH(voting,C348)))&gt;0)</f>
        <v>1</v>
      </c>
      <c r="Y348" s="14" cm="1">
        <f t="array" ref="Y348">INT(SUMPRODUCT(--ISNUMBER(SEARCH(democrattrigger,C348)))&gt;0)</f>
        <v>0</v>
      </c>
      <c r="Z348" s="14" cm="1">
        <f t="array" ref="Z348">INT(SUMPRODUCT(--ISNUMBER(SEARCH(bipartisan,C348)))&gt;0)</f>
        <v>0</v>
      </c>
      <c r="AA348" s="14">
        <f t="shared" si="5"/>
        <v>0</v>
      </c>
      <c r="AB348" s="14"/>
      <c r="AC348" s="30" t="s">
        <v>223</v>
      </c>
      <c r="AD348" s="37" t="s">
        <v>223</v>
      </c>
    </row>
    <row r="349" spans="1:30" x14ac:dyDescent="0.25">
      <c r="A349" s="36">
        <v>4190</v>
      </c>
      <c r="B349" s="14" t="s">
        <v>8403</v>
      </c>
      <c r="C349" s="14" t="s">
        <v>8404</v>
      </c>
      <c r="D349" s="17">
        <v>44109</v>
      </c>
      <c r="E349" s="14" t="s">
        <v>30</v>
      </c>
      <c r="F349" s="14">
        <v>6206</v>
      </c>
      <c r="G349" s="14">
        <v>1869</v>
      </c>
      <c r="H349" s="14">
        <v>18</v>
      </c>
      <c r="I349" s="14">
        <v>9</v>
      </c>
      <c r="J349" s="14" t="s">
        <v>204</v>
      </c>
      <c r="K349" s="14" cm="1">
        <f t="array" ref="K349">INT(SUMPRODUCT(--ISNUMBER(SEARCH(economy,C349)))&gt;0)</f>
        <v>0</v>
      </c>
      <c r="L349" s="14" cm="1">
        <f t="array" ref="L349">INT(SUMPRODUCT(--ISNUMBER(SEARCH(healthcare,C349)))&gt;0)</f>
        <v>1</v>
      </c>
      <c r="M349" s="14" cm="1">
        <f t="array" ref="M349">INT(SUMPRODUCT(--ISNUMBER(SEARCH(supreme,C349)))&gt;0)</f>
        <v>0</v>
      </c>
      <c r="N349" s="14" cm="1">
        <f t="array" ref="N349">INT(SUMPRODUCT(--ISNUMBER(SEARCH(covid,C349)))&gt;0)</f>
        <v>0</v>
      </c>
      <c r="O349" s="14" cm="1">
        <f t="array" ref="O349">INT(SUMPRODUCT(--ISNUMBER(SEARCH(violent,C349)))&gt;0)</f>
        <v>0</v>
      </c>
      <c r="P349" s="14" cm="1">
        <f t="array" ref="P349">INT(SUMPRODUCT(--ISNUMBER(SEARCH(foreign,C349)))&gt;0)</f>
        <v>1</v>
      </c>
      <c r="Q349" s="14" cm="1">
        <f t="array" ref="Q349">INT(SUMPRODUCT(--ISNUMBER(SEARCH(gun,C349)))&gt;0)</f>
        <v>0</v>
      </c>
      <c r="R349" s="14" cm="1">
        <f t="array" ref="R349">INT(SUMPRODUCT(--ISNUMBER(SEARCH(race,C349)))&gt;0)</f>
        <v>0</v>
      </c>
      <c r="S349" s="14" cm="1">
        <f t="array" ref="S349">INT(SUMPRODUCT(--ISNUMBER(SEARCH(immigration,C349)))&gt;0)</f>
        <v>0</v>
      </c>
      <c r="T349" s="14" cm="1">
        <f t="array" ref="T349">INT(SUMPRODUCT(--ISNUMBER(SEARCH(econineq,C350)))&gt;0)</f>
        <v>0</v>
      </c>
      <c r="U349" s="14" cm="1">
        <f t="array" ref="U349">INT(SUMPRODUCT(--ISNUMBER(SEARCH(climate,C349)))&gt;0)</f>
        <v>0</v>
      </c>
      <c r="V349" s="14" cm="1">
        <f t="array" ref="V349">INT(SUMPRODUCT(--ISNUMBER(SEARCH(abortion,C349)))&gt;0)</f>
        <v>0</v>
      </c>
      <c r="W349" s="14" cm="1">
        <f t="array" ref="W349">INT(SUMPRODUCT(--ISNUMBER(SEARCH(trump,C349)))&gt;0)</f>
        <v>1</v>
      </c>
      <c r="X349" s="14" cm="1">
        <f t="array" ref="X349">INT(SUMPRODUCT(--ISNUMBER(SEARCH(voting,C349)))&gt;0)</f>
        <v>0</v>
      </c>
      <c r="Y349" s="14" cm="1">
        <f t="array" ref="Y349">INT(SUMPRODUCT(--ISNUMBER(SEARCH(democrattrigger,C349)))&gt;0)</f>
        <v>0</v>
      </c>
      <c r="Z349" s="14" cm="1">
        <f t="array" ref="Z349">INT(SUMPRODUCT(--ISNUMBER(SEARCH(bipartisan,C349)))&gt;0)</f>
        <v>0</v>
      </c>
      <c r="AA349" s="14">
        <f t="shared" si="5"/>
        <v>0</v>
      </c>
      <c r="AB349" s="14"/>
      <c r="AC349" s="30">
        <v>1</v>
      </c>
      <c r="AD349" s="37">
        <v>0</v>
      </c>
    </row>
    <row r="350" spans="1:30" x14ac:dyDescent="0.25">
      <c r="A350" s="36">
        <v>4191</v>
      </c>
      <c r="B350" s="14" t="s">
        <v>8405</v>
      </c>
      <c r="C350" s="14" t="s">
        <v>8406</v>
      </c>
      <c r="D350" s="17">
        <v>44109</v>
      </c>
      <c r="E350" s="14" t="s">
        <v>30</v>
      </c>
      <c r="F350" s="14">
        <v>1307</v>
      </c>
      <c r="G350" s="14">
        <v>598</v>
      </c>
      <c r="H350" s="14">
        <v>18</v>
      </c>
      <c r="I350" s="14">
        <v>9</v>
      </c>
      <c r="J350" s="14" t="s">
        <v>204</v>
      </c>
      <c r="K350" s="14" cm="1">
        <f t="array" ref="K350">INT(SUMPRODUCT(--ISNUMBER(SEARCH(economy,C350)))&gt;0)</f>
        <v>0</v>
      </c>
      <c r="L350" s="14" cm="1">
        <f t="array" ref="L350">INT(SUMPRODUCT(--ISNUMBER(SEARCH(healthcare,C350)))&gt;0)</f>
        <v>0</v>
      </c>
      <c r="M350" s="14" cm="1">
        <f t="array" ref="M350">INT(SUMPRODUCT(--ISNUMBER(SEARCH(supreme,C350)))&gt;0)</f>
        <v>0</v>
      </c>
      <c r="N350" s="14" cm="1">
        <f t="array" ref="N350">INT(SUMPRODUCT(--ISNUMBER(SEARCH(covid,C350)))&gt;0)</f>
        <v>0</v>
      </c>
      <c r="O350" s="14" cm="1">
        <f t="array" ref="O350">INT(SUMPRODUCT(--ISNUMBER(SEARCH(violent,C350)))&gt;0)</f>
        <v>0</v>
      </c>
      <c r="P350" s="14" cm="1">
        <f t="array" ref="P350">INT(SUMPRODUCT(--ISNUMBER(SEARCH(foreign,C350)))&gt;0)</f>
        <v>0</v>
      </c>
      <c r="Q350" s="14" cm="1">
        <f t="array" ref="Q350">INT(SUMPRODUCT(--ISNUMBER(SEARCH(gun,C350)))&gt;0)</f>
        <v>0</v>
      </c>
      <c r="R350" s="14" cm="1">
        <f t="array" ref="R350">INT(SUMPRODUCT(--ISNUMBER(SEARCH(race,C350)))&gt;0)</f>
        <v>0</v>
      </c>
      <c r="S350" s="14" cm="1">
        <f t="array" ref="S350">INT(SUMPRODUCT(--ISNUMBER(SEARCH(immigration,C350)))&gt;0)</f>
        <v>0</v>
      </c>
      <c r="T350" s="14" cm="1">
        <f t="array" ref="T350">INT(SUMPRODUCT(--ISNUMBER(SEARCH(econineq,C351)))&gt;0)</f>
        <v>0</v>
      </c>
      <c r="U350" s="14" cm="1">
        <f t="array" ref="U350">INT(SUMPRODUCT(--ISNUMBER(SEARCH(climate,C350)))&gt;0)</f>
        <v>0</v>
      </c>
      <c r="V350" s="14" cm="1">
        <f t="array" ref="V350">INT(SUMPRODUCT(--ISNUMBER(SEARCH(abortion,C350)))&gt;0)</f>
        <v>0</v>
      </c>
      <c r="W350" s="14" cm="1">
        <f t="array" ref="W350">INT(SUMPRODUCT(--ISNUMBER(SEARCH(trump,C350)))&gt;0)</f>
        <v>0</v>
      </c>
      <c r="X350" s="14" cm="1">
        <f t="array" ref="X350">INT(SUMPRODUCT(--ISNUMBER(SEARCH(voting,C350)))&gt;0)</f>
        <v>0</v>
      </c>
      <c r="Y350" s="14" cm="1">
        <f t="array" ref="Y350">INT(SUMPRODUCT(--ISNUMBER(SEARCH(democrattrigger,C350)))&gt;0)</f>
        <v>1</v>
      </c>
      <c r="Z350" s="14" cm="1">
        <f t="array" ref="Z350">INT(SUMPRODUCT(--ISNUMBER(SEARCH(bipartisan,C350)))&gt;0)</f>
        <v>0</v>
      </c>
      <c r="AA350" s="14">
        <f t="shared" si="5"/>
        <v>0</v>
      </c>
      <c r="AB350" s="14"/>
      <c r="AC350" s="30">
        <v>0</v>
      </c>
      <c r="AD350" s="37">
        <v>1</v>
      </c>
    </row>
    <row r="351" spans="1:30" x14ac:dyDescent="0.25">
      <c r="A351" s="36">
        <v>4192</v>
      </c>
      <c r="B351" s="14" t="s">
        <v>8407</v>
      </c>
      <c r="C351" s="14" t="s">
        <v>8408</v>
      </c>
      <c r="D351" s="17">
        <v>44109</v>
      </c>
      <c r="E351" s="14" t="s">
        <v>30</v>
      </c>
      <c r="F351" s="14">
        <v>2715</v>
      </c>
      <c r="G351" s="14">
        <v>176</v>
      </c>
      <c r="H351" s="14">
        <v>18</v>
      </c>
      <c r="I351" s="14">
        <v>9</v>
      </c>
      <c r="J351" s="14" t="s">
        <v>204</v>
      </c>
      <c r="K351" s="14" cm="1">
        <f t="array" ref="K351">INT(SUMPRODUCT(--ISNUMBER(SEARCH(economy,C351)))&gt;0)</f>
        <v>0</v>
      </c>
      <c r="L351" s="14" cm="1">
        <f t="array" ref="L351">INT(SUMPRODUCT(--ISNUMBER(SEARCH(healthcare,C351)))&gt;0)</f>
        <v>0</v>
      </c>
      <c r="M351" s="14" cm="1">
        <f t="array" ref="M351">INT(SUMPRODUCT(--ISNUMBER(SEARCH(supreme,C351)))&gt;0)</f>
        <v>0</v>
      </c>
      <c r="N351" s="14" cm="1">
        <f t="array" ref="N351">INT(SUMPRODUCT(--ISNUMBER(SEARCH(covid,C351)))&gt;0)</f>
        <v>0</v>
      </c>
      <c r="O351" s="14" cm="1">
        <f t="array" ref="O351">INT(SUMPRODUCT(--ISNUMBER(SEARCH(violent,C351)))&gt;0)</f>
        <v>0</v>
      </c>
      <c r="P351" s="14" cm="1">
        <f t="array" ref="P351">INT(SUMPRODUCT(--ISNUMBER(SEARCH(foreign,C351)))&gt;0)</f>
        <v>0</v>
      </c>
      <c r="Q351" s="14" cm="1">
        <f t="array" ref="Q351">INT(SUMPRODUCT(--ISNUMBER(SEARCH(gun,C351)))&gt;0)</f>
        <v>0</v>
      </c>
      <c r="R351" s="14" cm="1">
        <f t="array" ref="R351">INT(SUMPRODUCT(--ISNUMBER(SEARCH(race,C351)))&gt;0)</f>
        <v>0</v>
      </c>
      <c r="S351" s="14" cm="1">
        <f t="array" ref="S351">INT(SUMPRODUCT(--ISNUMBER(SEARCH(immigration,C351)))&gt;0)</f>
        <v>0</v>
      </c>
      <c r="T351" s="14" cm="1">
        <f t="array" ref="T351">INT(SUMPRODUCT(--ISNUMBER(SEARCH(econineq,C352)))&gt;0)</f>
        <v>0</v>
      </c>
      <c r="U351" s="14" cm="1">
        <f t="array" ref="U351">INT(SUMPRODUCT(--ISNUMBER(SEARCH(climate,C351)))&gt;0)</f>
        <v>0</v>
      </c>
      <c r="V351" s="14" cm="1">
        <f t="array" ref="V351">INT(SUMPRODUCT(--ISNUMBER(SEARCH(abortion,C351)))&gt;0)</f>
        <v>0</v>
      </c>
      <c r="W351" s="14" cm="1">
        <f t="array" ref="W351">INT(SUMPRODUCT(--ISNUMBER(SEARCH(trump,C351)))&gt;0)</f>
        <v>0</v>
      </c>
      <c r="X351" s="14" cm="1">
        <f t="array" ref="X351">INT(SUMPRODUCT(--ISNUMBER(SEARCH(voting,C351)))&gt;0)</f>
        <v>0</v>
      </c>
      <c r="Y351" s="14" cm="1">
        <f t="array" ref="Y351">INT(SUMPRODUCT(--ISNUMBER(SEARCH(democrattrigger,C351)))&gt;0)</f>
        <v>0</v>
      </c>
      <c r="Z351" s="14" cm="1">
        <f t="array" ref="Z351">INT(SUMPRODUCT(--ISNUMBER(SEARCH(bipartisan,C351)))&gt;0)</f>
        <v>0</v>
      </c>
      <c r="AA351" s="14">
        <f t="shared" si="5"/>
        <v>1</v>
      </c>
      <c r="AB351" s="14"/>
      <c r="AC351" s="30">
        <v>1</v>
      </c>
      <c r="AD351" s="37">
        <v>0</v>
      </c>
    </row>
    <row r="352" spans="1:30" x14ac:dyDescent="0.25">
      <c r="A352" s="36">
        <v>4193</v>
      </c>
      <c r="B352" s="14" t="s">
        <v>8409</v>
      </c>
      <c r="C352" s="14" t="s">
        <v>8410</v>
      </c>
      <c r="D352" s="17">
        <v>44107</v>
      </c>
      <c r="E352" s="14" t="s">
        <v>30</v>
      </c>
      <c r="F352" s="14">
        <v>6794</v>
      </c>
      <c r="G352" s="14">
        <v>1155</v>
      </c>
      <c r="H352" s="14">
        <v>18</v>
      </c>
      <c r="I352" s="14">
        <v>9</v>
      </c>
      <c r="J352" s="14" t="s">
        <v>204</v>
      </c>
      <c r="K352" s="14" cm="1">
        <f t="array" ref="K352">INT(SUMPRODUCT(--ISNUMBER(SEARCH(economy,C352)))&gt;0)</f>
        <v>0</v>
      </c>
      <c r="L352" s="14" cm="1">
        <f t="array" ref="L352">INT(SUMPRODUCT(--ISNUMBER(SEARCH(healthcare,C352)))&gt;0)</f>
        <v>0</v>
      </c>
      <c r="M352" s="14" cm="1">
        <f t="array" ref="M352">INT(SUMPRODUCT(--ISNUMBER(SEARCH(supreme,C352)))&gt;0)</f>
        <v>0</v>
      </c>
      <c r="N352" s="14" cm="1">
        <f t="array" ref="N352">INT(SUMPRODUCT(--ISNUMBER(SEARCH(covid,C352)))&gt;0)</f>
        <v>1</v>
      </c>
      <c r="O352" s="14" cm="1">
        <f t="array" ref="O352">INT(SUMPRODUCT(--ISNUMBER(SEARCH(violent,C352)))&gt;0)</f>
        <v>0</v>
      </c>
      <c r="P352" s="14" cm="1">
        <f t="array" ref="P352">INT(SUMPRODUCT(--ISNUMBER(SEARCH(foreign,C352)))&gt;0)</f>
        <v>0</v>
      </c>
      <c r="Q352" s="14" cm="1">
        <f t="array" ref="Q352">INT(SUMPRODUCT(--ISNUMBER(SEARCH(gun,C352)))&gt;0)</f>
        <v>0</v>
      </c>
      <c r="R352" s="14" cm="1">
        <f t="array" ref="R352">INT(SUMPRODUCT(--ISNUMBER(SEARCH(race,C352)))&gt;0)</f>
        <v>0</v>
      </c>
      <c r="S352" s="14" cm="1">
        <f t="array" ref="S352">INT(SUMPRODUCT(--ISNUMBER(SEARCH(immigration,C352)))&gt;0)</f>
        <v>0</v>
      </c>
      <c r="T352" s="14" cm="1">
        <f t="array" ref="T352">INT(SUMPRODUCT(--ISNUMBER(SEARCH(econineq,C353)))&gt;0)</f>
        <v>0</v>
      </c>
      <c r="U352" s="14" cm="1">
        <f t="array" ref="U352">INT(SUMPRODUCT(--ISNUMBER(SEARCH(climate,C352)))&gt;0)</f>
        <v>0</v>
      </c>
      <c r="V352" s="14" cm="1">
        <f t="array" ref="V352">INT(SUMPRODUCT(--ISNUMBER(SEARCH(abortion,C352)))&gt;0)</f>
        <v>0</v>
      </c>
      <c r="W352" s="14" cm="1">
        <f t="array" ref="W352">INT(SUMPRODUCT(--ISNUMBER(SEARCH(trump,C352)))&gt;0)</f>
        <v>0</v>
      </c>
      <c r="X352" s="14" cm="1">
        <f t="array" ref="X352">INT(SUMPRODUCT(--ISNUMBER(SEARCH(voting,C352)))&gt;0)</f>
        <v>0</v>
      </c>
      <c r="Y352" s="14" cm="1">
        <f t="array" ref="Y352">INT(SUMPRODUCT(--ISNUMBER(SEARCH(democrattrigger,C352)))&gt;0)</f>
        <v>0</v>
      </c>
      <c r="Z352" s="14" cm="1">
        <f t="array" ref="Z352">INT(SUMPRODUCT(--ISNUMBER(SEARCH(bipartisan,C352)))&gt;0)</f>
        <v>0</v>
      </c>
      <c r="AA352" s="14">
        <f t="shared" si="5"/>
        <v>0</v>
      </c>
      <c r="AB352" s="14"/>
      <c r="AC352" s="30">
        <v>1</v>
      </c>
      <c r="AD352" s="37">
        <v>0</v>
      </c>
    </row>
    <row r="353" spans="1:30" x14ac:dyDescent="0.25">
      <c r="A353" s="36">
        <v>4194</v>
      </c>
      <c r="B353" s="14" t="s">
        <v>8411</v>
      </c>
      <c r="C353" s="14" t="s">
        <v>8412</v>
      </c>
      <c r="D353" s="17">
        <v>44107</v>
      </c>
      <c r="E353" s="14" t="s">
        <v>70</v>
      </c>
      <c r="F353" s="14">
        <v>808</v>
      </c>
      <c r="G353" s="14">
        <v>240</v>
      </c>
      <c r="H353" s="14">
        <v>18</v>
      </c>
      <c r="I353" s="14">
        <v>9</v>
      </c>
      <c r="J353" s="14" t="s">
        <v>204</v>
      </c>
      <c r="K353" s="14" cm="1">
        <f t="array" ref="K353">INT(SUMPRODUCT(--ISNUMBER(SEARCH(economy,C353)))&gt;0)</f>
        <v>0</v>
      </c>
      <c r="L353" s="14" cm="1">
        <f t="array" ref="L353">INT(SUMPRODUCT(--ISNUMBER(SEARCH(healthcare,C353)))&gt;0)</f>
        <v>0</v>
      </c>
      <c r="M353" s="14" cm="1">
        <f t="array" ref="M353">INT(SUMPRODUCT(--ISNUMBER(SEARCH(supreme,C353)))&gt;0)</f>
        <v>0</v>
      </c>
      <c r="N353" s="14" cm="1">
        <f t="array" ref="N353">INT(SUMPRODUCT(--ISNUMBER(SEARCH(covid,C353)))&gt;0)</f>
        <v>1</v>
      </c>
      <c r="O353" s="14" cm="1">
        <f t="array" ref="O353">INT(SUMPRODUCT(--ISNUMBER(SEARCH(violent,C353)))&gt;0)</f>
        <v>0</v>
      </c>
      <c r="P353" s="14" cm="1">
        <f t="array" ref="P353">INT(SUMPRODUCT(--ISNUMBER(SEARCH(foreign,C353)))&gt;0)</f>
        <v>0</v>
      </c>
      <c r="Q353" s="14" cm="1">
        <f t="array" ref="Q353">INT(SUMPRODUCT(--ISNUMBER(SEARCH(gun,C353)))&gt;0)</f>
        <v>0</v>
      </c>
      <c r="R353" s="14" cm="1">
        <f t="array" ref="R353">INT(SUMPRODUCT(--ISNUMBER(SEARCH(race,C353)))&gt;0)</f>
        <v>0</v>
      </c>
      <c r="S353" s="14" cm="1">
        <f t="array" ref="S353">INT(SUMPRODUCT(--ISNUMBER(SEARCH(immigration,C353)))&gt;0)</f>
        <v>0</v>
      </c>
      <c r="T353" s="14" cm="1">
        <f t="array" ref="T353">INT(SUMPRODUCT(--ISNUMBER(SEARCH(econineq,C354)))&gt;0)</f>
        <v>0</v>
      </c>
      <c r="U353" s="14" cm="1">
        <f t="array" ref="U353">INT(SUMPRODUCT(--ISNUMBER(SEARCH(climate,C353)))&gt;0)</f>
        <v>0</v>
      </c>
      <c r="V353" s="14" cm="1">
        <f t="array" ref="V353">INT(SUMPRODUCT(--ISNUMBER(SEARCH(abortion,C353)))&gt;0)</f>
        <v>0</v>
      </c>
      <c r="W353" s="14" cm="1">
        <f t="array" ref="W353">INT(SUMPRODUCT(--ISNUMBER(SEARCH(trump,C353)))&gt;0)</f>
        <v>0</v>
      </c>
      <c r="X353" s="14" cm="1">
        <f t="array" ref="X353">INT(SUMPRODUCT(--ISNUMBER(SEARCH(voting,C353)))&gt;0)</f>
        <v>0</v>
      </c>
      <c r="Y353" s="14" cm="1">
        <f t="array" ref="Y353">INT(SUMPRODUCT(--ISNUMBER(SEARCH(democrattrigger,C353)))&gt;0)</f>
        <v>1</v>
      </c>
      <c r="Z353" s="14" cm="1">
        <f t="array" ref="Z353">INT(SUMPRODUCT(--ISNUMBER(SEARCH(bipartisan,C353)))&gt;0)</f>
        <v>0</v>
      </c>
      <c r="AA353" s="14">
        <f t="shared" si="5"/>
        <v>0</v>
      </c>
      <c r="AB353" s="14"/>
      <c r="AC353" s="30" t="s">
        <v>223</v>
      </c>
      <c r="AD353" s="37" t="s">
        <v>223</v>
      </c>
    </row>
    <row r="354" spans="1:30" x14ac:dyDescent="0.25">
      <c r="A354" s="36">
        <v>4195</v>
      </c>
      <c r="B354" s="14" t="s">
        <v>8413</v>
      </c>
      <c r="C354" s="14" t="s">
        <v>8414</v>
      </c>
      <c r="D354" s="17">
        <v>44107</v>
      </c>
      <c r="E354" s="14" t="s">
        <v>30</v>
      </c>
      <c r="F354" s="14">
        <v>2183</v>
      </c>
      <c r="G354" s="14">
        <v>912</v>
      </c>
      <c r="H354" s="14">
        <v>18</v>
      </c>
      <c r="I354" s="14">
        <v>9</v>
      </c>
      <c r="J354" s="14" t="s">
        <v>204</v>
      </c>
      <c r="K354" s="14" cm="1">
        <f t="array" ref="K354">INT(SUMPRODUCT(--ISNUMBER(SEARCH(economy,C354)))&gt;0)</f>
        <v>0</v>
      </c>
      <c r="L354" s="14" cm="1">
        <f t="array" ref="L354">INT(SUMPRODUCT(--ISNUMBER(SEARCH(healthcare,C354)))&gt;0)</f>
        <v>0</v>
      </c>
      <c r="M354" s="14" cm="1">
        <f t="array" ref="M354">INT(SUMPRODUCT(--ISNUMBER(SEARCH(supreme,C354)))&gt;0)</f>
        <v>0</v>
      </c>
      <c r="N354" s="14" cm="1">
        <f t="array" ref="N354">INT(SUMPRODUCT(--ISNUMBER(SEARCH(covid,C354)))&gt;0)</f>
        <v>1</v>
      </c>
      <c r="O354" s="14" cm="1">
        <f t="array" ref="O354">INT(SUMPRODUCT(--ISNUMBER(SEARCH(violent,C354)))&gt;0)</f>
        <v>0</v>
      </c>
      <c r="P354" s="14" cm="1">
        <f t="array" ref="P354">INT(SUMPRODUCT(--ISNUMBER(SEARCH(foreign,C354)))&gt;0)</f>
        <v>0</v>
      </c>
      <c r="Q354" s="14" cm="1">
        <f t="array" ref="Q354">INT(SUMPRODUCT(--ISNUMBER(SEARCH(gun,C354)))&gt;0)</f>
        <v>0</v>
      </c>
      <c r="R354" s="14" cm="1">
        <f t="array" ref="R354">INT(SUMPRODUCT(--ISNUMBER(SEARCH(race,C354)))&gt;0)</f>
        <v>0</v>
      </c>
      <c r="S354" s="14" cm="1">
        <f t="array" ref="S354">INT(SUMPRODUCT(--ISNUMBER(SEARCH(immigration,C354)))&gt;0)</f>
        <v>0</v>
      </c>
      <c r="T354" s="14" cm="1">
        <f t="array" ref="T354">INT(SUMPRODUCT(--ISNUMBER(SEARCH(econineq,C355)))&gt;0)</f>
        <v>0</v>
      </c>
      <c r="U354" s="14" cm="1">
        <f t="array" ref="U354">INT(SUMPRODUCT(--ISNUMBER(SEARCH(climate,C354)))&gt;0)</f>
        <v>0</v>
      </c>
      <c r="V354" s="14" cm="1">
        <f t="array" ref="V354">INT(SUMPRODUCT(--ISNUMBER(SEARCH(abortion,C354)))&gt;0)</f>
        <v>0</v>
      </c>
      <c r="W354" s="14" cm="1">
        <f t="array" ref="W354">INT(SUMPRODUCT(--ISNUMBER(SEARCH(trump,C354)))&gt;0)</f>
        <v>0</v>
      </c>
      <c r="X354" s="14" cm="1">
        <f t="array" ref="X354">INT(SUMPRODUCT(--ISNUMBER(SEARCH(voting,C354)))&gt;0)</f>
        <v>1</v>
      </c>
      <c r="Y354" s="14" cm="1">
        <f t="array" ref="Y354">INT(SUMPRODUCT(--ISNUMBER(SEARCH(democrattrigger,C354)))&gt;0)</f>
        <v>1</v>
      </c>
      <c r="Z354" s="14" cm="1">
        <f t="array" ref="Z354">INT(SUMPRODUCT(--ISNUMBER(SEARCH(bipartisan,C354)))&gt;0)</f>
        <v>0</v>
      </c>
      <c r="AA354" s="14">
        <f t="shared" si="5"/>
        <v>0</v>
      </c>
      <c r="AB354" s="14"/>
      <c r="AC354" s="30">
        <v>1</v>
      </c>
      <c r="AD354" s="37">
        <v>0</v>
      </c>
    </row>
    <row r="355" spans="1:30" x14ac:dyDescent="0.25">
      <c r="A355" s="38">
        <v>4196</v>
      </c>
      <c r="B355" s="39" t="s">
        <v>8415</v>
      </c>
      <c r="C355" s="39" t="s">
        <v>8416</v>
      </c>
      <c r="D355" s="41">
        <v>44107</v>
      </c>
      <c r="E355" s="39" t="s">
        <v>30</v>
      </c>
      <c r="F355" s="39">
        <v>1139</v>
      </c>
      <c r="G355" s="39">
        <v>527</v>
      </c>
      <c r="H355" s="39">
        <v>18</v>
      </c>
      <c r="I355" s="39">
        <v>9</v>
      </c>
      <c r="J355" s="39" t="s">
        <v>204</v>
      </c>
      <c r="K355" s="39" cm="1">
        <f t="array" ref="K355">INT(SUMPRODUCT(--ISNUMBER(SEARCH(economy,C355)))&gt;0)</f>
        <v>0</v>
      </c>
      <c r="L355" s="39" cm="1">
        <f t="array" ref="L355">INT(SUMPRODUCT(--ISNUMBER(SEARCH(healthcare,C355)))&gt;0)</f>
        <v>0</v>
      </c>
      <c r="M355" s="39" cm="1">
        <f t="array" ref="M355">INT(SUMPRODUCT(--ISNUMBER(SEARCH(supreme,C355)))&gt;0)</f>
        <v>0</v>
      </c>
      <c r="N355" s="39" cm="1">
        <f t="array" ref="N355">INT(SUMPRODUCT(--ISNUMBER(SEARCH(covid,C355)))&gt;0)</f>
        <v>0</v>
      </c>
      <c r="O355" s="39" cm="1">
        <f t="array" ref="O355">INT(SUMPRODUCT(--ISNUMBER(SEARCH(violent,C355)))&gt;0)</f>
        <v>0</v>
      </c>
      <c r="P355" s="39" cm="1">
        <f t="array" ref="P355">INT(SUMPRODUCT(--ISNUMBER(SEARCH(foreign,C355)))&gt;0)</f>
        <v>0</v>
      </c>
      <c r="Q355" s="39" cm="1">
        <f t="array" ref="Q355">INT(SUMPRODUCT(--ISNUMBER(SEARCH(gun,C355)))&gt;0)</f>
        <v>0</v>
      </c>
      <c r="R355" s="39" cm="1">
        <f t="array" ref="R355">INT(SUMPRODUCT(--ISNUMBER(SEARCH(race,C355)))&gt;0)</f>
        <v>0</v>
      </c>
      <c r="S355" s="39" cm="1">
        <f t="array" ref="S355">INT(SUMPRODUCT(--ISNUMBER(SEARCH(immigration,C355)))&gt;0)</f>
        <v>0</v>
      </c>
      <c r="T355" s="39" cm="1">
        <f t="array" ref="T355">INT(SUMPRODUCT(--ISNUMBER(SEARCH(econineq,C356)))&gt;0)</f>
        <v>0</v>
      </c>
      <c r="U355" s="39" cm="1">
        <f t="array" ref="U355">INT(SUMPRODUCT(--ISNUMBER(SEARCH(climate,C355)))&gt;0)</f>
        <v>0</v>
      </c>
      <c r="V355" s="39" cm="1">
        <f t="array" ref="V355">INT(SUMPRODUCT(--ISNUMBER(SEARCH(abortion,C355)))&gt;0)</f>
        <v>0</v>
      </c>
      <c r="W355" s="39" cm="1">
        <f t="array" ref="W355">INT(SUMPRODUCT(--ISNUMBER(SEARCH(trump,C355)))&gt;0)</f>
        <v>0</v>
      </c>
      <c r="X355" s="39" cm="1">
        <f t="array" ref="X355">INT(SUMPRODUCT(--ISNUMBER(SEARCH(voting,C355)))&gt;0)</f>
        <v>1</v>
      </c>
      <c r="Y355" s="39" cm="1">
        <f t="array" ref="Y355">INT(SUMPRODUCT(--ISNUMBER(SEARCH(democrattrigger,C355)))&gt;0)</f>
        <v>0</v>
      </c>
      <c r="Z355" s="39" cm="1">
        <f t="array" ref="Z355">INT(SUMPRODUCT(--ISNUMBER(SEARCH(bipartisan,C355)))&gt;0)</f>
        <v>0</v>
      </c>
      <c r="AA355" s="39">
        <f t="shared" si="5"/>
        <v>0</v>
      </c>
      <c r="AB355" s="39"/>
      <c r="AC355" s="44" t="s">
        <v>223</v>
      </c>
      <c r="AD355" s="45" t="s">
        <v>223</v>
      </c>
    </row>
    <row r="356" spans="1:30" x14ac:dyDescent="0.25">
      <c r="K356" s="21">
        <f t="shared" ref="K356:AD356" si="6">SUM(K2:K355)</f>
        <v>18</v>
      </c>
      <c r="L356" s="21">
        <f t="shared" si="6"/>
        <v>29</v>
      </c>
      <c r="M356" s="21">
        <f t="shared" si="6"/>
        <v>8</v>
      </c>
      <c r="N356" s="21">
        <f t="shared" si="6"/>
        <v>39</v>
      </c>
      <c r="O356" s="21">
        <f t="shared" si="6"/>
        <v>2</v>
      </c>
      <c r="P356" s="21">
        <f t="shared" si="6"/>
        <v>4</v>
      </c>
      <c r="Q356" s="21">
        <f t="shared" si="6"/>
        <v>4</v>
      </c>
      <c r="R356" s="21">
        <f t="shared" si="6"/>
        <v>16</v>
      </c>
      <c r="S356" s="21">
        <f t="shared" si="6"/>
        <v>8</v>
      </c>
      <c r="T356" s="21">
        <f t="shared" si="6"/>
        <v>3</v>
      </c>
      <c r="U356" s="21">
        <f t="shared" si="6"/>
        <v>9</v>
      </c>
      <c r="V356" s="21">
        <f t="shared" si="6"/>
        <v>2</v>
      </c>
      <c r="W356" s="21">
        <f t="shared" si="6"/>
        <v>13</v>
      </c>
      <c r="X356" s="21">
        <f t="shared" si="6"/>
        <v>157</v>
      </c>
      <c r="Y356" s="21">
        <f t="shared" si="6"/>
        <v>117</v>
      </c>
      <c r="Z356" s="21">
        <f t="shared" si="6"/>
        <v>3</v>
      </c>
      <c r="AA356" s="21">
        <f t="shared" si="6"/>
        <v>74</v>
      </c>
      <c r="AB356" s="21">
        <f t="shared" si="6"/>
        <v>0</v>
      </c>
      <c r="AC356" s="21">
        <f t="shared" si="6"/>
        <v>74</v>
      </c>
      <c r="AD356" s="21">
        <f t="shared" si="6"/>
        <v>51</v>
      </c>
    </row>
  </sheetData>
  <conditionalFormatting sqref="J2:J355">
    <cfRule type="cellIs" dxfId="6" priority="1" operator="equal">
      <formula>"D"</formula>
    </cfRule>
  </conditionalFormatting>
  <hyperlinks>
    <hyperlink ref="B2" r:id="rId1" xr:uid="{F333C417-34C6-4EB6-8DBD-60E52B8E96AE}"/>
    <hyperlink ref="B3" r:id="rId2" xr:uid="{976AD570-5B2C-4194-A174-D69700BA2EC3}"/>
    <hyperlink ref="B4" r:id="rId3" xr:uid="{83E02F64-8CD0-44F7-A221-B906DFDBE50E}"/>
    <hyperlink ref="B5" r:id="rId4" xr:uid="{04D293BD-C7DF-4118-B7D3-7DBB5703AF88}"/>
    <hyperlink ref="B6" r:id="rId5" xr:uid="{8C07E1E9-FEF1-48F0-98E8-526E07745E89}"/>
    <hyperlink ref="B7" r:id="rId6" xr:uid="{892A6B23-5200-4F28-8F72-1DCF77A2FA9B}"/>
    <hyperlink ref="B8" r:id="rId7" xr:uid="{196B3371-E729-4502-850F-719F8C21E6C6}"/>
    <hyperlink ref="B9" r:id="rId8" xr:uid="{60A59133-EEE8-4DF7-9BAA-215188B1BDBF}"/>
    <hyperlink ref="B10" r:id="rId9" xr:uid="{2A320C85-19D6-422C-A25A-B4C2E715E8F5}"/>
    <hyperlink ref="B11" r:id="rId10" xr:uid="{82EFCD3A-411F-44C3-89E8-0800DC66EE2D}"/>
    <hyperlink ref="B12" r:id="rId11" xr:uid="{74E21289-10AA-4CB7-988A-A4B2EA9C2203}"/>
    <hyperlink ref="B13" r:id="rId12" xr:uid="{8B0506FB-9E88-4539-804E-2F75057506C3}"/>
    <hyperlink ref="B14" r:id="rId13" xr:uid="{A93EF0F5-25C6-4882-948D-F8788D25F4A2}"/>
    <hyperlink ref="B15" r:id="rId14" xr:uid="{59156B9D-F419-4DE5-953D-4AD2A8624041}"/>
    <hyperlink ref="B16" r:id="rId15" xr:uid="{88464D35-9F0E-41B8-A090-C8032CCCDF6C}"/>
    <hyperlink ref="B17" r:id="rId16" xr:uid="{9D76B338-B6D1-4236-ABF5-BD54FE5C41F6}"/>
    <hyperlink ref="B18" r:id="rId17" xr:uid="{337EC180-2218-4FB1-BD97-D1E336B6FAD1}"/>
    <hyperlink ref="B19" r:id="rId18" xr:uid="{F79B7477-7611-472B-BE47-A9218B53BE28}"/>
    <hyperlink ref="B20" r:id="rId19" xr:uid="{7269CCA5-20A9-4920-8850-878B13C1744D}"/>
    <hyperlink ref="B21" r:id="rId20" xr:uid="{4A547B20-5ADA-4FDD-882B-B4C973770D27}"/>
    <hyperlink ref="B22" r:id="rId21" xr:uid="{50E149E7-B26C-4B00-933E-0C967B0A22E6}"/>
    <hyperlink ref="B23" r:id="rId22" xr:uid="{BF75DB3F-9A1C-4166-A16E-2B2785FCE106}"/>
    <hyperlink ref="B24" r:id="rId23" xr:uid="{3C24F5B9-7B3B-43FB-83A2-291CBCDE0E97}"/>
    <hyperlink ref="B25" r:id="rId24" xr:uid="{E68317AE-B433-4D94-9EAF-C6D01E2D9A53}"/>
    <hyperlink ref="B26" r:id="rId25" xr:uid="{7FF3EB65-5F3F-447D-8E44-D6C173BA17E1}"/>
    <hyperlink ref="B27" r:id="rId26" xr:uid="{41017729-7773-4154-BBE8-DEAD99D3EFC1}"/>
    <hyperlink ref="B28" r:id="rId27" xr:uid="{12302D81-4433-4658-B410-806B5C102CEE}"/>
    <hyperlink ref="B29" r:id="rId28" xr:uid="{D75AAB92-8ACC-4448-A978-71F34027D679}"/>
    <hyperlink ref="B30" r:id="rId29" xr:uid="{014C7E1E-5C6F-4A5F-9C28-AD5449D7DFDE}"/>
    <hyperlink ref="B31" r:id="rId30" xr:uid="{5685B97E-63D5-40C5-A779-02155DDFCAE9}"/>
    <hyperlink ref="B32" r:id="rId31" xr:uid="{7A92E08C-6D15-44F1-90DC-D5CF9557CCFE}"/>
    <hyperlink ref="B33" r:id="rId32" xr:uid="{38085E26-8CE6-4EC4-92A3-2B1C3C8E51C4}"/>
    <hyperlink ref="B34" r:id="rId33" xr:uid="{1A04DC27-5B64-4C16-BB98-7C7C3C66C73C}"/>
    <hyperlink ref="B35" r:id="rId34" xr:uid="{88FAC447-CB5D-4F9F-9DF4-0819260B34B4}"/>
    <hyperlink ref="B36" r:id="rId35" xr:uid="{4B8CB91F-AAE3-4C89-9D03-00CF51885F76}"/>
    <hyperlink ref="B37" r:id="rId36" xr:uid="{B82365AC-0268-4B0D-882A-7E3C9C95DF5B}"/>
    <hyperlink ref="B38" r:id="rId37" xr:uid="{07B8B2C0-9F98-4CB5-8859-3B52AD9CB9FD}"/>
    <hyperlink ref="B39" r:id="rId38" xr:uid="{0A64EE57-AC34-432F-8220-F722FF152232}"/>
    <hyperlink ref="B40" r:id="rId39" xr:uid="{6E58735F-817C-42EB-9376-FCAB298791D6}"/>
    <hyperlink ref="B41" r:id="rId40" xr:uid="{FF291EEA-345B-43C4-BC74-C87D0C98F8B4}"/>
    <hyperlink ref="B42" r:id="rId41" xr:uid="{A3402851-7E7F-4BF9-ABEB-D9E7D838C70B}"/>
    <hyperlink ref="B43" r:id="rId42" xr:uid="{08203073-F641-43EC-BEC5-1A084AE78C82}"/>
    <hyperlink ref="B44" r:id="rId43" xr:uid="{0D0788F6-E43D-4284-96A3-99CDACF0D77A}"/>
    <hyperlink ref="B45" r:id="rId44" xr:uid="{9B815129-66F8-42FC-AC40-03571320E216}"/>
    <hyperlink ref="B46" r:id="rId45" xr:uid="{76D84D47-6D94-4F7F-80F0-8E0576B559C5}"/>
    <hyperlink ref="B47" r:id="rId46" xr:uid="{D163E7F6-5360-4663-ACE5-637A4F727B6A}"/>
    <hyperlink ref="B48" r:id="rId47" xr:uid="{BB0E01E5-84E3-460F-9323-6AD3DF48D70C}"/>
    <hyperlink ref="B49" r:id="rId48" xr:uid="{0D3BDF76-9A33-4271-BB71-A077996B168A}"/>
    <hyperlink ref="B50" r:id="rId49" xr:uid="{515C54CD-8982-404C-96B1-51B769CAE575}"/>
    <hyperlink ref="B51" r:id="rId50" xr:uid="{C9CBBF7C-0C5F-4E1B-9147-A7B2FE6DFA8C}"/>
    <hyperlink ref="B52" r:id="rId51" xr:uid="{E23C4BB6-1CEB-4518-BB3E-ACCCD0C4B0B8}"/>
    <hyperlink ref="B53" r:id="rId52" xr:uid="{398014CD-AAA5-4BA6-8D94-E144AAF95677}"/>
    <hyperlink ref="B54" r:id="rId53" xr:uid="{F2E1D7E5-F1AA-481C-8D60-81EC35A11D69}"/>
    <hyperlink ref="B55" r:id="rId54" xr:uid="{BAA4F2AA-1B28-404F-80C2-05AAEB317CCA}"/>
    <hyperlink ref="B56" r:id="rId55" xr:uid="{BFBCDD17-FEF9-4F12-A597-56B4A2488D03}"/>
    <hyperlink ref="B57" r:id="rId56" xr:uid="{5537C6F9-CCA5-4519-9017-AC44A8035C3D}"/>
    <hyperlink ref="B58" r:id="rId57" xr:uid="{5C6B5836-05E4-476D-B968-4424F2328B5D}"/>
    <hyperlink ref="B59" r:id="rId58" xr:uid="{4D1D7252-3A5F-4A7A-94A2-1FAF4056790B}"/>
    <hyperlink ref="B60" r:id="rId59" xr:uid="{E7E1BB94-7B16-4206-A2AB-0B4A26F45D9B}"/>
    <hyperlink ref="B61" r:id="rId60" xr:uid="{CDF2E30F-946B-4238-8892-E98B8414C21D}"/>
    <hyperlink ref="B62" r:id="rId61" xr:uid="{886C9D9D-D01C-4AA1-A035-BCAF298D1AF3}"/>
    <hyperlink ref="B63" r:id="rId62" xr:uid="{909E4DE6-09D1-4F48-9E52-97B8A3685EBE}"/>
    <hyperlink ref="B64" r:id="rId63" xr:uid="{2EDD12F2-C7FA-4706-B87C-12348841A035}"/>
    <hyperlink ref="B65" r:id="rId64" xr:uid="{B2C879D7-9D0B-4E8A-BD48-B13C3BA2B647}"/>
    <hyperlink ref="B66" r:id="rId65" xr:uid="{81D0DD5C-F265-4BBC-9395-8912BB0C5802}"/>
    <hyperlink ref="B67" r:id="rId66" xr:uid="{155BCA9E-EB5E-43CB-8F54-59D21276A649}"/>
    <hyperlink ref="B68" r:id="rId67" xr:uid="{36EDC01D-2C46-4407-BB9E-153FAF3C8EEC}"/>
    <hyperlink ref="B69" r:id="rId68" xr:uid="{9DBF432F-6309-4524-976C-7F8A43328F6D}"/>
    <hyperlink ref="B70" r:id="rId69" xr:uid="{75229850-2B88-48B6-9EB7-8DD93B612F10}"/>
    <hyperlink ref="B71" r:id="rId70" xr:uid="{11D24AD8-4704-4F70-9A67-31A5A1870A7F}"/>
    <hyperlink ref="B72" r:id="rId71" xr:uid="{BA7592B4-5947-4103-B7EB-1635C065F565}"/>
    <hyperlink ref="B73" r:id="rId72" xr:uid="{E1EA4297-AA11-4514-B7D1-1AE26D0201CE}"/>
    <hyperlink ref="B74" r:id="rId73" xr:uid="{A216B4C4-8981-4EC4-9B28-20F3B8EB6586}"/>
    <hyperlink ref="B75" r:id="rId74" xr:uid="{58192D6F-976F-4ECE-82CC-935683BE437B}"/>
    <hyperlink ref="B76" r:id="rId75" xr:uid="{C9836428-3725-44AE-B7F6-A2016046BA1F}"/>
    <hyperlink ref="B77" r:id="rId76" xr:uid="{3379B48B-DB7E-42B8-B610-24428CF97A13}"/>
    <hyperlink ref="B78" r:id="rId77" xr:uid="{3ACCD043-FD98-416A-9DE9-8659FBAD0D49}"/>
    <hyperlink ref="B79" r:id="rId78" xr:uid="{3CC2963F-07FE-4F20-9E72-4E309FC42A86}"/>
    <hyperlink ref="B80" r:id="rId79" xr:uid="{75A80BE9-A61E-4F17-AF9B-2FB93AFEB340}"/>
    <hyperlink ref="B81" r:id="rId80" xr:uid="{26947542-3C98-4E5D-9A19-ABB352624547}"/>
    <hyperlink ref="B82" r:id="rId81" xr:uid="{3E5953A7-BBA2-4A9C-9CF7-FF8DFFAE38EF}"/>
    <hyperlink ref="B83" r:id="rId82" xr:uid="{155D9D58-FFA4-4B03-9D9E-6859CFDB3E28}"/>
    <hyperlink ref="B84" r:id="rId83" xr:uid="{3B182AB4-073C-46F2-96CF-946696AC0AC5}"/>
    <hyperlink ref="B85" r:id="rId84" xr:uid="{5AAD5D29-FB3E-4CA7-8CE3-B7629FA43AAB}"/>
    <hyperlink ref="B86" r:id="rId85" xr:uid="{093C62E2-29AA-4E94-A0F9-D44198C7D160}"/>
    <hyperlink ref="B87" r:id="rId86" xr:uid="{BDA3618C-D821-4BFA-BB81-8C3B7B2971D4}"/>
    <hyperlink ref="B88" r:id="rId87" xr:uid="{A3E17114-D757-4AE5-8ACD-68FA9CB42663}"/>
    <hyperlink ref="B89" r:id="rId88" xr:uid="{5CB8F313-AA42-46C6-BBB2-007C3E056784}"/>
    <hyperlink ref="B90" r:id="rId89" xr:uid="{3845DC19-45FC-4337-886A-BB5C20A43A50}"/>
    <hyperlink ref="B91" r:id="rId90" xr:uid="{BCF147E7-3550-4C9A-A2F2-6170C9E488AD}"/>
    <hyperlink ref="B92" r:id="rId91" xr:uid="{FD1B306B-0A19-4798-83B5-ED60E1CA14E5}"/>
    <hyperlink ref="B93" r:id="rId92" xr:uid="{F5795E79-76F8-4069-B5B0-9CF76AF6675A}"/>
    <hyperlink ref="B94" r:id="rId93" xr:uid="{23D30A5A-EAD3-46B3-A67D-FE88E786AC6A}"/>
    <hyperlink ref="B95" r:id="rId94" xr:uid="{AD6BCFE6-E44D-41E3-9220-D3C71EF2B688}"/>
    <hyperlink ref="B96" r:id="rId95" xr:uid="{72047459-5AF5-44D5-B53D-1773CCB484FD}"/>
    <hyperlink ref="B97" r:id="rId96" xr:uid="{E173BBCF-B3E0-4267-930C-D8C134CDB35B}"/>
    <hyperlink ref="B98" r:id="rId97" xr:uid="{FD1BD8F3-4FEF-4DFA-9966-A0878FB42F5A}"/>
    <hyperlink ref="B99" r:id="rId98" xr:uid="{F91817E3-BB90-442C-AAD4-2223B3D52F0A}"/>
    <hyperlink ref="B100" r:id="rId99" xr:uid="{CA544EC8-B445-495C-B7AF-795348E8759E}"/>
    <hyperlink ref="B101" r:id="rId100" xr:uid="{61E2FECF-C4E1-421B-AD98-25D17E5CF0C3}"/>
    <hyperlink ref="B102" r:id="rId101" xr:uid="{7B8017D8-1FBF-42CD-B163-9D6AA34C8447}"/>
    <hyperlink ref="B103" r:id="rId102" xr:uid="{AE6EF982-A07C-4A09-8B91-1D86CCFA7209}"/>
    <hyperlink ref="B104" r:id="rId103" xr:uid="{3E798282-B839-4A63-9F9E-293F3D953201}"/>
    <hyperlink ref="B105" r:id="rId104" xr:uid="{90C583DE-B101-4759-AF19-6507EBFA57CE}"/>
    <hyperlink ref="B106" r:id="rId105" xr:uid="{2876773E-BDB7-49AB-B01C-32B73E1BC8D4}"/>
    <hyperlink ref="B107" r:id="rId106" xr:uid="{EDD46742-82C5-4B89-AA58-943C363F86F0}"/>
    <hyperlink ref="B108" r:id="rId107" xr:uid="{135346A8-1E16-4EF3-815E-F11E4F89C7E0}"/>
    <hyperlink ref="B109" r:id="rId108" xr:uid="{DBA169C6-B796-4CF4-949B-58E7695754E1}"/>
    <hyperlink ref="B110" r:id="rId109" xr:uid="{C2D7442E-1FCD-4C2E-B247-E19F54426E39}"/>
    <hyperlink ref="B111" r:id="rId110" xr:uid="{2F18035A-2A5C-4CF7-BC85-6B6FF1F733F6}"/>
    <hyperlink ref="B112" r:id="rId111" xr:uid="{C1B7E05B-BF59-47E9-A553-407042EE6A95}"/>
    <hyperlink ref="B113" r:id="rId112" xr:uid="{F5BC3C59-2409-4FEE-83DE-D4E1BFA1DAAE}"/>
    <hyperlink ref="B114" r:id="rId113" xr:uid="{B9106BF0-A55F-4F18-B143-DF2CEBA71DC9}"/>
    <hyperlink ref="B115" r:id="rId114" xr:uid="{DDD2BDA1-B6F5-47C1-9510-8D1BAD58FD94}"/>
    <hyperlink ref="B116" r:id="rId115" xr:uid="{2B51664A-62DF-41C6-970A-43A28ABCF32C}"/>
    <hyperlink ref="B117" r:id="rId116" xr:uid="{0BE0D5E0-94E2-4793-9810-312F169DFCB0}"/>
    <hyperlink ref="B118" r:id="rId117" xr:uid="{BB2CE4FA-3861-483F-8E4D-BEAF16828D50}"/>
    <hyperlink ref="B119" r:id="rId118" xr:uid="{5427D009-85A2-4ADA-BEE6-002E25AEDA43}"/>
    <hyperlink ref="B120" r:id="rId119" xr:uid="{9E5658A2-F2D2-4360-A89F-210CE5017C5B}"/>
    <hyperlink ref="B121" r:id="rId120" xr:uid="{BB342BAA-4305-497A-AE38-923B52986747}"/>
    <hyperlink ref="B122" r:id="rId121" xr:uid="{AD31542B-D36A-48EE-A8A8-EE2BDF2A260F}"/>
    <hyperlink ref="B123" r:id="rId122" xr:uid="{1B26A303-712D-49F2-8D35-1D5FE73A8543}"/>
    <hyperlink ref="B124" r:id="rId123" xr:uid="{DF3948B3-B207-4889-B804-ABDDC3635878}"/>
    <hyperlink ref="B125" r:id="rId124" xr:uid="{3BC48E8E-9882-439A-85B7-A5F694822D37}"/>
    <hyperlink ref="B126" r:id="rId125" xr:uid="{1E7D92DC-D4C1-4D07-906B-E08F40D90503}"/>
    <hyperlink ref="B127" r:id="rId126" xr:uid="{6FBCA81B-7F02-4078-92A1-7F29F22A045C}"/>
    <hyperlink ref="B128" r:id="rId127" xr:uid="{AEFF786F-E46E-49E2-9BAD-BD96B51A2A41}"/>
    <hyperlink ref="B129" r:id="rId128" xr:uid="{CADADF36-F254-46C2-B55E-65E4E3D3808D}"/>
    <hyperlink ref="B130" r:id="rId129" xr:uid="{A8808674-98F7-4227-8C8A-DAA857E408B2}"/>
    <hyperlink ref="B131" r:id="rId130" xr:uid="{D6EDAF2B-BB0A-4CF4-8033-4B0F4F4B865A}"/>
    <hyperlink ref="B132" r:id="rId131" xr:uid="{EA85B7BB-49D2-4323-9800-4FADBE9B78B0}"/>
    <hyperlink ref="B133" r:id="rId132" xr:uid="{80A7E3D4-2B75-42F9-B5FF-2A360AB18362}"/>
    <hyperlink ref="B134" r:id="rId133" xr:uid="{227F696C-AFA0-49ED-895C-BC537E3DC37F}"/>
    <hyperlink ref="B135" r:id="rId134" xr:uid="{60563077-2112-41D4-8215-58FC707B1DB0}"/>
    <hyperlink ref="B136" r:id="rId135" xr:uid="{AA9F1743-D688-4F8F-9904-41925447E0DD}"/>
    <hyperlink ref="B137" r:id="rId136" xr:uid="{E78301D4-2DF5-439C-ACC2-B51F1C1EBB93}"/>
    <hyperlink ref="B138" r:id="rId137" xr:uid="{8C751DA0-D01A-4CB8-AED0-3482ADC2BE41}"/>
    <hyperlink ref="B139" r:id="rId138" xr:uid="{D0307DCF-4A27-47FC-A9F1-1DD39CF32694}"/>
    <hyperlink ref="B140" r:id="rId139" xr:uid="{4440FAC8-6EEB-45A1-82B2-6AECB06D2827}"/>
    <hyperlink ref="B141" r:id="rId140" xr:uid="{217B764D-979C-42F6-B669-11BA7777576B}"/>
    <hyperlink ref="B142" r:id="rId141" xr:uid="{BB99466A-4637-43BD-9BF7-3008CA9F0F59}"/>
    <hyperlink ref="B143" r:id="rId142" xr:uid="{C2D803E5-D6E8-4232-98F3-BC5C9CAFD2D1}"/>
    <hyperlink ref="B144" r:id="rId143" xr:uid="{F4B57BDB-CEAA-496D-9C60-EA893FFFB88D}"/>
    <hyperlink ref="B145" r:id="rId144" xr:uid="{D13ADDE1-D548-49F1-97D8-E62A1C68C92A}"/>
    <hyperlink ref="B146" r:id="rId145" xr:uid="{EC90AE85-3918-4063-BC4C-FC055E812DFE}"/>
    <hyperlink ref="B147" r:id="rId146" xr:uid="{EC871372-94C2-4C17-8BF6-F23BFB8516BE}"/>
    <hyperlink ref="B148" r:id="rId147" xr:uid="{3B6D7170-F074-47E6-B24D-D96CDB4B7DEC}"/>
    <hyperlink ref="B149" r:id="rId148" xr:uid="{0D2F7EE7-FCCD-4D93-A765-36F1178FE5C4}"/>
    <hyperlink ref="B150" r:id="rId149" xr:uid="{121C4FD3-72A5-4355-917D-31ED1F09B9AE}"/>
    <hyperlink ref="B151" r:id="rId150" xr:uid="{E9A33DDA-5435-4AD7-A726-9BA4A23469DF}"/>
    <hyperlink ref="B152" r:id="rId151" xr:uid="{59A339EC-78C8-42FA-85C4-419977BD6653}"/>
    <hyperlink ref="B153" r:id="rId152" xr:uid="{9279E96D-516C-4F28-B219-0FE98C63F9AE}"/>
    <hyperlink ref="B154" r:id="rId153" xr:uid="{EF8D63F9-F6BA-4EE9-984C-2608322A6F7B}"/>
    <hyperlink ref="B155" r:id="rId154" xr:uid="{B0353347-585C-4A4A-B473-7DCB536F0F28}"/>
    <hyperlink ref="B156" r:id="rId155" xr:uid="{F6514B2F-C2B0-45DB-B10D-039F52029465}"/>
    <hyperlink ref="B157" r:id="rId156" xr:uid="{5555969C-8266-4DBA-AD4E-F4456680EB34}"/>
    <hyperlink ref="B158" r:id="rId157" xr:uid="{16277983-A145-482A-9E82-03745DC965F4}"/>
    <hyperlink ref="B159" r:id="rId158" xr:uid="{3054BC12-AA69-409F-B995-53FE6FE7CD97}"/>
    <hyperlink ref="B160" r:id="rId159" xr:uid="{6A119469-61CD-4802-9759-14D29DCF8460}"/>
    <hyperlink ref="B161" r:id="rId160" xr:uid="{5E64DE70-1546-4786-88CC-1088F8CD2AD1}"/>
    <hyperlink ref="B162" r:id="rId161" xr:uid="{D2D67D0A-03C6-40BA-99F3-554E87CDB5A8}"/>
    <hyperlink ref="B163" r:id="rId162" xr:uid="{9120472D-A5E6-48D2-9220-121BC5D4EF2B}"/>
    <hyperlink ref="B164" r:id="rId163" xr:uid="{D8013425-6082-4548-B30E-41464A457D39}"/>
    <hyperlink ref="B165" r:id="rId164" xr:uid="{440DDFF1-A58A-49E8-B722-8BF06048BCA3}"/>
    <hyperlink ref="B166" r:id="rId165" xr:uid="{F66DC2F7-0B94-4CDC-9F31-4FE5030752B5}"/>
    <hyperlink ref="B167" r:id="rId166" xr:uid="{137A2945-53DB-42EC-BC48-097E0689598F}"/>
    <hyperlink ref="B168" r:id="rId167" xr:uid="{281226C3-D7F4-45E0-98EF-02D21D11864F}"/>
    <hyperlink ref="B169" r:id="rId168" xr:uid="{A86DF4C7-1A40-4873-A93A-109326F5DE17}"/>
    <hyperlink ref="B170" r:id="rId169" xr:uid="{C1D5EF0D-2DAB-4F04-BDEE-79AA0FAABB33}"/>
    <hyperlink ref="B171" r:id="rId170" xr:uid="{26FD76A4-6A64-4A5C-B23D-A1707483D918}"/>
    <hyperlink ref="B172" r:id="rId171" xr:uid="{409AAA9B-10CF-45E0-9193-2F575E8CB115}"/>
    <hyperlink ref="B173" r:id="rId172" xr:uid="{30EF5EB4-24F5-4EFF-8B25-F6EB2D486FAC}"/>
    <hyperlink ref="B174" r:id="rId173" xr:uid="{187228EC-5033-4F33-945C-BD3742D5DFF0}"/>
    <hyperlink ref="B175" r:id="rId174" xr:uid="{2C15D679-93D2-492B-BB38-FBC2E71D86ED}"/>
    <hyperlink ref="B176" r:id="rId175" xr:uid="{B7698593-7BCD-4530-8AF8-9ABC37131590}"/>
    <hyperlink ref="B177" r:id="rId176" xr:uid="{72B1B08B-AAD7-43D2-8598-409F882FD759}"/>
    <hyperlink ref="B178" r:id="rId177" xr:uid="{5642EB14-A9FE-4110-A7B7-D327BF45D30D}"/>
    <hyperlink ref="B179" r:id="rId178" xr:uid="{D4985B9E-2291-4397-9D56-A834074F7CA0}"/>
    <hyperlink ref="B180" r:id="rId179" xr:uid="{FA471E5F-3EC5-4551-A482-9CC3371FBD81}"/>
    <hyperlink ref="B181" r:id="rId180" xr:uid="{E3F7EE58-485D-4AA9-9579-6DEB2F500EB3}"/>
    <hyperlink ref="B182" r:id="rId181" xr:uid="{A437BC44-5E04-4EEC-8B4A-554D69BDDE5F}"/>
    <hyperlink ref="B183" r:id="rId182" xr:uid="{780E79A3-D846-4361-99EE-8FF256AD5359}"/>
    <hyperlink ref="B184" r:id="rId183" xr:uid="{919562EC-4591-478D-A2DC-B1D17F313751}"/>
    <hyperlink ref="B185" r:id="rId184" xr:uid="{C9526370-ADAD-470C-BB83-4856B1B7F0DE}"/>
    <hyperlink ref="B186" r:id="rId185" xr:uid="{6276DC33-7ADE-4BE9-9720-B7F7A7229E7E}"/>
    <hyperlink ref="B187" r:id="rId186" xr:uid="{31367690-ED05-4852-AD5B-C986B5B07BF8}"/>
    <hyperlink ref="B188" r:id="rId187" xr:uid="{76FC3210-95FF-4D29-8CDC-E95AF50FC6E0}"/>
    <hyperlink ref="B189" r:id="rId188" xr:uid="{3B2F5675-2B24-495C-A94E-FDAD77FBC5D1}"/>
    <hyperlink ref="B190" r:id="rId189" xr:uid="{E7D9EA29-A1E6-42D5-AFBF-2B7479239D39}"/>
    <hyperlink ref="B191" r:id="rId190" xr:uid="{7DA7FD3B-C0C1-42D0-B3C1-66B15958885E}"/>
    <hyperlink ref="B192" r:id="rId191" xr:uid="{4658F127-533D-43A3-9A81-541978FCE419}"/>
    <hyperlink ref="B193" r:id="rId192" xr:uid="{1B9FD9CF-6BD9-497C-BB35-967B55E0C70C}"/>
    <hyperlink ref="B194" r:id="rId193" xr:uid="{AFBD455A-7225-425B-8451-E3D590C309DC}"/>
    <hyperlink ref="B195" r:id="rId194" xr:uid="{0BFDBA45-0DEB-4DBF-83DC-C28B274D2F7D}"/>
    <hyperlink ref="B196" r:id="rId195" xr:uid="{4E349C8C-EF22-42D7-B317-7D25B9DBDDD2}"/>
    <hyperlink ref="B197" r:id="rId196" xr:uid="{66694DF9-5A0D-49D3-81BE-F6EF51031601}"/>
    <hyperlink ref="B198" r:id="rId197" xr:uid="{8CD38C20-8047-4CFD-AE5A-96A5A32C1E8F}"/>
    <hyperlink ref="B199" r:id="rId198" xr:uid="{0F27791B-2AED-481D-94C4-CF6106A693F2}"/>
    <hyperlink ref="B200" r:id="rId199" xr:uid="{6DECC766-C02F-43B1-BE2C-FAFDDFE55001}"/>
    <hyperlink ref="B201" r:id="rId200" xr:uid="{7C552178-6CED-45AF-A7A9-5CFE0FEB078B}"/>
    <hyperlink ref="B202" r:id="rId201" xr:uid="{7C7164BD-BD2E-40A5-9584-AF26B27E4707}"/>
    <hyperlink ref="B203" r:id="rId202" xr:uid="{F4705F46-AF84-44C6-A828-F34D0DE644A2}"/>
    <hyperlink ref="B204" r:id="rId203" xr:uid="{849A1447-B085-46EA-B4BD-B6C3C8234DAA}"/>
    <hyperlink ref="B205" r:id="rId204" xr:uid="{BF4FAE95-EF71-4E3F-86EC-ABD5A47CBEFD}"/>
    <hyperlink ref="B206" r:id="rId205" xr:uid="{B60852CB-6972-474A-9D35-198890516368}"/>
    <hyperlink ref="B207" r:id="rId206" xr:uid="{87528E7E-BD1B-4FBC-8F52-7DC090B628F9}"/>
    <hyperlink ref="B208" r:id="rId207" xr:uid="{120FD6D3-4697-4EA3-B1C7-720A7BC4BB75}"/>
    <hyperlink ref="B209" r:id="rId208" xr:uid="{77559455-01B7-4E4E-B676-5E4B690FCB15}"/>
    <hyperlink ref="B210" r:id="rId209" xr:uid="{682C9B55-546E-4B66-8514-F6901DE22974}"/>
    <hyperlink ref="B211" r:id="rId210" xr:uid="{31869BD9-DD3D-4D36-B15B-B610F1E1A16F}"/>
    <hyperlink ref="B212" r:id="rId211" xr:uid="{61410946-D63A-4E67-AB96-DBEBB6F46DA9}"/>
    <hyperlink ref="B213" r:id="rId212" xr:uid="{7E3B90E3-DC23-4C38-A18D-FA20598B6818}"/>
    <hyperlink ref="B214" r:id="rId213" xr:uid="{F811FCFF-0F38-4259-9B78-BA251B89DF07}"/>
    <hyperlink ref="B215" r:id="rId214" xr:uid="{5433FDB0-EF21-4FC2-8BEA-A5A4DE84F58F}"/>
    <hyperlink ref="B216" r:id="rId215" xr:uid="{8DF56A7B-37E2-44BA-9C71-A1276D6CAA7B}"/>
    <hyperlink ref="B217" r:id="rId216" xr:uid="{E5630295-4190-470E-A2F4-6232DBFE5142}"/>
    <hyperlink ref="B218" r:id="rId217" xr:uid="{FCEF84F3-887A-4332-812C-D691F5359F8F}"/>
    <hyperlink ref="B219" r:id="rId218" xr:uid="{D89F80C9-7695-4077-B217-365812FB942F}"/>
    <hyperlink ref="B220" r:id="rId219" xr:uid="{0E1BD82B-A1FC-43B8-9516-73EDD8B0CF5E}"/>
    <hyperlink ref="B221" r:id="rId220" xr:uid="{E74D091A-DC77-48E3-B5A8-A20532397A4E}"/>
    <hyperlink ref="B222" r:id="rId221" xr:uid="{52CBC8CD-72E6-4E33-8BFE-CF5678135556}"/>
    <hyperlink ref="B223" r:id="rId222" xr:uid="{A2F393B1-0AD6-49D2-ABD2-069A09B8BB4F}"/>
    <hyperlink ref="B224" r:id="rId223" xr:uid="{4057FA10-195F-4B86-9AF6-C424489AC4A7}"/>
    <hyperlink ref="B225" r:id="rId224" xr:uid="{D38650BB-BE98-4206-BCDD-19EBE98223E4}"/>
    <hyperlink ref="B226" r:id="rId225" xr:uid="{46631087-C344-4FDB-B8A0-520F3B1A3924}"/>
    <hyperlink ref="B227" r:id="rId226" xr:uid="{857FC86C-67C6-436D-B0E8-435CD79FCAAC}"/>
    <hyperlink ref="B228" r:id="rId227" xr:uid="{B715C28B-0689-450D-8EBA-3C6B29E77C44}"/>
    <hyperlink ref="B229" r:id="rId228" xr:uid="{0BA6EF3F-FEEA-430E-A70A-1EAF33FD25BA}"/>
    <hyperlink ref="B230" r:id="rId229" xr:uid="{65DB2106-ED7E-4D15-92AA-134FDFA06F1B}"/>
    <hyperlink ref="B231" r:id="rId230" xr:uid="{28720AC0-C12F-4055-9B0A-5A17D4DA3185}"/>
    <hyperlink ref="B232" r:id="rId231" xr:uid="{001DDE88-BF74-4FDA-B5C7-6E7345EBD0D2}"/>
    <hyperlink ref="B233" r:id="rId232" xr:uid="{FD26D2D7-17B7-4007-9D77-BEC095CCFE77}"/>
    <hyperlink ref="B234" r:id="rId233" xr:uid="{EE4E8DF6-65A9-4C40-8537-7F67C18E824A}"/>
    <hyperlink ref="B235" r:id="rId234" xr:uid="{22C7A281-2A1A-48EB-8263-984B9A130745}"/>
    <hyperlink ref="B236" r:id="rId235" xr:uid="{FDFFA28B-C3A2-452D-A21D-2340FED850FE}"/>
    <hyperlink ref="B237" r:id="rId236" xr:uid="{939496EA-1A9C-4501-817E-E0858DB07714}"/>
    <hyperlink ref="B238" r:id="rId237" xr:uid="{206B46CE-B18B-4599-A142-A7DA17700ABD}"/>
    <hyperlink ref="B239" r:id="rId238" xr:uid="{121FD0B5-9ABB-4F4D-9ADD-F26BB1A28A70}"/>
    <hyperlink ref="B240" r:id="rId239" xr:uid="{44114582-89DB-4D32-B48D-55976195AEDF}"/>
    <hyperlink ref="B241" r:id="rId240" xr:uid="{67CE00BD-4C71-4740-8AD8-2F9D726020C1}"/>
    <hyperlink ref="B242" r:id="rId241" xr:uid="{639086EB-AC2E-4E69-80ED-166D635B6A44}"/>
    <hyperlink ref="B243" r:id="rId242" xr:uid="{F68BC9A4-8B99-4200-A7A5-4F8DE26B442B}"/>
    <hyperlink ref="B244" r:id="rId243" xr:uid="{826BA232-2F95-4954-9D68-CD88A9F4B319}"/>
    <hyperlink ref="B245" r:id="rId244" xr:uid="{BE82E91C-B243-4A28-8893-0FD36EB45C0A}"/>
    <hyperlink ref="B246" r:id="rId245" xr:uid="{77BB565E-208B-4D5F-9494-DEFE374100A6}"/>
    <hyperlink ref="B247" r:id="rId246" xr:uid="{D8136DB3-A6DE-4B17-8B2C-07C6AF997256}"/>
    <hyperlink ref="B248" r:id="rId247" xr:uid="{46BFB12A-2A36-4A98-8C4E-FE8C76E47D21}"/>
    <hyperlink ref="B249" r:id="rId248" xr:uid="{E59DD998-73B3-4B9B-BE3B-466224FB4576}"/>
    <hyperlink ref="B250" r:id="rId249" xr:uid="{E27F0EB7-448C-410B-8FC3-24FA5E558735}"/>
    <hyperlink ref="B251" r:id="rId250" xr:uid="{9A8571FE-181E-4F9A-A238-84A974C4F738}"/>
    <hyperlink ref="B252" r:id="rId251" xr:uid="{4A005161-AE91-4EA0-9536-9D34F6D4ECF3}"/>
    <hyperlink ref="B253" r:id="rId252" xr:uid="{48F7FD57-815D-4536-983B-54C5957C6D6E}"/>
    <hyperlink ref="B254" r:id="rId253" xr:uid="{F8268FF6-DA11-4803-BB3C-38FF3C456E13}"/>
    <hyperlink ref="B255" r:id="rId254" xr:uid="{5A31ED2A-8EA7-4E4E-BCB8-4CE5FB2D7031}"/>
    <hyperlink ref="B256" r:id="rId255" xr:uid="{C462FD95-560C-49D9-AE11-6BE2BDABA767}"/>
    <hyperlink ref="B257" r:id="rId256" xr:uid="{04E1B9A3-7E4D-4D1F-A76A-ADFCB949AE04}"/>
    <hyperlink ref="B258" r:id="rId257" xr:uid="{D56F2B3C-45F7-442A-8828-4F45C88174CB}"/>
    <hyperlink ref="B259" r:id="rId258" xr:uid="{5A235406-DA21-4810-93C6-EB3B2747911F}"/>
    <hyperlink ref="B260" r:id="rId259" xr:uid="{CC59A7F2-5947-4C83-B6E9-91DAFE01198D}"/>
    <hyperlink ref="B261" r:id="rId260" xr:uid="{A6E17CBB-1512-433F-99C2-55EDD153FBF3}"/>
    <hyperlink ref="B262" r:id="rId261" xr:uid="{80CBC096-D36E-4055-A1DE-0CBF9ED9723D}"/>
    <hyperlink ref="B263" r:id="rId262" xr:uid="{B36DAA1D-386F-4EDA-BDCC-F5E0BB664DEE}"/>
    <hyperlink ref="B264" r:id="rId263" xr:uid="{AD24FE4B-8B4B-40EA-BB5E-DB74736654D3}"/>
    <hyperlink ref="B265" r:id="rId264" xr:uid="{3B2B4D14-D705-46FF-847D-1FEC2F016272}"/>
    <hyperlink ref="B266" r:id="rId265" xr:uid="{D7722B92-9F73-4F62-8D78-F18DDAD34DFC}"/>
    <hyperlink ref="B267" r:id="rId266" xr:uid="{E65F009E-261E-4FE6-9756-07307E000DB2}"/>
    <hyperlink ref="B268" r:id="rId267" xr:uid="{E97C046D-5356-4691-B400-4CDFE0545CD1}"/>
    <hyperlink ref="B269" r:id="rId268" xr:uid="{A293FE2D-98DC-4B96-8078-6369C35DA9C1}"/>
    <hyperlink ref="B270" r:id="rId269" xr:uid="{527A5429-F0E2-4657-A942-0EAC83698B85}"/>
    <hyperlink ref="B271" r:id="rId270" xr:uid="{FB78B2C5-2E02-4051-BEBF-CF29A0D05C47}"/>
    <hyperlink ref="B272" r:id="rId271" xr:uid="{7E5F7E66-3DD1-445D-887D-2A21235740A6}"/>
    <hyperlink ref="B273" r:id="rId272" xr:uid="{1EB08A36-6519-4C49-A5E5-EF4211551D5F}"/>
    <hyperlink ref="B274" r:id="rId273" xr:uid="{5DD307D1-3D57-40AF-B2F0-3B1CFBD50557}"/>
    <hyperlink ref="B275" r:id="rId274" xr:uid="{8A9E85DD-D129-4149-A20C-73AA320CBFA4}"/>
    <hyperlink ref="B276" r:id="rId275" xr:uid="{081CC0FE-7A16-4FB6-BAE3-A36E17A92644}"/>
    <hyperlink ref="B277" r:id="rId276" xr:uid="{760CF460-E1E6-4335-8388-5066C426E841}"/>
    <hyperlink ref="B278" r:id="rId277" xr:uid="{0AE94A46-F9AD-4277-A477-878E034A8504}"/>
    <hyperlink ref="B279" r:id="rId278" xr:uid="{4D571C64-100A-493F-B025-1DABA428C29B}"/>
    <hyperlink ref="B280" r:id="rId279" xr:uid="{9CE6A254-F98E-466B-B166-10CE23C5E1DD}"/>
    <hyperlink ref="B281" r:id="rId280" xr:uid="{B9BCD60A-DFB9-4B8A-8BB5-23F80A7818CD}"/>
    <hyperlink ref="B282" r:id="rId281" xr:uid="{19844271-8FBB-4A24-9CE8-7B2CAF188509}"/>
    <hyperlink ref="B283" r:id="rId282" xr:uid="{A198450E-4E24-45DF-BAF9-E0ED203A26B8}"/>
    <hyperlink ref="B284" r:id="rId283" xr:uid="{EDEFE1F0-F242-4D28-94D1-ACEE1A585AAE}"/>
    <hyperlink ref="B285" r:id="rId284" xr:uid="{72DCC769-613B-4D3C-AB0E-FE03DEE518C7}"/>
    <hyperlink ref="B286" r:id="rId285" xr:uid="{1095A306-7D74-4DFD-855C-6CBC3D6E1C5E}"/>
    <hyperlink ref="B287" r:id="rId286" xr:uid="{9316B97D-FB53-4B7E-A6D0-95319B939235}"/>
    <hyperlink ref="B288" r:id="rId287" xr:uid="{7ABB97AA-104C-4FDE-8A11-5DC2C448159B}"/>
    <hyperlink ref="B289" r:id="rId288" xr:uid="{90011893-AF3F-4226-9860-C2A33008F052}"/>
    <hyperlink ref="B290" r:id="rId289" xr:uid="{91B0955F-A3F1-4728-835A-A6C3592D9269}"/>
    <hyperlink ref="B291" r:id="rId290" xr:uid="{35C91AE0-EC2D-47E1-B162-41AE7EAF6401}"/>
    <hyperlink ref="B292" r:id="rId291" xr:uid="{C50241C5-BF14-42B5-A727-79D0F8BBDABA}"/>
    <hyperlink ref="B293" r:id="rId292" xr:uid="{E6FECA94-42EB-46C7-BA3A-8BC2778D0039}"/>
    <hyperlink ref="B294" r:id="rId293" xr:uid="{DD4DDCA0-4D1A-4EC5-990C-EB651C23E516}"/>
    <hyperlink ref="B295" r:id="rId294" xr:uid="{0581CC29-4BFF-40C9-89AE-B337D5471F6C}"/>
    <hyperlink ref="B296" r:id="rId295" xr:uid="{3D3A2342-BA01-4A86-8A95-7632BC127F2E}"/>
    <hyperlink ref="B297" r:id="rId296" xr:uid="{5DC8A0FC-3FA2-4925-9251-0FDDBC5E6CA7}"/>
    <hyperlink ref="B298" r:id="rId297" xr:uid="{A648930C-534B-4DBA-B018-41A3D07FA609}"/>
    <hyperlink ref="B299" r:id="rId298" xr:uid="{FED8949A-1546-4721-8CB3-39DC18664BA8}"/>
    <hyperlink ref="B300" r:id="rId299" xr:uid="{E9A9EB94-01E4-461D-BF5E-8CE142B69E89}"/>
    <hyperlink ref="B301" r:id="rId300" xr:uid="{CC220D1C-9C93-4ADA-95C0-1E59953594CC}"/>
    <hyperlink ref="B302" r:id="rId301" xr:uid="{E480189A-1EB1-41B3-8A46-4C545C03ECC0}"/>
    <hyperlink ref="B303" r:id="rId302" xr:uid="{9E4EADA4-235C-4E09-A5E0-2888B4ED999E}"/>
    <hyperlink ref="B304" r:id="rId303" xr:uid="{4B851DEF-0FF4-4BB1-8497-F4A2170DB3E3}"/>
    <hyperlink ref="B305" r:id="rId304" xr:uid="{3CDBD560-E4FB-4DE9-B26D-1E6A36ACE238}"/>
    <hyperlink ref="B306" r:id="rId305" xr:uid="{8FD33DFF-5D3E-4996-8B7A-33532D578157}"/>
    <hyperlink ref="B307" r:id="rId306" xr:uid="{A1520F7D-9D91-4CA0-AF95-D8FB71213882}"/>
    <hyperlink ref="B308" r:id="rId307" xr:uid="{CCD93D9D-4A53-4D9A-ACB8-CF4BB78990A4}"/>
    <hyperlink ref="B309" r:id="rId308" xr:uid="{ACC4892F-8C94-4AA5-B246-1E5D28D8BA74}"/>
    <hyperlink ref="B310" r:id="rId309" xr:uid="{E66FD9AB-2C44-470A-848F-19A460ECA7BF}"/>
    <hyperlink ref="B311" r:id="rId310" xr:uid="{5F635E1F-1BB3-419C-99D5-47A6511320E3}"/>
    <hyperlink ref="B312" r:id="rId311" xr:uid="{635DDE83-D696-478E-84D9-EF97A7E1A56B}"/>
    <hyperlink ref="B313" r:id="rId312" xr:uid="{74108AED-E6D8-4B55-B2B2-DF53E581AF99}"/>
    <hyperlink ref="B314" r:id="rId313" xr:uid="{0C1460C6-5307-444E-9370-EC51209ACCC1}"/>
    <hyperlink ref="B315" r:id="rId314" xr:uid="{B7082896-FBA5-46ED-BD89-CD1A92112E6B}"/>
    <hyperlink ref="B316" r:id="rId315" xr:uid="{C5B3E387-76C3-4A24-BBD5-311D5B540C37}"/>
    <hyperlink ref="B317" r:id="rId316" xr:uid="{40DA29C8-8B31-49CC-9E96-126B9EDA0DE1}"/>
    <hyperlink ref="B318" r:id="rId317" xr:uid="{BA18FAD1-AF6E-478E-83FE-A7B7155BF74C}"/>
    <hyperlink ref="B319" r:id="rId318" xr:uid="{903C7B92-1D83-47D8-AE22-91C554651AA2}"/>
    <hyperlink ref="B320" r:id="rId319" xr:uid="{0287BDE1-146A-42B0-81DD-7BDB1A22FBDB}"/>
    <hyperlink ref="B321" r:id="rId320" xr:uid="{7BE0A063-61A9-4BAD-AC35-004366F44B7E}"/>
    <hyperlink ref="B322" r:id="rId321" xr:uid="{A37795C0-8CA7-452F-9349-2AAE73B8D8CD}"/>
    <hyperlink ref="B323" r:id="rId322" xr:uid="{E1031EFE-92B3-4B74-B309-6F55351EE3C5}"/>
    <hyperlink ref="B324" r:id="rId323" xr:uid="{B6B5DC42-9317-4A2E-A930-7D64D3862E74}"/>
    <hyperlink ref="B325" r:id="rId324" xr:uid="{BDE859C9-F8D3-4AD0-9606-C070B0DCB3D8}"/>
    <hyperlink ref="B326" r:id="rId325" xr:uid="{ED411792-4A05-4F45-8DB4-2FD71636E442}"/>
    <hyperlink ref="B327" r:id="rId326" xr:uid="{684F33B2-959B-4929-8097-D3E3FC4C6960}"/>
    <hyperlink ref="B328" r:id="rId327" xr:uid="{FBB1DC46-22D4-424E-8EB3-94971D2769E6}"/>
    <hyperlink ref="B329" r:id="rId328" xr:uid="{A500B2A5-600E-44C1-AB25-70720E1C1C20}"/>
    <hyperlink ref="B330" r:id="rId329" xr:uid="{746DE48C-DAC9-4CE3-960A-46EDE866D9C1}"/>
    <hyperlink ref="B331" r:id="rId330" xr:uid="{DC7862DB-4A55-464D-BE19-7AE76B8916C7}"/>
    <hyperlink ref="B332" r:id="rId331" xr:uid="{0985DC6A-4FE1-4B32-B44B-BF5A0BC7D2DA}"/>
    <hyperlink ref="B333" r:id="rId332" xr:uid="{2A834BC2-3A20-4220-AEED-145195763D51}"/>
    <hyperlink ref="B334" r:id="rId333" xr:uid="{7315CCFC-DE4C-4998-A3C6-73A337A91285}"/>
    <hyperlink ref="B335" r:id="rId334" xr:uid="{ED56288E-4DBA-4F72-AAE6-2635F22D1B1C}"/>
    <hyperlink ref="B336" r:id="rId335" xr:uid="{FC6006DE-34F7-4B09-AA1F-9D1A27B16C74}"/>
    <hyperlink ref="B337" r:id="rId336" xr:uid="{DB68049D-B833-4479-B2EA-E0671A43F97C}"/>
    <hyperlink ref="B338" r:id="rId337" xr:uid="{BE6D1E43-28EE-4C65-B90D-52761E8F4CF3}"/>
    <hyperlink ref="B339" r:id="rId338" xr:uid="{5D1924DA-92B6-41CF-8201-750D4929F6B9}"/>
    <hyperlink ref="B340" r:id="rId339" xr:uid="{EDE240D4-E92B-4D6F-AEB7-C4BE2A92DCA7}"/>
    <hyperlink ref="B341" r:id="rId340" xr:uid="{3039085E-1824-4D47-8F43-4CD52A61ED30}"/>
    <hyperlink ref="B342" r:id="rId341" xr:uid="{8D1F4E16-8A25-4A82-A33C-7B6670643B46}"/>
    <hyperlink ref="B343" r:id="rId342" xr:uid="{55B158B4-5D56-42DB-9002-5935C08C5CDA}"/>
    <hyperlink ref="B344" r:id="rId343" xr:uid="{F3D78E82-0327-4455-AB88-D322E447A0C2}"/>
    <hyperlink ref="B345" r:id="rId344" xr:uid="{424CB677-189D-420C-AFC5-014B115D84F7}"/>
    <hyperlink ref="B346" r:id="rId345" xr:uid="{8A4058ED-DA68-48C9-9978-6A498EABF1F8}"/>
    <hyperlink ref="B347" r:id="rId346" xr:uid="{2543BC22-4597-41FD-90EA-D63CA1D6977B}"/>
    <hyperlink ref="B348" r:id="rId347" xr:uid="{573C4718-EB33-4D00-8A0E-22F34A7294A0}"/>
    <hyperlink ref="B349" r:id="rId348" xr:uid="{E11F49F6-C685-4276-9019-9BA6D6AF1C49}"/>
    <hyperlink ref="B350" r:id="rId349" xr:uid="{E5B4A2B4-711D-424F-927C-132D708EDBC0}"/>
    <hyperlink ref="B351" r:id="rId350" xr:uid="{D8F279E2-A1AA-49D7-AB5D-41C85D5E7248}"/>
    <hyperlink ref="B352" r:id="rId351" xr:uid="{E6D73598-8A22-4467-8229-7EFF4158CFF7}"/>
    <hyperlink ref="B353" r:id="rId352" xr:uid="{045EF70C-BFB2-4AC7-B43B-257E7916D7D5}"/>
    <hyperlink ref="B354" r:id="rId353" xr:uid="{65DB25D2-469E-4AD1-8E37-447A21F55567}"/>
    <hyperlink ref="B355" r:id="rId354" xr:uid="{619638E6-882F-46B5-9031-02788049C727}"/>
  </hyperlinks>
  <pageMargins left="0.7" right="0.7" top="0.75" bottom="0.75" header="0.3" footer="0.3"/>
  <tableParts count="1">
    <tablePart r:id="rId35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5ECAB-6F66-4D7C-95BB-331750A866E3}">
  <dimension ref="A1:AD429"/>
  <sheetViews>
    <sheetView topLeftCell="N109" workbookViewId="0">
      <selection activeCell="U130" sqref="U130"/>
    </sheetView>
  </sheetViews>
  <sheetFormatPr defaultColWidth="11.42578125" defaultRowHeight="15" x14ac:dyDescent="0.25"/>
  <cols>
    <col min="2" max="3" width="37.85546875" customWidth="1"/>
    <col min="4" max="4" width="16" customWidth="1"/>
    <col min="5" max="5" width="10.42578125" customWidth="1"/>
    <col min="6" max="7" width="21.85546875" customWidth="1"/>
    <col min="8" max="8" width="12.140625" customWidth="1"/>
    <col min="12" max="12" width="12.7109375" customWidth="1"/>
    <col min="13" max="13" width="29.28515625" customWidth="1"/>
    <col min="14" max="14" width="20" customWidth="1"/>
    <col min="15" max="16" width="15.42578125" customWidth="1"/>
    <col min="17" max="17" width="17.140625" customWidth="1"/>
    <col min="18" max="20" width="26.42578125" customWidth="1"/>
    <col min="21" max="21" width="16.7109375" customWidth="1"/>
    <col min="23" max="23" width="15.42578125" customWidth="1"/>
    <col min="25" max="25" width="19.85546875" customWidth="1"/>
    <col min="26" max="26" width="15.7109375" customWidth="1"/>
    <col min="27" max="27" width="23.28515625" customWidth="1"/>
    <col min="28" max="28" width="16" customWidth="1"/>
  </cols>
  <sheetData>
    <row r="1" spans="1:30" ht="60" x14ac:dyDescent="0.25">
      <c r="A1" s="53" t="s">
        <v>0</v>
      </c>
      <c r="B1" s="52" t="s">
        <v>1</v>
      </c>
      <c r="C1" s="49" t="s">
        <v>2</v>
      </c>
      <c r="D1" s="52" t="s">
        <v>3</v>
      </c>
      <c r="E1" s="50" t="s">
        <v>4</v>
      </c>
      <c r="F1" s="52" t="s">
        <v>5</v>
      </c>
      <c r="G1" s="52" t="s">
        <v>6</v>
      </c>
      <c r="H1" s="52" t="s">
        <v>7</v>
      </c>
      <c r="I1" s="52" t="s">
        <v>8</v>
      </c>
      <c r="J1" s="52" t="s">
        <v>9</v>
      </c>
      <c r="K1" s="48" t="s">
        <v>10</v>
      </c>
      <c r="L1" s="48" t="s">
        <v>11</v>
      </c>
      <c r="M1" s="48" t="s">
        <v>12</v>
      </c>
      <c r="N1" s="48" t="s">
        <v>13</v>
      </c>
      <c r="O1" s="48" t="s">
        <v>14</v>
      </c>
      <c r="P1" s="48" t="s">
        <v>15</v>
      </c>
      <c r="Q1" s="48" t="s">
        <v>16</v>
      </c>
      <c r="R1" s="48" t="s">
        <v>17</v>
      </c>
      <c r="S1" s="48" t="s">
        <v>9149</v>
      </c>
      <c r="T1" s="48" t="s">
        <v>9150</v>
      </c>
      <c r="U1" s="48" t="s">
        <v>18</v>
      </c>
      <c r="V1" s="48" t="s">
        <v>19</v>
      </c>
      <c r="W1" s="48" t="s">
        <v>20</v>
      </c>
      <c r="X1" s="48" t="s">
        <v>21</v>
      </c>
      <c r="Y1" s="48" t="s">
        <v>22</v>
      </c>
      <c r="Z1" s="48" t="s">
        <v>23</v>
      </c>
      <c r="AA1" s="48" t="s">
        <v>24</v>
      </c>
      <c r="AB1" s="48" t="s">
        <v>25</v>
      </c>
      <c r="AC1" s="48" t="s">
        <v>201</v>
      </c>
      <c r="AD1" s="51" t="s">
        <v>27</v>
      </c>
    </row>
    <row r="2" spans="1:30" x14ac:dyDescent="0.25">
      <c r="A2" s="36">
        <v>4197</v>
      </c>
      <c r="B2" s="14" t="s">
        <v>8417</v>
      </c>
      <c r="C2" s="14" t="s">
        <v>8418</v>
      </c>
      <c r="D2" s="17">
        <v>44138</v>
      </c>
      <c r="E2" s="14" t="s">
        <v>30</v>
      </c>
      <c r="F2" s="14">
        <v>522</v>
      </c>
      <c r="G2" s="14">
        <v>111</v>
      </c>
      <c r="H2" s="14">
        <v>19</v>
      </c>
      <c r="I2" s="14">
        <v>10</v>
      </c>
      <c r="J2" s="14" t="s">
        <v>204</v>
      </c>
      <c r="K2" s="14" cm="1">
        <f t="array" ref="K2">INT(SUMPRODUCT(--ISNUMBER(SEARCH(economy,C2)))&gt;0)</f>
        <v>0</v>
      </c>
      <c r="L2" s="14" cm="1">
        <f t="array" ref="L2">INT(SUMPRODUCT(--ISNUMBER(SEARCH(healthcare,C2)))&gt;0)</f>
        <v>0</v>
      </c>
      <c r="M2" s="14" cm="1">
        <f t="array" ref="M2">INT(SUMPRODUCT(--ISNUMBER(SEARCH(supreme,C2)))&gt;0)</f>
        <v>0</v>
      </c>
      <c r="N2" s="14" cm="1">
        <f t="array" ref="N2">INT(SUMPRODUCT(--ISNUMBER(SEARCH(covid,C2)))&gt;0)</f>
        <v>0</v>
      </c>
      <c r="O2" s="14" cm="1">
        <f t="array" ref="O2">INT(SUMPRODUCT(--ISNUMBER(SEARCH(violent,C2)))&gt;0)</f>
        <v>0</v>
      </c>
      <c r="P2" s="14" cm="1">
        <f t="array" ref="P2">INT(SUMPRODUCT(--ISNUMBER(SEARCH(foreign,C2)))&gt;0)</f>
        <v>0</v>
      </c>
      <c r="Q2" s="14" cm="1">
        <f t="array" ref="Q2">INT(SUMPRODUCT(--ISNUMBER(SEARCH(gun,C2)))&gt;0)</f>
        <v>0</v>
      </c>
      <c r="R2" s="14" cm="1">
        <f t="array" ref="R2">INT(SUMPRODUCT(--ISNUMBER(SEARCH(race,C2)))&gt;0)</f>
        <v>0</v>
      </c>
      <c r="S2" s="14" cm="1">
        <f t="array" ref="S2">INT(SUMPRODUCT(--ISNUMBER(SEARCH(immigration,C2)))&gt;0)</f>
        <v>0</v>
      </c>
      <c r="T2" s="14" cm="1">
        <f t="array" ref="T2">INT(SUMPRODUCT(--ISNUMBER(SEARCH(econineq,C3)))&gt;0)</f>
        <v>0</v>
      </c>
      <c r="U2" s="14" cm="1">
        <f t="array" ref="U2">INT(SUMPRODUCT(--ISNUMBER(SEARCH(climate,C2)))&gt;0)</f>
        <v>0</v>
      </c>
      <c r="V2" s="14" cm="1">
        <f t="array" ref="V2">INT(SUMPRODUCT(--ISNUMBER(SEARCH(abortion,C2)))&gt;0)</f>
        <v>0</v>
      </c>
      <c r="W2" s="14" cm="1">
        <f t="array" ref="W2">INT(SUMPRODUCT(--ISNUMBER(SEARCH(trump,C2)))&gt;0)</f>
        <v>0</v>
      </c>
      <c r="X2" s="14" cm="1">
        <f t="array" ref="X2">INT(SUMPRODUCT(--ISNUMBER(SEARCH(voting,C2)))&gt;0)</f>
        <v>1</v>
      </c>
      <c r="Y2" s="14" cm="1">
        <f t="array" ref="Y2">INT(SUMPRODUCT(--ISNUMBER(SEARCH(democrattrigger,C2)))&gt;0)</f>
        <v>0</v>
      </c>
      <c r="Z2" s="14" cm="1">
        <f t="array" ref="Z2">INT(SUMPRODUCT(--ISNUMBER(SEARCH(bipartisan,C2)))&gt;0)</f>
        <v>0</v>
      </c>
      <c r="AA2" s="14">
        <f>INT(IF(COUNTIF(K2:Z2,1)=0,"1","0"))</f>
        <v>0</v>
      </c>
      <c r="AB2" s="14"/>
      <c r="AC2" s="30" t="s">
        <v>223</v>
      </c>
      <c r="AD2" s="37" t="s">
        <v>223</v>
      </c>
    </row>
    <row r="3" spans="1:30" x14ac:dyDescent="0.25">
      <c r="A3" s="36">
        <v>4198</v>
      </c>
      <c r="B3" s="14" t="s">
        <v>8419</v>
      </c>
      <c r="C3" s="14" t="s">
        <v>8420</v>
      </c>
      <c r="D3" s="17">
        <v>44138</v>
      </c>
      <c r="E3" s="14" t="s">
        <v>70</v>
      </c>
      <c r="F3" s="14">
        <v>343</v>
      </c>
      <c r="G3" s="14">
        <v>88</v>
      </c>
      <c r="H3" s="14">
        <v>19</v>
      </c>
      <c r="I3" s="14">
        <v>10</v>
      </c>
      <c r="J3" s="14" t="s">
        <v>204</v>
      </c>
      <c r="K3" s="14" cm="1">
        <f t="array" ref="K3">INT(SUMPRODUCT(--ISNUMBER(SEARCH(economy,C3)))&gt;0)</f>
        <v>0</v>
      </c>
      <c r="L3" s="14" cm="1">
        <f t="array" ref="L3">INT(SUMPRODUCT(--ISNUMBER(SEARCH(healthcare,C3)))&gt;0)</f>
        <v>0</v>
      </c>
      <c r="M3" s="14" cm="1">
        <f t="array" ref="M3">INT(SUMPRODUCT(--ISNUMBER(SEARCH(supreme,C3)))&gt;0)</f>
        <v>0</v>
      </c>
      <c r="N3" s="14" cm="1">
        <f t="array" ref="N3">INT(SUMPRODUCT(--ISNUMBER(SEARCH(covid,C3)))&gt;0)</f>
        <v>0</v>
      </c>
      <c r="O3" s="14" cm="1">
        <f t="array" ref="O3">INT(SUMPRODUCT(--ISNUMBER(SEARCH(violent,C3)))&gt;0)</f>
        <v>0</v>
      </c>
      <c r="P3" s="14" cm="1">
        <f t="array" ref="P3">INT(SUMPRODUCT(--ISNUMBER(SEARCH(foreign,C3)))&gt;0)</f>
        <v>0</v>
      </c>
      <c r="Q3" s="14" cm="1">
        <f t="array" ref="Q3">INT(SUMPRODUCT(--ISNUMBER(SEARCH(gun,C3)))&gt;0)</f>
        <v>0</v>
      </c>
      <c r="R3" s="14" cm="1">
        <f t="array" ref="R3">INT(SUMPRODUCT(--ISNUMBER(SEARCH(race,C3)))&gt;0)</f>
        <v>0</v>
      </c>
      <c r="S3" s="14" cm="1">
        <f t="array" ref="S3">INT(SUMPRODUCT(--ISNUMBER(SEARCH(immigration,C3)))&gt;0)</f>
        <v>0</v>
      </c>
      <c r="T3" s="14" cm="1">
        <f t="array" ref="T3">INT(SUMPRODUCT(--ISNUMBER(SEARCH(econineq,C4)))&gt;0)</f>
        <v>0</v>
      </c>
      <c r="U3" s="14" cm="1">
        <f t="array" ref="U3">INT(SUMPRODUCT(--ISNUMBER(SEARCH(climate,C3)))&gt;0)</f>
        <v>0</v>
      </c>
      <c r="V3" s="14" cm="1">
        <f t="array" ref="V3">INT(SUMPRODUCT(--ISNUMBER(SEARCH(abortion,C3)))&gt;0)</f>
        <v>0</v>
      </c>
      <c r="W3" s="14" cm="1">
        <f t="array" ref="W3">INT(SUMPRODUCT(--ISNUMBER(SEARCH(trump,C3)))&gt;0)</f>
        <v>0</v>
      </c>
      <c r="X3" s="14" cm="1">
        <f t="array" ref="X3">INT(SUMPRODUCT(--ISNUMBER(SEARCH(voting,C3)))&gt;0)</f>
        <v>1</v>
      </c>
      <c r="Y3" s="14" cm="1">
        <f t="array" ref="Y3">INT(SUMPRODUCT(--ISNUMBER(SEARCH(democrattrigger,C3)))&gt;0)</f>
        <v>0</v>
      </c>
      <c r="Z3" s="14" cm="1">
        <f t="array" ref="Z3">INT(SUMPRODUCT(--ISNUMBER(SEARCH(bipartisan,C3)))&gt;0)</f>
        <v>0</v>
      </c>
      <c r="AA3" s="14">
        <f t="shared" ref="AA3:AA66" si="0">INT(IF(COUNTIF(K3:Z3,1)=0,"1","0"))</f>
        <v>0</v>
      </c>
      <c r="AB3" s="14"/>
      <c r="AC3" s="30" t="s">
        <v>223</v>
      </c>
      <c r="AD3" s="37" t="s">
        <v>223</v>
      </c>
    </row>
    <row r="4" spans="1:30" x14ac:dyDescent="0.25">
      <c r="A4" s="36">
        <v>4199</v>
      </c>
      <c r="B4" s="14" t="s">
        <v>8421</v>
      </c>
      <c r="C4" s="14" t="s">
        <v>8422</v>
      </c>
      <c r="D4" s="17">
        <v>44138</v>
      </c>
      <c r="E4" s="14" t="s">
        <v>70</v>
      </c>
      <c r="F4" s="14">
        <v>646</v>
      </c>
      <c r="G4" s="14">
        <v>117</v>
      </c>
      <c r="H4" s="14">
        <v>19</v>
      </c>
      <c r="I4" s="14">
        <v>10</v>
      </c>
      <c r="J4" s="14" t="s">
        <v>204</v>
      </c>
      <c r="K4" s="14" cm="1">
        <f t="array" ref="K4">INT(SUMPRODUCT(--ISNUMBER(SEARCH(economy,C4)))&gt;0)</f>
        <v>0</v>
      </c>
      <c r="L4" s="14" cm="1">
        <f t="array" ref="L4">INT(SUMPRODUCT(--ISNUMBER(SEARCH(healthcare,C4)))&gt;0)</f>
        <v>0</v>
      </c>
      <c r="M4" s="14" cm="1">
        <f t="array" ref="M4">INT(SUMPRODUCT(--ISNUMBER(SEARCH(supreme,C4)))&gt;0)</f>
        <v>0</v>
      </c>
      <c r="N4" s="14" cm="1">
        <f t="array" ref="N4">INT(SUMPRODUCT(--ISNUMBER(SEARCH(covid,C4)))&gt;0)</f>
        <v>0</v>
      </c>
      <c r="O4" s="14" cm="1">
        <f t="array" ref="O4">INT(SUMPRODUCT(--ISNUMBER(SEARCH(violent,C4)))&gt;0)</f>
        <v>0</v>
      </c>
      <c r="P4" s="14" cm="1">
        <f t="array" ref="P4">INT(SUMPRODUCT(--ISNUMBER(SEARCH(foreign,C4)))&gt;0)</f>
        <v>0</v>
      </c>
      <c r="Q4" s="14" cm="1">
        <f t="array" ref="Q4">INT(SUMPRODUCT(--ISNUMBER(SEARCH(gun,C4)))&gt;0)</f>
        <v>0</v>
      </c>
      <c r="R4" s="14" cm="1">
        <f t="array" ref="R4">INT(SUMPRODUCT(--ISNUMBER(SEARCH(race,C4)))&gt;0)</f>
        <v>0</v>
      </c>
      <c r="S4" s="14" cm="1">
        <f t="array" ref="S4">INT(SUMPRODUCT(--ISNUMBER(SEARCH(immigration,C4)))&gt;0)</f>
        <v>0</v>
      </c>
      <c r="T4" s="14" cm="1">
        <f t="array" ref="T4">INT(SUMPRODUCT(--ISNUMBER(SEARCH(econineq,C5)))&gt;0)</f>
        <v>0</v>
      </c>
      <c r="U4" s="14" cm="1">
        <f t="array" ref="U4">INT(SUMPRODUCT(--ISNUMBER(SEARCH(climate,C4)))&gt;0)</f>
        <v>0</v>
      </c>
      <c r="V4" s="14" cm="1">
        <f t="array" ref="V4">INT(SUMPRODUCT(--ISNUMBER(SEARCH(abortion,C4)))&gt;0)</f>
        <v>0</v>
      </c>
      <c r="W4" s="14" cm="1">
        <f t="array" ref="W4">INT(SUMPRODUCT(--ISNUMBER(SEARCH(trump,C4)))&gt;0)</f>
        <v>0</v>
      </c>
      <c r="X4" s="14" cm="1">
        <f t="array" ref="X4">INT(SUMPRODUCT(--ISNUMBER(SEARCH(voting,C4)))&gt;0)</f>
        <v>1</v>
      </c>
      <c r="Y4" s="14" cm="1">
        <f t="array" ref="Y4">INT(SUMPRODUCT(--ISNUMBER(SEARCH(democrattrigger,C4)))&gt;0)</f>
        <v>0</v>
      </c>
      <c r="Z4" s="14" cm="1">
        <f t="array" ref="Z4">INT(SUMPRODUCT(--ISNUMBER(SEARCH(bipartisan,C4)))&gt;0)</f>
        <v>0</v>
      </c>
      <c r="AA4" s="14">
        <f t="shared" si="0"/>
        <v>0</v>
      </c>
      <c r="AB4" s="14"/>
      <c r="AC4" s="30" t="s">
        <v>223</v>
      </c>
      <c r="AD4" s="37" t="s">
        <v>223</v>
      </c>
    </row>
    <row r="5" spans="1:30" x14ac:dyDescent="0.25">
      <c r="A5" s="36">
        <v>4200</v>
      </c>
      <c r="B5" s="14" t="s">
        <v>8423</v>
      </c>
      <c r="C5" s="14" t="s">
        <v>8424</v>
      </c>
      <c r="D5" s="17">
        <v>44138</v>
      </c>
      <c r="E5" s="14" t="s">
        <v>30</v>
      </c>
      <c r="F5" s="14">
        <v>9548</v>
      </c>
      <c r="G5" s="14">
        <v>1755</v>
      </c>
      <c r="H5" s="14">
        <v>19</v>
      </c>
      <c r="I5" s="14">
        <v>10</v>
      </c>
      <c r="J5" s="14" t="s">
        <v>204</v>
      </c>
      <c r="K5" s="14" cm="1">
        <f t="array" ref="K5">INT(SUMPRODUCT(--ISNUMBER(SEARCH(economy,C5)))&gt;0)</f>
        <v>0</v>
      </c>
      <c r="L5" s="14" cm="1">
        <f t="array" ref="L5">INT(SUMPRODUCT(--ISNUMBER(SEARCH(healthcare,C5)))&gt;0)</f>
        <v>0</v>
      </c>
      <c r="M5" s="14" cm="1">
        <f t="array" ref="M5">INT(SUMPRODUCT(--ISNUMBER(SEARCH(supreme,C5)))&gt;0)</f>
        <v>0</v>
      </c>
      <c r="N5" s="14" cm="1">
        <f t="array" ref="N5">INT(SUMPRODUCT(--ISNUMBER(SEARCH(covid,C5)))&gt;0)</f>
        <v>0</v>
      </c>
      <c r="O5" s="14" cm="1">
        <f t="array" ref="O5">INT(SUMPRODUCT(--ISNUMBER(SEARCH(violent,C5)))&gt;0)</f>
        <v>0</v>
      </c>
      <c r="P5" s="14" cm="1">
        <f t="array" ref="P5">INT(SUMPRODUCT(--ISNUMBER(SEARCH(foreign,C5)))&gt;0)</f>
        <v>0</v>
      </c>
      <c r="Q5" s="14" cm="1">
        <f t="array" ref="Q5">INT(SUMPRODUCT(--ISNUMBER(SEARCH(gun,C5)))&gt;0)</f>
        <v>0</v>
      </c>
      <c r="R5" s="14" cm="1">
        <f t="array" ref="R5">INT(SUMPRODUCT(--ISNUMBER(SEARCH(race,C5)))&gt;0)</f>
        <v>0</v>
      </c>
      <c r="S5" s="14" cm="1">
        <f t="array" ref="S5">INT(SUMPRODUCT(--ISNUMBER(SEARCH(immigration,C5)))&gt;0)</f>
        <v>0</v>
      </c>
      <c r="T5" s="14" cm="1">
        <f t="array" ref="T5">INT(SUMPRODUCT(--ISNUMBER(SEARCH(econineq,C6)))&gt;0)</f>
        <v>0</v>
      </c>
      <c r="U5" s="14" cm="1">
        <f t="array" ref="U5">INT(SUMPRODUCT(--ISNUMBER(SEARCH(climate,C5)))&gt;0)</f>
        <v>0</v>
      </c>
      <c r="V5" s="14" cm="1">
        <f t="array" ref="V5">INT(SUMPRODUCT(--ISNUMBER(SEARCH(abortion,C5)))&gt;0)</f>
        <v>0</v>
      </c>
      <c r="W5" s="14" cm="1">
        <f t="array" ref="W5">INT(SUMPRODUCT(--ISNUMBER(SEARCH(trump,C5)))&gt;0)</f>
        <v>0</v>
      </c>
      <c r="X5" s="14" cm="1">
        <f t="array" ref="X5">INT(SUMPRODUCT(--ISNUMBER(SEARCH(voting,C5)))&gt;0)</f>
        <v>1</v>
      </c>
      <c r="Y5" s="14" cm="1">
        <f t="array" ref="Y5">INT(SUMPRODUCT(--ISNUMBER(SEARCH(democrattrigger,C5)))&gt;0)</f>
        <v>0</v>
      </c>
      <c r="Z5" s="14" cm="1">
        <f t="array" ref="Z5">INT(SUMPRODUCT(--ISNUMBER(SEARCH(bipartisan,C5)))&gt;0)</f>
        <v>0</v>
      </c>
      <c r="AA5" s="14">
        <f t="shared" si="0"/>
        <v>0</v>
      </c>
      <c r="AB5" s="14"/>
      <c r="AC5" s="30" t="s">
        <v>223</v>
      </c>
      <c r="AD5" s="37" t="s">
        <v>223</v>
      </c>
    </row>
    <row r="6" spans="1:30" x14ac:dyDescent="0.25">
      <c r="A6" s="36">
        <v>4201</v>
      </c>
      <c r="B6" s="14" t="s">
        <v>8425</v>
      </c>
      <c r="C6" s="14" t="s">
        <v>8426</v>
      </c>
      <c r="D6" s="17">
        <v>44138</v>
      </c>
      <c r="E6" s="14" t="s">
        <v>30</v>
      </c>
      <c r="F6" s="14">
        <v>115</v>
      </c>
      <c r="G6" s="14">
        <v>46</v>
      </c>
      <c r="H6" s="14">
        <v>19</v>
      </c>
      <c r="I6" s="14">
        <v>10</v>
      </c>
      <c r="J6" s="14" t="s">
        <v>204</v>
      </c>
      <c r="K6" s="14" cm="1">
        <f t="array" ref="K6">INT(SUMPRODUCT(--ISNUMBER(SEARCH(economy,C6)))&gt;0)</f>
        <v>0</v>
      </c>
      <c r="L6" s="14" cm="1">
        <f t="array" ref="L6">INT(SUMPRODUCT(--ISNUMBER(SEARCH(healthcare,C6)))&gt;0)</f>
        <v>0</v>
      </c>
      <c r="M6" s="14" cm="1">
        <f t="array" ref="M6">INT(SUMPRODUCT(--ISNUMBER(SEARCH(supreme,C6)))&gt;0)</f>
        <v>0</v>
      </c>
      <c r="N6" s="14" cm="1">
        <f t="array" ref="N6">INT(SUMPRODUCT(--ISNUMBER(SEARCH(covid,C6)))&gt;0)</f>
        <v>0</v>
      </c>
      <c r="O6" s="14" cm="1">
        <f t="array" ref="O6">INT(SUMPRODUCT(--ISNUMBER(SEARCH(violent,C6)))&gt;0)</f>
        <v>0</v>
      </c>
      <c r="P6" s="14" cm="1">
        <f t="array" ref="P6">INT(SUMPRODUCT(--ISNUMBER(SEARCH(foreign,C6)))&gt;0)</f>
        <v>0</v>
      </c>
      <c r="Q6" s="14" cm="1">
        <f t="array" ref="Q6">INT(SUMPRODUCT(--ISNUMBER(SEARCH(gun,C6)))&gt;0)</f>
        <v>0</v>
      </c>
      <c r="R6" s="14" cm="1">
        <f t="array" ref="R6">INT(SUMPRODUCT(--ISNUMBER(SEARCH(race,C6)))&gt;0)</f>
        <v>0</v>
      </c>
      <c r="S6" s="14" cm="1">
        <f t="array" ref="S6">INT(SUMPRODUCT(--ISNUMBER(SEARCH(immigration,C6)))&gt;0)</f>
        <v>0</v>
      </c>
      <c r="T6" s="14" cm="1">
        <f t="array" ref="T6">INT(SUMPRODUCT(--ISNUMBER(SEARCH(econineq,C7)))&gt;0)</f>
        <v>0</v>
      </c>
      <c r="U6" s="14" cm="1">
        <f t="array" ref="U6">INT(SUMPRODUCT(--ISNUMBER(SEARCH(climate,C6)))&gt;0)</f>
        <v>0</v>
      </c>
      <c r="V6" s="14" cm="1">
        <f t="array" ref="V6">INT(SUMPRODUCT(--ISNUMBER(SEARCH(abortion,C6)))&gt;0)</f>
        <v>0</v>
      </c>
      <c r="W6" s="14" cm="1">
        <f t="array" ref="W6">INT(SUMPRODUCT(--ISNUMBER(SEARCH(trump,C6)))&gt;0)</f>
        <v>0</v>
      </c>
      <c r="X6" s="14" cm="1">
        <f t="array" ref="X6">INT(SUMPRODUCT(--ISNUMBER(SEARCH(voting,C6)))&gt;0)</f>
        <v>1</v>
      </c>
      <c r="Y6" s="14" cm="1">
        <f t="array" ref="Y6">INT(SUMPRODUCT(--ISNUMBER(SEARCH(democrattrigger,C6)))&gt;0)</f>
        <v>0</v>
      </c>
      <c r="Z6" s="14" cm="1">
        <f t="array" ref="Z6">INT(SUMPRODUCT(--ISNUMBER(SEARCH(bipartisan,C6)))&gt;0)</f>
        <v>0</v>
      </c>
      <c r="AA6" s="14">
        <f t="shared" si="0"/>
        <v>0</v>
      </c>
      <c r="AB6" s="14"/>
      <c r="AC6" s="30">
        <v>1</v>
      </c>
      <c r="AD6" s="37">
        <v>0</v>
      </c>
    </row>
    <row r="7" spans="1:30" x14ac:dyDescent="0.25">
      <c r="A7" s="36">
        <v>4202</v>
      </c>
      <c r="B7" s="14" t="s">
        <v>8427</v>
      </c>
      <c r="C7" s="14" t="s">
        <v>8428</v>
      </c>
      <c r="D7" s="17">
        <v>44137</v>
      </c>
      <c r="E7" s="14" t="s">
        <v>30</v>
      </c>
      <c r="F7" s="14">
        <v>112</v>
      </c>
      <c r="G7" s="14">
        <v>35</v>
      </c>
      <c r="H7" s="14">
        <v>19</v>
      </c>
      <c r="I7" s="14">
        <v>10</v>
      </c>
      <c r="J7" s="14" t="s">
        <v>204</v>
      </c>
      <c r="K7" s="14" cm="1">
        <f t="array" ref="K7">INT(SUMPRODUCT(--ISNUMBER(SEARCH(economy,C7)))&gt;0)</f>
        <v>0</v>
      </c>
      <c r="L7" s="14" cm="1">
        <f t="array" ref="L7">INT(SUMPRODUCT(--ISNUMBER(SEARCH(healthcare,C7)))&gt;0)</f>
        <v>0</v>
      </c>
      <c r="M7" s="14" cm="1">
        <f t="array" ref="M7">INT(SUMPRODUCT(--ISNUMBER(SEARCH(supreme,C7)))&gt;0)</f>
        <v>0</v>
      </c>
      <c r="N7" s="14" cm="1">
        <f t="array" ref="N7">INT(SUMPRODUCT(--ISNUMBER(SEARCH(covid,C7)))&gt;0)</f>
        <v>0</v>
      </c>
      <c r="O7" s="14" cm="1">
        <f t="array" ref="O7">INT(SUMPRODUCT(--ISNUMBER(SEARCH(violent,C7)))&gt;0)</f>
        <v>0</v>
      </c>
      <c r="P7" s="14" cm="1">
        <f t="array" ref="P7">INT(SUMPRODUCT(--ISNUMBER(SEARCH(foreign,C7)))&gt;0)</f>
        <v>1</v>
      </c>
      <c r="Q7" s="14" cm="1">
        <f t="array" ref="Q7">INT(SUMPRODUCT(--ISNUMBER(SEARCH(gun,C7)))&gt;0)</f>
        <v>0</v>
      </c>
      <c r="R7" s="14" cm="1">
        <f t="array" ref="R7">INT(SUMPRODUCT(--ISNUMBER(SEARCH(race,C7)))&gt;0)</f>
        <v>0</v>
      </c>
      <c r="S7" s="14" cm="1">
        <f t="array" ref="S7">INT(SUMPRODUCT(--ISNUMBER(SEARCH(immigration,C7)))&gt;0)</f>
        <v>0</v>
      </c>
      <c r="T7" s="14" cm="1">
        <f t="array" ref="T7">INT(SUMPRODUCT(--ISNUMBER(SEARCH(econineq,C8)))&gt;0)</f>
        <v>0</v>
      </c>
      <c r="U7" s="14" cm="1">
        <f t="array" ref="U7">INT(SUMPRODUCT(--ISNUMBER(SEARCH(climate,C7)))&gt;0)</f>
        <v>0</v>
      </c>
      <c r="V7" s="14" cm="1">
        <f t="array" ref="V7">INT(SUMPRODUCT(--ISNUMBER(SEARCH(abortion,C7)))&gt;0)</f>
        <v>0</v>
      </c>
      <c r="W7" s="14" cm="1">
        <f t="array" ref="W7">INT(SUMPRODUCT(--ISNUMBER(SEARCH(trump,C7)))&gt;0)</f>
        <v>0</v>
      </c>
      <c r="X7" s="14" cm="1">
        <f t="array" ref="X7">INT(SUMPRODUCT(--ISNUMBER(SEARCH(voting,C7)))&gt;0)</f>
        <v>1</v>
      </c>
      <c r="Y7" s="14" cm="1">
        <f t="array" ref="Y7">INT(SUMPRODUCT(--ISNUMBER(SEARCH(democrattrigger,C7)))&gt;0)</f>
        <v>0</v>
      </c>
      <c r="Z7" s="14" cm="1">
        <f t="array" ref="Z7">INT(SUMPRODUCT(--ISNUMBER(SEARCH(bipartisan,C7)))&gt;0)</f>
        <v>0</v>
      </c>
      <c r="AA7" s="14">
        <f t="shared" si="0"/>
        <v>0</v>
      </c>
      <c r="AB7" s="14"/>
      <c r="AC7" s="30">
        <v>1</v>
      </c>
      <c r="AD7" s="37">
        <v>0</v>
      </c>
    </row>
    <row r="8" spans="1:30" x14ac:dyDescent="0.25">
      <c r="A8" s="36">
        <v>4203</v>
      </c>
      <c r="B8" s="14" t="s">
        <v>8429</v>
      </c>
      <c r="C8" s="14" t="s">
        <v>8430</v>
      </c>
      <c r="D8" s="17">
        <v>44137</v>
      </c>
      <c r="E8" s="14" t="s">
        <v>70</v>
      </c>
      <c r="F8" s="14">
        <v>2202</v>
      </c>
      <c r="G8" s="14">
        <v>857</v>
      </c>
      <c r="H8" s="14">
        <v>19</v>
      </c>
      <c r="I8" s="14">
        <v>10</v>
      </c>
      <c r="J8" s="14" t="s">
        <v>204</v>
      </c>
      <c r="K8" s="14" cm="1">
        <f t="array" ref="K8">INT(SUMPRODUCT(--ISNUMBER(SEARCH(economy,C8)))&gt;0)</f>
        <v>0</v>
      </c>
      <c r="L8" s="14" cm="1">
        <f t="array" ref="L8">INT(SUMPRODUCT(--ISNUMBER(SEARCH(healthcare,C8)))&gt;0)</f>
        <v>0</v>
      </c>
      <c r="M8" s="14" cm="1">
        <f t="array" ref="M8">INT(SUMPRODUCT(--ISNUMBER(SEARCH(supreme,C8)))&gt;0)</f>
        <v>0</v>
      </c>
      <c r="N8" s="14" cm="1">
        <f t="array" ref="N8">INT(SUMPRODUCT(--ISNUMBER(SEARCH(covid,C8)))&gt;0)</f>
        <v>0</v>
      </c>
      <c r="O8" s="14" cm="1">
        <f t="array" ref="O8">INT(SUMPRODUCT(--ISNUMBER(SEARCH(violent,C8)))&gt;0)</f>
        <v>0</v>
      </c>
      <c r="P8" s="14" cm="1">
        <f t="array" ref="P8">INT(SUMPRODUCT(--ISNUMBER(SEARCH(foreign,C8)))&gt;0)</f>
        <v>0</v>
      </c>
      <c r="Q8" s="14" cm="1">
        <f t="array" ref="Q8">INT(SUMPRODUCT(--ISNUMBER(SEARCH(gun,C8)))&gt;0)</f>
        <v>0</v>
      </c>
      <c r="R8" s="14" cm="1">
        <f t="array" ref="R8">INT(SUMPRODUCT(--ISNUMBER(SEARCH(race,C8)))&gt;0)</f>
        <v>0</v>
      </c>
      <c r="S8" s="14" cm="1">
        <f t="array" ref="S8">INT(SUMPRODUCT(--ISNUMBER(SEARCH(immigration,C8)))&gt;0)</f>
        <v>0</v>
      </c>
      <c r="T8" s="14" cm="1">
        <f t="array" ref="T8">INT(SUMPRODUCT(--ISNUMBER(SEARCH(econineq,C9)))&gt;0)</f>
        <v>0</v>
      </c>
      <c r="U8" s="14" cm="1">
        <f t="array" ref="U8">INT(SUMPRODUCT(--ISNUMBER(SEARCH(climate,C8)))&gt;0)</f>
        <v>0</v>
      </c>
      <c r="V8" s="14" cm="1">
        <f t="array" ref="V8">INT(SUMPRODUCT(--ISNUMBER(SEARCH(abortion,C8)))&gt;0)</f>
        <v>0</v>
      </c>
      <c r="W8" s="14" cm="1">
        <f t="array" ref="W8">INT(SUMPRODUCT(--ISNUMBER(SEARCH(trump,C8)))&gt;0)</f>
        <v>0</v>
      </c>
      <c r="X8" s="14" cm="1">
        <f t="array" ref="X8">INT(SUMPRODUCT(--ISNUMBER(SEARCH(voting,C8)))&gt;0)</f>
        <v>1</v>
      </c>
      <c r="Y8" s="14" cm="1">
        <f t="array" ref="Y8">INT(SUMPRODUCT(--ISNUMBER(SEARCH(democrattrigger,C8)))&gt;0)</f>
        <v>0</v>
      </c>
      <c r="Z8" s="14" cm="1">
        <f t="array" ref="Z8">INT(SUMPRODUCT(--ISNUMBER(SEARCH(bipartisan,C8)))&gt;0)</f>
        <v>0</v>
      </c>
      <c r="AA8" s="14">
        <f t="shared" si="0"/>
        <v>0</v>
      </c>
      <c r="AB8" s="14"/>
      <c r="AC8" s="30" t="s">
        <v>223</v>
      </c>
      <c r="AD8" s="37" t="s">
        <v>223</v>
      </c>
    </row>
    <row r="9" spans="1:30" x14ac:dyDescent="0.25">
      <c r="A9" s="36">
        <v>4204</v>
      </c>
      <c r="B9" s="14" t="s">
        <v>8431</v>
      </c>
      <c r="C9" s="14" t="s">
        <v>8432</v>
      </c>
      <c r="D9" s="17">
        <v>44137</v>
      </c>
      <c r="E9" s="14" t="s">
        <v>70</v>
      </c>
      <c r="F9" s="14">
        <v>3041</v>
      </c>
      <c r="G9" s="14">
        <v>984</v>
      </c>
      <c r="H9" s="14">
        <v>19</v>
      </c>
      <c r="I9" s="14">
        <v>10</v>
      </c>
      <c r="J9" s="14" t="s">
        <v>204</v>
      </c>
      <c r="K9" s="14" cm="1">
        <f t="array" ref="K9">INT(SUMPRODUCT(--ISNUMBER(SEARCH(economy,C9)))&gt;0)</f>
        <v>0</v>
      </c>
      <c r="L9" s="14" cm="1">
        <f t="array" ref="L9">INT(SUMPRODUCT(--ISNUMBER(SEARCH(healthcare,C9)))&gt;0)</f>
        <v>0</v>
      </c>
      <c r="M9" s="14" cm="1">
        <f t="array" ref="M9">INT(SUMPRODUCT(--ISNUMBER(SEARCH(supreme,C9)))&gt;0)</f>
        <v>0</v>
      </c>
      <c r="N9" s="14" cm="1">
        <f t="array" ref="N9">INT(SUMPRODUCT(--ISNUMBER(SEARCH(covid,C9)))&gt;0)</f>
        <v>0</v>
      </c>
      <c r="O9" s="14" cm="1">
        <f t="array" ref="O9">INT(SUMPRODUCT(--ISNUMBER(SEARCH(violent,C9)))&gt;0)</f>
        <v>0</v>
      </c>
      <c r="P9" s="14" cm="1">
        <f t="array" ref="P9">INT(SUMPRODUCT(--ISNUMBER(SEARCH(foreign,C9)))&gt;0)</f>
        <v>1</v>
      </c>
      <c r="Q9" s="14" cm="1">
        <f t="array" ref="Q9">INT(SUMPRODUCT(--ISNUMBER(SEARCH(gun,C9)))&gt;0)</f>
        <v>0</v>
      </c>
      <c r="R9" s="14" cm="1">
        <f t="array" ref="R9">INT(SUMPRODUCT(--ISNUMBER(SEARCH(race,C9)))&gt;0)</f>
        <v>0</v>
      </c>
      <c r="S9" s="14" cm="1">
        <f t="array" ref="S9">INT(SUMPRODUCT(--ISNUMBER(SEARCH(immigration,C9)))&gt;0)</f>
        <v>0</v>
      </c>
      <c r="T9" s="14" cm="1">
        <f t="array" ref="T9">INT(SUMPRODUCT(--ISNUMBER(SEARCH(econineq,C10)))&gt;0)</f>
        <v>0</v>
      </c>
      <c r="U9" s="14" cm="1">
        <f t="array" ref="U9">INT(SUMPRODUCT(--ISNUMBER(SEARCH(climate,C9)))&gt;0)</f>
        <v>0</v>
      </c>
      <c r="V9" s="14" cm="1">
        <f t="array" ref="V9">INT(SUMPRODUCT(--ISNUMBER(SEARCH(abortion,C9)))&gt;0)</f>
        <v>0</v>
      </c>
      <c r="W9" s="14" cm="1">
        <f t="array" ref="W9">INT(SUMPRODUCT(--ISNUMBER(SEARCH(trump,C9)))&gt;0)</f>
        <v>0</v>
      </c>
      <c r="X9" s="14" cm="1">
        <f t="array" ref="X9">INT(SUMPRODUCT(--ISNUMBER(SEARCH(voting,C9)))&gt;0)</f>
        <v>1</v>
      </c>
      <c r="Y9" s="14" cm="1">
        <f t="array" ref="Y9">INT(SUMPRODUCT(--ISNUMBER(SEARCH(democrattrigger,C9)))&gt;0)</f>
        <v>0</v>
      </c>
      <c r="Z9" s="14" cm="1">
        <f t="array" ref="Z9">INT(SUMPRODUCT(--ISNUMBER(SEARCH(bipartisan,C9)))&gt;0)</f>
        <v>0</v>
      </c>
      <c r="AA9" s="14">
        <f t="shared" si="0"/>
        <v>0</v>
      </c>
      <c r="AB9" s="14"/>
      <c r="AC9" s="30" t="s">
        <v>223</v>
      </c>
      <c r="AD9" s="37" t="s">
        <v>223</v>
      </c>
    </row>
    <row r="10" spans="1:30" x14ac:dyDescent="0.25">
      <c r="A10" s="36">
        <v>4205</v>
      </c>
      <c r="B10" s="14" t="s">
        <v>8433</v>
      </c>
      <c r="C10" s="14" t="s">
        <v>8434</v>
      </c>
      <c r="D10" s="17">
        <v>44137</v>
      </c>
      <c r="E10" s="14" t="s">
        <v>30</v>
      </c>
      <c r="F10" s="14">
        <v>8129</v>
      </c>
      <c r="G10" s="14">
        <v>2622</v>
      </c>
      <c r="H10" s="14">
        <v>19</v>
      </c>
      <c r="I10" s="14">
        <v>10</v>
      </c>
      <c r="J10" s="14" t="s">
        <v>204</v>
      </c>
      <c r="K10" s="14" cm="1">
        <f t="array" ref="K10">INT(SUMPRODUCT(--ISNUMBER(SEARCH(economy,C10)))&gt;0)</f>
        <v>1</v>
      </c>
      <c r="L10" s="14" cm="1">
        <f t="array" ref="L10">INT(SUMPRODUCT(--ISNUMBER(SEARCH(healthcare,C10)))&gt;0)</f>
        <v>0</v>
      </c>
      <c r="M10" s="14" cm="1">
        <f t="array" ref="M10">INT(SUMPRODUCT(--ISNUMBER(SEARCH(supreme,C10)))&gt;0)</f>
        <v>0</v>
      </c>
      <c r="N10" s="14" cm="1">
        <f t="array" ref="N10">INT(SUMPRODUCT(--ISNUMBER(SEARCH(covid,C10)))&gt;0)</f>
        <v>0</v>
      </c>
      <c r="O10" s="14" cm="1">
        <f t="array" ref="O10">INT(SUMPRODUCT(--ISNUMBER(SEARCH(violent,C10)))&gt;0)</f>
        <v>0</v>
      </c>
      <c r="P10" s="14" cm="1">
        <f t="array" ref="P10">INT(SUMPRODUCT(--ISNUMBER(SEARCH(foreign,C10)))&gt;0)</f>
        <v>0</v>
      </c>
      <c r="Q10" s="14" cm="1">
        <f t="array" ref="Q10">INT(SUMPRODUCT(--ISNUMBER(SEARCH(gun,C10)))&gt;0)</f>
        <v>0</v>
      </c>
      <c r="R10" s="14" cm="1">
        <f t="array" ref="R10">INT(SUMPRODUCT(--ISNUMBER(SEARCH(race,C10)))&gt;0)</f>
        <v>0</v>
      </c>
      <c r="S10" s="14" cm="1">
        <f t="array" ref="S10">INT(SUMPRODUCT(--ISNUMBER(SEARCH(immigration,C10)))&gt;0)</f>
        <v>0</v>
      </c>
      <c r="T10" s="14" cm="1">
        <f t="array" ref="T10">INT(SUMPRODUCT(--ISNUMBER(SEARCH(econineq,C11)))&gt;0)</f>
        <v>1</v>
      </c>
      <c r="U10" s="14" cm="1">
        <f t="array" ref="U10">INT(SUMPRODUCT(--ISNUMBER(SEARCH(climate,C10)))&gt;0)</f>
        <v>0</v>
      </c>
      <c r="V10" s="14" cm="1">
        <f t="array" ref="V10">INT(SUMPRODUCT(--ISNUMBER(SEARCH(abortion,C10)))&gt;0)</f>
        <v>0</v>
      </c>
      <c r="W10" s="14" cm="1">
        <f t="array" ref="W10">INT(SUMPRODUCT(--ISNUMBER(SEARCH(trump,C10)))&gt;0)</f>
        <v>0</v>
      </c>
      <c r="X10" s="14" cm="1">
        <f t="array" ref="X10">INT(SUMPRODUCT(--ISNUMBER(SEARCH(voting,C10)))&gt;0)</f>
        <v>1</v>
      </c>
      <c r="Y10" s="14" cm="1">
        <f t="array" ref="Y10">INT(SUMPRODUCT(--ISNUMBER(SEARCH(democrattrigger,C10)))&gt;0)</f>
        <v>0</v>
      </c>
      <c r="Z10" s="14" cm="1">
        <f t="array" ref="Z10">INT(SUMPRODUCT(--ISNUMBER(SEARCH(bipartisan,C10)))&gt;0)</f>
        <v>0</v>
      </c>
      <c r="AA10" s="14">
        <f t="shared" si="0"/>
        <v>0</v>
      </c>
      <c r="AB10" s="14"/>
      <c r="AC10" s="30" t="s">
        <v>223</v>
      </c>
      <c r="AD10" s="37" t="s">
        <v>223</v>
      </c>
    </row>
    <row r="11" spans="1:30" x14ac:dyDescent="0.25">
      <c r="A11" s="36">
        <v>4206</v>
      </c>
      <c r="B11" s="14" t="s">
        <v>8435</v>
      </c>
      <c r="C11" s="14" t="s">
        <v>8436</v>
      </c>
      <c r="D11" s="17">
        <v>44137</v>
      </c>
      <c r="E11" s="14" t="s">
        <v>70</v>
      </c>
      <c r="F11" s="14">
        <v>86</v>
      </c>
      <c r="G11" s="14">
        <v>16</v>
      </c>
      <c r="H11" s="14">
        <v>19</v>
      </c>
      <c r="I11" s="14">
        <v>10</v>
      </c>
      <c r="J11" s="14" t="s">
        <v>204</v>
      </c>
      <c r="K11" s="14" cm="1">
        <f t="array" ref="K11">INT(SUMPRODUCT(--ISNUMBER(SEARCH(economy,C11)))&gt;0)</f>
        <v>0</v>
      </c>
      <c r="L11" s="14" cm="1">
        <f t="array" ref="L11">INT(SUMPRODUCT(--ISNUMBER(SEARCH(healthcare,C11)))&gt;0)</f>
        <v>1</v>
      </c>
      <c r="M11" s="14" cm="1">
        <f t="array" ref="M11">INT(SUMPRODUCT(--ISNUMBER(SEARCH(supreme,C11)))&gt;0)</f>
        <v>0</v>
      </c>
      <c r="N11" s="14" cm="1">
        <f t="array" ref="N11">INT(SUMPRODUCT(--ISNUMBER(SEARCH(covid,C11)))&gt;0)</f>
        <v>0</v>
      </c>
      <c r="O11" s="14" cm="1">
        <f t="array" ref="O11">INT(SUMPRODUCT(--ISNUMBER(SEARCH(violent,C11)))&gt;0)</f>
        <v>0</v>
      </c>
      <c r="P11" s="14" cm="1">
        <f t="array" ref="P11">INT(SUMPRODUCT(--ISNUMBER(SEARCH(foreign,C11)))&gt;0)</f>
        <v>0</v>
      </c>
      <c r="Q11" s="14" cm="1">
        <f t="array" ref="Q11">INT(SUMPRODUCT(--ISNUMBER(SEARCH(gun,C11)))&gt;0)</f>
        <v>0</v>
      </c>
      <c r="R11" s="14" cm="1">
        <f t="array" ref="R11">INT(SUMPRODUCT(--ISNUMBER(SEARCH(race,C11)))&gt;0)</f>
        <v>0</v>
      </c>
      <c r="S11" s="14" cm="1">
        <f t="array" ref="S11">INT(SUMPRODUCT(--ISNUMBER(SEARCH(immigration,C11)))&gt;0)</f>
        <v>0</v>
      </c>
      <c r="T11" s="14" cm="1">
        <f t="array" ref="T11">INT(SUMPRODUCT(--ISNUMBER(SEARCH(econineq,C12)))&gt;0)</f>
        <v>1</v>
      </c>
      <c r="U11" s="14" cm="1">
        <f t="array" ref="U11">INT(SUMPRODUCT(--ISNUMBER(SEARCH(climate,C11)))&gt;0)</f>
        <v>0</v>
      </c>
      <c r="V11" s="14" cm="1">
        <f t="array" ref="V11">INT(SUMPRODUCT(--ISNUMBER(SEARCH(abortion,C11)))&gt;0)</f>
        <v>0</v>
      </c>
      <c r="W11" s="14" cm="1">
        <f t="array" ref="W11">INT(SUMPRODUCT(--ISNUMBER(SEARCH(trump,C11)))&gt;0)</f>
        <v>0</v>
      </c>
      <c r="X11" s="14" cm="1">
        <f t="array" ref="X11">INT(SUMPRODUCT(--ISNUMBER(SEARCH(voting,C11)))&gt;0)</f>
        <v>0</v>
      </c>
      <c r="Y11" s="14" cm="1">
        <f t="array" ref="Y11">INT(SUMPRODUCT(--ISNUMBER(SEARCH(democrattrigger,C11)))&gt;0)</f>
        <v>0</v>
      </c>
      <c r="Z11" s="14" cm="1">
        <f t="array" ref="Z11">INT(SUMPRODUCT(--ISNUMBER(SEARCH(bipartisan,C11)))&gt;0)</f>
        <v>0</v>
      </c>
      <c r="AA11" s="14">
        <f t="shared" si="0"/>
        <v>0</v>
      </c>
      <c r="AB11" s="14"/>
      <c r="AC11" s="30" t="s">
        <v>223</v>
      </c>
      <c r="AD11" s="37" t="s">
        <v>223</v>
      </c>
    </row>
    <row r="12" spans="1:30" x14ac:dyDescent="0.25">
      <c r="A12" s="36">
        <v>4207</v>
      </c>
      <c r="B12" s="14" t="s">
        <v>8437</v>
      </c>
      <c r="C12" s="14" t="s">
        <v>8438</v>
      </c>
      <c r="D12" s="17">
        <v>44137</v>
      </c>
      <c r="E12" s="14" t="s">
        <v>70</v>
      </c>
      <c r="F12" s="14">
        <v>79</v>
      </c>
      <c r="G12" s="14">
        <v>15</v>
      </c>
      <c r="H12" s="14">
        <v>19</v>
      </c>
      <c r="I12" s="14">
        <v>10</v>
      </c>
      <c r="J12" s="14" t="s">
        <v>204</v>
      </c>
      <c r="K12" s="14" cm="1">
        <f t="array" ref="K12">INT(SUMPRODUCT(--ISNUMBER(SEARCH(economy,C12)))&gt;0)</f>
        <v>0</v>
      </c>
      <c r="L12" s="14" cm="1">
        <f t="array" ref="L12">INT(SUMPRODUCT(--ISNUMBER(SEARCH(healthcare,C12)))&gt;0)</f>
        <v>0</v>
      </c>
      <c r="M12" s="14" cm="1">
        <f t="array" ref="M12">INT(SUMPRODUCT(--ISNUMBER(SEARCH(supreme,C12)))&gt;0)</f>
        <v>0</v>
      </c>
      <c r="N12" s="14" cm="1">
        <f t="array" ref="N12">INT(SUMPRODUCT(--ISNUMBER(SEARCH(covid,C12)))&gt;0)</f>
        <v>0</v>
      </c>
      <c r="O12" s="14" cm="1">
        <f t="array" ref="O12">INT(SUMPRODUCT(--ISNUMBER(SEARCH(violent,C12)))&gt;0)</f>
        <v>0</v>
      </c>
      <c r="P12" s="14" cm="1">
        <f t="array" ref="P12">INT(SUMPRODUCT(--ISNUMBER(SEARCH(foreign,C12)))&gt;0)</f>
        <v>0</v>
      </c>
      <c r="Q12" s="14" cm="1">
        <f t="array" ref="Q12">INT(SUMPRODUCT(--ISNUMBER(SEARCH(gun,C12)))&gt;0)</f>
        <v>0</v>
      </c>
      <c r="R12" s="14" cm="1">
        <f t="array" ref="R12">INT(SUMPRODUCT(--ISNUMBER(SEARCH(race,C12)))&gt;0)</f>
        <v>0</v>
      </c>
      <c r="S12" s="14" cm="1">
        <f t="array" ref="S12">INT(SUMPRODUCT(--ISNUMBER(SEARCH(immigration,C12)))&gt;0)</f>
        <v>0</v>
      </c>
      <c r="T12" s="14" cm="1">
        <f t="array" ref="T12">INT(SUMPRODUCT(--ISNUMBER(SEARCH(econineq,C13)))&gt;0)</f>
        <v>0</v>
      </c>
      <c r="U12" s="14" cm="1">
        <f t="array" ref="U12">INT(SUMPRODUCT(--ISNUMBER(SEARCH(climate,C12)))&gt;0)</f>
        <v>0</v>
      </c>
      <c r="V12" s="14" cm="1">
        <f t="array" ref="V12">INT(SUMPRODUCT(--ISNUMBER(SEARCH(abortion,C12)))&gt;0)</f>
        <v>0</v>
      </c>
      <c r="W12" s="14" cm="1">
        <f t="array" ref="W12">INT(SUMPRODUCT(--ISNUMBER(SEARCH(trump,C12)))&gt;0)</f>
        <v>1</v>
      </c>
      <c r="X12" s="14" cm="1">
        <f t="array" ref="X12">INT(SUMPRODUCT(--ISNUMBER(SEARCH(voting,C12)))&gt;0)</f>
        <v>0</v>
      </c>
      <c r="Y12" s="14" cm="1">
        <f t="array" ref="Y12">INT(SUMPRODUCT(--ISNUMBER(SEARCH(democrattrigger,C12)))&gt;0)</f>
        <v>0</v>
      </c>
      <c r="Z12" s="14" cm="1">
        <f t="array" ref="Z12">INT(SUMPRODUCT(--ISNUMBER(SEARCH(bipartisan,C12)))&gt;0)</f>
        <v>0</v>
      </c>
      <c r="AA12" s="14">
        <f t="shared" si="0"/>
        <v>0</v>
      </c>
      <c r="AB12" s="14"/>
      <c r="AC12" s="30" t="s">
        <v>223</v>
      </c>
      <c r="AD12" s="37" t="s">
        <v>223</v>
      </c>
    </row>
    <row r="13" spans="1:30" x14ac:dyDescent="0.25">
      <c r="A13" s="36">
        <v>4208</v>
      </c>
      <c r="B13" s="14" t="s">
        <v>8439</v>
      </c>
      <c r="C13" s="14" t="s">
        <v>8440</v>
      </c>
      <c r="D13" s="17">
        <v>44137</v>
      </c>
      <c r="E13" s="14" t="s">
        <v>30</v>
      </c>
      <c r="F13" s="14">
        <v>277</v>
      </c>
      <c r="G13" s="14">
        <v>53</v>
      </c>
      <c r="H13" s="14">
        <v>19</v>
      </c>
      <c r="I13" s="14">
        <v>10</v>
      </c>
      <c r="J13" s="14" t="s">
        <v>204</v>
      </c>
      <c r="K13" s="14" cm="1">
        <f t="array" ref="K13">INT(SUMPRODUCT(--ISNUMBER(SEARCH(economy,C13)))&gt;0)</f>
        <v>0</v>
      </c>
      <c r="L13" s="14" cm="1">
        <f t="array" ref="L13">INT(SUMPRODUCT(--ISNUMBER(SEARCH(healthcare,C13)))&gt;0)</f>
        <v>0</v>
      </c>
      <c r="M13" s="14" cm="1">
        <f t="array" ref="M13">INT(SUMPRODUCT(--ISNUMBER(SEARCH(supreme,C13)))&gt;0)</f>
        <v>0</v>
      </c>
      <c r="N13" s="14" cm="1">
        <f t="array" ref="N13">INT(SUMPRODUCT(--ISNUMBER(SEARCH(covid,C13)))&gt;0)</f>
        <v>0</v>
      </c>
      <c r="O13" s="14" cm="1">
        <f t="array" ref="O13">INT(SUMPRODUCT(--ISNUMBER(SEARCH(violent,C13)))&gt;0)</f>
        <v>0</v>
      </c>
      <c r="P13" s="14" cm="1">
        <f t="array" ref="P13">INT(SUMPRODUCT(--ISNUMBER(SEARCH(foreign,C13)))&gt;0)</f>
        <v>0</v>
      </c>
      <c r="Q13" s="14" cm="1">
        <f t="array" ref="Q13">INT(SUMPRODUCT(--ISNUMBER(SEARCH(gun,C13)))&gt;0)</f>
        <v>0</v>
      </c>
      <c r="R13" s="14" cm="1">
        <f t="array" ref="R13">INT(SUMPRODUCT(--ISNUMBER(SEARCH(race,C13)))&gt;0)</f>
        <v>0</v>
      </c>
      <c r="S13" s="14" cm="1">
        <f t="array" ref="S13">INT(SUMPRODUCT(--ISNUMBER(SEARCH(immigration,C13)))&gt;0)</f>
        <v>0</v>
      </c>
      <c r="T13" s="14" cm="1">
        <f t="array" ref="T13">INT(SUMPRODUCT(--ISNUMBER(SEARCH(econineq,C14)))&gt;0)</f>
        <v>0</v>
      </c>
      <c r="U13" s="14" cm="1">
        <f t="array" ref="U13">INT(SUMPRODUCT(--ISNUMBER(SEARCH(climate,C13)))&gt;0)</f>
        <v>0</v>
      </c>
      <c r="V13" s="14" cm="1">
        <f t="array" ref="V13">INT(SUMPRODUCT(--ISNUMBER(SEARCH(abortion,C13)))&gt;0)</f>
        <v>0</v>
      </c>
      <c r="W13" s="14" cm="1">
        <f t="array" ref="W13">INT(SUMPRODUCT(--ISNUMBER(SEARCH(trump,C13)))&gt;0)</f>
        <v>0</v>
      </c>
      <c r="X13" s="14" cm="1">
        <f t="array" ref="X13">INT(SUMPRODUCT(--ISNUMBER(SEARCH(voting,C13)))&gt;0)</f>
        <v>0</v>
      </c>
      <c r="Y13" s="14" cm="1">
        <f t="array" ref="Y13">INT(SUMPRODUCT(--ISNUMBER(SEARCH(democrattrigger,C13)))&gt;0)</f>
        <v>0</v>
      </c>
      <c r="Z13" s="14" cm="1">
        <f t="array" ref="Z13">INT(SUMPRODUCT(--ISNUMBER(SEARCH(bipartisan,C13)))&gt;0)</f>
        <v>0</v>
      </c>
      <c r="AA13" s="14">
        <f t="shared" si="0"/>
        <v>1</v>
      </c>
      <c r="AB13" s="14"/>
      <c r="AC13" s="30">
        <v>1</v>
      </c>
      <c r="AD13" s="37">
        <v>0</v>
      </c>
    </row>
    <row r="14" spans="1:30" x14ac:dyDescent="0.25">
      <c r="A14" s="36">
        <v>4209</v>
      </c>
      <c r="B14" s="14" t="s">
        <v>8441</v>
      </c>
      <c r="C14" s="14" t="s">
        <v>8442</v>
      </c>
      <c r="D14" s="17">
        <v>44136</v>
      </c>
      <c r="E14" s="14" t="s">
        <v>30</v>
      </c>
      <c r="F14" s="14">
        <v>658</v>
      </c>
      <c r="G14" s="14">
        <v>57</v>
      </c>
      <c r="H14" s="14">
        <v>19</v>
      </c>
      <c r="I14" s="14">
        <v>10</v>
      </c>
      <c r="J14" s="14" t="s">
        <v>204</v>
      </c>
      <c r="K14" s="14" cm="1">
        <f t="array" ref="K14">INT(SUMPRODUCT(--ISNUMBER(SEARCH(economy,C14)))&gt;0)</f>
        <v>0</v>
      </c>
      <c r="L14" s="14" cm="1">
        <f t="array" ref="L14">INT(SUMPRODUCT(--ISNUMBER(SEARCH(healthcare,C14)))&gt;0)</f>
        <v>0</v>
      </c>
      <c r="M14" s="14" cm="1">
        <f t="array" ref="M14">INT(SUMPRODUCT(--ISNUMBER(SEARCH(supreme,C14)))&gt;0)</f>
        <v>0</v>
      </c>
      <c r="N14" s="14" cm="1">
        <f t="array" ref="N14">INT(SUMPRODUCT(--ISNUMBER(SEARCH(covid,C14)))&gt;0)</f>
        <v>0</v>
      </c>
      <c r="O14" s="14" cm="1">
        <f t="array" ref="O14">INT(SUMPRODUCT(--ISNUMBER(SEARCH(violent,C14)))&gt;0)</f>
        <v>0</v>
      </c>
      <c r="P14" s="14" cm="1">
        <f t="array" ref="P14">INT(SUMPRODUCT(--ISNUMBER(SEARCH(foreign,C14)))&gt;0)</f>
        <v>0</v>
      </c>
      <c r="Q14" s="14" cm="1">
        <f t="array" ref="Q14">INT(SUMPRODUCT(--ISNUMBER(SEARCH(gun,C14)))&gt;0)</f>
        <v>0</v>
      </c>
      <c r="R14" s="14" cm="1">
        <f t="array" ref="R14">INT(SUMPRODUCT(--ISNUMBER(SEARCH(race,C14)))&gt;0)</f>
        <v>0</v>
      </c>
      <c r="S14" s="14" cm="1">
        <f t="array" ref="S14">INT(SUMPRODUCT(--ISNUMBER(SEARCH(immigration,C14)))&gt;0)</f>
        <v>0</v>
      </c>
      <c r="T14" s="14" cm="1">
        <f t="array" ref="T14">INT(SUMPRODUCT(--ISNUMBER(SEARCH(econineq,C15)))&gt;0)</f>
        <v>0</v>
      </c>
      <c r="U14" s="14" cm="1">
        <f t="array" ref="U14">INT(SUMPRODUCT(--ISNUMBER(SEARCH(climate,C14)))&gt;0)</f>
        <v>0</v>
      </c>
      <c r="V14" s="14" cm="1">
        <f t="array" ref="V14">INT(SUMPRODUCT(--ISNUMBER(SEARCH(abortion,C14)))&gt;0)</f>
        <v>0</v>
      </c>
      <c r="W14" s="14" cm="1">
        <f t="array" ref="W14">INT(SUMPRODUCT(--ISNUMBER(SEARCH(trump,C14)))&gt;0)</f>
        <v>0</v>
      </c>
      <c r="X14" s="14" cm="1">
        <f t="array" ref="X14">INT(SUMPRODUCT(--ISNUMBER(SEARCH(voting,C14)))&gt;0)</f>
        <v>0</v>
      </c>
      <c r="Y14" s="14" cm="1">
        <f t="array" ref="Y14">INT(SUMPRODUCT(--ISNUMBER(SEARCH(democrattrigger,C14)))&gt;0)</f>
        <v>0</v>
      </c>
      <c r="Z14" s="14" cm="1">
        <f t="array" ref="Z14">INT(SUMPRODUCT(--ISNUMBER(SEARCH(bipartisan,C14)))&gt;0)</f>
        <v>0</v>
      </c>
      <c r="AA14" s="14">
        <f t="shared" si="0"/>
        <v>1</v>
      </c>
      <c r="AB14" s="14"/>
      <c r="AC14" s="30" t="s">
        <v>223</v>
      </c>
      <c r="AD14" s="37" t="s">
        <v>223</v>
      </c>
    </row>
    <row r="15" spans="1:30" x14ac:dyDescent="0.25">
      <c r="A15" s="36">
        <v>4210</v>
      </c>
      <c r="B15" s="14" t="s">
        <v>8443</v>
      </c>
      <c r="C15" s="14" t="s">
        <v>8444</v>
      </c>
      <c r="D15" s="17">
        <v>44135</v>
      </c>
      <c r="E15" s="14" t="s">
        <v>30</v>
      </c>
      <c r="F15" s="14">
        <v>191</v>
      </c>
      <c r="G15" s="14">
        <v>73</v>
      </c>
      <c r="H15" s="14">
        <v>19</v>
      </c>
      <c r="I15" s="14">
        <v>10</v>
      </c>
      <c r="J15" s="14" t="s">
        <v>204</v>
      </c>
      <c r="K15" s="14" cm="1">
        <f t="array" ref="K15">INT(SUMPRODUCT(--ISNUMBER(SEARCH(economy,C15)))&gt;0)</f>
        <v>1</v>
      </c>
      <c r="L15" s="14" cm="1">
        <f t="array" ref="L15">INT(SUMPRODUCT(--ISNUMBER(SEARCH(healthcare,C15)))&gt;0)</f>
        <v>1</v>
      </c>
      <c r="M15" s="14" cm="1">
        <f t="array" ref="M15">INT(SUMPRODUCT(--ISNUMBER(SEARCH(supreme,C15)))&gt;0)</f>
        <v>0</v>
      </c>
      <c r="N15" s="14" cm="1">
        <f t="array" ref="N15">INT(SUMPRODUCT(--ISNUMBER(SEARCH(covid,C15)))&gt;0)</f>
        <v>1</v>
      </c>
      <c r="O15" s="14" cm="1">
        <f t="array" ref="O15">INT(SUMPRODUCT(--ISNUMBER(SEARCH(violent,C15)))&gt;0)</f>
        <v>0</v>
      </c>
      <c r="P15" s="14" cm="1">
        <f t="array" ref="P15">INT(SUMPRODUCT(--ISNUMBER(SEARCH(foreign,C15)))&gt;0)</f>
        <v>0</v>
      </c>
      <c r="Q15" s="14" cm="1">
        <f t="array" ref="Q15">INT(SUMPRODUCT(--ISNUMBER(SEARCH(gun,C15)))&gt;0)</f>
        <v>0</v>
      </c>
      <c r="R15" s="14" cm="1">
        <f t="array" ref="R15">INT(SUMPRODUCT(--ISNUMBER(SEARCH(race,C15)))&gt;0)</f>
        <v>0</v>
      </c>
      <c r="S15" s="14" cm="1">
        <f t="array" ref="S15">INT(SUMPRODUCT(--ISNUMBER(SEARCH(immigration,C15)))&gt;0)</f>
        <v>0</v>
      </c>
      <c r="T15" s="14" cm="1">
        <f t="array" ref="T15">INT(SUMPRODUCT(--ISNUMBER(SEARCH(econineq,C16)))&gt;0)</f>
        <v>0</v>
      </c>
      <c r="U15" s="14" cm="1">
        <f t="array" ref="U15">INT(SUMPRODUCT(--ISNUMBER(SEARCH(climate,C15)))&gt;0)</f>
        <v>0</v>
      </c>
      <c r="V15" s="14" cm="1">
        <f t="array" ref="V15">INT(SUMPRODUCT(--ISNUMBER(SEARCH(abortion,C15)))&gt;0)</f>
        <v>0</v>
      </c>
      <c r="W15" s="14" cm="1">
        <f t="array" ref="W15">INT(SUMPRODUCT(--ISNUMBER(SEARCH(trump,C15)))&gt;0)</f>
        <v>0</v>
      </c>
      <c r="X15" s="14" cm="1">
        <f t="array" ref="X15">INT(SUMPRODUCT(--ISNUMBER(SEARCH(voting,C15)))&gt;0)</f>
        <v>0</v>
      </c>
      <c r="Y15" s="14" cm="1">
        <f t="array" ref="Y15">INT(SUMPRODUCT(--ISNUMBER(SEARCH(democrattrigger,C15)))&gt;0)</f>
        <v>0</v>
      </c>
      <c r="Z15" s="14" cm="1">
        <f t="array" ref="Z15">INT(SUMPRODUCT(--ISNUMBER(SEARCH(bipartisan,C15)))&gt;0)</f>
        <v>0</v>
      </c>
      <c r="AA15" s="14">
        <f t="shared" si="0"/>
        <v>0</v>
      </c>
      <c r="AB15" s="14"/>
      <c r="AC15" s="30" t="s">
        <v>223</v>
      </c>
      <c r="AD15" s="37" t="s">
        <v>223</v>
      </c>
    </row>
    <row r="16" spans="1:30" x14ac:dyDescent="0.25">
      <c r="A16" s="36">
        <v>4211</v>
      </c>
      <c r="B16" s="14" t="s">
        <v>8445</v>
      </c>
      <c r="C16" s="14" t="s">
        <v>8446</v>
      </c>
      <c r="D16" s="17">
        <v>44135</v>
      </c>
      <c r="E16" s="14" t="s">
        <v>30</v>
      </c>
      <c r="F16" s="14">
        <v>301</v>
      </c>
      <c r="G16" s="14">
        <v>33</v>
      </c>
      <c r="H16" s="14">
        <v>19</v>
      </c>
      <c r="I16" s="14">
        <v>10</v>
      </c>
      <c r="J16" s="14" t="s">
        <v>204</v>
      </c>
      <c r="K16" s="14" cm="1">
        <f t="array" ref="K16">INT(SUMPRODUCT(--ISNUMBER(SEARCH(economy,C16)))&gt;0)</f>
        <v>0</v>
      </c>
      <c r="L16" s="14" cm="1">
        <f t="array" ref="L16">INT(SUMPRODUCT(--ISNUMBER(SEARCH(healthcare,C16)))&gt;0)</f>
        <v>0</v>
      </c>
      <c r="M16" s="14" cm="1">
        <f t="array" ref="M16">INT(SUMPRODUCT(--ISNUMBER(SEARCH(supreme,C16)))&gt;0)</f>
        <v>0</v>
      </c>
      <c r="N16" s="14" cm="1">
        <f t="array" ref="N16">INT(SUMPRODUCT(--ISNUMBER(SEARCH(covid,C16)))&gt;0)</f>
        <v>1</v>
      </c>
      <c r="O16" s="14" cm="1">
        <f t="array" ref="O16">INT(SUMPRODUCT(--ISNUMBER(SEARCH(violent,C16)))&gt;0)</f>
        <v>0</v>
      </c>
      <c r="P16" s="14" cm="1">
        <f t="array" ref="P16">INT(SUMPRODUCT(--ISNUMBER(SEARCH(foreign,C16)))&gt;0)</f>
        <v>0</v>
      </c>
      <c r="Q16" s="14" cm="1">
        <f t="array" ref="Q16">INT(SUMPRODUCT(--ISNUMBER(SEARCH(gun,C16)))&gt;0)</f>
        <v>0</v>
      </c>
      <c r="R16" s="14" cm="1">
        <f t="array" ref="R16">INT(SUMPRODUCT(--ISNUMBER(SEARCH(race,C16)))&gt;0)</f>
        <v>0</v>
      </c>
      <c r="S16" s="14" cm="1">
        <f t="array" ref="S16">INT(SUMPRODUCT(--ISNUMBER(SEARCH(immigration,C16)))&gt;0)</f>
        <v>0</v>
      </c>
      <c r="T16" s="14" cm="1">
        <f t="array" ref="T16">INT(SUMPRODUCT(--ISNUMBER(SEARCH(econineq,C17)))&gt;0)</f>
        <v>0</v>
      </c>
      <c r="U16" s="14" cm="1">
        <f t="array" ref="U16">INT(SUMPRODUCT(--ISNUMBER(SEARCH(climate,C16)))&gt;0)</f>
        <v>0</v>
      </c>
      <c r="V16" s="14" cm="1">
        <f t="array" ref="V16">INT(SUMPRODUCT(--ISNUMBER(SEARCH(abortion,C16)))&gt;0)</f>
        <v>0</v>
      </c>
      <c r="W16" s="14" cm="1">
        <f t="array" ref="W16">INT(SUMPRODUCT(--ISNUMBER(SEARCH(trump,C16)))&gt;0)</f>
        <v>0</v>
      </c>
      <c r="X16" s="14" cm="1">
        <f t="array" ref="X16">INT(SUMPRODUCT(--ISNUMBER(SEARCH(voting,C16)))&gt;0)</f>
        <v>0</v>
      </c>
      <c r="Y16" s="14" cm="1">
        <f t="array" ref="Y16">INT(SUMPRODUCT(--ISNUMBER(SEARCH(democrattrigger,C16)))&gt;0)</f>
        <v>0</v>
      </c>
      <c r="Z16" s="14" cm="1">
        <f t="array" ref="Z16">INT(SUMPRODUCT(--ISNUMBER(SEARCH(bipartisan,C16)))&gt;0)</f>
        <v>0</v>
      </c>
      <c r="AA16" s="14">
        <f t="shared" si="0"/>
        <v>0</v>
      </c>
      <c r="AB16" s="14"/>
      <c r="AC16" s="30" t="s">
        <v>223</v>
      </c>
      <c r="AD16" s="37" t="s">
        <v>223</v>
      </c>
    </row>
    <row r="17" spans="1:30" x14ac:dyDescent="0.25">
      <c r="A17" s="36">
        <v>4212</v>
      </c>
      <c r="B17" s="14" t="s">
        <v>8447</v>
      </c>
      <c r="C17" s="14" t="s">
        <v>8448</v>
      </c>
      <c r="D17" s="17">
        <v>44134</v>
      </c>
      <c r="E17" s="14" t="s">
        <v>30</v>
      </c>
      <c r="F17" s="14">
        <v>128</v>
      </c>
      <c r="G17" s="14">
        <v>17</v>
      </c>
      <c r="H17" s="14">
        <v>19</v>
      </c>
      <c r="I17" s="14">
        <v>10</v>
      </c>
      <c r="J17" s="14" t="s">
        <v>204</v>
      </c>
      <c r="K17" s="14" cm="1">
        <f t="array" ref="K17">INT(SUMPRODUCT(--ISNUMBER(SEARCH(economy,C17)))&gt;0)</f>
        <v>0</v>
      </c>
      <c r="L17" s="14" cm="1">
        <f t="array" ref="L17">INT(SUMPRODUCT(--ISNUMBER(SEARCH(healthcare,C17)))&gt;0)</f>
        <v>0</v>
      </c>
      <c r="M17" s="14" cm="1">
        <f t="array" ref="M17">INT(SUMPRODUCT(--ISNUMBER(SEARCH(supreme,C17)))&gt;0)</f>
        <v>0</v>
      </c>
      <c r="N17" s="14" cm="1">
        <f t="array" ref="N17">INT(SUMPRODUCT(--ISNUMBER(SEARCH(covid,C17)))&gt;0)</f>
        <v>0</v>
      </c>
      <c r="O17" s="14" cm="1">
        <f t="array" ref="O17">INT(SUMPRODUCT(--ISNUMBER(SEARCH(violent,C17)))&gt;0)</f>
        <v>0</v>
      </c>
      <c r="P17" s="14" cm="1">
        <f t="array" ref="P17">INT(SUMPRODUCT(--ISNUMBER(SEARCH(foreign,C17)))&gt;0)</f>
        <v>0</v>
      </c>
      <c r="Q17" s="14" cm="1">
        <f t="array" ref="Q17">INT(SUMPRODUCT(--ISNUMBER(SEARCH(gun,C17)))&gt;0)</f>
        <v>0</v>
      </c>
      <c r="R17" s="14" cm="1">
        <f t="array" ref="R17">INT(SUMPRODUCT(--ISNUMBER(SEARCH(race,C17)))&gt;0)</f>
        <v>0</v>
      </c>
      <c r="S17" s="14" cm="1">
        <f t="array" ref="S17">INT(SUMPRODUCT(--ISNUMBER(SEARCH(immigration,C17)))&gt;0)</f>
        <v>0</v>
      </c>
      <c r="T17" s="14" cm="1">
        <f t="array" ref="T17">INT(SUMPRODUCT(--ISNUMBER(SEARCH(econineq,C18)))&gt;0)</f>
        <v>0</v>
      </c>
      <c r="U17" s="14" cm="1">
        <f t="array" ref="U17">INT(SUMPRODUCT(--ISNUMBER(SEARCH(climate,C17)))&gt;0)</f>
        <v>0</v>
      </c>
      <c r="V17" s="14" cm="1">
        <f t="array" ref="V17">INT(SUMPRODUCT(--ISNUMBER(SEARCH(abortion,C17)))&gt;0)</f>
        <v>0</v>
      </c>
      <c r="W17" s="14" cm="1">
        <f t="array" ref="W17">INT(SUMPRODUCT(--ISNUMBER(SEARCH(trump,C17)))&gt;0)</f>
        <v>0</v>
      </c>
      <c r="X17" s="14" cm="1">
        <f t="array" ref="X17">INT(SUMPRODUCT(--ISNUMBER(SEARCH(voting,C17)))&gt;0)</f>
        <v>0</v>
      </c>
      <c r="Y17" s="14" cm="1">
        <f t="array" ref="Y17">INT(SUMPRODUCT(--ISNUMBER(SEARCH(democrattrigger,C17)))&gt;0)</f>
        <v>0</v>
      </c>
      <c r="Z17" s="14" cm="1">
        <f t="array" ref="Z17">INT(SUMPRODUCT(--ISNUMBER(SEARCH(bipartisan,C17)))&gt;0)</f>
        <v>0</v>
      </c>
      <c r="AA17" s="14">
        <f t="shared" si="0"/>
        <v>1</v>
      </c>
      <c r="AB17" s="14"/>
      <c r="AC17" s="30">
        <v>1</v>
      </c>
      <c r="AD17" s="37">
        <v>0</v>
      </c>
    </row>
    <row r="18" spans="1:30" x14ac:dyDescent="0.25">
      <c r="A18" s="36">
        <v>4213</v>
      </c>
      <c r="B18" s="14" t="s">
        <v>8449</v>
      </c>
      <c r="C18" s="14" t="s">
        <v>8450</v>
      </c>
      <c r="D18" s="17">
        <v>44134</v>
      </c>
      <c r="E18" s="14" t="s">
        <v>30</v>
      </c>
      <c r="F18" s="14">
        <v>123</v>
      </c>
      <c r="G18" s="14">
        <v>18</v>
      </c>
      <c r="H18" s="14">
        <v>19</v>
      </c>
      <c r="I18" s="14">
        <v>10</v>
      </c>
      <c r="J18" s="14" t="s">
        <v>204</v>
      </c>
      <c r="K18" s="14" cm="1">
        <f t="array" ref="K18">INT(SUMPRODUCT(--ISNUMBER(SEARCH(economy,C18)))&gt;0)</f>
        <v>1</v>
      </c>
      <c r="L18" s="14" cm="1">
        <f t="array" ref="L18">INT(SUMPRODUCT(--ISNUMBER(SEARCH(healthcare,C18)))&gt;0)</f>
        <v>0</v>
      </c>
      <c r="M18" s="14" cm="1">
        <f t="array" ref="M18">INT(SUMPRODUCT(--ISNUMBER(SEARCH(supreme,C18)))&gt;0)</f>
        <v>0</v>
      </c>
      <c r="N18" s="14" cm="1">
        <f t="array" ref="N18">INT(SUMPRODUCT(--ISNUMBER(SEARCH(covid,C18)))&gt;0)</f>
        <v>0</v>
      </c>
      <c r="O18" s="14" cm="1">
        <f t="array" ref="O18">INT(SUMPRODUCT(--ISNUMBER(SEARCH(violent,C18)))&gt;0)</f>
        <v>0</v>
      </c>
      <c r="P18" s="14" cm="1">
        <f t="array" ref="P18">INT(SUMPRODUCT(--ISNUMBER(SEARCH(foreign,C18)))&gt;0)</f>
        <v>0</v>
      </c>
      <c r="Q18" s="14" cm="1">
        <f t="array" ref="Q18">INT(SUMPRODUCT(--ISNUMBER(SEARCH(gun,C18)))&gt;0)</f>
        <v>0</v>
      </c>
      <c r="R18" s="14" cm="1">
        <f t="array" ref="R18">INT(SUMPRODUCT(--ISNUMBER(SEARCH(race,C18)))&gt;0)</f>
        <v>0</v>
      </c>
      <c r="S18" s="14" cm="1">
        <f t="array" ref="S18">INT(SUMPRODUCT(--ISNUMBER(SEARCH(immigration,C18)))&gt;0)</f>
        <v>0</v>
      </c>
      <c r="T18" s="14" cm="1">
        <f t="array" ref="T18">INT(SUMPRODUCT(--ISNUMBER(SEARCH(econineq,C19)))&gt;0)</f>
        <v>0</v>
      </c>
      <c r="U18" s="14" cm="1">
        <f t="array" ref="U18">INT(SUMPRODUCT(--ISNUMBER(SEARCH(climate,C18)))&gt;0)</f>
        <v>0</v>
      </c>
      <c r="V18" s="14" cm="1">
        <f t="array" ref="V18">INT(SUMPRODUCT(--ISNUMBER(SEARCH(abortion,C18)))&gt;0)</f>
        <v>0</v>
      </c>
      <c r="W18" s="14" cm="1">
        <f t="array" ref="W18">INT(SUMPRODUCT(--ISNUMBER(SEARCH(trump,C18)))&gt;0)</f>
        <v>0</v>
      </c>
      <c r="X18" s="14" cm="1">
        <f t="array" ref="X18">INT(SUMPRODUCT(--ISNUMBER(SEARCH(voting,C18)))&gt;0)</f>
        <v>1</v>
      </c>
      <c r="Y18" s="14" cm="1">
        <f t="array" ref="Y18">INT(SUMPRODUCT(--ISNUMBER(SEARCH(democrattrigger,C18)))&gt;0)</f>
        <v>0</v>
      </c>
      <c r="Z18" s="14" cm="1">
        <f t="array" ref="Z18">INT(SUMPRODUCT(--ISNUMBER(SEARCH(bipartisan,C18)))&gt;0)</f>
        <v>0</v>
      </c>
      <c r="AA18" s="14">
        <f t="shared" si="0"/>
        <v>0</v>
      </c>
      <c r="AB18" s="14"/>
      <c r="AC18" s="30">
        <v>1</v>
      </c>
      <c r="AD18" s="37">
        <v>0</v>
      </c>
    </row>
    <row r="19" spans="1:30" x14ac:dyDescent="0.25">
      <c r="A19" s="36">
        <v>4214</v>
      </c>
      <c r="B19" s="14" t="s">
        <v>8451</v>
      </c>
      <c r="C19" s="14" t="s">
        <v>8452</v>
      </c>
      <c r="D19" s="17">
        <v>44134</v>
      </c>
      <c r="E19" s="14" t="s">
        <v>30</v>
      </c>
      <c r="F19" s="14">
        <v>140</v>
      </c>
      <c r="G19" s="14">
        <v>24</v>
      </c>
      <c r="H19" s="14">
        <v>19</v>
      </c>
      <c r="I19" s="14">
        <v>10</v>
      </c>
      <c r="J19" s="14" t="s">
        <v>204</v>
      </c>
      <c r="K19" s="14" cm="1">
        <f t="array" ref="K19">INT(SUMPRODUCT(--ISNUMBER(SEARCH(economy,C19)))&gt;0)</f>
        <v>0</v>
      </c>
      <c r="L19" s="14" cm="1">
        <f t="array" ref="L19">INT(SUMPRODUCT(--ISNUMBER(SEARCH(healthcare,C19)))&gt;0)</f>
        <v>1</v>
      </c>
      <c r="M19" s="14" cm="1">
        <f t="array" ref="M19">INT(SUMPRODUCT(--ISNUMBER(SEARCH(supreme,C19)))&gt;0)</f>
        <v>0</v>
      </c>
      <c r="N19" s="14" cm="1">
        <f t="array" ref="N19">INT(SUMPRODUCT(--ISNUMBER(SEARCH(covid,C19)))&gt;0)</f>
        <v>0</v>
      </c>
      <c r="O19" s="14" cm="1">
        <f t="array" ref="O19">INT(SUMPRODUCT(--ISNUMBER(SEARCH(violent,C19)))&gt;0)</f>
        <v>0</v>
      </c>
      <c r="P19" s="14" cm="1">
        <f t="array" ref="P19">INT(SUMPRODUCT(--ISNUMBER(SEARCH(foreign,C19)))&gt;0)</f>
        <v>1</v>
      </c>
      <c r="Q19" s="14" cm="1">
        <f t="array" ref="Q19">INT(SUMPRODUCT(--ISNUMBER(SEARCH(gun,C19)))&gt;0)</f>
        <v>0</v>
      </c>
      <c r="R19" s="14" cm="1">
        <f t="array" ref="R19">INT(SUMPRODUCT(--ISNUMBER(SEARCH(race,C19)))&gt;0)</f>
        <v>1</v>
      </c>
      <c r="S19" s="14" cm="1">
        <f t="array" ref="S19">INT(SUMPRODUCT(--ISNUMBER(SEARCH(immigration,C19)))&gt;0)</f>
        <v>0</v>
      </c>
      <c r="T19" s="14" cm="1">
        <f t="array" ref="T19">INT(SUMPRODUCT(--ISNUMBER(SEARCH(econineq,C20)))&gt;0)</f>
        <v>0</v>
      </c>
      <c r="U19" s="14" cm="1">
        <f t="array" ref="U19">INT(SUMPRODUCT(--ISNUMBER(SEARCH(climate,C19)))&gt;0)</f>
        <v>0</v>
      </c>
      <c r="V19" s="14" cm="1">
        <f t="array" ref="V19">INT(SUMPRODUCT(--ISNUMBER(SEARCH(abortion,C19)))&gt;0)</f>
        <v>0</v>
      </c>
      <c r="W19" s="14" cm="1">
        <f t="array" ref="W19">INT(SUMPRODUCT(--ISNUMBER(SEARCH(trump,C19)))&gt;0)</f>
        <v>0</v>
      </c>
      <c r="X19" s="14" cm="1">
        <f t="array" ref="X19">INT(SUMPRODUCT(--ISNUMBER(SEARCH(voting,C19)))&gt;0)</f>
        <v>0</v>
      </c>
      <c r="Y19" s="14" cm="1">
        <f t="array" ref="Y19">INT(SUMPRODUCT(--ISNUMBER(SEARCH(democrattrigger,C19)))&gt;0)</f>
        <v>0</v>
      </c>
      <c r="Z19" s="14" cm="1">
        <f t="array" ref="Z19">INT(SUMPRODUCT(--ISNUMBER(SEARCH(bipartisan,C19)))&gt;0)</f>
        <v>0</v>
      </c>
      <c r="AA19" s="14">
        <f t="shared" si="0"/>
        <v>0</v>
      </c>
      <c r="AB19" s="14"/>
      <c r="AC19" s="30">
        <v>1</v>
      </c>
      <c r="AD19" s="37">
        <v>0</v>
      </c>
    </row>
    <row r="20" spans="1:30" x14ac:dyDescent="0.25">
      <c r="A20" s="36">
        <v>4215</v>
      </c>
      <c r="B20" s="14" t="s">
        <v>8453</v>
      </c>
      <c r="C20" s="14" t="s">
        <v>8454</v>
      </c>
      <c r="D20" s="17">
        <v>44134</v>
      </c>
      <c r="E20" s="14" t="s">
        <v>30</v>
      </c>
      <c r="F20" s="14">
        <v>366</v>
      </c>
      <c r="G20" s="14">
        <v>93</v>
      </c>
      <c r="H20" s="14">
        <v>19</v>
      </c>
      <c r="I20" s="14">
        <v>10</v>
      </c>
      <c r="J20" s="14" t="s">
        <v>204</v>
      </c>
      <c r="K20" s="14" cm="1">
        <f t="array" ref="K20">INT(SUMPRODUCT(--ISNUMBER(SEARCH(economy,C20)))&gt;0)</f>
        <v>0</v>
      </c>
      <c r="L20" s="14" cm="1">
        <f t="array" ref="L20">INT(SUMPRODUCT(--ISNUMBER(SEARCH(healthcare,C20)))&gt;0)</f>
        <v>0</v>
      </c>
      <c r="M20" s="14" cm="1">
        <f t="array" ref="M20">INT(SUMPRODUCT(--ISNUMBER(SEARCH(supreme,C20)))&gt;0)</f>
        <v>0</v>
      </c>
      <c r="N20" s="14" cm="1">
        <f t="array" ref="N20">INT(SUMPRODUCT(--ISNUMBER(SEARCH(covid,C20)))&gt;0)</f>
        <v>0</v>
      </c>
      <c r="O20" s="14" cm="1">
        <f t="array" ref="O20">INT(SUMPRODUCT(--ISNUMBER(SEARCH(violent,C20)))&gt;0)</f>
        <v>0</v>
      </c>
      <c r="P20" s="14" cm="1">
        <f t="array" ref="P20">INT(SUMPRODUCT(--ISNUMBER(SEARCH(foreign,C20)))&gt;0)</f>
        <v>0</v>
      </c>
      <c r="Q20" s="14" cm="1">
        <f t="array" ref="Q20">INT(SUMPRODUCT(--ISNUMBER(SEARCH(gun,C20)))&gt;0)</f>
        <v>0</v>
      </c>
      <c r="R20" s="14" cm="1">
        <f t="array" ref="R20">INT(SUMPRODUCT(--ISNUMBER(SEARCH(race,C20)))&gt;0)</f>
        <v>0</v>
      </c>
      <c r="S20" s="14" cm="1">
        <f t="array" ref="S20">INT(SUMPRODUCT(--ISNUMBER(SEARCH(immigration,C20)))&gt;0)</f>
        <v>0</v>
      </c>
      <c r="T20" s="14" cm="1">
        <f t="array" ref="T20">INT(SUMPRODUCT(--ISNUMBER(SEARCH(econineq,C21)))&gt;0)</f>
        <v>0</v>
      </c>
      <c r="U20" s="14" cm="1">
        <f t="array" ref="U20">INT(SUMPRODUCT(--ISNUMBER(SEARCH(climate,C20)))&gt;0)</f>
        <v>0</v>
      </c>
      <c r="V20" s="14" cm="1">
        <f t="array" ref="V20">INT(SUMPRODUCT(--ISNUMBER(SEARCH(abortion,C20)))&gt;0)</f>
        <v>0</v>
      </c>
      <c r="W20" s="14" cm="1">
        <f t="array" ref="W20">INT(SUMPRODUCT(--ISNUMBER(SEARCH(trump,C20)))&gt;0)</f>
        <v>0</v>
      </c>
      <c r="X20" s="14" cm="1">
        <f t="array" ref="X20">INT(SUMPRODUCT(--ISNUMBER(SEARCH(voting,C20)))&gt;0)</f>
        <v>0</v>
      </c>
      <c r="Y20" s="14" cm="1">
        <f t="array" ref="Y20">INT(SUMPRODUCT(--ISNUMBER(SEARCH(democrattrigger,C20)))&gt;0)</f>
        <v>0</v>
      </c>
      <c r="Z20" s="14" cm="1">
        <f t="array" ref="Z20">INT(SUMPRODUCT(--ISNUMBER(SEARCH(bipartisan,C20)))&gt;0)</f>
        <v>0</v>
      </c>
      <c r="AA20" s="14">
        <f t="shared" si="0"/>
        <v>1</v>
      </c>
      <c r="AB20" s="14"/>
      <c r="AC20" s="30" t="s">
        <v>223</v>
      </c>
      <c r="AD20" s="37" t="s">
        <v>223</v>
      </c>
    </row>
    <row r="21" spans="1:30" x14ac:dyDescent="0.25">
      <c r="A21" s="36">
        <v>4216</v>
      </c>
      <c r="B21" s="14" t="s">
        <v>8455</v>
      </c>
      <c r="C21" s="14" t="s">
        <v>8456</v>
      </c>
      <c r="D21" s="17">
        <v>44134</v>
      </c>
      <c r="E21" s="14" t="s">
        <v>30</v>
      </c>
      <c r="F21" s="14">
        <v>51</v>
      </c>
      <c r="G21" s="14">
        <v>15</v>
      </c>
      <c r="H21" s="14">
        <v>19</v>
      </c>
      <c r="I21" s="14">
        <v>10</v>
      </c>
      <c r="J21" s="14" t="s">
        <v>204</v>
      </c>
      <c r="K21" s="14" cm="1">
        <f t="array" ref="K21">INT(SUMPRODUCT(--ISNUMBER(SEARCH(economy,C21)))&gt;0)</f>
        <v>1</v>
      </c>
      <c r="L21" s="14" cm="1">
        <f t="array" ref="L21">INT(SUMPRODUCT(--ISNUMBER(SEARCH(healthcare,C21)))&gt;0)</f>
        <v>0</v>
      </c>
      <c r="M21" s="14" cm="1">
        <f t="array" ref="M21">INT(SUMPRODUCT(--ISNUMBER(SEARCH(supreme,C21)))&gt;0)</f>
        <v>0</v>
      </c>
      <c r="N21" s="14" cm="1">
        <f t="array" ref="N21">INT(SUMPRODUCT(--ISNUMBER(SEARCH(covid,C21)))&gt;0)</f>
        <v>0</v>
      </c>
      <c r="O21" s="14" cm="1">
        <f t="array" ref="O21">INT(SUMPRODUCT(--ISNUMBER(SEARCH(violent,C21)))&gt;0)</f>
        <v>0</v>
      </c>
      <c r="P21" s="14" cm="1">
        <f t="array" ref="P21">INT(SUMPRODUCT(--ISNUMBER(SEARCH(foreign,C21)))&gt;0)</f>
        <v>0</v>
      </c>
      <c r="Q21" s="14" cm="1">
        <f t="array" ref="Q21">INT(SUMPRODUCT(--ISNUMBER(SEARCH(gun,C21)))&gt;0)</f>
        <v>0</v>
      </c>
      <c r="R21" s="14" cm="1">
        <f t="array" ref="R21">INT(SUMPRODUCT(--ISNUMBER(SEARCH(race,C21)))&gt;0)</f>
        <v>0</v>
      </c>
      <c r="S21" s="14" cm="1">
        <f t="array" ref="S21">INT(SUMPRODUCT(--ISNUMBER(SEARCH(immigration,C21)))&gt;0)</f>
        <v>0</v>
      </c>
      <c r="T21" s="14" cm="1">
        <f t="array" ref="T21">INT(SUMPRODUCT(--ISNUMBER(SEARCH(econineq,C22)))&gt;0)</f>
        <v>0</v>
      </c>
      <c r="U21" s="14" cm="1">
        <f t="array" ref="U21">INT(SUMPRODUCT(--ISNUMBER(SEARCH(climate,C21)))&gt;0)</f>
        <v>1</v>
      </c>
      <c r="V21" s="14" cm="1">
        <f t="array" ref="V21">INT(SUMPRODUCT(--ISNUMBER(SEARCH(abortion,C21)))&gt;0)</f>
        <v>0</v>
      </c>
      <c r="W21" s="14" cm="1">
        <f t="array" ref="W21">INT(SUMPRODUCT(--ISNUMBER(SEARCH(trump,C21)))&gt;0)</f>
        <v>0</v>
      </c>
      <c r="X21" s="14" cm="1">
        <f t="array" ref="X21">INT(SUMPRODUCT(--ISNUMBER(SEARCH(voting,C21)))&gt;0)</f>
        <v>0</v>
      </c>
      <c r="Y21" s="14" cm="1">
        <f t="array" ref="Y21">INT(SUMPRODUCT(--ISNUMBER(SEARCH(democrattrigger,C21)))&gt;0)</f>
        <v>0</v>
      </c>
      <c r="Z21" s="14" cm="1">
        <f t="array" ref="Z21">INT(SUMPRODUCT(--ISNUMBER(SEARCH(bipartisan,C21)))&gt;0)</f>
        <v>0</v>
      </c>
      <c r="AA21" s="14">
        <f t="shared" si="0"/>
        <v>0</v>
      </c>
      <c r="AB21" s="14"/>
      <c r="AC21" s="30">
        <v>1</v>
      </c>
      <c r="AD21" s="37">
        <v>0</v>
      </c>
    </row>
    <row r="22" spans="1:30" x14ac:dyDescent="0.25">
      <c r="A22" s="36">
        <v>4217</v>
      </c>
      <c r="B22" s="14" t="s">
        <v>8457</v>
      </c>
      <c r="C22" s="14" t="s">
        <v>8458</v>
      </c>
      <c r="D22" s="17">
        <v>44133</v>
      </c>
      <c r="E22" s="14" t="s">
        <v>30</v>
      </c>
      <c r="F22" s="14">
        <v>121</v>
      </c>
      <c r="G22" s="14">
        <v>20</v>
      </c>
      <c r="H22" s="14">
        <v>19</v>
      </c>
      <c r="I22" s="14">
        <v>10</v>
      </c>
      <c r="J22" s="14" t="s">
        <v>204</v>
      </c>
      <c r="K22" s="14" cm="1">
        <f t="array" ref="K22">INT(SUMPRODUCT(--ISNUMBER(SEARCH(economy,C22)))&gt;0)</f>
        <v>0</v>
      </c>
      <c r="L22" s="14" cm="1">
        <f t="array" ref="L22">INT(SUMPRODUCT(--ISNUMBER(SEARCH(healthcare,C22)))&gt;0)</f>
        <v>1</v>
      </c>
      <c r="M22" s="14" cm="1">
        <f t="array" ref="M22">INT(SUMPRODUCT(--ISNUMBER(SEARCH(supreme,C22)))&gt;0)</f>
        <v>0</v>
      </c>
      <c r="N22" s="14" cm="1">
        <f t="array" ref="N22">INT(SUMPRODUCT(--ISNUMBER(SEARCH(covid,C22)))&gt;0)</f>
        <v>1</v>
      </c>
      <c r="O22" s="14" cm="1">
        <f t="array" ref="O22">INT(SUMPRODUCT(--ISNUMBER(SEARCH(violent,C22)))&gt;0)</f>
        <v>0</v>
      </c>
      <c r="P22" s="14" cm="1">
        <f t="array" ref="P22">INT(SUMPRODUCT(--ISNUMBER(SEARCH(foreign,C22)))&gt;0)</f>
        <v>0</v>
      </c>
      <c r="Q22" s="14" cm="1">
        <f t="array" ref="Q22">INT(SUMPRODUCT(--ISNUMBER(SEARCH(gun,C22)))&gt;0)</f>
        <v>0</v>
      </c>
      <c r="R22" s="14" cm="1">
        <f t="array" ref="R22">INT(SUMPRODUCT(--ISNUMBER(SEARCH(race,C22)))&gt;0)</f>
        <v>0</v>
      </c>
      <c r="S22" s="14" cm="1">
        <f t="array" ref="S22">INT(SUMPRODUCT(--ISNUMBER(SEARCH(immigration,C22)))&gt;0)</f>
        <v>0</v>
      </c>
      <c r="T22" s="14" cm="1">
        <f t="array" ref="T22">INT(SUMPRODUCT(--ISNUMBER(SEARCH(econineq,C23)))&gt;0)</f>
        <v>0</v>
      </c>
      <c r="U22" s="14" cm="1">
        <f t="array" ref="U22">INT(SUMPRODUCT(--ISNUMBER(SEARCH(climate,C22)))&gt;0)</f>
        <v>0</v>
      </c>
      <c r="V22" s="14" cm="1">
        <f t="array" ref="V22">INT(SUMPRODUCT(--ISNUMBER(SEARCH(abortion,C22)))&gt;0)</f>
        <v>0</v>
      </c>
      <c r="W22" s="14" cm="1">
        <f t="array" ref="W22">INT(SUMPRODUCT(--ISNUMBER(SEARCH(trump,C22)))&gt;0)</f>
        <v>0</v>
      </c>
      <c r="X22" s="14" cm="1">
        <f t="array" ref="X22">INT(SUMPRODUCT(--ISNUMBER(SEARCH(voting,C22)))&gt;0)</f>
        <v>0</v>
      </c>
      <c r="Y22" s="14" cm="1">
        <f t="array" ref="Y22">INT(SUMPRODUCT(--ISNUMBER(SEARCH(democrattrigger,C22)))&gt;0)</f>
        <v>0</v>
      </c>
      <c r="Z22" s="14" cm="1">
        <f t="array" ref="Z22">INT(SUMPRODUCT(--ISNUMBER(SEARCH(bipartisan,C22)))&gt;0)</f>
        <v>0</v>
      </c>
      <c r="AA22" s="14">
        <f t="shared" si="0"/>
        <v>0</v>
      </c>
      <c r="AB22" s="14"/>
      <c r="AC22" s="30">
        <v>1</v>
      </c>
      <c r="AD22" s="37">
        <v>0</v>
      </c>
    </row>
    <row r="23" spans="1:30" x14ac:dyDescent="0.25">
      <c r="A23" s="36">
        <v>4218</v>
      </c>
      <c r="B23" s="14" t="s">
        <v>8459</v>
      </c>
      <c r="C23" s="14" t="s">
        <v>8460</v>
      </c>
      <c r="D23" s="17">
        <v>44133</v>
      </c>
      <c r="E23" s="14" t="s">
        <v>30</v>
      </c>
      <c r="F23" s="14">
        <v>161</v>
      </c>
      <c r="G23" s="14">
        <v>67</v>
      </c>
      <c r="H23" s="14">
        <v>19</v>
      </c>
      <c r="I23" s="14">
        <v>10</v>
      </c>
      <c r="J23" s="14" t="s">
        <v>204</v>
      </c>
      <c r="K23" s="14" cm="1">
        <f t="array" ref="K23">INT(SUMPRODUCT(--ISNUMBER(SEARCH(economy,C23)))&gt;0)</f>
        <v>0</v>
      </c>
      <c r="L23" s="14" cm="1">
        <f t="array" ref="L23">INT(SUMPRODUCT(--ISNUMBER(SEARCH(healthcare,C23)))&gt;0)</f>
        <v>0</v>
      </c>
      <c r="M23" s="14" cm="1">
        <f t="array" ref="M23">INT(SUMPRODUCT(--ISNUMBER(SEARCH(supreme,C23)))&gt;0)</f>
        <v>0</v>
      </c>
      <c r="N23" s="14" cm="1">
        <f t="array" ref="N23">INT(SUMPRODUCT(--ISNUMBER(SEARCH(covid,C23)))&gt;0)</f>
        <v>0</v>
      </c>
      <c r="O23" s="14" cm="1">
        <f t="array" ref="O23">INT(SUMPRODUCT(--ISNUMBER(SEARCH(violent,C23)))&gt;0)</f>
        <v>0</v>
      </c>
      <c r="P23" s="14" cm="1">
        <f t="array" ref="P23">INT(SUMPRODUCT(--ISNUMBER(SEARCH(foreign,C23)))&gt;0)</f>
        <v>0</v>
      </c>
      <c r="Q23" s="14" cm="1">
        <f t="array" ref="Q23">INT(SUMPRODUCT(--ISNUMBER(SEARCH(gun,C23)))&gt;0)</f>
        <v>0</v>
      </c>
      <c r="R23" s="14" cm="1">
        <f t="array" ref="R23">INT(SUMPRODUCT(--ISNUMBER(SEARCH(race,C23)))&gt;0)</f>
        <v>0</v>
      </c>
      <c r="S23" s="14" cm="1">
        <f t="array" ref="S23">INT(SUMPRODUCT(--ISNUMBER(SEARCH(immigration,C23)))&gt;0)</f>
        <v>0</v>
      </c>
      <c r="T23" s="14" cm="1">
        <f t="array" ref="T23">INT(SUMPRODUCT(--ISNUMBER(SEARCH(econineq,C24)))&gt;0)</f>
        <v>0</v>
      </c>
      <c r="U23" s="14" cm="1">
        <f t="array" ref="U23">INT(SUMPRODUCT(--ISNUMBER(SEARCH(climate,C23)))&gt;0)</f>
        <v>0</v>
      </c>
      <c r="V23" s="14" cm="1">
        <f t="array" ref="V23">INT(SUMPRODUCT(--ISNUMBER(SEARCH(abortion,C23)))&gt;0)</f>
        <v>0</v>
      </c>
      <c r="W23" s="14" cm="1">
        <f t="array" ref="W23">INT(SUMPRODUCT(--ISNUMBER(SEARCH(trump,C23)))&gt;0)</f>
        <v>0</v>
      </c>
      <c r="X23" s="14" cm="1">
        <f t="array" ref="X23">INT(SUMPRODUCT(--ISNUMBER(SEARCH(voting,C23)))&gt;0)</f>
        <v>1</v>
      </c>
      <c r="Y23" s="14" cm="1">
        <f t="array" ref="Y23">INT(SUMPRODUCT(--ISNUMBER(SEARCH(democrattrigger,C23)))&gt;0)</f>
        <v>0</v>
      </c>
      <c r="Z23" s="14" cm="1">
        <f t="array" ref="Z23">INT(SUMPRODUCT(--ISNUMBER(SEARCH(bipartisan,C23)))&gt;0)</f>
        <v>0</v>
      </c>
      <c r="AA23" s="14">
        <f t="shared" si="0"/>
        <v>0</v>
      </c>
      <c r="AB23" s="14"/>
      <c r="AC23" s="30">
        <v>1</v>
      </c>
      <c r="AD23" s="37">
        <v>0</v>
      </c>
    </row>
    <row r="24" spans="1:30" x14ac:dyDescent="0.25">
      <c r="A24" s="36">
        <v>4219</v>
      </c>
      <c r="B24" s="14" t="s">
        <v>8461</v>
      </c>
      <c r="C24" s="14" t="s">
        <v>8462</v>
      </c>
      <c r="D24" s="17">
        <v>44133</v>
      </c>
      <c r="E24" s="14" t="s">
        <v>30</v>
      </c>
      <c r="F24" s="14">
        <v>101</v>
      </c>
      <c r="G24" s="14">
        <v>21</v>
      </c>
      <c r="H24" s="14">
        <v>19</v>
      </c>
      <c r="I24" s="14">
        <v>10</v>
      </c>
      <c r="J24" s="14" t="s">
        <v>204</v>
      </c>
      <c r="K24" s="14" cm="1">
        <f t="array" ref="K24">INT(SUMPRODUCT(--ISNUMBER(SEARCH(economy,C24)))&gt;0)</f>
        <v>1</v>
      </c>
      <c r="L24" s="14" cm="1">
        <f t="array" ref="L24">INT(SUMPRODUCT(--ISNUMBER(SEARCH(healthcare,C24)))&gt;0)</f>
        <v>0</v>
      </c>
      <c r="M24" s="14" cm="1">
        <f t="array" ref="M24">INT(SUMPRODUCT(--ISNUMBER(SEARCH(supreme,C24)))&gt;0)</f>
        <v>0</v>
      </c>
      <c r="N24" s="14" cm="1">
        <f t="array" ref="N24">INT(SUMPRODUCT(--ISNUMBER(SEARCH(covid,C24)))&gt;0)</f>
        <v>1</v>
      </c>
      <c r="O24" s="14" cm="1">
        <f t="array" ref="O24">INT(SUMPRODUCT(--ISNUMBER(SEARCH(violent,C24)))&gt;0)</f>
        <v>0</v>
      </c>
      <c r="P24" s="14" cm="1">
        <f t="array" ref="P24">INT(SUMPRODUCT(--ISNUMBER(SEARCH(foreign,C24)))&gt;0)</f>
        <v>1</v>
      </c>
      <c r="Q24" s="14" cm="1">
        <f t="array" ref="Q24">INT(SUMPRODUCT(--ISNUMBER(SEARCH(gun,C24)))&gt;0)</f>
        <v>0</v>
      </c>
      <c r="R24" s="14" cm="1">
        <f t="array" ref="R24">INT(SUMPRODUCT(--ISNUMBER(SEARCH(race,C24)))&gt;0)</f>
        <v>0</v>
      </c>
      <c r="S24" s="14" cm="1">
        <f t="array" ref="S24">INT(SUMPRODUCT(--ISNUMBER(SEARCH(immigration,C24)))&gt;0)</f>
        <v>0</v>
      </c>
      <c r="T24" s="14" cm="1">
        <f t="array" ref="T24">INT(SUMPRODUCT(--ISNUMBER(SEARCH(econineq,C25)))&gt;0)</f>
        <v>0</v>
      </c>
      <c r="U24" s="14" cm="1">
        <f t="array" ref="U24">INT(SUMPRODUCT(--ISNUMBER(SEARCH(climate,C24)))&gt;0)</f>
        <v>0</v>
      </c>
      <c r="V24" s="14" cm="1">
        <f t="array" ref="V24">INT(SUMPRODUCT(--ISNUMBER(SEARCH(abortion,C24)))&gt;0)</f>
        <v>0</v>
      </c>
      <c r="W24" s="14" cm="1">
        <f t="array" ref="W24">INT(SUMPRODUCT(--ISNUMBER(SEARCH(trump,C24)))&gt;0)</f>
        <v>0</v>
      </c>
      <c r="X24" s="14" cm="1">
        <f t="array" ref="X24">INT(SUMPRODUCT(--ISNUMBER(SEARCH(voting,C24)))&gt;0)</f>
        <v>0</v>
      </c>
      <c r="Y24" s="14" cm="1">
        <f t="array" ref="Y24">INT(SUMPRODUCT(--ISNUMBER(SEARCH(democrattrigger,C24)))&gt;0)</f>
        <v>0</v>
      </c>
      <c r="Z24" s="14" cm="1">
        <f t="array" ref="Z24">INT(SUMPRODUCT(--ISNUMBER(SEARCH(bipartisan,C24)))&gt;0)</f>
        <v>0</v>
      </c>
      <c r="AA24" s="14">
        <f t="shared" si="0"/>
        <v>0</v>
      </c>
      <c r="AB24" s="14"/>
      <c r="AC24" s="30">
        <v>1</v>
      </c>
      <c r="AD24" s="37">
        <v>0</v>
      </c>
    </row>
    <row r="25" spans="1:30" x14ac:dyDescent="0.25">
      <c r="A25" s="36">
        <v>4220</v>
      </c>
      <c r="B25" s="14" t="s">
        <v>8463</v>
      </c>
      <c r="C25" s="14" t="s">
        <v>8464</v>
      </c>
      <c r="D25" s="17">
        <v>44133</v>
      </c>
      <c r="E25" s="14" t="s">
        <v>30</v>
      </c>
      <c r="F25" s="14">
        <v>69</v>
      </c>
      <c r="G25" s="14">
        <v>21</v>
      </c>
      <c r="H25" s="14">
        <v>19</v>
      </c>
      <c r="I25" s="14">
        <v>10</v>
      </c>
      <c r="J25" s="14" t="s">
        <v>204</v>
      </c>
      <c r="K25" s="14" cm="1">
        <f t="array" ref="K25">INT(SUMPRODUCT(--ISNUMBER(SEARCH(economy,C25)))&gt;0)</f>
        <v>0</v>
      </c>
      <c r="L25" s="14" cm="1">
        <f t="array" ref="L25">INT(SUMPRODUCT(--ISNUMBER(SEARCH(healthcare,C25)))&gt;0)</f>
        <v>1</v>
      </c>
      <c r="M25" s="14" cm="1">
        <f t="array" ref="M25">INT(SUMPRODUCT(--ISNUMBER(SEARCH(supreme,C25)))&gt;0)</f>
        <v>0</v>
      </c>
      <c r="N25" s="14" cm="1">
        <f t="array" ref="N25">INT(SUMPRODUCT(--ISNUMBER(SEARCH(covid,C25)))&gt;0)</f>
        <v>1</v>
      </c>
      <c r="O25" s="14" cm="1">
        <f t="array" ref="O25">INT(SUMPRODUCT(--ISNUMBER(SEARCH(violent,C25)))&gt;0)</f>
        <v>0</v>
      </c>
      <c r="P25" s="14" cm="1">
        <f t="array" ref="P25">INT(SUMPRODUCT(--ISNUMBER(SEARCH(foreign,C25)))&gt;0)</f>
        <v>0</v>
      </c>
      <c r="Q25" s="14" cm="1">
        <f t="array" ref="Q25">INT(SUMPRODUCT(--ISNUMBER(SEARCH(gun,C25)))&gt;0)</f>
        <v>0</v>
      </c>
      <c r="R25" s="14" cm="1">
        <f t="array" ref="R25">INT(SUMPRODUCT(--ISNUMBER(SEARCH(race,C25)))&gt;0)</f>
        <v>0</v>
      </c>
      <c r="S25" s="14" cm="1">
        <f t="array" ref="S25">INT(SUMPRODUCT(--ISNUMBER(SEARCH(immigration,C25)))&gt;0)</f>
        <v>0</v>
      </c>
      <c r="T25" s="14" cm="1">
        <f t="array" ref="T25">INT(SUMPRODUCT(--ISNUMBER(SEARCH(econineq,C26)))&gt;0)</f>
        <v>0</v>
      </c>
      <c r="U25" s="14" cm="1">
        <f t="array" ref="U25">INT(SUMPRODUCT(--ISNUMBER(SEARCH(climate,C25)))&gt;0)</f>
        <v>0</v>
      </c>
      <c r="V25" s="14" cm="1">
        <f t="array" ref="V25">INT(SUMPRODUCT(--ISNUMBER(SEARCH(abortion,C25)))&gt;0)</f>
        <v>0</v>
      </c>
      <c r="W25" s="14" cm="1">
        <f t="array" ref="W25">INT(SUMPRODUCT(--ISNUMBER(SEARCH(trump,C25)))&gt;0)</f>
        <v>0</v>
      </c>
      <c r="X25" s="14" cm="1">
        <f t="array" ref="X25">INT(SUMPRODUCT(--ISNUMBER(SEARCH(voting,C25)))&gt;0)</f>
        <v>0</v>
      </c>
      <c r="Y25" s="14" cm="1">
        <f t="array" ref="Y25">INT(SUMPRODUCT(--ISNUMBER(SEARCH(democrattrigger,C25)))&gt;0)</f>
        <v>0</v>
      </c>
      <c r="Z25" s="14" cm="1">
        <f t="array" ref="Z25">INT(SUMPRODUCT(--ISNUMBER(SEARCH(bipartisan,C25)))&gt;0)</f>
        <v>0</v>
      </c>
      <c r="AA25" s="14">
        <f t="shared" si="0"/>
        <v>0</v>
      </c>
      <c r="AB25" s="14"/>
      <c r="AC25" s="30">
        <v>1</v>
      </c>
      <c r="AD25" s="37">
        <v>0</v>
      </c>
    </row>
    <row r="26" spans="1:30" x14ac:dyDescent="0.25">
      <c r="A26" s="36">
        <v>4221</v>
      </c>
      <c r="B26" s="14" t="s">
        <v>8465</v>
      </c>
      <c r="C26" s="14" t="s">
        <v>8466</v>
      </c>
      <c r="D26" s="17">
        <v>44133</v>
      </c>
      <c r="E26" s="14" t="s">
        <v>30</v>
      </c>
      <c r="F26" s="14">
        <v>1217</v>
      </c>
      <c r="G26" s="14">
        <v>155</v>
      </c>
      <c r="H26" s="14">
        <v>19</v>
      </c>
      <c r="I26" s="14">
        <v>10</v>
      </c>
      <c r="J26" s="14" t="s">
        <v>204</v>
      </c>
      <c r="K26" s="14" cm="1">
        <f t="array" ref="K26">INT(SUMPRODUCT(--ISNUMBER(SEARCH(economy,C26)))&gt;0)</f>
        <v>0</v>
      </c>
      <c r="L26" s="14" cm="1">
        <f t="array" ref="L26">INT(SUMPRODUCT(--ISNUMBER(SEARCH(healthcare,C26)))&gt;0)</f>
        <v>0</v>
      </c>
      <c r="M26" s="14" cm="1">
        <f t="array" ref="M26">INT(SUMPRODUCT(--ISNUMBER(SEARCH(supreme,C26)))&gt;0)</f>
        <v>0</v>
      </c>
      <c r="N26" s="14" cm="1">
        <f t="array" ref="N26">INT(SUMPRODUCT(--ISNUMBER(SEARCH(covid,C26)))&gt;0)</f>
        <v>0</v>
      </c>
      <c r="O26" s="14" cm="1">
        <f t="array" ref="O26">INT(SUMPRODUCT(--ISNUMBER(SEARCH(violent,C26)))&gt;0)</f>
        <v>1</v>
      </c>
      <c r="P26" s="14" cm="1">
        <f t="array" ref="P26">INT(SUMPRODUCT(--ISNUMBER(SEARCH(foreign,C26)))&gt;0)</f>
        <v>0</v>
      </c>
      <c r="Q26" s="14" cm="1">
        <f t="array" ref="Q26">INT(SUMPRODUCT(--ISNUMBER(SEARCH(gun,C26)))&gt;0)</f>
        <v>0</v>
      </c>
      <c r="R26" s="14" cm="1">
        <f t="array" ref="R26">INT(SUMPRODUCT(--ISNUMBER(SEARCH(race,C26)))&gt;0)</f>
        <v>0</v>
      </c>
      <c r="S26" s="14" cm="1">
        <f t="array" ref="S26">INT(SUMPRODUCT(--ISNUMBER(SEARCH(immigration,C26)))&gt;0)</f>
        <v>0</v>
      </c>
      <c r="T26" s="14" cm="1">
        <f t="array" ref="T26">INT(SUMPRODUCT(--ISNUMBER(SEARCH(econineq,C27)))&gt;0)</f>
        <v>0</v>
      </c>
      <c r="U26" s="14" cm="1">
        <f t="array" ref="U26">INT(SUMPRODUCT(--ISNUMBER(SEARCH(climate,C26)))&gt;0)</f>
        <v>0</v>
      </c>
      <c r="V26" s="14" cm="1">
        <f t="array" ref="V26">INT(SUMPRODUCT(--ISNUMBER(SEARCH(abortion,C26)))&gt;0)</f>
        <v>0</v>
      </c>
      <c r="W26" s="14" cm="1">
        <f t="array" ref="W26">INT(SUMPRODUCT(--ISNUMBER(SEARCH(trump,C26)))&gt;0)</f>
        <v>0</v>
      </c>
      <c r="X26" s="14" cm="1">
        <f t="array" ref="X26">INT(SUMPRODUCT(--ISNUMBER(SEARCH(voting,C26)))&gt;0)</f>
        <v>0</v>
      </c>
      <c r="Y26" s="14" cm="1">
        <f t="array" ref="Y26">INT(SUMPRODUCT(--ISNUMBER(SEARCH(democrattrigger,C26)))&gt;0)</f>
        <v>0</v>
      </c>
      <c r="Z26" s="14" cm="1">
        <f t="array" ref="Z26">INT(SUMPRODUCT(--ISNUMBER(SEARCH(bipartisan,C26)))&gt;0)</f>
        <v>0</v>
      </c>
      <c r="AA26" s="14">
        <f t="shared" si="0"/>
        <v>0</v>
      </c>
      <c r="AB26" s="14"/>
      <c r="AC26" s="30" t="s">
        <v>223</v>
      </c>
      <c r="AD26" s="37" t="s">
        <v>223</v>
      </c>
    </row>
    <row r="27" spans="1:30" x14ac:dyDescent="0.25">
      <c r="A27" s="36">
        <v>4222</v>
      </c>
      <c r="B27" s="14" t="s">
        <v>8467</v>
      </c>
      <c r="C27" s="14" t="s">
        <v>8468</v>
      </c>
      <c r="D27" s="17">
        <v>44132</v>
      </c>
      <c r="E27" s="14" t="s">
        <v>30</v>
      </c>
      <c r="F27" s="14">
        <v>176</v>
      </c>
      <c r="G27" s="14">
        <v>76</v>
      </c>
      <c r="H27" s="14">
        <v>19</v>
      </c>
      <c r="I27" s="14">
        <v>10</v>
      </c>
      <c r="J27" s="14" t="s">
        <v>204</v>
      </c>
      <c r="K27" s="14" cm="1">
        <f t="array" ref="K27">INT(SUMPRODUCT(--ISNUMBER(SEARCH(economy,C27)))&gt;0)</f>
        <v>0</v>
      </c>
      <c r="L27" s="14" cm="1">
        <f t="array" ref="L27">INT(SUMPRODUCT(--ISNUMBER(SEARCH(healthcare,C27)))&gt;0)</f>
        <v>0</v>
      </c>
      <c r="M27" s="14" cm="1">
        <f t="array" ref="M27">INT(SUMPRODUCT(--ISNUMBER(SEARCH(supreme,C27)))&gt;0)</f>
        <v>0</v>
      </c>
      <c r="N27" s="14" cm="1">
        <f t="array" ref="N27">INT(SUMPRODUCT(--ISNUMBER(SEARCH(covid,C27)))&gt;0)</f>
        <v>0</v>
      </c>
      <c r="O27" s="14" cm="1">
        <f t="array" ref="O27">INT(SUMPRODUCT(--ISNUMBER(SEARCH(violent,C27)))&gt;0)</f>
        <v>0</v>
      </c>
      <c r="P27" s="14" cm="1">
        <f t="array" ref="P27">INT(SUMPRODUCT(--ISNUMBER(SEARCH(foreign,C27)))&gt;0)</f>
        <v>0</v>
      </c>
      <c r="Q27" s="14" cm="1">
        <f t="array" ref="Q27">INT(SUMPRODUCT(--ISNUMBER(SEARCH(gun,C27)))&gt;0)</f>
        <v>0</v>
      </c>
      <c r="R27" s="14" cm="1">
        <f t="array" ref="R27">INT(SUMPRODUCT(--ISNUMBER(SEARCH(race,C27)))&gt;0)</f>
        <v>0</v>
      </c>
      <c r="S27" s="14" cm="1">
        <f t="array" ref="S27">INT(SUMPRODUCT(--ISNUMBER(SEARCH(immigration,C27)))&gt;0)</f>
        <v>0</v>
      </c>
      <c r="T27" s="14" cm="1">
        <f t="array" ref="T27">INT(SUMPRODUCT(--ISNUMBER(SEARCH(econineq,C28)))&gt;0)</f>
        <v>0</v>
      </c>
      <c r="U27" s="14" cm="1">
        <f t="array" ref="U27">INT(SUMPRODUCT(--ISNUMBER(SEARCH(climate,C27)))&gt;0)</f>
        <v>0</v>
      </c>
      <c r="V27" s="14" cm="1">
        <f t="array" ref="V27">INT(SUMPRODUCT(--ISNUMBER(SEARCH(abortion,C27)))&gt;0)</f>
        <v>0</v>
      </c>
      <c r="W27" s="14" cm="1">
        <f t="array" ref="W27">INT(SUMPRODUCT(--ISNUMBER(SEARCH(trump,C27)))&gt;0)</f>
        <v>0</v>
      </c>
      <c r="X27" s="14" cm="1">
        <f t="array" ref="X27">INT(SUMPRODUCT(--ISNUMBER(SEARCH(voting,C27)))&gt;0)</f>
        <v>1</v>
      </c>
      <c r="Y27" s="14" cm="1">
        <f t="array" ref="Y27">INT(SUMPRODUCT(--ISNUMBER(SEARCH(democrattrigger,C27)))&gt;0)</f>
        <v>0</v>
      </c>
      <c r="Z27" s="14" cm="1">
        <f t="array" ref="Z27">INT(SUMPRODUCT(--ISNUMBER(SEARCH(bipartisan,C27)))&gt;0)</f>
        <v>0</v>
      </c>
      <c r="AA27" s="14">
        <f t="shared" si="0"/>
        <v>0</v>
      </c>
      <c r="AB27" s="14"/>
      <c r="AC27" s="30" t="s">
        <v>223</v>
      </c>
      <c r="AD27" s="37" t="s">
        <v>223</v>
      </c>
    </row>
    <row r="28" spans="1:30" x14ac:dyDescent="0.25">
      <c r="A28" s="36">
        <v>4223</v>
      </c>
      <c r="B28" s="14" t="s">
        <v>8469</v>
      </c>
      <c r="C28" s="14" t="s">
        <v>8470</v>
      </c>
      <c r="D28" s="17">
        <v>44132</v>
      </c>
      <c r="E28" s="14" t="s">
        <v>70</v>
      </c>
      <c r="F28" s="14">
        <v>39</v>
      </c>
      <c r="G28" s="14">
        <v>12</v>
      </c>
      <c r="H28" s="14">
        <v>19</v>
      </c>
      <c r="I28" s="14">
        <v>10</v>
      </c>
      <c r="J28" s="14" t="s">
        <v>204</v>
      </c>
      <c r="K28" s="14" cm="1">
        <f t="array" ref="K28">INT(SUMPRODUCT(--ISNUMBER(SEARCH(economy,C28)))&gt;0)</f>
        <v>0</v>
      </c>
      <c r="L28" s="14" cm="1">
        <f t="array" ref="L28">INT(SUMPRODUCT(--ISNUMBER(SEARCH(healthcare,C28)))&gt;0)</f>
        <v>0</v>
      </c>
      <c r="M28" s="14" cm="1">
        <f t="array" ref="M28">INT(SUMPRODUCT(--ISNUMBER(SEARCH(supreme,C28)))&gt;0)</f>
        <v>0</v>
      </c>
      <c r="N28" s="14" cm="1">
        <f t="array" ref="N28">INT(SUMPRODUCT(--ISNUMBER(SEARCH(covid,C28)))&gt;0)</f>
        <v>0</v>
      </c>
      <c r="O28" s="14" cm="1">
        <f t="array" ref="O28">INT(SUMPRODUCT(--ISNUMBER(SEARCH(violent,C28)))&gt;0)</f>
        <v>0</v>
      </c>
      <c r="P28" s="14" cm="1">
        <f t="array" ref="P28">INT(SUMPRODUCT(--ISNUMBER(SEARCH(foreign,C28)))&gt;0)</f>
        <v>0</v>
      </c>
      <c r="Q28" s="14" cm="1">
        <f t="array" ref="Q28">INT(SUMPRODUCT(--ISNUMBER(SEARCH(gun,C28)))&gt;0)</f>
        <v>0</v>
      </c>
      <c r="R28" s="14" cm="1">
        <f t="array" ref="R28">INT(SUMPRODUCT(--ISNUMBER(SEARCH(race,C28)))&gt;0)</f>
        <v>0</v>
      </c>
      <c r="S28" s="14" cm="1">
        <f t="array" ref="S28">INT(SUMPRODUCT(--ISNUMBER(SEARCH(immigration,C28)))&gt;0)</f>
        <v>0</v>
      </c>
      <c r="T28" s="14" cm="1">
        <f t="array" ref="T28">INT(SUMPRODUCT(--ISNUMBER(SEARCH(econineq,C29)))&gt;0)</f>
        <v>0</v>
      </c>
      <c r="U28" s="14" cm="1">
        <f t="array" ref="U28">INT(SUMPRODUCT(--ISNUMBER(SEARCH(climate,C28)))&gt;0)</f>
        <v>0</v>
      </c>
      <c r="V28" s="14" cm="1">
        <f t="array" ref="V28">INT(SUMPRODUCT(--ISNUMBER(SEARCH(abortion,C28)))&gt;0)</f>
        <v>0</v>
      </c>
      <c r="W28" s="14" cm="1">
        <f t="array" ref="W28">INT(SUMPRODUCT(--ISNUMBER(SEARCH(trump,C28)))&gt;0)</f>
        <v>0</v>
      </c>
      <c r="X28" s="14" cm="1">
        <f t="array" ref="X28">INT(SUMPRODUCT(--ISNUMBER(SEARCH(voting,C28)))&gt;0)</f>
        <v>0</v>
      </c>
      <c r="Y28" s="14" cm="1">
        <f t="array" ref="Y28">INT(SUMPRODUCT(--ISNUMBER(SEARCH(democrattrigger,C28)))&gt;0)</f>
        <v>0</v>
      </c>
      <c r="Z28" s="14" cm="1">
        <f t="array" ref="Z28">INT(SUMPRODUCT(--ISNUMBER(SEARCH(bipartisan,C28)))&gt;0)</f>
        <v>0</v>
      </c>
      <c r="AA28" s="14">
        <f t="shared" si="0"/>
        <v>1</v>
      </c>
      <c r="AB28" s="14"/>
      <c r="AC28" s="30" t="s">
        <v>223</v>
      </c>
      <c r="AD28" s="37" t="s">
        <v>223</v>
      </c>
    </row>
    <row r="29" spans="1:30" x14ac:dyDescent="0.25">
      <c r="A29" s="36">
        <v>4224</v>
      </c>
      <c r="B29" s="14" t="s">
        <v>8471</v>
      </c>
      <c r="C29" s="14" t="s">
        <v>8472</v>
      </c>
      <c r="D29" s="17">
        <v>44132</v>
      </c>
      <c r="E29" s="14" t="s">
        <v>30</v>
      </c>
      <c r="F29" s="14">
        <v>88</v>
      </c>
      <c r="G29" s="14">
        <v>17</v>
      </c>
      <c r="H29" s="14">
        <v>19</v>
      </c>
      <c r="I29" s="14">
        <v>10</v>
      </c>
      <c r="J29" s="14" t="s">
        <v>204</v>
      </c>
      <c r="K29" s="14" cm="1">
        <f t="array" ref="K29">INT(SUMPRODUCT(--ISNUMBER(SEARCH(economy,C29)))&gt;0)</f>
        <v>1</v>
      </c>
      <c r="L29" s="14" cm="1">
        <f t="array" ref="L29">INT(SUMPRODUCT(--ISNUMBER(SEARCH(healthcare,C29)))&gt;0)</f>
        <v>1</v>
      </c>
      <c r="M29" s="14" cm="1">
        <f t="array" ref="M29">INT(SUMPRODUCT(--ISNUMBER(SEARCH(supreme,C29)))&gt;0)</f>
        <v>0</v>
      </c>
      <c r="N29" s="14" cm="1">
        <f t="array" ref="N29">INT(SUMPRODUCT(--ISNUMBER(SEARCH(covid,C29)))&gt;0)</f>
        <v>1</v>
      </c>
      <c r="O29" s="14" cm="1">
        <f t="array" ref="O29">INT(SUMPRODUCT(--ISNUMBER(SEARCH(violent,C29)))&gt;0)</f>
        <v>0</v>
      </c>
      <c r="P29" s="14" cm="1">
        <f t="array" ref="P29">INT(SUMPRODUCT(--ISNUMBER(SEARCH(foreign,C29)))&gt;0)</f>
        <v>0</v>
      </c>
      <c r="Q29" s="14" cm="1">
        <f t="array" ref="Q29">INT(SUMPRODUCT(--ISNUMBER(SEARCH(gun,C29)))&gt;0)</f>
        <v>0</v>
      </c>
      <c r="R29" s="14" cm="1">
        <f t="array" ref="R29">INT(SUMPRODUCT(--ISNUMBER(SEARCH(race,C29)))&gt;0)</f>
        <v>0</v>
      </c>
      <c r="S29" s="14" cm="1">
        <f t="array" ref="S29">INT(SUMPRODUCT(--ISNUMBER(SEARCH(immigration,C29)))&gt;0)</f>
        <v>0</v>
      </c>
      <c r="T29" s="14" cm="1">
        <f t="array" ref="T29">INT(SUMPRODUCT(--ISNUMBER(SEARCH(econineq,C30)))&gt;0)</f>
        <v>0</v>
      </c>
      <c r="U29" s="14" cm="1">
        <f t="array" ref="U29">INT(SUMPRODUCT(--ISNUMBER(SEARCH(climate,C29)))&gt;0)</f>
        <v>0</v>
      </c>
      <c r="V29" s="14" cm="1">
        <f t="array" ref="V29">INT(SUMPRODUCT(--ISNUMBER(SEARCH(abortion,C29)))&gt;0)</f>
        <v>0</v>
      </c>
      <c r="W29" s="14" cm="1">
        <f t="array" ref="W29">INT(SUMPRODUCT(--ISNUMBER(SEARCH(trump,C29)))&gt;0)</f>
        <v>0</v>
      </c>
      <c r="X29" s="14" cm="1">
        <f t="array" ref="X29">INT(SUMPRODUCT(--ISNUMBER(SEARCH(voting,C29)))&gt;0)</f>
        <v>0</v>
      </c>
      <c r="Y29" s="14" cm="1">
        <f t="array" ref="Y29">INT(SUMPRODUCT(--ISNUMBER(SEARCH(democrattrigger,C29)))&gt;0)</f>
        <v>0</v>
      </c>
      <c r="Z29" s="14" cm="1">
        <f t="array" ref="Z29">INT(SUMPRODUCT(--ISNUMBER(SEARCH(bipartisan,C29)))&gt;0)</f>
        <v>0</v>
      </c>
      <c r="AA29" s="14">
        <f t="shared" si="0"/>
        <v>0</v>
      </c>
      <c r="AB29" s="14"/>
      <c r="AC29" s="30">
        <v>1</v>
      </c>
      <c r="AD29" s="37">
        <v>0</v>
      </c>
    </row>
    <row r="30" spans="1:30" x14ac:dyDescent="0.25">
      <c r="A30" s="36">
        <v>4225</v>
      </c>
      <c r="B30" s="14" t="s">
        <v>8473</v>
      </c>
      <c r="C30" s="14" t="s">
        <v>8474</v>
      </c>
      <c r="D30" s="17">
        <v>44132</v>
      </c>
      <c r="E30" s="14" t="s">
        <v>70</v>
      </c>
      <c r="F30" s="14">
        <v>87</v>
      </c>
      <c r="G30" s="14">
        <v>14</v>
      </c>
      <c r="H30" s="14">
        <v>19</v>
      </c>
      <c r="I30" s="14">
        <v>10</v>
      </c>
      <c r="J30" s="14" t="s">
        <v>204</v>
      </c>
      <c r="K30" s="14" cm="1">
        <f t="array" ref="K30">INT(SUMPRODUCT(--ISNUMBER(SEARCH(economy,C30)))&gt;0)</f>
        <v>0</v>
      </c>
      <c r="L30" s="14" cm="1">
        <f t="array" ref="L30">INT(SUMPRODUCT(--ISNUMBER(SEARCH(healthcare,C30)))&gt;0)</f>
        <v>0</v>
      </c>
      <c r="M30" s="14" cm="1">
        <f t="array" ref="M30">INT(SUMPRODUCT(--ISNUMBER(SEARCH(supreme,C30)))&gt;0)</f>
        <v>0</v>
      </c>
      <c r="N30" s="14" cm="1">
        <f t="array" ref="N30">INT(SUMPRODUCT(--ISNUMBER(SEARCH(covid,C30)))&gt;0)</f>
        <v>0</v>
      </c>
      <c r="O30" s="14" cm="1">
        <f t="array" ref="O30">INT(SUMPRODUCT(--ISNUMBER(SEARCH(violent,C30)))&gt;0)</f>
        <v>0</v>
      </c>
      <c r="P30" s="14" cm="1">
        <f t="array" ref="P30">INT(SUMPRODUCT(--ISNUMBER(SEARCH(foreign,C30)))&gt;0)</f>
        <v>0</v>
      </c>
      <c r="Q30" s="14" cm="1">
        <f t="array" ref="Q30">INT(SUMPRODUCT(--ISNUMBER(SEARCH(gun,C30)))&gt;0)</f>
        <v>0</v>
      </c>
      <c r="R30" s="14" cm="1">
        <f t="array" ref="R30">INT(SUMPRODUCT(--ISNUMBER(SEARCH(race,C30)))&gt;0)</f>
        <v>0</v>
      </c>
      <c r="S30" s="14" cm="1">
        <f t="array" ref="S30">INT(SUMPRODUCT(--ISNUMBER(SEARCH(immigration,C30)))&gt;0)</f>
        <v>0</v>
      </c>
      <c r="T30" s="14" cm="1">
        <f t="array" ref="T30">INT(SUMPRODUCT(--ISNUMBER(SEARCH(econineq,C31)))&gt;0)</f>
        <v>0</v>
      </c>
      <c r="U30" s="14" cm="1">
        <f t="array" ref="U30">INT(SUMPRODUCT(--ISNUMBER(SEARCH(climate,C30)))&gt;0)</f>
        <v>0</v>
      </c>
      <c r="V30" s="14" cm="1">
        <f t="array" ref="V30">INT(SUMPRODUCT(--ISNUMBER(SEARCH(abortion,C30)))&gt;0)</f>
        <v>0</v>
      </c>
      <c r="W30" s="14" cm="1">
        <f t="array" ref="W30">INT(SUMPRODUCT(--ISNUMBER(SEARCH(trump,C30)))&gt;0)</f>
        <v>0</v>
      </c>
      <c r="X30" s="14" cm="1">
        <f t="array" ref="X30">INT(SUMPRODUCT(--ISNUMBER(SEARCH(voting,C30)))&gt;0)</f>
        <v>1</v>
      </c>
      <c r="Y30" s="14" cm="1">
        <f t="array" ref="Y30">INT(SUMPRODUCT(--ISNUMBER(SEARCH(democrattrigger,C30)))&gt;0)</f>
        <v>0</v>
      </c>
      <c r="Z30" s="14" cm="1">
        <f t="array" ref="Z30">INT(SUMPRODUCT(--ISNUMBER(SEARCH(bipartisan,C30)))&gt;0)</f>
        <v>0</v>
      </c>
      <c r="AA30" s="14">
        <f t="shared" si="0"/>
        <v>0</v>
      </c>
      <c r="AB30" s="14"/>
      <c r="AC30" s="30" t="s">
        <v>223</v>
      </c>
      <c r="AD30" s="37" t="s">
        <v>223</v>
      </c>
    </row>
    <row r="31" spans="1:30" x14ac:dyDescent="0.25">
      <c r="A31" s="36">
        <v>4226</v>
      </c>
      <c r="B31" s="14" t="s">
        <v>8475</v>
      </c>
      <c r="C31" s="14" t="s">
        <v>8476</v>
      </c>
      <c r="D31" s="17">
        <v>44132</v>
      </c>
      <c r="E31" s="14" t="s">
        <v>70</v>
      </c>
      <c r="F31" s="14">
        <v>96</v>
      </c>
      <c r="G31" s="14">
        <v>14</v>
      </c>
      <c r="H31" s="14">
        <v>19</v>
      </c>
      <c r="I31" s="14">
        <v>10</v>
      </c>
      <c r="J31" s="14" t="s">
        <v>204</v>
      </c>
      <c r="K31" s="14" cm="1">
        <f t="array" ref="K31">INT(SUMPRODUCT(--ISNUMBER(SEARCH(economy,C31)))&gt;0)</f>
        <v>0</v>
      </c>
      <c r="L31" s="14" cm="1">
        <f t="array" ref="L31">INT(SUMPRODUCT(--ISNUMBER(SEARCH(healthcare,C31)))&gt;0)</f>
        <v>0</v>
      </c>
      <c r="M31" s="14" cm="1">
        <f t="array" ref="M31">INT(SUMPRODUCT(--ISNUMBER(SEARCH(supreme,C31)))&gt;0)</f>
        <v>0</v>
      </c>
      <c r="N31" s="14" cm="1">
        <f t="array" ref="N31">INT(SUMPRODUCT(--ISNUMBER(SEARCH(covid,C31)))&gt;0)</f>
        <v>0</v>
      </c>
      <c r="O31" s="14" cm="1">
        <f t="array" ref="O31">INT(SUMPRODUCT(--ISNUMBER(SEARCH(violent,C31)))&gt;0)</f>
        <v>0</v>
      </c>
      <c r="P31" s="14" cm="1">
        <f t="array" ref="P31">INT(SUMPRODUCT(--ISNUMBER(SEARCH(foreign,C31)))&gt;0)</f>
        <v>0</v>
      </c>
      <c r="Q31" s="14" cm="1">
        <f t="array" ref="Q31">INT(SUMPRODUCT(--ISNUMBER(SEARCH(gun,C31)))&gt;0)</f>
        <v>0</v>
      </c>
      <c r="R31" s="14" cm="1">
        <f t="array" ref="R31">INT(SUMPRODUCT(--ISNUMBER(SEARCH(race,C31)))&gt;0)</f>
        <v>0</v>
      </c>
      <c r="S31" s="14" cm="1">
        <f t="array" ref="S31">INT(SUMPRODUCT(--ISNUMBER(SEARCH(immigration,C31)))&gt;0)</f>
        <v>0</v>
      </c>
      <c r="T31" s="14" cm="1">
        <f t="array" ref="T31">INT(SUMPRODUCT(--ISNUMBER(SEARCH(econineq,C32)))&gt;0)</f>
        <v>0</v>
      </c>
      <c r="U31" s="14" cm="1">
        <f t="array" ref="U31">INT(SUMPRODUCT(--ISNUMBER(SEARCH(climate,C31)))&gt;0)</f>
        <v>0</v>
      </c>
      <c r="V31" s="14" cm="1">
        <f t="array" ref="V31">INT(SUMPRODUCT(--ISNUMBER(SEARCH(abortion,C31)))&gt;0)</f>
        <v>0</v>
      </c>
      <c r="W31" s="14" cm="1">
        <f t="array" ref="W31">INT(SUMPRODUCT(--ISNUMBER(SEARCH(trump,C31)))&gt;0)</f>
        <v>1</v>
      </c>
      <c r="X31" s="14" cm="1">
        <f t="array" ref="X31">INT(SUMPRODUCT(--ISNUMBER(SEARCH(voting,C31)))&gt;0)</f>
        <v>1</v>
      </c>
      <c r="Y31" s="14" cm="1">
        <f t="array" ref="Y31">INT(SUMPRODUCT(--ISNUMBER(SEARCH(democrattrigger,C31)))&gt;0)</f>
        <v>1</v>
      </c>
      <c r="Z31" s="14" cm="1">
        <f t="array" ref="Z31">INT(SUMPRODUCT(--ISNUMBER(SEARCH(bipartisan,C31)))&gt;0)</f>
        <v>0</v>
      </c>
      <c r="AA31" s="14">
        <f t="shared" si="0"/>
        <v>0</v>
      </c>
      <c r="AB31" s="14"/>
      <c r="AC31" s="30" t="s">
        <v>223</v>
      </c>
      <c r="AD31" s="37" t="s">
        <v>223</v>
      </c>
    </row>
    <row r="32" spans="1:30" x14ac:dyDescent="0.25">
      <c r="A32" s="36">
        <v>4227</v>
      </c>
      <c r="B32" s="14" t="s">
        <v>8477</v>
      </c>
      <c r="C32" s="14" t="s">
        <v>8478</v>
      </c>
      <c r="D32" s="17">
        <v>44132</v>
      </c>
      <c r="E32" s="14" t="s">
        <v>30</v>
      </c>
      <c r="F32" s="14">
        <v>132</v>
      </c>
      <c r="G32" s="14">
        <v>40</v>
      </c>
      <c r="H32" s="14">
        <v>19</v>
      </c>
      <c r="I32" s="14">
        <v>10</v>
      </c>
      <c r="J32" s="14" t="s">
        <v>204</v>
      </c>
      <c r="K32" s="14" cm="1">
        <f t="array" ref="K32">INT(SUMPRODUCT(--ISNUMBER(SEARCH(economy,C32)))&gt;0)</f>
        <v>0</v>
      </c>
      <c r="L32" s="14" cm="1">
        <f t="array" ref="L32">INT(SUMPRODUCT(--ISNUMBER(SEARCH(healthcare,C32)))&gt;0)</f>
        <v>0</v>
      </c>
      <c r="M32" s="14" cm="1">
        <f t="array" ref="M32">INT(SUMPRODUCT(--ISNUMBER(SEARCH(supreme,C32)))&gt;0)</f>
        <v>0</v>
      </c>
      <c r="N32" s="14" cm="1">
        <f t="array" ref="N32">INT(SUMPRODUCT(--ISNUMBER(SEARCH(covid,C32)))&gt;0)</f>
        <v>0</v>
      </c>
      <c r="O32" s="14" cm="1">
        <f t="array" ref="O32">INT(SUMPRODUCT(--ISNUMBER(SEARCH(violent,C32)))&gt;0)</f>
        <v>0</v>
      </c>
      <c r="P32" s="14" cm="1">
        <f t="array" ref="P32">INT(SUMPRODUCT(--ISNUMBER(SEARCH(foreign,C32)))&gt;0)</f>
        <v>0</v>
      </c>
      <c r="Q32" s="14" cm="1">
        <f t="array" ref="Q32">INT(SUMPRODUCT(--ISNUMBER(SEARCH(gun,C32)))&gt;0)</f>
        <v>0</v>
      </c>
      <c r="R32" s="14" cm="1">
        <f t="array" ref="R32">INT(SUMPRODUCT(--ISNUMBER(SEARCH(race,C32)))&gt;0)</f>
        <v>0</v>
      </c>
      <c r="S32" s="14" cm="1">
        <f t="array" ref="S32">INT(SUMPRODUCT(--ISNUMBER(SEARCH(immigration,C32)))&gt;0)</f>
        <v>0</v>
      </c>
      <c r="T32" s="14" cm="1">
        <f t="array" ref="T32">INT(SUMPRODUCT(--ISNUMBER(SEARCH(econineq,C33)))&gt;0)</f>
        <v>0</v>
      </c>
      <c r="U32" s="14" cm="1">
        <f t="array" ref="U32">INT(SUMPRODUCT(--ISNUMBER(SEARCH(climate,C32)))&gt;0)</f>
        <v>0</v>
      </c>
      <c r="V32" s="14" cm="1">
        <f t="array" ref="V32">INT(SUMPRODUCT(--ISNUMBER(SEARCH(abortion,C32)))&gt;0)</f>
        <v>0</v>
      </c>
      <c r="W32" s="14" cm="1">
        <f t="array" ref="W32">INT(SUMPRODUCT(--ISNUMBER(SEARCH(trump,C32)))&gt;0)</f>
        <v>0</v>
      </c>
      <c r="X32" s="14" cm="1">
        <f t="array" ref="X32">INT(SUMPRODUCT(--ISNUMBER(SEARCH(voting,C32)))&gt;0)</f>
        <v>0</v>
      </c>
      <c r="Y32" s="14" cm="1">
        <f t="array" ref="Y32">INT(SUMPRODUCT(--ISNUMBER(SEARCH(democrattrigger,C32)))&gt;0)</f>
        <v>0</v>
      </c>
      <c r="Z32" s="14" cm="1">
        <f t="array" ref="Z32">INT(SUMPRODUCT(--ISNUMBER(SEARCH(bipartisan,C32)))&gt;0)</f>
        <v>0</v>
      </c>
      <c r="AA32" s="14">
        <f t="shared" si="0"/>
        <v>1</v>
      </c>
      <c r="AB32" s="14"/>
      <c r="AC32" s="30" t="s">
        <v>223</v>
      </c>
      <c r="AD32" s="37" t="s">
        <v>223</v>
      </c>
    </row>
    <row r="33" spans="1:30" x14ac:dyDescent="0.25">
      <c r="A33" s="36">
        <v>4228</v>
      </c>
      <c r="B33" s="14" t="s">
        <v>8479</v>
      </c>
      <c r="C33" s="14" t="s">
        <v>8480</v>
      </c>
      <c r="D33" s="17">
        <v>44132</v>
      </c>
      <c r="E33" s="14" t="s">
        <v>30</v>
      </c>
      <c r="F33" s="14">
        <v>68</v>
      </c>
      <c r="G33" s="14">
        <v>11</v>
      </c>
      <c r="H33" s="14">
        <v>19</v>
      </c>
      <c r="I33" s="14">
        <v>10</v>
      </c>
      <c r="J33" s="14" t="s">
        <v>204</v>
      </c>
      <c r="K33" s="14" cm="1">
        <f t="array" ref="K33">INT(SUMPRODUCT(--ISNUMBER(SEARCH(economy,C33)))&gt;0)</f>
        <v>1</v>
      </c>
      <c r="L33" s="14" cm="1">
        <f t="array" ref="L33">INT(SUMPRODUCT(--ISNUMBER(SEARCH(healthcare,C33)))&gt;0)</f>
        <v>0</v>
      </c>
      <c r="M33" s="14" cm="1">
        <f t="array" ref="M33">INT(SUMPRODUCT(--ISNUMBER(SEARCH(supreme,C33)))&gt;0)</f>
        <v>0</v>
      </c>
      <c r="N33" s="14" cm="1">
        <f t="array" ref="N33">INT(SUMPRODUCT(--ISNUMBER(SEARCH(covid,C33)))&gt;0)</f>
        <v>0</v>
      </c>
      <c r="O33" s="14" cm="1">
        <f t="array" ref="O33">INT(SUMPRODUCT(--ISNUMBER(SEARCH(violent,C33)))&gt;0)</f>
        <v>0</v>
      </c>
      <c r="P33" s="14" cm="1">
        <f t="array" ref="P33">INT(SUMPRODUCT(--ISNUMBER(SEARCH(foreign,C33)))&gt;0)</f>
        <v>0</v>
      </c>
      <c r="Q33" s="14" cm="1">
        <f t="array" ref="Q33">INT(SUMPRODUCT(--ISNUMBER(SEARCH(gun,C33)))&gt;0)</f>
        <v>0</v>
      </c>
      <c r="R33" s="14" cm="1">
        <f t="array" ref="R33">INT(SUMPRODUCT(--ISNUMBER(SEARCH(race,C33)))&gt;0)</f>
        <v>0</v>
      </c>
      <c r="S33" s="14" cm="1">
        <f t="array" ref="S33">INT(SUMPRODUCT(--ISNUMBER(SEARCH(immigration,C33)))&gt;0)</f>
        <v>0</v>
      </c>
      <c r="T33" s="14" cm="1">
        <f t="array" ref="T33">INT(SUMPRODUCT(--ISNUMBER(SEARCH(econineq,C34)))&gt;0)</f>
        <v>0</v>
      </c>
      <c r="U33" s="14" cm="1">
        <f t="array" ref="U33">INT(SUMPRODUCT(--ISNUMBER(SEARCH(climate,C33)))&gt;0)</f>
        <v>0</v>
      </c>
      <c r="V33" s="14" cm="1">
        <f t="array" ref="V33">INT(SUMPRODUCT(--ISNUMBER(SEARCH(abortion,C33)))&gt;0)</f>
        <v>0</v>
      </c>
      <c r="W33" s="14" cm="1">
        <f t="array" ref="W33">INT(SUMPRODUCT(--ISNUMBER(SEARCH(trump,C33)))&gt;0)</f>
        <v>0</v>
      </c>
      <c r="X33" s="14" cm="1">
        <f t="array" ref="X33">INT(SUMPRODUCT(--ISNUMBER(SEARCH(voting,C33)))&gt;0)</f>
        <v>0</v>
      </c>
      <c r="Y33" s="14" cm="1">
        <f t="array" ref="Y33">INT(SUMPRODUCT(--ISNUMBER(SEARCH(democrattrigger,C33)))&gt;0)</f>
        <v>0</v>
      </c>
      <c r="Z33" s="14" cm="1">
        <f t="array" ref="Z33">INT(SUMPRODUCT(--ISNUMBER(SEARCH(bipartisan,C33)))&gt;0)</f>
        <v>0</v>
      </c>
      <c r="AA33" s="14">
        <f t="shared" si="0"/>
        <v>0</v>
      </c>
      <c r="AB33" s="14"/>
      <c r="AC33" s="30">
        <v>1</v>
      </c>
      <c r="AD33" s="37">
        <v>0</v>
      </c>
    </row>
    <row r="34" spans="1:30" x14ac:dyDescent="0.25">
      <c r="A34" s="36">
        <v>4229</v>
      </c>
      <c r="B34" s="14" t="s">
        <v>8481</v>
      </c>
      <c r="C34" s="14" t="s">
        <v>8482</v>
      </c>
      <c r="D34" s="17">
        <v>44132</v>
      </c>
      <c r="E34" s="14" t="s">
        <v>30</v>
      </c>
      <c r="F34" s="14">
        <v>382</v>
      </c>
      <c r="G34" s="14">
        <v>69</v>
      </c>
      <c r="H34" s="14">
        <v>19</v>
      </c>
      <c r="I34" s="14">
        <v>10</v>
      </c>
      <c r="J34" s="14" t="s">
        <v>204</v>
      </c>
      <c r="K34" s="14" cm="1">
        <f t="array" ref="K34">INT(SUMPRODUCT(--ISNUMBER(SEARCH(economy,C34)))&gt;0)</f>
        <v>0</v>
      </c>
      <c r="L34" s="14" cm="1">
        <f t="array" ref="L34">INT(SUMPRODUCT(--ISNUMBER(SEARCH(healthcare,C34)))&gt;0)</f>
        <v>0</v>
      </c>
      <c r="M34" s="14" cm="1">
        <f t="array" ref="M34">INT(SUMPRODUCT(--ISNUMBER(SEARCH(supreme,C34)))&gt;0)</f>
        <v>0</v>
      </c>
      <c r="N34" s="14" cm="1">
        <f t="array" ref="N34">INT(SUMPRODUCT(--ISNUMBER(SEARCH(covid,C34)))&gt;0)</f>
        <v>1</v>
      </c>
      <c r="O34" s="14" cm="1">
        <f t="array" ref="O34">INT(SUMPRODUCT(--ISNUMBER(SEARCH(violent,C34)))&gt;0)</f>
        <v>0</v>
      </c>
      <c r="P34" s="14" cm="1">
        <f t="array" ref="P34">INT(SUMPRODUCT(--ISNUMBER(SEARCH(foreign,C34)))&gt;0)</f>
        <v>0</v>
      </c>
      <c r="Q34" s="14" cm="1">
        <f t="array" ref="Q34">INT(SUMPRODUCT(--ISNUMBER(SEARCH(gun,C34)))&gt;0)</f>
        <v>0</v>
      </c>
      <c r="R34" s="14" cm="1">
        <f t="array" ref="R34">INT(SUMPRODUCT(--ISNUMBER(SEARCH(race,C34)))&gt;0)</f>
        <v>0</v>
      </c>
      <c r="S34" s="14" cm="1">
        <f t="array" ref="S34">INT(SUMPRODUCT(--ISNUMBER(SEARCH(immigration,C34)))&gt;0)</f>
        <v>0</v>
      </c>
      <c r="T34" s="14" cm="1">
        <f t="array" ref="T34">INT(SUMPRODUCT(--ISNUMBER(SEARCH(econineq,C35)))&gt;0)</f>
        <v>1</v>
      </c>
      <c r="U34" s="14" cm="1">
        <f t="array" ref="U34">INT(SUMPRODUCT(--ISNUMBER(SEARCH(climate,C34)))&gt;0)</f>
        <v>0</v>
      </c>
      <c r="V34" s="14" cm="1">
        <f t="array" ref="V34">INT(SUMPRODUCT(--ISNUMBER(SEARCH(abortion,C34)))&gt;0)</f>
        <v>0</v>
      </c>
      <c r="W34" s="14" cm="1">
        <f t="array" ref="W34">INT(SUMPRODUCT(--ISNUMBER(SEARCH(trump,C34)))&gt;0)</f>
        <v>0</v>
      </c>
      <c r="X34" s="14" cm="1">
        <f t="array" ref="X34">INT(SUMPRODUCT(--ISNUMBER(SEARCH(voting,C34)))&gt;0)</f>
        <v>0</v>
      </c>
      <c r="Y34" s="14" cm="1">
        <f t="array" ref="Y34">INT(SUMPRODUCT(--ISNUMBER(SEARCH(democrattrigger,C34)))&gt;0)</f>
        <v>0</v>
      </c>
      <c r="Z34" s="14" cm="1">
        <f t="array" ref="Z34">INT(SUMPRODUCT(--ISNUMBER(SEARCH(bipartisan,C34)))&gt;0)</f>
        <v>0</v>
      </c>
      <c r="AA34" s="14">
        <f t="shared" si="0"/>
        <v>0</v>
      </c>
      <c r="AB34" s="14"/>
      <c r="AC34" s="30" t="s">
        <v>223</v>
      </c>
      <c r="AD34" s="37" t="s">
        <v>223</v>
      </c>
    </row>
    <row r="35" spans="1:30" x14ac:dyDescent="0.25">
      <c r="A35" s="36">
        <v>4230</v>
      </c>
      <c r="B35" s="14" t="s">
        <v>8483</v>
      </c>
      <c r="C35" s="14" t="s">
        <v>8484</v>
      </c>
      <c r="D35" s="17">
        <v>44131</v>
      </c>
      <c r="E35" s="14" t="s">
        <v>30</v>
      </c>
      <c r="F35" s="14">
        <v>171</v>
      </c>
      <c r="G35" s="14">
        <v>34</v>
      </c>
      <c r="H35" s="14">
        <v>19</v>
      </c>
      <c r="I35" s="14">
        <v>10</v>
      </c>
      <c r="J35" s="14" t="s">
        <v>204</v>
      </c>
      <c r="K35" s="14" cm="1">
        <f t="array" ref="K35">INT(SUMPRODUCT(--ISNUMBER(SEARCH(economy,C35)))&gt;0)</f>
        <v>1</v>
      </c>
      <c r="L35" s="14" cm="1">
        <f t="array" ref="L35">INT(SUMPRODUCT(--ISNUMBER(SEARCH(healthcare,C35)))&gt;0)</f>
        <v>1</v>
      </c>
      <c r="M35" s="14" cm="1">
        <f t="array" ref="M35">INT(SUMPRODUCT(--ISNUMBER(SEARCH(supreme,C35)))&gt;0)</f>
        <v>0</v>
      </c>
      <c r="N35" s="14" cm="1">
        <f t="array" ref="N35">INT(SUMPRODUCT(--ISNUMBER(SEARCH(covid,C35)))&gt;0)</f>
        <v>1</v>
      </c>
      <c r="O35" s="14" cm="1">
        <f t="array" ref="O35">INT(SUMPRODUCT(--ISNUMBER(SEARCH(violent,C35)))&gt;0)</f>
        <v>0</v>
      </c>
      <c r="P35" s="14" cm="1">
        <f t="array" ref="P35">INT(SUMPRODUCT(--ISNUMBER(SEARCH(foreign,C35)))&gt;0)</f>
        <v>0</v>
      </c>
      <c r="Q35" s="14" cm="1">
        <f t="array" ref="Q35">INT(SUMPRODUCT(--ISNUMBER(SEARCH(gun,C35)))&gt;0)</f>
        <v>0</v>
      </c>
      <c r="R35" s="14" cm="1">
        <f t="array" ref="R35">INT(SUMPRODUCT(--ISNUMBER(SEARCH(race,C35)))&gt;0)</f>
        <v>0</v>
      </c>
      <c r="S35" s="14" cm="1">
        <f t="array" ref="S35">INT(SUMPRODUCT(--ISNUMBER(SEARCH(immigration,C35)))&gt;0)</f>
        <v>0</v>
      </c>
      <c r="T35" s="14" cm="1">
        <f t="array" ref="T35">INT(SUMPRODUCT(--ISNUMBER(SEARCH(econineq,C36)))&gt;0)</f>
        <v>0</v>
      </c>
      <c r="U35" s="14" cm="1">
        <f t="array" ref="U35">INT(SUMPRODUCT(--ISNUMBER(SEARCH(climate,C35)))&gt;0)</f>
        <v>0</v>
      </c>
      <c r="V35" s="14" cm="1">
        <f t="array" ref="V35">INT(SUMPRODUCT(--ISNUMBER(SEARCH(abortion,C35)))&gt;0)</f>
        <v>0</v>
      </c>
      <c r="W35" s="14" cm="1">
        <f t="array" ref="W35">INT(SUMPRODUCT(--ISNUMBER(SEARCH(trump,C35)))&gt;0)</f>
        <v>0</v>
      </c>
      <c r="X35" s="14" cm="1">
        <f t="array" ref="X35">INT(SUMPRODUCT(--ISNUMBER(SEARCH(voting,C35)))&gt;0)</f>
        <v>0</v>
      </c>
      <c r="Y35" s="14" cm="1">
        <f t="array" ref="Y35">INT(SUMPRODUCT(--ISNUMBER(SEARCH(democrattrigger,C35)))&gt;0)</f>
        <v>0</v>
      </c>
      <c r="Z35" s="14" cm="1">
        <f t="array" ref="Z35">INT(SUMPRODUCT(--ISNUMBER(SEARCH(bipartisan,C35)))&gt;0)</f>
        <v>0</v>
      </c>
      <c r="AA35" s="14">
        <f t="shared" si="0"/>
        <v>0</v>
      </c>
      <c r="AB35" s="14"/>
      <c r="AC35" s="30">
        <v>1</v>
      </c>
      <c r="AD35" s="37">
        <v>0</v>
      </c>
    </row>
    <row r="36" spans="1:30" x14ac:dyDescent="0.25">
      <c r="A36" s="36">
        <v>4231</v>
      </c>
      <c r="B36" s="14" t="s">
        <v>8485</v>
      </c>
      <c r="C36" s="14" t="s">
        <v>8486</v>
      </c>
      <c r="D36" s="17">
        <v>44131</v>
      </c>
      <c r="E36" s="14" t="s">
        <v>30</v>
      </c>
      <c r="F36" s="14">
        <v>75</v>
      </c>
      <c r="G36" s="14">
        <v>18</v>
      </c>
      <c r="H36" s="14">
        <v>19</v>
      </c>
      <c r="I36" s="14">
        <v>10</v>
      </c>
      <c r="J36" s="14" t="s">
        <v>204</v>
      </c>
      <c r="K36" s="14" cm="1">
        <f t="array" ref="K36">INT(SUMPRODUCT(--ISNUMBER(SEARCH(economy,C36)))&gt;0)</f>
        <v>0</v>
      </c>
      <c r="L36" s="14" cm="1">
        <f t="array" ref="L36">INT(SUMPRODUCT(--ISNUMBER(SEARCH(healthcare,C36)))&gt;0)</f>
        <v>1</v>
      </c>
      <c r="M36" s="14" cm="1">
        <f t="array" ref="M36">INT(SUMPRODUCT(--ISNUMBER(SEARCH(supreme,C36)))&gt;0)</f>
        <v>0</v>
      </c>
      <c r="N36" s="14" cm="1">
        <f t="array" ref="N36">INT(SUMPRODUCT(--ISNUMBER(SEARCH(covid,C36)))&gt;0)</f>
        <v>1</v>
      </c>
      <c r="O36" s="14" cm="1">
        <f t="array" ref="O36">INT(SUMPRODUCT(--ISNUMBER(SEARCH(violent,C36)))&gt;0)</f>
        <v>0</v>
      </c>
      <c r="P36" s="14" cm="1">
        <f t="array" ref="P36">INT(SUMPRODUCT(--ISNUMBER(SEARCH(foreign,C36)))&gt;0)</f>
        <v>0</v>
      </c>
      <c r="Q36" s="14" cm="1">
        <f t="array" ref="Q36">INT(SUMPRODUCT(--ISNUMBER(SEARCH(gun,C36)))&gt;0)</f>
        <v>0</v>
      </c>
      <c r="R36" s="14" cm="1">
        <f t="array" ref="R36">INT(SUMPRODUCT(--ISNUMBER(SEARCH(race,C36)))&gt;0)</f>
        <v>0</v>
      </c>
      <c r="S36" s="14" cm="1">
        <f t="array" ref="S36">INT(SUMPRODUCT(--ISNUMBER(SEARCH(immigration,C36)))&gt;0)</f>
        <v>0</v>
      </c>
      <c r="T36" s="14" cm="1">
        <f t="array" ref="T36">INT(SUMPRODUCT(--ISNUMBER(SEARCH(econineq,C37)))&gt;0)</f>
        <v>0</v>
      </c>
      <c r="U36" s="14" cm="1">
        <f t="array" ref="U36">INT(SUMPRODUCT(--ISNUMBER(SEARCH(climate,C36)))&gt;0)</f>
        <v>0</v>
      </c>
      <c r="V36" s="14" cm="1">
        <f t="array" ref="V36">INT(SUMPRODUCT(--ISNUMBER(SEARCH(abortion,C36)))&gt;0)</f>
        <v>0</v>
      </c>
      <c r="W36" s="14" cm="1">
        <f t="array" ref="W36">INT(SUMPRODUCT(--ISNUMBER(SEARCH(trump,C36)))&gt;0)</f>
        <v>0</v>
      </c>
      <c r="X36" s="14" cm="1">
        <f t="array" ref="X36">INT(SUMPRODUCT(--ISNUMBER(SEARCH(voting,C36)))&gt;0)</f>
        <v>0</v>
      </c>
      <c r="Y36" s="14" cm="1">
        <f t="array" ref="Y36">INT(SUMPRODUCT(--ISNUMBER(SEARCH(democrattrigger,C36)))&gt;0)</f>
        <v>0</v>
      </c>
      <c r="Z36" s="14" cm="1">
        <f t="array" ref="Z36">INT(SUMPRODUCT(--ISNUMBER(SEARCH(bipartisan,C36)))&gt;0)</f>
        <v>0</v>
      </c>
      <c r="AA36" s="14">
        <f t="shared" si="0"/>
        <v>0</v>
      </c>
      <c r="AB36" s="14"/>
      <c r="AC36" s="30" t="s">
        <v>223</v>
      </c>
      <c r="AD36" s="37" t="s">
        <v>223</v>
      </c>
    </row>
    <row r="37" spans="1:30" x14ac:dyDescent="0.25">
      <c r="A37" s="36">
        <v>4232</v>
      </c>
      <c r="B37" s="14" t="s">
        <v>8487</v>
      </c>
      <c r="C37" s="14" t="s">
        <v>8488</v>
      </c>
      <c r="D37" s="17">
        <v>44131</v>
      </c>
      <c r="E37" s="14" t="s">
        <v>30</v>
      </c>
      <c r="F37" s="14">
        <v>90</v>
      </c>
      <c r="G37" s="14">
        <v>14</v>
      </c>
      <c r="H37" s="14">
        <v>19</v>
      </c>
      <c r="I37" s="14">
        <v>10</v>
      </c>
      <c r="J37" s="14" t="s">
        <v>204</v>
      </c>
      <c r="K37" s="14" cm="1">
        <f t="array" ref="K37">INT(SUMPRODUCT(--ISNUMBER(SEARCH(economy,C37)))&gt;0)</f>
        <v>1</v>
      </c>
      <c r="L37" s="14" cm="1">
        <f t="array" ref="L37">INT(SUMPRODUCT(--ISNUMBER(SEARCH(healthcare,C37)))&gt;0)</f>
        <v>0</v>
      </c>
      <c r="M37" s="14" cm="1">
        <f t="array" ref="M37">INT(SUMPRODUCT(--ISNUMBER(SEARCH(supreme,C37)))&gt;0)</f>
        <v>0</v>
      </c>
      <c r="N37" s="14" cm="1">
        <f t="array" ref="N37">INT(SUMPRODUCT(--ISNUMBER(SEARCH(covid,C37)))&gt;0)</f>
        <v>1</v>
      </c>
      <c r="O37" s="14" cm="1">
        <f t="array" ref="O37">INT(SUMPRODUCT(--ISNUMBER(SEARCH(violent,C37)))&gt;0)</f>
        <v>0</v>
      </c>
      <c r="P37" s="14" cm="1">
        <f t="array" ref="P37">INT(SUMPRODUCT(--ISNUMBER(SEARCH(foreign,C37)))&gt;0)</f>
        <v>0</v>
      </c>
      <c r="Q37" s="14" cm="1">
        <f t="array" ref="Q37">INT(SUMPRODUCT(--ISNUMBER(SEARCH(gun,C37)))&gt;0)</f>
        <v>0</v>
      </c>
      <c r="R37" s="14" cm="1">
        <f t="array" ref="R37">INT(SUMPRODUCT(--ISNUMBER(SEARCH(race,C37)))&gt;0)</f>
        <v>0</v>
      </c>
      <c r="S37" s="14" cm="1">
        <f t="array" ref="S37">INT(SUMPRODUCT(--ISNUMBER(SEARCH(immigration,C37)))&gt;0)</f>
        <v>0</v>
      </c>
      <c r="T37" s="14" cm="1">
        <f t="array" ref="T37">INT(SUMPRODUCT(--ISNUMBER(SEARCH(econineq,C38)))&gt;0)</f>
        <v>0</v>
      </c>
      <c r="U37" s="14" cm="1">
        <f t="array" ref="U37">INT(SUMPRODUCT(--ISNUMBER(SEARCH(climate,C37)))&gt;0)</f>
        <v>0</v>
      </c>
      <c r="V37" s="14" cm="1">
        <f t="array" ref="V37">INT(SUMPRODUCT(--ISNUMBER(SEARCH(abortion,C37)))&gt;0)</f>
        <v>0</v>
      </c>
      <c r="W37" s="14" cm="1">
        <f t="array" ref="W37">INT(SUMPRODUCT(--ISNUMBER(SEARCH(trump,C37)))&gt;0)</f>
        <v>0</v>
      </c>
      <c r="X37" s="14" cm="1">
        <f t="array" ref="X37">INT(SUMPRODUCT(--ISNUMBER(SEARCH(voting,C37)))&gt;0)</f>
        <v>0</v>
      </c>
      <c r="Y37" s="14" cm="1">
        <f t="array" ref="Y37">INT(SUMPRODUCT(--ISNUMBER(SEARCH(democrattrigger,C37)))&gt;0)</f>
        <v>0</v>
      </c>
      <c r="Z37" s="14" cm="1">
        <f t="array" ref="Z37">INT(SUMPRODUCT(--ISNUMBER(SEARCH(bipartisan,C37)))&gt;0)</f>
        <v>0</v>
      </c>
      <c r="AA37" s="14">
        <f t="shared" si="0"/>
        <v>0</v>
      </c>
      <c r="AB37" s="14"/>
      <c r="AC37" s="30">
        <v>1</v>
      </c>
      <c r="AD37" s="37">
        <v>0</v>
      </c>
    </row>
    <row r="38" spans="1:30" x14ac:dyDescent="0.25">
      <c r="A38" s="36">
        <v>4233</v>
      </c>
      <c r="B38" s="14" t="s">
        <v>8489</v>
      </c>
      <c r="C38" s="14" t="s">
        <v>8490</v>
      </c>
      <c r="D38" s="17">
        <v>44131</v>
      </c>
      <c r="E38" s="14" t="s">
        <v>30</v>
      </c>
      <c r="F38" s="14">
        <v>843</v>
      </c>
      <c r="G38" s="14">
        <v>145</v>
      </c>
      <c r="H38" s="14">
        <v>19</v>
      </c>
      <c r="I38" s="14">
        <v>10</v>
      </c>
      <c r="J38" s="14" t="s">
        <v>204</v>
      </c>
      <c r="K38" s="14" cm="1">
        <f t="array" ref="K38">INT(SUMPRODUCT(--ISNUMBER(SEARCH(economy,C38)))&gt;0)</f>
        <v>0</v>
      </c>
      <c r="L38" s="14" cm="1">
        <f t="array" ref="L38">INT(SUMPRODUCT(--ISNUMBER(SEARCH(healthcare,C38)))&gt;0)</f>
        <v>0</v>
      </c>
      <c r="M38" s="14" cm="1">
        <f t="array" ref="M38">INT(SUMPRODUCT(--ISNUMBER(SEARCH(supreme,C38)))&gt;0)</f>
        <v>0</v>
      </c>
      <c r="N38" s="14" cm="1">
        <f t="array" ref="N38">INT(SUMPRODUCT(--ISNUMBER(SEARCH(covid,C38)))&gt;0)</f>
        <v>0</v>
      </c>
      <c r="O38" s="14" cm="1">
        <f t="array" ref="O38">INT(SUMPRODUCT(--ISNUMBER(SEARCH(violent,C38)))&gt;0)</f>
        <v>0</v>
      </c>
      <c r="P38" s="14" cm="1">
        <f t="array" ref="P38">INT(SUMPRODUCT(--ISNUMBER(SEARCH(foreign,C38)))&gt;0)</f>
        <v>0</v>
      </c>
      <c r="Q38" s="14" cm="1">
        <f t="array" ref="Q38">INT(SUMPRODUCT(--ISNUMBER(SEARCH(gun,C38)))&gt;0)</f>
        <v>0</v>
      </c>
      <c r="R38" s="14" cm="1">
        <f t="array" ref="R38">INT(SUMPRODUCT(--ISNUMBER(SEARCH(race,C38)))&gt;0)</f>
        <v>0</v>
      </c>
      <c r="S38" s="14" cm="1">
        <f t="array" ref="S38">INT(SUMPRODUCT(--ISNUMBER(SEARCH(immigration,C38)))&gt;0)</f>
        <v>0</v>
      </c>
      <c r="T38" s="14" cm="1">
        <f t="array" ref="T38">INT(SUMPRODUCT(--ISNUMBER(SEARCH(econineq,C39)))&gt;0)</f>
        <v>0</v>
      </c>
      <c r="U38" s="14" cm="1">
        <f t="array" ref="U38">INT(SUMPRODUCT(--ISNUMBER(SEARCH(climate,C38)))&gt;0)</f>
        <v>0</v>
      </c>
      <c r="V38" s="14" cm="1">
        <f t="array" ref="V38">INT(SUMPRODUCT(--ISNUMBER(SEARCH(abortion,C38)))&gt;0)</f>
        <v>0</v>
      </c>
      <c r="W38" s="14" cm="1">
        <f t="array" ref="W38">INT(SUMPRODUCT(--ISNUMBER(SEARCH(trump,C38)))&gt;0)</f>
        <v>0</v>
      </c>
      <c r="X38" s="14" cm="1">
        <f t="array" ref="X38">INT(SUMPRODUCT(--ISNUMBER(SEARCH(voting,C38)))&gt;0)</f>
        <v>1</v>
      </c>
      <c r="Y38" s="14" cm="1">
        <f t="array" ref="Y38">INT(SUMPRODUCT(--ISNUMBER(SEARCH(democrattrigger,C38)))&gt;0)</f>
        <v>0</v>
      </c>
      <c r="Z38" s="14" cm="1">
        <f t="array" ref="Z38">INT(SUMPRODUCT(--ISNUMBER(SEARCH(bipartisan,C38)))&gt;0)</f>
        <v>0</v>
      </c>
      <c r="AA38" s="14">
        <f t="shared" si="0"/>
        <v>0</v>
      </c>
      <c r="AB38" s="14"/>
      <c r="AC38" s="30" t="s">
        <v>223</v>
      </c>
      <c r="AD38" s="37" t="s">
        <v>223</v>
      </c>
    </row>
    <row r="39" spans="1:30" x14ac:dyDescent="0.25">
      <c r="A39" s="36">
        <v>4234</v>
      </c>
      <c r="B39" s="14" t="s">
        <v>8491</v>
      </c>
      <c r="C39" s="14" t="s">
        <v>8492</v>
      </c>
      <c r="D39" s="17">
        <v>44130</v>
      </c>
      <c r="E39" s="14" t="s">
        <v>70</v>
      </c>
      <c r="F39" s="14">
        <v>71</v>
      </c>
      <c r="G39" s="14">
        <v>9</v>
      </c>
      <c r="H39" s="14">
        <v>19</v>
      </c>
      <c r="I39" s="14">
        <v>10</v>
      </c>
      <c r="J39" s="14" t="s">
        <v>204</v>
      </c>
      <c r="K39" s="14" cm="1">
        <f t="array" ref="K39">INT(SUMPRODUCT(--ISNUMBER(SEARCH(economy,C39)))&gt;0)</f>
        <v>0</v>
      </c>
      <c r="L39" s="14" cm="1">
        <f t="array" ref="L39">INT(SUMPRODUCT(--ISNUMBER(SEARCH(healthcare,C39)))&gt;0)</f>
        <v>1</v>
      </c>
      <c r="M39" s="14" cm="1">
        <f t="array" ref="M39">INT(SUMPRODUCT(--ISNUMBER(SEARCH(supreme,C39)))&gt;0)</f>
        <v>0</v>
      </c>
      <c r="N39" s="14" cm="1">
        <f t="array" ref="N39">INT(SUMPRODUCT(--ISNUMBER(SEARCH(covid,C39)))&gt;0)</f>
        <v>1</v>
      </c>
      <c r="O39" s="14" cm="1">
        <f t="array" ref="O39">INT(SUMPRODUCT(--ISNUMBER(SEARCH(violent,C39)))&gt;0)</f>
        <v>0</v>
      </c>
      <c r="P39" s="14" cm="1">
        <f t="array" ref="P39">INT(SUMPRODUCT(--ISNUMBER(SEARCH(foreign,C39)))&gt;0)</f>
        <v>0</v>
      </c>
      <c r="Q39" s="14" cm="1">
        <f t="array" ref="Q39">INT(SUMPRODUCT(--ISNUMBER(SEARCH(gun,C39)))&gt;0)</f>
        <v>0</v>
      </c>
      <c r="R39" s="14" cm="1">
        <f t="array" ref="R39">INT(SUMPRODUCT(--ISNUMBER(SEARCH(race,C39)))&gt;0)</f>
        <v>0</v>
      </c>
      <c r="S39" s="14" cm="1">
        <f t="array" ref="S39">INT(SUMPRODUCT(--ISNUMBER(SEARCH(immigration,C39)))&gt;0)</f>
        <v>0</v>
      </c>
      <c r="T39" s="14" cm="1">
        <f t="array" ref="T39">INT(SUMPRODUCT(--ISNUMBER(SEARCH(econineq,C40)))&gt;0)</f>
        <v>0</v>
      </c>
      <c r="U39" s="14" cm="1">
        <f t="array" ref="U39">INT(SUMPRODUCT(--ISNUMBER(SEARCH(climate,C39)))&gt;0)</f>
        <v>0</v>
      </c>
      <c r="V39" s="14" cm="1">
        <f t="array" ref="V39">INT(SUMPRODUCT(--ISNUMBER(SEARCH(abortion,C39)))&gt;0)</f>
        <v>0</v>
      </c>
      <c r="W39" s="14" cm="1">
        <f t="array" ref="W39">INT(SUMPRODUCT(--ISNUMBER(SEARCH(trump,C39)))&gt;0)</f>
        <v>0</v>
      </c>
      <c r="X39" s="14" cm="1">
        <f t="array" ref="X39">INT(SUMPRODUCT(--ISNUMBER(SEARCH(voting,C39)))&gt;0)</f>
        <v>0</v>
      </c>
      <c r="Y39" s="14" cm="1">
        <f t="array" ref="Y39">INT(SUMPRODUCT(--ISNUMBER(SEARCH(democrattrigger,C39)))&gt;0)</f>
        <v>0</v>
      </c>
      <c r="Z39" s="14" cm="1">
        <f t="array" ref="Z39">INT(SUMPRODUCT(--ISNUMBER(SEARCH(bipartisan,C39)))&gt;0)</f>
        <v>0</v>
      </c>
      <c r="AA39" s="14">
        <f t="shared" si="0"/>
        <v>0</v>
      </c>
      <c r="AB39" s="14"/>
      <c r="AC39" s="30" t="s">
        <v>223</v>
      </c>
      <c r="AD39" s="37" t="s">
        <v>223</v>
      </c>
    </row>
    <row r="40" spans="1:30" x14ac:dyDescent="0.25">
      <c r="A40" s="36">
        <v>4235</v>
      </c>
      <c r="B40" s="14" t="s">
        <v>8493</v>
      </c>
      <c r="C40" s="14" t="s">
        <v>8494</v>
      </c>
      <c r="D40" s="17">
        <v>44130</v>
      </c>
      <c r="E40" s="14" t="s">
        <v>30</v>
      </c>
      <c r="F40" s="14">
        <v>122</v>
      </c>
      <c r="G40" s="14">
        <v>29</v>
      </c>
      <c r="H40" s="14">
        <v>19</v>
      </c>
      <c r="I40" s="14">
        <v>10</v>
      </c>
      <c r="J40" s="14" t="s">
        <v>204</v>
      </c>
      <c r="K40" s="14" cm="1">
        <f t="array" ref="K40">INT(SUMPRODUCT(--ISNUMBER(SEARCH(economy,C40)))&gt;0)</f>
        <v>0</v>
      </c>
      <c r="L40" s="14" cm="1">
        <f t="array" ref="L40">INT(SUMPRODUCT(--ISNUMBER(SEARCH(healthcare,C40)))&gt;0)</f>
        <v>1</v>
      </c>
      <c r="M40" s="14" cm="1">
        <f t="array" ref="M40">INT(SUMPRODUCT(--ISNUMBER(SEARCH(supreme,C40)))&gt;0)</f>
        <v>0</v>
      </c>
      <c r="N40" s="14" cm="1">
        <f t="array" ref="N40">INT(SUMPRODUCT(--ISNUMBER(SEARCH(covid,C40)))&gt;0)</f>
        <v>1</v>
      </c>
      <c r="O40" s="14" cm="1">
        <f t="array" ref="O40">INT(SUMPRODUCT(--ISNUMBER(SEARCH(violent,C40)))&gt;0)</f>
        <v>0</v>
      </c>
      <c r="P40" s="14" cm="1">
        <f t="array" ref="P40">INT(SUMPRODUCT(--ISNUMBER(SEARCH(foreign,C40)))&gt;0)</f>
        <v>0</v>
      </c>
      <c r="Q40" s="14" cm="1">
        <f t="array" ref="Q40">INT(SUMPRODUCT(--ISNUMBER(SEARCH(gun,C40)))&gt;0)</f>
        <v>0</v>
      </c>
      <c r="R40" s="14" cm="1">
        <f t="array" ref="R40">INT(SUMPRODUCT(--ISNUMBER(SEARCH(race,C40)))&gt;0)</f>
        <v>0</v>
      </c>
      <c r="S40" s="14" cm="1">
        <f t="array" ref="S40">INT(SUMPRODUCT(--ISNUMBER(SEARCH(immigration,C40)))&gt;0)</f>
        <v>0</v>
      </c>
      <c r="T40" s="14" cm="1">
        <f t="array" ref="T40">INT(SUMPRODUCT(--ISNUMBER(SEARCH(econineq,C41)))&gt;0)</f>
        <v>0</v>
      </c>
      <c r="U40" s="14" cm="1">
        <f t="array" ref="U40">INT(SUMPRODUCT(--ISNUMBER(SEARCH(climate,C40)))&gt;0)</f>
        <v>0</v>
      </c>
      <c r="V40" s="14" cm="1">
        <f t="array" ref="V40">INT(SUMPRODUCT(--ISNUMBER(SEARCH(abortion,C40)))&gt;0)</f>
        <v>0</v>
      </c>
      <c r="W40" s="14" cm="1">
        <f t="array" ref="W40">INT(SUMPRODUCT(--ISNUMBER(SEARCH(trump,C40)))&gt;0)</f>
        <v>0</v>
      </c>
      <c r="X40" s="14" cm="1">
        <f t="array" ref="X40">INT(SUMPRODUCT(--ISNUMBER(SEARCH(voting,C40)))&gt;0)</f>
        <v>0</v>
      </c>
      <c r="Y40" s="14" cm="1">
        <f t="array" ref="Y40">INT(SUMPRODUCT(--ISNUMBER(SEARCH(democrattrigger,C40)))&gt;0)</f>
        <v>0</v>
      </c>
      <c r="Z40" s="14" cm="1">
        <f t="array" ref="Z40">INT(SUMPRODUCT(--ISNUMBER(SEARCH(bipartisan,C40)))&gt;0)</f>
        <v>0</v>
      </c>
      <c r="AA40" s="14">
        <f t="shared" si="0"/>
        <v>0</v>
      </c>
      <c r="AB40" s="14"/>
      <c r="AC40" s="30" t="s">
        <v>223</v>
      </c>
      <c r="AD40" s="37" t="s">
        <v>223</v>
      </c>
    </row>
    <row r="41" spans="1:30" x14ac:dyDescent="0.25">
      <c r="A41" s="36">
        <v>4236</v>
      </c>
      <c r="B41" s="14" t="s">
        <v>8495</v>
      </c>
      <c r="C41" s="14" t="s">
        <v>8496</v>
      </c>
      <c r="D41" s="17">
        <v>44130</v>
      </c>
      <c r="E41" s="14" t="s">
        <v>30</v>
      </c>
      <c r="F41" s="14">
        <v>427</v>
      </c>
      <c r="G41" s="14">
        <v>109</v>
      </c>
      <c r="H41" s="14">
        <v>19</v>
      </c>
      <c r="I41" s="14">
        <v>10</v>
      </c>
      <c r="J41" s="14" t="s">
        <v>204</v>
      </c>
      <c r="K41" s="14" cm="1">
        <f t="array" ref="K41">INT(SUMPRODUCT(--ISNUMBER(SEARCH(economy,C41)))&gt;0)</f>
        <v>0</v>
      </c>
      <c r="L41" s="14" cm="1">
        <f t="array" ref="L41">INT(SUMPRODUCT(--ISNUMBER(SEARCH(healthcare,C41)))&gt;0)</f>
        <v>0</v>
      </c>
      <c r="M41" s="14" cm="1">
        <f t="array" ref="M41">INT(SUMPRODUCT(--ISNUMBER(SEARCH(supreme,C41)))&gt;0)</f>
        <v>0</v>
      </c>
      <c r="N41" s="14" cm="1">
        <f t="array" ref="N41">INT(SUMPRODUCT(--ISNUMBER(SEARCH(covid,C41)))&gt;0)</f>
        <v>0</v>
      </c>
      <c r="O41" s="14" cm="1">
        <f t="array" ref="O41">INT(SUMPRODUCT(--ISNUMBER(SEARCH(violent,C41)))&gt;0)</f>
        <v>0</v>
      </c>
      <c r="P41" s="14" cm="1">
        <f t="array" ref="P41">INT(SUMPRODUCT(--ISNUMBER(SEARCH(foreign,C41)))&gt;0)</f>
        <v>0</v>
      </c>
      <c r="Q41" s="14" cm="1">
        <f t="array" ref="Q41">INT(SUMPRODUCT(--ISNUMBER(SEARCH(gun,C41)))&gt;0)</f>
        <v>0</v>
      </c>
      <c r="R41" s="14" cm="1">
        <f t="array" ref="R41">INT(SUMPRODUCT(--ISNUMBER(SEARCH(race,C41)))&gt;0)</f>
        <v>0</v>
      </c>
      <c r="S41" s="14" cm="1">
        <f t="array" ref="S41">INT(SUMPRODUCT(--ISNUMBER(SEARCH(immigration,C41)))&gt;0)</f>
        <v>0</v>
      </c>
      <c r="T41" s="14" cm="1">
        <f t="array" ref="T41">INT(SUMPRODUCT(--ISNUMBER(SEARCH(econineq,C42)))&gt;0)</f>
        <v>0</v>
      </c>
      <c r="U41" s="14" cm="1">
        <f t="array" ref="U41">INT(SUMPRODUCT(--ISNUMBER(SEARCH(climate,C41)))&gt;0)</f>
        <v>0</v>
      </c>
      <c r="V41" s="14" cm="1">
        <f t="array" ref="V41">INT(SUMPRODUCT(--ISNUMBER(SEARCH(abortion,C41)))&gt;0)</f>
        <v>0</v>
      </c>
      <c r="W41" s="14" cm="1">
        <f t="array" ref="W41">INT(SUMPRODUCT(--ISNUMBER(SEARCH(trump,C41)))&gt;0)</f>
        <v>0</v>
      </c>
      <c r="X41" s="14" cm="1">
        <f t="array" ref="X41">INT(SUMPRODUCT(--ISNUMBER(SEARCH(voting,C41)))&gt;0)</f>
        <v>0</v>
      </c>
      <c r="Y41" s="14" cm="1">
        <f t="array" ref="Y41">INT(SUMPRODUCT(--ISNUMBER(SEARCH(democrattrigger,C41)))&gt;0)</f>
        <v>0</v>
      </c>
      <c r="Z41" s="14" cm="1">
        <f t="array" ref="Z41">INT(SUMPRODUCT(--ISNUMBER(SEARCH(bipartisan,C41)))&gt;0)</f>
        <v>0</v>
      </c>
      <c r="AA41" s="14">
        <f t="shared" si="0"/>
        <v>1</v>
      </c>
      <c r="AB41" s="14"/>
      <c r="AC41" s="30" t="s">
        <v>223</v>
      </c>
      <c r="AD41" s="37" t="s">
        <v>223</v>
      </c>
    </row>
    <row r="42" spans="1:30" x14ac:dyDescent="0.25">
      <c r="A42" s="36">
        <v>4237</v>
      </c>
      <c r="B42" s="14" t="s">
        <v>8497</v>
      </c>
      <c r="C42" s="14" t="s">
        <v>8498</v>
      </c>
      <c r="D42" s="17">
        <v>44129</v>
      </c>
      <c r="E42" s="14" t="s">
        <v>30</v>
      </c>
      <c r="F42" s="14">
        <v>112</v>
      </c>
      <c r="G42" s="14">
        <v>42</v>
      </c>
      <c r="H42" s="14">
        <v>19</v>
      </c>
      <c r="I42" s="14">
        <v>10</v>
      </c>
      <c r="J42" s="14" t="s">
        <v>204</v>
      </c>
      <c r="K42" s="14" cm="1">
        <f t="array" ref="K42">INT(SUMPRODUCT(--ISNUMBER(SEARCH(economy,C42)))&gt;0)</f>
        <v>0</v>
      </c>
      <c r="L42" s="14" cm="1">
        <f t="array" ref="L42">INT(SUMPRODUCT(--ISNUMBER(SEARCH(healthcare,C42)))&gt;0)</f>
        <v>1</v>
      </c>
      <c r="M42" s="14" cm="1">
        <f t="array" ref="M42">INT(SUMPRODUCT(--ISNUMBER(SEARCH(supreme,C42)))&gt;0)</f>
        <v>1</v>
      </c>
      <c r="N42" s="14" cm="1">
        <f t="array" ref="N42">INT(SUMPRODUCT(--ISNUMBER(SEARCH(covid,C42)))&gt;0)</f>
        <v>0</v>
      </c>
      <c r="O42" s="14" cm="1">
        <f t="array" ref="O42">INT(SUMPRODUCT(--ISNUMBER(SEARCH(violent,C42)))&gt;0)</f>
        <v>0</v>
      </c>
      <c r="P42" s="14" cm="1">
        <f t="array" ref="P42">INT(SUMPRODUCT(--ISNUMBER(SEARCH(foreign,C42)))&gt;0)</f>
        <v>0</v>
      </c>
      <c r="Q42" s="14" cm="1">
        <f t="array" ref="Q42">INT(SUMPRODUCT(--ISNUMBER(SEARCH(gun,C42)))&gt;0)</f>
        <v>0</v>
      </c>
      <c r="R42" s="14" cm="1">
        <f t="array" ref="R42">INT(SUMPRODUCT(--ISNUMBER(SEARCH(race,C42)))&gt;0)</f>
        <v>0</v>
      </c>
      <c r="S42" s="14" cm="1">
        <f t="array" ref="S42">INT(SUMPRODUCT(--ISNUMBER(SEARCH(immigration,C42)))&gt;0)</f>
        <v>0</v>
      </c>
      <c r="T42" s="14" cm="1">
        <f t="array" ref="T42">INT(SUMPRODUCT(--ISNUMBER(SEARCH(econineq,C43)))&gt;0)</f>
        <v>0</v>
      </c>
      <c r="U42" s="14" cm="1">
        <f t="array" ref="U42">INT(SUMPRODUCT(--ISNUMBER(SEARCH(climate,C42)))&gt;0)</f>
        <v>0</v>
      </c>
      <c r="V42" s="14" cm="1">
        <f t="array" ref="V42">INT(SUMPRODUCT(--ISNUMBER(SEARCH(abortion,C42)))&gt;0)</f>
        <v>0</v>
      </c>
      <c r="W42" s="14" cm="1">
        <f t="array" ref="W42">INT(SUMPRODUCT(--ISNUMBER(SEARCH(trump,C42)))&gt;0)</f>
        <v>0</v>
      </c>
      <c r="X42" s="14" cm="1">
        <f t="array" ref="X42">INT(SUMPRODUCT(--ISNUMBER(SEARCH(voting,C42)))&gt;0)</f>
        <v>1</v>
      </c>
      <c r="Y42" s="14" cm="1">
        <f t="array" ref="Y42">INT(SUMPRODUCT(--ISNUMBER(SEARCH(democrattrigger,C42)))&gt;0)</f>
        <v>0</v>
      </c>
      <c r="Z42" s="14" cm="1">
        <f t="array" ref="Z42">INT(SUMPRODUCT(--ISNUMBER(SEARCH(bipartisan,C42)))&gt;0)</f>
        <v>0</v>
      </c>
      <c r="AA42" s="14">
        <f t="shared" si="0"/>
        <v>0</v>
      </c>
      <c r="AB42" s="14"/>
      <c r="AC42" s="30">
        <v>0</v>
      </c>
      <c r="AD42" s="37">
        <v>1</v>
      </c>
    </row>
    <row r="43" spans="1:30" x14ac:dyDescent="0.25">
      <c r="A43" s="36">
        <v>4238</v>
      </c>
      <c r="B43" s="14" t="s">
        <v>8499</v>
      </c>
      <c r="C43" s="14" t="s">
        <v>8500</v>
      </c>
      <c r="D43" s="17">
        <v>44128</v>
      </c>
      <c r="E43" s="14" t="s">
        <v>30</v>
      </c>
      <c r="F43" s="14">
        <v>305</v>
      </c>
      <c r="G43" s="14">
        <v>102</v>
      </c>
      <c r="H43" s="14">
        <v>19</v>
      </c>
      <c r="I43" s="14">
        <v>10</v>
      </c>
      <c r="J43" s="14" t="s">
        <v>204</v>
      </c>
      <c r="K43" s="14" cm="1">
        <f t="array" ref="K43">INT(SUMPRODUCT(--ISNUMBER(SEARCH(economy,C43)))&gt;0)</f>
        <v>0</v>
      </c>
      <c r="L43" s="14" cm="1">
        <f t="array" ref="L43">INT(SUMPRODUCT(--ISNUMBER(SEARCH(healthcare,C43)))&gt;0)</f>
        <v>1</v>
      </c>
      <c r="M43" s="14" cm="1">
        <f t="array" ref="M43">INT(SUMPRODUCT(--ISNUMBER(SEARCH(supreme,C43)))&gt;0)</f>
        <v>1</v>
      </c>
      <c r="N43" s="14" cm="1">
        <f t="array" ref="N43">INT(SUMPRODUCT(--ISNUMBER(SEARCH(covid,C43)))&gt;0)</f>
        <v>0</v>
      </c>
      <c r="O43" s="14" cm="1">
        <f t="array" ref="O43">INT(SUMPRODUCT(--ISNUMBER(SEARCH(violent,C43)))&gt;0)</f>
        <v>0</v>
      </c>
      <c r="P43" s="14" cm="1">
        <f t="array" ref="P43">INT(SUMPRODUCT(--ISNUMBER(SEARCH(foreign,C43)))&gt;0)</f>
        <v>0</v>
      </c>
      <c r="Q43" s="14" cm="1">
        <f t="array" ref="Q43">INT(SUMPRODUCT(--ISNUMBER(SEARCH(gun,C43)))&gt;0)</f>
        <v>0</v>
      </c>
      <c r="R43" s="14" cm="1">
        <f t="array" ref="R43">INT(SUMPRODUCT(--ISNUMBER(SEARCH(race,C43)))&gt;0)</f>
        <v>0</v>
      </c>
      <c r="S43" s="14" cm="1">
        <f t="array" ref="S43">INT(SUMPRODUCT(--ISNUMBER(SEARCH(immigration,C43)))&gt;0)</f>
        <v>0</v>
      </c>
      <c r="T43" s="14" cm="1">
        <f t="array" ref="T43">INT(SUMPRODUCT(--ISNUMBER(SEARCH(econineq,C44)))&gt;0)</f>
        <v>0</v>
      </c>
      <c r="U43" s="14" cm="1">
        <f t="array" ref="U43">INT(SUMPRODUCT(--ISNUMBER(SEARCH(climate,C43)))&gt;0)</f>
        <v>0</v>
      </c>
      <c r="V43" s="14" cm="1">
        <f t="array" ref="V43">INT(SUMPRODUCT(--ISNUMBER(SEARCH(abortion,C43)))&gt;0)</f>
        <v>0</v>
      </c>
      <c r="W43" s="14" cm="1">
        <f t="array" ref="W43">INT(SUMPRODUCT(--ISNUMBER(SEARCH(trump,C43)))&gt;0)</f>
        <v>0</v>
      </c>
      <c r="X43" s="14" cm="1">
        <f t="array" ref="X43">INT(SUMPRODUCT(--ISNUMBER(SEARCH(voting,C43)))&gt;0)</f>
        <v>0</v>
      </c>
      <c r="Y43" s="14" cm="1">
        <f t="array" ref="Y43">INT(SUMPRODUCT(--ISNUMBER(SEARCH(democrattrigger,C43)))&gt;0)</f>
        <v>0</v>
      </c>
      <c r="Z43" s="14" cm="1">
        <f t="array" ref="Z43">INT(SUMPRODUCT(--ISNUMBER(SEARCH(bipartisan,C43)))&gt;0)</f>
        <v>0</v>
      </c>
      <c r="AA43" s="14">
        <f t="shared" si="0"/>
        <v>0</v>
      </c>
      <c r="AB43" s="14"/>
      <c r="AC43" s="30">
        <v>0</v>
      </c>
      <c r="AD43" s="37">
        <v>1</v>
      </c>
    </row>
    <row r="44" spans="1:30" x14ac:dyDescent="0.25">
      <c r="A44" s="36">
        <v>4239</v>
      </c>
      <c r="B44" s="14" t="s">
        <v>8501</v>
      </c>
      <c r="C44" s="14" t="s">
        <v>8502</v>
      </c>
      <c r="D44" s="17">
        <v>44128</v>
      </c>
      <c r="E44" s="14" t="s">
        <v>30</v>
      </c>
      <c r="F44" s="14">
        <v>306</v>
      </c>
      <c r="G44" s="14">
        <v>40</v>
      </c>
      <c r="H44" s="14">
        <v>19</v>
      </c>
      <c r="I44" s="14">
        <v>10</v>
      </c>
      <c r="J44" s="14" t="s">
        <v>204</v>
      </c>
      <c r="K44" s="14" cm="1">
        <f t="array" ref="K44">INT(SUMPRODUCT(--ISNUMBER(SEARCH(economy,C44)))&gt;0)</f>
        <v>0</v>
      </c>
      <c r="L44" s="14" cm="1">
        <f t="array" ref="L44">INT(SUMPRODUCT(--ISNUMBER(SEARCH(healthcare,C44)))&gt;0)</f>
        <v>0</v>
      </c>
      <c r="M44" s="14" cm="1">
        <f t="array" ref="M44">INT(SUMPRODUCT(--ISNUMBER(SEARCH(supreme,C44)))&gt;0)</f>
        <v>0</v>
      </c>
      <c r="N44" s="14" cm="1">
        <f t="array" ref="N44">INT(SUMPRODUCT(--ISNUMBER(SEARCH(covid,C44)))&gt;0)</f>
        <v>0</v>
      </c>
      <c r="O44" s="14" cm="1">
        <f t="array" ref="O44">INT(SUMPRODUCT(--ISNUMBER(SEARCH(violent,C44)))&gt;0)</f>
        <v>0</v>
      </c>
      <c r="P44" s="14" cm="1">
        <f t="array" ref="P44">INT(SUMPRODUCT(--ISNUMBER(SEARCH(foreign,C44)))&gt;0)</f>
        <v>0</v>
      </c>
      <c r="Q44" s="14" cm="1">
        <f t="array" ref="Q44">INT(SUMPRODUCT(--ISNUMBER(SEARCH(gun,C44)))&gt;0)</f>
        <v>0</v>
      </c>
      <c r="R44" s="14" cm="1">
        <f t="array" ref="R44">INT(SUMPRODUCT(--ISNUMBER(SEARCH(race,C44)))&gt;0)</f>
        <v>0</v>
      </c>
      <c r="S44" s="14" cm="1">
        <f t="array" ref="S44">INT(SUMPRODUCT(--ISNUMBER(SEARCH(immigration,C44)))&gt;0)</f>
        <v>0</v>
      </c>
      <c r="T44" s="14" cm="1">
        <f t="array" ref="T44">INT(SUMPRODUCT(--ISNUMBER(SEARCH(econineq,C45)))&gt;0)</f>
        <v>0</v>
      </c>
      <c r="U44" s="14" cm="1">
        <f t="array" ref="U44">INT(SUMPRODUCT(--ISNUMBER(SEARCH(climate,C44)))&gt;0)</f>
        <v>0</v>
      </c>
      <c r="V44" s="14" cm="1">
        <f t="array" ref="V44">INT(SUMPRODUCT(--ISNUMBER(SEARCH(abortion,C44)))&gt;0)</f>
        <v>0</v>
      </c>
      <c r="W44" s="14" cm="1">
        <f t="array" ref="W44">INT(SUMPRODUCT(--ISNUMBER(SEARCH(trump,C44)))&gt;0)</f>
        <v>0</v>
      </c>
      <c r="X44" s="14" cm="1">
        <f t="array" ref="X44">INT(SUMPRODUCT(--ISNUMBER(SEARCH(voting,C44)))&gt;0)</f>
        <v>0</v>
      </c>
      <c r="Y44" s="14" cm="1">
        <f t="array" ref="Y44">INT(SUMPRODUCT(--ISNUMBER(SEARCH(democrattrigger,C44)))&gt;0)</f>
        <v>0</v>
      </c>
      <c r="Z44" s="14" cm="1">
        <f t="array" ref="Z44">INT(SUMPRODUCT(--ISNUMBER(SEARCH(bipartisan,C44)))&gt;0)</f>
        <v>0</v>
      </c>
      <c r="AA44" s="14">
        <f t="shared" si="0"/>
        <v>1</v>
      </c>
      <c r="AB44" s="14"/>
      <c r="AC44" s="30">
        <v>1</v>
      </c>
      <c r="AD44" s="37">
        <v>0</v>
      </c>
    </row>
    <row r="45" spans="1:30" x14ac:dyDescent="0.25">
      <c r="A45" s="36">
        <v>4240</v>
      </c>
      <c r="B45" s="14" t="s">
        <v>8503</v>
      </c>
      <c r="C45" s="14" t="s">
        <v>8504</v>
      </c>
      <c r="D45" s="17">
        <v>44127</v>
      </c>
      <c r="E45" s="14" t="s">
        <v>70</v>
      </c>
      <c r="F45" s="14">
        <v>159</v>
      </c>
      <c r="G45" s="14">
        <v>32</v>
      </c>
      <c r="H45" s="14">
        <v>19</v>
      </c>
      <c r="I45" s="14">
        <v>10</v>
      </c>
      <c r="J45" s="14" t="s">
        <v>204</v>
      </c>
      <c r="K45" s="14" cm="1">
        <f t="array" ref="K45">INT(SUMPRODUCT(--ISNUMBER(SEARCH(economy,C45)))&gt;0)</f>
        <v>0</v>
      </c>
      <c r="L45" s="14" cm="1">
        <f t="array" ref="L45">INT(SUMPRODUCT(--ISNUMBER(SEARCH(healthcare,C45)))&gt;0)</f>
        <v>0</v>
      </c>
      <c r="M45" s="14" cm="1">
        <f t="array" ref="M45">INT(SUMPRODUCT(--ISNUMBER(SEARCH(supreme,C45)))&gt;0)</f>
        <v>0</v>
      </c>
      <c r="N45" s="14" cm="1">
        <f t="array" ref="N45">INT(SUMPRODUCT(--ISNUMBER(SEARCH(covid,C45)))&gt;0)</f>
        <v>0</v>
      </c>
      <c r="O45" s="14" cm="1">
        <f t="array" ref="O45">INT(SUMPRODUCT(--ISNUMBER(SEARCH(violent,C45)))&gt;0)</f>
        <v>0</v>
      </c>
      <c r="P45" s="14" cm="1">
        <f t="array" ref="P45">INT(SUMPRODUCT(--ISNUMBER(SEARCH(foreign,C45)))&gt;0)</f>
        <v>0</v>
      </c>
      <c r="Q45" s="14" cm="1">
        <f t="array" ref="Q45">INT(SUMPRODUCT(--ISNUMBER(SEARCH(gun,C45)))&gt;0)</f>
        <v>0</v>
      </c>
      <c r="R45" s="14" cm="1">
        <f t="array" ref="R45">INT(SUMPRODUCT(--ISNUMBER(SEARCH(race,C45)))&gt;0)</f>
        <v>0</v>
      </c>
      <c r="S45" s="14" cm="1">
        <f t="array" ref="S45">INT(SUMPRODUCT(--ISNUMBER(SEARCH(immigration,C45)))&gt;0)</f>
        <v>0</v>
      </c>
      <c r="T45" s="14" cm="1">
        <f t="array" ref="T45">INT(SUMPRODUCT(--ISNUMBER(SEARCH(econineq,C46)))&gt;0)</f>
        <v>0</v>
      </c>
      <c r="U45" s="14" cm="1">
        <f t="array" ref="U45">INT(SUMPRODUCT(--ISNUMBER(SEARCH(climate,C45)))&gt;0)</f>
        <v>0</v>
      </c>
      <c r="V45" s="14" cm="1">
        <f t="array" ref="V45">INT(SUMPRODUCT(--ISNUMBER(SEARCH(abortion,C45)))&gt;0)</f>
        <v>0</v>
      </c>
      <c r="W45" s="14" cm="1">
        <f t="array" ref="W45">INT(SUMPRODUCT(--ISNUMBER(SEARCH(trump,C45)))&gt;0)</f>
        <v>0</v>
      </c>
      <c r="X45" s="14" cm="1">
        <f t="array" ref="X45">INT(SUMPRODUCT(--ISNUMBER(SEARCH(voting,C45)))&gt;0)</f>
        <v>0</v>
      </c>
      <c r="Y45" s="14" cm="1">
        <f t="array" ref="Y45">INT(SUMPRODUCT(--ISNUMBER(SEARCH(democrattrigger,C45)))&gt;0)</f>
        <v>0</v>
      </c>
      <c r="Z45" s="14" cm="1">
        <f t="array" ref="Z45">INT(SUMPRODUCT(--ISNUMBER(SEARCH(bipartisan,C45)))&gt;0)</f>
        <v>0</v>
      </c>
      <c r="AA45" s="14">
        <f t="shared" si="0"/>
        <v>1</v>
      </c>
      <c r="AB45" s="14"/>
      <c r="AC45" s="30" t="s">
        <v>223</v>
      </c>
      <c r="AD45" s="37" t="s">
        <v>223</v>
      </c>
    </row>
    <row r="46" spans="1:30" x14ac:dyDescent="0.25">
      <c r="A46" s="36">
        <v>4241</v>
      </c>
      <c r="B46" s="14" t="s">
        <v>8505</v>
      </c>
      <c r="C46" s="14" t="s">
        <v>8506</v>
      </c>
      <c r="D46" s="17">
        <v>44127</v>
      </c>
      <c r="E46" s="14" t="s">
        <v>30</v>
      </c>
      <c r="F46" s="14">
        <v>279</v>
      </c>
      <c r="G46" s="14">
        <v>107</v>
      </c>
      <c r="H46" s="14">
        <v>19</v>
      </c>
      <c r="I46" s="14">
        <v>10</v>
      </c>
      <c r="J46" s="14" t="s">
        <v>204</v>
      </c>
      <c r="K46" s="14" cm="1">
        <f t="array" ref="K46">INT(SUMPRODUCT(--ISNUMBER(SEARCH(economy,C46)))&gt;0)</f>
        <v>0</v>
      </c>
      <c r="L46" s="14" cm="1">
        <f t="array" ref="L46">INT(SUMPRODUCT(--ISNUMBER(SEARCH(healthcare,C46)))&gt;0)</f>
        <v>0</v>
      </c>
      <c r="M46" s="14" cm="1">
        <f t="array" ref="M46">INT(SUMPRODUCT(--ISNUMBER(SEARCH(supreme,C46)))&gt;0)</f>
        <v>0</v>
      </c>
      <c r="N46" s="14" cm="1">
        <f t="array" ref="N46">INT(SUMPRODUCT(--ISNUMBER(SEARCH(covid,C46)))&gt;0)</f>
        <v>0</v>
      </c>
      <c r="O46" s="14" cm="1">
        <f t="array" ref="O46">INT(SUMPRODUCT(--ISNUMBER(SEARCH(violent,C46)))&gt;0)</f>
        <v>0</v>
      </c>
      <c r="P46" s="14" cm="1">
        <f t="array" ref="P46">INT(SUMPRODUCT(--ISNUMBER(SEARCH(foreign,C46)))&gt;0)</f>
        <v>0</v>
      </c>
      <c r="Q46" s="14" cm="1">
        <f t="array" ref="Q46">INT(SUMPRODUCT(--ISNUMBER(SEARCH(gun,C46)))&gt;0)</f>
        <v>0</v>
      </c>
      <c r="R46" s="14" cm="1">
        <f t="array" ref="R46">INT(SUMPRODUCT(--ISNUMBER(SEARCH(race,C46)))&gt;0)</f>
        <v>0</v>
      </c>
      <c r="S46" s="14" cm="1">
        <f t="array" ref="S46">INT(SUMPRODUCT(--ISNUMBER(SEARCH(immigration,C46)))&gt;0)</f>
        <v>0</v>
      </c>
      <c r="T46" s="14" cm="1">
        <f t="array" ref="T46">INT(SUMPRODUCT(--ISNUMBER(SEARCH(econineq,C47)))&gt;0)</f>
        <v>0</v>
      </c>
      <c r="U46" s="14" cm="1">
        <f t="array" ref="U46">INT(SUMPRODUCT(--ISNUMBER(SEARCH(climate,C46)))&gt;0)</f>
        <v>0</v>
      </c>
      <c r="V46" s="14" cm="1">
        <f t="array" ref="V46">INT(SUMPRODUCT(--ISNUMBER(SEARCH(abortion,C46)))&gt;0)</f>
        <v>0</v>
      </c>
      <c r="W46" s="14" cm="1">
        <f t="array" ref="W46">INT(SUMPRODUCT(--ISNUMBER(SEARCH(trump,C46)))&gt;0)</f>
        <v>0</v>
      </c>
      <c r="X46" s="14" cm="1">
        <f t="array" ref="X46">INT(SUMPRODUCT(--ISNUMBER(SEARCH(voting,C46)))&gt;0)</f>
        <v>0</v>
      </c>
      <c r="Y46" s="14" cm="1">
        <f t="array" ref="Y46">INT(SUMPRODUCT(--ISNUMBER(SEARCH(democrattrigger,C46)))&gt;0)</f>
        <v>0</v>
      </c>
      <c r="Z46" s="14" cm="1">
        <f t="array" ref="Z46">INT(SUMPRODUCT(--ISNUMBER(SEARCH(bipartisan,C46)))&gt;0)</f>
        <v>0</v>
      </c>
      <c r="AA46" s="14">
        <f t="shared" si="0"/>
        <v>1</v>
      </c>
      <c r="AB46" s="14"/>
      <c r="AC46" s="30" t="s">
        <v>223</v>
      </c>
      <c r="AD46" s="37" t="s">
        <v>223</v>
      </c>
    </row>
    <row r="47" spans="1:30" x14ac:dyDescent="0.25">
      <c r="A47" s="36">
        <v>4242</v>
      </c>
      <c r="B47" s="14" t="s">
        <v>8507</v>
      </c>
      <c r="C47" s="14" t="s">
        <v>8508</v>
      </c>
      <c r="D47" s="17">
        <v>44127</v>
      </c>
      <c r="E47" s="14" t="s">
        <v>30</v>
      </c>
      <c r="F47" s="14">
        <v>199</v>
      </c>
      <c r="G47" s="14">
        <v>78</v>
      </c>
      <c r="H47" s="14">
        <v>19</v>
      </c>
      <c r="I47" s="14">
        <v>10</v>
      </c>
      <c r="J47" s="14" t="s">
        <v>204</v>
      </c>
      <c r="K47" s="14" cm="1">
        <f t="array" ref="K47">INT(SUMPRODUCT(--ISNUMBER(SEARCH(economy,C47)))&gt;0)</f>
        <v>0</v>
      </c>
      <c r="L47" s="14" cm="1">
        <f t="array" ref="L47">INT(SUMPRODUCT(--ISNUMBER(SEARCH(healthcare,C47)))&gt;0)</f>
        <v>1</v>
      </c>
      <c r="M47" s="14" cm="1">
        <f t="array" ref="M47">INT(SUMPRODUCT(--ISNUMBER(SEARCH(supreme,C47)))&gt;0)</f>
        <v>0</v>
      </c>
      <c r="N47" s="14" cm="1">
        <f t="array" ref="N47">INT(SUMPRODUCT(--ISNUMBER(SEARCH(covid,C47)))&gt;0)</f>
        <v>0</v>
      </c>
      <c r="O47" s="14" cm="1">
        <f t="array" ref="O47">INT(SUMPRODUCT(--ISNUMBER(SEARCH(violent,C47)))&gt;0)</f>
        <v>0</v>
      </c>
      <c r="P47" s="14" cm="1">
        <f t="array" ref="P47">INT(SUMPRODUCT(--ISNUMBER(SEARCH(foreign,C47)))&gt;0)</f>
        <v>0</v>
      </c>
      <c r="Q47" s="14" cm="1">
        <f t="array" ref="Q47">INT(SUMPRODUCT(--ISNUMBER(SEARCH(gun,C47)))&gt;0)</f>
        <v>0</v>
      </c>
      <c r="R47" s="14" cm="1">
        <f t="array" ref="R47">INT(SUMPRODUCT(--ISNUMBER(SEARCH(race,C47)))&gt;0)</f>
        <v>0</v>
      </c>
      <c r="S47" s="14" cm="1">
        <f t="array" ref="S47">INT(SUMPRODUCT(--ISNUMBER(SEARCH(immigration,C47)))&gt;0)</f>
        <v>0</v>
      </c>
      <c r="T47" s="14" cm="1">
        <f t="array" ref="T47">INT(SUMPRODUCT(--ISNUMBER(SEARCH(econineq,C48)))&gt;0)</f>
        <v>0</v>
      </c>
      <c r="U47" s="14" cm="1">
        <f t="array" ref="U47">INT(SUMPRODUCT(--ISNUMBER(SEARCH(climate,C47)))&gt;0)</f>
        <v>0</v>
      </c>
      <c r="V47" s="14" cm="1">
        <f t="array" ref="V47">INT(SUMPRODUCT(--ISNUMBER(SEARCH(abortion,C47)))&gt;0)</f>
        <v>0</v>
      </c>
      <c r="W47" s="14" cm="1">
        <f t="array" ref="W47">INT(SUMPRODUCT(--ISNUMBER(SEARCH(trump,C47)))&gt;0)</f>
        <v>0</v>
      </c>
      <c r="X47" s="14" cm="1">
        <f t="array" ref="X47">INT(SUMPRODUCT(--ISNUMBER(SEARCH(voting,C47)))&gt;0)</f>
        <v>0</v>
      </c>
      <c r="Y47" s="14" cm="1">
        <f t="array" ref="Y47">INT(SUMPRODUCT(--ISNUMBER(SEARCH(democrattrigger,C47)))&gt;0)</f>
        <v>0</v>
      </c>
      <c r="Z47" s="14" cm="1">
        <f t="array" ref="Z47">INT(SUMPRODUCT(--ISNUMBER(SEARCH(bipartisan,C47)))&gt;0)</f>
        <v>0</v>
      </c>
      <c r="AA47" s="14">
        <f t="shared" si="0"/>
        <v>0</v>
      </c>
      <c r="AB47" s="14"/>
      <c r="AC47" s="30">
        <v>0</v>
      </c>
      <c r="AD47" s="37">
        <v>1</v>
      </c>
    </row>
    <row r="48" spans="1:30" x14ac:dyDescent="0.25">
      <c r="A48" s="36">
        <v>4243</v>
      </c>
      <c r="B48" s="14" t="s">
        <v>8509</v>
      </c>
      <c r="C48" s="14" t="s">
        <v>8510</v>
      </c>
      <c r="D48" s="17">
        <v>44127</v>
      </c>
      <c r="E48" s="14" t="s">
        <v>30</v>
      </c>
      <c r="F48" s="14">
        <v>208</v>
      </c>
      <c r="G48" s="14">
        <v>80</v>
      </c>
      <c r="H48" s="14">
        <v>19</v>
      </c>
      <c r="I48" s="14">
        <v>10</v>
      </c>
      <c r="J48" s="14" t="s">
        <v>204</v>
      </c>
      <c r="K48" s="14" cm="1">
        <f t="array" ref="K48">INT(SUMPRODUCT(--ISNUMBER(SEARCH(economy,C48)))&gt;0)</f>
        <v>0</v>
      </c>
      <c r="L48" s="14" cm="1">
        <f t="array" ref="L48">INT(SUMPRODUCT(--ISNUMBER(SEARCH(healthcare,C48)))&gt;0)</f>
        <v>0</v>
      </c>
      <c r="M48" s="14" cm="1">
        <f t="array" ref="M48">INT(SUMPRODUCT(--ISNUMBER(SEARCH(supreme,C48)))&gt;0)</f>
        <v>0</v>
      </c>
      <c r="N48" s="14" cm="1">
        <f t="array" ref="N48">INT(SUMPRODUCT(--ISNUMBER(SEARCH(covid,C48)))&gt;0)</f>
        <v>0</v>
      </c>
      <c r="O48" s="14" cm="1">
        <f t="array" ref="O48">INT(SUMPRODUCT(--ISNUMBER(SEARCH(violent,C48)))&gt;0)</f>
        <v>0</v>
      </c>
      <c r="P48" s="14" cm="1">
        <f t="array" ref="P48">INT(SUMPRODUCT(--ISNUMBER(SEARCH(foreign,C48)))&gt;0)</f>
        <v>0</v>
      </c>
      <c r="Q48" s="14" cm="1">
        <f t="array" ref="Q48">INT(SUMPRODUCT(--ISNUMBER(SEARCH(gun,C48)))&gt;0)</f>
        <v>0</v>
      </c>
      <c r="R48" s="14" cm="1">
        <f t="array" ref="R48">INT(SUMPRODUCT(--ISNUMBER(SEARCH(race,C48)))&gt;0)</f>
        <v>0</v>
      </c>
      <c r="S48" s="14" cm="1">
        <f t="array" ref="S48">INT(SUMPRODUCT(--ISNUMBER(SEARCH(immigration,C48)))&gt;0)</f>
        <v>0</v>
      </c>
      <c r="T48" s="14" cm="1">
        <f t="array" ref="T48">INT(SUMPRODUCT(--ISNUMBER(SEARCH(econineq,C49)))&gt;0)</f>
        <v>0</v>
      </c>
      <c r="U48" s="14" cm="1">
        <f t="array" ref="U48">INT(SUMPRODUCT(--ISNUMBER(SEARCH(climate,C48)))&gt;0)</f>
        <v>0</v>
      </c>
      <c r="V48" s="14" cm="1">
        <f t="array" ref="V48">INT(SUMPRODUCT(--ISNUMBER(SEARCH(abortion,C48)))&gt;0)</f>
        <v>0</v>
      </c>
      <c r="W48" s="14" cm="1">
        <f t="array" ref="W48">INT(SUMPRODUCT(--ISNUMBER(SEARCH(trump,C48)))&gt;0)</f>
        <v>0</v>
      </c>
      <c r="X48" s="14" cm="1">
        <f t="array" ref="X48">INT(SUMPRODUCT(--ISNUMBER(SEARCH(voting,C48)))&gt;0)</f>
        <v>1</v>
      </c>
      <c r="Y48" s="14" cm="1">
        <f t="array" ref="Y48">INT(SUMPRODUCT(--ISNUMBER(SEARCH(democrattrigger,C48)))&gt;0)</f>
        <v>0</v>
      </c>
      <c r="Z48" s="14" cm="1">
        <f t="array" ref="Z48">INT(SUMPRODUCT(--ISNUMBER(SEARCH(bipartisan,C48)))&gt;0)</f>
        <v>0</v>
      </c>
      <c r="AA48" s="14">
        <f t="shared" si="0"/>
        <v>0</v>
      </c>
      <c r="AB48" s="14"/>
      <c r="AC48" s="30" t="s">
        <v>223</v>
      </c>
      <c r="AD48" s="37" t="s">
        <v>223</v>
      </c>
    </row>
    <row r="49" spans="1:30" x14ac:dyDescent="0.25">
      <c r="A49" s="36">
        <v>4244</v>
      </c>
      <c r="B49" s="14" t="s">
        <v>8511</v>
      </c>
      <c r="C49" s="14" t="s">
        <v>8512</v>
      </c>
      <c r="D49" s="17">
        <v>44127</v>
      </c>
      <c r="E49" s="14" t="s">
        <v>30</v>
      </c>
      <c r="F49" s="14">
        <v>613</v>
      </c>
      <c r="G49" s="14">
        <v>161</v>
      </c>
      <c r="H49" s="14">
        <v>19</v>
      </c>
      <c r="I49" s="14">
        <v>10</v>
      </c>
      <c r="J49" s="14" t="s">
        <v>204</v>
      </c>
      <c r="K49" s="14" cm="1">
        <f t="array" ref="K49">INT(SUMPRODUCT(--ISNUMBER(SEARCH(economy,C49)))&gt;0)</f>
        <v>0</v>
      </c>
      <c r="L49" s="14" cm="1">
        <f t="array" ref="L49">INT(SUMPRODUCT(--ISNUMBER(SEARCH(healthcare,C49)))&gt;0)</f>
        <v>0</v>
      </c>
      <c r="M49" s="14" cm="1">
        <f t="array" ref="M49">INT(SUMPRODUCT(--ISNUMBER(SEARCH(supreme,C49)))&gt;0)</f>
        <v>0</v>
      </c>
      <c r="N49" s="14" cm="1">
        <f t="array" ref="N49">INT(SUMPRODUCT(--ISNUMBER(SEARCH(covid,C49)))&gt;0)</f>
        <v>0</v>
      </c>
      <c r="O49" s="14" cm="1">
        <f t="array" ref="O49">INT(SUMPRODUCT(--ISNUMBER(SEARCH(violent,C49)))&gt;0)</f>
        <v>0</v>
      </c>
      <c r="P49" s="14" cm="1">
        <f t="array" ref="P49">INT(SUMPRODUCT(--ISNUMBER(SEARCH(foreign,C49)))&gt;0)</f>
        <v>0</v>
      </c>
      <c r="Q49" s="14" cm="1">
        <f t="array" ref="Q49">INT(SUMPRODUCT(--ISNUMBER(SEARCH(gun,C49)))&gt;0)</f>
        <v>0</v>
      </c>
      <c r="R49" s="14" cm="1">
        <f t="array" ref="R49">INT(SUMPRODUCT(--ISNUMBER(SEARCH(race,C49)))&gt;0)</f>
        <v>0</v>
      </c>
      <c r="S49" s="14" cm="1">
        <f t="array" ref="S49">INT(SUMPRODUCT(--ISNUMBER(SEARCH(immigration,C49)))&gt;0)</f>
        <v>1</v>
      </c>
      <c r="T49" s="14" cm="1">
        <f t="array" ref="T49">INT(SUMPRODUCT(--ISNUMBER(SEARCH(econineq,C50)))&gt;0)</f>
        <v>0</v>
      </c>
      <c r="U49" s="14" cm="1">
        <f t="array" ref="U49">INT(SUMPRODUCT(--ISNUMBER(SEARCH(climate,C49)))&gt;0)</f>
        <v>1</v>
      </c>
      <c r="V49" s="14" cm="1">
        <f t="array" ref="V49">INT(SUMPRODUCT(--ISNUMBER(SEARCH(abortion,C49)))&gt;0)</f>
        <v>0</v>
      </c>
      <c r="W49" s="14" cm="1">
        <f t="array" ref="W49">INT(SUMPRODUCT(--ISNUMBER(SEARCH(trump,C49)))&gt;0)</f>
        <v>0</v>
      </c>
      <c r="X49" s="14" cm="1">
        <f t="array" ref="X49">INT(SUMPRODUCT(--ISNUMBER(SEARCH(voting,C49)))&gt;0)</f>
        <v>0</v>
      </c>
      <c r="Y49" s="14" cm="1">
        <f t="array" ref="Y49">INT(SUMPRODUCT(--ISNUMBER(SEARCH(democrattrigger,C49)))&gt;0)</f>
        <v>0</v>
      </c>
      <c r="Z49" s="14" cm="1">
        <f t="array" ref="Z49">INT(SUMPRODUCT(--ISNUMBER(SEARCH(bipartisan,C49)))&gt;0)</f>
        <v>0</v>
      </c>
      <c r="AA49" s="14">
        <f t="shared" si="0"/>
        <v>0</v>
      </c>
      <c r="AB49" s="14"/>
      <c r="AC49" s="30" t="s">
        <v>223</v>
      </c>
      <c r="AD49" s="37" t="s">
        <v>223</v>
      </c>
    </row>
    <row r="50" spans="1:30" x14ac:dyDescent="0.25">
      <c r="A50" s="36">
        <v>4245</v>
      </c>
      <c r="B50" s="14" t="s">
        <v>8513</v>
      </c>
      <c r="C50" s="14" t="s">
        <v>8514</v>
      </c>
      <c r="D50" s="17">
        <v>44126</v>
      </c>
      <c r="E50" s="14" t="s">
        <v>30</v>
      </c>
      <c r="F50" s="14">
        <v>1155</v>
      </c>
      <c r="G50" s="14">
        <v>490</v>
      </c>
      <c r="H50" s="14">
        <v>19</v>
      </c>
      <c r="I50" s="14">
        <v>10</v>
      </c>
      <c r="J50" s="14" t="s">
        <v>204</v>
      </c>
      <c r="K50" s="14" cm="1">
        <f t="array" ref="K50">INT(SUMPRODUCT(--ISNUMBER(SEARCH(economy,C50)))&gt;0)</f>
        <v>0</v>
      </c>
      <c r="L50" s="14" cm="1">
        <f t="array" ref="L50">INT(SUMPRODUCT(--ISNUMBER(SEARCH(healthcare,C50)))&gt;0)</f>
        <v>1</v>
      </c>
      <c r="M50" s="14" cm="1">
        <f t="array" ref="M50">INT(SUMPRODUCT(--ISNUMBER(SEARCH(supreme,C50)))&gt;0)</f>
        <v>0</v>
      </c>
      <c r="N50" s="14" cm="1">
        <f t="array" ref="N50">INT(SUMPRODUCT(--ISNUMBER(SEARCH(covid,C50)))&gt;0)</f>
        <v>1</v>
      </c>
      <c r="O50" s="14" cm="1">
        <f t="array" ref="O50">INT(SUMPRODUCT(--ISNUMBER(SEARCH(violent,C50)))&gt;0)</f>
        <v>0</v>
      </c>
      <c r="P50" s="14" cm="1">
        <f t="array" ref="P50">INT(SUMPRODUCT(--ISNUMBER(SEARCH(foreign,C50)))&gt;0)</f>
        <v>0</v>
      </c>
      <c r="Q50" s="14" cm="1">
        <f t="array" ref="Q50">INT(SUMPRODUCT(--ISNUMBER(SEARCH(gun,C50)))&gt;0)</f>
        <v>0</v>
      </c>
      <c r="R50" s="14" cm="1">
        <f t="array" ref="R50">INT(SUMPRODUCT(--ISNUMBER(SEARCH(race,C50)))&gt;0)</f>
        <v>0</v>
      </c>
      <c r="S50" s="14" cm="1">
        <f t="array" ref="S50">INT(SUMPRODUCT(--ISNUMBER(SEARCH(immigration,C50)))&gt;0)</f>
        <v>0</v>
      </c>
      <c r="T50" s="14" cm="1">
        <f t="array" ref="T50">INT(SUMPRODUCT(--ISNUMBER(SEARCH(econineq,C51)))&gt;0)</f>
        <v>0</v>
      </c>
      <c r="U50" s="14" cm="1">
        <f t="array" ref="U50">INT(SUMPRODUCT(--ISNUMBER(SEARCH(climate,C50)))&gt;0)</f>
        <v>0</v>
      </c>
      <c r="V50" s="14" cm="1">
        <f t="array" ref="V50">INT(SUMPRODUCT(--ISNUMBER(SEARCH(abortion,C50)))&gt;0)</f>
        <v>0</v>
      </c>
      <c r="W50" s="14" cm="1">
        <f t="array" ref="W50">INT(SUMPRODUCT(--ISNUMBER(SEARCH(trump,C50)))&gt;0)</f>
        <v>1</v>
      </c>
      <c r="X50" s="14" cm="1">
        <f t="array" ref="X50">INT(SUMPRODUCT(--ISNUMBER(SEARCH(voting,C50)))&gt;0)</f>
        <v>0</v>
      </c>
      <c r="Y50" s="14" cm="1">
        <f t="array" ref="Y50">INT(SUMPRODUCT(--ISNUMBER(SEARCH(democrattrigger,C50)))&gt;0)</f>
        <v>0</v>
      </c>
      <c r="Z50" s="14" cm="1">
        <f t="array" ref="Z50">INT(SUMPRODUCT(--ISNUMBER(SEARCH(bipartisan,C50)))&gt;0)</f>
        <v>0</v>
      </c>
      <c r="AA50" s="14">
        <f t="shared" si="0"/>
        <v>0</v>
      </c>
      <c r="AB50" s="14"/>
      <c r="AC50" s="30">
        <v>0</v>
      </c>
      <c r="AD50" s="37">
        <v>1</v>
      </c>
    </row>
    <row r="51" spans="1:30" x14ac:dyDescent="0.25">
      <c r="A51" s="36">
        <v>4246</v>
      </c>
      <c r="B51" s="14" t="s">
        <v>8515</v>
      </c>
      <c r="C51" s="14" t="s">
        <v>8516</v>
      </c>
      <c r="D51" s="17">
        <v>44126</v>
      </c>
      <c r="E51" s="14" t="s">
        <v>30</v>
      </c>
      <c r="F51" s="14">
        <v>209</v>
      </c>
      <c r="G51" s="14">
        <v>93</v>
      </c>
      <c r="H51" s="14">
        <v>19</v>
      </c>
      <c r="I51" s="14">
        <v>10</v>
      </c>
      <c r="J51" s="14" t="s">
        <v>204</v>
      </c>
      <c r="K51" s="14" cm="1">
        <f t="array" ref="K51">INT(SUMPRODUCT(--ISNUMBER(SEARCH(economy,C51)))&gt;0)</f>
        <v>0</v>
      </c>
      <c r="L51" s="14" cm="1">
        <f t="array" ref="L51">INT(SUMPRODUCT(--ISNUMBER(SEARCH(healthcare,C51)))&gt;0)</f>
        <v>0</v>
      </c>
      <c r="M51" s="14" cm="1">
        <f t="array" ref="M51">INT(SUMPRODUCT(--ISNUMBER(SEARCH(supreme,C51)))&gt;0)</f>
        <v>0</v>
      </c>
      <c r="N51" s="14" cm="1">
        <f t="array" ref="N51">INT(SUMPRODUCT(--ISNUMBER(SEARCH(covid,C51)))&gt;0)</f>
        <v>0</v>
      </c>
      <c r="O51" s="14" cm="1">
        <f t="array" ref="O51">INT(SUMPRODUCT(--ISNUMBER(SEARCH(violent,C51)))&gt;0)</f>
        <v>0</v>
      </c>
      <c r="P51" s="14" cm="1">
        <f t="array" ref="P51">INT(SUMPRODUCT(--ISNUMBER(SEARCH(foreign,C51)))&gt;0)</f>
        <v>0</v>
      </c>
      <c r="Q51" s="14" cm="1">
        <f t="array" ref="Q51">INT(SUMPRODUCT(--ISNUMBER(SEARCH(gun,C51)))&gt;0)</f>
        <v>0</v>
      </c>
      <c r="R51" s="14" cm="1">
        <f t="array" ref="R51">INT(SUMPRODUCT(--ISNUMBER(SEARCH(race,C51)))&gt;0)</f>
        <v>0</v>
      </c>
      <c r="S51" s="14" cm="1">
        <f t="array" ref="S51">INT(SUMPRODUCT(--ISNUMBER(SEARCH(immigration,C51)))&gt;0)</f>
        <v>0</v>
      </c>
      <c r="T51" s="14" cm="1">
        <f t="array" ref="T51">INT(SUMPRODUCT(--ISNUMBER(SEARCH(econineq,C52)))&gt;0)</f>
        <v>0</v>
      </c>
      <c r="U51" s="14" cm="1">
        <f t="array" ref="U51">INT(SUMPRODUCT(--ISNUMBER(SEARCH(climate,C51)))&gt;0)</f>
        <v>0</v>
      </c>
      <c r="V51" s="14" cm="1">
        <f t="array" ref="V51">INT(SUMPRODUCT(--ISNUMBER(SEARCH(abortion,C51)))&gt;0)</f>
        <v>0</v>
      </c>
      <c r="W51" s="14" cm="1">
        <f t="array" ref="W51">INT(SUMPRODUCT(--ISNUMBER(SEARCH(trump,C51)))&gt;0)</f>
        <v>1</v>
      </c>
      <c r="X51" s="14" cm="1">
        <f t="array" ref="X51">INT(SUMPRODUCT(--ISNUMBER(SEARCH(voting,C51)))&gt;0)</f>
        <v>0</v>
      </c>
      <c r="Y51" s="14" cm="1">
        <f t="array" ref="Y51">INT(SUMPRODUCT(--ISNUMBER(SEARCH(democrattrigger,C51)))&gt;0)</f>
        <v>1</v>
      </c>
      <c r="Z51" s="14" cm="1">
        <f t="array" ref="Z51">INT(SUMPRODUCT(--ISNUMBER(SEARCH(bipartisan,C51)))&gt;0)</f>
        <v>0</v>
      </c>
      <c r="AA51" s="14">
        <f t="shared" si="0"/>
        <v>0</v>
      </c>
      <c r="AB51" s="14"/>
      <c r="AC51" s="30" t="s">
        <v>223</v>
      </c>
      <c r="AD51" s="37" t="s">
        <v>223</v>
      </c>
    </row>
    <row r="52" spans="1:30" x14ac:dyDescent="0.25">
      <c r="A52" s="36">
        <v>4247</v>
      </c>
      <c r="B52" s="14" t="s">
        <v>8517</v>
      </c>
      <c r="C52" s="14" t="s">
        <v>8518</v>
      </c>
      <c r="D52" s="17">
        <v>44126</v>
      </c>
      <c r="E52" s="14" t="s">
        <v>30</v>
      </c>
      <c r="F52" s="14">
        <v>53</v>
      </c>
      <c r="G52" s="14">
        <v>21</v>
      </c>
      <c r="H52" s="14">
        <v>19</v>
      </c>
      <c r="I52" s="14">
        <v>10</v>
      </c>
      <c r="J52" s="14" t="s">
        <v>204</v>
      </c>
      <c r="K52" s="14" cm="1">
        <f t="array" ref="K52">INT(SUMPRODUCT(--ISNUMBER(SEARCH(economy,C52)))&gt;0)</f>
        <v>0</v>
      </c>
      <c r="L52" s="14" cm="1">
        <f t="array" ref="L52">INT(SUMPRODUCT(--ISNUMBER(SEARCH(healthcare,C52)))&gt;0)</f>
        <v>0</v>
      </c>
      <c r="M52" s="14" cm="1">
        <f t="array" ref="M52">INT(SUMPRODUCT(--ISNUMBER(SEARCH(supreme,C52)))&gt;0)</f>
        <v>0</v>
      </c>
      <c r="N52" s="14" cm="1">
        <f t="array" ref="N52">INT(SUMPRODUCT(--ISNUMBER(SEARCH(covid,C52)))&gt;0)</f>
        <v>0</v>
      </c>
      <c r="O52" s="14" cm="1">
        <f t="array" ref="O52">INT(SUMPRODUCT(--ISNUMBER(SEARCH(violent,C52)))&gt;0)</f>
        <v>0</v>
      </c>
      <c r="P52" s="14" cm="1">
        <f t="array" ref="P52">INT(SUMPRODUCT(--ISNUMBER(SEARCH(foreign,C52)))&gt;0)</f>
        <v>0</v>
      </c>
      <c r="Q52" s="14" cm="1">
        <f t="array" ref="Q52">INT(SUMPRODUCT(--ISNUMBER(SEARCH(gun,C52)))&gt;0)</f>
        <v>0</v>
      </c>
      <c r="R52" s="14" cm="1">
        <f t="array" ref="R52">INT(SUMPRODUCT(--ISNUMBER(SEARCH(race,C52)))&gt;0)</f>
        <v>0</v>
      </c>
      <c r="S52" s="14" cm="1">
        <f t="array" ref="S52">INT(SUMPRODUCT(--ISNUMBER(SEARCH(immigration,C52)))&gt;0)</f>
        <v>0</v>
      </c>
      <c r="T52" s="14" cm="1">
        <f t="array" ref="T52">INT(SUMPRODUCT(--ISNUMBER(SEARCH(econineq,C53)))&gt;0)</f>
        <v>0</v>
      </c>
      <c r="U52" s="14" cm="1">
        <f t="array" ref="U52">INT(SUMPRODUCT(--ISNUMBER(SEARCH(climate,C52)))&gt;0)</f>
        <v>0</v>
      </c>
      <c r="V52" s="14" cm="1">
        <f t="array" ref="V52">INT(SUMPRODUCT(--ISNUMBER(SEARCH(abortion,C52)))&gt;0)</f>
        <v>0</v>
      </c>
      <c r="W52" s="14" cm="1">
        <f t="array" ref="W52">INT(SUMPRODUCT(--ISNUMBER(SEARCH(trump,C52)))&gt;0)</f>
        <v>0</v>
      </c>
      <c r="X52" s="14" cm="1">
        <f t="array" ref="X52">INT(SUMPRODUCT(--ISNUMBER(SEARCH(voting,C52)))&gt;0)</f>
        <v>0</v>
      </c>
      <c r="Y52" s="14" cm="1">
        <f t="array" ref="Y52">INT(SUMPRODUCT(--ISNUMBER(SEARCH(democrattrigger,C52)))&gt;0)</f>
        <v>0</v>
      </c>
      <c r="Z52" s="14" cm="1">
        <f t="array" ref="Z52">INT(SUMPRODUCT(--ISNUMBER(SEARCH(bipartisan,C52)))&gt;0)</f>
        <v>0</v>
      </c>
      <c r="AA52" s="14">
        <f t="shared" si="0"/>
        <v>1</v>
      </c>
      <c r="AB52" s="14"/>
      <c r="AC52" s="30" t="s">
        <v>223</v>
      </c>
      <c r="AD52" s="37" t="s">
        <v>223</v>
      </c>
    </row>
    <row r="53" spans="1:30" x14ac:dyDescent="0.25">
      <c r="A53" s="36">
        <v>4248</v>
      </c>
      <c r="B53" s="14" t="s">
        <v>8519</v>
      </c>
      <c r="C53" s="14" t="s">
        <v>8520</v>
      </c>
      <c r="D53" s="17">
        <v>44126</v>
      </c>
      <c r="E53" s="14" t="s">
        <v>70</v>
      </c>
      <c r="F53" s="14">
        <v>43</v>
      </c>
      <c r="G53" s="14">
        <v>8</v>
      </c>
      <c r="H53" s="14">
        <v>19</v>
      </c>
      <c r="I53" s="14">
        <v>10</v>
      </c>
      <c r="J53" s="14" t="s">
        <v>204</v>
      </c>
      <c r="K53" s="14" cm="1">
        <f t="array" ref="K53">INT(SUMPRODUCT(--ISNUMBER(SEARCH(economy,C53)))&gt;0)</f>
        <v>0</v>
      </c>
      <c r="L53" s="14" cm="1">
        <f t="array" ref="L53">INT(SUMPRODUCT(--ISNUMBER(SEARCH(healthcare,C53)))&gt;0)</f>
        <v>0</v>
      </c>
      <c r="M53" s="14" cm="1">
        <f t="array" ref="M53">INT(SUMPRODUCT(--ISNUMBER(SEARCH(supreme,C53)))&gt;0)</f>
        <v>0</v>
      </c>
      <c r="N53" s="14" cm="1">
        <f t="array" ref="N53">INT(SUMPRODUCT(--ISNUMBER(SEARCH(covid,C53)))&gt;0)</f>
        <v>0</v>
      </c>
      <c r="O53" s="14" cm="1">
        <f t="array" ref="O53">INT(SUMPRODUCT(--ISNUMBER(SEARCH(violent,C53)))&gt;0)</f>
        <v>0</v>
      </c>
      <c r="P53" s="14" cm="1">
        <f t="array" ref="P53">INT(SUMPRODUCT(--ISNUMBER(SEARCH(foreign,C53)))&gt;0)</f>
        <v>0</v>
      </c>
      <c r="Q53" s="14" cm="1">
        <f t="array" ref="Q53">INT(SUMPRODUCT(--ISNUMBER(SEARCH(gun,C53)))&gt;0)</f>
        <v>0</v>
      </c>
      <c r="R53" s="14" cm="1">
        <f t="array" ref="R53">INT(SUMPRODUCT(--ISNUMBER(SEARCH(race,C53)))&gt;0)</f>
        <v>0</v>
      </c>
      <c r="S53" s="14" cm="1">
        <f t="array" ref="S53">INT(SUMPRODUCT(--ISNUMBER(SEARCH(immigration,C53)))&gt;0)</f>
        <v>0</v>
      </c>
      <c r="T53" s="14" cm="1">
        <f t="array" ref="T53">INT(SUMPRODUCT(--ISNUMBER(SEARCH(econineq,C54)))&gt;0)</f>
        <v>0</v>
      </c>
      <c r="U53" s="14" cm="1">
        <f t="array" ref="U53">INT(SUMPRODUCT(--ISNUMBER(SEARCH(climate,C53)))&gt;0)</f>
        <v>0</v>
      </c>
      <c r="V53" s="14" cm="1">
        <f t="array" ref="V53">INT(SUMPRODUCT(--ISNUMBER(SEARCH(abortion,C53)))&gt;0)</f>
        <v>0</v>
      </c>
      <c r="W53" s="14" cm="1">
        <f t="array" ref="W53">INT(SUMPRODUCT(--ISNUMBER(SEARCH(trump,C53)))&gt;0)</f>
        <v>0</v>
      </c>
      <c r="X53" s="14" cm="1">
        <f t="array" ref="X53">INT(SUMPRODUCT(--ISNUMBER(SEARCH(voting,C53)))&gt;0)</f>
        <v>1</v>
      </c>
      <c r="Y53" s="14" cm="1">
        <f t="array" ref="Y53">INT(SUMPRODUCT(--ISNUMBER(SEARCH(democrattrigger,C53)))&gt;0)</f>
        <v>1</v>
      </c>
      <c r="Z53" s="14" cm="1">
        <f t="array" ref="Z53">INT(SUMPRODUCT(--ISNUMBER(SEARCH(bipartisan,C53)))&gt;0)</f>
        <v>0</v>
      </c>
      <c r="AA53" s="14">
        <f t="shared" si="0"/>
        <v>0</v>
      </c>
      <c r="AB53" s="14"/>
      <c r="AC53" s="30" t="s">
        <v>223</v>
      </c>
      <c r="AD53" s="37" t="s">
        <v>223</v>
      </c>
    </row>
    <row r="54" spans="1:30" x14ac:dyDescent="0.25">
      <c r="A54" s="36">
        <v>4249</v>
      </c>
      <c r="B54" s="14" t="s">
        <v>8521</v>
      </c>
      <c r="C54" s="14" t="s">
        <v>8522</v>
      </c>
      <c r="D54" s="17">
        <v>44126</v>
      </c>
      <c r="E54" s="14" t="s">
        <v>70</v>
      </c>
      <c r="F54" s="14">
        <v>51</v>
      </c>
      <c r="G54" s="14">
        <v>6</v>
      </c>
      <c r="H54" s="14">
        <v>19</v>
      </c>
      <c r="I54" s="14">
        <v>10</v>
      </c>
      <c r="J54" s="14" t="s">
        <v>204</v>
      </c>
      <c r="K54" s="14" cm="1">
        <f t="array" ref="K54">INT(SUMPRODUCT(--ISNUMBER(SEARCH(economy,C54)))&gt;0)</f>
        <v>0</v>
      </c>
      <c r="L54" s="14" cm="1">
        <f t="array" ref="L54">INT(SUMPRODUCT(--ISNUMBER(SEARCH(healthcare,C54)))&gt;0)</f>
        <v>0</v>
      </c>
      <c r="M54" s="14" cm="1">
        <f t="array" ref="M54">INT(SUMPRODUCT(--ISNUMBER(SEARCH(supreme,C54)))&gt;0)</f>
        <v>0</v>
      </c>
      <c r="N54" s="14" cm="1">
        <f t="array" ref="N54">INT(SUMPRODUCT(--ISNUMBER(SEARCH(covid,C54)))&gt;0)</f>
        <v>0</v>
      </c>
      <c r="O54" s="14" cm="1">
        <f t="array" ref="O54">INT(SUMPRODUCT(--ISNUMBER(SEARCH(violent,C54)))&gt;0)</f>
        <v>0</v>
      </c>
      <c r="P54" s="14" cm="1">
        <f t="array" ref="P54">INT(SUMPRODUCT(--ISNUMBER(SEARCH(foreign,C54)))&gt;0)</f>
        <v>1</v>
      </c>
      <c r="Q54" s="14" cm="1">
        <f t="array" ref="Q54">INT(SUMPRODUCT(--ISNUMBER(SEARCH(gun,C54)))&gt;0)</f>
        <v>0</v>
      </c>
      <c r="R54" s="14" cm="1">
        <f t="array" ref="R54">INT(SUMPRODUCT(--ISNUMBER(SEARCH(race,C54)))&gt;0)</f>
        <v>0</v>
      </c>
      <c r="S54" s="14" cm="1">
        <f t="array" ref="S54">INT(SUMPRODUCT(--ISNUMBER(SEARCH(immigration,C54)))&gt;0)</f>
        <v>0</v>
      </c>
      <c r="T54" s="14" cm="1">
        <f t="array" ref="T54">INT(SUMPRODUCT(--ISNUMBER(SEARCH(econineq,C55)))&gt;0)</f>
        <v>0</v>
      </c>
      <c r="U54" s="14" cm="1">
        <f t="array" ref="U54">INT(SUMPRODUCT(--ISNUMBER(SEARCH(climate,C54)))&gt;0)</f>
        <v>0</v>
      </c>
      <c r="V54" s="14" cm="1">
        <f t="array" ref="V54">INT(SUMPRODUCT(--ISNUMBER(SEARCH(abortion,C54)))&gt;0)</f>
        <v>0</v>
      </c>
      <c r="W54" s="14" cm="1">
        <f t="array" ref="W54">INT(SUMPRODUCT(--ISNUMBER(SEARCH(trump,C54)))&gt;0)</f>
        <v>0</v>
      </c>
      <c r="X54" s="14" cm="1">
        <f t="array" ref="X54">INT(SUMPRODUCT(--ISNUMBER(SEARCH(voting,C54)))&gt;0)</f>
        <v>1</v>
      </c>
      <c r="Y54" s="14" cm="1">
        <f t="array" ref="Y54">INT(SUMPRODUCT(--ISNUMBER(SEARCH(democrattrigger,C54)))&gt;0)</f>
        <v>0</v>
      </c>
      <c r="Z54" s="14" cm="1">
        <f t="array" ref="Z54">INT(SUMPRODUCT(--ISNUMBER(SEARCH(bipartisan,C54)))&gt;0)</f>
        <v>0</v>
      </c>
      <c r="AA54" s="14">
        <f t="shared" si="0"/>
        <v>0</v>
      </c>
      <c r="AB54" s="14"/>
      <c r="AC54" s="30" t="s">
        <v>223</v>
      </c>
      <c r="AD54" s="37" t="s">
        <v>223</v>
      </c>
    </row>
    <row r="55" spans="1:30" x14ac:dyDescent="0.25">
      <c r="A55" s="36">
        <v>4250</v>
      </c>
      <c r="B55" s="14" t="s">
        <v>8523</v>
      </c>
      <c r="C55" s="14" t="s">
        <v>8524</v>
      </c>
      <c r="D55" s="17">
        <v>44126</v>
      </c>
      <c r="E55" s="14" t="s">
        <v>70</v>
      </c>
      <c r="F55" s="14">
        <v>7</v>
      </c>
      <c r="G55" s="14">
        <v>1</v>
      </c>
      <c r="H55" s="14">
        <v>19</v>
      </c>
      <c r="I55" s="14">
        <v>10</v>
      </c>
      <c r="J55" s="14" t="s">
        <v>204</v>
      </c>
      <c r="K55" s="14" cm="1">
        <f t="array" ref="K55">INT(SUMPRODUCT(--ISNUMBER(SEARCH(economy,C55)))&gt;0)</f>
        <v>0</v>
      </c>
      <c r="L55" s="14" cm="1">
        <f t="array" ref="L55">INT(SUMPRODUCT(--ISNUMBER(SEARCH(healthcare,C55)))&gt;0)</f>
        <v>0</v>
      </c>
      <c r="M55" s="14" cm="1">
        <f t="array" ref="M55">INT(SUMPRODUCT(--ISNUMBER(SEARCH(supreme,C55)))&gt;0)</f>
        <v>0</v>
      </c>
      <c r="N55" s="14" cm="1">
        <f t="array" ref="N55">INT(SUMPRODUCT(--ISNUMBER(SEARCH(covid,C55)))&gt;0)</f>
        <v>0</v>
      </c>
      <c r="O55" s="14" cm="1">
        <f t="array" ref="O55">INT(SUMPRODUCT(--ISNUMBER(SEARCH(violent,C55)))&gt;0)</f>
        <v>0</v>
      </c>
      <c r="P55" s="14" cm="1">
        <f t="array" ref="P55">INT(SUMPRODUCT(--ISNUMBER(SEARCH(foreign,C55)))&gt;0)</f>
        <v>0</v>
      </c>
      <c r="Q55" s="14" cm="1">
        <f t="array" ref="Q55">INT(SUMPRODUCT(--ISNUMBER(SEARCH(gun,C55)))&gt;0)</f>
        <v>0</v>
      </c>
      <c r="R55" s="14" cm="1">
        <f t="array" ref="R55">INT(SUMPRODUCT(--ISNUMBER(SEARCH(race,C55)))&gt;0)</f>
        <v>0</v>
      </c>
      <c r="S55" s="14" cm="1">
        <f t="array" ref="S55">INT(SUMPRODUCT(--ISNUMBER(SEARCH(immigration,C55)))&gt;0)</f>
        <v>0</v>
      </c>
      <c r="T55" s="14" cm="1">
        <f t="array" ref="T55">INT(SUMPRODUCT(--ISNUMBER(SEARCH(econineq,C56)))&gt;0)</f>
        <v>0</v>
      </c>
      <c r="U55" s="14" cm="1">
        <f t="array" ref="U55">INT(SUMPRODUCT(--ISNUMBER(SEARCH(climate,C55)))&gt;0)</f>
        <v>0</v>
      </c>
      <c r="V55" s="14" cm="1">
        <f t="array" ref="V55">INT(SUMPRODUCT(--ISNUMBER(SEARCH(abortion,C55)))&gt;0)</f>
        <v>0</v>
      </c>
      <c r="W55" s="14" cm="1">
        <f t="array" ref="W55">INT(SUMPRODUCT(--ISNUMBER(SEARCH(trump,C55)))&gt;0)</f>
        <v>0</v>
      </c>
      <c r="X55" s="14" cm="1">
        <f t="array" ref="X55">INT(SUMPRODUCT(--ISNUMBER(SEARCH(voting,C55)))&gt;0)</f>
        <v>1</v>
      </c>
      <c r="Y55" s="14" cm="1">
        <f t="array" ref="Y55">INT(SUMPRODUCT(--ISNUMBER(SEARCH(democrattrigger,C55)))&gt;0)</f>
        <v>0</v>
      </c>
      <c r="Z55" s="14" cm="1">
        <f t="array" ref="Z55">INT(SUMPRODUCT(--ISNUMBER(SEARCH(bipartisan,C55)))&gt;0)</f>
        <v>0</v>
      </c>
      <c r="AA55" s="14">
        <f t="shared" si="0"/>
        <v>0</v>
      </c>
      <c r="AB55" s="14"/>
      <c r="AC55" s="30" t="s">
        <v>223</v>
      </c>
      <c r="AD55" s="37" t="s">
        <v>223</v>
      </c>
    </row>
    <row r="56" spans="1:30" x14ac:dyDescent="0.25">
      <c r="A56" s="36">
        <v>4251</v>
      </c>
      <c r="B56" s="14" t="s">
        <v>8525</v>
      </c>
      <c r="C56" s="14" t="s">
        <v>8526</v>
      </c>
      <c r="D56" s="17">
        <v>44126</v>
      </c>
      <c r="E56" s="14" t="s">
        <v>30</v>
      </c>
      <c r="F56" s="14">
        <v>91</v>
      </c>
      <c r="G56" s="14">
        <v>20</v>
      </c>
      <c r="H56" s="14">
        <v>19</v>
      </c>
      <c r="I56" s="14">
        <v>10</v>
      </c>
      <c r="J56" s="14" t="s">
        <v>204</v>
      </c>
      <c r="K56" s="14" cm="1">
        <f t="array" ref="K56">INT(SUMPRODUCT(--ISNUMBER(SEARCH(economy,C56)))&gt;0)</f>
        <v>0</v>
      </c>
      <c r="L56" s="14" cm="1">
        <f t="array" ref="L56">INT(SUMPRODUCT(--ISNUMBER(SEARCH(healthcare,C56)))&gt;0)</f>
        <v>0</v>
      </c>
      <c r="M56" s="14" cm="1">
        <f t="array" ref="M56">INT(SUMPRODUCT(--ISNUMBER(SEARCH(supreme,C56)))&gt;0)</f>
        <v>0</v>
      </c>
      <c r="N56" s="14" cm="1">
        <f t="array" ref="N56">INT(SUMPRODUCT(--ISNUMBER(SEARCH(covid,C56)))&gt;0)</f>
        <v>0</v>
      </c>
      <c r="O56" s="14" cm="1">
        <f t="array" ref="O56">INT(SUMPRODUCT(--ISNUMBER(SEARCH(violent,C56)))&gt;0)</f>
        <v>0</v>
      </c>
      <c r="P56" s="14" cm="1">
        <f t="array" ref="P56">INT(SUMPRODUCT(--ISNUMBER(SEARCH(foreign,C56)))&gt;0)</f>
        <v>1</v>
      </c>
      <c r="Q56" s="14" cm="1">
        <f t="array" ref="Q56">INT(SUMPRODUCT(--ISNUMBER(SEARCH(gun,C56)))&gt;0)</f>
        <v>0</v>
      </c>
      <c r="R56" s="14" cm="1">
        <f t="array" ref="R56">INT(SUMPRODUCT(--ISNUMBER(SEARCH(race,C56)))&gt;0)</f>
        <v>0</v>
      </c>
      <c r="S56" s="14" cm="1">
        <f t="array" ref="S56">INT(SUMPRODUCT(--ISNUMBER(SEARCH(immigration,C56)))&gt;0)</f>
        <v>0</v>
      </c>
      <c r="T56" s="14" cm="1">
        <f t="array" ref="T56">INT(SUMPRODUCT(--ISNUMBER(SEARCH(econineq,C57)))&gt;0)</f>
        <v>0</v>
      </c>
      <c r="U56" s="14" cm="1">
        <f t="array" ref="U56">INT(SUMPRODUCT(--ISNUMBER(SEARCH(climate,C56)))&gt;0)</f>
        <v>0</v>
      </c>
      <c r="V56" s="14" cm="1">
        <f t="array" ref="V56">INT(SUMPRODUCT(--ISNUMBER(SEARCH(abortion,C56)))&gt;0)</f>
        <v>0</v>
      </c>
      <c r="W56" s="14" cm="1">
        <f t="array" ref="W56">INT(SUMPRODUCT(--ISNUMBER(SEARCH(trump,C56)))&gt;0)</f>
        <v>0</v>
      </c>
      <c r="X56" s="14" cm="1">
        <f t="array" ref="X56">INT(SUMPRODUCT(--ISNUMBER(SEARCH(voting,C56)))&gt;0)</f>
        <v>0</v>
      </c>
      <c r="Y56" s="14" cm="1">
        <f t="array" ref="Y56">INT(SUMPRODUCT(--ISNUMBER(SEARCH(democrattrigger,C56)))&gt;0)</f>
        <v>0</v>
      </c>
      <c r="Z56" s="14" cm="1">
        <f t="array" ref="Z56">INT(SUMPRODUCT(--ISNUMBER(SEARCH(bipartisan,C56)))&gt;0)</f>
        <v>0</v>
      </c>
      <c r="AA56" s="14">
        <f t="shared" si="0"/>
        <v>0</v>
      </c>
      <c r="AB56" s="14"/>
      <c r="AC56" s="30" t="s">
        <v>223</v>
      </c>
      <c r="AD56" s="37" t="s">
        <v>223</v>
      </c>
    </row>
    <row r="57" spans="1:30" x14ac:dyDescent="0.25">
      <c r="A57" s="36">
        <v>4252</v>
      </c>
      <c r="B57" s="14" t="s">
        <v>8527</v>
      </c>
      <c r="C57" s="14" t="s">
        <v>8528</v>
      </c>
      <c r="D57" s="17">
        <v>44126</v>
      </c>
      <c r="E57" s="14" t="s">
        <v>30</v>
      </c>
      <c r="F57" s="14">
        <v>178</v>
      </c>
      <c r="G57" s="14">
        <v>58</v>
      </c>
      <c r="H57" s="14">
        <v>19</v>
      </c>
      <c r="I57" s="14">
        <v>10</v>
      </c>
      <c r="J57" s="14" t="s">
        <v>204</v>
      </c>
      <c r="K57" s="14" cm="1">
        <f t="array" ref="K57">INT(SUMPRODUCT(--ISNUMBER(SEARCH(economy,C57)))&gt;0)</f>
        <v>0</v>
      </c>
      <c r="L57" s="14" cm="1">
        <f t="array" ref="L57">INT(SUMPRODUCT(--ISNUMBER(SEARCH(healthcare,C57)))&gt;0)</f>
        <v>0</v>
      </c>
      <c r="M57" s="14" cm="1">
        <f t="array" ref="M57">INT(SUMPRODUCT(--ISNUMBER(SEARCH(supreme,C57)))&gt;0)</f>
        <v>0</v>
      </c>
      <c r="N57" s="14" cm="1">
        <f t="array" ref="N57">INT(SUMPRODUCT(--ISNUMBER(SEARCH(covid,C57)))&gt;0)</f>
        <v>0</v>
      </c>
      <c r="O57" s="14" cm="1">
        <f t="array" ref="O57">INT(SUMPRODUCT(--ISNUMBER(SEARCH(violent,C57)))&gt;0)</f>
        <v>0</v>
      </c>
      <c r="P57" s="14" cm="1">
        <f t="array" ref="P57">INT(SUMPRODUCT(--ISNUMBER(SEARCH(foreign,C57)))&gt;0)</f>
        <v>0</v>
      </c>
      <c r="Q57" s="14" cm="1">
        <f t="array" ref="Q57">INT(SUMPRODUCT(--ISNUMBER(SEARCH(gun,C57)))&gt;0)</f>
        <v>0</v>
      </c>
      <c r="R57" s="14" cm="1">
        <f t="array" ref="R57">INT(SUMPRODUCT(--ISNUMBER(SEARCH(race,C57)))&gt;0)</f>
        <v>0</v>
      </c>
      <c r="S57" s="14" cm="1">
        <f t="array" ref="S57">INT(SUMPRODUCT(--ISNUMBER(SEARCH(immigration,C57)))&gt;0)</f>
        <v>0</v>
      </c>
      <c r="T57" s="14" cm="1">
        <f t="array" ref="T57">INT(SUMPRODUCT(--ISNUMBER(SEARCH(econineq,C58)))&gt;0)</f>
        <v>0</v>
      </c>
      <c r="U57" s="14" cm="1">
        <f t="array" ref="U57">INT(SUMPRODUCT(--ISNUMBER(SEARCH(climate,C57)))&gt;0)</f>
        <v>0</v>
      </c>
      <c r="V57" s="14" cm="1">
        <f t="array" ref="V57">INT(SUMPRODUCT(--ISNUMBER(SEARCH(abortion,C57)))&gt;0)</f>
        <v>0</v>
      </c>
      <c r="W57" s="14" cm="1">
        <f t="array" ref="W57">INT(SUMPRODUCT(--ISNUMBER(SEARCH(trump,C57)))&gt;0)</f>
        <v>0</v>
      </c>
      <c r="X57" s="14" cm="1">
        <f t="array" ref="X57">INT(SUMPRODUCT(--ISNUMBER(SEARCH(voting,C57)))&gt;0)</f>
        <v>0</v>
      </c>
      <c r="Y57" s="14" cm="1">
        <f t="array" ref="Y57">INT(SUMPRODUCT(--ISNUMBER(SEARCH(democrattrigger,C57)))&gt;0)</f>
        <v>0</v>
      </c>
      <c r="Z57" s="14" cm="1">
        <f t="array" ref="Z57">INT(SUMPRODUCT(--ISNUMBER(SEARCH(bipartisan,C57)))&gt;0)</f>
        <v>0</v>
      </c>
      <c r="AA57" s="14">
        <f t="shared" si="0"/>
        <v>1</v>
      </c>
      <c r="AB57" s="14"/>
      <c r="AC57" s="30">
        <v>0</v>
      </c>
      <c r="AD57" s="37">
        <v>1</v>
      </c>
    </row>
    <row r="58" spans="1:30" x14ac:dyDescent="0.25">
      <c r="A58" s="36">
        <v>4253</v>
      </c>
      <c r="B58" s="14" t="s">
        <v>8529</v>
      </c>
      <c r="C58" s="14" t="s">
        <v>8530</v>
      </c>
      <c r="D58" s="17">
        <v>44125</v>
      </c>
      <c r="E58" s="14" t="s">
        <v>30</v>
      </c>
      <c r="F58" s="14">
        <v>169</v>
      </c>
      <c r="G58" s="14">
        <v>39</v>
      </c>
      <c r="H58" s="14">
        <v>19</v>
      </c>
      <c r="I58" s="14">
        <v>10</v>
      </c>
      <c r="J58" s="14" t="s">
        <v>204</v>
      </c>
      <c r="K58" s="14" cm="1">
        <f t="array" ref="K58">INT(SUMPRODUCT(--ISNUMBER(SEARCH(economy,C58)))&gt;0)</f>
        <v>0</v>
      </c>
      <c r="L58" s="14" cm="1">
        <f t="array" ref="L58">INT(SUMPRODUCT(--ISNUMBER(SEARCH(healthcare,C58)))&gt;0)</f>
        <v>1</v>
      </c>
      <c r="M58" s="14" cm="1">
        <f t="array" ref="M58">INT(SUMPRODUCT(--ISNUMBER(SEARCH(supreme,C58)))&gt;0)</f>
        <v>0</v>
      </c>
      <c r="N58" s="14" cm="1">
        <f t="array" ref="N58">INT(SUMPRODUCT(--ISNUMBER(SEARCH(covid,C58)))&gt;0)</f>
        <v>0</v>
      </c>
      <c r="O58" s="14" cm="1">
        <f t="array" ref="O58">INT(SUMPRODUCT(--ISNUMBER(SEARCH(violent,C58)))&gt;0)</f>
        <v>0</v>
      </c>
      <c r="P58" s="14" cm="1">
        <f t="array" ref="P58">INT(SUMPRODUCT(--ISNUMBER(SEARCH(foreign,C58)))&gt;0)</f>
        <v>0</v>
      </c>
      <c r="Q58" s="14" cm="1">
        <f t="array" ref="Q58">INT(SUMPRODUCT(--ISNUMBER(SEARCH(gun,C58)))&gt;0)</f>
        <v>0</v>
      </c>
      <c r="R58" s="14" cm="1">
        <f t="array" ref="R58">INT(SUMPRODUCT(--ISNUMBER(SEARCH(race,C58)))&gt;0)</f>
        <v>0</v>
      </c>
      <c r="S58" s="14" cm="1">
        <f t="array" ref="S58">INT(SUMPRODUCT(--ISNUMBER(SEARCH(immigration,C58)))&gt;0)</f>
        <v>0</v>
      </c>
      <c r="T58" s="14" cm="1">
        <f t="array" ref="T58">INT(SUMPRODUCT(--ISNUMBER(SEARCH(econineq,C59)))&gt;0)</f>
        <v>0</v>
      </c>
      <c r="U58" s="14" cm="1">
        <f t="array" ref="U58">INT(SUMPRODUCT(--ISNUMBER(SEARCH(climate,C58)))&gt;0)</f>
        <v>0</v>
      </c>
      <c r="V58" s="14" cm="1">
        <f t="array" ref="V58">INT(SUMPRODUCT(--ISNUMBER(SEARCH(abortion,C58)))&gt;0)</f>
        <v>0</v>
      </c>
      <c r="W58" s="14" cm="1">
        <f t="array" ref="W58">INT(SUMPRODUCT(--ISNUMBER(SEARCH(trump,C58)))&gt;0)</f>
        <v>0</v>
      </c>
      <c r="X58" s="14" cm="1">
        <f t="array" ref="X58">INT(SUMPRODUCT(--ISNUMBER(SEARCH(voting,C58)))&gt;0)</f>
        <v>0</v>
      </c>
      <c r="Y58" s="14" cm="1">
        <f t="array" ref="Y58">INT(SUMPRODUCT(--ISNUMBER(SEARCH(democrattrigger,C58)))&gt;0)</f>
        <v>1</v>
      </c>
      <c r="Z58" s="14" cm="1">
        <f t="array" ref="Z58">INT(SUMPRODUCT(--ISNUMBER(SEARCH(bipartisan,C58)))&gt;0)</f>
        <v>0</v>
      </c>
      <c r="AA58" s="14">
        <f t="shared" si="0"/>
        <v>0</v>
      </c>
      <c r="AB58" s="14"/>
      <c r="AC58" s="30">
        <v>1</v>
      </c>
      <c r="AD58" s="37">
        <v>0</v>
      </c>
    </row>
    <row r="59" spans="1:30" x14ac:dyDescent="0.25">
      <c r="A59" s="36">
        <v>4254</v>
      </c>
      <c r="B59" s="14" t="s">
        <v>8531</v>
      </c>
      <c r="C59" s="14" t="s">
        <v>8532</v>
      </c>
      <c r="D59" s="17">
        <v>44125</v>
      </c>
      <c r="E59" s="14" t="s">
        <v>70</v>
      </c>
      <c r="F59" s="14">
        <v>82</v>
      </c>
      <c r="G59" s="14">
        <v>10</v>
      </c>
      <c r="H59" s="14">
        <v>19</v>
      </c>
      <c r="I59" s="14">
        <v>10</v>
      </c>
      <c r="J59" s="14" t="s">
        <v>204</v>
      </c>
      <c r="K59" s="14" cm="1">
        <f t="array" ref="K59">INT(SUMPRODUCT(--ISNUMBER(SEARCH(economy,C59)))&gt;0)</f>
        <v>0</v>
      </c>
      <c r="L59" s="14" cm="1">
        <f t="array" ref="L59">INT(SUMPRODUCT(--ISNUMBER(SEARCH(healthcare,C59)))&gt;0)</f>
        <v>0</v>
      </c>
      <c r="M59" s="14" cm="1">
        <f t="array" ref="M59">INT(SUMPRODUCT(--ISNUMBER(SEARCH(supreme,C59)))&gt;0)</f>
        <v>0</v>
      </c>
      <c r="N59" s="14" cm="1">
        <f t="array" ref="N59">INT(SUMPRODUCT(--ISNUMBER(SEARCH(covid,C59)))&gt;0)</f>
        <v>1</v>
      </c>
      <c r="O59" s="14" cm="1">
        <f t="array" ref="O59">INT(SUMPRODUCT(--ISNUMBER(SEARCH(violent,C59)))&gt;0)</f>
        <v>0</v>
      </c>
      <c r="P59" s="14" cm="1">
        <f t="array" ref="P59">INT(SUMPRODUCT(--ISNUMBER(SEARCH(foreign,C59)))&gt;0)</f>
        <v>0</v>
      </c>
      <c r="Q59" s="14" cm="1">
        <f t="array" ref="Q59">INT(SUMPRODUCT(--ISNUMBER(SEARCH(gun,C59)))&gt;0)</f>
        <v>0</v>
      </c>
      <c r="R59" s="14" cm="1">
        <f t="array" ref="R59">INT(SUMPRODUCT(--ISNUMBER(SEARCH(race,C59)))&gt;0)</f>
        <v>0</v>
      </c>
      <c r="S59" s="14" cm="1">
        <f t="array" ref="S59">INT(SUMPRODUCT(--ISNUMBER(SEARCH(immigration,C59)))&gt;0)</f>
        <v>0</v>
      </c>
      <c r="T59" s="14" cm="1">
        <f t="array" ref="T59">INT(SUMPRODUCT(--ISNUMBER(SEARCH(econineq,C60)))&gt;0)</f>
        <v>0</v>
      </c>
      <c r="U59" s="14" cm="1">
        <f t="array" ref="U59">INT(SUMPRODUCT(--ISNUMBER(SEARCH(climate,C59)))&gt;0)</f>
        <v>0</v>
      </c>
      <c r="V59" s="14" cm="1">
        <f t="array" ref="V59">INT(SUMPRODUCT(--ISNUMBER(SEARCH(abortion,C59)))&gt;0)</f>
        <v>0</v>
      </c>
      <c r="W59" s="14" cm="1">
        <f t="array" ref="W59">INT(SUMPRODUCT(--ISNUMBER(SEARCH(trump,C59)))&gt;0)</f>
        <v>0</v>
      </c>
      <c r="X59" s="14" cm="1">
        <f t="array" ref="X59">INT(SUMPRODUCT(--ISNUMBER(SEARCH(voting,C59)))&gt;0)</f>
        <v>0</v>
      </c>
      <c r="Y59" s="14" cm="1">
        <f t="array" ref="Y59">INT(SUMPRODUCT(--ISNUMBER(SEARCH(democrattrigger,C59)))&gt;0)</f>
        <v>0</v>
      </c>
      <c r="Z59" s="14" cm="1">
        <f t="array" ref="Z59">INT(SUMPRODUCT(--ISNUMBER(SEARCH(bipartisan,C59)))&gt;0)</f>
        <v>1</v>
      </c>
      <c r="AA59" s="14">
        <f t="shared" si="0"/>
        <v>0</v>
      </c>
      <c r="AB59" s="14"/>
      <c r="AC59" s="30" t="s">
        <v>223</v>
      </c>
      <c r="AD59" s="37" t="s">
        <v>223</v>
      </c>
    </row>
    <row r="60" spans="1:30" x14ac:dyDescent="0.25">
      <c r="A60" s="36">
        <v>4255</v>
      </c>
      <c r="B60" s="14" t="s">
        <v>8533</v>
      </c>
      <c r="C60" s="14" t="s">
        <v>8534</v>
      </c>
      <c r="D60" s="17">
        <v>44125</v>
      </c>
      <c r="E60" s="14" t="s">
        <v>70</v>
      </c>
      <c r="F60" s="14">
        <v>100</v>
      </c>
      <c r="G60" s="14">
        <v>15</v>
      </c>
      <c r="H60" s="14">
        <v>19</v>
      </c>
      <c r="I60" s="14">
        <v>10</v>
      </c>
      <c r="J60" s="14" t="s">
        <v>204</v>
      </c>
      <c r="K60" s="14" cm="1">
        <f t="array" ref="K60">INT(SUMPRODUCT(--ISNUMBER(SEARCH(economy,C60)))&gt;0)</f>
        <v>0</v>
      </c>
      <c r="L60" s="14" cm="1">
        <f t="array" ref="L60">INT(SUMPRODUCT(--ISNUMBER(SEARCH(healthcare,C60)))&gt;0)</f>
        <v>0</v>
      </c>
      <c r="M60" s="14" cm="1">
        <f t="array" ref="M60">INT(SUMPRODUCT(--ISNUMBER(SEARCH(supreme,C60)))&gt;0)</f>
        <v>0</v>
      </c>
      <c r="N60" s="14" cm="1">
        <f t="array" ref="N60">INT(SUMPRODUCT(--ISNUMBER(SEARCH(covid,C60)))&gt;0)</f>
        <v>1</v>
      </c>
      <c r="O60" s="14" cm="1">
        <f t="array" ref="O60">INT(SUMPRODUCT(--ISNUMBER(SEARCH(violent,C60)))&gt;0)</f>
        <v>0</v>
      </c>
      <c r="P60" s="14" cm="1">
        <f t="array" ref="P60">INT(SUMPRODUCT(--ISNUMBER(SEARCH(foreign,C60)))&gt;0)</f>
        <v>0</v>
      </c>
      <c r="Q60" s="14" cm="1">
        <f t="array" ref="Q60">INT(SUMPRODUCT(--ISNUMBER(SEARCH(gun,C60)))&gt;0)</f>
        <v>0</v>
      </c>
      <c r="R60" s="14" cm="1">
        <f t="array" ref="R60">INT(SUMPRODUCT(--ISNUMBER(SEARCH(race,C60)))&gt;0)</f>
        <v>0</v>
      </c>
      <c r="S60" s="14" cm="1">
        <f t="array" ref="S60">INT(SUMPRODUCT(--ISNUMBER(SEARCH(immigration,C60)))&gt;0)</f>
        <v>0</v>
      </c>
      <c r="T60" s="14" cm="1">
        <f t="array" ref="T60">INT(SUMPRODUCT(--ISNUMBER(SEARCH(econineq,C61)))&gt;0)</f>
        <v>0</v>
      </c>
      <c r="U60" s="14" cm="1">
        <f t="array" ref="U60">INT(SUMPRODUCT(--ISNUMBER(SEARCH(climate,C60)))&gt;0)</f>
        <v>0</v>
      </c>
      <c r="V60" s="14" cm="1">
        <f t="array" ref="V60">INT(SUMPRODUCT(--ISNUMBER(SEARCH(abortion,C60)))&gt;0)</f>
        <v>0</v>
      </c>
      <c r="W60" s="14" cm="1">
        <f t="array" ref="W60">INT(SUMPRODUCT(--ISNUMBER(SEARCH(trump,C60)))&gt;0)</f>
        <v>0</v>
      </c>
      <c r="X60" s="14" cm="1">
        <f t="array" ref="X60">INT(SUMPRODUCT(--ISNUMBER(SEARCH(voting,C60)))&gt;0)</f>
        <v>0</v>
      </c>
      <c r="Y60" s="14" cm="1">
        <f t="array" ref="Y60">INT(SUMPRODUCT(--ISNUMBER(SEARCH(democrattrigger,C60)))&gt;0)</f>
        <v>1</v>
      </c>
      <c r="Z60" s="14" cm="1">
        <f t="array" ref="Z60">INT(SUMPRODUCT(--ISNUMBER(SEARCH(bipartisan,C60)))&gt;0)</f>
        <v>1</v>
      </c>
      <c r="AA60" s="14">
        <f t="shared" si="0"/>
        <v>0</v>
      </c>
      <c r="AB60" s="14"/>
      <c r="AC60" s="30" t="s">
        <v>223</v>
      </c>
      <c r="AD60" s="37" t="s">
        <v>223</v>
      </c>
    </row>
    <row r="61" spans="1:30" x14ac:dyDescent="0.25">
      <c r="A61" s="36">
        <v>4256</v>
      </c>
      <c r="B61" s="14" t="s">
        <v>8535</v>
      </c>
      <c r="C61" s="14" t="s">
        <v>8536</v>
      </c>
      <c r="D61" s="17">
        <v>44125</v>
      </c>
      <c r="E61" s="14" t="s">
        <v>70</v>
      </c>
      <c r="F61" s="14">
        <v>22</v>
      </c>
      <c r="G61" s="14">
        <v>5</v>
      </c>
      <c r="H61" s="14">
        <v>19</v>
      </c>
      <c r="I61" s="14">
        <v>10</v>
      </c>
      <c r="J61" s="14" t="s">
        <v>204</v>
      </c>
      <c r="K61" s="14" cm="1">
        <f t="array" ref="K61">INT(SUMPRODUCT(--ISNUMBER(SEARCH(economy,C61)))&gt;0)</f>
        <v>0</v>
      </c>
      <c r="L61" s="14" cm="1">
        <f t="array" ref="L61">INT(SUMPRODUCT(--ISNUMBER(SEARCH(healthcare,C61)))&gt;0)</f>
        <v>0</v>
      </c>
      <c r="M61" s="14" cm="1">
        <f t="array" ref="M61">INT(SUMPRODUCT(--ISNUMBER(SEARCH(supreme,C61)))&gt;0)</f>
        <v>0</v>
      </c>
      <c r="N61" s="14" cm="1">
        <f t="array" ref="N61">INT(SUMPRODUCT(--ISNUMBER(SEARCH(covid,C61)))&gt;0)</f>
        <v>0</v>
      </c>
      <c r="O61" s="14" cm="1">
        <f t="array" ref="O61">INT(SUMPRODUCT(--ISNUMBER(SEARCH(violent,C61)))&gt;0)</f>
        <v>0</v>
      </c>
      <c r="P61" s="14" cm="1">
        <f t="array" ref="P61">INT(SUMPRODUCT(--ISNUMBER(SEARCH(foreign,C61)))&gt;0)</f>
        <v>0</v>
      </c>
      <c r="Q61" s="14" cm="1">
        <f t="array" ref="Q61">INT(SUMPRODUCT(--ISNUMBER(SEARCH(gun,C61)))&gt;0)</f>
        <v>0</v>
      </c>
      <c r="R61" s="14" cm="1">
        <f t="array" ref="R61">INT(SUMPRODUCT(--ISNUMBER(SEARCH(race,C61)))&gt;0)</f>
        <v>0</v>
      </c>
      <c r="S61" s="14" cm="1">
        <f t="array" ref="S61">INT(SUMPRODUCT(--ISNUMBER(SEARCH(immigration,C61)))&gt;0)</f>
        <v>0</v>
      </c>
      <c r="T61" s="14" cm="1">
        <f t="array" ref="T61">INT(SUMPRODUCT(--ISNUMBER(SEARCH(econineq,C62)))&gt;0)</f>
        <v>0</v>
      </c>
      <c r="U61" s="14" cm="1">
        <f t="array" ref="U61">INT(SUMPRODUCT(--ISNUMBER(SEARCH(climate,C61)))&gt;0)</f>
        <v>0</v>
      </c>
      <c r="V61" s="14" cm="1">
        <f t="array" ref="V61">INT(SUMPRODUCT(--ISNUMBER(SEARCH(abortion,C61)))&gt;0)</f>
        <v>0</v>
      </c>
      <c r="W61" s="14" cm="1">
        <f t="array" ref="W61">INT(SUMPRODUCT(--ISNUMBER(SEARCH(trump,C61)))&gt;0)</f>
        <v>0</v>
      </c>
      <c r="X61" s="14" cm="1">
        <f t="array" ref="X61">INT(SUMPRODUCT(--ISNUMBER(SEARCH(voting,C61)))&gt;0)</f>
        <v>0</v>
      </c>
      <c r="Y61" s="14" cm="1">
        <f t="array" ref="Y61">INT(SUMPRODUCT(--ISNUMBER(SEARCH(democrattrigger,C61)))&gt;0)</f>
        <v>0</v>
      </c>
      <c r="Z61" s="14" cm="1">
        <f t="array" ref="Z61">INT(SUMPRODUCT(--ISNUMBER(SEARCH(bipartisan,C61)))&gt;0)</f>
        <v>0</v>
      </c>
      <c r="AA61" s="14">
        <f t="shared" si="0"/>
        <v>1</v>
      </c>
      <c r="AB61" s="14"/>
      <c r="AC61" s="30" t="s">
        <v>223</v>
      </c>
      <c r="AD61" s="37" t="s">
        <v>223</v>
      </c>
    </row>
    <row r="62" spans="1:30" x14ac:dyDescent="0.25">
      <c r="A62" s="36">
        <v>4257</v>
      </c>
      <c r="B62" s="14" t="s">
        <v>8537</v>
      </c>
      <c r="C62" s="14" t="s">
        <v>8538</v>
      </c>
      <c r="D62" s="17">
        <v>44125</v>
      </c>
      <c r="E62" s="14" t="s">
        <v>70</v>
      </c>
      <c r="F62" s="14">
        <v>21</v>
      </c>
      <c r="G62" s="14">
        <v>5</v>
      </c>
      <c r="H62" s="14">
        <v>19</v>
      </c>
      <c r="I62" s="14">
        <v>10</v>
      </c>
      <c r="J62" s="14" t="s">
        <v>204</v>
      </c>
      <c r="K62" s="14" cm="1">
        <f t="array" ref="K62">INT(SUMPRODUCT(--ISNUMBER(SEARCH(economy,C62)))&gt;0)</f>
        <v>0</v>
      </c>
      <c r="L62" s="14" cm="1">
        <f t="array" ref="L62">INT(SUMPRODUCT(--ISNUMBER(SEARCH(healthcare,C62)))&gt;0)</f>
        <v>0</v>
      </c>
      <c r="M62" s="14" cm="1">
        <f t="array" ref="M62">INT(SUMPRODUCT(--ISNUMBER(SEARCH(supreme,C62)))&gt;0)</f>
        <v>0</v>
      </c>
      <c r="N62" s="14" cm="1">
        <f t="array" ref="N62">INT(SUMPRODUCT(--ISNUMBER(SEARCH(covid,C62)))&gt;0)</f>
        <v>0</v>
      </c>
      <c r="O62" s="14" cm="1">
        <f t="array" ref="O62">INT(SUMPRODUCT(--ISNUMBER(SEARCH(violent,C62)))&gt;0)</f>
        <v>0</v>
      </c>
      <c r="P62" s="14" cm="1">
        <f t="array" ref="P62">INT(SUMPRODUCT(--ISNUMBER(SEARCH(foreign,C62)))&gt;0)</f>
        <v>0</v>
      </c>
      <c r="Q62" s="14" cm="1">
        <f t="array" ref="Q62">INT(SUMPRODUCT(--ISNUMBER(SEARCH(gun,C62)))&gt;0)</f>
        <v>0</v>
      </c>
      <c r="R62" s="14" cm="1">
        <f t="array" ref="R62">INT(SUMPRODUCT(--ISNUMBER(SEARCH(race,C62)))&gt;0)</f>
        <v>0</v>
      </c>
      <c r="S62" s="14" cm="1">
        <f t="array" ref="S62">INT(SUMPRODUCT(--ISNUMBER(SEARCH(immigration,C62)))&gt;0)</f>
        <v>0</v>
      </c>
      <c r="T62" s="14" cm="1">
        <f t="array" ref="T62">INT(SUMPRODUCT(--ISNUMBER(SEARCH(econineq,C63)))&gt;0)</f>
        <v>0</v>
      </c>
      <c r="U62" s="14" cm="1">
        <f t="array" ref="U62">INT(SUMPRODUCT(--ISNUMBER(SEARCH(climate,C62)))&gt;0)</f>
        <v>0</v>
      </c>
      <c r="V62" s="14" cm="1">
        <f t="array" ref="V62">INT(SUMPRODUCT(--ISNUMBER(SEARCH(abortion,C62)))&gt;0)</f>
        <v>0</v>
      </c>
      <c r="W62" s="14" cm="1">
        <f t="array" ref="W62">INT(SUMPRODUCT(--ISNUMBER(SEARCH(trump,C62)))&gt;0)</f>
        <v>0</v>
      </c>
      <c r="X62" s="14" cm="1">
        <f t="array" ref="X62">INT(SUMPRODUCT(--ISNUMBER(SEARCH(voting,C62)))&gt;0)</f>
        <v>1</v>
      </c>
      <c r="Y62" s="14" cm="1">
        <f t="array" ref="Y62">INT(SUMPRODUCT(--ISNUMBER(SEARCH(democrattrigger,C62)))&gt;0)</f>
        <v>0</v>
      </c>
      <c r="Z62" s="14" cm="1">
        <f t="array" ref="Z62">INT(SUMPRODUCT(--ISNUMBER(SEARCH(bipartisan,C62)))&gt;0)</f>
        <v>0</v>
      </c>
      <c r="AA62" s="14">
        <f t="shared" si="0"/>
        <v>0</v>
      </c>
      <c r="AB62" s="14"/>
      <c r="AC62" s="30" t="s">
        <v>223</v>
      </c>
      <c r="AD62" s="37" t="s">
        <v>223</v>
      </c>
    </row>
    <row r="63" spans="1:30" x14ac:dyDescent="0.25">
      <c r="A63" s="36">
        <v>4258</v>
      </c>
      <c r="B63" s="14" t="s">
        <v>8539</v>
      </c>
      <c r="C63" s="14" t="s">
        <v>8540</v>
      </c>
      <c r="D63" s="17">
        <v>44125</v>
      </c>
      <c r="E63" s="14" t="s">
        <v>70</v>
      </c>
      <c r="F63" s="14">
        <v>26</v>
      </c>
      <c r="G63" s="14">
        <v>2</v>
      </c>
      <c r="H63" s="14">
        <v>19</v>
      </c>
      <c r="I63" s="14">
        <v>10</v>
      </c>
      <c r="J63" s="14" t="s">
        <v>204</v>
      </c>
      <c r="K63" s="14" cm="1">
        <f t="array" ref="K63">INT(SUMPRODUCT(--ISNUMBER(SEARCH(economy,C63)))&gt;0)</f>
        <v>1</v>
      </c>
      <c r="L63" s="14" cm="1">
        <f t="array" ref="L63">INT(SUMPRODUCT(--ISNUMBER(SEARCH(healthcare,C63)))&gt;0)</f>
        <v>0</v>
      </c>
      <c r="M63" s="14" cm="1">
        <f t="array" ref="M63">INT(SUMPRODUCT(--ISNUMBER(SEARCH(supreme,C63)))&gt;0)</f>
        <v>0</v>
      </c>
      <c r="N63" s="14" cm="1">
        <f t="array" ref="N63">INT(SUMPRODUCT(--ISNUMBER(SEARCH(covid,C63)))&gt;0)</f>
        <v>0</v>
      </c>
      <c r="O63" s="14" cm="1">
        <f t="array" ref="O63">INT(SUMPRODUCT(--ISNUMBER(SEARCH(violent,C63)))&gt;0)</f>
        <v>0</v>
      </c>
      <c r="P63" s="14" cm="1">
        <f t="array" ref="P63">INT(SUMPRODUCT(--ISNUMBER(SEARCH(foreign,C63)))&gt;0)</f>
        <v>0</v>
      </c>
      <c r="Q63" s="14" cm="1">
        <f t="array" ref="Q63">INT(SUMPRODUCT(--ISNUMBER(SEARCH(gun,C63)))&gt;0)</f>
        <v>0</v>
      </c>
      <c r="R63" s="14" cm="1">
        <f t="array" ref="R63">INT(SUMPRODUCT(--ISNUMBER(SEARCH(race,C63)))&gt;0)</f>
        <v>0</v>
      </c>
      <c r="S63" s="14" cm="1">
        <f t="array" ref="S63">INT(SUMPRODUCT(--ISNUMBER(SEARCH(immigration,C63)))&gt;0)</f>
        <v>0</v>
      </c>
      <c r="T63" s="14" cm="1">
        <f t="array" ref="T63">INT(SUMPRODUCT(--ISNUMBER(SEARCH(econineq,C64)))&gt;0)</f>
        <v>0</v>
      </c>
      <c r="U63" s="14" cm="1">
        <f t="array" ref="U63">INT(SUMPRODUCT(--ISNUMBER(SEARCH(climate,C63)))&gt;0)</f>
        <v>0</v>
      </c>
      <c r="V63" s="14" cm="1">
        <f t="array" ref="V63">INT(SUMPRODUCT(--ISNUMBER(SEARCH(abortion,C63)))&gt;0)</f>
        <v>0</v>
      </c>
      <c r="W63" s="14" cm="1">
        <f t="array" ref="W63">INT(SUMPRODUCT(--ISNUMBER(SEARCH(trump,C63)))&gt;0)</f>
        <v>0</v>
      </c>
      <c r="X63" s="14" cm="1">
        <f t="array" ref="X63">INT(SUMPRODUCT(--ISNUMBER(SEARCH(voting,C63)))&gt;0)</f>
        <v>1</v>
      </c>
      <c r="Y63" s="14" cm="1">
        <f t="array" ref="Y63">INT(SUMPRODUCT(--ISNUMBER(SEARCH(democrattrigger,C63)))&gt;0)</f>
        <v>0</v>
      </c>
      <c r="Z63" s="14" cm="1">
        <f t="array" ref="Z63">INT(SUMPRODUCT(--ISNUMBER(SEARCH(bipartisan,C63)))&gt;0)</f>
        <v>1</v>
      </c>
      <c r="AA63" s="14">
        <f t="shared" si="0"/>
        <v>0</v>
      </c>
      <c r="AB63" s="14"/>
      <c r="AC63" s="30" t="s">
        <v>223</v>
      </c>
      <c r="AD63" s="37" t="s">
        <v>223</v>
      </c>
    </row>
    <row r="64" spans="1:30" x14ac:dyDescent="0.25">
      <c r="A64" s="36">
        <v>4259</v>
      </c>
      <c r="B64" s="14" t="s">
        <v>8541</v>
      </c>
      <c r="C64" s="14" t="s">
        <v>8542</v>
      </c>
      <c r="D64" s="17">
        <v>44125</v>
      </c>
      <c r="E64" s="14" t="s">
        <v>30</v>
      </c>
      <c r="F64" s="14">
        <v>215</v>
      </c>
      <c r="G64" s="14">
        <v>49</v>
      </c>
      <c r="H64" s="14">
        <v>19</v>
      </c>
      <c r="I64" s="14">
        <v>10</v>
      </c>
      <c r="J64" s="14" t="s">
        <v>204</v>
      </c>
      <c r="K64" s="14" cm="1">
        <f t="array" ref="K64">INT(SUMPRODUCT(--ISNUMBER(SEARCH(economy,C64)))&gt;0)</f>
        <v>1</v>
      </c>
      <c r="L64" s="14" cm="1">
        <f t="array" ref="L64">INT(SUMPRODUCT(--ISNUMBER(SEARCH(healthcare,C64)))&gt;0)</f>
        <v>0</v>
      </c>
      <c r="M64" s="14" cm="1">
        <f t="array" ref="M64">INT(SUMPRODUCT(--ISNUMBER(SEARCH(supreme,C64)))&gt;0)</f>
        <v>0</v>
      </c>
      <c r="N64" s="14" cm="1">
        <f t="array" ref="N64">INT(SUMPRODUCT(--ISNUMBER(SEARCH(covid,C64)))&gt;0)</f>
        <v>0</v>
      </c>
      <c r="O64" s="14" cm="1">
        <f t="array" ref="O64">INT(SUMPRODUCT(--ISNUMBER(SEARCH(violent,C64)))&gt;0)</f>
        <v>0</v>
      </c>
      <c r="P64" s="14" cm="1">
        <f t="array" ref="P64">INT(SUMPRODUCT(--ISNUMBER(SEARCH(foreign,C64)))&gt;0)</f>
        <v>0</v>
      </c>
      <c r="Q64" s="14" cm="1">
        <f t="array" ref="Q64">INT(SUMPRODUCT(--ISNUMBER(SEARCH(gun,C64)))&gt;0)</f>
        <v>0</v>
      </c>
      <c r="R64" s="14" cm="1">
        <f t="array" ref="R64">INT(SUMPRODUCT(--ISNUMBER(SEARCH(race,C64)))&gt;0)</f>
        <v>0</v>
      </c>
      <c r="S64" s="14" cm="1">
        <f t="array" ref="S64">INT(SUMPRODUCT(--ISNUMBER(SEARCH(immigration,C64)))&gt;0)</f>
        <v>0</v>
      </c>
      <c r="T64" s="14" cm="1">
        <f t="array" ref="T64">INT(SUMPRODUCT(--ISNUMBER(SEARCH(econineq,C65)))&gt;0)</f>
        <v>0</v>
      </c>
      <c r="U64" s="14" cm="1">
        <f t="array" ref="U64">INT(SUMPRODUCT(--ISNUMBER(SEARCH(climate,C64)))&gt;0)</f>
        <v>0</v>
      </c>
      <c r="V64" s="14" cm="1">
        <f t="array" ref="V64">INT(SUMPRODUCT(--ISNUMBER(SEARCH(abortion,C64)))&gt;0)</f>
        <v>0</v>
      </c>
      <c r="W64" s="14" cm="1">
        <f t="array" ref="W64">INT(SUMPRODUCT(--ISNUMBER(SEARCH(trump,C64)))&gt;0)</f>
        <v>0</v>
      </c>
      <c r="X64" s="14" cm="1">
        <f t="array" ref="X64">INT(SUMPRODUCT(--ISNUMBER(SEARCH(voting,C64)))&gt;0)</f>
        <v>0</v>
      </c>
      <c r="Y64" s="14" cm="1">
        <f t="array" ref="Y64">INT(SUMPRODUCT(--ISNUMBER(SEARCH(democrattrigger,C64)))&gt;0)</f>
        <v>0</v>
      </c>
      <c r="Z64" s="14" cm="1">
        <f t="array" ref="Z64">INT(SUMPRODUCT(--ISNUMBER(SEARCH(bipartisan,C64)))&gt;0)</f>
        <v>0</v>
      </c>
      <c r="AA64" s="14">
        <f t="shared" si="0"/>
        <v>0</v>
      </c>
      <c r="AB64" s="14"/>
      <c r="AC64" s="30" t="s">
        <v>223</v>
      </c>
      <c r="AD64" s="37" t="s">
        <v>223</v>
      </c>
    </row>
    <row r="65" spans="1:30" x14ac:dyDescent="0.25">
      <c r="A65" s="36">
        <v>4260</v>
      </c>
      <c r="B65" s="14" t="s">
        <v>8543</v>
      </c>
      <c r="C65" s="14" t="s">
        <v>8544</v>
      </c>
      <c r="D65" s="17">
        <v>44125</v>
      </c>
      <c r="E65" s="14" t="s">
        <v>30</v>
      </c>
      <c r="F65" s="14">
        <v>129</v>
      </c>
      <c r="G65" s="14">
        <v>35</v>
      </c>
      <c r="H65" s="14">
        <v>19</v>
      </c>
      <c r="I65" s="14">
        <v>10</v>
      </c>
      <c r="J65" s="14" t="s">
        <v>204</v>
      </c>
      <c r="K65" s="14" cm="1">
        <f t="array" ref="K65">INT(SUMPRODUCT(--ISNUMBER(SEARCH(economy,C65)))&gt;0)</f>
        <v>0</v>
      </c>
      <c r="L65" s="14" cm="1">
        <f t="array" ref="L65">INT(SUMPRODUCT(--ISNUMBER(SEARCH(healthcare,C65)))&gt;0)</f>
        <v>1</v>
      </c>
      <c r="M65" s="14" cm="1">
        <f t="array" ref="M65">INT(SUMPRODUCT(--ISNUMBER(SEARCH(supreme,C65)))&gt;0)</f>
        <v>1</v>
      </c>
      <c r="N65" s="14" cm="1">
        <f t="array" ref="N65">INT(SUMPRODUCT(--ISNUMBER(SEARCH(covid,C65)))&gt;0)</f>
        <v>0</v>
      </c>
      <c r="O65" s="14" cm="1">
        <f t="array" ref="O65">INT(SUMPRODUCT(--ISNUMBER(SEARCH(violent,C65)))&gt;0)</f>
        <v>0</v>
      </c>
      <c r="P65" s="14" cm="1">
        <f t="array" ref="P65">INT(SUMPRODUCT(--ISNUMBER(SEARCH(foreign,C65)))&gt;0)</f>
        <v>0</v>
      </c>
      <c r="Q65" s="14" cm="1">
        <f t="array" ref="Q65">INT(SUMPRODUCT(--ISNUMBER(SEARCH(gun,C65)))&gt;0)</f>
        <v>0</v>
      </c>
      <c r="R65" s="14" cm="1">
        <f t="array" ref="R65">INT(SUMPRODUCT(--ISNUMBER(SEARCH(race,C65)))&gt;0)</f>
        <v>0</v>
      </c>
      <c r="S65" s="14" cm="1">
        <f t="array" ref="S65">INT(SUMPRODUCT(--ISNUMBER(SEARCH(immigration,C65)))&gt;0)</f>
        <v>0</v>
      </c>
      <c r="T65" s="14" cm="1">
        <f t="array" ref="T65">INT(SUMPRODUCT(--ISNUMBER(SEARCH(econineq,C66)))&gt;0)</f>
        <v>0</v>
      </c>
      <c r="U65" s="14" cm="1">
        <f t="array" ref="U65">INT(SUMPRODUCT(--ISNUMBER(SEARCH(climate,C65)))&gt;0)</f>
        <v>0</v>
      </c>
      <c r="V65" s="14" cm="1">
        <f t="array" ref="V65">INT(SUMPRODUCT(--ISNUMBER(SEARCH(abortion,C65)))&gt;0)</f>
        <v>0</v>
      </c>
      <c r="W65" s="14" cm="1">
        <f t="array" ref="W65">INT(SUMPRODUCT(--ISNUMBER(SEARCH(trump,C65)))&gt;0)</f>
        <v>0</v>
      </c>
      <c r="X65" s="14" cm="1">
        <f t="array" ref="X65">INT(SUMPRODUCT(--ISNUMBER(SEARCH(voting,C65)))&gt;0)</f>
        <v>0</v>
      </c>
      <c r="Y65" s="14" cm="1">
        <f t="array" ref="Y65">INT(SUMPRODUCT(--ISNUMBER(SEARCH(democrattrigger,C65)))&gt;0)</f>
        <v>0</v>
      </c>
      <c r="Z65" s="14" cm="1">
        <f t="array" ref="Z65">INT(SUMPRODUCT(--ISNUMBER(SEARCH(bipartisan,C65)))&gt;0)</f>
        <v>0</v>
      </c>
      <c r="AA65" s="14">
        <f t="shared" si="0"/>
        <v>0</v>
      </c>
      <c r="AB65" s="14"/>
      <c r="AC65" s="30" t="s">
        <v>223</v>
      </c>
      <c r="AD65" s="37" t="s">
        <v>223</v>
      </c>
    </row>
    <row r="66" spans="1:30" x14ac:dyDescent="0.25">
      <c r="A66" s="36">
        <v>4261</v>
      </c>
      <c r="B66" s="14" t="s">
        <v>8545</v>
      </c>
      <c r="C66" s="14" t="s">
        <v>8546</v>
      </c>
      <c r="D66" s="17">
        <v>44125</v>
      </c>
      <c r="E66" s="14" t="s">
        <v>30</v>
      </c>
      <c r="F66" s="14">
        <v>203</v>
      </c>
      <c r="G66" s="14">
        <v>146</v>
      </c>
      <c r="H66" s="14">
        <v>19</v>
      </c>
      <c r="I66" s="14">
        <v>10</v>
      </c>
      <c r="J66" s="14" t="s">
        <v>204</v>
      </c>
      <c r="K66" s="14" cm="1">
        <f t="array" ref="K66">INT(SUMPRODUCT(--ISNUMBER(SEARCH(economy,C66)))&gt;0)</f>
        <v>0</v>
      </c>
      <c r="L66" s="14" cm="1">
        <f t="array" ref="L66">INT(SUMPRODUCT(--ISNUMBER(SEARCH(healthcare,C66)))&gt;0)</f>
        <v>0</v>
      </c>
      <c r="M66" s="14" cm="1">
        <f t="array" ref="M66">INT(SUMPRODUCT(--ISNUMBER(SEARCH(supreme,C66)))&gt;0)</f>
        <v>0</v>
      </c>
      <c r="N66" s="14" cm="1">
        <f t="array" ref="N66">INT(SUMPRODUCT(--ISNUMBER(SEARCH(covid,C66)))&gt;0)</f>
        <v>0</v>
      </c>
      <c r="O66" s="14" cm="1">
        <f t="array" ref="O66">INT(SUMPRODUCT(--ISNUMBER(SEARCH(violent,C66)))&gt;0)</f>
        <v>0</v>
      </c>
      <c r="P66" s="14" cm="1">
        <f t="array" ref="P66">INT(SUMPRODUCT(--ISNUMBER(SEARCH(foreign,C66)))&gt;0)</f>
        <v>0</v>
      </c>
      <c r="Q66" s="14" cm="1">
        <f t="array" ref="Q66">INT(SUMPRODUCT(--ISNUMBER(SEARCH(gun,C66)))&gt;0)</f>
        <v>0</v>
      </c>
      <c r="R66" s="14" cm="1">
        <f t="array" ref="R66">INT(SUMPRODUCT(--ISNUMBER(SEARCH(race,C66)))&gt;0)</f>
        <v>1</v>
      </c>
      <c r="S66" s="14" cm="1">
        <f t="array" ref="S66">INT(SUMPRODUCT(--ISNUMBER(SEARCH(immigration,C66)))&gt;0)</f>
        <v>0</v>
      </c>
      <c r="T66" s="14" cm="1">
        <f t="array" ref="T66">INT(SUMPRODUCT(--ISNUMBER(SEARCH(econineq,C67)))&gt;0)</f>
        <v>0</v>
      </c>
      <c r="U66" s="14" cm="1">
        <f t="array" ref="U66">INT(SUMPRODUCT(--ISNUMBER(SEARCH(climate,C66)))&gt;0)</f>
        <v>0</v>
      </c>
      <c r="V66" s="14" cm="1">
        <f t="array" ref="V66">INT(SUMPRODUCT(--ISNUMBER(SEARCH(abortion,C66)))&gt;0)</f>
        <v>0</v>
      </c>
      <c r="W66" s="14" cm="1">
        <f t="array" ref="W66">INT(SUMPRODUCT(--ISNUMBER(SEARCH(trump,C66)))&gt;0)</f>
        <v>0</v>
      </c>
      <c r="X66" s="14" cm="1">
        <f t="array" ref="X66">INT(SUMPRODUCT(--ISNUMBER(SEARCH(voting,C66)))&gt;0)</f>
        <v>0</v>
      </c>
      <c r="Y66" s="14" cm="1">
        <f t="array" ref="Y66">INT(SUMPRODUCT(--ISNUMBER(SEARCH(democrattrigger,C66)))&gt;0)</f>
        <v>0</v>
      </c>
      <c r="Z66" s="14" cm="1">
        <f t="array" ref="Z66">INT(SUMPRODUCT(--ISNUMBER(SEARCH(bipartisan,C66)))&gt;0)</f>
        <v>0</v>
      </c>
      <c r="AA66" s="14">
        <f t="shared" si="0"/>
        <v>0</v>
      </c>
      <c r="AB66" s="14"/>
      <c r="AC66" s="30" t="s">
        <v>223</v>
      </c>
      <c r="AD66" s="37" t="s">
        <v>223</v>
      </c>
    </row>
    <row r="67" spans="1:30" x14ac:dyDescent="0.25">
      <c r="A67" s="36">
        <v>4262</v>
      </c>
      <c r="B67" s="14" t="s">
        <v>8547</v>
      </c>
      <c r="C67" s="14" t="s">
        <v>8548</v>
      </c>
      <c r="D67" s="17">
        <v>44124</v>
      </c>
      <c r="E67" s="14" t="s">
        <v>30</v>
      </c>
      <c r="F67" s="14">
        <v>369</v>
      </c>
      <c r="G67" s="14">
        <v>83</v>
      </c>
      <c r="H67" s="14">
        <v>19</v>
      </c>
      <c r="I67" s="14">
        <v>10</v>
      </c>
      <c r="J67" s="14" t="s">
        <v>204</v>
      </c>
      <c r="K67" s="14" cm="1">
        <f t="array" ref="K67">INT(SUMPRODUCT(--ISNUMBER(SEARCH(economy,C67)))&gt;0)</f>
        <v>0</v>
      </c>
      <c r="L67" s="14" cm="1">
        <f t="array" ref="L67">INT(SUMPRODUCT(--ISNUMBER(SEARCH(healthcare,C67)))&gt;0)</f>
        <v>0</v>
      </c>
      <c r="M67" s="14" cm="1">
        <f t="array" ref="M67">INT(SUMPRODUCT(--ISNUMBER(SEARCH(supreme,C67)))&gt;0)</f>
        <v>1</v>
      </c>
      <c r="N67" s="14" cm="1">
        <f t="array" ref="N67">INT(SUMPRODUCT(--ISNUMBER(SEARCH(covid,C67)))&gt;0)</f>
        <v>0</v>
      </c>
      <c r="O67" s="14" cm="1">
        <f t="array" ref="O67">INT(SUMPRODUCT(--ISNUMBER(SEARCH(violent,C67)))&gt;0)</f>
        <v>0</v>
      </c>
      <c r="P67" s="14" cm="1">
        <f t="array" ref="P67">INT(SUMPRODUCT(--ISNUMBER(SEARCH(foreign,C67)))&gt;0)</f>
        <v>0</v>
      </c>
      <c r="Q67" s="14" cm="1">
        <f t="array" ref="Q67">INT(SUMPRODUCT(--ISNUMBER(SEARCH(gun,C67)))&gt;0)</f>
        <v>0</v>
      </c>
      <c r="R67" s="14" cm="1">
        <f t="array" ref="R67">INT(SUMPRODUCT(--ISNUMBER(SEARCH(race,C67)))&gt;0)</f>
        <v>0</v>
      </c>
      <c r="S67" s="14" cm="1">
        <f t="array" ref="S67">INT(SUMPRODUCT(--ISNUMBER(SEARCH(immigration,C67)))&gt;0)</f>
        <v>0</v>
      </c>
      <c r="T67" s="14" cm="1">
        <f t="array" ref="T67">INT(SUMPRODUCT(--ISNUMBER(SEARCH(econineq,C68)))&gt;0)</f>
        <v>0</v>
      </c>
      <c r="U67" s="14" cm="1">
        <f t="array" ref="U67">INT(SUMPRODUCT(--ISNUMBER(SEARCH(climate,C67)))&gt;0)</f>
        <v>0</v>
      </c>
      <c r="V67" s="14" cm="1">
        <f t="array" ref="V67">INT(SUMPRODUCT(--ISNUMBER(SEARCH(abortion,C67)))&gt;0)</f>
        <v>0</v>
      </c>
      <c r="W67" s="14" cm="1">
        <f t="array" ref="W67">INT(SUMPRODUCT(--ISNUMBER(SEARCH(trump,C67)))&gt;0)</f>
        <v>0</v>
      </c>
      <c r="X67" s="14" cm="1">
        <f t="array" ref="X67">INT(SUMPRODUCT(--ISNUMBER(SEARCH(voting,C67)))&gt;0)</f>
        <v>0</v>
      </c>
      <c r="Y67" s="14" cm="1">
        <f t="array" ref="Y67">INT(SUMPRODUCT(--ISNUMBER(SEARCH(democrattrigger,C67)))&gt;0)</f>
        <v>0</v>
      </c>
      <c r="Z67" s="14" cm="1">
        <f t="array" ref="Z67">INT(SUMPRODUCT(--ISNUMBER(SEARCH(bipartisan,C67)))&gt;0)</f>
        <v>0</v>
      </c>
      <c r="AA67" s="14">
        <f t="shared" ref="AA67:AA126" si="1">INT(IF(COUNTIF(K67:Z67,1)=0,"1","0"))</f>
        <v>0</v>
      </c>
      <c r="AB67" s="14"/>
      <c r="AC67" s="30">
        <v>1</v>
      </c>
      <c r="AD67" s="37">
        <v>0</v>
      </c>
    </row>
    <row r="68" spans="1:30" x14ac:dyDescent="0.25">
      <c r="A68" s="36">
        <v>4263</v>
      </c>
      <c r="B68" s="14" t="s">
        <v>8549</v>
      </c>
      <c r="C68" s="14" t="s">
        <v>8550</v>
      </c>
      <c r="D68" s="17">
        <v>44124</v>
      </c>
      <c r="E68" s="14" t="s">
        <v>30</v>
      </c>
      <c r="F68" s="14">
        <v>578</v>
      </c>
      <c r="G68" s="14">
        <v>112</v>
      </c>
      <c r="H68" s="14">
        <v>19</v>
      </c>
      <c r="I68" s="14">
        <v>10</v>
      </c>
      <c r="J68" s="14" t="s">
        <v>204</v>
      </c>
      <c r="K68" s="14" cm="1">
        <f t="array" ref="K68">INT(SUMPRODUCT(--ISNUMBER(SEARCH(economy,C68)))&gt;0)</f>
        <v>0</v>
      </c>
      <c r="L68" s="14" cm="1">
        <f t="array" ref="L68">INT(SUMPRODUCT(--ISNUMBER(SEARCH(healthcare,C68)))&gt;0)</f>
        <v>0</v>
      </c>
      <c r="M68" s="14" cm="1">
        <f t="array" ref="M68">INT(SUMPRODUCT(--ISNUMBER(SEARCH(supreme,C68)))&gt;0)</f>
        <v>0</v>
      </c>
      <c r="N68" s="14" cm="1">
        <f t="array" ref="N68">INT(SUMPRODUCT(--ISNUMBER(SEARCH(covid,C68)))&gt;0)</f>
        <v>1</v>
      </c>
      <c r="O68" s="14" cm="1">
        <f t="array" ref="O68">INT(SUMPRODUCT(--ISNUMBER(SEARCH(violent,C68)))&gt;0)</f>
        <v>0</v>
      </c>
      <c r="P68" s="14" cm="1">
        <f t="array" ref="P68">INT(SUMPRODUCT(--ISNUMBER(SEARCH(foreign,C68)))&gt;0)</f>
        <v>0</v>
      </c>
      <c r="Q68" s="14" cm="1">
        <f t="array" ref="Q68">INT(SUMPRODUCT(--ISNUMBER(SEARCH(gun,C68)))&gt;0)</f>
        <v>0</v>
      </c>
      <c r="R68" s="14" cm="1">
        <f t="array" ref="R68">INT(SUMPRODUCT(--ISNUMBER(SEARCH(race,C68)))&gt;0)</f>
        <v>0</v>
      </c>
      <c r="S68" s="14" cm="1">
        <f t="array" ref="S68">INT(SUMPRODUCT(--ISNUMBER(SEARCH(immigration,C68)))&gt;0)</f>
        <v>0</v>
      </c>
      <c r="T68" s="14" cm="1">
        <f t="array" ref="T68">INT(SUMPRODUCT(--ISNUMBER(SEARCH(econineq,C69)))&gt;0)</f>
        <v>0</v>
      </c>
      <c r="U68" s="14" cm="1">
        <f t="array" ref="U68">INT(SUMPRODUCT(--ISNUMBER(SEARCH(climate,C68)))&gt;0)</f>
        <v>0</v>
      </c>
      <c r="V68" s="14" cm="1">
        <f t="array" ref="V68">INT(SUMPRODUCT(--ISNUMBER(SEARCH(abortion,C68)))&gt;0)</f>
        <v>0</v>
      </c>
      <c r="W68" s="14" cm="1">
        <f t="array" ref="W68">INT(SUMPRODUCT(--ISNUMBER(SEARCH(trump,C68)))&gt;0)</f>
        <v>0</v>
      </c>
      <c r="X68" s="14" cm="1">
        <f t="array" ref="X68">INT(SUMPRODUCT(--ISNUMBER(SEARCH(voting,C68)))&gt;0)</f>
        <v>1</v>
      </c>
      <c r="Y68" s="14" cm="1">
        <f t="array" ref="Y68">INT(SUMPRODUCT(--ISNUMBER(SEARCH(democrattrigger,C68)))&gt;0)</f>
        <v>0</v>
      </c>
      <c r="Z68" s="14" cm="1">
        <f t="array" ref="Z68">INT(SUMPRODUCT(--ISNUMBER(SEARCH(bipartisan,C68)))&gt;0)</f>
        <v>0</v>
      </c>
      <c r="AA68" s="14">
        <f t="shared" si="1"/>
        <v>0</v>
      </c>
      <c r="AB68" s="14"/>
      <c r="AC68" s="30" t="s">
        <v>223</v>
      </c>
      <c r="AD68" s="37" t="s">
        <v>223</v>
      </c>
    </row>
    <row r="69" spans="1:30" x14ac:dyDescent="0.25">
      <c r="A69" s="36">
        <v>4264</v>
      </c>
      <c r="B69" s="14" t="s">
        <v>8551</v>
      </c>
      <c r="C69" s="14" t="s">
        <v>8552</v>
      </c>
      <c r="D69" s="17">
        <v>44124</v>
      </c>
      <c r="E69" s="14" t="s">
        <v>30</v>
      </c>
      <c r="F69" s="14">
        <v>1667</v>
      </c>
      <c r="G69" s="14">
        <v>483</v>
      </c>
      <c r="H69" s="14">
        <v>19</v>
      </c>
      <c r="I69" s="14">
        <v>10</v>
      </c>
      <c r="J69" s="14" t="s">
        <v>204</v>
      </c>
      <c r="K69" s="14" cm="1">
        <f t="array" ref="K69">INT(SUMPRODUCT(--ISNUMBER(SEARCH(economy,C69)))&gt;0)</f>
        <v>0</v>
      </c>
      <c r="L69" s="14" cm="1">
        <f t="array" ref="L69">INT(SUMPRODUCT(--ISNUMBER(SEARCH(healthcare,C69)))&gt;0)</f>
        <v>1</v>
      </c>
      <c r="M69" s="14" cm="1">
        <f t="array" ref="M69">INT(SUMPRODUCT(--ISNUMBER(SEARCH(supreme,C69)))&gt;0)</f>
        <v>1</v>
      </c>
      <c r="N69" s="14" cm="1">
        <f t="array" ref="N69">INT(SUMPRODUCT(--ISNUMBER(SEARCH(covid,C69)))&gt;0)</f>
        <v>0</v>
      </c>
      <c r="O69" s="14" cm="1">
        <f t="array" ref="O69">INT(SUMPRODUCT(--ISNUMBER(SEARCH(violent,C69)))&gt;0)</f>
        <v>0</v>
      </c>
      <c r="P69" s="14" cm="1">
        <f t="array" ref="P69">INT(SUMPRODUCT(--ISNUMBER(SEARCH(foreign,C69)))&gt;0)</f>
        <v>0</v>
      </c>
      <c r="Q69" s="14" cm="1">
        <f t="array" ref="Q69">INT(SUMPRODUCT(--ISNUMBER(SEARCH(gun,C69)))&gt;0)</f>
        <v>0</v>
      </c>
      <c r="R69" s="14" cm="1">
        <f t="array" ref="R69">INT(SUMPRODUCT(--ISNUMBER(SEARCH(race,C69)))&gt;0)</f>
        <v>0</v>
      </c>
      <c r="S69" s="14" cm="1">
        <f t="array" ref="S69">INT(SUMPRODUCT(--ISNUMBER(SEARCH(immigration,C69)))&gt;0)</f>
        <v>0</v>
      </c>
      <c r="T69" s="14" cm="1">
        <f t="array" ref="T69">INT(SUMPRODUCT(--ISNUMBER(SEARCH(econineq,C70)))&gt;0)</f>
        <v>0</v>
      </c>
      <c r="U69" s="14" cm="1">
        <f t="array" ref="U69">INT(SUMPRODUCT(--ISNUMBER(SEARCH(climate,C69)))&gt;0)</f>
        <v>0</v>
      </c>
      <c r="V69" s="14" cm="1">
        <f t="array" ref="V69">INT(SUMPRODUCT(--ISNUMBER(SEARCH(abortion,C69)))&gt;0)</f>
        <v>0</v>
      </c>
      <c r="W69" s="14" cm="1">
        <f t="array" ref="W69">INT(SUMPRODUCT(--ISNUMBER(SEARCH(trump,C69)))&gt;0)</f>
        <v>0</v>
      </c>
      <c r="X69" s="14" cm="1">
        <f t="array" ref="X69">INT(SUMPRODUCT(--ISNUMBER(SEARCH(voting,C69)))&gt;0)</f>
        <v>1</v>
      </c>
      <c r="Y69" s="14" cm="1">
        <f t="array" ref="Y69">INT(SUMPRODUCT(--ISNUMBER(SEARCH(democrattrigger,C69)))&gt;0)</f>
        <v>0</v>
      </c>
      <c r="Z69" s="14" cm="1">
        <f t="array" ref="Z69">INT(SUMPRODUCT(--ISNUMBER(SEARCH(bipartisan,C69)))&gt;0)</f>
        <v>0</v>
      </c>
      <c r="AA69" s="14">
        <f t="shared" si="1"/>
        <v>0</v>
      </c>
      <c r="AB69" s="14"/>
      <c r="AC69" s="30" t="s">
        <v>223</v>
      </c>
      <c r="AD69" s="37" t="s">
        <v>223</v>
      </c>
    </row>
    <row r="70" spans="1:30" x14ac:dyDescent="0.25">
      <c r="A70" s="36">
        <v>4265</v>
      </c>
      <c r="B70" s="14" t="s">
        <v>8553</v>
      </c>
      <c r="C70" s="14" t="s">
        <v>8554</v>
      </c>
      <c r="D70" s="17">
        <v>44123</v>
      </c>
      <c r="E70" s="14" t="s">
        <v>30</v>
      </c>
      <c r="F70" s="14">
        <v>141</v>
      </c>
      <c r="G70" s="14">
        <v>54</v>
      </c>
      <c r="H70" s="14">
        <v>19</v>
      </c>
      <c r="I70" s="14">
        <v>10</v>
      </c>
      <c r="J70" s="14" t="s">
        <v>204</v>
      </c>
      <c r="K70" s="14" cm="1">
        <f t="array" ref="K70">INT(SUMPRODUCT(--ISNUMBER(SEARCH(economy,C70)))&gt;0)</f>
        <v>0</v>
      </c>
      <c r="L70" s="14" cm="1">
        <f t="array" ref="L70">INT(SUMPRODUCT(--ISNUMBER(SEARCH(healthcare,C70)))&gt;0)</f>
        <v>1</v>
      </c>
      <c r="M70" s="14" cm="1">
        <f t="array" ref="M70">INT(SUMPRODUCT(--ISNUMBER(SEARCH(supreme,C70)))&gt;0)</f>
        <v>0</v>
      </c>
      <c r="N70" s="14" cm="1">
        <f t="array" ref="N70">INT(SUMPRODUCT(--ISNUMBER(SEARCH(covid,C70)))&gt;0)</f>
        <v>0</v>
      </c>
      <c r="O70" s="14" cm="1">
        <f t="array" ref="O70">INT(SUMPRODUCT(--ISNUMBER(SEARCH(violent,C70)))&gt;0)</f>
        <v>0</v>
      </c>
      <c r="P70" s="14" cm="1">
        <f t="array" ref="P70">INT(SUMPRODUCT(--ISNUMBER(SEARCH(foreign,C70)))&gt;0)</f>
        <v>0</v>
      </c>
      <c r="Q70" s="14" cm="1">
        <f t="array" ref="Q70">INT(SUMPRODUCT(--ISNUMBER(SEARCH(gun,C70)))&gt;0)</f>
        <v>0</v>
      </c>
      <c r="R70" s="14" cm="1">
        <f t="array" ref="R70">INT(SUMPRODUCT(--ISNUMBER(SEARCH(race,C70)))&gt;0)</f>
        <v>0</v>
      </c>
      <c r="S70" s="14" cm="1">
        <f t="array" ref="S70">INT(SUMPRODUCT(--ISNUMBER(SEARCH(immigration,C70)))&gt;0)</f>
        <v>0</v>
      </c>
      <c r="T70" s="14" cm="1">
        <f t="array" ref="T70">INT(SUMPRODUCT(--ISNUMBER(SEARCH(econineq,C71)))&gt;0)</f>
        <v>0</v>
      </c>
      <c r="U70" s="14" cm="1">
        <f t="array" ref="U70">INT(SUMPRODUCT(--ISNUMBER(SEARCH(climate,C70)))&gt;0)</f>
        <v>0</v>
      </c>
      <c r="V70" s="14" cm="1">
        <f t="array" ref="V70">INT(SUMPRODUCT(--ISNUMBER(SEARCH(abortion,C70)))&gt;0)</f>
        <v>0</v>
      </c>
      <c r="W70" s="14" cm="1">
        <f t="array" ref="W70">INT(SUMPRODUCT(--ISNUMBER(SEARCH(trump,C70)))&gt;0)</f>
        <v>0</v>
      </c>
      <c r="X70" s="14" cm="1">
        <f t="array" ref="X70">INT(SUMPRODUCT(--ISNUMBER(SEARCH(voting,C70)))&gt;0)</f>
        <v>0</v>
      </c>
      <c r="Y70" s="14" cm="1">
        <f t="array" ref="Y70">INT(SUMPRODUCT(--ISNUMBER(SEARCH(democrattrigger,C70)))&gt;0)</f>
        <v>0</v>
      </c>
      <c r="Z70" s="14" cm="1">
        <f t="array" ref="Z70">INT(SUMPRODUCT(--ISNUMBER(SEARCH(bipartisan,C70)))&gt;0)</f>
        <v>0</v>
      </c>
      <c r="AA70" s="14">
        <f t="shared" si="1"/>
        <v>0</v>
      </c>
      <c r="AB70" s="14"/>
      <c r="AC70" s="30">
        <v>1</v>
      </c>
      <c r="AD70" s="37">
        <v>0</v>
      </c>
    </row>
    <row r="71" spans="1:30" x14ac:dyDescent="0.25">
      <c r="A71" s="36">
        <v>4266</v>
      </c>
      <c r="B71" s="14" t="s">
        <v>8555</v>
      </c>
      <c r="C71" s="14" t="s">
        <v>8556</v>
      </c>
      <c r="D71" s="17">
        <v>44123</v>
      </c>
      <c r="E71" s="14" t="s">
        <v>30</v>
      </c>
      <c r="F71" s="14">
        <v>62</v>
      </c>
      <c r="G71" s="14">
        <v>21</v>
      </c>
      <c r="H71" s="14">
        <v>19</v>
      </c>
      <c r="I71" s="14">
        <v>10</v>
      </c>
      <c r="J71" s="14" t="s">
        <v>204</v>
      </c>
      <c r="K71" s="14" cm="1">
        <f t="array" ref="K71">INT(SUMPRODUCT(--ISNUMBER(SEARCH(economy,C71)))&gt;0)</f>
        <v>0</v>
      </c>
      <c r="L71" s="14" cm="1">
        <f t="array" ref="L71">INT(SUMPRODUCT(--ISNUMBER(SEARCH(healthcare,C71)))&gt;0)</f>
        <v>1</v>
      </c>
      <c r="M71" s="14" cm="1">
        <f t="array" ref="M71">INT(SUMPRODUCT(--ISNUMBER(SEARCH(supreme,C71)))&gt;0)</f>
        <v>0</v>
      </c>
      <c r="N71" s="14" cm="1">
        <f t="array" ref="N71">INT(SUMPRODUCT(--ISNUMBER(SEARCH(covid,C71)))&gt;0)</f>
        <v>0</v>
      </c>
      <c r="O71" s="14" cm="1">
        <f t="array" ref="O71">INT(SUMPRODUCT(--ISNUMBER(SEARCH(violent,C71)))&gt;0)</f>
        <v>0</v>
      </c>
      <c r="P71" s="14" cm="1">
        <f t="array" ref="P71">INT(SUMPRODUCT(--ISNUMBER(SEARCH(foreign,C71)))&gt;0)</f>
        <v>0</v>
      </c>
      <c r="Q71" s="14" cm="1">
        <f t="array" ref="Q71">INT(SUMPRODUCT(--ISNUMBER(SEARCH(gun,C71)))&gt;0)</f>
        <v>0</v>
      </c>
      <c r="R71" s="14" cm="1">
        <f t="array" ref="R71">INT(SUMPRODUCT(--ISNUMBER(SEARCH(race,C71)))&gt;0)</f>
        <v>0</v>
      </c>
      <c r="S71" s="14" cm="1">
        <f t="array" ref="S71">INT(SUMPRODUCT(--ISNUMBER(SEARCH(immigration,C71)))&gt;0)</f>
        <v>0</v>
      </c>
      <c r="T71" s="14" cm="1">
        <f t="array" ref="T71">INT(SUMPRODUCT(--ISNUMBER(SEARCH(econineq,C72)))&gt;0)</f>
        <v>0</v>
      </c>
      <c r="U71" s="14" cm="1">
        <f t="array" ref="U71">INT(SUMPRODUCT(--ISNUMBER(SEARCH(climate,C71)))&gt;0)</f>
        <v>0</v>
      </c>
      <c r="V71" s="14" cm="1">
        <f t="array" ref="V71">INT(SUMPRODUCT(--ISNUMBER(SEARCH(abortion,C71)))&gt;0)</f>
        <v>0</v>
      </c>
      <c r="W71" s="14" cm="1">
        <f t="array" ref="W71">INT(SUMPRODUCT(--ISNUMBER(SEARCH(trump,C71)))&gt;0)</f>
        <v>0</v>
      </c>
      <c r="X71" s="14" cm="1">
        <f t="array" ref="X71">INT(SUMPRODUCT(--ISNUMBER(SEARCH(voting,C71)))&gt;0)</f>
        <v>0</v>
      </c>
      <c r="Y71" s="14" cm="1">
        <f t="array" ref="Y71">INT(SUMPRODUCT(--ISNUMBER(SEARCH(democrattrigger,C71)))&gt;0)</f>
        <v>0</v>
      </c>
      <c r="Z71" s="14" cm="1">
        <f t="array" ref="Z71">INT(SUMPRODUCT(--ISNUMBER(SEARCH(bipartisan,C71)))&gt;0)</f>
        <v>0</v>
      </c>
      <c r="AA71" s="14">
        <f t="shared" si="1"/>
        <v>0</v>
      </c>
      <c r="AB71" s="14"/>
      <c r="AC71" s="30" t="s">
        <v>223</v>
      </c>
      <c r="AD71" s="37" t="s">
        <v>223</v>
      </c>
    </row>
    <row r="72" spans="1:30" x14ac:dyDescent="0.25">
      <c r="A72" s="36">
        <v>4267</v>
      </c>
      <c r="B72" s="14" t="s">
        <v>8557</v>
      </c>
      <c r="C72" s="14" t="s">
        <v>8558</v>
      </c>
      <c r="D72" s="17">
        <v>44123</v>
      </c>
      <c r="E72" s="14" t="s">
        <v>30</v>
      </c>
      <c r="F72" s="14">
        <v>664</v>
      </c>
      <c r="G72" s="14">
        <v>181</v>
      </c>
      <c r="H72" s="14">
        <v>19</v>
      </c>
      <c r="I72" s="14">
        <v>10</v>
      </c>
      <c r="J72" s="14" t="s">
        <v>204</v>
      </c>
      <c r="K72" s="14" cm="1">
        <f t="array" ref="K72">INT(SUMPRODUCT(--ISNUMBER(SEARCH(economy,C72)))&gt;0)</f>
        <v>0</v>
      </c>
      <c r="L72" s="14" cm="1">
        <f t="array" ref="L72">INT(SUMPRODUCT(--ISNUMBER(SEARCH(healthcare,C72)))&gt;0)</f>
        <v>0</v>
      </c>
      <c r="M72" s="14" cm="1">
        <f t="array" ref="M72">INT(SUMPRODUCT(--ISNUMBER(SEARCH(supreme,C72)))&gt;0)</f>
        <v>0</v>
      </c>
      <c r="N72" s="14" cm="1">
        <f t="array" ref="N72">INT(SUMPRODUCT(--ISNUMBER(SEARCH(covid,C72)))&gt;0)</f>
        <v>1</v>
      </c>
      <c r="O72" s="14" cm="1">
        <f t="array" ref="O72">INT(SUMPRODUCT(--ISNUMBER(SEARCH(violent,C72)))&gt;0)</f>
        <v>0</v>
      </c>
      <c r="P72" s="14" cm="1">
        <f t="array" ref="P72">INT(SUMPRODUCT(--ISNUMBER(SEARCH(foreign,C72)))&gt;0)</f>
        <v>0</v>
      </c>
      <c r="Q72" s="14" cm="1">
        <f t="array" ref="Q72">INT(SUMPRODUCT(--ISNUMBER(SEARCH(gun,C72)))&gt;0)</f>
        <v>0</v>
      </c>
      <c r="R72" s="14" cm="1">
        <f t="array" ref="R72">INT(SUMPRODUCT(--ISNUMBER(SEARCH(race,C72)))&gt;0)</f>
        <v>0</v>
      </c>
      <c r="S72" s="14" cm="1">
        <f t="array" ref="S72">INT(SUMPRODUCT(--ISNUMBER(SEARCH(immigration,C72)))&gt;0)</f>
        <v>0</v>
      </c>
      <c r="T72" s="14" cm="1">
        <f t="array" ref="T72">INT(SUMPRODUCT(--ISNUMBER(SEARCH(econineq,C73)))&gt;0)</f>
        <v>0</v>
      </c>
      <c r="U72" s="14" cm="1">
        <f t="array" ref="U72">INT(SUMPRODUCT(--ISNUMBER(SEARCH(climate,C72)))&gt;0)</f>
        <v>0</v>
      </c>
      <c r="V72" s="14" cm="1">
        <f t="array" ref="V72">INT(SUMPRODUCT(--ISNUMBER(SEARCH(abortion,C72)))&gt;0)</f>
        <v>0</v>
      </c>
      <c r="W72" s="14" cm="1">
        <f t="array" ref="W72">INT(SUMPRODUCT(--ISNUMBER(SEARCH(trump,C72)))&gt;0)</f>
        <v>0</v>
      </c>
      <c r="X72" s="14" cm="1">
        <f t="array" ref="X72">INT(SUMPRODUCT(--ISNUMBER(SEARCH(voting,C72)))&gt;0)</f>
        <v>0</v>
      </c>
      <c r="Y72" s="14" cm="1">
        <f t="array" ref="Y72">INT(SUMPRODUCT(--ISNUMBER(SEARCH(democrattrigger,C72)))&gt;0)</f>
        <v>0</v>
      </c>
      <c r="Z72" s="14" cm="1">
        <f t="array" ref="Z72">INT(SUMPRODUCT(--ISNUMBER(SEARCH(bipartisan,C72)))&gt;0)</f>
        <v>0</v>
      </c>
      <c r="AA72" s="14">
        <f t="shared" si="1"/>
        <v>0</v>
      </c>
      <c r="AB72" s="14"/>
      <c r="AC72" s="30" t="s">
        <v>223</v>
      </c>
      <c r="AD72" s="37" t="s">
        <v>223</v>
      </c>
    </row>
    <row r="73" spans="1:30" x14ac:dyDescent="0.25">
      <c r="A73" s="36">
        <v>4268</v>
      </c>
      <c r="B73" s="14" t="s">
        <v>8559</v>
      </c>
      <c r="C73" s="14" t="s">
        <v>8560</v>
      </c>
      <c r="D73" s="17">
        <v>44123</v>
      </c>
      <c r="E73" s="14" t="s">
        <v>30</v>
      </c>
      <c r="F73" s="14">
        <v>515</v>
      </c>
      <c r="G73" s="14">
        <v>132</v>
      </c>
      <c r="H73" s="14">
        <v>19</v>
      </c>
      <c r="I73" s="14">
        <v>10</v>
      </c>
      <c r="J73" s="14" t="s">
        <v>204</v>
      </c>
      <c r="K73" s="14" cm="1">
        <f t="array" ref="K73">INT(SUMPRODUCT(--ISNUMBER(SEARCH(economy,C73)))&gt;0)</f>
        <v>0</v>
      </c>
      <c r="L73" s="14" cm="1">
        <f t="array" ref="L73">INT(SUMPRODUCT(--ISNUMBER(SEARCH(healthcare,C73)))&gt;0)</f>
        <v>1</v>
      </c>
      <c r="M73" s="14" cm="1">
        <f t="array" ref="M73">INT(SUMPRODUCT(--ISNUMBER(SEARCH(supreme,C73)))&gt;0)</f>
        <v>0</v>
      </c>
      <c r="N73" s="14" cm="1">
        <f t="array" ref="N73">INT(SUMPRODUCT(--ISNUMBER(SEARCH(covid,C73)))&gt;0)</f>
        <v>1</v>
      </c>
      <c r="O73" s="14" cm="1">
        <f t="array" ref="O73">INT(SUMPRODUCT(--ISNUMBER(SEARCH(violent,C73)))&gt;0)</f>
        <v>0</v>
      </c>
      <c r="P73" s="14" cm="1">
        <f t="array" ref="P73">INT(SUMPRODUCT(--ISNUMBER(SEARCH(foreign,C73)))&gt;0)</f>
        <v>0</v>
      </c>
      <c r="Q73" s="14" cm="1">
        <f t="array" ref="Q73">INT(SUMPRODUCT(--ISNUMBER(SEARCH(gun,C73)))&gt;0)</f>
        <v>0</v>
      </c>
      <c r="R73" s="14" cm="1">
        <f t="array" ref="R73">INT(SUMPRODUCT(--ISNUMBER(SEARCH(race,C73)))&gt;0)</f>
        <v>0</v>
      </c>
      <c r="S73" s="14" cm="1">
        <f t="array" ref="S73">INT(SUMPRODUCT(--ISNUMBER(SEARCH(immigration,C73)))&gt;0)</f>
        <v>0</v>
      </c>
      <c r="T73" s="14" cm="1">
        <f t="array" ref="T73">INT(SUMPRODUCT(--ISNUMBER(SEARCH(econineq,C74)))&gt;0)</f>
        <v>0</v>
      </c>
      <c r="U73" s="14" cm="1">
        <f t="array" ref="U73">INT(SUMPRODUCT(--ISNUMBER(SEARCH(climate,C73)))&gt;0)</f>
        <v>0</v>
      </c>
      <c r="V73" s="14" cm="1">
        <f t="array" ref="V73">INT(SUMPRODUCT(--ISNUMBER(SEARCH(abortion,C73)))&gt;0)</f>
        <v>0</v>
      </c>
      <c r="W73" s="14" cm="1">
        <f t="array" ref="W73">INT(SUMPRODUCT(--ISNUMBER(SEARCH(trump,C73)))&gt;0)</f>
        <v>0</v>
      </c>
      <c r="X73" s="14" cm="1">
        <f t="array" ref="X73">INT(SUMPRODUCT(--ISNUMBER(SEARCH(voting,C73)))&gt;0)</f>
        <v>0</v>
      </c>
      <c r="Y73" s="14" cm="1">
        <f t="array" ref="Y73">INT(SUMPRODUCT(--ISNUMBER(SEARCH(democrattrigger,C73)))&gt;0)</f>
        <v>0</v>
      </c>
      <c r="Z73" s="14" cm="1">
        <f t="array" ref="Z73">INT(SUMPRODUCT(--ISNUMBER(SEARCH(bipartisan,C73)))&gt;0)</f>
        <v>0</v>
      </c>
      <c r="AA73" s="14">
        <f t="shared" si="1"/>
        <v>0</v>
      </c>
      <c r="AB73" s="14"/>
      <c r="AC73" s="30" t="s">
        <v>223</v>
      </c>
      <c r="AD73" s="37" t="s">
        <v>223</v>
      </c>
    </row>
    <row r="74" spans="1:30" x14ac:dyDescent="0.25">
      <c r="A74" s="36">
        <v>4269</v>
      </c>
      <c r="B74" s="14" t="s">
        <v>8561</v>
      </c>
      <c r="C74" s="14" t="s">
        <v>8562</v>
      </c>
      <c r="D74" s="17">
        <v>44122</v>
      </c>
      <c r="E74" s="14" t="s">
        <v>30</v>
      </c>
      <c r="F74" s="14">
        <v>167</v>
      </c>
      <c r="G74" s="14">
        <v>56</v>
      </c>
      <c r="H74" s="14">
        <v>19</v>
      </c>
      <c r="I74" s="14">
        <v>10</v>
      </c>
      <c r="J74" s="14" t="s">
        <v>204</v>
      </c>
      <c r="K74" s="14" cm="1">
        <f t="array" ref="K74">INT(SUMPRODUCT(--ISNUMBER(SEARCH(economy,C74)))&gt;0)</f>
        <v>1</v>
      </c>
      <c r="L74" s="14" cm="1">
        <f t="array" ref="L74">INT(SUMPRODUCT(--ISNUMBER(SEARCH(healthcare,C74)))&gt;0)</f>
        <v>1</v>
      </c>
      <c r="M74" s="14" cm="1">
        <f t="array" ref="M74">INT(SUMPRODUCT(--ISNUMBER(SEARCH(supreme,C74)))&gt;0)</f>
        <v>0</v>
      </c>
      <c r="N74" s="14" cm="1">
        <f t="array" ref="N74">INT(SUMPRODUCT(--ISNUMBER(SEARCH(covid,C74)))&gt;0)</f>
        <v>0</v>
      </c>
      <c r="O74" s="14" cm="1">
        <f t="array" ref="O74">INT(SUMPRODUCT(--ISNUMBER(SEARCH(violent,C74)))&gt;0)</f>
        <v>0</v>
      </c>
      <c r="P74" s="14" cm="1">
        <f t="array" ref="P74">INT(SUMPRODUCT(--ISNUMBER(SEARCH(foreign,C74)))&gt;0)</f>
        <v>0</v>
      </c>
      <c r="Q74" s="14" cm="1">
        <f t="array" ref="Q74">INT(SUMPRODUCT(--ISNUMBER(SEARCH(gun,C74)))&gt;0)</f>
        <v>0</v>
      </c>
      <c r="R74" s="14" cm="1">
        <f t="array" ref="R74">INT(SUMPRODUCT(--ISNUMBER(SEARCH(race,C74)))&gt;0)</f>
        <v>0</v>
      </c>
      <c r="S74" s="14" cm="1">
        <f t="array" ref="S74">INT(SUMPRODUCT(--ISNUMBER(SEARCH(immigration,C74)))&gt;0)</f>
        <v>0</v>
      </c>
      <c r="T74" s="14" cm="1">
        <f t="array" ref="T74">INT(SUMPRODUCT(--ISNUMBER(SEARCH(econineq,C75)))&gt;0)</f>
        <v>0</v>
      </c>
      <c r="U74" s="14" cm="1">
        <f t="array" ref="U74">INT(SUMPRODUCT(--ISNUMBER(SEARCH(climate,C74)))&gt;0)</f>
        <v>0</v>
      </c>
      <c r="V74" s="14" cm="1">
        <f t="array" ref="V74">INT(SUMPRODUCT(--ISNUMBER(SEARCH(abortion,C74)))&gt;0)</f>
        <v>0</v>
      </c>
      <c r="W74" s="14" cm="1">
        <f t="array" ref="W74">INT(SUMPRODUCT(--ISNUMBER(SEARCH(trump,C74)))&gt;0)</f>
        <v>0</v>
      </c>
      <c r="X74" s="14" cm="1">
        <f t="array" ref="X74">INT(SUMPRODUCT(--ISNUMBER(SEARCH(voting,C74)))&gt;0)</f>
        <v>0</v>
      </c>
      <c r="Y74" s="14" cm="1">
        <f t="array" ref="Y74">INT(SUMPRODUCT(--ISNUMBER(SEARCH(democrattrigger,C74)))&gt;0)</f>
        <v>0</v>
      </c>
      <c r="Z74" s="14" cm="1">
        <f t="array" ref="Z74">INT(SUMPRODUCT(--ISNUMBER(SEARCH(bipartisan,C74)))&gt;0)</f>
        <v>0</v>
      </c>
      <c r="AA74" s="14">
        <f t="shared" si="1"/>
        <v>0</v>
      </c>
      <c r="AB74" s="14"/>
      <c r="AC74" s="30">
        <v>1</v>
      </c>
      <c r="AD74" s="37">
        <v>0</v>
      </c>
    </row>
    <row r="75" spans="1:30" x14ac:dyDescent="0.25">
      <c r="A75" s="36">
        <v>4270</v>
      </c>
      <c r="B75" s="14" t="s">
        <v>8563</v>
      </c>
      <c r="C75" s="14" t="s">
        <v>8564</v>
      </c>
      <c r="D75" s="17">
        <v>44121</v>
      </c>
      <c r="E75" s="14" t="s">
        <v>30</v>
      </c>
      <c r="F75" s="14">
        <v>156</v>
      </c>
      <c r="G75" s="14">
        <v>65</v>
      </c>
      <c r="H75" s="14">
        <v>19</v>
      </c>
      <c r="I75" s="14">
        <v>10</v>
      </c>
      <c r="J75" s="14" t="s">
        <v>204</v>
      </c>
      <c r="K75" s="14" cm="1">
        <f t="array" ref="K75">INT(SUMPRODUCT(--ISNUMBER(SEARCH(economy,C75)))&gt;0)</f>
        <v>0</v>
      </c>
      <c r="L75" s="14" cm="1">
        <f t="array" ref="L75">INT(SUMPRODUCT(--ISNUMBER(SEARCH(healthcare,C75)))&gt;0)</f>
        <v>0</v>
      </c>
      <c r="M75" s="14" cm="1">
        <f t="array" ref="M75">INT(SUMPRODUCT(--ISNUMBER(SEARCH(supreme,C75)))&gt;0)</f>
        <v>1</v>
      </c>
      <c r="N75" s="14" cm="1">
        <f t="array" ref="N75">INT(SUMPRODUCT(--ISNUMBER(SEARCH(covid,C75)))&gt;0)</f>
        <v>0</v>
      </c>
      <c r="O75" s="14" cm="1">
        <f t="array" ref="O75">INT(SUMPRODUCT(--ISNUMBER(SEARCH(violent,C75)))&gt;0)</f>
        <v>0</v>
      </c>
      <c r="P75" s="14" cm="1">
        <f t="array" ref="P75">INT(SUMPRODUCT(--ISNUMBER(SEARCH(foreign,C75)))&gt;0)</f>
        <v>0</v>
      </c>
      <c r="Q75" s="14" cm="1">
        <f t="array" ref="Q75">INT(SUMPRODUCT(--ISNUMBER(SEARCH(gun,C75)))&gt;0)</f>
        <v>0</v>
      </c>
      <c r="R75" s="14" cm="1">
        <f t="array" ref="R75">INT(SUMPRODUCT(--ISNUMBER(SEARCH(race,C75)))&gt;0)</f>
        <v>0</v>
      </c>
      <c r="S75" s="14" cm="1">
        <f t="array" ref="S75">INT(SUMPRODUCT(--ISNUMBER(SEARCH(immigration,C75)))&gt;0)</f>
        <v>0</v>
      </c>
      <c r="T75" s="14" cm="1">
        <f t="array" ref="T75">INT(SUMPRODUCT(--ISNUMBER(SEARCH(econineq,C76)))&gt;0)</f>
        <v>0</v>
      </c>
      <c r="U75" s="14" cm="1">
        <f t="array" ref="U75">INT(SUMPRODUCT(--ISNUMBER(SEARCH(climate,C75)))&gt;0)</f>
        <v>0</v>
      </c>
      <c r="V75" s="14" cm="1">
        <f t="array" ref="V75">INT(SUMPRODUCT(--ISNUMBER(SEARCH(abortion,C75)))&gt;0)</f>
        <v>0</v>
      </c>
      <c r="W75" s="14" cm="1">
        <f t="array" ref="W75">INT(SUMPRODUCT(--ISNUMBER(SEARCH(trump,C75)))&gt;0)</f>
        <v>0</v>
      </c>
      <c r="X75" s="14" cm="1">
        <f t="array" ref="X75">INT(SUMPRODUCT(--ISNUMBER(SEARCH(voting,C75)))&gt;0)</f>
        <v>0</v>
      </c>
      <c r="Y75" s="14" cm="1">
        <f t="array" ref="Y75">INT(SUMPRODUCT(--ISNUMBER(SEARCH(democrattrigger,C75)))&gt;0)</f>
        <v>0</v>
      </c>
      <c r="Z75" s="14" cm="1">
        <f t="array" ref="Z75">INT(SUMPRODUCT(--ISNUMBER(SEARCH(bipartisan,C75)))&gt;0)</f>
        <v>0</v>
      </c>
      <c r="AA75" s="14">
        <f t="shared" si="1"/>
        <v>0</v>
      </c>
      <c r="AB75" s="14"/>
      <c r="AC75" s="30">
        <v>1</v>
      </c>
      <c r="AD75" s="37">
        <v>0</v>
      </c>
    </row>
    <row r="76" spans="1:30" x14ac:dyDescent="0.25">
      <c r="A76" s="36">
        <v>4271</v>
      </c>
      <c r="B76" s="14" t="s">
        <v>8565</v>
      </c>
      <c r="C76" s="14" t="s">
        <v>8566</v>
      </c>
      <c r="D76" s="17">
        <v>44121</v>
      </c>
      <c r="E76" s="14" t="s">
        <v>30</v>
      </c>
      <c r="F76" s="14">
        <v>234</v>
      </c>
      <c r="G76" s="14">
        <v>49</v>
      </c>
      <c r="H76" s="14">
        <v>19</v>
      </c>
      <c r="I76" s="14">
        <v>10</v>
      </c>
      <c r="J76" s="14" t="s">
        <v>204</v>
      </c>
      <c r="K76" s="14" cm="1">
        <f t="array" ref="K76">INT(SUMPRODUCT(--ISNUMBER(SEARCH(economy,C76)))&gt;0)</f>
        <v>0</v>
      </c>
      <c r="L76" s="14" cm="1">
        <f t="array" ref="L76">INT(SUMPRODUCT(--ISNUMBER(SEARCH(healthcare,C76)))&gt;0)</f>
        <v>0</v>
      </c>
      <c r="M76" s="14" cm="1">
        <f t="array" ref="M76">INT(SUMPRODUCT(--ISNUMBER(SEARCH(supreme,C76)))&gt;0)</f>
        <v>0</v>
      </c>
      <c r="N76" s="14" cm="1">
        <f t="array" ref="N76">INT(SUMPRODUCT(--ISNUMBER(SEARCH(covid,C76)))&gt;0)</f>
        <v>0</v>
      </c>
      <c r="O76" s="14" cm="1">
        <f t="array" ref="O76">INT(SUMPRODUCT(--ISNUMBER(SEARCH(violent,C76)))&gt;0)</f>
        <v>0</v>
      </c>
      <c r="P76" s="14" cm="1">
        <f t="array" ref="P76">INT(SUMPRODUCT(--ISNUMBER(SEARCH(foreign,C76)))&gt;0)</f>
        <v>0</v>
      </c>
      <c r="Q76" s="14" cm="1">
        <f t="array" ref="Q76">INT(SUMPRODUCT(--ISNUMBER(SEARCH(gun,C76)))&gt;0)</f>
        <v>0</v>
      </c>
      <c r="R76" s="14" cm="1">
        <f t="array" ref="R76">INT(SUMPRODUCT(--ISNUMBER(SEARCH(race,C76)))&gt;0)</f>
        <v>0</v>
      </c>
      <c r="S76" s="14" cm="1">
        <f t="array" ref="S76">INT(SUMPRODUCT(--ISNUMBER(SEARCH(immigration,C76)))&gt;0)</f>
        <v>0</v>
      </c>
      <c r="T76" s="14" cm="1">
        <f t="array" ref="T76">INT(SUMPRODUCT(--ISNUMBER(SEARCH(econineq,C77)))&gt;0)</f>
        <v>0</v>
      </c>
      <c r="U76" s="14" cm="1">
        <f t="array" ref="U76">INT(SUMPRODUCT(--ISNUMBER(SEARCH(climate,C76)))&gt;0)</f>
        <v>0</v>
      </c>
      <c r="V76" s="14" cm="1">
        <f t="array" ref="V76">INT(SUMPRODUCT(--ISNUMBER(SEARCH(abortion,C76)))&gt;0)</f>
        <v>0</v>
      </c>
      <c r="W76" s="14" cm="1">
        <f t="array" ref="W76">INT(SUMPRODUCT(--ISNUMBER(SEARCH(trump,C76)))&gt;0)</f>
        <v>0</v>
      </c>
      <c r="X76" s="14" cm="1">
        <f t="array" ref="X76">INT(SUMPRODUCT(--ISNUMBER(SEARCH(voting,C76)))&gt;0)</f>
        <v>0</v>
      </c>
      <c r="Y76" s="14" cm="1">
        <f t="array" ref="Y76">INT(SUMPRODUCT(--ISNUMBER(SEARCH(democrattrigger,C76)))&gt;0)</f>
        <v>0</v>
      </c>
      <c r="Z76" s="14" cm="1">
        <f t="array" ref="Z76">INT(SUMPRODUCT(--ISNUMBER(SEARCH(bipartisan,C76)))&gt;0)</f>
        <v>0</v>
      </c>
      <c r="AA76" s="14">
        <f t="shared" si="1"/>
        <v>1</v>
      </c>
      <c r="AB76" s="14"/>
      <c r="AC76" s="30" t="s">
        <v>223</v>
      </c>
      <c r="AD76" s="37" t="s">
        <v>223</v>
      </c>
    </row>
    <row r="77" spans="1:30" x14ac:dyDescent="0.25">
      <c r="A77" s="36">
        <v>4272</v>
      </c>
      <c r="B77" s="14" t="s">
        <v>8567</v>
      </c>
      <c r="C77" s="14" t="s">
        <v>8568</v>
      </c>
      <c r="D77" s="17">
        <v>44121</v>
      </c>
      <c r="E77" s="14" t="s">
        <v>30</v>
      </c>
      <c r="F77" s="14">
        <v>16704</v>
      </c>
      <c r="G77" s="14">
        <v>3157</v>
      </c>
      <c r="H77" s="14">
        <v>19</v>
      </c>
      <c r="I77" s="14">
        <v>10</v>
      </c>
      <c r="J77" s="14" t="s">
        <v>204</v>
      </c>
      <c r="K77" s="14" cm="1">
        <f t="array" ref="K77">INT(SUMPRODUCT(--ISNUMBER(SEARCH(economy,C77)))&gt;0)</f>
        <v>0</v>
      </c>
      <c r="L77" s="14" cm="1">
        <f t="array" ref="L77">INT(SUMPRODUCT(--ISNUMBER(SEARCH(healthcare,C77)))&gt;0)</f>
        <v>0</v>
      </c>
      <c r="M77" s="14" cm="1">
        <f t="array" ref="M77">INT(SUMPRODUCT(--ISNUMBER(SEARCH(supreme,C77)))&gt;0)</f>
        <v>0</v>
      </c>
      <c r="N77" s="14" cm="1">
        <f t="array" ref="N77">INT(SUMPRODUCT(--ISNUMBER(SEARCH(covid,C77)))&gt;0)</f>
        <v>0</v>
      </c>
      <c r="O77" s="14" cm="1">
        <f t="array" ref="O77">INT(SUMPRODUCT(--ISNUMBER(SEARCH(violent,C77)))&gt;0)</f>
        <v>0</v>
      </c>
      <c r="P77" s="14" cm="1">
        <f t="array" ref="P77">INT(SUMPRODUCT(--ISNUMBER(SEARCH(foreign,C77)))&gt;0)</f>
        <v>0</v>
      </c>
      <c r="Q77" s="14" cm="1">
        <f t="array" ref="Q77">INT(SUMPRODUCT(--ISNUMBER(SEARCH(gun,C77)))&gt;0)</f>
        <v>0</v>
      </c>
      <c r="R77" s="14" cm="1">
        <f t="array" ref="R77">INT(SUMPRODUCT(--ISNUMBER(SEARCH(race,C77)))&gt;0)</f>
        <v>0</v>
      </c>
      <c r="S77" s="14" cm="1">
        <f t="array" ref="S77">INT(SUMPRODUCT(--ISNUMBER(SEARCH(immigration,C77)))&gt;0)</f>
        <v>0</v>
      </c>
      <c r="T77" s="14" cm="1">
        <f t="array" ref="T77">INT(SUMPRODUCT(--ISNUMBER(SEARCH(econineq,C78)))&gt;0)</f>
        <v>0</v>
      </c>
      <c r="U77" s="14" cm="1">
        <f t="array" ref="U77">INT(SUMPRODUCT(--ISNUMBER(SEARCH(climate,C77)))&gt;0)</f>
        <v>0</v>
      </c>
      <c r="V77" s="14" cm="1">
        <f t="array" ref="V77">INT(SUMPRODUCT(--ISNUMBER(SEARCH(abortion,C77)))&gt;0)</f>
        <v>0</v>
      </c>
      <c r="W77" s="14" cm="1">
        <f t="array" ref="W77">INT(SUMPRODUCT(--ISNUMBER(SEARCH(trump,C77)))&gt;0)</f>
        <v>0</v>
      </c>
      <c r="X77" s="14" cm="1">
        <f t="array" ref="X77">INT(SUMPRODUCT(--ISNUMBER(SEARCH(voting,C77)))&gt;0)</f>
        <v>0</v>
      </c>
      <c r="Y77" s="14" cm="1">
        <f t="array" ref="Y77">INT(SUMPRODUCT(--ISNUMBER(SEARCH(democrattrigger,C77)))&gt;0)</f>
        <v>0</v>
      </c>
      <c r="Z77" s="14" cm="1">
        <f t="array" ref="Z77">INT(SUMPRODUCT(--ISNUMBER(SEARCH(bipartisan,C77)))&gt;0)</f>
        <v>0</v>
      </c>
      <c r="AA77" s="14">
        <f t="shared" si="1"/>
        <v>1</v>
      </c>
      <c r="AB77" s="14"/>
      <c r="AC77" s="30" t="s">
        <v>223</v>
      </c>
      <c r="AD77" s="37" t="s">
        <v>223</v>
      </c>
    </row>
    <row r="78" spans="1:30" x14ac:dyDescent="0.25">
      <c r="A78" s="36">
        <v>4273</v>
      </c>
      <c r="B78" s="14" t="s">
        <v>8569</v>
      </c>
      <c r="C78" s="14" t="s">
        <v>8570</v>
      </c>
      <c r="D78" s="17">
        <v>44120</v>
      </c>
      <c r="E78" s="14" t="s">
        <v>30</v>
      </c>
      <c r="F78" s="14">
        <v>499</v>
      </c>
      <c r="G78" s="14">
        <v>142</v>
      </c>
      <c r="H78" s="14">
        <v>19</v>
      </c>
      <c r="I78" s="14">
        <v>10</v>
      </c>
      <c r="J78" s="14" t="s">
        <v>204</v>
      </c>
      <c r="K78" s="14" cm="1">
        <f t="array" ref="K78">INT(SUMPRODUCT(--ISNUMBER(SEARCH(economy,C78)))&gt;0)</f>
        <v>0</v>
      </c>
      <c r="L78" s="14" cm="1">
        <f t="array" ref="L78">INT(SUMPRODUCT(--ISNUMBER(SEARCH(healthcare,C78)))&gt;0)</f>
        <v>0</v>
      </c>
      <c r="M78" s="14" cm="1">
        <f t="array" ref="M78">INT(SUMPRODUCT(--ISNUMBER(SEARCH(supreme,C78)))&gt;0)</f>
        <v>0</v>
      </c>
      <c r="N78" s="14" cm="1">
        <f t="array" ref="N78">INT(SUMPRODUCT(--ISNUMBER(SEARCH(covid,C78)))&gt;0)</f>
        <v>0</v>
      </c>
      <c r="O78" s="14" cm="1">
        <f t="array" ref="O78">INT(SUMPRODUCT(--ISNUMBER(SEARCH(violent,C78)))&gt;0)</f>
        <v>0</v>
      </c>
      <c r="P78" s="14" cm="1">
        <f t="array" ref="P78">INT(SUMPRODUCT(--ISNUMBER(SEARCH(foreign,C78)))&gt;0)</f>
        <v>0</v>
      </c>
      <c r="Q78" s="14" cm="1">
        <f t="array" ref="Q78">INT(SUMPRODUCT(--ISNUMBER(SEARCH(gun,C78)))&gt;0)</f>
        <v>0</v>
      </c>
      <c r="R78" s="14" cm="1">
        <f t="array" ref="R78">INT(SUMPRODUCT(--ISNUMBER(SEARCH(race,C78)))&gt;0)</f>
        <v>0</v>
      </c>
      <c r="S78" s="14" cm="1">
        <f t="array" ref="S78">INT(SUMPRODUCT(--ISNUMBER(SEARCH(immigration,C78)))&gt;0)</f>
        <v>0</v>
      </c>
      <c r="T78" s="14" cm="1">
        <f t="array" ref="T78">INT(SUMPRODUCT(--ISNUMBER(SEARCH(econineq,C79)))&gt;0)</f>
        <v>1</v>
      </c>
      <c r="U78" s="14" cm="1">
        <f t="array" ref="U78">INT(SUMPRODUCT(--ISNUMBER(SEARCH(climate,C78)))&gt;0)</f>
        <v>0</v>
      </c>
      <c r="V78" s="14" cm="1">
        <f t="array" ref="V78">INT(SUMPRODUCT(--ISNUMBER(SEARCH(abortion,C78)))&gt;0)</f>
        <v>0</v>
      </c>
      <c r="W78" s="14" cm="1">
        <f t="array" ref="W78">INT(SUMPRODUCT(--ISNUMBER(SEARCH(trump,C78)))&gt;0)</f>
        <v>0</v>
      </c>
      <c r="X78" s="14" cm="1">
        <f t="array" ref="X78">INT(SUMPRODUCT(--ISNUMBER(SEARCH(voting,C78)))&gt;0)</f>
        <v>1</v>
      </c>
      <c r="Y78" s="14" cm="1">
        <f t="array" ref="Y78">INT(SUMPRODUCT(--ISNUMBER(SEARCH(democrattrigger,C78)))&gt;0)</f>
        <v>0</v>
      </c>
      <c r="Z78" s="14" cm="1">
        <f t="array" ref="Z78">INT(SUMPRODUCT(--ISNUMBER(SEARCH(bipartisan,C78)))&gt;0)</f>
        <v>0</v>
      </c>
      <c r="AA78" s="14">
        <f t="shared" si="1"/>
        <v>0</v>
      </c>
      <c r="AB78" s="14"/>
      <c r="AC78" s="30" t="s">
        <v>223</v>
      </c>
      <c r="AD78" s="37" t="s">
        <v>223</v>
      </c>
    </row>
    <row r="79" spans="1:30" x14ac:dyDescent="0.25">
      <c r="A79" s="36">
        <v>4274</v>
      </c>
      <c r="B79" s="14" t="s">
        <v>8571</v>
      </c>
      <c r="C79" s="14" t="s">
        <v>8572</v>
      </c>
      <c r="D79" s="17">
        <v>44120</v>
      </c>
      <c r="E79" s="14" t="s">
        <v>30</v>
      </c>
      <c r="F79" s="14">
        <v>350</v>
      </c>
      <c r="G79" s="14">
        <v>213</v>
      </c>
      <c r="H79" s="14">
        <v>19</v>
      </c>
      <c r="I79" s="14">
        <v>10</v>
      </c>
      <c r="J79" s="14" t="s">
        <v>204</v>
      </c>
      <c r="K79" s="14" cm="1">
        <f t="array" ref="K79">INT(SUMPRODUCT(--ISNUMBER(SEARCH(economy,C79)))&gt;0)</f>
        <v>0</v>
      </c>
      <c r="L79" s="14" cm="1">
        <f t="array" ref="L79">INT(SUMPRODUCT(--ISNUMBER(SEARCH(healthcare,C79)))&gt;0)</f>
        <v>0</v>
      </c>
      <c r="M79" s="14" cm="1">
        <f t="array" ref="M79">INT(SUMPRODUCT(--ISNUMBER(SEARCH(supreme,C79)))&gt;0)</f>
        <v>1</v>
      </c>
      <c r="N79" s="14" cm="1">
        <f t="array" ref="N79">INT(SUMPRODUCT(--ISNUMBER(SEARCH(covid,C79)))&gt;0)</f>
        <v>0</v>
      </c>
      <c r="O79" s="14" cm="1">
        <f t="array" ref="O79">INT(SUMPRODUCT(--ISNUMBER(SEARCH(violent,C79)))&gt;0)</f>
        <v>0</v>
      </c>
      <c r="P79" s="14" cm="1">
        <f t="array" ref="P79">INT(SUMPRODUCT(--ISNUMBER(SEARCH(foreign,C79)))&gt;0)</f>
        <v>0</v>
      </c>
      <c r="Q79" s="14" cm="1">
        <f t="array" ref="Q79">INT(SUMPRODUCT(--ISNUMBER(SEARCH(gun,C79)))&gt;0)</f>
        <v>0</v>
      </c>
      <c r="R79" s="14" cm="1">
        <f t="array" ref="R79">INT(SUMPRODUCT(--ISNUMBER(SEARCH(race,C79)))&gt;0)</f>
        <v>0</v>
      </c>
      <c r="S79" s="14" cm="1">
        <f t="array" ref="S79">INT(SUMPRODUCT(--ISNUMBER(SEARCH(immigration,C79)))&gt;0)</f>
        <v>0</v>
      </c>
      <c r="T79" s="14" cm="1">
        <f t="array" ref="T79">INT(SUMPRODUCT(--ISNUMBER(SEARCH(econineq,C80)))&gt;0)</f>
        <v>0</v>
      </c>
      <c r="U79" s="14" cm="1">
        <f t="array" ref="U79">INT(SUMPRODUCT(--ISNUMBER(SEARCH(climate,C79)))&gt;0)</f>
        <v>0</v>
      </c>
      <c r="V79" s="14" cm="1">
        <f t="array" ref="V79">INT(SUMPRODUCT(--ISNUMBER(SEARCH(abortion,C79)))&gt;0)</f>
        <v>0</v>
      </c>
      <c r="W79" s="14" cm="1">
        <f t="array" ref="W79">INT(SUMPRODUCT(--ISNUMBER(SEARCH(trump,C79)))&gt;0)</f>
        <v>0</v>
      </c>
      <c r="X79" s="14" cm="1">
        <f t="array" ref="X79">INT(SUMPRODUCT(--ISNUMBER(SEARCH(voting,C79)))&gt;0)</f>
        <v>0</v>
      </c>
      <c r="Y79" s="14" cm="1">
        <f t="array" ref="Y79">INT(SUMPRODUCT(--ISNUMBER(SEARCH(democrattrigger,C79)))&gt;0)</f>
        <v>0</v>
      </c>
      <c r="Z79" s="14" cm="1">
        <f t="array" ref="Z79">INT(SUMPRODUCT(--ISNUMBER(SEARCH(bipartisan,C79)))&gt;0)</f>
        <v>0</v>
      </c>
      <c r="AA79" s="14">
        <f t="shared" si="1"/>
        <v>0</v>
      </c>
      <c r="AB79" s="14"/>
      <c r="AC79" s="30" t="s">
        <v>223</v>
      </c>
      <c r="AD79" s="37" t="s">
        <v>223</v>
      </c>
    </row>
    <row r="80" spans="1:30" x14ac:dyDescent="0.25">
      <c r="A80" s="36">
        <v>4275</v>
      </c>
      <c r="B80" s="14" t="s">
        <v>8573</v>
      </c>
      <c r="C80" s="14" t="s">
        <v>8574</v>
      </c>
      <c r="D80" s="17">
        <v>44119</v>
      </c>
      <c r="E80" s="14" t="s">
        <v>30</v>
      </c>
      <c r="F80" s="14">
        <v>319</v>
      </c>
      <c r="G80" s="14">
        <v>112</v>
      </c>
      <c r="H80" s="14">
        <v>19</v>
      </c>
      <c r="I80" s="14">
        <v>10</v>
      </c>
      <c r="J80" s="14" t="s">
        <v>204</v>
      </c>
      <c r="K80" s="14" cm="1">
        <f t="array" ref="K80">INT(SUMPRODUCT(--ISNUMBER(SEARCH(economy,C80)))&gt;0)</f>
        <v>0</v>
      </c>
      <c r="L80" s="14" cm="1">
        <f t="array" ref="L80">INT(SUMPRODUCT(--ISNUMBER(SEARCH(healthcare,C80)))&gt;0)</f>
        <v>0</v>
      </c>
      <c r="M80" s="14" cm="1">
        <f t="array" ref="M80">INT(SUMPRODUCT(--ISNUMBER(SEARCH(supreme,C80)))&gt;0)</f>
        <v>0</v>
      </c>
      <c r="N80" s="14" cm="1">
        <f t="array" ref="N80">INT(SUMPRODUCT(--ISNUMBER(SEARCH(covid,C80)))&gt;0)</f>
        <v>0</v>
      </c>
      <c r="O80" s="14" cm="1">
        <f t="array" ref="O80">INT(SUMPRODUCT(--ISNUMBER(SEARCH(violent,C80)))&gt;0)</f>
        <v>0</v>
      </c>
      <c r="P80" s="14" cm="1">
        <f t="array" ref="P80">INT(SUMPRODUCT(--ISNUMBER(SEARCH(foreign,C80)))&gt;0)</f>
        <v>0</v>
      </c>
      <c r="Q80" s="14" cm="1">
        <f t="array" ref="Q80">INT(SUMPRODUCT(--ISNUMBER(SEARCH(gun,C80)))&gt;0)</f>
        <v>0</v>
      </c>
      <c r="R80" s="14" cm="1">
        <f t="array" ref="R80">INT(SUMPRODUCT(--ISNUMBER(SEARCH(race,C80)))&gt;0)</f>
        <v>0</v>
      </c>
      <c r="S80" s="14" cm="1">
        <f t="array" ref="S80">INT(SUMPRODUCT(--ISNUMBER(SEARCH(immigration,C80)))&gt;0)</f>
        <v>0</v>
      </c>
      <c r="T80" s="14" cm="1">
        <f t="array" ref="T80">INT(SUMPRODUCT(--ISNUMBER(SEARCH(econineq,C81)))&gt;0)</f>
        <v>0</v>
      </c>
      <c r="U80" s="14" cm="1">
        <f t="array" ref="U80">INT(SUMPRODUCT(--ISNUMBER(SEARCH(climate,C80)))&gt;0)</f>
        <v>1</v>
      </c>
      <c r="V80" s="14" cm="1">
        <f t="array" ref="V80">INT(SUMPRODUCT(--ISNUMBER(SEARCH(abortion,C80)))&gt;0)</f>
        <v>0</v>
      </c>
      <c r="W80" s="14" cm="1">
        <f t="array" ref="W80">INT(SUMPRODUCT(--ISNUMBER(SEARCH(trump,C80)))&gt;0)</f>
        <v>0</v>
      </c>
      <c r="X80" s="14" cm="1">
        <f t="array" ref="X80">INT(SUMPRODUCT(--ISNUMBER(SEARCH(voting,C80)))&gt;0)</f>
        <v>0</v>
      </c>
      <c r="Y80" s="14" cm="1">
        <f t="array" ref="Y80">INT(SUMPRODUCT(--ISNUMBER(SEARCH(democrattrigger,C80)))&gt;0)</f>
        <v>0</v>
      </c>
      <c r="Z80" s="14" cm="1">
        <f t="array" ref="Z80">INT(SUMPRODUCT(--ISNUMBER(SEARCH(bipartisan,C80)))&gt;0)</f>
        <v>0</v>
      </c>
      <c r="AA80" s="14">
        <f t="shared" si="1"/>
        <v>0</v>
      </c>
      <c r="AB80" s="14"/>
      <c r="AC80" s="30" t="s">
        <v>223</v>
      </c>
      <c r="AD80" s="37" t="s">
        <v>223</v>
      </c>
    </row>
    <row r="81" spans="1:30" x14ac:dyDescent="0.25">
      <c r="A81" s="36">
        <v>4276</v>
      </c>
      <c r="B81" s="14" t="s">
        <v>8575</v>
      </c>
      <c r="C81" s="14" t="s">
        <v>8576</v>
      </c>
      <c r="D81" s="17">
        <v>44119</v>
      </c>
      <c r="E81" s="14" t="s">
        <v>30</v>
      </c>
      <c r="F81" s="14">
        <v>102</v>
      </c>
      <c r="G81" s="14">
        <v>56</v>
      </c>
      <c r="H81" s="14">
        <v>19</v>
      </c>
      <c r="I81" s="14">
        <v>10</v>
      </c>
      <c r="J81" s="14" t="s">
        <v>204</v>
      </c>
      <c r="K81" s="14" cm="1">
        <f t="array" ref="K81">INT(SUMPRODUCT(--ISNUMBER(SEARCH(economy,C81)))&gt;0)</f>
        <v>0</v>
      </c>
      <c r="L81" s="14" cm="1">
        <f t="array" ref="L81">INT(SUMPRODUCT(--ISNUMBER(SEARCH(healthcare,C81)))&gt;0)</f>
        <v>0</v>
      </c>
      <c r="M81" s="14" cm="1">
        <f t="array" ref="M81">INT(SUMPRODUCT(--ISNUMBER(SEARCH(supreme,C81)))&gt;0)</f>
        <v>0</v>
      </c>
      <c r="N81" s="14" cm="1">
        <f t="array" ref="N81">INT(SUMPRODUCT(--ISNUMBER(SEARCH(covid,C81)))&gt;0)</f>
        <v>0</v>
      </c>
      <c r="O81" s="14" cm="1">
        <f t="array" ref="O81">INT(SUMPRODUCT(--ISNUMBER(SEARCH(violent,C81)))&gt;0)</f>
        <v>0</v>
      </c>
      <c r="P81" s="14" cm="1">
        <f t="array" ref="P81">INT(SUMPRODUCT(--ISNUMBER(SEARCH(foreign,C81)))&gt;0)</f>
        <v>0</v>
      </c>
      <c r="Q81" s="14" cm="1">
        <f t="array" ref="Q81">INT(SUMPRODUCT(--ISNUMBER(SEARCH(gun,C81)))&gt;0)</f>
        <v>0</v>
      </c>
      <c r="R81" s="14" cm="1">
        <f t="array" ref="R81">INT(SUMPRODUCT(--ISNUMBER(SEARCH(race,C81)))&gt;0)</f>
        <v>0</v>
      </c>
      <c r="S81" s="14" cm="1">
        <f t="array" ref="S81">INT(SUMPRODUCT(--ISNUMBER(SEARCH(immigration,C81)))&gt;0)</f>
        <v>0</v>
      </c>
      <c r="T81" s="14" cm="1">
        <f t="array" ref="T81">INT(SUMPRODUCT(--ISNUMBER(SEARCH(econineq,C82)))&gt;0)</f>
        <v>0</v>
      </c>
      <c r="U81" s="14" cm="1">
        <f t="array" ref="U81">INT(SUMPRODUCT(--ISNUMBER(SEARCH(climate,C81)))&gt;0)</f>
        <v>0</v>
      </c>
      <c r="V81" s="14" cm="1">
        <f t="array" ref="V81">INT(SUMPRODUCT(--ISNUMBER(SEARCH(abortion,C81)))&gt;0)</f>
        <v>0</v>
      </c>
      <c r="W81" s="14" cm="1">
        <f t="array" ref="W81">INT(SUMPRODUCT(--ISNUMBER(SEARCH(trump,C81)))&gt;0)</f>
        <v>0</v>
      </c>
      <c r="X81" s="14" cm="1">
        <f t="array" ref="X81">INT(SUMPRODUCT(--ISNUMBER(SEARCH(voting,C81)))&gt;0)</f>
        <v>1</v>
      </c>
      <c r="Y81" s="14" cm="1">
        <f t="array" ref="Y81">INT(SUMPRODUCT(--ISNUMBER(SEARCH(democrattrigger,C81)))&gt;0)</f>
        <v>0</v>
      </c>
      <c r="Z81" s="14" cm="1">
        <f t="array" ref="Z81">INT(SUMPRODUCT(--ISNUMBER(SEARCH(bipartisan,C81)))&gt;0)</f>
        <v>0</v>
      </c>
      <c r="AA81" s="14">
        <f t="shared" si="1"/>
        <v>0</v>
      </c>
      <c r="AB81" s="14"/>
      <c r="AC81" s="30">
        <v>1</v>
      </c>
      <c r="AD81" s="37">
        <v>0</v>
      </c>
    </row>
    <row r="82" spans="1:30" x14ac:dyDescent="0.25">
      <c r="A82" s="36">
        <v>4277</v>
      </c>
      <c r="B82" s="14" t="s">
        <v>8577</v>
      </c>
      <c r="C82" s="14" t="s">
        <v>8578</v>
      </c>
      <c r="D82" s="17">
        <v>44118</v>
      </c>
      <c r="E82" s="14" t="s">
        <v>30</v>
      </c>
      <c r="F82" s="14">
        <v>135</v>
      </c>
      <c r="G82" s="14">
        <v>60</v>
      </c>
      <c r="H82" s="14">
        <v>19</v>
      </c>
      <c r="I82" s="14">
        <v>10</v>
      </c>
      <c r="J82" s="14" t="s">
        <v>204</v>
      </c>
      <c r="K82" s="14" cm="1">
        <f t="array" ref="K82">INT(SUMPRODUCT(--ISNUMBER(SEARCH(economy,C82)))&gt;0)</f>
        <v>0</v>
      </c>
      <c r="L82" s="14" cm="1">
        <f t="array" ref="L82">INT(SUMPRODUCT(--ISNUMBER(SEARCH(healthcare,C82)))&gt;0)</f>
        <v>0</v>
      </c>
      <c r="M82" s="14" cm="1">
        <f t="array" ref="M82">INT(SUMPRODUCT(--ISNUMBER(SEARCH(supreme,C82)))&gt;0)</f>
        <v>1</v>
      </c>
      <c r="N82" s="14" cm="1">
        <f t="array" ref="N82">INT(SUMPRODUCT(--ISNUMBER(SEARCH(covid,C82)))&gt;0)</f>
        <v>0</v>
      </c>
      <c r="O82" s="14" cm="1">
        <f t="array" ref="O82">INT(SUMPRODUCT(--ISNUMBER(SEARCH(violent,C82)))&gt;0)</f>
        <v>0</v>
      </c>
      <c r="P82" s="14" cm="1">
        <f t="array" ref="P82">INT(SUMPRODUCT(--ISNUMBER(SEARCH(foreign,C82)))&gt;0)</f>
        <v>0</v>
      </c>
      <c r="Q82" s="14" cm="1">
        <f t="array" ref="Q82">INT(SUMPRODUCT(--ISNUMBER(SEARCH(gun,C82)))&gt;0)</f>
        <v>0</v>
      </c>
      <c r="R82" s="14" cm="1">
        <f t="array" ref="R82">INT(SUMPRODUCT(--ISNUMBER(SEARCH(race,C82)))&gt;0)</f>
        <v>1</v>
      </c>
      <c r="S82" s="14" cm="1">
        <f t="array" ref="S82">INT(SUMPRODUCT(--ISNUMBER(SEARCH(immigration,C82)))&gt;0)</f>
        <v>0</v>
      </c>
      <c r="T82" s="14" cm="1">
        <f t="array" ref="T82">INT(SUMPRODUCT(--ISNUMBER(SEARCH(econineq,C83)))&gt;0)</f>
        <v>0</v>
      </c>
      <c r="U82" s="14" cm="1">
        <f t="array" ref="U82">INT(SUMPRODUCT(--ISNUMBER(SEARCH(climate,C82)))&gt;0)</f>
        <v>0</v>
      </c>
      <c r="V82" s="14" cm="1">
        <f t="array" ref="V82">INT(SUMPRODUCT(--ISNUMBER(SEARCH(abortion,C82)))&gt;0)</f>
        <v>0</v>
      </c>
      <c r="W82" s="14" cm="1">
        <f t="array" ref="W82">INT(SUMPRODUCT(--ISNUMBER(SEARCH(trump,C82)))&gt;0)</f>
        <v>0</v>
      </c>
      <c r="X82" s="14" cm="1">
        <f t="array" ref="X82">INT(SUMPRODUCT(--ISNUMBER(SEARCH(voting,C82)))&gt;0)</f>
        <v>0</v>
      </c>
      <c r="Y82" s="14" cm="1">
        <f t="array" ref="Y82">INT(SUMPRODUCT(--ISNUMBER(SEARCH(democrattrigger,C82)))&gt;0)</f>
        <v>0</v>
      </c>
      <c r="Z82" s="14" cm="1">
        <f t="array" ref="Z82">INT(SUMPRODUCT(--ISNUMBER(SEARCH(bipartisan,C82)))&gt;0)</f>
        <v>0</v>
      </c>
      <c r="AA82" s="14">
        <f t="shared" si="1"/>
        <v>0</v>
      </c>
      <c r="AB82" s="14"/>
      <c r="AC82" s="30" t="s">
        <v>223</v>
      </c>
      <c r="AD82" s="37" t="s">
        <v>223</v>
      </c>
    </row>
    <row r="83" spans="1:30" x14ac:dyDescent="0.25">
      <c r="A83" s="36">
        <v>4278</v>
      </c>
      <c r="B83" s="14" t="s">
        <v>8579</v>
      </c>
      <c r="C83" s="14" t="s">
        <v>8580</v>
      </c>
      <c r="D83" s="17">
        <v>44118</v>
      </c>
      <c r="E83" s="14" t="s">
        <v>30</v>
      </c>
      <c r="F83" s="14">
        <v>144</v>
      </c>
      <c r="G83" s="14">
        <v>35</v>
      </c>
      <c r="H83" s="14">
        <v>19</v>
      </c>
      <c r="I83" s="14">
        <v>10</v>
      </c>
      <c r="J83" s="14" t="s">
        <v>204</v>
      </c>
      <c r="K83" s="14" cm="1">
        <f t="array" ref="K83">INT(SUMPRODUCT(--ISNUMBER(SEARCH(economy,C83)))&gt;0)</f>
        <v>0</v>
      </c>
      <c r="L83" s="14" cm="1">
        <f t="array" ref="L83">INT(SUMPRODUCT(--ISNUMBER(SEARCH(healthcare,C83)))&gt;0)</f>
        <v>0</v>
      </c>
      <c r="M83" s="14" cm="1">
        <f t="array" ref="M83">INT(SUMPRODUCT(--ISNUMBER(SEARCH(supreme,C83)))&gt;0)</f>
        <v>0</v>
      </c>
      <c r="N83" s="14" cm="1">
        <f t="array" ref="N83">INT(SUMPRODUCT(--ISNUMBER(SEARCH(covid,C83)))&gt;0)</f>
        <v>0</v>
      </c>
      <c r="O83" s="14" cm="1">
        <f t="array" ref="O83">INT(SUMPRODUCT(--ISNUMBER(SEARCH(violent,C83)))&gt;0)</f>
        <v>0</v>
      </c>
      <c r="P83" s="14" cm="1">
        <f t="array" ref="P83">INT(SUMPRODUCT(--ISNUMBER(SEARCH(foreign,C83)))&gt;0)</f>
        <v>0</v>
      </c>
      <c r="Q83" s="14" cm="1">
        <f t="array" ref="Q83">INT(SUMPRODUCT(--ISNUMBER(SEARCH(gun,C83)))&gt;0)</f>
        <v>0</v>
      </c>
      <c r="R83" s="14" cm="1">
        <f t="array" ref="R83">INT(SUMPRODUCT(--ISNUMBER(SEARCH(race,C83)))&gt;0)</f>
        <v>0</v>
      </c>
      <c r="S83" s="14" cm="1">
        <f t="array" ref="S83">INT(SUMPRODUCT(--ISNUMBER(SEARCH(immigration,C83)))&gt;0)</f>
        <v>0</v>
      </c>
      <c r="T83" s="14" cm="1">
        <f t="array" ref="T83">INT(SUMPRODUCT(--ISNUMBER(SEARCH(econineq,C84)))&gt;0)</f>
        <v>0</v>
      </c>
      <c r="U83" s="14" cm="1">
        <f t="array" ref="U83">INT(SUMPRODUCT(--ISNUMBER(SEARCH(climate,C83)))&gt;0)</f>
        <v>0</v>
      </c>
      <c r="V83" s="14" cm="1">
        <f t="array" ref="V83">INT(SUMPRODUCT(--ISNUMBER(SEARCH(abortion,C83)))&gt;0)</f>
        <v>0</v>
      </c>
      <c r="W83" s="14" cm="1">
        <f t="array" ref="W83">INT(SUMPRODUCT(--ISNUMBER(SEARCH(trump,C83)))&gt;0)</f>
        <v>0</v>
      </c>
      <c r="X83" s="14" cm="1">
        <f t="array" ref="X83">INT(SUMPRODUCT(--ISNUMBER(SEARCH(voting,C83)))&gt;0)</f>
        <v>0</v>
      </c>
      <c r="Y83" s="14" cm="1">
        <f t="array" ref="Y83">INT(SUMPRODUCT(--ISNUMBER(SEARCH(democrattrigger,C83)))&gt;0)</f>
        <v>1</v>
      </c>
      <c r="Z83" s="14" cm="1">
        <f t="array" ref="Z83">INT(SUMPRODUCT(--ISNUMBER(SEARCH(bipartisan,C83)))&gt;0)</f>
        <v>0</v>
      </c>
      <c r="AA83" s="14">
        <f t="shared" si="1"/>
        <v>0</v>
      </c>
      <c r="AB83" s="14"/>
      <c r="AC83" s="30" t="s">
        <v>223</v>
      </c>
      <c r="AD83" s="37" t="s">
        <v>223</v>
      </c>
    </row>
    <row r="84" spans="1:30" x14ac:dyDescent="0.25">
      <c r="A84" s="36">
        <v>4279</v>
      </c>
      <c r="B84" s="14" t="s">
        <v>8581</v>
      </c>
      <c r="C84" s="14" t="s">
        <v>8582</v>
      </c>
      <c r="D84" s="17">
        <v>44118</v>
      </c>
      <c r="E84" s="14" t="s">
        <v>70</v>
      </c>
      <c r="F84" s="14">
        <v>57</v>
      </c>
      <c r="G84" s="14">
        <v>15</v>
      </c>
      <c r="H84" s="14">
        <v>19</v>
      </c>
      <c r="I84" s="14">
        <v>10</v>
      </c>
      <c r="J84" s="14" t="s">
        <v>204</v>
      </c>
      <c r="K84" s="14" cm="1">
        <f t="array" ref="K84">INT(SUMPRODUCT(--ISNUMBER(SEARCH(economy,C84)))&gt;0)</f>
        <v>0</v>
      </c>
      <c r="L84" s="14" cm="1">
        <f t="array" ref="L84">INT(SUMPRODUCT(--ISNUMBER(SEARCH(healthcare,C84)))&gt;0)</f>
        <v>0</v>
      </c>
      <c r="M84" s="14" cm="1">
        <f t="array" ref="M84">INT(SUMPRODUCT(--ISNUMBER(SEARCH(supreme,C84)))&gt;0)</f>
        <v>0</v>
      </c>
      <c r="N84" s="14" cm="1">
        <f t="array" ref="N84">INT(SUMPRODUCT(--ISNUMBER(SEARCH(covid,C84)))&gt;0)</f>
        <v>0</v>
      </c>
      <c r="O84" s="14" cm="1">
        <f t="array" ref="O84">INT(SUMPRODUCT(--ISNUMBER(SEARCH(violent,C84)))&gt;0)</f>
        <v>0</v>
      </c>
      <c r="P84" s="14" cm="1">
        <f t="array" ref="P84">INT(SUMPRODUCT(--ISNUMBER(SEARCH(foreign,C84)))&gt;0)</f>
        <v>0</v>
      </c>
      <c r="Q84" s="14" cm="1">
        <f t="array" ref="Q84">INT(SUMPRODUCT(--ISNUMBER(SEARCH(gun,C84)))&gt;0)</f>
        <v>0</v>
      </c>
      <c r="R84" s="14" cm="1">
        <f t="array" ref="R84">INT(SUMPRODUCT(--ISNUMBER(SEARCH(race,C84)))&gt;0)</f>
        <v>0</v>
      </c>
      <c r="S84" s="14" cm="1">
        <f t="array" ref="S84">INT(SUMPRODUCT(--ISNUMBER(SEARCH(immigration,C84)))&gt;0)</f>
        <v>0</v>
      </c>
      <c r="T84" s="14" cm="1">
        <f t="array" ref="T84">INT(SUMPRODUCT(--ISNUMBER(SEARCH(econineq,C85)))&gt;0)</f>
        <v>0</v>
      </c>
      <c r="U84" s="14" cm="1">
        <f t="array" ref="U84">INT(SUMPRODUCT(--ISNUMBER(SEARCH(climate,C84)))&gt;0)</f>
        <v>1</v>
      </c>
      <c r="V84" s="14" cm="1">
        <f t="array" ref="V84">INT(SUMPRODUCT(--ISNUMBER(SEARCH(abortion,C84)))&gt;0)</f>
        <v>0</v>
      </c>
      <c r="W84" s="14" cm="1">
        <f t="array" ref="W84">INT(SUMPRODUCT(--ISNUMBER(SEARCH(trump,C84)))&gt;0)</f>
        <v>1</v>
      </c>
      <c r="X84" s="14" cm="1">
        <f t="array" ref="X84">INT(SUMPRODUCT(--ISNUMBER(SEARCH(voting,C84)))&gt;0)</f>
        <v>0</v>
      </c>
      <c r="Y84" s="14" cm="1">
        <f t="array" ref="Y84">INT(SUMPRODUCT(--ISNUMBER(SEARCH(democrattrigger,C84)))&gt;0)</f>
        <v>0</v>
      </c>
      <c r="Z84" s="14" cm="1">
        <f t="array" ref="Z84">INT(SUMPRODUCT(--ISNUMBER(SEARCH(bipartisan,C84)))&gt;0)</f>
        <v>0</v>
      </c>
      <c r="AA84" s="14">
        <f t="shared" si="1"/>
        <v>0</v>
      </c>
      <c r="AB84" s="14"/>
      <c r="AC84" s="30" t="s">
        <v>223</v>
      </c>
      <c r="AD84" s="37" t="s">
        <v>223</v>
      </c>
    </row>
    <row r="85" spans="1:30" x14ac:dyDescent="0.25">
      <c r="A85" s="36">
        <v>4280</v>
      </c>
      <c r="B85" s="14" t="s">
        <v>8583</v>
      </c>
      <c r="C85" s="14" t="s">
        <v>8584</v>
      </c>
      <c r="D85" s="17">
        <v>44118</v>
      </c>
      <c r="E85" s="14" t="s">
        <v>30</v>
      </c>
      <c r="F85" s="14">
        <v>178</v>
      </c>
      <c r="G85" s="14">
        <v>50</v>
      </c>
      <c r="H85" s="14">
        <v>19</v>
      </c>
      <c r="I85" s="14">
        <v>10</v>
      </c>
      <c r="J85" s="14" t="s">
        <v>204</v>
      </c>
      <c r="K85" s="14" cm="1">
        <f t="array" ref="K85">INT(SUMPRODUCT(--ISNUMBER(SEARCH(economy,C85)))&gt;0)</f>
        <v>0</v>
      </c>
      <c r="L85" s="14" cm="1">
        <f t="array" ref="L85">INT(SUMPRODUCT(--ISNUMBER(SEARCH(healthcare,C85)))&gt;0)</f>
        <v>0</v>
      </c>
      <c r="M85" s="14" cm="1">
        <f t="array" ref="M85">INT(SUMPRODUCT(--ISNUMBER(SEARCH(supreme,C85)))&gt;0)</f>
        <v>0</v>
      </c>
      <c r="N85" s="14" cm="1">
        <f t="array" ref="N85">INT(SUMPRODUCT(--ISNUMBER(SEARCH(covid,C85)))&gt;0)</f>
        <v>0</v>
      </c>
      <c r="O85" s="14" cm="1">
        <f t="array" ref="O85">INT(SUMPRODUCT(--ISNUMBER(SEARCH(violent,C85)))&gt;0)</f>
        <v>0</v>
      </c>
      <c r="P85" s="14" cm="1">
        <f t="array" ref="P85">INT(SUMPRODUCT(--ISNUMBER(SEARCH(foreign,C85)))&gt;0)</f>
        <v>0</v>
      </c>
      <c r="Q85" s="14" cm="1">
        <f t="array" ref="Q85">INT(SUMPRODUCT(--ISNUMBER(SEARCH(gun,C85)))&gt;0)</f>
        <v>0</v>
      </c>
      <c r="R85" s="14" cm="1">
        <f t="array" ref="R85">INT(SUMPRODUCT(--ISNUMBER(SEARCH(race,C85)))&gt;0)</f>
        <v>0</v>
      </c>
      <c r="S85" s="14" cm="1">
        <f t="array" ref="S85">INT(SUMPRODUCT(--ISNUMBER(SEARCH(immigration,C85)))&gt;0)</f>
        <v>0</v>
      </c>
      <c r="T85" s="14" cm="1">
        <f t="array" ref="T85">INT(SUMPRODUCT(--ISNUMBER(SEARCH(econineq,C86)))&gt;0)</f>
        <v>0</v>
      </c>
      <c r="U85" s="14" cm="1">
        <f t="array" ref="U85">INT(SUMPRODUCT(--ISNUMBER(SEARCH(climate,C85)))&gt;0)</f>
        <v>0</v>
      </c>
      <c r="V85" s="14" cm="1">
        <f t="array" ref="V85">INT(SUMPRODUCT(--ISNUMBER(SEARCH(abortion,C85)))&gt;0)</f>
        <v>0</v>
      </c>
      <c r="W85" s="14" cm="1">
        <f t="array" ref="W85">INT(SUMPRODUCT(--ISNUMBER(SEARCH(trump,C85)))&gt;0)</f>
        <v>0</v>
      </c>
      <c r="X85" s="14" cm="1">
        <f t="array" ref="X85">INT(SUMPRODUCT(--ISNUMBER(SEARCH(voting,C85)))&gt;0)</f>
        <v>0</v>
      </c>
      <c r="Y85" s="14" cm="1">
        <f t="array" ref="Y85">INT(SUMPRODUCT(--ISNUMBER(SEARCH(democrattrigger,C85)))&gt;0)</f>
        <v>0</v>
      </c>
      <c r="Z85" s="14" cm="1">
        <f t="array" ref="Z85">INT(SUMPRODUCT(--ISNUMBER(SEARCH(bipartisan,C85)))&gt;0)</f>
        <v>0</v>
      </c>
      <c r="AA85" s="14">
        <f t="shared" si="1"/>
        <v>1</v>
      </c>
      <c r="AB85" s="14"/>
      <c r="AC85" s="30">
        <v>0</v>
      </c>
      <c r="AD85" s="37">
        <v>1</v>
      </c>
    </row>
    <row r="86" spans="1:30" x14ac:dyDescent="0.25">
      <c r="A86" s="36">
        <v>4281</v>
      </c>
      <c r="B86" s="14" t="s">
        <v>8585</v>
      </c>
      <c r="C86" s="14" t="s">
        <v>8586</v>
      </c>
      <c r="D86" s="17">
        <v>44118</v>
      </c>
      <c r="E86" s="14" t="s">
        <v>30</v>
      </c>
      <c r="F86" s="14">
        <v>1701</v>
      </c>
      <c r="G86" s="14">
        <v>760</v>
      </c>
      <c r="H86" s="14">
        <v>19</v>
      </c>
      <c r="I86" s="14">
        <v>10</v>
      </c>
      <c r="J86" s="14" t="s">
        <v>204</v>
      </c>
      <c r="K86" s="14" cm="1">
        <f t="array" ref="K86">INT(SUMPRODUCT(--ISNUMBER(SEARCH(economy,C86)))&gt;0)</f>
        <v>0</v>
      </c>
      <c r="L86" s="14" cm="1">
        <f t="array" ref="L86">INT(SUMPRODUCT(--ISNUMBER(SEARCH(healthcare,C86)))&gt;0)</f>
        <v>0</v>
      </c>
      <c r="M86" s="14" cm="1">
        <f t="array" ref="M86">INT(SUMPRODUCT(--ISNUMBER(SEARCH(supreme,C86)))&gt;0)</f>
        <v>0</v>
      </c>
      <c r="N86" s="14" cm="1">
        <f t="array" ref="N86">INT(SUMPRODUCT(--ISNUMBER(SEARCH(covid,C86)))&gt;0)</f>
        <v>0</v>
      </c>
      <c r="O86" s="14" cm="1">
        <f t="array" ref="O86">INT(SUMPRODUCT(--ISNUMBER(SEARCH(violent,C86)))&gt;0)</f>
        <v>0</v>
      </c>
      <c r="P86" s="14" cm="1">
        <f t="array" ref="P86">INT(SUMPRODUCT(--ISNUMBER(SEARCH(foreign,C86)))&gt;0)</f>
        <v>0</v>
      </c>
      <c r="Q86" s="14" cm="1">
        <f t="array" ref="Q86">INT(SUMPRODUCT(--ISNUMBER(SEARCH(gun,C86)))&gt;0)</f>
        <v>0</v>
      </c>
      <c r="R86" s="14" cm="1">
        <f t="array" ref="R86">INT(SUMPRODUCT(--ISNUMBER(SEARCH(race,C86)))&gt;0)</f>
        <v>0</v>
      </c>
      <c r="S86" s="14" cm="1">
        <f t="array" ref="S86">INT(SUMPRODUCT(--ISNUMBER(SEARCH(immigration,C86)))&gt;0)</f>
        <v>0</v>
      </c>
      <c r="T86" s="14" cm="1">
        <f t="array" ref="T86">INT(SUMPRODUCT(--ISNUMBER(SEARCH(econineq,C87)))&gt;0)</f>
        <v>0</v>
      </c>
      <c r="U86" s="14" cm="1">
        <f t="array" ref="U86">INT(SUMPRODUCT(--ISNUMBER(SEARCH(climate,C86)))&gt;0)</f>
        <v>0</v>
      </c>
      <c r="V86" s="14" cm="1">
        <f t="array" ref="V86">INT(SUMPRODUCT(--ISNUMBER(SEARCH(abortion,C86)))&gt;0)</f>
        <v>0</v>
      </c>
      <c r="W86" s="14" cm="1">
        <f t="array" ref="W86">INT(SUMPRODUCT(--ISNUMBER(SEARCH(trump,C86)))&gt;0)</f>
        <v>0</v>
      </c>
      <c r="X86" s="14" cm="1">
        <f t="array" ref="X86">INT(SUMPRODUCT(--ISNUMBER(SEARCH(voting,C86)))&gt;0)</f>
        <v>1</v>
      </c>
      <c r="Y86" s="14" cm="1">
        <f t="array" ref="Y86">INT(SUMPRODUCT(--ISNUMBER(SEARCH(democrattrigger,C86)))&gt;0)</f>
        <v>0</v>
      </c>
      <c r="Z86" s="14" cm="1">
        <f t="array" ref="Z86">INT(SUMPRODUCT(--ISNUMBER(SEARCH(bipartisan,C86)))&gt;0)</f>
        <v>0</v>
      </c>
      <c r="AA86" s="14">
        <f t="shared" si="1"/>
        <v>0</v>
      </c>
      <c r="AB86" s="14"/>
      <c r="AC86" s="30" t="s">
        <v>223</v>
      </c>
      <c r="AD86" s="37" t="s">
        <v>223</v>
      </c>
    </row>
    <row r="87" spans="1:30" x14ac:dyDescent="0.25">
      <c r="A87" s="36">
        <v>4282</v>
      </c>
      <c r="B87" s="14" t="s">
        <v>8587</v>
      </c>
      <c r="C87" s="14" t="s">
        <v>8588</v>
      </c>
      <c r="D87" s="17">
        <v>44117</v>
      </c>
      <c r="E87" s="14" t="s">
        <v>30</v>
      </c>
      <c r="F87" s="14">
        <v>79</v>
      </c>
      <c r="G87" s="14">
        <v>20</v>
      </c>
      <c r="H87" s="14">
        <v>19</v>
      </c>
      <c r="I87" s="14">
        <v>10</v>
      </c>
      <c r="J87" s="14" t="s">
        <v>204</v>
      </c>
      <c r="K87" s="14" cm="1">
        <f t="array" ref="K87">INT(SUMPRODUCT(--ISNUMBER(SEARCH(economy,C87)))&gt;0)</f>
        <v>1</v>
      </c>
      <c r="L87" s="14" cm="1">
        <f t="array" ref="L87">INT(SUMPRODUCT(--ISNUMBER(SEARCH(healthcare,C87)))&gt;0)</f>
        <v>0</v>
      </c>
      <c r="M87" s="14" cm="1">
        <f t="array" ref="M87">INT(SUMPRODUCT(--ISNUMBER(SEARCH(supreme,C87)))&gt;0)</f>
        <v>0</v>
      </c>
      <c r="N87" s="14" cm="1">
        <f t="array" ref="N87">INT(SUMPRODUCT(--ISNUMBER(SEARCH(covid,C87)))&gt;0)</f>
        <v>1</v>
      </c>
      <c r="O87" s="14" cm="1">
        <f t="array" ref="O87">INT(SUMPRODUCT(--ISNUMBER(SEARCH(violent,C87)))&gt;0)</f>
        <v>0</v>
      </c>
      <c r="P87" s="14" cm="1">
        <f t="array" ref="P87">INT(SUMPRODUCT(--ISNUMBER(SEARCH(foreign,C87)))&gt;0)</f>
        <v>0</v>
      </c>
      <c r="Q87" s="14" cm="1">
        <f t="array" ref="Q87">INT(SUMPRODUCT(--ISNUMBER(SEARCH(gun,C87)))&gt;0)</f>
        <v>0</v>
      </c>
      <c r="R87" s="14" cm="1">
        <f t="array" ref="R87">INT(SUMPRODUCT(--ISNUMBER(SEARCH(race,C87)))&gt;0)</f>
        <v>0</v>
      </c>
      <c r="S87" s="14" cm="1">
        <f t="array" ref="S87">INT(SUMPRODUCT(--ISNUMBER(SEARCH(immigration,C87)))&gt;0)</f>
        <v>0</v>
      </c>
      <c r="T87" s="14" cm="1">
        <f t="array" ref="T87">INT(SUMPRODUCT(--ISNUMBER(SEARCH(econineq,C88)))&gt;0)</f>
        <v>0</v>
      </c>
      <c r="U87" s="14" cm="1">
        <f t="array" ref="U87">INT(SUMPRODUCT(--ISNUMBER(SEARCH(climate,C87)))&gt;0)</f>
        <v>0</v>
      </c>
      <c r="V87" s="14" cm="1">
        <f t="array" ref="V87">INT(SUMPRODUCT(--ISNUMBER(SEARCH(abortion,C87)))&gt;0)</f>
        <v>0</v>
      </c>
      <c r="W87" s="14" cm="1">
        <f t="array" ref="W87">INT(SUMPRODUCT(--ISNUMBER(SEARCH(trump,C87)))&gt;0)</f>
        <v>0</v>
      </c>
      <c r="X87" s="14" cm="1">
        <f t="array" ref="X87">INT(SUMPRODUCT(--ISNUMBER(SEARCH(voting,C87)))&gt;0)</f>
        <v>0</v>
      </c>
      <c r="Y87" s="14" cm="1">
        <f t="array" ref="Y87">INT(SUMPRODUCT(--ISNUMBER(SEARCH(democrattrigger,C87)))&gt;0)</f>
        <v>0</v>
      </c>
      <c r="Z87" s="14" cm="1">
        <f t="array" ref="Z87">INT(SUMPRODUCT(--ISNUMBER(SEARCH(bipartisan,C87)))&gt;0)</f>
        <v>0</v>
      </c>
      <c r="AA87" s="14">
        <f t="shared" si="1"/>
        <v>0</v>
      </c>
      <c r="AB87" s="14"/>
      <c r="AC87" s="30">
        <v>1</v>
      </c>
      <c r="AD87" s="37">
        <v>0</v>
      </c>
    </row>
    <row r="88" spans="1:30" x14ac:dyDescent="0.25">
      <c r="A88" s="36">
        <v>4283</v>
      </c>
      <c r="B88" s="14" t="s">
        <v>8589</v>
      </c>
      <c r="C88" s="14" t="s">
        <v>8590</v>
      </c>
      <c r="D88" s="17">
        <v>44117</v>
      </c>
      <c r="E88" s="14" t="s">
        <v>30</v>
      </c>
      <c r="F88" s="14">
        <v>317</v>
      </c>
      <c r="G88" s="14">
        <v>84</v>
      </c>
      <c r="H88" s="14">
        <v>19</v>
      </c>
      <c r="I88" s="14">
        <v>10</v>
      </c>
      <c r="J88" s="14" t="s">
        <v>204</v>
      </c>
      <c r="K88" s="14" cm="1">
        <f t="array" ref="K88">INT(SUMPRODUCT(--ISNUMBER(SEARCH(economy,C88)))&gt;0)</f>
        <v>0</v>
      </c>
      <c r="L88" s="14" cm="1">
        <f t="array" ref="L88">INT(SUMPRODUCT(--ISNUMBER(SEARCH(healthcare,C88)))&gt;0)</f>
        <v>0</v>
      </c>
      <c r="M88" s="14" cm="1">
        <f t="array" ref="M88">INT(SUMPRODUCT(--ISNUMBER(SEARCH(supreme,C88)))&gt;0)</f>
        <v>0</v>
      </c>
      <c r="N88" s="14" cm="1">
        <f t="array" ref="N88">INT(SUMPRODUCT(--ISNUMBER(SEARCH(covid,C88)))&gt;0)</f>
        <v>0</v>
      </c>
      <c r="O88" s="14" cm="1">
        <f t="array" ref="O88">INT(SUMPRODUCT(--ISNUMBER(SEARCH(violent,C88)))&gt;0)</f>
        <v>0</v>
      </c>
      <c r="P88" s="14" cm="1">
        <f t="array" ref="P88">INT(SUMPRODUCT(--ISNUMBER(SEARCH(foreign,C88)))&gt;0)</f>
        <v>0</v>
      </c>
      <c r="Q88" s="14" cm="1">
        <f t="array" ref="Q88">INT(SUMPRODUCT(--ISNUMBER(SEARCH(gun,C88)))&gt;0)</f>
        <v>0</v>
      </c>
      <c r="R88" s="14" cm="1">
        <f t="array" ref="R88">INT(SUMPRODUCT(--ISNUMBER(SEARCH(race,C88)))&gt;0)</f>
        <v>0</v>
      </c>
      <c r="S88" s="14" cm="1">
        <f t="array" ref="S88">INT(SUMPRODUCT(--ISNUMBER(SEARCH(immigration,C88)))&gt;0)</f>
        <v>0</v>
      </c>
      <c r="T88" s="14" cm="1">
        <f t="array" ref="T88">INT(SUMPRODUCT(--ISNUMBER(SEARCH(econineq,C89)))&gt;0)</f>
        <v>0</v>
      </c>
      <c r="U88" s="14" cm="1">
        <f t="array" ref="U88">INT(SUMPRODUCT(--ISNUMBER(SEARCH(climate,C88)))&gt;0)</f>
        <v>0</v>
      </c>
      <c r="V88" s="14" cm="1">
        <f t="array" ref="V88">INT(SUMPRODUCT(--ISNUMBER(SEARCH(abortion,C88)))&gt;0)</f>
        <v>0</v>
      </c>
      <c r="W88" s="14" cm="1">
        <f t="array" ref="W88">INT(SUMPRODUCT(--ISNUMBER(SEARCH(trump,C88)))&gt;0)</f>
        <v>0</v>
      </c>
      <c r="X88" s="14" cm="1">
        <f t="array" ref="X88">INT(SUMPRODUCT(--ISNUMBER(SEARCH(voting,C88)))&gt;0)</f>
        <v>0</v>
      </c>
      <c r="Y88" s="14" cm="1">
        <f t="array" ref="Y88">INT(SUMPRODUCT(--ISNUMBER(SEARCH(democrattrigger,C88)))&gt;0)</f>
        <v>0</v>
      </c>
      <c r="Z88" s="14" cm="1">
        <f t="array" ref="Z88">INT(SUMPRODUCT(--ISNUMBER(SEARCH(bipartisan,C88)))&gt;0)</f>
        <v>0</v>
      </c>
      <c r="AA88" s="14">
        <f t="shared" si="1"/>
        <v>1</v>
      </c>
      <c r="AB88" s="14"/>
      <c r="AC88" s="30" t="s">
        <v>223</v>
      </c>
      <c r="AD88" s="37" t="s">
        <v>223</v>
      </c>
    </row>
    <row r="89" spans="1:30" x14ac:dyDescent="0.25">
      <c r="A89" s="36">
        <v>4284</v>
      </c>
      <c r="B89" s="14" t="s">
        <v>8591</v>
      </c>
      <c r="C89" s="14" t="s">
        <v>8592</v>
      </c>
      <c r="D89" s="17">
        <v>44117</v>
      </c>
      <c r="E89" s="14" t="s">
        <v>70</v>
      </c>
      <c r="F89" s="14">
        <v>128</v>
      </c>
      <c r="G89" s="14">
        <v>112</v>
      </c>
      <c r="H89" s="14">
        <v>19</v>
      </c>
      <c r="I89" s="14">
        <v>10</v>
      </c>
      <c r="J89" s="14" t="s">
        <v>204</v>
      </c>
      <c r="K89" s="14" cm="1">
        <f t="array" ref="K89">INT(SUMPRODUCT(--ISNUMBER(SEARCH(economy,C89)))&gt;0)</f>
        <v>0</v>
      </c>
      <c r="L89" s="14" cm="1">
        <f t="array" ref="L89">INT(SUMPRODUCT(--ISNUMBER(SEARCH(healthcare,C89)))&gt;0)</f>
        <v>0</v>
      </c>
      <c r="M89" s="14" cm="1">
        <f t="array" ref="M89">INT(SUMPRODUCT(--ISNUMBER(SEARCH(supreme,C89)))&gt;0)</f>
        <v>0</v>
      </c>
      <c r="N89" s="14" cm="1">
        <f t="array" ref="N89">INT(SUMPRODUCT(--ISNUMBER(SEARCH(covid,C89)))&gt;0)</f>
        <v>0</v>
      </c>
      <c r="O89" s="14" cm="1">
        <f t="array" ref="O89">INT(SUMPRODUCT(--ISNUMBER(SEARCH(violent,C89)))&gt;0)</f>
        <v>0</v>
      </c>
      <c r="P89" s="14" cm="1">
        <f t="array" ref="P89">INT(SUMPRODUCT(--ISNUMBER(SEARCH(foreign,C89)))&gt;0)</f>
        <v>0</v>
      </c>
      <c r="Q89" s="14" cm="1">
        <f t="array" ref="Q89">INT(SUMPRODUCT(--ISNUMBER(SEARCH(gun,C89)))&gt;0)</f>
        <v>0</v>
      </c>
      <c r="R89" s="14" cm="1">
        <f t="array" ref="R89">INT(SUMPRODUCT(--ISNUMBER(SEARCH(race,C89)))&gt;0)</f>
        <v>0</v>
      </c>
      <c r="S89" s="14" cm="1">
        <f t="array" ref="S89">INT(SUMPRODUCT(--ISNUMBER(SEARCH(immigration,C89)))&gt;0)</f>
        <v>0</v>
      </c>
      <c r="T89" s="14" cm="1">
        <f t="array" ref="T89">INT(SUMPRODUCT(--ISNUMBER(SEARCH(econineq,C90)))&gt;0)</f>
        <v>0</v>
      </c>
      <c r="U89" s="14" cm="1">
        <f t="array" ref="U89">INT(SUMPRODUCT(--ISNUMBER(SEARCH(climate,C89)))&gt;0)</f>
        <v>0</v>
      </c>
      <c r="V89" s="14" cm="1">
        <f t="array" ref="V89">INT(SUMPRODUCT(--ISNUMBER(SEARCH(abortion,C89)))&gt;0)</f>
        <v>0</v>
      </c>
      <c r="W89" s="14" cm="1">
        <f t="array" ref="W89">INT(SUMPRODUCT(--ISNUMBER(SEARCH(trump,C89)))&gt;0)</f>
        <v>0</v>
      </c>
      <c r="X89" s="14" cm="1">
        <f t="array" ref="X89">INT(SUMPRODUCT(--ISNUMBER(SEARCH(voting,C89)))&gt;0)</f>
        <v>1</v>
      </c>
      <c r="Y89" s="14" cm="1">
        <f t="array" ref="Y89">INT(SUMPRODUCT(--ISNUMBER(SEARCH(democrattrigger,C89)))&gt;0)</f>
        <v>0</v>
      </c>
      <c r="Z89" s="14" cm="1">
        <f t="array" ref="Z89">INT(SUMPRODUCT(--ISNUMBER(SEARCH(bipartisan,C89)))&gt;0)</f>
        <v>0</v>
      </c>
      <c r="AA89" s="14">
        <f t="shared" si="1"/>
        <v>0</v>
      </c>
      <c r="AB89" s="14"/>
      <c r="AC89" s="30" t="s">
        <v>223</v>
      </c>
      <c r="AD89" s="37" t="s">
        <v>223</v>
      </c>
    </row>
    <row r="90" spans="1:30" x14ac:dyDescent="0.25">
      <c r="A90" s="36">
        <v>4285</v>
      </c>
      <c r="B90" s="14" t="s">
        <v>8593</v>
      </c>
      <c r="C90" s="14" t="s">
        <v>8594</v>
      </c>
      <c r="D90" s="17">
        <v>44117</v>
      </c>
      <c r="E90" s="14" t="s">
        <v>70</v>
      </c>
      <c r="F90" s="14">
        <v>95</v>
      </c>
      <c r="G90" s="14">
        <v>53</v>
      </c>
      <c r="H90" s="14">
        <v>19</v>
      </c>
      <c r="I90" s="14">
        <v>10</v>
      </c>
      <c r="J90" s="14" t="s">
        <v>204</v>
      </c>
      <c r="K90" s="14" cm="1">
        <f t="array" ref="K90">INT(SUMPRODUCT(--ISNUMBER(SEARCH(economy,C90)))&gt;0)</f>
        <v>0</v>
      </c>
      <c r="L90" s="14" cm="1">
        <f t="array" ref="L90">INT(SUMPRODUCT(--ISNUMBER(SEARCH(healthcare,C90)))&gt;0)</f>
        <v>0</v>
      </c>
      <c r="M90" s="14" cm="1">
        <f t="array" ref="M90">INT(SUMPRODUCT(--ISNUMBER(SEARCH(supreme,C90)))&gt;0)</f>
        <v>0</v>
      </c>
      <c r="N90" s="14" cm="1">
        <f t="array" ref="N90">INT(SUMPRODUCT(--ISNUMBER(SEARCH(covid,C90)))&gt;0)</f>
        <v>1</v>
      </c>
      <c r="O90" s="14" cm="1">
        <f t="array" ref="O90">INT(SUMPRODUCT(--ISNUMBER(SEARCH(violent,C90)))&gt;0)</f>
        <v>0</v>
      </c>
      <c r="P90" s="14" cm="1">
        <f t="array" ref="P90">INT(SUMPRODUCT(--ISNUMBER(SEARCH(foreign,C90)))&gt;0)</f>
        <v>0</v>
      </c>
      <c r="Q90" s="14" cm="1">
        <f t="array" ref="Q90">INT(SUMPRODUCT(--ISNUMBER(SEARCH(gun,C90)))&gt;0)</f>
        <v>0</v>
      </c>
      <c r="R90" s="14" cm="1">
        <f t="array" ref="R90">INT(SUMPRODUCT(--ISNUMBER(SEARCH(race,C90)))&gt;0)</f>
        <v>0</v>
      </c>
      <c r="S90" s="14" cm="1">
        <f t="array" ref="S90">INT(SUMPRODUCT(--ISNUMBER(SEARCH(immigration,C90)))&gt;0)</f>
        <v>0</v>
      </c>
      <c r="T90" s="14" cm="1">
        <f t="array" ref="T90">INT(SUMPRODUCT(--ISNUMBER(SEARCH(econineq,C91)))&gt;0)</f>
        <v>0</v>
      </c>
      <c r="U90" s="14" cm="1">
        <f t="array" ref="U90">INT(SUMPRODUCT(--ISNUMBER(SEARCH(climate,C90)))&gt;0)</f>
        <v>0</v>
      </c>
      <c r="V90" s="14" cm="1">
        <f t="array" ref="V90">INT(SUMPRODUCT(--ISNUMBER(SEARCH(abortion,C90)))&gt;0)</f>
        <v>0</v>
      </c>
      <c r="W90" s="14" cm="1">
        <f t="array" ref="W90">INT(SUMPRODUCT(--ISNUMBER(SEARCH(trump,C90)))&gt;0)</f>
        <v>0</v>
      </c>
      <c r="X90" s="14" cm="1">
        <f t="array" ref="X90">INT(SUMPRODUCT(--ISNUMBER(SEARCH(voting,C90)))&gt;0)</f>
        <v>1</v>
      </c>
      <c r="Y90" s="14" cm="1">
        <f t="array" ref="Y90">INT(SUMPRODUCT(--ISNUMBER(SEARCH(democrattrigger,C90)))&gt;0)</f>
        <v>0</v>
      </c>
      <c r="Z90" s="14" cm="1">
        <f t="array" ref="Z90">INT(SUMPRODUCT(--ISNUMBER(SEARCH(bipartisan,C90)))&gt;0)</f>
        <v>0</v>
      </c>
      <c r="AA90" s="14">
        <f t="shared" si="1"/>
        <v>0</v>
      </c>
      <c r="AB90" s="14"/>
      <c r="AC90" s="30" t="s">
        <v>223</v>
      </c>
      <c r="AD90" s="37" t="s">
        <v>223</v>
      </c>
    </row>
    <row r="91" spans="1:30" x14ac:dyDescent="0.25">
      <c r="A91" s="36">
        <v>4286</v>
      </c>
      <c r="B91" s="14" t="s">
        <v>8595</v>
      </c>
      <c r="C91" s="14" t="s">
        <v>8596</v>
      </c>
      <c r="D91" s="17">
        <v>44117</v>
      </c>
      <c r="E91" s="14" t="s">
        <v>30</v>
      </c>
      <c r="F91" s="14">
        <v>148</v>
      </c>
      <c r="G91" s="14">
        <v>64</v>
      </c>
      <c r="H91" s="14">
        <v>19</v>
      </c>
      <c r="I91" s="14">
        <v>10</v>
      </c>
      <c r="J91" s="14" t="s">
        <v>204</v>
      </c>
      <c r="K91" s="14" cm="1">
        <f t="array" ref="K91">INT(SUMPRODUCT(--ISNUMBER(SEARCH(economy,C91)))&gt;0)</f>
        <v>0</v>
      </c>
      <c r="L91" s="14" cm="1">
        <f t="array" ref="L91">INT(SUMPRODUCT(--ISNUMBER(SEARCH(healthcare,C91)))&gt;0)</f>
        <v>0</v>
      </c>
      <c r="M91" s="14" cm="1">
        <f t="array" ref="M91">INT(SUMPRODUCT(--ISNUMBER(SEARCH(supreme,C91)))&gt;0)</f>
        <v>0</v>
      </c>
      <c r="N91" s="14" cm="1">
        <f t="array" ref="N91">INT(SUMPRODUCT(--ISNUMBER(SEARCH(covid,C91)))&gt;0)</f>
        <v>0</v>
      </c>
      <c r="O91" s="14" cm="1">
        <f t="array" ref="O91">INT(SUMPRODUCT(--ISNUMBER(SEARCH(violent,C91)))&gt;0)</f>
        <v>0</v>
      </c>
      <c r="P91" s="14" cm="1">
        <f t="array" ref="P91">INT(SUMPRODUCT(--ISNUMBER(SEARCH(foreign,C91)))&gt;0)</f>
        <v>1</v>
      </c>
      <c r="Q91" s="14" cm="1">
        <f t="array" ref="Q91">INT(SUMPRODUCT(--ISNUMBER(SEARCH(gun,C91)))&gt;0)</f>
        <v>0</v>
      </c>
      <c r="R91" s="14" cm="1">
        <f t="array" ref="R91">INT(SUMPRODUCT(--ISNUMBER(SEARCH(race,C91)))&gt;0)</f>
        <v>0</v>
      </c>
      <c r="S91" s="14" cm="1">
        <f t="array" ref="S91">INT(SUMPRODUCT(--ISNUMBER(SEARCH(immigration,C91)))&gt;0)</f>
        <v>0</v>
      </c>
      <c r="T91" s="14" cm="1">
        <f t="array" ref="T91">INT(SUMPRODUCT(--ISNUMBER(SEARCH(econineq,C92)))&gt;0)</f>
        <v>1</v>
      </c>
      <c r="U91" s="14" cm="1">
        <f t="array" ref="U91">INT(SUMPRODUCT(--ISNUMBER(SEARCH(climate,C91)))&gt;0)</f>
        <v>0</v>
      </c>
      <c r="V91" s="14" cm="1">
        <f t="array" ref="V91">INT(SUMPRODUCT(--ISNUMBER(SEARCH(abortion,C91)))&gt;0)</f>
        <v>0</v>
      </c>
      <c r="W91" s="14" cm="1">
        <f t="array" ref="W91">INT(SUMPRODUCT(--ISNUMBER(SEARCH(trump,C91)))&gt;0)</f>
        <v>0</v>
      </c>
      <c r="X91" s="14" cm="1">
        <f t="array" ref="X91">INT(SUMPRODUCT(--ISNUMBER(SEARCH(voting,C91)))&gt;0)</f>
        <v>1</v>
      </c>
      <c r="Y91" s="14" cm="1">
        <f t="array" ref="Y91">INT(SUMPRODUCT(--ISNUMBER(SEARCH(democrattrigger,C91)))&gt;0)</f>
        <v>0</v>
      </c>
      <c r="Z91" s="14" cm="1">
        <f t="array" ref="Z91">INT(SUMPRODUCT(--ISNUMBER(SEARCH(bipartisan,C91)))&gt;0)</f>
        <v>0</v>
      </c>
      <c r="AA91" s="14">
        <f t="shared" si="1"/>
        <v>0</v>
      </c>
      <c r="AB91" s="14"/>
      <c r="AC91" s="30" t="s">
        <v>223</v>
      </c>
      <c r="AD91" s="37" t="s">
        <v>223</v>
      </c>
    </row>
    <row r="92" spans="1:30" x14ac:dyDescent="0.25">
      <c r="A92" s="36">
        <v>4287</v>
      </c>
      <c r="B92" s="14" t="s">
        <v>8597</v>
      </c>
      <c r="C92" s="14" t="s">
        <v>8598</v>
      </c>
      <c r="D92" s="17">
        <v>44117</v>
      </c>
      <c r="E92" s="14" t="s">
        <v>30</v>
      </c>
      <c r="F92" s="14">
        <v>26</v>
      </c>
      <c r="G92" s="14">
        <v>9</v>
      </c>
      <c r="H92" s="14">
        <v>19</v>
      </c>
      <c r="I92" s="14">
        <v>10</v>
      </c>
      <c r="J92" s="14" t="s">
        <v>204</v>
      </c>
      <c r="K92" s="14" cm="1">
        <f t="array" ref="K92">INT(SUMPRODUCT(--ISNUMBER(SEARCH(economy,C92)))&gt;0)</f>
        <v>1</v>
      </c>
      <c r="L92" s="14" cm="1">
        <f t="array" ref="L92">INT(SUMPRODUCT(--ISNUMBER(SEARCH(healthcare,C92)))&gt;0)</f>
        <v>0</v>
      </c>
      <c r="M92" s="14" cm="1">
        <f t="array" ref="M92">INT(SUMPRODUCT(--ISNUMBER(SEARCH(supreme,C92)))&gt;0)</f>
        <v>0</v>
      </c>
      <c r="N92" s="14" cm="1">
        <f t="array" ref="N92">INT(SUMPRODUCT(--ISNUMBER(SEARCH(covid,C92)))&gt;0)</f>
        <v>0</v>
      </c>
      <c r="O92" s="14" cm="1">
        <f t="array" ref="O92">INT(SUMPRODUCT(--ISNUMBER(SEARCH(violent,C92)))&gt;0)</f>
        <v>0</v>
      </c>
      <c r="P92" s="14" cm="1">
        <f t="array" ref="P92">INT(SUMPRODUCT(--ISNUMBER(SEARCH(foreign,C92)))&gt;0)</f>
        <v>0</v>
      </c>
      <c r="Q92" s="14" cm="1">
        <f t="array" ref="Q92">INT(SUMPRODUCT(--ISNUMBER(SEARCH(gun,C92)))&gt;0)</f>
        <v>0</v>
      </c>
      <c r="R92" s="14" cm="1">
        <f t="array" ref="R92">INT(SUMPRODUCT(--ISNUMBER(SEARCH(race,C92)))&gt;0)</f>
        <v>0</v>
      </c>
      <c r="S92" s="14" cm="1">
        <f t="array" ref="S92">INT(SUMPRODUCT(--ISNUMBER(SEARCH(immigration,C92)))&gt;0)</f>
        <v>0</v>
      </c>
      <c r="T92" s="14" cm="1">
        <f t="array" ref="T92">INT(SUMPRODUCT(--ISNUMBER(SEARCH(econineq,C93)))&gt;0)</f>
        <v>0</v>
      </c>
      <c r="U92" s="14" cm="1">
        <f t="array" ref="U92">INT(SUMPRODUCT(--ISNUMBER(SEARCH(climate,C92)))&gt;0)</f>
        <v>0</v>
      </c>
      <c r="V92" s="14" cm="1">
        <f t="array" ref="V92">INT(SUMPRODUCT(--ISNUMBER(SEARCH(abortion,C92)))&gt;0)</f>
        <v>0</v>
      </c>
      <c r="W92" s="14" cm="1">
        <f t="array" ref="W92">INT(SUMPRODUCT(--ISNUMBER(SEARCH(trump,C92)))&gt;0)</f>
        <v>0</v>
      </c>
      <c r="X92" s="14" cm="1">
        <f t="array" ref="X92">INT(SUMPRODUCT(--ISNUMBER(SEARCH(voting,C92)))&gt;0)</f>
        <v>0</v>
      </c>
      <c r="Y92" s="14" cm="1">
        <f t="array" ref="Y92">INT(SUMPRODUCT(--ISNUMBER(SEARCH(democrattrigger,C92)))&gt;0)</f>
        <v>0</v>
      </c>
      <c r="Z92" s="14" cm="1">
        <f t="array" ref="Z92">INT(SUMPRODUCT(--ISNUMBER(SEARCH(bipartisan,C92)))&gt;0)</f>
        <v>0</v>
      </c>
      <c r="AA92" s="14">
        <f t="shared" si="1"/>
        <v>0</v>
      </c>
      <c r="AB92" s="14"/>
      <c r="AC92" s="30">
        <v>1</v>
      </c>
      <c r="AD92" s="37">
        <v>0</v>
      </c>
    </row>
    <row r="93" spans="1:30" x14ac:dyDescent="0.25">
      <c r="A93" s="36">
        <v>4288</v>
      </c>
      <c r="B93" s="14" t="s">
        <v>8599</v>
      </c>
      <c r="C93" s="14" t="s">
        <v>8600</v>
      </c>
      <c r="D93" s="17">
        <v>44117</v>
      </c>
      <c r="E93" s="14" t="s">
        <v>30</v>
      </c>
      <c r="F93" s="14">
        <v>73</v>
      </c>
      <c r="G93" s="14">
        <v>25</v>
      </c>
      <c r="H93" s="14">
        <v>19</v>
      </c>
      <c r="I93" s="14">
        <v>10</v>
      </c>
      <c r="J93" s="14" t="s">
        <v>204</v>
      </c>
      <c r="K93" s="14" cm="1">
        <f t="array" ref="K93">INT(SUMPRODUCT(--ISNUMBER(SEARCH(economy,C93)))&gt;0)</f>
        <v>0</v>
      </c>
      <c r="L93" s="14" cm="1">
        <f t="array" ref="L93">INT(SUMPRODUCT(--ISNUMBER(SEARCH(healthcare,C93)))&gt;0)</f>
        <v>0</v>
      </c>
      <c r="M93" s="14" cm="1">
        <f t="array" ref="M93">INT(SUMPRODUCT(--ISNUMBER(SEARCH(supreme,C93)))&gt;0)</f>
        <v>0</v>
      </c>
      <c r="N93" s="14" cm="1">
        <f t="array" ref="N93">INT(SUMPRODUCT(--ISNUMBER(SEARCH(covid,C93)))&gt;0)</f>
        <v>0</v>
      </c>
      <c r="O93" s="14" cm="1">
        <f t="array" ref="O93">INT(SUMPRODUCT(--ISNUMBER(SEARCH(violent,C93)))&gt;0)</f>
        <v>0</v>
      </c>
      <c r="P93" s="14" cm="1">
        <f t="array" ref="P93">INT(SUMPRODUCT(--ISNUMBER(SEARCH(foreign,C93)))&gt;0)</f>
        <v>0</v>
      </c>
      <c r="Q93" s="14" cm="1">
        <f t="array" ref="Q93">INT(SUMPRODUCT(--ISNUMBER(SEARCH(gun,C93)))&gt;0)</f>
        <v>0</v>
      </c>
      <c r="R93" s="14" cm="1">
        <f t="array" ref="R93">INT(SUMPRODUCT(--ISNUMBER(SEARCH(race,C93)))&gt;0)</f>
        <v>0</v>
      </c>
      <c r="S93" s="14" cm="1">
        <f t="array" ref="S93">INT(SUMPRODUCT(--ISNUMBER(SEARCH(immigration,C93)))&gt;0)</f>
        <v>0</v>
      </c>
      <c r="T93" s="14" cm="1">
        <f t="array" ref="T93">INT(SUMPRODUCT(--ISNUMBER(SEARCH(econineq,C94)))&gt;0)</f>
        <v>0</v>
      </c>
      <c r="U93" s="14" cm="1">
        <f t="array" ref="U93">INT(SUMPRODUCT(--ISNUMBER(SEARCH(climate,C93)))&gt;0)</f>
        <v>0</v>
      </c>
      <c r="V93" s="14" cm="1">
        <f t="array" ref="V93">INT(SUMPRODUCT(--ISNUMBER(SEARCH(abortion,C93)))&gt;0)</f>
        <v>0</v>
      </c>
      <c r="W93" s="14" cm="1">
        <f t="array" ref="W93">INT(SUMPRODUCT(--ISNUMBER(SEARCH(trump,C93)))&gt;0)</f>
        <v>0</v>
      </c>
      <c r="X93" s="14" cm="1">
        <f t="array" ref="X93">INT(SUMPRODUCT(--ISNUMBER(SEARCH(voting,C93)))&gt;0)</f>
        <v>0</v>
      </c>
      <c r="Y93" s="14" cm="1">
        <f t="array" ref="Y93">INT(SUMPRODUCT(--ISNUMBER(SEARCH(democrattrigger,C93)))&gt;0)</f>
        <v>0</v>
      </c>
      <c r="Z93" s="14" cm="1">
        <f t="array" ref="Z93">INT(SUMPRODUCT(--ISNUMBER(SEARCH(bipartisan,C93)))&gt;0)</f>
        <v>0</v>
      </c>
      <c r="AA93" s="14">
        <f t="shared" si="1"/>
        <v>1</v>
      </c>
      <c r="AB93" s="14"/>
      <c r="AC93" s="30" t="s">
        <v>223</v>
      </c>
      <c r="AD93" s="37" t="s">
        <v>223</v>
      </c>
    </row>
    <row r="94" spans="1:30" x14ac:dyDescent="0.25">
      <c r="A94" s="36">
        <v>4289</v>
      </c>
      <c r="B94" s="14" t="s">
        <v>8601</v>
      </c>
      <c r="C94" s="14" t="s">
        <v>8602</v>
      </c>
      <c r="D94" s="17">
        <v>44116</v>
      </c>
      <c r="E94" s="14" t="s">
        <v>30</v>
      </c>
      <c r="F94" s="14">
        <v>34</v>
      </c>
      <c r="G94" s="14">
        <v>16</v>
      </c>
      <c r="H94" s="14">
        <v>19</v>
      </c>
      <c r="I94" s="14">
        <v>10</v>
      </c>
      <c r="J94" s="14" t="s">
        <v>204</v>
      </c>
      <c r="K94" s="14" cm="1">
        <f t="array" ref="K94">INT(SUMPRODUCT(--ISNUMBER(SEARCH(economy,C94)))&gt;0)</f>
        <v>0</v>
      </c>
      <c r="L94" s="14" cm="1">
        <f t="array" ref="L94">INT(SUMPRODUCT(--ISNUMBER(SEARCH(healthcare,C94)))&gt;0)</f>
        <v>0</v>
      </c>
      <c r="M94" s="14" cm="1">
        <f t="array" ref="M94">INT(SUMPRODUCT(--ISNUMBER(SEARCH(supreme,C94)))&gt;0)</f>
        <v>0</v>
      </c>
      <c r="N94" s="14" cm="1">
        <f t="array" ref="N94">INT(SUMPRODUCT(--ISNUMBER(SEARCH(covid,C94)))&gt;0)</f>
        <v>0</v>
      </c>
      <c r="O94" s="14" cm="1">
        <f t="array" ref="O94">INT(SUMPRODUCT(--ISNUMBER(SEARCH(violent,C94)))&gt;0)</f>
        <v>0</v>
      </c>
      <c r="P94" s="14" cm="1">
        <f t="array" ref="P94">INT(SUMPRODUCT(--ISNUMBER(SEARCH(foreign,C94)))&gt;0)</f>
        <v>0</v>
      </c>
      <c r="Q94" s="14" cm="1">
        <f t="array" ref="Q94">INT(SUMPRODUCT(--ISNUMBER(SEARCH(gun,C94)))&gt;0)</f>
        <v>0</v>
      </c>
      <c r="R94" s="14" cm="1">
        <f t="array" ref="R94">INT(SUMPRODUCT(--ISNUMBER(SEARCH(race,C94)))&gt;0)</f>
        <v>0</v>
      </c>
      <c r="S94" s="14" cm="1">
        <f t="array" ref="S94">INT(SUMPRODUCT(--ISNUMBER(SEARCH(immigration,C94)))&gt;0)</f>
        <v>0</v>
      </c>
      <c r="T94" s="14" cm="1">
        <f t="array" ref="T94">INT(SUMPRODUCT(--ISNUMBER(SEARCH(econineq,C95)))&gt;0)</f>
        <v>0</v>
      </c>
      <c r="U94" s="14" cm="1">
        <f t="array" ref="U94">INT(SUMPRODUCT(--ISNUMBER(SEARCH(climate,C94)))&gt;0)</f>
        <v>0</v>
      </c>
      <c r="V94" s="14" cm="1">
        <f t="array" ref="V94">INT(SUMPRODUCT(--ISNUMBER(SEARCH(abortion,C94)))&gt;0)</f>
        <v>0</v>
      </c>
      <c r="W94" s="14" cm="1">
        <f t="array" ref="W94">INT(SUMPRODUCT(--ISNUMBER(SEARCH(trump,C94)))&gt;0)</f>
        <v>0</v>
      </c>
      <c r="X94" s="14" cm="1">
        <f t="array" ref="X94">INT(SUMPRODUCT(--ISNUMBER(SEARCH(voting,C94)))&gt;0)</f>
        <v>0</v>
      </c>
      <c r="Y94" s="14" cm="1">
        <f t="array" ref="Y94">INT(SUMPRODUCT(--ISNUMBER(SEARCH(democrattrigger,C94)))&gt;0)</f>
        <v>0</v>
      </c>
      <c r="Z94" s="14" cm="1">
        <f t="array" ref="Z94">INT(SUMPRODUCT(--ISNUMBER(SEARCH(bipartisan,C94)))&gt;0)</f>
        <v>1</v>
      </c>
      <c r="AA94" s="14">
        <f t="shared" si="1"/>
        <v>0</v>
      </c>
      <c r="AB94" s="14"/>
      <c r="AC94" s="30" t="s">
        <v>223</v>
      </c>
      <c r="AD94" s="37" t="s">
        <v>223</v>
      </c>
    </row>
    <row r="95" spans="1:30" x14ac:dyDescent="0.25">
      <c r="A95" s="36">
        <v>4290</v>
      </c>
      <c r="B95" s="14" t="s">
        <v>8603</v>
      </c>
      <c r="C95" s="14" t="s">
        <v>8604</v>
      </c>
      <c r="D95" s="17">
        <v>44116</v>
      </c>
      <c r="E95" s="14" t="s">
        <v>30</v>
      </c>
      <c r="F95" s="14">
        <v>175</v>
      </c>
      <c r="G95" s="14">
        <v>36</v>
      </c>
      <c r="H95" s="14">
        <v>19</v>
      </c>
      <c r="I95" s="14">
        <v>10</v>
      </c>
      <c r="J95" s="14" t="s">
        <v>204</v>
      </c>
      <c r="K95" s="14" cm="1">
        <f t="array" ref="K95">INT(SUMPRODUCT(--ISNUMBER(SEARCH(economy,C95)))&gt;0)</f>
        <v>0</v>
      </c>
      <c r="L95" s="14" cm="1">
        <f t="array" ref="L95">INT(SUMPRODUCT(--ISNUMBER(SEARCH(healthcare,C95)))&gt;0)</f>
        <v>0</v>
      </c>
      <c r="M95" s="14" cm="1">
        <f t="array" ref="M95">INT(SUMPRODUCT(--ISNUMBER(SEARCH(supreme,C95)))&gt;0)</f>
        <v>0</v>
      </c>
      <c r="N95" s="14" cm="1">
        <f t="array" ref="N95">INT(SUMPRODUCT(--ISNUMBER(SEARCH(covid,C95)))&gt;0)</f>
        <v>0</v>
      </c>
      <c r="O95" s="14" cm="1">
        <f t="array" ref="O95">INT(SUMPRODUCT(--ISNUMBER(SEARCH(violent,C95)))&gt;0)</f>
        <v>0</v>
      </c>
      <c r="P95" s="14" cm="1">
        <f t="array" ref="P95">INT(SUMPRODUCT(--ISNUMBER(SEARCH(foreign,C95)))&gt;0)</f>
        <v>0</v>
      </c>
      <c r="Q95" s="14" cm="1">
        <f t="array" ref="Q95">INT(SUMPRODUCT(--ISNUMBER(SEARCH(gun,C95)))&gt;0)</f>
        <v>0</v>
      </c>
      <c r="R95" s="14" cm="1">
        <f t="array" ref="R95">INT(SUMPRODUCT(--ISNUMBER(SEARCH(race,C95)))&gt;0)</f>
        <v>0</v>
      </c>
      <c r="S95" s="14" cm="1">
        <f t="array" ref="S95">INT(SUMPRODUCT(--ISNUMBER(SEARCH(immigration,C95)))&gt;0)</f>
        <v>0</v>
      </c>
      <c r="T95" s="14" cm="1">
        <f t="array" ref="T95">INT(SUMPRODUCT(--ISNUMBER(SEARCH(econineq,C96)))&gt;0)</f>
        <v>0</v>
      </c>
      <c r="U95" s="14" cm="1">
        <f t="array" ref="U95">INT(SUMPRODUCT(--ISNUMBER(SEARCH(climate,C95)))&gt;0)</f>
        <v>1</v>
      </c>
      <c r="V95" s="14" cm="1">
        <f t="array" ref="V95">INT(SUMPRODUCT(--ISNUMBER(SEARCH(abortion,C95)))&gt;0)</f>
        <v>0</v>
      </c>
      <c r="W95" s="14" cm="1">
        <f t="array" ref="W95">INT(SUMPRODUCT(--ISNUMBER(SEARCH(trump,C95)))&gt;0)</f>
        <v>1</v>
      </c>
      <c r="X95" s="14" cm="1">
        <f t="array" ref="X95">INT(SUMPRODUCT(--ISNUMBER(SEARCH(voting,C95)))&gt;0)</f>
        <v>0</v>
      </c>
      <c r="Y95" s="14" cm="1">
        <f t="array" ref="Y95">INT(SUMPRODUCT(--ISNUMBER(SEARCH(democrattrigger,C95)))&gt;0)</f>
        <v>0</v>
      </c>
      <c r="Z95" s="14" cm="1">
        <f t="array" ref="Z95">INT(SUMPRODUCT(--ISNUMBER(SEARCH(bipartisan,C95)))&gt;0)</f>
        <v>0</v>
      </c>
      <c r="AA95" s="14">
        <f t="shared" si="1"/>
        <v>0</v>
      </c>
      <c r="AB95" s="14"/>
      <c r="AC95" s="30">
        <v>1</v>
      </c>
      <c r="AD95" s="37">
        <v>0</v>
      </c>
    </row>
    <row r="96" spans="1:30" x14ac:dyDescent="0.25">
      <c r="A96" s="36">
        <v>4291</v>
      </c>
      <c r="B96" s="14" t="s">
        <v>8605</v>
      </c>
      <c r="C96" s="14" t="s">
        <v>8606</v>
      </c>
      <c r="D96" s="17">
        <v>44116</v>
      </c>
      <c r="E96" s="14" t="s">
        <v>30</v>
      </c>
      <c r="F96" s="14">
        <v>97</v>
      </c>
      <c r="G96" s="14">
        <v>20</v>
      </c>
      <c r="H96" s="14">
        <v>19</v>
      </c>
      <c r="I96" s="14">
        <v>10</v>
      </c>
      <c r="J96" s="14" t="s">
        <v>204</v>
      </c>
      <c r="K96" s="14" cm="1">
        <f t="array" ref="K96">INT(SUMPRODUCT(--ISNUMBER(SEARCH(economy,C96)))&gt;0)</f>
        <v>0</v>
      </c>
      <c r="L96" s="14" cm="1">
        <f t="array" ref="L96">INT(SUMPRODUCT(--ISNUMBER(SEARCH(healthcare,C96)))&gt;0)</f>
        <v>0</v>
      </c>
      <c r="M96" s="14" cm="1">
        <f t="array" ref="M96">INT(SUMPRODUCT(--ISNUMBER(SEARCH(supreme,C96)))&gt;0)</f>
        <v>0</v>
      </c>
      <c r="N96" s="14" cm="1">
        <f t="array" ref="N96">INT(SUMPRODUCT(--ISNUMBER(SEARCH(covid,C96)))&gt;0)</f>
        <v>1</v>
      </c>
      <c r="O96" s="14" cm="1">
        <f t="array" ref="O96">INT(SUMPRODUCT(--ISNUMBER(SEARCH(violent,C96)))&gt;0)</f>
        <v>0</v>
      </c>
      <c r="P96" s="14" cm="1">
        <f t="array" ref="P96">INT(SUMPRODUCT(--ISNUMBER(SEARCH(foreign,C96)))&gt;0)</f>
        <v>1</v>
      </c>
      <c r="Q96" s="14" cm="1">
        <f t="array" ref="Q96">INT(SUMPRODUCT(--ISNUMBER(SEARCH(gun,C96)))&gt;0)</f>
        <v>0</v>
      </c>
      <c r="R96" s="14" cm="1">
        <f t="array" ref="R96">INT(SUMPRODUCT(--ISNUMBER(SEARCH(race,C96)))&gt;0)</f>
        <v>0</v>
      </c>
      <c r="S96" s="14" cm="1">
        <f t="array" ref="S96">INT(SUMPRODUCT(--ISNUMBER(SEARCH(immigration,C96)))&gt;0)</f>
        <v>1</v>
      </c>
      <c r="T96" s="14" cm="1">
        <f t="array" ref="T96">INT(SUMPRODUCT(--ISNUMBER(SEARCH(econineq,C97)))&gt;0)</f>
        <v>0</v>
      </c>
      <c r="U96" s="14" cm="1">
        <f t="array" ref="U96">INT(SUMPRODUCT(--ISNUMBER(SEARCH(climate,C96)))&gt;0)</f>
        <v>0</v>
      </c>
      <c r="V96" s="14" cm="1">
        <f t="array" ref="V96">INT(SUMPRODUCT(--ISNUMBER(SEARCH(abortion,C96)))&gt;0)</f>
        <v>0</v>
      </c>
      <c r="W96" s="14" cm="1">
        <f t="array" ref="W96">INT(SUMPRODUCT(--ISNUMBER(SEARCH(trump,C96)))&gt;0)</f>
        <v>0</v>
      </c>
      <c r="X96" s="14" cm="1">
        <f t="array" ref="X96">INT(SUMPRODUCT(--ISNUMBER(SEARCH(voting,C96)))&gt;0)</f>
        <v>0</v>
      </c>
      <c r="Y96" s="14" cm="1">
        <f t="array" ref="Y96">INT(SUMPRODUCT(--ISNUMBER(SEARCH(democrattrigger,C96)))&gt;0)</f>
        <v>0</v>
      </c>
      <c r="Z96" s="14" cm="1">
        <f t="array" ref="Z96">INT(SUMPRODUCT(--ISNUMBER(SEARCH(bipartisan,C96)))&gt;0)</f>
        <v>1</v>
      </c>
      <c r="AA96" s="14">
        <f t="shared" si="1"/>
        <v>0</v>
      </c>
      <c r="AB96" s="14"/>
      <c r="AC96" s="30">
        <v>1</v>
      </c>
      <c r="AD96" s="37">
        <v>0</v>
      </c>
    </row>
    <row r="97" spans="1:30" x14ac:dyDescent="0.25">
      <c r="A97" s="36">
        <v>4292</v>
      </c>
      <c r="B97" s="14" t="s">
        <v>8607</v>
      </c>
      <c r="C97" s="14" t="s">
        <v>8608</v>
      </c>
      <c r="D97" s="17">
        <v>44116</v>
      </c>
      <c r="E97" s="14" t="s">
        <v>30</v>
      </c>
      <c r="F97" s="14">
        <v>281</v>
      </c>
      <c r="G97" s="14">
        <v>122</v>
      </c>
      <c r="H97" s="14">
        <v>19</v>
      </c>
      <c r="I97" s="14">
        <v>10</v>
      </c>
      <c r="J97" s="14" t="s">
        <v>204</v>
      </c>
      <c r="K97" s="14" cm="1">
        <f t="array" ref="K97">INT(SUMPRODUCT(--ISNUMBER(SEARCH(economy,C97)))&gt;0)</f>
        <v>0</v>
      </c>
      <c r="L97" s="14" cm="1">
        <f t="array" ref="L97">INT(SUMPRODUCT(--ISNUMBER(SEARCH(healthcare,C97)))&gt;0)</f>
        <v>1</v>
      </c>
      <c r="M97" s="14" cm="1">
        <f t="array" ref="M97">INT(SUMPRODUCT(--ISNUMBER(SEARCH(supreme,C97)))&gt;0)</f>
        <v>0</v>
      </c>
      <c r="N97" s="14" cm="1">
        <f t="array" ref="N97">INT(SUMPRODUCT(--ISNUMBER(SEARCH(covid,C97)))&gt;0)</f>
        <v>1</v>
      </c>
      <c r="O97" s="14" cm="1">
        <f t="array" ref="O97">INT(SUMPRODUCT(--ISNUMBER(SEARCH(violent,C97)))&gt;0)</f>
        <v>0</v>
      </c>
      <c r="P97" s="14" cm="1">
        <f t="array" ref="P97">INT(SUMPRODUCT(--ISNUMBER(SEARCH(foreign,C97)))&gt;0)</f>
        <v>0</v>
      </c>
      <c r="Q97" s="14" cm="1">
        <f t="array" ref="Q97">INT(SUMPRODUCT(--ISNUMBER(SEARCH(gun,C97)))&gt;0)</f>
        <v>0</v>
      </c>
      <c r="R97" s="14" cm="1">
        <f t="array" ref="R97">INT(SUMPRODUCT(--ISNUMBER(SEARCH(race,C97)))&gt;0)</f>
        <v>0</v>
      </c>
      <c r="S97" s="14" cm="1">
        <f t="array" ref="S97">INT(SUMPRODUCT(--ISNUMBER(SEARCH(immigration,C97)))&gt;0)</f>
        <v>0</v>
      </c>
      <c r="T97" s="14" cm="1">
        <f t="array" ref="T97">INT(SUMPRODUCT(--ISNUMBER(SEARCH(econineq,C98)))&gt;0)</f>
        <v>0</v>
      </c>
      <c r="U97" s="14" cm="1">
        <f t="array" ref="U97">INT(SUMPRODUCT(--ISNUMBER(SEARCH(climate,C97)))&gt;0)</f>
        <v>0</v>
      </c>
      <c r="V97" s="14" cm="1">
        <f t="array" ref="V97">INT(SUMPRODUCT(--ISNUMBER(SEARCH(abortion,C97)))&gt;0)</f>
        <v>0</v>
      </c>
      <c r="W97" s="14" cm="1">
        <f t="array" ref="W97">INT(SUMPRODUCT(--ISNUMBER(SEARCH(trump,C97)))&gt;0)</f>
        <v>1</v>
      </c>
      <c r="X97" s="14" cm="1">
        <f t="array" ref="X97">INT(SUMPRODUCT(--ISNUMBER(SEARCH(voting,C97)))&gt;0)</f>
        <v>0</v>
      </c>
      <c r="Y97" s="14" cm="1">
        <f t="array" ref="Y97">INT(SUMPRODUCT(--ISNUMBER(SEARCH(democrattrigger,C97)))&gt;0)</f>
        <v>1</v>
      </c>
      <c r="Z97" s="14" cm="1">
        <f t="array" ref="Z97">INT(SUMPRODUCT(--ISNUMBER(SEARCH(bipartisan,C97)))&gt;0)</f>
        <v>0</v>
      </c>
      <c r="AA97" s="14">
        <f t="shared" si="1"/>
        <v>0</v>
      </c>
      <c r="AB97" s="14"/>
      <c r="AC97" s="30" t="s">
        <v>223</v>
      </c>
      <c r="AD97" s="37" t="s">
        <v>223</v>
      </c>
    </row>
    <row r="98" spans="1:30" x14ac:dyDescent="0.25">
      <c r="A98" s="36">
        <v>4293</v>
      </c>
      <c r="B98" s="14" t="s">
        <v>8609</v>
      </c>
      <c r="C98" s="14" t="s">
        <v>8610</v>
      </c>
      <c r="D98" s="17">
        <v>44115</v>
      </c>
      <c r="E98" s="14" t="s">
        <v>30</v>
      </c>
      <c r="F98" s="14">
        <v>832</v>
      </c>
      <c r="G98" s="14">
        <v>389</v>
      </c>
      <c r="H98" s="14">
        <v>19</v>
      </c>
      <c r="I98" s="14">
        <v>10</v>
      </c>
      <c r="J98" s="14" t="s">
        <v>204</v>
      </c>
      <c r="K98" s="14" cm="1">
        <f t="array" ref="K98">INT(SUMPRODUCT(--ISNUMBER(SEARCH(economy,C98)))&gt;0)</f>
        <v>1</v>
      </c>
      <c r="L98" s="14" cm="1">
        <f t="array" ref="L98">INT(SUMPRODUCT(--ISNUMBER(SEARCH(healthcare,C98)))&gt;0)</f>
        <v>0</v>
      </c>
      <c r="M98" s="14" cm="1">
        <f t="array" ref="M98">INT(SUMPRODUCT(--ISNUMBER(SEARCH(supreme,C98)))&gt;0)</f>
        <v>0</v>
      </c>
      <c r="N98" s="14" cm="1">
        <f t="array" ref="N98">INT(SUMPRODUCT(--ISNUMBER(SEARCH(covid,C98)))&gt;0)</f>
        <v>1</v>
      </c>
      <c r="O98" s="14" cm="1">
        <f t="array" ref="O98">INT(SUMPRODUCT(--ISNUMBER(SEARCH(violent,C98)))&gt;0)</f>
        <v>0</v>
      </c>
      <c r="P98" s="14" cm="1">
        <f t="array" ref="P98">INT(SUMPRODUCT(--ISNUMBER(SEARCH(foreign,C98)))&gt;0)</f>
        <v>0</v>
      </c>
      <c r="Q98" s="14" cm="1">
        <f t="array" ref="Q98">INT(SUMPRODUCT(--ISNUMBER(SEARCH(gun,C98)))&gt;0)</f>
        <v>0</v>
      </c>
      <c r="R98" s="14" cm="1">
        <f t="array" ref="R98">INT(SUMPRODUCT(--ISNUMBER(SEARCH(race,C98)))&gt;0)</f>
        <v>0</v>
      </c>
      <c r="S98" s="14" cm="1">
        <f t="array" ref="S98">INT(SUMPRODUCT(--ISNUMBER(SEARCH(immigration,C98)))&gt;0)</f>
        <v>0</v>
      </c>
      <c r="T98" s="14" cm="1">
        <f t="array" ref="T98">INT(SUMPRODUCT(--ISNUMBER(SEARCH(econineq,C99)))&gt;0)</f>
        <v>0</v>
      </c>
      <c r="U98" s="14" cm="1">
        <f t="array" ref="U98">INT(SUMPRODUCT(--ISNUMBER(SEARCH(climate,C98)))&gt;0)</f>
        <v>0</v>
      </c>
      <c r="V98" s="14" cm="1">
        <f t="array" ref="V98">INT(SUMPRODUCT(--ISNUMBER(SEARCH(abortion,C98)))&gt;0)</f>
        <v>0</v>
      </c>
      <c r="W98" s="14" cm="1">
        <f t="array" ref="W98">INT(SUMPRODUCT(--ISNUMBER(SEARCH(trump,C98)))&gt;0)</f>
        <v>0</v>
      </c>
      <c r="X98" s="14" cm="1">
        <f t="array" ref="X98">INT(SUMPRODUCT(--ISNUMBER(SEARCH(voting,C98)))&gt;0)</f>
        <v>1</v>
      </c>
      <c r="Y98" s="14" cm="1">
        <f t="array" ref="Y98">INT(SUMPRODUCT(--ISNUMBER(SEARCH(democrattrigger,C98)))&gt;0)</f>
        <v>0</v>
      </c>
      <c r="Z98" s="14" cm="1">
        <f t="array" ref="Z98">INT(SUMPRODUCT(--ISNUMBER(SEARCH(bipartisan,C98)))&gt;0)</f>
        <v>0</v>
      </c>
      <c r="AA98" s="14">
        <f t="shared" si="1"/>
        <v>0</v>
      </c>
      <c r="AB98" s="14"/>
      <c r="AC98" s="30" t="s">
        <v>223</v>
      </c>
      <c r="AD98" s="37" t="s">
        <v>223</v>
      </c>
    </row>
    <row r="99" spans="1:30" x14ac:dyDescent="0.25">
      <c r="A99" s="36">
        <v>4294</v>
      </c>
      <c r="B99" s="14" t="s">
        <v>8611</v>
      </c>
      <c r="C99" s="14" t="s">
        <v>8612</v>
      </c>
      <c r="D99" s="17">
        <v>44114</v>
      </c>
      <c r="E99" s="14" t="s">
        <v>30</v>
      </c>
      <c r="F99" s="14">
        <v>252</v>
      </c>
      <c r="G99" s="14">
        <v>82</v>
      </c>
      <c r="H99" s="14">
        <v>19</v>
      </c>
      <c r="I99" s="14">
        <v>10</v>
      </c>
      <c r="J99" s="14" t="s">
        <v>204</v>
      </c>
      <c r="K99" s="14" cm="1">
        <f t="array" ref="K99">INT(SUMPRODUCT(--ISNUMBER(SEARCH(economy,C99)))&gt;0)</f>
        <v>0</v>
      </c>
      <c r="L99" s="14" cm="1">
        <f t="array" ref="L99">INT(SUMPRODUCT(--ISNUMBER(SEARCH(healthcare,C99)))&gt;0)</f>
        <v>1</v>
      </c>
      <c r="M99" s="14" cm="1">
        <f t="array" ref="M99">INT(SUMPRODUCT(--ISNUMBER(SEARCH(supreme,C99)))&gt;0)</f>
        <v>0</v>
      </c>
      <c r="N99" s="14" cm="1">
        <f t="array" ref="N99">INT(SUMPRODUCT(--ISNUMBER(SEARCH(covid,C99)))&gt;0)</f>
        <v>0</v>
      </c>
      <c r="O99" s="14" cm="1">
        <f t="array" ref="O99">INT(SUMPRODUCT(--ISNUMBER(SEARCH(violent,C99)))&gt;0)</f>
        <v>0</v>
      </c>
      <c r="P99" s="14" cm="1">
        <f t="array" ref="P99">INT(SUMPRODUCT(--ISNUMBER(SEARCH(foreign,C99)))&gt;0)</f>
        <v>0</v>
      </c>
      <c r="Q99" s="14" cm="1">
        <f t="array" ref="Q99">INT(SUMPRODUCT(--ISNUMBER(SEARCH(gun,C99)))&gt;0)</f>
        <v>0</v>
      </c>
      <c r="R99" s="14" cm="1">
        <f t="array" ref="R99">INT(SUMPRODUCT(--ISNUMBER(SEARCH(race,C99)))&gt;0)</f>
        <v>0</v>
      </c>
      <c r="S99" s="14" cm="1">
        <f t="array" ref="S99">INT(SUMPRODUCT(--ISNUMBER(SEARCH(immigration,C99)))&gt;0)</f>
        <v>0</v>
      </c>
      <c r="T99" s="14" cm="1">
        <f t="array" ref="T99">INT(SUMPRODUCT(--ISNUMBER(SEARCH(econineq,C100)))&gt;0)</f>
        <v>0</v>
      </c>
      <c r="U99" s="14" cm="1">
        <f t="array" ref="U99">INT(SUMPRODUCT(--ISNUMBER(SEARCH(climate,C99)))&gt;0)</f>
        <v>0</v>
      </c>
      <c r="V99" s="14" cm="1">
        <f t="array" ref="V99">INT(SUMPRODUCT(--ISNUMBER(SEARCH(abortion,C99)))&gt;0)</f>
        <v>0</v>
      </c>
      <c r="W99" s="14" cm="1">
        <f t="array" ref="W99">INT(SUMPRODUCT(--ISNUMBER(SEARCH(trump,C99)))&gt;0)</f>
        <v>0</v>
      </c>
      <c r="X99" s="14" cm="1">
        <f t="array" ref="X99">INT(SUMPRODUCT(--ISNUMBER(SEARCH(voting,C99)))&gt;0)</f>
        <v>0</v>
      </c>
      <c r="Y99" s="14" cm="1">
        <f t="array" ref="Y99">INT(SUMPRODUCT(--ISNUMBER(SEARCH(democrattrigger,C99)))&gt;0)</f>
        <v>0</v>
      </c>
      <c r="Z99" s="14" cm="1">
        <f t="array" ref="Z99">INT(SUMPRODUCT(--ISNUMBER(SEARCH(bipartisan,C99)))&gt;0)</f>
        <v>0</v>
      </c>
      <c r="AA99" s="14">
        <f t="shared" si="1"/>
        <v>0</v>
      </c>
      <c r="AB99" s="14"/>
      <c r="AC99" s="30">
        <v>1</v>
      </c>
      <c r="AD99" s="37">
        <v>0</v>
      </c>
    </row>
    <row r="100" spans="1:30" x14ac:dyDescent="0.25">
      <c r="A100" s="36">
        <v>4295</v>
      </c>
      <c r="B100" s="14" t="s">
        <v>8613</v>
      </c>
      <c r="C100" s="14" t="s">
        <v>8614</v>
      </c>
      <c r="D100" s="17">
        <v>44113</v>
      </c>
      <c r="E100" s="14" t="s">
        <v>30</v>
      </c>
      <c r="F100" s="14">
        <v>81</v>
      </c>
      <c r="G100" s="14">
        <v>19</v>
      </c>
      <c r="H100" s="14">
        <v>19</v>
      </c>
      <c r="I100" s="14">
        <v>10</v>
      </c>
      <c r="J100" s="14" t="s">
        <v>204</v>
      </c>
      <c r="K100" s="14" cm="1">
        <f t="array" ref="K100">INT(SUMPRODUCT(--ISNUMBER(SEARCH(economy,C100)))&gt;0)</f>
        <v>0</v>
      </c>
      <c r="L100" s="14" cm="1">
        <f t="array" ref="L100">INT(SUMPRODUCT(--ISNUMBER(SEARCH(healthcare,C100)))&gt;0)</f>
        <v>0</v>
      </c>
      <c r="M100" s="14" cm="1">
        <f t="array" ref="M100">INT(SUMPRODUCT(--ISNUMBER(SEARCH(supreme,C100)))&gt;0)</f>
        <v>0</v>
      </c>
      <c r="N100" s="14" cm="1">
        <f t="array" ref="N100">INT(SUMPRODUCT(--ISNUMBER(SEARCH(covid,C100)))&gt;0)</f>
        <v>1</v>
      </c>
      <c r="O100" s="14" cm="1">
        <f t="array" ref="O100">INT(SUMPRODUCT(--ISNUMBER(SEARCH(violent,C100)))&gt;0)</f>
        <v>0</v>
      </c>
      <c r="P100" s="14" cm="1">
        <f t="array" ref="P100">INT(SUMPRODUCT(--ISNUMBER(SEARCH(foreign,C100)))&gt;0)</f>
        <v>0</v>
      </c>
      <c r="Q100" s="14" cm="1">
        <f t="array" ref="Q100">INT(SUMPRODUCT(--ISNUMBER(SEARCH(gun,C100)))&gt;0)</f>
        <v>0</v>
      </c>
      <c r="R100" s="14" cm="1">
        <f t="array" ref="R100">INT(SUMPRODUCT(--ISNUMBER(SEARCH(race,C100)))&gt;0)</f>
        <v>0</v>
      </c>
      <c r="S100" s="14" cm="1">
        <f t="array" ref="S100">INT(SUMPRODUCT(--ISNUMBER(SEARCH(immigration,C100)))&gt;0)</f>
        <v>0</v>
      </c>
      <c r="T100" s="14" cm="1">
        <f t="array" ref="T100">INT(SUMPRODUCT(--ISNUMBER(SEARCH(econineq,C101)))&gt;0)</f>
        <v>0</v>
      </c>
      <c r="U100" s="14" cm="1">
        <f t="array" ref="U100">INT(SUMPRODUCT(--ISNUMBER(SEARCH(climate,C100)))&gt;0)</f>
        <v>0</v>
      </c>
      <c r="V100" s="14" cm="1">
        <f t="array" ref="V100">INT(SUMPRODUCT(--ISNUMBER(SEARCH(abortion,C100)))&gt;0)</f>
        <v>0</v>
      </c>
      <c r="W100" s="14" cm="1">
        <f t="array" ref="W100">INT(SUMPRODUCT(--ISNUMBER(SEARCH(trump,C100)))&gt;0)</f>
        <v>0</v>
      </c>
      <c r="X100" s="14" cm="1">
        <f t="array" ref="X100">INT(SUMPRODUCT(--ISNUMBER(SEARCH(voting,C100)))&gt;0)</f>
        <v>0</v>
      </c>
      <c r="Y100" s="14" cm="1">
        <f t="array" ref="Y100">INT(SUMPRODUCT(--ISNUMBER(SEARCH(democrattrigger,C100)))&gt;0)</f>
        <v>0</v>
      </c>
      <c r="Z100" s="14" cm="1">
        <f t="array" ref="Z100">INT(SUMPRODUCT(--ISNUMBER(SEARCH(bipartisan,C100)))&gt;0)</f>
        <v>0</v>
      </c>
      <c r="AA100" s="14">
        <f t="shared" si="1"/>
        <v>0</v>
      </c>
      <c r="AB100" s="14"/>
      <c r="AC100" s="30">
        <v>1</v>
      </c>
      <c r="AD100" s="37">
        <v>0</v>
      </c>
    </row>
    <row r="101" spans="1:30" x14ac:dyDescent="0.25">
      <c r="A101" s="36">
        <v>4296</v>
      </c>
      <c r="B101" s="14" t="s">
        <v>8615</v>
      </c>
      <c r="C101" s="14" t="s">
        <v>8616</v>
      </c>
      <c r="D101" s="17">
        <v>44113</v>
      </c>
      <c r="E101" s="14" t="s">
        <v>30</v>
      </c>
      <c r="F101" s="14">
        <v>242</v>
      </c>
      <c r="G101" s="14">
        <v>65</v>
      </c>
      <c r="H101" s="14">
        <v>19</v>
      </c>
      <c r="I101" s="14">
        <v>10</v>
      </c>
      <c r="J101" s="14" t="s">
        <v>204</v>
      </c>
      <c r="K101" s="14" cm="1">
        <f t="array" ref="K101">INT(SUMPRODUCT(--ISNUMBER(SEARCH(economy,C101)))&gt;0)</f>
        <v>0</v>
      </c>
      <c r="L101" s="14" cm="1">
        <f t="array" ref="L101">INT(SUMPRODUCT(--ISNUMBER(SEARCH(healthcare,C101)))&gt;0)</f>
        <v>0</v>
      </c>
      <c r="M101" s="14" cm="1">
        <f t="array" ref="M101">INT(SUMPRODUCT(--ISNUMBER(SEARCH(supreme,C101)))&gt;0)</f>
        <v>0</v>
      </c>
      <c r="N101" s="14" cm="1">
        <f t="array" ref="N101">INT(SUMPRODUCT(--ISNUMBER(SEARCH(covid,C101)))&gt;0)</f>
        <v>0</v>
      </c>
      <c r="O101" s="14" cm="1">
        <f t="array" ref="O101">INT(SUMPRODUCT(--ISNUMBER(SEARCH(violent,C101)))&gt;0)</f>
        <v>0</v>
      </c>
      <c r="P101" s="14" cm="1">
        <f t="array" ref="P101">INT(SUMPRODUCT(--ISNUMBER(SEARCH(foreign,C101)))&gt;0)</f>
        <v>0</v>
      </c>
      <c r="Q101" s="14" cm="1">
        <f t="array" ref="Q101">INT(SUMPRODUCT(--ISNUMBER(SEARCH(gun,C101)))&gt;0)</f>
        <v>0</v>
      </c>
      <c r="R101" s="14" cm="1">
        <f t="array" ref="R101">INT(SUMPRODUCT(--ISNUMBER(SEARCH(race,C101)))&gt;0)</f>
        <v>0</v>
      </c>
      <c r="S101" s="14" cm="1">
        <f t="array" ref="S101">INT(SUMPRODUCT(--ISNUMBER(SEARCH(immigration,C101)))&gt;0)</f>
        <v>0</v>
      </c>
      <c r="T101" s="14" cm="1">
        <f t="array" ref="T101">INT(SUMPRODUCT(--ISNUMBER(SEARCH(econineq,C102)))&gt;0)</f>
        <v>0</v>
      </c>
      <c r="U101" s="14" cm="1">
        <f t="array" ref="U101">INT(SUMPRODUCT(--ISNUMBER(SEARCH(climate,C101)))&gt;0)</f>
        <v>0</v>
      </c>
      <c r="V101" s="14" cm="1">
        <f t="array" ref="V101">INT(SUMPRODUCT(--ISNUMBER(SEARCH(abortion,C101)))&gt;0)</f>
        <v>0</v>
      </c>
      <c r="W101" s="14" cm="1">
        <f t="array" ref="W101">INT(SUMPRODUCT(--ISNUMBER(SEARCH(trump,C101)))&gt;0)</f>
        <v>0</v>
      </c>
      <c r="X101" s="14" cm="1">
        <f t="array" ref="X101">INT(SUMPRODUCT(--ISNUMBER(SEARCH(voting,C101)))&gt;0)</f>
        <v>0</v>
      </c>
      <c r="Y101" s="14" cm="1">
        <f t="array" ref="Y101">INT(SUMPRODUCT(--ISNUMBER(SEARCH(democrattrigger,C101)))&gt;0)</f>
        <v>0</v>
      </c>
      <c r="Z101" s="14" cm="1">
        <f t="array" ref="Z101">INT(SUMPRODUCT(--ISNUMBER(SEARCH(bipartisan,C101)))&gt;0)</f>
        <v>0</v>
      </c>
      <c r="AA101" s="14">
        <f t="shared" si="1"/>
        <v>1</v>
      </c>
      <c r="AB101" s="14"/>
      <c r="AC101" s="30">
        <v>1</v>
      </c>
      <c r="AD101" s="37">
        <v>0</v>
      </c>
    </row>
    <row r="102" spans="1:30" x14ac:dyDescent="0.25">
      <c r="A102" s="36">
        <v>4297</v>
      </c>
      <c r="B102" s="14" t="s">
        <v>8617</v>
      </c>
      <c r="C102" s="14" t="s">
        <v>8618</v>
      </c>
      <c r="D102" s="17">
        <v>44113</v>
      </c>
      <c r="E102" s="14" t="s">
        <v>70</v>
      </c>
      <c r="F102" s="14">
        <v>94</v>
      </c>
      <c r="G102" s="14">
        <v>17</v>
      </c>
      <c r="H102" s="14">
        <v>19</v>
      </c>
      <c r="I102" s="14">
        <v>10</v>
      </c>
      <c r="J102" s="14" t="s">
        <v>204</v>
      </c>
      <c r="K102" s="14" cm="1">
        <f t="array" ref="K102">INT(SUMPRODUCT(--ISNUMBER(SEARCH(economy,C102)))&gt;0)</f>
        <v>0</v>
      </c>
      <c r="L102" s="14" cm="1">
        <f t="array" ref="L102">INT(SUMPRODUCT(--ISNUMBER(SEARCH(healthcare,C102)))&gt;0)</f>
        <v>0</v>
      </c>
      <c r="M102" s="14" cm="1">
        <f t="array" ref="M102">INT(SUMPRODUCT(--ISNUMBER(SEARCH(supreme,C102)))&gt;0)</f>
        <v>0</v>
      </c>
      <c r="N102" s="14" cm="1">
        <f t="array" ref="N102">INT(SUMPRODUCT(--ISNUMBER(SEARCH(covid,C102)))&gt;0)</f>
        <v>0</v>
      </c>
      <c r="O102" s="14" cm="1">
        <f t="array" ref="O102">INT(SUMPRODUCT(--ISNUMBER(SEARCH(violent,C102)))&gt;0)</f>
        <v>0</v>
      </c>
      <c r="P102" s="14" cm="1">
        <f t="array" ref="P102">INT(SUMPRODUCT(--ISNUMBER(SEARCH(foreign,C102)))&gt;0)</f>
        <v>0</v>
      </c>
      <c r="Q102" s="14" cm="1">
        <f t="array" ref="Q102">INT(SUMPRODUCT(--ISNUMBER(SEARCH(gun,C102)))&gt;0)</f>
        <v>0</v>
      </c>
      <c r="R102" s="14" cm="1">
        <f t="array" ref="R102">INT(SUMPRODUCT(--ISNUMBER(SEARCH(race,C102)))&gt;0)</f>
        <v>0</v>
      </c>
      <c r="S102" s="14" cm="1">
        <f t="array" ref="S102">INT(SUMPRODUCT(--ISNUMBER(SEARCH(immigration,C102)))&gt;0)</f>
        <v>0</v>
      </c>
      <c r="T102" s="14" cm="1">
        <f t="array" ref="T102">INT(SUMPRODUCT(--ISNUMBER(SEARCH(econineq,C103)))&gt;0)</f>
        <v>0</v>
      </c>
      <c r="U102" s="14" cm="1">
        <f t="array" ref="U102">INT(SUMPRODUCT(--ISNUMBER(SEARCH(climate,C102)))&gt;0)</f>
        <v>0</v>
      </c>
      <c r="V102" s="14" cm="1">
        <f t="array" ref="V102">INT(SUMPRODUCT(--ISNUMBER(SEARCH(abortion,C102)))&gt;0)</f>
        <v>0</v>
      </c>
      <c r="W102" s="14" cm="1">
        <f t="array" ref="W102">INT(SUMPRODUCT(--ISNUMBER(SEARCH(trump,C102)))&gt;0)</f>
        <v>0</v>
      </c>
      <c r="X102" s="14" cm="1">
        <f t="array" ref="X102">INT(SUMPRODUCT(--ISNUMBER(SEARCH(voting,C102)))&gt;0)</f>
        <v>0</v>
      </c>
      <c r="Y102" s="14" cm="1">
        <f t="array" ref="Y102">INT(SUMPRODUCT(--ISNUMBER(SEARCH(democrattrigger,C102)))&gt;0)</f>
        <v>0</v>
      </c>
      <c r="Z102" s="14" cm="1">
        <f t="array" ref="Z102">INT(SUMPRODUCT(--ISNUMBER(SEARCH(bipartisan,C102)))&gt;0)</f>
        <v>0</v>
      </c>
      <c r="AA102" s="14">
        <f t="shared" si="1"/>
        <v>1</v>
      </c>
      <c r="AB102" s="14"/>
      <c r="AC102" s="30" t="s">
        <v>223</v>
      </c>
      <c r="AD102" s="37" t="s">
        <v>223</v>
      </c>
    </row>
    <row r="103" spans="1:30" x14ac:dyDescent="0.25">
      <c r="A103" s="36">
        <v>4298</v>
      </c>
      <c r="B103" s="14" t="s">
        <v>8619</v>
      </c>
      <c r="C103" s="14" t="s">
        <v>8620</v>
      </c>
      <c r="D103" s="17">
        <v>44113</v>
      </c>
      <c r="E103" s="14" t="s">
        <v>30</v>
      </c>
      <c r="F103" s="14">
        <v>265</v>
      </c>
      <c r="G103" s="14">
        <v>81</v>
      </c>
      <c r="H103" s="14">
        <v>19</v>
      </c>
      <c r="I103" s="14">
        <v>10</v>
      </c>
      <c r="J103" s="14" t="s">
        <v>204</v>
      </c>
      <c r="K103" s="14" cm="1">
        <f t="array" ref="K103">INT(SUMPRODUCT(--ISNUMBER(SEARCH(economy,C103)))&gt;0)</f>
        <v>0</v>
      </c>
      <c r="L103" s="14" cm="1">
        <f t="array" ref="L103">INT(SUMPRODUCT(--ISNUMBER(SEARCH(healthcare,C103)))&gt;0)</f>
        <v>0</v>
      </c>
      <c r="M103" s="14" cm="1">
        <f t="array" ref="M103">INT(SUMPRODUCT(--ISNUMBER(SEARCH(supreme,C103)))&gt;0)</f>
        <v>0</v>
      </c>
      <c r="N103" s="14" cm="1">
        <f t="array" ref="N103">INT(SUMPRODUCT(--ISNUMBER(SEARCH(covid,C103)))&gt;0)</f>
        <v>0</v>
      </c>
      <c r="O103" s="14" cm="1">
        <f t="array" ref="O103">INT(SUMPRODUCT(--ISNUMBER(SEARCH(violent,C103)))&gt;0)</f>
        <v>0</v>
      </c>
      <c r="P103" s="14" cm="1">
        <f t="array" ref="P103">INT(SUMPRODUCT(--ISNUMBER(SEARCH(foreign,C103)))&gt;0)</f>
        <v>0</v>
      </c>
      <c r="Q103" s="14" cm="1">
        <f t="array" ref="Q103">INT(SUMPRODUCT(--ISNUMBER(SEARCH(gun,C103)))&gt;0)</f>
        <v>0</v>
      </c>
      <c r="R103" s="14" cm="1">
        <f t="array" ref="R103">INT(SUMPRODUCT(--ISNUMBER(SEARCH(race,C103)))&gt;0)</f>
        <v>0</v>
      </c>
      <c r="S103" s="14" cm="1">
        <f t="array" ref="S103">INT(SUMPRODUCT(--ISNUMBER(SEARCH(immigration,C103)))&gt;0)</f>
        <v>0</v>
      </c>
      <c r="T103" s="14" cm="1">
        <f t="array" ref="T103">INT(SUMPRODUCT(--ISNUMBER(SEARCH(econineq,C104)))&gt;0)</f>
        <v>0</v>
      </c>
      <c r="U103" s="14" cm="1">
        <f t="array" ref="U103">INT(SUMPRODUCT(--ISNUMBER(SEARCH(climate,C103)))&gt;0)</f>
        <v>0</v>
      </c>
      <c r="V103" s="14" cm="1">
        <f t="array" ref="V103">INT(SUMPRODUCT(--ISNUMBER(SEARCH(abortion,C103)))&gt;0)</f>
        <v>0</v>
      </c>
      <c r="W103" s="14" cm="1">
        <f t="array" ref="W103">INT(SUMPRODUCT(--ISNUMBER(SEARCH(trump,C103)))&gt;0)</f>
        <v>0</v>
      </c>
      <c r="X103" s="14" cm="1">
        <f t="array" ref="X103">INT(SUMPRODUCT(--ISNUMBER(SEARCH(voting,C103)))&gt;0)</f>
        <v>1</v>
      </c>
      <c r="Y103" s="14" cm="1">
        <f t="array" ref="Y103">INT(SUMPRODUCT(--ISNUMBER(SEARCH(democrattrigger,C103)))&gt;0)</f>
        <v>0</v>
      </c>
      <c r="Z103" s="14" cm="1">
        <f t="array" ref="Z103">INT(SUMPRODUCT(--ISNUMBER(SEARCH(bipartisan,C103)))&gt;0)</f>
        <v>0</v>
      </c>
      <c r="AA103" s="14">
        <f t="shared" si="1"/>
        <v>0</v>
      </c>
      <c r="AB103" s="14"/>
      <c r="AC103" s="30" t="s">
        <v>223</v>
      </c>
      <c r="AD103" s="37" t="s">
        <v>223</v>
      </c>
    </row>
    <row r="104" spans="1:30" x14ac:dyDescent="0.25">
      <c r="A104" s="36">
        <v>4299</v>
      </c>
      <c r="B104" s="14" t="s">
        <v>8621</v>
      </c>
      <c r="C104" s="14" t="s">
        <v>8622</v>
      </c>
      <c r="D104" s="17">
        <v>44113</v>
      </c>
      <c r="E104" s="14" t="s">
        <v>30</v>
      </c>
      <c r="F104" s="14">
        <v>126</v>
      </c>
      <c r="G104" s="14">
        <v>42</v>
      </c>
      <c r="H104" s="14">
        <v>19</v>
      </c>
      <c r="I104" s="14">
        <v>10</v>
      </c>
      <c r="J104" s="14" t="s">
        <v>204</v>
      </c>
      <c r="K104" s="14" cm="1">
        <f t="array" ref="K104">INT(SUMPRODUCT(--ISNUMBER(SEARCH(economy,C104)))&gt;0)</f>
        <v>0</v>
      </c>
      <c r="L104" s="14" cm="1">
        <f t="array" ref="L104">INT(SUMPRODUCT(--ISNUMBER(SEARCH(healthcare,C104)))&gt;0)</f>
        <v>0</v>
      </c>
      <c r="M104" s="14" cm="1">
        <f t="array" ref="M104">INT(SUMPRODUCT(--ISNUMBER(SEARCH(supreme,C104)))&gt;0)</f>
        <v>0</v>
      </c>
      <c r="N104" s="14" cm="1">
        <f t="array" ref="N104">INT(SUMPRODUCT(--ISNUMBER(SEARCH(covid,C104)))&gt;0)</f>
        <v>0</v>
      </c>
      <c r="O104" s="14" cm="1">
        <f t="array" ref="O104">INT(SUMPRODUCT(--ISNUMBER(SEARCH(violent,C104)))&gt;0)</f>
        <v>0</v>
      </c>
      <c r="P104" s="14" cm="1">
        <f t="array" ref="P104">INT(SUMPRODUCT(--ISNUMBER(SEARCH(foreign,C104)))&gt;0)</f>
        <v>0</v>
      </c>
      <c r="Q104" s="14" cm="1">
        <f t="array" ref="Q104">INT(SUMPRODUCT(--ISNUMBER(SEARCH(gun,C104)))&gt;0)</f>
        <v>0</v>
      </c>
      <c r="R104" s="14" cm="1">
        <f t="array" ref="R104">INT(SUMPRODUCT(--ISNUMBER(SEARCH(race,C104)))&gt;0)</f>
        <v>0</v>
      </c>
      <c r="S104" s="14" cm="1">
        <f t="array" ref="S104">INT(SUMPRODUCT(--ISNUMBER(SEARCH(immigration,C104)))&gt;0)</f>
        <v>0</v>
      </c>
      <c r="T104" s="14" cm="1">
        <f t="array" ref="T104">INT(SUMPRODUCT(--ISNUMBER(SEARCH(econineq,C105)))&gt;0)</f>
        <v>0</v>
      </c>
      <c r="U104" s="14" cm="1">
        <f t="array" ref="U104">INT(SUMPRODUCT(--ISNUMBER(SEARCH(climate,C104)))&gt;0)</f>
        <v>0</v>
      </c>
      <c r="V104" s="14" cm="1">
        <f t="array" ref="V104">INT(SUMPRODUCT(--ISNUMBER(SEARCH(abortion,C104)))&gt;0)</f>
        <v>0</v>
      </c>
      <c r="W104" s="14" cm="1">
        <f t="array" ref="W104">INT(SUMPRODUCT(--ISNUMBER(SEARCH(trump,C104)))&gt;0)</f>
        <v>0</v>
      </c>
      <c r="X104" s="14" cm="1">
        <f t="array" ref="X104">INT(SUMPRODUCT(--ISNUMBER(SEARCH(voting,C104)))&gt;0)</f>
        <v>0</v>
      </c>
      <c r="Y104" s="14" cm="1">
        <f t="array" ref="Y104">INT(SUMPRODUCT(--ISNUMBER(SEARCH(democrattrigger,C104)))&gt;0)</f>
        <v>0</v>
      </c>
      <c r="Z104" s="14" cm="1">
        <f t="array" ref="Z104">INT(SUMPRODUCT(--ISNUMBER(SEARCH(bipartisan,C104)))&gt;0)</f>
        <v>0</v>
      </c>
      <c r="AA104" s="14">
        <f t="shared" si="1"/>
        <v>1</v>
      </c>
      <c r="AB104" s="14"/>
      <c r="AC104" s="30">
        <v>1</v>
      </c>
      <c r="AD104" s="37">
        <v>0</v>
      </c>
    </row>
    <row r="105" spans="1:30" x14ac:dyDescent="0.25">
      <c r="A105" s="36">
        <v>4300</v>
      </c>
      <c r="B105" s="14" t="s">
        <v>8623</v>
      </c>
      <c r="C105" s="14" t="s">
        <v>8624</v>
      </c>
      <c r="D105" s="17">
        <v>44113</v>
      </c>
      <c r="E105" s="14" t="s">
        <v>30</v>
      </c>
      <c r="F105" s="14">
        <v>73</v>
      </c>
      <c r="G105" s="14">
        <v>20</v>
      </c>
      <c r="H105" s="14">
        <v>19</v>
      </c>
      <c r="I105" s="14">
        <v>10</v>
      </c>
      <c r="J105" s="14" t="s">
        <v>204</v>
      </c>
      <c r="K105" s="14" cm="1">
        <f t="array" ref="K105">INT(SUMPRODUCT(--ISNUMBER(SEARCH(economy,C105)))&gt;0)</f>
        <v>0</v>
      </c>
      <c r="L105" s="14" cm="1">
        <f t="array" ref="L105">INT(SUMPRODUCT(--ISNUMBER(SEARCH(healthcare,C105)))&gt;0)</f>
        <v>0</v>
      </c>
      <c r="M105" s="14" cm="1">
        <f t="array" ref="M105">INT(SUMPRODUCT(--ISNUMBER(SEARCH(supreme,C105)))&gt;0)</f>
        <v>0</v>
      </c>
      <c r="N105" s="14" cm="1">
        <f t="array" ref="N105">INT(SUMPRODUCT(--ISNUMBER(SEARCH(covid,C105)))&gt;0)</f>
        <v>0</v>
      </c>
      <c r="O105" s="14" cm="1">
        <f t="array" ref="O105">INT(SUMPRODUCT(--ISNUMBER(SEARCH(violent,C105)))&gt;0)</f>
        <v>0</v>
      </c>
      <c r="P105" s="14" cm="1">
        <f t="array" ref="P105">INT(SUMPRODUCT(--ISNUMBER(SEARCH(foreign,C105)))&gt;0)</f>
        <v>0</v>
      </c>
      <c r="Q105" s="14" cm="1">
        <f t="array" ref="Q105">INT(SUMPRODUCT(--ISNUMBER(SEARCH(gun,C105)))&gt;0)</f>
        <v>0</v>
      </c>
      <c r="R105" s="14" cm="1">
        <f t="array" ref="R105">INT(SUMPRODUCT(--ISNUMBER(SEARCH(race,C105)))&gt;0)</f>
        <v>0</v>
      </c>
      <c r="S105" s="14" cm="1">
        <f t="array" ref="S105">INT(SUMPRODUCT(--ISNUMBER(SEARCH(immigration,C105)))&gt;0)</f>
        <v>1</v>
      </c>
      <c r="T105" s="14" cm="1">
        <f t="array" ref="T105">INT(SUMPRODUCT(--ISNUMBER(SEARCH(econineq,C106)))&gt;0)</f>
        <v>0</v>
      </c>
      <c r="U105" s="14" cm="1">
        <f t="array" ref="U105">INT(SUMPRODUCT(--ISNUMBER(SEARCH(climate,C105)))&gt;0)</f>
        <v>0</v>
      </c>
      <c r="V105" s="14" cm="1">
        <f t="array" ref="V105">INT(SUMPRODUCT(--ISNUMBER(SEARCH(abortion,C105)))&gt;0)</f>
        <v>0</v>
      </c>
      <c r="W105" s="14" cm="1">
        <f t="array" ref="W105">INT(SUMPRODUCT(--ISNUMBER(SEARCH(trump,C105)))&gt;0)</f>
        <v>0</v>
      </c>
      <c r="X105" s="14" cm="1">
        <f t="array" ref="X105">INT(SUMPRODUCT(--ISNUMBER(SEARCH(voting,C105)))&gt;0)</f>
        <v>0</v>
      </c>
      <c r="Y105" s="14" cm="1">
        <f t="array" ref="Y105">INT(SUMPRODUCT(--ISNUMBER(SEARCH(democrattrigger,C105)))&gt;0)</f>
        <v>0</v>
      </c>
      <c r="Z105" s="14" cm="1">
        <f t="array" ref="Z105">INT(SUMPRODUCT(--ISNUMBER(SEARCH(bipartisan,C105)))&gt;0)</f>
        <v>0</v>
      </c>
      <c r="AA105" s="14">
        <f t="shared" si="1"/>
        <v>0</v>
      </c>
      <c r="AB105" s="14"/>
      <c r="AC105" s="30">
        <v>1</v>
      </c>
      <c r="AD105" s="37">
        <v>0</v>
      </c>
    </row>
    <row r="106" spans="1:30" x14ac:dyDescent="0.25">
      <c r="A106" s="36">
        <v>4301</v>
      </c>
      <c r="B106" s="14" t="s">
        <v>8625</v>
      </c>
      <c r="C106" s="14" t="s">
        <v>8626</v>
      </c>
      <c r="D106" s="17">
        <v>44112</v>
      </c>
      <c r="E106" s="14" t="s">
        <v>30</v>
      </c>
      <c r="F106" s="14">
        <v>569</v>
      </c>
      <c r="G106" s="14">
        <v>229</v>
      </c>
      <c r="H106" s="14">
        <v>19</v>
      </c>
      <c r="I106" s="14">
        <v>10</v>
      </c>
      <c r="J106" s="14" t="s">
        <v>204</v>
      </c>
      <c r="K106" s="14" cm="1">
        <f t="array" ref="K106">INT(SUMPRODUCT(--ISNUMBER(SEARCH(economy,C106)))&gt;0)</f>
        <v>0</v>
      </c>
      <c r="L106" s="14" cm="1">
        <f t="array" ref="L106">INT(SUMPRODUCT(--ISNUMBER(SEARCH(healthcare,C106)))&gt;0)</f>
        <v>0</v>
      </c>
      <c r="M106" s="14" cm="1">
        <f t="array" ref="M106">INT(SUMPRODUCT(--ISNUMBER(SEARCH(supreme,C106)))&gt;0)</f>
        <v>0</v>
      </c>
      <c r="N106" s="14" cm="1">
        <f t="array" ref="N106">INT(SUMPRODUCT(--ISNUMBER(SEARCH(covid,C106)))&gt;0)</f>
        <v>1</v>
      </c>
      <c r="O106" s="14" cm="1">
        <f t="array" ref="O106">INT(SUMPRODUCT(--ISNUMBER(SEARCH(violent,C106)))&gt;0)</f>
        <v>0</v>
      </c>
      <c r="P106" s="14" cm="1">
        <f t="array" ref="P106">INT(SUMPRODUCT(--ISNUMBER(SEARCH(foreign,C106)))&gt;0)</f>
        <v>0</v>
      </c>
      <c r="Q106" s="14" cm="1">
        <f t="array" ref="Q106">INT(SUMPRODUCT(--ISNUMBER(SEARCH(gun,C106)))&gt;0)</f>
        <v>0</v>
      </c>
      <c r="R106" s="14" cm="1">
        <f t="array" ref="R106">INT(SUMPRODUCT(--ISNUMBER(SEARCH(race,C106)))&gt;0)</f>
        <v>0</v>
      </c>
      <c r="S106" s="14" cm="1">
        <f t="array" ref="S106">INT(SUMPRODUCT(--ISNUMBER(SEARCH(immigration,C106)))&gt;0)</f>
        <v>0</v>
      </c>
      <c r="T106" s="14" cm="1">
        <f t="array" ref="T106">INT(SUMPRODUCT(--ISNUMBER(SEARCH(econineq,C107)))&gt;0)</f>
        <v>0</v>
      </c>
      <c r="U106" s="14" cm="1">
        <f t="array" ref="U106">INT(SUMPRODUCT(--ISNUMBER(SEARCH(climate,C106)))&gt;0)</f>
        <v>0</v>
      </c>
      <c r="V106" s="14" cm="1">
        <f t="array" ref="V106">INT(SUMPRODUCT(--ISNUMBER(SEARCH(abortion,C106)))&gt;0)</f>
        <v>0</v>
      </c>
      <c r="W106" s="14" cm="1">
        <f t="array" ref="W106">INT(SUMPRODUCT(--ISNUMBER(SEARCH(trump,C106)))&gt;0)</f>
        <v>1</v>
      </c>
      <c r="X106" s="14" cm="1">
        <f t="array" ref="X106">INT(SUMPRODUCT(--ISNUMBER(SEARCH(voting,C106)))&gt;0)</f>
        <v>0</v>
      </c>
      <c r="Y106" s="14" cm="1">
        <f t="array" ref="Y106">INT(SUMPRODUCT(--ISNUMBER(SEARCH(democrattrigger,C106)))&gt;0)</f>
        <v>0</v>
      </c>
      <c r="Z106" s="14" cm="1">
        <f t="array" ref="Z106">INT(SUMPRODUCT(--ISNUMBER(SEARCH(bipartisan,C106)))&gt;0)</f>
        <v>0</v>
      </c>
      <c r="AA106" s="14">
        <f t="shared" si="1"/>
        <v>0</v>
      </c>
      <c r="AB106" s="14"/>
      <c r="AC106" s="30" t="s">
        <v>223</v>
      </c>
      <c r="AD106" s="37" t="s">
        <v>223</v>
      </c>
    </row>
    <row r="107" spans="1:30" x14ac:dyDescent="0.25">
      <c r="A107" s="36">
        <v>4302</v>
      </c>
      <c r="B107" s="14" t="s">
        <v>8627</v>
      </c>
      <c r="C107" s="14" t="s">
        <v>8628</v>
      </c>
      <c r="D107" s="17">
        <v>44112</v>
      </c>
      <c r="E107" s="14" t="s">
        <v>30</v>
      </c>
      <c r="F107" s="14">
        <v>172</v>
      </c>
      <c r="G107" s="14">
        <v>52</v>
      </c>
      <c r="H107" s="14">
        <v>19</v>
      </c>
      <c r="I107" s="14">
        <v>10</v>
      </c>
      <c r="J107" s="14" t="s">
        <v>204</v>
      </c>
      <c r="K107" s="14" cm="1">
        <f t="array" ref="K107">INT(SUMPRODUCT(--ISNUMBER(SEARCH(economy,C107)))&gt;0)</f>
        <v>0</v>
      </c>
      <c r="L107" s="14" cm="1">
        <f t="array" ref="L107">INT(SUMPRODUCT(--ISNUMBER(SEARCH(healthcare,C107)))&gt;0)</f>
        <v>1</v>
      </c>
      <c r="M107" s="14" cm="1">
        <f t="array" ref="M107">INT(SUMPRODUCT(--ISNUMBER(SEARCH(supreme,C107)))&gt;0)</f>
        <v>1</v>
      </c>
      <c r="N107" s="14" cm="1">
        <f t="array" ref="N107">INT(SUMPRODUCT(--ISNUMBER(SEARCH(covid,C107)))&gt;0)</f>
        <v>1</v>
      </c>
      <c r="O107" s="14" cm="1">
        <f t="array" ref="O107">INT(SUMPRODUCT(--ISNUMBER(SEARCH(violent,C107)))&gt;0)</f>
        <v>0</v>
      </c>
      <c r="P107" s="14" cm="1">
        <f t="array" ref="P107">INT(SUMPRODUCT(--ISNUMBER(SEARCH(foreign,C107)))&gt;0)</f>
        <v>0</v>
      </c>
      <c r="Q107" s="14" cm="1">
        <f t="array" ref="Q107">INT(SUMPRODUCT(--ISNUMBER(SEARCH(gun,C107)))&gt;0)</f>
        <v>0</v>
      </c>
      <c r="R107" s="14" cm="1">
        <f t="array" ref="R107">INT(SUMPRODUCT(--ISNUMBER(SEARCH(race,C107)))&gt;0)</f>
        <v>0</v>
      </c>
      <c r="S107" s="14" cm="1">
        <f t="array" ref="S107">INT(SUMPRODUCT(--ISNUMBER(SEARCH(immigration,C107)))&gt;0)</f>
        <v>0</v>
      </c>
      <c r="T107" s="14" cm="1">
        <f t="array" ref="T107">INT(SUMPRODUCT(--ISNUMBER(SEARCH(econineq,C108)))&gt;0)</f>
        <v>0</v>
      </c>
      <c r="U107" s="14" cm="1">
        <f t="array" ref="U107">INT(SUMPRODUCT(--ISNUMBER(SEARCH(climate,C107)))&gt;0)</f>
        <v>0</v>
      </c>
      <c r="V107" s="14" cm="1">
        <f t="array" ref="V107">INT(SUMPRODUCT(--ISNUMBER(SEARCH(abortion,C107)))&gt;0)</f>
        <v>0</v>
      </c>
      <c r="W107" s="14" cm="1">
        <f t="array" ref="W107">INT(SUMPRODUCT(--ISNUMBER(SEARCH(trump,C107)))&gt;0)</f>
        <v>0</v>
      </c>
      <c r="X107" s="14" cm="1">
        <f t="array" ref="X107">INT(SUMPRODUCT(--ISNUMBER(SEARCH(voting,C107)))&gt;0)</f>
        <v>0</v>
      </c>
      <c r="Y107" s="14" cm="1">
        <f t="array" ref="Y107">INT(SUMPRODUCT(--ISNUMBER(SEARCH(democrattrigger,C107)))&gt;0)</f>
        <v>0</v>
      </c>
      <c r="Z107" s="14" cm="1">
        <f t="array" ref="Z107">INT(SUMPRODUCT(--ISNUMBER(SEARCH(bipartisan,C107)))&gt;0)</f>
        <v>0</v>
      </c>
      <c r="AA107" s="14">
        <f t="shared" si="1"/>
        <v>0</v>
      </c>
      <c r="AB107" s="14"/>
      <c r="AC107" s="30" t="s">
        <v>223</v>
      </c>
      <c r="AD107" s="37" t="s">
        <v>223</v>
      </c>
    </row>
    <row r="108" spans="1:30" x14ac:dyDescent="0.25">
      <c r="A108" s="36">
        <v>4303</v>
      </c>
      <c r="B108" s="14" t="s">
        <v>8629</v>
      </c>
      <c r="C108" s="14" t="s">
        <v>8630</v>
      </c>
      <c r="D108" s="17">
        <v>44111</v>
      </c>
      <c r="E108" s="14" t="s">
        <v>70</v>
      </c>
      <c r="F108" s="14">
        <v>98</v>
      </c>
      <c r="G108" s="14">
        <v>29</v>
      </c>
      <c r="H108" s="14">
        <v>19</v>
      </c>
      <c r="I108" s="14">
        <v>10</v>
      </c>
      <c r="J108" s="14" t="s">
        <v>204</v>
      </c>
      <c r="K108" s="14" cm="1">
        <f t="array" ref="K108">INT(SUMPRODUCT(--ISNUMBER(SEARCH(economy,C108)))&gt;0)</f>
        <v>0</v>
      </c>
      <c r="L108" s="14" cm="1">
        <f t="array" ref="L108">INT(SUMPRODUCT(--ISNUMBER(SEARCH(healthcare,C108)))&gt;0)</f>
        <v>0</v>
      </c>
      <c r="M108" s="14" cm="1">
        <f t="array" ref="M108">INT(SUMPRODUCT(--ISNUMBER(SEARCH(supreme,C108)))&gt;0)</f>
        <v>0</v>
      </c>
      <c r="N108" s="14" cm="1">
        <f t="array" ref="N108">INT(SUMPRODUCT(--ISNUMBER(SEARCH(covid,C108)))&gt;0)</f>
        <v>0</v>
      </c>
      <c r="O108" s="14" cm="1">
        <f t="array" ref="O108">INT(SUMPRODUCT(--ISNUMBER(SEARCH(violent,C108)))&gt;0)</f>
        <v>0</v>
      </c>
      <c r="P108" s="14" cm="1">
        <f t="array" ref="P108">INT(SUMPRODUCT(--ISNUMBER(SEARCH(foreign,C108)))&gt;0)</f>
        <v>1</v>
      </c>
      <c r="Q108" s="14" cm="1">
        <f t="array" ref="Q108">INT(SUMPRODUCT(--ISNUMBER(SEARCH(gun,C108)))&gt;0)</f>
        <v>0</v>
      </c>
      <c r="R108" s="14" cm="1">
        <f t="array" ref="R108">INT(SUMPRODUCT(--ISNUMBER(SEARCH(race,C108)))&gt;0)</f>
        <v>0</v>
      </c>
      <c r="S108" s="14" cm="1">
        <f t="array" ref="S108">INT(SUMPRODUCT(--ISNUMBER(SEARCH(immigration,C108)))&gt;0)</f>
        <v>0</v>
      </c>
      <c r="T108" s="14" cm="1">
        <f t="array" ref="T108">INT(SUMPRODUCT(--ISNUMBER(SEARCH(econineq,C109)))&gt;0)</f>
        <v>0</v>
      </c>
      <c r="U108" s="14" cm="1">
        <f t="array" ref="U108">INT(SUMPRODUCT(--ISNUMBER(SEARCH(climate,C108)))&gt;0)</f>
        <v>0</v>
      </c>
      <c r="V108" s="14" cm="1">
        <f t="array" ref="V108">INT(SUMPRODUCT(--ISNUMBER(SEARCH(abortion,C108)))&gt;0)</f>
        <v>0</v>
      </c>
      <c r="W108" s="14" cm="1">
        <f t="array" ref="W108">INT(SUMPRODUCT(--ISNUMBER(SEARCH(trump,C108)))&gt;0)</f>
        <v>0</v>
      </c>
      <c r="X108" s="14" cm="1">
        <f t="array" ref="X108">INT(SUMPRODUCT(--ISNUMBER(SEARCH(voting,C108)))&gt;0)</f>
        <v>1</v>
      </c>
      <c r="Y108" s="14" cm="1">
        <f t="array" ref="Y108">INT(SUMPRODUCT(--ISNUMBER(SEARCH(democrattrigger,C108)))&gt;0)</f>
        <v>0</v>
      </c>
      <c r="Z108" s="14" cm="1">
        <f t="array" ref="Z108">INT(SUMPRODUCT(--ISNUMBER(SEARCH(bipartisan,C108)))&gt;0)</f>
        <v>0</v>
      </c>
      <c r="AA108" s="14">
        <f t="shared" si="1"/>
        <v>0</v>
      </c>
      <c r="AB108" s="14"/>
      <c r="AC108" s="30" t="s">
        <v>223</v>
      </c>
      <c r="AD108" s="37" t="s">
        <v>223</v>
      </c>
    </row>
    <row r="109" spans="1:30" x14ac:dyDescent="0.25">
      <c r="A109" s="36">
        <v>4304</v>
      </c>
      <c r="B109" s="14" t="s">
        <v>8631</v>
      </c>
      <c r="C109" s="14" t="s">
        <v>8632</v>
      </c>
      <c r="D109" s="17">
        <v>44111</v>
      </c>
      <c r="E109" s="14" t="s">
        <v>30</v>
      </c>
      <c r="F109" s="14">
        <v>321</v>
      </c>
      <c r="G109" s="14">
        <v>105</v>
      </c>
      <c r="H109" s="14">
        <v>19</v>
      </c>
      <c r="I109" s="14">
        <v>10</v>
      </c>
      <c r="J109" s="14" t="s">
        <v>204</v>
      </c>
      <c r="K109" s="14" cm="1">
        <f t="array" ref="K109">INT(SUMPRODUCT(--ISNUMBER(SEARCH(economy,C109)))&gt;0)</f>
        <v>0</v>
      </c>
      <c r="L109" s="14" cm="1">
        <f t="array" ref="L109">INT(SUMPRODUCT(--ISNUMBER(SEARCH(healthcare,C109)))&gt;0)</f>
        <v>0</v>
      </c>
      <c r="M109" s="14" cm="1">
        <f t="array" ref="M109">INT(SUMPRODUCT(--ISNUMBER(SEARCH(supreme,C109)))&gt;0)</f>
        <v>0</v>
      </c>
      <c r="N109" s="14" cm="1">
        <f t="array" ref="N109">INT(SUMPRODUCT(--ISNUMBER(SEARCH(covid,C109)))&gt;0)</f>
        <v>0</v>
      </c>
      <c r="O109" s="14" cm="1">
        <f t="array" ref="O109">INT(SUMPRODUCT(--ISNUMBER(SEARCH(violent,C109)))&gt;0)</f>
        <v>0</v>
      </c>
      <c r="P109" s="14" cm="1">
        <f t="array" ref="P109">INT(SUMPRODUCT(--ISNUMBER(SEARCH(foreign,C109)))&gt;0)</f>
        <v>0</v>
      </c>
      <c r="Q109" s="14" cm="1">
        <f t="array" ref="Q109">INT(SUMPRODUCT(--ISNUMBER(SEARCH(gun,C109)))&gt;0)</f>
        <v>0</v>
      </c>
      <c r="R109" s="14" cm="1">
        <f t="array" ref="R109">INT(SUMPRODUCT(--ISNUMBER(SEARCH(race,C109)))&gt;0)</f>
        <v>0</v>
      </c>
      <c r="S109" s="14" cm="1">
        <f t="array" ref="S109">INT(SUMPRODUCT(--ISNUMBER(SEARCH(immigration,C109)))&gt;0)</f>
        <v>0</v>
      </c>
      <c r="T109" s="14" cm="1">
        <f t="array" ref="T109">INT(SUMPRODUCT(--ISNUMBER(SEARCH(econineq,C110)))&gt;0)</f>
        <v>0</v>
      </c>
      <c r="U109" s="14" cm="1">
        <f t="array" ref="U109">INT(SUMPRODUCT(--ISNUMBER(SEARCH(climate,C109)))&gt;0)</f>
        <v>0</v>
      </c>
      <c r="V109" s="14" cm="1">
        <f t="array" ref="V109">INT(SUMPRODUCT(--ISNUMBER(SEARCH(abortion,C109)))&gt;0)</f>
        <v>0</v>
      </c>
      <c r="W109" s="14" cm="1">
        <f t="array" ref="W109">INT(SUMPRODUCT(--ISNUMBER(SEARCH(trump,C109)))&gt;0)</f>
        <v>0</v>
      </c>
      <c r="X109" s="14" cm="1">
        <f t="array" ref="X109">INT(SUMPRODUCT(--ISNUMBER(SEARCH(voting,C109)))&gt;0)</f>
        <v>1</v>
      </c>
      <c r="Y109" s="14" cm="1">
        <f t="array" ref="Y109">INT(SUMPRODUCT(--ISNUMBER(SEARCH(democrattrigger,C109)))&gt;0)</f>
        <v>0</v>
      </c>
      <c r="Z109" s="14" cm="1">
        <f t="array" ref="Z109">INT(SUMPRODUCT(--ISNUMBER(SEARCH(bipartisan,C109)))&gt;0)</f>
        <v>0</v>
      </c>
      <c r="AA109" s="14">
        <f t="shared" si="1"/>
        <v>0</v>
      </c>
      <c r="AB109" s="14"/>
      <c r="AC109" s="30" t="s">
        <v>223</v>
      </c>
      <c r="AD109" s="37" t="s">
        <v>223</v>
      </c>
    </row>
    <row r="110" spans="1:30" x14ac:dyDescent="0.25">
      <c r="A110" s="36">
        <v>4305</v>
      </c>
      <c r="B110" s="14" t="s">
        <v>8633</v>
      </c>
      <c r="C110" s="14" t="s">
        <v>8634</v>
      </c>
      <c r="D110" s="17">
        <v>44111</v>
      </c>
      <c r="E110" s="14" t="s">
        <v>30</v>
      </c>
      <c r="F110" s="14">
        <v>115</v>
      </c>
      <c r="G110" s="14">
        <v>13</v>
      </c>
      <c r="H110" s="14">
        <v>19</v>
      </c>
      <c r="I110" s="14">
        <v>10</v>
      </c>
      <c r="J110" s="14" t="s">
        <v>204</v>
      </c>
      <c r="K110" s="14" cm="1">
        <f t="array" ref="K110">INT(SUMPRODUCT(--ISNUMBER(SEARCH(economy,C110)))&gt;0)</f>
        <v>0</v>
      </c>
      <c r="L110" s="14" cm="1">
        <f t="array" ref="L110">INT(SUMPRODUCT(--ISNUMBER(SEARCH(healthcare,C110)))&gt;0)</f>
        <v>0</v>
      </c>
      <c r="M110" s="14" cm="1">
        <f t="array" ref="M110">INT(SUMPRODUCT(--ISNUMBER(SEARCH(supreme,C110)))&gt;0)</f>
        <v>0</v>
      </c>
      <c r="N110" s="14" cm="1">
        <f t="array" ref="N110">INT(SUMPRODUCT(--ISNUMBER(SEARCH(covid,C110)))&gt;0)</f>
        <v>0</v>
      </c>
      <c r="O110" s="14" cm="1">
        <f t="array" ref="O110">INT(SUMPRODUCT(--ISNUMBER(SEARCH(violent,C110)))&gt;0)</f>
        <v>0</v>
      </c>
      <c r="P110" s="14" cm="1">
        <f t="array" ref="P110">INT(SUMPRODUCT(--ISNUMBER(SEARCH(foreign,C110)))&gt;0)</f>
        <v>0</v>
      </c>
      <c r="Q110" s="14" cm="1">
        <f t="array" ref="Q110">INT(SUMPRODUCT(--ISNUMBER(SEARCH(gun,C110)))&gt;0)</f>
        <v>0</v>
      </c>
      <c r="R110" s="14" cm="1">
        <f t="array" ref="R110">INT(SUMPRODUCT(--ISNUMBER(SEARCH(race,C110)))&gt;0)</f>
        <v>0</v>
      </c>
      <c r="S110" s="14" cm="1">
        <f t="array" ref="S110">INT(SUMPRODUCT(--ISNUMBER(SEARCH(immigration,C110)))&gt;0)</f>
        <v>0</v>
      </c>
      <c r="T110" s="14" cm="1">
        <f t="array" ref="T110">INT(SUMPRODUCT(--ISNUMBER(SEARCH(econineq,C111)))&gt;0)</f>
        <v>0</v>
      </c>
      <c r="U110" s="14" cm="1">
        <f t="array" ref="U110">INT(SUMPRODUCT(--ISNUMBER(SEARCH(climate,C110)))&gt;0)</f>
        <v>1</v>
      </c>
      <c r="V110" s="14" cm="1">
        <f t="array" ref="V110">INT(SUMPRODUCT(--ISNUMBER(SEARCH(abortion,C110)))&gt;0)</f>
        <v>0</v>
      </c>
      <c r="W110" s="14" cm="1">
        <f t="array" ref="W110">INT(SUMPRODUCT(--ISNUMBER(SEARCH(trump,C110)))&gt;0)</f>
        <v>0</v>
      </c>
      <c r="X110" s="14" cm="1">
        <f t="array" ref="X110">INT(SUMPRODUCT(--ISNUMBER(SEARCH(voting,C110)))&gt;0)</f>
        <v>0</v>
      </c>
      <c r="Y110" s="14" cm="1">
        <f t="array" ref="Y110">INT(SUMPRODUCT(--ISNUMBER(SEARCH(democrattrigger,C110)))&gt;0)</f>
        <v>0</v>
      </c>
      <c r="Z110" s="14" cm="1">
        <f t="array" ref="Z110">INT(SUMPRODUCT(--ISNUMBER(SEARCH(bipartisan,C110)))&gt;0)</f>
        <v>0</v>
      </c>
      <c r="AA110" s="14">
        <f t="shared" si="1"/>
        <v>0</v>
      </c>
      <c r="AB110" s="14"/>
      <c r="AC110" s="30">
        <v>1</v>
      </c>
      <c r="AD110" s="37">
        <v>0</v>
      </c>
    </row>
    <row r="111" spans="1:30" x14ac:dyDescent="0.25">
      <c r="A111" s="36">
        <v>4306</v>
      </c>
      <c r="B111" s="14" t="s">
        <v>8635</v>
      </c>
      <c r="C111" s="14" t="s">
        <v>8636</v>
      </c>
      <c r="D111" s="17">
        <v>44111</v>
      </c>
      <c r="E111" s="14" t="s">
        <v>30</v>
      </c>
      <c r="F111" s="14">
        <v>121</v>
      </c>
      <c r="G111" s="14">
        <v>57</v>
      </c>
      <c r="H111" s="14">
        <v>19</v>
      </c>
      <c r="I111" s="14">
        <v>10</v>
      </c>
      <c r="J111" s="14" t="s">
        <v>204</v>
      </c>
      <c r="K111" s="14" cm="1">
        <f t="array" ref="K111">INT(SUMPRODUCT(--ISNUMBER(SEARCH(economy,C111)))&gt;0)</f>
        <v>0</v>
      </c>
      <c r="L111" s="14" cm="1">
        <f t="array" ref="L111">INT(SUMPRODUCT(--ISNUMBER(SEARCH(healthcare,C111)))&gt;0)</f>
        <v>1</v>
      </c>
      <c r="M111" s="14" cm="1">
        <f t="array" ref="M111">INT(SUMPRODUCT(--ISNUMBER(SEARCH(supreme,C111)))&gt;0)</f>
        <v>1</v>
      </c>
      <c r="N111" s="14" cm="1">
        <f t="array" ref="N111">INT(SUMPRODUCT(--ISNUMBER(SEARCH(covid,C111)))&gt;0)</f>
        <v>0</v>
      </c>
      <c r="O111" s="14" cm="1">
        <f t="array" ref="O111">INT(SUMPRODUCT(--ISNUMBER(SEARCH(violent,C111)))&gt;0)</f>
        <v>0</v>
      </c>
      <c r="P111" s="14" cm="1">
        <f t="array" ref="P111">INT(SUMPRODUCT(--ISNUMBER(SEARCH(foreign,C111)))&gt;0)</f>
        <v>0</v>
      </c>
      <c r="Q111" s="14" cm="1">
        <f t="array" ref="Q111">INT(SUMPRODUCT(--ISNUMBER(SEARCH(gun,C111)))&gt;0)</f>
        <v>0</v>
      </c>
      <c r="R111" s="14" cm="1">
        <f t="array" ref="R111">INT(SUMPRODUCT(--ISNUMBER(SEARCH(race,C111)))&gt;0)</f>
        <v>0</v>
      </c>
      <c r="S111" s="14" cm="1">
        <f t="array" ref="S111">INT(SUMPRODUCT(--ISNUMBER(SEARCH(immigration,C111)))&gt;0)</f>
        <v>0</v>
      </c>
      <c r="T111" s="14" cm="1">
        <f t="array" ref="T111">INT(SUMPRODUCT(--ISNUMBER(SEARCH(econineq,C112)))&gt;0)</f>
        <v>0</v>
      </c>
      <c r="U111" s="14" cm="1">
        <f t="array" ref="U111">INT(SUMPRODUCT(--ISNUMBER(SEARCH(climate,C111)))&gt;0)</f>
        <v>0</v>
      </c>
      <c r="V111" s="14" cm="1">
        <f t="array" ref="V111">INT(SUMPRODUCT(--ISNUMBER(SEARCH(abortion,C111)))&gt;0)</f>
        <v>0</v>
      </c>
      <c r="W111" s="14" cm="1">
        <f t="array" ref="W111">INT(SUMPRODUCT(--ISNUMBER(SEARCH(trump,C111)))&gt;0)</f>
        <v>1</v>
      </c>
      <c r="X111" s="14" cm="1">
        <f t="array" ref="X111">INT(SUMPRODUCT(--ISNUMBER(SEARCH(voting,C111)))&gt;0)</f>
        <v>0</v>
      </c>
      <c r="Y111" s="14" cm="1">
        <f t="array" ref="Y111">INT(SUMPRODUCT(--ISNUMBER(SEARCH(democrattrigger,C111)))&gt;0)</f>
        <v>1</v>
      </c>
      <c r="Z111" s="14" cm="1">
        <f t="array" ref="Z111">INT(SUMPRODUCT(--ISNUMBER(SEARCH(bipartisan,C111)))&gt;0)</f>
        <v>0</v>
      </c>
      <c r="AA111" s="14">
        <f t="shared" si="1"/>
        <v>0</v>
      </c>
      <c r="AB111" s="14"/>
      <c r="AC111" s="30">
        <v>1</v>
      </c>
      <c r="AD111" s="37">
        <v>0</v>
      </c>
    </row>
    <row r="112" spans="1:30" x14ac:dyDescent="0.25">
      <c r="A112" s="36">
        <v>4307</v>
      </c>
      <c r="B112" s="14" t="s">
        <v>8637</v>
      </c>
      <c r="C112" s="14" t="s">
        <v>8638</v>
      </c>
      <c r="D112" s="17">
        <v>44111</v>
      </c>
      <c r="E112" s="14" t="s">
        <v>30</v>
      </c>
      <c r="F112" s="14">
        <v>93</v>
      </c>
      <c r="G112" s="14">
        <v>26</v>
      </c>
      <c r="H112" s="14">
        <v>19</v>
      </c>
      <c r="I112" s="14">
        <v>10</v>
      </c>
      <c r="J112" s="14" t="s">
        <v>204</v>
      </c>
      <c r="K112" s="14" cm="1">
        <f t="array" ref="K112">INT(SUMPRODUCT(--ISNUMBER(SEARCH(economy,C112)))&gt;0)</f>
        <v>0</v>
      </c>
      <c r="L112" s="14" cm="1">
        <f t="array" ref="L112">INT(SUMPRODUCT(--ISNUMBER(SEARCH(healthcare,C112)))&gt;0)</f>
        <v>0</v>
      </c>
      <c r="M112" s="14" cm="1">
        <f t="array" ref="M112">INT(SUMPRODUCT(--ISNUMBER(SEARCH(supreme,C112)))&gt;0)</f>
        <v>0</v>
      </c>
      <c r="N112" s="14" cm="1">
        <f t="array" ref="N112">INT(SUMPRODUCT(--ISNUMBER(SEARCH(covid,C112)))&gt;0)</f>
        <v>0</v>
      </c>
      <c r="O112" s="14" cm="1">
        <f t="array" ref="O112">INT(SUMPRODUCT(--ISNUMBER(SEARCH(violent,C112)))&gt;0)</f>
        <v>0</v>
      </c>
      <c r="P112" s="14" cm="1">
        <f t="array" ref="P112">INT(SUMPRODUCT(--ISNUMBER(SEARCH(foreign,C112)))&gt;0)</f>
        <v>0</v>
      </c>
      <c r="Q112" s="14" cm="1">
        <f t="array" ref="Q112">INT(SUMPRODUCT(--ISNUMBER(SEARCH(gun,C112)))&gt;0)</f>
        <v>0</v>
      </c>
      <c r="R112" s="14" cm="1">
        <f t="array" ref="R112">INT(SUMPRODUCT(--ISNUMBER(SEARCH(race,C112)))&gt;0)</f>
        <v>0</v>
      </c>
      <c r="S112" s="14" cm="1">
        <f t="array" ref="S112">INT(SUMPRODUCT(--ISNUMBER(SEARCH(immigration,C112)))&gt;0)</f>
        <v>0</v>
      </c>
      <c r="T112" s="14" cm="1">
        <f t="array" ref="T112">INT(SUMPRODUCT(--ISNUMBER(SEARCH(econineq,C113)))&gt;0)</f>
        <v>0</v>
      </c>
      <c r="U112" s="14" cm="1">
        <f t="array" ref="U112">INT(SUMPRODUCT(--ISNUMBER(SEARCH(climate,C112)))&gt;0)</f>
        <v>0</v>
      </c>
      <c r="V112" s="14" cm="1">
        <f t="array" ref="V112">INT(SUMPRODUCT(--ISNUMBER(SEARCH(abortion,C112)))&gt;0)</f>
        <v>0</v>
      </c>
      <c r="W112" s="14" cm="1">
        <f t="array" ref="W112">INT(SUMPRODUCT(--ISNUMBER(SEARCH(trump,C112)))&gt;0)</f>
        <v>0</v>
      </c>
      <c r="X112" s="14" cm="1">
        <f t="array" ref="X112">INT(SUMPRODUCT(--ISNUMBER(SEARCH(voting,C112)))&gt;0)</f>
        <v>0</v>
      </c>
      <c r="Y112" s="14" cm="1">
        <f t="array" ref="Y112">INT(SUMPRODUCT(--ISNUMBER(SEARCH(democrattrigger,C112)))&gt;0)</f>
        <v>0</v>
      </c>
      <c r="Z112" s="14" cm="1">
        <f t="array" ref="Z112">INT(SUMPRODUCT(--ISNUMBER(SEARCH(bipartisan,C112)))&gt;0)</f>
        <v>1</v>
      </c>
      <c r="AA112" s="14">
        <f t="shared" si="1"/>
        <v>0</v>
      </c>
      <c r="AB112" s="14"/>
      <c r="AC112" s="30" t="s">
        <v>223</v>
      </c>
      <c r="AD112" s="37" t="s">
        <v>223</v>
      </c>
    </row>
    <row r="113" spans="1:30" x14ac:dyDescent="0.25">
      <c r="A113" s="36">
        <v>4308</v>
      </c>
      <c r="B113" s="14" t="s">
        <v>8639</v>
      </c>
      <c r="C113" s="14" t="s">
        <v>8640</v>
      </c>
      <c r="D113" s="17">
        <v>44110</v>
      </c>
      <c r="E113" s="14" t="s">
        <v>70</v>
      </c>
      <c r="F113" s="14">
        <v>182</v>
      </c>
      <c r="G113" s="14">
        <v>66</v>
      </c>
      <c r="H113" s="14">
        <v>19</v>
      </c>
      <c r="I113" s="14">
        <v>10</v>
      </c>
      <c r="J113" s="14" t="s">
        <v>204</v>
      </c>
      <c r="K113" s="14" cm="1">
        <f t="array" ref="K113">INT(SUMPRODUCT(--ISNUMBER(SEARCH(economy,C113)))&gt;0)</f>
        <v>0</v>
      </c>
      <c r="L113" s="14" cm="1">
        <f t="array" ref="L113">INT(SUMPRODUCT(--ISNUMBER(SEARCH(healthcare,C113)))&gt;0)</f>
        <v>1</v>
      </c>
      <c r="M113" s="14" cm="1">
        <f t="array" ref="M113">INT(SUMPRODUCT(--ISNUMBER(SEARCH(supreme,C113)))&gt;0)</f>
        <v>0</v>
      </c>
      <c r="N113" s="14" cm="1">
        <f t="array" ref="N113">INT(SUMPRODUCT(--ISNUMBER(SEARCH(covid,C113)))&gt;0)</f>
        <v>1</v>
      </c>
      <c r="O113" s="14" cm="1">
        <f t="array" ref="O113">INT(SUMPRODUCT(--ISNUMBER(SEARCH(violent,C113)))&gt;0)</f>
        <v>0</v>
      </c>
      <c r="P113" s="14" cm="1">
        <f t="array" ref="P113">INT(SUMPRODUCT(--ISNUMBER(SEARCH(foreign,C113)))&gt;0)</f>
        <v>0</v>
      </c>
      <c r="Q113" s="14" cm="1">
        <f t="array" ref="Q113">INT(SUMPRODUCT(--ISNUMBER(SEARCH(gun,C113)))&gt;0)</f>
        <v>0</v>
      </c>
      <c r="R113" s="14" cm="1">
        <f t="array" ref="R113">INT(SUMPRODUCT(--ISNUMBER(SEARCH(race,C113)))&gt;0)</f>
        <v>0</v>
      </c>
      <c r="S113" s="14" cm="1">
        <f t="array" ref="S113">INT(SUMPRODUCT(--ISNUMBER(SEARCH(immigration,C113)))&gt;0)</f>
        <v>0</v>
      </c>
      <c r="T113" s="14" cm="1">
        <f t="array" ref="T113">INT(SUMPRODUCT(--ISNUMBER(SEARCH(econineq,C114)))&gt;0)</f>
        <v>0</v>
      </c>
      <c r="U113" s="14" cm="1">
        <f t="array" ref="U113">INT(SUMPRODUCT(--ISNUMBER(SEARCH(climate,C113)))&gt;0)</f>
        <v>0</v>
      </c>
      <c r="V113" s="14" cm="1">
        <f t="array" ref="V113">INT(SUMPRODUCT(--ISNUMBER(SEARCH(abortion,C113)))&gt;0)</f>
        <v>0</v>
      </c>
      <c r="W113" s="14" cm="1">
        <f t="array" ref="W113">INT(SUMPRODUCT(--ISNUMBER(SEARCH(trump,C113)))&gt;0)</f>
        <v>0</v>
      </c>
      <c r="X113" s="14" cm="1">
        <f t="array" ref="X113">INT(SUMPRODUCT(--ISNUMBER(SEARCH(voting,C113)))&gt;0)</f>
        <v>0</v>
      </c>
      <c r="Y113" s="14" cm="1">
        <f t="array" ref="Y113">INT(SUMPRODUCT(--ISNUMBER(SEARCH(democrattrigger,C113)))&gt;0)</f>
        <v>0</v>
      </c>
      <c r="Z113" s="14" cm="1">
        <f t="array" ref="Z113">INT(SUMPRODUCT(--ISNUMBER(SEARCH(bipartisan,C113)))&gt;0)</f>
        <v>0</v>
      </c>
      <c r="AA113" s="14">
        <f t="shared" si="1"/>
        <v>0</v>
      </c>
      <c r="AB113" s="14"/>
      <c r="AC113" s="30" t="s">
        <v>223</v>
      </c>
      <c r="AD113" s="37" t="s">
        <v>223</v>
      </c>
    </row>
    <row r="114" spans="1:30" x14ac:dyDescent="0.25">
      <c r="A114" s="36">
        <v>4309</v>
      </c>
      <c r="B114" s="14" t="s">
        <v>8641</v>
      </c>
      <c r="C114" s="14" t="s">
        <v>8642</v>
      </c>
      <c r="D114" s="17">
        <v>44110</v>
      </c>
      <c r="E114" s="14" t="s">
        <v>70</v>
      </c>
      <c r="F114" s="14">
        <v>150</v>
      </c>
      <c r="G114" s="14">
        <v>24</v>
      </c>
      <c r="H114" s="14">
        <v>19</v>
      </c>
      <c r="I114" s="14">
        <v>10</v>
      </c>
      <c r="J114" s="14" t="s">
        <v>204</v>
      </c>
      <c r="K114" s="14" cm="1">
        <f t="array" ref="K114">INT(SUMPRODUCT(--ISNUMBER(SEARCH(economy,C114)))&gt;0)</f>
        <v>0</v>
      </c>
      <c r="L114" s="14" cm="1">
        <f t="array" ref="L114">INT(SUMPRODUCT(--ISNUMBER(SEARCH(healthcare,C114)))&gt;0)</f>
        <v>0</v>
      </c>
      <c r="M114" s="14" cm="1">
        <f t="array" ref="M114">INT(SUMPRODUCT(--ISNUMBER(SEARCH(supreme,C114)))&gt;0)</f>
        <v>0</v>
      </c>
      <c r="N114" s="14" cm="1">
        <f t="array" ref="N114">INT(SUMPRODUCT(--ISNUMBER(SEARCH(covid,C114)))&gt;0)</f>
        <v>0</v>
      </c>
      <c r="O114" s="14" cm="1">
        <f t="array" ref="O114">INT(SUMPRODUCT(--ISNUMBER(SEARCH(violent,C114)))&gt;0)</f>
        <v>0</v>
      </c>
      <c r="P114" s="14" cm="1">
        <f t="array" ref="P114">INT(SUMPRODUCT(--ISNUMBER(SEARCH(foreign,C114)))&gt;0)</f>
        <v>0</v>
      </c>
      <c r="Q114" s="14" cm="1">
        <f t="array" ref="Q114">INT(SUMPRODUCT(--ISNUMBER(SEARCH(gun,C114)))&gt;0)</f>
        <v>0</v>
      </c>
      <c r="R114" s="14" cm="1">
        <f t="array" ref="R114">INT(SUMPRODUCT(--ISNUMBER(SEARCH(race,C114)))&gt;0)</f>
        <v>0</v>
      </c>
      <c r="S114" s="14" cm="1">
        <f t="array" ref="S114">INT(SUMPRODUCT(--ISNUMBER(SEARCH(immigration,C114)))&gt;0)</f>
        <v>0</v>
      </c>
      <c r="T114" s="14" cm="1">
        <f t="array" ref="T114">INT(SUMPRODUCT(--ISNUMBER(SEARCH(econineq,C115)))&gt;0)</f>
        <v>0</v>
      </c>
      <c r="U114" s="14" cm="1">
        <f t="array" ref="U114">INT(SUMPRODUCT(--ISNUMBER(SEARCH(climate,C114)))&gt;0)</f>
        <v>0</v>
      </c>
      <c r="V114" s="14" cm="1">
        <f t="array" ref="V114">INT(SUMPRODUCT(--ISNUMBER(SEARCH(abortion,C114)))&gt;0)</f>
        <v>0</v>
      </c>
      <c r="W114" s="14" cm="1">
        <f t="array" ref="W114">INT(SUMPRODUCT(--ISNUMBER(SEARCH(trump,C114)))&gt;0)</f>
        <v>0</v>
      </c>
      <c r="X114" s="14" cm="1">
        <f t="array" ref="X114">INT(SUMPRODUCT(--ISNUMBER(SEARCH(voting,C114)))&gt;0)</f>
        <v>0</v>
      </c>
      <c r="Y114" s="14" cm="1">
        <f t="array" ref="Y114">INT(SUMPRODUCT(--ISNUMBER(SEARCH(democrattrigger,C114)))&gt;0)</f>
        <v>0</v>
      </c>
      <c r="Z114" s="14" cm="1">
        <f t="array" ref="Z114">INT(SUMPRODUCT(--ISNUMBER(SEARCH(bipartisan,C114)))&gt;0)</f>
        <v>0</v>
      </c>
      <c r="AA114" s="14">
        <f t="shared" si="1"/>
        <v>1</v>
      </c>
      <c r="AB114" s="14"/>
      <c r="AC114" s="30" t="s">
        <v>223</v>
      </c>
      <c r="AD114" s="37" t="s">
        <v>223</v>
      </c>
    </row>
    <row r="115" spans="1:30" x14ac:dyDescent="0.25">
      <c r="A115" s="36">
        <v>4310</v>
      </c>
      <c r="B115" s="14" t="s">
        <v>8643</v>
      </c>
      <c r="C115" s="14" t="s">
        <v>8644</v>
      </c>
      <c r="D115" s="17">
        <v>44110</v>
      </c>
      <c r="E115" s="14" t="s">
        <v>70</v>
      </c>
      <c r="F115" s="14">
        <v>122</v>
      </c>
      <c r="G115" s="14">
        <v>18</v>
      </c>
      <c r="H115" s="14">
        <v>19</v>
      </c>
      <c r="I115" s="14">
        <v>10</v>
      </c>
      <c r="J115" s="14" t="s">
        <v>204</v>
      </c>
      <c r="K115" s="14" cm="1">
        <f t="array" ref="K115">INT(SUMPRODUCT(--ISNUMBER(SEARCH(economy,C115)))&gt;0)</f>
        <v>0</v>
      </c>
      <c r="L115" s="14" cm="1">
        <f t="array" ref="L115">INT(SUMPRODUCT(--ISNUMBER(SEARCH(healthcare,C115)))&gt;0)</f>
        <v>0</v>
      </c>
      <c r="M115" s="14" cm="1">
        <f t="array" ref="M115">INT(SUMPRODUCT(--ISNUMBER(SEARCH(supreme,C115)))&gt;0)</f>
        <v>0</v>
      </c>
      <c r="N115" s="14" cm="1">
        <f t="array" ref="N115">INT(SUMPRODUCT(--ISNUMBER(SEARCH(covid,C115)))&gt;0)</f>
        <v>0</v>
      </c>
      <c r="O115" s="14" cm="1">
        <f t="array" ref="O115">INT(SUMPRODUCT(--ISNUMBER(SEARCH(violent,C115)))&gt;0)</f>
        <v>0</v>
      </c>
      <c r="P115" s="14" cm="1">
        <f t="array" ref="P115">INT(SUMPRODUCT(--ISNUMBER(SEARCH(foreign,C115)))&gt;0)</f>
        <v>0</v>
      </c>
      <c r="Q115" s="14" cm="1">
        <f t="array" ref="Q115">INT(SUMPRODUCT(--ISNUMBER(SEARCH(gun,C115)))&gt;0)</f>
        <v>0</v>
      </c>
      <c r="R115" s="14" cm="1">
        <f t="array" ref="R115">INT(SUMPRODUCT(--ISNUMBER(SEARCH(race,C115)))&gt;0)</f>
        <v>0</v>
      </c>
      <c r="S115" s="14" cm="1">
        <f t="array" ref="S115">INT(SUMPRODUCT(--ISNUMBER(SEARCH(immigration,C115)))&gt;0)</f>
        <v>0</v>
      </c>
      <c r="T115" s="14" cm="1">
        <f t="array" ref="T115">INT(SUMPRODUCT(--ISNUMBER(SEARCH(econineq,C116)))&gt;0)</f>
        <v>0</v>
      </c>
      <c r="U115" s="14" cm="1">
        <f t="array" ref="U115">INT(SUMPRODUCT(--ISNUMBER(SEARCH(climate,C115)))&gt;0)</f>
        <v>0</v>
      </c>
      <c r="V115" s="14" cm="1">
        <f t="array" ref="V115">INT(SUMPRODUCT(--ISNUMBER(SEARCH(abortion,C115)))&gt;0)</f>
        <v>0</v>
      </c>
      <c r="W115" s="14" cm="1">
        <f t="array" ref="W115">INT(SUMPRODUCT(--ISNUMBER(SEARCH(trump,C115)))&gt;0)</f>
        <v>0</v>
      </c>
      <c r="X115" s="14" cm="1">
        <f t="array" ref="X115">INT(SUMPRODUCT(--ISNUMBER(SEARCH(voting,C115)))&gt;0)</f>
        <v>0</v>
      </c>
      <c r="Y115" s="14" cm="1">
        <f t="array" ref="Y115">INT(SUMPRODUCT(--ISNUMBER(SEARCH(democrattrigger,C115)))&gt;0)</f>
        <v>0</v>
      </c>
      <c r="Z115" s="14" cm="1">
        <f t="array" ref="Z115">INT(SUMPRODUCT(--ISNUMBER(SEARCH(bipartisan,C115)))&gt;0)</f>
        <v>0</v>
      </c>
      <c r="AA115" s="14">
        <f t="shared" si="1"/>
        <v>1</v>
      </c>
      <c r="AB115" s="14"/>
      <c r="AC115" s="30" t="s">
        <v>223</v>
      </c>
      <c r="AD115" s="37" t="s">
        <v>223</v>
      </c>
    </row>
    <row r="116" spans="1:30" x14ac:dyDescent="0.25">
      <c r="A116" s="36">
        <v>4311</v>
      </c>
      <c r="B116" s="14" t="s">
        <v>8645</v>
      </c>
      <c r="C116" s="14" t="s">
        <v>8646</v>
      </c>
      <c r="D116" s="17">
        <v>44110</v>
      </c>
      <c r="E116" s="14" t="s">
        <v>70</v>
      </c>
      <c r="F116" s="14">
        <v>32</v>
      </c>
      <c r="G116" s="14">
        <v>9</v>
      </c>
      <c r="H116" s="14">
        <v>19</v>
      </c>
      <c r="I116" s="14">
        <v>10</v>
      </c>
      <c r="J116" s="14" t="s">
        <v>204</v>
      </c>
      <c r="K116" s="14" cm="1">
        <f t="array" ref="K116">INT(SUMPRODUCT(--ISNUMBER(SEARCH(economy,C116)))&gt;0)</f>
        <v>0</v>
      </c>
      <c r="L116" s="14" cm="1">
        <f t="array" ref="L116">INT(SUMPRODUCT(--ISNUMBER(SEARCH(healthcare,C116)))&gt;0)</f>
        <v>0</v>
      </c>
      <c r="M116" s="14" cm="1">
        <f t="array" ref="M116">INT(SUMPRODUCT(--ISNUMBER(SEARCH(supreme,C116)))&gt;0)</f>
        <v>0</v>
      </c>
      <c r="N116" s="14" cm="1">
        <f t="array" ref="N116">INT(SUMPRODUCT(--ISNUMBER(SEARCH(covid,C116)))&gt;0)</f>
        <v>0</v>
      </c>
      <c r="O116" s="14" cm="1">
        <f t="array" ref="O116">INT(SUMPRODUCT(--ISNUMBER(SEARCH(violent,C116)))&gt;0)</f>
        <v>0</v>
      </c>
      <c r="P116" s="14" cm="1">
        <f t="array" ref="P116">INT(SUMPRODUCT(--ISNUMBER(SEARCH(foreign,C116)))&gt;0)</f>
        <v>0</v>
      </c>
      <c r="Q116" s="14" cm="1">
        <f t="array" ref="Q116">INT(SUMPRODUCT(--ISNUMBER(SEARCH(gun,C116)))&gt;0)</f>
        <v>0</v>
      </c>
      <c r="R116" s="14" cm="1">
        <f t="array" ref="R116">INT(SUMPRODUCT(--ISNUMBER(SEARCH(race,C116)))&gt;0)</f>
        <v>0</v>
      </c>
      <c r="S116" s="14" cm="1">
        <f t="array" ref="S116">INT(SUMPRODUCT(--ISNUMBER(SEARCH(immigration,C116)))&gt;0)</f>
        <v>0</v>
      </c>
      <c r="T116" s="14" cm="1">
        <f t="array" ref="T116">INT(SUMPRODUCT(--ISNUMBER(SEARCH(econineq,C117)))&gt;0)</f>
        <v>0</v>
      </c>
      <c r="U116" s="14" cm="1">
        <f t="array" ref="U116">INT(SUMPRODUCT(--ISNUMBER(SEARCH(climate,C116)))&gt;0)</f>
        <v>0</v>
      </c>
      <c r="V116" s="14" cm="1">
        <f t="array" ref="V116">INT(SUMPRODUCT(--ISNUMBER(SEARCH(abortion,C116)))&gt;0)</f>
        <v>0</v>
      </c>
      <c r="W116" s="14" cm="1">
        <f t="array" ref="W116">INT(SUMPRODUCT(--ISNUMBER(SEARCH(trump,C116)))&gt;0)</f>
        <v>0</v>
      </c>
      <c r="X116" s="14" cm="1">
        <f t="array" ref="X116">INT(SUMPRODUCT(--ISNUMBER(SEARCH(voting,C116)))&gt;0)</f>
        <v>0</v>
      </c>
      <c r="Y116" s="14" cm="1">
        <f t="array" ref="Y116">INT(SUMPRODUCT(--ISNUMBER(SEARCH(democrattrigger,C116)))&gt;0)</f>
        <v>0</v>
      </c>
      <c r="Z116" s="14" cm="1">
        <f t="array" ref="Z116">INT(SUMPRODUCT(--ISNUMBER(SEARCH(bipartisan,C116)))&gt;0)</f>
        <v>0</v>
      </c>
      <c r="AA116" s="14">
        <f t="shared" si="1"/>
        <v>1</v>
      </c>
      <c r="AB116" s="14"/>
      <c r="AC116" s="30" t="s">
        <v>223</v>
      </c>
      <c r="AD116" s="37" t="s">
        <v>223</v>
      </c>
    </row>
    <row r="117" spans="1:30" x14ac:dyDescent="0.25">
      <c r="A117" s="36">
        <v>4312</v>
      </c>
      <c r="B117" s="14" t="s">
        <v>8647</v>
      </c>
      <c r="C117" s="14" t="s">
        <v>8648</v>
      </c>
      <c r="D117" s="17">
        <v>44110</v>
      </c>
      <c r="E117" s="14" t="s">
        <v>30</v>
      </c>
      <c r="F117" s="14">
        <v>323</v>
      </c>
      <c r="G117" s="14">
        <v>66</v>
      </c>
      <c r="H117" s="14">
        <v>19</v>
      </c>
      <c r="I117" s="14">
        <v>10</v>
      </c>
      <c r="J117" s="14" t="s">
        <v>204</v>
      </c>
      <c r="K117" s="14" cm="1">
        <f t="array" ref="K117">INT(SUMPRODUCT(--ISNUMBER(SEARCH(economy,C117)))&gt;0)</f>
        <v>0</v>
      </c>
      <c r="L117" s="14" cm="1">
        <f t="array" ref="L117">INT(SUMPRODUCT(--ISNUMBER(SEARCH(healthcare,C117)))&gt;0)</f>
        <v>0</v>
      </c>
      <c r="M117" s="14" cm="1">
        <f t="array" ref="M117">INT(SUMPRODUCT(--ISNUMBER(SEARCH(supreme,C117)))&gt;0)</f>
        <v>0</v>
      </c>
      <c r="N117" s="14" cm="1">
        <f t="array" ref="N117">INT(SUMPRODUCT(--ISNUMBER(SEARCH(covid,C117)))&gt;0)</f>
        <v>0</v>
      </c>
      <c r="O117" s="14" cm="1">
        <f t="array" ref="O117">INT(SUMPRODUCT(--ISNUMBER(SEARCH(violent,C117)))&gt;0)</f>
        <v>0</v>
      </c>
      <c r="P117" s="14" cm="1">
        <f t="array" ref="P117">INT(SUMPRODUCT(--ISNUMBER(SEARCH(foreign,C117)))&gt;0)</f>
        <v>0</v>
      </c>
      <c r="Q117" s="14" cm="1">
        <f t="array" ref="Q117">INT(SUMPRODUCT(--ISNUMBER(SEARCH(gun,C117)))&gt;0)</f>
        <v>0</v>
      </c>
      <c r="R117" s="14" cm="1">
        <f t="array" ref="R117">INT(SUMPRODUCT(--ISNUMBER(SEARCH(race,C117)))&gt;0)</f>
        <v>0</v>
      </c>
      <c r="S117" s="14" cm="1">
        <f t="array" ref="S117">INT(SUMPRODUCT(--ISNUMBER(SEARCH(immigration,C117)))&gt;0)</f>
        <v>0</v>
      </c>
      <c r="T117" s="14" cm="1">
        <f t="array" ref="T117">INT(SUMPRODUCT(--ISNUMBER(SEARCH(econineq,C118)))&gt;0)</f>
        <v>0</v>
      </c>
      <c r="U117" s="14" cm="1">
        <f t="array" ref="U117">INT(SUMPRODUCT(--ISNUMBER(SEARCH(climate,C117)))&gt;0)</f>
        <v>0</v>
      </c>
      <c r="V117" s="14" cm="1">
        <f t="array" ref="V117">INT(SUMPRODUCT(--ISNUMBER(SEARCH(abortion,C117)))&gt;0)</f>
        <v>0</v>
      </c>
      <c r="W117" s="14" cm="1">
        <f t="array" ref="W117">INT(SUMPRODUCT(--ISNUMBER(SEARCH(trump,C117)))&gt;0)</f>
        <v>0</v>
      </c>
      <c r="X117" s="14" cm="1">
        <f t="array" ref="X117">INT(SUMPRODUCT(--ISNUMBER(SEARCH(voting,C117)))&gt;0)</f>
        <v>0</v>
      </c>
      <c r="Y117" s="14" cm="1">
        <f t="array" ref="Y117">INT(SUMPRODUCT(--ISNUMBER(SEARCH(democrattrigger,C117)))&gt;0)</f>
        <v>1</v>
      </c>
      <c r="Z117" s="14" cm="1">
        <f t="array" ref="Z117">INT(SUMPRODUCT(--ISNUMBER(SEARCH(bipartisan,C117)))&gt;0)</f>
        <v>0</v>
      </c>
      <c r="AA117" s="14">
        <f t="shared" si="1"/>
        <v>0</v>
      </c>
      <c r="AB117" s="14"/>
      <c r="AC117" s="30" t="s">
        <v>223</v>
      </c>
      <c r="AD117" s="37" t="s">
        <v>223</v>
      </c>
    </row>
    <row r="118" spans="1:30" x14ac:dyDescent="0.25">
      <c r="A118" s="36">
        <v>4313</v>
      </c>
      <c r="B118" s="14" t="s">
        <v>8649</v>
      </c>
      <c r="C118" s="14" t="s">
        <v>8650</v>
      </c>
      <c r="D118" s="17">
        <v>44110</v>
      </c>
      <c r="E118" s="14" t="s">
        <v>70</v>
      </c>
      <c r="F118" s="14">
        <v>392</v>
      </c>
      <c r="G118" s="14">
        <v>129</v>
      </c>
      <c r="H118" s="14">
        <v>19</v>
      </c>
      <c r="I118" s="14">
        <v>10</v>
      </c>
      <c r="J118" s="14" t="s">
        <v>204</v>
      </c>
      <c r="K118" s="14" cm="1">
        <f t="array" ref="K118">INT(SUMPRODUCT(--ISNUMBER(SEARCH(economy,C118)))&gt;0)</f>
        <v>0</v>
      </c>
      <c r="L118" s="14" cm="1">
        <f t="array" ref="L118">INT(SUMPRODUCT(--ISNUMBER(SEARCH(healthcare,C118)))&gt;0)</f>
        <v>0</v>
      </c>
      <c r="M118" s="14" cm="1">
        <f t="array" ref="M118">INT(SUMPRODUCT(--ISNUMBER(SEARCH(supreme,C118)))&gt;0)</f>
        <v>0</v>
      </c>
      <c r="N118" s="14" cm="1">
        <f t="array" ref="N118">INT(SUMPRODUCT(--ISNUMBER(SEARCH(covid,C118)))&gt;0)</f>
        <v>1</v>
      </c>
      <c r="O118" s="14" cm="1">
        <f t="array" ref="O118">INT(SUMPRODUCT(--ISNUMBER(SEARCH(violent,C118)))&gt;0)</f>
        <v>0</v>
      </c>
      <c r="P118" s="14" cm="1">
        <f t="array" ref="P118">INT(SUMPRODUCT(--ISNUMBER(SEARCH(foreign,C118)))&gt;0)</f>
        <v>0</v>
      </c>
      <c r="Q118" s="14" cm="1">
        <f t="array" ref="Q118">INT(SUMPRODUCT(--ISNUMBER(SEARCH(gun,C118)))&gt;0)</f>
        <v>0</v>
      </c>
      <c r="R118" s="14" cm="1">
        <f t="array" ref="R118">INT(SUMPRODUCT(--ISNUMBER(SEARCH(race,C118)))&gt;0)</f>
        <v>0</v>
      </c>
      <c r="S118" s="14" cm="1">
        <f t="array" ref="S118">INT(SUMPRODUCT(--ISNUMBER(SEARCH(immigration,C118)))&gt;0)</f>
        <v>0</v>
      </c>
      <c r="T118" s="14" cm="1">
        <f t="array" ref="T118">INT(SUMPRODUCT(--ISNUMBER(SEARCH(econineq,C119)))&gt;0)</f>
        <v>0</v>
      </c>
      <c r="U118" s="14" cm="1">
        <f t="array" ref="U118">INT(SUMPRODUCT(--ISNUMBER(SEARCH(climate,C118)))&gt;0)</f>
        <v>0</v>
      </c>
      <c r="V118" s="14" cm="1">
        <f t="array" ref="V118">INT(SUMPRODUCT(--ISNUMBER(SEARCH(abortion,C118)))&gt;0)</f>
        <v>0</v>
      </c>
      <c r="W118" s="14" cm="1">
        <f t="array" ref="W118">INT(SUMPRODUCT(--ISNUMBER(SEARCH(trump,C118)))&gt;0)</f>
        <v>1</v>
      </c>
      <c r="X118" s="14" cm="1">
        <f t="array" ref="X118">INT(SUMPRODUCT(--ISNUMBER(SEARCH(voting,C118)))&gt;0)</f>
        <v>0</v>
      </c>
      <c r="Y118" s="14" cm="1">
        <f t="array" ref="Y118">INT(SUMPRODUCT(--ISNUMBER(SEARCH(democrattrigger,C118)))&gt;0)</f>
        <v>1</v>
      </c>
      <c r="Z118" s="14" cm="1">
        <f t="array" ref="Z118">INT(SUMPRODUCT(--ISNUMBER(SEARCH(bipartisan,C118)))&gt;0)</f>
        <v>0</v>
      </c>
      <c r="AA118" s="14">
        <f t="shared" si="1"/>
        <v>0</v>
      </c>
      <c r="AB118" s="14"/>
      <c r="AC118" s="30" t="s">
        <v>223</v>
      </c>
      <c r="AD118" s="37" t="s">
        <v>223</v>
      </c>
    </row>
    <row r="119" spans="1:30" x14ac:dyDescent="0.25">
      <c r="A119" s="36">
        <v>4314</v>
      </c>
      <c r="B119" s="14" t="s">
        <v>8651</v>
      </c>
      <c r="C119" s="14" t="s">
        <v>8652</v>
      </c>
      <c r="D119" s="17">
        <v>44110</v>
      </c>
      <c r="E119" s="14" t="s">
        <v>30</v>
      </c>
      <c r="F119" s="14">
        <v>2251</v>
      </c>
      <c r="G119" s="14">
        <v>719</v>
      </c>
      <c r="H119" s="14">
        <v>19</v>
      </c>
      <c r="I119" s="14">
        <v>10</v>
      </c>
      <c r="J119" s="14" t="s">
        <v>204</v>
      </c>
      <c r="K119" s="14" cm="1">
        <f t="array" ref="K119">INT(SUMPRODUCT(--ISNUMBER(SEARCH(economy,C119)))&gt;0)</f>
        <v>0</v>
      </c>
      <c r="L119" s="14" cm="1">
        <f t="array" ref="L119">INT(SUMPRODUCT(--ISNUMBER(SEARCH(healthcare,C119)))&gt;0)</f>
        <v>0</v>
      </c>
      <c r="M119" s="14" cm="1">
        <f t="array" ref="M119">INT(SUMPRODUCT(--ISNUMBER(SEARCH(supreme,C119)))&gt;0)</f>
        <v>0</v>
      </c>
      <c r="N119" s="14" cm="1">
        <f t="array" ref="N119">INT(SUMPRODUCT(--ISNUMBER(SEARCH(covid,C119)))&gt;0)</f>
        <v>0</v>
      </c>
      <c r="O119" s="14" cm="1">
        <f t="array" ref="O119">INT(SUMPRODUCT(--ISNUMBER(SEARCH(violent,C119)))&gt;0)</f>
        <v>0</v>
      </c>
      <c r="P119" s="14" cm="1">
        <f t="array" ref="P119">INT(SUMPRODUCT(--ISNUMBER(SEARCH(foreign,C119)))&gt;0)</f>
        <v>0</v>
      </c>
      <c r="Q119" s="14" cm="1">
        <f t="array" ref="Q119">INT(SUMPRODUCT(--ISNUMBER(SEARCH(gun,C119)))&gt;0)</f>
        <v>0</v>
      </c>
      <c r="R119" s="14" cm="1">
        <f t="array" ref="R119">INT(SUMPRODUCT(--ISNUMBER(SEARCH(race,C119)))&gt;0)</f>
        <v>0</v>
      </c>
      <c r="S119" s="14" cm="1">
        <f t="array" ref="S119">INT(SUMPRODUCT(--ISNUMBER(SEARCH(immigration,C119)))&gt;0)</f>
        <v>0</v>
      </c>
      <c r="T119" s="14" cm="1">
        <f t="array" ref="T119">INT(SUMPRODUCT(--ISNUMBER(SEARCH(econineq,C120)))&gt;0)</f>
        <v>0</v>
      </c>
      <c r="U119" s="14" cm="1">
        <f t="array" ref="U119">INT(SUMPRODUCT(--ISNUMBER(SEARCH(climate,C119)))&gt;0)</f>
        <v>0</v>
      </c>
      <c r="V119" s="14" cm="1">
        <f t="array" ref="V119">INT(SUMPRODUCT(--ISNUMBER(SEARCH(abortion,C119)))&gt;0)</f>
        <v>0</v>
      </c>
      <c r="W119" s="14" cm="1">
        <f t="array" ref="W119">INT(SUMPRODUCT(--ISNUMBER(SEARCH(trump,C119)))&gt;0)</f>
        <v>1</v>
      </c>
      <c r="X119" s="14" cm="1">
        <f t="array" ref="X119">INT(SUMPRODUCT(--ISNUMBER(SEARCH(voting,C119)))&gt;0)</f>
        <v>0</v>
      </c>
      <c r="Y119" s="14" cm="1">
        <f t="array" ref="Y119">INT(SUMPRODUCT(--ISNUMBER(SEARCH(democrattrigger,C119)))&gt;0)</f>
        <v>0</v>
      </c>
      <c r="Z119" s="14" cm="1">
        <f t="array" ref="Z119">INT(SUMPRODUCT(--ISNUMBER(SEARCH(bipartisan,C119)))&gt;0)</f>
        <v>0</v>
      </c>
      <c r="AA119" s="14">
        <f t="shared" si="1"/>
        <v>0</v>
      </c>
      <c r="AB119" s="14"/>
      <c r="AC119" s="30" t="s">
        <v>223</v>
      </c>
      <c r="AD119" s="37" t="s">
        <v>223</v>
      </c>
    </row>
    <row r="120" spans="1:30" x14ac:dyDescent="0.25">
      <c r="A120" s="36">
        <v>4315</v>
      </c>
      <c r="B120" s="14" t="s">
        <v>8653</v>
      </c>
      <c r="C120" s="14" t="s">
        <v>8654</v>
      </c>
      <c r="D120" s="17">
        <v>44110</v>
      </c>
      <c r="E120" s="14" t="s">
        <v>30</v>
      </c>
      <c r="F120" s="14">
        <v>273</v>
      </c>
      <c r="G120" s="14">
        <v>92</v>
      </c>
      <c r="H120" s="14">
        <v>19</v>
      </c>
      <c r="I120" s="14">
        <v>10</v>
      </c>
      <c r="J120" s="14" t="s">
        <v>204</v>
      </c>
      <c r="K120" s="14" cm="1">
        <f t="array" ref="K120">INT(SUMPRODUCT(--ISNUMBER(SEARCH(economy,C120)))&gt;0)</f>
        <v>1</v>
      </c>
      <c r="L120" s="14" cm="1">
        <f t="array" ref="L120">INT(SUMPRODUCT(--ISNUMBER(SEARCH(healthcare,C120)))&gt;0)</f>
        <v>0</v>
      </c>
      <c r="M120" s="14" cm="1">
        <f t="array" ref="M120">INT(SUMPRODUCT(--ISNUMBER(SEARCH(supreme,C120)))&gt;0)</f>
        <v>0</v>
      </c>
      <c r="N120" s="14" cm="1">
        <f t="array" ref="N120">INT(SUMPRODUCT(--ISNUMBER(SEARCH(covid,C120)))&gt;0)</f>
        <v>1</v>
      </c>
      <c r="O120" s="14" cm="1">
        <f t="array" ref="O120">INT(SUMPRODUCT(--ISNUMBER(SEARCH(violent,C120)))&gt;0)</f>
        <v>0</v>
      </c>
      <c r="P120" s="14" cm="1">
        <f t="array" ref="P120">INT(SUMPRODUCT(--ISNUMBER(SEARCH(foreign,C120)))&gt;0)</f>
        <v>1</v>
      </c>
      <c r="Q120" s="14" cm="1">
        <f t="array" ref="Q120">INT(SUMPRODUCT(--ISNUMBER(SEARCH(gun,C120)))&gt;0)</f>
        <v>0</v>
      </c>
      <c r="R120" s="14" cm="1">
        <f t="array" ref="R120">INT(SUMPRODUCT(--ISNUMBER(SEARCH(race,C120)))&gt;0)</f>
        <v>0</v>
      </c>
      <c r="S120" s="14" cm="1">
        <f t="array" ref="S120">INT(SUMPRODUCT(--ISNUMBER(SEARCH(immigration,C120)))&gt;0)</f>
        <v>0</v>
      </c>
      <c r="T120" s="14" cm="1">
        <f t="array" ref="T120">INT(SUMPRODUCT(--ISNUMBER(SEARCH(econineq,C121)))&gt;0)</f>
        <v>0</v>
      </c>
      <c r="U120" s="14" cm="1">
        <f t="array" ref="U120">INT(SUMPRODUCT(--ISNUMBER(SEARCH(climate,C120)))&gt;0)</f>
        <v>0</v>
      </c>
      <c r="V120" s="14" cm="1">
        <f t="array" ref="V120">INT(SUMPRODUCT(--ISNUMBER(SEARCH(abortion,C120)))&gt;0)</f>
        <v>0</v>
      </c>
      <c r="W120" s="14" cm="1">
        <f t="array" ref="W120">INT(SUMPRODUCT(--ISNUMBER(SEARCH(trump,C120)))&gt;0)</f>
        <v>0</v>
      </c>
      <c r="X120" s="14" cm="1">
        <f t="array" ref="X120">INT(SUMPRODUCT(--ISNUMBER(SEARCH(voting,C120)))&gt;0)</f>
        <v>0</v>
      </c>
      <c r="Y120" s="14" cm="1">
        <f t="array" ref="Y120">INT(SUMPRODUCT(--ISNUMBER(SEARCH(democrattrigger,C120)))&gt;0)</f>
        <v>0</v>
      </c>
      <c r="Z120" s="14" cm="1">
        <f t="array" ref="Z120">INT(SUMPRODUCT(--ISNUMBER(SEARCH(bipartisan,C120)))&gt;0)</f>
        <v>0</v>
      </c>
      <c r="AA120" s="14">
        <f t="shared" si="1"/>
        <v>0</v>
      </c>
      <c r="AB120" s="14"/>
      <c r="AC120" s="30" t="s">
        <v>223</v>
      </c>
      <c r="AD120" s="37" t="s">
        <v>223</v>
      </c>
    </row>
    <row r="121" spans="1:30" x14ac:dyDescent="0.25">
      <c r="A121" s="36">
        <v>4316</v>
      </c>
      <c r="B121" s="14" t="s">
        <v>8655</v>
      </c>
      <c r="C121" s="14" t="s">
        <v>8656</v>
      </c>
      <c r="D121" s="17">
        <v>44110</v>
      </c>
      <c r="E121" s="14" t="s">
        <v>30</v>
      </c>
      <c r="F121" s="14">
        <v>84</v>
      </c>
      <c r="G121" s="14">
        <v>20</v>
      </c>
      <c r="H121" s="14">
        <v>19</v>
      </c>
      <c r="I121" s="14">
        <v>10</v>
      </c>
      <c r="J121" s="14" t="s">
        <v>204</v>
      </c>
      <c r="K121" s="14" cm="1">
        <f t="array" ref="K121">INT(SUMPRODUCT(--ISNUMBER(SEARCH(economy,C121)))&gt;0)</f>
        <v>0</v>
      </c>
      <c r="L121" s="14" cm="1">
        <f t="array" ref="L121">INT(SUMPRODUCT(--ISNUMBER(SEARCH(healthcare,C121)))&gt;0)</f>
        <v>0</v>
      </c>
      <c r="M121" s="14" cm="1">
        <f t="array" ref="M121">INT(SUMPRODUCT(--ISNUMBER(SEARCH(supreme,C121)))&gt;0)</f>
        <v>0</v>
      </c>
      <c r="N121" s="14" cm="1">
        <f t="array" ref="N121">INT(SUMPRODUCT(--ISNUMBER(SEARCH(covid,C121)))&gt;0)</f>
        <v>0</v>
      </c>
      <c r="O121" s="14" cm="1">
        <f t="array" ref="O121">INT(SUMPRODUCT(--ISNUMBER(SEARCH(violent,C121)))&gt;0)</f>
        <v>0</v>
      </c>
      <c r="P121" s="14" cm="1">
        <f t="array" ref="P121">INT(SUMPRODUCT(--ISNUMBER(SEARCH(foreign,C121)))&gt;0)</f>
        <v>0</v>
      </c>
      <c r="Q121" s="14" cm="1">
        <f t="array" ref="Q121">INT(SUMPRODUCT(--ISNUMBER(SEARCH(gun,C121)))&gt;0)</f>
        <v>0</v>
      </c>
      <c r="R121" s="14" cm="1">
        <f t="array" ref="R121">INT(SUMPRODUCT(--ISNUMBER(SEARCH(race,C121)))&gt;0)</f>
        <v>0</v>
      </c>
      <c r="S121" s="14" cm="1">
        <f t="array" ref="S121">INT(SUMPRODUCT(--ISNUMBER(SEARCH(immigration,C121)))&gt;0)</f>
        <v>0</v>
      </c>
      <c r="T121" s="14" cm="1">
        <f t="array" ref="T121">INT(SUMPRODUCT(--ISNUMBER(SEARCH(econineq,C122)))&gt;0)</f>
        <v>0</v>
      </c>
      <c r="U121" s="14" cm="1">
        <f t="array" ref="U121">INT(SUMPRODUCT(--ISNUMBER(SEARCH(climate,C121)))&gt;0)</f>
        <v>0</v>
      </c>
      <c r="V121" s="14" cm="1">
        <f t="array" ref="V121">INT(SUMPRODUCT(--ISNUMBER(SEARCH(abortion,C121)))&gt;0)</f>
        <v>0</v>
      </c>
      <c r="W121" s="14" cm="1">
        <f t="array" ref="W121">INT(SUMPRODUCT(--ISNUMBER(SEARCH(trump,C121)))&gt;0)</f>
        <v>0</v>
      </c>
      <c r="X121" s="14" cm="1">
        <f t="array" ref="X121">INT(SUMPRODUCT(--ISNUMBER(SEARCH(voting,C121)))&gt;0)</f>
        <v>0</v>
      </c>
      <c r="Y121" s="14" cm="1">
        <f t="array" ref="Y121">INT(SUMPRODUCT(--ISNUMBER(SEARCH(democrattrigger,C121)))&gt;0)</f>
        <v>0</v>
      </c>
      <c r="Z121" s="14" cm="1">
        <f t="array" ref="Z121">INT(SUMPRODUCT(--ISNUMBER(SEARCH(bipartisan,C121)))&gt;0)</f>
        <v>0</v>
      </c>
      <c r="AA121" s="14">
        <f t="shared" si="1"/>
        <v>1</v>
      </c>
      <c r="AB121" s="14"/>
      <c r="AC121" s="30" t="s">
        <v>223</v>
      </c>
      <c r="AD121" s="37" t="s">
        <v>223</v>
      </c>
    </row>
    <row r="122" spans="1:30" x14ac:dyDescent="0.25">
      <c r="A122" s="36">
        <v>4317</v>
      </c>
      <c r="B122" s="14" t="s">
        <v>8657</v>
      </c>
      <c r="C122" s="14" t="s">
        <v>8658</v>
      </c>
      <c r="D122" s="17">
        <v>44110</v>
      </c>
      <c r="E122" s="14" t="s">
        <v>70</v>
      </c>
      <c r="F122" s="14">
        <v>45</v>
      </c>
      <c r="G122" s="14">
        <v>10</v>
      </c>
      <c r="H122" s="14">
        <v>19</v>
      </c>
      <c r="I122" s="14">
        <v>10</v>
      </c>
      <c r="J122" s="14" t="s">
        <v>204</v>
      </c>
      <c r="K122" s="14" cm="1">
        <f t="array" ref="K122">INT(SUMPRODUCT(--ISNUMBER(SEARCH(economy,C122)))&gt;0)</f>
        <v>0</v>
      </c>
      <c r="L122" s="14" cm="1">
        <f t="array" ref="L122">INT(SUMPRODUCT(--ISNUMBER(SEARCH(healthcare,C122)))&gt;0)</f>
        <v>0</v>
      </c>
      <c r="M122" s="14" cm="1">
        <f t="array" ref="M122">INT(SUMPRODUCT(--ISNUMBER(SEARCH(supreme,C122)))&gt;0)</f>
        <v>0</v>
      </c>
      <c r="N122" s="14" cm="1">
        <f t="array" ref="N122">INT(SUMPRODUCT(--ISNUMBER(SEARCH(covid,C122)))&gt;0)</f>
        <v>0</v>
      </c>
      <c r="O122" s="14" cm="1">
        <f t="array" ref="O122">INT(SUMPRODUCT(--ISNUMBER(SEARCH(violent,C122)))&gt;0)</f>
        <v>0</v>
      </c>
      <c r="P122" s="14" cm="1">
        <f t="array" ref="P122">INT(SUMPRODUCT(--ISNUMBER(SEARCH(foreign,C122)))&gt;0)</f>
        <v>0</v>
      </c>
      <c r="Q122" s="14" cm="1">
        <f t="array" ref="Q122">INT(SUMPRODUCT(--ISNUMBER(SEARCH(gun,C122)))&gt;0)</f>
        <v>0</v>
      </c>
      <c r="R122" s="14" cm="1">
        <f t="array" ref="R122">INT(SUMPRODUCT(--ISNUMBER(SEARCH(race,C122)))&gt;0)</f>
        <v>0</v>
      </c>
      <c r="S122" s="14" cm="1">
        <f t="array" ref="S122">INT(SUMPRODUCT(--ISNUMBER(SEARCH(immigration,C122)))&gt;0)</f>
        <v>0</v>
      </c>
      <c r="T122" s="14" cm="1">
        <f t="array" ref="T122">INT(SUMPRODUCT(--ISNUMBER(SEARCH(econineq,C123)))&gt;0)</f>
        <v>0</v>
      </c>
      <c r="U122" s="14" cm="1">
        <f t="array" ref="U122">INT(SUMPRODUCT(--ISNUMBER(SEARCH(climate,C122)))&gt;0)</f>
        <v>0</v>
      </c>
      <c r="V122" s="14" cm="1">
        <f t="array" ref="V122">INT(SUMPRODUCT(--ISNUMBER(SEARCH(abortion,C122)))&gt;0)</f>
        <v>0</v>
      </c>
      <c r="W122" s="14" cm="1">
        <f t="array" ref="W122">INT(SUMPRODUCT(--ISNUMBER(SEARCH(trump,C122)))&gt;0)</f>
        <v>0</v>
      </c>
      <c r="X122" s="14" cm="1">
        <f t="array" ref="X122">INT(SUMPRODUCT(--ISNUMBER(SEARCH(voting,C122)))&gt;0)</f>
        <v>0</v>
      </c>
      <c r="Y122" s="14" cm="1">
        <f t="array" ref="Y122">INT(SUMPRODUCT(--ISNUMBER(SEARCH(democrattrigger,C122)))&gt;0)</f>
        <v>0</v>
      </c>
      <c r="Z122" s="14" cm="1">
        <f t="array" ref="Z122">INT(SUMPRODUCT(--ISNUMBER(SEARCH(bipartisan,C122)))&gt;0)</f>
        <v>0</v>
      </c>
      <c r="AA122" s="14">
        <f t="shared" si="1"/>
        <v>1</v>
      </c>
      <c r="AB122" s="14"/>
      <c r="AC122" s="30" t="s">
        <v>223</v>
      </c>
      <c r="AD122" s="37" t="s">
        <v>223</v>
      </c>
    </row>
    <row r="123" spans="1:30" x14ac:dyDescent="0.25">
      <c r="A123" s="36">
        <v>4318</v>
      </c>
      <c r="B123" s="14" t="s">
        <v>8659</v>
      </c>
      <c r="C123" s="14" t="s">
        <v>8660</v>
      </c>
      <c r="D123" s="17">
        <v>44110</v>
      </c>
      <c r="E123" s="14" t="s">
        <v>70</v>
      </c>
      <c r="F123" s="14">
        <v>55</v>
      </c>
      <c r="G123" s="14">
        <v>14</v>
      </c>
      <c r="H123" s="14">
        <v>19</v>
      </c>
      <c r="I123" s="14">
        <v>10</v>
      </c>
      <c r="J123" s="14" t="s">
        <v>204</v>
      </c>
      <c r="K123" s="14" cm="1">
        <f t="array" ref="K123">INT(SUMPRODUCT(--ISNUMBER(SEARCH(economy,C123)))&gt;0)</f>
        <v>0</v>
      </c>
      <c r="L123" s="14" cm="1">
        <f t="array" ref="L123">INT(SUMPRODUCT(--ISNUMBER(SEARCH(healthcare,C123)))&gt;0)</f>
        <v>1</v>
      </c>
      <c r="M123" s="14" cm="1">
        <f t="array" ref="M123">INT(SUMPRODUCT(--ISNUMBER(SEARCH(supreme,C123)))&gt;0)</f>
        <v>0</v>
      </c>
      <c r="N123" s="14" cm="1">
        <f t="array" ref="N123">INT(SUMPRODUCT(--ISNUMBER(SEARCH(covid,C123)))&gt;0)</f>
        <v>1</v>
      </c>
      <c r="O123" s="14" cm="1">
        <f t="array" ref="O123">INT(SUMPRODUCT(--ISNUMBER(SEARCH(violent,C123)))&gt;0)</f>
        <v>0</v>
      </c>
      <c r="P123" s="14" cm="1">
        <f t="array" ref="P123">INT(SUMPRODUCT(--ISNUMBER(SEARCH(foreign,C123)))&gt;0)</f>
        <v>0</v>
      </c>
      <c r="Q123" s="14" cm="1">
        <f t="array" ref="Q123">INT(SUMPRODUCT(--ISNUMBER(SEARCH(gun,C123)))&gt;0)</f>
        <v>0</v>
      </c>
      <c r="R123" s="14" cm="1">
        <f t="array" ref="R123">INT(SUMPRODUCT(--ISNUMBER(SEARCH(race,C123)))&gt;0)</f>
        <v>0</v>
      </c>
      <c r="S123" s="14" cm="1">
        <f t="array" ref="S123">INT(SUMPRODUCT(--ISNUMBER(SEARCH(immigration,C123)))&gt;0)</f>
        <v>0</v>
      </c>
      <c r="T123" s="14" cm="1">
        <f t="array" ref="T123">INT(SUMPRODUCT(--ISNUMBER(SEARCH(econineq,C124)))&gt;0)</f>
        <v>0</v>
      </c>
      <c r="U123" s="14" cm="1">
        <f t="array" ref="U123">INT(SUMPRODUCT(--ISNUMBER(SEARCH(climate,C123)))&gt;0)</f>
        <v>0</v>
      </c>
      <c r="V123" s="14" cm="1">
        <f t="array" ref="V123">INT(SUMPRODUCT(--ISNUMBER(SEARCH(abortion,C123)))&gt;0)</f>
        <v>0</v>
      </c>
      <c r="W123" s="14" cm="1">
        <f t="array" ref="W123">INT(SUMPRODUCT(--ISNUMBER(SEARCH(trump,C123)))&gt;0)</f>
        <v>0</v>
      </c>
      <c r="X123" s="14" cm="1">
        <f t="array" ref="X123">INT(SUMPRODUCT(--ISNUMBER(SEARCH(voting,C123)))&gt;0)</f>
        <v>0</v>
      </c>
      <c r="Y123" s="14" cm="1">
        <f t="array" ref="Y123">INT(SUMPRODUCT(--ISNUMBER(SEARCH(democrattrigger,C123)))&gt;0)</f>
        <v>0</v>
      </c>
      <c r="Z123" s="14" cm="1">
        <f t="array" ref="Z123">INT(SUMPRODUCT(--ISNUMBER(SEARCH(bipartisan,C123)))&gt;0)</f>
        <v>0</v>
      </c>
      <c r="AA123" s="14">
        <f t="shared" si="1"/>
        <v>0</v>
      </c>
      <c r="AB123" s="14"/>
      <c r="AC123" s="30" t="s">
        <v>223</v>
      </c>
      <c r="AD123" s="37" t="s">
        <v>223</v>
      </c>
    </row>
    <row r="124" spans="1:30" x14ac:dyDescent="0.25">
      <c r="A124" s="36">
        <v>4319</v>
      </c>
      <c r="B124" s="14" t="s">
        <v>8661</v>
      </c>
      <c r="C124" s="14" t="s">
        <v>8662</v>
      </c>
      <c r="D124" s="17">
        <v>44110</v>
      </c>
      <c r="E124" s="14" t="s">
        <v>30</v>
      </c>
      <c r="F124" s="14">
        <v>98</v>
      </c>
      <c r="G124" s="14">
        <v>23</v>
      </c>
      <c r="H124" s="14">
        <v>19</v>
      </c>
      <c r="I124" s="14">
        <v>10</v>
      </c>
      <c r="J124" s="14" t="s">
        <v>204</v>
      </c>
      <c r="K124" s="14" cm="1">
        <f t="array" ref="K124">INT(SUMPRODUCT(--ISNUMBER(SEARCH(economy,C124)))&gt;0)</f>
        <v>0</v>
      </c>
      <c r="L124" s="14" cm="1">
        <f t="array" ref="L124">INT(SUMPRODUCT(--ISNUMBER(SEARCH(healthcare,C124)))&gt;0)</f>
        <v>1</v>
      </c>
      <c r="M124" s="14" cm="1">
        <f t="array" ref="M124">INT(SUMPRODUCT(--ISNUMBER(SEARCH(supreme,C124)))&gt;0)</f>
        <v>0</v>
      </c>
      <c r="N124" s="14" cm="1">
        <f t="array" ref="N124">INT(SUMPRODUCT(--ISNUMBER(SEARCH(covid,C124)))&gt;0)</f>
        <v>0</v>
      </c>
      <c r="O124" s="14" cm="1">
        <f t="array" ref="O124">INT(SUMPRODUCT(--ISNUMBER(SEARCH(violent,C124)))&gt;0)</f>
        <v>0</v>
      </c>
      <c r="P124" s="14" cm="1">
        <f t="array" ref="P124">INT(SUMPRODUCT(--ISNUMBER(SEARCH(foreign,C124)))&gt;0)</f>
        <v>0</v>
      </c>
      <c r="Q124" s="14" cm="1">
        <f t="array" ref="Q124">INT(SUMPRODUCT(--ISNUMBER(SEARCH(gun,C124)))&gt;0)</f>
        <v>0</v>
      </c>
      <c r="R124" s="14" cm="1">
        <f t="array" ref="R124">INT(SUMPRODUCT(--ISNUMBER(SEARCH(race,C124)))&gt;0)</f>
        <v>0</v>
      </c>
      <c r="S124" s="14" cm="1">
        <f t="array" ref="S124">INT(SUMPRODUCT(--ISNUMBER(SEARCH(immigration,C124)))&gt;0)</f>
        <v>0</v>
      </c>
      <c r="T124" s="14" cm="1">
        <f t="array" ref="T124">INT(SUMPRODUCT(--ISNUMBER(SEARCH(econineq,C125)))&gt;0)</f>
        <v>0</v>
      </c>
      <c r="U124" s="14" cm="1">
        <f t="array" ref="U124">INT(SUMPRODUCT(--ISNUMBER(SEARCH(climate,C124)))&gt;0)</f>
        <v>0</v>
      </c>
      <c r="V124" s="14" cm="1">
        <f t="array" ref="V124">INT(SUMPRODUCT(--ISNUMBER(SEARCH(abortion,C124)))&gt;0)</f>
        <v>0</v>
      </c>
      <c r="W124" s="14" cm="1">
        <f t="array" ref="W124">INT(SUMPRODUCT(--ISNUMBER(SEARCH(trump,C124)))&gt;0)</f>
        <v>0</v>
      </c>
      <c r="X124" s="14" cm="1">
        <f t="array" ref="X124">INT(SUMPRODUCT(--ISNUMBER(SEARCH(voting,C124)))&gt;0)</f>
        <v>0</v>
      </c>
      <c r="Y124" s="14" cm="1">
        <f t="array" ref="Y124">INT(SUMPRODUCT(--ISNUMBER(SEARCH(democrattrigger,C124)))&gt;0)</f>
        <v>0</v>
      </c>
      <c r="Z124" s="14" cm="1">
        <f t="array" ref="Z124">INT(SUMPRODUCT(--ISNUMBER(SEARCH(bipartisan,C124)))&gt;0)</f>
        <v>0</v>
      </c>
      <c r="AA124" s="14">
        <f t="shared" si="1"/>
        <v>0</v>
      </c>
      <c r="AB124" s="14"/>
      <c r="AC124" s="30" t="s">
        <v>223</v>
      </c>
      <c r="AD124" s="37" t="s">
        <v>223</v>
      </c>
    </row>
    <row r="125" spans="1:30" x14ac:dyDescent="0.25">
      <c r="A125" s="36">
        <v>4320</v>
      </c>
      <c r="B125" s="14" t="s">
        <v>8663</v>
      </c>
      <c r="C125" s="14" t="s">
        <v>8664</v>
      </c>
      <c r="D125" s="17">
        <v>44109</v>
      </c>
      <c r="E125" s="14" t="s">
        <v>30</v>
      </c>
      <c r="F125" s="14">
        <v>178</v>
      </c>
      <c r="G125" s="14">
        <v>32</v>
      </c>
      <c r="H125" s="14">
        <v>19</v>
      </c>
      <c r="I125" s="14">
        <v>10</v>
      </c>
      <c r="J125" s="14" t="s">
        <v>204</v>
      </c>
      <c r="K125" s="14" cm="1">
        <f t="array" ref="K125">INT(SUMPRODUCT(--ISNUMBER(SEARCH(economy,C125)))&gt;0)</f>
        <v>1</v>
      </c>
      <c r="L125" s="14" cm="1">
        <f t="array" ref="L125">INT(SUMPRODUCT(--ISNUMBER(SEARCH(healthcare,C125)))&gt;0)</f>
        <v>0</v>
      </c>
      <c r="M125" s="14" cm="1">
        <f t="array" ref="M125">INT(SUMPRODUCT(--ISNUMBER(SEARCH(supreme,C125)))&gt;0)</f>
        <v>0</v>
      </c>
      <c r="N125" s="14" cm="1">
        <f t="array" ref="N125">INT(SUMPRODUCT(--ISNUMBER(SEARCH(covid,C125)))&gt;0)</f>
        <v>0</v>
      </c>
      <c r="O125" s="14" cm="1">
        <f t="array" ref="O125">INT(SUMPRODUCT(--ISNUMBER(SEARCH(violent,C125)))&gt;0)</f>
        <v>0</v>
      </c>
      <c r="P125" s="14" cm="1">
        <f t="array" ref="P125">INT(SUMPRODUCT(--ISNUMBER(SEARCH(foreign,C125)))&gt;0)</f>
        <v>1</v>
      </c>
      <c r="Q125" s="14" cm="1">
        <f t="array" ref="Q125">INT(SUMPRODUCT(--ISNUMBER(SEARCH(gun,C125)))&gt;0)</f>
        <v>0</v>
      </c>
      <c r="R125" s="14" cm="1">
        <f t="array" ref="R125">INT(SUMPRODUCT(--ISNUMBER(SEARCH(race,C125)))&gt;0)</f>
        <v>0</v>
      </c>
      <c r="S125" s="14" cm="1">
        <f t="array" ref="S125">INT(SUMPRODUCT(--ISNUMBER(SEARCH(immigration,C125)))&gt;0)</f>
        <v>0</v>
      </c>
      <c r="T125" s="14" cm="1">
        <f t="array" ref="T125">INT(SUMPRODUCT(--ISNUMBER(SEARCH(econineq,C126)))&gt;0)</f>
        <v>0</v>
      </c>
      <c r="U125" s="14" cm="1">
        <f t="array" ref="U125">INT(SUMPRODUCT(--ISNUMBER(SEARCH(climate,C125)))&gt;0)</f>
        <v>0</v>
      </c>
      <c r="V125" s="14" cm="1">
        <f t="array" ref="V125">INT(SUMPRODUCT(--ISNUMBER(SEARCH(abortion,C125)))&gt;0)</f>
        <v>0</v>
      </c>
      <c r="W125" s="14" cm="1">
        <f t="array" ref="W125">INT(SUMPRODUCT(--ISNUMBER(SEARCH(trump,C125)))&gt;0)</f>
        <v>0</v>
      </c>
      <c r="X125" s="14" cm="1">
        <f t="array" ref="X125">INT(SUMPRODUCT(--ISNUMBER(SEARCH(voting,C125)))&gt;0)</f>
        <v>0</v>
      </c>
      <c r="Y125" s="14" cm="1">
        <f t="array" ref="Y125">INT(SUMPRODUCT(--ISNUMBER(SEARCH(democrattrigger,C125)))&gt;0)</f>
        <v>0</v>
      </c>
      <c r="Z125" s="14" cm="1">
        <f t="array" ref="Z125">INT(SUMPRODUCT(--ISNUMBER(SEARCH(bipartisan,C125)))&gt;0)</f>
        <v>0</v>
      </c>
      <c r="AA125" s="14">
        <f t="shared" si="1"/>
        <v>0</v>
      </c>
      <c r="AB125" s="14"/>
      <c r="AC125" s="30">
        <v>1</v>
      </c>
      <c r="AD125" s="37">
        <v>0</v>
      </c>
    </row>
    <row r="126" spans="1:30" x14ac:dyDescent="0.25">
      <c r="A126" s="38">
        <v>4321</v>
      </c>
      <c r="B126" s="39" t="s">
        <v>8665</v>
      </c>
      <c r="C126" s="39" t="s">
        <v>8666</v>
      </c>
      <c r="D126" s="41">
        <v>44107</v>
      </c>
      <c r="E126" s="39" t="s">
        <v>30</v>
      </c>
      <c r="F126" s="39">
        <v>258</v>
      </c>
      <c r="G126" s="39">
        <v>42</v>
      </c>
      <c r="H126" s="39">
        <v>19</v>
      </c>
      <c r="I126" s="39">
        <v>10</v>
      </c>
      <c r="J126" s="39" t="s">
        <v>204</v>
      </c>
      <c r="K126" s="39" cm="1">
        <f t="array" ref="K126">INT(SUMPRODUCT(--ISNUMBER(SEARCH(economy,C126)))&gt;0)</f>
        <v>1</v>
      </c>
      <c r="L126" s="39" cm="1">
        <f t="array" ref="L126">INT(SUMPRODUCT(--ISNUMBER(SEARCH(healthcare,C126)))&gt;0)</f>
        <v>1</v>
      </c>
      <c r="M126" s="39" cm="1">
        <f t="array" ref="M126">INT(SUMPRODUCT(--ISNUMBER(SEARCH(supreme,C126)))&gt;0)</f>
        <v>0</v>
      </c>
      <c r="N126" s="39" cm="1">
        <f t="array" ref="N126">INT(SUMPRODUCT(--ISNUMBER(SEARCH(covid,C126)))&gt;0)</f>
        <v>1</v>
      </c>
      <c r="O126" s="39" cm="1">
        <f t="array" ref="O126">INT(SUMPRODUCT(--ISNUMBER(SEARCH(violent,C126)))&gt;0)</f>
        <v>0</v>
      </c>
      <c r="P126" s="39" cm="1">
        <f t="array" ref="P126">INT(SUMPRODUCT(--ISNUMBER(SEARCH(foreign,C126)))&gt;0)</f>
        <v>1</v>
      </c>
      <c r="Q126" s="39" cm="1">
        <f t="array" ref="Q126">INT(SUMPRODUCT(--ISNUMBER(SEARCH(gun,C126)))&gt;0)</f>
        <v>0</v>
      </c>
      <c r="R126" s="39" cm="1">
        <f t="array" ref="R126">INT(SUMPRODUCT(--ISNUMBER(SEARCH(race,C126)))&gt;0)</f>
        <v>0</v>
      </c>
      <c r="S126" s="39" cm="1">
        <f t="array" ref="S126">INT(SUMPRODUCT(--ISNUMBER(SEARCH(immigration,C126)))&gt;0)</f>
        <v>0</v>
      </c>
      <c r="T126" s="39" cm="1">
        <f t="array" ref="T126">INT(SUMPRODUCT(--ISNUMBER(SEARCH(econineq,C127)))&gt;0)</f>
        <v>0</v>
      </c>
      <c r="U126" s="39" cm="1">
        <f t="array" ref="U126">INT(SUMPRODUCT(--ISNUMBER(SEARCH(climate,C126)))&gt;0)</f>
        <v>0</v>
      </c>
      <c r="V126" s="39" cm="1">
        <f t="array" ref="V126">INT(SUMPRODUCT(--ISNUMBER(SEARCH(abortion,C126)))&gt;0)</f>
        <v>0</v>
      </c>
      <c r="W126" s="39" cm="1">
        <f t="array" ref="W126">INT(SUMPRODUCT(--ISNUMBER(SEARCH(trump,C126)))&gt;0)</f>
        <v>0</v>
      </c>
      <c r="X126" s="39" cm="1">
        <f t="array" ref="X126">INT(SUMPRODUCT(--ISNUMBER(SEARCH(voting,C126)))&gt;0)</f>
        <v>0</v>
      </c>
      <c r="Y126" s="39" cm="1">
        <f t="array" ref="Y126">INT(SUMPRODUCT(--ISNUMBER(SEARCH(democrattrigger,C126)))&gt;0)</f>
        <v>0</v>
      </c>
      <c r="Z126" s="39" cm="1">
        <f t="array" ref="Z126">INT(SUMPRODUCT(--ISNUMBER(SEARCH(bipartisan,C126)))&gt;0)</f>
        <v>0</v>
      </c>
      <c r="AA126" s="39">
        <f t="shared" si="1"/>
        <v>0</v>
      </c>
      <c r="AB126" s="39"/>
      <c r="AC126" s="44">
        <v>1</v>
      </c>
      <c r="AD126" s="45">
        <v>0</v>
      </c>
    </row>
    <row r="127" spans="1:30" x14ac:dyDescent="0.25">
      <c r="A127" s="16"/>
      <c r="B127" s="16"/>
      <c r="C127" s="16"/>
      <c r="D127" s="16"/>
      <c r="E127" s="16"/>
      <c r="F127" s="16"/>
      <c r="G127" s="16"/>
      <c r="H127" s="16"/>
      <c r="I127" s="16"/>
      <c r="J127" s="16"/>
      <c r="K127" s="21">
        <f t="shared" ref="K127:AD127" si="2">SUM(K2:K126)</f>
        <v>18</v>
      </c>
      <c r="L127" s="21">
        <f t="shared" si="2"/>
        <v>29</v>
      </c>
      <c r="M127" s="21">
        <f t="shared" si="2"/>
        <v>10</v>
      </c>
      <c r="N127" s="21">
        <f t="shared" si="2"/>
        <v>31</v>
      </c>
      <c r="O127" s="21">
        <f t="shared" si="2"/>
        <v>1</v>
      </c>
      <c r="P127" s="21">
        <f t="shared" si="2"/>
        <v>12</v>
      </c>
      <c r="Q127" s="21">
        <f t="shared" si="2"/>
        <v>0</v>
      </c>
      <c r="R127" s="21">
        <f t="shared" si="2"/>
        <v>3</v>
      </c>
      <c r="S127" s="21">
        <f t="shared" si="2"/>
        <v>3</v>
      </c>
      <c r="T127" s="21">
        <f t="shared" si="2"/>
        <v>5</v>
      </c>
      <c r="U127" s="21">
        <f t="shared" si="2"/>
        <v>6</v>
      </c>
      <c r="V127" s="21">
        <f t="shared" si="2"/>
        <v>0</v>
      </c>
      <c r="W127" s="21">
        <f t="shared" si="2"/>
        <v>11</v>
      </c>
      <c r="X127" s="21">
        <f t="shared" si="2"/>
        <v>34</v>
      </c>
      <c r="Y127" s="21">
        <f t="shared" si="2"/>
        <v>10</v>
      </c>
      <c r="Z127" s="21">
        <f t="shared" si="2"/>
        <v>6</v>
      </c>
      <c r="AA127" s="21">
        <f t="shared" si="2"/>
        <v>26</v>
      </c>
      <c r="AB127" s="21">
        <f t="shared" si="2"/>
        <v>0</v>
      </c>
      <c r="AC127" s="21">
        <f t="shared" si="2"/>
        <v>35</v>
      </c>
      <c r="AD127" s="21">
        <f t="shared" si="2"/>
        <v>6</v>
      </c>
    </row>
    <row r="128" spans="1:30" x14ac:dyDescent="0.25">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row>
    <row r="129" spans="1:30" x14ac:dyDescent="0.25">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row>
    <row r="130" spans="1:30" x14ac:dyDescent="0.25">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row>
    <row r="131" spans="1:30" x14ac:dyDescent="0.25">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row>
    <row r="132" spans="1:30" x14ac:dyDescent="0.25">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row>
    <row r="133" spans="1:30" x14ac:dyDescent="0.25">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row>
    <row r="134" spans="1:30" x14ac:dyDescent="0.25">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x14ac:dyDescent="0.2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x14ac:dyDescent="0.25">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x14ac:dyDescent="0.25">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x14ac:dyDescent="0.25">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row>
    <row r="139" spans="1:30" x14ac:dyDescent="0.25">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row>
    <row r="140" spans="1:30" x14ac:dyDescent="0.25">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row>
    <row r="141" spans="1:30" x14ac:dyDescent="0.25">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row>
    <row r="142" spans="1:30" x14ac:dyDescent="0.25">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row>
    <row r="143" spans="1:30" x14ac:dyDescent="0.25">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row>
    <row r="144" spans="1:30" x14ac:dyDescent="0.25">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row>
    <row r="145" spans="1:30" x14ac:dyDescent="0.2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row>
    <row r="146" spans="1:30" x14ac:dyDescent="0.25">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row>
    <row r="147" spans="1:30" x14ac:dyDescent="0.25">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row>
    <row r="148" spans="1:30" x14ac:dyDescent="0.25">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row>
    <row r="149" spans="1:30" x14ac:dyDescent="0.25">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row>
    <row r="150" spans="1:30" x14ac:dyDescent="0.25">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row>
    <row r="151" spans="1:30" x14ac:dyDescent="0.25">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x14ac:dyDescent="0.25">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row>
    <row r="153" spans="1:30" x14ac:dyDescent="0.25">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x14ac:dyDescent="0.25">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x14ac:dyDescent="0.2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row>
    <row r="156" spans="1:30" x14ac:dyDescent="0.25">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row>
    <row r="157" spans="1:30" x14ac:dyDescent="0.25">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row>
    <row r="158" spans="1:30" x14ac:dyDescent="0.25">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row>
    <row r="159" spans="1:30" x14ac:dyDescent="0.25">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row>
    <row r="160" spans="1:30" x14ac:dyDescent="0.25">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row>
    <row r="161" spans="1:30" x14ac:dyDescent="0.25">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row>
    <row r="162" spans="1:30" x14ac:dyDescent="0.25">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row>
    <row r="163" spans="1:30" x14ac:dyDescent="0.25">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row>
    <row r="164" spans="1:30" x14ac:dyDescent="0.25">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row>
    <row r="165" spans="1:30" x14ac:dyDescent="0.2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row>
    <row r="166" spans="1:30" x14ac:dyDescent="0.25">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row>
    <row r="167" spans="1:30" x14ac:dyDescent="0.25">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row>
    <row r="168" spans="1:30" x14ac:dyDescent="0.25">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x14ac:dyDescent="0.25">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x14ac:dyDescent="0.25">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x14ac:dyDescent="0.25">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x14ac:dyDescent="0.25">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x14ac:dyDescent="0.25">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x14ac:dyDescent="0.25">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x14ac:dyDescent="0.2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x14ac:dyDescent="0.25">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x14ac:dyDescent="0.25">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x14ac:dyDescent="0.25">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x14ac:dyDescent="0.25">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x14ac:dyDescent="0.25">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x14ac:dyDescent="0.25">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x14ac:dyDescent="0.25">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x14ac:dyDescent="0.25">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x14ac:dyDescent="0.2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x14ac:dyDescent="0.2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x14ac:dyDescent="0.25">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x14ac:dyDescent="0.25">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x14ac:dyDescent="0.25">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x14ac:dyDescent="0.25">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x14ac:dyDescent="0.25">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x14ac:dyDescent="0.25">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x14ac:dyDescent="0.25">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x14ac:dyDescent="0.25">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x14ac:dyDescent="0.25">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x14ac:dyDescent="0.2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x14ac:dyDescent="0.25">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x14ac:dyDescent="0.25">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x14ac:dyDescent="0.25">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x14ac:dyDescent="0.25">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x14ac:dyDescent="0.25">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x14ac:dyDescent="0.25">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x14ac:dyDescent="0.25">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x14ac:dyDescent="0.25">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x14ac:dyDescent="0.25">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x14ac:dyDescent="0.2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x14ac:dyDescent="0.25">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x14ac:dyDescent="0.25">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x14ac:dyDescent="0.25">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x14ac:dyDescent="0.25">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x14ac:dyDescent="0.25">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x14ac:dyDescent="0.25">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x14ac:dyDescent="0.25">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x14ac:dyDescent="0.25">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x14ac:dyDescent="0.25">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x14ac:dyDescent="0.2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x14ac:dyDescent="0.25">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x14ac:dyDescent="0.25">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x14ac:dyDescent="0.25">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x14ac:dyDescent="0.25">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x14ac:dyDescent="0.25">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x14ac:dyDescent="0.25">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x14ac:dyDescent="0.25">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x14ac:dyDescent="0.25">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x14ac:dyDescent="0.25">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x14ac:dyDescent="0.2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x14ac:dyDescent="0.25">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x14ac:dyDescent="0.25">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x14ac:dyDescent="0.25">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x14ac:dyDescent="0.25">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x14ac:dyDescent="0.25">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x14ac:dyDescent="0.25">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x14ac:dyDescent="0.25">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x14ac:dyDescent="0.25">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x14ac:dyDescent="0.25">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x14ac:dyDescent="0.2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x14ac:dyDescent="0.25">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x14ac:dyDescent="0.25">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x14ac:dyDescent="0.25">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x14ac:dyDescent="0.25">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x14ac:dyDescent="0.25">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x14ac:dyDescent="0.25">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x14ac:dyDescent="0.25">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x14ac:dyDescent="0.25">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x14ac:dyDescent="0.25">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x14ac:dyDescent="0.2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x14ac:dyDescent="0.25">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x14ac:dyDescent="0.25">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x14ac:dyDescent="0.25">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x14ac:dyDescent="0.25">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x14ac:dyDescent="0.25">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x14ac:dyDescent="0.25">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x14ac:dyDescent="0.25">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x14ac:dyDescent="0.25">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x14ac:dyDescent="0.25">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x14ac:dyDescent="0.2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x14ac:dyDescent="0.25">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x14ac:dyDescent="0.25">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x14ac:dyDescent="0.25">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x14ac:dyDescent="0.25">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x14ac:dyDescent="0.25">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x14ac:dyDescent="0.25">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x14ac:dyDescent="0.25">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x14ac:dyDescent="0.25">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x14ac:dyDescent="0.25">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x14ac:dyDescent="0.2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x14ac:dyDescent="0.25">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x14ac:dyDescent="0.25">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x14ac:dyDescent="0.25">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x14ac:dyDescent="0.25">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x14ac:dyDescent="0.25">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x14ac:dyDescent="0.25">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x14ac:dyDescent="0.25">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x14ac:dyDescent="0.25">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x14ac:dyDescent="0.25">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x14ac:dyDescent="0.2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x14ac:dyDescent="0.25">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x14ac:dyDescent="0.25">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x14ac:dyDescent="0.25">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x14ac:dyDescent="0.25">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x14ac:dyDescent="0.25">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x14ac:dyDescent="0.25">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x14ac:dyDescent="0.25">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x14ac:dyDescent="0.25">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x14ac:dyDescent="0.25">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x14ac:dyDescent="0.2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x14ac:dyDescent="0.25">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x14ac:dyDescent="0.25">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x14ac:dyDescent="0.25">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x14ac:dyDescent="0.25">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x14ac:dyDescent="0.25">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x14ac:dyDescent="0.25">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x14ac:dyDescent="0.25">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x14ac:dyDescent="0.25">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x14ac:dyDescent="0.25">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x14ac:dyDescent="0.2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x14ac:dyDescent="0.25">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x14ac:dyDescent="0.25">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x14ac:dyDescent="0.25">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x14ac:dyDescent="0.25">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x14ac:dyDescent="0.25">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x14ac:dyDescent="0.25">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x14ac:dyDescent="0.25">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x14ac:dyDescent="0.2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x14ac:dyDescent="0.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x14ac:dyDescent="0.2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x14ac:dyDescent="0.2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x14ac:dyDescent="0.2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x14ac:dyDescent="0.2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x14ac:dyDescent="0.2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x14ac:dyDescent="0.2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x14ac:dyDescent="0.2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x14ac:dyDescent="0.2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x14ac:dyDescent="0.2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x14ac:dyDescent="0.2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x14ac:dyDescent="0.2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x14ac:dyDescent="0.25">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x14ac:dyDescent="0.25">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x14ac:dyDescent="0.25">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x14ac:dyDescent="0.25">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x14ac:dyDescent="0.25">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x14ac:dyDescent="0.25">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x14ac:dyDescent="0.25">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x14ac:dyDescent="0.25">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x14ac:dyDescent="0.25">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x14ac:dyDescent="0.2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x14ac:dyDescent="0.25">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x14ac:dyDescent="0.25">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x14ac:dyDescent="0.25">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x14ac:dyDescent="0.25">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x14ac:dyDescent="0.25">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x14ac:dyDescent="0.25">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x14ac:dyDescent="0.25">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x14ac:dyDescent="0.25">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x14ac:dyDescent="0.25">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row>
    <row r="335" spans="1:30" x14ac:dyDescent="0.2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row>
    <row r="336" spans="1:30" x14ac:dyDescent="0.25">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row>
    <row r="337" spans="1:30" x14ac:dyDescent="0.25">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row>
    <row r="338" spans="1:30" x14ac:dyDescent="0.25">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row>
    <row r="339" spans="1:30" x14ac:dyDescent="0.25">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row>
    <row r="340" spans="1:30" x14ac:dyDescent="0.25">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row>
    <row r="341" spans="1:30" x14ac:dyDescent="0.25">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row>
    <row r="342" spans="1:30" x14ac:dyDescent="0.25">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row>
    <row r="343" spans="1:30" x14ac:dyDescent="0.25">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row>
    <row r="344" spans="1:30" x14ac:dyDescent="0.25">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row>
    <row r="345" spans="1:30" x14ac:dyDescent="0.2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row>
    <row r="346" spans="1:30" x14ac:dyDescent="0.25">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row>
    <row r="347" spans="1:30" x14ac:dyDescent="0.25">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row>
    <row r="348" spans="1:30" x14ac:dyDescent="0.25">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row>
    <row r="349" spans="1:30" x14ac:dyDescent="0.25">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row>
    <row r="350" spans="1:30" x14ac:dyDescent="0.25">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row>
    <row r="351" spans="1:30" x14ac:dyDescent="0.25">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row>
    <row r="352" spans="1:30" x14ac:dyDescent="0.25">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row>
    <row r="353" spans="1:30" x14ac:dyDescent="0.25">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row>
    <row r="354" spans="1:30" x14ac:dyDescent="0.25">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row>
    <row r="355" spans="1:30" x14ac:dyDescent="0.2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row>
    <row r="356" spans="1:30" x14ac:dyDescent="0.25">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row>
    <row r="357" spans="1:30" x14ac:dyDescent="0.25">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row>
    <row r="358" spans="1:30" x14ac:dyDescent="0.25">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row>
    <row r="359" spans="1:30" x14ac:dyDescent="0.25">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row>
    <row r="360" spans="1:30" x14ac:dyDescent="0.25">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row>
    <row r="361" spans="1:30" x14ac:dyDescent="0.25">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row>
    <row r="362" spans="1:30" x14ac:dyDescent="0.25">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row>
    <row r="363" spans="1:30" x14ac:dyDescent="0.25">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row>
    <row r="364" spans="1:30" x14ac:dyDescent="0.25">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row>
    <row r="365" spans="1:30" x14ac:dyDescent="0.2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row>
    <row r="366" spans="1:30" x14ac:dyDescent="0.25">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row>
    <row r="367" spans="1:30" x14ac:dyDescent="0.25">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row>
    <row r="368" spans="1:30" x14ac:dyDescent="0.25">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row>
    <row r="369" spans="1:30" x14ac:dyDescent="0.25">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row>
    <row r="370" spans="1:30" x14ac:dyDescent="0.25">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row>
    <row r="371" spans="1:30" x14ac:dyDescent="0.25">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row>
    <row r="372" spans="1:30" x14ac:dyDescent="0.25">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row>
    <row r="373" spans="1:30" x14ac:dyDescent="0.25">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row>
    <row r="374" spans="1:30" x14ac:dyDescent="0.25">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row>
    <row r="375" spans="1:30" x14ac:dyDescent="0.2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row>
    <row r="376" spans="1:30" x14ac:dyDescent="0.25">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row>
    <row r="377" spans="1:30" x14ac:dyDescent="0.25">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row>
    <row r="378" spans="1:30" x14ac:dyDescent="0.25">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row>
    <row r="379" spans="1:30" x14ac:dyDescent="0.25">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row>
    <row r="380" spans="1:30" x14ac:dyDescent="0.25">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row>
    <row r="381" spans="1:30" x14ac:dyDescent="0.25">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row>
    <row r="382" spans="1:30" x14ac:dyDescent="0.25">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row>
    <row r="383" spans="1:30" x14ac:dyDescent="0.25">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row>
    <row r="384" spans="1:30" x14ac:dyDescent="0.25">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row>
    <row r="385" spans="1:30" x14ac:dyDescent="0.2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row>
    <row r="386" spans="1:30" x14ac:dyDescent="0.25">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row>
    <row r="387" spans="1:30" x14ac:dyDescent="0.25">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row>
    <row r="388" spans="1:30" x14ac:dyDescent="0.25">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row>
    <row r="389" spans="1:30" x14ac:dyDescent="0.25">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row>
    <row r="390" spans="1:30" x14ac:dyDescent="0.25">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row>
    <row r="391" spans="1:30" x14ac:dyDescent="0.25">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row>
    <row r="392" spans="1:30" x14ac:dyDescent="0.25">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row>
    <row r="393" spans="1:30" x14ac:dyDescent="0.25">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row>
    <row r="394" spans="1:30" x14ac:dyDescent="0.25">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row>
    <row r="395" spans="1:30" x14ac:dyDescent="0.2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row>
    <row r="396" spans="1:30" x14ac:dyDescent="0.25">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row>
    <row r="397" spans="1:30" x14ac:dyDescent="0.25">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row>
    <row r="398" spans="1:30" x14ac:dyDescent="0.25">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row>
    <row r="399" spans="1:30" x14ac:dyDescent="0.25">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row>
    <row r="400" spans="1:30" x14ac:dyDescent="0.25">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row>
    <row r="401" spans="1:30" x14ac:dyDescent="0.25">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row>
    <row r="402" spans="1:30" x14ac:dyDescent="0.25">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row>
    <row r="403" spans="1:30" x14ac:dyDescent="0.25">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row>
    <row r="404" spans="1:30" x14ac:dyDescent="0.25">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row>
    <row r="405" spans="1:30" x14ac:dyDescent="0.2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row>
    <row r="406" spans="1:30" x14ac:dyDescent="0.25">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row>
    <row r="407" spans="1:30" x14ac:dyDescent="0.25">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row>
    <row r="408" spans="1:30" x14ac:dyDescent="0.25">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row>
    <row r="409" spans="1:30" x14ac:dyDescent="0.25">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row>
    <row r="410" spans="1:30" x14ac:dyDescent="0.25">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row>
    <row r="411" spans="1:30" x14ac:dyDescent="0.25">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row>
    <row r="412" spans="1:30" x14ac:dyDescent="0.25">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row>
    <row r="413" spans="1:30" x14ac:dyDescent="0.25">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row>
    <row r="414" spans="1:30" x14ac:dyDescent="0.25">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row>
    <row r="415" spans="1:30" x14ac:dyDescent="0.2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row>
    <row r="416" spans="1:30" x14ac:dyDescent="0.25">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row>
    <row r="417" spans="1:30" x14ac:dyDescent="0.25">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row>
    <row r="418" spans="1:30" x14ac:dyDescent="0.25">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row>
    <row r="419" spans="1:30" x14ac:dyDescent="0.25">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row>
    <row r="420" spans="1:30" x14ac:dyDescent="0.25">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row>
    <row r="421" spans="1:30" x14ac:dyDescent="0.25">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row>
    <row r="422" spans="1:30" x14ac:dyDescent="0.25">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row>
    <row r="423" spans="1:30" x14ac:dyDescent="0.25">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row>
    <row r="424" spans="1:30" x14ac:dyDescent="0.25">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row>
    <row r="425" spans="1:30" x14ac:dyDescent="0.2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row>
    <row r="426" spans="1:30" x14ac:dyDescent="0.25">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row>
    <row r="427" spans="1:30" x14ac:dyDescent="0.25">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row>
    <row r="428" spans="1:30" x14ac:dyDescent="0.25">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row>
    <row r="429" spans="1:30" x14ac:dyDescent="0.25">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row>
  </sheetData>
  <conditionalFormatting sqref="J2:J126">
    <cfRule type="cellIs" dxfId="5" priority="1" operator="equal">
      <formula>"D"</formula>
    </cfRule>
  </conditionalFormatting>
  <hyperlinks>
    <hyperlink ref="B3" r:id="rId1" xr:uid="{3EE07AB1-9FAA-4CC8-BC3C-D852B92FBB19}"/>
    <hyperlink ref="B4" r:id="rId2" xr:uid="{528C7DB5-8C3A-4DBE-8561-9CF23BACB9AF}"/>
    <hyperlink ref="B5" r:id="rId3" xr:uid="{F7D94F98-BC84-4F28-AF9F-DB22ACD42002}"/>
    <hyperlink ref="B6" r:id="rId4" xr:uid="{F9E54E1E-E07C-444C-B59E-5F27FB6D7536}"/>
    <hyperlink ref="B7" r:id="rId5" xr:uid="{20ED1322-7A1D-4034-894F-784E4A0002E3}"/>
    <hyperlink ref="B8" r:id="rId6" xr:uid="{F79093E6-AEF6-4F03-901A-339994D81D5A}"/>
    <hyperlink ref="B9" r:id="rId7" xr:uid="{5F945AAF-DC38-47D0-8999-F6E8495AD6F1}"/>
    <hyperlink ref="B10" r:id="rId8" xr:uid="{15533AD7-C9E3-462E-B1F0-DB778E1C5A6C}"/>
    <hyperlink ref="B11" r:id="rId9" xr:uid="{6739EBCC-DDCD-453D-BD2D-E76E19BDA3FC}"/>
    <hyperlink ref="B12" r:id="rId10" xr:uid="{2F7A552A-6EAD-4C7B-871C-5AEA4451EF9B}"/>
    <hyperlink ref="B13" r:id="rId11" xr:uid="{BE414155-B5DC-4AB3-B534-8FF1EFF4D320}"/>
    <hyperlink ref="B14" r:id="rId12" xr:uid="{7B83DD39-C76F-441A-B601-980150D38A18}"/>
    <hyperlink ref="B15" r:id="rId13" xr:uid="{4E0E7B7E-3918-4B18-8870-4C17CC93056F}"/>
    <hyperlink ref="B16" r:id="rId14" xr:uid="{AEA756F9-992B-4823-BB22-5C42BFE7210F}"/>
    <hyperlink ref="B17" r:id="rId15" xr:uid="{F605C30E-2237-4B90-9443-D1FCCD5C3908}"/>
    <hyperlink ref="B18" r:id="rId16" xr:uid="{91B8A27E-6B34-4D7F-A54A-7F89970BF53D}"/>
    <hyperlink ref="B19" r:id="rId17" xr:uid="{EFD5092C-BF7D-4DA5-9783-1CEA5499F5EE}"/>
    <hyperlink ref="B20" r:id="rId18" xr:uid="{ED775532-E672-472D-8348-88268C970829}"/>
    <hyperlink ref="B21" r:id="rId19" xr:uid="{4F7BBFE5-E6B1-491A-9829-402B77ECFFD8}"/>
    <hyperlink ref="B22" r:id="rId20" xr:uid="{99E26ADA-C773-4FD7-920A-C36F72EE4E6E}"/>
    <hyperlink ref="B23" r:id="rId21" xr:uid="{BF86B891-B781-480B-96C5-6E8D81452A63}"/>
    <hyperlink ref="B24" r:id="rId22" xr:uid="{286E908B-BF77-4CAB-8E6C-608C698D167A}"/>
    <hyperlink ref="B25" r:id="rId23" xr:uid="{ED222BC8-40F9-4710-AD99-FD3DF3408FDA}"/>
    <hyperlink ref="B26" r:id="rId24" xr:uid="{59E91B02-E5E1-44A7-B9C1-580C81957F26}"/>
    <hyperlink ref="B27" r:id="rId25" xr:uid="{3B703F55-0EF1-4EEC-BA96-971185BC7892}"/>
    <hyperlink ref="B28" r:id="rId26" xr:uid="{1D553F67-A574-4A2C-B588-776D8C386597}"/>
    <hyperlink ref="B29" r:id="rId27" xr:uid="{AD1202EB-9A54-4191-8991-B037F6EA7A1D}"/>
    <hyperlink ref="B30" r:id="rId28" xr:uid="{B45D3C97-B701-4041-AF92-D9054E0D9E31}"/>
    <hyperlink ref="B31" r:id="rId29" xr:uid="{19432EF7-4BDC-4F10-ACEB-78C296A1066D}"/>
    <hyperlink ref="B32" r:id="rId30" xr:uid="{0EF91B3C-E662-45A8-8A99-184E05659FB4}"/>
    <hyperlink ref="B33" r:id="rId31" xr:uid="{574E0610-3737-414A-AB64-31DBB71CEA60}"/>
    <hyperlink ref="B34" r:id="rId32" xr:uid="{12D76063-6507-4A10-BBBB-1171E9C9E208}"/>
    <hyperlink ref="B35" r:id="rId33" xr:uid="{C42AB4CF-E9A8-4D1B-A579-CB9EEAF63DB3}"/>
    <hyperlink ref="B36" r:id="rId34" xr:uid="{4ABBAAA7-5B26-4B95-AFD3-A48DB6203D3B}"/>
    <hyperlink ref="B37" r:id="rId35" xr:uid="{FC238599-047C-4B0C-9BCA-1A295FE21F6A}"/>
    <hyperlink ref="B38" r:id="rId36" xr:uid="{1B63CDF9-DF0E-4C41-994E-8F7FAD69EC15}"/>
    <hyperlink ref="B39" r:id="rId37" xr:uid="{2733DDBF-0677-48B0-B36A-A5712CDF4967}"/>
    <hyperlink ref="B40" r:id="rId38" xr:uid="{6ADC0176-5909-4E2E-9642-F345903BA341}"/>
    <hyperlink ref="B41" r:id="rId39" xr:uid="{33049F6C-2FBC-4044-A5AC-7DDE86F5A942}"/>
    <hyperlink ref="B42" r:id="rId40" xr:uid="{D7CC9B1C-1379-4ED1-AB74-9E9110709699}"/>
    <hyperlink ref="B43" r:id="rId41" xr:uid="{F93DA9A7-7F62-4506-B982-44F5FF0B4F3D}"/>
    <hyperlink ref="B44" r:id="rId42" xr:uid="{90DDCC10-7100-4C39-BC4B-1311D09F4571}"/>
    <hyperlink ref="B45" r:id="rId43" xr:uid="{187D2C7E-09ED-48A0-A10D-2AF9280C8F42}"/>
    <hyperlink ref="B46" r:id="rId44" xr:uid="{6FB76217-FB03-45BF-9D6E-6B4B09F06D3F}"/>
    <hyperlink ref="B47" r:id="rId45" xr:uid="{A020F320-C41A-48C9-A925-A08B4158624A}"/>
    <hyperlink ref="B48" r:id="rId46" xr:uid="{65AE4620-4004-43B2-BFD6-1C1FBBCBC47A}"/>
    <hyperlink ref="B49" r:id="rId47" xr:uid="{8ED024A2-6697-43B0-92B8-56407387AFB1}"/>
    <hyperlink ref="B50" r:id="rId48" xr:uid="{7FF549BA-79B3-49E6-95D5-783906D17795}"/>
    <hyperlink ref="B51" r:id="rId49" xr:uid="{3F6C1C88-C6F3-4B05-8E7A-712184AAD2CB}"/>
    <hyperlink ref="B52" r:id="rId50" xr:uid="{97E801EC-12DE-43CA-9E39-039E172AEFB0}"/>
    <hyperlink ref="B53" r:id="rId51" xr:uid="{F86013C2-01AB-4FC0-8DF8-55BAA43C4349}"/>
    <hyperlink ref="B54" r:id="rId52" xr:uid="{6B22025D-E0DB-4971-A13A-FB02A331C0B1}"/>
    <hyperlink ref="B55" r:id="rId53" xr:uid="{8F5EB250-0D94-46FD-B86E-97197DB238D6}"/>
    <hyperlink ref="B56" r:id="rId54" xr:uid="{E087D2BD-A027-4B29-BD6B-7A9DBD97E480}"/>
    <hyperlink ref="B57" r:id="rId55" xr:uid="{E5E52866-8F2B-4091-B503-51008614220B}"/>
    <hyperlink ref="B58" r:id="rId56" xr:uid="{79F64107-5F17-4E35-83E2-197ADE330639}"/>
    <hyperlink ref="B59" r:id="rId57" xr:uid="{B068F29D-5E5E-45F4-BB85-77349F25CBB4}"/>
    <hyperlink ref="B60" r:id="rId58" xr:uid="{58348520-2F4D-4B96-AC6F-9525187FBA3A}"/>
    <hyperlink ref="B61" r:id="rId59" xr:uid="{92B78F5F-F96B-4F23-BEC7-13DFF82268FC}"/>
    <hyperlink ref="B62" r:id="rId60" xr:uid="{8134ABF5-CCFF-45B6-AE81-7D4F685D9F85}"/>
    <hyperlink ref="B63" r:id="rId61" xr:uid="{F0FEEA01-495D-4EFA-83B6-C02AE10D4596}"/>
    <hyperlink ref="B64" r:id="rId62" xr:uid="{F4589520-45D4-49D4-8389-947ED6BA70EC}"/>
    <hyperlink ref="B65" r:id="rId63" xr:uid="{53EA4533-1FCA-4D46-B63E-263F66B2E15E}"/>
    <hyperlink ref="B66" r:id="rId64" xr:uid="{0078E901-A52F-4E69-8C20-B443B8F9CE35}"/>
    <hyperlink ref="B67" r:id="rId65" xr:uid="{BABFD684-ED8E-496C-89C1-342CA284F4B4}"/>
    <hyperlink ref="B68" r:id="rId66" xr:uid="{D90E8386-5097-448D-9E82-E4E589545A26}"/>
    <hyperlink ref="B69" r:id="rId67" xr:uid="{31B31EAB-89BD-4230-8FCA-9BF447C5E68F}"/>
    <hyperlink ref="B70" r:id="rId68" xr:uid="{9B26194C-5135-46FB-9885-437A9365FF77}"/>
    <hyperlink ref="B71" r:id="rId69" xr:uid="{70DE1988-0844-4CAE-BF8F-4FA141CD7706}"/>
    <hyperlink ref="B72" r:id="rId70" xr:uid="{0F4E425E-2687-4FEB-AFFE-01E41AB0A556}"/>
    <hyperlink ref="B73" r:id="rId71" xr:uid="{0BF64131-5F50-41F8-8FDD-8FABADB7E37B}"/>
    <hyperlink ref="B74" r:id="rId72" xr:uid="{FB105E5D-3B19-45F7-B1CE-A67F9299D0C0}"/>
    <hyperlink ref="B75" r:id="rId73" xr:uid="{12CB2803-A522-4A92-ADC5-E4AD16EFCC17}"/>
    <hyperlink ref="B76" r:id="rId74" xr:uid="{40DB59C1-032F-4899-B855-165FB2EB82A3}"/>
    <hyperlink ref="B77" r:id="rId75" xr:uid="{E3F124FB-FE76-4F22-A174-39E8E06ED154}"/>
    <hyperlink ref="B78" r:id="rId76" xr:uid="{9DCE9E0D-F352-4D43-A5C1-14FA3E31576C}"/>
    <hyperlink ref="B79" r:id="rId77" xr:uid="{9153FAE2-4219-46C4-B499-3C88E0AC020D}"/>
    <hyperlink ref="B80" r:id="rId78" xr:uid="{5285249A-D6C1-49A6-BF19-FB6A1649B20E}"/>
    <hyperlink ref="B81" r:id="rId79" xr:uid="{D7AC5171-7E22-476C-B711-F8DEB7CD8CD3}"/>
    <hyperlink ref="B82" r:id="rId80" xr:uid="{AE8FD09F-18E6-41DA-A036-66743441F2FA}"/>
    <hyperlink ref="B83" r:id="rId81" xr:uid="{05655302-3C7F-4C7A-962B-9AAEDAF0A226}"/>
    <hyperlink ref="B84" r:id="rId82" xr:uid="{6F21D201-933A-439E-A23C-17E6C0B7E1E7}"/>
    <hyperlink ref="B85" r:id="rId83" xr:uid="{FF3F71C3-96A4-427C-AACF-1DBB5C77CC25}"/>
    <hyperlink ref="B86" r:id="rId84" xr:uid="{ACF94473-B422-43E1-8898-F8EA8DDC82DA}"/>
    <hyperlink ref="B87" r:id="rId85" xr:uid="{398C9D3F-6966-4D91-BBD7-EFF3A8EF3AC1}"/>
    <hyperlink ref="B88" r:id="rId86" xr:uid="{087B99D0-B982-4282-85BE-EA4E70260EB3}"/>
    <hyperlink ref="B89" r:id="rId87" xr:uid="{89D4212A-6392-473A-8310-7DCF9322D43C}"/>
    <hyperlink ref="B90" r:id="rId88" xr:uid="{4DD11524-709E-47B0-90FD-C979BED3C44E}"/>
    <hyperlink ref="B91" r:id="rId89" xr:uid="{884718AE-1546-4DBC-8EA3-8E8C6BD9C9FB}"/>
    <hyperlink ref="B92" r:id="rId90" xr:uid="{0C1A21D2-2F29-4F89-9D64-9A135D844A5D}"/>
    <hyperlink ref="B93" r:id="rId91" xr:uid="{DE4F9BD4-B025-40BF-9885-F5D097F1B302}"/>
    <hyperlink ref="B94" r:id="rId92" xr:uid="{2EDD055E-AE70-4789-983F-3EFCDEEFFAC9}"/>
    <hyperlink ref="B95" r:id="rId93" xr:uid="{4712E94D-F06A-4392-AF7C-E9E620122EA8}"/>
    <hyperlink ref="B96" r:id="rId94" xr:uid="{904F261A-ABB1-43A9-AF75-955B2EEFD7E5}"/>
    <hyperlink ref="B97" r:id="rId95" xr:uid="{F998571B-4F8A-4797-B419-470DC3DCBF78}"/>
    <hyperlink ref="B98" r:id="rId96" xr:uid="{407F4AC6-4E70-4153-B6FB-0D58A754C621}"/>
    <hyperlink ref="B99" r:id="rId97" xr:uid="{B21A7AF8-0FA1-4ED6-A747-281E025D64CE}"/>
    <hyperlink ref="B100" r:id="rId98" xr:uid="{CE614DD1-BD90-4DC3-86A6-96E51DD13EC4}"/>
    <hyperlink ref="B101" r:id="rId99" xr:uid="{671483DE-0212-4915-BCAA-B072054662F7}"/>
    <hyperlink ref="B102" r:id="rId100" xr:uid="{A2FB5E90-ED22-4168-AFCA-087534AABA84}"/>
    <hyperlink ref="B103" r:id="rId101" xr:uid="{15095000-4927-4714-B72C-ED38833693B9}"/>
    <hyperlink ref="B104" r:id="rId102" xr:uid="{50453BB8-1544-42EC-BA02-B670A51DAA2F}"/>
    <hyperlink ref="B105" r:id="rId103" xr:uid="{22C15BF9-98D8-48E8-AE9A-6A65C9B38A02}"/>
    <hyperlink ref="B106" r:id="rId104" xr:uid="{BB2938A7-9FB6-45CC-B506-8F1EFC833F76}"/>
    <hyperlink ref="B107" r:id="rId105" xr:uid="{A1FC416C-6739-4012-8DCC-81826F6F1D68}"/>
    <hyperlink ref="B108" r:id="rId106" xr:uid="{451FBA6E-5560-4678-AF0F-9B8E07829755}"/>
    <hyperlink ref="B109" r:id="rId107" xr:uid="{364DDB9E-F791-440A-A7D8-EE5832D2C820}"/>
    <hyperlink ref="B110" r:id="rId108" xr:uid="{D9FF2D1C-3A0D-4CD6-81E1-D50C8CF7F200}"/>
    <hyperlink ref="B111" r:id="rId109" xr:uid="{F8CE04C0-03F4-4105-A66F-F61E33EDCD3A}"/>
    <hyperlink ref="B112" r:id="rId110" xr:uid="{FE3CFE29-C344-4783-B554-5394D961FB82}"/>
    <hyperlink ref="B113" r:id="rId111" xr:uid="{E1EBE68C-7B36-403A-9581-337922DABC18}"/>
    <hyperlink ref="B114" r:id="rId112" xr:uid="{C91CD90C-A880-4940-8E21-0C8037E8851B}"/>
    <hyperlink ref="B115" r:id="rId113" xr:uid="{36E7ACAD-203D-44CB-91C9-C36EA7218343}"/>
    <hyperlink ref="B116" r:id="rId114" xr:uid="{D37473B6-509B-4D39-9B48-F9761280D66E}"/>
    <hyperlink ref="B117" r:id="rId115" xr:uid="{381F144C-6097-45CC-957D-97AB38732395}"/>
    <hyperlink ref="B118" r:id="rId116" xr:uid="{A8A6255D-2C31-428A-BB72-985154AB1024}"/>
    <hyperlink ref="B119" r:id="rId117" xr:uid="{583859FE-6886-4A3B-A593-B64BD780D276}"/>
    <hyperlink ref="B120" r:id="rId118" xr:uid="{CEBF4576-06AA-487D-A993-EB5530F115CA}"/>
    <hyperlink ref="B121" r:id="rId119" xr:uid="{62EEBAFA-951C-42E1-B599-9FFBECF113B7}"/>
    <hyperlink ref="B122" r:id="rId120" xr:uid="{E28AAA5E-E087-4A39-8F02-7B0EE3717A69}"/>
    <hyperlink ref="B123" r:id="rId121" xr:uid="{37A30A06-BE7E-4242-BE69-3ABD72CC1D3C}"/>
    <hyperlink ref="B124" r:id="rId122" xr:uid="{9BFA5AB2-9BFB-406E-B19E-F389455E284A}"/>
    <hyperlink ref="B125" r:id="rId123" xr:uid="{0CFECF52-18F7-4FB6-A6D7-D5DE7A6A94AD}"/>
    <hyperlink ref="B126" r:id="rId124" xr:uid="{80921E76-A9F7-4C8B-B2BF-A5089CAC901C}"/>
    <hyperlink ref="B2" r:id="rId125" xr:uid="{5F73FB80-870B-4490-8BE3-DD96B67554E8}"/>
  </hyperlinks>
  <pageMargins left="0.7" right="0.7" top="0.75" bottom="0.75" header="0.3" footer="0.3"/>
  <tableParts count="1">
    <tablePart r:id="rId12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91173-3161-4AEA-A2E8-0408A621996C}">
  <dimension ref="A1:AD234"/>
  <sheetViews>
    <sheetView topLeftCell="B203" zoomScale="66" zoomScaleNormal="66" workbookViewId="0">
      <selection activeCell="E235" sqref="E235:G241"/>
    </sheetView>
  </sheetViews>
  <sheetFormatPr defaultColWidth="11.42578125" defaultRowHeight="15" x14ac:dyDescent="0.25"/>
  <cols>
    <col min="1" max="1" width="13.42578125" customWidth="1"/>
    <col min="2" max="2" width="37.85546875" customWidth="1"/>
    <col min="3" max="3" width="37.85546875" style="26" customWidth="1"/>
    <col min="4" max="4" width="21.85546875" customWidth="1"/>
    <col min="5" max="5" width="41.28515625" customWidth="1"/>
    <col min="6" max="6" width="21.85546875" customWidth="1"/>
    <col min="7" max="7" width="14.42578125" customWidth="1"/>
    <col min="8" max="8" width="15.85546875" customWidth="1"/>
    <col min="11" max="11" width="14.28515625" customWidth="1"/>
    <col min="12" max="12" width="16.7109375" customWidth="1"/>
    <col min="13" max="13" width="38.140625" customWidth="1"/>
    <col min="14" max="14" width="15.140625" customWidth="1"/>
    <col min="15" max="15" width="19.28515625" customWidth="1"/>
    <col min="16" max="16" width="20.28515625" customWidth="1"/>
    <col min="17" max="17" width="16.28515625" customWidth="1"/>
    <col min="18" max="20" width="35.42578125" customWidth="1"/>
    <col min="21" max="21" width="22.140625" customWidth="1"/>
    <col min="22" max="22" width="13.42578125" customWidth="1"/>
    <col min="23" max="23" width="19.85546875" customWidth="1"/>
    <col min="25" max="25" width="26.42578125" customWidth="1"/>
    <col min="26" max="26" width="20.42578125" customWidth="1"/>
    <col min="27" max="27" width="16" customWidth="1"/>
    <col min="28" max="28" width="15.42578125" customWidth="1"/>
  </cols>
  <sheetData>
    <row r="1" spans="1:30" ht="43.5" customHeight="1" x14ac:dyDescent="0.25">
      <c r="A1" s="53" t="s">
        <v>0</v>
      </c>
      <c r="B1" s="52" t="s">
        <v>1</v>
      </c>
      <c r="C1" s="49" t="s">
        <v>2</v>
      </c>
      <c r="D1" s="52" t="s">
        <v>3</v>
      </c>
      <c r="E1" s="50" t="s">
        <v>4</v>
      </c>
      <c r="F1" s="52" t="s">
        <v>5</v>
      </c>
      <c r="G1" s="52" t="s">
        <v>6</v>
      </c>
      <c r="H1" s="52" t="s">
        <v>7</v>
      </c>
      <c r="I1" s="52" t="s">
        <v>8</v>
      </c>
      <c r="J1" s="52" t="s">
        <v>9</v>
      </c>
      <c r="K1" s="48" t="s">
        <v>10</v>
      </c>
      <c r="L1" s="48" t="s">
        <v>11</v>
      </c>
      <c r="M1" s="48" t="s">
        <v>12</v>
      </c>
      <c r="N1" s="48" t="s">
        <v>13</v>
      </c>
      <c r="O1" s="48" t="s">
        <v>14</v>
      </c>
      <c r="P1" s="48" t="s">
        <v>15</v>
      </c>
      <c r="Q1" s="48" t="s">
        <v>16</v>
      </c>
      <c r="R1" s="48" t="s">
        <v>17</v>
      </c>
      <c r="S1" s="48" t="s">
        <v>9149</v>
      </c>
      <c r="T1" s="48" t="s">
        <v>9150</v>
      </c>
      <c r="U1" s="48" t="s">
        <v>18</v>
      </c>
      <c r="V1" s="48" t="s">
        <v>19</v>
      </c>
      <c r="W1" s="48" t="s">
        <v>20</v>
      </c>
      <c r="X1" s="48" t="s">
        <v>21</v>
      </c>
      <c r="Y1" s="48" t="s">
        <v>22</v>
      </c>
      <c r="Z1" s="48" t="s">
        <v>23</v>
      </c>
      <c r="AA1" s="48" t="s">
        <v>24</v>
      </c>
      <c r="AB1" s="48" t="s">
        <v>25</v>
      </c>
      <c r="AC1" s="48" t="s">
        <v>201</v>
      </c>
      <c r="AD1" s="51" t="s">
        <v>27</v>
      </c>
    </row>
    <row r="2" spans="1:30" x14ac:dyDescent="0.25">
      <c r="A2" s="36">
        <v>86</v>
      </c>
      <c r="B2" s="14" t="s">
        <v>202</v>
      </c>
      <c r="C2" s="31" t="s">
        <v>203</v>
      </c>
      <c r="D2" s="17">
        <v>44138</v>
      </c>
      <c r="E2" s="14" t="s">
        <v>30</v>
      </c>
      <c r="F2" s="14">
        <v>951</v>
      </c>
      <c r="G2" s="14">
        <v>151</v>
      </c>
      <c r="H2" s="14">
        <v>2</v>
      </c>
      <c r="I2" s="14">
        <v>1</v>
      </c>
      <c r="J2" s="14" t="s">
        <v>204</v>
      </c>
      <c r="K2" s="14" cm="1">
        <f t="array" ref="K2">INT(SUMPRODUCT(--ISNUMBER(SEARCH(economy,'Mark Kelly'!C2)))&gt;0)</f>
        <v>0</v>
      </c>
      <c r="L2" s="14" cm="1">
        <f t="array" ref="L2">INT(SUMPRODUCT(--ISNUMBER(SEARCH(healthcare,'Mark Kelly'!C2)))&gt;0)</f>
        <v>0</v>
      </c>
      <c r="M2" s="14" cm="1">
        <f t="array" ref="M2">INT(SUMPRODUCT(--ISNUMBER(SEARCH(supreme,'Mark Kelly'!C2)))&gt;0)</f>
        <v>0</v>
      </c>
      <c r="N2" s="14" cm="1">
        <f t="array" ref="N2">INT(SUMPRODUCT(--ISNUMBER(SEARCH(covid,'Mark Kelly'!C2)))&gt;0)</f>
        <v>0</v>
      </c>
      <c r="O2" s="14" cm="1">
        <f t="array" ref="O2">INT(SUMPRODUCT(--ISNUMBER(SEARCH(violent,'Mark Kelly'!C2)))&gt;0)</f>
        <v>0</v>
      </c>
      <c r="P2" s="14" cm="1">
        <f t="array" ref="P2">INT(SUMPRODUCT(--ISNUMBER(SEARCH(foreign,'Mark Kelly'!C2)))&gt;0)</f>
        <v>0</v>
      </c>
      <c r="Q2" s="14" cm="1">
        <f t="array" ref="Q2">INT(SUMPRODUCT(--ISNUMBER(SEARCH(gun,'Mark Kelly'!C2)))&gt;0)</f>
        <v>0</v>
      </c>
      <c r="R2" s="14" cm="1">
        <f t="array" ref="R2">INT(SUMPRODUCT(--ISNUMBER(SEARCH(race,'Mark Kelly'!C2)))&gt;0)</f>
        <v>0</v>
      </c>
      <c r="S2" s="14" cm="1">
        <f t="array" ref="S2">INT(SUMPRODUCT(--ISNUMBER(SEARCH(immigration,C2)))&gt;0)</f>
        <v>0</v>
      </c>
      <c r="T2" s="14" cm="1">
        <f t="array" ref="T2">INT(SUMPRODUCT(--ISNUMBER(SEARCH(econineq,C2)))&gt;0)</f>
        <v>0</v>
      </c>
      <c r="U2" s="14" cm="1">
        <f t="array" ref="U2">INT(SUMPRODUCT(--ISNUMBER(SEARCH(climate,'Mark Kelly'!C2)))&gt;0)</f>
        <v>0</v>
      </c>
      <c r="V2" s="14" cm="1">
        <f t="array" ref="V2">INT(SUMPRODUCT(--ISNUMBER(SEARCH(abortion,'Mark Kelly'!C2)))&gt;0)</f>
        <v>0</v>
      </c>
      <c r="W2" s="14" cm="1">
        <f t="array" ref="W2">INT(SUMPRODUCT(--ISNUMBER(SEARCH(trump,'Mark Kelly'!C2)))&gt;0)</f>
        <v>0</v>
      </c>
      <c r="X2" s="14" cm="1">
        <f t="array" ref="X2">INT(SUMPRODUCT(--ISNUMBER(SEARCH(voting,'Mark Kelly'!C2)))&gt;0)</f>
        <v>0</v>
      </c>
      <c r="Y2" s="14" cm="1">
        <f t="array" ref="Y2">INT(SUMPRODUCT(--ISNUMBER(SEARCH(democrattrigger,'Mark Kelly'!C2)))&gt;0)</f>
        <v>0</v>
      </c>
      <c r="Z2" s="14" cm="1">
        <f t="array" ref="Z2">INT(SUMPRODUCT(--ISNUMBER(SEARCH(bipartisan,'Mark Kelly'!C2)))&gt;0)</f>
        <v>0</v>
      </c>
      <c r="AA2" s="14">
        <f>INT(IF(COUNTIF(K2:Z2,1)=0,"1","0"))</f>
        <v>1</v>
      </c>
      <c r="AB2" s="14"/>
      <c r="AC2" s="30">
        <v>0</v>
      </c>
      <c r="AD2" s="37">
        <v>1</v>
      </c>
    </row>
    <row r="3" spans="1:30" x14ac:dyDescent="0.25">
      <c r="A3" s="36">
        <v>87</v>
      </c>
      <c r="B3" s="14" t="s">
        <v>205</v>
      </c>
      <c r="C3" s="31" t="s">
        <v>206</v>
      </c>
      <c r="D3" s="17">
        <v>44138</v>
      </c>
      <c r="E3" s="14" t="s">
        <v>30</v>
      </c>
      <c r="F3" s="14">
        <v>538</v>
      </c>
      <c r="G3" s="14">
        <v>153</v>
      </c>
      <c r="H3" s="14">
        <v>2</v>
      </c>
      <c r="I3" s="14">
        <v>1</v>
      </c>
      <c r="J3" s="14" t="s">
        <v>204</v>
      </c>
      <c r="K3" s="14" cm="1">
        <f t="array" ref="K3">INT(SUMPRODUCT(--ISNUMBER(SEARCH(economy,'Mark Kelly'!C3)))&gt;0)</f>
        <v>0</v>
      </c>
      <c r="L3" s="14" cm="1">
        <f t="array" ref="L3">INT(SUMPRODUCT(--ISNUMBER(SEARCH(healthcare,'Mark Kelly'!C3)))&gt;0)</f>
        <v>0</v>
      </c>
      <c r="M3" s="14" cm="1">
        <f t="array" ref="M3">INT(SUMPRODUCT(--ISNUMBER(SEARCH(supreme,'Mark Kelly'!C3)))&gt;0)</f>
        <v>0</v>
      </c>
      <c r="N3" s="14" cm="1">
        <f t="array" ref="N3">INT(SUMPRODUCT(--ISNUMBER(SEARCH(covid,'Mark Kelly'!C3)))&gt;0)</f>
        <v>0</v>
      </c>
      <c r="O3" s="14" cm="1">
        <f t="array" ref="O3">INT(SUMPRODUCT(--ISNUMBER(SEARCH(violent,'Mark Kelly'!C3)))&gt;0)</f>
        <v>0</v>
      </c>
      <c r="P3" s="14" cm="1">
        <f t="array" ref="P3">INT(SUMPRODUCT(--ISNUMBER(SEARCH(foreign,'Mark Kelly'!C3)))&gt;0)</f>
        <v>0</v>
      </c>
      <c r="Q3" s="14" cm="1">
        <f t="array" ref="Q3">INT(SUMPRODUCT(--ISNUMBER(SEARCH(gun,'Mark Kelly'!C3)))&gt;0)</f>
        <v>0</v>
      </c>
      <c r="R3" s="14" cm="1">
        <f t="array" ref="R3">INT(SUMPRODUCT(--ISNUMBER(SEARCH(race,'Mark Kelly'!C3)))&gt;0)</f>
        <v>0</v>
      </c>
      <c r="S3" s="14" cm="1">
        <f t="array" ref="S3">INT(SUMPRODUCT(--ISNUMBER(SEARCH(immigration,C3)))&gt;0)</f>
        <v>0</v>
      </c>
      <c r="T3" s="14" cm="1">
        <f t="array" ref="T3">INT(SUMPRODUCT(--ISNUMBER(SEARCH(econineq,C3)))&gt;0)</f>
        <v>0</v>
      </c>
      <c r="U3" s="14" cm="1">
        <f t="array" ref="U3">INT(SUMPRODUCT(--ISNUMBER(SEARCH(climate,'Mark Kelly'!C3)))&gt;0)</f>
        <v>0</v>
      </c>
      <c r="V3" s="14" cm="1">
        <f t="array" ref="V3">INT(SUMPRODUCT(--ISNUMBER(SEARCH(abortion,'Mark Kelly'!C3)))&gt;0)</f>
        <v>0</v>
      </c>
      <c r="W3" s="14" cm="1">
        <f t="array" ref="W3">INT(SUMPRODUCT(--ISNUMBER(SEARCH(trump,'Mark Kelly'!C3)))&gt;0)</f>
        <v>0</v>
      </c>
      <c r="X3" s="14" cm="1">
        <f t="array" ref="X3">INT(SUMPRODUCT(--ISNUMBER(SEARCH(voting,'Mark Kelly'!C3)))&gt;0)</f>
        <v>1</v>
      </c>
      <c r="Y3" s="14" cm="1">
        <f t="array" ref="Y3">INT(SUMPRODUCT(--ISNUMBER(SEARCH(democrattrigger,'Mark Kelly'!C3)))&gt;0)</f>
        <v>0</v>
      </c>
      <c r="Z3" s="14" cm="1">
        <f t="array" ref="Z3">INT(SUMPRODUCT(--ISNUMBER(SEARCH(bipartisan,'Mark Kelly'!C3)))&gt;0)</f>
        <v>0</v>
      </c>
      <c r="AA3" s="14">
        <f t="shared" ref="AA3:AA66" si="0">INT(IF(COUNTIF(K3:Z3,1)=0,"1","0"))</f>
        <v>0</v>
      </c>
      <c r="AB3" s="14"/>
      <c r="AC3" s="30">
        <v>1</v>
      </c>
      <c r="AD3" s="37">
        <v>0</v>
      </c>
    </row>
    <row r="4" spans="1:30" x14ac:dyDescent="0.25">
      <c r="A4" s="36">
        <v>88</v>
      </c>
      <c r="B4" s="14" t="s">
        <v>207</v>
      </c>
      <c r="C4" s="31" t="s">
        <v>208</v>
      </c>
      <c r="D4" s="17">
        <v>44138</v>
      </c>
      <c r="E4" s="14" t="s">
        <v>30</v>
      </c>
      <c r="F4" s="14">
        <v>2605</v>
      </c>
      <c r="G4" s="14">
        <v>365</v>
      </c>
      <c r="H4" s="14">
        <v>2</v>
      </c>
      <c r="I4" s="14">
        <v>1</v>
      </c>
      <c r="J4" s="14" t="s">
        <v>204</v>
      </c>
      <c r="K4" s="14" cm="1">
        <f t="array" ref="K4">INT(SUMPRODUCT(--ISNUMBER(SEARCH(economy,'Mark Kelly'!C4)))&gt;0)</f>
        <v>0</v>
      </c>
      <c r="L4" s="14" cm="1">
        <f t="array" ref="L4">INT(SUMPRODUCT(--ISNUMBER(SEARCH(healthcare,'Mark Kelly'!C4)))&gt;0)</f>
        <v>0</v>
      </c>
      <c r="M4" s="14" cm="1">
        <f t="array" ref="M4">INT(SUMPRODUCT(--ISNUMBER(SEARCH(supreme,'Mark Kelly'!C4)))&gt;0)</f>
        <v>0</v>
      </c>
      <c r="N4" s="14" cm="1">
        <f t="array" ref="N4">INT(SUMPRODUCT(--ISNUMBER(SEARCH(covid,'Mark Kelly'!C4)))&gt;0)</f>
        <v>0</v>
      </c>
      <c r="O4" s="14" cm="1">
        <f t="array" ref="O4">INT(SUMPRODUCT(--ISNUMBER(SEARCH(violent,'Mark Kelly'!C4)))&gt;0)</f>
        <v>0</v>
      </c>
      <c r="P4" s="14" cm="1">
        <f t="array" ref="P4">INT(SUMPRODUCT(--ISNUMBER(SEARCH(foreign,'Mark Kelly'!C4)))&gt;0)</f>
        <v>0</v>
      </c>
      <c r="Q4" s="14" cm="1">
        <f t="array" ref="Q4">INT(SUMPRODUCT(--ISNUMBER(SEARCH(gun,'Mark Kelly'!C4)))&gt;0)</f>
        <v>0</v>
      </c>
      <c r="R4" s="14" cm="1">
        <f t="array" ref="R4">INT(SUMPRODUCT(--ISNUMBER(SEARCH(race,'Mark Kelly'!C4)))&gt;0)</f>
        <v>0</v>
      </c>
      <c r="S4" s="14" cm="1">
        <f t="array" ref="S4">INT(SUMPRODUCT(--ISNUMBER(SEARCH(immigration,C4)))&gt;0)</f>
        <v>0</v>
      </c>
      <c r="T4" s="14" cm="1">
        <f t="array" ref="T4">INT(SUMPRODUCT(--ISNUMBER(SEARCH(econineq,C4)))&gt;0)</f>
        <v>0</v>
      </c>
      <c r="U4" s="14" cm="1">
        <f t="array" ref="U4">INT(SUMPRODUCT(--ISNUMBER(SEARCH(climate,'Mark Kelly'!C4)))&gt;0)</f>
        <v>0</v>
      </c>
      <c r="V4" s="14" cm="1">
        <f t="array" ref="V4">INT(SUMPRODUCT(--ISNUMBER(SEARCH(abortion,'Mark Kelly'!C4)))&gt;0)</f>
        <v>0</v>
      </c>
      <c r="W4" s="14" cm="1">
        <f t="array" ref="W4">INT(SUMPRODUCT(--ISNUMBER(SEARCH(trump,'Mark Kelly'!C4)))&gt;0)</f>
        <v>0</v>
      </c>
      <c r="X4" s="14" cm="1">
        <f t="array" ref="X4">INT(SUMPRODUCT(--ISNUMBER(SEARCH(voting,'Mark Kelly'!C4)))&gt;0)</f>
        <v>0</v>
      </c>
      <c r="Y4" s="14" cm="1">
        <f t="array" ref="Y4">INT(SUMPRODUCT(--ISNUMBER(SEARCH(democrattrigger,'Mark Kelly'!C4)))&gt;0)</f>
        <v>0</v>
      </c>
      <c r="Z4" s="14" cm="1">
        <f t="array" ref="Z4">INT(SUMPRODUCT(--ISNUMBER(SEARCH(bipartisan,'Mark Kelly'!C4)))&gt;0)</f>
        <v>1</v>
      </c>
      <c r="AA4" s="14">
        <f t="shared" si="0"/>
        <v>0</v>
      </c>
      <c r="AB4" s="14"/>
      <c r="AC4" s="30">
        <v>0</v>
      </c>
      <c r="AD4" s="37">
        <v>0</v>
      </c>
    </row>
    <row r="5" spans="1:30" x14ac:dyDescent="0.25">
      <c r="A5" s="36">
        <v>89</v>
      </c>
      <c r="B5" s="14" t="s">
        <v>209</v>
      </c>
      <c r="C5" s="31" t="s">
        <v>210</v>
      </c>
      <c r="D5" s="17">
        <v>44138</v>
      </c>
      <c r="E5" s="14" t="s">
        <v>30</v>
      </c>
      <c r="F5" s="14">
        <v>873</v>
      </c>
      <c r="G5" s="14">
        <v>199</v>
      </c>
      <c r="H5" s="14">
        <v>2</v>
      </c>
      <c r="I5" s="14">
        <v>1</v>
      </c>
      <c r="J5" s="14" t="s">
        <v>204</v>
      </c>
      <c r="K5" s="14" cm="1">
        <f t="array" ref="K5">INT(SUMPRODUCT(--ISNUMBER(SEARCH(economy,'Mark Kelly'!C5)))&gt;0)</f>
        <v>0</v>
      </c>
      <c r="L5" s="14" cm="1">
        <f t="array" ref="L5">INT(SUMPRODUCT(--ISNUMBER(SEARCH(healthcare,'Mark Kelly'!C5)))&gt;0)</f>
        <v>0</v>
      </c>
      <c r="M5" s="14" cm="1">
        <f t="array" ref="M5">INT(SUMPRODUCT(--ISNUMBER(SEARCH(supreme,'Mark Kelly'!C5)))&gt;0)</f>
        <v>0</v>
      </c>
      <c r="N5" s="14" cm="1">
        <f t="array" ref="N5">INT(SUMPRODUCT(--ISNUMBER(SEARCH(covid,'Mark Kelly'!C5)))&gt;0)</f>
        <v>0</v>
      </c>
      <c r="O5" s="14" cm="1">
        <f t="array" ref="O5">INT(SUMPRODUCT(--ISNUMBER(SEARCH(violent,'Mark Kelly'!C5)))&gt;0)</f>
        <v>0</v>
      </c>
      <c r="P5" s="14" cm="1">
        <f t="array" ref="P5">INT(SUMPRODUCT(--ISNUMBER(SEARCH(foreign,'Mark Kelly'!C5)))&gt;0)</f>
        <v>0</v>
      </c>
      <c r="Q5" s="14" cm="1">
        <f t="array" ref="Q5">INT(SUMPRODUCT(--ISNUMBER(SEARCH(gun,'Mark Kelly'!C5)))&gt;0)</f>
        <v>0</v>
      </c>
      <c r="R5" s="14" cm="1">
        <f t="array" ref="R5">INT(SUMPRODUCT(--ISNUMBER(SEARCH(race,'Mark Kelly'!C5)))&gt;0)</f>
        <v>0</v>
      </c>
      <c r="S5" s="14" cm="1">
        <f t="array" ref="S5">INT(SUMPRODUCT(--ISNUMBER(SEARCH(immigration,C5)))&gt;0)</f>
        <v>0</v>
      </c>
      <c r="T5" s="14" cm="1">
        <f t="array" ref="T5">INT(SUMPRODUCT(--ISNUMBER(SEARCH(econineq,C5)))&gt;0)</f>
        <v>0</v>
      </c>
      <c r="U5" s="14" cm="1">
        <f t="array" ref="U5">INT(SUMPRODUCT(--ISNUMBER(SEARCH(climate,'Mark Kelly'!C5)))&gt;0)</f>
        <v>0</v>
      </c>
      <c r="V5" s="14" cm="1">
        <f t="array" ref="V5">INT(SUMPRODUCT(--ISNUMBER(SEARCH(abortion,'Mark Kelly'!C5)))&gt;0)</f>
        <v>0</v>
      </c>
      <c r="W5" s="14" cm="1">
        <f t="array" ref="W5">INT(SUMPRODUCT(--ISNUMBER(SEARCH(trump,'Mark Kelly'!C5)))&gt;0)</f>
        <v>0</v>
      </c>
      <c r="X5" s="14" cm="1">
        <f t="array" ref="X5">INT(SUMPRODUCT(--ISNUMBER(SEARCH(voting,'Mark Kelly'!C5)))&gt;0)</f>
        <v>1</v>
      </c>
      <c r="Y5" s="14" cm="1">
        <f t="array" ref="Y5">INT(SUMPRODUCT(--ISNUMBER(SEARCH(democrattrigger,'Mark Kelly'!C5)))&gt;0)</f>
        <v>0</v>
      </c>
      <c r="Z5" s="14" cm="1">
        <f t="array" ref="Z5">INT(SUMPRODUCT(--ISNUMBER(SEARCH(bipartisan,'Mark Kelly'!C5)))&gt;0)</f>
        <v>0</v>
      </c>
      <c r="AA5" s="14">
        <f t="shared" si="0"/>
        <v>0</v>
      </c>
      <c r="AB5" s="14"/>
      <c r="AC5" s="30">
        <v>1</v>
      </c>
      <c r="AD5" s="37">
        <v>0</v>
      </c>
    </row>
    <row r="6" spans="1:30" x14ac:dyDescent="0.25">
      <c r="A6" s="36">
        <v>90</v>
      </c>
      <c r="B6" s="14" t="s">
        <v>211</v>
      </c>
      <c r="C6" s="31" t="s">
        <v>212</v>
      </c>
      <c r="D6" s="17">
        <v>44138</v>
      </c>
      <c r="E6" s="14" t="s">
        <v>30</v>
      </c>
      <c r="F6" s="14">
        <v>3604</v>
      </c>
      <c r="G6" s="14">
        <v>408</v>
      </c>
      <c r="H6" s="14">
        <v>2</v>
      </c>
      <c r="I6" s="14">
        <v>1</v>
      </c>
      <c r="J6" s="14" t="s">
        <v>204</v>
      </c>
      <c r="K6" s="14" cm="1">
        <f t="array" ref="K6">INT(SUMPRODUCT(--ISNUMBER(SEARCH(economy,'Mark Kelly'!C6)))&gt;0)</f>
        <v>0</v>
      </c>
      <c r="L6" s="14" cm="1">
        <f t="array" ref="L6">INT(SUMPRODUCT(--ISNUMBER(SEARCH(healthcare,'Mark Kelly'!C6)))&gt;0)</f>
        <v>0</v>
      </c>
      <c r="M6" s="14" cm="1">
        <f t="array" ref="M6">INT(SUMPRODUCT(--ISNUMBER(SEARCH(supreme,'Mark Kelly'!C6)))&gt;0)</f>
        <v>0</v>
      </c>
      <c r="N6" s="14" cm="1">
        <f t="array" ref="N6">INT(SUMPRODUCT(--ISNUMBER(SEARCH(covid,'Mark Kelly'!C6)))&gt;0)</f>
        <v>0</v>
      </c>
      <c r="O6" s="14" cm="1">
        <f t="array" ref="O6">INT(SUMPRODUCT(--ISNUMBER(SEARCH(violent,'Mark Kelly'!C6)))&gt;0)</f>
        <v>0</v>
      </c>
      <c r="P6" s="14" cm="1">
        <f t="array" ref="P6">INT(SUMPRODUCT(--ISNUMBER(SEARCH(foreign,'Mark Kelly'!C6)))&gt;0)</f>
        <v>0</v>
      </c>
      <c r="Q6" s="14" cm="1">
        <f t="array" ref="Q6">INT(SUMPRODUCT(--ISNUMBER(SEARCH(gun,'Mark Kelly'!C6)))&gt;0)</f>
        <v>0</v>
      </c>
      <c r="R6" s="14" cm="1">
        <f t="array" ref="R6">INT(SUMPRODUCT(--ISNUMBER(SEARCH(race,'Mark Kelly'!C6)))&gt;0)</f>
        <v>0</v>
      </c>
      <c r="S6" s="14" cm="1">
        <f t="array" ref="S6">INT(SUMPRODUCT(--ISNUMBER(SEARCH(immigration,C6)))&gt;0)</f>
        <v>0</v>
      </c>
      <c r="T6" s="14" cm="1">
        <f t="array" ref="T6">INT(SUMPRODUCT(--ISNUMBER(SEARCH(econineq,C6)))&gt;0)</f>
        <v>0</v>
      </c>
      <c r="U6" s="14" cm="1">
        <f t="array" ref="U6">INT(SUMPRODUCT(--ISNUMBER(SEARCH(climate,'Mark Kelly'!C6)))&gt;0)</f>
        <v>0</v>
      </c>
      <c r="V6" s="14" cm="1">
        <f t="array" ref="V6">INT(SUMPRODUCT(--ISNUMBER(SEARCH(abortion,'Mark Kelly'!C6)))&gt;0)</f>
        <v>0</v>
      </c>
      <c r="W6" s="14" cm="1">
        <f t="array" ref="W6">INT(SUMPRODUCT(--ISNUMBER(SEARCH(trump,'Mark Kelly'!C6)))&gt;0)</f>
        <v>0</v>
      </c>
      <c r="X6" s="14" cm="1">
        <f t="array" ref="X6">INT(SUMPRODUCT(--ISNUMBER(SEARCH(voting,'Mark Kelly'!C6)))&gt;0)</f>
        <v>1</v>
      </c>
      <c r="Y6" s="14" cm="1">
        <f t="array" ref="Y6">INT(SUMPRODUCT(--ISNUMBER(SEARCH(democrattrigger,'Mark Kelly'!C6)))&gt;0)</f>
        <v>0</v>
      </c>
      <c r="Z6" s="14" cm="1">
        <f t="array" ref="Z6">INT(SUMPRODUCT(--ISNUMBER(SEARCH(bipartisan,'Mark Kelly'!C6)))&gt;0)</f>
        <v>0</v>
      </c>
      <c r="AA6" s="14">
        <f t="shared" si="0"/>
        <v>0</v>
      </c>
      <c r="AB6" s="14"/>
      <c r="AC6" s="30">
        <v>0</v>
      </c>
      <c r="AD6" s="37">
        <v>1</v>
      </c>
    </row>
    <row r="7" spans="1:30" x14ac:dyDescent="0.25">
      <c r="A7" s="36">
        <v>91</v>
      </c>
      <c r="B7" s="14" t="s">
        <v>213</v>
      </c>
      <c r="C7" s="31" t="s">
        <v>214</v>
      </c>
      <c r="D7" s="17">
        <v>44138</v>
      </c>
      <c r="E7" s="14" t="s">
        <v>30</v>
      </c>
      <c r="F7" s="14">
        <v>855</v>
      </c>
      <c r="G7" s="14">
        <v>127</v>
      </c>
      <c r="H7" s="14">
        <v>2</v>
      </c>
      <c r="I7" s="14">
        <v>1</v>
      </c>
      <c r="J7" s="14" t="s">
        <v>204</v>
      </c>
      <c r="K7" s="14" cm="1">
        <f t="array" ref="K7">INT(SUMPRODUCT(--ISNUMBER(SEARCH(economy,'Mark Kelly'!C7)))&gt;0)</f>
        <v>0</v>
      </c>
      <c r="L7" s="14" cm="1">
        <f t="array" ref="L7">INT(SUMPRODUCT(--ISNUMBER(SEARCH(healthcare,'Mark Kelly'!C7)))&gt;0)</f>
        <v>0</v>
      </c>
      <c r="M7" s="14" cm="1">
        <f t="array" ref="M7">INT(SUMPRODUCT(--ISNUMBER(SEARCH(supreme,'Mark Kelly'!C7)))&gt;0)</f>
        <v>0</v>
      </c>
      <c r="N7" s="14" cm="1">
        <f t="array" ref="N7">INT(SUMPRODUCT(--ISNUMBER(SEARCH(covid,'Mark Kelly'!C7)))&gt;0)</f>
        <v>0</v>
      </c>
      <c r="O7" s="14" cm="1">
        <f t="array" ref="O7">INT(SUMPRODUCT(--ISNUMBER(SEARCH(violent,'Mark Kelly'!C7)))&gt;0)</f>
        <v>0</v>
      </c>
      <c r="P7" s="14" cm="1">
        <f t="array" ref="P7">INT(SUMPRODUCT(--ISNUMBER(SEARCH(foreign,'Mark Kelly'!C7)))&gt;0)</f>
        <v>0</v>
      </c>
      <c r="Q7" s="14" cm="1">
        <f t="array" ref="Q7">INT(SUMPRODUCT(--ISNUMBER(SEARCH(gun,'Mark Kelly'!C7)))&gt;0)</f>
        <v>0</v>
      </c>
      <c r="R7" s="14" cm="1">
        <f t="array" ref="R7">INT(SUMPRODUCT(--ISNUMBER(SEARCH(race,'Mark Kelly'!C7)))&gt;0)</f>
        <v>0</v>
      </c>
      <c r="S7" s="14" cm="1">
        <f t="array" ref="S7">INT(SUMPRODUCT(--ISNUMBER(SEARCH(immigration,C7)))&gt;0)</f>
        <v>0</v>
      </c>
      <c r="T7" s="14" cm="1">
        <f t="array" ref="T7">INT(SUMPRODUCT(--ISNUMBER(SEARCH(econineq,C7)))&gt;0)</f>
        <v>0</v>
      </c>
      <c r="U7" s="14" cm="1">
        <f t="array" ref="U7">INT(SUMPRODUCT(--ISNUMBER(SEARCH(climate,'Mark Kelly'!C7)))&gt;0)</f>
        <v>0</v>
      </c>
      <c r="V7" s="14" cm="1">
        <f t="array" ref="V7">INT(SUMPRODUCT(--ISNUMBER(SEARCH(abortion,'Mark Kelly'!C7)))&gt;0)</f>
        <v>0</v>
      </c>
      <c r="W7" s="14" cm="1">
        <f t="array" ref="W7">INT(SUMPRODUCT(--ISNUMBER(SEARCH(trump,'Mark Kelly'!C7)))&gt;0)</f>
        <v>0</v>
      </c>
      <c r="X7" s="14" cm="1">
        <f t="array" ref="X7">INT(SUMPRODUCT(--ISNUMBER(SEARCH(voting,'Mark Kelly'!C7)))&gt;0)</f>
        <v>0</v>
      </c>
      <c r="Y7" s="14" cm="1">
        <f t="array" ref="Y7">INT(SUMPRODUCT(--ISNUMBER(SEARCH(democrattrigger,'Mark Kelly'!C7)))&gt;0)</f>
        <v>0</v>
      </c>
      <c r="Z7" s="14" cm="1">
        <f t="array" ref="Z7">INT(SUMPRODUCT(--ISNUMBER(SEARCH(bipartisan,'Mark Kelly'!C7)))&gt;0)</f>
        <v>0</v>
      </c>
      <c r="AA7" s="14">
        <f t="shared" si="0"/>
        <v>1</v>
      </c>
      <c r="AB7" s="14"/>
      <c r="AC7" s="30">
        <v>0</v>
      </c>
      <c r="AD7" s="37">
        <v>0</v>
      </c>
    </row>
    <row r="8" spans="1:30" x14ac:dyDescent="0.25">
      <c r="A8" s="36">
        <v>92</v>
      </c>
      <c r="B8" s="14" t="s">
        <v>215</v>
      </c>
      <c r="C8" s="31" t="s">
        <v>216</v>
      </c>
      <c r="D8" s="17">
        <v>44138</v>
      </c>
      <c r="E8" s="14" t="s">
        <v>30</v>
      </c>
      <c r="F8" s="14">
        <v>1135</v>
      </c>
      <c r="G8" s="14">
        <v>263</v>
      </c>
      <c r="H8" s="14">
        <v>2</v>
      </c>
      <c r="I8" s="14">
        <v>1</v>
      </c>
      <c r="J8" s="14" t="s">
        <v>204</v>
      </c>
      <c r="K8" s="14" cm="1">
        <f t="array" ref="K8">INT(SUMPRODUCT(--ISNUMBER(SEARCH(economy,'Mark Kelly'!C8)))&gt;0)</f>
        <v>0</v>
      </c>
      <c r="L8" s="14" cm="1">
        <f t="array" ref="L8">INT(SUMPRODUCT(--ISNUMBER(SEARCH(healthcare,'Mark Kelly'!C8)))&gt;0)</f>
        <v>0</v>
      </c>
      <c r="M8" s="14" cm="1">
        <f t="array" ref="M8">INT(SUMPRODUCT(--ISNUMBER(SEARCH(supreme,'Mark Kelly'!C8)))&gt;0)</f>
        <v>0</v>
      </c>
      <c r="N8" s="14" cm="1">
        <f t="array" ref="N8">INT(SUMPRODUCT(--ISNUMBER(SEARCH(covid,'Mark Kelly'!C8)))&gt;0)</f>
        <v>0</v>
      </c>
      <c r="O8" s="14" cm="1">
        <f t="array" ref="O8">INT(SUMPRODUCT(--ISNUMBER(SEARCH(violent,'Mark Kelly'!C8)))&gt;0)</f>
        <v>0</v>
      </c>
      <c r="P8" s="14" cm="1">
        <f t="array" ref="P8">INT(SUMPRODUCT(--ISNUMBER(SEARCH(foreign,'Mark Kelly'!C8)))&gt;0)</f>
        <v>0</v>
      </c>
      <c r="Q8" s="14" cm="1">
        <f t="array" ref="Q8">INT(SUMPRODUCT(--ISNUMBER(SEARCH(gun,'Mark Kelly'!C8)))&gt;0)</f>
        <v>0</v>
      </c>
      <c r="R8" s="14" cm="1">
        <f t="array" ref="R8">INT(SUMPRODUCT(--ISNUMBER(SEARCH(race,'Mark Kelly'!C8)))&gt;0)</f>
        <v>0</v>
      </c>
      <c r="S8" s="14" cm="1">
        <f t="array" ref="S8">INT(SUMPRODUCT(--ISNUMBER(SEARCH(immigration,C8)))&gt;0)</f>
        <v>0</v>
      </c>
      <c r="T8" s="14" cm="1">
        <f t="array" ref="T8">INT(SUMPRODUCT(--ISNUMBER(SEARCH(econineq,C8)))&gt;0)</f>
        <v>0</v>
      </c>
      <c r="U8" s="14" cm="1">
        <f t="array" ref="U8">INT(SUMPRODUCT(--ISNUMBER(SEARCH(climate,'Mark Kelly'!C8)))&gt;0)</f>
        <v>0</v>
      </c>
      <c r="V8" s="14" cm="1">
        <f t="array" ref="V8">INT(SUMPRODUCT(--ISNUMBER(SEARCH(abortion,'Mark Kelly'!C8)))&gt;0)</f>
        <v>0</v>
      </c>
      <c r="W8" s="14" cm="1">
        <f t="array" ref="W8">INT(SUMPRODUCT(--ISNUMBER(SEARCH(trump,'Mark Kelly'!C8)))&gt;0)</f>
        <v>0</v>
      </c>
      <c r="X8" s="14" cm="1">
        <f t="array" ref="X8">INT(SUMPRODUCT(--ISNUMBER(SEARCH(voting,'Mark Kelly'!C8)))&gt;0)</f>
        <v>1</v>
      </c>
      <c r="Y8" s="14" cm="1">
        <f t="array" ref="Y8">INT(SUMPRODUCT(--ISNUMBER(SEARCH(democrattrigger,'Mark Kelly'!C8)))&gt;0)</f>
        <v>0</v>
      </c>
      <c r="Z8" s="14" cm="1">
        <f t="array" ref="Z8">INT(SUMPRODUCT(--ISNUMBER(SEARCH(bipartisan,'Mark Kelly'!C8)))&gt;0)</f>
        <v>0</v>
      </c>
      <c r="AA8" s="14">
        <f t="shared" si="0"/>
        <v>0</v>
      </c>
      <c r="AB8" s="14"/>
      <c r="AC8" s="30">
        <v>1</v>
      </c>
      <c r="AD8" s="37">
        <v>0</v>
      </c>
    </row>
    <row r="9" spans="1:30" x14ac:dyDescent="0.25">
      <c r="A9" s="36">
        <v>93</v>
      </c>
      <c r="B9" s="14" t="s">
        <v>217</v>
      </c>
      <c r="C9" s="31" t="s">
        <v>218</v>
      </c>
      <c r="D9" s="17">
        <v>44138</v>
      </c>
      <c r="E9" s="14" t="s">
        <v>30</v>
      </c>
      <c r="F9" s="14">
        <v>15697</v>
      </c>
      <c r="G9" s="14">
        <v>2741</v>
      </c>
      <c r="H9" s="14">
        <v>2</v>
      </c>
      <c r="I9" s="14">
        <v>1</v>
      </c>
      <c r="J9" s="14" t="s">
        <v>204</v>
      </c>
      <c r="K9" s="14" cm="1">
        <f t="array" ref="K9">INT(SUMPRODUCT(--ISNUMBER(SEARCH(economy,'Mark Kelly'!C9)))&gt;0)</f>
        <v>0</v>
      </c>
      <c r="L9" s="14" cm="1">
        <f t="array" ref="L9">INT(SUMPRODUCT(--ISNUMBER(SEARCH(healthcare,'Mark Kelly'!C9)))&gt;0)</f>
        <v>0</v>
      </c>
      <c r="M9" s="14" cm="1">
        <f t="array" ref="M9">INT(SUMPRODUCT(--ISNUMBER(SEARCH(supreme,'Mark Kelly'!C9)))&gt;0)</f>
        <v>0</v>
      </c>
      <c r="N9" s="14" cm="1">
        <f t="array" ref="N9">INT(SUMPRODUCT(--ISNUMBER(SEARCH(covid,'Mark Kelly'!C9)))&gt;0)</f>
        <v>0</v>
      </c>
      <c r="O9" s="14" cm="1">
        <f t="array" ref="O9">INT(SUMPRODUCT(--ISNUMBER(SEARCH(violent,'Mark Kelly'!C9)))&gt;0)</f>
        <v>0</v>
      </c>
      <c r="P9" s="14" cm="1">
        <f t="array" ref="P9">INT(SUMPRODUCT(--ISNUMBER(SEARCH(foreign,'Mark Kelly'!C9)))&gt;0)</f>
        <v>0</v>
      </c>
      <c r="Q9" s="14" cm="1">
        <f t="array" ref="Q9">INT(SUMPRODUCT(--ISNUMBER(SEARCH(gun,'Mark Kelly'!C9)))&gt;0)</f>
        <v>0</v>
      </c>
      <c r="R9" s="14" cm="1">
        <f t="array" ref="R9">INT(SUMPRODUCT(--ISNUMBER(SEARCH(race,'Mark Kelly'!C9)))&gt;0)</f>
        <v>0</v>
      </c>
      <c r="S9" s="14" cm="1">
        <f t="array" ref="S9">INT(SUMPRODUCT(--ISNUMBER(SEARCH(immigration,C9)))&gt;0)</f>
        <v>0</v>
      </c>
      <c r="T9" s="14" cm="1">
        <f t="array" ref="T9">INT(SUMPRODUCT(--ISNUMBER(SEARCH(econineq,C9)))&gt;0)</f>
        <v>0</v>
      </c>
      <c r="U9" s="14" cm="1">
        <f t="array" ref="U9">INT(SUMPRODUCT(--ISNUMBER(SEARCH(climate,'Mark Kelly'!C9)))&gt;0)</f>
        <v>0</v>
      </c>
      <c r="V9" s="14" cm="1">
        <f t="array" ref="V9">INT(SUMPRODUCT(--ISNUMBER(SEARCH(abortion,'Mark Kelly'!C9)))&gt;0)</f>
        <v>0</v>
      </c>
      <c r="W9" s="14" cm="1">
        <f t="array" ref="W9">INT(SUMPRODUCT(--ISNUMBER(SEARCH(trump,'Mark Kelly'!C9)))&gt;0)</f>
        <v>0</v>
      </c>
      <c r="X9" s="14" cm="1">
        <f t="array" ref="X9">INT(SUMPRODUCT(--ISNUMBER(SEARCH(voting,'Mark Kelly'!C9)))&gt;0)</f>
        <v>1</v>
      </c>
      <c r="Y9" s="14" cm="1">
        <f t="array" ref="Y9">INT(SUMPRODUCT(--ISNUMBER(SEARCH(democrattrigger,'Mark Kelly'!C9)))&gt;0)</f>
        <v>0</v>
      </c>
      <c r="Z9" s="14" cm="1">
        <f t="array" ref="Z9">INT(SUMPRODUCT(--ISNUMBER(SEARCH(bipartisan,'Mark Kelly'!C9)))&gt;0)</f>
        <v>0</v>
      </c>
      <c r="AA9" s="14">
        <f t="shared" si="0"/>
        <v>0</v>
      </c>
      <c r="AB9" s="14"/>
      <c r="AC9" s="30">
        <v>0</v>
      </c>
      <c r="AD9" s="37">
        <v>1</v>
      </c>
    </row>
    <row r="10" spans="1:30" x14ac:dyDescent="0.25">
      <c r="A10" s="36">
        <v>94</v>
      </c>
      <c r="B10" s="14" t="s">
        <v>219</v>
      </c>
      <c r="C10" s="31" t="s">
        <v>220</v>
      </c>
      <c r="D10" s="17">
        <v>44138</v>
      </c>
      <c r="E10" s="14" t="s">
        <v>30</v>
      </c>
      <c r="F10" s="14">
        <v>2971</v>
      </c>
      <c r="G10" s="14">
        <v>366</v>
      </c>
      <c r="H10" s="14">
        <v>2</v>
      </c>
      <c r="I10" s="14">
        <v>1</v>
      </c>
      <c r="J10" s="14" t="s">
        <v>204</v>
      </c>
      <c r="K10" s="14" cm="1">
        <f t="array" ref="K10">INT(SUMPRODUCT(--ISNUMBER(SEARCH(economy,'Mark Kelly'!C10)))&gt;0)</f>
        <v>0</v>
      </c>
      <c r="L10" s="14" cm="1">
        <f t="array" ref="L10">INT(SUMPRODUCT(--ISNUMBER(SEARCH(healthcare,'Mark Kelly'!C10)))&gt;0)</f>
        <v>0</v>
      </c>
      <c r="M10" s="14" cm="1">
        <f t="array" ref="M10">INT(SUMPRODUCT(--ISNUMBER(SEARCH(supreme,'Mark Kelly'!C10)))&gt;0)</f>
        <v>0</v>
      </c>
      <c r="N10" s="14" cm="1">
        <f t="array" ref="N10">INT(SUMPRODUCT(--ISNUMBER(SEARCH(covid,'Mark Kelly'!C10)))&gt;0)</f>
        <v>0</v>
      </c>
      <c r="O10" s="14" cm="1">
        <f t="array" ref="O10">INT(SUMPRODUCT(--ISNUMBER(SEARCH(violent,'Mark Kelly'!C10)))&gt;0)</f>
        <v>0</v>
      </c>
      <c r="P10" s="14" cm="1">
        <f t="array" ref="P10">INT(SUMPRODUCT(--ISNUMBER(SEARCH(foreign,'Mark Kelly'!C10)))&gt;0)</f>
        <v>0</v>
      </c>
      <c r="Q10" s="14" cm="1">
        <f t="array" ref="Q10">INT(SUMPRODUCT(--ISNUMBER(SEARCH(gun,'Mark Kelly'!C10)))&gt;0)</f>
        <v>0</v>
      </c>
      <c r="R10" s="14" cm="1">
        <f t="array" ref="R10">INT(SUMPRODUCT(--ISNUMBER(SEARCH(race,'Mark Kelly'!C10)))&gt;0)</f>
        <v>0</v>
      </c>
      <c r="S10" s="14" cm="1">
        <f t="array" ref="S10">INT(SUMPRODUCT(--ISNUMBER(SEARCH(immigration,C10)))&gt;0)</f>
        <v>0</v>
      </c>
      <c r="T10" s="14" cm="1">
        <f t="array" ref="T10">INT(SUMPRODUCT(--ISNUMBER(SEARCH(econineq,C10)))&gt;0)</f>
        <v>0</v>
      </c>
      <c r="U10" s="14" cm="1">
        <f t="array" ref="U10">INT(SUMPRODUCT(--ISNUMBER(SEARCH(climate,'Mark Kelly'!C10)))&gt;0)</f>
        <v>0</v>
      </c>
      <c r="V10" s="14" cm="1">
        <f t="array" ref="V10">INT(SUMPRODUCT(--ISNUMBER(SEARCH(abortion,'Mark Kelly'!C10)))&gt;0)</f>
        <v>0</v>
      </c>
      <c r="W10" s="14" cm="1">
        <f t="array" ref="W10">INT(SUMPRODUCT(--ISNUMBER(SEARCH(trump,'Mark Kelly'!C10)))&gt;0)</f>
        <v>0</v>
      </c>
      <c r="X10" s="14" cm="1">
        <f t="array" ref="X10">INT(SUMPRODUCT(--ISNUMBER(SEARCH(voting,'Mark Kelly'!C10)))&gt;0)</f>
        <v>1</v>
      </c>
      <c r="Y10" s="14" cm="1">
        <f t="array" ref="Y10">INT(SUMPRODUCT(--ISNUMBER(SEARCH(democrattrigger,'Mark Kelly'!C10)))&gt;0)</f>
        <v>0</v>
      </c>
      <c r="Z10" s="14" cm="1">
        <f t="array" ref="Z10">INT(SUMPRODUCT(--ISNUMBER(SEARCH(bipartisan,'Mark Kelly'!C10)))&gt;0)</f>
        <v>0</v>
      </c>
      <c r="AA10" s="14">
        <f t="shared" si="0"/>
        <v>0</v>
      </c>
      <c r="AB10" s="14"/>
      <c r="AC10" s="30">
        <v>1</v>
      </c>
      <c r="AD10" s="37">
        <v>0</v>
      </c>
    </row>
    <row r="11" spans="1:30" x14ac:dyDescent="0.25">
      <c r="A11" s="36">
        <v>95</v>
      </c>
      <c r="B11" s="14" t="s">
        <v>221</v>
      </c>
      <c r="C11" s="31" t="s">
        <v>222</v>
      </c>
      <c r="D11" s="17">
        <v>44138</v>
      </c>
      <c r="E11" s="14" t="s">
        <v>30</v>
      </c>
      <c r="F11" s="14">
        <v>7918</v>
      </c>
      <c r="G11" s="14">
        <v>1234</v>
      </c>
      <c r="H11" s="14">
        <v>2</v>
      </c>
      <c r="I11" s="14">
        <v>1</v>
      </c>
      <c r="J11" s="14" t="s">
        <v>204</v>
      </c>
      <c r="K11" s="14" cm="1">
        <f t="array" ref="K11">INT(SUMPRODUCT(--ISNUMBER(SEARCH(economy,'Mark Kelly'!C11)))&gt;0)</f>
        <v>0</v>
      </c>
      <c r="L11" s="14" cm="1">
        <f t="array" ref="L11">INT(SUMPRODUCT(--ISNUMBER(SEARCH(healthcare,'Mark Kelly'!C11)))&gt;0)</f>
        <v>0</v>
      </c>
      <c r="M11" s="14" cm="1">
        <f t="array" ref="M11">INT(SUMPRODUCT(--ISNUMBER(SEARCH(supreme,'Mark Kelly'!C11)))&gt;0)</f>
        <v>0</v>
      </c>
      <c r="N11" s="14" cm="1">
        <f t="array" ref="N11">INT(SUMPRODUCT(--ISNUMBER(SEARCH(covid,'Mark Kelly'!C11)))&gt;0)</f>
        <v>0</v>
      </c>
      <c r="O11" s="14" cm="1">
        <f t="array" ref="O11">INT(SUMPRODUCT(--ISNUMBER(SEARCH(violent,'Mark Kelly'!C11)))&gt;0)</f>
        <v>0</v>
      </c>
      <c r="P11" s="14" cm="1">
        <f t="array" ref="P11">INT(SUMPRODUCT(--ISNUMBER(SEARCH(foreign,'Mark Kelly'!C11)))&gt;0)</f>
        <v>0</v>
      </c>
      <c r="Q11" s="14" cm="1">
        <f t="array" ref="Q11">INT(SUMPRODUCT(--ISNUMBER(SEARCH(gun,'Mark Kelly'!C11)))&gt;0)</f>
        <v>0</v>
      </c>
      <c r="R11" s="14" cm="1">
        <f t="array" ref="R11">INT(SUMPRODUCT(--ISNUMBER(SEARCH(race,'Mark Kelly'!C11)))&gt;0)</f>
        <v>0</v>
      </c>
      <c r="S11" s="14" cm="1">
        <f t="array" ref="S11">INT(SUMPRODUCT(--ISNUMBER(SEARCH(immigration,C11)))&gt;0)</f>
        <v>0</v>
      </c>
      <c r="T11" s="14" cm="1">
        <f t="array" ref="T11">INT(SUMPRODUCT(--ISNUMBER(SEARCH(econineq,C11)))&gt;0)</f>
        <v>0</v>
      </c>
      <c r="U11" s="14" cm="1">
        <f t="array" ref="U11">INT(SUMPRODUCT(--ISNUMBER(SEARCH(climate,'Mark Kelly'!C11)))&gt;0)</f>
        <v>1</v>
      </c>
      <c r="V11" s="14" cm="1">
        <f t="array" ref="V11">INT(SUMPRODUCT(--ISNUMBER(SEARCH(abortion,'Mark Kelly'!C11)))&gt;0)</f>
        <v>0</v>
      </c>
      <c r="W11" s="14" cm="1">
        <f t="array" ref="W11">INT(SUMPRODUCT(--ISNUMBER(SEARCH(trump,'Mark Kelly'!C11)))&gt;0)</f>
        <v>0</v>
      </c>
      <c r="X11" s="14" cm="1">
        <f t="array" ref="X11">INT(SUMPRODUCT(--ISNUMBER(SEARCH(voting,'Mark Kelly'!C11)))&gt;0)</f>
        <v>0</v>
      </c>
      <c r="Y11" s="14" cm="1">
        <f t="array" ref="Y11">INT(SUMPRODUCT(--ISNUMBER(SEARCH(democrattrigger,'Mark Kelly'!C11)))&gt;0)</f>
        <v>0</v>
      </c>
      <c r="Z11" s="14" cm="1">
        <f t="array" ref="Z11">INT(SUMPRODUCT(--ISNUMBER(SEARCH(bipartisan,'Mark Kelly'!C11)))&gt;0)</f>
        <v>0</v>
      </c>
      <c r="AA11" s="14">
        <f t="shared" si="0"/>
        <v>0</v>
      </c>
      <c r="AB11" s="14"/>
      <c r="AC11" s="30" t="s">
        <v>223</v>
      </c>
      <c r="AD11" s="37">
        <v>0</v>
      </c>
    </row>
    <row r="12" spans="1:30" x14ac:dyDescent="0.25">
      <c r="A12" s="36">
        <v>96</v>
      </c>
      <c r="B12" s="14" t="s">
        <v>224</v>
      </c>
      <c r="C12" s="31" t="s">
        <v>225</v>
      </c>
      <c r="D12" s="17">
        <v>44138</v>
      </c>
      <c r="E12" s="14" t="s">
        <v>30</v>
      </c>
      <c r="F12" s="14">
        <v>606</v>
      </c>
      <c r="G12" s="14">
        <v>137</v>
      </c>
      <c r="H12" s="14">
        <v>2</v>
      </c>
      <c r="I12" s="14">
        <v>1</v>
      </c>
      <c r="J12" s="14" t="s">
        <v>204</v>
      </c>
      <c r="K12" s="14" cm="1">
        <f t="array" ref="K12">INT(SUMPRODUCT(--ISNUMBER(SEARCH(economy,'Mark Kelly'!C12)))&gt;0)</f>
        <v>1</v>
      </c>
      <c r="L12" s="14" cm="1">
        <f t="array" ref="L12">INT(SUMPRODUCT(--ISNUMBER(SEARCH(healthcare,'Mark Kelly'!C12)))&gt;0)</f>
        <v>0</v>
      </c>
      <c r="M12" s="14" cm="1">
        <f t="array" ref="M12">INT(SUMPRODUCT(--ISNUMBER(SEARCH(supreme,'Mark Kelly'!C12)))&gt;0)</f>
        <v>0</v>
      </c>
      <c r="N12" s="14" cm="1">
        <f t="array" ref="N12">INT(SUMPRODUCT(--ISNUMBER(SEARCH(covid,'Mark Kelly'!C12)))&gt;0)</f>
        <v>0</v>
      </c>
      <c r="O12" s="14" cm="1">
        <f t="array" ref="O12">INT(SUMPRODUCT(--ISNUMBER(SEARCH(violent,'Mark Kelly'!C12)))&gt;0)</f>
        <v>0</v>
      </c>
      <c r="P12" s="14" cm="1">
        <f t="array" ref="P12">INT(SUMPRODUCT(--ISNUMBER(SEARCH(foreign,'Mark Kelly'!C12)))&gt;0)</f>
        <v>0</v>
      </c>
      <c r="Q12" s="14" cm="1">
        <f t="array" ref="Q12">INT(SUMPRODUCT(--ISNUMBER(SEARCH(gun,'Mark Kelly'!C12)))&gt;0)</f>
        <v>0</v>
      </c>
      <c r="R12" s="14" cm="1">
        <f t="array" ref="R12">INT(SUMPRODUCT(--ISNUMBER(SEARCH(race,'Mark Kelly'!C12)))&gt;0)</f>
        <v>0</v>
      </c>
      <c r="S12" s="14" cm="1">
        <f t="array" ref="S12">INT(SUMPRODUCT(--ISNUMBER(SEARCH(immigration,C12)))&gt;0)</f>
        <v>0</v>
      </c>
      <c r="T12" s="14" cm="1">
        <f t="array" ref="T12">INT(SUMPRODUCT(--ISNUMBER(SEARCH(econineq,C12)))&gt;0)</f>
        <v>0</v>
      </c>
      <c r="U12" s="14" cm="1">
        <f t="array" ref="U12">INT(SUMPRODUCT(--ISNUMBER(SEARCH(climate,'Mark Kelly'!C12)))&gt;0)</f>
        <v>0</v>
      </c>
      <c r="V12" s="14" cm="1">
        <f t="array" ref="V12">INT(SUMPRODUCT(--ISNUMBER(SEARCH(abortion,'Mark Kelly'!C12)))&gt;0)</f>
        <v>0</v>
      </c>
      <c r="W12" s="14" cm="1">
        <f t="array" ref="W12">INT(SUMPRODUCT(--ISNUMBER(SEARCH(trump,'Mark Kelly'!C12)))&gt;0)</f>
        <v>0</v>
      </c>
      <c r="X12" s="14" cm="1">
        <f t="array" ref="X12">INT(SUMPRODUCT(--ISNUMBER(SEARCH(voting,'Mark Kelly'!C12)))&gt;0)</f>
        <v>0</v>
      </c>
      <c r="Y12" s="14" cm="1">
        <f t="array" ref="Y12">INT(SUMPRODUCT(--ISNUMBER(SEARCH(democrattrigger,'Mark Kelly'!C12)))&gt;0)</f>
        <v>0</v>
      </c>
      <c r="Z12" s="14" cm="1">
        <f t="array" ref="Z12">INT(SUMPRODUCT(--ISNUMBER(SEARCH(bipartisan,'Mark Kelly'!C12)))&gt;0)</f>
        <v>0</v>
      </c>
      <c r="AA12" s="14">
        <f t="shared" si="0"/>
        <v>0</v>
      </c>
      <c r="AB12" s="14"/>
      <c r="AC12" s="30">
        <v>1</v>
      </c>
      <c r="AD12" s="37">
        <v>0</v>
      </c>
    </row>
    <row r="13" spans="1:30" x14ac:dyDescent="0.25">
      <c r="A13" s="36">
        <v>97</v>
      </c>
      <c r="B13" s="14" t="s">
        <v>226</v>
      </c>
      <c r="C13" s="31" t="s">
        <v>227</v>
      </c>
      <c r="D13" s="17">
        <v>44137</v>
      </c>
      <c r="E13" s="14" t="s">
        <v>30</v>
      </c>
      <c r="F13" s="14">
        <v>4170</v>
      </c>
      <c r="G13" s="14">
        <v>466</v>
      </c>
      <c r="H13" s="14">
        <v>2</v>
      </c>
      <c r="I13" s="14">
        <v>1</v>
      </c>
      <c r="J13" s="14" t="s">
        <v>204</v>
      </c>
      <c r="K13" s="14" cm="1">
        <f t="array" ref="K13">INT(SUMPRODUCT(--ISNUMBER(SEARCH(economy,'Mark Kelly'!C13)))&gt;0)</f>
        <v>0</v>
      </c>
      <c r="L13" s="14" cm="1">
        <f t="array" ref="L13">INT(SUMPRODUCT(--ISNUMBER(SEARCH(healthcare,'Mark Kelly'!C13)))&gt;0)</f>
        <v>0</v>
      </c>
      <c r="M13" s="14" cm="1">
        <f t="array" ref="M13">INT(SUMPRODUCT(--ISNUMBER(SEARCH(supreme,'Mark Kelly'!C13)))&gt;0)</f>
        <v>0</v>
      </c>
      <c r="N13" s="14" cm="1">
        <f t="array" ref="N13">INT(SUMPRODUCT(--ISNUMBER(SEARCH(covid,'Mark Kelly'!C13)))&gt;0)</f>
        <v>0</v>
      </c>
      <c r="O13" s="14" cm="1">
        <f t="array" ref="O13">INT(SUMPRODUCT(--ISNUMBER(SEARCH(violent,'Mark Kelly'!C13)))&gt;0)</f>
        <v>0</v>
      </c>
      <c r="P13" s="14" cm="1">
        <f t="array" ref="P13">INT(SUMPRODUCT(--ISNUMBER(SEARCH(foreign,'Mark Kelly'!C13)))&gt;0)</f>
        <v>0</v>
      </c>
      <c r="Q13" s="14" cm="1">
        <f t="array" ref="Q13">INT(SUMPRODUCT(--ISNUMBER(SEARCH(gun,'Mark Kelly'!C13)))&gt;0)</f>
        <v>0</v>
      </c>
      <c r="R13" s="14" cm="1">
        <f t="array" ref="R13">INT(SUMPRODUCT(--ISNUMBER(SEARCH(race,'Mark Kelly'!C13)))&gt;0)</f>
        <v>0</v>
      </c>
      <c r="S13" s="14" cm="1">
        <f t="array" ref="S13">INT(SUMPRODUCT(--ISNUMBER(SEARCH(immigration,C13)))&gt;0)</f>
        <v>0</v>
      </c>
      <c r="T13" s="14" cm="1">
        <f t="array" ref="T13">INT(SUMPRODUCT(--ISNUMBER(SEARCH(econineq,C13)))&gt;0)</f>
        <v>0</v>
      </c>
      <c r="U13" s="14" cm="1">
        <f t="array" ref="U13">INT(SUMPRODUCT(--ISNUMBER(SEARCH(climate,'Mark Kelly'!C13)))&gt;0)</f>
        <v>0</v>
      </c>
      <c r="V13" s="14" cm="1">
        <f t="array" ref="V13">INT(SUMPRODUCT(--ISNUMBER(SEARCH(abortion,'Mark Kelly'!C13)))&gt;0)</f>
        <v>0</v>
      </c>
      <c r="W13" s="14" cm="1">
        <f t="array" ref="W13">INT(SUMPRODUCT(--ISNUMBER(SEARCH(trump,'Mark Kelly'!C13)))&gt;0)</f>
        <v>0</v>
      </c>
      <c r="X13" s="14" cm="1">
        <f t="array" ref="X13">INT(SUMPRODUCT(--ISNUMBER(SEARCH(voting,'Mark Kelly'!C13)))&gt;0)</f>
        <v>0</v>
      </c>
      <c r="Y13" s="14" cm="1">
        <f t="array" ref="Y13">INT(SUMPRODUCT(--ISNUMBER(SEARCH(democrattrigger,'Mark Kelly'!C13)))&gt;0)</f>
        <v>0</v>
      </c>
      <c r="Z13" s="14" cm="1">
        <f t="array" ref="Z13">INT(SUMPRODUCT(--ISNUMBER(SEARCH(bipartisan,'Mark Kelly'!C13)))&gt;0)</f>
        <v>0</v>
      </c>
      <c r="AA13" s="14">
        <f t="shared" si="0"/>
        <v>1</v>
      </c>
      <c r="AB13" s="14"/>
      <c r="AC13" s="30" t="s">
        <v>223</v>
      </c>
      <c r="AD13" s="37">
        <v>0</v>
      </c>
    </row>
    <row r="14" spans="1:30" x14ac:dyDescent="0.25">
      <c r="A14" s="36">
        <v>98</v>
      </c>
      <c r="B14" s="14" t="s">
        <v>228</v>
      </c>
      <c r="C14" s="31" t="s">
        <v>229</v>
      </c>
      <c r="D14" s="17">
        <v>44137</v>
      </c>
      <c r="E14" s="14" t="s">
        <v>30</v>
      </c>
      <c r="F14" s="14">
        <v>1686</v>
      </c>
      <c r="G14" s="14">
        <v>441</v>
      </c>
      <c r="H14" s="14">
        <v>2</v>
      </c>
      <c r="I14" s="14">
        <v>1</v>
      </c>
      <c r="J14" s="14" t="s">
        <v>204</v>
      </c>
      <c r="K14" s="14" cm="1">
        <f t="array" ref="K14">INT(SUMPRODUCT(--ISNUMBER(SEARCH(economy,'Mark Kelly'!C14)))&gt;0)</f>
        <v>0</v>
      </c>
      <c r="L14" s="14" cm="1">
        <f t="array" ref="L14">INT(SUMPRODUCT(--ISNUMBER(SEARCH(healthcare,'Mark Kelly'!C14)))&gt;0)</f>
        <v>0</v>
      </c>
      <c r="M14" s="14" cm="1">
        <f t="array" ref="M14">INT(SUMPRODUCT(--ISNUMBER(SEARCH(supreme,'Mark Kelly'!C14)))&gt;0)</f>
        <v>0</v>
      </c>
      <c r="N14" s="14" cm="1">
        <f t="array" ref="N14">INT(SUMPRODUCT(--ISNUMBER(SEARCH(covid,'Mark Kelly'!C14)))&gt;0)</f>
        <v>0</v>
      </c>
      <c r="O14" s="14" cm="1">
        <f t="array" ref="O14">INT(SUMPRODUCT(--ISNUMBER(SEARCH(violent,'Mark Kelly'!C14)))&gt;0)</f>
        <v>0</v>
      </c>
      <c r="P14" s="14" cm="1">
        <f t="array" ref="P14">INT(SUMPRODUCT(--ISNUMBER(SEARCH(foreign,'Mark Kelly'!C14)))&gt;0)</f>
        <v>0</v>
      </c>
      <c r="Q14" s="14" cm="1">
        <f t="array" ref="Q14">INT(SUMPRODUCT(--ISNUMBER(SEARCH(gun,'Mark Kelly'!C14)))&gt;0)</f>
        <v>0</v>
      </c>
      <c r="R14" s="14" cm="1">
        <f t="array" ref="R14">INT(SUMPRODUCT(--ISNUMBER(SEARCH(race,'Mark Kelly'!C14)))&gt;0)</f>
        <v>0</v>
      </c>
      <c r="S14" s="14" cm="1">
        <f t="array" ref="S14">INT(SUMPRODUCT(--ISNUMBER(SEARCH(immigration,C14)))&gt;0)</f>
        <v>0</v>
      </c>
      <c r="T14" s="14" cm="1">
        <f t="array" ref="T14">INT(SUMPRODUCT(--ISNUMBER(SEARCH(econineq,C14)))&gt;0)</f>
        <v>0</v>
      </c>
      <c r="U14" s="14" cm="1">
        <f t="array" ref="U14">INT(SUMPRODUCT(--ISNUMBER(SEARCH(climate,'Mark Kelly'!C14)))&gt;0)</f>
        <v>0</v>
      </c>
      <c r="V14" s="14" cm="1">
        <f t="array" ref="V14">INT(SUMPRODUCT(--ISNUMBER(SEARCH(abortion,'Mark Kelly'!C14)))&gt;0)</f>
        <v>0</v>
      </c>
      <c r="W14" s="14" cm="1">
        <f t="array" ref="W14">INT(SUMPRODUCT(--ISNUMBER(SEARCH(trump,'Mark Kelly'!C14)))&gt;0)</f>
        <v>0</v>
      </c>
      <c r="X14" s="14" cm="1">
        <f t="array" ref="X14">INT(SUMPRODUCT(--ISNUMBER(SEARCH(voting,'Mark Kelly'!C14)))&gt;0)</f>
        <v>0</v>
      </c>
      <c r="Y14" s="14" cm="1">
        <f t="array" ref="Y14">INT(SUMPRODUCT(--ISNUMBER(SEARCH(democrattrigger,'Mark Kelly'!C14)))&gt;0)</f>
        <v>1</v>
      </c>
      <c r="Z14" s="14" cm="1">
        <f t="array" ref="Z14">INT(SUMPRODUCT(--ISNUMBER(SEARCH(bipartisan,'Mark Kelly'!C14)))&gt;0)</f>
        <v>0</v>
      </c>
      <c r="AA14" s="14">
        <f t="shared" si="0"/>
        <v>0</v>
      </c>
      <c r="AB14" s="14"/>
      <c r="AC14" s="30">
        <v>0</v>
      </c>
      <c r="AD14" s="37">
        <v>1</v>
      </c>
    </row>
    <row r="15" spans="1:30" x14ac:dyDescent="0.25">
      <c r="A15" s="36">
        <v>99</v>
      </c>
      <c r="B15" s="14" t="s">
        <v>230</v>
      </c>
      <c r="C15" s="31" t="s">
        <v>231</v>
      </c>
      <c r="D15" s="17">
        <v>44137</v>
      </c>
      <c r="E15" s="14" t="s">
        <v>30</v>
      </c>
      <c r="F15" s="14">
        <v>1387</v>
      </c>
      <c r="G15" s="14">
        <v>256</v>
      </c>
      <c r="H15" s="14">
        <v>2</v>
      </c>
      <c r="I15" s="14">
        <v>1</v>
      </c>
      <c r="J15" s="14" t="s">
        <v>204</v>
      </c>
      <c r="K15" s="14" cm="1">
        <f t="array" ref="K15">INT(SUMPRODUCT(--ISNUMBER(SEARCH(economy,'Mark Kelly'!C15)))&gt;0)</f>
        <v>0</v>
      </c>
      <c r="L15" s="14" cm="1">
        <f t="array" ref="L15">INT(SUMPRODUCT(--ISNUMBER(SEARCH(healthcare,'Mark Kelly'!C15)))&gt;0)</f>
        <v>0</v>
      </c>
      <c r="M15" s="14" cm="1">
        <f t="array" ref="M15">INT(SUMPRODUCT(--ISNUMBER(SEARCH(supreme,'Mark Kelly'!C15)))&gt;0)</f>
        <v>0</v>
      </c>
      <c r="N15" s="14" cm="1">
        <f t="array" ref="N15">INT(SUMPRODUCT(--ISNUMBER(SEARCH(covid,'Mark Kelly'!C15)))&gt;0)</f>
        <v>0</v>
      </c>
      <c r="O15" s="14" cm="1">
        <f t="array" ref="O15">INT(SUMPRODUCT(--ISNUMBER(SEARCH(violent,'Mark Kelly'!C15)))&gt;0)</f>
        <v>0</v>
      </c>
      <c r="P15" s="14" cm="1">
        <f t="array" ref="P15">INT(SUMPRODUCT(--ISNUMBER(SEARCH(foreign,'Mark Kelly'!C15)))&gt;0)</f>
        <v>0</v>
      </c>
      <c r="Q15" s="14" cm="1">
        <f t="array" ref="Q15">INT(SUMPRODUCT(--ISNUMBER(SEARCH(gun,'Mark Kelly'!C15)))&gt;0)</f>
        <v>0</v>
      </c>
      <c r="R15" s="14" cm="1">
        <f t="array" ref="R15">INT(SUMPRODUCT(--ISNUMBER(SEARCH(race,'Mark Kelly'!C15)))&gt;0)</f>
        <v>0</v>
      </c>
      <c r="S15" s="14" cm="1">
        <f t="array" ref="S15">INT(SUMPRODUCT(--ISNUMBER(SEARCH(immigration,C15)))&gt;0)</f>
        <v>0</v>
      </c>
      <c r="T15" s="14" cm="1">
        <f t="array" ref="T15">INT(SUMPRODUCT(--ISNUMBER(SEARCH(econineq,C15)))&gt;0)</f>
        <v>0</v>
      </c>
      <c r="U15" s="14" cm="1">
        <f t="array" ref="U15">INT(SUMPRODUCT(--ISNUMBER(SEARCH(climate,'Mark Kelly'!C15)))&gt;0)</f>
        <v>0</v>
      </c>
      <c r="V15" s="14" cm="1">
        <f t="array" ref="V15">INT(SUMPRODUCT(--ISNUMBER(SEARCH(abortion,'Mark Kelly'!C15)))&gt;0)</f>
        <v>0</v>
      </c>
      <c r="W15" s="14" cm="1">
        <f t="array" ref="W15">INT(SUMPRODUCT(--ISNUMBER(SEARCH(trump,'Mark Kelly'!C15)))&gt;0)</f>
        <v>0</v>
      </c>
      <c r="X15" s="14" cm="1">
        <f t="array" ref="X15">INT(SUMPRODUCT(--ISNUMBER(SEARCH(voting,'Mark Kelly'!C15)))&gt;0)</f>
        <v>1</v>
      </c>
      <c r="Y15" s="14" cm="1">
        <f t="array" ref="Y15">INT(SUMPRODUCT(--ISNUMBER(SEARCH(democrattrigger,'Mark Kelly'!C15)))&gt;0)</f>
        <v>0</v>
      </c>
      <c r="Z15" s="14" cm="1">
        <f t="array" ref="Z15">INT(SUMPRODUCT(--ISNUMBER(SEARCH(bipartisan,'Mark Kelly'!C15)))&gt;0)</f>
        <v>0</v>
      </c>
      <c r="AA15" s="14">
        <f t="shared" si="0"/>
        <v>0</v>
      </c>
      <c r="AB15" s="14"/>
      <c r="AC15" s="30">
        <v>1</v>
      </c>
      <c r="AD15" s="37">
        <v>0</v>
      </c>
    </row>
    <row r="16" spans="1:30" x14ac:dyDescent="0.25">
      <c r="A16" s="36">
        <v>100</v>
      </c>
      <c r="B16" s="14" t="s">
        <v>232</v>
      </c>
      <c r="C16" s="31" t="s">
        <v>233</v>
      </c>
      <c r="D16" s="17">
        <v>44137</v>
      </c>
      <c r="E16" s="14" t="s">
        <v>30</v>
      </c>
      <c r="F16" s="14">
        <v>1289</v>
      </c>
      <c r="G16" s="14">
        <v>288</v>
      </c>
      <c r="H16" s="14">
        <v>2</v>
      </c>
      <c r="I16" s="14">
        <v>1</v>
      </c>
      <c r="J16" s="14" t="s">
        <v>204</v>
      </c>
      <c r="K16" s="14" cm="1">
        <f t="array" ref="K16">INT(SUMPRODUCT(--ISNUMBER(SEARCH(economy,'Mark Kelly'!C16)))&gt;0)</f>
        <v>0</v>
      </c>
      <c r="L16" s="14" cm="1">
        <f t="array" ref="L16">INT(SUMPRODUCT(--ISNUMBER(SEARCH(healthcare,'Mark Kelly'!C16)))&gt;0)</f>
        <v>0</v>
      </c>
      <c r="M16" s="14" cm="1">
        <f t="array" ref="M16">INT(SUMPRODUCT(--ISNUMBER(SEARCH(supreme,'Mark Kelly'!C16)))&gt;0)</f>
        <v>0</v>
      </c>
      <c r="N16" s="14" cm="1">
        <f t="array" ref="N16">INT(SUMPRODUCT(--ISNUMBER(SEARCH(covid,'Mark Kelly'!C16)))&gt;0)</f>
        <v>0</v>
      </c>
      <c r="O16" s="14" cm="1">
        <f t="array" ref="O16">INT(SUMPRODUCT(--ISNUMBER(SEARCH(violent,'Mark Kelly'!C16)))&gt;0)</f>
        <v>0</v>
      </c>
      <c r="P16" s="14" cm="1">
        <f t="array" ref="P16">INT(SUMPRODUCT(--ISNUMBER(SEARCH(foreign,'Mark Kelly'!C16)))&gt;0)</f>
        <v>0</v>
      </c>
      <c r="Q16" s="14" cm="1">
        <f t="array" ref="Q16">INT(SUMPRODUCT(--ISNUMBER(SEARCH(gun,'Mark Kelly'!C16)))&gt;0)</f>
        <v>0</v>
      </c>
      <c r="R16" s="14" cm="1">
        <f t="array" ref="R16">INT(SUMPRODUCT(--ISNUMBER(SEARCH(race,'Mark Kelly'!C16)))&gt;0)</f>
        <v>0</v>
      </c>
      <c r="S16" s="14" cm="1">
        <f t="array" ref="S16">INT(SUMPRODUCT(--ISNUMBER(SEARCH(immigration,C16)))&gt;0)</f>
        <v>0</v>
      </c>
      <c r="T16" s="14" cm="1">
        <f t="array" ref="T16">INT(SUMPRODUCT(--ISNUMBER(SEARCH(econineq,C16)))&gt;0)</f>
        <v>0</v>
      </c>
      <c r="U16" s="14" cm="1">
        <f t="array" ref="U16">INT(SUMPRODUCT(--ISNUMBER(SEARCH(climate,'Mark Kelly'!C16)))&gt;0)</f>
        <v>0</v>
      </c>
      <c r="V16" s="14" cm="1">
        <f t="array" ref="V16">INT(SUMPRODUCT(--ISNUMBER(SEARCH(abortion,'Mark Kelly'!C16)))&gt;0)</f>
        <v>0</v>
      </c>
      <c r="W16" s="14" cm="1">
        <f t="array" ref="W16">INT(SUMPRODUCT(--ISNUMBER(SEARCH(trump,'Mark Kelly'!C16)))&gt;0)</f>
        <v>0</v>
      </c>
      <c r="X16" s="14" cm="1">
        <f t="array" ref="X16">INT(SUMPRODUCT(--ISNUMBER(SEARCH(voting,'Mark Kelly'!C16)))&gt;0)</f>
        <v>1</v>
      </c>
      <c r="Y16" s="14" cm="1">
        <f t="array" ref="Y16">INT(SUMPRODUCT(--ISNUMBER(SEARCH(democrattrigger,'Mark Kelly'!C16)))&gt;0)</f>
        <v>0</v>
      </c>
      <c r="Z16" s="14" cm="1">
        <f t="array" ref="Z16">INT(SUMPRODUCT(--ISNUMBER(SEARCH(bipartisan,'Mark Kelly'!C16)))&gt;0)</f>
        <v>0</v>
      </c>
      <c r="AA16" s="14">
        <f t="shared" si="0"/>
        <v>0</v>
      </c>
      <c r="AB16" s="14"/>
      <c r="AC16" s="30">
        <v>0</v>
      </c>
      <c r="AD16" s="37">
        <v>1</v>
      </c>
    </row>
    <row r="17" spans="1:30" x14ac:dyDescent="0.25">
      <c r="A17" s="36">
        <v>101</v>
      </c>
      <c r="B17" s="14" t="s">
        <v>234</v>
      </c>
      <c r="C17" s="31" t="s">
        <v>235</v>
      </c>
      <c r="D17" s="17">
        <v>44137</v>
      </c>
      <c r="E17" s="14" t="s">
        <v>30</v>
      </c>
      <c r="F17" s="14">
        <v>1921</v>
      </c>
      <c r="G17" s="14">
        <v>289</v>
      </c>
      <c r="H17" s="14">
        <v>2</v>
      </c>
      <c r="I17" s="14">
        <v>1</v>
      </c>
      <c r="J17" s="14" t="s">
        <v>204</v>
      </c>
      <c r="K17" s="14" cm="1">
        <f t="array" ref="K17">INT(SUMPRODUCT(--ISNUMBER(SEARCH(economy,'Mark Kelly'!C17)))&gt;0)</f>
        <v>0</v>
      </c>
      <c r="L17" s="14" cm="1">
        <f t="array" ref="L17">INT(SUMPRODUCT(--ISNUMBER(SEARCH(healthcare,'Mark Kelly'!C17)))&gt;0)</f>
        <v>0</v>
      </c>
      <c r="M17" s="14" cm="1">
        <f t="array" ref="M17">INT(SUMPRODUCT(--ISNUMBER(SEARCH(supreme,'Mark Kelly'!C17)))&gt;0)</f>
        <v>0</v>
      </c>
      <c r="N17" s="14" cm="1">
        <f t="array" ref="N17">INT(SUMPRODUCT(--ISNUMBER(SEARCH(covid,'Mark Kelly'!C17)))&gt;0)</f>
        <v>0</v>
      </c>
      <c r="O17" s="14" cm="1">
        <f t="array" ref="O17">INT(SUMPRODUCT(--ISNUMBER(SEARCH(violent,'Mark Kelly'!C17)))&gt;0)</f>
        <v>0</v>
      </c>
      <c r="P17" s="14" cm="1">
        <f t="array" ref="P17">INT(SUMPRODUCT(--ISNUMBER(SEARCH(foreign,'Mark Kelly'!C17)))&gt;0)</f>
        <v>0</v>
      </c>
      <c r="Q17" s="14" cm="1">
        <f t="array" ref="Q17">INT(SUMPRODUCT(--ISNUMBER(SEARCH(gun,'Mark Kelly'!C17)))&gt;0)</f>
        <v>0</v>
      </c>
      <c r="R17" s="14" cm="1">
        <f t="array" ref="R17">INT(SUMPRODUCT(--ISNUMBER(SEARCH(race,'Mark Kelly'!C17)))&gt;0)</f>
        <v>0</v>
      </c>
      <c r="S17" s="14" cm="1">
        <f t="array" ref="S17">INT(SUMPRODUCT(--ISNUMBER(SEARCH(immigration,C17)))&gt;0)</f>
        <v>0</v>
      </c>
      <c r="T17" s="14" cm="1">
        <f t="array" ref="T17">INT(SUMPRODUCT(--ISNUMBER(SEARCH(econineq,C17)))&gt;0)</f>
        <v>0</v>
      </c>
      <c r="U17" s="14" cm="1">
        <f t="array" ref="U17">INT(SUMPRODUCT(--ISNUMBER(SEARCH(climate,'Mark Kelly'!C17)))&gt;0)</f>
        <v>0</v>
      </c>
      <c r="V17" s="14" cm="1">
        <f t="array" ref="V17">INT(SUMPRODUCT(--ISNUMBER(SEARCH(abortion,'Mark Kelly'!C17)))&gt;0)</f>
        <v>0</v>
      </c>
      <c r="W17" s="14" cm="1">
        <f t="array" ref="W17">INT(SUMPRODUCT(--ISNUMBER(SEARCH(trump,'Mark Kelly'!C17)))&gt;0)</f>
        <v>0</v>
      </c>
      <c r="X17" s="14" cm="1">
        <f t="array" ref="X17">INT(SUMPRODUCT(--ISNUMBER(SEARCH(voting,'Mark Kelly'!C17)))&gt;0)</f>
        <v>1</v>
      </c>
      <c r="Y17" s="14" cm="1">
        <f t="array" ref="Y17">INT(SUMPRODUCT(--ISNUMBER(SEARCH(democrattrigger,'Mark Kelly'!C17)))&gt;0)</f>
        <v>0</v>
      </c>
      <c r="Z17" s="14" cm="1">
        <f t="array" ref="Z17">INT(SUMPRODUCT(--ISNUMBER(SEARCH(bipartisan,'Mark Kelly'!C17)))&gt;0)</f>
        <v>0</v>
      </c>
      <c r="AA17" s="14">
        <f t="shared" si="0"/>
        <v>0</v>
      </c>
      <c r="AB17" s="14"/>
      <c r="AC17" s="30">
        <v>1</v>
      </c>
      <c r="AD17" s="37">
        <v>0</v>
      </c>
    </row>
    <row r="18" spans="1:30" x14ac:dyDescent="0.25">
      <c r="A18" s="36">
        <v>102</v>
      </c>
      <c r="B18" s="14" t="s">
        <v>236</v>
      </c>
      <c r="C18" s="31" t="s">
        <v>237</v>
      </c>
      <c r="D18" s="17">
        <v>44137</v>
      </c>
      <c r="E18" s="14" t="s">
        <v>30</v>
      </c>
      <c r="F18" s="14">
        <v>679</v>
      </c>
      <c r="G18" s="14">
        <v>181</v>
      </c>
      <c r="H18" s="14">
        <v>2</v>
      </c>
      <c r="I18" s="14">
        <v>1</v>
      </c>
      <c r="J18" s="14" t="s">
        <v>204</v>
      </c>
      <c r="K18" s="14" cm="1">
        <f t="array" ref="K18">INT(SUMPRODUCT(--ISNUMBER(SEARCH(economy,'Mark Kelly'!C18)))&gt;0)</f>
        <v>0</v>
      </c>
      <c r="L18" s="14" cm="1">
        <f t="array" ref="L18">INT(SUMPRODUCT(--ISNUMBER(SEARCH(healthcare,'Mark Kelly'!C18)))&gt;0)</f>
        <v>0</v>
      </c>
      <c r="M18" s="14" cm="1">
        <f t="array" ref="M18">INT(SUMPRODUCT(--ISNUMBER(SEARCH(supreme,'Mark Kelly'!C18)))&gt;0)</f>
        <v>0</v>
      </c>
      <c r="N18" s="14" cm="1">
        <f t="array" ref="N18">INT(SUMPRODUCT(--ISNUMBER(SEARCH(covid,'Mark Kelly'!C18)))&gt;0)</f>
        <v>0</v>
      </c>
      <c r="O18" s="14" cm="1">
        <f t="array" ref="O18">INT(SUMPRODUCT(--ISNUMBER(SEARCH(violent,'Mark Kelly'!C18)))&gt;0)</f>
        <v>0</v>
      </c>
      <c r="P18" s="14" cm="1">
        <f t="array" ref="P18">INT(SUMPRODUCT(--ISNUMBER(SEARCH(foreign,'Mark Kelly'!C18)))&gt;0)</f>
        <v>0</v>
      </c>
      <c r="Q18" s="14" cm="1">
        <f t="array" ref="Q18">INT(SUMPRODUCT(--ISNUMBER(SEARCH(gun,'Mark Kelly'!C18)))&gt;0)</f>
        <v>0</v>
      </c>
      <c r="R18" s="14" cm="1">
        <f t="array" ref="R18">INT(SUMPRODUCT(--ISNUMBER(SEARCH(race,'Mark Kelly'!C18)))&gt;0)</f>
        <v>0</v>
      </c>
      <c r="S18" s="14" cm="1">
        <f t="array" ref="S18">INT(SUMPRODUCT(--ISNUMBER(SEARCH(immigration,C18)))&gt;0)</f>
        <v>0</v>
      </c>
      <c r="T18" s="14" cm="1">
        <f t="array" ref="T18">INT(SUMPRODUCT(--ISNUMBER(SEARCH(econineq,C18)))&gt;0)</f>
        <v>0</v>
      </c>
      <c r="U18" s="14" cm="1">
        <f t="array" ref="U18">INT(SUMPRODUCT(--ISNUMBER(SEARCH(climate,'Mark Kelly'!C18)))&gt;0)</f>
        <v>0</v>
      </c>
      <c r="V18" s="14" cm="1">
        <f t="array" ref="V18">INT(SUMPRODUCT(--ISNUMBER(SEARCH(abortion,'Mark Kelly'!C18)))&gt;0)</f>
        <v>0</v>
      </c>
      <c r="W18" s="14" cm="1">
        <f t="array" ref="W18">INT(SUMPRODUCT(--ISNUMBER(SEARCH(trump,'Mark Kelly'!C18)))&gt;0)</f>
        <v>0</v>
      </c>
      <c r="X18" s="14" cm="1">
        <f t="array" ref="X18">INT(SUMPRODUCT(--ISNUMBER(SEARCH(voting,'Mark Kelly'!C18)))&gt;0)</f>
        <v>0</v>
      </c>
      <c r="Y18" s="14" cm="1">
        <f t="array" ref="Y18">INT(SUMPRODUCT(--ISNUMBER(SEARCH(democrattrigger,'Mark Kelly'!C18)))&gt;0)</f>
        <v>0</v>
      </c>
      <c r="Z18" s="14" cm="1">
        <f t="array" ref="Z18">INT(SUMPRODUCT(--ISNUMBER(SEARCH(bipartisan,'Mark Kelly'!C18)))&gt;0)</f>
        <v>0</v>
      </c>
      <c r="AA18" s="14">
        <f t="shared" si="0"/>
        <v>1</v>
      </c>
      <c r="AB18" s="14"/>
      <c r="AC18" s="30" t="s">
        <v>223</v>
      </c>
      <c r="AD18" s="37">
        <v>0</v>
      </c>
    </row>
    <row r="19" spans="1:30" x14ac:dyDescent="0.25">
      <c r="A19" s="36">
        <v>103</v>
      </c>
      <c r="B19" s="14" t="s">
        <v>238</v>
      </c>
      <c r="C19" s="31" t="s">
        <v>239</v>
      </c>
      <c r="D19" s="17">
        <v>44137</v>
      </c>
      <c r="E19" s="14" t="s">
        <v>30</v>
      </c>
      <c r="F19" s="14">
        <v>1582</v>
      </c>
      <c r="G19" s="14">
        <v>423</v>
      </c>
      <c r="H19" s="14">
        <v>2</v>
      </c>
      <c r="I19" s="14">
        <v>1</v>
      </c>
      <c r="J19" s="14" t="s">
        <v>204</v>
      </c>
      <c r="K19" s="14" cm="1">
        <f t="array" ref="K19">INT(SUMPRODUCT(--ISNUMBER(SEARCH(economy,'Mark Kelly'!C19)))&gt;0)</f>
        <v>1</v>
      </c>
      <c r="L19" s="14" cm="1">
        <f t="array" ref="L19">INT(SUMPRODUCT(--ISNUMBER(SEARCH(healthcare,'Mark Kelly'!C19)))&gt;0)</f>
        <v>1</v>
      </c>
      <c r="M19" s="14" cm="1">
        <f t="array" ref="M19">INT(SUMPRODUCT(--ISNUMBER(SEARCH(supreme,'Mark Kelly'!C19)))&gt;0)</f>
        <v>0</v>
      </c>
      <c r="N19" s="14" cm="1">
        <f t="array" ref="N19">INT(SUMPRODUCT(--ISNUMBER(SEARCH(covid,'Mark Kelly'!C19)))&gt;0)</f>
        <v>0</v>
      </c>
      <c r="O19" s="14" cm="1">
        <f t="array" ref="O19">INT(SUMPRODUCT(--ISNUMBER(SEARCH(violent,'Mark Kelly'!C19)))&gt;0)</f>
        <v>0</v>
      </c>
      <c r="P19" s="14" cm="1">
        <f t="array" ref="P19">INT(SUMPRODUCT(--ISNUMBER(SEARCH(foreign,'Mark Kelly'!C19)))&gt;0)</f>
        <v>0</v>
      </c>
      <c r="Q19" s="14" cm="1">
        <f t="array" ref="Q19">INT(SUMPRODUCT(--ISNUMBER(SEARCH(gun,'Mark Kelly'!C19)))&gt;0)</f>
        <v>0</v>
      </c>
      <c r="R19" s="14" cm="1">
        <f t="array" ref="R19">INT(SUMPRODUCT(--ISNUMBER(SEARCH(race,'Mark Kelly'!C19)))&gt;0)</f>
        <v>0</v>
      </c>
      <c r="S19" s="14" cm="1">
        <f t="array" ref="S19">INT(SUMPRODUCT(--ISNUMBER(SEARCH(immigration,C19)))&gt;0)</f>
        <v>0</v>
      </c>
      <c r="T19" s="14" cm="1">
        <f t="array" ref="T19">INT(SUMPRODUCT(--ISNUMBER(SEARCH(econineq,C19)))&gt;0)</f>
        <v>0</v>
      </c>
      <c r="U19" s="14" cm="1">
        <f t="array" ref="U19">INT(SUMPRODUCT(--ISNUMBER(SEARCH(climate,'Mark Kelly'!C19)))&gt;0)</f>
        <v>0</v>
      </c>
      <c r="V19" s="14" cm="1">
        <f t="array" ref="V19">INT(SUMPRODUCT(--ISNUMBER(SEARCH(abortion,'Mark Kelly'!C19)))&gt;0)</f>
        <v>0</v>
      </c>
      <c r="W19" s="14" cm="1">
        <f t="array" ref="W19">INT(SUMPRODUCT(--ISNUMBER(SEARCH(trump,'Mark Kelly'!C19)))&gt;0)</f>
        <v>0</v>
      </c>
      <c r="X19" s="14" cm="1">
        <f t="array" ref="X19">INT(SUMPRODUCT(--ISNUMBER(SEARCH(voting,'Mark Kelly'!C19)))&gt;0)</f>
        <v>1</v>
      </c>
      <c r="Y19" s="14" cm="1">
        <f t="array" ref="Y19">INT(SUMPRODUCT(--ISNUMBER(SEARCH(democrattrigger,'Mark Kelly'!C19)))&gt;0)</f>
        <v>0</v>
      </c>
      <c r="Z19" s="14" cm="1">
        <f t="array" ref="Z19">INT(SUMPRODUCT(--ISNUMBER(SEARCH(bipartisan,'Mark Kelly'!C19)))&gt;0)</f>
        <v>0</v>
      </c>
      <c r="AA19" s="14">
        <f t="shared" si="0"/>
        <v>0</v>
      </c>
      <c r="AB19" s="14"/>
      <c r="AC19" s="30">
        <v>0</v>
      </c>
      <c r="AD19" s="37">
        <v>1</v>
      </c>
    </row>
    <row r="20" spans="1:30" x14ac:dyDescent="0.25">
      <c r="A20" s="36">
        <v>104</v>
      </c>
      <c r="B20" s="14" t="s">
        <v>240</v>
      </c>
      <c r="C20" s="31" t="s">
        <v>241</v>
      </c>
      <c r="D20" s="17">
        <v>44137</v>
      </c>
      <c r="E20" s="14" t="s">
        <v>30</v>
      </c>
      <c r="F20" s="14">
        <v>649</v>
      </c>
      <c r="G20" s="14">
        <v>162</v>
      </c>
      <c r="H20" s="14">
        <v>2</v>
      </c>
      <c r="I20" s="14">
        <v>1</v>
      </c>
      <c r="J20" s="14" t="s">
        <v>204</v>
      </c>
      <c r="K20" s="14" cm="1">
        <f t="array" ref="K20">INT(SUMPRODUCT(--ISNUMBER(SEARCH(economy,'Mark Kelly'!C20)))&gt;0)</f>
        <v>0</v>
      </c>
      <c r="L20" s="14" cm="1">
        <f t="array" ref="L20">INT(SUMPRODUCT(--ISNUMBER(SEARCH(healthcare,'Mark Kelly'!C20)))&gt;0)</f>
        <v>1</v>
      </c>
      <c r="M20" s="14" cm="1">
        <f t="array" ref="M20">INT(SUMPRODUCT(--ISNUMBER(SEARCH(supreme,'Mark Kelly'!C20)))&gt;0)</f>
        <v>0</v>
      </c>
      <c r="N20" s="14" cm="1">
        <f t="array" ref="N20">INT(SUMPRODUCT(--ISNUMBER(SEARCH(covid,'Mark Kelly'!C20)))&gt;0)</f>
        <v>0</v>
      </c>
      <c r="O20" s="14" cm="1">
        <f t="array" ref="O20">INT(SUMPRODUCT(--ISNUMBER(SEARCH(violent,'Mark Kelly'!C20)))&gt;0)</f>
        <v>0</v>
      </c>
      <c r="P20" s="14" cm="1">
        <f t="array" ref="P20">INT(SUMPRODUCT(--ISNUMBER(SEARCH(foreign,'Mark Kelly'!C20)))&gt;0)</f>
        <v>0</v>
      </c>
      <c r="Q20" s="14" cm="1">
        <f t="array" ref="Q20">INT(SUMPRODUCT(--ISNUMBER(SEARCH(gun,'Mark Kelly'!C20)))&gt;0)</f>
        <v>0</v>
      </c>
      <c r="R20" s="14" cm="1">
        <f t="array" ref="R20">INT(SUMPRODUCT(--ISNUMBER(SEARCH(race,'Mark Kelly'!C20)))&gt;0)</f>
        <v>0</v>
      </c>
      <c r="S20" s="14" cm="1">
        <f t="array" ref="S20">INT(SUMPRODUCT(--ISNUMBER(SEARCH(immigration,C20)))&gt;0)</f>
        <v>0</v>
      </c>
      <c r="T20" s="14" cm="1">
        <f t="array" ref="T20">INT(SUMPRODUCT(--ISNUMBER(SEARCH(econineq,C20)))&gt;0)</f>
        <v>0</v>
      </c>
      <c r="U20" s="14" cm="1">
        <f t="array" ref="U20">INT(SUMPRODUCT(--ISNUMBER(SEARCH(climate,'Mark Kelly'!C20)))&gt;0)</f>
        <v>0</v>
      </c>
      <c r="V20" s="14" cm="1">
        <f t="array" ref="V20">INT(SUMPRODUCT(--ISNUMBER(SEARCH(abortion,'Mark Kelly'!C20)))&gt;0)</f>
        <v>0</v>
      </c>
      <c r="W20" s="14" cm="1">
        <f t="array" ref="W20">INT(SUMPRODUCT(--ISNUMBER(SEARCH(trump,'Mark Kelly'!C20)))&gt;0)</f>
        <v>0</v>
      </c>
      <c r="X20" s="14" cm="1">
        <f t="array" ref="X20">INT(SUMPRODUCT(--ISNUMBER(SEARCH(voting,'Mark Kelly'!C20)))&gt;0)</f>
        <v>0</v>
      </c>
      <c r="Y20" s="14" cm="1">
        <f t="array" ref="Y20">INT(SUMPRODUCT(--ISNUMBER(SEARCH(democrattrigger,'Mark Kelly'!C20)))&gt;0)</f>
        <v>0</v>
      </c>
      <c r="Z20" s="14" cm="1">
        <f t="array" ref="Z20">INT(SUMPRODUCT(--ISNUMBER(SEARCH(bipartisan,'Mark Kelly'!C20)))&gt;0)</f>
        <v>0</v>
      </c>
      <c r="AA20" s="14">
        <f t="shared" si="0"/>
        <v>0</v>
      </c>
      <c r="AB20" s="14"/>
      <c r="AC20" s="30">
        <v>1</v>
      </c>
      <c r="AD20" s="37">
        <v>0</v>
      </c>
    </row>
    <row r="21" spans="1:30" x14ac:dyDescent="0.25">
      <c r="A21" s="36">
        <v>105</v>
      </c>
      <c r="B21" s="14" t="s">
        <v>242</v>
      </c>
      <c r="C21" s="31" t="s">
        <v>243</v>
      </c>
      <c r="D21" s="17">
        <v>44136</v>
      </c>
      <c r="E21" s="14" t="s">
        <v>30</v>
      </c>
      <c r="F21" s="14">
        <v>905</v>
      </c>
      <c r="G21" s="14">
        <v>160</v>
      </c>
      <c r="H21" s="14">
        <v>2</v>
      </c>
      <c r="I21" s="14">
        <v>1</v>
      </c>
      <c r="J21" s="14" t="s">
        <v>204</v>
      </c>
      <c r="K21" s="14" cm="1">
        <f t="array" ref="K21">INT(SUMPRODUCT(--ISNUMBER(SEARCH(economy,'Mark Kelly'!C21)))&gt;0)</f>
        <v>0</v>
      </c>
      <c r="L21" s="14" cm="1">
        <f t="array" ref="L21">INT(SUMPRODUCT(--ISNUMBER(SEARCH(healthcare,'Mark Kelly'!C21)))&gt;0)</f>
        <v>0</v>
      </c>
      <c r="M21" s="14" cm="1">
        <f t="array" ref="M21">INT(SUMPRODUCT(--ISNUMBER(SEARCH(supreme,'Mark Kelly'!C21)))&gt;0)</f>
        <v>0</v>
      </c>
      <c r="N21" s="14" cm="1">
        <f t="array" ref="N21">INT(SUMPRODUCT(--ISNUMBER(SEARCH(covid,'Mark Kelly'!C21)))&gt;0)</f>
        <v>0</v>
      </c>
      <c r="O21" s="14" cm="1">
        <f t="array" ref="O21">INT(SUMPRODUCT(--ISNUMBER(SEARCH(violent,'Mark Kelly'!C21)))&gt;0)</f>
        <v>0</v>
      </c>
      <c r="P21" s="14" cm="1">
        <f t="array" ref="P21">INT(SUMPRODUCT(--ISNUMBER(SEARCH(foreign,'Mark Kelly'!C21)))&gt;0)</f>
        <v>0</v>
      </c>
      <c r="Q21" s="14" cm="1">
        <f t="array" ref="Q21">INT(SUMPRODUCT(--ISNUMBER(SEARCH(gun,'Mark Kelly'!C21)))&gt;0)</f>
        <v>0</v>
      </c>
      <c r="R21" s="14" cm="1">
        <f t="array" ref="R21">INT(SUMPRODUCT(--ISNUMBER(SEARCH(race,'Mark Kelly'!C21)))&gt;0)</f>
        <v>0</v>
      </c>
      <c r="S21" s="14" cm="1">
        <f t="array" ref="S21">INT(SUMPRODUCT(--ISNUMBER(SEARCH(immigration,C21)))&gt;0)</f>
        <v>0</v>
      </c>
      <c r="T21" s="14" cm="1">
        <f t="array" ref="T21">INT(SUMPRODUCT(--ISNUMBER(SEARCH(econineq,C21)))&gt;0)</f>
        <v>0</v>
      </c>
      <c r="U21" s="14" cm="1">
        <f t="array" ref="U21">INT(SUMPRODUCT(--ISNUMBER(SEARCH(climate,'Mark Kelly'!C21)))&gt;0)</f>
        <v>0</v>
      </c>
      <c r="V21" s="14" cm="1">
        <f t="array" ref="V21">INT(SUMPRODUCT(--ISNUMBER(SEARCH(abortion,'Mark Kelly'!C21)))&gt;0)</f>
        <v>0</v>
      </c>
      <c r="W21" s="14" cm="1">
        <f t="array" ref="W21">INT(SUMPRODUCT(--ISNUMBER(SEARCH(trump,'Mark Kelly'!C21)))&gt;0)</f>
        <v>0</v>
      </c>
      <c r="X21" s="14" cm="1">
        <f t="array" ref="X21">INT(SUMPRODUCT(--ISNUMBER(SEARCH(voting,'Mark Kelly'!C21)))&gt;0)</f>
        <v>0</v>
      </c>
      <c r="Y21" s="14" cm="1">
        <f t="array" ref="Y21">INT(SUMPRODUCT(--ISNUMBER(SEARCH(democrattrigger,'Mark Kelly'!C21)))&gt;0)</f>
        <v>0</v>
      </c>
      <c r="Z21" s="14" cm="1">
        <f t="array" ref="Z21">INT(SUMPRODUCT(--ISNUMBER(SEARCH(bipartisan,'Mark Kelly'!C21)))&gt;0)</f>
        <v>0</v>
      </c>
      <c r="AA21" s="14">
        <f t="shared" si="0"/>
        <v>1</v>
      </c>
      <c r="AB21" s="14"/>
      <c r="AC21" s="30" t="s">
        <v>223</v>
      </c>
      <c r="AD21" s="37">
        <v>0</v>
      </c>
    </row>
    <row r="22" spans="1:30" x14ac:dyDescent="0.25">
      <c r="A22" s="36">
        <v>106</v>
      </c>
      <c r="B22" s="14" t="s">
        <v>244</v>
      </c>
      <c r="C22" s="31" t="s">
        <v>245</v>
      </c>
      <c r="D22" s="17">
        <v>44136</v>
      </c>
      <c r="E22" s="14" t="s">
        <v>30</v>
      </c>
      <c r="F22" s="14">
        <v>687</v>
      </c>
      <c r="G22" s="14">
        <v>197</v>
      </c>
      <c r="H22" s="14">
        <v>2</v>
      </c>
      <c r="I22" s="14">
        <v>1</v>
      </c>
      <c r="J22" s="14" t="s">
        <v>204</v>
      </c>
      <c r="K22" s="14" cm="1">
        <f t="array" ref="K22">INT(SUMPRODUCT(--ISNUMBER(SEARCH(economy,'Mark Kelly'!C22)))&gt;0)</f>
        <v>0</v>
      </c>
      <c r="L22" s="14" cm="1">
        <f t="array" ref="L22">INT(SUMPRODUCT(--ISNUMBER(SEARCH(healthcare,'Mark Kelly'!C22)))&gt;0)</f>
        <v>0</v>
      </c>
      <c r="M22" s="14" cm="1">
        <f t="array" ref="M22">INT(SUMPRODUCT(--ISNUMBER(SEARCH(supreme,'Mark Kelly'!C22)))&gt;0)</f>
        <v>0</v>
      </c>
      <c r="N22" s="14" cm="1">
        <f t="array" ref="N22">INT(SUMPRODUCT(--ISNUMBER(SEARCH(covid,'Mark Kelly'!C22)))&gt;0)</f>
        <v>0</v>
      </c>
      <c r="O22" s="14" cm="1">
        <f t="array" ref="O22">INT(SUMPRODUCT(--ISNUMBER(SEARCH(violent,'Mark Kelly'!C22)))&gt;0)</f>
        <v>0</v>
      </c>
      <c r="P22" s="14" cm="1">
        <f t="array" ref="P22">INT(SUMPRODUCT(--ISNUMBER(SEARCH(foreign,'Mark Kelly'!C22)))&gt;0)</f>
        <v>0</v>
      </c>
      <c r="Q22" s="14" cm="1">
        <f t="array" ref="Q22">INT(SUMPRODUCT(--ISNUMBER(SEARCH(gun,'Mark Kelly'!C22)))&gt;0)</f>
        <v>0</v>
      </c>
      <c r="R22" s="14" cm="1">
        <f t="array" ref="R22">INT(SUMPRODUCT(--ISNUMBER(SEARCH(race,'Mark Kelly'!C22)))&gt;0)</f>
        <v>0</v>
      </c>
      <c r="S22" s="14" cm="1">
        <f t="array" ref="S22">INT(SUMPRODUCT(--ISNUMBER(SEARCH(immigration,C22)))&gt;0)</f>
        <v>0</v>
      </c>
      <c r="T22" s="14" cm="1">
        <f t="array" ref="T22">INT(SUMPRODUCT(--ISNUMBER(SEARCH(econineq,C22)))&gt;0)</f>
        <v>0</v>
      </c>
      <c r="U22" s="14" cm="1">
        <f t="array" ref="U22">INT(SUMPRODUCT(--ISNUMBER(SEARCH(climate,'Mark Kelly'!C22)))&gt;0)</f>
        <v>0</v>
      </c>
      <c r="V22" s="14" cm="1">
        <f t="array" ref="V22">INT(SUMPRODUCT(--ISNUMBER(SEARCH(abortion,'Mark Kelly'!C22)))&gt;0)</f>
        <v>0</v>
      </c>
      <c r="W22" s="14" cm="1">
        <f t="array" ref="W22">INT(SUMPRODUCT(--ISNUMBER(SEARCH(trump,'Mark Kelly'!C22)))&gt;0)</f>
        <v>0</v>
      </c>
      <c r="X22" s="14" cm="1">
        <f t="array" ref="X22">INT(SUMPRODUCT(--ISNUMBER(SEARCH(voting,'Mark Kelly'!C22)))&gt;0)</f>
        <v>0</v>
      </c>
      <c r="Y22" s="14" cm="1">
        <f t="array" ref="Y22">INT(SUMPRODUCT(--ISNUMBER(SEARCH(democrattrigger,'Mark Kelly'!C22)))&gt;0)</f>
        <v>0</v>
      </c>
      <c r="Z22" s="14" cm="1">
        <f t="array" ref="Z22">INT(SUMPRODUCT(--ISNUMBER(SEARCH(bipartisan,'Mark Kelly'!C22)))&gt;0)</f>
        <v>0</v>
      </c>
      <c r="AA22" s="14">
        <f t="shared" si="0"/>
        <v>1</v>
      </c>
      <c r="AB22" s="14"/>
      <c r="AC22" s="30">
        <v>1</v>
      </c>
      <c r="AD22" s="37">
        <v>0</v>
      </c>
    </row>
    <row r="23" spans="1:30" x14ac:dyDescent="0.25">
      <c r="A23" s="36">
        <v>107</v>
      </c>
      <c r="B23" s="14" t="s">
        <v>246</v>
      </c>
      <c r="C23" s="31" t="s">
        <v>247</v>
      </c>
      <c r="D23" s="17">
        <v>44136</v>
      </c>
      <c r="E23" s="14" t="s">
        <v>30</v>
      </c>
      <c r="F23" s="14">
        <v>1358</v>
      </c>
      <c r="G23" s="14">
        <v>323</v>
      </c>
      <c r="H23" s="14">
        <v>2</v>
      </c>
      <c r="I23" s="14">
        <v>1</v>
      </c>
      <c r="J23" s="14" t="s">
        <v>204</v>
      </c>
      <c r="K23" s="14" cm="1">
        <f t="array" ref="K23">INT(SUMPRODUCT(--ISNUMBER(SEARCH(economy,'Mark Kelly'!C23)))&gt;0)</f>
        <v>0</v>
      </c>
      <c r="L23" s="14" cm="1">
        <f t="array" ref="L23">INT(SUMPRODUCT(--ISNUMBER(SEARCH(healthcare,'Mark Kelly'!C23)))&gt;0)</f>
        <v>0</v>
      </c>
      <c r="M23" s="14" cm="1">
        <f t="array" ref="M23">INT(SUMPRODUCT(--ISNUMBER(SEARCH(supreme,'Mark Kelly'!C23)))&gt;0)</f>
        <v>0</v>
      </c>
      <c r="N23" s="14" cm="1">
        <f t="array" ref="N23">INT(SUMPRODUCT(--ISNUMBER(SEARCH(covid,'Mark Kelly'!C23)))&gt;0)</f>
        <v>0</v>
      </c>
      <c r="O23" s="14" cm="1">
        <f t="array" ref="O23">INT(SUMPRODUCT(--ISNUMBER(SEARCH(violent,'Mark Kelly'!C23)))&gt;0)</f>
        <v>0</v>
      </c>
      <c r="P23" s="14" cm="1">
        <f t="array" ref="P23">INT(SUMPRODUCT(--ISNUMBER(SEARCH(foreign,'Mark Kelly'!C23)))&gt;0)</f>
        <v>0</v>
      </c>
      <c r="Q23" s="14" cm="1">
        <f t="array" ref="Q23">INT(SUMPRODUCT(--ISNUMBER(SEARCH(gun,'Mark Kelly'!C23)))&gt;0)</f>
        <v>0</v>
      </c>
      <c r="R23" s="14" cm="1">
        <f t="array" ref="R23">INT(SUMPRODUCT(--ISNUMBER(SEARCH(race,'Mark Kelly'!C23)))&gt;0)</f>
        <v>0</v>
      </c>
      <c r="S23" s="14" cm="1">
        <f t="array" ref="S23">INT(SUMPRODUCT(--ISNUMBER(SEARCH(immigration,C23)))&gt;0)</f>
        <v>0</v>
      </c>
      <c r="T23" s="14" cm="1">
        <f t="array" ref="T23">INT(SUMPRODUCT(--ISNUMBER(SEARCH(econineq,C23)))&gt;0)</f>
        <v>0</v>
      </c>
      <c r="U23" s="14" cm="1">
        <f t="array" ref="U23">INT(SUMPRODUCT(--ISNUMBER(SEARCH(climate,'Mark Kelly'!C23)))&gt;0)</f>
        <v>0</v>
      </c>
      <c r="V23" s="14" cm="1">
        <f t="array" ref="V23">INT(SUMPRODUCT(--ISNUMBER(SEARCH(abortion,'Mark Kelly'!C23)))&gt;0)</f>
        <v>0</v>
      </c>
      <c r="W23" s="14" cm="1">
        <f t="array" ref="W23">INT(SUMPRODUCT(--ISNUMBER(SEARCH(trump,'Mark Kelly'!C23)))&gt;0)</f>
        <v>0</v>
      </c>
      <c r="X23" s="14" cm="1">
        <f t="array" ref="X23">INT(SUMPRODUCT(--ISNUMBER(SEARCH(voting,'Mark Kelly'!C23)))&gt;0)</f>
        <v>1</v>
      </c>
      <c r="Y23" s="14" cm="1">
        <f t="array" ref="Y23">INT(SUMPRODUCT(--ISNUMBER(SEARCH(democrattrigger,'Mark Kelly'!C23)))&gt;0)</f>
        <v>0</v>
      </c>
      <c r="Z23" s="14" cm="1">
        <f t="array" ref="Z23">INT(SUMPRODUCT(--ISNUMBER(SEARCH(bipartisan,'Mark Kelly'!C23)))&gt;0)</f>
        <v>0</v>
      </c>
      <c r="AA23" s="14">
        <f t="shared" si="0"/>
        <v>0</v>
      </c>
      <c r="AB23" s="14"/>
      <c r="AC23" s="30">
        <v>0</v>
      </c>
      <c r="AD23" s="37">
        <v>1</v>
      </c>
    </row>
    <row r="24" spans="1:30" x14ac:dyDescent="0.25">
      <c r="A24" s="36">
        <v>108</v>
      </c>
      <c r="B24" s="14" t="s">
        <v>248</v>
      </c>
      <c r="C24" s="31" t="s">
        <v>249</v>
      </c>
      <c r="D24" s="17">
        <v>44136</v>
      </c>
      <c r="E24" s="14" t="s">
        <v>30</v>
      </c>
      <c r="F24" s="14">
        <v>1308</v>
      </c>
      <c r="G24" s="14">
        <v>242</v>
      </c>
      <c r="H24" s="14">
        <v>2</v>
      </c>
      <c r="I24" s="14">
        <v>1</v>
      </c>
      <c r="J24" s="14" t="s">
        <v>204</v>
      </c>
      <c r="K24" s="14" cm="1">
        <f t="array" ref="K24">INT(SUMPRODUCT(--ISNUMBER(SEARCH(economy,'Mark Kelly'!C24)))&gt;0)</f>
        <v>0</v>
      </c>
      <c r="L24" s="14" cm="1">
        <f t="array" ref="L24">INT(SUMPRODUCT(--ISNUMBER(SEARCH(healthcare,'Mark Kelly'!C24)))&gt;0)</f>
        <v>0</v>
      </c>
      <c r="M24" s="14" cm="1">
        <f t="array" ref="M24">INT(SUMPRODUCT(--ISNUMBER(SEARCH(supreme,'Mark Kelly'!C24)))&gt;0)</f>
        <v>0</v>
      </c>
      <c r="N24" s="14" cm="1">
        <f t="array" ref="N24">INT(SUMPRODUCT(--ISNUMBER(SEARCH(covid,'Mark Kelly'!C24)))&gt;0)</f>
        <v>0</v>
      </c>
      <c r="O24" s="14" cm="1">
        <f t="array" ref="O24">INT(SUMPRODUCT(--ISNUMBER(SEARCH(violent,'Mark Kelly'!C24)))&gt;0)</f>
        <v>0</v>
      </c>
      <c r="P24" s="14" cm="1">
        <f t="array" ref="P24">INT(SUMPRODUCT(--ISNUMBER(SEARCH(foreign,'Mark Kelly'!C24)))&gt;0)</f>
        <v>0</v>
      </c>
      <c r="Q24" s="14" cm="1">
        <f t="array" ref="Q24">INT(SUMPRODUCT(--ISNUMBER(SEARCH(gun,'Mark Kelly'!C24)))&gt;0)</f>
        <v>0</v>
      </c>
      <c r="R24" s="14" cm="1">
        <f t="array" ref="R24">INT(SUMPRODUCT(--ISNUMBER(SEARCH(race,'Mark Kelly'!C24)))&gt;0)</f>
        <v>0</v>
      </c>
      <c r="S24" s="14" cm="1">
        <f t="array" ref="S24">INT(SUMPRODUCT(--ISNUMBER(SEARCH(immigration,C24)))&gt;0)</f>
        <v>0</v>
      </c>
      <c r="T24" s="14" cm="1">
        <f t="array" ref="T24">INT(SUMPRODUCT(--ISNUMBER(SEARCH(econineq,C24)))&gt;0)</f>
        <v>0</v>
      </c>
      <c r="U24" s="14" cm="1">
        <f t="array" ref="U24">INT(SUMPRODUCT(--ISNUMBER(SEARCH(climate,'Mark Kelly'!C24)))&gt;0)</f>
        <v>0</v>
      </c>
      <c r="V24" s="14" cm="1">
        <f t="array" ref="V24">INT(SUMPRODUCT(--ISNUMBER(SEARCH(abortion,'Mark Kelly'!C24)))&gt;0)</f>
        <v>0</v>
      </c>
      <c r="W24" s="14" cm="1">
        <f t="array" ref="W24">INT(SUMPRODUCT(--ISNUMBER(SEARCH(trump,'Mark Kelly'!C24)))&gt;0)</f>
        <v>0</v>
      </c>
      <c r="X24" s="14" cm="1">
        <f t="array" ref="X24">INT(SUMPRODUCT(--ISNUMBER(SEARCH(voting,'Mark Kelly'!C24)))&gt;0)</f>
        <v>1</v>
      </c>
      <c r="Y24" s="14" cm="1">
        <f t="array" ref="Y24">INT(SUMPRODUCT(--ISNUMBER(SEARCH(democrattrigger,'Mark Kelly'!C24)))&gt;0)</f>
        <v>0</v>
      </c>
      <c r="Z24" s="14" cm="1">
        <f t="array" ref="Z24">INT(SUMPRODUCT(--ISNUMBER(SEARCH(bipartisan,'Mark Kelly'!C24)))&gt;0)</f>
        <v>0</v>
      </c>
      <c r="AA24" s="14">
        <f t="shared" si="0"/>
        <v>0</v>
      </c>
      <c r="AB24" s="14"/>
      <c r="AC24" s="30">
        <v>1</v>
      </c>
      <c r="AD24" s="37">
        <v>0</v>
      </c>
    </row>
    <row r="25" spans="1:30" x14ac:dyDescent="0.25">
      <c r="A25" s="36">
        <v>109</v>
      </c>
      <c r="B25" s="14" t="s">
        <v>250</v>
      </c>
      <c r="C25" s="31" t="s">
        <v>251</v>
      </c>
      <c r="D25" s="17">
        <v>44136</v>
      </c>
      <c r="E25" s="14" t="s">
        <v>30</v>
      </c>
      <c r="F25" s="14">
        <v>7330</v>
      </c>
      <c r="G25" s="14">
        <v>953</v>
      </c>
      <c r="H25" s="14">
        <v>2</v>
      </c>
      <c r="I25" s="14">
        <v>1</v>
      </c>
      <c r="J25" s="14" t="s">
        <v>204</v>
      </c>
      <c r="K25" s="14" cm="1">
        <f t="array" ref="K25">INT(SUMPRODUCT(--ISNUMBER(SEARCH(economy,'Mark Kelly'!C25)))&gt;0)</f>
        <v>0</v>
      </c>
      <c r="L25" s="14" cm="1">
        <f t="array" ref="L25">INT(SUMPRODUCT(--ISNUMBER(SEARCH(healthcare,'Mark Kelly'!C25)))&gt;0)</f>
        <v>1</v>
      </c>
      <c r="M25" s="14" cm="1">
        <f t="array" ref="M25">INT(SUMPRODUCT(--ISNUMBER(SEARCH(supreme,'Mark Kelly'!C25)))&gt;0)</f>
        <v>0</v>
      </c>
      <c r="N25" s="14" cm="1">
        <f t="array" ref="N25">INT(SUMPRODUCT(--ISNUMBER(SEARCH(covid,'Mark Kelly'!C25)))&gt;0)</f>
        <v>0</v>
      </c>
      <c r="O25" s="14" cm="1">
        <f t="array" ref="O25">INT(SUMPRODUCT(--ISNUMBER(SEARCH(violent,'Mark Kelly'!C25)))&gt;0)</f>
        <v>0</v>
      </c>
      <c r="P25" s="14" cm="1">
        <f t="array" ref="P25">INT(SUMPRODUCT(--ISNUMBER(SEARCH(foreign,'Mark Kelly'!C25)))&gt;0)</f>
        <v>0</v>
      </c>
      <c r="Q25" s="14" cm="1">
        <f t="array" ref="Q25">INT(SUMPRODUCT(--ISNUMBER(SEARCH(gun,'Mark Kelly'!C25)))&gt;0)</f>
        <v>0</v>
      </c>
      <c r="R25" s="14" cm="1">
        <f t="array" ref="R25">INT(SUMPRODUCT(--ISNUMBER(SEARCH(race,'Mark Kelly'!C25)))&gt;0)</f>
        <v>0</v>
      </c>
      <c r="S25" s="14" cm="1">
        <f t="array" ref="S25">INT(SUMPRODUCT(--ISNUMBER(SEARCH(immigration,C25)))&gt;0)</f>
        <v>0</v>
      </c>
      <c r="T25" s="14" cm="1">
        <f t="array" ref="T25">INT(SUMPRODUCT(--ISNUMBER(SEARCH(econineq,C25)))&gt;0)</f>
        <v>0</v>
      </c>
      <c r="U25" s="14" cm="1">
        <f t="array" ref="U25">INT(SUMPRODUCT(--ISNUMBER(SEARCH(climate,'Mark Kelly'!C25)))&gt;0)</f>
        <v>0</v>
      </c>
      <c r="V25" s="14" cm="1">
        <f t="array" ref="V25">INT(SUMPRODUCT(--ISNUMBER(SEARCH(abortion,'Mark Kelly'!C25)))&gt;0)</f>
        <v>0</v>
      </c>
      <c r="W25" s="14" cm="1">
        <f t="array" ref="W25">INT(SUMPRODUCT(--ISNUMBER(SEARCH(trump,'Mark Kelly'!C25)))&gt;0)</f>
        <v>0</v>
      </c>
      <c r="X25" s="14" cm="1">
        <f t="array" ref="X25">INT(SUMPRODUCT(--ISNUMBER(SEARCH(voting,'Mark Kelly'!C25)))&gt;0)</f>
        <v>0</v>
      </c>
      <c r="Y25" s="14" cm="1">
        <f t="array" ref="Y25">INT(SUMPRODUCT(--ISNUMBER(SEARCH(democrattrigger,'Mark Kelly'!C25)))&gt;0)</f>
        <v>0</v>
      </c>
      <c r="Z25" s="14" cm="1">
        <f t="array" ref="Z25">INT(SUMPRODUCT(--ISNUMBER(SEARCH(bipartisan,'Mark Kelly'!C25)))&gt;0)</f>
        <v>0</v>
      </c>
      <c r="AA25" s="14">
        <f t="shared" si="0"/>
        <v>0</v>
      </c>
      <c r="AB25" s="14"/>
      <c r="AC25" s="30">
        <v>1</v>
      </c>
      <c r="AD25" s="37">
        <v>0</v>
      </c>
    </row>
    <row r="26" spans="1:30" x14ac:dyDescent="0.25">
      <c r="A26" s="36">
        <v>110</v>
      </c>
      <c r="B26" s="14" t="s">
        <v>252</v>
      </c>
      <c r="C26" s="31" t="s">
        <v>253</v>
      </c>
      <c r="D26" s="17">
        <v>44136</v>
      </c>
      <c r="E26" s="14" t="s">
        <v>30</v>
      </c>
      <c r="F26" s="14">
        <v>559</v>
      </c>
      <c r="G26" s="14">
        <v>155</v>
      </c>
      <c r="H26" s="14">
        <v>2</v>
      </c>
      <c r="I26" s="14">
        <v>1</v>
      </c>
      <c r="J26" s="14" t="s">
        <v>204</v>
      </c>
      <c r="K26" s="14" cm="1">
        <f t="array" ref="K26">INT(SUMPRODUCT(--ISNUMBER(SEARCH(economy,'Mark Kelly'!C26)))&gt;0)</f>
        <v>0</v>
      </c>
      <c r="L26" s="14" cm="1">
        <f t="array" ref="L26">INT(SUMPRODUCT(--ISNUMBER(SEARCH(healthcare,'Mark Kelly'!C26)))&gt;0)</f>
        <v>0</v>
      </c>
      <c r="M26" s="14" cm="1">
        <f t="array" ref="M26">INT(SUMPRODUCT(--ISNUMBER(SEARCH(supreme,'Mark Kelly'!C26)))&gt;0)</f>
        <v>0</v>
      </c>
      <c r="N26" s="14" cm="1">
        <f t="array" ref="N26">INT(SUMPRODUCT(--ISNUMBER(SEARCH(covid,'Mark Kelly'!C26)))&gt;0)</f>
        <v>0</v>
      </c>
      <c r="O26" s="14" cm="1">
        <f t="array" ref="O26">INT(SUMPRODUCT(--ISNUMBER(SEARCH(violent,'Mark Kelly'!C26)))&gt;0)</f>
        <v>0</v>
      </c>
      <c r="P26" s="14" cm="1">
        <f t="array" ref="P26">INT(SUMPRODUCT(--ISNUMBER(SEARCH(foreign,'Mark Kelly'!C26)))&gt;0)</f>
        <v>0</v>
      </c>
      <c r="Q26" s="14" cm="1">
        <f t="array" ref="Q26">INT(SUMPRODUCT(--ISNUMBER(SEARCH(gun,'Mark Kelly'!C26)))&gt;0)</f>
        <v>0</v>
      </c>
      <c r="R26" s="14" cm="1">
        <f t="array" ref="R26">INT(SUMPRODUCT(--ISNUMBER(SEARCH(race,'Mark Kelly'!C26)))&gt;0)</f>
        <v>0</v>
      </c>
      <c r="S26" s="14" cm="1">
        <f t="array" ref="S26">INT(SUMPRODUCT(--ISNUMBER(SEARCH(immigration,C26)))&gt;0)</f>
        <v>0</v>
      </c>
      <c r="T26" s="14" cm="1">
        <f t="array" ref="T26">INT(SUMPRODUCT(--ISNUMBER(SEARCH(econineq,C26)))&gt;0)</f>
        <v>0</v>
      </c>
      <c r="U26" s="14" cm="1">
        <f t="array" ref="U26">INT(SUMPRODUCT(--ISNUMBER(SEARCH(climate,'Mark Kelly'!C26)))&gt;0)</f>
        <v>0</v>
      </c>
      <c r="V26" s="14" cm="1">
        <f t="array" ref="V26">INT(SUMPRODUCT(--ISNUMBER(SEARCH(abortion,'Mark Kelly'!C26)))&gt;0)</f>
        <v>0</v>
      </c>
      <c r="W26" s="14" cm="1">
        <f t="array" ref="W26">INT(SUMPRODUCT(--ISNUMBER(SEARCH(trump,'Mark Kelly'!C26)))&gt;0)</f>
        <v>0</v>
      </c>
      <c r="X26" s="14" cm="1">
        <f t="array" ref="X26">INT(SUMPRODUCT(--ISNUMBER(SEARCH(voting,'Mark Kelly'!C26)))&gt;0)</f>
        <v>0</v>
      </c>
      <c r="Y26" s="14" cm="1">
        <f t="array" ref="Y26">INT(SUMPRODUCT(--ISNUMBER(SEARCH(democrattrigger,'Mark Kelly'!C26)))&gt;0)</f>
        <v>0</v>
      </c>
      <c r="Z26" s="14" cm="1">
        <f t="array" ref="Z26">INT(SUMPRODUCT(--ISNUMBER(SEARCH(bipartisan,'Mark Kelly'!C26)))&gt;0)</f>
        <v>1</v>
      </c>
      <c r="AA26" s="14">
        <f t="shared" si="0"/>
        <v>0</v>
      </c>
      <c r="AB26" s="14"/>
      <c r="AC26" s="30" t="s">
        <v>223</v>
      </c>
      <c r="AD26" s="37">
        <v>0</v>
      </c>
    </row>
    <row r="27" spans="1:30" x14ac:dyDescent="0.25">
      <c r="A27" s="36">
        <v>111</v>
      </c>
      <c r="B27" s="14" t="s">
        <v>254</v>
      </c>
      <c r="C27" s="31" t="s">
        <v>255</v>
      </c>
      <c r="D27" s="17">
        <v>44136</v>
      </c>
      <c r="E27" s="14" t="s">
        <v>30</v>
      </c>
      <c r="F27" s="14">
        <v>1718</v>
      </c>
      <c r="G27" s="14">
        <v>287</v>
      </c>
      <c r="H27" s="14">
        <v>2</v>
      </c>
      <c r="I27" s="14">
        <v>1</v>
      </c>
      <c r="J27" s="14" t="s">
        <v>204</v>
      </c>
      <c r="K27" s="14" cm="1">
        <f t="array" ref="K27">INT(SUMPRODUCT(--ISNUMBER(SEARCH(economy,'Mark Kelly'!C27)))&gt;0)</f>
        <v>0</v>
      </c>
      <c r="L27" s="14" cm="1">
        <f t="array" ref="L27">INT(SUMPRODUCT(--ISNUMBER(SEARCH(healthcare,'Mark Kelly'!C27)))&gt;0)</f>
        <v>0</v>
      </c>
      <c r="M27" s="14" cm="1">
        <f t="array" ref="M27">INT(SUMPRODUCT(--ISNUMBER(SEARCH(supreme,'Mark Kelly'!C27)))&gt;0)</f>
        <v>0</v>
      </c>
      <c r="N27" s="14" cm="1">
        <f t="array" ref="N27">INT(SUMPRODUCT(--ISNUMBER(SEARCH(covid,'Mark Kelly'!C27)))&gt;0)</f>
        <v>0</v>
      </c>
      <c r="O27" s="14" cm="1">
        <f t="array" ref="O27">INT(SUMPRODUCT(--ISNUMBER(SEARCH(violent,'Mark Kelly'!C27)))&gt;0)</f>
        <v>0</v>
      </c>
      <c r="P27" s="14" cm="1">
        <f t="array" ref="P27">INT(SUMPRODUCT(--ISNUMBER(SEARCH(foreign,'Mark Kelly'!C27)))&gt;0)</f>
        <v>0</v>
      </c>
      <c r="Q27" s="14" cm="1">
        <f t="array" ref="Q27">INT(SUMPRODUCT(--ISNUMBER(SEARCH(gun,'Mark Kelly'!C27)))&gt;0)</f>
        <v>0</v>
      </c>
      <c r="R27" s="14" cm="1">
        <f t="array" ref="R27">INT(SUMPRODUCT(--ISNUMBER(SEARCH(race,'Mark Kelly'!C27)))&gt;0)</f>
        <v>0</v>
      </c>
      <c r="S27" s="14" cm="1">
        <f t="array" ref="S27">INT(SUMPRODUCT(--ISNUMBER(SEARCH(immigration,C27)))&gt;0)</f>
        <v>0</v>
      </c>
      <c r="T27" s="14" cm="1">
        <f t="array" ref="T27">INT(SUMPRODUCT(--ISNUMBER(SEARCH(econineq,C27)))&gt;0)</f>
        <v>0</v>
      </c>
      <c r="U27" s="14" cm="1">
        <f t="array" ref="U27">INT(SUMPRODUCT(--ISNUMBER(SEARCH(climate,'Mark Kelly'!C27)))&gt;0)</f>
        <v>0</v>
      </c>
      <c r="V27" s="14" cm="1">
        <f t="array" ref="V27">INT(SUMPRODUCT(--ISNUMBER(SEARCH(abortion,'Mark Kelly'!C27)))&gt;0)</f>
        <v>0</v>
      </c>
      <c r="W27" s="14" cm="1">
        <f t="array" ref="W27">INT(SUMPRODUCT(--ISNUMBER(SEARCH(trump,'Mark Kelly'!C27)))&gt;0)</f>
        <v>0</v>
      </c>
      <c r="X27" s="14" cm="1">
        <f t="array" ref="X27">INT(SUMPRODUCT(--ISNUMBER(SEARCH(voting,'Mark Kelly'!C27)))&gt;0)</f>
        <v>1</v>
      </c>
      <c r="Y27" s="14" cm="1">
        <f t="array" ref="Y27">INT(SUMPRODUCT(--ISNUMBER(SEARCH(democrattrigger,'Mark Kelly'!C27)))&gt;0)</f>
        <v>0</v>
      </c>
      <c r="Z27" s="14" cm="1">
        <f t="array" ref="Z27">INT(SUMPRODUCT(--ISNUMBER(SEARCH(bipartisan,'Mark Kelly'!C27)))&gt;0)</f>
        <v>0</v>
      </c>
      <c r="AA27" s="14">
        <f t="shared" si="0"/>
        <v>0</v>
      </c>
      <c r="AB27" s="14"/>
      <c r="AC27" s="30">
        <v>0</v>
      </c>
      <c r="AD27" s="37">
        <v>1</v>
      </c>
    </row>
    <row r="28" spans="1:30" x14ac:dyDescent="0.25">
      <c r="A28" s="36">
        <v>112</v>
      </c>
      <c r="B28" s="14" t="s">
        <v>256</v>
      </c>
      <c r="C28" s="31" t="s">
        <v>257</v>
      </c>
      <c r="D28" s="17">
        <v>44136</v>
      </c>
      <c r="E28" s="14" t="s">
        <v>30</v>
      </c>
      <c r="F28" s="14">
        <v>767</v>
      </c>
      <c r="G28" s="14">
        <v>150</v>
      </c>
      <c r="H28" s="14">
        <v>2</v>
      </c>
      <c r="I28" s="14">
        <v>1</v>
      </c>
      <c r="J28" s="14" t="s">
        <v>204</v>
      </c>
      <c r="K28" s="14" cm="1">
        <f t="array" ref="K28">INT(SUMPRODUCT(--ISNUMBER(SEARCH(economy,'Mark Kelly'!C28)))&gt;0)</f>
        <v>0</v>
      </c>
      <c r="L28" s="14" cm="1">
        <f t="array" ref="L28">INT(SUMPRODUCT(--ISNUMBER(SEARCH(healthcare,'Mark Kelly'!C28)))&gt;0)</f>
        <v>0</v>
      </c>
      <c r="M28" s="14" cm="1">
        <f t="array" ref="M28">INT(SUMPRODUCT(--ISNUMBER(SEARCH(supreme,'Mark Kelly'!C28)))&gt;0)</f>
        <v>0</v>
      </c>
      <c r="N28" s="14" cm="1">
        <f t="array" ref="N28">INT(SUMPRODUCT(--ISNUMBER(SEARCH(covid,'Mark Kelly'!C28)))&gt;0)</f>
        <v>1</v>
      </c>
      <c r="O28" s="14" cm="1">
        <f t="array" ref="O28">INT(SUMPRODUCT(--ISNUMBER(SEARCH(violent,'Mark Kelly'!C28)))&gt;0)</f>
        <v>0</v>
      </c>
      <c r="P28" s="14" cm="1">
        <f t="array" ref="P28">INT(SUMPRODUCT(--ISNUMBER(SEARCH(foreign,'Mark Kelly'!C28)))&gt;0)</f>
        <v>0</v>
      </c>
      <c r="Q28" s="14" cm="1">
        <f t="array" ref="Q28">INT(SUMPRODUCT(--ISNUMBER(SEARCH(gun,'Mark Kelly'!C28)))&gt;0)</f>
        <v>0</v>
      </c>
      <c r="R28" s="14" cm="1">
        <f t="array" ref="R28">INT(SUMPRODUCT(--ISNUMBER(SEARCH(race,'Mark Kelly'!C28)))&gt;0)</f>
        <v>0</v>
      </c>
      <c r="S28" s="14" cm="1">
        <f t="array" ref="S28">INT(SUMPRODUCT(--ISNUMBER(SEARCH(immigration,C28)))&gt;0)</f>
        <v>0</v>
      </c>
      <c r="T28" s="14" cm="1">
        <f t="array" ref="T28">INT(SUMPRODUCT(--ISNUMBER(SEARCH(econineq,C28)))&gt;0)</f>
        <v>0</v>
      </c>
      <c r="U28" s="14" cm="1">
        <f t="array" ref="U28">INT(SUMPRODUCT(--ISNUMBER(SEARCH(climate,'Mark Kelly'!C28)))&gt;0)</f>
        <v>0</v>
      </c>
      <c r="V28" s="14" cm="1">
        <f t="array" ref="V28">INT(SUMPRODUCT(--ISNUMBER(SEARCH(abortion,'Mark Kelly'!C28)))&gt;0)</f>
        <v>0</v>
      </c>
      <c r="W28" s="14" cm="1">
        <f t="array" ref="W28">INT(SUMPRODUCT(--ISNUMBER(SEARCH(trump,'Mark Kelly'!C28)))&gt;0)</f>
        <v>0</v>
      </c>
      <c r="X28" s="14" cm="1">
        <f t="array" ref="X28">INT(SUMPRODUCT(--ISNUMBER(SEARCH(voting,'Mark Kelly'!C28)))&gt;0)</f>
        <v>0</v>
      </c>
      <c r="Y28" s="14" cm="1">
        <f t="array" ref="Y28">INT(SUMPRODUCT(--ISNUMBER(SEARCH(democrattrigger,'Mark Kelly'!C28)))&gt;0)</f>
        <v>0</v>
      </c>
      <c r="Z28" s="14" cm="1">
        <f t="array" ref="Z28">INT(SUMPRODUCT(--ISNUMBER(SEARCH(bipartisan,'Mark Kelly'!C28)))&gt;0)</f>
        <v>0</v>
      </c>
      <c r="AA28" s="14">
        <f t="shared" si="0"/>
        <v>0</v>
      </c>
      <c r="AB28" s="14"/>
      <c r="AC28" s="30" t="s">
        <v>223</v>
      </c>
      <c r="AD28" s="37">
        <v>0</v>
      </c>
    </row>
    <row r="29" spans="1:30" x14ac:dyDescent="0.25">
      <c r="A29" s="36">
        <v>113</v>
      </c>
      <c r="B29" s="14" t="s">
        <v>258</v>
      </c>
      <c r="C29" s="31" t="s">
        <v>259</v>
      </c>
      <c r="D29" s="17">
        <v>44136</v>
      </c>
      <c r="E29" s="14" t="s">
        <v>30</v>
      </c>
      <c r="F29" s="14">
        <v>706</v>
      </c>
      <c r="G29" s="14">
        <v>189</v>
      </c>
      <c r="H29" s="14">
        <v>2</v>
      </c>
      <c r="I29" s="14">
        <v>1</v>
      </c>
      <c r="J29" s="14" t="s">
        <v>204</v>
      </c>
      <c r="K29" s="14" cm="1">
        <f t="array" ref="K29">INT(SUMPRODUCT(--ISNUMBER(SEARCH(economy,'Mark Kelly'!C29)))&gt;0)</f>
        <v>1</v>
      </c>
      <c r="L29" s="14" cm="1">
        <f t="array" ref="L29">INT(SUMPRODUCT(--ISNUMBER(SEARCH(healthcare,'Mark Kelly'!C29)))&gt;0)</f>
        <v>0</v>
      </c>
      <c r="M29" s="14" cm="1">
        <f t="array" ref="M29">INT(SUMPRODUCT(--ISNUMBER(SEARCH(supreme,'Mark Kelly'!C29)))&gt;0)</f>
        <v>0</v>
      </c>
      <c r="N29" s="14" cm="1">
        <f t="array" ref="N29">INT(SUMPRODUCT(--ISNUMBER(SEARCH(covid,'Mark Kelly'!C29)))&gt;0)</f>
        <v>1</v>
      </c>
      <c r="O29" s="14" cm="1">
        <f t="array" ref="O29">INT(SUMPRODUCT(--ISNUMBER(SEARCH(violent,'Mark Kelly'!C29)))&gt;0)</f>
        <v>0</v>
      </c>
      <c r="P29" s="14" cm="1">
        <f t="array" ref="P29">INT(SUMPRODUCT(--ISNUMBER(SEARCH(foreign,'Mark Kelly'!C29)))&gt;0)</f>
        <v>0</v>
      </c>
      <c r="Q29" s="14" cm="1">
        <f t="array" ref="Q29">INT(SUMPRODUCT(--ISNUMBER(SEARCH(gun,'Mark Kelly'!C29)))&gt;0)</f>
        <v>0</v>
      </c>
      <c r="R29" s="14" cm="1">
        <f t="array" ref="R29">INT(SUMPRODUCT(--ISNUMBER(SEARCH(race,'Mark Kelly'!C29)))&gt;0)</f>
        <v>0</v>
      </c>
      <c r="S29" s="14" cm="1">
        <f t="array" ref="S29">INT(SUMPRODUCT(--ISNUMBER(SEARCH(immigration,C29)))&gt;0)</f>
        <v>0</v>
      </c>
      <c r="T29" s="14" cm="1">
        <f t="array" ref="T29">INT(SUMPRODUCT(--ISNUMBER(SEARCH(econineq,C29)))&gt;0)</f>
        <v>0</v>
      </c>
      <c r="U29" s="14" cm="1">
        <f t="array" ref="U29">INT(SUMPRODUCT(--ISNUMBER(SEARCH(climate,'Mark Kelly'!C29)))&gt;0)</f>
        <v>0</v>
      </c>
      <c r="V29" s="14" cm="1">
        <f t="array" ref="V29">INT(SUMPRODUCT(--ISNUMBER(SEARCH(abortion,'Mark Kelly'!C29)))&gt;0)</f>
        <v>0</v>
      </c>
      <c r="W29" s="14" cm="1">
        <f t="array" ref="W29">INT(SUMPRODUCT(--ISNUMBER(SEARCH(trump,'Mark Kelly'!C29)))&gt;0)</f>
        <v>0</v>
      </c>
      <c r="X29" s="14" cm="1">
        <f t="array" ref="X29">INT(SUMPRODUCT(--ISNUMBER(SEARCH(voting,'Mark Kelly'!C29)))&gt;0)</f>
        <v>0</v>
      </c>
      <c r="Y29" s="14" cm="1">
        <f t="array" ref="Y29">INT(SUMPRODUCT(--ISNUMBER(SEARCH(democrattrigger,'Mark Kelly'!C29)))&gt;0)</f>
        <v>0</v>
      </c>
      <c r="Z29" s="14" cm="1">
        <f t="array" ref="Z29">INT(SUMPRODUCT(--ISNUMBER(SEARCH(bipartisan,'Mark Kelly'!C29)))&gt;0)</f>
        <v>0</v>
      </c>
      <c r="AA29" s="14">
        <f t="shared" si="0"/>
        <v>0</v>
      </c>
      <c r="AB29" s="14"/>
      <c r="AC29" s="30">
        <v>0</v>
      </c>
      <c r="AD29" s="37">
        <v>1</v>
      </c>
    </row>
    <row r="30" spans="1:30" x14ac:dyDescent="0.25">
      <c r="A30" s="36">
        <v>114</v>
      </c>
      <c r="B30" s="14" t="s">
        <v>260</v>
      </c>
      <c r="C30" s="31" t="s">
        <v>261</v>
      </c>
      <c r="D30" s="17">
        <v>44135</v>
      </c>
      <c r="E30" s="14" t="s">
        <v>30</v>
      </c>
      <c r="F30" s="14">
        <v>1626</v>
      </c>
      <c r="G30" s="14">
        <v>210</v>
      </c>
      <c r="H30" s="14">
        <v>2</v>
      </c>
      <c r="I30" s="14">
        <v>1</v>
      </c>
      <c r="J30" s="14" t="s">
        <v>204</v>
      </c>
      <c r="K30" s="14" cm="1">
        <f t="array" ref="K30">INT(SUMPRODUCT(--ISNUMBER(SEARCH(economy,'Mark Kelly'!C30)))&gt;0)</f>
        <v>0</v>
      </c>
      <c r="L30" s="14" cm="1">
        <f t="array" ref="L30">INT(SUMPRODUCT(--ISNUMBER(SEARCH(healthcare,'Mark Kelly'!C30)))&gt;0)</f>
        <v>0</v>
      </c>
      <c r="M30" s="14" cm="1">
        <f t="array" ref="M30">INT(SUMPRODUCT(--ISNUMBER(SEARCH(supreme,'Mark Kelly'!C30)))&gt;0)</f>
        <v>0</v>
      </c>
      <c r="N30" s="14" cm="1">
        <f t="array" ref="N30">INT(SUMPRODUCT(--ISNUMBER(SEARCH(covid,'Mark Kelly'!C30)))&gt;0)</f>
        <v>0</v>
      </c>
      <c r="O30" s="14" cm="1">
        <f t="array" ref="O30">INT(SUMPRODUCT(--ISNUMBER(SEARCH(violent,'Mark Kelly'!C30)))&gt;0)</f>
        <v>0</v>
      </c>
      <c r="P30" s="14" cm="1">
        <f t="array" ref="P30">INT(SUMPRODUCT(--ISNUMBER(SEARCH(foreign,'Mark Kelly'!C30)))&gt;0)</f>
        <v>0</v>
      </c>
      <c r="Q30" s="14" cm="1">
        <f t="array" ref="Q30">INT(SUMPRODUCT(--ISNUMBER(SEARCH(gun,'Mark Kelly'!C30)))&gt;0)</f>
        <v>0</v>
      </c>
      <c r="R30" s="14" cm="1">
        <f t="array" ref="R30">INT(SUMPRODUCT(--ISNUMBER(SEARCH(race,'Mark Kelly'!C30)))&gt;0)</f>
        <v>0</v>
      </c>
      <c r="S30" s="14" cm="1">
        <f t="array" ref="S30">INT(SUMPRODUCT(--ISNUMBER(SEARCH(immigration,C30)))&gt;0)</f>
        <v>0</v>
      </c>
      <c r="T30" s="14" cm="1">
        <f t="array" ref="T30">INT(SUMPRODUCT(--ISNUMBER(SEARCH(econineq,C30)))&gt;0)</f>
        <v>0</v>
      </c>
      <c r="U30" s="14" cm="1">
        <f t="array" ref="U30">INT(SUMPRODUCT(--ISNUMBER(SEARCH(climate,'Mark Kelly'!C30)))&gt;0)</f>
        <v>0</v>
      </c>
      <c r="V30" s="14" cm="1">
        <f t="array" ref="V30">INT(SUMPRODUCT(--ISNUMBER(SEARCH(abortion,'Mark Kelly'!C30)))&gt;0)</f>
        <v>0</v>
      </c>
      <c r="W30" s="14" cm="1">
        <f t="array" ref="W30">INT(SUMPRODUCT(--ISNUMBER(SEARCH(trump,'Mark Kelly'!C30)))&gt;0)</f>
        <v>0</v>
      </c>
      <c r="X30" s="14" cm="1">
        <f t="array" ref="X30">INT(SUMPRODUCT(--ISNUMBER(SEARCH(voting,'Mark Kelly'!C30)))&gt;0)</f>
        <v>0</v>
      </c>
      <c r="Y30" s="14" cm="1">
        <f t="array" ref="Y30">INT(SUMPRODUCT(--ISNUMBER(SEARCH(democrattrigger,'Mark Kelly'!C30)))&gt;0)</f>
        <v>0</v>
      </c>
      <c r="Z30" s="14" cm="1">
        <f t="array" ref="Z30">INT(SUMPRODUCT(--ISNUMBER(SEARCH(bipartisan,'Mark Kelly'!C30)))&gt;0)</f>
        <v>0</v>
      </c>
      <c r="AA30" s="14">
        <f t="shared" si="0"/>
        <v>1</v>
      </c>
      <c r="AB30" s="14"/>
      <c r="AC30" s="30">
        <v>1</v>
      </c>
      <c r="AD30" s="37">
        <v>0</v>
      </c>
    </row>
    <row r="31" spans="1:30" x14ac:dyDescent="0.25">
      <c r="A31" s="36">
        <v>115</v>
      </c>
      <c r="B31" s="14" t="s">
        <v>262</v>
      </c>
      <c r="C31" s="31" t="s">
        <v>263</v>
      </c>
      <c r="D31" s="17">
        <v>44135</v>
      </c>
      <c r="E31" s="14" t="s">
        <v>30</v>
      </c>
      <c r="F31" s="14">
        <v>414</v>
      </c>
      <c r="G31" s="14">
        <v>98</v>
      </c>
      <c r="H31" s="14">
        <v>2</v>
      </c>
      <c r="I31" s="14">
        <v>1</v>
      </c>
      <c r="J31" s="14" t="s">
        <v>204</v>
      </c>
      <c r="K31" s="14" cm="1">
        <f t="array" ref="K31">INT(SUMPRODUCT(--ISNUMBER(SEARCH(economy,'Mark Kelly'!C31)))&gt;0)</f>
        <v>1</v>
      </c>
      <c r="L31" s="14" cm="1">
        <f t="array" ref="L31">INT(SUMPRODUCT(--ISNUMBER(SEARCH(healthcare,'Mark Kelly'!C31)))&gt;0)</f>
        <v>0</v>
      </c>
      <c r="M31" s="14" cm="1">
        <f t="array" ref="M31">INT(SUMPRODUCT(--ISNUMBER(SEARCH(supreme,'Mark Kelly'!C31)))&gt;0)</f>
        <v>0</v>
      </c>
      <c r="N31" s="14" cm="1">
        <f t="array" ref="N31">INT(SUMPRODUCT(--ISNUMBER(SEARCH(covid,'Mark Kelly'!C31)))&gt;0)</f>
        <v>1</v>
      </c>
      <c r="O31" s="14" cm="1">
        <f t="array" ref="O31">INT(SUMPRODUCT(--ISNUMBER(SEARCH(violent,'Mark Kelly'!C31)))&gt;0)</f>
        <v>0</v>
      </c>
      <c r="P31" s="14" cm="1">
        <f t="array" ref="P31">INT(SUMPRODUCT(--ISNUMBER(SEARCH(foreign,'Mark Kelly'!C31)))&gt;0)</f>
        <v>0</v>
      </c>
      <c r="Q31" s="14" cm="1">
        <f t="array" ref="Q31">INT(SUMPRODUCT(--ISNUMBER(SEARCH(gun,'Mark Kelly'!C31)))&gt;0)</f>
        <v>0</v>
      </c>
      <c r="R31" s="14" cm="1">
        <f t="array" ref="R31">INT(SUMPRODUCT(--ISNUMBER(SEARCH(race,'Mark Kelly'!C31)))&gt;0)</f>
        <v>0</v>
      </c>
      <c r="S31" s="14" cm="1">
        <f t="array" ref="S31">INT(SUMPRODUCT(--ISNUMBER(SEARCH(immigration,C31)))&gt;0)</f>
        <v>0</v>
      </c>
      <c r="T31" s="14" cm="1">
        <f t="array" ref="T31">INT(SUMPRODUCT(--ISNUMBER(SEARCH(econineq,C31)))&gt;0)</f>
        <v>0</v>
      </c>
      <c r="U31" s="14" cm="1">
        <f t="array" ref="U31">INT(SUMPRODUCT(--ISNUMBER(SEARCH(climate,'Mark Kelly'!C31)))&gt;0)</f>
        <v>0</v>
      </c>
      <c r="V31" s="14" cm="1">
        <f t="array" ref="V31">INT(SUMPRODUCT(--ISNUMBER(SEARCH(abortion,'Mark Kelly'!C31)))&gt;0)</f>
        <v>0</v>
      </c>
      <c r="W31" s="14" cm="1">
        <f t="array" ref="W31">INT(SUMPRODUCT(--ISNUMBER(SEARCH(trump,'Mark Kelly'!C31)))&gt;0)</f>
        <v>0</v>
      </c>
      <c r="X31" s="14" cm="1">
        <f t="array" ref="X31">INT(SUMPRODUCT(--ISNUMBER(SEARCH(voting,'Mark Kelly'!C31)))&gt;0)</f>
        <v>0</v>
      </c>
      <c r="Y31" s="14" cm="1">
        <f t="array" ref="Y31">INT(SUMPRODUCT(--ISNUMBER(SEARCH(democrattrigger,'Mark Kelly'!C31)))&gt;0)</f>
        <v>0</v>
      </c>
      <c r="Z31" s="14" cm="1">
        <f t="array" ref="Z31">INT(SUMPRODUCT(--ISNUMBER(SEARCH(bipartisan,'Mark Kelly'!C31)))&gt;0)</f>
        <v>0</v>
      </c>
      <c r="AA31" s="14">
        <f t="shared" si="0"/>
        <v>0</v>
      </c>
      <c r="AB31" s="14"/>
      <c r="AC31" s="30">
        <v>1</v>
      </c>
      <c r="AD31" s="37">
        <v>0</v>
      </c>
    </row>
    <row r="32" spans="1:30" x14ac:dyDescent="0.25">
      <c r="A32" s="36">
        <v>116</v>
      </c>
      <c r="B32" s="14" t="s">
        <v>264</v>
      </c>
      <c r="C32" s="31" t="s">
        <v>265</v>
      </c>
      <c r="D32" s="17">
        <v>44135</v>
      </c>
      <c r="E32" s="14" t="s">
        <v>30</v>
      </c>
      <c r="F32" s="14">
        <v>1335</v>
      </c>
      <c r="G32" s="14">
        <v>221</v>
      </c>
      <c r="H32" s="14">
        <v>2</v>
      </c>
      <c r="I32" s="14">
        <v>1</v>
      </c>
      <c r="J32" s="14" t="s">
        <v>204</v>
      </c>
      <c r="K32" s="14" cm="1">
        <f t="array" ref="K32">INT(SUMPRODUCT(--ISNUMBER(SEARCH(economy,'Mark Kelly'!C32)))&gt;0)</f>
        <v>0</v>
      </c>
      <c r="L32" s="14" cm="1">
        <f t="array" ref="L32">INT(SUMPRODUCT(--ISNUMBER(SEARCH(healthcare,'Mark Kelly'!C32)))&gt;0)</f>
        <v>0</v>
      </c>
      <c r="M32" s="14" cm="1">
        <f t="array" ref="M32">INT(SUMPRODUCT(--ISNUMBER(SEARCH(supreme,'Mark Kelly'!C32)))&gt;0)</f>
        <v>0</v>
      </c>
      <c r="N32" s="14" cm="1">
        <f t="array" ref="N32">INT(SUMPRODUCT(--ISNUMBER(SEARCH(covid,'Mark Kelly'!C32)))&gt;0)</f>
        <v>0</v>
      </c>
      <c r="O32" s="14" cm="1">
        <f t="array" ref="O32">INT(SUMPRODUCT(--ISNUMBER(SEARCH(violent,'Mark Kelly'!C32)))&gt;0)</f>
        <v>0</v>
      </c>
      <c r="P32" s="14" cm="1">
        <f t="array" ref="P32">INT(SUMPRODUCT(--ISNUMBER(SEARCH(foreign,'Mark Kelly'!C32)))&gt;0)</f>
        <v>0</v>
      </c>
      <c r="Q32" s="14" cm="1">
        <f t="array" ref="Q32">INT(SUMPRODUCT(--ISNUMBER(SEARCH(gun,'Mark Kelly'!C32)))&gt;0)</f>
        <v>0</v>
      </c>
      <c r="R32" s="14" cm="1">
        <f t="array" ref="R32">INT(SUMPRODUCT(--ISNUMBER(SEARCH(race,'Mark Kelly'!C32)))&gt;0)</f>
        <v>0</v>
      </c>
      <c r="S32" s="14" cm="1">
        <f t="array" ref="S32">INT(SUMPRODUCT(--ISNUMBER(SEARCH(immigration,C32)))&gt;0)</f>
        <v>0</v>
      </c>
      <c r="T32" s="14" cm="1">
        <f t="array" ref="T32">INT(SUMPRODUCT(--ISNUMBER(SEARCH(econineq,C32)))&gt;0)</f>
        <v>0</v>
      </c>
      <c r="U32" s="14" cm="1">
        <f t="array" ref="U32">INT(SUMPRODUCT(--ISNUMBER(SEARCH(climate,'Mark Kelly'!C32)))&gt;0)</f>
        <v>0</v>
      </c>
      <c r="V32" s="14" cm="1">
        <f t="array" ref="V32">INT(SUMPRODUCT(--ISNUMBER(SEARCH(abortion,'Mark Kelly'!C32)))&gt;0)</f>
        <v>0</v>
      </c>
      <c r="W32" s="14" cm="1">
        <f t="array" ref="W32">INT(SUMPRODUCT(--ISNUMBER(SEARCH(trump,'Mark Kelly'!C32)))&gt;0)</f>
        <v>0</v>
      </c>
      <c r="X32" s="14" cm="1">
        <f t="array" ref="X32">INT(SUMPRODUCT(--ISNUMBER(SEARCH(voting,'Mark Kelly'!C32)))&gt;0)</f>
        <v>1</v>
      </c>
      <c r="Y32" s="14" cm="1">
        <f t="array" ref="Y32">INT(SUMPRODUCT(--ISNUMBER(SEARCH(democrattrigger,'Mark Kelly'!C32)))&gt;0)</f>
        <v>0</v>
      </c>
      <c r="Z32" s="14" cm="1">
        <f t="array" ref="Z32">INT(SUMPRODUCT(--ISNUMBER(SEARCH(bipartisan,'Mark Kelly'!C32)))&gt;0)</f>
        <v>0</v>
      </c>
      <c r="AA32" s="14">
        <f t="shared" si="0"/>
        <v>0</v>
      </c>
      <c r="AB32" s="14"/>
      <c r="AC32" s="30" t="s">
        <v>223</v>
      </c>
      <c r="AD32" s="37">
        <v>0</v>
      </c>
    </row>
    <row r="33" spans="1:30" x14ac:dyDescent="0.25">
      <c r="A33" s="36">
        <v>117</v>
      </c>
      <c r="B33" s="14" t="s">
        <v>266</v>
      </c>
      <c r="C33" s="31" t="s">
        <v>267</v>
      </c>
      <c r="D33" s="17">
        <v>44135</v>
      </c>
      <c r="E33" s="14" t="s">
        <v>30</v>
      </c>
      <c r="F33" s="14">
        <v>8416</v>
      </c>
      <c r="G33" s="14">
        <v>1704</v>
      </c>
      <c r="H33" s="14">
        <v>2</v>
      </c>
      <c r="I33" s="14">
        <v>1</v>
      </c>
      <c r="J33" s="14" t="s">
        <v>204</v>
      </c>
      <c r="K33" s="14" cm="1">
        <f t="array" ref="K33">INT(SUMPRODUCT(--ISNUMBER(SEARCH(economy,'Mark Kelly'!C33)))&gt;0)</f>
        <v>0</v>
      </c>
      <c r="L33" s="14" cm="1">
        <f t="array" ref="L33">INT(SUMPRODUCT(--ISNUMBER(SEARCH(healthcare,'Mark Kelly'!C33)))&gt;0)</f>
        <v>0</v>
      </c>
      <c r="M33" s="14" cm="1">
        <f t="array" ref="M33">INT(SUMPRODUCT(--ISNUMBER(SEARCH(supreme,'Mark Kelly'!C33)))&gt;0)</f>
        <v>0</v>
      </c>
      <c r="N33" s="14" cm="1">
        <f t="array" ref="N33">INT(SUMPRODUCT(--ISNUMBER(SEARCH(covid,'Mark Kelly'!C33)))&gt;0)</f>
        <v>1</v>
      </c>
      <c r="O33" s="14" cm="1">
        <f t="array" ref="O33">INT(SUMPRODUCT(--ISNUMBER(SEARCH(violent,'Mark Kelly'!C33)))&gt;0)</f>
        <v>0</v>
      </c>
      <c r="P33" s="14" cm="1">
        <f t="array" ref="P33">INT(SUMPRODUCT(--ISNUMBER(SEARCH(foreign,'Mark Kelly'!C33)))&gt;0)</f>
        <v>0</v>
      </c>
      <c r="Q33" s="14" cm="1">
        <f t="array" ref="Q33">INT(SUMPRODUCT(--ISNUMBER(SEARCH(gun,'Mark Kelly'!C33)))&gt;0)</f>
        <v>0</v>
      </c>
      <c r="R33" s="14" cm="1">
        <f t="array" ref="R33">INT(SUMPRODUCT(--ISNUMBER(SEARCH(race,'Mark Kelly'!C33)))&gt;0)</f>
        <v>0</v>
      </c>
      <c r="S33" s="14" cm="1">
        <f t="array" ref="S33">INT(SUMPRODUCT(--ISNUMBER(SEARCH(immigration,C33)))&gt;0)</f>
        <v>0</v>
      </c>
      <c r="T33" s="14" cm="1">
        <f t="array" ref="T33">INT(SUMPRODUCT(--ISNUMBER(SEARCH(econineq,C33)))&gt;0)</f>
        <v>0</v>
      </c>
      <c r="U33" s="14" cm="1">
        <f t="array" ref="U33">INT(SUMPRODUCT(--ISNUMBER(SEARCH(climate,'Mark Kelly'!C33)))&gt;0)</f>
        <v>0</v>
      </c>
      <c r="V33" s="14" cm="1">
        <f t="array" ref="V33">INT(SUMPRODUCT(--ISNUMBER(SEARCH(abortion,'Mark Kelly'!C33)))&gt;0)</f>
        <v>0</v>
      </c>
      <c r="W33" s="14" cm="1">
        <f t="array" ref="W33">INT(SUMPRODUCT(--ISNUMBER(SEARCH(trump,'Mark Kelly'!C33)))&gt;0)</f>
        <v>0</v>
      </c>
      <c r="X33" s="14" cm="1">
        <f t="array" ref="X33">INT(SUMPRODUCT(--ISNUMBER(SEARCH(voting,'Mark Kelly'!C33)))&gt;0)</f>
        <v>1</v>
      </c>
      <c r="Y33" s="14" cm="1">
        <f t="array" ref="Y33">INT(SUMPRODUCT(--ISNUMBER(SEARCH(democrattrigger,'Mark Kelly'!C33)))&gt;0)</f>
        <v>0</v>
      </c>
      <c r="Z33" s="14" cm="1">
        <f t="array" ref="Z33">INT(SUMPRODUCT(--ISNUMBER(SEARCH(bipartisan,'Mark Kelly'!C33)))&gt;0)</f>
        <v>0</v>
      </c>
      <c r="AA33" s="14">
        <f t="shared" si="0"/>
        <v>0</v>
      </c>
      <c r="AB33" s="14"/>
      <c r="AC33" s="30" t="s">
        <v>223</v>
      </c>
      <c r="AD33" s="37">
        <v>0</v>
      </c>
    </row>
    <row r="34" spans="1:30" x14ac:dyDescent="0.25">
      <c r="A34" s="36">
        <v>118</v>
      </c>
      <c r="B34" s="14" t="s">
        <v>268</v>
      </c>
      <c r="C34" s="31" t="s">
        <v>269</v>
      </c>
      <c r="D34" s="17">
        <v>44135</v>
      </c>
      <c r="E34" s="14" t="s">
        <v>30</v>
      </c>
      <c r="F34" s="14">
        <v>830</v>
      </c>
      <c r="G34" s="14">
        <v>219</v>
      </c>
      <c r="H34" s="14">
        <v>2</v>
      </c>
      <c r="I34" s="14">
        <v>1</v>
      </c>
      <c r="J34" s="14" t="s">
        <v>204</v>
      </c>
      <c r="K34" s="14" cm="1">
        <f t="array" ref="K34">INT(SUMPRODUCT(--ISNUMBER(SEARCH(economy,'Mark Kelly'!C34)))&gt;0)</f>
        <v>0</v>
      </c>
      <c r="L34" s="14" cm="1">
        <f t="array" ref="L34">INT(SUMPRODUCT(--ISNUMBER(SEARCH(healthcare,'Mark Kelly'!C34)))&gt;0)</f>
        <v>0</v>
      </c>
      <c r="M34" s="14" cm="1">
        <f t="array" ref="M34">INT(SUMPRODUCT(--ISNUMBER(SEARCH(supreme,'Mark Kelly'!C34)))&gt;0)</f>
        <v>0</v>
      </c>
      <c r="N34" s="14" cm="1">
        <f t="array" ref="N34">INT(SUMPRODUCT(--ISNUMBER(SEARCH(covid,'Mark Kelly'!C34)))&gt;0)</f>
        <v>0</v>
      </c>
      <c r="O34" s="14" cm="1">
        <f t="array" ref="O34">INT(SUMPRODUCT(--ISNUMBER(SEARCH(violent,'Mark Kelly'!C34)))&gt;0)</f>
        <v>0</v>
      </c>
      <c r="P34" s="14" cm="1">
        <f t="array" ref="P34">INT(SUMPRODUCT(--ISNUMBER(SEARCH(foreign,'Mark Kelly'!C34)))&gt;0)</f>
        <v>0</v>
      </c>
      <c r="Q34" s="14" cm="1">
        <f t="array" ref="Q34">INT(SUMPRODUCT(--ISNUMBER(SEARCH(gun,'Mark Kelly'!C34)))&gt;0)</f>
        <v>0</v>
      </c>
      <c r="R34" s="14" cm="1">
        <f t="array" ref="R34">INT(SUMPRODUCT(--ISNUMBER(SEARCH(race,'Mark Kelly'!C34)))&gt;0)</f>
        <v>0</v>
      </c>
      <c r="S34" s="14" cm="1">
        <f t="array" ref="S34">INT(SUMPRODUCT(--ISNUMBER(SEARCH(immigration,C34)))&gt;0)</f>
        <v>0</v>
      </c>
      <c r="T34" s="14" cm="1">
        <f t="array" ref="T34">INT(SUMPRODUCT(--ISNUMBER(SEARCH(econineq,C34)))&gt;0)</f>
        <v>0</v>
      </c>
      <c r="U34" s="14" cm="1">
        <f t="array" ref="U34">INT(SUMPRODUCT(--ISNUMBER(SEARCH(climate,'Mark Kelly'!C34)))&gt;0)</f>
        <v>0</v>
      </c>
      <c r="V34" s="14" cm="1">
        <f t="array" ref="V34">INT(SUMPRODUCT(--ISNUMBER(SEARCH(abortion,'Mark Kelly'!C34)))&gt;0)</f>
        <v>0</v>
      </c>
      <c r="W34" s="14" cm="1">
        <f t="array" ref="W34">INT(SUMPRODUCT(--ISNUMBER(SEARCH(trump,'Mark Kelly'!C34)))&gt;0)</f>
        <v>0</v>
      </c>
      <c r="X34" s="14" cm="1">
        <f t="array" ref="X34">INT(SUMPRODUCT(--ISNUMBER(SEARCH(voting,'Mark Kelly'!C34)))&gt;0)</f>
        <v>0</v>
      </c>
      <c r="Y34" s="14" cm="1">
        <f t="array" ref="Y34">INT(SUMPRODUCT(--ISNUMBER(SEARCH(democrattrigger,'Mark Kelly'!C34)))&gt;0)</f>
        <v>0</v>
      </c>
      <c r="Z34" s="14" cm="1">
        <f t="array" ref="Z34">INT(SUMPRODUCT(--ISNUMBER(SEARCH(bipartisan,'Mark Kelly'!C34)))&gt;0)</f>
        <v>0</v>
      </c>
      <c r="AA34" s="14">
        <f t="shared" si="0"/>
        <v>1</v>
      </c>
      <c r="AB34" s="14"/>
      <c r="AC34" s="30" t="s">
        <v>223</v>
      </c>
      <c r="AD34" s="37">
        <v>0</v>
      </c>
    </row>
    <row r="35" spans="1:30" x14ac:dyDescent="0.25">
      <c r="A35" s="36">
        <v>119</v>
      </c>
      <c r="B35" s="14" t="s">
        <v>270</v>
      </c>
      <c r="C35" s="31" t="s">
        <v>271</v>
      </c>
      <c r="D35" s="17">
        <v>44135</v>
      </c>
      <c r="E35" s="14" t="s">
        <v>30</v>
      </c>
      <c r="F35" s="14">
        <v>623</v>
      </c>
      <c r="G35" s="14">
        <v>126</v>
      </c>
      <c r="H35" s="14">
        <v>2</v>
      </c>
      <c r="I35" s="14">
        <v>1</v>
      </c>
      <c r="J35" s="14" t="s">
        <v>204</v>
      </c>
      <c r="K35" s="14" cm="1">
        <f t="array" ref="K35">INT(SUMPRODUCT(--ISNUMBER(SEARCH(economy,'Mark Kelly'!C35)))&gt;0)</f>
        <v>0</v>
      </c>
      <c r="L35" s="14" cm="1">
        <f t="array" ref="L35">INT(SUMPRODUCT(--ISNUMBER(SEARCH(healthcare,'Mark Kelly'!C35)))&gt;0)</f>
        <v>0</v>
      </c>
      <c r="M35" s="14" cm="1">
        <f t="array" ref="M35">INT(SUMPRODUCT(--ISNUMBER(SEARCH(supreme,'Mark Kelly'!C35)))&gt;0)</f>
        <v>0</v>
      </c>
      <c r="N35" s="14" cm="1">
        <f t="array" ref="N35">INT(SUMPRODUCT(--ISNUMBER(SEARCH(covid,'Mark Kelly'!C35)))&gt;0)</f>
        <v>0</v>
      </c>
      <c r="O35" s="14" cm="1">
        <f t="array" ref="O35">INT(SUMPRODUCT(--ISNUMBER(SEARCH(violent,'Mark Kelly'!C35)))&gt;0)</f>
        <v>0</v>
      </c>
      <c r="P35" s="14" cm="1">
        <f t="array" ref="P35">INT(SUMPRODUCT(--ISNUMBER(SEARCH(foreign,'Mark Kelly'!C35)))&gt;0)</f>
        <v>0</v>
      </c>
      <c r="Q35" s="14" cm="1">
        <f t="array" ref="Q35">INT(SUMPRODUCT(--ISNUMBER(SEARCH(gun,'Mark Kelly'!C35)))&gt;0)</f>
        <v>0</v>
      </c>
      <c r="R35" s="14" cm="1">
        <f t="array" ref="R35">INT(SUMPRODUCT(--ISNUMBER(SEARCH(race,'Mark Kelly'!C35)))&gt;0)</f>
        <v>0</v>
      </c>
      <c r="S35" s="14" cm="1">
        <f t="array" ref="S35">INT(SUMPRODUCT(--ISNUMBER(SEARCH(immigration,C35)))&gt;0)</f>
        <v>0</v>
      </c>
      <c r="T35" s="14" cm="1">
        <f t="array" ref="T35">INT(SUMPRODUCT(--ISNUMBER(SEARCH(econineq,C35)))&gt;0)</f>
        <v>0</v>
      </c>
      <c r="U35" s="14" cm="1">
        <f t="array" ref="U35">INT(SUMPRODUCT(--ISNUMBER(SEARCH(climate,'Mark Kelly'!C35)))&gt;0)</f>
        <v>0</v>
      </c>
      <c r="V35" s="14" cm="1">
        <f t="array" ref="V35">INT(SUMPRODUCT(--ISNUMBER(SEARCH(abortion,'Mark Kelly'!C35)))&gt;0)</f>
        <v>0</v>
      </c>
      <c r="W35" s="14" cm="1">
        <f t="array" ref="W35">INT(SUMPRODUCT(--ISNUMBER(SEARCH(trump,'Mark Kelly'!C35)))&gt;0)</f>
        <v>0</v>
      </c>
      <c r="X35" s="14" cm="1">
        <f t="array" ref="X35">INT(SUMPRODUCT(--ISNUMBER(SEARCH(voting,'Mark Kelly'!C35)))&gt;0)</f>
        <v>1</v>
      </c>
      <c r="Y35" s="14" cm="1">
        <f t="array" ref="Y35">INT(SUMPRODUCT(--ISNUMBER(SEARCH(democrattrigger,'Mark Kelly'!C35)))&gt;0)</f>
        <v>0</v>
      </c>
      <c r="Z35" s="14" cm="1">
        <f t="array" ref="Z35">INT(SUMPRODUCT(--ISNUMBER(SEARCH(bipartisan,'Mark Kelly'!C35)))&gt;0)</f>
        <v>0</v>
      </c>
      <c r="AA35" s="14">
        <f t="shared" si="0"/>
        <v>0</v>
      </c>
      <c r="AB35" s="14"/>
      <c r="AC35" s="30">
        <v>1</v>
      </c>
      <c r="AD35" s="37">
        <v>0</v>
      </c>
    </row>
    <row r="36" spans="1:30" x14ac:dyDescent="0.25">
      <c r="A36" s="36">
        <v>120</v>
      </c>
      <c r="B36" s="14" t="s">
        <v>272</v>
      </c>
      <c r="C36" s="31" t="s">
        <v>273</v>
      </c>
      <c r="D36" s="17">
        <v>44135</v>
      </c>
      <c r="E36" s="14" t="s">
        <v>30</v>
      </c>
      <c r="F36" s="14">
        <v>1063</v>
      </c>
      <c r="G36" s="14">
        <v>304</v>
      </c>
      <c r="H36" s="14">
        <v>2</v>
      </c>
      <c r="I36" s="14">
        <v>1</v>
      </c>
      <c r="J36" s="14" t="s">
        <v>204</v>
      </c>
      <c r="K36" s="14" cm="1">
        <f t="array" ref="K36">INT(SUMPRODUCT(--ISNUMBER(SEARCH(economy,'Mark Kelly'!C36)))&gt;0)</f>
        <v>0</v>
      </c>
      <c r="L36" s="14" cm="1">
        <f t="array" ref="L36">INT(SUMPRODUCT(--ISNUMBER(SEARCH(healthcare,'Mark Kelly'!C36)))&gt;0)</f>
        <v>0</v>
      </c>
      <c r="M36" s="14" cm="1">
        <f t="array" ref="M36">INT(SUMPRODUCT(--ISNUMBER(SEARCH(supreme,'Mark Kelly'!C36)))&gt;0)</f>
        <v>0</v>
      </c>
      <c r="N36" s="14" cm="1">
        <f t="array" ref="N36">INT(SUMPRODUCT(--ISNUMBER(SEARCH(covid,'Mark Kelly'!C36)))&gt;0)</f>
        <v>0</v>
      </c>
      <c r="O36" s="14" cm="1">
        <f t="array" ref="O36">INT(SUMPRODUCT(--ISNUMBER(SEARCH(violent,'Mark Kelly'!C36)))&gt;0)</f>
        <v>0</v>
      </c>
      <c r="P36" s="14" cm="1">
        <f t="array" ref="P36">INT(SUMPRODUCT(--ISNUMBER(SEARCH(foreign,'Mark Kelly'!C36)))&gt;0)</f>
        <v>0</v>
      </c>
      <c r="Q36" s="14" cm="1">
        <f t="array" ref="Q36">INT(SUMPRODUCT(--ISNUMBER(SEARCH(gun,'Mark Kelly'!C36)))&gt;0)</f>
        <v>0</v>
      </c>
      <c r="R36" s="14" cm="1">
        <f t="array" ref="R36">INT(SUMPRODUCT(--ISNUMBER(SEARCH(race,'Mark Kelly'!C36)))&gt;0)</f>
        <v>0</v>
      </c>
      <c r="S36" s="14" cm="1">
        <f t="array" ref="S36">INT(SUMPRODUCT(--ISNUMBER(SEARCH(immigration,C36)))&gt;0)</f>
        <v>0</v>
      </c>
      <c r="T36" s="14" cm="1">
        <f t="array" ref="T36">INT(SUMPRODUCT(--ISNUMBER(SEARCH(econineq,C36)))&gt;0)</f>
        <v>0</v>
      </c>
      <c r="U36" s="14" cm="1">
        <f t="array" ref="U36">INT(SUMPRODUCT(--ISNUMBER(SEARCH(climate,'Mark Kelly'!C36)))&gt;0)</f>
        <v>0</v>
      </c>
      <c r="V36" s="14" cm="1">
        <f t="array" ref="V36">INT(SUMPRODUCT(--ISNUMBER(SEARCH(abortion,'Mark Kelly'!C36)))&gt;0)</f>
        <v>0</v>
      </c>
      <c r="W36" s="14" cm="1">
        <f t="array" ref="W36">INT(SUMPRODUCT(--ISNUMBER(SEARCH(trump,'Mark Kelly'!C36)))&gt;0)</f>
        <v>0</v>
      </c>
      <c r="X36" s="14" cm="1">
        <f t="array" ref="X36">INT(SUMPRODUCT(--ISNUMBER(SEARCH(voting,'Mark Kelly'!C36)))&gt;0)</f>
        <v>1</v>
      </c>
      <c r="Y36" s="14" cm="1">
        <f t="array" ref="Y36">INT(SUMPRODUCT(--ISNUMBER(SEARCH(democrattrigger,'Mark Kelly'!C36)))&gt;0)</f>
        <v>0</v>
      </c>
      <c r="Z36" s="14" cm="1">
        <f t="array" ref="Z36">INT(SUMPRODUCT(--ISNUMBER(SEARCH(bipartisan,'Mark Kelly'!C36)))&gt;0)</f>
        <v>0</v>
      </c>
      <c r="AA36" s="14">
        <f t="shared" si="0"/>
        <v>0</v>
      </c>
      <c r="AB36" s="14"/>
      <c r="AC36" s="30">
        <v>0</v>
      </c>
      <c r="AD36" s="37">
        <v>1</v>
      </c>
    </row>
    <row r="37" spans="1:30" x14ac:dyDescent="0.25">
      <c r="A37" s="36">
        <v>121</v>
      </c>
      <c r="B37" s="14" t="s">
        <v>274</v>
      </c>
      <c r="C37" s="31" t="s">
        <v>275</v>
      </c>
      <c r="D37" s="17">
        <v>44135</v>
      </c>
      <c r="E37" s="14" t="s">
        <v>30</v>
      </c>
      <c r="F37" s="14">
        <v>1184</v>
      </c>
      <c r="G37" s="14">
        <v>217</v>
      </c>
      <c r="H37" s="14">
        <v>2</v>
      </c>
      <c r="I37" s="14">
        <v>1</v>
      </c>
      <c r="J37" s="14" t="s">
        <v>204</v>
      </c>
      <c r="K37" s="14" cm="1">
        <f t="array" ref="K37">INT(SUMPRODUCT(--ISNUMBER(SEARCH(economy,'Mark Kelly'!C37)))&gt;0)</f>
        <v>1</v>
      </c>
      <c r="L37" s="14" cm="1">
        <f t="array" ref="L37">INT(SUMPRODUCT(--ISNUMBER(SEARCH(healthcare,'Mark Kelly'!C37)))&gt;0)</f>
        <v>0</v>
      </c>
      <c r="M37" s="14" cm="1">
        <f t="array" ref="M37">INT(SUMPRODUCT(--ISNUMBER(SEARCH(supreme,'Mark Kelly'!C37)))&gt;0)</f>
        <v>0</v>
      </c>
      <c r="N37" s="14" cm="1">
        <f t="array" ref="N37">INT(SUMPRODUCT(--ISNUMBER(SEARCH(covid,'Mark Kelly'!C37)))&gt;0)</f>
        <v>0</v>
      </c>
      <c r="O37" s="14" cm="1">
        <f t="array" ref="O37">INT(SUMPRODUCT(--ISNUMBER(SEARCH(violent,'Mark Kelly'!C37)))&gt;0)</f>
        <v>0</v>
      </c>
      <c r="P37" s="14" cm="1">
        <f t="array" ref="P37">INT(SUMPRODUCT(--ISNUMBER(SEARCH(foreign,'Mark Kelly'!C37)))&gt;0)</f>
        <v>0</v>
      </c>
      <c r="Q37" s="14" cm="1">
        <f t="array" ref="Q37">INT(SUMPRODUCT(--ISNUMBER(SEARCH(gun,'Mark Kelly'!C37)))&gt;0)</f>
        <v>0</v>
      </c>
      <c r="R37" s="14" cm="1">
        <f t="array" ref="R37">INT(SUMPRODUCT(--ISNUMBER(SEARCH(race,'Mark Kelly'!C37)))&gt;0)</f>
        <v>0</v>
      </c>
      <c r="S37" s="14" cm="1">
        <f t="array" ref="S37">INT(SUMPRODUCT(--ISNUMBER(SEARCH(immigration,C37)))&gt;0)</f>
        <v>0</v>
      </c>
      <c r="T37" s="14" cm="1">
        <f t="array" ref="T37">INT(SUMPRODUCT(--ISNUMBER(SEARCH(econineq,C37)))&gt;0)</f>
        <v>0</v>
      </c>
      <c r="U37" s="14" cm="1">
        <f t="array" ref="U37">INT(SUMPRODUCT(--ISNUMBER(SEARCH(climate,'Mark Kelly'!C37)))&gt;0)</f>
        <v>0</v>
      </c>
      <c r="V37" s="14" cm="1">
        <f t="array" ref="V37">INT(SUMPRODUCT(--ISNUMBER(SEARCH(abortion,'Mark Kelly'!C37)))&gt;0)</f>
        <v>0</v>
      </c>
      <c r="W37" s="14" cm="1">
        <f t="array" ref="W37">INT(SUMPRODUCT(--ISNUMBER(SEARCH(trump,'Mark Kelly'!C37)))&gt;0)</f>
        <v>0</v>
      </c>
      <c r="X37" s="14" cm="1">
        <f t="array" ref="X37">INT(SUMPRODUCT(--ISNUMBER(SEARCH(voting,'Mark Kelly'!C37)))&gt;0)</f>
        <v>0</v>
      </c>
      <c r="Y37" s="14" cm="1">
        <f t="array" ref="Y37">INT(SUMPRODUCT(--ISNUMBER(SEARCH(democrattrigger,'Mark Kelly'!C37)))&gt;0)</f>
        <v>0</v>
      </c>
      <c r="Z37" s="14" cm="1">
        <f t="array" ref="Z37">INT(SUMPRODUCT(--ISNUMBER(SEARCH(bipartisan,'Mark Kelly'!C37)))&gt;0)</f>
        <v>0</v>
      </c>
      <c r="AA37" s="14">
        <f t="shared" si="0"/>
        <v>0</v>
      </c>
      <c r="AB37" s="14"/>
      <c r="AC37" s="30" t="s">
        <v>223</v>
      </c>
      <c r="AD37" s="37">
        <v>0</v>
      </c>
    </row>
    <row r="38" spans="1:30" x14ac:dyDescent="0.25">
      <c r="A38" s="36">
        <v>122</v>
      </c>
      <c r="B38" s="14" t="s">
        <v>276</v>
      </c>
      <c r="C38" s="31" t="s">
        <v>277</v>
      </c>
      <c r="D38" s="17">
        <v>44135</v>
      </c>
      <c r="E38" s="14" t="s">
        <v>30</v>
      </c>
      <c r="F38" s="14">
        <v>859</v>
      </c>
      <c r="G38" s="14">
        <v>189</v>
      </c>
      <c r="H38" s="14">
        <v>2</v>
      </c>
      <c r="I38" s="14">
        <v>1</v>
      </c>
      <c r="J38" s="14" t="s">
        <v>204</v>
      </c>
      <c r="K38" s="14" cm="1">
        <f t="array" ref="K38">INT(SUMPRODUCT(--ISNUMBER(SEARCH(economy,'Mark Kelly'!C38)))&gt;0)</f>
        <v>0</v>
      </c>
      <c r="L38" s="14" cm="1">
        <f t="array" ref="L38">INT(SUMPRODUCT(--ISNUMBER(SEARCH(healthcare,'Mark Kelly'!C38)))&gt;0)</f>
        <v>1</v>
      </c>
      <c r="M38" s="14" cm="1">
        <f t="array" ref="M38">INT(SUMPRODUCT(--ISNUMBER(SEARCH(supreme,'Mark Kelly'!C38)))&gt;0)</f>
        <v>0</v>
      </c>
      <c r="N38" s="14" cm="1">
        <f t="array" ref="N38">INT(SUMPRODUCT(--ISNUMBER(SEARCH(covid,'Mark Kelly'!C38)))&gt;0)</f>
        <v>0</v>
      </c>
      <c r="O38" s="14" cm="1">
        <f t="array" ref="O38">INT(SUMPRODUCT(--ISNUMBER(SEARCH(violent,'Mark Kelly'!C38)))&gt;0)</f>
        <v>0</v>
      </c>
      <c r="P38" s="14" cm="1">
        <f t="array" ref="P38">INT(SUMPRODUCT(--ISNUMBER(SEARCH(foreign,'Mark Kelly'!C38)))&gt;0)</f>
        <v>0</v>
      </c>
      <c r="Q38" s="14" cm="1">
        <f t="array" ref="Q38">INT(SUMPRODUCT(--ISNUMBER(SEARCH(gun,'Mark Kelly'!C38)))&gt;0)</f>
        <v>0</v>
      </c>
      <c r="R38" s="14" cm="1">
        <f t="array" ref="R38">INT(SUMPRODUCT(--ISNUMBER(SEARCH(race,'Mark Kelly'!C38)))&gt;0)</f>
        <v>0</v>
      </c>
      <c r="S38" s="14" cm="1">
        <f t="array" ref="S38">INT(SUMPRODUCT(--ISNUMBER(SEARCH(immigration,C38)))&gt;0)</f>
        <v>0</v>
      </c>
      <c r="T38" s="14" cm="1">
        <f t="array" ref="T38">INT(SUMPRODUCT(--ISNUMBER(SEARCH(econineq,C38)))&gt;0)</f>
        <v>0</v>
      </c>
      <c r="U38" s="14" cm="1">
        <f t="array" ref="U38">INT(SUMPRODUCT(--ISNUMBER(SEARCH(climate,'Mark Kelly'!C38)))&gt;0)</f>
        <v>0</v>
      </c>
      <c r="V38" s="14" cm="1">
        <f t="array" ref="V38">INT(SUMPRODUCT(--ISNUMBER(SEARCH(abortion,'Mark Kelly'!C38)))&gt;0)</f>
        <v>0</v>
      </c>
      <c r="W38" s="14" cm="1">
        <f t="array" ref="W38">INT(SUMPRODUCT(--ISNUMBER(SEARCH(trump,'Mark Kelly'!C38)))&gt;0)</f>
        <v>0</v>
      </c>
      <c r="X38" s="14" cm="1">
        <f t="array" ref="X38">INT(SUMPRODUCT(--ISNUMBER(SEARCH(voting,'Mark Kelly'!C38)))&gt;0)</f>
        <v>0</v>
      </c>
      <c r="Y38" s="14" cm="1">
        <f t="array" ref="Y38">INT(SUMPRODUCT(--ISNUMBER(SEARCH(democrattrigger,'Mark Kelly'!C38)))&gt;0)</f>
        <v>0</v>
      </c>
      <c r="Z38" s="14" cm="1">
        <f t="array" ref="Z38">INT(SUMPRODUCT(--ISNUMBER(SEARCH(bipartisan,'Mark Kelly'!C38)))&gt;0)</f>
        <v>0</v>
      </c>
      <c r="AA38" s="14">
        <f t="shared" si="0"/>
        <v>0</v>
      </c>
      <c r="AB38" s="14"/>
      <c r="AC38" s="30">
        <v>0</v>
      </c>
      <c r="AD38" s="37">
        <v>1</v>
      </c>
    </row>
    <row r="39" spans="1:30" x14ac:dyDescent="0.25">
      <c r="A39" s="36">
        <v>123</v>
      </c>
      <c r="B39" s="14" t="s">
        <v>278</v>
      </c>
      <c r="C39" s="31" t="s">
        <v>279</v>
      </c>
      <c r="D39" s="17">
        <v>44135</v>
      </c>
      <c r="E39" s="14" t="s">
        <v>30</v>
      </c>
      <c r="F39" s="14">
        <v>1006</v>
      </c>
      <c r="G39" s="14">
        <v>184</v>
      </c>
      <c r="H39" s="14">
        <v>2</v>
      </c>
      <c r="I39" s="14">
        <v>1</v>
      </c>
      <c r="J39" s="14" t="s">
        <v>204</v>
      </c>
      <c r="K39" s="14" cm="1">
        <f t="array" ref="K39">INT(SUMPRODUCT(--ISNUMBER(SEARCH(economy,'Mark Kelly'!C39)))&gt;0)</f>
        <v>0</v>
      </c>
      <c r="L39" s="14" cm="1">
        <f t="array" ref="L39">INT(SUMPRODUCT(--ISNUMBER(SEARCH(healthcare,'Mark Kelly'!C39)))&gt;0)</f>
        <v>0</v>
      </c>
      <c r="M39" s="14" cm="1">
        <f t="array" ref="M39">INT(SUMPRODUCT(--ISNUMBER(SEARCH(supreme,'Mark Kelly'!C39)))&gt;0)</f>
        <v>0</v>
      </c>
      <c r="N39" s="14" cm="1">
        <f t="array" ref="N39">INT(SUMPRODUCT(--ISNUMBER(SEARCH(covid,'Mark Kelly'!C39)))&gt;0)</f>
        <v>0</v>
      </c>
      <c r="O39" s="14" cm="1">
        <f t="array" ref="O39">INT(SUMPRODUCT(--ISNUMBER(SEARCH(violent,'Mark Kelly'!C39)))&gt;0)</f>
        <v>0</v>
      </c>
      <c r="P39" s="14" cm="1">
        <f t="array" ref="P39">INT(SUMPRODUCT(--ISNUMBER(SEARCH(foreign,'Mark Kelly'!C39)))&gt;0)</f>
        <v>0</v>
      </c>
      <c r="Q39" s="14" cm="1">
        <f t="array" ref="Q39">INT(SUMPRODUCT(--ISNUMBER(SEARCH(gun,'Mark Kelly'!C39)))&gt;0)</f>
        <v>0</v>
      </c>
      <c r="R39" s="14" cm="1">
        <f t="array" ref="R39">INT(SUMPRODUCT(--ISNUMBER(SEARCH(race,'Mark Kelly'!C39)))&gt;0)</f>
        <v>0</v>
      </c>
      <c r="S39" s="14" cm="1">
        <f t="array" ref="S39">INT(SUMPRODUCT(--ISNUMBER(SEARCH(immigration,C39)))&gt;0)</f>
        <v>0</v>
      </c>
      <c r="T39" s="14" cm="1">
        <f t="array" ref="T39">INT(SUMPRODUCT(--ISNUMBER(SEARCH(econineq,C39)))&gt;0)</f>
        <v>0</v>
      </c>
      <c r="U39" s="14" cm="1">
        <f t="array" ref="U39">INT(SUMPRODUCT(--ISNUMBER(SEARCH(climate,'Mark Kelly'!C39)))&gt;0)</f>
        <v>0</v>
      </c>
      <c r="V39" s="14" cm="1">
        <f t="array" ref="V39">INT(SUMPRODUCT(--ISNUMBER(SEARCH(abortion,'Mark Kelly'!C39)))&gt;0)</f>
        <v>0</v>
      </c>
      <c r="W39" s="14" cm="1">
        <f t="array" ref="W39">INT(SUMPRODUCT(--ISNUMBER(SEARCH(trump,'Mark Kelly'!C39)))&gt;0)</f>
        <v>0</v>
      </c>
      <c r="X39" s="14" cm="1">
        <f t="array" ref="X39">INT(SUMPRODUCT(--ISNUMBER(SEARCH(voting,'Mark Kelly'!C39)))&gt;0)</f>
        <v>1</v>
      </c>
      <c r="Y39" s="14" cm="1">
        <f t="array" ref="Y39">INT(SUMPRODUCT(--ISNUMBER(SEARCH(democrattrigger,'Mark Kelly'!C39)))&gt;0)</f>
        <v>0</v>
      </c>
      <c r="Z39" s="14" cm="1">
        <f t="array" ref="Z39">INT(SUMPRODUCT(--ISNUMBER(SEARCH(bipartisan,'Mark Kelly'!C39)))&gt;0)</f>
        <v>0</v>
      </c>
      <c r="AA39" s="14">
        <f t="shared" si="0"/>
        <v>0</v>
      </c>
      <c r="AB39" s="14"/>
      <c r="AC39" s="30">
        <v>1</v>
      </c>
      <c r="AD39" s="37">
        <v>0</v>
      </c>
    </row>
    <row r="40" spans="1:30" x14ac:dyDescent="0.25">
      <c r="A40" s="36">
        <v>124</v>
      </c>
      <c r="B40" s="14" t="s">
        <v>280</v>
      </c>
      <c r="C40" s="31" t="s">
        <v>281</v>
      </c>
      <c r="D40" s="17">
        <v>44135</v>
      </c>
      <c r="E40" s="14" t="s">
        <v>30</v>
      </c>
      <c r="F40" s="14">
        <v>518</v>
      </c>
      <c r="G40" s="14">
        <v>133</v>
      </c>
      <c r="H40" s="14">
        <v>2</v>
      </c>
      <c r="I40" s="14">
        <v>1</v>
      </c>
      <c r="J40" s="14" t="s">
        <v>204</v>
      </c>
      <c r="K40" s="14" cm="1">
        <f t="array" ref="K40">INT(SUMPRODUCT(--ISNUMBER(SEARCH(economy,'Mark Kelly'!C40)))&gt;0)</f>
        <v>0</v>
      </c>
      <c r="L40" s="14" cm="1">
        <f t="array" ref="L40">INT(SUMPRODUCT(--ISNUMBER(SEARCH(healthcare,'Mark Kelly'!C40)))&gt;0)</f>
        <v>0</v>
      </c>
      <c r="M40" s="14" cm="1">
        <f t="array" ref="M40">INT(SUMPRODUCT(--ISNUMBER(SEARCH(supreme,'Mark Kelly'!C40)))&gt;0)</f>
        <v>0</v>
      </c>
      <c r="N40" s="14" cm="1">
        <f t="array" ref="N40">INT(SUMPRODUCT(--ISNUMBER(SEARCH(covid,'Mark Kelly'!C40)))&gt;0)</f>
        <v>0</v>
      </c>
      <c r="O40" s="14" cm="1">
        <f t="array" ref="O40">INT(SUMPRODUCT(--ISNUMBER(SEARCH(violent,'Mark Kelly'!C40)))&gt;0)</f>
        <v>0</v>
      </c>
      <c r="P40" s="14" cm="1">
        <f t="array" ref="P40">INT(SUMPRODUCT(--ISNUMBER(SEARCH(foreign,'Mark Kelly'!C40)))&gt;0)</f>
        <v>0</v>
      </c>
      <c r="Q40" s="14" cm="1">
        <f t="array" ref="Q40">INT(SUMPRODUCT(--ISNUMBER(SEARCH(gun,'Mark Kelly'!C40)))&gt;0)</f>
        <v>0</v>
      </c>
      <c r="R40" s="14" cm="1">
        <f t="array" ref="R40">INT(SUMPRODUCT(--ISNUMBER(SEARCH(race,'Mark Kelly'!C40)))&gt;0)</f>
        <v>0</v>
      </c>
      <c r="S40" s="14" cm="1">
        <f t="array" ref="S40">INT(SUMPRODUCT(--ISNUMBER(SEARCH(immigration,C40)))&gt;0)</f>
        <v>0</v>
      </c>
      <c r="T40" s="14" cm="1">
        <f t="array" ref="T40">INT(SUMPRODUCT(--ISNUMBER(SEARCH(econineq,C40)))&gt;0)</f>
        <v>0</v>
      </c>
      <c r="U40" s="14" cm="1">
        <f t="array" ref="U40">INT(SUMPRODUCT(--ISNUMBER(SEARCH(climate,'Mark Kelly'!C40)))&gt;0)</f>
        <v>0</v>
      </c>
      <c r="V40" s="14" cm="1">
        <f t="array" ref="V40">INT(SUMPRODUCT(--ISNUMBER(SEARCH(abortion,'Mark Kelly'!C40)))&gt;0)</f>
        <v>0</v>
      </c>
      <c r="W40" s="14" cm="1">
        <f t="array" ref="W40">INT(SUMPRODUCT(--ISNUMBER(SEARCH(trump,'Mark Kelly'!C40)))&gt;0)</f>
        <v>0</v>
      </c>
      <c r="X40" s="14" cm="1">
        <f t="array" ref="X40">INT(SUMPRODUCT(--ISNUMBER(SEARCH(voting,'Mark Kelly'!C40)))&gt;0)</f>
        <v>0</v>
      </c>
      <c r="Y40" s="14" cm="1">
        <f t="array" ref="Y40">INT(SUMPRODUCT(--ISNUMBER(SEARCH(democrattrigger,'Mark Kelly'!C40)))&gt;0)</f>
        <v>0</v>
      </c>
      <c r="Z40" s="14" cm="1">
        <f t="array" ref="Z40">INT(SUMPRODUCT(--ISNUMBER(SEARCH(bipartisan,'Mark Kelly'!C40)))&gt;0)</f>
        <v>0</v>
      </c>
      <c r="AA40" s="14">
        <f t="shared" si="0"/>
        <v>1</v>
      </c>
      <c r="AB40" s="14"/>
      <c r="AC40" s="30">
        <v>0</v>
      </c>
      <c r="AD40" s="37">
        <v>1</v>
      </c>
    </row>
    <row r="41" spans="1:30" x14ac:dyDescent="0.25">
      <c r="A41" s="36">
        <v>125</v>
      </c>
      <c r="B41" s="14" t="s">
        <v>282</v>
      </c>
      <c r="C41" s="31" t="s">
        <v>283</v>
      </c>
      <c r="D41" s="17">
        <v>44134</v>
      </c>
      <c r="E41" s="14" t="s">
        <v>30</v>
      </c>
      <c r="F41" s="14">
        <v>990</v>
      </c>
      <c r="G41" s="14">
        <v>247</v>
      </c>
      <c r="H41" s="14">
        <v>2</v>
      </c>
      <c r="I41" s="14">
        <v>1</v>
      </c>
      <c r="J41" s="14" t="s">
        <v>204</v>
      </c>
      <c r="K41" s="14" cm="1">
        <f t="array" ref="K41">INT(SUMPRODUCT(--ISNUMBER(SEARCH(economy,'Mark Kelly'!C41)))&gt;0)</f>
        <v>1</v>
      </c>
      <c r="L41" s="14" cm="1">
        <f t="array" ref="L41">INT(SUMPRODUCT(--ISNUMBER(SEARCH(healthcare,'Mark Kelly'!C41)))&gt;0)</f>
        <v>0</v>
      </c>
      <c r="M41" s="14" cm="1">
        <f t="array" ref="M41">INT(SUMPRODUCT(--ISNUMBER(SEARCH(supreme,'Mark Kelly'!C41)))&gt;0)</f>
        <v>0</v>
      </c>
      <c r="N41" s="14" cm="1">
        <f t="array" ref="N41">INT(SUMPRODUCT(--ISNUMBER(SEARCH(covid,'Mark Kelly'!C41)))&gt;0)</f>
        <v>1</v>
      </c>
      <c r="O41" s="14" cm="1">
        <f t="array" ref="O41">INT(SUMPRODUCT(--ISNUMBER(SEARCH(violent,'Mark Kelly'!C41)))&gt;0)</f>
        <v>0</v>
      </c>
      <c r="P41" s="14" cm="1">
        <f t="array" ref="P41">INT(SUMPRODUCT(--ISNUMBER(SEARCH(foreign,'Mark Kelly'!C41)))&gt;0)</f>
        <v>0</v>
      </c>
      <c r="Q41" s="14" cm="1">
        <f t="array" ref="Q41">INT(SUMPRODUCT(--ISNUMBER(SEARCH(gun,'Mark Kelly'!C41)))&gt;0)</f>
        <v>0</v>
      </c>
      <c r="R41" s="14" cm="1">
        <f t="array" ref="R41">INT(SUMPRODUCT(--ISNUMBER(SEARCH(race,'Mark Kelly'!C41)))&gt;0)</f>
        <v>0</v>
      </c>
      <c r="S41" s="14" cm="1">
        <f t="array" ref="S41">INT(SUMPRODUCT(--ISNUMBER(SEARCH(immigration,C41)))&gt;0)</f>
        <v>0</v>
      </c>
      <c r="T41" s="14" cm="1">
        <f t="array" ref="T41">INT(SUMPRODUCT(--ISNUMBER(SEARCH(econineq,C41)))&gt;0)</f>
        <v>0</v>
      </c>
      <c r="U41" s="14" cm="1">
        <f t="array" ref="U41">INT(SUMPRODUCT(--ISNUMBER(SEARCH(climate,'Mark Kelly'!C41)))&gt;0)</f>
        <v>0</v>
      </c>
      <c r="V41" s="14" cm="1">
        <f t="array" ref="V41">INT(SUMPRODUCT(--ISNUMBER(SEARCH(abortion,'Mark Kelly'!C41)))&gt;0)</f>
        <v>0</v>
      </c>
      <c r="W41" s="14" cm="1">
        <f t="array" ref="W41">INT(SUMPRODUCT(--ISNUMBER(SEARCH(trump,'Mark Kelly'!C41)))&gt;0)</f>
        <v>0</v>
      </c>
      <c r="X41" s="14" cm="1">
        <f t="array" ref="X41">INT(SUMPRODUCT(--ISNUMBER(SEARCH(voting,'Mark Kelly'!C41)))&gt;0)</f>
        <v>0</v>
      </c>
      <c r="Y41" s="14" cm="1">
        <f t="array" ref="Y41">INT(SUMPRODUCT(--ISNUMBER(SEARCH(democrattrigger,'Mark Kelly'!C41)))&gt;0)</f>
        <v>0</v>
      </c>
      <c r="Z41" s="14" cm="1">
        <f t="array" ref="Z41">INT(SUMPRODUCT(--ISNUMBER(SEARCH(bipartisan,'Mark Kelly'!C41)))&gt;0)</f>
        <v>0</v>
      </c>
      <c r="AA41" s="14">
        <f t="shared" si="0"/>
        <v>0</v>
      </c>
      <c r="AB41" s="14"/>
      <c r="AC41" s="30" t="s">
        <v>223</v>
      </c>
      <c r="AD41" s="37">
        <v>0</v>
      </c>
    </row>
    <row r="42" spans="1:30" x14ac:dyDescent="0.25">
      <c r="A42" s="36">
        <v>126</v>
      </c>
      <c r="B42" s="14" t="s">
        <v>284</v>
      </c>
      <c r="C42" s="31" t="s">
        <v>285</v>
      </c>
      <c r="D42" s="17">
        <v>44134</v>
      </c>
      <c r="E42" s="14" t="s">
        <v>30</v>
      </c>
      <c r="F42" s="14">
        <v>476</v>
      </c>
      <c r="G42" s="14">
        <v>86</v>
      </c>
      <c r="H42" s="14">
        <v>2</v>
      </c>
      <c r="I42" s="14">
        <v>1</v>
      </c>
      <c r="J42" s="14" t="s">
        <v>204</v>
      </c>
      <c r="K42" s="14" cm="1">
        <f t="array" ref="K42">INT(SUMPRODUCT(--ISNUMBER(SEARCH(economy,'Mark Kelly'!C42)))&gt;0)</f>
        <v>0</v>
      </c>
      <c r="L42" s="14" cm="1">
        <f t="array" ref="L42">INT(SUMPRODUCT(--ISNUMBER(SEARCH(healthcare,'Mark Kelly'!C42)))&gt;0)</f>
        <v>0</v>
      </c>
      <c r="M42" s="14" cm="1">
        <f t="array" ref="M42">INT(SUMPRODUCT(--ISNUMBER(SEARCH(supreme,'Mark Kelly'!C42)))&gt;0)</f>
        <v>0</v>
      </c>
      <c r="N42" s="14" cm="1">
        <f t="array" ref="N42">INT(SUMPRODUCT(--ISNUMBER(SEARCH(covid,'Mark Kelly'!C42)))&gt;0)</f>
        <v>0</v>
      </c>
      <c r="O42" s="14" cm="1">
        <f t="array" ref="O42">INT(SUMPRODUCT(--ISNUMBER(SEARCH(violent,'Mark Kelly'!C42)))&gt;0)</f>
        <v>0</v>
      </c>
      <c r="P42" s="14" cm="1">
        <f t="array" ref="P42">INT(SUMPRODUCT(--ISNUMBER(SEARCH(foreign,'Mark Kelly'!C42)))&gt;0)</f>
        <v>0</v>
      </c>
      <c r="Q42" s="14" cm="1">
        <f t="array" ref="Q42">INT(SUMPRODUCT(--ISNUMBER(SEARCH(gun,'Mark Kelly'!C42)))&gt;0)</f>
        <v>0</v>
      </c>
      <c r="R42" s="14" cm="1">
        <f t="array" ref="R42">INT(SUMPRODUCT(--ISNUMBER(SEARCH(race,'Mark Kelly'!C42)))&gt;0)</f>
        <v>0</v>
      </c>
      <c r="S42" s="14" cm="1">
        <f t="array" ref="S42">INT(SUMPRODUCT(--ISNUMBER(SEARCH(immigration,C42)))&gt;0)</f>
        <v>0</v>
      </c>
      <c r="T42" s="14" cm="1">
        <f t="array" ref="T42">INT(SUMPRODUCT(--ISNUMBER(SEARCH(econineq,C42)))&gt;0)</f>
        <v>0</v>
      </c>
      <c r="U42" s="14" cm="1">
        <f t="array" ref="U42">INT(SUMPRODUCT(--ISNUMBER(SEARCH(climate,'Mark Kelly'!C42)))&gt;0)</f>
        <v>0</v>
      </c>
      <c r="V42" s="14" cm="1">
        <f t="array" ref="V42">INT(SUMPRODUCT(--ISNUMBER(SEARCH(abortion,'Mark Kelly'!C42)))&gt;0)</f>
        <v>0</v>
      </c>
      <c r="W42" s="14" cm="1">
        <f t="array" ref="W42">INT(SUMPRODUCT(--ISNUMBER(SEARCH(trump,'Mark Kelly'!C42)))&gt;0)</f>
        <v>0</v>
      </c>
      <c r="X42" s="14" cm="1">
        <f t="array" ref="X42">INT(SUMPRODUCT(--ISNUMBER(SEARCH(voting,'Mark Kelly'!C42)))&gt;0)</f>
        <v>1</v>
      </c>
      <c r="Y42" s="14" cm="1">
        <f t="array" ref="Y42">INT(SUMPRODUCT(--ISNUMBER(SEARCH(democrattrigger,'Mark Kelly'!C42)))&gt;0)</f>
        <v>0</v>
      </c>
      <c r="Z42" s="14" cm="1">
        <f t="array" ref="Z42">INT(SUMPRODUCT(--ISNUMBER(SEARCH(bipartisan,'Mark Kelly'!C42)))&gt;0)</f>
        <v>0</v>
      </c>
      <c r="AA42" s="14">
        <f t="shared" si="0"/>
        <v>0</v>
      </c>
      <c r="AB42" s="14"/>
      <c r="AC42" s="30" t="s">
        <v>223</v>
      </c>
      <c r="AD42" s="37">
        <v>0</v>
      </c>
    </row>
    <row r="43" spans="1:30" x14ac:dyDescent="0.25">
      <c r="A43" s="36">
        <v>127</v>
      </c>
      <c r="B43" s="14" t="s">
        <v>286</v>
      </c>
      <c r="C43" s="31" t="s">
        <v>287</v>
      </c>
      <c r="D43" s="17">
        <v>44134</v>
      </c>
      <c r="E43" s="14" t="s">
        <v>30</v>
      </c>
      <c r="F43" s="14">
        <v>1547</v>
      </c>
      <c r="G43" s="14">
        <v>336</v>
      </c>
      <c r="H43" s="14">
        <v>2</v>
      </c>
      <c r="I43" s="14">
        <v>1</v>
      </c>
      <c r="J43" s="14" t="s">
        <v>204</v>
      </c>
      <c r="K43" s="14" cm="1">
        <f t="array" ref="K43">INT(SUMPRODUCT(--ISNUMBER(SEARCH(economy,'Mark Kelly'!C43)))&gt;0)</f>
        <v>0</v>
      </c>
      <c r="L43" s="14" cm="1">
        <f t="array" ref="L43">INT(SUMPRODUCT(--ISNUMBER(SEARCH(healthcare,'Mark Kelly'!C43)))&gt;0)</f>
        <v>0</v>
      </c>
      <c r="M43" s="14" cm="1">
        <f t="array" ref="M43">INT(SUMPRODUCT(--ISNUMBER(SEARCH(supreme,'Mark Kelly'!C43)))&gt;0)</f>
        <v>0</v>
      </c>
      <c r="N43" s="14" cm="1">
        <f t="array" ref="N43">INT(SUMPRODUCT(--ISNUMBER(SEARCH(covid,'Mark Kelly'!C43)))&gt;0)</f>
        <v>0</v>
      </c>
      <c r="O43" s="14" cm="1">
        <f t="array" ref="O43">INT(SUMPRODUCT(--ISNUMBER(SEARCH(violent,'Mark Kelly'!C43)))&gt;0)</f>
        <v>0</v>
      </c>
      <c r="P43" s="14" cm="1">
        <f t="array" ref="P43">INT(SUMPRODUCT(--ISNUMBER(SEARCH(foreign,'Mark Kelly'!C43)))&gt;0)</f>
        <v>0</v>
      </c>
      <c r="Q43" s="14" cm="1">
        <f t="array" ref="Q43">INT(SUMPRODUCT(--ISNUMBER(SEARCH(gun,'Mark Kelly'!C43)))&gt;0)</f>
        <v>0</v>
      </c>
      <c r="R43" s="14" cm="1">
        <f t="array" ref="R43">INT(SUMPRODUCT(--ISNUMBER(SEARCH(race,'Mark Kelly'!C43)))&gt;0)</f>
        <v>0</v>
      </c>
      <c r="S43" s="14" cm="1">
        <f t="array" ref="S43">INT(SUMPRODUCT(--ISNUMBER(SEARCH(immigration,C43)))&gt;0)</f>
        <v>0</v>
      </c>
      <c r="T43" s="14" cm="1">
        <f t="array" ref="T43">INT(SUMPRODUCT(--ISNUMBER(SEARCH(econineq,C43)))&gt;0)</f>
        <v>0</v>
      </c>
      <c r="U43" s="14" cm="1">
        <f t="array" ref="U43">INT(SUMPRODUCT(--ISNUMBER(SEARCH(climate,'Mark Kelly'!C43)))&gt;0)</f>
        <v>1</v>
      </c>
      <c r="V43" s="14" cm="1">
        <f t="array" ref="V43">INT(SUMPRODUCT(--ISNUMBER(SEARCH(abortion,'Mark Kelly'!C43)))&gt;0)</f>
        <v>0</v>
      </c>
      <c r="W43" s="14" cm="1">
        <f t="array" ref="W43">INT(SUMPRODUCT(--ISNUMBER(SEARCH(trump,'Mark Kelly'!C43)))&gt;0)</f>
        <v>0</v>
      </c>
      <c r="X43" s="14" cm="1">
        <f t="array" ref="X43">INT(SUMPRODUCT(--ISNUMBER(SEARCH(voting,'Mark Kelly'!C43)))&gt;0)</f>
        <v>0</v>
      </c>
      <c r="Y43" s="14" cm="1">
        <f t="array" ref="Y43">INT(SUMPRODUCT(--ISNUMBER(SEARCH(democrattrigger,'Mark Kelly'!C43)))&gt;0)</f>
        <v>0</v>
      </c>
      <c r="Z43" s="14" cm="1">
        <f t="array" ref="Z43">INT(SUMPRODUCT(--ISNUMBER(SEARCH(bipartisan,'Mark Kelly'!C43)))&gt;0)</f>
        <v>0</v>
      </c>
      <c r="AA43" s="14">
        <f t="shared" si="0"/>
        <v>0</v>
      </c>
      <c r="AB43" s="14"/>
      <c r="AC43" s="30">
        <v>0</v>
      </c>
      <c r="AD43" s="37">
        <v>1</v>
      </c>
    </row>
    <row r="44" spans="1:30" x14ac:dyDescent="0.25">
      <c r="A44" s="36">
        <v>128</v>
      </c>
      <c r="B44" s="14" t="s">
        <v>288</v>
      </c>
      <c r="C44" s="31" t="s">
        <v>289</v>
      </c>
      <c r="D44" s="17">
        <v>44134</v>
      </c>
      <c r="E44" s="14" t="s">
        <v>30</v>
      </c>
      <c r="F44" s="14">
        <v>602</v>
      </c>
      <c r="G44" s="14">
        <v>178</v>
      </c>
      <c r="H44" s="14">
        <v>2</v>
      </c>
      <c r="I44" s="14">
        <v>1</v>
      </c>
      <c r="J44" s="14" t="s">
        <v>204</v>
      </c>
      <c r="K44" s="14" cm="1">
        <f t="array" ref="K44">INT(SUMPRODUCT(--ISNUMBER(SEARCH(economy,'Mark Kelly'!C44)))&gt;0)</f>
        <v>0</v>
      </c>
      <c r="L44" s="14" cm="1">
        <f t="array" ref="L44">INT(SUMPRODUCT(--ISNUMBER(SEARCH(healthcare,'Mark Kelly'!C44)))&gt;0)</f>
        <v>0</v>
      </c>
      <c r="M44" s="14" cm="1">
        <f t="array" ref="M44">INT(SUMPRODUCT(--ISNUMBER(SEARCH(supreme,'Mark Kelly'!C44)))&gt;0)</f>
        <v>0</v>
      </c>
      <c r="N44" s="14" cm="1">
        <f t="array" ref="N44">INT(SUMPRODUCT(--ISNUMBER(SEARCH(covid,'Mark Kelly'!C44)))&gt;0)</f>
        <v>0</v>
      </c>
      <c r="O44" s="14" cm="1">
        <f t="array" ref="O44">INT(SUMPRODUCT(--ISNUMBER(SEARCH(violent,'Mark Kelly'!C44)))&gt;0)</f>
        <v>0</v>
      </c>
      <c r="P44" s="14" cm="1">
        <f t="array" ref="P44">INT(SUMPRODUCT(--ISNUMBER(SEARCH(foreign,'Mark Kelly'!C44)))&gt;0)</f>
        <v>0</v>
      </c>
      <c r="Q44" s="14" cm="1">
        <f t="array" ref="Q44">INT(SUMPRODUCT(--ISNUMBER(SEARCH(gun,'Mark Kelly'!C44)))&gt;0)</f>
        <v>0</v>
      </c>
      <c r="R44" s="14" cm="1">
        <f t="array" ref="R44">INT(SUMPRODUCT(--ISNUMBER(SEARCH(race,'Mark Kelly'!C44)))&gt;0)</f>
        <v>0</v>
      </c>
      <c r="S44" s="14" cm="1">
        <f t="array" ref="S44">INT(SUMPRODUCT(--ISNUMBER(SEARCH(immigration,C44)))&gt;0)</f>
        <v>0</v>
      </c>
      <c r="T44" s="14" cm="1">
        <f t="array" ref="T44">INT(SUMPRODUCT(--ISNUMBER(SEARCH(econineq,C44)))&gt;0)</f>
        <v>0</v>
      </c>
      <c r="U44" s="14" cm="1">
        <f t="array" ref="U44">INT(SUMPRODUCT(--ISNUMBER(SEARCH(climate,'Mark Kelly'!C44)))&gt;0)</f>
        <v>0</v>
      </c>
      <c r="V44" s="14" cm="1">
        <f t="array" ref="V44">INT(SUMPRODUCT(--ISNUMBER(SEARCH(abortion,'Mark Kelly'!C44)))&gt;0)</f>
        <v>0</v>
      </c>
      <c r="W44" s="14" cm="1">
        <f t="array" ref="W44">INT(SUMPRODUCT(--ISNUMBER(SEARCH(trump,'Mark Kelly'!C44)))&gt;0)</f>
        <v>0</v>
      </c>
      <c r="X44" s="14" cm="1">
        <f t="array" ref="X44">INT(SUMPRODUCT(--ISNUMBER(SEARCH(voting,'Mark Kelly'!C44)))&gt;0)</f>
        <v>0</v>
      </c>
      <c r="Y44" s="14" cm="1">
        <f t="array" ref="Y44">INT(SUMPRODUCT(--ISNUMBER(SEARCH(democrattrigger,'Mark Kelly'!C44)))&gt;0)</f>
        <v>0</v>
      </c>
      <c r="Z44" s="14" cm="1">
        <f t="array" ref="Z44">INT(SUMPRODUCT(--ISNUMBER(SEARCH(bipartisan,'Mark Kelly'!C44)))&gt;0)</f>
        <v>0</v>
      </c>
      <c r="AA44" s="14">
        <f t="shared" si="0"/>
        <v>1</v>
      </c>
      <c r="AB44" s="14"/>
      <c r="AC44" s="30" t="s">
        <v>223</v>
      </c>
      <c r="AD44" s="37">
        <v>0</v>
      </c>
    </row>
    <row r="45" spans="1:30" x14ac:dyDescent="0.25">
      <c r="A45" s="36">
        <v>129</v>
      </c>
      <c r="B45" s="14" t="s">
        <v>290</v>
      </c>
      <c r="C45" s="31" t="s">
        <v>291</v>
      </c>
      <c r="D45" s="17">
        <v>44134</v>
      </c>
      <c r="E45" s="14" t="s">
        <v>30</v>
      </c>
      <c r="F45" s="14">
        <v>513</v>
      </c>
      <c r="G45" s="14">
        <v>155</v>
      </c>
      <c r="H45" s="14">
        <v>2</v>
      </c>
      <c r="I45" s="14">
        <v>1</v>
      </c>
      <c r="J45" s="14" t="s">
        <v>204</v>
      </c>
      <c r="K45" s="14" cm="1">
        <f t="array" ref="K45">INT(SUMPRODUCT(--ISNUMBER(SEARCH(economy,'Mark Kelly'!C45)))&gt;0)</f>
        <v>0</v>
      </c>
      <c r="L45" s="14" cm="1">
        <f t="array" ref="L45">INT(SUMPRODUCT(--ISNUMBER(SEARCH(healthcare,'Mark Kelly'!C45)))&gt;0)</f>
        <v>0</v>
      </c>
      <c r="M45" s="14" cm="1">
        <f t="array" ref="M45">INT(SUMPRODUCT(--ISNUMBER(SEARCH(supreme,'Mark Kelly'!C45)))&gt;0)</f>
        <v>0</v>
      </c>
      <c r="N45" s="14" cm="1">
        <f t="array" ref="N45">INT(SUMPRODUCT(--ISNUMBER(SEARCH(covid,'Mark Kelly'!C45)))&gt;0)</f>
        <v>0</v>
      </c>
      <c r="O45" s="14" cm="1">
        <f t="array" ref="O45">INT(SUMPRODUCT(--ISNUMBER(SEARCH(violent,'Mark Kelly'!C45)))&gt;0)</f>
        <v>0</v>
      </c>
      <c r="P45" s="14" cm="1">
        <f t="array" ref="P45">INT(SUMPRODUCT(--ISNUMBER(SEARCH(foreign,'Mark Kelly'!C45)))&gt;0)</f>
        <v>0</v>
      </c>
      <c r="Q45" s="14" cm="1">
        <f t="array" ref="Q45">INT(SUMPRODUCT(--ISNUMBER(SEARCH(gun,'Mark Kelly'!C45)))&gt;0)</f>
        <v>0</v>
      </c>
      <c r="R45" s="14" cm="1">
        <f t="array" ref="R45">INT(SUMPRODUCT(--ISNUMBER(SEARCH(race,'Mark Kelly'!C45)))&gt;0)</f>
        <v>0</v>
      </c>
      <c r="S45" s="14" cm="1">
        <f t="array" ref="S45">INT(SUMPRODUCT(--ISNUMBER(SEARCH(immigration,C45)))&gt;0)</f>
        <v>0</v>
      </c>
      <c r="T45" s="14" cm="1">
        <f t="array" ref="T45">INT(SUMPRODUCT(--ISNUMBER(SEARCH(econineq,C45)))&gt;0)</f>
        <v>0</v>
      </c>
      <c r="U45" s="14" cm="1">
        <f t="array" ref="U45">INT(SUMPRODUCT(--ISNUMBER(SEARCH(climate,'Mark Kelly'!C45)))&gt;0)</f>
        <v>0</v>
      </c>
      <c r="V45" s="14" cm="1">
        <f t="array" ref="V45">INT(SUMPRODUCT(--ISNUMBER(SEARCH(abortion,'Mark Kelly'!C45)))&gt;0)</f>
        <v>0</v>
      </c>
      <c r="W45" s="14" cm="1">
        <f t="array" ref="W45">INT(SUMPRODUCT(--ISNUMBER(SEARCH(trump,'Mark Kelly'!C45)))&gt;0)</f>
        <v>0</v>
      </c>
      <c r="X45" s="14" cm="1">
        <f t="array" ref="X45">INT(SUMPRODUCT(--ISNUMBER(SEARCH(voting,'Mark Kelly'!C45)))&gt;0)</f>
        <v>0</v>
      </c>
      <c r="Y45" s="14" cm="1">
        <f t="array" ref="Y45">INT(SUMPRODUCT(--ISNUMBER(SEARCH(democrattrigger,'Mark Kelly'!C45)))&gt;0)</f>
        <v>1</v>
      </c>
      <c r="Z45" s="14" cm="1">
        <f t="array" ref="Z45">INT(SUMPRODUCT(--ISNUMBER(SEARCH(bipartisan,'Mark Kelly'!C45)))&gt;0)</f>
        <v>0</v>
      </c>
      <c r="AA45" s="14">
        <f t="shared" si="0"/>
        <v>0</v>
      </c>
      <c r="AB45" s="14"/>
      <c r="AC45" s="30">
        <v>1</v>
      </c>
      <c r="AD45" s="37">
        <v>0</v>
      </c>
    </row>
    <row r="46" spans="1:30" x14ac:dyDescent="0.25">
      <c r="A46" s="36">
        <v>130</v>
      </c>
      <c r="B46" s="14" t="s">
        <v>292</v>
      </c>
      <c r="C46" s="31" t="s">
        <v>293</v>
      </c>
      <c r="D46" s="17">
        <v>44134</v>
      </c>
      <c r="E46" s="14" t="s">
        <v>30</v>
      </c>
      <c r="F46" s="14">
        <v>1478</v>
      </c>
      <c r="G46" s="14">
        <v>230</v>
      </c>
      <c r="H46" s="14">
        <v>2</v>
      </c>
      <c r="I46" s="14">
        <v>1</v>
      </c>
      <c r="J46" s="14" t="s">
        <v>204</v>
      </c>
      <c r="K46" s="14" cm="1">
        <f t="array" ref="K46">INT(SUMPRODUCT(--ISNUMBER(SEARCH(economy,'Mark Kelly'!C46)))&gt;0)</f>
        <v>0</v>
      </c>
      <c r="L46" s="14" cm="1">
        <f t="array" ref="L46">INT(SUMPRODUCT(--ISNUMBER(SEARCH(healthcare,'Mark Kelly'!C46)))&gt;0)</f>
        <v>0</v>
      </c>
      <c r="M46" s="14" cm="1">
        <f t="array" ref="M46">INT(SUMPRODUCT(--ISNUMBER(SEARCH(supreme,'Mark Kelly'!C46)))&gt;0)</f>
        <v>0</v>
      </c>
      <c r="N46" s="14" cm="1">
        <f t="array" ref="N46">INT(SUMPRODUCT(--ISNUMBER(SEARCH(covid,'Mark Kelly'!C46)))&gt;0)</f>
        <v>0</v>
      </c>
      <c r="O46" s="14" cm="1">
        <f t="array" ref="O46">INT(SUMPRODUCT(--ISNUMBER(SEARCH(violent,'Mark Kelly'!C46)))&gt;0)</f>
        <v>0</v>
      </c>
      <c r="P46" s="14" cm="1">
        <f t="array" ref="P46">INT(SUMPRODUCT(--ISNUMBER(SEARCH(foreign,'Mark Kelly'!C46)))&gt;0)</f>
        <v>0</v>
      </c>
      <c r="Q46" s="14" cm="1">
        <f t="array" ref="Q46">INT(SUMPRODUCT(--ISNUMBER(SEARCH(gun,'Mark Kelly'!C46)))&gt;0)</f>
        <v>0</v>
      </c>
      <c r="R46" s="14" cm="1">
        <f t="array" ref="R46">INT(SUMPRODUCT(--ISNUMBER(SEARCH(race,'Mark Kelly'!C46)))&gt;0)</f>
        <v>0</v>
      </c>
      <c r="S46" s="14" cm="1">
        <f t="array" ref="S46">INT(SUMPRODUCT(--ISNUMBER(SEARCH(immigration,C46)))&gt;0)</f>
        <v>0</v>
      </c>
      <c r="T46" s="14" cm="1">
        <f t="array" ref="T46">INT(SUMPRODUCT(--ISNUMBER(SEARCH(econineq,C46)))&gt;0)</f>
        <v>0</v>
      </c>
      <c r="U46" s="14" cm="1">
        <f t="array" ref="U46">INT(SUMPRODUCT(--ISNUMBER(SEARCH(climate,'Mark Kelly'!C46)))&gt;0)</f>
        <v>0</v>
      </c>
      <c r="V46" s="14" cm="1">
        <f t="array" ref="V46">INT(SUMPRODUCT(--ISNUMBER(SEARCH(abortion,'Mark Kelly'!C46)))&gt;0)</f>
        <v>0</v>
      </c>
      <c r="W46" s="14" cm="1">
        <f t="array" ref="W46">INT(SUMPRODUCT(--ISNUMBER(SEARCH(trump,'Mark Kelly'!C46)))&gt;0)</f>
        <v>0</v>
      </c>
      <c r="X46" s="14" cm="1">
        <f t="array" ref="X46">INT(SUMPRODUCT(--ISNUMBER(SEARCH(voting,'Mark Kelly'!C46)))&gt;0)</f>
        <v>1</v>
      </c>
      <c r="Y46" s="14" cm="1">
        <f t="array" ref="Y46">INT(SUMPRODUCT(--ISNUMBER(SEARCH(democrattrigger,'Mark Kelly'!C46)))&gt;0)</f>
        <v>0</v>
      </c>
      <c r="Z46" s="14" cm="1">
        <f t="array" ref="Z46">INT(SUMPRODUCT(--ISNUMBER(SEARCH(bipartisan,'Mark Kelly'!C46)))&gt;0)</f>
        <v>0</v>
      </c>
      <c r="AA46" s="14">
        <f t="shared" si="0"/>
        <v>0</v>
      </c>
      <c r="AB46" s="14"/>
      <c r="AC46" s="30" t="s">
        <v>223</v>
      </c>
      <c r="AD46" s="37">
        <v>0</v>
      </c>
    </row>
    <row r="47" spans="1:30" x14ac:dyDescent="0.25">
      <c r="A47" s="36">
        <v>131</v>
      </c>
      <c r="B47" s="14" t="s">
        <v>294</v>
      </c>
      <c r="C47" s="31" t="s">
        <v>295</v>
      </c>
      <c r="D47" s="17">
        <v>44134</v>
      </c>
      <c r="E47" s="14" t="s">
        <v>30</v>
      </c>
      <c r="F47" s="14">
        <v>2352</v>
      </c>
      <c r="G47" s="14">
        <v>516</v>
      </c>
      <c r="H47" s="14">
        <v>2</v>
      </c>
      <c r="I47" s="14">
        <v>1</v>
      </c>
      <c r="J47" s="14" t="s">
        <v>204</v>
      </c>
      <c r="K47" s="14" cm="1">
        <f t="array" ref="K47">INT(SUMPRODUCT(--ISNUMBER(SEARCH(economy,'Mark Kelly'!C47)))&gt;0)</f>
        <v>0</v>
      </c>
      <c r="L47" s="14" cm="1">
        <f t="array" ref="L47">INT(SUMPRODUCT(--ISNUMBER(SEARCH(healthcare,'Mark Kelly'!C47)))&gt;0)</f>
        <v>0</v>
      </c>
      <c r="M47" s="14" cm="1">
        <f t="array" ref="M47">INT(SUMPRODUCT(--ISNUMBER(SEARCH(supreme,'Mark Kelly'!C47)))&gt;0)</f>
        <v>0</v>
      </c>
      <c r="N47" s="14" cm="1">
        <f t="array" ref="N47">INT(SUMPRODUCT(--ISNUMBER(SEARCH(covid,'Mark Kelly'!C47)))&gt;0)</f>
        <v>0</v>
      </c>
      <c r="O47" s="14" cm="1">
        <f t="array" ref="O47">INT(SUMPRODUCT(--ISNUMBER(SEARCH(violent,'Mark Kelly'!C47)))&gt;0)</f>
        <v>0</v>
      </c>
      <c r="P47" s="14" cm="1">
        <f t="array" ref="P47">INT(SUMPRODUCT(--ISNUMBER(SEARCH(foreign,'Mark Kelly'!C47)))&gt;0)</f>
        <v>0</v>
      </c>
      <c r="Q47" s="14" cm="1">
        <f t="array" ref="Q47">INT(SUMPRODUCT(--ISNUMBER(SEARCH(gun,'Mark Kelly'!C47)))&gt;0)</f>
        <v>0</v>
      </c>
      <c r="R47" s="14" cm="1">
        <f t="array" ref="R47">INT(SUMPRODUCT(--ISNUMBER(SEARCH(race,'Mark Kelly'!C47)))&gt;0)</f>
        <v>0</v>
      </c>
      <c r="S47" s="14" cm="1">
        <f t="array" ref="S47">INT(SUMPRODUCT(--ISNUMBER(SEARCH(immigration,C47)))&gt;0)</f>
        <v>0</v>
      </c>
      <c r="T47" s="14" cm="1">
        <f t="array" ref="T47">INT(SUMPRODUCT(--ISNUMBER(SEARCH(econineq,C47)))&gt;0)</f>
        <v>0</v>
      </c>
      <c r="U47" s="14" cm="1">
        <f t="array" ref="U47">INT(SUMPRODUCT(--ISNUMBER(SEARCH(climate,'Mark Kelly'!C47)))&gt;0)</f>
        <v>0</v>
      </c>
      <c r="V47" s="14" cm="1">
        <f t="array" ref="V47">INT(SUMPRODUCT(--ISNUMBER(SEARCH(abortion,'Mark Kelly'!C47)))&gt;0)</f>
        <v>0</v>
      </c>
      <c r="W47" s="14" cm="1">
        <f t="array" ref="W47">INT(SUMPRODUCT(--ISNUMBER(SEARCH(trump,'Mark Kelly'!C47)))&gt;0)</f>
        <v>0</v>
      </c>
      <c r="X47" s="14" cm="1">
        <f t="array" ref="X47">INT(SUMPRODUCT(--ISNUMBER(SEARCH(voting,'Mark Kelly'!C47)))&gt;0)</f>
        <v>1</v>
      </c>
      <c r="Y47" s="14" cm="1">
        <f t="array" ref="Y47">INT(SUMPRODUCT(--ISNUMBER(SEARCH(democrattrigger,'Mark Kelly'!C47)))&gt;0)</f>
        <v>0</v>
      </c>
      <c r="Z47" s="14" cm="1">
        <f t="array" ref="Z47">INT(SUMPRODUCT(--ISNUMBER(SEARCH(bipartisan,'Mark Kelly'!C47)))&gt;0)</f>
        <v>0</v>
      </c>
      <c r="AA47" s="14">
        <f t="shared" si="0"/>
        <v>0</v>
      </c>
      <c r="AB47" s="14"/>
      <c r="AC47" s="30">
        <v>0</v>
      </c>
      <c r="AD47" s="37">
        <v>1</v>
      </c>
    </row>
    <row r="48" spans="1:30" x14ac:dyDescent="0.25">
      <c r="A48" s="36">
        <v>132</v>
      </c>
      <c r="B48" s="14" t="s">
        <v>296</v>
      </c>
      <c r="C48" s="31" t="s">
        <v>297</v>
      </c>
      <c r="D48" s="17">
        <v>44134</v>
      </c>
      <c r="E48" s="14" t="s">
        <v>30</v>
      </c>
      <c r="F48" s="14">
        <v>1493</v>
      </c>
      <c r="G48" s="14">
        <v>315</v>
      </c>
      <c r="H48" s="14">
        <v>2</v>
      </c>
      <c r="I48" s="14">
        <v>1</v>
      </c>
      <c r="J48" s="14" t="s">
        <v>204</v>
      </c>
      <c r="K48" s="14" cm="1">
        <f t="array" ref="K48">INT(SUMPRODUCT(--ISNUMBER(SEARCH(economy,'Mark Kelly'!C48)))&gt;0)</f>
        <v>0</v>
      </c>
      <c r="L48" s="14" cm="1">
        <f t="array" ref="L48">INT(SUMPRODUCT(--ISNUMBER(SEARCH(healthcare,'Mark Kelly'!C48)))&gt;0)</f>
        <v>0</v>
      </c>
      <c r="M48" s="14" cm="1">
        <f t="array" ref="M48">INT(SUMPRODUCT(--ISNUMBER(SEARCH(supreme,'Mark Kelly'!C48)))&gt;0)</f>
        <v>0</v>
      </c>
      <c r="N48" s="14" cm="1">
        <f t="array" ref="N48">INT(SUMPRODUCT(--ISNUMBER(SEARCH(covid,'Mark Kelly'!C48)))&gt;0)</f>
        <v>0</v>
      </c>
      <c r="O48" s="14" cm="1">
        <f t="array" ref="O48">INT(SUMPRODUCT(--ISNUMBER(SEARCH(violent,'Mark Kelly'!C48)))&gt;0)</f>
        <v>0</v>
      </c>
      <c r="P48" s="14" cm="1">
        <f t="array" ref="P48">INT(SUMPRODUCT(--ISNUMBER(SEARCH(foreign,'Mark Kelly'!C48)))&gt;0)</f>
        <v>0</v>
      </c>
      <c r="Q48" s="14" cm="1">
        <f t="array" ref="Q48">INT(SUMPRODUCT(--ISNUMBER(SEARCH(gun,'Mark Kelly'!C48)))&gt;0)</f>
        <v>0</v>
      </c>
      <c r="R48" s="14" cm="1">
        <f t="array" ref="R48">INT(SUMPRODUCT(--ISNUMBER(SEARCH(race,'Mark Kelly'!C48)))&gt;0)</f>
        <v>0</v>
      </c>
      <c r="S48" s="14" cm="1">
        <f t="array" ref="S48">INT(SUMPRODUCT(--ISNUMBER(SEARCH(immigration,C48)))&gt;0)</f>
        <v>0</v>
      </c>
      <c r="T48" s="14" cm="1">
        <f t="array" ref="T48">INT(SUMPRODUCT(--ISNUMBER(SEARCH(econineq,C48)))&gt;0)</f>
        <v>0</v>
      </c>
      <c r="U48" s="14" cm="1">
        <f t="array" ref="U48">INT(SUMPRODUCT(--ISNUMBER(SEARCH(climate,'Mark Kelly'!C48)))&gt;0)</f>
        <v>0</v>
      </c>
      <c r="V48" s="14" cm="1">
        <f t="array" ref="V48">INT(SUMPRODUCT(--ISNUMBER(SEARCH(abortion,'Mark Kelly'!C48)))&gt;0)</f>
        <v>0</v>
      </c>
      <c r="W48" s="14" cm="1">
        <f t="array" ref="W48">INT(SUMPRODUCT(--ISNUMBER(SEARCH(trump,'Mark Kelly'!C48)))&gt;0)</f>
        <v>0</v>
      </c>
      <c r="X48" s="14" cm="1">
        <f t="array" ref="X48">INT(SUMPRODUCT(--ISNUMBER(SEARCH(voting,'Mark Kelly'!C48)))&gt;0)</f>
        <v>1</v>
      </c>
      <c r="Y48" s="14" cm="1">
        <f t="array" ref="Y48">INT(SUMPRODUCT(--ISNUMBER(SEARCH(democrattrigger,'Mark Kelly'!C48)))&gt;0)</f>
        <v>0</v>
      </c>
      <c r="Z48" s="14" cm="1">
        <f t="array" ref="Z48">INT(SUMPRODUCT(--ISNUMBER(SEARCH(bipartisan,'Mark Kelly'!C48)))&gt;0)</f>
        <v>0</v>
      </c>
      <c r="AA48" s="14">
        <f t="shared" si="0"/>
        <v>0</v>
      </c>
      <c r="AB48" s="14"/>
      <c r="AC48" s="30" t="s">
        <v>223</v>
      </c>
      <c r="AD48" s="37">
        <v>0</v>
      </c>
    </row>
    <row r="49" spans="1:30" x14ac:dyDescent="0.25">
      <c r="A49" s="36">
        <v>133</v>
      </c>
      <c r="B49" s="14" t="s">
        <v>298</v>
      </c>
      <c r="C49" s="31" t="s">
        <v>299</v>
      </c>
      <c r="D49" s="17">
        <v>44134</v>
      </c>
      <c r="E49" s="14" t="s">
        <v>30</v>
      </c>
      <c r="F49" s="14">
        <v>1359</v>
      </c>
      <c r="G49" s="14">
        <v>235</v>
      </c>
      <c r="H49" s="14">
        <v>2</v>
      </c>
      <c r="I49" s="14">
        <v>1</v>
      </c>
      <c r="J49" s="14" t="s">
        <v>204</v>
      </c>
      <c r="K49" s="14" cm="1">
        <f t="array" ref="K49">INT(SUMPRODUCT(--ISNUMBER(SEARCH(economy,'Mark Kelly'!C49)))&gt;0)</f>
        <v>0</v>
      </c>
      <c r="L49" s="14" cm="1">
        <f t="array" ref="L49">INT(SUMPRODUCT(--ISNUMBER(SEARCH(healthcare,'Mark Kelly'!C49)))&gt;0)</f>
        <v>0</v>
      </c>
      <c r="M49" s="14" cm="1">
        <f t="array" ref="M49">INT(SUMPRODUCT(--ISNUMBER(SEARCH(supreme,'Mark Kelly'!C49)))&gt;0)</f>
        <v>0</v>
      </c>
      <c r="N49" s="14" cm="1">
        <f t="array" ref="N49">INT(SUMPRODUCT(--ISNUMBER(SEARCH(covid,'Mark Kelly'!C49)))&gt;0)</f>
        <v>0</v>
      </c>
      <c r="O49" s="14" cm="1">
        <f t="array" ref="O49">INT(SUMPRODUCT(--ISNUMBER(SEARCH(violent,'Mark Kelly'!C49)))&gt;0)</f>
        <v>0</v>
      </c>
      <c r="P49" s="14" cm="1">
        <f t="array" ref="P49">INT(SUMPRODUCT(--ISNUMBER(SEARCH(foreign,'Mark Kelly'!C49)))&gt;0)</f>
        <v>0</v>
      </c>
      <c r="Q49" s="14" cm="1">
        <f t="array" ref="Q49">INT(SUMPRODUCT(--ISNUMBER(SEARCH(gun,'Mark Kelly'!C49)))&gt;0)</f>
        <v>0</v>
      </c>
      <c r="R49" s="14" cm="1">
        <f t="array" ref="R49">INT(SUMPRODUCT(--ISNUMBER(SEARCH(race,'Mark Kelly'!C49)))&gt;0)</f>
        <v>1</v>
      </c>
      <c r="S49" s="14" cm="1">
        <f t="array" ref="S49">INT(SUMPRODUCT(--ISNUMBER(SEARCH(immigration,C49)))&gt;0)</f>
        <v>1</v>
      </c>
      <c r="T49" s="14" cm="1">
        <f t="array" ref="T49">INT(SUMPRODUCT(--ISNUMBER(SEARCH(econineq,C49)))&gt;0)</f>
        <v>0</v>
      </c>
      <c r="U49" s="14" cm="1">
        <f t="array" ref="U49">INT(SUMPRODUCT(--ISNUMBER(SEARCH(climate,'Mark Kelly'!C49)))&gt;0)</f>
        <v>0</v>
      </c>
      <c r="V49" s="14" cm="1">
        <f t="array" ref="V49">INT(SUMPRODUCT(--ISNUMBER(SEARCH(abortion,'Mark Kelly'!C49)))&gt;0)</f>
        <v>0</v>
      </c>
      <c r="W49" s="14" cm="1">
        <f t="array" ref="W49">INT(SUMPRODUCT(--ISNUMBER(SEARCH(trump,'Mark Kelly'!C49)))&gt;0)</f>
        <v>0</v>
      </c>
      <c r="X49" s="14" cm="1">
        <f t="array" ref="X49">INT(SUMPRODUCT(--ISNUMBER(SEARCH(voting,'Mark Kelly'!C49)))&gt;0)</f>
        <v>0</v>
      </c>
      <c r="Y49" s="14" cm="1">
        <f t="array" ref="Y49">INT(SUMPRODUCT(--ISNUMBER(SEARCH(democrattrigger,'Mark Kelly'!C49)))&gt;0)</f>
        <v>0</v>
      </c>
      <c r="Z49" s="14" cm="1">
        <f t="array" ref="Z49">INT(SUMPRODUCT(--ISNUMBER(SEARCH(bipartisan,'Mark Kelly'!C49)))&gt;0)</f>
        <v>0</v>
      </c>
      <c r="AA49" s="14">
        <f t="shared" si="0"/>
        <v>0</v>
      </c>
      <c r="AB49" s="14"/>
      <c r="AC49" s="30">
        <v>0</v>
      </c>
      <c r="AD49" s="37">
        <v>1</v>
      </c>
    </row>
    <row r="50" spans="1:30" x14ac:dyDescent="0.25">
      <c r="A50" s="36">
        <v>134</v>
      </c>
      <c r="B50" s="14" t="s">
        <v>300</v>
      </c>
      <c r="C50" s="31" t="s">
        <v>301</v>
      </c>
      <c r="D50" s="17">
        <v>44134</v>
      </c>
      <c r="E50" s="14" t="s">
        <v>30</v>
      </c>
      <c r="F50" s="14">
        <v>2789</v>
      </c>
      <c r="G50" s="14">
        <v>614</v>
      </c>
      <c r="H50" s="14">
        <v>2</v>
      </c>
      <c r="I50" s="14">
        <v>1</v>
      </c>
      <c r="J50" s="14" t="s">
        <v>204</v>
      </c>
      <c r="K50" s="14" cm="1">
        <f t="array" ref="K50">INT(SUMPRODUCT(--ISNUMBER(SEARCH(economy,'Mark Kelly'!C50)))&gt;0)</f>
        <v>0</v>
      </c>
      <c r="L50" s="14" cm="1">
        <f t="array" ref="L50">INT(SUMPRODUCT(--ISNUMBER(SEARCH(healthcare,'Mark Kelly'!C50)))&gt;0)</f>
        <v>0</v>
      </c>
      <c r="M50" s="14" cm="1">
        <f t="array" ref="M50">INT(SUMPRODUCT(--ISNUMBER(SEARCH(supreme,'Mark Kelly'!C50)))&gt;0)</f>
        <v>0</v>
      </c>
      <c r="N50" s="14" cm="1">
        <f t="array" ref="N50">INT(SUMPRODUCT(--ISNUMBER(SEARCH(covid,'Mark Kelly'!C50)))&gt;0)</f>
        <v>0</v>
      </c>
      <c r="O50" s="14" cm="1">
        <f t="array" ref="O50">INT(SUMPRODUCT(--ISNUMBER(SEARCH(violent,'Mark Kelly'!C50)))&gt;0)</f>
        <v>0</v>
      </c>
      <c r="P50" s="14" cm="1">
        <f t="array" ref="P50">INT(SUMPRODUCT(--ISNUMBER(SEARCH(foreign,'Mark Kelly'!C50)))&gt;0)</f>
        <v>0</v>
      </c>
      <c r="Q50" s="14" cm="1">
        <f t="array" ref="Q50">INT(SUMPRODUCT(--ISNUMBER(SEARCH(gun,'Mark Kelly'!C50)))&gt;0)</f>
        <v>0</v>
      </c>
      <c r="R50" s="14" cm="1">
        <f t="array" ref="R50">INT(SUMPRODUCT(--ISNUMBER(SEARCH(race,'Mark Kelly'!C50)))&gt;0)</f>
        <v>0</v>
      </c>
      <c r="S50" s="14" cm="1">
        <f t="array" ref="S50">INT(SUMPRODUCT(--ISNUMBER(SEARCH(immigration,C50)))&gt;0)</f>
        <v>0</v>
      </c>
      <c r="T50" s="14" cm="1">
        <f t="array" ref="T50">INT(SUMPRODUCT(--ISNUMBER(SEARCH(econineq,C50)))&gt;0)</f>
        <v>0</v>
      </c>
      <c r="U50" s="14" cm="1">
        <f t="array" ref="U50">INT(SUMPRODUCT(--ISNUMBER(SEARCH(climate,'Mark Kelly'!C50)))&gt;0)</f>
        <v>0</v>
      </c>
      <c r="V50" s="14" cm="1">
        <f t="array" ref="V50">INT(SUMPRODUCT(--ISNUMBER(SEARCH(abortion,'Mark Kelly'!C50)))&gt;0)</f>
        <v>0</v>
      </c>
      <c r="W50" s="14" cm="1">
        <f t="array" ref="W50">INT(SUMPRODUCT(--ISNUMBER(SEARCH(trump,'Mark Kelly'!C50)))&gt;0)</f>
        <v>0</v>
      </c>
      <c r="X50" s="14" cm="1">
        <f t="array" ref="X50">INT(SUMPRODUCT(--ISNUMBER(SEARCH(voting,'Mark Kelly'!C50)))&gt;0)</f>
        <v>1</v>
      </c>
      <c r="Y50" s="14" cm="1">
        <f t="array" ref="Y50">INT(SUMPRODUCT(--ISNUMBER(SEARCH(democrattrigger,'Mark Kelly'!C50)))&gt;0)</f>
        <v>0</v>
      </c>
      <c r="Z50" s="14" cm="1">
        <f t="array" ref="Z50">INT(SUMPRODUCT(--ISNUMBER(SEARCH(bipartisan,'Mark Kelly'!C50)))&gt;0)</f>
        <v>0</v>
      </c>
      <c r="AA50" s="14">
        <f t="shared" si="0"/>
        <v>0</v>
      </c>
      <c r="AB50" s="14"/>
      <c r="AC50" s="30" t="s">
        <v>223</v>
      </c>
      <c r="AD50" s="37">
        <v>0</v>
      </c>
    </row>
    <row r="51" spans="1:30" x14ac:dyDescent="0.25">
      <c r="A51" s="36">
        <v>135</v>
      </c>
      <c r="B51" s="14" t="s">
        <v>302</v>
      </c>
      <c r="C51" s="31" t="s">
        <v>303</v>
      </c>
      <c r="D51" s="17">
        <v>44134</v>
      </c>
      <c r="E51" s="14" t="s">
        <v>30</v>
      </c>
      <c r="F51" s="14">
        <v>1078</v>
      </c>
      <c r="G51" s="14">
        <v>256</v>
      </c>
      <c r="H51" s="14">
        <v>2</v>
      </c>
      <c r="I51" s="14">
        <v>1</v>
      </c>
      <c r="J51" s="14" t="s">
        <v>204</v>
      </c>
      <c r="K51" s="14" cm="1">
        <f t="array" ref="K51">INT(SUMPRODUCT(--ISNUMBER(SEARCH(economy,'Mark Kelly'!C51)))&gt;0)</f>
        <v>1</v>
      </c>
      <c r="L51" s="14" cm="1">
        <f t="array" ref="L51">INT(SUMPRODUCT(--ISNUMBER(SEARCH(healthcare,'Mark Kelly'!C51)))&gt;0)</f>
        <v>0</v>
      </c>
      <c r="M51" s="14" cm="1">
        <f t="array" ref="M51">INT(SUMPRODUCT(--ISNUMBER(SEARCH(supreme,'Mark Kelly'!C51)))&gt;0)</f>
        <v>0</v>
      </c>
      <c r="N51" s="14" cm="1">
        <f t="array" ref="N51">INT(SUMPRODUCT(--ISNUMBER(SEARCH(covid,'Mark Kelly'!C51)))&gt;0)</f>
        <v>0</v>
      </c>
      <c r="O51" s="14" cm="1">
        <f t="array" ref="O51">INT(SUMPRODUCT(--ISNUMBER(SEARCH(violent,'Mark Kelly'!C51)))&gt;0)</f>
        <v>0</v>
      </c>
      <c r="P51" s="14" cm="1">
        <f t="array" ref="P51">INT(SUMPRODUCT(--ISNUMBER(SEARCH(foreign,'Mark Kelly'!C51)))&gt;0)</f>
        <v>0</v>
      </c>
      <c r="Q51" s="14" cm="1">
        <f t="array" ref="Q51">INT(SUMPRODUCT(--ISNUMBER(SEARCH(gun,'Mark Kelly'!C51)))&gt;0)</f>
        <v>0</v>
      </c>
      <c r="R51" s="14" cm="1">
        <f t="array" ref="R51">INT(SUMPRODUCT(--ISNUMBER(SEARCH(race,'Mark Kelly'!C51)))&gt;0)</f>
        <v>0</v>
      </c>
      <c r="S51" s="14" cm="1">
        <f t="array" ref="S51">INT(SUMPRODUCT(--ISNUMBER(SEARCH(immigration,C51)))&gt;0)</f>
        <v>0</v>
      </c>
      <c r="T51" s="14" cm="1">
        <f t="array" ref="T51">INT(SUMPRODUCT(--ISNUMBER(SEARCH(econineq,C51)))&gt;0)</f>
        <v>0</v>
      </c>
      <c r="U51" s="14" cm="1">
        <f t="array" ref="U51">INT(SUMPRODUCT(--ISNUMBER(SEARCH(climate,'Mark Kelly'!C51)))&gt;0)</f>
        <v>0</v>
      </c>
      <c r="V51" s="14" cm="1">
        <f t="array" ref="V51">INT(SUMPRODUCT(--ISNUMBER(SEARCH(abortion,'Mark Kelly'!C51)))&gt;0)</f>
        <v>0</v>
      </c>
      <c r="W51" s="14" cm="1">
        <f t="array" ref="W51">INT(SUMPRODUCT(--ISNUMBER(SEARCH(trump,'Mark Kelly'!C51)))&gt;0)</f>
        <v>0</v>
      </c>
      <c r="X51" s="14" cm="1">
        <f t="array" ref="X51">INT(SUMPRODUCT(--ISNUMBER(SEARCH(voting,'Mark Kelly'!C51)))&gt;0)</f>
        <v>0</v>
      </c>
      <c r="Y51" s="14" cm="1">
        <f t="array" ref="Y51">INT(SUMPRODUCT(--ISNUMBER(SEARCH(democrattrigger,'Mark Kelly'!C51)))&gt;0)</f>
        <v>0</v>
      </c>
      <c r="Z51" s="14" cm="1">
        <f t="array" ref="Z51">INT(SUMPRODUCT(--ISNUMBER(SEARCH(bipartisan,'Mark Kelly'!C51)))&gt;0)</f>
        <v>0</v>
      </c>
      <c r="AA51" s="14">
        <f t="shared" si="0"/>
        <v>0</v>
      </c>
      <c r="AB51" s="14"/>
      <c r="AC51" s="30">
        <v>1</v>
      </c>
      <c r="AD51" s="37">
        <v>0</v>
      </c>
    </row>
    <row r="52" spans="1:30" x14ac:dyDescent="0.25">
      <c r="A52" s="36">
        <v>136</v>
      </c>
      <c r="B52" s="14" t="s">
        <v>304</v>
      </c>
      <c r="C52" s="31" t="s">
        <v>305</v>
      </c>
      <c r="D52" s="17">
        <v>44133</v>
      </c>
      <c r="E52" s="14" t="s">
        <v>30</v>
      </c>
      <c r="F52" s="14">
        <v>4738</v>
      </c>
      <c r="G52" s="14">
        <v>1022</v>
      </c>
      <c r="H52" s="14">
        <v>2</v>
      </c>
      <c r="I52" s="14">
        <v>1</v>
      </c>
      <c r="J52" s="14" t="s">
        <v>204</v>
      </c>
      <c r="K52" s="14" cm="1">
        <f t="array" ref="K52">INT(SUMPRODUCT(--ISNUMBER(SEARCH(economy,'Mark Kelly'!C52)))&gt;0)</f>
        <v>0</v>
      </c>
      <c r="L52" s="14" cm="1">
        <f t="array" ref="L52">INT(SUMPRODUCT(--ISNUMBER(SEARCH(healthcare,'Mark Kelly'!C52)))&gt;0)</f>
        <v>0</v>
      </c>
      <c r="M52" s="14" cm="1">
        <f t="array" ref="M52">INT(SUMPRODUCT(--ISNUMBER(SEARCH(supreme,'Mark Kelly'!C52)))&gt;0)</f>
        <v>0</v>
      </c>
      <c r="N52" s="14" cm="1">
        <f t="array" ref="N52">INT(SUMPRODUCT(--ISNUMBER(SEARCH(covid,'Mark Kelly'!C52)))&gt;0)</f>
        <v>0</v>
      </c>
      <c r="O52" s="14" cm="1">
        <f t="array" ref="O52">INT(SUMPRODUCT(--ISNUMBER(SEARCH(violent,'Mark Kelly'!C52)))&gt;0)</f>
        <v>0</v>
      </c>
      <c r="P52" s="14" cm="1">
        <f t="array" ref="P52">INT(SUMPRODUCT(--ISNUMBER(SEARCH(foreign,'Mark Kelly'!C52)))&gt;0)</f>
        <v>0</v>
      </c>
      <c r="Q52" s="14" cm="1">
        <f t="array" ref="Q52">INT(SUMPRODUCT(--ISNUMBER(SEARCH(gun,'Mark Kelly'!C52)))&gt;0)</f>
        <v>0</v>
      </c>
      <c r="R52" s="14" cm="1">
        <f t="array" ref="R52">INT(SUMPRODUCT(--ISNUMBER(SEARCH(race,'Mark Kelly'!C52)))&gt;0)</f>
        <v>0</v>
      </c>
      <c r="S52" s="14" cm="1">
        <f t="array" ref="S52">INT(SUMPRODUCT(--ISNUMBER(SEARCH(immigration,C52)))&gt;0)</f>
        <v>0</v>
      </c>
      <c r="T52" s="14" cm="1">
        <f t="array" ref="T52">INT(SUMPRODUCT(--ISNUMBER(SEARCH(econineq,C52)))&gt;0)</f>
        <v>0</v>
      </c>
      <c r="U52" s="14" cm="1">
        <f t="array" ref="U52">INT(SUMPRODUCT(--ISNUMBER(SEARCH(climate,'Mark Kelly'!C52)))&gt;0)</f>
        <v>0</v>
      </c>
      <c r="V52" s="14" cm="1">
        <f t="array" ref="V52">INT(SUMPRODUCT(--ISNUMBER(SEARCH(abortion,'Mark Kelly'!C52)))&gt;0)</f>
        <v>0</v>
      </c>
      <c r="W52" s="14" cm="1">
        <f t="array" ref="W52">INT(SUMPRODUCT(--ISNUMBER(SEARCH(trump,'Mark Kelly'!C52)))&gt;0)</f>
        <v>0</v>
      </c>
      <c r="X52" s="14" cm="1">
        <f t="array" ref="X52">INT(SUMPRODUCT(--ISNUMBER(SEARCH(voting,'Mark Kelly'!C52)))&gt;0)</f>
        <v>0</v>
      </c>
      <c r="Y52" s="14" cm="1">
        <f t="array" ref="Y52">INT(SUMPRODUCT(--ISNUMBER(SEARCH(democrattrigger,'Mark Kelly'!C52)))&gt;0)</f>
        <v>0</v>
      </c>
      <c r="Z52" s="14" cm="1">
        <f t="array" ref="Z52">INT(SUMPRODUCT(--ISNUMBER(SEARCH(bipartisan,'Mark Kelly'!C52)))&gt;0)</f>
        <v>1</v>
      </c>
      <c r="AA52" s="14">
        <f t="shared" si="0"/>
        <v>0</v>
      </c>
      <c r="AB52" s="14"/>
      <c r="AC52" s="30" t="s">
        <v>223</v>
      </c>
      <c r="AD52" s="37">
        <v>0</v>
      </c>
    </row>
    <row r="53" spans="1:30" x14ac:dyDescent="0.25">
      <c r="A53" s="36">
        <v>137</v>
      </c>
      <c r="B53" s="14" t="s">
        <v>306</v>
      </c>
      <c r="C53" s="31" t="s">
        <v>307</v>
      </c>
      <c r="D53" s="17">
        <v>44133</v>
      </c>
      <c r="E53" s="14" t="s">
        <v>30</v>
      </c>
      <c r="F53" s="14">
        <v>715</v>
      </c>
      <c r="G53" s="14">
        <v>195</v>
      </c>
      <c r="H53" s="14">
        <v>2</v>
      </c>
      <c r="I53" s="14">
        <v>1</v>
      </c>
      <c r="J53" s="14" t="s">
        <v>204</v>
      </c>
      <c r="K53" s="14" cm="1">
        <f t="array" ref="K53">INT(SUMPRODUCT(--ISNUMBER(SEARCH(economy,'Mark Kelly'!C53)))&gt;0)</f>
        <v>0</v>
      </c>
      <c r="L53" s="14" cm="1">
        <f t="array" ref="L53">INT(SUMPRODUCT(--ISNUMBER(SEARCH(healthcare,'Mark Kelly'!C53)))&gt;0)</f>
        <v>1</v>
      </c>
      <c r="M53" s="14" cm="1">
        <f t="array" ref="M53">INT(SUMPRODUCT(--ISNUMBER(SEARCH(supreme,'Mark Kelly'!C53)))&gt;0)</f>
        <v>0</v>
      </c>
      <c r="N53" s="14" cm="1">
        <f t="array" ref="N53">INT(SUMPRODUCT(--ISNUMBER(SEARCH(covid,'Mark Kelly'!C53)))&gt;0)</f>
        <v>0</v>
      </c>
      <c r="O53" s="14" cm="1">
        <f t="array" ref="O53">INT(SUMPRODUCT(--ISNUMBER(SEARCH(violent,'Mark Kelly'!C53)))&gt;0)</f>
        <v>0</v>
      </c>
      <c r="P53" s="14" cm="1">
        <f t="array" ref="P53">INT(SUMPRODUCT(--ISNUMBER(SEARCH(foreign,'Mark Kelly'!C53)))&gt;0)</f>
        <v>0</v>
      </c>
      <c r="Q53" s="14" cm="1">
        <f t="array" ref="Q53">INT(SUMPRODUCT(--ISNUMBER(SEARCH(gun,'Mark Kelly'!C53)))&gt;0)</f>
        <v>0</v>
      </c>
      <c r="R53" s="14" cm="1">
        <f t="array" ref="R53">INT(SUMPRODUCT(--ISNUMBER(SEARCH(race,'Mark Kelly'!C53)))&gt;0)</f>
        <v>0</v>
      </c>
      <c r="S53" s="14" cm="1">
        <f t="array" ref="S53">INT(SUMPRODUCT(--ISNUMBER(SEARCH(immigration,C53)))&gt;0)</f>
        <v>0</v>
      </c>
      <c r="T53" s="14" cm="1">
        <f t="array" ref="T53">INT(SUMPRODUCT(--ISNUMBER(SEARCH(econineq,C53)))&gt;0)</f>
        <v>0</v>
      </c>
      <c r="U53" s="14" cm="1">
        <f t="array" ref="U53">INT(SUMPRODUCT(--ISNUMBER(SEARCH(climate,'Mark Kelly'!C53)))&gt;0)</f>
        <v>0</v>
      </c>
      <c r="V53" s="14" cm="1">
        <f t="array" ref="V53">INT(SUMPRODUCT(--ISNUMBER(SEARCH(abortion,'Mark Kelly'!C53)))&gt;0)</f>
        <v>0</v>
      </c>
      <c r="W53" s="14" cm="1">
        <f t="array" ref="W53">INT(SUMPRODUCT(--ISNUMBER(SEARCH(trump,'Mark Kelly'!C53)))&gt;0)</f>
        <v>0</v>
      </c>
      <c r="X53" s="14" cm="1">
        <f t="array" ref="X53">INT(SUMPRODUCT(--ISNUMBER(SEARCH(voting,'Mark Kelly'!C53)))&gt;0)</f>
        <v>0</v>
      </c>
      <c r="Y53" s="14" cm="1">
        <f t="array" ref="Y53">INT(SUMPRODUCT(--ISNUMBER(SEARCH(democrattrigger,'Mark Kelly'!C53)))&gt;0)</f>
        <v>0</v>
      </c>
      <c r="Z53" s="14" cm="1">
        <f t="array" ref="Z53">INT(SUMPRODUCT(--ISNUMBER(SEARCH(bipartisan,'Mark Kelly'!C53)))&gt;0)</f>
        <v>0</v>
      </c>
      <c r="AA53" s="14">
        <f t="shared" si="0"/>
        <v>0</v>
      </c>
      <c r="AB53" s="14"/>
      <c r="AC53" s="30" t="s">
        <v>223</v>
      </c>
      <c r="AD53" s="37">
        <v>0</v>
      </c>
    </row>
    <row r="54" spans="1:30" x14ac:dyDescent="0.25">
      <c r="A54" s="36">
        <v>138</v>
      </c>
      <c r="B54" s="14" t="s">
        <v>308</v>
      </c>
      <c r="C54" s="31" t="s">
        <v>309</v>
      </c>
      <c r="D54" s="17">
        <v>44133</v>
      </c>
      <c r="E54" s="14" t="s">
        <v>30</v>
      </c>
      <c r="F54" s="14">
        <v>636</v>
      </c>
      <c r="G54" s="14">
        <v>185</v>
      </c>
      <c r="H54" s="14">
        <v>2</v>
      </c>
      <c r="I54" s="14">
        <v>1</v>
      </c>
      <c r="J54" s="14" t="s">
        <v>204</v>
      </c>
      <c r="K54" s="14" cm="1">
        <f t="array" ref="K54">INT(SUMPRODUCT(--ISNUMBER(SEARCH(economy,'Mark Kelly'!C54)))&gt;0)</f>
        <v>0</v>
      </c>
      <c r="L54" s="14" cm="1">
        <f t="array" ref="L54">INT(SUMPRODUCT(--ISNUMBER(SEARCH(healthcare,'Mark Kelly'!C54)))&gt;0)</f>
        <v>1</v>
      </c>
      <c r="M54" s="14" cm="1">
        <f t="array" ref="M54">INT(SUMPRODUCT(--ISNUMBER(SEARCH(supreme,'Mark Kelly'!C54)))&gt;0)</f>
        <v>0</v>
      </c>
      <c r="N54" s="14" cm="1">
        <f t="array" ref="N54">INT(SUMPRODUCT(--ISNUMBER(SEARCH(covid,'Mark Kelly'!C54)))&gt;0)</f>
        <v>0</v>
      </c>
      <c r="O54" s="14" cm="1">
        <f t="array" ref="O54">INT(SUMPRODUCT(--ISNUMBER(SEARCH(violent,'Mark Kelly'!C54)))&gt;0)</f>
        <v>0</v>
      </c>
      <c r="P54" s="14" cm="1">
        <f t="array" ref="P54">INT(SUMPRODUCT(--ISNUMBER(SEARCH(foreign,'Mark Kelly'!C54)))&gt;0)</f>
        <v>0</v>
      </c>
      <c r="Q54" s="14" cm="1">
        <f t="array" ref="Q54">INT(SUMPRODUCT(--ISNUMBER(SEARCH(gun,'Mark Kelly'!C54)))&gt;0)</f>
        <v>0</v>
      </c>
      <c r="R54" s="14" cm="1">
        <f t="array" ref="R54">INT(SUMPRODUCT(--ISNUMBER(SEARCH(race,'Mark Kelly'!C54)))&gt;0)</f>
        <v>0</v>
      </c>
      <c r="S54" s="14" cm="1">
        <f t="array" ref="S54">INT(SUMPRODUCT(--ISNUMBER(SEARCH(immigration,C54)))&gt;0)</f>
        <v>0</v>
      </c>
      <c r="T54" s="14" cm="1">
        <f t="array" ref="T54">INT(SUMPRODUCT(--ISNUMBER(SEARCH(econineq,C54)))&gt;0)</f>
        <v>0</v>
      </c>
      <c r="U54" s="14" cm="1">
        <f t="array" ref="U54">INT(SUMPRODUCT(--ISNUMBER(SEARCH(climate,'Mark Kelly'!C54)))&gt;0)</f>
        <v>0</v>
      </c>
      <c r="V54" s="14" cm="1">
        <f t="array" ref="V54">INT(SUMPRODUCT(--ISNUMBER(SEARCH(abortion,'Mark Kelly'!C54)))&gt;0)</f>
        <v>0</v>
      </c>
      <c r="W54" s="14" cm="1">
        <f t="array" ref="W54">INT(SUMPRODUCT(--ISNUMBER(SEARCH(trump,'Mark Kelly'!C54)))&gt;0)</f>
        <v>0</v>
      </c>
      <c r="X54" s="14" cm="1">
        <f t="array" ref="X54">INT(SUMPRODUCT(--ISNUMBER(SEARCH(voting,'Mark Kelly'!C54)))&gt;0)</f>
        <v>0</v>
      </c>
      <c r="Y54" s="14" cm="1">
        <f t="array" ref="Y54">INT(SUMPRODUCT(--ISNUMBER(SEARCH(democrattrigger,'Mark Kelly'!C54)))&gt;0)</f>
        <v>0</v>
      </c>
      <c r="Z54" s="14" cm="1">
        <f t="array" ref="Z54">INT(SUMPRODUCT(--ISNUMBER(SEARCH(bipartisan,'Mark Kelly'!C54)))&gt;0)</f>
        <v>0</v>
      </c>
      <c r="AA54" s="14">
        <f t="shared" si="0"/>
        <v>0</v>
      </c>
      <c r="AB54" s="14"/>
      <c r="AC54" s="30">
        <v>1</v>
      </c>
      <c r="AD54" s="37">
        <v>0</v>
      </c>
    </row>
    <row r="55" spans="1:30" x14ac:dyDescent="0.25">
      <c r="A55" s="36">
        <v>139</v>
      </c>
      <c r="B55" s="14" t="s">
        <v>310</v>
      </c>
      <c r="C55" s="31" t="s">
        <v>311</v>
      </c>
      <c r="D55" s="17">
        <v>44133</v>
      </c>
      <c r="E55" s="14" t="s">
        <v>30</v>
      </c>
      <c r="F55" s="14">
        <v>1403</v>
      </c>
      <c r="G55" s="14">
        <v>304</v>
      </c>
      <c r="H55" s="14">
        <v>2</v>
      </c>
      <c r="I55" s="14">
        <v>1</v>
      </c>
      <c r="J55" s="14" t="s">
        <v>204</v>
      </c>
      <c r="K55" s="14" cm="1">
        <f t="array" ref="K55">INT(SUMPRODUCT(--ISNUMBER(SEARCH(economy,'Mark Kelly'!C55)))&gt;0)</f>
        <v>0</v>
      </c>
      <c r="L55" s="14" cm="1">
        <f t="array" ref="L55">INT(SUMPRODUCT(--ISNUMBER(SEARCH(healthcare,'Mark Kelly'!C55)))&gt;0)</f>
        <v>0</v>
      </c>
      <c r="M55" s="14" cm="1">
        <f t="array" ref="M55">INT(SUMPRODUCT(--ISNUMBER(SEARCH(supreme,'Mark Kelly'!C55)))&gt;0)</f>
        <v>0</v>
      </c>
      <c r="N55" s="14" cm="1">
        <f t="array" ref="N55">INT(SUMPRODUCT(--ISNUMBER(SEARCH(covid,'Mark Kelly'!C55)))&gt;0)</f>
        <v>0</v>
      </c>
      <c r="O55" s="14" cm="1">
        <f t="array" ref="O55">INT(SUMPRODUCT(--ISNUMBER(SEARCH(violent,'Mark Kelly'!C55)))&gt;0)</f>
        <v>0</v>
      </c>
      <c r="P55" s="14" cm="1">
        <f t="array" ref="P55">INT(SUMPRODUCT(--ISNUMBER(SEARCH(foreign,'Mark Kelly'!C55)))&gt;0)</f>
        <v>0</v>
      </c>
      <c r="Q55" s="14" cm="1">
        <f t="array" ref="Q55">INT(SUMPRODUCT(--ISNUMBER(SEARCH(gun,'Mark Kelly'!C55)))&gt;0)</f>
        <v>0</v>
      </c>
      <c r="R55" s="14" cm="1">
        <f t="array" ref="R55">INT(SUMPRODUCT(--ISNUMBER(SEARCH(race,'Mark Kelly'!C55)))&gt;0)</f>
        <v>0</v>
      </c>
      <c r="S55" s="14" cm="1">
        <f t="array" ref="S55">INT(SUMPRODUCT(--ISNUMBER(SEARCH(immigration,C55)))&gt;0)</f>
        <v>0</v>
      </c>
      <c r="T55" s="14" cm="1">
        <f t="array" ref="T55">INT(SUMPRODUCT(--ISNUMBER(SEARCH(econineq,C55)))&gt;0)</f>
        <v>0</v>
      </c>
      <c r="U55" s="14" cm="1">
        <f t="array" ref="U55">INT(SUMPRODUCT(--ISNUMBER(SEARCH(climate,'Mark Kelly'!C55)))&gt;0)</f>
        <v>0</v>
      </c>
      <c r="V55" s="14" cm="1">
        <f t="array" ref="V55">INT(SUMPRODUCT(--ISNUMBER(SEARCH(abortion,'Mark Kelly'!C55)))&gt;0)</f>
        <v>0</v>
      </c>
      <c r="W55" s="14" cm="1">
        <f t="array" ref="W55">INT(SUMPRODUCT(--ISNUMBER(SEARCH(trump,'Mark Kelly'!C55)))&gt;0)</f>
        <v>0</v>
      </c>
      <c r="X55" s="14" cm="1">
        <f t="array" ref="X55">INT(SUMPRODUCT(--ISNUMBER(SEARCH(voting,'Mark Kelly'!C55)))&gt;0)</f>
        <v>0</v>
      </c>
      <c r="Y55" s="14" cm="1">
        <f t="array" ref="Y55">INT(SUMPRODUCT(--ISNUMBER(SEARCH(democrattrigger,'Mark Kelly'!C55)))&gt;0)</f>
        <v>0</v>
      </c>
      <c r="Z55" s="14" cm="1">
        <f t="array" ref="Z55">INT(SUMPRODUCT(--ISNUMBER(SEARCH(bipartisan,'Mark Kelly'!C55)))&gt;0)</f>
        <v>1</v>
      </c>
      <c r="AA55" s="14">
        <f t="shared" si="0"/>
        <v>0</v>
      </c>
      <c r="AB55" s="14"/>
      <c r="AC55" s="30" t="s">
        <v>223</v>
      </c>
      <c r="AD55" s="37">
        <v>0</v>
      </c>
    </row>
    <row r="56" spans="1:30" x14ac:dyDescent="0.25">
      <c r="A56" s="36">
        <v>140</v>
      </c>
      <c r="B56" s="14" t="s">
        <v>312</v>
      </c>
      <c r="C56" s="31" t="s">
        <v>313</v>
      </c>
      <c r="D56" s="17">
        <v>44133</v>
      </c>
      <c r="E56" s="14" t="s">
        <v>30</v>
      </c>
      <c r="F56" s="14">
        <v>1801</v>
      </c>
      <c r="G56" s="14">
        <v>172</v>
      </c>
      <c r="H56" s="14">
        <v>2</v>
      </c>
      <c r="I56" s="14">
        <v>1</v>
      </c>
      <c r="J56" s="14" t="s">
        <v>204</v>
      </c>
      <c r="K56" s="14" cm="1">
        <f t="array" ref="K56">INT(SUMPRODUCT(--ISNUMBER(SEARCH(economy,'Mark Kelly'!C56)))&gt;0)</f>
        <v>0</v>
      </c>
      <c r="L56" s="14" cm="1">
        <f t="array" ref="L56">INT(SUMPRODUCT(--ISNUMBER(SEARCH(healthcare,'Mark Kelly'!C56)))&gt;0)</f>
        <v>0</v>
      </c>
      <c r="M56" s="14" cm="1">
        <f t="array" ref="M56">INT(SUMPRODUCT(--ISNUMBER(SEARCH(supreme,'Mark Kelly'!C56)))&gt;0)</f>
        <v>0</v>
      </c>
      <c r="N56" s="14" cm="1">
        <f t="array" ref="N56">INT(SUMPRODUCT(--ISNUMBER(SEARCH(covid,'Mark Kelly'!C56)))&gt;0)</f>
        <v>0</v>
      </c>
      <c r="O56" s="14" cm="1">
        <f t="array" ref="O56">INT(SUMPRODUCT(--ISNUMBER(SEARCH(violent,'Mark Kelly'!C56)))&gt;0)</f>
        <v>0</v>
      </c>
      <c r="P56" s="14" cm="1">
        <f t="array" ref="P56">INT(SUMPRODUCT(--ISNUMBER(SEARCH(foreign,'Mark Kelly'!C56)))&gt;0)</f>
        <v>0</v>
      </c>
      <c r="Q56" s="14" cm="1">
        <f t="array" ref="Q56">INT(SUMPRODUCT(--ISNUMBER(SEARCH(gun,'Mark Kelly'!C56)))&gt;0)</f>
        <v>0</v>
      </c>
      <c r="R56" s="14" cm="1">
        <f t="array" ref="R56">INT(SUMPRODUCT(--ISNUMBER(SEARCH(race,'Mark Kelly'!C56)))&gt;0)</f>
        <v>0</v>
      </c>
      <c r="S56" s="14" cm="1">
        <f t="array" ref="S56">INT(SUMPRODUCT(--ISNUMBER(SEARCH(immigration,C56)))&gt;0)</f>
        <v>0</v>
      </c>
      <c r="T56" s="14" cm="1">
        <f t="array" ref="T56">INT(SUMPRODUCT(--ISNUMBER(SEARCH(econineq,C56)))&gt;0)</f>
        <v>0</v>
      </c>
      <c r="U56" s="14" cm="1">
        <f t="array" ref="U56">INT(SUMPRODUCT(--ISNUMBER(SEARCH(climate,'Mark Kelly'!C56)))&gt;0)</f>
        <v>0</v>
      </c>
      <c r="V56" s="14" cm="1">
        <f t="array" ref="V56">INT(SUMPRODUCT(--ISNUMBER(SEARCH(abortion,'Mark Kelly'!C56)))&gt;0)</f>
        <v>0</v>
      </c>
      <c r="W56" s="14" cm="1">
        <f t="array" ref="W56">INT(SUMPRODUCT(--ISNUMBER(SEARCH(trump,'Mark Kelly'!C56)))&gt;0)</f>
        <v>0</v>
      </c>
      <c r="X56" s="14" cm="1">
        <f t="array" ref="X56">INT(SUMPRODUCT(--ISNUMBER(SEARCH(voting,'Mark Kelly'!C56)))&gt;0)</f>
        <v>0</v>
      </c>
      <c r="Y56" s="14" cm="1">
        <f t="array" ref="Y56">INT(SUMPRODUCT(--ISNUMBER(SEARCH(democrattrigger,'Mark Kelly'!C56)))&gt;0)</f>
        <v>0</v>
      </c>
      <c r="Z56" s="14" cm="1">
        <f t="array" ref="Z56">INT(SUMPRODUCT(--ISNUMBER(SEARCH(bipartisan,'Mark Kelly'!C56)))&gt;0)</f>
        <v>0</v>
      </c>
      <c r="AA56" s="14">
        <f t="shared" si="0"/>
        <v>1</v>
      </c>
      <c r="AB56" s="14"/>
      <c r="AC56" s="30">
        <v>1</v>
      </c>
      <c r="AD56" s="37">
        <v>0</v>
      </c>
    </row>
    <row r="57" spans="1:30" x14ac:dyDescent="0.25">
      <c r="A57" s="36">
        <v>141</v>
      </c>
      <c r="B57" s="14" t="s">
        <v>314</v>
      </c>
      <c r="C57" s="31" t="s">
        <v>315</v>
      </c>
      <c r="D57" s="17">
        <v>44133</v>
      </c>
      <c r="E57" s="14" t="s">
        <v>30</v>
      </c>
      <c r="F57" s="14">
        <v>762</v>
      </c>
      <c r="G57" s="14">
        <v>82</v>
      </c>
      <c r="H57" s="14">
        <v>2</v>
      </c>
      <c r="I57" s="14">
        <v>1</v>
      </c>
      <c r="J57" s="14" t="s">
        <v>204</v>
      </c>
      <c r="K57" s="14" cm="1">
        <f t="array" ref="K57">INT(SUMPRODUCT(--ISNUMBER(SEARCH(economy,'Mark Kelly'!C57)))&gt;0)</f>
        <v>0</v>
      </c>
      <c r="L57" s="14" cm="1">
        <f t="array" ref="L57">INT(SUMPRODUCT(--ISNUMBER(SEARCH(healthcare,'Mark Kelly'!C57)))&gt;0)</f>
        <v>0</v>
      </c>
      <c r="M57" s="14" cm="1">
        <f t="array" ref="M57">INT(SUMPRODUCT(--ISNUMBER(SEARCH(supreme,'Mark Kelly'!C57)))&gt;0)</f>
        <v>0</v>
      </c>
      <c r="N57" s="14" cm="1">
        <f t="array" ref="N57">INT(SUMPRODUCT(--ISNUMBER(SEARCH(covid,'Mark Kelly'!C57)))&gt;0)</f>
        <v>0</v>
      </c>
      <c r="O57" s="14" cm="1">
        <f t="array" ref="O57">INT(SUMPRODUCT(--ISNUMBER(SEARCH(violent,'Mark Kelly'!C57)))&gt;0)</f>
        <v>0</v>
      </c>
      <c r="P57" s="14" cm="1">
        <f t="array" ref="P57">INT(SUMPRODUCT(--ISNUMBER(SEARCH(foreign,'Mark Kelly'!C57)))&gt;0)</f>
        <v>0</v>
      </c>
      <c r="Q57" s="14" cm="1">
        <f t="array" ref="Q57">INT(SUMPRODUCT(--ISNUMBER(SEARCH(gun,'Mark Kelly'!C57)))&gt;0)</f>
        <v>0</v>
      </c>
      <c r="R57" s="14" cm="1">
        <f t="array" ref="R57">INT(SUMPRODUCT(--ISNUMBER(SEARCH(race,'Mark Kelly'!C57)))&gt;0)</f>
        <v>0</v>
      </c>
      <c r="S57" s="14" cm="1">
        <f t="array" ref="S57">INT(SUMPRODUCT(--ISNUMBER(SEARCH(immigration,C57)))&gt;0)</f>
        <v>0</v>
      </c>
      <c r="T57" s="14" cm="1">
        <f t="array" ref="T57">INT(SUMPRODUCT(--ISNUMBER(SEARCH(econineq,C57)))&gt;0)</f>
        <v>0</v>
      </c>
      <c r="U57" s="14" cm="1">
        <f t="array" ref="U57">INT(SUMPRODUCT(--ISNUMBER(SEARCH(climate,'Mark Kelly'!C57)))&gt;0)</f>
        <v>0</v>
      </c>
      <c r="V57" s="14" cm="1">
        <f t="array" ref="V57">INT(SUMPRODUCT(--ISNUMBER(SEARCH(abortion,'Mark Kelly'!C57)))&gt;0)</f>
        <v>0</v>
      </c>
      <c r="W57" s="14" cm="1">
        <f t="array" ref="W57">INT(SUMPRODUCT(--ISNUMBER(SEARCH(trump,'Mark Kelly'!C57)))&gt;0)</f>
        <v>0</v>
      </c>
      <c r="X57" s="14" cm="1">
        <f t="array" ref="X57">INT(SUMPRODUCT(--ISNUMBER(SEARCH(voting,'Mark Kelly'!C57)))&gt;0)</f>
        <v>0</v>
      </c>
      <c r="Y57" s="14" cm="1">
        <f t="array" ref="Y57">INT(SUMPRODUCT(--ISNUMBER(SEARCH(democrattrigger,'Mark Kelly'!C57)))&gt;0)</f>
        <v>0</v>
      </c>
      <c r="Z57" s="14" cm="1">
        <f t="array" ref="Z57">INT(SUMPRODUCT(--ISNUMBER(SEARCH(bipartisan,'Mark Kelly'!C57)))&gt;0)</f>
        <v>0</v>
      </c>
      <c r="AA57" s="14">
        <f t="shared" si="0"/>
        <v>1</v>
      </c>
      <c r="AB57" s="14"/>
      <c r="AC57" s="30" t="s">
        <v>223</v>
      </c>
      <c r="AD57" s="37">
        <v>0</v>
      </c>
    </row>
    <row r="58" spans="1:30" x14ac:dyDescent="0.25">
      <c r="A58" s="36">
        <v>142</v>
      </c>
      <c r="B58" s="14" t="s">
        <v>316</v>
      </c>
      <c r="C58" s="31" t="s">
        <v>317</v>
      </c>
      <c r="D58" s="17">
        <v>44133</v>
      </c>
      <c r="E58" s="14" t="s">
        <v>30</v>
      </c>
      <c r="F58" s="14">
        <v>2224</v>
      </c>
      <c r="G58" s="14">
        <v>594</v>
      </c>
      <c r="H58" s="14">
        <v>2</v>
      </c>
      <c r="I58" s="14">
        <v>1</v>
      </c>
      <c r="J58" s="14" t="s">
        <v>204</v>
      </c>
      <c r="K58" s="14" cm="1">
        <f t="array" ref="K58">INT(SUMPRODUCT(--ISNUMBER(SEARCH(economy,'Mark Kelly'!C58)))&gt;0)</f>
        <v>0</v>
      </c>
      <c r="L58" s="14" cm="1">
        <f t="array" ref="L58">INT(SUMPRODUCT(--ISNUMBER(SEARCH(healthcare,'Mark Kelly'!C58)))&gt;0)</f>
        <v>0</v>
      </c>
      <c r="M58" s="14" cm="1">
        <f t="array" ref="M58">INT(SUMPRODUCT(--ISNUMBER(SEARCH(supreme,'Mark Kelly'!C58)))&gt;0)</f>
        <v>0</v>
      </c>
      <c r="N58" s="14" cm="1">
        <f t="array" ref="N58">INT(SUMPRODUCT(--ISNUMBER(SEARCH(covid,'Mark Kelly'!C58)))&gt;0)</f>
        <v>1</v>
      </c>
      <c r="O58" s="14" cm="1">
        <f t="array" ref="O58">INT(SUMPRODUCT(--ISNUMBER(SEARCH(violent,'Mark Kelly'!C58)))&gt;0)</f>
        <v>0</v>
      </c>
      <c r="P58" s="14" cm="1">
        <f t="array" ref="P58">INT(SUMPRODUCT(--ISNUMBER(SEARCH(foreign,'Mark Kelly'!C58)))&gt;0)</f>
        <v>0</v>
      </c>
      <c r="Q58" s="14" cm="1">
        <f t="array" ref="Q58">INT(SUMPRODUCT(--ISNUMBER(SEARCH(gun,'Mark Kelly'!C58)))&gt;0)</f>
        <v>0</v>
      </c>
      <c r="R58" s="14" cm="1">
        <f t="array" ref="R58">INT(SUMPRODUCT(--ISNUMBER(SEARCH(race,'Mark Kelly'!C58)))&gt;0)</f>
        <v>0</v>
      </c>
      <c r="S58" s="14" cm="1">
        <f t="array" ref="S58">INT(SUMPRODUCT(--ISNUMBER(SEARCH(immigration,C58)))&gt;0)</f>
        <v>0</v>
      </c>
      <c r="T58" s="14" cm="1">
        <f t="array" ref="T58">INT(SUMPRODUCT(--ISNUMBER(SEARCH(econineq,C58)))&gt;0)</f>
        <v>0</v>
      </c>
      <c r="U58" s="14" cm="1">
        <f t="array" ref="U58">INT(SUMPRODUCT(--ISNUMBER(SEARCH(climate,'Mark Kelly'!C58)))&gt;0)</f>
        <v>1</v>
      </c>
      <c r="V58" s="14" cm="1">
        <f t="array" ref="V58">INT(SUMPRODUCT(--ISNUMBER(SEARCH(abortion,'Mark Kelly'!C58)))&gt;0)</f>
        <v>0</v>
      </c>
      <c r="W58" s="14" cm="1">
        <f t="array" ref="W58">INT(SUMPRODUCT(--ISNUMBER(SEARCH(trump,'Mark Kelly'!C58)))&gt;0)</f>
        <v>0</v>
      </c>
      <c r="X58" s="14" cm="1">
        <f t="array" ref="X58">INT(SUMPRODUCT(--ISNUMBER(SEARCH(voting,'Mark Kelly'!C58)))&gt;0)</f>
        <v>0</v>
      </c>
      <c r="Y58" s="14" cm="1">
        <f t="array" ref="Y58">INT(SUMPRODUCT(--ISNUMBER(SEARCH(democrattrigger,'Mark Kelly'!C58)))&gt;0)</f>
        <v>0</v>
      </c>
      <c r="Z58" s="14" cm="1">
        <f t="array" ref="Z58">INT(SUMPRODUCT(--ISNUMBER(SEARCH(bipartisan,'Mark Kelly'!C58)))&gt;0)</f>
        <v>0</v>
      </c>
      <c r="AA58" s="14">
        <f t="shared" si="0"/>
        <v>0</v>
      </c>
      <c r="AB58" s="14"/>
      <c r="AC58" s="30">
        <v>0</v>
      </c>
      <c r="AD58" s="37">
        <v>1</v>
      </c>
    </row>
    <row r="59" spans="1:30" x14ac:dyDescent="0.25">
      <c r="A59" s="36">
        <v>143</v>
      </c>
      <c r="B59" s="14" t="s">
        <v>318</v>
      </c>
      <c r="C59" s="31" t="s">
        <v>319</v>
      </c>
      <c r="D59" s="17">
        <v>44133</v>
      </c>
      <c r="E59" s="14" t="s">
        <v>30</v>
      </c>
      <c r="F59" s="14">
        <v>1370</v>
      </c>
      <c r="G59" s="14">
        <v>284</v>
      </c>
      <c r="H59" s="14">
        <v>2</v>
      </c>
      <c r="I59" s="14">
        <v>1</v>
      </c>
      <c r="J59" s="14" t="s">
        <v>204</v>
      </c>
      <c r="K59" s="14" cm="1">
        <f t="array" ref="K59">INT(SUMPRODUCT(--ISNUMBER(SEARCH(economy,'Mark Kelly'!C59)))&gt;0)</f>
        <v>0</v>
      </c>
      <c r="L59" s="14" cm="1">
        <f t="array" ref="L59">INT(SUMPRODUCT(--ISNUMBER(SEARCH(healthcare,'Mark Kelly'!C59)))&gt;0)</f>
        <v>0</v>
      </c>
      <c r="M59" s="14" cm="1">
        <f t="array" ref="M59">INT(SUMPRODUCT(--ISNUMBER(SEARCH(supreme,'Mark Kelly'!C59)))&gt;0)</f>
        <v>0</v>
      </c>
      <c r="N59" s="14" cm="1">
        <f t="array" ref="N59">INT(SUMPRODUCT(--ISNUMBER(SEARCH(covid,'Mark Kelly'!C59)))&gt;0)</f>
        <v>0</v>
      </c>
      <c r="O59" s="14" cm="1">
        <f t="array" ref="O59">INT(SUMPRODUCT(--ISNUMBER(SEARCH(violent,'Mark Kelly'!C59)))&gt;0)</f>
        <v>0</v>
      </c>
      <c r="P59" s="14" cm="1">
        <f t="array" ref="P59">INT(SUMPRODUCT(--ISNUMBER(SEARCH(foreign,'Mark Kelly'!C59)))&gt;0)</f>
        <v>0</v>
      </c>
      <c r="Q59" s="14" cm="1">
        <f t="array" ref="Q59">INT(SUMPRODUCT(--ISNUMBER(SEARCH(gun,'Mark Kelly'!C59)))&gt;0)</f>
        <v>0</v>
      </c>
      <c r="R59" s="14" cm="1">
        <f t="array" ref="R59">INT(SUMPRODUCT(--ISNUMBER(SEARCH(race,'Mark Kelly'!C59)))&gt;0)</f>
        <v>0</v>
      </c>
      <c r="S59" s="14" cm="1">
        <f t="array" ref="S59">INT(SUMPRODUCT(--ISNUMBER(SEARCH(immigration,C59)))&gt;0)</f>
        <v>0</v>
      </c>
      <c r="T59" s="14" cm="1">
        <f t="array" ref="T59">INT(SUMPRODUCT(--ISNUMBER(SEARCH(econineq,C59)))&gt;0)</f>
        <v>0</v>
      </c>
      <c r="U59" s="14" cm="1">
        <f t="array" ref="U59">INT(SUMPRODUCT(--ISNUMBER(SEARCH(climate,'Mark Kelly'!C59)))&gt;0)</f>
        <v>1</v>
      </c>
      <c r="V59" s="14" cm="1">
        <f t="array" ref="V59">INT(SUMPRODUCT(--ISNUMBER(SEARCH(abortion,'Mark Kelly'!C59)))&gt;0)</f>
        <v>0</v>
      </c>
      <c r="W59" s="14" cm="1">
        <f t="array" ref="W59">INT(SUMPRODUCT(--ISNUMBER(SEARCH(trump,'Mark Kelly'!C59)))&gt;0)</f>
        <v>0</v>
      </c>
      <c r="X59" s="14" cm="1">
        <f t="array" ref="X59">INT(SUMPRODUCT(--ISNUMBER(SEARCH(voting,'Mark Kelly'!C59)))&gt;0)</f>
        <v>0</v>
      </c>
      <c r="Y59" s="14" cm="1">
        <f t="array" ref="Y59">INT(SUMPRODUCT(--ISNUMBER(SEARCH(democrattrigger,'Mark Kelly'!C59)))&gt;0)</f>
        <v>0</v>
      </c>
      <c r="Z59" s="14" cm="1">
        <f t="array" ref="Z59">INT(SUMPRODUCT(--ISNUMBER(SEARCH(bipartisan,'Mark Kelly'!C59)))&gt;0)</f>
        <v>0</v>
      </c>
      <c r="AA59" s="14">
        <f t="shared" si="0"/>
        <v>0</v>
      </c>
      <c r="AB59" s="14"/>
      <c r="AC59" s="30">
        <v>1</v>
      </c>
      <c r="AD59" s="37">
        <v>0</v>
      </c>
    </row>
    <row r="60" spans="1:30" x14ac:dyDescent="0.25">
      <c r="A60" s="36">
        <v>144</v>
      </c>
      <c r="B60" s="14" t="s">
        <v>320</v>
      </c>
      <c r="C60" s="31" t="s">
        <v>321</v>
      </c>
      <c r="D60" s="17">
        <v>44133</v>
      </c>
      <c r="E60" s="14" t="s">
        <v>30</v>
      </c>
      <c r="F60" s="14">
        <v>1541</v>
      </c>
      <c r="G60" s="14">
        <v>278</v>
      </c>
      <c r="H60" s="14">
        <v>2</v>
      </c>
      <c r="I60" s="14">
        <v>1</v>
      </c>
      <c r="J60" s="14" t="s">
        <v>204</v>
      </c>
      <c r="K60" s="14" cm="1">
        <f t="array" ref="K60">INT(SUMPRODUCT(--ISNUMBER(SEARCH(economy,'Mark Kelly'!C60)))&gt;0)</f>
        <v>0</v>
      </c>
      <c r="L60" s="14" cm="1">
        <f t="array" ref="L60">INT(SUMPRODUCT(--ISNUMBER(SEARCH(healthcare,'Mark Kelly'!C60)))&gt;0)</f>
        <v>0</v>
      </c>
      <c r="M60" s="14" cm="1">
        <f t="array" ref="M60">INT(SUMPRODUCT(--ISNUMBER(SEARCH(supreme,'Mark Kelly'!C60)))&gt;0)</f>
        <v>0</v>
      </c>
      <c r="N60" s="14" cm="1">
        <f t="array" ref="N60">INT(SUMPRODUCT(--ISNUMBER(SEARCH(covid,'Mark Kelly'!C60)))&gt;0)</f>
        <v>0</v>
      </c>
      <c r="O60" s="14" cm="1">
        <f t="array" ref="O60">INT(SUMPRODUCT(--ISNUMBER(SEARCH(violent,'Mark Kelly'!C60)))&gt;0)</f>
        <v>0</v>
      </c>
      <c r="P60" s="14" cm="1">
        <f t="array" ref="P60">INT(SUMPRODUCT(--ISNUMBER(SEARCH(foreign,'Mark Kelly'!C60)))&gt;0)</f>
        <v>0</v>
      </c>
      <c r="Q60" s="14" cm="1">
        <f t="array" ref="Q60">INT(SUMPRODUCT(--ISNUMBER(SEARCH(gun,'Mark Kelly'!C60)))&gt;0)</f>
        <v>0</v>
      </c>
      <c r="R60" s="14" cm="1">
        <f t="array" ref="R60">INT(SUMPRODUCT(--ISNUMBER(SEARCH(race,'Mark Kelly'!C60)))&gt;0)</f>
        <v>0</v>
      </c>
      <c r="S60" s="14" cm="1">
        <f t="array" ref="S60">INT(SUMPRODUCT(--ISNUMBER(SEARCH(immigration,C60)))&gt;0)</f>
        <v>0</v>
      </c>
      <c r="T60" s="14" cm="1">
        <f t="array" ref="T60">INT(SUMPRODUCT(--ISNUMBER(SEARCH(econineq,C60)))&gt;0)</f>
        <v>0</v>
      </c>
      <c r="U60" s="14" cm="1">
        <f t="array" ref="U60">INT(SUMPRODUCT(--ISNUMBER(SEARCH(climate,'Mark Kelly'!C60)))&gt;0)</f>
        <v>0</v>
      </c>
      <c r="V60" s="14" cm="1">
        <f t="array" ref="V60">INT(SUMPRODUCT(--ISNUMBER(SEARCH(abortion,'Mark Kelly'!C60)))&gt;0)</f>
        <v>0</v>
      </c>
      <c r="W60" s="14" cm="1">
        <f t="array" ref="W60">INT(SUMPRODUCT(--ISNUMBER(SEARCH(trump,'Mark Kelly'!C60)))&gt;0)</f>
        <v>0</v>
      </c>
      <c r="X60" s="14" cm="1">
        <f t="array" ref="X60">INT(SUMPRODUCT(--ISNUMBER(SEARCH(voting,'Mark Kelly'!C60)))&gt;0)</f>
        <v>1</v>
      </c>
      <c r="Y60" s="14" cm="1">
        <f t="array" ref="Y60">INT(SUMPRODUCT(--ISNUMBER(SEARCH(democrattrigger,'Mark Kelly'!C60)))&gt;0)</f>
        <v>0</v>
      </c>
      <c r="Z60" s="14" cm="1">
        <f t="array" ref="Z60">INT(SUMPRODUCT(--ISNUMBER(SEARCH(bipartisan,'Mark Kelly'!C60)))&gt;0)</f>
        <v>0</v>
      </c>
      <c r="AA60" s="14">
        <f t="shared" si="0"/>
        <v>0</v>
      </c>
      <c r="AB60" s="14"/>
      <c r="AC60" s="30">
        <v>0</v>
      </c>
      <c r="AD60" s="37">
        <v>1</v>
      </c>
    </row>
    <row r="61" spans="1:30" x14ac:dyDescent="0.25">
      <c r="A61" s="36">
        <v>145</v>
      </c>
      <c r="B61" s="14" t="s">
        <v>322</v>
      </c>
      <c r="C61" s="31" t="s">
        <v>323</v>
      </c>
      <c r="D61" s="17">
        <v>44133</v>
      </c>
      <c r="E61" s="14" t="s">
        <v>30</v>
      </c>
      <c r="F61" s="14">
        <v>1223</v>
      </c>
      <c r="G61" s="14">
        <v>289</v>
      </c>
      <c r="H61" s="14">
        <v>2</v>
      </c>
      <c r="I61" s="14">
        <v>1</v>
      </c>
      <c r="J61" s="14" t="s">
        <v>204</v>
      </c>
      <c r="K61" s="14" cm="1">
        <f t="array" ref="K61">INT(SUMPRODUCT(--ISNUMBER(SEARCH(economy,'Mark Kelly'!C61)))&gt;0)</f>
        <v>1</v>
      </c>
      <c r="L61" s="14" cm="1">
        <f t="array" ref="L61">INT(SUMPRODUCT(--ISNUMBER(SEARCH(healthcare,'Mark Kelly'!C61)))&gt;0)</f>
        <v>0</v>
      </c>
      <c r="M61" s="14" cm="1">
        <f t="array" ref="M61">INT(SUMPRODUCT(--ISNUMBER(SEARCH(supreme,'Mark Kelly'!C61)))&gt;0)</f>
        <v>0</v>
      </c>
      <c r="N61" s="14" cm="1">
        <f t="array" ref="N61">INT(SUMPRODUCT(--ISNUMBER(SEARCH(covid,'Mark Kelly'!C61)))&gt;0)</f>
        <v>1</v>
      </c>
      <c r="O61" s="14" cm="1">
        <f t="array" ref="O61">INT(SUMPRODUCT(--ISNUMBER(SEARCH(violent,'Mark Kelly'!C61)))&gt;0)</f>
        <v>0</v>
      </c>
      <c r="P61" s="14" cm="1">
        <f t="array" ref="P61">INT(SUMPRODUCT(--ISNUMBER(SEARCH(foreign,'Mark Kelly'!C61)))&gt;0)</f>
        <v>0</v>
      </c>
      <c r="Q61" s="14" cm="1">
        <f t="array" ref="Q61">INT(SUMPRODUCT(--ISNUMBER(SEARCH(gun,'Mark Kelly'!C61)))&gt;0)</f>
        <v>0</v>
      </c>
      <c r="R61" s="14" cm="1">
        <f t="array" ref="R61">INT(SUMPRODUCT(--ISNUMBER(SEARCH(race,'Mark Kelly'!C61)))&gt;0)</f>
        <v>0</v>
      </c>
      <c r="S61" s="14" cm="1">
        <f t="array" ref="S61">INT(SUMPRODUCT(--ISNUMBER(SEARCH(immigration,C61)))&gt;0)</f>
        <v>0</v>
      </c>
      <c r="T61" s="14" cm="1">
        <f t="array" ref="T61">INT(SUMPRODUCT(--ISNUMBER(SEARCH(econineq,C61)))&gt;0)</f>
        <v>0</v>
      </c>
      <c r="U61" s="14" cm="1">
        <f t="array" ref="U61">INT(SUMPRODUCT(--ISNUMBER(SEARCH(climate,'Mark Kelly'!C61)))&gt;0)</f>
        <v>0</v>
      </c>
      <c r="V61" s="14" cm="1">
        <f t="array" ref="V61">INT(SUMPRODUCT(--ISNUMBER(SEARCH(abortion,'Mark Kelly'!C61)))&gt;0)</f>
        <v>0</v>
      </c>
      <c r="W61" s="14" cm="1">
        <f t="array" ref="W61">INT(SUMPRODUCT(--ISNUMBER(SEARCH(trump,'Mark Kelly'!C61)))&gt;0)</f>
        <v>0</v>
      </c>
      <c r="X61" s="14" cm="1">
        <f t="array" ref="X61">INT(SUMPRODUCT(--ISNUMBER(SEARCH(voting,'Mark Kelly'!C61)))&gt;0)</f>
        <v>0</v>
      </c>
      <c r="Y61" s="14" cm="1">
        <f t="array" ref="Y61">INT(SUMPRODUCT(--ISNUMBER(SEARCH(democrattrigger,'Mark Kelly'!C61)))&gt;0)</f>
        <v>0</v>
      </c>
      <c r="Z61" s="14" cm="1">
        <f t="array" ref="Z61">INT(SUMPRODUCT(--ISNUMBER(SEARCH(bipartisan,'Mark Kelly'!C61)))&gt;0)</f>
        <v>0</v>
      </c>
      <c r="AA61" s="14">
        <f t="shared" si="0"/>
        <v>0</v>
      </c>
      <c r="AB61" s="14"/>
      <c r="AC61" s="30" t="s">
        <v>223</v>
      </c>
      <c r="AD61" s="37">
        <v>0</v>
      </c>
    </row>
    <row r="62" spans="1:30" x14ac:dyDescent="0.25">
      <c r="A62" s="36">
        <v>146</v>
      </c>
      <c r="B62" s="14" t="s">
        <v>324</v>
      </c>
      <c r="C62" s="31" t="s">
        <v>325</v>
      </c>
      <c r="D62" s="17">
        <v>44132</v>
      </c>
      <c r="E62" s="14" t="s">
        <v>30</v>
      </c>
      <c r="F62" s="14">
        <v>1053</v>
      </c>
      <c r="G62" s="14">
        <v>294</v>
      </c>
      <c r="H62" s="14">
        <v>2</v>
      </c>
      <c r="I62" s="14">
        <v>1</v>
      </c>
      <c r="J62" s="14" t="s">
        <v>204</v>
      </c>
      <c r="K62" s="14" cm="1">
        <f t="array" ref="K62">INT(SUMPRODUCT(--ISNUMBER(SEARCH(economy,'Mark Kelly'!C62)))&gt;0)</f>
        <v>0</v>
      </c>
      <c r="L62" s="14" cm="1">
        <f t="array" ref="L62">INT(SUMPRODUCT(--ISNUMBER(SEARCH(healthcare,'Mark Kelly'!C62)))&gt;0)</f>
        <v>0</v>
      </c>
      <c r="M62" s="14" cm="1">
        <f t="array" ref="M62">INT(SUMPRODUCT(--ISNUMBER(SEARCH(supreme,'Mark Kelly'!C62)))&gt;0)</f>
        <v>0</v>
      </c>
      <c r="N62" s="14" cm="1">
        <f t="array" ref="N62">INT(SUMPRODUCT(--ISNUMBER(SEARCH(covid,'Mark Kelly'!C62)))&gt;0)</f>
        <v>1</v>
      </c>
      <c r="O62" s="14" cm="1">
        <f t="array" ref="O62">INT(SUMPRODUCT(--ISNUMBER(SEARCH(violent,'Mark Kelly'!C62)))&gt;0)</f>
        <v>0</v>
      </c>
      <c r="P62" s="14" cm="1">
        <f t="array" ref="P62">INT(SUMPRODUCT(--ISNUMBER(SEARCH(foreign,'Mark Kelly'!C62)))&gt;0)</f>
        <v>0</v>
      </c>
      <c r="Q62" s="14" cm="1">
        <f t="array" ref="Q62">INT(SUMPRODUCT(--ISNUMBER(SEARCH(gun,'Mark Kelly'!C62)))&gt;0)</f>
        <v>0</v>
      </c>
      <c r="R62" s="14" cm="1">
        <f t="array" ref="R62">INT(SUMPRODUCT(--ISNUMBER(SEARCH(race,'Mark Kelly'!C62)))&gt;0)</f>
        <v>0</v>
      </c>
      <c r="S62" s="14" cm="1">
        <f t="array" ref="S62">INT(SUMPRODUCT(--ISNUMBER(SEARCH(immigration,C62)))&gt;0)</f>
        <v>0</v>
      </c>
      <c r="T62" s="14" cm="1">
        <f t="array" ref="T62">INT(SUMPRODUCT(--ISNUMBER(SEARCH(econineq,C62)))&gt;0)</f>
        <v>0</v>
      </c>
      <c r="U62" s="14" cm="1">
        <f t="array" ref="U62">INT(SUMPRODUCT(--ISNUMBER(SEARCH(climate,'Mark Kelly'!C62)))&gt;0)</f>
        <v>0</v>
      </c>
      <c r="V62" s="14" cm="1">
        <f t="array" ref="V62">INT(SUMPRODUCT(--ISNUMBER(SEARCH(abortion,'Mark Kelly'!C62)))&gt;0)</f>
        <v>0</v>
      </c>
      <c r="W62" s="14" cm="1">
        <f t="array" ref="W62">INT(SUMPRODUCT(--ISNUMBER(SEARCH(trump,'Mark Kelly'!C62)))&gt;0)</f>
        <v>0</v>
      </c>
      <c r="X62" s="14" cm="1">
        <f t="array" ref="X62">INT(SUMPRODUCT(--ISNUMBER(SEARCH(voting,'Mark Kelly'!C62)))&gt;0)</f>
        <v>0</v>
      </c>
      <c r="Y62" s="14" cm="1">
        <f t="array" ref="Y62">INT(SUMPRODUCT(--ISNUMBER(SEARCH(democrattrigger,'Mark Kelly'!C62)))&gt;0)</f>
        <v>0</v>
      </c>
      <c r="Z62" s="14" cm="1">
        <f t="array" ref="Z62">INT(SUMPRODUCT(--ISNUMBER(SEARCH(bipartisan,'Mark Kelly'!C62)))&gt;0)</f>
        <v>0</v>
      </c>
      <c r="AA62" s="14">
        <f t="shared" si="0"/>
        <v>0</v>
      </c>
      <c r="AB62" s="14"/>
      <c r="AC62" s="30">
        <v>0</v>
      </c>
      <c r="AD62" s="37">
        <v>1</v>
      </c>
    </row>
    <row r="63" spans="1:30" x14ac:dyDescent="0.25">
      <c r="A63" s="36">
        <v>147</v>
      </c>
      <c r="B63" s="14" t="s">
        <v>326</v>
      </c>
      <c r="C63" s="31" t="s">
        <v>327</v>
      </c>
      <c r="D63" s="17">
        <v>44132</v>
      </c>
      <c r="E63" s="14" t="s">
        <v>30</v>
      </c>
      <c r="F63" s="14">
        <v>2385</v>
      </c>
      <c r="G63" s="14">
        <v>454</v>
      </c>
      <c r="H63" s="14">
        <v>2</v>
      </c>
      <c r="I63" s="14">
        <v>1</v>
      </c>
      <c r="J63" s="14" t="s">
        <v>204</v>
      </c>
      <c r="K63" s="14" cm="1">
        <f t="array" ref="K63">INT(SUMPRODUCT(--ISNUMBER(SEARCH(economy,'Mark Kelly'!C63)))&gt;0)</f>
        <v>1</v>
      </c>
      <c r="L63" s="14" cm="1">
        <f t="array" ref="L63">INT(SUMPRODUCT(--ISNUMBER(SEARCH(healthcare,'Mark Kelly'!C63)))&gt;0)</f>
        <v>0</v>
      </c>
      <c r="M63" s="14" cm="1">
        <f t="array" ref="M63">INT(SUMPRODUCT(--ISNUMBER(SEARCH(supreme,'Mark Kelly'!C63)))&gt;0)</f>
        <v>0</v>
      </c>
      <c r="N63" s="14" cm="1">
        <f t="array" ref="N63">INT(SUMPRODUCT(--ISNUMBER(SEARCH(covid,'Mark Kelly'!C63)))&gt;0)</f>
        <v>0</v>
      </c>
      <c r="O63" s="14" cm="1">
        <f t="array" ref="O63">INT(SUMPRODUCT(--ISNUMBER(SEARCH(violent,'Mark Kelly'!C63)))&gt;0)</f>
        <v>0</v>
      </c>
      <c r="P63" s="14" cm="1">
        <f t="array" ref="P63">INT(SUMPRODUCT(--ISNUMBER(SEARCH(foreign,'Mark Kelly'!C63)))&gt;0)</f>
        <v>0</v>
      </c>
      <c r="Q63" s="14" cm="1">
        <f t="array" ref="Q63">INT(SUMPRODUCT(--ISNUMBER(SEARCH(gun,'Mark Kelly'!C63)))&gt;0)</f>
        <v>0</v>
      </c>
      <c r="R63" s="14" cm="1">
        <f t="array" ref="R63">INT(SUMPRODUCT(--ISNUMBER(SEARCH(race,'Mark Kelly'!C63)))&gt;0)</f>
        <v>0</v>
      </c>
      <c r="S63" s="14" cm="1">
        <f t="array" ref="S63">INT(SUMPRODUCT(--ISNUMBER(SEARCH(immigration,C63)))&gt;0)</f>
        <v>0</v>
      </c>
      <c r="T63" s="14" cm="1">
        <f t="array" ref="T63">INT(SUMPRODUCT(--ISNUMBER(SEARCH(econineq,C63)))&gt;0)</f>
        <v>1</v>
      </c>
      <c r="U63" s="14" cm="1">
        <f t="array" ref="U63">INT(SUMPRODUCT(--ISNUMBER(SEARCH(climate,'Mark Kelly'!C63)))&gt;0)</f>
        <v>0</v>
      </c>
      <c r="V63" s="14" cm="1">
        <f t="array" ref="V63">INT(SUMPRODUCT(--ISNUMBER(SEARCH(abortion,'Mark Kelly'!C63)))&gt;0)</f>
        <v>0</v>
      </c>
      <c r="W63" s="14" cm="1">
        <f t="array" ref="W63">INT(SUMPRODUCT(--ISNUMBER(SEARCH(trump,'Mark Kelly'!C63)))&gt;0)</f>
        <v>0</v>
      </c>
      <c r="X63" s="14" cm="1">
        <f t="array" ref="X63">INT(SUMPRODUCT(--ISNUMBER(SEARCH(voting,'Mark Kelly'!C63)))&gt;0)</f>
        <v>0</v>
      </c>
      <c r="Y63" s="14" cm="1">
        <f t="array" ref="Y63">INT(SUMPRODUCT(--ISNUMBER(SEARCH(democrattrigger,'Mark Kelly'!C63)))&gt;0)</f>
        <v>0</v>
      </c>
      <c r="Z63" s="14" cm="1">
        <f t="array" ref="Z63">INT(SUMPRODUCT(--ISNUMBER(SEARCH(bipartisan,'Mark Kelly'!C63)))&gt;0)</f>
        <v>0</v>
      </c>
      <c r="AA63" s="14">
        <f t="shared" si="0"/>
        <v>0</v>
      </c>
      <c r="AB63" s="14"/>
      <c r="AC63" s="30" t="s">
        <v>223</v>
      </c>
      <c r="AD63" s="37">
        <v>0</v>
      </c>
    </row>
    <row r="64" spans="1:30" x14ac:dyDescent="0.25">
      <c r="A64" s="36">
        <v>148</v>
      </c>
      <c r="B64" s="14" t="s">
        <v>328</v>
      </c>
      <c r="C64" s="31" t="s">
        <v>329</v>
      </c>
      <c r="D64" s="17">
        <v>44132</v>
      </c>
      <c r="E64" s="14" t="s">
        <v>30</v>
      </c>
      <c r="F64" s="14">
        <v>1725</v>
      </c>
      <c r="G64" s="14">
        <v>423</v>
      </c>
      <c r="H64" s="14">
        <v>2</v>
      </c>
      <c r="I64" s="14">
        <v>1</v>
      </c>
      <c r="J64" s="14" t="s">
        <v>204</v>
      </c>
      <c r="K64" s="14" cm="1">
        <f t="array" ref="K64">INT(SUMPRODUCT(--ISNUMBER(SEARCH(economy,'Mark Kelly'!C64)))&gt;0)</f>
        <v>1</v>
      </c>
      <c r="L64" s="14" cm="1">
        <f t="array" ref="L64">INT(SUMPRODUCT(--ISNUMBER(SEARCH(healthcare,'Mark Kelly'!C64)))&gt;0)</f>
        <v>1</v>
      </c>
      <c r="M64" s="14" cm="1">
        <f t="array" ref="M64">INT(SUMPRODUCT(--ISNUMBER(SEARCH(supreme,'Mark Kelly'!C64)))&gt;0)</f>
        <v>0</v>
      </c>
      <c r="N64" s="14" cm="1">
        <f t="array" ref="N64">INT(SUMPRODUCT(--ISNUMBER(SEARCH(covid,'Mark Kelly'!C64)))&gt;0)</f>
        <v>0</v>
      </c>
      <c r="O64" s="14" cm="1">
        <f t="array" ref="O64">INT(SUMPRODUCT(--ISNUMBER(SEARCH(violent,'Mark Kelly'!C64)))&gt;0)</f>
        <v>0</v>
      </c>
      <c r="P64" s="14" cm="1">
        <f t="array" ref="P64">INT(SUMPRODUCT(--ISNUMBER(SEARCH(foreign,'Mark Kelly'!C64)))&gt;0)</f>
        <v>0</v>
      </c>
      <c r="Q64" s="14" cm="1">
        <f t="array" ref="Q64">INT(SUMPRODUCT(--ISNUMBER(SEARCH(gun,'Mark Kelly'!C64)))&gt;0)</f>
        <v>0</v>
      </c>
      <c r="R64" s="14" cm="1">
        <f t="array" ref="R64">INT(SUMPRODUCT(--ISNUMBER(SEARCH(race,'Mark Kelly'!C64)))&gt;0)</f>
        <v>0</v>
      </c>
      <c r="S64" s="14" cm="1">
        <f t="array" ref="S64">INT(SUMPRODUCT(--ISNUMBER(SEARCH(immigration,C64)))&gt;0)</f>
        <v>0</v>
      </c>
      <c r="T64" s="14" cm="1">
        <f t="array" ref="T64">INT(SUMPRODUCT(--ISNUMBER(SEARCH(econineq,C64)))&gt;0)</f>
        <v>0</v>
      </c>
      <c r="U64" s="14" cm="1">
        <f t="array" ref="U64">INT(SUMPRODUCT(--ISNUMBER(SEARCH(climate,'Mark Kelly'!C64)))&gt;0)</f>
        <v>0</v>
      </c>
      <c r="V64" s="14" cm="1">
        <f t="array" ref="V64">INT(SUMPRODUCT(--ISNUMBER(SEARCH(abortion,'Mark Kelly'!C64)))&gt;0)</f>
        <v>0</v>
      </c>
      <c r="W64" s="14" cm="1">
        <f t="array" ref="W64">INT(SUMPRODUCT(--ISNUMBER(SEARCH(trump,'Mark Kelly'!C64)))&gt;0)</f>
        <v>0</v>
      </c>
      <c r="X64" s="14" cm="1">
        <f t="array" ref="X64">INT(SUMPRODUCT(--ISNUMBER(SEARCH(voting,'Mark Kelly'!C64)))&gt;0)</f>
        <v>0</v>
      </c>
      <c r="Y64" s="14" cm="1">
        <f t="array" ref="Y64">INT(SUMPRODUCT(--ISNUMBER(SEARCH(democrattrigger,'Mark Kelly'!C64)))&gt;0)</f>
        <v>0</v>
      </c>
      <c r="Z64" s="14" cm="1">
        <f t="array" ref="Z64">INT(SUMPRODUCT(--ISNUMBER(SEARCH(bipartisan,'Mark Kelly'!C64)))&gt;0)</f>
        <v>0</v>
      </c>
      <c r="AA64" s="14">
        <f t="shared" si="0"/>
        <v>0</v>
      </c>
      <c r="AB64" s="14"/>
      <c r="AC64" s="30">
        <v>0</v>
      </c>
      <c r="AD64" s="37">
        <v>1</v>
      </c>
    </row>
    <row r="65" spans="1:30" x14ac:dyDescent="0.25">
      <c r="A65" s="36">
        <v>149</v>
      </c>
      <c r="B65" s="14" t="s">
        <v>330</v>
      </c>
      <c r="C65" s="31" t="s">
        <v>331</v>
      </c>
      <c r="D65" s="17">
        <v>44132</v>
      </c>
      <c r="E65" s="14" t="s">
        <v>30</v>
      </c>
      <c r="F65" s="14">
        <v>449</v>
      </c>
      <c r="G65" s="14">
        <v>116</v>
      </c>
      <c r="H65" s="14">
        <v>2</v>
      </c>
      <c r="I65" s="14">
        <v>1</v>
      </c>
      <c r="J65" s="14" t="s">
        <v>204</v>
      </c>
      <c r="K65" s="14" cm="1">
        <f t="array" ref="K65">INT(SUMPRODUCT(--ISNUMBER(SEARCH(economy,'Mark Kelly'!C65)))&gt;0)</f>
        <v>0</v>
      </c>
      <c r="L65" s="14" cm="1">
        <f t="array" ref="L65">INT(SUMPRODUCT(--ISNUMBER(SEARCH(healthcare,'Mark Kelly'!C65)))&gt;0)</f>
        <v>0</v>
      </c>
      <c r="M65" s="14" cm="1">
        <f t="array" ref="M65">INT(SUMPRODUCT(--ISNUMBER(SEARCH(supreme,'Mark Kelly'!C65)))&gt;0)</f>
        <v>0</v>
      </c>
      <c r="N65" s="14" cm="1">
        <f t="array" ref="N65">INT(SUMPRODUCT(--ISNUMBER(SEARCH(covid,'Mark Kelly'!C65)))&gt;0)</f>
        <v>0</v>
      </c>
      <c r="O65" s="14" cm="1">
        <f t="array" ref="O65">INT(SUMPRODUCT(--ISNUMBER(SEARCH(violent,'Mark Kelly'!C65)))&gt;0)</f>
        <v>0</v>
      </c>
      <c r="P65" s="14" cm="1">
        <f t="array" ref="P65">INT(SUMPRODUCT(--ISNUMBER(SEARCH(foreign,'Mark Kelly'!C65)))&gt;0)</f>
        <v>0</v>
      </c>
      <c r="Q65" s="14" cm="1">
        <f t="array" ref="Q65">INT(SUMPRODUCT(--ISNUMBER(SEARCH(gun,'Mark Kelly'!C65)))&gt;0)</f>
        <v>0</v>
      </c>
      <c r="R65" s="14" cm="1">
        <f t="array" ref="R65">INT(SUMPRODUCT(--ISNUMBER(SEARCH(race,'Mark Kelly'!C65)))&gt;0)</f>
        <v>0</v>
      </c>
      <c r="S65" s="14" cm="1">
        <f t="array" ref="S65">INT(SUMPRODUCT(--ISNUMBER(SEARCH(immigration,C65)))&gt;0)</f>
        <v>0</v>
      </c>
      <c r="T65" s="14" cm="1">
        <f t="array" ref="T65">INT(SUMPRODUCT(--ISNUMBER(SEARCH(econineq,C65)))&gt;0)</f>
        <v>0</v>
      </c>
      <c r="U65" s="14" cm="1">
        <f t="array" ref="U65">INT(SUMPRODUCT(--ISNUMBER(SEARCH(climate,'Mark Kelly'!C65)))&gt;0)</f>
        <v>0</v>
      </c>
      <c r="V65" s="14" cm="1">
        <f t="array" ref="V65">INT(SUMPRODUCT(--ISNUMBER(SEARCH(abortion,'Mark Kelly'!C65)))&gt;0)</f>
        <v>0</v>
      </c>
      <c r="W65" s="14" cm="1">
        <f t="array" ref="W65">INT(SUMPRODUCT(--ISNUMBER(SEARCH(trump,'Mark Kelly'!C65)))&gt;0)</f>
        <v>0</v>
      </c>
      <c r="X65" s="14" cm="1">
        <f t="array" ref="X65">INT(SUMPRODUCT(--ISNUMBER(SEARCH(voting,'Mark Kelly'!C65)))&gt;0)</f>
        <v>0</v>
      </c>
      <c r="Y65" s="14" cm="1">
        <f t="array" ref="Y65">INT(SUMPRODUCT(--ISNUMBER(SEARCH(democrattrigger,'Mark Kelly'!C65)))&gt;0)</f>
        <v>0</v>
      </c>
      <c r="Z65" s="14" cm="1">
        <f t="array" ref="Z65">INT(SUMPRODUCT(--ISNUMBER(SEARCH(bipartisan,'Mark Kelly'!C65)))&gt;0)</f>
        <v>1</v>
      </c>
      <c r="AA65" s="14">
        <f t="shared" si="0"/>
        <v>0</v>
      </c>
      <c r="AB65" s="14"/>
      <c r="AC65" s="30" t="s">
        <v>223</v>
      </c>
      <c r="AD65" s="37">
        <v>0</v>
      </c>
    </row>
    <row r="66" spans="1:30" x14ac:dyDescent="0.25">
      <c r="A66" s="36">
        <v>150</v>
      </c>
      <c r="B66" s="14" t="s">
        <v>332</v>
      </c>
      <c r="C66" s="31" t="s">
        <v>333</v>
      </c>
      <c r="D66" s="17">
        <v>44132</v>
      </c>
      <c r="E66" s="14" t="s">
        <v>30</v>
      </c>
      <c r="F66" s="14">
        <v>714</v>
      </c>
      <c r="G66" s="14">
        <v>145</v>
      </c>
      <c r="H66" s="14">
        <v>2</v>
      </c>
      <c r="I66" s="14">
        <v>1</v>
      </c>
      <c r="J66" s="14" t="s">
        <v>204</v>
      </c>
      <c r="K66" s="14" cm="1">
        <f t="array" ref="K66">INT(SUMPRODUCT(--ISNUMBER(SEARCH(economy,'Mark Kelly'!C66)))&gt;0)</f>
        <v>0</v>
      </c>
      <c r="L66" s="14" cm="1">
        <f t="array" ref="L66">INT(SUMPRODUCT(--ISNUMBER(SEARCH(healthcare,'Mark Kelly'!C66)))&gt;0)</f>
        <v>0</v>
      </c>
      <c r="M66" s="14" cm="1">
        <f t="array" ref="M66">INT(SUMPRODUCT(--ISNUMBER(SEARCH(supreme,'Mark Kelly'!C66)))&gt;0)</f>
        <v>0</v>
      </c>
      <c r="N66" s="14" cm="1">
        <f t="array" ref="N66">INT(SUMPRODUCT(--ISNUMBER(SEARCH(covid,'Mark Kelly'!C66)))&gt;0)</f>
        <v>0</v>
      </c>
      <c r="O66" s="14" cm="1">
        <f t="array" ref="O66">INT(SUMPRODUCT(--ISNUMBER(SEARCH(violent,'Mark Kelly'!C66)))&gt;0)</f>
        <v>0</v>
      </c>
      <c r="P66" s="14" cm="1">
        <f t="array" ref="P66">INT(SUMPRODUCT(--ISNUMBER(SEARCH(foreign,'Mark Kelly'!C66)))&gt;0)</f>
        <v>0</v>
      </c>
      <c r="Q66" s="14" cm="1">
        <f t="array" ref="Q66">INT(SUMPRODUCT(--ISNUMBER(SEARCH(gun,'Mark Kelly'!C66)))&gt;0)</f>
        <v>0</v>
      </c>
      <c r="R66" s="14" cm="1">
        <f t="array" ref="R66">INT(SUMPRODUCT(--ISNUMBER(SEARCH(race,'Mark Kelly'!C66)))&gt;0)</f>
        <v>0</v>
      </c>
      <c r="S66" s="14" cm="1">
        <f t="array" ref="S66">INT(SUMPRODUCT(--ISNUMBER(SEARCH(immigration,C66)))&gt;0)</f>
        <v>0</v>
      </c>
      <c r="T66" s="14" cm="1">
        <f t="array" ref="T66">INT(SUMPRODUCT(--ISNUMBER(SEARCH(econineq,C66)))&gt;0)</f>
        <v>0</v>
      </c>
      <c r="U66" s="14" cm="1">
        <f t="array" ref="U66">INT(SUMPRODUCT(--ISNUMBER(SEARCH(climate,'Mark Kelly'!C66)))&gt;0)</f>
        <v>0</v>
      </c>
      <c r="V66" s="14" cm="1">
        <f t="array" ref="V66">INT(SUMPRODUCT(--ISNUMBER(SEARCH(abortion,'Mark Kelly'!C66)))&gt;0)</f>
        <v>0</v>
      </c>
      <c r="W66" s="14" cm="1">
        <f t="array" ref="W66">INT(SUMPRODUCT(--ISNUMBER(SEARCH(trump,'Mark Kelly'!C66)))&gt;0)</f>
        <v>0</v>
      </c>
      <c r="X66" s="14" cm="1">
        <f t="array" ref="X66">INT(SUMPRODUCT(--ISNUMBER(SEARCH(voting,'Mark Kelly'!C66)))&gt;0)</f>
        <v>0</v>
      </c>
      <c r="Y66" s="14" cm="1">
        <f t="array" ref="Y66">INT(SUMPRODUCT(--ISNUMBER(SEARCH(democrattrigger,'Mark Kelly'!C66)))&gt;0)</f>
        <v>0</v>
      </c>
      <c r="Z66" s="14" cm="1">
        <f t="array" ref="Z66">INT(SUMPRODUCT(--ISNUMBER(SEARCH(bipartisan,'Mark Kelly'!C66)))&gt;0)</f>
        <v>0</v>
      </c>
      <c r="AA66" s="14">
        <f t="shared" si="0"/>
        <v>1</v>
      </c>
      <c r="AB66" s="14"/>
      <c r="AC66" s="30" t="s">
        <v>223</v>
      </c>
      <c r="AD66" s="37">
        <v>0</v>
      </c>
    </row>
    <row r="67" spans="1:30" x14ac:dyDescent="0.25">
      <c r="A67" s="36">
        <v>151</v>
      </c>
      <c r="B67" s="14" t="s">
        <v>334</v>
      </c>
      <c r="C67" s="31" t="s">
        <v>335</v>
      </c>
      <c r="D67" s="17">
        <v>44132</v>
      </c>
      <c r="E67" s="14" t="s">
        <v>30</v>
      </c>
      <c r="F67" s="14">
        <v>6345</v>
      </c>
      <c r="G67" s="14">
        <v>696</v>
      </c>
      <c r="H67" s="14">
        <v>2</v>
      </c>
      <c r="I67" s="14">
        <v>1</v>
      </c>
      <c r="J67" s="14" t="s">
        <v>204</v>
      </c>
      <c r="K67" s="14" cm="1">
        <f t="array" ref="K67">INT(SUMPRODUCT(--ISNUMBER(SEARCH(economy,'Mark Kelly'!C67)))&gt;0)</f>
        <v>0</v>
      </c>
      <c r="L67" s="14" cm="1">
        <f t="array" ref="L67">INT(SUMPRODUCT(--ISNUMBER(SEARCH(healthcare,'Mark Kelly'!C67)))&gt;0)</f>
        <v>0</v>
      </c>
      <c r="M67" s="14" cm="1">
        <f t="array" ref="M67">INT(SUMPRODUCT(--ISNUMBER(SEARCH(supreme,'Mark Kelly'!C67)))&gt;0)</f>
        <v>0</v>
      </c>
      <c r="N67" s="14" cm="1">
        <f t="array" ref="N67">INT(SUMPRODUCT(--ISNUMBER(SEARCH(covid,'Mark Kelly'!C67)))&gt;0)</f>
        <v>0</v>
      </c>
      <c r="O67" s="14" cm="1">
        <f t="array" ref="O67">INT(SUMPRODUCT(--ISNUMBER(SEARCH(violent,'Mark Kelly'!C67)))&gt;0)</f>
        <v>0</v>
      </c>
      <c r="P67" s="14" cm="1">
        <f t="array" ref="P67">INT(SUMPRODUCT(--ISNUMBER(SEARCH(foreign,'Mark Kelly'!C67)))&gt;0)</f>
        <v>0</v>
      </c>
      <c r="Q67" s="14" cm="1">
        <f t="array" ref="Q67">INT(SUMPRODUCT(--ISNUMBER(SEARCH(gun,'Mark Kelly'!C67)))&gt;0)</f>
        <v>0</v>
      </c>
      <c r="R67" s="14" cm="1">
        <f t="array" ref="R67">INT(SUMPRODUCT(--ISNUMBER(SEARCH(race,'Mark Kelly'!C67)))&gt;0)</f>
        <v>0</v>
      </c>
      <c r="S67" s="14" cm="1">
        <f t="array" ref="S67">INT(SUMPRODUCT(--ISNUMBER(SEARCH(immigration,C67)))&gt;0)</f>
        <v>0</v>
      </c>
      <c r="T67" s="14" cm="1">
        <f t="array" ref="T67">INT(SUMPRODUCT(--ISNUMBER(SEARCH(econineq,C67)))&gt;0)</f>
        <v>0</v>
      </c>
      <c r="U67" s="14" cm="1">
        <f t="array" ref="U67">INT(SUMPRODUCT(--ISNUMBER(SEARCH(climate,'Mark Kelly'!C67)))&gt;0)</f>
        <v>0</v>
      </c>
      <c r="V67" s="14" cm="1">
        <f t="array" ref="V67">INT(SUMPRODUCT(--ISNUMBER(SEARCH(abortion,'Mark Kelly'!C67)))&gt;0)</f>
        <v>0</v>
      </c>
      <c r="W67" s="14" cm="1">
        <f t="array" ref="W67">INT(SUMPRODUCT(--ISNUMBER(SEARCH(trump,'Mark Kelly'!C67)))&gt;0)</f>
        <v>0</v>
      </c>
      <c r="X67" s="14" cm="1">
        <f t="array" ref="X67">INT(SUMPRODUCT(--ISNUMBER(SEARCH(voting,'Mark Kelly'!C67)))&gt;0)</f>
        <v>0</v>
      </c>
      <c r="Y67" s="14" cm="1">
        <f t="array" ref="Y67">INT(SUMPRODUCT(--ISNUMBER(SEARCH(democrattrigger,'Mark Kelly'!C67)))&gt;0)</f>
        <v>0</v>
      </c>
      <c r="Z67" s="14" cm="1">
        <f t="array" ref="Z67">INT(SUMPRODUCT(--ISNUMBER(SEARCH(bipartisan,'Mark Kelly'!C67)))&gt;0)</f>
        <v>0</v>
      </c>
      <c r="AA67" s="14">
        <f t="shared" ref="AA67:AA130" si="1">INT(IF(COUNTIF(K67:Z67,1)=0,"1","0"))</f>
        <v>1</v>
      </c>
      <c r="AB67" s="14"/>
      <c r="AC67" s="30">
        <v>1</v>
      </c>
      <c r="AD67" s="37">
        <v>0</v>
      </c>
    </row>
    <row r="68" spans="1:30" x14ac:dyDescent="0.25">
      <c r="A68" s="36">
        <v>152</v>
      </c>
      <c r="B68" s="14" t="s">
        <v>336</v>
      </c>
      <c r="C68" s="31" t="s">
        <v>337</v>
      </c>
      <c r="D68" s="17">
        <v>44132</v>
      </c>
      <c r="E68" s="14" t="s">
        <v>30</v>
      </c>
      <c r="F68" s="14">
        <v>921</v>
      </c>
      <c r="G68" s="14">
        <v>225</v>
      </c>
      <c r="H68" s="14">
        <v>2</v>
      </c>
      <c r="I68" s="14">
        <v>1</v>
      </c>
      <c r="J68" s="14" t="s">
        <v>204</v>
      </c>
      <c r="K68" s="14" cm="1">
        <f t="array" ref="K68">INT(SUMPRODUCT(--ISNUMBER(SEARCH(economy,'Mark Kelly'!C68)))&gt;0)</f>
        <v>0</v>
      </c>
      <c r="L68" s="14" cm="1">
        <f t="array" ref="L68">INT(SUMPRODUCT(--ISNUMBER(SEARCH(healthcare,'Mark Kelly'!C68)))&gt;0)</f>
        <v>0</v>
      </c>
      <c r="M68" s="14" cm="1">
        <f t="array" ref="M68">INT(SUMPRODUCT(--ISNUMBER(SEARCH(supreme,'Mark Kelly'!C68)))&gt;0)</f>
        <v>0</v>
      </c>
      <c r="N68" s="14" cm="1">
        <f t="array" ref="N68">INT(SUMPRODUCT(--ISNUMBER(SEARCH(covid,'Mark Kelly'!C68)))&gt;0)</f>
        <v>0</v>
      </c>
      <c r="O68" s="14" cm="1">
        <f t="array" ref="O68">INT(SUMPRODUCT(--ISNUMBER(SEARCH(violent,'Mark Kelly'!C68)))&gt;0)</f>
        <v>0</v>
      </c>
      <c r="P68" s="14" cm="1">
        <f t="array" ref="P68">INT(SUMPRODUCT(--ISNUMBER(SEARCH(foreign,'Mark Kelly'!C68)))&gt;0)</f>
        <v>0</v>
      </c>
      <c r="Q68" s="14" cm="1">
        <f t="array" ref="Q68">INT(SUMPRODUCT(--ISNUMBER(SEARCH(gun,'Mark Kelly'!C68)))&gt;0)</f>
        <v>0</v>
      </c>
      <c r="R68" s="14" cm="1">
        <f t="array" ref="R68">INT(SUMPRODUCT(--ISNUMBER(SEARCH(race,'Mark Kelly'!C68)))&gt;0)</f>
        <v>0</v>
      </c>
      <c r="S68" s="14" cm="1">
        <f t="array" ref="S68">INT(SUMPRODUCT(--ISNUMBER(SEARCH(immigration,C68)))&gt;0)</f>
        <v>0</v>
      </c>
      <c r="T68" s="14" cm="1">
        <f t="array" ref="T68">INT(SUMPRODUCT(--ISNUMBER(SEARCH(econineq,C68)))&gt;0)</f>
        <v>0</v>
      </c>
      <c r="U68" s="14" cm="1">
        <f t="array" ref="U68">INT(SUMPRODUCT(--ISNUMBER(SEARCH(climate,'Mark Kelly'!C68)))&gt;0)</f>
        <v>0</v>
      </c>
      <c r="V68" s="14" cm="1">
        <f t="array" ref="V68">INT(SUMPRODUCT(--ISNUMBER(SEARCH(abortion,'Mark Kelly'!C68)))&gt;0)</f>
        <v>0</v>
      </c>
      <c r="W68" s="14" cm="1">
        <f t="array" ref="W68">INT(SUMPRODUCT(--ISNUMBER(SEARCH(trump,'Mark Kelly'!C68)))&gt;0)</f>
        <v>0</v>
      </c>
      <c r="X68" s="14" cm="1">
        <f t="array" ref="X68">INT(SUMPRODUCT(--ISNUMBER(SEARCH(voting,'Mark Kelly'!C68)))&gt;0)</f>
        <v>0</v>
      </c>
      <c r="Y68" s="14" cm="1">
        <f t="array" ref="Y68">INT(SUMPRODUCT(--ISNUMBER(SEARCH(democrattrigger,'Mark Kelly'!C68)))&gt;0)</f>
        <v>0</v>
      </c>
      <c r="Z68" s="14" cm="1">
        <f t="array" ref="Z68">INT(SUMPRODUCT(--ISNUMBER(SEARCH(bipartisan,'Mark Kelly'!C68)))&gt;0)</f>
        <v>0</v>
      </c>
      <c r="AA68" s="14">
        <f t="shared" si="1"/>
        <v>1</v>
      </c>
      <c r="AB68" s="14"/>
      <c r="AC68" s="30">
        <v>0</v>
      </c>
      <c r="AD68" s="37">
        <v>1</v>
      </c>
    </row>
    <row r="69" spans="1:30" x14ac:dyDescent="0.25">
      <c r="A69" s="36">
        <v>153</v>
      </c>
      <c r="B69" s="14" t="s">
        <v>338</v>
      </c>
      <c r="C69" s="31" t="s">
        <v>339</v>
      </c>
      <c r="D69" s="17">
        <v>44132</v>
      </c>
      <c r="E69" s="14" t="s">
        <v>30</v>
      </c>
      <c r="F69" s="14">
        <v>3750</v>
      </c>
      <c r="G69" s="14">
        <v>513</v>
      </c>
      <c r="H69" s="14">
        <v>2</v>
      </c>
      <c r="I69" s="14">
        <v>1</v>
      </c>
      <c r="J69" s="14" t="s">
        <v>204</v>
      </c>
      <c r="K69" s="14" cm="1">
        <f t="array" ref="K69">INT(SUMPRODUCT(--ISNUMBER(SEARCH(economy,'Mark Kelly'!C69)))&gt;0)</f>
        <v>0</v>
      </c>
      <c r="L69" s="14" cm="1">
        <f t="array" ref="L69">INT(SUMPRODUCT(--ISNUMBER(SEARCH(healthcare,'Mark Kelly'!C69)))&gt;0)</f>
        <v>0</v>
      </c>
      <c r="M69" s="14" cm="1">
        <f t="array" ref="M69">INT(SUMPRODUCT(--ISNUMBER(SEARCH(supreme,'Mark Kelly'!C69)))&gt;0)</f>
        <v>0</v>
      </c>
      <c r="N69" s="14" cm="1">
        <f t="array" ref="N69">INT(SUMPRODUCT(--ISNUMBER(SEARCH(covid,'Mark Kelly'!C69)))&gt;0)</f>
        <v>0</v>
      </c>
      <c r="O69" s="14" cm="1">
        <f t="array" ref="O69">INT(SUMPRODUCT(--ISNUMBER(SEARCH(violent,'Mark Kelly'!C69)))&gt;0)</f>
        <v>0</v>
      </c>
      <c r="P69" s="14" cm="1">
        <f t="array" ref="P69">INT(SUMPRODUCT(--ISNUMBER(SEARCH(foreign,'Mark Kelly'!C69)))&gt;0)</f>
        <v>0</v>
      </c>
      <c r="Q69" s="14" cm="1">
        <f t="array" ref="Q69">INT(SUMPRODUCT(--ISNUMBER(SEARCH(gun,'Mark Kelly'!C69)))&gt;0)</f>
        <v>0</v>
      </c>
      <c r="R69" s="14" cm="1">
        <f t="array" ref="R69">INT(SUMPRODUCT(--ISNUMBER(SEARCH(race,'Mark Kelly'!C69)))&gt;0)</f>
        <v>0</v>
      </c>
      <c r="S69" s="14" cm="1">
        <f t="array" ref="S69">INT(SUMPRODUCT(--ISNUMBER(SEARCH(immigration,C69)))&gt;0)</f>
        <v>0</v>
      </c>
      <c r="T69" s="14" cm="1">
        <f t="array" ref="T69">INT(SUMPRODUCT(--ISNUMBER(SEARCH(econineq,C69)))&gt;0)</f>
        <v>0</v>
      </c>
      <c r="U69" s="14" cm="1">
        <f t="array" ref="U69">INT(SUMPRODUCT(--ISNUMBER(SEARCH(climate,'Mark Kelly'!C69)))&gt;0)</f>
        <v>0</v>
      </c>
      <c r="V69" s="14" cm="1">
        <f t="array" ref="V69">INT(SUMPRODUCT(--ISNUMBER(SEARCH(abortion,'Mark Kelly'!C69)))&gt;0)</f>
        <v>0</v>
      </c>
      <c r="W69" s="14" cm="1">
        <f t="array" ref="W69">INT(SUMPRODUCT(--ISNUMBER(SEARCH(trump,'Mark Kelly'!C69)))&gt;0)</f>
        <v>0</v>
      </c>
      <c r="X69" s="14" cm="1">
        <f t="array" ref="X69">INT(SUMPRODUCT(--ISNUMBER(SEARCH(voting,'Mark Kelly'!C69)))&gt;0)</f>
        <v>0</v>
      </c>
      <c r="Y69" s="14" cm="1">
        <f t="array" ref="Y69">INT(SUMPRODUCT(--ISNUMBER(SEARCH(democrattrigger,'Mark Kelly'!C69)))&gt;0)</f>
        <v>0</v>
      </c>
      <c r="Z69" s="14" cm="1">
        <f t="array" ref="Z69">INT(SUMPRODUCT(--ISNUMBER(SEARCH(bipartisan,'Mark Kelly'!C69)))&gt;0)</f>
        <v>0</v>
      </c>
      <c r="AA69" s="14">
        <f t="shared" si="1"/>
        <v>1</v>
      </c>
      <c r="AB69" s="14"/>
      <c r="AC69" s="30">
        <v>1</v>
      </c>
      <c r="AD69" s="37">
        <v>0</v>
      </c>
    </row>
    <row r="70" spans="1:30" x14ac:dyDescent="0.25">
      <c r="A70" s="36">
        <v>154</v>
      </c>
      <c r="B70" s="14" t="s">
        <v>340</v>
      </c>
      <c r="C70" s="31" t="s">
        <v>341</v>
      </c>
      <c r="D70" s="17">
        <v>44131</v>
      </c>
      <c r="E70" s="14" t="s">
        <v>30</v>
      </c>
      <c r="F70" s="14">
        <v>2447</v>
      </c>
      <c r="G70" s="14">
        <v>433</v>
      </c>
      <c r="H70" s="14">
        <v>2</v>
      </c>
      <c r="I70" s="14">
        <v>1</v>
      </c>
      <c r="J70" s="14" t="s">
        <v>204</v>
      </c>
      <c r="K70" s="14" cm="1">
        <f t="array" ref="K70">INT(SUMPRODUCT(--ISNUMBER(SEARCH(economy,'Mark Kelly'!C70)))&gt;0)</f>
        <v>0</v>
      </c>
      <c r="L70" s="14" cm="1">
        <f t="array" ref="L70">INT(SUMPRODUCT(--ISNUMBER(SEARCH(healthcare,'Mark Kelly'!C70)))&gt;0)</f>
        <v>0</v>
      </c>
      <c r="M70" s="14" cm="1">
        <f t="array" ref="M70">INT(SUMPRODUCT(--ISNUMBER(SEARCH(supreme,'Mark Kelly'!C70)))&gt;0)</f>
        <v>0</v>
      </c>
      <c r="N70" s="14" cm="1">
        <f t="array" ref="N70">INT(SUMPRODUCT(--ISNUMBER(SEARCH(covid,'Mark Kelly'!C70)))&gt;0)</f>
        <v>0</v>
      </c>
      <c r="O70" s="14" cm="1">
        <f t="array" ref="O70">INT(SUMPRODUCT(--ISNUMBER(SEARCH(violent,'Mark Kelly'!C70)))&gt;0)</f>
        <v>0</v>
      </c>
      <c r="P70" s="14" cm="1">
        <f t="array" ref="P70">INT(SUMPRODUCT(--ISNUMBER(SEARCH(foreign,'Mark Kelly'!C70)))&gt;0)</f>
        <v>0</v>
      </c>
      <c r="Q70" s="14" cm="1">
        <f t="array" ref="Q70">INT(SUMPRODUCT(--ISNUMBER(SEARCH(gun,'Mark Kelly'!C70)))&gt;0)</f>
        <v>0</v>
      </c>
      <c r="R70" s="14" cm="1">
        <f t="array" ref="R70">INT(SUMPRODUCT(--ISNUMBER(SEARCH(race,'Mark Kelly'!C70)))&gt;0)</f>
        <v>0</v>
      </c>
      <c r="S70" s="14" cm="1">
        <f t="array" ref="S70">INT(SUMPRODUCT(--ISNUMBER(SEARCH(immigration,C70)))&gt;0)</f>
        <v>0</v>
      </c>
      <c r="T70" s="14" cm="1">
        <f t="array" ref="T70">INT(SUMPRODUCT(--ISNUMBER(SEARCH(econineq,C70)))&gt;0)</f>
        <v>0</v>
      </c>
      <c r="U70" s="14" cm="1">
        <f t="array" ref="U70">INT(SUMPRODUCT(--ISNUMBER(SEARCH(climate,'Mark Kelly'!C70)))&gt;0)</f>
        <v>0</v>
      </c>
      <c r="V70" s="14" cm="1">
        <f t="array" ref="V70">INT(SUMPRODUCT(--ISNUMBER(SEARCH(abortion,'Mark Kelly'!C70)))&gt;0)</f>
        <v>0</v>
      </c>
      <c r="W70" s="14" cm="1">
        <f t="array" ref="W70">INT(SUMPRODUCT(--ISNUMBER(SEARCH(trump,'Mark Kelly'!C70)))&gt;0)</f>
        <v>0</v>
      </c>
      <c r="X70" s="14" cm="1">
        <f t="array" ref="X70">INT(SUMPRODUCT(--ISNUMBER(SEARCH(voting,'Mark Kelly'!C70)))&gt;0)</f>
        <v>1</v>
      </c>
      <c r="Y70" s="14" cm="1">
        <f t="array" ref="Y70">INT(SUMPRODUCT(--ISNUMBER(SEARCH(democrattrigger,'Mark Kelly'!C70)))&gt;0)</f>
        <v>0</v>
      </c>
      <c r="Z70" s="14" cm="1">
        <f t="array" ref="Z70">INT(SUMPRODUCT(--ISNUMBER(SEARCH(bipartisan,'Mark Kelly'!C70)))&gt;0)</f>
        <v>0</v>
      </c>
      <c r="AA70" s="14">
        <f t="shared" si="1"/>
        <v>0</v>
      </c>
      <c r="AB70" s="14"/>
      <c r="AC70" s="30">
        <v>1</v>
      </c>
      <c r="AD70" s="37">
        <v>0</v>
      </c>
    </row>
    <row r="71" spans="1:30" x14ac:dyDescent="0.25">
      <c r="A71" s="36">
        <v>155</v>
      </c>
      <c r="B71" s="14" t="s">
        <v>342</v>
      </c>
      <c r="C71" s="31" t="s">
        <v>343</v>
      </c>
      <c r="D71" s="17">
        <v>44131</v>
      </c>
      <c r="E71" s="14" t="s">
        <v>30</v>
      </c>
      <c r="F71" s="14">
        <v>1583</v>
      </c>
      <c r="G71" s="14">
        <v>257</v>
      </c>
      <c r="H71" s="14">
        <v>2</v>
      </c>
      <c r="I71" s="14">
        <v>1</v>
      </c>
      <c r="J71" s="14" t="s">
        <v>204</v>
      </c>
      <c r="K71" s="14" cm="1">
        <f t="array" ref="K71">INT(SUMPRODUCT(--ISNUMBER(SEARCH(economy,'Mark Kelly'!C71)))&gt;0)</f>
        <v>1</v>
      </c>
      <c r="L71" s="14" cm="1">
        <f t="array" ref="L71">INT(SUMPRODUCT(--ISNUMBER(SEARCH(healthcare,'Mark Kelly'!C71)))&gt;0)</f>
        <v>0</v>
      </c>
      <c r="M71" s="14" cm="1">
        <f t="array" ref="M71">INT(SUMPRODUCT(--ISNUMBER(SEARCH(supreme,'Mark Kelly'!C71)))&gt;0)</f>
        <v>0</v>
      </c>
      <c r="N71" s="14" cm="1">
        <f t="array" ref="N71">INT(SUMPRODUCT(--ISNUMBER(SEARCH(covid,'Mark Kelly'!C71)))&gt;0)</f>
        <v>0</v>
      </c>
      <c r="O71" s="14" cm="1">
        <f t="array" ref="O71">INT(SUMPRODUCT(--ISNUMBER(SEARCH(violent,'Mark Kelly'!C71)))&gt;0)</f>
        <v>0</v>
      </c>
      <c r="P71" s="14" cm="1">
        <f t="array" ref="P71">INT(SUMPRODUCT(--ISNUMBER(SEARCH(foreign,'Mark Kelly'!C71)))&gt;0)</f>
        <v>0</v>
      </c>
      <c r="Q71" s="14" cm="1">
        <f t="array" ref="Q71">INT(SUMPRODUCT(--ISNUMBER(SEARCH(gun,'Mark Kelly'!C71)))&gt;0)</f>
        <v>0</v>
      </c>
      <c r="R71" s="14" cm="1">
        <f t="array" ref="R71">INT(SUMPRODUCT(--ISNUMBER(SEARCH(race,'Mark Kelly'!C71)))&gt;0)</f>
        <v>0</v>
      </c>
      <c r="S71" s="14" cm="1">
        <f t="array" ref="S71">INT(SUMPRODUCT(--ISNUMBER(SEARCH(immigration,C71)))&gt;0)</f>
        <v>0</v>
      </c>
      <c r="T71" s="14" cm="1">
        <f t="array" ref="T71">INT(SUMPRODUCT(--ISNUMBER(SEARCH(econineq,C71)))&gt;0)</f>
        <v>0</v>
      </c>
      <c r="U71" s="14" cm="1">
        <f t="array" ref="U71">INT(SUMPRODUCT(--ISNUMBER(SEARCH(climate,'Mark Kelly'!C71)))&gt;0)</f>
        <v>0</v>
      </c>
      <c r="V71" s="14" cm="1">
        <f t="array" ref="V71">INT(SUMPRODUCT(--ISNUMBER(SEARCH(abortion,'Mark Kelly'!C71)))&gt;0)</f>
        <v>0</v>
      </c>
      <c r="W71" s="14" cm="1">
        <f t="array" ref="W71">INT(SUMPRODUCT(--ISNUMBER(SEARCH(trump,'Mark Kelly'!C71)))&gt;0)</f>
        <v>0</v>
      </c>
      <c r="X71" s="14" cm="1">
        <f t="array" ref="X71">INT(SUMPRODUCT(--ISNUMBER(SEARCH(voting,'Mark Kelly'!C71)))&gt;0)</f>
        <v>0</v>
      </c>
      <c r="Y71" s="14" cm="1">
        <f t="array" ref="Y71">INT(SUMPRODUCT(--ISNUMBER(SEARCH(democrattrigger,'Mark Kelly'!C71)))&gt;0)</f>
        <v>0</v>
      </c>
      <c r="Z71" s="14" cm="1">
        <f t="array" ref="Z71">INT(SUMPRODUCT(--ISNUMBER(SEARCH(bipartisan,'Mark Kelly'!C71)))&gt;0)</f>
        <v>0</v>
      </c>
      <c r="AA71" s="14">
        <f t="shared" si="1"/>
        <v>0</v>
      </c>
      <c r="AB71" s="14"/>
      <c r="AC71" s="30">
        <v>1</v>
      </c>
      <c r="AD71" s="37">
        <v>0</v>
      </c>
    </row>
    <row r="72" spans="1:30" x14ac:dyDescent="0.25">
      <c r="A72" s="36">
        <v>156</v>
      </c>
      <c r="B72" s="14" t="s">
        <v>344</v>
      </c>
      <c r="C72" s="31" t="s">
        <v>345</v>
      </c>
      <c r="D72" s="17">
        <v>44131</v>
      </c>
      <c r="E72" s="14" t="s">
        <v>30</v>
      </c>
      <c r="F72" s="14">
        <v>420</v>
      </c>
      <c r="G72" s="14">
        <v>100</v>
      </c>
      <c r="H72" s="14">
        <v>2</v>
      </c>
      <c r="I72" s="14">
        <v>1</v>
      </c>
      <c r="J72" s="14" t="s">
        <v>204</v>
      </c>
      <c r="K72" s="14" cm="1">
        <f t="array" ref="K72">INT(SUMPRODUCT(--ISNUMBER(SEARCH(economy,'Mark Kelly'!C72)))&gt;0)</f>
        <v>0</v>
      </c>
      <c r="L72" s="14" cm="1">
        <f t="array" ref="L72">INT(SUMPRODUCT(--ISNUMBER(SEARCH(healthcare,'Mark Kelly'!C72)))&gt;0)</f>
        <v>0</v>
      </c>
      <c r="M72" s="14" cm="1">
        <f t="array" ref="M72">INT(SUMPRODUCT(--ISNUMBER(SEARCH(supreme,'Mark Kelly'!C72)))&gt;0)</f>
        <v>0</v>
      </c>
      <c r="N72" s="14" cm="1">
        <f t="array" ref="N72">INT(SUMPRODUCT(--ISNUMBER(SEARCH(covid,'Mark Kelly'!C72)))&gt;0)</f>
        <v>1</v>
      </c>
      <c r="O72" s="14" cm="1">
        <f t="array" ref="O72">INT(SUMPRODUCT(--ISNUMBER(SEARCH(violent,'Mark Kelly'!C72)))&gt;0)</f>
        <v>0</v>
      </c>
      <c r="P72" s="14" cm="1">
        <f t="array" ref="P72">INT(SUMPRODUCT(--ISNUMBER(SEARCH(foreign,'Mark Kelly'!C72)))&gt;0)</f>
        <v>0</v>
      </c>
      <c r="Q72" s="14" cm="1">
        <f t="array" ref="Q72">INT(SUMPRODUCT(--ISNUMBER(SEARCH(gun,'Mark Kelly'!C72)))&gt;0)</f>
        <v>0</v>
      </c>
      <c r="R72" s="14" cm="1">
        <f t="array" ref="R72">INT(SUMPRODUCT(--ISNUMBER(SEARCH(race,'Mark Kelly'!C72)))&gt;0)</f>
        <v>0</v>
      </c>
      <c r="S72" s="14" cm="1">
        <f t="array" ref="S72">INT(SUMPRODUCT(--ISNUMBER(SEARCH(immigration,C72)))&gt;0)</f>
        <v>0</v>
      </c>
      <c r="T72" s="14" cm="1">
        <f t="array" ref="T72">INT(SUMPRODUCT(--ISNUMBER(SEARCH(econineq,C72)))&gt;0)</f>
        <v>0</v>
      </c>
      <c r="U72" s="14" cm="1">
        <f t="array" ref="U72">INT(SUMPRODUCT(--ISNUMBER(SEARCH(climate,'Mark Kelly'!C72)))&gt;0)</f>
        <v>0</v>
      </c>
      <c r="V72" s="14" cm="1">
        <f t="array" ref="V72">INT(SUMPRODUCT(--ISNUMBER(SEARCH(abortion,'Mark Kelly'!C72)))&gt;0)</f>
        <v>0</v>
      </c>
      <c r="W72" s="14" cm="1">
        <f t="array" ref="W72">INT(SUMPRODUCT(--ISNUMBER(SEARCH(trump,'Mark Kelly'!C72)))&gt;0)</f>
        <v>0</v>
      </c>
      <c r="X72" s="14" cm="1">
        <f t="array" ref="X72">INT(SUMPRODUCT(--ISNUMBER(SEARCH(voting,'Mark Kelly'!C72)))&gt;0)</f>
        <v>0</v>
      </c>
      <c r="Y72" s="14" cm="1">
        <f t="array" ref="Y72">INT(SUMPRODUCT(--ISNUMBER(SEARCH(democrattrigger,'Mark Kelly'!C72)))&gt;0)</f>
        <v>0</v>
      </c>
      <c r="Z72" s="14" cm="1">
        <f t="array" ref="Z72">INT(SUMPRODUCT(--ISNUMBER(SEARCH(bipartisan,'Mark Kelly'!C72)))&gt;0)</f>
        <v>0</v>
      </c>
      <c r="AA72" s="14">
        <f t="shared" si="1"/>
        <v>0</v>
      </c>
      <c r="AB72" s="14"/>
      <c r="AC72" s="30">
        <v>0</v>
      </c>
      <c r="AD72" s="37">
        <v>1</v>
      </c>
    </row>
    <row r="73" spans="1:30" x14ac:dyDescent="0.25">
      <c r="A73" s="36">
        <v>157</v>
      </c>
      <c r="B73" s="14" t="s">
        <v>346</v>
      </c>
      <c r="C73" s="31" t="s">
        <v>347</v>
      </c>
      <c r="D73" s="17">
        <v>44131</v>
      </c>
      <c r="E73" s="14" t="s">
        <v>30</v>
      </c>
      <c r="F73" s="14">
        <v>1385</v>
      </c>
      <c r="G73" s="14">
        <v>324</v>
      </c>
      <c r="H73" s="14">
        <v>2</v>
      </c>
      <c r="I73" s="14">
        <v>1</v>
      </c>
      <c r="J73" s="14" t="s">
        <v>204</v>
      </c>
      <c r="K73" s="14" cm="1">
        <f t="array" ref="K73">INT(SUMPRODUCT(--ISNUMBER(SEARCH(economy,'Mark Kelly'!C73)))&gt;0)</f>
        <v>0</v>
      </c>
      <c r="L73" s="14" cm="1">
        <f t="array" ref="L73">INT(SUMPRODUCT(--ISNUMBER(SEARCH(healthcare,'Mark Kelly'!C73)))&gt;0)</f>
        <v>0</v>
      </c>
      <c r="M73" s="14" cm="1">
        <f t="array" ref="M73">INT(SUMPRODUCT(--ISNUMBER(SEARCH(supreme,'Mark Kelly'!C73)))&gt;0)</f>
        <v>0</v>
      </c>
      <c r="N73" s="14" cm="1">
        <f t="array" ref="N73">INT(SUMPRODUCT(--ISNUMBER(SEARCH(covid,'Mark Kelly'!C73)))&gt;0)</f>
        <v>0</v>
      </c>
      <c r="O73" s="14" cm="1">
        <f t="array" ref="O73">INT(SUMPRODUCT(--ISNUMBER(SEARCH(violent,'Mark Kelly'!C73)))&gt;0)</f>
        <v>0</v>
      </c>
      <c r="P73" s="14" cm="1">
        <f t="array" ref="P73">INT(SUMPRODUCT(--ISNUMBER(SEARCH(foreign,'Mark Kelly'!C73)))&gt;0)</f>
        <v>0</v>
      </c>
      <c r="Q73" s="14" cm="1">
        <f t="array" ref="Q73">INT(SUMPRODUCT(--ISNUMBER(SEARCH(gun,'Mark Kelly'!C73)))&gt;0)</f>
        <v>0</v>
      </c>
      <c r="R73" s="14" cm="1">
        <f t="array" ref="R73">INT(SUMPRODUCT(--ISNUMBER(SEARCH(race,'Mark Kelly'!C73)))&gt;0)</f>
        <v>0</v>
      </c>
      <c r="S73" s="14" cm="1">
        <f t="array" ref="S73">INT(SUMPRODUCT(--ISNUMBER(SEARCH(immigration,C73)))&gt;0)</f>
        <v>0</v>
      </c>
      <c r="T73" s="14" cm="1">
        <f t="array" ref="T73">INT(SUMPRODUCT(--ISNUMBER(SEARCH(econineq,C73)))&gt;0)</f>
        <v>0</v>
      </c>
      <c r="U73" s="14" cm="1">
        <f t="array" ref="U73">INT(SUMPRODUCT(--ISNUMBER(SEARCH(climate,'Mark Kelly'!C73)))&gt;0)</f>
        <v>0</v>
      </c>
      <c r="V73" s="14" cm="1">
        <f t="array" ref="V73">INT(SUMPRODUCT(--ISNUMBER(SEARCH(abortion,'Mark Kelly'!C73)))&gt;0)</f>
        <v>0</v>
      </c>
      <c r="W73" s="14" cm="1">
        <f t="array" ref="W73">INT(SUMPRODUCT(--ISNUMBER(SEARCH(trump,'Mark Kelly'!C73)))&gt;0)</f>
        <v>0</v>
      </c>
      <c r="X73" s="14" cm="1">
        <f t="array" ref="X73">INT(SUMPRODUCT(--ISNUMBER(SEARCH(voting,'Mark Kelly'!C73)))&gt;0)</f>
        <v>0</v>
      </c>
      <c r="Y73" s="14" cm="1">
        <f t="array" ref="Y73">INT(SUMPRODUCT(--ISNUMBER(SEARCH(democrattrigger,'Mark Kelly'!C73)))&gt;0)</f>
        <v>1</v>
      </c>
      <c r="Z73" s="14" cm="1">
        <f t="array" ref="Z73">INT(SUMPRODUCT(--ISNUMBER(SEARCH(bipartisan,'Mark Kelly'!C73)))&gt;0)</f>
        <v>1</v>
      </c>
      <c r="AA73" s="14">
        <f t="shared" si="1"/>
        <v>0</v>
      </c>
      <c r="AB73" s="14"/>
      <c r="AC73" s="30" t="s">
        <v>223</v>
      </c>
      <c r="AD73" s="37">
        <v>0</v>
      </c>
    </row>
    <row r="74" spans="1:30" x14ac:dyDescent="0.25">
      <c r="A74" s="36">
        <v>158</v>
      </c>
      <c r="B74" s="14" t="s">
        <v>348</v>
      </c>
      <c r="C74" s="31" t="s">
        <v>349</v>
      </c>
      <c r="D74" s="17">
        <v>44131</v>
      </c>
      <c r="E74" s="14" t="s">
        <v>30</v>
      </c>
      <c r="F74" s="14">
        <v>963</v>
      </c>
      <c r="G74" s="14">
        <v>175</v>
      </c>
      <c r="H74" s="14">
        <v>2</v>
      </c>
      <c r="I74" s="14">
        <v>1</v>
      </c>
      <c r="J74" s="14" t="s">
        <v>204</v>
      </c>
      <c r="K74" s="14" cm="1">
        <f t="array" ref="K74">INT(SUMPRODUCT(--ISNUMBER(SEARCH(economy,'Mark Kelly'!C74)))&gt;0)</f>
        <v>0</v>
      </c>
      <c r="L74" s="14" cm="1">
        <f t="array" ref="L74">INT(SUMPRODUCT(--ISNUMBER(SEARCH(healthcare,'Mark Kelly'!C74)))&gt;0)</f>
        <v>0</v>
      </c>
      <c r="M74" s="14" cm="1">
        <f t="array" ref="M74">INT(SUMPRODUCT(--ISNUMBER(SEARCH(supreme,'Mark Kelly'!C74)))&gt;0)</f>
        <v>0</v>
      </c>
      <c r="N74" s="14" cm="1">
        <f t="array" ref="N74">INT(SUMPRODUCT(--ISNUMBER(SEARCH(covid,'Mark Kelly'!C74)))&gt;0)</f>
        <v>0</v>
      </c>
      <c r="O74" s="14" cm="1">
        <f t="array" ref="O74">INT(SUMPRODUCT(--ISNUMBER(SEARCH(violent,'Mark Kelly'!C74)))&gt;0)</f>
        <v>0</v>
      </c>
      <c r="P74" s="14" cm="1">
        <f t="array" ref="P74">INT(SUMPRODUCT(--ISNUMBER(SEARCH(foreign,'Mark Kelly'!C74)))&gt;0)</f>
        <v>0</v>
      </c>
      <c r="Q74" s="14" cm="1">
        <f t="array" ref="Q74">INT(SUMPRODUCT(--ISNUMBER(SEARCH(gun,'Mark Kelly'!C74)))&gt;0)</f>
        <v>0</v>
      </c>
      <c r="R74" s="14" cm="1">
        <f t="array" ref="R74">INT(SUMPRODUCT(--ISNUMBER(SEARCH(race,'Mark Kelly'!C74)))&gt;0)</f>
        <v>0</v>
      </c>
      <c r="S74" s="14" cm="1">
        <f t="array" ref="S74">INT(SUMPRODUCT(--ISNUMBER(SEARCH(immigration,C74)))&gt;0)</f>
        <v>0</v>
      </c>
      <c r="T74" s="14" cm="1">
        <f t="array" ref="T74">INT(SUMPRODUCT(--ISNUMBER(SEARCH(econineq,C74)))&gt;0)</f>
        <v>0</v>
      </c>
      <c r="U74" s="14" cm="1">
        <f t="array" ref="U74">INT(SUMPRODUCT(--ISNUMBER(SEARCH(climate,'Mark Kelly'!C74)))&gt;0)</f>
        <v>0</v>
      </c>
      <c r="V74" s="14" cm="1">
        <f t="array" ref="V74">INT(SUMPRODUCT(--ISNUMBER(SEARCH(abortion,'Mark Kelly'!C74)))&gt;0)</f>
        <v>0</v>
      </c>
      <c r="W74" s="14" cm="1">
        <f t="array" ref="W74">INT(SUMPRODUCT(--ISNUMBER(SEARCH(trump,'Mark Kelly'!C74)))&gt;0)</f>
        <v>0</v>
      </c>
      <c r="X74" s="14" cm="1">
        <f t="array" ref="X74">INT(SUMPRODUCT(--ISNUMBER(SEARCH(voting,'Mark Kelly'!C74)))&gt;0)</f>
        <v>1</v>
      </c>
      <c r="Y74" s="14" cm="1">
        <f t="array" ref="Y74">INT(SUMPRODUCT(--ISNUMBER(SEARCH(democrattrigger,'Mark Kelly'!C74)))&gt;0)</f>
        <v>0</v>
      </c>
      <c r="Z74" s="14" cm="1">
        <f t="array" ref="Z74">INT(SUMPRODUCT(--ISNUMBER(SEARCH(bipartisan,'Mark Kelly'!C74)))&gt;0)</f>
        <v>0</v>
      </c>
      <c r="AA74" s="14">
        <f t="shared" si="1"/>
        <v>0</v>
      </c>
      <c r="AB74" s="14"/>
      <c r="AC74" s="30">
        <v>1</v>
      </c>
      <c r="AD74" s="37">
        <v>0</v>
      </c>
    </row>
    <row r="75" spans="1:30" x14ac:dyDescent="0.25">
      <c r="A75" s="36">
        <v>159</v>
      </c>
      <c r="B75" s="14" t="s">
        <v>350</v>
      </c>
      <c r="C75" s="31" t="s">
        <v>351</v>
      </c>
      <c r="D75" s="17">
        <v>44131</v>
      </c>
      <c r="E75" s="14" t="s">
        <v>30</v>
      </c>
      <c r="F75" s="14">
        <v>1285</v>
      </c>
      <c r="G75" s="14">
        <v>220</v>
      </c>
      <c r="H75" s="14">
        <v>2</v>
      </c>
      <c r="I75" s="14">
        <v>1</v>
      </c>
      <c r="J75" s="14" t="s">
        <v>204</v>
      </c>
      <c r="K75" s="14" cm="1">
        <f t="array" ref="K75">INT(SUMPRODUCT(--ISNUMBER(SEARCH(economy,'Mark Kelly'!C75)))&gt;0)</f>
        <v>0</v>
      </c>
      <c r="L75" s="14" cm="1">
        <f t="array" ref="L75">INT(SUMPRODUCT(--ISNUMBER(SEARCH(healthcare,'Mark Kelly'!C75)))&gt;0)</f>
        <v>0</v>
      </c>
      <c r="M75" s="14" cm="1">
        <f t="array" ref="M75">INT(SUMPRODUCT(--ISNUMBER(SEARCH(supreme,'Mark Kelly'!C75)))&gt;0)</f>
        <v>0</v>
      </c>
      <c r="N75" s="14" cm="1">
        <f t="array" ref="N75">INT(SUMPRODUCT(--ISNUMBER(SEARCH(covid,'Mark Kelly'!C75)))&gt;0)</f>
        <v>0</v>
      </c>
      <c r="O75" s="14" cm="1">
        <f t="array" ref="O75">INT(SUMPRODUCT(--ISNUMBER(SEARCH(violent,'Mark Kelly'!C75)))&gt;0)</f>
        <v>0</v>
      </c>
      <c r="P75" s="14" cm="1">
        <f t="array" ref="P75">INT(SUMPRODUCT(--ISNUMBER(SEARCH(foreign,'Mark Kelly'!C75)))&gt;0)</f>
        <v>0</v>
      </c>
      <c r="Q75" s="14" cm="1">
        <f t="array" ref="Q75">INT(SUMPRODUCT(--ISNUMBER(SEARCH(gun,'Mark Kelly'!C75)))&gt;0)</f>
        <v>0</v>
      </c>
      <c r="R75" s="14" cm="1">
        <f t="array" ref="R75">INT(SUMPRODUCT(--ISNUMBER(SEARCH(race,'Mark Kelly'!C75)))&gt;0)</f>
        <v>0</v>
      </c>
      <c r="S75" s="14" cm="1">
        <f t="array" ref="S75">INT(SUMPRODUCT(--ISNUMBER(SEARCH(immigration,C75)))&gt;0)</f>
        <v>0</v>
      </c>
      <c r="T75" s="14" cm="1">
        <f t="array" ref="T75">INT(SUMPRODUCT(--ISNUMBER(SEARCH(econineq,C75)))&gt;0)</f>
        <v>0</v>
      </c>
      <c r="U75" s="14" cm="1">
        <f t="array" ref="U75">INT(SUMPRODUCT(--ISNUMBER(SEARCH(climate,'Mark Kelly'!C75)))&gt;0)</f>
        <v>0</v>
      </c>
      <c r="V75" s="14" cm="1">
        <f t="array" ref="V75">INT(SUMPRODUCT(--ISNUMBER(SEARCH(abortion,'Mark Kelly'!C75)))&gt;0)</f>
        <v>0</v>
      </c>
      <c r="W75" s="14" cm="1">
        <f t="array" ref="W75">INT(SUMPRODUCT(--ISNUMBER(SEARCH(trump,'Mark Kelly'!C75)))&gt;0)</f>
        <v>0</v>
      </c>
      <c r="X75" s="14" cm="1">
        <f t="array" ref="X75">INT(SUMPRODUCT(--ISNUMBER(SEARCH(voting,'Mark Kelly'!C75)))&gt;0)</f>
        <v>0</v>
      </c>
      <c r="Y75" s="14" cm="1">
        <f t="array" ref="Y75">INT(SUMPRODUCT(--ISNUMBER(SEARCH(democrattrigger,'Mark Kelly'!C75)))&gt;0)</f>
        <v>0</v>
      </c>
      <c r="Z75" s="14" cm="1">
        <f t="array" ref="Z75">INT(SUMPRODUCT(--ISNUMBER(SEARCH(bipartisan,'Mark Kelly'!C75)))&gt;0)</f>
        <v>0</v>
      </c>
      <c r="AA75" s="14">
        <f t="shared" si="1"/>
        <v>1</v>
      </c>
      <c r="AB75" s="14"/>
      <c r="AC75" s="30" t="s">
        <v>223</v>
      </c>
      <c r="AD75" s="37"/>
    </row>
    <row r="76" spans="1:30" x14ac:dyDescent="0.25">
      <c r="A76" s="36">
        <v>160</v>
      </c>
      <c r="B76" s="14" t="s">
        <v>352</v>
      </c>
      <c r="C76" s="31" t="s">
        <v>353</v>
      </c>
      <c r="D76" s="17">
        <v>44131</v>
      </c>
      <c r="E76" s="14" t="s">
        <v>30</v>
      </c>
      <c r="F76" s="14">
        <v>1110</v>
      </c>
      <c r="G76" s="14">
        <v>441</v>
      </c>
      <c r="H76" s="14">
        <v>2</v>
      </c>
      <c r="I76" s="14">
        <v>1</v>
      </c>
      <c r="J76" s="14" t="s">
        <v>204</v>
      </c>
      <c r="K76" s="14" cm="1">
        <f t="array" ref="K76">INT(SUMPRODUCT(--ISNUMBER(SEARCH(economy,'Mark Kelly'!C76)))&gt;0)</f>
        <v>0</v>
      </c>
      <c r="L76" s="14" cm="1">
        <f t="array" ref="L76">INT(SUMPRODUCT(--ISNUMBER(SEARCH(healthcare,'Mark Kelly'!C76)))&gt;0)</f>
        <v>0</v>
      </c>
      <c r="M76" s="14" cm="1">
        <f t="array" ref="M76">INT(SUMPRODUCT(--ISNUMBER(SEARCH(supreme,'Mark Kelly'!C76)))&gt;0)</f>
        <v>0</v>
      </c>
      <c r="N76" s="14" cm="1">
        <f t="array" ref="N76">INT(SUMPRODUCT(--ISNUMBER(SEARCH(covid,'Mark Kelly'!C76)))&gt;0)</f>
        <v>0</v>
      </c>
      <c r="O76" s="14" cm="1">
        <f t="array" ref="O76">INT(SUMPRODUCT(--ISNUMBER(SEARCH(violent,'Mark Kelly'!C76)))&gt;0)</f>
        <v>0</v>
      </c>
      <c r="P76" s="14" cm="1">
        <f t="array" ref="P76">INT(SUMPRODUCT(--ISNUMBER(SEARCH(foreign,'Mark Kelly'!C76)))&gt;0)</f>
        <v>0</v>
      </c>
      <c r="Q76" s="14" cm="1">
        <f t="array" ref="Q76">INT(SUMPRODUCT(--ISNUMBER(SEARCH(gun,'Mark Kelly'!C76)))&gt;0)</f>
        <v>0</v>
      </c>
      <c r="R76" s="14" cm="1">
        <f t="array" ref="R76">INT(SUMPRODUCT(--ISNUMBER(SEARCH(race,'Mark Kelly'!C76)))&gt;0)</f>
        <v>0</v>
      </c>
      <c r="S76" s="14" cm="1">
        <f t="array" ref="S76">INT(SUMPRODUCT(--ISNUMBER(SEARCH(immigration,C76)))&gt;0)</f>
        <v>0</v>
      </c>
      <c r="T76" s="14" cm="1">
        <f t="array" ref="T76">INT(SUMPRODUCT(--ISNUMBER(SEARCH(econineq,C76)))&gt;0)</f>
        <v>0</v>
      </c>
      <c r="U76" s="14" cm="1">
        <f t="array" ref="U76">INT(SUMPRODUCT(--ISNUMBER(SEARCH(climate,'Mark Kelly'!C76)))&gt;0)</f>
        <v>0</v>
      </c>
      <c r="V76" s="14" cm="1">
        <f t="array" ref="V76">INT(SUMPRODUCT(--ISNUMBER(SEARCH(abortion,'Mark Kelly'!C76)))&gt;0)</f>
        <v>0</v>
      </c>
      <c r="W76" s="14" cm="1">
        <f t="array" ref="W76">INT(SUMPRODUCT(--ISNUMBER(SEARCH(trump,'Mark Kelly'!C76)))&gt;0)</f>
        <v>0</v>
      </c>
      <c r="X76" s="14" cm="1">
        <f t="array" ref="X76">INT(SUMPRODUCT(--ISNUMBER(SEARCH(voting,'Mark Kelly'!C76)))&gt;0)</f>
        <v>1</v>
      </c>
      <c r="Y76" s="14" cm="1">
        <f t="array" ref="Y76">INT(SUMPRODUCT(--ISNUMBER(SEARCH(democrattrigger,'Mark Kelly'!C76)))&gt;0)</f>
        <v>0</v>
      </c>
      <c r="Z76" s="14" cm="1">
        <f t="array" ref="Z76">INT(SUMPRODUCT(--ISNUMBER(SEARCH(bipartisan,'Mark Kelly'!C76)))&gt;0)</f>
        <v>0</v>
      </c>
      <c r="AA76" s="14">
        <f t="shared" si="1"/>
        <v>0</v>
      </c>
      <c r="AB76" s="14"/>
      <c r="AC76" s="30" t="s">
        <v>223</v>
      </c>
      <c r="AD76" s="37"/>
    </row>
    <row r="77" spans="1:30" x14ac:dyDescent="0.25">
      <c r="A77" s="36">
        <v>161</v>
      </c>
      <c r="B77" s="14" t="s">
        <v>354</v>
      </c>
      <c r="C77" s="31" t="s">
        <v>355</v>
      </c>
      <c r="D77" s="17">
        <v>44131</v>
      </c>
      <c r="E77" s="14" t="s">
        <v>30</v>
      </c>
      <c r="F77" s="14">
        <v>17939</v>
      </c>
      <c r="G77" s="14">
        <v>2252</v>
      </c>
      <c r="H77" s="14">
        <v>2</v>
      </c>
      <c r="I77" s="14">
        <v>1</v>
      </c>
      <c r="J77" s="14" t="s">
        <v>204</v>
      </c>
      <c r="K77" s="14" cm="1">
        <f t="array" ref="K77">INT(SUMPRODUCT(--ISNUMBER(SEARCH(economy,'Mark Kelly'!C77)))&gt;0)</f>
        <v>0</v>
      </c>
      <c r="L77" s="14" cm="1">
        <f t="array" ref="L77">INT(SUMPRODUCT(--ISNUMBER(SEARCH(healthcare,'Mark Kelly'!C77)))&gt;0)</f>
        <v>0</v>
      </c>
      <c r="M77" s="14" cm="1">
        <f t="array" ref="M77">INT(SUMPRODUCT(--ISNUMBER(SEARCH(supreme,'Mark Kelly'!C77)))&gt;0)</f>
        <v>0</v>
      </c>
      <c r="N77" s="14" cm="1">
        <f t="array" ref="N77">INT(SUMPRODUCT(--ISNUMBER(SEARCH(covid,'Mark Kelly'!C77)))&gt;0)</f>
        <v>0</v>
      </c>
      <c r="O77" s="14" cm="1">
        <f t="array" ref="O77">INT(SUMPRODUCT(--ISNUMBER(SEARCH(violent,'Mark Kelly'!C77)))&gt;0)</f>
        <v>0</v>
      </c>
      <c r="P77" s="14" cm="1">
        <f t="array" ref="P77">INT(SUMPRODUCT(--ISNUMBER(SEARCH(foreign,'Mark Kelly'!C77)))&gt;0)</f>
        <v>0</v>
      </c>
      <c r="Q77" s="14" cm="1">
        <f t="array" ref="Q77">INT(SUMPRODUCT(--ISNUMBER(SEARCH(gun,'Mark Kelly'!C77)))&gt;0)</f>
        <v>0</v>
      </c>
      <c r="R77" s="14" cm="1">
        <f t="array" ref="R77">INT(SUMPRODUCT(--ISNUMBER(SEARCH(race,'Mark Kelly'!C77)))&gt;0)</f>
        <v>0</v>
      </c>
      <c r="S77" s="14" cm="1">
        <f t="array" ref="S77">INT(SUMPRODUCT(--ISNUMBER(SEARCH(immigration,C77)))&gt;0)</f>
        <v>0</v>
      </c>
      <c r="T77" s="14" cm="1">
        <f t="array" ref="T77">INT(SUMPRODUCT(--ISNUMBER(SEARCH(econineq,C77)))&gt;0)</f>
        <v>0</v>
      </c>
      <c r="U77" s="14" cm="1">
        <f t="array" ref="U77">INT(SUMPRODUCT(--ISNUMBER(SEARCH(climate,'Mark Kelly'!C77)))&gt;0)</f>
        <v>0</v>
      </c>
      <c r="V77" s="14" cm="1">
        <f t="array" ref="V77">INT(SUMPRODUCT(--ISNUMBER(SEARCH(abortion,'Mark Kelly'!C77)))&gt;0)</f>
        <v>0</v>
      </c>
      <c r="W77" s="14" cm="1">
        <f t="array" ref="W77">INT(SUMPRODUCT(--ISNUMBER(SEARCH(trump,'Mark Kelly'!C77)))&gt;0)</f>
        <v>0</v>
      </c>
      <c r="X77" s="14" cm="1">
        <f t="array" ref="X77">INT(SUMPRODUCT(--ISNUMBER(SEARCH(voting,'Mark Kelly'!C77)))&gt;0)</f>
        <v>0</v>
      </c>
      <c r="Y77" s="14" cm="1">
        <f t="array" ref="Y77">INT(SUMPRODUCT(--ISNUMBER(SEARCH(democrattrigger,'Mark Kelly'!C77)))&gt;0)</f>
        <v>0</v>
      </c>
      <c r="Z77" s="14" cm="1">
        <f t="array" ref="Z77">INT(SUMPRODUCT(--ISNUMBER(SEARCH(bipartisan,'Mark Kelly'!C77)))&gt;0)</f>
        <v>0</v>
      </c>
      <c r="AA77" s="14">
        <f t="shared" si="1"/>
        <v>1</v>
      </c>
      <c r="AB77" s="14"/>
      <c r="AC77" s="30">
        <v>1</v>
      </c>
      <c r="AD77" s="37"/>
    </row>
    <row r="78" spans="1:30" x14ac:dyDescent="0.25">
      <c r="A78" s="36">
        <v>162</v>
      </c>
      <c r="B78" s="14" t="s">
        <v>356</v>
      </c>
      <c r="C78" s="31" t="s">
        <v>357</v>
      </c>
      <c r="D78" s="17">
        <v>44131</v>
      </c>
      <c r="E78" s="14" t="s">
        <v>30</v>
      </c>
      <c r="F78" s="14">
        <v>2590</v>
      </c>
      <c r="G78" s="14">
        <v>738</v>
      </c>
      <c r="H78" s="14">
        <v>2</v>
      </c>
      <c r="I78" s="14">
        <v>1</v>
      </c>
      <c r="J78" s="14" t="s">
        <v>204</v>
      </c>
      <c r="K78" s="14" cm="1">
        <f t="array" ref="K78">INT(SUMPRODUCT(--ISNUMBER(SEARCH(economy,'Mark Kelly'!C78)))&gt;0)</f>
        <v>0</v>
      </c>
      <c r="L78" s="14" cm="1">
        <f t="array" ref="L78">INT(SUMPRODUCT(--ISNUMBER(SEARCH(healthcare,'Mark Kelly'!C78)))&gt;0)</f>
        <v>0</v>
      </c>
      <c r="M78" s="14" cm="1">
        <f t="array" ref="M78">INT(SUMPRODUCT(--ISNUMBER(SEARCH(supreme,'Mark Kelly'!C78)))&gt;0)</f>
        <v>0</v>
      </c>
      <c r="N78" s="14" cm="1">
        <f t="array" ref="N78">INT(SUMPRODUCT(--ISNUMBER(SEARCH(covid,'Mark Kelly'!C78)))&gt;0)</f>
        <v>0</v>
      </c>
      <c r="O78" s="14" cm="1">
        <f t="array" ref="O78">INT(SUMPRODUCT(--ISNUMBER(SEARCH(violent,'Mark Kelly'!C78)))&gt;0)</f>
        <v>0</v>
      </c>
      <c r="P78" s="14" cm="1">
        <f t="array" ref="P78">INT(SUMPRODUCT(--ISNUMBER(SEARCH(foreign,'Mark Kelly'!C78)))&gt;0)</f>
        <v>0</v>
      </c>
      <c r="Q78" s="14" cm="1">
        <f t="array" ref="Q78">INT(SUMPRODUCT(--ISNUMBER(SEARCH(gun,'Mark Kelly'!C78)))&gt;0)</f>
        <v>0</v>
      </c>
      <c r="R78" s="14" cm="1">
        <f t="array" ref="R78">INT(SUMPRODUCT(--ISNUMBER(SEARCH(race,'Mark Kelly'!C78)))&gt;0)</f>
        <v>0</v>
      </c>
      <c r="S78" s="14" cm="1">
        <f t="array" ref="S78">INT(SUMPRODUCT(--ISNUMBER(SEARCH(immigration,C78)))&gt;0)</f>
        <v>0</v>
      </c>
      <c r="T78" s="14" cm="1">
        <f t="array" ref="T78">INT(SUMPRODUCT(--ISNUMBER(SEARCH(econineq,C78)))&gt;0)</f>
        <v>0</v>
      </c>
      <c r="U78" s="14" cm="1">
        <f t="array" ref="U78">INT(SUMPRODUCT(--ISNUMBER(SEARCH(climate,'Mark Kelly'!C78)))&gt;0)</f>
        <v>0</v>
      </c>
      <c r="V78" s="14" cm="1">
        <f t="array" ref="V78">INT(SUMPRODUCT(--ISNUMBER(SEARCH(abortion,'Mark Kelly'!C78)))&gt;0)</f>
        <v>0</v>
      </c>
      <c r="W78" s="14" cm="1">
        <f t="array" ref="W78">INT(SUMPRODUCT(--ISNUMBER(SEARCH(trump,'Mark Kelly'!C78)))&gt;0)</f>
        <v>0</v>
      </c>
      <c r="X78" s="14" cm="1">
        <f t="array" ref="X78">INT(SUMPRODUCT(--ISNUMBER(SEARCH(voting,'Mark Kelly'!C78)))&gt;0)</f>
        <v>1</v>
      </c>
      <c r="Y78" s="14" cm="1">
        <f t="array" ref="Y78">INT(SUMPRODUCT(--ISNUMBER(SEARCH(democrattrigger,'Mark Kelly'!C78)))&gt;0)</f>
        <v>0</v>
      </c>
      <c r="Z78" s="14" cm="1">
        <f t="array" ref="Z78">INT(SUMPRODUCT(--ISNUMBER(SEARCH(bipartisan,'Mark Kelly'!C78)))&gt;0)</f>
        <v>0</v>
      </c>
      <c r="AA78" s="14">
        <f t="shared" si="1"/>
        <v>0</v>
      </c>
      <c r="AB78" s="14"/>
      <c r="AC78" s="30">
        <v>0</v>
      </c>
      <c r="AD78" s="37"/>
    </row>
    <row r="79" spans="1:30" x14ac:dyDescent="0.25">
      <c r="A79" s="36">
        <v>163</v>
      </c>
      <c r="B79" s="14" t="s">
        <v>358</v>
      </c>
      <c r="C79" s="31" t="s">
        <v>359</v>
      </c>
      <c r="D79" s="17">
        <v>44131</v>
      </c>
      <c r="E79" s="14" t="s">
        <v>30</v>
      </c>
      <c r="F79" s="14">
        <v>3580</v>
      </c>
      <c r="G79" s="14">
        <v>814</v>
      </c>
      <c r="H79" s="14">
        <v>2</v>
      </c>
      <c r="I79" s="14">
        <v>1</v>
      </c>
      <c r="J79" s="14" t="s">
        <v>204</v>
      </c>
      <c r="K79" s="14" cm="1">
        <f t="array" ref="K79">INT(SUMPRODUCT(--ISNUMBER(SEARCH(economy,'Mark Kelly'!C79)))&gt;0)</f>
        <v>1</v>
      </c>
      <c r="L79" s="14" cm="1">
        <f t="array" ref="L79">INT(SUMPRODUCT(--ISNUMBER(SEARCH(healthcare,'Mark Kelly'!C79)))&gt;0)</f>
        <v>0</v>
      </c>
      <c r="M79" s="14" cm="1">
        <f t="array" ref="M79">INT(SUMPRODUCT(--ISNUMBER(SEARCH(supreme,'Mark Kelly'!C79)))&gt;0)</f>
        <v>0</v>
      </c>
      <c r="N79" s="14" cm="1">
        <f t="array" ref="N79">INT(SUMPRODUCT(--ISNUMBER(SEARCH(covid,'Mark Kelly'!C79)))&gt;0)</f>
        <v>1</v>
      </c>
      <c r="O79" s="14" cm="1">
        <f t="array" ref="O79">INT(SUMPRODUCT(--ISNUMBER(SEARCH(violent,'Mark Kelly'!C79)))&gt;0)</f>
        <v>0</v>
      </c>
      <c r="P79" s="14" cm="1">
        <f t="array" ref="P79">INT(SUMPRODUCT(--ISNUMBER(SEARCH(foreign,'Mark Kelly'!C79)))&gt;0)</f>
        <v>0</v>
      </c>
      <c r="Q79" s="14" cm="1">
        <f t="array" ref="Q79">INT(SUMPRODUCT(--ISNUMBER(SEARCH(gun,'Mark Kelly'!C79)))&gt;0)</f>
        <v>0</v>
      </c>
      <c r="R79" s="14" cm="1">
        <f t="array" ref="R79">INT(SUMPRODUCT(--ISNUMBER(SEARCH(race,'Mark Kelly'!C79)))&gt;0)</f>
        <v>0</v>
      </c>
      <c r="S79" s="14" cm="1">
        <f t="array" ref="S79">INT(SUMPRODUCT(--ISNUMBER(SEARCH(immigration,C79)))&gt;0)</f>
        <v>0</v>
      </c>
      <c r="T79" s="14" cm="1">
        <f t="array" ref="T79">INT(SUMPRODUCT(--ISNUMBER(SEARCH(econineq,C79)))&gt;0)</f>
        <v>0</v>
      </c>
      <c r="U79" s="14" cm="1">
        <f t="array" ref="U79">INT(SUMPRODUCT(--ISNUMBER(SEARCH(climate,'Mark Kelly'!C79)))&gt;0)</f>
        <v>0</v>
      </c>
      <c r="V79" s="14" cm="1">
        <f t="array" ref="V79">INT(SUMPRODUCT(--ISNUMBER(SEARCH(abortion,'Mark Kelly'!C79)))&gt;0)</f>
        <v>0</v>
      </c>
      <c r="W79" s="14" cm="1">
        <f t="array" ref="W79">INT(SUMPRODUCT(--ISNUMBER(SEARCH(trump,'Mark Kelly'!C79)))&gt;0)</f>
        <v>0</v>
      </c>
      <c r="X79" s="14" cm="1">
        <f t="array" ref="X79">INT(SUMPRODUCT(--ISNUMBER(SEARCH(voting,'Mark Kelly'!C79)))&gt;0)</f>
        <v>0</v>
      </c>
      <c r="Y79" s="14" cm="1">
        <f t="array" ref="Y79">INT(SUMPRODUCT(--ISNUMBER(SEARCH(democrattrigger,'Mark Kelly'!C79)))&gt;0)</f>
        <v>0</v>
      </c>
      <c r="Z79" s="14" cm="1">
        <f t="array" ref="Z79">INT(SUMPRODUCT(--ISNUMBER(SEARCH(bipartisan,'Mark Kelly'!C79)))&gt;0)</f>
        <v>0</v>
      </c>
      <c r="AA79" s="14">
        <f t="shared" si="1"/>
        <v>0</v>
      </c>
      <c r="AB79" s="14"/>
      <c r="AC79" s="30" t="s">
        <v>223</v>
      </c>
      <c r="AD79" s="37"/>
    </row>
    <row r="80" spans="1:30" x14ac:dyDescent="0.25">
      <c r="A80" s="36">
        <v>164</v>
      </c>
      <c r="B80" s="14" t="s">
        <v>360</v>
      </c>
      <c r="C80" s="31" t="s">
        <v>361</v>
      </c>
      <c r="D80" s="17">
        <v>44131</v>
      </c>
      <c r="E80" s="14" t="s">
        <v>30</v>
      </c>
      <c r="F80" s="14">
        <v>1023</v>
      </c>
      <c r="G80" s="14">
        <v>193</v>
      </c>
      <c r="H80" s="14">
        <v>2</v>
      </c>
      <c r="I80" s="14">
        <v>1</v>
      </c>
      <c r="J80" s="14" t="s">
        <v>204</v>
      </c>
      <c r="K80" s="14" cm="1">
        <f t="array" ref="K80">INT(SUMPRODUCT(--ISNUMBER(SEARCH(economy,'Mark Kelly'!C80)))&gt;0)</f>
        <v>1</v>
      </c>
      <c r="L80" s="14" cm="1">
        <f t="array" ref="L80">INT(SUMPRODUCT(--ISNUMBER(SEARCH(healthcare,'Mark Kelly'!C80)))&gt;0)</f>
        <v>0</v>
      </c>
      <c r="M80" s="14" cm="1">
        <f t="array" ref="M80">INT(SUMPRODUCT(--ISNUMBER(SEARCH(supreme,'Mark Kelly'!C80)))&gt;0)</f>
        <v>0</v>
      </c>
      <c r="N80" s="14" cm="1">
        <f t="array" ref="N80">INT(SUMPRODUCT(--ISNUMBER(SEARCH(covid,'Mark Kelly'!C80)))&gt;0)</f>
        <v>0</v>
      </c>
      <c r="O80" s="14" cm="1">
        <f t="array" ref="O80">INT(SUMPRODUCT(--ISNUMBER(SEARCH(violent,'Mark Kelly'!C80)))&gt;0)</f>
        <v>0</v>
      </c>
      <c r="P80" s="14" cm="1">
        <f t="array" ref="P80">INT(SUMPRODUCT(--ISNUMBER(SEARCH(foreign,'Mark Kelly'!C80)))&gt;0)</f>
        <v>0</v>
      </c>
      <c r="Q80" s="14" cm="1">
        <f t="array" ref="Q80">INT(SUMPRODUCT(--ISNUMBER(SEARCH(gun,'Mark Kelly'!C80)))&gt;0)</f>
        <v>0</v>
      </c>
      <c r="R80" s="14" cm="1">
        <f t="array" ref="R80">INT(SUMPRODUCT(--ISNUMBER(SEARCH(race,'Mark Kelly'!C80)))&gt;0)</f>
        <v>0</v>
      </c>
      <c r="S80" s="14" cm="1">
        <f t="array" ref="S80">INT(SUMPRODUCT(--ISNUMBER(SEARCH(immigration,C80)))&gt;0)</f>
        <v>0</v>
      </c>
      <c r="T80" s="14" cm="1">
        <f t="array" ref="T80">INT(SUMPRODUCT(--ISNUMBER(SEARCH(econineq,C80)))&gt;0)</f>
        <v>0</v>
      </c>
      <c r="U80" s="14" cm="1">
        <f t="array" ref="U80">INT(SUMPRODUCT(--ISNUMBER(SEARCH(climate,'Mark Kelly'!C80)))&gt;0)</f>
        <v>0</v>
      </c>
      <c r="V80" s="14" cm="1">
        <f t="array" ref="V80">INT(SUMPRODUCT(--ISNUMBER(SEARCH(abortion,'Mark Kelly'!C80)))&gt;0)</f>
        <v>0</v>
      </c>
      <c r="W80" s="14" cm="1">
        <f t="array" ref="W80">INT(SUMPRODUCT(--ISNUMBER(SEARCH(trump,'Mark Kelly'!C80)))&gt;0)</f>
        <v>0</v>
      </c>
      <c r="X80" s="14" cm="1">
        <f t="array" ref="X80">INT(SUMPRODUCT(--ISNUMBER(SEARCH(voting,'Mark Kelly'!C80)))&gt;0)</f>
        <v>0</v>
      </c>
      <c r="Y80" s="14" cm="1">
        <f t="array" ref="Y80">INT(SUMPRODUCT(--ISNUMBER(SEARCH(democrattrigger,'Mark Kelly'!C80)))&gt;0)</f>
        <v>0</v>
      </c>
      <c r="Z80" s="14" cm="1">
        <f t="array" ref="Z80">INT(SUMPRODUCT(--ISNUMBER(SEARCH(bipartisan,'Mark Kelly'!C80)))&gt;0)</f>
        <v>0</v>
      </c>
      <c r="AA80" s="14">
        <f t="shared" si="1"/>
        <v>0</v>
      </c>
      <c r="AB80" s="14"/>
      <c r="AC80" s="30" t="s">
        <v>223</v>
      </c>
      <c r="AD80" s="37"/>
    </row>
    <row r="81" spans="1:30" x14ac:dyDescent="0.25">
      <c r="A81" s="36">
        <v>165</v>
      </c>
      <c r="B81" s="14" t="s">
        <v>362</v>
      </c>
      <c r="C81" s="31" t="s">
        <v>363</v>
      </c>
      <c r="D81" s="17">
        <v>44131</v>
      </c>
      <c r="E81" s="14" t="s">
        <v>30</v>
      </c>
      <c r="F81" s="14">
        <v>1106</v>
      </c>
      <c r="G81" s="14">
        <v>221</v>
      </c>
      <c r="H81" s="14">
        <v>2</v>
      </c>
      <c r="I81" s="14">
        <v>1</v>
      </c>
      <c r="J81" s="14" t="s">
        <v>204</v>
      </c>
      <c r="K81" s="14" cm="1">
        <f t="array" ref="K81">INT(SUMPRODUCT(--ISNUMBER(SEARCH(economy,'Mark Kelly'!C81)))&gt;0)</f>
        <v>1</v>
      </c>
      <c r="L81" s="14" cm="1">
        <f t="array" ref="L81">INT(SUMPRODUCT(--ISNUMBER(SEARCH(healthcare,'Mark Kelly'!C81)))&gt;0)</f>
        <v>0</v>
      </c>
      <c r="M81" s="14" cm="1">
        <f t="array" ref="M81">INT(SUMPRODUCT(--ISNUMBER(SEARCH(supreme,'Mark Kelly'!C81)))&gt;0)</f>
        <v>0</v>
      </c>
      <c r="N81" s="14" cm="1">
        <f t="array" ref="N81">INT(SUMPRODUCT(--ISNUMBER(SEARCH(covid,'Mark Kelly'!C81)))&gt;0)</f>
        <v>0</v>
      </c>
      <c r="O81" s="14" cm="1">
        <f t="array" ref="O81">INT(SUMPRODUCT(--ISNUMBER(SEARCH(violent,'Mark Kelly'!C81)))&gt;0)</f>
        <v>0</v>
      </c>
      <c r="P81" s="14" cm="1">
        <f t="array" ref="P81">INT(SUMPRODUCT(--ISNUMBER(SEARCH(foreign,'Mark Kelly'!C81)))&gt;0)</f>
        <v>0</v>
      </c>
      <c r="Q81" s="14" cm="1">
        <f t="array" ref="Q81">INT(SUMPRODUCT(--ISNUMBER(SEARCH(gun,'Mark Kelly'!C81)))&gt;0)</f>
        <v>0</v>
      </c>
      <c r="R81" s="14" cm="1">
        <f t="array" ref="R81">INT(SUMPRODUCT(--ISNUMBER(SEARCH(race,'Mark Kelly'!C81)))&gt;0)</f>
        <v>0</v>
      </c>
      <c r="S81" s="14" cm="1">
        <f t="array" ref="S81">INT(SUMPRODUCT(--ISNUMBER(SEARCH(immigration,C81)))&gt;0)</f>
        <v>0</v>
      </c>
      <c r="T81" s="14" cm="1">
        <f t="array" ref="T81">INT(SUMPRODUCT(--ISNUMBER(SEARCH(econineq,C81)))&gt;0)</f>
        <v>0</v>
      </c>
      <c r="U81" s="14" cm="1">
        <f t="array" ref="U81">INT(SUMPRODUCT(--ISNUMBER(SEARCH(climate,'Mark Kelly'!C81)))&gt;0)</f>
        <v>0</v>
      </c>
      <c r="V81" s="14" cm="1">
        <f t="array" ref="V81">INT(SUMPRODUCT(--ISNUMBER(SEARCH(abortion,'Mark Kelly'!C81)))&gt;0)</f>
        <v>0</v>
      </c>
      <c r="W81" s="14" cm="1">
        <f t="array" ref="W81">INT(SUMPRODUCT(--ISNUMBER(SEARCH(trump,'Mark Kelly'!C81)))&gt;0)</f>
        <v>0</v>
      </c>
      <c r="X81" s="14" cm="1">
        <f t="array" ref="X81">INT(SUMPRODUCT(--ISNUMBER(SEARCH(voting,'Mark Kelly'!C81)))&gt;0)</f>
        <v>0</v>
      </c>
      <c r="Y81" s="14" cm="1">
        <f t="array" ref="Y81">INT(SUMPRODUCT(--ISNUMBER(SEARCH(democrattrigger,'Mark Kelly'!C81)))&gt;0)</f>
        <v>0</v>
      </c>
      <c r="Z81" s="14" cm="1">
        <f t="array" ref="Z81">INT(SUMPRODUCT(--ISNUMBER(SEARCH(bipartisan,'Mark Kelly'!C81)))&gt;0)</f>
        <v>0</v>
      </c>
      <c r="AA81" s="14">
        <f t="shared" si="1"/>
        <v>0</v>
      </c>
      <c r="AB81" s="14"/>
      <c r="AC81" s="30">
        <v>0</v>
      </c>
      <c r="AD81" s="37">
        <v>1</v>
      </c>
    </row>
    <row r="82" spans="1:30" x14ac:dyDescent="0.25">
      <c r="A82" s="36">
        <v>166</v>
      </c>
      <c r="B82" s="14" t="s">
        <v>364</v>
      </c>
      <c r="C82" s="31" t="s">
        <v>365</v>
      </c>
      <c r="D82" s="17">
        <v>44130</v>
      </c>
      <c r="E82" s="14" t="s">
        <v>30</v>
      </c>
      <c r="F82" s="14">
        <v>878</v>
      </c>
      <c r="G82" s="14">
        <v>173</v>
      </c>
      <c r="H82" s="14">
        <v>2</v>
      </c>
      <c r="I82" s="14">
        <v>1</v>
      </c>
      <c r="J82" s="14" t="s">
        <v>204</v>
      </c>
      <c r="K82" s="14" cm="1">
        <f t="array" ref="K82">INT(SUMPRODUCT(--ISNUMBER(SEARCH(economy,'Mark Kelly'!C82)))&gt;0)</f>
        <v>0</v>
      </c>
      <c r="L82" s="14" cm="1">
        <f t="array" ref="L82">INT(SUMPRODUCT(--ISNUMBER(SEARCH(healthcare,'Mark Kelly'!C82)))&gt;0)</f>
        <v>0</v>
      </c>
      <c r="M82" s="14" cm="1">
        <f t="array" ref="M82">INT(SUMPRODUCT(--ISNUMBER(SEARCH(supreme,'Mark Kelly'!C82)))&gt;0)</f>
        <v>0</v>
      </c>
      <c r="N82" s="14" cm="1">
        <f t="array" ref="N82">INT(SUMPRODUCT(--ISNUMBER(SEARCH(covid,'Mark Kelly'!C82)))&gt;0)</f>
        <v>1</v>
      </c>
      <c r="O82" s="14" cm="1">
        <f t="array" ref="O82">INT(SUMPRODUCT(--ISNUMBER(SEARCH(violent,'Mark Kelly'!C82)))&gt;0)</f>
        <v>0</v>
      </c>
      <c r="P82" s="14" cm="1">
        <f t="array" ref="P82">INT(SUMPRODUCT(--ISNUMBER(SEARCH(foreign,'Mark Kelly'!C82)))&gt;0)</f>
        <v>0</v>
      </c>
      <c r="Q82" s="14" cm="1">
        <f t="array" ref="Q82">INT(SUMPRODUCT(--ISNUMBER(SEARCH(gun,'Mark Kelly'!C82)))&gt;0)</f>
        <v>0</v>
      </c>
      <c r="R82" s="14" cm="1">
        <f t="array" ref="R82">INT(SUMPRODUCT(--ISNUMBER(SEARCH(race,'Mark Kelly'!C82)))&gt;0)</f>
        <v>0</v>
      </c>
      <c r="S82" s="14" cm="1">
        <f t="array" ref="S82">INT(SUMPRODUCT(--ISNUMBER(SEARCH(immigration,C82)))&gt;0)</f>
        <v>0</v>
      </c>
      <c r="T82" s="14" cm="1">
        <f t="array" ref="T82">INT(SUMPRODUCT(--ISNUMBER(SEARCH(econineq,C82)))&gt;0)</f>
        <v>0</v>
      </c>
      <c r="U82" s="14" cm="1">
        <f t="array" ref="U82">INT(SUMPRODUCT(--ISNUMBER(SEARCH(climate,'Mark Kelly'!C82)))&gt;0)</f>
        <v>0</v>
      </c>
      <c r="V82" s="14" cm="1">
        <f t="array" ref="V82">INT(SUMPRODUCT(--ISNUMBER(SEARCH(abortion,'Mark Kelly'!C82)))&gt;0)</f>
        <v>0</v>
      </c>
      <c r="W82" s="14" cm="1">
        <f t="array" ref="W82">INT(SUMPRODUCT(--ISNUMBER(SEARCH(trump,'Mark Kelly'!C82)))&gt;0)</f>
        <v>0</v>
      </c>
      <c r="X82" s="14" cm="1">
        <f t="array" ref="X82">INT(SUMPRODUCT(--ISNUMBER(SEARCH(voting,'Mark Kelly'!C82)))&gt;0)</f>
        <v>0</v>
      </c>
      <c r="Y82" s="14" cm="1">
        <f t="array" ref="Y82">INT(SUMPRODUCT(--ISNUMBER(SEARCH(democrattrigger,'Mark Kelly'!C82)))&gt;0)</f>
        <v>0</v>
      </c>
      <c r="Z82" s="14" cm="1">
        <f t="array" ref="Z82">INT(SUMPRODUCT(--ISNUMBER(SEARCH(bipartisan,'Mark Kelly'!C82)))&gt;0)</f>
        <v>0</v>
      </c>
      <c r="AA82" s="14">
        <f t="shared" si="1"/>
        <v>0</v>
      </c>
      <c r="AB82" s="14"/>
      <c r="AC82" s="30">
        <v>1</v>
      </c>
      <c r="AD82" s="37"/>
    </row>
    <row r="83" spans="1:30" x14ac:dyDescent="0.25">
      <c r="A83" s="36">
        <v>167</v>
      </c>
      <c r="B83" s="14" t="s">
        <v>366</v>
      </c>
      <c r="C83" s="31" t="s">
        <v>367</v>
      </c>
      <c r="D83" s="17">
        <v>44130</v>
      </c>
      <c r="E83" s="14" t="s">
        <v>30</v>
      </c>
      <c r="F83" s="14">
        <v>566</v>
      </c>
      <c r="G83" s="14">
        <v>180</v>
      </c>
      <c r="H83" s="14">
        <v>2</v>
      </c>
      <c r="I83" s="14">
        <v>1</v>
      </c>
      <c r="J83" s="14" t="s">
        <v>204</v>
      </c>
      <c r="K83" s="14" cm="1">
        <f t="array" ref="K83">INT(SUMPRODUCT(--ISNUMBER(SEARCH(economy,'Mark Kelly'!C83)))&gt;0)</f>
        <v>1</v>
      </c>
      <c r="L83" s="14" cm="1">
        <f t="array" ref="L83">INT(SUMPRODUCT(--ISNUMBER(SEARCH(healthcare,'Mark Kelly'!C83)))&gt;0)</f>
        <v>0</v>
      </c>
      <c r="M83" s="14" cm="1">
        <f t="array" ref="M83">INT(SUMPRODUCT(--ISNUMBER(SEARCH(supreme,'Mark Kelly'!C83)))&gt;0)</f>
        <v>0</v>
      </c>
      <c r="N83" s="14" cm="1">
        <f t="array" ref="N83">INT(SUMPRODUCT(--ISNUMBER(SEARCH(covid,'Mark Kelly'!C83)))&gt;0)</f>
        <v>1</v>
      </c>
      <c r="O83" s="14" cm="1">
        <f t="array" ref="O83">INT(SUMPRODUCT(--ISNUMBER(SEARCH(violent,'Mark Kelly'!C83)))&gt;0)</f>
        <v>0</v>
      </c>
      <c r="P83" s="14" cm="1">
        <f t="array" ref="P83">INT(SUMPRODUCT(--ISNUMBER(SEARCH(foreign,'Mark Kelly'!C83)))&gt;0)</f>
        <v>0</v>
      </c>
      <c r="Q83" s="14" cm="1">
        <f t="array" ref="Q83">INT(SUMPRODUCT(--ISNUMBER(SEARCH(gun,'Mark Kelly'!C83)))&gt;0)</f>
        <v>0</v>
      </c>
      <c r="R83" s="14" cm="1">
        <f t="array" ref="R83">INT(SUMPRODUCT(--ISNUMBER(SEARCH(race,'Mark Kelly'!C83)))&gt;0)</f>
        <v>0</v>
      </c>
      <c r="S83" s="14" cm="1">
        <f t="array" ref="S83">INT(SUMPRODUCT(--ISNUMBER(SEARCH(immigration,C83)))&gt;0)</f>
        <v>0</v>
      </c>
      <c r="T83" s="14" cm="1">
        <f t="array" ref="T83">INT(SUMPRODUCT(--ISNUMBER(SEARCH(econineq,C83)))&gt;0)</f>
        <v>0</v>
      </c>
      <c r="U83" s="14" cm="1">
        <f t="array" ref="U83">INT(SUMPRODUCT(--ISNUMBER(SEARCH(climate,'Mark Kelly'!C83)))&gt;0)</f>
        <v>0</v>
      </c>
      <c r="V83" s="14" cm="1">
        <f t="array" ref="V83">INT(SUMPRODUCT(--ISNUMBER(SEARCH(abortion,'Mark Kelly'!C83)))&gt;0)</f>
        <v>0</v>
      </c>
      <c r="W83" s="14" cm="1">
        <f t="array" ref="W83">INT(SUMPRODUCT(--ISNUMBER(SEARCH(trump,'Mark Kelly'!C83)))&gt;0)</f>
        <v>0</v>
      </c>
      <c r="X83" s="14" cm="1">
        <f t="array" ref="X83">INT(SUMPRODUCT(--ISNUMBER(SEARCH(voting,'Mark Kelly'!C83)))&gt;0)</f>
        <v>0</v>
      </c>
      <c r="Y83" s="14" cm="1">
        <f t="array" ref="Y83">INT(SUMPRODUCT(--ISNUMBER(SEARCH(democrattrigger,'Mark Kelly'!C83)))&gt;0)</f>
        <v>0</v>
      </c>
      <c r="Z83" s="14" cm="1">
        <f t="array" ref="Z83">INT(SUMPRODUCT(--ISNUMBER(SEARCH(bipartisan,'Mark Kelly'!C83)))&gt;0)</f>
        <v>0</v>
      </c>
      <c r="AA83" s="14">
        <f t="shared" si="1"/>
        <v>0</v>
      </c>
      <c r="AB83" s="14"/>
      <c r="AC83" s="30" t="s">
        <v>223</v>
      </c>
      <c r="AD83" s="37"/>
    </row>
    <row r="84" spans="1:30" x14ac:dyDescent="0.25">
      <c r="A84" s="36">
        <v>168</v>
      </c>
      <c r="B84" s="14" t="s">
        <v>368</v>
      </c>
      <c r="C84" s="31" t="s">
        <v>369</v>
      </c>
      <c r="D84" s="17">
        <v>44130</v>
      </c>
      <c r="E84" s="14" t="s">
        <v>30</v>
      </c>
      <c r="F84" s="14">
        <v>777</v>
      </c>
      <c r="G84" s="14">
        <v>204</v>
      </c>
      <c r="H84" s="14">
        <v>2</v>
      </c>
      <c r="I84" s="14">
        <v>1</v>
      </c>
      <c r="J84" s="14" t="s">
        <v>204</v>
      </c>
      <c r="K84" s="14" cm="1">
        <f t="array" ref="K84">INT(SUMPRODUCT(--ISNUMBER(SEARCH(economy,'Mark Kelly'!C84)))&gt;0)</f>
        <v>1</v>
      </c>
      <c r="L84" s="14" cm="1">
        <f t="array" ref="L84">INT(SUMPRODUCT(--ISNUMBER(SEARCH(healthcare,'Mark Kelly'!C84)))&gt;0)</f>
        <v>0</v>
      </c>
      <c r="M84" s="14" cm="1">
        <f t="array" ref="M84">INT(SUMPRODUCT(--ISNUMBER(SEARCH(supreme,'Mark Kelly'!C84)))&gt;0)</f>
        <v>0</v>
      </c>
      <c r="N84" s="14" cm="1">
        <f t="array" ref="N84">INT(SUMPRODUCT(--ISNUMBER(SEARCH(covid,'Mark Kelly'!C84)))&gt;0)</f>
        <v>1</v>
      </c>
      <c r="O84" s="14" cm="1">
        <f t="array" ref="O84">INT(SUMPRODUCT(--ISNUMBER(SEARCH(violent,'Mark Kelly'!C84)))&gt;0)</f>
        <v>0</v>
      </c>
      <c r="P84" s="14" cm="1">
        <f t="array" ref="P84">INT(SUMPRODUCT(--ISNUMBER(SEARCH(foreign,'Mark Kelly'!C84)))&gt;0)</f>
        <v>0</v>
      </c>
      <c r="Q84" s="14" cm="1">
        <f t="array" ref="Q84">INT(SUMPRODUCT(--ISNUMBER(SEARCH(gun,'Mark Kelly'!C84)))&gt;0)</f>
        <v>0</v>
      </c>
      <c r="R84" s="14" cm="1">
        <f t="array" ref="R84">INT(SUMPRODUCT(--ISNUMBER(SEARCH(race,'Mark Kelly'!C84)))&gt;0)</f>
        <v>0</v>
      </c>
      <c r="S84" s="14" cm="1">
        <f t="array" ref="S84">INT(SUMPRODUCT(--ISNUMBER(SEARCH(immigration,C84)))&gt;0)</f>
        <v>0</v>
      </c>
      <c r="T84" s="14" cm="1">
        <f t="array" ref="T84">INT(SUMPRODUCT(--ISNUMBER(SEARCH(econineq,C84)))&gt;0)</f>
        <v>0</v>
      </c>
      <c r="U84" s="14" cm="1">
        <f t="array" ref="U84">INT(SUMPRODUCT(--ISNUMBER(SEARCH(climate,'Mark Kelly'!C84)))&gt;0)</f>
        <v>0</v>
      </c>
      <c r="V84" s="14" cm="1">
        <f t="array" ref="V84">INT(SUMPRODUCT(--ISNUMBER(SEARCH(abortion,'Mark Kelly'!C84)))&gt;0)</f>
        <v>0</v>
      </c>
      <c r="W84" s="14" cm="1">
        <f t="array" ref="W84">INT(SUMPRODUCT(--ISNUMBER(SEARCH(trump,'Mark Kelly'!C84)))&gt;0)</f>
        <v>0</v>
      </c>
      <c r="X84" s="14" cm="1">
        <f t="array" ref="X84">INT(SUMPRODUCT(--ISNUMBER(SEARCH(voting,'Mark Kelly'!C84)))&gt;0)</f>
        <v>0</v>
      </c>
      <c r="Y84" s="14" cm="1">
        <f t="array" ref="Y84">INT(SUMPRODUCT(--ISNUMBER(SEARCH(democrattrigger,'Mark Kelly'!C84)))&gt;0)</f>
        <v>0</v>
      </c>
      <c r="Z84" s="14" cm="1">
        <f t="array" ref="Z84">INT(SUMPRODUCT(--ISNUMBER(SEARCH(bipartisan,'Mark Kelly'!C84)))&gt;0)</f>
        <v>1</v>
      </c>
      <c r="AA84" s="14">
        <f t="shared" si="1"/>
        <v>0</v>
      </c>
      <c r="AB84" s="14"/>
      <c r="AC84" s="30">
        <v>0</v>
      </c>
      <c r="AD84" s="37">
        <v>1</v>
      </c>
    </row>
    <row r="85" spans="1:30" x14ac:dyDescent="0.25">
      <c r="A85" s="36">
        <v>169</v>
      </c>
      <c r="B85" s="14" t="s">
        <v>370</v>
      </c>
      <c r="C85" s="31" t="s">
        <v>371</v>
      </c>
      <c r="D85" s="17">
        <v>44130</v>
      </c>
      <c r="E85" s="14" t="s">
        <v>30</v>
      </c>
      <c r="F85" s="14">
        <v>325</v>
      </c>
      <c r="G85" s="14">
        <v>73</v>
      </c>
      <c r="H85" s="14">
        <v>2</v>
      </c>
      <c r="I85" s="14">
        <v>1</v>
      </c>
      <c r="J85" s="14" t="s">
        <v>204</v>
      </c>
      <c r="K85" s="14" cm="1">
        <f t="array" ref="K85">INT(SUMPRODUCT(--ISNUMBER(SEARCH(economy,'Mark Kelly'!C85)))&gt;0)</f>
        <v>0</v>
      </c>
      <c r="L85" s="14" cm="1">
        <f t="array" ref="L85">INT(SUMPRODUCT(--ISNUMBER(SEARCH(healthcare,'Mark Kelly'!C85)))&gt;0)</f>
        <v>0</v>
      </c>
      <c r="M85" s="14" cm="1">
        <f t="array" ref="M85">INT(SUMPRODUCT(--ISNUMBER(SEARCH(supreme,'Mark Kelly'!C85)))&gt;0)</f>
        <v>0</v>
      </c>
      <c r="N85" s="14" cm="1">
        <f t="array" ref="N85">INT(SUMPRODUCT(--ISNUMBER(SEARCH(covid,'Mark Kelly'!C85)))&gt;0)</f>
        <v>0</v>
      </c>
      <c r="O85" s="14" cm="1">
        <f t="array" ref="O85">INT(SUMPRODUCT(--ISNUMBER(SEARCH(violent,'Mark Kelly'!C85)))&gt;0)</f>
        <v>0</v>
      </c>
      <c r="P85" s="14" cm="1">
        <f t="array" ref="P85">INT(SUMPRODUCT(--ISNUMBER(SEARCH(foreign,'Mark Kelly'!C85)))&gt;0)</f>
        <v>0</v>
      </c>
      <c r="Q85" s="14" cm="1">
        <f t="array" ref="Q85">INT(SUMPRODUCT(--ISNUMBER(SEARCH(gun,'Mark Kelly'!C85)))&gt;0)</f>
        <v>0</v>
      </c>
      <c r="R85" s="14" cm="1">
        <f t="array" ref="R85">INT(SUMPRODUCT(--ISNUMBER(SEARCH(race,'Mark Kelly'!C85)))&gt;0)</f>
        <v>0</v>
      </c>
      <c r="S85" s="14" cm="1">
        <f t="array" ref="S85">INT(SUMPRODUCT(--ISNUMBER(SEARCH(immigration,C85)))&gt;0)</f>
        <v>0</v>
      </c>
      <c r="T85" s="14" cm="1">
        <f t="array" ref="T85">INT(SUMPRODUCT(--ISNUMBER(SEARCH(econineq,C85)))&gt;0)</f>
        <v>0</v>
      </c>
      <c r="U85" s="14" cm="1">
        <f t="array" ref="U85">INT(SUMPRODUCT(--ISNUMBER(SEARCH(climate,'Mark Kelly'!C85)))&gt;0)</f>
        <v>0</v>
      </c>
      <c r="V85" s="14" cm="1">
        <f t="array" ref="V85">INT(SUMPRODUCT(--ISNUMBER(SEARCH(abortion,'Mark Kelly'!C85)))&gt;0)</f>
        <v>0</v>
      </c>
      <c r="W85" s="14" cm="1">
        <f t="array" ref="W85">INT(SUMPRODUCT(--ISNUMBER(SEARCH(trump,'Mark Kelly'!C85)))&gt;0)</f>
        <v>0</v>
      </c>
      <c r="X85" s="14" cm="1">
        <f t="array" ref="X85">INT(SUMPRODUCT(--ISNUMBER(SEARCH(voting,'Mark Kelly'!C85)))&gt;0)</f>
        <v>0</v>
      </c>
      <c r="Y85" s="14" cm="1">
        <f t="array" ref="Y85">INT(SUMPRODUCT(--ISNUMBER(SEARCH(democrattrigger,'Mark Kelly'!C85)))&gt;0)</f>
        <v>0</v>
      </c>
      <c r="Z85" s="14" cm="1">
        <f t="array" ref="Z85">INT(SUMPRODUCT(--ISNUMBER(SEARCH(bipartisan,'Mark Kelly'!C85)))&gt;0)</f>
        <v>0</v>
      </c>
      <c r="AA85" s="14">
        <f t="shared" si="1"/>
        <v>1</v>
      </c>
      <c r="AB85" s="14"/>
      <c r="AC85" s="30">
        <v>1</v>
      </c>
      <c r="AD85" s="37"/>
    </row>
    <row r="86" spans="1:30" x14ac:dyDescent="0.25">
      <c r="A86" s="36">
        <v>170</v>
      </c>
      <c r="B86" s="14" t="s">
        <v>372</v>
      </c>
      <c r="C86" s="31" t="s">
        <v>373</v>
      </c>
      <c r="D86" s="17">
        <v>44130</v>
      </c>
      <c r="E86" s="14" t="s">
        <v>30</v>
      </c>
      <c r="F86" s="14">
        <v>5697</v>
      </c>
      <c r="G86" s="14">
        <v>1233</v>
      </c>
      <c r="H86" s="14">
        <v>2</v>
      </c>
      <c r="I86" s="14">
        <v>1</v>
      </c>
      <c r="J86" s="14" t="s">
        <v>204</v>
      </c>
      <c r="K86" s="14" cm="1">
        <f t="array" ref="K86">INT(SUMPRODUCT(--ISNUMBER(SEARCH(economy,'Mark Kelly'!C86)))&gt;0)</f>
        <v>0</v>
      </c>
      <c r="L86" s="14" cm="1">
        <f t="array" ref="L86">INT(SUMPRODUCT(--ISNUMBER(SEARCH(healthcare,'Mark Kelly'!C86)))&gt;0)</f>
        <v>0</v>
      </c>
      <c r="M86" s="14" cm="1">
        <f t="array" ref="M86">INT(SUMPRODUCT(--ISNUMBER(SEARCH(supreme,'Mark Kelly'!C86)))&gt;0)</f>
        <v>0</v>
      </c>
      <c r="N86" s="14" cm="1">
        <f t="array" ref="N86">INT(SUMPRODUCT(--ISNUMBER(SEARCH(covid,'Mark Kelly'!C86)))&gt;0)</f>
        <v>1</v>
      </c>
      <c r="O86" s="14" cm="1">
        <f t="array" ref="O86">INT(SUMPRODUCT(--ISNUMBER(SEARCH(violent,'Mark Kelly'!C86)))&gt;0)</f>
        <v>0</v>
      </c>
      <c r="P86" s="14" cm="1">
        <f t="array" ref="P86">INT(SUMPRODUCT(--ISNUMBER(SEARCH(foreign,'Mark Kelly'!C86)))&gt;0)</f>
        <v>0</v>
      </c>
      <c r="Q86" s="14" cm="1">
        <f t="array" ref="Q86">INT(SUMPRODUCT(--ISNUMBER(SEARCH(gun,'Mark Kelly'!C86)))&gt;0)</f>
        <v>0</v>
      </c>
      <c r="R86" s="14" cm="1">
        <f t="array" ref="R86">INT(SUMPRODUCT(--ISNUMBER(SEARCH(race,'Mark Kelly'!C86)))&gt;0)</f>
        <v>0</v>
      </c>
      <c r="S86" s="14" cm="1">
        <f t="array" ref="S86">INT(SUMPRODUCT(--ISNUMBER(SEARCH(immigration,C86)))&gt;0)</f>
        <v>0</v>
      </c>
      <c r="T86" s="14" cm="1">
        <f t="array" ref="T86">INT(SUMPRODUCT(--ISNUMBER(SEARCH(econineq,C86)))&gt;0)</f>
        <v>0</v>
      </c>
      <c r="U86" s="14" cm="1">
        <f t="array" ref="U86">INT(SUMPRODUCT(--ISNUMBER(SEARCH(climate,'Mark Kelly'!C86)))&gt;0)</f>
        <v>0</v>
      </c>
      <c r="V86" s="14" cm="1">
        <f t="array" ref="V86">INT(SUMPRODUCT(--ISNUMBER(SEARCH(abortion,'Mark Kelly'!C86)))&gt;0)</f>
        <v>0</v>
      </c>
      <c r="W86" s="14" cm="1">
        <f t="array" ref="W86">INT(SUMPRODUCT(--ISNUMBER(SEARCH(trump,'Mark Kelly'!C86)))&gt;0)</f>
        <v>0</v>
      </c>
      <c r="X86" s="14" cm="1">
        <f t="array" ref="X86">INT(SUMPRODUCT(--ISNUMBER(SEARCH(voting,'Mark Kelly'!C86)))&gt;0)</f>
        <v>1</v>
      </c>
      <c r="Y86" s="14" cm="1">
        <f t="array" ref="Y86">INT(SUMPRODUCT(--ISNUMBER(SEARCH(democrattrigger,'Mark Kelly'!C86)))&gt;0)</f>
        <v>0</v>
      </c>
      <c r="Z86" s="14" cm="1">
        <f t="array" ref="Z86">INT(SUMPRODUCT(--ISNUMBER(SEARCH(bipartisan,'Mark Kelly'!C86)))&gt;0)</f>
        <v>0</v>
      </c>
      <c r="AA86" s="14">
        <f t="shared" si="1"/>
        <v>0</v>
      </c>
      <c r="AB86" s="14"/>
      <c r="AC86" s="30" t="s">
        <v>223</v>
      </c>
      <c r="AD86" s="37"/>
    </row>
    <row r="87" spans="1:30" x14ac:dyDescent="0.25">
      <c r="A87" s="36">
        <v>171</v>
      </c>
      <c r="B87" s="14" t="s">
        <v>374</v>
      </c>
      <c r="C87" s="31" t="s">
        <v>375</v>
      </c>
      <c r="D87" s="17">
        <v>44130</v>
      </c>
      <c r="E87" s="14" t="s">
        <v>30</v>
      </c>
      <c r="F87" s="14">
        <v>1034</v>
      </c>
      <c r="G87" s="14">
        <v>220</v>
      </c>
      <c r="H87" s="14">
        <v>2</v>
      </c>
      <c r="I87" s="14">
        <v>1</v>
      </c>
      <c r="J87" s="14" t="s">
        <v>204</v>
      </c>
      <c r="K87" s="14" cm="1">
        <f t="array" ref="K87">INT(SUMPRODUCT(--ISNUMBER(SEARCH(economy,'Mark Kelly'!C87)))&gt;0)</f>
        <v>0</v>
      </c>
      <c r="L87" s="14" cm="1">
        <f t="array" ref="L87">INT(SUMPRODUCT(--ISNUMBER(SEARCH(healthcare,'Mark Kelly'!C87)))&gt;0)</f>
        <v>0</v>
      </c>
      <c r="M87" s="14" cm="1">
        <f t="array" ref="M87">INT(SUMPRODUCT(--ISNUMBER(SEARCH(supreme,'Mark Kelly'!C87)))&gt;0)</f>
        <v>0</v>
      </c>
      <c r="N87" s="14" cm="1">
        <f t="array" ref="N87">INT(SUMPRODUCT(--ISNUMBER(SEARCH(covid,'Mark Kelly'!C87)))&gt;0)</f>
        <v>0</v>
      </c>
      <c r="O87" s="14" cm="1">
        <f t="array" ref="O87">INT(SUMPRODUCT(--ISNUMBER(SEARCH(violent,'Mark Kelly'!C87)))&gt;0)</f>
        <v>0</v>
      </c>
      <c r="P87" s="14" cm="1">
        <f t="array" ref="P87">INT(SUMPRODUCT(--ISNUMBER(SEARCH(foreign,'Mark Kelly'!C87)))&gt;0)</f>
        <v>0</v>
      </c>
      <c r="Q87" s="14" cm="1">
        <f t="array" ref="Q87">INT(SUMPRODUCT(--ISNUMBER(SEARCH(gun,'Mark Kelly'!C87)))&gt;0)</f>
        <v>0</v>
      </c>
      <c r="R87" s="14" cm="1">
        <f t="array" ref="R87">INT(SUMPRODUCT(--ISNUMBER(SEARCH(race,'Mark Kelly'!C87)))&gt;0)</f>
        <v>0</v>
      </c>
      <c r="S87" s="14" cm="1">
        <f t="array" ref="S87">INT(SUMPRODUCT(--ISNUMBER(SEARCH(immigration,C87)))&gt;0)</f>
        <v>0</v>
      </c>
      <c r="T87" s="14" cm="1">
        <f t="array" ref="T87">INT(SUMPRODUCT(--ISNUMBER(SEARCH(econineq,C87)))&gt;0)</f>
        <v>0</v>
      </c>
      <c r="U87" s="14" cm="1">
        <f t="array" ref="U87">INT(SUMPRODUCT(--ISNUMBER(SEARCH(climate,'Mark Kelly'!C87)))&gt;0)</f>
        <v>0</v>
      </c>
      <c r="V87" s="14" cm="1">
        <f t="array" ref="V87">INT(SUMPRODUCT(--ISNUMBER(SEARCH(abortion,'Mark Kelly'!C87)))&gt;0)</f>
        <v>0</v>
      </c>
      <c r="W87" s="14" cm="1">
        <f t="array" ref="W87">INT(SUMPRODUCT(--ISNUMBER(SEARCH(trump,'Mark Kelly'!C87)))&gt;0)</f>
        <v>0</v>
      </c>
      <c r="X87" s="14" cm="1">
        <f t="array" ref="X87">INT(SUMPRODUCT(--ISNUMBER(SEARCH(voting,'Mark Kelly'!C87)))&gt;0)</f>
        <v>0</v>
      </c>
      <c r="Y87" s="14" cm="1">
        <f t="array" ref="Y87">INT(SUMPRODUCT(--ISNUMBER(SEARCH(democrattrigger,'Mark Kelly'!C87)))&gt;0)</f>
        <v>0</v>
      </c>
      <c r="Z87" s="14" cm="1">
        <f t="array" ref="Z87">INT(SUMPRODUCT(--ISNUMBER(SEARCH(bipartisan,'Mark Kelly'!C87)))&gt;0)</f>
        <v>0</v>
      </c>
      <c r="AA87" s="14">
        <f t="shared" si="1"/>
        <v>1</v>
      </c>
      <c r="AB87" s="14"/>
      <c r="AC87" s="30">
        <v>0</v>
      </c>
      <c r="AD87" s="37">
        <v>1</v>
      </c>
    </row>
    <row r="88" spans="1:30" x14ac:dyDescent="0.25">
      <c r="A88" s="36">
        <v>172</v>
      </c>
      <c r="B88" s="14" t="s">
        <v>376</v>
      </c>
      <c r="C88" s="31" t="s">
        <v>377</v>
      </c>
      <c r="D88" s="17">
        <v>44130</v>
      </c>
      <c r="E88" s="14" t="s">
        <v>30</v>
      </c>
      <c r="F88" s="14">
        <v>503</v>
      </c>
      <c r="G88" s="14">
        <v>182</v>
      </c>
      <c r="H88" s="14">
        <v>2</v>
      </c>
      <c r="I88" s="14">
        <v>1</v>
      </c>
      <c r="J88" s="14" t="s">
        <v>204</v>
      </c>
      <c r="K88" s="14" cm="1">
        <f t="array" ref="K88">INT(SUMPRODUCT(--ISNUMBER(SEARCH(economy,'Mark Kelly'!C88)))&gt;0)</f>
        <v>1</v>
      </c>
      <c r="L88" s="14" cm="1">
        <f t="array" ref="L88">INT(SUMPRODUCT(--ISNUMBER(SEARCH(healthcare,'Mark Kelly'!C88)))&gt;0)</f>
        <v>1</v>
      </c>
      <c r="M88" s="14" cm="1">
        <f t="array" ref="M88">INT(SUMPRODUCT(--ISNUMBER(SEARCH(supreme,'Mark Kelly'!C88)))&gt;0)</f>
        <v>0</v>
      </c>
      <c r="N88" s="14" cm="1">
        <f t="array" ref="N88">INT(SUMPRODUCT(--ISNUMBER(SEARCH(covid,'Mark Kelly'!C88)))&gt;0)</f>
        <v>0</v>
      </c>
      <c r="O88" s="14" cm="1">
        <f t="array" ref="O88">INT(SUMPRODUCT(--ISNUMBER(SEARCH(violent,'Mark Kelly'!C88)))&gt;0)</f>
        <v>0</v>
      </c>
      <c r="P88" s="14" cm="1">
        <f t="array" ref="P88">INT(SUMPRODUCT(--ISNUMBER(SEARCH(foreign,'Mark Kelly'!C88)))&gt;0)</f>
        <v>0</v>
      </c>
      <c r="Q88" s="14" cm="1">
        <f t="array" ref="Q88">INT(SUMPRODUCT(--ISNUMBER(SEARCH(gun,'Mark Kelly'!C88)))&gt;0)</f>
        <v>0</v>
      </c>
      <c r="R88" s="14" cm="1">
        <f t="array" ref="R88">INT(SUMPRODUCT(--ISNUMBER(SEARCH(race,'Mark Kelly'!C88)))&gt;0)</f>
        <v>0</v>
      </c>
      <c r="S88" s="14" cm="1">
        <f t="array" ref="S88">INT(SUMPRODUCT(--ISNUMBER(SEARCH(immigration,C88)))&gt;0)</f>
        <v>0</v>
      </c>
      <c r="T88" s="14" cm="1">
        <f t="array" ref="T88">INT(SUMPRODUCT(--ISNUMBER(SEARCH(econineq,C88)))&gt;0)</f>
        <v>0</v>
      </c>
      <c r="U88" s="14" cm="1">
        <f t="array" ref="U88">INT(SUMPRODUCT(--ISNUMBER(SEARCH(climate,'Mark Kelly'!C88)))&gt;0)</f>
        <v>0</v>
      </c>
      <c r="V88" s="14" cm="1">
        <f t="array" ref="V88">INT(SUMPRODUCT(--ISNUMBER(SEARCH(abortion,'Mark Kelly'!C88)))&gt;0)</f>
        <v>0</v>
      </c>
      <c r="W88" s="14" cm="1">
        <f t="array" ref="W88">INT(SUMPRODUCT(--ISNUMBER(SEARCH(trump,'Mark Kelly'!C88)))&gt;0)</f>
        <v>0</v>
      </c>
      <c r="X88" s="14" cm="1">
        <f t="array" ref="X88">INT(SUMPRODUCT(--ISNUMBER(SEARCH(voting,'Mark Kelly'!C88)))&gt;0)</f>
        <v>0</v>
      </c>
      <c r="Y88" s="14" cm="1">
        <f t="array" ref="Y88">INT(SUMPRODUCT(--ISNUMBER(SEARCH(democrattrigger,'Mark Kelly'!C88)))&gt;0)</f>
        <v>0</v>
      </c>
      <c r="Z88" s="14" cm="1">
        <f t="array" ref="Z88">INT(SUMPRODUCT(--ISNUMBER(SEARCH(bipartisan,'Mark Kelly'!C88)))&gt;0)</f>
        <v>0</v>
      </c>
      <c r="AA88" s="14">
        <f t="shared" si="1"/>
        <v>0</v>
      </c>
      <c r="AB88" s="14"/>
      <c r="AC88" s="30">
        <v>0</v>
      </c>
      <c r="AD88" s="37">
        <v>1</v>
      </c>
    </row>
    <row r="89" spans="1:30" x14ac:dyDescent="0.25">
      <c r="A89" s="36">
        <v>173</v>
      </c>
      <c r="B89" s="14" t="s">
        <v>378</v>
      </c>
      <c r="C89" s="31" t="s">
        <v>379</v>
      </c>
      <c r="D89" s="17">
        <v>44130</v>
      </c>
      <c r="E89" s="14" t="s">
        <v>30</v>
      </c>
      <c r="F89" s="14">
        <v>2117</v>
      </c>
      <c r="G89" s="14">
        <v>459</v>
      </c>
      <c r="H89" s="14">
        <v>2</v>
      </c>
      <c r="I89" s="14">
        <v>1</v>
      </c>
      <c r="J89" s="14" t="s">
        <v>204</v>
      </c>
      <c r="K89" s="14" cm="1">
        <f t="array" ref="K89">INT(SUMPRODUCT(--ISNUMBER(SEARCH(economy,'Mark Kelly'!C89)))&gt;0)</f>
        <v>0</v>
      </c>
      <c r="L89" s="14" cm="1">
        <f t="array" ref="L89">INT(SUMPRODUCT(--ISNUMBER(SEARCH(healthcare,'Mark Kelly'!C89)))&gt;0)</f>
        <v>1</v>
      </c>
      <c r="M89" s="14" cm="1">
        <f t="array" ref="M89">INT(SUMPRODUCT(--ISNUMBER(SEARCH(supreme,'Mark Kelly'!C89)))&gt;0)</f>
        <v>0</v>
      </c>
      <c r="N89" s="14" cm="1">
        <f t="array" ref="N89">INT(SUMPRODUCT(--ISNUMBER(SEARCH(covid,'Mark Kelly'!C89)))&gt;0)</f>
        <v>0</v>
      </c>
      <c r="O89" s="14" cm="1">
        <f t="array" ref="O89">INT(SUMPRODUCT(--ISNUMBER(SEARCH(violent,'Mark Kelly'!C89)))&gt;0)</f>
        <v>0</v>
      </c>
      <c r="P89" s="14" cm="1">
        <f t="array" ref="P89">INT(SUMPRODUCT(--ISNUMBER(SEARCH(foreign,'Mark Kelly'!C89)))&gt;0)</f>
        <v>0</v>
      </c>
      <c r="Q89" s="14" cm="1">
        <f t="array" ref="Q89">INT(SUMPRODUCT(--ISNUMBER(SEARCH(gun,'Mark Kelly'!C89)))&gt;0)</f>
        <v>0</v>
      </c>
      <c r="R89" s="14" cm="1">
        <f t="array" ref="R89">INT(SUMPRODUCT(--ISNUMBER(SEARCH(race,'Mark Kelly'!C89)))&gt;0)</f>
        <v>0</v>
      </c>
      <c r="S89" s="14" cm="1">
        <f t="array" ref="S89">INT(SUMPRODUCT(--ISNUMBER(SEARCH(immigration,C89)))&gt;0)</f>
        <v>0</v>
      </c>
      <c r="T89" s="14" cm="1">
        <f t="array" ref="T89">INT(SUMPRODUCT(--ISNUMBER(SEARCH(econineq,C89)))&gt;0)</f>
        <v>0</v>
      </c>
      <c r="U89" s="14" cm="1">
        <f t="array" ref="U89">INT(SUMPRODUCT(--ISNUMBER(SEARCH(climate,'Mark Kelly'!C89)))&gt;0)</f>
        <v>0</v>
      </c>
      <c r="V89" s="14" cm="1">
        <f t="array" ref="V89">INT(SUMPRODUCT(--ISNUMBER(SEARCH(abortion,'Mark Kelly'!C89)))&gt;0)</f>
        <v>0</v>
      </c>
      <c r="W89" s="14" cm="1">
        <f t="array" ref="W89">INT(SUMPRODUCT(--ISNUMBER(SEARCH(trump,'Mark Kelly'!C89)))&gt;0)</f>
        <v>0</v>
      </c>
      <c r="X89" s="14" cm="1">
        <f t="array" ref="X89">INT(SUMPRODUCT(--ISNUMBER(SEARCH(voting,'Mark Kelly'!C89)))&gt;0)</f>
        <v>1</v>
      </c>
      <c r="Y89" s="14" cm="1">
        <f t="array" ref="Y89">INT(SUMPRODUCT(--ISNUMBER(SEARCH(democrattrigger,'Mark Kelly'!C89)))&gt;0)</f>
        <v>0</v>
      </c>
      <c r="Z89" s="14" cm="1">
        <f t="array" ref="Z89">INT(SUMPRODUCT(--ISNUMBER(SEARCH(bipartisan,'Mark Kelly'!C89)))&gt;0)</f>
        <v>0</v>
      </c>
      <c r="AA89" s="14">
        <f t="shared" si="1"/>
        <v>0</v>
      </c>
      <c r="AB89" s="14"/>
      <c r="AC89" s="30" t="s">
        <v>223</v>
      </c>
      <c r="AD89" s="37"/>
    </row>
    <row r="90" spans="1:30" x14ac:dyDescent="0.25">
      <c r="A90" s="36">
        <v>174</v>
      </c>
      <c r="B90" s="14" t="s">
        <v>380</v>
      </c>
      <c r="C90" s="31" t="s">
        <v>381</v>
      </c>
      <c r="D90" s="17">
        <v>44130</v>
      </c>
      <c r="E90" s="14" t="s">
        <v>30</v>
      </c>
      <c r="F90" s="14">
        <v>981</v>
      </c>
      <c r="G90" s="14">
        <v>202</v>
      </c>
      <c r="H90" s="14">
        <v>2</v>
      </c>
      <c r="I90" s="14">
        <v>1</v>
      </c>
      <c r="J90" s="14" t="s">
        <v>204</v>
      </c>
      <c r="K90" s="14" cm="1">
        <f t="array" ref="K90">INT(SUMPRODUCT(--ISNUMBER(SEARCH(economy,'Mark Kelly'!C90)))&gt;0)</f>
        <v>0</v>
      </c>
      <c r="L90" s="14" cm="1">
        <f t="array" ref="L90">INT(SUMPRODUCT(--ISNUMBER(SEARCH(healthcare,'Mark Kelly'!C90)))&gt;0)</f>
        <v>1</v>
      </c>
      <c r="M90" s="14" cm="1">
        <f t="array" ref="M90">INT(SUMPRODUCT(--ISNUMBER(SEARCH(supreme,'Mark Kelly'!C90)))&gt;0)</f>
        <v>0</v>
      </c>
      <c r="N90" s="14" cm="1">
        <f t="array" ref="N90">INT(SUMPRODUCT(--ISNUMBER(SEARCH(covid,'Mark Kelly'!C90)))&gt;0)</f>
        <v>1</v>
      </c>
      <c r="O90" s="14" cm="1">
        <f t="array" ref="O90">INT(SUMPRODUCT(--ISNUMBER(SEARCH(violent,'Mark Kelly'!C90)))&gt;0)</f>
        <v>0</v>
      </c>
      <c r="P90" s="14" cm="1">
        <f t="array" ref="P90">INT(SUMPRODUCT(--ISNUMBER(SEARCH(foreign,'Mark Kelly'!C90)))&gt;0)</f>
        <v>0</v>
      </c>
      <c r="Q90" s="14" cm="1">
        <f t="array" ref="Q90">INT(SUMPRODUCT(--ISNUMBER(SEARCH(gun,'Mark Kelly'!C90)))&gt;0)</f>
        <v>0</v>
      </c>
      <c r="R90" s="14" cm="1">
        <f t="array" ref="R90">INT(SUMPRODUCT(--ISNUMBER(SEARCH(race,'Mark Kelly'!C90)))&gt;0)</f>
        <v>0</v>
      </c>
      <c r="S90" s="14" cm="1">
        <f t="array" ref="S90">INT(SUMPRODUCT(--ISNUMBER(SEARCH(immigration,C90)))&gt;0)</f>
        <v>0</v>
      </c>
      <c r="T90" s="14" cm="1">
        <f t="array" ref="T90">INT(SUMPRODUCT(--ISNUMBER(SEARCH(econineq,C90)))&gt;0)</f>
        <v>0</v>
      </c>
      <c r="U90" s="14" cm="1">
        <f t="array" ref="U90">INT(SUMPRODUCT(--ISNUMBER(SEARCH(climate,'Mark Kelly'!C90)))&gt;0)</f>
        <v>0</v>
      </c>
      <c r="V90" s="14" cm="1">
        <f t="array" ref="V90">INT(SUMPRODUCT(--ISNUMBER(SEARCH(abortion,'Mark Kelly'!C90)))&gt;0)</f>
        <v>0</v>
      </c>
      <c r="W90" s="14" cm="1">
        <f t="array" ref="W90">INT(SUMPRODUCT(--ISNUMBER(SEARCH(trump,'Mark Kelly'!C90)))&gt;0)</f>
        <v>0</v>
      </c>
      <c r="X90" s="14" cm="1">
        <f t="array" ref="X90">INT(SUMPRODUCT(--ISNUMBER(SEARCH(voting,'Mark Kelly'!C90)))&gt;0)</f>
        <v>0</v>
      </c>
      <c r="Y90" s="14" cm="1">
        <f t="array" ref="Y90">INT(SUMPRODUCT(--ISNUMBER(SEARCH(democrattrigger,'Mark Kelly'!C90)))&gt;0)</f>
        <v>0</v>
      </c>
      <c r="Z90" s="14" cm="1">
        <f t="array" ref="Z90">INT(SUMPRODUCT(--ISNUMBER(SEARCH(bipartisan,'Mark Kelly'!C90)))&gt;0)</f>
        <v>0</v>
      </c>
      <c r="AA90" s="14">
        <f t="shared" si="1"/>
        <v>0</v>
      </c>
      <c r="AB90" s="14"/>
      <c r="AC90" s="30" t="s">
        <v>223</v>
      </c>
      <c r="AD90" s="37"/>
    </row>
    <row r="91" spans="1:30" x14ac:dyDescent="0.25">
      <c r="A91" s="36">
        <v>175</v>
      </c>
      <c r="B91" s="14" t="s">
        <v>382</v>
      </c>
      <c r="C91" s="31" t="s">
        <v>383</v>
      </c>
      <c r="D91" s="17">
        <v>44129</v>
      </c>
      <c r="E91" s="14" t="s">
        <v>30</v>
      </c>
      <c r="F91" s="14">
        <v>3367</v>
      </c>
      <c r="G91" s="14">
        <v>476</v>
      </c>
      <c r="H91" s="14">
        <v>2</v>
      </c>
      <c r="I91" s="14">
        <v>1</v>
      </c>
      <c r="J91" s="14" t="s">
        <v>204</v>
      </c>
      <c r="K91" s="14" cm="1">
        <f t="array" ref="K91">INT(SUMPRODUCT(--ISNUMBER(SEARCH(economy,'Mark Kelly'!C91)))&gt;0)</f>
        <v>0</v>
      </c>
      <c r="L91" s="14" cm="1">
        <f t="array" ref="L91">INT(SUMPRODUCT(--ISNUMBER(SEARCH(healthcare,'Mark Kelly'!C91)))&gt;0)</f>
        <v>0</v>
      </c>
      <c r="M91" s="14" cm="1">
        <f t="array" ref="M91">INT(SUMPRODUCT(--ISNUMBER(SEARCH(supreme,'Mark Kelly'!C91)))&gt;0)</f>
        <v>0</v>
      </c>
      <c r="N91" s="14" cm="1">
        <f t="array" ref="N91">INT(SUMPRODUCT(--ISNUMBER(SEARCH(covid,'Mark Kelly'!C91)))&gt;0)</f>
        <v>0</v>
      </c>
      <c r="O91" s="14" cm="1">
        <f t="array" ref="O91">INT(SUMPRODUCT(--ISNUMBER(SEARCH(violent,'Mark Kelly'!C91)))&gt;0)</f>
        <v>0</v>
      </c>
      <c r="P91" s="14" cm="1">
        <f t="array" ref="P91">INT(SUMPRODUCT(--ISNUMBER(SEARCH(foreign,'Mark Kelly'!C91)))&gt;0)</f>
        <v>0</v>
      </c>
      <c r="Q91" s="14" cm="1">
        <f t="array" ref="Q91">INT(SUMPRODUCT(--ISNUMBER(SEARCH(gun,'Mark Kelly'!C91)))&gt;0)</f>
        <v>0</v>
      </c>
      <c r="R91" s="14" cm="1">
        <f t="array" ref="R91">INT(SUMPRODUCT(--ISNUMBER(SEARCH(race,'Mark Kelly'!C91)))&gt;0)</f>
        <v>0</v>
      </c>
      <c r="S91" s="14" cm="1">
        <f t="array" ref="S91">INT(SUMPRODUCT(--ISNUMBER(SEARCH(immigration,C91)))&gt;0)</f>
        <v>0</v>
      </c>
      <c r="T91" s="14" cm="1">
        <f t="array" ref="T91">INT(SUMPRODUCT(--ISNUMBER(SEARCH(econineq,C91)))&gt;0)</f>
        <v>0</v>
      </c>
      <c r="U91" s="14" cm="1">
        <f t="array" ref="U91">INT(SUMPRODUCT(--ISNUMBER(SEARCH(climate,'Mark Kelly'!C91)))&gt;0)</f>
        <v>0</v>
      </c>
      <c r="V91" s="14" cm="1">
        <f t="array" ref="V91">INT(SUMPRODUCT(--ISNUMBER(SEARCH(abortion,'Mark Kelly'!C91)))&gt;0)</f>
        <v>0</v>
      </c>
      <c r="W91" s="14" cm="1">
        <f t="array" ref="W91">INT(SUMPRODUCT(--ISNUMBER(SEARCH(trump,'Mark Kelly'!C91)))&gt;0)</f>
        <v>0</v>
      </c>
      <c r="X91" s="14" cm="1">
        <f t="array" ref="X91">INT(SUMPRODUCT(--ISNUMBER(SEARCH(voting,'Mark Kelly'!C91)))&gt;0)</f>
        <v>1</v>
      </c>
      <c r="Y91" s="14" cm="1">
        <f t="array" ref="Y91">INT(SUMPRODUCT(--ISNUMBER(SEARCH(democrattrigger,'Mark Kelly'!C91)))&gt;0)</f>
        <v>0</v>
      </c>
      <c r="Z91" s="14" cm="1">
        <f t="array" ref="Z91">INT(SUMPRODUCT(--ISNUMBER(SEARCH(bipartisan,'Mark Kelly'!C91)))&gt;0)</f>
        <v>0</v>
      </c>
      <c r="AA91" s="14">
        <f t="shared" si="1"/>
        <v>0</v>
      </c>
      <c r="AB91" s="14"/>
      <c r="AC91" s="30">
        <v>1</v>
      </c>
      <c r="AD91" s="37"/>
    </row>
    <row r="92" spans="1:30" x14ac:dyDescent="0.25">
      <c r="A92" s="36">
        <v>176</v>
      </c>
      <c r="B92" s="14" t="s">
        <v>384</v>
      </c>
      <c r="C92" s="31" t="s">
        <v>385</v>
      </c>
      <c r="D92" s="17">
        <v>44129</v>
      </c>
      <c r="E92" s="14" t="s">
        <v>30</v>
      </c>
      <c r="F92" s="14">
        <v>1015</v>
      </c>
      <c r="G92" s="14">
        <v>202</v>
      </c>
      <c r="H92" s="14">
        <v>2</v>
      </c>
      <c r="I92" s="14">
        <v>1</v>
      </c>
      <c r="J92" s="14" t="s">
        <v>204</v>
      </c>
      <c r="K92" s="14" cm="1">
        <f t="array" ref="K92">INT(SUMPRODUCT(--ISNUMBER(SEARCH(economy,'Mark Kelly'!C92)))&gt;0)</f>
        <v>0</v>
      </c>
      <c r="L92" s="14" cm="1">
        <f t="array" ref="L92">INT(SUMPRODUCT(--ISNUMBER(SEARCH(healthcare,'Mark Kelly'!C92)))&gt;0)</f>
        <v>0</v>
      </c>
      <c r="M92" s="14" cm="1">
        <f t="array" ref="M92">INT(SUMPRODUCT(--ISNUMBER(SEARCH(supreme,'Mark Kelly'!C92)))&gt;0)</f>
        <v>0</v>
      </c>
      <c r="N92" s="14" cm="1">
        <f t="array" ref="N92">INT(SUMPRODUCT(--ISNUMBER(SEARCH(covid,'Mark Kelly'!C92)))&gt;0)</f>
        <v>1</v>
      </c>
      <c r="O92" s="14" cm="1">
        <f t="array" ref="O92">INT(SUMPRODUCT(--ISNUMBER(SEARCH(violent,'Mark Kelly'!C92)))&gt;0)</f>
        <v>0</v>
      </c>
      <c r="P92" s="14" cm="1">
        <f t="array" ref="P92">INT(SUMPRODUCT(--ISNUMBER(SEARCH(foreign,'Mark Kelly'!C92)))&gt;0)</f>
        <v>0</v>
      </c>
      <c r="Q92" s="14" cm="1">
        <f t="array" ref="Q92">INT(SUMPRODUCT(--ISNUMBER(SEARCH(gun,'Mark Kelly'!C92)))&gt;0)</f>
        <v>0</v>
      </c>
      <c r="R92" s="14" cm="1">
        <f t="array" ref="R92">INT(SUMPRODUCT(--ISNUMBER(SEARCH(race,'Mark Kelly'!C92)))&gt;0)</f>
        <v>0</v>
      </c>
      <c r="S92" s="14" cm="1">
        <f t="array" ref="S92">INT(SUMPRODUCT(--ISNUMBER(SEARCH(immigration,C92)))&gt;0)</f>
        <v>0</v>
      </c>
      <c r="T92" s="14" cm="1">
        <f t="array" ref="T92">INT(SUMPRODUCT(--ISNUMBER(SEARCH(econineq,C92)))&gt;0)</f>
        <v>0</v>
      </c>
      <c r="U92" s="14" cm="1">
        <f t="array" ref="U92">INT(SUMPRODUCT(--ISNUMBER(SEARCH(climate,'Mark Kelly'!C92)))&gt;0)</f>
        <v>0</v>
      </c>
      <c r="V92" s="14" cm="1">
        <f t="array" ref="V92">INT(SUMPRODUCT(--ISNUMBER(SEARCH(abortion,'Mark Kelly'!C92)))&gt;0)</f>
        <v>0</v>
      </c>
      <c r="W92" s="14" cm="1">
        <f t="array" ref="W92">INT(SUMPRODUCT(--ISNUMBER(SEARCH(trump,'Mark Kelly'!C92)))&gt;0)</f>
        <v>0</v>
      </c>
      <c r="X92" s="14" cm="1">
        <f t="array" ref="X92">INT(SUMPRODUCT(--ISNUMBER(SEARCH(voting,'Mark Kelly'!C92)))&gt;0)</f>
        <v>0</v>
      </c>
      <c r="Y92" s="14" cm="1">
        <f t="array" ref="Y92">INT(SUMPRODUCT(--ISNUMBER(SEARCH(democrattrigger,'Mark Kelly'!C92)))&gt;0)</f>
        <v>0</v>
      </c>
      <c r="Z92" s="14" cm="1">
        <f t="array" ref="Z92">INT(SUMPRODUCT(--ISNUMBER(SEARCH(bipartisan,'Mark Kelly'!C92)))&gt;0)</f>
        <v>0</v>
      </c>
      <c r="AA92" s="14">
        <f t="shared" si="1"/>
        <v>0</v>
      </c>
      <c r="AB92" s="14"/>
      <c r="AC92" s="30">
        <v>1</v>
      </c>
      <c r="AD92" s="37"/>
    </row>
    <row r="93" spans="1:30" x14ac:dyDescent="0.25">
      <c r="A93" s="36">
        <v>177</v>
      </c>
      <c r="B93" s="14" t="s">
        <v>386</v>
      </c>
      <c r="C93" s="31" t="s">
        <v>387</v>
      </c>
      <c r="D93" s="17">
        <v>44129</v>
      </c>
      <c r="E93" s="14" t="s">
        <v>30</v>
      </c>
      <c r="F93" s="14">
        <v>1189</v>
      </c>
      <c r="G93" s="14">
        <v>228</v>
      </c>
      <c r="H93" s="14">
        <v>2</v>
      </c>
      <c r="I93" s="14">
        <v>1</v>
      </c>
      <c r="J93" s="14" t="s">
        <v>204</v>
      </c>
      <c r="K93" s="14" cm="1">
        <f t="array" ref="K93">INT(SUMPRODUCT(--ISNUMBER(SEARCH(economy,'Mark Kelly'!C93)))&gt;0)</f>
        <v>0</v>
      </c>
      <c r="L93" s="14" cm="1">
        <f t="array" ref="L93">INT(SUMPRODUCT(--ISNUMBER(SEARCH(healthcare,'Mark Kelly'!C93)))&gt;0)</f>
        <v>0</v>
      </c>
      <c r="M93" s="14" cm="1">
        <f t="array" ref="M93">INT(SUMPRODUCT(--ISNUMBER(SEARCH(supreme,'Mark Kelly'!C93)))&gt;0)</f>
        <v>0</v>
      </c>
      <c r="N93" s="14" cm="1">
        <f t="array" ref="N93">INT(SUMPRODUCT(--ISNUMBER(SEARCH(covid,'Mark Kelly'!C93)))&gt;0)</f>
        <v>0</v>
      </c>
      <c r="O93" s="14" cm="1">
        <f t="array" ref="O93">INT(SUMPRODUCT(--ISNUMBER(SEARCH(violent,'Mark Kelly'!C93)))&gt;0)</f>
        <v>0</v>
      </c>
      <c r="P93" s="14" cm="1">
        <f t="array" ref="P93">INT(SUMPRODUCT(--ISNUMBER(SEARCH(foreign,'Mark Kelly'!C93)))&gt;0)</f>
        <v>0</v>
      </c>
      <c r="Q93" s="14" cm="1">
        <f t="array" ref="Q93">INT(SUMPRODUCT(--ISNUMBER(SEARCH(gun,'Mark Kelly'!C93)))&gt;0)</f>
        <v>0</v>
      </c>
      <c r="R93" s="14" cm="1">
        <f t="array" ref="R93">INT(SUMPRODUCT(--ISNUMBER(SEARCH(race,'Mark Kelly'!C93)))&gt;0)</f>
        <v>1</v>
      </c>
      <c r="S93" s="14" cm="1">
        <f t="array" ref="S93">INT(SUMPRODUCT(--ISNUMBER(SEARCH(immigration,C93)))&gt;0)</f>
        <v>0</v>
      </c>
      <c r="T93" s="14" cm="1">
        <f t="array" ref="T93">INT(SUMPRODUCT(--ISNUMBER(SEARCH(econineq,C93)))&gt;0)</f>
        <v>0</v>
      </c>
      <c r="U93" s="14" cm="1">
        <f t="array" ref="U93">INT(SUMPRODUCT(--ISNUMBER(SEARCH(climate,'Mark Kelly'!C93)))&gt;0)</f>
        <v>0</v>
      </c>
      <c r="V93" s="14" cm="1">
        <f t="array" ref="V93">INT(SUMPRODUCT(--ISNUMBER(SEARCH(abortion,'Mark Kelly'!C93)))&gt;0)</f>
        <v>0</v>
      </c>
      <c r="W93" s="14" cm="1">
        <f t="array" ref="W93">INT(SUMPRODUCT(--ISNUMBER(SEARCH(trump,'Mark Kelly'!C93)))&gt;0)</f>
        <v>0</v>
      </c>
      <c r="X93" s="14" cm="1">
        <f t="array" ref="X93">INT(SUMPRODUCT(--ISNUMBER(SEARCH(voting,'Mark Kelly'!C93)))&gt;0)</f>
        <v>0</v>
      </c>
      <c r="Y93" s="14" cm="1">
        <f t="array" ref="Y93">INT(SUMPRODUCT(--ISNUMBER(SEARCH(democrattrigger,'Mark Kelly'!C93)))&gt;0)</f>
        <v>0</v>
      </c>
      <c r="Z93" s="14" cm="1">
        <f t="array" ref="Z93">INT(SUMPRODUCT(--ISNUMBER(SEARCH(bipartisan,'Mark Kelly'!C93)))&gt;0)</f>
        <v>0</v>
      </c>
      <c r="AA93" s="14">
        <f t="shared" si="1"/>
        <v>0</v>
      </c>
      <c r="AB93" s="14"/>
      <c r="AC93" s="30" t="s">
        <v>223</v>
      </c>
      <c r="AD93" s="37"/>
    </row>
    <row r="94" spans="1:30" x14ac:dyDescent="0.25">
      <c r="A94" s="36">
        <v>178</v>
      </c>
      <c r="B94" s="14" t="s">
        <v>388</v>
      </c>
      <c r="C94" s="31" t="s">
        <v>389</v>
      </c>
      <c r="D94" s="17">
        <v>44129</v>
      </c>
      <c r="E94" s="14" t="s">
        <v>30</v>
      </c>
      <c r="F94" s="14">
        <v>1229</v>
      </c>
      <c r="G94" s="14">
        <v>246</v>
      </c>
      <c r="H94" s="14">
        <v>2</v>
      </c>
      <c r="I94" s="14">
        <v>1</v>
      </c>
      <c r="J94" s="14" t="s">
        <v>204</v>
      </c>
      <c r="K94" s="14" cm="1">
        <f t="array" ref="K94">INT(SUMPRODUCT(--ISNUMBER(SEARCH(economy,'Mark Kelly'!C94)))&gt;0)</f>
        <v>0</v>
      </c>
      <c r="L94" s="14" cm="1">
        <f t="array" ref="L94">INT(SUMPRODUCT(--ISNUMBER(SEARCH(healthcare,'Mark Kelly'!C94)))&gt;0)</f>
        <v>0</v>
      </c>
      <c r="M94" s="14" cm="1">
        <f t="array" ref="M94">INT(SUMPRODUCT(--ISNUMBER(SEARCH(supreme,'Mark Kelly'!C94)))&gt;0)</f>
        <v>0</v>
      </c>
      <c r="N94" s="14" cm="1">
        <f t="array" ref="N94">INT(SUMPRODUCT(--ISNUMBER(SEARCH(covid,'Mark Kelly'!C94)))&gt;0)</f>
        <v>0</v>
      </c>
      <c r="O94" s="14" cm="1">
        <f t="array" ref="O94">INT(SUMPRODUCT(--ISNUMBER(SEARCH(violent,'Mark Kelly'!C94)))&gt;0)</f>
        <v>0</v>
      </c>
      <c r="P94" s="14" cm="1">
        <f t="array" ref="P94">INT(SUMPRODUCT(--ISNUMBER(SEARCH(foreign,'Mark Kelly'!C94)))&gt;0)</f>
        <v>0</v>
      </c>
      <c r="Q94" s="14" cm="1">
        <f t="array" ref="Q94">INT(SUMPRODUCT(--ISNUMBER(SEARCH(gun,'Mark Kelly'!C94)))&gt;0)</f>
        <v>0</v>
      </c>
      <c r="R94" s="14" cm="1">
        <f t="array" ref="R94">INT(SUMPRODUCT(--ISNUMBER(SEARCH(race,'Mark Kelly'!C94)))&gt;0)</f>
        <v>0</v>
      </c>
      <c r="S94" s="14" cm="1">
        <f t="array" ref="S94">INT(SUMPRODUCT(--ISNUMBER(SEARCH(immigration,C94)))&gt;0)</f>
        <v>0</v>
      </c>
      <c r="T94" s="14" cm="1">
        <f t="array" ref="T94">INT(SUMPRODUCT(--ISNUMBER(SEARCH(econineq,C94)))&gt;0)</f>
        <v>0</v>
      </c>
      <c r="U94" s="14" cm="1">
        <f t="array" ref="U94">INT(SUMPRODUCT(--ISNUMBER(SEARCH(climate,'Mark Kelly'!C94)))&gt;0)</f>
        <v>0</v>
      </c>
      <c r="V94" s="14" cm="1">
        <f t="array" ref="V94">INT(SUMPRODUCT(--ISNUMBER(SEARCH(abortion,'Mark Kelly'!C94)))&gt;0)</f>
        <v>0</v>
      </c>
      <c r="W94" s="14" cm="1">
        <f t="array" ref="W94">INT(SUMPRODUCT(--ISNUMBER(SEARCH(trump,'Mark Kelly'!C94)))&gt;0)</f>
        <v>0</v>
      </c>
      <c r="X94" s="14" cm="1">
        <f t="array" ref="X94">INT(SUMPRODUCT(--ISNUMBER(SEARCH(voting,'Mark Kelly'!C94)))&gt;0)</f>
        <v>1</v>
      </c>
      <c r="Y94" s="14" cm="1">
        <f t="array" ref="Y94">INT(SUMPRODUCT(--ISNUMBER(SEARCH(democrattrigger,'Mark Kelly'!C94)))&gt;0)</f>
        <v>0</v>
      </c>
      <c r="Z94" s="14" cm="1">
        <f t="array" ref="Z94">INT(SUMPRODUCT(--ISNUMBER(SEARCH(bipartisan,'Mark Kelly'!C94)))&gt;0)</f>
        <v>0</v>
      </c>
      <c r="AA94" s="14">
        <f t="shared" si="1"/>
        <v>0</v>
      </c>
      <c r="AB94" s="14"/>
      <c r="AC94" s="30">
        <v>0</v>
      </c>
      <c r="AD94" s="37">
        <v>1</v>
      </c>
    </row>
    <row r="95" spans="1:30" x14ac:dyDescent="0.25">
      <c r="A95" s="36">
        <v>179</v>
      </c>
      <c r="B95" s="14" t="s">
        <v>390</v>
      </c>
      <c r="C95" s="31" t="s">
        <v>391</v>
      </c>
      <c r="D95" s="17">
        <v>44129</v>
      </c>
      <c r="E95" s="14" t="s">
        <v>30</v>
      </c>
      <c r="F95" s="14">
        <v>1148</v>
      </c>
      <c r="G95" s="14">
        <v>337</v>
      </c>
      <c r="H95" s="14">
        <v>2</v>
      </c>
      <c r="I95" s="14">
        <v>1</v>
      </c>
      <c r="J95" s="14" t="s">
        <v>204</v>
      </c>
      <c r="K95" s="14" cm="1">
        <f t="array" ref="K95">INT(SUMPRODUCT(--ISNUMBER(SEARCH(economy,'Mark Kelly'!C95)))&gt;0)</f>
        <v>0</v>
      </c>
      <c r="L95" s="14" cm="1">
        <f t="array" ref="L95">INT(SUMPRODUCT(--ISNUMBER(SEARCH(healthcare,'Mark Kelly'!C95)))&gt;0)</f>
        <v>1</v>
      </c>
      <c r="M95" s="14" cm="1">
        <f t="array" ref="M95">INT(SUMPRODUCT(--ISNUMBER(SEARCH(supreme,'Mark Kelly'!C95)))&gt;0)</f>
        <v>0</v>
      </c>
      <c r="N95" s="14" cm="1">
        <f t="array" ref="N95">INT(SUMPRODUCT(--ISNUMBER(SEARCH(covid,'Mark Kelly'!C95)))&gt;0)</f>
        <v>0</v>
      </c>
      <c r="O95" s="14" cm="1">
        <f t="array" ref="O95">INT(SUMPRODUCT(--ISNUMBER(SEARCH(violent,'Mark Kelly'!C95)))&gt;0)</f>
        <v>0</v>
      </c>
      <c r="P95" s="14" cm="1">
        <f t="array" ref="P95">INT(SUMPRODUCT(--ISNUMBER(SEARCH(foreign,'Mark Kelly'!C95)))&gt;0)</f>
        <v>0</v>
      </c>
      <c r="Q95" s="14" cm="1">
        <f t="array" ref="Q95">INT(SUMPRODUCT(--ISNUMBER(SEARCH(gun,'Mark Kelly'!C95)))&gt;0)</f>
        <v>0</v>
      </c>
      <c r="R95" s="14" cm="1">
        <f t="array" ref="R95">INT(SUMPRODUCT(--ISNUMBER(SEARCH(race,'Mark Kelly'!C95)))&gt;0)</f>
        <v>0</v>
      </c>
      <c r="S95" s="14" cm="1">
        <f t="array" ref="S95">INT(SUMPRODUCT(--ISNUMBER(SEARCH(immigration,C95)))&gt;0)</f>
        <v>0</v>
      </c>
      <c r="T95" s="14" cm="1">
        <f t="array" ref="T95">INT(SUMPRODUCT(--ISNUMBER(SEARCH(econineq,C95)))&gt;0)</f>
        <v>0</v>
      </c>
      <c r="U95" s="14" cm="1">
        <f t="array" ref="U95">INT(SUMPRODUCT(--ISNUMBER(SEARCH(climate,'Mark Kelly'!C95)))&gt;0)</f>
        <v>0</v>
      </c>
      <c r="V95" s="14" cm="1">
        <f t="array" ref="V95">INT(SUMPRODUCT(--ISNUMBER(SEARCH(abortion,'Mark Kelly'!C95)))&gt;0)</f>
        <v>0</v>
      </c>
      <c r="W95" s="14" cm="1">
        <f t="array" ref="W95">INT(SUMPRODUCT(--ISNUMBER(SEARCH(trump,'Mark Kelly'!C95)))&gt;0)</f>
        <v>0</v>
      </c>
      <c r="X95" s="14" cm="1">
        <f t="array" ref="X95">INT(SUMPRODUCT(--ISNUMBER(SEARCH(voting,'Mark Kelly'!C95)))&gt;0)</f>
        <v>0</v>
      </c>
      <c r="Y95" s="14" cm="1">
        <f t="array" ref="Y95">INT(SUMPRODUCT(--ISNUMBER(SEARCH(democrattrigger,'Mark Kelly'!C95)))&gt;0)</f>
        <v>0</v>
      </c>
      <c r="Z95" s="14" cm="1">
        <f t="array" ref="Z95">INT(SUMPRODUCT(--ISNUMBER(SEARCH(bipartisan,'Mark Kelly'!C95)))&gt;0)</f>
        <v>0</v>
      </c>
      <c r="AA95" s="14">
        <f t="shared" si="1"/>
        <v>0</v>
      </c>
      <c r="AB95" s="14"/>
      <c r="AC95" s="30">
        <v>0</v>
      </c>
      <c r="AD95" s="37">
        <v>1</v>
      </c>
    </row>
    <row r="96" spans="1:30" x14ac:dyDescent="0.25">
      <c r="A96" s="36">
        <v>180</v>
      </c>
      <c r="B96" s="14" t="s">
        <v>392</v>
      </c>
      <c r="C96" s="31" t="s">
        <v>393</v>
      </c>
      <c r="D96" s="17">
        <v>44129</v>
      </c>
      <c r="E96" s="14" t="s">
        <v>30</v>
      </c>
      <c r="F96" s="14">
        <v>10208</v>
      </c>
      <c r="G96" s="14">
        <v>2115</v>
      </c>
      <c r="H96" s="14">
        <v>2</v>
      </c>
      <c r="I96" s="14">
        <v>1</v>
      </c>
      <c r="J96" s="14" t="s">
        <v>204</v>
      </c>
      <c r="K96" s="14" cm="1">
        <f t="array" ref="K96">INT(SUMPRODUCT(--ISNUMBER(SEARCH(economy,'Mark Kelly'!C96)))&gt;0)</f>
        <v>0</v>
      </c>
      <c r="L96" s="14" cm="1">
        <f t="array" ref="L96">INT(SUMPRODUCT(--ISNUMBER(SEARCH(healthcare,'Mark Kelly'!C96)))&gt;0)</f>
        <v>1</v>
      </c>
      <c r="M96" s="14" cm="1">
        <f t="array" ref="M96">INT(SUMPRODUCT(--ISNUMBER(SEARCH(supreme,'Mark Kelly'!C96)))&gt;0)</f>
        <v>0</v>
      </c>
      <c r="N96" s="14" cm="1">
        <f t="array" ref="N96">INT(SUMPRODUCT(--ISNUMBER(SEARCH(covid,'Mark Kelly'!C96)))&gt;0)</f>
        <v>1</v>
      </c>
      <c r="O96" s="14" cm="1">
        <f t="array" ref="O96">INT(SUMPRODUCT(--ISNUMBER(SEARCH(violent,'Mark Kelly'!C96)))&gt;0)</f>
        <v>0</v>
      </c>
      <c r="P96" s="14" cm="1">
        <f t="array" ref="P96">INT(SUMPRODUCT(--ISNUMBER(SEARCH(foreign,'Mark Kelly'!C96)))&gt;0)</f>
        <v>0</v>
      </c>
      <c r="Q96" s="14" cm="1">
        <f t="array" ref="Q96">INT(SUMPRODUCT(--ISNUMBER(SEARCH(gun,'Mark Kelly'!C96)))&gt;0)</f>
        <v>0</v>
      </c>
      <c r="R96" s="14" cm="1">
        <f t="array" ref="R96">INT(SUMPRODUCT(--ISNUMBER(SEARCH(race,'Mark Kelly'!C96)))&gt;0)</f>
        <v>0</v>
      </c>
      <c r="S96" s="14" cm="1">
        <f t="array" ref="S96">INT(SUMPRODUCT(--ISNUMBER(SEARCH(immigration,C96)))&gt;0)</f>
        <v>0</v>
      </c>
      <c r="T96" s="14" cm="1">
        <f t="array" ref="T96">INT(SUMPRODUCT(--ISNUMBER(SEARCH(econineq,C96)))&gt;0)</f>
        <v>0</v>
      </c>
      <c r="U96" s="14" cm="1">
        <f t="array" ref="U96">INT(SUMPRODUCT(--ISNUMBER(SEARCH(climate,'Mark Kelly'!C96)))&gt;0)</f>
        <v>0</v>
      </c>
      <c r="V96" s="14" cm="1">
        <f t="array" ref="V96">INT(SUMPRODUCT(--ISNUMBER(SEARCH(abortion,'Mark Kelly'!C96)))&gt;0)</f>
        <v>0</v>
      </c>
      <c r="W96" s="14" cm="1">
        <f t="array" ref="W96">INT(SUMPRODUCT(--ISNUMBER(SEARCH(trump,'Mark Kelly'!C96)))&gt;0)</f>
        <v>0</v>
      </c>
      <c r="X96" s="14" cm="1">
        <f t="array" ref="X96">INT(SUMPRODUCT(--ISNUMBER(SEARCH(voting,'Mark Kelly'!C96)))&gt;0)</f>
        <v>0</v>
      </c>
      <c r="Y96" s="14" cm="1">
        <f t="array" ref="Y96">INT(SUMPRODUCT(--ISNUMBER(SEARCH(democrattrigger,'Mark Kelly'!C96)))&gt;0)</f>
        <v>0</v>
      </c>
      <c r="Z96" s="14" cm="1">
        <f t="array" ref="Z96">INT(SUMPRODUCT(--ISNUMBER(SEARCH(bipartisan,'Mark Kelly'!C96)))&gt;0)</f>
        <v>0</v>
      </c>
      <c r="AA96" s="14">
        <f t="shared" si="1"/>
        <v>0</v>
      </c>
      <c r="AB96" s="14"/>
      <c r="AC96" s="30" t="s">
        <v>223</v>
      </c>
      <c r="AD96" s="37"/>
    </row>
    <row r="97" spans="1:30" x14ac:dyDescent="0.25">
      <c r="A97" s="36">
        <v>181</v>
      </c>
      <c r="B97" s="14" t="s">
        <v>394</v>
      </c>
      <c r="C97" s="31" t="s">
        <v>395</v>
      </c>
      <c r="D97" s="17">
        <v>44128</v>
      </c>
      <c r="E97" s="14" t="s">
        <v>30</v>
      </c>
      <c r="F97" s="14">
        <v>565</v>
      </c>
      <c r="G97" s="14">
        <v>134</v>
      </c>
      <c r="H97" s="14">
        <v>2</v>
      </c>
      <c r="I97" s="14">
        <v>1</v>
      </c>
      <c r="J97" s="14" t="s">
        <v>204</v>
      </c>
      <c r="K97" s="14" cm="1">
        <f t="array" ref="K97">INT(SUMPRODUCT(--ISNUMBER(SEARCH(economy,'Mark Kelly'!C97)))&gt;0)</f>
        <v>1</v>
      </c>
      <c r="L97" s="14" cm="1">
        <f t="array" ref="L97">INT(SUMPRODUCT(--ISNUMBER(SEARCH(healthcare,'Mark Kelly'!C97)))&gt;0)</f>
        <v>0</v>
      </c>
      <c r="M97" s="14" cm="1">
        <f t="array" ref="M97">INT(SUMPRODUCT(--ISNUMBER(SEARCH(supreme,'Mark Kelly'!C97)))&gt;0)</f>
        <v>0</v>
      </c>
      <c r="N97" s="14" cm="1">
        <f t="array" ref="N97">INT(SUMPRODUCT(--ISNUMBER(SEARCH(covid,'Mark Kelly'!C97)))&gt;0)</f>
        <v>1</v>
      </c>
      <c r="O97" s="14" cm="1">
        <f t="array" ref="O97">INT(SUMPRODUCT(--ISNUMBER(SEARCH(violent,'Mark Kelly'!C97)))&gt;0)</f>
        <v>0</v>
      </c>
      <c r="P97" s="14" cm="1">
        <f t="array" ref="P97">INT(SUMPRODUCT(--ISNUMBER(SEARCH(foreign,'Mark Kelly'!C97)))&gt;0)</f>
        <v>0</v>
      </c>
      <c r="Q97" s="14" cm="1">
        <f t="array" ref="Q97">INT(SUMPRODUCT(--ISNUMBER(SEARCH(gun,'Mark Kelly'!C97)))&gt;0)</f>
        <v>0</v>
      </c>
      <c r="R97" s="14" cm="1">
        <f t="array" ref="R97">INT(SUMPRODUCT(--ISNUMBER(SEARCH(race,'Mark Kelly'!C97)))&gt;0)</f>
        <v>0</v>
      </c>
      <c r="S97" s="14" cm="1">
        <f t="array" ref="S97">INT(SUMPRODUCT(--ISNUMBER(SEARCH(immigration,C97)))&gt;0)</f>
        <v>0</v>
      </c>
      <c r="T97" s="14" cm="1">
        <f t="array" ref="T97">INT(SUMPRODUCT(--ISNUMBER(SEARCH(econineq,C97)))&gt;0)</f>
        <v>0</v>
      </c>
      <c r="U97" s="14" cm="1">
        <f t="array" ref="U97">INT(SUMPRODUCT(--ISNUMBER(SEARCH(climate,'Mark Kelly'!C97)))&gt;0)</f>
        <v>0</v>
      </c>
      <c r="V97" s="14" cm="1">
        <f t="array" ref="V97">INT(SUMPRODUCT(--ISNUMBER(SEARCH(abortion,'Mark Kelly'!C97)))&gt;0)</f>
        <v>0</v>
      </c>
      <c r="W97" s="14" cm="1">
        <f t="array" ref="W97">INT(SUMPRODUCT(--ISNUMBER(SEARCH(trump,'Mark Kelly'!C97)))&gt;0)</f>
        <v>0</v>
      </c>
      <c r="X97" s="14" cm="1">
        <f t="array" ref="X97">INT(SUMPRODUCT(--ISNUMBER(SEARCH(voting,'Mark Kelly'!C97)))&gt;0)</f>
        <v>0</v>
      </c>
      <c r="Y97" s="14" cm="1">
        <f t="array" ref="Y97">INT(SUMPRODUCT(--ISNUMBER(SEARCH(democrattrigger,'Mark Kelly'!C97)))&gt;0)</f>
        <v>0</v>
      </c>
      <c r="Z97" s="14" cm="1">
        <f t="array" ref="Z97">INT(SUMPRODUCT(--ISNUMBER(SEARCH(bipartisan,'Mark Kelly'!C97)))&gt;0)</f>
        <v>0</v>
      </c>
      <c r="AA97" s="14">
        <f t="shared" si="1"/>
        <v>0</v>
      </c>
      <c r="AB97" s="14"/>
      <c r="AC97" s="30">
        <v>1</v>
      </c>
      <c r="AD97" s="37"/>
    </row>
    <row r="98" spans="1:30" x14ac:dyDescent="0.25">
      <c r="A98" s="36">
        <v>182</v>
      </c>
      <c r="B98" s="14" t="s">
        <v>396</v>
      </c>
      <c r="C98" s="31" t="s">
        <v>397</v>
      </c>
      <c r="D98" s="17">
        <v>44128</v>
      </c>
      <c r="E98" s="14" t="s">
        <v>30</v>
      </c>
      <c r="F98" s="14">
        <v>2191</v>
      </c>
      <c r="G98" s="14">
        <v>401</v>
      </c>
      <c r="H98" s="14">
        <v>2</v>
      </c>
      <c r="I98" s="14">
        <v>1</v>
      </c>
      <c r="J98" s="14" t="s">
        <v>204</v>
      </c>
      <c r="K98" s="14" cm="1">
        <f t="array" ref="K98">INT(SUMPRODUCT(--ISNUMBER(SEARCH(economy,'Mark Kelly'!C98)))&gt;0)</f>
        <v>0</v>
      </c>
      <c r="L98" s="14" cm="1">
        <f t="array" ref="L98">INT(SUMPRODUCT(--ISNUMBER(SEARCH(healthcare,'Mark Kelly'!C98)))&gt;0)</f>
        <v>0</v>
      </c>
      <c r="M98" s="14" cm="1">
        <f t="array" ref="M98">INT(SUMPRODUCT(--ISNUMBER(SEARCH(supreme,'Mark Kelly'!C98)))&gt;0)</f>
        <v>0</v>
      </c>
      <c r="N98" s="14" cm="1">
        <f t="array" ref="N98">INT(SUMPRODUCT(--ISNUMBER(SEARCH(covid,'Mark Kelly'!C98)))&gt;0)</f>
        <v>0</v>
      </c>
      <c r="O98" s="14" cm="1">
        <f t="array" ref="O98">INT(SUMPRODUCT(--ISNUMBER(SEARCH(violent,'Mark Kelly'!C98)))&gt;0)</f>
        <v>0</v>
      </c>
      <c r="P98" s="14" cm="1">
        <f t="array" ref="P98">INT(SUMPRODUCT(--ISNUMBER(SEARCH(foreign,'Mark Kelly'!C98)))&gt;0)</f>
        <v>0</v>
      </c>
      <c r="Q98" s="14" cm="1">
        <f t="array" ref="Q98">INT(SUMPRODUCT(--ISNUMBER(SEARCH(gun,'Mark Kelly'!C98)))&gt;0)</f>
        <v>0</v>
      </c>
      <c r="R98" s="14" cm="1">
        <f t="array" ref="R98">INT(SUMPRODUCT(--ISNUMBER(SEARCH(race,'Mark Kelly'!C98)))&gt;0)</f>
        <v>0</v>
      </c>
      <c r="S98" s="14" cm="1">
        <f t="array" ref="S98">INT(SUMPRODUCT(--ISNUMBER(SEARCH(immigration,C98)))&gt;0)</f>
        <v>0</v>
      </c>
      <c r="T98" s="14" cm="1">
        <f t="array" ref="T98">INT(SUMPRODUCT(--ISNUMBER(SEARCH(econineq,C98)))&gt;0)</f>
        <v>0</v>
      </c>
      <c r="U98" s="14" cm="1">
        <f t="array" ref="U98">INT(SUMPRODUCT(--ISNUMBER(SEARCH(climate,'Mark Kelly'!C98)))&gt;0)</f>
        <v>0</v>
      </c>
      <c r="V98" s="14" cm="1">
        <f t="array" ref="V98">INT(SUMPRODUCT(--ISNUMBER(SEARCH(abortion,'Mark Kelly'!C98)))&gt;0)</f>
        <v>0</v>
      </c>
      <c r="W98" s="14" cm="1">
        <f t="array" ref="W98">INT(SUMPRODUCT(--ISNUMBER(SEARCH(trump,'Mark Kelly'!C98)))&gt;0)</f>
        <v>0</v>
      </c>
      <c r="X98" s="14" cm="1">
        <f t="array" ref="X98">INT(SUMPRODUCT(--ISNUMBER(SEARCH(voting,'Mark Kelly'!C98)))&gt;0)</f>
        <v>0</v>
      </c>
      <c r="Y98" s="14" cm="1">
        <f t="array" ref="Y98">INT(SUMPRODUCT(--ISNUMBER(SEARCH(democrattrigger,'Mark Kelly'!C98)))&gt;0)</f>
        <v>0</v>
      </c>
      <c r="Z98" s="14" cm="1">
        <f t="array" ref="Z98">INT(SUMPRODUCT(--ISNUMBER(SEARCH(bipartisan,'Mark Kelly'!C98)))&gt;0)</f>
        <v>0</v>
      </c>
      <c r="AA98" s="14">
        <f t="shared" si="1"/>
        <v>1</v>
      </c>
      <c r="AB98" s="14"/>
      <c r="AC98" s="30" t="s">
        <v>223</v>
      </c>
      <c r="AD98" s="37"/>
    </row>
    <row r="99" spans="1:30" x14ac:dyDescent="0.25">
      <c r="A99" s="36">
        <v>183</v>
      </c>
      <c r="B99" s="14" t="s">
        <v>398</v>
      </c>
      <c r="C99" s="31" t="s">
        <v>399</v>
      </c>
      <c r="D99" s="17">
        <v>44128</v>
      </c>
      <c r="E99" s="14" t="s">
        <v>30</v>
      </c>
      <c r="F99" s="14">
        <v>3208</v>
      </c>
      <c r="G99" s="14">
        <v>211</v>
      </c>
      <c r="H99" s="14">
        <v>2</v>
      </c>
      <c r="I99" s="14">
        <v>1</v>
      </c>
      <c r="J99" s="14" t="s">
        <v>204</v>
      </c>
      <c r="K99" s="14" cm="1">
        <f t="array" ref="K99">INT(SUMPRODUCT(--ISNUMBER(SEARCH(economy,'Mark Kelly'!C99)))&gt;0)</f>
        <v>0</v>
      </c>
      <c r="L99" s="14" cm="1">
        <f t="array" ref="L99">INT(SUMPRODUCT(--ISNUMBER(SEARCH(healthcare,'Mark Kelly'!C99)))&gt;0)</f>
        <v>0</v>
      </c>
      <c r="M99" s="14" cm="1">
        <f t="array" ref="M99">INT(SUMPRODUCT(--ISNUMBER(SEARCH(supreme,'Mark Kelly'!C99)))&gt;0)</f>
        <v>0</v>
      </c>
      <c r="N99" s="14" cm="1">
        <f t="array" ref="N99">INT(SUMPRODUCT(--ISNUMBER(SEARCH(covid,'Mark Kelly'!C99)))&gt;0)</f>
        <v>0</v>
      </c>
      <c r="O99" s="14" cm="1">
        <f t="array" ref="O99">INT(SUMPRODUCT(--ISNUMBER(SEARCH(violent,'Mark Kelly'!C99)))&gt;0)</f>
        <v>0</v>
      </c>
      <c r="P99" s="14" cm="1">
        <f t="array" ref="P99">INT(SUMPRODUCT(--ISNUMBER(SEARCH(foreign,'Mark Kelly'!C99)))&gt;0)</f>
        <v>0</v>
      </c>
      <c r="Q99" s="14" cm="1">
        <f t="array" ref="Q99">INT(SUMPRODUCT(--ISNUMBER(SEARCH(gun,'Mark Kelly'!C99)))&gt;0)</f>
        <v>0</v>
      </c>
      <c r="R99" s="14" cm="1">
        <f t="array" ref="R99">INT(SUMPRODUCT(--ISNUMBER(SEARCH(race,'Mark Kelly'!C99)))&gt;0)</f>
        <v>0</v>
      </c>
      <c r="S99" s="14" cm="1">
        <f t="array" ref="S99">INT(SUMPRODUCT(--ISNUMBER(SEARCH(immigration,C99)))&gt;0)</f>
        <v>0</v>
      </c>
      <c r="T99" s="14" cm="1">
        <f t="array" ref="T99">INT(SUMPRODUCT(--ISNUMBER(SEARCH(econineq,C99)))&gt;0)</f>
        <v>0</v>
      </c>
      <c r="U99" s="14" cm="1">
        <f t="array" ref="U99">INT(SUMPRODUCT(--ISNUMBER(SEARCH(climate,'Mark Kelly'!C99)))&gt;0)</f>
        <v>0</v>
      </c>
      <c r="V99" s="14" cm="1">
        <f t="array" ref="V99">INT(SUMPRODUCT(--ISNUMBER(SEARCH(abortion,'Mark Kelly'!C99)))&gt;0)</f>
        <v>0</v>
      </c>
      <c r="W99" s="14" cm="1">
        <f t="array" ref="W99">INT(SUMPRODUCT(--ISNUMBER(SEARCH(trump,'Mark Kelly'!C99)))&gt;0)</f>
        <v>0</v>
      </c>
      <c r="X99" s="14" cm="1">
        <f t="array" ref="X99">INT(SUMPRODUCT(--ISNUMBER(SEARCH(voting,'Mark Kelly'!C99)))&gt;0)</f>
        <v>0</v>
      </c>
      <c r="Y99" s="14" cm="1">
        <f t="array" ref="Y99">INT(SUMPRODUCT(--ISNUMBER(SEARCH(democrattrigger,'Mark Kelly'!C99)))&gt;0)</f>
        <v>0</v>
      </c>
      <c r="Z99" s="14" cm="1">
        <f t="array" ref="Z99">INT(SUMPRODUCT(--ISNUMBER(SEARCH(bipartisan,'Mark Kelly'!C99)))&gt;0)</f>
        <v>0</v>
      </c>
      <c r="AA99" s="14">
        <f t="shared" si="1"/>
        <v>1</v>
      </c>
      <c r="AB99" s="14"/>
      <c r="AC99" s="30">
        <v>1</v>
      </c>
      <c r="AD99" s="37"/>
    </row>
    <row r="100" spans="1:30" x14ac:dyDescent="0.25">
      <c r="A100" s="36">
        <v>184</v>
      </c>
      <c r="B100" s="14" t="s">
        <v>400</v>
      </c>
      <c r="C100" s="31" t="s">
        <v>401</v>
      </c>
      <c r="D100" s="17">
        <v>44128</v>
      </c>
      <c r="E100" s="14" t="s">
        <v>30</v>
      </c>
      <c r="F100" s="14">
        <v>4204</v>
      </c>
      <c r="G100" s="14">
        <v>929</v>
      </c>
      <c r="H100" s="14">
        <v>2</v>
      </c>
      <c r="I100" s="14">
        <v>1</v>
      </c>
      <c r="J100" s="14" t="s">
        <v>204</v>
      </c>
      <c r="K100" s="14" cm="1">
        <f t="array" ref="K100">INT(SUMPRODUCT(--ISNUMBER(SEARCH(economy,'Mark Kelly'!C100)))&gt;0)</f>
        <v>0</v>
      </c>
      <c r="L100" s="14" cm="1">
        <f t="array" ref="L100">INT(SUMPRODUCT(--ISNUMBER(SEARCH(healthcare,'Mark Kelly'!C100)))&gt;0)</f>
        <v>0</v>
      </c>
      <c r="M100" s="14" cm="1">
        <f t="array" ref="M100">INT(SUMPRODUCT(--ISNUMBER(SEARCH(supreme,'Mark Kelly'!C100)))&gt;0)</f>
        <v>0</v>
      </c>
      <c r="N100" s="14" cm="1">
        <f t="array" ref="N100">INT(SUMPRODUCT(--ISNUMBER(SEARCH(covid,'Mark Kelly'!C100)))&gt;0)</f>
        <v>0</v>
      </c>
      <c r="O100" s="14" cm="1">
        <f t="array" ref="O100">INT(SUMPRODUCT(--ISNUMBER(SEARCH(violent,'Mark Kelly'!C100)))&gt;0)</f>
        <v>0</v>
      </c>
      <c r="P100" s="14" cm="1">
        <f t="array" ref="P100">INT(SUMPRODUCT(--ISNUMBER(SEARCH(foreign,'Mark Kelly'!C100)))&gt;0)</f>
        <v>0</v>
      </c>
      <c r="Q100" s="14" cm="1">
        <f t="array" ref="Q100">INT(SUMPRODUCT(--ISNUMBER(SEARCH(gun,'Mark Kelly'!C100)))&gt;0)</f>
        <v>0</v>
      </c>
      <c r="R100" s="14" cm="1">
        <f t="array" ref="R100">INT(SUMPRODUCT(--ISNUMBER(SEARCH(race,'Mark Kelly'!C100)))&gt;0)</f>
        <v>0</v>
      </c>
      <c r="S100" s="14" cm="1">
        <f t="array" ref="S100">INT(SUMPRODUCT(--ISNUMBER(SEARCH(immigration,C100)))&gt;0)</f>
        <v>0</v>
      </c>
      <c r="T100" s="14" cm="1">
        <f t="array" ref="T100">INT(SUMPRODUCT(--ISNUMBER(SEARCH(econineq,C100)))&gt;0)</f>
        <v>0</v>
      </c>
      <c r="U100" s="14" cm="1">
        <f t="array" ref="U100">INT(SUMPRODUCT(--ISNUMBER(SEARCH(climate,'Mark Kelly'!C100)))&gt;0)</f>
        <v>0</v>
      </c>
      <c r="V100" s="14" cm="1">
        <f t="array" ref="V100">INT(SUMPRODUCT(--ISNUMBER(SEARCH(abortion,'Mark Kelly'!C100)))&gt;0)</f>
        <v>0</v>
      </c>
      <c r="W100" s="14" cm="1">
        <f t="array" ref="W100">INT(SUMPRODUCT(--ISNUMBER(SEARCH(trump,'Mark Kelly'!C100)))&gt;0)</f>
        <v>0</v>
      </c>
      <c r="X100" s="14" cm="1">
        <f t="array" ref="X100">INT(SUMPRODUCT(--ISNUMBER(SEARCH(voting,'Mark Kelly'!C100)))&gt;0)</f>
        <v>0</v>
      </c>
      <c r="Y100" s="14" cm="1">
        <f t="array" ref="Y100">INT(SUMPRODUCT(--ISNUMBER(SEARCH(democrattrigger,'Mark Kelly'!C100)))&gt;0)</f>
        <v>0</v>
      </c>
      <c r="Z100" s="14" cm="1">
        <f t="array" ref="Z100">INT(SUMPRODUCT(--ISNUMBER(SEARCH(bipartisan,'Mark Kelly'!C100)))&gt;0)</f>
        <v>0</v>
      </c>
      <c r="AA100" s="14">
        <f t="shared" si="1"/>
        <v>1</v>
      </c>
      <c r="AB100" s="14"/>
      <c r="AC100" s="30">
        <v>0</v>
      </c>
      <c r="AD100" s="37">
        <v>1</v>
      </c>
    </row>
    <row r="101" spans="1:30" x14ac:dyDescent="0.25">
      <c r="A101" s="36">
        <v>185</v>
      </c>
      <c r="B101" s="14" t="s">
        <v>402</v>
      </c>
      <c r="C101" s="31" t="s">
        <v>403</v>
      </c>
      <c r="D101" s="17">
        <v>44127</v>
      </c>
      <c r="E101" s="14" t="s">
        <v>30</v>
      </c>
      <c r="F101" s="14">
        <v>1914</v>
      </c>
      <c r="G101" s="14">
        <v>426</v>
      </c>
      <c r="H101" s="14">
        <v>2</v>
      </c>
      <c r="I101" s="14">
        <v>1</v>
      </c>
      <c r="J101" s="14" t="s">
        <v>204</v>
      </c>
      <c r="K101" s="14" cm="1">
        <f t="array" ref="K101">INT(SUMPRODUCT(--ISNUMBER(SEARCH(economy,'Mark Kelly'!C101)))&gt;0)</f>
        <v>1</v>
      </c>
      <c r="L101" s="14" cm="1">
        <f t="array" ref="L101">INT(SUMPRODUCT(--ISNUMBER(SEARCH(healthcare,'Mark Kelly'!C101)))&gt;0)</f>
        <v>0</v>
      </c>
      <c r="M101" s="14" cm="1">
        <f t="array" ref="M101">INT(SUMPRODUCT(--ISNUMBER(SEARCH(supreme,'Mark Kelly'!C101)))&gt;0)</f>
        <v>0</v>
      </c>
      <c r="N101" s="14" cm="1">
        <f t="array" ref="N101">INT(SUMPRODUCT(--ISNUMBER(SEARCH(covid,'Mark Kelly'!C101)))&gt;0)</f>
        <v>0</v>
      </c>
      <c r="O101" s="14" cm="1">
        <f t="array" ref="O101">INT(SUMPRODUCT(--ISNUMBER(SEARCH(violent,'Mark Kelly'!C101)))&gt;0)</f>
        <v>0</v>
      </c>
      <c r="P101" s="14" cm="1">
        <f t="array" ref="P101">INT(SUMPRODUCT(--ISNUMBER(SEARCH(foreign,'Mark Kelly'!C101)))&gt;0)</f>
        <v>0</v>
      </c>
      <c r="Q101" s="14" cm="1">
        <f t="array" ref="Q101">INT(SUMPRODUCT(--ISNUMBER(SEARCH(gun,'Mark Kelly'!C101)))&gt;0)</f>
        <v>0</v>
      </c>
      <c r="R101" s="14" cm="1">
        <f t="array" ref="R101">INT(SUMPRODUCT(--ISNUMBER(SEARCH(race,'Mark Kelly'!C101)))&gt;0)</f>
        <v>1</v>
      </c>
      <c r="S101" s="14" cm="1">
        <f t="array" ref="S101">INT(SUMPRODUCT(--ISNUMBER(SEARCH(immigration,C101)))&gt;0)</f>
        <v>1</v>
      </c>
      <c r="T101" s="14" cm="1">
        <f t="array" ref="T101">INT(SUMPRODUCT(--ISNUMBER(SEARCH(econineq,C101)))&gt;0)</f>
        <v>0</v>
      </c>
      <c r="U101" s="14" cm="1">
        <f t="array" ref="U101">INT(SUMPRODUCT(--ISNUMBER(SEARCH(climate,'Mark Kelly'!C101)))&gt;0)</f>
        <v>0</v>
      </c>
      <c r="V101" s="14" cm="1">
        <f t="array" ref="V101">INT(SUMPRODUCT(--ISNUMBER(SEARCH(abortion,'Mark Kelly'!C101)))&gt;0)</f>
        <v>0</v>
      </c>
      <c r="W101" s="14" cm="1">
        <f t="array" ref="W101">INT(SUMPRODUCT(--ISNUMBER(SEARCH(trump,'Mark Kelly'!C101)))&gt;0)</f>
        <v>0</v>
      </c>
      <c r="X101" s="14" cm="1">
        <f t="array" ref="X101">INT(SUMPRODUCT(--ISNUMBER(SEARCH(voting,'Mark Kelly'!C101)))&gt;0)</f>
        <v>0</v>
      </c>
      <c r="Y101" s="14" cm="1">
        <f t="array" ref="Y101">INT(SUMPRODUCT(--ISNUMBER(SEARCH(democrattrigger,'Mark Kelly'!C101)))&gt;0)</f>
        <v>0</v>
      </c>
      <c r="Z101" s="14" cm="1">
        <f t="array" ref="Z101">INT(SUMPRODUCT(--ISNUMBER(SEARCH(bipartisan,'Mark Kelly'!C101)))&gt;0)</f>
        <v>0</v>
      </c>
      <c r="AA101" s="14">
        <f t="shared" si="1"/>
        <v>0</v>
      </c>
      <c r="AB101" s="14"/>
      <c r="AC101" s="30">
        <v>0</v>
      </c>
      <c r="AD101" s="37">
        <v>1</v>
      </c>
    </row>
    <row r="102" spans="1:30" x14ac:dyDescent="0.25">
      <c r="A102" s="36">
        <v>186</v>
      </c>
      <c r="B102" s="14" t="s">
        <v>404</v>
      </c>
      <c r="C102" s="31" t="s">
        <v>405</v>
      </c>
      <c r="D102" s="17">
        <v>44127</v>
      </c>
      <c r="E102" s="14" t="s">
        <v>30</v>
      </c>
      <c r="F102" s="14">
        <v>1005</v>
      </c>
      <c r="G102" s="14">
        <v>208</v>
      </c>
      <c r="H102" s="14">
        <v>2</v>
      </c>
      <c r="I102" s="14">
        <v>1</v>
      </c>
      <c r="J102" s="14" t="s">
        <v>204</v>
      </c>
      <c r="K102" s="14" cm="1">
        <f t="array" ref="K102">INT(SUMPRODUCT(--ISNUMBER(SEARCH(economy,'Mark Kelly'!C102)))&gt;0)</f>
        <v>0</v>
      </c>
      <c r="L102" s="14" cm="1">
        <f t="array" ref="L102">INT(SUMPRODUCT(--ISNUMBER(SEARCH(healthcare,'Mark Kelly'!C102)))&gt;0)</f>
        <v>1</v>
      </c>
      <c r="M102" s="14" cm="1">
        <f t="array" ref="M102">INT(SUMPRODUCT(--ISNUMBER(SEARCH(supreme,'Mark Kelly'!C102)))&gt;0)</f>
        <v>0</v>
      </c>
      <c r="N102" s="14" cm="1">
        <f t="array" ref="N102">INT(SUMPRODUCT(--ISNUMBER(SEARCH(covid,'Mark Kelly'!C102)))&gt;0)</f>
        <v>0</v>
      </c>
      <c r="O102" s="14" cm="1">
        <f t="array" ref="O102">INT(SUMPRODUCT(--ISNUMBER(SEARCH(violent,'Mark Kelly'!C102)))&gt;0)</f>
        <v>0</v>
      </c>
      <c r="P102" s="14" cm="1">
        <f t="array" ref="P102">INT(SUMPRODUCT(--ISNUMBER(SEARCH(foreign,'Mark Kelly'!C102)))&gt;0)</f>
        <v>0</v>
      </c>
      <c r="Q102" s="14" cm="1">
        <f t="array" ref="Q102">INT(SUMPRODUCT(--ISNUMBER(SEARCH(gun,'Mark Kelly'!C102)))&gt;0)</f>
        <v>0</v>
      </c>
      <c r="R102" s="14" cm="1">
        <f t="array" ref="R102">INT(SUMPRODUCT(--ISNUMBER(SEARCH(race,'Mark Kelly'!C102)))&gt;0)</f>
        <v>0</v>
      </c>
      <c r="S102" s="14" cm="1">
        <f t="array" ref="S102">INT(SUMPRODUCT(--ISNUMBER(SEARCH(immigration,C102)))&gt;0)</f>
        <v>0</v>
      </c>
      <c r="T102" s="14" cm="1">
        <f t="array" ref="T102">INT(SUMPRODUCT(--ISNUMBER(SEARCH(econineq,C102)))&gt;0)</f>
        <v>0</v>
      </c>
      <c r="U102" s="14" cm="1">
        <f t="array" ref="U102">INT(SUMPRODUCT(--ISNUMBER(SEARCH(climate,'Mark Kelly'!C102)))&gt;0)</f>
        <v>0</v>
      </c>
      <c r="V102" s="14" cm="1">
        <f t="array" ref="V102">INT(SUMPRODUCT(--ISNUMBER(SEARCH(abortion,'Mark Kelly'!C102)))&gt;0)</f>
        <v>0</v>
      </c>
      <c r="W102" s="14" cm="1">
        <f t="array" ref="W102">INT(SUMPRODUCT(--ISNUMBER(SEARCH(trump,'Mark Kelly'!C102)))&gt;0)</f>
        <v>0</v>
      </c>
      <c r="X102" s="14" cm="1">
        <f t="array" ref="X102">INT(SUMPRODUCT(--ISNUMBER(SEARCH(voting,'Mark Kelly'!C102)))&gt;0)</f>
        <v>0</v>
      </c>
      <c r="Y102" s="14" cm="1">
        <f t="array" ref="Y102">INT(SUMPRODUCT(--ISNUMBER(SEARCH(democrattrigger,'Mark Kelly'!C102)))&gt;0)</f>
        <v>0</v>
      </c>
      <c r="Z102" s="14" cm="1">
        <f t="array" ref="Z102">INT(SUMPRODUCT(--ISNUMBER(SEARCH(bipartisan,'Mark Kelly'!C102)))&gt;0)</f>
        <v>0</v>
      </c>
      <c r="AA102" s="14">
        <f t="shared" si="1"/>
        <v>0</v>
      </c>
      <c r="AB102" s="14"/>
      <c r="AC102" s="30" t="s">
        <v>223</v>
      </c>
      <c r="AD102" s="37"/>
    </row>
    <row r="103" spans="1:30" x14ac:dyDescent="0.25">
      <c r="A103" s="36">
        <v>187</v>
      </c>
      <c r="B103" s="14" t="s">
        <v>406</v>
      </c>
      <c r="C103" s="31" t="s">
        <v>407</v>
      </c>
      <c r="D103" s="17">
        <v>44127</v>
      </c>
      <c r="E103" s="14" t="s">
        <v>30</v>
      </c>
      <c r="F103" s="14">
        <v>926</v>
      </c>
      <c r="G103" s="14">
        <v>318</v>
      </c>
      <c r="H103" s="14">
        <v>2</v>
      </c>
      <c r="I103" s="14">
        <v>1</v>
      </c>
      <c r="J103" s="14" t="s">
        <v>204</v>
      </c>
      <c r="K103" s="14" cm="1">
        <f t="array" ref="K103">INT(SUMPRODUCT(--ISNUMBER(SEARCH(economy,'Mark Kelly'!C103)))&gt;0)</f>
        <v>0</v>
      </c>
      <c r="L103" s="14" cm="1">
        <f t="array" ref="L103">INT(SUMPRODUCT(--ISNUMBER(SEARCH(healthcare,'Mark Kelly'!C103)))&gt;0)</f>
        <v>0</v>
      </c>
      <c r="M103" s="14" cm="1">
        <f t="array" ref="M103">INT(SUMPRODUCT(--ISNUMBER(SEARCH(supreme,'Mark Kelly'!C103)))&gt;0)</f>
        <v>0</v>
      </c>
      <c r="N103" s="14" cm="1">
        <f t="array" ref="N103">INT(SUMPRODUCT(--ISNUMBER(SEARCH(covid,'Mark Kelly'!C103)))&gt;0)</f>
        <v>0</v>
      </c>
      <c r="O103" s="14" cm="1">
        <f t="array" ref="O103">INT(SUMPRODUCT(--ISNUMBER(SEARCH(violent,'Mark Kelly'!C103)))&gt;0)</f>
        <v>0</v>
      </c>
      <c r="P103" s="14" cm="1">
        <f t="array" ref="P103">INT(SUMPRODUCT(--ISNUMBER(SEARCH(foreign,'Mark Kelly'!C103)))&gt;0)</f>
        <v>0</v>
      </c>
      <c r="Q103" s="14" cm="1">
        <f t="array" ref="Q103">INT(SUMPRODUCT(--ISNUMBER(SEARCH(gun,'Mark Kelly'!C103)))&gt;0)</f>
        <v>0</v>
      </c>
      <c r="R103" s="14" cm="1">
        <f t="array" ref="R103">INT(SUMPRODUCT(--ISNUMBER(SEARCH(race,'Mark Kelly'!C103)))&gt;0)</f>
        <v>0</v>
      </c>
      <c r="S103" s="14" cm="1">
        <f t="array" ref="S103">INT(SUMPRODUCT(--ISNUMBER(SEARCH(immigration,C103)))&gt;0)</f>
        <v>0</v>
      </c>
      <c r="T103" s="14" cm="1">
        <f t="array" ref="T103">INT(SUMPRODUCT(--ISNUMBER(SEARCH(econineq,C103)))&gt;0)</f>
        <v>0</v>
      </c>
      <c r="U103" s="14" cm="1">
        <f t="array" ref="U103">INT(SUMPRODUCT(--ISNUMBER(SEARCH(climate,'Mark Kelly'!C103)))&gt;0)</f>
        <v>0</v>
      </c>
      <c r="V103" s="14" cm="1">
        <f t="array" ref="V103">INT(SUMPRODUCT(--ISNUMBER(SEARCH(abortion,'Mark Kelly'!C103)))&gt;0)</f>
        <v>0</v>
      </c>
      <c r="W103" s="14" cm="1">
        <f t="array" ref="W103">INT(SUMPRODUCT(--ISNUMBER(SEARCH(trump,'Mark Kelly'!C103)))&gt;0)</f>
        <v>0</v>
      </c>
      <c r="X103" s="14" cm="1">
        <f t="array" ref="X103">INT(SUMPRODUCT(--ISNUMBER(SEARCH(voting,'Mark Kelly'!C103)))&gt;0)</f>
        <v>1</v>
      </c>
      <c r="Y103" s="14" cm="1">
        <f t="array" ref="Y103">INT(SUMPRODUCT(--ISNUMBER(SEARCH(democrattrigger,'Mark Kelly'!C103)))&gt;0)</f>
        <v>0</v>
      </c>
      <c r="Z103" s="14" cm="1">
        <f t="array" ref="Z103">INT(SUMPRODUCT(--ISNUMBER(SEARCH(bipartisan,'Mark Kelly'!C103)))&gt;0)</f>
        <v>0</v>
      </c>
      <c r="AA103" s="14">
        <f t="shared" si="1"/>
        <v>0</v>
      </c>
      <c r="AB103" s="14"/>
      <c r="AC103" s="30" t="s">
        <v>223</v>
      </c>
      <c r="AD103" s="37"/>
    </row>
    <row r="104" spans="1:30" x14ac:dyDescent="0.25">
      <c r="A104" s="36">
        <v>188</v>
      </c>
      <c r="B104" s="14" t="s">
        <v>408</v>
      </c>
      <c r="C104" s="31" t="s">
        <v>409</v>
      </c>
      <c r="D104" s="17">
        <v>44127</v>
      </c>
      <c r="E104" s="14" t="s">
        <v>70</v>
      </c>
      <c r="F104" s="14">
        <v>329</v>
      </c>
      <c r="G104" s="14">
        <v>86</v>
      </c>
      <c r="H104" s="14">
        <v>2</v>
      </c>
      <c r="I104" s="14">
        <v>1</v>
      </c>
      <c r="J104" s="14" t="s">
        <v>204</v>
      </c>
      <c r="K104" s="14" cm="1">
        <f t="array" ref="K104">INT(SUMPRODUCT(--ISNUMBER(SEARCH(economy,'Mark Kelly'!C104)))&gt;0)</f>
        <v>0</v>
      </c>
      <c r="L104" s="14" cm="1">
        <f t="array" ref="L104">INT(SUMPRODUCT(--ISNUMBER(SEARCH(healthcare,'Mark Kelly'!C104)))&gt;0)</f>
        <v>0</v>
      </c>
      <c r="M104" s="14" cm="1">
        <f t="array" ref="M104">INT(SUMPRODUCT(--ISNUMBER(SEARCH(supreme,'Mark Kelly'!C104)))&gt;0)</f>
        <v>0</v>
      </c>
      <c r="N104" s="14" cm="1">
        <f t="array" ref="N104">INT(SUMPRODUCT(--ISNUMBER(SEARCH(covid,'Mark Kelly'!C104)))&gt;0)</f>
        <v>0</v>
      </c>
      <c r="O104" s="14" cm="1">
        <f t="array" ref="O104">INT(SUMPRODUCT(--ISNUMBER(SEARCH(violent,'Mark Kelly'!C104)))&gt;0)</f>
        <v>0</v>
      </c>
      <c r="P104" s="14" cm="1">
        <f t="array" ref="P104">INT(SUMPRODUCT(--ISNUMBER(SEARCH(foreign,'Mark Kelly'!C104)))&gt;0)</f>
        <v>0</v>
      </c>
      <c r="Q104" s="14" cm="1">
        <f t="array" ref="Q104">INT(SUMPRODUCT(--ISNUMBER(SEARCH(gun,'Mark Kelly'!C104)))&gt;0)</f>
        <v>0</v>
      </c>
      <c r="R104" s="14" cm="1">
        <f t="array" ref="R104">INT(SUMPRODUCT(--ISNUMBER(SEARCH(race,'Mark Kelly'!C104)))&gt;0)</f>
        <v>0</v>
      </c>
      <c r="S104" s="14" cm="1">
        <f t="array" ref="S104">INT(SUMPRODUCT(--ISNUMBER(SEARCH(immigration,C104)))&gt;0)</f>
        <v>0</v>
      </c>
      <c r="T104" s="14" cm="1">
        <f t="array" ref="T104">INT(SUMPRODUCT(--ISNUMBER(SEARCH(econineq,C104)))&gt;0)</f>
        <v>0</v>
      </c>
      <c r="U104" s="14" cm="1">
        <f t="array" ref="U104">INT(SUMPRODUCT(--ISNUMBER(SEARCH(climate,'Mark Kelly'!C104)))&gt;0)</f>
        <v>0</v>
      </c>
      <c r="V104" s="14" cm="1">
        <f t="array" ref="V104">INT(SUMPRODUCT(--ISNUMBER(SEARCH(abortion,'Mark Kelly'!C104)))&gt;0)</f>
        <v>0</v>
      </c>
      <c r="W104" s="14" cm="1">
        <f t="array" ref="W104">INT(SUMPRODUCT(--ISNUMBER(SEARCH(trump,'Mark Kelly'!C104)))&gt;0)</f>
        <v>0</v>
      </c>
      <c r="X104" s="14" cm="1">
        <f t="array" ref="X104">INT(SUMPRODUCT(--ISNUMBER(SEARCH(voting,'Mark Kelly'!C104)))&gt;0)</f>
        <v>0</v>
      </c>
      <c r="Y104" s="14" cm="1">
        <f t="array" ref="Y104">INT(SUMPRODUCT(--ISNUMBER(SEARCH(democrattrigger,'Mark Kelly'!C104)))&gt;0)</f>
        <v>0</v>
      </c>
      <c r="Z104" s="14" cm="1">
        <f t="array" ref="Z104">INT(SUMPRODUCT(--ISNUMBER(SEARCH(bipartisan,'Mark Kelly'!C104)))&gt;0)</f>
        <v>1</v>
      </c>
      <c r="AA104" s="14">
        <f t="shared" si="1"/>
        <v>0</v>
      </c>
      <c r="AB104" s="14"/>
      <c r="AC104" s="30">
        <v>0</v>
      </c>
      <c r="AD104" s="37">
        <v>1</v>
      </c>
    </row>
    <row r="105" spans="1:30" x14ac:dyDescent="0.25">
      <c r="A105" s="36">
        <v>189</v>
      </c>
      <c r="B105" s="14" t="s">
        <v>410</v>
      </c>
      <c r="C105" s="31" t="s">
        <v>411</v>
      </c>
      <c r="D105" s="17">
        <v>44127</v>
      </c>
      <c r="E105" s="14" t="s">
        <v>30</v>
      </c>
      <c r="F105" s="14">
        <v>2265</v>
      </c>
      <c r="G105" s="14">
        <v>459</v>
      </c>
      <c r="H105" s="14">
        <v>2</v>
      </c>
      <c r="I105" s="14">
        <v>1</v>
      </c>
      <c r="J105" s="14" t="s">
        <v>204</v>
      </c>
      <c r="K105" s="14" cm="1">
        <f t="array" ref="K105">INT(SUMPRODUCT(--ISNUMBER(SEARCH(economy,'Mark Kelly'!C105)))&gt;0)</f>
        <v>0</v>
      </c>
      <c r="L105" s="14" cm="1">
        <f t="array" ref="L105">INT(SUMPRODUCT(--ISNUMBER(SEARCH(healthcare,'Mark Kelly'!C105)))&gt;0)</f>
        <v>0</v>
      </c>
      <c r="M105" s="14" cm="1">
        <f t="array" ref="M105">INT(SUMPRODUCT(--ISNUMBER(SEARCH(supreme,'Mark Kelly'!C105)))&gt;0)</f>
        <v>0</v>
      </c>
      <c r="N105" s="14" cm="1">
        <f t="array" ref="N105">INT(SUMPRODUCT(--ISNUMBER(SEARCH(covid,'Mark Kelly'!C105)))&gt;0)</f>
        <v>0</v>
      </c>
      <c r="O105" s="14" cm="1">
        <f t="array" ref="O105">INT(SUMPRODUCT(--ISNUMBER(SEARCH(violent,'Mark Kelly'!C105)))&gt;0)</f>
        <v>0</v>
      </c>
      <c r="P105" s="14" cm="1">
        <f t="array" ref="P105">INT(SUMPRODUCT(--ISNUMBER(SEARCH(foreign,'Mark Kelly'!C105)))&gt;0)</f>
        <v>0</v>
      </c>
      <c r="Q105" s="14" cm="1">
        <f t="array" ref="Q105">INT(SUMPRODUCT(--ISNUMBER(SEARCH(gun,'Mark Kelly'!C105)))&gt;0)</f>
        <v>0</v>
      </c>
      <c r="R105" s="14" cm="1">
        <f t="array" ref="R105">INT(SUMPRODUCT(--ISNUMBER(SEARCH(race,'Mark Kelly'!C105)))&gt;0)</f>
        <v>0</v>
      </c>
      <c r="S105" s="14" cm="1">
        <f t="array" ref="S105">INT(SUMPRODUCT(--ISNUMBER(SEARCH(immigration,C105)))&gt;0)</f>
        <v>0</v>
      </c>
      <c r="T105" s="14" cm="1">
        <f t="array" ref="T105">INT(SUMPRODUCT(--ISNUMBER(SEARCH(econineq,C105)))&gt;0)</f>
        <v>0</v>
      </c>
      <c r="U105" s="14" cm="1">
        <f t="array" ref="U105">INT(SUMPRODUCT(--ISNUMBER(SEARCH(climate,'Mark Kelly'!C105)))&gt;0)</f>
        <v>0</v>
      </c>
      <c r="V105" s="14" cm="1">
        <f t="array" ref="V105">INT(SUMPRODUCT(--ISNUMBER(SEARCH(abortion,'Mark Kelly'!C105)))&gt;0)</f>
        <v>0</v>
      </c>
      <c r="W105" s="14" cm="1">
        <f t="array" ref="W105">INT(SUMPRODUCT(--ISNUMBER(SEARCH(trump,'Mark Kelly'!C105)))&gt;0)</f>
        <v>0</v>
      </c>
      <c r="X105" s="14" cm="1">
        <f t="array" ref="X105">INT(SUMPRODUCT(--ISNUMBER(SEARCH(voting,'Mark Kelly'!C105)))&gt;0)</f>
        <v>0</v>
      </c>
      <c r="Y105" s="14" cm="1">
        <f t="array" ref="Y105">INT(SUMPRODUCT(--ISNUMBER(SEARCH(democrattrigger,'Mark Kelly'!C105)))&gt;0)</f>
        <v>1</v>
      </c>
      <c r="Z105" s="14" cm="1">
        <f t="array" ref="Z105">INT(SUMPRODUCT(--ISNUMBER(SEARCH(bipartisan,'Mark Kelly'!C105)))&gt;0)</f>
        <v>1</v>
      </c>
      <c r="AA105" s="14">
        <f t="shared" si="1"/>
        <v>0</v>
      </c>
      <c r="AB105" s="14"/>
      <c r="AC105" s="30" t="s">
        <v>223</v>
      </c>
      <c r="AD105" s="37"/>
    </row>
    <row r="106" spans="1:30" x14ac:dyDescent="0.25">
      <c r="A106" s="36">
        <v>190</v>
      </c>
      <c r="B106" s="14" t="s">
        <v>412</v>
      </c>
      <c r="C106" s="31" t="s">
        <v>413</v>
      </c>
      <c r="D106" s="17">
        <v>44127</v>
      </c>
      <c r="E106" s="14" t="s">
        <v>30</v>
      </c>
      <c r="F106" s="14">
        <v>12236</v>
      </c>
      <c r="G106" s="14">
        <v>2714</v>
      </c>
      <c r="H106" s="14">
        <v>2</v>
      </c>
      <c r="I106" s="14">
        <v>1</v>
      </c>
      <c r="J106" s="14" t="s">
        <v>204</v>
      </c>
      <c r="K106" s="14" cm="1">
        <f t="array" ref="K106">INT(SUMPRODUCT(--ISNUMBER(SEARCH(economy,'Mark Kelly'!C106)))&gt;0)</f>
        <v>1</v>
      </c>
      <c r="L106" s="14" cm="1">
        <f t="array" ref="L106">INT(SUMPRODUCT(--ISNUMBER(SEARCH(healthcare,'Mark Kelly'!C106)))&gt;0)</f>
        <v>0</v>
      </c>
      <c r="M106" s="14" cm="1">
        <f t="array" ref="M106">INT(SUMPRODUCT(--ISNUMBER(SEARCH(supreme,'Mark Kelly'!C106)))&gt;0)</f>
        <v>0</v>
      </c>
      <c r="N106" s="14" cm="1">
        <f t="array" ref="N106">INT(SUMPRODUCT(--ISNUMBER(SEARCH(covid,'Mark Kelly'!C106)))&gt;0)</f>
        <v>0</v>
      </c>
      <c r="O106" s="14" cm="1">
        <f t="array" ref="O106">INT(SUMPRODUCT(--ISNUMBER(SEARCH(violent,'Mark Kelly'!C106)))&gt;0)</f>
        <v>0</v>
      </c>
      <c r="P106" s="14" cm="1">
        <f t="array" ref="P106">INT(SUMPRODUCT(--ISNUMBER(SEARCH(foreign,'Mark Kelly'!C106)))&gt;0)</f>
        <v>0</v>
      </c>
      <c r="Q106" s="14" cm="1">
        <f t="array" ref="Q106">INT(SUMPRODUCT(--ISNUMBER(SEARCH(gun,'Mark Kelly'!C106)))&gt;0)</f>
        <v>0</v>
      </c>
      <c r="R106" s="14" cm="1">
        <f t="array" ref="R106">INT(SUMPRODUCT(--ISNUMBER(SEARCH(race,'Mark Kelly'!C106)))&gt;0)</f>
        <v>0</v>
      </c>
      <c r="S106" s="14" cm="1">
        <f t="array" ref="S106">INT(SUMPRODUCT(--ISNUMBER(SEARCH(immigration,C106)))&gt;0)</f>
        <v>0</v>
      </c>
      <c r="T106" s="14" cm="1">
        <f t="array" ref="T106">INT(SUMPRODUCT(--ISNUMBER(SEARCH(econineq,C106)))&gt;0)</f>
        <v>0</v>
      </c>
      <c r="U106" s="14" cm="1">
        <f t="array" ref="U106">INT(SUMPRODUCT(--ISNUMBER(SEARCH(climate,'Mark Kelly'!C106)))&gt;0)</f>
        <v>1</v>
      </c>
      <c r="V106" s="14" cm="1">
        <f t="array" ref="V106">INT(SUMPRODUCT(--ISNUMBER(SEARCH(abortion,'Mark Kelly'!C106)))&gt;0)</f>
        <v>0</v>
      </c>
      <c r="W106" s="14" cm="1">
        <f t="array" ref="W106">INT(SUMPRODUCT(--ISNUMBER(SEARCH(trump,'Mark Kelly'!C106)))&gt;0)</f>
        <v>0</v>
      </c>
      <c r="X106" s="14" cm="1">
        <f t="array" ref="X106">INT(SUMPRODUCT(--ISNUMBER(SEARCH(voting,'Mark Kelly'!C106)))&gt;0)</f>
        <v>0</v>
      </c>
      <c r="Y106" s="14" cm="1">
        <f t="array" ref="Y106">INT(SUMPRODUCT(--ISNUMBER(SEARCH(democrattrigger,'Mark Kelly'!C106)))&gt;0)</f>
        <v>0</v>
      </c>
      <c r="Z106" s="14" cm="1">
        <f t="array" ref="Z106">INT(SUMPRODUCT(--ISNUMBER(SEARCH(bipartisan,'Mark Kelly'!C106)))&gt;0)</f>
        <v>0</v>
      </c>
      <c r="AA106" s="14">
        <f t="shared" si="1"/>
        <v>0</v>
      </c>
      <c r="AB106" s="14"/>
      <c r="AC106" s="30" t="s">
        <v>223</v>
      </c>
      <c r="AD106" s="37"/>
    </row>
    <row r="107" spans="1:30" x14ac:dyDescent="0.25">
      <c r="A107" s="36">
        <v>191</v>
      </c>
      <c r="B107" s="14" t="s">
        <v>414</v>
      </c>
      <c r="C107" s="31" t="s">
        <v>415</v>
      </c>
      <c r="D107" s="17">
        <v>44127</v>
      </c>
      <c r="E107" s="14" t="s">
        <v>30</v>
      </c>
      <c r="F107" s="14">
        <v>830</v>
      </c>
      <c r="G107" s="14">
        <v>132</v>
      </c>
      <c r="H107" s="14">
        <v>2</v>
      </c>
      <c r="I107" s="14">
        <v>1</v>
      </c>
      <c r="J107" s="14" t="s">
        <v>204</v>
      </c>
      <c r="K107" s="14" cm="1">
        <f t="array" ref="K107">INT(SUMPRODUCT(--ISNUMBER(SEARCH(economy,'Mark Kelly'!C107)))&gt;0)</f>
        <v>1</v>
      </c>
      <c r="L107" s="14" cm="1">
        <f t="array" ref="L107">INT(SUMPRODUCT(--ISNUMBER(SEARCH(healthcare,'Mark Kelly'!C107)))&gt;0)</f>
        <v>1</v>
      </c>
      <c r="M107" s="14" cm="1">
        <f t="array" ref="M107">INT(SUMPRODUCT(--ISNUMBER(SEARCH(supreme,'Mark Kelly'!C107)))&gt;0)</f>
        <v>0</v>
      </c>
      <c r="N107" s="14" cm="1">
        <f t="array" ref="N107">INT(SUMPRODUCT(--ISNUMBER(SEARCH(covid,'Mark Kelly'!C107)))&gt;0)</f>
        <v>0</v>
      </c>
      <c r="O107" s="14" cm="1">
        <f t="array" ref="O107">INT(SUMPRODUCT(--ISNUMBER(SEARCH(violent,'Mark Kelly'!C107)))&gt;0)</f>
        <v>0</v>
      </c>
      <c r="P107" s="14" cm="1">
        <f t="array" ref="P107">INT(SUMPRODUCT(--ISNUMBER(SEARCH(foreign,'Mark Kelly'!C107)))&gt;0)</f>
        <v>0</v>
      </c>
      <c r="Q107" s="14" cm="1">
        <f t="array" ref="Q107">INT(SUMPRODUCT(--ISNUMBER(SEARCH(gun,'Mark Kelly'!C107)))&gt;0)</f>
        <v>0</v>
      </c>
      <c r="R107" s="14" cm="1">
        <f t="array" ref="R107">INT(SUMPRODUCT(--ISNUMBER(SEARCH(race,'Mark Kelly'!C107)))&gt;0)</f>
        <v>0</v>
      </c>
      <c r="S107" s="14" cm="1">
        <f t="array" ref="S107">INT(SUMPRODUCT(--ISNUMBER(SEARCH(immigration,C107)))&gt;0)</f>
        <v>0</v>
      </c>
      <c r="T107" s="14" cm="1">
        <f t="array" ref="T107">INT(SUMPRODUCT(--ISNUMBER(SEARCH(econineq,C107)))&gt;0)</f>
        <v>0</v>
      </c>
      <c r="U107" s="14" cm="1">
        <f t="array" ref="U107">INT(SUMPRODUCT(--ISNUMBER(SEARCH(climate,'Mark Kelly'!C107)))&gt;0)</f>
        <v>0</v>
      </c>
      <c r="V107" s="14" cm="1">
        <f t="array" ref="V107">INT(SUMPRODUCT(--ISNUMBER(SEARCH(abortion,'Mark Kelly'!C107)))&gt;0)</f>
        <v>0</v>
      </c>
      <c r="W107" s="14" cm="1">
        <f t="array" ref="W107">INT(SUMPRODUCT(--ISNUMBER(SEARCH(trump,'Mark Kelly'!C107)))&gt;0)</f>
        <v>0</v>
      </c>
      <c r="X107" s="14" cm="1">
        <f t="array" ref="X107">INT(SUMPRODUCT(--ISNUMBER(SEARCH(voting,'Mark Kelly'!C107)))&gt;0)</f>
        <v>0</v>
      </c>
      <c r="Y107" s="14" cm="1">
        <f t="array" ref="Y107">INT(SUMPRODUCT(--ISNUMBER(SEARCH(democrattrigger,'Mark Kelly'!C107)))&gt;0)</f>
        <v>0</v>
      </c>
      <c r="Z107" s="14" cm="1">
        <f t="array" ref="Z107">INT(SUMPRODUCT(--ISNUMBER(SEARCH(bipartisan,'Mark Kelly'!C107)))&gt;0)</f>
        <v>0</v>
      </c>
      <c r="AA107" s="14">
        <f t="shared" si="1"/>
        <v>0</v>
      </c>
      <c r="AB107" s="14"/>
      <c r="AC107" s="30">
        <v>1</v>
      </c>
      <c r="AD107" s="37"/>
    </row>
    <row r="108" spans="1:30" x14ac:dyDescent="0.25">
      <c r="A108" s="36">
        <v>192</v>
      </c>
      <c r="B108" s="14" t="s">
        <v>416</v>
      </c>
      <c r="C108" s="31" t="s">
        <v>417</v>
      </c>
      <c r="D108" s="17">
        <v>44126</v>
      </c>
      <c r="E108" s="14" t="s">
        <v>70</v>
      </c>
      <c r="F108" s="14">
        <v>251</v>
      </c>
      <c r="G108" s="14">
        <v>75</v>
      </c>
      <c r="H108" s="14">
        <v>2</v>
      </c>
      <c r="I108" s="14">
        <v>1</v>
      </c>
      <c r="J108" s="14" t="s">
        <v>204</v>
      </c>
      <c r="K108" s="14" cm="1">
        <f t="array" ref="K108">INT(SUMPRODUCT(--ISNUMBER(SEARCH(economy,'Mark Kelly'!C108)))&gt;0)</f>
        <v>1</v>
      </c>
      <c r="L108" s="14" cm="1">
        <f t="array" ref="L108">INT(SUMPRODUCT(--ISNUMBER(SEARCH(healthcare,'Mark Kelly'!C108)))&gt;0)</f>
        <v>1</v>
      </c>
      <c r="M108" s="14" cm="1">
        <f t="array" ref="M108">INT(SUMPRODUCT(--ISNUMBER(SEARCH(supreme,'Mark Kelly'!C108)))&gt;0)</f>
        <v>0</v>
      </c>
      <c r="N108" s="14" cm="1">
        <f t="array" ref="N108">INT(SUMPRODUCT(--ISNUMBER(SEARCH(covid,'Mark Kelly'!C108)))&gt;0)</f>
        <v>0</v>
      </c>
      <c r="O108" s="14" cm="1">
        <f t="array" ref="O108">INT(SUMPRODUCT(--ISNUMBER(SEARCH(violent,'Mark Kelly'!C108)))&gt;0)</f>
        <v>0</v>
      </c>
      <c r="P108" s="14" cm="1">
        <f t="array" ref="P108">INT(SUMPRODUCT(--ISNUMBER(SEARCH(foreign,'Mark Kelly'!C108)))&gt;0)</f>
        <v>0</v>
      </c>
      <c r="Q108" s="14" cm="1">
        <f t="array" ref="Q108">INT(SUMPRODUCT(--ISNUMBER(SEARCH(gun,'Mark Kelly'!C108)))&gt;0)</f>
        <v>0</v>
      </c>
      <c r="R108" s="14" cm="1">
        <f t="array" ref="R108">INT(SUMPRODUCT(--ISNUMBER(SEARCH(race,'Mark Kelly'!C108)))&gt;0)</f>
        <v>0</v>
      </c>
      <c r="S108" s="14" cm="1">
        <f t="array" ref="S108">INT(SUMPRODUCT(--ISNUMBER(SEARCH(immigration,C108)))&gt;0)</f>
        <v>0</v>
      </c>
      <c r="T108" s="14" cm="1">
        <f t="array" ref="T108">INT(SUMPRODUCT(--ISNUMBER(SEARCH(econineq,C108)))&gt;0)</f>
        <v>0</v>
      </c>
      <c r="U108" s="14" cm="1">
        <f t="array" ref="U108">INT(SUMPRODUCT(--ISNUMBER(SEARCH(climate,'Mark Kelly'!C108)))&gt;0)</f>
        <v>0</v>
      </c>
      <c r="V108" s="14" cm="1">
        <f t="array" ref="V108">INT(SUMPRODUCT(--ISNUMBER(SEARCH(abortion,'Mark Kelly'!C108)))&gt;0)</f>
        <v>0</v>
      </c>
      <c r="W108" s="14" cm="1">
        <f t="array" ref="W108">INT(SUMPRODUCT(--ISNUMBER(SEARCH(trump,'Mark Kelly'!C108)))&gt;0)</f>
        <v>0</v>
      </c>
      <c r="X108" s="14" cm="1">
        <f t="array" ref="X108">INT(SUMPRODUCT(--ISNUMBER(SEARCH(voting,'Mark Kelly'!C108)))&gt;0)</f>
        <v>1</v>
      </c>
      <c r="Y108" s="14" cm="1">
        <f t="array" ref="Y108">INT(SUMPRODUCT(--ISNUMBER(SEARCH(democrattrigger,'Mark Kelly'!C108)))&gt;0)</f>
        <v>0</v>
      </c>
      <c r="Z108" s="14" cm="1">
        <f t="array" ref="Z108">INT(SUMPRODUCT(--ISNUMBER(SEARCH(bipartisan,'Mark Kelly'!C108)))&gt;0)</f>
        <v>0</v>
      </c>
      <c r="AA108" s="14">
        <f t="shared" si="1"/>
        <v>0</v>
      </c>
      <c r="AB108" s="14"/>
      <c r="AC108" s="30">
        <v>1</v>
      </c>
      <c r="AD108" s="37"/>
    </row>
    <row r="109" spans="1:30" x14ac:dyDescent="0.25">
      <c r="A109" s="36">
        <v>193</v>
      </c>
      <c r="B109" s="14" t="s">
        <v>418</v>
      </c>
      <c r="C109" s="31" t="s">
        <v>419</v>
      </c>
      <c r="D109" s="17">
        <v>44126</v>
      </c>
      <c r="E109" s="14" t="s">
        <v>70</v>
      </c>
      <c r="F109" s="14">
        <v>316</v>
      </c>
      <c r="G109" s="14">
        <v>66</v>
      </c>
      <c r="H109" s="14">
        <v>2</v>
      </c>
      <c r="I109" s="14">
        <v>1</v>
      </c>
      <c r="J109" s="14" t="s">
        <v>204</v>
      </c>
      <c r="K109" s="14" cm="1">
        <f t="array" ref="K109">INT(SUMPRODUCT(--ISNUMBER(SEARCH(economy,'Mark Kelly'!C109)))&gt;0)</f>
        <v>0</v>
      </c>
      <c r="L109" s="14" cm="1">
        <f t="array" ref="L109">INT(SUMPRODUCT(--ISNUMBER(SEARCH(healthcare,'Mark Kelly'!C109)))&gt;0)</f>
        <v>0</v>
      </c>
      <c r="M109" s="14" cm="1">
        <f t="array" ref="M109">INT(SUMPRODUCT(--ISNUMBER(SEARCH(supreme,'Mark Kelly'!C109)))&gt;0)</f>
        <v>0</v>
      </c>
      <c r="N109" s="14" cm="1">
        <f t="array" ref="N109">INT(SUMPRODUCT(--ISNUMBER(SEARCH(covid,'Mark Kelly'!C109)))&gt;0)</f>
        <v>0</v>
      </c>
      <c r="O109" s="14" cm="1">
        <f t="array" ref="O109">INT(SUMPRODUCT(--ISNUMBER(SEARCH(violent,'Mark Kelly'!C109)))&gt;0)</f>
        <v>0</v>
      </c>
      <c r="P109" s="14" cm="1">
        <f t="array" ref="P109">INT(SUMPRODUCT(--ISNUMBER(SEARCH(foreign,'Mark Kelly'!C109)))&gt;0)</f>
        <v>0</v>
      </c>
      <c r="Q109" s="14" cm="1">
        <f t="array" ref="Q109">INT(SUMPRODUCT(--ISNUMBER(SEARCH(gun,'Mark Kelly'!C109)))&gt;0)</f>
        <v>0</v>
      </c>
      <c r="R109" s="14" cm="1">
        <f t="array" ref="R109">INT(SUMPRODUCT(--ISNUMBER(SEARCH(race,'Mark Kelly'!C109)))&gt;0)</f>
        <v>0</v>
      </c>
      <c r="S109" s="14" cm="1">
        <f t="array" ref="S109">INT(SUMPRODUCT(--ISNUMBER(SEARCH(immigration,C109)))&gt;0)</f>
        <v>0</v>
      </c>
      <c r="T109" s="14" cm="1">
        <f t="array" ref="T109">INT(SUMPRODUCT(--ISNUMBER(SEARCH(econineq,C109)))&gt;0)</f>
        <v>0</v>
      </c>
      <c r="U109" s="14" cm="1">
        <f t="array" ref="U109">INT(SUMPRODUCT(--ISNUMBER(SEARCH(climate,'Mark Kelly'!C109)))&gt;0)</f>
        <v>0</v>
      </c>
      <c r="V109" s="14" cm="1">
        <f t="array" ref="V109">INT(SUMPRODUCT(--ISNUMBER(SEARCH(abortion,'Mark Kelly'!C109)))&gt;0)</f>
        <v>0</v>
      </c>
      <c r="W109" s="14" cm="1">
        <f t="array" ref="W109">INT(SUMPRODUCT(--ISNUMBER(SEARCH(trump,'Mark Kelly'!C109)))&gt;0)</f>
        <v>0</v>
      </c>
      <c r="X109" s="14" cm="1">
        <f t="array" ref="X109">INT(SUMPRODUCT(--ISNUMBER(SEARCH(voting,'Mark Kelly'!C109)))&gt;0)</f>
        <v>0</v>
      </c>
      <c r="Y109" s="14" cm="1">
        <f t="array" ref="Y109">INT(SUMPRODUCT(--ISNUMBER(SEARCH(democrattrigger,'Mark Kelly'!C109)))&gt;0)</f>
        <v>0</v>
      </c>
      <c r="Z109" s="14" cm="1">
        <f t="array" ref="Z109">INT(SUMPRODUCT(--ISNUMBER(SEARCH(bipartisan,'Mark Kelly'!C109)))&gt;0)</f>
        <v>0</v>
      </c>
      <c r="AA109" s="14">
        <f t="shared" si="1"/>
        <v>1</v>
      </c>
      <c r="AB109" s="14"/>
      <c r="AC109" s="30">
        <v>1</v>
      </c>
      <c r="AD109" s="37"/>
    </row>
    <row r="110" spans="1:30" x14ac:dyDescent="0.25">
      <c r="A110" s="36">
        <v>194</v>
      </c>
      <c r="B110" s="14" t="s">
        <v>420</v>
      </c>
      <c r="C110" s="31" t="s">
        <v>421</v>
      </c>
      <c r="D110" s="17">
        <v>44126</v>
      </c>
      <c r="E110" s="14" t="s">
        <v>70</v>
      </c>
      <c r="F110" s="14">
        <v>196</v>
      </c>
      <c r="G110" s="14">
        <v>45</v>
      </c>
      <c r="H110" s="14">
        <v>2</v>
      </c>
      <c r="I110" s="14">
        <v>1</v>
      </c>
      <c r="J110" s="14" t="s">
        <v>204</v>
      </c>
      <c r="K110" s="14" cm="1">
        <f t="array" ref="K110">INT(SUMPRODUCT(--ISNUMBER(SEARCH(economy,'Mark Kelly'!C110)))&gt;0)</f>
        <v>0</v>
      </c>
      <c r="L110" s="14" cm="1">
        <f t="array" ref="L110">INT(SUMPRODUCT(--ISNUMBER(SEARCH(healthcare,'Mark Kelly'!C110)))&gt;0)</f>
        <v>1</v>
      </c>
      <c r="M110" s="14" cm="1">
        <f t="array" ref="M110">INT(SUMPRODUCT(--ISNUMBER(SEARCH(supreme,'Mark Kelly'!C110)))&gt;0)</f>
        <v>0</v>
      </c>
      <c r="N110" s="14" cm="1">
        <f t="array" ref="N110">INT(SUMPRODUCT(--ISNUMBER(SEARCH(covid,'Mark Kelly'!C110)))&gt;0)</f>
        <v>0</v>
      </c>
      <c r="O110" s="14" cm="1">
        <f t="array" ref="O110">INT(SUMPRODUCT(--ISNUMBER(SEARCH(violent,'Mark Kelly'!C110)))&gt;0)</f>
        <v>0</v>
      </c>
      <c r="P110" s="14" cm="1">
        <f t="array" ref="P110">INT(SUMPRODUCT(--ISNUMBER(SEARCH(foreign,'Mark Kelly'!C110)))&gt;0)</f>
        <v>0</v>
      </c>
      <c r="Q110" s="14" cm="1">
        <f t="array" ref="Q110">INT(SUMPRODUCT(--ISNUMBER(SEARCH(gun,'Mark Kelly'!C110)))&gt;0)</f>
        <v>0</v>
      </c>
      <c r="R110" s="14" cm="1">
        <f t="array" ref="R110">INT(SUMPRODUCT(--ISNUMBER(SEARCH(race,'Mark Kelly'!C110)))&gt;0)</f>
        <v>0</v>
      </c>
      <c r="S110" s="14" cm="1">
        <f t="array" ref="S110">INT(SUMPRODUCT(--ISNUMBER(SEARCH(immigration,C110)))&gt;0)</f>
        <v>0</v>
      </c>
      <c r="T110" s="14" cm="1">
        <f t="array" ref="T110">INT(SUMPRODUCT(--ISNUMBER(SEARCH(econineq,C110)))&gt;0)</f>
        <v>0</v>
      </c>
      <c r="U110" s="14" cm="1">
        <f t="array" ref="U110">INT(SUMPRODUCT(--ISNUMBER(SEARCH(climate,'Mark Kelly'!C110)))&gt;0)</f>
        <v>0</v>
      </c>
      <c r="V110" s="14" cm="1">
        <f t="array" ref="V110">INT(SUMPRODUCT(--ISNUMBER(SEARCH(abortion,'Mark Kelly'!C110)))&gt;0)</f>
        <v>0</v>
      </c>
      <c r="W110" s="14" cm="1">
        <f t="array" ref="W110">INT(SUMPRODUCT(--ISNUMBER(SEARCH(trump,'Mark Kelly'!C110)))&gt;0)</f>
        <v>0</v>
      </c>
      <c r="X110" s="14" cm="1">
        <f t="array" ref="X110">INT(SUMPRODUCT(--ISNUMBER(SEARCH(voting,'Mark Kelly'!C110)))&gt;0)</f>
        <v>0</v>
      </c>
      <c r="Y110" s="14" cm="1">
        <f t="array" ref="Y110">INT(SUMPRODUCT(--ISNUMBER(SEARCH(democrattrigger,'Mark Kelly'!C110)))&gt;0)</f>
        <v>0</v>
      </c>
      <c r="Z110" s="14" cm="1">
        <f t="array" ref="Z110">INT(SUMPRODUCT(--ISNUMBER(SEARCH(bipartisan,'Mark Kelly'!C110)))&gt;0)</f>
        <v>0</v>
      </c>
      <c r="AA110" s="14">
        <f t="shared" si="1"/>
        <v>0</v>
      </c>
      <c r="AB110" s="14"/>
      <c r="AC110" s="30">
        <v>0</v>
      </c>
      <c r="AD110" s="37">
        <v>1</v>
      </c>
    </row>
    <row r="111" spans="1:30" x14ac:dyDescent="0.25">
      <c r="A111" s="36">
        <v>195</v>
      </c>
      <c r="B111" s="14" t="s">
        <v>422</v>
      </c>
      <c r="C111" s="31" t="s">
        <v>423</v>
      </c>
      <c r="D111" s="17">
        <v>44126</v>
      </c>
      <c r="E111" s="14" t="s">
        <v>70</v>
      </c>
      <c r="F111" s="14">
        <v>620</v>
      </c>
      <c r="G111" s="14">
        <v>118</v>
      </c>
      <c r="H111" s="14">
        <v>2</v>
      </c>
      <c r="I111" s="14">
        <v>1</v>
      </c>
      <c r="J111" s="14" t="s">
        <v>204</v>
      </c>
      <c r="K111" s="14" cm="1">
        <f t="array" ref="K111">INT(SUMPRODUCT(--ISNUMBER(SEARCH(economy,'Mark Kelly'!C111)))&gt;0)</f>
        <v>0</v>
      </c>
      <c r="L111" s="14" cm="1">
        <f t="array" ref="L111">INT(SUMPRODUCT(--ISNUMBER(SEARCH(healthcare,'Mark Kelly'!C111)))&gt;0)</f>
        <v>1</v>
      </c>
      <c r="M111" s="14" cm="1">
        <f t="array" ref="M111">INT(SUMPRODUCT(--ISNUMBER(SEARCH(supreme,'Mark Kelly'!C111)))&gt;0)</f>
        <v>0</v>
      </c>
      <c r="N111" s="14" cm="1">
        <f t="array" ref="N111">INT(SUMPRODUCT(--ISNUMBER(SEARCH(covid,'Mark Kelly'!C111)))&gt;0)</f>
        <v>0</v>
      </c>
      <c r="O111" s="14" cm="1">
        <f t="array" ref="O111">INT(SUMPRODUCT(--ISNUMBER(SEARCH(violent,'Mark Kelly'!C111)))&gt;0)</f>
        <v>0</v>
      </c>
      <c r="P111" s="14" cm="1">
        <f t="array" ref="P111">INT(SUMPRODUCT(--ISNUMBER(SEARCH(foreign,'Mark Kelly'!C111)))&gt;0)</f>
        <v>0</v>
      </c>
      <c r="Q111" s="14" cm="1">
        <f t="array" ref="Q111">INT(SUMPRODUCT(--ISNUMBER(SEARCH(gun,'Mark Kelly'!C111)))&gt;0)</f>
        <v>0</v>
      </c>
      <c r="R111" s="14" cm="1">
        <f t="array" ref="R111">INT(SUMPRODUCT(--ISNUMBER(SEARCH(race,'Mark Kelly'!C111)))&gt;0)</f>
        <v>0</v>
      </c>
      <c r="S111" s="14" cm="1">
        <f t="array" ref="S111">INT(SUMPRODUCT(--ISNUMBER(SEARCH(immigration,C111)))&gt;0)</f>
        <v>0</v>
      </c>
      <c r="T111" s="14" cm="1">
        <f t="array" ref="T111">INT(SUMPRODUCT(--ISNUMBER(SEARCH(econineq,C111)))&gt;0)</f>
        <v>0</v>
      </c>
      <c r="U111" s="14" cm="1">
        <f t="array" ref="U111">INT(SUMPRODUCT(--ISNUMBER(SEARCH(climate,'Mark Kelly'!C111)))&gt;0)</f>
        <v>0</v>
      </c>
      <c r="V111" s="14" cm="1">
        <f t="array" ref="V111">INT(SUMPRODUCT(--ISNUMBER(SEARCH(abortion,'Mark Kelly'!C111)))&gt;0)</f>
        <v>0</v>
      </c>
      <c r="W111" s="14" cm="1">
        <f t="array" ref="W111">INT(SUMPRODUCT(--ISNUMBER(SEARCH(trump,'Mark Kelly'!C111)))&gt;0)</f>
        <v>0</v>
      </c>
      <c r="X111" s="14" cm="1">
        <f t="array" ref="X111">INT(SUMPRODUCT(--ISNUMBER(SEARCH(voting,'Mark Kelly'!C111)))&gt;0)</f>
        <v>0</v>
      </c>
      <c r="Y111" s="14" cm="1">
        <f t="array" ref="Y111">INT(SUMPRODUCT(--ISNUMBER(SEARCH(democrattrigger,'Mark Kelly'!C111)))&gt;0)</f>
        <v>0</v>
      </c>
      <c r="Z111" s="14" cm="1">
        <f t="array" ref="Z111">INT(SUMPRODUCT(--ISNUMBER(SEARCH(bipartisan,'Mark Kelly'!C111)))&gt;0)</f>
        <v>0</v>
      </c>
      <c r="AA111" s="14">
        <f t="shared" si="1"/>
        <v>0</v>
      </c>
      <c r="AB111" s="14"/>
      <c r="AC111" s="30" t="s">
        <v>223</v>
      </c>
      <c r="AD111" s="37"/>
    </row>
    <row r="112" spans="1:30" x14ac:dyDescent="0.25">
      <c r="A112" s="36">
        <v>196</v>
      </c>
      <c r="B112" s="14" t="s">
        <v>424</v>
      </c>
      <c r="C112" s="31" t="s">
        <v>425</v>
      </c>
      <c r="D112" s="17">
        <v>44126</v>
      </c>
      <c r="E112" s="14" t="s">
        <v>70</v>
      </c>
      <c r="F112" s="14">
        <v>234</v>
      </c>
      <c r="G112" s="14">
        <v>48</v>
      </c>
      <c r="H112" s="14">
        <v>2</v>
      </c>
      <c r="I112" s="14">
        <v>1</v>
      </c>
      <c r="J112" s="14" t="s">
        <v>204</v>
      </c>
      <c r="K112" s="14" cm="1">
        <f t="array" ref="K112">INT(SUMPRODUCT(--ISNUMBER(SEARCH(economy,'Mark Kelly'!C112)))&gt;0)</f>
        <v>1</v>
      </c>
      <c r="L112" s="14" cm="1">
        <f t="array" ref="L112">INT(SUMPRODUCT(--ISNUMBER(SEARCH(healthcare,'Mark Kelly'!C112)))&gt;0)</f>
        <v>0</v>
      </c>
      <c r="M112" s="14" cm="1">
        <f t="array" ref="M112">INT(SUMPRODUCT(--ISNUMBER(SEARCH(supreme,'Mark Kelly'!C112)))&gt;0)</f>
        <v>0</v>
      </c>
      <c r="N112" s="14" cm="1">
        <f t="array" ref="N112">INT(SUMPRODUCT(--ISNUMBER(SEARCH(covid,'Mark Kelly'!C112)))&gt;0)</f>
        <v>1</v>
      </c>
      <c r="O112" s="14" cm="1">
        <f t="array" ref="O112">INT(SUMPRODUCT(--ISNUMBER(SEARCH(violent,'Mark Kelly'!C112)))&gt;0)</f>
        <v>0</v>
      </c>
      <c r="P112" s="14" cm="1">
        <f t="array" ref="P112">INT(SUMPRODUCT(--ISNUMBER(SEARCH(foreign,'Mark Kelly'!C112)))&gt;0)</f>
        <v>0</v>
      </c>
      <c r="Q112" s="14" cm="1">
        <f t="array" ref="Q112">INT(SUMPRODUCT(--ISNUMBER(SEARCH(gun,'Mark Kelly'!C112)))&gt;0)</f>
        <v>0</v>
      </c>
      <c r="R112" s="14" cm="1">
        <f t="array" ref="R112">INT(SUMPRODUCT(--ISNUMBER(SEARCH(race,'Mark Kelly'!C112)))&gt;0)</f>
        <v>0</v>
      </c>
      <c r="S112" s="14" cm="1">
        <f t="array" ref="S112">INT(SUMPRODUCT(--ISNUMBER(SEARCH(immigration,C112)))&gt;0)</f>
        <v>0</v>
      </c>
      <c r="T112" s="14" cm="1">
        <f t="array" ref="T112">INT(SUMPRODUCT(--ISNUMBER(SEARCH(econineq,C112)))&gt;0)</f>
        <v>0</v>
      </c>
      <c r="U112" s="14" cm="1">
        <f t="array" ref="U112">INT(SUMPRODUCT(--ISNUMBER(SEARCH(climate,'Mark Kelly'!C112)))&gt;0)</f>
        <v>0</v>
      </c>
      <c r="V112" s="14" cm="1">
        <f t="array" ref="V112">INT(SUMPRODUCT(--ISNUMBER(SEARCH(abortion,'Mark Kelly'!C112)))&gt;0)</f>
        <v>0</v>
      </c>
      <c r="W112" s="14" cm="1">
        <f t="array" ref="W112">INT(SUMPRODUCT(--ISNUMBER(SEARCH(trump,'Mark Kelly'!C112)))&gt;0)</f>
        <v>0</v>
      </c>
      <c r="X112" s="14" cm="1">
        <f t="array" ref="X112">INT(SUMPRODUCT(--ISNUMBER(SEARCH(voting,'Mark Kelly'!C112)))&gt;0)</f>
        <v>0</v>
      </c>
      <c r="Y112" s="14" cm="1">
        <f t="array" ref="Y112">INT(SUMPRODUCT(--ISNUMBER(SEARCH(democrattrigger,'Mark Kelly'!C112)))&gt;0)</f>
        <v>0</v>
      </c>
      <c r="Z112" s="14" cm="1">
        <f t="array" ref="Z112">INT(SUMPRODUCT(--ISNUMBER(SEARCH(bipartisan,'Mark Kelly'!C112)))&gt;0)</f>
        <v>0</v>
      </c>
      <c r="AA112" s="14">
        <f t="shared" si="1"/>
        <v>0</v>
      </c>
      <c r="AB112" s="14"/>
      <c r="AC112" s="30" t="s">
        <v>223</v>
      </c>
      <c r="AD112" s="37"/>
    </row>
    <row r="113" spans="1:30" x14ac:dyDescent="0.25">
      <c r="A113" s="36">
        <v>197</v>
      </c>
      <c r="B113" s="14" t="s">
        <v>426</v>
      </c>
      <c r="C113" s="31" t="s">
        <v>427</v>
      </c>
      <c r="D113" s="17">
        <v>44126</v>
      </c>
      <c r="E113" s="14" t="s">
        <v>70</v>
      </c>
      <c r="F113" s="14">
        <v>328</v>
      </c>
      <c r="G113" s="14">
        <v>52</v>
      </c>
      <c r="H113" s="14">
        <v>2</v>
      </c>
      <c r="I113" s="14">
        <v>1</v>
      </c>
      <c r="J113" s="14" t="s">
        <v>204</v>
      </c>
      <c r="K113" s="14" cm="1">
        <f t="array" ref="K113">INT(SUMPRODUCT(--ISNUMBER(SEARCH(economy,'Mark Kelly'!C113)))&gt;0)</f>
        <v>1</v>
      </c>
      <c r="L113" s="14" cm="1">
        <f t="array" ref="L113">INT(SUMPRODUCT(--ISNUMBER(SEARCH(healthcare,'Mark Kelly'!C113)))&gt;0)</f>
        <v>0</v>
      </c>
      <c r="M113" s="14" cm="1">
        <f t="array" ref="M113">INT(SUMPRODUCT(--ISNUMBER(SEARCH(supreme,'Mark Kelly'!C113)))&gt;0)</f>
        <v>0</v>
      </c>
      <c r="N113" s="14" cm="1">
        <f t="array" ref="N113">INT(SUMPRODUCT(--ISNUMBER(SEARCH(covid,'Mark Kelly'!C113)))&gt;0)</f>
        <v>1</v>
      </c>
      <c r="O113" s="14" cm="1">
        <f t="array" ref="O113">INT(SUMPRODUCT(--ISNUMBER(SEARCH(violent,'Mark Kelly'!C113)))&gt;0)</f>
        <v>0</v>
      </c>
      <c r="P113" s="14" cm="1">
        <f t="array" ref="P113">INT(SUMPRODUCT(--ISNUMBER(SEARCH(foreign,'Mark Kelly'!C113)))&gt;0)</f>
        <v>0</v>
      </c>
      <c r="Q113" s="14" cm="1">
        <f t="array" ref="Q113">INT(SUMPRODUCT(--ISNUMBER(SEARCH(gun,'Mark Kelly'!C113)))&gt;0)</f>
        <v>0</v>
      </c>
      <c r="R113" s="14" cm="1">
        <f t="array" ref="R113">INT(SUMPRODUCT(--ISNUMBER(SEARCH(race,'Mark Kelly'!C113)))&gt;0)</f>
        <v>1</v>
      </c>
      <c r="S113" s="14" cm="1">
        <f t="array" ref="S113">INT(SUMPRODUCT(--ISNUMBER(SEARCH(immigration,C113)))&gt;0)</f>
        <v>1</v>
      </c>
      <c r="T113" s="14" cm="1">
        <f t="array" ref="T113">INT(SUMPRODUCT(--ISNUMBER(SEARCH(econineq,C113)))&gt;0)</f>
        <v>0</v>
      </c>
      <c r="U113" s="14" cm="1">
        <f t="array" ref="U113">INT(SUMPRODUCT(--ISNUMBER(SEARCH(climate,'Mark Kelly'!C113)))&gt;0)</f>
        <v>0</v>
      </c>
      <c r="V113" s="14" cm="1">
        <f t="array" ref="V113">INT(SUMPRODUCT(--ISNUMBER(SEARCH(abortion,'Mark Kelly'!C113)))&gt;0)</f>
        <v>0</v>
      </c>
      <c r="W113" s="14" cm="1">
        <f t="array" ref="W113">INT(SUMPRODUCT(--ISNUMBER(SEARCH(trump,'Mark Kelly'!C113)))&gt;0)</f>
        <v>0</v>
      </c>
      <c r="X113" s="14" cm="1">
        <f t="array" ref="X113">INT(SUMPRODUCT(--ISNUMBER(SEARCH(voting,'Mark Kelly'!C113)))&gt;0)</f>
        <v>0</v>
      </c>
      <c r="Y113" s="14" cm="1">
        <f t="array" ref="Y113">INT(SUMPRODUCT(--ISNUMBER(SEARCH(democrattrigger,'Mark Kelly'!C113)))&gt;0)</f>
        <v>0</v>
      </c>
      <c r="Z113" s="14" cm="1">
        <f t="array" ref="Z113">INT(SUMPRODUCT(--ISNUMBER(SEARCH(bipartisan,'Mark Kelly'!C113)))&gt;0)</f>
        <v>0</v>
      </c>
      <c r="AA113" s="14">
        <f t="shared" si="1"/>
        <v>0</v>
      </c>
      <c r="AB113" s="14"/>
      <c r="AC113" s="30" t="s">
        <v>223</v>
      </c>
      <c r="AD113" s="37"/>
    </row>
    <row r="114" spans="1:30" x14ac:dyDescent="0.25">
      <c r="A114" s="36">
        <v>198</v>
      </c>
      <c r="B114" s="14" t="s">
        <v>428</v>
      </c>
      <c r="C114" s="31" t="s">
        <v>429</v>
      </c>
      <c r="D114" s="17">
        <v>44126</v>
      </c>
      <c r="E114" s="14" t="s">
        <v>30</v>
      </c>
      <c r="F114" s="14">
        <v>1500</v>
      </c>
      <c r="G114" s="14">
        <v>233</v>
      </c>
      <c r="H114" s="14">
        <v>2</v>
      </c>
      <c r="I114" s="14">
        <v>1</v>
      </c>
      <c r="J114" s="14" t="s">
        <v>204</v>
      </c>
      <c r="K114" s="14" cm="1">
        <f t="array" ref="K114">INT(SUMPRODUCT(--ISNUMBER(SEARCH(economy,'Mark Kelly'!C114)))&gt;0)</f>
        <v>1</v>
      </c>
      <c r="L114" s="14" cm="1">
        <f t="array" ref="L114">INT(SUMPRODUCT(--ISNUMBER(SEARCH(healthcare,'Mark Kelly'!C114)))&gt;0)</f>
        <v>0</v>
      </c>
      <c r="M114" s="14" cm="1">
        <f t="array" ref="M114">INT(SUMPRODUCT(--ISNUMBER(SEARCH(supreme,'Mark Kelly'!C114)))&gt;0)</f>
        <v>0</v>
      </c>
      <c r="N114" s="14" cm="1">
        <f t="array" ref="N114">INT(SUMPRODUCT(--ISNUMBER(SEARCH(covid,'Mark Kelly'!C114)))&gt;0)</f>
        <v>0</v>
      </c>
      <c r="O114" s="14" cm="1">
        <f t="array" ref="O114">INT(SUMPRODUCT(--ISNUMBER(SEARCH(violent,'Mark Kelly'!C114)))&gt;0)</f>
        <v>0</v>
      </c>
      <c r="P114" s="14" cm="1">
        <f t="array" ref="P114">INT(SUMPRODUCT(--ISNUMBER(SEARCH(foreign,'Mark Kelly'!C114)))&gt;0)</f>
        <v>0</v>
      </c>
      <c r="Q114" s="14" cm="1">
        <f t="array" ref="Q114">INT(SUMPRODUCT(--ISNUMBER(SEARCH(gun,'Mark Kelly'!C114)))&gt;0)</f>
        <v>0</v>
      </c>
      <c r="R114" s="14" cm="1">
        <f t="array" ref="R114">INT(SUMPRODUCT(--ISNUMBER(SEARCH(race,'Mark Kelly'!C114)))&gt;0)</f>
        <v>0</v>
      </c>
      <c r="S114" s="14" cm="1">
        <f t="array" ref="S114">INT(SUMPRODUCT(--ISNUMBER(SEARCH(immigration,C114)))&gt;0)</f>
        <v>0</v>
      </c>
      <c r="T114" s="14" cm="1">
        <f t="array" ref="T114">INT(SUMPRODUCT(--ISNUMBER(SEARCH(econineq,C114)))&gt;0)</f>
        <v>0</v>
      </c>
      <c r="U114" s="14" cm="1">
        <f t="array" ref="U114">INT(SUMPRODUCT(--ISNUMBER(SEARCH(climate,'Mark Kelly'!C114)))&gt;0)</f>
        <v>0</v>
      </c>
      <c r="V114" s="14" cm="1">
        <f t="array" ref="V114">INT(SUMPRODUCT(--ISNUMBER(SEARCH(abortion,'Mark Kelly'!C114)))&gt;0)</f>
        <v>0</v>
      </c>
      <c r="W114" s="14" cm="1">
        <f t="array" ref="W114">INT(SUMPRODUCT(--ISNUMBER(SEARCH(trump,'Mark Kelly'!C114)))&gt;0)</f>
        <v>0</v>
      </c>
      <c r="X114" s="14" cm="1">
        <f t="array" ref="X114">INT(SUMPRODUCT(--ISNUMBER(SEARCH(voting,'Mark Kelly'!C114)))&gt;0)</f>
        <v>0</v>
      </c>
      <c r="Y114" s="14" cm="1">
        <f t="array" ref="Y114">INT(SUMPRODUCT(--ISNUMBER(SEARCH(democrattrigger,'Mark Kelly'!C114)))&gt;0)</f>
        <v>0</v>
      </c>
      <c r="Z114" s="14" cm="1">
        <f t="array" ref="Z114">INT(SUMPRODUCT(--ISNUMBER(SEARCH(bipartisan,'Mark Kelly'!C114)))&gt;0)</f>
        <v>0</v>
      </c>
      <c r="AA114" s="14">
        <f t="shared" si="1"/>
        <v>0</v>
      </c>
      <c r="AB114" s="14"/>
      <c r="AC114" s="30" t="s">
        <v>223</v>
      </c>
      <c r="AD114" s="37"/>
    </row>
    <row r="115" spans="1:30" x14ac:dyDescent="0.25">
      <c r="A115" s="36">
        <v>199</v>
      </c>
      <c r="B115" s="14" t="s">
        <v>430</v>
      </c>
      <c r="C115" s="31" t="s">
        <v>431</v>
      </c>
      <c r="D115" s="17">
        <v>44126</v>
      </c>
      <c r="E115" s="14" t="s">
        <v>30</v>
      </c>
      <c r="F115" s="14">
        <v>132</v>
      </c>
      <c r="G115" s="14">
        <v>35</v>
      </c>
      <c r="H115" s="14">
        <v>2</v>
      </c>
      <c r="I115" s="14">
        <v>1</v>
      </c>
      <c r="J115" s="14" t="s">
        <v>204</v>
      </c>
      <c r="K115" s="14" cm="1">
        <f t="array" ref="K115">INT(SUMPRODUCT(--ISNUMBER(SEARCH(economy,'Mark Kelly'!C115)))&gt;0)</f>
        <v>0</v>
      </c>
      <c r="L115" s="14" cm="1">
        <f t="array" ref="L115">INT(SUMPRODUCT(--ISNUMBER(SEARCH(healthcare,'Mark Kelly'!C115)))&gt;0)</f>
        <v>0</v>
      </c>
      <c r="M115" s="14" cm="1">
        <f t="array" ref="M115">INT(SUMPRODUCT(--ISNUMBER(SEARCH(supreme,'Mark Kelly'!C115)))&gt;0)</f>
        <v>0</v>
      </c>
      <c r="N115" s="14" cm="1">
        <f t="array" ref="N115">INT(SUMPRODUCT(--ISNUMBER(SEARCH(covid,'Mark Kelly'!C115)))&gt;0)</f>
        <v>0</v>
      </c>
      <c r="O115" s="14" cm="1">
        <f t="array" ref="O115">INT(SUMPRODUCT(--ISNUMBER(SEARCH(violent,'Mark Kelly'!C115)))&gt;0)</f>
        <v>0</v>
      </c>
      <c r="P115" s="14" cm="1">
        <f t="array" ref="P115">INT(SUMPRODUCT(--ISNUMBER(SEARCH(foreign,'Mark Kelly'!C115)))&gt;0)</f>
        <v>0</v>
      </c>
      <c r="Q115" s="14" cm="1">
        <f t="array" ref="Q115">INT(SUMPRODUCT(--ISNUMBER(SEARCH(gun,'Mark Kelly'!C115)))&gt;0)</f>
        <v>0</v>
      </c>
      <c r="R115" s="14" cm="1">
        <f t="array" ref="R115">INT(SUMPRODUCT(--ISNUMBER(SEARCH(race,'Mark Kelly'!C115)))&gt;0)</f>
        <v>0</v>
      </c>
      <c r="S115" s="14" cm="1">
        <f t="array" ref="S115">INT(SUMPRODUCT(--ISNUMBER(SEARCH(immigration,C115)))&gt;0)</f>
        <v>0</v>
      </c>
      <c r="T115" s="14" cm="1">
        <f t="array" ref="T115">INT(SUMPRODUCT(--ISNUMBER(SEARCH(econineq,C115)))&gt;0)</f>
        <v>0</v>
      </c>
      <c r="U115" s="14" cm="1">
        <f t="array" ref="U115">INT(SUMPRODUCT(--ISNUMBER(SEARCH(climate,'Mark Kelly'!C115)))&gt;0)</f>
        <v>0</v>
      </c>
      <c r="V115" s="14" cm="1">
        <f t="array" ref="V115">INT(SUMPRODUCT(--ISNUMBER(SEARCH(abortion,'Mark Kelly'!C115)))&gt;0)</f>
        <v>0</v>
      </c>
      <c r="W115" s="14" cm="1">
        <f t="array" ref="W115">INT(SUMPRODUCT(--ISNUMBER(SEARCH(trump,'Mark Kelly'!C115)))&gt;0)</f>
        <v>0</v>
      </c>
      <c r="X115" s="14" cm="1">
        <f t="array" ref="X115">INT(SUMPRODUCT(--ISNUMBER(SEARCH(voting,'Mark Kelly'!C115)))&gt;0)</f>
        <v>0</v>
      </c>
      <c r="Y115" s="14" cm="1">
        <f t="array" ref="Y115">INT(SUMPRODUCT(--ISNUMBER(SEARCH(democrattrigger,'Mark Kelly'!C115)))&gt;0)</f>
        <v>0</v>
      </c>
      <c r="Z115" s="14" cm="1">
        <f t="array" ref="Z115">INT(SUMPRODUCT(--ISNUMBER(SEARCH(bipartisan,'Mark Kelly'!C115)))&gt;0)</f>
        <v>0</v>
      </c>
      <c r="AA115" s="14">
        <f t="shared" si="1"/>
        <v>1</v>
      </c>
      <c r="AB115" s="14"/>
      <c r="AC115" s="30" t="s">
        <v>223</v>
      </c>
      <c r="AD115" s="37"/>
    </row>
    <row r="116" spans="1:30" x14ac:dyDescent="0.25">
      <c r="A116" s="36">
        <v>200</v>
      </c>
      <c r="B116" s="14" t="s">
        <v>432</v>
      </c>
      <c r="C116" s="31" t="s">
        <v>433</v>
      </c>
      <c r="D116" s="17">
        <v>44126</v>
      </c>
      <c r="E116" s="14" t="s">
        <v>30</v>
      </c>
      <c r="F116" s="14">
        <v>308</v>
      </c>
      <c r="G116" s="14">
        <v>85</v>
      </c>
      <c r="H116" s="14">
        <v>2</v>
      </c>
      <c r="I116" s="14">
        <v>1</v>
      </c>
      <c r="J116" s="14" t="s">
        <v>204</v>
      </c>
      <c r="K116" s="14" cm="1">
        <f t="array" ref="K116">INT(SUMPRODUCT(--ISNUMBER(SEARCH(economy,'Mark Kelly'!C116)))&gt;0)</f>
        <v>1</v>
      </c>
      <c r="L116" s="14" cm="1">
        <f t="array" ref="L116">INT(SUMPRODUCT(--ISNUMBER(SEARCH(healthcare,'Mark Kelly'!C116)))&gt;0)</f>
        <v>0</v>
      </c>
      <c r="M116" s="14" cm="1">
        <f t="array" ref="M116">INT(SUMPRODUCT(--ISNUMBER(SEARCH(supreme,'Mark Kelly'!C116)))&gt;0)</f>
        <v>0</v>
      </c>
      <c r="N116" s="14" cm="1">
        <f t="array" ref="N116">INT(SUMPRODUCT(--ISNUMBER(SEARCH(covid,'Mark Kelly'!C116)))&gt;0)</f>
        <v>0</v>
      </c>
      <c r="O116" s="14" cm="1">
        <f t="array" ref="O116">INT(SUMPRODUCT(--ISNUMBER(SEARCH(violent,'Mark Kelly'!C116)))&gt;0)</f>
        <v>0</v>
      </c>
      <c r="P116" s="14" cm="1">
        <f t="array" ref="P116">INT(SUMPRODUCT(--ISNUMBER(SEARCH(foreign,'Mark Kelly'!C116)))&gt;0)</f>
        <v>0</v>
      </c>
      <c r="Q116" s="14" cm="1">
        <f t="array" ref="Q116">INT(SUMPRODUCT(--ISNUMBER(SEARCH(gun,'Mark Kelly'!C116)))&gt;0)</f>
        <v>0</v>
      </c>
      <c r="R116" s="14" cm="1">
        <f t="array" ref="R116">INT(SUMPRODUCT(--ISNUMBER(SEARCH(race,'Mark Kelly'!C116)))&gt;0)</f>
        <v>1</v>
      </c>
      <c r="S116" s="14" cm="1">
        <f t="array" ref="S116">INT(SUMPRODUCT(--ISNUMBER(SEARCH(immigration,C116)))&gt;0)</f>
        <v>1</v>
      </c>
      <c r="T116" s="14" cm="1">
        <f t="array" ref="T116">INT(SUMPRODUCT(--ISNUMBER(SEARCH(econineq,C116)))&gt;0)</f>
        <v>0</v>
      </c>
      <c r="U116" s="14" cm="1">
        <f t="array" ref="U116">INT(SUMPRODUCT(--ISNUMBER(SEARCH(climate,'Mark Kelly'!C116)))&gt;0)</f>
        <v>0</v>
      </c>
      <c r="V116" s="14" cm="1">
        <f t="array" ref="V116">INT(SUMPRODUCT(--ISNUMBER(SEARCH(abortion,'Mark Kelly'!C116)))&gt;0)</f>
        <v>0</v>
      </c>
      <c r="W116" s="14" cm="1">
        <f t="array" ref="W116">INT(SUMPRODUCT(--ISNUMBER(SEARCH(trump,'Mark Kelly'!C116)))&gt;0)</f>
        <v>0</v>
      </c>
      <c r="X116" s="14" cm="1">
        <f t="array" ref="X116">INT(SUMPRODUCT(--ISNUMBER(SEARCH(voting,'Mark Kelly'!C116)))&gt;0)</f>
        <v>1</v>
      </c>
      <c r="Y116" s="14" cm="1">
        <f t="array" ref="Y116">INT(SUMPRODUCT(--ISNUMBER(SEARCH(democrattrigger,'Mark Kelly'!C116)))&gt;0)</f>
        <v>0</v>
      </c>
      <c r="Z116" s="14" cm="1">
        <f t="array" ref="Z116">INT(SUMPRODUCT(--ISNUMBER(SEARCH(bipartisan,'Mark Kelly'!C116)))&gt;0)</f>
        <v>0</v>
      </c>
      <c r="AA116" s="14">
        <f t="shared" si="1"/>
        <v>0</v>
      </c>
      <c r="AB116" s="14"/>
      <c r="AC116" s="30" t="s">
        <v>223</v>
      </c>
      <c r="AD116" s="37"/>
    </row>
    <row r="117" spans="1:30" x14ac:dyDescent="0.25">
      <c r="A117" s="36">
        <v>201</v>
      </c>
      <c r="B117" s="14" t="s">
        <v>434</v>
      </c>
      <c r="C117" s="31" t="s">
        <v>435</v>
      </c>
      <c r="D117" s="17">
        <v>44126</v>
      </c>
      <c r="E117" s="14" t="s">
        <v>30</v>
      </c>
      <c r="F117" s="14">
        <v>774</v>
      </c>
      <c r="G117" s="14">
        <v>141</v>
      </c>
      <c r="H117" s="14">
        <v>2</v>
      </c>
      <c r="I117" s="14">
        <v>1</v>
      </c>
      <c r="J117" s="14" t="s">
        <v>204</v>
      </c>
      <c r="K117" s="14" cm="1">
        <f t="array" ref="K117">INT(SUMPRODUCT(--ISNUMBER(SEARCH(economy,'Mark Kelly'!C117)))&gt;0)</f>
        <v>0</v>
      </c>
      <c r="L117" s="14" cm="1">
        <f t="array" ref="L117">INT(SUMPRODUCT(--ISNUMBER(SEARCH(healthcare,'Mark Kelly'!C117)))&gt;0)</f>
        <v>0</v>
      </c>
      <c r="M117" s="14" cm="1">
        <f t="array" ref="M117">INT(SUMPRODUCT(--ISNUMBER(SEARCH(supreme,'Mark Kelly'!C117)))&gt;0)</f>
        <v>0</v>
      </c>
      <c r="N117" s="14" cm="1">
        <f t="array" ref="N117">INT(SUMPRODUCT(--ISNUMBER(SEARCH(covid,'Mark Kelly'!C117)))&gt;0)</f>
        <v>0</v>
      </c>
      <c r="O117" s="14" cm="1">
        <f t="array" ref="O117">INT(SUMPRODUCT(--ISNUMBER(SEARCH(violent,'Mark Kelly'!C117)))&gt;0)</f>
        <v>0</v>
      </c>
      <c r="P117" s="14" cm="1">
        <f t="array" ref="P117">INT(SUMPRODUCT(--ISNUMBER(SEARCH(foreign,'Mark Kelly'!C117)))&gt;0)</f>
        <v>0</v>
      </c>
      <c r="Q117" s="14" cm="1">
        <f t="array" ref="Q117">INT(SUMPRODUCT(--ISNUMBER(SEARCH(gun,'Mark Kelly'!C117)))&gt;0)</f>
        <v>0</v>
      </c>
      <c r="R117" s="14" cm="1">
        <f t="array" ref="R117">INT(SUMPRODUCT(--ISNUMBER(SEARCH(race,'Mark Kelly'!C117)))&gt;0)</f>
        <v>0</v>
      </c>
      <c r="S117" s="14" cm="1">
        <f t="array" ref="S117">INT(SUMPRODUCT(--ISNUMBER(SEARCH(immigration,C117)))&gt;0)</f>
        <v>0</v>
      </c>
      <c r="T117" s="14" cm="1">
        <f t="array" ref="T117">INT(SUMPRODUCT(--ISNUMBER(SEARCH(econineq,C117)))&gt;0)</f>
        <v>0</v>
      </c>
      <c r="U117" s="14" cm="1">
        <f t="array" ref="U117">INT(SUMPRODUCT(--ISNUMBER(SEARCH(climate,'Mark Kelly'!C117)))&gt;0)</f>
        <v>0</v>
      </c>
      <c r="V117" s="14" cm="1">
        <f t="array" ref="V117">INT(SUMPRODUCT(--ISNUMBER(SEARCH(abortion,'Mark Kelly'!C117)))&gt;0)</f>
        <v>0</v>
      </c>
      <c r="W117" s="14" cm="1">
        <f t="array" ref="W117">INT(SUMPRODUCT(--ISNUMBER(SEARCH(trump,'Mark Kelly'!C117)))&gt;0)</f>
        <v>0</v>
      </c>
      <c r="X117" s="14" cm="1">
        <f t="array" ref="X117">INT(SUMPRODUCT(--ISNUMBER(SEARCH(voting,'Mark Kelly'!C117)))&gt;0)</f>
        <v>0</v>
      </c>
      <c r="Y117" s="14" cm="1">
        <f t="array" ref="Y117">INT(SUMPRODUCT(--ISNUMBER(SEARCH(democrattrigger,'Mark Kelly'!C117)))&gt;0)</f>
        <v>0</v>
      </c>
      <c r="Z117" s="14" cm="1">
        <f t="array" ref="Z117">INT(SUMPRODUCT(--ISNUMBER(SEARCH(bipartisan,'Mark Kelly'!C117)))&gt;0)</f>
        <v>0</v>
      </c>
      <c r="AA117" s="14">
        <f t="shared" si="1"/>
        <v>1</v>
      </c>
      <c r="AB117" s="14"/>
      <c r="AC117" s="30">
        <v>1</v>
      </c>
      <c r="AD117" s="37"/>
    </row>
    <row r="118" spans="1:30" x14ac:dyDescent="0.25">
      <c r="A118" s="36">
        <v>202</v>
      </c>
      <c r="B118" s="14" t="s">
        <v>436</v>
      </c>
      <c r="C118" s="31" t="s">
        <v>437</v>
      </c>
      <c r="D118" s="17">
        <v>44126</v>
      </c>
      <c r="E118" s="14" t="s">
        <v>30</v>
      </c>
      <c r="F118" s="14">
        <v>1521</v>
      </c>
      <c r="G118" s="14">
        <v>300</v>
      </c>
      <c r="H118" s="14">
        <v>2</v>
      </c>
      <c r="I118" s="14">
        <v>1</v>
      </c>
      <c r="J118" s="14" t="s">
        <v>204</v>
      </c>
      <c r="K118" s="14" cm="1">
        <f t="array" ref="K118">INT(SUMPRODUCT(--ISNUMBER(SEARCH(economy,'Mark Kelly'!C118)))&gt;0)</f>
        <v>0</v>
      </c>
      <c r="L118" s="14" cm="1">
        <f t="array" ref="L118">INT(SUMPRODUCT(--ISNUMBER(SEARCH(healthcare,'Mark Kelly'!C118)))&gt;0)</f>
        <v>0</v>
      </c>
      <c r="M118" s="14" cm="1">
        <f t="array" ref="M118">INT(SUMPRODUCT(--ISNUMBER(SEARCH(supreme,'Mark Kelly'!C118)))&gt;0)</f>
        <v>0</v>
      </c>
      <c r="N118" s="14" cm="1">
        <f t="array" ref="N118">INT(SUMPRODUCT(--ISNUMBER(SEARCH(covid,'Mark Kelly'!C118)))&gt;0)</f>
        <v>0</v>
      </c>
      <c r="O118" s="14" cm="1">
        <f t="array" ref="O118">INT(SUMPRODUCT(--ISNUMBER(SEARCH(violent,'Mark Kelly'!C118)))&gt;0)</f>
        <v>0</v>
      </c>
      <c r="P118" s="14" cm="1">
        <f t="array" ref="P118">INT(SUMPRODUCT(--ISNUMBER(SEARCH(foreign,'Mark Kelly'!C118)))&gt;0)</f>
        <v>0</v>
      </c>
      <c r="Q118" s="14" cm="1">
        <f t="array" ref="Q118">INT(SUMPRODUCT(--ISNUMBER(SEARCH(gun,'Mark Kelly'!C118)))&gt;0)</f>
        <v>0</v>
      </c>
      <c r="R118" s="14" cm="1">
        <f t="array" ref="R118">INT(SUMPRODUCT(--ISNUMBER(SEARCH(race,'Mark Kelly'!C118)))&gt;0)</f>
        <v>0</v>
      </c>
      <c r="S118" s="14" cm="1">
        <f t="array" ref="S118">INT(SUMPRODUCT(--ISNUMBER(SEARCH(immigration,C118)))&gt;0)</f>
        <v>0</v>
      </c>
      <c r="T118" s="14" cm="1">
        <f t="array" ref="T118">INT(SUMPRODUCT(--ISNUMBER(SEARCH(econineq,C118)))&gt;0)</f>
        <v>0</v>
      </c>
      <c r="U118" s="14" cm="1">
        <f t="array" ref="U118">INT(SUMPRODUCT(--ISNUMBER(SEARCH(climate,'Mark Kelly'!C118)))&gt;0)</f>
        <v>0</v>
      </c>
      <c r="V118" s="14" cm="1">
        <f t="array" ref="V118">INT(SUMPRODUCT(--ISNUMBER(SEARCH(abortion,'Mark Kelly'!C118)))&gt;0)</f>
        <v>0</v>
      </c>
      <c r="W118" s="14" cm="1">
        <f t="array" ref="W118">INT(SUMPRODUCT(--ISNUMBER(SEARCH(trump,'Mark Kelly'!C118)))&gt;0)</f>
        <v>0</v>
      </c>
      <c r="X118" s="14" cm="1">
        <f t="array" ref="X118">INT(SUMPRODUCT(--ISNUMBER(SEARCH(voting,'Mark Kelly'!C118)))&gt;0)</f>
        <v>1</v>
      </c>
      <c r="Y118" s="14" cm="1">
        <f t="array" ref="Y118">INT(SUMPRODUCT(--ISNUMBER(SEARCH(democrattrigger,'Mark Kelly'!C118)))&gt;0)</f>
        <v>0</v>
      </c>
      <c r="Z118" s="14" cm="1">
        <f t="array" ref="Z118">INT(SUMPRODUCT(--ISNUMBER(SEARCH(bipartisan,'Mark Kelly'!C118)))&gt;0)</f>
        <v>0</v>
      </c>
      <c r="AA118" s="14">
        <f t="shared" si="1"/>
        <v>0</v>
      </c>
      <c r="AB118" s="14"/>
      <c r="AC118" s="30" t="s">
        <v>223</v>
      </c>
      <c r="AD118" s="37"/>
    </row>
    <row r="119" spans="1:30" x14ac:dyDescent="0.25">
      <c r="A119" s="36">
        <v>203</v>
      </c>
      <c r="B119" s="14" t="s">
        <v>438</v>
      </c>
      <c r="C119" s="31" t="s">
        <v>439</v>
      </c>
      <c r="D119" s="17">
        <v>44126</v>
      </c>
      <c r="E119" s="14" t="s">
        <v>30</v>
      </c>
      <c r="F119" s="14">
        <v>4957</v>
      </c>
      <c r="G119" s="14">
        <v>813</v>
      </c>
      <c r="H119" s="14">
        <v>2</v>
      </c>
      <c r="I119" s="14">
        <v>1</v>
      </c>
      <c r="J119" s="14" t="s">
        <v>204</v>
      </c>
      <c r="K119" s="14" cm="1">
        <f t="array" ref="K119">INT(SUMPRODUCT(--ISNUMBER(SEARCH(economy,'Mark Kelly'!C119)))&gt;0)</f>
        <v>0</v>
      </c>
      <c r="L119" s="14" cm="1">
        <f t="array" ref="L119">INT(SUMPRODUCT(--ISNUMBER(SEARCH(healthcare,'Mark Kelly'!C119)))&gt;0)</f>
        <v>0</v>
      </c>
      <c r="M119" s="14" cm="1">
        <f t="array" ref="M119">INT(SUMPRODUCT(--ISNUMBER(SEARCH(supreme,'Mark Kelly'!C119)))&gt;0)</f>
        <v>0</v>
      </c>
      <c r="N119" s="14" cm="1">
        <f t="array" ref="N119">INT(SUMPRODUCT(--ISNUMBER(SEARCH(covid,'Mark Kelly'!C119)))&gt;0)</f>
        <v>1</v>
      </c>
      <c r="O119" s="14" cm="1">
        <f t="array" ref="O119">INT(SUMPRODUCT(--ISNUMBER(SEARCH(violent,'Mark Kelly'!C119)))&gt;0)</f>
        <v>0</v>
      </c>
      <c r="P119" s="14" cm="1">
        <f t="array" ref="P119">INT(SUMPRODUCT(--ISNUMBER(SEARCH(foreign,'Mark Kelly'!C119)))&gt;0)</f>
        <v>0</v>
      </c>
      <c r="Q119" s="14" cm="1">
        <f t="array" ref="Q119">INT(SUMPRODUCT(--ISNUMBER(SEARCH(gun,'Mark Kelly'!C119)))&gt;0)</f>
        <v>0</v>
      </c>
      <c r="R119" s="14" cm="1">
        <f t="array" ref="R119">INT(SUMPRODUCT(--ISNUMBER(SEARCH(race,'Mark Kelly'!C119)))&gt;0)</f>
        <v>0</v>
      </c>
      <c r="S119" s="14" cm="1">
        <f t="array" ref="S119">INT(SUMPRODUCT(--ISNUMBER(SEARCH(immigration,C119)))&gt;0)</f>
        <v>0</v>
      </c>
      <c r="T119" s="14" cm="1">
        <f t="array" ref="T119">INT(SUMPRODUCT(--ISNUMBER(SEARCH(econineq,C119)))&gt;0)</f>
        <v>0</v>
      </c>
      <c r="U119" s="14" cm="1">
        <f t="array" ref="U119">INT(SUMPRODUCT(--ISNUMBER(SEARCH(climate,'Mark Kelly'!C119)))&gt;0)</f>
        <v>0</v>
      </c>
      <c r="V119" s="14" cm="1">
        <f t="array" ref="V119">INT(SUMPRODUCT(--ISNUMBER(SEARCH(abortion,'Mark Kelly'!C119)))&gt;0)</f>
        <v>0</v>
      </c>
      <c r="W119" s="14" cm="1">
        <f t="array" ref="W119">INT(SUMPRODUCT(--ISNUMBER(SEARCH(trump,'Mark Kelly'!C119)))&gt;0)</f>
        <v>0</v>
      </c>
      <c r="X119" s="14" cm="1">
        <f t="array" ref="X119">INT(SUMPRODUCT(--ISNUMBER(SEARCH(voting,'Mark Kelly'!C119)))&gt;0)</f>
        <v>0</v>
      </c>
      <c r="Y119" s="14" cm="1">
        <f t="array" ref="Y119">INT(SUMPRODUCT(--ISNUMBER(SEARCH(democrattrigger,'Mark Kelly'!C119)))&gt;0)</f>
        <v>0</v>
      </c>
      <c r="Z119" s="14" cm="1">
        <f t="array" ref="Z119">INT(SUMPRODUCT(--ISNUMBER(SEARCH(bipartisan,'Mark Kelly'!C119)))&gt;0)</f>
        <v>0</v>
      </c>
      <c r="AA119" s="14">
        <f t="shared" si="1"/>
        <v>0</v>
      </c>
      <c r="AB119" s="14"/>
      <c r="AC119" s="30">
        <v>0</v>
      </c>
      <c r="AD119" s="37">
        <v>1</v>
      </c>
    </row>
    <row r="120" spans="1:30" x14ac:dyDescent="0.25">
      <c r="A120" s="36">
        <v>204</v>
      </c>
      <c r="B120" s="14" t="s">
        <v>440</v>
      </c>
      <c r="C120" s="31" t="s">
        <v>441</v>
      </c>
      <c r="D120" s="17">
        <v>44125</v>
      </c>
      <c r="E120" s="14" t="s">
        <v>30</v>
      </c>
      <c r="F120" s="14">
        <v>1281</v>
      </c>
      <c r="G120" s="14">
        <v>177</v>
      </c>
      <c r="H120" s="14">
        <v>2</v>
      </c>
      <c r="I120" s="14">
        <v>1</v>
      </c>
      <c r="J120" s="14" t="s">
        <v>204</v>
      </c>
      <c r="K120" s="14" cm="1">
        <f t="array" ref="K120">INT(SUMPRODUCT(--ISNUMBER(SEARCH(economy,'Mark Kelly'!C120)))&gt;0)</f>
        <v>0</v>
      </c>
      <c r="L120" s="14" cm="1">
        <f t="array" ref="L120">INT(SUMPRODUCT(--ISNUMBER(SEARCH(healthcare,'Mark Kelly'!C120)))&gt;0)</f>
        <v>0</v>
      </c>
      <c r="M120" s="14" cm="1">
        <f t="array" ref="M120">INT(SUMPRODUCT(--ISNUMBER(SEARCH(supreme,'Mark Kelly'!C120)))&gt;0)</f>
        <v>0</v>
      </c>
      <c r="N120" s="14" cm="1">
        <f t="array" ref="N120">INT(SUMPRODUCT(--ISNUMBER(SEARCH(covid,'Mark Kelly'!C120)))&gt;0)</f>
        <v>0</v>
      </c>
      <c r="O120" s="14" cm="1">
        <f t="array" ref="O120">INT(SUMPRODUCT(--ISNUMBER(SEARCH(violent,'Mark Kelly'!C120)))&gt;0)</f>
        <v>0</v>
      </c>
      <c r="P120" s="14" cm="1">
        <f t="array" ref="P120">INT(SUMPRODUCT(--ISNUMBER(SEARCH(foreign,'Mark Kelly'!C120)))&gt;0)</f>
        <v>0</v>
      </c>
      <c r="Q120" s="14" cm="1">
        <f t="array" ref="Q120">INT(SUMPRODUCT(--ISNUMBER(SEARCH(gun,'Mark Kelly'!C120)))&gt;0)</f>
        <v>0</v>
      </c>
      <c r="R120" s="14" cm="1">
        <f t="array" ref="R120">INT(SUMPRODUCT(--ISNUMBER(SEARCH(race,'Mark Kelly'!C120)))&gt;0)</f>
        <v>0</v>
      </c>
      <c r="S120" s="14" cm="1">
        <f t="array" ref="S120">INT(SUMPRODUCT(--ISNUMBER(SEARCH(immigration,C120)))&gt;0)</f>
        <v>0</v>
      </c>
      <c r="T120" s="14" cm="1">
        <f t="array" ref="T120">INT(SUMPRODUCT(--ISNUMBER(SEARCH(econineq,C120)))&gt;0)</f>
        <v>0</v>
      </c>
      <c r="U120" s="14" cm="1">
        <f t="array" ref="U120">INT(SUMPRODUCT(--ISNUMBER(SEARCH(climate,'Mark Kelly'!C120)))&gt;0)</f>
        <v>0</v>
      </c>
      <c r="V120" s="14" cm="1">
        <f t="array" ref="V120">INT(SUMPRODUCT(--ISNUMBER(SEARCH(abortion,'Mark Kelly'!C120)))&gt;0)</f>
        <v>0</v>
      </c>
      <c r="W120" s="14" cm="1">
        <f t="array" ref="W120">INT(SUMPRODUCT(--ISNUMBER(SEARCH(trump,'Mark Kelly'!C120)))&gt;0)</f>
        <v>0</v>
      </c>
      <c r="X120" s="14" cm="1">
        <f t="array" ref="X120">INT(SUMPRODUCT(--ISNUMBER(SEARCH(voting,'Mark Kelly'!C120)))&gt;0)</f>
        <v>0</v>
      </c>
      <c r="Y120" s="14" cm="1">
        <f t="array" ref="Y120">INT(SUMPRODUCT(--ISNUMBER(SEARCH(democrattrigger,'Mark Kelly'!C120)))&gt;0)</f>
        <v>0</v>
      </c>
      <c r="Z120" s="14" cm="1">
        <f t="array" ref="Z120">INT(SUMPRODUCT(--ISNUMBER(SEARCH(bipartisan,'Mark Kelly'!C120)))&gt;0)</f>
        <v>0</v>
      </c>
      <c r="AA120" s="14">
        <f t="shared" si="1"/>
        <v>1</v>
      </c>
      <c r="AB120" s="14"/>
      <c r="AC120" s="30" t="s">
        <v>223</v>
      </c>
      <c r="AD120" s="37"/>
    </row>
    <row r="121" spans="1:30" x14ac:dyDescent="0.25">
      <c r="A121" s="36">
        <v>205</v>
      </c>
      <c r="B121" s="14" t="s">
        <v>442</v>
      </c>
      <c r="C121" s="31" t="s">
        <v>443</v>
      </c>
      <c r="D121" s="17">
        <v>44125</v>
      </c>
      <c r="E121" s="14" t="s">
        <v>30</v>
      </c>
      <c r="F121" s="14">
        <v>1406</v>
      </c>
      <c r="G121" s="14">
        <v>214</v>
      </c>
      <c r="H121" s="14">
        <v>2</v>
      </c>
      <c r="I121" s="14">
        <v>1</v>
      </c>
      <c r="J121" s="14" t="s">
        <v>204</v>
      </c>
      <c r="K121" s="14" cm="1">
        <f t="array" ref="K121">INT(SUMPRODUCT(--ISNUMBER(SEARCH(economy,'Mark Kelly'!C121)))&gt;0)</f>
        <v>0</v>
      </c>
      <c r="L121" s="14" cm="1">
        <f t="array" ref="L121">INT(SUMPRODUCT(--ISNUMBER(SEARCH(healthcare,'Mark Kelly'!C121)))&gt;0)</f>
        <v>0</v>
      </c>
      <c r="M121" s="14" cm="1">
        <f t="array" ref="M121">INT(SUMPRODUCT(--ISNUMBER(SEARCH(supreme,'Mark Kelly'!C121)))&gt;0)</f>
        <v>0</v>
      </c>
      <c r="N121" s="14" cm="1">
        <f t="array" ref="N121">INT(SUMPRODUCT(--ISNUMBER(SEARCH(covid,'Mark Kelly'!C121)))&gt;0)</f>
        <v>0</v>
      </c>
      <c r="O121" s="14" cm="1">
        <f t="array" ref="O121">INT(SUMPRODUCT(--ISNUMBER(SEARCH(violent,'Mark Kelly'!C121)))&gt;0)</f>
        <v>0</v>
      </c>
      <c r="P121" s="14" cm="1">
        <f t="array" ref="P121">INT(SUMPRODUCT(--ISNUMBER(SEARCH(foreign,'Mark Kelly'!C121)))&gt;0)</f>
        <v>0</v>
      </c>
      <c r="Q121" s="14" cm="1">
        <f t="array" ref="Q121">INT(SUMPRODUCT(--ISNUMBER(SEARCH(gun,'Mark Kelly'!C121)))&gt;0)</f>
        <v>0</v>
      </c>
      <c r="R121" s="14" cm="1">
        <f t="array" ref="R121">INT(SUMPRODUCT(--ISNUMBER(SEARCH(race,'Mark Kelly'!C121)))&gt;0)</f>
        <v>0</v>
      </c>
      <c r="S121" s="14" cm="1">
        <f t="array" ref="S121">INT(SUMPRODUCT(--ISNUMBER(SEARCH(immigration,C121)))&gt;0)</f>
        <v>0</v>
      </c>
      <c r="T121" s="14" cm="1">
        <f t="array" ref="T121">INT(SUMPRODUCT(--ISNUMBER(SEARCH(econineq,C121)))&gt;0)</f>
        <v>0</v>
      </c>
      <c r="U121" s="14" cm="1">
        <f t="array" ref="U121">INT(SUMPRODUCT(--ISNUMBER(SEARCH(climate,'Mark Kelly'!C121)))&gt;0)</f>
        <v>0</v>
      </c>
      <c r="V121" s="14" cm="1">
        <f t="array" ref="V121">INT(SUMPRODUCT(--ISNUMBER(SEARCH(abortion,'Mark Kelly'!C121)))&gt;0)</f>
        <v>0</v>
      </c>
      <c r="W121" s="14" cm="1">
        <f t="array" ref="W121">INT(SUMPRODUCT(--ISNUMBER(SEARCH(trump,'Mark Kelly'!C121)))&gt;0)</f>
        <v>0</v>
      </c>
      <c r="X121" s="14" cm="1">
        <f t="array" ref="X121">INT(SUMPRODUCT(--ISNUMBER(SEARCH(voting,'Mark Kelly'!C121)))&gt;0)</f>
        <v>0</v>
      </c>
      <c r="Y121" s="14" cm="1">
        <f t="array" ref="Y121">INT(SUMPRODUCT(--ISNUMBER(SEARCH(democrattrigger,'Mark Kelly'!C121)))&gt;0)</f>
        <v>0</v>
      </c>
      <c r="Z121" s="14" cm="1">
        <f t="array" ref="Z121">INT(SUMPRODUCT(--ISNUMBER(SEARCH(bipartisan,'Mark Kelly'!C121)))&gt;0)</f>
        <v>0</v>
      </c>
      <c r="AA121" s="14">
        <f t="shared" si="1"/>
        <v>1</v>
      </c>
      <c r="AB121" s="14"/>
      <c r="AC121" s="30" t="s">
        <v>223</v>
      </c>
      <c r="AD121" s="37"/>
    </row>
    <row r="122" spans="1:30" x14ac:dyDescent="0.25">
      <c r="A122" s="36">
        <v>206</v>
      </c>
      <c r="B122" s="14" t="s">
        <v>444</v>
      </c>
      <c r="C122" s="31" t="s">
        <v>445</v>
      </c>
      <c r="D122" s="17">
        <v>44125</v>
      </c>
      <c r="E122" s="14" t="s">
        <v>30</v>
      </c>
      <c r="F122" s="14">
        <v>679</v>
      </c>
      <c r="G122" s="14">
        <v>139</v>
      </c>
      <c r="H122" s="14">
        <v>2</v>
      </c>
      <c r="I122" s="14">
        <v>1</v>
      </c>
      <c r="J122" s="14" t="s">
        <v>204</v>
      </c>
      <c r="K122" s="14" cm="1">
        <f t="array" ref="K122">INT(SUMPRODUCT(--ISNUMBER(SEARCH(economy,'Mark Kelly'!C122)))&gt;0)</f>
        <v>0</v>
      </c>
      <c r="L122" s="14" cm="1">
        <f t="array" ref="L122">INT(SUMPRODUCT(--ISNUMBER(SEARCH(healthcare,'Mark Kelly'!C122)))&gt;0)</f>
        <v>0</v>
      </c>
      <c r="M122" s="14" cm="1">
        <f t="array" ref="M122">INT(SUMPRODUCT(--ISNUMBER(SEARCH(supreme,'Mark Kelly'!C122)))&gt;0)</f>
        <v>0</v>
      </c>
      <c r="N122" s="14" cm="1">
        <f t="array" ref="N122">INT(SUMPRODUCT(--ISNUMBER(SEARCH(covid,'Mark Kelly'!C122)))&gt;0)</f>
        <v>0</v>
      </c>
      <c r="O122" s="14" cm="1">
        <f t="array" ref="O122">INT(SUMPRODUCT(--ISNUMBER(SEARCH(violent,'Mark Kelly'!C122)))&gt;0)</f>
        <v>0</v>
      </c>
      <c r="P122" s="14" cm="1">
        <f t="array" ref="P122">INT(SUMPRODUCT(--ISNUMBER(SEARCH(foreign,'Mark Kelly'!C122)))&gt;0)</f>
        <v>0</v>
      </c>
      <c r="Q122" s="14" cm="1">
        <f t="array" ref="Q122">INT(SUMPRODUCT(--ISNUMBER(SEARCH(gun,'Mark Kelly'!C122)))&gt;0)</f>
        <v>0</v>
      </c>
      <c r="R122" s="14" cm="1">
        <f t="array" ref="R122">INT(SUMPRODUCT(--ISNUMBER(SEARCH(race,'Mark Kelly'!C122)))&gt;0)</f>
        <v>0</v>
      </c>
      <c r="S122" s="14" cm="1">
        <f t="array" ref="S122">INT(SUMPRODUCT(--ISNUMBER(SEARCH(immigration,C122)))&gt;0)</f>
        <v>0</v>
      </c>
      <c r="T122" s="14" cm="1">
        <f t="array" ref="T122">INT(SUMPRODUCT(--ISNUMBER(SEARCH(econineq,C122)))&gt;0)</f>
        <v>0</v>
      </c>
      <c r="U122" s="14" cm="1">
        <f t="array" ref="U122">INT(SUMPRODUCT(--ISNUMBER(SEARCH(climate,'Mark Kelly'!C122)))&gt;0)</f>
        <v>0</v>
      </c>
      <c r="V122" s="14" cm="1">
        <f t="array" ref="V122">INT(SUMPRODUCT(--ISNUMBER(SEARCH(abortion,'Mark Kelly'!C122)))&gt;0)</f>
        <v>0</v>
      </c>
      <c r="W122" s="14" cm="1">
        <f t="array" ref="W122">INT(SUMPRODUCT(--ISNUMBER(SEARCH(trump,'Mark Kelly'!C122)))&gt;0)</f>
        <v>0</v>
      </c>
      <c r="X122" s="14" cm="1">
        <f t="array" ref="X122">INT(SUMPRODUCT(--ISNUMBER(SEARCH(voting,'Mark Kelly'!C122)))&gt;0)</f>
        <v>0</v>
      </c>
      <c r="Y122" s="14" cm="1">
        <f t="array" ref="Y122">INT(SUMPRODUCT(--ISNUMBER(SEARCH(democrattrigger,'Mark Kelly'!C122)))&gt;0)</f>
        <v>0</v>
      </c>
      <c r="Z122" s="14" cm="1">
        <f t="array" ref="Z122">INT(SUMPRODUCT(--ISNUMBER(SEARCH(bipartisan,'Mark Kelly'!C122)))&gt;0)</f>
        <v>0</v>
      </c>
      <c r="AA122" s="14">
        <f t="shared" si="1"/>
        <v>1</v>
      </c>
      <c r="AB122" s="14"/>
      <c r="AC122" s="30" t="s">
        <v>223</v>
      </c>
      <c r="AD122" s="37"/>
    </row>
    <row r="123" spans="1:30" x14ac:dyDescent="0.25">
      <c r="A123" s="36">
        <v>207</v>
      </c>
      <c r="B123" s="14" t="s">
        <v>446</v>
      </c>
      <c r="C123" s="31" t="s">
        <v>447</v>
      </c>
      <c r="D123" s="17">
        <v>44125</v>
      </c>
      <c r="E123" s="14" t="s">
        <v>30</v>
      </c>
      <c r="F123" s="14">
        <v>1929</v>
      </c>
      <c r="G123" s="14">
        <v>375</v>
      </c>
      <c r="H123" s="14">
        <v>2</v>
      </c>
      <c r="I123" s="14">
        <v>1</v>
      </c>
      <c r="J123" s="14" t="s">
        <v>204</v>
      </c>
      <c r="K123" s="14" cm="1">
        <f t="array" ref="K123">INT(SUMPRODUCT(--ISNUMBER(SEARCH(economy,'Mark Kelly'!C123)))&gt;0)</f>
        <v>0</v>
      </c>
      <c r="L123" s="14" cm="1">
        <f t="array" ref="L123">INT(SUMPRODUCT(--ISNUMBER(SEARCH(healthcare,'Mark Kelly'!C123)))&gt;0)</f>
        <v>0</v>
      </c>
      <c r="M123" s="14" cm="1">
        <f t="array" ref="M123">INT(SUMPRODUCT(--ISNUMBER(SEARCH(supreme,'Mark Kelly'!C123)))&gt;0)</f>
        <v>0</v>
      </c>
      <c r="N123" s="14" cm="1">
        <f t="array" ref="N123">INT(SUMPRODUCT(--ISNUMBER(SEARCH(covid,'Mark Kelly'!C123)))&gt;0)</f>
        <v>0</v>
      </c>
      <c r="O123" s="14" cm="1">
        <f t="array" ref="O123">INT(SUMPRODUCT(--ISNUMBER(SEARCH(violent,'Mark Kelly'!C123)))&gt;0)</f>
        <v>0</v>
      </c>
      <c r="P123" s="14" cm="1">
        <f t="array" ref="P123">INT(SUMPRODUCT(--ISNUMBER(SEARCH(foreign,'Mark Kelly'!C123)))&gt;0)</f>
        <v>0</v>
      </c>
      <c r="Q123" s="14" cm="1">
        <f t="array" ref="Q123">INT(SUMPRODUCT(--ISNUMBER(SEARCH(gun,'Mark Kelly'!C123)))&gt;0)</f>
        <v>0</v>
      </c>
      <c r="R123" s="14" cm="1">
        <f t="array" ref="R123">INT(SUMPRODUCT(--ISNUMBER(SEARCH(race,'Mark Kelly'!C123)))&gt;0)</f>
        <v>0</v>
      </c>
      <c r="S123" s="14" cm="1">
        <f t="array" ref="S123">INT(SUMPRODUCT(--ISNUMBER(SEARCH(immigration,C123)))&gt;0)</f>
        <v>0</v>
      </c>
      <c r="T123" s="14" cm="1">
        <f t="array" ref="T123">INT(SUMPRODUCT(--ISNUMBER(SEARCH(econineq,C123)))&gt;0)</f>
        <v>0</v>
      </c>
      <c r="U123" s="14" cm="1">
        <f t="array" ref="U123">INT(SUMPRODUCT(--ISNUMBER(SEARCH(climate,'Mark Kelly'!C123)))&gt;0)</f>
        <v>0</v>
      </c>
      <c r="V123" s="14" cm="1">
        <f t="array" ref="V123">INT(SUMPRODUCT(--ISNUMBER(SEARCH(abortion,'Mark Kelly'!C123)))&gt;0)</f>
        <v>0</v>
      </c>
      <c r="W123" s="14" cm="1">
        <f t="array" ref="W123">INT(SUMPRODUCT(--ISNUMBER(SEARCH(trump,'Mark Kelly'!C123)))&gt;0)</f>
        <v>0</v>
      </c>
      <c r="X123" s="14" cm="1">
        <f t="array" ref="X123">INT(SUMPRODUCT(--ISNUMBER(SEARCH(voting,'Mark Kelly'!C123)))&gt;0)</f>
        <v>0</v>
      </c>
      <c r="Y123" s="14" cm="1">
        <f t="array" ref="Y123">INT(SUMPRODUCT(--ISNUMBER(SEARCH(democrattrigger,'Mark Kelly'!C123)))&gt;0)</f>
        <v>0</v>
      </c>
      <c r="Z123" s="14" cm="1">
        <f t="array" ref="Z123">INT(SUMPRODUCT(--ISNUMBER(SEARCH(bipartisan,'Mark Kelly'!C123)))&gt;0)</f>
        <v>0</v>
      </c>
      <c r="AA123" s="14">
        <f t="shared" si="1"/>
        <v>1</v>
      </c>
      <c r="AB123" s="14"/>
      <c r="AC123" s="30" t="s">
        <v>223</v>
      </c>
      <c r="AD123" s="37"/>
    </row>
    <row r="124" spans="1:30" x14ac:dyDescent="0.25">
      <c r="A124" s="36">
        <v>208</v>
      </c>
      <c r="B124" s="14" t="s">
        <v>448</v>
      </c>
      <c r="C124" s="31" t="s">
        <v>449</v>
      </c>
      <c r="D124" s="17">
        <v>44125</v>
      </c>
      <c r="E124" s="14" t="s">
        <v>30</v>
      </c>
      <c r="F124" s="14">
        <v>665</v>
      </c>
      <c r="G124" s="14">
        <v>228</v>
      </c>
      <c r="H124" s="14">
        <v>2</v>
      </c>
      <c r="I124" s="14">
        <v>1</v>
      </c>
      <c r="J124" s="14" t="s">
        <v>204</v>
      </c>
      <c r="K124" s="14" cm="1">
        <f t="array" ref="K124">INT(SUMPRODUCT(--ISNUMBER(SEARCH(economy,'Mark Kelly'!C124)))&gt;0)</f>
        <v>0</v>
      </c>
      <c r="L124" s="14" cm="1">
        <f t="array" ref="L124">INT(SUMPRODUCT(--ISNUMBER(SEARCH(healthcare,'Mark Kelly'!C124)))&gt;0)</f>
        <v>0</v>
      </c>
      <c r="M124" s="14" cm="1">
        <f t="array" ref="M124">INT(SUMPRODUCT(--ISNUMBER(SEARCH(supreme,'Mark Kelly'!C124)))&gt;0)</f>
        <v>0</v>
      </c>
      <c r="N124" s="14" cm="1">
        <f t="array" ref="N124">INT(SUMPRODUCT(--ISNUMBER(SEARCH(covid,'Mark Kelly'!C124)))&gt;0)</f>
        <v>0</v>
      </c>
      <c r="O124" s="14" cm="1">
        <f t="array" ref="O124">INT(SUMPRODUCT(--ISNUMBER(SEARCH(violent,'Mark Kelly'!C124)))&gt;0)</f>
        <v>0</v>
      </c>
      <c r="P124" s="14" cm="1">
        <f t="array" ref="P124">INT(SUMPRODUCT(--ISNUMBER(SEARCH(foreign,'Mark Kelly'!C124)))&gt;0)</f>
        <v>0</v>
      </c>
      <c r="Q124" s="14" cm="1">
        <f t="array" ref="Q124">INT(SUMPRODUCT(--ISNUMBER(SEARCH(gun,'Mark Kelly'!C124)))&gt;0)</f>
        <v>0</v>
      </c>
      <c r="R124" s="14" cm="1">
        <f t="array" ref="R124">INT(SUMPRODUCT(--ISNUMBER(SEARCH(race,'Mark Kelly'!C124)))&gt;0)</f>
        <v>0</v>
      </c>
      <c r="S124" s="14" cm="1">
        <f t="array" ref="S124">INT(SUMPRODUCT(--ISNUMBER(SEARCH(immigration,C124)))&gt;0)</f>
        <v>0</v>
      </c>
      <c r="T124" s="14" cm="1">
        <f t="array" ref="T124">INT(SUMPRODUCT(--ISNUMBER(SEARCH(econineq,C124)))&gt;0)</f>
        <v>0</v>
      </c>
      <c r="U124" s="14" cm="1">
        <f t="array" ref="U124">INT(SUMPRODUCT(--ISNUMBER(SEARCH(climate,'Mark Kelly'!C124)))&gt;0)</f>
        <v>0</v>
      </c>
      <c r="V124" s="14" cm="1">
        <f t="array" ref="V124">INT(SUMPRODUCT(--ISNUMBER(SEARCH(abortion,'Mark Kelly'!C124)))&gt;0)</f>
        <v>0</v>
      </c>
      <c r="W124" s="14" cm="1">
        <f t="array" ref="W124">INT(SUMPRODUCT(--ISNUMBER(SEARCH(trump,'Mark Kelly'!C124)))&gt;0)</f>
        <v>0</v>
      </c>
      <c r="X124" s="14" cm="1">
        <f t="array" ref="X124">INT(SUMPRODUCT(--ISNUMBER(SEARCH(voting,'Mark Kelly'!C124)))&gt;0)</f>
        <v>1</v>
      </c>
      <c r="Y124" s="14" cm="1">
        <f t="array" ref="Y124">INT(SUMPRODUCT(--ISNUMBER(SEARCH(democrattrigger,'Mark Kelly'!C124)))&gt;0)</f>
        <v>0</v>
      </c>
      <c r="Z124" s="14" cm="1">
        <f t="array" ref="Z124">INT(SUMPRODUCT(--ISNUMBER(SEARCH(bipartisan,'Mark Kelly'!C124)))&gt;0)</f>
        <v>0</v>
      </c>
      <c r="AA124" s="14">
        <f t="shared" si="1"/>
        <v>0</v>
      </c>
      <c r="AB124" s="14"/>
      <c r="AC124" s="30" t="s">
        <v>223</v>
      </c>
      <c r="AD124" s="37"/>
    </row>
    <row r="125" spans="1:30" x14ac:dyDescent="0.25">
      <c r="A125" s="36">
        <v>209</v>
      </c>
      <c r="B125" s="14" t="s">
        <v>450</v>
      </c>
      <c r="C125" s="31" t="s">
        <v>451</v>
      </c>
      <c r="D125" s="17">
        <v>44125</v>
      </c>
      <c r="E125" s="14" t="s">
        <v>30</v>
      </c>
      <c r="F125" s="14">
        <v>9863</v>
      </c>
      <c r="G125" s="14">
        <v>1153</v>
      </c>
      <c r="H125" s="14">
        <v>2</v>
      </c>
      <c r="I125" s="14">
        <v>1</v>
      </c>
      <c r="J125" s="14" t="s">
        <v>204</v>
      </c>
      <c r="K125" s="14" cm="1">
        <f t="array" ref="K125">INT(SUMPRODUCT(--ISNUMBER(SEARCH(economy,'Mark Kelly'!C125)))&gt;0)</f>
        <v>0</v>
      </c>
      <c r="L125" s="14" cm="1">
        <f t="array" ref="L125">INT(SUMPRODUCT(--ISNUMBER(SEARCH(healthcare,'Mark Kelly'!C125)))&gt;0)</f>
        <v>0</v>
      </c>
      <c r="M125" s="14" cm="1">
        <f t="array" ref="M125">INT(SUMPRODUCT(--ISNUMBER(SEARCH(supreme,'Mark Kelly'!C125)))&gt;0)</f>
        <v>0</v>
      </c>
      <c r="N125" s="14" cm="1">
        <f t="array" ref="N125">INT(SUMPRODUCT(--ISNUMBER(SEARCH(covid,'Mark Kelly'!C125)))&gt;0)</f>
        <v>0</v>
      </c>
      <c r="O125" s="14" cm="1">
        <f t="array" ref="O125">INT(SUMPRODUCT(--ISNUMBER(SEARCH(violent,'Mark Kelly'!C125)))&gt;0)</f>
        <v>0</v>
      </c>
      <c r="P125" s="14" cm="1">
        <f t="array" ref="P125">INT(SUMPRODUCT(--ISNUMBER(SEARCH(foreign,'Mark Kelly'!C125)))&gt;0)</f>
        <v>0</v>
      </c>
      <c r="Q125" s="14" cm="1">
        <f t="array" ref="Q125">INT(SUMPRODUCT(--ISNUMBER(SEARCH(gun,'Mark Kelly'!C125)))&gt;0)</f>
        <v>0</v>
      </c>
      <c r="R125" s="14" cm="1">
        <f t="array" ref="R125">INT(SUMPRODUCT(--ISNUMBER(SEARCH(race,'Mark Kelly'!C125)))&gt;0)</f>
        <v>0</v>
      </c>
      <c r="S125" s="14" cm="1">
        <f t="array" ref="S125">INT(SUMPRODUCT(--ISNUMBER(SEARCH(immigration,C125)))&gt;0)</f>
        <v>0</v>
      </c>
      <c r="T125" s="14" cm="1">
        <f t="array" ref="T125">INT(SUMPRODUCT(--ISNUMBER(SEARCH(econineq,C125)))&gt;0)</f>
        <v>0</v>
      </c>
      <c r="U125" s="14" cm="1">
        <f t="array" ref="U125">INT(SUMPRODUCT(--ISNUMBER(SEARCH(climate,'Mark Kelly'!C125)))&gt;0)</f>
        <v>0</v>
      </c>
      <c r="V125" s="14" cm="1">
        <f t="array" ref="V125">INT(SUMPRODUCT(--ISNUMBER(SEARCH(abortion,'Mark Kelly'!C125)))&gt;0)</f>
        <v>0</v>
      </c>
      <c r="W125" s="14" cm="1">
        <f t="array" ref="W125">INT(SUMPRODUCT(--ISNUMBER(SEARCH(trump,'Mark Kelly'!C125)))&gt;0)</f>
        <v>0</v>
      </c>
      <c r="X125" s="14" cm="1">
        <f t="array" ref="X125">INT(SUMPRODUCT(--ISNUMBER(SEARCH(voting,'Mark Kelly'!C125)))&gt;0)</f>
        <v>0</v>
      </c>
      <c r="Y125" s="14" cm="1">
        <f t="array" ref="Y125">INT(SUMPRODUCT(--ISNUMBER(SEARCH(democrattrigger,'Mark Kelly'!C125)))&gt;0)</f>
        <v>0</v>
      </c>
      <c r="Z125" s="14" cm="1">
        <f t="array" ref="Z125">INT(SUMPRODUCT(--ISNUMBER(SEARCH(bipartisan,'Mark Kelly'!C125)))&gt;0)</f>
        <v>0</v>
      </c>
      <c r="AA125" s="14">
        <f t="shared" si="1"/>
        <v>1</v>
      </c>
      <c r="AB125" s="14"/>
      <c r="AC125" s="30">
        <v>1</v>
      </c>
      <c r="AD125" s="37"/>
    </row>
    <row r="126" spans="1:30" x14ac:dyDescent="0.25">
      <c r="A126" s="36">
        <v>210</v>
      </c>
      <c r="B126" s="14" t="s">
        <v>452</v>
      </c>
      <c r="C126" s="31" t="s">
        <v>453</v>
      </c>
      <c r="D126" s="17">
        <v>44124</v>
      </c>
      <c r="E126" s="14" t="s">
        <v>30</v>
      </c>
      <c r="F126" s="14">
        <v>2969</v>
      </c>
      <c r="G126" s="14">
        <v>556</v>
      </c>
      <c r="H126" s="14">
        <v>2</v>
      </c>
      <c r="I126" s="14">
        <v>1</v>
      </c>
      <c r="J126" s="14" t="s">
        <v>204</v>
      </c>
      <c r="K126" s="14" cm="1">
        <f t="array" ref="K126">INT(SUMPRODUCT(--ISNUMBER(SEARCH(economy,'Mark Kelly'!C126)))&gt;0)</f>
        <v>0</v>
      </c>
      <c r="L126" s="14" cm="1">
        <f t="array" ref="L126">INT(SUMPRODUCT(--ISNUMBER(SEARCH(healthcare,'Mark Kelly'!C126)))&gt;0)</f>
        <v>0</v>
      </c>
      <c r="M126" s="14" cm="1">
        <f t="array" ref="M126">INT(SUMPRODUCT(--ISNUMBER(SEARCH(supreme,'Mark Kelly'!C126)))&gt;0)</f>
        <v>0</v>
      </c>
      <c r="N126" s="14" cm="1">
        <f t="array" ref="N126">INT(SUMPRODUCT(--ISNUMBER(SEARCH(covid,'Mark Kelly'!C126)))&gt;0)</f>
        <v>0</v>
      </c>
      <c r="O126" s="14" cm="1">
        <f t="array" ref="O126">INT(SUMPRODUCT(--ISNUMBER(SEARCH(violent,'Mark Kelly'!C126)))&gt;0)</f>
        <v>0</v>
      </c>
      <c r="P126" s="14" cm="1">
        <f t="array" ref="P126">INT(SUMPRODUCT(--ISNUMBER(SEARCH(foreign,'Mark Kelly'!C126)))&gt;0)</f>
        <v>0</v>
      </c>
      <c r="Q126" s="14" cm="1">
        <f t="array" ref="Q126">INT(SUMPRODUCT(--ISNUMBER(SEARCH(gun,'Mark Kelly'!C126)))&gt;0)</f>
        <v>0</v>
      </c>
      <c r="R126" s="14" cm="1">
        <f t="array" ref="R126">INT(SUMPRODUCT(--ISNUMBER(SEARCH(race,'Mark Kelly'!C126)))&gt;0)</f>
        <v>0</v>
      </c>
      <c r="S126" s="14" cm="1">
        <f t="array" ref="S126">INT(SUMPRODUCT(--ISNUMBER(SEARCH(immigration,C126)))&gt;0)</f>
        <v>0</v>
      </c>
      <c r="T126" s="14" cm="1">
        <f t="array" ref="T126">INT(SUMPRODUCT(--ISNUMBER(SEARCH(econineq,C126)))&gt;0)</f>
        <v>0</v>
      </c>
      <c r="U126" s="14" cm="1">
        <f t="array" ref="U126">INT(SUMPRODUCT(--ISNUMBER(SEARCH(climate,'Mark Kelly'!C126)))&gt;0)</f>
        <v>0</v>
      </c>
      <c r="V126" s="14" cm="1">
        <f t="array" ref="V126">INT(SUMPRODUCT(--ISNUMBER(SEARCH(abortion,'Mark Kelly'!C126)))&gt;0)</f>
        <v>0</v>
      </c>
      <c r="W126" s="14" cm="1">
        <f t="array" ref="W126">INT(SUMPRODUCT(--ISNUMBER(SEARCH(trump,'Mark Kelly'!C126)))&gt;0)</f>
        <v>0</v>
      </c>
      <c r="X126" s="14" cm="1">
        <f t="array" ref="X126">INT(SUMPRODUCT(--ISNUMBER(SEARCH(voting,'Mark Kelly'!C126)))&gt;0)</f>
        <v>1</v>
      </c>
      <c r="Y126" s="14" cm="1">
        <f t="array" ref="Y126">INT(SUMPRODUCT(--ISNUMBER(SEARCH(democrattrigger,'Mark Kelly'!C126)))&gt;0)</f>
        <v>0</v>
      </c>
      <c r="Z126" s="14" cm="1">
        <f t="array" ref="Z126">INT(SUMPRODUCT(--ISNUMBER(SEARCH(bipartisan,'Mark Kelly'!C126)))&gt;0)</f>
        <v>0</v>
      </c>
      <c r="AA126" s="14">
        <f t="shared" si="1"/>
        <v>0</v>
      </c>
      <c r="AB126" s="14"/>
      <c r="AC126" s="30">
        <v>1</v>
      </c>
      <c r="AD126" s="37"/>
    </row>
    <row r="127" spans="1:30" x14ac:dyDescent="0.25">
      <c r="A127" s="36">
        <v>211</v>
      </c>
      <c r="B127" s="14" t="s">
        <v>454</v>
      </c>
      <c r="C127" s="31" t="s">
        <v>455</v>
      </c>
      <c r="D127" s="17">
        <v>44124</v>
      </c>
      <c r="E127" s="14" t="s">
        <v>30</v>
      </c>
      <c r="F127" s="14">
        <v>1592</v>
      </c>
      <c r="G127" s="14">
        <v>480</v>
      </c>
      <c r="H127" s="14">
        <v>2</v>
      </c>
      <c r="I127" s="14">
        <v>1</v>
      </c>
      <c r="J127" s="14" t="s">
        <v>204</v>
      </c>
      <c r="K127" s="14" cm="1">
        <f t="array" ref="K127">INT(SUMPRODUCT(--ISNUMBER(SEARCH(economy,'Mark Kelly'!C127)))&gt;0)</f>
        <v>1</v>
      </c>
      <c r="L127" s="14" cm="1">
        <f t="array" ref="L127">INT(SUMPRODUCT(--ISNUMBER(SEARCH(healthcare,'Mark Kelly'!C127)))&gt;0)</f>
        <v>0</v>
      </c>
      <c r="M127" s="14" cm="1">
        <f t="array" ref="M127">INT(SUMPRODUCT(--ISNUMBER(SEARCH(supreme,'Mark Kelly'!C127)))&gt;0)</f>
        <v>0</v>
      </c>
      <c r="N127" s="14" cm="1">
        <f t="array" ref="N127">INT(SUMPRODUCT(--ISNUMBER(SEARCH(covid,'Mark Kelly'!C127)))&gt;0)</f>
        <v>0</v>
      </c>
      <c r="O127" s="14" cm="1">
        <f t="array" ref="O127">INT(SUMPRODUCT(--ISNUMBER(SEARCH(violent,'Mark Kelly'!C127)))&gt;0)</f>
        <v>0</v>
      </c>
      <c r="P127" s="14" cm="1">
        <f t="array" ref="P127">INT(SUMPRODUCT(--ISNUMBER(SEARCH(foreign,'Mark Kelly'!C127)))&gt;0)</f>
        <v>0</v>
      </c>
      <c r="Q127" s="14" cm="1">
        <f t="array" ref="Q127">INT(SUMPRODUCT(--ISNUMBER(SEARCH(gun,'Mark Kelly'!C127)))&gt;0)</f>
        <v>0</v>
      </c>
      <c r="R127" s="14" cm="1">
        <f t="array" ref="R127">INT(SUMPRODUCT(--ISNUMBER(SEARCH(race,'Mark Kelly'!C127)))&gt;0)</f>
        <v>0</v>
      </c>
      <c r="S127" s="14" cm="1">
        <f t="array" ref="S127">INT(SUMPRODUCT(--ISNUMBER(SEARCH(immigration,C127)))&gt;0)</f>
        <v>0</v>
      </c>
      <c r="T127" s="14" cm="1">
        <f t="array" ref="T127">INT(SUMPRODUCT(--ISNUMBER(SEARCH(econineq,C127)))&gt;0)</f>
        <v>0</v>
      </c>
      <c r="U127" s="14" cm="1">
        <f t="array" ref="U127">INT(SUMPRODUCT(--ISNUMBER(SEARCH(climate,'Mark Kelly'!C127)))&gt;0)</f>
        <v>0</v>
      </c>
      <c r="V127" s="14" cm="1">
        <f t="array" ref="V127">INT(SUMPRODUCT(--ISNUMBER(SEARCH(abortion,'Mark Kelly'!C127)))&gt;0)</f>
        <v>0</v>
      </c>
      <c r="W127" s="14" cm="1">
        <f t="array" ref="W127">INT(SUMPRODUCT(--ISNUMBER(SEARCH(trump,'Mark Kelly'!C127)))&gt;0)</f>
        <v>0</v>
      </c>
      <c r="X127" s="14" cm="1">
        <f t="array" ref="X127">INT(SUMPRODUCT(--ISNUMBER(SEARCH(voting,'Mark Kelly'!C127)))&gt;0)</f>
        <v>0</v>
      </c>
      <c r="Y127" s="14" cm="1">
        <f t="array" ref="Y127">INT(SUMPRODUCT(--ISNUMBER(SEARCH(democrattrigger,'Mark Kelly'!C127)))&gt;0)</f>
        <v>0</v>
      </c>
      <c r="Z127" s="14" cm="1">
        <f t="array" ref="Z127">INT(SUMPRODUCT(--ISNUMBER(SEARCH(bipartisan,'Mark Kelly'!C127)))&gt;0)</f>
        <v>0</v>
      </c>
      <c r="AA127" s="14">
        <f t="shared" si="1"/>
        <v>0</v>
      </c>
      <c r="AB127" s="14"/>
      <c r="AC127" s="30">
        <v>0</v>
      </c>
      <c r="AD127" s="37">
        <v>1</v>
      </c>
    </row>
    <row r="128" spans="1:30" x14ac:dyDescent="0.25">
      <c r="A128" s="36">
        <v>212</v>
      </c>
      <c r="B128" s="14" t="s">
        <v>456</v>
      </c>
      <c r="C128" s="31" t="s">
        <v>457</v>
      </c>
      <c r="D128" s="17">
        <v>44124</v>
      </c>
      <c r="E128" s="14" t="s">
        <v>30</v>
      </c>
      <c r="F128" s="14">
        <v>4691</v>
      </c>
      <c r="G128" s="14">
        <v>1539</v>
      </c>
      <c r="H128" s="14">
        <v>2</v>
      </c>
      <c r="I128" s="14">
        <v>1</v>
      </c>
      <c r="J128" s="14" t="s">
        <v>204</v>
      </c>
      <c r="K128" s="14" cm="1">
        <f t="array" ref="K128">INT(SUMPRODUCT(--ISNUMBER(SEARCH(economy,'Mark Kelly'!C128)))&gt;0)</f>
        <v>0</v>
      </c>
      <c r="L128" s="14" cm="1">
        <f t="array" ref="L128">INT(SUMPRODUCT(--ISNUMBER(SEARCH(healthcare,'Mark Kelly'!C128)))&gt;0)</f>
        <v>0</v>
      </c>
      <c r="M128" s="14" cm="1">
        <f t="array" ref="M128">INT(SUMPRODUCT(--ISNUMBER(SEARCH(supreme,'Mark Kelly'!C128)))&gt;0)</f>
        <v>0</v>
      </c>
      <c r="N128" s="14" cm="1">
        <f t="array" ref="N128">INT(SUMPRODUCT(--ISNUMBER(SEARCH(covid,'Mark Kelly'!C128)))&gt;0)</f>
        <v>0</v>
      </c>
      <c r="O128" s="14" cm="1">
        <f t="array" ref="O128">INT(SUMPRODUCT(--ISNUMBER(SEARCH(violent,'Mark Kelly'!C128)))&gt;0)</f>
        <v>0</v>
      </c>
      <c r="P128" s="14" cm="1">
        <f t="array" ref="P128">INT(SUMPRODUCT(--ISNUMBER(SEARCH(foreign,'Mark Kelly'!C128)))&gt;0)</f>
        <v>0</v>
      </c>
      <c r="Q128" s="14" cm="1">
        <f t="array" ref="Q128">INT(SUMPRODUCT(--ISNUMBER(SEARCH(gun,'Mark Kelly'!C128)))&gt;0)</f>
        <v>0</v>
      </c>
      <c r="R128" s="14" cm="1">
        <f t="array" ref="R128">INT(SUMPRODUCT(--ISNUMBER(SEARCH(race,'Mark Kelly'!C128)))&gt;0)</f>
        <v>0</v>
      </c>
      <c r="S128" s="14" cm="1">
        <f t="array" ref="S128">INT(SUMPRODUCT(--ISNUMBER(SEARCH(immigration,C128)))&gt;0)</f>
        <v>0</v>
      </c>
      <c r="T128" s="14" cm="1">
        <f t="array" ref="T128">INT(SUMPRODUCT(--ISNUMBER(SEARCH(econineq,C128)))&gt;0)</f>
        <v>0</v>
      </c>
      <c r="U128" s="14" cm="1">
        <f t="array" ref="U128">INT(SUMPRODUCT(--ISNUMBER(SEARCH(climate,'Mark Kelly'!C128)))&gt;0)</f>
        <v>0</v>
      </c>
      <c r="V128" s="14" cm="1">
        <f t="array" ref="V128">INT(SUMPRODUCT(--ISNUMBER(SEARCH(abortion,'Mark Kelly'!C128)))&gt;0)</f>
        <v>0</v>
      </c>
      <c r="W128" s="14" cm="1">
        <f t="array" ref="W128">INT(SUMPRODUCT(--ISNUMBER(SEARCH(trump,'Mark Kelly'!C128)))&gt;0)</f>
        <v>0</v>
      </c>
      <c r="X128" s="14" cm="1">
        <f t="array" ref="X128">INT(SUMPRODUCT(--ISNUMBER(SEARCH(voting,'Mark Kelly'!C128)))&gt;0)</f>
        <v>1</v>
      </c>
      <c r="Y128" s="14" cm="1">
        <f t="array" ref="Y128">INT(SUMPRODUCT(--ISNUMBER(SEARCH(democrattrigger,'Mark Kelly'!C128)))&gt;0)</f>
        <v>0</v>
      </c>
      <c r="Z128" s="14" cm="1">
        <f t="array" ref="Z128">INT(SUMPRODUCT(--ISNUMBER(SEARCH(bipartisan,'Mark Kelly'!C128)))&gt;0)</f>
        <v>0</v>
      </c>
      <c r="AA128" s="14">
        <f t="shared" si="1"/>
        <v>0</v>
      </c>
      <c r="AB128" s="14"/>
      <c r="AC128" s="30" t="s">
        <v>223</v>
      </c>
      <c r="AD128" s="37"/>
    </row>
    <row r="129" spans="1:30" x14ac:dyDescent="0.25">
      <c r="A129" s="36">
        <v>213</v>
      </c>
      <c r="B129" s="14" t="s">
        <v>458</v>
      </c>
      <c r="C129" s="31" t="s">
        <v>459</v>
      </c>
      <c r="D129" s="17">
        <v>44124</v>
      </c>
      <c r="E129" s="14" t="s">
        <v>30</v>
      </c>
      <c r="F129" s="14">
        <v>1909</v>
      </c>
      <c r="G129" s="14">
        <v>609</v>
      </c>
      <c r="H129" s="14">
        <v>2</v>
      </c>
      <c r="I129" s="14">
        <v>1</v>
      </c>
      <c r="J129" s="14" t="s">
        <v>204</v>
      </c>
      <c r="K129" s="14" cm="1">
        <f t="array" ref="K129">INT(SUMPRODUCT(--ISNUMBER(SEARCH(economy,'Mark Kelly'!C129)))&gt;0)</f>
        <v>0</v>
      </c>
      <c r="L129" s="14" cm="1">
        <f t="array" ref="L129">INT(SUMPRODUCT(--ISNUMBER(SEARCH(healthcare,'Mark Kelly'!C129)))&gt;0)</f>
        <v>0</v>
      </c>
      <c r="M129" s="14" cm="1">
        <f t="array" ref="M129">INT(SUMPRODUCT(--ISNUMBER(SEARCH(supreme,'Mark Kelly'!C129)))&gt;0)</f>
        <v>0</v>
      </c>
      <c r="N129" s="14" cm="1">
        <f t="array" ref="N129">INT(SUMPRODUCT(--ISNUMBER(SEARCH(covid,'Mark Kelly'!C129)))&gt;0)</f>
        <v>0</v>
      </c>
      <c r="O129" s="14" cm="1">
        <f t="array" ref="O129">INT(SUMPRODUCT(--ISNUMBER(SEARCH(violent,'Mark Kelly'!C129)))&gt;0)</f>
        <v>0</v>
      </c>
      <c r="P129" s="14" cm="1">
        <f t="array" ref="P129">INT(SUMPRODUCT(--ISNUMBER(SEARCH(foreign,'Mark Kelly'!C129)))&gt;0)</f>
        <v>0</v>
      </c>
      <c r="Q129" s="14" cm="1">
        <f t="array" ref="Q129">INT(SUMPRODUCT(--ISNUMBER(SEARCH(gun,'Mark Kelly'!C129)))&gt;0)</f>
        <v>0</v>
      </c>
      <c r="R129" s="14" cm="1">
        <f t="array" ref="R129">INT(SUMPRODUCT(--ISNUMBER(SEARCH(race,'Mark Kelly'!C129)))&gt;0)</f>
        <v>0</v>
      </c>
      <c r="S129" s="14" cm="1">
        <f t="array" ref="S129">INT(SUMPRODUCT(--ISNUMBER(SEARCH(immigration,C129)))&gt;0)</f>
        <v>0</v>
      </c>
      <c r="T129" s="14" cm="1">
        <f t="array" ref="T129">INT(SUMPRODUCT(--ISNUMBER(SEARCH(econineq,C129)))&gt;0)</f>
        <v>0</v>
      </c>
      <c r="U129" s="14" cm="1">
        <f t="array" ref="U129">INT(SUMPRODUCT(--ISNUMBER(SEARCH(climate,'Mark Kelly'!C129)))&gt;0)</f>
        <v>0</v>
      </c>
      <c r="V129" s="14" cm="1">
        <f t="array" ref="V129">INT(SUMPRODUCT(--ISNUMBER(SEARCH(abortion,'Mark Kelly'!C129)))&gt;0)</f>
        <v>0</v>
      </c>
      <c r="W129" s="14" cm="1">
        <f t="array" ref="W129">INT(SUMPRODUCT(--ISNUMBER(SEARCH(trump,'Mark Kelly'!C129)))&gt;0)</f>
        <v>0</v>
      </c>
      <c r="X129" s="14" cm="1">
        <f t="array" ref="X129">INT(SUMPRODUCT(--ISNUMBER(SEARCH(voting,'Mark Kelly'!C129)))&gt;0)</f>
        <v>0</v>
      </c>
      <c r="Y129" s="14" cm="1">
        <f t="array" ref="Y129">INT(SUMPRODUCT(--ISNUMBER(SEARCH(democrattrigger,'Mark Kelly'!C129)))&gt;0)</f>
        <v>0</v>
      </c>
      <c r="Z129" s="14" cm="1">
        <f t="array" ref="Z129">INT(SUMPRODUCT(--ISNUMBER(SEARCH(bipartisan,'Mark Kelly'!C129)))&gt;0)</f>
        <v>0</v>
      </c>
      <c r="AA129" s="14">
        <f t="shared" si="1"/>
        <v>1</v>
      </c>
      <c r="AB129" s="14"/>
      <c r="AC129" s="30">
        <v>0</v>
      </c>
      <c r="AD129" s="37">
        <v>1</v>
      </c>
    </row>
    <row r="130" spans="1:30" x14ac:dyDescent="0.25">
      <c r="A130" s="36">
        <v>214</v>
      </c>
      <c r="B130" s="14" t="s">
        <v>460</v>
      </c>
      <c r="C130" s="31" t="s">
        <v>429</v>
      </c>
      <c r="D130" s="17">
        <v>44124</v>
      </c>
      <c r="E130" s="14" t="s">
        <v>30</v>
      </c>
      <c r="F130" s="14">
        <v>5872</v>
      </c>
      <c r="G130" s="14">
        <v>1363</v>
      </c>
      <c r="H130" s="14">
        <v>2</v>
      </c>
      <c r="I130" s="14">
        <v>1</v>
      </c>
      <c r="J130" s="14" t="s">
        <v>204</v>
      </c>
      <c r="K130" s="14" cm="1">
        <f t="array" ref="K130">INT(SUMPRODUCT(--ISNUMBER(SEARCH(economy,'Mark Kelly'!C130)))&gt;0)</f>
        <v>1</v>
      </c>
      <c r="L130" s="14" cm="1">
        <f t="array" ref="L130">INT(SUMPRODUCT(--ISNUMBER(SEARCH(healthcare,'Mark Kelly'!C130)))&gt;0)</f>
        <v>0</v>
      </c>
      <c r="M130" s="14" cm="1">
        <f t="array" ref="M130">INT(SUMPRODUCT(--ISNUMBER(SEARCH(supreme,'Mark Kelly'!C130)))&gt;0)</f>
        <v>0</v>
      </c>
      <c r="N130" s="14" cm="1">
        <f t="array" ref="N130">INT(SUMPRODUCT(--ISNUMBER(SEARCH(covid,'Mark Kelly'!C130)))&gt;0)</f>
        <v>0</v>
      </c>
      <c r="O130" s="14" cm="1">
        <f t="array" ref="O130">INT(SUMPRODUCT(--ISNUMBER(SEARCH(violent,'Mark Kelly'!C130)))&gt;0)</f>
        <v>0</v>
      </c>
      <c r="P130" s="14" cm="1">
        <f t="array" ref="P130">INT(SUMPRODUCT(--ISNUMBER(SEARCH(foreign,'Mark Kelly'!C130)))&gt;0)</f>
        <v>0</v>
      </c>
      <c r="Q130" s="14" cm="1">
        <f t="array" ref="Q130">INT(SUMPRODUCT(--ISNUMBER(SEARCH(gun,'Mark Kelly'!C130)))&gt;0)</f>
        <v>0</v>
      </c>
      <c r="R130" s="14" cm="1">
        <f t="array" ref="R130">INT(SUMPRODUCT(--ISNUMBER(SEARCH(race,'Mark Kelly'!C130)))&gt;0)</f>
        <v>0</v>
      </c>
      <c r="S130" s="14" cm="1">
        <f t="array" ref="S130">INT(SUMPRODUCT(--ISNUMBER(SEARCH(immigration,C130)))&gt;0)</f>
        <v>0</v>
      </c>
      <c r="T130" s="14" cm="1">
        <f t="array" ref="T130">INT(SUMPRODUCT(--ISNUMBER(SEARCH(econineq,C130)))&gt;0)</f>
        <v>0</v>
      </c>
      <c r="U130" s="14" cm="1">
        <f t="array" ref="U130">INT(SUMPRODUCT(--ISNUMBER(SEARCH(climate,'Mark Kelly'!C130)))&gt;0)</f>
        <v>0</v>
      </c>
      <c r="V130" s="14" cm="1">
        <f t="array" ref="V130">INT(SUMPRODUCT(--ISNUMBER(SEARCH(abortion,'Mark Kelly'!C130)))&gt;0)</f>
        <v>0</v>
      </c>
      <c r="W130" s="14" cm="1">
        <f t="array" ref="W130">INT(SUMPRODUCT(--ISNUMBER(SEARCH(trump,'Mark Kelly'!C130)))&gt;0)</f>
        <v>0</v>
      </c>
      <c r="X130" s="14" cm="1">
        <f t="array" ref="X130">INT(SUMPRODUCT(--ISNUMBER(SEARCH(voting,'Mark Kelly'!C130)))&gt;0)</f>
        <v>0</v>
      </c>
      <c r="Y130" s="14" cm="1">
        <f t="array" ref="Y130">INT(SUMPRODUCT(--ISNUMBER(SEARCH(democrattrigger,'Mark Kelly'!C130)))&gt;0)</f>
        <v>0</v>
      </c>
      <c r="Z130" s="14" cm="1">
        <f t="array" ref="Z130">INT(SUMPRODUCT(--ISNUMBER(SEARCH(bipartisan,'Mark Kelly'!C130)))&gt;0)</f>
        <v>0</v>
      </c>
      <c r="AA130" s="14">
        <f t="shared" si="1"/>
        <v>0</v>
      </c>
      <c r="AB130" s="14"/>
      <c r="AC130" s="30" t="s">
        <v>223</v>
      </c>
      <c r="AD130" s="37"/>
    </row>
    <row r="131" spans="1:30" x14ac:dyDescent="0.25">
      <c r="A131" s="36">
        <v>215</v>
      </c>
      <c r="B131" s="14" t="s">
        <v>461</v>
      </c>
      <c r="C131" s="31" t="s">
        <v>462</v>
      </c>
      <c r="D131" s="17">
        <v>44124</v>
      </c>
      <c r="E131" s="14" t="s">
        <v>30</v>
      </c>
      <c r="F131" s="14">
        <v>731</v>
      </c>
      <c r="G131" s="14">
        <v>238</v>
      </c>
      <c r="H131" s="14">
        <v>2</v>
      </c>
      <c r="I131" s="14">
        <v>1</v>
      </c>
      <c r="J131" s="14" t="s">
        <v>204</v>
      </c>
      <c r="K131" s="14" cm="1">
        <f t="array" ref="K131">INT(SUMPRODUCT(--ISNUMBER(SEARCH(economy,'Mark Kelly'!C131)))&gt;0)</f>
        <v>0</v>
      </c>
      <c r="L131" s="14" cm="1">
        <f t="array" ref="L131">INT(SUMPRODUCT(--ISNUMBER(SEARCH(healthcare,'Mark Kelly'!C131)))&gt;0)</f>
        <v>1</v>
      </c>
      <c r="M131" s="14" cm="1">
        <f t="array" ref="M131">INT(SUMPRODUCT(--ISNUMBER(SEARCH(supreme,'Mark Kelly'!C131)))&gt;0)</f>
        <v>0</v>
      </c>
      <c r="N131" s="14" cm="1">
        <f t="array" ref="N131">INT(SUMPRODUCT(--ISNUMBER(SEARCH(covid,'Mark Kelly'!C131)))&gt;0)</f>
        <v>0</v>
      </c>
      <c r="O131" s="14" cm="1">
        <f t="array" ref="O131">INT(SUMPRODUCT(--ISNUMBER(SEARCH(violent,'Mark Kelly'!C131)))&gt;0)</f>
        <v>0</v>
      </c>
      <c r="P131" s="14" cm="1">
        <f t="array" ref="P131">INT(SUMPRODUCT(--ISNUMBER(SEARCH(foreign,'Mark Kelly'!C131)))&gt;0)</f>
        <v>0</v>
      </c>
      <c r="Q131" s="14" cm="1">
        <f t="array" ref="Q131">INT(SUMPRODUCT(--ISNUMBER(SEARCH(gun,'Mark Kelly'!C131)))&gt;0)</f>
        <v>0</v>
      </c>
      <c r="R131" s="14" cm="1">
        <f t="array" ref="R131">INT(SUMPRODUCT(--ISNUMBER(SEARCH(race,'Mark Kelly'!C131)))&gt;0)</f>
        <v>0</v>
      </c>
      <c r="S131" s="14" cm="1">
        <f t="array" ref="S131">INT(SUMPRODUCT(--ISNUMBER(SEARCH(immigration,C131)))&gt;0)</f>
        <v>0</v>
      </c>
      <c r="T131" s="14" cm="1">
        <f t="array" ref="T131">INT(SUMPRODUCT(--ISNUMBER(SEARCH(econineq,C131)))&gt;0)</f>
        <v>0</v>
      </c>
      <c r="U131" s="14" cm="1">
        <f t="array" ref="U131">INT(SUMPRODUCT(--ISNUMBER(SEARCH(climate,'Mark Kelly'!C131)))&gt;0)</f>
        <v>0</v>
      </c>
      <c r="V131" s="14" cm="1">
        <f t="array" ref="V131">INT(SUMPRODUCT(--ISNUMBER(SEARCH(abortion,'Mark Kelly'!C131)))&gt;0)</f>
        <v>0</v>
      </c>
      <c r="W131" s="14" cm="1">
        <f t="array" ref="W131">INT(SUMPRODUCT(--ISNUMBER(SEARCH(trump,'Mark Kelly'!C131)))&gt;0)</f>
        <v>0</v>
      </c>
      <c r="X131" s="14" cm="1">
        <f t="array" ref="X131">INT(SUMPRODUCT(--ISNUMBER(SEARCH(voting,'Mark Kelly'!C131)))&gt;0)</f>
        <v>0</v>
      </c>
      <c r="Y131" s="14" cm="1">
        <f t="array" ref="Y131">INT(SUMPRODUCT(--ISNUMBER(SEARCH(democrattrigger,'Mark Kelly'!C131)))&gt;0)</f>
        <v>0</v>
      </c>
      <c r="Z131" s="14" cm="1">
        <f t="array" ref="Z131">INT(SUMPRODUCT(--ISNUMBER(SEARCH(bipartisan,'Mark Kelly'!C131)))&gt;0)</f>
        <v>0</v>
      </c>
      <c r="AA131" s="14">
        <f t="shared" ref="AA131:AA194" si="2">INT(IF(COUNTIF(K131:Z131,1)=0,"1","0"))</f>
        <v>0</v>
      </c>
      <c r="AB131" s="14"/>
      <c r="AC131" s="30">
        <v>0</v>
      </c>
      <c r="AD131" s="37">
        <v>1</v>
      </c>
    </row>
    <row r="132" spans="1:30" x14ac:dyDescent="0.25">
      <c r="A132" s="36">
        <v>216</v>
      </c>
      <c r="B132" s="14" t="s">
        <v>463</v>
      </c>
      <c r="C132" s="31" t="s">
        <v>464</v>
      </c>
      <c r="D132" s="17">
        <v>44123</v>
      </c>
      <c r="E132" s="14" t="s">
        <v>30</v>
      </c>
      <c r="F132" s="14">
        <v>7678</v>
      </c>
      <c r="G132" s="14">
        <v>1565</v>
      </c>
      <c r="H132" s="14">
        <v>2</v>
      </c>
      <c r="I132" s="14">
        <v>1</v>
      </c>
      <c r="J132" s="14" t="s">
        <v>204</v>
      </c>
      <c r="K132" s="14" cm="1">
        <f t="array" ref="K132">INT(SUMPRODUCT(--ISNUMBER(SEARCH(economy,'Mark Kelly'!C132)))&gt;0)</f>
        <v>0</v>
      </c>
      <c r="L132" s="14" cm="1">
        <f t="array" ref="L132">INT(SUMPRODUCT(--ISNUMBER(SEARCH(healthcare,'Mark Kelly'!C132)))&gt;0)</f>
        <v>0</v>
      </c>
      <c r="M132" s="14" cm="1">
        <f t="array" ref="M132">INT(SUMPRODUCT(--ISNUMBER(SEARCH(supreme,'Mark Kelly'!C132)))&gt;0)</f>
        <v>0</v>
      </c>
      <c r="N132" s="14" cm="1">
        <f t="array" ref="N132">INT(SUMPRODUCT(--ISNUMBER(SEARCH(covid,'Mark Kelly'!C132)))&gt;0)</f>
        <v>0</v>
      </c>
      <c r="O132" s="14" cm="1">
        <f t="array" ref="O132">INT(SUMPRODUCT(--ISNUMBER(SEARCH(violent,'Mark Kelly'!C132)))&gt;0)</f>
        <v>0</v>
      </c>
      <c r="P132" s="14" cm="1">
        <f t="array" ref="P132">INT(SUMPRODUCT(--ISNUMBER(SEARCH(foreign,'Mark Kelly'!C132)))&gt;0)</f>
        <v>0</v>
      </c>
      <c r="Q132" s="14" cm="1">
        <f t="array" ref="Q132">INT(SUMPRODUCT(--ISNUMBER(SEARCH(gun,'Mark Kelly'!C132)))&gt;0)</f>
        <v>0</v>
      </c>
      <c r="R132" s="14" cm="1">
        <f t="array" ref="R132">INT(SUMPRODUCT(--ISNUMBER(SEARCH(race,'Mark Kelly'!C132)))&gt;0)</f>
        <v>0</v>
      </c>
      <c r="S132" s="14" cm="1">
        <f t="array" ref="S132">INT(SUMPRODUCT(--ISNUMBER(SEARCH(immigration,C132)))&gt;0)</f>
        <v>0</v>
      </c>
      <c r="T132" s="14" cm="1">
        <f t="array" ref="T132">INT(SUMPRODUCT(--ISNUMBER(SEARCH(econineq,C132)))&gt;0)</f>
        <v>0</v>
      </c>
      <c r="U132" s="14" cm="1">
        <f t="array" ref="U132">INT(SUMPRODUCT(--ISNUMBER(SEARCH(climate,'Mark Kelly'!C132)))&gt;0)</f>
        <v>0</v>
      </c>
      <c r="V132" s="14" cm="1">
        <f t="array" ref="V132">INT(SUMPRODUCT(--ISNUMBER(SEARCH(abortion,'Mark Kelly'!C132)))&gt;0)</f>
        <v>0</v>
      </c>
      <c r="W132" s="14" cm="1">
        <f t="array" ref="W132">INT(SUMPRODUCT(--ISNUMBER(SEARCH(trump,'Mark Kelly'!C132)))&gt;0)</f>
        <v>0</v>
      </c>
      <c r="X132" s="14" cm="1">
        <f t="array" ref="X132">INT(SUMPRODUCT(--ISNUMBER(SEARCH(voting,'Mark Kelly'!C132)))&gt;0)</f>
        <v>1</v>
      </c>
      <c r="Y132" s="14" cm="1">
        <f t="array" ref="Y132">INT(SUMPRODUCT(--ISNUMBER(SEARCH(democrattrigger,'Mark Kelly'!C132)))&gt;0)</f>
        <v>0</v>
      </c>
      <c r="Z132" s="14" cm="1">
        <f t="array" ref="Z132">INT(SUMPRODUCT(--ISNUMBER(SEARCH(bipartisan,'Mark Kelly'!C132)))&gt;0)</f>
        <v>0</v>
      </c>
      <c r="AA132" s="14">
        <f t="shared" si="2"/>
        <v>0</v>
      </c>
      <c r="AB132" s="14"/>
      <c r="AC132" s="30">
        <v>1</v>
      </c>
      <c r="AD132" s="37"/>
    </row>
    <row r="133" spans="1:30" x14ac:dyDescent="0.25">
      <c r="A133" s="36">
        <v>217</v>
      </c>
      <c r="B133" s="14" t="s">
        <v>465</v>
      </c>
      <c r="C133" s="31" t="s">
        <v>466</v>
      </c>
      <c r="D133" s="17">
        <v>44123</v>
      </c>
      <c r="E133" s="14" t="s">
        <v>30</v>
      </c>
      <c r="F133" s="14">
        <v>1179</v>
      </c>
      <c r="G133" s="14">
        <v>441</v>
      </c>
      <c r="H133" s="14">
        <v>2</v>
      </c>
      <c r="I133" s="14">
        <v>1</v>
      </c>
      <c r="J133" s="14" t="s">
        <v>204</v>
      </c>
      <c r="K133" s="14" cm="1">
        <f t="array" ref="K133">INT(SUMPRODUCT(--ISNUMBER(SEARCH(economy,'Mark Kelly'!C133)))&gt;0)</f>
        <v>0</v>
      </c>
      <c r="L133" s="14" cm="1">
        <f t="array" ref="L133">INT(SUMPRODUCT(--ISNUMBER(SEARCH(healthcare,'Mark Kelly'!C133)))&gt;0)</f>
        <v>0</v>
      </c>
      <c r="M133" s="14" cm="1">
        <f t="array" ref="M133">INT(SUMPRODUCT(--ISNUMBER(SEARCH(supreme,'Mark Kelly'!C133)))&gt;0)</f>
        <v>0</v>
      </c>
      <c r="N133" s="14" cm="1">
        <f t="array" ref="N133">INT(SUMPRODUCT(--ISNUMBER(SEARCH(covid,'Mark Kelly'!C133)))&gt;0)</f>
        <v>0</v>
      </c>
      <c r="O133" s="14" cm="1">
        <f t="array" ref="O133">INT(SUMPRODUCT(--ISNUMBER(SEARCH(violent,'Mark Kelly'!C133)))&gt;0)</f>
        <v>0</v>
      </c>
      <c r="P133" s="14" cm="1">
        <f t="array" ref="P133">INT(SUMPRODUCT(--ISNUMBER(SEARCH(foreign,'Mark Kelly'!C133)))&gt;0)</f>
        <v>0</v>
      </c>
      <c r="Q133" s="14" cm="1">
        <f t="array" ref="Q133">INT(SUMPRODUCT(--ISNUMBER(SEARCH(gun,'Mark Kelly'!C133)))&gt;0)</f>
        <v>0</v>
      </c>
      <c r="R133" s="14" cm="1">
        <f t="array" ref="R133">INT(SUMPRODUCT(--ISNUMBER(SEARCH(race,'Mark Kelly'!C133)))&gt;0)</f>
        <v>0</v>
      </c>
      <c r="S133" s="14" cm="1">
        <f t="array" ref="S133">INT(SUMPRODUCT(--ISNUMBER(SEARCH(immigration,C133)))&gt;0)</f>
        <v>0</v>
      </c>
      <c r="T133" s="14" cm="1">
        <f t="array" ref="T133">INT(SUMPRODUCT(--ISNUMBER(SEARCH(econineq,C133)))&gt;0)</f>
        <v>0</v>
      </c>
      <c r="U133" s="14" cm="1">
        <f t="array" ref="U133">INT(SUMPRODUCT(--ISNUMBER(SEARCH(climate,'Mark Kelly'!C133)))&gt;0)</f>
        <v>0</v>
      </c>
      <c r="V133" s="14" cm="1">
        <f t="array" ref="V133">INT(SUMPRODUCT(--ISNUMBER(SEARCH(abortion,'Mark Kelly'!C133)))&gt;0)</f>
        <v>0</v>
      </c>
      <c r="W133" s="14" cm="1">
        <f t="array" ref="W133">INT(SUMPRODUCT(--ISNUMBER(SEARCH(trump,'Mark Kelly'!C133)))&gt;0)</f>
        <v>0</v>
      </c>
      <c r="X133" s="14" cm="1">
        <f t="array" ref="X133">INT(SUMPRODUCT(--ISNUMBER(SEARCH(voting,'Mark Kelly'!C133)))&gt;0)</f>
        <v>0</v>
      </c>
      <c r="Y133" s="14" cm="1">
        <f t="array" ref="Y133">INT(SUMPRODUCT(--ISNUMBER(SEARCH(democrattrigger,'Mark Kelly'!C133)))&gt;0)</f>
        <v>0</v>
      </c>
      <c r="Z133" s="14" cm="1">
        <f t="array" ref="Z133">INT(SUMPRODUCT(--ISNUMBER(SEARCH(bipartisan,'Mark Kelly'!C133)))&gt;0)</f>
        <v>0</v>
      </c>
      <c r="AA133" s="14">
        <f t="shared" si="2"/>
        <v>1</v>
      </c>
      <c r="AB133" s="14"/>
      <c r="AC133" s="30" t="s">
        <v>223</v>
      </c>
      <c r="AD133" s="37"/>
    </row>
    <row r="134" spans="1:30" x14ac:dyDescent="0.25">
      <c r="A134" s="36">
        <v>218</v>
      </c>
      <c r="B134" s="14" t="s">
        <v>467</v>
      </c>
      <c r="C134" s="31" t="s">
        <v>468</v>
      </c>
      <c r="D134" s="17">
        <v>44123</v>
      </c>
      <c r="E134" s="14" t="s">
        <v>30</v>
      </c>
      <c r="F134" s="14">
        <v>2567</v>
      </c>
      <c r="G134" s="14">
        <v>521</v>
      </c>
      <c r="H134" s="14">
        <v>2</v>
      </c>
      <c r="I134" s="14">
        <v>1</v>
      </c>
      <c r="J134" s="14" t="s">
        <v>204</v>
      </c>
      <c r="K134" s="14" cm="1">
        <f t="array" ref="K134">INT(SUMPRODUCT(--ISNUMBER(SEARCH(economy,'Mark Kelly'!C134)))&gt;0)</f>
        <v>0</v>
      </c>
      <c r="L134" s="14" cm="1">
        <f t="array" ref="L134">INT(SUMPRODUCT(--ISNUMBER(SEARCH(healthcare,'Mark Kelly'!C134)))&gt;0)</f>
        <v>0</v>
      </c>
      <c r="M134" s="14" cm="1">
        <f t="array" ref="M134">INT(SUMPRODUCT(--ISNUMBER(SEARCH(supreme,'Mark Kelly'!C134)))&gt;0)</f>
        <v>0</v>
      </c>
      <c r="N134" s="14" cm="1">
        <f t="array" ref="N134">INT(SUMPRODUCT(--ISNUMBER(SEARCH(covid,'Mark Kelly'!C134)))&gt;0)</f>
        <v>0</v>
      </c>
      <c r="O134" s="14" cm="1">
        <f t="array" ref="O134">INT(SUMPRODUCT(--ISNUMBER(SEARCH(violent,'Mark Kelly'!C134)))&gt;0)</f>
        <v>0</v>
      </c>
      <c r="P134" s="14" cm="1">
        <f t="array" ref="P134">INT(SUMPRODUCT(--ISNUMBER(SEARCH(foreign,'Mark Kelly'!C134)))&gt;0)</f>
        <v>1</v>
      </c>
      <c r="Q134" s="14" cm="1">
        <f t="array" ref="Q134">INT(SUMPRODUCT(--ISNUMBER(SEARCH(gun,'Mark Kelly'!C134)))&gt;0)</f>
        <v>0</v>
      </c>
      <c r="R134" s="14" cm="1">
        <f t="array" ref="R134">INT(SUMPRODUCT(--ISNUMBER(SEARCH(race,'Mark Kelly'!C134)))&gt;0)</f>
        <v>0</v>
      </c>
      <c r="S134" s="14" cm="1">
        <f t="array" ref="S134">INT(SUMPRODUCT(--ISNUMBER(SEARCH(immigration,C134)))&gt;0)</f>
        <v>0</v>
      </c>
      <c r="T134" s="14" cm="1">
        <f t="array" ref="T134">INT(SUMPRODUCT(--ISNUMBER(SEARCH(econineq,C134)))&gt;0)</f>
        <v>0</v>
      </c>
      <c r="U134" s="14" cm="1">
        <f t="array" ref="U134">INT(SUMPRODUCT(--ISNUMBER(SEARCH(climate,'Mark Kelly'!C134)))&gt;0)</f>
        <v>0</v>
      </c>
      <c r="V134" s="14" cm="1">
        <f t="array" ref="V134">INT(SUMPRODUCT(--ISNUMBER(SEARCH(abortion,'Mark Kelly'!C134)))&gt;0)</f>
        <v>0</v>
      </c>
      <c r="W134" s="14" cm="1">
        <f t="array" ref="W134">INT(SUMPRODUCT(--ISNUMBER(SEARCH(trump,'Mark Kelly'!C134)))&gt;0)</f>
        <v>0</v>
      </c>
      <c r="X134" s="14" cm="1">
        <f t="array" ref="X134">INT(SUMPRODUCT(--ISNUMBER(SEARCH(voting,'Mark Kelly'!C134)))&gt;0)</f>
        <v>0</v>
      </c>
      <c r="Y134" s="14" cm="1">
        <f t="array" ref="Y134">INT(SUMPRODUCT(--ISNUMBER(SEARCH(democrattrigger,'Mark Kelly'!C134)))&gt;0)</f>
        <v>0</v>
      </c>
      <c r="Z134" s="14" cm="1">
        <f t="array" ref="Z134">INT(SUMPRODUCT(--ISNUMBER(SEARCH(bipartisan,'Mark Kelly'!C134)))&gt;0)</f>
        <v>0</v>
      </c>
      <c r="AA134" s="14">
        <f t="shared" si="2"/>
        <v>0</v>
      </c>
      <c r="AB134" s="14"/>
      <c r="AC134" s="30">
        <v>1</v>
      </c>
      <c r="AD134" s="37"/>
    </row>
    <row r="135" spans="1:30" x14ac:dyDescent="0.25">
      <c r="A135" s="36">
        <v>219</v>
      </c>
      <c r="B135" s="14" t="s">
        <v>469</v>
      </c>
      <c r="C135" s="31" t="s">
        <v>470</v>
      </c>
      <c r="D135" s="17">
        <v>44123</v>
      </c>
      <c r="E135" s="14" t="s">
        <v>30</v>
      </c>
      <c r="F135" s="14">
        <v>5739</v>
      </c>
      <c r="G135" s="14">
        <v>1299</v>
      </c>
      <c r="H135" s="14">
        <v>2</v>
      </c>
      <c r="I135" s="14">
        <v>1</v>
      </c>
      <c r="J135" s="14" t="s">
        <v>204</v>
      </c>
      <c r="K135" s="14" cm="1">
        <f t="array" ref="K135">INT(SUMPRODUCT(--ISNUMBER(SEARCH(economy,'Mark Kelly'!C135)))&gt;0)</f>
        <v>0</v>
      </c>
      <c r="L135" s="14" cm="1">
        <f t="array" ref="L135">INT(SUMPRODUCT(--ISNUMBER(SEARCH(healthcare,'Mark Kelly'!C135)))&gt;0)</f>
        <v>0</v>
      </c>
      <c r="M135" s="14" cm="1">
        <f t="array" ref="M135">INT(SUMPRODUCT(--ISNUMBER(SEARCH(supreme,'Mark Kelly'!C135)))&gt;0)</f>
        <v>0</v>
      </c>
      <c r="N135" s="14" cm="1">
        <f t="array" ref="N135">INT(SUMPRODUCT(--ISNUMBER(SEARCH(covid,'Mark Kelly'!C135)))&gt;0)</f>
        <v>0</v>
      </c>
      <c r="O135" s="14" cm="1">
        <f t="array" ref="O135">INT(SUMPRODUCT(--ISNUMBER(SEARCH(violent,'Mark Kelly'!C135)))&gt;0)</f>
        <v>0</v>
      </c>
      <c r="P135" s="14" cm="1">
        <f t="array" ref="P135">INT(SUMPRODUCT(--ISNUMBER(SEARCH(foreign,'Mark Kelly'!C135)))&gt;0)</f>
        <v>0</v>
      </c>
      <c r="Q135" s="14" cm="1">
        <f t="array" ref="Q135">INT(SUMPRODUCT(--ISNUMBER(SEARCH(gun,'Mark Kelly'!C135)))&gt;0)</f>
        <v>0</v>
      </c>
      <c r="R135" s="14" cm="1">
        <f t="array" ref="R135">INT(SUMPRODUCT(--ISNUMBER(SEARCH(race,'Mark Kelly'!C135)))&gt;0)</f>
        <v>0</v>
      </c>
      <c r="S135" s="14" cm="1">
        <f t="array" ref="S135">INT(SUMPRODUCT(--ISNUMBER(SEARCH(immigration,C135)))&gt;0)</f>
        <v>0</v>
      </c>
      <c r="T135" s="14" cm="1">
        <f t="array" ref="T135">INT(SUMPRODUCT(--ISNUMBER(SEARCH(econineq,C135)))&gt;0)</f>
        <v>0</v>
      </c>
      <c r="U135" s="14" cm="1">
        <f t="array" ref="U135">INT(SUMPRODUCT(--ISNUMBER(SEARCH(climate,'Mark Kelly'!C135)))&gt;0)</f>
        <v>1</v>
      </c>
      <c r="V135" s="14" cm="1">
        <f t="array" ref="V135">INT(SUMPRODUCT(--ISNUMBER(SEARCH(abortion,'Mark Kelly'!C135)))&gt;0)</f>
        <v>0</v>
      </c>
      <c r="W135" s="14" cm="1">
        <f t="array" ref="W135">INT(SUMPRODUCT(--ISNUMBER(SEARCH(trump,'Mark Kelly'!C135)))&gt;0)</f>
        <v>0</v>
      </c>
      <c r="X135" s="14" cm="1">
        <f t="array" ref="X135">INT(SUMPRODUCT(--ISNUMBER(SEARCH(voting,'Mark Kelly'!C135)))&gt;0)</f>
        <v>0</v>
      </c>
      <c r="Y135" s="14" cm="1">
        <f t="array" ref="Y135">INT(SUMPRODUCT(--ISNUMBER(SEARCH(democrattrigger,'Mark Kelly'!C135)))&gt;0)</f>
        <v>0</v>
      </c>
      <c r="Z135" s="14" cm="1">
        <f t="array" ref="Z135">INT(SUMPRODUCT(--ISNUMBER(SEARCH(bipartisan,'Mark Kelly'!C135)))&gt;0)</f>
        <v>0</v>
      </c>
      <c r="AA135" s="14">
        <f t="shared" si="2"/>
        <v>0</v>
      </c>
      <c r="AB135" s="14"/>
      <c r="AC135" s="30" t="s">
        <v>223</v>
      </c>
      <c r="AD135" s="37"/>
    </row>
    <row r="136" spans="1:30" x14ac:dyDescent="0.25">
      <c r="A136" s="36">
        <v>220</v>
      </c>
      <c r="B136" s="14" t="s">
        <v>471</v>
      </c>
      <c r="C136" s="31" t="s">
        <v>472</v>
      </c>
      <c r="D136" s="17">
        <v>44123</v>
      </c>
      <c r="E136" s="14" t="s">
        <v>30</v>
      </c>
      <c r="F136" s="14">
        <v>1187</v>
      </c>
      <c r="G136" s="14">
        <v>344</v>
      </c>
      <c r="H136" s="14">
        <v>2</v>
      </c>
      <c r="I136" s="14">
        <v>1</v>
      </c>
      <c r="J136" s="14" t="s">
        <v>204</v>
      </c>
      <c r="K136" s="14" cm="1">
        <f t="array" ref="K136">INT(SUMPRODUCT(--ISNUMBER(SEARCH(economy,'Mark Kelly'!C136)))&gt;0)</f>
        <v>0</v>
      </c>
      <c r="L136" s="14" cm="1">
        <f t="array" ref="L136">INT(SUMPRODUCT(--ISNUMBER(SEARCH(healthcare,'Mark Kelly'!C136)))&gt;0)</f>
        <v>1</v>
      </c>
      <c r="M136" s="14" cm="1">
        <f t="array" ref="M136">INT(SUMPRODUCT(--ISNUMBER(SEARCH(supreme,'Mark Kelly'!C136)))&gt;0)</f>
        <v>0</v>
      </c>
      <c r="N136" s="14" cm="1">
        <f t="array" ref="N136">INT(SUMPRODUCT(--ISNUMBER(SEARCH(covid,'Mark Kelly'!C136)))&gt;0)</f>
        <v>0</v>
      </c>
      <c r="O136" s="14" cm="1">
        <f t="array" ref="O136">INT(SUMPRODUCT(--ISNUMBER(SEARCH(violent,'Mark Kelly'!C136)))&gt;0)</f>
        <v>0</v>
      </c>
      <c r="P136" s="14" cm="1">
        <f t="array" ref="P136">INT(SUMPRODUCT(--ISNUMBER(SEARCH(foreign,'Mark Kelly'!C136)))&gt;0)</f>
        <v>0</v>
      </c>
      <c r="Q136" s="14" cm="1">
        <f t="array" ref="Q136">INT(SUMPRODUCT(--ISNUMBER(SEARCH(gun,'Mark Kelly'!C136)))&gt;0)</f>
        <v>0</v>
      </c>
      <c r="R136" s="14" cm="1">
        <f t="array" ref="R136">INT(SUMPRODUCT(--ISNUMBER(SEARCH(race,'Mark Kelly'!C136)))&gt;0)</f>
        <v>0</v>
      </c>
      <c r="S136" s="14" cm="1">
        <f t="array" ref="S136">INT(SUMPRODUCT(--ISNUMBER(SEARCH(immigration,C136)))&gt;0)</f>
        <v>0</v>
      </c>
      <c r="T136" s="14" cm="1">
        <f t="array" ref="T136">INT(SUMPRODUCT(--ISNUMBER(SEARCH(econineq,C136)))&gt;0)</f>
        <v>0</v>
      </c>
      <c r="U136" s="14" cm="1">
        <f t="array" ref="U136">INT(SUMPRODUCT(--ISNUMBER(SEARCH(climate,'Mark Kelly'!C136)))&gt;0)</f>
        <v>0</v>
      </c>
      <c r="V136" s="14" cm="1">
        <f t="array" ref="V136">INT(SUMPRODUCT(--ISNUMBER(SEARCH(abortion,'Mark Kelly'!C136)))&gt;0)</f>
        <v>0</v>
      </c>
      <c r="W136" s="14" cm="1">
        <f t="array" ref="W136">INT(SUMPRODUCT(--ISNUMBER(SEARCH(trump,'Mark Kelly'!C136)))&gt;0)</f>
        <v>0</v>
      </c>
      <c r="X136" s="14" cm="1">
        <f t="array" ref="X136">INT(SUMPRODUCT(--ISNUMBER(SEARCH(voting,'Mark Kelly'!C136)))&gt;0)</f>
        <v>0</v>
      </c>
      <c r="Y136" s="14" cm="1">
        <f t="array" ref="Y136">INT(SUMPRODUCT(--ISNUMBER(SEARCH(democrattrigger,'Mark Kelly'!C136)))&gt;0)</f>
        <v>0</v>
      </c>
      <c r="Z136" s="14" cm="1">
        <f t="array" ref="Z136">INT(SUMPRODUCT(--ISNUMBER(SEARCH(bipartisan,'Mark Kelly'!C136)))&gt;0)</f>
        <v>0</v>
      </c>
      <c r="AA136" s="14">
        <f t="shared" si="2"/>
        <v>0</v>
      </c>
      <c r="AB136" s="14"/>
      <c r="AC136" s="30">
        <v>0</v>
      </c>
      <c r="AD136" s="37"/>
    </row>
    <row r="137" spans="1:30" x14ac:dyDescent="0.25">
      <c r="A137" s="36">
        <v>221</v>
      </c>
      <c r="B137" s="14" t="s">
        <v>473</v>
      </c>
      <c r="C137" s="31" t="s">
        <v>474</v>
      </c>
      <c r="D137" s="17">
        <v>44123</v>
      </c>
      <c r="E137" s="14" t="s">
        <v>30</v>
      </c>
      <c r="F137" s="14">
        <v>28074</v>
      </c>
      <c r="G137" s="14">
        <v>3219</v>
      </c>
      <c r="H137" s="14">
        <v>2</v>
      </c>
      <c r="I137" s="14">
        <v>1</v>
      </c>
      <c r="J137" s="14" t="s">
        <v>204</v>
      </c>
      <c r="K137" s="14" cm="1">
        <f t="array" ref="K137">INT(SUMPRODUCT(--ISNUMBER(SEARCH(economy,'Mark Kelly'!C137)))&gt;0)</f>
        <v>0</v>
      </c>
      <c r="L137" s="14" cm="1">
        <f t="array" ref="L137">INT(SUMPRODUCT(--ISNUMBER(SEARCH(healthcare,'Mark Kelly'!C137)))&gt;0)</f>
        <v>0</v>
      </c>
      <c r="M137" s="14" cm="1">
        <f t="array" ref="M137">INT(SUMPRODUCT(--ISNUMBER(SEARCH(supreme,'Mark Kelly'!C137)))&gt;0)</f>
        <v>0</v>
      </c>
      <c r="N137" s="14" cm="1">
        <f t="array" ref="N137">INT(SUMPRODUCT(--ISNUMBER(SEARCH(covid,'Mark Kelly'!C137)))&gt;0)</f>
        <v>0</v>
      </c>
      <c r="O137" s="14" cm="1">
        <f t="array" ref="O137">INT(SUMPRODUCT(--ISNUMBER(SEARCH(violent,'Mark Kelly'!C137)))&gt;0)</f>
        <v>0</v>
      </c>
      <c r="P137" s="14" cm="1">
        <f t="array" ref="P137">INT(SUMPRODUCT(--ISNUMBER(SEARCH(foreign,'Mark Kelly'!C137)))&gt;0)</f>
        <v>0</v>
      </c>
      <c r="Q137" s="14" cm="1">
        <f t="array" ref="Q137">INT(SUMPRODUCT(--ISNUMBER(SEARCH(gun,'Mark Kelly'!C137)))&gt;0)</f>
        <v>0</v>
      </c>
      <c r="R137" s="14" cm="1">
        <f t="array" ref="R137">INT(SUMPRODUCT(--ISNUMBER(SEARCH(race,'Mark Kelly'!C137)))&gt;0)</f>
        <v>0</v>
      </c>
      <c r="S137" s="14" cm="1">
        <f t="array" ref="S137">INT(SUMPRODUCT(--ISNUMBER(SEARCH(immigration,C137)))&gt;0)</f>
        <v>0</v>
      </c>
      <c r="T137" s="14" cm="1">
        <f t="array" ref="T137">INT(SUMPRODUCT(--ISNUMBER(SEARCH(econineq,C137)))&gt;0)</f>
        <v>0</v>
      </c>
      <c r="U137" s="14" cm="1">
        <f t="array" ref="U137">INT(SUMPRODUCT(--ISNUMBER(SEARCH(climate,'Mark Kelly'!C137)))&gt;0)</f>
        <v>0</v>
      </c>
      <c r="V137" s="14" cm="1">
        <f t="array" ref="V137">INT(SUMPRODUCT(--ISNUMBER(SEARCH(abortion,'Mark Kelly'!C137)))&gt;0)</f>
        <v>0</v>
      </c>
      <c r="W137" s="14" cm="1">
        <f t="array" ref="W137">INT(SUMPRODUCT(--ISNUMBER(SEARCH(trump,'Mark Kelly'!C137)))&gt;0)</f>
        <v>0</v>
      </c>
      <c r="X137" s="14" cm="1">
        <f t="array" ref="X137">INT(SUMPRODUCT(--ISNUMBER(SEARCH(voting,'Mark Kelly'!C137)))&gt;0)</f>
        <v>0</v>
      </c>
      <c r="Y137" s="14" cm="1">
        <f t="array" ref="Y137">INT(SUMPRODUCT(--ISNUMBER(SEARCH(democrattrigger,'Mark Kelly'!C137)))&gt;0)</f>
        <v>0</v>
      </c>
      <c r="Z137" s="14" cm="1">
        <f t="array" ref="Z137">INT(SUMPRODUCT(--ISNUMBER(SEARCH(bipartisan,'Mark Kelly'!C137)))&gt;0)</f>
        <v>0</v>
      </c>
      <c r="AA137" s="14">
        <f t="shared" si="2"/>
        <v>1</v>
      </c>
      <c r="AB137" s="14"/>
      <c r="AC137" s="30">
        <v>1</v>
      </c>
      <c r="AD137" s="37"/>
    </row>
    <row r="138" spans="1:30" x14ac:dyDescent="0.25">
      <c r="A138" s="36">
        <v>222</v>
      </c>
      <c r="B138" s="14" t="s">
        <v>475</v>
      </c>
      <c r="C138" s="31" t="s">
        <v>476</v>
      </c>
      <c r="D138" s="17">
        <v>44122</v>
      </c>
      <c r="E138" s="14" t="s">
        <v>30</v>
      </c>
      <c r="F138" s="14">
        <v>1672</v>
      </c>
      <c r="G138" s="14">
        <v>389</v>
      </c>
      <c r="H138" s="14">
        <v>2</v>
      </c>
      <c r="I138" s="14">
        <v>1</v>
      </c>
      <c r="J138" s="14" t="s">
        <v>204</v>
      </c>
      <c r="K138" s="14" cm="1">
        <f t="array" ref="K138">INT(SUMPRODUCT(--ISNUMBER(SEARCH(economy,'Mark Kelly'!C138)))&gt;0)</f>
        <v>1</v>
      </c>
      <c r="L138" s="14" cm="1">
        <f t="array" ref="L138">INT(SUMPRODUCT(--ISNUMBER(SEARCH(healthcare,'Mark Kelly'!C138)))&gt;0)</f>
        <v>0</v>
      </c>
      <c r="M138" s="14" cm="1">
        <f t="array" ref="M138">INT(SUMPRODUCT(--ISNUMBER(SEARCH(supreme,'Mark Kelly'!C138)))&gt;0)</f>
        <v>0</v>
      </c>
      <c r="N138" s="14" cm="1">
        <f t="array" ref="N138">INT(SUMPRODUCT(--ISNUMBER(SEARCH(covid,'Mark Kelly'!C138)))&gt;0)</f>
        <v>0</v>
      </c>
      <c r="O138" s="14" cm="1">
        <f t="array" ref="O138">INT(SUMPRODUCT(--ISNUMBER(SEARCH(violent,'Mark Kelly'!C138)))&gt;0)</f>
        <v>0</v>
      </c>
      <c r="P138" s="14" cm="1">
        <f t="array" ref="P138">INT(SUMPRODUCT(--ISNUMBER(SEARCH(foreign,'Mark Kelly'!C138)))&gt;0)</f>
        <v>0</v>
      </c>
      <c r="Q138" s="14" cm="1">
        <f t="array" ref="Q138">INT(SUMPRODUCT(--ISNUMBER(SEARCH(gun,'Mark Kelly'!C138)))&gt;0)</f>
        <v>0</v>
      </c>
      <c r="R138" s="14" cm="1">
        <f t="array" ref="R138">INT(SUMPRODUCT(--ISNUMBER(SEARCH(race,'Mark Kelly'!C138)))&gt;0)</f>
        <v>1</v>
      </c>
      <c r="S138" s="14" cm="1">
        <f t="array" ref="S138">INT(SUMPRODUCT(--ISNUMBER(SEARCH(immigration,C138)))&gt;0)</f>
        <v>1</v>
      </c>
      <c r="T138" s="14" cm="1">
        <f t="array" ref="T138">INT(SUMPRODUCT(--ISNUMBER(SEARCH(econineq,C138)))&gt;0)</f>
        <v>0</v>
      </c>
      <c r="U138" s="14" cm="1">
        <f t="array" ref="U138">INT(SUMPRODUCT(--ISNUMBER(SEARCH(climate,'Mark Kelly'!C138)))&gt;0)</f>
        <v>0</v>
      </c>
      <c r="V138" s="14" cm="1">
        <f t="array" ref="V138">INT(SUMPRODUCT(--ISNUMBER(SEARCH(abortion,'Mark Kelly'!C138)))&gt;0)</f>
        <v>0</v>
      </c>
      <c r="W138" s="14" cm="1">
        <f t="array" ref="W138">INT(SUMPRODUCT(--ISNUMBER(SEARCH(trump,'Mark Kelly'!C138)))&gt;0)</f>
        <v>0</v>
      </c>
      <c r="X138" s="14" cm="1">
        <f t="array" ref="X138">INT(SUMPRODUCT(--ISNUMBER(SEARCH(voting,'Mark Kelly'!C138)))&gt;0)</f>
        <v>0</v>
      </c>
      <c r="Y138" s="14" cm="1">
        <f t="array" ref="Y138">INT(SUMPRODUCT(--ISNUMBER(SEARCH(democrattrigger,'Mark Kelly'!C138)))&gt;0)</f>
        <v>0</v>
      </c>
      <c r="Z138" s="14" cm="1">
        <f t="array" ref="Z138">INT(SUMPRODUCT(--ISNUMBER(SEARCH(bipartisan,'Mark Kelly'!C138)))&gt;0)</f>
        <v>0</v>
      </c>
      <c r="AA138" s="14">
        <f t="shared" si="2"/>
        <v>0</v>
      </c>
      <c r="AB138" s="14"/>
      <c r="AC138" s="30" t="s">
        <v>223</v>
      </c>
      <c r="AD138" s="37"/>
    </row>
    <row r="139" spans="1:30" x14ac:dyDescent="0.25">
      <c r="A139" s="36">
        <v>223</v>
      </c>
      <c r="B139" s="14" t="s">
        <v>477</v>
      </c>
      <c r="C139" s="31" t="s">
        <v>478</v>
      </c>
      <c r="D139" s="17">
        <v>44122</v>
      </c>
      <c r="E139" s="14" t="s">
        <v>30</v>
      </c>
      <c r="F139" s="14">
        <v>1942</v>
      </c>
      <c r="G139" s="14">
        <v>488</v>
      </c>
      <c r="H139" s="14">
        <v>2</v>
      </c>
      <c r="I139" s="14">
        <v>1</v>
      </c>
      <c r="J139" s="14" t="s">
        <v>204</v>
      </c>
      <c r="K139" s="14" cm="1">
        <f t="array" ref="K139">INT(SUMPRODUCT(--ISNUMBER(SEARCH(economy,'Mark Kelly'!C139)))&gt;0)</f>
        <v>0</v>
      </c>
      <c r="L139" s="14" cm="1">
        <f t="array" ref="L139">INT(SUMPRODUCT(--ISNUMBER(SEARCH(healthcare,'Mark Kelly'!C139)))&gt;0)</f>
        <v>0</v>
      </c>
      <c r="M139" s="14" cm="1">
        <f t="array" ref="M139">INT(SUMPRODUCT(--ISNUMBER(SEARCH(supreme,'Mark Kelly'!C139)))&gt;0)</f>
        <v>0</v>
      </c>
      <c r="N139" s="14" cm="1">
        <f t="array" ref="N139">INT(SUMPRODUCT(--ISNUMBER(SEARCH(covid,'Mark Kelly'!C139)))&gt;0)</f>
        <v>0</v>
      </c>
      <c r="O139" s="14" cm="1">
        <f t="array" ref="O139">INT(SUMPRODUCT(--ISNUMBER(SEARCH(violent,'Mark Kelly'!C139)))&gt;0)</f>
        <v>0</v>
      </c>
      <c r="P139" s="14" cm="1">
        <f t="array" ref="P139">INT(SUMPRODUCT(--ISNUMBER(SEARCH(foreign,'Mark Kelly'!C139)))&gt;0)</f>
        <v>0</v>
      </c>
      <c r="Q139" s="14" cm="1">
        <f t="array" ref="Q139">INT(SUMPRODUCT(--ISNUMBER(SEARCH(gun,'Mark Kelly'!C139)))&gt;0)</f>
        <v>0</v>
      </c>
      <c r="R139" s="14" cm="1">
        <f t="array" ref="R139">INT(SUMPRODUCT(--ISNUMBER(SEARCH(race,'Mark Kelly'!C139)))&gt;0)</f>
        <v>0</v>
      </c>
      <c r="S139" s="14" cm="1">
        <f t="array" ref="S139">INT(SUMPRODUCT(--ISNUMBER(SEARCH(immigration,C139)))&gt;0)</f>
        <v>0</v>
      </c>
      <c r="T139" s="14" cm="1">
        <f t="array" ref="T139">INT(SUMPRODUCT(--ISNUMBER(SEARCH(econineq,C139)))&gt;0)</f>
        <v>0</v>
      </c>
      <c r="U139" s="14" cm="1">
        <f t="array" ref="U139">INT(SUMPRODUCT(--ISNUMBER(SEARCH(climate,'Mark Kelly'!C139)))&gt;0)</f>
        <v>0</v>
      </c>
      <c r="V139" s="14" cm="1">
        <f t="array" ref="V139">INT(SUMPRODUCT(--ISNUMBER(SEARCH(abortion,'Mark Kelly'!C139)))&gt;0)</f>
        <v>0</v>
      </c>
      <c r="W139" s="14" cm="1">
        <f t="array" ref="W139">INT(SUMPRODUCT(--ISNUMBER(SEARCH(trump,'Mark Kelly'!C139)))&gt;0)</f>
        <v>0</v>
      </c>
      <c r="X139" s="14" cm="1">
        <f t="array" ref="X139">INT(SUMPRODUCT(--ISNUMBER(SEARCH(voting,'Mark Kelly'!C139)))&gt;0)</f>
        <v>0</v>
      </c>
      <c r="Y139" s="14" cm="1">
        <f t="array" ref="Y139">INT(SUMPRODUCT(--ISNUMBER(SEARCH(democrattrigger,'Mark Kelly'!C139)))&gt;0)</f>
        <v>0</v>
      </c>
      <c r="Z139" s="14" cm="1">
        <f t="array" ref="Z139">INT(SUMPRODUCT(--ISNUMBER(SEARCH(bipartisan,'Mark Kelly'!C139)))&gt;0)</f>
        <v>0</v>
      </c>
      <c r="AA139" s="14">
        <f t="shared" si="2"/>
        <v>1</v>
      </c>
      <c r="AB139" s="14"/>
      <c r="AC139" s="30">
        <v>1</v>
      </c>
      <c r="AD139" s="37">
        <v>0</v>
      </c>
    </row>
    <row r="140" spans="1:30" x14ac:dyDescent="0.25">
      <c r="A140" s="36">
        <v>224</v>
      </c>
      <c r="B140" s="14" t="s">
        <v>479</v>
      </c>
      <c r="C140" s="31" t="s">
        <v>480</v>
      </c>
      <c r="D140" s="17">
        <v>44122</v>
      </c>
      <c r="E140" s="14" t="s">
        <v>30</v>
      </c>
      <c r="F140" s="14">
        <v>717</v>
      </c>
      <c r="G140" s="14">
        <v>200</v>
      </c>
      <c r="H140" s="14">
        <v>2</v>
      </c>
      <c r="I140" s="14">
        <v>1</v>
      </c>
      <c r="J140" s="14" t="s">
        <v>204</v>
      </c>
      <c r="K140" s="14" cm="1">
        <f t="array" ref="K140">INT(SUMPRODUCT(--ISNUMBER(SEARCH(economy,'Mark Kelly'!C140)))&gt;0)</f>
        <v>0</v>
      </c>
      <c r="L140" s="14" cm="1">
        <f t="array" ref="L140">INT(SUMPRODUCT(--ISNUMBER(SEARCH(healthcare,'Mark Kelly'!C140)))&gt;0)</f>
        <v>0</v>
      </c>
      <c r="M140" s="14" cm="1">
        <f t="array" ref="M140">INT(SUMPRODUCT(--ISNUMBER(SEARCH(supreme,'Mark Kelly'!C140)))&gt;0)</f>
        <v>0</v>
      </c>
      <c r="N140" s="14" cm="1">
        <f t="array" ref="N140">INT(SUMPRODUCT(--ISNUMBER(SEARCH(covid,'Mark Kelly'!C140)))&gt;0)</f>
        <v>0</v>
      </c>
      <c r="O140" s="14" cm="1">
        <f t="array" ref="O140">INT(SUMPRODUCT(--ISNUMBER(SEARCH(violent,'Mark Kelly'!C140)))&gt;0)</f>
        <v>0</v>
      </c>
      <c r="P140" s="14" cm="1">
        <f t="array" ref="P140">INT(SUMPRODUCT(--ISNUMBER(SEARCH(foreign,'Mark Kelly'!C140)))&gt;0)</f>
        <v>0</v>
      </c>
      <c r="Q140" s="14" cm="1">
        <f t="array" ref="Q140">INT(SUMPRODUCT(--ISNUMBER(SEARCH(gun,'Mark Kelly'!C140)))&gt;0)</f>
        <v>0</v>
      </c>
      <c r="R140" s="14" cm="1">
        <f t="array" ref="R140">INT(SUMPRODUCT(--ISNUMBER(SEARCH(race,'Mark Kelly'!C140)))&gt;0)</f>
        <v>0</v>
      </c>
      <c r="S140" s="14" cm="1">
        <f t="array" ref="S140">INT(SUMPRODUCT(--ISNUMBER(SEARCH(immigration,C140)))&gt;0)</f>
        <v>0</v>
      </c>
      <c r="T140" s="14" cm="1">
        <f t="array" ref="T140">INT(SUMPRODUCT(--ISNUMBER(SEARCH(econineq,C140)))&gt;0)</f>
        <v>0</v>
      </c>
      <c r="U140" s="14" cm="1">
        <f t="array" ref="U140">INT(SUMPRODUCT(--ISNUMBER(SEARCH(climate,'Mark Kelly'!C140)))&gt;0)</f>
        <v>0</v>
      </c>
      <c r="V140" s="14" cm="1">
        <f t="array" ref="V140">INT(SUMPRODUCT(--ISNUMBER(SEARCH(abortion,'Mark Kelly'!C140)))&gt;0)</f>
        <v>0</v>
      </c>
      <c r="W140" s="14" cm="1">
        <f t="array" ref="W140">INT(SUMPRODUCT(--ISNUMBER(SEARCH(trump,'Mark Kelly'!C140)))&gt;0)</f>
        <v>0</v>
      </c>
      <c r="X140" s="14" cm="1">
        <f t="array" ref="X140">INT(SUMPRODUCT(--ISNUMBER(SEARCH(voting,'Mark Kelly'!C140)))&gt;0)</f>
        <v>0</v>
      </c>
      <c r="Y140" s="14" cm="1">
        <f t="array" ref="Y140">INT(SUMPRODUCT(--ISNUMBER(SEARCH(democrattrigger,'Mark Kelly'!C140)))&gt;0)</f>
        <v>0</v>
      </c>
      <c r="Z140" s="14" cm="1">
        <f t="array" ref="Z140">INT(SUMPRODUCT(--ISNUMBER(SEARCH(bipartisan,'Mark Kelly'!C140)))&gt;0)</f>
        <v>0</v>
      </c>
      <c r="AA140" s="14">
        <f t="shared" si="2"/>
        <v>1</v>
      </c>
      <c r="AB140" s="14"/>
      <c r="AC140" s="30">
        <v>1</v>
      </c>
      <c r="AD140" s="37">
        <v>0</v>
      </c>
    </row>
    <row r="141" spans="1:30" x14ac:dyDescent="0.25">
      <c r="A141" s="36">
        <v>225</v>
      </c>
      <c r="B141" s="14" t="s">
        <v>481</v>
      </c>
      <c r="C141" s="31" t="s">
        <v>482</v>
      </c>
      <c r="D141" s="17">
        <v>44122</v>
      </c>
      <c r="E141" s="14" t="s">
        <v>30</v>
      </c>
      <c r="F141" s="14">
        <v>770</v>
      </c>
      <c r="G141" s="14">
        <v>242</v>
      </c>
      <c r="H141" s="14">
        <v>2</v>
      </c>
      <c r="I141" s="14">
        <v>1</v>
      </c>
      <c r="J141" s="14" t="s">
        <v>204</v>
      </c>
      <c r="K141" s="14" cm="1">
        <f t="array" ref="K141">INT(SUMPRODUCT(--ISNUMBER(SEARCH(economy,'Mark Kelly'!C141)))&gt;0)</f>
        <v>0</v>
      </c>
      <c r="L141" s="14" cm="1">
        <f t="array" ref="L141">INT(SUMPRODUCT(--ISNUMBER(SEARCH(healthcare,'Mark Kelly'!C141)))&gt;0)</f>
        <v>0</v>
      </c>
      <c r="M141" s="14" cm="1">
        <f t="array" ref="M141">INT(SUMPRODUCT(--ISNUMBER(SEARCH(supreme,'Mark Kelly'!C141)))&gt;0)</f>
        <v>0</v>
      </c>
      <c r="N141" s="14" cm="1">
        <f t="array" ref="N141">INT(SUMPRODUCT(--ISNUMBER(SEARCH(covid,'Mark Kelly'!C141)))&gt;0)</f>
        <v>0</v>
      </c>
      <c r="O141" s="14" cm="1">
        <f t="array" ref="O141">INT(SUMPRODUCT(--ISNUMBER(SEARCH(violent,'Mark Kelly'!C141)))&gt;0)</f>
        <v>0</v>
      </c>
      <c r="P141" s="14" cm="1">
        <f t="array" ref="P141">INT(SUMPRODUCT(--ISNUMBER(SEARCH(foreign,'Mark Kelly'!C141)))&gt;0)</f>
        <v>0</v>
      </c>
      <c r="Q141" s="14" cm="1">
        <f t="array" ref="Q141">INT(SUMPRODUCT(--ISNUMBER(SEARCH(gun,'Mark Kelly'!C141)))&gt;0)</f>
        <v>0</v>
      </c>
      <c r="R141" s="14" cm="1">
        <f t="array" ref="R141">INT(SUMPRODUCT(--ISNUMBER(SEARCH(race,'Mark Kelly'!C141)))&gt;0)</f>
        <v>0</v>
      </c>
      <c r="S141" s="14" cm="1">
        <f t="array" ref="S141">INT(SUMPRODUCT(--ISNUMBER(SEARCH(immigration,C141)))&gt;0)</f>
        <v>0</v>
      </c>
      <c r="T141" s="14" cm="1">
        <f t="array" ref="T141">INT(SUMPRODUCT(--ISNUMBER(SEARCH(econineq,C141)))&gt;0)</f>
        <v>0</v>
      </c>
      <c r="U141" s="14" cm="1">
        <f t="array" ref="U141">INT(SUMPRODUCT(--ISNUMBER(SEARCH(climate,'Mark Kelly'!C141)))&gt;0)</f>
        <v>0</v>
      </c>
      <c r="V141" s="14" cm="1">
        <f t="array" ref="V141">INT(SUMPRODUCT(--ISNUMBER(SEARCH(abortion,'Mark Kelly'!C141)))&gt;0)</f>
        <v>0</v>
      </c>
      <c r="W141" s="14" cm="1">
        <f t="array" ref="W141">INT(SUMPRODUCT(--ISNUMBER(SEARCH(trump,'Mark Kelly'!C141)))&gt;0)</f>
        <v>0</v>
      </c>
      <c r="X141" s="14" cm="1">
        <f t="array" ref="X141">INT(SUMPRODUCT(--ISNUMBER(SEARCH(voting,'Mark Kelly'!C141)))&gt;0)</f>
        <v>0</v>
      </c>
      <c r="Y141" s="14" cm="1">
        <f t="array" ref="Y141">INT(SUMPRODUCT(--ISNUMBER(SEARCH(democrattrigger,'Mark Kelly'!C141)))&gt;0)</f>
        <v>0</v>
      </c>
      <c r="Z141" s="14" cm="1">
        <f t="array" ref="Z141">INT(SUMPRODUCT(--ISNUMBER(SEARCH(bipartisan,'Mark Kelly'!C141)))&gt;0)</f>
        <v>0</v>
      </c>
      <c r="AA141" s="14">
        <f t="shared" si="2"/>
        <v>1</v>
      </c>
      <c r="AB141" s="14"/>
      <c r="AC141" s="30">
        <v>0</v>
      </c>
      <c r="AD141" s="37">
        <v>1</v>
      </c>
    </row>
    <row r="142" spans="1:30" x14ac:dyDescent="0.25">
      <c r="A142" s="36">
        <v>226</v>
      </c>
      <c r="B142" s="14" t="s">
        <v>483</v>
      </c>
      <c r="C142" s="31" t="s">
        <v>484</v>
      </c>
      <c r="D142" s="17">
        <v>44122</v>
      </c>
      <c r="E142" s="14" t="s">
        <v>30</v>
      </c>
      <c r="F142" s="14">
        <v>1672</v>
      </c>
      <c r="G142" s="14">
        <v>323</v>
      </c>
      <c r="H142" s="14">
        <v>2</v>
      </c>
      <c r="I142" s="14">
        <v>1</v>
      </c>
      <c r="J142" s="14" t="s">
        <v>204</v>
      </c>
      <c r="K142" s="14" cm="1">
        <f t="array" ref="K142">INT(SUMPRODUCT(--ISNUMBER(SEARCH(economy,'Mark Kelly'!C142)))&gt;0)</f>
        <v>0</v>
      </c>
      <c r="L142" s="14" cm="1">
        <f t="array" ref="L142">INT(SUMPRODUCT(--ISNUMBER(SEARCH(healthcare,'Mark Kelly'!C142)))&gt;0)</f>
        <v>0</v>
      </c>
      <c r="M142" s="14" cm="1">
        <f t="array" ref="M142">INT(SUMPRODUCT(--ISNUMBER(SEARCH(supreme,'Mark Kelly'!C142)))&gt;0)</f>
        <v>0</v>
      </c>
      <c r="N142" s="14" cm="1">
        <f t="array" ref="N142">INT(SUMPRODUCT(--ISNUMBER(SEARCH(covid,'Mark Kelly'!C142)))&gt;0)</f>
        <v>0</v>
      </c>
      <c r="O142" s="14" cm="1">
        <f t="array" ref="O142">INT(SUMPRODUCT(--ISNUMBER(SEARCH(violent,'Mark Kelly'!C142)))&gt;0)</f>
        <v>0</v>
      </c>
      <c r="P142" s="14" cm="1">
        <f t="array" ref="P142">INT(SUMPRODUCT(--ISNUMBER(SEARCH(foreign,'Mark Kelly'!C142)))&gt;0)</f>
        <v>0</v>
      </c>
      <c r="Q142" s="14" cm="1">
        <f t="array" ref="Q142">INT(SUMPRODUCT(--ISNUMBER(SEARCH(gun,'Mark Kelly'!C142)))&gt;0)</f>
        <v>0</v>
      </c>
      <c r="R142" s="14" cm="1">
        <f t="array" ref="R142">INT(SUMPRODUCT(--ISNUMBER(SEARCH(race,'Mark Kelly'!C142)))&gt;0)</f>
        <v>0</v>
      </c>
      <c r="S142" s="14" cm="1">
        <f t="array" ref="S142">INT(SUMPRODUCT(--ISNUMBER(SEARCH(immigration,C142)))&gt;0)</f>
        <v>0</v>
      </c>
      <c r="T142" s="14" cm="1">
        <f t="array" ref="T142">INT(SUMPRODUCT(--ISNUMBER(SEARCH(econineq,C142)))&gt;0)</f>
        <v>0</v>
      </c>
      <c r="U142" s="14" cm="1">
        <f t="array" ref="U142">INT(SUMPRODUCT(--ISNUMBER(SEARCH(climate,'Mark Kelly'!C142)))&gt;0)</f>
        <v>0</v>
      </c>
      <c r="V142" s="14" cm="1">
        <f t="array" ref="V142">INT(SUMPRODUCT(--ISNUMBER(SEARCH(abortion,'Mark Kelly'!C142)))&gt;0)</f>
        <v>0</v>
      </c>
      <c r="W142" s="14" cm="1">
        <f t="array" ref="W142">INT(SUMPRODUCT(--ISNUMBER(SEARCH(trump,'Mark Kelly'!C142)))&gt;0)</f>
        <v>0</v>
      </c>
      <c r="X142" s="14" cm="1">
        <f t="array" ref="X142">INT(SUMPRODUCT(--ISNUMBER(SEARCH(voting,'Mark Kelly'!C142)))&gt;0)</f>
        <v>1</v>
      </c>
      <c r="Y142" s="14" cm="1">
        <f t="array" ref="Y142">INT(SUMPRODUCT(--ISNUMBER(SEARCH(democrattrigger,'Mark Kelly'!C142)))&gt;0)</f>
        <v>0</v>
      </c>
      <c r="Z142" s="14" cm="1">
        <f t="array" ref="Z142">INT(SUMPRODUCT(--ISNUMBER(SEARCH(bipartisan,'Mark Kelly'!C142)))&gt;0)</f>
        <v>0</v>
      </c>
      <c r="AA142" s="14">
        <f t="shared" si="2"/>
        <v>0</v>
      </c>
      <c r="AB142" s="14"/>
      <c r="AC142" s="30">
        <v>1</v>
      </c>
      <c r="AD142" s="37">
        <v>0</v>
      </c>
    </row>
    <row r="143" spans="1:30" x14ac:dyDescent="0.25">
      <c r="A143" s="36">
        <v>227</v>
      </c>
      <c r="B143" s="14" t="s">
        <v>485</v>
      </c>
      <c r="C143" s="31" t="s">
        <v>486</v>
      </c>
      <c r="D143" s="17">
        <v>44122</v>
      </c>
      <c r="E143" s="14" t="s">
        <v>30</v>
      </c>
      <c r="F143" s="14">
        <v>2510</v>
      </c>
      <c r="G143" s="14">
        <v>781</v>
      </c>
      <c r="H143" s="14">
        <v>2</v>
      </c>
      <c r="I143" s="14">
        <v>1</v>
      </c>
      <c r="J143" s="14" t="s">
        <v>204</v>
      </c>
      <c r="K143" s="14" cm="1">
        <f t="array" ref="K143">INT(SUMPRODUCT(--ISNUMBER(SEARCH(economy,'Mark Kelly'!C143)))&gt;0)</f>
        <v>0</v>
      </c>
      <c r="L143" s="14" cm="1">
        <f t="array" ref="L143">INT(SUMPRODUCT(--ISNUMBER(SEARCH(healthcare,'Mark Kelly'!C143)))&gt;0)</f>
        <v>1</v>
      </c>
      <c r="M143" s="14" cm="1">
        <f t="array" ref="M143">INT(SUMPRODUCT(--ISNUMBER(SEARCH(supreme,'Mark Kelly'!C143)))&gt;0)</f>
        <v>0</v>
      </c>
      <c r="N143" s="14" cm="1">
        <f t="array" ref="N143">INT(SUMPRODUCT(--ISNUMBER(SEARCH(covid,'Mark Kelly'!C143)))&gt;0)</f>
        <v>0</v>
      </c>
      <c r="O143" s="14" cm="1">
        <f t="array" ref="O143">INT(SUMPRODUCT(--ISNUMBER(SEARCH(violent,'Mark Kelly'!C143)))&gt;0)</f>
        <v>0</v>
      </c>
      <c r="P143" s="14" cm="1">
        <f t="array" ref="P143">INT(SUMPRODUCT(--ISNUMBER(SEARCH(foreign,'Mark Kelly'!C143)))&gt;0)</f>
        <v>0</v>
      </c>
      <c r="Q143" s="14" cm="1">
        <f t="array" ref="Q143">INT(SUMPRODUCT(--ISNUMBER(SEARCH(gun,'Mark Kelly'!C143)))&gt;0)</f>
        <v>0</v>
      </c>
      <c r="R143" s="14" cm="1">
        <f t="array" ref="R143">INT(SUMPRODUCT(--ISNUMBER(SEARCH(race,'Mark Kelly'!C143)))&gt;0)</f>
        <v>0</v>
      </c>
      <c r="S143" s="14" cm="1">
        <f t="array" ref="S143">INT(SUMPRODUCT(--ISNUMBER(SEARCH(immigration,C143)))&gt;0)</f>
        <v>0</v>
      </c>
      <c r="T143" s="14" cm="1">
        <f t="array" ref="T143">INT(SUMPRODUCT(--ISNUMBER(SEARCH(econineq,C143)))&gt;0)</f>
        <v>0</v>
      </c>
      <c r="U143" s="14" cm="1">
        <f t="array" ref="U143">INT(SUMPRODUCT(--ISNUMBER(SEARCH(climate,'Mark Kelly'!C143)))&gt;0)</f>
        <v>0</v>
      </c>
      <c r="V143" s="14" cm="1">
        <f t="array" ref="V143">INT(SUMPRODUCT(--ISNUMBER(SEARCH(abortion,'Mark Kelly'!C143)))&gt;0)</f>
        <v>0</v>
      </c>
      <c r="W143" s="14" cm="1">
        <f t="array" ref="W143">INT(SUMPRODUCT(--ISNUMBER(SEARCH(trump,'Mark Kelly'!C143)))&gt;0)</f>
        <v>0</v>
      </c>
      <c r="X143" s="14" cm="1">
        <f t="array" ref="X143">INT(SUMPRODUCT(--ISNUMBER(SEARCH(voting,'Mark Kelly'!C143)))&gt;0)</f>
        <v>0</v>
      </c>
      <c r="Y143" s="14" cm="1">
        <f t="array" ref="Y143">INT(SUMPRODUCT(--ISNUMBER(SEARCH(democrattrigger,'Mark Kelly'!C143)))&gt;0)</f>
        <v>0</v>
      </c>
      <c r="Z143" s="14" cm="1">
        <f t="array" ref="Z143">INT(SUMPRODUCT(--ISNUMBER(SEARCH(bipartisan,'Mark Kelly'!C143)))&gt;0)</f>
        <v>0</v>
      </c>
      <c r="AA143" s="14">
        <f t="shared" si="2"/>
        <v>0</v>
      </c>
      <c r="AB143" s="14"/>
      <c r="AC143" s="30">
        <v>0</v>
      </c>
      <c r="AD143" s="37"/>
    </row>
    <row r="144" spans="1:30" x14ac:dyDescent="0.25">
      <c r="A144" s="36">
        <v>228</v>
      </c>
      <c r="B144" s="14" t="s">
        <v>487</v>
      </c>
      <c r="C144" s="31" t="s">
        <v>488</v>
      </c>
      <c r="D144" s="17">
        <v>44121</v>
      </c>
      <c r="E144" s="14" t="s">
        <v>30</v>
      </c>
      <c r="F144" s="14">
        <v>1701</v>
      </c>
      <c r="G144" s="14">
        <v>481</v>
      </c>
      <c r="H144" s="14">
        <v>2</v>
      </c>
      <c r="I144" s="14">
        <v>1</v>
      </c>
      <c r="J144" s="14" t="s">
        <v>204</v>
      </c>
      <c r="K144" s="14" cm="1">
        <f t="array" ref="K144">INT(SUMPRODUCT(--ISNUMBER(SEARCH(economy,'Mark Kelly'!C144)))&gt;0)</f>
        <v>0</v>
      </c>
      <c r="L144" s="14" cm="1">
        <f t="array" ref="L144">INT(SUMPRODUCT(--ISNUMBER(SEARCH(healthcare,'Mark Kelly'!C144)))&gt;0)</f>
        <v>1</v>
      </c>
      <c r="M144" s="14" cm="1">
        <f t="array" ref="M144">INT(SUMPRODUCT(--ISNUMBER(SEARCH(supreme,'Mark Kelly'!C144)))&gt;0)</f>
        <v>0</v>
      </c>
      <c r="N144" s="14" cm="1">
        <f t="array" ref="N144">INT(SUMPRODUCT(--ISNUMBER(SEARCH(covid,'Mark Kelly'!C144)))&gt;0)</f>
        <v>0</v>
      </c>
      <c r="O144" s="14" cm="1">
        <f t="array" ref="O144">INT(SUMPRODUCT(--ISNUMBER(SEARCH(violent,'Mark Kelly'!C144)))&gt;0)</f>
        <v>0</v>
      </c>
      <c r="P144" s="14" cm="1">
        <f t="array" ref="P144">INT(SUMPRODUCT(--ISNUMBER(SEARCH(foreign,'Mark Kelly'!C144)))&gt;0)</f>
        <v>0</v>
      </c>
      <c r="Q144" s="14" cm="1">
        <f t="array" ref="Q144">INT(SUMPRODUCT(--ISNUMBER(SEARCH(gun,'Mark Kelly'!C144)))&gt;0)</f>
        <v>0</v>
      </c>
      <c r="R144" s="14" cm="1">
        <f t="array" ref="R144">INT(SUMPRODUCT(--ISNUMBER(SEARCH(race,'Mark Kelly'!C144)))&gt;0)</f>
        <v>0</v>
      </c>
      <c r="S144" s="14" cm="1">
        <f t="array" ref="S144">INT(SUMPRODUCT(--ISNUMBER(SEARCH(immigration,C144)))&gt;0)</f>
        <v>0</v>
      </c>
      <c r="T144" s="14" cm="1">
        <f t="array" ref="T144">INT(SUMPRODUCT(--ISNUMBER(SEARCH(econineq,C144)))&gt;0)</f>
        <v>0</v>
      </c>
      <c r="U144" s="14" cm="1">
        <f t="array" ref="U144">INT(SUMPRODUCT(--ISNUMBER(SEARCH(climate,'Mark Kelly'!C144)))&gt;0)</f>
        <v>0</v>
      </c>
      <c r="V144" s="14" cm="1">
        <f t="array" ref="V144">INT(SUMPRODUCT(--ISNUMBER(SEARCH(abortion,'Mark Kelly'!C144)))&gt;0)</f>
        <v>0</v>
      </c>
      <c r="W144" s="14" cm="1">
        <f t="array" ref="W144">INT(SUMPRODUCT(--ISNUMBER(SEARCH(trump,'Mark Kelly'!C144)))&gt;0)</f>
        <v>0</v>
      </c>
      <c r="X144" s="14" cm="1">
        <f t="array" ref="X144">INT(SUMPRODUCT(--ISNUMBER(SEARCH(voting,'Mark Kelly'!C144)))&gt;0)</f>
        <v>0</v>
      </c>
      <c r="Y144" s="14" cm="1">
        <f t="array" ref="Y144">INT(SUMPRODUCT(--ISNUMBER(SEARCH(democrattrigger,'Mark Kelly'!C144)))&gt;0)</f>
        <v>0</v>
      </c>
      <c r="Z144" s="14" cm="1">
        <f t="array" ref="Z144">INT(SUMPRODUCT(--ISNUMBER(SEARCH(bipartisan,'Mark Kelly'!C144)))&gt;0)</f>
        <v>0</v>
      </c>
      <c r="AA144" s="14">
        <f t="shared" si="2"/>
        <v>0</v>
      </c>
      <c r="AB144" s="14"/>
      <c r="AC144" s="30" t="s">
        <v>223</v>
      </c>
      <c r="AD144" s="37"/>
    </row>
    <row r="145" spans="1:30" x14ac:dyDescent="0.25">
      <c r="A145" s="36">
        <v>229</v>
      </c>
      <c r="B145" s="14" t="s">
        <v>489</v>
      </c>
      <c r="C145" s="31" t="s">
        <v>490</v>
      </c>
      <c r="D145" s="17">
        <v>44121</v>
      </c>
      <c r="E145" s="14" t="s">
        <v>30</v>
      </c>
      <c r="F145" s="14">
        <v>10987</v>
      </c>
      <c r="G145" s="14">
        <v>2066</v>
      </c>
      <c r="H145" s="14">
        <v>2</v>
      </c>
      <c r="I145" s="14">
        <v>1</v>
      </c>
      <c r="J145" s="14" t="s">
        <v>204</v>
      </c>
      <c r="K145" s="14" cm="1">
        <f t="array" ref="K145">INT(SUMPRODUCT(--ISNUMBER(SEARCH(economy,'Mark Kelly'!C145)))&gt;0)</f>
        <v>0</v>
      </c>
      <c r="L145" s="14" cm="1">
        <f t="array" ref="L145">INT(SUMPRODUCT(--ISNUMBER(SEARCH(healthcare,'Mark Kelly'!C145)))&gt;0)</f>
        <v>1</v>
      </c>
      <c r="M145" s="14" cm="1">
        <f t="array" ref="M145">INT(SUMPRODUCT(--ISNUMBER(SEARCH(supreme,'Mark Kelly'!C145)))&gt;0)</f>
        <v>0</v>
      </c>
      <c r="N145" s="14" cm="1">
        <f t="array" ref="N145">INT(SUMPRODUCT(--ISNUMBER(SEARCH(covid,'Mark Kelly'!C145)))&gt;0)</f>
        <v>0</v>
      </c>
      <c r="O145" s="14" cm="1">
        <f t="array" ref="O145">INT(SUMPRODUCT(--ISNUMBER(SEARCH(violent,'Mark Kelly'!C145)))&gt;0)</f>
        <v>0</v>
      </c>
      <c r="P145" s="14" cm="1">
        <f t="array" ref="P145">INT(SUMPRODUCT(--ISNUMBER(SEARCH(foreign,'Mark Kelly'!C145)))&gt;0)</f>
        <v>0</v>
      </c>
      <c r="Q145" s="14" cm="1">
        <f t="array" ref="Q145">INT(SUMPRODUCT(--ISNUMBER(SEARCH(gun,'Mark Kelly'!C145)))&gt;0)</f>
        <v>0</v>
      </c>
      <c r="R145" s="14" cm="1">
        <f t="array" ref="R145">INT(SUMPRODUCT(--ISNUMBER(SEARCH(race,'Mark Kelly'!C145)))&gt;0)</f>
        <v>0</v>
      </c>
      <c r="S145" s="14" cm="1">
        <f t="array" ref="S145">INT(SUMPRODUCT(--ISNUMBER(SEARCH(immigration,C145)))&gt;0)</f>
        <v>0</v>
      </c>
      <c r="T145" s="14" cm="1">
        <f t="array" ref="T145">INT(SUMPRODUCT(--ISNUMBER(SEARCH(econineq,C145)))&gt;0)</f>
        <v>0</v>
      </c>
      <c r="U145" s="14" cm="1">
        <f t="array" ref="U145">INT(SUMPRODUCT(--ISNUMBER(SEARCH(climate,'Mark Kelly'!C145)))&gt;0)</f>
        <v>0</v>
      </c>
      <c r="V145" s="14" cm="1">
        <f t="array" ref="V145">INT(SUMPRODUCT(--ISNUMBER(SEARCH(abortion,'Mark Kelly'!C145)))&gt;0)</f>
        <v>0</v>
      </c>
      <c r="W145" s="14" cm="1">
        <f t="array" ref="W145">INT(SUMPRODUCT(--ISNUMBER(SEARCH(trump,'Mark Kelly'!C145)))&gt;0)</f>
        <v>0</v>
      </c>
      <c r="X145" s="14" cm="1">
        <f t="array" ref="X145">INT(SUMPRODUCT(--ISNUMBER(SEARCH(voting,'Mark Kelly'!C145)))&gt;0)</f>
        <v>0</v>
      </c>
      <c r="Y145" s="14" cm="1">
        <f t="array" ref="Y145">INT(SUMPRODUCT(--ISNUMBER(SEARCH(democrattrigger,'Mark Kelly'!C145)))&gt;0)</f>
        <v>0</v>
      </c>
      <c r="Z145" s="14" cm="1">
        <f t="array" ref="Z145">INT(SUMPRODUCT(--ISNUMBER(SEARCH(bipartisan,'Mark Kelly'!C145)))&gt;0)</f>
        <v>0</v>
      </c>
      <c r="AA145" s="14">
        <f t="shared" si="2"/>
        <v>0</v>
      </c>
      <c r="AB145" s="14"/>
      <c r="AC145" s="30">
        <v>1</v>
      </c>
      <c r="AD145" s="37"/>
    </row>
    <row r="146" spans="1:30" x14ac:dyDescent="0.25">
      <c r="A146" s="36">
        <v>230</v>
      </c>
      <c r="B146" s="14" t="s">
        <v>491</v>
      </c>
      <c r="C146" s="31" t="s">
        <v>492</v>
      </c>
      <c r="D146" s="17">
        <v>44121</v>
      </c>
      <c r="E146" s="14" t="s">
        <v>30</v>
      </c>
      <c r="F146" s="14">
        <v>761</v>
      </c>
      <c r="G146" s="14">
        <v>233</v>
      </c>
      <c r="H146" s="14">
        <v>2</v>
      </c>
      <c r="I146" s="14">
        <v>1</v>
      </c>
      <c r="J146" s="14" t="s">
        <v>204</v>
      </c>
      <c r="K146" s="14" cm="1">
        <f t="array" ref="K146">INT(SUMPRODUCT(--ISNUMBER(SEARCH(economy,'Mark Kelly'!C146)))&gt;0)</f>
        <v>1</v>
      </c>
      <c r="L146" s="14" cm="1">
        <f t="array" ref="L146">INT(SUMPRODUCT(--ISNUMBER(SEARCH(healthcare,'Mark Kelly'!C146)))&gt;0)</f>
        <v>0</v>
      </c>
      <c r="M146" s="14" cm="1">
        <f t="array" ref="M146">INT(SUMPRODUCT(--ISNUMBER(SEARCH(supreme,'Mark Kelly'!C146)))&gt;0)</f>
        <v>0</v>
      </c>
      <c r="N146" s="14" cm="1">
        <f t="array" ref="N146">INT(SUMPRODUCT(--ISNUMBER(SEARCH(covid,'Mark Kelly'!C146)))&gt;0)</f>
        <v>0</v>
      </c>
      <c r="O146" s="14" cm="1">
        <f t="array" ref="O146">INT(SUMPRODUCT(--ISNUMBER(SEARCH(violent,'Mark Kelly'!C146)))&gt;0)</f>
        <v>0</v>
      </c>
      <c r="P146" s="14" cm="1">
        <f t="array" ref="P146">INT(SUMPRODUCT(--ISNUMBER(SEARCH(foreign,'Mark Kelly'!C146)))&gt;0)</f>
        <v>0</v>
      </c>
      <c r="Q146" s="14" cm="1">
        <f t="array" ref="Q146">INT(SUMPRODUCT(--ISNUMBER(SEARCH(gun,'Mark Kelly'!C146)))&gt;0)</f>
        <v>0</v>
      </c>
      <c r="R146" s="14" cm="1">
        <f t="array" ref="R146">INT(SUMPRODUCT(--ISNUMBER(SEARCH(race,'Mark Kelly'!C146)))&gt;0)</f>
        <v>0</v>
      </c>
      <c r="S146" s="14" cm="1">
        <f t="array" ref="S146">INT(SUMPRODUCT(--ISNUMBER(SEARCH(immigration,C146)))&gt;0)</f>
        <v>0</v>
      </c>
      <c r="T146" s="14" cm="1">
        <f t="array" ref="T146">INT(SUMPRODUCT(--ISNUMBER(SEARCH(econineq,C146)))&gt;0)</f>
        <v>0</v>
      </c>
      <c r="U146" s="14" cm="1">
        <f t="array" ref="U146">INT(SUMPRODUCT(--ISNUMBER(SEARCH(climate,'Mark Kelly'!C146)))&gt;0)</f>
        <v>0</v>
      </c>
      <c r="V146" s="14" cm="1">
        <f t="array" ref="V146">INT(SUMPRODUCT(--ISNUMBER(SEARCH(abortion,'Mark Kelly'!C146)))&gt;0)</f>
        <v>0</v>
      </c>
      <c r="W146" s="14" cm="1">
        <f t="array" ref="W146">INT(SUMPRODUCT(--ISNUMBER(SEARCH(trump,'Mark Kelly'!C146)))&gt;0)</f>
        <v>0</v>
      </c>
      <c r="X146" s="14" cm="1">
        <f t="array" ref="X146">INT(SUMPRODUCT(--ISNUMBER(SEARCH(voting,'Mark Kelly'!C146)))&gt;0)</f>
        <v>0</v>
      </c>
      <c r="Y146" s="14" cm="1">
        <f t="array" ref="Y146">INT(SUMPRODUCT(--ISNUMBER(SEARCH(democrattrigger,'Mark Kelly'!C146)))&gt;0)</f>
        <v>0</v>
      </c>
      <c r="Z146" s="14" cm="1">
        <f t="array" ref="Z146">INT(SUMPRODUCT(--ISNUMBER(SEARCH(bipartisan,'Mark Kelly'!C146)))&gt;0)</f>
        <v>0</v>
      </c>
      <c r="AA146" s="14">
        <f t="shared" si="2"/>
        <v>0</v>
      </c>
      <c r="AB146" s="14"/>
      <c r="AC146" s="30">
        <v>0</v>
      </c>
      <c r="AD146" s="37">
        <v>1</v>
      </c>
    </row>
    <row r="147" spans="1:30" x14ac:dyDescent="0.25">
      <c r="A147" s="36">
        <v>231</v>
      </c>
      <c r="B147" s="14" t="s">
        <v>493</v>
      </c>
      <c r="C147" s="31" t="s">
        <v>494</v>
      </c>
      <c r="D147" s="17">
        <v>44120</v>
      </c>
      <c r="E147" s="14" t="s">
        <v>30</v>
      </c>
      <c r="F147" s="14">
        <v>1823</v>
      </c>
      <c r="G147" s="14">
        <v>473</v>
      </c>
      <c r="H147" s="14">
        <v>2</v>
      </c>
      <c r="I147" s="14">
        <v>1</v>
      </c>
      <c r="J147" s="14" t="s">
        <v>204</v>
      </c>
      <c r="K147" s="14" cm="1">
        <f t="array" ref="K147">INT(SUMPRODUCT(--ISNUMBER(SEARCH(economy,'Mark Kelly'!C147)))&gt;0)</f>
        <v>0</v>
      </c>
      <c r="L147" s="14" cm="1">
        <f t="array" ref="L147">INT(SUMPRODUCT(--ISNUMBER(SEARCH(healthcare,'Mark Kelly'!C147)))&gt;0)</f>
        <v>0</v>
      </c>
      <c r="M147" s="14" cm="1">
        <f t="array" ref="M147">INT(SUMPRODUCT(--ISNUMBER(SEARCH(supreme,'Mark Kelly'!C147)))&gt;0)</f>
        <v>0</v>
      </c>
      <c r="N147" s="14" cm="1">
        <f t="array" ref="N147">INT(SUMPRODUCT(--ISNUMBER(SEARCH(covid,'Mark Kelly'!C147)))&gt;0)</f>
        <v>0</v>
      </c>
      <c r="O147" s="14" cm="1">
        <f t="array" ref="O147">INT(SUMPRODUCT(--ISNUMBER(SEARCH(violent,'Mark Kelly'!C147)))&gt;0)</f>
        <v>0</v>
      </c>
      <c r="P147" s="14" cm="1">
        <f t="array" ref="P147">INT(SUMPRODUCT(--ISNUMBER(SEARCH(foreign,'Mark Kelly'!C147)))&gt;0)</f>
        <v>0</v>
      </c>
      <c r="Q147" s="14" cm="1">
        <f t="array" ref="Q147">INT(SUMPRODUCT(--ISNUMBER(SEARCH(gun,'Mark Kelly'!C147)))&gt;0)</f>
        <v>0</v>
      </c>
      <c r="R147" s="14" cm="1">
        <f t="array" ref="R147">INT(SUMPRODUCT(--ISNUMBER(SEARCH(race,'Mark Kelly'!C147)))&gt;0)</f>
        <v>0</v>
      </c>
      <c r="S147" s="14" cm="1">
        <f t="array" ref="S147">INT(SUMPRODUCT(--ISNUMBER(SEARCH(immigration,C147)))&gt;0)</f>
        <v>0</v>
      </c>
      <c r="T147" s="14" cm="1">
        <f t="array" ref="T147">INT(SUMPRODUCT(--ISNUMBER(SEARCH(econineq,C147)))&gt;0)</f>
        <v>0</v>
      </c>
      <c r="U147" s="14" cm="1">
        <f t="array" ref="U147">INT(SUMPRODUCT(--ISNUMBER(SEARCH(climate,'Mark Kelly'!C147)))&gt;0)</f>
        <v>0</v>
      </c>
      <c r="V147" s="14" cm="1">
        <f t="array" ref="V147">INT(SUMPRODUCT(--ISNUMBER(SEARCH(abortion,'Mark Kelly'!C147)))&gt;0)</f>
        <v>0</v>
      </c>
      <c r="W147" s="14" cm="1">
        <f t="array" ref="W147">INT(SUMPRODUCT(--ISNUMBER(SEARCH(trump,'Mark Kelly'!C147)))&gt;0)</f>
        <v>0</v>
      </c>
      <c r="X147" s="14" cm="1">
        <f t="array" ref="X147">INT(SUMPRODUCT(--ISNUMBER(SEARCH(voting,'Mark Kelly'!C147)))&gt;0)</f>
        <v>1</v>
      </c>
      <c r="Y147" s="14" cm="1">
        <f t="array" ref="Y147">INT(SUMPRODUCT(--ISNUMBER(SEARCH(democrattrigger,'Mark Kelly'!C147)))&gt;0)</f>
        <v>0</v>
      </c>
      <c r="Z147" s="14" cm="1">
        <f t="array" ref="Z147">INT(SUMPRODUCT(--ISNUMBER(SEARCH(bipartisan,'Mark Kelly'!C147)))&gt;0)</f>
        <v>0</v>
      </c>
      <c r="AA147" s="14">
        <f t="shared" si="2"/>
        <v>0</v>
      </c>
      <c r="AB147" s="14"/>
      <c r="AC147" s="30" t="s">
        <v>223</v>
      </c>
      <c r="AD147" s="37"/>
    </row>
    <row r="148" spans="1:30" x14ac:dyDescent="0.25">
      <c r="A148" s="36">
        <v>232</v>
      </c>
      <c r="B148" s="14" t="s">
        <v>495</v>
      </c>
      <c r="C148" s="31" t="s">
        <v>496</v>
      </c>
      <c r="D148" s="17">
        <v>44120</v>
      </c>
      <c r="E148" s="14" t="s">
        <v>30</v>
      </c>
      <c r="F148" s="14">
        <v>1002</v>
      </c>
      <c r="G148" s="14">
        <v>308</v>
      </c>
      <c r="H148" s="14">
        <v>2</v>
      </c>
      <c r="I148" s="14">
        <v>1</v>
      </c>
      <c r="J148" s="14" t="s">
        <v>204</v>
      </c>
      <c r="K148" s="14" cm="1">
        <f t="array" ref="K148">INT(SUMPRODUCT(--ISNUMBER(SEARCH(economy,'Mark Kelly'!C148)))&gt;0)</f>
        <v>0</v>
      </c>
      <c r="L148" s="14" cm="1">
        <f t="array" ref="L148">INT(SUMPRODUCT(--ISNUMBER(SEARCH(healthcare,'Mark Kelly'!C148)))&gt;0)</f>
        <v>0</v>
      </c>
      <c r="M148" s="14" cm="1">
        <f t="array" ref="M148">INT(SUMPRODUCT(--ISNUMBER(SEARCH(supreme,'Mark Kelly'!C148)))&gt;0)</f>
        <v>0</v>
      </c>
      <c r="N148" s="14" cm="1">
        <f t="array" ref="N148">INT(SUMPRODUCT(--ISNUMBER(SEARCH(covid,'Mark Kelly'!C148)))&gt;0)</f>
        <v>0</v>
      </c>
      <c r="O148" s="14" cm="1">
        <f t="array" ref="O148">INT(SUMPRODUCT(--ISNUMBER(SEARCH(violent,'Mark Kelly'!C148)))&gt;0)</f>
        <v>0</v>
      </c>
      <c r="P148" s="14" cm="1">
        <f t="array" ref="P148">INT(SUMPRODUCT(--ISNUMBER(SEARCH(foreign,'Mark Kelly'!C148)))&gt;0)</f>
        <v>0</v>
      </c>
      <c r="Q148" s="14" cm="1">
        <f t="array" ref="Q148">INT(SUMPRODUCT(--ISNUMBER(SEARCH(gun,'Mark Kelly'!C148)))&gt;0)</f>
        <v>0</v>
      </c>
      <c r="R148" s="14" cm="1">
        <f t="array" ref="R148">INT(SUMPRODUCT(--ISNUMBER(SEARCH(race,'Mark Kelly'!C148)))&gt;0)</f>
        <v>1</v>
      </c>
      <c r="S148" s="14" cm="1">
        <f t="array" ref="S148">INT(SUMPRODUCT(--ISNUMBER(SEARCH(immigration,C148)))&gt;0)</f>
        <v>0</v>
      </c>
      <c r="T148" s="14" cm="1">
        <f t="array" ref="T148">INT(SUMPRODUCT(--ISNUMBER(SEARCH(econineq,C148)))&gt;0)</f>
        <v>0</v>
      </c>
      <c r="U148" s="14" cm="1">
        <f t="array" ref="U148">INT(SUMPRODUCT(--ISNUMBER(SEARCH(climate,'Mark Kelly'!C148)))&gt;0)</f>
        <v>0</v>
      </c>
      <c r="V148" s="14" cm="1">
        <f t="array" ref="V148">INT(SUMPRODUCT(--ISNUMBER(SEARCH(abortion,'Mark Kelly'!C148)))&gt;0)</f>
        <v>0</v>
      </c>
      <c r="W148" s="14" cm="1">
        <f t="array" ref="W148">INT(SUMPRODUCT(--ISNUMBER(SEARCH(trump,'Mark Kelly'!C148)))&gt;0)</f>
        <v>0</v>
      </c>
      <c r="X148" s="14" cm="1">
        <f t="array" ref="X148">INT(SUMPRODUCT(--ISNUMBER(SEARCH(voting,'Mark Kelly'!C148)))&gt;0)</f>
        <v>0</v>
      </c>
      <c r="Y148" s="14" cm="1">
        <f t="array" ref="Y148">INT(SUMPRODUCT(--ISNUMBER(SEARCH(democrattrigger,'Mark Kelly'!C148)))&gt;0)</f>
        <v>0</v>
      </c>
      <c r="Z148" s="14" cm="1">
        <f t="array" ref="Z148">INT(SUMPRODUCT(--ISNUMBER(SEARCH(bipartisan,'Mark Kelly'!C148)))&gt;0)</f>
        <v>0</v>
      </c>
      <c r="AA148" s="14">
        <f t="shared" si="2"/>
        <v>0</v>
      </c>
      <c r="AB148" s="14"/>
      <c r="AC148" s="30">
        <v>0</v>
      </c>
      <c r="AD148" s="37">
        <v>1</v>
      </c>
    </row>
    <row r="149" spans="1:30" x14ac:dyDescent="0.25">
      <c r="A149" s="36">
        <v>233</v>
      </c>
      <c r="B149" s="14" t="s">
        <v>497</v>
      </c>
      <c r="C149" s="31" t="s">
        <v>498</v>
      </c>
      <c r="D149" s="17">
        <v>44120</v>
      </c>
      <c r="E149" s="14" t="s">
        <v>30</v>
      </c>
      <c r="F149" s="14">
        <v>351</v>
      </c>
      <c r="G149" s="14">
        <v>118</v>
      </c>
      <c r="H149" s="14">
        <v>2</v>
      </c>
      <c r="I149" s="14">
        <v>1</v>
      </c>
      <c r="J149" s="14" t="s">
        <v>204</v>
      </c>
      <c r="K149" s="14" cm="1">
        <f t="array" ref="K149">INT(SUMPRODUCT(--ISNUMBER(SEARCH(economy,'Mark Kelly'!C149)))&gt;0)</f>
        <v>0</v>
      </c>
      <c r="L149" s="14" cm="1">
        <f t="array" ref="L149">INT(SUMPRODUCT(--ISNUMBER(SEARCH(healthcare,'Mark Kelly'!C149)))&gt;0)</f>
        <v>0</v>
      </c>
      <c r="M149" s="14" cm="1">
        <f t="array" ref="M149">INT(SUMPRODUCT(--ISNUMBER(SEARCH(supreme,'Mark Kelly'!C149)))&gt;0)</f>
        <v>0</v>
      </c>
      <c r="N149" s="14" cm="1">
        <f t="array" ref="N149">INT(SUMPRODUCT(--ISNUMBER(SEARCH(covid,'Mark Kelly'!C149)))&gt;0)</f>
        <v>0</v>
      </c>
      <c r="O149" s="14" cm="1">
        <f t="array" ref="O149">INT(SUMPRODUCT(--ISNUMBER(SEARCH(violent,'Mark Kelly'!C149)))&gt;0)</f>
        <v>0</v>
      </c>
      <c r="P149" s="14" cm="1">
        <f t="array" ref="P149">INT(SUMPRODUCT(--ISNUMBER(SEARCH(foreign,'Mark Kelly'!C149)))&gt;0)</f>
        <v>0</v>
      </c>
      <c r="Q149" s="14" cm="1">
        <f t="array" ref="Q149">INT(SUMPRODUCT(--ISNUMBER(SEARCH(gun,'Mark Kelly'!C149)))&gt;0)</f>
        <v>0</v>
      </c>
      <c r="R149" s="14" cm="1">
        <f t="array" ref="R149">INT(SUMPRODUCT(--ISNUMBER(SEARCH(race,'Mark Kelly'!C149)))&gt;0)</f>
        <v>0</v>
      </c>
      <c r="S149" s="14" cm="1">
        <f t="array" ref="S149">INT(SUMPRODUCT(--ISNUMBER(SEARCH(immigration,C149)))&gt;0)</f>
        <v>0</v>
      </c>
      <c r="T149" s="14" cm="1">
        <f t="array" ref="T149">INT(SUMPRODUCT(--ISNUMBER(SEARCH(econineq,C149)))&gt;0)</f>
        <v>0</v>
      </c>
      <c r="U149" s="14" cm="1">
        <f t="array" ref="U149">INT(SUMPRODUCT(--ISNUMBER(SEARCH(climate,'Mark Kelly'!C149)))&gt;0)</f>
        <v>0</v>
      </c>
      <c r="V149" s="14" cm="1">
        <f t="array" ref="V149">INT(SUMPRODUCT(--ISNUMBER(SEARCH(abortion,'Mark Kelly'!C149)))&gt;0)</f>
        <v>0</v>
      </c>
      <c r="W149" s="14" cm="1">
        <f t="array" ref="W149">INT(SUMPRODUCT(--ISNUMBER(SEARCH(trump,'Mark Kelly'!C149)))&gt;0)</f>
        <v>0</v>
      </c>
      <c r="X149" s="14" cm="1">
        <f t="array" ref="X149">INT(SUMPRODUCT(--ISNUMBER(SEARCH(voting,'Mark Kelly'!C149)))&gt;0)</f>
        <v>1</v>
      </c>
      <c r="Y149" s="14" cm="1">
        <f t="array" ref="Y149">INT(SUMPRODUCT(--ISNUMBER(SEARCH(democrattrigger,'Mark Kelly'!C149)))&gt;0)</f>
        <v>0</v>
      </c>
      <c r="Z149" s="14" cm="1">
        <f t="array" ref="Z149">INT(SUMPRODUCT(--ISNUMBER(SEARCH(bipartisan,'Mark Kelly'!C149)))&gt;0)</f>
        <v>0</v>
      </c>
      <c r="AA149" s="14">
        <f t="shared" si="2"/>
        <v>0</v>
      </c>
      <c r="AB149" s="14"/>
      <c r="AC149" s="30">
        <v>1</v>
      </c>
      <c r="AD149" s="37">
        <v>1</v>
      </c>
    </row>
    <row r="150" spans="1:30" x14ac:dyDescent="0.25">
      <c r="A150" s="36">
        <v>234</v>
      </c>
      <c r="B150" s="14" t="s">
        <v>499</v>
      </c>
      <c r="C150" s="31" t="s">
        <v>500</v>
      </c>
      <c r="D150" s="17">
        <v>44120</v>
      </c>
      <c r="E150" s="14" t="s">
        <v>30</v>
      </c>
      <c r="F150" s="14">
        <v>682</v>
      </c>
      <c r="G150" s="14">
        <v>249</v>
      </c>
      <c r="H150" s="14">
        <v>2</v>
      </c>
      <c r="I150" s="14">
        <v>1</v>
      </c>
      <c r="J150" s="14" t="s">
        <v>204</v>
      </c>
      <c r="K150" s="14" cm="1">
        <f t="array" ref="K150">INT(SUMPRODUCT(--ISNUMBER(SEARCH(economy,'Mark Kelly'!C150)))&gt;0)</f>
        <v>0</v>
      </c>
      <c r="L150" s="14" cm="1">
        <f t="array" ref="L150">INT(SUMPRODUCT(--ISNUMBER(SEARCH(healthcare,'Mark Kelly'!C150)))&gt;0)</f>
        <v>0</v>
      </c>
      <c r="M150" s="14" cm="1">
        <f t="array" ref="M150">INT(SUMPRODUCT(--ISNUMBER(SEARCH(supreme,'Mark Kelly'!C150)))&gt;0)</f>
        <v>0</v>
      </c>
      <c r="N150" s="14" cm="1">
        <f t="array" ref="N150">INT(SUMPRODUCT(--ISNUMBER(SEARCH(covid,'Mark Kelly'!C150)))&gt;0)</f>
        <v>0</v>
      </c>
      <c r="O150" s="14" cm="1">
        <f t="array" ref="O150">INT(SUMPRODUCT(--ISNUMBER(SEARCH(violent,'Mark Kelly'!C150)))&gt;0)</f>
        <v>0</v>
      </c>
      <c r="P150" s="14" cm="1">
        <f t="array" ref="P150">INT(SUMPRODUCT(--ISNUMBER(SEARCH(foreign,'Mark Kelly'!C150)))&gt;0)</f>
        <v>0</v>
      </c>
      <c r="Q150" s="14" cm="1">
        <f t="array" ref="Q150">INT(SUMPRODUCT(--ISNUMBER(SEARCH(gun,'Mark Kelly'!C150)))&gt;0)</f>
        <v>0</v>
      </c>
      <c r="R150" s="14" cm="1">
        <f t="array" ref="R150">INT(SUMPRODUCT(--ISNUMBER(SEARCH(race,'Mark Kelly'!C150)))&gt;0)</f>
        <v>0</v>
      </c>
      <c r="S150" s="14" cm="1">
        <f t="array" ref="S150">INT(SUMPRODUCT(--ISNUMBER(SEARCH(immigration,C150)))&gt;0)</f>
        <v>0</v>
      </c>
      <c r="T150" s="14" cm="1">
        <f t="array" ref="T150">INT(SUMPRODUCT(--ISNUMBER(SEARCH(econineq,C150)))&gt;0)</f>
        <v>0</v>
      </c>
      <c r="U150" s="14" cm="1">
        <f t="array" ref="U150">INT(SUMPRODUCT(--ISNUMBER(SEARCH(climate,'Mark Kelly'!C150)))&gt;0)</f>
        <v>0</v>
      </c>
      <c r="V150" s="14" cm="1">
        <f t="array" ref="V150">INT(SUMPRODUCT(--ISNUMBER(SEARCH(abortion,'Mark Kelly'!C150)))&gt;0)</f>
        <v>0</v>
      </c>
      <c r="W150" s="14" cm="1">
        <f t="array" ref="W150">INT(SUMPRODUCT(--ISNUMBER(SEARCH(trump,'Mark Kelly'!C150)))&gt;0)</f>
        <v>0</v>
      </c>
      <c r="X150" s="14" cm="1">
        <f t="array" ref="X150">INT(SUMPRODUCT(--ISNUMBER(SEARCH(voting,'Mark Kelly'!C150)))&gt;0)</f>
        <v>0</v>
      </c>
      <c r="Y150" s="14" cm="1">
        <f t="array" ref="Y150">INT(SUMPRODUCT(--ISNUMBER(SEARCH(democrattrigger,'Mark Kelly'!C150)))&gt;0)</f>
        <v>0</v>
      </c>
      <c r="Z150" s="14" cm="1">
        <f t="array" ref="Z150">INT(SUMPRODUCT(--ISNUMBER(SEARCH(bipartisan,'Mark Kelly'!C150)))&gt;0)</f>
        <v>0</v>
      </c>
      <c r="AA150" s="14">
        <f t="shared" si="2"/>
        <v>1</v>
      </c>
      <c r="AB150" s="14"/>
      <c r="AC150" s="30" t="s">
        <v>223</v>
      </c>
      <c r="AD150" s="37"/>
    </row>
    <row r="151" spans="1:30" x14ac:dyDescent="0.25">
      <c r="A151" s="36">
        <v>235</v>
      </c>
      <c r="B151" s="14" t="s">
        <v>501</v>
      </c>
      <c r="C151" s="31" t="s">
        <v>502</v>
      </c>
      <c r="D151" s="17">
        <v>44120</v>
      </c>
      <c r="E151" s="14" t="s">
        <v>30</v>
      </c>
      <c r="F151" s="14">
        <v>3646</v>
      </c>
      <c r="G151" s="14">
        <v>1560</v>
      </c>
      <c r="H151" s="14">
        <v>2</v>
      </c>
      <c r="I151" s="14">
        <v>1</v>
      </c>
      <c r="J151" s="14" t="s">
        <v>204</v>
      </c>
      <c r="K151" s="14" cm="1">
        <f t="array" ref="K151">INT(SUMPRODUCT(--ISNUMBER(SEARCH(economy,'Mark Kelly'!C151)))&gt;0)</f>
        <v>0</v>
      </c>
      <c r="L151" s="14" cm="1">
        <f t="array" ref="L151">INT(SUMPRODUCT(--ISNUMBER(SEARCH(healthcare,'Mark Kelly'!C151)))&gt;0)</f>
        <v>0</v>
      </c>
      <c r="M151" s="14" cm="1">
        <f t="array" ref="M151">INT(SUMPRODUCT(--ISNUMBER(SEARCH(supreme,'Mark Kelly'!C151)))&gt;0)</f>
        <v>0</v>
      </c>
      <c r="N151" s="14" cm="1">
        <f t="array" ref="N151">INT(SUMPRODUCT(--ISNUMBER(SEARCH(covid,'Mark Kelly'!C151)))&gt;0)</f>
        <v>0</v>
      </c>
      <c r="O151" s="14" cm="1">
        <f t="array" ref="O151">INT(SUMPRODUCT(--ISNUMBER(SEARCH(violent,'Mark Kelly'!C151)))&gt;0)</f>
        <v>0</v>
      </c>
      <c r="P151" s="14" cm="1">
        <f t="array" ref="P151">INT(SUMPRODUCT(--ISNUMBER(SEARCH(foreign,'Mark Kelly'!C151)))&gt;0)</f>
        <v>0</v>
      </c>
      <c r="Q151" s="14" cm="1">
        <f t="array" ref="Q151">INT(SUMPRODUCT(--ISNUMBER(SEARCH(gun,'Mark Kelly'!C151)))&gt;0)</f>
        <v>0</v>
      </c>
      <c r="R151" s="14" cm="1">
        <f t="array" ref="R151">INT(SUMPRODUCT(--ISNUMBER(SEARCH(race,'Mark Kelly'!C151)))&gt;0)</f>
        <v>0</v>
      </c>
      <c r="S151" s="14" cm="1">
        <f t="array" ref="S151">INT(SUMPRODUCT(--ISNUMBER(SEARCH(immigration,C151)))&gt;0)</f>
        <v>0</v>
      </c>
      <c r="T151" s="14" cm="1">
        <f t="array" ref="T151">INT(SUMPRODUCT(--ISNUMBER(SEARCH(econineq,C151)))&gt;0)</f>
        <v>0</v>
      </c>
      <c r="U151" s="14" cm="1">
        <f t="array" ref="U151">INT(SUMPRODUCT(--ISNUMBER(SEARCH(climate,'Mark Kelly'!C151)))&gt;0)</f>
        <v>0</v>
      </c>
      <c r="V151" s="14" cm="1">
        <f t="array" ref="V151">INT(SUMPRODUCT(--ISNUMBER(SEARCH(abortion,'Mark Kelly'!C151)))&gt;0)</f>
        <v>0</v>
      </c>
      <c r="W151" s="14" cm="1">
        <f t="array" ref="W151">INT(SUMPRODUCT(--ISNUMBER(SEARCH(trump,'Mark Kelly'!C151)))&gt;0)</f>
        <v>0</v>
      </c>
      <c r="X151" s="14" cm="1">
        <f t="array" ref="X151">INT(SUMPRODUCT(--ISNUMBER(SEARCH(voting,'Mark Kelly'!C151)))&gt;0)</f>
        <v>0</v>
      </c>
      <c r="Y151" s="14" cm="1">
        <f t="array" ref="Y151">INT(SUMPRODUCT(--ISNUMBER(SEARCH(democrattrigger,'Mark Kelly'!C151)))&gt;0)</f>
        <v>0</v>
      </c>
      <c r="Z151" s="14" cm="1">
        <f t="array" ref="Z151">INT(SUMPRODUCT(--ISNUMBER(SEARCH(bipartisan,'Mark Kelly'!C151)))&gt;0)</f>
        <v>0</v>
      </c>
      <c r="AA151" s="14">
        <f t="shared" si="2"/>
        <v>1</v>
      </c>
      <c r="AB151" s="14"/>
      <c r="AC151" s="30">
        <v>0</v>
      </c>
      <c r="AD151" s="37">
        <v>1</v>
      </c>
    </row>
    <row r="152" spans="1:30" x14ac:dyDescent="0.25">
      <c r="A152" s="36">
        <v>236</v>
      </c>
      <c r="B152" s="14" t="s">
        <v>503</v>
      </c>
      <c r="C152" s="31" t="s">
        <v>504</v>
      </c>
      <c r="D152" s="17">
        <v>44120</v>
      </c>
      <c r="E152" s="14" t="s">
        <v>30</v>
      </c>
      <c r="F152" s="14">
        <v>1812</v>
      </c>
      <c r="G152" s="14">
        <v>425</v>
      </c>
      <c r="H152" s="14">
        <v>2</v>
      </c>
      <c r="I152" s="14">
        <v>1</v>
      </c>
      <c r="J152" s="14" t="s">
        <v>204</v>
      </c>
      <c r="K152" s="14" cm="1">
        <f t="array" ref="K152">INT(SUMPRODUCT(--ISNUMBER(SEARCH(economy,'Mark Kelly'!C152)))&gt;0)</f>
        <v>1</v>
      </c>
      <c r="L152" s="14" cm="1">
        <f t="array" ref="L152">INT(SUMPRODUCT(--ISNUMBER(SEARCH(healthcare,'Mark Kelly'!C152)))&gt;0)</f>
        <v>0</v>
      </c>
      <c r="M152" s="14" cm="1">
        <f t="array" ref="M152">INT(SUMPRODUCT(--ISNUMBER(SEARCH(supreme,'Mark Kelly'!C152)))&gt;0)</f>
        <v>0</v>
      </c>
      <c r="N152" s="14" cm="1">
        <f t="array" ref="N152">INT(SUMPRODUCT(--ISNUMBER(SEARCH(covid,'Mark Kelly'!C152)))&gt;0)</f>
        <v>1</v>
      </c>
      <c r="O152" s="14" cm="1">
        <f t="array" ref="O152">INT(SUMPRODUCT(--ISNUMBER(SEARCH(violent,'Mark Kelly'!C152)))&gt;0)</f>
        <v>0</v>
      </c>
      <c r="P152" s="14" cm="1">
        <f t="array" ref="P152">INT(SUMPRODUCT(--ISNUMBER(SEARCH(foreign,'Mark Kelly'!C152)))&gt;0)</f>
        <v>0</v>
      </c>
      <c r="Q152" s="14" cm="1">
        <f t="array" ref="Q152">INT(SUMPRODUCT(--ISNUMBER(SEARCH(gun,'Mark Kelly'!C152)))&gt;0)</f>
        <v>0</v>
      </c>
      <c r="R152" s="14" cm="1">
        <f t="array" ref="R152">INT(SUMPRODUCT(--ISNUMBER(SEARCH(race,'Mark Kelly'!C152)))&gt;0)</f>
        <v>1</v>
      </c>
      <c r="S152" s="14" cm="1">
        <f t="array" ref="S152">INT(SUMPRODUCT(--ISNUMBER(SEARCH(immigration,C152)))&gt;0)</f>
        <v>1</v>
      </c>
      <c r="T152" s="14" cm="1">
        <f t="array" ref="T152">INT(SUMPRODUCT(--ISNUMBER(SEARCH(econineq,C152)))&gt;0)</f>
        <v>0</v>
      </c>
      <c r="U152" s="14" cm="1">
        <f t="array" ref="U152">INT(SUMPRODUCT(--ISNUMBER(SEARCH(climate,'Mark Kelly'!C152)))&gt;0)</f>
        <v>0</v>
      </c>
      <c r="V152" s="14" cm="1">
        <f t="array" ref="V152">INT(SUMPRODUCT(--ISNUMBER(SEARCH(abortion,'Mark Kelly'!C152)))&gt;0)</f>
        <v>0</v>
      </c>
      <c r="W152" s="14" cm="1">
        <f t="array" ref="W152">INT(SUMPRODUCT(--ISNUMBER(SEARCH(trump,'Mark Kelly'!C152)))&gt;0)</f>
        <v>0</v>
      </c>
      <c r="X152" s="14" cm="1">
        <f t="array" ref="X152">INT(SUMPRODUCT(--ISNUMBER(SEARCH(voting,'Mark Kelly'!C152)))&gt;0)</f>
        <v>0</v>
      </c>
      <c r="Y152" s="14" cm="1">
        <f t="array" ref="Y152">INT(SUMPRODUCT(--ISNUMBER(SEARCH(democrattrigger,'Mark Kelly'!C152)))&gt;0)</f>
        <v>0</v>
      </c>
      <c r="Z152" s="14" cm="1">
        <f t="array" ref="Z152">INT(SUMPRODUCT(--ISNUMBER(SEARCH(bipartisan,'Mark Kelly'!C152)))&gt;0)</f>
        <v>0</v>
      </c>
      <c r="AA152" s="14">
        <f t="shared" si="2"/>
        <v>0</v>
      </c>
      <c r="AB152" s="14"/>
      <c r="AC152" s="30">
        <v>1</v>
      </c>
      <c r="AD152" s="37">
        <v>0</v>
      </c>
    </row>
    <row r="153" spans="1:30" x14ac:dyDescent="0.25">
      <c r="A153" s="36">
        <v>237</v>
      </c>
      <c r="B153" s="14" t="s">
        <v>505</v>
      </c>
      <c r="C153" s="31" t="s">
        <v>506</v>
      </c>
      <c r="D153" s="17">
        <v>44119</v>
      </c>
      <c r="E153" s="14" t="s">
        <v>30</v>
      </c>
      <c r="F153" s="14">
        <v>2277</v>
      </c>
      <c r="G153" s="14">
        <v>379</v>
      </c>
      <c r="H153" s="14">
        <v>2</v>
      </c>
      <c r="I153" s="14">
        <v>1</v>
      </c>
      <c r="J153" s="14" t="s">
        <v>204</v>
      </c>
      <c r="K153" s="14" cm="1">
        <f t="array" ref="K153">INT(SUMPRODUCT(--ISNUMBER(SEARCH(economy,'Mark Kelly'!C153)))&gt;0)</f>
        <v>0</v>
      </c>
      <c r="L153" s="14" cm="1">
        <f t="array" ref="L153">INT(SUMPRODUCT(--ISNUMBER(SEARCH(healthcare,'Mark Kelly'!C153)))&gt;0)</f>
        <v>0</v>
      </c>
      <c r="M153" s="14" cm="1">
        <f t="array" ref="M153">INT(SUMPRODUCT(--ISNUMBER(SEARCH(supreme,'Mark Kelly'!C153)))&gt;0)</f>
        <v>0</v>
      </c>
      <c r="N153" s="14" cm="1">
        <f t="array" ref="N153">INT(SUMPRODUCT(--ISNUMBER(SEARCH(covid,'Mark Kelly'!C153)))&gt;0)</f>
        <v>0</v>
      </c>
      <c r="O153" s="14" cm="1">
        <f t="array" ref="O153">INT(SUMPRODUCT(--ISNUMBER(SEARCH(violent,'Mark Kelly'!C153)))&gt;0)</f>
        <v>0</v>
      </c>
      <c r="P153" s="14" cm="1">
        <f t="array" ref="P153">INT(SUMPRODUCT(--ISNUMBER(SEARCH(foreign,'Mark Kelly'!C153)))&gt;0)</f>
        <v>0</v>
      </c>
      <c r="Q153" s="14" cm="1">
        <f t="array" ref="Q153">INT(SUMPRODUCT(--ISNUMBER(SEARCH(gun,'Mark Kelly'!C153)))&gt;0)</f>
        <v>0</v>
      </c>
      <c r="R153" s="14" cm="1">
        <f t="array" ref="R153">INT(SUMPRODUCT(--ISNUMBER(SEARCH(race,'Mark Kelly'!C153)))&gt;0)</f>
        <v>0</v>
      </c>
      <c r="S153" s="14" cm="1">
        <f t="array" ref="S153">INT(SUMPRODUCT(--ISNUMBER(SEARCH(immigration,C153)))&gt;0)</f>
        <v>0</v>
      </c>
      <c r="T153" s="14" cm="1">
        <f t="array" ref="T153">INT(SUMPRODUCT(--ISNUMBER(SEARCH(econineq,C153)))&gt;0)</f>
        <v>0</v>
      </c>
      <c r="U153" s="14" cm="1">
        <f t="array" ref="U153">INT(SUMPRODUCT(--ISNUMBER(SEARCH(climate,'Mark Kelly'!C153)))&gt;0)</f>
        <v>0</v>
      </c>
      <c r="V153" s="14" cm="1">
        <f t="array" ref="V153">INT(SUMPRODUCT(--ISNUMBER(SEARCH(abortion,'Mark Kelly'!C153)))&gt;0)</f>
        <v>0</v>
      </c>
      <c r="W153" s="14" cm="1">
        <f t="array" ref="W153">INT(SUMPRODUCT(--ISNUMBER(SEARCH(trump,'Mark Kelly'!C153)))&gt;0)</f>
        <v>0</v>
      </c>
      <c r="X153" s="14" cm="1">
        <f t="array" ref="X153">INT(SUMPRODUCT(--ISNUMBER(SEARCH(voting,'Mark Kelly'!C153)))&gt;0)</f>
        <v>0</v>
      </c>
      <c r="Y153" s="14" cm="1">
        <f t="array" ref="Y153">INT(SUMPRODUCT(--ISNUMBER(SEARCH(democrattrigger,'Mark Kelly'!C153)))&gt;0)</f>
        <v>0</v>
      </c>
      <c r="Z153" s="14" cm="1">
        <f t="array" ref="Z153">INT(SUMPRODUCT(--ISNUMBER(SEARCH(bipartisan,'Mark Kelly'!C153)))&gt;0)</f>
        <v>0</v>
      </c>
      <c r="AA153" s="14">
        <f t="shared" si="2"/>
        <v>1</v>
      </c>
      <c r="AB153" s="14"/>
      <c r="AC153" s="30">
        <v>1</v>
      </c>
      <c r="AD153" s="37">
        <v>0</v>
      </c>
    </row>
    <row r="154" spans="1:30" x14ac:dyDescent="0.25">
      <c r="A154" s="36">
        <v>238</v>
      </c>
      <c r="B154" s="14" t="s">
        <v>507</v>
      </c>
      <c r="C154" s="31" t="s">
        <v>508</v>
      </c>
      <c r="D154" s="17">
        <v>44119</v>
      </c>
      <c r="E154" s="14" t="s">
        <v>30</v>
      </c>
      <c r="F154" s="14">
        <v>1069</v>
      </c>
      <c r="G154" s="14">
        <v>336</v>
      </c>
      <c r="H154" s="14">
        <v>2</v>
      </c>
      <c r="I154" s="14">
        <v>1</v>
      </c>
      <c r="J154" s="14" t="s">
        <v>204</v>
      </c>
      <c r="K154" s="14" cm="1">
        <f t="array" ref="K154">INT(SUMPRODUCT(--ISNUMBER(SEARCH(economy,'Mark Kelly'!C154)))&gt;0)</f>
        <v>1</v>
      </c>
      <c r="L154" s="14" cm="1">
        <f t="array" ref="L154">INT(SUMPRODUCT(--ISNUMBER(SEARCH(healthcare,'Mark Kelly'!C154)))&gt;0)</f>
        <v>0</v>
      </c>
      <c r="M154" s="14" cm="1">
        <f t="array" ref="M154">INT(SUMPRODUCT(--ISNUMBER(SEARCH(supreme,'Mark Kelly'!C154)))&gt;0)</f>
        <v>0</v>
      </c>
      <c r="N154" s="14" cm="1">
        <f t="array" ref="N154">INT(SUMPRODUCT(--ISNUMBER(SEARCH(covid,'Mark Kelly'!C154)))&gt;0)</f>
        <v>1</v>
      </c>
      <c r="O154" s="14" cm="1">
        <f t="array" ref="O154">INT(SUMPRODUCT(--ISNUMBER(SEARCH(violent,'Mark Kelly'!C154)))&gt;0)</f>
        <v>0</v>
      </c>
      <c r="P154" s="14" cm="1">
        <f t="array" ref="P154">INT(SUMPRODUCT(--ISNUMBER(SEARCH(foreign,'Mark Kelly'!C154)))&gt;0)</f>
        <v>0</v>
      </c>
      <c r="Q154" s="14" cm="1">
        <f t="array" ref="Q154">INT(SUMPRODUCT(--ISNUMBER(SEARCH(gun,'Mark Kelly'!C154)))&gt;0)</f>
        <v>0</v>
      </c>
      <c r="R154" s="14" cm="1">
        <f t="array" ref="R154">INT(SUMPRODUCT(--ISNUMBER(SEARCH(race,'Mark Kelly'!C154)))&gt;0)</f>
        <v>0</v>
      </c>
      <c r="S154" s="14" cm="1">
        <f t="array" ref="S154">INT(SUMPRODUCT(--ISNUMBER(SEARCH(immigration,C154)))&gt;0)</f>
        <v>0</v>
      </c>
      <c r="T154" s="14" cm="1">
        <f t="array" ref="T154">INT(SUMPRODUCT(--ISNUMBER(SEARCH(econineq,C154)))&gt;0)</f>
        <v>0</v>
      </c>
      <c r="U154" s="14" cm="1">
        <f t="array" ref="U154">INT(SUMPRODUCT(--ISNUMBER(SEARCH(climate,'Mark Kelly'!C154)))&gt;0)</f>
        <v>0</v>
      </c>
      <c r="V154" s="14" cm="1">
        <f t="array" ref="V154">INT(SUMPRODUCT(--ISNUMBER(SEARCH(abortion,'Mark Kelly'!C154)))&gt;0)</f>
        <v>0</v>
      </c>
      <c r="W154" s="14" cm="1">
        <f t="array" ref="W154">INT(SUMPRODUCT(--ISNUMBER(SEARCH(trump,'Mark Kelly'!C154)))&gt;0)</f>
        <v>0</v>
      </c>
      <c r="X154" s="14" cm="1">
        <f t="array" ref="X154">INT(SUMPRODUCT(--ISNUMBER(SEARCH(voting,'Mark Kelly'!C154)))&gt;0)</f>
        <v>0</v>
      </c>
      <c r="Y154" s="14" cm="1">
        <f t="array" ref="Y154">INT(SUMPRODUCT(--ISNUMBER(SEARCH(democrattrigger,'Mark Kelly'!C154)))&gt;0)</f>
        <v>0</v>
      </c>
      <c r="Z154" s="14" cm="1">
        <f t="array" ref="Z154">INT(SUMPRODUCT(--ISNUMBER(SEARCH(bipartisan,'Mark Kelly'!C154)))&gt;0)</f>
        <v>0</v>
      </c>
      <c r="AA154" s="14">
        <f t="shared" si="2"/>
        <v>0</v>
      </c>
      <c r="AB154" s="14"/>
      <c r="AC154" s="30">
        <v>0</v>
      </c>
      <c r="AD154" s="37">
        <v>1</v>
      </c>
    </row>
    <row r="155" spans="1:30" x14ac:dyDescent="0.25">
      <c r="A155" s="36">
        <v>239</v>
      </c>
      <c r="B155" s="14" t="s">
        <v>509</v>
      </c>
      <c r="C155" s="31" t="s">
        <v>510</v>
      </c>
      <c r="D155" s="17">
        <v>44119</v>
      </c>
      <c r="E155" s="14" t="s">
        <v>30</v>
      </c>
      <c r="F155" s="14">
        <v>1093</v>
      </c>
      <c r="G155" s="14">
        <v>266</v>
      </c>
      <c r="H155" s="14">
        <v>2</v>
      </c>
      <c r="I155" s="14">
        <v>1</v>
      </c>
      <c r="J155" s="14" t="s">
        <v>204</v>
      </c>
      <c r="K155" s="14" cm="1">
        <f t="array" ref="K155">INT(SUMPRODUCT(--ISNUMBER(SEARCH(economy,'Mark Kelly'!C155)))&gt;0)</f>
        <v>0</v>
      </c>
      <c r="L155" s="14" cm="1">
        <f t="array" ref="L155">INT(SUMPRODUCT(--ISNUMBER(SEARCH(healthcare,'Mark Kelly'!C155)))&gt;0)</f>
        <v>1</v>
      </c>
      <c r="M155" s="14" cm="1">
        <f t="array" ref="M155">INT(SUMPRODUCT(--ISNUMBER(SEARCH(supreme,'Mark Kelly'!C155)))&gt;0)</f>
        <v>0</v>
      </c>
      <c r="N155" s="14" cm="1">
        <f t="array" ref="N155">INT(SUMPRODUCT(--ISNUMBER(SEARCH(covid,'Mark Kelly'!C155)))&gt;0)</f>
        <v>1</v>
      </c>
      <c r="O155" s="14" cm="1">
        <f t="array" ref="O155">INT(SUMPRODUCT(--ISNUMBER(SEARCH(violent,'Mark Kelly'!C155)))&gt;0)</f>
        <v>0</v>
      </c>
      <c r="P155" s="14" cm="1">
        <f t="array" ref="P155">INT(SUMPRODUCT(--ISNUMBER(SEARCH(foreign,'Mark Kelly'!C155)))&gt;0)</f>
        <v>0</v>
      </c>
      <c r="Q155" s="14" cm="1">
        <f t="array" ref="Q155">INT(SUMPRODUCT(--ISNUMBER(SEARCH(gun,'Mark Kelly'!C155)))&gt;0)</f>
        <v>0</v>
      </c>
      <c r="R155" s="14" cm="1">
        <f t="array" ref="R155">INT(SUMPRODUCT(--ISNUMBER(SEARCH(race,'Mark Kelly'!C155)))&gt;0)</f>
        <v>1</v>
      </c>
      <c r="S155" s="14" cm="1">
        <f t="array" ref="S155">INT(SUMPRODUCT(--ISNUMBER(SEARCH(immigration,C155)))&gt;0)</f>
        <v>1</v>
      </c>
      <c r="T155" s="14" cm="1">
        <f t="array" ref="T155">INT(SUMPRODUCT(--ISNUMBER(SEARCH(econineq,C155)))&gt;0)</f>
        <v>0</v>
      </c>
      <c r="U155" s="14" cm="1">
        <f t="array" ref="U155">INT(SUMPRODUCT(--ISNUMBER(SEARCH(climate,'Mark Kelly'!C155)))&gt;0)</f>
        <v>0</v>
      </c>
      <c r="V155" s="14" cm="1">
        <f t="array" ref="V155">INT(SUMPRODUCT(--ISNUMBER(SEARCH(abortion,'Mark Kelly'!C155)))&gt;0)</f>
        <v>0</v>
      </c>
      <c r="W155" s="14" cm="1">
        <f t="array" ref="W155">INT(SUMPRODUCT(--ISNUMBER(SEARCH(trump,'Mark Kelly'!C155)))&gt;0)</f>
        <v>0</v>
      </c>
      <c r="X155" s="14" cm="1">
        <f t="array" ref="X155">INT(SUMPRODUCT(--ISNUMBER(SEARCH(voting,'Mark Kelly'!C155)))&gt;0)</f>
        <v>0</v>
      </c>
      <c r="Y155" s="14" cm="1">
        <f t="array" ref="Y155">INT(SUMPRODUCT(--ISNUMBER(SEARCH(democrattrigger,'Mark Kelly'!C155)))&gt;0)</f>
        <v>0</v>
      </c>
      <c r="Z155" s="14" cm="1">
        <f t="array" ref="Z155">INT(SUMPRODUCT(--ISNUMBER(SEARCH(bipartisan,'Mark Kelly'!C155)))&gt;0)</f>
        <v>0</v>
      </c>
      <c r="AA155" s="14">
        <f t="shared" si="2"/>
        <v>0</v>
      </c>
      <c r="AB155" s="14"/>
      <c r="AC155" s="30">
        <v>1</v>
      </c>
      <c r="AD155" s="37">
        <v>0</v>
      </c>
    </row>
    <row r="156" spans="1:30" x14ac:dyDescent="0.25">
      <c r="A156" s="36">
        <v>240</v>
      </c>
      <c r="B156" s="14" t="s">
        <v>511</v>
      </c>
      <c r="C156" s="31" t="s">
        <v>512</v>
      </c>
      <c r="D156" s="17">
        <v>44118</v>
      </c>
      <c r="E156" s="14" t="s">
        <v>30</v>
      </c>
      <c r="F156" s="14">
        <v>2205</v>
      </c>
      <c r="G156" s="14">
        <v>633</v>
      </c>
      <c r="H156" s="14">
        <v>2</v>
      </c>
      <c r="I156" s="14">
        <v>1</v>
      </c>
      <c r="J156" s="14" t="s">
        <v>204</v>
      </c>
      <c r="K156" s="14" cm="1">
        <f t="array" ref="K156">INT(SUMPRODUCT(--ISNUMBER(SEARCH(economy,'Mark Kelly'!C156)))&gt;0)</f>
        <v>0</v>
      </c>
      <c r="L156" s="14" cm="1">
        <f t="array" ref="L156">INT(SUMPRODUCT(--ISNUMBER(SEARCH(healthcare,'Mark Kelly'!C156)))&gt;0)</f>
        <v>0</v>
      </c>
      <c r="M156" s="14" cm="1">
        <f t="array" ref="M156">INT(SUMPRODUCT(--ISNUMBER(SEARCH(supreme,'Mark Kelly'!C156)))&gt;0)</f>
        <v>0</v>
      </c>
      <c r="N156" s="14" cm="1">
        <f t="array" ref="N156">INT(SUMPRODUCT(--ISNUMBER(SEARCH(covid,'Mark Kelly'!C156)))&gt;0)</f>
        <v>1</v>
      </c>
      <c r="O156" s="14" cm="1">
        <f t="array" ref="O156">INT(SUMPRODUCT(--ISNUMBER(SEARCH(violent,'Mark Kelly'!C156)))&gt;0)</f>
        <v>0</v>
      </c>
      <c r="P156" s="14" cm="1">
        <f t="array" ref="P156">INT(SUMPRODUCT(--ISNUMBER(SEARCH(foreign,'Mark Kelly'!C156)))&gt;0)</f>
        <v>0</v>
      </c>
      <c r="Q156" s="14" cm="1">
        <f t="array" ref="Q156">INT(SUMPRODUCT(--ISNUMBER(SEARCH(gun,'Mark Kelly'!C156)))&gt;0)</f>
        <v>0</v>
      </c>
      <c r="R156" s="14" cm="1">
        <f t="array" ref="R156">INT(SUMPRODUCT(--ISNUMBER(SEARCH(race,'Mark Kelly'!C156)))&gt;0)</f>
        <v>0</v>
      </c>
      <c r="S156" s="14" cm="1">
        <f t="array" ref="S156">INT(SUMPRODUCT(--ISNUMBER(SEARCH(immigration,C156)))&gt;0)</f>
        <v>0</v>
      </c>
      <c r="T156" s="14" cm="1">
        <f t="array" ref="T156">INT(SUMPRODUCT(--ISNUMBER(SEARCH(econineq,C156)))&gt;0)</f>
        <v>0</v>
      </c>
      <c r="U156" s="14" cm="1">
        <f t="array" ref="U156">INT(SUMPRODUCT(--ISNUMBER(SEARCH(climate,'Mark Kelly'!C156)))&gt;0)</f>
        <v>0</v>
      </c>
      <c r="V156" s="14" cm="1">
        <f t="array" ref="V156">INT(SUMPRODUCT(--ISNUMBER(SEARCH(abortion,'Mark Kelly'!C156)))&gt;0)</f>
        <v>0</v>
      </c>
      <c r="W156" s="14" cm="1">
        <f t="array" ref="W156">INT(SUMPRODUCT(--ISNUMBER(SEARCH(trump,'Mark Kelly'!C156)))&gt;0)</f>
        <v>0</v>
      </c>
      <c r="X156" s="14" cm="1">
        <f t="array" ref="X156">INT(SUMPRODUCT(--ISNUMBER(SEARCH(voting,'Mark Kelly'!C156)))&gt;0)</f>
        <v>0</v>
      </c>
      <c r="Y156" s="14" cm="1">
        <f t="array" ref="Y156">INT(SUMPRODUCT(--ISNUMBER(SEARCH(democrattrigger,'Mark Kelly'!C156)))&gt;0)</f>
        <v>0</v>
      </c>
      <c r="Z156" s="14" cm="1">
        <f t="array" ref="Z156">INT(SUMPRODUCT(--ISNUMBER(SEARCH(bipartisan,'Mark Kelly'!C156)))&gt;0)</f>
        <v>0</v>
      </c>
      <c r="AA156" s="14">
        <f t="shared" si="2"/>
        <v>0</v>
      </c>
      <c r="AB156" s="14"/>
      <c r="AC156" s="30" t="s">
        <v>223</v>
      </c>
      <c r="AD156" s="37"/>
    </row>
    <row r="157" spans="1:30" x14ac:dyDescent="0.25">
      <c r="A157" s="36">
        <v>241</v>
      </c>
      <c r="B157" s="14" t="s">
        <v>513</v>
      </c>
      <c r="C157" s="31" t="s">
        <v>514</v>
      </c>
      <c r="D157" s="17">
        <v>44118</v>
      </c>
      <c r="E157" s="14" t="s">
        <v>30</v>
      </c>
      <c r="F157" s="14">
        <v>617</v>
      </c>
      <c r="G157" s="14">
        <v>150</v>
      </c>
      <c r="H157" s="14">
        <v>2</v>
      </c>
      <c r="I157" s="14">
        <v>1</v>
      </c>
      <c r="J157" s="14" t="s">
        <v>204</v>
      </c>
      <c r="K157" s="14" cm="1">
        <f t="array" ref="K157">INT(SUMPRODUCT(--ISNUMBER(SEARCH(economy,'Mark Kelly'!C157)))&gt;0)</f>
        <v>0</v>
      </c>
      <c r="L157" s="14" cm="1">
        <f t="array" ref="L157">INT(SUMPRODUCT(--ISNUMBER(SEARCH(healthcare,'Mark Kelly'!C157)))&gt;0)</f>
        <v>0</v>
      </c>
      <c r="M157" s="14" cm="1">
        <f t="array" ref="M157">INT(SUMPRODUCT(--ISNUMBER(SEARCH(supreme,'Mark Kelly'!C157)))&gt;0)</f>
        <v>0</v>
      </c>
      <c r="N157" s="14" cm="1">
        <f t="array" ref="N157">INT(SUMPRODUCT(--ISNUMBER(SEARCH(covid,'Mark Kelly'!C157)))&gt;0)</f>
        <v>0</v>
      </c>
      <c r="O157" s="14" cm="1">
        <f t="array" ref="O157">INT(SUMPRODUCT(--ISNUMBER(SEARCH(violent,'Mark Kelly'!C157)))&gt;0)</f>
        <v>0</v>
      </c>
      <c r="P157" s="14" cm="1">
        <f t="array" ref="P157">INT(SUMPRODUCT(--ISNUMBER(SEARCH(foreign,'Mark Kelly'!C157)))&gt;0)</f>
        <v>0</v>
      </c>
      <c r="Q157" s="14" cm="1">
        <f t="array" ref="Q157">INT(SUMPRODUCT(--ISNUMBER(SEARCH(gun,'Mark Kelly'!C157)))&gt;0)</f>
        <v>0</v>
      </c>
      <c r="R157" s="14" cm="1">
        <f t="array" ref="R157">INT(SUMPRODUCT(--ISNUMBER(SEARCH(race,'Mark Kelly'!C157)))&gt;0)</f>
        <v>0</v>
      </c>
      <c r="S157" s="14" cm="1">
        <f t="array" ref="S157">INT(SUMPRODUCT(--ISNUMBER(SEARCH(immigration,C157)))&gt;0)</f>
        <v>0</v>
      </c>
      <c r="T157" s="14" cm="1">
        <f t="array" ref="T157">INT(SUMPRODUCT(--ISNUMBER(SEARCH(econineq,C157)))&gt;0)</f>
        <v>0</v>
      </c>
      <c r="U157" s="14" cm="1">
        <f t="array" ref="U157">INT(SUMPRODUCT(--ISNUMBER(SEARCH(climate,'Mark Kelly'!C157)))&gt;0)</f>
        <v>0</v>
      </c>
      <c r="V157" s="14" cm="1">
        <f t="array" ref="V157">INT(SUMPRODUCT(--ISNUMBER(SEARCH(abortion,'Mark Kelly'!C157)))&gt;0)</f>
        <v>0</v>
      </c>
      <c r="W157" s="14" cm="1">
        <f t="array" ref="W157">INT(SUMPRODUCT(--ISNUMBER(SEARCH(trump,'Mark Kelly'!C157)))&gt;0)</f>
        <v>0</v>
      </c>
      <c r="X157" s="14" cm="1">
        <f t="array" ref="X157">INT(SUMPRODUCT(--ISNUMBER(SEARCH(voting,'Mark Kelly'!C157)))&gt;0)</f>
        <v>0</v>
      </c>
      <c r="Y157" s="14" cm="1">
        <f t="array" ref="Y157">INT(SUMPRODUCT(--ISNUMBER(SEARCH(democrattrigger,'Mark Kelly'!C157)))&gt;0)</f>
        <v>0</v>
      </c>
      <c r="Z157" s="14" cm="1">
        <f t="array" ref="Z157">INT(SUMPRODUCT(--ISNUMBER(SEARCH(bipartisan,'Mark Kelly'!C157)))&gt;0)</f>
        <v>0</v>
      </c>
      <c r="AA157" s="14">
        <f t="shared" si="2"/>
        <v>1</v>
      </c>
      <c r="AB157" s="14"/>
      <c r="AC157" s="30" t="s">
        <v>223</v>
      </c>
      <c r="AD157" s="37"/>
    </row>
    <row r="158" spans="1:30" x14ac:dyDescent="0.25">
      <c r="A158" s="36">
        <v>242</v>
      </c>
      <c r="B158" s="14" t="s">
        <v>515</v>
      </c>
      <c r="C158" s="31" t="s">
        <v>516</v>
      </c>
      <c r="D158" s="17">
        <v>44118</v>
      </c>
      <c r="E158" s="14" t="s">
        <v>30</v>
      </c>
      <c r="F158" s="14">
        <v>723</v>
      </c>
      <c r="G158" s="14">
        <v>225</v>
      </c>
      <c r="H158" s="14">
        <v>2</v>
      </c>
      <c r="I158" s="14">
        <v>1</v>
      </c>
      <c r="J158" s="14" t="s">
        <v>204</v>
      </c>
      <c r="K158" s="14" cm="1">
        <f t="array" ref="K158">INT(SUMPRODUCT(--ISNUMBER(SEARCH(economy,'Mark Kelly'!C158)))&gt;0)</f>
        <v>0</v>
      </c>
      <c r="L158" s="14" cm="1">
        <f t="array" ref="L158">INT(SUMPRODUCT(--ISNUMBER(SEARCH(healthcare,'Mark Kelly'!C158)))&gt;0)</f>
        <v>0</v>
      </c>
      <c r="M158" s="14" cm="1">
        <f t="array" ref="M158">INT(SUMPRODUCT(--ISNUMBER(SEARCH(supreme,'Mark Kelly'!C158)))&gt;0)</f>
        <v>0</v>
      </c>
      <c r="N158" s="14" cm="1">
        <f t="array" ref="N158">INT(SUMPRODUCT(--ISNUMBER(SEARCH(covid,'Mark Kelly'!C158)))&gt;0)</f>
        <v>0</v>
      </c>
      <c r="O158" s="14" cm="1">
        <f t="array" ref="O158">INT(SUMPRODUCT(--ISNUMBER(SEARCH(violent,'Mark Kelly'!C158)))&gt;0)</f>
        <v>0</v>
      </c>
      <c r="P158" s="14" cm="1">
        <f t="array" ref="P158">INT(SUMPRODUCT(--ISNUMBER(SEARCH(foreign,'Mark Kelly'!C158)))&gt;0)</f>
        <v>0</v>
      </c>
      <c r="Q158" s="14" cm="1">
        <f t="array" ref="Q158">INT(SUMPRODUCT(--ISNUMBER(SEARCH(gun,'Mark Kelly'!C158)))&gt;0)</f>
        <v>0</v>
      </c>
      <c r="R158" s="14" cm="1">
        <f t="array" ref="R158">INT(SUMPRODUCT(--ISNUMBER(SEARCH(race,'Mark Kelly'!C158)))&gt;0)</f>
        <v>0</v>
      </c>
      <c r="S158" s="14" cm="1">
        <f t="array" ref="S158">INT(SUMPRODUCT(--ISNUMBER(SEARCH(immigration,C158)))&gt;0)</f>
        <v>0</v>
      </c>
      <c r="T158" s="14" cm="1">
        <f t="array" ref="T158">INT(SUMPRODUCT(--ISNUMBER(SEARCH(econineq,C158)))&gt;0)</f>
        <v>0</v>
      </c>
      <c r="U158" s="14" cm="1">
        <f t="array" ref="U158">INT(SUMPRODUCT(--ISNUMBER(SEARCH(climate,'Mark Kelly'!C158)))&gt;0)</f>
        <v>0</v>
      </c>
      <c r="V158" s="14" cm="1">
        <f t="array" ref="V158">INT(SUMPRODUCT(--ISNUMBER(SEARCH(abortion,'Mark Kelly'!C158)))&gt;0)</f>
        <v>0</v>
      </c>
      <c r="W158" s="14" cm="1">
        <f t="array" ref="W158">INT(SUMPRODUCT(--ISNUMBER(SEARCH(trump,'Mark Kelly'!C158)))&gt;0)</f>
        <v>0</v>
      </c>
      <c r="X158" s="14" cm="1">
        <f t="array" ref="X158">INT(SUMPRODUCT(--ISNUMBER(SEARCH(voting,'Mark Kelly'!C158)))&gt;0)</f>
        <v>0</v>
      </c>
      <c r="Y158" s="14" cm="1">
        <f t="array" ref="Y158">INT(SUMPRODUCT(--ISNUMBER(SEARCH(democrattrigger,'Mark Kelly'!C158)))&gt;0)</f>
        <v>0</v>
      </c>
      <c r="Z158" s="14" cm="1">
        <f t="array" ref="Z158">INT(SUMPRODUCT(--ISNUMBER(SEARCH(bipartisan,'Mark Kelly'!C158)))&gt;0)</f>
        <v>0</v>
      </c>
      <c r="AA158" s="14">
        <f t="shared" si="2"/>
        <v>1</v>
      </c>
      <c r="AB158" s="14"/>
      <c r="AC158" s="30" t="s">
        <v>223</v>
      </c>
      <c r="AD158" s="37"/>
    </row>
    <row r="159" spans="1:30" x14ac:dyDescent="0.25">
      <c r="A159" s="36">
        <v>243</v>
      </c>
      <c r="B159" s="14" t="s">
        <v>517</v>
      </c>
      <c r="C159" s="31" t="s">
        <v>518</v>
      </c>
      <c r="D159" s="17">
        <v>44118</v>
      </c>
      <c r="E159" s="14" t="s">
        <v>30</v>
      </c>
      <c r="F159" s="14">
        <v>4094</v>
      </c>
      <c r="G159" s="14">
        <v>671</v>
      </c>
      <c r="H159" s="14">
        <v>2</v>
      </c>
      <c r="I159" s="14">
        <v>1</v>
      </c>
      <c r="J159" s="14" t="s">
        <v>204</v>
      </c>
      <c r="K159" s="14" cm="1">
        <f t="array" ref="K159">INT(SUMPRODUCT(--ISNUMBER(SEARCH(economy,'Mark Kelly'!C159)))&gt;0)</f>
        <v>0</v>
      </c>
      <c r="L159" s="14" cm="1">
        <f t="array" ref="L159">INT(SUMPRODUCT(--ISNUMBER(SEARCH(healthcare,'Mark Kelly'!C159)))&gt;0)</f>
        <v>0</v>
      </c>
      <c r="M159" s="14" cm="1">
        <f t="array" ref="M159">INT(SUMPRODUCT(--ISNUMBER(SEARCH(supreme,'Mark Kelly'!C159)))&gt;0)</f>
        <v>0</v>
      </c>
      <c r="N159" s="14" cm="1">
        <f t="array" ref="N159">INT(SUMPRODUCT(--ISNUMBER(SEARCH(covid,'Mark Kelly'!C159)))&gt;0)</f>
        <v>0</v>
      </c>
      <c r="O159" s="14" cm="1">
        <f t="array" ref="O159">INT(SUMPRODUCT(--ISNUMBER(SEARCH(violent,'Mark Kelly'!C159)))&gt;0)</f>
        <v>0</v>
      </c>
      <c r="P159" s="14" cm="1">
        <f t="array" ref="P159">INT(SUMPRODUCT(--ISNUMBER(SEARCH(foreign,'Mark Kelly'!C159)))&gt;0)</f>
        <v>0</v>
      </c>
      <c r="Q159" s="14" cm="1">
        <f t="array" ref="Q159">INT(SUMPRODUCT(--ISNUMBER(SEARCH(gun,'Mark Kelly'!C159)))&gt;0)</f>
        <v>0</v>
      </c>
      <c r="R159" s="14" cm="1">
        <f t="array" ref="R159">INT(SUMPRODUCT(--ISNUMBER(SEARCH(race,'Mark Kelly'!C159)))&gt;0)</f>
        <v>0</v>
      </c>
      <c r="S159" s="14" cm="1">
        <f t="array" ref="S159">INT(SUMPRODUCT(--ISNUMBER(SEARCH(immigration,C159)))&gt;0)</f>
        <v>0</v>
      </c>
      <c r="T159" s="14" cm="1">
        <f t="array" ref="T159">INT(SUMPRODUCT(--ISNUMBER(SEARCH(econineq,C159)))&gt;0)</f>
        <v>0</v>
      </c>
      <c r="U159" s="14" cm="1">
        <f t="array" ref="U159">INT(SUMPRODUCT(--ISNUMBER(SEARCH(climate,'Mark Kelly'!C159)))&gt;0)</f>
        <v>0</v>
      </c>
      <c r="V159" s="14" cm="1">
        <f t="array" ref="V159">INT(SUMPRODUCT(--ISNUMBER(SEARCH(abortion,'Mark Kelly'!C159)))&gt;0)</f>
        <v>0</v>
      </c>
      <c r="W159" s="14" cm="1">
        <f t="array" ref="W159">INT(SUMPRODUCT(--ISNUMBER(SEARCH(trump,'Mark Kelly'!C159)))&gt;0)</f>
        <v>0</v>
      </c>
      <c r="X159" s="14" cm="1">
        <f t="array" ref="X159">INT(SUMPRODUCT(--ISNUMBER(SEARCH(voting,'Mark Kelly'!C159)))&gt;0)</f>
        <v>0</v>
      </c>
      <c r="Y159" s="14" cm="1">
        <f t="array" ref="Y159">INT(SUMPRODUCT(--ISNUMBER(SEARCH(democrattrigger,'Mark Kelly'!C159)))&gt;0)</f>
        <v>0</v>
      </c>
      <c r="Z159" s="14" cm="1">
        <f t="array" ref="Z159">INT(SUMPRODUCT(--ISNUMBER(SEARCH(bipartisan,'Mark Kelly'!C159)))&gt;0)</f>
        <v>0</v>
      </c>
      <c r="AA159" s="14">
        <f t="shared" si="2"/>
        <v>1</v>
      </c>
      <c r="AB159" s="14"/>
      <c r="AC159" s="30">
        <v>1</v>
      </c>
      <c r="AD159" s="37"/>
    </row>
    <row r="160" spans="1:30" x14ac:dyDescent="0.25">
      <c r="A160" s="36">
        <v>244</v>
      </c>
      <c r="B160" s="14" t="s">
        <v>519</v>
      </c>
      <c r="C160" s="31" t="s">
        <v>520</v>
      </c>
      <c r="D160" s="17">
        <v>44118</v>
      </c>
      <c r="E160" s="14" t="s">
        <v>30</v>
      </c>
      <c r="F160" s="14">
        <v>7135</v>
      </c>
      <c r="G160" s="14">
        <v>2466</v>
      </c>
      <c r="H160" s="14">
        <v>2</v>
      </c>
      <c r="I160" s="14">
        <v>1</v>
      </c>
      <c r="J160" s="14" t="s">
        <v>204</v>
      </c>
      <c r="K160" s="14" cm="1">
        <f t="array" ref="K160">INT(SUMPRODUCT(--ISNUMBER(SEARCH(economy,'Mark Kelly'!C160)))&gt;0)</f>
        <v>0</v>
      </c>
      <c r="L160" s="14" cm="1">
        <f t="array" ref="L160">INT(SUMPRODUCT(--ISNUMBER(SEARCH(healthcare,'Mark Kelly'!C160)))&gt;0)</f>
        <v>1</v>
      </c>
      <c r="M160" s="14" cm="1">
        <f t="array" ref="M160">INT(SUMPRODUCT(--ISNUMBER(SEARCH(supreme,'Mark Kelly'!C160)))&gt;0)</f>
        <v>0</v>
      </c>
      <c r="N160" s="14" cm="1">
        <f t="array" ref="N160">INT(SUMPRODUCT(--ISNUMBER(SEARCH(covid,'Mark Kelly'!C160)))&gt;0)</f>
        <v>0</v>
      </c>
      <c r="O160" s="14" cm="1">
        <f t="array" ref="O160">INT(SUMPRODUCT(--ISNUMBER(SEARCH(violent,'Mark Kelly'!C160)))&gt;0)</f>
        <v>0</v>
      </c>
      <c r="P160" s="14" cm="1">
        <f t="array" ref="P160">INT(SUMPRODUCT(--ISNUMBER(SEARCH(foreign,'Mark Kelly'!C160)))&gt;0)</f>
        <v>0</v>
      </c>
      <c r="Q160" s="14" cm="1">
        <f t="array" ref="Q160">INT(SUMPRODUCT(--ISNUMBER(SEARCH(gun,'Mark Kelly'!C160)))&gt;0)</f>
        <v>0</v>
      </c>
      <c r="R160" s="14" cm="1">
        <f t="array" ref="R160">INT(SUMPRODUCT(--ISNUMBER(SEARCH(race,'Mark Kelly'!C160)))&gt;0)</f>
        <v>0</v>
      </c>
      <c r="S160" s="14" cm="1">
        <f t="array" ref="S160">INT(SUMPRODUCT(--ISNUMBER(SEARCH(immigration,C160)))&gt;0)</f>
        <v>0</v>
      </c>
      <c r="T160" s="14" cm="1">
        <f t="array" ref="T160">INT(SUMPRODUCT(--ISNUMBER(SEARCH(econineq,C160)))&gt;0)</f>
        <v>0</v>
      </c>
      <c r="U160" s="14" cm="1">
        <f t="array" ref="U160">INT(SUMPRODUCT(--ISNUMBER(SEARCH(climate,'Mark Kelly'!C160)))&gt;0)</f>
        <v>0</v>
      </c>
      <c r="V160" s="14" cm="1">
        <f t="array" ref="V160">INT(SUMPRODUCT(--ISNUMBER(SEARCH(abortion,'Mark Kelly'!C160)))&gt;0)</f>
        <v>0</v>
      </c>
      <c r="W160" s="14" cm="1">
        <f t="array" ref="W160">INT(SUMPRODUCT(--ISNUMBER(SEARCH(trump,'Mark Kelly'!C160)))&gt;0)</f>
        <v>0</v>
      </c>
      <c r="X160" s="14" cm="1">
        <f t="array" ref="X160">INT(SUMPRODUCT(--ISNUMBER(SEARCH(voting,'Mark Kelly'!C160)))&gt;0)</f>
        <v>0</v>
      </c>
      <c r="Y160" s="14" cm="1">
        <f t="array" ref="Y160">INT(SUMPRODUCT(--ISNUMBER(SEARCH(democrattrigger,'Mark Kelly'!C160)))&gt;0)</f>
        <v>0</v>
      </c>
      <c r="Z160" s="14" cm="1">
        <f t="array" ref="Z160">INT(SUMPRODUCT(--ISNUMBER(SEARCH(bipartisan,'Mark Kelly'!C160)))&gt;0)</f>
        <v>0</v>
      </c>
      <c r="AA160" s="14">
        <f t="shared" si="2"/>
        <v>0</v>
      </c>
      <c r="AB160" s="14"/>
      <c r="AC160" s="30" t="s">
        <v>223</v>
      </c>
      <c r="AD160" s="37"/>
    </row>
    <row r="161" spans="1:30" x14ac:dyDescent="0.25">
      <c r="A161" s="36">
        <v>245</v>
      </c>
      <c r="B161" s="14" t="s">
        <v>521</v>
      </c>
      <c r="C161" s="31" t="s">
        <v>522</v>
      </c>
      <c r="D161" s="17">
        <v>44117</v>
      </c>
      <c r="E161" s="14" t="s">
        <v>30</v>
      </c>
      <c r="F161" s="14">
        <v>541</v>
      </c>
      <c r="G161" s="14">
        <v>222</v>
      </c>
      <c r="H161" s="14">
        <v>2</v>
      </c>
      <c r="I161" s="14">
        <v>1</v>
      </c>
      <c r="J161" s="14" t="s">
        <v>204</v>
      </c>
      <c r="K161" s="14" cm="1">
        <f t="array" ref="K161">INT(SUMPRODUCT(--ISNUMBER(SEARCH(economy,'Mark Kelly'!C161)))&gt;0)</f>
        <v>0</v>
      </c>
      <c r="L161" s="14" cm="1">
        <f t="array" ref="L161">INT(SUMPRODUCT(--ISNUMBER(SEARCH(healthcare,'Mark Kelly'!C161)))&gt;0)</f>
        <v>0</v>
      </c>
      <c r="M161" s="14" cm="1">
        <f t="array" ref="M161">INT(SUMPRODUCT(--ISNUMBER(SEARCH(supreme,'Mark Kelly'!C161)))&gt;0)</f>
        <v>0</v>
      </c>
      <c r="N161" s="14" cm="1">
        <f t="array" ref="N161">INT(SUMPRODUCT(--ISNUMBER(SEARCH(covid,'Mark Kelly'!C161)))&gt;0)</f>
        <v>1</v>
      </c>
      <c r="O161" s="14" cm="1">
        <f t="array" ref="O161">INT(SUMPRODUCT(--ISNUMBER(SEARCH(violent,'Mark Kelly'!C161)))&gt;0)</f>
        <v>0</v>
      </c>
      <c r="P161" s="14" cm="1">
        <f t="array" ref="P161">INT(SUMPRODUCT(--ISNUMBER(SEARCH(foreign,'Mark Kelly'!C161)))&gt;0)</f>
        <v>0</v>
      </c>
      <c r="Q161" s="14" cm="1">
        <f t="array" ref="Q161">INT(SUMPRODUCT(--ISNUMBER(SEARCH(gun,'Mark Kelly'!C161)))&gt;0)</f>
        <v>0</v>
      </c>
      <c r="R161" s="14" cm="1">
        <f t="array" ref="R161">INT(SUMPRODUCT(--ISNUMBER(SEARCH(race,'Mark Kelly'!C161)))&gt;0)</f>
        <v>1</v>
      </c>
      <c r="S161" s="14" cm="1">
        <f t="array" ref="S161">INT(SUMPRODUCT(--ISNUMBER(SEARCH(immigration,C161)))&gt;0)</f>
        <v>1</v>
      </c>
      <c r="T161" s="14" cm="1">
        <f t="array" ref="T161">INT(SUMPRODUCT(--ISNUMBER(SEARCH(econineq,C161)))&gt;0)</f>
        <v>0</v>
      </c>
      <c r="U161" s="14" cm="1">
        <f t="array" ref="U161">INT(SUMPRODUCT(--ISNUMBER(SEARCH(climate,'Mark Kelly'!C161)))&gt;0)</f>
        <v>0</v>
      </c>
      <c r="V161" s="14" cm="1">
        <f t="array" ref="V161">INT(SUMPRODUCT(--ISNUMBER(SEARCH(abortion,'Mark Kelly'!C161)))&gt;0)</f>
        <v>0</v>
      </c>
      <c r="W161" s="14" cm="1">
        <f t="array" ref="W161">INT(SUMPRODUCT(--ISNUMBER(SEARCH(trump,'Mark Kelly'!C161)))&gt;0)</f>
        <v>0</v>
      </c>
      <c r="X161" s="14" cm="1">
        <f t="array" ref="X161">INT(SUMPRODUCT(--ISNUMBER(SEARCH(voting,'Mark Kelly'!C161)))&gt;0)</f>
        <v>0</v>
      </c>
      <c r="Y161" s="14" cm="1">
        <f t="array" ref="Y161">INT(SUMPRODUCT(--ISNUMBER(SEARCH(democrattrigger,'Mark Kelly'!C161)))&gt;0)</f>
        <v>0</v>
      </c>
      <c r="Z161" s="14" cm="1">
        <f t="array" ref="Z161">INT(SUMPRODUCT(--ISNUMBER(SEARCH(bipartisan,'Mark Kelly'!C161)))&gt;0)</f>
        <v>0</v>
      </c>
      <c r="AA161" s="14">
        <f t="shared" si="2"/>
        <v>0</v>
      </c>
      <c r="AB161" s="14"/>
      <c r="AC161" s="30" t="s">
        <v>223</v>
      </c>
      <c r="AD161" s="37"/>
    </row>
    <row r="162" spans="1:30" x14ac:dyDescent="0.25">
      <c r="A162" s="36">
        <v>246</v>
      </c>
      <c r="B162" s="14" t="s">
        <v>523</v>
      </c>
      <c r="C162" s="31" t="s">
        <v>524</v>
      </c>
      <c r="D162" s="17">
        <v>44117</v>
      </c>
      <c r="E162" s="14" t="s">
        <v>30</v>
      </c>
      <c r="F162" s="14">
        <v>1117</v>
      </c>
      <c r="G162" s="14">
        <v>390</v>
      </c>
      <c r="H162" s="14">
        <v>2</v>
      </c>
      <c r="I162" s="14">
        <v>1</v>
      </c>
      <c r="J162" s="14" t="s">
        <v>204</v>
      </c>
      <c r="K162" s="14" cm="1">
        <f t="array" ref="K162">INT(SUMPRODUCT(--ISNUMBER(SEARCH(economy,'Mark Kelly'!C162)))&gt;0)</f>
        <v>0</v>
      </c>
      <c r="L162" s="14" cm="1">
        <f t="array" ref="L162">INT(SUMPRODUCT(--ISNUMBER(SEARCH(healthcare,'Mark Kelly'!C162)))&gt;0)</f>
        <v>0</v>
      </c>
      <c r="M162" s="14" cm="1">
        <f t="array" ref="M162">INT(SUMPRODUCT(--ISNUMBER(SEARCH(supreme,'Mark Kelly'!C162)))&gt;0)</f>
        <v>0</v>
      </c>
      <c r="N162" s="14" cm="1">
        <f t="array" ref="N162">INT(SUMPRODUCT(--ISNUMBER(SEARCH(covid,'Mark Kelly'!C162)))&gt;0)</f>
        <v>0</v>
      </c>
      <c r="O162" s="14" cm="1">
        <f t="array" ref="O162">INT(SUMPRODUCT(--ISNUMBER(SEARCH(violent,'Mark Kelly'!C162)))&gt;0)</f>
        <v>0</v>
      </c>
      <c r="P162" s="14" cm="1">
        <f t="array" ref="P162">INT(SUMPRODUCT(--ISNUMBER(SEARCH(foreign,'Mark Kelly'!C162)))&gt;0)</f>
        <v>0</v>
      </c>
      <c r="Q162" s="14" cm="1">
        <f t="array" ref="Q162">INT(SUMPRODUCT(--ISNUMBER(SEARCH(gun,'Mark Kelly'!C162)))&gt;0)</f>
        <v>0</v>
      </c>
      <c r="R162" s="14" cm="1">
        <f t="array" ref="R162">INT(SUMPRODUCT(--ISNUMBER(SEARCH(race,'Mark Kelly'!C162)))&gt;0)</f>
        <v>0</v>
      </c>
      <c r="S162" s="14" cm="1">
        <f t="array" ref="S162">INT(SUMPRODUCT(--ISNUMBER(SEARCH(immigration,C162)))&gt;0)</f>
        <v>0</v>
      </c>
      <c r="T162" s="14" cm="1">
        <f t="array" ref="T162">INT(SUMPRODUCT(--ISNUMBER(SEARCH(econineq,C162)))&gt;0)</f>
        <v>0</v>
      </c>
      <c r="U162" s="14" cm="1">
        <f t="array" ref="U162">INT(SUMPRODUCT(--ISNUMBER(SEARCH(climate,'Mark Kelly'!C162)))&gt;0)</f>
        <v>0</v>
      </c>
      <c r="V162" s="14" cm="1">
        <f t="array" ref="V162">INT(SUMPRODUCT(--ISNUMBER(SEARCH(abortion,'Mark Kelly'!C162)))&gt;0)</f>
        <v>0</v>
      </c>
      <c r="W162" s="14" cm="1">
        <f t="array" ref="W162">INT(SUMPRODUCT(--ISNUMBER(SEARCH(trump,'Mark Kelly'!C162)))&gt;0)</f>
        <v>0</v>
      </c>
      <c r="X162" s="14" cm="1">
        <f t="array" ref="X162">INT(SUMPRODUCT(--ISNUMBER(SEARCH(voting,'Mark Kelly'!C162)))&gt;0)</f>
        <v>1</v>
      </c>
      <c r="Y162" s="14" cm="1">
        <f t="array" ref="Y162">INT(SUMPRODUCT(--ISNUMBER(SEARCH(democrattrigger,'Mark Kelly'!C162)))&gt;0)</f>
        <v>0</v>
      </c>
      <c r="Z162" s="14" cm="1">
        <f t="array" ref="Z162">INT(SUMPRODUCT(--ISNUMBER(SEARCH(bipartisan,'Mark Kelly'!C162)))&gt;0)</f>
        <v>0</v>
      </c>
      <c r="AA162" s="14">
        <f t="shared" si="2"/>
        <v>0</v>
      </c>
      <c r="AB162" s="14"/>
      <c r="AC162" s="30" t="s">
        <v>223</v>
      </c>
      <c r="AD162" s="37"/>
    </row>
    <row r="163" spans="1:30" x14ac:dyDescent="0.25">
      <c r="A163" s="36">
        <v>247</v>
      </c>
      <c r="B163" s="14" t="s">
        <v>525</v>
      </c>
      <c r="C163" s="31" t="s">
        <v>526</v>
      </c>
      <c r="D163" s="17">
        <v>44117</v>
      </c>
      <c r="E163" s="14" t="s">
        <v>30</v>
      </c>
      <c r="F163" s="14">
        <v>17775</v>
      </c>
      <c r="G163" s="14">
        <v>3288</v>
      </c>
      <c r="H163" s="14">
        <v>2</v>
      </c>
      <c r="I163" s="14">
        <v>1</v>
      </c>
      <c r="J163" s="14" t="s">
        <v>204</v>
      </c>
      <c r="K163" s="14" cm="1">
        <f t="array" ref="K163">INT(SUMPRODUCT(--ISNUMBER(SEARCH(economy,'Mark Kelly'!C163)))&gt;0)</f>
        <v>0</v>
      </c>
      <c r="L163" s="14" cm="1">
        <f t="array" ref="L163">INT(SUMPRODUCT(--ISNUMBER(SEARCH(healthcare,'Mark Kelly'!C163)))&gt;0)</f>
        <v>0</v>
      </c>
      <c r="M163" s="14" cm="1">
        <f t="array" ref="M163">INT(SUMPRODUCT(--ISNUMBER(SEARCH(supreme,'Mark Kelly'!C163)))&gt;0)</f>
        <v>0</v>
      </c>
      <c r="N163" s="14" cm="1">
        <f t="array" ref="N163">INT(SUMPRODUCT(--ISNUMBER(SEARCH(covid,'Mark Kelly'!C163)))&gt;0)</f>
        <v>0</v>
      </c>
      <c r="O163" s="14" cm="1">
        <f t="array" ref="O163">INT(SUMPRODUCT(--ISNUMBER(SEARCH(violent,'Mark Kelly'!C163)))&gt;0)</f>
        <v>0</v>
      </c>
      <c r="P163" s="14" cm="1">
        <f t="array" ref="P163">INT(SUMPRODUCT(--ISNUMBER(SEARCH(foreign,'Mark Kelly'!C163)))&gt;0)</f>
        <v>0</v>
      </c>
      <c r="Q163" s="14" cm="1">
        <f t="array" ref="Q163">INT(SUMPRODUCT(--ISNUMBER(SEARCH(gun,'Mark Kelly'!C163)))&gt;0)</f>
        <v>0</v>
      </c>
      <c r="R163" s="14" cm="1">
        <f t="array" ref="R163">INT(SUMPRODUCT(--ISNUMBER(SEARCH(race,'Mark Kelly'!C163)))&gt;0)</f>
        <v>0</v>
      </c>
      <c r="S163" s="14" cm="1">
        <f t="array" ref="S163">INT(SUMPRODUCT(--ISNUMBER(SEARCH(immigration,C163)))&gt;0)</f>
        <v>0</v>
      </c>
      <c r="T163" s="14" cm="1">
        <f t="array" ref="T163">INT(SUMPRODUCT(--ISNUMBER(SEARCH(econineq,C163)))&gt;0)</f>
        <v>0</v>
      </c>
      <c r="U163" s="14" cm="1">
        <f t="array" ref="U163">INT(SUMPRODUCT(--ISNUMBER(SEARCH(climate,'Mark Kelly'!C163)))&gt;0)</f>
        <v>0</v>
      </c>
      <c r="V163" s="14" cm="1">
        <f t="array" ref="V163">INT(SUMPRODUCT(--ISNUMBER(SEARCH(abortion,'Mark Kelly'!C163)))&gt;0)</f>
        <v>0</v>
      </c>
      <c r="W163" s="14" cm="1">
        <f t="array" ref="W163">INT(SUMPRODUCT(--ISNUMBER(SEARCH(trump,'Mark Kelly'!C163)))&gt;0)</f>
        <v>0</v>
      </c>
      <c r="X163" s="14" cm="1">
        <f t="array" ref="X163">INT(SUMPRODUCT(--ISNUMBER(SEARCH(voting,'Mark Kelly'!C163)))&gt;0)</f>
        <v>0</v>
      </c>
      <c r="Y163" s="14" cm="1">
        <f t="array" ref="Y163">INT(SUMPRODUCT(--ISNUMBER(SEARCH(democrattrigger,'Mark Kelly'!C163)))&gt;0)</f>
        <v>0</v>
      </c>
      <c r="Z163" s="14" cm="1">
        <f t="array" ref="Z163">INT(SUMPRODUCT(--ISNUMBER(SEARCH(bipartisan,'Mark Kelly'!C163)))&gt;0)</f>
        <v>0</v>
      </c>
      <c r="AA163" s="14">
        <f t="shared" si="2"/>
        <v>1</v>
      </c>
      <c r="AB163" s="14"/>
      <c r="AC163" s="30" t="s">
        <v>223</v>
      </c>
      <c r="AD163" s="37"/>
    </row>
    <row r="164" spans="1:30" x14ac:dyDescent="0.25">
      <c r="A164" s="36">
        <v>248</v>
      </c>
      <c r="B164" s="14" t="s">
        <v>527</v>
      </c>
      <c r="C164" s="31" t="s">
        <v>528</v>
      </c>
      <c r="D164" s="17">
        <v>44117</v>
      </c>
      <c r="E164" s="14" t="s">
        <v>30</v>
      </c>
      <c r="F164" s="14">
        <v>1253</v>
      </c>
      <c r="G164" s="14">
        <v>399</v>
      </c>
      <c r="H164" s="14">
        <v>2</v>
      </c>
      <c r="I164" s="14">
        <v>1</v>
      </c>
      <c r="J164" s="14" t="s">
        <v>204</v>
      </c>
      <c r="K164" s="14" cm="1">
        <f t="array" ref="K164">INT(SUMPRODUCT(--ISNUMBER(SEARCH(economy,'Mark Kelly'!C164)))&gt;0)</f>
        <v>0</v>
      </c>
      <c r="L164" s="14" cm="1">
        <f t="array" ref="L164">INT(SUMPRODUCT(--ISNUMBER(SEARCH(healthcare,'Mark Kelly'!C164)))&gt;0)</f>
        <v>0</v>
      </c>
      <c r="M164" s="14" cm="1">
        <f t="array" ref="M164">INT(SUMPRODUCT(--ISNUMBER(SEARCH(supreme,'Mark Kelly'!C164)))&gt;0)</f>
        <v>0</v>
      </c>
      <c r="N164" s="14" cm="1">
        <f t="array" ref="N164">INT(SUMPRODUCT(--ISNUMBER(SEARCH(covid,'Mark Kelly'!C164)))&gt;0)</f>
        <v>1</v>
      </c>
      <c r="O164" s="14" cm="1">
        <f t="array" ref="O164">INT(SUMPRODUCT(--ISNUMBER(SEARCH(violent,'Mark Kelly'!C164)))&gt;0)</f>
        <v>0</v>
      </c>
      <c r="P164" s="14" cm="1">
        <f t="array" ref="P164">INT(SUMPRODUCT(--ISNUMBER(SEARCH(foreign,'Mark Kelly'!C164)))&gt;0)</f>
        <v>0</v>
      </c>
      <c r="Q164" s="14" cm="1">
        <f t="array" ref="Q164">INT(SUMPRODUCT(--ISNUMBER(SEARCH(gun,'Mark Kelly'!C164)))&gt;0)</f>
        <v>1</v>
      </c>
      <c r="R164" s="14" cm="1">
        <f t="array" ref="R164">INT(SUMPRODUCT(--ISNUMBER(SEARCH(race,'Mark Kelly'!C164)))&gt;0)</f>
        <v>0</v>
      </c>
      <c r="S164" s="14" cm="1">
        <f t="array" ref="S164">INT(SUMPRODUCT(--ISNUMBER(SEARCH(immigration,C164)))&gt;0)</f>
        <v>0</v>
      </c>
      <c r="T164" s="14" cm="1">
        <f t="array" ref="T164">INT(SUMPRODUCT(--ISNUMBER(SEARCH(econineq,C164)))&gt;0)</f>
        <v>0</v>
      </c>
      <c r="U164" s="14" cm="1">
        <f t="array" ref="U164">INT(SUMPRODUCT(--ISNUMBER(SEARCH(climate,'Mark Kelly'!C164)))&gt;0)</f>
        <v>0</v>
      </c>
      <c r="V164" s="14" cm="1">
        <f t="array" ref="V164">INT(SUMPRODUCT(--ISNUMBER(SEARCH(abortion,'Mark Kelly'!C164)))&gt;0)</f>
        <v>0</v>
      </c>
      <c r="W164" s="14" cm="1">
        <f t="array" ref="W164">INT(SUMPRODUCT(--ISNUMBER(SEARCH(trump,'Mark Kelly'!C164)))&gt;0)</f>
        <v>0</v>
      </c>
      <c r="X164" s="14" cm="1">
        <f t="array" ref="X164">INT(SUMPRODUCT(--ISNUMBER(SEARCH(voting,'Mark Kelly'!C164)))&gt;0)</f>
        <v>0</v>
      </c>
      <c r="Y164" s="14" cm="1">
        <f t="array" ref="Y164">INT(SUMPRODUCT(--ISNUMBER(SEARCH(democrattrigger,'Mark Kelly'!C164)))&gt;0)</f>
        <v>0</v>
      </c>
      <c r="Z164" s="14" cm="1">
        <f t="array" ref="Z164">INT(SUMPRODUCT(--ISNUMBER(SEARCH(bipartisan,'Mark Kelly'!C164)))&gt;0)</f>
        <v>0</v>
      </c>
      <c r="AA164" s="14">
        <f t="shared" si="2"/>
        <v>0</v>
      </c>
      <c r="AB164" s="14"/>
      <c r="AC164" s="30" t="s">
        <v>223</v>
      </c>
      <c r="AD164" s="37"/>
    </row>
    <row r="165" spans="1:30" x14ac:dyDescent="0.25">
      <c r="A165" s="36">
        <v>249</v>
      </c>
      <c r="B165" s="14" t="s">
        <v>529</v>
      </c>
      <c r="C165" s="31" t="s">
        <v>530</v>
      </c>
      <c r="D165" s="17">
        <v>44116</v>
      </c>
      <c r="E165" s="14" t="s">
        <v>30</v>
      </c>
      <c r="F165" s="14">
        <v>2357</v>
      </c>
      <c r="G165" s="14">
        <v>640</v>
      </c>
      <c r="H165" s="14">
        <v>2</v>
      </c>
      <c r="I165" s="14">
        <v>1</v>
      </c>
      <c r="J165" s="14" t="s">
        <v>204</v>
      </c>
      <c r="K165" s="14" cm="1">
        <f t="array" ref="K165">INT(SUMPRODUCT(--ISNUMBER(SEARCH(economy,'Mark Kelly'!C165)))&gt;0)</f>
        <v>0</v>
      </c>
      <c r="L165" s="14" cm="1">
        <f t="array" ref="L165">INT(SUMPRODUCT(--ISNUMBER(SEARCH(healthcare,'Mark Kelly'!C165)))&gt;0)</f>
        <v>0</v>
      </c>
      <c r="M165" s="14" cm="1">
        <f t="array" ref="M165">INT(SUMPRODUCT(--ISNUMBER(SEARCH(supreme,'Mark Kelly'!C165)))&gt;0)</f>
        <v>0</v>
      </c>
      <c r="N165" s="14" cm="1">
        <f t="array" ref="N165">INT(SUMPRODUCT(--ISNUMBER(SEARCH(covid,'Mark Kelly'!C165)))&gt;0)</f>
        <v>0</v>
      </c>
      <c r="O165" s="14" cm="1">
        <f t="array" ref="O165">INT(SUMPRODUCT(--ISNUMBER(SEARCH(violent,'Mark Kelly'!C165)))&gt;0)</f>
        <v>0</v>
      </c>
      <c r="P165" s="14" cm="1">
        <f t="array" ref="P165">INT(SUMPRODUCT(--ISNUMBER(SEARCH(foreign,'Mark Kelly'!C165)))&gt;0)</f>
        <v>0</v>
      </c>
      <c r="Q165" s="14" cm="1">
        <f t="array" ref="Q165">INT(SUMPRODUCT(--ISNUMBER(SEARCH(gun,'Mark Kelly'!C165)))&gt;0)</f>
        <v>0</v>
      </c>
      <c r="R165" s="14" cm="1">
        <f t="array" ref="R165">INT(SUMPRODUCT(--ISNUMBER(SEARCH(race,'Mark Kelly'!C165)))&gt;0)</f>
        <v>0</v>
      </c>
      <c r="S165" s="14" cm="1">
        <f t="array" ref="S165">INT(SUMPRODUCT(--ISNUMBER(SEARCH(immigration,C165)))&gt;0)</f>
        <v>0</v>
      </c>
      <c r="T165" s="14" cm="1">
        <f t="array" ref="T165">INT(SUMPRODUCT(--ISNUMBER(SEARCH(econineq,C165)))&gt;0)</f>
        <v>0</v>
      </c>
      <c r="U165" s="14" cm="1">
        <f t="array" ref="U165">INT(SUMPRODUCT(--ISNUMBER(SEARCH(climate,'Mark Kelly'!C165)))&gt;0)</f>
        <v>0</v>
      </c>
      <c r="V165" s="14" cm="1">
        <f t="array" ref="V165">INT(SUMPRODUCT(--ISNUMBER(SEARCH(abortion,'Mark Kelly'!C165)))&gt;0)</f>
        <v>0</v>
      </c>
      <c r="W165" s="14" cm="1">
        <f t="array" ref="W165">INT(SUMPRODUCT(--ISNUMBER(SEARCH(trump,'Mark Kelly'!C165)))&gt;0)</f>
        <v>0</v>
      </c>
      <c r="X165" s="14" cm="1">
        <f t="array" ref="X165">INT(SUMPRODUCT(--ISNUMBER(SEARCH(voting,'Mark Kelly'!C165)))&gt;0)</f>
        <v>0</v>
      </c>
      <c r="Y165" s="14" cm="1">
        <f t="array" ref="Y165">INT(SUMPRODUCT(--ISNUMBER(SEARCH(democrattrigger,'Mark Kelly'!C165)))&gt;0)</f>
        <v>0</v>
      </c>
      <c r="Z165" s="14" cm="1">
        <f t="array" ref="Z165">INT(SUMPRODUCT(--ISNUMBER(SEARCH(bipartisan,'Mark Kelly'!C165)))&gt;0)</f>
        <v>0</v>
      </c>
      <c r="AA165" s="14">
        <f t="shared" si="2"/>
        <v>1</v>
      </c>
      <c r="AB165" s="14"/>
      <c r="AC165" s="30">
        <v>0</v>
      </c>
      <c r="AD165" s="37">
        <v>1</v>
      </c>
    </row>
    <row r="166" spans="1:30" x14ac:dyDescent="0.25">
      <c r="A166" s="36">
        <v>250</v>
      </c>
      <c r="B166" s="14" t="s">
        <v>531</v>
      </c>
      <c r="C166" s="31" t="s">
        <v>532</v>
      </c>
      <c r="D166" s="17">
        <v>44116</v>
      </c>
      <c r="E166" s="14" t="s">
        <v>30</v>
      </c>
      <c r="F166" s="14">
        <v>3589</v>
      </c>
      <c r="G166" s="14">
        <v>505</v>
      </c>
      <c r="H166" s="14">
        <v>2</v>
      </c>
      <c r="I166" s="14">
        <v>1</v>
      </c>
      <c r="J166" s="14" t="s">
        <v>204</v>
      </c>
      <c r="K166" s="14" cm="1">
        <f t="array" ref="K166">INT(SUMPRODUCT(--ISNUMBER(SEARCH(economy,'Mark Kelly'!C166)))&gt;0)</f>
        <v>0</v>
      </c>
      <c r="L166" s="14" cm="1">
        <f t="array" ref="L166">INT(SUMPRODUCT(--ISNUMBER(SEARCH(healthcare,'Mark Kelly'!C166)))&gt;0)</f>
        <v>0</v>
      </c>
      <c r="M166" s="14" cm="1">
        <f t="array" ref="M166">INT(SUMPRODUCT(--ISNUMBER(SEARCH(supreme,'Mark Kelly'!C166)))&gt;0)</f>
        <v>0</v>
      </c>
      <c r="N166" s="14" cm="1">
        <f t="array" ref="N166">INT(SUMPRODUCT(--ISNUMBER(SEARCH(covid,'Mark Kelly'!C166)))&gt;0)</f>
        <v>0</v>
      </c>
      <c r="O166" s="14" cm="1">
        <f t="array" ref="O166">INT(SUMPRODUCT(--ISNUMBER(SEARCH(violent,'Mark Kelly'!C166)))&gt;0)</f>
        <v>0</v>
      </c>
      <c r="P166" s="14" cm="1">
        <f t="array" ref="P166">INT(SUMPRODUCT(--ISNUMBER(SEARCH(foreign,'Mark Kelly'!C166)))&gt;0)</f>
        <v>0</v>
      </c>
      <c r="Q166" s="14" cm="1">
        <f t="array" ref="Q166">INT(SUMPRODUCT(--ISNUMBER(SEARCH(gun,'Mark Kelly'!C166)))&gt;0)</f>
        <v>0</v>
      </c>
      <c r="R166" s="14" cm="1">
        <f t="array" ref="R166">INT(SUMPRODUCT(--ISNUMBER(SEARCH(race,'Mark Kelly'!C166)))&gt;0)</f>
        <v>0</v>
      </c>
      <c r="S166" s="14" cm="1">
        <f t="array" ref="S166">INT(SUMPRODUCT(--ISNUMBER(SEARCH(immigration,C166)))&gt;0)</f>
        <v>0</v>
      </c>
      <c r="T166" s="14" cm="1">
        <f t="array" ref="T166">INT(SUMPRODUCT(--ISNUMBER(SEARCH(econineq,C166)))&gt;0)</f>
        <v>0</v>
      </c>
      <c r="U166" s="14" cm="1">
        <f t="array" ref="U166">INT(SUMPRODUCT(--ISNUMBER(SEARCH(climate,'Mark Kelly'!C166)))&gt;0)</f>
        <v>0</v>
      </c>
      <c r="V166" s="14" cm="1">
        <f t="array" ref="V166">INT(SUMPRODUCT(--ISNUMBER(SEARCH(abortion,'Mark Kelly'!C166)))&gt;0)</f>
        <v>0</v>
      </c>
      <c r="W166" s="14" cm="1">
        <f t="array" ref="W166">INT(SUMPRODUCT(--ISNUMBER(SEARCH(trump,'Mark Kelly'!C166)))&gt;0)</f>
        <v>0</v>
      </c>
      <c r="X166" s="14" cm="1">
        <f t="array" ref="X166">INT(SUMPRODUCT(--ISNUMBER(SEARCH(voting,'Mark Kelly'!C166)))&gt;0)</f>
        <v>0</v>
      </c>
      <c r="Y166" s="14" cm="1">
        <f t="array" ref="Y166">INT(SUMPRODUCT(--ISNUMBER(SEARCH(democrattrigger,'Mark Kelly'!C166)))&gt;0)</f>
        <v>0</v>
      </c>
      <c r="Z166" s="14" cm="1">
        <f t="array" ref="Z166">INT(SUMPRODUCT(--ISNUMBER(SEARCH(bipartisan,'Mark Kelly'!C166)))&gt;0)</f>
        <v>0</v>
      </c>
      <c r="AA166" s="14">
        <f t="shared" si="2"/>
        <v>1</v>
      </c>
      <c r="AB166" s="14"/>
      <c r="AC166" s="30" t="s">
        <v>223</v>
      </c>
      <c r="AD166" s="37">
        <v>0</v>
      </c>
    </row>
    <row r="167" spans="1:30" x14ac:dyDescent="0.25">
      <c r="A167" s="36">
        <v>251</v>
      </c>
      <c r="B167" s="14" t="s">
        <v>533</v>
      </c>
      <c r="C167" s="31" t="s">
        <v>534</v>
      </c>
      <c r="D167" s="17">
        <v>44116</v>
      </c>
      <c r="E167" s="14" t="s">
        <v>70</v>
      </c>
      <c r="F167" s="14">
        <v>368</v>
      </c>
      <c r="G167" s="14">
        <v>84</v>
      </c>
      <c r="H167" s="14">
        <v>2</v>
      </c>
      <c r="I167" s="14">
        <v>1</v>
      </c>
      <c r="J167" s="14" t="s">
        <v>204</v>
      </c>
      <c r="K167" s="14" cm="1">
        <f t="array" ref="K167">INT(SUMPRODUCT(--ISNUMBER(SEARCH(economy,'Mark Kelly'!C167)))&gt;0)</f>
        <v>0</v>
      </c>
      <c r="L167" s="14" cm="1">
        <f t="array" ref="L167">INT(SUMPRODUCT(--ISNUMBER(SEARCH(healthcare,'Mark Kelly'!C167)))&gt;0)</f>
        <v>0</v>
      </c>
      <c r="M167" s="14" cm="1">
        <f t="array" ref="M167">INT(SUMPRODUCT(--ISNUMBER(SEARCH(supreme,'Mark Kelly'!C167)))&gt;0)</f>
        <v>0</v>
      </c>
      <c r="N167" s="14" cm="1">
        <f t="array" ref="N167">INT(SUMPRODUCT(--ISNUMBER(SEARCH(covid,'Mark Kelly'!C167)))&gt;0)</f>
        <v>0</v>
      </c>
      <c r="O167" s="14" cm="1">
        <f t="array" ref="O167">INT(SUMPRODUCT(--ISNUMBER(SEARCH(violent,'Mark Kelly'!C167)))&gt;0)</f>
        <v>0</v>
      </c>
      <c r="P167" s="14" cm="1">
        <f t="array" ref="P167">INT(SUMPRODUCT(--ISNUMBER(SEARCH(foreign,'Mark Kelly'!C167)))&gt;0)</f>
        <v>0</v>
      </c>
      <c r="Q167" s="14" cm="1">
        <f t="array" ref="Q167">INT(SUMPRODUCT(--ISNUMBER(SEARCH(gun,'Mark Kelly'!C167)))&gt;0)</f>
        <v>0</v>
      </c>
      <c r="R167" s="14" cm="1">
        <f t="array" ref="R167">INT(SUMPRODUCT(--ISNUMBER(SEARCH(race,'Mark Kelly'!C167)))&gt;0)</f>
        <v>1</v>
      </c>
      <c r="S167" s="14" cm="1">
        <f t="array" ref="S167">INT(SUMPRODUCT(--ISNUMBER(SEARCH(immigration,C167)))&gt;0)</f>
        <v>0</v>
      </c>
      <c r="T167" s="14" cm="1">
        <f t="array" ref="T167">INT(SUMPRODUCT(--ISNUMBER(SEARCH(econineq,C167)))&gt;0)</f>
        <v>0</v>
      </c>
      <c r="U167" s="14" cm="1">
        <f t="array" ref="U167">INT(SUMPRODUCT(--ISNUMBER(SEARCH(climate,'Mark Kelly'!C167)))&gt;0)</f>
        <v>0</v>
      </c>
      <c r="V167" s="14" cm="1">
        <f t="array" ref="V167">INT(SUMPRODUCT(--ISNUMBER(SEARCH(abortion,'Mark Kelly'!C167)))&gt;0)</f>
        <v>0</v>
      </c>
      <c r="W167" s="14" cm="1">
        <f t="array" ref="W167">INT(SUMPRODUCT(--ISNUMBER(SEARCH(trump,'Mark Kelly'!C167)))&gt;0)</f>
        <v>0</v>
      </c>
      <c r="X167" s="14" cm="1">
        <f t="array" ref="X167">INT(SUMPRODUCT(--ISNUMBER(SEARCH(voting,'Mark Kelly'!C167)))&gt;0)</f>
        <v>0</v>
      </c>
      <c r="Y167" s="14" cm="1">
        <f t="array" ref="Y167">INT(SUMPRODUCT(--ISNUMBER(SEARCH(democrattrigger,'Mark Kelly'!C167)))&gt;0)</f>
        <v>0</v>
      </c>
      <c r="Z167" s="14" cm="1">
        <f t="array" ref="Z167">INT(SUMPRODUCT(--ISNUMBER(SEARCH(bipartisan,'Mark Kelly'!C167)))&gt;0)</f>
        <v>0</v>
      </c>
      <c r="AA167" s="14">
        <f t="shared" si="2"/>
        <v>0</v>
      </c>
      <c r="AB167" s="14"/>
      <c r="AC167" s="30" t="s">
        <v>223</v>
      </c>
      <c r="AD167" s="37">
        <v>0</v>
      </c>
    </row>
    <row r="168" spans="1:30" x14ac:dyDescent="0.25">
      <c r="A168" s="36">
        <v>252</v>
      </c>
      <c r="B168" s="14" t="s">
        <v>535</v>
      </c>
      <c r="C168" s="31" t="s">
        <v>536</v>
      </c>
      <c r="D168" s="17">
        <v>44116</v>
      </c>
      <c r="E168" s="14" t="s">
        <v>70</v>
      </c>
      <c r="F168" s="14">
        <v>401</v>
      </c>
      <c r="G168" s="14">
        <v>83</v>
      </c>
      <c r="H168" s="14">
        <v>2</v>
      </c>
      <c r="I168" s="14">
        <v>1</v>
      </c>
      <c r="J168" s="14" t="s">
        <v>204</v>
      </c>
      <c r="K168" s="14" cm="1">
        <f t="array" ref="K168">INT(SUMPRODUCT(--ISNUMBER(SEARCH(economy,'Mark Kelly'!C168)))&gt;0)</f>
        <v>0</v>
      </c>
      <c r="L168" s="14" cm="1">
        <f t="array" ref="L168">INT(SUMPRODUCT(--ISNUMBER(SEARCH(healthcare,'Mark Kelly'!C168)))&gt;0)</f>
        <v>1</v>
      </c>
      <c r="M168" s="14" cm="1">
        <f t="array" ref="M168">INT(SUMPRODUCT(--ISNUMBER(SEARCH(supreme,'Mark Kelly'!C168)))&gt;0)</f>
        <v>0</v>
      </c>
      <c r="N168" s="14" cm="1">
        <f t="array" ref="N168">INT(SUMPRODUCT(--ISNUMBER(SEARCH(covid,'Mark Kelly'!C168)))&gt;0)</f>
        <v>0</v>
      </c>
      <c r="O168" s="14" cm="1">
        <f t="array" ref="O168">INT(SUMPRODUCT(--ISNUMBER(SEARCH(violent,'Mark Kelly'!C168)))&gt;0)</f>
        <v>0</v>
      </c>
      <c r="P168" s="14" cm="1">
        <f t="array" ref="P168">INT(SUMPRODUCT(--ISNUMBER(SEARCH(foreign,'Mark Kelly'!C168)))&gt;0)</f>
        <v>0</v>
      </c>
      <c r="Q168" s="14" cm="1">
        <f t="array" ref="Q168">INT(SUMPRODUCT(--ISNUMBER(SEARCH(gun,'Mark Kelly'!C168)))&gt;0)</f>
        <v>0</v>
      </c>
      <c r="R168" s="14" cm="1">
        <f t="array" ref="R168">INT(SUMPRODUCT(--ISNUMBER(SEARCH(race,'Mark Kelly'!C168)))&gt;0)</f>
        <v>0</v>
      </c>
      <c r="S168" s="14" cm="1">
        <f t="array" ref="S168">INT(SUMPRODUCT(--ISNUMBER(SEARCH(immigration,C168)))&gt;0)</f>
        <v>0</v>
      </c>
      <c r="T168" s="14" cm="1">
        <f t="array" ref="T168">INT(SUMPRODUCT(--ISNUMBER(SEARCH(econineq,C168)))&gt;0)</f>
        <v>1</v>
      </c>
      <c r="U168" s="14" cm="1">
        <f t="array" ref="U168">INT(SUMPRODUCT(--ISNUMBER(SEARCH(climate,'Mark Kelly'!C168)))&gt;0)</f>
        <v>0</v>
      </c>
      <c r="V168" s="14" cm="1">
        <f t="array" ref="V168">INT(SUMPRODUCT(--ISNUMBER(SEARCH(abortion,'Mark Kelly'!C168)))&gt;0)</f>
        <v>0</v>
      </c>
      <c r="W168" s="14" cm="1">
        <f t="array" ref="W168">INT(SUMPRODUCT(--ISNUMBER(SEARCH(trump,'Mark Kelly'!C168)))&gt;0)</f>
        <v>0</v>
      </c>
      <c r="X168" s="14" cm="1">
        <f t="array" ref="X168">INT(SUMPRODUCT(--ISNUMBER(SEARCH(voting,'Mark Kelly'!C168)))&gt;0)</f>
        <v>0</v>
      </c>
      <c r="Y168" s="14" cm="1">
        <f t="array" ref="Y168">INT(SUMPRODUCT(--ISNUMBER(SEARCH(democrattrigger,'Mark Kelly'!C168)))&gt;0)</f>
        <v>0</v>
      </c>
      <c r="Z168" s="14" cm="1">
        <f t="array" ref="Z168">INT(SUMPRODUCT(--ISNUMBER(SEARCH(bipartisan,'Mark Kelly'!C168)))&gt;0)</f>
        <v>0</v>
      </c>
      <c r="AA168" s="14">
        <f t="shared" si="2"/>
        <v>0</v>
      </c>
      <c r="AB168" s="14"/>
      <c r="AC168" s="30" t="s">
        <v>223</v>
      </c>
      <c r="AD168" s="37">
        <v>0</v>
      </c>
    </row>
    <row r="169" spans="1:30" x14ac:dyDescent="0.25">
      <c r="A169" s="36">
        <v>253</v>
      </c>
      <c r="B169" s="14" t="s">
        <v>537</v>
      </c>
      <c r="C169" s="31" t="s">
        <v>538</v>
      </c>
      <c r="D169" s="17">
        <v>44116</v>
      </c>
      <c r="E169" s="14" t="s">
        <v>30</v>
      </c>
      <c r="F169" s="14">
        <v>799</v>
      </c>
      <c r="G169" s="14">
        <v>221</v>
      </c>
      <c r="H169" s="14">
        <v>2</v>
      </c>
      <c r="I169" s="14">
        <v>1</v>
      </c>
      <c r="J169" s="14" t="s">
        <v>204</v>
      </c>
      <c r="K169" s="14" cm="1">
        <f t="array" ref="K169">INT(SUMPRODUCT(--ISNUMBER(SEARCH(economy,'Mark Kelly'!C169)))&gt;0)</f>
        <v>0</v>
      </c>
      <c r="L169" s="14" cm="1">
        <f t="array" ref="L169">INT(SUMPRODUCT(--ISNUMBER(SEARCH(healthcare,'Mark Kelly'!C169)))&gt;0)</f>
        <v>0</v>
      </c>
      <c r="M169" s="14" cm="1">
        <f t="array" ref="M169">INT(SUMPRODUCT(--ISNUMBER(SEARCH(supreme,'Mark Kelly'!C169)))&gt;0)</f>
        <v>0</v>
      </c>
      <c r="N169" s="14" cm="1">
        <f t="array" ref="N169">INT(SUMPRODUCT(--ISNUMBER(SEARCH(covid,'Mark Kelly'!C169)))&gt;0)</f>
        <v>0</v>
      </c>
      <c r="O169" s="14" cm="1">
        <f t="array" ref="O169">INT(SUMPRODUCT(--ISNUMBER(SEARCH(violent,'Mark Kelly'!C169)))&gt;0)</f>
        <v>0</v>
      </c>
      <c r="P169" s="14" cm="1">
        <f t="array" ref="P169">INT(SUMPRODUCT(--ISNUMBER(SEARCH(foreign,'Mark Kelly'!C169)))&gt;0)</f>
        <v>0</v>
      </c>
      <c r="Q169" s="14" cm="1">
        <f t="array" ref="Q169">INT(SUMPRODUCT(--ISNUMBER(SEARCH(gun,'Mark Kelly'!C169)))&gt;0)</f>
        <v>0</v>
      </c>
      <c r="R169" s="14" cm="1">
        <f t="array" ref="R169">INT(SUMPRODUCT(--ISNUMBER(SEARCH(race,'Mark Kelly'!C169)))&gt;0)</f>
        <v>0</v>
      </c>
      <c r="S169" s="14" cm="1">
        <f t="array" ref="S169">INT(SUMPRODUCT(--ISNUMBER(SEARCH(immigration,C169)))&gt;0)</f>
        <v>0</v>
      </c>
      <c r="T169" s="14" cm="1">
        <f t="array" ref="T169">INT(SUMPRODUCT(--ISNUMBER(SEARCH(econineq,C169)))&gt;0)</f>
        <v>0</v>
      </c>
      <c r="U169" s="14" cm="1">
        <f t="array" ref="U169">INT(SUMPRODUCT(--ISNUMBER(SEARCH(climate,'Mark Kelly'!C169)))&gt;0)</f>
        <v>0</v>
      </c>
      <c r="V169" s="14" cm="1">
        <f t="array" ref="V169">INT(SUMPRODUCT(--ISNUMBER(SEARCH(abortion,'Mark Kelly'!C169)))&gt;0)</f>
        <v>0</v>
      </c>
      <c r="W169" s="14" cm="1">
        <f t="array" ref="W169">INT(SUMPRODUCT(--ISNUMBER(SEARCH(trump,'Mark Kelly'!C169)))&gt;0)</f>
        <v>0</v>
      </c>
      <c r="X169" s="14" cm="1">
        <f t="array" ref="X169">INT(SUMPRODUCT(--ISNUMBER(SEARCH(voting,'Mark Kelly'!C169)))&gt;0)</f>
        <v>0</v>
      </c>
      <c r="Y169" s="14" cm="1">
        <f t="array" ref="Y169">INT(SUMPRODUCT(--ISNUMBER(SEARCH(democrattrigger,'Mark Kelly'!C169)))&gt;0)</f>
        <v>0</v>
      </c>
      <c r="Z169" s="14" cm="1">
        <f t="array" ref="Z169">INT(SUMPRODUCT(--ISNUMBER(SEARCH(bipartisan,'Mark Kelly'!C169)))&gt;0)</f>
        <v>0</v>
      </c>
      <c r="AA169" s="14">
        <f t="shared" si="2"/>
        <v>1</v>
      </c>
      <c r="AB169" s="14"/>
      <c r="AC169" s="30">
        <v>1</v>
      </c>
      <c r="AD169" s="37">
        <v>0</v>
      </c>
    </row>
    <row r="170" spans="1:30" x14ac:dyDescent="0.25">
      <c r="A170" s="36">
        <v>254</v>
      </c>
      <c r="B170" s="14" t="s">
        <v>539</v>
      </c>
      <c r="C170" s="31" t="s">
        <v>540</v>
      </c>
      <c r="D170" s="17">
        <v>44116</v>
      </c>
      <c r="E170" s="14" t="s">
        <v>30</v>
      </c>
      <c r="F170" s="14">
        <v>492</v>
      </c>
      <c r="G170" s="14">
        <v>174</v>
      </c>
      <c r="H170" s="14">
        <v>2</v>
      </c>
      <c r="I170" s="14">
        <v>1</v>
      </c>
      <c r="J170" s="14" t="s">
        <v>204</v>
      </c>
      <c r="K170" s="14" cm="1">
        <f t="array" ref="K170">INT(SUMPRODUCT(--ISNUMBER(SEARCH(economy,'Mark Kelly'!C170)))&gt;0)</f>
        <v>0</v>
      </c>
      <c r="L170" s="14" cm="1">
        <f t="array" ref="L170">INT(SUMPRODUCT(--ISNUMBER(SEARCH(healthcare,'Mark Kelly'!C170)))&gt;0)</f>
        <v>0</v>
      </c>
      <c r="M170" s="14" cm="1">
        <f t="array" ref="M170">INT(SUMPRODUCT(--ISNUMBER(SEARCH(supreme,'Mark Kelly'!C170)))&gt;0)</f>
        <v>0</v>
      </c>
      <c r="N170" s="14" cm="1">
        <f t="array" ref="N170">INT(SUMPRODUCT(--ISNUMBER(SEARCH(covid,'Mark Kelly'!C170)))&gt;0)</f>
        <v>0</v>
      </c>
      <c r="O170" s="14" cm="1">
        <f t="array" ref="O170">INT(SUMPRODUCT(--ISNUMBER(SEARCH(violent,'Mark Kelly'!C170)))&gt;0)</f>
        <v>0</v>
      </c>
      <c r="P170" s="14" cm="1">
        <f t="array" ref="P170">INT(SUMPRODUCT(--ISNUMBER(SEARCH(foreign,'Mark Kelly'!C170)))&gt;0)</f>
        <v>1</v>
      </c>
      <c r="Q170" s="14" cm="1">
        <f t="array" ref="Q170">INT(SUMPRODUCT(--ISNUMBER(SEARCH(gun,'Mark Kelly'!C170)))&gt;0)</f>
        <v>0</v>
      </c>
      <c r="R170" s="14" cm="1">
        <f t="array" ref="R170">INT(SUMPRODUCT(--ISNUMBER(SEARCH(race,'Mark Kelly'!C170)))&gt;0)</f>
        <v>0</v>
      </c>
      <c r="S170" s="14" cm="1">
        <f t="array" ref="S170">INT(SUMPRODUCT(--ISNUMBER(SEARCH(immigration,C170)))&gt;0)</f>
        <v>0</v>
      </c>
      <c r="T170" s="14" cm="1">
        <f t="array" ref="T170">INT(SUMPRODUCT(--ISNUMBER(SEARCH(econineq,C170)))&gt;0)</f>
        <v>0</v>
      </c>
      <c r="U170" s="14" cm="1">
        <f t="array" ref="U170">INT(SUMPRODUCT(--ISNUMBER(SEARCH(climate,'Mark Kelly'!C170)))&gt;0)</f>
        <v>0</v>
      </c>
      <c r="V170" s="14" cm="1">
        <f t="array" ref="V170">INT(SUMPRODUCT(--ISNUMBER(SEARCH(abortion,'Mark Kelly'!C170)))&gt;0)</f>
        <v>0</v>
      </c>
      <c r="W170" s="14" cm="1">
        <f t="array" ref="W170">INT(SUMPRODUCT(--ISNUMBER(SEARCH(trump,'Mark Kelly'!C170)))&gt;0)</f>
        <v>0</v>
      </c>
      <c r="X170" s="14" cm="1">
        <f t="array" ref="X170">INT(SUMPRODUCT(--ISNUMBER(SEARCH(voting,'Mark Kelly'!C170)))&gt;0)</f>
        <v>0</v>
      </c>
      <c r="Y170" s="14" cm="1">
        <f t="array" ref="Y170">INT(SUMPRODUCT(--ISNUMBER(SEARCH(democrattrigger,'Mark Kelly'!C170)))&gt;0)</f>
        <v>0</v>
      </c>
      <c r="Z170" s="14" cm="1">
        <f t="array" ref="Z170">INT(SUMPRODUCT(--ISNUMBER(SEARCH(bipartisan,'Mark Kelly'!C170)))&gt;0)</f>
        <v>0</v>
      </c>
      <c r="AA170" s="14">
        <f t="shared" si="2"/>
        <v>0</v>
      </c>
      <c r="AB170" s="14"/>
      <c r="AC170" s="30">
        <v>0</v>
      </c>
      <c r="AD170" s="37">
        <v>1</v>
      </c>
    </row>
    <row r="171" spans="1:30" x14ac:dyDescent="0.25">
      <c r="A171" s="36">
        <v>255</v>
      </c>
      <c r="B171" s="14" t="s">
        <v>541</v>
      </c>
      <c r="C171" s="31" t="s">
        <v>542</v>
      </c>
      <c r="D171" s="17">
        <v>44116</v>
      </c>
      <c r="E171" s="14" t="s">
        <v>30</v>
      </c>
      <c r="F171" s="14">
        <v>14942</v>
      </c>
      <c r="G171" s="14">
        <v>4089</v>
      </c>
      <c r="H171" s="14">
        <v>2</v>
      </c>
      <c r="I171" s="14">
        <v>1</v>
      </c>
      <c r="J171" s="14" t="s">
        <v>204</v>
      </c>
      <c r="K171" s="14" cm="1">
        <f t="array" ref="K171">INT(SUMPRODUCT(--ISNUMBER(SEARCH(economy,'Mark Kelly'!C171)))&gt;0)</f>
        <v>0</v>
      </c>
      <c r="L171" s="14" cm="1">
        <f t="array" ref="L171">INT(SUMPRODUCT(--ISNUMBER(SEARCH(healthcare,'Mark Kelly'!C171)))&gt;0)</f>
        <v>0</v>
      </c>
      <c r="M171" s="14" cm="1">
        <f t="array" ref="M171">INT(SUMPRODUCT(--ISNUMBER(SEARCH(supreme,'Mark Kelly'!C171)))&gt;0)</f>
        <v>0</v>
      </c>
      <c r="N171" s="14" cm="1">
        <f t="array" ref="N171">INT(SUMPRODUCT(--ISNUMBER(SEARCH(covid,'Mark Kelly'!C171)))&gt;0)</f>
        <v>0</v>
      </c>
      <c r="O171" s="14" cm="1">
        <f t="array" ref="O171">INT(SUMPRODUCT(--ISNUMBER(SEARCH(violent,'Mark Kelly'!C171)))&gt;0)</f>
        <v>0</v>
      </c>
      <c r="P171" s="14" cm="1">
        <f t="array" ref="P171">INT(SUMPRODUCT(--ISNUMBER(SEARCH(foreign,'Mark Kelly'!C171)))&gt;0)</f>
        <v>0</v>
      </c>
      <c r="Q171" s="14" cm="1">
        <f t="array" ref="Q171">INT(SUMPRODUCT(--ISNUMBER(SEARCH(gun,'Mark Kelly'!C171)))&gt;0)</f>
        <v>0</v>
      </c>
      <c r="R171" s="14" cm="1">
        <f t="array" ref="R171">INT(SUMPRODUCT(--ISNUMBER(SEARCH(race,'Mark Kelly'!C171)))&gt;0)</f>
        <v>0</v>
      </c>
      <c r="S171" s="14" cm="1">
        <f t="array" ref="S171">INT(SUMPRODUCT(--ISNUMBER(SEARCH(immigration,C171)))&gt;0)</f>
        <v>0</v>
      </c>
      <c r="T171" s="14" cm="1">
        <f t="array" ref="T171">INT(SUMPRODUCT(--ISNUMBER(SEARCH(econineq,C171)))&gt;0)</f>
        <v>0</v>
      </c>
      <c r="U171" s="14" cm="1">
        <f t="array" ref="U171">INT(SUMPRODUCT(--ISNUMBER(SEARCH(climate,'Mark Kelly'!C171)))&gt;0)</f>
        <v>0</v>
      </c>
      <c r="V171" s="14" cm="1">
        <f t="array" ref="V171">INT(SUMPRODUCT(--ISNUMBER(SEARCH(abortion,'Mark Kelly'!C171)))&gt;0)</f>
        <v>0</v>
      </c>
      <c r="W171" s="14" cm="1">
        <f t="array" ref="W171">INT(SUMPRODUCT(--ISNUMBER(SEARCH(trump,'Mark Kelly'!C171)))&gt;0)</f>
        <v>0</v>
      </c>
      <c r="X171" s="14" cm="1">
        <f t="array" ref="X171">INT(SUMPRODUCT(--ISNUMBER(SEARCH(voting,'Mark Kelly'!C171)))&gt;0)</f>
        <v>1</v>
      </c>
      <c r="Y171" s="14" cm="1">
        <f t="array" ref="Y171">INT(SUMPRODUCT(--ISNUMBER(SEARCH(democrattrigger,'Mark Kelly'!C171)))&gt;0)</f>
        <v>0</v>
      </c>
      <c r="Z171" s="14" cm="1">
        <f t="array" ref="Z171">INT(SUMPRODUCT(--ISNUMBER(SEARCH(bipartisan,'Mark Kelly'!C171)))&gt;0)</f>
        <v>0</v>
      </c>
      <c r="AA171" s="14">
        <f t="shared" si="2"/>
        <v>0</v>
      </c>
      <c r="AB171" s="14"/>
      <c r="AC171" s="30" t="s">
        <v>223</v>
      </c>
      <c r="AD171" s="37">
        <v>0</v>
      </c>
    </row>
    <row r="172" spans="1:30" x14ac:dyDescent="0.25">
      <c r="A172" s="36">
        <v>256</v>
      </c>
      <c r="B172" s="14" t="s">
        <v>543</v>
      </c>
      <c r="C172" s="31" t="s">
        <v>544</v>
      </c>
      <c r="D172" s="17">
        <v>44116</v>
      </c>
      <c r="E172" s="14" t="s">
        <v>30</v>
      </c>
      <c r="F172" s="14">
        <v>1849</v>
      </c>
      <c r="G172" s="14">
        <v>363</v>
      </c>
      <c r="H172" s="14">
        <v>2</v>
      </c>
      <c r="I172" s="14">
        <v>1</v>
      </c>
      <c r="J172" s="14" t="s">
        <v>204</v>
      </c>
      <c r="K172" s="14" cm="1">
        <f t="array" ref="K172">INT(SUMPRODUCT(--ISNUMBER(SEARCH(economy,'Mark Kelly'!C172)))&gt;0)</f>
        <v>0</v>
      </c>
      <c r="L172" s="14" cm="1">
        <f t="array" ref="L172">INT(SUMPRODUCT(--ISNUMBER(SEARCH(healthcare,'Mark Kelly'!C172)))&gt;0)</f>
        <v>0</v>
      </c>
      <c r="M172" s="14" cm="1">
        <f t="array" ref="M172">INT(SUMPRODUCT(--ISNUMBER(SEARCH(supreme,'Mark Kelly'!C172)))&gt;0)</f>
        <v>0</v>
      </c>
      <c r="N172" s="14" cm="1">
        <f t="array" ref="N172">INT(SUMPRODUCT(--ISNUMBER(SEARCH(covid,'Mark Kelly'!C172)))&gt;0)</f>
        <v>0</v>
      </c>
      <c r="O172" s="14" cm="1">
        <f t="array" ref="O172">INT(SUMPRODUCT(--ISNUMBER(SEARCH(violent,'Mark Kelly'!C172)))&gt;0)</f>
        <v>0</v>
      </c>
      <c r="P172" s="14" cm="1">
        <f t="array" ref="P172">INT(SUMPRODUCT(--ISNUMBER(SEARCH(foreign,'Mark Kelly'!C172)))&gt;0)</f>
        <v>0</v>
      </c>
      <c r="Q172" s="14" cm="1">
        <f t="array" ref="Q172">INT(SUMPRODUCT(--ISNUMBER(SEARCH(gun,'Mark Kelly'!C172)))&gt;0)</f>
        <v>0</v>
      </c>
      <c r="R172" s="14" cm="1">
        <f t="array" ref="R172">INT(SUMPRODUCT(--ISNUMBER(SEARCH(race,'Mark Kelly'!C172)))&gt;0)</f>
        <v>0</v>
      </c>
      <c r="S172" s="14" cm="1">
        <f t="array" ref="S172">INT(SUMPRODUCT(--ISNUMBER(SEARCH(immigration,C172)))&gt;0)</f>
        <v>0</v>
      </c>
      <c r="T172" s="14" cm="1">
        <f t="array" ref="T172">INT(SUMPRODUCT(--ISNUMBER(SEARCH(econineq,C172)))&gt;0)</f>
        <v>0</v>
      </c>
      <c r="U172" s="14" cm="1">
        <f t="array" ref="U172">INT(SUMPRODUCT(--ISNUMBER(SEARCH(climate,'Mark Kelly'!C172)))&gt;0)</f>
        <v>0</v>
      </c>
      <c r="V172" s="14" cm="1">
        <f t="array" ref="V172">INT(SUMPRODUCT(--ISNUMBER(SEARCH(abortion,'Mark Kelly'!C172)))&gt;0)</f>
        <v>0</v>
      </c>
      <c r="W172" s="14" cm="1">
        <f t="array" ref="W172">INT(SUMPRODUCT(--ISNUMBER(SEARCH(trump,'Mark Kelly'!C172)))&gt;0)</f>
        <v>0</v>
      </c>
      <c r="X172" s="14" cm="1">
        <f t="array" ref="X172">INT(SUMPRODUCT(--ISNUMBER(SEARCH(voting,'Mark Kelly'!C172)))&gt;0)</f>
        <v>0</v>
      </c>
      <c r="Y172" s="14" cm="1">
        <f t="array" ref="Y172">INT(SUMPRODUCT(--ISNUMBER(SEARCH(democrattrigger,'Mark Kelly'!C172)))&gt;0)</f>
        <v>0</v>
      </c>
      <c r="Z172" s="14" cm="1">
        <f t="array" ref="Z172">INT(SUMPRODUCT(--ISNUMBER(SEARCH(bipartisan,'Mark Kelly'!C172)))&gt;0)</f>
        <v>0</v>
      </c>
      <c r="AA172" s="14">
        <f t="shared" si="2"/>
        <v>1</v>
      </c>
      <c r="AB172" s="14"/>
      <c r="AC172" s="30">
        <v>1</v>
      </c>
      <c r="AD172" s="37">
        <v>0</v>
      </c>
    </row>
    <row r="173" spans="1:30" x14ac:dyDescent="0.25">
      <c r="A173" s="36">
        <v>257</v>
      </c>
      <c r="B173" s="14" t="s">
        <v>545</v>
      </c>
      <c r="C173" s="31" t="s">
        <v>546</v>
      </c>
      <c r="D173" s="17">
        <v>44116</v>
      </c>
      <c r="E173" s="14" t="s">
        <v>30</v>
      </c>
      <c r="F173" s="14">
        <v>4501</v>
      </c>
      <c r="G173" s="14">
        <v>835</v>
      </c>
      <c r="H173" s="14">
        <v>2</v>
      </c>
      <c r="I173" s="14">
        <v>1</v>
      </c>
      <c r="J173" s="14" t="s">
        <v>204</v>
      </c>
      <c r="K173" s="14" cm="1">
        <f t="array" ref="K173">INT(SUMPRODUCT(--ISNUMBER(SEARCH(economy,'Mark Kelly'!C173)))&gt;0)</f>
        <v>0</v>
      </c>
      <c r="L173" s="14" cm="1">
        <f t="array" ref="L173">INT(SUMPRODUCT(--ISNUMBER(SEARCH(healthcare,'Mark Kelly'!C173)))&gt;0)</f>
        <v>0</v>
      </c>
      <c r="M173" s="14" cm="1">
        <f t="array" ref="M173">INT(SUMPRODUCT(--ISNUMBER(SEARCH(supreme,'Mark Kelly'!C173)))&gt;0)</f>
        <v>0</v>
      </c>
      <c r="N173" s="14" cm="1">
        <f t="array" ref="N173">INT(SUMPRODUCT(--ISNUMBER(SEARCH(covid,'Mark Kelly'!C173)))&gt;0)</f>
        <v>0</v>
      </c>
      <c r="O173" s="14" cm="1">
        <f t="array" ref="O173">INT(SUMPRODUCT(--ISNUMBER(SEARCH(violent,'Mark Kelly'!C173)))&gt;0)</f>
        <v>0</v>
      </c>
      <c r="P173" s="14" cm="1">
        <f t="array" ref="P173">INT(SUMPRODUCT(--ISNUMBER(SEARCH(foreign,'Mark Kelly'!C173)))&gt;0)</f>
        <v>0</v>
      </c>
      <c r="Q173" s="14" cm="1">
        <f t="array" ref="Q173">INT(SUMPRODUCT(--ISNUMBER(SEARCH(gun,'Mark Kelly'!C173)))&gt;0)</f>
        <v>0</v>
      </c>
      <c r="R173" s="14" cm="1">
        <f t="array" ref="R173">INT(SUMPRODUCT(--ISNUMBER(SEARCH(race,'Mark Kelly'!C173)))&gt;0)</f>
        <v>1</v>
      </c>
      <c r="S173" s="14" cm="1">
        <f t="array" ref="S173">INT(SUMPRODUCT(--ISNUMBER(SEARCH(immigration,C173)))&gt;0)</f>
        <v>0</v>
      </c>
      <c r="T173" s="14" cm="1">
        <f t="array" ref="T173">INT(SUMPRODUCT(--ISNUMBER(SEARCH(econineq,C173)))&gt;0)</f>
        <v>0</v>
      </c>
      <c r="U173" s="14" cm="1">
        <f t="array" ref="U173">INT(SUMPRODUCT(--ISNUMBER(SEARCH(climate,'Mark Kelly'!C173)))&gt;0)</f>
        <v>0</v>
      </c>
      <c r="V173" s="14" cm="1">
        <f t="array" ref="V173">INT(SUMPRODUCT(--ISNUMBER(SEARCH(abortion,'Mark Kelly'!C173)))&gt;0)</f>
        <v>0</v>
      </c>
      <c r="W173" s="14" cm="1">
        <f t="array" ref="W173">INT(SUMPRODUCT(--ISNUMBER(SEARCH(trump,'Mark Kelly'!C173)))&gt;0)</f>
        <v>0</v>
      </c>
      <c r="X173" s="14" cm="1">
        <f t="array" ref="X173">INT(SUMPRODUCT(--ISNUMBER(SEARCH(voting,'Mark Kelly'!C173)))&gt;0)</f>
        <v>0</v>
      </c>
      <c r="Y173" s="14" cm="1">
        <f t="array" ref="Y173">INT(SUMPRODUCT(--ISNUMBER(SEARCH(democrattrigger,'Mark Kelly'!C173)))&gt;0)</f>
        <v>0</v>
      </c>
      <c r="Z173" s="14" cm="1">
        <f t="array" ref="Z173">INT(SUMPRODUCT(--ISNUMBER(SEARCH(bipartisan,'Mark Kelly'!C173)))&gt;0)</f>
        <v>0</v>
      </c>
      <c r="AA173" s="14">
        <f t="shared" si="2"/>
        <v>0</v>
      </c>
      <c r="AB173" s="14"/>
      <c r="AC173" s="30" t="s">
        <v>223</v>
      </c>
      <c r="AD173" s="37">
        <v>0</v>
      </c>
    </row>
    <row r="174" spans="1:30" x14ac:dyDescent="0.25">
      <c r="A174" s="36">
        <v>258</v>
      </c>
      <c r="B174" s="14" t="s">
        <v>547</v>
      </c>
      <c r="C174" s="31" t="s">
        <v>548</v>
      </c>
      <c r="D174" s="17">
        <v>44115</v>
      </c>
      <c r="E174" s="14" t="s">
        <v>30</v>
      </c>
      <c r="F174" s="14">
        <v>718</v>
      </c>
      <c r="G174" s="14">
        <v>229</v>
      </c>
      <c r="H174" s="14">
        <v>2</v>
      </c>
      <c r="I174" s="14">
        <v>1</v>
      </c>
      <c r="J174" s="14" t="s">
        <v>204</v>
      </c>
      <c r="K174" s="14" cm="1">
        <f t="array" ref="K174">INT(SUMPRODUCT(--ISNUMBER(SEARCH(economy,'Mark Kelly'!C174)))&gt;0)</f>
        <v>0</v>
      </c>
      <c r="L174" s="14" cm="1">
        <f t="array" ref="L174">INT(SUMPRODUCT(--ISNUMBER(SEARCH(healthcare,'Mark Kelly'!C174)))&gt;0)</f>
        <v>1</v>
      </c>
      <c r="M174" s="14" cm="1">
        <f t="array" ref="M174">INT(SUMPRODUCT(--ISNUMBER(SEARCH(supreme,'Mark Kelly'!C174)))&gt;0)</f>
        <v>0</v>
      </c>
      <c r="N174" s="14" cm="1">
        <f t="array" ref="N174">INT(SUMPRODUCT(--ISNUMBER(SEARCH(covid,'Mark Kelly'!C174)))&gt;0)</f>
        <v>0</v>
      </c>
      <c r="O174" s="14" cm="1">
        <f t="array" ref="O174">INT(SUMPRODUCT(--ISNUMBER(SEARCH(violent,'Mark Kelly'!C174)))&gt;0)</f>
        <v>0</v>
      </c>
      <c r="P174" s="14" cm="1">
        <f t="array" ref="P174">INT(SUMPRODUCT(--ISNUMBER(SEARCH(foreign,'Mark Kelly'!C174)))&gt;0)</f>
        <v>0</v>
      </c>
      <c r="Q174" s="14" cm="1">
        <f t="array" ref="Q174">INT(SUMPRODUCT(--ISNUMBER(SEARCH(gun,'Mark Kelly'!C174)))&gt;0)</f>
        <v>0</v>
      </c>
      <c r="R174" s="14" cm="1">
        <f t="array" ref="R174">INT(SUMPRODUCT(--ISNUMBER(SEARCH(race,'Mark Kelly'!C174)))&gt;0)</f>
        <v>0</v>
      </c>
      <c r="S174" s="14" cm="1">
        <f t="array" ref="S174">INT(SUMPRODUCT(--ISNUMBER(SEARCH(immigration,C174)))&gt;0)</f>
        <v>0</v>
      </c>
      <c r="T174" s="14" cm="1">
        <f t="array" ref="T174">INT(SUMPRODUCT(--ISNUMBER(SEARCH(econineq,C174)))&gt;0)</f>
        <v>0</v>
      </c>
      <c r="U174" s="14" cm="1">
        <f t="array" ref="U174">INT(SUMPRODUCT(--ISNUMBER(SEARCH(climate,'Mark Kelly'!C174)))&gt;0)</f>
        <v>0</v>
      </c>
      <c r="V174" s="14" cm="1">
        <f t="array" ref="V174">INT(SUMPRODUCT(--ISNUMBER(SEARCH(abortion,'Mark Kelly'!C174)))&gt;0)</f>
        <v>0</v>
      </c>
      <c r="W174" s="14" cm="1">
        <f t="array" ref="W174">INT(SUMPRODUCT(--ISNUMBER(SEARCH(trump,'Mark Kelly'!C174)))&gt;0)</f>
        <v>0</v>
      </c>
      <c r="X174" s="14" cm="1">
        <f t="array" ref="X174">INT(SUMPRODUCT(--ISNUMBER(SEARCH(voting,'Mark Kelly'!C174)))&gt;0)</f>
        <v>0</v>
      </c>
      <c r="Y174" s="14" cm="1">
        <f t="array" ref="Y174">INT(SUMPRODUCT(--ISNUMBER(SEARCH(democrattrigger,'Mark Kelly'!C174)))&gt;0)</f>
        <v>0</v>
      </c>
      <c r="Z174" s="14" cm="1">
        <f t="array" ref="Z174">INT(SUMPRODUCT(--ISNUMBER(SEARCH(bipartisan,'Mark Kelly'!C174)))&gt;0)</f>
        <v>0</v>
      </c>
      <c r="AA174" s="14">
        <f t="shared" si="2"/>
        <v>0</v>
      </c>
      <c r="AB174" s="14"/>
      <c r="AC174" s="30">
        <v>0</v>
      </c>
      <c r="AD174" s="37">
        <v>1</v>
      </c>
    </row>
    <row r="175" spans="1:30" x14ac:dyDescent="0.25">
      <c r="A175" s="36">
        <v>259</v>
      </c>
      <c r="B175" s="14" t="s">
        <v>549</v>
      </c>
      <c r="C175" s="31" t="s">
        <v>550</v>
      </c>
      <c r="D175" s="17">
        <v>44115</v>
      </c>
      <c r="E175" s="14" t="s">
        <v>30</v>
      </c>
      <c r="F175" s="14">
        <v>896</v>
      </c>
      <c r="G175" s="14">
        <v>293</v>
      </c>
      <c r="H175" s="14">
        <v>2</v>
      </c>
      <c r="I175" s="14">
        <v>1</v>
      </c>
      <c r="J175" s="14" t="s">
        <v>204</v>
      </c>
      <c r="K175" s="14" cm="1">
        <f t="array" ref="K175">INT(SUMPRODUCT(--ISNUMBER(SEARCH(economy,'Mark Kelly'!C175)))&gt;0)</f>
        <v>0</v>
      </c>
      <c r="L175" s="14" cm="1">
        <f t="array" ref="L175">INT(SUMPRODUCT(--ISNUMBER(SEARCH(healthcare,'Mark Kelly'!C175)))&gt;0)</f>
        <v>1</v>
      </c>
      <c r="M175" s="14" cm="1">
        <f t="array" ref="M175">INT(SUMPRODUCT(--ISNUMBER(SEARCH(supreme,'Mark Kelly'!C175)))&gt;0)</f>
        <v>0</v>
      </c>
      <c r="N175" s="14" cm="1">
        <f t="array" ref="N175">INT(SUMPRODUCT(--ISNUMBER(SEARCH(covid,'Mark Kelly'!C175)))&gt;0)</f>
        <v>0</v>
      </c>
      <c r="O175" s="14" cm="1">
        <f t="array" ref="O175">INT(SUMPRODUCT(--ISNUMBER(SEARCH(violent,'Mark Kelly'!C175)))&gt;0)</f>
        <v>0</v>
      </c>
      <c r="P175" s="14" cm="1">
        <f t="array" ref="P175">INT(SUMPRODUCT(--ISNUMBER(SEARCH(foreign,'Mark Kelly'!C175)))&gt;0)</f>
        <v>0</v>
      </c>
      <c r="Q175" s="14" cm="1">
        <f t="array" ref="Q175">INT(SUMPRODUCT(--ISNUMBER(SEARCH(gun,'Mark Kelly'!C175)))&gt;0)</f>
        <v>0</v>
      </c>
      <c r="R175" s="14" cm="1">
        <f t="array" ref="R175">INT(SUMPRODUCT(--ISNUMBER(SEARCH(race,'Mark Kelly'!C175)))&gt;0)</f>
        <v>0</v>
      </c>
      <c r="S175" s="14" cm="1">
        <f t="array" ref="S175">INT(SUMPRODUCT(--ISNUMBER(SEARCH(immigration,C175)))&gt;0)</f>
        <v>0</v>
      </c>
      <c r="T175" s="14" cm="1">
        <f t="array" ref="T175">INT(SUMPRODUCT(--ISNUMBER(SEARCH(econineq,C175)))&gt;0)</f>
        <v>0</v>
      </c>
      <c r="U175" s="14" cm="1">
        <f t="array" ref="U175">INT(SUMPRODUCT(--ISNUMBER(SEARCH(climate,'Mark Kelly'!C175)))&gt;0)</f>
        <v>0</v>
      </c>
      <c r="V175" s="14" cm="1">
        <f t="array" ref="V175">INT(SUMPRODUCT(--ISNUMBER(SEARCH(abortion,'Mark Kelly'!C175)))&gt;0)</f>
        <v>0</v>
      </c>
      <c r="W175" s="14" cm="1">
        <f t="array" ref="W175">INT(SUMPRODUCT(--ISNUMBER(SEARCH(trump,'Mark Kelly'!C175)))&gt;0)</f>
        <v>0</v>
      </c>
      <c r="X175" s="14" cm="1">
        <f t="array" ref="X175">INT(SUMPRODUCT(--ISNUMBER(SEARCH(voting,'Mark Kelly'!C175)))&gt;0)</f>
        <v>0</v>
      </c>
      <c r="Y175" s="14" cm="1">
        <f t="array" ref="Y175">INT(SUMPRODUCT(--ISNUMBER(SEARCH(democrattrigger,'Mark Kelly'!C175)))&gt;0)</f>
        <v>0</v>
      </c>
      <c r="Z175" s="14" cm="1">
        <f t="array" ref="Z175">INT(SUMPRODUCT(--ISNUMBER(SEARCH(bipartisan,'Mark Kelly'!C175)))&gt;0)</f>
        <v>0</v>
      </c>
      <c r="AA175" s="14">
        <f t="shared" si="2"/>
        <v>0</v>
      </c>
      <c r="AB175" s="14"/>
      <c r="AC175" s="30">
        <v>0</v>
      </c>
      <c r="AD175" s="37">
        <v>1</v>
      </c>
    </row>
    <row r="176" spans="1:30" x14ac:dyDescent="0.25">
      <c r="A176" s="36">
        <v>260</v>
      </c>
      <c r="B176" s="14" t="s">
        <v>551</v>
      </c>
      <c r="C176" s="31" t="s">
        <v>552</v>
      </c>
      <c r="D176" s="17">
        <v>44115</v>
      </c>
      <c r="E176" s="14" t="s">
        <v>30</v>
      </c>
      <c r="F176" s="14">
        <v>1389</v>
      </c>
      <c r="G176" s="14">
        <v>332</v>
      </c>
      <c r="H176" s="14">
        <v>2</v>
      </c>
      <c r="I176" s="14">
        <v>1</v>
      </c>
      <c r="J176" s="14" t="s">
        <v>204</v>
      </c>
      <c r="K176" s="14" cm="1">
        <f t="array" ref="K176">INT(SUMPRODUCT(--ISNUMBER(SEARCH(economy,'Mark Kelly'!C176)))&gt;0)</f>
        <v>0</v>
      </c>
      <c r="L176" s="14" cm="1">
        <f t="array" ref="L176">INT(SUMPRODUCT(--ISNUMBER(SEARCH(healthcare,'Mark Kelly'!C176)))&gt;0)</f>
        <v>1</v>
      </c>
      <c r="M176" s="14" cm="1">
        <f t="array" ref="M176">INT(SUMPRODUCT(--ISNUMBER(SEARCH(supreme,'Mark Kelly'!C176)))&gt;0)</f>
        <v>0</v>
      </c>
      <c r="N176" s="14" cm="1">
        <f t="array" ref="N176">INT(SUMPRODUCT(--ISNUMBER(SEARCH(covid,'Mark Kelly'!C176)))&gt;0)</f>
        <v>0</v>
      </c>
      <c r="O176" s="14" cm="1">
        <f t="array" ref="O176">INT(SUMPRODUCT(--ISNUMBER(SEARCH(violent,'Mark Kelly'!C176)))&gt;0)</f>
        <v>0</v>
      </c>
      <c r="P176" s="14" cm="1">
        <f t="array" ref="P176">INT(SUMPRODUCT(--ISNUMBER(SEARCH(foreign,'Mark Kelly'!C176)))&gt;0)</f>
        <v>0</v>
      </c>
      <c r="Q176" s="14" cm="1">
        <f t="array" ref="Q176">INT(SUMPRODUCT(--ISNUMBER(SEARCH(gun,'Mark Kelly'!C176)))&gt;0)</f>
        <v>0</v>
      </c>
      <c r="R176" s="14" cm="1">
        <f t="array" ref="R176">INT(SUMPRODUCT(--ISNUMBER(SEARCH(race,'Mark Kelly'!C176)))&gt;0)</f>
        <v>0</v>
      </c>
      <c r="S176" s="14" cm="1">
        <f t="array" ref="S176">INT(SUMPRODUCT(--ISNUMBER(SEARCH(immigration,C176)))&gt;0)</f>
        <v>0</v>
      </c>
      <c r="T176" s="14" cm="1">
        <f t="array" ref="T176">INT(SUMPRODUCT(--ISNUMBER(SEARCH(econineq,C176)))&gt;0)</f>
        <v>0</v>
      </c>
      <c r="U176" s="14" cm="1">
        <f t="array" ref="U176">INT(SUMPRODUCT(--ISNUMBER(SEARCH(climate,'Mark Kelly'!C176)))&gt;0)</f>
        <v>0</v>
      </c>
      <c r="V176" s="14" cm="1">
        <f t="array" ref="V176">INT(SUMPRODUCT(--ISNUMBER(SEARCH(abortion,'Mark Kelly'!C176)))&gt;0)</f>
        <v>0</v>
      </c>
      <c r="W176" s="14" cm="1">
        <f t="array" ref="W176">INT(SUMPRODUCT(--ISNUMBER(SEARCH(trump,'Mark Kelly'!C176)))&gt;0)</f>
        <v>0</v>
      </c>
      <c r="X176" s="14" cm="1">
        <f t="array" ref="X176">INT(SUMPRODUCT(--ISNUMBER(SEARCH(voting,'Mark Kelly'!C176)))&gt;0)</f>
        <v>1</v>
      </c>
      <c r="Y176" s="14" cm="1">
        <f t="array" ref="Y176">INT(SUMPRODUCT(--ISNUMBER(SEARCH(democrattrigger,'Mark Kelly'!C176)))&gt;0)</f>
        <v>0</v>
      </c>
      <c r="Z176" s="14" cm="1">
        <f t="array" ref="Z176">INT(SUMPRODUCT(--ISNUMBER(SEARCH(bipartisan,'Mark Kelly'!C176)))&gt;0)</f>
        <v>0</v>
      </c>
      <c r="AA176" s="14">
        <f t="shared" si="2"/>
        <v>0</v>
      </c>
      <c r="AB176" s="14"/>
      <c r="AC176" s="30" t="s">
        <v>223</v>
      </c>
      <c r="AD176" s="37"/>
    </row>
    <row r="177" spans="1:30" x14ac:dyDescent="0.25">
      <c r="A177" s="36">
        <v>261</v>
      </c>
      <c r="B177" s="14" t="s">
        <v>553</v>
      </c>
      <c r="C177" s="31" t="s">
        <v>554</v>
      </c>
      <c r="D177" s="17">
        <v>44115</v>
      </c>
      <c r="E177" s="14" t="s">
        <v>30</v>
      </c>
      <c r="F177" s="14">
        <v>1186</v>
      </c>
      <c r="G177" s="14">
        <v>247</v>
      </c>
      <c r="H177" s="14">
        <v>2</v>
      </c>
      <c r="I177" s="14">
        <v>1</v>
      </c>
      <c r="J177" s="14" t="s">
        <v>204</v>
      </c>
      <c r="K177" s="14" cm="1">
        <f t="array" ref="K177">INT(SUMPRODUCT(--ISNUMBER(SEARCH(economy,'Mark Kelly'!C177)))&gt;0)</f>
        <v>0</v>
      </c>
      <c r="L177" s="14" cm="1">
        <f t="array" ref="L177">INT(SUMPRODUCT(--ISNUMBER(SEARCH(healthcare,'Mark Kelly'!C177)))&gt;0)</f>
        <v>0</v>
      </c>
      <c r="M177" s="14" cm="1">
        <f t="array" ref="M177">INT(SUMPRODUCT(--ISNUMBER(SEARCH(supreme,'Mark Kelly'!C177)))&gt;0)</f>
        <v>0</v>
      </c>
      <c r="N177" s="14" cm="1">
        <f t="array" ref="N177">INT(SUMPRODUCT(--ISNUMBER(SEARCH(covid,'Mark Kelly'!C177)))&gt;0)</f>
        <v>0</v>
      </c>
      <c r="O177" s="14" cm="1">
        <f t="array" ref="O177">INT(SUMPRODUCT(--ISNUMBER(SEARCH(violent,'Mark Kelly'!C177)))&gt;0)</f>
        <v>0</v>
      </c>
      <c r="P177" s="14" cm="1">
        <f t="array" ref="P177">INT(SUMPRODUCT(--ISNUMBER(SEARCH(foreign,'Mark Kelly'!C177)))&gt;0)</f>
        <v>0</v>
      </c>
      <c r="Q177" s="14" cm="1">
        <f t="array" ref="Q177">INT(SUMPRODUCT(--ISNUMBER(SEARCH(gun,'Mark Kelly'!C177)))&gt;0)</f>
        <v>0</v>
      </c>
      <c r="R177" s="14" cm="1">
        <f t="array" ref="R177">INT(SUMPRODUCT(--ISNUMBER(SEARCH(race,'Mark Kelly'!C177)))&gt;0)</f>
        <v>0</v>
      </c>
      <c r="S177" s="14" cm="1">
        <f t="array" ref="S177">INT(SUMPRODUCT(--ISNUMBER(SEARCH(immigration,C177)))&gt;0)</f>
        <v>0</v>
      </c>
      <c r="T177" s="14" cm="1">
        <f t="array" ref="T177">INT(SUMPRODUCT(--ISNUMBER(SEARCH(econineq,C177)))&gt;0)</f>
        <v>0</v>
      </c>
      <c r="U177" s="14" cm="1">
        <f t="array" ref="U177">INT(SUMPRODUCT(--ISNUMBER(SEARCH(climate,'Mark Kelly'!C177)))&gt;0)</f>
        <v>0</v>
      </c>
      <c r="V177" s="14" cm="1">
        <f t="array" ref="V177">INT(SUMPRODUCT(--ISNUMBER(SEARCH(abortion,'Mark Kelly'!C177)))&gt;0)</f>
        <v>0</v>
      </c>
      <c r="W177" s="14" cm="1">
        <f t="array" ref="W177">INT(SUMPRODUCT(--ISNUMBER(SEARCH(trump,'Mark Kelly'!C177)))&gt;0)</f>
        <v>0</v>
      </c>
      <c r="X177" s="14" cm="1">
        <f t="array" ref="X177">INT(SUMPRODUCT(--ISNUMBER(SEARCH(voting,'Mark Kelly'!C177)))&gt;0)</f>
        <v>0</v>
      </c>
      <c r="Y177" s="14" cm="1">
        <f t="array" ref="Y177">INT(SUMPRODUCT(--ISNUMBER(SEARCH(democrattrigger,'Mark Kelly'!C177)))&gt;0)</f>
        <v>0</v>
      </c>
      <c r="Z177" s="14" cm="1">
        <f t="array" ref="Z177">INT(SUMPRODUCT(--ISNUMBER(SEARCH(bipartisan,'Mark Kelly'!C177)))&gt;0)</f>
        <v>0</v>
      </c>
      <c r="AA177" s="14">
        <f t="shared" si="2"/>
        <v>1</v>
      </c>
      <c r="AB177" s="14"/>
      <c r="AC177" s="30" t="s">
        <v>223</v>
      </c>
      <c r="AD177" s="37"/>
    </row>
    <row r="178" spans="1:30" x14ac:dyDescent="0.25">
      <c r="A178" s="36">
        <v>262</v>
      </c>
      <c r="B178" s="14" t="s">
        <v>555</v>
      </c>
      <c r="C178" s="31" t="s">
        <v>556</v>
      </c>
      <c r="D178" s="17">
        <v>44114</v>
      </c>
      <c r="E178" s="14" t="s">
        <v>30</v>
      </c>
      <c r="F178" s="14">
        <v>4710</v>
      </c>
      <c r="G178" s="14">
        <v>1715</v>
      </c>
      <c r="H178" s="14">
        <v>2</v>
      </c>
      <c r="I178" s="14">
        <v>1</v>
      </c>
      <c r="J178" s="14" t="s">
        <v>204</v>
      </c>
      <c r="K178" s="14" cm="1">
        <f t="array" ref="K178">INT(SUMPRODUCT(--ISNUMBER(SEARCH(economy,'Mark Kelly'!C178)))&gt;0)</f>
        <v>0</v>
      </c>
      <c r="L178" s="14" cm="1">
        <f t="array" ref="L178">INT(SUMPRODUCT(--ISNUMBER(SEARCH(healthcare,'Mark Kelly'!C178)))&gt;0)</f>
        <v>0</v>
      </c>
      <c r="M178" s="14" cm="1">
        <f t="array" ref="M178">INT(SUMPRODUCT(--ISNUMBER(SEARCH(supreme,'Mark Kelly'!C178)))&gt;0)</f>
        <v>0</v>
      </c>
      <c r="N178" s="14" cm="1">
        <f t="array" ref="N178">INT(SUMPRODUCT(--ISNUMBER(SEARCH(covid,'Mark Kelly'!C178)))&gt;0)</f>
        <v>0</v>
      </c>
      <c r="O178" s="14" cm="1">
        <f t="array" ref="O178">INT(SUMPRODUCT(--ISNUMBER(SEARCH(violent,'Mark Kelly'!C178)))&gt;0)</f>
        <v>0</v>
      </c>
      <c r="P178" s="14" cm="1">
        <f t="array" ref="P178">INT(SUMPRODUCT(--ISNUMBER(SEARCH(foreign,'Mark Kelly'!C178)))&gt;0)</f>
        <v>0</v>
      </c>
      <c r="Q178" s="14" cm="1">
        <f t="array" ref="Q178">INT(SUMPRODUCT(--ISNUMBER(SEARCH(gun,'Mark Kelly'!C178)))&gt;0)</f>
        <v>0</v>
      </c>
      <c r="R178" s="14" cm="1">
        <f t="array" ref="R178">INT(SUMPRODUCT(--ISNUMBER(SEARCH(race,'Mark Kelly'!C178)))&gt;0)</f>
        <v>0</v>
      </c>
      <c r="S178" s="14" cm="1">
        <f t="array" ref="S178">INT(SUMPRODUCT(--ISNUMBER(SEARCH(immigration,C178)))&gt;0)</f>
        <v>0</v>
      </c>
      <c r="T178" s="14" cm="1">
        <f t="array" ref="T178">INT(SUMPRODUCT(--ISNUMBER(SEARCH(econineq,C178)))&gt;0)</f>
        <v>0</v>
      </c>
      <c r="U178" s="14" cm="1">
        <f t="array" ref="U178">INT(SUMPRODUCT(--ISNUMBER(SEARCH(climate,'Mark Kelly'!C178)))&gt;0)</f>
        <v>0</v>
      </c>
      <c r="V178" s="14" cm="1">
        <f t="array" ref="V178">INT(SUMPRODUCT(--ISNUMBER(SEARCH(abortion,'Mark Kelly'!C178)))&gt;0)</f>
        <v>0</v>
      </c>
      <c r="W178" s="14" cm="1">
        <f t="array" ref="W178">INT(SUMPRODUCT(--ISNUMBER(SEARCH(trump,'Mark Kelly'!C178)))&gt;0)</f>
        <v>0</v>
      </c>
      <c r="X178" s="14" cm="1">
        <f t="array" ref="X178">INT(SUMPRODUCT(--ISNUMBER(SEARCH(voting,'Mark Kelly'!C178)))&gt;0)</f>
        <v>1</v>
      </c>
      <c r="Y178" s="14" cm="1">
        <f t="array" ref="Y178">INT(SUMPRODUCT(--ISNUMBER(SEARCH(democrattrigger,'Mark Kelly'!C178)))&gt;0)</f>
        <v>0</v>
      </c>
      <c r="Z178" s="14" cm="1">
        <f t="array" ref="Z178">INT(SUMPRODUCT(--ISNUMBER(SEARCH(bipartisan,'Mark Kelly'!C178)))&gt;0)</f>
        <v>0</v>
      </c>
      <c r="AA178" s="14">
        <f t="shared" si="2"/>
        <v>0</v>
      </c>
      <c r="AB178" s="14"/>
      <c r="AC178" s="30">
        <v>0</v>
      </c>
      <c r="AD178" s="37">
        <v>1</v>
      </c>
    </row>
    <row r="179" spans="1:30" x14ac:dyDescent="0.25">
      <c r="A179" s="36">
        <v>263</v>
      </c>
      <c r="B179" s="14" t="s">
        <v>557</v>
      </c>
      <c r="C179" s="31" t="s">
        <v>558</v>
      </c>
      <c r="D179" s="17">
        <v>44114</v>
      </c>
      <c r="E179" s="14" t="s">
        <v>30</v>
      </c>
      <c r="F179" s="14">
        <v>953</v>
      </c>
      <c r="G179" s="14">
        <v>234</v>
      </c>
      <c r="H179" s="14">
        <v>2</v>
      </c>
      <c r="I179" s="14">
        <v>1</v>
      </c>
      <c r="J179" s="14" t="s">
        <v>204</v>
      </c>
      <c r="K179" s="14" cm="1">
        <f t="array" ref="K179">INT(SUMPRODUCT(--ISNUMBER(SEARCH(economy,'Mark Kelly'!C179)))&gt;0)</f>
        <v>0</v>
      </c>
      <c r="L179" s="14" cm="1">
        <f t="array" ref="L179">INT(SUMPRODUCT(--ISNUMBER(SEARCH(healthcare,'Mark Kelly'!C179)))&gt;0)</f>
        <v>1</v>
      </c>
      <c r="M179" s="14" cm="1">
        <f t="array" ref="M179">INT(SUMPRODUCT(--ISNUMBER(SEARCH(supreme,'Mark Kelly'!C179)))&gt;0)</f>
        <v>0</v>
      </c>
      <c r="N179" s="14" cm="1">
        <f t="array" ref="N179">INT(SUMPRODUCT(--ISNUMBER(SEARCH(covid,'Mark Kelly'!C179)))&gt;0)</f>
        <v>0</v>
      </c>
      <c r="O179" s="14" cm="1">
        <f t="array" ref="O179">INT(SUMPRODUCT(--ISNUMBER(SEARCH(violent,'Mark Kelly'!C179)))&gt;0)</f>
        <v>0</v>
      </c>
      <c r="P179" s="14" cm="1">
        <f t="array" ref="P179">INT(SUMPRODUCT(--ISNUMBER(SEARCH(foreign,'Mark Kelly'!C179)))&gt;0)</f>
        <v>0</v>
      </c>
      <c r="Q179" s="14" cm="1">
        <f t="array" ref="Q179">INT(SUMPRODUCT(--ISNUMBER(SEARCH(gun,'Mark Kelly'!C179)))&gt;0)</f>
        <v>0</v>
      </c>
      <c r="R179" s="14" cm="1">
        <f t="array" ref="R179">INT(SUMPRODUCT(--ISNUMBER(SEARCH(race,'Mark Kelly'!C179)))&gt;0)</f>
        <v>0</v>
      </c>
      <c r="S179" s="14" cm="1">
        <f t="array" ref="S179">INT(SUMPRODUCT(--ISNUMBER(SEARCH(immigration,C179)))&gt;0)</f>
        <v>0</v>
      </c>
      <c r="T179" s="14" cm="1">
        <f t="array" ref="T179">INT(SUMPRODUCT(--ISNUMBER(SEARCH(econineq,C179)))&gt;0)</f>
        <v>0</v>
      </c>
      <c r="U179" s="14" cm="1">
        <f t="array" ref="U179">INT(SUMPRODUCT(--ISNUMBER(SEARCH(climate,'Mark Kelly'!C179)))&gt;0)</f>
        <v>0</v>
      </c>
      <c r="V179" s="14" cm="1">
        <f t="array" ref="V179">INT(SUMPRODUCT(--ISNUMBER(SEARCH(abortion,'Mark Kelly'!C179)))&gt;0)</f>
        <v>0</v>
      </c>
      <c r="W179" s="14" cm="1">
        <f t="array" ref="W179">INT(SUMPRODUCT(--ISNUMBER(SEARCH(trump,'Mark Kelly'!C179)))&gt;0)</f>
        <v>0</v>
      </c>
      <c r="X179" s="14" cm="1">
        <f t="array" ref="X179">INT(SUMPRODUCT(--ISNUMBER(SEARCH(voting,'Mark Kelly'!C179)))&gt;0)</f>
        <v>0</v>
      </c>
      <c r="Y179" s="14" cm="1">
        <f t="array" ref="Y179">INT(SUMPRODUCT(--ISNUMBER(SEARCH(democrattrigger,'Mark Kelly'!C179)))&gt;0)</f>
        <v>0</v>
      </c>
      <c r="Z179" s="14" cm="1">
        <f t="array" ref="Z179">INT(SUMPRODUCT(--ISNUMBER(SEARCH(bipartisan,'Mark Kelly'!C179)))&gt;0)</f>
        <v>0</v>
      </c>
      <c r="AA179" s="14">
        <f t="shared" si="2"/>
        <v>0</v>
      </c>
      <c r="AB179" s="14"/>
      <c r="AC179" s="30" t="s">
        <v>223</v>
      </c>
      <c r="AD179" s="37"/>
    </row>
    <row r="180" spans="1:30" x14ac:dyDescent="0.25">
      <c r="A180" s="36">
        <v>264</v>
      </c>
      <c r="B180" s="14" t="s">
        <v>559</v>
      </c>
      <c r="C180" s="31" t="s">
        <v>560</v>
      </c>
      <c r="D180" s="17">
        <v>44114</v>
      </c>
      <c r="E180" s="14" t="s">
        <v>30</v>
      </c>
      <c r="F180" s="14">
        <v>11379</v>
      </c>
      <c r="G180" s="14">
        <v>2483</v>
      </c>
      <c r="H180" s="14">
        <v>2</v>
      </c>
      <c r="I180" s="14">
        <v>1</v>
      </c>
      <c r="J180" s="14" t="s">
        <v>204</v>
      </c>
      <c r="K180" s="14" cm="1">
        <f t="array" ref="K180">INT(SUMPRODUCT(--ISNUMBER(SEARCH(economy,'Mark Kelly'!C180)))&gt;0)</f>
        <v>0</v>
      </c>
      <c r="L180" s="14" cm="1">
        <f t="array" ref="L180">INT(SUMPRODUCT(--ISNUMBER(SEARCH(healthcare,'Mark Kelly'!C180)))&gt;0)</f>
        <v>0</v>
      </c>
      <c r="M180" s="14" cm="1">
        <f t="array" ref="M180">INT(SUMPRODUCT(--ISNUMBER(SEARCH(supreme,'Mark Kelly'!C180)))&gt;0)</f>
        <v>0</v>
      </c>
      <c r="N180" s="14" cm="1">
        <f t="array" ref="N180">INT(SUMPRODUCT(--ISNUMBER(SEARCH(covid,'Mark Kelly'!C180)))&gt;0)</f>
        <v>0</v>
      </c>
      <c r="O180" s="14" cm="1">
        <f t="array" ref="O180">INT(SUMPRODUCT(--ISNUMBER(SEARCH(violent,'Mark Kelly'!C180)))&gt;0)</f>
        <v>0</v>
      </c>
      <c r="P180" s="14" cm="1">
        <f t="array" ref="P180">INT(SUMPRODUCT(--ISNUMBER(SEARCH(foreign,'Mark Kelly'!C180)))&gt;0)</f>
        <v>0</v>
      </c>
      <c r="Q180" s="14" cm="1">
        <f t="array" ref="Q180">INT(SUMPRODUCT(--ISNUMBER(SEARCH(gun,'Mark Kelly'!C180)))&gt;0)</f>
        <v>0</v>
      </c>
      <c r="R180" s="14" cm="1">
        <f t="array" ref="R180">INT(SUMPRODUCT(--ISNUMBER(SEARCH(race,'Mark Kelly'!C180)))&gt;0)</f>
        <v>0</v>
      </c>
      <c r="S180" s="14" cm="1">
        <f t="array" ref="S180">INT(SUMPRODUCT(--ISNUMBER(SEARCH(immigration,C180)))&gt;0)</f>
        <v>1</v>
      </c>
      <c r="T180" s="14" cm="1">
        <f t="array" ref="T180">INT(SUMPRODUCT(--ISNUMBER(SEARCH(econineq,C180)))&gt;0)</f>
        <v>0</v>
      </c>
      <c r="U180" s="14" cm="1">
        <f t="array" ref="U180">INT(SUMPRODUCT(--ISNUMBER(SEARCH(climate,'Mark Kelly'!C180)))&gt;0)</f>
        <v>0</v>
      </c>
      <c r="V180" s="14" cm="1">
        <f t="array" ref="V180">INT(SUMPRODUCT(--ISNUMBER(SEARCH(abortion,'Mark Kelly'!C180)))&gt;0)</f>
        <v>0</v>
      </c>
      <c r="W180" s="14" cm="1">
        <f t="array" ref="W180">INT(SUMPRODUCT(--ISNUMBER(SEARCH(trump,'Mark Kelly'!C180)))&gt;0)</f>
        <v>0</v>
      </c>
      <c r="X180" s="14" cm="1">
        <f t="array" ref="X180">INT(SUMPRODUCT(--ISNUMBER(SEARCH(voting,'Mark Kelly'!C180)))&gt;0)</f>
        <v>0</v>
      </c>
      <c r="Y180" s="14" cm="1">
        <f t="array" ref="Y180">INT(SUMPRODUCT(--ISNUMBER(SEARCH(democrattrigger,'Mark Kelly'!C180)))&gt;0)</f>
        <v>0</v>
      </c>
      <c r="Z180" s="14" cm="1">
        <f t="array" ref="Z180">INT(SUMPRODUCT(--ISNUMBER(SEARCH(bipartisan,'Mark Kelly'!C180)))&gt;0)</f>
        <v>0</v>
      </c>
      <c r="AA180" s="14">
        <f t="shared" si="2"/>
        <v>0</v>
      </c>
      <c r="AB180" s="14"/>
      <c r="AC180" s="30" t="s">
        <v>223</v>
      </c>
      <c r="AD180" s="37"/>
    </row>
    <row r="181" spans="1:30" x14ac:dyDescent="0.25">
      <c r="A181" s="36">
        <v>265</v>
      </c>
      <c r="B181" s="14" t="s">
        <v>561</v>
      </c>
      <c r="C181" s="31" t="s">
        <v>562</v>
      </c>
      <c r="D181" s="17">
        <v>44114</v>
      </c>
      <c r="E181" s="14" t="s">
        <v>30</v>
      </c>
      <c r="F181" s="14">
        <v>2222</v>
      </c>
      <c r="G181" s="14">
        <v>798</v>
      </c>
      <c r="H181" s="14">
        <v>2</v>
      </c>
      <c r="I181" s="14">
        <v>1</v>
      </c>
      <c r="J181" s="14" t="s">
        <v>204</v>
      </c>
      <c r="K181" s="14" cm="1">
        <f t="array" ref="K181">INT(SUMPRODUCT(--ISNUMBER(SEARCH(economy,'Mark Kelly'!C181)))&gt;0)</f>
        <v>0</v>
      </c>
      <c r="L181" s="14" cm="1">
        <f t="array" ref="L181">INT(SUMPRODUCT(--ISNUMBER(SEARCH(healthcare,'Mark Kelly'!C181)))&gt;0)</f>
        <v>1</v>
      </c>
      <c r="M181" s="14" cm="1">
        <f t="array" ref="M181">INT(SUMPRODUCT(--ISNUMBER(SEARCH(supreme,'Mark Kelly'!C181)))&gt;0)</f>
        <v>0</v>
      </c>
      <c r="N181" s="14" cm="1">
        <f t="array" ref="N181">INT(SUMPRODUCT(--ISNUMBER(SEARCH(covid,'Mark Kelly'!C181)))&gt;0)</f>
        <v>1</v>
      </c>
      <c r="O181" s="14" cm="1">
        <f t="array" ref="O181">INT(SUMPRODUCT(--ISNUMBER(SEARCH(violent,'Mark Kelly'!C181)))&gt;0)</f>
        <v>0</v>
      </c>
      <c r="P181" s="14" cm="1">
        <f t="array" ref="P181">INT(SUMPRODUCT(--ISNUMBER(SEARCH(foreign,'Mark Kelly'!C181)))&gt;0)</f>
        <v>0</v>
      </c>
      <c r="Q181" s="14" cm="1">
        <f t="array" ref="Q181">INT(SUMPRODUCT(--ISNUMBER(SEARCH(gun,'Mark Kelly'!C181)))&gt;0)</f>
        <v>0</v>
      </c>
      <c r="R181" s="14" cm="1">
        <f t="array" ref="R181">INT(SUMPRODUCT(--ISNUMBER(SEARCH(race,'Mark Kelly'!C181)))&gt;0)</f>
        <v>0</v>
      </c>
      <c r="S181" s="14" cm="1">
        <f t="array" ref="S181">INT(SUMPRODUCT(--ISNUMBER(SEARCH(immigration,C181)))&gt;0)</f>
        <v>0</v>
      </c>
      <c r="T181" s="14" cm="1">
        <f t="array" ref="T181">INT(SUMPRODUCT(--ISNUMBER(SEARCH(econineq,C181)))&gt;0)</f>
        <v>0</v>
      </c>
      <c r="U181" s="14" cm="1">
        <f t="array" ref="U181">INT(SUMPRODUCT(--ISNUMBER(SEARCH(climate,'Mark Kelly'!C181)))&gt;0)</f>
        <v>0</v>
      </c>
      <c r="V181" s="14" cm="1">
        <f t="array" ref="V181">INT(SUMPRODUCT(--ISNUMBER(SEARCH(abortion,'Mark Kelly'!C181)))&gt;0)</f>
        <v>0</v>
      </c>
      <c r="W181" s="14" cm="1">
        <f t="array" ref="W181">INT(SUMPRODUCT(--ISNUMBER(SEARCH(trump,'Mark Kelly'!C181)))&gt;0)</f>
        <v>0</v>
      </c>
      <c r="X181" s="14" cm="1">
        <f t="array" ref="X181">INT(SUMPRODUCT(--ISNUMBER(SEARCH(voting,'Mark Kelly'!C181)))&gt;0)</f>
        <v>0</v>
      </c>
      <c r="Y181" s="14" cm="1">
        <f t="array" ref="Y181">INT(SUMPRODUCT(--ISNUMBER(SEARCH(democrattrigger,'Mark Kelly'!C181)))&gt;0)</f>
        <v>0</v>
      </c>
      <c r="Z181" s="14" cm="1">
        <f t="array" ref="Z181">INT(SUMPRODUCT(--ISNUMBER(SEARCH(bipartisan,'Mark Kelly'!C181)))&gt;0)</f>
        <v>0</v>
      </c>
      <c r="AA181" s="14">
        <f t="shared" si="2"/>
        <v>0</v>
      </c>
      <c r="AB181" s="14"/>
      <c r="AC181" s="30">
        <v>0</v>
      </c>
      <c r="AD181" s="37">
        <v>1</v>
      </c>
    </row>
    <row r="182" spans="1:30" x14ac:dyDescent="0.25">
      <c r="A182" s="36">
        <v>266</v>
      </c>
      <c r="B182" s="14" t="s">
        <v>563</v>
      </c>
      <c r="C182" s="31" t="s">
        <v>564</v>
      </c>
      <c r="D182" s="17">
        <v>44113</v>
      </c>
      <c r="E182" s="14" t="s">
        <v>30</v>
      </c>
      <c r="F182" s="14">
        <v>290</v>
      </c>
      <c r="G182" s="14">
        <v>124</v>
      </c>
      <c r="H182" s="14">
        <v>2</v>
      </c>
      <c r="I182" s="14">
        <v>1</v>
      </c>
      <c r="J182" s="14" t="s">
        <v>204</v>
      </c>
      <c r="K182" s="14" cm="1">
        <f t="array" ref="K182">INT(SUMPRODUCT(--ISNUMBER(SEARCH(economy,'Mark Kelly'!C182)))&gt;0)</f>
        <v>0</v>
      </c>
      <c r="L182" s="14" cm="1">
        <f t="array" ref="L182">INT(SUMPRODUCT(--ISNUMBER(SEARCH(healthcare,'Mark Kelly'!C182)))&gt;0)</f>
        <v>0</v>
      </c>
      <c r="M182" s="14" cm="1">
        <f t="array" ref="M182">INT(SUMPRODUCT(--ISNUMBER(SEARCH(supreme,'Mark Kelly'!C182)))&gt;0)</f>
        <v>0</v>
      </c>
      <c r="N182" s="14" cm="1">
        <f t="array" ref="N182">INT(SUMPRODUCT(--ISNUMBER(SEARCH(covid,'Mark Kelly'!C182)))&gt;0)</f>
        <v>0</v>
      </c>
      <c r="O182" s="14" cm="1">
        <f t="array" ref="O182">INT(SUMPRODUCT(--ISNUMBER(SEARCH(violent,'Mark Kelly'!C182)))&gt;0)</f>
        <v>0</v>
      </c>
      <c r="P182" s="14" cm="1">
        <f t="array" ref="P182">INT(SUMPRODUCT(--ISNUMBER(SEARCH(foreign,'Mark Kelly'!C182)))&gt;0)</f>
        <v>0</v>
      </c>
      <c r="Q182" s="14" cm="1">
        <f t="array" ref="Q182">INT(SUMPRODUCT(--ISNUMBER(SEARCH(gun,'Mark Kelly'!C182)))&gt;0)</f>
        <v>0</v>
      </c>
      <c r="R182" s="14" cm="1">
        <f t="array" ref="R182">INT(SUMPRODUCT(--ISNUMBER(SEARCH(race,'Mark Kelly'!C182)))&gt;0)</f>
        <v>0</v>
      </c>
      <c r="S182" s="14" cm="1">
        <f t="array" ref="S182">INT(SUMPRODUCT(--ISNUMBER(SEARCH(immigration,C182)))&gt;0)</f>
        <v>0</v>
      </c>
      <c r="T182" s="14" cm="1">
        <f t="array" ref="T182">INT(SUMPRODUCT(--ISNUMBER(SEARCH(econineq,C182)))&gt;0)</f>
        <v>0</v>
      </c>
      <c r="U182" s="14" cm="1">
        <f t="array" ref="U182">INT(SUMPRODUCT(--ISNUMBER(SEARCH(climate,'Mark Kelly'!C182)))&gt;0)</f>
        <v>0</v>
      </c>
      <c r="V182" s="14" cm="1">
        <f t="array" ref="V182">INT(SUMPRODUCT(--ISNUMBER(SEARCH(abortion,'Mark Kelly'!C182)))&gt;0)</f>
        <v>0</v>
      </c>
      <c r="W182" s="14" cm="1">
        <f t="array" ref="W182">INT(SUMPRODUCT(--ISNUMBER(SEARCH(trump,'Mark Kelly'!C182)))&gt;0)</f>
        <v>0</v>
      </c>
      <c r="X182" s="14" cm="1">
        <f t="array" ref="X182">INT(SUMPRODUCT(--ISNUMBER(SEARCH(voting,'Mark Kelly'!C182)))&gt;0)</f>
        <v>1</v>
      </c>
      <c r="Y182" s="14" cm="1">
        <f t="array" ref="Y182">INT(SUMPRODUCT(--ISNUMBER(SEARCH(democrattrigger,'Mark Kelly'!C182)))&gt;0)</f>
        <v>0</v>
      </c>
      <c r="Z182" s="14" cm="1">
        <f t="array" ref="Z182">INT(SUMPRODUCT(--ISNUMBER(SEARCH(bipartisan,'Mark Kelly'!C182)))&gt;0)</f>
        <v>0</v>
      </c>
      <c r="AA182" s="14">
        <f t="shared" si="2"/>
        <v>0</v>
      </c>
      <c r="AB182" s="14"/>
      <c r="AC182" s="30">
        <v>1</v>
      </c>
      <c r="AD182" s="37">
        <v>0</v>
      </c>
    </row>
    <row r="183" spans="1:30" x14ac:dyDescent="0.25">
      <c r="A183" s="36">
        <v>267</v>
      </c>
      <c r="B183" s="14" t="s">
        <v>565</v>
      </c>
      <c r="C183" s="31" t="s">
        <v>566</v>
      </c>
      <c r="D183" s="17">
        <v>44113</v>
      </c>
      <c r="E183" s="14" t="s">
        <v>30</v>
      </c>
      <c r="F183" s="14">
        <v>799</v>
      </c>
      <c r="G183" s="14">
        <v>304</v>
      </c>
      <c r="H183" s="14">
        <v>2</v>
      </c>
      <c r="I183" s="14">
        <v>1</v>
      </c>
      <c r="J183" s="14" t="s">
        <v>204</v>
      </c>
      <c r="K183" s="14" cm="1">
        <f t="array" ref="K183">INT(SUMPRODUCT(--ISNUMBER(SEARCH(economy,'Mark Kelly'!C183)))&gt;0)</f>
        <v>0</v>
      </c>
      <c r="L183" s="14" cm="1">
        <f t="array" ref="L183">INT(SUMPRODUCT(--ISNUMBER(SEARCH(healthcare,'Mark Kelly'!C183)))&gt;0)</f>
        <v>0</v>
      </c>
      <c r="M183" s="14" cm="1">
        <f t="array" ref="M183">INT(SUMPRODUCT(--ISNUMBER(SEARCH(supreme,'Mark Kelly'!C183)))&gt;0)</f>
        <v>0</v>
      </c>
      <c r="N183" s="14" cm="1">
        <f t="array" ref="N183">INT(SUMPRODUCT(--ISNUMBER(SEARCH(covid,'Mark Kelly'!C183)))&gt;0)</f>
        <v>0</v>
      </c>
      <c r="O183" s="14" cm="1">
        <f t="array" ref="O183">INT(SUMPRODUCT(--ISNUMBER(SEARCH(violent,'Mark Kelly'!C183)))&gt;0)</f>
        <v>0</v>
      </c>
      <c r="P183" s="14" cm="1">
        <f t="array" ref="P183">INT(SUMPRODUCT(--ISNUMBER(SEARCH(foreign,'Mark Kelly'!C183)))&gt;0)</f>
        <v>0</v>
      </c>
      <c r="Q183" s="14" cm="1">
        <f t="array" ref="Q183">INT(SUMPRODUCT(--ISNUMBER(SEARCH(gun,'Mark Kelly'!C183)))&gt;0)</f>
        <v>0</v>
      </c>
      <c r="R183" s="14" cm="1">
        <f t="array" ref="R183">INT(SUMPRODUCT(--ISNUMBER(SEARCH(race,'Mark Kelly'!C183)))&gt;0)</f>
        <v>0</v>
      </c>
      <c r="S183" s="14" cm="1">
        <f t="array" ref="S183">INT(SUMPRODUCT(--ISNUMBER(SEARCH(immigration,C183)))&gt;0)</f>
        <v>0</v>
      </c>
      <c r="T183" s="14" cm="1">
        <f t="array" ref="T183">INT(SUMPRODUCT(--ISNUMBER(SEARCH(econineq,C183)))&gt;0)</f>
        <v>0</v>
      </c>
      <c r="U183" s="14" cm="1">
        <f t="array" ref="U183">INT(SUMPRODUCT(--ISNUMBER(SEARCH(climate,'Mark Kelly'!C183)))&gt;0)</f>
        <v>0</v>
      </c>
      <c r="V183" s="14" cm="1">
        <f t="array" ref="V183">INT(SUMPRODUCT(--ISNUMBER(SEARCH(abortion,'Mark Kelly'!C183)))&gt;0)</f>
        <v>0</v>
      </c>
      <c r="W183" s="14" cm="1">
        <f t="array" ref="W183">INT(SUMPRODUCT(--ISNUMBER(SEARCH(trump,'Mark Kelly'!C183)))&gt;0)</f>
        <v>0</v>
      </c>
      <c r="X183" s="14" cm="1">
        <f t="array" ref="X183">INT(SUMPRODUCT(--ISNUMBER(SEARCH(voting,'Mark Kelly'!C183)))&gt;0)</f>
        <v>0</v>
      </c>
      <c r="Y183" s="14" cm="1">
        <f t="array" ref="Y183">INT(SUMPRODUCT(--ISNUMBER(SEARCH(democrattrigger,'Mark Kelly'!C183)))&gt;0)</f>
        <v>0</v>
      </c>
      <c r="Z183" s="14" cm="1">
        <f t="array" ref="Z183">INT(SUMPRODUCT(--ISNUMBER(SEARCH(bipartisan,'Mark Kelly'!C183)))&gt;0)</f>
        <v>0</v>
      </c>
      <c r="AA183" s="14">
        <f t="shared" si="2"/>
        <v>1</v>
      </c>
      <c r="AB183" s="14"/>
      <c r="AC183" s="30" t="s">
        <v>223</v>
      </c>
      <c r="AD183" s="37">
        <v>0</v>
      </c>
    </row>
    <row r="184" spans="1:30" x14ac:dyDescent="0.25">
      <c r="A184" s="36">
        <v>268</v>
      </c>
      <c r="B184" s="14" t="s">
        <v>567</v>
      </c>
      <c r="C184" s="31" t="s">
        <v>568</v>
      </c>
      <c r="D184" s="17">
        <v>44113</v>
      </c>
      <c r="E184" s="14" t="s">
        <v>30</v>
      </c>
      <c r="F184" s="14">
        <v>7802</v>
      </c>
      <c r="G184" s="14">
        <v>1468</v>
      </c>
      <c r="H184" s="14">
        <v>2</v>
      </c>
      <c r="I184" s="14">
        <v>1</v>
      </c>
      <c r="J184" s="14" t="s">
        <v>204</v>
      </c>
      <c r="K184" s="14" cm="1">
        <f t="array" ref="K184">INT(SUMPRODUCT(--ISNUMBER(SEARCH(economy,'Mark Kelly'!C184)))&gt;0)</f>
        <v>1</v>
      </c>
      <c r="L184" s="14" cm="1">
        <f t="array" ref="L184">INT(SUMPRODUCT(--ISNUMBER(SEARCH(healthcare,'Mark Kelly'!C184)))&gt;0)</f>
        <v>0</v>
      </c>
      <c r="M184" s="14" cm="1">
        <f t="array" ref="M184">INT(SUMPRODUCT(--ISNUMBER(SEARCH(supreme,'Mark Kelly'!C184)))&gt;0)</f>
        <v>0</v>
      </c>
      <c r="N184" s="14" cm="1">
        <f t="array" ref="N184">INT(SUMPRODUCT(--ISNUMBER(SEARCH(covid,'Mark Kelly'!C184)))&gt;0)</f>
        <v>0</v>
      </c>
      <c r="O184" s="14" cm="1">
        <f t="array" ref="O184">INT(SUMPRODUCT(--ISNUMBER(SEARCH(violent,'Mark Kelly'!C184)))&gt;0)</f>
        <v>0</v>
      </c>
      <c r="P184" s="14" cm="1">
        <f t="array" ref="P184">INT(SUMPRODUCT(--ISNUMBER(SEARCH(foreign,'Mark Kelly'!C184)))&gt;0)</f>
        <v>0</v>
      </c>
      <c r="Q184" s="14" cm="1">
        <f t="array" ref="Q184">INT(SUMPRODUCT(--ISNUMBER(SEARCH(gun,'Mark Kelly'!C184)))&gt;0)</f>
        <v>0</v>
      </c>
      <c r="R184" s="14" cm="1">
        <f t="array" ref="R184">INT(SUMPRODUCT(--ISNUMBER(SEARCH(race,'Mark Kelly'!C184)))&gt;0)</f>
        <v>0</v>
      </c>
      <c r="S184" s="14" cm="1">
        <f t="array" ref="S184">INT(SUMPRODUCT(--ISNUMBER(SEARCH(immigration,C184)))&gt;0)</f>
        <v>0</v>
      </c>
      <c r="T184" s="14" cm="1">
        <f t="array" ref="T184">INT(SUMPRODUCT(--ISNUMBER(SEARCH(econineq,C184)))&gt;0)</f>
        <v>0</v>
      </c>
      <c r="U184" s="14" cm="1">
        <f t="array" ref="U184">INT(SUMPRODUCT(--ISNUMBER(SEARCH(climate,'Mark Kelly'!C184)))&gt;0)</f>
        <v>0</v>
      </c>
      <c r="V184" s="14" cm="1">
        <f t="array" ref="V184">INT(SUMPRODUCT(--ISNUMBER(SEARCH(abortion,'Mark Kelly'!C184)))&gt;0)</f>
        <v>0</v>
      </c>
      <c r="W184" s="14" cm="1">
        <f t="array" ref="W184">INT(SUMPRODUCT(--ISNUMBER(SEARCH(trump,'Mark Kelly'!C184)))&gt;0)</f>
        <v>0</v>
      </c>
      <c r="X184" s="14" cm="1">
        <f t="array" ref="X184">INT(SUMPRODUCT(--ISNUMBER(SEARCH(voting,'Mark Kelly'!C184)))&gt;0)</f>
        <v>0</v>
      </c>
      <c r="Y184" s="14" cm="1">
        <f t="array" ref="Y184">INT(SUMPRODUCT(--ISNUMBER(SEARCH(democrattrigger,'Mark Kelly'!C184)))&gt;0)</f>
        <v>0</v>
      </c>
      <c r="Z184" s="14" cm="1">
        <f t="array" ref="Z184">INT(SUMPRODUCT(--ISNUMBER(SEARCH(bipartisan,'Mark Kelly'!C184)))&gt;0)</f>
        <v>0</v>
      </c>
      <c r="AA184" s="14">
        <f t="shared" si="2"/>
        <v>0</v>
      </c>
      <c r="AB184" s="14"/>
      <c r="AC184" s="30">
        <v>1</v>
      </c>
      <c r="AD184" s="37">
        <v>0</v>
      </c>
    </row>
    <row r="185" spans="1:30" x14ac:dyDescent="0.25">
      <c r="A185" s="36">
        <v>269</v>
      </c>
      <c r="B185" s="14" t="s">
        <v>569</v>
      </c>
      <c r="C185" s="31" t="s">
        <v>570</v>
      </c>
      <c r="D185" s="17">
        <v>44113</v>
      </c>
      <c r="E185" s="14" t="s">
        <v>30</v>
      </c>
      <c r="F185" s="14">
        <v>1583</v>
      </c>
      <c r="G185" s="14">
        <v>386</v>
      </c>
      <c r="H185" s="14">
        <v>2</v>
      </c>
      <c r="I185" s="14">
        <v>1</v>
      </c>
      <c r="J185" s="14" t="s">
        <v>204</v>
      </c>
      <c r="K185" s="14" cm="1">
        <f t="array" ref="K185">INT(SUMPRODUCT(--ISNUMBER(SEARCH(economy,'Mark Kelly'!C185)))&gt;0)</f>
        <v>0</v>
      </c>
      <c r="L185" s="14" cm="1">
        <f t="array" ref="L185">INT(SUMPRODUCT(--ISNUMBER(SEARCH(healthcare,'Mark Kelly'!C185)))&gt;0)</f>
        <v>0</v>
      </c>
      <c r="M185" s="14" cm="1">
        <f t="array" ref="M185">INT(SUMPRODUCT(--ISNUMBER(SEARCH(supreme,'Mark Kelly'!C185)))&gt;0)</f>
        <v>0</v>
      </c>
      <c r="N185" s="14" cm="1">
        <f t="array" ref="N185">INT(SUMPRODUCT(--ISNUMBER(SEARCH(covid,'Mark Kelly'!C185)))&gt;0)</f>
        <v>0</v>
      </c>
      <c r="O185" s="14" cm="1">
        <f t="array" ref="O185">INT(SUMPRODUCT(--ISNUMBER(SEARCH(violent,'Mark Kelly'!C185)))&gt;0)</f>
        <v>0</v>
      </c>
      <c r="P185" s="14" cm="1">
        <f t="array" ref="P185">INT(SUMPRODUCT(--ISNUMBER(SEARCH(foreign,'Mark Kelly'!C185)))&gt;0)</f>
        <v>0</v>
      </c>
      <c r="Q185" s="14" cm="1">
        <f t="array" ref="Q185">INT(SUMPRODUCT(--ISNUMBER(SEARCH(gun,'Mark Kelly'!C185)))&gt;0)</f>
        <v>0</v>
      </c>
      <c r="R185" s="14" cm="1">
        <f t="array" ref="R185">INT(SUMPRODUCT(--ISNUMBER(SEARCH(race,'Mark Kelly'!C185)))&gt;0)</f>
        <v>0</v>
      </c>
      <c r="S185" s="14" cm="1">
        <f t="array" ref="S185">INT(SUMPRODUCT(--ISNUMBER(SEARCH(immigration,C185)))&gt;0)</f>
        <v>0</v>
      </c>
      <c r="T185" s="14" cm="1">
        <f t="array" ref="T185">INT(SUMPRODUCT(--ISNUMBER(SEARCH(econineq,C185)))&gt;0)</f>
        <v>0</v>
      </c>
      <c r="U185" s="14" cm="1">
        <f t="array" ref="U185">INT(SUMPRODUCT(--ISNUMBER(SEARCH(climate,'Mark Kelly'!C185)))&gt;0)</f>
        <v>1</v>
      </c>
      <c r="V185" s="14" cm="1">
        <f t="array" ref="V185">INT(SUMPRODUCT(--ISNUMBER(SEARCH(abortion,'Mark Kelly'!C185)))&gt;0)</f>
        <v>0</v>
      </c>
      <c r="W185" s="14" cm="1">
        <f t="array" ref="W185">INT(SUMPRODUCT(--ISNUMBER(SEARCH(trump,'Mark Kelly'!C185)))&gt;0)</f>
        <v>0</v>
      </c>
      <c r="X185" s="14" cm="1">
        <f t="array" ref="X185">INT(SUMPRODUCT(--ISNUMBER(SEARCH(voting,'Mark Kelly'!C185)))&gt;0)</f>
        <v>0</v>
      </c>
      <c r="Y185" s="14" cm="1">
        <f t="array" ref="Y185">INT(SUMPRODUCT(--ISNUMBER(SEARCH(democrattrigger,'Mark Kelly'!C185)))&gt;0)</f>
        <v>0</v>
      </c>
      <c r="Z185" s="14" cm="1">
        <f t="array" ref="Z185">INT(SUMPRODUCT(--ISNUMBER(SEARCH(bipartisan,'Mark Kelly'!C185)))&gt;0)</f>
        <v>0</v>
      </c>
      <c r="AA185" s="14">
        <f t="shared" si="2"/>
        <v>0</v>
      </c>
      <c r="AB185" s="14"/>
      <c r="AC185" s="30" t="s">
        <v>223</v>
      </c>
      <c r="AD185" s="37"/>
    </row>
    <row r="186" spans="1:30" x14ac:dyDescent="0.25">
      <c r="A186" s="36">
        <v>270</v>
      </c>
      <c r="B186" s="14" t="s">
        <v>571</v>
      </c>
      <c r="C186" s="31" t="s">
        <v>572</v>
      </c>
      <c r="D186" s="17">
        <v>44112</v>
      </c>
      <c r="E186" s="14" t="s">
        <v>30</v>
      </c>
      <c r="F186" s="14">
        <v>562</v>
      </c>
      <c r="G186" s="14">
        <v>192</v>
      </c>
      <c r="H186" s="14">
        <v>2</v>
      </c>
      <c r="I186" s="14">
        <v>1</v>
      </c>
      <c r="J186" s="14" t="s">
        <v>204</v>
      </c>
      <c r="K186" s="14" cm="1">
        <f t="array" ref="K186">INT(SUMPRODUCT(--ISNUMBER(SEARCH(economy,'Mark Kelly'!C186)))&gt;0)</f>
        <v>0</v>
      </c>
      <c r="L186" s="14" cm="1">
        <f t="array" ref="L186">INT(SUMPRODUCT(--ISNUMBER(SEARCH(healthcare,'Mark Kelly'!C186)))&gt;0)</f>
        <v>0</v>
      </c>
      <c r="M186" s="14" cm="1">
        <f t="array" ref="M186">INT(SUMPRODUCT(--ISNUMBER(SEARCH(supreme,'Mark Kelly'!C186)))&gt;0)</f>
        <v>0</v>
      </c>
      <c r="N186" s="14" cm="1">
        <f t="array" ref="N186">INT(SUMPRODUCT(--ISNUMBER(SEARCH(covid,'Mark Kelly'!C186)))&gt;0)</f>
        <v>1</v>
      </c>
      <c r="O186" s="14" cm="1">
        <f t="array" ref="O186">INT(SUMPRODUCT(--ISNUMBER(SEARCH(violent,'Mark Kelly'!C186)))&gt;0)</f>
        <v>0</v>
      </c>
      <c r="P186" s="14" cm="1">
        <f t="array" ref="P186">INT(SUMPRODUCT(--ISNUMBER(SEARCH(foreign,'Mark Kelly'!C186)))&gt;0)</f>
        <v>0</v>
      </c>
      <c r="Q186" s="14" cm="1">
        <f t="array" ref="Q186">INT(SUMPRODUCT(--ISNUMBER(SEARCH(gun,'Mark Kelly'!C186)))&gt;0)</f>
        <v>0</v>
      </c>
      <c r="R186" s="14" cm="1">
        <f t="array" ref="R186">INT(SUMPRODUCT(--ISNUMBER(SEARCH(race,'Mark Kelly'!C186)))&gt;0)</f>
        <v>0</v>
      </c>
      <c r="S186" s="14" cm="1">
        <f t="array" ref="S186">INT(SUMPRODUCT(--ISNUMBER(SEARCH(immigration,C186)))&gt;0)</f>
        <v>0</v>
      </c>
      <c r="T186" s="14" cm="1">
        <f t="array" ref="T186">INT(SUMPRODUCT(--ISNUMBER(SEARCH(econineq,C186)))&gt;0)</f>
        <v>0</v>
      </c>
      <c r="U186" s="14" cm="1">
        <f t="array" ref="U186">INT(SUMPRODUCT(--ISNUMBER(SEARCH(climate,'Mark Kelly'!C186)))&gt;0)</f>
        <v>0</v>
      </c>
      <c r="V186" s="14" cm="1">
        <f t="array" ref="V186">INT(SUMPRODUCT(--ISNUMBER(SEARCH(abortion,'Mark Kelly'!C186)))&gt;0)</f>
        <v>0</v>
      </c>
      <c r="W186" s="14" cm="1">
        <f t="array" ref="W186">INT(SUMPRODUCT(--ISNUMBER(SEARCH(trump,'Mark Kelly'!C186)))&gt;0)</f>
        <v>0</v>
      </c>
      <c r="X186" s="14" cm="1">
        <f t="array" ref="X186">INT(SUMPRODUCT(--ISNUMBER(SEARCH(voting,'Mark Kelly'!C186)))&gt;0)</f>
        <v>0</v>
      </c>
      <c r="Y186" s="14" cm="1">
        <f t="array" ref="Y186">INT(SUMPRODUCT(--ISNUMBER(SEARCH(democrattrigger,'Mark Kelly'!C186)))&gt;0)</f>
        <v>0</v>
      </c>
      <c r="Z186" s="14" cm="1">
        <f t="array" ref="Z186">INT(SUMPRODUCT(--ISNUMBER(SEARCH(bipartisan,'Mark Kelly'!C186)))&gt;0)</f>
        <v>0</v>
      </c>
      <c r="AA186" s="14">
        <f t="shared" si="2"/>
        <v>0</v>
      </c>
      <c r="AB186" s="14"/>
      <c r="AC186" s="30" t="s">
        <v>223</v>
      </c>
      <c r="AD186" s="37"/>
    </row>
    <row r="187" spans="1:30" x14ac:dyDescent="0.25">
      <c r="A187" s="36">
        <v>271</v>
      </c>
      <c r="B187" s="14" t="s">
        <v>573</v>
      </c>
      <c r="C187" s="31" t="s">
        <v>574</v>
      </c>
      <c r="D187" s="17">
        <v>44112</v>
      </c>
      <c r="E187" s="14" t="s">
        <v>30</v>
      </c>
      <c r="F187" s="14">
        <v>3786</v>
      </c>
      <c r="G187" s="14">
        <v>616</v>
      </c>
      <c r="H187" s="14">
        <v>2</v>
      </c>
      <c r="I187" s="14">
        <v>1</v>
      </c>
      <c r="J187" s="14" t="s">
        <v>204</v>
      </c>
      <c r="K187" s="14" cm="1">
        <f t="array" ref="K187">INT(SUMPRODUCT(--ISNUMBER(SEARCH(economy,'Mark Kelly'!C187)))&gt;0)</f>
        <v>0</v>
      </c>
      <c r="L187" s="14" cm="1">
        <f t="array" ref="L187">INT(SUMPRODUCT(--ISNUMBER(SEARCH(healthcare,'Mark Kelly'!C187)))&gt;0)</f>
        <v>0</v>
      </c>
      <c r="M187" s="14" cm="1">
        <f t="array" ref="M187">INT(SUMPRODUCT(--ISNUMBER(SEARCH(supreme,'Mark Kelly'!C187)))&gt;0)</f>
        <v>0</v>
      </c>
      <c r="N187" s="14" cm="1">
        <f t="array" ref="N187">INT(SUMPRODUCT(--ISNUMBER(SEARCH(covid,'Mark Kelly'!C187)))&gt;0)</f>
        <v>0</v>
      </c>
      <c r="O187" s="14" cm="1">
        <f t="array" ref="O187">INT(SUMPRODUCT(--ISNUMBER(SEARCH(violent,'Mark Kelly'!C187)))&gt;0)</f>
        <v>0</v>
      </c>
      <c r="P187" s="14" cm="1">
        <f t="array" ref="P187">INT(SUMPRODUCT(--ISNUMBER(SEARCH(foreign,'Mark Kelly'!C187)))&gt;0)</f>
        <v>0</v>
      </c>
      <c r="Q187" s="14" cm="1">
        <f t="array" ref="Q187">INT(SUMPRODUCT(--ISNUMBER(SEARCH(gun,'Mark Kelly'!C187)))&gt;0)</f>
        <v>0</v>
      </c>
      <c r="R187" s="14" cm="1">
        <f t="array" ref="R187">INT(SUMPRODUCT(--ISNUMBER(SEARCH(race,'Mark Kelly'!C187)))&gt;0)</f>
        <v>0</v>
      </c>
      <c r="S187" s="14" cm="1">
        <f t="array" ref="S187">INT(SUMPRODUCT(--ISNUMBER(SEARCH(immigration,C187)))&gt;0)</f>
        <v>0</v>
      </c>
      <c r="T187" s="14" cm="1">
        <f t="array" ref="T187">INT(SUMPRODUCT(--ISNUMBER(SEARCH(econineq,C187)))&gt;0)</f>
        <v>0</v>
      </c>
      <c r="U187" s="14" cm="1">
        <f t="array" ref="U187">INT(SUMPRODUCT(--ISNUMBER(SEARCH(climate,'Mark Kelly'!C187)))&gt;0)</f>
        <v>0</v>
      </c>
      <c r="V187" s="14" cm="1">
        <f t="array" ref="V187">INT(SUMPRODUCT(--ISNUMBER(SEARCH(abortion,'Mark Kelly'!C187)))&gt;0)</f>
        <v>0</v>
      </c>
      <c r="W187" s="14" cm="1">
        <f t="array" ref="W187">INT(SUMPRODUCT(--ISNUMBER(SEARCH(trump,'Mark Kelly'!C187)))&gt;0)</f>
        <v>0</v>
      </c>
      <c r="X187" s="14" cm="1">
        <f t="array" ref="X187">INT(SUMPRODUCT(--ISNUMBER(SEARCH(voting,'Mark Kelly'!C187)))&gt;0)</f>
        <v>0</v>
      </c>
      <c r="Y187" s="14" cm="1">
        <f t="array" ref="Y187">INT(SUMPRODUCT(--ISNUMBER(SEARCH(democrattrigger,'Mark Kelly'!C187)))&gt;0)</f>
        <v>0</v>
      </c>
      <c r="Z187" s="14" cm="1">
        <f t="array" ref="Z187">INT(SUMPRODUCT(--ISNUMBER(SEARCH(bipartisan,'Mark Kelly'!C187)))&gt;0)</f>
        <v>0</v>
      </c>
      <c r="AA187" s="14">
        <f t="shared" si="2"/>
        <v>1</v>
      </c>
      <c r="AB187" s="14"/>
      <c r="AC187" s="30">
        <v>1</v>
      </c>
      <c r="AD187" s="37">
        <v>0</v>
      </c>
    </row>
    <row r="188" spans="1:30" x14ac:dyDescent="0.25">
      <c r="A188" s="36">
        <v>272</v>
      </c>
      <c r="B188" s="14" t="s">
        <v>575</v>
      </c>
      <c r="C188" s="31" t="s">
        <v>576</v>
      </c>
      <c r="D188" s="17">
        <v>44112</v>
      </c>
      <c r="E188" s="14" t="s">
        <v>30</v>
      </c>
      <c r="F188" s="14">
        <v>3393</v>
      </c>
      <c r="G188" s="14">
        <v>623</v>
      </c>
      <c r="H188" s="14">
        <v>2</v>
      </c>
      <c r="I188" s="14">
        <v>1</v>
      </c>
      <c r="J188" s="14" t="s">
        <v>204</v>
      </c>
      <c r="K188" s="14" cm="1">
        <f t="array" ref="K188">INT(SUMPRODUCT(--ISNUMBER(SEARCH(economy,'Mark Kelly'!C188)))&gt;0)</f>
        <v>0</v>
      </c>
      <c r="L188" s="14" cm="1">
        <f t="array" ref="L188">INT(SUMPRODUCT(--ISNUMBER(SEARCH(healthcare,'Mark Kelly'!C188)))&gt;0)</f>
        <v>0</v>
      </c>
      <c r="M188" s="14" cm="1">
        <f t="array" ref="M188">INT(SUMPRODUCT(--ISNUMBER(SEARCH(supreme,'Mark Kelly'!C188)))&gt;0)</f>
        <v>0</v>
      </c>
      <c r="N188" s="14" cm="1">
        <f t="array" ref="N188">INT(SUMPRODUCT(--ISNUMBER(SEARCH(covid,'Mark Kelly'!C188)))&gt;0)</f>
        <v>0</v>
      </c>
      <c r="O188" s="14" cm="1">
        <f t="array" ref="O188">INT(SUMPRODUCT(--ISNUMBER(SEARCH(violent,'Mark Kelly'!C188)))&gt;0)</f>
        <v>0</v>
      </c>
      <c r="P188" s="14" cm="1">
        <f t="array" ref="P188">INT(SUMPRODUCT(--ISNUMBER(SEARCH(foreign,'Mark Kelly'!C188)))&gt;0)</f>
        <v>0</v>
      </c>
      <c r="Q188" s="14" cm="1">
        <f t="array" ref="Q188">INT(SUMPRODUCT(--ISNUMBER(SEARCH(gun,'Mark Kelly'!C188)))&gt;0)</f>
        <v>0</v>
      </c>
      <c r="R188" s="14" cm="1">
        <f t="array" ref="R188">INT(SUMPRODUCT(--ISNUMBER(SEARCH(race,'Mark Kelly'!C188)))&gt;0)</f>
        <v>0</v>
      </c>
      <c r="S188" s="14" cm="1">
        <f t="array" ref="S188">INT(SUMPRODUCT(--ISNUMBER(SEARCH(immigration,C188)))&gt;0)</f>
        <v>0</v>
      </c>
      <c r="T188" s="14" cm="1">
        <f t="array" ref="T188">INT(SUMPRODUCT(--ISNUMBER(SEARCH(econineq,C188)))&gt;0)</f>
        <v>0</v>
      </c>
      <c r="U188" s="14" cm="1">
        <f t="array" ref="U188">INT(SUMPRODUCT(--ISNUMBER(SEARCH(climate,'Mark Kelly'!C188)))&gt;0)</f>
        <v>0</v>
      </c>
      <c r="V188" s="14" cm="1">
        <f t="array" ref="V188">INT(SUMPRODUCT(--ISNUMBER(SEARCH(abortion,'Mark Kelly'!C188)))&gt;0)</f>
        <v>0</v>
      </c>
      <c r="W188" s="14" cm="1">
        <f t="array" ref="W188">INT(SUMPRODUCT(--ISNUMBER(SEARCH(trump,'Mark Kelly'!C188)))&gt;0)</f>
        <v>0</v>
      </c>
      <c r="X188" s="14" cm="1">
        <f t="array" ref="X188">INT(SUMPRODUCT(--ISNUMBER(SEARCH(voting,'Mark Kelly'!C188)))&gt;0)</f>
        <v>0</v>
      </c>
      <c r="Y188" s="14" cm="1">
        <f t="array" ref="Y188">INT(SUMPRODUCT(--ISNUMBER(SEARCH(democrattrigger,'Mark Kelly'!C188)))&gt;0)</f>
        <v>0</v>
      </c>
      <c r="Z188" s="14" cm="1">
        <f t="array" ref="Z188">INT(SUMPRODUCT(--ISNUMBER(SEARCH(bipartisan,'Mark Kelly'!C188)))&gt;0)</f>
        <v>0</v>
      </c>
      <c r="AA188" s="14">
        <f t="shared" si="2"/>
        <v>1</v>
      </c>
      <c r="AB188" s="14"/>
      <c r="AC188" s="30" t="s">
        <v>223</v>
      </c>
      <c r="AD188" s="37"/>
    </row>
    <row r="189" spans="1:30" x14ac:dyDescent="0.25">
      <c r="A189" s="36">
        <v>273</v>
      </c>
      <c r="B189" s="14" t="s">
        <v>577</v>
      </c>
      <c r="C189" s="31" t="s">
        <v>578</v>
      </c>
      <c r="D189" s="17">
        <v>44111</v>
      </c>
      <c r="E189" s="14" t="s">
        <v>30</v>
      </c>
      <c r="F189" s="14">
        <v>1158</v>
      </c>
      <c r="G189" s="14">
        <v>329</v>
      </c>
      <c r="H189" s="14">
        <v>2</v>
      </c>
      <c r="I189" s="14">
        <v>1</v>
      </c>
      <c r="J189" s="14" t="s">
        <v>204</v>
      </c>
      <c r="K189" s="14" cm="1">
        <f t="array" ref="K189">INT(SUMPRODUCT(--ISNUMBER(SEARCH(economy,'Mark Kelly'!C189)))&gt;0)</f>
        <v>0</v>
      </c>
      <c r="L189" s="14" cm="1">
        <f t="array" ref="L189">INT(SUMPRODUCT(--ISNUMBER(SEARCH(healthcare,'Mark Kelly'!C189)))&gt;0)</f>
        <v>0</v>
      </c>
      <c r="M189" s="14" cm="1">
        <f t="array" ref="M189">INT(SUMPRODUCT(--ISNUMBER(SEARCH(supreme,'Mark Kelly'!C189)))&gt;0)</f>
        <v>0</v>
      </c>
      <c r="N189" s="14" cm="1">
        <f t="array" ref="N189">INT(SUMPRODUCT(--ISNUMBER(SEARCH(covid,'Mark Kelly'!C189)))&gt;0)</f>
        <v>0</v>
      </c>
      <c r="O189" s="14" cm="1">
        <f t="array" ref="O189">INT(SUMPRODUCT(--ISNUMBER(SEARCH(violent,'Mark Kelly'!C189)))&gt;0)</f>
        <v>0</v>
      </c>
      <c r="P189" s="14" cm="1">
        <f t="array" ref="P189">INT(SUMPRODUCT(--ISNUMBER(SEARCH(foreign,'Mark Kelly'!C189)))&gt;0)</f>
        <v>0</v>
      </c>
      <c r="Q189" s="14" cm="1">
        <f t="array" ref="Q189">INT(SUMPRODUCT(--ISNUMBER(SEARCH(gun,'Mark Kelly'!C189)))&gt;0)</f>
        <v>0</v>
      </c>
      <c r="R189" s="14" cm="1">
        <f t="array" ref="R189">INT(SUMPRODUCT(--ISNUMBER(SEARCH(race,'Mark Kelly'!C189)))&gt;0)</f>
        <v>0</v>
      </c>
      <c r="S189" s="14" cm="1">
        <f t="array" ref="S189">INT(SUMPRODUCT(--ISNUMBER(SEARCH(immigration,C189)))&gt;0)</f>
        <v>0</v>
      </c>
      <c r="T189" s="14" cm="1">
        <f t="array" ref="T189">INT(SUMPRODUCT(--ISNUMBER(SEARCH(econineq,C189)))&gt;0)</f>
        <v>0</v>
      </c>
      <c r="U189" s="14" cm="1">
        <f t="array" ref="U189">INT(SUMPRODUCT(--ISNUMBER(SEARCH(climate,'Mark Kelly'!C189)))&gt;0)</f>
        <v>0</v>
      </c>
      <c r="V189" s="14" cm="1">
        <f t="array" ref="V189">INT(SUMPRODUCT(--ISNUMBER(SEARCH(abortion,'Mark Kelly'!C189)))&gt;0)</f>
        <v>0</v>
      </c>
      <c r="W189" s="14" cm="1">
        <f t="array" ref="W189">INT(SUMPRODUCT(--ISNUMBER(SEARCH(trump,'Mark Kelly'!C189)))&gt;0)</f>
        <v>0</v>
      </c>
      <c r="X189" s="14" cm="1">
        <f t="array" ref="X189">INT(SUMPRODUCT(--ISNUMBER(SEARCH(voting,'Mark Kelly'!C189)))&gt;0)</f>
        <v>1</v>
      </c>
      <c r="Y189" s="14" cm="1">
        <f t="array" ref="Y189">INT(SUMPRODUCT(--ISNUMBER(SEARCH(democrattrigger,'Mark Kelly'!C189)))&gt;0)</f>
        <v>0</v>
      </c>
      <c r="Z189" s="14" cm="1">
        <f t="array" ref="Z189">INT(SUMPRODUCT(--ISNUMBER(SEARCH(bipartisan,'Mark Kelly'!C189)))&gt;0)</f>
        <v>0</v>
      </c>
      <c r="AA189" s="14">
        <f t="shared" si="2"/>
        <v>0</v>
      </c>
      <c r="AB189" s="14"/>
      <c r="AC189" s="30" t="s">
        <v>223</v>
      </c>
      <c r="AD189" s="37"/>
    </row>
    <row r="190" spans="1:30" x14ac:dyDescent="0.25">
      <c r="A190" s="36">
        <v>274</v>
      </c>
      <c r="B190" s="14" t="s">
        <v>579</v>
      </c>
      <c r="C190" s="31" t="s">
        <v>580</v>
      </c>
      <c r="D190" s="17">
        <v>44111</v>
      </c>
      <c r="E190" s="14" t="s">
        <v>30</v>
      </c>
      <c r="F190" s="14">
        <v>1841</v>
      </c>
      <c r="G190" s="14">
        <v>424</v>
      </c>
      <c r="H190" s="14">
        <v>2</v>
      </c>
      <c r="I190" s="14">
        <v>1</v>
      </c>
      <c r="J190" s="14" t="s">
        <v>204</v>
      </c>
      <c r="K190" s="14" cm="1">
        <f t="array" ref="K190">INT(SUMPRODUCT(--ISNUMBER(SEARCH(economy,'Mark Kelly'!C190)))&gt;0)</f>
        <v>0</v>
      </c>
      <c r="L190" s="14" cm="1">
        <f t="array" ref="L190">INT(SUMPRODUCT(--ISNUMBER(SEARCH(healthcare,'Mark Kelly'!C190)))&gt;0)</f>
        <v>0</v>
      </c>
      <c r="M190" s="14" cm="1">
        <f t="array" ref="M190">INT(SUMPRODUCT(--ISNUMBER(SEARCH(supreme,'Mark Kelly'!C190)))&gt;0)</f>
        <v>0</v>
      </c>
      <c r="N190" s="14" cm="1">
        <f t="array" ref="N190">INT(SUMPRODUCT(--ISNUMBER(SEARCH(covid,'Mark Kelly'!C190)))&gt;0)</f>
        <v>0</v>
      </c>
      <c r="O190" s="14" cm="1">
        <f t="array" ref="O190">INT(SUMPRODUCT(--ISNUMBER(SEARCH(violent,'Mark Kelly'!C190)))&gt;0)</f>
        <v>0</v>
      </c>
      <c r="P190" s="14" cm="1">
        <f t="array" ref="P190">INT(SUMPRODUCT(--ISNUMBER(SEARCH(foreign,'Mark Kelly'!C190)))&gt;0)</f>
        <v>0</v>
      </c>
      <c r="Q190" s="14" cm="1">
        <f t="array" ref="Q190">INT(SUMPRODUCT(--ISNUMBER(SEARCH(gun,'Mark Kelly'!C190)))&gt;0)</f>
        <v>0</v>
      </c>
      <c r="R190" s="14" cm="1">
        <f t="array" ref="R190">INT(SUMPRODUCT(--ISNUMBER(SEARCH(race,'Mark Kelly'!C190)))&gt;0)</f>
        <v>0</v>
      </c>
      <c r="S190" s="14" cm="1">
        <f t="array" ref="S190">INT(SUMPRODUCT(--ISNUMBER(SEARCH(immigration,C190)))&gt;0)</f>
        <v>0</v>
      </c>
      <c r="T190" s="14" cm="1">
        <f t="array" ref="T190">INT(SUMPRODUCT(--ISNUMBER(SEARCH(econineq,C190)))&gt;0)</f>
        <v>0</v>
      </c>
      <c r="U190" s="14" cm="1">
        <f t="array" ref="U190">INT(SUMPRODUCT(--ISNUMBER(SEARCH(climate,'Mark Kelly'!C190)))&gt;0)</f>
        <v>0</v>
      </c>
      <c r="V190" s="14" cm="1">
        <f t="array" ref="V190">INT(SUMPRODUCT(--ISNUMBER(SEARCH(abortion,'Mark Kelly'!C190)))&gt;0)</f>
        <v>0</v>
      </c>
      <c r="W190" s="14" cm="1">
        <f t="array" ref="W190">INT(SUMPRODUCT(--ISNUMBER(SEARCH(trump,'Mark Kelly'!C190)))&gt;0)</f>
        <v>0</v>
      </c>
      <c r="X190" s="14" cm="1">
        <f t="array" ref="X190">INT(SUMPRODUCT(--ISNUMBER(SEARCH(voting,'Mark Kelly'!C190)))&gt;0)</f>
        <v>0</v>
      </c>
      <c r="Y190" s="14" cm="1">
        <f t="array" ref="Y190">INT(SUMPRODUCT(--ISNUMBER(SEARCH(democrattrigger,'Mark Kelly'!C190)))&gt;0)</f>
        <v>0</v>
      </c>
      <c r="Z190" s="14" cm="1">
        <f t="array" ref="Z190">INT(SUMPRODUCT(--ISNUMBER(SEARCH(bipartisan,'Mark Kelly'!C190)))&gt;0)</f>
        <v>1</v>
      </c>
      <c r="AA190" s="14">
        <f t="shared" si="2"/>
        <v>0</v>
      </c>
      <c r="AB190" s="14"/>
      <c r="AC190" s="30" t="s">
        <v>223</v>
      </c>
      <c r="AD190" s="37"/>
    </row>
    <row r="191" spans="1:30" x14ac:dyDescent="0.25">
      <c r="A191" s="36">
        <v>275</v>
      </c>
      <c r="B191" s="14" t="s">
        <v>581</v>
      </c>
      <c r="C191" s="31" t="s">
        <v>582</v>
      </c>
      <c r="D191" s="17">
        <v>44111</v>
      </c>
      <c r="E191" s="14" t="s">
        <v>30</v>
      </c>
      <c r="F191" s="14">
        <v>1475</v>
      </c>
      <c r="G191" s="14">
        <v>517</v>
      </c>
      <c r="H191" s="14">
        <v>2</v>
      </c>
      <c r="I191" s="14">
        <v>1</v>
      </c>
      <c r="J191" s="14" t="s">
        <v>204</v>
      </c>
      <c r="K191" s="14" cm="1">
        <f t="array" ref="K191">INT(SUMPRODUCT(--ISNUMBER(SEARCH(economy,'Mark Kelly'!C191)))&gt;0)</f>
        <v>1</v>
      </c>
      <c r="L191" s="14" cm="1">
        <f t="array" ref="L191">INT(SUMPRODUCT(--ISNUMBER(SEARCH(healthcare,'Mark Kelly'!C191)))&gt;0)</f>
        <v>1</v>
      </c>
      <c r="M191" s="14" cm="1">
        <f t="array" ref="M191">INT(SUMPRODUCT(--ISNUMBER(SEARCH(supreme,'Mark Kelly'!C191)))&gt;0)</f>
        <v>0</v>
      </c>
      <c r="N191" s="14" cm="1">
        <f t="array" ref="N191">INT(SUMPRODUCT(--ISNUMBER(SEARCH(covid,'Mark Kelly'!C191)))&gt;0)</f>
        <v>0</v>
      </c>
      <c r="O191" s="14" cm="1">
        <f t="array" ref="O191">INT(SUMPRODUCT(--ISNUMBER(SEARCH(violent,'Mark Kelly'!C191)))&gt;0)</f>
        <v>0</v>
      </c>
      <c r="P191" s="14" cm="1">
        <f t="array" ref="P191">INT(SUMPRODUCT(--ISNUMBER(SEARCH(foreign,'Mark Kelly'!C191)))&gt;0)</f>
        <v>0</v>
      </c>
      <c r="Q191" s="14" cm="1">
        <f t="array" ref="Q191">INT(SUMPRODUCT(--ISNUMBER(SEARCH(gun,'Mark Kelly'!C191)))&gt;0)</f>
        <v>0</v>
      </c>
      <c r="R191" s="14" cm="1">
        <f t="array" ref="R191">INT(SUMPRODUCT(--ISNUMBER(SEARCH(race,'Mark Kelly'!C191)))&gt;0)</f>
        <v>0</v>
      </c>
      <c r="S191" s="14" cm="1">
        <f t="array" ref="S191">INT(SUMPRODUCT(--ISNUMBER(SEARCH(immigration,C191)))&gt;0)</f>
        <v>0</v>
      </c>
      <c r="T191" s="14" cm="1">
        <f t="array" ref="T191">INT(SUMPRODUCT(--ISNUMBER(SEARCH(econineq,C191)))&gt;0)</f>
        <v>0</v>
      </c>
      <c r="U191" s="14" cm="1">
        <f t="array" ref="U191">INT(SUMPRODUCT(--ISNUMBER(SEARCH(climate,'Mark Kelly'!C191)))&gt;0)</f>
        <v>0</v>
      </c>
      <c r="V191" s="14" cm="1">
        <f t="array" ref="V191">INT(SUMPRODUCT(--ISNUMBER(SEARCH(abortion,'Mark Kelly'!C191)))&gt;0)</f>
        <v>0</v>
      </c>
      <c r="W191" s="14" cm="1">
        <f t="array" ref="W191">INT(SUMPRODUCT(--ISNUMBER(SEARCH(trump,'Mark Kelly'!C191)))&gt;0)</f>
        <v>0</v>
      </c>
      <c r="X191" s="14" cm="1">
        <f t="array" ref="X191">INT(SUMPRODUCT(--ISNUMBER(SEARCH(voting,'Mark Kelly'!C191)))&gt;0)</f>
        <v>0</v>
      </c>
      <c r="Y191" s="14" cm="1">
        <f t="array" ref="Y191">INT(SUMPRODUCT(--ISNUMBER(SEARCH(democrattrigger,'Mark Kelly'!C191)))&gt;0)</f>
        <v>0</v>
      </c>
      <c r="Z191" s="14" cm="1">
        <f t="array" ref="Z191">INT(SUMPRODUCT(--ISNUMBER(SEARCH(bipartisan,'Mark Kelly'!C191)))&gt;0)</f>
        <v>0</v>
      </c>
      <c r="AA191" s="14">
        <f t="shared" si="2"/>
        <v>0</v>
      </c>
      <c r="AB191" s="14"/>
      <c r="AC191" s="30">
        <v>0</v>
      </c>
      <c r="AD191" s="37">
        <v>1</v>
      </c>
    </row>
    <row r="192" spans="1:30" x14ac:dyDescent="0.25">
      <c r="A192" s="36">
        <v>276</v>
      </c>
      <c r="B192" s="14" t="s">
        <v>583</v>
      </c>
      <c r="C192" s="31" t="s">
        <v>584</v>
      </c>
      <c r="D192" s="17">
        <v>44111</v>
      </c>
      <c r="E192" s="14" t="s">
        <v>30</v>
      </c>
      <c r="F192" s="14">
        <v>7202</v>
      </c>
      <c r="G192" s="14">
        <v>1967</v>
      </c>
      <c r="H192" s="14">
        <v>2</v>
      </c>
      <c r="I192" s="14">
        <v>1</v>
      </c>
      <c r="J192" s="14" t="s">
        <v>204</v>
      </c>
      <c r="K192" s="14" cm="1">
        <f t="array" ref="K192">INT(SUMPRODUCT(--ISNUMBER(SEARCH(economy,'Mark Kelly'!C192)))&gt;0)</f>
        <v>0</v>
      </c>
      <c r="L192" s="14" cm="1">
        <f t="array" ref="L192">INT(SUMPRODUCT(--ISNUMBER(SEARCH(healthcare,'Mark Kelly'!C192)))&gt;0)</f>
        <v>0</v>
      </c>
      <c r="M192" s="14" cm="1">
        <f t="array" ref="M192">INT(SUMPRODUCT(--ISNUMBER(SEARCH(supreme,'Mark Kelly'!C192)))&gt;0)</f>
        <v>0</v>
      </c>
      <c r="N192" s="14" cm="1">
        <f t="array" ref="N192">INT(SUMPRODUCT(--ISNUMBER(SEARCH(covid,'Mark Kelly'!C192)))&gt;0)</f>
        <v>0</v>
      </c>
      <c r="O192" s="14" cm="1">
        <f t="array" ref="O192">INT(SUMPRODUCT(--ISNUMBER(SEARCH(violent,'Mark Kelly'!C192)))&gt;0)</f>
        <v>0</v>
      </c>
      <c r="P192" s="14" cm="1">
        <f t="array" ref="P192">INT(SUMPRODUCT(--ISNUMBER(SEARCH(foreign,'Mark Kelly'!C192)))&gt;0)</f>
        <v>0</v>
      </c>
      <c r="Q192" s="14" cm="1">
        <f t="array" ref="Q192">INT(SUMPRODUCT(--ISNUMBER(SEARCH(gun,'Mark Kelly'!C192)))&gt;0)</f>
        <v>0</v>
      </c>
      <c r="R192" s="14" cm="1">
        <f t="array" ref="R192">INT(SUMPRODUCT(--ISNUMBER(SEARCH(race,'Mark Kelly'!C192)))&gt;0)</f>
        <v>0</v>
      </c>
      <c r="S192" s="14" cm="1">
        <f t="array" ref="S192">INT(SUMPRODUCT(--ISNUMBER(SEARCH(immigration,C192)))&gt;0)</f>
        <v>0</v>
      </c>
      <c r="T192" s="14" cm="1">
        <f t="array" ref="T192">INT(SUMPRODUCT(--ISNUMBER(SEARCH(econineq,C192)))&gt;0)</f>
        <v>0</v>
      </c>
      <c r="U192" s="14" cm="1">
        <f t="array" ref="U192">INT(SUMPRODUCT(--ISNUMBER(SEARCH(climate,'Mark Kelly'!C192)))&gt;0)</f>
        <v>0</v>
      </c>
      <c r="V192" s="14" cm="1">
        <f t="array" ref="V192">INT(SUMPRODUCT(--ISNUMBER(SEARCH(abortion,'Mark Kelly'!C192)))&gt;0)</f>
        <v>0</v>
      </c>
      <c r="W192" s="14" cm="1">
        <f t="array" ref="W192">INT(SUMPRODUCT(--ISNUMBER(SEARCH(trump,'Mark Kelly'!C192)))&gt;0)</f>
        <v>0</v>
      </c>
      <c r="X192" s="14" cm="1">
        <f t="array" ref="X192">INT(SUMPRODUCT(--ISNUMBER(SEARCH(voting,'Mark Kelly'!C192)))&gt;0)</f>
        <v>1</v>
      </c>
      <c r="Y192" s="14" cm="1">
        <f t="array" ref="Y192">INT(SUMPRODUCT(--ISNUMBER(SEARCH(democrattrigger,'Mark Kelly'!C192)))&gt;0)</f>
        <v>0</v>
      </c>
      <c r="Z192" s="14" cm="1">
        <f t="array" ref="Z192">INT(SUMPRODUCT(--ISNUMBER(SEARCH(bipartisan,'Mark Kelly'!C192)))&gt;0)</f>
        <v>0</v>
      </c>
      <c r="AA192" s="14">
        <f t="shared" si="2"/>
        <v>0</v>
      </c>
      <c r="AB192" s="14"/>
      <c r="AC192" s="30">
        <v>1</v>
      </c>
      <c r="AD192" s="37"/>
    </row>
    <row r="193" spans="1:30" x14ac:dyDescent="0.25">
      <c r="A193" s="36">
        <v>277</v>
      </c>
      <c r="B193" s="14" t="s">
        <v>585</v>
      </c>
      <c r="C193" s="31" t="s">
        <v>586</v>
      </c>
      <c r="D193" s="17">
        <v>44111</v>
      </c>
      <c r="E193" s="14" t="s">
        <v>30</v>
      </c>
      <c r="F193" s="14">
        <v>5125</v>
      </c>
      <c r="G193" s="14">
        <v>1396</v>
      </c>
      <c r="H193" s="14">
        <v>2</v>
      </c>
      <c r="I193" s="14">
        <v>1</v>
      </c>
      <c r="J193" s="14" t="s">
        <v>204</v>
      </c>
      <c r="K193" s="14" cm="1">
        <f t="array" ref="K193">INT(SUMPRODUCT(--ISNUMBER(SEARCH(economy,'Mark Kelly'!C193)))&gt;0)</f>
        <v>0</v>
      </c>
      <c r="L193" s="14" cm="1">
        <f t="array" ref="L193">INT(SUMPRODUCT(--ISNUMBER(SEARCH(healthcare,'Mark Kelly'!C193)))&gt;0)</f>
        <v>0</v>
      </c>
      <c r="M193" s="14" cm="1">
        <f t="array" ref="M193">INT(SUMPRODUCT(--ISNUMBER(SEARCH(supreme,'Mark Kelly'!C193)))&gt;0)</f>
        <v>0</v>
      </c>
      <c r="N193" s="14" cm="1">
        <f t="array" ref="N193">INT(SUMPRODUCT(--ISNUMBER(SEARCH(covid,'Mark Kelly'!C193)))&gt;0)</f>
        <v>0</v>
      </c>
      <c r="O193" s="14" cm="1">
        <f t="array" ref="O193">INT(SUMPRODUCT(--ISNUMBER(SEARCH(violent,'Mark Kelly'!C193)))&gt;0)</f>
        <v>0</v>
      </c>
      <c r="P193" s="14" cm="1">
        <f t="array" ref="P193">INT(SUMPRODUCT(--ISNUMBER(SEARCH(foreign,'Mark Kelly'!C193)))&gt;0)</f>
        <v>0</v>
      </c>
      <c r="Q193" s="14" cm="1">
        <f t="array" ref="Q193">INT(SUMPRODUCT(--ISNUMBER(SEARCH(gun,'Mark Kelly'!C193)))&gt;0)</f>
        <v>0</v>
      </c>
      <c r="R193" s="14" cm="1">
        <f t="array" ref="R193">INT(SUMPRODUCT(--ISNUMBER(SEARCH(race,'Mark Kelly'!C193)))&gt;0)</f>
        <v>0</v>
      </c>
      <c r="S193" s="14" cm="1">
        <f t="array" ref="S193">INT(SUMPRODUCT(--ISNUMBER(SEARCH(immigration,C193)))&gt;0)</f>
        <v>0</v>
      </c>
      <c r="T193" s="14" cm="1">
        <f t="array" ref="T193">INT(SUMPRODUCT(--ISNUMBER(SEARCH(econineq,C193)))&gt;0)</f>
        <v>0</v>
      </c>
      <c r="U193" s="14" cm="1">
        <f t="array" ref="U193">INT(SUMPRODUCT(--ISNUMBER(SEARCH(climate,'Mark Kelly'!C193)))&gt;0)</f>
        <v>0</v>
      </c>
      <c r="V193" s="14" cm="1">
        <f t="array" ref="V193">INT(SUMPRODUCT(--ISNUMBER(SEARCH(abortion,'Mark Kelly'!C193)))&gt;0)</f>
        <v>0</v>
      </c>
      <c r="W193" s="14" cm="1">
        <f t="array" ref="W193">INT(SUMPRODUCT(--ISNUMBER(SEARCH(trump,'Mark Kelly'!C193)))&gt;0)</f>
        <v>0</v>
      </c>
      <c r="X193" s="14" cm="1">
        <f t="array" ref="X193">INT(SUMPRODUCT(--ISNUMBER(SEARCH(voting,'Mark Kelly'!C193)))&gt;0)</f>
        <v>0</v>
      </c>
      <c r="Y193" s="14" cm="1">
        <f t="array" ref="Y193">INT(SUMPRODUCT(--ISNUMBER(SEARCH(democrattrigger,'Mark Kelly'!C193)))&gt;0)</f>
        <v>0</v>
      </c>
      <c r="Z193" s="14" cm="1">
        <f t="array" ref="Z193">INT(SUMPRODUCT(--ISNUMBER(SEARCH(bipartisan,'Mark Kelly'!C193)))&gt;0)</f>
        <v>0</v>
      </c>
      <c r="AA193" s="14">
        <f t="shared" si="2"/>
        <v>1</v>
      </c>
      <c r="AB193" s="14"/>
      <c r="AC193" s="30">
        <v>0</v>
      </c>
      <c r="AD193" s="37">
        <v>1</v>
      </c>
    </row>
    <row r="194" spans="1:30" x14ac:dyDescent="0.25">
      <c r="A194" s="36">
        <v>278</v>
      </c>
      <c r="B194" s="14" t="s">
        <v>587</v>
      </c>
      <c r="C194" s="31" t="s">
        <v>588</v>
      </c>
      <c r="D194" s="17">
        <v>44111</v>
      </c>
      <c r="E194" s="14" t="s">
        <v>30</v>
      </c>
      <c r="F194" s="14">
        <v>5941</v>
      </c>
      <c r="G194" s="14">
        <v>1453</v>
      </c>
      <c r="H194" s="14">
        <v>2</v>
      </c>
      <c r="I194" s="14">
        <v>1</v>
      </c>
      <c r="J194" s="14" t="s">
        <v>204</v>
      </c>
      <c r="K194" s="14" cm="1">
        <f t="array" ref="K194">INT(SUMPRODUCT(--ISNUMBER(SEARCH(economy,'Mark Kelly'!C194)))&gt;0)</f>
        <v>0</v>
      </c>
      <c r="L194" s="14" cm="1">
        <f t="array" ref="L194">INT(SUMPRODUCT(--ISNUMBER(SEARCH(healthcare,'Mark Kelly'!C194)))&gt;0)</f>
        <v>0</v>
      </c>
      <c r="M194" s="14" cm="1">
        <f t="array" ref="M194">INT(SUMPRODUCT(--ISNUMBER(SEARCH(supreme,'Mark Kelly'!C194)))&gt;0)</f>
        <v>0</v>
      </c>
      <c r="N194" s="14" cm="1">
        <f t="array" ref="N194">INT(SUMPRODUCT(--ISNUMBER(SEARCH(covid,'Mark Kelly'!C194)))&gt;0)</f>
        <v>0</v>
      </c>
      <c r="O194" s="14" cm="1">
        <f t="array" ref="O194">INT(SUMPRODUCT(--ISNUMBER(SEARCH(violent,'Mark Kelly'!C194)))&gt;0)</f>
        <v>0</v>
      </c>
      <c r="P194" s="14" cm="1">
        <f t="array" ref="P194">INT(SUMPRODUCT(--ISNUMBER(SEARCH(foreign,'Mark Kelly'!C194)))&gt;0)</f>
        <v>0</v>
      </c>
      <c r="Q194" s="14" cm="1">
        <f t="array" ref="Q194">INT(SUMPRODUCT(--ISNUMBER(SEARCH(gun,'Mark Kelly'!C194)))&gt;0)</f>
        <v>0</v>
      </c>
      <c r="R194" s="14" cm="1">
        <f t="array" ref="R194">INT(SUMPRODUCT(--ISNUMBER(SEARCH(race,'Mark Kelly'!C194)))&gt;0)</f>
        <v>0</v>
      </c>
      <c r="S194" s="14" cm="1">
        <f t="array" ref="S194">INT(SUMPRODUCT(--ISNUMBER(SEARCH(immigration,C194)))&gt;0)</f>
        <v>0</v>
      </c>
      <c r="T194" s="14" cm="1">
        <f t="array" ref="T194">INT(SUMPRODUCT(--ISNUMBER(SEARCH(econineq,C194)))&gt;0)</f>
        <v>0</v>
      </c>
      <c r="U194" s="14" cm="1">
        <f t="array" ref="U194">INT(SUMPRODUCT(--ISNUMBER(SEARCH(climate,'Mark Kelly'!C194)))&gt;0)</f>
        <v>0</v>
      </c>
      <c r="V194" s="14" cm="1">
        <f t="array" ref="V194">INT(SUMPRODUCT(--ISNUMBER(SEARCH(abortion,'Mark Kelly'!C194)))&gt;0)</f>
        <v>0</v>
      </c>
      <c r="W194" s="14" cm="1">
        <f t="array" ref="W194">INT(SUMPRODUCT(--ISNUMBER(SEARCH(trump,'Mark Kelly'!C194)))&gt;0)</f>
        <v>0</v>
      </c>
      <c r="X194" s="14" cm="1">
        <f t="array" ref="X194">INT(SUMPRODUCT(--ISNUMBER(SEARCH(voting,'Mark Kelly'!C194)))&gt;0)</f>
        <v>0</v>
      </c>
      <c r="Y194" s="14" cm="1">
        <f t="array" ref="Y194">INT(SUMPRODUCT(--ISNUMBER(SEARCH(democrattrigger,'Mark Kelly'!C194)))&gt;0)</f>
        <v>0</v>
      </c>
      <c r="Z194" s="14" cm="1">
        <f t="array" ref="Z194">INT(SUMPRODUCT(--ISNUMBER(SEARCH(bipartisan,'Mark Kelly'!C194)))&gt;0)</f>
        <v>0</v>
      </c>
      <c r="AA194" s="14">
        <f t="shared" si="2"/>
        <v>1</v>
      </c>
      <c r="AB194" s="14"/>
      <c r="AC194" s="30">
        <v>0</v>
      </c>
      <c r="AD194" s="37">
        <v>1</v>
      </c>
    </row>
    <row r="195" spans="1:30" x14ac:dyDescent="0.25">
      <c r="A195" s="36">
        <v>279</v>
      </c>
      <c r="B195" s="14" t="s">
        <v>589</v>
      </c>
      <c r="C195" s="31" t="s">
        <v>590</v>
      </c>
      <c r="D195" s="17">
        <v>44111</v>
      </c>
      <c r="E195" s="14" t="s">
        <v>30</v>
      </c>
      <c r="F195" s="14">
        <v>6046</v>
      </c>
      <c r="G195" s="14">
        <v>1546</v>
      </c>
      <c r="H195" s="14">
        <v>2</v>
      </c>
      <c r="I195" s="14">
        <v>1</v>
      </c>
      <c r="J195" s="14" t="s">
        <v>204</v>
      </c>
      <c r="K195" s="14" cm="1">
        <f t="array" ref="K195">INT(SUMPRODUCT(--ISNUMBER(SEARCH(economy,'Mark Kelly'!C195)))&gt;0)</f>
        <v>0</v>
      </c>
      <c r="L195" s="14" cm="1">
        <f t="array" ref="L195">INT(SUMPRODUCT(--ISNUMBER(SEARCH(healthcare,'Mark Kelly'!C195)))&gt;0)</f>
        <v>0</v>
      </c>
      <c r="M195" s="14" cm="1">
        <f t="array" ref="M195">INT(SUMPRODUCT(--ISNUMBER(SEARCH(supreme,'Mark Kelly'!C195)))&gt;0)</f>
        <v>0</v>
      </c>
      <c r="N195" s="14" cm="1">
        <f t="array" ref="N195">INT(SUMPRODUCT(--ISNUMBER(SEARCH(covid,'Mark Kelly'!C195)))&gt;0)</f>
        <v>0</v>
      </c>
      <c r="O195" s="14" cm="1">
        <f t="array" ref="O195">INT(SUMPRODUCT(--ISNUMBER(SEARCH(violent,'Mark Kelly'!C195)))&gt;0)</f>
        <v>0</v>
      </c>
      <c r="P195" s="14" cm="1">
        <f t="array" ref="P195">INT(SUMPRODUCT(--ISNUMBER(SEARCH(foreign,'Mark Kelly'!C195)))&gt;0)</f>
        <v>0</v>
      </c>
      <c r="Q195" s="14" cm="1">
        <f t="array" ref="Q195">INT(SUMPRODUCT(--ISNUMBER(SEARCH(gun,'Mark Kelly'!C195)))&gt;0)</f>
        <v>0</v>
      </c>
      <c r="R195" s="14" cm="1">
        <f t="array" ref="R195">INT(SUMPRODUCT(--ISNUMBER(SEARCH(race,'Mark Kelly'!C195)))&gt;0)</f>
        <v>0</v>
      </c>
      <c r="S195" s="14" cm="1">
        <f t="array" ref="S195">INT(SUMPRODUCT(--ISNUMBER(SEARCH(immigration,C195)))&gt;0)</f>
        <v>0</v>
      </c>
      <c r="T195" s="14" cm="1">
        <f t="array" ref="T195">INT(SUMPRODUCT(--ISNUMBER(SEARCH(econineq,C195)))&gt;0)</f>
        <v>0</v>
      </c>
      <c r="U195" s="14" cm="1">
        <f t="array" ref="U195">INT(SUMPRODUCT(--ISNUMBER(SEARCH(climate,'Mark Kelly'!C195)))&gt;0)</f>
        <v>0</v>
      </c>
      <c r="V195" s="14" cm="1">
        <f t="array" ref="V195">INT(SUMPRODUCT(--ISNUMBER(SEARCH(abortion,'Mark Kelly'!C195)))&gt;0)</f>
        <v>0</v>
      </c>
      <c r="W195" s="14" cm="1">
        <f t="array" ref="W195">INT(SUMPRODUCT(--ISNUMBER(SEARCH(trump,'Mark Kelly'!C195)))&gt;0)</f>
        <v>0</v>
      </c>
      <c r="X195" s="14" cm="1">
        <f t="array" ref="X195">INT(SUMPRODUCT(--ISNUMBER(SEARCH(voting,'Mark Kelly'!C195)))&gt;0)</f>
        <v>1</v>
      </c>
      <c r="Y195" s="14" cm="1">
        <f t="array" ref="Y195">INT(SUMPRODUCT(--ISNUMBER(SEARCH(democrattrigger,'Mark Kelly'!C195)))&gt;0)</f>
        <v>1</v>
      </c>
      <c r="Z195" s="14" cm="1">
        <f t="array" ref="Z195">INT(SUMPRODUCT(--ISNUMBER(SEARCH(bipartisan,'Mark Kelly'!C195)))&gt;0)</f>
        <v>1</v>
      </c>
      <c r="AA195" s="14">
        <f t="shared" ref="AA195:AA233" si="3">INT(IF(COUNTIF(K195:Z195,1)=0,"1","0"))</f>
        <v>0</v>
      </c>
      <c r="AB195" s="14"/>
      <c r="AC195" s="30">
        <v>0</v>
      </c>
      <c r="AD195" s="37">
        <v>1</v>
      </c>
    </row>
    <row r="196" spans="1:30" x14ac:dyDescent="0.25">
      <c r="A196" s="36">
        <v>280</v>
      </c>
      <c r="B196" s="14" t="s">
        <v>591</v>
      </c>
      <c r="C196" s="31" t="s">
        <v>592</v>
      </c>
      <c r="D196" s="17">
        <v>44111</v>
      </c>
      <c r="E196" s="14" t="s">
        <v>30</v>
      </c>
      <c r="F196" s="14">
        <v>10507</v>
      </c>
      <c r="G196" s="14">
        <v>2417</v>
      </c>
      <c r="H196" s="14">
        <v>2</v>
      </c>
      <c r="I196" s="14">
        <v>1</v>
      </c>
      <c r="J196" s="14" t="s">
        <v>204</v>
      </c>
      <c r="K196" s="14" cm="1">
        <f t="array" ref="K196">INT(SUMPRODUCT(--ISNUMBER(SEARCH(economy,'Mark Kelly'!C196)))&gt;0)</f>
        <v>0</v>
      </c>
      <c r="L196" s="14" cm="1">
        <f t="array" ref="L196">INT(SUMPRODUCT(--ISNUMBER(SEARCH(healthcare,'Mark Kelly'!C196)))&gt;0)</f>
        <v>0</v>
      </c>
      <c r="M196" s="14" cm="1">
        <f t="array" ref="M196">INT(SUMPRODUCT(--ISNUMBER(SEARCH(supreme,'Mark Kelly'!C196)))&gt;0)</f>
        <v>0</v>
      </c>
      <c r="N196" s="14" cm="1">
        <f t="array" ref="N196">INT(SUMPRODUCT(--ISNUMBER(SEARCH(covid,'Mark Kelly'!C196)))&gt;0)</f>
        <v>0</v>
      </c>
      <c r="O196" s="14" cm="1">
        <f t="array" ref="O196">INT(SUMPRODUCT(--ISNUMBER(SEARCH(violent,'Mark Kelly'!C196)))&gt;0)</f>
        <v>0</v>
      </c>
      <c r="P196" s="14" cm="1">
        <f t="array" ref="P196">INT(SUMPRODUCT(--ISNUMBER(SEARCH(foreign,'Mark Kelly'!C196)))&gt;0)</f>
        <v>0</v>
      </c>
      <c r="Q196" s="14" cm="1">
        <f t="array" ref="Q196">INT(SUMPRODUCT(--ISNUMBER(SEARCH(gun,'Mark Kelly'!C196)))&gt;0)</f>
        <v>0</v>
      </c>
      <c r="R196" s="14" cm="1">
        <f t="array" ref="R196">INT(SUMPRODUCT(--ISNUMBER(SEARCH(race,'Mark Kelly'!C196)))&gt;0)</f>
        <v>0</v>
      </c>
      <c r="S196" s="14" cm="1">
        <f t="array" ref="S196">INT(SUMPRODUCT(--ISNUMBER(SEARCH(immigration,C196)))&gt;0)</f>
        <v>0</v>
      </c>
      <c r="T196" s="14" cm="1">
        <f t="array" ref="T196">INT(SUMPRODUCT(--ISNUMBER(SEARCH(econineq,C196)))&gt;0)</f>
        <v>0</v>
      </c>
      <c r="U196" s="14" cm="1">
        <f t="array" ref="U196">INT(SUMPRODUCT(--ISNUMBER(SEARCH(climate,'Mark Kelly'!C196)))&gt;0)</f>
        <v>0</v>
      </c>
      <c r="V196" s="14" cm="1">
        <f t="array" ref="V196">INT(SUMPRODUCT(--ISNUMBER(SEARCH(abortion,'Mark Kelly'!C196)))&gt;0)</f>
        <v>0</v>
      </c>
      <c r="W196" s="14" cm="1">
        <f t="array" ref="W196">INT(SUMPRODUCT(--ISNUMBER(SEARCH(trump,'Mark Kelly'!C196)))&gt;0)</f>
        <v>0</v>
      </c>
      <c r="X196" s="14" cm="1">
        <f t="array" ref="X196">INT(SUMPRODUCT(--ISNUMBER(SEARCH(voting,'Mark Kelly'!C196)))&gt;0)</f>
        <v>0</v>
      </c>
      <c r="Y196" s="14" cm="1">
        <f t="array" ref="Y196">INT(SUMPRODUCT(--ISNUMBER(SEARCH(democrattrigger,'Mark Kelly'!C196)))&gt;0)</f>
        <v>0</v>
      </c>
      <c r="Z196" s="14" cm="1">
        <f t="array" ref="Z196">INT(SUMPRODUCT(--ISNUMBER(SEARCH(bipartisan,'Mark Kelly'!C196)))&gt;0)</f>
        <v>0</v>
      </c>
      <c r="AA196" s="14">
        <f t="shared" si="3"/>
        <v>1</v>
      </c>
      <c r="AB196" s="14"/>
      <c r="AC196" s="30">
        <v>0</v>
      </c>
      <c r="AD196" s="37">
        <v>1</v>
      </c>
    </row>
    <row r="197" spans="1:30" x14ac:dyDescent="0.25">
      <c r="A197" s="36">
        <v>281</v>
      </c>
      <c r="B197" s="14" t="s">
        <v>593</v>
      </c>
      <c r="C197" s="31" t="s">
        <v>594</v>
      </c>
      <c r="D197" s="17">
        <v>44111</v>
      </c>
      <c r="E197" s="14" t="s">
        <v>30</v>
      </c>
      <c r="F197" s="14">
        <v>2693</v>
      </c>
      <c r="G197" s="14">
        <v>755</v>
      </c>
      <c r="H197" s="14">
        <v>2</v>
      </c>
      <c r="I197" s="14">
        <v>1</v>
      </c>
      <c r="J197" s="14" t="s">
        <v>204</v>
      </c>
      <c r="K197" s="14" cm="1">
        <f t="array" ref="K197">INT(SUMPRODUCT(--ISNUMBER(SEARCH(economy,'Mark Kelly'!C197)))&gt;0)</f>
        <v>0</v>
      </c>
      <c r="L197" s="14" cm="1">
        <f t="array" ref="L197">INT(SUMPRODUCT(--ISNUMBER(SEARCH(healthcare,'Mark Kelly'!C197)))&gt;0)</f>
        <v>0</v>
      </c>
      <c r="M197" s="14" cm="1">
        <f t="array" ref="M197">INT(SUMPRODUCT(--ISNUMBER(SEARCH(supreme,'Mark Kelly'!C197)))&gt;0)</f>
        <v>0</v>
      </c>
      <c r="N197" s="14" cm="1">
        <f t="array" ref="N197">INT(SUMPRODUCT(--ISNUMBER(SEARCH(covid,'Mark Kelly'!C197)))&gt;0)</f>
        <v>0</v>
      </c>
      <c r="O197" s="14" cm="1">
        <f t="array" ref="O197">INT(SUMPRODUCT(--ISNUMBER(SEARCH(violent,'Mark Kelly'!C197)))&gt;0)</f>
        <v>0</v>
      </c>
      <c r="P197" s="14" cm="1">
        <f t="array" ref="P197">INT(SUMPRODUCT(--ISNUMBER(SEARCH(foreign,'Mark Kelly'!C197)))&gt;0)</f>
        <v>0</v>
      </c>
      <c r="Q197" s="14" cm="1">
        <f t="array" ref="Q197">INT(SUMPRODUCT(--ISNUMBER(SEARCH(gun,'Mark Kelly'!C197)))&gt;0)</f>
        <v>0</v>
      </c>
      <c r="R197" s="14" cm="1">
        <f t="array" ref="R197">INT(SUMPRODUCT(--ISNUMBER(SEARCH(race,'Mark Kelly'!C197)))&gt;0)</f>
        <v>0</v>
      </c>
      <c r="S197" s="14" cm="1">
        <f t="array" ref="S197">INT(SUMPRODUCT(--ISNUMBER(SEARCH(immigration,C197)))&gt;0)</f>
        <v>0</v>
      </c>
      <c r="T197" s="14" cm="1">
        <f t="array" ref="T197">INT(SUMPRODUCT(--ISNUMBER(SEARCH(econineq,C197)))&gt;0)</f>
        <v>0</v>
      </c>
      <c r="U197" s="14" cm="1">
        <f t="array" ref="U197">INT(SUMPRODUCT(--ISNUMBER(SEARCH(climate,'Mark Kelly'!C197)))&gt;0)</f>
        <v>0</v>
      </c>
      <c r="V197" s="14" cm="1">
        <f t="array" ref="V197">INT(SUMPRODUCT(--ISNUMBER(SEARCH(abortion,'Mark Kelly'!C197)))&gt;0)</f>
        <v>0</v>
      </c>
      <c r="W197" s="14" cm="1">
        <f t="array" ref="W197">INT(SUMPRODUCT(--ISNUMBER(SEARCH(trump,'Mark Kelly'!C197)))&gt;0)</f>
        <v>0</v>
      </c>
      <c r="X197" s="14" cm="1">
        <f t="array" ref="X197">INT(SUMPRODUCT(--ISNUMBER(SEARCH(voting,'Mark Kelly'!C197)))&gt;0)</f>
        <v>0</v>
      </c>
      <c r="Y197" s="14" cm="1">
        <f t="array" ref="Y197">INT(SUMPRODUCT(--ISNUMBER(SEARCH(democrattrigger,'Mark Kelly'!C197)))&gt;0)</f>
        <v>0</v>
      </c>
      <c r="Z197" s="14" cm="1">
        <f t="array" ref="Z197">INT(SUMPRODUCT(--ISNUMBER(SEARCH(bipartisan,'Mark Kelly'!C197)))&gt;0)</f>
        <v>0</v>
      </c>
      <c r="AA197" s="14">
        <f t="shared" si="3"/>
        <v>1</v>
      </c>
      <c r="AB197" s="14"/>
      <c r="AC197" s="30">
        <v>0</v>
      </c>
      <c r="AD197" s="37">
        <v>1</v>
      </c>
    </row>
    <row r="198" spans="1:30" x14ac:dyDescent="0.25">
      <c r="A198" s="36">
        <v>282</v>
      </c>
      <c r="B198" s="14" t="s">
        <v>595</v>
      </c>
      <c r="C198" s="31" t="s">
        <v>596</v>
      </c>
      <c r="D198" s="17">
        <v>44111</v>
      </c>
      <c r="E198" s="14" t="s">
        <v>30</v>
      </c>
      <c r="F198" s="14">
        <v>30354</v>
      </c>
      <c r="G198" s="14">
        <v>6556</v>
      </c>
      <c r="H198" s="14">
        <v>2</v>
      </c>
      <c r="I198" s="14">
        <v>1</v>
      </c>
      <c r="J198" s="14" t="s">
        <v>204</v>
      </c>
      <c r="K198" s="14" cm="1">
        <f t="array" ref="K198">INT(SUMPRODUCT(--ISNUMBER(SEARCH(economy,'Mark Kelly'!C198)))&gt;0)</f>
        <v>0</v>
      </c>
      <c r="L198" s="14" cm="1">
        <f t="array" ref="L198">INT(SUMPRODUCT(--ISNUMBER(SEARCH(healthcare,'Mark Kelly'!C198)))&gt;0)</f>
        <v>0</v>
      </c>
      <c r="M198" s="14" cm="1">
        <f t="array" ref="M198">INT(SUMPRODUCT(--ISNUMBER(SEARCH(supreme,'Mark Kelly'!C198)))&gt;0)</f>
        <v>0</v>
      </c>
      <c r="N198" s="14" cm="1">
        <f t="array" ref="N198">INT(SUMPRODUCT(--ISNUMBER(SEARCH(covid,'Mark Kelly'!C198)))&gt;0)</f>
        <v>0</v>
      </c>
      <c r="O198" s="14" cm="1">
        <f t="array" ref="O198">INT(SUMPRODUCT(--ISNUMBER(SEARCH(violent,'Mark Kelly'!C198)))&gt;0)</f>
        <v>1</v>
      </c>
      <c r="P198" s="14" cm="1">
        <f t="array" ref="P198">INT(SUMPRODUCT(--ISNUMBER(SEARCH(foreign,'Mark Kelly'!C198)))&gt;0)</f>
        <v>0</v>
      </c>
      <c r="Q198" s="14" cm="1">
        <f t="array" ref="Q198">INT(SUMPRODUCT(--ISNUMBER(SEARCH(gun,'Mark Kelly'!C198)))&gt;0)</f>
        <v>1</v>
      </c>
      <c r="R198" s="14" cm="1">
        <f t="array" ref="R198">INT(SUMPRODUCT(--ISNUMBER(SEARCH(race,'Mark Kelly'!C198)))&gt;0)</f>
        <v>0</v>
      </c>
      <c r="S198" s="14" cm="1">
        <f t="array" ref="S198">INT(SUMPRODUCT(--ISNUMBER(SEARCH(immigration,C198)))&gt;0)</f>
        <v>0</v>
      </c>
      <c r="T198" s="14" cm="1">
        <f t="array" ref="T198">INT(SUMPRODUCT(--ISNUMBER(SEARCH(econineq,C198)))&gt;0)</f>
        <v>0</v>
      </c>
      <c r="U198" s="14" cm="1">
        <f t="array" ref="U198">INT(SUMPRODUCT(--ISNUMBER(SEARCH(climate,'Mark Kelly'!C198)))&gt;0)</f>
        <v>0</v>
      </c>
      <c r="V198" s="14" cm="1">
        <f t="array" ref="V198">INT(SUMPRODUCT(--ISNUMBER(SEARCH(abortion,'Mark Kelly'!C198)))&gt;0)</f>
        <v>0</v>
      </c>
      <c r="W198" s="14" cm="1">
        <f t="array" ref="W198">INT(SUMPRODUCT(--ISNUMBER(SEARCH(trump,'Mark Kelly'!C198)))&gt;0)</f>
        <v>0</v>
      </c>
      <c r="X198" s="14" cm="1">
        <f t="array" ref="X198">INT(SUMPRODUCT(--ISNUMBER(SEARCH(voting,'Mark Kelly'!C198)))&gt;0)</f>
        <v>0</v>
      </c>
      <c r="Y198" s="14" cm="1">
        <f t="array" ref="Y198">INT(SUMPRODUCT(--ISNUMBER(SEARCH(democrattrigger,'Mark Kelly'!C198)))&gt;0)</f>
        <v>0</v>
      </c>
      <c r="Z198" s="14" cm="1">
        <f t="array" ref="Z198">INT(SUMPRODUCT(--ISNUMBER(SEARCH(bipartisan,'Mark Kelly'!C198)))&gt;0)</f>
        <v>0</v>
      </c>
      <c r="AA198" s="14">
        <f t="shared" si="3"/>
        <v>0</v>
      </c>
      <c r="AB198" s="14"/>
      <c r="AC198" s="30" t="s">
        <v>223</v>
      </c>
      <c r="AD198" s="37"/>
    </row>
    <row r="199" spans="1:30" x14ac:dyDescent="0.25">
      <c r="A199" s="36">
        <v>283</v>
      </c>
      <c r="B199" s="14" t="s">
        <v>597</v>
      </c>
      <c r="C199" s="31" t="s">
        <v>598</v>
      </c>
      <c r="D199" s="17">
        <v>44111</v>
      </c>
      <c r="E199" s="14" t="s">
        <v>30</v>
      </c>
      <c r="F199" s="14">
        <v>4966</v>
      </c>
      <c r="G199" s="14">
        <v>1078</v>
      </c>
      <c r="H199" s="14">
        <v>2</v>
      </c>
      <c r="I199" s="14">
        <v>1</v>
      </c>
      <c r="J199" s="14" t="s">
        <v>204</v>
      </c>
      <c r="K199" s="14" cm="1">
        <f t="array" ref="K199">INT(SUMPRODUCT(--ISNUMBER(SEARCH(economy,'Mark Kelly'!C199)))&gt;0)</f>
        <v>0</v>
      </c>
      <c r="L199" s="14" cm="1">
        <f t="array" ref="L199">INT(SUMPRODUCT(--ISNUMBER(SEARCH(healthcare,'Mark Kelly'!C199)))&gt;0)</f>
        <v>0</v>
      </c>
      <c r="M199" s="14" cm="1">
        <f t="array" ref="M199">INT(SUMPRODUCT(--ISNUMBER(SEARCH(supreme,'Mark Kelly'!C199)))&gt;0)</f>
        <v>0</v>
      </c>
      <c r="N199" s="14" cm="1">
        <f t="array" ref="N199">INT(SUMPRODUCT(--ISNUMBER(SEARCH(covid,'Mark Kelly'!C199)))&gt;0)</f>
        <v>0</v>
      </c>
      <c r="O199" s="14" cm="1">
        <f t="array" ref="O199">INT(SUMPRODUCT(--ISNUMBER(SEARCH(violent,'Mark Kelly'!C199)))&gt;0)</f>
        <v>0</v>
      </c>
      <c r="P199" s="14" cm="1">
        <f t="array" ref="P199">INT(SUMPRODUCT(--ISNUMBER(SEARCH(foreign,'Mark Kelly'!C199)))&gt;0)</f>
        <v>0</v>
      </c>
      <c r="Q199" s="14" cm="1">
        <f t="array" ref="Q199">INT(SUMPRODUCT(--ISNUMBER(SEARCH(gun,'Mark Kelly'!C199)))&gt;0)</f>
        <v>0</v>
      </c>
      <c r="R199" s="14" cm="1">
        <f t="array" ref="R199">INT(SUMPRODUCT(--ISNUMBER(SEARCH(race,'Mark Kelly'!C199)))&gt;0)</f>
        <v>0</v>
      </c>
      <c r="S199" s="14" cm="1">
        <f t="array" ref="S199">INT(SUMPRODUCT(--ISNUMBER(SEARCH(immigration,C199)))&gt;0)</f>
        <v>0</v>
      </c>
      <c r="T199" s="14" cm="1">
        <f t="array" ref="T199">INT(SUMPRODUCT(--ISNUMBER(SEARCH(econineq,C199)))&gt;0)</f>
        <v>0</v>
      </c>
      <c r="U199" s="14" cm="1">
        <f t="array" ref="U199">INT(SUMPRODUCT(--ISNUMBER(SEARCH(climate,'Mark Kelly'!C199)))&gt;0)</f>
        <v>0</v>
      </c>
      <c r="V199" s="14" cm="1">
        <f t="array" ref="V199">INT(SUMPRODUCT(--ISNUMBER(SEARCH(abortion,'Mark Kelly'!C199)))&gt;0)</f>
        <v>0</v>
      </c>
      <c r="W199" s="14" cm="1">
        <f t="array" ref="W199">INT(SUMPRODUCT(--ISNUMBER(SEARCH(trump,'Mark Kelly'!C199)))&gt;0)</f>
        <v>0</v>
      </c>
      <c r="X199" s="14" cm="1">
        <f t="array" ref="X199">INT(SUMPRODUCT(--ISNUMBER(SEARCH(voting,'Mark Kelly'!C199)))&gt;0)</f>
        <v>0</v>
      </c>
      <c r="Y199" s="14" cm="1">
        <f t="array" ref="Y199">INT(SUMPRODUCT(--ISNUMBER(SEARCH(democrattrigger,'Mark Kelly'!C199)))&gt;0)</f>
        <v>0</v>
      </c>
      <c r="Z199" s="14" cm="1">
        <f t="array" ref="Z199">INT(SUMPRODUCT(--ISNUMBER(SEARCH(bipartisan,'Mark Kelly'!C199)))&gt;0)</f>
        <v>0</v>
      </c>
      <c r="AA199" s="14">
        <f t="shared" si="3"/>
        <v>1</v>
      </c>
      <c r="AB199" s="14"/>
      <c r="AC199" s="30">
        <v>0</v>
      </c>
      <c r="AD199" s="37">
        <v>1</v>
      </c>
    </row>
    <row r="200" spans="1:30" x14ac:dyDescent="0.25">
      <c r="A200" s="36">
        <v>284</v>
      </c>
      <c r="B200" s="14" t="s">
        <v>599</v>
      </c>
      <c r="C200" s="31" t="s">
        <v>600</v>
      </c>
      <c r="D200" s="17">
        <v>44111</v>
      </c>
      <c r="E200" s="14" t="s">
        <v>30</v>
      </c>
      <c r="F200" s="14">
        <v>902</v>
      </c>
      <c r="G200" s="14">
        <v>227</v>
      </c>
      <c r="H200" s="14">
        <v>2</v>
      </c>
      <c r="I200" s="14">
        <v>1</v>
      </c>
      <c r="J200" s="14" t="s">
        <v>204</v>
      </c>
      <c r="K200" s="14" cm="1">
        <f t="array" ref="K200">INT(SUMPRODUCT(--ISNUMBER(SEARCH(economy,'Mark Kelly'!C200)))&gt;0)</f>
        <v>0</v>
      </c>
      <c r="L200" s="14" cm="1">
        <f t="array" ref="L200">INT(SUMPRODUCT(--ISNUMBER(SEARCH(healthcare,'Mark Kelly'!C200)))&gt;0)</f>
        <v>0</v>
      </c>
      <c r="M200" s="14" cm="1">
        <f t="array" ref="M200">INT(SUMPRODUCT(--ISNUMBER(SEARCH(supreme,'Mark Kelly'!C200)))&gt;0)</f>
        <v>0</v>
      </c>
      <c r="N200" s="14" cm="1">
        <f t="array" ref="N200">INT(SUMPRODUCT(--ISNUMBER(SEARCH(covid,'Mark Kelly'!C200)))&gt;0)</f>
        <v>0</v>
      </c>
      <c r="O200" s="14" cm="1">
        <f t="array" ref="O200">INT(SUMPRODUCT(--ISNUMBER(SEARCH(violent,'Mark Kelly'!C200)))&gt;0)</f>
        <v>0</v>
      </c>
      <c r="P200" s="14" cm="1">
        <f t="array" ref="P200">INT(SUMPRODUCT(--ISNUMBER(SEARCH(foreign,'Mark Kelly'!C200)))&gt;0)</f>
        <v>0</v>
      </c>
      <c r="Q200" s="14" cm="1">
        <f t="array" ref="Q200">INT(SUMPRODUCT(--ISNUMBER(SEARCH(gun,'Mark Kelly'!C200)))&gt;0)</f>
        <v>0</v>
      </c>
      <c r="R200" s="14" cm="1">
        <f t="array" ref="R200">INT(SUMPRODUCT(--ISNUMBER(SEARCH(race,'Mark Kelly'!C200)))&gt;0)</f>
        <v>0</v>
      </c>
      <c r="S200" s="14" cm="1">
        <f t="array" ref="S200">INT(SUMPRODUCT(--ISNUMBER(SEARCH(immigration,C200)))&gt;0)</f>
        <v>0</v>
      </c>
      <c r="T200" s="14" cm="1">
        <f t="array" ref="T200">INT(SUMPRODUCT(--ISNUMBER(SEARCH(econineq,C200)))&gt;0)</f>
        <v>0</v>
      </c>
      <c r="U200" s="14" cm="1">
        <f t="array" ref="U200">INT(SUMPRODUCT(--ISNUMBER(SEARCH(climate,'Mark Kelly'!C200)))&gt;0)</f>
        <v>0</v>
      </c>
      <c r="V200" s="14" cm="1">
        <f t="array" ref="V200">INT(SUMPRODUCT(--ISNUMBER(SEARCH(abortion,'Mark Kelly'!C200)))&gt;0)</f>
        <v>0</v>
      </c>
      <c r="W200" s="14" cm="1">
        <f t="array" ref="W200">INT(SUMPRODUCT(--ISNUMBER(SEARCH(trump,'Mark Kelly'!C200)))&gt;0)</f>
        <v>0</v>
      </c>
      <c r="X200" s="14" cm="1">
        <f t="array" ref="X200">INT(SUMPRODUCT(--ISNUMBER(SEARCH(voting,'Mark Kelly'!C200)))&gt;0)</f>
        <v>0</v>
      </c>
      <c r="Y200" s="14" cm="1">
        <f t="array" ref="Y200">INT(SUMPRODUCT(--ISNUMBER(SEARCH(democrattrigger,'Mark Kelly'!C200)))&gt;0)</f>
        <v>0</v>
      </c>
      <c r="Z200" s="14" cm="1">
        <f t="array" ref="Z200">INT(SUMPRODUCT(--ISNUMBER(SEARCH(bipartisan,'Mark Kelly'!C200)))&gt;0)</f>
        <v>0</v>
      </c>
      <c r="AA200" s="14">
        <f t="shared" si="3"/>
        <v>1</v>
      </c>
      <c r="AB200" s="14"/>
      <c r="AC200" s="30">
        <v>0</v>
      </c>
      <c r="AD200" s="37">
        <v>1</v>
      </c>
    </row>
    <row r="201" spans="1:30" x14ac:dyDescent="0.25">
      <c r="A201" s="36">
        <v>285</v>
      </c>
      <c r="B201" s="14" t="s">
        <v>601</v>
      </c>
      <c r="C201" s="31" t="s">
        <v>602</v>
      </c>
      <c r="D201" s="17">
        <v>44111</v>
      </c>
      <c r="E201" s="14" t="s">
        <v>30</v>
      </c>
      <c r="F201" s="14">
        <v>5115</v>
      </c>
      <c r="G201" s="14">
        <v>1175</v>
      </c>
      <c r="H201" s="14">
        <v>2</v>
      </c>
      <c r="I201" s="14">
        <v>1</v>
      </c>
      <c r="J201" s="14" t="s">
        <v>204</v>
      </c>
      <c r="K201" s="14" cm="1">
        <f t="array" ref="K201">INT(SUMPRODUCT(--ISNUMBER(SEARCH(economy,'Mark Kelly'!C201)))&gt;0)</f>
        <v>0</v>
      </c>
      <c r="L201" s="14" cm="1">
        <f t="array" ref="L201">INT(SUMPRODUCT(--ISNUMBER(SEARCH(healthcare,'Mark Kelly'!C201)))&gt;0)</f>
        <v>1</v>
      </c>
      <c r="M201" s="14" cm="1">
        <f t="array" ref="M201">INT(SUMPRODUCT(--ISNUMBER(SEARCH(supreme,'Mark Kelly'!C201)))&gt;0)</f>
        <v>0</v>
      </c>
      <c r="N201" s="14" cm="1">
        <f t="array" ref="N201">INT(SUMPRODUCT(--ISNUMBER(SEARCH(covid,'Mark Kelly'!C201)))&gt;0)</f>
        <v>0</v>
      </c>
      <c r="O201" s="14" cm="1">
        <f t="array" ref="O201">INT(SUMPRODUCT(--ISNUMBER(SEARCH(violent,'Mark Kelly'!C201)))&gt;0)</f>
        <v>0</v>
      </c>
      <c r="P201" s="14" cm="1">
        <f t="array" ref="P201">INT(SUMPRODUCT(--ISNUMBER(SEARCH(foreign,'Mark Kelly'!C201)))&gt;0)</f>
        <v>0</v>
      </c>
      <c r="Q201" s="14" cm="1">
        <f t="array" ref="Q201">INT(SUMPRODUCT(--ISNUMBER(SEARCH(gun,'Mark Kelly'!C201)))&gt;0)</f>
        <v>0</v>
      </c>
      <c r="R201" s="14" cm="1">
        <f t="array" ref="R201">INT(SUMPRODUCT(--ISNUMBER(SEARCH(race,'Mark Kelly'!C201)))&gt;0)</f>
        <v>0</v>
      </c>
      <c r="S201" s="14" cm="1">
        <f t="array" ref="S201">INT(SUMPRODUCT(--ISNUMBER(SEARCH(immigration,C201)))&gt;0)</f>
        <v>0</v>
      </c>
      <c r="T201" s="14" cm="1">
        <f t="array" ref="T201">INT(SUMPRODUCT(--ISNUMBER(SEARCH(econineq,C201)))&gt;0)</f>
        <v>0</v>
      </c>
      <c r="U201" s="14" cm="1">
        <f t="array" ref="U201">INT(SUMPRODUCT(--ISNUMBER(SEARCH(climate,'Mark Kelly'!C201)))&gt;0)</f>
        <v>0</v>
      </c>
      <c r="V201" s="14" cm="1">
        <f t="array" ref="V201">INT(SUMPRODUCT(--ISNUMBER(SEARCH(abortion,'Mark Kelly'!C201)))&gt;0)</f>
        <v>0</v>
      </c>
      <c r="W201" s="14" cm="1">
        <f t="array" ref="W201">INT(SUMPRODUCT(--ISNUMBER(SEARCH(trump,'Mark Kelly'!C201)))&gt;0)</f>
        <v>0</v>
      </c>
      <c r="X201" s="14" cm="1">
        <f t="array" ref="X201">INT(SUMPRODUCT(--ISNUMBER(SEARCH(voting,'Mark Kelly'!C201)))&gt;0)</f>
        <v>0</v>
      </c>
      <c r="Y201" s="14" cm="1">
        <f t="array" ref="Y201">INT(SUMPRODUCT(--ISNUMBER(SEARCH(democrattrigger,'Mark Kelly'!C201)))&gt;0)</f>
        <v>0</v>
      </c>
      <c r="Z201" s="14" cm="1">
        <f t="array" ref="Z201">INT(SUMPRODUCT(--ISNUMBER(SEARCH(bipartisan,'Mark Kelly'!C201)))&gt;0)</f>
        <v>0</v>
      </c>
      <c r="AA201" s="14">
        <f t="shared" si="3"/>
        <v>0</v>
      </c>
      <c r="AB201" s="14"/>
      <c r="AC201" s="30">
        <v>0</v>
      </c>
      <c r="AD201" s="37">
        <v>1</v>
      </c>
    </row>
    <row r="202" spans="1:30" x14ac:dyDescent="0.25">
      <c r="A202" s="36">
        <v>286</v>
      </c>
      <c r="B202" s="14" t="s">
        <v>603</v>
      </c>
      <c r="C202" s="31" t="s">
        <v>604</v>
      </c>
      <c r="D202" s="17">
        <v>44111</v>
      </c>
      <c r="E202" s="14" t="s">
        <v>30</v>
      </c>
      <c r="F202" s="14">
        <v>1102</v>
      </c>
      <c r="G202" s="14">
        <v>265</v>
      </c>
      <c r="H202" s="14">
        <v>2</v>
      </c>
      <c r="I202" s="14">
        <v>1</v>
      </c>
      <c r="J202" s="14" t="s">
        <v>204</v>
      </c>
      <c r="K202" s="14" cm="1">
        <f t="array" ref="K202">INT(SUMPRODUCT(--ISNUMBER(SEARCH(economy,'Mark Kelly'!C202)))&gt;0)</f>
        <v>0</v>
      </c>
      <c r="L202" s="14" cm="1">
        <f t="array" ref="L202">INT(SUMPRODUCT(--ISNUMBER(SEARCH(healthcare,'Mark Kelly'!C202)))&gt;0)</f>
        <v>0</v>
      </c>
      <c r="M202" s="14" cm="1">
        <f t="array" ref="M202">INT(SUMPRODUCT(--ISNUMBER(SEARCH(supreme,'Mark Kelly'!C202)))&gt;0)</f>
        <v>0</v>
      </c>
      <c r="N202" s="14" cm="1">
        <f t="array" ref="N202">INT(SUMPRODUCT(--ISNUMBER(SEARCH(covid,'Mark Kelly'!C202)))&gt;0)</f>
        <v>0</v>
      </c>
      <c r="O202" s="14" cm="1">
        <f t="array" ref="O202">INT(SUMPRODUCT(--ISNUMBER(SEARCH(violent,'Mark Kelly'!C202)))&gt;0)</f>
        <v>0</v>
      </c>
      <c r="P202" s="14" cm="1">
        <f t="array" ref="P202">INT(SUMPRODUCT(--ISNUMBER(SEARCH(foreign,'Mark Kelly'!C202)))&gt;0)</f>
        <v>0</v>
      </c>
      <c r="Q202" s="14" cm="1">
        <f t="array" ref="Q202">INT(SUMPRODUCT(--ISNUMBER(SEARCH(gun,'Mark Kelly'!C202)))&gt;0)</f>
        <v>0</v>
      </c>
      <c r="R202" s="14" cm="1">
        <f t="array" ref="R202">INT(SUMPRODUCT(--ISNUMBER(SEARCH(race,'Mark Kelly'!C202)))&gt;0)</f>
        <v>0</v>
      </c>
      <c r="S202" s="14" cm="1">
        <f t="array" ref="S202">INT(SUMPRODUCT(--ISNUMBER(SEARCH(immigration,C202)))&gt;0)</f>
        <v>0</v>
      </c>
      <c r="T202" s="14" cm="1">
        <f t="array" ref="T202">INT(SUMPRODUCT(--ISNUMBER(SEARCH(econineq,C202)))&gt;0)</f>
        <v>0</v>
      </c>
      <c r="U202" s="14" cm="1">
        <f t="array" ref="U202">INT(SUMPRODUCT(--ISNUMBER(SEARCH(climate,'Mark Kelly'!C202)))&gt;0)</f>
        <v>1</v>
      </c>
      <c r="V202" s="14" cm="1">
        <f t="array" ref="V202">INT(SUMPRODUCT(--ISNUMBER(SEARCH(abortion,'Mark Kelly'!C202)))&gt;0)</f>
        <v>0</v>
      </c>
      <c r="W202" s="14" cm="1">
        <f t="array" ref="W202">INT(SUMPRODUCT(--ISNUMBER(SEARCH(trump,'Mark Kelly'!C202)))&gt;0)</f>
        <v>0</v>
      </c>
      <c r="X202" s="14" cm="1">
        <f t="array" ref="X202">INT(SUMPRODUCT(--ISNUMBER(SEARCH(voting,'Mark Kelly'!C202)))&gt;0)</f>
        <v>0</v>
      </c>
      <c r="Y202" s="14" cm="1">
        <f t="array" ref="Y202">INT(SUMPRODUCT(--ISNUMBER(SEARCH(democrattrigger,'Mark Kelly'!C202)))&gt;0)</f>
        <v>0</v>
      </c>
      <c r="Z202" s="14" cm="1">
        <f t="array" ref="Z202">INT(SUMPRODUCT(--ISNUMBER(SEARCH(bipartisan,'Mark Kelly'!C202)))&gt;0)</f>
        <v>1</v>
      </c>
      <c r="AA202" s="14">
        <f t="shared" si="3"/>
        <v>0</v>
      </c>
      <c r="AB202" s="14"/>
      <c r="AC202" s="30" t="s">
        <v>223</v>
      </c>
      <c r="AD202" s="37"/>
    </row>
    <row r="203" spans="1:30" x14ac:dyDescent="0.25">
      <c r="A203" s="36">
        <v>287</v>
      </c>
      <c r="B203" s="14" t="s">
        <v>605</v>
      </c>
      <c r="C203" s="31" t="s">
        <v>606</v>
      </c>
      <c r="D203" s="17">
        <v>44111</v>
      </c>
      <c r="E203" s="14" t="s">
        <v>30</v>
      </c>
      <c r="F203" s="14">
        <v>6801</v>
      </c>
      <c r="G203" s="14">
        <v>1718</v>
      </c>
      <c r="H203" s="14">
        <v>2</v>
      </c>
      <c r="I203" s="14">
        <v>1</v>
      </c>
      <c r="J203" s="14" t="s">
        <v>204</v>
      </c>
      <c r="K203" s="14" cm="1">
        <f t="array" ref="K203">INT(SUMPRODUCT(--ISNUMBER(SEARCH(economy,'Mark Kelly'!C203)))&gt;0)</f>
        <v>0</v>
      </c>
      <c r="L203" s="14" cm="1">
        <f t="array" ref="L203">INT(SUMPRODUCT(--ISNUMBER(SEARCH(healthcare,'Mark Kelly'!C203)))&gt;0)</f>
        <v>1</v>
      </c>
      <c r="M203" s="14" cm="1">
        <f t="array" ref="M203">INT(SUMPRODUCT(--ISNUMBER(SEARCH(supreme,'Mark Kelly'!C203)))&gt;0)</f>
        <v>0</v>
      </c>
      <c r="N203" s="14" cm="1">
        <f t="array" ref="N203">INT(SUMPRODUCT(--ISNUMBER(SEARCH(covid,'Mark Kelly'!C203)))&gt;0)</f>
        <v>0</v>
      </c>
      <c r="O203" s="14" cm="1">
        <f t="array" ref="O203">INT(SUMPRODUCT(--ISNUMBER(SEARCH(violent,'Mark Kelly'!C203)))&gt;0)</f>
        <v>0</v>
      </c>
      <c r="P203" s="14" cm="1">
        <f t="array" ref="P203">INT(SUMPRODUCT(--ISNUMBER(SEARCH(foreign,'Mark Kelly'!C203)))&gt;0)</f>
        <v>0</v>
      </c>
      <c r="Q203" s="14" cm="1">
        <f t="array" ref="Q203">INT(SUMPRODUCT(--ISNUMBER(SEARCH(gun,'Mark Kelly'!C203)))&gt;0)</f>
        <v>0</v>
      </c>
      <c r="R203" s="14" cm="1">
        <f t="array" ref="R203">INT(SUMPRODUCT(--ISNUMBER(SEARCH(race,'Mark Kelly'!C203)))&gt;0)</f>
        <v>0</v>
      </c>
      <c r="S203" s="14" cm="1">
        <f t="array" ref="S203">INT(SUMPRODUCT(--ISNUMBER(SEARCH(immigration,C203)))&gt;0)</f>
        <v>0</v>
      </c>
      <c r="T203" s="14" cm="1">
        <f t="array" ref="T203">INT(SUMPRODUCT(--ISNUMBER(SEARCH(econineq,C203)))&gt;0)</f>
        <v>0</v>
      </c>
      <c r="U203" s="14" cm="1">
        <f t="array" ref="U203">INT(SUMPRODUCT(--ISNUMBER(SEARCH(climate,'Mark Kelly'!C203)))&gt;0)</f>
        <v>0</v>
      </c>
      <c r="V203" s="14" cm="1">
        <f t="array" ref="V203">INT(SUMPRODUCT(--ISNUMBER(SEARCH(abortion,'Mark Kelly'!C203)))&gt;0)</f>
        <v>0</v>
      </c>
      <c r="W203" s="14" cm="1">
        <f t="array" ref="W203">INT(SUMPRODUCT(--ISNUMBER(SEARCH(trump,'Mark Kelly'!C203)))&gt;0)</f>
        <v>0</v>
      </c>
      <c r="X203" s="14" cm="1">
        <f t="array" ref="X203">INT(SUMPRODUCT(--ISNUMBER(SEARCH(voting,'Mark Kelly'!C203)))&gt;0)</f>
        <v>0</v>
      </c>
      <c r="Y203" s="14" cm="1">
        <f t="array" ref="Y203">INT(SUMPRODUCT(--ISNUMBER(SEARCH(democrattrigger,'Mark Kelly'!C203)))&gt;0)</f>
        <v>0</v>
      </c>
      <c r="Z203" s="14" cm="1">
        <f t="array" ref="Z203">INT(SUMPRODUCT(--ISNUMBER(SEARCH(bipartisan,'Mark Kelly'!C203)))&gt;0)</f>
        <v>0</v>
      </c>
      <c r="AA203" s="14">
        <f t="shared" si="3"/>
        <v>0</v>
      </c>
      <c r="AB203" s="14"/>
      <c r="AC203" s="30" t="s">
        <v>223</v>
      </c>
      <c r="AD203" s="37"/>
    </row>
    <row r="204" spans="1:30" x14ac:dyDescent="0.25">
      <c r="A204" s="36">
        <v>288</v>
      </c>
      <c r="B204" s="14" t="s">
        <v>607</v>
      </c>
      <c r="C204" s="31" t="s">
        <v>608</v>
      </c>
      <c r="D204" s="17">
        <v>44111</v>
      </c>
      <c r="E204" s="14" t="s">
        <v>30</v>
      </c>
      <c r="F204" s="14">
        <v>21161</v>
      </c>
      <c r="G204" s="14">
        <v>5075</v>
      </c>
      <c r="H204" s="14">
        <v>2</v>
      </c>
      <c r="I204" s="14">
        <v>1</v>
      </c>
      <c r="J204" s="14" t="s">
        <v>204</v>
      </c>
      <c r="K204" s="14" cm="1">
        <f t="array" ref="K204">INT(SUMPRODUCT(--ISNUMBER(SEARCH(economy,'Mark Kelly'!C204)))&gt;0)</f>
        <v>0</v>
      </c>
      <c r="L204" s="14" cm="1">
        <f t="array" ref="L204">INT(SUMPRODUCT(--ISNUMBER(SEARCH(healthcare,'Mark Kelly'!C204)))&gt;0)</f>
        <v>1</v>
      </c>
      <c r="M204" s="14" cm="1">
        <f t="array" ref="M204">INT(SUMPRODUCT(--ISNUMBER(SEARCH(supreme,'Mark Kelly'!C204)))&gt;0)</f>
        <v>0</v>
      </c>
      <c r="N204" s="14" cm="1">
        <f t="array" ref="N204">INT(SUMPRODUCT(--ISNUMBER(SEARCH(covid,'Mark Kelly'!C204)))&gt;0)</f>
        <v>0</v>
      </c>
      <c r="O204" s="14" cm="1">
        <f t="array" ref="O204">INT(SUMPRODUCT(--ISNUMBER(SEARCH(violent,'Mark Kelly'!C204)))&gt;0)</f>
        <v>0</v>
      </c>
      <c r="P204" s="14" cm="1">
        <f t="array" ref="P204">INT(SUMPRODUCT(--ISNUMBER(SEARCH(foreign,'Mark Kelly'!C204)))&gt;0)</f>
        <v>0</v>
      </c>
      <c r="Q204" s="14" cm="1">
        <f t="array" ref="Q204">INT(SUMPRODUCT(--ISNUMBER(SEARCH(gun,'Mark Kelly'!C204)))&gt;0)</f>
        <v>0</v>
      </c>
      <c r="R204" s="14" cm="1">
        <f t="array" ref="R204">INT(SUMPRODUCT(--ISNUMBER(SEARCH(race,'Mark Kelly'!C204)))&gt;0)</f>
        <v>0</v>
      </c>
      <c r="S204" s="14" cm="1">
        <f t="array" ref="S204">INT(SUMPRODUCT(--ISNUMBER(SEARCH(immigration,C204)))&gt;0)</f>
        <v>0</v>
      </c>
      <c r="T204" s="14" cm="1">
        <f t="array" ref="T204">INT(SUMPRODUCT(--ISNUMBER(SEARCH(econineq,C204)))&gt;0)</f>
        <v>0</v>
      </c>
      <c r="U204" s="14" cm="1">
        <f t="array" ref="U204">INT(SUMPRODUCT(--ISNUMBER(SEARCH(climate,'Mark Kelly'!C204)))&gt;0)</f>
        <v>0</v>
      </c>
      <c r="V204" s="14" cm="1">
        <f t="array" ref="V204">INT(SUMPRODUCT(--ISNUMBER(SEARCH(abortion,'Mark Kelly'!C204)))&gt;0)</f>
        <v>0</v>
      </c>
      <c r="W204" s="14" cm="1">
        <f t="array" ref="W204">INT(SUMPRODUCT(--ISNUMBER(SEARCH(trump,'Mark Kelly'!C204)))&gt;0)</f>
        <v>0</v>
      </c>
      <c r="X204" s="14" cm="1">
        <f t="array" ref="X204">INT(SUMPRODUCT(--ISNUMBER(SEARCH(voting,'Mark Kelly'!C204)))&gt;0)</f>
        <v>1</v>
      </c>
      <c r="Y204" s="14" cm="1">
        <f t="array" ref="Y204">INT(SUMPRODUCT(--ISNUMBER(SEARCH(democrattrigger,'Mark Kelly'!C204)))&gt;0)</f>
        <v>1</v>
      </c>
      <c r="Z204" s="14" cm="1">
        <f t="array" ref="Z204">INT(SUMPRODUCT(--ISNUMBER(SEARCH(bipartisan,'Mark Kelly'!C204)))&gt;0)</f>
        <v>1</v>
      </c>
      <c r="AA204" s="14">
        <f t="shared" si="3"/>
        <v>0</v>
      </c>
      <c r="AB204" s="14"/>
      <c r="AC204" s="30" t="s">
        <v>223</v>
      </c>
      <c r="AD204" s="37"/>
    </row>
    <row r="205" spans="1:30" x14ac:dyDescent="0.25">
      <c r="A205" s="36">
        <v>289</v>
      </c>
      <c r="B205" s="14" t="s">
        <v>609</v>
      </c>
      <c r="C205" s="31" t="s">
        <v>610</v>
      </c>
      <c r="D205" s="17">
        <v>44111</v>
      </c>
      <c r="E205" s="14" t="s">
        <v>30</v>
      </c>
      <c r="F205" s="14">
        <v>1125</v>
      </c>
      <c r="G205" s="14">
        <v>287</v>
      </c>
      <c r="H205" s="14">
        <v>2</v>
      </c>
      <c r="I205" s="14">
        <v>1</v>
      </c>
      <c r="J205" s="14" t="s">
        <v>204</v>
      </c>
      <c r="K205" s="14" cm="1">
        <f t="array" ref="K205">INT(SUMPRODUCT(--ISNUMBER(SEARCH(economy,'Mark Kelly'!C205)))&gt;0)</f>
        <v>0</v>
      </c>
      <c r="L205" s="14" cm="1">
        <f t="array" ref="L205">INT(SUMPRODUCT(--ISNUMBER(SEARCH(healthcare,'Mark Kelly'!C205)))&gt;0)</f>
        <v>1</v>
      </c>
      <c r="M205" s="14" cm="1">
        <f t="array" ref="M205">INT(SUMPRODUCT(--ISNUMBER(SEARCH(supreme,'Mark Kelly'!C205)))&gt;0)</f>
        <v>0</v>
      </c>
      <c r="N205" s="14" cm="1">
        <f t="array" ref="N205">INT(SUMPRODUCT(--ISNUMBER(SEARCH(covid,'Mark Kelly'!C205)))&gt;0)</f>
        <v>0</v>
      </c>
      <c r="O205" s="14" cm="1">
        <f t="array" ref="O205">INT(SUMPRODUCT(--ISNUMBER(SEARCH(violent,'Mark Kelly'!C205)))&gt;0)</f>
        <v>0</v>
      </c>
      <c r="P205" s="14" cm="1">
        <f t="array" ref="P205">INT(SUMPRODUCT(--ISNUMBER(SEARCH(foreign,'Mark Kelly'!C205)))&gt;0)</f>
        <v>0</v>
      </c>
      <c r="Q205" s="14" cm="1">
        <f t="array" ref="Q205">INT(SUMPRODUCT(--ISNUMBER(SEARCH(gun,'Mark Kelly'!C205)))&gt;0)</f>
        <v>0</v>
      </c>
      <c r="R205" s="14" cm="1">
        <f t="array" ref="R205">INT(SUMPRODUCT(--ISNUMBER(SEARCH(race,'Mark Kelly'!C205)))&gt;0)</f>
        <v>0</v>
      </c>
      <c r="S205" s="14" cm="1">
        <f t="array" ref="S205">INT(SUMPRODUCT(--ISNUMBER(SEARCH(immigration,C205)))&gt;0)</f>
        <v>0</v>
      </c>
      <c r="T205" s="14" cm="1">
        <f t="array" ref="T205">INT(SUMPRODUCT(--ISNUMBER(SEARCH(econineq,C205)))&gt;0)</f>
        <v>0</v>
      </c>
      <c r="U205" s="14" cm="1">
        <f t="array" ref="U205">INT(SUMPRODUCT(--ISNUMBER(SEARCH(climate,'Mark Kelly'!C205)))&gt;0)</f>
        <v>0</v>
      </c>
      <c r="V205" s="14" cm="1">
        <f t="array" ref="V205">INT(SUMPRODUCT(--ISNUMBER(SEARCH(abortion,'Mark Kelly'!C205)))&gt;0)</f>
        <v>0</v>
      </c>
      <c r="W205" s="14" cm="1">
        <f t="array" ref="W205">INT(SUMPRODUCT(--ISNUMBER(SEARCH(trump,'Mark Kelly'!C205)))&gt;0)</f>
        <v>0</v>
      </c>
      <c r="X205" s="14" cm="1">
        <f t="array" ref="X205">INT(SUMPRODUCT(--ISNUMBER(SEARCH(voting,'Mark Kelly'!C205)))&gt;0)</f>
        <v>0</v>
      </c>
      <c r="Y205" s="14" cm="1">
        <f t="array" ref="Y205">INT(SUMPRODUCT(--ISNUMBER(SEARCH(democrattrigger,'Mark Kelly'!C205)))&gt;0)</f>
        <v>0</v>
      </c>
      <c r="Z205" s="14" cm="1">
        <f t="array" ref="Z205">INT(SUMPRODUCT(--ISNUMBER(SEARCH(bipartisan,'Mark Kelly'!C205)))&gt;0)</f>
        <v>0</v>
      </c>
      <c r="AA205" s="14">
        <f t="shared" si="3"/>
        <v>0</v>
      </c>
      <c r="AB205" s="14"/>
      <c r="AC205" s="30">
        <v>0</v>
      </c>
      <c r="AD205" s="37">
        <v>1</v>
      </c>
    </row>
    <row r="206" spans="1:30" x14ac:dyDescent="0.25">
      <c r="A206" s="36">
        <v>290</v>
      </c>
      <c r="B206" s="14" t="s">
        <v>611</v>
      </c>
      <c r="C206" s="31" t="s">
        <v>612</v>
      </c>
      <c r="D206" s="17">
        <v>44111</v>
      </c>
      <c r="E206" s="14" t="s">
        <v>30</v>
      </c>
      <c r="F206" s="14">
        <v>1388</v>
      </c>
      <c r="G206" s="14">
        <v>362</v>
      </c>
      <c r="H206" s="14">
        <v>2</v>
      </c>
      <c r="I206" s="14">
        <v>1</v>
      </c>
      <c r="J206" s="14" t="s">
        <v>204</v>
      </c>
      <c r="K206" s="14" cm="1">
        <f t="array" ref="K206">INT(SUMPRODUCT(--ISNUMBER(SEARCH(economy,'Mark Kelly'!C206)))&gt;0)</f>
        <v>0</v>
      </c>
      <c r="L206" s="14" cm="1">
        <f t="array" ref="L206">INT(SUMPRODUCT(--ISNUMBER(SEARCH(healthcare,'Mark Kelly'!C206)))&gt;0)</f>
        <v>1</v>
      </c>
      <c r="M206" s="14" cm="1">
        <f t="array" ref="M206">INT(SUMPRODUCT(--ISNUMBER(SEARCH(supreme,'Mark Kelly'!C206)))&gt;0)</f>
        <v>0</v>
      </c>
      <c r="N206" s="14" cm="1">
        <f t="array" ref="N206">INT(SUMPRODUCT(--ISNUMBER(SEARCH(covid,'Mark Kelly'!C206)))&gt;0)</f>
        <v>0</v>
      </c>
      <c r="O206" s="14" cm="1">
        <f t="array" ref="O206">INT(SUMPRODUCT(--ISNUMBER(SEARCH(violent,'Mark Kelly'!C206)))&gt;0)</f>
        <v>0</v>
      </c>
      <c r="P206" s="14" cm="1">
        <f t="array" ref="P206">INT(SUMPRODUCT(--ISNUMBER(SEARCH(foreign,'Mark Kelly'!C206)))&gt;0)</f>
        <v>0</v>
      </c>
      <c r="Q206" s="14" cm="1">
        <f t="array" ref="Q206">INT(SUMPRODUCT(--ISNUMBER(SEARCH(gun,'Mark Kelly'!C206)))&gt;0)</f>
        <v>0</v>
      </c>
      <c r="R206" s="14" cm="1">
        <f t="array" ref="R206">INT(SUMPRODUCT(--ISNUMBER(SEARCH(race,'Mark Kelly'!C206)))&gt;0)</f>
        <v>0</v>
      </c>
      <c r="S206" s="14" cm="1">
        <f t="array" ref="S206">INT(SUMPRODUCT(--ISNUMBER(SEARCH(immigration,C206)))&gt;0)</f>
        <v>0</v>
      </c>
      <c r="T206" s="14" cm="1">
        <f t="array" ref="T206">INT(SUMPRODUCT(--ISNUMBER(SEARCH(econineq,C206)))&gt;0)</f>
        <v>0</v>
      </c>
      <c r="U206" s="14" cm="1">
        <f t="array" ref="U206">INT(SUMPRODUCT(--ISNUMBER(SEARCH(climate,'Mark Kelly'!C206)))&gt;0)</f>
        <v>0</v>
      </c>
      <c r="V206" s="14" cm="1">
        <f t="array" ref="V206">INT(SUMPRODUCT(--ISNUMBER(SEARCH(abortion,'Mark Kelly'!C206)))&gt;0)</f>
        <v>0</v>
      </c>
      <c r="W206" s="14" cm="1">
        <f t="array" ref="W206">INT(SUMPRODUCT(--ISNUMBER(SEARCH(trump,'Mark Kelly'!C206)))&gt;0)</f>
        <v>0</v>
      </c>
      <c r="X206" s="14" cm="1">
        <f t="array" ref="X206">INT(SUMPRODUCT(--ISNUMBER(SEARCH(voting,'Mark Kelly'!C206)))&gt;0)</f>
        <v>0</v>
      </c>
      <c r="Y206" s="14" cm="1">
        <f t="array" ref="Y206">INT(SUMPRODUCT(--ISNUMBER(SEARCH(democrattrigger,'Mark Kelly'!C206)))&gt;0)</f>
        <v>0</v>
      </c>
      <c r="Z206" s="14" cm="1">
        <f t="array" ref="Z206">INT(SUMPRODUCT(--ISNUMBER(SEARCH(bipartisan,'Mark Kelly'!C206)))&gt;0)</f>
        <v>0</v>
      </c>
      <c r="AA206" s="14">
        <f t="shared" si="3"/>
        <v>0</v>
      </c>
      <c r="AB206" s="14"/>
      <c r="AC206" s="30">
        <v>1</v>
      </c>
      <c r="AD206" s="37"/>
    </row>
    <row r="207" spans="1:30" x14ac:dyDescent="0.25">
      <c r="A207" s="36">
        <v>291</v>
      </c>
      <c r="B207" s="14" t="s">
        <v>613</v>
      </c>
      <c r="C207" s="31" t="s">
        <v>614</v>
      </c>
      <c r="D207" s="17">
        <v>44111</v>
      </c>
      <c r="E207" s="14" t="s">
        <v>30</v>
      </c>
      <c r="F207" s="14">
        <v>1007</v>
      </c>
      <c r="G207" s="14">
        <v>351</v>
      </c>
      <c r="H207" s="14">
        <v>2</v>
      </c>
      <c r="I207" s="14">
        <v>1</v>
      </c>
      <c r="J207" s="14" t="s">
        <v>204</v>
      </c>
      <c r="K207" s="14" cm="1">
        <f t="array" ref="K207">INT(SUMPRODUCT(--ISNUMBER(SEARCH(economy,'Mark Kelly'!C207)))&gt;0)</f>
        <v>0</v>
      </c>
      <c r="L207" s="14" cm="1">
        <f t="array" ref="L207">INT(SUMPRODUCT(--ISNUMBER(SEARCH(healthcare,'Mark Kelly'!C207)))&gt;0)</f>
        <v>1</v>
      </c>
      <c r="M207" s="14" cm="1">
        <f t="array" ref="M207">INT(SUMPRODUCT(--ISNUMBER(SEARCH(supreme,'Mark Kelly'!C207)))&gt;0)</f>
        <v>0</v>
      </c>
      <c r="N207" s="14" cm="1">
        <f t="array" ref="N207">INT(SUMPRODUCT(--ISNUMBER(SEARCH(covid,'Mark Kelly'!C207)))&gt;0)</f>
        <v>1</v>
      </c>
      <c r="O207" s="14" cm="1">
        <f t="array" ref="O207">INT(SUMPRODUCT(--ISNUMBER(SEARCH(violent,'Mark Kelly'!C207)))&gt;0)</f>
        <v>0</v>
      </c>
      <c r="P207" s="14" cm="1">
        <f t="array" ref="P207">INT(SUMPRODUCT(--ISNUMBER(SEARCH(foreign,'Mark Kelly'!C207)))&gt;0)</f>
        <v>0</v>
      </c>
      <c r="Q207" s="14" cm="1">
        <f t="array" ref="Q207">INT(SUMPRODUCT(--ISNUMBER(SEARCH(gun,'Mark Kelly'!C207)))&gt;0)</f>
        <v>0</v>
      </c>
      <c r="R207" s="14" cm="1">
        <f t="array" ref="R207">INT(SUMPRODUCT(--ISNUMBER(SEARCH(race,'Mark Kelly'!C207)))&gt;0)</f>
        <v>0</v>
      </c>
      <c r="S207" s="14" cm="1">
        <f t="array" ref="S207">INT(SUMPRODUCT(--ISNUMBER(SEARCH(immigration,C207)))&gt;0)</f>
        <v>0</v>
      </c>
      <c r="T207" s="14" cm="1">
        <f t="array" ref="T207">INT(SUMPRODUCT(--ISNUMBER(SEARCH(econineq,C207)))&gt;0)</f>
        <v>0</v>
      </c>
      <c r="U207" s="14" cm="1">
        <f t="array" ref="U207">INT(SUMPRODUCT(--ISNUMBER(SEARCH(climate,'Mark Kelly'!C207)))&gt;0)</f>
        <v>0</v>
      </c>
      <c r="V207" s="14" cm="1">
        <f t="array" ref="V207">INT(SUMPRODUCT(--ISNUMBER(SEARCH(abortion,'Mark Kelly'!C207)))&gt;0)</f>
        <v>0</v>
      </c>
      <c r="W207" s="14" cm="1">
        <f t="array" ref="W207">INT(SUMPRODUCT(--ISNUMBER(SEARCH(trump,'Mark Kelly'!C207)))&gt;0)</f>
        <v>0</v>
      </c>
      <c r="X207" s="14" cm="1">
        <f t="array" ref="X207">INT(SUMPRODUCT(--ISNUMBER(SEARCH(voting,'Mark Kelly'!C207)))&gt;0)</f>
        <v>0</v>
      </c>
      <c r="Y207" s="14" cm="1">
        <f t="array" ref="Y207">INT(SUMPRODUCT(--ISNUMBER(SEARCH(democrattrigger,'Mark Kelly'!C207)))&gt;0)</f>
        <v>0</v>
      </c>
      <c r="Z207" s="14" cm="1">
        <f t="array" ref="Z207">INT(SUMPRODUCT(--ISNUMBER(SEARCH(bipartisan,'Mark Kelly'!C207)))&gt;0)</f>
        <v>0</v>
      </c>
      <c r="AA207" s="14">
        <f t="shared" si="3"/>
        <v>0</v>
      </c>
      <c r="AB207" s="14"/>
      <c r="AC207" s="30">
        <v>0</v>
      </c>
      <c r="AD207" s="37">
        <v>1</v>
      </c>
    </row>
    <row r="208" spans="1:30" x14ac:dyDescent="0.25">
      <c r="A208" s="36">
        <v>292</v>
      </c>
      <c r="B208" s="14" t="s">
        <v>615</v>
      </c>
      <c r="C208" s="31" t="s">
        <v>616</v>
      </c>
      <c r="D208" s="17">
        <v>44111</v>
      </c>
      <c r="E208" s="14" t="s">
        <v>30</v>
      </c>
      <c r="F208" s="14">
        <v>979</v>
      </c>
      <c r="G208" s="14">
        <v>292</v>
      </c>
      <c r="H208" s="14">
        <v>2</v>
      </c>
      <c r="I208" s="14">
        <v>1</v>
      </c>
      <c r="J208" s="14" t="s">
        <v>204</v>
      </c>
      <c r="K208" s="14" cm="1">
        <f t="array" ref="K208">INT(SUMPRODUCT(--ISNUMBER(SEARCH(economy,'Mark Kelly'!C208)))&gt;0)</f>
        <v>0</v>
      </c>
      <c r="L208" s="14" cm="1">
        <f t="array" ref="L208">INT(SUMPRODUCT(--ISNUMBER(SEARCH(healthcare,'Mark Kelly'!C208)))&gt;0)</f>
        <v>0</v>
      </c>
      <c r="M208" s="14" cm="1">
        <f t="array" ref="M208">INT(SUMPRODUCT(--ISNUMBER(SEARCH(supreme,'Mark Kelly'!C208)))&gt;0)</f>
        <v>0</v>
      </c>
      <c r="N208" s="14" cm="1">
        <f t="array" ref="N208">INT(SUMPRODUCT(--ISNUMBER(SEARCH(covid,'Mark Kelly'!C208)))&gt;0)</f>
        <v>0</v>
      </c>
      <c r="O208" s="14" cm="1">
        <f t="array" ref="O208">INT(SUMPRODUCT(--ISNUMBER(SEARCH(violent,'Mark Kelly'!C208)))&gt;0)</f>
        <v>0</v>
      </c>
      <c r="P208" s="14" cm="1">
        <f t="array" ref="P208">INT(SUMPRODUCT(--ISNUMBER(SEARCH(foreign,'Mark Kelly'!C208)))&gt;0)</f>
        <v>0</v>
      </c>
      <c r="Q208" s="14" cm="1">
        <f t="array" ref="Q208">INT(SUMPRODUCT(--ISNUMBER(SEARCH(gun,'Mark Kelly'!C208)))&gt;0)</f>
        <v>0</v>
      </c>
      <c r="R208" s="14" cm="1">
        <f t="array" ref="R208">INT(SUMPRODUCT(--ISNUMBER(SEARCH(race,'Mark Kelly'!C208)))&gt;0)</f>
        <v>0</v>
      </c>
      <c r="S208" s="14" cm="1">
        <f t="array" ref="S208">INT(SUMPRODUCT(--ISNUMBER(SEARCH(immigration,C208)))&gt;0)</f>
        <v>0</v>
      </c>
      <c r="T208" s="14" cm="1">
        <f t="array" ref="T208">INT(SUMPRODUCT(--ISNUMBER(SEARCH(econineq,C208)))&gt;0)</f>
        <v>0</v>
      </c>
      <c r="U208" s="14" cm="1">
        <f t="array" ref="U208">INT(SUMPRODUCT(--ISNUMBER(SEARCH(climate,'Mark Kelly'!C208)))&gt;0)</f>
        <v>0</v>
      </c>
      <c r="V208" s="14" cm="1">
        <f t="array" ref="V208">INT(SUMPRODUCT(--ISNUMBER(SEARCH(abortion,'Mark Kelly'!C208)))&gt;0)</f>
        <v>0</v>
      </c>
      <c r="W208" s="14" cm="1">
        <f t="array" ref="W208">INT(SUMPRODUCT(--ISNUMBER(SEARCH(trump,'Mark Kelly'!C208)))&gt;0)</f>
        <v>0</v>
      </c>
      <c r="X208" s="14" cm="1">
        <f t="array" ref="X208">INT(SUMPRODUCT(--ISNUMBER(SEARCH(voting,'Mark Kelly'!C208)))&gt;0)</f>
        <v>1</v>
      </c>
      <c r="Y208" s="14" cm="1">
        <f t="array" ref="Y208">INT(SUMPRODUCT(--ISNUMBER(SEARCH(democrattrigger,'Mark Kelly'!C208)))&gt;0)</f>
        <v>0</v>
      </c>
      <c r="Z208" s="14" cm="1">
        <f t="array" ref="Z208">INT(SUMPRODUCT(--ISNUMBER(SEARCH(bipartisan,'Mark Kelly'!C208)))&gt;0)</f>
        <v>0</v>
      </c>
      <c r="AA208" s="14">
        <f t="shared" si="3"/>
        <v>0</v>
      </c>
      <c r="AB208" s="14"/>
      <c r="AC208" s="30">
        <v>0</v>
      </c>
      <c r="AD208" s="37">
        <v>1</v>
      </c>
    </row>
    <row r="209" spans="1:30" x14ac:dyDescent="0.25">
      <c r="A209" s="36">
        <v>293</v>
      </c>
      <c r="B209" s="14" t="s">
        <v>617</v>
      </c>
      <c r="C209" s="31" t="s">
        <v>618</v>
      </c>
      <c r="D209" s="17">
        <v>44111</v>
      </c>
      <c r="E209" s="14" t="s">
        <v>30</v>
      </c>
      <c r="F209" s="14">
        <v>1715</v>
      </c>
      <c r="G209" s="14">
        <v>531</v>
      </c>
      <c r="H209" s="14">
        <v>2</v>
      </c>
      <c r="I209" s="14">
        <v>1</v>
      </c>
      <c r="J209" s="14" t="s">
        <v>204</v>
      </c>
      <c r="K209" s="14" cm="1">
        <f t="array" ref="K209">INT(SUMPRODUCT(--ISNUMBER(SEARCH(economy,'Mark Kelly'!C209)))&gt;0)</f>
        <v>0</v>
      </c>
      <c r="L209" s="14" cm="1">
        <f t="array" ref="L209">INT(SUMPRODUCT(--ISNUMBER(SEARCH(healthcare,'Mark Kelly'!C209)))&gt;0)</f>
        <v>1</v>
      </c>
      <c r="M209" s="14" cm="1">
        <f t="array" ref="M209">INT(SUMPRODUCT(--ISNUMBER(SEARCH(supreme,'Mark Kelly'!C209)))&gt;0)</f>
        <v>0</v>
      </c>
      <c r="N209" s="14" cm="1">
        <f t="array" ref="N209">INT(SUMPRODUCT(--ISNUMBER(SEARCH(covid,'Mark Kelly'!C209)))&gt;0)</f>
        <v>0</v>
      </c>
      <c r="O209" s="14" cm="1">
        <f t="array" ref="O209">INT(SUMPRODUCT(--ISNUMBER(SEARCH(violent,'Mark Kelly'!C209)))&gt;0)</f>
        <v>0</v>
      </c>
      <c r="P209" s="14" cm="1">
        <f t="array" ref="P209">INT(SUMPRODUCT(--ISNUMBER(SEARCH(foreign,'Mark Kelly'!C209)))&gt;0)</f>
        <v>0</v>
      </c>
      <c r="Q209" s="14" cm="1">
        <f t="array" ref="Q209">INT(SUMPRODUCT(--ISNUMBER(SEARCH(gun,'Mark Kelly'!C209)))&gt;0)</f>
        <v>0</v>
      </c>
      <c r="R209" s="14" cm="1">
        <f t="array" ref="R209">INT(SUMPRODUCT(--ISNUMBER(SEARCH(race,'Mark Kelly'!C209)))&gt;0)</f>
        <v>0</v>
      </c>
      <c r="S209" s="14" cm="1">
        <f t="array" ref="S209">INT(SUMPRODUCT(--ISNUMBER(SEARCH(immigration,C209)))&gt;0)</f>
        <v>0</v>
      </c>
      <c r="T209" s="14" cm="1">
        <f t="array" ref="T209">INT(SUMPRODUCT(--ISNUMBER(SEARCH(econineq,C209)))&gt;0)</f>
        <v>0</v>
      </c>
      <c r="U209" s="14" cm="1">
        <f t="array" ref="U209">INT(SUMPRODUCT(--ISNUMBER(SEARCH(climate,'Mark Kelly'!C209)))&gt;0)</f>
        <v>0</v>
      </c>
      <c r="V209" s="14" cm="1">
        <f t="array" ref="V209">INT(SUMPRODUCT(--ISNUMBER(SEARCH(abortion,'Mark Kelly'!C209)))&gt;0)</f>
        <v>0</v>
      </c>
      <c r="W209" s="14" cm="1">
        <f t="array" ref="W209">INT(SUMPRODUCT(--ISNUMBER(SEARCH(trump,'Mark Kelly'!C209)))&gt;0)</f>
        <v>0</v>
      </c>
      <c r="X209" s="14" cm="1">
        <f t="array" ref="X209">INT(SUMPRODUCT(--ISNUMBER(SEARCH(voting,'Mark Kelly'!C209)))&gt;0)</f>
        <v>0</v>
      </c>
      <c r="Y209" s="14" cm="1">
        <f t="array" ref="Y209">INT(SUMPRODUCT(--ISNUMBER(SEARCH(democrattrigger,'Mark Kelly'!C209)))&gt;0)</f>
        <v>1</v>
      </c>
      <c r="Z209" s="14" cm="1">
        <f t="array" ref="Z209">INT(SUMPRODUCT(--ISNUMBER(SEARCH(bipartisan,'Mark Kelly'!C209)))&gt;0)</f>
        <v>0</v>
      </c>
      <c r="AA209" s="14">
        <f t="shared" si="3"/>
        <v>0</v>
      </c>
      <c r="AB209" s="14"/>
      <c r="AC209" s="30">
        <v>1</v>
      </c>
      <c r="AD209" s="37">
        <v>0</v>
      </c>
    </row>
    <row r="210" spans="1:30" x14ac:dyDescent="0.25">
      <c r="A210" s="36">
        <v>294</v>
      </c>
      <c r="B210" s="14" t="s">
        <v>619</v>
      </c>
      <c r="C210" s="31" t="s">
        <v>620</v>
      </c>
      <c r="D210" s="17">
        <v>44111</v>
      </c>
      <c r="E210" s="14" t="s">
        <v>30</v>
      </c>
      <c r="F210" s="14">
        <v>4282</v>
      </c>
      <c r="G210" s="14">
        <v>921</v>
      </c>
      <c r="H210" s="14">
        <v>2</v>
      </c>
      <c r="I210" s="14">
        <v>1</v>
      </c>
      <c r="J210" s="14" t="s">
        <v>204</v>
      </c>
      <c r="K210" s="14" cm="1">
        <f t="array" ref="K210">INT(SUMPRODUCT(--ISNUMBER(SEARCH(economy,'Mark Kelly'!C210)))&gt;0)</f>
        <v>0</v>
      </c>
      <c r="L210" s="14" cm="1">
        <f t="array" ref="L210">INT(SUMPRODUCT(--ISNUMBER(SEARCH(healthcare,'Mark Kelly'!C210)))&gt;0)</f>
        <v>0</v>
      </c>
      <c r="M210" s="14" cm="1">
        <f t="array" ref="M210">INT(SUMPRODUCT(--ISNUMBER(SEARCH(supreme,'Mark Kelly'!C210)))&gt;0)</f>
        <v>0</v>
      </c>
      <c r="N210" s="14" cm="1">
        <f t="array" ref="N210">INT(SUMPRODUCT(--ISNUMBER(SEARCH(covid,'Mark Kelly'!C210)))&gt;0)</f>
        <v>1</v>
      </c>
      <c r="O210" s="14" cm="1">
        <f t="array" ref="O210">INT(SUMPRODUCT(--ISNUMBER(SEARCH(violent,'Mark Kelly'!C210)))&gt;0)</f>
        <v>0</v>
      </c>
      <c r="P210" s="14" cm="1">
        <f t="array" ref="P210">INT(SUMPRODUCT(--ISNUMBER(SEARCH(foreign,'Mark Kelly'!C210)))&gt;0)</f>
        <v>0</v>
      </c>
      <c r="Q210" s="14" cm="1">
        <f t="array" ref="Q210">INT(SUMPRODUCT(--ISNUMBER(SEARCH(gun,'Mark Kelly'!C210)))&gt;0)</f>
        <v>0</v>
      </c>
      <c r="R210" s="14" cm="1">
        <f t="array" ref="R210">INT(SUMPRODUCT(--ISNUMBER(SEARCH(race,'Mark Kelly'!C210)))&gt;0)</f>
        <v>0</v>
      </c>
      <c r="S210" s="14" cm="1">
        <f t="array" ref="S210">INT(SUMPRODUCT(--ISNUMBER(SEARCH(immigration,C210)))&gt;0)</f>
        <v>0</v>
      </c>
      <c r="T210" s="14" cm="1">
        <f t="array" ref="T210">INT(SUMPRODUCT(--ISNUMBER(SEARCH(econineq,C210)))&gt;0)</f>
        <v>0</v>
      </c>
      <c r="U210" s="14" cm="1">
        <f t="array" ref="U210">INT(SUMPRODUCT(--ISNUMBER(SEARCH(climate,'Mark Kelly'!C210)))&gt;0)</f>
        <v>0</v>
      </c>
      <c r="V210" s="14" cm="1">
        <f t="array" ref="V210">INT(SUMPRODUCT(--ISNUMBER(SEARCH(abortion,'Mark Kelly'!C210)))&gt;0)</f>
        <v>0</v>
      </c>
      <c r="W210" s="14" cm="1">
        <f t="array" ref="W210">INT(SUMPRODUCT(--ISNUMBER(SEARCH(trump,'Mark Kelly'!C210)))&gt;0)</f>
        <v>0</v>
      </c>
      <c r="X210" s="14" cm="1">
        <f t="array" ref="X210">INT(SUMPRODUCT(--ISNUMBER(SEARCH(voting,'Mark Kelly'!C210)))&gt;0)</f>
        <v>0</v>
      </c>
      <c r="Y210" s="14" cm="1">
        <f t="array" ref="Y210">INT(SUMPRODUCT(--ISNUMBER(SEARCH(democrattrigger,'Mark Kelly'!C210)))&gt;0)</f>
        <v>0</v>
      </c>
      <c r="Z210" s="14" cm="1">
        <f t="array" ref="Z210">INT(SUMPRODUCT(--ISNUMBER(SEARCH(bipartisan,'Mark Kelly'!C210)))&gt;0)</f>
        <v>1</v>
      </c>
      <c r="AA210" s="14">
        <f t="shared" si="3"/>
        <v>0</v>
      </c>
      <c r="AB210" s="14"/>
      <c r="AC210" s="30">
        <v>0</v>
      </c>
      <c r="AD210" s="37">
        <v>1</v>
      </c>
    </row>
    <row r="211" spans="1:30" x14ac:dyDescent="0.25">
      <c r="A211" s="36">
        <v>295</v>
      </c>
      <c r="B211" s="14" t="s">
        <v>621</v>
      </c>
      <c r="C211" s="31" t="s">
        <v>622</v>
      </c>
      <c r="D211" s="17">
        <v>44111</v>
      </c>
      <c r="E211" s="14" t="s">
        <v>30</v>
      </c>
      <c r="F211" s="14">
        <v>922</v>
      </c>
      <c r="G211" s="14">
        <v>272</v>
      </c>
      <c r="H211" s="14">
        <v>2</v>
      </c>
      <c r="I211" s="14">
        <v>1</v>
      </c>
      <c r="J211" s="14" t="s">
        <v>204</v>
      </c>
      <c r="K211" s="14" cm="1">
        <f t="array" ref="K211">INT(SUMPRODUCT(--ISNUMBER(SEARCH(economy,'Mark Kelly'!C211)))&gt;0)</f>
        <v>0</v>
      </c>
      <c r="L211" s="14" cm="1">
        <f t="array" ref="L211">INT(SUMPRODUCT(--ISNUMBER(SEARCH(healthcare,'Mark Kelly'!C211)))&gt;0)</f>
        <v>1</v>
      </c>
      <c r="M211" s="14" cm="1">
        <f t="array" ref="M211">INT(SUMPRODUCT(--ISNUMBER(SEARCH(supreme,'Mark Kelly'!C211)))&gt;0)</f>
        <v>0</v>
      </c>
      <c r="N211" s="14" cm="1">
        <f t="array" ref="N211">INT(SUMPRODUCT(--ISNUMBER(SEARCH(covid,'Mark Kelly'!C211)))&gt;0)</f>
        <v>0</v>
      </c>
      <c r="O211" s="14" cm="1">
        <f t="array" ref="O211">INT(SUMPRODUCT(--ISNUMBER(SEARCH(violent,'Mark Kelly'!C211)))&gt;0)</f>
        <v>0</v>
      </c>
      <c r="P211" s="14" cm="1">
        <f t="array" ref="P211">INT(SUMPRODUCT(--ISNUMBER(SEARCH(foreign,'Mark Kelly'!C211)))&gt;0)</f>
        <v>0</v>
      </c>
      <c r="Q211" s="14" cm="1">
        <f t="array" ref="Q211">INT(SUMPRODUCT(--ISNUMBER(SEARCH(gun,'Mark Kelly'!C211)))&gt;0)</f>
        <v>0</v>
      </c>
      <c r="R211" s="14" cm="1">
        <f t="array" ref="R211">INT(SUMPRODUCT(--ISNUMBER(SEARCH(race,'Mark Kelly'!C211)))&gt;0)</f>
        <v>0</v>
      </c>
      <c r="S211" s="14" cm="1">
        <f t="array" ref="S211">INT(SUMPRODUCT(--ISNUMBER(SEARCH(immigration,C211)))&gt;0)</f>
        <v>0</v>
      </c>
      <c r="T211" s="14" cm="1">
        <f t="array" ref="T211">INT(SUMPRODUCT(--ISNUMBER(SEARCH(econineq,C211)))&gt;0)</f>
        <v>0</v>
      </c>
      <c r="U211" s="14" cm="1">
        <f t="array" ref="U211">INT(SUMPRODUCT(--ISNUMBER(SEARCH(climate,'Mark Kelly'!C211)))&gt;0)</f>
        <v>0</v>
      </c>
      <c r="V211" s="14" cm="1">
        <f t="array" ref="V211">INT(SUMPRODUCT(--ISNUMBER(SEARCH(abortion,'Mark Kelly'!C211)))&gt;0)</f>
        <v>0</v>
      </c>
      <c r="W211" s="14" cm="1">
        <f t="array" ref="W211">INT(SUMPRODUCT(--ISNUMBER(SEARCH(trump,'Mark Kelly'!C211)))&gt;0)</f>
        <v>0</v>
      </c>
      <c r="X211" s="14" cm="1">
        <f t="array" ref="X211">INT(SUMPRODUCT(--ISNUMBER(SEARCH(voting,'Mark Kelly'!C211)))&gt;0)</f>
        <v>0</v>
      </c>
      <c r="Y211" s="14" cm="1">
        <f t="array" ref="Y211">INT(SUMPRODUCT(--ISNUMBER(SEARCH(democrattrigger,'Mark Kelly'!C211)))&gt;0)</f>
        <v>0</v>
      </c>
      <c r="Z211" s="14" cm="1">
        <f t="array" ref="Z211">INT(SUMPRODUCT(--ISNUMBER(SEARCH(bipartisan,'Mark Kelly'!C211)))&gt;0)</f>
        <v>0</v>
      </c>
      <c r="AA211" s="14">
        <f t="shared" si="3"/>
        <v>0</v>
      </c>
      <c r="AB211" s="14"/>
      <c r="AC211" s="30" t="s">
        <v>223</v>
      </c>
      <c r="AD211" s="37"/>
    </row>
    <row r="212" spans="1:30" x14ac:dyDescent="0.25">
      <c r="A212" s="36">
        <v>296</v>
      </c>
      <c r="B212" s="14" t="s">
        <v>623</v>
      </c>
      <c r="C212" s="31" t="s">
        <v>624</v>
      </c>
      <c r="D212" s="17">
        <v>44111</v>
      </c>
      <c r="E212" s="14" t="s">
        <v>30</v>
      </c>
      <c r="F212" s="14">
        <v>23874</v>
      </c>
      <c r="G212" s="14">
        <v>4255</v>
      </c>
      <c r="H212" s="14">
        <v>2</v>
      </c>
      <c r="I212" s="14">
        <v>1</v>
      </c>
      <c r="J212" s="14" t="s">
        <v>204</v>
      </c>
      <c r="K212" s="14" cm="1">
        <f t="array" ref="K212">INT(SUMPRODUCT(--ISNUMBER(SEARCH(economy,'Mark Kelly'!C212)))&gt;0)</f>
        <v>0</v>
      </c>
      <c r="L212" s="14" cm="1">
        <f t="array" ref="L212">INT(SUMPRODUCT(--ISNUMBER(SEARCH(healthcare,'Mark Kelly'!C212)))&gt;0)</f>
        <v>0</v>
      </c>
      <c r="M212" s="14" cm="1">
        <f t="array" ref="M212">INT(SUMPRODUCT(--ISNUMBER(SEARCH(supreme,'Mark Kelly'!C212)))&gt;0)</f>
        <v>0</v>
      </c>
      <c r="N212" s="14" cm="1">
        <f t="array" ref="N212">INT(SUMPRODUCT(--ISNUMBER(SEARCH(covid,'Mark Kelly'!C212)))&gt;0)</f>
        <v>0</v>
      </c>
      <c r="O212" s="14" cm="1">
        <f t="array" ref="O212">INT(SUMPRODUCT(--ISNUMBER(SEARCH(violent,'Mark Kelly'!C212)))&gt;0)</f>
        <v>0</v>
      </c>
      <c r="P212" s="14" cm="1">
        <f t="array" ref="P212">INT(SUMPRODUCT(--ISNUMBER(SEARCH(foreign,'Mark Kelly'!C212)))&gt;0)</f>
        <v>0</v>
      </c>
      <c r="Q212" s="14" cm="1">
        <f t="array" ref="Q212">INT(SUMPRODUCT(--ISNUMBER(SEARCH(gun,'Mark Kelly'!C212)))&gt;0)</f>
        <v>0</v>
      </c>
      <c r="R212" s="14" cm="1">
        <f t="array" ref="R212">INT(SUMPRODUCT(--ISNUMBER(SEARCH(race,'Mark Kelly'!C212)))&gt;0)</f>
        <v>0</v>
      </c>
      <c r="S212" s="14" cm="1">
        <f t="array" ref="S212">INT(SUMPRODUCT(--ISNUMBER(SEARCH(immigration,C212)))&gt;0)</f>
        <v>0</v>
      </c>
      <c r="T212" s="14" cm="1">
        <f t="array" ref="T212">INT(SUMPRODUCT(--ISNUMBER(SEARCH(econineq,C212)))&gt;0)</f>
        <v>0</v>
      </c>
      <c r="U212" s="14" cm="1">
        <f t="array" ref="U212">INT(SUMPRODUCT(--ISNUMBER(SEARCH(climate,'Mark Kelly'!C212)))&gt;0)</f>
        <v>0</v>
      </c>
      <c r="V212" s="14" cm="1">
        <f t="array" ref="V212">INT(SUMPRODUCT(--ISNUMBER(SEARCH(abortion,'Mark Kelly'!C212)))&gt;0)</f>
        <v>0</v>
      </c>
      <c r="W212" s="14" cm="1">
        <f t="array" ref="W212">INT(SUMPRODUCT(--ISNUMBER(SEARCH(trump,'Mark Kelly'!C212)))&gt;0)</f>
        <v>0</v>
      </c>
      <c r="X212" s="14" cm="1">
        <f t="array" ref="X212">INT(SUMPRODUCT(--ISNUMBER(SEARCH(voting,'Mark Kelly'!C212)))&gt;0)</f>
        <v>1</v>
      </c>
      <c r="Y212" s="14" cm="1">
        <f t="array" ref="Y212">INT(SUMPRODUCT(--ISNUMBER(SEARCH(democrattrigger,'Mark Kelly'!C212)))&gt;0)</f>
        <v>0</v>
      </c>
      <c r="Z212" s="14" cm="1">
        <f t="array" ref="Z212">INT(SUMPRODUCT(--ISNUMBER(SEARCH(bipartisan,'Mark Kelly'!C212)))&gt;0)</f>
        <v>0</v>
      </c>
      <c r="AA212" s="14">
        <f t="shared" si="3"/>
        <v>0</v>
      </c>
      <c r="AB212" s="14"/>
      <c r="AC212" s="30" t="s">
        <v>223</v>
      </c>
      <c r="AD212" s="37"/>
    </row>
    <row r="213" spans="1:30" x14ac:dyDescent="0.25">
      <c r="A213" s="36">
        <v>297</v>
      </c>
      <c r="B213" s="14" t="s">
        <v>625</v>
      </c>
      <c r="C213" s="31" t="s">
        <v>626</v>
      </c>
      <c r="D213" s="17">
        <v>44111</v>
      </c>
      <c r="E213" s="14" t="s">
        <v>30</v>
      </c>
      <c r="F213" s="14">
        <v>3704</v>
      </c>
      <c r="G213" s="14">
        <v>1488</v>
      </c>
      <c r="H213" s="14">
        <v>2</v>
      </c>
      <c r="I213" s="14">
        <v>1</v>
      </c>
      <c r="J213" s="14" t="s">
        <v>204</v>
      </c>
      <c r="K213" s="14" cm="1">
        <f t="array" ref="K213">INT(SUMPRODUCT(--ISNUMBER(SEARCH(economy,'Mark Kelly'!C213)))&gt;0)</f>
        <v>0</v>
      </c>
      <c r="L213" s="14" cm="1">
        <f t="array" ref="L213">INT(SUMPRODUCT(--ISNUMBER(SEARCH(healthcare,'Mark Kelly'!C213)))&gt;0)</f>
        <v>1</v>
      </c>
      <c r="M213" s="14" cm="1">
        <f t="array" ref="M213">INT(SUMPRODUCT(--ISNUMBER(SEARCH(supreme,'Mark Kelly'!C213)))&gt;0)</f>
        <v>0</v>
      </c>
      <c r="N213" s="14" cm="1">
        <f t="array" ref="N213">INT(SUMPRODUCT(--ISNUMBER(SEARCH(covid,'Mark Kelly'!C213)))&gt;0)</f>
        <v>0</v>
      </c>
      <c r="O213" s="14" cm="1">
        <f t="array" ref="O213">INT(SUMPRODUCT(--ISNUMBER(SEARCH(violent,'Mark Kelly'!C213)))&gt;0)</f>
        <v>0</v>
      </c>
      <c r="P213" s="14" cm="1">
        <f t="array" ref="P213">INT(SUMPRODUCT(--ISNUMBER(SEARCH(foreign,'Mark Kelly'!C213)))&gt;0)</f>
        <v>0</v>
      </c>
      <c r="Q213" s="14" cm="1">
        <f t="array" ref="Q213">INT(SUMPRODUCT(--ISNUMBER(SEARCH(gun,'Mark Kelly'!C213)))&gt;0)</f>
        <v>0</v>
      </c>
      <c r="R213" s="14" cm="1">
        <f t="array" ref="R213">INT(SUMPRODUCT(--ISNUMBER(SEARCH(race,'Mark Kelly'!C213)))&gt;0)</f>
        <v>0</v>
      </c>
      <c r="S213" s="14" cm="1">
        <f t="array" ref="S213">INT(SUMPRODUCT(--ISNUMBER(SEARCH(immigration,C213)))&gt;0)</f>
        <v>0</v>
      </c>
      <c r="T213" s="14" cm="1">
        <f t="array" ref="T213">INT(SUMPRODUCT(--ISNUMBER(SEARCH(econineq,C213)))&gt;0)</f>
        <v>0</v>
      </c>
      <c r="U213" s="14" cm="1">
        <f t="array" ref="U213">INT(SUMPRODUCT(--ISNUMBER(SEARCH(climate,'Mark Kelly'!C213)))&gt;0)</f>
        <v>0</v>
      </c>
      <c r="V213" s="14" cm="1">
        <f t="array" ref="V213">INT(SUMPRODUCT(--ISNUMBER(SEARCH(abortion,'Mark Kelly'!C213)))&gt;0)</f>
        <v>0</v>
      </c>
      <c r="W213" s="14" cm="1">
        <f t="array" ref="W213">INT(SUMPRODUCT(--ISNUMBER(SEARCH(trump,'Mark Kelly'!C213)))&gt;0)</f>
        <v>0</v>
      </c>
      <c r="X213" s="14" cm="1">
        <f t="array" ref="X213">INT(SUMPRODUCT(--ISNUMBER(SEARCH(voting,'Mark Kelly'!C213)))&gt;0)</f>
        <v>1</v>
      </c>
      <c r="Y213" s="14" cm="1">
        <f t="array" ref="Y213">INT(SUMPRODUCT(--ISNUMBER(SEARCH(democrattrigger,'Mark Kelly'!C213)))&gt;0)</f>
        <v>1</v>
      </c>
      <c r="Z213" s="14" cm="1">
        <f t="array" ref="Z213">INT(SUMPRODUCT(--ISNUMBER(SEARCH(bipartisan,'Mark Kelly'!C213)))&gt;0)</f>
        <v>0</v>
      </c>
      <c r="AA213" s="14">
        <f t="shared" si="3"/>
        <v>0</v>
      </c>
      <c r="AB213" s="14"/>
      <c r="AC213" s="30">
        <v>0</v>
      </c>
      <c r="AD213" s="37">
        <v>1</v>
      </c>
    </row>
    <row r="214" spans="1:30" x14ac:dyDescent="0.25">
      <c r="A214" s="36">
        <v>298</v>
      </c>
      <c r="B214" s="14" t="s">
        <v>627</v>
      </c>
      <c r="C214" s="31" t="s">
        <v>628</v>
      </c>
      <c r="D214" s="17">
        <v>44111</v>
      </c>
      <c r="E214" s="14" t="s">
        <v>30</v>
      </c>
      <c r="F214" s="14">
        <v>1194</v>
      </c>
      <c r="G214" s="14">
        <v>324</v>
      </c>
      <c r="H214" s="14">
        <v>2</v>
      </c>
      <c r="I214" s="14">
        <v>1</v>
      </c>
      <c r="J214" s="14" t="s">
        <v>204</v>
      </c>
      <c r="K214" s="14" cm="1">
        <f t="array" ref="K214">INT(SUMPRODUCT(--ISNUMBER(SEARCH(economy,'Mark Kelly'!C214)))&gt;0)</f>
        <v>0</v>
      </c>
      <c r="L214" s="14" cm="1">
        <f t="array" ref="L214">INT(SUMPRODUCT(--ISNUMBER(SEARCH(healthcare,'Mark Kelly'!C214)))&gt;0)</f>
        <v>0</v>
      </c>
      <c r="M214" s="14" cm="1">
        <f t="array" ref="M214">INT(SUMPRODUCT(--ISNUMBER(SEARCH(supreme,'Mark Kelly'!C214)))&gt;0)</f>
        <v>0</v>
      </c>
      <c r="N214" s="14" cm="1">
        <f t="array" ref="N214">INT(SUMPRODUCT(--ISNUMBER(SEARCH(covid,'Mark Kelly'!C214)))&gt;0)</f>
        <v>0</v>
      </c>
      <c r="O214" s="14" cm="1">
        <f t="array" ref="O214">INT(SUMPRODUCT(--ISNUMBER(SEARCH(violent,'Mark Kelly'!C214)))&gt;0)</f>
        <v>0</v>
      </c>
      <c r="P214" s="14" cm="1">
        <f t="array" ref="P214">INT(SUMPRODUCT(--ISNUMBER(SEARCH(foreign,'Mark Kelly'!C214)))&gt;0)</f>
        <v>0</v>
      </c>
      <c r="Q214" s="14" cm="1">
        <f t="array" ref="Q214">INT(SUMPRODUCT(--ISNUMBER(SEARCH(gun,'Mark Kelly'!C214)))&gt;0)</f>
        <v>0</v>
      </c>
      <c r="R214" s="14" cm="1">
        <f t="array" ref="R214">INT(SUMPRODUCT(--ISNUMBER(SEARCH(race,'Mark Kelly'!C214)))&gt;0)</f>
        <v>0</v>
      </c>
      <c r="S214" s="14" cm="1">
        <f t="array" ref="S214">INT(SUMPRODUCT(--ISNUMBER(SEARCH(immigration,C214)))&gt;0)</f>
        <v>0</v>
      </c>
      <c r="T214" s="14" cm="1">
        <f t="array" ref="T214">INT(SUMPRODUCT(--ISNUMBER(SEARCH(econineq,C214)))&gt;0)</f>
        <v>0</v>
      </c>
      <c r="U214" s="14" cm="1">
        <f t="array" ref="U214">INT(SUMPRODUCT(--ISNUMBER(SEARCH(climate,'Mark Kelly'!C214)))&gt;0)</f>
        <v>0</v>
      </c>
      <c r="V214" s="14" cm="1">
        <f t="array" ref="V214">INT(SUMPRODUCT(--ISNUMBER(SEARCH(abortion,'Mark Kelly'!C214)))&gt;0)</f>
        <v>0</v>
      </c>
      <c r="W214" s="14" cm="1">
        <f t="array" ref="W214">INT(SUMPRODUCT(--ISNUMBER(SEARCH(trump,'Mark Kelly'!C214)))&gt;0)</f>
        <v>0</v>
      </c>
      <c r="X214" s="14" cm="1">
        <f t="array" ref="X214">INT(SUMPRODUCT(--ISNUMBER(SEARCH(voting,'Mark Kelly'!C214)))&gt;0)</f>
        <v>0</v>
      </c>
      <c r="Y214" s="14" cm="1">
        <f t="array" ref="Y214">INT(SUMPRODUCT(--ISNUMBER(SEARCH(democrattrigger,'Mark Kelly'!C214)))&gt;0)</f>
        <v>0</v>
      </c>
      <c r="Z214" s="14" cm="1">
        <f t="array" ref="Z214">INT(SUMPRODUCT(--ISNUMBER(SEARCH(bipartisan,'Mark Kelly'!C214)))&gt;0)</f>
        <v>0</v>
      </c>
      <c r="AA214" s="14">
        <f t="shared" si="3"/>
        <v>1</v>
      </c>
      <c r="AB214" s="14"/>
      <c r="AC214" s="30" t="s">
        <v>223</v>
      </c>
      <c r="AD214" s="37"/>
    </row>
    <row r="215" spans="1:30" x14ac:dyDescent="0.25">
      <c r="A215" s="36">
        <v>299</v>
      </c>
      <c r="B215" s="14" t="s">
        <v>629</v>
      </c>
      <c r="C215" s="31" t="s">
        <v>630</v>
      </c>
      <c r="D215" s="17">
        <v>44111</v>
      </c>
      <c r="E215" s="14" t="s">
        <v>30</v>
      </c>
      <c r="F215" s="14">
        <v>3277</v>
      </c>
      <c r="G215" s="14">
        <v>787</v>
      </c>
      <c r="H215" s="14">
        <v>2</v>
      </c>
      <c r="I215" s="14">
        <v>1</v>
      </c>
      <c r="J215" s="14" t="s">
        <v>204</v>
      </c>
      <c r="K215" s="14" cm="1">
        <f t="array" ref="K215">INT(SUMPRODUCT(--ISNUMBER(SEARCH(economy,'Mark Kelly'!C215)))&gt;0)</f>
        <v>0</v>
      </c>
      <c r="L215" s="14" cm="1">
        <f t="array" ref="L215">INT(SUMPRODUCT(--ISNUMBER(SEARCH(healthcare,'Mark Kelly'!C215)))&gt;0)</f>
        <v>0</v>
      </c>
      <c r="M215" s="14" cm="1">
        <f t="array" ref="M215">INT(SUMPRODUCT(--ISNUMBER(SEARCH(supreme,'Mark Kelly'!C215)))&gt;0)</f>
        <v>0</v>
      </c>
      <c r="N215" s="14" cm="1">
        <f t="array" ref="N215">INT(SUMPRODUCT(--ISNUMBER(SEARCH(covid,'Mark Kelly'!C215)))&gt;0)</f>
        <v>0</v>
      </c>
      <c r="O215" s="14" cm="1">
        <f t="array" ref="O215">INT(SUMPRODUCT(--ISNUMBER(SEARCH(violent,'Mark Kelly'!C215)))&gt;0)</f>
        <v>0</v>
      </c>
      <c r="P215" s="14" cm="1">
        <f t="array" ref="P215">INT(SUMPRODUCT(--ISNUMBER(SEARCH(foreign,'Mark Kelly'!C215)))&gt;0)</f>
        <v>0</v>
      </c>
      <c r="Q215" s="14" cm="1">
        <f t="array" ref="Q215">INT(SUMPRODUCT(--ISNUMBER(SEARCH(gun,'Mark Kelly'!C215)))&gt;0)</f>
        <v>0</v>
      </c>
      <c r="R215" s="14" cm="1">
        <f t="array" ref="R215">INT(SUMPRODUCT(--ISNUMBER(SEARCH(race,'Mark Kelly'!C215)))&gt;0)</f>
        <v>0</v>
      </c>
      <c r="S215" s="14" cm="1">
        <f t="array" ref="S215">INT(SUMPRODUCT(--ISNUMBER(SEARCH(immigration,C215)))&gt;0)</f>
        <v>0</v>
      </c>
      <c r="T215" s="14" cm="1">
        <f t="array" ref="T215">INT(SUMPRODUCT(--ISNUMBER(SEARCH(econineq,C215)))&gt;0)</f>
        <v>0</v>
      </c>
      <c r="U215" s="14" cm="1">
        <f t="array" ref="U215">INT(SUMPRODUCT(--ISNUMBER(SEARCH(climate,'Mark Kelly'!C215)))&gt;0)</f>
        <v>0</v>
      </c>
      <c r="V215" s="14" cm="1">
        <f t="array" ref="V215">INT(SUMPRODUCT(--ISNUMBER(SEARCH(abortion,'Mark Kelly'!C215)))&gt;0)</f>
        <v>0</v>
      </c>
      <c r="W215" s="14" cm="1">
        <f t="array" ref="W215">INT(SUMPRODUCT(--ISNUMBER(SEARCH(trump,'Mark Kelly'!C215)))&gt;0)</f>
        <v>0</v>
      </c>
      <c r="X215" s="14" cm="1">
        <f t="array" ref="X215">INT(SUMPRODUCT(--ISNUMBER(SEARCH(voting,'Mark Kelly'!C215)))&gt;0)</f>
        <v>1</v>
      </c>
      <c r="Y215" s="14" cm="1">
        <f t="array" ref="Y215">INT(SUMPRODUCT(--ISNUMBER(SEARCH(democrattrigger,'Mark Kelly'!C215)))&gt;0)</f>
        <v>0</v>
      </c>
      <c r="Z215" s="14" cm="1">
        <f t="array" ref="Z215">INT(SUMPRODUCT(--ISNUMBER(SEARCH(bipartisan,'Mark Kelly'!C215)))&gt;0)</f>
        <v>0</v>
      </c>
      <c r="AA215" s="14">
        <f t="shared" si="3"/>
        <v>0</v>
      </c>
      <c r="AB215" s="14"/>
      <c r="AC215" s="30" t="s">
        <v>223</v>
      </c>
      <c r="AD215" s="37"/>
    </row>
    <row r="216" spans="1:30" x14ac:dyDescent="0.25">
      <c r="A216" s="36">
        <v>300</v>
      </c>
      <c r="B216" s="14" t="s">
        <v>631</v>
      </c>
      <c r="C216" s="31" t="s">
        <v>632</v>
      </c>
      <c r="D216" s="17">
        <v>44111</v>
      </c>
      <c r="E216" s="14" t="s">
        <v>30</v>
      </c>
      <c r="F216" s="14">
        <v>1984</v>
      </c>
      <c r="G216" s="14">
        <v>682</v>
      </c>
      <c r="H216" s="14">
        <v>2</v>
      </c>
      <c r="I216" s="14">
        <v>1</v>
      </c>
      <c r="J216" s="14" t="s">
        <v>204</v>
      </c>
      <c r="K216" s="14" cm="1">
        <f t="array" ref="K216">INT(SUMPRODUCT(--ISNUMBER(SEARCH(economy,'Mark Kelly'!C216)))&gt;0)</f>
        <v>0</v>
      </c>
      <c r="L216" s="14" cm="1">
        <f t="array" ref="L216">INT(SUMPRODUCT(--ISNUMBER(SEARCH(healthcare,'Mark Kelly'!C216)))&gt;0)</f>
        <v>1</v>
      </c>
      <c r="M216" s="14" cm="1">
        <f t="array" ref="M216">INT(SUMPRODUCT(--ISNUMBER(SEARCH(supreme,'Mark Kelly'!C216)))&gt;0)</f>
        <v>0</v>
      </c>
      <c r="N216" s="14" cm="1">
        <f t="array" ref="N216">INT(SUMPRODUCT(--ISNUMBER(SEARCH(covid,'Mark Kelly'!C216)))&gt;0)</f>
        <v>0</v>
      </c>
      <c r="O216" s="14" cm="1">
        <f t="array" ref="O216">INT(SUMPRODUCT(--ISNUMBER(SEARCH(violent,'Mark Kelly'!C216)))&gt;0)</f>
        <v>0</v>
      </c>
      <c r="P216" s="14" cm="1">
        <f t="array" ref="P216">INT(SUMPRODUCT(--ISNUMBER(SEARCH(foreign,'Mark Kelly'!C216)))&gt;0)</f>
        <v>0</v>
      </c>
      <c r="Q216" s="14" cm="1">
        <f t="array" ref="Q216">INT(SUMPRODUCT(--ISNUMBER(SEARCH(gun,'Mark Kelly'!C216)))&gt;0)</f>
        <v>0</v>
      </c>
      <c r="R216" s="14" cm="1">
        <f t="array" ref="R216">INT(SUMPRODUCT(--ISNUMBER(SEARCH(race,'Mark Kelly'!C216)))&gt;0)</f>
        <v>0</v>
      </c>
      <c r="S216" s="14" cm="1">
        <f t="array" ref="S216">INT(SUMPRODUCT(--ISNUMBER(SEARCH(immigration,C216)))&gt;0)</f>
        <v>0</v>
      </c>
      <c r="T216" s="14" cm="1">
        <f t="array" ref="T216">INT(SUMPRODUCT(--ISNUMBER(SEARCH(econineq,C216)))&gt;0)</f>
        <v>0</v>
      </c>
      <c r="U216" s="14" cm="1">
        <f t="array" ref="U216">INT(SUMPRODUCT(--ISNUMBER(SEARCH(climate,'Mark Kelly'!C216)))&gt;0)</f>
        <v>0</v>
      </c>
      <c r="V216" s="14" cm="1">
        <f t="array" ref="V216">INT(SUMPRODUCT(--ISNUMBER(SEARCH(abortion,'Mark Kelly'!C216)))&gt;0)</f>
        <v>0</v>
      </c>
      <c r="W216" s="14" cm="1">
        <f t="array" ref="W216">INT(SUMPRODUCT(--ISNUMBER(SEARCH(trump,'Mark Kelly'!C216)))&gt;0)</f>
        <v>0</v>
      </c>
      <c r="X216" s="14" cm="1">
        <f t="array" ref="X216">INT(SUMPRODUCT(--ISNUMBER(SEARCH(voting,'Mark Kelly'!C216)))&gt;0)</f>
        <v>1</v>
      </c>
      <c r="Y216" s="14" cm="1">
        <f t="array" ref="Y216">INT(SUMPRODUCT(--ISNUMBER(SEARCH(democrattrigger,'Mark Kelly'!C216)))&gt;0)</f>
        <v>1</v>
      </c>
      <c r="Z216" s="14" cm="1">
        <f t="array" ref="Z216">INT(SUMPRODUCT(--ISNUMBER(SEARCH(bipartisan,'Mark Kelly'!C216)))&gt;0)</f>
        <v>0</v>
      </c>
      <c r="AA216" s="14">
        <f t="shared" si="3"/>
        <v>0</v>
      </c>
      <c r="AB216" s="14"/>
      <c r="AC216" s="30">
        <v>1</v>
      </c>
      <c r="AD216" s="37">
        <v>0</v>
      </c>
    </row>
    <row r="217" spans="1:30" x14ac:dyDescent="0.25">
      <c r="A217" s="36">
        <v>301</v>
      </c>
      <c r="B217" s="14" t="s">
        <v>633</v>
      </c>
      <c r="C217" s="31" t="s">
        <v>634</v>
      </c>
      <c r="D217" s="17">
        <v>44110</v>
      </c>
      <c r="E217" s="14" t="s">
        <v>30</v>
      </c>
      <c r="F217" s="14">
        <v>352</v>
      </c>
      <c r="G217" s="14">
        <v>126</v>
      </c>
      <c r="H217" s="14">
        <v>2</v>
      </c>
      <c r="I217" s="14">
        <v>1</v>
      </c>
      <c r="J217" s="14" t="s">
        <v>204</v>
      </c>
      <c r="K217" s="14" cm="1">
        <f t="array" ref="K217">INT(SUMPRODUCT(--ISNUMBER(SEARCH(economy,'Mark Kelly'!C217)))&gt;0)</f>
        <v>0</v>
      </c>
      <c r="L217" s="14" cm="1">
        <f t="array" ref="L217">INT(SUMPRODUCT(--ISNUMBER(SEARCH(healthcare,'Mark Kelly'!C217)))&gt;0)</f>
        <v>0</v>
      </c>
      <c r="M217" s="14" cm="1">
        <f t="array" ref="M217">INT(SUMPRODUCT(--ISNUMBER(SEARCH(supreme,'Mark Kelly'!C217)))&gt;0)</f>
        <v>0</v>
      </c>
      <c r="N217" s="14" cm="1">
        <f t="array" ref="N217">INT(SUMPRODUCT(--ISNUMBER(SEARCH(covid,'Mark Kelly'!C217)))&gt;0)</f>
        <v>0</v>
      </c>
      <c r="O217" s="14" cm="1">
        <f t="array" ref="O217">INT(SUMPRODUCT(--ISNUMBER(SEARCH(violent,'Mark Kelly'!C217)))&gt;0)</f>
        <v>0</v>
      </c>
      <c r="P217" s="14" cm="1">
        <f t="array" ref="P217">INT(SUMPRODUCT(--ISNUMBER(SEARCH(foreign,'Mark Kelly'!C217)))&gt;0)</f>
        <v>0</v>
      </c>
      <c r="Q217" s="14" cm="1">
        <f t="array" ref="Q217">INT(SUMPRODUCT(--ISNUMBER(SEARCH(gun,'Mark Kelly'!C217)))&gt;0)</f>
        <v>0</v>
      </c>
      <c r="R217" s="14" cm="1">
        <f t="array" ref="R217">INT(SUMPRODUCT(--ISNUMBER(SEARCH(race,'Mark Kelly'!C217)))&gt;0)</f>
        <v>0</v>
      </c>
      <c r="S217" s="14" cm="1">
        <f t="array" ref="S217">INT(SUMPRODUCT(--ISNUMBER(SEARCH(immigration,C217)))&gt;0)</f>
        <v>0</v>
      </c>
      <c r="T217" s="14" cm="1">
        <f t="array" ref="T217">INT(SUMPRODUCT(--ISNUMBER(SEARCH(econineq,C217)))&gt;0)</f>
        <v>0</v>
      </c>
      <c r="U217" s="14" cm="1">
        <f t="array" ref="U217">INT(SUMPRODUCT(--ISNUMBER(SEARCH(climate,'Mark Kelly'!C217)))&gt;0)</f>
        <v>0</v>
      </c>
      <c r="V217" s="14" cm="1">
        <f t="array" ref="V217">INT(SUMPRODUCT(--ISNUMBER(SEARCH(abortion,'Mark Kelly'!C217)))&gt;0)</f>
        <v>0</v>
      </c>
      <c r="W217" s="14" cm="1">
        <f t="array" ref="W217">INT(SUMPRODUCT(--ISNUMBER(SEARCH(trump,'Mark Kelly'!C217)))&gt;0)</f>
        <v>0</v>
      </c>
      <c r="X217" s="14" cm="1">
        <f t="array" ref="X217">INT(SUMPRODUCT(--ISNUMBER(SEARCH(voting,'Mark Kelly'!C217)))&gt;0)</f>
        <v>0</v>
      </c>
      <c r="Y217" s="14" cm="1">
        <f t="array" ref="Y217">INT(SUMPRODUCT(--ISNUMBER(SEARCH(democrattrigger,'Mark Kelly'!C217)))&gt;0)</f>
        <v>0</v>
      </c>
      <c r="Z217" s="14" cm="1">
        <f t="array" ref="Z217">INT(SUMPRODUCT(--ISNUMBER(SEARCH(bipartisan,'Mark Kelly'!C217)))&gt;0)</f>
        <v>0</v>
      </c>
      <c r="AA217" s="14">
        <f t="shared" si="3"/>
        <v>1</v>
      </c>
      <c r="AB217" s="14"/>
      <c r="AC217" s="30" t="s">
        <v>223</v>
      </c>
      <c r="AD217" s="37"/>
    </row>
    <row r="218" spans="1:30" x14ac:dyDescent="0.25">
      <c r="A218" s="36">
        <v>302</v>
      </c>
      <c r="B218" s="14" t="s">
        <v>635</v>
      </c>
      <c r="C218" s="31" t="s">
        <v>636</v>
      </c>
      <c r="D218" s="17">
        <v>44110</v>
      </c>
      <c r="E218" s="14" t="s">
        <v>30</v>
      </c>
      <c r="F218" s="14">
        <v>2115</v>
      </c>
      <c r="G218" s="14">
        <v>775</v>
      </c>
      <c r="H218" s="14">
        <v>2</v>
      </c>
      <c r="I218" s="14">
        <v>1</v>
      </c>
      <c r="J218" s="14" t="s">
        <v>204</v>
      </c>
      <c r="K218" s="14" cm="1">
        <f t="array" ref="K218">INT(SUMPRODUCT(--ISNUMBER(SEARCH(economy,'Mark Kelly'!C218)))&gt;0)</f>
        <v>0</v>
      </c>
      <c r="L218" s="14" cm="1">
        <f t="array" ref="L218">INT(SUMPRODUCT(--ISNUMBER(SEARCH(healthcare,'Mark Kelly'!C218)))&gt;0)</f>
        <v>0</v>
      </c>
      <c r="M218" s="14" cm="1">
        <f t="array" ref="M218">INT(SUMPRODUCT(--ISNUMBER(SEARCH(supreme,'Mark Kelly'!C218)))&gt;0)</f>
        <v>0</v>
      </c>
      <c r="N218" s="14" cm="1">
        <f t="array" ref="N218">INT(SUMPRODUCT(--ISNUMBER(SEARCH(covid,'Mark Kelly'!C218)))&gt;0)</f>
        <v>0</v>
      </c>
      <c r="O218" s="14" cm="1">
        <f t="array" ref="O218">INT(SUMPRODUCT(--ISNUMBER(SEARCH(violent,'Mark Kelly'!C218)))&gt;0)</f>
        <v>0</v>
      </c>
      <c r="P218" s="14" cm="1">
        <f t="array" ref="P218">INT(SUMPRODUCT(--ISNUMBER(SEARCH(foreign,'Mark Kelly'!C218)))&gt;0)</f>
        <v>0</v>
      </c>
      <c r="Q218" s="14" cm="1">
        <f t="array" ref="Q218">INT(SUMPRODUCT(--ISNUMBER(SEARCH(gun,'Mark Kelly'!C218)))&gt;0)</f>
        <v>0</v>
      </c>
      <c r="R218" s="14" cm="1">
        <f t="array" ref="R218">INT(SUMPRODUCT(--ISNUMBER(SEARCH(race,'Mark Kelly'!C218)))&gt;0)</f>
        <v>0</v>
      </c>
      <c r="S218" s="14" cm="1">
        <f t="array" ref="S218">INT(SUMPRODUCT(--ISNUMBER(SEARCH(immigration,C218)))&gt;0)</f>
        <v>0</v>
      </c>
      <c r="T218" s="14" cm="1">
        <f t="array" ref="T218">INT(SUMPRODUCT(--ISNUMBER(SEARCH(econineq,C218)))&gt;0)</f>
        <v>0</v>
      </c>
      <c r="U218" s="14" cm="1">
        <f t="array" ref="U218">INT(SUMPRODUCT(--ISNUMBER(SEARCH(climate,'Mark Kelly'!C218)))&gt;0)</f>
        <v>0</v>
      </c>
      <c r="V218" s="14" cm="1">
        <f t="array" ref="V218">INT(SUMPRODUCT(--ISNUMBER(SEARCH(abortion,'Mark Kelly'!C218)))&gt;0)</f>
        <v>0</v>
      </c>
      <c r="W218" s="14" cm="1">
        <f t="array" ref="W218">INT(SUMPRODUCT(--ISNUMBER(SEARCH(trump,'Mark Kelly'!C218)))&gt;0)</f>
        <v>0</v>
      </c>
      <c r="X218" s="14" cm="1">
        <f t="array" ref="X218">INT(SUMPRODUCT(--ISNUMBER(SEARCH(voting,'Mark Kelly'!C218)))&gt;0)</f>
        <v>0</v>
      </c>
      <c r="Y218" s="14" cm="1">
        <f t="array" ref="Y218">INT(SUMPRODUCT(--ISNUMBER(SEARCH(democrattrigger,'Mark Kelly'!C218)))&gt;0)</f>
        <v>0</v>
      </c>
      <c r="Z218" s="14" cm="1">
        <f t="array" ref="Z218">INT(SUMPRODUCT(--ISNUMBER(SEARCH(bipartisan,'Mark Kelly'!C218)))&gt;0)</f>
        <v>0</v>
      </c>
      <c r="AA218" s="14">
        <f t="shared" si="3"/>
        <v>1</v>
      </c>
      <c r="AB218" s="14"/>
      <c r="AC218" s="30" t="s">
        <v>223</v>
      </c>
      <c r="AD218" s="37"/>
    </row>
    <row r="219" spans="1:30" x14ac:dyDescent="0.25">
      <c r="A219" s="36">
        <v>303</v>
      </c>
      <c r="B219" s="14" t="s">
        <v>637</v>
      </c>
      <c r="C219" s="31" t="s">
        <v>638</v>
      </c>
      <c r="D219" s="17">
        <v>44110</v>
      </c>
      <c r="E219" s="14" t="s">
        <v>30</v>
      </c>
      <c r="F219" s="14">
        <v>3420</v>
      </c>
      <c r="G219" s="14">
        <v>877</v>
      </c>
      <c r="H219" s="14">
        <v>2</v>
      </c>
      <c r="I219" s="14">
        <v>1</v>
      </c>
      <c r="J219" s="14" t="s">
        <v>204</v>
      </c>
      <c r="K219" s="14" cm="1">
        <f t="array" ref="K219">INT(SUMPRODUCT(--ISNUMBER(SEARCH(economy,'Mark Kelly'!C219)))&gt;0)</f>
        <v>0</v>
      </c>
      <c r="L219" s="14" cm="1">
        <f t="array" ref="L219">INT(SUMPRODUCT(--ISNUMBER(SEARCH(healthcare,'Mark Kelly'!C219)))&gt;0)</f>
        <v>0</v>
      </c>
      <c r="M219" s="14" cm="1">
        <f t="array" ref="M219">INT(SUMPRODUCT(--ISNUMBER(SEARCH(supreme,'Mark Kelly'!C219)))&gt;0)</f>
        <v>0</v>
      </c>
      <c r="N219" s="14" cm="1">
        <f t="array" ref="N219">INT(SUMPRODUCT(--ISNUMBER(SEARCH(covid,'Mark Kelly'!C219)))&gt;0)</f>
        <v>0</v>
      </c>
      <c r="O219" s="14" cm="1">
        <f t="array" ref="O219">INT(SUMPRODUCT(--ISNUMBER(SEARCH(violent,'Mark Kelly'!C219)))&gt;0)</f>
        <v>0</v>
      </c>
      <c r="P219" s="14" cm="1">
        <f t="array" ref="P219">INT(SUMPRODUCT(--ISNUMBER(SEARCH(foreign,'Mark Kelly'!C219)))&gt;0)</f>
        <v>0</v>
      </c>
      <c r="Q219" s="14" cm="1">
        <f t="array" ref="Q219">INT(SUMPRODUCT(--ISNUMBER(SEARCH(gun,'Mark Kelly'!C219)))&gt;0)</f>
        <v>0</v>
      </c>
      <c r="R219" s="14" cm="1">
        <f t="array" ref="R219">INT(SUMPRODUCT(--ISNUMBER(SEARCH(race,'Mark Kelly'!C219)))&gt;0)</f>
        <v>0</v>
      </c>
      <c r="S219" s="14" cm="1">
        <f t="array" ref="S219">INT(SUMPRODUCT(--ISNUMBER(SEARCH(immigration,C219)))&gt;0)</f>
        <v>0</v>
      </c>
      <c r="T219" s="14" cm="1">
        <f t="array" ref="T219">INT(SUMPRODUCT(--ISNUMBER(SEARCH(econineq,C219)))&gt;0)</f>
        <v>0</v>
      </c>
      <c r="U219" s="14" cm="1">
        <f t="array" ref="U219">INT(SUMPRODUCT(--ISNUMBER(SEARCH(climate,'Mark Kelly'!C219)))&gt;0)</f>
        <v>0</v>
      </c>
      <c r="V219" s="14" cm="1">
        <f t="array" ref="V219">INT(SUMPRODUCT(--ISNUMBER(SEARCH(abortion,'Mark Kelly'!C219)))&gt;0)</f>
        <v>0</v>
      </c>
      <c r="W219" s="14" cm="1">
        <f t="array" ref="W219">INT(SUMPRODUCT(--ISNUMBER(SEARCH(trump,'Mark Kelly'!C219)))&gt;0)</f>
        <v>0</v>
      </c>
      <c r="X219" s="14" cm="1">
        <f t="array" ref="X219">INT(SUMPRODUCT(--ISNUMBER(SEARCH(voting,'Mark Kelly'!C219)))&gt;0)</f>
        <v>1</v>
      </c>
      <c r="Y219" s="14" cm="1">
        <f t="array" ref="Y219">INT(SUMPRODUCT(--ISNUMBER(SEARCH(democrattrigger,'Mark Kelly'!C219)))&gt;0)</f>
        <v>0</v>
      </c>
      <c r="Z219" s="14" cm="1">
        <f t="array" ref="Z219">INT(SUMPRODUCT(--ISNUMBER(SEARCH(bipartisan,'Mark Kelly'!C219)))&gt;0)</f>
        <v>0</v>
      </c>
      <c r="AA219" s="14">
        <f t="shared" si="3"/>
        <v>0</v>
      </c>
      <c r="AB219" s="14"/>
      <c r="AC219" s="30">
        <v>1</v>
      </c>
      <c r="AD219" s="37">
        <v>0</v>
      </c>
    </row>
    <row r="220" spans="1:30" x14ac:dyDescent="0.25">
      <c r="A220" s="36">
        <v>304</v>
      </c>
      <c r="B220" s="14" t="s">
        <v>639</v>
      </c>
      <c r="C220" s="31" t="s">
        <v>640</v>
      </c>
      <c r="D220" s="17">
        <v>44110</v>
      </c>
      <c r="E220" s="14" t="s">
        <v>30</v>
      </c>
      <c r="F220" s="14">
        <v>912</v>
      </c>
      <c r="G220" s="14">
        <v>237</v>
      </c>
      <c r="H220" s="14">
        <v>2</v>
      </c>
      <c r="I220" s="14">
        <v>1</v>
      </c>
      <c r="J220" s="14" t="s">
        <v>204</v>
      </c>
      <c r="K220" s="14" cm="1">
        <f t="array" ref="K220">INT(SUMPRODUCT(--ISNUMBER(SEARCH(economy,'Mark Kelly'!C220)))&gt;0)</f>
        <v>0</v>
      </c>
      <c r="L220" s="14" cm="1">
        <f t="array" ref="L220">INT(SUMPRODUCT(--ISNUMBER(SEARCH(healthcare,'Mark Kelly'!C220)))&gt;0)</f>
        <v>0</v>
      </c>
      <c r="M220" s="14" cm="1">
        <f t="array" ref="M220">INT(SUMPRODUCT(--ISNUMBER(SEARCH(supreme,'Mark Kelly'!C220)))&gt;0)</f>
        <v>0</v>
      </c>
      <c r="N220" s="14" cm="1">
        <f t="array" ref="N220">INT(SUMPRODUCT(--ISNUMBER(SEARCH(covid,'Mark Kelly'!C220)))&gt;0)</f>
        <v>0</v>
      </c>
      <c r="O220" s="14" cm="1">
        <f t="array" ref="O220">INT(SUMPRODUCT(--ISNUMBER(SEARCH(violent,'Mark Kelly'!C220)))&gt;0)</f>
        <v>0</v>
      </c>
      <c r="P220" s="14" cm="1">
        <f t="array" ref="P220">INT(SUMPRODUCT(--ISNUMBER(SEARCH(foreign,'Mark Kelly'!C220)))&gt;0)</f>
        <v>0</v>
      </c>
      <c r="Q220" s="14" cm="1">
        <f t="array" ref="Q220">INT(SUMPRODUCT(--ISNUMBER(SEARCH(gun,'Mark Kelly'!C220)))&gt;0)</f>
        <v>0</v>
      </c>
      <c r="R220" s="14" cm="1">
        <f t="array" ref="R220">INT(SUMPRODUCT(--ISNUMBER(SEARCH(race,'Mark Kelly'!C220)))&gt;0)</f>
        <v>0</v>
      </c>
      <c r="S220" s="14" cm="1">
        <f t="array" ref="S220">INT(SUMPRODUCT(--ISNUMBER(SEARCH(immigration,C220)))&gt;0)</f>
        <v>0</v>
      </c>
      <c r="T220" s="14" cm="1">
        <f t="array" ref="T220">INT(SUMPRODUCT(--ISNUMBER(SEARCH(econineq,C220)))&gt;0)</f>
        <v>0</v>
      </c>
      <c r="U220" s="14" cm="1">
        <f t="array" ref="U220">INT(SUMPRODUCT(--ISNUMBER(SEARCH(climate,'Mark Kelly'!C220)))&gt;0)</f>
        <v>0</v>
      </c>
      <c r="V220" s="14" cm="1">
        <f t="array" ref="V220">INT(SUMPRODUCT(--ISNUMBER(SEARCH(abortion,'Mark Kelly'!C220)))&gt;0)</f>
        <v>0</v>
      </c>
      <c r="W220" s="14" cm="1">
        <f t="array" ref="W220">INT(SUMPRODUCT(--ISNUMBER(SEARCH(trump,'Mark Kelly'!C220)))&gt;0)</f>
        <v>0</v>
      </c>
      <c r="X220" s="14" cm="1">
        <f t="array" ref="X220">INT(SUMPRODUCT(--ISNUMBER(SEARCH(voting,'Mark Kelly'!C220)))&gt;0)</f>
        <v>0</v>
      </c>
      <c r="Y220" s="14" cm="1">
        <f t="array" ref="Y220">INT(SUMPRODUCT(--ISNUMBER(SEARCH(democrattrigger,'Mark Kelly'!C220)))&gt;0)</f>
        <v>0</v>
      </c>
      <c r="Z220" s="14" cm="1">
        <f t="array" ref="Z220">INT(SUMPRODUCT(--ISNUMBER(SEARCH(bipartisan,'Mark Kelly'!C220)))&gt;0)</f>
        <v>1</v>
      </c>
      <c r="AA220" s="14">
        <f t="shared" si="3"/>
        <v>0</v>
      </c>
      <c r="AB220" s="14"/>
      <c r="AC220" s="30" t="s">
        <v>223</v>
      </c>
      <c r="AD220" s="37"/>
    </row>
    <row r="221" spans="1:30" x14ac:dyDescent="0.25">
      <c r="A221" s="36">
        <v>305</v>
      </c>
      <c r="B221" s="14" t="s">
        <v>641</v>
      </c>
      <c r="C221" s="31" t="s">
        <v>642</v>
      </c>
      <c r="D221" s="17">
        <v>44110</v>
      </c>
      <c r="E221" s="14" t="s">
        <v>30</v>
      </c>
      <c r="F221" s="14">
        <v>811</v>
      </c>
      <c r="G221" s="14">
        <v>285</v>
      </c>
      <c r="H221" s="14">
        <v>2</v>
      </c>
      <c r="I221" s="14">
        <v>1</v>
      </c>
      <c r="J221" s="14" t="s">
        <v>204</v>
      </c>
      <c r="K221" s="14" cm="1">
        <f t="array" ref="K221">INT(SUMPRODUCT(--ISNUMBER(SEARCH(economy,'Mark Kelly'!C221)))&gt;0)</f>
        <v>0</v>
      </c>
      <c r="L221" s="14" cm="1">
        <f t="array" ref="L221">INT(SUMPRODUCT(--ISNUMBER(SEARCH(healthcare,'Mark Kelly'!C221)))&gt;0)</f>
        <v>0</v>
      </c>
      <c r="M221" s="14" cm="1">
        <f t="array" ref="M221">INT(SUMPRODUCT(--ISNUMBER(SEARCH(supreme,'Mark Kelly'!C221)))&gt;0)</f>
        <v>0</v>
      </c>
      <c r="N221" s="14" cm="1">
        <f t="array" ref="N221">INT(SUMPRODUCT(--ISNUMBER(SEARCH(covid,'Mark Kelly'!C221)))&gt;0)</f>
        <v>1</v>
      </c>
      <c r="O221" s="14" cm="1">
        <f t="array" ref="O221">INT(SUMPRODUCT(--ISNUMBER(SEARCH(violent,'Mark Kelly'!C221)))&gt;0)</f>
        <v>0</v>
      </c>
      <c r="P221" s="14" cm="1">
        <f t="array" ref="P221">INT(SUMPRODUCT(--ISNUMBER(SEARCH(foreign,'Mark Kelly'!C221)))&gt;0)</f>
        <v>0</v>
      </c>
      <c r="Q221" s="14" cm="1">
        <f t="array" ref="Q221">INT(SUMPRODUCT(--ISNUMBER(SEARCH(gun,'Mark Kelly'!C221)))&gt;0)</f>
        <v>0</v>
      </c>
      <c r="R221" s="14" cm="1">
        <f t="array" ref="R221">INT(SUMPRODUCT(--ISNUMBER(SEARCH(race,'Mark Kelly'!C221)))&gt;0)</f>
        <v>0</v>
      </c>
      <c r="S221" s="14" cm="1">
        <f t="array" ref="S221">INT(SUMPRODUCT(--ISNUMBER(SEARCH(immigration,C221)))&gt;0)</f>
        <v>0</v>
      </c>
      <c r="T221" s="14" cm="1">
        <f t="array" ref="T221">INT(SUMPRODUCT(--ISNUMBER(SEARCH(econineq,C221)))&gt;0)</f>
        <v>1</v>
      </c>
      <c r="U221" s="14" cm="1">
        <f t="array" ref="U221">INT(SUMPRODUCT(--ISNUMBER(SEARCH(climate,'Mark Kelly'!C221)))&gt;0)</f>
        <v>0</v>
      </c>
      <c r="V221" s="14" cm="1">
        <f t="array" ref="V221">INT(SUMPRODUCT(--ISNUMBER(SEARCH(abortion,'Mark Kelly'!C221)))&gt;0)</f>
        <v>0</v>
      </c>
      <c r="W221" s="14" cm="1">
        <f t="array" ref="W221">INT(SUMPRODUCT(--ISNUMBER(SEARCH(trump,'Mark Kelly'!C221)))&gt;0)</f>
        <v>0</v>
      </c>
      <c r="X221" s="14" cm="1">
        <f t="array" ref="X221">INT(SUMPRODUCT(--ISNUMBER(SEARCH(voting,'Mark Kelly'!C221)))&gt;0)</f>
        <v>0</v>
      </c>
      <c r="Y221" s="14" cm="1">
        <f t="array" ref="Y221">INT(SUMPRODUCT(--ISNUMBER(SEARCH(democrattrigger,'Mark Kelly'!C221)))&gt;0)</f>
        <v>0</v>
      </c>
      <c r="Z221" s="14" cm="1">
        <f t="array" ref="Z221">INT(SUMPRODUCT(--ISNUMBER(SEARCH(bipartisan,'Mark Kelly'!C221)))&gt;0)</f>
        <v>0</v>
      </c>
      <c r="AA221" s="14">
        <f t="shared" si="3"/>
        <v>0</v>
      </c>
      <c r="AB221" s="14"/>
      <c r="AC221" s="30" t="s">
        <v>223</v>
      </c>
      <c r="AD221" s="37"/>
    </row>
    <row r="222" spans="1:30" x14ac:dyDescent="0.25">
      <c r="A222" s="36">
        <v>306</v>
      </c>
      <c r="B222" s="14" t="s">
        <v>643</v>
      </c>
      <c r="C222" s="31" t="s">
        <v>644</v>
      </c>
      <c r="D222" s="17">
        <v>44109</v>
      </c>
      <c r="E222" s="14" t="s">
        <v>30</v>
      </c>
      <c r="F222" s="14">
        <v>784</v>
      </c>
      <c r="G222" s="14">
        <v>215</v>
      </c>
      <c r="H222" s="14">
        <v>2</v>
      </c>
      <c r="I222" s="14">
        <v>1</v>
      </c>
      <c r="J222" s="14" t="s">
        <v>204</v>
      </c>
      <c r="K222" s="14" cm="1">
        <f t="array" ref="K222">INT(SUMPRODUCT(--ISNUMBER(SEARCH(economy,'Mark Kelly'!C222)))&gt;0)</f>
        <v>0</v>
      </c>
      <c r="L222" s="14" cm="1">
        <f t="array" ref="L222">INT(SUMPRODUCT(--ISNUMBER(SEARCH(healthcare,'Mark Kelly'!C222)))&gt;0)</f>
        <v>0</v>
      </c>
      <c r="M222" s="14" cm="1">
        <f t="array" ref="M222">INT(SUMPRODUCT(--ISNUMBER(SEARCH(supreme,'Mark Kelly'!C222)))&gt;0)</f>
        <v>0</v>
      </c>
      <c r="N222" s="14" cm="1">
        <f t="array" ref="N222">INT(SUMPRODUCT(--ISNUMBER(SEARCH(covid,'Mark Kelly'!C222)))&gt;0)</f>
        <v>0</v>
      </c>
      <c r="O222" s="14" cm="1">
        <f t="array" ref="O222">INT(SUMPRODUCT(--ISNUMBER(SEARCH(violent,'Mark Kelly'!C222)))&gt;0)</f>
        <v>0</v>
      </c>
      <c r="P222" s="14" cm="1">
        <f t="array" ref="P222">INT(SUMPRODUCT(--ISNUMBER(SEARCH(foreign,'Mark Kelly'!C222)))&gt;0)</f>
        <v>0</v>
      </c>
      <c r="Q222" s="14" cm="1">
        <f t="array" ref="Q222">INT(SUMPRODUCT(--ISNUMBER(SEARCH(gun,'Mark Kelly'!C222)))&gt;0)</f>
        <v>0</v>
      </c>
      <c r="R222" s="14" cm="1">
        <f t="array" ref="R222">INT(SUMPRODUCT(--ISNUMBER(SEARCH(race,'Mark Kelly'!C222)))&gt;0)</f>
        <v>0</v>
      </c>
      <c r="S222" s="14" cm="1">
        <f t="array" ref="S222">INT(SUMPRODUCT(--ISNUMBER(SEARCH(immigration,C222)))&gt;0)</f>
        <v>0</v>
      </c>
      <c r="T222" s="14" cm="1">
        <f t="array" ref="T222">INT(SUMPRODUCT(--ISNUMBER(SEARCH(econineq,C222)))&gt;0)</f>
        <v>0</v>
      </c>
      <c r="U222" s="14" cm="1">
        <f t="array" ref="U222">INT(SUMPRODUCT(--ISNUMBER(SEARCH(climate,'Mark Kelly'!C222)))&gt;0)</f>
        <v>0</v>
      </c>
      <c r="V222" s="14" cm="1">
        <f t="array" ref="V222">INT(SUMPRODUCT(--ISNUMBER(SEARCH(abortion,'Mark Kelly'!C222)))&gt;0)</f>
        <v>0</v>
      </c>
      <c r="W222" s="14" cm="1">
        <f t="array" ref="W222">INT(SUMPRODUCT(--ISNUMBER(SEARCH(trump,'Mark Kelly'!C222)))&gt;0)</f>
        <v>0</v>
      </c>
      <c r="X222" s="14" cm="1">
        <f t="array" ref="X222">INT(SUMPRODUCT(--ISNUMBER(SEARCH(voting,'Mark Kelly'!C222)))&gt;0)</f>
        <v>0</v>
      </c>
      <c r="Y222" s="14" cm="1">
        <f t="array" ref="Y222">INT(SUMPRODUCT(--ISNUMBER(SEARCH(democrattrigger,'Mark Kelly'!C222)))&gt;0)</f>
        <v>0</v>
      </c>
      <c r="Z222" s="14" cm="1">
        <f t="array" ref="Z222">INT(SUMPRODUCT(--ISNUMBER(SEARCH(bipartisan,'Mark Kelly'!C222)))&gt;0)</f>
        <v>0</v>
      </c>
      <c r="AA222" s="14">
        <f t="shared" si="3"/>
        <v>1</v>
      </c>
      <c r="AB222" s="14"/>
      <c r="AC222" s="30" t="s">
        <v>223</v>
      </c>
      <c r="AD222" s="37"/>
    </row>
    <row r="223" spans="1:30" x14ac:dyDescent="0.25">
      <c r="A223" s="36">
        <v>307</v>
      </c>
      <c r="B223" s="14" t="s">
        <v>645</v>
      </c>
      <c r="C223" s="31" t="s">
        <v>646</v>
      </c>
      <c r="D223" s="17">
        <v>44109</v>
      </c>
      <c r="E223" s="14" t="s">
        <v>30</v>
      </c>
      <c r="F223" s="14">
        <v>733</v>
      </c>
      <c r="G223" s="14">
        <v>340</v>
      </c>
      <c r="H223" s="14">
        <v>2</v>
      </c>
      <c r="I223" s="14">
        <v>1</v>
      </c>
      <c r="J223" s="14" t="s">
        <v>204</v>
      </c>
      <c r="K223" s="14" cm="1">
        <f t="array" ref="K223">INT(SUMPRODUCT(--ISNUMBER(SEARCH(economy,'Mark Kelly'!C223)))&gt;0)</f>
        <v>0</v>
      </c>
      <c r="L223" s="14" cm="1">
        <f t="array" ref="L223">INT(SUMPRODUCT(--ISNUMBER(SEARCH(healthcare,'Mark Kelly'!C223)))&gt;0)</f>
        <v>0</v>
      </c>
      <c r="M223" s="14" cm="1">
        <f t="array" ref="M223">INT(SUMPRODUCT(--ISNUMBER(SEARCH(supreme,'Mark Kelly'!C223)))&gt;0)</f>
        <v>0</v>
      </c>
      <c r="N223" s="14" cm="1">
        <f t="array" ref="N223">INT(SUMPRODUCT(--ISNUMBER(SEARCH(covid,'Mark Kelly'!C223)))&gt;0)</f>
        <v>0</v>
      </c>
      <c r="O223" s="14" cm="1">
        <f t="array" ref="O223">INT(SUMPRODUCT(--ISNUMBER(SEARCH(violent,'Mark Kelly'!C223)))&gt;0)</f>
        <v>0</v>
      </c>
      <c r="P223" s="14" cm="1">
        <f t="array" ref="P223">INT(SUMPRODUCT(--ISNUMBER(SEARCH(foreign,'Mark Kelly'!C223)))&gt;0)</f>
        <v>0</v>
      </c>
      <c r="Q223" s="14" cm="1">
        <f t="array" ref="Q223">INT(SUMPRODUCT(--ISNUMBER(SEARCH(gun,'Mark Kelly'!C223)))&gt;0)</f>
        <v>0</v>
      </c>
      <c r="R223" s="14" cm="1">
        <f t="array" ref="R223">INT(SUMPRODUCT(--ISNUMBER(SEARCH(race,'Mark Kelly'!C223)))&gt;0)</f>
        <v>0</v>
      </c>
      <c r="S223" s="14" cm="1">
        <f t="array" ref="S223">INT(SUMPRODUCT(--ISNUMBER(SEARCH(immigration,C223)))&gt;0)</f>
        <v>0</v>
      </c>
      <c r="T223" s="14" cm="1">
        <f t="array" ref="T223">INT(SUMPRODUCT(--ISNUMBER(SEARCH(econineq,C223)))&gt;0)</f>
        <v>0</v>
      </c>
      <c r="U223" s="14" cm="1">
        <f t="array" ref="U223">INT(SUMPRODUCT(--ISNUMBER(SEARCH(climate,'Mark Kelly'!C223)))&gt;0)</f>
        <v>0</v>
      </c>
      <c r="V223" s="14" cm="1">
        <f t="array" ref="V223">INT(SUMPRODUCT(--ISNUMBER(SEARCH(abortion,'Mark Kelly'!C223)))&gt;0)</f>
        <v>0</v>
      </c>
      <c r="W223" s="14" cm="1">
        <f t="array" ref="W223">INT(SUMPRODUCT(--ISNUMBER(SEARCH(trump,'Mark Kelly'!C223)))&gt;0)</f>
        <v>0</v>
      </c>
      <c r="X223" s="14" cm="1">
        <f t="array" ref="X223">INT(SUMPRODUCT(--ISNUMBER(SEARCH(voting,'Mark Kelly'!C223)))&gt;0)</f>
        <v>1</v>
      </c>
      <c r="Y223" s="14" cm="1">
        <f t="array" ref="Y223">INT(SUMPRODUCT(--ISNUMBER(SEARCH(democrattrigger,'Mark Kelly'!C223)))&gt;0)</f>
        <v>0</v>
      </c>
      <c r="Z223" s="14" cm="1">
        <f t="array" ref="Z223">INT(SUMPRODUCT(--ISNUMBER(SEARCH(bipartisan,'Mark Kelly'!C223)))&gt;0)</f>
        <v>0</v>
      </c>
      <c r="AA223" s="14">
        <f t="shared" si="3"/>
        <v>0</v>
      </c>
      <c r="AB223" s="14"/>
      <c r="AC223" s="30" t="s">
        <v>223</v>
      </c>
      <c r="AD223" s="37"/>
    </row>
    <row r="224" spans="1:30" x14ac:dyDescent="0.25">
      <c r="A224" s="36">
        <v>308</v>
      </c>
      <c r="B224" s="14" t="s">
        <v>647</v>
      </c>
      <c r="C224" s="31" t="s">
        <v>648</v>
      </c>
      <c r="D224" s="17">
        <v>44109</v>
      </c>
      <c r="E224" s="14" t="s">
        <v>30</v>
      </c>
      <c r="F224" s="14">
        <v>854</v>
      </c>
      <c r="G224" s="14">
        <v>450</v>
      </c>
      <c r="H224" s="14">
        <v>2</v>
      </c>
      <c r="I224" s="14">
        <v>1</v>
      </c>
      <c r="J224" s="14" t="s">
        <v>204</v>
      </c>
      <c r="K224" s="14" cm="1">
        <f t="array" ref="K224">INT(SUMPRODUCT(--ISNUMBER(SEARCH(economy,'Mark Kelly'!C224)))&gt;0)</f>
        <v>0</v>
      </c>
      <c r="L224" s="14" cm="1">
        <f t="array" ref="L224">INT(SUMPRODUCT(--ISNUMBER(SEARCH(healthcare,'Mark Kelly'!C224)))&gt;0)</f>
        <v>0</v>
      </c>
      <c r="M224" s="14" cm="1">
        <f t="array" ref="M224">INT(SUMPRODUCT(--ISNUMBER(SEARCH(supreme,'Mark Kelly'!C224)))&gt;0)</f>
        <v>0</v>
      </c>
      <c r="N224" s="14" cm="1">
        <f t="array" ref="N224">INT(SUMPRODUCT(--ISNUMBER(SEARCH(covid,'Mark Kelly'!C224)))&gt;0)</f>
        <v>0</v>
      </c>
      <c r="O224" s="14" cm="1">
        <f t="array" ref="O224">INT(SUMPRODUCT(--ISNUMBER(SEARCH(violent,'Mark Kelly'!C224)))&gt;0)</f>
        <v>0</v>
      </c>
      <c r="P224" s="14" cm="1">
        <f t="array" ref="P224">INT(SUMPRODUCT(--ISNUMBER(SEARCH(foreign,'Mark Kelly'!C224)))&gt;0)</f>
        <v>0</v>
      </c>
      <c r="Q224" s="14" cm="1">
        <f t="array" ref="Q224">INT(SUMPRODUCT(--ISNUMBER(SEARCH(gun,'Mark Kelly'!C224)))&gt;0)</f>
        <v>0</v>
      </c>
      <c r="R224" s="14" cm="1">
        <f t="array" ref="R224">INT(SUMPRODUCT(--ISNUMBER(SEARCH(race,'Mark Kelly'!C224)))&gt;0)</f>
        <v>0</v>
      </c>
      <c r="S224" s="14" cm="1">
        <f t="array" ref="S224">INT(SUMPRODUCT(--ISNUMBER(SEARCH(immigration,C224)))&gt;0)</f>
        <v>0</v>
      </c>
      <c r="T224" s="14" cm="1">
        <f t="array" ref="T224">INT(SUMPRODUCT(--ISNUMBER(SEARCH(econineq,C224)))&gt;0)</f>
        <v>0</v>
      </c>
      <c r="U224" s="14" cm="1">
        <f t="array" ref="U224">INT(SUMPRODUCT(--ISNUMBER(SEARCH(climate,'Mark Kelly'!C224)))&gt;0)</f>
        <v>0</v>
      </c>
      <c r="V224" s="14" cm="1">
        <f t="array" ref="V224">INT(SUMPRODUCT(--ISNUMBER(SEARCH(abortion,'Mark Kelly'!C224)))&gt;0)</f>
        <v>0</v>
      </c>
      <c r="W224" s="14" cm="1">
        <f t="array" ref="W224">INT(SUMPRODUCT(--ISNUMBER(SEARCH(trump,'Mark Kelly'!C224)))&gt;0)</f>
        <v>0</v>
      </c>
      <c r="X224" s="14" cm="1">
        <f t="array" ref="X224">INT(SUMPRODUCT(--ISNUMBER(SEARCH(voting,'Mark Kelly'!C224)))&gt;0)</f>
        <v>1</v>
      </c>
      <c r="Y224" s="14" cm="1">
        <f t="array" ref="Y224">INT(SUMPRODUCT(--ISNUMBER(SEARCH(democrattrigger,'Mark Kelly'!C224)))&gt;0)</f>
        <v>0</v>
      </c>
      <c r="Z224" s="14" cm="1">
        <f t="array" ref="Z224">INT(SUMPRODUCT(--ISNUMBER(SEARCH(bipartisan,'Mark Kelly'!C224)))&gt;0)</f>
        <v>0</v>
      </c>
      <c r="AA224" s="14">
        <f t="shared" si="3"/>
        <v>0</v>
      </c>
      <c r="AB224" s="14"/>
      <c r="AC224" s="30" t="s">
        <v>223</v>
      </c>
      <c r="AD224" s="37"/>
    </row>
    <row r="225" spans="1:30" x14ac:dyDescent="0.25">
      <c r="A225" s="36">
        <v>309</v>
      </c>
      <c r="B225" s="14" t="s">
        <v>649</v>
      </c>
      <c r="C225" s="31" t="s">
        <v>650</v>
      </c>
      <c r="D225" s="17">
        <v>44109</v>
      </c>
      <c r="E225" s="14" t="s">
        <v>30</v>
      </c>
      <c r="F225" s="14">
        <v>745</v>
      </c>
      <c r="G225" s="14">
        <v>333</v>
      </c>
      <c r="H225" s="14">
        <v>2</v>
      </c>
      <c r="I225" s="14">
        <v>1</v>
      </c>
      <c r="J225" s="14" t="s">
        <v>204</v>
      </c>
      <c r="K225" s="14" cm="1">
        <f t="array" ref="K225">INT(SUMPRODUCT(--ISNUMBER(SEARCH(economy,'Mark Kelly'!C225)))&gt;0)</f>
        <v>0</v>
      </c>
      <c r="L225" s="14" cm="1">
        <f t="array" ref="L225">INT(SUMPRODUCT(--ISNUMBER(SEARCH(healthcare,'Mark Kelly'!C225)))&gt;0)</f>
        <v>0</v>
      </c>
      <c r="M225" s="14" cm="1">
        <f t="array" ref="M225">INT(SUMPRODUCT(--ISNUMBER(SEARCH(supreme,'Mark Kelly'!C225)))&gt;0)</f>
        <v>0</v>
      </c>
      <c r="N225" s="14" cm="1">
        <f t="array" ref="N225">INT(SUMPRODUCT(--ISNUMBER(SEARCH(covid,'Mark Kelly'!C225)))&gt;0)</f>
        <v>0</v>
      </c>
      <c r="O225" s="14" cm="1">
        <f t="array" ref="O225">INT(SUMPRODUCT(--ISNUMBER(SEARCH(violent,'Mark Kelly'!C225)))&gt;0)</f>
        <v>0</v>
      </c>
      <c r="P225" s="14" cm="1">
        <f t="array" ref="P225">INT(SUMPRODUCT(--ISNUMBER(SEARCH(foreign,'Mark Kelly'!C225)))&gt;0)</f>
        <v>0</v>
      </c>
      <c r="Q225" s="14" cm="1">
        <f t="array" ref="Q225">INT(SUMPRODUCT(--ISNUMBER(SEARCH(gun,'Mark Kelly'!C225)))&gt;0)</f>
        <v>0</v>
      </c>
      <c r="R225" s="14" cm="1">
        <f t="array" ref="R225">INT(SUMPRODUCT(--ISNUMBER(SEARCH(race,'Mark Kelly'!C225)))&gt;0)</f>
        <v>0</v>
      </c>
      <c r="S225" s="14" cm="1">
        <f t="array" ref="S225">INT(SUMPRODUCT(--ISNUMBER(SEARCH(immigration,C225)))&gt;0)</f>
        <v>0</v>
      </c>
      <c r="T225" s="14" cm="1">
        <f t="array" ref="T225">INT(SUMPRODUCT(--ISNUMBER(SEARCH(econineq,C225)))&gt;0)</f>
        <v>0</v>
      </c>
      <c r="U225" s="14" cm="1">
        <f t="array" ref="U225">INT(SUMPRODUCT(--ISNUMBER(SEARCH(climate,'Mark Kelly'!C225)))&gt;0)</f>
        <v>0</v>
      </c>
      <c r="V225" s="14" cm="1">
        <f t="array" ref="V225">INT(SUMPRODUCT(--ISNUMBER(SEARCH(abortion,'Mark Kelly'!C225)))&gt;0)</f>
        <v>0</v>
      </c>
      <c r="W225" s="14" cm="1">
        <f t="array" ref="W225">INT(SUMPRODUCT(--ISNUMBER(SEARCH(trump,'Mark Kelly'!C225)))&gt;0)</f>
        <v>0</v>
      </c>
      <c r="X225" s="14" cm="1">
        <f t="array" ref="X225">INT(SUMPRODUCT(--ISNUMBER(SEARCH(voting,'Mark Kelly'!C225)))&gt;0)</f>
        <v>1</v>
      </c>
      <c r="Y225" s="14" cm="1">
        <f t="array" ref="Y225">INT(SUMPRODUCT(--ISNUMBER(SEARCH(democrattrigger,'Mark Kelly'!C225)))&gt;0)</f>
        <v>0</v>
      </c>
      <c r="Z225" s="14" cm="1">
        <f t="array" ref="Z225">INT(SUMPRODUCT(--ISNUMBER(SEARCH(bipartisan,'Mark Kelly'!C225)))&gt;0)</f>
        <v>0</v>
      </c>
      <c r="AA225" s="14">
        <f t="shared" si="3"/>
        <v>0</v>
      </c>
      <c r="AB225" s="14"/>
      <c r="AC225" s="30" t="s">
        <v>223</v>
      </c>
      <c r="AD225" s="37"/>
    </row>
    <row r="226" spans="1:30" x14ac:dyDescent="0.25">
      <c r="A226" s="36">
        <v>310</v>
      </c>
      <c r="B226" s="14" t="s">
        <v>651</v>
      </c>
      <c r="C226" s="31" t="s">
        <v>652</v>
      </c>
      <c r="D226" s="17">
        <v>44108</v>
      </c>
      <c r="E226" s="14" t="s">
        <v>30</v>
      </c>
      <c r="F226" s="14">
        <v>854</v>
      </c>
      <c r="G226" s="14">
        <v>117</v>
      </c>
      <c r="H226" s="14">
        <v>2</v>
      </c>
      <c r="I226" s="14">
        <v>1</v>
      </c>
      <c r="J226" s="14" t="s">
        <v>204</v>
      </c>
      <c r="K226" s="14" cm="1">
        <f t="array" ref="K226">INT(SUMPRODUCT(--ISNUMBER(SEARCH(economy,'Mark Kelly'!C226)))&gt;0)</f>
        <v>0</v>
      </c>
      <c r="L226" s="14" cm="1">
        <f t="array" ref="L226">INT(SUMPRODUCT(--ISNUMBER(SEARCH(healthcare,'Mark Kelly'!C226)))&gt;0)</f>
        <v>0</v>
      </c>
      <c r="M226" s="14" cm="1">
        <f t="array" ref="M226">INT(SUMPRODUCT(--ISNUMBER(SEARCH(supreme,'Mark Kelly'!C226)))&gt;0)</f>
        <v>0</v>
      </c>
      <c r="N226" s="14" cm="1">
        <f t="array" ref="N226">INT(SUMPRODUCT(--ISNUMBER(SEARCH(covid,'Mark Kelly'!C226)))&gt;0)</f>
        <v>0</v>
      </c>
      <c r="O226" s="14" cm="1">
        <f t="array" ref="O226">INT(SUMPRODUCT(--ISNUMBER(SEARCH(violent,'Mark Kelly'!C226)))&gt;0)</f>
        <v>0</v>
      </c>
      <c r="P226" s="14" cm="1">
        <f t="array" ref="P226">INT(SUMPRODUCT(--ISNUMBER(SEARCH(foreign,'Mark Kelly'!C226)))&gt;0)</f>
        <v>0</v>
      </c>
      <c r="Q226" s="14" cm="1">
        <f t="array" ref="Q226">INT(SUMPRODUCT(--ISNUMBER(SEARCH(gun,'Mark Kelly'!C226)))&gt;0)</f>
        <v>0</v>
      </c>
      <c r="R226" s="14" cm="1">
        <f t="array" ref="R226">INT(SUMPRODUCT(--ISNUMBER(SEARCH(race,'Mark Kelly'!C226)))&gt;0)</f>
        <v>0</v>
      </c>
      <c r="S226" s="14" cm="1">
        <f t="array" ref="S226">INT(SUMPRODUCT(--ISNUMBER(SEARCH(immigration,C226)))&gt;0)</f>
        <v>0</v>
      </c>
      <c r="T226" s="14" cm="1">
        <f t="array" ref="T226">INT(SUMPRODUCT(--ISNUMBER(SEARCH(econineq,C226)))&gt;0)</f>
        <v>0</v>
      </c>
      <c r="U226" s="14" cm="1">
        <f t="array" ref="U226">INT(SUMPRODUCT(--ISNUMBER(SEARCH(climate,'Mark Kelly'!C226)))&gt;0)</f>
        <v>0</v>
      </c>
      <c r="V226" s="14" cm="1">
        <f t="array" ref="V226">INT(SUMPRODUCT(--ISNUMBER(SEARCH(abortion,'Mark Kelly'!C226)))&gt;0)</f>
        <v>0</v>
      </c>
      <c r="W226" s="14" cm="1">
        <f t="array" ref="W226">INT(SUMPRODUCT(--ISNUMBER(SEARCH(trump,'Mark Kelly'!C226)))&gt;0)</f>
        <v>0</v>
      </c>
      <c r="X226" s="14" cm="1">
        <f t="array" ref="X226">INT(SUMPRODUCT(--ISNUMBER(SEARCH(voting,'Mark Kelly'!C226)))&gt;0)</f>
        <v>0</v>
      </c>
      <c r="Y226" s="14" cm="1">
        <f t="array" ref="Y226">INT(SUMPRODUCT(--ISNUMBER(SEARCH(democrattrigger,'Mark Kelly'!C226)))&gt;0)</f>
        <v>0</v>
      </c>
      <c r="Z226" s="14" cm="1">
        <f t="array" ref="Z226">INT(SUMPRODUCT(--ISNUMBER(SEARCH(bipartisan,'Mark Kelly'!C226)))&gt;0)</f>
        <v>0</v>
      </c>
      <c r="AA226" s="14">
        <f t="shared" si="3"/>
        <v>1</v>
      </c>
      <c r="AB226" s="14"/>
      <c r="AC226" s="30">
        <v>0</v>
      </c>
      <c r="AD226" s="37">
        <v>0</v>
      </c>
    </row>
    <row r="227" spans="1:30" x14ac:dyDescent="0.25">
      <c r="A227" s="36">
        <v>311</v>
      </c>
      <c r="B227" s="14" t="s">
        <v>653</v>
      </c>
      <c r="C227" s="31" t="s">
        <v>654</v>
      </c>
      <c r="D227" s="17">
        <v>44108</v>
      </c>
      <c r="E227" s="14" t="s">
        <v>30</v>
      </c>
      <c r="F227" s="14">
        <v>644</v>
      </c>
      <c r="G227" s="14">
        <v>355</v>
      </c>
      <c r="H227" s="14">
        <v>2</v>
      </c>
      <c r="I227" s="14">
        <v>1</v>
      </c>
      <c r="J227" s="14" t="s">
        <v>204</v>
      </c>
      <c r="K227" s="14" cm="1">
        <f t="array" ref="K227">INT(SUMPRODUCT(--ISNUMBER(SEARCH(economy,'Mark Kelly'!C227)))&gt;0)</f>
        <v>0</v>
      </c>
      <c r="L227" s="14" cm="1">
        <f t="array" ref="L227">INT(SUMPRODUCT(--ISNUMBER(SEARCH(healthcare,'Mark Kelly'!C227)))&gt;0)</f>
        <v>0</v>
      </c>
      <c r="M227" s="14" cm="1">
        <f t="array" ref="M227">INT(SUMPRODUCT(--ISNUMBER(SEARCH(supreme,'Mark Kelly'!C227)))&gt;0)</f>
        <v>0</v>
      </c>
      <c r="N227" s="14" cm="1">
        <f t="array" ref="N227">INT(SUMPRODUCT(--ISNUMBER(SEARCH(covid,'Mark Kelly'!C227)))&gt;0)</f>
        <v>0</v>
      </c>
      <c r="O227" s="14" cm="1">
        <f t="array" ref="O227">INT(SUMPRODUCT(--ISNUMBER(SEARCH(violent,'Mark Kelly'!C227)))&gt;0)</f>
        <v>0</v>
      </c>
      <c r="P227" s="14" cm="1">
        <f t="array" ref="P227">INT(SUMPRODUCT(--ISNUMBER(SEARCH(foreign,'Mark Kelly'!C227)))&gt;0)</f>
        <v>0</v>
      </c>
      <c r="Q227" s="14" cm="1">
        <f t="array" ref="Q227">INT(SUMPRODUCT(--ISNUMBER(SEARCH(gun,'Mark Kelly'!C227)))&gt;0)</f>
        <v>0</v>
      </c>
      <c r="R227" s="14" cm="1">
        <f t="array" ref="R227">INT(SUMPRODUCT(--ISNUMBER(SEARCH(race,'Mark Kelly'!C227)))&gt;0)</f>
        <v>0</v>
      </c>
      <c r="S227" s="14" cm="1">
        <f t="array" ref="S227">INT(SUMPRODUCT(--ISNUMBER(SEARCH(immigration,C227)))&gt;0)</f>
        <v>0</v>
      </c>
      <c r="T227" s="14" cm="1">
        <f t="array" ref="T227">INT(SUMPRODUCT(--ISNUMBER(SEARCH(econineq,C227)))&gt;0)</f>
        <v>0</v>
      </c>
      <c r="U227" s="14" cm="1">
        <f t="array" ref="U227">INT(SUMPRODUCT(--ISNUMBER(SEARCH(climate,'Mark Kelly'!C227)))&gt;0)</f>
        <v>0</v>
      </c>
      <c r="V227" s="14" cm="1">
        <f t="array" ref="V227">INT(SUMPRODUCT(--ISNUMBER(SEARCH(abortion,'Mark Kelly'!C227)))&gt;0)</f>
        <v>0</v>
      </c>
      <c r="W227" s="14" cm="1">
        <f t="array" ref="W227">INT(SUMPRODUCT(--ISNUMBER(SEARCH(trump,'Mark Kelly'!C227)))&gt;0)</f>
        <v>0</v>
      </c>
      <c r="X227" s="14" cm="1">
        <f t="array" ref="X227">INT(SUMPRODUCT(--ISNUMBER(SEARCH(voting,'Mark Kelly'!C227)))&gt;0)</f>
        <v>1</v>
      </c>
      <c r="Y227" s="14" cm="1">
        <f t="array" ref="Y227">INT(SUMPRODUCT(--ISNUMBER(SEARCH(democrattrigger,'Mark Kelly'!C227)))&gt;0)</f>
        <v>0</v>
      </c>
      <c r="Z227" s="14" cm="1">
        <f t="array" ref="Z227">INT(SUMPRODUCT(--ISNUMBER(SEARCH(bipartisan,'Mark Kelly'!C227)))&gt;0)</f>
        <v>0</v>
      </c>
      <c r="AA227" s="14">
        <f t="shared" si="3"/>
        <v>0</v>
      </c>
      <c r="AB227" s="14"/>
      <c r="AC227" s="30">
        <v>1</v>
      </c>
      <c r="AD227" s="37">
        <v>0</v>
      </c>
    </row>
    <row r="228" spans="1:30" x14ac:dyDescent="0.25">
      <c r="A228" s="36">
        <v>312</v>
      </c>
      <c r="B228" s="14" t="s">
        <v>655</v>
      </c>
      <c r="C228" s="31" t="s">
        <v>656</v>
      </c>
      <c r="D228" s="17">
        <v>44108</v>
      </c>
      <c r="E228" s="14" t="s">
        <v>30</v>
      </c>
      <c r="F228" s="14">
        <v>4262</v>
      </c>
      <c r="G228" s="14">
        <v>1650</v>
      </c>
      <c r="H228" s="14">
        <v>2</v>
      </c>
      <c r="I228" s="14">
        <v>1</v>
      </c>
      <c r="J228" s="14" t="s">
        <v>204</v>
      </c>
      <c r="K228" s="14" cm="1">
        <f t="array" ref="K228">INT(SUMPRODUCT(--ISNUMBER(SEARCH(economy,'Mark Kelly'!C228)))&gt;0)</f>
        <v>0</v>
      </c>
      <c r="L228" s="14" cm="1">
        <f t="array" ref="L228">INT(SUMPRODUCT(--ISNUMBER(SEARCH(healthcare,'Mark Kelly'!C228)))&gt;0)</f>
        <v>1</v>
      </c>
      <c r="M228" s="14" cm="1">
        <f t="array" ref="M228">INT(SUMPRODUCT(--ISNUMBER(SEARCH(supreme,'Mark Kelly'!C228)))&gt;0)</f>
        <v>0</v>
      </c>
      <c r="N228" s="14" cm="1">
        <f t="array" ref="N228">INT(SUMPRODUCT(--ISNUMBER(SEARCH(covid,'Mark Kelly'!C228)))&gt;0)</f>
        <v>0</v>
      </c>
      <c r="O228" s="14" cm="1">
        <f t="array" ref="O228">INT(SUMPRODUCT(--ISNUMBER(SEARCH(violent,'Mark Kelly'!C228)))&gt;0)</f>
        <v>0</v>
      </c>
      <c r="P228" s="14" cm="1">
        <f t="array" ref="P228">INT(SUMPRODUCT(--ISNUMBER(SEARCH(foreign,'Mark Kelly'!C228)))&gt;0)</f>
        <v>0</v>
      </c>
      <c r="Q228" s="14" cm="1">
        <f t="array" ref="Q228">INT(SUMPRODUCT(--ISNUMBER(SEARCH(gun,'Mark Kelly'!C228)))&gt;0)</f>
        <v>0</v>
      </c>
      <c r="R228" s="14" cm="1">
        <f t="array" ref="R228">INT(SUMPRODUCT(--ISNUMBER(SEARCH(race,'Mark Kelly'!C228)))&gt;0)</f>
        <v>0</v>
      </c>
      <c r="S228" s="14" cm="1">
        <f t="array" ref="S228">INT(SUMPRODUCT(--ISNUMBER(SEARCH(immigration,C228)))&gt;0)</f>
        <v>0</v>
      </c>
      <c r="T228" s="14" cm="1">
        <f t="array" ref="T228">INT(SUMPRODUCT(--ISNUMBER(SEARCH(econineq,C228)))&gt;0)</f>
        <v>0</v>
      </c>
      <c r="U228" s="14" cm="1">
        <f t="array" ref="U228">INT(SUMPRODUCT(--ISNUMBER(SEARCH(climate,'Mark Kelly'!C228)))&gt;0)</f>
        <v>0</v>
      </c>
      <c r="V228" s="14" cm="1">
        <f t="array" ref="V228">INT(SUMPRODUCT(--ISNUMBER(SEARCH(abortion,'Mark Kelly'!C228)))&gt;0)</f>
        <v>0</v>
      </c>
      <c r="W228" s="14" cm="1">
        <f t="array" ref="W228">INT(SUMPRODUCT(--ISNUMBER(SEARCH(trump,'Mark Kelly'!C228)))&gt;0)</f>
        <v>0</v>
      </c>
      <c r="X228" s="14" cm="1">
        <f t="array" ref="X228">INT(SUMPRODUCT(--ISNUMBER(SEARCH(voting,'Mark Kelly'!C228)))&gt;0)</f>
        <v>0</v>
      </c>
      <c r="Y228" s="14" cm="1">
        <f t="array" ref="Y228">INT(SUMPRODUCT(--ISNUMBER(SEARCH(democrattrigger,'Mark Kelly'!C228)))&gt;0)</f>
        <v>0</v>
      </c>
      <c r="Z228" s="14" cm="1">
        <f t="array" ref="Z228">INT(SUMPRODUCT(--ISNUMBER(SEARCH(bipartisan,'Mark Kelly'!C228)))&gt;0)</f>
        <v>0</v>
      </c>
      <c r="AA228" s="14">
        <f t="shared" si="3"/>
        <v>0</v>
      </c>
      <c r="AB228" s="14"/>
      <c r="AC228" s="30">
        <v>0</v>
      </c>
      <c r="AD228" s="37">
        <v>1</v>
      </c>
    </row>
    <row r="229" spans="1:30" x14ac:dyDescent="0.25">
      <c r="A229" s="36">
        <v>313</v>
      </c>
      <c r="B229" s="14" t="s">
        <v>657</v>
      </c>
      <c r="C229" s="31" t="s">
        <v>658</v>
      </c>
      <c r="D229" s="17">
        <v>44107</v>
      </c>
      <c r="E229" s="14" t="s">
        <v>30</v>
      </c>
      <c r="F229" s="14">
        <v>3458</v>
      </c>
      <c r="G229" s="14">
        <v>1054</v>
      </c>
      <c r="H229" s="14">
        <v>2</v>
      </c>
      <c r="I229" s="14">
        <v>1</v>
      </c>
      <c r="J229" s="14" t="s">
        <v>204</v>
      </c>
      <c r="K229" s="14" cm="1">
        <f t="array" ref="K229">INT(SUMPRODUCT(--ISNUMBER(SEARCH(economy,'Mark Kelly'!C229)))&gt;0)</f>
        <v>0</v>
      </c>
      <c r="L229" s="14" cm="1">
        <f t="array" ref="L229">INT(SUMPRODUCT(--ISNUMBER(SEARCH(healthcare,'Mark Kelly'!C229)))&gt;0)</f>
        <v>0</v>
      </c>
      <c r="M229" s="14" cm="1">
        <f t="array" ref="M229">INT(SUMPRODUCT(--ISNUMBER(SEARCH(supreme,'Mark Kelly'!C229)))&gt;0)</f>
        <v>0</v>
      </c>
      <c r="N229" s="14" cm="1">
        <f t="array" ref="N229">INT(SUMPRODUCT(--ISNUMBER(SEARCH(covid,'Mark Kelly'!C229)))&gt;0)</f>
        <v>0</v>
      </c>
      <c r="O229" s="14" cm="1">
        <f t="array" ref="O229">INT(SUMPRODUCT(--ISNUMBER(SEARCH(violent,'Mark Kelly'!C229)))&gt;0)</f>
        <v>0</v>
      </c>
      <c r="P229" s="14" cm="1">
        <f t="array" ref="P229">INT(SUMPRODUCT(--ISNUMBER(SEARCH(foreign,'Mark Kelly'!C229)))&gt;0)</f>
        <v>0</v>
      </c>
      <c r="Q229" s="14" cm="1">
        <f t="array" ref="Q229">INT(SUMPRODUCT(--ISNUMBER(SEARCH(gun,'Mark Kelly'!C229)))&gt;0)</f>
        <v>0</v>
      </c>
      <c r="R229" s="14" cm="1">
        <f t="array" ref="R229">INT(SUMPRODUCT(--ISNUMBER(SEARCH(race,'Mark Kelly'!C229)))&gt;0)</f>
        <v>0</v>
      </c>
      <c r="S229" s="14" cm="1">
        <f t="array" ref="S229">INT(SUMPRODUCT(--ISNUMBER(SEARCH(immigration,C229)))&gt;0)</f>
        <v>0</v>
      </c>
      <c r="T229" s="14" cm="1">
        <f t="array" ref="T229">INT(SUMPRODUCT(--ISNUMBER(SEARCH(econineq,C229)))&gt;0)</f>
        <v>0</v>
      </c>
      <c r="U229" s="14" cm="1">
        <f t="array" ref="U229">INT(SUMPRODUCT(--ISNUMBER(SEARCH(climate,'Mark Kelly'!C229)))&gt;0)</f>
        <v>0</v>
      </c>
      <c r="V229" s="14" cm="1">
        <f t="array" ref="V229">INT(SUMPRODUCT(--ISNUMBER(SEARCH(abortion,'Mark Kelly'!C229)))&gt;0)</f>
        <v>0</v>
      </c>
      <c r="W229" s="14" cm="1">
        <f t="array" ref="W229">INT(SUMPRODUCT(--ISNUMBER(SEARCH(trump,'Mark Kelly'!C229)))&gt;0)</f>
        <v>0</v>
      </c>
      <c r="X229" s="14" cm="1">
        <f t="array" ref="X229">INT(SUMPRODUCT(--ISNUMBER(SEARCH(voting,'Mark Kelly'!C229)))&gt;0)</f>
        <v>0</v>
      </c>
      <c r="Y229" s="14" cm="1">
        <f t="array" ref="Y229">INT(SUMPRODUCT(--ISNUMBER(SEARCH(democrattrigger,'Mark Kelly'!C229)))&gt;0)</f>
        <v>0</v>
      </c>
      <c r="Z229" s="14" cm="1">
        <f t="array" ref="Z229">INT(SUMPRODUCT(--ISNUMBER(SEARCH(bipartisan,'Mark Kelly'!C229)))&gt;0)</f>
        <v>0</v>
      </c>
      <c r="AA229" s="14">
        <f t="shared" si="3"/>
        <v>1</v>
      </c>
      <c r="AB229" s="14"/>
      <c r="AC229" s="30">
        <v>0</v>
      </c>
      <c r="AD229" s="37">
        <v>1</v>
      </c>
    </row>
    <row r="230" spans="1:30" x14ac:dyDescent="0.25">
      <c r="A230" s="36">
        <v>314</v>
      </c>
      <c r="B230" s="14" t="s">
        <v>659</v>
      </c>
      <c r="C230" s="31" t="s">
        <v>660</v>
      </c>
      <c r="D230" s="17">
        <v>44107</v>
      </c>
      <c r="E230" s="14" t="s">
        <v>30</v>
      </c>
      <c r="F230" s="14">
        <v>535</v>
      </c>
      <c r="G230" s="14">
        <v>176</v>
      </c>
      <c r="H230" s="14">
        <v>2</v>
      </c>
      <c r="I230" s="14">
        <v>1</v>
      </c>
      <c r="J230" s="14" t="s">
        <v>204</v>
      </c>
      <c r="K230" s="14" cm="1">
        <f t="array" ref="K230">INT(SUMPRODUCT(--ISNUMBER(SEARCH(economy,'Mark Kelly'!C230)))&gt;0)</f>
        <v>0</v>
      </c>
      <c r="L230" s="14" cm="1">
        <f t="array" ref="L230">INT(SUMPRODUCT(--ISNUMBER(SEARCH(healthcare,'Mark Kelly'!C230)))&gt;0)</f>
        <v>0</v>
      </c>
      <c r="M230" s="14" cm="1">
        <f t="array" ref="M230">INT(SUMPRODUCT(--ISNUMBER(SEARCH(supreme,'Mark Kelly'!C230)))&gt;0)</f>
        <v>0</v>
      </c>
      <c r="N230" s="14" cm="1">
        <f t="array" ref="N230">INT(SUMPRODUCT(--ISNUMBER(SEARCH(covid,'Mark Kelly'!C230)))&gt;0)</f>
        <v>0</v>
      </c>
      <c r="O230" s="14" cm="1">
        <f t="array" ref="O230">INT(SUMPRODUCT(--ISNUMBER(SEARCH(violent,'Mark Kelly'!C230)))&gt;0)</f>
        <v>0</v>
      </c>
      <c r="P230" s="14" cm="1">
        <f t="array" ref="P230">INT(SUMPRODUCT(--ISNUMBER(SEARCH(foreign,'Mark Kelly'!C230)))&gt;0)</f>
        <v>0</v>
      </c>
      <c r="Q230" s="14" cm="1">
        <f t="array" ref="Q230">INT(SUMPRODUCT(--ISNUMBER(SEARCH(gun,'Mark Kelly'!C230)))&gt;0)</f>
        <v>0</v>
      </c>
      <c r="R230" s="14" cm="1">
        <f t="array" ref="R230">INT(SUMPRODUCT(--ISNUMBER(SEARCH(race,'Mark Kelly'!C230)))&gt;0)</f>
        <v>0</v>
      </c>
      <c r="S230" s="14" cm="1">
        <f t="array" ref="S230">INT(SUMPRODUCT(--ISNUMBER(SEARCH(immigration,C230)))&gt;0)</f>
        <v>0</v>
      </c>
      <c r="T230" s="14" cm="1">
        <f t="array" ref="T230">INT(SUMPRODUCT(--ISNUMBER(SEARCH(econineq,C230)))&gt;0)</f>
        <v>0</v>
      </c>
      <c r="U230" s="14" cm="1">
        <f t="array" ref="U230">INT(SUMPRODUCT(--ISNUMBER(SEARCH(climate,'Mark Kelly'!C230)))&gt;0)</f>
        <v>0</v>
      </c>
      <c r="V230" s="14" cm="1">
        <f t="array" ref="V230">INT(SUMPRODUCT(--ISNUMBER(SEARCH(abortion,'Mark Kelly'!C230)))&gt;0)</f>
        <v>0</v>
      </c>
      <c r="W230" s="14" cm="1">
        <f t="array" ref="W230">INT(SUMPRODUCT(--ISNUMBER(SEARCH(trump,'Mark Kelly'!C230)))&gt;0)</f>
        <v>0</v>
      </c>
      <c r="X230" s="14" cm="1">
        <f t="array" ref="X230">INT(SUMPRODUCT(--ISNUMBER(SEARCH(voting,'Mark Kelly'!C230)))&gt;0)</f>
        <v>1</v>
      </c>
      <c r="Y230" s="14" cm="1">
        <f t="array" ref="Y230">INT(SUMPRODUCT(--ISNUMBER(SEARCH(democrattrigger,'Mark Kelly'!C230)))&gt;0)</f>
        <v>0</v>
      </c>
      <c r="Z230" s="14" cm="1">
        <f t="array" ref="Z230">INT(SUMPRODUCT(--ISNUMBER(SEARCH(bipartisan,'Mark Kelly'!C230)))&gt;0)</f>
        <v>0</v>
      </c>
      <c r="AA230" s="14">
        <f t="shared" si="3"/>
        <v>0</v>
      </c>
      <c r="AB230" s="14"/>
      <c r="AC230" s="30">
        <v>1</v>
      </c>
      <c r="AD230" s="37">
        <v>0</v>
      </c>
    </row>
    <row r="231" spans="1:30" x14ac:dyDescent="0.25">
      <c r="A231" s="36">
        <v>315</v>
      </c>
      <c r="B231" s="14" t="s">
        <v>661</v>
      </c>
      <c r="C231" s="31" t="s">
        <v>662</v>
      </c>
      <c r="D231" s="17">
        <v>44107</v>
      </c>
      <c r="E231" s="14" t="s">
        <v>30</v>
      </c>
      <c r="F231" s="14">
        <v>389</v>
      </c>
      <c r="G231" s="14">
        <v>172</v>
      </c>
      <c r="H231" s="14">
        <v>2</v>
      </c>
      <c r="I231" s="14">
        <v>1</v>
      </c>
      <c r="J231" s="14" t="s">
        <v>204</v>
      </c>
      <c r="K231" s="14" cm="1">
        <f t="array" ref="K231">INT(SUMPRODUCT(--ISNUMBER(SEARCH(economy,'Mark Kelly'!C231)))&gt;0)</f>
        <v>0</v>
      </c>
      <c r="L231" s="14" cm="1">
        <f t="array" ref="L231">INT(SUMPRODUCT(--ISNUMBER(SEARCH(healthcare,'Mark Kelly'!C231)))&gt;0)</f>
        <v>0</v>
      </c>
      <c r="M231" s="14" cm="1">
        <f t="array" ref="M231">INT(SUMPRODUCT(--ISNUMBER(SEARCH(supreme,'Mark Kelly'!C231)))&gt;0)</f>
        <v>0</v>
      </c>
      <c r="N231" s="14" cm="1">
        <f t="array" ref="N231">INT(SUMPRODUCT(--ISNUMBER(SEARCH(covid,'Mark Kelly'!C231)))&gt;0)</f>
        <v>0</v>
      </c>
      <c r="O231" s="14" cm="1">
        <f t="array" ref="O231">INT(SUMPRODUCT(--ISNUMBER(SEARCH(violent,'Mark Kelly'!C231)))&gt;0)</f>
        <v>0</v>
      </c>
      <c r="P231" s="14" cm="1">
        <f t="array" ref="P231">INT(SUMPRODUCT(--ISNUMBER(SEARCH(foreign,'Mark Kelly'!C231)))&gt;0)</f>
        <v>0</v>
      </c>
      <c r="Q231" s="14" cm="1">
        <f t="array" ref="Q231">INT(SUMPRODUCT(--ISNUMBER(SEARCH(gun,'Mark Kelly'!C231)))&gt;0)</f>
        <v>0</v>
      </c>
      <c r="R231" s="14" cm="1">
        <f t="array" ref="R231">INT(SUMPRODUCT(--ISNUMBER(SEARCH(race,'Mark Kelly'!C231)))&gt;0)</f>
        <v>0</v>
      </c>
      <c r="S231" s="14" cm="1">
        <f t="array" ref="S231">INT(SUMPRODUCT(--ISNUMBER(SEARCH(immigration,C231)))&gt;0)</f>
        <v>0</v>
      </c>
      <c r="T231" s="14" cm="1">
        <f t="array" ref="T231">INT(SUMPRODUCT(--ISNUMBER(SEARCH(econineq,C231)))&gt;0)</f>
        <v>0</v>
      </c>
      <c r="U231" s="14" cm="1">
        <f t="array" ref="U231">INT(SUMPRODUCT(--ISNUMBER(SEARCH(climate,'Mark Kelly'!C231)))&gt;0)</f>
        <v>0</v>
      </c>
      <c r="V231" s="14" cm="1">
        <f t="array" ref="V231">INT(SUMPRODUCT(--ISNUMBER(SEARCH(abortion,'Mark Kelly'!C231)))&gt;0)</f>
        <v>0</v>
      </c>
      <c r="W231" s="14" cm="1">
        <f t="array" ref="W231">INT(SUMPRODUCT(--ISNUMBER(SEARCH(trump,'Mark Kelly'!C231)))&gt;0)</f>
        <v>0</v>
      </c>
      <c r="X231" s="14" cm="1">
        <f t="array" ref="X231">INT(SUMPRODUCT(--ISNUMBER(SEARCH(voting,'Mark Kelly'!C231)))&gt;0)</f>
        <v>1</v>
      </c>
      <c r="Y231" s="14" cm="1">
        <f t="array" ref="Y231">INT(SUMPRODUCT(--ISNUMBER(SEARCH(democrattrigger,'Mark Kelly'!C231)))&gt;0)</f>
        <v>0</v>
      </c>
      <c r="Z231" s="14" cm="1">
        <f t="array" ref="Z231">INT(SUMPRODUCT(--ISNUMBER(SEARCH(bipartisan,'Mark Kelly'!C231)))&gt;0)</f>
        <v>0</v>
      </c>
      <c r="AA231" s="14">
        <f t="shared" si="3"/>
        <v>0</v>
      </c>
      <c r="AB231" s="14"/>
      <c r="AC231" s="30">
        <v>0</v>
      </c>
      <c r="AD231" s="37">
        <v>0</v>
      </c>
    </row>
    <row r="232" spans="1:30" x14ac:dyDescent="0.25">
      <c r="A232" s="36">
        <v>316</v>
      </c>
      <c r="B232" s="14" t="s">
        <v>663</v>
      </c>
      <c r="C232" s="31" t="s">
        <v>664</v>
      </c>
      <c r="D232" s="17">
        <v>44107</v>
      </c>
      <c r="E232" s="14" t="s">
        <v>30</v>
      </c>
      <c r="F232" s="14">
        <v>6833</v>
      </c>
      <c r="G232" s="14">
        <v>1968</v>
      </c>
      <c r="H232" s="14">
        <v>2</v>
      </c>
      <c r="I232" s="14">
        <v>1</v>
      </c>
      <c r="J232" s="14" t="s">
        <v>204</v>
      </c>
      <c r="K232" s="14" cm="1">
        <f t="array" ref="K232">INT(SUMPRODUCT(--ISNUMBER(SEARCH(economy,'Mark Kelly'!C232)))&gt;0)</f>
        <v>0</v>
      </c>
      <c r="L232" s="14" cm="1">
        <f t="array" ref="L232">INT(SUMPRODUCT(--ISNUMBER(SEARCH(healthcare,'Mark Kelly'!C232)))&gt;0)</f>
        <v>0</v>
      </c>
      <c r="M232" s="14" cm="1">
        <f t="array" ref="M232">INT(SUMPRODUCT(--ISNUMBER(SEARCH(supreme,'Mark Kelly'!C232)))&gt;0)</f>
        <v>0</v>
      </c>
      <c r="N232" s="14" cm="1">
        <f t="array" ref="N232">INT(SUMPRODUCT(--ISNUMBER(SEARCH(covid,'Mark Kelly'!C232)))&gt;0)</f>
        <v>0</v>
      </c>
      <c r="O232" s="14" cm="1">
        <f t="array" ref="O232">INT(SUMPRODUCT(--ISNUMBER(SEARCH(violent,'Mark Kelly'!C232)))&gt;0)</f>
        <v>0</v>
      </c>
      <c r="P232" s="14" cm="1">
        <f t="array" ref="P232">INT(SUMPRODUCT(--ISNUMBER(SEARCH(foreign,'Mark Kelly'!C232)))&gt;0)</f>
        <v>0</v>
      </c>
      <c r="Q232" s="14" cm="1">
        <f t="array" ref="Q232">INT(SUMPRODUCT(--ISNUMBER(SEARCH(gun,'Mark Kelly'!C232)))&gt;0)</f>
        <v>0</v>
      </c>
      <c r="R232" s="14" cm="1">
        <f t="array" ref="R232">INT(SUMPRODUCT(--ISNUMBER(SEARCH(race,'Mark Kelly'!C232)))&gt;0)</f>
        <v>0</v>
      </c>
      <c r="S232" s="14" cm="1">
        <f t="array" ref="S232">INT(SUMPRODUCT(--ISNUMBER(SEARCH(immigration,C232)))&gt;0)</f>
        <v>0</v>
      </c>
      <c r="T232" s="14" cm="1">
        <f t="array" ref="T232">INT(SUMPRODUCT(--ISNUMBER(SEARCH(econineq,C232)))&gt;0)</f>
        <v>0</v>
      </c>
      <c r="U232" s="14" cm="1">
        <f t="array" ref="U232">INT(SUMPRODUCT(--ISNUMBER(SEARCH(climate,'Mark Kelly'!C232)))&gt;0)</f>
        <v>0</v>
      </c>
      <c r="V232" s="14" cm="1">
        <f t="array" ref="V232">INT(SUMPRODUCT(--ISNUMBER(SEARCH(abortion,'Mark Kelly'!C232)))&gt;0)</f>
        <v>0</v>
      </c>
      <c r="W232" s="14" cm="1">
        <f t="array" ref="W232">INT(SUMPRODUCT(--ISNUMBER(SEARCH(trump,'Mark Kelly'!C232)))&gt;0)</f>
        <v>0</v>
      </c>
      <c r="X232" s="14" cm="1">
        <f t="array" ref="X232">INT(SUMPRODUCT(--ISNUMBER(SEARCH(voting,'Mark Kelly'!C232)))&gt;0)</f>
        <v>0</v>
      </c>
      <c r="Y232" s="14" cm="1">
        <f t="array" ref="Y232">INT(SUMPRODUCT(--ISNUMBER(SEARCH(democrattrigger,'Mark Kelly'!C232)))&gt;0)</f>
        <v>0</v>
      </c>
      <c r="Z232" s="14" cm="1">
        <f t="array" ref="Z232">INT(SUMPRODUCT(--ISNUMBER(SEARCH(bipartisan,'Mark Kelly'!C232)))&gt;0)</f>
        <v>1</v>
      </c>
      <c r="AA232" s="14">
        <f t="shared" si="3"/>
        <v>0</v>
      </c>
      <c r="AB232" s="14"/>
      <c r="AC232" s="30">
        <v>0</v>
      </c>
      <c r="AD232" s="37">
        <v>1</v>
      </c>
    </row>
    <row r="233" spans="1:30" x14ac:dyDescent="0.25">
      <c r="A233" s="38">
        <v>317</v>
      </c>
      <c r="B233" s="39" t="s">
        <v>665</v>
      </c>
      <c r="C233" s="40" t="s">
        <v>666</v>
      </c>
      <c r="D233" s="41">
        <v>44107</v>
      </c>
      <c r="E233" s="39" t="s">
        <v>30</v>
      </c>
      <c r="F233" s="39">
        <v>1343</v>
      </c>
      <c r="G233" s="39">
        <v>382</v>
      </c>
      <c r="H233" s="39">
        <v>2</v>
      </c>
      <c r="I233" s="39">
        <v>1</v>
      </c>
      <c r="J233" s="39" t="s">
        <v>204</v>
      </c>
      <c r="K233" s="39" cm="1">
        <f t="array" ref="K233">INT(SUMPRODUCT(--ISNUMBER(SEARCH(economy,'Mark Kelly'!C233)))&gt;0)</f>
        <v>0</v>
      </c>
      <c r="L233" s="39" cm="1">
        <f t="array" ref="L233">INT(SUMPRODUCT(--ISNUMBER(SEARCH(healthcare,'Mark Kelly'!C233)))&gt;0)</f>
        <v>1</v>
      </c>
      <c r="M233" s="39" cm="1">
        <f t="array" ref="M233">INT(SUMPRODUCT(--ISNUMBER(SEARCH(supreme,'Mark Kelly'!C233)))&gt;0)</f>
        <v>0</v>
      </c>
      <c r="N233" s="39" cm="1">
        <f t="array" ref="N233">INT(SUMPRODUCT(--ISNUMBER(SEARCH(covid,'Mark Kelly'!C233)))&gt;0)</f>
        <v>0</v>
      </c>
      <c r="O233" s="39" cm="1">
        <f t="array" ref="O233">INT(SUMPRODUCT(--ISNUMBER(SEARCH(violent,'Mark Kelly'!C233)))&gt;0)</f>
        <v>0</v>
      </c>
      <c r="P233" s="39" cm="1">
        <f t="array" ref="P233">INT(SUMPRODUCT(--ISNUMBER(SEARCH(foreign,'Mark Kelly'!C233)))&gt;0)</f>
        <v>0</v>
      </c>
      <c r="Q233" s="39" cm="1">
        <f t="array" ref="Q233">INT(SUMPRODUCT(--ISNUMBER(SEARCH(gun,'Mark Kelly'!C233)))&gt;0)</f>
        <v>0</v>
      </c>
      <c r="R233" s="39" cm="1">
        <f t="array" ref="R233">INT(SUMPRODUCT(--ISNUMBER(SEARCH(race,'Mark Kelly'!C233)))&gt;0)</f>
        <v>0</v>
      </c>
      <c r="S233" s="39" cm="1">
        <f t="array" ref="S233">INT(SUMPRODUCT(--ISNUMBER(SEARCH(immigration,C233)))&gt;0)</f>
        <v>0</v>
      </c>
      <c r="T233" s="39" cm="1">
        <f t="array" ref="T233">INT(SUMPRODUCT(--ISNUMBER(SEARCH(econineq,C233)))&gt;0)</f>
        <v>0</v>
      </c>
      <c r="U233" s="39" cm="1">
        <f t="array" ref="U233">INT(SUMPRODUCT(--ISNUMBER(SEARCH(climate,'Mark Kelly'!C233)))&gt;0)</f>
        <v>0</v>
      </c>
      <c r="V233" s="39" cm="1">
        <f t="array" ref="V233">INT(SUMPRODUCT(--ISNUMBER(SEARCH(abortion,'Mark Kelly'!C233)))&gt;0)</f>
        <v>0</v>
      </c>
      <c r="W233" s="39" cm="1">
        <f t="array" ref="W233">INT(SUMPRODUCT(--ISNUMBER(SEARCH(trump,'Mark Kelly'!C233)))&gt;0)</f>
        <v>0</v>
      </c>
      <c r="X233" s="39" cm="1">
        <f t="array" ref="X233">INT(SUMPRODUCT(--ISNUMBER(SEARCH(voting,'Mark Kelly'!C233)))&gt;0)</f>
        <v>0</v>
      </c>
      <c r="Y233" s="39" cm="1">
        <f t="array" ref="Y233">INT(SUMPRODUCT(--ISNUMBER(SEARCH(democrattrigger,'Mark Kelly'!C233)))&gt;0)</f>
        <v>1</v>
      </c>
      <c r="Z233" s="39" cm="1">
        <f t="array" ref="Z233">INT(SUMPRODUCT(--ISNUMBER(SEARCH(bipartisan,'Mark Kelly'!C233)))&gt;0)</f>
        <v>0</v>
      </c>
      <c r="AA233" s="39">
        <f t="shared" si="3"/>
        <v>0</v>
      </c>
      <c r="AB233" s="39"/>
      <c r="AC233" s="44">
        <v>0</v>
      </c>
      <c r="AD233" s="45">
        <v>1</v>
      </c>
    </row>
    <row r="234" spans="1:30" x14ac:dyDescent="0.25">
      <c r="F234" s="21">
        <f>SUM(Table2[Likes])</f>
        <v>649843</v>
      </c>
      <c r="G234" s="21">
        <f>SUM(Table2[Retweets])</f>
        <v>141298</v>
      </c>
      <c r="K234" s="21">
        <f t="shared" ref="K234:W234" si="4">SUM(K2:K233)</f>
        <v>34</v>
      </c>
      <c r="L234" s="21">
        <f t="shared" si="4"/>
        <v>43</v>
      </c>
      <c r="M234" s="21">
        <f t="shared" si="4"/>
        <v>0</v>
      </c>
      <c r="N234" s="21">
        <f t="shared" si="4"/>
        <v>32</v>
      </c>
      <c r="O234" s="21">
        <f t="shared" si="4"/>
        <v>1</v>
      </c>
      <c r="P234" s="21">
        <f t="shared" si="4"/>
        <v>2</v>
      </c>
      <c r="Q234" s="21">
        <f t="shared" si="4"/>
        <v>2</v>
      </c>
      <c r="R234" s="21">
        <f t="shared" si="4"/>
        <v>12</v>
      </c>
      <c r="S234" s="21">
        <f t="shared" si="4"/>
        <v>9</v>
      </c>
      <c r="T234" s="21">
        <f t="shared" si="4"/>
        <v>3</v>
      </c>
      <c r="U234" s="21">
        <f t="shared" si="4"/>
        <v>8</v>
      </c>
      <c r="V234" s="21">
        <f t="shared" si="4"/>
        <v>0</v>
      </c>
      <c r="W234" s="21">
        <f t="shared" si="4"/>
        <v>0</v>
      </c>
      <c r="X234" s="21">
        <f t="shared" ref="X234:Z234" si="5">SUM(X2:X233)</f>
        <v>64</v>
      </c>
      <c r="Y234" s="21">
        <f t="shared" si="5"/>
        <v>10</v>
      </c>
      <c r="Z234" s="21">
        <f t="shared" si="5"/>
        <v>16</v>
      </c>
      <c r="AA234" s="21">
        <f>SUM(AA2:AA233)</f>
        <v>64</v>
      </c>
      <c r="AB234" s="21">
        <f>SUM(AB2:AB233)</f>
        <v>0</v>
      </c>
      <c r="AC234" s="21">
        <f>SUM(AC2:AC233)</f>
        <v>62</v>
      </c>
      <c r="AD234" s="21">
        <f>SUM(AD2:AD233)</f>
        <v>65</v>
      </c>
    </row>
  </sheetData>
  <conditionalFormatting sqref="J2:J233">
    <cfRule type="cellIs" dxfId="22" priority="1" operator="equal">
      <formula>"D"</formula>
    </cfRule>
  </conditionalFormatting>
  <hyperlinks>
    <hyperlink ref="B2" r:id="rId1" xr:uid="{C0E7EF32-0ED2-490B-89ED-34FBD01ADBC9}"/>
    <hyperlink ref="B3" r:id="rId2" xr:uid="{F66658A1-7E5A-4DD4-8274-5A628090B2E6}"/>
    <hyperlink ref="B4" r:id="rId3" xr:uid="{6FCC9CDE-B82E-4286-B362-7C82E53AFEF7}"/>
    <hyperlink ref="B5" r:id="rId4" xr:uid="{0F1B296B-9B76-4E94-8D8A-0291A8FDF11B}"/>
    <hyperlink ref="B6" r:id="rId5" xr:uid="{107A3A0E-A5E7-4408-BA9F-F57F0C8DCBF7}"/>
    <hyperlink ref="B7" r:id="rId6" xr:uid="{AFE7DAB1-8736-4360-97F3-C13A76D9C70F}"/>
    <hyperlink ref="B8" r:id="rId7" xr:uid="{A7554166-B0FC-4A2A-80AA-E2A9D323FD43}"/>
    <hyperlink ref="B9" r:id="rId8" xr:uid="{DEE8F0E7-4E6E-4635-B0B1-364962F6AA82}"/>
    <hyperlink ref="B10" r:id="rId9" xr:uid="{E667F109-9BF4-473A-B63F-9BDF65655BB3}"/>
    <hyperlink ref="B11" r:id="rId10" xr:uid="{4F310EFE-1998-4C3B-BACE-73D5FCEAEDA0}"/>
    <hyperlink ref="B12" r:id="rId11" xr:uid="{088DF9BE-F2F9-40C3-837C-80418799DAF6}"/>
    <hyperlink ref="B13" r:id="rId12" xr:uid="{0CA5FFFF-DA55-4C30-BB4E-0BD0DBF8E49B}"/>
    <hyperlink ref="B14" r:id="rId13" xr:uid="{B9A87BB3-AACC-42D3-83B1-BA128EBD158D}"/>
    <hyperlink ref="B15" r:id="rId14" xr:uid="{EA8BF47D-46CA-4155-A094-B1F270748C1B}"/>
    <hyperlink ref="B16" r:id="rId15" xr:uid="{E3E0942C-615F-4E68-B4A0-F408F2C3AC3E}"/>
    <hyperlink ref="B17" r:id="rId16" xr:uid="{28AD953F-5B69-455C-BC72-228731E93F97}"/>
    <hyperlink ref="B18" r:id="rId17" xr:uid="{FB332548-364A-4AD7-B526-05C9DAF21E65}"/>
    <hyperlink ref="B19" r:id="rId18" xr:uid="{99340229-EEB9-4547-98CE-A718EDDB8D2A}"/>
    <hyperlink ref="B20" r:id="rId19" xr:uid="{61C298D2-C1CB-484B-BD6C-7D4328829E66}"/>
    <hyperlink ref="B21" r:id="rId20" xr:uid="{CC662C94-E7DC-4675-8E8A-1EAFF895CF2B}"/>
    <hyperlink ref="B22" r:id="rId21" xr:uid="{79EC6F93-E50A-4103-BBB2-C383FFCA2DEA}"/>
    <hyperlink ref="B23" r:id="rId22" xr:uid="{95137918-CBF7-4813-956C-033C916C9D49}"/>
    <hyperlink ref="B24" r:id="rId23" xr:uid="{203ED646-DED3-496C-89AA-C8FC1D059AAF}"/>
    <hyperlink ref="B25" r:id="rId24" xr:uid="{F4748394-C018-4FFF-AC10-521C2C41D4CC}"/>
    <hyperlink ref="B26" r:id="rId25" xr:uid="{80230BF7-0A75-47CD-99E1-273B083460B6}"/>
    <hyperlink ref="B27" r:id="rId26" xr:uid="{65856B4B-BC38-494C-B788-920D020ABF39}"/>
    <hyperlink ref="B28" r:id="rId27" xr:uid="{D96741D0-4E41-44F8-8CDE-E46818A05E56}"/>
    <hyperlink ref="B29" r:id="rId28" xr:uid="{5AC53A03-46E1-40AE-AAB7-5426315E09E9}"/>
    <hyperlink ref="B30" r:id="rId29" xr:uid="{B85AAD4B-6724-41FE-BD67-76D94387A1B4}"/>
    <hyperlink ref="B31" r:id="rId30" xr:uid="{38169FEF-1E5A-4229-9E0C-6F5BF2371664}"/>
    <hyperlink ref="B32" r:id="rId31" xr:uid="{BB472BCA-126F-41F5-A8F2-BC7C24E0FE3A}"/>
    <hyperlink ref="B33" r:id="rId32" xr:uid="{A7E11FBC-32DB-4911-B697-F9D2E35ADFF6}"/>
    <hyperlink ref="B34" r:id="rId33" xr:uid="{30EE2530-0B04-4449-9AE5-B3ECE33CA90C}"/>
    <hyperlink ref="B35" r:id="rId34" xr:uid="{9033AF34-5588-403E-B152-0D94D32F017A}"/>
    <hyperlink ref="B36" r:id="rId35" xr:uid="{1EA2D765-926B-43A2-8E1F-634D53AC5145}"/>
    <hyperlink ref="B37" r:id="rId36" xr:uid="{09E1446B-26C8-4F0D-A97C-C7D235D75407}"/>
    <hyperlink ref="B38" r:id="rId37" xr:uid="{F9BD2B2B-B1A3-4977-AB0B-C340DF21D352}"/>
    <hyperlink ref="B39" r:id="rId38" xr:uid="{63498972-7149-4459-86CB-2E2FD2A1303F}"/>
    <hyperlink ref="B40" r:id="rId39" xr:uid="{9BE8728D-0A25-4C29-99FA-485958A7849B}"/>
    <hyperlink ref="B41" r:id="rId40" xr:uid="{1807AA53-48F4-496A-A6B7-D31669386F2B}"/>
    <hyperlink ref="B42" r:id="rId41" xr:uid="{C5607E73-FA79-4FA6-8868-1DB25F80560B}"/>
    <hyperlink ref="B43" r:id="rId42" xr:uid="{7272491B-53C4-4B90-B52A-EE83C8646B86}"/>
    <hyperlink ref="B44" r:id="rId43" xr:uid="{6C42E1A3-AB4A-4C25-847B-4E7E2A4AAB61}"/>
    <hyperlink ref="B45" r:id="rId44" xr:uid="{ABDF378D-7BBA-466A-B51B-2B22F14318D9}"/>
    <hyperlink ref="B46" r:id="rId45" xr:uid="{F2FF9E7C-F5E0-43E0-AFB3-68FE69FAC86D}"/>
    <hyperlink ref="B47" r:id="rId46" xr:uid="{5F504E4B-9CEE-404A-ACD8-14994CEE1554}"/>
    <hyperlink ref="B48" r:id="rId47" xr:uid="{E5E4DDC9-CB03-43EF-849D-762A4C00684F}"/>
    <hyperlink ref="B49" r:id="rId48" xr:uid="{D02237EF-AE06-4361-B31E-FF8E7FC5C199}"/>
    <hyperlink ref="B50" r:id="rId49" xr:uid="{944C14EF-5585-4442-AC06-FD67E48E5A9E}"/>
    <hyperlink ref="B51" r:id="rId50" xr:uid="{B5A6CE96-5F43-4488-913A-A8F9FFF7DAE3}"/>
    <hyperlink ref="B52" r:id="rId51" xr:uid="{E13AC5EA-4F2C-43B1-AFB1-5E5F32CF6665}"/>
    <hyperlink ref="B53" r:id="rId52" xr:uid="{3742D214-BFDE-4F0A-B88C-295CBB1DAC48}"/>
    <hyperlink ref="B54" r:id="rId53" xr:uid="{D7E56AC2-849D-453D-A8BD-A9B820FFE44A}"/>
    <hyperlink ref="B55" r:id="rId54" xr:uid="{4738E08E-00FA-4074-973C-29E6F98BA4FB}"/>
    <hyperlink ref="B56" r:id="rId55" xr:uid="{37E736E3-63CC-468E-A8B5-9F069FFDEE10}"/>
    <hyperlink ref="B57" r:id="rId56" xr:uid="{5FAEEE32-1FC5-41FB-BA9F-8BD6879F6EED}"/>
    <hyperlink ref="B58" r:id="rId57" xr:uid="{5BD2EE4F-19A1-4FD0-9842-2809710C1A42}"/>
    <hyperlink ref="B59" r:id="rId58" xr:uid="{B59EE618-E8F3-416A-8859-0EADA757CFE2}"/>
    <hyperlink ref="B60" r:id="rId59" xr:uid="{1A4ACC23-4490-4B58-BE36-5E6111B037BA}"/>
    <hyperlink ref="B61" r:id="rId60" xr:uid="{8D679EF4-BE40-4F3D-A7E3-9AA772AB016F}"/>
    <hyperlink ref="B62" r:id="rId61" xr:uid="{DA765CB3-1914-4F3F-AD55-4B9572EFFFE1}"/>
    <hyperlink ref="B63" r:id="rId62" xr:uid="{AC86F09E-5C84-4FD8-9832-C492EC5BD466}"/>
    <hyperlink ref="B64" r:id="rId63" xr:uid="{A72D104B-EDCA-476F-B8AD-7FB598A8E09C}"/>
    <hyperlink ref="B65" r:id="rId64" xr:uid="{612C19B3-48C5-4669-88FD-4A61FEDEFDB9}"/>
    <hyperlink ref="B66" r:id="rId65" xr:uid="{BB3A9A9B-B214-4B10-AEBC-7332F92D7B9C}"/>
    <hyperlink ref="B67" r:id="rId66" xr:uid="{EC3B12B5-0307-4E18-BCD2-41F1C04B6BA4}"/>
    <hyperlink ref="B68" r:id="rId67" xr:uid="{1C0C3BB2-EBA5-46DA-8F7E-116AEB4B413C}"/>
    <hyperlink ref="B69" r:id="rId68" xr:uid="{7CF55D2D-098B-4E58-9667-DAD691AC8579}"/>
    <hyperlink ref="B70" r:id="rId69" xr:uid="{4AF17946-DC8A-4CCF-B333-0D2C462632A4}"/>
    <hyperlink ref="B71" r:id="rId70" xr:uid="{5EA13A8B-9D79-4FE4-81B8-1DEA53737CDF}"/>
    <hyperlink ref="B72" r:id="rId71" xr:uid="{503EEC36-3C6C-4E4C-991B-7DE58881FF07}"/>
    <hyperlink ref="B73" r:id="rId72" xr:uid="{02A329E6-E872-46CB-B145-4B022782CE03}"/>
    <hyperlink ref="B74" r:id="rId73" xr:uid="{C34AD710-C5B5-46A6-A195-4C6706415970}"/>
    <hyperlink ref="B75" r:id="rId74" xr:uid="{F521D810-D87D-4588-B066-8FF155B48ACD}"/>
    <hyperlink ref="B76" r:id="rId75" xr:uid="{C9859E6A-90D6-4305-9EBD-4980AC2C2DA0}"/>
    <hyperlink ref="B77" r:id="rId76" xr:uid="{E49D7741-DDF6-4848-A78E-EC8E1DF8BB6B}"/>
    <hyperlink ref="B78" r:id="rId77" xr:uid="{92207DDC-F280-4B76-8AD3-13CB48F9FCAC}"/>
    <hyperlink ref="B79" r:id="rId78" xr:uid="{E2A77A78-15EC-431F-80D1-E66EEBACA69A}"/>
    <hyperlink ref="B80" r:id="rId79" xr:uid="{58D4780A-D6F0-480A-942C-8AB7B8EB378F}"/>
    <hyperlink ref="B81" r:id="rId80" xr:uid="{D8E10031-71CD-49B7-BBEC-E17CC033F0AD}"/>
    <hyperlink ref="B82" r:id="rId81" xr:uid="{E78C65B9-4D65-4869-9BBF-FD5E2E36FB82}"/>
    <hyperlink ref="B83" r:id="rId82" xr:uid="{213D240B-B428-4881-AC11-51EDAE8C11C5}"/>
    <hyperlink ref="B84" r:id="rId83" xr:uid="{41127C6A-6115-4001-B65C-273E43B2A8D4}"/>
    <hyperlink ref="B85" r:id="rId84" xr:uid="{DAE8FB6E-5CD8-45F3-999C-5FC85BD4596A}"/>
    <hyperlink ref="B86" r:id="rId85" xr:uid="{B830D160-09B4-4FF4-8A5C-7E63FE835D4A}"/>
    <hyperlink ref="B87" r:id="rId86" xr:uid="{A0E56C9C-6C9B-4025-8DC6-49578B2D8CAC}"/>
    <hyperlink ref="B88" r:id="rId87" xr:uid="{3E49D76A-A272-47B0-B5B7-C766E31550D0}"/>
    <hyperlink ref="B89" r:id="rId88" xr:uid="{7DB1E714-0EBC-44CA-834B-7DA696E2F277}"/>
    <hyperlink ref="B90" r:id="rId89" xr:uid="{CC7B73E1-4767-47AC-B1BC-453434EC4474}"/>
    <hyperlink ref="B91" r:id="rId90" xr:uid="{8CF8614A-F441-4444-93ED-F1AC4DA61AF5}"/>
    <hyperlink ref="B92" r:id="rId91" xr:uid="{0ECFE983-0E6F-4B8F-8AB7-D0A77CD4DA19}"/>
    <hyperlink ref="B93" r:id="rId92" xr:uid="{BA4E886C-4308-463D-89A1-B6E8574FE40C}"/>
    <hyperlink ref="B94" r:id="rId93" xr:uid="{FEDF01A8-7AF5-4A57-B5A5-622D0C6814C5}"/>
    <hyperlink ref="B95" r:id="rId94" xr:uid="{E1ED4E12-81A8-43C9-B4A6-0D85987E26CA}"/>
    <hyperlink ref="B96" r:id="rId95" xr:uid="{F5008E87-326E-4118-93BD-E7CDD06EA7D8}"/>
    <hyperlink ref="B97" r:id="rId96" xr:uid="{56250C08-9B57-4261-91C0-9A1F0F2EF80C}"/>
    <hyperlink ref="B98" r:id="rId97" xr:uid="{9AD621D0-4307-4397-A849-A9FD2849B8D5}"/>
    <hyperlink ref="B99" r:id="rId98" xr:uid="{DBF02868-3D8B-4504-92ED-49481677B2D2}"/>
    <hyperlink ref="B100" r:id="rId99" xr:uid="{AD633804-A531-464B-99A5-98E876A8A594}"/>
    <hyperlink ref="B101" r:id="rId100" xr:uid="{E9402471-FB1C-43FA-96A5-CAFA5726367D}"/>
    <hyperlink ref="B102" r:id="rId101" xr:uid="{5C6DB5E9-C92A-4280-8D21-5F43BBBBFAE5}"/>
    <hyperlink ref="B103" r:id="rId102" xr:uid="{64263F00-F9CC-4E84-BFA8-23FE6FD38F20}"/>
    <hyperlink ref="B104" r:id="rId103" xr:uid="{C37917DA-785E-4B50-A001-D17C269D8B69}"/>
    <hyperlink ref="B105" r:id="rId104" xr:uid="{DE8AC446-750D-4434-B2D6-1B7A5B457AAB}"/>
    <hyperlink ref="B106" r:id="rId105" xr:uid="{AEA59B7A-A45D-4B77-AC4C-61E20038A021}"/>
    <hyperlink ref="B107" r:id="rId106" xr:uid="{0B31B1BF-210B-4A27-B824-159CCD6C5A65}"/>
    <hyperlink ref="B108" r:id="rId107" xr:uid="{6EA0FA5F-3407-4EDF-A69D-ACAF780C1F21}"/>
    <hyperlink ref="B109" r:id="rId108" xr:uid="{505D0D19-6291-43AC-A65F-777F0B03CA1F}"/>
    <hyperlink ref="B110" r:id="rId109" xr:uid="{25AC482E-C8E6-4D12-976A-C73740B1477B}"/>
    <hyperlink ref="B111" r:id="rId110" xr:uid="{8046A2B8-2311-4F0D-9D3C-D54431C2588D}"/>
    <hyperlink ref="B112" r:id="rId111" xr:uid="{BAA8B9E9-D333-4B84-9D54-1207ACDDD3C4}"/>
    <hyperlink ref="B113" r:id="rId112" xr:uid="{48F2702F-153D-49BC-9CC3-524B7DCB958D}"/>
    <hyperlink ref="B114" r:id="rId113" xr:uid="{F4C666E0-52DD-4EAA-829A-1982D38EA8E9}"/>
    <hyperlink ref="B115" r:id="rId114" xr:uid="{1436EA9D-D922-4F4E-A552-1F15A69E49C3}"/>
    <hyperlink ref="B116" r:id="rId115" xr:uid="{F2B156EA-D7CB-4C92-8A52-EDDAF2F69980}"/>
    <hyperlink ref="B117" r:id="rId116" xr:uid="{FB356786-FF0F-4137-8A8E-428202BD4EA9}"/>
    <hyperlink ref="B118" r:id="rId117" xr:uid="{911E0F8A-A88F-49C6-9A00-F249B6DB9B89}"/>
    <hyperlink ref="B119" r:id="rId118" xr:uid="{4441A5F3-9CCC-418B-A70C-9C42AC20B5DA}"/>
    <hyperlink ref="B120" r:id="rId119" xr:uid="{5327FE0E-C30E-46BE-B33F-EFF54387C36A}"/>
    <hyperlink ref="B121" r:id="rId120" xr:uid="{2E6C3A50-4FEF-4FEA-9591-2E4071914BA3}"/>
    <hyperlink ref="B122" r:id="rId121" xr:uid="{519D3FEA-B9C8-470C-9B04-657FEBD48392}"/>
    <hyperlink ref="B123" r:id="rId122" xr:uid="{C1214159-A38E-44F3-8215-13DCF3467C2D}"/>
    <hyperlink ref="B124" r:id="rId123" xr:uid="{00AB8170-C3DF-4331-B8F6-801B73E1683A}"/>
    <hyperlink ref="B125" r:id="rId124" xr:uid="{3EB3C15A-5740-4298-B8C7-5C7C0926DDFF}"/>
    <hyperlink ref="B126" r:id="rId125" xr:uid="{611B07E2-CBF6-46AB-9888-62EAE8831BCB}"/>
    <hyperlink ref="B127" r:id="rId126" xr:uid="{218A1405-D832-49BA-B6D8-D30CB01C11D0}"/>
    <hyperlink ref="B128" r:id="rId127" xr:uid="{38B6EACF-82A5-4CA8-9DBF-94382C996DCE}"/>
    <hyperlink ref="B129" r:id="rId128" xr:uid="{43A30298-F324-4FC7-9357-E26B94911246}"/>
    <hyperlink ref="B130" r:id="rId129" xr:uid="{054F3A79-7DF5-4D21-B20B-7A9A873BA8BF}"/>
    <hyperlink ref="B131" r:id="rId130" xr:uid="{95D4710A-EC5B-4CB0-8D03-CF16431E1946}"/>
    <hyperlink ref="B132" r:id="rId131" xr:uid="{FF7D61E7-7EE8-44C6-9D7C-0BCEE57C566A}"/>
    <hyperlink ref="B133" r:id="rId132" xr:uid="{0775E713-414B-4590-A198-55231BA0FBD6}"/>
    <hyperlink ref="B134" r:id="rId133" xr:uid="{BA003229-A421-496F-B015-BB165DD127F4}"/>
    <hyperlink ref="B135" r:id="rId134" xr:uid="{CB7B4394-1FE6-4DCC-BF8F-AF6527E5A840}"/>
    <hyperlink ref="B136" r:id="rId135" xr:uid="{ACA41B30-23AE-432D-B620-D806AD1D02CC}"/>
    <hyperlink ref="B137" r:id="rId136" xr:uid="{2504D50D-6B97-43B2-9A72-FDB94312E213}"/>
    <hyperlink ref="B138" r:id="rId137" xr:uid="{5B23F224-DC32-4D1E-8F36-A57144EA7869}"/>
    <hyperlink ref="B139" r:id="rId138" xr:uid="{BF324B16-3615-4ADC-BD07-F941B8AE7FCB}"/>
    <hyperlink ref="B140" r:id="rId139" xr:uid="{30AAD138-7737-46A9-A52C-825F3D8EFC42}"/>
    <hyperlink ref="B141" r:id="rId140" xr:uid="{DF847F5F-8E8F-47DE-8819-F586A103C6D5}"/>
    <hyperlink ref="B142" r:id="rId141" xr:uid="{F8F27921-E175-47E5-BAD2-A4FBFFB3F47E}"/>
    <hyperlink ref="B143" r:id="rId142" xr:uid="{7E353242-D47A-44CB-A0F6-D839894825AA}"/>
    <hyperlink ref="B144" r:id="rId143" xr:uid="{CB6A4D9E-29A5-4A46-A0C8-CC3AAB392E31}"/>
    <hyperlink ref="B145" r:id="rId144" xr:uid="{CB34E253-F424-4B0A-BD26-187D99BF1ABC}"/>
    <hyperlink ref="B146" r:id="rId145" xr:uid="{578C2152-68AB-4DA7-9B20-12D7B6D5BF67}"/>
    <hyperlink ref="B147" r:id="rId146" xr:uid="{0EDF7BBB-F04F-42D8-BBF1-4794E0D811B4}"/>
    <hyperlink ref="B148" r:id="rId147" xr:uid="{B469BD12-CD93-4C46-B326-F6B89DE7F689}"/>
    <hyperlink ref="B149" r:id="rId148" xr:uid="{8218A7DA-2318-4D0B-8316-BD48B85AC963}"/>
    <hyperlink ref="B150" r:id="rId149" xr:uid="{1B537B7D-E738-4A52-A4A9-4E89F378D06D}"/>
    <hyperlink ref="B151" r:id="rId150" xr:uid="{13799C26-2D39-4CE6-96AC-001F2229AD38}"/>
    <hyperlink ref="B152" r:id="rId151" xr:uid="{9333CAF4-8976-4E7A-BE19-2F4DC0D0C242}"/>
    <hyperlink ref="B153" r:id="rId152" xr:uid="{F5C4ADF8-2D03-4810-9115-ECB4947C0A0E}"/>
    <hyperlink ref="B154" r:id="rId153" xr:uid="{99D123D4-9DAA-4FD9-9980-086F6681C4BA}"/>
    <hyperlink ref="B155" r:id="rId154" xr:uid="{030ADBC8-2416-4BCE-A1CC-A83ECA5E9D03}"/>
    <hyperlink ref="B156" r:id="rId155" xr:uid="{7174D3B8-871C-49E9-9EB8-198D37DEEBFD}"/>
    <hyperlink ref="B157" r:id="rId156" xr:uid="{18B864A0-EDCE-4F8D-8603-BF34739FA315}"/>
    <hyperlink ref="B158" r:id="rId157" xr:uid="{4298B3B3-E613-4BA7-8A86-5E7F102FBA12}"/>
    <hyperlink ref="B159" r:id="rId158" xr:uid="{4474103B-0683-4A13-9C8F-2A8BA9327BE1}"/>
    <hyperlink ref="B160" r:id="rId159" xr:uid="{0B9B8562-A8B2-462D-8760-EBFE97C4A4B4}"/>
    <hyperlink ref="B161" r:id="rId160" xr:uid="{F051EA7E-E92B-4D3F-AAB2-921A3C97840E}"/>
    <hyperlink ref="B162" r:id="rId161" xr:uid="{CA96A3DB-33D1-4A23-AC89-F6C10D239C13}"/>
    <hyperlink ref="B163" r:id="rId162" xr:uid="{6E2F1B9E-0EB1-43BB-BDEE-E36787685B56}"/>
    <hyperlink ref="B164" r:id="rId163" xr:uid="{EEF5A70B-DF5D-436F-989C-7B79B8D74BB0}"/>
    <hyperlink ref="B165" r:id="rId164" xr:uid="{C5C948B1-0892-4374-8FA3-752458D7EE22}"/>
    <hyperlink ref="B166" r:id="rId165" xr:uid="{917378C8-4023-4CEC-B5AE-587C351F19A9}"/>
    <hyperlink ref="B167" r:id="rId166" xr:uid="{523DC39A-7ED1-4638-A4D1-CB559B7B1697}"/>
    <hyperlink ref="B168" r:id="rId167" xr:uid="{F83FACC5-F6E8-41B5-B865-3329A3693FCD}"/>
    <hyperlink ref="B169" r:id="rId168" xr:uid="{F47F73D0-AF65-4FBE-AF2F-4557D0CFAC7E}"/>
    <hyperlink ref="B170" r:id="rId169" xr:uid="{CE20A14A-B3C3-430E-BF4C-6716540062D2}"/>
    <hyperlink ref="B171" r:id="rId170" xr:uid="{8818EC9E-4950-4577-B5D1-496051C24F0A}"/>
    <hyperlink ref="B172" r:id="rId171" xr:uid="{116DCD61-E732-49A4-A3E4-A89176E8D248}"/>
    <hyperlink ref="B173" r:id="rId172" xr:uid="{06C76644-CFF3-40C0-93F3-C5FCE089918A}"/>
    <hyperlink ref="B174" r:id="rId173" xr:uid="{525965D2-A366-48E0-850B-1C714169DF85}"/>
    <hyperlink ref="B175" r:id="rId174" xr:uid="{4B3484DD-80B8-4E3D-9227-9CE66EE8DDC2}"/>
    <hyperlink ref="B176" r:id="rId175" xr:uid="{9893189C-5045-4616-8850-9E07EF4F579B}"/>
    <hyperlink ref="B177" r:id="rId176" xr:uid="{40EDBEBC-512A-4524-AD6E-564A0CE1B572}"/>
    <hyperlink ref="B178" r:id="rId177" xr:uid="{C854F026-BAD0-4F19-8CC7-6D5FD91D2841}"/>
    <hyperlink ref="B179" r:id="rId178" xr:uid="{3D2EAC64-A068-4859-97C6-09B9ABCD21B3}"/>
    <hyperlink ref="B180" r:id="rId179" xr:uid="{7482623C-143B-47AC-BF3D-7E615C9EDD8B}"/>
    <hyperlink ref="B181" r:id="rId180" xr:uid="{4525C423-F16F-40F3-93B7-1F467B8C39A1}"/>
    <hyperlink ref="B182" r:id="rId181" xr:uid="{3D36D6DA-8280-47FE-9830-5242EDDB4AC7}"/>
    <hyperlink ref="B183" r:id="rId182" xr:uid="{C333CE49-8C90-4F43-88DF-3CC58193B134}"/>
    <hyperlink ref="B184" r:id="rId183" xr:uid="{D2D11F16-0A32-4AB8-8897-A91612656DBE}"/>
    <hyperlink ref="B185" r:id="rId184" xr:uid="{64984A3F-2085-40E4-A120-56DA0CBD6C2F}"/>
    <hyperlink ref="B186" r:id="rId185" xr:uid="{7BE348F8-8A5E-4A97-BD1B-FF377AA0AF1C}"/>
    <hyperlink ref="B187" r:id="rId186" xr:uid="{D1B9432A-7622-4D65-92B4-FF55C337B271}"/>
    <hyperlink ref="B188" r:id="rId187" xr:uid="{9E83A890-3A8A-4A0D-B0F6-8795D44B4335}"/>
    <hyperlink ref="B189" r:id="rId188" xr:uid="{00544191-A00D-4A60-B0DE-0D6941974D66}"/>
    <hyperlink ref="B190" r:id="rId189" xr:uid="{49A8F182-F4FC-4D17-A26C-AB0AB2E24893}"/>
    <hyperlink ref="B191" r:id="rId190" xr:uid="{D26EA2C7-DD6B-445C-99B9-230401A42475}"/>
    <hyperlink ref="B192" r:id="rId191" xr:uid="{3E844829-59D2-4648-8881-B17860A6C4CD}"/>
    <hyperlink ref="B193" r:id="rId192" xr:uid="{A545702B-6F9E-49CC-9A8A-DAA9577F3B89}"/>
    <hyperlink ref="B194" r:id="rId193" xr:uid="{AEA22BDC-A6DB-4A8A-8DF9-486D4CD1C7AC}"/>
    <hyperlink ref="B195" r:id="rId194" xr:uid="{E15121AB-C3D8-409B-B383-6A3949A7F1B6}"/>
    <hyperlink ref="B196" r:id="rId195" xr:uid="{5A8DEF94-3742-4E33-B3F4-C8EC8EBD297E}"/>
    <hyperlink ref="B197" r:id="rId196" xr:uid="{C92F7362-A2A0-48A8-9707-C98264B2C6E9}"/>
    <hyperlink ref="B198" r:id="rId197" xr:uid="{2B9CB0EA-1EF0-43D2-B4A6-A78C154FC9CD}"/>
    <hyperlink ref="B199" r:id="rId198" xr:uid="{E2125A38-F75D-4681-A271-7E0EFDD8BF73}"/>
    <hyperlink ref="B200" r:id="rId199" xr:uid="{D953F875-400D-4E93-B959-8F2AAEE97B26}"/>
    <hyperlink ref="B201" r:id="rId200" xr:uid="{8FBE6322-199B-432D-AA6A-6D53AAD4245B}"/>
    <hyperlink ref="B202" r:id="rId201" xr:uid="{E5B77C87-7F64-4538-8D8A-7C88FB9A49B3}"/>
    <hyperlink ref="B203" r:id="rId202" xr:uid="{B327227D-C176-4227-8D82-3FA8C5F74FCA}"/>
    <hyperlink ref="B204" r:id="rId203" xr:uid="{4BFDCB33-9662-4600-A3E8-0A6E24669457}"/>
    <hyperlink ref="B205" r:id="rId204" xr:uid="{A2E4299B-3EF8-417F-B12A-9A030E945603}"/>
    <hyperlink ref="B206" r:id="rId205" xr:uid="{6CE49DC9-7282-4EE4-98EA-50F9EB085859}"/>
    <hyperlink ref="B207" r:id="rId206" xr:uid="{41F5844C-C734-49C3-B91C-79469D0D6929}"/>
    <hyperlink ref="B208" r:id="rId207" xr:uid="{8FB7F41E-1F72-4ADE-87E7-6ECF920D4ED2}"/>
    <hyperlink ref="B209" r:id="rId208" xr:uid="{5DBD03BD-5649-4173-91AF-8B9D388D1C09}"/>
    <hyperlink ref="B210" r:id="rId209" xr:uid="{357D8D9B-EBD1-4736-B6CB-693418C7B0B2}"/>
    <hyperlink ref="B211" r:id="rId210" xr:uid="{0776B059-E7A7-43FA-9F80-99CDC0A76A58}"/>
    <hyperlink ref="B212" r:id="rId211" xr:uid="{4CD39EC4-B068-4E4D-A5A2-6AEEEA0C0EBE}"/>
    <hyperlink ref="B213" r:id="rId212" xr:uid="{EA382AC7-B48F-48D6-8A06-9A74507B1892}"/>
    <hyperlink ref="B214" r:id="rId213" xr:uid="{8798E019-04DC-4C04-94AF-1E79E7CB700B}"/>
    <hyperlink ref="B215" r:id="rId214" xr:uid="{7DCD013F-1670-4C72-AC76-AD59B75FAC39}"/>
    <hyperlink ref="B216" r:id="rId215" xr:uid="{135E1957-A180-4C6D-805C-E0EDE8AE75D3}"/>
    <hyperlink ref="B217" r:id="rId216" xr:uid="{A9FB8A2E-BEA1-4741-9804-1415D20BE6ED}"/>
    <hyperlink ref="B218" r:id="rId217" xr:uid="{D7DC7EA5-870D-4759-98A6-6197ECCBCB3A}"/>
    <hyperlink ref="B219" r:id="rId218" xr:uid="{BCDD3FCC-8CED-4E49-8F0E-720B3BB9DC09}"/>
    <hyperlink ref="B220" r:id="rId219" xr:uid="{3345D27E-9C0B-4AF5-928B-0A92E3835F4E}"/>
    <hyperlink ref="B221" r:id="rId220" xr:uid="{45DE02E8-BA18-4225-A8A0-BA61E942BCCF}"/>
    <hyperlink ref="B222" r:id="rId221" xr:uid="{257D94BE-D3F5-4355-9D8E-0E6DB0440B3A}"/>
    <hyperlink ref="B223" r:id="rId222" xr:uid="{15415338-8F8C-471D-9CC5-0A3104277554}"/>
    <hyperlink ref="B224" r:id="rId223" xr:uid="{924DF839-F704-4CE9-AAD8-043E6254E6CA}"/>
    <hyperlink ref="B225" r:id="rId224" xr:uid="{F73F77E0-FDD0-4803-AD41-85E6EFAF49D6}"/>
    <hyperlink ref="B226" r:id="rId225" xr:uid="{195A5DC7-917C-4938-B215-3DB1C71DDA6C}"/>
    <hyperlink ref="B227" r:id="rId226" xr:uid="{23ABD24C-E520-4C5E-972E-5267FD83C94A}"/>
    <hyperlink ref="B228" r:id="rId227" xr:uid="{7B4E6CE6-CA00-4BEB-B65E-E9B94E08D3FE}"/>
    <hyperlink ref="B229" r:id="rId228" xr:uid="{FD806494-670B-4EA0-BE80-AC818A29CDA0}"/>
    <hyperlink ref="B230" r:id="rId229" xr:uid="{05B7083F-5043-418B-B6BC-0406A9ABA116}"/>
    <hyperlink ref="B231" r:id="rId230" xr:uid="{B1F4EDC0-5CEA-498C-BE84-296AE26AC3FB}"/>
    <hyperlink ref="B232" r:id="rId231" xr:uid="{ADB1F4C7-D4A0-4667-B29F-D89659EFFA50}"/>
    <hyperlink ref="B233" r:id="rId232" xr:uid="{42BC6152-BD86-4367-8809-4318DFAF13FE}"/>
  </hyperlinks>
  <pageMargins left="0.7" right="0.7" top="0.75" bottom="0.75" header="0.3" footer="0.3"/>
  <tableParts count="1">
    <tablePart r:id="rId23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C3CA2-4A58-4831-A016-D358B3A084D0}">
  <dimension ref="A1:AD455"/>
  <sheetViews>
    <sheetView topLeftCell="L136" workbookViewId="0">
      <selection activeCell="S155" sqref="S155:T155"/>
    </sheetView>
  </sheetViews>
  <sheetFormatPr defaultColWidth="11.42578125" defaultRowHeight="15" x14ac:dyDescent="0.25"/>
  <cols>
    <col min="1" max="1" width="11.42578125" customWidth="1"/>
    <col min="2" max="2" width="37.85546875" customWidth="1"/>
    <col min="3" max="3" width="37.85546875" style="107" customWidth="1"/>
    <col min="4" max="4" width="13.42578125" customWidth="1"/>
    <col min="5" max="5" width="12.140625" customWidth="1"/>
    <col min="6" max="7" width="21.85546875" customWidth="1"/>
    <col min="8" max="8" width="12.140625" customWidth="1"/>
    <col min="12" max="12" width="12.7109375" customWidth="1"/>
    <col min="13" max="13" width="29.28515625" customWidth="1"/>
    <col min="14" max="14" width="11.42578125" customWidth="1"/>
    <col min="15" max="15" width="20" customWidth="1"/>
    <col min="16" max="16" width="16.140625" customWidth="1"/>
    <col min="17" max="17" width="12.42578125" customWidth="1"/>
    <col min="18" max="20" width="26.42578125" customWidth="1"/>
    <col min="21" max="21" width="16.7109375" customWidth="1"/>
    <col min="23" max="23" width="16.42578125" customWidth="1"/>
    <col min="25" max="25" width="19.85546875" customWidth="1"/>
    <col min="26" max="26" width="15.7109375" customWidth="1"/>
    <col min="27" max="27" width="15.42578125" customWidth="1"/>
    <col min="28" max="28" width="12" customWidth="1"/>
    <col min="29" max="29" width="16" customWidth="1"/>
  </cols>
  <sheetData>
    <row r="1" spans="1:30" ht="45" x14ac:dyDescent="0.25">
      <c r="A1" s="53" t="s">
        <v>0</v>
      </c>
      <c r="B1" s="52" t="s">
        <v>1</v>
      </c>
      <c r="C1" s="48" t="s">
        <v>2</v>
      </c>
      <c r="D1" s="52" t="s">
        <v>3</v>
      </c>
      <c r="E1" s="50" t="s">
        <v>4</v>
      </c>
      <c r="F1" s="52" t="s">
        <v>5</v>
      </c>
      <c r="G1" s="52" t="s">
        <v>6</v>
      </c>
      <c r="H1" s="52" t="s">
        <v>7</v>
      </c>
      <c r="I1" s="52" t="s">
        <v>8</v>
      </c>
      <c r="J1" s="52" t="s">
        <v>9</v>
      </c>
      <c r="K1" s="48" t="s">
        <v>10</v>
      </c>
      <c r="L1" s="48" t="s">
        <v>11</v>
      </c>
      <c r="M1" s="48" t="s">
        <v>12</v>
      </c>
      <c r="N1" s="48" t="s">
        <v>13</v>
      </c>
      <c r="O1" s="48" t="s">
        <v>14</v>
      </c>
      <c r="P1" s="48" t="s">
        <v>15</v>
      </c>
      <c r="Q1" s="48" t="s">
        <v>16</v>
      </c>
      <c r="R1" s="48" t="s">
        <v>17</v>
      </c>
      <c r="S1" s="48" t="s">
        <v>9149</v>
      </c>
      <c r="T1" s="48" t="s">
        <v>9150</v>
      </c>
      <c r="U1" s="48" t="s">
        <v>18</v>
      </c>
      <c r="V1" s="48" t="s">
        <v>19</v>
      </c>
      <c r="W1" s="48" t="s">
        <v>20</v>
      </c>
      <c r="X1" s="48" t="s">
        <v>21</v>
      </c>
      <c r="Y1" s="48" t="s">
        <v>22</v>
      </c>
      <c r="Z1" s="48" t="s">
        <v>23</v>
      </c>
      <c r="AA1" s="48" t="s">
        <v>24</v>
      </c>
      <c r="AB1" s="48" t="s">
        <v>25</v>
      </c>
      <c r="AC1" s="48" t="s">
        <v>201</v>
      </c>
      <c r="AD1" s="51" t="s">
        <v>27</v>
      </c>
    </row>
    <row r="2" spans="1:30" x14ac:dyDescent="0.25">
      <c r="A2" s="36">
        <v>4322</v>
      </c>
      <c r="B2" s="14" t="s">
        <v>8667</v>
      </c>
      <c r="C2" s="31" t="s">
        <v>8668</v>
      </c>
      <c r="D2" s="17">
        <v>44138</v>
      </c>
      <c r="E2" s="14" t="s">
        <v>30</v>
      </c>
      <c r="F2" s="14">
        <v>699</v>
      </c>
      <c r="G2" s="14">
        <v>154</v>
      </c>
      <c r="H2" s="14">
        <v>20</v>
      </c>
      <c r="I2" s="14">
        <v>10</v>
      </c>
      <c r="J2" s="14" t="s">
        <v>31</v>
      </c>
      <c r="K2" s="14" cm="1">
        <f t="array" ref="K2">INT(SUMPRODUCT(--ISNUMBER(SEARCH(economy,C2)))&gt;0)</f>
        <v>0</v>
      </c>
      <c r="L2" s="14" cm="1">
        <f t="array" ref="L2">INT(SUMPRODUCT(--ISNUMBER(SEARCH(healthcare,C2)))&gt;0)</f>
        <v>0</v>
      </c>
      <c r="M2" s="14" cm="1">
        <f t="array" ref="M2">INT(SUMPRODUCT(--ISNUMBER(SEARCH(supreme,C2)))&gt;0)</f>
        <v>0</v>
      </c>
      <c r="N2" s="14" cm="1">
        <f t="array" ref="N2">INT(SUMPRODUCT(--ISNUMBER(SEARCH(covid,C2)))&gt;0)</f>
        <v>0</v>
      </c>
      <c r="O2" s="14" cm="1">
        <f t="array" ref="O2">INT(SUMPRODUCT(--ISNUMBER(SEARCH(violent,C2)))&gt;0)</f>
        <v>0</v>
      </c>
      <c r="P2" s="14" cm="1">
        <f t="array" ref="P2">INT(SUMPRODUCT(--ISNUMBER(SEARCH(foreign,C2)))&gt;0)</f>
        <v>0</v>
      </c>
      <c r="Q2" s="14" cm="1">
        <f t="array" ref="Q2">INT(SUMPRODUCT(--ISNUMBER(SEARCH(gun,C2)))&gt;0)</f>
        <v>0</v>
      </c>
      <c r="R2" s="14" cm="1">
        <f t="array" ref="R2">INT(SUMPRODUCT(--ISNUMBER(SEARCH(race,C2)))&gt;0)</f>
        <v>0</v>
      </c>
      <c r="S2" s="14" cm="1">
        <f t="array" ref="S2">INT(SUMPRODUCT(--ISNUMBER(SEARCH(immigration,C2)))&gt;0)</f>
        <v>0</v>
      </c>
      <c r="T2" s="14" cm="1">
        <f t="array" ref="T2">INT(SUMPRODUCT(--ISNUMBER(SEARCH(econineq,C3)))&gt;0)</f>
        <v>0</v>
      </c>
      <c r="U2" s="14" cm="1">
        <f t="array" ref="U2">INT(SUMPRODUCT(--ISNUMBER(SEARCH(climate,C2)))&gt;0)</f>
        <v>0</v>
      </c>
      <c r="V2" s="14" cm="1">
        <f t="array" ref="V2">INT(SUMPRODUCT(--ISNUMBER(SEARCH(abortion,C2)))&gt;0)</f>
        <v>0</v>
      </c>
      <c r="W2" s="14" cm="1">
        <f t="array" ref="W2">INT(SUMPRODUCT(--ISNUMBER(SEARCH(trump,C2)))&gt;0)</f>
        <v>0</v>
      </c>
      <c r="X2" s="14" cm="1">
        <f t="array" ref="X2">INT(SUMPRODUCT(--ISNUMBER(SEARCH(voting,C2)))&gt;0)</f>
        <v>1</v>
      </c>
      <c r="Y2" s="35" cm="1">
        <f t="array" ref="Y2">INT(SUMPRODUCT(--ISNUMBER(SEARCH(republicantrigger,C2)))&gt;0)</f>
        <v>0</v>
      </c>
      <c r="Z2" s="35" cm="1">
        <f t="array" ref="Z2">INT(SUMPRODUCT(--ISNUMBER(SEARCH(bipartisan,C2)))&gt;0)</f>
        <v>0</v>
      </c>
      <c r="AA2" s="35">
        <f t="shared" ref="AA2:AA33" si="0">INT(IF(COUNTIF(K2:Z2,1)=0,"1","0"))</f>
        <v>0</v>
      </c>
      <c r="AB2" s="14"/>
      <c r="AC2" s="30">
        <v>1</v>
      </c>
      <c r="AD2" s="37">
        <v>0</v>
      </c>
    </row>
    <row r="3" spans="1:30" x14ac:dyDescent="0.25">
      <c r="A3" s="36">
        <v>4323</v>
      </c>
      <c r="B3" s="14" t="s">
        <v>8669</v>
      </c>
      <c r="C3" s="31" t="s">
        <v>8670</v>
      </c>
      <c r="D3" s="17">
        <v>44138</v>
      </c>
      <c r="E3" s="14" t="s">
        <v>30</v>
      </c>
      <c r="F3" s="14">
        <v>114</v>
      </c>
      <c r="G3" s="14">
        <v>39</v>
      </c>
      <c r="H3" s="14">
        <v>20</v>
      </c>
      <c r="I3" s="14">
        <v>10</v>
      </c>
      <c r="J3" s="14" t="s">
        <v>31</v>
      </c>
      <c r="K3" s="14" cm="1">
        <f t="array" ref="K3">INT(SUMPRODUCT(--ISNUMBER(SEARCH(economy,C3)))&gt;0)</f>
        <v>0</v>
      </c>
      <c r="L3" s="14" cm="1">
        <f t="array" ref="L3">INT(SUMPRODUCT(--ISNUMBER(SEARCH(healthcare,C3)))&gt;0)</f>
        <v>0</v>
      </c>
      <c r="M3" s="14" cm="1">
        <f t="array" ref="M3">INT(SUMPRODUCT(--ISNUMBER(SEARCH(supreme,C3)))&gt;0)</f>
        <v>0</v>
      </c>
      <c r="N3" s="14" cm="1">
        <f t="array" ref="N3">INT(SUMPRODUCT(--ISNUMBER(SEARCH(covid,C3)))&gt;0)</f>
        <v>0</v>
      </c>
      <c r="O3" s="14" cm="1">
        <f t="array" ref="O3">INT(SUMPRODUCT(--ISNUMBER(SEARCH(violent,C3)))&gt;0)</f>
        <v>0</v>
      </c>
      <c r="P3" s="14" cm="1">
        <f t="array" ref="P3">INT(SUMPRODUCT(--ISNUMBER(SEARCH(foreign,C3)))&gt;0)</f>
        <v>0</v>
      </c>
      <c r="Q3" s="14" cm="1">
        <f t="array" ref="Q3">INT(SUMPRODUCT(--ISNUMBER(SEARCH(gun,C3)))&gt;0)</f>
        <v>0</v>
      </c>
      <c r="R3" s="14" cm="1">
        <f t="array" ref="R3">INT(SUMPRODUCT(--ISNUMBER(SEARCH(race,C3)))&gt;0)</f>
        <v>0</v>
      </c>
      <c r="S3" s="14" cm="1">
        <f t="array" ref="S3">INT(SUMPRODUCT(--ISNUMBER(SEARCH(immigration,C3)))&gt;0)</f>
        <v>0</v>
      </c>
      <c r="T3" s="14" cm="1">
        <f t="array" ref="T3">INT(SUMPRODUCT(--ISNUMBER(SEARCH(econineq,C4)))&gt;0)</f>
        <v>0</v>
      </c>
      <c r="U3" s="14" cm="1">
        <f t="array" ref="U3">INT(SUMPRODUCT(--ISNUMBER(SEARCH(climate,C3)))&gt;0)</f>
        <v>0</v>
      </c>
      <c r="V3" s="14" cm="1">
        <f t="array" ref="V3">INT(SUMPRODUCT(--ISNUMBER(SEARCH(abortion,C3)))&gt;0)</f>
        <v>0</v>
      </c>
      <c r="W3" s="14" cm="1">
        <f t="array" ref="W3">INT(SUMPRODUCT(--ISNUMBER(SEARCH(trump,C3)))&gt;0)</f>
        <v>0</v>
      </c>
      <c r="X3" s="14" cm="1">
        <f t="array" ref="X3">INT(SUMPRODUCT(--ISNUMBER(SEARCH(voting,C3)))&gt;0)</f>
        <v>1</v>
      </c>
      <c r="Y3" s="35" cm="1">
        <f t="array" ref="Y3">INT(SUMPRODUCT(--ISNUMBER(SEARCH(republicantrigger,C3)))&gt;0)</f>
        <v>0</v>
      </c>
      <c r="Z3" s="35" cm="1">
        <f t="array" ref="Z3">INT(SUMPRODUCT(--ISNUMBER(SEARCH(bipartisan,C3)))&gt;0)</f>
        <v>0</v>
      </c>
      <c r="AA3" s="35">
        <f t="shared" si="0"/>
        <v>0</v>
      </c>
      <c r="AB3" s="14"/>
      <c r="AC3" s="30">
        <v>1</v>
      </c>
      <c r="AD3" s="37">
        <v>0</v>
      </c>
    </row>
    <row r="4" spans="1:30" x14ac:dyDescent="0.25">
      <c r="A4" s="36">
        <v>4324</v>
      </c>
      <c r="B4" s="14" t="s">
        <v>8671</v>
      </c>
      <c r="C4" s="31" t="s">
        <v>8672</v>
      </c>
      <c r="D4" s="17">
        <v>44138</v>
      </c>
      <c r="E4" s="14" t="s">
        <v>30</v>
      </c>
      <c r="F4" s="14">
        <v>789</v>
      </c>
      <c r="G4" s="14">
        <v>118</v>
      </c>
      <c r="H4" s="14">
        <v>20</v>
      </c>
      <c r="I4" s="14">
        <v>10</v>
      </c>
      <c r="J4" s="14" t="s">
        <v>31</v>
      </c>
      <c r="K4" s="14" cm="1">
        <f t="array" ref="K4">INT(SUMPRODUCT(--ISNUMBER(SEARCH(economy,C4)))&gt;0)</f>
        <v>0</v>
      </c>
      <c r="L4" s="14" cm="1">
        <f t="array" ref="L4">INT(SUMPRODUCT(--ISNUMBER(SEARCH(healthcare,C4)))&gt;0)</f>
        <v>0</v>
      </c>
      <c r="M4" s="14" cm="1">
        <f t="array" ref="M4">INT(SUMPRODUCT(--ISNUMBER(SEARCH(supreme,C4)))&gt;0)</f>
        <v>0</v>
      </c>
      <c r="N4" s="14" cm="1">
        <f t="array" ref="N4">INT(SUMPRODUCT(--ISNUMBER(SEARCH(covid,C4)))&gt;0)</f>
        <v>0</v>
      </c>
      <c r="O4" s="14" cm="1">
        <f t="array" ref="O4">INT(SUMPRODUCT(--ISNUMBER(SEARCH(violent,C4)))&gt;0)</f>
        <v>0</v>
      </c>
      <c r="P4" s="14" cm="1">
        <f t="array" ref="P4">INT(SUMPRODUCT(--ISNUMBER(SEARCH(foreign,C4)))&gt;0)</f>
        <v>0</v>
      </c>
      <c r="Q4" s="14" cm="1">
        <f t="array" ref="Q4">INT(SUMPRODUCT(--ISNUMBER(SEARCH(gun,C4)))&gt;0)</f>
        <v>0</v>
      </c>
      <c r="R4" s="14" cm="1">
        <f t="array" ref="R4">INT(SUMPRODUCT(--ISNUMBER(SEARCH(race,C4)))&gt;0)</f>
        <v>0</v>
      </c>
      <c r="S4" s="14" cm="1">
        <f t="array" ref="S4">INT(SUMPRODUCT(--ISNUMBER(SEARCH(immigration,C4)))&gt;0)</f>
        <v>0</v>
      </c>
      <c r="T4" s="14" cm="1">
        <f t="array" ref="T4">INT(SUMPRODUCT(--ISNUMBER(SEARCH(econineq,C5)))&gt;0)</f>
        <v>0</v>
      </c>
      <c r="U4" s="14" cm="1">
        <f t="array" ref="U4">INT(SUMPRODUCT(--ISNUMBER(SEARCH(climate,C4)))&gt;0)</f>
        <v>0</v>
      </c>
      <c r="V4" s="14" cm="1">
        <f t="array" ref="V4">INT(SUMPRODUCT(--ISNUMBER(SEARCH(abortion,C4)))&gt;0)</f>
        <v>0</v>
      </c>
      <c r="W4" s="14" cm="1">
        <f t="array" ref="W4">INT(SUMPRODUCT(--ISNUMBER(SEARCH(trump,C4)))&gt;0)</f>
        <v>0</v>
      </c>
      <c r="X4" s="14" cm="1">
        <f t="array" ref="X4">INT(SUMPRODUCT(--ISNUMBER(SEARCH(voting,C4)))&gt;0)</f>
        <v>1</v>
      </c>
      <c r="Y4" s="35" cm="1">
        <f t="array" ref="Y4">INT(SUMPRODUCT(--ISNUMBER(SEARCH(republicantrigger,C4)))&gt;0)</f>
        <v>1</v>
      </c>
      <c r="Z4" s="35" cm="1">
        <f t="array" ref="Z4">INT(SUMPRODUCT(--ISNUMBER(SEARCH(bipartisan,C4)))&gt;0)</f>
        <v>0</v>
      </c>
      <c r="AA4" s="35">
        <f t="shared" si="0"/>
        <v>0</v>
      </c>
      <c r="AB4" s="14"/>
      <c r="AC4" s="30">
        <v>1</v>
      </c>
      <c r="AD4" s="37">
        <v>0</v>
      </c>
    </row>
    <row r="5" spans="1:30" x14ac:dyDescent="0.25">
      <c r="A5" s="36">
        <v>4325</v>
      </c>
      <c r="B5" s="14" t="s">
        <v>8673</v>
      </c>
      <c r="C5" s="31" t="s">
        <v>8674</v>
      </c>
      <c r="D5" s="17">
        <v>44138</v>
      </c>
      <c r="E5" s="14" t="s">
        <v>30</v>
      </c>
      <c r="F5" s="14">
        <v>116</v>
      </c>
      <c r="G5" s="14">
        <v>28</v>
      </c>
      <c r="H5" s="14">
        <v>20</v>
      </c>
      <c r="I5" s="14">
        <v>10</v>
      </c>
      <c r="J5" s="14" t="s">
        <v>31</v>
      </c>
      <c r="K5" s="14" cm="1">
        <f t="array" ref="K5">INT(SUMPRODUCT(--ISNUMBER(SEARCH(economy,C5)))&gt;0)</f>
        <v>0</v>
      </c>
      <c r="L5" s="14" cm="1">
        <f t="array" ref="L5">INT(SUMPRODUCT(--ISNUMBER(SEARCH(healthcare,C5)))&gt;0)</f>
        <v>0</v>
      </c>
      <c r="M5" s="14" cm="1">
        <f t="array" ref="M5">INT(SUMPRODUCT(--ISNUMBER(SEARCH(supreme,C5)))&gt;0)</f>
        <v>0</v>
      </c>
      <c r="N5" s="14" cm="1">
        <f t="array" ref="N5">INT(SUMPRODUCT(--ISNUMBER(SEARCH(covid,C5)))&gt;0)</f>
        <v>0</v>
      </c>
      <c r="O5" s="14" cm="1">
        <f t="array" ref="O5">INT(SUMPRODUCT(--ISNUMBER(SEARCH(violent,C5)))&gt;0)</f>
        <v>0</v>
      </c>
      <c r="P5" s="14" cm="1">
        <f t="array" ref="P5">INT(SUMPRODUCT(--ISNUMBER(SEARCH(foreign,C5)))&gt;0)</f>
        <v>0</v>
      </c>
      <c r="Q5" s="14" cm="1">
        <f t="array" ref="Q5">INT(SUMPRODUCT(--ISNUMBER(SEARCH(gun,C5)))&gt;0)</f>
        <v>0</v>
      </c>
      <c r="R5" s="14" cm="1">
        <f t="array" ref="R5">INT(SUMPRODUCT(--ISNUMBER(SEARCH(race,C5)))&gt;0)</f>
        <v>0</v>
      </c>
      <c r="S5" s="14" cm="1">
        <f t="array" ref="S5">INT(SUMPRODUCT(--ISNUMBER(SEARCH(immigration,C5)))&gt;0)</f>
        <v>0</v>
      </c>
      <c r="T5" s="14" cm="1">
        <f t="array" ref="T5">INT(SUMPRODUCT(--ISNUMBER(SEARCH(econineq,C6)))&gt;0)</f>
        <v>0</v>
      </c>
      <c r="U5" s="14" cm="1">
        <f t="array" ref="U5">INT(SUMPRODUCT(--ISNUMBER(SEARCH(climate,C5)))&gt;0)</f>
        <v>0</v>
      </c>
      <c r="V5" s="14" cm="1">
        <f t="array" ref="V5">INT(SUMPRODUCT(--ISNUMBER(SEARCH(abortion,C5)))&gt;0)</f>
        <v>0</v>
      </c>
      <c r="W5" s="14" cm="1">
        <f t="array" ref="W5">INT(SUMPRODUCT(--ISNUMBER(SEARCH(trump,C5)))&gt;0)</f>
        <v>0</v>
      </c>
      <c r="X5" s="14" cm="1">
        <f t="array" ref="X5">INT(SUMPRODUCT(--ISNUMBER(SEARCH(voting,C5)))&gt;0)</f>
        <v>1</v>
      </c>
      <c r="Y5" s="35" cm="1">
        <f t="array" ref="Y5">INT(SUMPRODUCT(--ISNUMBER(SEARCH(republicantrigger,C5)))&gt;0)</f>
        <v>0</v>
      </c>
      <c r="Z5" s="35" cm="1">
        <f t="array" ref="Z5">INT(SUMPRODUCT(--ISNUMBER(SEARCH(bipartisan,C5)))&gt;0)</f>
        <v>0</v>
      </c>
      <c r="AA5" s="35">
        <f t="shared" si="0"/>
        <v>0</v>
      </c>
      <c r="AB5" s="14"/>
      <c r="AC5" s="30">
        <v>1</v>
      </c>
      <c r="AD5" s="37">
        <v>0</v>
      </c>
    </row>
    <row r="6" spans="1:30" x14ac:dyDescent="0.25">
      <c r="A6" s="36">
        <v>4326</v>
      </c>
      <c r="B6" s="14" t="s">
        <v>8675</v>
      </c>
      <c r="C6" s="31" t="s">
        <v>8676</v>
      </c>
      <c r="D6" s="17">
        <v>44138</v>
      </c>
      <c r="E6" s="14" t="s">
        <v>30</v>
      </c>
      <c r="F6" s="14">
        <v>332</v>
      </c>
      <c r="G6" s="14">
        <v>57</v>
      </c>
      <c r="H6" s="14">
        <v>20</v>
      </c>
      <c r="I6" s="14">
        <v>10</v>
      </c>
      <c r="J6" s="14" t="s">
        <v>31</v>
      </c>
      <c r="K6" s="14" cm="1">
        <f t="array" ref="K6">INT(SUMPRODUCT(--ISNUMBER(SEARCH(economy,C6)))&gt;0)</f>
        <v>0</v>
      </c>
      <c r="L6" s="14" cm="1">
        <f t="array" ref="L6">INT(SUMPRODUCT(--ISNUMBER(SEARCH(healthcare,C6)))&gt;0)</f>
        <v>0</v>
      </c>
      <c r="M6" s="14" cm="1">
        <f t="array" ref="M6">INT(SUMPRODUCT(--ISNUMBER(SEARCH(supreme,C6)))&gt;0)</f>
        <v>0</v>
      </c>
      <c r="N6" s="14" cm="1">
        <f t="array" ref="N6">INT(SUMPRODUCT(--ISNUMBER(SEARCH(covid,C6)))&gt;0)</f>
        <v>0</v>
      </c>
      <c r="O6" s="14" cm="1">
        <f t="array" ref="O6">INT(SUMPRODUCT(--ISNUMBER(SEARCH(violent,C6)))&gt;0)</f>
        <v>0</v>
      </c>
      <c r="P6" s="14" cm="1">
        <f t="array" ref="P6">INT(SUMPRODUCT(--ISNUMBER(SEARCH(foreign,C6)))&gt;0)</f>
        <v>0</v>
      </c>
      <c r="Q6" s="14" cm="1">
        <f t="array" ref="Q6">INT(SUMPRODUCT(--ISNUMBER(SEARCH(gun,C6)))&gt;0)</f>
        <v>0</v>
      </c>
      <c r="R6" s="14" cm="1">
        <f t="array" ref="R6">INT(SUMPRODUCT(--ISNUMBER(SEARCH(race,C6)))&gt;0)</f>
        <v>0</v>
      </c>
      <c r="S6" s="14" cm="1">
        <f t="array" ref="S6">INT(SUMPRODUCT(--ISNUMBER(SEARCH(immigration,C6)))&gt;0)</f>
        <v>0</v>
      </c>
      <c r="T6" s="14" cm="1">
        <f t="array" ref="T6">INT(SUMPRODUCT(--ISNUMBER(SEARCH(econineq,C7)))&gt;0)</f>
        <v>0</v>
      </c>
      <c r="U6" s="14" cm="1">
        <f t="array" ref="U6">INT(SUMPRODUCT(--ISNUMBER(SEARCH(climate,C6)))&gt;0)</f>
        <v>0</v>
      </c>
      <c r="V6" s="14" cm="1">
        <f t="array" ref="V6">INT(SUMPRODUCT(--ISNUMBER(SEARCH(abortion,C6)))&gt;0)</f>
        <v>0</v>
      </c>
      <c r="W6" s="14" cm="1">
        <f t="array" ref="W6">INT(SUMPRODUCT(--ISNUMBER(SEARCH(trump,C6)))&gt;0)</f>
        <v>0</v>
      </c>
      <c r="X6" s="14" cm="1">
        <f t="array" ref="X6">INT(SUMPRODUCT(--ISNUMBER(SEARCH(voting,C6)))&gt;0)</f>
        <v>1</v>
      </c>
      <c r="Y6" s="35" cm="1">
        <f t="array" ref="Y6">INT(SUMPRODUCT(--ISNUMBER(SEARCH(republicantrigger,C6)))&gt;0)</f>
        <v>0</v>
      </c>
      <c r="Z6" s="35" cm="1">
        <f t="array" ref="Z6">INT(SUMPRODUCT(--ISNUMBER(SEARCH(bipartisan,C6)))&gt;0)</f>
        <v>0</v>
      </c>
      <c r="AA6" s="35">
        <f t="shared" si="0"/>
        <v>0</v>
      </c>
      <c r="AB6" s="14"/>
      <c r="AC6" s="30">
        <v>1</v>
      </c>
      <c r="AD6" s="37">
        <v>0</v>
      </c>
    </row>
    <row r="7" spans="1:30" x14ac:dyDescent="0.25">
      <c r="A7" s="36">
        <v>4327</v>
      </c>
      <c r="B7" s="14" t="s">
        <v>8677</v>
      </c>
      <c r="C7" s="31" t="s">
        <v>8678</v>
      </c>
      <c r="D7" s="17">
        <v>44138</v>
      </c>
      <c r="E7" s="14" t="s">
        <v>30</v>
      </c>
      <c r="F7" s="14">
        <v>148</v>
      </c>
      <c r="G7" s="14">
        <v>45</v>
      </c>
      <c r="H7" s="14">
        <v>20</v>
      </c>
      <c r="I7" s="14">
        <v>10</v>
      </c>
      <c r="J7" s="14" t="s">
        <v>31</v>
      </c>
      <c r="K7" s="14" cm="1">
        <f t="array" ref="K7">INT(SUMPRODUCT(--ISNUMBER(SEARCH(economy,C7)))&gt;0)</f>
        <v>0</v>
      </c>
      <c r="L7" s="14" cm="1">
        <f t="array" ref="L7">INT(SUMPRODUCT(--ISNUMBER(SEARCH(healthcare,C7)))&gt;0)</f>
        <v>0</v>
      </c>
      <c r="M7" s="14" cm="1">
        <f t="array" ref="M7">INT(SUMPRODUCT(--ISNUMBER(SEARCH(supreme,C7)))&gt;0)</f>
        <v>0</v>
      </c>
      <c r="N7" s="14" cm="1">
        <f t="array" ref="N7">INT(SUMPRODUCT(--ISNUMBER(SEARCH(covid,C7)))&gt;0)</f>
        <v>0</v>
      </c>
      <c r="O7" s="14" cm="1">
        <f t="array" ref="O7">INT(SUMPRODUCT(--ISNUMBER(SEARCH(violent,C7)))&gt;0)</f>
        <v>0</v>
      </c>
      <c r="P7" s="14" cm="1">
        <f t="array" ref="P7">INT(SUMPRODUCT(--ISNUMBER(SEARCH(foreign,C7)))&gt;0)</f>
        <v>0</v>
      </c>
      <c r="Q7" s="14" cm="1">
        <f t="array" ref="Q7">INT(SUMPRODUCT(--ISNUMBER(SEARCH(gun,C7)))&gt;0)</f>
        <v>0</v>
      </c>
      <c r="R7" s="14" cm="1">
        <f t="array" ref="R7">INT(SUMPRODUCT(--ISNUMBER(SEARCH(race,C7)))&gt;0)</f>
        <v>0</v>
      </c>
      <c r="S7" s="14" cm="1">
        <f t="array" ref="S7">INT(SUMPRODUCT(--ISNUMBER(SEARCH(immigration,C7)))&gt;0)</f>
        <v>0</v>
      </c>
      <c r="T7" s="14" cm="1">
        <f t="array" ref="T7">INT(SUMPRODUCT(--ISNUMBER(SEARCH(econineq,C8)))&gt;0)</f>
        <v>0</v>
      </c>
      <c r="U7" s="14" cm="1">
        <f t="array" ref="U7">INT(SUMPRODUCT(--ISNUMBER(SEARCH(climate,C7)))&gt;0)</f>
        <v>0</v>
      </c>
      <c r="V7" s="14" cm="1">
        <f t="array" ref="V7">INT(SUMPRODUCT(--ISNUMBER(SEARCH(abortion,C7)))&gt;0)</f>
        <v>0</v>
      </c>
      <c r="W7" s="14" cm="1">
        <f t="array" ref="W7">INT(SUMPRODUCT(--ISNUMBER(SEARCH(trump,C7)))&gt;0)</f>
        <v>0</v>
      </c>
      <c r="X7" s="14" cm="1">
        <f t="array" ref="X7">INT(SUMPRODUCT(--ISNUMBER(SEARCH(voting,C7)))&gt;0)</f>
        <v>0</v>
      </c>
      <c r="Y7" s="35" cm="1">
        <f t="array" ref="Y7">INT(SUMPRODUCT(--ISNUMBER(SEARCH(republicantrigger,C7)))&gt;0)</f>
        <v>1</v>
      </c>
      <c r="Z7" s="35" cm="1">
        <f t="array" ref="Z7">INT(SUMPRODUCT(--ISNUMBER(SEARCH(bipartisan,C7)))&gt;0)</f>
        <v>0</v>
      </c>
      <c r="AA7" s="35">
        <f t="shared" si="0"/>
        <v>0</v>
      </c>
      <c r="AB7" s="14"/>
      <c r="AC7" s="30" t="s">
        <v>223</v>
      </c>
      <c r="AD7" s="37" t="s">
        <v>223</v>
      </c>
    </row>
    <row r="8" spans="1:30" x14ac:dyDescent="0.25">
      <c r="A8" s="36">
        <v>4328</v>
      </c>
      <c r="B8" s="14" t="s">
        <v>8679</v>
      </c>
      <c r="C8" s="31" t="s">
        <v>8680</v>
      </c>
      <c r="D8" s="17">
        <v>44138</v>
      </c>
      <c r="E8" s="14" t="s">
        <v>30</v>
      </c>
      <c r="F8" s="14">
        <v>290</v>
      </c>
      <c r="G8" s="14">
        <v>87</v>
      </c>
      <c r="H8" s="14">
        <v>20</v>
      </c>
      <c r="I8" s="14">
        <v>10</v>
      </c>
      <c r="J8" s="14" t="s">
        <v>31</v>
      </c>
      <c r="K8" s="14" cm="1">
        <f t="array" ref="K8">INT(SUMPRODUCT(--ISNUMBER(SEARCH(economy,C8)))&gt;0)</f>
        <v>0</v>
      </c>
      <c r="L8" s="14" cm="1">
        <f t="array" ref="L8">INT(SUMPRODUCT(--ISNUMBER(SEARCH(healthcare,C8)))&gt;0)</f>
        <v>0</v>
      </c>
      <c r="M8" s="14" cm="1">
        <f t="array" ref="M8">INT(SUMPRODUCT(--ISNUMBER(SEARCH(supreme,C8)))&gt;0)</f>
        <v>0</v>
      </c>
      <c r="N8" s="14" cm="1">
        <f t="array" ref="N8">INT(SUMPRODUCT(--ISNUMBER(SEARCH(covid,C8)))&gt;0)</f>
        <v>0</v>
      </c>
      <c r="O8" s="14" cm="1">
        <f t="array" ref="O8">INT(SUMPRODUCT(--ISNUMBER(SEARCH(violent,C8)))&gt;0)</f>
        <v>0</v>
      </c>
      <c r="P8" s="14" cm="1">
        <f t="array" ref="P8">INT(SUMPRODUCT(--ISNUMBER(SEARCH(foreign,C8)))&gt;0)</f>
        <v>0</v>
      </c>
      <c r="Q8" s="14" cm="1">
        <f t="array" ref="Q8">INT(SUMPRODUCT(--ISNUMBER(SEARCH(gun,C8)))&gt;0)</f>
        <v>0</v>
      </c>
      <c r="R8" s="14" cm="1">
        <f t="array" ref="R8">INT(SUMPRODUCT(--ISNUMBER(SEARCH(race,C8)))&gt;0)</f>
        <v>0</v>
      </c>
      <c r="S8" s="14" cm="1">
        <f t="array" ref="S8">INT(SUMPRODUCT(--ISNUMBER(SEARCH(immigration,C8)))&gt;0)</f>
        <v>0</v>
      </c>
      <c r="T8" s="14" cm="1">
        <f t="array" ref="T8">INT(SUMPRODUCT(--ISNUMBER(SEARCH(econineq,C9)))&gt;0)</f>
        <v>0</v>
      </c>
      <c r="U8" s="14" cm="1">
        <f t="array" ref="U8">INT(SUMPRODUCT(--ISNUMBER(SEARCH(climate,C8)))&gt;0)</f>
        <v>0</v>
      </c>
      <c r="V8" s="14" cm="1">
        <f t="array" ref="V8">INT(SUMPRODUCT(--ISNUMBER(SEARCH(abortion,C8)))&gt;0)</f>
        <v>0</v>
      </c>
      <c r="W8" s="14" cm="1">
        <f t="array" ref="W8">INT(SUMPRODUCT(--ISNUMBER(SEARCH(trump,C8)))&gt;0)</f>
        <v>0</v>
      </c>
      <c r="X8" s="14" cm="1">
        <f t="array" ref="X8">INT(SUMPRODUCT(--ISNUMBER(SEARCH(voting,C8)))&gt;0)</f>
        <v>1</v>
      </c>
      <c r="Y8" s="35" cm="1">
        <f t="array" ref="Y8">INT(SUMPRODUCT(--ISNUMBER(SEARCH(republicantrigger,C8)))&gt;0)</f>
        <v>0</v>
      </c>
      <c r="Z8" s="35" cm="1">
        <f t="array" ref="Z8">INT(SUMPRODUCT(--ISNUMBER(SEARCH(bipartisan,C8)))&gt;0)</f>
        <v>0</v>
      </c>
      <c r="AA8" s="35">
        <f t="shared" si="0"/>
        <v>0</v>
      </c>
      <c r="AB8" s="14"/>
      <c r="AC8" s="30">
        <v>1</v>
      </c>
      <c r="AD8" s="37">
        <v>0</v>
      </c>
    </row>
    <row r="9" spans="1:30" x14ac:dyDescent="0.25">
      <c r="A9" s="36">
        <v>4329</v>
      </c>
      <c r="B9" s="14" t="s">
        <v>8681</v>
      </c>
      <c r="C9" s="31" t="s">
        <v>8682</v>
      </c>
      <c r="D9" s="17">
        <v>44138</v>
      </c>
      <c r="E9" s="14" t="s">
        <v>30</v>
      </c>
      <c r="F9" s="14">
        <v>184</v>
      </c>
      <c r="G9" s="14">
        <v>49</v>
      </c>
      <c r="H9" s="14">
        <v>20</v>
      </c>
      <c r="I9" s="14">
        <v>10</v>
      </c>
      <c r="J9" s="14" t="s">
        <v>31</v>
      </c>
      <c r="K9" s="14" cm="1">
        <f t="array" ref="K9">INT(SUMPRODUCT(--ISNUMBER(SEARCH(economy,C9)))&gt;0)</f>
        <v>0</v>
      </c>
      <c r="L9" s="14" cm="1">
        <f t="array" ref="L9">INT(SUMPRODUCT(--ISNUMBER(SEARCH(healthcare,C9)))&gt;0)</f>
        <v>0</v>
      </c>
      <c r="M9" s="14" cm="1">
        <f t="array" ref="M9">INT(SUMPRODUCT(--ISNUMBER(SEARCH(supreme,C9)))&gt;0)</f>
        <v>0</v>
      </c>
      <c r="N9" s="14" cm="1">
        <f t="array" ref="N9">INT(SUMPRODUCT(--ISNUMBER(SEARCH(covid,C9)))&gt;0)</f>
        <v>0</v>
      </c>
      <c r="O9" s="14" cm="1">
        <f t="array" ref="O9">INT(SUMPRODUCT(--ISNUMBER(SEARCH(violent,C9)))&gt;0)</f>
        <v>0</v>
      </c>
      <c r="P9" s="14" cm="1">
        <f t="array" ref="P9">INT(SUMPRODUCT(--ISNUMBER(SEARCH(foreign,C9)))&gt;0)</f>
        <v>0</v>
      </c>
      <c r="Q9" s="14" cm="1">
        <f t="array" ref="Q9">INT(SUMPRODUCT(--ISNUMBER(SEARCH(gun,C9)))&gt;0)</f>
        <v>1</v>
      </c>
      <c r="R9" s="14" cm="1">
        <f t="array" ref="R9">INT(SUMPRODUCT(--ISNUMBER(SEARCH(race,C9)))&gt;0)</f>
        <v>0</v>
      </c>
      <c r="S9" s="14" cm="1">
        <f t="array" ref="S9">INT(SUMPRODUCT(--ISNUMBER(SEARCH(immigration,C9)))&gt;0)</f>
        <v>0</v>
      </c>
      <c r="T9" s="14" cm="1">
        <f t="array" ref="T9">INT(SUMPRODUCT(--ISNUMBER(SEARCH(econineq,C10)))&gt;0)</f>
        <v>0</v>
      </c>
      <c r="U9" s="14" cm="1">
        <f t="array" ref="U9">INT(SUMPRODUCT(--ISNUMBER(SEARCH(climate,C9)))&gt;0)</f>
        <v>0</v>
      </c>
      <c r="V9" s="14" cm="1">
        <f t="array" ref="V9">INT(SUMPRODUCT(--ISNUMBER(SEARCH(abortion,C9)))&gt;0)</f>
        <v>0</v>
      </c>
      <c r="W9" s="14" cm="1">
        <f t="array" ref="W9">INT(SUMPRODUCT(--ISNUMBER(SEARCH(trump,C9)))&gt;0)</f>
        <v>0</v>
      </c>
      <c r="X9" s="14" cm="1">
        <f t="array" ref="X9">INT(SUMPRODUCT(--ISNUMBER(SEARCH(voting,C9)))&gt;0)</f>
        <v>1</v>
      </c>
      <c r="Y9" s="35" cm="1">
        <f t="array" ref="Y9">INT(SUMPRODUCT(--ISNUMBER(SEARCH(republicantrigger,C9)))&gt;0)</f>
        <v>0</v>
      </c>
      <c r="Z9" s="35" cm="1">
        <f t="array" ref="Z9">INT(SUMPRODUCT(--ISNUMBER(SEARCH(bipartisan,C9)))&gt;0)</f>
        <v>0</v>
      </c>
      <c r="AA9" s="35">
        <f t="shared" si="0"/>
        <v>0</v>
      </c>
      <c r="AB9" s="14"/>
      <c r="AC9" s="30" t="s">
        <v>223</v>
      </c>
      <c r="AD9" s="37" t="s">
        <v>223</v>
      </c>
    </row>
    <row r="10" spans="1:30" x14ac:dyDescent="0.25">
      <c r="A10" s="36">
        <v>4330</v>
      </c>
      <c r="B10" s="14" t="s">
        <v>8683</v>
      </c>
      <c r="C10" s="31" t="s">
        <v>8684</v>
      </c>
      <c r="D10" s="17">
        <v>44138</v>
      </c>
      <c r="E10" s="14" t="s">
        <v>30</v>
      </c>
      <c r="F10" s="14">
        <v>109</v>
      </c>
      <c r="G10" s="14">
        <v>26</v>
      </c>
      <c r="H10" s="14">
        <v>20</v>
      </c>
      <c r="I10" s="14">
        <v>10</v>
      </c>
      <c r="J10" s="14" t="s">
        <v>31</v>
      </c>
      <c r="K10" s="14" cm="1">
        <f t="array" ref="K10">INT(SUMPRODUCT(--ISNUMBER(SEARCH(economy,C10)))&gt;0)</f>
        <v>0</v>
      </c>
      <c r="L10" s="14" cm="1">
        <f t="array" ref="L10">INT(SUMPRODUCT(--ISNUMBER(SEARCH(healthcare,C10)))&gt;0)</f>
        <v>0</v>
      </c>
      <c r="M10" s="14" cm="1">
        <f t="array" ref="M10">INT(SUMPRODUCT(--ISNUMBER(SEARCH(supreme,C10)))&gt;0)</f>
        <v>0</v>
      </c>
      <c r="N10" s="14" cm="1">
        <f t="array" ref="N10">INT(SUMPRODUCT(--ISNUMBER(SEARCH(covid,C10)))&gt;0)</f>
        <v>0</v>
      </c>
      <c r="O10" s="14" cm="1">
        <f t="array" ref="O10">INT(SUMPRODUCT(--ISNUMBER(SEARCH(violent,C10)))&gt;0)</f>
        <v>0</v>
      </c>
      <c r="P10" s="14" cm="1">
        <f t="array" ref="P10">INT(SUMPRODUCT(--ISNUMBER(SEARCH(foreign,C10)))&gt;0)</f>
        <v>0</v>
      </c>
      <c r="Q10" s="14" cm="1">
        <f t="array" ref="Q10">INT(SUMPRODUCT(--ISNUMBER(SEARCH(gun,C10)))&gt;0)</f>
        <v>0</v>
      </c>
      <c r="R10" s="14" cm="1">
        <f t="array" ref="R10">INT(SUMPRODUCT(--ISNUMBER(SEARCH(race,C10)))&gt;0)</f>
        <v>0</v>
      </c>
      <c r="S10" s="14" cm="1">
        <f t="array" ref="S10">INT(SUMPRODUCT(--ISNUMBER(SEARCH(immigration,C10)))&gt;0)</f>
        <v>0</v>
      </c>
      <c r="T10" s="14" cm="1">
        <f t="array" ref="T10">INT(SUMPRODUCT(--ISNUMBER(SEARCH(econineq,C11)))&gt;0)</f>
        <v>0</v>
      </c>
      <c r="U10" s="14" cm="1">
        <f t="array" ref="U10">INT(SUMPRODUCT(--ISNUMBER(SEARCH(climate,C10)))&gt;0)</f>
        <v>0</v>
      </c>
      <c r="V10" s="14" cm="1">
        <f t="array" ref="V10">INT(SUMPRODUCT(--ISNUMBER(SEARCH(abortion,C10)))&gt;0)</f>
        <v>0</v>
      </c>
      <c r="W10" s="14" cm="1">
        <f t="array" ref="W10">INT(SUMPRODUCT(--ISNUMBER(SEARCH(trump,C10)))&gt;0)</f>
        <v>0</v>
      </c>
      <c r="X10" s="14" cm="1">
        <f t="array" ref="X10">INT(SUMPRODUCT(--ISNUMBER(SEARCH(voting,C10)))&gt;0)</f>
        <v>1</v>
      </c>
      <c r="Y10" s="35" cm="1">
        <f t="array" ref="Y10">INT(SUMPRODUCT(--ISNUMBER(SEARCH(republicantrigger,C10)))&gt;0)</f>
        <v>0</v>
      </c>
      <c r="Z10" s="35" cm="1">
        <f t="array" ref="Z10">INT(SUMPRODUCT(--ISNUMBER(SEARCH(bipartisan,C10)))&gt;0)</f>
        <v>0</v>
      </c>
      <c r="AA10" s="35">
        <f t="shared" si="0"/>
        <v>0</v>
      </c>
      <c r="AB10" s="14"/>
      <c r="AC10" s="30">
        <v>1</v>
      </c>
      <c r="AD10" s="37">
        <v>0</v>
      </c>
    </row>
    <row r="11" spans="1:30" x14ac:dyDescent="0.25">
      <c r="A11" s="36">
        <v>4331</v>
      </c>
      <c r="B11" s="14" t="s">
        <v>8685</v>
      </c>
      <c r="C11" s="31" t="s">
        <v>8686</v>
      </c>
      <c r="D11" s="17">
        <v>44138</v>
      </c>
      <c r="E11" s="14" t="s">
        <v>30</v>
      </c>
      <c r="F11" s="14">
        <v>232</v>
      </c>
      <c r="G11" s="14">
        <v>98</v>
      </c>
      <c r="H11" s="14">
        <v>20</v>
      </c>
      <c r="I11" s="14">
        <v>10</v>
      </c>
      <c r="J11" s="14" t="s">
        <v>31</v>
      </c>
      <c r="K11" s="14" cm="1">
        <f t="array" ref="K11">INT(SUMPRODUCT(--ISNUMBER(SEARCH(economy,C11)))&gt;0)</f>
        <v>0</v>
      </c>
      <c r="L11" s="14" cm="1">
        <f t="array" ref="L11">INT(SUMPRODUCT(--ISNUMBER(SEARCH(healthcare,C11)))&gt;0)</f>
        <v>1</v>
      </c>
      <c r="M11" s="14" cm="1">
        <f t="array" ref="M11">INT(SUMPRODUCT(--ISNUMBER(SEARCH(supreme,C11)))&gt;0)</f>
        <v>0</v>
      </c>
      <c r="N11" s="14" cm="1">
        <f t="array" ref="N11">INT(SUMPRODUCT(--ISNUMBER(SEARCH(covid,C11)))&gt;0)</f>
        <v>0</v>
      </c>
      <c r="O11" s="14" cm="1">
        <f t="array" ref="O11">INT(SUMPRODUCT(--ISNUMBER(SEARCH(violent,C11)))&gt;0)</f>
        <v>0</v>
      </c>
      <c r="P11" s="14" cm="1">
        <f t="array" ref="P11">INT(SUMPRODUCT(--ISNUMBER(SEARCH(foreign,C11)))&gt;0)</f>
        <v>0</v>
      </c>
      <c r="Q11" s="14" cm="1">
        <f t="array" ref="Q11">INT(SUMPRODUCT(--ISNUMBER(SEARCH(gun,C11)))&gt;0)</f>
        <v>0</v>
      </c>
      <c r="R11" s="14" cm="1">
        <f t="array" ref="R11">INT(SUMPRODUCT(--ISNUMBER(SEARCH(race,C11)))&gt;0)</f>
        <v>0</v>
      </c>
      <c r="S11" s="14" cm="1">
        <f t="array" ref="S11">INT(SUMPRODUCT(--ISNUMBER(SEARCH(immigration,C11)))&gt;0)</f>
        <v>0</v>
      </c>
      <c r="T11" s="14" cm="1">
        <f t="array" ref="T11">INT(SUMPRODUCT(--ISNUMBER(SEARCH(econineq,C12)))&gt;0)</f>
        <v>0</v>
      </c>
      <c r="U11" s="14" cm="1">
        <f t="array" ref="U11">INT(SUMPRODUCT(--ISNUMBER(SEARCH(climate,C11)))&gt;0)</f>
        <v>0</v>
      </c>
      <c r="V11" s="14" cm="1">
        <f t="array" ref="V11">INT(SUMPRODUCT(--ISNUMBER(SEARCH(abortion,C11)))&gt;0)</f>
        <v>0</v>
      </c>
      <c r="W11" s="14" cm="1">
        <f t="array" ref="W11">INT(SUMPRODUCT(--ISNUMBER(SEARCH(trump,C11)))&gt;0)</f>
        <v>0</v>
      </c>
      <c r="X11" s="14" cm="1">
        <f t="array" ref="X11">INT(SUMPRODUCT(--ISNUMBER(SEARCH(voting,C11)))&gt;0)</f>
        <v>1</v>
      </c>
      <c r="Y11" s="35" cm="1">
        <f t="array" ref="Y11">INT(SUMPRODUCT(--ISNUMBER(SEARCH(republicantrigger,C11)))&gt;0)</f>
        <v>1</v>
      </c>
      <c r="Z11" s="35" cm="1">
        <f t="array" ref="Z11">INT(SUMPRODUCT(--ISNUMBER(SEARCH(bipartisan,C11)))&gt;0)</f>
        <v>0</v>
      </c>
      <c r="AA11" s="35">
        <f t="shared" si="0"/>
        <v>0</v>
      </c>
      <c r="AB11" s="14"/>
      <c r="AC11" s="30">
        <v>1</v>
      </c>
      <c r="AD11" s="37">
        <v>0</v>
      </c>
    </row>
    <row r="12" spans="1:30" x14ac:dyDescent="0.25">
      <c r="A12" s="36">
        <v>4332</v>
      </c>
      <c r="B12" s="14" t="s">
        <v>8687</v>
      </c>
      <c r="C12" s="31" t="s">
        <v>8688</v>
      </c>
      <c r="D12" s="17">
        <v>44138</v>
      </c>
      <c r="E12" s="14" t="s">
        <v>30</v>
      </c>
      <c r="F12" s="14">
        <v>170</v>
      </c>
      <c r="G12" s="14">
        <v>38</v>
      </c>
      <c r="H12" s="14">
        <v>20</v>
      </c>
      <c r="I12" s="14">
        <v>10</v>
      </c>
      <c r="J12" s="14" t="s">
        <v>31</v>
      </c>
      <c r="K12" s="14" cm="1">
        <f t="array" ref="K12">INT(SUMPRODUCT(--ISNUMBER(SEARCH(economy,C12)))&gt;0)</f>
        <v>0</v>
      </c>
      <c r="L12" s="14" cm="1">
        <f t="array" ref="L12">INT(SUMPRODUCT(--ISNUMBER(SEARCH(healthcare,C12)))&gt;0)</f>
        <v>0</v>
      </c>
      <c r="M12" s="14" cm="1">
        <f t="array" ref="M12">INT(SUMPRODUCT(--ISNUMBER(SEARCH(supreme,C12)))&gt;0)</f>
        <v>0</v>
      </c>
      <c r="N12" s="14" cm="1">
        <f t="array" ref="N12">INT(SUMPRODUCT(--ISNUMBER(SEARCH(covid,C12)))&gt;0)</f>
        <v>0</v>
      </c>
      <c r="O12" s="14" cm="1">
        <f t="array" ref="O12">INT(SUMPRODUCT(--ISNUMBER(SEARCH(violent,C12)))&gt;0)</f>
        <v>0</v>
      </c>
      <c r="P12" s="14" cm="1">
        <f t="array" ref="P12">INT(SUMPRODUCT(--ISNUMBER(SEARCH(foreign,C12)))&gt;0)</f>
        <v>0</v>
      </c>
      <c r="Q12" s="14" cm="1">
        <f t="array" ref="Q12">INT(SUMPRODUCT(--ISNUMBER(SEARCH(gun,C12)))&gt;0)</f>
        <v>0</v>
      </c>
      <c r="R12" s="14" cm="1">
        <f t="array" ref="R12">INT(SUMPRODUCT(--ISNUMBER(SEARCH(race,C12)))&gt;0)</f>
        <v>0</v>
      </c>
      <c r="S12" s="14" cm="1">
        <f t="array" ref="S12">INT(SUMPRODUCT(--ISNUMBER(SEARCH(immigration,C12)))&gt;0)</f>
        <v>0</v>
      </c>
      <c r="T12" s="14" cm="1">
        <f t="array" ref="T12">INT(SUMPRODUCT(--ISNUMBER(SEARCH(econineq,C13)))&gt;0)</f>
        <v>0</v>
      </c>
      <c r="U12" s="14" cm="1">
        <f t="array" ref="U12">INT(SUMPRODUCT(--ISNUMBER(SEARCH(climate,C12)))&gt;0)</f>
        <v>0</v>
      </c>
      <c r="V12" s="14" cm="1">
        <f t="array" ref="V12">INT(SUMPRODUCT(--ISNUMBER(SEARCH(abortion,C12)))&gt;0)</f>
        <v>0</v>
      </c>
      <c r="W12" s="14" cm="1">
        <f t="array" ref="W12">INT(SUMPRODUCT(--ISNUMBER(SEARCH(trump,C12)))&gt;0)</f>
        <v>0</v>
      </c>
      <c r="X12" s="14" cm="1">
        <f t="array" ref="X12">INT(SUMPRODUCT(--ISNUMBER(SEARCH(voting,C12)))&gt;0)</f>
        <v>1</v>
      </c>
      <c r="Y12" s="35" cm="1">
        <f t="array" ref="Y12">INT(SUMPRODUCT(--ISNUMBER(SEARCH(republicantrigger,C12)))&gt;0)</f>
        <v>0</v>
      </c>
      <c r="Z12" s="35" cm="1">
        <f t="array" ref="Z12">INT(SUMPRODUCT(--ISNUMBER(SEARCH(bipartisan,C12)))&gt;0)</f>
        <v>0</v>
      </c>
      <c r="AA12" s="35">
        <f t="shared" si="0"/>
        <v>0</v>
      </c>
      <c r="AB12" s="14"/>
      <c r="AC12" s="30">
        <v>1</v>
      </c>
      <c r="AD12" s="37">
        <v>0</v>
      </c>
    </row>
    <row r="13" spans="1:30" x14ac:dyDescent="0.25">
      <c r="A13" s="36">
        <v>4333</v>
      </c>
      <c r="B13" s="14" t="s">
        <v>8689</v>
      </c>
      <c r="C13" s="31" t="s">
        <v>8690</v>
      </c>
      <c r="D13" s="17">
        <v>44137</v>
      </c>
      <c r="E13" s="14" t="s">
        <v>30</v>
      </c>
      <c r="F13" s="14">
        <v>61</v>
      </c>
      <c r="G13" s="14">
        <v>23</v>
      </c>
      <c r="H13" s="14">
        <v>20</v>
      </c>
      <c r="I13" s="14">
        <v>10</v>
      </c>
      <c r="J13" s="14" t="s">
        <v>31</v>
      </c>
      <c r="K13" s="14" cm="1">
        <f t="array" ref="K13">INT(SUMPRODUCT(--ISNUMBER(SEARCH(economy,C13)))&gt;0)</f>
        <v>0</v>
      </c>
      <c r="L13" s="14" cm="1">
        <f t="array" ref="L13">INT(SUMPRODUCT(--ISNUMBER(SEARCH(healthcare,C13)))&gt;0)</f>
        <v>0</v>
      </c>
      <c r="M13" s="14" cm="1">
        <f t="array" ref="M13">INT(SUMPRODUCT(--ISNUMBER(SEARCH(supreme,C13)))&gt;0)</f>
        <v>0</v>
      </c>
      <c r="N13" s="14" cm="1">
        <f t="array" ref="N13">INT(SUMPRODUCT(--ISNUMBER(SEARCH(covid,C13)))&gt;0)</f>
        <v>0</v>
      </c>
      <c r="O13" s="14" cm="1">
        <f t="array" ref="O13">INT(SUMPRODUCT(--ISNUMBER(SEARCH(violent,C13)))&gt;0)</f>
        <v>0</v>
      </c>
      <c r="P13" s="14" cm="1">
        <f t="array" ref="P13">INT(SUMPRODUCT(--ISNUMBER(SEARCH(foreign,C13)))&gt;0)</f>
        <v>0</v>
      </c>
      <c r="Q13" s="14" cm="1">
        <f t="array" ref="Q13">INT(SUMPRODUCT(--ISNUMBER(SEARCH(gun,C13)))&gt;0)</f>
        <v>0</v>
      </c>
      <c r="R13" s="14" cm="1">
        <f t="array" ref="R13">INT(SUMPRODUCT(--ISNUMBER(SEARCH(race,C13)))&gt;0)</f>
        <v>0</v>
      </c>
      <c r="S13" s="14" cm="1">
        <f t="array" ref="S13">INT(SUMPRODUCT(--ISNUMBER(SEARCH(immigration,C13)))&gt;0)</f>
        <v>0</v>
      </c>
      <c r="T13" s="14" cm="1">
        <f t="array" ref="T13">INT(SUMPRODUCT(--ISNUMBER(SEARCH(econineq,C14)))&gt;0)</f>
        <v>0</v>
      </c>
      <c r="U13" s="14" cm="1">
        <f t="array" ref="U13">INT(SUMPRODUCT(--ISNUMBER(SEARCH(climate,C13)))&gt;0)</f>
        <v>0</v>
      </c>
      <c r="V13" s="14" cm="1">
        <f t="array" ref="V13">INT(SUMPRODUCT(--ISNUMBER(SEARCH(abortion,C13)))&gt;0)</f>
        <v>0</v>
      </c>
      <c r="W13" s="14" cm="1">
        <f t="array" ref="W13">INT(SUMPRODUCT(--ISNUMBER(SEARCH(trump,C13)))&gt;0)</f>
        <v>0</v>
      </c>
      <c r="X13" s="14" cm="1">
        <f t="array" ref="X13">INT(SUMPRODUCT(--ISNUMBER(SEARCH(voting,C13)))&gt;0)</f>
        <v>1</v>
      </c>
      <c r="Y13" s="35" cm="1">
        <f t="array" ref="Y13">INT(SUMPRODUCT(--ISNUMBER(SEARCH(republicantrigger,C13)))&gt;0)</f>
        <v>1</v>
      </c>
      <c r="Z13" s="35" cm="1">
        <f t="array" ref="Z13">INT(SUMPRODUCT(--ISNUMBER(SEARCH(bipartisan,C13)))&gt;0)</f>
        <v>0</v>
      </c>
      <c r="AA13" s="35">
        <f t="shared" si="0"/>
        <v>0</v>
      </c>
      <c r="AB13" s="14"/>
      <c r="AC13" s="30">
        <v>1</v>
      </c>
      <c r="AD13" s="37">
        <v>0</v>
      </c>
    </row>
    <row r="14" spans="1:30" x14ac:dyDescent="0.25">
      <c r="A14" s="36">
        <v>4334</v>
      </c>
      <c r="B14" s="14" t="s">
        <v>8691</v>
      </c>
      <c r="C14" s="31" t="s">
        <v>8692</v>
      </c>
      <c r="D14" s="17">
        <v>44137</v>
      </c>
      <c r="E14" s="14" t="s">
        <v>70</v>
      </c>
      <c r="F14" s="14">
        <v>143</v>
      </c>
      <c r="G14" s="14">
        <v>21</v>
      </c>
      <c r="H14" s="14">
        <v>20</v>
      </c>
      <c r="I14" s="14">
        <v>10</v>
      </c>
      <c r="J14" s="14" t="s">
        <v>31</v>
      </c>
      <c r="K14" s="14" cm="1">
        <f t="array" ref="K14">INT(SUMPRODUCT(--ISNUMBER(SEARCH(economy,C14)))&gt;0)</f>
        <v>0</v>
      </c>
      <c r="L14" s="14" cm="1">
        <f t="array" ref="L14">INT(SUMPRODUCT(--ISNUMBER(SEARCH(healthcare,C14)))&gt;0)</f>
        <v>0</v>
      </c>
      <c r="M14" s="14" cm="1">
        <f t="array" ref="M14">INT(SUMPRODUCT(--ISNUMBER(SEARCH(supreme,C14)))&gt;0)</f>
        <v>0</v>
      </c>
      <c r="N14" s="14" cm="1">
        <f t="array" ref="N14">INT(SUMPRODUCT(--ISNUMBER(SEARCH(covid,C14)))&gt;0)</f>
        <v>0</v>
      </c>
      <c r="O14" s="14" cm="1">
        <f t="array" ref="O14">INT(SUMPRODUCT(--ISNUMBER(SEARCH(violent,C14)))&gt;0)</f>
        <v>0</v>
      </c>
      <c r="P14" s="14" cm="1">
        <f t="array" ref="P14">INT(SUMPRODUCT(--ISNUMBER(SEARCH(foreign,C14)))&gt;0)</f>
        <v>0</v>
      </c>
      <c r="Q14" s="14" cm="1">
        <f t="array" ref="Q14">INT(SUMPRODUCT(--ISNUMBER(SEARCH(gun,C14)))&gt;0)</f>
        <v>0</v>
      </c>
      <c r="R14" s="14" cm="1">
        <f t="array" ref="R14">INT(SUMPRODUCT(--ISNUMBER(SEARCH(race,C14)))&gt;0)</f>
        <v>0</v>
      </c>
      <c r="S14" s="14" cm="1">
        <f t="array" ref="S14">INT(SUMPRODUCT(--ISNUMBER(SEARCH(immigration,C14)))&gt;0)</f>
        <v>0</v>
      </c>
      <c r="T14" s="14" cm="1">
        <f t="array" ref="T14">INT(SUMPRODUCT(--ISNUMBER(SEARCH(econineq,C15)))&gt;0)</f>
        <v>0</v>
      </c>
      <c r="U14" s="14" cm="1">
        <f t="array" ref="U14">INT(SUMPRODUCT(--ISNUMBER(SEARCH(climate,C14)))&gt;0)</f>
        <v>0</v>
      </c>
      <c r="V14" s="14" cm="1">
        <f t="array" ref="V14">INT(SUMPRODUCT(--ISNUMBER(SEARCH(abortion,C14)))&gt;0)</f>
        <v>0</v>
      </c>
      <c r="W14" s="14" cm="1">
        <f t="array" ref="W14">INT(SUMPRODUCT(--ISNUMBER(SEARCH(trump,C14)))&gt;0)</f>
        <v>0</v>
      </c>
      <c r="X14" s="14" cm="1">
        <f t="array" ref="X14">INT(SUMPRODUCT(--ISNUMBER(SEARCH(voting,C14)))&gt;0)</f>
        <v>1</v>
      </c>
      <c r="Y14" s="35" cm="1">
        <f t="array" ref="Y14">INT(SUMPRODUCT(--ISNUMBER(SEARCH(republicantrigger,C14)))&gt;0)</f>
        <v>0</v>
      </c>
      <c r="Z14" s="35" cm="1">
        <f t="array" ref="Z14">INT(SUMPRODUCT(--ISNUMBER(SEARCH(bipartisan,C14)))&gt;0)</f>
        <v>0</v>
      </c>
      <c r="AA14" s="35">
        <f t="shared" si="0"/>
        <v>0</v>
      </c>
      <c r="AB14" s="14"/>
      <c r="AC14" s="30" t="s">
        <v>223</v>
      </c>
      <c r="AD14" s="37" t="s">
        <v>223</v>
      </c>
    </row>
    <row r="15" spans="1:30" x14ac:dyDescent="0.25">
      <c r="A15" s="36">
        <v>4335</v>
      </c>
      <c r="B15" s="14" t="s">
        <v>8693</v>
      </c>
      <c r="C15" s="31" t="s">
        <v>8694</v>
      </c>
      <c r="D15" s="17">
        <v>44137</v>
      </c>
      <c r="E15" s="14" t="s">
        <v>30</v>
      </c>
      <c r="F15" s="14">
        <v>1060</v>
      </c>
      <c r="G15" s="14">
        <v>178</v>
      </c>
      <c r="H15" s="14">
        <v>20</v>
      </c>
      <c r="I15" s="14">
        <v>10</v>
      </c>
      <c r="J15" s="14" t="s">
        <v>31</v>
      </c>
      <c r="K15" s="14" cm="1">
        <f t="array" ref="K15">INT(SUMPRODUCT(--ISNUMBER(SEARCH(economy,C15)))&gt;0)</f>
        <v>0</v>
      </c>
      <c r="L15" s="14" cm="1">
        <f t="array" ref="L15">INT(SUMPRODUCT(--ISNUMBER(SEARCH(healthcare,C15)))&gt;0)</f>
        <v>0</v>
      </c>
      <c r="M15" s="14" cm="1">
        <f t="array" ref="M15">INT(SUMPRODUCT(--ISNUMBER(SEARCH(supreme,C15)))&gt;0)</f>
        <v>0</v>
      </c>
      <c r="N15" s="14" cm="1">
        <f t="array" ref="N15">INT(SUMPRODUCT(--ISNUMBER(SEARCH(covid,C15)))&gt;0)</f>
        <v>0</v>
      </c>
      <c r="O15" s="14" cm="1">
        <f t="array" ref="O15">INT(SUMPRODUCT(--ISNUMBER(SEARCH(violent,C15)))&gt;0)</f>
        <v>0</v>
      </c>
      <c r="P15" s="14" cm="1">
        <f t="array" ref="P15">INT(SUMPRODUCT(--ISNUMBER(SEARCH(foreign,C15)))&gt;0)</f>
        <v>0</v>
      </c>
      <c r="Q15" s="14" cm="1">
        <f t="array" ref="Q15">INT(SUMPRODUCT(--ISNUMBER(SEARCH(gun,C15)))&gt;0)</f>
        <v>0</v>
      </c>
      <c r="R15" s="14" cm="1">
        <f t="array" ref="R15">INT(SUMPRODUCT(--ISNUMBER(SEARCH(race,C15)))&gt;0)</f>
        <v>0</v>
      </c>
      <c r="S15" s="14" cm="1">
        <f t="array" ref="S15">INT(SUMPRODUCT(--ISNUMBER(SEARCH(immigration,C15)))&gt;0)</f>
        <v>0</v>
      </c>
      <c r="T15" s="14" cm="1">
        <f t="array" ref="T15">INT(SUMPRODUCT(--ISNUMBER(SEARCH(econineq,C16)))&gt;0)</f>
        <v>0</v>
      </c>
      <c r="U15" s="14" cm="1">
        <f t="array" ref="U15">INT(SUMPRODUCT(--ISNUMBER(SEARCH(climate,C15)))&gt;0)</f>
        <v>0</v>
      </c>
      <c r="V15" s="14" cm="1">
        <f t="array" ref="V15">INT(SUMPRODUCT(--ISNUMBER(SEARCH(abortion,C15)))&gt;0)</f>
        <v>0</v>
      </c>
      <c r="W15" s="14" cm="1">
        <f t="array" ref="W15">INT(SUMPRODUCT(--ISNUMBER(SEARCH(trump,C15)))&gt;0)</f>
        <v>0</v>
      </c>
      <c r="X15" s="14" cm="1">
        <f t="array" ref="X15">INT(SUMPRODUCT(--ISNUMBER(SEARCH(voting,C15)))&gt;0)</f>
        <v>0</v>
      </c>
      <c r="Y15" s="35" cm="1">
        <f t="array" ref="Y15">INT(SUMPRODUCT(--ISNUMBER(SEARCH(republicantrigger,C15)))&gt;0)</f>
        <v>0</v>
      </c>
      <c r="Z15" s="35" cm="1">
        <f t="array" ref="Z15">INT(SUMPRODUCT(--ISNUMBER(SEARCH(bipartisan,C15)))&gt;0)</f>
        <v>0</v>
      </c>
      <c r="AA15" s="35">
        <f t="shared" si="0"/>
        <v>1</v>
      </c>
      <c r="AB15" s="14"/>
      <c r="AC15" s="30">
        <v>1</v>
      </c>
      <c r="AD15" s="37">
        <v>0</v>
      </c>
    </row>
    <row r="16" spans="1:30" x14ac:dyDescent="0.25">
      <c r="A16" s="36">
        <v>4336</v>
      </c>
      <c r="B16" s="14" t="s">
        <v>8695</v>
      </c>
      <c r="C16" s="31" t="s">
        <v>8696</v>
      </c>
      <c r="D16" s="17">
        <v>44137</v>
      </c>
      <c r="E16" s="14" t="s">
        <v>30</v>
      </c>
      <c r="F16" s="14">
        <v>290</v>
      </c>
      <c r="G16" s="14">
        <v>70</v>
      </c>
      <c r="H16" s="14">
        <v>20</v>
      </c>
      <c r="I16" s="14">
        <v>10</v>
      </c>
      <c r="J16" s="14" t="s">
        <v>31</v>
      </c>
      <c r="K16" s="14" cm="1">
        <f t="array" ref="K16">INT(SUMPRODUCT(--ISNUMBER(SEARCH(economy,C16)))&gt;0)</f>
        <v>0</v>
      </c>
      <c r="L16" s="14" cm="1">
        <f t="array" ref="L16">INT(SUMPRODUCT(--ISNUMBER(SEARCH(healthcare,C16)))&gt;0)</f>
        <v>0</v>
      </c>
      <c r="M16" s="14" cm="1">
        <f t="array" ref="M16">INT(SUMPRODUCT(--ISNUMBER(SEARCH(supreme,C16)))&gt;0)</f>
        <v>0</v>
      </c>
      <c r="N16" s="14" cm="1">
        <f t="array" ref="N16">INT(SUMPRODUCT(--ISNUMBER(SEARCH(covid,C16)))&gt;0)</f>
        <v>0</v>
      </c>
      <c r="O16" s="14" cm="1">
        <f t="array" ref="O16">INT(SUMPRODUCT(--ISNUMBER(SEARCH(violent,C16)))&gt;0)</f>
        <v>0</v>
      </c>
      <c r="P16" s="14" cm="1">
        <f t="array" ref="P16">INT(SUMPRODUCT(--ISNUMBER(SEARCH(foreign,C16)))&gt;0)</f>
        <v>0</v>
      </c>
      <c r="Q16" s="14" cm="1">
        <f t="array" ref="Q16">INT(SUMPRODUCT(--ISNUMBER(SEARCH(gun,C16)))&gt;0)</f>
        <v>0</v>
      </c>
      <c r="R16" s="14" cm="1">
        <f t="array" ref="R16">INT(SUMPRODUCT(--ISNUMBER(SEARCH(race,C16)))&gt;0)</f>
        <v>0</v>
      </c>
      <c r="S16" s="14" cm="1">
        <f t="array" ref="S16">INT(SUMPRODUCT(--ISNUMBER(SEARCH(immigration,C16)))&gt;0)</f>
        <v>0</v>
      </c>
      <c r="T16" s="14" cm="1">
        <f t="array" ref="T16">INT(SUMPRODUCT(--ISNUMBER(SEARCH(econineq,C17)))&gt;0)</f>
        <v>0</v>
      </c>
      <c r="U16" s="14" cm="1">
        <f t="array" ref="U16">INT(SUMPRODUCT(--ISNUMBER(SEARCH(climate,C16)))&gt;0)</f>
        <v>0</v>
      </c>
      <c r="V16" s="14" cm="1">
        <f t="array" ref="V16">INT(SUMPRODUCT(--ISNUMBER(SEARCH(abortion,C16)))&gt;0)</f>
        <v>0</v>
      </c>
      <c r="W16" s="14" cm="1">
        <f t="array" ref="W16">INT(SUMPRODUCT(--ISNUMBER(SEARCH(trump,C16)))&gt;0)</f>
        <v>0</v>
      </c>
      <c r="X16" s="14" cm="1">
        <f t="array" ref="X16">INT(SUMPRODUCT(--ISNUMBER(SEARCH(voting,C16)))&gt;0)</f>
        <v>1</v>
      </c>
      <c r="Y16" s="35" cm="1">
        <f t="array" ref="Y16">INT(SUMPRODUCT(--ISNUMBER(SEARCH(republicantrigger,C16)))&gt;0)</f>
        <v>0</v>
      </c>
      <c r="Z16" s="35" cm="1">
        <f t="array" ref="Z16">INT(SUMPRODUCT(--ISNUMBER(SEARCH(bipartisan,C16)))&gt;0)</f>
        <v>0</v>
      </c>
      <c r="AA16" s="35">
        <f t="shared" si="0"/>
        <v>0</v>
      </c>
      <c r="AB16" s="14"/>
      <c r="AC16" s="30" t="s">
        <v>223</v>
      </c>
      <c r="AD16" s="37" t="s">
        <v>223</v>
      </c>
    </row>
    <row r="17" spans="1:30" x14ac:dyDescent="0.25">
      <c r="A17" s="36">
        <v>4337</v>
      </c>
      <c r="B17" s="14" t="s">
        <v>8697</v>
      </c>
      <c r="C17" s="31" t="s">
        <v>8698</v>
      </c>
      <c r="D17" s="17">
        <v>44136</v>
      </c>
      <c r="E17" s="14" t="s">
        <v>30</v>
      </c>
      <c r="F17" s="14">
        <v>1401</v>
      </c>
      <c r="G17" s="14">
        <v>243</v>
      </c>
      <c r="H17" s="14">
        <v>20</v>
      </c>
      <c r="I17" s="14">
        <v>10</v>
      </c>
      <c r="J17" s="14" t="s">
        <v>31</v>
      </c>
      <c r="K17" s="14" cm="1">
        <f t="array" ref="K17">INT(SUMPRODUCT(--ISNUMBER(SEARCH(economy,C17)))&gt;0)</f>
        <v>0</v>
      </c>
      <c r="L17" s="14" cm="1">
        <f t="array" ref="L17">INT(SUMPRODUCT(--ISNUMBER(SEARCH(healthcare,C17)))&gt;0)</f>
        <v>0</v>
      </c>
      <c r="M17" s="14" cm="1">
        <f t="array" ref="M17">INT(SUMPRODUCT(--ISNUMBER(SEARCH(supreme,C17)))&gt;0)</f>
        <v>0</v>
      </c>
      <c r="N17" s="14" cm="1">
        <f t="array" ref="N17">INT(SUMPRODUCT(--ISNUMBER(SEARCH(covid,C17)))&gt;0)</f>
        <v>0</v>
      </c>
      <c r="O17" s="14" cm="1">
        <f t="array" ref="O17">INT(SUMPRODUCT(--ISNUMBER(SEARCH(violent,C17)))&gt;0)</f>
        <v>0</v>
      </c>
      <c r="P17" s="14" cm="1">
        <f t="array" ref="P17">INT(SUMPRODUCT(--ISNUMBER(SEARCH(foreign,C17)))&gt;0)</f>
        <v>0</v>
      </c>
      <c r="Q17" s="14" cm="1">
        <f t="array" ref="Q17">INT(SUMPRODUCT(--ISNUMBER(SEARCH(gun,C17)))&gt;0)</f>
        <v>0</v>
      </c>
      <c r="R17" s="14" cm="1">
        <f t="array" ref="R17">INT(SUMPRODUCT(--ISNUMBER(SEARCH(race,C17)))&gt;0)</f>
        <v>0</v>
      </c>
      <c r="S17" s="14" cm="1">
        <f t="array" ref="S17">INT(SUMPRODUCT(--ISNUMBER(SEARCH(immigration,C17)))&gt;0)</f>
        <v>0</v>
      </c>
      <c r="T17" s="14" cm="1">
        <f t="array" ref="T17">INT(SUMPRODUCT(--ISNUMBER(SEARCH(econineq,C18)))&gt;0)</f>
        <v>0</v>
      </c>
      <c r="U17" s="14" cm="1">
        <f t="array" ref="U17">INT(SUMPRODUCT(--ISNUMBER(SEARCH(climate,C17)))&gt;0)</f>
        <v>0</v>
      </c>
      <c r="V17" s="14" cm="1">
        <f t="array" ref="V17">INT(SUMPRODUCT(--ISNUMBER(SEARCH(abortion,C17)))&gt;0)</f>
        <v>0</v>
      </c>
      <c r="W17" s="14" cm="1">
        <f t="array" ref="W17">INT(SUMPRODUCT(--ISNUMBER(SEARCH(trump,C17)))&gt;0)</f>
        <v>0</v>
      </c>
      <c r="X17" s="14" cm="1">
        <f t="array" ref="X17">INT(SUMPRODUCT(--ISNUMBER(SEARCH(voting,C17)))&gt;0)</f>
        <v>0</v>
      </c>
      <c r="Y17" s="35" cm="1">
        <f t="array" ref="Y17">INT(SUMPRODUCT(--ISNUMBER(SEARCH(republicantrigger,C17)))&gt;0)</f>
        <v>0</v>
      </c>
      <c r="Z17" s="35" cm="1">
        <f t="array" ref="Z17">INT(SUMPRODUCT(--ISNUMBER(SEARCH(bipartisan,C17)))&gt;0)</f>
        <v>0</v>
      </c>
      <c r="AA17" s="35">
        <f t="shared" si="0"/>
        <v>1</v>
      </c>
      <c r="AB17" s="14"/>
      <c r="AC17" s="30">
        <v>1</v>
      </c>
      <c r="AD17" s="37">
        <v>0</v>
      </c>
    </row>
    <row r="18" spans="1:30" x14ac:dyDescent="0.25">
      <c r="A18" s="36">
        <v>4338</v>
      </c>
      <c r="B18" s="14" t="s">
        <v>8699</v>
      </c>
      <c r="C18" s="31" t="s">
        <v>8700</v>
      </c>
      <c r="D18" s="17">
        <v>44136</v>
      </c>
      <c r="E18" s="14" t="s">
        <v>30</v>
      </c>
      <c r="F18" s="14">
        <v>96</v>
      </c>
      <c r="G18" s="14">
        <v>31</v>
      </c>
      <c r="H18" s="14">
        <v>20</v>
      </c>
      <c r="I18" s="14">
        <v>10</v>
      </c>
      <c r="J18" s="14" t="s">
        <v>31</v>
      </c>
      <c r="K18" s="14" cm="1">
        <f t="array" ref="K18">INT(SUMPRODUCT(--ISNUMBER(SEARCH(economy,C18)))&gt;0)</f>
        <v>0</v>
      </c>
      <c r="L18" s="14" cm="1">
        <f t="array" ref="L18">INT(SUMPRODUCT(--ISNUMBER(SEARCH(healthcare,C18)))&gt;0)</f>
        <v>0</v>
      </c>
      <c r="M18" s="14" cm="1">
        <f t="array" ref="M18">INT(SUMPRODUCT(--ISNUMBER(SEARCH(supreme,C18)))&gt;0)</f>
        <v>0</v>
      </c>
      <c r="N18" s="14" cm="1">
        <f t="array" ref="N18">INT(SUMPRODUCT(--ISNUMBER(SEARCH(covid,C18)))&gt;0)</f>
        <v>0</v>
      </c>
      <c r="O18" s="14" cm="1">
        <f t="array" ref="O18">INT(SUMPRODUCT(--ISNUMBER(SEARCH(violent,C18)))&gt;0)</f>
        <v>0</v>
      </c>
      <c r="P18" s="14" cm="1">
        <f t="array" ref="P18">INT(SUMPRODUCT(--ISNUMBER(SEARCH(foreign,C18)))&gt;0)</f>
        <v>0</v>
      </c>
      <c r="Q18" s="14" cm="1">
        <f t="array" ref="Q18">INT(SUMPRODUCT(--ISNUMBER(SEARCH(gun,C18)))&gt;0)</f>
        <v>0</v>
      </c>
      <c r="R18" s="14" cm="1">
        <f t="array" ref="R18">INT(SUMPRODUCT(--ISNUMBER(SEARCH(race,C18)))&gt;0)</f>
        <v>0</v>
      </c>
      <c r="S18" s="14" cm="1">
        <f t="array" ref="S18">INT(SUMPRODUCT(--ISNUMBER(SEARCH(immigration,C18)))&gt;0)</f>
        <v>0</v>
      </c>
      <c r="T18" s="14" cm="1">
        <f t="array" ref="T18">INT(SUMPRODUCT(--ISNUMBER(SEARCH(econineq,C19)))&gt;0)</f>
        <v>0</v>
      </c>
      <c r="U18" s="14" cm="1">
        <f t="array" ref="U18">INT(SUMPRODUCT(--ISNUMBER(SEARCH(climate,C18)))&gt;0)</f>
        <v>0</v>
      </c>
      <c r="V18" s="14" cm="1">
        <f t="array" ref="V18">INT(SUMPRODUCT(--ISNUMBER(SEARCH(abortion,C18)))&gt;0)</f>
        <v>0</v>
      </c>
      <c r="W18" s="14" cm="1">
        <f t="array" ref="W18">INT(SUMPRODUCT(--ISNUMBER(SEARCH(trump,C18)))&gt;0)</f>
        <v>0</v>
      </c>
      <c r="X18" s="14" cm="1">
        <f t="array" ref="X18">INT(SUMPRODUCT(--ISNUMBER(SEARCH(voting,C18)))&gt;0)</f>
        <v>1</v>
      </c>
      <c r="Y18" s="35" cm="1">
        <f t="array" ref="Y18">INT(SUMPRODUCT(--ISNUMBER(SEARCH(republicantrigger,C18)))&gt;0)</f>
        <v>0</v>
      </c>
      <c r="Z18" s="35" cm="1">
        <f t="array" ref="Z18">INT(SUMPRODUCT(--ISNUMBER(SEARCH(bipartisan,C18)))&gt;0)</f>
        <v>0</v>
      </c>
      <c r="AA18" s="35">
        <f t="shared" si="0"/>
        <v>0</v>
      </c>
      <c r="AB18" s="14"/>
      <c r="AC18" s="30">
        <v>1</v>
      </c>
      <c r="AD18" s="37">
        <v>0</v>
      </c>
    </row>
    <row r="19" spans="1:30" x14ac:dyDescent="0.25">
      <c r="A19" s="36">
        <v>4339</v>
      </c>
      <c r="B19" s="14" t="s">
        <v>8701</v>
      </c>
      <c r="C19" s="31" t="s">
        <v>8702</v>
      </c>
      <c r="D19" s="17">
        <v>44136</v>
      </c>
      <c r="E19" s="14" t="s">
        <v>30</v>
      </c>
      <c r="F19" s="14">
        <v>39</v>
      </c>
      <c r="G19" s="14">
        <v>10</v>
      </c>
      <c r="H19" s="14">
        <v>20</v>
      </c>
      <c r="I19" s="14">
        <v>10</v>
      </c>
      <c r="J19" s="14" t="s">
        <v>31</v>
      </c>
      <c r="K19" s="14" cm="1">
        <f t="array" ref="K19">INT(SUMPRODUCT(--ISNUMBER(SEARCH(economy,C19)))&gt;0)</f>
        <v>0</v>
      </c>
      <c r="L19" s="14" cm="1">
        <f t="array" ref="L19">INT(SUMPRODUCT(--ISNUMBER(SEARCH(healthcare,C19)))&gt;0)</f>
        <v>0</v>
      </c>
      <c r="M19" s="14" cm="1">
        <f t="array" ref="M19">INT(SUMPRODUCT(--ISNUMBER(SEARCH(supreme,C19)))&gt;0)</f>
        <v>0</v>
      </c>
      <c r="N19" s="14" cm="1">
        <f t="array" ref="N19">INT(SUMPRODUCT(--ISNUMBER(SEARCH(covid,C19)))&gt;0)</f>
        <v>0</v>
      </c>
      <c r="O19" s="14" cm="1">
        <f t="array" ref="O19">INT(SUMPRODUCT(--ISNUMBER(SEARCH(violent,C19)))&gt;0)</f>
        <v>0</v>
      </c>
      <c r="P19" s="14" cm="1">
        <f t="array" ref="P19">INT(SUMPRODUCT(--ISNUMBER(SEARCH(foreign,C19)))&gt;0)</f>
        <v>0</v>
      </c>
      <c r="Q19" s="14" cm="1">
        <f t="array" ref="Q19">INT(SUMPRODUCT(--ISNUMBER(SEARCH(gun,C19)))&gt;0)</f>
        <v>0</v>
      </c>
      <c r="R19" s="14" cm="1">
        <f t="array" ref="R19">INT(SUMPRODUCT(--ISNUMBER(SEARCH(race,C19)))&gt;0)</f>
        <v>0</v>
      </c>
      <c r="S19" s="14" cm="1">
        <f t="array" ref="S19">INT(SUMPRODUCT(--ISNUMBER(SEARCH(immigration,C19)))&gt;0)</f>
        <v>0</v>
      </c>
      <c r="T19" s="14" cm="1">
        <f t="array" ref="T19">INT(SUMPRODUCT(--ISNUMBER(SEARCH(econineq,C20)))&gt;0)</f>
        <v>0</v>
      </c>
      <c r="U19" s="14" cm="1">
        <f t="array" ref="U19">INT(SUMPRODUCT(--ISNUMBER(SEARCH(climate,C19)))&gt;0)</f>
        <v>0</v>
      </c>
      <c r="V19" s="14" cm="1">
        <f t="array" ref="V19">INT(SUMPRODUCT(--ISNUMBER(SEARCH(abortion,C19)))&gt;0)</f>
        <v>0</v>
      </c>
      <c r="W19" s="14" cm="1">
        <f t="array" ref="W19">INT(SUMPRODUCT(--ISNUMBER(SEARCH(trump,C19)))&gt;0)</f>
        <v>0</v>
      </c>
      <c r="X19" s="14" cm="1">
        <f t="array" ref="X19">INT(SUMPRODUCT(--ISNUMBER(SEARCH(voting,C19)))&gt;0)</f>
        <v>0</v>
      </c>
      <c r="Y19" s="35" cm="1">
        <f t="array" ref="Y19">INT(SUMPRODUCT(--ISNUMBER(SEARCH(republicantrigger,C19)))&gt;0)</f>
        <v>1</v>
      </c>
      <c r="Z19" s="35" cm="1">
        <f t="array" ref="Z19">INT(SUMPRODUCT(--ISNUMBER(SEARCH(bipartisan,C19)))&gt;0)</f>
        <v>0</v>
      </c>
      <c r="AA19" s="35">
        <f t="shared" si="0"/>
        <v>0</v>
      </c>
      <c r="AB19" s="14"/>
      <c r="AC19" s="30" t="s">
        <v>223</v>
      </c>
      <c r="AD19" s="37" t="s">
        <v>223</v>
      </c>
    </row>
    <row r="20" spans="1:30" x14ac:dyDescent="0.25">
      <c r="A20" s="36">
        <v>4340</v>
      </c>
      <c r="B20" s="14" t="s">
        <v>8703</v>
      </c>
      <c r="C20" s="31" t="s">
        <v>8704</v>
      </c>
      <c r="D20" s="17">
        <v>44136</v>
      </c>
      <c r="E20" s="14" t="s">
        <v>30</v>
      </c>
      <c r="F20" s="14">
        <v>89</v>
      </c>
      <c r="G20" s="14">
        <v>22</v>
      </c>
      <c r="H20" s="14">
        <v>20</v>
      </c>
      <c r="I20" s="14">
        <v>10</v>
      </c>
      <c r="J20" s="14" t="s">
        <v>31</v>
      </c>
      <c r="K20" s="14" cm="1">
        <f t="array" ref="K20">INT(SUMPRODUCT(--ISNUMBER(SEARCH(economy,C20)))&gt;0)</f>
        <v>0</v>
      </c>
      <c r="L20" s="14" cm="1">
        <f t="array" ref="L20">INT(SUMPRODUCT(--ISNUMBER(SEARCH(healthcare,C20)))&gt;0)</f>
        <v>0</v>
      </c>
      <c r="M20" s="14" cm="1">
        <f t="array" ref="M20">INT(SUMPRODUCT(--ISNUMBER(SEARCH(supreme,C20)))&gt;0)</f>
        <v>0</v>
      </c>
      <c r="N20" s="14" cm="1">
        <f t="array" ref="N20">INT(SUMPRODUCT(--ISNUMBER(SEARCH(covid,C20)))&gt;0)</f>
        <v>0</v>
      </c>
      <c r="O20" s="14" cm="1">
        <f t="array" ref="O20">INT(SUMPRODUCT(--ISNUMBER(SEARCH(violent,C20)))&gt;0)</f>
        <v>0</v>
      </c>
      <c r="P20" s="14" cm="1">
        <f t="array" ref="P20">INT(SUMPRODUCT(--ISNUMBER(SEARCH(foreign,C20)))&gt;0)</f>
        <v>0</v>
      </c>
      <c r="Q20" s="14" cm="1">
        <f t="array" ref="Q20">INT(SUMPRODUCT(--ISNUMBER(SEARCH(gun,C20)))&gt;0)</f>
        <v>0</v>
      </c>
      <c r="R20" s="14" cm="1">
        <f t="array" ref="R20">INT(SUMPRODUCT(--ISNUMBER(SEARCH(race,C20)))&gt;0)</f>
        <v>0</v>
      </c>
      <c r="S20" s="14" cm="1">
        <f t="array" ref="S20">INT(SUMPRODUCT(--ISNUMBER(SEARCH(immigration,C20)))&gt;0)</f>
        <v>0</v>
      </c>
      <c r="T20" s="14" cm="1">
        <f t="array" ref="T20">INT(SUMPRODUCT(--ISNUMBER(SEARCH(econineq,C21)))&gt;0)</f>
        <v>0</v>
      </c>
      <c r="U20" s="14" cm="1">
        <f t="array" ref="U20">INT(SUMPRODUCT(--ISNUMBER(SEARCH(climate,C20)))&gt;0)</f>
        <v>0</v>
      </c>
      <c r="V20" s="14" cm="1">
        <f t="array" ref="V20">INT(SUMPRODUCT(--ISNUMBER(SEARCH(abortion,C20)))&gt;0)</f>
        <v>0</v>
      </c>
      <c r="W20" s="14" cm="1">
        <f t="array" ref="W20">INT(SUMPRODUCT(--ISNUMBER(SEARCH(trump,C20)))&gt;0)</f>
        <v>0</v>
      </c>
      <c r="X20" s="14" cm="1">
        <f t="array" ref="X20">INT(SUMPRODUCT(--ISNUMBER(SEARCH(voting,C20)))&gt;0)</f>
        <v>1</v>
      </c>
      <c r="Y20" s="35" cm="1">
        <f t="array" ref="Y20">INT(SUMPRODUCT(--ISNUMBER(SEARCH(republicantrigger,C20)))&gt;0)</f>
        <v>1</v>
      </c>
      <c r="Z20" s="35" cm="1">
        <f t="array" ref="Z20">INT(SUMPRODUCT(--ISNUMBER(SEARCH(bipartisan,C20)))&gt;0)</f>
        <v>0</v>
      </c>
      <c r="AA20" s="35">
        <f t="shared" si="0"/>
        <v>0</v>
      </c>
      <c r="AB20" s="14"/>
      <c r="AC20" s="30" t="s">
        <v>223</v>
      </c>
      <c r="AD20" s="37" t="s">
        <v>223</v>
      </c>
    </row>
    <row r="21" spans="1:30" x14ac:dyDescent="0.25">
      <c r="A21" s="36">
        <v>4341</v>
      </c>
      <c r="B21" s="14" t="s">
        <v>8705</v>
      </c>
      <c r="C21" s="31" t="s">
        <v>8706</v>
      </c>
      <c r="D21" s="17">
        <v>44135</v>
      </c>
      <c r="E21" s="14" t="s">
        <v>30</v>
      </c>
      <c r="F21" s="14">
        <v>1106</v>
      </c>
      <c r="G21" s="14">
        <v>287</v>
      </c>
      <c r="H21" s="14">
        <v>20</v>
      </c>
      <c r="I21" s="14">
        <v>10</v>
      </c>
      <c r="J21" s="14" t="s">
        <v>31</v>
      </c>
      <c r="K21" s="14" cm="1">
        <f t="array" ref="K21">INT(SUMPRODUCT(--ISNUMBER(SEARCH(economy,C21)))&gt;0)</f>
        <v>0</v>
      </c>
      <c r="L21" s="14" cm="1">
        <f t="array" ref="L21">INT(SUMPRODUCT(--ISNUMBER(SEARCH(healthcare,C21)))&gt;0)</f>
        <v>0</v>
      </c>
      <c r="M21" s="14" cm="1">
        <f t="array" ref="M21">INT(SUMPRODUCT(--ISNUMBER(SEARCH(supreme,C21)))&gt;0)</f>
        <v>0</v>
      </c>
      <c r="N21" s="14" cm="1">
        <f t="array" ref="N21">INT(SUMPRODUCT(--ISNUMBER(SEARCH(covid,C21)))&gt;0)</f>
        <v>0</v>
      </c>
      <c r="O21" s="14" cm="1">
        <f t="array" ref="O21">INT(SUMPRODUCT(--ISNUMBER(SEARCH(violent,C21)))&gt;0)</f>
        <v>0</v>
      </c>
      <c r="P21" s="14" cm="1">
        <f t="array" ref="P21">INT(SUMPRODUCT(--ISNUMBER(SEARCH(foreign,C21)))&gt;0)</f>
        <v>0</v>
      </c>
      <c r="Q21" s="14" cm="1">
        <f t="array" ref="Q21">INT(SUMPRODUCT(--ISNUMBER(SEARCH(gun,C21)))&gt;0)</f>
        <v>1</v>
      </c>
      <c r="R21" s="14" cm="1">
        <f t="array" ref="R21">INT(SUMPRODUCT(--ISNUMBER(SEARCH(race,C21)))&gt;0)</f>
        <v>0</v>
      </c>
      <c r="S21" s="14" cm="1">
        <f t="array" ref="S21">INT(SUMPRODUCT(--ISNUMBER(SEARCH(immigration,C21)))&gt;0)</f>
        <v>0</v>
      </c>
      <c r="T21" s="14" cm="1">
        <f t="array" ref="T21">INT(SUMPRODUCT(--ISNUMBER(SEARCH(econineq,C22)))&gt;0)</f>
        <v>0</v>
      </c>
      <c r="U21" s="14" cm="1">
        <f t="array" ref="U21">INT(SUMPRODUCT(--ISNUMBER(SEARCH(climate,C21)))&gt;0)</f>
        <v>0</v>
      </c>
      <c r="V21" s="14" cm="1">
        <f t="array" ref="V21">INT(SUMPRODUCT(--ISNUMBER(SEARCH(abortion,C21)))&gt;0)</f>
        <v>0</v>
      </c>
      <c r="W21" s="14" cm="1">
        <f t="array" ref="W21">INT(SUMPRODUCT(--ISNUMBER(SEARCH(trump,C21)))&gt;0)</f>
        <v>0</v>
      </c>
      <c r="X21" s="14" cm="1">
        <f t="array" ref="X21">INT(SUMPRODUCT(--ISNUMBER(SEARCH(voting,C21)))&gt;0)</f>
        <v>1</v>
      </c>
      <c r="Y21" s="35" cm="1">
        <f t="array" ref="Y21">INT(SUMPRODUCT(--ISNUMBER(SEARCH(republicantrigger,C21)))&gt;0)</f>
        <v>1</v>
      </c>
      <c r="Z21" s="35" cm="1">
        <f t="array" ref="Z21">INT(SUMPRODUCT(--ISNUMBER(SEARCH(bipartisan,C21)))&gt;0)</f>
        <v>0</v>
      </c>
      <c r="AA21" s="35">
        <f t="shared" si="0"/>
        <v>0</v>
      </c>
      <c r="AB21" s="14"/>
      <c r="AC21" s="30">
        <v>0</v>
      </c>
      <c r="AD21" s="37">
        <v>1</v>
      </c>
    </row>
    <row r="22" spans="1:30" x14ac:dyDescent="0.25">
      <c r="A22" s="36">
        <v>4342</v>
      </c>
      <c r="B22" s="14" t="s">
        <v>8707</v>
      </c>
      <c r="C22" s="31" t="s">
        <v>8708</v>
      </c>
      <c r="D22" s="17">
        <v>44135</v>
      </c>
      <c r="E22" s="14" t="s">
        <v>70</v>
      </c>
      <c r="F22" s="14">
        <v>56</v>
      </c>
      <c r="G22" s="14">
        <v>18</v>
      </c>
      <c r="H22" s="14">
        <v>20</v>
      </c>
      <c r="I22" s="14">
        <v>10</v>
      </c>
      <c r="J22" s="14" t="s">
        <v>31</v>
      </c>
      <c r="K22" s="14" cm="1">
        <f t="array" ref="K22">INT(SUMPRODUCT(--ISNUMBER(SEARCH(economy,C22)))&gt;0)</f>
        <v>0</v>
      </c>
      <c r="L22" s="14" cm="1">
        <f t="array" ref="L22">INT(SUMPRODUCT(--ISNUMBER(SEARCH(healthcare,C22)))&gt;0)</f>
        <v>0</v>
      </c>
      <c r="M22" s="14" cm="1">
        <f t="array" ref="M22">INT(SUMPRODUCT(--ISNUMBER(SEARCH(supreme,C22)))&gt;0)</f>
        <v>0</v>
      </c>
      <c r="N22" s="14" cm="1">
        <f t="array" ref="N22">INT(SUMPRODUCT(--ISNUMBER(SEARCH(covid,C22)))&gt;0)</f>
        <v>0</v>
      </c>
      <c r="O22" s="14" cm="1">
        <f t="array" ref="O22">INT(SUMPRODUCT(--ISNUMBER(SEARCH(violent,C22)))&gt;0)</f>
        <v>0</v>
      </c>
      <c r="P22" s="14" cm="1">
        <f t="array" ref="P22">INT(SUMPRODUCT(--ISNUMBER(SEARCH(foreign,C22)))&gt;0)</f>
        <v>0</v>
      </c>
      <c r="Q22" s="14" cm="1">
        <f t="array" ref="Q22">INT(SUMPRODUCT(--ISNUMBER(SEARCH(gun,C22)))&gt;0)</f>
        <v>0</v>
      </c>
      <c r="R22" s="14" cm="1">
        <f t="array" ref="R22">INT(SUMPRODUCT(--ISNUMBER(SEARCH(race,C22)))&gt;0)</f>
        <v>0</v>
      </c>
      <c r="S22" s="14" cm="1">
        <f t="array" ref="S22">INT(SUMPRODUCT(--ISNUMBER(SEARCH(immigration,C22)))&gt;0)</f>
        <v>0</v>
      </c>
      <c r="T22" s="14" cm="1">
        <f t="array" ref="T22">INT(SUMPRODUCT(--ISNUMBER(SEARCH(econineq,C23)))&gt;0)</f>
        <v>0</v>
      </c>
      <c r="U22" s="14" cm="1">
        <f t="array" ref="U22">INT(SUMPRODUCT(--ISNUMBER(SEARCH(climate,C22)))&gt;0)</f>
        <v>0</v>
      </c>
      <c r="V22" s="14" cm="1">
        <f t="array" ref="V22">INT(SUMPRODUCT(--ISNUMBER(SEARCH(abortion,C22)))&gt;0)</f>
        <v>0</v>
      </c>
      <c r="W22" s="14" cm="1">
        <f t="array" ref="W22">INT(SUMPRODUCT(--ISNUMBER(SEARCH(trump,C22)))&gt;0)</f>
        <v>0</v>
      </c>
      <c r="X22" s="14" cm="1">
        <f t="array" ref="X22">INT(SUMPRODUCT(--ISNUMBER(SEARCH(voting,C22)))&gt;0)</f>
        <v>0</v>
      </c>
      <c r="Y22" s="35" cm="1">
        <f t="array" ref="Y22">INT(SUMPRODUCT(--ISNUMBER(SEARCH(republicantrigger,C22)))&gt;0)</f>
        <v>1</v>
      </c>
      <c r="Z22" s="35" cm="1">
        <f t="array" ref="Z22">INT(SUMPRODUCT(--ISNUMBER(SEARCH(bipartisan,C22)))&gt;0)</f>
        <v>0</v>
      </c>
      <c r="AA22" s="35">
        <f t="shared" si="0"/>
        <v>0</v>
      </c>
      <c r="AB22" s="14"/>
      <c r="AC22" s="30" t="s">
        <v>223</v>
      </c>
      <c r="AD22" s="37" t="s">
        <v>223</v>
      </c>
    </row>
    <row r="23" spans="1:30" x14ac:dyDescent="0.25">
      <c r="A23" s="36">
        <v>4343</v>
      </c>
      <c r="B23" s="14" t="s">
        <v>8709</v>
      </c>
      <c r="C23" s="31" t="s">
        <v>8710</v>
      </c>
      <c r="D23" s="17">
        <v>44135</v>
      </c>
      <c r="E23" s="14" t="s">
        <v>30</v>
      </c>
      <c r="F23" s="14">
        <v>67</v>
      </c>
      <c r="G23" s="14">
        <v>17</v>
      </c>
      <c r="H23" s="14">
        <v>20</v>
      </c>
      <c r="I23" s="14">
        <v>10</v>
      </c>
      <c r="J23" s="14" t="s">
        <v>31</v>
      </c>
      <c r="K23" s="14" cm="1">
        <f t="array" ref="K23">INT(SUMPRODUCT(--ISNUMBER(SEARCH(economy,C23)))&gt;0)</f>
        <v>0</v>
      </c>
      <c r="L23" s="14" cm="1">
        <f t="array" ref="L23">INT(SUMPRODUCT(--ISNUMBER(SEARCH(healthcare,C23)))&gt;0)</f>
        <v>1</v>
      </c>
      <c r="M23" s="14" cm="1">
        <f t="array" ref="M23">INT(SUMPRODUCT(--ISNUMBER(SEARCH(supreme,C23)))&gt;0)</f>
        <v>0</v>
      </c>
      <c r="N23" s="14" cm="1">
        <f t="array" ref="N23">INT(SUMPRODUCT(--ISNUMBER(SEARCH(covid,C23)))&gt;0)</f>
        <v>0</v>
      </c>
      <c r="O23" s="14" cm="1">
        <f t="array" ref="O23">INT(SUMPRODUCT(--ISNUMBER(SEARCH(violent,C23)))&gt;0)</f>
        <v>0</v>
      </c>
      <c r="P23" s="14" cm="1">
        <f t="array" ref="P23">INT(SUMPRODUCT(--ISNUMBER(SEARCH(foreign,C23)))&gt;0)</f>
        <v>0</v>
      </c>
      <c r="Q23" s="14" cm="1">
        <f t="array" ref="Q23">INT(SUMPRODUCT(--ISNUMBER(SEARCH(gun,C23)))&gt;0)</f>
        <v>0</v>
      </c>
      <c r="R23" s="14" cm="1">
        <f t="array" ref="R23">INT(SUMPRODUCT(--ISNUMBER(SEARCH(race,C23)))&gt;0)</f>
        <v>0</v>
      </c>
      <c r="S23" s="14" cm="1">
        <f t="array" ref="S23">INT(SUMPRODUCT(--ISNUMBER(SEARCH(immigration,C23)))&gt;0)</f>
        <v>0</v>
      </c>
      <c r="T23" s="14" cm="1">
        <f t="array" ref="T23">INT(SUMPRODUCT(--ISNUMBER(SEARCH(econineq,C24)))&gt;0)</f>
        <v>0</v>
      </c>
      <c r="U23" s="14" cm="1">
        <f t="array" ref="U23">INT(SUMPRODUCT(--ISNUMBER(SEARCH(climate,C23)))&gt;0)</f>
        <v>0</v>
      </c>
      <c r="V23" s="14" cm="1">
        <f t="array" ref="V23">INT(SUMPRODUCT(--ISNUMBER(SEARCH(abortion,C23)))&gt;0)</f>
        <v>0</v>
      </c>
      <c r="W23" s="14" cm="1">
        <f t="array" ref="W23">INT(SUMPRODUCT(--ISNUMBER(SEARCH(trump,C23)))&gt;0)</f>
        <v>0</v>
      </c>
      <c r="X23" s="14" cm="1">
        <f t="array" ref="X23">INT(SUMPRODUCT(--ISNUMBER(SEARCH(voting,C23)))&gt;0)</f>
        <v>0</v>
      </c>
      <c r="Y23" s="35" cm="1">
        <f t="array" ref="Y23">INT(SUMPRODUCT(--ISNUMBER(SEARCH(republicantrigger,C23)))&gt;0)</f>
        <v>0</v>
      </c>
      <c r="Z23" s="35" cm="1">
        <f t="array" ref="Z23">INT(SUMPRODUCT(--ISNUMBER(SEARCH(bipartisan,C23)))&gt;0)</f>
        <v>0</v>
      </c>
      <c r="AA23" s="35">
        <f t="shared" si="0"/>
        <v>0</v>
      </c>
      <c r="AB23" s="14"/>
      <c r="AC23" s="30" t="s">
        <v>223</v>
      </c>
      <c r="AD23" s="37" t="s">
        <v>223</v>
      </c>
    </row>
    <row r="24" spans="1:30" x14ac:dyDescent="0.25">
      <c r="A24" s="36">
        <v>4344</v>
      </c>
      <c r="B24" s="14" t="s">
        <v>8711</v>
      </c>
      <c r="C24" s="31" t="s">
        <v>8712</v>
      </c>
      <c r="D24" s="17">
        <v>44134</v>
      </c>
      <c r="E24" s="14" t="s">
        <v>30</v>
      </c>
      <c r="F24" s="14">
        <v>392</v>
      </c>
      <c r="G24" s="14">
        <v>128</v>
      </c>
      <c r="H24" s="14">
        <v>20</v>
      </c>
      <c r="I24" s="14">
        <v>10</v>
      </c>
      <c r="J24" s="14" t="s">
        <v>31</v>
      </c>
      <c r="K24" s="14" cm="1">
        <f t="array" ref="K24">INT(SUMPRODUCT(--ISNUMBER(SEARCH(economy,C24)))&gt;0)</f>
        <v>0</v>
      </c>
      <c r="L24" s="14" cm="1">
        <f t="array" ref="L24">INT(SUMPRODUCT(--ISNUMBER(SEARCH(healthcare,C24)))&gt;0)</f>
        <v>0</v>
      </c>
      <c r="M24" s="14" cm="1">
        <f t="array" ref="M24">INT(SUMPRODUCT(--ISNUMBER(SEARCH(supreme,C24)))&gt;0)</f>
        <v>0</v>
      </c>
      <c r="N24" s="14" cm="1">
        <f t="array" ref="N24">INT(SUMPRODUCT(--ISNUMBER(SEARCH(covid,C24)))&gt;0)</f>
        <v>0</v>
      </c>
      <c r="O24" s="14" cm="1">
        <f t="array" ref="O24">INT(SUMPRODUCT(--ISNUMBER(SEARCH(violent,C24)))&gt;0)</f>
        <v>0</v>
      </c>
      <c r="P24" s="14" cm="1">
        <f t="array" ref="P24">INT(SUMPRODUCT(--ISNUMBER(SEARCH(foreign,C24)))&gt;0)</f>
        <v>0</v>
      </c>
      <c r="Q24" s="14" cm="1">
        <f t="array" ref="Q24">INT(SUMPRODUCT(--ISNUMBER(SEARCH(gun,C24)))&gt;0)</f>
        <v>0</v>
      </c>
      <c r="R24" s="14" cm="1">
        <f t="array" ref="R24">INT(SUMPRODUCT(--ISNUMBER(SEARCH(race,C24)))&gt;0)</f>
        <v>0</v>
      </c>
      <c r="S24" s="14" cm="1">
        <f t="array" ref="S24">INT(SUMPRODUCT(--ISNUMBER(SEARCH(immigration,C24)))&gt;0)</f>
        <v>0</v>
      </c>
      <c r="T24" s="14" cm="1">
        <f t="array" ref="T24">INT(SUMPRODUCT(--ISNUMBER(SEARCH(econineq,C25)))&gt;0)</f>
        <v>0</v>
      </c>
      <c r="U24" s="14" cm="1">
        <f t="array" ref="U24">INT(SUMPRODUCT(--ISNUMBER(SEARCH(climate,C24)))&gt;0)</f>
        <v>0</v>
      </c>
      <c r="V24" s="14" cm="1">
        <f t="array" ref="V24">INT(SUMPRODUCT(--ISNUMBER(SEARCH(abortion,C24)))&gt;0)</f>
        <v>0</v>
      </c>
      <c r="W24" s="14" cm="1">
        <f t="array" ref="W24">INT(SUMPRODUCT(--ISNUMBER(SEARCH(trump,C24)))&gt;0)</f>
        <v>0</v>
      </c>
      <c r="X24" s="14" cm="1">
        <f t="array" ref="X24">INT(SUMPRODUCT(--ISNUMBER(SEARCH(voting,C24)))&gt;0)</f>
        <v>1</v>
      </c>
      <c r="Y24" s="35" cm="1">
        <f t="array" ref="Y24">INT(SUMPRODUCT(--ISNUMBER(SEARCH(republicantrigger,C24)))&gt;0)</f>
        <v>1</v>
      </c>
      <c r="Z24" s="35" cm="1">
        <f t="array" ref="Z24">INT(SUMPRODUCT(--ISNUMBER(SEARCH(bipartisan,C24)))&gt;0)</f>
        <v>0</v>
      </c>
      <c r="AA24" s="35">
        <f t="shared" si="0"/>
        <v>0</v>
      </c>
      <c r="AB24" s="14"/>
      <c r="AC24" s="30">
        <v>1</v>
      </c>
      <c r="AD24" s="37">
        <v>0</v>
      </c>
    </row>
    <row r="25" spans="1:30" x14ac:dyDescent="0.25">
      <c r="A25" s="36">
        <v>4345</v>
      </c>
      <c r="B25" s="14" t="s">
        <v>8713</v>
      </c>
      <c r="C25" s="31" t="s">
        <v>8714</v>
      </c>
      <c r="D25" s="17">
        <v>44134</v>
      </c>
      <c r="E25" s="14" t="s">
        <v>30</v>
      </c>
      <c r="F25" s="14">
        <v>219</v>
      </c>
      <c r="G25" s="14">
        <v>46</v>
      </c>
      <c r="H25" s="14">
        <v>20</v>
      </c>
      <c r="I25" s="14">
        <v>10</v>
      </c>
      <c r="J25" s="14" t="s">
        <v>31</v>
      </c>
      <c r="K25" s="14" cm="1">
        <f t="array" ref="K25">INT(SUMPRODUCT(--ISNUMBER(SEARCH(economy,C25)))&gt;0)</f>
        <v>0</v>
      </c>
      <c r="L25" s="14" cm="1">
        <f t="array" ref="L25">INT(SUMPRODUCT(--ISNUMBER(SEARCH(healthcare,C25)))&gt;0)</f>
        <v>0</v>
      </c>
      <c r="M25" s="14" cm="1">
        <f t="array" ref="M25">INT(SUMPRODUCT(--ISNUMBER(SEARCH(supreme,C25)))&gt;0)</f>
        <v>0</v>
      </c>
      <c r="N25" s="14" cm="1">
        <f t="array" ref="N25">INT(SUMPRODUCT(--ISNUMBER(SEARCH(covid,C25)))&gt;0)</f>
        <v>0</v>
      </c>
      <c r="O25" s="14" cm="1">
        <f t="array" ref="O25">INT(SUMPRODUCT(--ISNUMBER(SEARCH(violent,C25)))&gt;0)</f>
        <v>0</v>
      </c>
      <c r="P25" s="14" cm="1">
        <f t="array" ref="P25">INT(SUMPRODUCT(--ISNUMBER(SEARCH(foreign,C25)))&gt;0)</f>
        <v>0</v>
      </c>
      <c r="Q25" s="14" cm="1">
        <f t="array" ref="Q25">INT(SUMPRODUCT(--ISNUMBER(SEARCH(gun,C25)))&gt;0)</f>
        <v>0</v>
      </c>
      <c r="R25" s="14" cm="1">
        <f t="array" ref="R25">INT(SUMPRODUCT(--ISNUMBER(SEARCH(race,C25)))&gt;0)</f>
        <v>0</v>
      </c>
      <c r="S25" s="14" cm="1">
        <f t="array" ref="S25">INT(SUMPRODUCT(--ISNUMBER(SEARCH(immigration,C25)))&gt;0)</f>
        <v>0</v>
      </c>
      <c r="T25" s="14" cm="1">
        <f t="array" ref="T25">INT(SUMPRODUCT(--ISNUMBER(SEARCH(econineq,C26)))&gt;0)</f>
        <v>0</v>
      </c>
      <c r="U25" s="14" cm="1">
        <f t="array" ref="U25">INT(SUMPRODUCT(--ISNUMBER(SEARCH(climate,C25)))&gt;0)</f>
        <v>0</v>
      </c>
      <c r="V25" s="14" cm="1">
        <f t="array" ref="V25">INT(SUMPRODUCT(--ISNUMBER(SEARCH(abortion,C25)))&gt;0)</f>
        <v>0</v>
      </c>
      <c r="W25" s="14" cm="1">
        <f t="array" ref="W25">INT(SUMPRODUCT(--ISNUMBER(SEARCH(trump,C25)))&gt;0)</f>
        <v>0</v>
      </c>
      <c r="X25" s="14" cm="1">
        <f t="array" ref="X25">INT(SUMPRODUCT(--ISNUMBER(SEARCH(voting,C25)))&gt;0)</f>
        <v>1</v>
      </c>
      <c r="Y25" s="35" cm="1">
        <f t="array" ref="Y25">INT(SUMPRODUCT(--ISNUMBER(SEARCH(republicantrigger,C25)))&gt;0)</f>
        <v>0</v>
      </c>
      <c r="Z25" s="35" cm="1">
        <f t="array" ref="Z25">INT(SUMPRODUCT(--ISNUMBER(SEARCH(bipartisan,C25)))&gt;0)</f>
        <v>0</v>
      </c>
      <c r="AA25" s="35">
        <f t="shared" si="0"/>
        <v>0</v>
      </c>
      <c r="AB25" s="14"/>
      <c r="AC25" s="30" t="s">
        <v>223</v>
      </c>
      <c r="AD25" s="37" t="s">
        <v>223</v>
      </c>
    </row>
    <row r="26" spans="1:30" x14ac:dyDescent="0.25">
      <c r="A26" s="36">
        <v>4346</v>
      </c>
      <c r="B26" s="14" t="s">
        <v>8715</v>
      </c>
      <c r="C26" s="31" t="s">
        <v>8716</v>
      </c>
      <c r="D26" s="17">
        <v>44134</v>
      </c>
      <c r="E26" s="14" t="s">
        <v>30</v>
      </c>
      <c r="F26" s="14">
        <v>74</v>
      </c>
      <c r="G26" s="14">
        <v>31</v>
      </c>
      <c r="H26" s="14">
        <v>20</v>
      </c>
      <c r="I26" s="14">
        <v>10</v>
      </c>
      <c r="J26" s="14" t="s">
        <v>31</v>
      </c>
      <c r="K26" s="14" cm="1">
        <f t="array" ref="K26">INT(SUMPRODUCT(--ISNUMBER(SEARCH(economy,C26)))&gt;0)</f>
        <v>0</v>
      </c>
      <c r="L26" s="14" cm="1">
        <f t="array" ref="L26">INT(SUMPRODUCT(--ISNUMBER(SEARCH(healthcare,C26)))&gt;0)</f>
        <v>0</v>
      </c>
      <c r="M26" s="14" cm="1">
        <f t="array" ref="M26">INT(SUMPRODUCT(--ISNUMBER(SEARCH(supreme,C26)))&gt;0)</f>
        <v>0</v>
      </c>
      <c r="N26" s="14" cm="1">
        <f t="array" ref="N26">INT(SUMPRODUCT(--ISNUMBER(SEARCH(covid,C26)))&gt;0)</f>
        <v>0</v>
      </c>
      <c r="O26" s="14" cm="1">
        <f t="array" ref="O26">INT(SUMPRODUCT(--ISNUMBER(SEARCH(violent,C26)))&gt;0)</f>
        <v>0</v>
      </c>
      <c r="P26" s="14" cm="1">
        <f t="array" ref="P26">INT(SUMPRODUCT(--ISNUMBER(SEARCH(foreign,C26)))&gt;0)</f>
        <v>0</v>
      </c>
      <c r="Q26" s="14" cm="1">
        <f t="array" ref="Q26">INT(SUMPRODUCT(--ISNUMBER(SEARCH(gun,C26)))&gt;0)</f>
        <v>0</v>
      </c>
      <c r="R26" s="14" cm="1">
        <f t="array" ref="R26">INT(SUMPRODUCT(--ISNUMBER(SEARCH(race,C26)))&gt;0)</f>
        <v>0</v>
      </c>
      <c r="S26" s="14" cm="1">
        <f t="array" ref="S26">INT(SUMPRODUCT(--ISNUMBER(SEARCH(immigration,C26)))&gt;0)</f>
        <v>0</v>
      </c>
      <c r="T26" s="14" cm="1">
        <f t="array" ref="T26">INT(SUMPRODUCT(--ISNUMBER(SEARCH(econineq,C27)))&gt;0)</f>
        <v>0</v>
      </c>
      <c r="U26" s="14" cm="1">
        <f t="array" ref="U26">INT(SUMPRODUCT(--ISNUMBER(SEARCH(climate,C26)))&gt;0)</f>
        <v>0</v>
      </c>
      <c r="V26" s="14" cm="1">
        <f t="array" ref="V26">INT(SUMPRODUCT(--ISNUMBER(SEARCH(abortion,C26)))&gt;0)</f>
        <v>0</v>
      </c>
      <c r="W26" s="14" cm="1">
        <f t="array" ref="W26">INT(SUMPRODUCT(--ISNUMBER(SEARCH(trump,C26)))&gt;0)</f>
        <v>0</v>
      </c>
      <c r="X26" s="14" cm="1">
        <f t="array" ref="X26">INT(SUMPRODUCT(--ISNUMBER(SEARCH(voting,C26)))&gt;0)</f>
        <v>1</v>
      </c>
      <c r="Y26" s="35" cm="1">
        <f t="array" ref="Y26">INT(SUMPRODUCT(--ISNUMBER(SEARCH(republicantrigger,C26)))&gt;0)</f>
        <v>0</v>
      </c>
      <c r="Z26" s="35" cm="1">
        <f t="array" ref="Z26">INT(SUMPRODUCT(--ISNUMBER(SEARCH(bipartisan,C26)))&gt;0)</f>
        <v>0</v>
      </c>
      <c r="AA26" s="35">
        <f t="shared" si="0"/>
        <v>0</v>
      </c>
      <c r="AB26" s="14"/>
      <c r="AC26" s="30">
        <v>1</v>
      </c>
      <c r="AD26" s="37">
        <v>0</v>
      </c>
    </row>
    <row r="27" spans="1:30" x14ac:dyDescent="0.25">
      <c r="A27" s="36">
        <v>4347</v>
      </c>
      <c r="B27" s="14" t="s">
        <v>8717</v>
      </c>
      <c r="C27" s="31" t="s">
        <v>8718</v>
      </c>
      <c r="D27" s="17">
        <v>44134</v>
      </c>
      <c r="E27" s="14" t="s">
        <v>30</v>
      </c>
      <c r="F27" s="14">
        <v>641</v>
      </c>
      <c r="G27" s="14">
        <v>184</v>
      </c>
      <c r="H27" s="14">
        <v>20</v>
      </c>
      <c r="I27" s="14">
        <v>10</v>
      </c>
      <c r="J27" s="14" t="s">
        <v>31</v>
      </c>
      <c r="K27" s="14" cm="1">
        <f t="array" ref="K27">INT(SUMPRODUCT(--ISNUMBER(SEARCH(economy,C27)))&gt;0)</f>
        <v>0</v>
      </c>
      <c r="L27" s="14" cm="1">
        <f t="array" ref="L27">INT(SUMPRODUCT(--ISNUMBER(SEARCH(healthcare,C27)))&gt;0)</f>
        <v>1</v>
      </c>
      <c r="M27" s="14" cm="1">
        <f t="array" ref="M27">INT(SUMPRODUCT(--ISNUMBER(SEARCH(supreme,C27)))&gt;0)</f>
        <v>0</v>
      </c>
      <c r="N27" s="14" cm="1">
        <f t="array" ref="N27">INT(SUMPRODUCT(--ISNUMBER(SEARCH(covid,C27)))&gt;0)</f>
        <v>0</v>
      </c>
      <c r="O27" s="14" cm="1">
        <f t="array" ref="O27">INT(SUMPRODUCT(--ISNUMBER(SEARCH(violent,C27)))&gt;0)</f>
        <v>0</v>
      </c>
      <c r="P27" s="14" cm="1">
        <f t="array" ref="P27">INT(SUMPRODUCT(--ISNUMBER(SEARCH(foreign,C27)))&gt;0)</f>
        <v>0</v>
      </c>
      <c r="Q27" s="14" cm="1">
        <f t="array" ref="Q27">INT(SUMPRODUCT(--ISNUMBER(SEARCH(gun,C27)))&gt;0)</f>
        <v>0</v>
      </c>
      <c r="R27" s="14" cm="1">
        <f t="array" ref="R27">INT(SUMPRODUCT(--ISNUMBER(SEARCH(race,C27)))&gt;0)</f>
        <v>0</v>
      </c>
      <c r="S27" s="14" cm="1">
        <f t="array" ref="S27">INT(SUMPRODUCT(--ISNUMBER(SEARCH(immigration,C27)))&gt;0)</f>
        <v>0</v>
      </c>
      <c r="T27" s="14" cm="1">
        <f t="array" ref="T27">INT(SUMPRODUCT(--ISNUMBER(SEARCH(econineq,C28)))&gt;0)</f>
        <v>0</v>
      </c>
      <c r="U27" s="14" cm="1">
        <f t="array" ref="U27">INT(SUMPRODUCT(--ISNUMBER(SEARCH(climate,C27)))&gt;0)</f>
        <v>0</v>
      </c>
      <c r="V27" s="14" cm="1">
        <f t="array" ref="V27">INT(SUMPRODUCT(--ISNUMBER(SEARCH(abortion,C27)))&gt;0)</f>
        <v>0</v>
      </c>
      <c r="W27" s="14" cm="1">
        <f t="array" ref="W27">INT(SUMPRODUCT(--ISNUMBER(SEARCH(trump,C27)))&gt;0)</f>
        <v>0</v>
      </c>
      <c r="X27" s="14" cm="1">
        <f t="array" ref="X27">INT(SUMPRODUCT(--ISNUMBER(SEARCH(voting,C27)))&gt;0)</f>
        <v>1</v>
      </c>
      <c r="Y27" s="35" cm="1">
        <f t="array" ref="Y27">INT(SUMPRODUCT(--ISNUMBER(SEARCH(republicantrigger,C27)))&gt;0)</f>
        <v>0</v>
      </c>
      <c r="Z27" s="35" cm="1">
        <f t="array" ref="Z27">INT(SUMPRODUCT(--ISNUMBER(SEARCH(bipartisan,C27)))&gt;0)</f>
        <v>0</v>
      </c>
      <c r="AA27" s="35">
        <f t="shared" si="0"/>
        <v>0</v>
      </c>
      <c r="AB27" s="14"/>
      <c r="AC27" s="30" t="s">
        <v>223</v>
      </c>
      <c r="AD27" s="37" t="s">
        <v>223</v>
      </c>
    </row>
    <row r="28" spans="1:30" x14ac:dyDescent="0.25">
      <c r="A28" s="36">
        <v>4348</v>
      </c>
      <c r="B28" s="14" t="s">
        <v>8719</v>
      </c>
      <c r="C28" s="31" t="s">
        <v>8720</v>
      </c>
      <c r="D28" s="17">
        <v>44133</v>
      </c>
      <c r="E28" s="14" t="s">
        <v>30</v>
      </c>
      <c r="F28" s="14">
        <v>160</v>
      </c>
      <c r="G28" s="14">
        <v>63</v>
      </c>
      <c r="H28" s="14">
        <v>20</v>
      </c>
      <c r="I28" s="14">
        <v>10</v>
      </c>
      <c r="J28" s="14" t="s">
        <v>31</v>
      </c>
      <c r="K28" s="14" cm="1">
        <f t="array" ref="K28">INT(SUMPRODUCT(--ISNUMBER(SEARCH(economy,C28)))&gt;0)</f>
        <v>0</v>
      </c>
      <c r="L28" s="14" cm="1">
        <f t="array" ref="L28">INT(SUMPRODUCT(--ISNUMBER(SEARCH(healthcare,C28)))&gt;0)</f>
        <v>0</v>
      </c>
      <c r="M28" s="14" cm="1">
        <f t="array" ref="M28">INT(SUMPRODUCT(--ISNUMBER(SEARCH(supreme,C28)))&gt;0)</f>
        <v>0</v>
      </c>
      <c r="N28" s="14" cm="1">
        <f t="array" ref="N28">INT(SUMPRODUCT(--ISNUMBER(SEARCH(covid,C28)))&gt;0)</f>
        <v>1</v>
      </c>
      <c r="O28" s="14" cm="1">
        <f t="array" ref="O28">INT(SUMPRODUCT(--ISNUMBER(SEARCH(violent,C28)))&gt;0)</f>
        <v>0</v>
      </c>
      <c r="P28" s="14" cm="1">
        <f t="array" ref="P28">INT(SUMPRODUCT(--ISNUMBER(SEARCH(foreign,C28)))&gt;0)</f>
        <v>0</v>
      </c>
      <c r="Q28" s="14" cm="1">
        <f t="array" ref="Q28">INT(SUMPRODUCT(--ISNUMBER(SEARCH(gun,C28)))&gt;0)</f>
        <v>0</v>
      </c>
      <c r="R28" s="14" cm="1">
        <f t="array" ref="R28">INT(SUMPRODUCT(--ISNUMBER(SEARCH(race,C28)))&gt;0)</f>
        <v>0</v>
      </c>
      <c r="S28" s="14" cm="1">
        <f t="array" ref="S28">INT(SUMPRODUCT(--ISNUMBER(SEARCH(immigration,C28)))&gt;0)</f>
        <v>0</v>
      </c>
      <c r="T28" s="14" cm="1">
        <f t="array" ref="T28">INT(SUMPRODUCT(--ISNUMBER(SEARCH(econineq,C29)))&gt;0)</f>
        <v>0</v>
      </c>
      <c r="U28" s="14" cm="1">
        <f t="array" ref="U28">INT(SUMPRODUCT(--ISNUMBER(SEARCH(climate,C28)))&gt;0)</f>
        <v>0</v>
      </c>
      <c r="V28" s="14" cm="1">
        <f t="array" ref="V28">INT(SUMPRODUCT(--ISNUMBER(SEARCH(abortion,C28)))&gt;0)</f>
        <v>0</v>
      </c>
      <c r="W28" s="14" cm="1">
        <f t="array" ref="W28">INT(SUMPRODUCT(--ISNUMBER(SEARCH(trump,C28)))&gt;0)</f>
        <v>0</v>
      </c>
      <c r="X28" s="14" cm="1">
        <f t="array" ref="X28">INT(SUMPRODUCT(--ISNUMBER(SEARCH(voting,C28)))&gt;0)</f>
        <v>1</v>
      </c>
      <c r="Y28" s="35" cm="1">
        <f t="array" ref="Y28">INT(SUMPRODUCT(--ISNUMBER(SEARCH(republicantrigger,C28)))&gt;0)</f>
        <v>1</v>
      </c>
      <c r="Z28" s="35" cm="1">
        <f t="array" ref="Z28">INT(SUMPRODUCT(--ISNUMBER(SEARCH(bipartisan,C28)))&gt;0)</f>
        <v>0</v>
      </c>
      <c r="AA28" s="35">
        <f t="shared" si="0"/>
        <v>0</v>
      </c>
      <c r="AB28" s="14"/>
      <c r="AC28" s="30" t="s">
        <v>223</v>
      </c>
      <c r="AD28" s="37" t="s">
        <v>223</v>
      </c>
    </row>
    <row r="29" spans="1:30" x14ac:dyDescent="0.25">
      <c r="A29" s="36">
        <v>4349</v>
      </c>
      <c r="B29" s="14" t="s">
        <v>8721</v>
      </c>
      <c r="C29" s="31" t="s">
        <v>8722</v>
      </c>
      <c r="D29" s="17">
        <v>44133</v>
      </c>
      <c r="E29" s="14" t="s">
        <v>30</v>
      </c>
      <c r="F29" s="14">
        <v>111</v>
      </c>
      <c r="G29" s="14">
        <v>44</v>
      </c>
      <c r="H29" s="14">
        <v>20</v>
      </c>
      <c r="I29" s="14">
        <v>10</v>
      </c>
      <c r="J29" s="14" t="s">
        <v>31</v>
      </c>
      <c r="K29" s="14" cm="1">
        <f t="array" ref="K29">INT(SUMPRODUCT(--ISNUMBER(SEARCH(economy,C29)))&gt;0)</f>
        <v>1</v>
      </c>
      <c r="L29" s="14" cm="1">
        <f t="array" ref="L29">INT(SUMPRODUCT(--ISNUMBER(SEARCH(healthcare,C29)))&gt;0)</f>
        <v>0</v>
      </c>
      <c r="M29" s="14" cm="1">
        <f t="array" ref="M29">INT(SUMPRODUCT(--ISNUMBER(SEARCH(supreme,C29)))&gt;0)</f>
        <v>0</v>
      </c>
      <c r="N29" s="14" cm="1">
        <f t="array" ref="N29">INT(SUMPRODUCT(--ISNUMBER(SEARCH(covid,C29)))&gt;0)</f>
        <v>1</v>
      </c>
      <c r="O29" s="14" cm="1">
        <f t="array" ref="O29">INT(SUMPRODUCT(--ISNUMBER(SEARCH(violent,C29)))&gt;0)</f>
        <v>0</v>
      </c>
      <c r="P29" s="14" cm="1">
        <f t="array" ref="P29">INT(SUMPRODUCT(--ISNUMBER(SEARCH(foreign,C29)))&gt;0)</f>
        <v>1</v>
      </c>
      <c r="Q29" s="14" cm="1">
        <f t="array" ref="Q29">INT(SUMPRODUCT(--ISNUMBER(SEARCH(gun,C29)))&gt;0)</f>
        <v>0</v>
      </c>
      <c r="R29" s="14" cm="1">
        <f t="array" ref="R29">INT(SUMPRODUCT(--ISNUMBER(SEARCH(race,C29)))&gt;0)</f>
        <v>0</v>
      </c>
      <c r="S29" s="14" cm="1">
        <f t="array" ref="S29">INT(SUMPRODUCT(--ISNUMBER(SEARCH(immigration,C29)))&gt;0)</f>
        <v>0</v>
      </c>
      <c r="T29" s="14" cm="1">
        <f t="array" ref="T29">INT(SUMPRODUCT(--ISNUMBER(SEARCH(econineq,C30)))&gt;0)</f>
        <v>0</v>
      </c>
      <c r="U29" s="14" cm="1">
        <f t="array" ref="U29">INT(SUMPRODUCT(--ISNUMBER(SEARCH(climate,C29)))&gt;0)</f>
        <v>0</v>
      </c>
      <c r="V29" s="14" cm="1">
        <f t="array" ref="V29">INT(SUMPRODUCT(--ISNUMBER(SEARCH(abortion,C29)))&gt;0)</f>
        <v>0</v>
      </c>
      <c r="W29" s="14" cm="1">
        <f t="array" ref="W29">INT(SUMPRODUCT(--ISNUMBER(SEARCH(trump,C29)))&gt;0)</f>
        <v>0</v>
      </c>
      <c r="X29" s="14" cm="1">
        <f t="array" ref="X29">INT(SUMPRODUCT(--ISNUMBER(SEARCH(voting,C29)))&gt;0)</f>
        <v>1</v>
      </c>
      <c r="Y29" s="35" cm="1">
        <f t="array" ref="Y29">INT(SUMPRODUCT(--ISNUMBER(SEARCH(republicantrigger,C29)))&gt;0)</f>
        <v>1</v>
      </c>
      <c r="Z29" s="35" cm="1">
        <f t="array" ref="Z29">INT(SUMPRODUCT(--ISNUMBER(SEARCH(bipartisan,C29)))&gt;0)</f>
        <v>0</v>
      </c>
      <c r="AA29" s="35">
        <f t="shared" si="0"/>
        <v>0</v>
      </c>
      <c r="AB29" s="14"/>
      <c r="AC29" s="30" t="s">
        <v>223</v>
      </c>
      <c r="AD29" s="37" t="s">
        <v>223</v>
      </c>
    </row>
    <row r="30" spans="1:30" x14ac:dyDescent="0.25">
      <c r="A30" s="36">
        <v>4350</v>
      </c>
      <c r="B30" s="14" t="s">
        <v>8723</v>
      </c>
      <c r="C30" s="31" t="s">
        <v>8724</v>
      </c>
      <c r="D30" s="17">
        <v>44133</v>
      </c>
      <c r="E30" s="14" t="s">
        <v>30</v>
      </c>
      <c r="F30" s="14">
        <v>153</v>
      </c>
      <c r="G30" s="14">
        <v>53</v>
      </c>
      <c r="H30" s="14">
        <v>20</v>
      </c>
      <c r="I30" s="14">
        <v>10</v>
      </c>
      <c r="J30" s="14" t="s">
        <v>31</v>
      </c>
      <c r="K30" s="14" cm="1">
        <f t="array" ref="K30">INT(SUMPRODUCT(--ISNUMBER(SEARCH(economy,C30)))&gt;0)</f>
        <v>0</v>
      </c>
      <c r="L30" s="14" cm="1">
        <f t="array" ref="L30">INT(SUMPRODUCT(--ISNUMBER(SEARCH(healthcare,C30)))&gt;0)</f>
        <v>0</v>
      </c>
      <c r="M30" s="14" cm="1">
        <f t="array" ref="M30">INT(SUMPRODUCT(--ISNUMBER(SEARCH(supreme,C30)))&gt;0)</f>
        <v>0</v>
      </c>
      <c r="N30" s="14" cm="1">
        <f t="array" ref="N30">INT(SUMPRODUCT(--ISNUMBER(SEARCH(covid,C30)))&gt;0)</f>
        <v>0</v>
      </c>
      <c r="O30" s="14" cm="1">
        <f t="array" ref="O30">INT(SUMPRODUCT(--ISNUMBER(SEARCH(violent,C30)))&gt;0)</f>
        <v>0</v>
      </c>
      <c r="P30" s="14" cm="1">
        <f t="array" ref="P30">INT(SUMPRODUCT(--ISNUMBER(SEARCH(foreign,C30)))&gt;0)</f>
        <v>0</v>
      </c>
      <c r="Q30" s="14" cm="1">
        <f t="array" ref="Q30">INT(SUMPRODUCT(--ISNUMBER(SEARCH(gun,C30)))&gt;0)</f>
        <v>0</v>
      </c>
      <c r="R30" s="14" cm="1">
        <f t="array" ref="R30">INT(SUMPRODUCT(--ISNUMBER(SEARCH(race,C30)))&gt;0)</f>
        <v>0</v>
      </c>
      <c r="S30" s="14" cm="1">
        <f t="array" ref="S30">INT(SUMPRODUCT(--ISNUMBER(SEARCH(immigration,C30)))&gt;0)</f>
        <v>0</v>
      </c>
      <c r="T30" s="14" cm="1">
        <f t="array" ref="T30">INT(SUMPRODUCT(--ISNUMBER(SEARCH(econineq,C31)))&gt;0)</f>
        <v>0</v>
      </c>
      <c r="U30" s="14" cm="1">
        <f t="array" ref="U30">INT(SUMPRODUCT(--ISNUMBER(SEARCH(climate,C30)))&gt;0)</f>
        <v>0</v>
      </c>
      <c r="V30" s="14" cm="1">
        <f t="array" ref="V30">INT(SUMPRODUCT(--ISNUMBER(SEARCH(abortion,C30)))&gt;0)</f>
        <v>0</v>
      </c>
      <c r="W30" s="14" cm="1">
        <f t="array" ref="W30">INT(SUMPRODUCT(--ISNUMBER(SEARCH(trump,C30)))&gt;0)</f>
        <v>0</v>
      </c>
      <c r="X30" s="14" cm="1">
        <f t="array" ref="X30">INT(SUMPRODUCT(--ISNUMBER(SEARCH(voting,C30)))&gt;0)</f>
        <v>1</v>
      </c>
      <c r="Y30" s="35" cm="1">
        <f t="array" ref="Y30">INT(SUMPRODUCT(--ISNUMBER(SEARCH(republicantrigger,C30)))&gt;0)</f>
        <v>0</v>
      </c>
      <c r="Z30" s="35" cm="1">
        <f t="array" ref="Z30">INT(SUMPRODUCT(--ISNUMBER(SEARCH(bipartisan,C30)))&gt;0)</f>
        <v>0</v>
      </c>
      <c r="AA30" s="35">
        <f t="shared" si="0"/>
        <v>0</v>
      </c>
      <c r="AB30" s="14"/>
      <c r="AC30" s="30" t="s">
        <v>223</v>
      </c>
      <c r="AD30" s="37" t="s">
        <v>223</v>
      </c>
    </row>
    <row r="31" spans="1:30" x14ac:dyDescent="0.25">
      <c r="A31" s="36">
        <v>4351</v>
      </c>
      <c r="B31" s="14" t="s">
        <v>8725</v>
      </c>
      <c r="C31" s="31" t="s">
        <v>8726</v>
      </c>
      <c r="D31" s="17">
        <v>44133</v>
      </c>
      <c r="E31" s="14" t="s">
        <v>30</v>
      </c>
      <c r="F31" s="14">
        <v>129</v>
      </c>
      <c r="G31" s="14">
        <v>33</v>
      </c>
      <c r="H31" s="14">
        <v>20</v>
      </c>
      <c r="I31" s="14">
        <v>10</v>
      </c>
      <c r="J31" s="14" t="s">
        <v>31</v>
      </c>
      <c r="K31" s="14" cm="1">
        <f t="array" ref="K31">INT(SUMPRODUCT(--ISNUMBER(SEARCH(economy,C31)))&gt;0)</f>
        <v>0</v>
      </c>
      <c r="L31" s="14" cm="1">
        <f t="array" ref="L31">INT(SUMPRODUCT(--ISNUMBER(SEARCH(healthcare,C31)))&gt;0)</f>
        <v>0</v>
      </c>
      <c r="M31" s="14" cm="1">
        <f t="array" ref="M31">INT(SUMPRODUCT(--ISNUMBER(SEARCH(supreme,C31)))&gt;0)</f>
        <v>1</v>
      </c>
      <c r="N31" s="14" cm="1">
        <f t="array" ref="N31">INT(SUMPRODUCT(--ISNUMBER(SEARCH(covid,C31)))&gt;0)</f>
        <v>0</v>
      </c>
      <c r="O31" s="14" cm="1">
        <f t="array" ref="O31">INT(SUMPRODUCT(--ISNUMBER(SEARCH(violent,C31)))&gt;0)</f>
        <v>0</v>
      </c>
      <c r="P31" s="14" cm="1">
        <f t="array" ref="P31">INT(SUMPRODUCT(--ISNUMBER(SEARCH(foreign,C31)))&gt;0)</f>
        <v>0</v>
      </c>
      <c r="Q31" s="14" cm="1">
        <f t="array" ref="Q31">INT(SUMPRODUCT(--ISNUMBER(SEARCH(gun,C31)))&gt;0)</f>
        <v>0</v>
      </c>
      <c r="R31" s="14" cm="1">
        <f t="array" ref="R31">INT(SUMPRODUCT(--ISNUMBER(SEARCH(race,C31)))&gt;0)</f>
        <v>0</v>
      </c>
      <c r="S31" s="14" cm="1">
        <f t="array" ref="S31">INT(SUMPRODUCT(--ISNUMBER(SEARCH(immigration,C31)))&gt;0)</f>
        <v>0</v>
      </c>
      <c r="T31" s="14" cm="1">
        <f t="array" ref="T31">INT(SUMPRODUCT(--ISNUMBER(SEARCH(econineq,C32)))&gt;0)</f>
        <v>0</v>
      </c>
      <c r="U31" s="14" cm="1">
        <f t="array" ref="U31">INT(SUMPRODUCT(--ISNUMBER(SEARCH(climate,C31)))&gt;0)</f>
        <v>0</v>
      </c>
      <c r="V31" s="14" cm="1">
        <f t="array" ref="V31">INT(SUMPRODUCT(--ISNUMBER(SEARCH(abortion,C31)))&gt;0)</f>
        <v>0</v>
      </c>
      <c r="W31" s="14" cm="1">
        <f t="array" ref="W31">INT(SUMPRODUCT(--ISNUMBER(SEARCH(trump,C31)))&gt;0)</f>
        <v>0</v>
      </c>
      <c r="X31" s="14" cm="1">
        <f t="array" ref="X31">INT(SUMPRODUCT(--ISNUMBER(SEARCH(voting,C31)))&gt;0)</f>
        <v>0</v>
      </c>
      <c r="Y31" s="35" cm="1">
        <f t="array" ref="Y31">INT(SUMPRODUCT(--ISNUMBER(SEARCH(republicantrigger,C31)))&gt;0)</f>
        <v>0</v>
      </c>
      <c r="Z31" s="35" cm="1">
        <f t="array" ref="Z31">INT(SUMPRODUCT(--ISNUMBER(SEARCH(bipartisan,C31)))&gt;0)</f>
        <v>0</v>
      </c>
      <c r="AA31" s="35">
        <f t="shared" si="0"/>
        <v>0</v>
      </c>
      <c r="AB31" s="14"/>
      <c r="AC31" s="30" t="s">
        <v>223</v>
      </c>
      <c r="AD31" s="37" t="s">
        <v>223</v>
      </c>
    </row>
    <row r="32" spans="1:30" x14ac:dyDescent="0.25">
      <c r="A32" s="36">
        <v>4352</v>
      </c>
      <c r="B32" s="14" t="s">
        <v>8727</v>
      </c>
      <c r="C32" s="31" t="s">
        <v>8728</v>
      </c>
      <c r="D32" s="17">
        <v>44133</v>
      </c>
      <c r="E32" s="14" t="s">
        <v>30</v>
      </c>
      <c r="F32" s="14">
        <v>90</v>
      </c>
      <c r="G32" s="14">
        <v>40</v>
      </c>
      <c r="H32" s="14">
        <v>20</v>
      </c>
      <c r="I32" s="14">
        <v>10</v>
      </c>
      <c r="J32" s="14" t="s">
        <v>31</v>
      </c>
      <c r="K32" s="14" cm="1">
        <f t="array" ref="K32">INT(SUMPRODUCT(--ISNUMBER(SEARCH(economy,C32)))&gt;0)</f>
        <v>1</v>
      </c>
      <c r="L32" s="14" cm="1">
        <f t="array" ref="L32">INT(SUMPRODUCT(--ISNUMBER(SEARCH(healthcare,C32)))&gt;0)</f>
        <v>0</v>
      </c>
      <c r="M32" s="14" cm="1">
        <f t="array" ref="M32">INT(SUMPRODUCT(--ISNUMBER(SEARCH(supreme,C32)))&gt;0)</f>
        <v>0</v>
      </c>
      <c r="N32" s="14" cm="1">
        <f t="array" ref="N32">INT(SUMPRODUCT(--ISNUMBER(SEARCH(covid,C32)))&gt;0)</f>
        <v>1</v>
      </c>
      <c r="O32" s="14" cm="1">
        <f t="array" ref="O32">INT(SUMPRODUCT(--ISNUMBER(SEARCH(violent,C32)))&gt;0)</f>
        <v>0</v>
      </c>
      <c r="P32" s="14" cm="1">
        <f t="array" ref="P32">INT(SUMPRODUCT(--ISNUMBER(SEARCH(foreign,C32)))&gt;0)</f>
        <v>0</v>
      </c>
      <c r="Q32" s="14" cm="1">
        <f t="array" ref="Q32">INT(SUMPRODUCT(--ISNUMBER(SEARCH(gun,C32)))&gt;0)</f>
        <v>0</v>
      </c>
      <c r="R32" s="14" cm="1">
        <f t="array" ref="R32">INT(SUMPRODUCT(--ISNUMBER(SEARCH(race,C32)))&gt;0)</f>
        <v>0</v>
      </c>
      <c r="S32" s="14" cm="1">
        <f t="array" ref="S32">INT(SUMPRODUCT(--ISNUMBER(SEARCH(immigration,C32)))&gt;0)</f>
        <v>0</v>
      </c>
      <c r="T32" s="14" cm="1">
        <f t="array" ref="T32">INT(SUMPRODUCT(--ISNUMBER(SEARCH(econineq,C33)))&gt;0)</f>
        <v>0</v>
      </c>
      <c r="U32" s="14" cm="1">
        <f t="array" ref="U32">INT(SUMPRODUCT(--ISNUMBER(SEARCH(climate,C32)))&gt;0)</f>
        <v>0</v>
      </c>
      <c r="V32" s="14" cm="1">
        <f t="array" ref="V32">INT(SUMPRODUCT(--ISNUMBER(SEARCH(abortion,C32)))&gt;0)</f>
        <v>0</v>
      </c>
      <c r="W32" s="14" cm="1">
        <f t="array" ref="W32">INT(SUMPRODUCT(--ISNUMBER(SEARCH(trump,C32)))&gt;0)</f>
        <v>0</v>
      </c>
      <c r="X32" s="14" cm="1">
        <f t="array" ref="X32">INT(SUMPRODUCT(--ISNUMBER(SEARCH(voting,C32)))&gt;0)</f>
        <v>1</v>
      </c>
      <c r="Y32" s="35" cm="1">
        <f t="array" ref="Y32">INT(SUMPRODUCT(--ISNUMBER(SEARCH(republicantrigger,C32)))&gt;0)</f>
        <v>1</v>
      </c>
      <c r="Z32" s="35" cm="1">
        <f t="array" ref="Z32">INT(SUMPRODUCT(--ISNUMBER(SEARCH(bipartisan,C32)))&gt;0)</f>
        <v>0</v>
      </c>
      <c r="AA32" s="35">
        <f t="shared" si="0"/>
        <v>0</v>
      </c>
      <c r="AB32" s="14"/>
      <c r="AC32" s="30" t="s">
        <v>223</v>
      </c>
      <c r="AD32" s="37" t="s">
        <v>223</v>
      </c>
    </row>
    <row r="33" spans="1:30" x14ac:dyDescent="0.25">
      <c r="A33" s="36">
        <v>4353</v>
      </c>
      <c r="B33" s="14" t="s">
        <v>8729</v>
      </c>
      <c r="C33" s="31" t="s">
        <v>8730</v>
      </c>
      <c r="D33" s="17">
        <v>44132</v>
      </c>
      <c r="E33" s="14" t="s">
        <v>30</v>
      </c>
      <c r="F33" s="14">
        <v>554</v>
      </c>
      <c r="G33" s="14">
        <v>184</v>
      </c>
      <c r="H33" s="14">
        <v>20</v>
      </c>
      <c r="I33" s="14">
        <v>10</v>
      </c>
      <c r="J33" s="14" t="s">
        <v>31</v>
      </c>
      <c r="K33" s="14" cm="1">
        <f t="array" ref="K33">INT(SUMPRODUCT(--ISNUMBER(SEARCH(economy,C33)))&gt;0)</f>
        <v>0</v>
      </c>
      <c r="L33" s="14" cm="1">
        <f t="array" ref="L33">INT(SUMPRODUCT(--ISNUMBER(SEARCH(healthcare,C33)))&gt;0)</f>
        <v>0</v>
      </c>
      <c r="M33" s="14" cm="1">
        <f t="array" ref="M33">INT(SUMPRODUCT(--ISNUMBER(SEARCH(supreme,C33)))&gt;0)</f>
        <v>0</v>
      </c>
      <c r="N33" s="14" cm="1">
        <f t="array" ref="N33">INT(SUMPRODUCT(--ISNUMBER(SEARCH(covid,C33)))&gt;0)</f>
        <v>1</v>
      </c>
      <c r="O33" s="14" cm="1">
        <f t="array" ref="O33">INT(SUMPRODUCT(--ISNUMBER(SEARCH(violent,C33)))&gt;0)</f>
        <v>0</v>
      </c>
      <c r="P33" s="14" cm="1">
        <f t="array" ref="P33">INT(SUMPRODUCT(--ISNUMBER(SEARCH(foreign,C33)))&gt;0)</f>
        <v>0</v>
      </c>
      <c r="Q33" s="14" cm="1">
        <f t="array" ref="Q33">INT(SUMPRODUCT(--ISNUMBER(SEARCH(gun,C33)))&gt;0)</f>
        <v>0</v>
      </c>
      <c r="R33" s="14" cm="1">
        <f t="array" ref="R33">INT(SUMPRODUCT(--ISNUMBER(SEARCH(race,C33)))&gt;0)</f>
        <v>0</v>
      </c>
      <c r="S33" s="14" cm="1">
        <f t="array" ref="S33">INT(SUMPRODUCT(--ISNUMBER(SEARCH(immigration,C33)))&gt;0)</f>
        <v>0</v>
      </c>
      <c r="T33" s="14" cm="1">
        <f t="array" ref="T33">INT(SUMPRODUCT(--ISNUMBER(SEARCH(econineq,C34)))&gt;0)</f>
        <v>0</v>
      </c>
      <c r="U33" s="14" cm="1">
        <f t="array" ref="U33">INT(SUMPRODUCT(--ISNUMBER(SEARCH(climate,C33)))&gt;0)</f>
        <v>0</v>
      </c>
      <c r="V33" s="14" cm="1">
        <f t="array" ref="V33">INT(SUMPRODUCT(--ISNUMBER(SEARCH(abortion,C33)))&gt;0)</f>
        <v>0</v>
      </c>
      <c r="W33" s="14" cm="1">
        <f t="array" ref="W33">INT(SUMPRODUCT(--ISNUMBER(SEARCH(trump,C33)))&gt;0)</f>
        <v>0</v>
      </c>
      <c r="X33" s="14" cm="1">
        <f t="array" ref="X33">INT(SUMPRODUCT(--ISNUMBER(SEARCH(voting,C33)))&gt;0)</f>
        <v>1</v>
      </c>
      <c r="Y33" s="35" cm="1">
        <f t="array" ref="Y33">INT(SUMPRODUCT(--ISNUMBER(SEARCH(republicantrigger,C33)))&gt;0)</f>
        <v>1</v>
      </c>
      <c r="Z33" s="35" cm="1">
        <f t="array" ref="Z33">INT(SUMPRODUCT(--ISNUMBER(SEARCH(bipartisan,C33)))&gt;0)</f>
        <v>0</v>
      </c>
      <c r="AA33" s="35">
        <f t="shared" si="0"/>
        <v>0</v>
      </c>
      <c r="AB33" s="14"/>
      <c r="AC33" s="30" t="s">
        <v>223</v>
      </c>
      <c r="AD33" s="37" t="s">
        <v>223</v>
      </c>
    </row>
    <row r="34" spans="1:30" x14ac:dyDescent="0.25">
      <c r="A34" s="36">
        <v>4354</v>
      </c>
      <c r="B34" s="14" t="s">
        <v>8731</v>
      </c>
      <c r="C34" s="31" t="s">
        <v>8732</v>
      </c>
      <c r="D34" s="17">
        <v>44131</v>
      </c>
      <c r="E34" s="14" t="s">
        <v>30</v>
      </c>
      <c r="F34" s="14">
        <v>284</v>
      </c>
      <c r="G34" s="14">
        <v>85</v>
      </c>
      <c r="H34" s="14">
        <v>20</v>
      </c>
      <c r="I34" s="14">
        <v>10</v>
      </c>
      <c r="J34" s="14" t="s">
        <v>31</v>
      </c>
      <c r="K34" s="14" cm="1">
        <f t="array" ref="K34">INT(SUMPRODUCT(--ISNUMBER(SEARCH(economy,C34)))&gt;0)</f>
        <v>0</v>
      </c>
      <c r="L34" s="14" cm="1">
        <f t="array" ref="L34">INT(SUMPRODUCT(--ISNUMBER(SEARCH(healthcare,C34)))&gt;0)</f>
        <v>0</v>
      </c>
      <c r="M34" s="14" cm="1">
        <f t="array" ref="M34">INT(SUMPRODUCT(--ISNUMBER(SEARCH(supreme,C34)))&gt;0)</f>
        <v>1</v>
      </c>
      <c r="N34" s="14" cm="1">
        <f t="array" ref="N34">INT(SUMPRODUCT(--ISNUMBER(SEARCH(covid,C34)))&gt;0)</f>
        <v>0</v>
      </c>
      <c r="O34" s="14" cm="1">
        <f t="array" ref="O34">INT(SUMPRODUCT(--ISNUMBER(SEARCH(violent,C34)))&gt;0)</f>
        <v>0</v>
      </c>
      <c r="P34" s="14" cm="1">
        <f t="array" ref="P34">INT(SUMPRODUCT(--ISNUMBER(SEARCH(foreign,C34)))&gt;0)</f>
        <v>0</v>
      </c>
      <c r="Q34" s="14" cm="1">
        <f t="array" ref="Q34">INT(SUMPRODUCT(--ISNUMBER(SEARCH(gun,C34)))&gt;0)</f>
        <v>0</v>
      </c>
      <c r="R34" s="14" cm="1">
        <f t="array" ref="R34">INT(SUMPRODUCT(--ISNUMBER(SEARCH(race,C34)))&gt;0)</f>
        <v>0</v>
      </c>
      <c r="S34" s="14" cm="1">
        <f t="array" ref="S34">INT(SUMPRODUCT(--ISNUMBER(SEARCH(immigration,C34)))&gt;0)</f>
        <v>0</v>
      </c>
      <c r="T34" s="14" cm="1">
        <f t="array" ref="T34">INT(SUMPRODUCT(--ISNUMBER(SEARCH(econineq,C35)))&gt;0)</f>
        <v>0</v>
      </c>
      <c r="U34" s="14" cm="1">
        <f t="array" ref="U34">INT(SUMPRODUCT(--ISNUMBER(SEARCH(climate,C34)))&gt;0)</f>
        <v>0</v>
      </c>
      <c r="V34" s="14" cm="1">
        <f t="array" ref="V34">INT(SUMPRODUCT(--ISNUMBER(SEARCH(abortion,C34)))&gt;0)</f>
        <v>0</v>
      </c>
      <c r="W34" s="14" cm="1">
        <f t="array" ref="W34">INT(SUMPRODUCT(--ISNUMBER(SEARCH(trump,C34)))&gt;0)</f>
        <v>0</v>
      </c>
      <c r="X34" s="14" cm="1">
        <f t="array" ref="X34">INT(SUMPRODUCT(--ISNUMBER(SEARCH(voting,C34)))&gt;0)</f>
        <v>0</v>
      </c>
      <c r="Y34" s="35" cm="1">
        <f t="array" ref="Y34">INT(SUMPRODUCT(--ISNUMBER(SEARCH(republicantrigger,C34)))&gt;0)</f>
        <v>1</v>
      </c>
      <c r="Z34" s="35" cm="1">
        <f t="array" ref="Z34">INT(SUMPRODUCT(--ISNUMBER(SEARCH(bipartisan,C34)))&gt;0)</f>
        <v>0</v>
      </c>
      <c r="AA34" s="35">
        <f t="shared" ref="AA34:AA65" si="1">INT(IF(COUNTIF(K34:Z34,1)=0,"1","0"))</f>
        <v>0</v>
      </c>
      <c r="AB34" s="14"/>
      <c r="AC34" s="30" t="s">
        <v>223</v>
      </c>
      <c r="AD34" s="37" t="s">
        <v>223</v>
      </c>
    </row>
    <row r="35" spans="1:30" x14ac:dyDescent="0.25">
      <c r="A35" s="36">
        <v>4355</v>
      </c>
      <c r="B35" s="14" t="s">
        <v>8733</v>
      </c>
      <c r="C35" s="31" t="s">
        <v>8734</v>
      </c>
      <c r="D35" s="17">
        <v>44131</v>
      </c>
      <c r="E35" s="14" t="s">
        <v>30</v>
      </c>
      <c r="F35" s="14">
        <v>519</v>
      </c>
      <c r="G35" s="14">
        <v>75</v>
      </c>
      <c r="H35" s="14">
        <v>20</v>
      </c>
      <c r="I35" s="14">
        <v>10</v>
      </c>
      <c r="J35" s="14" t="s">
        <v>31</v>
      </c>
      <c r="K35" s="14" cm="1">
        <f t="array" ref="K35">INT(SUMPRODUCT(--ISNUMBER(SEARCH(economy,C35)))&gt;0)</f>
        <v>0</v>
      </c>
      <c r="L35" s="14" cm="1">
        <f t="array" ref="L35">INT(SUMPRODUCT(--ISNUMBER(SEARCH(healthcare,C35)))&gt;0)</f>
        <v>0</v>
      </c>
      <c r="M35" s="14" cm="1">
        <f t="array" ref="M35">INT(SUMPRODUCT(--ISNUMBER(SEARCH(supreme,C35)))&gt;0)</f>
        <v>0</v>
      </c>
      <c r="N35" s="14" cm="1">
        <f t="array" ref="N35">INT(SUMPRODUCT(--ISNUMBER(SEARCH(covid,C35)))&gt;0)</f>
        <v>0</v>
      </c>
      <c r="O35" s="14" cm="1">
        <f t="array" ref="O35">INT(SUMPRODUCT(--ISNUMBER(SEARCH(violent,C35)))&gt;0)</f>
        <v>0</v>
      </c>
      <c r="P35" s="14" cm="1">
        <f t="array" ref="P35">INT(SUMPRODUCT(--ISNUMBER(SEARCH(foreign,C35)))&gt;0)</f>
        <v>0</v>
      </c>
      <c r="Q35" s="14" cm="1">
        <f t="array" ref="Q35">INT(SUMPRODUCT(--ISNUMBER(SEARCH(gun,C35)))&gt;0)</f>
        <v>0</v>
      </c>
      <c r="R35" s="14" cm="1">
        <f t="array" ref="R35">INT(SUMPRODUCT(--ISNUMBER(SEARCH(race,C35)))&gt;0)</f>
        <v>0</v>
      </c>
      <c r="S35" s="14" cm="1">
        <f t="array" ref="S35">INT(SUMPRODUCT(--ISNUMBER(SEARCH(immigration,C35)))&gt;0)</f>
        <v>0</v>
      </c>
      <c r="T35" s="14" cm="1">
        <f t="array" ref="T35">INT(SUMPRODUCT(--ISNUMBER(SEARCH(econineq,C36)))&gt;0)</f>
        <v>0</v>
      </c>
      <c r="U35" s="14" cm="1">
        <f t="array" ref="U35">INT(SUMPRODUCT(--ISNUMBER(SEARCH(climate,C35)))&gt;0)</f>
        <v>0</v>
      </c>
      <c r="V35" s="14" cm="1">
        <f t="array" ref="V35">INT(SUMPRODUCT(--ISNUMBER(SEARCH(abortion,C35)))&gt;0)</f>
        <v>0</v>
      </c>
      <c r="W35" s="14" cm="1">
        <f t="array" ref="W35">INT(SUMPRODUCT(--ISNUMBER(SEARCH(trump,C35)))&gt;0)</f>
        <v>0</v>
      </c>
      <c r="X35" s="14" cm="1">
        <f t="array" ref="X35">INT(SUMPRODUCT(--ISNUMBER(SEARCH(voting,C35)))&gt;0)</f>
        <v>0</v>
      </c>
      <c r="Y35" s="35" cm="1">
        <f t="array" ref="Y35">INT(SUMPRODUCT(--ISNUMBER(SEARCH(republicantrigger,C35)))&gt;0)</f>
        <v>0</v>
      </c>
      <c r="Z35" s="35" cm="1">
        <f t="array" ref="Z35">INT(SUMPRODUCT(--ISNUMBER(SEARCH(bipartisan,C35)))&gt;0)</f>
        <v>0</v>
      </c>
      <c r="AA35" s="35">
        <f t="shared" si="1"/>
        <v>1</v>
      </c>
      <c r="AB35" s="14"/>
      <c r="AC35" s="30">
        <v>1</v>
      </c>
      <c r="AD35" s="37">
        <v>0</v>
      </c>
    </row>
    <row r="36" spans="1:30" x14ac:dyDescent="0.25">
      <c r="A36" s="36">
        <v>4356</v>
      </c>
      <c r="B36" s="14" t="s">
        <v>8735</v>
      </c>
      <c r="C36" s="31" t="s">
        <v>8736</v>
      </c>
      <c r="D36" s="17">
        <v>44131</v>
      </c>
      <c r="E36" s="14" t="s">
        <v>30</v>
      </c>
      <c r="F36" s="14">
        <v>88</v>
      </c>
      <c r="G36" s="14">
        <v>33</v>
      </c>
      <c r="H36" s="14">
        <v>20</v>
      </c>
      <c r="I36" s="14">
        <v>10</v>
      </c>
      <c r="J36" s="14" t="s">
        <v>31</v>
      </c>
      <c r="K36" s="14" cm="1">
        <f t="array" ref="K36">INT(SUMPRODUCT(--ISNUMBER(SEARCH(economy,C36)))&gt;0)</f>
        <v>1</v>
      </c>
      <c r="L36" s="14" cm="1">
        <f t="array" ref="L36">INT(SUMPRODUCT(--ISNUMBER(SEARCH(healthcare,C36)))&gt;0)</f>
        <v>0</v>
      </c>
      <c r="M36" s="14" cm="1">
        <f t="array" ref="M36">INT(SUMPRODUCT(--ISNUMBER(SEARCH(supreme,C36)))&gt;0)</f>
        <v>0</v>
      </c>
      <c r="N36" s="14" cm="1">
        <f t="array" ref="N36">INT(SUMPRODUCT(--ISNUMBER(SEARCH(covid,C36)))&gt;0)</f>
        <v>1</v>
      </c>
      <c r="O36" s="14" cm="1">
        <f t="array" ref="O36">INT(SUMPRODUCT(--ISNUMBER(SEARCH(violent,C36)))&gt;0)</f>
        <v>0</v>
      </c>
      <c r="P36" s="14" cm="1">
        <f t="array" ref="P36">INT(SUMPRODUCT(--ISNUMBER(SEARCH(foreign,C36)))&gt;0)</f>
        <v>0</v>
      </c>
      <c r="Q36" s="14" cm="1">
        <f t="array" ref="Q36">INT(SUMPRODUCT(--ISNUMBER(SEARCH(gun,C36)))&gt;0)</f>
        <v>0</v>
      </c>
      <c r="R36" s="14" cm="1">
        <f t="array" ref="R36">INT(SUMPRODUCT(--ISNUMBER(SEARCH(race,C36)))&gt;0)</f>
        <v>0</v>
      </c>
      <c r="S36" s="14" cm="1">
        <f t="array" ref="S36">INT(SUMPRODUCT(--ISNUMBER(SEARCH(immigration,C36)))&gt;0)</f>
        <v>0</v>
      </c>
      <c r="T36" s="14" cm="1">
        <f t="array" ref="T36">INT(SUMPRODUCT(--ISNUMBER(SEARCH(econineq,C37)))&gt;0)</f>
        <v>0</v>
      </c>
      <c r="U36" s="14" cm="1">
        <f t="array" ref="U36">INT(SUMPRODUCT(--ISNUMBER(SEARCH(climate,C36)))&gt;0)</f>
        <v>0</v>
      </c>
      <c r="V36" s="14" cm="1">
        <f t="array" ref="V36">INT(SUMPRODUCT(--ISNUMBER(SEARCH(abortion,C36)))&gt;0)</f>
        <v>0</v>
      </c>
      <c r="W36" s="14" cm="1">
        <f t="array" ref="W36">INT(SUMPRODUCT(--ISNUMBER(SEARCH(trump,C36)))&gt;0)</f>
        <v>0</v>
      </c>
      <c r="X36" s="14" cm="1">
        <f t="array" ref="X36">INT(SUMPRODUCT(--ISNUMBER(SEARCH(voting,C36)))&gt;0)</f>
        <v>0</v>
      </c>
      <c r="Y36" s="35" cm="1">
        <f t="array" ref="Y36">INT(SUMPRODUCT(--ISNUMBER(SEARCH(republicantrigger,C36)))&gt;0)</f>
        <v>0</v>
      </c>
      <c r="Z36" s="35" cm="1">
        <f t="array" ref="Z36">INT(SUMPRODUCT(--ISNUMBER(SEARCH(bipartisan,C36)))&gt;0)</f>
        <v>0</v>
      </c>
      <c r="AA36" s="35">
        <f t="shared" si="1"/>
        <v>0</v>
      </c>
      <c r="AB36" s="14"/>
      <c r="AC36" s="30" t="s">
        <v>223</v>
      </c>
      <c r="AD36" s="37" t="s">
        <v>223</v>
      </c>
    </row>
    <row r="37" spans="1:30" x14ac:dyDescent="0.25">
      <c r="A37" s="36">
        <v>4357</v>
      </c>
      <c r="B37" s="14" t="s">
        <v>8737</v>
      </c>
      <c r="C37" s="31" t="s">
        <v>8738</v>
      </c>
      <c r="D37" s="17">
        <v>44131</v>
      </c>
      <c r="E37" s="14" t="s">
        <v>30</v>
      </c>
      <c r="F37" s="14">
        <v>1701</v>
      </c>
      <c r="G37" s="14">
        <v>231</v>
      </c>
      <c r="H37" s="14">
        <v>20</v>
      </c>
      <c r="I37" s="14">
        <v>10</v>
      </c>
      <c r="J37" s="14" t="s">
        <v>31</v>
      </c>
      <c r="K37" s="14" cm="1">
        <f t="array" ref="K37">INT(SUMPRODUCT(--ISNUMBER(SEARCH(economy,C37)))&gt;0)</f>
        <v>0</v>
      </c>
      <c r="L37" s="14" cm="1">
        <f t="array" ref="L37">INT(SUMPRODUCT(--ISNUMBER(SEARCH(healthcare,C37)))&gt;0)</f>
        <v>0</v>
      </c>
      <c r="M37" s="14" cm="1">
        <f t="array" ref="M37">INT(SUMPRODUCT(--ISNUMBER(SEARCH(supreme,C37)))&gt;0)</f>
        <v>1</v>
      </c>
      <c r="N37" s="14" cm="1">
        <f t="array" ref="N37">INT(SUMPRODUCT(--ISNUMBER(SEARCH(covid,C37)))&gt;0)</f>
        <v>0</v>
      </c>
      <c r="O37" s="14" cm="1">
        <f t="array" ref="O37">INT(SUMPRODUCT(--ISNUMBER(SEARCH(violent,C37)))&gt;0)</f>
        <v>0</v>
      </c>
      <c r="P37" s="14" cm="1">
        <f t="array" ref="P37">INT(SUMPRODUCT(--ISNUMBER(SEARCH(foreign,C37)))&gt;0)</f>
        <v>0</v>
      </c>
      <c r="Q37" s="14" cm="1">
        <f t="array" ref="Q37">INT(SUMPRODUCT(--ISNUMBER(SEARCH(gun,C37)))&gt;0)</f>
        <v>0</v>
      </c>
      <c r="R37" s="14" cm="1">
        <f t="array" ref="R37">INT(SUMPRODUCT(--ISNUMBER(SEARCH(race,C37)))&gt;0)</f>
        <v>0</v>
      </c>
      <c r="S37" s="14" cm="1">
        <f t="array" ref="S37">INT(SUMPRODUCT(--ISNUMBER(SEARCH(immigration,C37)))&gt;0)</f>
        <v>0</v>
      </c>
      <c r="T37" s="14" cm="1">
        <f t="array" ref="T37">INT(SUMPRODUCT(--ISNUMBER(SEARCH(econineq,C38)))&gt;0)</f>
        <v>0</v>
      </c>
      <c r="U37" s="14" cm="1">
        <f t="array" ref="U37">INT(SUMPRODUCT(--ISNUMBER(SEARCH(climate,C37)))&gt;0)</f>
        <v>0</v>
      </c>
      <c r="V37" s="14" cm="1">
        <f t="array" ref="V37">INT(SUMPRODUCT(--ISNUMBER(SEARCH(abortion,C37)))&gt;0)</f>
        <v>0</v>
      </c>
      <c r="W37" s="14" cm="1">
        <f t="array" ref="W37">INT(SUMPRODUCT(--ISNUMBER(SEARCH(trump,C37)))&gt;0)</f>
        <v>0</v>
      </c>
      <c r="X37" s="14" cm="1">
        <f t="array" ref="X37">INT(SUMPRODUCT(--ISNUMBER(SEARCH(voting,C37)))&gt;0)</f>
        <v>0</v>
      </c>
      <c r="Y37" s="35" cm="1">
        <f t="array" ref="Y37">INT(SUMPRODUCT(--ISNUMBER(SEARCH(republicantrigger,C37)))&gt;0)</f>
        <v>0</v>
      </c>
      <c r="Z37" s="35" cm="1">
        <f t="array" ref="Z37">INT(SUMPRODUCT(--ISNUMBER(SEARCH(bipartisan,C37)))&gt;0)</f>
        <v>0</v>
      </c>
      <c r="AA37" s="35">
        <f t="shared" si="1"/>
        <v>0</v>
      </c>
      <c r="AB37" s="14"/>
      <c r="AC37" s="30" t="s">
        <v>223</v>
      </c>
      <c r="AD37" s="37" t="s">
        <v>223</v>
      </c>
    </row>
    <row r="38" spans="1:30" x14ac:dyDescent="0.25">
      <c r="A38" s="36">
        <v>4358</v>
      </c>
      <c r="B38" s="14" t="s">
        <v>8739</v>
      </c>
      <c r="C38" s="31" t="s">
        <v>8740</v>
      </c>
      <c r="D38" s="17">
        <v>44131</v>
      </c>
      <c r="E38" s="14" t="s">
        <v>70</v>
      </c>
      <c r="F38" s="14">
        <v>58</v>
      </c>
      <c r="G38" s="14">
        <v>9</v>
      </c>
      <c r="H38" s="14">
        <v>20</v>
      </c>
      <c r="I38" s="14">
        <v>10</v>
      </c>
      <c r="J38" s="14" t="s">
        <v>31</v>
      </c>
      <c r="K38" s="14" cm="1">
        <f t="array" ref="K38">INT(SUMPRODUCT(--ISNUMBER(SEARCH(economy,C38)))&gt;0)</f>
        <v>0</v>
      </c>
      <c r="L38" s="14" cm="1">
        <f t="array" ref="L38">INT(SUMPRODUCT(--ISNUMBER(SEARCH(healthcare,C38)))&gt;0)</f>
        <v>0</v>
      </c>
      <c r="M38" s="14" cm="1">
        <f t="array" ref="M38">INT(SUMPRODUCT(--ISNUMBER(SEARCH(supreme,C38)))&gt;0)</f>
        <v>1</v>
      </c>
      <c r="N38" s="14" cm="1">
        <f t="array" ref="N38">INT(SUMPRODUCT(--ISNUMBER(SEARCH(covid,C38)))&gt;0)</f>
        <v>0</v>
      </c>
      <c r="O38" s="14" cm="1">
        <f t="array" ref="O38">INT(SUMPRODUCT(--ISNUMBER(SEARCH(violent,C38)))&gt;0)</f>
        <v>0</v>
      </c>
      <c r="P38" s="14" cm="1">
        <f t="array" ref="P38">INT(SUMPRODUCT(--ISNUMBER(SEARCH(foreign,C38)))&gt;0)</f>
        <v>0</v>
      </c>
      <c r="Q38" s="14" cm="1">
        <f t="array" ref="Q38">INT(SUMPRODUCT(--ISNUMBER(SEARCH(gun,C38)))&gt;0)</f>
        <v>0</v>
      </c>
      <c r="R38" s="14" cm="1">
        <f t="array" ref="R38">INT(SUMPRODUCT(--ISNUMBER(SEARCH(race,C38)))&gt;0)</f>
        <v>0</v>
      </c>
      <c r="S38" s="14" cm="1">
        <f t="array" ref="S38">INT(SUMPRODUCT(--ISNUMBER(SEARCH(immigration,C38)))&gt;0)</f>
        <v>0</v>
      </c>
      <c r="T38" s="14" cm="1">
        <f t="array" ref="T38">INT(SUMPRODUCT(--ISNUMBER(SEARCH(econineq,C39)))&gt;0)</f>
        <v>0</v>
      </c>
      <c r="U38" s="14" cm="1">
        <f t="array" ref="U38">INT(SUMPRODUCT(--ISNUMBER(SEARCH(climate,C38)))&gt;0)</f>
        <v>0</v>
      </c>
      <c r="V38" s="14" cm="1">
        <f t="array" ref="V38">INT(SUMPRODUCT(--ISNUMBER(SEARCH(abortion,C38)))&gt;0)</f>
        <v>0</v>
      </c>
      <c r="W38" s="14" cm="1">
        <f t="array" ref="W38">INT(SUMPRODUCT(--ISNUMBER(SEARCH(trump,C38)))&gt;0)</f>
        <v>0</v>
      </c>
      <c r="X38" s="14" cm="1">
        <f t="array" ref="X38">INT(SUMPRODUCT(--ISNUMBER(SEARCH(voting,C38)))&gt;0)</f>
        <v>0</v>
      </c>
      <c r="Y38" s="35" cm="1">
        <f t="array" ref="Y38">INT(SUMPRODUCT(--ISNUMBER(SEARCH(republicantrigger,C38)))&gt;0)</f>
        <v>0</v>
      </c>
      <c r="Z38" s="35" cm="1">
        <f t="array" ref="Z38">INT(SUMPRODUCT(--ISNUMBER(SEARCH(bipartisan,C38)))&gt;0)</f>
        <v>0</v>
      </c>
      <c r="AA38" s="35">
        <f t="shared" si="1"/>
        <v>0</v>
      </c>
      <c r="AB38" s="14"/>
      <c r="AC38" s="30" t="s">
        <v>223</v>
      </c>
      <c r="AD38" s="37" t="s">
        <v>223</v>
      </c>
    </row>
    <row r="39" spans="1:30" x14ac:dyDescent="0.25">
      <c r="A39" s="36">
        <v>4359</v>
      </c>
      <c r="B39" s="14" t="s">
        <v>8741</v>
      </c>
      <c r="C39" s="31" t="s">
        <v>8742</v>
      </c>
      <c r="D39" s="17">
        <v>44131</v>
      </c>
      <c r="E39" s="14" t="s">
        <v>70</v>
      </c>
      <c r="F39" s="14">
        <v>51</v>
      </c>
      <c r="G39" s="14">
        <v>10</v>
      </c>
      <c r="H39" s="14">
        <v>20</v>
      </c>
      <c r="I39" s="14">
        <v>10</v>
      </c>
      <c r="J39" s="14" t="s">
        <v>31</v>
      </c>
      <c r="K39" s="14" cm="1">
        <f t="array" ref="K39">INT(SUMPRODUCT(--ISNUMBER(SEARCH(economy,C39)))&gt;0)</f>
        <v>0</v>
      </c>
      <c r="L39" s="14" cm="1">
        <f t="array" ref="L39">INT(SUMPRODUCT(--ISNUMBER(SEARCH(healthcare,C39)))&gt;0)</f>
        <v>0</v>
      </c>
      <c r="M39" s="14" cm="1">
        <f t="array" ref="M39">INT(SUMPRODUCT(--ISNUMBER(SEARCH(supreme,C39)))&gt;0)</f>
        <v>0</v>
      </c>
      <c r="N39" s="14" cm="1">
        <f t="array" ref="N39">INT(SUMPRODUCT(--ISNUMBER(SEARCH(covid,C39)))&gt;0)</f>
        <v>0</v>
      </c>
      <c r="O39" s="14" cm="1">
        <f t="array" ref="O39">INT(SUMPRODUCT(--ISNUMBER(SEARCH(violent,C39)))&gt;0)</f>
        <v>0</v>
      </c>
      <c r="P39" s="14" cm="1">
        <f t="array" ref="P39">INT(SUMPRODUCT(--ISNUMBER(SEARCH(foreign,C39)))&gt;0)</f>
        <v>0</v>
      </c>
      <c r="Q39" s="14" cm="1">
        <f t="array" ref="Q39">INT(SUMPRODUCT(--ISNUMBER(SEARCH(gun,C39)))&gt;0)</f>
        <v>0</v>
      </c>
      <c r="R39" s="14" cm="1">
        <f t="array" ref="R39">INT(SUMPRODUCT(--ISNUMBER(SEARCH(race,C39)))&gt;0)</f>
        <v>0</v>
      </c>
      <c r="S39" s="14" cm="1">
        <f t="array" ref="S39">INT(SUMPRODUCT(--ISNUMBER(SEARCH(immigration,C39)))&gt;0)</f>
        <v>0</v>
      </c>
      <c r="T39" s="14" cm="1">
        <f t="array" ref="T39">INT(SUMPRODUCT(--ISNUMBER(SEARCH(econineq,C40)))&gt;0)</f>
        <v>0</v>
      </c>
      <c r="U39" s="14" cm="1">
        <f t="array" ref="U39">INT(SUMPRODUCT(--ISNUMBER(SEARCH(climate,C39)))&gt;0)</f>
        <v>0</v>
      </c>
      <c r="V39" s="14" cm="1">
        <f t="array" ref="V39">INT(SUMPRODUCT(--ISNUMBER(SEARCH(abortion,C39)))&gt;0)</f>
        <v>0</v>
      </c>
      <c r="W39" s="14" cm="1">
        <f t="array" ref="W39">INT(SUMPRODUCT(--ISNUMBER(SEARCH(trump,C39)))&gt;0)</f>
        <v>0</v>
      </c>
      <c r="X39" s="14" cm="1">
        <f t="array" ref="X39">INT(SUMPRODUCT(--ISNUMBER(SEARCH(voting,C39)))&gt;0)</f>
        <v>1</v>
      </c>
      <c r="Y39" s="35" cm="1">
        <f t="array" ref="Y39">INT(SUMPRODUCT(--ISNUMBER(SEARCH(republicantrigger,C39)))&gt;0)</f>
        <v>1</v>
      </c>
      <c r="Z39" s="35" cm="1">
        <f t="array" ref="Z39">INT(SUMPRODUCT(--ISNUMBER(SEARCH(bipartisan,C39)))&gt;0)</f>
        <v>0</v>
      </c>
      <c r="AA39" s="35">
        <f t="shared" si="1"/>
        <v>0</v>
      </c>
      <c r="AB39" s="14"/>
      <c r="AC39" s="30" t="s">
        <v>223</v>
      </c>
      <c r="AD39" s="37" t="s">
        <v>223</v>
      </c>
    </row>
    <row r="40" spans="1:30" x14ac:dyDescent="0.25">
      <c r="A40" s="36">
        <v>4360</v>
      </c>
      <c r="B40" s="14" t="s">
        <v>8743</v>
      </c>
      <c r="C40" s="31" t="s">
        <v>8744</v>
      </c>
      <c r="D40" s="17">
        <v>44131</v>
      </c>
      <c r="E40" s="14" t="s">
        <v>30</v>
      </c>
      <c r="F40" s="14">
        <v>1544</v>
      </c>
      <c r="G40" s="14">
        <v>213</v>
      </c>
      <c r="H40" s="14">
        <v>20</v>
      </c>
      <c r="I40" s="14">
        <v>10</v>
      </c>
      <c r="J40" s="14" t="s">
        <v>31</v>
      </c>
      <c r="K40" s="14" cm="1">
        <f t="array" ref="K40">INT(SUMPRODUCT(--ISNUMBER(SEARCH(economy,C40)))&gt;0)</f>
        <v>0</v>
      </c>
      <c r="L40" s="14" cm="1">
        <f t="array" ref="L40">INT(SUMPRODUCT(--ISNUMBER(SEARCH(healthcare,C40)))&gt;0)</f>
        <v>0</v>
      </c>
      <c r="M40" s="14" cm="1">
        <f t="array" ref="M40">INT(SUMPRODUCT(--ISNUMBER(SEARCH(supreme,C40)))&gt;0)</f>
        <v>1</v>
      </c>
      <c r="N40" s="14" cm="1">
        <f t="array" ref="N40">INT(SUMPRODUCT(--ISNUMBER(SEARCH(covid,C40)))&gt;0)</f>
        <v>0</v>
      </c>
      <c r="O40" s="14" cm="1">
        <f t="array" ref="O40">INT(SUMPRODUCT(--ISNUMBER(SEARCH(violent,C40)))&gt;0)</f>
        <v>0</v>
      </c>
      <c r="P40" s="14" cm="1">
        <f t="array" ref="P40">INT(SUMPRODUCT(--ISNUMBER(SEARCH(foreign,C40)))&gt;0)</f>
        <v>0</v>
      </c>
      <c r="Q40" s="14" cm="1">
        <f t="array" ref="Q40">INT(SUMPRODUCT(--ISNUMBER(SEARCH(gun,C40)))&gt;0)</f>
        <v>0</v>
      </c>
      <c r="R40" s="14" cm="1">
        <f t="array" ref="R40">INT(SUMPRODUCT(--ISNUMBER(SEARCH(race,C40)))&gt;0)</f>
        <v>0</v>
      </c>
      <c r="S40" s="14" cm="1">
        <f t="array" ref="S40">INT(SUMPRODUCT(--ISNUMBER(SEARCH(immigration,C40)))&gt;0)</f>
        <v>0</v>
      </c>
      <c r="T40" s="14" cm="1">
        <f t="array" ref="T40">INT(SUMPRODUCT(--ISNUMBER(SEARCH(econineq,C41)))&gt;0)</f>
        <v>0</v>
      </c>
      <c r="U40" s="14" cm="1">
        <f t="array" ref="U40">INT(SUMPRODUCT(--ISNUMBER(SEARCH(climate,C40)))&gt;0)</f>
        <v>0</v>
      </c>
      <c r="V40" s="14" cm="1">
        <f t="array" ref="V40">INT(SUMPRODUCT(--ISNUMBER(SEARCH(abortion,C40)))&gt;0)</f>
        <v>0</v>
      </c>
      <c r="W40" s="14" cm="1">
        <f t="array" ref="W40">INT(SUMPRODUCT(--ISNUMBER(SEARCH(trump,C40)))&gt;0)</f>
        <v>0</v>
      </c>
      <c r="X40" s="14" cm="1">
        <f t="array" ref="X40">INT(SUMPRODUCT(--ISNUMBER(SEARCH(voting,C40)))&gt;0)</f>
        <v>0</v>
      </c>
      <c r="Y40" s="35" cm="1">
        <f t="array" ref="Y40">INT(SUMPRODUCT(--ISNUMBER(SEARCH(republicantrigger,C40)))&gt;0)</f>
        <v>0</v>
      </c>
      <c r="Z40" s="35" cm="1">
        <f t="array" ref="Z40">INT(SUMPRODUCT(--ISNUMBER(SEARCH(bipartisan,C40)))&gt;0)</f>
        <v>0</v>
      </c>
      <c r="AA40" s="35">
        <f t="shared" si="1"/>
        <v>0</v>
      </c>
      <c r="AB40" s="14"/>
      <c r="AC40" s="30">
        <v>1</v>
      </c>
      <c r="AD40" s="37">
        <v>0</v>
      </c>
    </row>
    <row r="41" spans="1:30" x14ac:dyDescent="0.25">
      <c r="A41" s="36">
        <v>4361</v>
      </c>
      <c r="B41" s="14" t="s">
        <v>8745</v>
      </c>
      <c r="C41" s="31" t="s">
        <v>8746</v>
      </c>
      <c r="D41" s="17">
        <v>44130</v>
      </c>
      <c r="E41" s="14" t="s">
        <v>30</v>
      </c>
      <c r="F41" s="14">
        <v>71</v>
      </c>
      <c r="G41" s="14">
        <v>35</v>
      </c>
      <c r="H41" s="14">
        <v>20</v>
      </c>
      <c r="I41" s="14">
        <v>10</v>
      </c>
      <c r="J41" s="14" t="s">
        <v>31</v>
      </c>
      <c r="K41" s="14" cm="1">
        <f t="array" ref="K41">INT(SUMPRODUCT(--ISNUMBER(SEARCH(economy,C41)))&gt;0)</f>
        <v>0</v>
      </c>
      <c r="L41" s="14" cm="1">
        <f t="array" ref="L41">INT(SUMPRODUCT(--ISNUMBER(SEARCH(healthcare,C41)))&gt;0)</f>
        <v>0</v>
      </c>
      <c r="M41" s="14" cm="1">
        <f t="array" ref="M41">INT(SUMPRODUCT(--ISNUMBER(SEARCH(supreme,C41)))&gt;0)</f>
        <v>0</v>
      </c>
      <c r="N41" s="14" cm="1">
        <f t="array" ref="N41">INT(SUMPRODUCT(--ISNUMBER(SEARCH(covid,C41)))&gt;0)</f>
        <v>0</v>
      </c>
      <c r="O41" s="14" cm="1">
        <f t="array" ref="O41">INT(SUMPRODUCT(--ISNUMBER(SEARCH(violent,C41)))&gt;0)</f>
        <v>0</v>
      </c>
      <c r="P41" s="14" cm="1">
        <f t="array" ref="P41">INT(SUMPRODUCT(--ISNUMBER(SEARCH(foreign,C41)))&gt;0)</f>
        <v>0</v>
      </c>
      <c r="Q41" s="14" cm="1">
        <f t="array" ref="Q41">INT(SUMPRODUCT(--ISNUMBER(SEARCH(gun,C41)))&gt;0)</f>
        <v>0</v>
      </c>
      <c r="R41" s="14" cm="1">
        <f t="array" ref="R41">INT(SUMPRODUCT(--ISNUMBER(SEARCH(race,C41)))&gt;0)</f>
        <v>0</v>
      </c>
      <c r="S41" s="14" cm="1">
        <f t="array" ref="S41">INT(SUMPRODUCT(--ISNUMBER(SEARCH(immigration,C41)))&gt;0)</f>
        <v>0</v>
      </c>
      <c r="T41" s="14" cm="1">
        <f t="array" ref="T41">INT(SUMPRODUCT(--ISNUMBER(SEARCH(econineq,C42)))&gt;0)</f>
        <v>0</v>
      </c>
      <c r="U41" s="14" cm="1">
        <f t="array" ref="U41">INT(SUMPRODUCT(--ISNUMBER(SEARCH(climate,C41)))&gt;0)</f>
        <v>0</v>
      </c>
      <c r="V41" s="14" cm="1">
        <f t="array" ref="V41">INT(SUMPRODUCT(--ISNUMBER(SEARCH(abortion,C41)))&gt;0)</f>
        <v>0</v>
      </c>
      <c r="W41" s="14" cm="1">
        <f t="array" ref="W41">INT(SUMPRODUCT(--ISNUMBER(SEARCH(trump,C41)))&gt;0)</f>
        <v>0</v>
      </c>
      <c r="X41" s="14" cm="1">
        <f t="array" ref="X41">INT(SUMPRODUCT(--ISNUMBER(SEARCH(voting,C41)))&gt;0)</f>
        <v>0</v>
      </c>
      <c r="Y41" s="35" cm="1">
        <f t="array" ref="Y41">INT(SUMPRODUCT(--ISNUMBER(SEARCH(republicantrigger,C41)))&gt;0)</f>
        <v>1</v>
      </c>
      <c r="Z41" s="35" cm="1">
        <f t="array" ref="Z41">INT(SUMPRODUCT(--ISNUMBER(SEARCH(bipartisan,C41)))&gt;0)</f>
        <v>0</v>
      </c>
      <c r="AA41" s="35">
        <f t="shared" si="1"/>
        <v>0</v>
      </c>
      <c r="AB41" s="14"/>
      <c r="AC41" s="30" t="s">
        <v>223</v>
      </c>
      <c r="AD41" s="37" t="s">
        <v>223</v>
      </c>
    </row>
    <row r="42" spans="1:30" x14ac:dyDescent="0.25">
      <c r="A42" s="36">
        <v>4362</v>
      </c>
      <c r="B42" s="14" t="s">
        <v>8747</v>
      </c>
      <c r="C42" s="31" t="s">
        <v>8748</v>
      </c>
      <c r="D42" s="17">
        <v>44128</v>
      </c>
      <c r="E42" s="14" t="s">
        <v>30</v>
      </c>
      <c r="F42" s="14">
        <v>484</v>
      </c>
      <c r="G42" s="14">
        <v>150</v>
      </c>
      <c r="H42" s="14">
        <v>20</v>
      </c>
      <c r="I42" s="14">
        <v>10</v>
      </c>
      <c r="J42" s="14" t="s">
        <v>31</v>
      </c>
      <c r="K42" s="14" cm="1">
        <f t="array" ref="K42">INT(SUMPRODUCT(--ISNUMBER(SEARCH(economy,C42)))&gt;0)</f>
        <v>0</v>
      </c>
      <c r="L42" s="14" cm="1">
        <f t="array" ref="L42">INT(SUMPRODUCT(--ISNUMBER(SEARCH(healthcare,C42)))&gt;0)</f>
        <v>0</v>
      </c>
      <c r="M42" s="14" cm="1">
        <f t="array" ref="M42">INT(SUMPRODUCT(--ISNUMBER(SEARCH(supreme,C42)))&gt;0)</f>
        <v>0</v>
      </c>
      <c r="N42" s="14" cm="1">
        <f t="array" ref="N42">INT(SUMPRODUCT(--ISNUMBER(SEARCH(covid,C42)))&gt;0)</f>
        <v>1</v>
      </c>
      <c r="O42" s="14" cm="1">
        <f t="array" ref="O42">INT(SUMPRODUCT(--ISNUMBER(SEARCH(violent,C42)))&gt;0)</f>
        <v>0</v>
      </c>
      <c r="P42" s="14" cm="1">
        <f t="array" ref="P42">INT(SUMPRODUCT(--ISNUMBER(SEARCH(foreign,C42)))&gt;0)</f>
        <v>0</v>
      </c>
      <c r="Q42" s="14" cm="1">
        <f t="array" ref="Q42">INT(SUMPRODUCT(--ISNUMBER(SEARCH(gun,C42)))&gt;0)</f>
        <v>0</v>
      </c>
      <c r="R42" s="14" cm="1">
        <f t="array" ref="R42">INT(SUMPRODUCT(--ISNUMBER(SEARCH(race,C42)))&gt;0)</f>
        <v>0</v>
      </c>
      <c r="S42" s="14" cm="1">
        <f t="array" ref="S42">INT(SUMPRODUCT(--ISNUMBER(SEARCH(immigration,C42)))&gt;0)</f>
        <v>0</v>
      </c>
      <c r="T42" s="14" cm="1">
        <f t="array" ref="T42">INT(SUMPRODUCT(--ISNUMBER(SEARCH(econineq,C43)))&gt;0)</f>
        <v>0</v>
      </c>
      <c r="U42" s="14" cm="1">
        <f t="array" ref="U42">INT(SUMPRODUCT(--ISNUMBER(SEARCH(climate,C42)))&gt;0)</f>
        <v>0</v>
      </c>
      <c r="V42" s="14" cm="1">
        <f t="array" ref="V42">INT(SUMPRODUCT(--ISNUMBER(SEARCH(abortion,C42)))&gt;0)</f>
        <v>0</v>
      </c>
      <c r="W42" s="14" cm="1">
        <f t="array" ref="W42">INT(SUMPRODUCT(--ISNUMBER(SEARCH(trump,C42)))&gt;0)</f>
        <v>0</v>
      </c>
      <c r="X42" s="14" cm="1">
        <f t="array" ref="X42">INT(SUMPRODUCT(--ISNUMBER(SEARCH(voting,C42)))&gt;0)</f>
        <v>1</v>
      </c>
      <c r="Y42" s="35" cm="1">
        <f t="array" ref="Y42">INT(SUMPRODUCT(--ISNUMBER(SEARCH(republicantrigger,C42)))&gt;0)</f>
        <v>1</v>
      </c>
      <c r="Z42" s="35" cm="1">
        <f t="array" ref="Z42">INT(SUMPRODUCT(--ISNUMBER(SEARCH(bipartisan,C42)))&gt;0)</f>
        <v>0</v>
      </c>
      <c r="AA42" s="35">
        <f t="shared" si="1"/>
        <v>0</v>
      </c>
      <c r="AB42" s="14"/>
      <c r="AC42" s="30">
        <v>1</v>
      </c>
      <c r="AD42" s="37">
        <v>0</v>
      </c>
    </row>
    <row r="43" spans="1:30" x14ac:dyDescent="0.25">
      <c r="A43" s="36">
        <v>4363</v>
      </c>
      <c r="B43" s="14" t="s">
        <v>8749</v>
      </c>
      <c r="C43" s="31" t="s">
        <v>8750</v>
      </c>
      <c r="D43" s="17">
        <v>44128</v>
      </c>
      <c r="E43" s="14" t="s">
        <v>30</v>
      </c>
      <c r="F43" s="14">
        <v>139</v>
      </c>
      <c r="G43" s="14">
        <v>39</v>
      </c>
      <c r="H43" s="14">
        <v>20</v>
      </c>
      <c r="I43" s="14">
        <v>10</v>
      </c>
      <c r="J43" s="14" t="s">
        <v>31</v>
      </c>
      <c r="K43" s="14" cm="1">
        <f t="array" ref="K43">INT(SUMPRODUCT(--ISNUMBER(SEARCH(economy,C43)))&gt;0)</f>
        <v>0</v>
      </c>
      <c r="L43" s="14" cm="1">
        <f t="array" ref="L43">INT(SUMPRODUCT(--ISNUMBER(SEARCH(healthcare,C43)))&gt;0)</f>
        <v>0</v>
      </c>
      <c r="M43" s="14" cm="1">
        <f t="array" ref="M43">INT(SUMPRODUCT(--ISNUMBER(SEARCH(supreme,C43)))&gt;0)</f>
        <v>0</v>
      </c>
      <c r="N43" s="14" cm="1">
        <f t="array" ref="N43">INT(SUMPRODUCT(--ISNUMBER(SEARCH(covid,C43)))&gt;0)</f>
        <v>0</v>
      </c>
      <c r="O43" s="14" cm="1">
        <f t="array" ref="O43">INT(SUMPRODUCT(--ISNUMBER(SEARCH(violent,C43)))&gt;0)</f>
        <v>0</v>
      </c>
      <c r="P43" s="14" cm="1">
        <f t="array" ref="P43">INT(SUMPRODUCT(--ISNUMBER(SEARCH(foreign,C43)))&gt;0)</f>
        <v>0</v>
      </c>
      <c r="Q43" s="14" cm="1">
        <f t="array" ref="Q43">INT(SUMPRODUCT(--ISNUMBER(SEARCH(gun,C43)))&gt;0)</f>
        <v>0</v>
      </c>
      <c r="R43" s="14" cm="1">
        <f t="array" ref="R43">INT(SUMPRODUCT(--ISNUMBER(SEARCH(race,C43)))&gt;0)</f>
        <v>0</v>
      </c>
      <c r="S43" s="14" cm="1">
        <f t="array" ref="S43">INT(SUMPRODUCT(--ISNUMBER(SEARCH(immigration,C43)))&gt;0)</f>
        <v>0</v>
      </c>
      <c r="T43" s="14" cm="1">
        <f t="array" ref="T43">INT(SUMPRODUCT(--ISNUMBER(SEARCH(econineq,C44)))&gt;0)</f>
        <v>0</v>
      </c>
      <c r="U43" s="14" cm="1">
        <f t="array" ref="U43">INT(SUMPRODUCT(--ISNUMBER(SEARCH(climate,C43)))&gt;0)</f>
        <v>0</v>
      </c>
      <c r="V43" s="14" cm="1">
        <f t="array" ref="V43">INT(SUMPRODUCT(--ISNUMBER(SEARCH(abortion,C43)))&gt;0)</f>
        <v>0</v>
      </c>
      <c r="W43" s="14" cm="1">
        <f t="array" ref="W43">INT(SUMPRODUCT(--ISNUMBER(SEARCH(trump,C43)))&gt;0)</f>
        <v>0</v>
      </c>
      <c r="X43" s="14" cm="1">
        <f t="array" ref="X43">INT(SUMPRODUCT(--ISNUMBER(SEARCH(voting,C43)))&gt;0)</f>
        <v>1</v>
      </c>
      <c r="Y43" s="35" cm="1">
        <f t="array" ref="Y43">INT(SUMPRODUCT(--ISNUMBER(SEARCH(republicantrigger,C43)))&gt;0)</f>
        <v>0</v>
      </c>
      <c r="Z43" s="35" cm="1">
        <f t="array" ref="Z43">INT(SUMPRODUCT(--ISNUMBER(SEARCH(bipartisan,C43)))&gt;0)</f>
        <v>0</v>
      </c>
      <c r="AA43" s="35">
        <f t="shared" si="1"/>
        <v>0</v>
      </c>
      <c r="AB43" s="14"/>
      <c r="AC43" s="30">
        <v>1</v>
      </c>
      <c r="AD43" s="37">
        <v>0</v>
      </c>
    </row>
    <row r="44" spans="1:30" x14ac:dyDescent="0.25">
      <c r="A44" s="36">
        <v>4364</v>
      </c>
      <c r="B44" s="14" t="s">
        <v>8751</v>
      </c>
      <c r="C44" s="31" t="s">
        <v>8752</v>
      </c>
      <c r="D44" s="17">
        <v>44128</v>
      </c>
      <c r="E44" s="14" t="s">
        <v>30</v>
      </c>
      <c r="F44" s="14">
        <v>87</v>
      </c>
      <c r="G44" s="14">
        <v>30</v>
      </c>
      <c r="H44" s="14">
        <v>20</v>
      </c>
      <c r="I44" s="14">
        <v>10</v>
      </c>
      <c r="J44" s="14" t="s">
        <v>31</v>
      </c>
      <c r="K44" s="14" cm="1">
        <f t="array" ref="K44">INT(SUMPRODUCT(--ISNUMBER(SEARCH(economy,C44)))&gt;0)</f>
        <v>0</v>
      </c>
      <c r="L44" s="14" cm="1">
        <f t="array" ref="L44">INT(SUMPRODUCT(--ISNUMBER(SEARCH(healthcare,C44)))&gt;0)</f>
        <v>0</v>
      </c>
      <c r="M44" s="14" cm="1">
        <f t="array" ref="M44">INT(SUMPRODUCT(--ISNUMBER(SEARCH(supreme,C44)))&gt;0)</f>
        <v>0</v>
      </c>
      <c r="N44" s="14" cm="1">
        <f t="array" ref="N44">INT(SUMPRODUCT(--ISNUMBER(SEARCH(covid,C44)))&gt;0)</f>
        <v>0</v>
      </c>
      <c r="O44" s="14" cm="1">
        <f t="array" ref="O44">INT(SUMPRODUCT(--ISNUMBER(SEARCH(violent,C44)))&gt;0)</f>
        <v>0</v>
      </c>
      <c r="P44" s="14" cm="1">
        <f t="array" ref="P44">INT(SUMPRODUCT(--ISNUMBER(SEARCH(foreign,C44)))&gt;0)</f>
        <v>0</v>
      </c>
      <c r="Q44" s="14" cm="1">
        <f t="array" ref="Q44">INT(SUMPRODUCT(--ISNUMBER(SEARCH(gun,C44)))&gt;0)</f>
        <v>0</v>
      </c>
      <c r="R44" s="14" cm="1">
        <f t="array" ref="R44">INT(SUMPRODUCT(--ISNUMBER(SEARCH(race,C44)))&gt;0)</f>
        <v>0</v>
      </c>
      <c r="S44" s="14" cm="1">
        <f t="array" ref="S44">INT(SUMPRODUCT(--ISNUMBER(SEARCH(immigration,C44)))&gt;0)</f>
        <v>0</v>
      </c>
      <c r="T44" s="14" cm="1">
        <f t="array" ref="T44">INT(SUMPRODUCT(--ISNUMBER(SEARCH(econineq,C45)))&gt;0)</f>
        <v>0</v>
      </c>
      <c r="U44" s="14" cm="1">
        <f t="array" ref="U44">INT(SUMPRODUCT(--ISNUMBER(SEARCH(climate,C44)))&gt;0)</f>
        <v>0</v>
      </c>
      <c r="V44" s="14" cm="1">
        <f t="array" ref="V44">INT(SUMPRODUCT(--ISNUMBER(SEARCH(abortion,C44)))&gt;0)</f>
        <v>0</v>
      </c>
      <c r="W44" s="14" cm="1">
        <f t="array" ref="W44">INT(SUMPRODUCT(--ISNUMBER(SEARCH(trump,C44)))&gt;0)</f>
        <v>0</v>
      </c>
      <c r="X44" s="14" cm="1">
        <f t="array" ref="X44">INT(SUMPRODUCT(--ISNUMBER(SEARCH(voting,C44)))&gt;0)</f>
        <v>0</v>
      </c>
      <c r="Y44" s="35" cm="1">
        <f t="array" ref="Y44">INT(SUMPRODUCT(--ISNUMBER(SEARCH(republicantrigger,C44)))&gt;0)</f>
        <v>0</v>
      </c>
      <c r="Z44" s="35" cm="1">
        <f t="array" ref="Z44">INT(SUMPRODUCT(--ISNUMBER(SEARCH(bipartisan,C44)))&gt;0)</f>
        <v>0</v>
      </c>
      <c r="AA44" s="35">
        <f t="shared" si="1"/>
        <v>1</v>
      </c>
      <c r="AB44" s="14"/>
      <c r="AC44" s="30" t="s">
        <v>223</v>
      </c>
      <c r="AD44" s="37" t="s">
        <v>223</v>
      </c>
    </row>
    <row r="45" spans="1:30" x14ac:dyDescent="0.25">
      <c r="A45" s="36">
        <v>4365</v>
      </c>
      <c r="B45" s="14" t="s">
        <v>8753</v>
      </c>
      <c r="C45" s="31" t="s">
        <v>8754</v>
      </c>
      <c r="D45" s="17">
        <v>44127</v>
      </c>
      <c r="E45" s="14" t="s">
        <v>30</v>
      </c>
      <c r="F45" s="14">
        <v>884</v>
      </c>
      <c r="G45" s="14">
        <v>273</v>
      </c>
      <c r="H45" s="14">
        <v>20</v>
      </c>
      <c r="I45" s="14">
        <v>10</v>
      </c>
      <c r="J45" s="14" t="s">
        <v>31</v>
      </c>
      <c r="K45" s="14" cm="1">
        <f t="array" ref="K45">INT(SUMPRODUCT(--ISNUMBER(SEARCH(economy,C45)))&gt;0)</f>
        <v>0</v>
      </c>
      <c r="L45" s="14" cm="1">
        <f t="array" ref="L45">INT(SUMPRODUCT(--ISNUMBER(SEARCH(healthcare,C45)))&gt;0)</f>
        <v>0</v>
      </c>
      <c r="M45" s="14" cm="1">
        <f t="array" ref="M45">INT(SUMPRODUCT(--ISNUMBER(SEARCH(supreme,C45)))&gt;0)</f>
        <v>0</v>
      </c>
      <c r="N45" s="14" cm="1">
        <f t="array" ref="N45">INT(SUMPRODUCT(--ISNUMBER(SEARCH(covid,C45)))&gt;0)</f>
        <v>0</v>
      </c>
      <c r="O45" s="14" cm="1">
        <f t="array" ref="O45">INT(SUMPRODUCT(--ISNUMBER(SEARCH(violent,C45)))&gt;0)</f>
        <v>0</v>
      </c>
      <c r="P45" s="14" cm="1">
        <f t="array" ref="P45">INT(SUMPRODUCT(--ISNUMBER(SEARCH(foreign,C45)))&gt;0)</f>
        <v>0</v>
      </c>
      <c r="Q45" s="14" cm="1">
        <f t="array" ref="Q45">INT(SUMPRODUCT(--ISNUMBER(SEARCH(gun,C45)))&gt;0)</f>
        <v>0</v>
      </c>
      <c r="R45" s="14" cm="1">
        <f t="array" ref="R45">INT(SUMPRODUCT(--ISNUMBER(SEARCH(race,C45)))&gt;0)</f>
        <v>0</v>
      </c>
      <c r="S45" s="14" cm="1">
        <f t="array" ref="S45">INT(SUMPRODUCT(--ISNUMBER(SEARCH(immigration,C45)))&gt;0)</f>
        <v>0</v>
      </c>
      <c r="T45" s="14" cm="1">
        <f t="array" ref="T45">INT(SUMPRODUCT(--ISNUMBER(SEARCH(econineq,C46)))&gt;0)</f>
        <v>0</v>
      </c>
      <c r="U45" s="14" cm="1">
        <f t="array" ref="U45">INT(SUMPRODUCT(--ISNUMBER(SEARCH(climate,C45)))&gt;0)</f>
        <v>0</v>
      </c>
      <c r="V45" s="14" cm="1">
        <f t="array" ref="V45">INT(SUMPRODUCT(--ISNUMBER(SEARCH(abortion,C45)))&gt;0)</f>
        <v>0</v>
      </c>
      <c r="W45" s="14" cm="1">
        <f t="array" ref="W45">INT(SUMPRODUCT(--ISNUMBER(SEARCH(trump,C45)))&gt;0)</f>
        <v>0</v>
      </c>
      <c r="X45" s="14" cm="1">
        <f t="array" ref="X45">INT(SUMPRODUCT(--ISNUMBER(SEARCH(voting,C45)))&gt;0)</f>
        <v>0</v>
      </c>
      <c r="Y45" s="35" cm="1">
        <f t="array" ref="Y45">INT(SUMPRODUCT(--ISNUMBER(SEARCH(republicantrigger,C45)))&gt;0)</f>
        <v>1</v>
      </c>
      <c r="Z45" s="35" cm="1">
        <f t="array" ref="Z45">INT(SUMPRODUCT(--ISNUMBER(SEARCH(bipartisan,C45)))&gt;0)</f>
        <v>0</v>
      </c>
      <c r="AA45" s="35">
        <f t="shared" si="1"/>
        <v>0</v>
      </c>
      <c r="AB45" s="14"/>
      <c r="AC45" s="30" t="s">
        <v>223</v>
      </c>
      <c r="AD45" s="37" t="s">
        <v>223</v>
      </c>
    </row>
    <row r="46" spans="1:30" x14ac:dyDescent="0.25">
      <c r="A46" s="36">
        <v>4366</v>
      </c>
      <c r="B46" s="14" t="s">
        <v>8755</v>
      </c>
      <c r="C46" s="31" t="s">
        <v>8756</v>
      </c>
      <c r="D46" s="17">
        <v>44127</v>
      </c>
      <c r="E46" s="14" t="s">
        <v>30</v>
      </c>
      <c r="F46" s="14">
        <v>123</v>
      </c>
      <c r="G46" s="14">
        <v>50</v>
      </c>
      <c r="H46" s="14">
        <v>20</v>
      </c>
      <c r="I46" s="14">
        <v>10</v>
      </c>
      <c r="J46" s="14" t="s">
        <v>31</v>
      </c>
      <c r="K46" s="14" cm="1">
        <f t="array" ref="K46">INT(SUMPRODUCT(--ISNUMBER(SEARCH(economy,C46)))&gt;0)</f>
        <v>0</v>
      </c>
      <c r="L46" s="14" cm="1">
        <f t="array" ref="L46">INT(SUMPRODUCT(--ISNUMBER(SEARCH(healthcare,C46)))&gt;0)</f>
        <v>0</v>
      </c>
      <c r="M46" s="14" cm="1">
        <f t="array" ref="M46">INT(SUMPRODUCT(--ISNUMBER(SEARCH(supreme,C46)))&gt;0)</f>
        <v>0</v>
      </c>
      <c r="N46" s="14" cm="1">
        <f t="array" ref="N46">INT(SUMPRODUCT(--ISNUMBER(SEARCH(covid,C46)))&gt;0)</f>
        <v>1</v>
      </c>
      <c r="O46" s="14" cm="1">
        <f t="array" ref="O46">INT(SUMPRODUCT(--ISNUMBER(SEARCH(violent,C46)))&gt;0)</f>
        <v>0</v>
      </c>
      <c r="P46" s="14" cm="1">
        <f t="array" ref="P46">INT(SUMPRODUCT(--ISNUMBER(SEARCH(foreign,C46)))&gt;0)</f>
        <v>0</v>
      </c>
      <c r="Q46" s="14" cm="1">
        <f t="array" ref="Q46">INT(SUMPRODUCT(--ISNUMBER(SEARCH(gun,C46)))&gt;0)</f>
        <v>0</v>
      </c>
      <c r="R46" s="14" cm="1">
        <f t="array" ref="R46">INT(SUMPRODUCT(--ISNUMBER(SEARCH(race,C46)))&gt;0)</f>
        <v>0</v>
      </c>
      <c r="S46" s="14" cm="1">
        <f t="array" ref="S46">INT(SUMPRODUCT(--ISNUMBER(SEARCH(immigration,C46)))&gt;0)</f>
        <v>0</v>
      </c>
      <c r="T46" s="14" cm="1">
        <f t="array" ref="T46">INT(SUMPRODUCT(--ISNUMBER(SEARCH(econineq,C47)))&gt;0)</f>
        <v>0</v>
      </c>
      <c r="U46" s="14" cm="1">
        <f t="array" ref="U46">INT(SUMPRODUCT(--ISNUMBER(SEARCH(climate,C46)))&gt;0)</f>
        <v>0</v>
      </c>
      <c r="V46" s="14" cm="1">
        <f t="array" ref="V46">INT(SUMPRODUCT(--ISNUMBER(SEARCH(abortion,C46)))&gt;0)</f>
        <v>0</v>
      </c>
      <c r="W46" s="14" cm="1">
        <f t="array" ref="W46">INT(SUMPRODUCT(--ISNUMBER(SEARCH(trump,C46)))&gt;0)</f>
        <v>0</v>
      </c>
      <c r="X46" s="14" cm="1">
        <f t="array" ref="X46">INT(SUMPRODUCT(--ISNUMBER(SEARCH(voting,C46)))&gt;0)</f>
        <v>1</v>
      </c>
      <c r="Y46" s="35" cm="1">
        <f t="array" ref="Y46">INT(SUMPRODUCT(--ISNUMBER(SEARCH(republicantrigger,C46)))&gt;0)</f>
        <v>1</v>
      </c>
      <c r="Z46" s="35" cm="1">
        <f t="array" ref="Z46">INT(SUMPRODUCT(--ISNUMBER(SEARCH(bipartisan,C46)))&gt;0)</f>
        <v>0</v>
      </c>
      <c r="AA46" s="35">
        <f t="shared" si="1"/>
        <v>0</v>
      </c>
      <c r="AB46" s="14"/>
      <c r="AC46" s="30" t="s">
        <v>223</v>
      </c>
      <c r="AD46" s="37" t="s">
        <v>223</v>
      </c>
    </row>
    <row r="47" spans="1:30" x14ac:dyDescent="0.25">
      <c r="A47" s="36">
        <v>4367</v>
      </c>
      <c r="B47" s="14" t="s">
        <v>8757</v>
      </c>
      <c r="C47" s="31" t="s">
        <v>8758</v>
      </c>
      <c r="D47" s="17">
        <v>44127</v>
      </c>
      <c r="E47" s="14" t="s">
        <v>30</v>
      </c>
      <c r="F47" s="14">
        <v>585</v>
      </c>
      <c r="G47" s="14">
        <v>166</v>
      </c>
      <c r="H47" s="14">
        <v>20</v>
      </c>
      <c r="I47" s="14">
        <v>10</v>
      </c>
      <c r="J47" s="14" t="s">
        <v>31</v>
      </c>
      <c r="K47" s="14" cm="1">
        <f t="array" ref="K47">INT(SUMPRODUCT(--ISNUMBER(SEARCH(economy,C47)))&gt;0)</f>
        <v>0</v>
      </c>
      <c r="L47" s="14" cm="1">
        <f t="array" ref="L47">INT(SUMPRODUCT(--ISNUMBER(SEARCH(healthcare,C47)))&gt;0)</f>
        <v>0</v>
      </c>
      <c r="M47" s="14" cm="1">
        <f t="array" ref="M47">INT(SUMPRODUCT(--ISNUMBER(SEARCH(supreme,C47)))&gt;0)</f>
        <v>0</v>
      </c>
      <c r="N47" s="14" cm="1">
        <f t="array" ref="N47">INT(SUMPRODUCT(--ISNUMBER(SEARCH(covid,C47)))&gt;0)</f>
        <v>0</v>
      </c>
      <c r="O47" s="14" cm="1">
        <f t="array" ref="O47">INT(SUMPRODUCT(--ISNUMBER(SEARCH(violent,C47)))&gt;0)</f>
        <v>0</v>
      </c>
      <c r="P47" s="14" cm="1">
        <f t="array" ref="P47">INT(SUMPRODUCT(--ISNUMBER(SEARCH(foreign,C47)))&gt;0)</f>
        <v>0</v>
      </c>
      <c r="Q47" s="14" cm="1">
        <f t="array" ref="Q47">INT(SUMPRODUCT(--ISNUMBER(SEARCH(gun,C47)))&gt;0)</f>
        <v>0</v>
      </c>
      <c r="R47" s="14" cm="1">
        <f t="array" ref="R47">INT(SUMPRODUCT(--ISNUMBER(SEARCH(race,C47)))&gt;0)</f>
        <v>0</v>
      </c>
      <c r="S47" s="14" cm="1">
        <f t="array" ref="S47">INT(SUMPRODUCT(--ISNUMBER(SEARCH(immigration,C47)))&gt;0)</f>
        <v>1</v>
      </c>
      <c r="T47" s="14" cm="1">
        <f t="array" ref="T47">INT(SUMPRODUCT(--ISNUMBER(SEARCH(econineq,C48)))&gt;0)</f>
        <v>0</v>
      </c>
      <c r="U47" s="14" cm="1">
        <f t="array" ref="U47">INT(SUMPRODUCT(--ISNUMBER(SEARCH(climate,C47)))&gt;0)</f>
        <v>0</v>
      </c>
      <c r="V47" s="14" cm="1">
        <f t="array" ref="V47">INT(SUMPRODUCT(--ISNUMBER(SEARCH(abortion,C47)))&gt;0)</f>
        <v>0</v>
      </c>
      <c r="W47" s="14" cm="1">
        <f t="array" ref="W47">INT(SUMPRODUCT(--ISNUMBER(SEARCH(trump,C47)))&gt;0)</f>
        <v>0</v>
      </c>
      <c r="X47" s="14" cm="1">
        <f t="array" ref="X47">INT(SUMPRODUCT(--ISNUMBER(SEARCH(voting,C47)))&gt;0)</f>
        <v>0</v>
      </c>
      <c r="Y47" s="35" cm="1">
        <f t="array" ref="Y47">INT(SUMPRODUCT(--ISNUMBER(SEARCH(republicantrigger,C47)))&gt;0)</f>
        <v>1</v>
      </c>
      <c r="Z47" s="35" cm="1">
        <f t="array" ref="Z47">INT(SUMPRODUCT(--ISNUMBER(SEARCH(bipartisan,C47)))&gt;0)</f>
        <v>0</v>
      </c>
      <c r="AA47" s="35">
        <f t="shared" si="1"/>
        <v>0</v>
      </c>
      <c r="AB47" s="14"/>
      <c r="AC47" s="30" t="s">
        <v>223</v>
      </c>
      <c r="AD47" s="37" t="s">
        <v>223</v>
      </c>
    </row>
    <row r="48" spans="1:30" x14ac:dyDescent="0.25">
      <c r="A48" s="36">
        <v>4368</v>
      </c>
      <c r="B48" s="14" t="s">
        <v>8759</v>
      </c>
      <c r="C48" s="31" t="s">
        <v>8760</v>
      </c>
      <c r="D48" s="17">
        <v>44127</v>
      </c>
      <c r="E48" s="14" t="s">
        <v>30</v>
      </c>
      <c r="F48" s="14">
        <v>80</v>
      </c>
      <c r="G48" s="14">
        <v>35</v>
      </c>
      <c r="H48" s="14">
        <v>20</v>
      </c>
      <c r="I48" s="14">
        <v>10</v>
      </c>
      <c r="J48" s="14" t="s">
        <v>31</v>
      </c>
      <c r="K48" s="14" cm="1">
        <f t="array" ref="K48">INT(SUMPRODUCT(--ISNUMBER(SEARCH(economy,C48)))&gt;0)</f>
        <v>0</v>
      </c>
      <c r="L48" s="14" cm="1">
        <f t="array" ref="L48">INT(SUMPRODUCT(--ISNUMBER(SEARCH(healthcare,C48)))&gt;0)</f>
        <v>0</v>
      </c>
      <c r="M48" s="14" cm="1">
        <f t="array" ref="M48">INT(SUMPRODUCT(--ISNUMBER(SEARCH(supreme,C48)))&gt;0)</f>
        <v>0</v>
      </c>
      <c r="N48" s="14" cm="1">
        <f t="array" ref="N48">INT(SUMPRODUCT(--ISNUMBER(SEARCH(covid,C48)))&gt;0)</f>
        <v>0</v>
      </c>
      <c r="O48" s="14" cm="1">
        <f t="array" ref="O48">INT(SUMPRODUCT(--ISNUMBER(SEARCH(violent,C48)))&gt;0)</f>
        <v>0</v>
      </c>
      <c r="P48" s="14" cm="1">
        <f t="array" ref="P48">INT(SUMPRODUCT(--ISNUMBER(SEARCH(foreign,C48)))&gt;0)</f>
        <v>0</v>
      </c>
      <c r="Q48" s="14" cm="1">
        <f t="array" ref="Q48">INT(SUMPRODUCT(--ISNUMBER(SEARCH(gun,C48)))&gt;0)</f>
        <v>0</v>
      </c>
      <c r="R48" s="14" cm="1">
        <f t="array" ref="R48">INT(SUMPRODUCT(--ISNUMBER(SEARCH(race,C48)))&gt;0)</f>
        <v>0</v>
      </c>
      <c r="S48" s="14" cm="1">
        <f t="array" ref="S48">INT(SUMPRODUCT(--ISNUMBER(SEARCH(immigration,C48)))&gt;0)</f>
        <v>0</v>
      </c>
      <c r="T48" s="14" cm="1">
        <f t="array" ref="T48">INT(SUMPRODUCT(--ISNUMBER(SEARCH(econineq,C49)))&gt;0)</f>
        <v>0</v>
      </c>
      <c r="U48" s="14" cm="1">
        <f t="array" ref="U48">INT(SUMPRODUCT(--ISNUMBER(SEARCH(climate,C48)))&gt;0)</f>
        <v>0</v>
      </c>
      <c r="V48" s="14" cm="1">
        <f t="array" ref="V48">INT(SUMPRODUCT(--ISNUMBER(SEARCH(abortion,C48)))&gt;0)</f>
        <v>0</v>
      </c>
      <c r="W48" s="14" cm="1">
        <f t="array" ref="W48">INT(SUMPRODUCT(--ISNUMBER(SEARCH(trump,C48)))&gt;0)</f>
        <v>0</v>
      </c>
      <c r="X48" s="14" cm="1">
        <f t="array" ref="X48">INT(SUMPRODUCT(--ISNUMBER(SEARCH(voting,C48)))&gt;0)</f>
        <v>0</v>
      </c>
      <c r="Y48" s="35" cm="1">
        <f t="array" ref="Y48">INT(SUMPRODUCT(--ISNUMBER(SEARCH(republicantrigger,C48)))&gt;0)</f>
        <v>0</v>
      </c>
      <c r="Z48" s="35" cm="1">
        <f t="array" ref="Z48">INT(SUMPRODUCT(--ISNUMBER(SEARCH(bipartisan,C48)))&gt;0)</f>
        <v>0</v>
      </c>
      <c r="AA48" s="35">
        <f t="shared" si="1"/>
        <v>1</v>
      </c>
      <c r="AB48" s="14"/>
      <c r="AC48" s="30">
        <v>1</v>
      </c>
      <c r="AD48" s="37">
        <v>0</v>
      </c>
    </row>
    <row r="49" spans="1:30" x14ac:dyDescent="0.25">
      <c r="A49" s="36">
        <v>4369</v>
      </c>
      <c r="B49" s="14" t="s">
        <v>8761</v>
      </c>
      <c r="C49" s="31" t="s">
        <v>8762</v>
      </c>
      <c r="D49" s="17">
        <v>44126</v>
      </c>
      <c r="E49" s="14" t="s">
        <v>30</v>
      </c>
      <c r="F49" s="14">
        <v>69</v>
      </c>
      <c r="G49" s="14">
        <v>25</v>
      </c>
      <c r="H49" s="14">
        <v>20</v>
      </c>
      <c r="I49" s="14">
        <v>10</v>
      </c>
      <c r="J49" s="14" t="s">
        <v>31</v>
      </c>
      <c r="K49" s="14" cm="1">
        <f t="array" ref="K49">INT(SUMPRODUCT(--ISNUMBER(SEARCH(economy,C49)))&gt;0)</f>
        <v>0</v>
      </c>
      <c r="L49" s="14" cm="1">
        <f t="array" ref="L49">INT(SUMPRODUCT(--ISNUMBER(SEARCH(healthcare,C49)))&gt;0)</f>
        <v>0</v>
      </c>
      <c r="M49" s="14" cm="1">
        <f t="array" ref="M49">INT(SUMPRODUCT(--ISNUMBER(SEARCH(supreme,C49)))&gt;0)</f>
        <v>0</v>
      </c>
      <c r="N49" s="14" cm="1">
        <f t="array" ref="N49">INT(SUMPRODUCT(--ISNUMBER(SEARCH(covid,C49)))&gt;0)</f>
        <v>0</v>
      </c>
      <c r="O49" s="14" cm="1">
        <f t="array" ref="O49">INT(SUMPRODUCT(--ISNUMBER(SEARCH(violent,C49)))&gt;0)</f>
        <v>0</v>
      </c>
      <c r="P49" s="14" cm="1">
        <f t="array" ref="P49">INT(SUMPRODUCT(--ISNUMBER(SEARCH(foreign,C49)))&gt;0)</f>
        <v>0</v>
      </c>
      <c r="Q49" s="14" cm="1">
        <f t="array" ref="Q49">INT(SUMPRODUCT(--ISNUMBER(SEARCH(gun,C49)))&gt;0)</f>
        <v>0</v>
      </c>
      <c r="R49" s="14" cm="1">
        <f t="array" ref="R49">INT(SUMPRODUCT(--ISNUMBER(SEARCH(race,C49)))&gt;0)</f>
        <v>0</v>
      </c>
      <c r="S49" s="14" cm="1">
        <f t="array" ref="S49">INT(SUMPRODUCT(--ISNUMBER(SEARCH(immigration,C49)))&gt;0)</f>
        <v>0</v>
      </c>
      <c r="T49" s="14" cm="1">
        <f t="array" ref="T49">INT(SUMPRODUCT(--ISNUMBER(SEARCH(econineq,C50)))&gt;0)</f>
        <v>0</v>
      </c>
      <c r="U49" s="14" cm="1">
        <f t="array" ref="U49">INT(SUMPRODUCT(--ISNUMBER(SEARCH(climate,C49)))&gt;0)</f>
        <v>0</v>
      </c>
      <c r="V49" s="14" cm="1">
        <f t="array" ref="V49">INT(SUMPRODUCT(--ISNUMBER(SEARCH(abortion,C49)))&gt;0)</f>
        <v>0</v>
      </c>
      <c r="W49" s="14" cm="1">
        <f t="array" ref="W49">INT(SUMPRODUCT(--ISNUMBER(SEARCH(trump,C49)))&gt;0)</f>
        <v>0</v>
      </c>
      <c r="X49" s="14" cm="1">
        <f t="array" ref="X49">INT(SUMPRODUCT(--ISNUMBER(SEARCH(voting,C49)))&gt;0)</f>
        <v>0</v>
      </c>
      <c r="Y49" s="35" cm="1">
        <f t="array" ref="Y49">INT(SUMPRODUCT(--ISNUMBER(SEARCH(republicantrigger,C49)))&gt;0)</f>
        <v>1</v>
      </c>
      <c r="Z49" s="35" cm="1">
        <f t="array" ref="Z49">INT(SUMPRODUCT(--ISNUMBER(SEARCH(bipartisan,C49)))&gt;0)</f>
        <v>0</v>
      </c>
      <c r="AA49" s="35">
        <f t="shared" si="1"/>
        <v>0</v>
      </c>
      <c r="AB49" s="14"/>
      <c r="AC49" s="30" t="s">
        <v>223</v>
      </c>
      <c r="AD49" s="37" t="s">
        <v>223</v>
      </c>
    </row>
    <row r="50" spans="1:30" x14ac:dyDescent="0.25">
      <c r="A50" s="36">
        <v>4370</v>
      </c>
      <c r="B50" s="14" t="s">
        <v>8763</v>
      </c>
      <c r="C50" s="31" t="s">
        <v>8764</v>
      </c>
      <c r="D50" s="17">
        <v>44126</v>
      </c>
      <c r="E50" s="14" t="s">
        <v>30</v>
      </c>
      <c r="F50" s="14">
        <v>483</v>
      </c>
      <c r="G50" s="14">
        <v>209</v>
      </c>
      <c r="H50" s="14">
        <v>20</v>
      </c>
      <c r="I50" s="14">
        <v>10</v>
      </c>
      <c r="J50" s="14" t="s">
        <v>31</v>
      </c>
      <c r="K50" s="14" cm="1">
        <f t="array" ref="K50">INT(SUMPRODUCT(--ISNUMBER(SEARCH(economy,C50)))&gt;0)</f>
        <v>0</v>
      </c>
      <c r="L50" s="14" cm="1">
        <f t="array" ref="L50">INT(SUMPRODUCT(--ISNUMBER(SEARCH(healthcare,C50)))&gt;0)</f>
        <v>0</v>
      </c>
      <c r="M50" s="14" cm="1">
        <f t="array" ref="M50">INT(SUMPRODUCT(--ISNUMBER(SEARCH(supreme,C50)))&gt;0)</f>
        <v>0</v>
      </c>
      <c r="N50" s="14" cm="1">
        <f t="array" ref="N50">INT(SUMPRODUCT(--ISNUMBER(SEARCH(covid,C50)))&gt;0)</f>
        <v>1</v>
      </c>
      <c r="O50" s="14" cm="1">
        <f t="array" ref="O50">INT(SUMPRODUCT(--ISNUMBER(SEARCH(violent,C50)))&gt;0)</f>
        <v>0</v>
      </c>
      <c r="P50" s="14" cm="1">
        <f t="array" ref="P50">INT(SUMPRODUCT(--ISNUMBER(SEARCH(foreign,C50)))&gt;0)</f>
        <v>0</v>
      </c>
      <c r="Q50" s="14" cm="1">
        <f t="array" ref="Q50">INT(SUMPRODUCT(--ISNUMBER(SEARCH(gun,C50)))&gt;0)</f>
        <v>0</v>
      </c>
      <c r="R50" s="14" cm="1">
        <f t="array" ref="R50">INT(SUMPRODUCT(--ISNUMBER(SEARCH(race,C50)))&gt;0)</f>
        <v>0</v>
      </c>
      <c r="S50" s="14" cm="1">
        <f t="array" ref="S50">INT(SUMPRODUCT(--ISNUMBER(SEARCH(immigration,C50)))&gt;0)</f>
        <v>0</v>
      </c>
      <c r="T50" s="14" cm="1">
        <f t="array" ref="T50">INT(SUMPRODUCT(--ISNUMBER(SEARCH(econineq,C51)))&gt;0)</f>
        <v>0</v>
      </c>
      <c r="U50" s="14" cm="1">
        <f t="array" ref="U50">INT(SUMPRODUCT(--ISNUMBER(SEARCH(climate,C50)))&gt;0)</f>
        <v>0</v>
      </c>
      <c r="V50" s="14" cm="1">
        <f t="array" ref="V50">INT(SUMPRODUCT(--ISNUMBER(SEARCH(abortion,C50)))&gt;0)</f>
        <v>0</v>
      </c>
      <c r="W50" s="14" cm="1">
        <f t="array" ref="W50">INT(SUMPRODUCT(--ISNUMBER(SEARCH(trump,C50)))&gt;0)</f>
        <v>0</v>
      </c>
      <c r="X50" s="14" cm="1">
        <f t="array" ref="X50">INT(SUMPRODUCT(--ISNUMBER(SEARCH(voting,C50)))&gt;0)</f>
        <v>1</v>
      </c>
      <c r="Y50" s="35" cm="1">
        <f t="array" ref="Y50">INT(SUMPRODUCT(--ISNUMBER(SEARCH(republicantrigger,C50)))&gt;0)</f>
        <v>1</v>
      </c>
      <c r="Z50" s="35" cm="1">
        <f t="array" ref="Z50">INT(SUMPRODUCT(--ISNUMBER(SEARCH(bipartisan,C50)))&gt;0)</f>
        <v>0</v>
      </c>
      <c r="AA50" s="35">
        <f t="shared" si="1"/>
        <v>0</v>
      </c>
      <c r="AB50" s="14"/>
      <c r="AC50" s="30">
        <v>0</v>
      </c>
      <c r="AD50" s="37">
        <v>1</v>
      </c>
    </row>
    <row r="51" spans="1:30" x14ac:dyDescent="0.25">
      <c r="A51" s="36">
        <v>4371</v>
      </c>
      <c r="B51" s="14" t="s">
        <v>8765</v>
      </c>
      <c r="C51" s="31" t="s">
        <v>8766</v>
      </c>
      <c r="D51" s="17">
        <v>44126</v>
      </c>
      <c r="E51" s="14" t="s">
        <v>30</v>
      </c>
      <c r="F51" s="14">
        <v>143</v>
      </c>
      <c r="G51" s="14">
        <v>54</v>
      </c>
      <c r="H51" s="14">
        <v>20</v>
      </c>
      <c r="I51" s="14">
        <v>10</v>
      </c>
      <c r="J51" s="14" t="s">
        <v>31</v>
      </c>
      <c r="K51" s="14" cm="1">
        <f t="array" ref="K51">INT(SUMPRODUCT(--ISNUMBER(SEARCH(economy,C51)))&gt;0)</f>
        <v>0</v>
      </c>
      <c r="L51" s="14" cm="1">
        <f t="array" ref="L51">INT(SUMPRODUCT(--ISNUMBER(SEARCH(healthcare,C51)))&gt;0)</f>
        <v>0</v>
      </c>
      <c r="M51" s="14" cm="1">
        <f t="array" ref="M51">INT(SUMPRODUCT(--ISNUMBER(SEARCH(supreme,C51)))&gt;0)</f>
        <v>0</v>
      </c>
      <c r="N51" s="14" cm="1">
        <f t="array" ref="N51">INT(SUMPRODUCT(--ISNUMBER(SEARCH(covid,C51)))&gt;0)</f>
        <v>0</v>
      </c>
      <c r="O51" s="14" cm="1">
        <f t="array" ref="O51">INT(SUMPRODUCT(--ISNUMBER(SEARCH(violent,C51)))&gt;0)</f>
        <v>0</v>
      </c>
      <c r="P51" s="14" cm="1">
        <f t="array" ref="P51">INT(SUMPRODUCT(--ISNUMBER(SEARCH(foreign,C51)))&gt;0)</f>
        <v>0</v>
      </c>
      <c r="Q51" s="14" cm="1">
        <f t="array" ref="Q51">INT(SUMPRODUCT(--ISNUMBER(SEARCH(gun,C51)))&gt;0)</f>
        <v>0</v>
      </c>
      <c r="R51" s="14" cm="1">
        <f t="array" ref="R51">INT(SUMPRODUCT(--ISNUMBER(SEARCH(race,C51)))&gt;0)</f>
        <v>0</v>
      </c>
      <c r="S51" s="14" cm="1">
        <f t="array" ref="S51">INT(SUMPRODUCT(--ISNUMBER(SEARCH(immigration,C51)))&gt;0)</f>
        <v>0</v>
      </c>
      <c r="T51" s="14" cm="1">
        <f t="array" ref="T51">INT(SUMPRODUCT(--ISNUMBER(SEARCH(econineq,C52)))&gt;0)</f>
        <v>0</v>
      </c>
      <c r="U51" s="14" cm="1">
        <f t="array" ref="U51">INT(SUMPRODUCT(--ISNUMBER(SEARCH(climate,C51)))&gt;0)</f>
        <v>0</v>
      </c>
      <c r="V51" s="14" cm="1">
        <f t="array" ref="V51">INT(SUMPRODUCT(--ISNUMBER(SEARCH(abortion,C51)))&gt;0)</f>
        <v>0</v>
      </c>
      <c r="W51" s="14" cm="1">
        <f t="array" ref="W51">INT(SUMPRODUCT(--ISNUMBER(SEARCH(trump,C51)))&gt;0)</f>
        <v>0</v>
      </c>
      <c r="X51" s="14" cm="1">
        <f t="array" ref="X51">INT(SUMPRODUCT(--ISNUMBER(SEARCH(voting,C51)))&gt;0)</f>
        <v>1</v>
      </c>
      <c r="Y51" s="35" cm="1">
        <f t="array" ref="Y51">INT(SUMPRODUCT(--ISNUMBER(SEARCH(republicantrigger,C51)))&gt;0)</f>
        <v>0</v>
      </c>
      <c r="Z51" s="35" cm="1">
        <f t="array" ref="Z51">INT(SUMPRODUCT(--ISNUMBER(SEARCH(bipartisan,C51)))&gt;0)</f>
        <v>0</v>
      </c>
      <c r="AA51" s="35">
        <f t="shared" si="1"/>
        <v>0</v>
      </c>
      <c r="AB51" s="14"/>
      <c r="AC51" s="30">
        <v>0</v>
      </c>
      <c r="AD51" s="37">
        <v>0</v>
      </c>
    </row>
    <row r="52" spans="1:30" x14ac:dyDescent="0.25">
      <c r="A52" s="36">
        <v>4372</v>
      </c>
      <c r="B52" s="14" t="s">
        <v>8767</v>
      </c>
      <c r="C52" s="31" t="s">
        <v>8768</v>
      </c>
      <c r="D52" s="17">
        <v>44125</v>
      </c>
      <c r="E52" s="14" t="s">
        <v>70</v>
      </c>
      <c r="F52" s="14">
        <v>63</v>
      </c>
      <c r="G52" s="14">
        <v>17</v>
      </c>
      <c r="H52" s="14">
        <v>20</v>
      </c>
      <c r="I52" s="14">
        <v>10</v>
      </c>
      <c r="J52" s="14" t="s">
        <v>31</v>
      </c>
      <c r="K52" s="14" cm="1">
        <f t="array" ref="K52">INT(SUMPRODUCT(--ISNUMBER(SEARCH(economy,C52)))&gt;0)</f>
        <v>0</v>
      </c>
      <c r="L52" s="14" cm="1">
        <f t="array" ref="L52">INT(SUMPRODUCT(--ISNUMBER(SEARCH(healthcare,C52)))&gt;0)</f>
        <v>0</v>
      </c>
      <c r="M52" s="14" cm="1">
        <f t="array" ref="M52">INT(SUMPRODUCT(--ISNUMBER(SEARCH(supreme,C52)))&gt;0)</f>
        <v>0</v>
      </c>
      <c r="N52" s="14" cm="1">
        <f t="array" ref="N52">INT(SUMPRODUCT(--ISNUMBER(SEARCH(covid,C52)))&gt;0)</f>
        <v>0</v>
      </c>
      <c r="O52" s="14" cm="1">
        <f t="array" ref="O52">INT(SUMPRODUCT(--ISNUMBER(SEARCH(violent,C52)))&gt;0)</f>
        <v>0</v>
      </c>
      <c r="P52" s="14" cm="1">
        <f t="array" ref="P52">INT(SUMPRODUCT(--ISNUMBER(SEARCH(foreign,C52)))&gt;0)</f>
        <v>0</v>
      </c>
      <c r="Q52" s="14" cm="1">
        <f t="array" ref="Q52">INT(SUMPRODUCT(--ISNUMBER(SEARCH(gun,C52)))&gt;0)</f>
        <v>0</v>
      </c>
      <c r="R52" s="14" cm="1">
        <f t="array" ref="R52">INT(SUMPRODUCT(--ISNUMBER(SEARCH(race,C52)))&gt;0)</f>
        <v>0</v>
      </c>
      <c r="S52" s="14" cm="1">
        <f t="array" ref="S52">INT(SUMPRODUCT(--ISNUMBER(SEARCH(immigration,C52)))&gt;0)</f>
        <v>0</v>
      </c>
      <c r="T52" s="14" cm="1">
        <f t="array" ref="T52">INT(SUMPRODUCT(--ISNUMBER(SEARCH(econineq,C53)))&gt;0)</f>
        <v>0</v>
      </c>
      <c r="U52" s="14" cm="1">
        <f t="array" ref="U52">INT(SUMPRODUCT(--ISNUMBER(SEARCH(climate,C52)))&gt;0)</f>
        <v>0</v>
      </c>
      <c r="V52" s="14" cm="1">
        <f t="array" ref="V52">INT(SUMPRODUCT(--ISNUMBER(SEARCH(abortion,C52)))&gt;0)</f>
        <v>0</v>
      </c>
      <c r="W52" s="14" cm="1">
        <f t="array" ref="W52">INT(SUMPRODUCT(--ISNUMBER(SEARCH(trump,C52)))&gt;0)</f>
        <v>0</v>
      </c>
      <c r="X52" s="14" cm="1">
        <f t="array" ref="X52">INT(SUMPRODUCT(--ISNUMBER(SEARCH(voting,C52)))&gt;0)</f>
        <v>0</v>
      </c>
      <c r="Y52" s="35" cm="1">
        <f t="array" ref="Y52">INT(SUMPRODUCT(--ISNUMBER(SEARCH(republicantrigger,C52)))&gt;0)</f>
        <v>1</v>
      </c>
      <c r="Z52" s="35" cm="1">
        <f t="array" ref="Z52">INT(SUMPRODUCT(--ISNUMBER(SEARCH(bipartisan,C52)))&gt;0)</f>
        <v>0</v>
      </c>
      <c r="AA52" s="35">
        <f t="shared" si="1"/>
        <v>0</v>
      </c>
      <c r="AB52" s="14"/>
      <c r="AC52" s="30">
        <v>0</v>
      </c>
      <c r="AD52" s="37">
        <v>0</v>
      </c>
    </row>
    <row r="53" spans="1:30" x14ac:dyDescent="0.25">
      <c r="A53" s="36">
        <v>4373</v>
      </c>
      <c r="B53" s="14" t="s">
        <v>8769</v>
      </c>
      <c r="C53" s="31" t="s">
        <v>8770</v>
      </c>
      <c r="D53" s="17">
        <v>44125</v>
      </c>
      <c r="E53" s="14" t="s">
        <v>70</v>
      </c>
      <c r="F53" s="14">
        <v>58</v>
      </c>
      <c r="G53" s="14">
        <v>17</v>
      </c>
      <c r="H53" s="14">
        <v>20</v>
      </c>
      <c r="I53" s="14">
        <v>10</v>
      </c>
      <c r="J53" s="14" t="s">
        <v>31</v>
      </c>
      <c r="K53" s="14" cm="1">
        <f t="array" ref="K53">INT(SUMPRODUCT(--ISNUMBER(SEARCH(economy,C53)))&gt;0)</f>
        <v>0</v>
      </c>
      <c r="L53" s="14" cm="1">
        <f t="array" ref="L53">INT(SUMPRODUCT(--ISNUMBER(SEARCH(healthcare,C53)))&gt;0)</f>
        <v>0</v>
      </c>
      <c r="M53" s="14" cm="1">
        <f t="array" ref="M53">INT(SUMPRODUCT(--ISNUMBER(SEARCH(supreme,C53)))&gt;0)</f>
        <v>0</v>
      </c>
      <c r="N53" s="14" cm="1">
        <f t="array" ref="N53">INT(SUMPRODUCT(--ISNUMBER(SEARCH(covid,C53)))&gt;0)</f>
        <v>1</v>
      </c>
      <c r="O53" s="14" cm="1">
        <f t="array" ref="O53">INT(SUMPRODUCT(--ISNUMBER(SEARCH(violent,C53)))&gt;0)</f>
        <v>0</v>
      </c>
      <c r="P53" s="14" cm="1">
        <f t="array" ref="P53">INT(SUMPRODUCT(--ISNUMBER(SEARCH(foreign,C53)))&gt;0)</f>
        <v>0</v>
      </c>
      <c r="Q53" s="14" cm="1">
        <f t="array" ref="Q53">INT(SUMPRODUCT(--ISNUMBER(SEARCH(gun,C53)))&gt;0)</f>
        <v>0</v>
      </c>
      <c r="R53" s="14" cm="1">
        <f t="array" ref="R53">INT(SUMPRODUCT(--ISNUMBER(SEARCH(race,C53)))&gt;0)</f>
        <v>0</v>
      </c>
      <c r="S53" s="14" cm="1">
        <f t="array" ref="S53">INT(SUMPRODUCT(--ISNUMBER(SEARCH(immigration,C53)))&gt;0)</f>
        <v>0</v>
      </c>
      <c r="T53" s="14" cm="1">
        <f t="array" ref="T53">INT(SUMPRODUCT(--ISNUMBER(SEARCH(econineq,C54)))&gt;0)</f>
        <v>0</v>
      </c>
      <c r="U53" s="14" cm="1">
        <f t="array" ref="U53">INT(SUMPRODUCT(--ISNUMBER(SEARCH(climate,C53)))&gt;0)</f>
        <v>0</v>
      </c>
      <c r="V53" s="14" cm="1">
        <f t="array" ref="V53">INT(SUMPRODUCT(--ISNUMBER(SEARCH(abortion,C53)))&gt;0)</f>
        <v>0</v>
      </c>
      <c r="W53" s="14" cm="1">
        <f t="array" ref="W53">INT(SUMPRODUCT(--ISNUMBER(SEARCH(trump,C53)))&gt;0)</f>
        <v>0</v>
      </c>
      <c r="X53" s="14" cm="1">
        <f t="array" ref="X53">INT(SUMPRODUCT(--ISNUMBER(SEARCH(voting,C53)))&gt;0)</f>
        <v>1</v>
      </c>
      <c r="Y53" s="35" cm="1">
        <f t="array" ref="Y53">INT(SUMPRODUCT(--ISNUMBER(SEARCH(republicantrigger,C53)))&gt;0)</f>
        <v>0</v>
      </c>
      <c r="Z53" s="35" cm="1">
        <f t="array" ref="Z53">INT(SUMPRODUCT(--ISNUMBER(SEARCH(bipartisan,C53)))&gt;0)</f>
        <v>0</v>
      </c>
      <c r="AA53" s="35">
        <f t="shared" si="1"/>
        <v>0</v>
      </c>
      <c r="AB53" s="14"/>
      <c r="AC53" s="30">
        <v>0</v>
      </c>
      <c r="AD53" s="37">
        <v>0</v>
      </c>
    </row>
    <row r="54" spans="1:30" x14ac:dyDescent="0.25">
      <c r="A54" s="36">
        <v>4374</v>
      </c>
      <c r="B54" s="14" t="s">
        <v>8771</v>
      </c>
      <c r="C54" s="31" t="s">
        <v>8772</v>
      </c>
      <c r="D54" s="17">
        <v>44125</v>
      </c>
      <c r="E54" s="14" t="s">
        <v>30</v>
      </c>
      <c r="F54" s="14">
        <v>81</v>
      </c>
      <c r="G54" s="14">
        <v>32</v>
      </c>
      <c r="H54" s="14">
        <v>20</v>
      </c>
      <c r="I54" s="14">
        <v>10</v>
      </c>
      <c r="J54" s="14" t="s">
        <v>31</v>
      </c>
      <c r="K54" s="14" cm="1">
        <f t="array" ref="K54">INT(SUMPRODUCT(--ISNUMBER(SEARCH(economy,C54)))&gt;0)</f>
        <v>0</v>
      </c>
      <c r="L54" s="14" cm="1">
        <f t="array" ref="L54">INT(SUMPRODUCT(--ISNUMBER(SEARCH(healthcare,C54)))&gt;0)</f>
        <v>0</v>
      </c>
      <c r="M54" s="14" cm="1">
        <f t="array" ref="M54">INT(SUMPRODUCT(--ISNUMBER(SEARCH(supreme,C54)))&gt;0)</f>
        <v>0</v>
      </c>
      <c r="N54" s="14" cm="1">
        <f t="array" ref="N54">INT(SUMPRODUCT(--ISNUMBER(SEARCH(covid,C54)))&gt;0)</f>
        <v>1</v>
      </c>
      <c r="O54" s="14" cm="1">
        <f t="array" ref="O54">INT(SUMPRODUCT(--ISNUMBER(SEARCH(violent,C54)))&gt;0)</f>
        <v>0</v>
      </c>
      <c r="P54" s="14" cm="1">
        <f t="array" ref="P54">INT(SUMPRODUCT(--ISNUMBER(SEARCH(foreign,C54)))&gt;0)</f>
        <v>1</v>
      </c>
      <c r="Q54" s="14" cm="1">
        <f t="array" ref="Q54">INT(SUMPRODUCT(--ISNUMBER(SEARCH(gun,C54)))&gt;0)</f>
        <v>0</v>
      </c>
      <c r="R54" s="14" cm="1">
        <f t="array" ref="R54">INT(SUMPRODUCT(--ISNUMBER(SEARCH(race,C54)))&gt;0)</f>
        <v>0</v>
      </c>
      <c r="S54" s="14" cm="1">
        <f t="array" ref="S54">INT(SUMPRODUCT(--ISNUMBER(SEARCH(immigration,C54)))&gt;0)</f>
        <v>0</v>
      </c>
      <c r="T54" s="14" cm="1">
        <f t="array" ref="T54">INT(SUMPRODUCT(--ISNUMBER(SEARCH(econineq,C55)))&gt;0)</f>
        <v>0</v>
      </c>
      <c r="U54" s="14" cm="1">
        <f t="array" ref="U54">INT(SUMPRODUCT(--ISNUMBER(SEARCH(climate,C54)))&gt;0)</f>
        <v>0</v>
      </c>
      <c r="V54" s="14" cm="1">
        <f t="array" ref="V54">INT(SUMPRODUCT(--ISNUMBER(SEARCH(abortion,C54)))&gt;0)</f>
        <v>0</v>
      </c>
      <c r="W54" s="14" cm="1">
        <f t="array" ref="W54">INT(SUMPRODUCT(--ISNUMBER(SEARCH(trump,C54)))&gt;0)</f>
        <v>0</v>
      </c>
      <c r="X54" s="14" cm="1">
        <f t="array" ref="X54">INT(SUMPRODUCT(--ISNUMBER(SEARCH(voting,C54)))&gt;0)</f>
        <v>0</v>
      </c>
      <c r="Y54" s="35" cm="1">
        <f t="array" ref="Y54">INT(SUMPRODUCT(--ISNUMBER(SEARCH(republicantrigger,C54)))&gt;0)</f>
        <v>0</v>
      </c>
      <c r="Z54" s="35" cm="1">
        <f t="array" ref="Z54">INT(SUMPRODUCT(--ISNUMBER(SEARCH(bipartisan,C54)))&gt;0)</f>
        <v>0</v>
      </c>
      <c r="AA54" s="35">
        <f t="shared" si="1"/>
        <v>0</v>
      </c>
      <c r="AB54" s="14"/>
      <c r="AC54" s="30">
        <v>0</v>
      </c>
      <c r="AD54" s="37">
        <v>0</v>
      </c>
    </row>
    <row r="55" spans="1:30" x14ac:dyDescent="0.25">
      <c r="A55" s="36">
        <v>4375</v>
      </c>
      <c r="B55" s="14" t="s">
        <v>8773</v>
      </c>
      <c r="C55" s="31" t="s">
        <v>8774</v>
      </c>
      <c r="D55" s="17">
        <v>44125</v>
      </c>
      <c r="E55" s="14" t="s">
        <v>30</v>
      </c>
      <c r="F55" s="14">
        <v>491</v>
      </c>
      <c r="G55" s="14">
        <v>136</v>
      </c>
      <c r="H55" s="14">
        <v>20</v>
      </c>
      <c r="I55" s="14">
        <v>10</v>
      </c>
      <c r="J55" s="14" t="s">
        <v>31</v>
      </c>
      <c r="K55" s="14" cm="1">
        <f t="array" ref="K55">INT(SUMPRODUCT(--ISNUMBER(SEARCH(economy,C55)))&gt;0)</f>
        <v>0</v>
      </c>
      <c r="L55" s="14" cm="1">
        <f t="array" ref="L55">INT(SUMPRODUCT(--ISNUMBER(SEARCH(healthcare,C55)))&gt;0)</f>
        <v>0</v>
      </c>
      <c r="M55" s="14" cm="1">
        <f t="array" ref="M55">INT(SUMPRODUCT(--ISNUMBER(SEARCH(supreme,C55)))&gt;0)</f>
        <v>1</v>
      </c>
      <c r="N55" s="14" cm="1">
        <f t="array" ref="N55">INT(SUMPRODUCT(--ISNUMBER(SEARCH(covid,C55)))&gt;0)</f>
        <v>0</v>
      </c>
      <c r="O55" s="14" cm="1">
        <f t="array" ref="O55">INT(SUMPRODUCT(--ISNUMBER(SEARCH(violent,C55)))&gt;0)</f>
        <v>0</v>
      </c>
      <c r="P55" s="14" cm="1">
        <f t="array" ref="P55">INT(SUMPRODUCT(--ISNUMBER(SEARCH(foreign,C55)))&gt;0)</f>
        <v>0</v>
      </c>
      <c r="Q55" s="14" cm="1">
        <f t="array" ref="Q55">INT(SUMPRODUCT(--ISNUMBER(SEARCH(gun,C55)))&gt;0)</f>
        <v>0</v>
      </c>
      <c r="R55" s="14" cm="1">
        <f t="array" ref="R55">INT(SUMPRODUCT(--ISNUMBER(SEARCH(race,C55)))&gt;0)</f>
        <v>0</v>
      </c>
      <c r="S55" s="14" cm="1">
        <f t="array" ref="S55">INT(SUMPRODUCT(--ISNUMBER(SEARCH(immigration,C55)))&gt;0)</f>
        <v>0</v>
      </c>
      <c r="T55" s="14" cm="1">
        <f t="array" ref="T55">INT(SUMPRODUCT(--ISNUMBER(SEARCH(econineq,C56)))&gt;0)</f>
        <v>0</v>
      </c>
      <c r="U55" s="14" cm="1">
        <f t="array" ref="U55">INT(SUMPRODUCT(--ISNUMBER(SEARCH(climate,C55)))&gt;0)</f>
        <v>0</v>
      </c>
      <c r="V55" s="14" cm="1">
        <f t="array" ref="V55">INT(SUMPRODUCT(--ISNUMBER(SEARCH(abortion,C55)))&gt;0)</f>
        <v>0</v>
      </c>
      <c r="W55" s="14" cm="1">
        <f t="array" ref="W55">INT(SUMPRODUCT(--ISNUMBER(SEARCH(trump,C55)))&gt;0)</f>
        <v>0</v>
      </c>
      <c r="X55" s="14" cm="1">
        <f t="array" ref="X55">INT(SUMPRODUCT(--ISNUMBER(SEARCH(voting,C55)))&gt;0)</f>
        <v>0</v>
      </c>
      <c r="Y55" s="35" cm="1">
        <f t="array" ref="Y55">INT(SUMPRODUCT(--ISNUMBER(SEARCH(republicantrigger,C55)))&gt;0)</f>
        <v>1</v>
      </c>
      <c r="Z55" s="35" cm="1">
        <f t="array" ref="Z55">INT(SUMPRODUCT(--ISNUMBER(SEARCH(bipartisan,C55)))&gt;0)</f>
        <v>0</v>
      </c>
      <c r="AA55" s="35">
        <f t="shared" si="1"/>
        <v>0</v>
      </c>
      <c r="AB55" s="14"/>
      <c r="AC55" s="30">
        <v>0</v>
      </c>
      <c r="AD55" s="37">
        <v>0</v>
      </c>
    </row>
    <row r="56" spans="1:30" x14ac:dyDescent="0.25">
      <c r="A56" s="36">
        <v>4376</v>
      </c>
      <c r="B56" s="14" t="s">
        <v>8775</v>
      </c>
      <c r="C56" s="31" t="s">
        <v>8776</v>
      </c>
      <c r="D56" s="17">
        <v>44125</v>
      </c>
      <c r="E56" s="14" t="s">
        <v>30</v>
      </c>
      <c r="F56" s="14">
        <v>194</v>
      </c>
      <c r="G56" s="14">
        <v>79</v>
      </c>
      <c r="H56" s="14">
        <v>20</v>
      </c>
      <c r="I56" s="14">
        <v>10</v>
      </c>
      <c r="J56" s="14" t="s">
        <v>31</v>
      </c>
      <c r="K56" s="14" cm="1">
        <f t="array" ref="K56">INT(SUMPRODUCT(--ISNUMBER(SEARCH(economy,C56)))&gt;0)</f>
        <v>0</v>
      </c>
      <c r="L56" s="14" cm="1">
        <f t="array" ref="L56">INT(SUMPRODUCT(--ISNUMBER(SEARCH(healthcare,C56)))&gt;0)</f>
        <v>1</v>
      </c>
      <c r="M56" s="14" cm="1">
        <f t="array" ref="M56">INT(SUMPRODUCT(--ISNUMBER(SEARCH(supreme,C56)))&gt;0)</f>
        <v>0</v>
      </c>
      <c r="N56" s="14" cm="1">
        <f t="array" ref="N56">INT(SUMPRODUCT(--ISNUMBER(SEARCH(covid,C56)))&gt;0)</f>
        <v>0</v>
      </c>
      <c r="O56" s="14" cm="1">
        <f t="array" ref="O56">INT(SUMPRODUCT(--ISNUMBER(SEARCH(violent,C56)))&gt;0)</f>
        <v>0</v>
      </c>
      <c r="P56" s="14" cm="1">
        <f t="array" ref="P56">INT(SUMPRODUCT(--ISNUMBER(SEARCH(foreign,C56)))&gt;0)</f>
        <v>0</v>
      </c>
      <c r="Q56" s="14" cm="1">
        <f t="array" ref="Q56">INT(SUMPRODUCT(--ISNUMBER(SEARCH(gun,C56)))&gt;0)</f>
        <v>0</v>
      </c>
      <c r="R56" s="14" cm="1">
        <f t="array" ref="R56">INT(SUMPRODUCT(--ISNUMBER(SEARCH(race,C56)))&gt;0)</f>
        <v>0</v>
      </c>
      <c r="S56" s="14" cm="1">
        <f t="array" ref="S56">INT(SUMPRODUCT(--ISNUMBER(SEARCH(immigration,C56)))&gt;0)</f>
        <v>0</v>
      </c>
      <c r="T56" s="14" cm="1">
        <f t="array" ref="T56">INT(SUMPRODUCT(--ISNUMBER(SEARCH(econineq,C57)))&gt;0)</f>
        <v>0</v>
      </c>
      <c r="U56" s="14" cm="1">
        <f t="array" ref="U56">INT(SUMPRODUCT(--ISNUMBER(SEARCH(climate,C56)))&gt;0)</f>
        <v>0</v>
      </c>
      <c r="V56" s="14" cm="1">
        <f t="array" ref="V56">INT(SUMPRODUCT(--ISNUMBER(SEARCH(abortion,C56)))&gt;0)</f>
        <v>0</v>
      </c>
      <c r="W56" s="14" cm="1">
        <f t="array" ref="W56">INT(SUMPRODUCT(--ISNUMBER(SEARCH(trump,C56)))&gt;0)</f>
        <v>0</v>
      </c>
      <c r="X56" s="14" cm="1">
        <f t="array" ref="X56">INT(SUMPRODUCT(--ISNUMBER(SEARCH(voting,C56)))&gt;0)</f>
        <v>0</v>
      </c>
      <c r="Y56" s="35" cm="1">
        <f t="array" ref="Y56">INT(SUMPRODUCT(--ISNUMBER(SEARCH(republicantrigger,C56)))&gt;0)</f>
        <v>1</v>
      </c>
      <c r="Z56" s="35" cm="1">
        <f t="array" ref="Z56">INT(SUMPRODUCT(--ISNUMBER(SEARCH(bipartisan,C56)))&gt;0)</f>
        <v>0</v>
      </c>
      <c r="AA56" s="35">
        <f t="shared" si="1"/>
        <v>0</v>
      </c>
      <c r="AB56" s="14"/>
      <c r="AC56" s="30">
        <v>1</v>
      </c>
      <c r="AD56" s="37">
        <v>0</v>
      </c>
    </row>
    <row r="57" spans="1:30" x14ac:dyDescent="0.25">
      <c r="A57" s="36">
        <v>4377</v>
      </c>
      <c r="B57" s="14" t="s">
        <v>8777</v>
      </c>
      <c r="C57" s="31" t="s">
        <v>8778</v>
      </c>
      <c r="D57" s="17">
        <v>44125</v>
      </c>
      <c r="E57" s="14" t="s">
        <v>30</v>
      </c>
      <c r="F57" s="14">
        <v>124</v>
      </c>
      <c r="G57" s="14">
        <v>64</v>
      </c>
      <c r="H57" s="14">
        <v>20</v>
      </c>
      <c r="I57" s="14">
        <v>10</v>
      </c>
      <c r="J57" s="14" t="s">
        <v>31</v>
      </c>
      <c r="K57" s="14" cm="1">
        <f t="array" ref="K57">INT(SUMPRODUCT(--ISNUMBER(SEARCH(economy,C57)))&gt;0)</f>
        <v>0</v>
      </c>
      <c r="L57" s="14" cm="1">
        <f t="array" ref="L57">INT(SUMPRODUCT(--ISNUMBER(SEARCH(healthcare,C57)))&gt;0)</f>
        <v>0</v>
      </c>
      <c r="M57" s="14" cm="1">
        <f t="array" ref="M57">INT(SUMPRODUCT(--ISNUMBER(SEARCH(supreme,C57)))&gt;0)</f>
        <v>0</v>
      </c>
      <c r="N57" s="14" cm="1">
        <f t="array" ref="N57">INT(SUMPRODUCT(--ISNUMBER(SEARCH(covid,C57)))&gt;0)</f>
        <v>0</v>
      </c>
      <c r="O57" s="14" cm="1">
        <f t="array" ref="O57">INT(SUMPRODUCT(--ISNUMBER(SEARCH(violent,C57)))&gt;0)</f>
        <v>0</v>
      </c>
      <c r="P57" s="14" cm="1">
        <f t="array" ref="P57">INT(SUMPRODUCT(--ISNUMBER(SEARCH(foreign,C57)))&gt;0)</f>
        <v>0</v>
      </c>
      <c r="Q57" s="14" cm="1">
        <f t="array" ref="Q57">INT(SUMPRODUCT(--ISNUMBER(SEARCH(gun,C57)))&gt;0)</f>
        <v>0</v>
      </c>
      <c r="R57" s="14" cm="1">
        <f t="array" ref="R57">INT(SUMPRODUCT(--ISNUMBER(SEARCH(race,C57)))&gt;0)</f>
        <v>0</v>
      </c>
      <c r="S57" s="14" cm="1">
        <f t="array" ref="S57">INT(SUMPRODUCT(--ISNUMBER(SEARCH(immigration,C57)))&gt;0)</f>
        <v>0</v>
      </c>
      <c r="T57" s="14" cm="1">
        <f t="array" ref="T57">INT(SUMPRODUCT(--ISNUMBER(SEARCH(econineq,C58)))&gt;0)</f>
        <v>0</v>
      </c>
      <c r="U57" s="14" cm="1">
        <f t="array" ref="U57">INT(SUMPRODUCT(--ISNUMBER(SEARCH(climate,C57)))&gt;0)</f>
        <v>0</v>
      </c>
      <c r="V57" s="14" cm="1">
        <f t="array" ref="V57">INT(SUMPRODUCT(--ISNUMBER(SEARCH(abortion,C57)))&gt;0)</f>
        <v>0</v>
      </c>
      <c r="W57" s="14" cm="1">
        <f t="array" ref="W57">INT(SUMPRODUCT(--ISNUMBER(SEARCH(trump,C57)))&gt;0)</f>
        <v>0</v>
      </c>
      <c r="X57" s="14" cm="1">
        <f t="array" ref="X57">INT(SUMPRODUCT(--ISNUMBER(SEARCH(voting,C57)))&gt;0)</f>
        <v>0</v>
      </c>
      <c r="Y57" s="35" cm="1">
        <f t="array" ref="Y57">INT(SUMPRODUCT(--ISNUMBER(SEARCH(republicantrigger,C57)))&gt;0)</f>
        <v>1</v>
      </c>
      <c r="Z57" s="35" cm="1">
        <f t="array" ref="Z57">INT(SUMPRODUCT(--ISNUMBER(SEARCH(bipartisan,C57)))&gt;0)</f>
        <v>0</v>
      </c>
      <c r="AA57" s="35">
        <f t="shared" si="1"/>
        <v>0</v>
      </c>
      <c r="AB57" s="14"/>
      <c r="AC57" s="30">
        <v>0</v>
      </c>
      <c r="AD57" s="37">
        <v>0</v>
      </c>
    </row>
    <row r="58" spans="1:30" x14ac:dyDescent="0.25">
      <c r="A58" s="36">
        <v>4378</v>
      </c>
      <c r="B58" s="14" t="s">
        <v>8779</v>
      </c>
      <c r="C58" s="31" t="s">
        <v>8780</v>
      </c>
      <c r="D58" s="17">
        <v>44125</v>
      </c>
      <c r="E58" s="14" t="s">
        <v>30</v>
      </c>
      <c r="F58" s="14">
        <v>1036</v>
      </c>
      <c r="G58" s="14">
        <v>388</v>
      </c>
      <c r="H58" s="14">
        <v>20</v>
      </c>
      <c r="I58" s="14">
        <v>10</v>
      </c>
      <c r="J58" s="14" t="s">
        <v>31</v>
      </c>
      <c r="K58" s="14" cm="1">
        <f t="array" ref="K58">INT(SUMPRODUCT(--ISNUMBER(SEARCH(economy,C58)))&gt;0)</f>
        <v>0</v>
      </c>
      <c r="L58" s="14" cm="1">
        <f t="array" ref="L58">INT(SUMPRODUCT(--ISNUMBER(SEARCH(healthcare,C58)))&gt;0)</f>
        <v>1</v>
      </c>
      <c r="M58" s="14" cm="1">
        <f t="array" ref="M58">INT(SUMPRODUCT(--ISNUMBER(SEARCH(supreme,C58)))&gt;0)</f>
        <v>0</v>
      </c>
      <c r="N58" s="14" cm="1">
        <f t="array" ref="N58">INT(SUMPRODUCT(--ISNUMBER(SEARCH(covid,C58)))&gt;0)</f>
        <v>0</v>
      </c>
      <c r="O58" s="14" cm="1">
        <f t="array" ref="O58">INT(SUMPRODUCT(--ISNUMBER(SEARCH(violent,C58)))&gt;0)</f>
        <v>0</v>
      </c>
      <c r="P58" s="14" cm="1">
        <f t="array" ref="P58">INT(SUMPRODUCT(--ISNUMBER(SEARCH(foreign,C58)))&gt;0)</f>
        <v>0</v>
      </c>
      <c r="Q58" s="14" cm="1">
        <f t="array" ref="Q58">INT(SUMPRODUCT(--ISNUMBER(SEARCH(gun,C58)))&gt;0)</f>
        <v>0</v>
      </c>
      <c r="R58" s="14" cm="1">
        <f t="array" ref="R58">INT(SUMPRODUCT(--ISNUMBER(SEARCH(race,C58)))&gt;0)</f>
        <v>0</v>
      </c>
      <c r="S58" s="14" cm="1">
        <f t="array" ref="S58">INT(SUMPRODUCT(--ISNUMBER(SEARCH(immigration,C58)))&gt;0)</f>
        <v>0</v>
      </c>
      <c r="T58" s="14" cm="1">
        <f t="array" ref="T58">INT(SUMPRODUCT(--ISNUMBER(SEARCH(econineq,C59)))&gt;0)</f>
        <v>0</v>
      </c>
      <c r="U58" s="14" cm="1">
        <f t="array" ref="U58">INT(SUMPRODUCT(--ISNUMBER(SEARCH(climate,C58)))&gt;0)</f>
        <v>0</v>
      </c>
      <c r="V58" s="14" cm="1">
        <f t="array" ref="V58">INT(SUMPRODUCT(--ISNUMBER(SEARCH(abortion,C58)))&gt;0)</f>
        <v>0</v>
      </c>
      <c r="W58" s="14" cm="1">
        <f t="array" ref="W58">INT(SUMPRODUCT(--ISNUMBER(SEARCH(trump,C58)))&gt;0)</f>
        <v>0</v>
      </c>
      <c r="X58" s="14" cm="1">
        <f t="array" ref="X58">INT(SUMPRODUCT(--ISNUMBER(SEARCH(voting,C58)))&gt;0)</f>
        <v>0</v>
      </c>
      <c r="Y58" s="35" cm="1">
        <f t="array" ref="Y58">INT(SUMPRODUCT(--ISNUMBER(SEARCH(republicantrigger,C58)))&gt;0)</f>
        <v>1</v>
      </c>
      <c r="Z58" s="35" cm="1">
        <f t="array" ref="Z58">INT(SUMPRODUCT(--ISNUMBER(SEARCH(bipartisan,C58)))&gt;0)</f>
        <v>0</v>
      </c>
      <c r="AA58" s="35">
        <f t="shared" si="1"/>
        <v>0</v>
      </c>
      <c r="AB58" s="14"/>
      <c r="AC58" s="30">
        <v>0</v>
      </c>
      <c r="AD58" s="37">
        <v>1</v>
      </c>
    </row>
    <row r="59" spans="1:30" x14ac:dyDescent="0.25">
      <c r="A59" s="36">
        <v>4379</v>
      </c>
      <c r="B59" s="14" t="s">
        <v>8781</v>
      </c>
      <c r="C59" s="31" t="s">
        <v>8782</v>
      </c>
      <c r="D59" s="17">
        <v>44124</v>
      </c>
      <c r="E59" s="14" t="s">
        <v>30</v>
      </c>
      <c r="F59" s="14">
        <v>522</v>
      </c>
      <c r="G59" s="14">
        <v>229</v>
      </c>
      <c r="H59" s="14">
        <v>20</v>
      </c>
      <c r="I59" s="14">
        <v>10</v>
      </c>
      <c r="J59" s="14" t="s">
        <v>31</v>
      </c>
      <c r="K59" s="14" cm="1">
        <f t="array" ref="K59">INT(SUMPRODUCT(--ISNUMBER(SEARCH(economy,C59)))&gt;0)</f>
        <v>0</v>
      </c>
      <c r="L59" s="14" cm="1">
        <f t="array" ref="L59">INT(SUMPRODUCT(--ISNUMBER(SEARCH(healthcare,C59)))&gt;0)</f>
        <v>0</v>
      </c>
      <c r="M59" s="14" cm="1">
        <f t="array" ref="M59">INT(SUMPRODUCT(--ISNUMBER(SEARCH(supreme,C59)))&gt;0)</f>
        <v>0</v>
      </c>
      <c r="N59" s="14" cm="1">
        <f t="array" ref="N59">INT(SUMPRODUCT(--ISNUMBER(SEARCH(covid,C59)))&gt;0)</f>
        <v>0</v>
      </c>
      <c r="O59" s="14" cm="1">
        <f t="array" ref="O59">INT(SUMPRODUCT(--ISNUMBER(SEARCH(violent,C59)))&gt;0)</f>
        <v>0</v>
      </c>
      <c r="P59" s="14" cm="1">
        <f t="array" ref="P59">INT(SUMPRODUCT(--ISNUMBER(SEARCH(foreign,C59)))&gt;0)</f>
        <v>0</v>
      </c>
      <c r="Q59" s="14" cm="1">
        <f t="array" ref="Q59">INT(SUMPRODUCT(--ISNUMBER(SEARCH(gun,C59)))&gt;0)</f>
        <v>0</v>
      </c>
      <c r="R59" s="14" cm="1">
        <f t="array" ref="R59">INT(SUMPRODUCT(--ISNUMBER(SEARCH(race,C59)))&gt;0)</f>
        <v>0</v>
      </c>
      <c r="S59" s="14" cm="1">
        <f t="array" ref="S59">INT(SUMPRODUCT(--ISNUMBER(SEARCH(immigration,C59)))&gt;0)</f>
        <v>0</v>
      </c>
      <c r="T59" s="14" cm="1">
        <f t="array" ref="T59">INT(SUMPRODUCT(--ISNUMBER(SEARCH(econineq,C60)))&gt;0)</f>
        <v>0</v>
      </c>
      <c r="U59" s="14" cm="1">
        <f t="array" ref="U59">INT(SUMPRODUCT(--ISNUMBER(SEARCH(climate,C59)))&gt;0)</f>
        <v>0</v>
      </c>
      <c r="V59" s="14" cm="1">
        <f t="array" ref="V59">INT(SUMPRODUCT(--ISNUMBER(SEARCH(abortion,C59)))&gt;0)</f>
        <v>0</v>
      </c>
      <c r="W59" s="14" cm="1">
        <f t="array" ref="W59">INT(SUMPRODUCT(--ISNUMBER(SEARCH(trump,C59)))&gt;0)</f>
        <v>0</v>
      </c>
      <c r="X59" s="14" cm="1">
        <f t="array" ref="X59">INT(SUMPRODUCT(--ISNUMBER(SEARCH(voting,C59)))&gt;0)</f>
        <v>0</v>
      </c>
      <c r="Y59" s="35" cm="1">
        <f t="array" ref="Y59">INT(SUMPRODUCT(--ISNUMBER(SEARCH(republicantrigger,C59)))&gt;0)</f>
        <v>1</v>
      </c>
      <c r="Z59" s="35" cm="1">
        <f t="array" ref="Z59">INT(SUMPRODUCT(--ISNUMBER(SEARCH(bipartisan,C59)))&gt;0)</f>
        <v>0</v>
      </c>
      <c r="AA59" s="35">
        <f t="shared" si="1"/>
        <v>0</v>
      </c>
      <c r="AB59" s="14"/>
      <c r="AC59" s="30">
        <v>0</v>
      </c>
      <c r="AD59" s="37">
        <v>1</v>
      </c>
    </row>
    <row r="60" spans="1:30" x14ac:dyDescent="0.25">
      <c r="A60" s="36">
        <v>4380</v>
      </c>
      <c r="B60" s="14" t="s">
        <v>8783</v>
      </c>
      <c r="C60" s="31" t="s">
        <v>8784</v>
      </c>
      <c r="D60" s="17">
        <v>44124</v>
      </c>
      <c r="E60" s="14" t="s">
        <v>30</v>
      </c>
      <c r="F60" s="14">
        <v>95</v>
      </c>
      <c r="G60" s="14">
        <v>59</v>
      </c>
      <c r="H60" s="14">
        <v>20</v>
      </c>
      <c r="I60" s="14">
        <v>10</v>
      </c>
      <c r="J60" s="14" t="s">
        <v>31</v>
      </c>
      <c r="K60" s="14" cm="1">
        <f t="array" ref="K60">INT(SUMPRODUCT(--ISNUMBER(SEARCH(economy,C60)))&gt;0)</f>
        <v>0</v>
      </c>
      <c r="L60" s="14" cm="1">
        <f t="array" ref="L60">INT(SUMPRODUCT(--ISNUMBER(SEARCH(healthcare,C60)))&gt;0)</f>
        <v>0</v>
      </c>
      <c r="M60" s="14" cm="1">
        <f t="array" ref="M60">INT(SUMPRODUCT(--ISNUMBER(SEARCH(supreme,C60)))&gt;0)</f>
        <v>0</v>
      </c>
      <c r="N60" s="14" cm="1">
        <f t="array" ref="N60">INT(SUMPRODUCT(--ISNUMBER(SEARCH(covid,C60)))&gt;0)</f>
        <v>1</v>
      </c>
      <c r="O60" s="14" cm="1">
        <f t="array" ref="O60">INT(SUMPRODUCT(--ISNUMBER(SEARCH(violent,C60)))&gt;0)</f>
        <v>0</v>
      </c>
      <c r="P60" s="14" cm="1">
        <f t="array" ref="P60">INT(SUMPRODUCT(--ISNUMBER(SEARCH(foreign,C60)))&gt;0)</f>
        <v>0</v>
      </c>
      <c r="Q60" s="14" cm="1">
        <f t="array" ref="Q60">INT(SUMPRODUCT(--ISNUMBER(SEARCH(gun,C60)))&gt;0)</f>
        <v>0</v>
      </c>
      <c r="R60" s="14" cm="1">
        <f t="array" ref="R60">INT(SUMPRODUCT(--ISNUMBER(SEARCH(race,C60)))&gt;0)</f>
        <v>0</v>
      </c>
      <c r="S60" s="14" cm="1">
        <f t="array" ref="S60">INT(SUMPRODUCT(--ISNUMBER(SEARCH(immigration,C60)))&gt;0)</f>
        <v>0</v>
      </c>
      <c r="T60" s="14" cm="1">
        <f t="array" ref="T60">INT(SUMPRODUCT(--ISNUMBER(SEARCH(econineq,C61)))&gt;0)</f>
        <v>0</v>
      </c>
      <c r="U60" s="14" cm="1">
        <f t="array" ref="U60">INT(SUMPRODUCT(--ISNUMBER(SEARCH(climate,C60)))&gt;0)</f>
        <v>0</v>
      </c>
      <c r="V60" s="14" cm="1">
        <f t="array" ref="V60">INT(SUMPRODUCT(--ISNUMBER(SEARCH(abortion,C60)))&gt;0)</f>
        <v>0</v>
      </c>
      <c r="W60" s="14" cm="1">
        <f t="array" ref="W60">INT(SUMPRODUCT(--ISNUMBER(SEARCH(trump,C60)))&gt;0)</f>
        <v>0</v>
      </c>
      <c r="X60" s="14" cm="1">
        <f t="array" ref="X60">INT(SUMPRODUCT(--ISNUMBER(SEARCH(voting,C60)))&gt;0)</f>
        <v>1</v>
      </c>
      <c r="Y60" s="35" cm="1">
        <f t="array" ref="Y60">INT(SUMPRODUCT(--ISNUMBER(SEARCH(republicantrigger,C60)))&gt;0)</f>
        <v>1</v>
      </c>
      <c r="Z60" s="35" cm="1">
        <f t="array" ref="Z60">INT(SUMPRODUCT(--ISNUMBER(SEARCH(bipartisan,C60)))&gt;0)</f>
        <v>0</v>
      </c>
      <c r="AA60" s="35">
        <f t="shared" si="1"/>
        <v>0</v>
      </c>
      <c r="AB60" s="14"/>
      <c r="AC60" s="30">
        <v>0</v>
      </c>
      <c r="AD60" s="37">
        <v>0</v>
      </c>
    </row>
    <row r="61" spans="1:30" x14ac:dyDescent="0.25">
      <c r="A61" s="36">
        <v>4381</v>
      </c>
      <c r="B61" s="14" t="s">
        <v>8785</v>
      </c>
      <c r="C61" s="31" t="s">
        <v>8786</v>
      </c>
      <c r="D61" s="17">
        <v>44124</v>
      </c>
      <c r="E61" s="14" t="s">
        <v>70</v>
      </c>
      <c r="F61" s="14">
        <v>38</v>
      </c>
      <c r="G61" s="14">
        <v>9</v>
      </c>
      <c r="H61" s="14">
        <v>20</v>
      </c>
      <c r="I61" s="14">
        <v>10</v>
      </c>
      <c r="J61" s="14" t="s">
        <v>31</v>
      </c>
      <c r="K61" s="14" cm="1">
        <f t="array" ref="K61">INT(SUMPRODUCT(--ISNUMBER(SEARCH(economy,C61)))&gt;0)</f>
        <v>0</v>
      </c>
      <c r="L61" s="14" cm="1">
        <f t="array" ref="L61">INT(SUMPRODUCT(--ISNUMBER(SEARCH(healthcare,C61)))&gt;0)</f>
        <v>0</v>
      </c>
      <c r="M61" s="14" cm="1">
        <f t="array" ref="M61">INT(SUMPRODUCT(--ISNUMBER(SEARCH(supreme,C61)))&gt;0)</f>
        <v>0</v>
      </c>
      <c r="N61" s="14" cm="1">
        <f t="array" ref="N61">INT(SUMPRODUCT(--ISNUMBER(SEARCH(covid,C61)))&gt;0)</f>
        <v>0</v>
      </c>
      <c r="O61" s="14" cm="1">
        <f t="array" ref="O61">INT(SUMPRODUCT(--ISNUMBER(SEARCH(violent,C61)))&gt;0)</f>
        <v>0</v>
      </c>
      <c r="P61" s="14" cm="1">
        <f t="array" ref="P61">INT(SUMPRODUCT(--ISNUMBER(SEARCH(foreign,C61)))&gt;0)</f>
        <v>0</v>
      </c>
      <c r="Q61" s="14" cm="1">
        <f t="array" ref="Q61">INT(SUMPRODUCT(--ISNUMBER(SEARCH(gun,C61)))&gt;0)</f>
        <v>0</v>
      </c>
      <c r="R61" s="14" cm="1">
        <f t="array" ref="R61">INT(SUMPRODUCT(--ISNUMBER(SEARCH(race,C61)))&gt;0)</f>
        <v>0</v>
      </c>
      <c r="S61" s="14" cm="1">
        <f t="array" ref="S61">INT(SUMPRODUCT(--ISNUMBER(SEARCH(immigration,C61)))&gt;0)</f>
        <v>0</v>
      </c>
      <c r="T61" s="14" cm="1">
        <f t="array" ref="T61">INT(SUMPRODUCT(--ISNUMBER(SEARCH(econineq,C62)))&gt;0)</f>
        <v>0</v>
      </c>
      <c r="U61" s="14" cm="1">
        <f t="array" ref="U61">INT(SUMPRODUCT(--ISNUMBER(SEARCH(climate,C61)))&gt;0)</f>
        <v>0</v>
      </c>
      <c r="V61" s="14" cm="1">
        <f t="array" ref="V61">INT(SUMPRODUCT(--ISNUMBER(SEARCH(abortion,C61)))&gt;0)</f>
        <v>0</v>
      </c>
      <c r="W61" s="14" cm="1">
        <f t="array" ref="W61">INT(SUMPRODUCT(--ISNUMBER(SEARCH(trump,C61)))&gt;0)</f>
        <v>0</v>
      </c>
      <c r="X61" s="14" cm="1">
        <f t="array" ref="X61">INT(SUMPRODUCT(--ISNUMBER(SEARCH(voting,C61)))&gt;0)</f>
        <v>0</v>
      </c>
      <c r="Y61" s="35" cm="1">
        <f t="array" ref="Y61">INT(SUMPRODUCT(--ISNUMBER(SEARCH(republicantrigger,C61)))&gt;0)</f>
        <v>1</v>
      </c>
      <c r="Z61" s="35" cm="1">
        <f t="array" ref="Z61">INT(SUMPRODUCT(--ISNUMBER(SEARCH(bipartisan,C61)))&gt;0)</f>
        <v>0</v>
      </c>
      <c r="AA61" s="35">
        <f t="shared" si="1"/>
        <v>0</v>
      </c>
      <c r="AB61" s="14"/>
      <c r="AC61" s="30">
        <v>0</v>
      </c>
      <c r="AD61" s="37">
        <v>0</v>
      </c>
    </row>
    <row r="62" spans="1:30" x14ac:dyDescent="0.25">
      <c r="A62" s="36">
        <v>4382</v>
      </c>
      <c r="B62" s="14" t="s">
        <v>8787</v>
      </c>
      <c r="C62" s="31" t="s">
        <v>8788</v>
      </c>
      <c r="D62" s="17">
        <v>44124</v>
      </c>
      <c r="E62" s="14" t="s">
        <v>30</v>
      </c>
      <c r="F62" s="14">
        <v>61</v>
      </c>
      <c r="G62" s="14">
        <v>19</v>
      </c>
      <c r="H62" s="14">
        <v>20</v>
      </c>
      <c r="I62" s="14">
        <v>10</v>
      </c>
      <c r="J62" s="14" t="s">
        <v>31</v>
      </c>
      <c r="K62" s="14" cm="1">
        <f t="array" ref="K62">INT(SUMPRODUCT(--ISNUMBER(SEARCH(economy,C62)))&gt;0)</f>
        <v>0</v>
      </c>
      <c r="L62" s="14" cm="1">
        <f t="array" ref="L62">INT(SUMPRODUCT(--ISNUMBER(SEARCH(healthcare,C62)))&gt;0)</f>
        <v>0</v>
      </c>
      <c r="M62" s="14" cm="1">
        <f t="array" ref="M62">INT(SUMPRODUCT(--ISNUMBER(SEARCH(supreme,C62)))&gt;0)</f>
        <v>0</v>
      </c>
      <c r="N62" s="14" cm="1">
        <f t="array" ref="N62">INT(SUMPRODUCT(--ISNUMBER(SEARCH(covid,C62)))&gt;0)</f>
        <v>1</v>
      </c>
      <c r="O62" s="14" cm="1">
        <f t="array" ref="O62">INT(SUMPRODUCT(--ISNUMBER(SEARCH(violent,C62)))&gt;0)</f>
        <v>0</v>
      </c>
      <c r="P62" s="14" cm="1">
        <f t="array" ref="P62">INT(SUMPRODUCT(--ISNUMBER(SEARCH(foreign,C62)))&gt;0)</f>
        <v>0</v>
      </c>
      <c r="Q62" s="14" cm="1">
        <f t="array" ref="Q62">INT(SUMPRODUCT(--ISNUMBER(SEARCH(gun,C62)))&gt;0)</f>
        <v>0</v>
      </c>
      <c r="R62" s="14" cm="1">
        <f t="array" ref="R62">INT(SUMPRODUCT(--ISNUMBER(SEARCH(race,C62)))&gt;0)</f>
        <v>0</v>
      </c>
      <c r="S62" s="14" cm="1">
        <f t="array" ref="S62">INT(SUMPRODUCT(--ISNUMBER(SEARCH(immigration,C62)))&gt;0)</f>
        <v>0</v>
      </c>
      <c r="T62" s="14" cm="1">
        <f t="array" ref="T62">INT(SUMPRODUCT(--ISNUMBER(SEARCH(econineq,C63)))&gt;0)</f>
        <v>0</v>
      </c>
      <c r="U62" s="14" cm="1">
        <f t="array" ref="U62">INT(SUMPRODUCT(--ISNUMBER(SEARCH(climate,C62)))&gt;0)</f>
        <v>0</v>
      </c>
      <c r="V62" s="14" cm="1">
        <f t="array" ref="V62">INT(SUMPRODUCT(--ISNUMBER(SEARCH(abortion,C62)))&gt;0)</f>
        <v>0</v>
      </c>
      <c r="W62" s="14" cm="1">
        <f t="array" ref="W62">INT(SUMPRODUCT(--ISNUMBER(SEARCH(trump,C62)))&gt;0)</f>
        <v>0</v>
      </c>
      <c r="X62" s="14" cm="1">
        <f t="array" ref="X62">INT(SUMPRODUCT(--ISNUMBER(SEARCH(voting,C62)))&gt;0)</f>
        <v>1</v>
      </c>
      <c r="Y62" s="35" cm="1">
        <f t="array" ref="Y62">INT(SUMPRODUCT(--ISNUMBER(SEARCH(republicantrigger,C62)))&gt;0)</f>
        <v>0</v>
      </c>
      <c r="Z62" s="35" cm="1">
        <f t="array" ref="Z62">INT(SUMPRODUCT(--ISNUMBER(SEARCH(bipartisan,C62)))&gt;0)</f>
        <v>0</v>
      </c>
      <c r="AA62" s="35">
        <f t="shared" si="1"/>
        <v>0</v>
      </c>
      <c r="AB62" s="14"/>
      <c r="AC62" s="30">
        <v>0</v>
      </c>
      <c r="AD62" s="37">
        <v>0</v>
      </c>
    </row>
    <row r="63" spans="1:30" x14ac:dyDescent="0.25">
      <c r="A63" s="36">
        <v>4383</v>
      </c>
      <c r="B63" s="14" t="s">
        <v>8789</v>
      </c>
      <c r="C63" s="31" t="s">
        <v>8790</v>
      </c>
      <c r="D63" s="17">
        <v>44123</v>
      </c>
      <c r="E63" s="14" t="s">
        <v>30</v>
      </c>
      <c r="F63" s="14">
        <v>2349</v>
      </c>
      <c r="G63" s="14">
        <v>464</v>
      </c>
      <c r="H63" s="14">
        <v>20</v>
      </c>
      <c r="I63" s="14">
        <v>10</v>
      </c>
      <c r="J63" s="14" t="s">
        <v>31</v>
      </c>
      <c r="K63" s="14" cm="1">
        <f t="array" ref="K63">INT(SUMPRODUCT(--ISNUMBER(SEARCH(economy,C63)))&gt;0)</f>
        <v>0</v>
      </c>
      <c r="L63" s="14" cm="1">
        <f t="array" ref="L63">INT(SUMPRODUCT(--ISNUMBER(SEARCH(healthcare,C63)))&gt;0)</f>
        <v>0</v>
      </c>
      <c r="M63" s="14" cm="1">
        <f t="array" ref="M63">INT(SUMPRODUCT(--ISNUMBER(SEARCH(supreme,C63)))&gt;0)</f>
        <v>0</v>
      </c>
      <c r="N63" s="14" cm="1">
        <f t="array" ref="N63">INT(SUMPRODUCT(--ISNUMBER(SEARCH(covid,C63)))&gt;0)</f>
        <v>0</v>
      </c>
      <c r="O63" s="14" cm="1">
        <f t="array" ref="O63">INT(SUMPRODUCT(--ISNUMBER(SEARCH(violent,C63)))&gt;0)</f>
        <v>0</v>
      </c>
      <c r="P63" s="14" cm="1">
        <f t="array" ref="P63">INT(SUMPRODUCT(--ISNUMBER(SEARCH(foreign,C63)))&gt;0)</f>
        <v>0</v>
      </c>
      <c r="Q63" s="14" cm="1">
        <f t="array" ref="Q63">INT(SUMPRODUCT(--ISNUMBER(SEARCH(gun,C63)))&gt;0)</f>
        <v>0</v>
      </c>
      <c r="R63" s="14" cm="1">
        <f t="array" ref="R63">INT(SUMPRODUCT(--ISNUMBER(SEARCH(race,C63)))&gt;0)</f>
        <v>0</v>
      </c>
      <c r="S63" s="14" cm="1">
        <f t="array" ref="S63">INT(SUMPRODUCT(--ISNUMBER(SEARCH(immigration,C63)))&gt;0)</f>
        <v>0</v>
      </c>
      <c r="T63" s="14" cm="1">
        <f t="array" ref="T63">INT(SUMPRODUCT(--ISNUMBER(SEARCH(econineq,C64)))&gt;0)</f>
        <v>0</v>
      </c>
      <c r="U63" s="14" cm="1">
        <f t="array" ref="U63">INT(SUMPRODUCT(--ISNUMBER(SEARCH(climate,C63)))&gt;0)</f>
        <v>0</v>
      </c>
      <c r="V63" s="14" cm="1">
        <f t="array" ref="V63">INT(SUMPRODUCT(--ISNUMBER(SEARCH(abortion,C63)))&gt;0)</f>
        <v>0</v>
      </c>
      <c r="W63" s="14" cm="1">
        <f t="array" ref="W63">INT(SUMPRODUCT(--ISNUMBER(SEARCH(trump,C63)))&gt;0)</f>
        <v>0</v>
      </c>
      <c r="X63" s="14" cm="1">
        <f t="array" ref="X63">INT(SUMPRODUCT(--ISNUMBER(SEARCH(voting,C63)))&gt;0)</f>
        <v>1</v>
      </c>
      <c r="Y63" s="35" cm="1">
        <f t="array" ref="Y63">INT(SUMPRODUCT(--ISNUMBER(SEARCH(republicantrigger,C63)))&gt;0)</f>
        <v>1</v>
      </c>
      <c r="Z63" s="35" cm="1">
        <f t="array" ref="Z63">INT(SUMPRODUCT(--ISNUMBER(SEARCH(bipartisan,C63)))&gt;0)</f>
        <v>0</v>
      </c>
      <c r="AA63" s="35">
        <f t="shared" si="1"/>
        <v>0</v>
      </c>
      <c r="AB63" s="14"/>
      <c r="AC63" s="30">
        <v>0</v>
      </c>
      <c r="AD63" s="37">
        <v>0</v>
      </c>
    </row>
    <row r="64" spans="1:30" x14ac:dyDescent="0.25">
      <c r="A64" s="36">
        <v>4384</v>
      </c>
      <c r="B64" s="14" t="s">
        <v>8791</v>
      </c>
      <c r="C64" s="31" t="s">
        <v>8792</v>
      </c>
      <c r="D64" s="17">
        <v>44123</v>
      </c>
      <c r="E64" s="14" t="s">
        <v>30</v>
      </c>
      <c r="F64" s="14">
        <v>183</v>
      </c>
      <c r="G64" s="14">
        <v>114</v>
      </c>
      <c r="H64" s="14">
        <v>20</v>
      </c>
      <c r="I64" s="14">
        <v>10</v>
      </c>
      <c r="J64" s="14" t="s">
        <v>31</v>
      </c>
      <c r="K64" s="14" cm="1">
        <f t="array" ref="K64">INT(SUMPRODUCT(--ISNUMBER(SEARCH(economy,C64)))&gt;0)</f>
        <v>0</v>
      </c>
      <c r="L64" s="14" cm="1">
        <f t="array" ref="L64">INT(SUMPRODUCT(--ISNUMBER(SEARCH(healthcare,C64)))&gt;0)</f>
        <v>0</v>
      </c>
      <c r="M64" s="14" cm="1">
        <f t="array" ref="M64">INT(SUMPRODUCT(--ISNUMBER(SEARCH(supreme,C64)))&gt;0)</f>
        <v>0</v>
      </c>
      <c r="N64" s="14" cm="1">
        <f t="array" ref="N64">INT(SUMPRODUCT(--ISNUMBER(SEARCH(covid,C64)))&gt;0)</f>
        <v>1</v>
      </c>
      <c r="O64" s="14" cm="1">
        <f t="array" ref="O64">INT(SUMPRODUCT(--ISNUMBER(SEARCH(violent,C64)))&gt;0)</f>
        <v>0</v>
      </c>
      <c r="P64" s="14" cm="1">
        <f t="array" ref="P64">INT(SUMPRODUCT(--ISNUMBER(SEARCH(foreign,C64)))&gt;0)</f>
        <v>0</v>
      </c>
      <c r="Q64" s="14" cm="1">
        <f t="array" ref="Q64">INT(SUMPRODUCT(--ISNUMBER(SEARCH(gun,C64)))&gt;0)</f>
        <v>0</v>
      </c>
      <c r="R64" s="14" cm="1">
        <f t="array" ref="R64">INT(SUMPRODUCT(--ISNUMBER(SEARCH(race,C64)))&gt;0)</f>
        <v>0</v>
      </c>
      <c r="S64" s="14" cm="1">
        <f t="array" ref="S64">INT(SUMPRODUCT(--ISNUMBER(SEARCH(immigration,C64)))&gt;0)</f>
        <v>0</v>
      </c>
      <c r="T64" s="14" cm="1">
        <f t="array" ref="T64">INT(SUMPRODUCT(--ISNUMBER(SEARCH(econineq,C65)))&gt;0)</f>
        <v>0</v>
      </c>
      <c r="U64" s="14" cm="1">
        <f t="array" ref="U64">INT(SUMPRODUCT(--ISNUMBER(SEARCH(climate,C64)))&gt;0)</f>
        <v>0</v>
      </c>
      <c r="V64" s="14" cm="1">
        <f t="array" ref="V64">INT(SUMPRODUCT(--ISNUMBER(SEARCH(abortion,C64)))&gt;0)</f>
        <v>0</v>
      </c>
      <c r="W64" s="14" cm="1">
        <f t="array" ref="W64">INT(SUMPRODUCT(--ISNUMBER(SEARCH(trump,C64)))&gt;0)</f>
        <v>0</v>
      </c>
      <c r="X64" s="14" cm="1">
        <f t="array" ref="X64">INT(SUMPRODUCT(--ISNUMBER(SEARCH(voting,C64)))&gt;0)</f>
        <v>1</v>
      </c>
      <c r="Y64" s="35" cm="1">
        <f t="array" ref="Y64">INT(SUMPRODUCT(--ISNUMBER(SEARCH(republicantrigger,C64)))&gt;0)</f>
        <v>1</v>
      </c>
      <c r="Z64" s="35" cm="1">
        <f t="array" ref="Z64">INT(SUMPRODUCT(--ISNUMBER(SEARCH(bipartisan,C64)))&gt;0)</f>
        <v>0</v>
      </c>
      <c r="AA64" s="35">
        <f t="shared" si="1"/>
        <v>0</v>
      </c>
      <c r="AB64" s="14"/>
      <c r="AC64" s="30">
        <v>0</v>
      </c>
      <c r="AD64" s="37">
        <v>0</v>
      </c>
    </row>
    <row r="65" spans="1:30" x14ac:dyDescent="0.25">
      <c r="A65" s="36">
        <v>4385</v>
      </c>
      <c r="B65" s="14" t="s">
        <v>8793</v>
      </c>
      <c r="C65" s="31" t="s">
        <v>8794</v>
      </c>
      <c r="D65" s="17">
        <v>44123</v>
      </c>
      <c r="E65" s="14" t="s">
        <v>30</v>
      </c>
      <c r="F65" s="14">
        <v>125</v>
      </c>
      <c r="G65" s="14">
        <v>55</v>
      </c>
      <c r="H65" s="14">
        <v>20</v>
      </c>
      <c r="I65" s="14">
        <v>10</v>
      </c>
      <c r="J65" s="14" t="s">
        <v>31</v>
      </c>
      <c r="K65" s="14" cm="1">
        <f t="array" ref="K65">INT(SUMPRODUCT(--ISNUMBER(SEARCH(economy,C65)))&gt;0)</f>
        <v>0</v>
      </c>
      <c r="L65" s="14" cm="1">
        <f t="array" ref="L65">INT(SUMPRODUCT(--ISNUMBER(SEARCH(healthcare,C65)))&gt;0)</f>
        <v>0</v>
      </c>
      <c r="M65" s="14" cm="1">
        <f t="array" ref="M65">INT(SUMPRODUCT(--ISNUMBER(SEARCH(supreme,C65)))&gt;0)</f>
        <v>0</v>
      </c>
      <c r="N65" s="14" cm="1">
        <f t="array" ref="N65">INT(SUMPRODUCT(--ISNUMBER(SEARCH(covid,C65)))&gt;0)</f>
        <v>0</v>
      </c>
      <c r="O65" s="14" cm="1">
        <f t="array" ref="O65">INT(SUMPRODUCT(--ISNUMBER(SEARCH(violent,C65)))&gt;0)</f>
        <v>0</v>
      </c>
      <c r="P65" s="14" cm="1">
        <f t="array" ref="P65">INT(SUMPRODUCT(--ISNUMBER(SEARCH(foreign,C65)))&gt;0)</f>
        <v>0</v>
      </c>
      <c r="Q65" s="14" cm="1">
        <f t="array" ref="Q65">INT(SUMPRODUCT(--ISNUMBER(SEARCH(gun,C65)))&gt;0)</f>
        <v>0</v>
      </c>
      <c r="R65" s="14" cm="1">
        <f t="array" ref="R65">INT(SUMPRODUCT(--ISNUMBER(SEARCH(race,C65)))&gt;0)</f>
        <v>0</v>
      </c>
      <c r="S65" s="14" cm="1">
        <f t="array" ref="S65">INT(SUMPRODUCT(--ISNUMBER(SEARCH(immigration,C65)))&gt;0)</f>
        <v>0</v>
      </c>
      <c r="T65" s="14" cm="1">
        <f t="array" ref="T65">INT(SUMPRODUCT(--ISNUMBER(SEARCH(econineq,C66)))&gt;0)</f>
        <v>0</v>
      </c>
      <c r="U65" s="14" cm="1">
        <f t="array" ref="U65">INT(SUMPRODUCT(--ISNUMBER(SEARCH(climate,C65)))&gt;0)</f>
        <v>0</v>
      </c>
      <c r="V65" s="14" cm="1">
        <f t="array" ref="V65">INT(SUMPRODUCT(--ISNUMBER(SEARCH(abortion,C65)))&gt;0)</f>
        <v>0</v>
      </c>
      <c r="W65" s="14" cm="1">
        <f t="array" ref="W65">INT(SUMPRODUCT(--ISNUMBER(SEARCH(trump,C65)))&gt;0)</f>
        <v>0</v>
      </c>
      <c r="X65" s="14" cm="1">
        <f t="array" ref="X65">INT(SUMPRODUCT(--ISNUMBER(SEARCH(voting,C65)))&gt;0)</f>
        <v>0</v>
      </c>
      <c r="Y65" s="35" cm="1">
        <f t="array" ref="Y65">INT(SUMPRODUCT(--ISNUMBER(SEARCH(republicantrigger,C65)))&gt;0)</f>
        <v>1</v>
      </c>
      <c r="Z65" s="35" cm="1">
        <f t="array" ref="Z65">INT(SUMPRODUCT(--ISNUMBER(SEARCH(bipartisan,C65)))&gt;0)</f>
        <v>0</v>
      </c>
      <c r="AA65" s="35">
        <f t="shared" si="1"/>
        <v>0</v>
      </c>
      <c r="AB65" s="14"/>
      <c r="AC65" s="30">
        <v>0</v>
      </c>
      <c r="AD65" s="37">
        <v>1</v>
      </c>
    </row>
    <row r="66" spans="1:30" x14ac:dyDescent="0.25">
      <c r="A66" s="36">
        <v>4386</v>
      </c>
      <c r="B66" s="14" t="s">
        <v>8795</v>
      </c>
      <c r="C66" s="31" t="s">
        <v>8796</v>
      </c>
      <c r="D66" s="17">
        <v>44123</v>
      </c>
      <c r="E66" s="14" t="s">
        <v>30</v>
      </c>
      <c r="F66" s="14">
        <v>159</v>
      </c>
      <c r="G66" s="14">
        <v>88</v>
      </c>
      <c r="H66" s="14">
        <v>20</v>
      </c>
      <c r="I66" s="14">
        <v>10</v>
      </c>
      <c r="J66" s="14" t="s">
        <v>31</v>
      </c>
      <c r="K66" s="14" cm="1">
        <f t="array" ref="K66">INT(SUMPRODUCT(--ISNUMBER(SEARCH(economy,C66)))&gt;0)</f>
        <v>0</v>
      </c>
      <c r="L66" s="14" cm="1">
        <f t="array" ref="L66">INT(SUMPRODUCT(--ISNUMBER(SEARCH(healthcare,C66)))&gt;0)</f>
        <v>1</v>
      </c>
      <c r="M66" s="14" cm="1">
        <f t="array" ref="M66">INT(SUMPRODUCT(--ISNUMBER(SEARCH(supreme,C66)))&gt;0)</f>
        <v>0</v>
      </c>
      <c r="N66" s="14" cm="1">
        <f t="array" ref="N66">INT(SUMPRODUCT(--ISNUMBER(SEARCH(covid,C66)))&gt;0)</f>
        <v>1</v>
      </c>
      <c r="O66" s="14" cm="1">
        <f t="array" ref="O66">INT(SUMPRODUCT(--ISNUMBER(SEARCH(violent,C66)))&gt;0)</f>
        <v>0</v>
      </c>
      <c r="P66" s="14" cm="1">
        <f t="array" ref="P66">INT(SUMPRODUCT(--ISNUMBER(SEARCH(foreign,C66)))&gt;0)</f>
        <v>0</v>
      </c>
      <c r="Q66" s="14" cm="1">
        <f t="array" ref="Q66">INT(SUMPRODUCT(--ISNUMBER(SEARCH(gun,C66)))&gt;0)</f>
        <v>0</v>
      </c>
      <c r="R66" s="14" cm="1">
        <f t="array" ref="R66">INT(SUMPRODUCT(--ISNUMBER(SEARCH(race,C66)))&gt;0)</f>
        <v>0</v>
      </c>
      <c r="S66" s="14" cm="1">
        <f t="array" ref="S66">INT(SUMPRODUCT(--ISNUMBER(SEARCH(immigration,C66)))&gt;0)</f>
        <v>0</v>
      </c>
      <c r="T66" s="14" cm="1">
        <f t="array" ref="T66">INT(SUMPRODUCT(--ISNUMBER(SEARCH(econineq,C67)))&gt;0)</f>
        <v>0</v>
      </c>
      <c r="U66" s="14" cm="1">
        <f t="array" ref="U66">INT(SUMPRODUCT(--ISNUMBER(SEARCH(climate,C66)))&gt;0)</f>
        <v>0</v>
      </c>
      <c r="V66" s="14" cm="1">
        <f t="array" ref="V66">INT(SUMPRODUCT(--ISNUMBER(SEARCH(abortion,C66)))&gt;0)</f>
        <v>0</v>
      </c>
      <c r="W66" s="14" cm="1">
        <f t="array" ref="W66">INT(SUMPRODUCT(--ISNUMBER(SEARCH(trump,C66)))&gt;0)</f>
        <v>0</v>
      </c>
      <c r="X66" s="14" cm="1">
        <f t="array" ref="X66">INT(SUMPRODUCT(--ISNUMBER(SEARCH(voting,C66)))&gt;0)</f>
        <v>1</v>
      </c>
      <c r="Y66" s="35" cm="1">
        <f t="array" ref="Y66">INT(SUMPRODUCT(--ISNUMBER(SEARCH(republicantrigger,C66)))&gt;0)</f>
        <v>0</v>
      </c>
      <c r="Z66" s="35" cm="1">
        <f t="array" ref="Z66">INT(SUMPRODUCT(--ISNUMBER(SEARCH(bipartisan,C66)))&gt;0)</f>
        <v>0</v>
      </c>
      <c r="AA66" s="35">
        <f t="shared" ref="AA66:AA97" si="2">INT(IF(COUNTIF(K66:Z66,1)=0,"1","0"))</f>
        <v>0</v>
      </c>
      <c r="AB66" s="14"/>
      <c r="AC66" s="30">
        <v>0</v>
      </c>
      <c r="AD66" s="37">
        <v>0</v>
      </c>
    </row>
    <row r="67" spans="1:30" x14ac:dyDescent="0.25">
      <c r="A67" s="36">
        <v>4387</v>
      </c>
      <c r="B67" s="14" t="s">
        <v>8797</v>
      </c>
      <c r="C67" s="31" t="s">
        <v>8798</v>
      </c>
      <c r="D67" s="17">
        <v>44123</v>
      </c>
      <c r="E67" s="14" t="s">
        <v>70</v>
      </c>
      <c r="F67" s="14">
        <v>83</v>
      </c>
      <c r="G67" s="14">
        <v>35</v>
      </c>
      <c r="H67" s="14">
        <v>20</v>
      </c>
      <c r="I67" s="14">
        <v>10</v>
      </c>
      <c r="J67" s="14" t="s">
        <v>31</v>
      </c>
      <c r="K67" s="14" cm="1">
        <f t="array" ref="K67">INT(SUMPRODUCT(--ISNUMBER(SEARCH(economy,C67)))&gt;0)</f>
        <v>0</v>
      </c>
      <c r="L67" s="14" cm="1">
        <f t="array" ref="L67">INT(SUMPRODUCT(--ISNUMBER(SEARCH(healthcare,C67)))&gt;0)</f>
        <v>0</v>
      </c>
      <c r="M67" s="14" cm="1">
        <f t="array" ref="M67">INT(SUMPRODUCT(--ISNUMBER(SEARCH(supreme,C67)))&gt;0)</f>
        <v>0</v>
      </c>
      <c r="N67" s="14" cm="1">
        <f t="array" ref="N67">INT(SUMPRODUCT(--ISNUMBER(SEARCH(covid,C67)))&gt;0)</f>
        <v>0</v>
      </c>
      <c r="O67" s="14" cm="1">
        <f t="array" ref="O67">INT(SUMPRODUCT(--ISNUMBER(SEARCH(violent,C67)))&gt;0)</f>
        <v>0</v>
      </c>
      <c r="P67" s="14" cm="1">
        <f t="array" ref="P67">INT(SUMPRODUCT(--ISNUMBER(SEARCH(foreign,C67)))&gt;0)</f>
        <v>0</v>
      </c>
      <c r="Q67" s="14" cm="1">
        <f t="array" ref="Q67">INT(SUMPRODUCT(--ISNUMBER(SEARCH(gun,C67)))&gt;0)</f>
        <v>0</v>
      </c>
      <c r="R67" s="14" cm="1">
        <f t="array" ref="R67">INT(SUMPRODUCT(--ISNUMBER(SEARCH(race,C67)))&gt;0)</f>
        <v>0</v>
      </c>
      <c r="S67" s="14" cm="1">
        <f t="array" ref="S67">INT(SUMPRODUCT(--ISNUMBER(SEARCH(immigration,C67)))&gt;0)</f>
        <v>0</v>
      </c>
      <c r="T67" s="14" cm="1">
        <f t="array" ref="T67">INT(SUMPRODUCT(--ISNUMBER(SEARCH(econineq,C68)))&gt;0)</f>
        <v>0</v>
      </c>
      <c r="U67" s="14" cm="1">
        <f t="array" ref="U67">INT(SUMPRODUCT(--ISNUMBER(SEARCH(climate,C67)))&gt;0)</f>
        <v>0</v>
      </c>
      <c r="V67" s="14" cm="1">
        <f t="array" ref="V67">INT(SUMPRODUCT(--ISNUMBER(SEARCH(abortion,C67)))&gt;0)</f>
        <v>0</v>
      </c>
      <c r="W67" s="14" cm="1">
        <f t="array" ref="W67">INT(SUMPRODUCT(--ISNUMBER(SEARCH(trump,C67)))&gt;0)</f>
        <v>0</v>
      </c>
      <c r="X67" s="14" cm="1">
        <f t="array" ref="X67">INT(SUMPRODUCT(--ISNUMBER(SEARCH(voting,C67)))&gt;0)</f>
        <v>0</v>
      </c>
      <c r="Y67" s="35" cm="1">
        <f t="array" ref="Y67">INT(SUMPRODUCT(--ISNUMBER(SEARCH(republicantrigger,C67)))&gt;0)</f>
        <v>0</v>
      </c>
      <c r="Z67" s="35" cm="1">
        <f t="array" ref="Z67">INT(SUMPRODUCT(--ISNUMBER(SEARCH(bipartisan,C67)))&gt;0)</f>
        <v>0</v>
      </c>
      <c r="AA67" s="35">
        <f t="shared" si="2"/>
        <v>1</v>
      </c>
      <c r="AB67" s="14"/>
      <c r="AC67" s="30">
        <v>0</v>
      </c>
      <c r="AD67" s="37">
        <v>0</v>
      </c>
    </row>
    <row r="68" spans="1:30" x14ac:dyDescent="0.25">
      <c r="A68" s="36">
        <v>4388</v>
      </c>
      <c r="B68" s="14" t="s">
        <v>8799</v>
      </c>
      <c r="C68" s="31" t="s">
        <v>8800</v>
      </c>
      <c r="D68" s="17">
        <v>44123</v>
      </c>
      <c r="E68" s="14" t="s">
        <v>30</v>
      </c>
      <c r="F68" s="14">
        <v>166</v>
      </c>
      <c r="G68" s="14">
        <v>61</v>
      </c>
      <c r="H68" s="14">
        <v>20</v>
      </c>
      <c r="I68" s="14">
        <v>10</v>
      </c>
      <c r="J68" s="14" t="s">
        <v>31</v>
      </c>
      <c r="K68" s="14" cm="1">
        <f t="array" ref="K68">INT(SUMPRODUCT(--ISNUMBER(SEARCH(economy,C68)))&gt;0)</f>
        <v>0</v>
      </c>
      <c r="L68" s="14" cm="1">
        <f t="array" ref="L68">INT(SUMPRODUCT(--ISNUMBER(SEARCH(healthcare,C68)))&gt;0)</f>
        <v>0</v>
      </c>
      <c r="M68" s="14" cm="1">
        <f t="array" ref="M68">INT(SUMPRODUCT(--ISNUMBER(SEARCH(supreme,C68)))&gt;0)</f>
        <v>0</v>
      </c>
      <c r="N68" s="14" cm="1">
        <f t="array" ref="N68">INT(SUMPRODUCT(--ISNUMBER(SEARCH(covid,C68)))&gt;0)</f>
        <v>0</v>
      </c>
      <c r="O68" s="14" cm="1">
        <f t="array" ref="O68">INT(SUMPRODUCT(--ISNUMBER(SEARCH(violent,C68)))&gt;0)</f>
        <v>0</v>
      </c>
      <c r="P68" s="14" cm="1">
        <f t="array" ref="P68">INT(SUMPRODUCT(--ISNUMBER(SEARCH(foreign,C68)))&gt;0)</f>
        <v>0</v>
      </c>
      <c r="Q68" s="14" cm="1">
        <f t="array" ref="Q68">INT(SUMPRODUCT(--ISNUMBER(SEARCH(gun,C68)))&gt;0)</f>
        <v>0</v>
      </c>
      <c r="R68" s="14" cm="1">
        <f t="array" ref="R68">INT(SUMPRODUCT(--ISNUMBER(SEARCH(race,C68)))&gt;0)</f>
        <v>0</v>
      </c>
      <c r="S68" s="14" cm="1">
        <f t="array" ref="S68">INT(SUMPRODUCT(--ISNUMBER(SEARCH(immigration,C68)))&gt;0)</f>
        <v>0</v>
      </c>
      <c r="T68" s="14" cm="1">
        <f t="array" ref="T68">INT(SUMPRODUCT(--ISNUMBER(SEARCH(econineq,C69)))&gt;0)</f>
        <v>0</v>
      </c>
      <c r="U68" s="14" cm="1">
        <f t="array" ref="U68">INT(SUMPRODUCT(--ISNUMBER(SEARCH(climate,C68)))&gt;0)</f>
        <v>0</v>
      </c>
      <c r="V68" s="14" cm="1">
        <f t="array" ref="V68">INT(SUMPRODUCT(--ISNUMBER(SEARCH(abortion,C68)))&gt;0)</f>
        <v>0</v>
      </c>
      <c r="W68" s="14" cm="1">
        <f t="array" ref="W68">INT(SUMPRODUCT(--ISNUMBER(SEARCH(trump,C68)))&gt;0)</f>
        <v>0</v>
      </c>
      <c r="X68" s="14" cm="1">
        <f t="array" ref="X68">INT(SUMPRODUCT(--ISNUMBER(SEARCH(voting,C68)))&gt;0)</f>
        <v>1</v>
      </c>
      <c r="Y68" s="35" cm="1">
        <f t="array" ref="Y68">INT(SUMPRODUCT(--ISNUMBER(SEARCH(republicantrigger,C68)))&gt;0)</f>
        <v>1</v>
      </c>
      <c r="Z68" s="35" cm="1">
        <f t="array" ref="Z68">INT(SUMPRODUCT(--ISNUMBER(SEARCH(bipartisan,C68)))&gt;0)</f>
        <v>0</v>
      </c>
      <c r="AA68" s="35">
        <f t="shared" si="2"/>
        <v>0</v>
      </c>
      <c r="AB68" s="14"/>
      <c r="AC68" s="30">
        <v>0</v>
      </c>
      <c r="AD68" s="37">
        <v>0</v>
      </c>
    </row>
    <row r="69" spans="1:30" x14ac:dyDescent="0.25">
      <c r="A69" s="36">
        <v>4389</v>
      </c>
      <c r="B69" s="14" t="s">
        <v>8801</v>
      </c>
      <c r="C69" s="31" t="s">
        <v>8802</v>
      </c>
      <c r="D69" s="17">
        <v>44123</v>
      </c>
      <c r="E69" s="14" t="s">
        <v>30</v>
      </c>
      <c r="F69" s="14">
        <v>305</v>
      </c>
      <c r="G69" s="14">
        <v>103</v>
      </c>
      <c r="H69" s="14">
        <v>20</v>
      </c>
      <c r="I69" s="14">
        <v>10</v>
      </c>
      <c r="J69" s="14" t="s">
        <v>31</v>
      </c>
      <c r="K69" s="14" cm="1">
        <f t="array" ref="K69">INT(SUMPRODUCT(--ISNUMBER(SEARCH(economy,C69)))&gt;0)</f>
        <v>0</v>
      </c>
      <c r="L69" s="14" cm="1">
        <f t="array" ref="L69">INT(SUMPRODUCT(--ISNUMBER(SEARCH(healthcare,C69)))&gt;0)</f>
        <v>0</v>
      </c>
      <c r="M69" s="14" cm="1">
        <f t="array" ref="M69">INT(SUMPRODUCT(--ISNUMBER(SEARCH(supreme,C69)))&gt;0)</f>
        <v>0</v>
      </c>
      <c r="N69" s="14" cm="1">
        <f t="array" ref="N69">INT(SUMPRODUCT(--ISNUMBER(SEARCH(covid,C69)))&gt;0)</f>
        <v>0</v>
      </c>
      <c r="O69" s="14" cm="1">
        <f t="array" ref="O69">INT(SUMPRODUCT(--ISNUMBER(SEARCH(violent,C69)))&gt;0)</f>
        <v>0</v>
      </c>
      <c r="P69" s="14" cm="1">
        <f t="array" ref="P69">INT(SUMPRODUCT(--ISNUMBER(SEARCH(foreign,C69)))&gt;0)</f>
        <v>0</v>
      </c>
      <c r="Q69" s="14" cm="1">
        <f t="array" ref="Q69">INT(SUMPRODUCT(--ISNUMBER(SEARCH(gun,C69)))&gt;0)</f>
        <v>0</v>
      </c>
      <c r="R69" s="14" cm="1">
        <f t="array" ref="R69">INT(SUMPRODUCT(--ISNUMBER(SEARCH(race,C69)))&gt;0)</f>
        <v>0</v>
      </c>
      <c r="S69" s="14" cm="1">
        <f t="array" ref="S69">INT(SUMPRODUCT(--ISNUMBER(SEARCH(immigration,C69)))&gt;0)</f>
        <v>0</v>
      </c>
      <c r="T69" s="14" cm="1">
        <f t="array" ref="T69">INT(SUMPRODUCT(--ISNUMBER(SEARCH(econineq,C70)))&gt;0)</f>
        <v>0</v>
      </c>
      <c r="U69" s="14" cm="1">
        <f t="array" ref="U69">INT(SUMPRODUCT(--ISNUMBER(SEARCH(climate,C69)))&gt;0)</f>
        <v>0</v>
      </c>
      <c r="V69" s="14" cm="1">
        <f t="array" ref="V69">INT(SUMPRODUCT(--ISNUMBER(SEARCH(abortion,C69)))&gt;0)</f>
        <v>0</v>
      </c>
      <c r="W69" s="14" cm="1">
        <f t="array" ref="W69">INT(SUMPRODUCT(--ISNUMBER(SEARCH(trump,C69)))&gt;0)</f>
        <v>0</v>
      </c>
      <c r="X69" s="14" cm="1">
        <f t="array" ref="X69">INT(SUMPRODUCT(--ISNUMBER(SEARCH(voting,C69)))&gt;0)</f>
        <v>0</v>
      </c>
      <c r="Y69" s="35" cm="1">
        <f t="array" ref="Y69">INT(SUMPRODUCT(--ISNUMBER(SEARCH(republicantrigger,C69)))&gt;0)</f>
        <v>1</v>
      </c>
      <c r="Z69" s="35" cm="1">
        <f t="array" ref="Z69">INT(SUMPRODUCT(--ISNUMBER(SEARCH(bipartisan,C69)))&gt;0)</f>
        <v>0</v>
      </c>
      <c r="AA69" s="35">
        <f t="shared" si="2"/>
        <v>0</v>
      </c>
      <c r="AB69" s="14"/>
      <c r="AC69" s="30">
        <v>0</v>
      </c>
      <c r="AD69" s="37">
        <v>0</v>
      </c>
    </row>
    <row r="70" spans="1:30" x14ac:dyDescent="0.25">
      <c r="A70" s="36">
        <v>4390</v>
      </c>
      <c r="B70" s="14" t="s">
        <v>8803</v>
      </c>
      <c r="C70" s="31" t="s">
        <v>8804</v>
      </c>
      <c r="D70" s="17">
        <v>44122</v>
      </c>
      <c r="E70" s="14" t="s">
        <v>70</v>
      </c>
      <c r="F70" s="14">
        <v>47</v>
      </c>
      <c r="G70" s="14">
        <v>21</v>
      </c>
      <c r="H70" s="14">
        <v>20</v>
      </c>
      <c r="I70" s="14">
        <v>10</v>
      </c>
      <c r="J70" s="14" t="s">
        <v>31</v>
      </c>
      <c r="K70" s="14" cm="1">
        <f t="array" ref="K70">INT(SUMPRODUCT(--ISNUMBER(SEARCH(economy,C70)))&gt;0)</f>
        <v>0</v>
      </c>
      <c r="L70" s="14" cm="1">
        <f t="array" ref="L70">INT(SUMPRODUCT(--ISNUMBER(SEARCH(healthcare,C70)))&gt;0)</f>
        <v>0</v>
      </c>
      <c r="M70" s="14" cm="1">
        <f t="array" ref="M70">INT(SUMPRODUCT(--ISNUMBER(SEARCH(supreme,C70)))&gt;0)</f>
        <v>0</v>
      </c>
      <c r="N70" s="14" cm="1">
        <f t="array" ref="N70">INT(SUMPRODUCT(--ISNUMBER(SEARCH(covid,C70)))&gt;0)</f>
        <v>0</v>
      </c>
      <c r="O70" s="14" cm="1">
        <f t="array" ref="O70">INT(SUMPRODUCT(--ISNUMBER(SEARCH(violent,C70)))&gt;0)</f>
        <v>0</v>
      </c>
      <c r="P70" s="14" cm="1">
        <f t="array" ref="P70">INT(SUMPRODUCT(--ISNUMBER(SEARCH(foreign,C70)))&gt;0)</f>
        <v>0</v>
      </c>
      <c r="Q70" s="14" cm="1">
        <f t="array" ref="Q70">INT(SUMPRODUCT(--ISNUMBER(SEARCH(gun,C70)))&gt;0)</f>
        <v>0</v>
      </c>
      <c r="R70" s="14" cm="1">
        <f t="array" ref="R70">INT(SUMPRODUCT(--ISNUMBER(SEARCH(race,C70)))&gt;0)</f>
        <v>0</v>
      </c>
      <c r="S70" s="14" cm="1">
        <f t="array" ref="S70">INT(SUMPRODUCT(--ISNUMBER(SEARCH(immigration,C70)))&gt;0)</f>
        <v>0</v>
      </c>
      <c r="T70" s="14" cm="1">
        <f t="array" ref="T70">INT(SUMPRODUCT(--ISNUMBER(SEARCH(econineq,C71)))&gt;0)</f>
        <v>0</v>
      </c>
      <c r="U70" s="14" cm="1">
        <f t="array" ref="U70">INT(SUMPRODUCT(--ISNUMBER(SEARCH(climate,C70)))&gt;0)</f>
        <v>0</v>
      </c>
      <c r="V70" s="14" cm="1">
        <f t="array" ref="V70">INT(SUMPRODUCT(--ISNUMBER(SEARCH(abortion,C70)))&gt;0)</f>
        <v>0</v>
      </c>
      <c r="W70" s="14" cm="1">
        <f t="array" ref="W70">INT(SUMPRODUCT(--ISNUMBER(SEARCH(trump,C70)))&gt;0)</f>
        <v>0</v>
      </c>
      <c r="X70" s="14" cm="1">
        <f t="array" ref="X70">INT(SUMPRODUCT(--ISNUMBER(SEARCH(voting,C70)))&gt;0)</f>
        <v>0</v>
      </c>
      <c r="Y70" s="35" cm="1">
        <f t="array" ref="Y70">INT(SUMPRODUCT(--ISNUMBER(SEARCH(republicantrigger,C70)))&gt;0)</f>
        <v>0</v>
      </c>
      <c r="Z70" s="35" cm="1">
        <f t="array" ref="Z70">INT(SUMPRODUCT(--ISNUMBER(SEARCH(bipartisan,C70)))&gt;0)</f>
        <v>0</v>
      </c>
      <c r="AA70" s="35">
        <f t="shared" si="2"/>
        <v>1</v>
      </c>
      <c r="AB70" s="14"/>
      <c r="AC70" s="30">
        <v>0</v>
      </c>
      <c r="AD70" s="37">
        <v>0</v>
      </c>
    </row>
    <row r="71" spans="1:30" x14ac:dyDescent="0.25">
      <c r="A71" s="36">
        <v>4391</v>
      </c>
      <c r="B71" s="14" t="s">
        <v>8805</v>
      </c>
      <c r="C71" s="31" t="s">
        <v>8806</v>
      </c>
      <c r="D71" s="17">
        <v>44122</v>
      </c>
      <c r="E71" s="14" t="s">
        <v>30</v>
      </c>
      <c r="F71" s="14">
        <v>463</v>
      </c>
      <c r="G71" s="14">
        <v>166</v>
      </c>
      <c r="H71" s="14">
        <v>20</v>
      </c>
      <c r="I71" s="14">
        <v>10</v>
      </c>
      <c r="J71" s="14" t="s">
        <v>31</v>
      </c>
      <c r="K71" s="14" cm="1">
        <f t="array" ref="K71">INT(SUMPRODUCT(--ISNUMBER(SEARCH(economy,C71)))&gt;0)</f>
        <v>1</v>
      </c>
      <c r="L71" s="14" cm="1">
        <f t="array" ref="L71">INT(SUMPRODUCT(--ISNUMBER(SEARCH(healthcare,C71)))&gt;0)</f>
        <v>1</v>
      </c>
      <c r="M71" s="14" cm="1">
        <f t="array" ref="M71">INT(SUMPRODUCT(--ISNUMBER(SEARCH(supreme,C71)))&gt;0)</f>
        <v>0</v>
      </c>
      <c r="N71" s="14" cm="1">
        <f t="array" ref="N71">INT(SUMPRODUCT(--ISNUMBER(SEARCH(covid,C71)))&gt;0)</f>
        <v>1</v>
      </c>
      <c r="O71" s="14" cm="1">
        <f t="array" ref="O71">INT(SUMPRODUCT(--ISNUMBER(SEARCH(violent,C71)))&gt;0)</f>
        <v>0</v>
      </c>
      <c r="P71" s="14" cm="1">
        <f t="array" ref="P71">INT(SUMPRODUCT(--ISNUMBER(SEARCH(foreign,C71)))&gt;0)</f>
        <v>0</v>
      </c>
      <c r="Q71" s="14" cm="1">
        <f t="array" ref="Q71">INT(SUMPRODUCT(--ISNUMBER(SEARCH(gun,C71)))&gt;0)</f>
        <v>0</v>
      </c>
      <c r="R71" s="14" cm="1">
        <f t="array" ref="R71">INT(SUMPRODUCT(--ISNUMBER(SEARCH(race,C71)))&gt;0)</f>
        <v>0</v>
      </c>
      <c r="S71" s="14" cm="1">
        <f t="array" ref="S71">INT(SUMPRODUCT(--ISNUMBER(SEARCH(immigration,C71)))&gt;0)</f>
        <v>0</v>
      </c>
      <c r="T71" s="14" cm="1">
        <f t="array" ref="T71">INT(SUMPRODUCT(--ISNUMBER(SEARCH(econineq,C72)))&gt;0)</f>
        <v>0</v>
      </c>
      <c r="U71" s="14" cm="1">
        <f t="array" ref="U71">INT(SUMPRODUCT(--ISNUMBER(SEARCH(climate,C71)))&gt;0)</f>
        <v>0</v>
      </c>
      <c r="V71" s="14" cm="1">
        <f t="array" ref="V71">INT(SUMPRODUCT(--ISNUMBER(SEARCH(abortion,C71)))&gt;0)</f>
        <v>0</v>
      </c>
      <c r="W71" s="14" cm="1">
        <f t="array" ref="W71">INT(SUMPRODUCT(--ISNUMBER(SEARCH(trump,C71)))&gt;0)</f>
        <v>0</v>
      </c>
      <c r="X71" s="14" cm="1">
        <f t="array" ref="X71">INT(SUMPRODUCT(--ISNUMBER(SEARCH(voting,C71)))&gt;0)</f>
        <v>0</v>
      </c>
      <c r="Y71" s="35" cm="1">
        <f t="array" ref="Y71">INT(SUMPRODUCT(--ISNUMBER(SEARCH(republicantrigger,C71)))&gt;0)</f>
        <v>1</v>
      </c>
      <c r="Z71" s="35" cm="1">
        <f t="array" ref="Z71">INT(SUMPRODUCT(--ISNUMBER(SEARCH(bipartisan,C71)))&gt;0)</f>
        <v>0</v>
      </c>
      <c r="AA71" s="35">
        <f t="shared" si="2"/>
        <v>0</v>
      </c>
      <c r="AB71" s="14"/>
      <c r="AC71" s="30">
        <v>0</v>
      </c>
      <c r="AD71" s="37">
        <v>0</v>
      </c>
    </row>
    <row r="72" spans="1:30" x14ac:dyDescent="0.25">
      <c r="A72" s="36">
        <v>4392</v>
      </c>
      <c r="B72" s="14" t="s">
        <v>8807</v>
      </c>
      <c r="C72" s="31" t="s">
        <v>8808</v>
      </c>
      <c r="D72" s="17">
        <v>44122</v>
      </c>
      <c r="E72" s="14" t="s">
        <v>30</v>
      </c>
      <c r="F72" s="14">
        <v>99</v>
      </c>
      <c r="G72" s="14">
        <v>61</v>
      </c>
      <c r="H72" s="14">
        <v>20</v>
      </c>
      <c r="I72" s="14">
        <v>10</v>
      </c>
      <c r="J72" s="14" t="s">
        <v>31</v>
      </c>
      <c r="K72" s="14" cm="1">
        <f t="array" ref="K72">INT(SUMPRODUCT(--ISNUMBER(SEARCH(economy,C72)))&gt;0)</f>
        <v>1</v>
      </c>
      <c r="L72" s="14" cm="1">
        <f t="array" ref="L72">INT(SUMPRODUCT(--ISNUMBER(SEARCH(healthcare,C72)))&gt;0)</f>
        <v>0</v>
      </c>
      <c r="M72" s="14" cm="1">
        <f t="array" ref="M72">INT(SUMPRODUCT(--ISNUMBER(SEARCH(supreme,C72)))&gt;0)</f>
        <v>0</v>
      </c>
      <c r="N72" s="14" cm="1">
        <f t="array" ref="N72">INT(SUMPRODUCT(--ISNUMBER(SEARCH(covid,C72)))&gt;0)</f>
        <v>1</v>
      </c>
      <c r="O72" s="14" cm="1">
        <f t="array" ref="O72">INT(SUMPRODUCT(--ISNUMBER(SEARCH(violent,C72)))&gt;0)</f>
        <v>0</v>
      </c>
      <c r="P72" s="14" cm="1">
        <f t="array" ref="P72">INT(SUMPRODUCT(--ISNUMBER(SEARCH(foreign,C72)))&gt;0)</f>
        <v>0</v>
      </c>
      <c r="Q72" s="14" cm="1">
        <f t="array" ref="Q72">INT(SUMPRODUCT(--ISNUMBER(SEARCH(gun,C72)))&gt;0)</f>
        <v>0</v>
      </c>
      <c r="R72" s="14" cm="1">
        <f t="array" ref="R72">INT(SUMPRODUCT(--ISNUMBER(SEARCH(race,C72)))&gt;0)</f>
        <v>0</v>
      </c>
      <c r="S72" s="14" cm="1">
        <f t="array" ref="S72">INT(SUMPRODUCT(--ISNUMBER(SEARCH(immigration,C72)))&gt;0)</f>
        <v>0</v>
      </c>
      <c r="T72" s="14" cm="1">
        <f t="array" ref="T72">INT(SUMPRODUCT(--ISNUMBER(SEARCH(econineq,C73)))&gt;0)</f>
        <v>0</v>
      </c>
      <c r="U72" s="14" cm="1">
        <f t="array" ref="U72">INT(SUMPRODUCT(--ISNUMBER(SEARCH(climate,C72)))&gt;0)</f>
        <v>0</v>
      </c>
      <c r="V72" s="14" cm="1">
        <f t="array" ref="V72">INT(SUMPRODUCT(--ISNUMBER(SEARCH(abortion,C72)))&gt;0)</f>
        <v>0</v>
      </c>
      <c r="W72" s="14" cm="1">
        <f t="array" ref="W72">INT(SUMPRODUCT(--ISNUMBER(SEARCH(trump,C72)))&gt;0)</f>
        <v>0</v>
      </c>
      <c r="X72" s="14" cm="1">
        <f t="array" ref="X72">INT(SUMPRODUCT(--ISNUMBER(SEARCH(voting,C72)))&gt;0)</f>
        <v>1</v>
      </c>
      <c r="Y72" s="35" cm="1">
        <f t="array" ref="Y72">INT(SUMPRODUCT(--ISNUMBER(SEARCH(republicantrigger,C72)))&gt;0)</f>
        <v>1</v>
      </c>
      <c r="Z72" s="35" cm="1">
        <f t="array" ref="Z72">INT(SUMPRODUCT(--ISNUMBER(SEARCH(bipartisan,C72)))&gt;0)</f>
        <v>0</v>
      </c>
      <c r="AA72" s="35">
        <f t="shared" si="2"/>
        <v>0</v>
      </c>
      <c r="AB72" s="14"/>
      <c r="AC72" s="30">
        <v>0</v>
      </c>
      <c r="AD72" s="37">
        <v>0</v>
      </c>
    </row>
    <row r="73" spans="1:30" x14ac:dyDescent="0.25">
      <c r="A73" s="36">
        <v>4393</v>
      </c>
      <c r="B73" s="14" t="s">
        <v>8809</v>
      </c>
      <c r="C73" s="31" t="s">
        <v>8810</v>
      </c>
      <c r="D73" s="17">
        <v>44121</v>
      </c>
      <c r="E73" s="14" t="s">
        <v>30</v>
      </c>
      <c r="F73" s="14">
        <v>112</v>
      </c>
      <c r="G73" s="14">
        <v>65</v>
      </c>
      <c r="H73" s="14">
        <v>20</v>
      </c>
      <c r="I73" s="14">
        <v>10</v>
      </c>
      <c r="J73" s="14" t="s">
        <v>31</v>
      </c>
      <c r="K73" s="14" cm="1">
        <f t="array" ref="K73">INT(SUMPRODUCT(--ISNUMBER(SEARCH(economy,C73)))&gt;0)</f>
        <v>0</v>
      </c>
      <c r="L73" s="14" cm="1">
        <f t="array" ref="L73">INT(SUMPRODUCT(--ISNUMBER(SEARCH(healthcare,C73)))&gt;0)</f>
        <v>1</v>
      </c>
      <c r="M73" s="14" cm="1">
        <f t="array" ref="M73">INT(SUMPRODUCT(--ISNUMBER(SEARCH(supreme,C73)))&gt;0)</f>
        <v>0</v>
      </c>
      <c r="N73" s="14" cm="1">
        <f t="array" ref="N73">INT(SUMPRODUCT(--ISNUMBER(SEARCH(covid,C73)))&gt;0)</f>
        <v>0</v>
      </c>
      <c r="O73" s="14" cm="1">
        <f t="array" ref="O73">INT(SUMPRODUCT(--ISNUMBER(SEARCH(violent,C73)))&gt;0)</f>
        <v>0</v>
      </c>
      <c r="P73" s="14" cm="1">
        <f t="array" ref="P73">INT(SUMPRODUCT(--ISNUMBER(SEARCH(foreign,C73)))&gt;0)</f>
        <v>0</v>
      </c>
      <c r="Q73" s="14" cm="1">
        <f t="array" ref="Q73">INT(SUMPRODUCT(--ISNUMBER(SEARCH(gun,C73)))&gt;0)</f>
        <v>0</v>
      </c>
      <c r="R73" s="14" cm="1">
        <f t="array" ref="R73">INT(SUMPRODUCT(--ISNUMBER(SEARCH(race,C73)))&gt;0)</f>
        <v>0</v>
      </c>
      <c r="S73" s="14" cm="1">
        <f t="array" ref="S73">INT(SUMPRODUCT(--ISNUMBER(SEARCH(immigration,C73)))&gt;0)</f>
        <v>0</v>
      </c>
      <c r="T73" s="14" cm="1">
        <f t="array" ref="T73">INT(SUMPRODUCT(--ISNUMBER(SEARCH(econineq,C74)))&gt;0)</f>
        <v>0</v>
      </c>
      <c r="U73" s="14" cm="1">
        <f t="array" ref="U73">INT(SUMPRODUCT(--ISNUMBER(SEARCH(climate,C73)))&gt;0)</f>
        <v>0</v>
      </c>
      <c r="V73" s="14" cm="1">
        <f t="array" ref="V73">INT(SUMPRODUCT(--ISNUMBER(SEARCH(abortion,C73)))&gt;0)</f>
        <v>0</v>
      </c>
      <c r="W73" s="14" cm="1">
        <f t="array" ref="W73">INT(SUMPRODUCT(--ISNUMBER(SEARCH(trump,C73)))&gt;0)</f>
        <v>0</v>
      </c>
      <c r="X73" s="14" cm="1">
        <f t="array" ref="X73">INT(SUMPRODUCT(--ISNUMBER(SEARCH(voting,C73)))&gt;0)</f>
        <v>0</v>
      </c>
      <c r="Y73" s="35" cm="1">
        <f t="array" ref="Y73">INT(SUMPRODUCT(--ISNUMBER(SEARCH(republicantrigger,C73)))&gt;0)</f>
        <v>1</v>
      </c>
      <c r="Z73" s="35" cm="1">
        <f t="array" ref="Z73">INT(SUMPRODUCT(--ISNUMBER(SEARCH(bipartisan,C73)))&gt;0)</f>
        <v>0</v>
      </c>
      <c r="AA73" s="35">
        <f t="shared" si="2"/>
        <v>0</v>
      </c>
      <c r="AB73" s="14"/>
      <c r="AC73" s="30">
        <v>0</v>
      </c>
      <c r="AD73" s="37">
        <v>0</v>
      </c>
    </row>
    <row r="74" spans="1:30" x14ac:dyDescent="0.25">
      <c r="A74" s="36">
        <v>4394</v>
      </c>
      <c r="B74" s="14" t="s">
        <v>8811</v>
      </c>
      <c r="C74" s="31" t="s">
        <v>8812</v>
      </c>
      <c r="D74" s="17">
        <v>44121</v>
      </c>
      <c r="E74" s="14" t="s">
        <v>30</v>
      </c>
      <c r="F74" s="14">
        <v>749</v>
      </c>
      <c r="G74" s="14">
        <v>313</v>
      </c>
      <c r="H74" s="14">
        <v>20</v>
      </c>
      <c r="I74" s="14">
        <v>10</v>
      </c>
      <c r="J74" s="14" t="s">
        <v>31</v>
      </c>
      <c r="K74" s="14" cm="1">
        <f t="array" ref="K74">INT(SUMPRODUCT(--ISNUMBER(SEARCH(economy,C74)))&gt;0)</f>
        <v>0</v>
      </c>
      <c r="L74" s="14" cm="1">
        <f t="array" ref="L74">INT(SUMPRODUCT(--ISNUMBER(SEARCH(healthcare,C74)))&gt;0)</f>
        <v>1</v>
      </c>
      <c r="M74" s="14" cm="1">
        <f t="array" ref="M74">INT(SUMPRODUCT(--ISNUMBER(SEARCH(supreme,C74)))&gt;0)</f>
        <v>0</v>
      </c>
      <c r="N74" s="14" cm="1">
        <f t="array" ref="N74">INT(SUMPRODUCT(--ISNUMBER(SEARCH(covid,C74)))&gt;0)</f>
        <v>0</v>
      </c>
      <c r="O74" s="14" cm="1">
        <f t="array" ref="O74">INT(SUMPRODUCT(--ISNUMBER(SEARCH(violent,C74)))&gt;0)</f>
        <v>0</v>
      </c>
      <c r="P74" s="14" cm="1">
        <f t="array" ref="P74">INT(SUMPRODUCT(--ISNUMBER(SEARCH(foreign,C74)))&gt;0)</f>
        <v>0</v>
      </c>
      <c r="Q74" s="14" cm="1">
        <f t="array" ref="Q74">INT(SUMPRODUCT(--ISNUMBER(SEARCH(gun,C74)))&gt;0)</f>
        <v>0</v>
      </c>
      <c r="R74" s="14" cm="1">
        <f t="array" ref="R74">INT(SUMPRODUCT(--ISNUMBER(SEARCH(race,C74)))&gt;0)</f>
        <v>0</v>
      </c>
      <c r="S74" s="14" cm="1">
        <f t="array" ref="S74">INT(SUMPRODUCT(--ISNUMBER(SEARCH(immigration,C74)))&gt;0)</f>
        <v>0</v>
      </c>
      <c r="T74" s="14" cm="1">
        <f t="array" ref="T74">INT(SUMPRODUCT(--ISNUMBER(SEARCH(econineq,C75)))&gt;0)</f>
        <v>0</v>
      </c>
      <c r="U74" s="14" cm="1">
        <f t="array" ref="U74">INT(SUMPRODUCT(--ISNUMBER(SEARCH(climate,C74)))&gt;0)</f>
        <v>0</v>
      </c>
      <c r="V74" s="14" cm="1">
        <f t="array" ref="V74">INT(SUMPRODUCT(--ISNUMBER(SEARCH(abortion,C74)))&gt;0)</f>
        <v>0</v>
      </c>
      <c r="W74" s="14" cm="1">
        <f t="array" ref="W74">INT(SUMPRODUCT(--ISNUMBER(SEARCH(trump,C74)))&gt;0)</f>
        <v>0</v>
      </c>
      <c r="X74" s="14" cm="1">
        <f t="array" ref="X74">INT(SUMPRODUCT(--ISNUMBER(SEARCH(voting,C74)))&gt;0)</f>
        <v>0</v>
      </c>
      <c r="Y74" s="35" cm="1">
        <f t="array" ref="Y74">INT(SUMPRODUCT(--ISNUMBER(SEARCH(republicantrigger,C74)))&gt;0)</f>
        <v>1</v>
      </c>
      <c r="Z74" s="35" cm="1">
        <f t="array" ref="Z74">INT(SUMPRODUCT(--ISNUMBER(SEARCH(bipartisan,C74)))&gt;0)</f>
        <v>0</v>
      </c>
      <c r="AA74" s="35">
        <f t="shared" si="2"/>
        <v>0</v>
      </c>
      <c r="AB74" s="14"/>
      <c r="AC74" s="30">
        <v>0</v>
      </c>
      <c r="AD74" s="37">
        <v>1</v>
      </c>
    </row>
    <row r="75" spans="1:30" x14ac:dyDescent="0.25">
      <c r="A75" s="36">
        <v>4395</v>
      </c>
      <c r="B75" s="14" t="s">
        <v>8813</v>
      </c>
      <c r="C75" s="31" t="s">
        <v>8814</v>
      </c>
      <c r="D75" s="17">
        <v>44121</v>
      </c>
      <c r="E75" s="14" t="s">
        <v>30</v>
      </c>
      <c r="F75" s="14">
        <v>65</v>
      </c>
      <c r="G75" s="14">
        <v>26</v>
      </c>
      <c r="H75" s="14">
        <v>20</v>
      </c>
      <c r="I75" s="14">
        <v>10</v>
      </c>
      <c r="J75" s="14" t="s">
        <v>31</v>
      </c>
      <c r="K75" s="14" cm="1">
        <f t="array" ref="K75">INT(SUMPRODUCT(--ISNUMBER(SEARCH(economy,C75)))&gt;0)</f>
        <v>0</v>
      </c>
      <c r="L75" s="14" cm="1">
        <f t="array" ref="L75">INT(SUMPRODUCT(--ISNUMBER(SEARCH(healthcare,C75)))&gt;0)</f>
        <v>0</v>
      </c>
      <c r="M75" s="14" cm="1">
        <f t="array" ref="M75">INT(SUMPRODUCT(--ISNUMBER(SEARCH(supreme,C75)))&gt;0)</f>
        <v>0</v>
      </c>
      <c r="N75" s="14" cm="1">
        <f t="array" ref="N75">INT(SUMPRODUCT(--ISNUMBER(SEARCH(covid,C75)))&gt;0)</f>
        <v>0</v>
      </c>
      <c r="O75" s="14" cm="1">
        <f t="array" ref="O75">INT(SUMPRODUCT(--ISNUMBER(SEARCH(violent,C75)))&gt;0)</f>
        <v>0</v>
      </c>
      <c r="P75" s="14" cm="1">
        <f t="array" ref="P75">INT(SUMPRODUCT(--ISNUMBER(SEARCH(foreign,C75)))&gt;0)</f>
        <v>0</v>
      </c>
      <c r="Q75" s="14" cm="1">
        <f t="array" ref="Q75">INT(SUMPRODUCT(--ISNUMBER(SEARCH(gun,C75)))&gt;0)</f>
        <v>0</v>
      </c>
      <c r="R75" s="14" cm="1">
        <f t="array" ref="R75">INT(SUMPRODUCT(--ISNUMBER(SEARCH(race,C75)))&gt;0)</f>
        <v>0</v>
      </c>
      <c r="S75" s="14" cm="1">
        <f t="array" ref="S75">INT(SUMPRODUCT(--ISNUMBER(SEARCH(immigration,C75)))&gt;0)</f>
        <v>0</v>
      </c>
      <c r="T75" s="14" cm="1">
        <f t="array" ref="T75">INT(SUMPRODUCT(--ISNUMBER(SEARCH(econineq,C76)))&gt;0)</f>
        <v>0</v>
      </c>
      <c r="U75" s="14" cm="1">
        <f t="array" ref="U75">INT(SUMPRODUCT(--ISNUMBER(SEARCH(climate,C75)))&gt;0)</f>
        <v>0</v>
      </c>
      <c r="V75" s="14" cm="1">
        <f t="array" ref="V75">INT(SUMPRODUCT(--ISNUMBER(SEARCH(abortion,C75)))&gt;0)</f>
        <v>0</v>
      </c>
      <c r="W75" s="14" cm="1">
        <f t="array" ref="W75">INT(SUMPRODUCT(--ISNUMBER(SEARCH(trump,C75)))&gt;0)</f>
        <v>0</v>
      </c>
      <c r="X75" s="14" cm="1">
        <f t="array" ref="X75">INT(SUMPRODUCT(--ISNUMBER(SEARCH(voting,C75)))&gt;0)</f>
        <v>0</v>
      </c>
      <c r="Y75" s="35" cm="1">
        <f t="array" ref="Y75">INT(SUMPRODUCT(--ISNUMBER(SEARCH(republicantrigger,C75)))&gt;0)</f>
        <v>0</v>
      </c>
      <c r="Z75" s="35" cm="1">
        <f t="array" ref="Z75">INT(SUMPRODUCT(--ISNUMBER(SEARCH(bipartisan,C75)))&gt;0)</f>
        <v>0</v>
      </c>
      <c r="AA75" s="35">
        <f t="shared" si="2"/>
        <v>1</v>
      </c>
      <c r="AB75" s="14"/>
      <c r="AC75" s="30">
        <v>0</v>
      </c>
      <c r="AD75" s="37">
        <v>0</v>
      </c>
    </row>
    <row r="76" spans="1:30" x14ac:dyDescent="0.25">
      <c r="A76" s="36">
        <v>4396</v>
      </c>
      <c r="B76" s="14" t="s">
        <v>8815</v>
      </c>
      <c r="C76" s="31" t="s">
        <v>8816</v>
      </c>
      <c r="D76" s="17">
        <v>44121</v>
      </c>
      <c r="E76" s="14" t="s">
        <v>30</v>
      </c>
      <c r="F76" s="14">
        <v>102</v>
      </c>
      <c r="G76" s="14">
        <v>36</v>
      </c>
      <c r="H76" s="14">
        <v>20</v>
      </c>
      <c r="I76" s="14">
        <v>10</v>
      </c>
      <c r="J76" s="14" t="s">
        <v>31</v>
      </c>
      <c r="K76" s="14" cm="1">
        <f t="array" ref="K76">INT(SUMPRODUCT(--ISNUMBER(SEARCH(economy,C76)))&gt;0)</f>
        <v>0</v>
      </c>
      <c r="L76" s="14" cm="1">
        <f t="array" ref="L76">INT(SUMPRODUCT(--ISNUMBER(SEARCH(healthcare,C76)))&gt;0)</f>
        <v>0</v>
      </c>
      <c r="M76" s="14" cm="1">
        <f t="array" ref="M76">INT(SUMPRODUCT(--ISNUMBER(SEARCH(supreme,C76)))&gt;0)</f>
        <v>0</v>
      </c>
      <c r="N76" s="14" cm="1">
        <f t="array" ref="N76">INT(SUMPRODUCT(--ISNUMBER(SEARCH(covid,C76)))&gt;0)</f>
        <v>0</v>
      </c>
      <c r="O76" s="14" cm="1">
        <f t="array" ref="O76">INT(SUMPRODUCT(--ISNUMBER(SEARCH(violent,C76)))&gt;0)</f>
        <v>0</v>
      </c>
      <c r="P76" s="14" cm="1">
        <f t="array" ref="P76">INT(SUMPRODUCT(--ISNUMBER(SEARCH(foreign,C76)))&gt;0)</f>
        <v>0</v>
      </c>
      <c r="Q76" s="14" cm="1">
        <f t="array" ref="Q76">INT(SUMPRODUCT(--ISNUMBER(SEARCH(gun,C76)))&gt;0)</f>
        <v>0</v>
      </c>
      <c r="R76" s="14" cm="1">
        <f t="array" ref="R76">INT(SUMPRODUCT(--ISNUMBER(SEARCH(race,C76)))&gt;0)</f>
        <v>0</v>
      </c>
      <c r="S76" s="14" cm="1">
        <f t="array" ref="S76">INT(SUMPRODUCT(--ISNUMBER(SEARCH(immigration,C76)))&gt;0)</f>
        <v>0</v>
      </c>
      <c r="T76" s="14" cm="1">
        <f t="array" ref="T76">INT(SUMPRODUCT(--ISNUMBER(SEARCH(econineq,C77)))&gt;0)</f>
        <v>0</v>
      </c>
      <c r="U76" s="14" cm="1">
        <f t="array" ref="U76">INT(SUMPRODUCT(--ISNUMBER(SEARCH(climate,C76)))&gt;0)</f>
        <v>0</v>
      </c>
      <c r="V76" s="14" cm="1">
        <f t="array" ref="V76">INT(SUMPRODUCT(--ISNUMBER(SEARCH(abortion,C76)))&gt;0)</f>
        <v>0</v>
      </c>
      <c r="W76" s="14" cm="1">
        <f t="array" ref="W76">INT(SUMPRODUCT(--ISNUMBER(SEARCH(trump,C76)))&gt;0)</f>
        <v>0</v>
      </c>
      <c r="X76" s="14" cm="1">
        <f t="array" ref="X76">INT(SUMPRODUCT(--ISNUMBER(SEARCH(voting,C76)))&gt;0)</f>
        <v>0</v>
      </c>
      <c r="Y76" s="35" cm="1">
        <f t="array" ref="Y76">INT(SUMPRODUCT(--ISNUMBER(SEARCH(republicantrigger,C76)))&gt;0)</f>
        <v>0</v>
      </c>
      <c r="Z76" s="35" cm="1">
        <f t="array" ref="Z76">INT(SUMPRODUCT(--ISNUMBER(SEARCH(bipartisan,C76)))&gt;0)</f>
        <v>0</v>
      </c>
      <c r="AA76" s="35">
        <f t="shared" si="2"/>
        <v>1</v>
      </c>
      <c r="AB76" s="14"/>
      <c r="AC76" s="30">
        <v>0</v>
      </c>
      <c r="AD76" s="37">
        <v>0</v>
      </c>
    </row>
    <row r="77" spans="1:30" x14ac:dyDescent="0.25">
      <c r="A77" s="36">
        <v>4397</v>
      </c>
      <c r="B77" s="14" t="s">
        <v>8817</v>
      </c>
      <c r="C77" s="31" t="s">
        <v>8818</v>
      </c>
      <c r="D77" s="17">
        <v>44121</v>
      </c>
      <c r="E77" s="14" t="s">
        <v>70</v>
      </c>
      <c r="F77" s="14">
        <v>1</v>
      </c>
      <c r="G77" s="14">
        <v>0</v>
      </c>
      <c r="H77" s="14">
        <v>20</v>
      </c>
      <c r="I77" s="14">
        <v>10</v>
      </c>
      <c r="J77" s="14" t="s">
        <v>31</v>
      </c>
      <c r="K77" s="14" cm="1">
        <f t="array" ref="K77">INT(SUMPRODUCT(--ISNUMBER(SEARCH(economy,C77)))&gt;0)</f>
        <v>0</v>
      </c>
      <c r="L77" s="14" cm="1">
        <f t="array" ref="L77">INT(SUMPRODUCT(--ISNUMBER(SEARCH(healthcare,C77)))&gt;0)</f>
        <v>0</v>
      </c>
      <c r="M77" s="14" cm="1">
        <f t="array" ref="M77">INT(SUMPRODUCT(--ISNUMBER(SEARCH(supreme,C77)))&gt;0)</f>
        <v>0</v>
      </c>
      <c r="N77" s="14" cm="1">
        <f t="array" ref="N77">INT(SUMPRODUCT(--ISNUMBER(SEARCH(covid,C77)))&gt;0)</f>
        <v>0</v>
      </c>
      <c r="O77" s="14" cm="1">
        <f t="array" ref="O77">INT(SUMPRODUCT(--ISNUMBER(SEARCH(violent,C77)))&gt;0)</f>
        <v>0</v>
      </c>
      <c r="P77" s="14" cm="1">
        <f t="array" ref="P77">INT(SUMPRODUCT(--ISNUMBER(SEARCH(foreign,C77)))&gt;0)</f>
        <v>0</v>
      </c>
      <c r="Q77" s="14" cm="1">
        <f t="array" ref="Q77">INT(SUMPRODUCT(--ISNUMBER(SEARCH(gun,C77)))&gt;0)</f>
        <v>0</v>
      </c>
      <c r="R77" s="14" cm="1">
        <f t="array" ref="R77">INT(SUMPRODUCT(--ISNUMBER(SEARCH(race,C77)))&gt;0)</f>
        <v>0</v>
      </c>
      <c r="S77" s="14" cm="1">
        <f t="array" ref="S77">INT(SUMPRODUCT(--ISNUMBER(SEARCH(immigration,C77)))&gt;0)</f>
        <v>0</v>
      </c>
      <c r="T77" s="14" cm="1">
        <f t="array" ref="T77">INT(SUMPRODUCT(--ISNUMBER(SEARCH(econineq,C78)))&gt;0)</f>
        <v>0</v>
      </c>
      <c r="U77" s="14" cm="1">
        <f t="array" ref="U77">INT(SUMPRODUCT(--ISNUMBER(SEARCH(climate,C77)))&gt;0)</f>
        <v>0</v>
      </c>
      <c r="V77" s="14" cm="1">
        <f t="array" ref="V77">INT(SUMPRODUCT(--ISNUMBER(SEARCH(abortion,C77)))&gt;0)</f>
        <v>0</v>
      </c>
      <c r="W77" s="14" cm="1">
        <f t="array" ref="W77">INT(SUMPRODUCT(--ISNUMBER(SEARCH(trump,C77)))&gt;0)</f>
        <v>0</v>
      </c>
      <c r="X77" s="14" cm="1">
        <f t="array" ref="X77">INT(SUMPRODUCT(--ISNUMBER(SEARCH(voting,C77)))&gt;0)</f>
        <v>0</v>
      </c>
      <c r="Y77" s="35" cm="1">
        <f t="array" ref="Y77">INT(SUMPRODUCT(--ISNUMBER(SEARCH(republicantrigger,C77)))&gt;0)</f>
        <v>0</v>
      </c>
      <c r="Z77" s="35" cm="1">
        <f t="array" ref="Z77">INT(SUMPRODUCT(--ISNUMBER(SEARCH(bipartisan,C77)))&gt;0)</f>
        <v>0</v>
      </c>
      <c r="AA77" s="35">
        <f t="shared" si="2"/>
        <v>1</v>
      </c>
      <c r="AB77" s="14"/>
      <c r="AC77" s="30">
        <v>0</v>
      </c>
      <c r="AD77" s="37">
        <v>0</v>
      </c>
    </row>
    <row r="78" spans="1:30" x14ac:dyDescent="0.25">
      <c r="A78" s="36">
        <v>4398</v>
      </c>
      <c r="B78" s="14" t="s">
        <v>8819</v>
      </c>
      <c r="C78" s="31" t="s">
        <v>8820</v>
      </c>
      <c r="D78" s="17">
        <v>44120</v>
      </c>
      <c r="E78" s="14" t="s">
        <v>30</v>
      </c>
      <c r="F78" s="14">
        <v>75</v>
      </c>
      <c r="G78" s="14">
        <v>33</v>
      </c>
      <c r="H78" s="14">
        <v>20</v>
      </c>
      <c r="I78" s="14">
        <v>10</v>
      </c>
      <c r="J78" s="14" t="s">
        <v>31</v>
      </c>
      <c r="K78" s="14" cm="1">
        <f t="array" ref="K78">INT(SUMPRODUCT(--ISNUMBER(SEARCH(economy,C78)))&gt;0)</f>
        <v>0</v>
      </c>
      <c r="L78" s="14" cm="1">
        <f t="array" ref="L78">INT(SUMPRODUCT(--ISNUMBER(SEARCH(healthcare,C78)))&gt;0)</f>
        <v>0</v>
      </c>
      <c r="M78" s="14" cm="1">
        <f t="array" ref="M78">INT(SUMPRODUCT(--ISNUMBER(SEARCH(supreme,C78)))&gt;0)</f>
        <v>0</v>
      </c>
      <c r="N78" s="14" cm="1">
        <f t="array" ref="N78">INT(SUMPRODUCT(--ISNUMBER(SEARCH(covid,C78)))&gt;0)</f>
        <v>0</v>
      </c>
      <c r="O78" s="14" cm="1">
        <f t="array" ref="O78">INT(SUMPRODUCT(--ISNUMBER(SEARCH(violent,C78)))&gt;0)</f>
        <v>0</v>
      </c>
      <c r="P78" s="14" cm="1">
        <f t="array" ref="P78">INT(SUMPRODUCT(--ISNUMBER(SEARCH(foreign,C78)))&gt;0)</f>
        <v>0</v>
      </c>
      <c r="Q78" s="14" cm="1">
        <f t="array" ref="Q78">INT(SUMPRODUCT(--ISNUMBER(SEARCH(gun,C78)))&gt;0)</f>
        <v>0</v>
      </c>
      <c r="R78" s="14" cm="1">
        <f t="array" ref="R78">INT(SUMPRODUCT(--ISNUMBER(SEARCH(race,C78)))&gt;0)</f>
        <v>0</v>
      </c>
      <c r="S78" s="14" cm="1">
        <f t="array" ref="S78">INT(SUMPRODUCT(--ISNUMBER(SEARCH(immigration,C78)))&gt;0)</f>
        <v>0</v>
      </c>
      <c r="T78" s="14" cm="1">
        <f t="array" ref="T78">INT(SUMPRODUCT(--ISNUMBER(SEARCH(econineq,C79)))&gt;0)</f>
        <v>0</v>
      </c>
      <c r="U78" s="14" cm="1">
        <f t="array" ref="U78">INT(SUMPRODUCT(--ISNUMBER(SEARCH(climate,C78)))&gt;0)</f>
        <v>0</v>
      </c>
      <c r="V78" s="14" cm="1">
        <f t="array" ref="V78">INT(SUMPRODUCT(--ISNUMBER(SEARCH(abortion,C78)))&gt;0)</f>
        <v>0</v>
      </c>
      <c r="W78" s="14" cm="1">
        <f t="array" ref="W78">INT(SUMPRODUCT(--ISNUMBER(SEARCH(trump,C78)))&gt;0)</f>
        <v>0</v>
      </c>
      <c r="X78" s="14" cm="1">
        <f t="array" ref="X78">INT(SUMPRODUCT(--ISNUMBER(SEARCH(voting,C78)))&gt;0)</f>
        <v>0</v>
      </c>
      <c r="Y78" s="35" cm="1">
        <f t="array" ref="Y78">INT(SUMPRODUCT(--ISNUMBER(SEARCH(republicantrigger,C78)))&gt;0)</f>
        <v>1</v>
      </c>
      <c r="Z78" s="35" cm="1">
        <f t="array" ref="Z78">INT(SUMPRODUCT(--ISNUMBER(SEARCH(bipartisan,C78)))&gt;0)</f>
        <v>0</v>
      </c>
      <c r="AA78" s="35">
        <f t="shared" si="2"/>
        <v>0</v>
      </c>
      <c r="AB78" s="14"/>
      <c r="AC78" s="30">
        <v>0</v>
      </c>
      <c r="AD78" s="37">
        <v>0</v>
      </c>
    </row>
    <row r="79" spans="1:30" x14ac:dyDescent="0.25">
      <c r="A79" s="36">
        <v>4399</v>
      </c>
      <c r="B79" s="14" t="s">
        <v>8821</v>
      </c>
      <c r="C79" s="31" t="s">
        <v>8822</v>
      </c>
      <c r="D79" s="17">
        <v>44120</v>
      </c>
      <c r="E79" s="14" t="s">
        <v>30</v>
      </c>
      <c r="F79" s="14">
        <v>62</v>
      </c>
      <c r="G79" s="14">
        <v>29</v>
      </c>
      <c r="H79" s="14">
        <v>20</v>
      </c>
      <c r="I79" s="14">
        <v>10</v>
      </c>
      <c r="J79" s="14" t="s">
        <v>31</v>
      </c>
      <c r="K79" s="14" cm="1">
        <f t="array" ref="K79">INT(SUMPRODUCT(--ISNUMBER(SEARCH(economy,C79)))&gt;0)</f>
        <v>0</v>
      </c>
      <c r="L79" s="14" cm="1">
        <f t="array" ref="L79">INT(SUMPRODUCT(--ISNUMBER(SEARCH(healthcare,C79)))&gt;0)</f>
        <v>0</v>
      </c>
      <c r="M79" s="14" cm="1">
        <f t="array" ref="M79">INT(SUMPRODUCT(--ISNUMBER(SEARCH(supreme,C79)))&gt;0)</f>
        <v>0</v>
      </c>
      <c r="N79" s="14" cm="1">
        <f t="array" ref="N79">INT(SUMPRODUCT(--ISNUMBER(SEARCH(covid,C79)))&gt;0)</f>
        <v>0</v>
      </c>
      <c r="O79" s="14" cm="1">
        <f t="array" ref="O79">INT(SUMPRODUCT(--ISNUMBER(SEARCH(violent,C79)))&gt;0)</f>
        <v>0</v>
      </c>
      <c r="P79" s="14" cm="1">
        <f t="array" ref="P79">INT(SUMPRODUCT(--ISNUMBER(SEARCH(foreign,C79)))&gt;0)</f>
        <v>0</v>
      </c>
      <c r="Q79" s="14" cm="1">
        <f t="array" ref="Q79">INT(SUMPRODUCT(--ISNUMBER(SEARCH(gun,C79)))&gt;0)</f>
        <v>0</v>
      </c>
      <c r="R79" s="14" cm="1">
        <f t="array" ref="R79">INT(SUMPRODUCT(--ISNUMBER(SEARCH(race,C79)))&gt;0)</f>
        <v>0</v>
      </c>
      <c r="S79" s="14" cm="1">
        <f t="array" ref="S79">INT(SUMPRODUCT(--ISNUMBER(SEARCH(immigration,C79)))&gt;0)</f>
        <v>0</v>
      </c>
      <c r="T79" s="14" cm="1">
        <f t="array" ref="T79">INT(SUMPRODUCT(--ISNUMBER(SEARCH(econineq,C80)))&gt;0)</f>
        <v>0</v>
      </c>
      <c r="U79" s="14" cm="1">
        <f t="array" ref="U79">INT(SUMPRODUCT(--ISNUMBER(SEARCH(climate,C79)))&gt;0)</f>
        <v>0</v>
      </c>
      <c r="V79" s="14" cm="1">
        <f t="array" ref="V79">INT(SUMPRODUCT(--ISNUMBER(SEARCH(abortion,C79)))&gt;0)</f>
        <v>0</v>
      </c>
      <c r="W79" s="14" cm="1">
        <f t="array" ref="W79">INT(SUMPRODUCT(--ISNUMBER(SEARCH(trump,C79)))&gt;0)</f>
        <v>0</v>
      </c>
      <c r="X79" s="14" cm="1">
        <f t="array" ref="X79">INT(SUMPRODUCT(--ISNUMBER(SEARCH(voting,C79)))&gt;0)</f>
        <v>1</v>
      </c>
      <c r="Y79" s="35" cm="1">
        <f t="array" ref="Y79">INT(SUMPRODUCT(--ISNUMBER(SEARCH(republicantrigger,C79)))&gt;0)</f>
        <v>0</v>
      </c>
      <c r="Z79" s="35" cm="1">
        <f t="array" ref="Z79">INT(SUMPRODUCT(--ISNUMBER(SEARCH(bipartisan,C79)))&gt;0)</f>
        <v>1</v>
      </c>
      <c r="AA79" s="35">
        <f t="shared" si="2"/>
        <v>0</v>
      </c>
      <c r="AB79" s="14"/>
      <c r="AC79" s="30">
        <v>0</v>
      </c>
      <c r="AD79" s="37">
        <v>0</v>
      </c>
    </row>
    <row r="80" spans="1:30" x14ac:dyDescent="0.25">
      <c r="A80" s="36">
        <v>4400</v>
      </c>
      <c r="B80" s="14" t="s">
        <v>8823</v>
      </c>
      <c r="C80" s="31" t="s">
        <v>8824</v>
      </c>
      <c r="D80" s="17">
        <v>44120</v>
      </c>
      <c r="E80" s="14" t="s">
        <v>30</v>
      </c>
      <c r="F80" s="14">
        <v>92</v>
      </c>
      <c r="G80" s="14">
        <v>43</v>
      </c>
      <c r="H80" s="14">
        <v>20</v>
      </c>
      <c r="I80" s="14">
        <v>10</v>
      </c>
      <c r="J80" s="14" t="s">
        <v>31</v>
      </c>
      <c r="K80" s="14" cm="1">
        <f t="array" ref="K80">INT(SUMPRODUCT(--ISNUMBER(SEARCH(economy,C80)))&gt;0)</f>
        <v>0</v>
      </c>
      <c r="L80" s="14" cm="1">
        <f t="array" ref="L80">INT(SUMPRODUCT(--ISNUMBER(SEARCH(healthcare,C80)))&gt;0)</f>
        <v>0</v>
      </c>
      <c r="M80" s="14" cm="1">
        <f t="array" ref="M80">INT(SUMPRODUCT(--ISNUMBER(SEARCH(supreme,C80)))&gt;0)</f>
        <v>0</v>
      </c>
      <c r="N80" s="14" cm="1">
        <f t="array" ref="N80">INT(SUMPRODUCT(--ISNUMBER(SEARCH(covid,C80)))&gt;0)</f>
        <v>0</v>
      </c>
      <c r="O80" s="14" cm="1">
        <f t="array" ref="O80">INT(SUMPRODUCT(--ISNUMBER(SEARCH(violent,C80)))&gt;0)</f>
        <v>0</v>
      </c>
      <c r="P80" s="14" cm="1">
        <f t="array" ref="P80">INT(SUMPRODUCT(--ISNUMBER(SEARCH(foreign,C80)))&gt;0)</f>
        <v>0</v>
      </c>
      <c r="Q80" s="14" cm="1">
        <f t="array" ref="Q80">INT(SUMPRODUCT(--ISNUMBER(SEARCH(gun,C80)))&gt;0)</f>
        <v>0</v>
      </c>
      <c r="R80" s="14" cm="1">
        <f t="array" ref="R80">INT(SUMPRODUCT(--ISNUMBER(SEARCH(race,C80)))&gt;0)</f>
        <v>0</v>
      </c>
      <c r="S80" s="14" cm="1">
        <f t="array" ref="S80">INT(SUMPRODUCT(--ISNUMBER(SEARCH(immigration,C80)))&gt;0)</f>
        <v>0</v>
      </c>
      <c r="T80" s="14" cm="1">
        <f t="array" ref="T80">INT(SUMPRODUCT(--ISNUMBER(SEARCH(econineq,C81)))&gt;0)</f>
        <v>0</v>
      </c>
      <c r="U80" s="14" cm="1">
        <f t="array" ref="U80">INT(SUMPRODUCT(--ISNUMBER(SEARCH(climate,C80)))&gt;0)</f>
        <v>0</v>
      </c>
      <c r="V80" s="14" cm="1">
        <f t="array" ref="V80">INT(SUMPRODUCT(--ISNUMBER(SEARCH(abortion,C80)))&gt;0)</f>
        <v>0</v>
      </c>
      <c r="W80" s="14" cm="1">
        <f t="array" ref="W80">INT(SUMPRODUCT(--ISNUMBER(SEARCH(trump,C80)))&gt;0)</f>
        <v>0</v>
      </c>
      <c r="X80" s="14" cm="1">
        <f t="array" ref="X80">INT(SUMPRODUCT(--ISNUMBER(SEARCH(voting,C80)))&gt;0)</f>
        <v>1</v>
      </c>
      <c r="Y80" s="35" cm="1">
        <f t="array" ref="Y80">INT(SUMPRODUCT(--ISNUMBER(SEARCH(republicantrigger,C80)))&gt;0)</f>
        <v>1</v>
      </c>
      <c r="Z80" s="35" cm="1">
        <f t="array" ref="Z80">INT(SUMPRODUCT(--ISNUMBER(SEARCH(bipartisan,C80)))&gt;0)</f>
        <v>0</v>
      </c>
      <c r="AA80" s="35">
        <f t="shared" si="2"/>
        <v>0</v>
      </c>
      <c r="AB80" s="14"/>
      <c r="AC80" s="30">
        <v>0</v>
      </c>
      <c r="AD80" s="37">
        <v>0</v>
      </c>
    </row>
    <row r="81" spans="1:30" x14ac:dyDescent="0.25">
      <c r="A81" s="36">
        <v>4401</v>
      </c>
      <c r="B81" s="14" t="s">
        <v>8825</v>
      </c>
      <c r="C81" s="31" t="s">
        <v>8826</v>
      </c>
      <c r="D81" s="17">
        <v>44119</v>
      </c>
      <c r="E81" s="14" t="s">
        <v>70</v>
      </c>
      <c r="F81" s="14">
        <v>35</v>
      </c>
      <c r="G81" s="14">
        <v>18</v>
      </c>
      <c r="H81" s="14">
        <v>20</v>
      </c>
      <c r="I81" s="14">
        <v>10</v>
      </c>
      <c r="J81" s="14" t="s">
        <v>31</v>
      </c>
      <c r="K81" s="14" cm="1">
        <f t="array" ref="K81">INT(SUMPRODUCT(--ISNUMBER(SEARCH(economy,C81)))&gt;0)</f>
        <v>0</v>
      </c>
      <c r="L81" s="14" cm="1">
        <f t="array" ref="L81">INT(SUMPRODUCT(--ISNUMBER(SEARCH(healthcare,C81)))&gt;0)</f>
        <v>1</v>
      </c>
      <c r="M81" s="14" cm="1">
        <f t="array" ref="M81">INT(SUMPRODUCT(--ISNUMBER(SEARCH(supreme,C81)))&gt;0)</f>
        <v>0</v>
      </c>
      <c r="N81" s="14" cm="1">
        <f t="array" ref="N81">INT(SUMPRODUCT(--ISNUMBER(SEARCH(covid,C81)))&gt;0)</f>
        <v>0</v>
      </c>
      <c r="O81" s="14" cm="1">
        <f t="array" ref="O81">INT(SUMPRODUCT(--ISNUMBER(SEARCH(violent,C81)))&gt;0)</f>
        <v>0</v>
      </c>
      <c r="P81" s="14" cm="1">
        <f t="array" ref="P81">INT(SUMPRODUCT(--ISNUMBER(SEARCH(foreign,C81)))&gt;0)</f>
        <v>0</v>
      </c>
      <c r="Q81" s="14" cm="1">
        <f t="array" ref="Q81">INT(SUMPRODUCT(--ISNUMBER(SEARCH(gun,C81)))&gt;0)</f>
        <v>0</v>
      </c>
      <c r="R81" s="14" cm="1">
        <f t="array" ref="R81">INT(SUMPRODUCT(--ISNUMBER(SEARCH(race,C81)))&gt;0)</f>
        <v>0</v>
      </c>
      <c r="S81" s="14" cm="1">
        <f t="array" ref="S81">INT(SUMPRODUCT(--ISNUMBER(SEARCH(immigration,C81)))&gt;0)</f>
        <v>0</v>
      </c>
      <c r="T81" s="14" cm="1">
        <f t="array" ref="T81">INT(SUMPRODUCT(--ISNUMBER(SEARCH(econineq,C82)))&gt;0)</f>
        <v>0</v>
      </c>
      <c r="U81" s="14" cm="1">
        <f t="array" ref="U81">INT(SUMPRODUCT(--ISNUMBER(SEARCH(climate,C81)))&gt;0)</f>
        <v>0</v>
      </c>
      <c r="V81" s="14" cm="1">
        <f t="array" ref="V81">INT(SUMPRODUCT(--ISNUMBER(SEARCH(abortion,C81)))&gt;0)</f>
        <v>0</v>
      </c>
      <c r="W81" s="14" cm="1">
        <f t="array" ref="W81">INT(SUMPRODUCT(--ISNUMBER(SEARCH(trump,C81)))&gt;0)</f>
        <v>0</v>
      </c>
      <c r="X81" s="14" cm="1">
        <f t="array" ref="X81">INT(SUMPRODUCT(--ISNUMBER(SEARCH(voting,C81)))&gt;0)</f>
        <v>0</v>
      </c>
      <c r="Y81" s="35" cm="1">
        <f t="array" ref="Y81">INT(SUMPRODUCT(--ISNUMBER(SEARCH(republicantrigger,C81)))&gt;0)</f>
        <v>1</v>
      </c>
      <c r="Z81" s="35" cm="1">
        <f t="array" ref="Z81">INT(SUMPRODUCT(--ISNUMBER(SEARCH(bipartisan,C81)))&gt;0)</f>
        <v>0</v>
      </c>
      <c r="AA81" s="35">
        <f t="shared" si="2"/>
        <v>0</v>
      </c>
      <c r="AB81" s="14"/>
      <c r="AC81" s="30">
        <v>0</v>
      </c>
      <c r="AD81" s="37">
        <v>0</v>
      </c>
    </row>
    <row r="82" spans="1:30" x14ac:dyDescent="0.25">
      <c r="A82" s="36">
        <v>4402</v>
      </c>
      <c r="B82" s="14" t="s">
        <v>8827</v>
      </c>
      <c r="C82" s="31" t="s">
        <v>8828</v>
      </c>
      <c r="D82" s="17">
        <v>44119</v>
      </c>
      <c r="E82" s="14" t="s">
        <v>70</v>
      </c>
      <c r="F82" s="14">
        <v>33</v>
      </c>
      <c r="G82" s="14">
        <v>19</v>
      </c>
      <c r="H82" s="14">
        <v>20</v>
      </c>
      <c r="I82" s="14">
        <v>10</v>
      </c>
      <c r="J82" s="14" t="s">
        <v>31</v>
      </c>
      <c r="K82" s="14" cm="1">
        <f t="array" ref="K82">INT(SUMPRODUCT(--ISNUMBER(SEARCH(economy,C82)))&gt;0)</f>
        <v>0</v>
      </c>
      <c r="L82" s="14" cm="1">
        <f t="array" ref="L82">INT(SUMPRODUCT(--ISNUMBER(SEARCH(healthcare,C82)))&gt;0)</f>
        <v>1</v>
      </c>
      <c r="M82" s="14" cm="1">
        <f t="array" ref="M82">INT(SUMPRODUCT(--ISNUMBER(SEARCH(supreme,C82)))&gt;0)</f>
        <v>0</v>
      </c>
      <c r="N82" s="14" cm="1">
        <f t="array" ref="N82">INT(SUMPRODUCT(--ISNUMBER(SEARCH(covid,C82)))&gt;0)</f>
        <v>0</v>
      </c>
      <c r="O82" s="14" cm="1">
        <f t="array" ref="O82">INT(SUMPRODUCT(--ISNUMBER(SEARCH(violent,C82)))&gt;0)</f>
        <v>0</v>
      </c>
      <c r="P82" s="14" cm="1">
        <f t="array" ref="P82">INT(SUMPRODUCT(--ISNUMBER(SEARCH(foreign,C82)))&gt;0)</f>
        <v>0</v>
      </c>
      <c r="Q82" s="14" cm="1">
        <f t="array" ref="Q82">INT(SUMPRODUCT(--ISNUMBER(SEARCH(gun,C82)))&gt;0)</f>
        <v>0</v>
      </c>
      <c r="R82" s="14" cm="1">
        <f t="array" ref="R82">INT(SUMPRODUCT(--ISNUMBER(SEARCH(race,C82)))&gt;0)</f>
        <v>0</v>
      </c>
      <c r="S82" s="14" cm="1">
        <f t="array" ref="S82">INT(SUMPRODUCT(--ISNUMBER(SEARCH(immigration,C82)))&gt;0)</f>
        <v>0</v>
      </c>
      <c r="T82" s="14" cm="1">
        <f t="array" ref="T82">INT(SUMPRODUCT(--ISNUMBER(SEARCH(econineq,C83)))&gt;0)</f>
        <v>0</v>
      </c>
      <c r="U82" s="14" cm="1">
        <f t="array" ref="U82">INT(SUMPRODUCT(--ISNUMBER(SEARCH(climate,C82)))&gt;0)</f>
        <v>0</v>
      </c>
      <c r="V82" s="14" cm="1">
        <f t="array" ref="V82">INT(SUMPRODUCT(--ISNUMBER(SEARCH(abortion,C82)))&gt;0)</f>
        <v>0</v>
      </c>
      <c r="W82" s="14" cm="1">
        <f t="array" ref="W82">INT(SUMPRODUCT(--ISNUMBER(SEARCH(trump,C82)))&gt;0)</f>
        <v>0</v>
      </c>
      <c r="X82" s="14" cm="1">
        <f t="array" ref="X82">INT(SUMPRODUCT(--ISNUMBER(SEARCH(voting,C82)))&gt;0)</f>
        <v>0</v>
      </c>
      <c r="Y82" s="35" cm="1">
        <f t="array" ref="Y82">INT(SUMPRODUCT(--ISNUMBER(SEARCH(republicantrigger,C82)))&gt;0)</f>
        <v>1</v>
      </c>
      <c r="Z82" s="35" cm="1">
        <f t="array" ref="Z82">INT(SUMPRODUCT(--ISNUMBER(SEARCH(bipartisan,C82)))&gt;0)</f>
        <v>0</v>
      </c>
      <c r="AA82" s="35">
        <f t="shared" si="2"/>
        <v>0</v>
      </c>
      <c r="AB82" s="14"/>
      <c r="AC82" s="30">
        <v>0</v>
      </c>
      <c r="AD82" s="37">
        <v>0</v>
      </c>
    </row>
    <row r="83" spans="1:30" x14ac:dyDescent="0.25">
      <c r="A83" s="36">
        <v>4403</v>
      </c>
      <c r="B83" s="14" t="s">
        <v>8829</v>
      </c>
      <c r="C83" s="31" t="s">
        <v>8830</v>
      </c>
      <c r="D83" s="17">
        <v>44119</v>
      </c>
      <c r="E83" s="14" t="s">
        <v>30</v>
      </c>
      <c r="F83" s="14">
        <v>229</v>
      </c>
      <c r="G83" s="14">
        <v>98</v>
      </c>
      <c r="H83" s="14">
        <v>20</v>
      </c>
      <c r="I83" s="14">
        <v>10</v>
      </c>
      <c r="J83" s="14" t="s">
        <v>31</v>
      </c>
      <c r="K83" s="14" cm="1">
        <f t="array" ref="K83">INT(SUMPRODUCT(--ISNUMBER(SEARCH(economy,C83)))&gt;0)</f>
        <v>0</v>
      </c>
      <c r="L83" s="14" cm="1">
        <f t="array" ref="L83">INT(SUMPRODUCT(--ISNUMBER(SEARCH(healthcare,C83)))&gt;0)</f>
        <v>1</v>
      </c>
      <c r="M83" s="14" cm="1">
        <f t="array" ref="M83">INT(SUMPRODUCT(--ISNUMBER(SEARCH(supreme,C83)))&gt;0)</f>
        <v>0</v>
      </c>
      <c r="N83" s="14" cm="1">
        <f t="array" ref="N83">INT(SUMPRODUCT(--ISNUMBER(SEARCH(covid,C83)))&gt;0)</f>
        <v>0</v>
      </c>
      <c r="O83" s="14" cm="1">
        <f t="array" ref="O83">INT(SUMPRODUCT(--ISNUMBER(SEARCH(violent,C83)))&gt;0)</f>
        <v>0</v>
      </c>
      <c r="P83" s="14" cm="1">
        <f t="array" ref="P83">INT(SUMPRODUCT(--ISNUMBER(SEARCH(foreign,C83)))&gt;0)</f>
        <v>0</v>
      </c>
      <c r="Q83" s="14" cm="1">
        <f t="array" ref="Q83">INT(SUMPRODUCT(--ISNUMBER(SEARCH(gun,C83)))&gt;0)</f>
        <v>0</v>
      </c>
      <c r="R83" s="14" cm="1">
        <f t="array" ref="R83">INT(SUMPRODUCT(--ISNUMBER(SEARCH(race,C83)))&gt;0)</f>
        <v>0</v>
      </c>
      <c r="S83" s="14" cm="1">
        <f t="array" ref="S83">INT(SUMPRODUCT(--ISNUMBER(SEARCH(immigration,C83)))&gt;0)</f>
        <v>0</v>
      </c>
      <c r="T83" s="14" cm="1">
        <f t="array" ref="T83">INT(SUMPRODUCT(--ISNUMBER(SEARCH(econineq,C84)))&gt;0)</f>
        <v>0</v>
      </c>
      <c r="U83" s="14" cm="1">
        <f t="array" ref="U83">INT(SUMPRODUCT(--ISNUMBER(SEARCH(climate,C83)))&gt;0)</f>
        <v>0</v>
      </c>
      <c r="V83" s="14" cm="1">
        <f t="array" ref="V83">INT(SUMPRODUCT(--ISNUMBER(SEARCH(abortion,C83)))&gt;0)</f>
        <v>0</v>
      </c>
      <c r="W83" s="14" cm="1">
        <f t="array" ref="W83">INT(SUMPRODUCT(--ISNUMBER(SEARCH(trump,C83)))&gt;0)</f>
        <v>0</v>
      </c>
      <c r="X83" s="14" cm="1">
        <f t="array" ref="X83">INT(SUMPRODUCT(--ISNUMBER(SEARCH(voting,C83)))&gt;0)</f>
        <v>0</v>
      </c>
      <c r="Y83" s="35" cm="1">
        <f t="array" ref="Y83">INT(SUMPRODUCT(--ISNUMBER(SEARCH(republicantrigger,C83)))&gt;0)</f>
        <v>1</v>
      </c>
      <c r="Z83" s="35" cm="1">
        <f t="array" ref="Z83">INT(SUMPRODUCT(--ISNUMBER(SEARCH(bipartisan,C83)))&gt;0)</f>
        <v>0</v>
      </c>
      <c r="AA83" s="35">
        <f t="shared" si="2"/>
        <v>0</v>
      </c>
      <c r="AB83" s="14"/>
      <c r="AC83" s="30">
        <v>1</v>
      </c>
      <c r="AD83" s="37">
        <v>0</v>
      </c>
    </row>
    <row r="84" spans="1:30" x14ac:dyDescent="0.25">
      <c r="A84" s="36">
        <v>4404</v>
      </c>
      <c r="B84" s="14" t="s">
        <v>8831</v>
      </c>
      <c r="C84" s="31" t="s">
        <v>8832</v>
      </c>
      <c r="D84" s="17">
        <v>44119</v>
      </c>
      <c r="E84" s="14" t="s">
        <v>30</v>
      </c>
      <c r="F84" s="14">
        <v>164</v>
      </c>
      <c r="G84" s="14">
        <v>81</v>
      </c>
      <c r="H84" s="14">
        <v>20</v>
      </c>
      <c r="I84" s="14">
        <v>10</v>
      </c>
      <c r="J84" s="14" t="s">
        <v>31</v>
      </c>
      <c r="K84" s="14" cm="1">
        <f t="array" ref="K84">INT(SUMPRODUCT(--ISNUMBER(SEARCH(economy,C84)))&gt;0)</f>
        <v>0</v>
      </c>
      <c r="L84" s="14" cm="1">
        <f t="array" ref="L84">INT(SUMPRODUCT(--ISNUMBER(SEARCH(healthcare,C84)))&gt;0)</f>
        <v>0</v>
      </c>
      <c r="M84" s="14" cm="1">
        <f t="array" ref="M84">INT(SUMPRODUCT(--ISNUMBER(SEARCH(supreme,C84)))&gt;0)</f>
        <v>0</v>
      </c>
      <c r="N84" s="14" cm="1">
        <f t="array" ref="N84">INT(SUMPRODUCT(--ISNUMBER(SEARCH(covid,C84)))&gt;0)</f>
        <v>0</v>
      </c>
      <c r="O84" s="14" cm="1">
        <f t="array" ref="O84">INT(SUMPRODUCT(--ISNUMBER(SEARCH(violent,C84)))&gt;0)</f>
        <v>0</v>
      </c>
      <c r="P84" s="14" cm="1">
        <f t="array" ref="P84">INT(SUMPRODUCT(--ISNUMBER(SEARCH(foreign,C84)))&gt;0)</f>
        <v>0</v>
      </c>
      <c r="Q84" s="14" cm="1">
        <f t="array" ref="Q84">INT(SUMPRODUCT(--ISNUMBER(SEARCH(gun,C84)))&gt;0)</f>
        <v>0</v>
      </c>
      <c r="R84" s="14" cm="1">
        <f t="array" ref="R84">INT(SUMPRODUCT(--ISNUMBER(SEARCH(race,C84)))&gt;0)</f>
        <v>0</v>
      </c>
      <c r="S84" s="14" cm="1">
        <f t="array" ref="S84">INT(SUMPRODUCT(--ISNUMBER(SEARCH(immigration,C84)))&gt;0)</f>
        <v>0</v>
      </c>
      <c r="T84" s="14" cm="1">
        <f t="array" ref="T84">INT(SUMPRODUCT(--ISNUMBER(SEARCH(econineq,C85)))&gt;0)</f>
        <v>0</v>
      </c>
      <c r="U84" s="14" cm="1">
        <f t="array" ref="U84">INT(SUMPRODUCT(--ISNUMBER(SEARCH(climate,C84)))&gt;0)</f>
        <v>0</v>
      </c>
      <c r="V84" s="14" cm="1">
        <f t="array" ref="V84">INT(SUMPRODUCT(--ISNUMBER(SEARCH(abortion,C84)))&gt;0)</f>
        <v>0</v>
      </c>
      <c r="W84" s="14" cm="1">
        <f t="array" ref="W84">INT(SUMPRODUCT(--ISNUMBER(SEARCH(trump,C84)))&gt;0)</f>
        <v>0</v>
      </c>
      <c r="X84" s="14" cm="1">
        <f t="array" ref="X84">INT(SUMPRODUCT(--ISNUMBER(SEARCH(voting,C84)))&gt;0)</f>
        <v>0</v>
      </c>
      <c r="Y84" s="35" cm="1">
        <f t="array" ref="Y84">INT(SUMPRODUCT(--ISNUMBER(SEARCH(republicantrigger,C84)))&gt;0)</f>
        <v>0</v>
      </c>
      <c r="Z84" s="35" cm="1">
        <f t="array" ref="Z84">INT(SUMPRODUCT(--ISNUMBER(SEARCH(bipartisan,C84)))&gt;0)</f>
        <v>1</v>
      </c>
      <c r="AA84" s="35">
        <f t="shared" si="2"/>
        <v>0</v>
      </c>
      <c r="AB84" s="14"/>
      <c r="AC84" s="30">
        <v>0</v>
      </c>
      <c r="AD84" s="37">
        <v>0</v>
      </c>
    </row>
    <row r="85" spans="1:30" x14ac:dyDescent="0.25">
      <c r="A85" s="36">
        <v>4405</v>
      </c>
      <c r="B85" s="14" t="s">
        <v>8833</v>
      </c>
      <c r="C85" s="31" t="s">
        <v>8834</v>
      </c>
      <c r="D85" s="17">
        <v>44119</v>
      </c>
      <c r="E85" s="14" t="s">
        <v>30</v>
      </c>
      <c r="F85" s="14">
        <v>247</v>
      </c>
      <c r="G85" s="14">
        <v>89</v>
      </c>
      <c r="H85" s="14">
        <v>20</v>
      </c>
      <c r="I85" s="14">
        <v>10</v>
      </c>
      <c r="J85" s="14" t="s">
        <v>31</v>
      </c>
      <c r="K85" s="14" cm="1">
        <f t="array" ref="K85">INT(SUMPRODUCT(--ISNUMBER(SEARCH(economy,C85)))&gt;0)</f>
        <v>0</v>
      </c>
      <c r="L85" s="14" cm="1">
        <f t="array" ref="L85">INT(SUMPRODUCT(--ISNUMBER(SEARCH(healthcare,C85)))&gt;0)</f>
        <v>0</v>
      </c>
      <c r="M85" s="14" cm="1">
        <f t="array" ref="M85">INT(SUMPRODUCT(--ISNUMBER(SEARCH(supreme,C85)))&gt;0)</f>
        <v>0</v>
      </c>
      <c r="N85" s="14" cm="1">
        <f t="array" ref="N85">INT(SUMPRODUCT(--ISNUMBER(SEARCH(covid,C85)))&gt;0)</f>
        <v>0</v>
      </c>
      <c r="O85" s="14" cm="1">
        <f t="array" ref="O85">INT(SUMPRODUCT(--ISNUMBER(SEARCH(violent,C85)))&gt;0)</f>
        <v>0</v>
      </c>
      <c r="P85" s="14" cm="1">
        <f t="array" ref="P85">INT(SUMPRODUCT(--ISNUMBER(SEARCH(foreign,C85)))&gt;0)</f>
        <v>0</v>
      </c>
      <c r="Q85" s="14" cm="1">
        <f t="array" ref="Q85">INT(SUMPRODUCT(--ISNUMBER(SEARCH(gun,C85)))&gt;0)</f>
        <v>0</v>
      </c>
      <c r="R85" s="14" cm="1">
        <f t="array" ref="R85">INT(SUMPRODUCT(--ISNUMBER(SEARCH(race,C85)))&gt;0)</f>
        <v>0</v>
      </c>
      <c r="S85" s="14" cm="1">
        <f t="array" ref="S85">INT(SUMPRODUCT(--ISNUMBER(SEARCH(immigration,C85)))&gt;0)</f>
        <v>1</v>
      </c>
      <c r="T85" s="14" cm="1">
        <f t="array" ref="T85">INT(SUMPRODUCT(--ISNUMBER(SEARCH(econineq,C86)))&gt;0)</f>
        <v>0</v>
      </c>
      <c r="U85" s="14" cm="1">
        <f t="array" ref="U85">INT(SUMPRODUCT(--ISNUMBER(SEARCH(climate,C85)))&gt;0)</f>
        <v>0</v>
      </c>
      <c r="V85" s="14" cm="1">
        <f t="array" ref="V85">INT(SUMPRODUCT(--ISNUMBER(SEARCH(abortion,C85)))&gt;0)</f>
        <v>0</v>
      </c>
      <c r="W85" s="14" cm="1">
        <f t="array" ref="W85">INT(SUMPRODUCT(--ISNUMBER(SEARCH(trump,C85)))&gt;0)</f>
        <v>0</v>
      </c>
      <c r="X85" s="14" cm="1">
        <f t="array" ref="X85">INT(SUMPRODUCT(--ISNUMBER(SEARCH(voting,C85)))&gt;0)</f>
        <v>0</v>
      </c>
      <c r="Y85" s="35" cm="1">
        <f t="array" ref="Y85">INT(SUMPRODUCT(--ISNUMBER(SEARCH(republicantrigger,C85)))&gt;0)</f>
        <v>0</v>
      </c>
      <c r="Z85" s="35" cm="1">
        <f t="array" ref="Z85">INT(SUMPRODUCT(--ISNUMBER(SEARCH(bipartisan,C85)))&gt;0)</f>
        <v>0</v>
      </c>
      <c r="AA85" s="35">
        <f t="shared" si="2"/>
        <v>0</v>
      </c>
      <c r="AB85" s="14"/>
      <c r="AC85" s="30">
        <v>0</v>
      </c>
      <c r="AD85" s="37">
        <v>1</v>
      </c>
    </row>
    <row r="86" spans="1:30" x14ac:dyDescent="0.25">
      <c r="A86" s="36">
        <v>4406</v>
      </c>
      <c r="B86" s="14" t="s">
        <v>8835</v>
      </c>
      <c r="C86" s="31" t="s">
        <v>8836</v>
      </c>
      <c r="D86" s="17">
        <v>44118</v>
      </c>
      <c r="E86" s="14" t="s">
        <v>30</v>
      </c>
      <c r="F86" s="14">
        <v>52</v>
      </c>
      <c r="G86" s="14">
        <v>22</v>
      </c>
      <c r="H86" s="14">
        <v>20</v>
      </c>
      <c r="I86" s="14">
        <v>10</v>
      </c>
      <c r="J86" s="14" t="s">
        <v>31</v>
      </c>
      <c r="K86" s="14" cm="1">
        <f t="array" ref="K86">INT(SUMPRODUCT(--ISNUMBER(SEARCH(economy,C86)))&gt;0)</f>
        <v>0</v>
      </c>
      <c r="L86" s="14" cm="1">
        <f t="array" ref="L86">INT(SUMPRODUCT(--ISNUMBER(SEARCH(healthcare,C86)))&gt;0)</f>
        <v>0</v>
      </c>
      <c r="M86" s="14" cm="1">
        <f t="array" ref="M86">INT(SUMPRODUCT(--ISNUMBER(SEARCH(supreme,C86)))&gt;0)</f>
        <v>0</v>
      </c>
      <c r="N86" s="14" cm="1">
        <f t="array" ref="N86">INT(SUMPRODUCT(--ISNUMBER(SEARCH(covid,C86)))&gt;0)</f>
        <v>0</v>
      </c>
      <c r="O86" s="14" cm="1">
        <f t="array" ref="O86">INT(SUMPRODUCT(--ISNUMBER(SEARCH(violent,C86)))&gt;0)</f>
        <v>0</v>
      </c>
      <c r="P86" s="14" cm="1">
        <f t="array" ref="P86">INT(SUMPRODUCT(--ISNUMBER(SEARCH(foreign,C86)))&gt;0)</f>
        <v>0</v>
      </c>
      <c r="Q86" s="14" cm="1">
        <f t="array" ref="Q86">INT(SUMPRODUCT(--ISNUMBER(SEARCH(gun,C86)))&gt;0)</f>
        <v>0</v>
      </c>
      <c r="R86" s="14" cm="1">
        <f t="array" ref="R86">INT(SUMPRODUCT(--ISNUMBER(SEARCH(race,C86)))&gt;0)</f>
        <v>0</v>
      </c>
      <c r="S86" s="14" cm="1">
        <f t="array" ref="S86">INT(SUMPRODUCT(--ISNUMBER(SEARCH(immigration,C86)))&gt;0)</f>
        <v>0</v>
      </c>
      <c r="T86" s="14" cm="1">
        <f t="array" ref="T86">INT(SUMPRODUCT(--ISNUMBER(SEARCH(econineq,C87)))&gt;0)</f>
        <v>0</v>
      </c>
      <c r="U86" s="14" cm="1">
        <f t="array" ref="U86">INT(SUMPRODUCT(--ISNUMBER(SEARCH(climate,C86)))&gt;0)</f>
        <v>0</v>
      </c>
      <c r="V86" s="14" cm="1">
        <f t="array" ref="V86">INT(SUMPRODUCT(--ISNUMBER(SEARCH(abortion,C86)))&gt;0)</f>
        <v>0</v>
      </c>
      <c r="W86" s="14" cm="1">
        <f t="array" ref="W86">INT(SUMPRODUCT(--ISNUMBER(SEARCH(trump,C86)))&gt;0)</f>
        <v>0</v>
      </c>
      <c r="X86" s="14" cm="1">
        <f t="array" ref="X86">INT(SUMPRODUCT(--ISNUMBER(SEARCH(voting,C86)))&gt;0)</f>
        <v>0</v>
      </c>
      <c r="Y86" s="35" cm="1">
        <f t="array" ref="Y86">INT(SUMPRODUCT(--ISNUMBER(SEARCH(republicantrigger,C86)))&gt;0)</f>
        <v>0</v>
      </c>
      <c r="Z86" s="35" cm="1">
        <f t="array" ref="Z86">INT(SUMPRODUCT(--ISNUMBER(SEARCH(bipartisan,C86)))&gt;0)</f>
        <v>0</v>
      </c>
      <c r="AA86" s="35">
        <f t="shared" si="2"/>
        <v>1</v>
      </c>
      <c r="AB86" s="14"/>
      <c r="AC86" s="30">
        <v>1</v>
      </c>
      <c r="AD86" s="37">
        <v>0</v>
      </c>
    </row>
    <row r="87" spans="1:30" x14ac:dyDescent="0.25">
      <c r="A87" s="36">
        <v>4407</v>
      </c>
      <c r="B87" s="14" t="s">
        <v>8837</v>
      </c>
      <c r="C87" s="31" t="s">
        <v>8838</v>
      </c>
      <c r="D87" s="17">
        <v>44118</v>
      </c>
      <c r="E87" s="14" t="s">
        <v>30</v>
      </c>
      <c r="F87" s="14">
        <v>319</v>
      </c>
      <c r="G87" s="14">
        <v>156</v>
      </c>
      <c r="H87" s="14">
        <v>20</v>
      </c>
      <c r="I87" s="14">
        <v>10</v>
      </c>
      <c r="J87" s="14" t="s">
        <v>31</v>
      </c>
      <c r="K87" s="14" cm="1">
        <f t="array" ref="K87">INT(SUMPRODUCT(--ISNUMBER(SEARCH(economy,C87)))&gt;0)</f>
        <v>0</v>
      </c>
      <c r="L87" s="14" cm="1">
        <f t="array" ref="L87">INT(SUMPRODUCT(--ISNUMBER(SEARCH(healthcare,C87)))&gt;0)</f>
        <v>0</v>
      </c>
      <c r="M87" s="14" cm="1">
        <f t="array" ref="M87">INT(SUMPRODUCT(--ISNUMBER(SEARCH(supreme,C87)))&gt;0)</f>
        <v>0</v>
      </c>
      <c r="N87" s="14" cm="1">
        <f t="array" ref="N87">INT(SUMPRODUCT(--ISNUMBER(SEARCH(covid,C87)))&gt;0)</f>
        <v>0</v>
      </c>
      <c r="O87" s="14" cm="1">
        <f t="array" ref="O87">INT(SUMPRODUCT(--ISNUMBER(SEARCH(violent,C87)))&gt;0)</f>
        <v>0</v>
      </c>
      <c r="P87" s="14" cm="1">
        <f t="array" ref="P87">INT(SUMPRODUCT(--ISNUMBER(SEARCH(foreign,C87)))&gt;0)</f>
        <v>0</v>
      </c>
      <c r="Q87" s="14" cm="1">
        <f t="array" ref="Q87">INT(SUMPRODUCT(--ISNUMBER(SEARCH(gun,C87)))&gt;0)</f>
        <v>0</v>
      </c>
      <c r="R87" s="14" cm="1">
        <f t="array" ref="R87">INT(SUMPRODUCT(--ISNUMBER(SEARCH(race,C87)))&gt;0)</f>
        <v>0</v>
      </c>
      <c r="S87" s="14" cm="1">
        <f t="array" ref="S87">INT(SUMPRODUCT(--ISNUMBER(SEARCH(immigration,C87)))&gt;0)</f>
        <v>0</v>
      </c>
      <c r="T87" s="14" cm="1">
        <f t="array" ref="T87">INT(SUMPRODUCT(--ISNUMBER(SEARCH(econineq,C88)))&gt;0)</f>
        <v>0</v>
      </c>
      <c r="U87" s="14" cm="1">
        <f t="array" ref="U87">INT(SUMPRODUCT(--ISNUMBER(SEARCH(climate,C87)))&gt;0)</f>
        <v>0</v>
      </c>
      <c r="V87" s="14" cm="1">
        <f t="array" ref="V87">INT(SUMPRODUCT(--ISNUMBER(SEARCH(abortion,C87)))&gt;0)</f>
        <v>0</v>
      </c>
      <c r="W87" s="14" cm="1">
        <f t="array" ref="W87">INT(SUMPRODUCT(--ISNUMBER(SEARCH(trump,C87)))&gt;0)</f>
        <v>0</v>
      </c>
      <c r="X87" s="14" cm="1">
        <f t="array" ref="X87">INT(SUMPRODUCT(--ISNUMBER(SEARCH(voting,C87)))&gt;0)</f>
        <v>1</v>
      </c>
      <c r="Y87" s="35" cm="1">
        <f t="array" ref="Y87">INT(SUMPRODUCT(--ISNUMBER(SEARCH(republicantrigger,C87)))&gt;0)</f>
        <v>1</v>
      </c>
      <c r="Z87" s="35" cm="1">
        <f t="array" ref="Z87">INT(SUMPRODUCT(--ISNUMBER(SEARCH(bipartisan,C87)))&gt;0)</f>
        <v>0</v>
      </c>
      <c r="AA87" s="35">
        <f t="shared" si="2"/>
        <v>0</v>
      </c>
      <c r="AB87" s="14"/>
      <c r="AC87" s="30">
        <v>0</v>
      </c>
      <c r="AD87" s="37">
        <v>0</v>
      </c>
    </row>
    <row r="88" spans="1:30" x14ac:dyDescent="0.25">
      <c r="A88" s="36">
        <v>4408</v>
      </c>
      <c r="B88" s="14" t="s">
        <v>8839</v>
      </c>
      <c r="C88" s="31" t="s">
        <v>8840</v>
      </c>
      <c r="D88" s="17">
        <v>44118</v>
      </c>
      <c r="E88" s="14" t="s">
        <v>30</v>
      </c>
      <c r="F88" s="14">
        <v>71</v>
      </c>
      <c r="G88" s="14">
        <v>29</v>
      </c>
      <c r="H88" s="14">
        <v>20</v>
      </c>
      <c r="I88" s="14">
        <v>10</v>
      </c>
      <c r="J88" s="14" t="s">
        <v>31</v>
      </c>
      <c r="K88" s="14" cm="1">
        <f t="array" ref="K88">INT(SUMPRODUCT(--ISNUMBER(SEARCH(economy,C88)))&gt;0)</f>
        <v>0</v>
      </c>
      <c r="L88" s="14" cm="1">
        <f t="array" ref="L88">INT(SUMPRODUCT(--ISNUMBER(SEARCH(healthcare,C88)))&gt;0)</f>
        <v>0</v>
      </c>
      <c r="M88" s="14" cm="1">
        <f t="array" ref="M88">INT(SUMPRODUCT(--ISNUMBER(SEARCH(supreme,C88)))&gt;0)</f>
        <v>0</v>
      </c>
      <c r="N88" s="14" cm="1">
        <f t="array" ref="N88">INT(SUMPRODUCT(--ISNUMBER(SEARCH(covid,C88)))&gt;0)</f>
        <v>0</v>
      </c>
      <c r="O88" s="14" cm="1">
        <f t="array" ref="O88">INT(SUMPRODUCT(--ISNUMBER(SEARCH(violent,C88)))&gt;0)</f>
        <v>0</v>
      </c>
      <c r="P88" s="14" cm="1">
        <f t="array" ref="P88">INT(SUMPRODUCT(--ISNUMBER(SEARCH(foreign,C88)))&gt;0)</f>
        <v>0</v>
      </c>
      <c r="Q88" s="14" cm="1">
        <f t="array" ref="Q88">INT(SUMPRODUCT(--ISNUMBER(SEARCH(gun,C88)))&gt;0)</f>
        <v>0</v>
      </c>
      <c r="R88" s="14" cm="1">
        <f t="array" ref="R88">INT(SUMPRODUCT(--ISNUMBER(SEARCH(race,C88)))&gt;0)</f>
        <v>0</v>
      </c>
      <c r="S88" s="14" cm="1">
        <f t="array" ref="S88">INT(SUMPRODUCT(--ISNUMBER(SEARCH(immigration,C88)))&gt;0)</f>
        <v>0</v>
      </c>
      <c r="T88" s="14" cm="1">
        <f t="array" ref="T88">INT(SUMPRODUCT(--ISNUMBER(SEARCH(econineq,C89)))&gt;0)</f>
        <v>0</v>
      </c>
      <c r="U88" s="14" cm="1">
        <f t="array" ref="U88">INT(SUMPRODUCT(--ISNUMBER(SEARCH(climate,C88)))&gt;0)</f>
        <v>0</v>
      </c>
      <c r="V88" s="14" cm="1">
        <f t="array" ref="V88">INT(SUMPRODUCT(--ISNUMBER(SEARCH(abortion,C88)))&gt;0)</f>
        <v>0</v>
      </c>
      <c r="W88" s="14" cm="1">
        <f t="array" ref="W88">INT(SUMPRODUCT(--ISNUMBER(SEARCH(trump,C88)))&gt;0)</f>
        <v>0</v>
      </c>
      <c r="X88" s="14" cm="1">
        <f t="array" ref="X88">INT(SUMPRODUCT(--ISNUMBER(SEARCH(voting,C88)))&gt;0)</f>
        <v>1</v>
      </c>
      <c r="Y88" s="35" cm="1">
        <f t="array" ref="Y88">INT(SUMPRODUCT(--ISNUMBER(SEARCH(republicantrigger,C88)))&gt;0)</f>
        <v>1</v>
      </c>
      <c r="Z88" s="35" cm="1">
        <f t="array" ref="Z88">INT(SUMPRODUCT(--ISNUMBER(SEARCH(bipartisan,C88)))&gt;0)</f>
        <v>1</v>
      </c>
      <c r="AA88" s="35">
        <f t="shared" si="2"/>
        <v>0</v>
      </c>
      <c r="AB88" s="14"/>
      <c r="AC88" s="30">
        <v>0</v>
      </c>
      <c r="AD88" s="37">
        <v>0</v>
      </c>
    </row>
    <row r="89" spans="1:30" x14ac:dyDescent="0.25">
      <c r="A89" s="36">
        <v>4409</v>
      </c>
      <c r="B89" s="14" t="s">
        <v>8841</v>
      </c>
      <c r="C89" s="31" t="s">
        <v>8842</v>
      </c>
      <c r="D89" s="17">
        <v>44118</v>
      </c>
      <c r="E89" s="14" t="s">
        <v>30</v>
      </c>
      <c r="F89" s="14">
        <v>194</v>
      </c>
      <c r="G89" s="14">
        <v>92</v>
      </c>
      <c r="H89" s="14">
        <v>20</v>
      </c>
      <c r="I89" s="14">
        <v>10</v>
      </c>
      <c r="J89" s="14" t="s">
        <v>31</v>
      </c>
      <c r="K89" s="14" cm="1">
        <f t="array" ref="K89">INT(SUMPRODUCT(--ISNUMBER(SEARCH(economy,C89)))&gt;0)</f>
        <v>0</v>
      </c>
      <c r="L89" s="14" cm="1">
        <f t="array" ref="L89">INT(SUMPRODUCT(--ISNUMBER(SEARCH(healthcare,C89)))&gt;0)</f>
        <v>0</v>
      </c>
      <c r="M89" s="14" cm="1">
        <f t="array" ref="M89">INT(SUMPRODUCT(--ISNUMBER(SEARCH(supreme,C89)))&gt;0)</f>
        <v>0</v>
      </c>
      <c r="N89" s="14" cm="1">
        <f t="array" ref="N89">INT(SUMPRODUCT(--ISNUMBER(SEARCH(covid,C89)))&gt;0)</f>
        <v>0</v>
      </c>
      <c r="O89" s="14" cm="1">
        <f t="array" ref="O89">INT(SUMPRODUCT(--ISNUMBER(SEARCH(violent,C89)))&gt;0)</f>
        <v>0</v>
      </c>
      <c r="P89" s="14" cm="1">
        <f t="array" ref="P89">INT(SUMPRODUCT(--ISNUMBER(SEARCH(foreign,C89)))&gt;0)</f>
        <v>0</v>
      </c>
      <c r="Q89" s="14" cm="1">
        <f t="array" ref="Q89">INT(SUMPRODUCT(--ISNUMBER(SEARCH(gun,C89)))&gt;0)</f>
        <v>0</v>
      </c>
      <c r="R89" s="14" cm="1">
        <f t="array" ref="R89">INT(SUMPRODUCT(--ISNUMBER(SEARCH(race,C89)))&gt;0)</f>
        <v>0</v>
      </c>
      <c r="S89" s="14" cm="1">
        <f t="array" ref="S89">INT(SUMPRODUCT(--ISNUMBER(SEARCH(immigration,C89)))&gt;0)</f>
        <v>0</v>
      </c>
      <c r="T89" s="14" cm="1">
        <f t="array" ref="T89">INT(SUMPRODUCT(--ISNUMBER(SEARCH(econineq,C90)))&gt;0)</f>
        <v>0</v>
      </c>
      <c r="U89" s="14" cm="1">
        <f t="array" ref="U89">INT(SUMPRODUCT(--ISNUMBER(SEARCH(climate,C89)))&gt;0)</f>
        <v>0</v>
      </c>
      <c r="V89" s="14" cm="1">
        <f t="array" ref="V89">INT(SUMPRODUCT(--ISNUMBER(SEARCH(abortion,C89)))&gt;0)</f>
        <v>0</v>
      </c>
      <c r="W89" s="14" cm="1">
        <f t="array" ref="W89">INT(SUMPRODUCT(--ISNUMBER(SEARCH(trump,C89)))&gt;0)</f>
        <v>0</v>
      </c>
      <c r="X89" s="14" cm="1">
        <f t="array" ref="X89">INT(SUMPRODUCT(--ISNUMBER(SEARCH(voting,C89)))&gt;0)</f>
        <v>1</v>
      </c>
      <c r="Y89" s="35" cm="1">
        <f t="array" ref="Y89">INT(SUMPRODUCT(--ISNUMBER(SEARCH(republicantrigger,C89)))&gt;0)</f>
        <v>1</v>
      </c>
      <c r="Z89" s="35" cm="1">
        <f t="array" ref="Z89">INT(SUMPRODUCT(--ISNUMBER(SEARCH(bipartisan,C89)))&gt;0)</f>
        <v>0</v>
      </c>
      <c r="AA89" s="35">
        <f t="shared" si="2"/>
        <v>0</v>
      </c>
      <c r="AB89" s="14"/>
      <c r="AC89" s="30">
        <v>0</v>
      </c>
      <c r="AD89" s="37">
        <v>0</v>
      </c>
    </row>
    <row r="90" spans="1:30" x14ac:dyDescent="0.25">
      <c r="A90" s="36">
        <v>4410</v>
      </c>
      <c r="B90" s="14" t="s">
        <v>8843</v>
      </c>
      <c r="C90" s="31" t="s">
        <v>8844</v>
      </c>
      <c r="D90" s="17">
        <v>44117</v>
      </c>
      <c r="E90" s="14" t="s">
        <v>30</v>
      </c>
      <c r="F90" s="14">
        <v>32</v>
      </c>
      <c r="G90" s="14">
        <v>14</v>
      </c>
      <c r="H90" s="14">
        <v>20</v>
      </c>
      <c r="I90" s="14">
        <v>10</v>
      </c>
      <c r="J90" s="14" t="s">
        <v>31</v>
      </c>
      <c r="K90" s="14" cm="1">
        <f t="array" ref="K90">INT(SUMPRODUCT(--ISNUMBER(SEARCH(economy,C90)))&gt;0)</f>
        <v>0</v>
      </c>
      <c r="L90" s="14" cm="1">
        <f t="array" ref="L90">INT(SUMPRODUCT(--ISNUMBER(SEARCH(healthcare,C90)))&gt;0)</f>
        <v>0</v>
      </c>
      <c r="M90" s="14" cm="1">
        <f t="array" ref="M90">INT(SUMPRODUCT(--ISNUMBER(SEARCH(supreme,C90)))&gt;0)</f>
        <v>0</v>
      </c>
      <c r="N90" s="14" cm="1">
        <f t="array" ref="N90">INT(SUMPRODUCT(--ISNUMBER(SEARCH(covid,C90)))&gt;0)</f>
        <v>0</v>
      </c>
      <c r="O90" s="14" cm="1">
        <f t="array" ref="O90">INT(SUMPRODUCT(--ISNUMBER(SEARCH(violent,C90)))&gt;0)</f>
        <v>0</v>
      </c>
      <c r="P90" s="14" cm="1">
        <f t="array" ref="P90">INT(SUMPRODUCT(--ISNUMBER(SEARCH(foreign,C90)))&gt;0)</f>
        <v>0</v>
      </c>
      <c r="Q90" s="14" cm="1">
        <f t="array" ref="Q90">INT(SUMPRODUCT(--ISNUMBER(SEARCH(gun,C90)))&gt;0)</f>
        <v>0</v>
      </c>
      <c r="R90" s="14" cm="1">
        <f t="array" ref="R90">INT(SUMPRODUCT(--ISNUMBER(SEARCH(race,C90)))&gt;0)</f>
        <v>0</v>
      </c>
      <c r="S90" s="14" cm="1">
        <f t="array" ref="S90">INT(SUMPRODUCT(--ISNUMBER(SEARCH(immigration,C90)))&gt;0)</f>
        <v>0</v>
      </c>
      <c r="T90" s="14" cm="1">
        <f t="array" ref="T90">INT(SUMPRODUCT(--ISNUMBER(SEARCH(econineq,C91)))&gt;0)</f>
        <v>0</v>
      </c>
      <c r="U90" s="14" cm="1">
        <f t="array" ref="U90">INT(SUMPRODUCT(--ISNUMBER(SEARCH(climate,C90)))&gt;0)</f>
        <v>0</v>
      </c>
      <c r="V90" s="14" cm="1">
        <f t="array" ref="V90">INT(SUMPRODUCT(--ISNUMBER(SEARCH(abortion,C90)))&gt;0)</f>
        <v>0</v>
      </c>
      <c r="W90" s="14" cm="1">
        <f t="array" ref="W90">INT(SUMPRODUCT(--ISNUMBER(SEARCH(trump,C90)))&gt;0)</f>
        <v>0</v>
      </c>
      <c r="X90" s="14" cm="1">
        <f t="array" ref="X90">INT(SUMPRODUCT(--ISNUMBER(SEARCH(voting,C90)))&gt;0)</f>
        <v>0</v>
      </c>
      <c r="Y90" s="35" cm="1">
        <f t="array" ref="Y90">INT(SUMPRODUCT(--ISNUMBER(SEARCH(republicantrigger,C90)))&gt;0)</f>
        <v>1</v>
      </c>
      <c r="Z90" s="35" cm="1">
        <f t="array" ref="Z90">INT(SUMPRODUCT(--ISNUMBER(SEARCH(bipartisan,C90)))&gt;0)</f>
        <v>0</v>
      </c>
      <c r="AA90" s="35">
        <f t="shared" si="2"/>
        <v>0</v>
      </c>
      <c r="AB90" s="14"/>
      <c r="AC90" s="30">
        <v>1</v>
      </c>
      <c r="AD90" s="37">
        <v>0</v>
      </c>
    </row>
    <row r="91" spans="1:30" x14ac:dyDescent="0.25">
      <c r="A91" s="36">
        <v>4411</v>
      </c>
      <c r="B91" s="14" t="s">
        <v>8845</v>
      </c>
      <c r="C91" s="31" t="s">
        <v>8846</v>
      </c>
      <c r="D91" s="17">
        <v>44117</v>
      </c>
      <c r="E91" s="14" t="s">
        <v>30</v>
      </c>
      <c r="F91" s="14">
        <v>71</v>
      </c>
      <c r="G91" s="14">
        <v>23</v>
      </c>
      <c r="H91" s="14">
        <v>20</v>
      </c>
      <c r="I91" s="14">
        <v>10</v>
      </c>
      <c r="J91" s="14" t="s">
        <v>31</v>
      </c>
      <c r="K91" s="14" cm="1">
        <f t="array" ref="K91">INT(SUMPRODUCT(--ISNUMBER(SEARCH(economy,C91)))&gt;0)</f>
        <v>0</v>
      </c>
      <c r="L91" s="14" cm="1">
        <f t="array" ref="L91">INT(SUMPRODUCT(--ISNUMBER(SEARCH(healthcare,C91)))&gt;0)</f>
        <v>0</v>
      </c>
      <c r="M91" s="14" cm="1">
        <f t="array" ref="M91">INT(SUMPRODUCT(--ISNUMBER(SEARCH(supreme,C91)))&gt;0)</f>
        <v>0</v>
      </c>
      <c r="N91" s="14" cm="1">
        <f t="array" ref="N91">INT(SUMPRODUCT(--ISNUMBER(SEARCH(covid,C91)))&gt;0)</f>
        <v>0</v>
      </c>
      <c r="O91" s="14" cm="1">
        <f t="array" ref="O91">INT(SUMPRODUCT(--ISNUMBER(SEARCH(violent,C91)))&gt;0)</f>
        <v>0</v>
      </c>
      <c r="P91" s="14" cm="1">
        <f t="array" ref="P91">INT(SUMPRODUCT(--ISNUMBER(SEARCH(foreign,C91)))&gt;0)</f>
        <v>0</v>
      </c>
      <c r="Q91" s="14" cm="1">
        <f t="array" ref="Q91">INT(SUMPRODUCT(--ISNUMBER(SEARCH(gun,C91)))&gt;0)</f>
        <v>0</v>
      </c>
      <c r="R91" s="14" cm="1">
        <f t="array" ref="R91">INT(SUMPRODUCT(--ISNUMBER(SEARCH(race,C91)))&gt;0)</f>
        <v>0</v>
      </c>
      <c r="S91" s="14" cm="1">
        <f t="array" ref="S91">INT(SUMPRODUCT(--ISNUMBER(SEARCH(immigration,C91)))&gt;0)</f>
        <v>0</v>
      </c>
      <c r="T91" s="14" cm="1">
        <f t="array" ref="T91">INT(SUMPRODUCT(--ISNUMBER(SEARCH(econineq,C92)))&gt;0)</f>
        <v>0</v>
      </c>
      <c r="U91" s="14" cm="1">
        <f t="array" ref="U91">INT(SUMPRODUCT(--ISNUMBER(SEARCH(climate,C91)))&gt;0)</f>
        <v>0</v>
      </c>
      <c r="V91" s="14" cm="1">
        <f t="array" ref="V91">INT(SUMPRODUCT(--ISNUMBER(SEARCH(abortion,C91)))&gt;0)</f>
        <v>0</v>
      </c>
      <c r="W91" s="14" cm="1">
        <f t="array" ref="W91">INT(SUMPRODUCT(--ISNUMBER(SEARCH(trump,C91)))&gt;0)</f>
        <v>0</v>
      </c>
      <c r="X91" s="14" cm="1">
        <f t="array" ref="X91">INT(SUMPRODUCT(--ISNUMBER(SEARCH(voting,C91)))&gt;0)</f>
        <v>0</v>
      </c>
      <c r="Y91" s="35" cm="1">
        <f t="array" ref="Y91">INT(SUMPRODUCT(--ISNUMBER(SEARCH(republicantrigger,C91)))&gt;0)</f>
        <v>0</v>
      </c>
      <c r="Z91" s="35" cm="1">
        <f t="array" ref="Z91">INT(SUMPRODUCT(--ISNUMBER(SEARCH(bipartisan,C91)))&gt;0)</f>
        <v>0</v>
      </c>
      <c r="AA91" s="35">
        <f t="shared" si="2"/>
        <v>1</v>
      </c>
      <c r="AB91" s="14"/>
      <c r="AC91" s="30">
        <v>0</v>
      </c>
      <c r="AD91" s="37">
        <v>0</v>
      </c>
    </row>
    <row r="92" spans="1:30" x14ac:dyDescent="0.25">
      <c r="A92" s="36">
        <v>4412</v>
      </c>
      <c r="B92" s="14" t="s">
        <v>8847</v>
      </c>
      <c r="C92" s="31" t="s">
        <v>8848</v>
      </c>
      <c r="D92" s="17">
        <v>44117</v>
      </c>
      <c r="E92" s="14" t="s">
        <v>30</v>
      </c>
      <c r="F92" s="14">
        <v>51</v>
      </c>
      <c r="G92" s="14">
        <v>28</v>
      </c>
      <c r="H92" s="14">
        <v>20</v>
      </c>
      <c r="I92" s="14">
        <v>10</v>
      </c>
      <c r="J92" s="14" t="s">
        <v>31</v>
      </c>
      <c r="K92" s="14" cm="1">
        <f t="array" ref="K92">INT(SUMPRODUCT(--ISNUMBER(SEARCH(economy,C92)))&gt;0)</f>
        <v>1</v>
      </c>
      <c r="L92" s="14" cm="1">
        <f t="array" ref="L92">INT(SUMPRODUCT(--ISNUMBER(SEARCH(healthcare,C92)))&gt;0)</f>
        <v>0</v>
      </c>
      <c r="M92" s="14" cm="1">
        <f t="array" ref="M92">INT(SUMPRODUCT(--ISNUMBER(SEARCH(supreme,C92)))&gt;0)</f>
        <v>0</v>
      </c>
      <c r="N92" s="14" cm="1">
        <f t="array" ref="N92">INT(SUMPRODUCT(--ISNUMBER(SEARCH(covid,C92)))&gt;0)</f>
        <v>0</v>
      </c>
      <c r="O92" s="14" cm="1">
        <f t="array" ref="O92">INT(SUMPRODUCT(--ISNUMBER(SEARCH(violent,C92)))&gt;0)</f>
        <v>0</v>
      </c>
      <c r="P92" s="14" cm="1">
        <f t="array" ref="P92">INT(SUMPRODUCT(--ISNUMBER(SEARCH(foreign,C92)))&gt;0)</f>
        <v>0</v>
      </c>
      <c r="Q92" s="14" cm="1">
        <f t="array" ref="Q92">INT(SUMPRODUCT(--ISNUMBER(SEARCH(gun,C92)))&gt;0)</f>
        <v>0</v>
      </c>
      <c r="R92" s="14" cm="1">
        <f t="array" ref="R92">INT(SUMPRODUCT(--ISNUMBER(SEARCH(race,C92)))&gt;0)</f>
        <v>0</v>
      </c>
      <c r="S92" s="14" cm="1">
        <f t="array" ref="S92">INT(SUMPRODUCT(--ISNUMBER(SEARCH(immigration,C92)))&gt;0)</f>
        <v>0</v>
      </c>
      <c r="T92" s="14" cm="1">
        <f t="array" ref="T92">INT(SUMPRODUCT(--ISNUMBER(SEARCH(econineq,C93)))&gt;0)</f>
        <v>0</v>
      </c>
      <c r="U92" s="14" cm="1">
        <f t="array" ref="U92">INT(SUMPRODUCT(--ISNUMBER(SEARCH(climate,C92)))&gt;0)</f>
        <v>0</v>
      </c>
      <c r="V92" s="14" cm="1">
        <f t="array" ref="V92">INT(SUMPRODUCT(--ISNUMBER(SEARCH(abortion,C92)))&gt;0)</f>
        <v>0</v>
      </c>
      <c r="W92" s="14" cm="1">
        <f t="array" ref="W92">INT(SUMPRODUCT(--ISNUMBER(SEARCH(trump,C92)))&gt;0)</f>
        <v>0</v>
      </c>
      <c r="X92" s="14" cm="1">
        <f t="array" ref="X92">INT(SUMPRODUCT(--ISNUMBER(SEARCH(voting,C92)))&gt;0)</f>
        <v>0</v>
      </c>
      <c r="Y92" s="35" cm="1">
        <f t="array" ref="Y92">INT(SUMPRODUCT(--ISNUMBER(SEARCH(republicantrigger,C92)))&gt;0)</f>
        <v>1</v>
      </c>
      <c r="Z92" s="35" cm="1">
        <f t="array" ref="Z92">INT(SUMPRODUCT(--ISNUMBER(SEARCH(bipartisan,C92)))&gt;0)</f>
        <v>0</v>
      </c>
      <c r="AA92" s="35">
        <f t="shared" si="2"/>
        <v>0</v>
      </c>
      <c r="AB92" s="14"/>
      <c r="AC92" s="30">
        <v>0</v>
      </c>
      <c r="AD92" s="37">
        <v>0</v>
      </c>
    </row>
    <row r="93" spans="1:30" x14ac:dyDescent="0.25">
      <c r="A93" s="36">
        <v>4413</v>
      </c>
      <c r="B93" s="14" t="s">
        <v>8849</v>
      </c>
      <c r="C93" s="31" t="s">
        <v>8850</v>
      </c>
      <c r="D93" s="17">
        <v>44117</v>
      </c>
      <c r="E93" s="14" t="s">
        <v>30</v>
      </c>
      <c r="F93" s="14">
        <v>340</v>
      </c>
      <c r="G93" s="14">
        <v>66</v>
      </c>
      <c r="H93" s="14">
        <v>20</v>
      </c>
      <c r="I93" s="14">
        <v>10</v>
      </c>
      <c r="J93" s="14" t="s">
        <v>31</v>
      </c>
      <c r="K93" s="14" cm="1">
        <f t="array" ref="K93">INT(SUMPRODUCT(--ISNUMBER(SEARCH(economy,C93)))&gt;0)</f>
        <v>0</v>
      </c>
      <c r="L93" s="14" cm="1">
        <f t="array" ref="L93">INT(SUMPRODUCT(--ISNUMBER(SEARCH(healthcare,C93)))&gt;0)</f>
        <v>0</v>
      </c>
      <c r="M93" s="14" cm="1">
        <f t="array" ref="M93">INT(SUMPRODUCT(--ISNUMBER(SEARCH(supreme,C93)))&gt;0)</f>
        <v>1</v>
      </c>
      <c r="N93" s="14" cm="1">
        <f t="array" ref="N93">INT(SUMPRODUCT(--ISNUMBER(SEARCH(covid,C93)))&gt;0)</f>
        <v>0</v>
      </c>
      <c r="O93" s="14" cm="1">
        <f t="array" ref="O93">INT(SUMPRODUCT(--ISNUMBER(SEARCH(violent,C93)))&gt;0)</f>
        <v>0</v>
      </c>
      <c r="P93" s="14" cm="1">
        <f t="array" ref="P93">INT(SUMPRODUCT(--ISNUMBER(SEARCH(foreign,C93)))&gt;0)</f>
        <v>0</v>
      </c>
      <c r="Q93" s="14" cm="1">
        <f t="array" ref="Q93">INT(SUMPRODUCT(--ISNUMBER(SEARCH(gun,C93)))&gt;0)</f>
        <v>0</v>
      </c>
      <c r="R93" s="14" cm="1">
        <f t="array" ref="R93">INT(SUMPRODUCT(--ISNUMBER(SEARCH(race,C93)))&gt;0)</f>
        <v>0</v>
      </c>
      <c r="S93" s="14" cm="1">
        <f t="array" ref="S93">INT(SUMPRODUCT(--ISNUMBER(SEARCH(immigration,C93)))&gt;0)</f>
        <v>0</v>
      </c>
      <c r="T93" s="14" cm="1">
        <f t="array" ref="T93">INT(SUMPRODUCT(--ISNUMBER(SEARCH(econineq,C94)))&gt;0)</f>
        <v>0</v>
      </c>
      <c r="U93" s="14" cm="1">
        <f t="array" ref="U93">INT(SUMPRODUCT(--ISNUMBER(SEARCH(climate,C93)))&gt;0)</f>
        <v>0</v>
      </c>
      <c r="V93" s="14" cm="1">
        <f t="array" ref="V93">INT(SUMPRODUCT(--ISNUMBER(SEARCH(abortion,C93)))&gt;0)</f>
        <v>0</v>
      </c>
      <c r="W93" s="14" cm="1">
        <f t="array" ref="W93">INT(SUMPRODUCT(--ISNUMBER(SEARCH(trump,C93)))&gt;0)</f>
        <v>0</v>
      </c>
      <c r="X93" s="14" cm="1">
        <f t="array" ref="X93">INT(SUMPRODUCT(--ISNUMBER(SEARCH(voting,C93)))&gt;0)</f>
        <v>1</v>
      </c>
      <c r="Y93" s="35" cm="1">
        <f t="array" ref="Y93">INT(SUMPRODUCT(--ISNUMBER(SEARCH(republicantrigger,C93)))&gt;0)</f>
        <v>0</v>
      </c>
      <c r="Z93" s="35" cm="1">
        <f t="array" ref="Z93">INT(SUMPRODUCT(--ISNUMBER(SEARCH(bipartisan,C93)))&gt;0)</f>
        <v>0</v>
      </c>
      <c r="AA93" s="35">
        <f t="shared" si="2"/>
        <v>0</v>
      </c>
      <c r="AB93" s="14"/>
      <c r="AC93" s="30">
        <v>0</v>
      </c>
      <c r="AD93" s="37">
        <v>0</v>
      </c>
    </row>
    <row r="94" spans="1:30" x14ac:dyDescent="0.25">
      <c r="A94" s="36">
        <v>4414</v>
      </c>
      <c r="B94" s="14" t="s">
        <v>8851</v>
      </c>
      <c r="C94" s="31" t="s">
        <v>8852</v>
      </c>
      <c r="D94" s="17">
        <v>44117</v>
      </c>
      <c r="E94" s="14" t="s">
        <v>30</v>
      </c>
      <c r="F94" s="14">
        <v>43</v>
      </c>
      <c r="G94" s="14">
        <v>21</v>
      </c>
      <c r="H94" s="14">
        <v>20</v>
      </c>
      <c r="I94" s="14">
        <v>10</v>
      </c>
      <c r="J94" s="14" t="s">
        <v>31</v>
      </c>
      <c r="K94" s="14" cm="1">
        <f t="array" ref="K94">INT(SUMPRODUCT(--ISNUMBER(SEARCH(economy,C94)))&gt;0)</f>
        <v>0</v>
      </c>
      <c r="L94" s="14" cm="1">
        <f t="array" ref="L94">INT(SUMPRODUCT(--ISNUMBER(SEARCH(healthcare,C94)))&gt;0)</f>
        <v>0</v>
      </c>
      <c r="M94" s="14" cm="1">
        <f t="array" ref="M94">INT(SUMPRODUCT(--ISNUMBER(SEARCH(supreme,C94)))&gt;0)</f>
        <v>1</v>
      </c>
      <c r="N94" s="14" cm="1">
        <f t="array" ref="N94">INT(SUMPRODUCT(--ISNUMBER(SEARCH(covid,C94)))&gt;0)</f>
        <v>0</v>
      </c>
      <c r="O94" s="14" cm="1">
        <f t="array" ref="O94">INT(SUMPRODUCT(--ISNUMBER(SEARCH(violent,C94)))&gt;0)</f>
        <v>0</v>
      </c>
      <c r="P94" s="14" cm="1">
        <f t="array" ref="P94">INT(SUMPRODUCT(--ISNUMBER(SEARCH(foreign,C94)))&gt;0)</f>
        <v>0</v>
      </c>
      <c r="Q94" s="14" cm="1">
        <f t="array" ref="Q94">INT(SUMPRODUCT(--ISNUMBER(SEARCH(gun,C94)))&gt;0)</f>
        <v>0</v>
      </c>
      <c r="R94" s="14" cm="1">
        <f t="array" ref="R94">INT(SUMPRODUCT(--ISNUMBER(SEARCH(race,C94)))&gt;0)</f>
        <v>0</v>
      </c>
      <c r="S94" s="14" cm="1">
        <f t="array" ref="S94">INT(SUMPRODUCT(--ISNUMBER(SEARCH(immigration,C94)))&gt;0)</f>
        <v>0</v>
      </c>
      <c r="T94" s="14" cm="1">
        <f t="array" ref="T94">INT(SUMPRODUCT(--ISNUMBER(SEARCH(econineq,C95)))&gt;0)</f>
        <v>0</v>
      </c>
      <c r="U94" s="14" cm="1">
        <f t="array" ref="U94">INT(SUMPRODUCT(--ISNUMBER(SEARCH(climate,C94)))&gt;0)</f>
        <v>0</v>
      </c>
      <c r="V94" s="14" cm="1">
        <f t="array" ref="V94">INT(SUMPRODUCT(--ISNUMBER(SEARCH(abortion,C94)))&gt;0)</f>
        <v>0</v>
      </c>
      <c r="W94" s="14" cm="1">
        <f t="array" ref="W94">INT(SUMPRODUCT(--ISNUMBER(SEARCH(trump,C94)))&gt;0)</f>
        <v>0</v>
      </c>
      <c r="X94" s="14" cm="1">
        <f t="array" ref="X94">INT(SUMPRODUCT(--ISNUMBER(SEARCH(voting,C94)))&gt;0)</f>
        <v>1</v>
      </c>
      <c r="Y94" s="35" cm="1">
        <f t="array" ref="Y94">INT(SUMPRODUCT(--ISNUMBER(SEARCH(republicantrigger,C94)))&gt;0)</f>
        <v>1</v>
      </c>
      <c r="Z94" s="35" cm="1">
        <f t="array" ref="Z94">INT(SUMPRODUCT(--ISNUMBER(SEARCH(bipartisan,C94)))&gt;0)</f>
        <v>0</v>
      </c>
      <c r="AA94" s="35">
        <f t="shared" si="2"/>
        <v>0</v>
      </c>
      <c r="AB94" s="14"/>
      <c r="AC94" s="30">
        <v>0</v>
      </c>
      <c r="AD94" s="37">
        <v>0</v>
      </c>
    </row>
    <row r="95" spans="1:30" x14ac:dyDescent="0.25">
      <c r="A95" s="36">
        <v>4415</v>
      </c>
      <c r="B95" s="14" t="s">
        <v>8853</v>
      </c>
      <c r="C95" s="31" t="s">
        <v>8854</v>
      </c>
      <c r="D95" s="17">
        <v>44117</v>
      </c>
      <c r="E95" s="14" t="s">
        <v>30</v>
      </c>
      <c r="F95" s="14">
        <v>73</v>
      </c>
      <c r="G95" s="14">
        <v>49</v>
      </c>
      <c r="H95" s="14">
        <v>20</v>
      </c>
      <c r="I95" s="14">
        <v>10</v>
      </c>
      <c r="J95" s="14" t="s">
        <v>31</v>
      </c>
      <c r="K95" s="14" cm="1">
        <f t="array" ref="K95">INT(SUMPRODUCT(--ISNUMBER(SEARCH(economy,C95)))&gt;0)</f>
        <v>0</v>
      </c>
      <c r="L95" s="14" cm="1">
        <f t="array" ref="L95">INT(SUMPRODUCT(--ISNUMBER(SEARCH(healthcare,C95)))&gt;0)</f>
        <v>0</v>
      </c>
      <c r="M95" s="14" cm="1">
        <f t="array" ref="M95">INT(SUMPRODUCT(--ISNUMBER(SEARCH(supreme,C95)))&gt;0)</f>
        <v>0</v>
      </c>
      <c r="N95" s="14" cm="1">
        <f t="array" ref="N95">INT(SUMPRODUCT(--ISNUMBER(SEARCH(covid,C95)))&gt;0)</f>
        <v>0</v>
      </c>
      <c r="O95" s="14" cm="1">
        <f t="array" ref="O95">INT(SUMPRODUCT(--ISNUMBER(SEARCH(violent,C95)))&gt;0)</f>
        <v>0</v>
      </c>
      <c r="P95" s="14" cm="1">
        <f t="array" ref="P95">INT(SUMPRODUCT(--ISNUMBER(SEARCH(foreign,C95)))&gt;0)</f>
        <v>0</v>
      </c>
      <c r="Q95" s="14" cm="1">
        <f t="array" ref="Q95">INT(SUMPRODUCT(--ISNUMBER(SEARCH(gun,C95)))&gt;0)</f>
        <v>0</v>
      </c>
      <c r="R95" s="14" cm="1">
        <f t="array" ref="R95">INT(SUMPRODUCT(--ISNUMBER(SEARCH(race,C95)))&gt;0)</f>
        <v>0</v>
      </c>
      <c r="S95" s="14" cm="1">
        <f t="array" ref="S95">INT(SUMPRODUCT(--ISNUMBER(SEARCH(immigration,C95)))&gt;0)</f>
        <v>0</v>
      </c>
      <c r="T95" s="14" cm="1">
        <f t="array" ref="T95">INT(SUMPRODUCT(--ISNUMBER(SEARCH(econineq,C96)))&gt;0)</f>
        <v>0</v>
      </c>
      <c r="U95" s="14" cm="1">
        <f t="array" ref="U95">INT(SUMPRODUCT(--ISNUMBER(SEARCH(climate,C95)))&gt;0)</f>
        <v>0</v>
      </c>
      <c r="V95" s="14" cm="1">
        <f t="array" ref="V95">INT(SUMPRODUCT(--ISNUMBER(SEARCH(abortion,C95)))&gt;0)</f>
        <v>0</v>
      </c>
      <c r="W95" s="14" cm="1">
        <f t="array" ref="W95">INT(SUMPRODUCT(--ISNUMBER(SEARCH(trump,C95)))&gt;0)</f>
        <v>0</v>
      </c>
      <c r="X95" s="14" cm="1">
        <f t="array" ref="X95">INT(SUMPRODUCT(--ISNUMBER(SEARCH(voting,C95)))&gt;0)</f>
        <v>0</v>
      </c>
      <c r="Y95" s="35" cm="1">
        <f t="array" ref="Y95">INT(SUMPRODUCT(--ISNUMBER(SEARCH(republicantrigger,C95)))&gt;0)</f>
        <v>1</v>
      </c>
      <c r="Z95" s="35" cm="1">
        <f t="array" ref="Z95">INT(SUMPRODUCT(--ISNUMBER(SEARCH(bipartisan,C95)))&gt;0)</f>
        <v>0</v>
      </c>
      <c r="AA95" s="35">
        <f t="shared" si="2"/>
        <v>0</v>
      </c>
      <c r="AB95" s="14"/>
      <c r="AC95" s="30">
        <v>0</v>
      </c>
      <c r="AD95" s="37">
        <v>0</v>
      </c>
    </row>
    <row r="96" spans="1:30" x14ac:dyDescent="0.25">
      <c r="A96" s="36">
        <v>4416</v>
      </c>
      <c r="B96" s="14" t="s">
        <v>8855</v>
      </c>
      <c r="C96" s="31" t="s">
        <v>8856</v>
      </c>
      <c r="D96" s="17">
        <v>44117</v>
      </c>
      <c r="E96" s="14" t="s">
        <v>30</v>
      </c>
      <c r="F96" s="14">
        <v>41</v>
      </c>
      <c r="G96" s="14">
        <v>11</v>
      </c>
      <c r="H96" s="14">
        <v>20</v>
      </c>
      <c r="I96" s="14">
        <v>10</v>
      </c>
      <c r="J96" s="14" t="s">
        <v>31</v>
      </c>
      <c r="K96" s="14" cm="1">
        <f t="array" ref="K96">INT(SUMPRODUCT(--ISNUMBER(SEARCH(economy,C96)))&gt;0)</f>
        <v>0</v>
      </c>
      <c r="L96" s="14" cm="1">
        <f t="array" ref="L96">INT(SUMPRODUCT(--ISNUMBER(SEARCH(healthcare,C96)))&gt;0)</f>
        <v>1</v>
      </c>
      <c r="M96" s="14" cm="1">
        <f t="array" ref="M96">INT(SUMPRODUCT(--ISNUMBER(SEARCH(supreme,C96)))&gt;0)</f>
        <v>0</v>
      </c>
      <c r="N96" s="14" cm="1">
        <f t="array" ref="N96">INT(SUMPRODUCT(--ISNUMBER(SEARCH(covid,C96)))&gt;0)</f>
        <v>0</v>
      </c>
      <c r="O96" s="14" cm="1">
        <f t="array" ref="O96">INT(SUMPRODUCT(--ISNUMBER(SEARCH(violent,C96)))&gt;0)</f>
        <v>0</v>
      </c>
      <c r="P96" s="14" cm="1">
        <f t="array" ref="P96">INT(SUMPRODUCT(--ISNUMBER(SEARCH(foreign,C96)))&gt;0)</f>
        <v>0</v>
      </c>
      <c r="Q96" s="14" cm="1">
        <f t="array" ref="Q96">INT(SUMPRODUCT(--ISNUMBER(SEARCH(gun,C96)))&gt;0)</f>
        <v>0</v>
      </c>
      <c r="R96" s="14" cm="1">
        <f t="array" ref="R96">INT(SUMPRODUCT(--ISNUMBER(SEARCH(race,C96)))&gt;0)</f>
        <v>0</v>
      </c>
      <c r="S96" s="14" cm="1">
        <f t="array" ref="S96">INT(SUMPRODUCT(--ISNUMBER(SEARCH(immigration,C96)))&gt;0)</f>
        <v>0</v>
      </c>
      <c r="T96" s="14" cm="1">
        <f t="array" ref="T96">INT(SUMPRODUCT(--ISNUMBER(SEARCH(econineq,C97)))&gt;0)</f>
        <v>0</v>
      </c>
      <c r="U96" s="14" cm="1">
        <f t="array" ref="U96">INT(SUMPRODUCT(--ISNUMBER(SEARCH(climate,C96)))&gt;0)</f>
        <v>0</v>
      </c>
      <c r="V96" s="14" cm="1">
        <f t="array" ref="V96">INT(SUMPRODUCT(--ISNUMBER(SEARCH(abortion,C96)))&gt;0)</f>
        <v>0</v>
      </c>
      <c r="W96" s="14" cm="1">
        <f t="array" ref="W96">INT(SUMPRODUCT(--ISNUMBER(SEARCH(trump,C96)))&gt;0)</f>
        <v>0</v>
      </c>
      <c r="X96" s="14" cm="1">
        <f t="array" ref="X96">INT(SUMPRODUCT(--ISNUMBER(SEARCH(voting,C96)))&gt;0)</f>
        <v>0</v>
      </c>
      <c r="Y96" s="35" cm="1">
        <f t="array" ref="Y96">INT(SUMPRODUCT(--ISNUMBER(SEARCH(republicantrigger,C96)))&gt;0)</f>
        <v>0</v>
      </c>
      <c r="Z96" s="35" cm="1">
        <f t="array" ref="Z96">INT(SUMPRODUCT(--ISNUMBER(SEARCH(bipartisan,C96)))&gt;0)</f>
        <v>0</v>
      </c>
      <c r="AA96" s="35">
        <f t="shared" si="2"/>
        <v>0</v>
      </c>
      <c r="AB96" s="14"/>
      <c r="AC96" s="30">
        <v>0</v>
      </c>
      <c r="AD96" s="37">
        <v>0</v>
      </c>
    </row>
    <row r="97" spans="1:30" x14ac:dyDescent="0.25">
      <c r="A97" s="36">
        <v>4417</v>
      </c>
      <c r="B97" s="14" t="s">
        <v>8857</v>
      </c>
      <c r="C97" s="31" t="s">
        <v>8858</v>
      </c>
      <c r="D97" s="17">
        <v>44117</v>
      </c>
      <c r="E97" s="14" t="s">
        <v>30</v>
      </c>
      <c r="F97" s="14">
        <v>38</v>
      </c>
      <c r="G97" s="14">
        <v>14</v>
      </c>
      <c r="H97" s="14">
        <v>20</v>
      </c>
      <c r="I97" s="14">
        <v>10</v>
      </c>
      <c r="J97" s="14" t="s">
        <v>31</v>
      </c>
      <c r="K97" s="14" cm="1">
        <f t="array" ref="K97">INT(SUMPRODUCT(--ISNUMBER(SEARCH(economy,C97)))&gt;0)</f>
        <v>0</v>
      </c>
      <c r="L97" s="14" cm="1">
        <f t="array" ref="L97">INT(SUMPRODUCT(--ISNUMBER(SEARCH(healthcare,C97)))&gt;0)</f>
        <v>1</v>
      </c>
      <c r="M97" s="14" cm="1">
        <f t="array" ref="M97">INT(SUMPRODUCT(--ISNUMBER(SEARCH(supreme,C97)))&gt;0)</f>
        <v>0</v>
      </c>
      <c r="N97" s="14" cm="1">
        <f t="array" ref="N97">INT(SUMPRODUCT(--ISNUMBER(SEARCH(covid,C97)))&gt;0)</f>
        <v>0</v>
      </c>
      <c r="O97" s="14" cm="1">
        <f t="array" ref="O97">INT(SUMPRODUCT(--ISNUMBER(SEARCH(violent,C97)))&gt;0)</f>
        <v>0</v>
      </c>
      <c r="P97" s="14" cm="1">
        <f t="array" ref="P97">INT(SUMPRODUCT(--ISNUMBER(SEARCH(foreign,C97)))&gt;0)</f>
        <v>0</v>
      </c>
      <c r="Q97" s="14" cm="1">
        <f t="array" ref="Q97">INT(SUMPRODUCT(--ISNUMBER(SEARCH(gun,C97)))&gt;0)</f>
        <v>0</v>
      </c>
      <c r="R97" s="14" cm="1">
        <f t="array" ref="R97">INT(SUMPRODUCT(--ISNUMBER(SEARCH(race,C97)))&gt;0)</f>
        <v>0</v>
      </c>
      <c r="S97" s="14" cm="1">
        <f t="array" ref="S97">INT(SUMPRODUCT(--ISNUMBER(SEARCH(immigration,C97)))&gt;0)</f>
        <v>0</v>
      </c>
      <c r="T97" s="14" cm="1">
        <f t="array" ref="T97">INT(SUMPRODUCT(--ISNUMBER(SEARCH(econineq,C98)))&gt;0)</f>
        <v>0</v>
      </c>
      <c r="U97" s="14" cm="1">
        <f t="array" ref="U97">INT(SUMPRODUCT(--ISNUMBER(SEARCH(climate,C97)))&gt;0)</f>
        <v>0</v>
      </c>
      <c r="V97" s="14" cm="1">
        <f t="array" ref="V97">INT(SUMPRODUCT(--ISNUMBER(SEARCH(abortion,C97)))&gt;0)</f>
        <v>0</v>
      </c>
      <c r="W97" s="14" cm="1">
        <f t="array" ref="W97">INT(SUMPRODUCT(--ISNUMBER(SEARCH(trump,C97)))&gt;0)</f>
        <v>0</v>
      </c>
      <c r="X97" s="14" cm="1">
        <f t="array" ref="X97">INT(SUMPRODUCT(--ISNUMBER(SEARCH(voting,C97)))&gt;0)</f>
        <v>1</v>
      </c>
      <c r="Y97" s="35" cm="1">
        <f t="array" ref="Y97">INT(SUMPRODUCT(--ISNUMBER(SEARCH(republicantrigger,C97)))&gt;0)</f>
        <v>0</v>
      </c>
      <c r="Z97" s="35" cm="1">
        <f t="array" ref="Z97">INT(SUMPRODUCT(--ISNUMBER(SEARCH(bipartisan,C97)))&gt;0)</f>
        <v>0</v>
      </c>
      <c r="AA97" s="35">
        <f t="shared" si="2"/>
        <v>0</v>
      </c>
      <c r="AB97" s="14"/>
      <c r="AC97" s="30">
        <v>0</v>
      </c>
      <c r="AD97" s="37">
        <v>0</v>
      </c>
    </row>
    <row r="98" spans="1:30" x14ac:dyDescent="0.25">
      <c r="A98" s="36">
        <v>4418</v>
      </c>
      <c r="B98" s="14" t="s">
        <v>8859</v>
      </c>
      <c r="C98" s="31" t="s">
        <v>8860</v>
      </c>
      <c r="D98" s="17">
        <v>44117</v>
      </c>
      <c r="E98" s="14" t="s">
        <v>30</v>
      </c>
      <c r="F98" s="14">
        <v>76</v>
      </c>
      <c r="G98" s="14">
        <v>47</v>
      </c>
      <c r="H98" s="14">
        <v>20</v>
      </c>
      <c r="I98" s="14">
        <v>10</v>
      </c>
      <c r="J98" s="14" t="s">
        <v>31</v>
      </c>
      <c r="K98" s="14" cm="1">
        <f t="array" ref="K98">INT(SUMPRODUCT(--ISNUMBER(SEARCH(economy,C98)))&gt;0)</f>
        <v>0</v>
      </c>
      <c r="L98" s="14" cm="1">
        <f t="array" ref="L98">INT(SUMPRODUCT(--ISNUMBER(SEARCH(healthcare,C98)))&gt;0)</f>
        <v>0</v>
      </c>
      <c r="M98" s="14" cm="1">
        <f t="array" ref="M98">INT(SUMPRODUCT(--ISNUMBER(SEARCH(supreme,C98)))&gt;0)</f>
        <v>0</v>
      </c>
      <c r="N98" s="14" cm="1">
        <f t="array" ref="N98">INT(SUMPRODUCT(--ISNUMBER(SEARCH(covid,C98)))&gt;0)</f>
        <v>1</v>
      </c>
      <c r="O98" s="14" cm="1">
        <f t="array" ref="O98">INT(SUMPRODUCT(--ISNUMBER(SEARCH(violent,C98)))&gt;0)</f>
        <v>0</v>
      </c>
      <c r="P98" s="14" cm="1">
        <f t="array" ref="P98">INT(SUMPRODUCT(--ISNUMBER(SEARCH(foreign,C98)))&gt;0)</f>
        <v>0</v>
      </c>
      <c r="Q98" s="14" cm="1">
        <f t="array" ref="Q98">INT(SUMPRODUCT(--ISNUMBER(SEARCH(gun,C98)))&gt;0)</f>
        <v>0</v>
      </c>
      <c r="R98" s="14" cm="1">
        <f t="array" ref="R98">INT(SUMPRODUCT(--ISNUMBER(SEARCH(race,C98)))&gt;0)</f>
        <v>0</v>
      </c>
      <c r="S98" s="14" cm="1">
        <f t="array" ref="S98">INT(SUMPRODUCT(--ISNUMBER(SEARCH(immigration,C98)))&gt;0)</f>
        <v>0</v>
      </c>
      <c r="T98" s="14" cm="1">
        <f t="array" ref="T98">INT(SUMPRODUCT(--ISNUMBER(SEARCH(econineq,C99)))&gt;0)</f>
        <v>0</v>
      </c>
      <c r="U98" s="14" cm="1">
        <f t="array" ref="U98">INT(SUMPRODUCT(--ISNUMBER(SEARCH(climate,C98)))&gt;0)</f>
        <v>0</v>
      </c>
      <c r="V98" s="14" cm="1">
        <f t="array" ref="V98">INT(SUMPRODUCT(--ISNUMBER(SEARCH(abortion,C98)))&gt;0)</f>
        <v>0</v>
      </c>
      <c r="W98" s="14" cm="1">
        <f t="array" ref="W98">INT(SUMPRODUCT(--ISNUMBER(SEARCH(trump,C98)))&gt;0)</f>
        <v>0</v>
      </c>
      <c r="X98" s="14" cm="1">
        <f t="array" ref="X98">INT(SUMPRODUCT(--ISNUMBER(SEARCH(voting,C98)))&gt;0)</f>
        <v>1</v>
      </c>
      <c r="Y98" s="35" cm="1">
        <f t="array" ref="Y98">INT(SUMPRODUCT(--ISNUMBER(SEARCH(republicantrigger,C98)))&gt;0)</f>
        <v>1</v>
      </c>
      <c r="Z98" s="35" cm="1">
        <f t="array" ref="Z98">INT(SUMPRODUCT(--ISNUMBER(SEARCH(bipartisan,C98)))&gt;0)</f>
        <v>0</v>
      </c>
      <c r="AA98" s="35">
        <f t="shared" ref="AA98:AA129" si="3">INT(IF(COUNTIF(K98:Z98,1)=0,"1","0"))</f>
        <v>0</v>
      </c>
      <c r="AB98" s="14"/>
      <c r="AC98" s="30">
        <v>0</v>
      </c>
      <c r="AD98" s="37">
        <v>0</v>
      </c>
    </row>
    <row r="99" spans="1:30" x14ac:dyDescent="0.25">
      <c r="A99" s="36">
        <v>4419</v>
      </c>
      <c r="B99" s="14" t="s">
        <v>8861</v>
      </c>
      <c r="C99" s="31" t="s">
        <v>8862</v>
      </c>
      <c r="D99" s="17">
        <v>44117</v>
      </c>
      <c r="E99" s="14" t="s">
        <v>30</v>
      </c>
      <c r="F99" s="14">
        <v>49</v>
      </c>
      <c r="G99" s="14">
        <v>30</v>
      </c>
      <c r="H99" s="14">
        <v>20</v>
      </c>
      <c r="I99" s="14">
        <v>10</v>
      </c>
      <c r="J99" s="14" t="s">
        <v>31</v>
      </c>
      <c r="K99" s="14" cm="1">
        <f t="array" ref="K99">INT(SUMPRODUCT(--ISNUMBER(SEARCH(economy,C99)))&gt;0)</f>
        <v>0</v>
      </c>
      <c r="L99" s="14" cm="1">
        <f t="array" ref="L99">INT(SUMPRODUCT(--ISNUMBER(SEARCH(healthcare,C99)))&gt;0)</f>
        <v>0</v>
      </c>
      <c r="M99" s="14" cm="1">
        <f t="array" ref="M99">INT(SUMPRODUCT(--ISNUMBER(SEARCH(supreme,C99)))&gt;0)</f>
        <v>0</v>
      </c>
      <c r="N99" s="14" cm="1">
        <f t="array" ref="N99">INT(SUMPRODUCT(--ISNUMBER(SEARCH(covid,C99)))&gt;0)</f>
        <v>1</v>
      </c>
      <c r="O99" s="14" cm="1">
        <f t="array" ref="O99">INT(SUMPRODUCT(--ISNUMBER(SEARCH(violent,C99)))&gt;0)</f>
        <v>0</v>
      </c>
      <c r="P99" s="14" cm="1">
        <f t="array" ref="P99">INT(SUMPRODUCT(--ISNUMBER(SEARCH(foreign,C99)))&gt;0)</f>
        <v>0</v>
      </c>
      <c r="Q99" s="14" cm="1">
        <f t="array" ref="Q99">INT(SUMPRODUCT(--ISNUMBER(SEARCH(gun,C99)))&gt;0)</f>
        <v>0</v>
      </c>
      <c r="R99" s="14" cm="1">
        <f t="array" ref="R99">INT(SUMPRODUCT(--ISNUMBER(SEARCH(race,C99)))&gt;0)</f>
        <v>0</v>
      </c>
      <c r="S99" s="14" cm="1">
        <f t="array" ref="S99">INT(SUMPRODUCT(--ISNUMBER(SEARCH(immigration,C99)))&gt;0)</f>
        <v>0</v>
      </c>
      <c r="T99" s="14" cm="1">
        <f t="array" ref="T99">INT(SUMPRODUCT(--ISNUMBER(SEARCH(econineq,C100)))&gt;0)</f>
        <v>0</v>
      </c>
      <c r="U99" s="14" cm="1">
        <f t="array" ref="U99">INT(SUMPRODUCT(--ISNUMBER(SEARCH(climate,C99)))&gt;0)</f>
        <v>0</v>
      </c>
      <c r="V99" s="14" cm="1">
        <f t="array" ref="V99">INT(SUMPRODUCT(--ISNUMBER(SEARCH(abortion,C99)))&gt;0)</f>
        <v>0</v>
      </c>
      <c r="W99" s="14" cm="1">
        <f t="array" ref="W99">INT(SUMPRODUCT(--ISNUMBER(SEARCH(trump,C99)))&gt;0)</f>
        <v>0</v>
      </c>
      <c r="X99" s="14" cm="1">
        <f t="array" ref="X99">INT(SUMPRODUCT(--ISNUMBER(SEARCH(voting,C99)))&gt;0)</f>
        <v>1</v>
      </c>
      <c r="Y99" s="35" cm="1">
        <f t="array" ref="Y99">INT(SUMPRODUCT(--ISNUMBER(SEARCH(republicantrigger,C99)))&gt;0)</f>
        <v>1</v>
      </c>
      <c r="Z99" s="35" cm="1">
        <f t="array" ref="Z99">INT(SUMPRODUCT(--ISNUMBER(SEARCH(bipartisan,C99)))&gt;0)</f>
        <v>0</v>
      </c>
      <c r="AA99" s="35">
        <f t="shared" si="3"/>
        <v>0</v>
      </c>
      <c r="AB99" s="14"/>
      <c r="AC99" s="30">
        <v>0</v>
      </c>
      <c r="AD99" s="37">
        <v>0</v>
      </c>
    </row>
    <row r="100" spans="1:30" x14ac:dyDescent="0.25">
      <c r="A100" s="36">
        <v>4420</v>
      </c>
      <c r="B100" s="14" t="s">
        <v>8863</v>
      </c>
      <c r="C100" s="31" t="s">
        <v>8864</v>
      </c>
      <c r="D100" s="17">
        <v>44117</v>
      </c>
      <c r="E100" s="14" t="s">
        <v>30</v>
      </c>
      <c r="F100" s="14">
        <v>35</v>
      </c>
      <c r="G100" s="14">
        <v>13</v>
      </c>
      <c r="H100" s="14">
        <v>20</v>
      </c>
      <c r="I100" s="14">
        <v>10</v>
      </c>
      <c r="J100" s="14" t="s">
        <v>31</v>
      </c>
      <c r="K100" s="14" cm="1">
        <f t="array" ref="K100">INT(SUMPRODUCT(--ISNUMBER(SEARCH(economy,C100)))&gt;0)</f>
        <v>0</v>
      </c>
      <c r="L100" s="14" cm="1">
        <f t="array" ref="L100">INT(SUMPRODUCT(--ISNUMBER(SEARCH(healthcare,C100)))&gt;0)</f>
        <v>0</v>
      </c>
      <c r="M100" s="14" cm="1">
        <f t="array" ref="M100">INT(SUMPRODUCT(--ISNUMBER(SEARCH(supreme,C100)))&gt;0)</f>
        <v>0</v>
      </c>
      <c r="N100" s="14" cm="1">
        <f t="array" ref="N100">INT(SUMPRODUCT(--ISNUMBER(SEARCH(covid,C100)))&gt;0)</f>
        <v>1</v>
      </c>
      <c r="O100" s="14" cm="1">
        <f t="array" ref="O100">INT(SUMPRODUCT(--ISNUMBER(SEARCH(violent,C100)))&gt;0)</f>
        <v>0</v>
      </c>
      <c r="P100" s="14" cm="1">
        <f t="array" ref="P100">INT(SUMPRODUCT(--ISNUMBER(SEARCH(foreign,C100)))&gt;0)</f>
        <v>0</v>
      </c>
      <c r="Q100" s="14" cm="1">
        <f t="array" ref="Q100">INT(SUMPRODUCT(--ISNUMBER(SEARCH(gun,C100)))&gt;0)</f>
        <v>0</v>
      </c>
      <c r="R100" s="14" cm="1">
        <f t="array" ref="R100">INT(SUMPRODUCT(--ISNUMBER(SEARCH(race,C100)))&gt;0)</f>
        <v>0</v>
      </c>
      <c r="S100" s="14" cm="1">
        <f t="array" ref="S100">INT(SUMPRODUCT(--ISNUMBER(SEARCH(immigration,C100)))&gt;0)</f>
        <v>0</v>
      </c>
      <c r="T100" s="14" cm="1">
        <f t="array" ref="T100">INT(SUMPRODUCT(--ISNUMBER(SEARCH(econineq,C101)))&gt;0)</f>
        <v>0</v>
      </c>
      <c r="U100" s="14" cm="1">
        <f t="array" ref="U100">INT(SUMPRODUCT(--ISNUMBER(SEARCH(climate,C100)))&gt;0)</f>
        <v>0</v>
      </c>
      <c r="V100" s="14" cm="1">
        <f t="array" ref="V100">INT(SUMPRODUCT(--ISNUMBER(SEARCH(abortion,C100)))&gt;0)</f>
        <v>0</v>
      </c>
      <c r="W100" s="14" cm="1">
        <f t="array" ref="W100">INT(SUMPRODUCT(--ISNUMBER(SEARCH(trump,C100)))&gt;0)</f>
        <v>0</v>
      </c>
      <c r="X100" s="14" cm="1">
        <f t="array" ref="X100">INT(SUMPRODUCT(--ISNUMBER(SEARCH(voting,C100)))&gt;0)</f>
        <v>0</v>
      </c>
      <c r="Y100" s="35" cm="1">
        <f t="array" ref="Y100">INT(SUMPRODUCT(--ISNUMBER(SEARCH(republicantrigger,C100)))&gt;0)</f>
        <v>1</v>
      </c>
      <c r="Z100" s="35" cm="1">
        <f t="array" ref="Z100">INT(SUMPRODUCT(--ISNUMBER(SEARCH(bipartisan,C100)))&gt;0)</f>
        <v>0</v>
      </c>
      <c r="AA100" s="35">
        <f t="shared" si="3"/>
        <v>0</v>
      </c>
      <c r="AB100" s="14"/>
      <c r="AC100" s="30">
        <v>0</v>
      </c>
      <c r="AD100" s="37">
        <v>0</v>
      </c>
    </row>
    <row r="101" spans="1:30" x14ac:dyDescent="0.25">
      <c r="A101" s="36">
        <v>4421</v>
      </c>
      <c r="B101" s="14" t="s">
        <v>8865</v>
      </c>
      <c r="C101" s="31" t="s">
        <v>8866</v>
      </c>
      <c r="D101" s="17">
        <v>44117</v>
      </c>
      <c r="E101" s="14" t="s">
        <v>30</v>
      </c>
      <c r="F101" s="14">
        <v>32</v>
      </c>
      <c r="G101" s="14">
        <v>17</v>
      </c>
      <c r="H101" s="14">
        <v>20</v>
      </c>
      <c r="I101" s="14">
        <v>10</v>
      </c>
      <c r="J101" s="14" t="s">
        <v>31</v>
      </c>
      <c r="K101" s="14" cm="1">
        <f t="array" ref="K101">INT(SUMPRODUCT(--ISNUMBER(SEARCH(economy,C101)))&gt;0)</f>
        <v>0</v>
      </c>
      <c r="L101" s="14" cm="1">
        <f t="array" ref="L101">INT(SUMPRODUCT(--ISNUMBER(SEARCH(healthcare,C101)))&gt;0)</f>
        <v>0</v>
      </c>
      <c r="M101" s="14" cm="1">
        <f t="array" ref="M101">INT(SUMPRODUCT(--ISNUMBER(SEARCH(supreme,C101)))&gt;0)</f>
        <v>0</v>
      </c>
      <c r="N101" s="14" cm="1">
        <f t="array" ref="N101">INT(SUMPRODUCT(--ISNUMBER(SEARCH(covid,C101)))&gt;0)</f>
        <v>0</v>
      </c>
      <c r="O101" s="14" cm="1">
        <f t="array" ref="O101">INT(SUMPRODUCT(--ISNUMBER(SEARCH(violent,C101)))&gt;0)</f>
        <v>0</v>
      </c>
      <c r="P101" s="14" cm="1">
        <f t="array" ref="P101">INT(SUMPRODUCT(--ISNUMBER(SEARCH(foreign,C101)))&gt;0)</f>
        <v>0</v>
      </c>
      <c r="Q101" s="14" cm="1">
        <f t="array" ref="Q101">INT(SUMPRODUCT(--ISNUMBER(SEARCH(gun,C101)))&gt;0)</f>
        <v>0</v>
      </c>
      <c r="R101" s="14" cm="1">
        <f t="array" ref="R101">INT(SUMPRODUCT(--ISNUMBER(SEARCH(race,C101)))&gt;0)</f>
        <v>0</v>
      </c>
      <c r="S101" s="14" cm="1">
        <f t="array" ref="S101">INT(SUMPRODUCT(--ISNUMBER(SEARCH(immigration,C101)))&gt;0)</f>
        <v>0</v>
      </c>
      <c r="T101" s="14" cm="1">
        <f t="array" ref="T101">INT(SUMPRODUCT(--ISNUMBER(SEARCH(econineq,C102)))&gt;0)</f>
        <v>0</v>
      </c>
      <c r="U101" s="14" cm="1">
        <f t="array" ref="U101">INT(SUMPRODUCT(--ISNUMBER(SEARCH(climate,C101)))&gt;0)</f>
        <v>0</v>
      </c>
      <c r="V101" s="14" cm="1">
        <f t="array" ref="V101">INT(SUMPRODUCT(--ISNUMBER(SEARCH(abortion,C101)))&gt;0)</f>
        <v>0</v>
      </c>
      <c r="W101" s="14" cm="1">
        <f t="array" ref="W101">INT(SUMPRODUCT(--ISNUMBER(SEARCH(trump,C101)))&gt;0)</f>
        <v>0</v>
      </c>
      <c r="X101" s="14" cm="1">
        <f t="array" ref="X101">INT(SUMPRODUCT(--ISNUMBER(SEARCH(voting,C101)))&gt;0)</f>
        <v>0</v>
      </c>
      <c r="Y101" s="35" cm="1">
        <f t="array" ref="Y101">INT(SUMPRODUCT(--ISNUMBER(SEARCH(republicantrigger,C101)))&gt;0)</f>
        <v>1</v>
      </c>
      <c r="Z101" s="35" cm="1">
        <f t="array" ref="Z101">INT(SUMPRODUCT(--ISNUMBER(SEARCH(bipartisan,C101)))&gt;0)</f>
        <v>0</v>
      </c>
      <c r="AA101" s="35">
        <f t="shared" si="3"/>
        <v>0</v>
      </c>
      <c r="AB101" s="14"/>
      <c r="AC101" s="30">
        <v>0</v>
      </c>
      <c r="AD101" s="37">
        <v>0</v>
      </c>
    </row>
    <row r="102" spans="1:30" x14ac:dyDescent="0.25">
      <c r="A102" s="36">
        <v>4422</v>
      </c>
      <c r="B102" s="14" t="s">
        <v>8867</v>
      </c>
      <c r="C102" s="31" t="s">
        <v>8868</v>
      </c>
      <c r="D102" s="17">
        <v>44117</v>
      </c>
      <c r="E102" s="14" t="s">
        <v>70</v>
      </c>
      <c r="F102" s="14">
        <v>47</v>
      </c>
      <c r="G102" s="14">
        <v>19</v>
      </c>
      <c r="H102" s="14">
        <v>20</v>
      </c>
      <c r="I102" s="14">
        <v>10</v>
      </c>
      <c r="J102" s="14" t="s">
        <v>31</v>
      </c>
      <c r="K102" s="14" cm="1">
        <f t="array" ref="K102">INT(SUMPRODUCT(--ISNUMBER(SEARCH(economy,C102)))&gt;0)</f>
        <v>0</v>
      </c>
      <c r="L102" s="14" cm="1">
        <f t="array" ref="L102">INT(SUMPRODUCT(--ISNUMBER(SEARCH(healthcare,C102)))&gt;0)</f>
        <v>0</v>
      </c>
      <c r="M102" s="14" cm="1">
        <f t="array" ref="M102">INT(SUMPRODUCT(--ISNUMBER(SEARCH(supreme,C102)))&gt;0)</f>
        <v>0</v>
      </c>
      <c r="N102" s="14" cm="1">
        <f t="array" ref="N102">INT(SUMPRODUCT(--ISNUMBER(SEARCH(covid,C102)))&gt;0)</f>
        <v>0</v>
      </c>
      <c r="O102" s="14" cm="1">
        <f t="array" ref="O102">INT(SUMPRODUCT(--ISNUMBER(SEARCH(violent,C102)))&gt;0)</f>
        <v>0</v>
      </c>
      <c r="P102" s="14" cm="1">
        <f t="array" ref="P102">INT(SUMPRODUCT(--ISNUMBER(SEARCH(foreign,C102)))&gt;0)</f>
        <v>0</v>
      </c>
      <c r="Q102" s="14" cm="1">
        <f t="array" ref="Q102">INT(SUMPRODUCT(--ISNUMBER(SEARCH(gun,C102)))&gt;0)</f>
        <v>0</v>
      </c>
      <c r="R102" s="14" cm="1">
        <f t="array" ref="R102">INT(SUMPRODUCT(--ISNUMBER(SEARCH(race,C102)))&gt;0)</f>
        <v>0</v>
      </c>
      <c r="S102" s="14" cm="1">
        <f t="array" ref="S102">INT(SUMPRODUCT(--ISNUMBER(SEARCH(immigration,C102)))&gt;0)</f>
        <v>0</v>
      </c>
      <c r="T102" s="14" cm="1">
        <f t="array" ref="T102">INT(SUMPRODUCT(--ISNUMBER(SEARCH(econineq,C103)))&gt;0)</f>
        <v>0</v>
      </c>
      <c r="U102" s="14" cm="1">
        <f t="array" ref="U102">INT(SUMPRODUCT(--ISNUMBER(SEARCH(climate,C102)))&gt;0)</f>
        <v>0</v>
      </c>
      <c r="V102" s="14" cm="1">
        <f t="array" ref="V102">INT(SUMPRODUCT(--ISNUMBER(SEARCH(abortion,C102)))&gt;0)</f>
        <v>0</v>
      </c>
      <c r="W102" s="14" cm="1">
        <f t="array" ref="W102">INT(SUMPRODUCT(--ISNUMBER(SEARCH(trump,C102)))&gt;0)</f>
        <v>0</v>
      </c>
      <c r="X102" s="14" cm="1">
        <f t="array" ref="X102">INT(SUMPRODUCT(--ISNUMBER(SEARCH(voting,C102)))&gt;0)</f>
        <v>0</v>
      </c>
      <c r="Y102" s="35" cm="1">
        <f t="array" ref="Y102">INT(SUMPRODUCT(--ISNUMBER(SEARCH(republicantrigger,C102)))&gt;0)</f>
        <v>0</v>
      </c>
      <c r="Z102" s="35" cm="1">
        <f t="array" ref="Z102">INT(SUMPRODUCT(--ISNUMBER(SEARCH(bipartisan,C102)))&gt;0)</f>
        <v>0</v>
      </c>
      <c r="AA102" s="35">
        <f t="shared" si="3"/>
        <v>1</v>
      </c>
      <c r="AB102" s="14"/>
      <c r="AC102" s="30">
        <v>0</v>
      </c>
      <c r="AD102" s="37">
        <v>0</v>
      </c>
    </row>
    <row r="103" spans="1:30" x14ac:dyDescent="0.25">
      <c r="A103" s="36">
        <v>4423</v>
      </c>
      <c r="B103" s="14" t="s">
        <v>8869</v>
      </c>
      <c r="C103" s="31" t="s">
        <v>8870</v>
      </c>
      <c r="D103" s="17">
        <v>44117</v>
      </c>
      <c r="E103" s="14" t="s">
        <v>30</v>
      </c>
      <c r="F103" s="14">
        <v>64</v>
      </c>
      <c r="G103" s="14">
        <v>30</v>
      </c>
      <c r="H103" s="14">
        <v>20</v>
      </c>
      <c r="I103" s="14">
        <v>10</v>
      </c>
      <c r="J103" s="14" t="s">
        <v>31</v>
      </c>
      <c r="K103" s="14" cm="1">
        <f t="array" ref="K103">INT(SUMPRODUCT(--ISNUMBER(SEARCH(economy,C103)))&gt;0)</f>
        <v>0</v>
      </c>
      <c r="L103" s="14" cm="1">
        <f t="array" ref="L103">INT(SUMPRODUCT(--ISNUMBER(SEARCH(healthcare,C103)))&gt;0)</f>
        <v>0</v>
      </c>
      <c r="M103" s="14" cm="1">
        <f t="array" ref="M103">INT(SUMPRODUCT(--ISNUMBER(SEARCH(supreme,C103)))&gt;0)</f>
        <v>0</v>
      </c>
      <c r="N103" s="14" cm="1">
        <f t="array" ref="N103">INT(SUMPRODUCT(--ISNUMBER(SEARCH(covid,C103)))&gt;0)</f>
        <v>1</v>
      </c>
      <c r="O103" s="14" cm="1">
        <f t="array" ref="O103">INT(SUMPRODUCT(--ISNUMBER(SEARCH(violent,C103)))&gt;0)</f>
        <v>0</v>
      </c>
      <c r="P103" s="14" cm="1">
        <f t="array" ref="P103">INT(SUMPRODUCT(--ISNUMBER(SEARCH(foreign,C103)))&gt;0)</f>
        <v>0</v>
      </c>
      <c r="Q103" s="14" cm="1">
        <f t="array" ref="Q103">INT(SUMPRODUCT(--ISNUMBER(SEARCH(gun,C103)))&gt;0)</f>
        <v>0</v>
      </c>
      <c r="R103" s="14" cm="1">
        <f t="array" ref="R103">INT(SUMPRODUCT(--ISNUMBER(SEARCH(race,C103)))&gt;0)</f>
        <v>0</v>
      </c>
      <c r="S103" s="14" cm="1">
        <f t="array" ref="S103">INT(SUMPRODUCT(--ISNUMBER(SEARCH(immigration,C103)))&gt;0)</f>
        <v>0</v>
      </c>
      <c r="T103" s="14" cm="1">
        <f t="array" ref="T103">INT(SUMPRODUCT(--ISNUMBER(SEARCH(econineq,C104)))&gt;0)</f>
        <v>0</v>
      </c>
      <c r="U103" s="14" cm="1">
        <f t="array" ref="U103">INT(SUMPRODUCT(--ISNUMBER(SEARCH(climate,C103)))&gt;0)</f>
        <v>0</v>
      </c>
      <c r="V103" s="14" cm="1">
        <f t="array" ref="V103">INT(SUMPRODUCT(--ISNUMBER(SEARCH(abortion,C103)))&gt;0)</f>
        <v>0</v>
      </c>
      <c r="W103" s="14" cm="1">
        <f t="array" ref="W103">INT(SUMPRODUCT(--ISNUMBER(SEARCH(trump,C103)))&gt;0)</f>
        <v>0</v>
      </c>
      <c r="X103" s="14" cm="1">
        <f t="array" ref="X103">INT(SUMPRODUCT(--ISNUMBER(SEARCH(voting,C103)))&gt;0)</f>
        <v>1</v>
      </c>
      <c r="Y103" s="35" cm="1">
        <f t="array" ref="Y103">INT(SUMPRODUCT(--ISNUMBER(SEARCH(republicantrigger,C103)))&gt;0)</f>
        <v>1</v>
      </c>
      <c r="Z103" s="35" cm="1">
        <f t="array" ref="Z103">INT(SUMPRODUCT(--ISNUMBER(SEARCH(bipartisan,C103)))&gt;0)</f>
        <v>0</v>
      </c>
      <c r="AA103" s="35">
        <f t="shared" si="3"/>
        <v>0</v>
      </c>
      <c r="AB103" s="14"/>
      <c r="AC103" s="30">
        <v>0</v>
      </c>
      <c r="AD103" s="37">
        <v>0</v>
      </c>
    </row>
    <row r="104" spans="1:30" x14ac:dyDescent="0.25">
      <c r="A104" s="36">
        <v>4424</v>
      </c>
      <c r="B104" s="14" t="s">
        <v>8871</v>
      </c>
      <c r="C104" s="31" t="s">
        <v>8872</v>
      </c>
      <c r="D104" s="17">
        <v>44117</v>
      </c>
      <c r="E104" s="14" t="s">
        <v>30</v>
      </c>
      <c r="F104" s="14">
        <v>19</v>
      </c>
      <c r="G104" s="14">
        <v>8</v>
      </c>
      <c r="H104" s="14">
        <v>20</v>
      </c>
      <c r="I104" s="14">
        <v>10</v>
      </c>
      <c r="J104" s="14" t="s">
        <v>31</v>
      </c>
      <c r="K104" s="14" cm="1">
        <f t="array" ref="K104">INT(SUMPRODUCT(--ISNUMBER(SEARCH(economy,C104)))&gt;0)</f>
        <v>0</v>
      </c>
      <c r="L104" s="14" cm="1">
        <f t="array" ref="L104">INT(SUMPRODUCT(--ISNUMBER(SEARCH(healthcare,C104)))&gt;0)</f>
        <v>0</v>
      </c>
      <c r="M104" s="14" cm="1">
        <f t="array" ref="M104">INT(SUMPRODUCT(--ISNUMBER(SEARCH(supreme,C104)))&gt;0)</f>
        <v>0</v>
      </c>
      <c r="N104" s="14" cm="1">
        <f t="array" ref="N104">INT(SUMPRODUCT(--ISNUMBER(SEARCH(covid,C104)))&gt;0)</f>
        <v>0</v>
      </c>
      <c r="O104" s="14" cm="1">
        <f t="array" ref="O104">INT(SUMPRODUCT(--ISNUMBER(SEARCH(violent,C104)))&gt;0)</f>
        <v>0</v>
      </c>
      <c r="P104" s="14" cm="1">
        <f t="array" ref="P104">INT(SUMPRODUCT(--ISNUMBER(SEARCH(foreign,C104)))&gt;0)</f>
        <v>0</v>
      </c>
      <c r="Q104" s="14" cm="1">
        <f t="array" ref="Q104">INT(SUMPRODUCT(--ISNUMBER(SEARCH(gun,C104)))&gt;0)</f>
        <v>0</v>
      </c>
      <c r="R104" s="14" cm="1">
        <f t="array" ref="R104">INT(SUMPRODUCT(--ISNUMBER(SEARCH(race,C104)))&gt;0)</f>
        <v>0</v>
      </c>
      <c r="S104" s="14" cm="1">
        <f t="array" ref="S104">INT(SUMPRODUCT(--ISNUMBER(SEARCH(immigration,C104)))&gt;0)</f>
        <v>0</v>
      </c>
      <c r="T104" s="14" cm="1">
        <f t="array" ref="T104">INT(SUMPRODUCT(--ISNUMBER(SEARCH(econineq,C105)))&gt;0)</f>
        <v>0</v>
      </c>
      <c r="U104" s="14" cm="1">
        <f t="array" ref="U104">INT(SUMPRODUCT(--ISNUMBER(SEARCH(climate,C104)))&gt;0)</f>
        <v>0</v>
      </c>
      <c r="V104" s="14" cm="1">
        <f t="array" ref="V104">INT(SUMPRODUCT(--ISNUMBER(SEARCH(abortion,C104)))&gt;0)</f>
        <v>0</v>
      </c>
      <c r="W104" s="14" cm="1">
        <f t="array" ref="W104">INT(SUMPRODUCT(--ISNUMBER(SEARCH(trump,C104)))&gt;0)</f>
        <v>0</v>
      </c>
      <c r="X104" s="14" cm="1">
        <f t="array" ref="X104">INT(SUMPRODUCT(--ISNUMBER(SEARCH(voting,C104)))&gt;0)</f>
        <v>0</v>
      </c>
      <c r="Y104" s="35" cm="1">
        <f t="array" ref="Y104">INT(SUMPRODUCT(--ISNUMBER(SEARCH(republicantrigger,C104)))&gt;0)</f>
        <v>0</v>
      </c>
      <c r="Z104" s="35" cm="1">
        <f t="array" ref="Z104">INT(SUMPRODUCT(--ISNUMBER(SEARCH(bipartisan,C104)))&gt;0)</f>
        <v>0</v>
      </c>
      <c r="AA104" s="35">
        <f t="shared" si="3"/>
        <v>1</v>
      </c>
      <c r="AB104" s="14"/>
      <c r="AC104" s="30">
        <v>1</v>
      </c>
      <c r="AD104" s="37">
        <v>0</v>
      </c>
    </row>
    <row r="105" spans="1:30" x14ac:dyDescent="0.25">
      <c r="A105" s="36">
        <v>4425</v>
      </c>
      <c r="B105" s="14" t="s">
        <v>8873</v>
      </c>
      <c r="C105" s="31" t="s">
        <v>8874</v>
      </c>
      <c r="D105" s="17">
        <v>44117</v>
      </c>
      <c r="E105" s="14" t="s">
        <v>30</v>
      </c>
      <c r="F105" s="14">
        <v>1278</v>
      </c>
      <c r="G105" s="14">
        <v>249</v>
      </c>
      <c r="H105" s="14">
        <v>20</v>
      </c>
      <c r="I105" s="14">
        <v>10</v>
      </c>
      <c r="J105" s="14" t="s">
        <v>31</v>
      </c>
      <c r="K105" s="14" cm="1">
        <f t="array" ref="K105">INT(SUMPRODUCT(--ISNUMBER(SEARCH(economy,C105)))&gt;0)</f>
        <v>0</v>
      </c>
      <c r="L105" s="14" cm="1">
        <f t="array" ref="L105">INT(SUMPRODUCT(--ISNUMBER(SEARCH(healthcare,C105)))&gt;0)</f>
        <v>0</v>
      </c>
      <c r="M105" s="14" cm="1">
        <f t="array" ref="M105">INT(SUMPRODUCT(--ISNUMBER(SEARCH(supreme,C105)))&gt;0)</f>
        <v>1</v>
      </c>
      <c r="N105" s="14" cm="1">
        <f t="array" ref="N105">INT(SUMPRODUCT(--ISNUMBER(SEARCH(covid,C105)))&gt;0)</f>
        <v>0</v>
      </c>
      <c r="O105" s="14" cm="1">
        <f t="array" ref="O105">INT(SUMPRODUCT(--ISNUMBER(SEARCH(violent,C105)))&gt;0)</f>
        <v>0</v>
      </c>
      <c r="P105" s="14" cm="1">
        <f t="array" ref="P105">INT(SUMPRODUCT(--ISNUMBER(SEARCH(foreign,C105)))&gt;0)</f>
        <v>0</v>
      </c>
      <c r="Q105" s="14" cm="1">
        <f t="array" ref="Q105">INT(SUMPRODUCT(--ISNUMBER(SEARCH(gun,C105)))&gt;0)</f>
        <v>0</v>
      </c>
      <c r="R105" s="14" cm="1">
        <f t="array" ref="R105">INT(SUMPRODUCT(--ISNUMBER(SEARCH(race,C105)))&gt;0)</f>
        <v>0</v>
      </c>
      <c r="S105" s="14" cm="1">
        <f t="array" ref="S105">INT(SUMPRODUCT(--ISNUMBER(SEARCH(immigration,C105)))&gt;0)</f>
        <v>0</v>
      </c>
      <c r="T105" s="14" cm="1">
        <f t="array" ref="T105">INT(SUMPRODUCT(--ISNUMBER(SEARCH(econineq,C106)))&gt;0)</f>
        <v>0</v>
      </c>
      <c r="U105" s="14" cm="1">
        <f t="array" ref="U105">INT(SUMPRODUCT(--ISNUMBER(SEARCH(climate,C105)))&gt;0)</f>
        <v>0</v>
      </c>
      <c r="V105" s="14" cm="1">
        <f t="array" ref="V105">INT(SUMPRODUCT(--ISNUMBER(SEARCH(abortion,C105)))&gt;0)</f>
        <v>0</v>
      </c>
      <c r="W105" s="14" cm="1">
        <f t="array" ref="W105">INT(SUMPRODUCT(--ISNUMBER(SEARCH(trump,C105)))&gt;0)</f>
        <v>0</v>
      </c>
      <c r="X105" s="14" cm="1">
        <f t="array" ref="X105">INT(SUMPRODUCT(--ISNUMBER(SEARCH(voting,C105)))&gt;0)</f>
        <v>1</v>
      </c>
      <c r="Y105" s="35" cm="1">
        <f t="array" ref="Y105">INT(SUMPRODUCT(--ISNUMBER(SEARCH(republicantrigger,C105)))&gt;0)</f>
        <v>1</v>
      </c>
      <c r="Z105" s="35" cm="1">
        <f t="array" ref="Z105">INT(SUMPRODUCT(--ISNUMBER(SEARCH(bipartisan,C105)))&gt;0)</f>
        <v>0</v>
      </c>
      <c r="AA105" s="35">
        <f t="shared" si="3"/>
        <v>0</v>
      </c>
      <c r="AB105" s="14"/>
      <c r="AC105" s="30">
        <v>1</v>
      </c>
      <c r="AD105" s="37">
        <v>0</v>
      </c>
    </row>
    <row r="106" spans="1:30" x14ac:dyDescent="0.25">
      <c r="A106" s="36">
        <v>4426</v>
      </c>
      <c r="B106" s="14" t="s">
        <v>8875</v>
      </c>
      <c r="C106" s="31" t="s">
        <v>8876</v>
      </c>
      <c r="D106" s="17">
        <v>44117</v>
      </c>
      <c r="E106" s="14" t="s">
        <v>30</v>
      </c>
      <c r="F106" s="14">
        <v>132</v>
      </c>
      <c r="G106" s="14">
        <v>53</v>
      </c>
      <c r="H106" s="14">
        <v>20</v>
      </c>
      <c r="I106" s="14">
        <v>10</v>
      </c>
      <c r="J106" s="14" t="s">
        <v>31</v>
      </c>
      <c r="K106" s="14" cm="1">
        <f t="array" ref="K106">INT(SUMPRODUCT(--ISNUMBER(SEARCH(economy,C106)))&gt;0)</f>
        <v>0</v>
      </c>
      <c r="L106" s="14" cm="1">
        <f t="array" ref="L106">INT(SUMPRODUCT(--ISNUMBER(SEARCH(healthcare,C106)))&gt;0)</f>
        <v>0</v>
      </c>
      <c r="M106" s="14" cm="1">
        <f t="array" ref="M106">INT(SUMPRODUCT(--ISNUMBER(SEARCH(supreme,C106)))&gt;0)</f>
        <v>0</v>
      </c>
      <c r="N106" s="14" cm="1">
        <f t="array" ref="N106">INT(SUMPRODUCT(--ISNUMBER(SEARCH(covid,C106)))&gt;0)</f>
        <v>0</v>
      </c>
      <c r="O106" s="14" cm="1">
        <f t="array" ref="O106">INT(SUMPRODUCT(--ISNUMBER(SEARCH(violent,C106)))&gt;0)</f>
        <v>0</v>
      </c>
      <c r="P106" s="14" cm="1">
        <f t="array" ref="P106">INT(SUMPRODUCT(--ISNUMBER(SEARCH(foreign,C106)))&gt;0)</f>
        <v>0</v>
      </c>
      <c r="Q106" s="14" cm="1">
        <f t="array" ref="Q106">INT(SUMPRODUCT(--ISNUMBER(SEARCH(gun,C106)))&gt;0)</f>
        <v>0</v>
      </c>
      <c r="R106" s="14" cm="1">
        <f t="array" ref="R106">INT(SUMPRODUCT(--ISNUMBER(SEARCH(race,C106)))&gt;0)</f>
        <v>0</v>
      </c>
      <c r="S106" s="14" cm="1">
        <f t="array" ref="S106">INT(SUMPRODUCT(--ISNUMBER(SEARCH(immigration,C106)))&gt;0)</f>
        <v>0</v>
      </c>
      <c r="T106" s="14" cm="1">
        <f t="array" ref="T106">INT(SUMPRODUCT(--ISNUMBER(SEARCH(econineq,C107)))&gt;0)</f>
        <v>0</v>
      </c>
      <c r="U106" s="14" cm="1">
        <f t="array" ref="U106">INT(SUMPRODUCT(--ISNUMBER(SEARCH(climate,C106)))&gt;0)</f>
        <v>0</v>
      </c>
      <c r="V106" s="14" cm="1">
        <f t="array" ref="V106">INT(SUMPRODUCT(--ISNUMBER(SEARCH(abortion,C106)))&gt;0)</f>
        <v>0</v>
      </c>
      <c r="W106" s="14" cm="1">
        <f t="array" ref="W106">INT(SUMPRODUCT(--ISNUMBER(SEARCH(trump,C106)))&gt;0)</f>
        <v>0</v>
      </c>
      <c r="X106" s="14" cm="1">
        <f t="array" ref="X106">INT(SUMPRODUCT(--ISNUMBER(SEARCH(voting,C106)))&gt;0)</f>
        <v>0</v>
      </c>
      <c r="Y106" s="35" cm="1">
        <f t="array" ref="Y106">INT(SUMPRODUCT(--ISNUMBER(SEARCH(republicantrigger,C106)))&gt;0)</f>
        <v>1</v>
      </c>
      <c r="Z106" s="35" cm="1">
        <f t="array" ref="Z106">INT(SUMPRODUCT(--ISNUMBER(SEARCH(bipartisan,C106)))&gt;0)</f>
        <v>0</v>
      </c>
      <c r="AA106" s="35">
        <f t="shared" si="3"/>
        <v>0</v>
      </c>
      <c r="AB106" s="14"/>
      <c r="AC106" s="30">
        <v>0</v>
      </c>
      <c r="AD106" s="37">
        <v>0</v>
      </c>
    </row>
    <row r="107" spans="1:30" x14ac:dyDescent="0.25">
      <c r="A107" s="36">
        <v>4427</v>
      </c>
      <c r="B107" s="14" t="s">
        <v>8877</v>
      </c>
      <c r="C107" s="31" t="s">
        <v>8878</v>
      </c>
      <c r="D107" s="17">
        <v>44117</v>
      </c>
      <c r="E107" s="14" t="s">
        <v>30</v>
      </c>
      <c r="F107" s="14">
        <v>296</v>
      </c>
      <c r="G107" s="14">
        <v>145</v>
      </c>
      <c r="H107" s="14">
        <v>20</v>
      </c>
      <c r="I107" s="14">
        <v>10</v>
      </c>
      <c r="J107" s="14" t="s">
        <v>31</v>
      </c>
      <c r="K107" s="14" cm="1">
        <f t="array" ref="K107">INT(SUMPRODUCT(--ISNUMBER(SEARCH(economy,C107)))&gt;0)</f>
        <v>0</v>
      </c>
      <c r="L107" s="14" cm="1">
        <f t="array" ref="L107">INT(SUMPRODUCT(--ISNUMBER(SEARCH(healthcare,C107)))&gt;0)</f>
        <v>0</v>
      </c>
      <c r="M107" s="14" cm="1">
        <f t="array" ref="M107">INT(SUMPRODUCT(--ISNUMBER(SEARCH(supreme,C107)))&gt;0)</f>
        <v>0</v>
      </c>
      <c r="N107" s="14" cm="1">
        <f t="array" ref="N107">INT(SUMPRODUCT(--ISNUMBER(SEARCH(covid,C107)))&gt;0)</f>
        <v>1</v>
      </c>
      <c r="O107" s="14" cm="1">
        <f t="array" ref="O107">INT(SUMPRODUCT(--ISNUMBER(SEARCH(violent,C107)))&gt;0)</f>
        <v>0</v>
      </c>
      <c r="P107" s="14" cm="1">
        <f t="array" ref="P107">INT(SUMPRODUCT(--ISNUMBER(SEARCH(foreign,C107)))&gt;0)</f>
        <v>0</v>
      </c>
      <c r="Q107" s="14" cm="1">
        <f t="array" ref="Q107">INT(SUMPRODUCT(--ISNUMBER(SEARCH(gun,C107)))&gt;0)</f>
        <v>0</v>
      </c>
      <c r="R107" s="14" cm="1">
        <f t="array" ref="R107">INT(SUMPRODUCT(--ISNUMBER(SEARCH(race,C107)))&gt;0)</f>
        <v>0</v>
      </c>
      <c r="S107" s="14" cm="1">
        <f t="array" ref="S107">INT(SUMPRODUCT(--ISNUMBER(SEARCH(immigration,C107)))&gt;0)</f>
        <v>0</v>
      </c>
      <c r="T107" s="14" cm="1">
        <f t="array" ref="T107">INT(SUMPRODUCT(--ISNUMBER(SEARCH(econineq,C108)))&gt;0)</f>
        <v>0</v>
      </c>
      <c r="U107" s="14" cm="1">
        <f t="array" ref="U107">INT(SUMPRODUCT(--ISNUMBER(SEARCH(climate,C107)))&gt;0)</f>
        <v>0</v>
      </c>
      <c r="V107" s="14" cm="1">
        <f t="array" ref="V107">INT(SUMPRODUCT(--ISNUMBER(SEARCH(abortion,C107)))&gt;0)</f>
        <v>0</v>
      </c>
      <c r="W107" s="14" cm="1">
        <f t="array" ref="W107">INT(SUMPRODUCT(--ISNUMBER(SEARCH(trump,C107)))&gt;0)</f>
        <v>0</v>
      </c>
      <c r="X107" s="14" cm="1">
        <f t="array" ref="X107">INT(SUMPRODUCT(--ISNUMBER(SEARCH(voting,C107)))&gt;0)</f>
        <v>0</v>
      </c>
      <c r="Y107" s="35" cm="1">
        <f t="array" ref="Y107">INT(SUMPRODUCT(--ISNUMBER(SEARCH(republicantrigger,C107)))&gt;0)</f>
        <v>1</v>
      </c>
      <c r="Z107" s="35" cm="1">
        <f t="array" ref="Z107">INT(SUMPRODUCT(--ISNUMBER(SEARCH(bipartisan,C107)))&gt;0)</f>
        <v>0</v>
      </c>
      <c r="AA107" s="35">
        <f t="shared" si="3"/>
        <v>0</v>
      </c>
      <c r="AB107" s="14"/>
      <c r="AC107" s="30">
        <v>0</v>
      </c>
      <c r="AD107" s="37">
        <v>1</v>
      </c>
    </row>
    <row r="108" spans="1:30" x14ac:dyDescent="0.25">
      <c r="A108" s="36">
        <v>4428</v>
      </c>
      <c r="B108" s="14" t="s">
        <v>8879</v>
      </c>
      <c r="C108" s="31" t="s">
        <v>8880</v>
      </c>
      <c r="D108" s="17">
        <v>44116</v>
      </c>
      <c r="E108" s="14" t="s">
        <v>30</v>
      </c>
      <c r="F108" s="14">
        <v>91</v>
      </c>
      <c r="G108" s="14">
        <v>43</v>
      </c>
      <c r="H108" s="14">
        <v>20</v>
      </c>
      <c r="I108" s="14">
        <v>10</v>
      </c>
      <c r="J108" s="14" t="s">
        <v>31</v>
      </c>
      <c r="K108" s="14" cm="1">
        <f t="array" ref="K108">INT(SUMPRODUCT(--ISNUMBER(SEARCH(economy,C108)))&gt;0)</f>
        <v>0</v>
      </c>
      <c r="L108" s="14" cm="1">
        <f t="array" ref="L108">INT(SUMPRODUCT(--ISNUMBER(SEARCH(healthcare,C108)))&gt;0)</f>
        <v>0</v>
      </c>
      <c r="M108" s="14" cm="1">
        <f t="array" ref="M108">INT(SUMPRODUCT(--ISNUMBER(SEARCH(supreme,C108)))&gt;0)</f>
        <v>0</v>
      </c>
      <c r="N108" s="14" cm="1">
        <f t="array" ref="N108">INT(SUMPRODUCT(--ISNUMBER(SEARCH(covid,C108)))&gt;0)</f>
        <v>0</v>
      </c>
      <c r="O108" s="14" cm="1">
        <f t="array" ref="O108">INT(SUMPRODUCT(--ISNUMBER(SEARCH(violent,C108)))&gt;0)</f>
        <v>0</v>
      </c>
      <c r="P108" s="14" cm="1">
        <f t="array" ref="P108">INT(SUMPRODUCT(--ISNUMBER(SEARCH(foreign,C108)))&gt;0)</f>
        <v>0</v>
      </c>
      <c r="Q108" s="14" cm="1">
        <f t="array" ref="Q108">INT(SUMPRODUCT(--ISNUMBER(SEARCH(gun,C108)))&gt;0)</f>
        <v>0</v>
      </c>
      <c r="R108" s="14" cm="1">
        <f t="array" ref="R108">INT(SUMPRODUCT(--ISNUMBER(SEARCH(race,C108)))&gt;0)</f>
        <v>0</v>
      </c>
      <c r="S108" s="14" cm="1">
        <f t="array" ref="S108">INT(SUMPRODUCT(--ISNUMBER(SEARCH(immigration,C108)))&gt;0)</f>
        <v>0</v>
      </c>
      <c r="T108" s="14" cm="1">
        <f t="array" ref="T108">INT(SUMPRODUCT(--ISNUMBER(SEARCH(econineq,C109)))&gt;0)</f>
        <v>0</v>
      </c>
      <c r="U108" s="14" cm="1">
        <f t="array" ref="U108">INT(SUMPRODUCT(--ISNUMBER(SEARCH(climate,C108)))&gt;0)</f>
        <v>0</v>
      </c>
      <c r="V108" s="14" cm="1">
        <f t="array" ref="V108">INT(SUMPRODUCT(--ISNUMBER(SEARCH(abortion,C108)))&gt;0)</f>
        <v>0</v>
      </c>
      <c r="W108" s="14" cm="1">
        <f t="array" ref="W108">INT(SUMPRODUCT(--ISNUMBER(SEARCH(trump,C108)))&gt;0)</f>
        <v>0</v>
      </c>
      <c r="X108" s="14" cm="1">
        <f t="array" ref="X108">INT(SUMPRODUCT(--ISNUMBER(SEARCH(voting,C108)))&gt;0)</f>
        <v>1</v>
      </c>
      <c r="Y108" s="35" cm="1">
        <f t="array" ref="Y108">INT(SUMPRODUCT(--ISNUMBER(SEARCH(republicantrigger,C108)))&gt;0)</f>
        <v>0</v>
      </c>
      <c r="Z108" s="35" cm="1">
        <f t="array" ref="Z108">INT(SUMPRODUCT(--ISNUMBER(SEARCH(bipartisan,C108)))&gt;0)</f>
        <v>0</v>
      </c>
      <c r="AA108" s="35">
        <f t="shared" si="3"/>
        <v>0</v>
      </c>
      <c r="AB108" s="14"/>
      <c r="AC108" s="30">
        <v>0</v>
      </c>
      <c r="AD108" s="37">
        <v>0</v>
      </c>
    </row>
    <row r="109" spans="1:30" x14ac:dyDescent="0.25">
      <c r="A109" s="36">
        <v>4429</v>
      </c>
      <c r="B109" s="14" t="s">
        <v>8881</v>
      </c>
      <c r="C109" s="31" t="s">
        <v>8882</v>
      </c>
      <c r="D109" s="17">
        <v>44116</v>
      </c>
      <c r="E109" s="14" t="s">
        <v>30</v>
      </c>
      <c r="F109" s="14">
        <v>547</v>
      </c>
      <c r="G109" s="14">
        <v>299</v>
      </c>
      <c r="H109" s="14">
        <v>20</v>
      </c>
      <c r="I109" s="14">
        <v>10</v>
      </c>
      <c r="J109" s="14" t="s">
        <v>31</v>
      </c>
      <c r="K109" s="14" cm="1">
        <f t="array" ref="K109">INT(SUMPRODUCT(--ISNUMBER(SEARCH(economy,C109)))&gt;0)</f>
        <v>0</v>
      </c>
      <c r="L109" s="14" cm="1">
        <f t="array" ref="L109">INT(SUMPRODUCT(--ISNUMBER(SEARCH(healthcare,C109)))&gt;0)</f>
        <v>0</v>
      </c>
      <c r="M109" s="14" cm="1">
        <f t="array" ref="M109">INT(SUMPRODUCT(--ISNUMBER(SEARCH(supreme,C109)))&gt;0)</f>
        <v>0</v>
      </c>
      <c r="N109" s="14" cm="1">
        <f t="array" ref="N109">INT(SUMPRODUCT(--ISNUMBER(SEARCH(covid,C109)))&gt;0)</f>
        <v>0</v>
      </c>
      <c r="O109" s="14" cm="1">
        <f t="array" ref="O109">INT(SUMPRODUCT(--ISNUMBER(SEARCH(violent,C109)))&gt;0)</f>
        <v>0</v>
      </c>
      <c r="P109" s="14" cm="1">
        <f t="array" ref="P109">INT(SUMPRODUCT(--ISNUMBER(SEARCH(foreign,C109)))&gt;0)</f>
        <v>0</v>
      </c>
      <c r="Q109" s="14" cm="1">
        <f t="array" ref="Q109">INT(SUMPRODUCT(--ISNUMBER(SEARCH(gun,C109)))&gt;0)</f>
        <v>0</v>
      </c>
      <c r="R109" s="14" cm="1">
        <f t="array" ref="R109">INT(SUMPRODUCT(--ISNUMBER(SEARCH(race,C109)))&gt;0)</f>
        <v>0</v>
      </c>
      <c r="S109" s="14" cm="1">
        <f t="array" ref="S109">INT(SUMPRODUCT(--ISNUMBER(SEARCH(immigration,C109)))&gt;0)</f>
        <v>0</v>
      </c>
      <c r="T109" s="14" cm="1">
        <f t="array" ref="T109">INT(SUMPRODUCT(--ISNUMBER(SEARCH(econineq,C110)))&gt;0)</f>
        <v>0</v>
      </c>
      <c r="U109" s="14" cm="1">
        <f t="array" ref="U109">INT(SUMPRODUCT(--ISNUMBER(SEARCH(climate,C109)))&gt;0)</f>
        <v>0</v>
      </c>
      <c r="V109" s="14" cm="1">
        <f t="array" ref="V109">INT(SUMPRODUCT(--ISNUMBER(SEARCH(abortion,C109)))&gt;0)</f>
        <v>0</v>
      </c>
      <c r="W109" s="14" cm="1">
        <f t="array" ref="W109">INT(SUMPRODUCT(--ISNUMBER(SEARCH(trump,C109)))&gt;0)</f>
        <v>0</v>
      </c>
      <c r="X109" s="14" cm="1">
        <f t="array" ref="X109">INT(SUMPRODUCT(--ISNUMBER(SEARCH(voting,C109)))&gt;0)</f>
        <v>1</v>
      </c>
      <c r="Y109" s="35" cm="1">
        <f t="array" ref="Y109">INT(SUMPRODUCT(--ISNUMBER(SEARCH(republicantrigger,C109)))&gt;0)</f>
        <v>1</v>
      </c>
      <c r="Z109" s="35" cm="1">
        <f t="array" ref="Z109">INT(SUMPRODUCT(--ISNUMBER(SEARCH(bipartisan,C109)))&gt;0)</f>
        <v>0</v>
      </c>
      <c r="AA109" s="35">
        <f t="shared" si="3"/>
        <v>0</v>
      </c>
      <c r="AB109" s="14"/>
      <c r="AC109" s="30">
        <v>1</v>
      </c>
      <c r="AD109" s="37">
        <v>0</v>
      </c>
    </row>
    <row r="110" spans="1:30" x14ac:dyDescent="0.25">
      <c r="A110" s="36">
        <v>4430</v>
      </c>
      <c r="B110" s="14" t="s">
        <v>8883</v>
      </c>
      <c r="C110" s="31" t="s">
        <v>8884</v>
      </c>
      <c r="D110" s="17">
        <v>44115</v>
      </c>
      <c r="E110" s="14" t="s">
        <v>30</v>
      </c>
      <c r="F110" s="14">
        <v>1216</v>
      </c>
      <c r="G110" s="14">
        <v>422</v>
      </c>
      <c r="H110" s="14">
        <v>20</v>
      </c>
      <c r="I110" s="14">
        <v>10</v>
      </c>
      <c r="J110" s="14" t="s">
        <v>31</v>
      </c>
      <c r="K110" s="14" cm="1">
        <f t="array" ref="K110">INT(SUMPRODUCT(--ISNUMBER(SEARCH(economy,C110)))&gt;0)</f>
        <v>0</v>
      </c>
      <c r="L110" s="14" cm="1">
        <f t="array" ref="L110">INT(SUMPRODUCT(--ISNUMBER(SEARCH(healthcare,C110)))&gt;0)</f>
        <v>0</v>
      </c>
      <c r="M110" s="14" cm="1">
        <f t="array" ref="M110">INT(SUMPRODUCT(--ISNUMBER(SEARCH(supreme,C110)))&gt;0)</f>
        <v>0</v>
      </c>
      <c r="N110" s="14" cm="1">
        <f t="array" ref="N110">INT(SUMPRODUCT(--ISNUMBER(SEARCH(covid,C110)))&gt;0)</f>
        <v>1</v>
      </c>
      <c r="O110" s="14" cm="1">
        <f t="array" ref="O110">INT(SUMPRODUCT(--ISNUMBER(SEARCH(violent,C110)))&gt;0)</f>
        <v>0</v>
      </c>
      <c r="P110" s="14" cm="1">
        <f t="array" ref="P110">INT(SUMPRODUCT(--ISNUMBER(SEARCH(foreign,C110)))&gt;0)</f>
        <v>0</v>
      </c>
      <c r="Q110" s="14" cm="1">
        <f t="array" ref="Q110">INT(SUMPRODUCT(--ISNUMBER(SEARCH(gun,C110)))&gt;0)</f>
        <v>0</v>
      </c>
      <c r="R110" s="14" cm="1">
        <f t="array" ref="R110">INT(SUMPRODUCT(--ISNUMBER(SEARCH(race,C110)))&gt;0)</f>
        <v>0</v>
      </c>
      <c r="S110" s="14" cm="1">
        <f t="array" ref="S110">INT(SUMPRODUCT(--ISNUMBER(SEARCH(immigration,C110)))&gt;0)</f>
        <v>0</v>
      </c>
      <c r="T110" s="14" cm="1">
        <f t="array" ref="T110">INT(SUMPRODUCT(--ISNUMBER(SEARCH(econineq,C111)))&gt;0)</f>
        <v>0</v>
      </c>
      <c r="U110" s="14" cm="1">
        <f t="array" ref="U110">INT(SUMPRODUCT(--ISNUMBER(SEARCH(climate,C110)))&gt;0)</f>
        <v>0</v>
      </c>
      <c r="V110" s="14" cm="1">
        <f t="array" ref="V110">INT(SUMPRODUCT(--ISNUMBER(SEARCH(abortion,C110)))&gt;0)</f>
        <v>0</v>
      </c>
      <c r="W110" s="14" cm="1">
        <f t="array" ref="W110">INT(SUMPRODUCT(--ISNUMBER(SEARCH(trump,C110)))&gt;0)</f>
        <v>0</v>
      </c>
      <c r="X110" s="14" cm="1">
        <f t="array" ref="X110">INT(SUMPRODUCT(--ISNUMBER(SEARCH(voting,C110)))&gt;0)</f>
        <v>1</v>
      </c>
      <c r="Y110" s="35" cm="1">
        <f t="array" ref="Y110">INT(SUMPRODUCT(--ISNUMBER(SEARCH(republicantrigger,C110)))&gt;0)</f>
        <v>1</v>
      </c>
      <c r="Z110" s="35" cm="1">
        <f t="array" ref="Z110">INT(SUMPRODUCT(--ISNUMBER(SEARCH(bipartisan,C110)))&gt;0)</f>
        <v>0</v>
      </c>
      <c r="AA110" s="35">
        <f t="shared" si="3"/>
        <v>0</v>
      </c>
      <c r="AB110" s="14"/>
      <c r="AC110" s="30">
        <v>0</v>
      </c>
      <c r="AD110" s="37">
        <v>0</v>
      </c>
    </row>
    <row r="111" spans="1:30" x14ac:dyDescent="0.25">
      <c r="A111" s="36">
        <v>4431</v>
      </c>
      <c r="B111" s="14" t="s">
        <v>8885</v>
      </c>
      <c r="C111" s="31" t="s">
        <v>8886</v>
      </c>
      <c r="D111" s="17">
        <v>44113</v>
      </c>
      <c r="E111" s="14" t="s">
        <v>70</v>
      </c>
      <c r="F111" s="14">
        <v>0</v>
      </c>
      <c r="G111" s="14">
        <v>0</v>
      </c>
      <c r="H111" s="14">
        <v>20</v>
      </c>
      <c r="I111" s="14">
        <v>10</v>
      </c>
      <c r="J111" s="14" t="s">
        <v>31</v>
      </c>
      <c r="K111" s="14" cm="1">
        <f t="array" ref="K111">INT(SUMPRODUCT(--ISNUMBER(SEARCH(economy,C111)))&gt;0)</f>
        <v>0</v>
      </c>
      <c r="L111" s="14" cm="1">
        <f t="array" ref="L111">INT(SUMPRODUCT(--ISNUMBER(SEARCH(healthcare,C111)))&gt;0)</f>
        <v>0</v>
      </c>
      <c r="M111" s="14" cm="1">
        <f t="array" ref="M111">INT(SUMPRODUCT(--ISNUMBER(SEARCH(supreme,C111)))&gt;0)</f>
        <v>0</v>
      </c>
      <c r="N111" s="14" cm="1">
        <f t="array" ref="N111">INT(SUMPRODUCT(--ISNUMBER(SEARCH(covid,C111)))&gt;0)</f>
        <v>0</v>
      </c>
      <c r="O111" s="14" cm="1">
        <f t="array" ref="O111">INT(SUMPRODUCT(--ISNUMBER(SEARCH(violent,C111)))&gt;0)</f>
        <v>0</v>
      </c>
      <c r="P111" s="14" cm="1">
        <f t="array" ref="P111">INT(SUMPRODUCT(--ISNUMBER(SEARCH(foreign,C111)))&gt;0)</f>
        <v>0</v>
      </c>
      <c r="Q111" s="14" cm="1">
        <f t="array" ref="Q111">INT(SUMPRODUCT(--ISNUMBER(SEARCH(gun,C111)))&gt;0)</f>
        <v>0</v>
      </c>
      <c r="R111" s="14" cm="1">
        <f t="array" ref="R111">INT(SUMPRODUCT(--ISNUMBER(SEARCH(race,C111)))&gt;0)</f>
        <v>0</v>
      </c>
      <c r="S111" s="14" cm="1">
        <f t="array" ref="S111">INT(SUMPRODUCT(--ISNUMBER(SEARCH(immigration,C111)))&gt;0)</f>
        <v>0</v>
      </c>
      <c r="T111" s="14" cm="1">
        <f t="array" ref="T111">INT(SUMPRODUCT(--ISNUMBER(SEARCH(econineq,C112)))&gt;0)</f>
        <v>0</v>
      </c>
      <c r="U111" s="14" cm="1">
        <f t="array" ref="U111">INT(SUMPRODUCT(--ISNUMBER(SEARCH(climate,C111)))&gt;0)</f>
        <v>0</v>
      </c>
      <c r="V111" s="14" cm="1">
        <f t="array" ref="V111">INT(SUMPRODUCT(--ISNUMBER(SEARCH(abortion,C111)))&gt;0)</f>
        <v>0</v>
      </c>
      <c r="W111" s="14" cm="1">
        <f t="array" ref="W111">INT(SUMPRODUCT(--ISNUMBER(SEARCH(trump,C111)))&gt;0)</f>
        <v>0</v>
      </c>
      <c r="X111" s="14" cm="1">
        <f t="array" ref="X111">INT(SUMPRODUCT(--ISNUMBER(SEARCH(voting,C111)))&gt;0)</f>
        <v>0</v>
      </c>
      <c r="Y111" s="35" cm="1">
        <f t="array" ref="Y111">INT(SUMPRODUCT(--ISNUMBER(SEARCH(republicantrigger,C111)))&gt;0)</f>
        <v>0</v>
      </c>
      <c r="Z111" s="35" cm="1">
        <f t="array" ref="Z111">INT(SUMPRODUCT(--ISNUMBER(SEARCH(bipartisan,C111)))&gt;0)</f>
        <v>0</v>
      </c>
      <c r="AA111" s="35">
        <f t="shared" si="3"/>
        <v>1</v>
      </c>
      <c r="AB111" s="14"/>
      <c r="AC111" s="30">
        <v>0</v>
      </c>
      <c r="AD111" s="37">
        <v>0</v>
      </c>
    </row>
    <row r="112" spans="1:30" x14ac:dyDescent="0.25">
      <c r="A112" s="36">
        <v>4432</v>
      </c>
      <c r="B112" s="14" t="s">
        <v>8887</v>
      </c>
      <c r="C112" s="31" t="s">
        <v>8888</v>
      </c>
      <c r="D112" s="17">
        <v>44113</v>
      </c>
      <c r="E112" s="14" t="s">
        <v>30</v>
      </c>
      <c r="F112" s="14">
        <v>168</v>
      </c>
      <c r="G112" s="14">
        <v>69</v>
      </c>
      <c r="H112" s="14">
        <v>20</v>
      </c>
      <c r="I112" s="14">
        <v>10</v>
      </c>
      <c r="J112" s="14" t="s">
        <v>31</v>
      </c>
      <c r="K112" s="14" cm="1">
        <f t="array" ref="K112">INT(SUMPRODUCT(--ISNUMBER(SEARCH(economy,C112)))&gt;0)</f>
        <v>0</v>
      </c>
      <c r="L112" s="14" cm="1">
        <f t="array" ref="L112">INT(SUMPRODUCT(--ISNUMBER(SEARCH(healthcare,C112)))&gt;0)</f>
        <v>0</v>
      </c>
      <c r="M112" s="14" cm="1">
        <f t="array" ref="M112">INT(SUMPRODUCT(--ISNUMBER(SEARCH(supreme,C112)))&gt;0)</f>
        <v>0</v>
      </c>
      <c r="N112" s="14" cm="1">
        <f t="array" ref="N112">INT(SUMPRODUCT(--ISNUMBER(SEARCH(covid,C112)))&gt;0)</f>
        <v>0</v>
      </c>
      <c r="O112" s="14" cm="1">
        <f t="array" ref="O112">INT(SUMPRODUCT(--ISNUMBER(SEARCH(violent,C112)))&gt;0)</f>
        <v>0</v>
      </c>
      <c r="P112" s="14" cm="1">
        <f t="array" ref="P112">INT(SUMPRODUCT(--ISNUMBER(SEARCH(foreign,C112)))&gt;0)</f>
        <v>0</v>
      </c>
      <c r="Q112" s="14" cm="1">
        <f t="array" ref="Q112">INT(SUMPRODUCT(--ISNUMBER(SEARCH(gun,C112)))&gt;0)</f>
        <v>0</v>
      </c>
      <c r="R112" s="14" cm="1">
        <f t="array" ref="R112">INT(SUMPRODUCT(--ISNUMBER(SEARCH(race,C112)))&gt;0)</f>
        <v>0</v>
      </c>
      <c r="S112" s="14" cm="1">
        <f t="array" ref="S112">INT(SUMPRODUCT(--ISNUMBER(SEARCH(immigration,C112)))&gt;0)</f>
        <v>0</v>
      </c>
      <c r="T112" s="14" cm="1">
        <f t="array" ref="T112">INT(SUMPRODUCT(--ISNUMBER(SEARCH(econineq,C113)))&gt;0)</f>
        <v>0</v>
      </c>
      <c r="U112" s="14" cm="1">
        <f t="array" ref="U112">INT(SUMPRODUCT(--ISNUMBER(SEARCH(climate,C112)))&gt;0)</f>
        <v>0</v>
      </c>
      <c r="V112" s="14" cm="1">
        <f t="array" ref="V112">INT(SUMPRODUCT(--ISNUMBER(SEARCH(abortion,C112)))&gt;0)</f>
        <v>0</v>
      </c>
      <c r="W112" s="14" cm="1">
        <f t="array" ref="W112">INT(SUMPRODUCT(--ISNUMBER(SEARCH(trump,C112)))&gt;0)</f>
        <v>0</v>
      </c>
      <c r="X112" s="14" cm="1">
        <f t="array" ref="X112">INT(SUMPRODUCT(--ISNUMBER(SEARCH(voting,C112)))&gt;0)</f>
        <v>0</v>
      </c>
      <c r="Y112" s="35" cm="1">
        <f t="array" ref="Y112">INT(SUMPRODUCT(--ISNUMBER(SEARCH(republicantrigger,C112)))&gt;0)</f>
        <v>1</v>
      </c>
      <c r="Z112" s="35" cm="1">
        <f t="array" ref="Z112">INT(SUMPRODUCT(--ISNUMBER(SEARCH(bipartisan,C112)))&gt;0)</f>
        <v>0</v>
      </c>
      <c r="AA112" s="35">
        <f t="shared" si="3"/>
        <v>0</v>
      </c>
      <c r="AB112" s="14"/>
      <c r="AC112" s="30">
        <v>0</v>
      </c>
      <c r="AD112" s="37">
        <v>0</v>
      </c>
    </row>
    <row r="113" spans="1:30" x14ac:dyDescent="0.25">
      <c r="A113" s="36">
        <v>4433</v>
      </c>
      <c r="B113" s="14" t="s">
        <v>8889</v>
      </c>
      <c r="C113" s="31" t="s">
        <v>8890</v>
      </c>
      <c r="D113" s="17">
        <v>44113</v>
      </c>
      <c r="E113" s="14" t="s">
        <v>30</v>
      </c>
      <c r="F113" s="14">
        <v>91</v>
      </c>
      <c r="G113" s="14">
        <v>43</v>
      </c>
      <c r="H113" s="14">
        <v>20</v>
      </c>
      <c r="I113" s="14">
        <v>10</v>
      </c>
      <c r="J113" s="14" t="s">
        <v>31</v>
      </c>
      <c r="K113" s="14" cm="1">
        <f t="array" ref="K113">INT(SUMPRODUCT(--ISNUMBER(SEARCH(economy,C113)))&gt;0)</f>
        <v>0</v>
      </c>
      <c r="L113" s="14" cm="1">
        <f t="array" ref="L113">INT(SUMPRODUCT(--ISNUMBER(SEARCH(healthcare,C113)))&gt;0)</f>
        <v>0</v>
      </c>
      <c r="M113" s="14" cm="1">
        <f t="array" ref="M113">INT(SUMPRODUCT(--ISNUMBER(SEARCH(supreme,C113)))&gt;0)</f>
        <v>0</v>
      </c>
      <c r="N113" s="14" cm="1">
        <f t="array" ref="N113">INT(SUMPRODUCT(--ISNUMBER(SEARCH(covid,C113)))&gt;0)</f>
        <v>0</v>
      </c>
      <c r="O113" s="14" cm="1">
        <f t="array" ref="O113">INT(SUMPRODUCT(--ISNUMBER(SEARCH(violent,C113)))&gt;0)</f>
        <v>0</v>
      </c>
      <c r="P113" s="14" cm="1">
        <f t="array" ref="P113">INT(SUMPRODUCT(--ISNUMBER(SEARCH(foreign,C113)))&gt;0)</f>
        <v>0</v>
      </c>
      <c r="Q113" s="14" cm="1">
        <f t="array" ref="Q113">INT(SUMPRODUCT(--ISNUMBER(SEARCH(gun,C113)))&gt;0)</f>
        <v>0</v>
      </c>
      <c r="R113" s="14" cm="1">
        <f t="array" ref="R113">INT(SUMPRODUCT(--ISNUMBER(SEARCH(race,C113)))&gt;0)</f>
        <v>0</v>
      </c>
      <c r="S113" s="14" cm="1">
        <f t="array" ref="S113">INT(SUMPRODUCT(--ISNUMBER(SEARCH(immigration,C113)))&gt;0)</f>
        <v>0</v>
      </c>
      <c r="T113" s="14" cm="1">
        <f t="array" ref="T113">INT(SUMPRODUCT(--ISNUMBER(SEARCH(econineq,C114)))&gt;0)</f>
        <v>0</v>
      </c>
      <c r="U113" s="14" cm="1">
        <f t="array" ref="U113">INT(SUMPRODUCT(--ISNUMBER(SEARCH(climate,C113)))&gt;0)</f>
        <v>0</v>
      </c>
      <c r="V113" s="14" cm="1">
        <f t="array" ref="V113">INT(SUMPRODUCT(--ISNUMBER(SEARCH(abortion,C113)))&gt;0)</f>
        <v>0</v>
      </c>
      <c r="W113" s="14" cm="1">
        <f t="array" ref="W113">INT(SUMPRODUCT(--ISNUMBER(SEARCH(trump,C113)))&gt;0)</f>
        <v>0</v>
      </c>
      <c r="X113" s="14" cm="1">
        <f t="array" ref="X113">INT(SUMPRODUCT(--ISNUMBER(SEARCH(voting,C113)))&gt;0)</f>
        <v>0</v>
      </c>
      <c r="Y113" s="35" cm="1">
        <f t="array" ref="Y113">INT(SUMPRODUCT(--ISNUMBER(SEARCH(republicantrigger,C113)))&gt;0)</f>
        <v>1</v>
      </c>
      <c r="Z113" s="35" cm="1">
        <f t="array" ref="Z113">INT(SUMPRODUCT(--ISNUMBER(SEARCH(bipartisan,C113)))&gt;0)</f>
        <v>0</v>
      </c>
      <c r="AA113" s="35">
        <f t="shared" si="3"/>
        <v>0</v>
      </c>
      <c r="AB113" s="14"/>
      <c r="AC113" s="30">
        <v>0</v>
      </c>
      <c r="AD113" s="37">
        <v>0</v>
      </c>
    </row>
    <row r="114" spans="1:30" x14ac:dyDescent="0.25">
      <c r="A114" s="36">
        <v>4434</v>
      </c>
      <c r="B114" s="14" t="s">
        <v>8891</v>
      </c>
      <c r="C114" s="31" t="s">
        <v>8892</v>
      </c>
      <c r="D114" s="17">
        <v>44112</v>
      </c>
      <c r="E114" s="14" t="s">
        <v>30</v>
      </c>
      <c r="F114" s="14">
        <v>68</v>
      </c>
      <c r="G114" s="14">
        <v>44</v>
      </c>
      <c r="H114" s="14">
        <v>20</v>
      </c>
      <c r="I114" s="14">
        <v>10</v>
      </c>
      <c r="J114" s="14" t="s">
        <v>31</v>
      </c>
      <c r="K114" s="14" cm="1">
        <f t="array" ref="K114">INT(SUMPRODUCT(--ISNUMBER(SEARCH(economy,C114)))&gt;0)</f>
        <v>0</v>
      </c>
      <c r="L114" s="14" cm="1">
        <f t="array" ref="L114">INT(SUMPRODUCT(--ISNUMBER(SEARCH(healthcare,C114)))&gt;0)</f>
        <v>0</v>
      </c>
      <c r="M114" s="14" cm="1">
        <f t="array" ref="M114">INT(SUMPRODUCT(--ISNUMBER(SEARCH(supreme,C114)))&gt;0)</f>
        <v>0</v>
      </c>
      <c r="N114" s="14" cm="1">
        <f t="array" ref="N114">INT(SUMPRODUCT(--ISNUMBER(SEARCH(covid,C114)))&gt;0)</f>
        <v>1</v>
      </c>
      <c r="O114" s="14" cm="1">
        <f t="array" ref="O114">INT(SUMPRODUCT(--ISNUMBER(SEARCH(violent,C114)))&gt;0)</f>
        <v>0</v>
      </c>
      <c r="P114" s="14" cm="1">
        <f t="array" ref="P114">INT(SUMPRODUCT(--ISNUMBER(SEARCH(foreign,C114)))&gt;0)</f>
        <v>0</v>
      </c>
      <c r="Q114" s="14" cm="1">
        <f t="array" ref="Q114">INT(SUMPRODUCT(--ISNUMBER(SEARCH(gun,C114)))&gt;0)</f>
        <v>0</v>
      </c>
      <c r="R114" s="14" cm="1">
        <f t="array" ref="R114">INT(SUMPRODUCT(--ISNUMBER(SEARCH(race,C114)))&gt;0)</f>
        <v>0</v>
      </c>
      <c r="S114" s="14" cm="1">
        <f t="array" ref="S114">INT(SUMPRODUCT(--ISNUMBER(SEARCH(immigration,C114)))&gt;0)</f>
        <v>0</v>
      </c>
      <c r="T114" s="14" cm="1">
        <f t="array" ref="T114">INT(SUMPRODUCT(--ISNUMBER(SEARCH(econineq,C115)))&gt;0)</f>
        <v>0</v>
      </c>
      <c r="U114" s="14" cm="1">
        <f t="array" ref="U114">INT(SUMPRODUCT(--ISNUMBER(SEARCH(climate,C114)))&gt;0)</f>
        <v>0</v>
      </c>
      <c r="V114" s="14" cm="1">
        <f t="array" ref="V114">INT(SUMPRODUCT(--ISNUMBER(SEARCH(abortion,C114)))&gt;0)</f>
        <v>0</v>
      </c>
      <c r="W114" s="14" cm="1">
        <f t="array" ref="W114">INT(SUMPRODUCT(--ISNUMBER(SEARCH(trump,C114)))&gt;0)</f>
        <v>0</v>
      </c>
      <c r="X114" s="14" cm="1">
        <f t="array" ref="X114">INT(SUMPRODUCT(--ISNUMBER(SEARCH(voting,C114)))&gt;0)</f>
        <v>1</v>
      </c>
      <c r="Y114" s="35" cm="1">
        <f t="array" ref="Y114">INT(SUMPRODUCT(--ISNUMBER(SEARCH(republicantrigger,C114)))&gt;0)</f>
        <v>1</v>
      </c>
      <c r="Z114" s="35" cm="1">
        <f t="array" ref="Z114">INT(SUMPRODUCT(--ISNUMBER(SEARCH(bipartisan,C114)))&gt;0)</f>
        <v>0</v>
      </c>
      <c r="AA114" s="35">
        <f t="shared" si="3"/>
        <v>0</v>
      </c>
      <c r="AB114" s="14"/>
      <c r="AC114" s="30">
        <v>0</v>
      </c>
      <c r="AD114" s="37">
        <v>0</v>
      </c>
    </row>
    <row r="115" spans="1:30" x14ac:dyDescent="0.25">
      <c r="A115" s="36">
        <v>4435</v>
      </c>
      <c r="B115" s="14" t="s">
        <v>8893</v>
      </c>
      <c r="C115" s="31" t="s">
        <v>8894</v>
      </c>
      <c r="D115" s="17">
        <v>44112</v>
      </c>
      <c r="E115" s="14" t="s">
        <v>30</v>
      </c>
      <c r="F115" s="14">
        <v>814</v>
      </c>
      <c r="G115" s="14">
        <v>162</v>
      </c>
      <c r="H115" s="14">
        <v>20</v>
      </c>
      <c r="I115" s="14">
        <v>10</v>
      </c>
      <c r="J115" s="14" t="s">
        <v>31</v>
      </c>
      <c r="K115" s="14" cm="1">
        <f t="array" ref="K115">INT(SUMPRODUCT(--ISNUMBER(SEARCH(economy,C115)))&gt;0)</f>
        <v>0</v>
      </c>
      <c r="L115" s="14" cm="1">
        <f t="array" ref="L115">INT(SUMPRODUCT(--ISNUMBER(SEARCH(healthcare,C115)))&gt;0)</f>
        <v>0</v>
      </c>
      <c r="M115" s="14" cm="1">
        <f t="array" ref="M115">INT(SUMPRODUCT(--ISNUMBER(SEARCH(supreme,C115)))&gt;0)</f>
        <v>1</v>
      </c>
      <c r="N115" s="14" cm="1">
        <f t="array" ref="N115">INT(SUMPRODUCT(--ISNUMBER(SEARCH(covid,C115)))&gt;0)</f>
        <v>0</v>
      </c>
      <c r="O115" s="14" cm="1">
        <f t="array" ref="O115">INT(SUMPRODUCT(--ISNUMBER(SEARCH(violent,C115)))&gt;0)</f>
        <v>0</v>
      </c>
      <c r="P115" s="14" cm="1">
        <f t="array" ref="P115">INT(SUMPRODUCT(--ISNUMBER(SEARCH(foreign,C115)))&gt;0)</f>
        <v>0</v>
      </c>
      <c r="Q115" s="14" cm="1">
        <f t="array" ref="Q115">INT(SUMPRODUCT(--ISNUMBER(SEARCH(gun,C115)))&gt;0)</f>
        <v>0</v>
      </c>
      <c r="R115" s="14" cm="1">
        <f t="array" ref="R115">INT(SUMPRODUCT(--ISNUMBER(SEARCH(race,C115)))&gt;0)</f>
        <v>0</v>
      </c>
      <c r="S115" s="14" cm="1">
        <f t="array" ref="S115">INT(SUMPRODUCT(--ISNUMBER(SEARCH(immigration,C115)))&gt;0)</f>
        <v>0</v>
      </c>
      <c r="T115" s="14" cm="1">
        <f t="array" ref="T115">INT(SUMPRODUCT(--ISNUMBER(SEARCH(econineq,C116)))&gt;0)</f>
        <v>0</v>
      </c>
      <c r="U115" s="14" cm="1">
        <f t="array" ref="U115">INT(SUMPRODUCT(--ISNUMBER(SEARCH(climate,C115)))&gt;0)</f>
        <v>0</v>
      </c>
      <c r="V115" s="14" cm="1">
        <f t="array" ref="V115">INT(SUMPRODUCT(--ISNUMBER(SEARCH(abortion,C115)))&gt;0)</f>
        <v>0</v>
      </c>
      <c r="W115" s="14" cm="1">
        <f t="array" ref="W115">INT(SUMPRODUCT(--ISNUMBER(SEARCH(trump,C115)))&gt;0)</f>
        <v>0</v>
      </c>
      <c r="X115" s="14" cm="1">
        <f t="array" ref="X115">INT(SUMPRODUCT(--ISNUMBER(SEARCH(voting,C115)))&gt;0)</f>
        <v>0</v>
      </c>
      <c r="Y115" s="35" cm="1">
        <f t="array" ref="Y115">INT(SUMPRODUCT(--ISNUMBER(SEARCH(republicantrigger,C115)))&gt;0)</f>
        <v>1</v>
      </c>
      <c r="Z115" s="35" cm="1">
        <f t="array" ref="Z115">INT(SUMPRODUCT(--ISNUMBER(SEARCH(bipartisan,C115)))&gt;0)</f>
        <v>0</v>
      </c>
      <c r="AA115" s="35">
        <f t="shared" si="3"/>
        <v>0</v>
      </c>
      <c r="AB115" s="14"/>
      <c r="AC115" s="30">
        <v>0</v>
      </c>
      <c r="AD115" s="37">
        <v>0</v>
      </c>
    </row>
    <row r="116" spans="1:30" x14ac:dyDescent="0.25">
      <c r="A116" s="36">
        <v>4436</v>
      </c>
      <c r="B116" s="14" t="s">
        <v>8895</v>
      </c>
      <c r="C116" s="31" t="s">
        <v>8896</v>
      </c>
      <c r="D116" s="17">
        <v>44110</v>
      </c>
      <c r="E116" s="14" t="s">
        <v>30</v>
      </c>
      <c r="F116" s="14">
        <v>61</v>
      </c>
      <c r="G116" s="14">
        <v>17</v>
      </c>
      <c r="H116" s="14">
        <v>20</v>
      </c>
      <c r="I116" s="14">
        <v>10</v>
      </c>
      <c r="J116" s="14" t="s">
        <v>31</v>
      </c>
      <c r="K116" s="14" cm="1">
        <f t="array" ref="K116">INT(SUMPRODUCT(--ISNUMBER(SEARCH(economy,C116)))&gt;0)</f>
        <v>0</v>
      </c>
      <c r="L116" s="14" cm="1">
        <f t="array" ref="L116">INT(SUMPRODUCT(--ISNUMBER(SEARCH(healthcare,C116)))&gt;0)</f>
        <v>0</v>
      </c>
      <c r="M116" s="14" cm="1">
        <f t="array" ref="M116">INT(SUMPRODUCT(--ISNUMBER(SEARCH(supreme,C116)))&gt;0)</f>
        <v>0</v>
      </c>
      <c r="N116" s="14" cm="1">
        <f t="array" ref="N116">INT(SUMPRODUCT(--ISNUMBER(SEARCH(covid,C116)))&gt;0)</f>
        <v>0</v>
      </c>
      <c r="O116" s="14" cm="1">
        <f t="array" ref="O116">INT(SUMPRODUCT(--ISNUMBER(SEARCH(violent,C116)))&gt;0)</f>
        <v>0</v>
      </c>
      <c r="P116" s="14" cm="1">
        <f t="array" ref="P116">INT(SUMPRODUCT(--ISNUMBER(SEARCH(foreign,C116)))&gt;0)</f>
        <v>0</v>
      </c>
      <c r="Q116" s="14" cm="1">
        <f t="array" ref="Q116">INT(SUMPRODUCT(--ISNUMBER(SEARCH(gun,C116)))&gt;0)</f>
        <v>0</v>
      </c>
      <c r="R116" s="14" cm="1">
        <f t="array" ref="R116">INT(SUMPRODUCT(--ISNUMBER(SEARCH(race,C116)))&gt;0)</f>
        <v>0</v>
      </c>
      <c r="S116" s="14" cm="1">
        <f t="array" ref="S116">INT(SUMPRODUCT(--ISNUMBER(SEARCH(immigration,C116)))&gt;0)</f>
        <v>0</v>
      </c>
      <c r="T116" s="14" cm="1">
        <f t="array" ref="T116">INT(SUMPRODUCT(--ISNUMBER(SEARCH(econineq,C117)))&gt;0)</f>
        <v>0</v>
      </c>
      <c r="U116" s="14" cm="1">
        <f t="array" ref="U116">INT(SUMPRODUCT(--ISNUMBER(SEARCH(climate,C116)))&gt;0)</f>
        <v>0</v>
      </c>
      <c r="V116" s="14" cm="1">
        <f t="array" ref="V116">INT(SUMPRODUCT(--ISNUMBER(SEARCH(abortion,C116)))&gt;0)</f>
        <v>0</v>
      </c>
      <c r="W116" s="14" cm="1">
        <f t="array" ref="W116">INT(SUMPRODUCT(--ISNUMBER(SEARCH(trump,C116)))&gt;0)</f>
        <v>1</v>
      </c>
      <c r="X116" s="14" cm="1">
        <f t="array" ref="X116">INT(SUMPRODUCT(--ISNUMBER(SEARCH(voting,C116)))&gt;0)</f>
        <v>0</v>
      </c>
      <c r="Y116" s="35" cm="1">
        <f t="array" ref="Y116">INT(SUMPRODUCT(--ISNUMBER(SEARCH(republicantrigger,C116)))&gt;0)</f>
        <v>0</v>
      </c>
      <c r="Z116" s="35" cm="1">
        <f t="array" ref="Z116">INT(SUMPRODUCT(--ISNUMBER(SEARCH(bipartisan,C116)))&gt;0)</f>
        <v>0</v>
      </c>
      <c r="AA116" s="35">
        <f t="shared" si="3"/>
        <v>0</v>
      </c>
      <c r="AB116" s="14"/>
      <c r="AC116" s="30">
        <v>0</v>
      </c>
      <c r="AD116" s="37">
        <v>0</v>
      </c>
    </row>
    <row r="117" spans="1:30" x14ac:dyDescent="0.25">
      <c r="A117" s="36">
        <v>4437</v>
      </c>
      <c r="B117" s="14" t="s">
        <v>8897</v>
      </c>
      <c r="C117" s="31" t="s">
        <v>8898</v>
      </c>
      <c r="D117" s="17">
        <v>44110</v>
      </c>
      <c r="E117" s="14" t="s">
        <v>30</v>
      </c>
      <c r="F117" s="14">
        <v>3753</v>
      </c>
      <c r="G117" s="14">
        <v>1049</v>
      </c>
      <c r="H117" s="14">
        <v>20</v>
      </c>
      <c r="I117" s="14">
        <v>10</v>
      </c>
      <c r="J117" s="14" t="s">
        <v>31</v>
      </c>
      <c r="K117" s="14" cm="1">
        <f t="array" ref="K117">INT(SUMPRODUCT(--ISNUMBER(SEARCH(economy,C117)))&gt;0)</f>
        <v>0</v>
      </c>
      <c r="L117" s="14" cm="1">
        <f t="array" ref="L117">INT(SUMPRODUCT(--ISNUMBER(SEARCH(healthcare,C117)))&gt;0)</f>
        <v>0</v>
      </c>
      <c r="M117" s="14" cm="1">
        <f t="array" ref="M117">INT(SUMPRODUCT(--ISNUMBER(SEARCH(supreme,C117)))&gt;0)</f>
        <v>0</v>
      </c>
      <c r="N117" s="14" cm="1">
        <f t="array" ref="N117">INT(SUMPRODUCT(--ISNUMBER(SEARCH(covid,C117)))&gt;0)</f>
        <v>0</v>
      </c>
      <c r="O117" s="14" cm="1">
        <f t="array" ref="O117">INT(SUMPRODUCT(--ISNUMBER(SEARCH(violent,C117)))&gt;0)</f>
        <v>0</v>
      </c>
      <c r="P117" s="14" cm="1">
        <f t="array" ref="P117">INT(SUMPRODUCT(--ISNUMBER(SEARCH(foreign,C117)))&gt;0)</f>
        <v>0</v>
      </c>
      <c r="Q117" s="14" cm="1">
        <f t="array" ref="Q117">INT(SUMPRODUCT(--ISNUMBER(SEARCH(gun,C117)))&gt;0)</f>
        <v>0</v>
      </c>
      <c r="R117" s="14" cm="1">
        <f t="array" ref="R117">INT(SUMPRODUCT(--ISNUMBER(SEARCH(race,C117)))&gt;0)</f>
        <v>0</v>
      </c>
      <c r="S117" s="14" cm="1">
        <f t="array" ref="S117">INT(SUMPRODUCT(--ISNUMBER(SEARCH(immigration,C117)))&gt;0)</f>
        <v>0</v>
      </c>
      <c r="T117" s="14" cm="1">
        <f t="array" ref="T117">INT(SUMPRODUCT(--ISNUMBER(SEARCH(econineq,C118)))&gt;0)</f>
        <v>0</v>
      </c>
      <c r="U117" s="14" cm="1">
        <f t="array" ref="U117">INT(SUMPRODUCT(--ISNUMBER(SEARCH(climate,C117)))&gt;0)</f>
        <v>0</v>
      </c>
      <c r="V117" s="14" cm="1">
        <f t="array" ref="V117">INT(SUMPRODUCT(--ISNUMBER(SEARCH(abortion,C117)))&gt;0)</f>
        <v>0</v>
      </c>
      <c r="W117" s="14" cm="1">
        <f t="array" ref="W117">INT(SUMPRODUCT(--ISNUMBER(SEARCH(trump,C117)))&gt;0)</f>
        <v>0</v>
      </c>
      <c r="X117" s="14" cm="1">
        <f t="array" ref="X117">INT(SUMPRODUCT(--ISNUMBER(SEARCH(voting,C117)))&gt;0)</f>
        <v>1</v>
      </c>
      <c r="Y117" s="35" cm="1">
        <f t="array" ref="Y117">INT(SUMPRODUCT(--ISNUMBER(SEARCH(republicantrigger,C117)))&gt;0)</f>
        <v>0</v>
      </c>
      <c r="Z117" s="35" cm="1">
        <f t="array" ref="Z117">INT(SUMPRODUCT(--ISNUMBER(SEARCH(bipartisan,C117)))&gt;0)</f>
        <v>0</v>
      </c>
      <c r="AA117" s="35">
        <f t="shared" si="3"/>
        <v>0</v>
      </c>
      <c r="AB117" s="14"/>
      <c r="AC117" s="30">
        <v>0</v>
      </c>
      <c r="AD117" s="37">
        <v>0</v>
      </c>
    </row>
    <row r="118" spans="1:30" x14ac:dyDescent="0.25">
      <c r="A118" s="36">
        <v>4438</v>
      </c>
      <c r="B118" s="14" t="s">
        <v>8899</v>
      </c>
      <c r="C118" s="31" t="s">
        <v>8900</v>
      </c>
      <c r="D118" s="17">
        <v>44110</v>
      </c>
      <c r="E118" s="14" t="s">
        <v>30</v>
      </c>
      <c r="F118" s="14">
        <v>95</v>
      </c>
      <c r="G118" s="14">
        <v>69</v>
      </c>
      <c r="H118" s="14">
        <v>20</v>
      </c>
      <c r="I118" s="14">
        <v>10</v>
      </c>
      <c r="J118" s="14" t="s">
        <v>31</v>
      </c>
      <c r="K118" s="14" cm="1">
        <f t="array" ref="K118">INT(SUMPRODUCT(--ISNUMBER(SEARCH(economy,C118)))&gt;0)</f>
        <v>0</v>
      </c>
      <c r="L118" s="14" cm="1">
        <f t="array" ref="L118">INT(SUMPRODUCT(--ISNUMBER(SEARCH(healthcare,C118)))&gt;0)</f>
        <v>0</v>
      </c>
      <c r="M118" s="14" cm="1">
        <f t="array" ref="M118">INT(SUMPRODUCT(--ISNUMBER(SEARCH(supreme,C118)))&gt;0)</f>
        <v>0</v>
      </c>
      <c r="N118" s="14" cm="1">
        <f t="array" ref="N118">INT(SUMPRODUCT(--ISNUMBER(SEARCH(covid,C118)))&gt;0)</f>
        <v>1</v>
      </c>
      <c r="O118" s="14" cm="1">
        <f t="array" ref="O118">INT(SUMPRODUCT(--ISNUMBER(SEARCH(violent,C118)))&gt;0)</f>
        <v>0</v>
      </c>
      <c r="P118" s="14" cm="1">
        <f t="array" ref="P118">INT(SUMPRODUCT(--ISNUMBER(SEARCH(foreign,C118)))&gt;0)</f>
        <v>0</v>
      </c>
      <c r="Q118" s="14" cm="1">
        <f t="array" ref="Q118">INT(SUMPRODUCT(--ISNUMBER(SEARCH(gun,C118)))&gt;0)</f>
        <v>0</v>
      </c>
      <c r="R118" s="14" cm="1">
        <f t="array" ref="R118">INT(SUMPRODUCT(--ISNUMBER(SEARCH(race,C118)))&gt;0)</f>
        <v>0</v>
      </c>
      <c r="S118" s="14" cm="1">
        <f t="array" ref="S118">INT(SUMPRODUCT(--ISNUMBER(SEARCH(immigration,C118)))&gt;0)</f>
        <v>0</v>
      </c>
      <c r="T118" s="14" cm="1">
        <f t="array" ref="T118">INT(SUMPRODUCT(--ISNUMBER(SEARCH(econineq,C119)))&gt;0)</f>
        <v>0</v>
      </c>
      <c r="U118" s="14" cm="1">
        <f t="array" ref="U118">INT(SUMPRODUCT(--ISNUMBER(SEARCH(climate,C118)))&gt;0)</f>
        <v>0</v>
      </c>
      <c r="V118" s="14" cm="1">
        <f t="array" ref="V118">INT(SUMPRODUCT(--ISNUMBER(SEARCH(abortion,C118)))&gt;0)</f>
        <v>0</v>
      </c>
      <c r="W118" s="14" cm="1">
        <f t="array" ref="W118">INT(SUMPRODUCT(--ISNUMBER(SEARCH(trump,C118)))&gt;0)</f>
        <v>0</v>
      </c>
      <c r="X118" s="14" cm="1">
        <f t="array" ref="X118">INT(SUMPRODUCT(--ISNUMBER(SEARCH(voting,C118)))&gt;0)</f>
        <v>0</v>
      </c>
      <c r="Y118" s="35" cm="1">
        <f t="array" ref="Y118">INT(SUMPRODUCT(--ISNUMBER(SEARCH(republicantrigger,C118)))&gt;0)</f>
        <v>1</v>
      </c>
      <c r="Z118" s="35" cm="1">
        <f t="array" ref="Z118">INT(SUMPRODUCT(--ISNUMBER(SEARCH(bipartisan,C118)))&gt;0)</f>
        <v>0</v>
      </c>
      <c r="AA118" s="35">
        <f t="shared" si="3"/>
        <v>0</v>
      </c>
      <c r="AB118" s="14"/>
      <c r="AC118" s="30">
        <v>0</v>
      </c>
      <c r="AD118" s="37">
        <v>0</v>
      </c>
    </row>
    <row r="119" spans="1:30" x14ac:dyDescent="0.25">
      <c r="A119" s="36">
        <v>4439</v>
      </c>
      <c r="B119" s="14" t="s">
        <v>8901</v>
      </c>
      <c r="C119" s="31" t="s">
        <v>8902</v>
      </c>
      <c r="D119" s="17">
        <v>44110</v>
      </c>
      <c r="E119" s="14" t="s">
        <v>30</v>
      </c>
      <c r="F119" s="14">
        <v>479</v>
      </c>
      <c r="G119" s="14">
        <v>220</v>
      </c>
      <c r="H119" s="14">
        <v>20</v>
      </c>
      <c r="I119" s="14">
        <v>10</v>
      </c>
      <c r="J119" s="14" t="s">
        <v>31</v>
      </c>
      <c r="K119" s="14" cm="1">
        <f t="array" ref="K119">INT(SUMPRODUCT(--ISNUMBER(SEARCH(economy,C119)))&gt;0)</f>
        <v>0</v>
      </c>
      <c r="L119" s="14" cm="1">
        <f t="array" ref="L119">INT(SUMPRODUCT(--ISNUMBER(SEARCH(healthcare,C119)))&gt;0)</f>
        <v>0</v>
      </c>
      <c r="M119" s="14" cm="1">
        <f t="array" ref="M119">INT(SUMPRODUCT(--ISNUMBER(SEARCH(supreme,C119)))&gt;0)</f>
        <v>0</v>
      </c>
      <c r="N119" s="14" cm="1">
        <f t="array" ref="N119">INT(SUMPRODUCT(--ISNUMBER(SEARCH(covid,C119)))&gt;0)</f>
        <v>1</v>
      </c>
      <c r="O119" s="14" cm="1">
        <f t="array" ref="O119">INT(SUMPRODUCT(--ISNUMBER(SEARCH(violent,C119)))&gt;0)</f>
        <v>0</v>
      </c>
      <c r="P119" s="14" cm="1">
        <f t="array" ref="P119">INT(SUMPRODUCT(--ISNUMBER(SEARCH(foreign,C119)))&gt;0)</f>
        <v>1</v>
      </c>
      <c r="Q119" s="14" cm="1">
        <f t="array" ref="Q119">INT(SUMPRODUCT(--ISNUMBER(SEARCH(gun,C119)))&gt;0)</f>
        <v>0</v>
      </c>
      <c r="R119" s="14" cm="1">
        <f t="array" ref="R119">INT(SUMPRODUCT(--ISNUMBER(SEARCH(race,C119)))&gt;0)</f>
        <v>0</v>
      </c>
      <c r="S119" s="14" cm="1">
        <f t="array" ref="S119">INT(SUMPRODUCT(--ISNUMBER(SEARCH(immigration,C119)))&gt;0)</f>
        <v>0</v>
      </c>
      <c r="T119" s="14" cm="1">
        <f t="array" ref="T119">INT(SUMPRODUCT(--ISNUMBER(SEARCH(econineq,C120)))&gt;0)</f>
        <v>0</v>
      </c>
      <c r="U119" s="14" cm="1">
        <f t="array" ref="U119">INT(SUMPRODUCT(--ISNUMBER(SEARCH(climate,C119)))&gt;0)</f>
        <v>0</v>
      </c>
      <c r="V119" s="14" cm="1">
        <f t="array" ref="V119">INT(SUMPRODUCT(--ISNUMBER(SEARCH(abortion,C119)))&gt;0)</f>
        <v>0</v>
      </c>
      <c r="W119" s="14" cm="1">
        <f t="array" ref="W119">INT(SUMPRODUCT(--ISNUMBER(SEARCH(trump,C119)))&gt;0)</f>
        <v>0</v>
      </c>
      <c r="X119" s="14" cm="1">
        <f t="array" ref="X119">INT(SUMPRODUCT(--ISNUMBER(SEARCH(voting,C119)))&gt;0)</f>
        <v>0</v>
      </c>
      <c r="Y119" s="35" cm="1">
        <f t="array" ref="Y119">INT(SUMPRODUCT(--ISNUMBER(SEARCH(republicantrigger,C119)))&gt;0)</f>
        <v>1</v>
      </c>
      <c r="Z119" s="35" cm="1">
        <f t="array" ref="Z119">INT(SUMPRODUCT(--ISNUMBER(SEARCH(bipartisan,C119)))&gt;0)</f>
        <v>0</v>
      </c>
      <c r="AA119" s="35">
        <f t="shared" si="3"/>
        <v>0</v>
      </c>
      <c r="AB119" s="14"/>
      <c r="AC119" s="30">
        <v>0</v>
      </c>
      <c r="AD119" s="37">
        <v>1</v>
      </c>
    </row>
    <row r="120" spans="1:30" x14ac:dyDescent="0.25">
      <c r="A120" s="36">
        <v>4440</v>
      </c>
      <c r="B120" s="14" t="s">
        <v>8903</v>
      </c>
      <c r="C120" s="31" t="s">
        <v>8904</v>
      </c>
      <c r="D120" s="17">
        <v>44109</v>
      </c>
      <c r="E120" s="14" t="s">
        <v>30</v>
      </c>
      <c r="F120" s="14">
        <v>58</v>
      </c>
      <c r="G120" s="14">
        <v>28</v>
      </c>
      <c r="H120" s="14">
        <v>20</v>
      </c>
      <c r="I120" s="14">
        <v>10</v>
      </c>
      <c r="J120" s="14" t="s">
        <v>31</v>
      </c>
      <c r="K120" s="14" cm="1">
        <f t="array" ref="K120">INT(SUMPRODUCT(--ISNUMBER(SEARCH(economy,C120)))&gt;0)</f>
        <v>0</v>
      </c>
      <c r="L120" s="14" cm="1">
        <f t="array" ref="L120">INT(SUMPRODUCT(--ISNUMBER(SEARCH(healthcare,C120)))&gt;0)</f>
        <v>0</v>
      </c>
      <c r="M120" s="14" cm="1">
        <f t="array" ref="M120">INT(SUMPRODUCT(--ISNUMBER(SEARCH(supreme,C120)))&gt;0)</f>
        <v>1</v>
      </c>
      <c r="N120" s="14" cm="1">
        <f t="array" ref="N120">INT(SUMPRODUCT(--ISNUMBER(SEARCH(covid,C120)))&gt;0)</f>
        <v>0</v>
      </c>
      <c r="O120" s="14" cm="1">
        <f t="array" ref="O120">INT(SUMPRODUCT(--ISNUMBER(SEARCH(violent,C120)))&gt;0)</f>
        <v>0</v>
      </c>
      <c r="P120" s="14" cm="1">
        <f t="array" ref="P120">INT(SUMPRODUCT(--ISNUMBER(SEARCH(foreign,C120)))&gt;0)</f>
        <v>0</v>
      </c>
      <c r="Q120" s="14" cm="1">
        <f t="array" ref="Q120">INT(SUMPRODUCT(--ISNUMBER(SEARCH(gun,C120)))&gt;0)</f>
        <v>0</v>
      </c>
      <c r="R120" s="14" cm="1">
        <f t="array" ref="R120">INT(SUMPRODUCT(--ISNUMBER(SEARCH(race,C120)))&gt;0)</f>
        <v>0</v>
      </c>
      <c r="S120" s="14" cm="1">
        <f t="array" ref="S120">INT(SUMPRODUCT(--ISNUMBER(SEARCH(immigration,C120)))&gt;0)</f>
        <v>0</v>
      </c>
      <c r="T120" s="14" cm="1">
        <f t="array" ref="T120">INT(SUMPRODUCT(--ISNUMBER(SEARCH(econineq,C121)))&gt;0)</f>
        <v>0</v>
      </c>
      <c r="U120" s="14" cm="1">
        <f t="array" ref="U120">INT(SUMPRODUCT(--ISNUMBER(SEARCH(climate,C120)))&gt;0)</f>
        <v>0</v>
      </c>
      <c r="V120" s="14" cm="1">
        <f t="array" ref="V120">INT(SUMPRODUCT(--ISNUMBER(SEARCH(abortion,C120)))&gt;0)</f>
        <v>0</v>
      </c>
      <c r="W120" s="14" cm="1">
        <f t="array" ref="W120">INT(SUMPRODUCT(--ISNUMBER(SEARCH(trump,C120)))&gt;0)</f>
        <v>0</v>
      </c>
      <c r="X120" s="14" cm="1">
        <f t="array" ref="X120">INT(SUMPRODUCT(--ISNUMBER(SEARCH(voting,C120)))&gt;0)</f>
        <v>1</v>
      </c>
      <c r="Y120" s="35" cm="1">
        <f t="array" ref="Y120">INT(SUMPRODUCT(--ISNUMBER(SEARCH(republicantrigger,C120)))&gt;0)</f>
        <v>1</v>
      </c>
      <c r="Z120" s="35" cm="1">
        <f t="array" ref="Z120">INT(SUMPRODUCT(--ISNUMBER(SEARCH(bipartisan,C120)))&gt;0)</f>
        <v>0</v>
      </c>
      <c r="AA120" s="35">
        <f t="shared" si="3"/>
        <v>0</v>
      </c>
      <c r="AB120" s="14"/>
      <c r="AC120" s="30">
        <v>0</v>
      </c>
      <c r="AD120" s="37">
        <v>0</v>
      </c>
    </row>
    <row r="121" spans="1:30" x14ac:dyDescent="0.25">
      <c r="A121" s="36">
        <v>4441</v>
      </c>
      <c r="B121" s="14" t="s">
        <v>8905</v>
      </c>
      <c r="C121" s="31" t="s">
        <v>8906</v>
      </c>
      <c r="D121" s="17">
        <v>44109</v>
      </c>
      <c r="E121" s="14" t="s">
        <v>30</v>
      </c>
      <c r="F121" s="14">
        <v>111</v>
      </c>
      <c r="G121" s="14">
        <v>49</v>
      </c>
      <c r="H121" s="14">
        <v>20</v>
      </c>
      <c r="I121" s="14">
        <v>10</v>
      </c>
      <c r="J121" s="14" t="s">
        <v>31</v>
      </c>
      <c r="K121" s="14" cm="1">
        <f t="array" ref="K121">INT(SUMPRODUCT(--ISNUMBER(SEARCH(economy,C121)))&gt;0)</f>
        <v>0</v>
      </c>
      <c r="L121" s="14" cm="1">
        <f t="array" ref="L121">INT(SUMPRODUCT(--ISNUMBER(SEARCH(healthcare,C121)))&gt;0)</f>
        <v>0</v>
      </c>
      <c r="M121" s="14" cm="1">
        <f t="array" ref="M121">INT(SUMPRODUCT(--ISNUMBER(SEARCH(supreme,C121)))&gt;0)</f>
        <v>0</v>
      </c>
      <c r="N121" s="14" cm="1">
        <f t="array" ref="N121">INT(SUMPRODUCT(--ISNUMBER(SEARCH(covid,C121)))&gt;0)</f>
        <v>1</v>
      </c>
      <c r="O121" s="14" cm="1">
        <f t="array" ref="O121">INT(SUMPRODUCT(--ISNUMBER(SEARCH(violent,C121)))&gt;0)</f>
        <v>0</v>
      </c>
      <c r="P121" s="14" cm="1">
        <f t="array" ref="P121">INT(SUMPRODUCT(--ISNUMBER(SEARCH(foreign,C121)))&gt;0)</f>
        <v>0</v>
      </c>
      <c r="Q121" s="14" cm="1">
        <f t="array" ref="Q121">INT(SUMPRODUCT(--ISNUMBER(SEARCH(gun,C121)))&gt;0)</f>
        <v>0</v>
      </c>
      <c r="R121" s="14" cm="1">
        <f t="array" ref="R121">INT(SUMPRODUCT(--ISNUMBER(SEARCH(race,C121)))&gt;0)</f>
        <v>0</v>
      </c>
      <c r="S121" s="14" cm="1">
        <f t="array" ref="S121">INT(SUMPRODUCT(--ISNUMBER(SEARCH(immigration,C121)))&gt;0)</f>
        <v>0</v>
      </c>
      <c r="T121" s="14" cm="1">
        <f t="array" ref="T121">INT(SUMPRODUCT(--ISNUMBER(SEARCH(econineq,C122)))&gt;0)</f>
        <v>0</v>
      </c>
      <c r="U121" s="14" cm="1">
        <f t="array" ref="U121">INT(SUMPRODUCT(--ISNUMBER(SEARCH(climate,C121)))&gt;0)</f>
        <v>0</v>
      </c>
      <c r="V121" s="14" cm="1">
        <f t="array" ref="V121">INT(SUMPRODUCT(--ISNUMBER(SEARCH(abortion,C121)))&gt;0)</f>
        <v>0</v>
      </c>
      <c r="W121" s="14" cm="1">
        <f t="array" ref="W121">INT(SUMPRODUCT(--ISNUMBER(SEARCH(trump,C121)))&gt;0)</f>
        <v>0</v>
      </c>
      <c r="X121" s="14" cm="1">
        <f t="array" ref="X121">INT(SUMPRODUCT(--ISNUMBER(SEARCH(voting,C121)))&gt;0)</f>
        <v>1</v>
      </c>
      <c r="Y121" s="35" cm="1">
        <f t="array" ref="Y121">INT(SUMPRODUCT(--ISNUMBER(SEARCH(republicantrigger,C121)))&gt;0)</f>
        <v>1</v>
      </c>
      <c r="Z121" s="35" cm="1">
        <f t="array" ref="Z121">INT(SUMPRODUCT(--ISNUMBER(SEARCH(bipartisan,C121)))&gt;0)</f>
        <v>0</v>
      </c>
      <c r="AA121" s="35">
        <f t="shared" si="3"/>
        <v>0</v>
      </c>
      <c r="AB121" s="14"/>
      <c r="AC121" s="30">
        <v>0</v>
      </c>
      <c r="AD121" s="37">
        <v>0</v>
      </c>
    </row>
    <row r="122" spans="1:30" x14ac:dyDescent="0.25">
      <c r="A122" s="36">
        <v>4442</v>
      </c>
      <c r="B122" s="14" t="s">
        <v>8907</v>
      </c>
      <c r="C122" s="31" t="s">
        <v>8908</v>
      </c>
      <c r="D122" s="17">
        <v>44109</v>
      </c>
      <c r="E122" s="14" t="s">
        <v>30</v>
      </c>
      <c r="F122" s="14">
        <v>30</v>
      </c>
      <c r="G122" s="14">
        <v>21</v>
      </c>
      <c r="H122" s="14">
        <v>20</v>
      </c>
      <c r="I122" s="14">
        <v>10</v>
      </c>
      <c r="J122" s="14" t="s">
        <v>31</v>
      </c>
      <c r="K122" s="14" cm="1">
        <f t="array" ref="K122">INT(SUMPRODUCT(--ISNUMBER(SEARCH(economy,C122)))&gt;0)</f>
        <v>0</v>
      </c>
      <c r="L122" s="14" cm="1">
        <f t="array" ref="L122">INT(SUMPRODUCT(--ISNUMBER(SEARCH(healthcare,C122)))&gt;0)</f>
        <v>1</v>
      </c>
      <c r="M122" s="14" cm="1">
        <f t="array" ref="M122">INT(SUMPRODUCT(--ISNUMBER(SEARCH(supreme,C122)))&gt;0)</f>
        <v>0</v>
      </c>
      <c r="N122" s="14" cm="1">
        <f t="array" ref="N122">INT(SUMPRODUCT(--ISNUMBER(SEARCH(covid,C122)))&gt;0)</f>
        <v>0</v>
      </c>
      <c r="O122" s="14" cm="1">
        <f t="array" ref="O122">INT(SUMPRODUCT(--ISNUMBER(SEARCH(violent,C122)))&gt;0)</f>
        <v>0</v>
      </c>
      <c r="P122" s="14" cm="1">
        <f t="array" ref="P122">INT(SUMPRODUCT(--ISNUMBER(SEARCH(foreign,C122)))&gt;0)</f>
        <v>0</v>
      </c>
      <c r="Q122" s="14" cm="1">
        <f t="array" ref="Q122">INT(SUMPRODUCT(--ISNUMBER(SEARCH(gun,C122)))&gt;0)</f>
        <v>0</v>
      </c>
      <c r="R122" s="14" cm="1">
        <f t="array" ref="R122">INT(SUMPRODUCT(--ISNUMBER(SEARCH(race,C122)))&gt;0)</f>
        <v>0</v>
      </c>
      <c r="S122" s="14" cm="1">
        <f t="array" ref="S122">INT(SUMPRODUCT(--ISNUMBER(SEARCH(immigration,C122)))&gt;0)</f>
        <v>0</v>
      </c>
      <c r="T122" s="14" cm="1">
        <f t="array" ref="T122">INT(SUMPRODUCT(--ISNUMBER(SEARCH(econineq,C123)))&gt;0)</f>
        <v>0</v>
      </c>
      <c r="U122" s="14" cm="1">
        <f t="array" ref="U122">INT(SUMPRODUCT(--ISNUMBER(SEARCH(climate,C122)))&gt;0)</f>
        <v>0</v>
      </c>
      <c r="V122" s="14" cm="1">
        <f t="array" ref="V122">INT(SUMPRODUCT(--ISNUMBER(SEARCH(abortion,C122)))&gt;0)</f>
        <v>0</v>
      </c>
      <c r="W122" s="14" cm="1">
        <f t="array" ref="W122">INT(SUMPRODUCT(--ISNUMBER(SEARCH(trump,C122)))&gt;0)</f>
        <v>0</v>
      </c>
      <c r="X122" s="14" cm="1">
        <f t="array" ref="X122">INT(SUMPRODUCT(--ISNUMBER(SEARCH(voting,C122)))&gt;0)</f>
        <v>0</v>
      </c>
      <c r="Y122" s="35" cm="1">
        <f t="array" ref="Y122">INT(SUMPRODUCT(--ISNUMBER(SEARCH(republicantrigger,C122)))&gt;0)</f>
        <v>0</v>
      </c>
      <c r="Z122" s="35" cm="1">
        <f t="array" ref="Z122">INT(SUMPRODUCT(--ISNUMBER(SEARCH(bipartisan,C122)))&gt;0)</f>
        <v>0</v>
      </c>
      <c r="AA122" s="35">
        <f t="shared" si="3"/>
        <v>0</v>
      </c>
      <c r="AB122" s="14"/>
      <c r="AC122" s="30">
        <v>0</v>
      </c>
      <c r="AD122" s="37">
        <v>0</v>
      </c>
    </row>
    <row r="123" spans="1:30" x14ac:dyDescent="0.25">
      <c r="A123" s="36">
        <v>4443</v>
      </c>
      <c r="B123" s="14" t="s">
        <v>8909</v>
      </c>
      <c r="C123" s="31" t="s">
        <v>8910</v>
      </c>
      <c r="D123" s="17">
        <v>44109</v>
      </c>
      <c r="E123" s="14" t="s">
        <v>30</v>
      </c>
      <c r="F123" s="14">
        <v>42</v>
      </c>
      <c r="G123" s="14">
        <v>23</v>
      </c>
      <c r="H123" s="14">
        <v>20</v>
      </c>
      <c r="I123" s="14">
        <v>10</v>
      </c>
      <c r="J123" s="14" t="s">
        <v>31</v>
      </c>
      <c r="K123" s="14" cm="1">
        <f t="array" ref="K123">INT(SUMPRODUCT(--ISNUMBER(SEARCH(economy,C123)))&gt;0)</f>
        <v>0</v>
      </c>
      <c r="L123" s="14" cm="1">
        <f t="array" ref="L123">INT(SUMPRODUCT(--ISNUMBER(SEARCH(healthcare,C123)))&gt;0)</f>
        <v>0</v>
      </c>
      <c r="M123" s="14" cm="1">
        <f t="array" ref="M123">INT(SUMPRODUCT(--ISNUMBER(SEARCH(supreme,C123)))&gt;0)</f>
        <v>0</v>
      </c>
      <c r="N123" s="14" cm="1">
        <f t="array" ref="N123">INT(SUMPRODUCT(--ISNUMBER(SEARCH(covid,C123)))&gt;0)</f>
        <v>1</v>
      </c>
      <c r="O123" s="14" cm="1">
        <f t="array" ref="O123">INT(SUMPRODUCT(--ISNUMBER(SEARCH(violent,C123)))&gt;0)</f>
        <v>0</v>
      </c>
      <c r="P123" s="14" cm="1">
        <f t="array" ref="P123">INT(SUMPRODUCT(--ISNUMBER(SEARCH(foreign,C123)))&gt;0)</f>
        <v>0</v>
      </c>
      <c r="Q123" s="14" cm="1">
        <f t="array" ref="Q123">INT(SUMPRODUCT(--ISNUMBER(SEARCH(gun,C123)))&gt;0)</f>
        <v>0</v>
      </c>
      <c r="R123" s="14" cm="1">
        <f t="array" ref="R123">INT(SUMPRODUCT(--ISNUMBER(SEARCH(race,C123)))&gt;0)</f>
        <v>0</v>
      </c>
      <c r="S123" s="14" cm="1">
        <f t="array" ref="S123">INT(SUMPRODUCT(--ISNUMBER(SEARCH(immigration,C123)))&gt;0)</f>
        <v>0</v>
      </c>
      <c r="T123" s="14" cm="1">
        <f t="array" ref="T123">INT(SUMPRODUCT(--ISNUMBER(SEARCH(econineq,C124)))&gt;0)</f>
        <v>0</v>
      </c>
      <c r="U123" s="14" cm="1">
        <f t="array" ref="U123">INT(SUMPRODUCT(--ISNUMBER(SEARCH(climate,C123)))&gt;0)</f>
        <v>0</v>
      </c>
      <c r="V123" s="14" cm="1">
        <f t="array" ref="V123">INT(SUMPRODUCT(--ISNUMBER(SEARCH(abortion,C123)))&gt;0)</f>
        <v>0</v>
      </c>
      <c r="W123" s="14" cm="1">
        <f t="array" ref="W123">INT(SUMPRODUCT(--ISNUMBER(SEARCH(trump,C123)))&gt;0)</f>
        <v>0</v>
      </c>
      <c r="X123" s="14" cm="1">
        <f t="array" ref="X123">INT(SUMPRODUCT(--ISNUMBER(SEARCH(voting,C123)))&gt;0)</f>
        <v>1</v>
      </c>
      <c r="Y123" s="35" cm="1">
        <f t="array" ref="Y123">INT(SUMPRODUCT(--ISNUMBER(SEARCH(republicantrigger,C123)))&gt;0)</f>
        <v>1</v>
      </c>
      <c r="Z123" s="35" cm="1">
        <f t="array" ref="Z123">INT(SUMPRODUCT(--ISNUMBER(SEARCH(bipartisan,C123)))&gt;0)</f>
        <v>0</v>
      </c>
      <c r="AA123" s="35">
        <f t="shared" si="3"/>
        <v>0</v>
      </c>
      <c r="AB123" s="14"/>
      <c r="AC123" s="30">
        <v>0</v>
      </c>
      <c r="AD123" s="37">
        <v>0</v>
      </c>
    </row>
    <row r="124" spans="1:30" x14ac:dyDescent="0.25">
      <c r="A124" s="36">
        <v>4444</v>
      </c>
      <c r="B124" s="14" t="s">
        <v>8911</v>
      </c>
      <c r="C124" s="31" t="s">
        <v>8912</v>
      </c>
      <c r="D124" s="17">
        <v>44109</v>
      </c>
      <c r="E124" s="14" t="s">
        <v>30</v>
      </c>
      <c r="F124" s="14">
        <v>73</v>
      </c>
      <c r="G124" s="14">
        <v>42</v>
      </c>
      <c r="H124" s="14">
        <v>20</v>
      </c>
      <c r="I124" s="14">
        <v>10</v>
      </c>
      <c r="J124" s="14" t="s">
        <v>31</v>
      </c>
      <c r="K124" s="14" cm="1">
        <f t="array" ref="K124">INT(SUMPRODUCT(--ISNUMBER(SEARCH(economy,C124)))&gt;0)</f>
        <v>0</v>
      </c>
      <c r="L124" s="14" cm="1">
        <f t="array" ref="L124">INT(SUMPRODUCT(--ISNUMBER(SEARCH(healthcare,C124)))&gt;0)</f>
        <v>0</v>
      </c>
      <c r="M124" s="14" cm="1">
        <f t="array" ref="M124">INT(SUMPRODUCT(--ISNUMBER(SEARCH(supreme,C124)))&gt;0)</f>
        <v>0</v>
      </c>
      <c r="N124" s="14" cm="1">
        <f t="array" ref="N124">INT(SUMPRODUCT(--ISNUMBER(SEARCH(covid,C124)))&gt;0)</f>
        <v>0</v>
      </c>
      <c r="O124" s="14" cm="1">
        <f t="array" ref="O124">INT(SUMPRODUCT(--ISNUMBER(SEARCH(violent,C124)))&gt;0)</f>
        <v>0</v>
      </c>
      <c r="P124" s="14" cm="1">
        <f t="array" ref="P124">INT(SUMPRODUCT(--ISNUMBER(SEARCH(foreign,C124)))&gt;0)</f>
        <v>0</v>
      </c>
      <c r="Q124" s="14" cm="1">
        <f t="array" ref="Q124">INT(SUMPRODUCT(--ISNUMBER(SEARCH(gun,C124)))&gt;0)</f>
        <v>0</v>
      </c>
      <c r="R124" s="14" cm="1">
        <f t="array" ref="R124">INT(SUMPRODUCT(--ISNUMBER(SEARCH(race,C124)))&gt;0)</f>
        <v>0</v>
      </c>
      <c r="S124" s="14" cm="1">
        <f t="array" ref="S124">INT(SUMPRODUCT(--ISNUMBER(SEARCH(immigration,C124)))&gt;0)</f>
        <v>0</v>
      </c>
      <c r="T124" s="14" cm="1">
        <f t="array" ref="T124">INT(SUMPRODUCT(--ISNUMBER(SEARCH(econineq,C125)))&gt;0)</f>
        <v>0</v>
      </c>
      <c r="U124" s="14" cm="1">
        <f t="array" ref="U124">INT(SUMPRODUCT(--ISNUMBER(SEARCH(climate,C124)))&gt;0)</f>
        <v>0</v>
      </c>
      <c r="V124" s="14" cm="1">
        <f t="array" ref="V124">INT(SUMPRODUCT(--ISNUMBER(SEARCH(abortion,C124)))&gt;0)</f>
        <v>0</v>
      </c>
      <c r="W124" s="14" cm="1">
        <f t="array" ref="W124">INT(SUMPRODUCT(--ISNUMBER(SEARCH(trump,C124)))&gt;0)</f>
        <v>0</v>
      </c>
      <c r="X124" s="14" cm="1">
        <f t="array" ref="X124">INT(SUMPRODUCT(--ISNUMBER(SEARCH(voting,C124)))&gt;0)</f>
        <v>0</v>
      </c>
      <c r="Y124" s="35" cm="1">
        <f t="array" ref="Y124">INT(SUMPRODUCT(--ISNUMBER(SEARCH(republicantrigger,C124)))&gt;0)</f>
        <v>1</v>
      </c>
      <c r="Z124" s="35" cm="1">
        <f t="array" ref="Z124">INT(SUMPRODUCT(--ISNUMBER(SEARCH(bipartisan,C124)))&gt;0)</f>
        <v>0</v>
      </c>
      <c r="AA124" s="35">
        <f t="shared" si="3"/>
        <v>0</v>
      </c>
      <c r="AB124" s="14"/>
      <c r="AC124" s="30">
        <v>0</v>
      </c>
      <c r="AD124" s="37">
        <v>0</v>
      </c>
    </row>
    <row r="125" spans="1:30" x14ac:dyDescent="0.25">
      <c r="A125" s="36">
        <v>4445</v>
      </c>
      <c r="B125" s="14" t="s">
        <v>8913</v>
      </c>
      <c r="C125" s="31" t="s">
        <v>8914</v>
      </c>
      <c r="D125" s="17">
        <v>44109</v>
      </c>
      <c r="E125" s="14" t="s">
        <v>30</v>
      </c>
      <c r="F125" s="14">
        <v>104</v>
      </c>
      <c r="G125" s="14">
        <v>52</v>
      </c>
      <c r="H125" s="14">
        <v>20</v>
      </c>
      <c r="I125" s="14">
        <v>10</v>
      </c>
      <c r="J125" s="14" t="s">
        <v>31</v>
      </c>
      <c r="K125" s="14" cm="1">
        <f t="array" ref="K125">INT(SUMPRODUCT(--ISNUMBER(SEARCH(economy,C125)))&gt;0)</f>
        <v>0</v>
      </c>
      <c r="L125" s="14" cm="1">
        <f t="array" ref="L125">INT(SUMPRODUCT(--ISNUMBER(SEARCH(healthcare,C125)))&gt;0)</f>
        <v>0</v>
      </c>
      <c r="M125" s="14" cm="1">
        <f t="array" ref="M125">INT(SUMPRODUCT(--ISNUMBER(SEARCH(supreme,C125)))&gt;0)</f>
        <v>0</v>
      </c>
      <c r="N125" s="14" cm="1">
        <f t="array" ref="N125">INT(SUMPRODUCT(--ISNUMBER(SEARCH(covid,C125)))&gt;0)</f>
        <v>0</v>
      </c>
      <c r="O125" s="14" cm="1">
        <f t="array" ref="O125">INT(SUMPRODUCT(--ISNUMBER(SEARCH(violent,C125)))&gt;0)</f>
        <v>0</v>
      </c>
      <c r="P125" s="14" cm="1">
        <f t="array" ref="P125">INT(SUMPRODUCT(--ISNUMBER(SEARCH(foreign,C125)))&gt;0)</f>
        <v>0</v>
      </c>
      <c r="Q125" s="14" cm="1">
        <f t="array" ref="Q125">INT(SUMPRODUCT(--ISNUMBER(SEARCH(gun,C125)))&gt;0)</f>
        <v>0</v>
      </c>
      <c r="R125" s="14" cm="1">
        <f t="array" ref="R125">INT(SUMPRODUCT(--ISNUMBER(SEARCH(race,C125)))&gt;0)</f>
        <v>0</v>
      </c>
      <c r="S125" s="14" cm="1">
        <f t="array" ref="S125">INT(SUMPRODUCT(--ISNUMBER(SEARCH(immigration,C125)))&gt;0)</f>
        <v>0</v>
      </c>
      <c r="T125" s="14" cm="1">
        <f t="array" ref="T125">INT(SUMPRODUCT(--ISNUMBER(SEARCH(econineq,C126)))&gt;0)</f>
        <v>0</v>
      </c>
      <c r="U125" s="14" cm="1">
        <f t="array" ref="U125">INT(SUMPRODUCT(--ISNUMBER(SEARCH(climate,C125)))&gt;0)</f>
        <v>0</v>
      </c>
      <c r="V125" s="14" cm="1">
        <f t="array" ref="V125">INT(SUMPRODUCT(--ISNUMBER(SEARCH(abortion,C125)))&gt;0)</f>
        <v>0</v>
      </c>
      <c r="W125" s="14" cm="1">
        <f t="array" ref="W125">INT(SUMPRODUCT(--ISNUMBER(SEARCH(trump,C125)))&gt;0)</f>
        <v>0</v>
      </c>
      <c r="X125" s="14" cm="1">
        <f t="array" ref="X125">INT(SUMPRODUCT(--ISNUMBER(SEARCH(voting,C125)))&gt;0)</f>
        <v>0</v>
      </c>
      <c r="Y125" s="35" cm="1">
        <f t="array" ref="Y125">INT(SUMPRODUCT(--ISNUMBER(SEARCH(republicantrigger,C125)))&gt;0)</f>
        <v>1</v>
      </c>
      <c r="Z125" s="35" cm="1">
        <f t="array" ref="Z125">INT(SUMPRODUCT(--ISNUMBER(SEARCH(bipartisan,C125)))&gt;0)</f>
        <v>0</v>
      </c>
      <c r="AA125" s="35">
        <f t="shared" si="3"/>
        <v>0</v>
      </c>
      <c r="AB125" s="14"/>
      <c r="AC125" s="30">
        <v>0</v>
      </c>
      <c r="AD125" s="37">
        <v>0</v>
      </c>
    </row>
    <row r="126" spans="1:30" x14ac:dyDescent="0.25">
      <c r="A126" s="36">
        <v>4446</v>
      </c>
      <c r="B126" s="14" t="s">
        <v>8915</v>
      </c>
      <c r="C126" s="31" t="s">
        <v>8916</v>
      </c>
      <c r="D126" s="17">
        <v>44109</v>
      </c>
      <c r="E126" s="14" t="s">
        <v>30</v>
      </c>
      <c r="F126" s="14">
        <v>382</v>
      </c>
      <c r="G126" s="14">
        <v>177</v>
      </c>
      <c r="H126" s="14">
        <v>20</v>
      </c>
      <c r="I126" s="14">
        <v>10</v>
      </c>
      <c r="J126" s="14" t="s">
        <v>31</v>
      </c>
      <c r="K126" s="14" cm="1">
        <f t="array" ref="K126">INT(SUMPRODUCT(--ISNUMBER(SEARCH(economy,C126)))&gt;0)</f>
        <v>0</v>
      </c>
      <c r="L126" s="14" cm="1">
        <f t="array" ref="L126">INT(SUMPRODUCT(--ISNUMBER(SEARCH(healthcare,C126)))&gt;0)</f>
        <v>0</v>
      </c>
      <c r="M126" s="14" cm="1">
        <f t="array" ref="M126">INT(SUMPRODUCT(--ISNUMBER(SEARCH(supreme,C126)))&gt;0)</f>
        <v>0</v>
      </c>
      <c r="N126" s="14" cm="1">
        <f t="array" ref="N126">INT(SUMPRODUCT(--ISNUMBER(SEARCH(covid,C126)))&gt;0)</f>
        <v>1</v>
      </c>
      <c r="O126" s="14" cm="1">
        <f t="array" ref="O126">INT(SUMPRODUCT(--ISNUMBER(SEARCH(violent,C126)))&gt;0)</f>
        <v>0</v>
      </c>
      <c r="P126" s="14" cm="1">
        <f t="array" ref="P126">INT(SUMPRODUCT(--ISNUMBER(SEARCH(foreign,C126)))&gt;0)</f>
        <v>0</v>
      </c>
      <c r="Q126" s="14" cm="1">
        <f t="array" ref="Q126">INT(SUMPRODUCT(--ISNUMBER(SEARCH(gun,C126)))&gt;0)</f>
        <v>0</v>
      </c>
      <c r="R126" s="14" cm="1">
        <f t="array" ref="R126">INT(SUMPRODUCT(--ISNUMBER(SEARCH(race,C126)))&gt;0)</f>
        <v>0</v>
      </c>
      <c r="S126" s="14" cm="1">
        <f t="array" ref="S126">INT(SUMPRODUCT(--ISNUMBER(SEARCH(immigration,C126)))&gt;0)</f>
        <v>0</v>
      </c>
      <c r="T126" s="14" cm="1">
        <f t="array" ref="T126">INT(SUMPRODUCT(--ISNUMBER(SEARCH(econineq,C127)))&gt;0)</f>
        <v>0</v>
      </c>
      <c r="U126" s="14" cm="1">
        <f t="array" ref="U126">INT(SUMPRODUCT(--ISNUMBER(SEARCH(climate,C126)))&gt;0)</f>
        <v>0</v>
      </c>
      <c r="V126" s="14" cm="1">
        <f t="array" ref="V126">INT(SUMPRODUCT(--ISNUMBER(SEARCH(abortion,C126)))&gt;0)</f>
        <v>0</v>
      </c>
      <c r="W126" s="14" cm="1">
        <f t="array" ref="W126">INT(SUMPRODUCT(--ISNUMBER(SEARCH(trump,C126)))&gt;0)</f>
        <v>0</v>
      </c>
      <c r="X126" s="14" cm="1">
        <f t="array" ref="X126">INT(SUMPRODUCT(--ISNUMBER(SEARCH(voting,C126)))&gt;0)</f>
        <v>0</v>
      </c>
      <c r="Y126" s="35" cm="1">
        <f t="array" ref="Y126">INT(SUMPRODUCT(--ISNUMBER(SEARCH(republicantrigger,C126)))&gt;0)</f>
        <v>1</v>
      </c>
      <c r="Z126" s="35" cm="1">
        <f t="array" ref="Z126">INT(SUMPRODUCT(--ISNUMBER(SEARCH(bipartisan,C126)))&gt;0)</f>
        <v>0</v>
      </c>
      <c r="AA126" s="35">
        <f t="shared" si="3"/>
        <v>0</v>
      </c>
      <c r="AB126" s="14"/>
      <c r="AC126" s="30">
        <v>1</v>
      </c>
      <c r="AD126" s="37">
        <v>0</v>
      </c>
    </row>
    <row r="127" spans="1:30" x14ac:dyDescent="0.25">
      <c r="A127" s="36">
        <v>4447</v>
      </c>
      <c r="B127" s="14" t="s">
        <v>8917</v>
      </c>
      <c r="C127" s="31" t="s">
        <v>8918</v>
      </c>
      <c r="D127" s="17">
        <v>44109</v>
      </c>
      <c r="E127" s="14" t="s">
        <v>30</v>
      </c>
      <c r="F127" s="14">
        <v>777</v>
      </c>
      <c r="G127" s="14">
        <v>471</v>
      </c>
      <c r="H127" s="14">
        <v>20</v>
      </c>
      <c r="I127" s="14">
        <v>10</v>
      </c>
      <c r="J127" s="14" t="s">
        <v>31</v>
      </c>
      <c r="K127" s="14" cm="1">
        <f t="array" ref="K127">INT(SUMPRODUCT(--ISNUMBER(SEARCH(economy,C127)))&gt;0)</f>
        <v>0</v>
      </c>
      <c r="L127" s="14" cm="1">
        <f t="array" ref="L127">INT(SUMPRODUCT(--ISNUMBER(SEARCH(healthcare,C127)))&gt;0)</f>
        <v>0</v>
      </c>
      <c r="M127" s="14" cm="1">
        <f t="array" ref="M127">INT(SUMPRODUCT(--ISNUMBER(SEARCH(supreme,C127)))&gt;0)</f>
        <v>0</v>
      </c>
      <c r="N127" s="14" cm="1">
        <f t="array" ref="N127">INT(SUMPRODUCT(--ISNUMBER(SEARCH(covid,C127)))&gt;0)</f>
        <v>1</v>
      </c>
      <c r="O127" s="14" cm="1">
        <f t="array" ref="O127">INT(SUMPRODUCT(--ISNUMBER(SEARCH(violent,C127)))&gt;0)</f>
        <v>0</v>
      </c>
      <c r="P127" s="14" cm="1">
        <f t="array" ref="P127">INT(SUMPRODUCT(--ISNUMBER(SEARCH(foreign,C127)))&gt;0)</f>
        <v>0</v>
      </c>
      <c r="Q127" s="14" cm="1">
        <f t="array" ref="Q127">INT(SUMPRODUCT(--ISNUMBER(SEARCH(gun,C127)))&gt;0)</f>
        <v>0</v>
      </c>
      <c r="R127" s="14" cm="1">
        <f t="array" ref="R127">INT(SUMPRODUCT(--ISNUMBER(SEARCH(race,C127)))&gt;0)</f>
        <v>0</v>
      </c>
      <c r="S127" s="14" cm="1">
        <f t="array" ref="S127">INT(SUMPRODUCT(--ISNUMBER(SEARCH(immigration,C127)))&gt;0)</f>
        <v>0</v>
      </c>
      <c r="T127" s="14" cm="1">
        <f t="array" ref="T127">INT(SUMPRODUCT(--ISNUMBER(SEARCH(econineq,C128)))&gt;0)</f>
        <v>0</v>
      </c>
      <c r="U127" s="14" cm="1">
        <f t="array" ref="U127">INT(SUMPRODUCT(--ISNUMBER(SEARCH(climate,C127)))&gt;0)</f>
        <v>0</v>
      </c>
      <c r="V127" s="14" cm="1">
        <f t="array" ref="V127">INT(SUMPRODUCT(--ISNUMBER(SEARCH(abortion,C127)))&gt;0)</f>
        <v>0</v>
      </c>
      <c r="W127" s="14" cm="1">
        <f t="array" ref="W127">INT(SUMPRODUCT(--ISNUMBER(SEARCH(trump,C127)))&gt;0)</f>
        <v>0</v>
      </c>
      <c r="X127" s="14" cm="1">
        <f t="array" ref="X127">INT(SUMPRODUCT(--ISNUMBER(SEARCH(voting,C127)))&gt;0)</f>
        <v>1</v>
      </c>
      <c r="Y127" s="35" cm="1">
        <f t="array" ref="Y127">INT(SUMPRODUCT(--ISNUMBER(SEARCH(republicantrigger,C127)))&gt;0)</f>
        <v>1</v>
      </c>
      <c r="Z127" s="35" cm="1">
        <f t="array" ref="Z127">INT(SUMPRODUCT(--ISNUMBER(SEARCH(bipartisan,C127)))&gt;0)</f>
        <v>0</v>
      </c>
      <c r="AA127" s="35">
        <f t="shared" si="3"/>
        <v>0</v>
      </c>
      <c r="AB127" s="14"/>
      <c r="AC127" s="30">
        <v>0</v>
      </c>
      <c r="AD127" s="37">
        <v>1</v>
      </c>
    </row>
    <row r="128" spans="1:30" x14ac:dyDescent="0.25">
      <c r="A128" s="36">
        <v>4448</v>
      </c>
      <c r="B128" s="14" t="s">
        <v>8919</v>
      </c>
      <c r="C128" s="31" t="s">
        <v>8920</v>
      </c>
      <c r="D128" s="17">
        <v>44108</v>
      </c>
      <c r="E128" s="14" t="s">
        <v>30</v>
      </c>
      <c r="F128" s="14">
        <v>110</v>
      </c>
      <c r="G128" s="14">
        <v>43</v>
      </c>
      <c r="H128" s="14">
        <v>20</v>
      </c>
      <c r="I128" s="14">
        <v>10</v>
      </c>
      <c r="J128" s="14" t="s">
        <v>31</v>
      </c>
      <c r="K128" s="14" cm="1">
        <f t="array" ref="K128">INT(SUMPRODUCT(--ISNUMBER(SEARCH(economy,C128)))&gt;0)</f>
        <v>0</v>
      </c>
      <c r="L128" s="14" cm="1">
        <f t="array" ref="L128">INT(SUMPRODUCT(--ISNUMBER(SEARCH(healthcare,C128)))&gt;0)</f>
        <v>0</v>
      </c>
      <c r="M128" s="14" cm="1">
        <f t="array" ref="M128">INT(SUMPRODUCT(--ISNUMBER(SEARCH(supreme,C128)))&gt;0)</f>
        <v>0</v>
      </c>
      <c r="N128" s="14" cm="1">
        <f t="array" ref="N128">INT(SUMPRODUCT(--ISNUMBER(SEARCH(covid,C128)))&gt;0)</f>
        <v>0</v>
      </c>
      <c r="O128" s="14" cm="1">
        <f t="array" ref="O128">INT(SUMPRODUCT(--ISNUMBER(SEARCH(violent,C128)))&gt;0)</f>
        <v>0</v>
      </c>
      <c r="P128" s="14" cm="1">
        <f t="array" ref="P128">INT(SUMPRODUCT(--ISNUMBER(SEARCH(foreign,C128)))&gt;0)</f>
        <v>0</v>
      </c>
      <c r="Q128" s="14" cm="1">
        <f t="array" ref="Q128">INT(SUMPRODUCT(--ISNUMBER(SEARCH(gun,C128)))&gt;0)</f>
        <v>0</v>
      </c>
      <c r="R128" s="14" cm="1">
        <f t="array" ref="R128">INT(SUMPRODUCT(--ISNUMBER(SEARCH(race,C128)))&gt;0)</f>
        <v>1</v>
      </c>
      <c r="S128" s="14" cm="1">
        <f t="array" ref="S128">INT(SUMPRODUCT(--ISNUMBER(SEARCH(immigration,C128)))&gt;0)</f>
        <v>0</v>
      </c>
      <c r="T128" s="14" cm="1">
        <f t="array" ref="T128">INT(SUMPRODUCT(--ISNUMBER(SEARCH(econineq,C129)))&gt;0)</f>
        <v>0</v>
      </c>
      <c r="U128" s="14" cm="1">
        <f t="array" ref="U128">INT(SUMPRODUCT(--ISNUMBER(SEARCH(climate,C128)))&gt;0)</f>
        <v>0</v>
      </c>
      <c r="V128" s="14" cm="1">
        <f t="array" ref="V128">INT(SUMPRODUCT(--ISNUMBER(SEARCH(abortion,C128)))&gt;0)</f>
        <v>0</v>
      </c>
      <c r="W128" s="14" cm="1">
        <f t="array" ref="W128">INT(SUMPRODUCT(--ISNUMBER(SEARCH(trump,C128)))&gt;0)</f>
        <v>0</v>
      </c>
      <c r="X128" s="14" cm="1">
        <f t="array" ref="X128">INT(SUMPRODUCT(--ISNUMBER(SEARCH(voting,C128)))&gt;0)</f>
        <v>0</v>
      </c>
      <c r="Y128" s="35" cm="1">
        <f t="array" ref="Y128">INT(SUMPRODUCT(--ISNUMBER(SEARCH(republicantrigger,C128)))&gt;0)</f>
        <v>0</v>
      </c>
      <c r="Z128" s="35" cm="1">
        <f t="array" ref="Z128">INT(SUMPRODUCT(--ISNUMBER(SEARCH(bipartisan,C128)))&gt;0)</f>
        <v>0</v>
      </c>
      <c r="AA128" s="35">
        <f t="shared" si="3"/>
        <v>0</v>
      </c>
      <c r="AB128" s="14"/>
      <c r="AC128" s="30">
        <v>0</v>
      </c>
      <c r="AD128" s="37">
        <v>0</v>
      </c>
    </row>
    <row r="129" spans="1:30" x14ac:dyDescent="0.25">
      <c r="A129" s="36">
        <v>4449</v>
      </c>
      <c r="B129" s="14" t="s">
        <v>8921</v>
      </c>
      <c r="C129" s="31" t="s">
        <v>8922</v>
      </c>
      <c r="D129" s="17">
        <v>44108</v>
      </c>
      <c r="E129" s="14" t="s">
        <v>30</v>
      </c>
      <c r="F129" s="14">
        <v>17</v>
      </c>
      <c r="G129" s="14">
        <v>1</v>
      </c>
      <c r="H129" s="14">
        <v>20</v>
      </c>
      <c r="I129" s="14">
        <v>10</v>
      </c>
      <c r="J129" s="14" t="s">
        <v>31</v>
      </c>
      <c r="K129" s="14" cm="1">
        <f t="array" ref="K129">INT(SUMPRODUCT(--ISNUMBER(SEARCH(economy,C129)))&gt;0)</f>
        <v>0</v>
      </c>
      <c r="L129" s="14" cm="1">
        <f t="array" ref="L129">INT(SUMPRODUCT(--ISNUMBER(SEARCH(healthcare,C129)))&gt;0)</f>
        <v>0</v>
      </c>
      <c r="M129" s="14" cm="1">
        <f t="array" ref="M129">INT(SUMPRODUCT(--ISNUMBER(SEARCH(supreme,C129)))&gt;0)</f>
        <v>0</v>
      </c>
      <c r="N129" s="14" cm="1">
        <f t="array" ref="N129">INT(SUMPRODUCT(--ISNUMBER(SEARCH(covid,C129)))&gt;0)</f>
        <v>0</v>
      </c>
      <c r="O129" s="14" cm="1">
        <f t="array" ref="O129">INT(SUMPRODUCT(--ISNUMBER(SEARCH(violent,C129)))&gt;0)</f>
        <v>0</v>
      </c>
      <c r="P129" s="14" cm="1">
        <f t="array" ref="P129">INT(SUMPRODUCT(--ISNUMBER(SEARCH(foreign,C129)))&gt;0)</f>
        <v>0</v>
      </c>
      <c r="Q129" s="14" cm="1">
        <f t="array" ref="Q129">INT(SUMPRODUCT(--ISNUMBER(SEARCH(gun,C129)))&gt;0)</f>
        <v>0</v>
      </c>
      <c r="R129" s="14" cm="1">
        <f t="array" ref="R129">INT(SUMPRODUCT(--ISNUMBER(SEARCH(race,C129)))&gt;0)</f>
        <v>0</v>
      </c>
      <c r="S129" s="14" cm="1">
        <f t="array" ref="S129">INT(SUMPRODUCT(--ISNUMBER(SEARCH(immigration,C129)))&gt;0)</f>
        <v>0</v>
      </c>
      <c r="T129" s="14" cm="1">
        <f t="array" ref="T129">INT(SUMPRODUCT(--ISNUMBER(SEARCH(econineq,C130)))&gt;0)</f>
        <v>0</v>
      </c>
      <c r="U129" s="14" cm="1">
        <f t="array" ref="U129">INT(SUMPRODUCT(--ISNUMBER(SEARCH(climate,C129)))&gt;0)</f>
        <v>0</v>
      </c>
      <c r="V129" s="14" cm="1">
        <f t="array" ref="V129">INT(SUMPRODUCT(--ISNUMBER(SEARCH(abortion,C129)))&gt;0)</f>
        <v>0</v>
      </c>
      <c r="W129" s="14" cm="1">
        <f t="array" ref="W129">INT(SUMPRODUCT(--ISNUMBER(SEARCH(trump,C129)))&gt;0)</f>
        <v>0</v>
      </c>
      <c r="X129" s="14" cm="1">
        <f t="array" ref="X129">INT(SUMPRODUCT(--ISNUMBER(SEARCH(voting,C129)))&gt;0)</f>
        <v>0</v>
      </c>
      <c r="Y129" s="35" cm="1">
        <f t="array" ref="Y129">INT(SUMPRODUCT(--ISNUMBER(SEARCH(republicantrigger,C129)))&gt;0)</f>
        <v>0</v>
      </c>
      <c r="Z129" s="35" cm="1">
        <f t="array" ref="Z129">INT(SUMPRODUCT(--ISNUMBER(SEARCH(bipartisan,C129)))&gt;0)</f>
        <v>0</v>
      </c>
      <c r="AA129" s="35">
        <f t="shared" si="3"/>
        <v>1</v>
      </c>
      <c r="AB129" s="14"/>
      <c r="AC129" s="30">
        <v>0</v>
      </c>
      <c r="AD129" s="37">
        <v>0</v>
      </c>
    </row>
    <row r="130" spans="1:30" x14ac:dyDescent="0.25">
      <c r="A130" s="36">
        <v>4450</v>
      </c>
      <c r="B130" s="14" t="s">
        <v>8923</v>
      </c>
      <c r="C130" s="31" t="s">
        <v>8924</v>
      </c>
      <c r="D130" s="17">
        <v>44108</v>
      </c>
      <c r="E130" s="14" t="s">
        <v>30</v>
      </c>
      <c r="F130" s="14">
        <v>479</v>
      </c>
      <c r="G130" s="14">
        <v>201</v>
      </c>
      <c r="H130" s="14">
        <v>20</v>
      </c>
      <c r="I130" s="14">
        <v>10</v>
      </c>
      <c r="J130" s="14" t="s">
        <v>31</v>
      </c>
      <c r="K130" s="14" cm="1">
        <f t="array" ref="K130">INT(SUMPRODUCT(--ISNUMBER(SEARCH(economy,C130)))&gt;0)</f>
        <v>0</v>
      </c>
      <c r="L130" s="14" cm="1">
        <f t="array" ref="L130">INT(SUMPRODUCT(--ISNUMBER(SEARCH(healthcare,C130)))&gt;0)</f>
        <v>0</v>
      </c>
      <c r="M130" s="14" cm="1">
        <f t="array" ref="M130">INT(SUMPRODUCT(--ISNUMBER(SEARCH(supreme,C130)))&gt;0)</f>
        <v>0</v>
      </c>
      <c r="N130" s="14" cm="1">
        <f t="array" ref="N130">INT(SUMPRODUCT(--ISNUMBER(SEARCH(covid,C130)))&gt;0)</f>
        <v>0</v>
      </c>
      <c r="O130" s="14" cm="1">
        <f t="array" ref="O130">INT(SUMPRODUCT(--ISNUMBER(SEARCH(violent,C130)))&gt;0)</f>
        <v>0</v>
      </c>
      <c r="P130" s="14" cm="1">
        <f t="array" ref="P130">INT(SUMPRODUCT(--ISNUMBER(SEARCH(foreign,C130)))&gt;0)</f>
        <v>0</v>
      </c>
      <c r="Q130" s="14" cm="1">
        <f t="array" ref="Q130">INT(SUMPRODUCT(--ISNUMBER(SEARCH(gun,C130)))&gt;0)</f>
        <v>0</v>
      </c>
      <c r="R130" s="14" cm="1">
        <f t="array" ref="R130">INT(SUMPRODUCT(--ISNUMBER(SEARCH(race,C130)))&gt;0)</f>
        <v>0</v>
      </c>
      <c r="S130" s="14" cm="1">
        <f t="array" ref="S130">INT(SUMPRODUCT(--ISNUMBER(SEARCH(immigration,C130)))&gt;0)</f>
        <v>0</v>
      </c>
      <c r="T130" s="14" cm="1">
        <f t="array" ref="T130">INT(SUMPRODUCT(--ISNUMBER(SEARCH(econineq,C131)))&gt;0)</f>
        <v>0</v>
      </c>
      <c r="U130" s="14" cm="1">
        <f t="array" ref="U130">INT(SUMPRODUCT(--ISNUMBER(SEARCH(climate,C130)))&gt;0)</f>
        <v>0</v>
      </c>
      <c r="V130" s="14" cm="1">
        <f t="array" ref="V130">INT(SUMPRODUCT(--ISNUMBER(SEARCH(abortion,C130)))&gt;0)</f>
        <v>0</v>
      </c>
      <c r="W130" s="14" cm="1">
        <f t="array" ref="W130">INT(SUMPRODUCT(--ISNUMBER(SEARCH(trump,C130)))&gt;0)</f>
        <v>0</v>
      </c>
      <c r="X130" s="14" cm="1">
        <f t="array" ref="X130">INT(SUMPRODUCT(--ISNUMBER(SEARCH(voting,C130)))&gt;0)</f>
        <v>0</v>
      </c>
      <c r="Y130" s="35" cm="1">
        <f t="array" ref="Y130">INT(SUMPRODUCT(--ISNUMBER(SEARCH(republicantrigger,C130)))&gt;0)</f>
        <v>1</v>
      </c>
      <c r="Z130" s="35" cm="1">
        <f t="array" ref="Z130">INT(SUMPRODUCT(--ISNUMBER(SEARCH(bipartisan,C130)))&gt;0)</f>
        <v>0</v>
      </c>
      <c r="AA130" s="35">
        <f t="shared" ref="AA130:AA154" si="4">INT(IF(COUNTIF(K130:Z130,1)=0,"1","0"))</f>
        <v>0</v>
      </c>
      <c r="AB130" s="14"/>
      <c r="AC130" s="30">
        <v>0</v>
      </c>
      <c r="AD130" s="37">
        <v>0</v>
      </c>
    </row>
    <row r="131" spans="1:30" x14ac:dyDescent="0.25">
      <c r="A131" s="36">
        <v>4451</v>
      </c>
      <c r="B131" s="14" t="s">
        <v>8925</v>
      </c>
      <c r="C131" s="31" t="s">
        <v>8926</v>
      </c>
      <c r="D131" s="17">
        <v>44108</v>
      </c>
      <c r="E131" s="14" t="s">
        <v>30</v>
      </c>
      <c r="F131" s="14">
        <v>121</v>
      </c>
      <c r="G131" s="14">
        <v>63</v>
      </c>
      <c r="H131" s="14">
        <v>20</v>
      </c>
      <c r="I131" s="14">
        <v>10</v>
      </c>
      <c r="J131" s="14" t="s">
        <v>31</v>
      </c>
      <c r="K131" s="14" cm="1">
        <f t="array" ref="K131">INT(SUMPRODUCT(--ISNUMBER(SEARCH(economy,C131)))&gt;0)</f>
        <v>0</v>
      </c>
      <c r="L131" s="14" cm="1">
        <f t="array" ref="L131">INT(SUMPRODUCT(--ISNUMBER(SEARCH(healthcare,C131)))&gt;0)</f>
        <v>0</v>
      </c>
      <c r="M131" s="14" cm="1">
        <f t="array" ref="M131">INT(SUMPRODUCT(--ISNUMBER(SEARCH(supreme,C131)))&gt;0)</f>
        <v>0</v>
      </c>
      <c r="N131" s="14" cm="1">
        <f t="array" ref="N131">INT(SUMPRODUCT(--ISNUMBER(SEARCH(covid,C131)))&gt;0)</f>
        <v>1</v>
      </c>
      <c r="O131" s="14" cm="1">
        <f t="array" ref="O131">INT(SUMPRODUCT(--ISNUMBER(SEARCH(violent,C131)))&gt;0)</f>
        <v>0</v>
      </c>
      <c r="P131" s="14" cm="1">
        <f t="array" ref="P131">INT(SUMPRODUCT(--ISNUMBER(SEARCH(foreign,C131)))&gt;0)</f>
        <v>0</v>
      </c>
      <c r="Q131" s="14" cm="1">
        <f t="array" ref="Q131">INT(SUMPRODUCT(--ISNUMBER(SEARCH(gun,C131)))&gt;0)</f>
        <v>0</v>
      </c>
      <c r="R131" s="14" cm="1">
        <f t="array" ref="R131">INT(SUMPRODUCT(--ISNUMBER(SEARCH(race,C131)))&gt;0)</f>
        <v>0</v>
      </c>
      <c r="S131" s="14" cm="1">
        <f t="array" ref="S131">INT(SUMPRODUCT(--ISNUMBER(SEARCH(immigration,C131)))&gt;0)</f>
        <v>0</v>
      </c>
      <c r="T131" s="14" cm="1">
        <f t="array" ref="T131">INT(SUMPRODUCT(--ISNUMBER(SEARCH(econineq,C132)))&gt;0)</f>
        <v>0</v>
      </c>
      <c r="U131" s="14" cm="1">
        <f t="array" ref="U131">INT(SUMPRODUCT(--ISNUMBER(SEARCH(climate,C131)))&gt;0)</f>
        <v>0</v>
      </c>
      <c r="V131" s="14" cm="1">
        <f t="array" ref="V131">INT(SUMPRODUCT(--ISNUMBER(SEARCH(abortion,C131)))&gt;0)</f>
        <v>0</v>
      </c>
      <c r="W131" s="14" cm="1">
        <f t="array" ref="W131">INT(SUMPRODUCT(--ISNUMBER(SEARCH(trump,C131)))&gt;0)</f>
        <v>0</v>
      </c>
      <c r="X131" s="14" cm="1">
        <f t="array" ref="X131">INT(SUMPRODUCT(--ISNUMBER(SEARCH(voting,C131)))&gt;0)</f>
        <v>1</v>
      </c>
      <c r="Y131" s="35" cm="1">
        <f t="array" ref="Y131">INT(SUMPRODUCT(--ISNUMBER(SEARCH(republicantrigger,C131)))&gt;0)</f>
        <v>1</v>
      </c>
      <c r="Z131" s="35" cm="1">
        <f t="array" ref="Z131">INT(SUMPRODUCT(--ISNUMBER(SEARCH(bipartisan,C131)))&gt;0)</f>
        <v>0</v>
      </c>
      <c r="AA131" s="35">
        <f t="shared" si="4"/>
        <v>0</v>
      </c>
      <c r="AB131" s="14"/>
      <c r="AC131" s="30">
        <v>0</v>
      </c>
      <c r="AD131" s="37">
        <v>0</v>
      </c>
    </row>
    <row r="132" spans="1:30" x14ac:dyDescent="0.25">
      <c r="A132" s="36">
        <v>4452</v>
      </c>
      <c r="B132" s="14" t="s">
        <v>8927</v>
      </c>
      <c r="C132" s="31" t="s">
        <v>8928</v>
      </c>
      <c r="D132" s="17">
        <v>44107</v>
      </c>
      <c r="E132" s="14" t="s">
        <v>70</v>
      </c>
      <c r="F132" s="14">
        <v>0</v>
      </c>
      <c r="G132" s="14">
        <v>0</v>
      </c>
      <c r="H132" s="14">
        <v>20</v>
      </c>
      <c r="I132" s="14">
        <v>10</v>
      </c>
      <c r="J132" s="14" t="s">
        <v>31</v>
      </c>
      <c r="K132" s="14" cm="1">
        <f t="array" ref="K132">INT(SUMPRODUCT(--ISNUMBER(SEARCH(economy,C132)))&gt;0)</f>
        <v>0</v>
      </c>
      <c r="L132" s="14" cm="1">
        <f t="array" ref="L132">INT(SUMPRODUCT(--ISNUMBER(SEARCH(healthcare,C132)))&gt;0)</f>
        <v>0</v>
      </c>
      <c r="M132" s="14" cm="1">
        <f t="array" ref="M132">INT(SUMPRODUCT(--ISNUMBER(SEARCH(supreme,C132)))&gt;0)</f>
        <v>0</v>
      </c>
      <c r="N132" s="14" cm="1">
        <f t="array" ref="N132">INT(SUMPRODUCT(--ISNUMBER(SEARCH(covid,C132)))&gt;0)</f>
        <v>0</v>
      </c>
      <c r="O132" s="14" cm="1">
        <f t="array" ref="O132">INT(SUMPRODUCT(--ISNUMBER(SEARCH(violent,C132)))&gt;0)</f>
        <v>0</v>
      </c>
      <c r="P132" s="14" cm="1">
        <f t="array" ref="P132">INT(SUMPRODUCT(--ISNUMBER(SEARCH(foreign,C132)))&gt;0)</f>
        <v>0</v>
      </c>
      <c r="Q132" s="14" cm="1">
        <f t="array" ref="Q132">INT(SUMPRODUCT(--ISNUMBER(SEARCH(gun,C132)))&gt;0)</f>
        <v>0</v>
      </c>
      <c r="R132" s="14" cm="1">
        <f t="array" ref="R132">INT(SUMPRODUCT(--ISNUMBER(SEARCH(race,C132)))&gt;0)</f>
        <v>0</v>
      </c>
      <c r="S132" s="14" cm="1">
        <f t="array" ref="S132">INT(SUMPRODUCT(--ISNUMBER(SEARCH(immigration,C132)))&gt;0)</f>
        <v>0</v>
      </c>
      <c r="T132" s="14" cm="1">
        <f t="array" ref="T132">INT(SUMPRODUCT(--ISNUMBER(SEARCH(econineq,C133)))&gt;0)</f>
        <v>0</v>
      </c>
      <c r="U132" s="14" cm="1">
        <f t="array" ref="U132">INT(SUMPRODUCT(--ISNUMBER(SEARCH(climate,C132)))&gt;0)</f>
        <v>0</v>
      </c>
      <c r="V132" s="14" cm="1">
        <f t="array" ref="V132">INT(SUMPRODUCT(--ISNUMBER(SEARCH(abortion,C132)))&gt;0)</f>
        <v>0</v>
      </c>
      <c r="W132" s="14" cm="1">
        <f t="array" ref="W132">INT(SUMPRODUCT(--ISNUMBER(SEARCH(trump,C132)))&gt;0)</f>
        <v>0</v>
      </c>
      <c r="X132" s="14" cm="1">
        <f t="array" ref="X132">INT(SUMPRODUCT(--ISNUMBER(SEARCH(voting,C132)))&gt;0)</f>
        <v>0</v>
      </c>
      <c r="Y132" s="35" cm="1">
        <f t="array" ref="Y132">INT(SUMPRODUCT(--ISNUMBER(SEARCH(republicantrigger,C132)))&gt;0)</f>
        <v>0</v>
      </c>
      <c r="Z132" s="35" cm="1">
        <f t="array" ref="Z132">INT(SUMPRODUCT(--ISNUMBER(SEARCH(bipartisan,C132)))&gt;0)</f>
        <v>0</v>
      </c>
      <c r="AA132" s="35">
        <f t="shared" si="4"/>
        <v>1</v>
      </c>
      <c r="AB132" s="14"/>
      <c r="AC132" s="30">
        <v>0</v>
      </c>
      <c r="AD132" s="37">
        <v>0</v>
      </c>
    </row>
    <row r="133" spans="1:30" x14ac:dyDescent="0.25">
      <c r="A133" s="36">
        <v>4453</v>
      </c>
      <c r="B133" s="14" t="s">
        <v>8929</v>
      </c>
      <c r="C133" s="31" t="s">
        <v>8930</v>
      </c>
      <c r="D133" s="17">
        <v>44107</v>
      </c>
      <c r="E133" s="14" t="s">
        <v>70</v>
      </c>
      <c r="F133" s="14">
        <v>1</v>
      </c>
      <c r="G133" s="14">
        <v>0</v>
      </c>
      <c r="H133" s="14">
        <v>20</v>
      </c>
      <c r="I133" s="14">
        <v>10</v>
      </c>
      <c r="J133" s="14" t="s">
        <v>31</v>
      </c>
      <c r="K133" s="14" cm="1">
        <f t="array" ref="K133">INT(SUMPRODUCT(--ISNUMBER(SEARCH(economy,C133)))&gt;0)</f>
        <v>0</v>
      </c>
      <c r="L133" s="14" cm="1">
        <f t="array" ref="L133">INT(SUMPRODUCT(--ISNUMBER(SEARCH(healthcare,C133)))&gt;0)</f>
        <v>0</v>
      </c>
      <c r="M133" s="14" cm="1">
        <f t="array" ref="M133">INT(SUMPRODUCT(--ISNUMBER(SEARCH(supreme,C133)))&gt;0)</f>
        <v>0</v>
      </c>
      <c r="N133" s="14" cm="1">
        <f t="array" ref="N133">INT(SUMPRODUCT(--ISNUMBER(SEARCH(covid,C133)))&gt;0)</f>
        <v>0</v>
      </c>
      <c r="O133" s="14" cm="1">
        <f t="array" ref="O133">INT(SUMPRODUCT(--ISNUMBER(SEARCH(violent,C133)))&gt;0)</f>
        <v>0</v>
      </c>
      <c r="P133" s="14" cm="1">
        <f t="array" ref="P133">INT(SUMPRODUCT(--ISNUMBER(SEARCH(foreign,C133)))&gt;0)</f>
        <v>0</v>
      </c>
      <c r="Q133" s="14" cm="1">
        <f t="array" ref="Q133">INT(SUMPRODUCT(--ISNUMBER(SEARCH(gun,C133)))&gt;0)</f>
        <v>0</v>
      </c>
      <c r="R133" s="14" cm="1">
        <f t="array" ref="R133">INT(SUMPRODUCT(--ISNUMBER(SEARCH(race,C133)))&gt;0)</f>
        <v>0</v>
      </c>
      <c r="S133" s="14" cm="1">
        <f t="array" ref="S133">INT(SUMPRODUCT(--ISNUMBER(SEARCH(immigration,C133)))&gt;0)</f>
        <v>0</v>
      </c>
      <c r="T133" s="14" cm="1">
        <f t="array" ref="T133">INT(SUMPRODUCT(--ISNUMBER(SEARCH(econineq,C134)))&gt;0)</f>
        <v>0</v>
      </c>
      <c r="U133" s="14" cm="1">
        <f t="array" ref="U133">INT(SUMPRODUCT(--ISNUMBER(SEARCH(climate,C133)))&gt;0)</f>
        <v>0</v>
      </c>
      <c r="V133" s="14" cm="1">
        <f t="array" ref="V133">INT(SUMPRODUCT(--ISNUMBER(SEARCH(abortion,C133)))&gt;0)</f>
        <v>0</v>
      </c>
      <c r="W133" s="14" cm="1">
        <f t="array" ref="W133">INT(SUMPRODUCT(--ISNUMBER(SEARCH(trump,C133)))&gt;0)</f>
        <v>0</v>
      </c>
      <c r="X133" s="14" cm="1">
        <f t="array" ref="X133">INT(SUMPRODUCT(--ISNUMBER(SEARCH(voting,C133)))&gt;0)</f>
        <v>0</v>
      </c>
      <c r="Y133" s="35" cm="1">
        <f t="array" ref="Y133">INT(SUMPRODUCT(--ISNUMBER(SEARCH(republicantrigger,C133)))&gt;0)</f>
        <v>1</v>
      </c>
      <c r="Z133" s="35" cm="1">
        <f t="array" ref="Z133">INT(SUMPRODUCT(--ISNUMBER(SEARCH(bipartisan,C133)))&gt;0)</f>
        <v>0</v>
      </c>
      <c r="AA133" s="35">
        <f t="shared" si="4"/>
        <v>0</v>
      </c>
      <c r="AB133" s="14"/>
      <c r="AC133" s="30">
        <v>0</v>
      </c>
      <c r="AD133" s="37">
        <v>0</v>
      </c>
    </row>
    <row r="134" spans="1:30" x14ac:dyDescent="0.25">
      <c r="A134" s="36">
        <v>4454</v>
      </c>
      <c r="B134" s="14" t="s">
        <v>8931</v>
      </c>
      <c r="C134" s="31" t="s">
        <v>8932</v>
      </c>
      <c r="D134" s="17">
        <v>44107</v>
      </c>
      <c r="E134" s="14" t="s">
        <v>30</v>
      </c>
      <c r="F134" s="14">
        <v>103</v>
      </c>
      <c r="G134" s="14">
        <v>72</v>
      </c>
      <c r="H134" s="14">
        <v>20</v>
      </c>
      <c r="I134" s="14">
        <v>10</v>
      </c>
      <c r="J134" s="14" t="s">
        <v>31</v>
      </c>
      <c r="K134" s="14" cm="1">
        <f t="array" ref="K134">INT(SUMPRODUCT(--ISNUMBER(SEARCH(economy,C134)))&gt;0)</f>
        <v>0</v>
      </c>
      <c r="L134" s="14" cm="1">
        <f t="array" ref="L134">INT(SUMPRODUCT(--ISNUMBER(SEARCH(healthcare,C134)))&gt;0)</f>
        <v>0</v>
      </c>
      <c r="M134" s="14" cm="1">
        <f t="array" ref="M134">INT(SUMPRODUCT(--ISNUMBER(SEARCH(supreme,C134)))&gt;0)</f>
        <v>1</v>
      </c>
      <c r="N134" s="14" cm="1">
        <f t="array" ref="N134">INT(SUMPRODUCT(--ISNUMBER(SEARCH(covid,C134)))&gt;0)</f>
        <v>0</v>
      </c>
      <c r="O134" s="14" cm="1">
        <f t="array" ref="O134">INT(SUMPRODUCT(--ISNUMBER(SEARCH(violent,C134)))&gt;0)</f>
        <v>0</v>
      </c>
      <c r="P134" s="14" cm="1">
        <f t="array" ref="P134">INT(SUMPRODUCT(--ISNUMBER(SEARCH(foreign,C134)))&gt;0)</f>
        <v>0</v>
      </c>
      <c r="Q134" s="14" cm="1">
        <f t="array" ref="Q134">INT(SUMPRODUCT(--ISNUMBER(SEARCH(gun,C134)))&gt;0)</f>
        <v>0</v>
      </c>
      <c r="R134" s="14" cm="1">
        <f t="array" ref="R134">INT(SUMPRODUCT(--ISNUMBER(SEARCH(race,C134)))&gt;0)</f>
        <v>0</v>
      </c>
      <c r="S134" s="14" cm="1">
        <f t="array" ref="S134">INT(SUMPRODUCT(--ISNUMBER(SEARCH(immigration,C134)))&gt;0)</f>
        <v>0</v>
      </c>
      <c r="T134" s="14" cm="1">
        <f t="array" ref="T134">INT(SUMPRODUCT(--ISNUMBER(SEARCH(econineq,C135)))&gt;0)</f>
        <v>0</v>
      </c>
      <c r="U134" s="14" cm="1">
        <f t="array" ref="U134">INT(SUMPRODUCT(--ISNUMBER(SEARCH(climate,C134)))&gt;0)</f>
        <v>0</v>
      </c>
      <c r="V134" s="14" cm="1">
        <f t="array" ref="V134">INT(SUMPRODUCT(--ISNUMBER(SEARCH(abortion,C134)))&gt;0)</f>
        <v>0</v>
      </c>
      <c r="W134" s="14" cm="1">
        <f t="array" ref="W134">INT(SUMPRODUCT(--ISNUMBER(SEARCH(trump,C134)))&gt;0)</f>
        <v>0</v>
      </c>
      <c r="X134" s="14" cm="1">
        <f t="array" ref="X134">INT(SUMPRODUCT(--ISNUMBER(SEARCH(voting,C134)))&gt;0)</f>
        <v>0</v>
      </c>
      <c r="Y134" s="35" cm="1">
        <f t="array" ref="Y134">INT(SUMPRODUCT(--ISNUMBER(SEARCH(republicantrigger,C134)))&gt;0)</f>
        <v>1</v>
      </c>
      <c r="Z134" s="35" cm="1">
        <f t="array" ref="Z134">INT(SUMPRODUCT(--ISNUMBER(SEARCH(bipartisan,C134)))&gt;0)</f>
        <v>0</v>
      </c>
      <c r="AA134" s="35">
        <f t="shared" si="4"/>
        <v>0</v>
      </c>
      <c r="AB134" s="14"/>
      <c r="AC134" s="30">
        <v>0</v>
      </c>
      <c r="AD134" s="37">
        <v>0</v>
      </c>
    </row>
    <row r="135" spans="1:30" x14ac:dyDescent="0.25">
      <c r="A135" s="36">
        <v>4455</v>
      </c>
      <c r="B135" s="14" t="s">
        <v>8933</v>
      </c>
      <c r="C135" s="31" t="s">
        <v>8934</v>
      </c>
      <c r="D135" s="17">
        <v>44107</v>
      </c>
      <c r="E135" s="14" t="s">
        <v>30</v>
      </c>
      <c r="F135" s="14">
        <v>106</v>
      </c>
      <c r="G135" s="14">
        <v>40</v>
      </c>
      <c r="H135" s="14">
        <v>20</v>
      </c>
      <c r="I135" s="14">
        <v>10</v>
      </c>
      <c r="J135" s="14" t="s">
        <v>31</v>
      </c>
      <c r="K135" s="14" cm="1">
        <f t="array" ref="K135">INT(SUMPRODUCT(--ISNUMBER(SEARCH(economy,C135)))&gt;0)</f>
        <v>0</v>
      </c>
      <c r="L135" s="14" cm="1">
        <f t="array" ref="L135">INT(SUMPRODUCT(--ISNUMBER(SEARCH(healthcare,C135)))&gt;0)</f>
        <v>0</v>
      </c>
      <c r="M135" s="14" cm="1">
        <f t="array" ref="M135">INT(SUMPRODUCT(--ISNUMBER(SEARCH(supreme,C135)))&gt;0)</f>
        <v>0</v>
      </c>
      <c r="N135" s="14" cm="1">
        <f t="array" ref="N135">INT(SUMPRODUCT(--ISNUMBER(SEARCH(covid,C135)))&gt;0)</f>
        <v>0</v>
      </c>
      <c r="O135" s="14" cm="1">
        <f t="array" ref="O135">INT(SUMPRODUCT(--ISNUMBER(SEARCH(violent,C135)))&gt;0)</f>
        <v>0</v>
      </c>
      <c r="P135" s="14" cm="1">
        <f t="array" ref="P135">INT(SUMPRODUCT(--ISNUMBER(SEARCH(foreign,C135)))&gt;0)</f>
        <v>0</v>
      </c>
      <c r="Q135" s="14" cm="1">
        <f t="array" ref="Q135">INT(SUMPRODUCT(--ISNUMBER(SEARCH(gun,C135)))&gt;0)</f>
        <v>0</v>
      </c>
      <c r="R135" s="14" cm="1">
        <f t="array" ref="R135">INT(SUMPRODUCT(--ISNUMBER(SEARCH(race,C135)))&gt;0)</f>
        <v>0</v>
      </c>
      <c r="S135" s="14" cm="1">
        <f t="array" ref="S135">INT(SUMPRODUCT(--ISNUMBER(SEARCH(immigration,C135)))&gt;0)</f>
        <v>0</v>
      </c>
      <c r="T135" s="14" cm="1">
        <f t="array" ref="T135">INT(SUMPRODUCT(--ISNUMBER(SEARCH(econineq,C136)))&gt;0)</f>
        <v>0</v>
      </c>
      <c r="U135" s="14" cm="1">
        <f t="array" ref="U135">INT(SUMPRODUCT(--ISNUMBER(SEARCH(climate,C135)))&gt;0)</f>
        <v>0</v>
      </c>
      <c r="V135" s="14" cm="1">
        <f t="array" ref="V135">INT(SUMPRODUCT(--ISNUMBER(SEARCH(abortion,C135)))&gt;0)</f>
        <v>0</v>
      </c>
      <c r="W135" s="14" cm="1">
        <f t="array" ref="W135">INT(SUMPRODUCT(--ISNUMBER(SEARCH(trump,C135)))&gt;0)</f>
        <v>0</v>
      </c>
      <c r="X135" s="14" cm="1">
        <f t="array" ref="X135">INT(SUMPRODUCT(--ISNUMBER(SEARCH(voting,C135)))&gt;0)</f>
        <v>0</v>
      </c>
      <c r="Y135" s="35" cm="1">
        <f t="array" ref="Y135">INT(SUMPRODUCT(--ISNUMBER(SEARCH(republicantrigger,C135)))&gt;0)</f>
        <v>1</v>
      </c>
      <c r="Z135" s="35" cm="1">
        <f t="array" ref="Z135">INT(SUMPRODUCT(--ISNUMBER(SEARCH(bipartisan,C135)))&gt;0)</f>
        <v>0</v>
      </c>
      <c r="AA135" s="35">
        <f t="shared" si="4"/>
        <v>0</v>
      </c>
      <c r="AB135" s="14"/>
      <c r="AC135" s="30">
        <v>0</v>
      </c>
      <c r="AD135" s="37">
        <v>0</v>
      </c>
    </row>
    <row r="136" spans="1:30" x14ac:dyDescent="0.25">
      <c r="A136" s="36">
        <v>4456</v>
      </c>
      <c r="B136" s="14" t="s">
        <v>8935</v>
      </c>
      <c r="C136" s="31" t="s">
        <v>8936</v>
      </c>
      <c r="D136" s="17">
        <v>44107</v>
      </c>
      <c r="E136" s="14" t="s">
        <v>30</v>
      </c>
      <c r="F136" s="14">
        <v>80</v>
      </c>
      <c r="G136" s="14">
        <v>30</v>
      </c>
      <c r="H136" s="14">
        <v>20</v>
      </c>
      <c r="I136" s="14">
        <v>10</v>
      </c>
      <c r="J136" s="14" t="s">
        <v>31</v>
      </c>
      <c r="K136" s="14" cm="1">
        <f t="array" ref="K136">INT(SUMPRODUCT(--ISNUMBER(SEARCH(economy,C136)))&gt;0)</f>
        <v>0</v>
      </c>
      <c r="L136" s="14" cm="1">
        <f t="array" ref="L136">INT(SUMPRODUCT(--ISNUMBER(SEARCH(healthcare,C136)))&gt;0)</f>
        <v>0</v>
      </c>
      <c r="M136" s="14" cm="1">
        <f t="array" ref="M136">INT(SUMPRODUCT(--ISNUMBER(SEARCH(supreme,C136)))&gt;0)</f>
        <v>1</v>
      </c>
      <c r="N136" s="14" cm="1">
        <f t="array" ref="N136">INT(SUMPRODUCT(--ISNUMBER(SEARCH(covid,C136)))&gt;0)</f>
        <v>0</v>
      </c>
      <c r="O136" s="14" cm="1">
        <f t="array" ref="O136">INT(SUMPRODUCT(--ISNUMBER(SEARCH(violent,C136)))&gt;0)</f>
        <v>0</v>
      </c>
      <c r="P136" s="14" cm="1">
        <f t="array" ref="P136">INT(SUMPRODUCT(--ISNUMBER(SEARCH(foreign,C136)))&gt;0)</f>
        <v>0</v>
      </c>
      <c r="Q136" s="14" cm="1">
        <f t="array" ref="Q136">INT(SUMPRODUCT(--ISNUMBER(SEARCH(gun,C136)))&gt;0)</f>
        <v>0</v>
      </c>
      <c r="R136" s="14" cm="1">
        <f t="array" ref="R136">INT(SUMPRODUCT(--ISNUMBER(SEARCH(race,C136)))&gt;0)</f>
        <v>0</v>
      </c>
      <c r="S136" s="14" cm="1">
        <f t="array" ref="S136">INT(SUMPRODUCT(--ISNUMBER(SEARCH(immigration,C136)))&gt;0)</f>
        <v>0</v>
      </c>
      <c r="T136" s="14" cm="1">
        <f t="array" ref="T136">INT(SUMPRODUCT(--ISNUMBER(SEARCH(econineq,C137)))&gt;0)</f>
        <v>0</v>
      </c>
      <c r="U136" s="14" cm="1">
        <f t="array" ref="U136">INT(SUMPRODUCT(--ISNUMBER(SEARCH(climate,C136)))&gt;0)</f>
        <v>0</v>
      </c>
      <c r="V136" s="14" cm="1">
        <f t="array" ref="V136">INT(SUMPRODUCT(--ISNUMBER(SEARCH(abortion,C136)))&gt;0)</f>
        <v>0</v>
      </c>
      <c r="W136" s="14" cm="1">
        <f t="array" ref="W136">INT(SUMPRODUCT(--ISNUMBER(SEARCH(trump,C136)))&gt;0)</f>
        <v>0</v>
      </c>
      <c r="X136" s="14" cm="1">
        <f t="array" ref="X136">INT(SUMPRODUCT(--ISNUMBER(SEARCH(voting,C136)))&gt;0)</f>
        <v>0</v>
      </c>
      <c r="Y136" s="35" cm="1">
        <f t="array" ref="Y136">INT(SUMPRODUCT(--ISNUMBER(SEARCH(republicantrigger,C136)))&gt;0)</f>
        <v>1</v>
      </c>
      <c r="Z136" s="35" cm="1">
        <f t="array" ref="Z136">INT(SUMPRODUCT(--ISNUMBER(SEARCH(bipartisan,C136)))&gt;0)</f>
        <v>0</v>
      </c>
      <c r="AA136" s="35">
        <f t="shared" si="4"/>
        <v>0</v>
      </c>
      <c r="AB136" s="14"/>
      <c r="AC136" s="30">
        <v>0</v>
      </c>
      <c r="AD136" s="37">
        <v>0</v>
      </c>
    </row>
    <row r="137" spans="1:30" x14ac:dyDescent="0.25">
      <c r="A137" s="36">
        <v>4457</v>
      </c>
      <c r="B137" s="14" t="s">
        <v>8937</v>
      </c>
      <c r="C137" s="31" t="s">
        <v>8904</v>
      </c>
      <c r="D137" s="17">
        <v>44107</v>
      </c>
      <c r="E137" s="14" t="s">
        <v>30</v>
      </c>
      <c r="F137" s="14">
        <v>50</v>
      </c>
      <c r="G137" s="14">
        <v>26</v>
      </c>
      <c r="H137" s="14">
        <v>20</v>
      </c>
      <c r="I137" s="14">
        <v>10</v>
      </c>
      <c r="J137" s="14" t="s">
        <v>31</v>
      </c>
      <c r="K137" s="14" cm="1">
        <f t="array" ref="K137">INT(SUMPRODUCT(--ISNUMBER(SEARCH(economy,C137)))&gt;0)</f>
        <v>0</v>
      </c>
      <c r="L137" s="14" cm="1">
        <f t="array" ref="L137">INT(SUMPRODUCT(--ISNUMBER(SEARCH(healthcare,C137)))&gt;0)</f>
        <v>0</v>
      </c>
      <c r="M137" s="14" cm="1">
        <f t="array" ref="M137">INT(SUMPRODUCT(--ISNUMBER(SEARCH(supreme,C137)))&gt;0)</f>
        <v>1</v>
      </c>
      <c r="N137" s="14" cm="1">
        <f t="array" ref="N137">INT(SUMPRODUCT(--ISNUMBER(SEARCH(covid,C137)))&gt;0)</f>
        <v>0</v>
      </c>
      <c r="O137" s="14" cm="1">
        <f t="array" ref="O137">INT(SUMPRODUCT(--ISNUMBER(SEARCH(violent,C137)))&gt;0)</f>
        <v>0</v>
      </c>
      <c r="P137" s="14" cm="1">
        <f t="array" ref="P137">INT(SUMPRODUCT(--ISNUMBER(SEARCH(foreign,C137)))&gt;0)</f>
        <v>0</v>
      </c>
      <c r="Q137" s="14" cm="1">
        <f t="array" ref="Q137">INT(SUMPRODUCT(--ISNUMBER(SEARCH(gun,C137)))&gt;0)</f>
        <v>0</v>
      </c>
      <c r="R137" s="14" cm="1">
        <f t="array" ref="R137">INT(SUMPRODUCT(--ISNUMBER(SEARCH(race,C137)))&gt;0)</f>
        <v>0</v>
      </c>
      <c r="S137" s="14" cm="1">
        <f t="array" ref="S137">INT(SUMPRODUCT(--ISNUMBER(SEARCH(immigration,C137)))&gt;0)</f>
        <v>0</v>
      </c>
      <c r="T137" s="14" cm="1">
        <f t="array" ref="T137">INT(SUMPRODUCT(--ISNUMBER(SEARCH(econineq,C138)))&gt;0)</f>
        <v>0</v>
      </c>
      <c r="U137" s="14" cm="1">
        <f t="array" ref="U137">INT(SUMPRODUCT(--ISNUMBER(SEARCH(climate,C137)))&gt;0)</f>
        <v>0</v>
      </c>
      <c r="V137" s="14" cm="1">
        <f t="array" ref="V137">INT(SUMPRODUCT(--ISNUMBER(SEARCH(abortion,C137)))&gt;0)</f>
        <v>0</v>
      </c>
      <c r="W137" s="14" cm="1">
        <f t="array" ref="W137">INT(SUMPRODUCT(--ISNUMBER(SEARCH(trump,C137)))&gt;0)</f>
        <v>0</v>
      </c>
      <c r="X137" s="14" cm="1">
        <f t="array" ref="X137">INT(SUMPRODUCT(--ISNUMBER(SEARCH(voting,C137)))&gt;0)</f>
        <v>1</v>
      </c>
      <c r="Y137" s="35" cm="1">
        <f t="array" ref="Y137">INT(SUMPRODUCT(--ISNUMBER(SEARCH(republicantrigger,C137)))&gt;0)</f>
        <v>1</v>
      </c>
      <c r="Z137" s="35" cm="1">
        <f t="array" ref="Z137">INT(SUMPRODUCT(--ISNUMBER(SEARCH(bipartisan,C137)))&gt;0)</f>
        <v>0</v>
      </c>
      <c r="AA137" s="35">
        <f t="shared" si="4"/>
        <v>0</v>
      </c>
      <c r="AB137" s="14"/>
      <c r="AC137" s="30">
        <v>0</v>
      </c>
      <c r="AD137" s="37">
        <v>0</v>
      </c>
    </row>
    <row r="138" spans="1:30" x14ac:dyDescent="0.25">
      <c r="A138" s="36">
        <v>4458</v>
      </c>
      <c r="B138" s="14" t="s">
        <v>8938</v>
      </c>
      <c r="C138" s="31" t="s">
        <v>8939</v>
      </c>
      <c r="D138" s="17">
        <v>44107</v>
      </c>
      <c r="E138" s="14" t="s">
        <v>30</v>
      </c>
      <c r="F138" s="14">
        <v>37</v>
      </c>
      <c r="G138" s="14">
        <v>26</v>
      </c>
      <c r="H138" s="14">
        <v>20</v>
      </c>
      <c r="I138" s="14">
        <v>10</v>
      </c>
      <c r="J138" s="14" t="s">
        <v>31</v>
      </c>
      <c r="K138" s="14" cm="1">
        <f t="array" ref="K138">INT(SUMPRODUCT(--ISNUMBER(SEARCH(economy,C138)))&gt;0)</f>
        <v>0</v>
      </c>
      <c r="L138" s="14" cm="1">
        <f t="array" ref="L138">INT(SUMPRODUCT(--ISNUMBER(SEARCH(healthcare,C138)))&gt;0)</f>
        <v>0</v>
      </c>
      <c r="M138" s="14" cm="1">
        <f t="array" ref="M138">INT(SUMPRODUCT(--ISNUMBER(SEARCH(supreme,C138)))&gt;0)</f>
        <v>0</v>
      </c>
      <c r="N138" s="14" cm="1">
        <f t="array" ref="N138">INT(SUMPRODUCT(--ISNUMBER(SEARCH(covid,C138)))&gt;0)</f>
        <v>0</v>
      </c>
      <c r="O138" s="14" cm="1">
        <f t="array" ref="O138">INT(SUMPRODUCT(--ISNUMBER(SEARCH(violent,C138)))&gt;0)</f>
        <v>0</v>
      </c>
      <c r="P138" s="14" cm="1">
        <f t="array" ref="P138">INT(SUMPRODUCT(--ISNUMBER(SEARCH(foreign,C138)))&gt;0)</f>
        <v>0</v>
      </c>
      <c r="Q138" s="14" cm="1">
        <f t="array" ref="Q138">INT(SUMPRODUCT(--ISNUMBER(SEARCH(gun,C138)))&gt;0)</f>
        <v>0</v>
      </c>
      <c r="R138" s="14" cm="1">
        <f t="array" ref="R138">INT(SUMPRODUCT(--ISNUMBER(SEARCH(race,C138)))&gt;0)</f>
        <v>0</v>
      </c>
      <c r="S138" s="14" cm="1">
        <f t="array" ref="S138">INT(SUMPRODUCT(--ISNUMBER(SEARCH(immigration,C138)))&gt;0)</f>
        <v>0</v>
      </c>
      <c r="T138" s="14" cm="1">
        <f t="array" ref="T138">INT(SUMPRODUCT(--ISNUMBER(SEARCH(econineq,C139)))&gt;0)</f>
        <v>0</v>
      </c>
      <c r="U138" s="14" cm="1">
        <f t="array" ref="U138">INT(SUMPRODUCT(--ISNUMBER(SEARCH(climate,C138)))&gt;0)</f>
        <v>0</v>
      </c>
      <c r="V138" s="14" cm="1">
        <f t="array" ref="V138">INT(SUMPRODUCT(--ISNUMBER(SEARCH(abortion,C138)))&gt;0)</f>
        <v>0</v>
      </c>
      <c r="W138" s="14" cm="1">
        <f t="array" ref="W138">INT(SUMPRODUCT(--ISNUMBER(SEARCH(trump,C138)))&gt;0)</f>
        <v>0</v>
      </c>
      <c r="X138" s="14" cm="1">
        <f t="array" ref="X138">INT(SUMPRODUCT(--ISNUMBER(SEARCH(voting,C138)))&gt;0)</f>
        <v>1</v>
      </c>
      <c r="Y138" s="35" cm="1">
        <f t="array" ref="Y138">INT(SUMPRODUCT(--ISNUMBER(SEARCH(republicantrigger,C138)))&gt;0)</f>
        <v>1</v>
      </c>
      <c r="Z138" s="35" cm="1">
        <f t="array" ref="Z138">INT(SUMPRODUCT(--ISNUMBER(SEARCH(bipartisan,C138)))&gt;0)</f>
        <v>0</v>
      </c>
      <c r="AA138" s="35">
        <f t="shared" si="4"/>
        <v>0</v>
      </c>
      <c r="AB138" s="14"/>
      <c r="AC138" s="30">
        <v>0</v>
      </c>
      <c r="AD138" s="37">
        <v>0</v>
      </c>
    </row>
    <row r="139" spans="1:30" x14ac:dyDescent="0.25">
      <c r="A139" s="36">
        <v>4459</v>
      </c>
      <c r="B139" s="14" t="s">
        <v>8940</v>
      </c>
      <c r="C139" s="31" t="s">
        <v>8912</v>
      </c>
      <c r="D139" s="17">
        <v>44107</v>
      </c>
      <c r="E139" s="14" t="s">
        <v>30</v>
      </c>
      <c r="F139" s="14">
        <v>112</v>
      </c>
      <c r="G139" s="14">
        <v>57</v>
      </c>
      <c r="H139" s="14">
        <v>20</v>
      </c>
      <c r="I139" s="14">
        <v>10</v>
      </c>
      <c r="J139" s="14" t="s">
        <v>31</v>
      </c>
      <c r="K139" s="14" cm="1">
        <f t="array" ref="K139">INT(SUMPRODUCT(--ISNUMBER(SEARCH(economy,C139)))&gt;0)</f>
        <v>0</v>
      </c>
      <c r="L139" s="14" cm="1">
        <f t="array" ref="L139">INT(SUMPRODUCT(--ISNUMBER(SEARCH(healthcare,C139)))&gt;0)</f>
        <v>0</v>
      </c>
      <c r="M139" s="14" cm="1">
        <f t="array" ref="M139">INT(SUMPRODUCT(--ISNUMBER(SEARCH(supreme,C139)))&gt;0)</f>
        <v>0</v>
      </c>
      <c r="N139" s="14" cm="1">
        <f t="array" ref="N139">INT(SUMPRODUCT(--ISNUMBER(SEARCH(covid,C139)))&gt;0)</f>
        <v>0</v>
      </c>
      <c r="O139" s="14" cm="1">
        <f t="array" ref="O139">INT(SUMPRODUCT(--ISNUMBER(SEARCH(violent,C139)))&gt;0)</f>
        <v>0</v>
      </c>
      <c r="P139" s="14" cm="1">
        <f t="array" ref="P139">INT(SUMPRODUCT(--ISNUMBER(SEARCH(foreign,C139)))&gt;0)</f>
        <v>0</v>
      </c>
      <c r="Q139" s="14" cm="1">
        <f t="array" ref="Q139">INT(SUMPRODUCT(--ISNUMBER(SEARCH(gun,C139)))&gt;0)</f>
        <v>0</v>
      </c>
      <c r="R139" s="14" cm="1">
        <f t="array" ref="R139">INT(SUMPRODUCT(--ISNUMBER(SEARCH(race,C139)))&gt;0)</f>
        <v>0</v>
      </c>
      <c r="S139" s="14" cm="1">
        <f t="array" ref="S139">INT(SUMPRODUCT(--ISNUMBER(SEARCH(immigration,C139)))&gt;0)</f>
        <v>0</v>
      </c>
      <c r="T139" s="14" cm="1">
        <f t="array" ref="T139">INT(SUMPRODUCT(--ISNUMBER(SEARCH(econineq,C140)))&gt;0)</f>
        <v>0</v>
      </c>
      <c r="U139" s="14" cm="1">
        <f t="array" ref="U139">INT(SUMPRODUCT(--ISNUMBER(SEARCH(climate,C139)))&gt;0)</f>
        <v>0</v>
      </c>
      <c r="V139" s="14" cm="1">
        <f t="array" ref="V139">INT(SUMPRODUCT(--ISNUMBER(SEARCH(abortion,C139)))&gt;0)</f>
        <v>0</v>
      </c>
      <c r="W139" s="14" cm="1">
        <f t="array" ref="W139">INT(SUMPRODUCT(--ISNUMBER(SEARCH(trump,C139)))&gt;0)</f>
        <v>0</v>
      </c>
      <c r="X139" s="14" cm="1">
        <f t="array" ref="X139">INT(SUMPRODUCT(--ISNUMBER(SEARCH(voting,C139)))&gt;0)</f>
        <v>0</v>
      </c>
      <c r="Y139" s="35" cm="1">
        <f t="array" ref="Y139">INT(SUMPRODUCT(--ISNUMBER(SEARCH(republicantrigger,C139)))&gt;0)</f>
        <v>1</v>
      </c>
      <c r="Z139" s="35" cm="1">
        <f t="array" ref="Z139">INT(SUMPRODUCT(--ISNUMBER(SEARCH(bipartisan,C139)))&gt;0)</f>
        <v>0</v>
      </c>
      <c r="AA139" s="35">
        <f t="shared" si="4"/>
        <v>0</v>
      </c>
      <c r="AB139" s="14"/>
      <c r="AC139" s="30">
        <v>0</v>
      </c>
      <c r="AD139" s="37">
        <v>0</v>
      </c>
    </row>
    <row r="140" spans="1:30" x14ac:dyDescent="0.25">
      <c r="A140" s="36">
        <v>4460</v>
      </c>
      <c r="B140" s="14" t="s">
        <v>8941</v>
      </c>
      <c r="C140" s="31" t="s">
        <v>8908</v>
      </c>
      <c r="D140" s="17">
        <v>44107</v>
      </c>
      <c r="E140" s="14" t="s">
        <v>30</v>
      </c>
      <c r="F140" s="14">
        <v>35</v>
      </c>
      <c r="G140" s="14">
        <v>10</v>
      </c>
      <c r="H140" s="14">
        <v>20</v>
      </c>
      <c r="I140" s="14">
        <v>10</v>
      </c>
      <c r="J140" s="14" t="s">
        <v>31</v>
      </c>
      <c r="K140" s="14" cm="1">
        <f t="array" ref="K140">INT(SUMPRODUCT(--ISNUMBER(SEARCH(economy,C140)))&gt;0)</f>
        <v>0</v>
      </c>
      <c r="L140" s="14" cm="1">
        <f t="array" ref="L140">INT(SUMPRODUCT(--ISNUMBER(SEARCH(healthcare,C140)))&gt;0)</f>
        <v>1</v>
      </c>
      <c r="M140" s="14" cm="1">
        <f t="array" ref="M140">INT(SUMPRODUCT(--ISNUMBER(SEARCH(supreme,C140)))&gt;0)</f>
        <v>0</v>
      </c>
      <c r="N140" s="14" cm="1">
        <f t="array" ref="N140">INT(SUMPRODUCT(--ISNUMBER(SEARCH(covid,C140)))&gt;0)</f>
        <v>0</v>
      </c>
      <c r="O140" s="14" cm="1">
        <f t="array" ref="O140">INT(SUMPRODUCT(--ISNUMBER(SEARCH(violent,C140)))&gt;0)</f>
        <v>0</v>
      </c>
      <c r="P140" s="14" cm="1">
        <f t="array" ref="P140">INT(SUMPRODUCT(--ISNUMBER(SEARCH(foreign,C140)))&gt;0)</f>
        <v>0</v>
      </c>
      <c r="Q140" s="14" cm="1">
        <f t="array" ref="Q140">INT(SUMPRODUCT(--ISNUMBER(SEARCH(gun,C140)))&gt;0)</f>
        <v>0</v>
      </c>
      <c r="R140" s="14" cm="1">
        <f t="array" ref="R140">INT(SUMPRODUCT(--ISNUMBER(SEARCH(race,C140)))&gt;0)</f>
        <v>0</v>
      </c>
      <c r="S140" s="14" cm="1">
        <f t="array" ref="S140">INT(SUMPRODUCT(--ISNUMBER(SEARCH(immigration,C140)))&gt;0)</f>
        <v>0</v>
      </c>
      <c r="T140" s="14" cm="1">
        <f t="array" ref="T140">INT(SUMPRODUCT(--ISNUMBER(SEARCH(econineq,C141)))&gt;0)</f>
        <v>0</v>
      </c>
      <c r="U140" s="14" cm="1">
        <f t="array" ref="U140">INT(SUMPRODUCT(--ISNUMBER(SEARCH(climate,C140)))&gt;0)</f>
        <v>0</v>
      </c>
      <c r="V140" s="14" cm="1">
        <f t="array" ref="V140">INT(SUMPRODUCT(--ISNUMBER(SEARCH(abortion,C140)))&gt;0)</f>
        <v>0</v>
      </c>
      <c r="W140" s="14" cm="1">
        <f t="array" ref="W140">INT(SUMPRODUCT(--ISNUMBER(SEARCH(trump,C140)))&gt;0)</f>
        <v>0</v>
      </c>
      <c r="X140" s="14" cm="1">
        <f t="array" ref="X140">INT(SUMPRODUCT(--ISNUMBER(SEARCH(voting,C140)))&gt;0)</f>
        <v>0</v>
      </c>
      <c r="Y140" s="35" cm="1">
        <f t="array" ref="Y140">INT(SUMPRODUCT(--ISNUMBER(SEARCH(republicantrigger,C140)))&gt;0)</f>
        <v>0</v>
      </c>
      <c r="Z140" s="35" cm="1">
        <f t="array" ref="Z140">INT(SUMPRODUCT(--ISNUMBER(SEARCH(bipartisan,C140)))&gt;0)</f>
        <v>0</v>
      </c>
      <c r="AA140" s="35">
        <f t="shared" si="4"/>
        <v>0</v>
      </c>
      <c r="AB140" s="14"/>
      <c r="AC140" s="30">
        <v>0</v>
      </c>
      <c r="AD140" s="37">
        <v>0</v>
      </c>
    </row>
    <row r="141" spans="1:30" x14ac:dyDescent="0.25">
      <c r="A141" s="36">
        <v>4461</v>
      </c>
      <c r="B141" s="14" t="s">
        <v>8942</v>
      </c>
      <c r="C141" s="31" t="s">
        <v>8910</v>
      </c>
      <c r="D141" s="17">
        <v>44107</v>
      </c>
      <c r="E141" s="14" t="s">
        <v>30</v>
      </c>
      <c r="F141" s="14">
        <v>58</v>
      </c>
      <c r="G141" s="14">
        <v>20</v>
      </c>
      <c r="H141" s="14">
        <v>20</v>
      </c>
      <c r="I141" s="14">
        <v>10</v>
      </c>
      <c r="J141" s="14" t="s">
        <v>31</v>
      </c>
      <c r="K141" s="14" cm="1">
        <f t="array" ref="K141">INT(SUMPRODUCT(--ISNUMBER(SEARCH(economy,C141)))&gt;0)</f>
        <v>0</v>
      </c>
      <c r="L141" s="14" cm="1">
        <f t="array" ref="L141">INT(SUMPRODUCT(--ISNUMBER(SEARCH(healthcare,C141)))&gt;0)</f>
        <v>0</v>
      </c>
      <c r="M141" s="14" cm="1">
        <f t="array" ref="M141">INT(SUMPRODUCT(--ISNUMBER(SEARCH(supreme,C141)))&gt;0)</f>
        <v>0</v>
      </c>
      <c r="N141" s="14" cm="1">
        <f t="array" ref="N141">INT(SUMPRODUCT(--ISNUMBER(SEARCH(covid,C141)))&gt;0)</f>
        <v>1</v>
      </c>
      <c r="O141" s="14" cm="1">
        <f t="array" ref="O141">INT(SUMPRODUCT(--ISNUMBER(SEARCH(violent,C141)))&gt;0)</f>
        <v>0</v>
      </c>
      <c r="P141" s="14" cm="1">
        <f t="array" ref="P141">INT(SUMPRODUCT(--ISNUMBER(SEARCH(foreign,C141)))&gt;0)</f>
        <v>0</v>
      </c>
      <c r="Q141" s="14" cm="1">
        <f t="array" ref="Q141">INT(SUMPRODUCT(--ISNUMBER(SEARCH(gun,C141)))&gt;0)</f>
        <v>0</v>
      </c>
      <c r="R141" s="14" cm="1">
        <f t="array" ref="R141">INT(SUMPRODUCT(--ISNUMBER(SEARCH(race,C141)))&gt;0)</f>
        <v>0</v>
      </c>
      <c r="S141" s="14" cm="1">
        <f t="array" ref="S141">INT(SUMPRODUCT(--ISNUMBER(SEARCH(immigration,C141)))&gt;0)</f>
        <v>0</v>
      </c>
      <c r="T141" s="14" cm="1">
        <f t="array" ref="T141">INT(SUMPRODUCT(--ISNUMBER(SEARCH(econineq,C142)))&gt;0)</f>
        <v>0</v>
      </c>
      <c r="U141" s="14" cm="1">
        <f t="array" ref="U141">INT(SUMPRODUCT(--ISNUMBER(SEARCH(climate,C141)))&gt;0)</f>
        <v>0</v>
      </c>
      <c r="V141" s="14" cm="1">
        <f t="array" ref="V141">INT(SUMPRODUCT(--ISNUMBER(SEARCH(abortion,C141)))&gt;0)</f>
        <v>0</v>
      </c>
      <c r="W141" s="14" cm="1">
        <f t="array" ref="W141">INT(SUMPRODUCT(--ISNUMBER(SEARCH(trump,C141)))&gt;0)</f>
        <v>0</v>
      </c>
      <c r="X141" s="14" cm="1">
        <f t="array" ref="X141">INT(SUMPRODUCT(--ISNUMBER(SEARCH(voting,C141)))&gt;0)</f>
        <v>1</v>
      </c>
      <c r="Y141" s="35" cm="1">
        <f t="array" ref="Y141">INT(SUMPRODUCT(--ISNUMBER(SEARCH(republicantrigger,C141)))&gt;0)</f>
        <v>1</v>
      </c>
      <c r="Z141" s="35" cm="1">
        <f t="array" ref="Z141">INT(SUMPRODUCT(--ISNUMBER(SEARCH(bipartisan,C141)))&gt;0)</f>
        <v>0</v>
      </c>
      <c r="AA141" s="35">
        <f t="shared" si="4"/>
        <v>0</v>
      </c>
      <c r="AB141" s="14"/>
      <c r="AC141" s="30">
        <v>0</v>
      </c>
      <c r="AD141" s="37">
        <v>0</v>
      </c>
    </row>
    <row r="142" spans="1:30" x14ac:dyDescent="0.25">
      <c r="A142" s="36">
        <v>4462</v>
      </c>
      <c r="B142" s="14" t="s">
        <v>8943</v>
      </c>
      <c r="C142" s="31" t="s">
        <v>8906</v>
      </c>
      <c r="D142" s="17">
        <v>44107</v>
      </c>
      <c r="E142" s="14" t="s">
        <v>30</v>
      </c>
      <c r="F142" s="14">
        <v>53</v>
      </c>
      <c r="G142" s="14">
        <v>18</v>
      </c>
      <c r="H142" s="14">
        <v>20</v>
      </c>
      <c r="I142" s="14">
        <v>10</v>
      </c>
      <c r="J142" s="14" t="s">
        <v>31</v>
      </c>
      <c r="K142" s="14" cm="1">
        <f t="array" ref="K142">INT(SUMPRODUCT(--ISNUMBER(SEARCH(economy,C142)))&gt;0)</f>
        <v>0</v>
      </c>
      <c r="L142" s="14" cm="1">
        <f t="array" ref="L142">INT(SUMPRODUCT(--ISNUMBER(SEARCH(healthcare,C142)))&gt;0)</f>
        <v>0</v>
      </c>
      <c r="M142" s="14" cm="1">
        <f t="array" ref="M142">INT(SUMPRODUCT(--ISNUMBER(SEARCH(supreme,C142)))&gt;0)</f>
        <v>0</v>
      </c>
      <c r="N142" s="14" cm="1">
        <f t="array" ref="N142">INT(SUMPRODUCT(--ISNUMBER(SEARCH(covid,C142)))&gt;0)</f>
        <v>1</v>
      </c>
      <c r="O142" s="14" cm="1">
        <f t="array" ref="O142">INT(SUMPRODUCT(--ISNUMBER(SEARCH(violent,C142)))&gt;0)</f>
        <v>0</v>
      </c>
      <c r="P142" s="14" cm="1">
        <f t="array" ref="P142">INT(SUMPRODUCT(--ISNUMBER(SEARCH(foreign,C142)))&gt;0)</f>
        <v>0</v>
      </c>
      <c r="Q142" s="14" cm="1">
        <f t="array" ref="Q142">INT(SUMPRODUCT(--ISNUMBER(SEARCH(gun,C142)))&gt;0)</f>
        <v>0</v>
      </c>
      <c r="R142" s="14" cm="1">
        <f t="array" ref="R142">INT(SUMPRODUCT(--ISNUMBER(SEARCH(race,C142)))&gt;0)</f>
        <v>0</v>
      </c>
      <c r="S142" s="14" cm="1">
        <f t="array" ref="S142">INT(SUMPRODUCT(--ISNUMBER(SEARCH(immigration,C142)))&gt;0)</f>
        <v>0</v>
      </c>
      <c r="T142" s="14" cm="1">
        <f t="array" ref="T142">INT(SUMPRODUCT(--ISNUMBER(SEARCH(econineq,C143)))&gt;0)</f>
        <v>0</v>
      </c>
      <c r="U142" s="14" cm="1">
        <f t="array" ref="U142">INT(SUMPRODUCT(--ISNUMBER(SEARCH(climate,C142)))&gt;0)</f>
        <v>0</v>
      </c>
      <c r="V142" s="14" cm="1">
        <f t="array" ref="V142">INT(SUMPRODUCT(--ISNUMBER(SEARCH(abortion,C142)))&gt;0)</f>
        <v>0</v>
      </c>
      <c r="W142" s="14" cm="1">
        <f t="array" ref="W142">INT(SUMPRODUCT(--ISNUMBER(SEARCH(trump,C142)))&gt;0)</f>
        <v>0</v>
      </c>
      <c r="X142" s="14" cm="1">
        <f t="array" ref="X142">INT(SUMPRODUCT(--ISNUMBER(SEARCH(voting,C142)))&gt;0)</f>
        <v>1</v>
      </c>
      <c r="Y142" s="35" cm="1">
        <f t="array" ref="Y142">INT(SUMPRODUCT(--ISNUMBER(SEARCH(republicantrigger,C142)))&gt;0)</f>
        <v>1</v>
      </c>
      <c r="Z142" s="35" cm="1">
        <f t="array" ref="Z142">INT(SUMPRODUCT(--ISNUMBER(SEARCH(bipartisan,C142)))&gt;0)</f>
        <v>0</v>
      </c>
      <c r="AA142" s="35">
        <f t="shared" si="4"/>
        <v>0</v>
      </c>
      <c r="AB142" s="14"/>
      <c r="AC142" s="30">
        <v>0</v>
      </c>
      <c r="AD142" s="37">
        <v>0</v>
      </c>
    </row>
    <row r="143" spans="1:30" x14ac:dyDescent="0.25">
      <c r="A143" s="36">
        <v>4463</v>
      </c>
      <c r="B143" s="14" t="s">
        <v>8944</v>
      </c>
      <c r="C143" s="31" t="s">
        <v>8945</v>
      </c>
      <c r="D143" s="17">
        <v>44107</v>
      </c>
      <c r="E143" s="14" t="s">
        <v>30</v>
      </c>
      <c r="F143" s="14">
        <v>42</v>
      </c>
      <c r="G143" s="14">
        <v>13</v>
      </c>
      <c r="H143" s="14">
        <v>20</v>
      </c>
      <c r="I143" s="14">
        <v>10</v>
      </c>
      <c r="J143" s="14" t="s">
        <v>31</v>
      </c>
      <c r="K143" s="14" cm="1">
        <f t="array" ref="K143">INT(SUMPRODUCT(--ISNUMBER(SEARCH(economy,C143)))&gt;0)</f>
        <v>0</v>
      </c>
      <c r="L143" s="14" cm="1">
        <f t="array" ref="L143">INT(SUMPRODUCT(--ISNUMBER(SEARCH(healthcare,C143)))&gt;0)</f>
        <v>0</v>
      </c>
      <c r="M143" s="14" cm="1">
        <f t="array" ref="M143">INT(SUMPRODUCT(--ISNUMBER(SEARCH(supreme,C143)))&gt;0)</f>
        <v>0</v>
      </c>
      <c r="N143" s="14" cm="1">
        <f t="array" ref="N143">INT(SUMPRODUCT(--ISNUMBER(SEARCH(covid,C143)))&gt;0)</f>
        <v>0</v>
      </c>
      <c r="O143" s="14" cm="1">
        <f t="array" ref="O143">INT(SUMPRODUCT(--ISNUMBER(SEARCH(violent,C143)))&gt;0)</f>
        <v>0</v>
      </c>
      <c r="P143" s="14" cm="1">
        <f t="array" ref="P143">INT(SUMPRODUCT(--ISNUMBER(SEARCH(foreign,C143)))&gt;0)</f>
        <v>0</v>
      </c>
      <c r="Q143" s="14" cm="1">
        <f t="array" ref="Q143">INT(SUMPRODUCT(--ISNUMBER(SEARCH(gun,C143)))&gt;0)</f>
        <v>0</v>
      </c>
      <c r="R143" s="14" cm="1">
        <f t="array" ref="R143">INT(SUMPRODUCT(--ISNUMBER(SEARCH(race,C143)))&gt;0)</f>
        <v>0</v>
      </c>
      <c r="S143" s="14" cm="1">
        <f t="array" ref="S143">INT(SUMPRODUCT(--ISNUMBER(SEARCH(immigration,C143)))&gt;0)</f>
        <v>0</v>
      </c>
      <c r="T143" s="14" cm="1">
        <f t="array" ref="T143">INT(SUMPRODUCT(--ISNUMBER(SEARCH(econineq,C144)))&gt;0)</f>
        <v>0</v>
      </c>
      <c r="U143" s="14" cm="1">
        <f t="array" ref="U143">INT(SUMPRODUCT(--ISNUMBER(SEARCH(climate,C143)))&gt;0)</f>
        <v>0</v>
      </c>
      <c r="V143" s="14" cm="1">
        <f t="array" ref="V143">INT(SUMPRODUCT(--ISNUMBER(SEARCH(abortion,C143)))&gt;0)</f>
        <v>0</v>
      </c>
      <c r="W143" s="14" cm="1">
        <f t="array" ref="W143">INT(SUMPRODUCT(--ISNUMBER(SEARCH(trump,C143)))&gt;0)</f>
        <v>0</v>
      </c>
      <c r="X143" s="14" cm="1">
        <f t="array" ref="X143">INT(SUMPRODUCT(--ISNUMBER(SEARCH(voting,C143)))&gt;0)</f>
        <v>0</v>
      </c>
      <c r="Y143" s="35" cm="1">
        <f t="array" ref="Y143">INT(SUMPRODUCT(--ISNUMBER(SEARCH(republicantrigger,C143)))&gt;0)</f>
        <v>1</v>
      </c>
      <c r="Z143" s="35" cm="1">
        <f t="array" ref="Z143">INT(SUMPRODUCT(--ISNUMBER(SEARCH(bipartisan,C143)))&gt;0)</f>
        <v>0</v>
      </c>
      <c r="AA143" s="35">
        <f t="shared" si="4"/>
        <v>0</v>
      </c>
      <c r="AB143" s="14"/>
      <c r="AC143" s="30">
        <v>0</v>
      </c>
      <c r="AD143" s="37">
        <v>0</v>
      </c>
    </row>
    <row r="144" spans="1:30" x14ac:dyDescent="0.25">
      <c r="A144" s="36">
        <v>4464</v>
      </c>
      <c r="B144" s="14" t="s">
        <v>8946</v>
      </c>
      <c r="C144" s="31" t="s">
        <v>8947</v>
      </c>
      <c r="D144" s="17">
        <v>44107</v>
      </c>
      <c r="E144" s="14" t="s">
        <v>30</v>
      </c>
      <c r="F144" s="14">
        <v>38</v>
      </c>
      <c r="G144" s="14">
        <v>11</v>
      </c>
      <c r="H144" s="14">
        <v>20</v>
      </c>
      <c r="I144" s="14">
        <v>10</v>
      </c>
      <c r="J144" s="14" t="s">
        <v>31</v>
      </c>
      <c r="K144" s="14" cm="1">
        <f t="array" ref="K144">INT(SUMPRODUCT(--ISNUMBER(SEARCH(economy,C144)))&gt;0)</f>
        <v>0</v>
      </c>
      <c r="L144" s="14" cm="1">
        <f t="array" ref="L144">INT(SUMPRODUCT(--ISNUMBER(SEARCH(healthcare,C144)))&gt;0)</f>
        <v>0</v>
      </c>
      <c r="M144" s="14" cm="1">
        <f t="array" ref="M144">INT(SUMPRODUCT(--ISNUMBER(SEARCH(supreme,C144)))&gt;0)</f>
        <v>0</v>
      </c>
      <c r="N144" s="14" cm="1">
        <f t="array" ref="N144">INT(SUMPRODUCT(--ISNUMBER(SEARCH(covid,C144)))&gt;0)</f>
        <v>0</v>
      </c>
      <c r="O144" s="14" cm="1">
        <f t="array" ref="O144">INT(SUMPRODUCT(--ISNUMBER(SEARCH(violent,C144)))&gt;0)</f>
        <v>0</v>
      </c>
      <c r="P144" s="14" cm="1">
        <f t="array" ref="P144">INT(SUMPRODUCT(--ISNUMBER(SEARCH(foreign,C144)))&gt;0)</f>
        <v>0</v>
      </c>
      <c r="Q144" s="14" cm="1">
        <f t="array" ref="Q144">INT(SUMPRODUCT(--ISNUMBER(SEARCH(gun,C144)))&gt;0)</f>
        <v>0</v>
      </c>
      <c r="R144" s="14" cm="1">
        <f t="array" ref="R144">INT(SUMPRODUCT(--ISNUMBER(SEARCH(race,C144)))&gt;0)</f>
        <v>0</v>
      </c>
      <c r="S144" s="14" cm="1">
        <f t="array" ref="S144">INT(SUMPRODUCT(--ISNUMBER(SEARCH(immigration,C144)))&gt;0)</f>
        <v>0</v>
      </c>
      <c r="T144" s="14" cm="1">
        <f t="array" ref="T144">INT(SUMPRODUCT(--ISNUMBER(SEARCH(econineq,C145)))&gt;0)</f>
        <v>0</v>
      </c>
      <c r="U144" s="14" cm="1">
        <f t="array" ref="U144">INT(SUMPRODUCT(--ISNUMBER(SEARCH(climate,C144)))&gt;0)</f>
        <v>0</v>
      </c>
      <c r="V144" s="14" cm="1">
        <f t="array" ref="V144">INT(SUMPRODUCT(--ISNUMBER(SEARCH(abortion,C144)))&gt;0)</f>
        <v>0</v>
      </c>
      <c r="W144" s="14" cm="1">
        <f t="array" ref="W144">INT(SUMPRODUCT(--ISNUMBER(SEARCH(trump,C144)))&gt;0)</f>
        <v>0</v>
      </c>
      <c r="X144" s="14" cm="1">
        <f t="array" ref="X144">INT(SUMPRODUCT(--ISNUMBER(SEARCH(voting,C144)))&gt;0)</f>
        <v>0</v>
      </c>
      <c r="Y144" s="35" cm="1">
        <f t="array" ref="Y144">INT(SUMPRODUCT(--ISNUMBER(SEARCH(republicantrigger,C144)))&gt;0)</f>
        <v>1</v>
      </c>
      <c r="Z144" s="35" cm="1">
        <f t="array" ref="Z144">INT(SUMPRODUCT(--ISNUMBER(SEARCH(bipartisan,C144)))&gt;0)</f>
        <v>0</v>
      </c>
      <c r="AA144" s="35">
        <f t="shared" si="4"/>
        <v>0</v>
      </c>
      <c r="AB144" s="14"/>
      <c r="AC144" s="30">
        <v>0</v>
      </c>
      <c r="AD144" s="37">
        <v>0</v>
      </c>
    </row>
    <row r="145" spans="1:30" x14ac:dyDescent="0.25">
      <c r="A145" s="36">
        <v>4465</v>
      </c>
      <c r="B145" s="14" t="s">
        <v>8948</v>
      </c>
      <c r="C145" s="31" t="s">
        <v>8949</v>
      </c>
      <c r="D145" s="17">
        <v>44107</v>
      </c>
      <c r="E145" s="14" t="s">
        <v>30</v>
      </c>
      <c r="F145" s="14">
        <v>101</v>
      </c>
      <c r="G145" s="14">
        <v>49</v>
      </c>
      <c r="H145" s="14">
        <v>20</v>
      </c>
      <c r="I145" s="14">
        <v>10</v>
      </c>
      <c r="J145" s="14" t="s">
        <v>31</v>
      </c>
      <c r="K145" s="14" cm="1">
        <f t="array" ref="K145">INT(SUMPRODUCT(--ISNUMBER(SEARCH(economy,C145)))&gt;0)</f>
        <v>0</v>
      </c>
      <c r="L145" s="14" cm="1">
        <f t="array" ref="L145">INT(SUMPRODUCT(--ISNUMBER(SEARCH(healthcare,C145)))&gt;0)</f>
        <v>0</v>
      </c>
      <c r="M145" s="14" cm="1">
        <f t="array" ref="M145">INT(SUMPRODUCT(--ISNUMBER(SEARCH(supreme,C145)))&gt;0)</f>
        <v>0</v>
      </c>
      <c r="N145" s="14" cm="1">
        <f t="array" ref="N145">INT(SUMPRODUCT(--ISNUMBER(SEARCH(covid,C145)))&gt;0)</f>
        <v>0</v>
      </c>
      <c r="O145" s="14" cm="1">
        <f t="array" ref="O145">INT(SUMPRODUCT(--ISNUMBER(SEARCH(violent,C145)))&gt;0)</f>
        <v>0</v>
      </c>
      <c r="P145" s="14" cm="1">
        <f t="array" ref="P145">INT(SUMPRODUCT(--ISNUMBER(SEARCH(foreign,C145)))&gt;0)</f>
        <v>0</v>
      </c>
      <c r="Q145" s="14" cm="1">
        <f t="array" ref="Q145">INT(SUMPRODUCT(--ISNUMBER(SEARCH(gun,C145)))&gt;0)</f>
        <v>0</v>
      </c>
      <c r="R145" s="14" cm="1">
        <f t="array" ref="R145">INT(SUMPRODUCT(--ISNUMBER(SEARCH(race,C145)))&gt;0)</f>
        <v>0</v>
      </c>
      <c r="S145" s="14" cm="1">
        <f t="array" ref="S145">INT(SUMPRODUCT(--ISNUMBER(SEARCH(immigration,C145)))&gt;0)</f>
        <v>0</v>
      </c>
      <c r="T145" s="14" cm="1">
        <f t="array" ref="T145">INT(SUMPRODUCT(--ISNUMBER(SEARCH(econineq,C146)))&gt;0)</f>
        <v>0</v>
      </c>
      <c r="U145" s="14" cm="1">
        <f t="array" ref="U145">INT(SUMPRODUCT(--ISNUMBER(SEARCH(climate,C145)))&gt;0)</f>
        <v>0</v>
      </c>
      <c r="V145" s="14" cm="1">
        <f t="array" ref="V145">INT(SUMPRODUCT(--ISNUMBER(SEARCH(abortion,C145)))&gt;0)</f>
        <v>0</v>
      </c>
      <c r="W145" s="14" cm="1">
        <f t="array" ref="W145">INT(SUMPRODUCT(--ISNUMBER(SEARCH(trump,C145)))&gt;0)</f>
        <v>0</v>
      </c>
      <c r="X145" s="14" cm="1">
        <f t="array" ref="X145">INT(SUMPRODUCT(--ISNUMBER(SEARCH(voting,C145)))&gt;0)</f>
        <v>0</v>
      </c>
      <c r="Y145" s="35" cm="1">
        <f t="array" ref="Y145">INT(SUMPRODUCT(--ISNUMBER(SEARCH(republicantrigger,C145)))&gt;0)</f>
        <v>1</v>
      </c>
      <c r="Z145" s="35" cm="1">
        <f t="array" ref="Z145">INT(SUMPRODUCT(--ISNUMBER(SEARCH(bipartisan,C145)))&gt;0)</f>
        <v>0</v>
      </c>
      <c r="AA145" s="35">
        <f t="shared" si="4"/>
        <v>0</v>
      </c>
      <c r="AB145" s="14"/>
      <c r="AC145" s="30">
        <v>0</v>
      </c>
      <c r="AD145" s="37">
        <v>0</v>
      </c>
    </row>
    <row r="146" spans="1:30" x14ac:dyDescent="0.25">
      <c r="A146" s="36">
        <v>4466</v>
      </c>
      <c r="B146" s="14" t="s">
        <v>8950</v>
      </c>
      <c r="C146" s="31" t="s">
        <v>8951</v>
      </c>
      <c r="D146" s="17">
        <v>44107</v>
      </c>
      <c r="E146" s="14" t="s">
        <v>70</v>
      </c>
      <c r="F146" s="14">
        <v>16</v>
      </c>
      <c r="G146" s="14">
        <v>6</v>
      </c>
      <c r="H146" s="14">
        <v>20</v>
      </c>
      <c r="I146" s="14">
        <v>10</v>
      </c>
      <c r="J146" s="14" t="s">
        <v>31</v>
      </c>
      <c r="K146" s="14" cm="1">
        <f t="array" ref="K146">INT(SUMPRODUCT(--ISNUMBER(SEARCH(economy,C146)))&gt;0)</f>
        <v>0</v>
      </c>
      <c r="L146" s="14" cm="1">
        <f t="array" ref="L146">INT(SUMPRODUCT(--ISNUMBER(SEARCH(healthcare,C146)))&gt;0)</f>
        <v>0</v>
      </c>
      <c r="M146" s="14" cm="1">
        <f t="array" ref="M146">INT(SUMPRODUCT(--ISNUMBER(SEARCH(supreme,C146)))&gt;0)</f>
        <v>0</v>
      </c>
      <c r="N146" s="14" cm="1">
        <f t="array" ref="N146">INT(SUMPRODUCT(--ISNUMBER(SEARCH(covid,C146)))&gt;0)</f>
        <v>0</v>
      </c>
      <c r="O146" s="14" cm="1">
        <f t="array" ref="O146">INT(SUMPRODUCT(--ISNUMBER(SEARCH(violent,C146)))&gt;0)</f>
        <v>0</v>
      </c>
      <c r="P146" s="14" cm="1">
        <f t="array" ref="P146">INT(SUMPRODUCT(--ISNUMBER(SEARCH(foreign,C146)))&gt;0)</f>
        <v>0</v>
      </c>
      <c r="Q146" s="14" cm="1">
        <f t="array" ref="Q146">INT(SUMPRODUCT(--ISNUMBER(SEARCH(gun,C146)))&gt;0)</f>
        <v>0</v>
      </c>
      <c r="R146" s="14" cm="1">
        <f t="array" ref="R146">INT(SUMPRODUCT(--ISNUMBER(SEARCH(race,C146)))&gt;0)</f>
        <v>0</v>
      </c>
      <c r="S146" s="14" cm="1">
        <f t="array" ref="S146">INT(SUMPRODUCT(--ISNUMBER(SEARCH(immigration,C146)))&gt;0)</f>
        <v>0</v>
      </c>
      <c r="T146" s="14" cm="1">
        <f t="array" ref="T146">INT(SUMPRODUCT(--ISNUMBER(SEARCH(econineq,C147)))&gt;0)</f>
        <v>0</v>
      </c>
      <c r="U146" s="14" cm="1">
        <f t="array" ref="U146">INT(SUMPRODUCT(--ISNUMBER(SEARCH(climate,C146)))&gt;0)</f>
        <v>0</v>
      </c>
      <c r="V146" s="14" cm="1">
        <f t="array" ref="V146">INT(SUMPRODUCT(--ISNUMBER(SEARCH(abortion,C146)))&gt;0)</f>
        <v>0</v>
      </c>
      <c r="W146" s="14" cm="1">
        <f t="array" ref="W146">INT(SUMPRODUCT(--ISNUMBER(SEARCH(trump,C146)))&gt;0)</f>
        <v>0</v>
      </c>
      <c r="X146" s="14" cm="1">
        <f t="array" ref="X146">INT(SUMPRODUCT(--ISNUMBER(SEARCH(voting,C146)))&gt;0)</f>
        <v>0</v>
      </c>
      <c r="Y146" s="35" cm="1">
        <f t="array" ref="Y146">INT(SUMPRODUCT(--ISNUMBER(SEARCH(republicantrigger,C146)))&gt;0)</f>
        <v>0</v>
      </c>
      <c r="Z146" s="35" cm="1">
        <f t="array" ref="Z146">INT(SUMPRODUCT(--ISNUMBER(SEARCH(bipartisan,C146)))&gt;0)</f>
        <v>0</v>
      </c>
      <c r="AA146" s="35">
        <f t="shared" si="4"/>
        <v>1</v>
      </c>
      <c r="AB146" s="14"/>
      <c r="AC146" s="30">
        <v>0</v>
      </c>
      <c r="AD146" s="37">
        <v>0</v>
      </c>
    </row>
    <row r="147" spans="1:30" x14ac:dyDescent="0.25">
      <c r="A147" s="36">
        <v>4467</v>
      </c>
      <c r="B147" s="14" t="s">
        <v>8952</v>
      </c>
      <c r="C147" s="31" t="s">
        <v>8953</v>
      </c>
      <c r="D147" s="17">
        <v>44107</v>
      </c>
      <c r="E147" s="14" t="s">
        <v>30</v>
      </c>
      <c r="F147" s="14">
        <v>240</v>
      </c>
      <c r="G147" s="14">
        <v>83</v>
      </c>
      <c r="H147" s="14">
        <v>20</v>
      </c>
      <c r="I147" s="14">
        <v>10</v>
      </c>
      <c r="J147" s="14" t="s">
        <v>31</v>
      </c>
      <c r="K147" s="14" cm="1">
        <f t="array" ref="K147">INT(SUMPRODUCT(--ISNUMBER(SEARCH(economy,C147)))&gt;0)</f>
        <v>0</v>
      </c>
      <c r="L147" s="14" cm="1">
        <f t="array" ref="L147">INT(SUMPRODUCT(--ISNUMBER(SEARCH(healthcare,C147)))&gt;0)</f>
        <v>0</v>
      </c>
      <c r="M147" s="14" cm="1">
        <f t="array" ref="M147">INT(SUMPRODUCT(--ISNUMBER(SEARCH(supreme,C147)))&gt;0)</f>
        <v>0</v>
      </c>
      <c r="N147" s="14" cm="1">
        <f t="array" ref="N147">INT(SUMPRODUCT(--ISNUMBER(SEARCH(covid,C147)))&gt;0)</f>
        <v>0</v>
      </c>
      <c r="O147" s="14" cm="1">
        <f t="array" ref="O147">INT(SUMPRODUCT(--ISNUMBER(SEARCH(violent,C147)))&gt;0)</f>
        <v>0</v>
      </c>
      <c r="P147" s="14" cm="1">
        <f t="array" ref="P147">INT(SUMPRODUCT(--ISNUMBER(SEARCH(foreign,C147)))&gt;0)</f>
        <v>0</v>
      </c>
      <c r="Q147" s="14" cm="1">
        <f t="array" ref="Q147">INT(SUMPRODUCT(--ISNUMBER(SEARCH(gun,C147)))&gt;0)</f>
        <v>0</v>
      </c>
      <c r="R147" s="14" cm="1">
        <f t="array" ref="R147">INT(SUMPRODUCT(--ISNUMBER(SEARCH(race,C147)))&gt;0)</f>
        <v>1</v>
      </c>
      <c r="S147" s="14" cm="1">
        <f t="array" ref="S147">INT(SUMPRODUCT(--ISNUMBER(SEARCH(immigration,C147)))&gt;0)</f>
        <v>0</v>
      </c>
      <c r="T147" s="14" cm="1">
        <f t="array" ref="T147">INT(SUMPRODUCT(--ISNUMBER(SEARCH(econineq,C148)))&gt;0)</f>
        <v>0</v>
      </c>
      <c r="U147" s="14" cm="1">
        <f t="array" ref="U147">INT(SUMPRODUCT(--ISNUMBER(SEARCH(climate,C147)))&gt;0)</f>
        <v>0</v>
      </c>
      <c r="V147" s="14" cm="1">
        <f t="array" ref="V147">INT(SUMPRODUCT(--ISNUMBER(SEARCH(abortion,C147)))&gt;0)</f>
        <v>0</v>
      </c>
      <c r="W147" s="14" cm="1">
        <f t="array" ref="W147">INT(SUMPRODUCT(--ISNUMBER(SEARCH(trump,C147)))&gt;0)</f>
        <v>0</v>
      </c>
      <c r="X147" s="14" cm="1">
        <f t="array" ref="X147">INT(SUMPRODUCT(--ISNUMBER(SEARCH(voting,C147)))&gt;0)</f>
        <v>1</v>
      </c>
      <c r="Y147" s="35" cm="1">
        <f t="array" ref="Y147">INT(SUMPRODUCT(--ISNUMBER(SEARCH(republicantrigger,C147)))&gt;0)</f>
        <v>1</v>
      </c>
      <c r="Z147" s="35" cm="1">
        <f t="array" ref="Z147">INT(SUMPRODUCT(--ISNUMBER(SEARCH(bipartisan,C147)))&gt;0)</f>
        <v>0</v>
      </c>
      <c r="AA147" s="35">
        <f t="shared" si="4"/>
        <v>0</v>
      </c>
      <c r="AB147" s="14"/>
      <c r="AC147" s="30">
        <v>0</v>
      </c>
      <c r="AD147" s="37">
        <v>0</v>
      </c>
    </row>
    <row r="148" spans="1:30" x14ac:dyDescent="0.25">
      <c r="A148" s="36">
        <v>4468</v>
      </c>
      <c r="B148" s="14" t="s">
        <v>8954</v>
      </c>
      <c r="C148" s="31" t="s">
        <v>8955</v>
      </c>
      <c r="D148" s="17">
        <v>44107</v>
      </c>
      <c r="E148" s="14" t="s">
        <v>30</v>
      </c>
      <c r="F148" s="14">
        <v>133</v>
      </c>
      <c r="G148" s="14">
        <v>44</v>
      </c>
      <c r="H148" s="14">
        <v>20</v>
      </c>
      <c r="I148" s="14">
        <v>10</v>
      </c>
      <c r="J148" s="14" t="s">
        <v>31</v>
      </c>
      <c r="K148" s="14" cm="1">
        <f t="array" ref="K148">INT(SUMPRODUCT(--ISNUMBER(SEARCH(economy,C148)))&gt;0)</f>
        <v>0</v>
      </c>
      <c r="L148" s="14" cm="1">
        <f t="array" ref="L148">INT(SUMPRODUCT(--ISNUMBER(SEARCH(healthcare,C148)))&gt;0)</f>
        <v>0</v>
      </c>
      <c r="M148" s="14" cm="1">
        <f t="array" ref="M148">INT(SUMPRODUCT(--ISNUMBER(SEARCH(supreme,C148)))&gt;0)</f>
        <v>0</v>
      </c>
      <c r="N148" s="14" cm="1">
        <f t="array" ref="N148">INT(SUMPRODUCT(--ISNUMBER(SEARCH(covid,C148)))&gt;0)</f>
        <v>0</v>
      </c>
      <c r="O148" s="14" cm="1">
        <f t="array" ref="O148">INT(SUMPRODUCT(--ISNUMBER(SEARCH(violent,C148)))&gt;0)</f>
        <v>0</v>
      </c>
      <c r="P148" s="14" cm="1">
        <f t="array" ref="P148">INT(SUMPRODUCT(--ISNUMBER(SEARCH(foreign,C148)))&gt;0)</f>
        <v>0</v>
      </c>
      <c r="Q148" s="14" cm="1">
        <f t="array" ref="Q148">INT(SUMPRODUCT(--ISNUMBER(SEARCH(gun,C148)))&gt;0)</f>
        <v>0</v>
      </c>
      <c r="R148" s="14" cm="1">
        <f t="array" ref="R148">INT(SUMPRODUCT(--ISNUMBER(SEARCH(race,C148)))&gt;0)</f>
        <v>1</v>
      </c>
      <c r="S148" s="14" cm="1">
        <f t="array" ref="S148">INT(SUMPRODUCT(--ISNUMBER(SEARCH(immigration,C148)))&gt;0)</f>
        <v>0</v>
      </c>
      <c r="T148" s="14" cm="1">
        <f t="array" ref="T148">INT(SUMPRODUCT(--ISNUMBER(SEARCH(econineq,C149)))&gt;0)</f>
        <v>0</v>
      </c>
      <c r="U148" s="14" cm="1">
        <f t="array" ref="U148">INT(SUMPRODUCT(--ISNUMBER(SEARCH(climate,C148)))&gt;0)</f>
        <v>0</v>
      </c>
      <c r="V148" s="14" cm="1">
        <f t="array" ref="V148">INT(SUMPRODUCT(--ISNUMBER(SEARCH(abortion,C148)))&gt;0)</f>
        <v>0</v>
      </c>
      <c r="W148" s="14" cm="1">
        <f t="array" ref="W148">INT(SUMPRODUCT(--ISNUMBER(SEARCH(trump,C148)))&gt;0)</f>
        <v>0</v>
      </c>
      <c r="X148" s="14" cm="1">
        <f t="array" ref="X148">INT(SUMPRODUCT(--ISNUMBER(SEARCH(voting,C148)))&gt;0)</f>
        <v>0</v>
      </c>
      <c r="Y148" s="35" cm="1">
        <f t="array" ref="Y148">INT(SUMPRODUCT(--ISNUMBER(SEARCH(republicantrigger,C148)))&gt;0)</f>
        <v>0</v>
      </c>
      <c r="Z148" s="35" cm="1">
        <f t="array" ref="Z148">INT(SUMPRODUCT(--ISNUMBER(SEARCH(bipartisan,C148)))&gt;0)</f>
        <v>0</v>
      </c>
      <c r="AA148" s="35">
        <f t="shared" si="4"/>
        <v>0</v>
      </c>
      <c r="AB148" s="14"/>
      <c r="AC148" s="30">
        <v>0</v>
      </c>
      <c r="AD148" s="37">
        <v>0</v>
      </c>
    </row>
    <row r="149" spans="1:30" x14ac:dyDescent="0.25">
      <c r="A149" s="36">
        <v>4469</v>
      </c>
      <c r="B149" s="14" t="s">
        <v>8956</v>
      </c>
      <c r="C149" s="31" t="s">
        <v>8957</v>
      </c>
      <c r="D149" s="17">
        <v>44107</v>
      </c>
      <c r="E149" s="14" t="s">
        <v>30</v>
      </c>
      <c r="F149" s="14">
        <v>85</v>
      </c>
      <c r="G149" s="14">
        <v>35</v>
      </c>
      <c r="H149" s="14">
        <v>20</v>
      </c>
      <c r="I149" s="14">
        <v>10</v>
      </c>
      <c r="J149" s="14" t="s">
        <v>31</v>
      </c>
      <c r="K149" s="14" cm="1">
        <f t="array" ref="K149">INT(SUMPRODUCT(--ISNUMBER(SEARCH(economy,C149)))&gt;0)</f>
        <v>0</v>
      </c>
      <c r="L149" s="14" cm="1">
        <f t="array" ref="L149">INT(SUMPRODUCT(--ISNUMBER(SEARCH(healthcare,C149)))&gt;0)</f>
        <v>0</v>
      </c>
      <c r="M149" s="14" cm="1">
        <f t="array" ref="M149">INT(SUMPRODUCT(--ISNUMBER(SEARCH(supreme,C149)))&gt;0)</f>
        <v>0</v>
      </c>
      <c r="N149" s="14" cm="1">
        <f t="array" ref="N149">INT(SUMPRODUCT(--ISNUMBER(SEARCH(covid,C149)))&gt;0)</f>
        <v>1</v>
      </c>
      <c r="O149" s="14" cm="1">
        <f t="array" ref="O149">INT(SUMPRODUCT(--ISNUMBER(SEARCH(violent,C149)))&gt;0)</f>
        <v>0</v>
      </c>
      <c r="P149" s="14" cm="1">
        <f t="array" ref="P149">INT(SUMPRODUCT(--ISNUMBER(SEARCH(foreign,C149)))&gt;0)</f>
        <v>0</v>
      </c>
      <c r="Q149" s="14" cm="1">
        <f t="array" ref="Q149">INT(SUMPRODUCT(--ISNUMBER(SEARCH(gun,C149)))&gt;0)</f>
        <v>0</v>
      </c>
      <c r="R149" s="14" cm="1">
        <f t="array" ref="R149">INT(SUMPRODUCT(--ISNUMBER(SEARCH(race,C149)))&gt;0)</f>
        <v>0</v>
      </c>
      <c r="S149" s="14" cm="1">
        <f t="array" ref="S149">INT(SUMPRODUCT(--ISNUMBER(SEARCH(immigration,C149)))&gt;0)</f>
        <v>0</v>
      </c>
      <c r="T149" s="14" cm="1">
        <f t="array" ref="T149">INT(SUMPRODUCT(--ISNUMBER(SEARCH(econineq,C150)))&gt;0)</f>
        <v>0</v>
      </c>
      <c r="U149" s="14" cm="1">
        <f t="array" ref="U149">INT(SUMPRODUCT(--ISNUMBER(SEARCH(climate,C149)))&gt;0)</f>
        <v>0</v>
      </c>
      <c r="V149" s="14" cm="1">
        <f t="array" ref="V149">INT(SUMPRODUCT(--ISNUMBER(SEARCH(abortion,C149)))&gt;0)</f>
        <v>0</v>
      </c>
      <c r="W149" s="14" cm="1">
        <f t="array" ref="W149">INT(SUMPRODUCT(--ISNUMBER(SEARCH(trump,C149)))&gt;0)</f>
        <v>0</v>
      </c>
      <c r="X149" s="14" cm="1">
        <f t="array" ref="X149">INT(SUMPRODUCT(--ISNUMBER(SEARCH(voting,C149)))&gt;0)</f>
        <v>1</v>
      </c>
      <c r="Y149" s="35" cm="1">
        <f t="array" ref="Y149">INT(SUMPRODUCT(--ISNUMBER(SEARCH(republicantrigger,C149)))&gt;0)</f>
        <v>1</v>
      </c>
      <c r="Z149" s="35" cm="1">
        <f t="array" ref="Z149">INT(SUMPRODUCT(--ISNUMBER(SEARCH(bipartisan,C149)))&gt;0)</f>
        <v>0</v>
      </c>
      <c r="AA149" s="35">
        <f t="shared" si="4"/>
        <v>0</v>
      </c>
      <c r="AB149" s="14"/>
      <c r="AC149" s="30">
        <v>0</v>
      </c>
      <c r="AD149" s="37">
        <v>0</v>
      </c>
    </row>
    <row r="150" spans="1:30" x14ac:dyDescent="0.25">
      <c r="A150" s="36">
        <v>4470</v>
      </c>
      <c r="B150" s="14" t="s">
        <v>8958</v>
      </c>
      <c r="C150" s="31" t="s">
        <v>8959</v>
      </c>
      <c r="D150" s="17">
        <v>44107</v>
      </c>
      <c r="E150" s="14" t="s">
        <v>30</v>
      </c>
      <c r="F150" s="14">
        <v>73</v>
      </c>
      <c r="G150" s="14">
        <v>34</v>
      </c>
      <c r="H150" s="14">
        <v>20</v>
      </c>
      <c r="I150" s="14">
        <v>10</v>
      </c>
      <c r="J150" s="14" t="s">
        <v>31</v>
      </c>
      <c r="K150" s="14" cm="1">
        <f t="array" ref="K150">INT(SUMPRODUCT(--ISNUMBER(SEARCH(economy,C150)))&gt;0)</f>
        <v>1</v>
      </c>
      <c r="L150" s="14" cm="1">
        <f t="array" ref="L150">INT(SUMPRODUCT(--ISNUMBER(SEARCH(healthcare,C150)))&gt;0)</f>
        <v>0</v>
      </c>
      <c r="M150" s="14" cm="1">
        <f t="array" ref="M150">INT(SUMPRODUCT(--ISNUMBER(SEARCH(supreme,C150)))&gt;0)</f>
        <v>0</v>
      </c>
      <c r="N150" s="14" cm="1">
        <f t="array" ref="N150">INT(SUMPRODUCT(--ISNUMBER(SEARCH(covid,C150)))&gt;0)</f>
        <v>1</v>
      </c>
      <c r="O150" s="14" cm="1">
        <f t="array" ref="O150">INT(SUMPRODUCT(--ISNUMBER(SEARCH(violent,C150)))&gt;0)</f>
        <v>0</v>
      </c>
      <c r="P150" s="14" cm="1">
        <f t="array" ref="P150">INT(SUMPRODUCT(--ISNUMBER(SEARCH(foreign,C150)))&gt;0)</f>
        <v>0</v>
      </c>
      <c r="Q150" s="14" cm="1">
        <f t="array" ref="Q150">INT(SUMPRODUCT(--ISNUMBER(SEARCH(gun,C150)))&gt;0)</f>
        <v>0</v>
      </c>
      <c r="R150" s="14" cm="1">
        <f t="array" ref="R150">INT(SUMPRODUCT(--ISNUMBER(SEARCH(race,C150)))&gt;0)</f>
        <v>0</v>
      </c>
      <c r="S150" s="14" cm="1">
        <f t="array" ref="S150">INT(SUMPRODUCT(--ISNUMBER(SEARCH(immigration,C150)))&gt;0)</f>
        <v>0</v>
      </c>
      <c r="T150" s="14" cm="1">
        <f t="array" ref="T150">INT(SUMPRODUCT(--ISNUMBER(SEARCH(econineq,C151)))&gt;0)</f>
        <v>0</v>
      </c>
      <c r="U150" s="14" cm="1">
        <f t="array" ref="U150">INT(SUMPRODUCT(--ISNUMBER(SEARCH(climate,C150)))&gt;0)</f>
        <v>0</v>
      </c>
      <c r="V150" s="14" cm="1">
        <f t="array" ref="V150">INT(SUMPRODUCT(--ISNUMBER(SEARCH(abortion,C150)))&gt;0)</f>
        <v>0</v>
      </c>
      <c r="W150" s="14" cm="1">
        <f t="array" ref="W150">INT(SUMPRODUCT(--ISNUMBER(SEARCH(trump,C150)))&gt;0)</f>
        <v>0</v>
      </c>
      <c r="X150" s="14" cm="1">
        <f t="array" ref="X150">INT(SUMPRODUCT(--ISNUMBER(SEARCH(voting,C150)))&gt;0)</f>
        <v>1</v>
      </c>
      <c r="Y150" s="35" cm="1">
        <f t="array" ref="Y150">INT(SUMPRODUCT(--ISNUMBER(SEARCH(republicantrigger,C150)))&gt;0)</f>
        <v>1</v>
      </c>
      <c r="Z150" s="35" cm="1">
        <f t="array" ref="Z150">INT(SUMPRODUCT(--ISNUMBER(SEARCH(bipartisan,C150)))&gt;0)</f>
        <v>0</v>
      </c>
      <c r="AA150" s="35">
        <f t="shared" si="4"/>
        <v>0</v>
      </c>
      <c r="AB150" s="14"/>
      <c r="AC150" s="30">
        <v>0</v>
      </c>
      <c r="AD150" s="37">
        <v>0</v>
      </c>
    </row>
    <row r="151" spans="1:30" x14ac:dyDescent="0.25">
      <c r="A151" s="36">
        <v>4471</v>
      </c>
      <c r="B151" s="14" t="s">
        <v>8960</v>
      </c>
      <c r="C151" s="31" t="s">
        <v>8961</v>
      </c>
      <c r="D151" s="17">
        <v>44107</v>
      </c>
      <c r="E151" s="14" t="s">
        <v>30</v>
      </c>
      <c r="F151" s="14">
        <v>32</v>
      </c>
      <c r="G151" s="14">
        <v>6</v>
      </c>
      <c r="H151" s="14">
        <v>20</v>
      </c>
      <c r="I151" s="14">
        <v>10</v>
      </c>
      <c r="J151" s="14" t="s">
        <v>31</v>
      </c>
      <c r="K151" s="14" cm="1">
        <f t="array" ref="K151">INT(SUMPRODUCT(--ISNUMBER(SEARCH(economy,C151)))&gt;0)</f>
        <v>0</v>
      </c>
      <c r="L151" s="14" cm="1">
        <f t="array" ref="L151">INT(SUMPRODUCT(--ISNUMBER(SEARCH(healthcare,C151)))&gt;0)</f>
        <v>0</v>
      </c>
      <c r="M151" s="14" cm="1">
        <f t="array" ref="M151">INT(SUMPRODUCT(--ISNUMBER(SEARCH(supreme,C151)))&gt;0)</f>
        <v>0</v>
      </c>
      <c r="N151" s="14" cm="1">
        <f t="array" ref="N151">INT(SUMPRODUCT(--ISNUMBER(SEARCH(covid,C151)))&gt;0)</f>
        <v>0</v>
      </c>
      <c r="O151" s="14" cm="1">
        <f t="array" ref="O151">INT(SUMPRODUCT(--ISNUMBER(SEARCH(violent,C151)))&gt;0)</f>
        <v>0</v>
      </c>
      <c r="P151" s="14" cm="1">
        <f t="array" ref="P151">INT(SUMPRODUCT(--ISNUMBER(SEARCH(foreign,C151)))&gt;0)</f>
        <v>0</v>
      </c>
      <c r="Q151" s="14" cm="1">
        <f t="array" ref="Q151">INT(SUMPRODUCT(--ISNUMBER(SEARCH(gun,C151)))&gt;0)</f>
        <v>0</v>
      </c>
      <c r="R151" s="14" cm="1">
        <f t="array" ref="R151">INT(SUMPRODUCT(--ISNUMBER(SEARCH(race,C151)))&gt;0)</f>
        <v>0</v>
      </c>
      <c r="S151" s="14" cm="1">
        <f t="array" ref="S151">INT(SUMPRODUCT(--ISNUMBER(SEARCH(immigration,C151)))&gt;0)</f>
        <v>0</v>
      </c>
      <c r="T151" s="14" cm="1">
        <f t="array" ref="T151">INT(SUMPRODUCT(--ISNUMBER(SEARCH(econineq,C152)))&gt;0)</f>
        <v>0</v>
      </c>
      <c r="U151" s="14" cm="1">
        <f t="array" ref="U151">INT(SUMPRODUCT(--ISNUMBER(SEARCH(climate,C151)))&gt;0)</f>
        <v>0</v>
      </c>
      <c r="V151" s="14" cm="1">
        <f t="array" ref="V151">INT(SUMPRODUCT(--ISNUMBER(SEARCH(abortion,C151)))&gt;0)</f>
        <v>0</v>
      </c>
      <c r="W151" s="14" cm="1">
        <f t="array" ref="W151">INT(SUMPRODUCT(--ISNUMBER(SEARCH(trump,C151)))&gt;0)</f>
        <v>0</v>
      </c>
      <c r="X151" s="14" cm="1">
        <f t="array" ref="X151">INT(SUMPRODUCT(--ISNUMBER(SEARCH(voting,C151)))&gt;0)</f>
        <v>0</v>
      </c>
      <c r="Y151" s="35" cm="1">
        <f t="array" ref="Y151">INT(SUMPRODUCT(--ISNUMBER(SEARCH(republicantrigger,C151)))&gt;0)</f>
        <v>1</v>
      </c>
      <c r="Z151" s="35" cm="1">
        <f t="array" ref="Z151">INT(SUMPRODUCT(--ISNUMBER(SEARCH(bipartisan,C151)))&gt;0)</f>
        <v>0</v>
      </c>
      <c r="AA151" s="35">
        <f t="shared" si="4"/>
        <v>0</v>
      </c>
      <c r="AB151" s="14"/>
      <c r="AC151" s="30">
        <v>0</v>
      </c>
      <c r="AD151" s="37">
        <v>0</v>
      </c>
    </row>
    <row r="152" spans="1:30" x14ac:dyDescent="0.25">
      <c r="A152" s="36">
        <v>4472</v>
      </c>
      <c r="B152" s="14" t="s">
        <v>8962</v>
      </c>
      <c r="C152" s="31" t="s">
        <v>8963</v>
      </c>
      <c r="D152" s="17">
        <v>44107</v>
      </c>
      <c r="E152" s="14" t="s">
        <v>30</v>
      </c>
      <c r="F152" s="14">
        <v>39</v>
      </c>
      <c r="G152" s="14">
        <v>9</v>
      </c>
      <c r="H152" s="14">
        <v>20</v>
      </c>
      <c r="I152" s="14">
        <v>10</v>
      </c>
      <c r="J152" s="14" t="s">
        <v>31</v>
      </c>
      <c r="K152" s="14" cm="1">
        <f t="array" ref="K152">INT(SUMPRODUCT(--ISNUMBER(SEARCH(economy,C152)))&gt;0)</f>
        <v>0</v>
      </c>
      <c r="L152" s="14" cm="1">
        <f t="array" ref="L152">INT(SUMPRODUCT(--ISNUMBER(SEARCH(healthcare,C152)))&gt;0)</f>
        <v>0</v>
      </c>
      <c r="M152" s="14" cm="1">
        <f t="array" ref="M152">INT(SUMPRODUCT(--ISNUMBER(SEARCH(supreme,C152)))&gt;0)</f>
        <v>0</v>
      </c>
      <c r="N152" s="14" cm="1">
        <f t="array" ref="N152">INT(SUMPRODUCT(--ISNUMBER(SEARCH(covid,C152)))&gt;0)</f>
        <v>0</v>
      </c>
      <c r="O152" s="14" cm="1">
        <f t="array" ref="O152">INT(SUMPRODUCT(--ISNUMBER(SEARCH(violent,C152)))&gt;0)</f>
        <v>0</v>
      </c>
      <c r="P152" s="14" cm="1">
        <f t="array" ref="P152">INT(SUMPRODUCT(--ISNUMBER(SEARCH(foreign,C152)))&gt;0)</f>
        <v>0</v>
      </c>
      <c r="Q152" s="14" cm="1">
        <f t="array" ref="Q152">INT(SUMPRODUCT(--ISNUMBER(SEARCH(gun,C152)))&gt;0)</f>
        <v>0</v>
      </c>
      <c r="R152" s="14" cm="1">
        <f t="array" ref="R152">INT(SUMPRODUCT(--ISNUMBER(SEARCH(race,C152)))&gt;0)</f>
        <v>0</v>
      </c>
      <c r="S152" s="14" cm="1">
        <f t="array" ref="S152">INT(SUMPRODUCT(--ISNUMBER(SEARCH(immigration,C152)))&gt;0)</f>
        <v>0</v>
      </c>
      <c r="T152" s="14" cm="1">
        <f t="array" ref="T152">INT(SUMPRODUCT(--ISNUMBER(SEARCH(econineq,C153)))&gt;0)</f>
        <v>0</v>
      </c>
      <c r="U152" s="14" cm="1">
        <f t="array" ref="U152">INT(SUMPRODUCT(--ISNUMBER(SEARCH(climate,C152)))&gt;0)</f>
        <v>0</v>
      </c>
      <c r="V152" s="14" cm="1">
        <f t="array" ref="V152">INT(SUMPRODUCT(--ISNUMBER(SEARCH(abortion,C152)))&gt;0)</f>
        <v>0</v>
      </c>
      <c r="W152" s="14" cm="1">
        <f t="array" ref="W152">INT(SUMPRODUCT(--ISNUMBER(SEARCH(trump,C152)))&gt;0)</f>
        <v>0</v>
      </c>
      <c r="X152" s="14" cm="1">
        <f t="array" ref="X152">INT(SUMPRODUCT(--ISNUMBER(SEARCH(voting,C152)))&gt;0)</f>
        <v>0</v>
      </c>
      <c r="Y152" s="35" cm="1">
        <f t="array" ref="Y152">INT(SUMPRODUCT(--ISNUMBER(SEARCH(republicantrigger,C152)))&gt;0)</f>
        <v>0</v>
      </c>
      <c r="Z152" s="35" cm="1">
        <f t="array" ref="Z152">INT(SUMPRODUCT(--ISNUMBER(SEARCH(bipartisan,C152)))&gt;0)</f>
        <v>0</v>
      </c>
      <c r="AA152" s="35">
        <f t="shared" si="4"/>
        <v>1</v>
      </c>
      <c r="AB152" s="14"/>
      <c r="AC152" s="30">
        <v>0</v>
      </c>
      <c r="AD152" s="37">
        <v>0</v>
      </c>
    </row>
    <row r="153" spans="1:30" x14ac:dyDescent="0.25">
      <c r="A153" s="36">
        <v>4473</v>
      </c>
      <c r="B153" s="14" t="s">
        <v>8964</v>
      </c>
      <c r="C153" s="31" t="s">
        <v>8965</v>
      </c>
      <c r="D153" s="17">
        <v>44107</v>
      </c>
      <c r="E153" s="14" t="s">
        <v>30</v>
      </c>
      <c r="F153" s="14">
        <v>29</v>
      </c>
      <c r="G153" s="14">
        <v>8</v>
      </c>
      <c r="H153" s="14">
        <v>20</v>
      </c>
      <c r="I153" s="14">
        <v>10</v>
      </c>
      <c r="J153" s="14" t="s">
        <v>31</v>
      </c>
      <c r="K153" s="14" cm="1">
        <f t="array" ref="K153">INT(SUMPRODUCT(--ISNUMBER(SEARCH(economy,C153)))&gt;0)</f>
        <v>0</v>
      </c>
      <c r="L153" s="14" cm="1">
        <f t="array" ref="L153">INT(SUMPRODUCT(--ISNUMBER(SEARCH(healthcare,C153)))&gt;0)</f>
        <v>0</v>
      </c>
      <c r="M153" s="14" cm="1">
        <f t="array" ref="M153">INT(SUMPRODUCT(--ISNUMBER(SEARCH(supreme,C153)))&gt;0)</f>
        <v>0</v>
      </c>
      <c r="N153" s="14" cm="1">
        <f t="array" ref="N153">INT(SUMPRODUCT(--ISNUMBER(SEARCH(covid,C153)))&gt;0)</f>
        <v>0</v>
      </c>
      <c r="O153" s="14" cm="1">
        <f t="array" ref="O153">INT(SUMPRODUCT(--ISNUMBER(SEARCH(violent,C153)))&gt;0)</f>
        <v>0</v>
      </c>
      <c r="P153" s="14" cm="1">
        <f t="array" ref="P153">INT(SUMPRODUCT(--ISNUMBER(SEARCH(foreign,C153)))&gt;0)</f>
        <v>0</v>
      </c>
      <c r="Q153" s="14" cm="1">
        <f t="array" ref="Q153">INT(SUMPRODUCT(--ISNUMBER(SEARCH(gun,C153)))&gt;0)</f>
        <v>0</v>
      </c>
      <c r="R153" s="14" cm="1">
        <f t="array" ref="R153">INT(SUMPRODUCT(--ISNUMBER(SEARCH(race,C153)))&gt;0)</f>
        <v>0</v>
      </c>
      <c r="S153" s="14" cm="1">
        <f t="array" ref="S153">INT(SUMPRODUCT(--ISNUMBER(SEARCH(immigration,C153)))&gt;0)</f>
        <v>0</v>
      </c>
      <c r="T153" s="14" cm="1">
        <f t="array" ref="T153">INT(SUMPRODUCT(--ISNUMBER(SEARCH(econineq,C154)))&gt;0)</f>
        <v>0</v>
      </c>
      <c r="U153" s="14" cm="1">
        <f t="array" ref="U153">INT(SUMPRODUCT(--ISNUMBER(SEARCH(climate,C153)))&gt;0)</f>
        <v>0</v>
      </c>
      <c r="V153" s="14" cm="1">
        <f t="array" ref="V153">INT(SUMPRODUCT(--ISNUMBER(SEARCH(abortion,C153)))&gt;0)</f>
        <v>0</v>
      </c>
      <c r="W153" s="14" cm="1">
        <f t="array" ref="W153">INT(SUMPRODUCT(--ISNUMBER(SEARCH(trump,C153)))&gt;0)</f>
        <v>0</v>
      </c>
      <c r="X153" s="14" cm="1">
        <f t="array" ref="X153">INT(SUMPRODUCT(--ISNUMBER(SEARCH(voting,C153)))&gt;0)</f>
        <v>0</v>
      </c>
      <c r="Y153" s="35" cm="1">
        <f t="array" ref="Y153">INT(SUMPRODUCT(--ISNUMBER(SEARCH(republicantrigger,C153)))&gt;0)</f>
        <v>0</v>
      </c>
      <c r="Z153" s="35" cm="1">
        <f t="array" ref="Z153">INT(SUMPRODUCT(--ISNUMBER(SEARCH(bipartisan,C153)))&gt;0)</f>
        <v>0</v>
      </c>
      <c r="AA153" s="35">
        <f t="shared" si="4"/>
        <v>1</v>
      </c>
      <c r="AB153" s="14"/>
      <c r="AC153" s="30">
        <v>1</v>
      </c>
      <c r="AD153" s="37">
        <v>0</v>
      </c>
    </row>
    <row r="154" spans="1:30" x14ac:dyDescent="0.25">
      <c r="A154" s="38">
        <v>4474</v>
      </c>
      <c r="B154" s="39" t="s">
        <v>8966</v>
      </c>
      <c r="C154" s="40" t="s">
        <v>8967</v>
      </c>
      <c r="D154" s="41">
        <v>44107</v>
      </c>
      <c r="E154" s="39" t="s">
        <v>30</v>
      </c>
      <c r="F154" s="39">
        <v>30</v>
      </c>
      <c r="G154" s="39">
        <v>21</v>
      </c>
      <c r="H154" s="39">
        <v>20</v>
      </c>
      <c r="I154" s="39">
        <v>10</v>
      </c>
      <c r="J154" s="39" t="s">
        <v>31</v>
      </c>
      <c r="K154" s="39" cm="1">
        <f t="array" ref="K154">INT(SUMPRODUCT(--ISNUMBER(SEARCH(economy,C154)))&gt;0)</f>
        <v>0</v>
      </c>
      <c r="L154" s="39" cm="1">
        <f t="array" ref="L154">INT(SUMPRODUCT(--ISNUMBER(SEARCH(healthcare,C154)))&gt;0)</f>
        <v>0</v>
      </c>
      <c r="M154" s="39" cm="1">
        <f t="array" ref="M154">INT(SUMPRODUCT(--ISNUMBER(SEARCH(supreme,C154)))&gt;0)</f>
        <v>0</v>
      </c>
      <c r="N154" s="39" cm="1">
        <f t="array" ref="N154">INT(SUMPRODUCT(--ISNUMBER(SEARCH(covid,C154)))&gt;0)</f>
        <v>0</v>
      </c>
      <c r="O154" s="39" cm="1">
        <f t="array" ref="O154">INT(SUMPRODUCT(--ISNUMBER(SEARCH(violent,C154)))&gt;0)</f>
        <v>0</v>
      </c>
      <c r="P154" s="39" cm="1">
        <f t="array" ref="P154">INT(SUMPRODUCT(--ISNUMBER(SEARCH(foreign,C154)))&gt;0)</f>
        <v>0</v>
      </c>
      <c r="Q154" s="39" cm="1">
        <f t="array" ref="Q154">INT(SUMPRODUCT(--ISNUMBER(SEARCH(gun,C154)))&gt;0)</f>
        <v>0</v>
      </c>
      <c r="R154" s="39" cm="1">
        <f t="array" ref="R154">INT(SUMPRODUCT(--ISNUMBER(SEARCH(race,C154)))&gt;0)</f>
        <v>0</v>
      </c>
      <c r="S154" s="39" cm="1">
        <f t="array" ref="S154">INT(SUMPRODUCT(--ISNUMBER(SEARCH(immigration,C154)))&gt;0)</f>
        <v>0</v>
      </c>
      <c r="T154" s="39" cm="1">
        <f t="array" ref="T154">INT(SUMPRODUCT(--ISNUMBER(SEARCH(econineq,C155)))&gt;0)</f>
        <v>0</v>
      </c>
      <c r="U154" s="39" cm="1">
        <f t="array" ref="U154">INT(SUMPRODUCT(--ISNUMBER(SEARCH(climate,C154)))&gt;0)</f>
        <v>0</v>
      </c>
      <c r="V154" s="39" cm="1">
        <f t="array" ref="V154">INT(SUMPRODUCT(--ISNUMBER(SEARCH(abortion,C154)))&gt;0)</f>
        <v>0</v>
      </c>
      <c r="W154" s="39" cm="1">
        <f t="array" ref="W154">INT(SUMPRODUCT(--ISNUMBER(SEARCH(trump,C154)))&gt;0)</f>
        <v>0</v>
      </c>
      <c r="X154" s="39" cm="1">
        <f t="array" ref="X154">INT(SUMPRODUCT(--ISNUMBER(SEARCH(voting,C154)))&gt;0)</f>
        <v>0</v>
      </c>
      <c r="Y154" s="59" cm="1">
        <f t="array" ref="Y154">INT(SUMPRODUCT(--ISNUMBER(SEARCH(republicantrigger,C154)))&gt;0)</f>
        <v>0</v>
      </c>
      <c r="Z154" s="59" cm="1">
        <f t="array" ref="Z154">INT(SUMPRODUCT(--ISNUMBER(SEARCH(bipartisan,C154)))&gt;0)</f>
        <v>0</v>
      </c>
      <c r="AA154" s="59">
        <f t="shared" si="4"/>
        <v>1</v>
      </c>
      <c r="AB154" s="39"/>
      <c r="AC154" s="44">
        <v>0</v>
      </c>
      <c r="AD154" s="45">
        <v>0</v>
      </c>
    </row>
    <row r="155" spans="1:30" x14ac:dyDescent="0.25">
      <c r="A155" s="16"/>
      <c r="B155" s="16"/>
      <c r="C155" s="106"/>
      <c r="D155" s="16"/>
      <c r="E155" s="16"/>
      <c r="F155" s="16"/>
      <c r="G155" s="16"/>
      <c r="H155" s="16"/>
      <c r="I155" s="16"/>
      <c r="J155" s="16"/>
      <c r="K155" s="21">
        <f t="shared" ref="K155:AD155" si="5">SUM(K2:K154)</f>
        <v>7</v>
      </c>
      <c r="L155" s="21">
        <f t="shared" si="5"/>
        <v>16</v>
      </c>
      <c r="M155" s="21">
        <f t="shared" si="5"/>
        <v>14</v>
      </c>
      <c r="N155" s="21">
        <f t="shared" si="5"/>
        <v>34</v>
      </c>
      <c r="O155" s="21">
        <f t="shared" si="5"/>
        <v>0</v>
      </c>
      <c r="P155" s="21">
        <f t="shared" si="5"/>
        <v>3</v>
      </c>
      <c r="Q155" s="21">
        <f t="shared" si="5"/>
        <v>2</v>
      </c>
      <c r="R155" s="21">
        <f t="shared" si="5"/>
        <v>3</v>
      </c>
      <c r="S155" s="21">
        <f t="shared" si="5"/>
        <v>2</v>
      </c>
      <c r="T155" s="21">
        <f t="shared" si="5"/>
        <v>0</v>
      </c>
      <c r="U155" s="21">
        <f t="shared" si="5"/>
        <v>0</v>
      </c>
      <c r="V155" s="21">
        <f t="shared" si="5"/>
        <v>0</v>
      </c>
      <c r="W155" s="21">
        <f t="shared" si="5"/>
        <v>1</v>
      </c>
      <c r="X155" s="21">
        <f t="shared" si="5"/>
        <v>68</v>
      </c>
      <c r="Y155" s="21">
        <f t="shared" si="5"/>
        <v>92</v>
      </c>
      <c r="Z155" s="21">
        <f t="shared" si="5"/>
        <v>3</v>
      </c>
      <c r="AA155" s="21">
        <f t="shared" si="5"/>
        <v>21</v>
      </c>
      <c r="AB155" s="21">
        <f t="shared" si="5"/>
        <v>0</v>
      </c>
      <c r="AC155" s="21">
        <f t="shared" si="5"/>
        <v>29</v>
      </c>
      <c r="AD155" s="21">
        <f t="shared" si="5"/>
        <v>10</v>
      </c>
    </row>
    <row r="156" spans="1:30" x14ac:dyDescent="0.25">
      <c r="A156" s="16"/>
      <c r="B156" s="16"/>
      <c r="C156" s="10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row>
    <row r="157" spans="1:30" x14ac:dyDescent="0.25">
      <c r="A157" s="16"/>
      <c r="B157" s="16"/>
      <c r="C157" s="10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row>
    <row r="158" spans="1:30" x14ac:dyDescent="0.25">
      <c r="A158" s="16"/>
      <c r="B158" s="16"/>
      <c r="C158" s="10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row>
    <row r="159" spans="1:30" x14ac:dyDescent="0.25">
      <c r="A159" s="16"/>
      <c r="B159" s="16"/>
      <c r="C159" s="10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row>
    <row r="160" spans="1:30" x14ac:dyDescent="0.25">
      <c r="A160" s="16"/>
      <c r="B160" s="16"/>
      <c r="C160" s="10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row>
    <row r="161" spans="1:30" x14ac:dyDescent="0.25">
      <c r="A161" s="16"/>
      <c r="B161" s="16"/>
      <c r="C161" s="10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row>
    <row r="162" spans="1:30" x14ac:dyDescent="0.25">
      <c r="A162" s="16"/>
      <c r="B162" s="16"/>
      <c r="C162" s="10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row>
    <row r="163" spans="1:30" x14ac:dyDescent="0.25">
      <c r="A163" s="16"/>
      <c r="B163" s="16"/>
      <c r="C163" s="10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row>
    <row r="164" spans="1:30" x14ac:dyDescent="0.25">
      <c r="A164" s="16"/>
      <c r="B164" s="16"/>
      <c r="C164" s="10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row>
    <row r="165" spans="1:30" x14ac:dyDescent="0.25">
      <c r="A165" s="16"/>
      <c r="B165" s="16"/>
      <c r="C165" s="10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row>
    <row r="166" spans="1:30" x14ac:dyDescent="0.25">
      <c r="A166" s="16"/>
      <c r="B166" s="16"/>
      <c r="C166" s="10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row>
    <row r="167" spans="1:30" x14ac:dyDescent="0.25">
      <c r="A167" s="16"/>
      <c r="B167" s="16"/>
      <c r="C167" s="10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row>
    <row r="168" spans="1:30" x14ac:dyDescent="0.25">
      <c r="A168" s="16"/>
      <c r="B168" s="16"/>
      <c r="C168" s="10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x14ac:dyDescent="0.25">
      <c r="A169" s="16"/>
      <c r="B169" s="16"/>
      <c r="C169" s="10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x14ac:dyDescent="0.25">
      <c r="A170" s="16"/>
      <c r="B170" s="16"/>
      <c r="C170" s="10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x14ac:dyDescent="0.25">
      <c r="A171" s="16"/>
      <c r="B171" s="16"/>
      <c r="C171" s="10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x14ac:dyDescent="0.25">
      <c r="A172" s="16"/>
      <c r="B172" s="16"/>
      <c r="C172" s="10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x14ac:dyDescent="0.25">
      <c r="A173" s="16"/>
      <c r="B173" s="16"/>
      <c r="C173" s="10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x14ac:dyDescent="0.25">
      <c r="A174" s="16"/>
      <c r="B174" s="16"/>
      <c r="C174" s="10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x14ac:dyDescent="0.25">
      <c r="A175" s="16"/>
      <c r="B175" s="16"/>
      <c r="C175" s="10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x14ac:dyDescent="0.25">
      <c r="A176" s="16"/>
      <c r="B176" s="16"/>
      <c r="C176" s="10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x14ac:dyDescent="0.25">
      <c r="A177" s="16"/>
      <c r="B177" s="16"/>
      <c r="C177" s="10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x14ac:dyDescent="0.25">
      <c r="A178" s="16"/>
      <c r="B178" s="16"/>
      <c r="C178" s="10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x14ac:dyDescent="0.25">
      <c r="A179" s="16"/>
      <c r="B179" s="16"/>
      <c r="C179" s="10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x14ac:dyDescent="0.25">
      <c r="A180" s="16"/>
      <c r="B180" s="16"/>
      <c r="C180" s="10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x14ac:dyDescent="0.25">
      <c r="A181" s="16"/>
      <c r="B181" s="16"/>
      <c r="C181" s="10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x14ac:dyDescent="0.25">
      <c r="A182" s="16"/>
      <c r="B182" s="16"/>
      <c r="C182" s="10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x14ac:dyDescent="0.25">
      <c r="A183" s="16"/>
      <c r="B183" s="16"/>
      <c r="C183" s="10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x14ac:dyDescent="0.25">
      <c r="A184" s="16"/>
      <c r="B184" s="16"/>
      <c r="C184" s="10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x14ac:dyDescent="0.25">
      <c r="A185" s="16"/>
      <c r="B185" s="16"/>
      <c r="C185" s="10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x14ac:dyDescent="0.25">
      <c r="A186" s="16"/>
      <c r="B186" s="16"/>
      <c r="C186" s="10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x14ac:dyDescent="0.25">
      <c r="A187" s="16"/>
      <c r="B187" s="16"/>
      <c r="C187" s="10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x14ac:dyDescent="0.25">
      <c r="A188" s="16"/>
      <c r="B188" s="16"/>
      <c r="C188" s="10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x14ac:dyDescent="0.25">
      <c r="A189" s="16"/>
      <c r="B189" s="16"/>
      <c r="C189" s="10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x14ac:dyDescent="0.25">
      <c r="A190" s="16"/>
      <c r="B190" s="16"/>
      <c r="C190" s="10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x14ac:dyDescent="0.25">
      <c r="A191" s="16"/>
      <c r="B191" s="16"/>
      <c r="C191" s="10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x14ac:dyDescent="0.25">
      <c r="A192" s="16"/>
      <c r="B192" s="16"/>
      <c r="C192" s="10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x14ac:dyDescent="0.25">
      <c r="A193" s="16"/>
      <c r="B193" s="16"/>
      <c r="C193" s="10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x14ac:dyDescent="0.25">
      <c r="A194" s="16"/>
      <c r="B194" s="16"/>
      <c r="C194" s="10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x14ac:dyDescent="0.25">
      <c r="A195" s="16"/>
      <c r="B195" s="16"/>
      <c r="C195" s="10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x14ac:dyDescent="0.25">
      <c r="A196" s="16"/>
      <c r="B196" s="16"/>
      <c r="C196" s="10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x14ac:dyDescent="0.25">
      <c r="A197" s="16"/>
      <c r="B197" s="16"/>
      <c r="C197" s="10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x14ac:dyDescent="0.25">
      <c r="A198" s="16"/>
      <c r="B198" s="16"/>
      <c r="C198" s="10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x14ac:dyDescent="0.25">
      <c r="A199" s="16"/>
      <c r="B199" s="16"/>
      <c r="C199" s="10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x14ac:dyDescent="0.25">
      <c r="A200" s="16"/>
      <c r="B200" s="16"/>
      <c r="C200" s="10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x14ac:dyDescent="0.25">
      <c r="A201" s="16"/>
      <c r="B201" s="16"/>
      <c r="C201" s="10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x14ac:dyDescent="0.25">
      <c r="A202" s="16"/>
      <c r="B202" s="16"/>
      <c r="C202" s="10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x14ac:dyDescent="0.25">
      <c r="A203" s="16"/>
      <c r="B203" s="16"/>
      <c r="C203" s="10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x14ac:dyDescent="0.25">
      <c r="A204" s="16"/>
      <c r="B204" s="16"/>
      <c r="C204" s="10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x14ac:dyDescent="0.25">
      <c r="A205" s="16"/>
      <c r="B205" s="16"/>
      <c r="C205" s="10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x14ac:dyDescent="0.25">
      <c r="A206" s="16"/>
      <c r="B206" s="16"/>
      <c r="C206" s="10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x14ac:dyDescent="0.25">
      <c r="A207" s="16"/>
      <c r="B207" s="16"/>
      <c r="C207" s="10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x14ac:dyDescent="0.25">
      <c r="A208" s="16"/>
      <c r="B208" s="16"/>
      <c r="C208" s="10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x14ac:dyDescent="0.25">
      <c r="A209" s="16"/>
      <c r="B209" s="16"/>
      <c r="C209" s="10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x14ac:dyDescent="0.25">
      <c r="A210" s="16"/>
      <c r="B210" s="16"/>
      <c r="C210" s="10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x14ac:dyDescent="0.25">
      <c r="A211" s="16"/>
      <c r="B211" s="16"/>
      <c r="C211" s="10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x14ac:dyDescent="0.25">
      <c r="A212" s="16"/>
      <c r="B212" s="16"/>
      <c r="C212" s="10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x14ac:dyDescent="0.25">
      <c r="A213" s="16"/>
      <c r="B213" s="16"/>
      <c r="C213" s="10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x14ac:dyDescent="0.25">
      <c r="A214" s="16"/>
      <c r="B214" s="16"/>
      <c r="C214" s="10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x14ac:dyDescent="0.25">
      <c r="A215" s="16"/>
      <c r="B215" s="16"/>
      <c r="C215" s="10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x14ac:dyDescent="0.25">
      <c r="A216" s="16"/>
      <c r="B216" s="16"/>
      <c r="C216" s="10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x14ac:dyDescent="0.25">
      <c r="A217" s="16"/>
      <c r="B217" s="16"/>
      <c r="C217" s="10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x14ac:dyDescent="0.25">
      <c r="A218" s="16"/>
      <c r="B218" s="16"/>
      <c r="C218" s="10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x14ac:dyDescent="0.25">
      <c r="A219" s="16"/>
      <c r="B219" s="16"/>
      <c r="C219" s="10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x14ac:dyDescent="0.25">
      <c r="A220" s="16"/>
      <c r="B220" s="16"/>
      <c r="C220" s="10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x14ac:dyDescent="0.25">
      <c r="A221" s="16"/>
      <c r="B221" s="16"/>
      <c r="C221" s="10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x14ac:dyDescent="0.25">
      <c r="A222" s="16"/>
      <c r="B222" s="16"/>
      <c r="C222" s="10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x14ac:dyDescent="0.25">
      <c r="A223" s="16"/>
      <c r="B223" s="16"/>
      <c r="C223" s="10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x14ac:dyDescent="0.25">
      <c r="A224" s="16"/>
      <c r="B224" s="16"/>
      <c r="C224" s="10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x14ac:dyDescent="0.25">
      <c r="A225" s="16"/>
      <c r="B225" s="16"/>
      <c r="C225" s="10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x14ac:dyDescent="0.25">
      <c r="A226" s="16"/>
      <c r="B226" s="16"/>
      <c r="C226" s="10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x14ac:dyDescent="0.25">
      <c r="A227" s="16"/>
      <c r="B227" s="16"/>
      <c r="C227" s="10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x14ac:dyDescent="0.25">
      <c r="A228" s="16"/>
      <c r="B228" s="16"/>
      <c r="C228" s="10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x14ac:dyDescent="0.25">
      <c r="A229" s="16"/>
      <c r="B229" s="16"/>
      <c r="C229" s="10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x14ac:dyDescent="0.25">
      <c r="A230" s="16"/>
      <c r="B230" s="16"/>
      <c r="C230" s="10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x14ac:dyDescent="0.25">
      <c r="A231" s="16"/>
      <c r="B231" s="16"/>
      <c r="C231" s="10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x14ac:dyDescent="0.25">
      <c r="A232" s="16"/>
      <c r="B232" s="16"/>
      <c r="C232" s="10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x14ac:dyDescent="0.25">
      <c r="A233" s="16"/>
      <c r="B233" s="16"/>
      <c r="C233" s="10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x14ac:dyDescent="0.25">
      <c r="A234" s="16"/>
      <c r="B234" s="16"/>
      <c r="C234" s="10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x14ac:dyDescent="0.25">
      <c r="A235" s="16"/>
      <c r="B235" s="16"/>
      <c r="C235" s="10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x14ac:dyDescent="0.25">
      <c r="A236" s="16"/>
      <c r="B236" s="16"/>
      <c r="C236" s="10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x14ac:dyDescent="0.25">
      <c r="A237" s="16"/>
      <c r="B237" s="16"/>
      <c r="C237" s="10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x14ac:dyDescent="0.25">
      <c r="A238" s="16"/>
      <c r="B238" s="16"/>
      <c r="C238" s="10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x14ac:dyDescent="0.25">
      <c r="A239" s="16"/>
      <c r="B239" s="16"/>
      <c r="C239" s="10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x14ac:dyDescent="0.25">
      <c r="A240" s="16"/>
      <c r="B240" s="16"/>
      <c r="C240" s="10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x14ac:dyDescent="0.25">
      <c r="A241" s="16"/>
      <c r="B241" s="16"/>
      <c r="C241" s="10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x14ac:dyDescent="0.25">
      <c r="A242" s="16"/>
      <c r="B242" s="16"/>
      <c r="C242" s="10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x14ac:dyDescent="0.25">
      <c r="A243" s="16"/>
      <c r="B243" s="16"/>
      <c r="C243" s="10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x14ac:dyDescent="0.25">
      <c r="A244" s="16"/>
      <c r="B244" s="16"/>
      <c r="C244" s="10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x14ac:dyDescent="0.25">
      <c r="A245" s="16"/>
      <c r="B245" s="16"/>
      <c r="C245" s="10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x14ac:dyDescent="0.25">
      <c r="A246" s="16"/>
      <c r="B246" s="16"/>
      <c r="C246" s="10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x14ac:dyDescent="0.25">
      <c r="A247" s="16"/>
      <c r="B247" s="16"/>
      <c r="C247" s="10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x14ac:dyDescent="0.25">
      <c r="A248" s="16"/>
      <c r="B248" s="16"/>
      <c r="C248" s="10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x14ac:dyDescent="0.25">
      <c r="A249" s="16"/>
      <c r="B249" s="16"/>
      <c r="C249" s="10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x14ac:dyDescent="0.25">
      <c r="A250" s="16"/>
      <c r="B250" s="16"/>
      <c r="C250" s="10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x14ac:dyDescent="0.25">
      <c r="A251" s="16"/>
      <c r="B251" s="16"/>
      <c r="C251" s="10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x14ac:dyDescent="0.25">
      <c r="A252" s="16"/>
      <c r="B252" s="16"/>
      <c r="C252" s="10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x14ac:dyDescent="0.25">
      <c r="A253" s="16"/>
      <c r="B253" s="16"/>
      <c r="C253" s="10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x14ac:dyDescent="0.25">
      <c r="A254" s="16"/>
      <c r="B254" s="16"/>
      <c r="C254" s="10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x14ac:dyDescent="0.25">
      <c r="A255" s="16"/>
      <c r="B255" s="16"/>
      <c r="C255" s="10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x14ac:dyDescent="0.25">
      <c r="A256" s="16"/>
      <c r="B256" s="16"/>
      <c r="C256" s="10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x14ac:dyDescent="0.25">
      <c r="A257" s="16"/>
      <c r="B257" s="16"/>
      <c r="C257" s="10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x14ac:dyDescent="0.25">
      <c r="A258" s="16"/>
      <c r="B258" s="16"/>
      <c r="C258" s="10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x14ac:dyDescent="0.25">
      <c r="A259" s="16"/>
      <c r="B259" s="16"/>
      <c r="C259" s="10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x14ac:dyDescent="0.25">
      <c r="A260" s="16"/>
      <c r="B260" s="16"/>
      <c r="C260" s="10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x14ac:dyDescent="0.25">
      <c r="A261" s="16"/>
      <c r="B261" s="16"/>
      <c r="C261" s="10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x14ac:dyDescent="0.25">
      <c r="A262" s="16"/>
      <c r="B262" s="16"/>
      <c r="C262" s="10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x14ac:dyDescent="0.25">
      <c r="A263" s="16"/>
      <c r="B263" s="16"/>
      <c r="C263" s="10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x14ac:dyDescent="0.25">
      <c r="A264" s="16"/>
      <c r="B264" s="16"/>
      <c r="C264" s="10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x14ac:dyDescent="0.25">
      <c r="A265" s="16"/>
      <c r="B265" s="16"/>
      <c r="C265" s="10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x14ac:dyDescent="0.25">
      <c r="A266" s="16"/>
      <c r="B266" s="16"/>
      <c r="C266" s="10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x14ac:dyDescent="0.25">
      <c r="A267" s="16"/>
      <c r="B267" s="16"/>
      <c r="C267" s="10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x14ac:dyDescent="0.25">
      <c r="A268" s="16"/>
      <c r="B268" s="16"/>
      <c r="C268" s="10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x14ac:dyDescent="0.25">
      <c r="A269" s="16"/>
      <c r="B269" s="16"/>
      <c r="C269" s="10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x14ac:dyDescent="0.25">
      <c r="A270" s="16"/>
      <c r="B270" s="16"/>
      <c r="C270" s="10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x14ac:dyDescent="0.25">
      <c r="A271" s="16"/>
      <c r="B271" s="16"/>
      <c r="C271" s="10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x14ac:dyDescent="0.25">
      <c r="A272" s="16"/>
      <c r="B272" s="16"/>
      <c r="C272" s="10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x14ac:dyDescent="0.25">
      <c r="A273" s="16"/>
      <c r="B273" s="16"/>
      <c r="C273" s="10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x14ac:dyDescent="0.25">
      <c r="A274" s="16"/>
      <c r="B274" s="16"/>
      <c r="C274" s="10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x14ac:dyDescent="0.25">
      <c r="A275" s="16"/>
      <c r="B275" s="16"/>
      <c r="C275" s="10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x14ac:dyDescent="0.25">
      <c r="A276" s="16"/>
      <c r="B276" s="16"/>
      <c r="C276" s="10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x14ac:dyDescent="0.25">
      <c r="A277" s="16"/>
      <c r="B277" s="16"/>
      <c r="C277" s="10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x14ac:dyDescent="0.25">
      <c r="A278" s="16"/>
      <c r="B278" s="16"/>
      <c r="C278" s="10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x14ac:dyDescent="0.25">
      <c r="A279" s="16"/>
      <c r="B279" s="16"/>
      <c r="C279" s="10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x14ac:dyDescent="0.25">
      <c r="A280" s="16"/>
      <c r="B280" s="16"/>
      <c r="C280" s="10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x14ac:dyDescent="0.25">
      <c r="A281" s="16"/>
      <c r="B281" s="16"/>
      <c r="C281" s="10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x14ac:dyDescent="0.25">
      <c r="A282" s="16"/>
      <c r="B282" s="16"/>
      <c r="C282" s="10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x14ac:dyDescent="0.25">
      <c r="A283" s="16"/>
      <c r="B283" s="16"/>
      <c r="C283" s="10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x14ac:dyDescent="0.25">
      <c r="A284" s="16"/>
      <c r="B284" s="16"/>
      <c r="C284" s="10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x14ac:dyDescent="0.25">
      <c r="A285" s="16"/>
      <c r="B285" s="16"/>
      <c r="C285" s="10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x14ac:dyDescent="0.25">
      <c r="A286" s="16"/>
      <c r="B286" s="16"/>
      <c r="C286" s="10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x14ac:dyDescent="0.25">
      <c r="A287" s="16"/>
      <c r="B287" s="16"/>
      <c r="C287" s="10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x14ac:dyDescent="0.25">
      <c r="A288" s="16"/>
      <c r="B288" s="16"/>
      <c r="C288" s="10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x14ac:dyDescent="0.25">
      <c r="A289" s="16"/>
      <c r="B289" s="16"/>
      <c r="C289" s="10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x14ac:dyDescent="0.25">
      <c r="A290" s="16"/>
      <c r="B290" s="16"/>
      <c r="C290" s="10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x14ac:dyDescent="0.25">
      <c r="A291" s="16"/>
      <c r="B291" s="16"/>
      <c r="C291" s="10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x14ac:dyDescent="0.25">
      <c r="A292" s="16"/>
      <c r="B292" s="16"/>
      <c r="C292" s="10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x14ac:dyDescent="0.25">
      <c r="A293" s="16"/>
      <c r="B293" s="16"/>
      <c r="C293" s="10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x14ac:dyDescent="0.25">
      <c r="A294" s="16"/>
      <c r="B294" s="16"/>
      <c r="C294" s="10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x14ac:dyDescent="0.25">
      <c r="A295" s="16"/>
      <c r="B295" s="16"/>
      <c r="C295" s="10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x14ac:dyDescent="0.25">
      <c r="A296" s="16"/>
      <c r="B296" s="16"/>
      <c r="C296" s="10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x14ac:dyDescent="0.25">
      <c r="A297" s="16"/>
      <c r="B297" s="16"/>
      <c r="C297" s="10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x14ac:dyDescent="0.25">
      <c r="A298" s="16"/>
      <c r="B298" s="16"/>
      <c r="C298" s="10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x14ac:dyDescent="0.25">
      <c r="A299" s="16"/>
      <c r="B299" s="16"/>
      <c r="C299" s="10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x14ac:dyDescent="0.25">
      <c r="A300" s="16"/>
      <c r="B300" s="16"/>
      <c r="C300" s="10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x14ac:dyDescent="0.25">
      <c r="A301" s="16"/>
      <c r="B301" s="16"/>
      <c r="C301" s="10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x14ac:dyDescent="0.25">
      <c r="A302" s="16"/>
      <c r="B302" s="16"/>
      <c r="C302" s="10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x14ac:dyDescent="0.25">
      <c r="A303" s="16"/>
      <c r="B303" s="16"/>
      <c r="C303" s="10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x14ac:dyDescent="0.25">
      <c r="A304" s="16"/>
      <c r="B304" s="16"/>
      <c r="C304" s="10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x14ac:dyDescent="0.25">
      <c r="A305" s="16"/>
      <c r="B305" s="16"/>
      <c r="C305" s="10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x14ac:dyDescent="0.25">
      <c r="A306" s="16"/>
      <c r="B306" s="16"/>
      <c r="C306" s="10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x14ac:dyDescent="0.25">
      <c r="A307" s="16"/>
      <c r="B307" s="16"/>
      <c r="C307" s="10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x14ac:dyDescent="0.25">
      <c r="A308" s="16"/>
      <c r="B308" s="16"/>
      <c r="C308" s="10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x14ac:dyDescent="0.25">
      <c r="A309" s="16"/>
      <c r="B309" s="16"/>
      <c r="C309" s="10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x14ac:dyDescent="0.25">
      <c r="A310" s="16"/>
      <c r="B310" s="16"/>
      <c r="C310" s="10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x14ac:dyDescent="0.25">
      <c r="A311" s="16"/>
      <c r="B311" s="16"/>
      <c r="C311" s="10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x14ac:dyDescent="0.25">
      <c r="A312" s="16"/>
      <c r="B312" s="16"/>
      <c r="C312" s="10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x14ac:dyDescent="0.25">
      <c r="A313" s="16"/>
      <c r="B313" s="16"/>
      <c r="C313" s="10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x14ac:dyDescent="0.25">
      <c r="A314" s="16"/>
      <c r="B314" s="16"/>
      <c r="C314" s="10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x14ac:dyDescent="0.25">
      <c r="A315" s="16"/>
      <c r="B315" s="16"/>
      <c r="C315" s="10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x14ac:dyDescent="0.25">
      <c r="A316" s="16"/>
      <c r="B316" s="16"/>
      <c r="C316" s="10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x14ac:dyDescent="0.25">
      <c r="A317" s="16"/>
      <c r="B317" s="16"/>
      <c r="C317" s="10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x14ac:dyDescent="0.25">
      <c r="A318" s="16"/>
      <c r="B318" s="16"/>
      <c r="C318" s="10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x14ac:dyDescent="0.25">
      <c r="A319" s="16"/>
      <c r="B319" s="16"/>
      <c r="C319" s="10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x14ac:dyDescent="0.25">
      <c r="A320" s="16"/>
      <c r="B320" s="16"/>
      <c r="C320" s="10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x14ac:dyDescent="0.25">
      <c r="A321" s="16"/>
      <c r="B321" s="16"/>
      <c r="C321" s="10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x14ac:dyDescent="0.25">
      <c r="A322" s="16"/>
      <c r="B322" s="16"/>
      <c r="C322" s="10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x14ac:dyDescent="0.25">
      <c r="A323" s="16"/>
      <c r="B323" s="16"/>
      <c r="C323" s="10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x14ac:dyDescent="0.25">
      <c r="A324" s="16"/>
      <c r="B324" s="16"/>
      <c r="C324" s="10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x14ac:dyDescent="0.25">
      <c r="A325" s="16"/>
      <c r="B325" s="16"/>
      <c r="C325" s="10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x14ac:dyDescent="0.25">
      <c r="A326" s="16"/>
      <c r="B326" s="16"/>
      <c r="C326" s="10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x14ac:dyDescent="0.25">
      <c r="A327" s="16"/>
      <c r="B327" s="16"/>
      <c r="C327" s="10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x14ac:dyDescent="0.25">
      <c r="A328" s="16"/>
      <c r="B328" s="16"/>
      <c r="C328" s="10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x14ac:dyDescent="0.25">
      <c r="A329" s="16"/>
      <c r="B329" s="16"/>
      <c r="C329" s="10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x14ac:dyDescent="0.25">
      <c r="A330" s="16"/>
      <c r="B330" s="16"/>
      <c r="C330" s="10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x14ac:dyDescent="0.25">
      <c r="A331" s="16"/>
      <c r="B331" s="16"/>
      <c r="C331" s="10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x14ac:dyDescent="0.25">
      <c r="A332" s="16"/>
      <c r="B332" s="16"/>
      <c r="C332" s="10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x14ac:dyDescent="0.25">
      <c r="A333" s="16"/>
      <c r="B333" s="16"/>
      <c r="C333" s="10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x14ac:dyDescent="0.25">
      <c r="A334" s="16"/>
      <c r="B334" s="16"/>
      <c r="C334" s="10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row>
    <row r="335" spans="1:30" x14ac:dyDescent="0.25">
      <c r="A335" s="16"/>
      <c r="B335" s="16"/>
      <c r="C335" s="10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row>
    <row r="336" spans="1:30" x14ac:dyDescent="0.25">
      <c r="A336" s="16"/>
      <c r="B336" s="16"/>
      <c r="C336" s="10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row>
    <row r="337" spans="1:30" x14ac:dyDescent="0.25">
      <c r="A337" s="16"/>
      <c r="B337" s="16"/>
      <c r="C337" s="10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row>
    <row r="338" spans="1:30" x14ac:dyDescent="0.25">
      <c r="A338" s="16"/>
      <c r="B338" s="16"/>
      <c r="C338" s="10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row>
    <row r="339" spans="1:30" x14ac:dyDescent="0.25">
      <c r="A339" s="16"/>
      <c r="B339" s="16"/>
      <c r="C339" s="10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row>
    <row r="340" spans="1:30" x14ac:dyDescent="0.25">
      <c r="A340" s="16"/>
      <c r="B340" s="16"/>
      <c r="C340" s="10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row>
    <row r="341" spans="1:30" x14ac:dyDescent="0.25">
      <c r="A341" s="16"/>
      <c r="B341" s="16"/>
      <c r="C341" s="10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row>
    <row r="342" spans="1:30" x14ac:dyDescent="0.25">
      <c r="A342" s="16"/>
      <c r="B342" s="16"/>
      <c r="C342" s="10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row>
    <row r="343" spans="1:30" x14ac:dyDescent="0.25">
      <c r="A343" s="16"/>
      <c r="B343" s="16"/>
      <c r="C343" s="10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row>
    <row r="344" spans="1:30" x14ac:dyDescent="0.25">
      <c r="A344" s="16"/>
      <c r="B344" s="16"/>
      <c r="C344" s="10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row>
    <row r="345" spans="1:30" x14ac:dyDescent="0.25">
      <c r="A345" s="16"/>
      <c r="B345" s="16"/>
      <c r="C345" s="10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row>
    <row r="346" spans="1:30" x14ac:dyDescent="0.25">
      <c r="A346" s="16"/>
      <c r="B346" s="16"/>
      <c r="C346" s="10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row>
    <row r="347" spans="1:30" x14ac:dyDescent="0.25">
      <c r="A347" s="16"/>
      <c r="B347" s="16"/>
      <c r="C347" s="10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row>
    <row r="348" spans="1:30" x14ac:dyDescent="0.25">
      <c r="A348" s="16"/>
      <c r="B348" s="16"/>
      <c r="C348" s="10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row>
    <row r="349" spans="1:30" x14ac:dyDescent="0.25">
      <c r="A349" s="16"/>
      <c r="B349" s="16"/>
      <c r="C349" s="10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row>
    <row r="350" spans="1:30" x14ac:dyDescent="0.25">
      <c r="A350" s="16"/>
      <c r="B350" s="16"/>
      <c r="C350" s="10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row>
    <row r="351" spans="1:30" x14ac:dyDescent="0.25">
      <c r="A351" s="16"/>
      <c r="B351" s="16"/>
      <c r="C351" s="10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row>
    <row r="352" spans="1:30" x14ac:dyDescent="0.25">
      <c r="A352" s="16"/>
      <c r="B352" s="16"/>
      <c r="C352" s="10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row>
    <row r="353" spans="1:30" x14ac:dyDescent="0.25">
      <c r="A353" s="16"/>
      <c r="B353" s="16"/>
      <c r="C353" s="10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row>
    <row r="354" spans="1:30" x14ac:dyDescent="0.25">
      <c r="A354" s="16"/>
      <c r="B354" s="16"/>
      <c r="C354" s="10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row>
    <row r="355" spans="1:30" x14ac:dyDescent="0.25">
      <c r="A355" s="16"/>
      <c r="B355" s="16"/>
      <c r="C355" s="10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row>
    <row r="356" spans="1:30" x14ac:dyDescent="0.25">
      <c r="A356" s="16"/>
      <c r="B356" s="16"/>
      <c r="C356" s="10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row>
    <row r="357" spans="1:30" x14ac:dyDescent="0.25">
      <c r="A357" s="16"/>
      <c r="B357" s="16"/>
      <c r="C357" s="10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row>
    <row r="358" spans="1:30" x14ac:dyDescent="0.25">
      <c r="A358" s="16"/>
      <c r="B358" s="16"/>
      <c r="C358" s="10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row>
    <row r="359" spans="1:30" x14ac:dyDescent="0.25">
      <c r="A359" s="16"/>
      <c r="B359" s="16"/>
      <c r="C359" s="10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row>
    <row r="360" spans="1:30" x14ac:dyDescent="0.25">
      <c r="A360" s="16"/>
      <c r="B360" s="16"/>
      <c r="C360" s="10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row>
    <row r="361" spans="1:30" x14ac:dyDescent="0.25">
      <c r="A361" s="16"/>
      <c r="B361" s="16"/>
      <c r="C361" s="10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row>
    <row r="362" spans="1:30" x14ac:dyDescent="0.25">
      <c r="A362" s="16"/>
      <c r="B362" s="16"/>
      <c r="C362" s="10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row>
    <row r="363" spans="1:30" x14ac:dyDescent="0.25">
      <c r="A363" s="16"/>
      <c r="B363" s="16"/>
      <c r="C363" s="10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row>
    <row r="364" spans="1:30" x14ac:dyDescent="0.25">
      <c r="A364" s="16"/>
      <c r="B364" s="16"/>
      <c r="C364" s="10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row>
    <row r="365" spans="1:30" x14ac:dyDescent="0.25">
      <c r="A365" s="16"/>
      <c r="B365" s="16"/>
      <c r="C365" s="10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row>
    <row r="366" spans="1:30" x14ac:dyDescent="0.25">
      <c r="A366" s="16"/>
      <c r="B366" s="16"/>
      <c r="C366" s="10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row>
    <row r="367" spans="1:30" x14ac:dyDescent="0.25">
      <c r="A367" s="16"/>
      <c r="B367" s="16"/>
      <c r="C367" s="10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row>
    <row r="368" spans="1:30" x14ac:dyDescent="0.25">
      <c r="A368" s="16"/>
      <c r="B368" s="16"/>
      <c r="C368" s="10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row>
    <row r="369" spans="1:30" x14ac:dyDescent="0.25">
      <c r="A369" s="16"/>
      <c r="B369" s="16"/>
      <c r="C369" s="10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row>
    <row r="370" spans="1:30" x14ac:dyDescent="0.25">
      <c r="A370" s="16"/>
      <c r="B370" s="16"/>
      <c r="C370" s="10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row>
    <row r="371" spans="1:30" x14ac:dyDescent="0.25">
      <c r="A371" s="16"/>
      <c r="B371" s="16"/>
      <c r="C371" s="10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row>
    <row r="372" spans="1:30" x14ac:dyDescent="0.25">
      <c r="A372" s="16"/>
      <c r="B372" s="16"/>
      <c r="C372" s="10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row>
    <row r="373" spans="1:30" x14ac:dyDescent="0.25">
      <c r="A373" s="16"/>
      <c r="B373" s="16"/>
      <c r="C373" s="10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row>
    <row r="374" spans="1:30" x14ac:dyDescent="0.25">
      <c r="A374" s="16"/>
      <c r="B374" s="16"/>
      <c r="C374" s="10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row>
    <row r="375" spans="1:30" x14ac:dyDescent="0.25">
      <c r="A375" s="16"/>
      <c r="B375" s="16"/>
      <c r="C375" s="10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row>
    <row r="376" spans="1:30" x14ac:dyDescent="0.25">
      <c r="A376" s="16"/>
      <c r="B376" s="16"/>
      <c r="C376" s="10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row>
    <row r="377" spans="1:30" x14ac:dyDescent="0.25">
      <c r="A377" s="16"/>
      <c r="B377" s="16"/>
      <c r="C377" s="10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row>
    <row r="378" spans="1:30" x14ac:dyDescent="0.25">
      <c r="A378" s="16"/>
      <c r="B378" s="16"/>
      <c r="C378" s="10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row>
    <row r="379" spans="1:30" x14ac:dyDescent="0.25">
      <c r="A379" s="16"/>
      <c r="B379" s="16"/>
      <c r="C379" s="10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row>
    <row r="380" spans="1:30" x14ac:dyDescent="0.25">
      <c r="A380" s="16"/>
      <c r="B380" s="16"/>
      <c r="C380" s="10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row>
    <row r="381" spans="1:30" x14ac:dyDescent="0.25">
      <c r="A381" s="16"/>
      <c r="B381" s="16"/>
      <c r="C381" s="10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row>
    <row r="382" spans="1:30" x14ac:dyDescent="0.25">
      <c r="A382" s="16"/>
      <c r="B382" s="16"/>
      <c r="C382" s="10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row>
    <row r="383" spans="1:30" x14ac:dyDescent="0.25">
      <c r="A383" s="16"/>
      <c r="B383" s="16"/>
      <c r="C383" s="10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row>
    <row r="384" spans="1:30" x14ac:dyDescent="0.25">
      <c r="A384" s="16"/>
      <c r="B384" s="16"/>
      <c r="C384" s="10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row>
    <row r="385" spans="1:30" x14ac:dyDescent="0.25">
      <c r="A385" s="16"/>
      <c r="B385" s="16"/>
      <c r="C385" s="10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row>
    <row r="386" spans="1:30" x14ac:dyDescent="0.25">
      <c r="A386" s="16"/>
      <c r="B386" s="16"/>
      <c r="C386" s="10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row>
    <row r="387" spans="1:30" x14ac:dyDescent="0.25">
      <c r="A387" s="16"/>
      <c r="B387" s="16"/>
      <c r="C387" s="10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row>
    <row r="388" spans="1:30" x14ac:dyDescent="0.25">
      <c r="A388" s="16"/>
      <c r="B388" s="16"/>
      <c r="C388" s="10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row>
    <row r="389" spans="1:30" x14ac:dyDescent="0.25">
      <c r="A389" s="16"/>
      <c r="B389" s="16"/>
      <c r="C389" s="10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row>
    <row r="390" spans="1:30" x14ac:dyDescent="0.25">
      <c r="A390" s="16"/>
      <c r="B390" s="16"/>
      <c r="C390" s="10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row>
    <row r="391" spans="1:30" x14ac:dyDescent="0.25">
      <c r="A391" s="16"/>
      <c r="B391" s="16"/>
      <c r="C391" s="10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row>
    <row r="392" spans="1:30" x14ac:dyDescent="0.25">
      <c r="A392" s="16"/>
      <c r="B392" s="16"/>
      <c r="C392" s="10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row>
    <row r="393" spans="1:30" x14ac:dyDescent="0.25">
      <c r="A393" s="16"/>
      <c r="B393" s="16"/>
      <c r="C393" s="10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row>
    <row r="394" spans="1:30" x14ac:dyDescent="0.25">
      <c r="A394" s="16"/>
      <c r="B394" s="16"/>
      <c r="C394" s="10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row>
    <row r="395" spans="1:30" x14ac:dyDescent="0.25">
      <c r="A395" s="16"/>
      <c r="B395" s="16"/>
      <c r="C395" s="10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row>
    <row r="396" spans="1:30" x14ac:dyDescent="0.25">
      <c r="A396" s="16"/>
      <c r="B396" s="16"/>
      <c r="C396" s="10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row>
    <row r="397" spans="1:30" x14ac:dyDescent="0.25">
      <c r="A397" s="16"/>
      <c r="B397" s="16"/>
      <c r="C397" s="10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row>
    <row r="398" spans="1:30" x14ac:dyDescent="0.25">
      <c r="A398" s="16"/>
      <c r="B398" s="16"/>
      <c r="C398" s="10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row>
    <row r="399" spans="1:30" x14ac:dyDescent="0.25">
      <c r="A399" s="16"/>
      <c r="B399" s="16"/>
      <c r="C399" s="10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row>
    <row r="400" spans="1:30" x14ac:dyDescent="0.25">
      <c r="A400" s="16"/>
      <c r="B400" s="16"/>
      <c r="C400" s="10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row>
    <row r="401" spans="1:30" x14ac:dyDescent="0.25">
      <c r="A401" s="16"/>
      <c r="B401" s="16"/>
      <c r="C401" s="10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row>
    <row r="402" spans="1:30" x14ac:dyDescent="0.25">
      <c r="A402" s="16"/>
      <c r="B402" s="16"/>
      <c r="C402" s="10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row>
    <row r="403" spans="1:30" x14ac:dyDescent="0.25">
      <c r="A403" s="16"/>
      <c r="B403" s="16"/>
      <c r="C403" s="10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row>
    <row r="404" spans="1:30" x14ac:dyDescent="0.25">
      <c r="A404" s="16"/>
      <c r="B404" s="16"/>
      <c r="C404" s="10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row>
    <row r="405" spans="1:30" x14ac:dyDescent="0.25">
      <c r="A405" s="16"/>
      <c r="B405" s="16"/>
      <c r="C405" s="10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row>
    <row r="406" spans="1:30" x14ac:dyDescent="0.25">
      <c r="A406" s="16"/>
      <c r="B406" s="16"/>
      <c r="C406" s="10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row>
    <row r="407" spans="1:30" x14ac:dyDescent="0.25">
      <c r="A407" s="16"/>
      <c r="B407" s="16"/>
      <c r="C407" s="10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row>
    <row r="408" spans="1:30" x14ac:dyDescent="0.25">
      <c r="A408" s="16"/>
      <c r="B408" s="16"/>
      <c r="C408" s="10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row>
    <row r="409" spans="1:30" x14ac:dyDescent="0.25">
      <c r="A409" s="16"/>
      <c r="B409" s="16"/>
      <c r="C409" s="10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row>
    <row r="410" spans="1:30" x14ac:dyDescent="0.25">
      <c r="A410" s="16"/>
      <c r="B410" s="16"/>
      <c r="C410" s="10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row>
    <row r="411" spans="1:30" x14ac:dyDescent="0.25">
      <c r="A411" s="16"/>
      <c r="B411" s="16"/>
      <c r="C411" s="10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row>
    <row r="412" spans="1:30" x14ac:dyDescent="0.25">
      <c r="A412" s="16"/>
      <c r="B412" s="16"/>
      <c r="C412" s="10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row>
    <row r="413" spans="1:30" x14ac:dyDescent="0.25">
      <c r="A413" s="16"/>
      <c r="B413" s="16"/>
      <c r="C413" s="10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row>
    <row r="414" spans="1:30" x14ac:dyDescent="0.25">
      <c r="A414" s="16"/>
      <c r="B414" s="16"/>
      <c r="C414" s="10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row>
    <row r="415" spans="1:30" x14ac:dyDescent="0.25">
      <c r="A415" s="16"/>
      <c r="B415" s="16"/>
      <c r="C415" s="10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row>
    <row r="416" spans="1:30" x14ac:dyDescent="0.25">
      <c r="A416" s="16"/>
      <c r="B416" s="16"/>
      <c r="C416" s="10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row>
    <row r="417" spans="1:30" x14ac:dyDescent="0.25">
      <c r="A417" s="16"/>
      <c r="B417" s="16"/>
      <c r="C417" s="10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row>
    <row r="418" spans="1:30" x14ac:dyDescent="0.25">
      <c r="A418" s="16"/>
      <c r="B418" s="16"/>
      <c r="C418" s="10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row>
    <row r="419" spans="1:30" x14ac:dyDescent="0.25">
      <c r="A419" s="16"/>
      <c r="B419" s="16"/>
      <c r="C419" s="10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row>
    <row r="420" spans="1:30" x14ac:dyDescent="0.25">
      <c r="A420" s="16"/>
      <c r="B420" s="16"/>
      <c r="C420" s="10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row>
    <row r="421" spans="1:30" x14ac:dyDescent="0.25">
      <c r="A421" s="16"/>
      <c r="B421" s="16"/>
      <c r="C421" s="10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row>
    <row r="422" spans="1:30" x14ac:dyDescent="0.25">
      <c r="A422" s="16"/>
      <c r="B422" s="16"/>
      <c r="C422" s="10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row>
    <row r="423" spans="1:30" x14ac:dyDescent="0.25">
      <c r="K423" s="16"/>
      <c r="L423" s="16"/>
    </row>
    <row r="424" spans="1:30" x14ac:dyDescent="0.25">
      <c r="K424" s="16"/>
      <c r="L424" s="16"/>
    </row>
    <row r="425" spans="1:30" x14ac:dyDescent="0.25">
      <c r="K425" s="16"/>
      <c r="L425" s="16"/>
    </row>
    <row r="426" spans="1:30" x14ac:dyDescent="0.25">
      <c r="K426" s="16"/>
      <c r="L426" s="16"/>
    </row>
    <row r="427" spans="1:30" x14ac:dyDescent="0.25">
      <c r="K427" s="16"/>
      <c r="L427" s="16"/>
    </row>
    <row r="428" spans="1:30" x14ac:dyDescent="0.25">
      <c r="K428" s="16"/>
      <c r="L428" s="16"/>
    </row>
    <row r="429" spans="1:30" x14ac:dyDescent="0.25">
      <c r="K429" s="16"/>
      <c r="L429" s="16"/>
    </row>
    <row r="430" spans="1:30" x14ac:dyDescent="0.25">
      <c r="K430" s="16"/>
      <c r="L430" s="16"/>
    </row>
    <row r="431" spans="1:30" x14ac:dyDescent="0.25">
      <c r="K431" s="16"/>
      <c r="L431" s="16"/>
    </row>
    <row r="432" spans="1:30" x14ac:dyDescent="0.25">
      <c r="K432" s="16"/>
      <c r="L432" s="16"/>
    </row>
    <row r="433" spans="11:12" x14ac:dyDescent="0.25">
      <c r="K433" s="16"/>
      <c r="L433" s="16"/>
    </row>
    <row r="434" spans="11:12" x14ac:dyDescent="0.25">
      <c r="K434" s="16"/>
      <c r="L434" s="16"/>
    </row>
    <row r="435" spans="11:12" x14ac:dyDescent="0.25">
      <c r="K435" s="16"/>
      <c r="L435" s="16"/>
    </row>
    <row r="436" spans="11:12" x14ac:dyDescent="0.25">
      <c r="K436" s="16"/>
      <c r="L436" s="16"/>
    </row>
    <row r="437" spans="11:12" x14ac:dyDescent="0.25">
      <c r="K437" s="16"/>
      <c r="L437" s="16"/>
    </row>
    <row r="438" spans="11:12" x14ac:dyDescent="0.25">
      <c r="K438" s="16"/>
      <c r="L438" s="16"/>
    </row>
    <row r="439" spans="11:12" x14ac:dyDescent="0.25">
      <c r="K439" s="16"/>
      <c r="L439" s="16"/>
    </row>
    <row r="440" spans="11:12" x14ac:dyDescent="0.25">
      <c r="K440" s="16"/>
      <c r="L440" s="16"/>
    </row>
    <row r="441" spans="11:12" x14ac:dyDescent="0.25">
      <c r="K441" s="16"/>
      <c r="L441" s="16"/>
    </row>
    <row r="442" spans="11:12" x14ac:dyDescent="0.25">
      <c r="K442" s="16"/>
      <c r="L442" s="16"/>
    </row>
    <row r="443" spans="11:12" x14ac:dyDescent="0.25">
      <c r="K443" s="16"/>
      <c r="L443" s="16"/>
    </row>
    <row r="444" spans="11:12" x14ac:dyDescent="0.25">
      <c r="K444" s="16"/>
      <c r="L444" s="16"/>
    </row>
    <row r="445" spans="11:12" x14ac:dyDescent="0.25">
      <c r="K445" s="16"/>
      <c r="L445" s="16"/>
    </row>
    <row r="446" spans="11:12" x14ac:dyDescent="0.25">
      <c r="K446" s="16"/>
      <c r="L446" s="16"/>
    </row>
    <row r="447" spans="11:12" x14ac:dyDescent="0.25">
      <c r="K447" s="16"/>
      <c r="L447" s="16"/>
    </row>
    <row r="448" spans="11:12" x14ac:dyDescent="0.25">
      <c r="K448" s="16"/>
      <c r="L448" s="16"/>
    </row>
    <row r="449" spans="11:12" x14ac:dyDescent="0.25">
      <c r="K449" s="16"/>
      <c r="L449" s="16"/>
    </row>
    <row r="450" spans="11:12" x14ac:dyDescent="0.25">
      <c r="K450" s="16"/>
      <c r="L450" s="16"/>
    </row>
    <row r="451" spans="11:12" x14ac:dyDescent="0.25">
      <c r="K451" s="16"/>
      <c r="L451" s="16"/>
    </row>
    <row r="452" spans="11:12" x14ac:dyDescent="0.25">
      <c r="K452" s="16"/>
      <c r="L452" s="16"/>
    </row>
    <row r="453" spans="11:12" x14ac:dyDescent="0.25">
      <c r="K453" s="16"/>
      <c r="L453" s="16"/>
    </row>
    <row r="454" spans="11:12" x14ac:dyDescent="0.25">
      <c r="K454" s="16"/>
      <c r="L454" s="16"/>
    </row>
    <row r="455" spans="11:12" x14ac:dyDescent="0.25">
      <c r="K455" s="16"/>
      <c r="L455" s="16"/>
    </row>
  </sheetData>
  <conditionalFormatting sqref="J2:J154">
    <cfRule type="cellIs" dxfId="4" priority="5" operator="equal">
      <formula>"R"</formula>
    </cfRule>
  </conditionalFormatting>
  <conditionalFormatting sqref="K155:K455 L155:AD155">
    <cfRule type="cellIs" dxfId="3" priority="4" operator="equal">
      <formula>"D"</formula>
    </cfRule>
  </conditionalFormatting>
  <conditionalFormatting sqref="L156:L452">
    <cfRule type="cellIs" dxfId="2" priority="2" operator="equal">
      <formula>"D"</formula>
    </cfRule>
  </conditionalFormatting>
  <hyperlinks>
    <hyperlink ref="B2" r:id="rId1" xr:uid="{9A25478C-42C1-46E1-80CE-D47B82E34F90}"/>
    <hyperlink ref="B3" r:id="rId2" xr:uid="{E68B5B54-389F-4FC8-A975-1B4A645E9DD4}"/>
    <hyperlink ref="B4" r:id="rId3" xr:uid="{E403357A-E6B5-469D-95AD-745E1ADFDC08}"/>
    <hyperlink ref="B5" r:id="rId4" xr:uid="{D2F969E9-A8B7-48C6-861C-752AF41E3E07}"/>
    <hyperlink ref="B6" r:id="rId5" xr:uid="{93EC749F-3050-44A0-B3D3-657366AA30A7}"/>
    <hyperlink ref="B7" r:id="rId6" xr:uid="{1734EB4A-0752-4185-A3FC-5CDFC40B1093}"/>
    <hyperlink ref="B8" r:id="rId7" xr:uid="{B2792D15-65B2-4966-BBF4-C29A2A41D115}"/>
    <hyperlink ref="B9" r:id="rId8" xr:uid="{D8B4107D-D9FC-4556-A2F5-50C51FE7DEF4}"/>
    <hyperlink ref="B10" r:id="rId9" xr:uid="{BDB7166A-C9D1-4619-AA2F-6690E9786AC5}"/>
    <hyperlink ref="B11" r:id="rId10" xr:uid="{388EADD8-8576-4A98-BCF7-A80B2E3A52B2}"/>
    <hyperlink ref="B12" r:id="rId11" xr:uid="{7A8A967A-9167-40E3-8EF2-8E25E2BC605D}"/>
    <hyperlink ref="B13" r:id="rId12" xr:uid="{6D8B872E-19B5-4002-B1D1-17D373EE1756}"/>
    <hyperlink ref="B14" r:id="rId13" xr:uid="{74E6F869-E8E3-49FF-BA34-12D619199A18}"/>
    <hyperlink ref="B15" r:id="rId14" xr:uid="{4B68EA3C-8677-46C1-B0A7-CE07DAD38BCB}"/>
    <hyperlink ref="B16" r:id="rId15" xr:uid="{1676DF1D-29C6-4548-BAAA-41C2249928C6}"/>
    <hyperlink ref="B17" r:id="rId16" xr:uid="{7691FCDC-60AD-41FB-AD04-31EFD28BC7B5}"/>
    <hyperlink ref="B18" r:id="rId17" xr:uid="{D3658377-5443-46B6-91BE-C9423C6CD7B0}"/>
    <hyperlink ref="B19" r:id="rId18" xr:uid="{2B6A38DF-0153-4521-85C2-C13B49579252}"/>
    <hyperlink ref="B20" r:id="rId19" xr:uid="{74ED80A1-98A6-4851-BDF0-F76CCB4A2CC7}"/>
    <hyperlink ref="B21" r:id="rId20" xr:uid="{8A8B7645-D091-4DFB-A2F6-3129F1467D94}"/>
    <hyperlink ref="B22" r:id="rId21" xr:uid="{C2A3F10F-7A17-4C7A-8B71-5C4DA69CDED7}"/>
    <hyperlink ref="B23" r:id="rId22" xr:uid="{5E886F25-E28A-42B8-97F6-24C45C07537C}"/>
    <hyperlink ref="B24" r:id="rId23" xr:uid="{EF3ADE03-D2AC-4228-812D-00469FF5DCB9}"/>
    <hyperlink ref="B25" r:id="rId24" xr:uid="{5C40FA93-9389-4D3F-BAC2-F87F2A2283CE}"/>
    <hyperlink ref="B26" r:id="rId25" xr:uid="{7F240DF1-CD94-49B2-9A1C-7CA57561BB74}"/>
    <hyperlink ref="B27" r:id="rId26" xr:uid="{429DF9E8-C39D-4956-AB14-9926BCE5F331}"/>
    <hyperlink ref="B28" r:id="rId27" xr:uid="{11018D91-4B7C-4060-9A75-B3A378E3E47B}"/>
    <hyperlink ref="B29" r:id="rId28" xr:uid="{8E0971FA-C1E0-4ECB-A093-04CAD0407122}"/>
    <hyperlink ref="B30" r:id="rId29" xr:uid="{3899E59D-F31C-411A-B483-7A7DEB356EF1}"/>
    <hyperlink ref="B31" r:id="rId30" xr:uid="{74DE5852-ECB0-4548-A3DF-CA9E3F804478}"/>
    <hyperlink ref="B32" r:id="rId31" xr:uid="{F9CFD962-2465-41F7-95CB-5974334D7827}"/>
    <hyperlink ref="B33" r:id="rId32" xr:uid="{B33B8CC1-E510-4295-9D18-9B20593A41E8}"/>
    <hyperlink ref="B34" r:id="rId33" xr:uid="{6F5064DA-27BE-4610-B672-162CFD618907}"/>
    <hyperlink ref="B35" r:id="rId34" xr:uid="{DF6A4F82-FB96-49B1-8F52-98A40D4AC178}"/>
    <hyperlink ref="B36" r:id="rId35" xr:uid="{F3B6D10B-E508-4107-B452-62CEFA233213}"/>
    <hyperlink ref="B37" r:id="rId36" xr:uid="{A71D8C7B-F882-4096-889D-5ABA61375E68}"/>
    <hyperlink ref="B38" r:id="rId37" xr:uid="{9E11C582-CFE2-4409-A726-187BF8359A15}"/>
    <hyperlink ref="B39" r:id="rId38" xr:uid="{915DCA45-E0D1-497A-9731-156AC39076ED}"/>
    <hyperlink ref="B40" r:id="rId39" xr:uid="{8E811548-8B07-49FC-B7FB-DCEB266BE954}"/>
    <hyperlink ref="B41" r:id="rId40" xr:uid="{3D8E53FE-4B71-46AF-A38A-DFF02AEF807A}"/>
    <hyperlink ref="B42" r:id="rId41" xr:uid="{36963D65-AB99-490E-A5E2-87F0C228771D}"/>
    <hyperlink ref="B43" r:id="rId42" xr:uid="{9AC0B760-C423-4573-8019-EAF921ADF120}"/>
    <hyperlink ref="B44" r:id="rId43" xr:uid="{A9AD387D-FA53-4398-91D2-7F19B8D9A8CE}"/>
    <hyperlink ref="B45" r:id="rId44" xr:uid="{8D09C070-F1FF-47F6-995B-94848F4B3C80}"/>
    <hyperlink ref="B46" r:id="rId45" xr:uid="{9E75D498-08AF-4BF9-B81B-23347BA50173}"/>
    <hyperlink ref="B47" r:id="rId46" xr:uid="{B7A9434A-1BC4-4F3A-A12C-9112FECA0132}"/>
    <hyperlink ref="B48" r:id="rId47" xr:uid="{BCB5185B-6755-4BE5-81A2-5ABE3B016BA5}"/>
    <hyperlink ref="B49" r:id="rId48" xr:uid="{C1EAED66-F509-494D-8568-E9FB0D34B38E}"/>
    <hyperlink ref="B50" r:id="rId49" xr:uid="{8AC509E9-AAB2-446D-9E5E-47121D29D42B}"/>
    <hyperlink ref="B51" r:id="rId50" xr:uid="{97042FC7-2664-4B59-8BA7-9FD499C4B912}"/>
    <hyperlink ref="B52" r:id="rId51" xr:uid="{0E291CD3-EA7A-4465-B7A9-8A8885E3E31F}"/>
    <hyperlink ref="B53" r:id="rId52" xr:uid="{387BB9D8-D9B7-4276-803E-A82C28D22480}"/>
    <hyperlink ref="B54" r:id="rId53" xr:uid="{D6AA9B0E-3E79-4F4E-9C92-02C2307D8A6C}"/>
    <hyperlink ref="B55" r:id="rId54" xr:uid="{37BAD6BA-510C-46EC-8CCA-CD57146D44C0}"/>
    <hyperlink ref="B56" r:id="rId55" xr:uid="{84DC0AAB-1782-474E-9F22-265FC46ED541}"/>
    <hyperlink ref="B57" r:id="rId56" xr:uid="{BAF39ADF-2CBA-43B0-989E-D06A3C9E77DD}"/>
    <hyperlink ref="B58" r:id="rId57" xr:uid="{CE97211A-907E-421A-96CD-73C0F50FEB59}"/>
    <hyperlink ref="B59" r:id="rId58" xr:uid="{D62AE690-D7D5-4BD0-BE89-0391DB621849}"/>
    <hyperlink ref="B60" r:id="rId59" xr:uid="{414F54F6-DC7E-4036-8A4F-ECD1E765F34C}"/>
    <hyperlink ref="B61" r:id="rId60" xr:uid="{D95C6040-ABCE-4EE7-A4B8-0428B1D7178C}"/>
    <hyperlink ref="B62" r:id="rId61" xr:uid="{F07582EB-809A-46E3-AF14-7468D2E14505}"/>
    <hyperlink ref="B63" r:id="rId62" xr:uid="{3C3592B0-039A-4BFB-8A53-446BF95FFB21}"/>
    <hyperlink ref="B64" r:id="rId63" xr:uid="{850E895F-C86C-4990-A94C-7B7CA77BD358}"/>
    <hyperlink ref="B65" r:id="rId64" xr:uid="{72CF45CE-7756-4FF4-8464-FE9A4ADB17FB}"/>
    <hyperlink ref="B66" r:id="rId65" xr:uid="{D89D9F0F-2B03-45B2-B2CA-C2E789503913}"/>
    <hyperlink ref="B67" r:id="rId66" xr:uid="{FE2EC477-C3B4-4DEC-9833-CEC4D9F69501}"/>
    <hyperlink ref="B68" r:id="rId67" xr:uid="{E40C7F35-AA56-4EF3-8E09-EECB515C2278}"/>
    <hyperlink ref="B69" r:id="rId68" xr:uid="{9417B13D-8579-4AA2-B124-3DB20EE9A513}"/>
    <hyperlink ref="B70" r:id="rId69" xr:uid="{878B5785-8EDA-49B4-94CF-7F58EC2FE573}"/>
    <hyperlink ref="B71" r:id="rId70" xr:uid="{CBE6D604-7AD7-4C8F-989F-E852E4DE7C26}"/>
    <hyperlink ref="B72" r:id="rId71" xr:uid="{027515B4-820A-4B08-B6ED-CA8FD770ED48}"/>
    <hyperlink ref="B73" r:id="rId72" xr:uid="{E383C86C-EF98-4F83-B0CB-C5C49300B60C}"/>
    <hyperlink ref="B74" r:id="rId73" xr:uid="{68A9FDB5-B26E-4219-8171-1D5835C5B5FC}"/>
    <hyperlink ref="B75" r:id="rId74" xr:uid="{8986E1B2-3083-4799-82BD-2D4EED70AE06}"/>
    <hyperlink ref="B76" r:id="rId75" xr:uid="{FEAAD461-E3D0-4709-953A-8964A44D3438}"/>
    <hyperlink ref="B77" r:id="rId76" xr:uid="{AF942340-DC63-448E-9482-1A3F69C23732}"/>
    <hyperlink ref="B78" r:id="rId77" xr:uid="{96A36408-E6A2-4CA1-A1A6-029747DA66FB}"/>
    <hyperlink ref="B79" r:id="rId78" xr:uid="{CDCD7011-323F-455E-A300-FA45BDD50504}"/>
    <hyperlink ref="B80" r:id="rId79" xr:uid="{BD967C82-51E8-4080-A9E2-A4A55A9B6758}"/>
    <hyperlink ref="B81" r:id="rId80" xr:uid="{259A85EB-0605-4E36-AE73-1948D1CBF850}"/>
    <hyperlink ref="B82" r:id="rId81" xr:uid="{414FDA33-475E-466D-BC82-3C5DB8869BE4}"/>
    <hyperlink ref="B83" r:id="rId82" xr:uid="{F50D2B52-AA8A-4E1A-B81B-CBF4B23F742C}"/>
    <hyperlink ref="B84" r:id="rId83" xr:uid="{948C4127-AD0C-4981-9679-F03E740436B5}"/>
    <hyperlink ref="B85" r:id="rId84" xr:uid="{276430B4-B1AA-48B1-83C5-9AE042F3A230}"/>
    <hyperlink ref="B86" r:id="rId85" xr:uid="{AA1DAAA2-05A3-4535-A4B1-FCCDB0E73843}"/>
    <hyperlink ref="B87" r:id="rId86" xr:uid="{5DA5BFE9-DAC4-4942-9F89-E6099F51998A}"/>
    <hyperlink ref="B88" r:id="rId87" xr:uid="{3D6884E8-9464-4335-91D9-8782CE6C78A9}"/>
    <hyperlink ref="B89" r:id="rId88" xr:uid="{11CCA42E-60DA-41CC-BC5A-CDF7C23B485E}"/>
    <hyperlink ref="B90" r:id="rId89" xr:uid="{A77DF86F-1872-4BDC-99FC-D0C5D5212077}"/>
    <hyperlink ref="B91" r:id="rId90" xr:uid="{217E8916-7EC1-49B3-9687-1DA1A6CE601A}"/>
    <hyperlink ref="B92" r:id="rId91" xr:uid="{48B061CF-FDF0-404B-93C7-77873035E7FF}"/>
    <hyperlink ref="B93" r:id="rId92" xr:uid="{9414AB0B-B238-4F7B-8A40-F1BEEC7C27BA}"/>
    <hyperlink ref="B94" r:id="rId93" xr:uid="{D1A75C19-FFF1-44FF-B881-9E9D198A941E}"/>
    <hyperlink ref="B95" r:id="rId94" xr:uid="{19022388-295E-4D24-97E2-689984A10867}"/>
    <hyperlink ref="B96" r:id="rId95" xr:uid="{3480FF67-7F25-48D4-B9F8-CE01A7DC4714}"/>
    <hyperlink ref="B97" r:id="rId96" xr:uid="{4A771BB7-CBAD-4867-91A8-DD788F226FDB}"/>
    <hyperlink ref="B98" r:id="rId97" xr:uid="{6F210A6E-6AEB-437C-A893-1FA9843AE1D9}"/>
    <hyperlink ref="B99" r:id="rId98" xr:uid="{CEE8A710-13A9-45FE-8664-697553A19BF6}"/>
    <hyperlink ref="B100" r:id="rId99" xr:uid="{93743834-DA6A-41F6-8A70-B6F5DD69B261}"/>
    <hyperlink ref="B101" r:id="rId100" xr:uid="{FD01AB84-7FB3-425B-A5EF-64787FACF317}"/>
    <hyperlink ref="B102" r:id="rId101" xr:uid="{C321ED9D-56F0-4782-8F29-6CC0A42C6029}"/>
    <hyperlink ref="B103" r:id="rId102" xr:uid="{5D8603AA-3E08-453A-AFF8-30573957AA01}"/>
    <hyperlink ref="B104" r:id="rId103" xr:uid="{0659BC96-D87A-4E9C-9C33-726A327F8A68}"/>
    <hyperlink ref="B105" r:id="rId104" xr:uid="{5E885E13-2C23-47A7-8DFB-1C2204ABBF8F}"/>
    <hyperlink ref="B106" r:id="rId105" xr:uid="{21776B02-85C9-451F-BB2A-5EE47A9D8B15}"/>
    <hyperlink ref="B107" r:id="rId106" xr:uid="{F65CC942-5181-415C-9580-64A7F7FF98AE}"/>
    <hyperlink ref="B108" r:id="rId107" xr:uid="{DFF8BFF5-D853-474E-9884-EBF2A51616C4}"/>
    <hyperlink ref="B109" r:id="rId108" xr:uid="{CA7CEDAB-2F61-4264-9C6F-85A1522AC823}"/>
    <hyperlink ref="B110" r:id="rId109" xr:uid="{A165DC97-B967-40E3-B65F-5ADC6C5F1302}"/>
    <hyperlink ref="B111" r:id="rId110" xr:uid="{87FB85C2-1CCE-43A8-8FB4-E3094F512C85}"/>
    <hyperlink ref="B112" r:id="rId111" xr:uid="{8E1CDD17-A790-4994-8B83-48D81D69B5D9}"/>
    <hyperlink ref="B113" r:id="rId112" xr:uid="{41719796-3E9E-47D3-8219-4BAE06AB7C36}"/>
    <hyperlink ref="B115" r:id="rId113" xr:uid="{15EF4484-4A6B-4308-AD61-B00E6F4FDF4D}"/>
    <hyperlink ref="B116" r:id="rId114" xr:uid="{BFF56CBD-4C21-4976-AE95-2A471A2ABA28}"/>
    <hyperlink ref="B117" r:id="rId115" xr:uid="{985DE150-76BE-4A9D-AD9A-33473A583DD6}"/>
    <hyperlink ref="B118" r:id="rId116" xr:uid="{C4178A6B-6BB5-47B9-BCB9-DD7EF796A75C}"/>
    <hyperlink ref="B119" r:id="rId117" xr:uid="{3ECB2145-AE6C-4DAC-833B-BB9882540FE2}"/>
    <hyperlink ref="B120" r:id="rId118" xr:uid="{6894BCE5-2CC2-4C3C-BA91-EAC103D754BA}"/>
    <hyperlink ref="B121" r:id="rId119" xr:uid="{362AABBD-4918-4D74-A48D-4FBD8EB94015}"/>
    <hyperlink ref="B122" r:id="rId120" xr:uid="{22338E72-4545-4885-9AE8-888BC5B191B4}"/>
    <hyperlink ref="B123" r:id="rId121" xr:uid="{38490D04-4AC2-4356-97CF-5654DC28E921}"/>
    <hyperlink ref="B124" r:id="rId122" xr:uid="{21517B53-BA77-45AC-8407-21B3A282AC37}"/>
    <hyperlink ref="B125" r:id="rId123" xr:uid="{0C05501C-360E-4A3A-AFD8-409C7142DC12}"/>
    <hyperlink ref="B126" r:id="rId124" xr:uid="{5A8868E5-95A3-4782-B2FB-B1DE4E1F3FDF}"/>
    <hyperlink ref="B127" r:id="rId125" xr:uid="{C02C7670-5BBC-4000-8124-EECFA1203E24}"/>
    <hyperlink ref="B128" r:id="rId126" xr:uid="{E732F0D9-3910-4248-BF6C-46AB24F46043}"/>
    <hyperlink ref="B129" r:id="rId127" xr:uid="{DBE3B459-BE06-4AF0-844F-472519B67E62}"/>
    <hyperlink ref="B130" r:id="rId128" xr:uid="{93F877EA-8704-428E-A84C-17318A6ECC7B}"/>
    <hyperlink ref="B131" r:id="rId129" xr:uid="{91F99E74-4379-4C25-9D08-C9480C68A4E4}"/>
    <hyperlink ref="B132" r:id="rId130" xr:uid="{D2D62F00-2051-448E-9A57-6AA0784DCA3D}"/>
    <hyperlink ref="B133" r:id="rId131" xr:uid="{08A791A8-2653-4EA1-A529-D0FAD06AE7D5}"/>
    <hyperlink ref="B134" r:id="rId132" xr:uid="{3E1A88FB-BB26-479E-A335-B6E53ED19D87}"/>
    <hyperlink ref="B135" r:id="rId133" xr:uid="{D4D782A6-1B34-4D6D-A0CA-C670E38688DA}"/>
    <hyperlink ref="B136" r:id="rId134" xr:uid="{3564F9B7-3410-4364-9540-4487FF299425}"/>
    <hyperlink ref="B137" r:id="rId135" xr:uid="{4B84063D-A9FA-4CDF-A4D4-7FE83C933FE4}"/>
    <hyperlink ref="B138" r:id="rId136" xr:uid="{BA061919-156A-4269-B210-F0B429452B68}"/>
    <hyperlink ref="B139" r:id="rId137" xr:uid="{39DCEAF5-D3F2-4105-984C-49616863A80C}"/>
    <hyperlink ref="B140" r:id="rId138" xr:uid="{84150AF8-AD7E-49E1-A18B-BCD89F9FDBB0}"/>
    <hyperlink ref="B141" r:id="rId139" xr:uid="{04A935DC-7D3D-4A73-83BF-E2BBA493001F}"/>
    <hyperlink ref="B142" r:id="rId140" xr:uid="{963F9C9A-C391-4705-ABC2-6B8FC3F357CF}"/>
    <hyperlink ref="B143" r:id="rId141" xr:uid="{4A6E3E6F-E127-4519-9409-764EDFE197B4}"/>
    <hyperlink ref="B144" r:id="rId142" xr:uid="{641D0576-13D3-4A94-96D0-8051AE4154B9}"/>
    <hyperlink ref="B145" r:id="rId143" xr:uid="{D9441B89-6A9D-4B02-BADA-0CA5755264A2}"/>
    <hyperlink ref="B146" r:id="rId144" xr:uid="{ACFCE2F5-5E65-4072-91E9-9130BCF43A6F}"/>
    <hyperlink ref="B147" r:id="rId145" xr:uid="{1F7EC5FC-CD49-4D90-89FA-3691DBE59DBF}"/>
    <hyperlink ref="B148" r:id="rId146" xr:uid="{FB74664D-143B-4994-8B0F-E47595B5D266}"/>
    <hyperlink ref="B149" r:id="rId147" xr:uid="{C196A479-17C0-43C3-A7FC-692ECFF65B17}"/>
    <hyperlink ref="B150" r:id="rId148" xr:uid="{3926C7FF-C0F2-4217-B802-848780535A4E}"/>
    <hyperlink ref="B151" r:id="rId149" xr:uid="{DFD9EAEE-F606-4C9B-99D3-589A6BDEED61}"/>
    <hyperlink ref="B152" r:id="rId150" xr:uid="{22EA2A88-2DF5-4523-BB1C-89677C73977B}"/>
    <hyperlink ref="B153" r:id="rId151" xr:uid="{9A53A49C-9E5C-4D71-B545-5742BBFF6F0F}"/>
    <hyperlink ref="B154" r:id="rId152" xr:uid="{78B3D25D-BE3B-4C66-A41C-3FD0E9F4123D}"/>
    <hyperlink ref="B114" r:id="rId153" xr:uid="{E1E966B4-6311-4479-8E3A-84AD742D3F27}"/>
  </hyperlinks>
  <pageMargins left="0.7" right="0.7" top="0.75" bottom="0.75" header="0.3" footer="0.3"/>
  <pageSetup orientation="portrait" r:id="rId154"/>
  <tableParts count="1">
    <tablePart r:id="rId155"/>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AC360-C0C6-4043-B245-196B68278033}">
  <dimension ref="A1:D54"/>
  <sheetViews>
    <sheetView topLeftCell="A37" workbookViewId="0">
      <selection sqref="A1:D54"/>
    </sheetView>
  </sheetViews>
  <sheetFormatPr defaultColWidth="8.85546875" defaultRowHeight="15" x14ac:dyDescent="0.25"/>
  <cols>
    <col min="1" max="1" width="20" customWidth="1"/>
    <col min="2" max="2" width="25.42578125" customWidth="1"/>
    <col min="3" max="3" width="27.85546875" customWidth="1"/>
    <col min="4" max="4" width="26.28515625" customWidth="1"/>
  </cols>
  <sheetData>
    <row r="1" spans="1:4" ht="15.75" x14ac:dyDescent="0.25">
      <c r="A1" s="170" t="s">
        <v>9478</v>
      </c>
      <c r="B1" s="170"/>
      <c r="C1" s="170"/>
      <c r="D1" s="170"/>
    </row>
    <row r="2" spans="1:4" ht="15.75" x14ac:dyDescent="0.25">
      <c r="A2" s="139" t="s">
        <v>8</v>
      </c>
      <c r="B2" s="140" t="s">
        <v>8968</v>
      </c>
      <c r="C2" s="140" t="s">
        <v>8969</v>
      </c>
      <c r="D2" s="141" t="s">
        <v>8970</v>
      </c>
    </row>
    <row r="3" spans="1:4" ht="15.75" x14ac:dyDescent="0.25">
      <c r="A3" s="135" t="s">
        <v>8977</v>
      </c>
      <c r="B3" s="3" t="s">
        <v>8978</v>
      </c>
      <c r="C3" s="134" t="s">
        <v>8979</v>
      </c>
      <c r="D3" s="137">
        <v>3.0000000000000001E-3</v>
      </c>
    </row>
    <row r="4" spans="1:4" ht="15.75" x14ac:dyDescent="0.25">
      <c r="A4" s="135" t="s">
        <v>8998</v>
      </c>
      <c r="B4" s="3" t="s">
        <v>8999</v>
      </c>
      <c r="C4" s="134" t="s">
        <v>9000</v>
      </c>
      <c r="D4" s="137">
        <v>3.0000000000000001E-3</v>
      </c>
    </row>
    <row r="5" spans="1:4" ht="15.75" x14ac:dyDescent="0.25">
      <c r="A5" s="135" t="s">
        <v>9115</v>
      </c>
      <c r="B5" s="3" t="s">
        <v>9116</v>
      </c>
      <c r="C5" s="84" t="s">
        <v>9117</v>
      </c>
      <c r="D5" s="137">
        <v>7.0000000000000001E-3</v>
      </c>
    </row>
    <row r="6" spans="1:4" ht="15.75" x14ac:dyDescent="0.25">
      <c r="A6" s="135" t="s">
        <v>9082</v>
      </c>
      <c r="B6" s="3" t="s">
        <v>9083</v>
      </c>
      <c r="C6" s="134" t="s">
        <v>9084</v>
      </c>
      <c r="D6" s="137">
        <v>8.0000000000000002E-3</v>
      </c>
    </row>
    <row r="7" spans="1:4" ht="15.75" x14ac:dyDescent="0.25">
      <c r="A7" s="135" t="s">
        <v>9067</v>
      </c>
      <c r="B7" s="134" t="s">
        <v>9068</v>
      </c>
      <c r="C7" s="2" t="s">
        <v>9069</v>
      </c>
      <c r="D7" s="137">
        <v>1.4E-2</v>
      </c>
    </row>
    <row r="8" spans="1:4" ht="15.75" x14ac:dyDescent="0.25">
      <c r="A8" s="135" t="s">
        <v>9034</v>
      </c>
      <c r="B8" s="3" t="s">
        <v>9035</v>
      </c>
      <c r="C8" s="84" t="s">
        <v>9036</v>
      </c>
      <c r="D8" s="137">
        <v>2.7E-2</v>
      </c>
    </row>
    <row r="9" spans="1:4" ht="15.75" x14ac:dyDescent="0.25">
      <c r="A9" s="135" t="s">
        <v>9052</v>
      </c>
      <c r="B9" s="3" t="s">
        <v>9053</v>
      </c>
      <c r="C9" s="84" t="s">
        <v>9054</v>
      </c>
      <c r="D9" s="137">
        <v>2.7E-2</v>
      </c>
    </row>
    <row r="10" spans="1:4" ht="15.75" x14ac:dyDescent="0.25">
      <c r="A10" s="135" t="s">
        <v>8995</v>
      </c>
      <c r="B10" s="3" t="s">
        <v>8996</v>
      </c>
      <c r="C10" s="84" t="s">
        <v>8997</v>
      </c>
      <c r="D10" s="137">
        <v>3.3000000000000002E-2</v>
      </c>
    </row>
    <row r="11" spans="1:4" ht="15.75" x14ac:dyDescent="0.25">
      <c r="A11" s="135" t="s">
        <v>9097</v>
      </c>
      <c r="B11" s="134" t="s">
        <v>9098</v>
      </c>
      <c r="C11" s="2" t="s">
        <v>9099</v>
      </c>
      <c r="D11" s="137">
        <v>5.8000000000000003E-2</v>
      </c>
    </row>
    <row r="12" spans="1:4" ht="15.75" x14ac:dyDescent="0.25">
      <c r="A12" s="135" t="s">
        <v>9037</v>
      </c>
      <c r="B12" s="3" t="s">
        <v>9038</v>
      </c>
      <c r="C12" s="84" t="s">
        <v>9039</v>
      </c>
      <c r="D12" s="137">
        <v>7.1999999999999995E-2</v>
      </c>
    </row>
    <row r="13" spans="1:4" ht="15.75" x14ac:dyDescent="0.25">
      <c r="A13" s="135" t="s">
        <v>9055</v>
      </c>
      <c r="B13" s="3" t="s">
        <v>9056</v>
      </c>
      <c r="C13" s="84" t="s">
        <v>9057</v>
      </c>
      <c r="D13" s="137">
        <v>7.1999999999999995E-2</v>
      </c>
    </row>
    <row r="14" spans="1:4" ht="15.75" x14ac:dyDescent="0.25">
      <c r="A14" s="135" t="s">
        <v>9013</v>
      </c>
      <c r="B14" s="84" t="s">
        <v>9014</v>
      </c>
      <c r="C14" s="2" t="s">
        <v>9015</v>
      </c>
      <c r="D14" s="137">
        <v>8.2000000000000003E-2</v>
      </c>
    </row>
    <row r="15" spans="1:4" ht="15.75" x14ac:dyDescent="0.25">
      <c r="A15" s="135" t="s">
        <v>9073</v>
      </c>
      <c r="B15" s="134" t="s">
        <v>9074</v>
      </c>
      <c r="C15" s="2" t="s">
        <v>9075</v>
      </c>
      <c r="D15" s="146">
        <v>8.2000000000000003E-2</v>
      </c>
    </row>
    <row r="16" spans="1:4" ht="15.75" x14ac:dyDescent="0.25">
      <c r="A16" s="135" t="s">
        <v>9025</v>
      </c>
      <c r="B16" s="3" t="s">
        <v>9026</v>
      </c>
      <c r="C16" s="134" t="s">
        <v>9027</v>
      </c>
      <c r="D16" s="137">
        <v>8.6999999999999994E-2</v>
      </c>
    </row>
    <row r="17" spans="1:4" ht="15.75" x14ac:dyDescent="0.25">
      <c r="A17" s="135" t="s">
        <v>9106</v>
      </c>
      <c r="B17" s="3" t="s">
        <v>9107</v>
      </c>
      <c r="C17" s="134" t="s">
        <v>9108</v>
      </c>
      <c r="D17" s="137">
        <v>9.7000000000000003E-2</v>
      </c>
    </row>
    <row r="18" spans="1:4" ht="15.75" x14ac:dyDescent="0.25">
      <c r="A18" s="135" t="s">
        <v>9061</v>
      </c>
      <c r="B18" s="3" t="s">
        <v>9062</v>
      </c>
      <c r="C18" s="134" t="s">
        <v>9063</v>
      </c>
      <c r="D18" s="136">
        <v>0.106</v>
      </c>
    </row>
    <row r="19" spans="1:4" ht="15.75" x14ac:dyDescent="0.25">
      <c r="A19" s="135" t="s">
        <v>9088</v>
      </c>
      <c r="B19" s="84" t="s">
        <v>9089</v>
      </c>
      <c r="C19" s="2" t="s">
        <v>9090</v>
      </c>
      <c r="D19" s="136">
        <v>0.11700000000000001</v>
      </c>
    </row>
    <row r="20" spans="1:4" ht="15.75" x14ac:dyDescent="0.25">
      <c r="A20" s="135" t="s">
        <v>9064</v>
      </c>
      <c r="B20" s="3" t="s">
        <v>9065</v>
      </c>
      <c r="C20" s="134" t="s">
        <v>9066</v>
      </c>
      <c r="D20" s="136">
        <v>0.129</v>
      </c>
    </row>
    <row r="21" spans="1:4" ht="15.75" x14ac:dyDescent="0.25">
      <c r="A21" s="135" t="s">
        <v>8986</v>
      </c>
      <c r="B21" s="3" t="s">
        <v>8987</v>
      </c>
      <c r="C21" s="84" t="s">
        <v>8988</v>
      </c>
      <c r="D21" s="136">
        <v>0.13200000000000001</v>
      </c>
    </row>
    <row r="22" spans="1:4" ht="15.75" x14ac:dyDescent="0.25">
      <c r="A22" s="135" t="s">
        <v>9007</v>
      </c>
      <c r="B22" s="3" t="s">
        <v>9008</v>
      </c>
      <c r="C22" s="84" t="s">
        <v>9009</v>
      </c>
      <c r="D22" s="136">
        <v>0.13500000000000001</v>
      </c>
    </row>
    <row r="23" spans="1:4" ht="15.75" x14ac:dyDescent="0.25">
      <c r="A23" s="135" t="s">
        <v>9016</v>
      </c>
      <c r="B23" s="134" t="s">
        <v>9017</v>
      </c>
      <c r="C23" s="2" t="s">
        <v>9018</v>
      </c>
      <c r="D23" s="136">
        <v>0.152</v>
      </c>
    </row>
    <row r="24" spans="1:4" ht="15.75" x14ac:dyDescent="0.25">
      <c r="A24" s="135" t="s">
        <v>9043</v>
      </c>
      <c r="B24" s="134" t="s">
        <v>9044</v>
      </c>
      <c r="C24" s="2" t="s">
        <v>9045</v>
      </c>
      <c r="D24" s="136">
        <v>0.156</v>
      </c>
    </row>
    <row r="25" spans="1:4" ht="15.75" x14ac:dyDescent="0.25">
      <c r="A25" s="135" t="s">
        <v>8974</v>
      </c>
      <c r="B25" s="134" t="s">
        <v>8975</v>
      </c>
      <c r="C25" s="2" t="s">
        <v>8976</v>
      </c>
      <c r="D25" s="136">
        <v>0.157</v>
      </c>
    </row>
    <row r="26" spans="1:4" ht="15.75" x14ac:dyDescent="0.25">
      <c r="A26" s="135" t="s">
        <v>9058</v>
      </c>
      <c r="B26" s="3" t="s">
        <v>9059</v>
      </c>
      <c r="C26" s="134" t="s">
        <v>9060</v>
      </c>
      <c r="D26" s="136">
        <v>0.16</v>
      </c>
    </row>
    <row r="27" spans="1:4" ht="15.75" x14ac:dyDescent="0.25">
      <c r="A27" s="135" t="s">
        <v>9010</v>
      </c>
      <c r="B27" s="84" t="s">
        <v>9011</v>
      </c>
      <c r="C27" s="2" t="s">
        <v>9012</v>
      </c>
      <c r="D27" s="136">
        <v>0.161</v>
      </c>
    </row>
    <row r="28" spans="1:4" ht="15.75" x14ac:dyDescent="0.25">
      <c r="A28" s="135" t="s">
        <v>9046</v>
      </c>
      <c r="B28" s="84" t="s">
        <v>9047</v>
      </c>
      <c r="C28" s="2" t="s">
        <v>9048</v>
      </c>
      <c r="D28" s="136">
        <v>0.16300000000000001</v>
      </c>
    </row>
    <row r="29" spans="1:4" ht="15.75" x14ac:dyDescent="0.25">
      <c r="A29" s="135" t="s">
        <v>9079</v>
      </c>
      <c r="B29" s="3" t="s">
        <v>9080</v>
      </c>
      <c r="C29" s="134" t="s">
        <v>9081</v>
      </c>
      <c r="D29" s="136">
        <v>0.16400000000000001</v>
      </c>
    </row>
    <row r="30" spans="1:4" ht="15.75" x14ac:dyDescent="0.25">
      <c r="A30" s="135" t="s">
        <v>9022</v>
      </c>
      <c r="B30" s="134" t="s">
        <v>9023</v>
      </c>
      <c r="C30" s="2" t="s">
        <v>9024</v>
      </c>
      <c r="D30" s="136">
        <v>0.187</v>
      </c>
    </row>
    <row r="31" spans="1:4" ht="15.75" x14ac:dyDescent="0.25">
      <c r="A31" s="135" t="s">
        <v>8992</v>
      </c>
      <c r="B31" s="3" t="s">
        <v>8993</v>
      </c>
      <c r="C31" s="84" t="s">
        <v>8994</v>
      </c>
      <c r="D31" s="136">
        <v>0.19</v>
      </c>
    </row>
    <row r="32" spans="1:4" ht="15.75" x14ac:dyDescent="0.25">
      <c r="A32" s="135" t="s">
        <v>9109</v>
      </c>
      <c r="B32" s="3" t="s">
        <v>9110</v>
      </c>
      <c r="C32" s="84" t="s">
        <v>9111</v>
      </c>
      <c r="D32" s="136">
        <v>0.1951</v>
      </c>
    </row>
    <row r="33" spans="1:4" ht="15.75" x14ac:dyDescent="0.25">
      <c r="A33" s="135" t="s">
        <v>8989</v>
      </c>
      <c r="B33" s="3" t="s">
        <v>8990</v>
      </c>
      <c r="C33" s="84" t="s">
        <v>8991</v>
      </c>
      <c r="D33" s="136">
        <v>0.20100000000000001</v>
      </c>
    </row>
    <row r="34" spans="1:4" ht="15.75" x14ac:dyDescent="0.25">
      <c r="A34" s="135" t="s">
        <v>9100</v>
      </c>
      <c r="B34" s="134" t="s">
        <v>9101</v>
      </c>
      <c r="C34" s="2" t="s">
        <v>9102</v>
      </c>
      <c r="D34" s="136">
        <v>0.20200000000000001</v>
      </c>
    </row>
    <row r="35" spans="1:4" ht="15.75" x14ac:dyDescent="0.25">
      <c r="A35" s="135" t="s">
        <v>9085</v>
      </c>
      <c r="B35" s="3" t="s">
        <v>9086</v>
      </c>
      <c r="C35" s="134" t="s">
        <v>9087</v>
      </c>
      <c r="D35" s="136">
        <v>0.20300000000000001</v>
      </c>
    </row>
    <row r="36" spans="1:4" ht="15.75" x14ac:dyDescent="0.25">
      <c r="A36" s="135" t="s">
        <v>9040</v>
      </c>
      <c r="B36" s="84" t="s">
        <v>9041</v>
      </c>
      <c r="C36" s="2" t="s">
        <v>9042</v>
      </c>
      <c r="D36" s="136">
        <v>0.20899999999999999</v>
      </c>
    </row>
    <row r="37" spans="1:4" ht="15.75" x14ac:dyDescent="0.25">
      <c r="A37" s="135" t="s">
        <v>9094</v>
      </c>
      <c r="B37" s="84" t="s">
        <v>9095</v>
      </c>
      <c r="C37" s="2" t="s">
        <v>9096</v>
      </c>
      <c r="D37" s="136">
        <v>0.23300000000000001</v>
      </c>
    </row>
    <row r="38" spans="1:4" ht="15.75" x14ac:dyDescent="0.25">
      <c r="A38" s="135" t="s">
        <v>8971</v>
      </c>
      <c r="B38" s="84" t="s">
        <v>8972</v>
      </c>
      <c r="C38" s="2" t="s">
        <v>8973</v>
      </c>
      <c r="D38" s="136">
        <v>0.24099999999999999</v>
      </c>
    </row>
    <row r="39" spans="1:4" ht="15.75" x14ac:dyDescent="0.25">
      <c r="A39" s="135" t="s">
        <v>9019</v>
      </c>
      <c r="B39" s="134" t="s">
        <v>9020</v>
      </c>
      <c r="C39" s="2" t="s">
        <v>9021</v>
      </c>
      <c r="D39" s="136">
        <v>0.25900000000000001</v>
      </c>
    </row>
    <row r="40" spans="1:4" ht="15.75" x14ac:dyDescent="0.25">
      <c r="A40" s="135" t="s">
        <v>9091</v>
      </c>
      <c r="B40" s="134" t="s">
        <v>9092</v>
      </c>
      <c r="C40" s="2" t="s">
        <v>9093</v>
      </c>
      <c r="D40" s="136">
        <v>0.26200000000000001</v>
      </c>
    </row>
    <row r="41" spans="1:4" ht="15.75" x14ac:dyDescent="0.25">
      <c r="A41" s="135" t="s">
        <v>8980</v>
      </c>
      <c r="B41" s="134" t="s">
        <v>8981</v>
      </c>
      <c r="C41" s="2" t="s">
        <v>8982</v>
      </c>
      <c r="D41" s="136">
        <v>0.28000000000000003</v>
      </c>
    </row>
    <row r="42" spans="1:4" ht="15.75" x14ac:dyDescent="0.25">
      <c r="A42" s="135" t="s">
        <v>9049</v>
      </c>
      <c r="B42" s="84" t="s">
        <v>9050</v>
      </c>
      <c r="C42" s="2" t="s">
        <v>9051</v>
      </c>
      <c r="D42" s="136">
        <v>0.28499999999999998</v>
      </c>
    </row>
    <row r="43" spans="1:4" ht="15.75" x14ac:dyDescent="0.25">
      <c r="A43" s="135" t="s">
        <v>9001</v>
      </c>
      <c r="B43" s="3" t="s">
        <v>9002</v>
      </c>
      <c r="C43" s="134" t="s">
        <v>9003</v>
      </c>
      <c r="D43" s="136">
        <v>0.29399999999999998</v>
      </c>
    </row>
    <row r="44" spans="1:4" ht="15.75" x14ac:dyDescent="0.25">
      <c r="A44" s="135" t="s">
        <v>8983</v>
      </c>
      <c r="B44" s="3" t="s">
        <v>8984</v>
      </c>
      <c r="C44" s="134" t="s">
        <v>8985</v>
      </c>
      <c r="D44" s="136">
        <v>0.30299999999999999</v>
      </c>
    </row>
    <row r="45" spans="1:4" ht="15.75" x14ac:dyDescent="0.25">
      <c r="A45" s="135" t="s">
        <v>9004</v>
      </c>
      <c r="B45" s="84" t="s">
        <v>9005</v>
      </c>
      <c r="C45" s="2" t="s">
        <v>9006</v>
      </c>
      <c r="D45" s="136">
        <v>0.308</v>
      </c>
    </row>
    <row r="46" spans="1:4" ht="15.75" x14ac:dyDescent="0.25">
      <c r="A46" s="135" t="s">
        <v>9028</v>
      </c>
      <c r="B46" s="3" t="s">
        <v>9029</v>
      </c>
      <c r="C46" s="134" t="s">
        <v>9030</v>
      </c>
      <c r="D46" s="136">
        <v>0.312</v>
      </c>
    </row>
    <row r="47" spans="1:4" ht="15.75" x14ac:dyDescent="0.25">
      <c r="A47" s="135" t="s">
        <v>9031</v>
      </c>
      <c r="B47" s="3" t="s">
        <v>9032</v>
      </c>
      <c r="C47" s="84" t="s">
        <v>9033</v>
      </c>
      <c r="D47" s="138">
        <v>0.33</v>
      </c>
    </row>
    <row r="48" spans="1:4" ht="15.75" x14ac:dyDescent="0.25">
      <c r="A48" s="135" t="s">
        <v>9076</v>
      </c>
      <c r="B48" s="134" t="s">
        <v>9077</v>
      </c>
      <c r="C48" s="2" t="s">
        <v>9078</v>
      </c>
      <c r="D48" s="136">
        <v>0.33100000000000002</v>
      </c>
    </row>
    <row r="49" spans="1:4" ht="15.75" x14ac:dyDescent="0.25">
      <c r="A49" s="135" t="s">
        <v>9070</v>
      </c>
      <c r="B49" s="134" t="s">
        <v>9071</v>
      </c>
      <c r="C49" s="2" t="s">
        <v>9072</v>
      </c>
      <c r="D49" s="136">
        <v>0.33600000000000002</v>
      </c>
    </row>
    <row r="50" spans="1:4" ht="15.75" x14ac:dyDescent="0.25">
      <c r="A50" s="135" t="s">
        <v>9103</v>
      </c>
      <c r="B50" s="3" t="s">
        <v>9104</v>
      </c>
      <c r="C50" s="134" t="s">
        <v>9105</v>
      </c>
      <c r="D50" s="136">
        <v>0.35599999999999998</v>
      </c>
    </row>
    <row r="51" spans="1:4" ht="15.75" x14ac:dyDescent="0.25">
      <c r="A51" s="135" t="s">
        <v>9112</v>
      </c>
      <c r="B51" s="134" t="s">
        <v>9113</v>
      </c>
      <c r="C51" s="2" t="s">
        <v>9114</v>
      </c>
      <c r="D51" s="136">
        <v>0.39100000000000001</v>
      </c>
    </row>
    <row r="52" spans="1:4" ht="15.75" x14ac:dyDescent="0.25">
      <c r="A52" s="142" t="s">
        <v>9118</v>
      </c>
      <c r="B52" s="143" t="s">
        <v>9119</v>
      </c>
      <c r="C52" s="144" t="s">
        <v>9120</v>
      </c>
      <c r="D52" s="145">
        <v>0.437</v>
      </c>
    </row>
    <row r="53" spans="1:4" ht="15.75" x14ac:dyDescent="0.25">
      <c r="A53" s="171" t="s">
        <v>9121</v>
      </c>
      <c r="B53" s="171"/>
      <c r="C53" s="171"/>
      <c r="D53" s="171"/>
    </row>
    <row r="54" spans="1:4" ht="15.75" x14ac:dyDescent="0.25">
      <c r="A54" s="171" t="s">
        <v>9122</v>
      </c>
      <c r="B54" s="171"/>
      <c r="C54" s="171"/>
      <c r="D54" s="171"/>
    </row>
  </sheetData>
  <mergeCells count="3">
    <mergeCell ref="A1:D1"/>
    <mergeCell ref="A53:D53"/>
    <mergeCell ref="A54:D54"/>
  </mergeCells>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E6785-FC23-415B-88A1-A0E313659C00}">
  <dimension ref="A1:B32"/>
  <sheetViews>
    <sheetView workbookViewId="0">
      <selection activeCell="B32" sqref="A1:B32"/>
    </sheetView>
  </sheetViews>
  <sheetFormatPr defaultColWidth="8.85546875" defaultRowHeight="15" x14ac:dyDescent="0.25"/>
  <cols>
    <col min="1" max="1" width="28.28515625" customWidth="1"/>
    <col min="2" max="2" width="63.85546875" customWidth="1"/>
  </cols>
  <sheetData>
    <row r="1" spans="1:2" ht="15.75" x14ac:dyDescent="0.25">
      <c r="A1" s="174" t="s">
        <v>9479</v>
      </c>
      <c r="B1" s="174"/>
    </row>
    <row r="2" spans="1:2" ht="15.75" x14ac:dyDescent="0.25">
      <c r="A2" s="83" t="s">
        <v>8</v>
      </c>
      <c r="B2" s="85" t="s">
        <v>9123</v>
      </c>
    </row>
    <row r="3" spans="1:2" ht="15.75" x14ac:dyDescent="0.25">
      <c r="A3" s="171" t="s">
        <v>8977</v>
      </c>
      <c r="B3" s="86" t="s">
        <v>9124</v>
      </c>
    </row>
    <row r="4" spans="1:2" ht="15.75" x14ac:dyDescent="0.25">
      <c r="A4" s="171"/>
      <c r="B4" s="3" t="s">
        <v>9125</v>
      </c>
    </row>
    <row r="5" spans="1:2" ht="15.75" x14ac:dyDescent="0.25">
      <c r="A5" s="171" t="s">
        <v>8995</v>
      </c>
      <c r="B5" s="4"/>
    </row>
    <row r="6" spans="1:2" ht="15.75" x14ac:dyDescent="0.25">
      <c r="A6" s="171"/>
      <c r="B6" s="4"/>
    </row>
    <row r="7" spans="1:2" ht="15.75" x14ac:dyDescent="0.25">
      <c r="A7" s="171" t="s">
        <v>8998</v>
      </c>
      <c r="B7" s="2" t="s">
        <v>9126</v>
      </c>
    </row>
    <row r="8" spans="1:2" ht="15.75" x14ac:dyDescent="0.25">
      <c r="A8" s="171"/>
      <c r="B8" s="86" t="s">
        <v>9127</v>
      </c>
    </row>
    <row r="9" spans="1:2" ht="15.75" x14ac:dyDescent="0.25">
      <c r="A9" s="171" t="s">
        <v>9013</v>
      </c>
      <c r="B9" s="2" t="s">
        <v>9128</v>
      </c>
    </row>
    <row r="10" spans="1:2" ht="15.75" x14ac:dyDescent="0.25">
      <c r="A10" s="171"/>
      <c r="B10" s="86" t="s">
        <v>9129</v>
      </c>
    </row>
    <row r="11" spans="1:2" ht="15.75" x14ac:dyDescent="0.25">
      <c r="A11" s="171" t="s">
        <v>9025</v>
      </c>
      <c r="B11" s="2" t="s">
        <v>9130</v>
      </c>
    </row>
    <row r="12" spans="1:2" ht="15.75" x14ac:dyDescent="0.25">
      <c r="A12" s="171"/>
      <c r="B12" s="86" t="s">
        <v>9131</v>
      </c>
    </row>
    <row r="13" spans="1:2" ht="15.75" x14ac:dyDescent="0.25">
      <c r="A13" s="171" t="s">
        <v>9034</v>
      </c>
      <c r="B13" s="3" t="s">
        <v>9132</v>
      </c>
    </row>
    <row r="14" spans="1:2" ht="15.75" x14ac:dyDescent="0.25">
      <c r="A14" s="171"/>
      <c r="B14" s="86" t="s">
        <v>9133</v>
      </c>
    </row>
    <row r="15" spans="1:2" ht="15.75" x14ac:dyDescent="0.25">
      <c r="A15" s="171" t="s">
        <v>9037</v>
      </c>
      <c r="B15" s="3" t="s">
        <v>9134</v>
      </c>
    </row>
    <row r="16" spans="1:2" ht="15.75" x14ac:dyDescent="0.25">
      <c r="A16" s="171"/>
      <c r="B16" s="86" t="s">
        <v>9135</v>
      </c>
    </row>
    <row r="17" spans="1:2" ht="15.75" x14ac:dyDescent="0.25">
      <c r="A17" s="171" t="s">
        <v>9052</v>
      </c>
      <c r="B17" s="4"/>
    </row>
    <row r="18" spans="1:2" ht="15.75" x14ac:dyDescent="0.25">
      <c r="A18" s="171"/>
      <c r="B18" s="4"/>
    </row>
    <row r="19" spans="1:2" ht="15.75" x14ac:dyDescent="0.25">
      <c r="A19" s="171" t="s">
        <v>9055</v>
      </c>
      <c r="B19" s="3" t="s">
        <v>9136</v>
      </c>
    </row>
    <row r="20" spans="1:2" ht="15.75" x14ac:dyDescent="0.25">
      <c r="A20" s="171"/>
      <c r="B20" s="86" t="s">
        <v>9137</v>
      </c>
    </row>
    <row r="21" spans="1:2" ht="15.75" x14ac:dyDescent="0.25">
      <c r="A21" s="171" t="s">
        <v>9067</v>
      </c>
      <c r="B21" s="2" t="s">
        <v>9138</v>
      </c>
    </row>
    <row r="22" spans="1:2" ht="15.75" x14ac:dyDescent="0.25">
      <c r="A22" s="171"/>
      <c r="B22" s="86" t="s">
        <v>9139</v>
      </c>
    </row>
    <row r="23" spans="1:2" ht="15.75" x14ac:dyDescent="0.25">
      <c r="A23" s="172" t="s">
        <v>9073</v>
      </c>
      <c r="B23" s="5"/>
    </row>
    <row r="24" spans="1:2" ht="15.75" x14ac:dyDescent="0.25">
      <c r="A24" s="173"/>
      <c r="B24" s="5"/>
    </row>
    <row r="25" spans="1:2" ht="15.75" x14ac:dyDescent="0.25">
      <c r="A25" s="171" t="s">
        <v>9082</v>
      </c>
      <c r="B25" s="4"/>
    </row>
    <row r="26" spans="1:2" ht="15.75" x14ac:dyDescent="0.25">
      <c r="A26" s="171"/>
      <c r="B26" s="4"/>
    </row>
    <row r="27" spans="1:2" ht="15.75" x14ac:dyDescent="0.25">
      <c r="A27" s="171" t="s">
        <v>9097</v>
      </c>
      <c r="B27" s="2" t="s">
        <v>9140</v>
      </c>
    </row>
    <row r="28" spans="1:2" ht="15.75" x14ac:dyDescent="0.25">
      <c r="A28" s="171"/>
      <c r="B28" s="86" t="s">
        <v>9141</v>
      </c>
    </row>
    <row r="29" spans="1:2" ht="15.75" x14ac:dyDescent="0.25">
      <c r="A29" s="171" t="s">
        <v>9106</v>
      </c>
      <c r="B29" s="3" t="s">
        <v>9142</v>
      </c>
    </row>
    <row r="30" spans="1:2" ht="15.75" x14ac:dyDescent="0.25">
      <c r="A30" s="171"/>
      <c r="B30" s="86" t="s">
        <v>9143</v>
      </c>
    </row>
    <row r="31" spans="1:2" ht="15.75" x14ac:dyDescent="0.25">
      <c r="A31" s="171" t="s">
        <v>9115</v>
      </c>
      <c r="B31" s="4"/>
    </row>
    <row r="32" spans="1:2" ht="15.75" x14ac:dyDescent="0.25">
      <c r="A32" s="171"/>
      <c r="B32" s="5"/>
    </row>
  </sheetData>
  <mergeCells count="16">
    <mergeCell ref="A11:A12"/>
    <mergeCell ref="A1:B1"/>
    <mergeCell ref="A3:A4"/>
    <mergeCell ref="A5:A6"/>
    <mergeCell ref="A7:A8"/>
    <mergeCell ref="A9:A10"/>
    <mergeCell ref="A27:A28"/>
    <mergeCell ref="A29:A30"/>
    <mergeCell ref="A31:A32"/>
    <mergeCell ref="A13:A14"/>
    <mergeCell ref="A15:A16"/>
    <mergeCell ref="A17:A18"/>
    <mergeCell ref="A19:A20"/>
    <mergeCell ref="A21:A22"/>
    <mergeCell ref="A25:A26"/>
    <mergeCell ref="A23:A2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5A75C-C15D-42C8-A994-B7045484C82D}">
  <dimension ref="A1:V32"/>
  <sheetViews>
    <sheetView topLeftCell="D1" workbookViewId="0">
      <selection activeCell="M5" sqref="M5"/>
    </sheetView>
  </sheetViews>
  <sheetFormatPr defaultColWidth="8.85546875" defaultRowHeight="15" x14ac:dyDescent="0.25"/>
  <cols>
    <col min="1" max="1" width="20.42578125" bestFit="1" customWidth="1"/>
    <col min="2" max="2" width="29.42578125" customWidth="1"/>
    <col min="3" max="3" width="98.42578125" customWidth="1"/>
    <col min="5" max="5" width="14.85546875" customWidth="1"/>
    <col min="6" max="6" width="16.7109375" customWidth="1"/>
    <col min="7" max="7" width="15" customWidth="1"/>
    <col min="8" max="8" width="13.85546875" customWidth="1"/>
    <col min="10" max="10" width="17.140625" customWidth="1"/>
    <col min="11" max="11" width="19" customWidth="1"/>
    <col min="12" max="12" width="12" customWidth="1"/>
    <col min="13" max="13" width="15.42578125" customWidth="1"/>
    <col min="14" max="14" width="12.85546875" customWidth="1"/>
    <col min="15" max="15" width="13" customWidth="1"/>
    <col min="16" max="16" width="15.7109375" customWidth="1"/>
    <col min="17" max="17" width="11.42578125" customWidth="1"/>
    <col min="18" max="18" width="13.140625" customWidth="1"/>
    <col min="19" max="19" width="16.7109375" customWidth="1"/>
    <col min="20" max="20" width="12.42578125" customWidth="1"/>
    <col min="21" max="21" width="12.85546875" customWidth="1"/>
  </cols>
  <sheetData>
    <row r="1" spans="1:22" ht="15.75" customHeight="1" thickBot="1" x14ac:dyDescent="0.3">
      <c r="A1" s="176" t="s">
        <v>9480</v>
      </c>
      <c r="B1" s="176"/>
      <c r="C1" s="176"/>
    </row>
    <row r="2" spans="1:22" ht="45.75" thickBot="1" x14ac:dyDescent="0.3">
      <c r="A2" s="177" t="s">
        <v>9144</v>
      </c>
      <c r="B2" s="89" t="s">
        <v>10</v>
      </c>
      <c r="C2" s="160" t="s">
        <v>9481</v>
      </c>
      <c r="E2" s="25" t="s">
        <v>10</v>
      </c>
      <c r="F2" s="24" t="s">
        <v>9145</v>
      </c>
      <c r="G2" s="167" t="s">
        <v>9146</v>
      </c>
      <c r="H2" s="24" t="s">
        <v>9147</v>
      </c>
      <c r="I2" s="24" t="s">
        <v>9148</v>
      </c>
      <c r="J2" s="24" t="s">
        <v>15</v>
      </c>
      <c r="K2" s="24" t="s">
        <v>16</v>
      </c>
      <c r="L2" s="24" t="s">
        <v>17</v>
      </c>
      <c r="M2" s="24" t="s">
        <v>9149</v>
      </c>
      <c r="N2" s="24" t="s">
        <v>9150</v>
      </c>
      <c r="O2" s="24" t="s">
        <v>18</v>
      </c>
      <c r="P2" s="24" t="s">
        <v>19</v>
      </c>
      <c r="Q2" s="24" t="s">
        <v>9151</v>
      </c>
      <c r="R2" s="27" t="s">
        <v>9152</v>
      </c>
      <c r="S2" s="27" t="s">
        <v>23</v>
      </c>
      <c r="T2" s="27" t="s">
        <v>9153</v>
      </c>
      <c r="U2" s="27" t="s">
        <v>9154</v>
      </c>
    </row>
    <row r="3" spans="1:22" ht="32.25" thickBot="1" x14ac:dyDescent="0.3">
      <c r="A3" s="178"/>
      <c r="B3" s="89" t="s">
        <v>11</v>
      </c>
      <c r="C3" s="161" t="s">
        <v>9482</v>
      </c>
      <c r="E3" s="7" t="s">
        <v>9155</v>
      </c>
      <c r="F3" s="7" t="s">
        <v>9156</v>
      </c>
      <c r="G3" s="165" t="s">
        <v>9157</v>
      </c>
      <c r="H3" s="7" t="s">
        <v>9158</v>
      </c>
      <c r="I3" s="163" t="s">
        <v>9159</v>
      </c>
      <c r="J3" s="7" t="s">
        <v>9160</v>
      </c>
      <c r="K3" s="7" t="s">
        <v>9161</v>
      </c>
      <c r="L3" s="7" t="s">
        <v>9162</v>
      </c>
      <c r="M3" s="7" t="s">
        <v>9178</v>
      </c>
      <c r="N3" s="7" t="s">
        <v>9163</v>
      </c>
      <c r="O3" s="7" t="s">
        <v>9164</v>
      </c>
      <c r="P3" s="7" t="s">
        <v>9165</v>
      </c>
      <c r="Q3" s="7" t="s">
        <v>9151</v>
      </c>
      <c r="R3" s="28" t="s">
        <v>9166</v>
      </c>
      <c r="S3" s="28" t="s">
        <v>9167</v>
      </c>
      <c r="T3" s="28" t="s">
        <v>9168</v>
      </c>
      <c r="U3" s="28" t="s">
        <v>9169</v>
      </c>
      <c r="V3" s="93"/>
    </row>
    <row r="4" spans="1:22" ht="15.75" customHeight="1" thickBot="1" x14ac:dyDescent="0.3">
      <c r="A4" s="178"/>
      <c r="B4" s="89" t="s">
        <v>12</v>
      </c>
      <c r="C4" s="161" t="s">
        <v>9483</v>
      </c>
      <c r="E4" s="7" t="s">
        <v>9170</v>
      </c>
      <c r="F4" s="7" t="s">
        <v>9171</v>
      </c>
      <c r="G4" s="165" t="s">
        <v>9172</v>
      </c>
      <c r="H4" s="7" t="s">
        <v>9173</v>
      </c>
      <c r="I4" s="163" t="s">
        <v>9174</v>
      </c>
      <c r="J4" s="7" t="s">
        <v>9175</v>
      </c>
      <c r="K4" s="7" t="s">
        <v>9176</v>
      </c>
      <c r="L4" s="7" t="s">
        <v>9177</v>
      </c>
      <c r="M4" s="7" t="s">
        <v>9178</v>
      </c>
      <c r="N4" s="7" t="s">
        <v>9179</v>
      </c>
      <c r="O4" s="7" t="s">
        <v>9180</v>
      </c>
      <c r="P4" s="7" t="s">
        <v>9181</v>
      </c>
      <c r="Q4" s="7" t="s">
        <v>9182</v>
      </c>
      <c r="R4" s="28" t="s">
        <v>9183</v>
      </c>
      <c r="S4" s="28" t="s">
        <v>9184</v>
      </c>
      <c r="T4" s="28" t="s">
        <v>9185</v>
      </c>
      <c r="U4" s="28" t="s">
        <v>9186</v>
      </c>
      <c r="V4" s="93"/>
    </row>
    <row r="5" spans="1:22" ht="39" customHeight="1" thickBot="1" x14ac:dyDescent="0.3">
      <c r="A5" s="178"/>
      <c r="B5" s="89" t="s">
        <v>9411</v>
      </c>
      <c r="C5" s="161" t="s">
        <v>9484</v>
      </c>
      <c r="E5" s="7" t="s">
        <v>9187</v>
      </c>
      <c r="F5" s="7" t="s">
        <v>9188</v>
      </c>
      <c r="G5" s="165" t="s">
        <v>9189</v>
      </c>
      <c r="H5" s="7" t="s">
        <v>9190</v>
      </c>
      <c r="I5" s="163" t="s">
        <v>9191</v>
      </c>
      <c r="J5" s="7" t="s">
        <v>9192</v>
      </c>
      <c r="K5" s="7" t="s">
        <v>9193</v>
      </c>
      <c r="L5" s="7" t="s">
        <v>9194</v>
      </c>
      <c r="M5" s="7" t="s">
        <v>9195</v>
      </c>
      <c r="N5" s="7" t="s">
        <v>9196</v>
      </c>
      <c r="O5" s="7" t="s">
        <v>9197</v>
      </c>
      <c r="P5" s="7" t="s">
        <v>9198</v>
      </c>
      <c r="Q5" s="163" t="s">
        <v>9199</v>
      </c>
      <c r="R5" s="28" t="s">
        <v>9200</v>
      </c>
      <c r="S5" s="28" t="s">
        <v>9201</v>
      </c>
      <c r="T5" s="28" t="s">
        <v>9202</v>
      </c>
      <c r="U5" s="28" t="s">
        <v>9203</v>
      </c>
      <c r="V5" s="93"/>
    </row>
    <row r="6" spans="1:22" ht="16.5" thickBot="1" x14ac:dyDescent="0.3">
      <c r="A6" s="178"/>
      <c r="B6" s="89" t="s">
        <v>9148</v>
      </c>
      <c r="C6" s="161" t="s">
        <v>9485</v>
      </c>
      <c r="E6" s="7" t="s">
        <v>9196</v>
      </c>
      <c r="F6" s="7" t="s">
        <v>9204</v>
      </c>
      <c r="G6" s="165" t="s">
        <v>9205</v>
      </c>
      <c r="H6" s="7" t="s">
        <v>9206</v>
      </c>
      <c r="I6" s="163" t="s">
        <v>9207</v>
      </c>
      <c r="J6" s="7" t="s">
        <v>9208</v>
      </c>
      <c r="K6" s="7" t="s">
        <v>9209</v>
      </c>
      <c r="L6" s="7" t="s">
        <v>9210</v>
      </c>
      <c r="M6" s="7" t="s">
        <v>9211</v>
      </c>
      <c r="N6" s="7" t="s">
        <v>9212</v>
      </c>
      <c r="O6" s="7" t="s">
        <v>9213</v>
      </c>
      <c r="P6" s="7" t="s">
        <v>9214</v>
      </c>
      <c r="Q6" s="163" t="s">
        <v>9215</v>
      </c>
      <c r="R6" s="28" t="s">
        <v>9216</v>
      </c>
      <c r="S6" s="28" t="s">
        <v>9217</v>
      </c>
      <c r="T6" s="28" t="s">
        <v>9218</v>
      </c>
      <c r="U6" s="28" t="s">
        <v>9219</v>
      </c>
      <c r="V6" s="87"/>
    </row>
    <row r="7" spans="1:22" ht="32.25" thickBot="1" x14ac:dyDescent="0.3">
      <c r="A7" s="178"/>
      <c r="B7" s="89" t="s">
        <v>15</v>
      </c>
      <c r="C7" s="161" t="s">
        <v>9486</v>
      </c>
      <c r="E7" s="7" t="s">
        <v>9220</v>
      </c>
      <c r="F7" s="7" t="s">
        <v>9221</v>
      </c>
      <c r="G7" s="165" t="s">
        <v>9222</v>
      </c>
      <c r="H7" s="7" t="s">
        <v>9223</v>
      </c>
      <c r="I7" s="163" t="s">
        <v>9209</v>
      </c>
      <c r="J7" s="7" t="s">
        <v>9224</v>
      </c>
      <c r="K7" s="7" t="s">
        <v>9225</v>
      </c>
      <c r="L7" s="7" t="s">
        <v>9226</v>
      </c>
      <c r="M7" s="7" t="s">
        <v>9227</v>
      </c>
      <c r="N7" s="7" t="s">
        <v>9228</v>
      </c>
      <c r="O7" s="7" t="s">
        <v>9229</v>
      </c>
      <c r="P7" s="7" t="s">
        <v>9230</v>
      </c>
      <c r="Q7" s="106"/>
      <c r="R7" s="169" t="s">
        <v>9231</v>
      </c>
      <c r="S7" s="28" t="s">
        <v>9232</v>
      </c>
      <c r="T7" s="28" t="s">
        <v>9233</v>
      </c>
      <c r="U7" s="28" t="s">
        <v>9234</v>
      </c>
      <c r="V7" s="87"/>
    </row>
    <row r="8" spans="1:22" ht="16.5" thickBot="1" x14ac:dyDescent="0.3">
      <c r="A8" s="178"/>
      <c r="B8" s="89" t="s">
        <v>16</v>
      </c>
      <c r="C8" s="161" t="s">
        <v>9487</v>
      </c>
      <c r="E8" s="7" t="s">
        <v>9235</v>
      </c>
      <c r="F8" s="7" t="s">
        <v>9236</v>
      </c>
      <c r="G8" s="165" t="s">
        <v>9237</v>
      </c>
      <c r="H8" s="7" t="s">
        <v>9238</v>
      </c>
      <c r="I8" s="165" t="s">
        <v>9239</v>
      </c>
      <c r="J8" s="7" t="s">
        <v>9240</v>
      </c>
      <c r="K8" s="163" t="s">
        <v>9241</v>
      </c>
      <c r="L8" s="7" t="s">
        <v>9242</v>
      </c>
      <c r="M8" s="7" t="s">
        <v>9243</v>
      </c>
      <c r="N8" s="7" t="s">
        <v>9244</v>
      </c>
      <c r="O8" s="7" t="s">
        <v>9245</v>
      </c>
      <c r="P8" s="7" t="s">
        <v>9440</v>
      </c>
      <c r="Q8" s="106"/>
      <c r="R8" s="7" t="s">
        <v>9246</v>
      </c>
      <c r="S8" s="87"/>
      <c r="T8" s="28" t="s">
        <v>9247</v>
      </c>
      <c r="U8" s="28" t="s">
        <v>9248</v>
      </c>
      <c r="V8" s="87"/>
    </row>
    <row r="9" spans="1:22" ht="30" customHeight="1" thickBot="1" x14ac:dyDescent="0.3">
      <c r="A9" s="178"/>
      <c r="B9" s="89" t="s">
        <v>17</v>
      </c>
      <c r="C9" s="161" t="s">
        <v>9488</v>
      </c>
      <c r="E9" s="7" t="s">
        <v>9249</v>
      </c>
      <c r="F9" s="7" t="s">
        <v>9250</v>
      </c>
      <c r="G9" s="165" t="s">
        <v>9251</v>
      </c>
      <c r="H9" s="7" t="s">
        <v>9252</v>
      </c>
      <c r="I9" s="165" t="s">
        <v>9253</v>
      </c>
      <c r="J9" s="7" t="s">
        <v>9254</v>
      </c>
      <c r="K9" s="163" t="s">
        <v>9255</v>
      </c>
      <c r="L9" s="7" t="s">
        <v>9177</v>
      </c>
      <c r="M9" s="7" t="s">
        <v>9256</v>
      </c>
      <c r="N9" s="7" t="s">
        <v>9257</v>
      </c>
      <c r="O9" s="7" t="s">
        <v>9258</v>
      </c>
      <c r="P9" s="7" t="s">
        <v>9441</v>
      </c>
      <c r="Q9" s="106"/>
      <c r="R9" s="7" t="s">
        <v>9259</v>
      </c>
      <c r="S9" s="87"/>
      <c r="T9" s="28" t="s">
        <v>9260</v>
      </c>
      <c r="U9" s="28" t="s">
        <v>9261</v>
      </c>
      <c r="V9" s="87"/>
    </row>
    <row r="10" spans="1:22" ht="16.5" thickBot="1" x14ac:dyDescent="0.3">
      <c r="A10" s="178"/>
      <c r="B10" s="89" t="s">
        <v>9149</v>
      </c>
      <c r="C10" s="161" t="s">
        <v>9489</v>
      </c>
      <c r="E10" s="7" t="s">
        <v>9262</v>
      </c>
      <c r="F10" s="28" t="s">
        <v>9263</v>
      </c>
      <c r="G10" s="166" t="s">
        <v>9264</v>
      </c>
      <c r="H10" s="7" t="s">
        <v>9265</v>
      </c>
      <c r="I10" s="165" t="s">
        <v>9266</v>
      </c>
      <c r="J10" s="7" t="s">
        <v>9267</v>
      </c>
      <c r="K10" s="165" t="s">
        <v>9268</v>
      </c>
      <c r="L10" s="7" t="s">
        <v>9269</v>
      </c>
      <c r="M10" s="7" t="s">
        <v>9270</v>
      </c>
      <c r="N10" s="7" t="s">
        <v>9271</v>
      </c>
      <c r="O10" s="28" t="s">
        <v>9272</v>
      </c>
      <c r="P10" s="7" t="s">
        <v>9273</v>
      </c>
      <c r="Q10" s="106"/>
      <c r="R10" s="7" t="s">
        <v>9274</v>
      </c>
      <c r="S10" s="87"/>
      <c r="T10" s="28" t="s">
        <v>9275</v>
      </c>
      <c r="U10" s="28" t="s">
        <v>9276</v>
      </c>
      <c r="V10" s="87"/>
    </row>
    <row r="11" spans="1:22" ht="16.5" thickBot="1" x14ac:dyDescent="0.3">
      <c r="A11" s="178"/>
      <c r="B11" s="88" t="s">
        <v>9150</v>
      </c>
      <c r="C11" s="161" t="s">
        <v>9490</v>
      </c>
      <c r="E11" s="7" t="s">
        <v>9278</v>
      </c>
      <c r="F11" s="28" t="s">
        <v>9279</v>
      </c>
      <c r="G11" s="7" t="s">
        <v>9280</v>
      </c>
      <c r="H11" s="7" t="s">
        <v>9281</v>
      </c>
      <c r="I11" s="165" t="s">
        <v>9282</v>
      </c>
      <c r="J11" s="7" t="s">
        <v>9283</v>
      </c>
      <c r="K11" s="165" t="s">
        <v>9284</v>
      </c>
      <c r="L11" s="7" t="s">
        <v>9285</v>
      </c>
      <c r="M11" s="163" t="s">
        <v>9286</v>
      </c>
      <c r="N11" s="7" t="s">
        <v>9287</v>
      </c>
      <c r="O11" s="28" t="s">
        <v>9288</v>
      </c>
      <c r="P11" s="7" t="s">
        <v>9289</v>
      </c>
      <c r="Q11" s="106"/>
      <c r="R11" s="7" t="s">
        <v>9290</v>
      </c>
      <c r="S11" s="87"/>
      <c r="T11" s="28" t="s">
        <v>9291</v>
      </c>
      <c r="U11" s="28" t="s">
        <v>9292</v>
      </c>
      <c r="V11" s="87"/>
    </row>
    <row r="12" spans="1:22" ht="30.75" thickBot="1" x14ac:dyDescent="0.3">
      <c r="A12" s="178"/>
      <c r="B12" s="88" t="s">
        <v>18</v>
      </c>
      <c r="C12" s="161" t="s">
        <v>9491</v>
      </c>
      <c r="E12" s="7" t="s">
        <v>9422</v>
      </c>
      <c r="F12" s="28" t="s">
        <v>9294</v>
      </c>
      <c r="G12" s="106"/>
      <c r="H12" s="7" t="s">
        <v>9295</v>
      </c>
      <c r="I12" s="165" t="s">
        <v>9296</v>
      </c>
      <c r="J12" s="7" t="s">
        <v>9297</v>
      </c>
      <c r="K12" s="165" t="s">
        <v>9298</v>
      </c>
      <c r="L12" s="7" t="s">
        <v>9299</v>
      </c>
      <c r="M12" s="163" t="s">
        <v>9431</v>
      </c>
      <c r="N12" s="7" t="s">
        <v>9300</v>
      </c>
      <c r="O12" s="28" t="s">
        <v>9301</v>
      </c>
      <c r="P12" s="7" t="s">
        <v>9302</v>
      </c>
      <c r="Q12" s="106"/>
      <c r="R12" s="7" t="s">
        <v>9303</v>
      </c>
      <c r="S12" s="87"/>
      <c r="T12" s="28" t="s">
        <v>9304</v>
      </c>
      <c r="U12" s="28" t="s">
        <v>9305</v>
      </c>
      <c r="V12" s="87"/>
    </row>
    <row r="13" spans="1:22" ht="16.5" thickBot="1" x14ac:dyDescent="0.3">
      <c r="A13" s="178"/>
      <c r="B13" s="88" t="s">
        <v>19</v>
      </c>
      <c r="C13" s="161" t="s">
        <v>9492</v>
      </c>
      <c r="E13" s="7" t="s">
        <v>9423</v>
      </c>
      <c r="F13" s="28" t="s">
        <v>9306</v>
      </c>
      <c r="G13" s="106"/>
      <c r="H13" s="7" t="s">
        <v>9307</v>
      </c>
      <c r="I13" s="16"/>
      <c r="J13" s="7" t="s">
        <v>9308</v>
      </c>
      <c r="K13" s="106"/>
      <c r="L13" s="7" t="s">
        <v>9239</v>
      </c>
      <c r="M13" s="163" t="s">
        <v>9432</v>
      </c>
      <c r="N13" s="7" t="s">
        <v>9309</v>
      </c>
      <c r="O13" s="7" t="s">
        <v>9310</v>
      </c>
      <c r="P13" s="7" t="s">
        <v>9311</v>
      </c>
      <c r="Q13" s="106"/>
      <c r="R13" s="7" t="s">
        <v>9436</v>
      </c>
      <c r="S13" s="87"/>
      <c r="T13" s="28" t="s">
        <v>9312</v>
      </c>
      <c r="U13" s="28" t="s">
        <v>9313</v>
      </c>
      <c r="V13" s="87"/>
    </row>
    <row r="14" spans="1:22" ht="30.75" thickBot="1" x14ac:dyDescent="0.3">
      <c r="A14" s="178"/>
      <c r="B14" s="88" t="s">
        <v>20</v>
      </c>
      <c r="C14" s="161" t="s">
        <v>9314</v>
      </c>
      <c r="E14" s="7" t="s">
        <v>9438</v>
      </c>
      <c r="F14" s="28" t="s">
        <v>9315</v>
      </c>
      <c r="G14" s="106"/>
      <c r="H14" s="7" t="s">
        <v>9316</v>
      </c>
      <c r="I14" s="106"/>
      <c r="J14" s="7" t="s">
        <v>9317</v>
      </c>
      <c r="K14" s="106"/>
      <c r="L14" s="7" t="s">
        <v>9318</v>
      </c>
      <c r="M14" s="163" t="s">
        <v>9348</v>
      </c>
      <c r="N14" s="7" t="s">
        <v>9319</v>
      </c>
      <c r="O14" s="7" t="s">
        <v>9320</v>
      </c>
      <c r="P14" s="7" t="s">
        <v>9321</v>
      </c>
      <c r="Q14" s="106"/>
      <c r="R14" s="168"/>
      <c r="S14" s="87"/>
      <c r="T14" s="28" t="s">
        <v>9322</v>
      </c>
      <c r="U14" s="28" t="s">
        <v>9323</v>
      </c>
    </row>
    <row r="15" spans="1:22" ht="16.5" thickBot="1" x14ac:dyDescent="0.3">
      <c r="A15" s="179"/>
      <c r="B15" s="88" t="s">
        <v>23</v>
      </c>
      <c r="C15" s="161" t="s">
        <v>9412</v>
      </c>
      <c r="E15" s="7" t="s">
        <v>9439</v>
      </c>
      <c r="F15" s="28" t="s">
        <v>9324</v>
      </c>
      <c r="G15" s="106"/>
      <c r="H15" s="7" t="s">
        <v>9434</v>
      </c>
      <c r="I15" s="106"/>
      <c r="J15" s="28" t="s">
        <v>9414</v>
      </c>
      <c r="K15" s="106"/>
      <c r="L15" s="7" t="s">
        <v>9325</v>
      </c>
      <c r="M15" s="163" t="s">
        <v>9353</v>
      </c>
      <c r="N15" s="7" t="s">
        <v>9326</v>
      </c>
      <c r="O15" s="7" t="s">
        <v>9327</v>
      </c>
      <c r="P15" s="7" t="s">
        <v>9328</v>
      </c>
      <c r="Q15" s="106"/>
      <c r="R15" s="106"/>
      <c r="S15" s="16"/>
      <c r="T15" s="28" t="s">
        <v>9329</v>
      </c>
      <c r="U15" s="28" t="s">
        <v>9330</v>
      </c>
    </row>
    <row r="16" spans="1:22" ht="32.25" thickBot="1" x14ac:dyDescent="0.3">
      <c r="A16" s="175" t="s">
        <v>9277</v>
      </c>
      <c r="B16" s="90" t="s">
        <v>22</v>
      </c>
      <c r="C16" s="161" t="s">
        <v>9413</v>
      </c>
      <c r="F16" s="28" t="s">
        <v>9437</v>
      </c>
      <c r="J16" s="28" t="s">
        <v>9433</v>
      </c>
      <c r="L16" s="28" t="s">
        <v>9331</v>
      </c>
      <c r="M16" s="164" t="s">
        <v>9358</v>
      </c>
      <c r="O16" s="28" t="s">
        <v>9254</v>
      </c>
      <c r="P16" s="28" t="s">
        <v>9332</v>
      </c>
      <c r="R16" s="16"/>
      <c r="S16" s="87"/>
      <c r="T16" s="28" t="s">
        <v>9333</v>
      </c>
      <c r="U16" s="28" t="s">
        <v>9334</v>
      </c>
    </row>
    <row r="17" spans="1:21" ht="32.25" thickBot="1" x14ac:dyDescent="0.3">
      <c r="A17" s="175"/>
      <c r="B17" s="90" t="s">
        <v>9152</v>
      </c>
      <c r="C17" s="161" t="s">
        <v>9293</v>
      </c>
      <c r="L17" s="28" t="s">
        <v>9338</v>
      </c>
      <c r="M17" s="164" t="s">
        <v>9348</v>
      </c>
      <c r="O17" s="28" t="s">
        <v>9339</v>
      </c>
      <c r="P17" s="28" t="s">
        <v>9340</v>
      </c>
      <c r="S17" s="87"/>
      <c r="T17" s="28" t="s">
        <v>9341</v>
      </c>
      <c r="U17" s="28" t="s">
        <v>9342</v>
      </c>
    </row>
    <row r="18" spans="1:21" ht="30" x14ac:dyDescent="0.25">
      <c r="A18" s="174" t="s">
        <v>9335</v>
      </c>
      <c r="B18" s="89" t="s">
        <v>9336</v>
      </c>
      <c r="C18" s="6" t="s">
        <v>9337</v>
      </c>
      <c r="L18" s="14" t="s">
        <v>9344</v>
      </c>
      <c r="O18" s="28" t="s">
        <v>9345</v>
      </c>
      <c r="P18" s="28" t="s">
        <v>9346</v>
      </c>
      <c r="S18" s="87"/>
      <c r="T18" s="28" t="s">
        <v>9347</v>
      </c>
      <c r="U18" s="28" t="s">
        <v>9151</v>
      </c>
    </row>
    <row r="19" spans="1:21" ht="15.75" x14ac:dyDescent="0.25">
      <c r="A19" s="174"/>
      <c r="B19" s="89" t="s">
        <v>24</v>
      </c>
      <c r="C19" s="6" t="s">
        <v>9343</v>
      </c>
      <c r="L19" s="14" t="s">
        <v>9348</v>
      </c>
      <c r="O19" s="28" t="s">
        <v>9349</v>
      </c>
      <c r="P19" s="28" t="s">
        <v>9350</v>
      </c>
      <c r="S19" s="87"/>
      <c r="T19" s="28" t="s">
        <v>9351</v>
      </c>
      <c r="U19" s="28" t="s">
        <v>9352</v>
      </c>
    </row>
    <row r="20" spans="1:21" ht="30" x14ac:dyDescent="0.25">
      <c r="L20" s="14" t="s">
        <v>9353</v>
      </c>
      <c r="O20" s="28" t="s">
        <v>9354</v>
      </c>
      <c r="P20" s="28" t="s">
        <v>9355</v>
      </c>
      <c r="T20" s="28" t="s">
        <v>9356</v>
      </c>
      <c r="U20" s="28" t="s">
        <v>9357</v>
      </c>
    </row>
    <row r="21" spans="1:21" x14ac:dyDescent="0.25">
      <c r="L21" s="14" t="s">
        <v>9358</v>
      </c>
      <c r="O21" s="28" t="s">
        <v>9359</v>
      </c>
      <c r="P21" s="28" t="s">
        <v>9360</v>
      </c>
      <c r="T21" s="28" t="s">
        <v>9361</v>
      </c>
      <c r="U21" s="28" t="s">
        <v>9362</v>
      </c>
    </row>
    <row r="22" spans="1:21" x14ac:dyDescent="0.25">
      <c r="L22" s="14" t="s">
        <v>9415</v>
      </c>
      <c r="O22" s="28" t="s">
        <v>9363</v>
      </c>
      <c r="T22" s="28" t="s">
        <v>9364</v>
      </c>
      <c r="U22" s="28" t="s">
        <v>9365</v>
      </c>
    </row>
    <row r="23" spans="1:21" x14ac:dyDescent="0.25">
      <c r="L23" s="14" t="s">
        <v>9416</v>
      </c>
      <c r="O23" s="28" t="s">
        <v>9366</v>
      </c>
      <c r="T23" s="28" t="s">
        <v>9367</v>
      </c>
      <c r="U23" s="28" t="s">
        <v>9368</v>
      </c>
    </row>
    <row r="24" spans="1:21" x14ac:dyDescent="0.25">
      <c r="L24" s="14" t="s">
        <v>9419</v>
      </c>
      <c r="O24" s="28" t="s">
        <v>9369</v>
      </c>
      <c r="T24" s="28" t="s">
        <v>9370</v>
      </c>
      <c r="U24" s="28" t="s">
        <v>9371</v>
      </c>
    </row>
    <row r="25" spans="1:21" x14ac:dyDescent="0.25">
      <c r="O25" s="28" t="s">
        <v>9372</v>
      </c>
      <c r="T25" s="28" t="s">
        <v>9373</v>
      </c>
      <c r="U25" s="28" t="s">
        <v>9373</v>
      </c>
    </row>
    <row r="26" spans="1:21" x14ac:dyDescent="0.25">
      <c r="T26" s="28" t="s">
        <v>9374</v>
      </c>
      <c r="U26" s="14" t="s">
        <v>9375</v>
      </c>
    </row>
    <row r="27" spans="1:21" x14ac:dyDescent="0.25">
      <c r="T27" s="28" t="s">
        <v>9375</v>
      </c>
      <c r="U27" s="28" t="s">
        <v>9375</v>
      </c>
    </row>
    <row r="28" spans="1:21" x14ac:dyDescent="0.25">
      <c r="T28" s="28" t="s">
        <v>9357</v>
      </c>
      <c r="U28" s="14" t="s">
        <v>9357</v>
      </c>
    </row>
    <row r="29" spans="1:21" x14ac:dyDescent="0.25">
      <c r="T29" s="28" t="s">
        <v>9417</v>
      </c>
      <c r="U29" s="28" t="s">
        <v>9417</v>
      </c>
    </row>
    <row r="30" spans="1:21" x14ac:dyDescent="0.25">
      <c r="T30" s="28" t="s">
        <v>9418</v>
      </c>
      <c r="U30" s="14" t="s">
        <v>9418</v>
      </c>
    </row>
    <row r="31" spans="1:21" x14ac:dyDescent="0.25">
      <c r="T31" s="28" t="s">
        <v>9420</v>
      </c>
      <c r="U31" s="28" t="s">
        <v>9420</v>
      </c>
    </row>
    <row r="32" spans="1:21" x14ac:dyDescent="0.25">
      <c r="T32" s="28" t="s">
        <v>9421</v>
      </c>
      <c r="U32" s="14" t="s">
        <v>9421</v>
      </c>
    </row>
  </sheetData>
  <mergeCells count="4">
    <mergeCell ref="A18:A19"/>
    <mergeCell ref="A16:A17"/>
    <mergeCell ref="A1:C1"/>
    <mergeCell ref="A2:A15"/>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5BC9-1797-44B8-AC34-9C2CBFF0B6A7}">
  <dimension ref="A1:AH49"/>
  <sheetViews>
    <sheetView topLeftCell="Q1" zoomScale="115" zoomScaleNormal="115" workbookViewId="0">
      <selection activeCell="Z2" sqref="Z2"/>
    </sheetView>
  </sheetViews>
  <sheetFormatPr defaultColWidth="8.85546875" defaultRowHeight="15" x14ac:dyDescent="0.25"/>
  <cols>
    <col min="1" max="1" width="16.85546875" customWidth="1"/>
    <col min="2" max="3" width="28.28515625" customWidth="1"/>
    <col min="4" max="4" width="13" customWidth="1"/>
    <col min="5" max="5" width="9" customWidth="1"/>
    <col min="6" max="6" width="14.28515625" customWidth="1"/>
    <col min="7" max="7" width="16.140625" customWidth="1"/>
    <col min="8" max="8" width="21" customWidth="1"/>
    <col min="9" max="9" width="16.85546875" customWidth="1"/>
    <col min="10" max="10" width="19.28515625" customWidth="1"/>
    <col min="11" max="11" width="12.42578125" customWidth="1"/>
    <col min="12" max="12" width="13" customWidth="1"/>
    <col min="13" max="15" width="17.42578125" customWidth="1"/>
    <col min="16" max="16" width="14" customWidth="1"/>
    <col min="17" max="18" width="15.28515625" customWidth="1"/>
    <col min="19" max="19" width="10.42578125" customWidth="1"/>
    <col min="20" max="20" width="16" customWidth="1"/>
    <col min="21" max="21" width="23" customWidth="1"/>
    <col min="22" max="22" width="13.85546875" customWidth="1"/>
    <col min="23" max="23" width="10.42578125" customWidth="1"/>
    <col min="24" max="25" width="10.140625" customWidth="1"/>
    <col min="26" max="26" width="12" customWidth="1"/>
    <col min="27" max="27" width="5.42578125" customWidth="1"/>
    <col min="28" max="28" width="6.85546875" customWidth="1"/>
    <col min="30" max="30" width="9.28515625" customWidth="1"/>
  </cols>
  <sheetData>
    <row r="1" spans="1:25" x14ac:dyDescent="0.25">
      <c r="A1" s="184" t="s">
        <v>9376</v>
      </c>
      <c r="B1" s="184"/>
      <c r="C1" s="184"/>
      <c r="D1" s="184"/>
      <c r="E1" s="184"/>
      <c r="F1" s="184"/>
      <c r="G1" s="184"/>
      <c r="H1" s="184"/>
      <c r="I1" s="184"/>
      <c r="J1" s="184"/>
      <c r="K1" s="184"/>
      <c r="L1" s="184"/>
      <c r="M1" s="184"/>
      <c r="N1" s="184"/>
      <c r="O1" s="184"/>
      <c r="P1" s="184"/>
      <c r="Q1" s="184"/>
      <c r="R1" s="184"/>
      <c r="S1" s="184"/>
      <c r="T1" s="184"/>
      <c r="U1" s="184"/>
      <c r="V1" s="184"/>
      <c r="W1" s="184"/>
      <c r="X1" s="184"/>
      <c r="Y1" s="184"/>
    </row>
    <row r="2" spans="1:25" s="1" customFormat="1" ht="60.75" customHeight="1" x14ac:dyDescent="0.25">
      <c r="A2" s="81" t="s">
        <v>8</v>
      </c>
      <c r="B2" s="82" t="s">
        <v>7</v>
      </c>
      <c r="C2" s="82" t="s">
        <v>9</v>
      </c>
      <c r="D2" s="82" t="s">
        <v>9430</v>
      </c>
      <c r="E2" s="66" t="s">
        <v>9429</v>
      </c>
      <c r="F2" s="82" t="s">
        <v>10</v>
      </c>
      <c r="G2" s="82" t="s">
        <v>11</v>
      </c>
      <c r="H2" s="82" t="s">
        <v>12</v>
      </c>
      <c r="I2" s="82" t="s">
        <v>13</v>
      </c>
      <c r="J2" s="82" t="s">
        <v>14</v>
      </c>
      <c r="K2" s="82" t="s">
        <v>15</v>
      </c>
      <c r="L2" s="82" t="s">
        <v>16</v>
      </c>
      <c r="M2" s="82" t="s">
        <v>17</v>
      </c>
      <c r="N2" s="82" t="s">
        <v>9149</v>
      </c>
      <c r="O2" s="82" t="s">
        <v>9150</v>
      </c>
      <c r="P2" s="82" t="s">
        <v>18</v>
      </c>
      <c r="Q2" s="82" t="s">
        <v>19</v>
      </c>
      <c r="R2" s="82" t="s">
        <v>20</v>
      </c>
      <c r="S2" s="82" t="s">
        <v>21</v>
      </c>
      <c r="T2" s="82" t="s">
        <v>22</v>
      </c>
      <c r="U2" s="82" t="s">
        <v>23</v>
      </c>
      <c r="V2" s="82" t="s">
        <v>24</v>
      </c>
      <c r="W2" s="82" t="s">
        <v>201</v>
      </c>
      <c r="X2" s="82" t="s">
        <v>27</v>
      </c>
      <c r="Y2" s="75" t="s">
        <v>9377</v>
      </c>
    </row>
    <row r="3" spans="1:25" x14ac:dyDescent="0.25">
      <c r="A3" s="62" t="s">
        <v>8977</v>
      </c>
      <c r="B3" s="70" t="s">
        <v>9378</v>
      </c>
      <c r="C3" s="71" t="s">
        <v>9379</v>
      </c>
      <c r="D3" s="129">
        <v>1</v>
      </c>
      <c r="E3" s="131">
        <v>0</v>
      </c>
      <c r="F3" s="34">
        <f>('Martha McSally'!K87)</f>
        <v>17</v>
      </c>
      <c r="G3" s="34">
        <f>('Martha McSally'!L87)</f>
        <v>10</v>
      </c>
      <c r="H3" s="34">
        <f>('Martha McSally'!M87)</f>
        <v>19</v>
      </c>
      <c r="I3" s="34">
        <f>('Martha McSally'!N87)</f>
        <v>6</v>
      </c>
      <c r="J3" s="34">
        <f>('Martha McSally'!O87)</f>
        <v>1</v>
      </c>
      <c r="K3" s="34">
        <f>('Martha McSally'!P87)</f>
        <v>6</v>
      </c>
      <c r="L3" s="34">
        <f>('Martha McSally'!Q87)</f>
        <v>1</v>
      </c>
      <c r="M3" s="34">
        <f>('Martha McSally'!R87)</f>
        <v>0</v>
      </c>
      <c r="N3" s="34">
        <f>('Martha McSally'!S87)</f>
        <v>1</v>
      </c>
      <c r="O3" s="34">
        <f>('Martha McSally'!T87)</f>
        <v>4</v>
      </c>
      <c r="P3" s="34">
        <f>('Martha McSally'!U87)</f>
        <v>5</v>
      </c>
      <c r="Q3" s="34">
        <f>('Martha McSally'!V87)</f>
        <v>0</v>
      </c>
      <c r="R3" s="34">
        <f>('Martha McSally'!W87)</f>
        <v>4</v>
      </c>
      <c r="S3" s="34">
        <f>('Martha McSally'!X87)</f>
        <v>9</v>
      </c>
      <c r="T3" s="34">
        <f>('Martha McSally'!Y87)</f>
        <v>7</v>
      </c>
      <c r="U3" s="34">
        <f>('Martha McSally'!Z87)</f>
        <v>5</v>
      </c>
      <c r="V3" s="34">
        <f>('Martha McSally'!AA87)</f>
        <v>22</v>
      </c>
      <c r="W3" s="34">
        <f>('Martha McSally'!AC87)</f>
        <v>22</v>
      </c>
      <c r="X3" s="34">
        <f>('Martha McSally'!AD87)</f>
        <v>2</v>
      </c>
      <c r="Y3" s="74">
        <f>COUNT('Martha McSally'!A2:A1880)</f>
        <v>85</v>
      </c>
    </row>
    <row r="4" spans="1:25" s="105" customFormat="1" x14ac:dyDescent="0.25">
      <c r="A4" s="96" t="s">
        <v>8977</v>
      </c>
      <c r="B4" s="73" t="s">
        <v>9380</v>
      </c>
      <c r="C4" s="73" t="s">
        <v>9381</v>
      </c>
      <c r="D4" s="73">
        <v>0</v>
      </c>
      <c r="E4" s="132">
        <v>1</v>
      </c>
      <c r="F4" s="9">
        <f>('Mark Kelly'!K234)</f>
        <v>34</v>
      </c>
      <c r="G4" s="9">
        <f>('Mark Kelly'!L234)</f>
        <v>43</v>
      </c>
      <c r="H4" s="9">
        <f>('Mark Kelly'!M234)</f>
        <v>0</v>
      </c>
      <c r="I4" s="9">
        <f>('Mark Kelly'!N234)</f>
        <v>32</v>
      </c>
      <c r="J4" s="9">
        <f>('Mark Kelly'!O234)</f>
        <v>1</v>
      </c>
      <c r="K4" s="9">
        <f>('Mark Kelly'!P234)</f>
        <v>2</v>
      </c>
      <c r="L4" s="9">
        <f>('Mark Kelly'!Q234)</f>
        <v>2</v>
      </c>
      <c r="M4" s="9">
        <f>('Mark Kelly'!R234)</f>
        <v>12</v>
      </c>
      <c r="N4" s="9">
        <f>('Mark Kelly'!S234)</f>
        <v>9</v>
      </c>
      <c r="O4" s="9">
        <f>('Mark Kelly'!T234)</f>
        <v>3</v>
      </c>
      <c r="P4" s="9">
        <f>('Mark Kelly'!U234)</f>
        <v>8</v>
      </c>
      <c r="Q4" s="9">
        <f>('Mark Kelly'!V234)</f>
        <v>0</v>
      </c>
      <c r="R4" s="9">
        <f>('Mark Kelly'!W234)</f>
        <v>0</v>
      </c>
      <c r="S4" s="9">
        <f>('Mark Kelly'!X234)</f>
        <v>64</v>
      </c>
      <c r="T4" s="9">
        <f>('Mark Kelly'!Y234)</f>
        <v>10</v>
      </c>
      <c r="U4" s="9">
        <f>('Mark Kelly'!Z234)</f>
        <v>16</v>
      </c>
      <c r="V4" s="9">
        <f>('Mark Kelly'!AA234)</f>
        <v>64</v>
      </c>
      <c r="W4" s="9">
        <f>('Mark Kelly'!AC234)</f>
        <v>62</v>
      </c>
      <c r="X4" s="9">
        <f>('Mark Kelly'!AD234)</f>
        <v>65</v>
      </c>
      <c r="Y4" s="99">
        <f>COUNT('Mark Kelly'!A2:A1811)</f>
        <v>232</v>
      </c>
    </row>
    <row r="5" spans="1:25" x14ac:dyDescent="0.25">
      <c r="A5" s="62" t="s">
        <v>8998</v>
      </c>
      <c r="B5" s="70" t="s">
        <v>9382</v>
      </c>
      <c r="C5" s="71" t="s">
        <v>9379</v>
      </c>
      <c r="D5" s="129">
        <v>1</v>
      </c>
      <c r="E5" s="131">
        <v>0</v>
      </c>
      <c r="F5" s="34">
        <f>('David Perdue'!K196)</f>
        <v>41</v>
      </c>
      <c r="G5" s="34">
        <f>('David Perdue'!L196)</f>
        <v>10</v>
      </c>
      <c r="H5" s="34">
        <f>('David Perdue'!M196)</f>
        <v>15</v>
      </c>
      <c r="I5" s="34">
        <f>('David Perdue'!N196)</f>
        <v>22</v>
      </c>
      <c r="J5" s="34">
        <f>('David Perdue'!O196)</f>
        <v>1</v>
      </c>
      <c r="K5" s="34">
        <f>('David Perdue'!P196)</f>
        <v>9</v>
      </c>
      <c r="L5" s="34">
        <f>('David Perdue'!Q196)</f>
        <v>2</v>
      </c>
      <c r="M5" s="34">
        <f>('David Perdue'!R196)</f>
        <v>1</v>
      </c>
      <c r="N5" s="34">
        <f>('David Perdue'!S196)</f>
        <v>7</v>
      </c>
      <c r="O5" s="34">
        <f>('David Perdue'!T196)</f>
        <v>0</v>
      </c>
      <c r="P5" s="34">
        <f>('David Perdue'!S196)</f>
        <v>7</v>
      </c>
      <c r="Q5" s="34">
        <f>('David Perdue'!U196)</f>
        <v>0</v>
      </c>
      <c r="R5" s="34">
        <f>('David Perdue'!V196)</f>
        <v>21</v>
      </c>
      <c r="S5" s="34">
        <f>('David Perdue'!W196)</f>
        <v>43</v>
      </c>
      <c r="T5" s="34">
        <f>('David Perdue'!X196)</f>
        <v>95</v>
      </c>
      <c r="U5" s="34">
        <f>('David Perdue'!Y196)</f>
        <v>0</v>
      </c>
      <c r="V5" s="34">
        <f>('David Perdue'!Z196)</f>
        <v>37</v>
      </c>
      <c r="W5" s="34">
        <f>('David Perdue'!AB196)</f>
        <v>78</v>
      </c>
      <c r="X5" s="34">
        <f>('David Perdue'!AC196)</f>
        <v>70</v>
      </c>
      <c r="Y5" s="74">
        <f>COUNT('David Perdue'!A2:A1718)</f>
        <v>194</v>
      </c>
    </row>
    <row r="6" spans="1:25" s="105" customFormat="1" x14ac:dyDescent="0.25">
      <c r="A6" s="96" t="s">
        <v>8998</v>
      </c>
      <c r="B6" s="73" t="s">
        <v>9383</v>
      </c>
      <c r="C6" s="73" t="s">
        <v>9381</v>
      </c>
      <c r="D6" s="73">
        <v>0</v>
      </c>
      <c r="E6" s="132">
        <v>1</v>
      </c>
      <c r="F6" s="9">
        <f>('Jon Ossoff'!K257)</f>
        <v>11</v>
      </c>
      <c r="G6" s="9">
        <f>('Jon Ossoff'!L257)</f>
        <v>26</v>
      </c>
      <c r="H6" s="9">
        <f>('Jon Ossoff'!M257)</f>
        <v>5</v>
      </c>
      <c r="I6" s="9">
        <f>('Jon Ossoff'!N257)</f>
        <v>24</v>
      </c>
      <c r="J6" s="9">
        <f>('Jon Ossoff'!O257)</f>
        <v>5</v>
      </c>
      <c r="K6" s="9">
        <f>('Jon Ossoff'!P257)</f>
        <v>11</v>
      </c>
      <c r="L6" s="9">
        <f>('Jon Ossoff'!Q257)</f>
        <v>0</v>
      </c>
      <c r="M6" s="9">
        <f>('Jon Ossoff'!R257)</f>
        <v>2</v>
      </c>
      <c r="N6" s="9">
        <f>('Jon Ossoff'!S257)</f>
        <v>0</v>
      </c>
      <c r="O6" s="9">
        <f>('Jon Ossoff'!T257)</f>
        <v>0</v>
      </c>
      <c r="P6" s="9">
        <f>('Jon Ossoff'!U257)</f>
        <v>4</v>
      </c>
      <c r="Q6" s="9">
        <f>('Jon Ossoff'!V257)</f>
        <v>0</v>
      </c>
      <c r="R6" s="9">
        <f>('Jon Ossoff'!W257)</f>
        <v>14</v>
      </c>
      <c r="S6" s="9">
        <f>('Jon Ossoff'!X257)</f>
        <v>118</v>
      </c>
      <c r="T6" s="9">
        <f>('Jon Ossoff'!Y257)</f>
        <v>85</v>
      </c>
      <c r="U6" s="9">
        <f>('Jon Ossoff'!Z257)</f>
        <v>0</v>
      </c>
      <c r="V6" s="9">
        <f>('Jon Ossoff'!AA257)</f>
        <v>58</v>
      </c>
      <c r="W6" s="9">
        <f>('Jon Ossoff'!AC257)</f>
        <v>34</v>
      </c>
      <c r="X6" s="9">
        <f>('Jon Ossoff'!AD257)</f>
        <v>80</v>
      </c>
      <c r="Y6" s="99">
        <f>COUNT('Jon Ossoff'!A2:A1657)</f>
        <v>255</v>
      </c>
    </row>
    <row r="7" spans="1:25" s="104" customFormat="1" x14ac:dyDescent="0.25">
      <c r="A7" s="100" t="s">
        <v>9013</v>
      </c>
      <c r="B7" s="101" t="s">
        <v>9384</v>
      </c>
      <c r="C7" s="71" t="s">
        <v>9379</v>
      </c>
      <c r="D7" s="71">
        <v>1</v>
      </c>
      <c r="E7" s="133">
        <v>1</v>
      </c>
      <c r="F7" s="8">
        <f>('Joni Ernst'!K222)</f>
        <v>25</v>
      </c>
      <c r="G7" s="8">
        <f>('Joni Ernst'!L222)</f>
        <v>13</v>
      </c>
      <c r="H7" s="8">
        <f>('Joni Ernst'!M222)</f>
        <v>16</v>
      </c>
      <c r="I7" s="8">
        <f>('Joni Ernst'!N222)</f>
        <v>7</v>
      </c>
      <c r="J7" s="8">
        <f>('Joni Ernst'!O222)</f>
        <v>3</v>
      </c>
      <c r="K7" s="8">
        <f>('Joni Ernst'!P222)</f>
        <v>6</v>
      </c>
      <c r="L7" s="8">
        <f>('Joni Ernst'!Q222)</f>
        <v>4</v>
      </c>
      <c r="M7" s="8">
        <f>('Joni Ernst'!R222)</f>
        <v>2</v>
      </c>
      <c r="N7" s="8">
        <f>('Joni Ernst'!S222)</f>
        <v>2</v>
      </c>
      <c r="O7" s="8">
        <f>('Joni Ernst'!T222)</f>
        <v>1</v>
      </c>
      <c r="P7" s="8">
        <f>('Joni Ernst'!U222)</f>
        <v>10</v>
      </c>
      <c r="Q7" s="8">
        <f>('Joni Ernst'!V222)</f>
        <v>0</v>
      </c>
      <c r="R7" s="8">
        <f>('Joni Ernst'!W222)</f>
        <v>11</v>
      </c>
      <c r="S7" s="8">
        <f>('Joni Ernst'!X222)</f>
        <v>53</v>
      </c>
      <c r="T7" s="8">
        <f>('Joni Ernst'!Y222)</f>
        <v>70</v>
      </c>
      <c r="U7" s="8">
        <f>('Joni Ernst'!Z222)</f>
        <v>7</v>
      </c>
      <c r="V7" s="8">
        <f>('Joni Ernst'!AA222)</f>
        <v>79</v>
      </c>
      <c r="W7" s="8">
        <f>('Joni Ernst'!AC222)</f>
        <v>101</v>
      </c>
      <c r="X7" s="8">
        <f>('Joni Ernst'!AD222)</f>
        <v>51</v>
      </c>
      <c r="Y7" s="103">
        <f>COUNT('Joni Ernst'!A2:A1829)</f>
        <v>220</v>
      </c>
    </row>
    <row r="8" spans="1:25" x14ac:dyDescent="0.25">
      <c r="A8" s="62" t="s">
        <v>9013</v>
      </c>
      <c r="B8" s="72" t="s">
        <v>9385</v>
      </c>
      <c r="C8" s="73" t="s">
        <v>9381</v>
      </c>
      <c r="D8" s="129">
        <v>0</v>
      </c>
      <c r="E8" s="131">
        <v>0</v>
      </c>
      <c r="F8" s="34">
        <f>('Theresa Greenfield'!K224)</f>
        <v>43</v>
      </c>
      <c r="G8" s="34">
        <f>('Theresa Greenfield'!L224)</f>
        <v>40</v>
      </c>
      <c r="H8" s="34">
        <f>('Theresa Greenfield'!M224)</f>
        <v>2</v>
      </c>
      <c r="I8" s="34">
        <f>('Theresa Greenfield'!N224)</f>
        <v>24</v>
      </c>
      <c r="J8" s="34">
        <f>('Theresa Greenfield'!O224)</f>
        <v>0</v>
      </c>
      <c r="K8" s="34">
        <f>('Theresa Greenfield'!P224)</f>
        <v>5</v>
      </c>
      <c r="L8" s="34">
        <f>('Theresa Greenfield'!Q224)</f>
        <v>9</v>
      </c>
      <c r="M8" s="34">
        <f>('Theresa Greenfield'!R224)</f>
        <v>4</v>
      </c>
      <c r="N8" s="34">
        <f>('Theresa Greenfield'!S224)</f>
        <v>0</v>
      </c>
      <c r="O8" s="34">
        <f>('Theresa Greenfield'!T224)</f>
        <v>9</v>
      </c>
      <c r="P8" s="34">
        <f>('Theresa Greenfield'!U224)</f>
        <v>13</v>
      </c>
      <c r="Q8" s="34">
        <f>('Theresa Greenfield'!V224)</f>
        <v>0</v>
      </c>
      <c r="R8" s="34">
        <f>('Theresa Greenfield'!W224)</f>
        <v>2</v>
      </c>
      <c r="S8" s="34">
        <f>('Theresa Greenfield'!X224)</f>
        <v>76</v>
      </c>
      <c r="T8" s="34">
        <f>('Theresa Greenfield'!Y224)</f>
        <v>68</v>
      </c>
      <c r="U8" s="34">
        <f>('Theresa Greenfield'!Z224)</f>
        <v>4</v>
      </c>
      <c r="V8" s="34">
        <f>('Theresa Greenfield'!AA224)</f>
        <v>42</v>
      </c>
      <c r="W8" s="34">
        <f>('Theresa Greenfield'!AC224)</f>
        <v>73</v>
      </c>
      <c r="X8" s="34">
        <f>('Theresa Greenfield'!AD224)</f>
        <v>38</v>
      </c>
      <c r="Y8" s="74">
        <f>COUNT('Theresa Greenfield'!A2:A1792)</f>
        <v>222</v>
      </c>
    </row>
    <row r="9" spans="1:25" s="104" customFormat="1" x14ac:dyDescent="0.25">
      <c r="A9" s="100" t="s">
        <v>9025</v>
      </c>
      <c r="B9" s="101" t="s">
        <v>9386</v>
      </c>
      <c r="C9" s="71" t="s">
        <v>9379</v>
      </c>
      <c r="D9" s="71">
        <v>1</v>
      </c>
      <c r="E9" s="133">
        <v>1</v>
      </c>
      <c r="F9" s="8">
        <f>('Susan Collins'!K258)</f>
        <v>56</v>
      </c>
      <c r="G9" s="8">
        <f>('Susan Collins'!L258)</f>
        <v>19</v>
      </c>
      <c r="H9" s="8">
        <f>('Susan Collins'!M258)</f>
        <v>0</v>
      </c>
      <c r="I9" s="8">
        <f>('Susan Collins'!N258)</f>
        <v>22</v>
      </c>
      <c r="J9" s="8">
        <f>('Susan Collins'!O258)</f>
        <v>1</v>
      </c>
      <c r="K9" s="8">
        <f>('Susan Collins'!P258)</f>
        <v>8</v>
      </c>
      <c r="L9" s="8">
        <f>('Susan Collins'!Q258)</f>
        <v>2</v>
      </c>
      <c r="M9" s="8">
        <f>('Susan Collins'!R258)</f>
        <v>3</v>
      </c>
      <c r="N9" s="8">
        <f>('Susan Collins'!S258)</f>
        <v>1</v>
      </c>
      <c r="O9" s="8">
        <f>('Susan Collins'!T258)</f>
        <v>3</v>
      </c>
      <c r="P9" s="8">
        <f>('Susan Collins'!U258)</f>
        <v>9</v>
      </c>
      <c r="Q9" s="8">
        <f>('Susan Collins'!V258)</f>
        <v>0</v>
      </c>
      <c r="R9" s="8">
        <f>('Susan Collins'!W258)</f>
        <v>2</v>
      </c>
      <c r="S9" s="8">
        <f>('Susan Collins'!X258)</f>
        <v>33</v>
      </c>
      <c r="T9" s="8">
        <f>('Susan Collins'!Y258)</f>
        <v>36</v>
      </c>
      <c r="U9" s="8">
        <f>('Susan Collins'!Z258)</f>
        <v>10</v>
      </c>
      <c r="V9" s="8">
        <f>('Susan Collins'!AA258)</f>
        <v>115</v>
      </c>
      <c r="W9" s="8">
        <f>('Susan Collins'!AC258)</f>
        <v>150</v>
      </c>
      <c r="X9" s="8">
        <f>('Susan Collins'!AD258)</f>
        <v>69</v>
      </c>
      <c r="Y9" s="103">
        <f>COUNT('Susan Collins'!A2:A1849)</f>
        <v>256</v>
      </c>
    </row>
    <row r="10" spans="1:25" x14ac:dyDescent="0.25">
      <c r="A10" s="62" t="s">
        <v>9025</v>
      </c>
      <c r="B10" s="72" t="s">
        <v>9387</v>
      </c>
      <c r="C10" s="73" t="s">
        <v>9381</v>
      </c>
      <c r="D10" s="129">
        <v>0</v>
      </c>
      <c r="E10" s="131">
        <v>0</v>
      </c>
      <c r="F10" s="34">
        <f>('Sara Gideon'!K395)</f>
        <v>40</v>
      </c>
      <c r="G10" s="34">
        <f>('Sara Gideon'!L395)</f>
        <v>110</v>
      </c>
      <c r="H10" s="34">
        <f>('Sara Gideon'!M395)</f>
        <v>39</v>
      </c>
      <c r="I10" s="34">
        <f>('Sara Gideon'!N395)</f>
        <v>50</v>
      </c>
      <c r="J10" s="34">
        <f>('Sara Gideon'!O395)</f>
        <v>0</v>
      </c>
      <c r="K10" s="34">
        <f>('Sara Gideon'!P395)</f>
        <v>7</v>
      </c>
      <c r="L10" s="34">
        <f>('Sara Gideon'!Q395)</f>
        <v>3</v>
      </c>
      <c r="M10" s="34">
        <f>('Sara Gideon'!R395)</f>
        <v>7</v>
      </c>
      <c r="N10" s="34">
        <f>('Sara Gideon'!S395)</f>
        <v>2</v>
      </c>
      <c r="O10" s="34">
        <f>('Sara Gideon'!T395)</f>
        <v>6</v>
      </c>
      <c r="P10" s="34">
        <f>('Sara Gideon'!U395)</f>
        <v>17</v>
      </c>
      <c r="Q10" s="34">
        <f>('Sara Gideon'!V395)</f>
        <v>7</v>
      </c>
      <c r="R10" s="34">
        <f>('Sara Gideon'!W395)</f>
        <v>54</v>
      </c>
      <c r="S10" s="34">
        <f>('Sara Gideon'!X395)</f>
        <v>190</v>
      </c>
      <c r="T10" s="34">
        <f>('Sara Gideon'!Y395)</f>
        <v>160</v>
      </c>
      <c r="U10" s="34">
        <f>('Sara Gideon'!Z395)</f>
        <v>15</v>
      </c>
      <c r="V10" s="34">
        <f>('Sara Gideon'!AA395)</f>
        <v>59</v>
      </c>
      <c r="W10" s="34">
        <f>('Sara Gideon'!AC395)</f>
        <v>107</v>
      </c>
      <c r="X10" s="34">
        <f>('Sara Gideon'!AD395)</f>
        <v>89</v>
      </c>
      <c r="Y10" s="74">
        <f>COUNT('Sara Gideon'!A2:A1798)</f>
        <v>393</v>
      </c>
    </row>
    <row r="11" spans="1:25" s="105" customFormat="1" x14ac:dyDescent="0.25">
      <c r="A11" s="96" t="s">
        <v>9034</v>
      </c>
      <c r="B11" s="97" t="s">
        <v>9388</v>
      </c>
      <c r="C11" s="73" t="s">
        <v>9381</v>
      </c>
      <c r="D11" s="73">
        <v>1</v>
      </c>
      <c r="E11" s="132">
        <v>1</v>
      </c>
      <c r="F11" s="9">
        <f>('Gary Peters'!K244)</f>
        <v>25</v>
      </c>
      <c r="G11" s="9">
        <f>('Gary Peters'!L244)</f>
        <v>42</v>
      </c>
      <c r="H11" s="9">
        <f>('Gary Peters'!M244)</f>
        <v>10</v>
      </c>
      <c r="I11" s="9">
        <f>('Gary Peters'!N244)</f>
        <v>7</v>
      </c>
      <c r="J11" s="9">
        <f>('Gary Peters'!O244)</f>
        <v>5</v>
      </c>
      <c r="K11" s="9">
        <f>('Gary Peters'!P244)</f>
        <v>2</v>
      </c>
      <c r="L11" s="9">
        <f>('Gary Peters'!Q244)</f>
        <v>4</v>
      </c>
      <c r="M11" s="9">
        <f>('Gary Peters'!R244)</f>
        <v>5</v>
      </c>
      <c r="N11" s="9">
        <f>('Gary Peters'!S244)</f>
        <v>0</v>
      </c>
      <c r="O11" s="9">
        <f>('Gary Peters'!T244)</f>
        <v>4</v>
      </c>
      <c r="P11" s="9">
        <f>('Gary Peters'!U244)</f>
        <v>6</v>
      </c>
      <c r="Q11" s="9">
        <f>('Gary Peters'!V244)</f>
        <v>4</v>
      </c>
      <c r="R11" s="9">
        <f>('Gary Peters'!W244)</f>
        <v>18</v>
      </c>
      <c r="S11" s="9">
        <f>('Gary Peters'!X244)</f>
        <v>135</v>
      </c>
      <c r="T11" s="9">
        <f>('Gary Peters'!Y244)</f>
        <v>27</v>
      </c>
      <c r="U11" s="9">
        <f>('Gary Peters'!Z244)</f>
        <v>7</v>
      </c>
      <c r="V11" s="9">
        <f>('Gary Peters'!AA244)</f>
        <v>52</v>
      </c>
      <c r="W11" s="9">
        <f>('Gary Peters'!AC244)</f>
        <v>92</v>
      </c>
      <c r="X11" s="9">
        <f>('Gary Peters'!AD244)</f>
        <v>45</v>
      </c>
      <c r="Y11" s="99">
        <f>COUNT('Gary Peters'!A2:A1866)</f>
        <v>242</v>
      </c>
    </row>
    <row r="12" spans="1:25" x14ac:dyDescent="0.25">
      <c r="A12" s="62" t="s">
        <v>9034</v>
      </c>
      <c r="B12" s="72" t="s">
        <v>9389</v>
      </c>
      <c r="C12" s="71" t="s">
        <v>9379</v>
      </c>
      <c r="D12" s="129">
        <v>0</v>
      </c>
      <c r="E12" s="131">
        <v>0</v>
      </c>
      <c r="F12" s="34">
        <f>('John James'!K57)</f>
        <v>9</v>
      </c>
      <c r="G12" s="34">
        <f>('John James'!L57)</f>
        <v>6</v>
      </c>
      <c r="H12" s="34">
        <f>('John James'!M57)</f>
        <v>0</v>
      </c>
      <c r="I12" s="34">
        <f>('John James'!N57)</f>
        <v>2</v>
      </c>
      <c r="J12" s="34">
        <f>('John James'!O57)</f>
        <v>1</v>
      </c>
      <c r="K12" s="34">
        <f>('John James'!P57)</f>
        <v>6</v>
      </c>
      <c r="L12" s="34">
        <f>('John James'!Q57)</f>
        <v>2</v>
      </c>
      <c r="M12" s="34">
        <f>('John James'!R57)</f>
        <v>4</v>
      </c>
      <c r="N12" s="34">
        <f>('John James'!S57)</f>
        <v>0</v>
      </c>
      <c r="O12" s="34">
        <f>('John James'!T57)</f>
        <v>1</v>
      </c>
      <c r="P12" s="34">
        <f>('John James'!U57)</f>
        <v>0</v>
      </c>
      <c r="Q12" s="34">
        <f>('John James'!V57)</f>
        <v>0</v>
      </c>
      <c r="R12" s="34">
        <f>('John James'!W57)</f>
        <v>2</v>
      </c>
      <c r="S12" s="34">
        <f>('John James'!X57)</f>
        <v>20</v>
      </c>
      <c r="T12" s="34">
        <f>('John James'!Y57)</f>
        <v>22</v>
      </c>
      <c r="U12" s="34">
        <f>('John James'!Z57)</f>
        <v>1</v>
      </c>
      <c r="V12" s="34">
        <f>('John James'!AA57)</f>
        <v>9</v>
      </c>
      <c r="W12" s="34">
        <f>('John James'!AC57)</f>
        <v>20</v>
      </c>
      <c r="X12" s="34">
        <f>('John James'!AD57)</f>
        <v>27</v>
      </c>
      <c r="Y12" s="74">
        <f>COUNT('John James'!A2:A1953)</f>
        <v>55</v>
      </c>
    </row>
    <row r="13" spans="1:25" s="105" customFormat="1" x14ac:dyDescent="0.25">
      <c r="A13" s="96" t="s">
        <v>9037</v>
      </c>
      <c r="B13" s="97" t="s">
        <v>9390</v>
      </c>
      <c r="C13" s="73" t="s">
        <v>9381</v>
      </c>
      <c r="D13" s="73">
        <v>1</v>
      </c>
      <c r="E13" s="132">
        <v>1</v>
      </c>
      <c r="F13" s="9">
        <f>('Tina Smith'!K355)</f>
        <v>22</v>
      </c>
      <c r="G13" s="9">
        <f>('Tina Smith'!L355)</f>
        <v>48</v>
      </c>
      <c r="H13" s="9">
        <f>('Tina Smith'!M355)</f>
        <v>40</v>
      </c>
      <c r="I13" s="9">
        <f>('Tina Smith'!N355)</f>
        <v>42</v>
      </c>
      <c r="J13" s="9">
        <f>('Tina Smith'!O355)</f>
        <v>5</v>
      </c>
      <c r="K13" s="9">
        <f>('Tina Smith'!P355)</f>
        <v>51</v>
      </c>
      <c r="L13" s="9">
        <f>('Tina Smith'!Q355)</f>
        <v>4</v>
      </c>
      <c r="M13" s="9">
        <f>('Tina Smith'!R355)</f>
        <v>16</v>
      </c>
      <c r="N13" s="9">
        <f>('Tina Smith'!S355)</f>
        <v>2</v>
      </c>
      <c r="O13" s="9">
        <f>('Tina Smith'!T355)</f>
        <v>13</v>
      </c>
      <c r="P13" s="9">
        <f>('Tina Smith'!U355)</f>
        <v>21</v>
      </c>
      <c r="Q13" s="9">
        <f>('Tina Smith'!V355)</f>
        <v>10</v>
      </c>
      <c r="R13" s="9">
        <f>('Tina Smith'!W355)</f>
        <v>28</v>
      </c>
      <c r="S13" s="9">
        <f>('Tina Smith'!X355)</f>
        <v>154</v>
      </c>
      <c r="T13" s="9">
        <f>('Tina Smith'!Y355)</f>
        <v>40</v>
      </c>
      <c r="U13" s="9">
        <f>('Tina Smith'!Z355)</f>
        <v>10</v>
      </c>
      <c r="V13" s="9">
        <f>('Tina Smith'!AA355)</f>
        <v>83</v>
      </c>
      <c r="W13" s="9">
        <f>('Tina Smith'!AC355)</f>
        <v>91</v>
      </c>
      <c r="X13" s="9">
        <f>('Tina Smith'!AD355)</f>
        <v>51</v>
      </c>
      <c r="Y13" s="99">
        <f>COUNT('Tina Smith'!A2:A1619)</f>
        <v>353</v>
      </c>
    </row>
    <row r="14" spans="1:25" x14ac:dyDescent="0.25">
      <c r="A14" s="62" t="s">
        <v>9037</v>
      </c>
      <c r="B14" s="72" t="s">
        <v>9391</v>
      </c>
      <c r="C14" s="71" t="s">
        <v>9379</v>
      </c>
      <c r="D14" s="129">
        <v>0</v>
      </c>
      <c r="E14" s="131">
        <v>0</v>
      </c>
      <c r="F14" s="34">
        <f>('Jason Lewis'!K288)</f>
        <v>48</v>
      </c>
      <c r="G14" s="34">
        <f>('Jason Lewis'!L288)</f>
        <v>13</v>
      </c>
      <c r="H14" s="34">
        <f>('Jason Lewis'!M288)</f>
        <v>22</v>
      </c>
      <c r="I14" s="34">
        <f>('Jason Lewis'!N288)</f>
        <v>42</v>
      </c>
      <c r="J14" s="34">
        <f>('Jason Lewis'!O288)</f>
        <v>18</v>
      </c>
      <c r="K14" s="34">
        <f>('Jason Lewis'!P288)</f>
        <v>8</v>
      </c>
      <c r="L14" s="34">
        <f>('Jason Lewis'!Q288)</f>
        <v>18</v>
      </c>
      <c r="M14" s="34">
        <f>('Jason Lewis'!R288)</f>
        <v>20</v>
      </c>
      <c r="N14" s="34">
        <f>('Jason Lewis'!S288)</f>
        <v>5</v>
      </c>
      <c r="O14" s="34">
        <f>('Jason Lewis'!T288)</f>
        <v>7</v>
      </c>
      <c r="P14" s="34">
        <f>('Jason Lewis'!U288)</f>
        <v>21</v>
      </c>
      <c r="Q14" s="34">
        <f>('Jason Lewis'!V288)</f>
        <v>2</v>
      </c>
      <c r="R14" s="34">
        <f>('Jason Lewis'!W288)</f>
        <v>78</v>
      </c>
      <c r="S14" s="34">
        <f>('Jason Lewis'!X288)</f>
        <v>101</v>
      </c>
      <c r="T14" s="34">
        <f>('Jason Lewis'!Y288)</f>
        <v>163</v>
      </c>
      <c r="U14" s="34">
        <f>('Jason Lewis'!Z288)</f>
        <v>1</v>
      </c>
      <c r="V14" s="34">
        <f>('Jason Lewis'!AA288)</f>
        <v>28</v>
      </c>
      <c r="W14" s="34">
        <f>('Jason Lewis'!AC288)</f>
        <v>53</v>
      </c>
      <c r="X14" s="34">
        <f>('Jason Lewis'!AD288)</f>
        <v>25</v>
      </c>
      <c r="Y14" s="74">
        <f>COUNT('Jason Lewis'!A2:A1661)</f>
        <v>286</v>
      </c>
    </row>
    <row r="15" spans="1:25" s="105" customFormat="1" x14ac:dyDescent="0.25">
      <c r="A15" s="96" t="s">
        <v>9055</v>
      </c>
      <c r="B15" s="97" t="s">
        <v>9392</v>
      </c>
      <c r="C15" s="73" t="s">
        <v>9381</v>
      </c>
      <c r="D15" s="73">
        <v>1</v>
      </c>
      <c r="E15" s="132">
        <v>1</v>
      </c>
      <c r="F15" s="9">
        <f>('Jeanne Shaheen'!K177)</f>
        <v>39</v>
      </c>
      <c r="G15" s="9">
        <f>('Jeanne Shaheen'!L177)</f>
        <v>38</v>
      </c>
      <c r="H15" s="9">
        <f>('Jeanne Shaheen'!M177)</f>
        <v>13</v>
      </c>
      <c r="I15" s="9">
        <f>('Jeanne Shaheen'!N177)</f>
        <v>26</v>
      </c>
      <c r="J15" s="9">
        <f>('Jeanne Shaheen'!O177)</f>
        <v>2</v>
      </c>
      <c r="K15" s="9">
        <f>('Jeanne Shaheen'!P177)</f>
        <v>4</v>
      </c>
      <c r="L15" s="9">
        <f>('Jeanne Shaheen'!Q177)</f>
        <v>1</v>
      </c>
      <c r="M15" s="9">
        <f>('Jeanne Shaheen'!R177)</f>
        <v>5</v>
      </c>
      <c r="N15" s="9">
        <f>('Jeanne Shaheen'!S177)</f>
        <v>1</v>
      </c>
      <c r="O15" s="9">
        <f>('Jeanne Shaheen'!T177)</f>
        <v>4</v>
      </c>
      <c r="P15" s="9">
        <f>('Jeanne Shaheen'!U177)</f>
        <v>3</v>
      </c>
      <c r="Q15" s="9">
        <f>('Jeanne Shaheen'!V177)</f>
        <v>5</v>
      </c>
      <c r="R15" s="9">
        <f>('Jeanne Shaheen'!W177)</f>
        <v>9</v>
      </c>
      <c r="S15" s="9">
        <f>('Jeanne Shaheen'!X177)</f>
        <v>75</v>
      </c>
      <c r="T15" s="9">
        <f>('Jeanne Shaheen'!Y177)</f>
        <v>28</v>
      </c>
      <c r="U15" s="9">
        <f>('Jeanne Shaheen'!Z177)</f>
        <v>4</v>
      </c>
      <c r="V15" s="9">
        <f>('Jeanne Shaheen'!AA177)</f>
        <v>33</v>
      </c>
      <c r="W15" s="9">
        <f>('Jeanne Shaheen'!AC177)</f>
        <v>73</v>
      </c>
      <c r="X15" s="9">
        <f>('Jeanne Shaheen'!AD177)</f>
        <v>31</v>
      </c>
      <c r="Y15" s="99">
        <f>COUNT('Jeanne Shaheen'!A2:A1852)</f>
        <v>175</v>
      </c>
    </row>
    <row r="16" spans="1:25" x14ac:dyDescent="0.25">
      <c r="A16" s="62" t="s">
        <v>9055</v>
      </c>
      <c r="B16" s="72" t="s">
        <v>9393</v>
      </c>
      <c r="C16" s="71" t="s">
        <v>9379</v>
      </c>
      <c r="D16" s="129">
        <v>0</v>
      </c>
      <c r="E16" s="131">
        <v>0</v>
      </c>
      <c r="F16" s="34">
        <f>('Corky Messner'!K258)</f>
        <v>19</v>
      </c>
      <c r="G16" s="34">
        <f>('Corky Messner'!L258)</f>
        <v>15</v>
      </c>
      <c r="H16" s="34">
        <f>('Corky Messner'!M258)</f>
        <v>23</v>
      </c>
      <c r="I16" s="34">
        <f>('Corky Messner'!N258)</f>
        <v>22</v>
      </c>
      <c r="J16" s="34">
        <f>('Corky Messner'!O258)</f>
        <v>5</v>
      </c>
      <c r="K16" s="34">
        <f>('Corky Messner'!P258)</f>
        <v>2</v>
      </c>
      <c r="L16" s="34">
        <f>('Corky Messner'!Q258)</f>
        <v>3</v>
      </c>
      <c r="M16" s="34">
        <f>('Corky Messner'!R258)</f>
        <v>3</v>
      </c>
      <c r="N16" s="34">
        <f>('Corky Messner'!S258)</f>
        <v>0</v>
      </c>
      <c r="O16" s="34">
        <f>('Corky Messner'!T258)</f>
        <v>1</v>
      </c>
      <c r="P16" s="34">
        <f>('Corky Messner'!U258)</f>
        <v>6</v>
      </c>
      <c r="Q16" s="34">
        <f>('Corky Messner'!V258)</f>
        <v>0</v>
      </c>
      <c r="R16" s="34">
        <f>('Corky Messner'!W258)</f>
        <v>24</v>
      </c>
      <c r="S16" s="34">
        <f>('Corky Messner'!X258)</f>
        <v>81</v>
      </c>
      <c r="T16" s="34">
        <f>('Corky Messner'!Y258)</f>
        <v>147</v>
      </c>
      <c r="U16" s="34">
        <f>('Corky Messner'!Z258)</f>
        <v>7</v>
      </c>
      <c r="V16" s="34">
        <f>('Corky Messner'!AA258)</f>
        <v>45</v>
      </c>
      <c r="W16" s="34">
        <f>('Corky Messner'!AC258)</f>
        <v>84</v>
      </c>
      <c r="X16" s="34">
        <f>('Corky Messner'!AD258)</f>
        <v>40</v>
      </c>
      <c r="Y16" s="74">
        <f>COUNT('Corky Messner'!A2:A1692)</f>
        <v>256</v>
      </c>
    </row>
    <row r="17" spans="1:30" s="104" customFormat="1" x14ac:dyDescent="0.25">
      <c r="A17" s="100" t="s">
        <v>9067</v>
      </c>
      <c r="B17" s="101" t="s">
        <v>9394</v>
      </c>
      <c r="C17" s="71" t="s">
        <v>9379</v>
      </c>
      <c r="D17" s="71">
        <v>1</v>
      </c>
      <c r="E17" s="133">
        <v>1</v>
      </c>
      <c r="F17" s="8">
        <f>('Thom Tillis'!K184)</f>
        <v>14</v>
      </c>
      <c r="G17" s="8">
        <f>('Thom Tillis'!L184)</f>
        <v>1</v>
      </c>
      <c r="H17" s="8">
        <f>('Thom Tillis'!M184)</f>
        <v>23</v>
      </c>
      <c r="I17" s="8">
        <f>('Thom Tillis'!N184)</f>
        <v>5</v>
      </c>
      <c r="J17" s="8">
        <f>('Thom Tillis'!O184)</f>
        <v>1</v>
      </c>
      <c r="K17" s="8">
        <f>('Thom Tillis'!P184)</f>
        <v>2</v>
      </c>
      <c r="L17" s="8">
        <f>('Thom Tillis'!Q184)</f>
        <v>3</v>
      </c>
      <c r="M17" s="8">
        <f>('Thom Tillis'!R184)</f>
        <v>0</v>
      </c>
      <c r="N17" s="8">
        <f>('Thom Tillis'!S184)</f>
        <v>0</v>
      </c>
      <c r="O17" s="8">
        <f>('Thom Tillis'!T184)</f>
        <v>1</v>
      </c>
      <c r="P17" s="8">
        <f>('Thom Tillis'!U184)</f>
        <v>14</v>
      </c>
      <c r="Q17" s="8">
        <f>('Thom Tillis'!V184)</f>
        <v>0</v>
      </c>
      <c r="R17" s="8">
        <f>('Thom Tillis'!W184)</f>
        <v>16</v>
      </c>
      <c r="S17" s="8">
        <f>('Thom Tillis'!X184)</f>
        <v>82</v>
      </c>
      <c r="T17" s="8">
        <f>('Thom Tillis'!Y184)</f>
        <v>111</v>
      </c>
      <c r="U17" s="8">
        <f>('Thom Tillis'!Z184)</f>
        <v>1</v>
      </c>
      <c r="V17" s="8">
        <f>('Thom Tillis'!AA184)</f>
        <v>17</v>
      </c>
      <c r="W17" s="8">
        <f>('Thom Tillis'!AC184)</f>
        <v>32</v>
      </c>
      <c r="X17" s="8">
        <f>('Thom Tillis'!AD184)</f>
        <v>76</v>
      </c>
      <c r="Y17" s="103">
        <f>COUNT('Thom Tillis'!A2:A1809)</f>
        <v>182</v>
      </c>
    </row>
    <row r="18" spans="1:30" x14ac:dyDescent="0.25">
      <c r="A18" s="62" t="s">
        <v>9067</v>
      </c>
      <c r="B18" s="72" t="s">
        <v>9395</v>
      </c>
      <c r="C18" s="73" t="s">
        <v>9381</v>
      </c>
      <c r="D18" s="129">
        <v>0</v>
      </c>
      <c r="E18" s="131">
        <v>0</v>
      </c>
      <c r="F18" s="34">
        <f>('Cal Cunningham'!K137)</f>
        <v>24</v>
      </c>
      <c r="G18" s="34">
        <f>('Cal Cunningham'!L137)</f>
        <v>31</v>
      </c>
      <c r="H18" s="34">
        <f>('Cal Cunningham'!M137)</f>
        <v>9</v>
      </c>
      <c r="I18" s="34">
        <f>('Cal Cunningham'!N137)</f>
        <v>25</v>
      </c>
      <c r="J18" s="34">
        <f>('Cal Cunningham'!O137)</f>
        <v>0</v>
      </c>
      <c r="K18" s="34">
        <f>('Cal Cunningham'!P137)</f>
        <v>2</v>
      </c>
      <c r="L18" s="34">
        <f>('Cal Cunningham'!Q137)</f>
        <v>3</v>
      </c>
      <c r="M18" s="34">
        <f>('Cal Cunningham'!R137)</f>
        <v>2</v>
      </c>
      <c r="N18" s="34">
        <f>('Cal Cunningham'!S137)</f>
        <v>0</v>
      </c>
      <c r="O18" s="34">
        <f>('Cal Cunningham'!T137)</f>
        <v>0</v>
      </c>
      <c r="P18" s="34">
        <f>('Cal Cunningham'!U137)</f>
        <v>5</v>
      </c>
      <c r="Q18" s="34">
        <f>('Cal Cunningham'!V137)</f>
        <v>0</v>
      </c>
      <c r="R18" s="34">
        <f>('Cal Cunningham'!W137)</f>
        <v>5</v>
      </c>
      <c r="S18" s="34">
        <f>('Cal Cunningham'!X137)</f>
        <v>65</v>
      </c>
      <c r="T18" s="34">
        <f>('Cal Cunningham'!Y137)</f>
        <v>42</v>
      </c>
      <c r="U18" s="34">
        <f>('Cal Cunningham'!Z137)</f>
        <v>4</v>
      </c>
      <c r="V18" s="34">
        <f>('Cal Cunningham'!AA137)</f>
        <v>9</v>
      </c>
      <c r="W18" s="34">
        <f>('Cal Cunningham'!AC137)</f>
        <v>56</v>
      </c>
      <c r="X18" s="34">
        <f>('Cal Cunningham'!AD137)</f>
        <v>22</v>
      </c>
      <c r="Y18" s="74">
        <f>COUNT('Cal Cunningham'!A2:A1776)</f>
        <v>135</v>
      </c>
    </row>
    <row r="19" spans="1:30" s="104" customFormat="1" x14ac:dyDescent="0.25">
      <c r="A19" s="100" t="s">
        <v>9097</v>
      </c>
      <c r="B19" s="101" t="s">
        <v>9396</v>
      </c>
      <c r="C19" s="71" t="s">
        <v>9379</v>
      </c>
      <c r="D19" s="71">
        <v>1</v>
      </c>
      <c r="E19" s="133">
        <v>1</v>
      </c>
      <c r="F19" s="8">
        <f>('John Cornyn'!K303)</f>
        <v>23</v>
      </c>
      <c r="G19" s="8">
        <f>('John Cornyn'!L303)</f>
        <v>5</v>
      </c>
      <c r="H19" s="8">
        <f>('John Cornyn'!M303)</f>
        <v>46</v>
      </c>
      <c r="I19" s="8">
        <f>('John Cornyn'!N303)</f>
        <v>31</v>
      </c>
      <c r="J19" s="8">
        <f>('John Cornyn'!O303)</f>
        <v>4</v>
      </c>
      <c r="K19" s="8">
        <f>('John Cornyn'!P303)</f>
        <v>26</v>
      </c>
      <c r="L19" s="8">
        <f>('John Cornyn'!Q303)</f>
        <v>4</v>
      </c>
      <c r="M19" s="8">
        <f>('John Cornyn'!R303)</f>
        <v>8</v>
      </c>
      <c r="N19" s="8">
        <f>('John Cornyn'!S303)</f>
        <v>8</v>
      </c>
      <c r="O19" s="8">
        <f>('John Cornyn'!T303)</f>
        <v>5</v>
      </c>
      <c r="P19" s="8">
        <f>('John Cornyn'!U303)</f>
        <v>18</v>
      </c>
      <c r="Q19" s="8">
        <f>('John Cornyn'!V303)</f>
        <v>0</v>
      </c>
      <c r="R19" s="8">
        <f>('John Cornyn'!W303)</f>
        <v>9</v>
      </c>
      <c r="S19" s="8">
        <f>('John Cornyn'!X303)</f>
        <v>53</v>
      </c>
      <c r="T19" s="8">
        <f>('John Cornyn'!Y303)</f>
        <v>85</v>
      </c>
      <c r="U19" s="8">
        <f>('John Cornyn'!Z303)</f>
        <v>6</v>
      </c>
      <c r="V19" s="8">
        <f>('John Cornyn'!AA303)</f>
        <v>101</v>
      </c>
      <c r="W19" s="8">
        <f>('John Cornyn'!AC303)</f>
        <v>22</v>
      </c>
      <c r="X19" s="8">
        <f>('John Cornyn'!AD303)</f>
        <v>2</v>
      </c>
      <c r="Y19" s="103">
        <f>COUNT('John Cornyn'!A2:A590)</f>
        <v>301</v>
      </c>
    </row>
    <row r="20" spans="1:30" x14ac:dyDescent="0.25">
      <c r="A20" s="62" t="s">
        <v>9097</v>
      </c>
      <c r="B20" s="72" t="s">
        <v>9397</v>
      </c>
      <c r="C20" s="73" t="s">
        <v>9381</v>
      </c>
      <c r="D20" s="129">
        <v>0</v>
      </c>
      <c r="E20" s="131">
        <v>0</v>
      </c>
      <c r="F20" s="34">
        <f>('MJ Hegar'!K356)</f>
        <v>18</v>
      </c>
      <c r="G20" s="34">
        <f>('MJ Hegar'!L356)</f>
        <v>29</v>
      </c>
      <c r="H20" s="34">
        <f>('MJ Hegar'!M356)</f>
        <v>8</v>
      </c>
      <c r="I20" s="34">
        <f>('MJ Hegar'!N356)</f>
        <v>39</v>
      </c>
      <c r="J20" s="34">
        <f>('MJ Hegar'!O356)</f>
        <v>2</v>
      </c>
      <c r="K20" s="34">
        <f>('MJ Hegar'!P356)</f>
        <v>4</v>
      </c>
      <c r="L20" s="34">
        <f>('MJ Hegar'!Q356)</f>
        <v>4</v>
      </c>
      <c r="M20" s="34">
        <f>('MJ Hegar'!R356)</f>
        <v>16</v>
      </c>
      <c r="N20" s="34">
        <f>('MJ Hegar'!S356)</f>
        <v>8</v>
      </c>
      <c r="O20" s="34">
        <f>('MJ Hegar'!T356)</f>
        <v>3</v>
      </c>
      <c r="P20" s="34">
        <f>('MJ Hegar'!U356)</f>
        <v>9</v>
      </c>
      <c r="Q20" s="34">
        <f>('MJ Hegar'!V356)</f>
        <v>2</v>
      </c>
      <c r="R20" s="34">
        <f>('MJ Hegar'!W356)</f>
        <v>13</v>
      </c>
      <c r="S20" s="34">
        <f>('MJ Hegar'!X356)</f>
        <v>157</v>
      </c>
      <c r="T20" s="34">
        <f>('MJ Hegar'!Y356)</f>
        <v>117</v>
      </c>
      <c r="U20" s="34">
        <f>('MJ Hegar'!Z356)</f>
        <v>3</v>
      </c>
      <c r="V20" s="34">
        <f>('MJ Hegar'!AA356)</f>
        <v>74</v>
      </c>
      <c r="W20" s="34">
        <f>('MJ Hegar'!AC356)</f>
        <v>74</v>
      </c>
      <c r="X20" s="34">
        <f>('MJ Hegar'!AD356)</f>
        <v>51</v>
      </c>
      <c r="Y20" s="74">
        <f>COUNT('MJ Hegar'!A2:A1730)</f>
        <v>354</v>
      </c>
    </row>
    <row r="21" spans="1:30" x14ac:dyDescent="0.25">
      <c r="A21" s="96" t="s">
        <v>9106</v>
      </c>
      <c r="B21" s="97" t="s">
        <v>9398</v>
      </c>
      <c r="C21" s="73" t="s">
        <v>9381</v>
      </c>
      <c r="D21" s="73">
        <v>1</v>
      </c>
      <c r="E21" s="132">
        <v>1</v>
      </c>
      <c r="F21" s="9">
        <f>('Mark Warner'!K127)</f>
        <v>18</v>
      </c>
      <c r="G21" s="9">
        <f>('Mark Warner'!L127)</f>
        <v>29</v>
      </c>
      <c r="H21" s="9">
        <f>('Mark Warner'!M127)</f>
        <v>10</v>
      </c>
      <c r="I21" s="9">
        <f>('Mark Warner'!N127)</f>
        <v>31</v>
      </c>
      <c r="J21" s="9">
        <f>('Mark Warner'!O127)</f>
        <v>1</v>
      </c>
      <c r="K21" s="9">
        <f>('Mark Warner'!P127)</f>
        <v>12</v>
      </c>
      <c r="L21" s="9">
        <f>('Mark Warner'!Q127)</f>
        <v>0</v>
      </c>
      <c r="M21" s="9">
        <f>('Mark Warner'!R127)</f>
        <v>3</v>
      </c>
      <c r="N21" s="9">
        <f>('Mark Warner'!S127)</f>
        <v>3</v>
      </c>
      <c r="O21" s="9">
        <f>('Mark Warner'!T127)</f>
        <v>5</v>
      </c>
      <c r="P21" s="9">
        <f>('Mark Warner'!U127)</f>
        <v>6</v>
      </c>
      <c r="Q21" s="9">
        <f>('Mark Warner'!V127)</f>
        <v>0</v>
      </c>
      <c r="R21" s="9">
        <f>('Mark Warner'!W127)</f>
        <v>11</v>
      </c>
      <c r="S21" s="9">
        <f>('Mark Warner'!X127)</f>
        <v>34</v>
      </c>
      <c r="T21" s="9">
        <f>('Mark Warner'!Y127)</f>
        <v>10</v>
      </c>
      <c r="U21" s="9">
        <f>('Mark Warner'!Z127)</f>
        <v>6</v>
      </c>
      <c r="V21" s="9">
        <f>('Mark Warner'!AA127)</f>
        <v>26</v>
      </c>
      <c r="W21" s="9">
        <f>('Mark Warner'!AC127)</f>
        <v>35</v>
      </c>
      <c r="X21" s="9">
        <f>('Mark Warner'!AD127)</f>
        <v>6</v>
      </c>
      <c r="Y21" s="99">
        <f>COUNT('Mark Warner'!A2:A1831)</f>
        <v>125</v>
      </c>
    </row>
    <row r="22" spans="1:30" x14ac:dyDescent="0.25">
      <c r="A22" s="63" t="s">
        <v>9106</v>
      </c>
      <c r="B22" s="76" t="s">
        <v>9399</v>
      </c>
      <c r="C22" s="77" t="s">
        <v>9379</v>
      </c>
      <c r="D22" s="130">
        <v>0</v>
      </c>
      <c r="E22" s="131">
        <v>0</v>
      </c>
      <c r="F22" s="79">
        <f>('Daniel Gade'!K155)</f>
        <v>7</v>
      </c>
      <c r="G22" s="79">
        <f>('Daniel Gade'!L155)</f>
        <v>16</v>
      </c>
      <c r="H22" s="79">
        <f>('Daniel Gade'!M155)</f>
        <v>14</v>
      </c>
      <c r="I22" s="79">
        <f>('Daniel Gade'!N155)</f>
        <v>34</v>
      </c>
      <c r="J22" s="79">
        <f>('Daniel Gade'!O155)</f>
        <v>0</v>
      </c>
      <c r="K22" s="79">
        <f>('Daniel Gade'!P155)</f>
        <v>3</v>
      </c>
      <c r="L22" s="79">
        <f>('Daniel Gade'!Q155)</f>
        <v>2</v>
      </c>
      <c r="M22" s="79">
        <f>('Daniel Gade'!R155)</f>
        <v>3</v>
      </c>
      <c r="N22" s="79">
        <f>('Daniel Gade'!S155)</f>
        <v>2</v>
      </c>
      <c r="O22" s="79">
        <f>('Daniel Gade'!T155)</f>
        <v>0</v>
      </c>
      <c r="P22" s="79">
        <f>('Daniel Gade'!U155)</f>
        <v>0</v>
      </c>
      <c r="Q22" s="79">
        <f>('Daniel Gade'!V155)</f>
        <v>0</v>
      </c>
      <c r="R22" s="79">
        <f>('Daniel Gade'!W155)</f>
        <v>1</v>
      </c>
      <c r="S22" s="79">
        <f>('Daniel Gade'!X155)</f>
        <v>68</v>
      </c>
      <c r="T22" s="79">
        <f>('Daniel Gade'!Y155)</f>
        <v>92</v>
      </c>
      <c r="U22" s="79">
        <f>('Daniel Gade'!Z155)</f>
        <v>3</v>
      </c>
      <c r="V22" s="79">
        <f>('Daniel Gade'!AA155)</f>
        <v>21</v>
      </c>
      <c r="W22" s="79">
        <f>('Daniel Gade'!AC155)</f>
        <v>29</v>
      </c>
      <c r="X22" s="79">
        <f>('Daniel Gade'!AD155)</f>
        <v>10</v>
      </c>
      <c r="Y22" s="80">
        <f>COUNT('Daniel Gade'!A2:A1825)</f>
        <v>153</v>
      </c>
    </row>
    <row r="23" spans="1:30" x14ac:dyDescent="0.25">
      <c r="A23" s="185" t="s">
        <v>9400</v>
      </c>
      <c r="B23" s="186"/>
      <c r="C23" s="186"/>
      <c r="D23" s="186"/>
      <c r="E23" s="187"/>
      <c r="F23" s="25">
        <f t="shared" ref="F23:X23" si="0">SUM(F3:F22)</f>
        <v>533</v>
      </c>
      <c r="G23" s="25">
        <f t="shared" si="0"/>
        <v>544</v>
      </c>
      <c r="H23" s="25">
        <f t="shared" si="0"/>
        <v>314</v>
      </c>
      <c r="I23" s="25">
        <f t="shared" si="0"/>
        <v>493</v>
      </c>
      <c r="J23" s="25">
        <f t="shared" si="0"/>
        <v>56</v>
      </c>
      <c r="K23" s="25">
        <f t="shared" si="0"/>
        <v>176</v>
      </c>
      <c r="L23" s="25">
        <f t="shared" si="0"/>
        <v>71</v>
      </c>
      <c r="M23" s="25">
        <f t="shared" si="0"/>
        <v>116</v>
      </c>
      <c r="N23" s="25">
        <f t="shared" ref="N23:O23" si="1">SUM(N3:N22)</f>
        <v>51</v>
      </c>
      <c r="O23" s="25">
        <f t="shared" si="1"/>
        <v>70</v>
      </c>
      <c r="P23" s="25">
        <f t="shared" si="0"/>
        <v>182</v>
      </c>
      <c r="Q23" s="25">
        <f t="shared" si="0"/>
        <v>30</v>
      </c>
      <c r="R23" s="25">
        <f t="shared" si="0"/>
        <v>322</v>
      </c>
      <c r="S23" s="25">
        <f t="shared" si="0"/>
        <v>1611</v>
      </c>
      <c r="T23" s="25">
        <f t="shared" si="0"/>
        <v>1415</v>
      </c>
      <c r="U23" s="25">
        <f>SUM(U3:U22)</f>
        <v>110</v>
      </c>
      <c r="V23" s="25">
        <f t="shared" si="0"/>
        <v>974</v>
      </c>
      <c r="W23" s="25">
        <f t="shared" si="0"/>
        <v>1288</v>
      </c>
      <c r="X23" s="25">
        <f t="shared" si="0"/>
        <v>850</v>
      </c>
      <c r="Y23" s="25">
        <f>SUM(Y3:Y22)</f>
        <v>4474</v>
      </c>
    </row>
    <row r="24" spans="1:30" x14ac:dyDescent="0.25">
      <c r="A24" s="185" t="s">
        <v>9447</v>
      </c>
      <c r="B24" s="186"/>
      <c r="C24" s="186"/>
      <c r="D24" s="186"/>
      <c r="E24" s="187"/>
      <c r="F24" s="25">
        <f>AVERAGE(Table22[Economy])</f>
        <v>26.65</v>
      </c>
      <c r="G24" s="25">
        <f>AVERAGE(Table22[Healthcare])</f>
        <v>27.2</v>
      </c>
      <c r="H24" s="25">
        <f>AVERAGE(Table22[Supreme Court appointments])</f>
        <v>15.7</v>
      </c>
      <c r="I24" s="25">
        <f>AVERAGE(Table22[COVID-19])</f>
        <v>24.65</v>
      </c>
      <c r="J24" s="25">
        <f>AVERAGE(Table22[Violent Crime])</f>
        <v>2.8</v>
      </c>
      <c r="K24" s="25">
        <f>AVERAGE(Table22[Foreign policy])</f>
        <v>8.8000000000000007</v>
      </c>
      <c r="L24" s="25">
        <f>AVERAGE(Table22[Gun policy])</f>
        <v>3.55</v>
      </c>
      <c r="M24" s="25">
        <f>AVERAGE(Table22[Race and ethnic inequality])</f>
        <v>5.8</v>
      </c>
      <c r="N24" s="25">
        <f>AVERAGE(Table22[Immigration])</f>
        <v>2.5499999999999998</v>
      </c>
      <c r="O24" s="25">
        <f>AVERAGE(Table22[Economic inequality])</f>
        <v>3.5</v>
      </c>
      <c r="P24" s="25">
        <f>AVERAGE(Table22[Climate change])</f>
        <v>9.1</v>
      </c>
      <c r="Q24" s="25">
        <f>AVERAGE(Table22[Abortion])</f>
        <v>1.5</v>
      </c>
      <c r="R24" s="25">
        <f>AVERAGE(Table22[Donald Trump])</f>
        <v>16.100000000000001</v>
      </c>
      <c r="S24" s="25">
        <f>AVERAGE(Table22[Voting])</f>
        <v>80.55</v>
      </c>
      <c r="T24" s="25">
        <f>AVERAGE(Table22[Political harangues])</f>
        <v>70.75</v>
      </c>
      <c r="U24" s="25">
        <f>AVERAGE(Table22[Bipartisanship])</f>
        <v>5.5</v>
      </c>
      <c r="V24" s="25">
        <f>AVERAGE(Table22[Others])</f>
        <v>48.7</v>
      </c>
      <c r="W24" s="25">
        <f>AVERAGE(Table22[Image])</f>
        <v>64.400000000000006</v>
      </c>
      <c r="X24" s="25">
        <f>AVERAGE(Table22[Video])</f>
        <v>42.5</v>
      </c>
      <c r="Y24" s="25">
        <f>AVERAGE(Table22[Total])</f>
        <v>223.7</v>
      </c>
    </row>
    <row r="25" spans="1:30" x14ac:dyDescent="0.25">
      <c r="A25" s="180" t="s">
        <v>9401</v>
      </c>
      <c r="B25" s="180"/>
      <c r="C25" s="180"/>
      <c r="D25" s="180"/>
      <c r="E25" s="180"/>
      <c r="F25" s="10">
        <f>(F23/Y23)</f>
        <v>0.11913276709879303</v>
      </c>
      <c r="G25" s="10">
        <f>(G23/Y23)</f>
        <v>0.12159141707644167</v>
      </c>
      <c r="H25" s="10">
        <f>(H23/Y23)</f>
        <v>7.0183281180151991E-2</v>
      </c>
      <c r="I25" s="10">
        <f>(I23/Y23)</f>
        <v>0.11019222172552526</v>
      </c>
      <c r="J25" s="10">
        <f>(J23/Y23)</f>
        <v>1.2516763522574878E-2</v>
      </c>
      <c r="K25" s="10">
        <f>(K23/Y23)</f>
        <v>3.9338399642378188E-2</v>
      </c>
      <c r="L25" s="10">
        <f>(L23/Y23)</f>
        <v>1.586946803755029E-2</v>
      </c>
      <c r="M25" s="10">
        <f>(M23/Y23)</f>
        <v>2.592758158247653E-2</v>
      </c>
      <c r="N25" s="10">
        <f>(N23/Y23)</f>
        <v>1.1399195350916406E-2</v>
      </c>
      <c r="O25" s="10">
        <f>(O23/Y23)</f>
        <v>1.5645954403218598E-2</v>
      </c>
      <c r="P25" s="10">
        <f>(P23/Y23)</f>
        <v>4.0679481448368353E-2</v>
      </c>
      <c r="Q25" s="10">
        <f>(Q23/Y23)</f>
        <v>6.7054090299508273E-3</v>
      </c>
      <c r="R25" s="10">
        <f>(R23/Y23)</f>
        <v>7.1971390254805548E-2</v>
      </c>
      <c r="S25" s="10">
        <f>(S23/Y23)</f>
        <v>0.36008046490835943</v>
      </c>
      <c r="T25" s="10">
        <f>(T23/Y23)</f>
        <v>0.31627179257934734</v>
      </c>
      <c r="U25" s="10">
        <f>(U23/Y23)</f>
        <v>2.4586499776486366E-2</v>
      </c>
      <c r="V25" s="10">
        <f>(V23/Y23)</f>
        <v>0.21770227983907017</v>
      </c>
      <c r="W25" s="10">
        <f>(W23/Y23)</f>
        <v>0.28788556101922219</v>
      </c>
      <c r="X25" s="10">
        <f>(X23/Y23)</f>
        <v>0.18998658918194009</v>
      </c>
      <c r="Y25" s="10"/>
    </row>
    <row r="26" spans="1:30" x14ac:dyDescent="0.25">
      <c r="A26" s="181"/>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3"/>
    </row>
    <row r="28" spans="1:30" x14ac:dyDescent="0.25">
      <c r="W28" s="147"/>
      <c r="X28" s="147"/>
      <c r="Y28" s="147"/>
      <c r="Z28" s="147"/>
      <c r="AA28" s="147"/>
      <c r="AB28" s="147"/>
      <c r="AC28" s="147"/>
      <c r="AD28" s="147"/>
    </row>
    <row r="29" spans="1:30" x14ac:dyDescent="0.25">
      <c r="W29" s="147"/>
      <c r="X29" s="147"/>
      <c r="Y29" s="147"/>
      <c r="Z29" s="147"/>
      <c r="AA29" s="147"/>
      <c r="AB29" s="147"/>
      <c r="AC29" s="147"/>
      <c r="AD29" s="147"/>
    </row>
    <row r="30" spans="1:30" x14ac:dyDescent="0.25">
      <c r="AA30" s="147"/>
      <c r="AB30" s="147"/>
      <c r="AC30" s="147"/>
      <c r="AD30" s="147"/>
    </row>
    <row r="31" spans="1:30" x14ac:dyDescent="0.25">
      <c r="AA31" s="147"/>
      <c r="AB31" s="147"/>
      <c r="AC31" s="147"/>
      <c r="AD31" s="147"/>
    </row>
    <row r="32" spans="1:30" x14ac:dyDescent="0.25">
      <c r="AA32" s="147"/>
      <c r="AB32" s="147"/>
      <c r="AC32" s="147"/>
      <c r="AD32" s="147"/>
    </row>
    <row r="33" spans="21:34" x14ac:dyDescent="0.25">
      <c r="AA33" s="147"/>
      <c r="AB33" s="147"/>
      <c r="AC33" s="147"/>
      <c r="AD33" s="147"/>
    </row>
    <row r="34" spans="21:34" x14ac:dyDescent="0.25">
      <c r="AA34" s="147"/>
      <c r="AB34" s="151"/>
      <c r="AC34" s="151"/>
      <c r="AD34" s="151"/>
      <c r="AE34" s="151"/>
      <c r="AF34" s="151"/>
      <c r="AG34" s="151"/>
      <c r="AH34" s="151"/>
    </row>
    <row r="35" spans="21:34" x14ac:dyDescent="0.25">
      <c r="U35" s="16"/>
      <c r="V35" s="16"/>
      <c r="Y35" s="151"/>
      <c r="Z35" s="156"/>
      <c r="AA35" s="156"/>
      <c r="AB35" s="156"/>
      <c r="AC35" s="156"/>
      <c r="AD35" s="156"/>
      <c r="AE35" s="156"/>
      <c r="AF35" s="157"/>
      <c r="AG35" s="157"/>
      <c r="AH35" s="157"/>
    </row>
    <row r="36" spans="21:34" x14ac:dyDescent="0.25">
      <c r="U36" s="16"/>
      <c r="V36" s="16"/>
      <c r="Y36" s="16"/>
    </row>
    <row r="37" spans="21:34" x14ac:dyDescent="0.25">
      <c r="U37" s="16"/>
      <c r="V37" s="16"/>
      <c r="Y37" s="151"/>
      <c r="Z37" s="151"/>
      <c r="AA37" s="151"/>
      <c r="AB37" s="151"/>
      <c r="AC37" s="151"/>
      <c r="AD37" s="151"/>
      <c r="AE37" s="16"/>
    </row>
    <row r="38" spans="21:34" x14ac:dyDescent="0.25">
      <c r="U38" s="16"/>
      <c r="V38" s="16"/>
      <c r="Y38" s="16"/>
    </row>
    <row r="39" spans="21:34" x14ac:dyDescent="0.25">
      <c r="U39" s="16"/>
      <c r="V39" s="16"/>
      <c r="Y39" s="151"/>
      <c r="Z39" s="151"/>
      <c r="AA39" s="151"/>
      <c r="AB39" s="151"/>
      <c r="AC39" s="151"/>
      <c r="AD39" s="151"/>
      <c r="AE39" s="16"/>
    </row>
    <row r="40" spans="21:34" x14ac:dyDescent="0.25">
      <c r="U40" s="16"/>
      <c r="V40" s="16"/>
      <c r="Y40" s="87"/>
      <c r="Z40" s="87"/>
      <c r="AA40" s="87"/>
      <c r="AB40" s="87"/>
      <c r="AC40" s="87"/>
      <c r="AD40" s="87"/>
      <c r="AE40" s="16"/>
    </row>
    <row r="41" spans="21:34" x14ac:dyDescent="0.25">
      <c r="U41" s="16"/>
      <c r="V41" s="16"/>
      <c r="Y41" s="151"/>
      <c r="Z41" s="151"/>
      <c r="AA41" s="151"/>
      <c r="AB41" s="151"/>
      <c r="AC41" s="151"/>
      <c r="AD41" s="151"/>
      <c r="AE41" s="16"/>
    </row>
    <row r="42" spans="21:34" x14ac:dyDescent="0.25">
      <c r="U42" s="16"/>
      <c r="V42" s="16"/>
      <c r="Y42" s="151"/>
      <c r="Z42" s="151"/>
      <c r="AA42" s="151"/>
      <c r="AB42" s="151"/>
      <c r="AC42" s="151"/>
      <c r="AD42" s="151"/>
      <c r="AE42" s="16"/>
    </row>
    <row r="43" spans="21:34" x14ac:dyDescent="0.25">
      <c r="U43" s="16"/>
      <c r="V43" s="16"/>
      <c r="Y43" s="151"/>
      <c r="Z43" s="151"/>
      <c r="AA43" s="151"/>
      <c r="AB43" s="151"/>
      <c r="AC43" s="151"/>
      <c r="AD43" s="151"/>
      <c r="AE43" s="16"/>
    </row>
    <row r="44" spans="21:34" x14ac:dyDescent="0.25">
      <c r="U44" s="16"/>
      <c r="V44" s="16"/>
      <c r="Y44" s="151"/>
      <c r="Z44" s="156"/>
      <c r="AA44" s="156"/>
      <c r="AB44" s="156"/>
      <c r="AC44" s="156"/>
      <c r="AD44" s="156"/>
      <c r="AE44" s="156"/>
      <c r="AF44" s="156"/>
      <c r="AG44" s="156"/>
      <c r="AH44" s="156"/>
    </row>
    <row r="45" spans="21:34" x14ac:dyDescent="0.25">
      <c r="Y45" s="147"/>
    </row>
    <row r="46" spans="21:34" x14ac:dyDescent="0.25">
      <c r="Y46" s="147"/>
    </row>
    <row r="47" spans="21:34" x14ac:dyDescent="0.25">
      <c r="Y47" s="147"/>
    </row>
    <row r="48" spans="21:34" x14ac:dyDescent="0.25">
      <c r="Y48" s="147"/>
    </row>
    <row r="49" spans="25:25" x14ac:dyDescent="0.25">
      <c r="Y49" s="147"/>
    </row>
  </sheetData>
  <mergeCells count="5">
    <mergeCell ref="A25:E25"/>
    <mergeCell ref="A26:Y26"/>
    <mergeCell ref="A1:Y1"/>
    <mergeCell ref="A23:E23"/>
    <mergeCell ref="A24:E24"/>
  </mergeCells>
  <phoneticPr fontId="9" type="noConversion"/>
  <pageMargins left="0.7" right="0.7" top="0.75" bottom="0.75" header="0.3" footer="0.3"/>
  <pageSetup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A66E4-2B95-4645-9481-691C726927D7}">
  <dimension ref="A1:X23"/>
  <sheetViews>
    <sheetView zoomScale="80" zoomScaleNormal="80" workbookViewId="0">
      <selection activeCell="K25" sqref="K25"/>
    </sheetView>
  </sheetViews>
  <sheetFormatPr defaultColWidth="8.85546875" defaultRowHeight="15" x14ac:dyDescent="0.25"/>
  <cols>
    <col min="1" max="1" width="18.85546875" customWidth="1"/>
    <col min="2" max="3" width="29.7109375" customWidth="1"/>
    <col min="4" max="4" width="10.28515625" customWidth="1"/>
    <col min="5" max="5" width="19.42578125" customWidth="1"/>
    <col min="6" max="6" width="18.85546875" customWidth="1"/>
    <col min="7" max="7" width="13.7109375" customWidth="1"/>
    <col min="8" max="8" width="29.28515625" customWidth="1"/>
    <col min="9" max="9" width="11.42578125" customWidth="1"/>
    <col min="10" max="10" width="17.42578125" customWidth="1"/>
    <col min="11" max="11" width="17" customWidth="1"/>
    <col min="12" max="12" width="21.140625" customWidth="1"/>
    <col min="13" max="15" width="26.42578125" customWidth="1"/>
    <col min="16" max="16" width="16.7109375" customWidth="1"/>
    <col min="17" max="17" width="17.7109375" customWidth="1"/>
    <col min="18" max="18" width="15.42578125" customWidth="1"/>
    <col min="19" max="19" width="18" customWidth="1"/>
    <col min="20" max="20" width="19.85546875" customWidth="1"/>
    <col min="21" max="21" width="15.7109375" customWidth="1"/>
    <col min="22" max="22" width="15.28515625" customWidth="1"/>
    <col min="23" max="23" width="9.85546875" customWidth="1"/>
    <col min="24" max="24" width="8.42578125" customWidth="1"/>
  </cols>
  <sheetData>
    <row r="1" spans="1:24" x14ac:dyDescent="0.25">
      <c r="A1" s="184" t="s">
        <v>9402</v>
      </c>
      <c r="B1" s="184"/>
      <c r="C1" s="184"/>
      <c r="D1" s="184"/>
      <c r="E1" s="184"/>
      <c r="F1" s="184"/>
      <c r="G1" s="184"/>
      <c r="H1" s="184"/>
      <c r="I1" s="184"/>
      <c r="J1" s="184"/>
      <c r="K1" s="184"/>
      <c r="L1" s="184"/>
      <c r="M1" s="184"/>
      <c r="N1" s="184"/>
      <c r="O1" s="184"/>
      <c r="P1" s="184"/>
      <c r="Q1" s="184"/>
      <c r="R1" s="184"/>
      <c r="S1" s="184"/>
      <c r="T1" s="184"/>
      <c r="U1" s="184"/>
      <c r="V1" s="184"/>
      <c r="W1" s="188"/>
      <c r="X1" s="188"/>
    </row>
    <row r="2" spans="1:24" ht="28.5" customHeight="1" x14ac:dyDescent="0.25">
      <c r="A2" s="65" t="s">
        <v>8</v>
      </c>
      <c r="B2" s="66" t="s">
        <v>7</v>
      </c>
      <c r="C2" s="66" t="s">
        <v>9</v>
      </c>
      <c r="D2" s="66" t="s">
        <v>9429</v>
      </c>
      <c r="E2" s="66" t="s">
        <v>9430</v>
      </c>
      <c r="F2" s="66" t="s">
        <v>10</v>
      </c>
      <c r="G2" s="66" t="s">
        <v>11</v>
      </c>
      <c r="H2" s="66" t="s">
        <v>12</v>
      </c>
      <c r="I2" s="66" t="s">
        <v>13</v>
      </c>
      <c r="J2" s="66" t="s">
        <v>14</v>
      </c>
      <c r="K2" s="66" t="s">
        <v>15</v>
      </c>
      <c r="L2" s="66" t="s">
        <v>16</v>
      </c>
      <c r="M2" s="66" t="s">
        <v>17</v>
      </c>
      <c r="N2" s="66" t="s">
        <v>9149</v>
      </c>
      <c r="O2" s="66" t="s">
        <v>9150</v>
      </c>
      <c r="P2" s="66" t="s">
        <v>18</v>
      </c>
      <c r="Q2" s="66" t="s">
        <v>19</v>
      </c>
      <c r="R2" s="66" t="s">
        <v>20</v>
      </c>
      <c r="S2" s="66" t="s">
        <v>21</v>
      </c>
      <c r="T2" s="66" t="s">
        <v>22</v>
      </c>
      <c r="U2" s="66" t="s">
        <v>23</v>
      </c>
      <c r="V2" s="66" t="s">
        <v>24</v>
      </c>
      <c r="W2" s="66" t="s">
        <v>201</v>
      </c>
      <c r="X2" s="67" t="s">
        <v>27</v>
      </c>
    </row>
    <row r="3" spans="1:24" x14ac:dyDescent="0.25">
      <c r="A3" s="62" t="s">
        <v>8977</v>
      </c>
      <c r="B3" s="68" t="s">
        <v>9378</v>
      </c>
      <c r="C3" s="8" t="s">
        <v>9379</v>
      </c>
      <c r="D3" s="25">
        <v>0</v>
      </c>
      <c r="E3" s="25">
        <v>1</v>
      </c>
      <c r="F3" s="119">
        <f>('Table 4'!F3/'Table 4'!Y3)</f>
        <v>0.2</v>
      </c>
      <c r="G3" s="119">
        <f>('Table 4'!G3/'Table 4'!Y3)</f>
        <v>0.11764705882352941</v>
      </c>
      <c r="H3" s="119">
        <f>('Table 4'!H3/'Table 4'!Y3)</f>
        <v>0.22352941176470589</v>
      </c>
      <c r="I3" s="119">
        <f>('Table 4'!I3/'Table 4'!Y3)</f>
        <v>7.0588235294117646E-2</v>
      </c>
      <c r="J3" s="119">
        <f>('Table 4'!J3/'Table 4'!Y3)</f>
        <v>1.1764705882352941E-2</v>
      </c>
      <c r="K3" s="119">
        <f>('Table 4'!K3/'Table 4'!Y3)</f>
        <v>7.0588235294117646E-2</v>
      </c>
      <c r="L3" s="119">
        <f>('Table 4'!L3/'Table 4'!Y3)</f>
        <v>1.1764705882352941E-2</v>
      </c>
      <c r="M3" s="119">
        <f>('Table 4'!M3/'Table 4'!Y3)</f>
        <v>0</v>
      </c>
      <c r="N3" s="119">
        <f>('Table 4'!N3/'Table 4'!Y3)</f>
        <v>1.1764705882352941E-2</v>
      </c>
      <c r="O3" s="119">
        <f>('Table 4'!O3/'Table 4'!Y3)</f>
        <v>4.7058823529411764E-2</v>
      </c>
      <c r="P3" s="119">
        <f>('Table 4'!P3/'Table 4'!Y3)</f>
        <v>5.8823529411764705E-2</v>
      </c>
      <c r="Q3" s="119">
        <f>('Table 4'!Q3/'Table 4'!Y3)</f>
        <v>0</v>
      </c>
      <c r="R3" s="119">
        <f>('Table 4'!R3/'Table 4'!Y3)</f>
        <v>4.7058823529411764E-2</v>
      </c>
      <c r="S3" s="119">
        <f>('Table 4'!S3/'Table 4'!Y3)</f>
        <v>0.10588235294117647</v>
      </c>
      <c r="T3" s="119">
        <f>('Table 4'!T3/'Table 4'!Y3)</f>
        <v>8.2352941176470587E-2</v>
      </c>
      <c r="U3" s="119">
        <f>('Table 4'!U3/'Table 4'!Y3)</f>
        <v>5.8823529411764705E-2</v>
      </c>
      <c r="V3" s="119">
        <f>('Table 4'!V3/'Table 4'!Y3)</f>
        <v>0.25882352941176473</v>
      </c>
      <c r="W3" s="119">
        <f>('Table 4'!W3/'Table 4'!Y3)</f>
        <v>0.25882352941176473</v>
      </c>
      <c r="X3" s="120">
        <f>('Table 4'!X3/'Table 4'!Y3)</f>
        <v>2.3529411764705882E-2</v>
      </c>
    </row>
    <row r="4" spans="1:24" s="105" customFormat="1" x14ac:dyDescent="0.25">
      <c r="A4" s="96" t="s">
        <v>8977</v>
      </c>
      <c r="B4" s="9" t="s">
        <v>9380</v>
      </c>
      <c r="C4" s="9" t="s">
        <v>9381</v>
      </c>
      <c r="D4" s="98">
        <v>1</v>
      </c>
      <c r="E4" s="98">
        <v>0</v>
      </c>
      <c r="F4" s="121">
        <f>('Table 4'!F4/'Table 4'!Y4)</f>
        <v>0.14655172413793102</v>
      </c>
      <c r="G4" s="121">
        <f>('Table 4'!G4/'Table 4'!Y4)</f>
        <v>0.18534482758620691</v>
      </c>
      <c r="H4" s="121">
        <f>('Table 4'!H4/'Table 4'!Y4)</f>
        <v>0</v>
      </c>
      <c r="I4" s="121">
        <f>('Table 4'!I4/'Table 4'!Y4)</f>
        <v>0.13793103448275862</v>
      </c>
      <c r="J4" s="121">
        <f>('Table 4'!J4/'Table 4'!Y4)</f>
        <v>4.3103448275862068E-3</v>
      </c>
      <c r="K4" s="121">
        <f>('Table 4'!K4/'Table 4'!Y4)</f>
        <v>8.6206896551724137E-3</v>
      </c>
      <c r="L4" s="121">
        <f>('Table 4'!L4/'Table 4'!Y4)</f>
        <v>8.6206896551724137E-3</v>
      </c>
      <c r="M4" s="121">
        <f>('Table 4'!M4/'Table 4'!Y4)</f>
        <v>5.1724137931034482E-2</v>
      </c>
      <c r="N4" s="121">
        <f>('Table 4'!N4/'Table 4'!Y4)</f>
        <v>3.8793103448275863E-2</v>
      </c>
      <c r="O4" s="121">
        <f>('Table 4'!O4/'Table 4'!Y4)</f>
        <v>1.2931034482758621E-2</v>
      </c>
      <c r="P4" s="121">
        <f>('Table 4'!P4/'Table 4'!Y4)</f>
        <v>3.4482758620689655E-2</v>
      </c>
      <c r="Q4" s="121">
        <f>('Table 4'!Q4/'Table 4'!Y4)</f>
        <v>0</v>
      </c>
      <c r="R4" s="121">
        <f>('Table 4'!R4/'Table 4'!Y4)</f>
        <v>0</v>
      </c>
      <c r="S4" s="121">
        <f>('Table 4'!S4/'Table 4'!Y4)</f>
        <v>0.27586206896551724</v>
      </c>
      <c r="T4" s="121">
        <f>('Table 4'!T4/'Table 4'!Y4)</f>
        <v>4.3103448275862072E-2</v>
      </c>
      <c r="U4" s="121">
        <f>('Table 4'!U4/'Table 4'!Y4)</f>
        <v>6.8965517241379309E-2</v>
      </c>
      <c r="V4" s="121">
        <f>('Table 4'!V4/'Table 4'!Y4)</f>
        <v>0.27586206896551724</v>
      </c>
      <c r="W4" s="121">
        <f>('Table 4'!W4/'Table 4'!Y4)</f>
        <v>0.26724137931034481</v>
      </c>
      <c r="X4" s="122">
        <f>('Table 4'!X4/'Table 4'!Y4)</f>
        <v>0.28017241379310343</v>
      </c>
    </row>
    <row r="5" spans="1:24" x14ac:dyDescent="0.25">
      <c r="A5" s="62" t="s">
        <v>8998</v>
      </c>
      <c r="B5" s="68" t="s">
        <v>9382</v>
      </c>
      <c r="C5" s="8" t="s">
        <v>9379</v>
      </c>
      <c r="D5" s="25">
        <v>0</v>
      </c>
      <c r="E5" s="25">
        <v>1</v>
      </c>
      <c r="F5" s="119">
        <f>('Table 4'!F5/'Table 4'!Y5)</f>
        <v>0.21134020618556701</v>
      </c>
      <c r="G5" s="119">
        <f>('Table 4'!G5/'Table 4'!Y5)</f>
        <v>5.1546391752577317E-2</v>
      </c>
      <c r="H5" s="119">
        <f>('Table 4'!H5/'Table 4'!Y5)</f>
        <v>7.7319587628865982E-2</v>
      </c>
      <c r="I5" s="119">
        <f>('Table 4'!I5/'Table 4'!Y5)</f>
        <v>0.1134020618556701</v>
      </c>
      <c r="J5" s="119">
        <f>('Table 4'!J5/'Table 4'!Y5)</f>
        <v>5.1546391752577319E-3</v>
      </c>
      <c r="K5" s="119">
        <f>('Table 4'!K5/'Table 4'!Y5)</f>
        <v>4.6391752577319589E-2</v>
      </c>
      <c r="L5" s="119">
        <f>('Table 4'!L5/'Table 4'!Y5)</f>
        <v>1.0309278350515464E-2</v>
      </c>
      <c r="M5" s="119">
        <f>('Table 4'!M5/'Table 4'!Y5)</f>
        <v>5.1546391752577319E-3</v>
      </c>
      <c r="N5" s="119">
        <f>('Table 4'!N5/'Table 4'!Y5)</f>
        <v>3.608247422680412E-2</v>
      </c>
      <c r="O5" s="119">
        <f>('Table 4'!O5/'Table 4'!Y5)</f>
        <v>0</v>
      </c>
      <c r="P5" s="119">
        <f>('Table 4'!P5/'Table 4'!Y5)</f>
        <v>3.608247422680412E-2</v>
      </c>
      <c r="Q5" s="119">
        <f>('Table 4'!Q5/'Table 4'!Y5)</f>
        <v>0</v>
      </c>
      <c r="R5" s="119">
        <f>('Table 4'!R5/'Table 4'!Y5)</f>
        <v>0.10824742268041238</v>
      </c>
      <c r="S5" s="119">
        <f>('Table 4'!S5/'Table 4'!Y5)</f>
        <v>0.22164948453608246</v>
      </c>
      <c r="T5" s="119">
        <f>('Table 4'!T5/'Table 4'!Y5)</f>
        <v>0.48969072164948452</v>
      </c>
      <c r="U5" s="119">
        <f>('Table 4'!U5/'Table 4'!Y5)</f>
        <v>0</v>
      </c>
      <c r="V5" s="119">
        <f>('Table 4'!V5/'Table 4'!Y5)</f>
        <v>0.19072164948453607</v>
      </c>
      <c r="W5" s="119">
        <f>('Table 4'!W5/'Table 4'!Y5)</f>
        <v>0.40206185567010311</v>
      </c>
      <c r="X5" s="120">
        <f>('Table 4'!X5/'Table 4'!Y5)</f>
        <v>0.36082474226804123</v>
      </c>
    </row>
    <row r="6" spans="1:24" s="105" customFormat="1" x14ac:dyDescent="0.25">
      <c r="A6" s="96" t="s">
        <v>8998</v>
      </c>
      <c r="B6" s="9" t="s">
        <v>9383</v>
      </c>
      <c r="C6" s="9" t="s">
        <v>9381</v>
      </c>
      <c r="D6" s="98">
        <v>1</v>
      </c>
      <c r="E6" s="98">
        <v>0</v>
      </c>
      <c r="F6" s="121">
        <f>('Table 4'!F6/'Table 4'!Y6)</f>
        <v>4.3137254901960784E-2</v>
      </c>
      <c r="G6" s="121">
        <f>('Table 4'!G6/'Table 4'!Y6)</f>
        <v>0.10196078431372549</v>
      </c>
      <c r="H6" s="121">
        <f>('Table 4'!H6/'Table 4'!Y6)</f>
        <v>1.9607843137254902E-2</v>
      </c>
      <c r="I6" s="121">
        <f>('Table 4'!I6/'Table 4'!Y6)</f>
        <v>9.4117647058823528E-2</v>
      </c>
      <c r="J6" s="121">
        <f>('Table 4'!J6/'Table 4'!Y6)</f>
        <v>1.9607843137254902E-2</v>
      </c>
      <c r="K6" s="121">
        <f>('Table 4'!K6/'Table 4'!Y6)</f>
        <v>4.3137254901960784E-2</v>
      </c>
      <c r="L6" s="121">
        <f>('Table 4'!L6/'Table 4'!Y6)</f>
        <v>0</v>
      </c>
      <c r="M6" s="121">
        <f>('Table 4'!M6/'Table 4'!Y6)</f>
        <v>7.8431372549019607E-3</v>
      </c>
      <c r="N6" s="121">
        <f>('Table 4'!N6/'Table 4'!Y6)</f>
        <v>0</v>
      </c>
      <c r="O6" s="121">
        <f>('Table 4'!O6/'Table 4'!Y6)</f>
        <v>0</v>
      </c>
      <c r="P6" s="121">
        <f>('Table 4'!P6/'Table 4'!Y6)</f>
        <v>1.5686274509803921E-2</v>
      </c>
      <c r="Q6" s="121">
        <f>('Table 4'!Q6/'Table 4'!Y6)</f>
        <v>0</v>
      </c>
      <c r="R6" s="121">
        <f>('Table 4'!R6/'Table 4'!Y6)</f>
        <v>5.4901960784313725E-2</v>
      </c>
      <c r="S6" s="121">
        <f>('Table 4'!S6/'Table 4'!Y6)</f>
        <v>0.46274509803921571</v>
      </c>
      <c r="T6" s="121">
        <f>('Table 4'!T6/'Table 4'!Y6)</f>
        <v>0.33333333333333331</v>
      </c>
      <c r="U6" s="121">
        <f>('Table 4'!U6/'Table 4'!Y6)</f>
        <v>0</v>
      </c>
      <c r="V6" s="121">
        <f>('Table 4'!V6/'Table 4'!Y6)</f>
        <v>0.22745098039215686</v>
      </c>
      <c r="W6" s="121">
        <f>('Table 4'!W6/'Table 4'!Y6)</f>
        <v>0.13333333333333333</v>
      </c>
      <c r="X6" s="122">
        <f>('Table 4'!X6/'Table 4'!Y6)</f>
        <v>0.31372549019607843</v>
      </c>
    </row>
    <row r="7" spans="1:24" s="104" customFormat="1" x14ac:dyDescent="0.25">
      <c r="A7" s="100" t="s">
        <v>9013</v>
      </c>
      <c r="B7" s="8" t="s">
        <v>9384</v>
      </c>
      <c r="C7" s="8" t="s">
        <v>9379</v>
      </c>
      <c r="D7" s="102">
        <v>1</v>
      </c>
      <c r="E7" s="102">
        <v>1</v>
      </c>
      <c r="F7" s="123">
        <f>('Table 4'!F7/'Table 4'!Y7)</f>
        <v>0.11363636363636363</v>
      </c>
      <c r="G7" s="123">
        <f>('Table 4'!G7/'Table 4'!Y7)</f>
        <v>5.909090909090909E-2</v>
      </c>
      <c r="H7" s="123">
        <f>('Table 4'!H7/'Table 4'!Y7)</f>
        <v>7.2727272727272724E-2</v>
      </c>
      <c r="I7" s="123">
        <f>('Table 4'!I7/'Table 4'!Y7)</f>
        <v>3.1818181818181815E-2</v>
      </c>
      <c r="J7" s="123">
        <f>('Table 4'!J7/'Table 4'!Y7)</f>
        <v>1.3636363636363636E-2</v>
      </c>
      <c r="K7" s="123">
        <f>('Table 4'!K7/'Table 4'!Y7)</f>
        <v>2.7272727272727271E-2</v>
      </c>
      <c r="L7" s="123">
        <f>('Table 4'!L7/'Table 4'!Y7)</f>
        <v>1.8181818181818181E-2</v>
      </c>
      <c r="M7" s="123">
        <f>('Table 4'!M7/'Table 4'!Y7)</f>
        <v>9.0909090909090905E-3</v>
      </c>
      <c r="N7" s="123">
        <f>('Table 4'!N7/'Table 4'!Y7)</f>
        <v>9.0909090909090905E-3</v>
      </c>
      <c r="O7" s="123">
        <f>('Table 4'!O7/'Table 4'!Y7)</f>
        <v>4.5454545454545452E-3</v>
      </c>
      <c r="P7" s="123">
        <f>('Table 4'!P7/'Table 4'!Y7)</f>
        <v>4.5454545454545456E-2</v>
      </c>
      <c r="Q7" s="123">
        <f>('Table 4'!Q7/'Table 4'!Y7)</f>
        <v>0</v>
      </c>
      <c r="R7" s="123">
        <f>('Table 4'!R7/'Table 4'!Y7)</f>
        <v>0.05</v>
      </c>
      <c r="S7" s="123">
        <f>('Table 4'!S7/'Table 4'!Y7)</f>
        <v>0.24090909090909091</v>
      </c>
      <c r="T7" s="123">
        <f>('Table 4'!T7/'Table 4'!Y7)</f>
        <v>0.31818181818181818</v>
      </c>
      <c r="U7" s="123">
        <f>('Table 4'!U7/'Table 4'!Y7)</f>
        <v>3.1818181818181815E-2</v>
      </c>
      <c r="V7" s="123">
        <f>('Table 4'!V7/'Table 4'!Y7)</f>
        <v>0.35909090909090907</v>
      </c>
      <c r="W7" s="123">
        <f>('Table 4'!W7/'Table 4'!Y7)</f>
        <v>0.45909090909090911</v>
      </c>
      <c r="X7" s="124">
        <f>('Table 4'!X7/'Table 4'!Y7)</f>
        <v>0.23181818181818181</v>
      </c>
    </row>
    <row r="8" spans="1:24" x14ac:dyDescent="0.25">
      <c r="A8" s="62" t="s">
        <v>9013</v>
      </c>
      <c r="B8" s="68" t="s">
        <v>9385</v>
      </c>
      <c r="C8" s="9" t="s">
        <v>9381</v>
      </c>
      <c r="D8" s="25">
        <v>0</v>
      </c>
      <c r="E8" s="25">
        <v>0</v>
      </c>
      <c r="F8" s="119">
        <f>('Table 4'!F8/'Table 4'!Y8)</f>
        <v>0.19369369369369369</v>
      </c>
      <c r="G8" s="119">
        <f>('Table 4'!G8/'Table 4'!Y8)</f>
        <v>0.18018018018018017</v>
      </c>
      <c r="H8" s="119">
        <f>('Table 4'!H8/'Table 4'!Y8)</f>
        <v>9.0090090090090089E-3</v>
      </c>
      <c r="I8" s="119">
        <f>('Table 4'!I8/'Table 4'!Y8)</f>
        <v>0.10810810810810811</v>
      </c>
      <c r="J8" s="119">
        <f>('Table 4'!J8/'Table 4'!Y8)</f>
        <v>0</v>
      </c>
      <c r="K8" s="119">
        <f>('Table 4'!K8/'Table 4'!Y8)</f>
        <v>2.2522522522522521E-2</v>
      </c>
      <c r="L8" s="119">
        <f>('Table 4'!L8/'Table 4'!Y8)</f>
        <v>4.0540540540540543E-2</v>
      </c>
      <c r="M8" s="119">
        <f>('Table 4'!M8/'Table 4'!Y8)</f>
        <v>1.8018018018018018E-2</v>
      </c>
      <c r="N8" s="119">
        <f>('Table 4'!N8/'Table 4'!Y8)</f>
        <v>0</v>
      </c>
      <c r="O8" s="119">
        <f>('Table 4'!O8/'Table 4'!Y8)</f>
        <v>4.0540540540540543E-2</v>
      </c>
      <c r="P8" s="119">
        <f>('Table 4'!P8/'Table 4'!Y8)</f>
        <v>5.8558558558558557E-2</v>
      </c>
      <c r="Q8" s="119">
        <f>('Table 4'!Q8/'Table 4'!Y8)</f>
        <v>0</v>
      </c>
      <c r="R8" s="119">
        <f>('Table 4'!R8/'Table 4'!Y8)</f>
        <v>9.0090090090090089E-3</v>
      </c>
      <c r="S8" s="119">
        <f>('Table 4'!S8/'Table 4'!Y8)</f>
        <v>0.34234234234234234</v>
      </c>
      <c r="T8" s="119">
        <f>('Table 4'!T8/'Table 4'!Y8)</f>
        <v>0.30630630630630629</v>
      </c>
      <c r="U8" s="119">
        <f>('Table 4'!U8/'Table 4'!Y8)</f>
        <v>1.8018018018018018E-2</v>
      </c>
      <c r="V8" s="119">
        <f>('Table 4'!V8/'Table 4'!Y8)</f>
        <v>0.1891891891891892</v>
      </c>
      <c r="W8" s="119">
        <f>('Table 4'!W8/'Table 4'!Y8)</f>
        <v>0.32882882882882886</v>
      </c>
      <c r="X8" s="120">
        <f>('Table 4'!X8/'Table 4'!Y8)</f>
        <v>0.17117117117117117</v>
      </c>
    </row>
    <row r="9" spans="1:24" s="104" customFormat="1" x14ac:dyDescent="0.25">
      <c r="A9" s="100" t="s">
        <v>9025</v>
      </c>
      <c r="B9" s="8" t="s">
        <v>9386</v>
      </c>
      <c r="C9" s="8" t="s">
        <v>9379</v>
      </c>
      <c r="D9" s="102">
        <v>1</v>
      </c>
      <c r="E9" s="102">
        <v>1</v>
      </c>
      <c r="F9" s="123">
        <f>('Table 4'!F9/'Table 4'!Y9)</f>
        <v>0.21875</v>
      </c>
      <c r="G9" s="123">
        <f>('Table 4'!G9/'Table 4'!Y9)</f>
        <v>7.421875E-2</v>
      </c>
      <c r="H9" s="123">
        <f>('Table 4'!H9/'Table 4'!Y9)</f>
        <v>0</v>
      </c>
      <c r="I9" s="123">
        <f>('Table 4'!I9/'Table 4'!Y9)</f>
        <v>8.59375E-2</v>
      </c>
      <c r="J9" s="123">
        <f>('Table 4'!J9/'Table 4'!Y9)</f>
        <v>3.90625E-3</v>
      </c>
      <c r="K9" s="123">
        <f>('Table 4'!K9/'Table 4'!Y9)</f>
        <v>3.125E-2</v>
      </c>
      <c r="L9" s="123">
        <f>('Table 4'!L9/'Table 4'!Y9)</f>
        <v>7.8125E-3</v>
      </c>
      <c r="M9" s="123">
        <f>('Table 4'!M9/'Table 4'!Y9)</f>
        <v>1.171875E-2</v>
      </c>
      <c r="N9" s="123">
        <f>('Table 4'!N9/'Table 4'!Y9)</f>
        <v>3.90625E-3</v>
      </c>
      <c r="O9" s="123">
        <f>('Table 4'!O9/'Table 4'!Y9)</f>
        <v>1.171875E-2</v>
      </c>
      <c r="P9" s="123">
        <f>('Table 4'!P9/'Table 4'!Y9)</f>
        <v>3.515625E-2</v>
      </c>
      <c r="Q9" s="123">
        <f>('Table 4'!Q9/'Table 4'!Y9)</f>
        <v>0</v>
      </c>
      <c r="R9" s="123">
        <f>('Table 4'!R9/'Table 4'!Y9)</f>
        <v>7.8125E-3</v>
      </c>
      <c r="S9" s="123">
        <f>('Table 4'!S9/'Table 4'!Y9)</f>
        <v>0.12890625</v>
      </c>
      <c r="T9" s="123">
        <f>('Table 4'!T9/'Table 4'!Y9)</f>
        <v>0.140625</v>
      </c>
      <c r="U9" s="123">
        <f>('Table 4'!U9/'Table 4'!Y9)</f>
        <v>3.90625E-2</v>
      </c>
      <c r="V9" s="123">
        <f>('Table 4'!V9/'Table 4'!Y9)</f>
        <v>0.44921875</v>
      </c>
      <c r="W9" s="123">
        <f>('Table 4'!W9/'Table 4'!Y9)</f>
        <v>0.5859375</v>
      </c>
      <c r="X9" s="124">
        <f>('Table 4'!X9/'Table 4'!Y9)</f>
        <v>0.26953125</v>
      </c>
    </row>
    <row r="10" spans="1:24" x14ac:dyDescent="0.25">
      <c r="A10" s="62" t="s">
        <v>9025</v>
      </c>
      <c r="B10" s="68" t="s">
        <v>9387</v>
      </c>
      <c r="C10" s="9" t="s">
        <v>9381</v>
      </c>
      <c r="D10" s="25">
        <v>0</v>
      </c>
      <c r="E10" s="25">
        <v>0</v>
      </c>
      <c r="F10" s="119">
        <f>('Table 4'!F10/'Table 4'!Y10)</f>
        <v>0.10178117048346055</v>
      </c>
      <c r="G10" s="119">
        <f>('Table 4'!G10/'Table 4'!Y10)</f>
        <v>0.27989821882951654</v>
      </c>
      <c r="H10" s="119">
        <f>('Table 4'!H10/'Table 4'!Y10)</f>
        <v>9.9236641221374045E-2</v>
      </c>
      <c r="I10" s="119">
        <f>('Table 4'!I10/'Table 4'!Y10)</f>
        <v>0.1272264631043257</v>
      </c>
      <c r="J10" s="119">
        <f>('Table 4'!J10/'Table 4'!Y10)</f>
        <v>0</v>
      </c>
      <c r="K10" s="119">
        <f>('Table 4'!K10/'Table 4'!Y10)</f>
        <v>1.7811704834605598E-2</v>
      </c>
      <c r="L10" s="119">
        <f>('Table 4'!L10/'Table 4'!Y10)</f>
        <v>7.6335877862595417E-3</v>
      </c>
      <c r="M10" s="119">
        <f>('Table 4'!M10/'Table 4'!Y10)</f>
        <v>1.7811704834605598E-2</v>
      </c>
      <c r="N10" s="119">
        <f>('Table 4'!N10/'Table 4'!Y10)</f>
        <v>5.0890585241730284E-3</v>
      </c>
      <c r="O10" s="119">
        <f>('Table 4'!O10/'Table 4'!Y10)</f>
        <v>1.5267175572519083E-2</v>
      </c>
      <c r="P10" s="119">
        <f>('Table 4'!P10/'Table 4'!Y10)</f>
        <v>4.3256997455470736E-2</v>
      </c>
      <c r="Q10" s="119">
        <f>('Table 4'!Q10/'Table 4'!Y10)</f>
        <v>1.7811704834605598E-2</v>
      </c>
      <c r="R10" s="119">
        <f>('Table 4'!R10/'Table 4'!Y10)</f>
        <v>0.13740458015267176</v>
      </c>
      <c r="S10" s="119">
        <f>('Table 4'!S10/'Table 4'!Y10)</f>
        <v>0.48346055979643765</v>
      </c>
      <c r="T10" s="119">
        <f>('Table 4'!T10/'Table 4'!Y10)</f>
        <v>0.40712468193384221</v>
      </c>
      <c r="U10" s="119">
        <f>('Table 4'!U10/'Table 4'!Y10)</f>
        <v>3.8167938931297711E-2</v>
      </c>
      <c r="V10" s="119">
        <f>('Table 4'!V10/'Table 4'!Y10)</f>
        <v>0.15012722646310434</v>
      </c>
      <c r="W10" s="119">
        <f>('Table 4'!W10/'Table 4'!Y10)</f>
        <v>0.27226463104325699</v>
      </c>
      <c r="X10" s="120">
        <f>('Table 4'!X10/'Table 4'!Y10)</f>
        <v>0.22646310432569974</v>
      </c>
    </row>
    <row r="11" spans="1:24" s="105" customFormat="1" x14ac:dyDescent="0.25">
      <c r="A11" s="96" t="s">
        <v>9034</v>
      </c>
      <c r="B11" s="9" t="s">
        <v>9388</v>
      </c>
      <c r="C11" s="9" t="s">
        <v>9381</v>
      </c>
      <c r="D11" s="98">
        <v>1</v>
      </c>
      <c r="E11" s="98">
        <v>1</v>
      </c>
      <c r="F11" s="121">
        <f>('Table 4'!F11/'Table 4'!Y11)</f>
        <v>0.10330578512396695</v>
      </c>
      <c r="G11" s="121">
        <f>('Table 4'!G11/'Table 4'!Y11)</f>
        <v>0.17355371900826447</v>
      </c>
      <c r="H11" s="121">
        <f>('Table 4'!H11/'Table 4'!Y11)</f>
        <v>4.1322314049586778E-2</v>
      </c>
      <c r="I11" s="121">
        <f>('Table 4'!I11/'Table 4'!Y11)</f>
        <v>2.8925619834710745E-2</v>
      </c>
      <c r="J11" s="121">
        <f>('Table 4'!J11/'Table 4'!Y11)</f>
        <v>2.0661157024793389E-2</v>
      </c>
      <c r="K11" s="121">
        <f>('Table 4'!K11/'Table 4'!Y11)</f>
        <v>8.2644628099173556E-3</v>
      </c>
      <c r="L11" s="121">
        <f>('Table 4'!L11/'Table 4'!Y11)</f>
        <v>1.6528925619834711E-2</v>
      </c>
      <c r="M11" s="121">
        <f>('Table 4'!M11/'Table 4'!Y11)</f>
        <v>2.0661157024793389E-2</v>
      </c>
      <c r="N11" s="121">
        <f>('Table 4'!N11/'Table 4'!Y11)</f>
        <v>0</v>
      </c>
      <c r="O11" s="121">
        <f>('Table 4'!O11/'Table 4'!Y11)</f>
        <v>1.6528925619834711E-2</v>
      </c>
      <c r="P11" s="121">
        <f>('Table 4'!P11/'Table 4'!Y11)</f>
        <v>2.4793388429752067E-2</v>
      </c>
      <c r="Q11" s="121">
        <f>('Table 4'!Q11/'Table 4'!Y11)</f>
        <v>1.6528925619834711E-2</v>
      </c>
      <c r="R11" s="121">
        <f>('Table 4'!R11/'Table 4'!Y11)</f>
        <v>7.43801652892562E-2</v>
      </c>
      <c r="S11" s="121">
        <f>('Table 4'!S11/'Table 4'!Y11)</f>
        <v>0.55785123966942152</v>
      </c>
      <c r="T11" s="121">
        <f>('Table 4'!T11/'Table 4'!Y11)</f>
        <v>0.1115702479338843</v>
      </c>
      <c r="U11" s="121">
        <f>('Table 4'!U11/'Table 4'!Y11)</f>
        <v>2.8925619834710745E-2</v>
      </c>
      <c r="V11" s="121">
        <f>('Table 4'!V11/'Table 4'!Y11)</f>
        <v>0.21487603305785125</v>
      </c>
      <c r="W11" s="121">
        <f>('Table 4'!W11/'Table 4'!Y11)</f>
        <v>0.38016528925619836</v>
      </c>
      <c r="X11" s="122">
        <f>('Table 4'!X11/'Table 4'!Y11)</f>
        <v>0.18595041322314049</v>
      </c>
    </row>
    <row r="12" spans="1:24" x14ac:dyDescent="0.25">
      <c r="A12" s="62" t="s">
        <v>9034</v>
      </c>
      <c r="B12" s="68" t="s">
        <v>9389</v>
      </c>
      <c r="C12" s="8" t="s">
        <v>9379</v>
      </c>
      <c r="D12" s="25">
        <v>0</v>
      </c>
      <c r="E12" s="25">
        <v>0</v>
      </c>
      <c r="F12" s="119">
        <f>('Table 4'!F12/'Table 4'!Y12)</f>
        <v>0.16363636363636364</v>
      </c>
      <c r="G12" s="119">
        <f>('Table 4'!G12/'Table 4'!Y12)</f>
        <v>0.10909090909090909</v>
      </c>
      <c r="H12" s="119">
        <f>('Table 4'!H12/'Table 4'!Y12)</f>
        <v>0</v>
      </c>
      <c r="I12" s="119">
        <f>('Table 4'!I12/'Table 4'!Y12)</f>
        <v>3.6363636363636362E-2</v>
      </c>
      <c r="J12" s="119">
        <f>('Table 4'!J12/'Table 4'!Y12)</f>
        <v>1.8181818181818181E-2</v>
      </c>
      <c r="K12" s="119">
        <f>('Table 4'!K12/'Table 4'!Y12)</f>
        <v>0.10909090909090909</v>
      </c>
      <c r="L12" s="119">
        <f>('Table 4'!L12/'Table 4'!Y12)</f>
        <v>3.6363636363636362E-2</v>
      </c>
      <c r="M12" s="119">
        <f>('Table 4'!M12/'Table 4'!Y12)</f>
        <v>7.2727272727272724E-2</v>
      </c>
      <c r="N12" s="119">
        <f>('Table 4'!N12/'Table 4'!Y12)</f>
        <v>0</v>
      </c>
      <c r="O12" s="119">
        <f>('Table 4'!O12/'Table 4'!Y12)</f>
        <v>1.8181818181818181E-2</v>
      </c>
      <c r="P12" s="119">
        <f>('Table 4'!P12/'Table 4'!Y12)</f>
        <v>0</v>
      </c>
      <c r="Q12" s="119">
        <f>('Table 4'!Q12/'Table 4'!Y12)</f>
        <v>0</v>
      </c>
      <c r="R12" s="119">
        <f>('Table 4'!R12/'Table 4'!Y12)</f>
        <v>3.6363636363636362E-2</v>
      </c>
      <c r="S12" s="119">
        <f>('Table 4'!S12/'Table 4'!Y12)</f>
        <v>0.36363636363636365</v>
      </c>
      <c r="T12" s="119">
        <f>('Table 4'!T12/'Table 4'!Y12)</f>
        <v>0.4</v>
      </c>
      <c r="U12" s="119">
        <f>('Table 4'!U12/'Table 4'!Y12)</f>
        <v>1.8181818181818181E-2</v>
      </c>
      <c r="V12" s="119">
        <f>('Table 4'!V12/'Table 4'!Y12)</f>
        <v>0.16363636363636364</v>
      </c>
      <c r="W12" s="119">
        <f>('Table 4'!W12/'Table 4'!Y12)</f>
        <v>0.36363636363636365</v>
      </c>
      <c r="X12" s="120">
        <f>('Table 4'!X12/'Table 4'!Y12)</f>
        <v>0.49090909090909091</v>
      </c>
    </row>
    <row r="13" spans="1:24" s="105" customFormat="1" x14ac:dyDescent="0.25">
      <c r="A13" s="96" t="s">
        <v>9037</v>
      </c>
      <c r="B13" s="9" t="s">
        <v>9390</v>
      </c>
      <c r="C13" s="9" t="s">
        <v>9381</v>
      </c>
      <c r="D13" s="98">
        <v>1</v>
      </c>
      <c r="E13" s="98">
        <v>1</v>
      </c>
      <c r="F13" s="121">
        <f>('Table 4'!F13/'Table 4'!Y13)</f>
        <v>6.2322946175637391E-2</v>
      </c>
      <c r="G13" s="121">
        <f>('Table 4'!G13/'Table 4'!Y13)</f>
        <v>0.1359773371104816</v>
      </c>
      <c r="H13" s="121">
        <f>('Table 4'!H13/'Table 4'!Y13)</f>
        <v>0.11331444759206799</v>
      </c>
      <c r="I13" s="121">
        <f>('Table 4'!I13/'Table 4'!Y13)</f>
        <v>0.11898016997167139</v>
      </c>
      <c r="J13" s="121">
        <f>('Table 4'!J13/'Table 4'!Y13)</f>
        <v>1.4164305949008499E-2</v>
      </c>
      <c r="K13" s="121">
        <f>('Table 4'!K13/'Table 4'!Y13)</f>
        <v>0.14447592067988668</v>
      </c>
      <c r="L13" s="121">
        <f>('Table 4'!L13/'Table 4'!Y13)</f>
        <v>1.1331444759206799E-2</v>
      </c>
      <c r="M13" s="121">
        <f>('Table 4'!M13/'Table 4'!Y13)</f>
        <v>4.5325779036827198E-2</v>
      </c>
      <c r="N13" s="121">
        <f>('Table 4'!N13/'Table 4'!Y13)</f>
        <v>5.6657223796033997E-3</v>
      </c>
      <c r="O13" s="121">
        <f>('Table 4'!O13/'Table 4'!Y13)</f>
        <v>3.6827195467422094E-2</v>
      </c>
      <c r="P13" s="121">
        <f>('Table 4'!P13/'Table 4'!Y13)</f>
        <v>5.9490084985835696E-2</v>
      </c>
      <c r="Q13" s="121">
        <f>('Table 4'!Q13/'Table 4'!Y13)</f>
        <v>2.8328611898016998E-2</v>
      </c>
      <c r="R13" s="121">
        <f>('Table 4'!R13/'Table 4'!Y13)</f>
        <v>7.9320113314447591E-2</v>
      </c>
      <c r="S13" s="121">
        <f>('Table 4'!S13/'Table 4'!Y13)</f>
        <v>0.43626062322946174</v>
      </c>
      <c r="T13" s="121">
        <f>('Table 4'!T13/'Table 4'!Y13)</f>
        <v>0.11331444759206799</v>
      </c>
      <c r="U13" s="121">
        <f>('Table 4'!U13/'Table 4'!Y13)</f>
        <v>2.8328611898016998E-2</v>
      </c>
      <c r="V13" s="121">
        <f>('Table 4'!V13/'Table 4'!Y13)</f>
        <v>0.23512747875354106</v>
      </c>
      <c r="W13" s="121">
        <f>('Table 4'!W13/'Table 4'!Y13)</f>
        <v>0.25779036827195467</v>
      </c>
      <c r="X13" s="122">
        <f>('Table 4'!X13/'Table 4'!Y13)</f>
        <v>0.14447592067988668</v>
      </c>
    </row>
    <row r="14" spans="1:24" x14ac:dyDescent="0.25">
      <c r="A14" s="62" t="s">
        <v>9037</v>
      </c>
      <c r="B14" s="68" t="s">
        <v>9391</v>
      </c>
      <c r="C14" s="8" t="s">
        <v>9379</v>
      </c>
      <c r="D14" s="25">
        <v>0</v>
      </c>
      <c r="E14" s="25">
        <v>0</v>
      </c>
      <c r="F14" s="119">
        <f>('Table 4'!F14/'Table 4'!Y14)</f>
        <v>0.16783216783216784</v>
      </c>
      <c r="G14" s="119">
        <f>('Table 4'!G14/'Table 4'!Y14)</f>
        <v>4.5454545454545456E-2</v>
      </c>
      <c r="H14" s="119">
        <f>('Table 4'!H14/'Table 4'!Y14)</f>
        <v>7.6923076923076927E-2</v>
      </c>
      <c r="I14" s="119">
        <f>('Table 4'!I14/'Table 4'!Y14)</f>
        <v>0.14685314685314685</v>
      </c>
      <c r="J14" s="119">
        <f>('Table 4'!J14/'Table 4'!Y14)</f>
        <v>6.2937062937062943E-2</v>
      </c>
      <c r="K14" s="119">
        <f>('Table 4'!K14/'Table 4'!Y14)</f>
        <v>2.7972027972027972E-2</v>
      </c>
      <c r="L14" s="119">
        <f>('Table 4'!L14/'Table 4'!Y14)</f>
        <v>6.2937062937062943E-2</v>
      </c>
      <c r="M14" s="119">
        <f>('Table 4'!M14/'Table 4'!Y14)</f>
        <v>6.9930069930069935E-2</v>
      </c>
      <c r="N14" s="119">
        <f>('Table 4'!N14/'Table 4'!Y14)</f>
        <v>1.7482517482517484E-2</v>
      </c>
      <c r="O14" s="119">
        <f>('Table 4'!O14/'Table 4'!Y14)</f>
        <v>2.4475524475524476E-2</v>
      </c>
      <c r="P14" s="119">
        <f>('Table 4'!P14/'Table 4'!Y14)</f>
        <v>7.3426573426573424E-2</v>
      </c>
      <c r="Q14" s="119">
        <f>('Table 4'!Q14/'Table 4'!Y14)</f>
        <v>6.993006993006993E-3</v>
      </c>
      <c r="R14" s="119">
        <f>('Table 4'!R14/'Table 4'!Y14)</f>
        <v>0.27272727272727271</v>
      </c>
      <c r="S14" s="119">
        <f>('Table 4'!S14/'Table 4'!Y14)</f>
        <v>0.35314685314685312</v>
      </c>
      <c r="T14" s="119">
        <f>('Table 4'!T14/'Table 4'!Y14)</f>
        <v>0.56993006993006989</v>
      </c>
      <c r="U14" s="119">
        <f>('Table 4'!U14/'Table 4'!Y14)</f>
        <v>3.4965034965034965E-3</v>
      </c>
      <c r="V14" s="119">
        <f>('Table 4'!V14/'Table 4'!Y14)</f>
        <v>9.7902097902097904E-2</v>
      </c>
      <c r="W14" s="119">
        <f>('Table 4'!W14/'Table 4'!Y14)</f>
        <v>0.18531468531468531</v>
      </c>
      <c r="X14" s="120">
        <f>('Table 4'!X14/'Table 4'!Y14)</f>
        <v>8.7412587412587409E-2</v>
      </c>
    </row>
    <row r="15" spans="1:24" s="105" customFormat="1" x14ac:dyDescent="0.25">
      <c r="A15" s="96" t="s">
        <v>9055</v>
      </c>
      <c r="B15" s="9" t="s">
        <v>9392</v>
      </c>
      <c r="C15" s="9" t="s">
        <v>9381</v>
      </c>
      <c r="D15" s="98">
        <v>1</v>
      </c>
      <c r="E15" s="98">
        <v>1</v>
      </c>
      <c r="F15" s="121">
        <f>('Table 4'!F15/'Table 4'!Y15)</f>
        <v>0.22285714285714286</v>
      </c>
      <c r="G15" s="121">
        <f>('Table 4'!G15/'Table 4'!Y15)</f>
        <v>0.21714285714285714</v>
      </c>
      <c r="H15" s="121">
        <f>('Table 4'!H15/'Table 4'!Y15)</f>
        <v>7.4285714285714288E-2</v>
      </c>
      <c r="I15" s="121">
        <f>('Table 4'!I15/'Table 4'!Y15)</f>
        <v>0.14857142857142858</v>
      </c>
      <c r="J15" s="121">
        <f>('Table 4'!J15/'Table 4'!Y15)</f>
        <v>1.1428571428571429E-2</v>
      </c>
      <c r="K15" s="121">
        <f>('Table 4'!K15/'Table 4'!Y15)</f>
        <v>2.2857142857142857E-2</v>
      </c>
      <c r="L15" s="121">
        <f>('Table 4'!L15/'Table 4'!Y15)</f>
        <v>5.7142857142857143E-3</v>
      </c>
      <c r="M15" s="121">
        <f>('Table 4'!M15/'Table 4'!Y15)</f>
        <v>2.8571428571428571E-2</v>
      </c>
      <c r="N15" s="121">
        <f>('Table 4'!N15/'Table 4'!Y15)</f>
        <v>5.7142857142857143E-3</v>
      </c>
      <c r="O15" s="121">
        <f>('Table 4'!O15/'Table 4'!Y15)</f>
        <v>2.2857142857142857E-2</v>
      </c>
      <c r="P15" s="121">
        <f>('Table 4'!P15/'Table 4'!Y15)</f>
        <v>1.7142857142857144E-2</v>
      </c>
      <c r="Q15" s="121">
        <f>('Table 4'!Q15/'Table 4'!Y15)</f>
        <v>2.8571428571428571E-2</v>
      </c>
      <c r="R15" s="121">
        <f>('Table 4'!R15/'Table 4'!Y15)</f>
        <v>5.1428571428571428E-2</v>
      </c>
      <c r="S15" s="121">
        <f>('Table 4'!S15/'Table 4'!Y15)</f>
        <v>0.42857142857142855</v>
      </c>
      <c r="T15" s="121">
        <f>('Table 4'!T15/'Table 4'!Y15)</f>
        <v>0.16</v>
      </c>
      <c r="U15" s="121">
        <f>('Table 4'!U15/'Table 4'!Y15)</f>
        <v>2.2857142857142857E-2</v>
      </c>
      <c r="V15" s="121">
        <f>('Table 4'!V15/'Table 4'!Y15)</f>
        <v>0.18857142857142858</v>
      </c>
      <c r="W15" s="121">
        <f>('Table 4'!W15/'Table 4'!Y15)</f>
        <v>0.41714285714285715</v>
      </c>
      <c r="X15" s="122">
        <f>('Table 4'!X15/'Table 4'!Y15)</f>
        <v>0.17714285714285713</v>
      </c>
    </row>
    <row r="16" spans="1:24" x14ac:dyDescent="0.25">
      <c r="A16" s="62" t="s">
        <v>9055</v>
      </c>
      <c r="B16" s="68" t="s">
        <v>9393</v>
      </c>
      <c r="C16" s="8" t="s">
        <v>9379</v>
      </c>
      <c r="D16" s="25">
        <v>0</v>
      </c>
      <c r="E16" s="25">
        <v>0</v>
      </c>
      <c r="F16" s="119">
        <f>('Table 4'!F16/'Table 4'!Y16)</f>
        <v>7.421875E-2</v>
      </c>
      <c r="G16" s="119">
        <f>('Table 4'!G16/'Table 4'!Y16)</f>
        <v>5.859375E-2</v>
      </c>
      <c r="H16" s="119">
        <f>('Table 4'!H16/'Table 4'!Y16)</f>
        <v>8.984375E-2</v>
      </c>
      <c r="I16" s="119">
        <f>('Table 4'!I16/'Table 4'!Y16)</f>
        <v>8.59375E-2</v>
      </c>
      <c r="J16" s="119">
        <f>('Table 4'!J16/'Table 4'!Y16)</f>
        <v>1.953125E-2</v>
      </c>
      <c r="K16" s="119">
        <f>('Table 4'!K16/'Table 4'!Y16)</f>
        <v>7.8125E-3</v>
      </c>
      <c r="L16" s="119">
        <f>('Table 4'!L16/'Table 4'!Y16)</f>
        <v>1.171875E-2</v>
      </c>
      <c r="M16" s="119">
        <f>('Table 4'!M16/'Table 4'!Y16)</f>
        <v>1.171875E-2</v>
      </c>
      <c r="N16" s="119">
        <f>('Table 4'!N16/'Table 4'!Y16)</f>
        <v>0</v>
      </c>
      <c r="O16" s="119">
        <f>('Table 4'!O16/'Table 4'!Y16)</f>
        <v>3.90625E-3</v>
      </c>
      <c r="P16" s="119">
        <f>('Table 4'!P16/'Table 4'!Y16)</f>
        <v>2.34375E-2</v>
      </c>
      <c r="Q16" s="119">
        <f>('Table 4'!Q16/'Table 4'!Y16)</f>
        <v>0</v>
      </c>
      <c r="R16" s="119">
        <f>('Table 4'!R16/'Table 4'!Y16)</f>
        <v>9.375E-2</v>
      </c>
      <c r="S16" s="119">
        <f>('Table 4'!S16/'Table 4'!Y16)</f>
        <v>0.31640625</v>
      </c>
      <c r="T16" s="119">
        <f>('Table 4'!T16/'Table 4'!Y16)</f>
        <v>0.57421875</v>
      </c>
      <c r="U16" s="119">
        <f>('Table 4'!U16/'Table 4'!Y16)</f>
        <v>2.734375E-2</v>
      </c>
      <c r="V16" s="119">
        <f>('Table 4'!V16/'Table 4'!Y16)</f>
        <v>0.17578125</v>
      </c>
      <c r="W16" s="119">
        <f>('Table 4'!W16/'Table 4'!Y16)</f>
        <v>0.328125</v>
      </c>
      <c r="X16" s="120">
        <f>('Table 4'!X16/'Table 4'!Y16)</f>
        <v>0.15625</v>
      </c>
    </row>
    <row r="17" spans="1:24" s="104" customFormat="1" x14ac:dyDescent="0.25">
      <c r="A17" s="100" t="s">
        <v>9067</v>
      </c>
      <c r="B17" s="8" t="s">
        <v>9394</v>
      </c>
      <c r="C17" s="8" t="s">
        <v>9379</v>
      </c>
      <c r="D17" s="102">
        <v>1</v>
      </c>
      <c r="E17" s="102">
        <v>1</v>
      </c>
      <c r="F17" s="123">
        <f>('Table 4'!F17/'Table 4'!Y17)</f>
        <v>7.6923076923076927E-2</v>
      </c>
      <c r="G17" s="123">
        <f>('Table 4'!G17/'Table 4'!Y17)</f>
        <v>5.4945054945054949E-3</v>
      </c>
      <c r="H17" s="123">
        <f>('Table 4'!H17/'Table 4'!Y17)</f>
        <v>0.12637362637362637</v>
      </c>
      <c r="I17" s="123">
        <f>('Table 4'!I17/'Table 4'!Y17)</f>
        <v>2.7472527472527472E-2</v>
      </c>
      <c r="J17" s="123">
        <f>('Table 4'!J17/'Table 4'!Y17)</f>
        <v>5.4945054945054949E-3</v>
      </c>
      <c r="K17" s="123">
        <f>('Table 4'!K17/'Table 4'!Y17)</f>
        <v>1.098901098901099E-2</v>
      </c>
      <c r="L17" s="123">
        <f>('Table 4'!L17/'Table 4'!Y17)</f>
        <v>1.6483516483516484E-2</v>
      </c>
      <c r="M17" s="123">
        <f>('Table 4'!M17/'Table 4'!Y17)</f>
        <v>0</v>
      </c>
      <c r="N17" s="123">
        <f>('Table 4'!N17/'Table 4'!Y17)</f>
        <v>0</v>
      </c>
      <c r="O17" s="123">
        <f>('Table 4'!O17/'Table 4'!Y17)</f>
        <v>5.4945054945054949E-3</v>
      </c>
      <c r="P17" s="123">
        <f>('Table 4'!P17/'Table 4'!Y17)</f>
        <v>7.6923076923076927E-2</v>
      </c>
      <c r="Q17" s="123">
        <f>('Table 4'!Q17/'Table 4'!Y17)</f>
        <v>0</v>
      </c>
      <c r="R17" s="123">
        <f>('Table 4'!R17/'Table 4'!Y17)</f>
        <v>8.7912087912087919E-2</v>
      </c>
      <c r="S17" s="123">
        <f>('Table 4'!S17/'Table 4'!Y17)</f>
        <v>0.45054945054945056</v>
      </c>
      <c r="T17" s="123">
        <f>('Table 4'!T17/'Table 4'!Y17)</f>
        <v>0.60989010989010994</v>
      </c>
      <c r="U17" s="123">
        <f>('Table 4'!U17/'Table 4'!Y17)</f>
        <v>5.4945054945054949E-3</v>
      </c>
      <c r="V17" s="123">
        <f>('Table 4'!V17/'Table 4'!Y17)</f>
        <v>9.3406593406593408E-2</v>
      </c>
      <c r="W17" s="123">
        <f>('Table 4'!W17/'Table 4'!Y17)</f>
        <v>0.17582417582417584</v>
      </c>
      <c r="X17" s="124">
        <f>('Table 4'!X17/'Table 4'!Y17)</f>
        <v>0.4175824175824176</v>
      </c>
    </row>
    <row r="18" spans="1:24" x14ac:dyDescent="0.25">
      <c r="A18" s="62" t="s">
        <v>9067</v>
      </c>
      <c r="B18" s="68" t="s">
        <v>9395</v>
      </c>
      <c r="C18" s="9" t="s">
        <v>9381</v>
      </c>
      <c r="D18" s="25">
        <v>0</v>
      </c>
      <c r="E18" s="25">
        <v>0</v>
      </c>
      <c r="F18" s="119">
        <f>('Table 4'!F18/'Table 4'!Y18)</f>
        <v>0.17777777777777778</v>
      </c>
      <c r="G18" s="119">
        <f>('Table 4'!G18/'Table 4'!Y18)</f>
        <v>0.22962962962962963</v>
      </c>
      <c r="H18" s="119">
        <f>('Table 4'!H18/'Table 4'!Y18)</f>
        <v>6.6666666666666666E-2</v>
      </c>
      <c r="I18" s="119">
        <f>('Table 4'!I18/'Table 4'!Y18)</f>
        <v>0.18518518518518517</v>
      </c>
      <c r="J18" s="119">
        <f>('Table 4'!J18/'Table 4'!Y18)</f>
        <v>0</v>
      </c>
      <c r="K18" s="119">
        <f>('Table 4'!K18/'Table 4'!Y18)</f>
        <v>1.4814814814814815E-2</v>
      </c>
      <c r="L18" s="119">
        <f>('Table 4'!L18/'Table 4'!Y18)</f>
        <v>2.2222222222222223E-2</v>
      </c>
      <c r="M18" s="119">
        <f>('Table 4'!M18/'Table 4'!Y18)</f>
        <v>1.4814814814814815E-2</v>
      </c>
      <c r="N18" s="119">
        <f>('Table 4'!N18/'Table 4'!Y18)</f>
        <v>0</v>
      </c>
      <c r="O18" s="119">
        <f>('Table 4'!O18/'Table 4'!Y18)</f>
        <v>0</v>
      </c>
      <c r="P18" s="119">
        <f>('Table 4'!P18/'Table 4'!Y18)</f>
        <v>3.7037037037037035E-2</v>
      </c>
      <c r="Q18" s="119">
        <f>('Table 4'!Q18/'Table 4'!Y18)</f>
        <v>0</v>
      </c>
      <c r="R18" s="119">
        <f>('Table 4'!R18/'Table 4'!Y18)</f>
        <v>3.7037037037037035E-2</v>
      </c>
      <c r="S18" s="119">
        <f>('Table 4'!S18/'Table 4'!Y18)</f>
        <v>0.48148148148148145</v>
      </c>
      <c r="T18" s="119">
        <f>('Table 4'!T18/'Table 4'!Y18)</f>
        <v>0.31111111111111112</v>
      </c>
      <c r="U18" s="119">
        <f>('Table 4'!U18/'Table 4'!Y18)</f>
        <v>2.9629629629629631E-2</v>
      </c>
      <c r="V18" s="119">
        <f>('Table 4'!V18/'Table 4'!Y18)</f>
        <v>6.6666666666666666E-2</v>
      </c>
      <c r="W18" s="119">
        <f>('Table 4'!W18/'Table 4'!Y18)</f>
        <v>0.4148148148148148</v>
      </c>
      <c r="X18" s="120">
        <f>('Table 4'!X18/'Table 4'!Y18)</f>
        <v>0.16296296296296298</v>
      </c>
    </row>
    <row r="19" spans="1:24" s="104" customFormat="1" x14ac:dyDescent="0.25">
      <c r="A19" s="100" t="s">
        <v>9097</v>
      </c>
      <c r="B19" s="8" t="s">
        <v>9396</v>
      </c>
      <c r="C19" s="8" t="s">
        <v>9379</v>
      </c>
      <c r="D19" s="102">
        <v>1</v>
      </c>
      <c r="E19" s="102">
        <v>1</v>
      </c>
      <c r="F19" s="123">
        <f>('Table 4'!F19/'Table 4'!Y19)</f>
        <v>7.6411960132890366E-2</v>
      </c>
      <c r="G19" s="123">
        <f>('Table 4'!G19/'Table 4'!Y19)</f>
        <v>1.6611295681063124E-2</v>
      </c>
      <c r="H19" s="123">
        <f>('Table 4'!H19/'Table 4'!Y19)</f>
        <v>0.15282392026578073</v>
      </c>
      <c r="I19" s="123">
        <f>('Table 4'!I19/'Table 4'!Y19)</f>
        <v>0.10299003322259136</v>
      </c>
      <c r="J19" s="123">
        <f>('Table 4'!J19/'Table 4'!Y19)</f>
        <v>1.3289036544850499E-2</v>
      </c>
      <c r="K19" s="123">
        <f>('Table 4'!K19/'Table 4'!Y19)</f>
        <v>8.6378737541528236E-2</v>
      </c>
      <c r="L19" s="123">
        <f>('Table 4'!L19/'Table 4'!Y19)</f>
        <v>1.3289036544850499E-2</v>
      </c>
      <c r="M19" s="123">
        <f>('Table 4'!M19/'Table 4'!Y19)</f>
        <v>2.6578073089700997E-2</v>
      </c>
      <c r="N19" s="123">
        <f>('Table 4'!N19/'Table 4'!Y19)</f>
        <v>2.6578073089700997E-2</v>
      </c>
      <c r="O19" s="123">
        <f>('Table 4'!O19/'Table 4'!Y19)</f>
        <v>1.6611295681063124E-2</v>
      </c>
      <c r="P19" s="123">
        <f>('Table 4'!P19/'Table 4'!Y19)</f>
        <v>5.9800664451827246E-2</v>
      </c>
      <c r="Q19" s="123">
        <f>('Table 4'!Q19/'Table 4'!Y19)</f>
        <v>0</v>
      </c>
      <c r="R19" s="123">
        <f>('Table 4'!R19/'Table 4'!Y19)</f>
        <v>2.9900332225913623E-2</v>
      </c>
      <c r="S19" s="123">
        <f>('Table 4'!S19/'Table 4'!Y19)</f>
        <v>0.17607973421926909</v>
      </c>
      <c r="T19" s="123">
        <f>('Table 4'!T19/'Table 4'!Y19)</f>
        <v>0.28239202657807311</v>
      </c>
      <c r="U19" s="123">
        <f>('Table 4'!U19/'Table 4'!Y19)</f>
        <v>1.9933554817275746E-2</v>
      </c>
      <c r="V19" s="123">
        <f>('Table 4'!V19/'Table 4'!Y19)</f>
        <v>0.33554817275747506</v>
      </c>
      <c r="W19" s="123">
        <f>('Table 4'!W19/'Table 4'!Y19)</f>
        <v>7.3089700996677748E-2</v>
      </c>
      <c r="X19" s="124">
        <f>('Table 4'!X19/'Table 4'!Y19)</f>
        <v>6.6445182724252493E-3</v>
      </c>
    </row>
    <row r="20" spans="1:24" x14ac:dyDescent="0.25">
      <c r="A20" s="62" t="s">
        <v>9097</v>
      </c>
      <c r="B20" s="68" t="s">
        <v>9397</v>
      </c>
      <c r="C20" s="9" t="s">
        <v>9381</v>
      </c>
      <c r="D20" s="25">
        <v>0</v>
      </c>
      <c r="E20" s="25">
        <v>0</v>
      </c>
      <c r="F20" s="119">
        <f>('Table 4'!F20/'Table 4'!Y20)</f>
        <v>5.0847457627118647E-2</v>
      </c>
      <c r="G20" s="119">
        <f>('Table 4'!G20/'Table 4'!Y20)</f>
        <v>8.1920903954802254E-2</v>
      </c>
      <c r="H20" s="119">
        <f>('Table 4'!H20/'Table 4'!Y20)</f>
        <v>2.2598870056497175E-2</v>
      </c>
      <c r="I20" s="119">
        <f>('Table 4'!I20/'Table 4'!Y20)</f>
        <v>0.11016949152542373</v>
      </c>
      <c r="J20" s="119">
        <f>('Table 4'!J20/'Table 4'!Y20)</f>
        <v>5.6497175141242938E-3</v>
      </c>
      <c r="K20" s="119">
        <f>('Table 4'!K20/'Table 4'!Y20)</f>
        <v>1.1299435028248588E-2</v>
      </c>
      <c r="L20" s="119">
        <f>('Table 4'!L20/'Table 4'!Y20)</f>
        <v>1.1299435028248588E-2</v>
      </c>
      <c r="M20" s="119">
        <f>('Table 4'!M20/'Table 4'!Y20)</f>
        <v>4.519774011299435E-2</v>
      </c>
      <c r="N20" s="119">
        <f>('Table 4'!N20/'Table 4'!Y20)</f>
        <v>2.2598870056497175E-2</v>
      </c>
      <c r="O20" s="119">
        <f>('Table 4'!O20/'Table 4'!Y20)</f>
        <v>8.4745762711864406E-3</v>
      </c>
      <c r="P20" s="119">
        <f>('Table 4'!P20/'Table 4'!Y20)</f>
        <v>2.5423728813559324E-2</v>
      </c>
      <c r="Q20" s="119">
        <f>('Table 4'!Q20/'Table 4'!Y20)</f>
        <v>5.6497175141242938E-3</v>
      </c>
      <c r="R20" s="119">
        <f>('Table 4'!R20/'Table 4'!Y20)</f>
        <v>3.6723163841807911E-2</v>
      </c>
      <c r="S20" s="119">
        <f>('Table 4'!S20/'Table 4'!Y20)</f>
        <v>0.44350282485875708</v>
      </c>
      <c r="T20" s="119">
        <f>('Table 4'!T20/'Table 4'!Y20)</f>
        <v>0.33050847457627119</v>
      </c>
      <c r="U20" s="119">
        <f>('Table 4'!U20/'Table 4'!Y20)</f>
        <v>8.4745762711864406E-3</v>
      </c>
      <c r="V20" s="119">
        <f>('Table 4'!V20/'Table 4'!Y20)</f>
        <v>0.20903954802259886</v>
      </c>
      <c r="W20" s="119">
        <f>('Table 4'!W20/'Table 4'!Y20)</f>
        <v>0.20903954802259886</v>
      </c>
      <c r="X20" s="120">
        <f>('Table 4'!X20/'Table 4'!Y20)</f>
        <v>0.1440677966101695</v>
      </c>
    </row>
    <row r="21" spans="1:24" s="105" customFormat="1" x14ac:dyDescent="0.25">
      <c r="A21" s="96" t="s">
        <v>9106</v>
      </c>
      <c r="B21" s="9" t="s">
        <v>9398</v>
      </c>
      <c r="C21" s="9" t="s">
        <v>9381</v>
      </c>
      <c r="D21" s="98">
        <v>1</v>
      </c>
      <c r="E21" s="98">
        <v>1</v>
      </c>
      <c r="F21" s="121">
        <f>('Table 4'!F21/'Table 4'!Y21)</f>
        <v>0.14399999999999999</v>
      </c>
      <c r="G21" s="121">
        <f>('Table 4'!G21/'Table 4'!Y21)</f>
        <v>0.23200000000000001</v>
      </c>
      <c r="H21" s="121">
        <f>('Table 4'!H21/'Table 4'!Y21)</f>
        <v>0.08</v>
      </c>
      <c r="I21" s="121">
        <f>('Table 4'!I21/'Table 4'!Y21)</f>
        <v>0.248</v>
      </c>
      <c r="J21" s="121">
        <f>('Table 4'!J21/'Table 4'!Y21)</f>
        <v>8.0000000000000002E-3</v>
      </c>
      <c r="K21" s="121">
        <f>('Table 4'!K21/'Table 4'!Y21)</f>
        <v>9.6000000000000002E-2</v>
      </c>
      <c r="L21" s="121">
        <f>('Table 4'!L21/'Table 4'!Y21)</f>
        <v>0</v>
      </c>
      <c r="M21" s="121">
        <f>('Table 4'!M21/'Table 4'!Y21)</f>
        <v>2.4E-2</v>
      </c>
      <c r="N21" s="121">
        <f>('Table 4'!N21/'Table 4'!Y21)</f>
        <v>2.4E-2</v>
      </c>
      <c r="O21" s="121">
        <f>('Table 4'!O21/'Table 4'!Y21)</f>
        <v>0.04</v>
      </c>
      <c r="P21" s="121">
        <f>('Table 4'!P21/'Table 4'!Y21)</f>
        <v>4.8000000000000001E-2</v>
      </c>
      <c r="Q21" s="121">
        <f>('Table 4'!Q21/'Table 4'!Y21)</f>
        <v>0</v>
      </c>
      <c r="R21" s="121">
        <f>('Table 4'!R21/'Table 4'!Y21)</f>
        <v>8.7999999999999995E-2</v>
      </c>
      <c r="S21" s="121">
        <f>('Table 4'!S21/'Table 4'!Y21)</f>
        <v>0.27200000000000002</v>
      </c>
      <c r="T21" s="121">
        <f>('Table 4'!T21/'Table 4'!Y21)</f>
        <v>0.08</v>
      </c>
      <c r="U21" s="121">
        <f>('Table 4'!U21/'Table 4'!Y21)</f>
        <v>4.8000000000000001E-2</v>
      </c>
      <c r="V21" s="121">
        <f>('Table 4'!V21/'Table 4'!Y21)</f>
        <v>0.20799999999999999</v>
      </c>
      <c r="W21" s="121">
        <f>('Table 4'!W21/'Table 4'!Y21)</f>
        <v>0.28000000000000003</v>
      </c>
      <c r="X21" s="122">
        <f>('Table 4'!X21/'Table 4'!Y21)</f>
        <v>4.8000000000000001E-2</v>
      </c>
    </row>
    <row r="22" spans="1:24" x14ac:dyDescent="0.25">
      <c r="A22" s="63" t="s">
        <v>9106</v>
      </c>
      <c r="B22" s="69" t="s">
        <v>9399</v>
      </c>
      <c r="C22" s="64" t="s">
        <v>9379</v>
      </c>
      <c r="D22" s="25">
        <v>0</v>
      </c>
      <c r="E22" s="78">
        <v>0</v>
      </c>
      <c r="F22" s="125">
        <f>('Table 4'!F22/'Table 4'!Y22)</f>
        <v>4.5751633986928102E-2</v>
      </c>
      <c r="G22" s="125">
        <f>('Table 4'!G22/'Table 4'!Y22)</f>
        <v>0.10457516339869281</v>
      </c>
      <c r="H22" s="125">
        <f>('Table 4'!H22/'Table 4'!Y22)</f>
        <v>9.1503267973856203E-2</v>
      </c>
      <c r="I22" s="125">
        <f>('Table 4'!I22/'Table 4'!Y22)</f>
        <v>0.22222222222222221</v>
      </c>
      <c r="J22" s="125">
        <f>('Table 4'!J22/'Table 4'!Y22)</f>
        <v>0</v>
      </c>
      <c r="K22" s="125">
        <f>('Table 4'!K22/'Table 4'!Y22)</f>
        <v>1.9607843137254902E-2</v>
      </c>
      <c r="L22" s="125">
        <f>('Table 4'!L22/'Table 4'!Y22)</f>
        <v>1.3071895424836602E-2</v>
      </c>
      <c r="M22" s="125">
        <f>('Table 4'!M22/'Table 4'!Y22)</f>
        <v>1.9607843137254902E-2</v>
      </c>
      <c r="N22" s="125">
        <f>('Table 4'!N22/'Table 4'!Y22)</f>
        <v>1.3071895424836602E-2</v>
      </c>
      <c r="O22" s="125">
        <f>('Table 4'!O22/'Table 4'!Y22)</f>
        <v>0</v>
      </c>
      <c r="P22" s="125">
        <f>('Table 4'!P22/'Table 4'!Y22)</f>
        <v>0</v>
      </c>
      <c r="Q22" s="125">
        <f>('Table 4'!Q22/'Table 4'!Y22)</f>
        <v>0</v>
      </c>
      <c r="R22" s="125">
        <f>('Table 4'!R22/'Table 4'!Y22)</f>
        <v>6.5359477124183009E-3</v>
      </c>
      <c r="S22" s="125">
        <f>('Table 4'!S22/'Table 4'!Y22)</f>
        <v>0.44444444444444442</v>
      </c>
      <c r="T22" s="125">
        <f>('Table 4'!T22/'Table 4'!Y22)</f>
        <v>0.60130718954248363</v>
      </c>
      <c r="U22" s="125">
        <f>('Table 4'!U22/'Table 4'!Y22)</f>
        <v>1.9607843137254902E-2</v>
      </c>
      <c r="V22" s="125">
        <f>('Table 4'!V22/'Table 4'!Y22)</f>
        <v>0.13725490196078433</v>
      </c>
      <c r="W22" s="125">
        <f>('Table 4'!W22/'Table 4'!Y22)</f>
        <v>0.18954248366013071</v>
      </c>
      <c r="X22" s="126">
        <f>('Table 4'!X22/'Table 4'!Y22)</f>
        <v>6.535947712418301E-2</v>
      </c>
    </row>
    <row r="23" spans="1:24" x14ac:dyDescent="0.25">
      <c r="A23" s="26"/>
      <c r="B23" s="26"/>
      <c r="C23" s="26"/>
      <c r="D23" s="26"/>
      <c r="E23" s="128"/>
      <c r="F23" s="159">
        <f>AVERAGE(F3:F22)</f>
        <v>0.12973877375560233</v>
      </c>
      <c r="G23" s="159">
        <f t="shared" ref="G23:X23" si="0">AVERAGE(G3:G22)</f>
        <v>0.12299658682711982</v>
      </c>
      <c r="H23" s="159">
        <f t="shared" si="0"/>
        <v>7.1854270983767773E-2</v>
      </c>
      <c r="I23" s="159">
        <f t="shared" si="0"/>
        <v>0.11154000964722646</v>
      </c>
      <c r="J23" s="159">
        <f t="shared" si="0"/>
        <v>1.1885878586677509E-2</v>
      </c>
      <c r="K23" s="159">
        <f t="shared" si="0"/>
        <v>4.1357884598958367E-2</v>
      </c>
      <c r="L23" s="159">
        <f t="shared" si="0"/>
        <v>1.6291166574717998E-2</v>
      </c>
      <c r="M23" s="159">
        <f t="shared" si="0"/>
        <v>2.5024711237494196E-2</v>
      </c>
      <c r="N23" s="159">
        <f t="shared" si="0"/>
        <v>1.0991893265997822E-2</v>
      </c>
      <c r="O23" s="159">
        <f t="shared" si="0"/>
        <v>1.6270950635959094E-2</v>
      </c>
      <c r="P23" s="159">
        <f t="shared" si="0"/>
        <v>3.8648814972407804E-2</v>
      </c>
      <c r="Q23" s="159">
        <f t="shared" si="0"/>
        <v>5.1941697715508581E-3</v>
      </c>
      <c r="R23" s="127">
        <f t="shared" si="0"/>
        <v>6.5425631200413392E-2</v>
      </c>
      <c r="S23" s="127">
        <f t="shared" si="0"/>
        <v>0.34928439706683972</v>
      </c>
      <c r="T23" s="127">
        <f t="shared" si="0"/>
        <v>0.31324803390055933</v>
      </c>
      <c r="U23" s="127">
        <f t="shared" si="0"/>
        <v>2.5756462051934298E-2</v>
      </c>
      <c r="V23" s="127">
        <f t="shared" si="0"/>
        <v>0.21131474188662897</v>
      </c>
      <c r="W23" s="127">
        <f t="shared" si="0"/>
        <v>0.29910336268144994</v>
      </c>
      <c r="X23" s="127">
        <f t="shared" si="0"/>
        <v>0.19819969036283511</v>
      </c>
    </row>
  </sheetData>
  <mergeCells count="1">
    <mergeCell ref="A1:X1"/>
  </mergeCells>
  <conditionalFormatting sqref="F23:X23">
    <cfRule type="cellIs" dxfId="1" priority="3" operator="equal">
      <formula>"D"</formula>
    </cfRule>
  </conditionalFormatting>
  <conditionalFormatting sqref="F29:Q29">
    <cfRule type="cellIs" dxfId="0" priority="1" operator="equal">
      <formula>"D"</formula>
    </cfRule>
  </conditionalFormatting>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40BF1-E173-41B4-8A9F-DD9496659AF8}">
  <dimension ref="A1:L23"/>
  <sheetViews>
    <sheetView zoomScale="93" zoomScaleNormal="93" workbookViewId="0">
      <selection activeCell="H36" sqref="H36"/>
    </sheetView>
  </sheetViews>
  <sheetFormatPr defaultColWidth="8.85546875" defaultRowHeight="15" x14ac:dyDescent="0.25"/>
  <cols>
    <col min="1" max="1" width="38.42578125" customWidth="1"/>
    <col min="2" max="2" width="13.28515625" bestFit="1" customWidth="1"/>
    <col min="3" max="4" width="13.42578125" customWidth="1"/>
    <col min="5" max="5" width="14.42578125" customWidth="1"/>
    <col min="6" max="6" width="12" customWidth="1"/>
    <col min="7" max="7" width="11.7109375" customWidth="1"/>
    <col min="8" max="8" width="13.140625" customWidth="1"/>
    <col min="9" max="9" width="13.85546875" customWidth="1"/>
    <col min="10" max="10" width="12.7109375" customWidth="1"/>
    <col min="11" max="11" width="12.42578125" customWidth="1"/>
    <col min="12" max="12" width="13.42578125" customWidth="1"/>
  </cols>
  <sheetData>
    <row r="1" spans="1:12" ht="15" customHeight="1" x14ac:dyDescent="0.25">
      <c r="A1" s="162" t="s">
        <v>9493</v>
      </c>
      <c r="B1" s="162"/>
      <c r="C1" s="162"/>
      <c r="D1" s="162"/>
      <c r="E1" s="162"/>
      <c r="F1" s="162"/>
      <c r="G1" s="162"/>
      <c r="H1" s="162"/>
      <c r="I1" s="162"/>
      <c r="J1" s="162"/>
      <c r="K1" s="162"/>
      <c r="L1" s="162"/>
    </row>
    <row r="2" spans="1:12" ht="75.75" customHeight="1" x14ac:dyDescent="0.25">
      <c r="A2" s="108" t="s">
        <v>9403</v>
      </c>
      <c r="B2" s="108" t="s">
        <v>9404</v>
      </c>
      <c r="C2" s="2" t="s">
        <v>9405</v>
      </c>
      <c r="D2" s="3" t="s">
        <v>9406</v>
      </c>
      <c r="E2" s="13" t="s">
        <v>9407</v>
      </c>
      <c r="F2" s="13" t="s">
        <v>9428</v>
      </c>
      <c r="G2" s="11" t="s">
        <v>9408</v>
      </c>
      <c r="H2" s="12" t="s">
        <v>9409</v>
      </c>
      <c r="I2" s="2" t="s">
        <v>9424</v>
      </c>
      <c r="J2" s="2" t="s">
        <v>9425</v>
      </c>
      <c r="K2" s="3" t="s">
        <v>9426</v>
      </c>
      <c r="L2" s="3" t="s">
        <v>9427</v>
      </c>
    </row>
    <row r="3" spans="1:12" ht="15.75" x14ac:dyDescent="0.25">
      <c r="A3" s="108" t="s">
        <v>9435</v>
      </c>
      <c r="B3" s="108">
        <f>('Table 4'!Y23)</f>
        <v>4474</v>
      </c>
      <c r="C3" s="95">
        <f>SUM('Table 4'!Y3,'Table 4'!Y5,'Table 4'!Y7,'Table 4'!Y9,'Table 4'!Y22,'Table 4'!Y19,'Table 4'!Y17,'Table 4'!Y16,'Table 4'!Y12,'Table 4'!Y14)/B3</f>
        <v>0.44434510505140812</v>
      </c>
      <c r="D3" s="95">
        <f>SUM('Table 4'!Y4,'Table 4'!Y6,'Table 4'!Y8,'Table 4'!Y10,'Table 4'!Y11,'Table 4'!Y13,'Table 4'!Y15,'Table 4'!Y18,'Table 4'!Y20,'Table 4'!Y21)/B3</f>
        <v>0.55565489494859188</v>
      </c>
      <c r="E3" s="95">
        <f>SUM('Table 4'!Y3,'Table 4'!Y5,'Table 4'!Y7,'Table 4'!Y9,'Table 4'!Y11,'Table 4'!Y13,'Table 4'!Y15,'Table 4'!Y17,'Table 4'!Y19,'Table 4'!Y21)/B3</f>
        <v>0.47675458202950383</v>
      </c>
      <c r="F3" s="95">
        <f>SUM('Table 4'!Y4,'Table 4'!Y6,'Table 4'!Y8,'Table 4'!Y10,'Table 4'!Y12,'Table 4'!Y14,'Table 4'!Y16,'Table 4'!Y18,'Table 4'!Y20,'Table 4'!Y22)/B3</f>
        <v>0.52324541797049617</v>
      </c>
      <c r="G3" s="95">
        <f>SUM('Table 4'!Y4,'Table 4'!Y6,'Table 4'!Y7,'Table 4'!Y9,'Table 4'!Y11,'Table 4'!Y13,'Table 4'!Y15,'Table 4'!Y17,'Table 4'!Y19,'Table 4'!Y21)/B3</f>
        <v>0.52324541797049617</v>
      </c>
      <c r="H3" s="95">
        <f>SUM('Table 4'!Y3,'Table 4'!Y5,'Table 4'!Y8,'Table 4'!Y10,'Table 4'!Y12,'Table 4'!Y14,'Table 4'!Y16,'Table 4'!Y18,'Table 4'!Y20,'Table 4'!Y22)/B3</f>
        <v>0.47675458202950383</v>
      </c>
      <c r="I3" s="95">
        <f>SUM('Table 4'!Y7,'Table 4'!Y9,'Table 4'!Y17,'Table 4'!Y19)/B3</f>
        <v>0.21434957532409477</v>
      </c>
      <c r="J3" s="95">
        <f>SUM('Table 4'!Y3,'Table 4'!Y5,'Table 4'!Y12,'Table 4'!Y14,'Table 4'!Y16,'Table 4'!Y22)/B3</f>
        <v>0.22999552972731335</v>
      </c>
      <c r="K3" s="95">
        <f>SUM('Table 4'!Y4,'Table 4'!Y6,'Table 4'!Y11,'Table 4'!Y13,'Table 4'!Y15,'Table 4'!Y21)/B3</f>
        <v>0.30889584264640141</v>
      </c>
      <c r="L3" s="95">
        <f>SUM('Table 4'!Y8,'Table 4'!Y10,'Table 4'!Y18,'Table 4'!Y20)/B3</f>
        <v>0.24675905230219045</v>
      </c>
    </row>
    <row r="4" spans="1:12" ht="15.75" x14ac:dyDescent="0.25">
      <c r="A4" s="108" t="s">
        <v>10</v>
      </c>
      <c r="B4" s="94">
        <f>('Table 4'!F25)</f>
        <v>0.11913276709879303</v>
      </c>
      <c r="C4" s="94">
        <f>AVERAGE('Table 5'!F3,'Table 5'!F5,'Table 5'!F7,'Table 5'!F9,'Table 5'!F12,'Table 5'!F14,'Table 5'!F16,'Table 5'!F17,'Table 5'!F19,'Table 5'!F22)</f>
        <v>0.13485005223333574</v>
      </c>
      <c r="D4" s="94">
        <f>AVERAGE('Table 5'!F4,'Table 5'!F6,'Table 5'!F8,'Table 5'!F10,'Table 5'!F11,'Table 5'!F13,'Table 5'!F15,'Table 5'!F18,'Table 5'!F20,'Table 5'!F21)</f>
        <v>0.12462749527786895</v>
      </c>
      <c r="E4" s="94">
        <f>AVERAGE('Table 5'!F3,'Table 5'!F5,'Table 5'!F7,'Table 5'!F9,'Table 5'!F11,'Table 5'!F13,'Table 5'!F15,'Table 5'!F17,'Table 5'!F19,'Table 5'!F21)</f>
        <v>0.14295474810346448</v>
      </c>
      <c r="F4" s="94">
        <f>AVERAGE('Table 5'!F4,'Table 5'!F6,'Table 5'!F8,'Table 5'!F10,'Table 5'!F12,'Table 5'!F14,'Table 5'!F16,'Table 5'!F18,'Table 5'!F20,'Table 5'!F22)</f>
        <v>0.11652279940774021</v>
      </c>
      <c r="G4" s="95">
        <f>AVERAGE('Table 5'!F4,'Table 5'!F6,'Table 5'!F7,'Table 5'!F9,'Table 5'!F11,'Table 5'!F13,'Table 5'!F15,'Table 5'!F17,'Table 5'!F19,'Table 5'!F21)</f>
        <v>0.12078962538889697</v>
      </c>
      <c r="H4" s="95">
        <f>AVERAGE('Table 5'!F3,'Table 5'!F5,'Table 5'!F8,'Table 5'!F10,'Table 5'!F12,'Table 5'!F14,'Table 5'!F16,'Table 5'!F18,'Table 5'!F20,'Table 5'!F22)</f>
        <v>0.13868792212230777</v>
      </c>
      <c r="I4" s="95">
        <f>AVERAGE('Table 5'!F7,'Table 5'!F9,'Table 5'!F17,'Table 5'!F19)</f>
        <v>0.12143035017308274</v>
      </c>
      <c r="J4" s="95">
        <f>AVERAGE('Table 5'!F3,'Table 5'!F5,'Table 5'!F12,'Table 5'!F14,'Table 5'!F16,'Table 5'!F22)</f>
        <v>0.14379652027350442</v>
      </c>
      <c r="K4" s="95">
        <f>AVERAGE('Table 5'!F4,'Table 5'!F6,'Table 5'!F11,'Table 5'!F13,'Table 5'!F15,'Table 5'!F21)</f>
        <v>0.12036247553277317</v>
      </c>
      <c r="L4" s="95">
        <f>AVERAGE('Table 5'!F8,'Table 5'!F10,'Table 5'!F18,'Table 5'!F20)</f>
        <v>0.13102502489551265</v>
      </c>
    </row>
    <row r="5" spans="1:12" ht="15.75" customHeight="1" x14ac:dyDescent="0.25">
      <c r="A5" s="108" t="s">
        <v>11</v>
      </c>
      <c r="B5" s="94">
        <f>('Table 4'!G25)</f>
        <v>0.12159141707644167</v>
      </c>
      <c r="C5" s="94">
        <f>AVERAGE('Table 5'!G3,'Table 5'!G5,'Table 5'!G7,'Table 5'!G9,'Table 5'!G12,'Table 5'!G14,'Table 5'!G16,'Table 5'!G17,'Table 5'!G19,'Table 5'!G22)</f>
        <v>6.4232327878673182E-2</v>
      </c>
      <c r="D5" s="95">
        <f>AVERAGE('Table 5'!G4,'Table 5'!G6,'Table 5'!G8,'Table 5'!G10,'Table 5'!G11,'Table 5'!G13,'Table 5'!G15,'Table 5'!G18,'Table 5'!G20,'Table 5'!G21)</f>
        <v>0.18176084577556642</v>
      </c>
      <c r="E5" s="95">
        <f>AVERAGE('Table 5'!G3,'Table 5'!G5,'Table 5'!G7,'Table 5'!G9,'Table 5'!G11,'Table 5'!G13,'Table 5'!G15,'Table 5'!G17,'Table 5'!G19,'Table 5'!G21)</f>
        <v>0.10832828241041877</v>
      </c>
      <c r="F5" s="95">
        <f>AVERAGE('Table 5'!G4,'Table 5'!G6,'Table 5'!G8,'Table 5'!G10,'Table 5'!G12,'Table 5'!G14,'Table 5'!G16,'Table 5'!G18,'Table 5'!G20,'Table 5'!G22)</f>
        <v>0.13766489124382084</v>
      </c>
      <c r="G5" s="95">
        <f>AVERAGE('Table 5'!G4,'Table 5'!G6,'Table 5'!G7,'Table 5'!G9,'Table 5'!G11,'Table 5'!G13,'Table 5'!G15,'Table 5'!G17,'Table 5'!G19,'Table 5'!G21)</f>
        <v>0.12013949854280133</v>
      </c>
      <c r="H5" s="95">
        <f>AVERAGE('Table 5'!G3,'Table 5'!G5,'Table 5'!G8,'Table 5'!G10,'Table 5'!G12,'Table 5'!G14,'Table 5'!G16,'Table 5'!G18,'Table 5'!G20,'Table 5'!G22)</f>
        <v>0.12585367511143827</v>
      </c>
      <c r="I5" s="95">
        <f>AVERAGE('Table 5'!G7,'Table 5'!G9,'Table 5'!G17,'Table 5'!G19)</f>
        <v>3.8853865066619427E-2</v>
      </c>
      <c r="J5" s="95">
        <f>AVERAGE('Table 5'!G3,'Table 5'!G5,'Table 5'!G12,'Table 5'!G14,'Table 5'!G16,'Table 5'!G22)</f>
        <v>8.1151303086709023E-2</v>
      </c>
      <c r="K5" s="95">
        <f>AVERAGE('Table 5'!G4,'Table 5'!G6,'Table 5'!G11,'Table 5'!G13,'Table 5'!G15,'Table 5'!G21)</f>
        <v>0.17432992086025592</v>
      </c>
      <c r="L5" s="95">
        <f>AVERAGE('Table 5'!G8,'Table 5'!G10,'Table 5'!G18,'Table 5'!G20)</f>
        <v>0.19290723314853214</v>
      </c>
    </row>
    <row r="6" spans="1:12" ht="15.75" x14ac:dyDescent="0.25">
      <c r="A6" s="108" t="s">
        <v>12</v>
      </c>
      <c r="B6" s="94">
        <f>('Table 4'!H25)</f>
        <v>7.0183281180151991E-2</v>
      </c>
      <c r="C6" s="94">
        <f>AVERAGE('Table 5'!H3,'Table 5'!H5,'Table 5'!H7,'Table 5'!H9,'Table 5'!H12,'Table 5'!H14,'Table 5'!H16,'Table 5'!H17,'Table 5'!H19,'Table 5'!H22)</f>
        <v>9.110439136571849E-2</v>
      </c>
      <c r="D6" s="95">
        <f>AVERAGE('Table 5'!H4,'Table 5'!H6,'Table 5'!H8,'Table 5'!H10,'Table 5'!H11,'Table 5'!H13,'Table 5'!H15,'Table 5'!H18,'Table 5'!H20,'Table 5'!H21)</f>
        <v>5.2604150601817078E-2</v>
      </c>
      <c r="E6" s="95">
        <f>AVERAGE('Table 5'!H3,'Table 5'!H5,'Table 5'!H7,'Table 5'!H9,'Table 5'!H11,'Table 5'!H13,'Table 5'!H15,'Table 5'!H17,'Table 5'!H19,'Table 5'!H21)</f>
        <v>9.6169629468762077E-2</v>
      </c>
      <c r="F6" s="95">
        <f>AVERAGE('Table 5'!H4,'Table 5'!H6,'Table 5'!H8,'Table 5'!H10,'Table 5'!H12,'Table 5'!H14,'Table 5'!H16,'Table 5'!H18,'Table 5'!H20,'Table 5'!H22)</f>
        <v>4.7538912498773497E-2</v>
      </c>
      <c r="G6" s="95">
        <f>AVERAGE('Table 5'!H4,'Table 5'!H6,'Table 5'!H7,'Table 5'!H9,'Table 5'!H11,'Table 5'!H13,'Table 5'!H15,'Table 5'!H17,'Table 5'!H19,'Table 5'!H21)</f>
        <v>6.8045513843130373E-2</v>
      </c>
      <c r="H6" s="95">
        <f>AVERAGE('Table 5'!H3,'Table 5'!H5,'Table 5'!H8,'Table 5'!H10,'Table 5'!H12,'Table 5'!H14,'Table 5'!H16,'Table 5'!H18,'Table 5'!H20,'Table 5'!H22)</f>
        <v>7.5663028124405202E-2</v>
      </c>
      <c r="I6" s="95">
        <f>AVERAGE('Table 5'!H7,'Table 5'!H9,'Table 5'!H17,'Table 5'!H19)</f>
        <v>8.7981204841669963E-2</v>
      </c>
      <c r="J6" s="95">
        <f>AVERAGE('Table 5'!H3,'Table 5'!H5,'Table 5'!H12,'Table 5'!H14,'Table 5'!H16,'Table 5'!H22)</f>
        <v>9.318651571508417E-2</v>
      </c>
      <c r="K6" s="95">
        <f>AVERAGE('Table 5'!H4,'Table 5'!H6,'Table 5'!H11,'Table 5'!H13,'Table 5'!H15,'Table 5'!H21)</f>
        <v>5.4755053177437334E-2</v>
      </c>
      <c r="L6" s="95">
        <f>AVERAGE('Table 5'!H8,'Table 5'!H10,'Table 5'!H18,'Table 5'!H20)</f>
        <v>4.9377796738386728E-2</v>
      </c>
    </row>
    <row r="7" spans="1:12" ht="15.75" x14ac:dyDescent="0.25">
      <c r="A7" s="108" t="s">
        <v>13</v>
      </c>
      <c r="B7" s="94">
        <f>('Table 4'!I25)</f>
        <v>0.11019222172552526</v>
      </c>
      <c r="C7" s="94">
        <f>AVERAGE('Table 5'!I3,'Table 5'!I5,'Table 5'!I7,'Table 5'!I9,'Table 5'!I12,'Table 5'!I14,'Table 5'!I16,'Table 5'!I17,'Table 5'!I19,'Table 5'!I22)</f>
        <v>9.2358504510209383E-2</v>
      </c>
      <c r="D7" s="95">
        <f>AVERAGE('Table 5'!I4,'Table 5'!I6,'Table 5'!I8,'Table 5'!I10,'Table 5'!I11,'Table 5'!I13,'Table 5'!I15,'Table 5'!I18,'Table 5'!I20,'Table 5'!I21)</f>
        <v>0.13072151478424354</v>
      </c>
      <c r="E7" s="95">
        <f>AVERAGE('Table 5'!I3,'Table 5'!I5,'Table 5'!I7,'Table 5'!I9,'Table 5'!I11,'Table 5'!I13,'Table 5'!I15,'Table 5'!I17,'Table 5'!I19,'Table 5'!I21)</f>
        <v>9.7668575804089913E-2</v>
      </c>
      <c r="F7" s="95">
        <f>AVERAGE('Table 5'!I4,'Table 5'!I6,'Table 5'!I8,'Table 5'!I10,'Table 5'!I12,'Table 5'!I14,'Table 5'!I16,'Table 5'!I18,'Table 5'!I20,'Table 5'!I22)</f>
        <v>0.12541144349036304</v>
      </c>
      <c r="G7" s="95">
        <f>AVERAGE('Table 5'!I4,'Table 5'!I6,'Table 5'!I7,'Table 5'!I9,'Table 5'!I11,'Table 5'!I13,'Table 5'!I15,'Table 5'!I17,'Table 5'!I19,'Table 5'!I21)</f>
        <v>0.10247441424326935</v>
      </c>
      <c r="H7" s="95">
        <f>AVERAGE('Table 5'!I3,'Table 5'!I5,'Table 5'!I8,'Table 5'!I10,'Table 5'!I12,'Table 5'!I14,'Table 5'!I16,'Table 5'!I18,'Table 5'!I20,'Table 5'!I22)</f>
        <v>0.1206056050511836</v>
      </c>
      <c r="I7" s="95">
        <f>AVERAGE('Table 5'!I7,'Table 5'!I9,'Table 5'!I17,'Table 5'!I19)</f>
        <v>6.2054560628325164E-2</v>
      </c>
      <c r="J7" s="95">
        <f>AVERAGE('Table 5'!I3,'Table 5'!I5,'Table 5'!I12,'Table 5'!I14,'Table 5'!I16,'Table 5'!I22)</f>
        <v>0.11256113376479887</v>
      </c>
      <c r="K7" s="95">
        <f>AVERAGE('Table 5'!I4,'Table 5'!I6,'Table 5'!I11,'Table 5'!I13,'Table 5'!I15,'Table 5'!I21)</f>
        <v>0.12942098331989882</v>
      </c>
      <c r="L7" s="95">
        <f>AVERAGE('Table 5'!I8,'Table 5'!I10,'Table 5'!I18,'Table 5'!I20)</f>
        <v>0.13267231198076068</v>
      </c>
    </row>
    <row r="8" spans="1:12" ht="15.75" x14ac:dyDescent="0.25">
      <c r="A8" s="108" t="s">
        <v>9148</v>
      </c>
      <c r="B8" s="94">
        <f>('Table 4'!J25)</f>
        <v>1.2516763522574878E-2</v>
      </c>
      <c r="C8" s="94">
        <f>AVERAGE('Table 5'!J3,'Table 5'!J5,'Table 5'!J7,'Table 5'!J9,'Table 5'!J12,'Table 5'!J14,'Table 5'!J16,'Table 5'!J17,'Table 5'!J19,'Table 5'!J22)</f>
        <v>1.5389563185221144E-2</v>
      </c>
      <c r="D8" s="95">
        <f>AVERAGE('Table 5'!J4,'Table 5'!J6,'Table 5'!J8,'Table 5'!J10,'Table 5'!J11,'Table 5'!J13,'Table 5'!J15,'Table 5'!J18,'Table 5'!J20,'Table 5'!J21)</f>
        <v>8.3821939881338729E-3</v>
      </c>
      <c r="E8" s="95">
        <f>AVERAGE('Table 5'!J3,'Table 5'!J5,'Table 5'!J7,'Table 5'!J9,'Table 5'!J11,'Table 5'!J13,'Table 5'!J15,'Table 5'!J17,'Table 5'!J19,'Table 5'!J21)</f>
        <v>1.0749953513570363E-2</v>
      </c>
      <c r="F8" s="95">
        <f>AVERAGE('Table 5'!J4,'Table 5'!J6,'Table 5'!J8,'Table 5'!J10,'Table 5'!J12,'Table 5'!J14,'Table 5'!J16,'Table 5'!J18,'Table 5'!J20,'Table 5'!J22)</f>
        <v>1.3021803659784652E-2</v>
      </c>
      <c r="G8" s="95">
        <f>AVERAGE('Table 5'!J4,'Table 5'!J6,'Table 5'!J7,'Table 5'!J9,'Table 5'!J11,'Table 5'!J13,'Table 5'!J15,'Table 5'!J17,'Table 5'!J19,'Table 5'!J21)</f>
        <v>1.1449837804293405E-2</v>
      </c>
      <c r="H8" s="95">
        <f>AVERAGE('Table 5'!J3,'Table 5'!J5,'Table 5'!J8,'Table 5'!J10,'Table 5'!J12,'Table 5'!J14,'Table 5'!J16,'Table 5'!J18,'Table 5'!J20,'Table 5'!J22)</f>
        <v>1.232191936906161E-2</v>
      </c>
      <c r="I8" s="95">
        <f>AVERAGE('Table 5'!J7,'Table 5'!J9,'Table 5'!J17,'Table 5'!J19)</f>
        <v>9.081538918929908E-3</v>
      </c>
      <c r="J8" s="95">
        <f>AVERAGE('Table 5'!J3,'Table 5'!J5,'Table 5'!J12,'Table 5'!J14,'Table 5'!J16,'Table 5'!J22)</f>
        <v>1.9594912696081965E-2</v>
      </c>
      <c r="K8" s="95">
        <f>AVERAGE('Table 5'!J4,'Table 5'!J6,'Table 5'!J11,'Table 5'!J13,'Table 5'!J15,'Table 5'!J21)</f>
        <v>1.3028703727869073E-2</v>
      </c>
      <c r="L8" s="95">
        <f>AVERAGE('Table 5'!J8,'Table 5'!J10,'Table 5'!J18,'Table 5'!J20)</f>
        <v>1.4124293785310734E-3</v>
      </c>
    </row>
    <row r="9" spans="1:12" ht="15.75" x14ac:dyDescent="0.25">
      <c r="A9" s="108" t="s">
        <v>15</v>
      </c>
      <c r="B9" s="94">
        <f>('Table 4'!K25)</f>
        <v>3.9338399642378188E-2</v>
      </c>
      <c r="C9" s="94">
        <f>AVERAGE('Table 5'!K3,'Table 5'!K5,'Table 5'!K7,'Table 5'!K9,'Table 5'!K12,'Table 5'!K14,'Table 5'!K16,'Table 5'!K17,'Table 5'!K19,'Table 5'!K22)</f>
        <v>4.3735374387489576E-2</v>
      </c>
      <c r="D9" s="95">
        <f>AVERAGE('Table 5'!K4,'Table 5'!K6,'Table 5'!K8,'Table 5'!K10,'Table 5'!K11,'Table 5'!K13,'Table 5'!K15,'Table 5'!K18,'Table 5'!K20,'Table 5'!K21)</f>
        <v>3.8980394810427164E-2</v>
      </c>
      <c r="E9" s="95">
        <f>AVERAGE('Table 5'!K3,'Table 5'!K5,'Table 5'!K7,'Table 5'!K9,'Table 5'!K11,'Table 5'!K13,'Table 5'!K15,'Table 5'!K17,'Table 5'!K19,'Table 5'!K21)</f>
        <v>5.4446799002165071E-2</v>
      </c>
      <c r="F9" s="95">
        <f>AVERAGE('Table 5'!K4,'Table 5'!K6,'Table 5'!K8,'Table 5'!K10,'Table 5'!K12,'Table 5'!K14,'Table 5'!K16,'Table 5'!K18,'Table 5'!K20,'Table 5'!K22)</f>
        <v>2.8268970195751669E-2</v>
      </c>
      <c r="G9" s="95">
        <f>AVERAGE('Table 5'!K4,'Table 5'!K6,'Table 5'!K7,'Table 5'!K9,'Table 5'!K11,'Table 5'!K13,'Table 5'!K15,'Table 5'!K17,'Table 5'!K19,'Table 5'!K21)</f>
        <v>4.7924594670734663E-2</v>
      </c>
      <c r="H9" s="95">
        <f>AVERAGE('Table 5'!K3,'Table 5'!K5,'Table 5'!K8,'Table 5'!K10,'Table 5'!K12,'Table 5'!K14,'Table 5'!K16,'Table 5'!K18,'Table 5'!K20,'Table 5'!K22)</f>
        <v>3.479117452718207E-2</v>
      </c>
      <c r="I9" s="95">
        <f>AVERAGE('Table 5'!K7,'Table 5'!K9,'Table 5'!K17,'Table 5'!K19)</f>
        <v>3.897261895081662E-2</v>
      </c>
      <c r="J9" s="95">
        <f>AVERAGE('Table 5'!K3,'Table 5'!K5,'Table 5'!K12,'Table 5'!K14,'Table 5'!K16,'Table 5'!K22)</f>
        <v>4.6910544678604865E-2</v>
      </c>
      <c r="K9" s="95">
        <f>AVERAGE('Table 5'!K4,'Table 5'!K6,'Table 5'!K11,'Table 5'!K13,'Table 5'!K15,'Table 5'!K21)</f>
        <v>5.3892578484013354E-2</v>
      </c>
      <c r="L9" s="95">
        <f>AVERAGE('Table 5'!K8,'Table 5'!K10,'Table 5'!K18,'Table 5'!K20)</f>
        <v>1.661211930004788E-2</v>
      </c>
    </row>
    <row r="10" spans="1:12" ht="15.75" x14ac:dyDescent="0.25">
      <c r="A10" s="108" t="s">
        <v>16</v>
      </c>
      <c r="B10" s="94">
        <f>('Table 4'!L25)</f>
        <v>1.586946803755029E-2</v>
      </c>
      <c r="C10" s="94">
        <f>AVERAGE('Table 5'!L3,'Table 5'!L5,'Table 5'!L7,'Table 5'!L9,'Table 5'!L12,'Table 5'!L14,'Table 5'!L16,'Table 5'!L17,'Table 5'!L19,'Table 5'!L22)</f>
        <v>2.019322001685895E-2</v>
      </c>
      <c r="D10" s="95">
        <f>AVERAGE('Table 5'!L4,'Table 5'!L6,'Table 5'!L8,'Table 5'!L10,'Table 5'!L11,'Table 5'!L13,'Table 5'!L15,'Table 5'!L18,'Table 5'!L20,'Table 5'!L21)</f>
        <v>1.2389113132577054E-2</v>
      </c>
      <c r="E10" s="95">
        <f>AVERAGE('Table 5'!L3,'Table 5'!L5,'Table 5'!L7,'Table 5'!L9,'Table 5'!L11,'Table 5'!L13,'Table 5'!L15,'Table 5'!L17,'Table 5'!L19,'Table 5'!L21)</f>
        <v>1.1141551153638079E-2</v>
      </c>
      <c r="F10" s="95">
        <f>AVERAGE('Table 5'!L4,'Table 5'!L6,'Table 5'!L8,'Table 5'!L10,'Table 5'!L12,'Table 5'!L14,'Table 5'!L16,'Table 5'!L18,'Table 5'!L20,'Table 5'!L22)</f>
        <v>2.1440781995797922E-2</v>
      </c>
      <c r="G10" s="95">
        <f>AVERAGE('Table 5'!L4,'Table 5'!L6,'Table 5'!L7,'Table 5'!L9,'Table 5'!L11,'Table 5'!L13,'Table 5'!L15,'Table 5'!L17,'Table 5'!L19,'Table 5'!L21)</f>
        <v>9.7962216958684799E-3</v>
      </c>
      <c r="H10" s="95">
        <f>AVERAGE('Table 5'!L3,'Table 5'!L5,'Table 5'!L8,'Table 5'!L10,'Table 5'!L12,'Table 5'!L14,'Table 5'!L16,'Table 5'!L18,'Table 5'!L20,'Table 5'!L22)</f>
        <v>2.2786111453567522E-2</v>
      </c>
      <c r="I10" s="95">
        <f>AVERAGE('Table 5'!L7,'Table 5'!L9,'Table 5'!L17,'Table 5'!L19)</f>
        <v>1.3941717802546293E-2</v>
      </c>
      <c r="J10" s="95">
        <f>AVERAGE('Table 5'!L3,'Table 5'!L5,'Table 5'!L12,'Table 5'!L14,'Table 5'!L16,'Table 5'!L22)</f>
        <v>2.4360888159734053E-2</v>
      </c>
      <c r="K10" s="95">
        <f>AVERAGE('Table 5'!L4,'Table 5'!L6,'Table 5'!L11,'Table 5'!L13,'Table 5'!L15,'Table 5'!L21)</f>
        <v>7.0325576247499402E-3</v>
      </c>
      <c r="L10" s="95">
        <f>AVERAGE('Table 5'!L8,'Table 5'!L10,'Table 5'!L18,'Table 5'!L20)</f>
        <v>2.0423946394317723E-2</v>
      </c>
    </row>
    <row r="11" spans="1:12" ht="15.75" x14ac:dyDescent="0.25">
      <c r="A11" s="108" t="s">
        <v>17</v>
      </c>
      <c r="B11" s="94">
        <f>('Table 4'!M25)</f>
        <v>2.592758158247653E-2</v>
      </c>
      <c r="C11" s="94">
        <f>AVERAGE('Table 5'!M3,'Table 5'!M5,'Table 5'!M7,'Table 5'!M9,'Table 5'!M12,'Table 5'!M14,'Table 5'!M16,'Table 5'!M17,'Table 5'!M19,'Table 5'!M22)</f>
        <v>2.2652630715046539E-2</v>
      </c>
      <c r="D11" s="95">
        <f>AVERAGE('Table 5'!M4,'Table 5'!M6,'Table 5'!M8,'Table 5'!M10,'Table 5'!M11,'Table 5'!M13,'Table 5'!M15,'Table 5'!M18,'Table 5'!M20,'Table 5'!M21)</f>
        <v>2.7396791759941842E-2</v>
      </c>
      <c r="E11" s="95">
        <f>AVERAGE('Table 5'!M3,'Table 5'!M5,'Table 5'!M7,'Table 5'!M9,'Table 5'!M11,'Table 5'!M13,'Table 5'!M15,'Table 5'!M17,'Table 5'!M19,'Table 5'!M21)</f>
        <v>1.7110073598891697E-2</v>
      </c>
      <c r="F11" s="95">
        <f>AVERAGE('Table 5'!M4,'Table 5'!M6,'Table 5'!M8,'Table 5'!M10,'Table 5'!M12,'Table 5'!M14,'Table 5'!M16,'Table 5'!M18,'Table 5'!M20,'Table 5'!M22)</f>
        <v>3.2939348876096682E-2</v>
      </c>
      <c r="G11" s="95">
        <f>AVERAGE('Table 5'!M4,'Table 5'!M6,'Table 5'!M7,'Table 5'!M9,'Table 5'!M11,'Table 5'!M13,'Table 5'!M15,'Table 5'!M17,'Table 5'!M19,'Table 5'!M21)</f>
        <v>2.2551337199959571E-2</v>
      </c>
      <c r="H11" s="95">
        <f>AVERAGE('Table 5'!M3,'Table 5'!M5,'Table 5'!M8,'Table 5'!M10,'Table 5'!M12,'Table 5'!M14,'Table 5'!M16,'Table 5'!M18,'Table 5'!M20,'Table 5'!M22)</f>
        <v>2.7498085275028804E-2</v>
      </c>
      <c r="I11" s="95">
        <f>AVERAGE('Table 5'!M7,'Table 5'!M9,'Table 5'!M17,'Table 5'!M19)</f>
        <v>1.1846933045152521E-2</v>
      </c>
      <c r="J11" s="95">
        <f>AVERAGE('Table 5'!M3,'Table 5'!M5,'Table 5'!M12,'Table 5'!M14,'Table 5'!M16,'Table 5'!M22)</f>
        <v>2.985642916164255E-2</v>
      </c>
      <c r="K11" s="95">
        <f>AVERAGE('Table 5'!M4,'Table 5'!M6,'Table 5'!M11,'Table 5'!M13,'Table 5'!M15,'Table 5'!M21)</f>
        <v>2.9687606636497599E-2</v>
      </c>
      <c r="L11" s="95">
        <f>AVERAGE('Table 5'!M8,'Table 5'!M10,'Table 5'!M18,'Table 5'!M20)</f>
        <v>2.3960569445108194E-2</v>
      </c>
    </row>
    <row r="12" spans="1:12" ht="15.75" x14ac:dyDescent="0.25">
      <c r="A12" s="108" t="s">
        <v>9149</v>
      </c>
      <c r="B12" s="94">
        <f>('Table 4'!N25)</f>
        <v>1.1399195350916406E-2</v>
      </c>
      <c r="C12" s="94">
        <f>AVERAGE('Table 5'!N3,'Table 5'!N5,'Table 5'!N7,'Table 5'!N9,'Table 5'!N12,'Table 5'!N14,'Table 5'!N16,'Table 5'!N17,'Table 5'!N19,'Table 5'!N22)</f>
        <v>1.1797682519712123E-2</v>
      </c>
      <c r="D12" s="95">
        <f>AVERAGE('Table 5'!N4,'Table 5'!N6,'Table 5'!N8,'Table 5'!N10,'Table 5'!N11,'Table 5'!N13,'Table 5'!N15,'Table 5'!N18,'Table 5'!N20,'Table 5'!N21)</f>
        <v>1.0186104012283518E-2</v>
      </c>
      <c r="E12" s="95">
        <f>AVERAGE('Table 5'!N3,'Table 5'!N5,'Table 5'!N7,'Table 5'!N9,'Table 5'!N11,'Table 5'!N13,'Table 5'!N15,'Table 5'!N17,'Table 5'!N19,'Table 5'!N21)</f>
        <v>1.2280242038365627E-2</v>
      </c>
      <c r="F12" s="95">
        <f>AVERAGE('Table 5'!N4,'Table 5'!N6,'Table 5'!N8,'Table 5'!N10,'Table 5'!N12,'Table 5'!N14,'Table 5'!N16,'Table 5'!N18,'Table 5'!N20,'Table 5'!N22)</f>
        <v>9.703544493630015E-3</v>
      </c>
      <c r="G12" s="95">
        <f>AVERAGE('Table 5'!N4,'Table 5'!N6,'Table 5'!N7,'Table 5'!N9,'Table 5'!N11,'Table 5'!N13,'Table 5'!N15,'Table 5'!N17,'Table 5'!N19,'Table 5'!N21)</f>
        <v>1.1374834372277506E-2</v>
      </c>
      <c r="H12" s="95">
        <f>AVERAGE('Table 5'!N3,'Table 5'!N5,'Table 5'!N8,'Table 5'!N10,'Table 5'!N12,'Table 5'!N14,'Table 5'!N16,'Table 5'!N18,'Table 5'!N20,'Table 5'!N22)</f>
        <v>1.0608952159718136E-2</v>
      </c>
      <c r="I12" s="95">
        <f>AVERAGE('Table 5'!N7,'Table 5'!N9,'Table 5'!N17,'Table 5'!N19)</f>
        <v>9.8938080451525211E-3</v>
      </c>
      <c r="J12" s="95">
        <f>AVERAGE('Table 5'!N3,'Table 5'!N5,'Table 5'!N12,'Table 5'!N14,'Table 5'!N16,'Table 5'!N22)</f>
        <v>1.3066932169418524E-2</v>
      </c>
      <c r="K12" s="95">
        <f>AVERAGE('Table 5'!N4,'Table 5'!N6,'Table 5'!N11,'Table 5'!N13,'Table 5'!N15,'Table 5'!N21)</f>
        <v>1.2362185257027496E-2</v>
      </c>
      <c r="L12" s="95">
        <f>AVERAGE('Table 5'!N8,'Table 5'!N10,'Table 5'!N18,'Table 5'!N20)</f>
        <v>6.9219821451675509E-3</v>
      </c>
    </row>
    <row r="13" spans="1:12" ht="15.75" x14ac:dyDescent="0.25">
      <c r="A13" s="108" t="s">
        <v>9150</v>
      </c>
      <c r="B13" s="94">
        <f>('Table 4'!O25)</f>
        <v>1.5645954403218598E-2</v>
      </c>
      <c r="C13" s="94">
        <f>AVERAGE('Table 5'!O3,'Table 5'!O5,'Table 5'!O7,'Table 5'!O9,'Table 5'!O12,'Table 5'!O14,'Table 5'!O16,'Table 5'!O17,'Table 5'!O19,'Table 5'!O22)</f>
        <v>1.319924219077776E-2</v>
      </c>
      <c r="D13" s="95">
        <f>AVERAGE('Table 5'!O4,'Table 5'!O6,'Table 5'!O8,'Table 5'!O10,'Table 5'!O11,'Table 5'!O13,'Table 5'!O15,'Table 5'!O18,'Table 5'!O20,'Table 5'!O21)</f>
        <v>1.9342659081140436E-2</v>
      </c>
      <c r="E13" s="95">
        <f>AVERAGE('Table 5'!O3,'Table 5'!O5,'Table 5'!O7,'Table 5'!O9,'Table 5'!O11,'Table 5'!O13,'Table 5'!O15,'Table 5'!O17,'Table 5'!O19,'Table 5'!O21)</f>
        <v>2.0164209319483463E-2</v>
      </c>
      <c r="F13" s="95">
        <f>AVERAGE('Table 5'!O4,'Table 5'!O6,'Table 5'!O8,'Table 5'!O10,'Table 5'!O12,'Table 5'!O14,'Table 5'!O16,'Table 5'!O18,'Table 5'!O20,'Table 5'!O22)</f>
        <v>1.2377691952434735E-2</v>
      </c>
      <c r="G13" s="95">
        <f>AVERAGE('Table 5'!O4,'Table 5'!O6,'Table 5'!O7,'Table 5'!O9,'Table 5'!O11,'Table 5'!O13,'Table 5'!O15,'Table 5'!O17,'Table 5'!O19,'Table 5'!O21)</f>
        <v>1.6751430414818143E-2</v>
      </c>
      <c r="H13" s="95">
        <f>AVERAGE('Table 5'!O3,'Table 5'!O5,'Table 5'!O8,'Table 5'!O10,'Table 5'!O12,'Table 5'!O14,'Table 5'!O16,'Table 5'!O18,'Table 5'!O20,'Table 5'!O22)</f>
        <v>1.5790470857100052E-2</v>
      </c>
      <c r="I13" s="95">
        <f>AVERAGE('Table 5'!O7,'Table 5'!O9,'Table 5'!O17,'Table 5'!O19)</f>
        <v>9.5925014302557926E-3</v>
      </c>
      <c r="J13" s="95">
        <f>AVERAGE('Table 5'!O3,'Table 5'!O5,'Table 5'!O12,'Table 5'!O14,'Table 5'!O16,'Table 5'!O22)</f>
        <v>1.5603736031125739E-2</v>
      </c>
      <c r="K13" s="95">
        <f>AVERAGE('Table 5'!O4,'Table 5'!O6,'Table 5'!O11,'Table 5'!O13,'Table 5'!O15,'Table 5'!O21)</f>
        <v>2.1524049737859711E-2</v>
      </c>
      <c r="L13" s="95">
        <f>AVERAGE('Table 5'!O8,'Table 5'!O10,'Table 5'!O18,'Table 5'!O20)</f>
        <v>1.6070573096061518E-2</v>
      </c>
    </row>
    <row r="14" spans="1:12" ht="15.75" x14ac:dyDescent="0.25">
      <c r="A14" s="108" t="s">
        <v>18</v>
      </c>
      <c r="B14" s="94">
        <f>('Table 4'!P25)</f>
        <v>4.0679481448368353E-2</v>
      </c>
      <c r="C14" s="94">
        <f>AVERAGE('Table 5'!P3,'Table 5'!P5,'Table 5'!P7,'Table 5'!P9,'Table 5'!P12,'Table 5'!P14,'Table 5'!P16,'Table 5'!P17,'Table 5'!P19,'Table 5'!P22)</f>
        <v>4.0910461389459189E-2</v>
      </c>
      <c r="D14" s="95">
        <f>AVERAGE('Table 5'!P4,'Table 5'!P6,'Table 5'!P8,'Table 5'!P10,'Table 5'!P11,'Table 5'!P13,'Table 5'!P15,'Table 5'!P18,'Table 5'!P20,'Table 5'!P21)</f>
        <v>3.6387168555356411E-2</v>
      </c>
      <c r="E14" s="95">
        <f>AVERAGE('Table 5'!P3,'Table 5'!P5,'Table 5'!P7,'Table 5'!P9,'Table 5'!P11,'Table 5'!P13,'Table 5'!P15,'Table 5'!P17,'Table 5'!P19,'Table 5'!P21)</f>
        <v>4.6166687102646334E-2</v>
      </c>
      <c r="F14" s="95">
        <f>AVERAGE('Table 5'!P4,'Table 5'!P6,'Table 5'!P8,'Table 5'!P10,'Table 5'!P12,'Table 5'!P14,'Table 5'!P16,'Table 5'!P18,'Table 5'!P20,'Table 5'!P22)</f>
        <v>3.1130942842169263E-2</v>
      </c>
      <c r="G14" s="95">
        <f>AVERAGE('Table 5'!P4,'Table 5'!P6,'Table 5'!P7,'Table 5'!P9,'Table 5'!P11,'Table 5'!P13,'Table 5'!P15,'Table 5'!P17,'Table 5'!P19,'Table 5'!P21)</f>
        <v>4.169299005183881E-2</v>
      </c>
      <c r="H14" s="95">
        <f>AVERAGE('Table 5'!P3,'Table 5'!P5,'Table 5'!P8,'Table 5'!P10,'Table 5'!P12,'Table 5'!P14,'Table 5'!P16,'Table 5'!P18,'Table 5'!P20,'Table 5'!P22)</f>
        <v>3.560463989297679E-2</v>
      </c>
      <c r="I14" s="95">
        <f>AVERAGE('Table 5'!P7,'Table 5'!P9,'Table 5'!P17,'Table 5'!P19)</f>
        <v>5.4333634207362411E-2</v>
      </c>
      <c r="J14" s="95">
        <f>AVERAGE('Table 5'!P3,'Table 5'!P5,'Table 5'!P12,'Table 5'!P14,'Table 5'!P16,'Table 5'!P22)</f>
        <v>3.1961679510857044E-2</v>
      </c>
      <c r="K14" s="95">
        <f>AVERAGE('Table 5'!P4,'Table 5'!P6,'Table 5'!P11,'Table 5'!P13,'Table 5'!P15,'Table 5'!P21)</f>
        <v>3.3265893948156412E-2</v>
      </c>
      <c r="L14" s="95">
        <f>AVERAGE('Table 5'!P8,'Table 5'!P10,'Table 5'!P18,'Table 5'!P20)</f>
        <v>4.1069080466156413E-2</v>
      </c>
    </row>
    <row r="15" spans="1:12" ht="15.75" x14ac:dyDescent="0.25">
      <c r="A15" s="108" t="s">
        <v>19</v>
      </c>
      <c r="B15" s="94">
        <f>('Table 4'!Q25)</f>
        <v>6.7054090299508273E-3</v>
      </c>
      <c r="C15" s="94">
        <f>AVERAGE('Table 5'!Q3,'Table 5'!Q5,'Table 5'!Q7,'Table 5'!Q9,'Table 5'!Q12,'Table 5'!Q14,'Table 5'!Q16,'Table 5'!Q17,'Table 5'!Q19,'Table 5'!Q22)</f>
        <v>6.993006993006993E-4</v>
      </c>
      <c r="D15" s="95">
        <f>AVERAGE('Table 5'!Q4,'Table 5'!Q6,'Table 5'!Q8,'Table 5'!Q10,'Table 5'!Q11,'Table 5'!Q13,'Table 5'!Q15,'Table 5'!Q18,'Table 5'!Q20,'Table 5'!Q21)</f>
        <v>9.6890388438010157E-3</v>
      </c>
      <c r="E15" s="95">
        <f>AVERAGE('Table 5'!Q3,'Table 5'!Q5,'Table 5'!Q7,'Table 5'!Q9,'Table 5'!Q11,'Table 5'!Q13,'Table 5'!Q15,'Table 5'!Q17,'Table 5'!Q19,'Table 5'!Q21)</f>
        <v>7.3428966089280276E-3</v>
      </c>
      <c r="F15" s="95">
        <f>AVERAGE('Table 5'!Q4,'Table 5'!Q6,'Table 5'!Q8,'Table 5'!Q10,'Table 5'!Q12,'Table 5'!Q14,'Table 5'!Q16,'Table 5'!Q18,'Table 5'!Q20,'Table 5'!Q22)</f>
        <v>3.0454429341736883E-3</v>
      </c>
      <c r="G15" s="95">
        <f>AVERAGE('Table 5'!Q4,'Table 5'!Q6,'Table 5'!Q7,'Table 5'!Q9,'Table 5'!Q11,'Table 5'!Q13,'Table 5'!Q15,'Table 5'!Q17,'Table 5'!Q19,'Table 5'!Q21)</f>
        <v>7.3428966089280276E-3</v>
      </c>
      <c r="H15" s="95">
        <f>AVERAGE('Table 5'!Q3,'Table 5'!Q5,'Table 5'!Q8,'Table 5'!Q10,'Table 5'!Q12,'Table 5'!Q14,'Table 5'!Q16,'Table 5'!Q18,'Table 5'!Q20,'Table 5'!Q22)</f>
        <v>3.0454429341736883E-3</v>
      </c>
      <c r="I15" s="95">
        <f>AVERAGE('Table 5'!Q7,'Table 5'!Q9,'Table 5'!Q17,'Table 5'!Q19)</f>
        <v>0</v>
      </c>
      <c r="J15" s="95">
        <f>AVERAGE('Table 5'!Q3,'Table 5'!Q5,'Table 5'!Q12,'Table 5'!Q14,'Table 5'!Q16,'Table 5'!Q22)</f>
        <v>1.1655011655011655E-3</v>
      </c>
      <c r="K15" s="95">
        <f>AVERAGE('Table 5'!Q4,'Table 5'!Q6,'Table 5'!Q11,'Table 5'!Q13,'Table 5'!Q15,'Table 5'!Q21)</f>
        <v>1.2238161014880046E-2</v>
      </c>
      <c r="L15" s="95">
        <f>AVERAGE('Table 5'!Q8,'Table 5'!Q10,'Table 5'!Q18,'Table 5'!Q20)</f>
        <v>5.8653555871824728E-3</v>
      </c>
    </row>
    <row r="16" spans="1:12" ht="15.75" x14ac:dyDescent="0.25">
      <c r="A16" s="108" t="s">
        <v>20</v>
      </c>
      <c r="B16" s="94">
        <f>('Table 4'!R25)</f>
        <v>7.1971390254805548E-2</v>
      </c>
      <c r="C16" s="94">
        <f>AVERAGE('Table 5'!R3,'Table 5'!R5,'Table 5'!R7,'Table 5'!R9,'Table 5'!R12,'Table 5'!R14,'Table 5'!R16,'Table 5'!R17,'Table 5'!R19,'Table 5'!R22)</f>
        <v>7.4030802315115302E-2</v>
      </c>
      <c r="D16" s="95">
        <f>AVERAGE('Table 5'!R4,'Table 5'!R6,'Table 5'!R8,'Table 5'!R10,'Table 5'!R11,'Table 5'!R13,'Table 5'!R15,'Table 5'!R18,'Table 5'!R20,'Table 5'!R21)</f>
        <v>5.6820460085711469E-2</v>
      </c>
      <c r="E16" s="95">
        <f>AVERAGE('Table 5'!R3,'Table 5'!R5,'Table 5'!R7,'Table 5'!R9,'Table 5'!R11,'Table 5'!R13,'Table 5'!R15,'Table 5'!R17,'Table 5'!R19,'Table 5'!R21)</f>
        <v>6.2406001638010092E-2</v>
      </c>
      <c r="F16" s="95">
        <f>AVERAGE('Table 5'!R4,'Table 5'!R6,'Table 5'!R8,'Table 5'!R10,'Table 5'!R12,'Table 5'!R14,'Table 5'!R16,'Table 5'!R18,'Table 5'!R20,'Table 5'!R22)</f>
        <v>6.8445260762816679E-2</v>
      </c>
      <c r="G16" s="95">
        <f>AVERAGE('Table 5'!R4,'Table 5'!R6,'Table 5'!R7,'Table 5'!R9,'Table 5'!R11,'Table 5'!R13,'Table 5'!R15,'Table 5'!R17,'Table 5'!R19,'Table 5'!R21)</f>
        <v>5.2365573095459049E-2</v>
      </c>
      <c r="H16" s="95">
        <f>AVERAGE('Table 5'!R3,'Table 5'!R5,'Table 5'!R8,'Table 5'!R10,'Table 5'!R12,'Table 5'!R14,'Table 5'!R16,'Table 5'!R18,'Table 5'!R20,'Table 5'!R22)</f>
        <v>7.8485689305367728E-2</v>
      </c>
      <c r="I16" s="95">
        <f>AVERAGE('Table 5'!R7,'Table 5'!R9,'Table 5'!R17,'Table 5'!R19)</f>
        <v>4.3906230034500386E-2</v>
      </c>
      <c r="J16" s="95">
        <f>AVERAGE('Table 5'!R3,'Table 5'!R5,'Table 5'!R12,'Table 5'!R14,'Table 5'!R16,'Table 5'!R22)</f>
        <v>9.4113850502191912E-2</v>
      </c>
      <c r="K16" s="95">
        <f>AVERAGE('Table 5'!R4,'Table 5'!R6,'Table 5'!R11,'Table 5'!R13,'Table 5'!R15,'Table 5'!R21)</f>
        <v>5.8005135136098153E-2</v>
      </c>
      <c r="L16" s="95">
        <f>AVERAGE('Table 5'!R8,'Table 5'!R10,'Table 5'!R18,'Table 5'!R20)</f>
        <v>5.5043447510131426E-2</v>
      </c>
    </row>
    <row r="17" spans="1:12" ht="15.75" x14ac:dyDescent="0.25">
      <c r="A17" s="108" t="s">
        <v>21</v>
      </c>
      <c r="B17" s="95">
        <f>('Table 4'!S25)</f>
        <v>0.36008046490835943</v>
      </c>
      <c r="C17" s="94">
        <f>AVERAGE('Table 5'!S3,'Table 5'!S5,'Table 5'!S7,'Table 5'!S9,'Table 5'!S12,'Table 5'!S14,'Table 5'!S16,'Table 5'!S17,'Table 5'!S19,'Table 5'!S22)</f>
        <v>0.28016102743827309</v>
      </c>
      <c r="D17" s="95">
        <f>AVERAGE('Table 5'!S4,'Table 5'!S6,'Table 5'!S8,'Table 5'!S10,'Table 5'!S11,'Table 5'!S13,'Table 5'!S15,'Table 5'!S18,'Table 5'!S20,'Table 5'!S21)</f>
        <v>0.4184077666954063</v>
      </c>
      <c r="E17" s="95">
        <f>AVERAGE('Table 5'!S3,'Table 5'!S5,'Table 5'!S7,'Table 5'!S9,'Table 5'!S11,'Table 5'!S13,'Table 5'!S15,'Table 5'!S17,'Table 5'!S19,'Table 5'!S21)</f>
        <v>0.30186596546253808</v>
      </c>
      <c r="F17" s="95">
        <f>AVERAGE('Table 5'!S4,'Table 5'!S6,'Table 5'!S8,'Table 5'!S10,'Table 5'!S12,'Table 5'!S14,'Table 5'!S16,'Table 5'!S18,'Table 5'!S20,'Table 5'!S22)</f>
        <v>0.39670282867114121</v>
      </c>
      <c r="G17" s="95">
        <f>AVERAGE('Table 5'!S4,'Table 5'!S6,'Table 5'!S7,'Table 5'!S9,'Table 5'!S11,'Table 5'!S13,'Table 5'!S15,'Table 5'!S17,'Table 5'!S19,'Table 5'!S21)</f>
        <v>0.34297349841528552</v>
      </c>
      <c r="H17" s="95">
        <f>AVERAGE('Table 5'!S3,'Table 5'!S5,'Table 5'!S8,'Table 5'!S10,'Table 5'!S12,'Table 5'!S14,'Table 5'!S16,'Table 5'!S18,'Table 5'!S20,'Table 5'!S22)</f>
        <v>0.35559529571839377</v>
      </c>
      <c r="I17" s="95">
        <f>AVERAGE('Table 5'!S7,'Table 5'!S9,'Table 5'!S17,'Table 5'!S19)</f>
        <v>0.24911113141945262</v>
      </c>
      <c r="J17" s="95">
        <f>AVERAGE('Table 5'!S3,'Table 5'!S5,'Table 5'!S12,'Table 5'!S14,'Table 5'!S16,'Table 5'!S22)</f>
        <v>0.3008609581174867</v>
      </c>
      <c r="K17" s="95">
        <f>AVERAGE('Table 5'!S4,'Table 5'!S6,'Table 5'!S11,'Table 5'!S13,'Table 5'!S15,'Table 5'!S21)</f>
        <v>0.40554840974584083</v>
      </c>
      <c r="L17" s="95">
        <f>AVERAGE('Table 5'!S8,'Table 5'!S10,'Table 5'!S18,'Table 5'!S20)</f>
        <v>0.43769680211975465</v>
      </c>
    </row>
    <row r="18" spans="1:12" ht="15.75" x14ac:dyDescent="0.25">
      <c r="A18" s="108" t="s">
        <v>22</v>
      </c>
      <c r="B18" s="95">
        <f>('Table 4'!T25)</f>
        <v>0.31627179257934734</v>
      </c>
      <c r="C18" s="94">
        <f>AVERAGE('Table 5'!T3,'Table 5'!T5,'Table 5'!T7,'Table 5'!T9,'Table 5'!T12,'Table 5'!T14,'Table 5'!T16,'Table 5'!T17,'Table 5'!T19,'Table 5'!T22)</f>
        <v>0.406858862694851</v>
      </c>
      <c r="D18" s="95">
        <f>AVERAGE('Table 5'!T4,'Table 5'!T6,'Table 5'!T8,'Table 5'!T10,'Table 5'!T11,'Table 5'!T13,'Table 5'!T15,'Table 5'!T18,'Table 5'!T20,'Table 5'!T21)</f>
        <v>0.21963720510626783</v>
      </c>
      <c r="E18" s="95">
        <f>AVERAGE('Table 5'!T3,'Table 5'!T5,'Table 5'!T7,'Table 5'!T9,'Table 5'!T11,'Table 5'!T13,'Table 5'!T15,'Table 5'!T17,'Table 5'!T19,'Table 5'!T21)</f>
        <v>0.23880173130019089</v>
      </c>
      <c r="F18" s="95">
        <f>AVERAGE('Table 5'!T4,'Table 5'!T6,'Table 5'!T8,'Table 5'!T10,'Table 5'!T12,'Table 5'!T14,'Table 5'!T16,'Table 5'!T18,'Table 5'!T20,'Table 5'!T22)</f>
        <v>0.38769433650092794</v>
      </c>
      <c r="G18" s="95">
        <f>AVERAGE('Table 5'!T4,'Table 5'!T6,'Table 5'!T7,'Table 5'!T9,'Table 5'!T11,'Table 5'!T13,'Table 5'!T15,'Table 5'!T17,'Table 5'!T19,'Table 5'!T21)</f>
        <v>0.21924104317851487</v>
      </c>
      <c r="H18" s="95">
        <f>AVERAGE('Table 5'!T3,'Table 5'!T5,'Table 5'!T8,'Table 5'!T10,'Table 5'!T12,'Table 5'!T14,'Table 5'!T16,'Table 5'!T18,'Table 5'!T20,'Table 5'!T22)</f>
        <v>0.40725502462260393</v>
      </c>
      <c r="I18" s="95">
        <f>AVERAGE('Table 5'!T7,'Table 5'!T9,'Table 5'!T17,'Table 5'!T19)</f>
        <v>0.33777223866250028</v>
      </c>
      <c r="J18" s="95">
        <f>AVERAGE('Table 5'!T3,'Table 5'!T5,'Table 5'!T12,'Table 5'!T14,'Table 5'!T16,'Table 5'!T22)</f>
        <v>0.45291661204975148</v>
      </c>
      <c r="K18" s="95">
        <f>AVERAGE('Table 5'!T4,'Table 5'!T6,'Table 5'!T11,'Table 5'!T13,'Table 5'!T15,'Table 5'!T21)</f>
        <v>0.14022024618919127</v>
      </c>
      <c r="L18" s="95">
        <f>AVERAGE('Table 5'!T8,'Table 5'!T10,'Table 5'!T18,'Table 5'!T20)</f>
        <v>0.33876264348188267</v>
      </c>
    </row>
    <row r="19" spans="1:12" ht="15.75" x14ac:dyDescent="0.25">
      <c r="A19" s="108" t="s">
        <v>23</v>
      </c>
      <c r="B19" s="95">
        <f>('Table 4'!U25)</f>
        <v>2.4586499776486366E-2</v>
      </c>
      <c r="C19" s="94">
        <f>AVERAGE('Table 5'!U3,'Table 5'!U5,'Table 5'!U7,'Table 5'!U9,'Table 5'!U12,'Table 5'!U14,'Table 5'!U16,'Table 5'!U17,'Table 5'!U19,'Table 5'!U22)</f>
        <v>2.2376218635730433E-2</v>
      </c>
      <c r="D19" s="95">
        <f>AVERAGE('Table 5'!U4,'Table 5'!U6,'Table 5'!U8,'Table 5'!U10,'Table 5'!U11,'Table 5'!U13,'Table 5'!U15,'Table 5'!U18,'Table 5'!U20,'Table 5'!U21)</f>
        <v>2.9136705468138169E-2</v>
      </c>
      <c r="E19" s="95">
        <f>AVERAGE('Table 5'!U3,'Table 5'!U5,'Table 5'!U7,'Table 5'!U9,'Table 5'!U11,'Table 5'!U13,'Table 5'!U15,'Table 5'!U17,'Table 5'!U19,'Table 5'!U21)</f>
        <v>2.8324364613159837E-2</v>
      </c>
      <c r="F19" s="95">
        <f>AVERAGE('Table 5'!U4,'Table 5'!U6,'Table 5'!U8,'Table 5'!U10,'Table 5'!U12,'Table 5'!U14,'Table 5'!U16,'Table 5'!U18,'Table 5'!U20,'Table 5'!U22)</f>
        <v>2.318855949070877E-2</v>
      </c>
      <c r="G19" s="95">
        <f>AVERAGE('Table 5'!U4,'Table 5'!U6,'Table 5'!U7,'Table 5'!U9,'Table 5'!U11,'Table 5'!U13,'Table 5'!U15,'Table 5'!U17,'Table 5'!U19,'Table 5'!U21)</f>
        <v>2.9338563396121297E-2</v>
      </c>
      <c r="H19" s="95">
        <f>AVERAGE('Table 5'!U3,'Table 5'!U5,'Table 5'!U8,'Table 5'!U10,'Table 5'!U12,'Table 5'!U14,'Table 5'!U16,'Table 5'!U18,'Table 5'!U20,'Table 5'!U22)</f>
        <v>2.2174360707747309E-2</v>
      </c>
      <c r="I19" s="95">
        <f>AVERAGE('Table 5'!U7,'Table 5'!U9,'Table 5'!U17,'Table 5'!U19)</f>
        <v>2.4077185532490761E-2</v>
      </c>
      <c r="J19" s="95">
        <f>AVERAGE('Table 5'!U3,'Table 5'!U5,'Table 5'!U12,'Table 5'!U14,'Table 5'!U16,'Table 5'!U22)</f>
        <v>2.1242240704556881E-2</v>
      </c>
      <c r="K19" s="95">
        <f>AVERAGE('Table 5'!U4,'Table 5'!U6,'Table 5'!U11,'Table 5'!U13,'Table 5'!U15,'Table 5'!U21)</f>
        <v>3.2846148638541649E-2</v>
      </c>
      <c r="L19" s="95">
        <f>AVERAGE('Table 5'!U8,'Table 5'!U10,'Table 5'!U18,'Table 5'!U20)</f>
        <v>2.3572540712532952E-2</v>
      </c>
    </row>
    <row r="20" spans="1:12" ht="15.75" x14ac:dyDescent="0.25">
      <c r="A20" s="108" t="s">
        <v>24</v>
      </c>
      <c r="B20" s="95">
        <f>('Table 4'!V25)</f>
        <v>0.21770227983907017</v>
      </c>
      <c r="C20" s="94">
        <f>AVERAGE('Table 5'!V3,'Table 5'!V5,'Table 5'!V7,'Table 5'!V9,'Table 5'!V12,'Table 5'!V14,'Table 5'!V16,'Table 5'!V17,'Table 5'!V19,'Table 5'!V22)</f>
        <v>0.22613842176505244</v>
      </c>
      <c r="D20" s="95">
        <f>AVERAGE('Table 5'!V4,'Table 5'!V6,'Table 5'!V8,'Table 5'!V10,'Table 5'!V11,'Table 5'!V13,'Table 5'!V15,'Table 5'!V18,'Table 5'!V20,'Table 5'!V21)</f>
        <v>0.1964910620082054</v>
      </c>
      <c r="E20" s="95">
        <f>AVERAGE('Table 5'!V3,'Table 5'!V5,'Table 5'!V7,'Table 5'!V9,'Table 5'!V11,'Table 5'!V13,'Table 5'!V15,'Table 5'!V17,'Table 5'!V19,'Table 5'!V21)</f>
        <v>0.25333845445340997</v>
      </c>
      <c r="F20" s="95">
        <f>AVERAGE('Table 5'!V4,'Table 5'!V6,'Table 5'!V8,'Table 5'!V10,'Table 5'!V12,'Table 5'!V14,'Table 5'!V16,'Table 5'!V18,'Table 5'!V20,'Table 5'!V22)</f>
        <v>0.16929102931984791</v>
      </c>
      <c r="G20" s="95">
        <f>AVERAGE('Table 5'!V4,'Table 5'!V6,'Table 5'!V7,'Table 5'!V9,'Table 5'!V11,'Table 5'!V13,'Table 5'!V15,'Table 5'!V17,'Table 5'!V19,'Table 5'!V21)</f>
        <v>0.25871524149954728</v>
      </c>
      <c r="H20" s="95">
        <f>AVERAGE('Table 5'!V3,'Table 5'!V5,'Table 5'!V8,'Table 5'!V10,'Table 5'!V12,'Table 5'!V14,'Table 5'!V16,'Table 5'!V18,'Table 5'!V20,'Table 5'!V22)</f>
        <v>0.16391424227371057</v>
      </c>
      <c r="I20" s="95">
        <f>AVERAGE('Table 5'!V7,'Table 5'!V9,'Table 5'!V17,'Table 5'!V19)</f>
        <v>0.3093161063137444</v>
      </c>
      <c r="J20" s="95">
        <f>AVERAGE('Table 5'!V3,'Table 5'!V5,'Table 5'!V12,'Table 5'!V14,'Table 5'!V16,'Table 5'!V22)</f>
        <v>0.17068663206592447</v>
      </c>
      <c r="K20" s="95">
        <f>AVERAGE('Table 5'!V4,'Table 5'!V6,'Table 5'!V11,'Table 5'!V13,'Table 5'!V15,'Table 5'!V21)</f>
        <v>0.22498133162341583</v>
      </c>
      <c r="L20" s="95">
        <f>AVERAGE('Table 5'!V8,'Table 5'!V10,'Table 5'!V18,'Table 5'!V20)</f>
        <v>0.15375565758538975</v>
      </c>
    </row>
    <row r="21" spans="1:12" ht="15.75" x14ac:dyDescent="0.25">
      <c r="A21" s="108" t="s">
        <v>201</v>
      </c>
      <c r="B21" s="95">
        <f>('Table 4'!W25)</f>
        <v>0.28788556101922219</v>
      </c>
      <c r="C21" s="94">
        <f>AVERAGE('Table 5'!W3,'Table 5'!W5,'Table 5'!W7,'Table 5'!W9,'Table 5'!W12,'Table 5'!W14,'Table 5'!W16,'Table 5'!W17,'Table 5'!W19,'Table 5'!W22)</f>
        <v>0.30214462036048106</v>
      </c>
      <c r="D21" s="95">
        <f>AVERAGE('Table 5'!W4,'Table 5'!W6,'Table 5'!W8,'Table 5'!W10,'Table 5'!W11,'Table 5'!W13,'Table 5'!W15,'Table 5'!W18,'Table 5'!W20,'Table 5'!W21)</f>
        <v>0.29606210500241881</v>
      </c>
      <c r="E21" s="95">
        <f>AVERAGE('Table 5'!W3,'Table 5'!W5,'Table 5'!W7,'Table 5'!W9,'Table 5'!W11,'Table 5'!W13,'Table 5'!W15,'Table 5'!W17,'Table 5'!W19,'Table 5'!W21)</f>
        <v>0.32899261856646406</v>
      </c>
      <c r="F21" s="95">
        <f>AVERAGE('Table 5'!W4,'Table 5'!W6,'Table 5'!W8,'Table 5'!W10,'Table 5'!W12,'Table 5'!W14,'Table 5'!W16,'Table 5'!W18,'Table 5'!W20,'Table 5'!W22)</f>
        <v>0.26921410679643581</v>
      </c>
      <c r="G21" s="95">
        <f>AVERAGE('Table 5'!W4,'Table 5'!W6,'Table 5'!W7,'Table 5'!W9,'Table 5'!W11,'Table 5'!W13,'Table 5'!W15,'Table 5'!W17,'Table 5'!W19,'Table 5'!W21)</f>
        <v>0.30296155132264513</v>
      </c>
      <c r="H21" s="95">
        <f>AVERAGE('Table 5'!W3,'Table 5'!W5,'Table 5'!W8,'Table 5'!W10,'Table 5'!W12,'Table 5'!W14,'Table 5'!W16,'Table 5'!W18,'Table 5'!W20,'Table 5'!W22)</f>
        <v>0.29524517404025474</v>
      </c>
      <c r="I21" s="95">
        <f>AVERAGE('Table 5'!W7,'Table 5'!W9,'Table 5'!W17,'Table 5'!W19)</f>
        <v>0.32348557147794066</v>
      </c>
      <c r="J21" s="95">
        <f>AVERAGE('Table 5'!W3,'Table 5'!W5,'Table 5'!W12,'Table 5'!W14,'Table 5'!W16,'Table 5'!W22)</f>
        <v>0.28791731961550793</v>
      </c>
      <c r="K21" s="95">
        <f>AVERAGE('Table 5'!W4,'Table 5'!W6,'Table 5'!W11,'Table 5'!W13,'Table 5'!W15,'Table 5'!W21)</f>
        <v>0.28927887121911472</v>
      </c>
      <c r="L21" s="95">
        <f>AVERAGE('Table 5'!W8,'Table 5'!W10,'Table 5'!W18,'Table 5'!W20)</f>
        <v>0.30623695567737486</v>
      </c>
    </row>
    <row r="22" spans="1:12" ht="15.75" x14ac:dyDescent="0.25">
      <c r="A22" s="32" t="s">
        <v>27</v>
      </c>
      <c r="B22" s="95">
        <f>('Table 4'!X25)</f>
        <v>0.18998658918194009</v>
      </c>
      <c r="C22" s="94">
        <f>AVERAGE('Table 5'!X3,'Table 5'!X5,'Table 5'!X7,'Table 5'!X9,'Table 5'!X12,'Table 5'!X14,'Table 5'!X16,'Table 5'!X17,'Table 5'!X19,'Table 5'!X22)</f>
        <v>0.21098616771516329</v>
      </c>
      <c r="D22" s="95">
        <f>AVERAGE('Table 5'!X4,'Table 5'!X6,'Table 5'!X8,'Table 5'!X10,'Table 5'!X11,'Table 5'!X13,'Table 5'!X15,'Table 5'!X18,'Table 5'!X20,'Table 5'!X21)</f>
        <v>0.18541321301050695</v>
      </c>
      <c r="E22" s="95">
        <f>AVERAGE('Table 5'!X3,'Table 5'!X5,'Table 5'!X7,'Table 5'!X9,'Table 5'!X11,'Table 5'!X13,'Table 5'!X15,'Table 5'!X17,'Table 5'!X19,'Table 5'!X21)</f>
        <v>0.18654997127516562</v>
      </c>
      <c r="F22" s="95">
        <f>AVERAGE('Table 5'!X4,'Table 5'!X6,'Table 5'!X8,'Table 5'!X10,'Table 5'!X12,'Table 5'!X14,'Table 5'!X16,'Table 5'!X18,'Table 5'!X20,'Table 5'!X22)</f>
        <v>0.2098494094505047</v>
      </c>
      <c r="G22" s="95">
        <f>AVERAGE('Table 5'!X4,'Table 5'!X6,'Table 5'!X7,'Table 5'!X9,'Table 5'!X11,'Table 5'!X13,'Table 5'!X15,'Table 5'!X17,'Table 5'!X19,'Table 5'!X21)</f>
        <v>0.20750434627080905</v>
      </c>
      <c r="H22" s="95">
        <f>AVERAGE('Table 5'!X3,'Table 5'!X5,'Table 5'!X8,'Table 5'!X10,'Table 5'!X12,'Table 5'!X14,'Table 5'!X16,'Table 5'!X18,'Table 5'!X20,'Table 5'!X22)</f>
        <v>0.18889503445486119</v>
      </c>
      <c r="I22" s="95">
        <f>AVERAGE('Table 5'!X7,'Table 5'!X9,'Table 5'!X17,'Table 5'!X19)</f>
        <v>0.23139409191825616</v>
      </c>
      <c r="J22" s="95">
        <f>AVERAGE('Table 5'!X3,'Table 5'!X5,'Table 5'!X12,'Table 5'!X14,'Table 5'!X16,'Table 5'!X22)</f>
        <v>0.19738088491310138</v>
      </c>
      <c r="K22" s="95">
        <f>AVERAGE('Table 5'!X4,'Table 5'!X6,'Table 5'!X11,'Table 5'!X13,'Table 5'!X15,'Table 5'!X21)</f>
        <v>0.191577849172511</v>
      </c>
      <c r="L22" s="95">
        <f>AVERAGE('Table 5'!X8,'Table 5'!X10,'Table 5'!X18,'Table 5'!X20)</f>
        <v>0.17616625876750086</v>
      </c>
    </row>
    <row r="23" spans="1:12" x14ac:dyDescent="0.25">
      <c r="C23" s="1"/>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E7A20-2AED-4392-9030-EB38E7D00B7B}">
  <dimension ref="A1:AA24"/>
  <sheetViews>
    <sheetView zoomScale="68" zoomScaleNormal="68" workbookViewId="0">
      <selection activeCell="A18" sqref="A18"/>
    </sheetView>
  </sheetViews>
  <sheetFormatPr defaultColWidth="8.85546875" defaultRowHeight="15" x14ac:dyDescent="0.25"/>
  <cols>
    <col min="1" max="1" width="28.28515625" customWidth="1"/>
    <col min="2" max="2" width="15.7109375" customWidth="1"/>
    <col min="3" max="3" width="22.42578125" customWidth="1"/>
    <col min="4" max="5" width="21.42578125" customWidth="1"/>
    <col min="6" max="6" width="25.42578125" customWidth="1"/>
    <col min="7" max="7" width="19.42578125" customWidth="1"/>
    <col min="8" max="8" width="19" customWidth="1"/>
    <col min="9" max="9" width="14.28515625" customWidth="1"/>
    <col min="10" max="10" width="12.42578125" customWidth="1"/>
    <col min="11" max="11" width="13.28515625" customWidth="1"/>
    <col min="12" max="12" width="12.42578125" customWidth="1"/>
  </cols>
  <sheetData>
    <row r="1" spans="1:27" ht="15.75" x14ac:dyDescent="0.25">
      <c r="A1" s="189"/>
      <c r="B1" s="190"/>
      <c r="C1" s="190"/>
      <c r="D1" s="190"/>
      <c r="E1" s="190"/>
      <c r="F1" s="190"/>
      <c r="G1" s="190"/>
      <c r="H1" s="190"/>
    </row>
    <row r="2" spans="1:27" ht="31.5" x14ac:dyDescent="0.25">
      <c r="A2" s="86" t="s">
        <v>9403</v>
      </c>
      <c r="B2" s="86" t="s">
        <v>9404</v>
      </c>
      <c r="C2" s="2" t="s">
        <v>9405</v>
      </c>
      <c r="D2" s="3" t="s">
        <v>9406</v>
      </c>
      <c r="E2" s="13" t="s">
        <v>9407</v>
      </c>
      <c r="F2" s="13" t="s">
        <v>9428</v>
      </c>
      <c r="G2" s="11" t="s">
        <v>9408</v>
      </c>
      <c r="H2" s="12" t="s">
        <v>9410</v>
      </c>
      <c r="I2" s="2" t="s">
        <v>9424</v>
      </c>
      <c r="J2" s="2" t="s">
        <v>9425</v>
      </c>
      <c r="K2" s="3" t="s">
        <v>9426</v>
      </c>
      <c r="L2" s="3" t="s">
        <v>9427</v>
      </c>
      <c r="V2" s="16"/>
      <c r="W2" s="16"/>
      <c r="X2" s="16"/>
      <c r="Y2" s="16"/>
      <c r="Z2" s="16"/>
      <c r="AA2" s="16"/>
    </row>
    <row r="3" spans="1:27" ht="15.75" x14ac:dyDescent="0.25">
      <c r="A3" s="108" t="s">
        <v>9443</v>
      </c>
      <c r="B3" s="108">
        <f>MEDIAN('Table 4'!Y3:'Table 4'!Y22)</f>
        <v>227</v>
      </c>
      <c r="C3" s="108">
        <f>MEDIAN('Table 4'!Y3,'Table 4'!Y5,'Table 4'!Y7,'Table 4'!Y9,'Table 4'!Y22,'Table 4'!Y19,'Table 4'!Y17,'Table 4'!Y16,'Table 4'!Y12,'Table 4'!Y14)</f>
        <v>207</v>
      </c>
      <c r="D3" s="108">
        <f>MEDIAN('Table 4'!Y4,'Table 4'!Y6,'Table 4'!Y8,'Table 4'!Y10,'Table 4'!Y11,'Table 4'!Y13,'Table 4'!Y15,'Table 4'!Y18,'Table 4'!Y20,'Table 4'!Y21)</f>
        <v>237</v>
      </c>
      <c r="E3" s="108">
        <f>MEDIAN('Table 4'!Y3,'Table 4'!Y5,'Table 4'!Y7,'Table 4'!Y9,'Table 4'!Y11,'Table 4'!Y13,'Table 4'!Y15,'Table 4'!Y17,'Table 4'!Y19,'Table 4'!Y21)</f>
        <v>207</v>
      </c>
      <c r="F3" s="108">
        <f>MEDIAN('Table 4'!Y4,'Table 4'!Y6,'Table 4'!Y8,'Table 4'!Y10,'Table 4'!Y12,'Table 4'!Y14,'Table 4'!Y16,'Table 4'!Y18,'Table 4'!Y20,'Table 4'!Y22)</f>
        <v>243.5</v>
      </c>
      <c r="G3" s="108">
        <f>MEDIAN('Table 4'!Y4,'Table 4'!Y6,'Table 4'!Y7,'Table 4'!Y9,'Table 4'!Y11,'Table 4'!Y13,'Table 4'!Y15,'Table 4'!Y17,'Table 4'!Y19,'Table 4'!Y21)</f>
        <v>237</v>
      </c>
      <c r="H3" s="108">
        <f>MEDIAN('Table 4'!Y3,'Table 4'!Y5,'Table 4'!Y8,'Table 4'!Y10,'Table 4'!Y12,'Table 4'!Y14,'Table 4'!Y16,'Table 4'!Y18,'Table 4'!Y20,'Table 4'!Y22)</f>
        <v>208</v>
      </c>
      <c r="I3" s="108">
        <f>MEDIAN('Table 4'!Y7,'Table 4'!Y9,'Table 4'!Y17,'Table 4'!Y19)</f>
        <v>238</v>
      </c>
      <c r="J3" s="108">
        <f>MEDIAN('Table 4'!Y3,'Table 4'!Y5,'Table 4'!Y12,'Table 4'!Y14,'Table 4'!Y16,'Table 4'!Y22)</f>
        <v>173.5</v>
      </c>
      <c r="K3" s="108">
        <f>MEDIAN('Table 4'!Y4,'Table 4'!Y6,'Table 4'!Y11,'Table 4'!Y13,'Table 4'!Y15,'Table 4'!Y21)</f>
        <v>237</v>
      </c>
      <c r="L3" s="108">
        <f>MEDIAN('Table 4'!Y8,'Table 4'!Y10,'Table 4'!Y18,'Table 4'!Y20)</f>
        <v>288</v>
      </c>
      <c r="V3" s="16"/>
      <c r="W3" s="16"/>
      <c r="X3" s="16"/>
      <c r="Y3" s="16"/>
      <c r="Z3" s="16"/>
      <c r="AA3" s="16"/>
    </row>
    <row r="4" spans="1:27" ht="15.75" x14ac:dyDescent="0.25">
      <c r="A4" s="108" t="s">
        <v>9442</v>
      </c>
      <c r="B4" s="108">
        <f>('Table 4'!Y23)/20</f>
        <v>223.7</v>
      </c>
      <c r="C4" s="108">
        <f>AVERAGE('Table 4'!Y3,'Table 4'!Y5,'Table 4'!Y7,'Table 4'!Y9,'Table 4'!Y22,'Table 4'!Y19,'Table 4'!Y17,'Table 4'!Y16,'Table 4'!Y12,'Table 4'!Y14)</f>
        <v>198.8</v>
      </c>
      <c r="D4" s="108">
        <f>AVERAGE('Table 4'!Y4,'Table 4'!Y6,'Table 4'!Y8,'Table 4'!Y10,'Table 4'!Y11,'Table 4'!Y13,'Table 4'!Y15,'Table 4'!Y18,'Table 4'!Y20,'Table 4'!Y21)</f>
        <v>248.6</v>
      </c>
      <c r="E4" s="108">
        <f>AVERAGE('Table 4'!Y3,'Table 4'!Y5,'Table 4'!Y7,'Table 4'!Y9,'Table 4'!Y11,'Table 4'!Y13,'Table 4'!Y15,'Table 4'!Y17,'Table 4'!Y19,'Table 4'!Y21)</f>
        <v>213.3</v>
      </c>
      <c r="F4" s="108">
        <f>AVERAGE('Table 4'!Y4,'Table 4'!Y6,'Table 4'!Y8,'Table 4'!Y10,'Table 4'!Y12,'Table 4'!Y14,'Table 4'!Y16,'Table 4'!Y18,'Table 4'!Y20,'Table 4'!Y22)</f>
        <v>234.1</v>
      </c>
      <c r="G4" s="108">
        <f>AVERAGE('Table 4'!Y4,'Table 4'!Y6,'Table 4'!Y7,'Table 4'!Y9,'Table 4'!Y11,'Table 4'!Y13,'Table 4'!Y15,'Table 4'!Y17,'Table 4'!Y19,'Table 4'!Y21)</f>
        <v>234.1</v>
      </c>
      <c r="H4" s="108">
        <f>AVERAGE('Table 4'!Y3,'Table 4'!Y5,'Table 4'!Y8,'Table 4'!Y10,'Table 4'!Y12,'Table 4'!Y14,'Table 4'!Y16,'Table 4'!Y18,'Table 4'!Y20,'Table 4'!Y22)</f>
        <v>213.3</v>
      </c>
      <c r="I4" s="108">
        <f>AVERAGE('Table 4'!Y7,'Table 4'!Y9,'Table 4'!Y17,'Table 4'!Y19)</f>
        <v>239.75</v>
      </c>
      <c r="J4" s="108">
        <f>AVERAGE('Table 4'!Y3,'Table 4'!Y5,'Table 4'!Y12,'Table 4'!Y14,'Table 4'!Y16,'Table 4'!Y22)</f>
        <v>171.5</v>
      </c>
      <c r="K4" s="108">
        <f>AVERAGE('Table 4'!Y4,'Table 4'!Y6,'Table 4'!Y11,'Table 4'!Y13,'Table 4'!Y15,'Table 4'!Y21)</f>
        <v>230.33333333333334</v>
      </c>
      <c r="L4" s="108">
        <f>AVERAGE('Table 4'!Y8,'Table 4'!Y10,'Table 4'!Y18,'Table 4'!Y20)</f>
        <v>276</v>
      </c>
      <c r="V4" s="16"/>
      <c r="W4" s="16"/>
      <c r="X4" s="16"/>
      <c r="Y4" s="16"/>
      <c r="Z4" s="16"/>
      <c r="AA4" s="16"/>
    </row>
    <row r="5" spans="1:27" ht="15.75" x14ac:dyDescent="0.25">
      <c r="A5" s="108" t="s">
        <v>9435</v>
      </c>
      <c r="B5" s="108">
        <f>('Table 4'!Y23)</f>
        <v>4474</v>
      </c>
      <c r="C5" s="108">
        <f>SUM('Table 4'!Y3,'Table 4'!Y5,'Table 4'!Y7,'Table 4'!Y9,'Table 4'!Y22,'Table 4'!Y19,'Table 4'!Y17,'Table 4'!Y16,'Table 4'!Y12,'Table 4'!Y14)</f>
        <v>1988</v>
      </c>
      <c r="D5" s="108">
        <f>SUM('Table 4'!Y4,'Table 4'!Y6,'Table 4'!Y8,'Table 4'!Y10,'Table 4'!Y11,'Table 4'!Y13,'Table 4'!Y15,'Table 4'!Y18,'Table 4'!Y20,'Table 4'!Y21)</f>
        <v>2486</v>
      </c>
      <c r="E5" s="108">
        <f>SUM('Table 4'!Y3,'Table 4'!Y5,'Table 4'!Y7,'Table 4'!Y9,'Table 4'!Y11,'Table 4'!Y13,'Table 4'!Y15,'Table 4'!Y17,'Table 4'!Y19,'Table 4'!Y21)</f>
        <v>2133</v>
      </c>
      <c r="F5" s="108">
        <f>SUM('Table 4'!Y4,'Table 4'!Y6,'Table 4'!Y8,'Table 4'!Y10,'Table 4'!Y12,'Table 4'!Y14,'Table 4'!Y16,'Table 4'!Y18,'Table 4'!Y20,'Table 4'!Y22)</f>
        <v>2341</v>
      </c>
      <c r="G5" s="108">
        <f>SUM('Table 4'!Y4,'Table 4'!Y6,'Table 4'!Y7,'Table 4'!Y9,'Table 4'!Y11,'Table 4'!Y13,'Table 4'!Y15,'Table 4'!Y17,'Table 4'!Y19,'Table 4'!Y21)</f>
        <v>2341</v>
      </c>
      <c r="H5" s="108">
        <f>SUM('Table 4'!Y3,'Table 4'!Y5,'Table 4'!Y8,'Table 4'!Y10,'Table 4'!Y12,'Table 4'!Y14,'Table 4'!Y16,'Table 4'!Y18,'Table 4'!Y20,'Table 4'!Y22)</f>
        <v>2133</v>
      </c>
      <c r="I5" s="108">
        <f>SUM('Table 4'!Y7,'Table 4'!Y9,'Table 4'!Y17,'Table 4'!Y19)</f>
        <v>959</v>
      </c>
      <c r="J5" s="108">
        <f>SUM('Table 4'!Y3,'Table 4'!Y5,'Table 4'!Y12,'Table 4'!Y14,'Table 4'!Y16,'Table 4'!Y22)</f>
        <v>1029</v>
      </c>
      <c r="K5" s="108">
        <f>SUM('Table 4'!Y4,'Table 4'!Y6,'Table 4'!Y11,'Table 4'!Y13,'Table 4'!Y15,'Table 4'!Y21)</f>
        <v>1382</v>
      </c>
      <c r="L5" s="108">
        <f>SUM('Table 4'!Y8,'Table 4'!Y10,'Table 4'!Y18,'Table 4'!Y20)</f>
        <v>1104</v>
      </c>
      <c r="V5" s="16"/>
      <c r="W5" s="16"/>
      <c r="X5" s="16"/>
      <c r="Y5" s="16"/>
      <c r="Z5" s="16"/>
      <c r="AA5" s="16"/>
    </row>
    <row r="6" spans="1:27" ht="15.75" x14ac:dyDescent="0.25">
      <c r="A6" s="86" t="s">
        <v>10</v>
      </c>
      <c r="B6" s="86">
        <f>('Table 4'!F23)</f>
        <v>533</v>
      </c>
      <c r="C6" s="86">
        <f>SUM('Table 4'!F3,'Table 4'!F5,'Table 4'!F7,'Table 4'!F9,'Table 4'!F12, 'Table 4'!F14,'Table 4'!F16,'Table 4'!F17,'Table 4'!F19,'Table 4'!F22)</f>
        <v>259</v>
      </c>
      <c r="D6" s="61">
        <f>SUM('Table 4'!F4,'Table 4'!F6,'Table 4'!F8,'Table 4'!F10,'Table 4'!F11,'Table 4'!F13,'Table 4'!F15,'Table 4'!F18,'Table 4'!F20,'Table 4'!F21)</f>
        <v>274</v>
      </c>
      <c r="E6" s="61">
        <f>SUM('Table 4'!F3,'Table 4'!F5,'Table 4'!F7,'Table 4'!F9,'Table 4'!F11,'Table 4'!F13,'Table 4'!F15,'Table 4'!F17,'Table 4'!F19,'Table 4'!F21)</f>
        <v>280</v>
      </c>
      <c r="F6" s="61">
        <f>SUM('Table 4'!F4,'Table 4'!F6,'Table 4'!F8,'Table 4'!F10,'Table 4'!F12,'Table 4'!F14,'Table 4'!F16,'Table 4'!F18,'Table 4'!F20,'Table 4'!F22)</f>
        <v>253</v>
      </c>
      <c r="G6" s="61">
        <f>SUM('Table 4'!F4,'Table 4'!F6,'Table 4'!F7,'Table 4'!F9,'Table 4'!F11,'Table 4'!F13,'Table 4'!F15,'Table 4'!F17,'Table 4'!F19,'Table 4'!F21)</f>
        <v>267</v>
      </c>
      <c r="H6" s="61">
        <f>SUM('Table 4'!F3,'Table 4'!F5,'Table 4'!F8,'Table 4'!F10,'Table 4'!F12,'Table 4'!F14,'Table 4'!F16,'Table 4'!F18,'Table 4'!F20,'Table 4'!F22)</f>
        <v>266</v>
      </c>
      <c r="I6" s="61">
        <f>SUM('Table 4'!F7,'Table 4'!F9,'Table 4'!F17,'Table 4'!F19)</f>
        <v>118</v>
      </c>
      <c r="J6" s="61">
        <f>SUM('Table 4'!F3,'Table 4'!F5,'Table 4'!F12,'Table 4'!F14,'Table 4'!F16,'Table 4'!F22)</f>
        <v>141</v>
      </c>
      <c r="K6" s="61">
        <f>SUM('Table 4'!F4,'Table 4'!F6,'Table 4'!F11,'Table 4'!F13,'Table 4'!F15,'Table 4'!F21)</f>
        <v>149</v>
      </c>
      <c r="L6" s="61">
        <f>SUM('Table 4'!F8,'Table 4'!F10,'Table 4'!F18,'Table 4'!F20)</f>
        <v>125</v>
      </c>
      <c r="M6" s="60"/>
      <c r="N6" s="60"/>
      <c r="O6" s="60"/>
      <c r="P6" s="60"/>
      <c r="Q6" s="60"/>
      <c r="R6" s="60"/>
      <c r="S6" s="60"/>
      <c r="T6" s="60"/>
      <c r="U6" s="60"/>
      <c r="V6" s="60"/>
      <c r="W6" s="60"/>
      <c r="X6" s="60"/>
      <c r="Y6" s="60"/>
      <c r="Z6" s="16"/>
      <c r="AA6" s="16"/>
    </row>
    <row r="7" spans="1:27" ht="15.75" x14ac:dyDescent="0.25">
      <c r="A7" s="86" t="s">
        <v>11</v>
      </c>
      <c r="B7" s="86">
        <f>('Table 4'!G23)</f>
        <v>544</v>
      </c>
      <c r="C7" s="86">
        <f>SUM('Table 4'!G3,'Table 4'!G5,'Table 4'!G7,'Table 4'!G9,'Table 4'!G12, 'Table 4'!G14,'Table 4'!G16,'Table 4'!G17,'Table 4'!G19,'Table 4'!G22)</f>
        <v>108</v>
      </c>
      <c r="D7" s="61">
        <f>SUM('Table 4'!G4,'Table 4'!G6,'Table 4'!G8,'Table 4'!G10,'Table 4'!G11,'Table 4'!G13,'Table 4'!G15,'Table 4'!G18,'Table 4'!G20,'Table 4'!G21)</f>
        <v>436</v>
      </c>
      <c r="E7" s="61">
        <f>SUM('Table 4'!G3,'Table 4'!G5,'Table 4'!G7,'Table 4'!G9,'Table 4'!G11,'Table 4'!G13,'Table 4'!G15,'Table 4'!G17,'Table 4'!G19,'Table 4'!G21)</f>
        <v>215</v>
      </c>
      <c r="F7" s="61">
        <f>SUM('Table 4'!G4,'Table 4'!G6,'Table 4'!G8,'Table 4'!G10,'Table 4'!G12,'Table 4'!G14,'Table 4'!G16,'Table 4'!G18,'Table 4'!G20,'Table 4'!G22)</f>
        <v>329</v>
      </c>
      <c r="G7" s="61">
        <f>SUM('Table 4'!G4,'Table 4'!G6,'Table 4'!G7,'Table 4'!G9,'Table 4'!G11,'Table 4'!G13,'Table 4'!G15,'Table 4'!G17,'Table 4'!G19,'Table 4'!G21)</f>
        <v>264</v>
      </c>
      <c r="H7" s="61">
        <f>SUM('Table 4'!G3,'Table 4'!G5,'Table 4'!G8,'Table 4'!G10,'Table 4'!G12,'Table 4'!G14,'Table 4'!G16,'Table 4'!G18,'Table 4'!G20,'Table 4'!G22)</f>
        <v>280</v>
      </c>
      <c r="I7" s="61">
        <f>SUM('Table 4'!G7,'Table 4'!G9,'Table 4'!G17,'Table 4'!G19)</f>
        <v>38</v>
      </c>
      <c r="J7" s="61">
        <f>SUM('Table 4'!G3,'Table 4'!G5,'Table 4'!G12,'Table 4'!G14,'Table 4'!G16,'Table 4'!G22)</f>
        <v>70</v>
      </c>
      <c r="K7" s="61">
        <f>SUM('Table 4'!G4,'Table 4'!G6,'Table 4'!G11,'Table 4'!G13,'Table 4'!G15,'Table 4'!G21)</f>
        <v>226</v>
      </c>
      <c r="L7" s="61">
        <f>SUM('Table 4'!G8,'Table 4'!G10,'Table 4'!G18,'Table 4'!G20)</f>
        <v>210</v>
      </c>
      <c r="M7" s="16"/>
      <c r="N7" s="16"/>
      <c r="O7" s="16"/>
      <c r="P7" s="16"/>
      <c r="Q7" s="16"/>
      <c r="R7" s="16"/>
      <c r="S7" s="16"/>
      <c r="T7" s="16"/>
      <c r="U7" s="16"/>
      <c r="V7" s="16"/>
      <c r="W7" s="16"/>
      <c r="X7" s="16"/>
      <c r="Y7" s="16"/>
      <c r="Z7" s="16"/>
      <c r="AA7" s="16"/>
    </row>
    <row r="8" spans="1:27" ht="15.75" x14ac:dyDescent="0.25">
      <c r="A8" s="86" t="s">
        <v>12</v>
      </c>
      <c r="B8" s="86">
        <f>('Table 4'!H23)</f>
        <v>314</v>
      </c>
      <c r="C8" s="86">
        <f>SUM('Table 4'!H3,'Table 4'!H5,'Table 4'!H7,'Table 4'!H9,'Table 4'!H12, 'Table 4'!H14,'Table 4'!H16,'Table 4'!H17,'Table 4'!H19,'Table 4'!H22)</f>
        <v>178</v>
      </c>
      <c r="D8" s="61">
        <f>SUM('Table 4'!H4,'Table 4'!H6,'Table 4'!H8,'Table 4'!H10,'Table 4'!H11,'Table 4'!H13,'Table 4'!H15,'Table 4'!H18,'Table 4'!H20,'Table 4'!H21)</f>
        <v>136</v>
      </c>
      <c r="E8" s="61">
        <f>SUM('Table 4'!H3,'Table 4'!H5,'Table 4'!H7,'Table 4'!H9,'Table 4'!H11,'Table 4'!H13,'Table 4'!H15,'Table 4'!H17,'Table 4'!H19,'Table 4'!H21)</f>
        <v>192</v>
      </c>
      <c r="F8" s="61">
        <f>SUM('Table 4'!H4,'Table 4'!H6,'Table 4'!H8,'Table 4'!H10,'Table 4'!H12,'Table 4'!H14,'Table 4'!H16,'Table 4'!H18,'Table 4'!H20,'Table 4'!H22)</f>
        <v>122</v>
      </c>
      <c r="G8" s="61">
        <f>SUM('Table 4'!H4,'Table 4'!H6,'Table 4'!H7,'Table 4'!H9,'Table 4'!H11,'Table 4'!H13,'Table 4'!H15,'Table 4'!H17,'Table 4'!H19,'Table 4'!H21)</f>
        <v>163</v>
      </c>
      <c r="H8" s="61">
        <f>SUM('Table 4'!H3,'Table 4'!H5,'Table 4'!H8,'Table 4'!H10,'Table 4'!H12,'Table 4'!H14,'Table 4'!H16,'Table 4'!H18,'Table 4'!H20,'Table 4'!H22)</f>
        <v>151</v>
      </c>
      <c r="I8" s="61">
        <f>SUM('Table 4'!H7,'Table 4'!H9,'Table 4'!H17,'Table 4'!H19)</f>
        <v>85</v>
      </c>
      <c r="J8" s="61">
        <f>SUM('Table 4'!H3,'Table 4'!H5,'Table 4'!H12,'Table 4'!H14,'Table 4'!H16,'Table 4'!H22)</f>
        <v>93</v>
      </c>
      <c r="K8" s="61">
        <f>SUM('Table 4'!H4,'Table 4'!H6,'Table 4'!H11,'Table 4'!H13,'Table 4'!H15,'Table 4'!H21)</f>
        <v>78</v>
      </c>
      <c r="L8" s="61">
        <f>SUM('Table 4'!H8,'Table 4'!H10,'Table 4'!H18,'Table 4'!H20)</f>
        <v>58</v>
      </c>
      <c r="M8" s="16"/>
      <c r="N8" s="16"/>
      <c r="O8" s="16"/>
      <c r="P8" s="16"/>
      <c r="Q8" s="16"/>
      <c r="R8" s="16"/>
      <c r="S8" s="16"/>
      <c r="T8" s="16"/>
      <c r="U8" s="16"/>
      <c r="V8" s="16"/>
      <c r="W8" s="16"/>
      <c r="X8" s="16"/>
      <c r="Y8" s="16"/>
      <c r="Z8" s="16"/>
      <c r="AA8" s="16"/>
    </row>
    <row r="9" spans="1:27" ht="15.75" x14ac:dyDescent="0.25">
      <c r="A9" s="86" t="s">
        <v>13</v>
      </c>
      <c r="B9" s="86">
        <f>('Table 4'!I23)</f>
        <v>493</v>
      </c>
      <c r="C9" s="86">
        <f>SUM('Table 4'!I3,'Table 4'!I5,'Table 4'!I7,'Table 4'!I9,'Table 4'!I12, 'Table 4'!I14,'Table 4'!I16,'Table 4'!I17,'Table 4'!I19,'Table 4'!I22)</f>
        <v>193</v>
      </c>
      <c r="D9" s="61">
        <f>SUM('Table 4'!I4,'Table 4'!I6,'Table 4'!I8,'Table 4'!I10,'Table 4'!I11,'Table 4'!I13,'Table 4'!I15,'Table 4'!I18,'Table 4'!I20,'Table 4'!I21)</f>
        <v>300</v>
      </c>
      <c r="E9" s="61">
        <f>SUM('Table 4'!I3,'Table 4'!I5,'Table 4'!I7,'Table 4'!I9,'Table 4'!I11,'Table 4'!I13,'Table 4'!I15,'Table 4'!I17,'Table 4'!I19,'Table 4'!I21)</f>
        <v>199</v>
      </c>
      <c r="F9" s="61">
        <f>SUM('Table 4'!I4,'Table 4'!I6,'Table 4'!I8,'Table 4'!I10,'Table 4'!I12,'Table 4'!I14,'Table 4'!I16,'Table 4'!I18,'Table 4'!I20,'Table 4'!I22)</f>
        <v>294</v>
      </c>
      <c r="G9" s="61">
        <f>SUM('Table 4'!I4,'Table 4'!I6,'Table 4'!I7,'Table 4'!I9,'Table 4'!I11,'Table 4'!I13,'Table 4'!I15,'Table 4'!I17,'Table 4'!I19,'Table 4'!I21)</f>
        <v>227</v>
      </c>
      <c r="H9" s="61">
        <f>SUM('Table 4'!I3,'Table 4'!I5,'Table 4'!I8,'Table 4'!I10,'Table 4'!I12,'Table 4'!I14,'Table 4'!I16,'Table 4'!I18,'Table 4'!I20,'Table 4'!I22)</f>
        <v>266</v>
      </c>
      <c r="I9" s="61">
        <f>SUM('Table 4'!I7,'Table 4'!I9,'Table 4'!I17,'Table 4'!I19)</f>
        <v>65</v>
      </c>
      <c r="J9" s="61">
        <f>SUM('Table 4'!I3,'Table 4'!I5,'Table 4'!I12,'Table 4'!I14,'Table 4'!I16,'Table 4'!I22)</f>
        <v>128</v>
      </c>
      <c r="K9" s="61">
        <f>SUM('Table 4'!I4,'Table 4'!I6,'Table 4'!I11,'Table 4'!I13,'Table 4'!I15,'Table 4'!I21)</f>
        <v>162</v>
      </c>
      <c r="L9" s="61">
        <f>SUM('Table 4'!I8,'Table 4'!I10,'Table 4'!I18,'Table 4'!I20)</f>
        <v>138</v>
      </c>
      <c r="M9" s="16"/>
      <c r="N9" s="16"/>
      <c r="O9" s="16"/>
      <c r="P9" s="16"/>
      <c r="Q9" s="16"/>
      <c r="R9" s="16"/>
      <c r="S9" s="16"/>
      <c r="T9" s="16"/>
      <c r="U9" s="16"/>
    </row>
    <row r="10" spans="1:27" ht="15.75" x14ac:dyDescent="0.25">
      <c r="A10" s="86" t="s">
        <v>9148</v>
      </c>
      <c r="B10" s="86">
        <f>('Table 4'!J23)</f>
        <v>56</v>
      </c>
      <c r="C10" s="86">
        <f>SUM('Table 4'!J3,'Table 4'!J5,'Table 4'!J7,'Table 4'!J9,'Table 4'!J12, 'Table 4'!J14,'Table 4'!J16,'Table 4'!J17,'Table 4'!J19,'Table 4'!J22)</f>
        <v>35</v>
      </c>
      <c r="D10" s="61">
        <f>SUM('Table 4'!J4,'Table 4'!J6,'Table 4'!J8,'Table 4'!J10,'Table 4'!J11,'Table 4'!J13,'Table 4'!J15,'Table 4'!J18,'Table 4'!J20,'Table 4'!J21)</f>
        <v>21</v>
      </c>
      <c r="E10" s="61">
        <f>SUM('Table 4'!J3,'Table 4'!J5,'Table 4'!J7,'Table 4'!J9,'Table 4'!J11,'Table 4'!J13,'Table 4'!J15,'Table 4'!J17,'Table 4'!J19,'Table 4'!J21)</f>
        <v>24</v>
      </c>
      <c r="F10" s="61">
        <f>SUM('Table 4'!J4,'Table 4'!J6,'Table 4'!J8,'Table 4'!J10,'Table 4'!J12,'Table 4'!J14,'Table 4'!J16,'Table 4'!J18,'Table 4'!J20,'Table 4'!J22)</f>
        <v>32</v>
      </c>
      <c r="G10" s="61">
        <f>SUM('Table 4'!J4,'Table 4'!J6,'Table 4'!J7,'Table 4'!J9,'Table 4'!J11,'Table 4'!J13,'Table 4'!J15,'Table 4'!J17,'Table 4'!J19,'Table 4'!J21)</f>
        <v>28</v>
      </c>
      <c r="H10" s="61">
        <f>SUM('Table 4'!J3,'Table 4'!J5,'Table 4'!J8,'Table 4'!J10,'Table 4'!J12,'Table 4'!J14,'Table 4'!J16,'Table 4'!J18,'Table 4'!J20,'Table 4'!J22)</f>
        <v>28</v>
      </c>
      <c r="I10" s="61">
        <f>SUM('Table 4'!J7,'Table 4'!J9,'Table 4'!J17,'Table 4'!J19)</f>
        <v>9</v>
      </c>
      <c r="J10" s="61">
        <f>SUM('Table 4'!J3,'Table 4'!J5,'Table 4'!J12,'Table 4'!J14,'Table 4'!J16,'Table 4'!J22)</f>
        <v>26</v>
      </c>
      <c r="K10" s="61">
        <f>SUM('Table 4'!J4,'Table 4'!J6,'Table 4'!J11,'Table 4'!J13,'Table 4'!J15,'Table 4'!J21)</f>
        <v>19</v>
      </c>
      <c r="L10" s="61">
        <f>SUM('Table 4'!J8,'Table 4'!J10,'Table 4'!J18,'Table 4'!J20)</f>
        <v>2</v>
      </c>
      <c r="M10" s="16"/>
      <c r="N10" s="16"/>
      <c r="O10" s="16"/>
      <c r="P10" s="16"/>
      <c r="Q10" s="16"/>
      <c r="R10" s="16"/>
      <c r="S10" s="16"/>
      <c r="T10" s="16"/>
      <c r="U10" s="16"/>
    </row>
    <row r="11" spans="1:27" ht="15.75" x14ac:dyDescent="0.25">
      <c r="A11" s="86" t="s">
        <v>15</v>
      </c>
      <c r="B11" s="86">
        <f>('Table 4'!K23)</f>
        <v>176</v>
      </c>
      <c r="C11" s="86">
        <f>SUM('Table 4'!K3,'Table 4'!K5,'Table 4'!K7,'Table 4'!K9,'Table 4'!K12, 'Table 4'!K14,'Table 4'!K16,'Table 4'!K17,'Table 4'!K19,'Table 4'!K22)</f>
        <v>76</v>
      </c>
      <c r="D11" s="61">
        <f>SUM('Table 4'!K4,'Table 4'!K6,'Table 4'!K8,'Table 4'!K10,'Table 4'!K11,'Table 4'!K13,'Table 4'!K15,'Table 4'!K18,'Table 4'!K20,'Table 4'!K21)</f>
        <v>100</v>
      </c>
      <c r="E11" s="61">
        <f>SUM('Table 4'!K3,'Table 4'!K5,'Table 4'!K7,'Table 4'!K9,'Table 4'!K11,'Table 4'!K13,'Table 4'!K15,'Table 4'!K17,'Table 4'!K19,'Table 4'!K21)</f>
        <v>126</v>
      </c>
      <c r="F11" s="61">
        <f>SUM('Table 4'!K4,'Table 4'!K6,'Table 4'!K8,'Table 4'!K10,'Table 4'!K12,'Table 4'!K14,'Table 4'!K16,'Table 4'!K18,'Table 4'!K20,'Table 4'!K22)</f>
        <v>50</v>
      </c>
      <c r="G11" s="61">
        <f>SUM('Table 4'!K4,'Table 4'!K6,'Table 4'!K7,'Table 4'!K9,'Table 4'!K11,'Table 4'!K13,'Table 4'!K15,'Table 4'!K17,'Table 4'!K19,'Table 4'!K21)</f>
        <v>124</v>
      </c>
      <c r="H11" s="61">
        <f>SUM('Table 4'!K3,'Table 4'!K5,'Table 4'!K8,'Table 4'!K10,'Table 4'!K12,'Table 4'!K14,'Table 4'!K16,'Table 4'!K18,'Table 4'!K20,'Table 4'!K22)</f>
        <v>52</v>
      </c>
      <c r="I11" s="61">
        <f>SUM('Table 4'!K7,'Table 4'!K9,'Table 4'!K17,'Table 4'!K19)</f>
        <v>42</v>
      </c>
      <c r="J11" s="61">
        <f>SUM('Table 4'!K3,'Table 4'!K5,'Table 4'!K12,'Table 4'!K14,'Table 4'!K16,'Table 4'!K22)</f>
        <v>34</v>
      </c>
      <c r="K11" s="61">
        <f>SUM('Table 4'!K4,'Table 4'!K6,'Table 4'!K11,'Table 4'!K13,'Table 4'!K15,'Table 4'!K21)</f>
        <v>82</v>
      </c>
      <c r="L11" s="61">
        <f>SUM('Table 4'!K8,'Table 4'!K10,'Table 4'!K18,'Table 4'!K20)</f>
        <v>18</v>
      </c>
      <c r="M11" s="16"/>
      <c r="N11" s="16"/>
      <c r="O11" s="16"/>
      <c r="P11" s="16"/>
      <c r="Q11" s="16"/>
      <c r="R11" s="16"/>
      <c r="S11" s="16"/>
      <c r="T11" s="16"/>
      <c r="U11" s="16"/>
    </row>
    <row r="12" spans="1:27" ht="15.75" x14ac:dyDescent="0.25">
      <c r="A12" s="86" t="s">
        <v>16</v>
      </c>
      <c r="B12" s="86">
        <f>('Table 4'!L23)</f>
        <v>71</v>
      </c>
      <c r="C12" s="86">
        <f>SUM('Table 4'!L3,'Table 4'!L5,'Table 4'!L7,'Table 4'!L9,'Table 4'!L12, 'Table 4'!L14,'Table 4'!L16,'Table 4'!L17,'Table 4'!L19,'Table 4'!L22)</f>
        <v>41</v>
      </c>
      <c r="D12" s="61">
        <f>SUM('Table 4'!L4,'Table 4'!L6,'Table 4'!L8,'Table 4'!L10,'Table 4'!L11,'Table 4'!L13,'Table 4'!L15,'Table 4'!L18,'Table 4'!L20,'Table 4'!L21)</f>
        <v>30</v>
      </c>
      <c r="E12" s="61">
        <f>SUM('Table 4'!L3,'Table 4'!L5,'Table 4'!L7,'Table 4'!L9,'Table 4'!L11,'Table 4'!L13,'Table 4'!L15,'Table 4'!L17,'Table 4'!L19,'Table 4'!L21)</f>
        <v>25</v>
      </c>
      <c r="F12" s="61">
        <f>SUM('Table 4'!L4,'Table 4'!L6,'Table 4'!L8,'Table 4'!L10,'Table 4'!L12,'Table 4'!L14,'Table 4'!L16,'Table 4'!L18,'Table 4'!L20,'Table 4'!L22)</f>
        <v>46</v>
      </c>
      <c r="G12" s="61">
        <f>SUM('Table 4'!L4,'Table 4'!L6,'Table 4'!L7,'Table 4'!L9,'Table 4'!L11,'Table 4'!L13,'Table 4'!L15,'Table 4'!L17,'Table 4'!L19,'Table 4'!L21)</f>
        <v>24</v>
      </c>
      <c r="H12" s="61">
        <f>SUM('Table 4'!L3,'Table 4'!L5,'Table 4'!L8,'Table 4'!L10,'Table 4'!L12,'Table 4'!L14,'Table 4'!L16,'Table 4'!L18,'Table 4'!L20,'Table 4'!L22)</f>
        <v>47</v>
      </c>
      <c r="I12" s="61">
        <f>SUM('Table 4'!L7,'Table 4'!L9,'Table 4'!L17,'Table 4'!L19)</f>
        <v>13</v>
      </c>
      <c r="J12" s="61">
        <f>SUM('Table 4'!L3,'Table 4'!L5,'Table 4'!L12,'Table 4'!L14,'Table 4'!L16,'Table 4'!L22)</f>
        <v>28</v>
      </c>
      <c r="K12" s="61">
        <f>SUM('Table 4'!L4,'Table 4'!L6,'Table 4'!L11,'Table 4'!L13,'Table 4'!L15,'Table 4'!L21)</f>
        <v>11</v>
      </c>
      <c r="L12" s="61">
        <f>SUM('Table 4'!L8,'Table 4'!L10,'Table 4'!L18,'Table 4'!L20)</f>
        <v>19</v>
      </c>
    </row>
    <row r="13" spans="1:27" ht="15.75" x14ac:dyDescent="0.25">
      <c r="A13" s="86" t="s">
        <v>17</v>
      </c>
      <c r="B13" s="86">
        <f>('Table 4'!M23)</f>
        <v>116</v>
      </c>
      <c r="C13" s="86">
        <f>SUM('Table 4'!M3,'Table 4'!M5,'Table 4'!M7,'Table 4'!M9,'Table 4'!M12, 'Table 4'!M14,'Table 4'!M16,'Table 4'!M17,'Table 4'!M19,'Table 4'!M22)</f>
        <v>44</v>
      </c>
      <c r="D13" s="61">
        <f>SUM('Table 4'!M4,'Table 4'!M6,'Table 4'!M8,'Table 4'!M10,'Table 4'!M11,'Table 4'!M13,'Table 4'!M15,'Table 4'!M18,'Table 4'!M20,'Table 4'!M21)</f>
        <v>72</v>
      </c>
      <c r="E13" s="61">
        <f>SUM('Table 4'!M3,'Table 4'!M5,'Table 4'!M7,'Table 4'!M9,'Table 4'!M11,'Table 4'!M13,'Table 4'!M15,'Table 4'!M17,'Table 4'!M19,'Table 4'!M21)</f>
        <v>43</v>
      </c>
      <c r="F13" s="61">
        <f>SUM('Table 4'!M4,'Table 4'!M6,'Table 4'!M8,'Table 4'!M10,'Table 4'!M12,'Table 4'!M14,'Table 4'!M16,'Table 4'!M18,'Table 4'!M20,'Table 4'!M22)</f>
        <v>73</v>
      </c>
      <c r="G13" s="61">
        <f>SUM('Table 4'!M4,'Table 4'!M6,'Table 4'!M7,'Table 4'!M9,'Table 4'!M11,'Table 4'!M13,'Table 4'!M15,'Table 4'!M17,'Table 4'!M19,'Table 4'!M21)</f>
        <v>56</v>
      </c>
      <c r="H13" s="61">
        <f>SUM('Table 4'!M3,'Table 4'!M5,'Table 4'!M8,'Table 4'!M10,'Table 4'!M12,'Table 4'!M14,'Table 4'!M16,'Table 4'!M18,'Table 4'!M20,'Table 4'!M22)</f>
        <v>60</v>
      </c>
      <c r="I13" s="61">
        <f>SUM('Table 4'!M7,'Table 4'!M9,'Table 4'!M17,'Table 4'!M19)</f>
        <v>13</v>
      </c>
      <c r="J13" s="61">
        <f>SUM('Table 4'!M3,'Table 4'!M5,'Table 4'!M12,'Table 4'!M14,'Table 4'!M16,'Table 4'!M22)</f>
        <v>31</v>
      </c>
      <c r="K13" s="61">
        <f>SUM('Table 4'!M4,'Table 4'!M6,'Table 4'!M11,'Table 4'!M13,'Table 4'!M15,'Table 4'!M21)</f>
        <v>43</v>
      </c>
      <c r="L13" s="61">
        <f>SUM('Table 4'!M8,'Table 4'!M10,'Table 4'!M18,'Table 4'!M20)</f>
        <v>29</v>
      </c>
    </row>
    <row r="14" spans="1:27" ht="15.75" x14ac:dyDescent="0.25">
      <c r="A14" s="108" t="s">
        <v>9149</v>
      </c>
      <c r="B14" s="108">
        <f>('Table 4'!N23)</f>
        <v>51</v>
      </c>
      <c r="C14" s="108">
        <f>SUM('Table 4'!N3,'Table 4'!N5,'Table 4'!N7,'Table 4'!N9,'Table 4'!N12, 'Table 4'!N14,'Table 4'!N16,'Table 4'!N17,'Table 4'!N19,'Table 4'!N22)</f>
        <v>26</v>
      </c>
      <c r="D14" s="61">
        <f>SUM('Table 4'!N4,'Table 4'!N6,'Table 4'!N8,'Table 4'!N10,'Table 4'!N11,'Table 4'!N13,'Table 4'!N15,'Table 4'!N18,'Table 4'!N20,'Table 4'!N21)</f>
        <v>25</v>
      </c>
      <c r="E14" s="61">
        <f>SUM('Table 4'!N3,'Table 4'!N5,'Table 4'!N7,'Table 4'!N9,'Table 4'!N11,'Table 4'!N13,'Table 4'!N15,'Table 4'!N17,'Table 4'!N19,'Table 4'!N21)</f>
        <v>25</v>
      </c>
      <c r="F14" s="61">
        <f>SUM('Table 4'!N4,'Table 4'!N6,'Table 4'!N8,'Table 4'!N10,'Table 4'!N12,'Table 4'!N14,'Table 4'!N16,'Table 4'!N18,'Table 4'!N20,'Table 4'!N22)</f>
        <v>26</v>
      </c>
      <c r="G14" s="61">
        <f>SUM('Table 4'!N4,'Table 4'!N6,'Table 4'!N7,'Table 4'!N9,'Table 4'!N11,'Table 4'!N13,'Table 4'!N15,'Table 4'!N17,'Table 4'!N19,'Table 4'!N21)</f>
        <v>26</v>
      </c>
      <c r="H14" s="61">
        <f>SUM('Table 4'!N3,'Table 4'!N5,'Table 4'!N8,'Table 4'!N10,'Table 4'!N12,'Table 4'!N14,'Table 4'!N16,'Table 4'!N18,'Table 4'!N20,'Table 4'!N22)</f>
        <v>25</v>
      </c>
      <c r="I14" s="61">
        <f>SUM('Table 4'!N7,'Table 4'!N9,'Table 4'!N17,'Table 4'!N19)</f>
        <v>11</v>
      </c>
      <c r="J14" s="61">
        <f>SUM('Table 4'!N3,'Table 4'!N5,'Table 4'!N12,'Table 4'!N14,'Table 4'!N16,'Table 4'!N22)</f>
        <v>15</v>
      </c>
      <c r="K14" s="61">
        <f>SUM('Table 4'!N4,'Table 4'!N6,'Table 4'!N11,'Table 4'!N13,'Table 4'!N15,'Table 4'!N21)</f>
        <v>15</v>
      </c>
      <c r="L14" s="61">
        <f>SUM('Table 4'!N8,'Table 4'!N10,'Table 4'!N18,'Table 4'!N20)</f>
        <v>10</v>
      </c>
    </row>
    <row r="15" spans="1:27" ht="15.75" x14ac:dyDescent="0.25">
      <c r="A15" s="108" t="s">
        <v>9150</v>
      </c>
      <c r="B15" s="108">
        <f>('Table 4'!O23)</f>
        <v>70</v>
      </c>
      <c r="C15" s="108">
        <f>SUM('Table 4'!O3,'Table 4'!O5,'Table 4'!O7,'Table 4'!O9,'Table 4'!O12, 'Table 4'!O14,'Table 4'!O16,'Table 4'!O17,'Table 4'!O19,'Table 4'!O22)</f>
        <v>23</v>
      </c>
      <c r="D15" s="108">
        <f>SUM('Table 4'!O4,'Table 4'!O6,'Table 4'!O8,'Table 4'!O10,'Table 4'!O11,'Table 4'!O13,'Table 4'!O15,'Table 4'!O18,'Table 4'!O20,'Table 4'!O21)</f>
        <v>47</v>
      </c>
      <c r="E15" s="108">
        <f>SUM('Table 4'!O3,'Table 4'!O5,'Table 4'!O7,'Table 4'!O9,'Table 4'!O11,'Table 4'!O13,'Table 4'!O15,'Table 4'!O17,'Table 4'!O19,'Table 4'!O21)</f>
        <v>40</v>
      </c>
      <c r="F15" s="108">
        <f>SUM('Table 4'!O4,'Table 4'!O6,'Table 4'!O8,'Table 4'!O10,'Table 4'!O12,'Table 4'!O14,'Table 4'!O16,'Table 4'!O18,'Table 4'!O20,'Table 4'!O22)</f>
        <v>30</v>
      </c>
      <c r="G15" s="108">
        <f>SUM('Table 4'!O4,'Table 4'!O6,'Table 4'!O7,'Table 4'!O9,'Table 4'!O11,'Table 4'!O13,'Table 4'!O15,'Table 4'!O17,'Table 4'!O19,'Table 4'!O21)</f>
        <v>39</v>
      </c>
      <c r="H15" s="108">
        <f>SUM('Table 4'!O3,'Table 4'!O5,'Table 4'!O8,'Table 4'!O10,'Table 4'!O12,'Table 4'!O14,'Table 4'!O16,'Table 4'!O18,'Table 4'!O20,'Table 4'!O22)</f>
        <v>31</v>
      </c>
      <c r="I15" s="108">
        <f>SUM('Table 4'!O7,'Table 4'!O9,'Table 4'!O17,'Table 4'!O19)</f>
        <v>10</v>
      </c>
      <c r="J15" s="108">
        <f>SUM('Table 4'!O3,'Table 4'!O5,'Table 4'!O12,'Table 4'!O14,'Table 4'!O16,'Table 4'!O22)</f>
        <v>13</v>
      </c>
      <c r="K15" s="108">
        <f>SUM('Table 4'!O4,'Table 4'!O6,'Table 4'!O11,'Table 4'!O13,'Table 4'!O15,'Table 4'!O21)</f>
        <v>29</v>
      </c>
      <c r="L15" s="108">
        <f>SUM('Table 4'!O8,'Table 4'!O10,'Table 4'!O18,'Table 4'!O20)</f>
        <v>18</v>
      </c>
    </row>
    <row r="16" spans="1:27" ht="15.75" x14ac:dyDescent="0.25">
      <c r="A16" s="86" t="s">
        <v>18</v>
      </c>
      <c r="B16" s="86">
        <f>('Table 4'!P23)</f>
        <v>182</v>
      </c>
      <c r="C16" s="86">
        <f>SUM('Table 4'!P3,'Table 4'!P5,'Table 4'!P7,'Table 4'!P9,'Table 4'!P12, 'Table 4'!P14,'Table 4'!P16,'Table 4'!P17,'Table 4'!P19,'Table 4'!P22)</f>
        <v>90</v>
      </c>
      <c r="D16" s="61">
        <f>SUM('Table 4'!P4,'Table 4'!P6,'Table 4'!P8,'Table 4'!P10,'Table 4'!P11,'Table 4'!P13,'Table 4'!P15,'Table 4'!P18,'Table 4'!P20,'Table 4'!P21)</f>
        <v>92</v>
      </c>
      <c r="E16" s="61">
        <f>SUM('Table 4'!P3,'Table 4'!P5,'Table 4'!P7,'Table 4'!P9,'Table 4'!P11,'Table 4'!P13,'Table 4'!P15,'Table 4'!P17,'Table 4'!P19,'Table 4'!P21)</f>
        <v>99</v>
      </c>
      <c r="F16" s="61">
        <f>SUM('Table 4'!P4,'Table 4'!P6,'Table 4'!P8,'Table 4'!P10,'Table 4'!P12,'Table 4'!P14,'Table 4'!P16,'Table 4'!P18,'Table 4'!P20,'Table 4'!P22)</f>
        <v>83</v>
      </c>
      <c r="G16" s="61">
        <f>SUM('Table 4'!P4,'Table 4'!P6,'Table 4'!P7,'Table 4'!P9,'Table 4'!P11,'Table 4'!P13,'Table 4'!P15,'Table 4'!P17,'Table 4'!P19,'Table 4'!P21)</f>
        <v>99</v>
      </c>
      <c r="H16" s="61">
        <f>SUM('Table 4'!P3,'Table 4'!P5,'Table 4'!P8,'Table 4'!P10,'Table 4'!P12,'Table 4'!P14,'Table 4'!P16,'Table 4'!P18,'Table 4'!P20,'Table 4'!P22)</f>
        <v>83</v>
      </c>
      <c r="I16" s="61">
        <f>SUM('Table 4'!P7,'Table 4'!P9,'Table 4'!P17,'Table 4'!P19)</f>
        <v>51</v>
      </c>
      <c r="J16" s="61">
        <f>SUM('Table 4'!P3,'Table 4'!P5,'Table 4'!P12,'Table 4'!P14,'Table 4'!P16,'Table 4'!P22)</f>
        <v>39</v>
      </c>
      <c r="K16" s="61">
        <f>SUM('Table 4'!P4,'Table 4'!P6,'Table 4'!P11,'Table 4'!P13,'Table 4'!P15,'Table 4'!P21)</f>
        <v>48</v>
      </c>
      <c r="L16" s="61">
        <f>SUM('Table 4'!P8,'Table 4'!P10,'Table 4'!P18,'Table 4'!P20)</f>
        <v>44</v>
      </c>
    </row>
    <row r="17" spans="1:12" ht="15.75" x14ac:dyDescent="0.25">
      <c r="A17" s="86" t="s">
        <v>19</v>
      </c>
      <c r="B17" s="86">
        <f>('Table 4'!Q23)</f>
        <v>30</v>
      </c>
      <c r="C17" s="86">
        <f>SUM('Table 4'!Q3,'Table 4'!Q5,'Table 4'!Q7,'Table 4'!Q9,'Table 4'!Q12, 'Table 4'!Q14,'Table 4'!Q16,'Table 4'!Q17,'Table 4'!Q19,'Table 4'!Q22)</f>
        <v>2</v>
      </c>
      <c r="D17" s="61">
        <f>SUM('Table 4'!Q4,'Table 4'!Q6,'Table 4'!Q8,'Table 4'!Q10,'Table 4'!Q11,'Table 4'!Q13,'Table 4'!Q15,'Table 4'!Q18,'Table 4'!Q20,'Table 4'!Q21)</f>
        <v>28</v>
      </c>
      <c r="E17" s="61">
        <f>SUM('Table 4'!Q3,'Table 4'!Q5,'Table 4'!Q7,'Table 4'!Q9,'Table 4'!Q11,'Table 4'!Q13,'Table 4'!Q15,'Table 4'!Q17,'Table 4'!Q19,'Table 4'!Q21)</f>
        <v>19</v>
      </c>
      <c r="F17" s="61">
        <f>SUM('Table 4'!Q4,'Table 4'!Q6,'Table 4'!Q8,'Table 4'!Q10,'Table 4'!Q12,'Table 4'!Q14,'Table 4'!Q16,'Table 4'!Q18,'Table 4'!Q20,'Table 4'!Q22)</f>
        <v>11</v>
      </c>
      <c r="G17" s="61">
        <f>SUM('Table 4'!Q4,'Table 4'!Q6,'Table 4'!Q7,'Table 4'!Q9,'Table 4'!Q11,'Table 4'!Q13,'Table 4'!Q15,'Table 4'!Q17,'Table 4'!Q19,'Table 4'!Q21)</f>
        <v>19</v>
      </c>
      <c r="H17" s="61">
        <f>SUM('Table 4'!Q3,'Table 4'!Q5,'Table 4'!Q8,'Table 4'!Q10,'Table 4'!Q12,'Table 4'!Q14,'Table 4'!Q16,'Table 4'!Q18,'Table 4'!Q20,'Table 4'!Q22)</f>
        <v>11</v>
      </c>
      <c r="I17" s="61">
        <f>SUM('Table 4'!Q7,'Table 4'!Q9,'Table 4'!Q17,'Table 4'!Q19)</f>
        <v>0</v>
      </c>
      <c r="J17" s="61">
        <f>SUM('Table 4'!Q3,'Table 4'!Q5,'Table 4'!Q12,'Table 4'!Q14,'Table 4'!Q16,'Table 4'!Q22)</f>
        <v>2</v>
      </c>
      <c r="K17" s="61">
        <f>SUM('Table 4'!Q4,'Table 4'!Q6,'Table 4'!Q11,'Table 4'!Q13,'Table 4'!Q15,'Table 4'!Q21)</f>
        <v>19</v>
      </c>
      <c r="L17" s="61">
        <f>SUM('Table 4'!Q8,'Table 4'!Q10,'Table 4'!Q18,'Table 4'!Q20)</f>
        <v>9</v>
      </c>
    </row>
    <row r="18" spans="1:12" ht="15.75" x14ac:dyDescent="0.25">
      <c r="A18" s="86" t="s">
        <v>20</v>
      </c>
      <c r="B18" s="86">
        <f>('Table 4'!R23)</f>
        <v>322</v>
      </c>
      <c r="C18" s="86">
        <f>SUM('Table 4'!R3,'Table 4'!R5,'Table 4'!R7,'Table 4'!R9,'Table 4'!R12, 'Table 4'!R14,'Table 4'!R16,'Table 4'!R17,'Table 4'!R19,'Table 4'!R22)</f>
        <v>168</v>
      </c>
      <c r="D18" s="61">
        <f>SUM('Table 4'!R4,'Table 4'!R6,'Table 4'!R8,'Table 4'!R10,'Table 4'!R11,'Table 4'!R13,'Table 4'!R15,'Table 4'!R18,'Table 4'!R20,'Table 4'!R21)</f>
        <v>154</v>
      </c>
      <c r="E18" s="61">
        <f>SUM('Table 4'!R3,'Table 4'!R5,'Table 4'!R7,'Table 4'!R9,'Table 4'!R11,'Table 4'!R13,'Table 4'!R15,'Table 4'!R17,'Table 4'!R19,'Table 4'!R21)</f>
        <v>129</v>
      </c>
      <c r="F18" s="61">
        <f>SUM('Table 4'!R4,'Table 4'!R6,'Table 4'!R8,'Table 4'!R10,'Table 4'!R12,'Table 4'!R14,'Table 4'!R16,'Table 4'!R18,'Table 4'!R20,'Table 4'!R22)</f>
        <v>193</v>
      </c>
      <c r="G18" s="61">
        <f>SUM('Table 4'!R4,'Table 4'!R6,'Table 4'!R7,'Table 4'!R9,'Table 4'!R11,'Table 4'!R13,'Table 4'!R15,'Table 4'!R17,'Table 4'!R19,'Table 4'!R21)</f>
        <v>118</v>
      </c>
      <c r="H18" s="61">
        <f>SUM('Table 4'!R3,'Table 4'!R5,'Table 4'!R8,'Table 4'!R10,'Table 4'!R12,'Table 4'!R14,'Table 4'!R16,'Table 4'!R18,'Table 4'!R20,'Table 4'!R22)</f>
        <v>204</v>
      </c>
      <c r="I18" s="61">
        <f>SUM('Table 4'!R7,'Table 4'!R9,'Table 4'!R17,'Table 4'!R19)</f>
        <v>38</v>
      </c>
      <c r="J18" s="61">
        <f>SUM('Table 4'!R3,'Table 4'!R5,'Table 4'!R12,'Table 4'!R14,'Table 4'!R16,'Table 4'!R22)</f>
        <v>130</v>
      </c>
      <c r="K18" s="61">
        <f>SUM('Table 4'!R4,'Table 4'!R6,'Table 4'!R11,'Table 4'!R13,'Table 4'!R15,'Table 4'!R21)</f>
        <v>80</v>
      </c>
      <c r="L18" s="61">
        <f>SUM('Table 4'!R8,'Table 4'!R10,'Table 4'!R18,'Table 4'!R20)</f>
        <v>74</v>
      </c>
    </row>
    <row r="19" spans="1:12" ht="15.75" x14ac:dyDescent="0.25">
      <c r="A19" s="86" t="s">
        <v>21</v>
      </c>
      <c r="B19" s="86">
        <f>('Table 4'!S23)</f>
        <v>1611</v>
      </c>
      <c r="C19" s="86">
        <f>SUM('Table 4'!S3,'Table 4'!S5,'Table 4'!S7,'Table 4'!S9,'Table 4'!S12, 'Table 4'!S14,'Table 4'!S16,'Table 4'!S17,'Table 4'!S19,'Table 4'!S22)</f>
        <v>543</v>
      </c>
      <c r="D19" s="61">
        <f>SUM('Table 4'!S4,'Table 4'!S6,'Table 4'!S8,'Table 4'!S10,'Table 4'!S11,'Table 4'!S13,'Table 4'!S15,'Table 4'!S18,'Table 4'!S20,'Table 4'!S21)</f>
        <v>1068</v>
      </c>
      <c r="E19" s="61">
        <f>SUM('Table 4'!S3,'Table 4'!S5,'Table 4'!S7,'Table 4'!S9,'Table 4'!S11,'Table 4'!S13,'Table 4'!S15,'Table 4'!S17,'Table 4'!S19,'Table 4'!S21)</f>
        <v>671</v>
      </c>
      <c r="F19" s="61">
        <f>SUM('Table 4'!S4,'Table 4'!S6,'Table 4'!S8,'Table 4'!S10,'Table 4'!S12,'Table 4'!S14,'Table 4'!S16,'Table 4'!S18,'Table 4'!S20,'Table 4'!S22)</f>
        <v>940</v>
      </c>
      <c r="G19" s="61">
        <f>SUM('Table 4'!S4,'Table 4'!S6,'Table 4'!S7,'Table 4'!S9,'Table 4'!S11,'Table 4'!S13,'Table 4'!S15,'Table 4'!S17,'Table 4'!S19,'Table 4'!S21)</f>
        <v>801</v>
      </c>
      <c r="H19" s="61">
        <f>SUM('Table 4'!S3,'Table 4'!S5,'Table 4'!S8,'Table 4'!S10,'Table 4'!S12,'Table 4'!S14,'Table 4'!S16,'Table 4'!S18,'Table 4'!S20,'Table 4'!S22)</f>
        <v>810</v>
      </c>
      <c r="I19" s="61">
        <f>SUM('Table 4'!S7,'Table 4'!S9,'Table 4'!S17,'Table 4'!S19)</f>
        <v>221</v>
      </c>
      <c r="J19" s="61">
        <f>SUM('Table 4'!S3,'Table 4'!S5,'Table 4'!S12,'Table 4'!S14,'Table 4'!S16,'Table 4'!S22)</f>
        <v>322</v>
      </c>
      <c r="K19" s="61">
        <f>SUM('Table 4'!S4,'Table 4'!S6,'Table 4'!S11,'Table 4'!S13,'Table 4'!S15,'Table 4'!S21)</f>
        <v>580</v>
      </c>
      <c r="L19" s="61">
        <f>SUM('Table 4'!S8,'Table 4'!S10,'Table 4'!S18,'Table 4'!S20)</f>
        <v>488</v>
      </c>
    </row>
    <row r="20" spans="1:12" ht="15.75" x14ac:dyDescent="0.25">
      <c r="A20" s="86" t="s">
        <v>22</v>
      </c>
      <c r="B20" s="86">
        <f>('Table 4'!T23)</f>
        <v>1415</v>
      </c>
      <c r="C20" s="86">
        <f>SUM('Table 4'!T3,'Table 4'!T5,'Table 4'!T7,'Table 4'!T9,'Table 4'!T12, 'Table 4'!T14,'Table 4'!T16,'Table 4'!T17,'Table 4'!T19,'Table 4'!T22)</f>
        <v>828</v>
      </c>
      <c r="D20" s="61">
        <f>SUM('Table 4'!T4,'Table 4'!T6,'Table 4'!T8,'Table 4'!T10,'Table 4'!T11,'Table 4'!T13,'Table 4'!T15,'Table 4'!T18,'Table 4'!T20,'Table 4'!T21)</f>
        <v>587</v>
      </c>
      <c r="E20" s="61">
        <f>SUM('Table 4'!T3,'Table 4'!T5,'Table 4'!T7,'Table 4'!T9,'Table 4'!T11,'Table 4'!T13,'Table 4'!T15,'Table 4'!T17,'Table 4'!T19,'Table 4'!T21)</f>
        <v>509</v>
      </c>
      <c r="F20" s="61">
        <f>SUM('Table 4'!T4,'Table 4'!T6,'Table 4'!T8,'Table 4'!T10,'Table 4'!T12,'Table 4'!T14,'Table 4'!T16,'Table 4'!T18,'Table 4'!T20,'Table 4'!T22)</f>
        <v>906</v>
      </c>
      <c r="G20" s="61">
        <f>SUM('Table 4'!T4,'Table 4'!T6,'Table 4'!T7,'Table 4'!T9,'Table 4'!T11,'Table 4'!T13,'Table 4'!T15,'Table 4'!T17,'Table 4'!T19,'Table 4'!T21)</f>
        <v>502</v>
      </c>
      <c r="H20" s="61">
        <f>SUM('Table 4'!T3,'Table 4'!T5,'Table 4'!T8,'Table 4'!T10,'Table 4'!T12,'Table 4'!T14,'Table 4'!T16,'Table 4'!T18,'Table 4'!T20,'Table 4'!T22)</f>
        <v>913</v>
      </c>
      <c r="I20" s="61">
        <f>SUM('Table 4'!T7,'Table 4'!T9,'Table 4'!T17,'Table 4'!T19)</f>
        <v>302</v>
      </c>
      <c r="J20" s="61">
        <f>SUM('Table 4'!T3,'Table 4'!T5,'Table 4'!T12,'Table 4'!T14,'Table 4'!T16,'Table 4'!T22)</f>
        <v>526</v>
      </c>
      <c r="K20" s="61">
        <f>SUM('Table 4'!T4,'Table 4'!T6,'Table 4'!T11,'Table 4'!T13,'Table 4'!T15,'Table 4'!T21)</f>
        <v>200</v>
      </c>
      <c r="L20" s="61">
        <f>SUM('Table 4'!T8,'Table 4'!T10,'Table 4'!T18,'Table 4'!T20)</f>
        <v>387</v>
      </c>
    </row>
    <row r="21" spans="1:12" ht="15.75" x14ac:dyDescent="0.25">
      <c r="A21" s="86" t="s">
        <v>23</v>
      </c>
      <c r="B21" s="86">
        <f>('Table 4'!U23)</f>
        <v>110</v>
      </c>
      <c r="C21" s="86">
        <f>SUM('Table 4'!U3,'Table 4'!U5,'Table 4'!U7,'Table 4'!U9,'Table 4'!U12, 'Table 4'!U14,'Table 4'!U16,'Table 4'!U17,'Table 4'!U19,'Table 4'!U22)</f>
        <v>41</v>
      </c>
      <c r="D21" s="61">
        <f>SUM('Table 4'!U4,'Table 4'!U6,'Table 4'!U8,'Table 4'!U10,'Table 4'!U11,'Table 4'!U13,'Table 4'!U15,'Table 4'!U18,'Table 4'!U20,'Table 4'!U21)</f>
        <v>69</v>
      </c>
      <c r="E21" s="61">
        <f>SUM('Table 4'!U3,'Table 4'!U5,'Table 4'!U7,'Table 4'!U9,'Table 4'!U11,'Table 4'!U13,'Table 4'!U15,'Table 4'!U17,'Table 4'!U19,'Table 4'!U21)</f>
        <v>56</v>
      </c>
      <c r="F21" s="61">
        <f>SUM('Table 4'!U4,'Table 4'!U6,'Table 4'!U8,'Table 4'!U10,'Table 4'!U12,'Table 4'!U14,'Table 4'!U16,'Table 4'!U18,'Table 4'!U20,'Table 4'!U22)</f>
        <v>54</v>
      </c>
      <c r="G21" s="61">
        <f>SUM('Table 4'!U4,'Table 4'!U6,'Table 4'!U7,'Table 4'!U9,'Table 4'!U11,'Table 4'!U13,'Table 4'!U15,'Table 4'!U17,'Table 4'!U19,'Table 4'!U21)</f>
        <v>67</v>
      </c>
      <c r="H21" s="61">
        <f>SUM('Table 4'!U3,'Table 4'!U5,'Table 4'!U8,'Table 4'!U10,'Table 4'!U12,'Table 4'!U14,'Table 4'!U16,'Table 4'!U18,'Table 4'!U20,'Table 4'!U22)</f>
        <v>43</v>
      </c>
      <c r="I21" s="61">
        <f>SUM('Table 4'!U7,'Table 4'!U9,'Table 4'!U17,'Table 4'!U19)</f>
        <v>24</v>
      </c>
      <c r="J21" s="61">
        <f>SUM('Table 4'!U3,'Table 4'!U5,'Table 4'!U12,'Table 4'!U14,'Table 4'!U16,'Table 4'!U22)</f>
        <v>17</v>
      </c>
      <c r="K21" s="61">
        <f>SUM('Table 4'!U4,'Table 4'!U6,'Table 4'!U11,'Table 4'!U13,'Table 4'!U15,'Table 4'!U21)</f>
        <v>43</v>
      </c>
      <c r="L21" s="61">
        <f>SUM('Table 4'!U8,'Table 4'!U10,'Table 4'!U18,'Table 4'!U20)</f>
        <v>26</v>
      </c>
    </row>
    <row r="22" spans="1:12" ht="15.75" x14ac:dyDescent="0.25">
      <c r="A22" s="86" t="s">
        <v>24</v>
      </c>
      <c r="B22" s="86">
        <f>('Table 4'!V23)</f>
        <v>974</v>
      </c>
      <c r="C22" s="86">
        <f>SUM('Table 4'!V3,'Table 4'!V5,'Table 4'!V7,'Table 4'!V9,'Table 4'!V12, 'Table 4'!V14,'Table 4'!V16,'Table 4'!V17,'Table 4'!V19,'Table 4'!V22)</f>
        <v>474</v>
      </c>
      <c r="D22" s="61">
        <f>SUM('Table 4'!V4,'Table 4'!V6,'Table 4'!V8,'Table 4'!V10,'Table 4'!V11,'Table 4'!V13,'Table 4'!V15,'Table 4'!V18,'Table 4'!V20,'Table 4'!V21)</f>
        <v>500</v>
      </c>
      <c r="E22" s="61">
        <f>SUM('Table 4'!V3,'Table 4'!V5,'Table 4'!V7,'Table 4'!V9,'Table 4'!V11,'Table 4'!V13,'Table 4'!V15,'Table 4'!V17,'Table 4'!V19,'Table 4'!V21)</f>
        <v>565</v>
      </c>
      <c r="F22" s="61">
        <f>SUM('Table 4'!V4,'Table 4'!V6,'Table 4'!V8,'Table 4'!V10,'Table 4'!V12,'Table 4'!V14,'Table 4'!V16,'Table 4'!V18,'Table 4'!V20,'Table 4'!V22)</f>
        <v>409</v>
      </c>
      <c r="G22" s="61">
        <f>SUM('Table 4'!V4,'Table 4'!V6,'Table 4'!V7,'Table 4'!V9,'Table 4'!V11,'Table 4'!V13,'Table 4'!V15,'Table 4'!V17,'Table 4'!V19,'Table 4'!V21)</f>
        <v>628</v>
      </c>
      <c r="H22" s="61">
        <f>SUM('Table 4'!V3,'Table 4'!V5,'Table 4'!V8,'Table 4'!V10,'Table 4'!V12,'Table 4'!V14,'Table 4'!V16,'Table 4'!V18,'Table 4'!V20,'Table 4'!V22)</f>
        <v>346</v>
      </c>
      <c r="I22" s="61">
        <f>SUM('Table 4'!V7,'Table 4'!V9,'Table 4'!V17,'Table 4'!V19)</f>
        <v>312</v>
      </c>
      <c r="J22" s="61">
        <f>SUM('Table 4'!V3,'Table 4'!V5,'Table 4'!V12,'Table 4'!V14,'Table 4'!V16,'Table 4'!V22)</f>
        <v>162</v>
      </c>
      <c r="K22" s="61">
        <f>SUM('Table 4'!V4,'Table 4'!V6,'Table 4'!V11,'Table 4'!V13,'Table 4'!V15,'Table 4'!V21)</f>
        <v>316</v>
      </c>
      <c r="L22" s="61">
        <f>SUM('Table 4'!V8,'Table 4'!V10,'Table 4'!V18,'Table 4'!V20)</f>
        <v>184</v>
      </c>
    </row>
    <row r="23" spans="1:12" ht="15.75" x14ac:dyDescent="0.25">
      <c r="A23" s="86" t="s">
        <v>201</v>
      </c>
      <c r="B23" s="86">
        <f>('Table 4'!W23)</f>
        <v>1288</v>
      </c>
      <c r="C23" s="86">
        <f>SUM('Table 4'!W3,'Table 4'!W5,'Table 4'!W7,'Table 4'!W9,'Table 4'!W12, 'Table 4'!W14,'Table 4'!W16,'Table 4'!W17,'Table 4'!W19,'Table 4'!W22)</f>
        <v>591</v>
      </c>
      <c r="D23" s="61">
        <f>SUM('Table 4'!W4,'Table 4'!W6,'Table 4'!W8,'Table 4'!W10,'Table 4'!W11,'Table 4'!W13,'Table 4'!W15,'Table 4'!W18,'Table 4'!W20,'Table 4'!W21)</f>
        <v>697</v>
      </c>
      <c r="E23" s="61">
        <f>SUM('Table 4'!W3,'Table 4'!W5,'Table 4'!W7,'Table 4'!W9,'Table 4'!W11,'Table 4'!W13,'Table 4'!W15,'Table 4'!W17,'Table 4'!W19,'Table 4'!W21)</f>
        <v>696</v>
      </c>
      <c r="F23" s="61">
        <f>SUM('Table 4'!W4,'Table 4'!W6,'Table 4'!W8,'Table 4'!W10,'Table 4'!W12,'Table 4'!W14,'Table 4'!W16,'Table 4'!W18,'Table 4'!W20,'Table 4'!W22)</f>
        <v>592</v>
      </c>
      <c r="G23" s="61">
        <f>SUM('Table 4'!W4,'Table 4'!W6,'Table 4'!W7,'Table 4'!W9,'Table 4'!W11,'Table 4'!W13,'Table 4'!W15,'Table 4'!W17,'Table 4'!W19,'Table 4'!W21)</f>
        <v>692</v>
      </c>
      <c r="H23" s="61">
        <f>SUM('Table 4'!W3,'Table 4'!W5,'Table 4'!W8,'Table 4'!W10,'Table 4'!W12,'Table 4'!W14,'Table 4'!W16,'Table 4'!W18,'Table 4'!W20,'Table 4'!W22)</f>
        <v>596</v>
      </c>
      <c r="I23" s="61">
        <f>SUM('Table 4'!W7,'Table 4'!W9,'Table 4'!W17,'Table 4'!W19)</f>
        <v>305</v>
      </c>
      <c r="J23" s="61">
        <f>SUM('Table 4'!W3,'Table 4'!W5,'Table 4'!W12,'Table 4'!W14,'Table 4'!W16,'Table 4'!W22)</f>
        <v>286</v>
      </c>
      <c r="K23" s="61">
        <f>SUM('Table 4'!W4,'Table 4'!W6,'Table 4'!W11,'Table 4'!W13,'Table 4'!W15,'Table 4'!W21)</f>
        <v>387</v>
      </c>
      <c r="L23" s="61">
        <f>SUM('Table 4'!W8,'Table 4'!W10,'Table 4'!W18,'Table 4'!W20)</f>
        <v>310</v>
      </c>
    </row>
    <row r="24" spans="1:12" ht="15.75" x14ac:dyDescent="0.25">
      <c r="A24" s="32" t="s">
        <v>27</v>
      </c>
      <c r="B24" s="86">
        <f>('Table 4'!X23)</f>
        <v>850</v>
      </c>
      <c r="C24" s="61">
        <f>SUM('Table 4'!X3,'Table 4'!X5,'Table 4'!X7,'Table 4'!X9,'Table 4'!X12, 'Table 4'!X14,'Table 4'!X16,'Table 4'!X17,'Table 4'!X19,'Table 4'!X22)</f>
        <v>372</v>
      </c>
      <c r="D24" s="61">
        <f>SUM('Table 4'!X4,'Table 4'!X6,'Table 4'!X8,'Table 4'!X10,'Table 4'!X11,'Table 4'!X13,'Table 4'!X15,'Table 4'!X18,'Table 4'!X20,'Table 4'!X21)</f>
        <v>478</v>
      </c>
      <c r="E24" s="61">
        <f>SUM('Table 4'!X3,'Table 4'!X5,'Table 4'!X7,'Table 4'!X9,'Table 4'!X11,'Table 4'!X13,'Table 4'!X15,'Table 4'!X17,'Table 4'!X19,'Table 4'!X21)</f>
        <v>403</v>
      </c>
      <c r="F24" s="61">
        <f>SUM('Table 4'!X4,'Table 4'!X6,'Table 4'!X8,'Table 4'!X10,'Table 4'!X12,'Table 4'!X14,'Table 4'!X16,'Table 4'!X18,'Table 4'!X20,'Table 4'!X22)</f>
        <v>447</v>
      </c>
      <c r="G24" s="61">
        <f>SUM('Table 4'!X4,'Table 4'!X6,'Table 4'!X7,'Table 4'!X9,'Table 4'!X11,'Table 4'!X13,'Table 4'!X15,'Table 4'!X17,'Table 4'!X19,'Table 4'!X21)</f>
        <v>476</v>
      </c>
      <c r="H24" s="61">
        <f>SUM('Table 4'!X3,'Table 4'!X5,'Table 4'!X8,'Table 4'!X10,'Table 4'!X12,'Table 4'!X14,'Table 4'!X16,'Table 4'!X18,'Table 4'!X20,'Table 4'!X22)</f>
        <v>374</v>
      </c>
      <c r="I24" s="61">
        <f>SUM('Table 4'!X7,'Table 4'!X9,'Table 4'!X17,'Table 4'!X19)</f>
        <v>198</v>
      </c>
      <c r="J24" s="61">
        <f>SUM('Table 4'!X3,'Table 4'!X5,'Table 4'!X12,'Table 4'!X14,'Table 4'!X16,'Table 4'!X22)</f>
        <v>174</v>
      </c>
      <c r="K24" s="61">
        <f>SUM('Table 4'!X4,'Table 4'!X6,'Table 4'!X11,'Table 4'!X13,'Table 4'!X15,'Table 4'!X21)</f>
        <v>278</v>
      </c>
      <c r="L24" s="61">
        <f>SUM('Table 4'!X8,'Table 4'!X10,'Table 4'!X18,'Table 4'!X20)</f>
        <v>200</v>
      </c>
    </row>
  </sheetData>
  <mergeCells count="1">
    <mergeCell ref="A1:H1"/>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739AA-F399-4C8A-9B34-DAE4BE31BCC5}">
  <dimension ref="A1:L22"/>
  <sheetViews>
    <sheetView workbookViewId="0">
      <selection activeCell="D13" sqref="D13"/>
    </sheetView>
  </sheetViews>
  <sheetFormatPr defaultColWidth="8.85546875" defaultRowHeight="15" x14ac:dyDescent="0.25"/>
  <cols>
    <col min="1" max="1" width="16.85546875" customWidth="1"/>
    <col min="2" max="2" width="13.28515625" bestFit="1" customWidth="1"/>
    <col min="3" max="4" width="13.140625" bestFit="1" customWidth="1"/>
    <col min="5" max="5" width="12" customWidth="1"/>
    <col min="6" max="9" width="13.140625" bestFit="1" customWidth="1"/>
    <col min="10" max="10" width="11.85546875" bestFit="1" customWidth="1"/>
    <col min="11" max="11" width="13.140625" bestFit="1" customWidth="1"/>
    <col min="12" max="12" width="16.85546875" bestFit="1" customWidth="1"/>
  </cols>
  <sheetData>
    <row r="1" spans="1:12" ht="15.75" x14ac:dyDescent="0.25">
      <c r="A1" s="189"/>
      <c r="B1" s="190"/>
      <c r="C1" s="190"/>
      <c r="D1" s="190"/>
      <c r="E1" s="190"/>
      <c r="F1" s="190"/>
      <c r="G1" s="190"/>
      <c r="H1" s="190"/>
    </row>
    <row r="2" spans="1:12" ht="47.25" x14ac:dyDescent="0.25">
      <c r="A2" s="108" t="s">
        <v>9403</v>
      </c>
      <c r="B2" s="108" t="s">
        <v>9404</v>
      </c>
      <c r="C2" s="2" t="s">
        <v>9405</v>
      </c>
      <c r="D2" s="3" t="s">
        <v>9406</v>
      </c>
      <c r="E2" s="13" t="s">
        <v>9407</v>
      </c>
      <c r="F2" s="13" t="s">
        <v>9428</v>
      </c>
      <c r="G2" s="11" t="s">
        <v>9408</v>
      </c>
      <c r="H2" s="12" t="s">
        <v>9410</v>
      </c>
      <c r="I2" s="2" t="s">
        <v>9424</v>
      </c>
      <c r="J2" s="2" t="s">
        <v>9425</v>
      </c>
      <c r="K2" s="3" t="s">
        <v>9426</v>
      </c>
      <c r="L2" s="3" t="s">
        <v>9427</v>
      </c>
    </row>
    <row r="3" spans="1:12" ht="15.75" x14ac:dyDescent="0.25">
      <c r="A3" s="108" t="s">
        <v>9435</v>
      </c>
      <c r="B3" s="108">
        <f>('Table 4'!Y23)</f>
        <v>4474</v>
      </c>
      <c r="C3" s="95">
        <f>('Table 7'!C5/'Table 7'!B5)</f>
        <v>0.44434510505140812</v>
      </c>
      <c r="D3" s="95">
        <f>('Table 7'!D5/'Table 7'!B5)</f>
        <v>0.55565489494859188</v>
      </c>
      <c r="E3" s="95">
        <f>('Table 7'!E5/'Table 7'!B5)</f>
        <v>0.47675458202950383</v>
      </c>
      <c r="F3" s="95">
        <f>('Table 7'!F5/'Table 7'!B5)</f>
        <v>0.52324541797049617</v>
      </c>
      <c r="G3" s="95">
        <f>('Table 7'!G5/'Table 7'!B5)</f>
        <v>0.52324541797049617</v>
      </c>
      <c r="H3" s="95">
        <f>('Table 7'!H5/'Table 7'!B5)</f>
        <v>0.47675458202950383</v>
      </c>
      <c r="I3" s="95">
        <f>('Table 7'!I5/'Table 7'!B5)</f>
        <v>0.21434957532409477</v>
      </c>
      <c r="J3" s="95">
        <f>('Table 7'!J5/'Table 7'!B5)</f>
        <v>0.22999552972731335</v>
      </c>
      <c r="K3" s="95">
        <f>('Table 7'!K5/'Table 7'!B5)</f>
        <v>0.30889584264640141</v>
      </c>
      <c r="L3" s="95">
        <f>('Table 7'!L5/'Table 7'!B5)</f>
        <v>0.24675905230219045</v>
      </c>
    </row>
    <row r="4" spans="1:12" ht="15.75" x14ac:dyDescent="0.25">
      <c r="A4" s="108" t="s">
        <v>10</v>
      </c>
      <c r="B4" s="95">
        <f>('Table 4'!F23)/('Table 4'!Y23)</f>
        <v>0.11913276709879303</v>
      </c>
      <c r="C4" s="95">
        <f>('Table 7'!C6/'Table 7'!B6)</f>
        <v>0.48592870544090055</v>
      </c>
      <c r="D4" s="95">
        <f>('Table 7'!D6/'Table 7'!B6)</f>
        <v>0.51407129455909939</v>
      </c>
      <c r="E4" s="95">
        <f>('Table 7'!E6/'Table 7'!B6)</f>
        <v>0.52532833020637903</v>
      </c>
      <c r="F4" s="95">
        <f>('Table 7'!F6/'Table 7'!B6)</f>
        <v>0.47467166979362102</v>
      </c>
      <c r="G4" s="95">
        <f>('Table 7'!G6/'Table 7'!B6)</f>
        <v>0.50093808630393999</v>
      </c>
      <c r="H4" s="95">
        <f>('Table 7'!H6/'Table 7'!B6)</f>
        <v>0.49906191369606001</v>
      </c>
      <c r="I4" s="95">
        <f>('Table 7'!I6/'Table 7'!B6)</f>
        <v>0.22138836772983114</v>
      </c>
      <c r="J4" s="95">
        <f>('Table 7'!J6/'Table 7'!B6)</f>
        <v>0.26454033771106944</v>
      </c>
      <c r="K4" s="95">
        <f>('Table 7'!K6/'Table 7'!B6)</f>
        <v>0.27954971857410882</v>
      </c>
      <c r="L4" s="95">
        <f>('Table 7'!L6/'Table 7'!B6)</f>
        <v>0.23452157598499063</v>
      </c>
    </row>
    <row r="5" spans="1:12" ht="15.75" x14ac:dyDescent="0.25">
      <c r="A5" s="108" t="s">
        <v>11</v>
      </c>
      <c r="B5" s="95">
        <f>('Table 4'!G23)/('Table 4'!Y23)</f>
        <v>0.12159141707644167</v>
      </c>
      <c r="C5" s="95">
        <f>('Table 7'!C7/'Table 7'!B7)</f>
        <v>0.19852941176470587</v>
      </c>
      <c r="D5" s="95">
        <f>('Table 7'!D7/'Table 7'!B7)</f>
        <v>0.80147058823529416</v>
      </c>
      <c r="E5" s="95">
        <f>('Table 7'!E7/'Table 7'!B7)</f>
        <v>0.3952205882352941</v>
      </c>
      <c r="F5" s="95">
        <f>('Table 7'!F7/'Table 7'!B7)</f>
        <v>0.60477941176470584</v>
      </c>
      <c r="G5" s="95">
        <f>('Table 7'!G7/'Table 7'!B7)</f>
        <v>0.48529411764705882</v>
      </c>
      <c r="H5" s="95">
        <f>('Table 7'!H7/'Table 7'!B7)</f>
        <v>0.51470588235294112</v>
      </c>
      <c r="I5" s="95">
        <f>('Table 7'!I7/'Table 7'!B7)</f>
        <v>6.985294117647059E-2</v>
      </c>
      <c r="J5" s="95">
        <f>('Table 7'!J7/'Table 7'!B7)</f>
        <v>0.12867647058823528</v>
      </c>
      <c r="K5" s="95">
        <f>('Table 7'!K7/'Table 7'!B7)</f>
        <v>0.41544117647058826</v>
      </c>
      <c r="L5" s="95">
        <f>('Table 7'!L7/'Table 7'!B7)</f>
        <v>0.3860294117647059</v>
      </c>
    </row>
    <row r="6" spans="1:12" ht="31.5" x14ac:dyDescent="0.25">
      <c r="A6" s="108" t="s">
        <v>12</v>
      </c>
      <c r="B6" s="95">
        <f>('Table 4'!H23)/('Table 4'!Y23)</f>
        <v>7.0183281180151991E-2</v>
      </c>
      <c r="C6" s="95">
        <f>('Table 7'!C8/'Table 7'!B8)</f>
        <v>0.56687898089171973</v>
      </c>
      <c r="D6" s="95">
        <f>('Table 7'!D8/'Table 7'!B8)</f>
        <v>0.43312101910828027</v>
      </c>
      <c r="E6" s="95">
        <f>('Table 7'!E8/'Table 7'!B8)</f>
        <v>0.61146496815286622</v>
      </c>
      <c r="F6" s="95">
        <f>('Table 7'!F8/'Table 7'!B8)</f>
        <v>0.38853503184713378</v>
      </c>
      <c r="G6" s="95">
        <f>('Table 7'!G8/'Table 7'!B8)</f>
        <v>0.51910828025477707</v>
      </c>
      <c r="H6" s="95">
        <f>('Table 7'!H8/'Table 7'!B8)</f>
        <v>0.48089171974522293</v>
      </c>
      <c r="I6" s="95">
        <f>('Table 7'!I8/'Table 7'!B8)</f>
        <v>0.27070063694267515</v>
      </c>
      <c r="J6" s="95">
        <f>('Table 7'!J8/'Table 7'!B8)</f>
        <v>0.29617834394904458</v>
      </c>
      <c r="K6" s="95">
        <f>('Table 7'!K8/'Table 7'!B8)</f>
        <v>0.24840764331210191</v>
      </c>
      <c r="L6" s="95">
        <f>('Table 7'!L8/'Table 7'!B8)</f>
        <v>0.18471337579617833</v>
      </c>
    </row>
    <row r="7" spans="1:12" ht="15.75" x14ac:dyDescent="0.25">
      <c r="A7" s="108" t="s">
        <v>13</v>
      </c>
      <c r="B7" s="95">
        <f>('Table 4'!I23)/('Table 4'!Y23)</f>
        <v>0.11019222172552526</v>
      </c>
      <c r="C7" s="95">
        <f>('Table 7'!C9/'Table 7'!B9)</f>
        <v>0.39148073022312374</v>
      </c>
      <c r="D7" s="95">
        <f>('Table 7'!D9/'Table 7'!B9)</f>
        <v>0.60851926977687631</v>
      </c>
      <c r="E7" s="95">
        <f>('Table 7'!E9/'Table 7'!B9)</f>
        <v>0.40365111561866124</v>
      </c>
      <c r="F7" s="95">
        <f>('Table 7'!F9/'Table 7'!B9)</f>
        <v>0.59634888438133871</v>
      </c>
      <c r="G7" s="95">
        <f>('Table 7'!G9/'Table 7'!B9)</f>
        <v>0.46044624746450302</v>
      </c>
      <c r="H7" s="95">
        <f>('Table 7'!H9/'Table 7'!B9)</f>
        <v>0.53955375253549698</v>
      </c>
      <c r="I7" s="95">
        <f>('Table 7'!I9/'Table 7'!B9)</f>
        <v>0.13184584178498987</v>
      </c>
      <c r="J7" s="95">
        <f>('Table 7'!J9/'Table 7'!B9)</f>
        <v>0.25963488843813387</v>
      </c>
      <c r="K7" s="95">
        <f>('Table 7'!K9/'Table 7'!B9)</f>
        <v>0.32860040567951321</v>
      </c>
      <c r="L7" s="95">
        <f>('Table 7'!L9/'Table 7'!B9)</f>
        <v>0.27991886409736311</v>
      </c>
    </row>
    <row r="8" spans="1:12" ht="15.75" x14ac:dyDescent="0.25">
      <c r="A8" s="108" t="s">
        <v>9148</v>
      </c>
      <c r="B8" s="95">
        <f>('Table 4'!J23)/('Table 4'!Y23)</f>
        <v>1.2516763522574878E-2</v>
      </c>
      <c r="C8" s="95">
        <f>('Table 7'!C10/'Table 7'!B10)</f>
        <v>0.625</v>
      </c>
      <c r="D8" s="95">
        <f>('Table 7'!D10/'Table 7'!B10)</f>
        <v>0.375</v>
      </c>
      <c r="E8" s="95">
        <f>('Table 7'!E10/'Table 7'!B10)</f>
        <v>0.42857142857142855</v>
      </c>
      <c r="F8" s="95">
        <f>('Table 7'!F10/'Table 7'!B10)</f>
        <v>0.5714285714285714</v>
      </c>
      <c r="G8" s="95">
        <f>('Table 7'!G10/'Table 7'!B10)</f>
        <v>0.5</v>
      </c>
      <c r="H8" s="95">
        <f>('Table 7'!H10/'Table 7'!B10)</f>
        <v>0.5</v>
      </c>
      <c r="I8" s="95">
        <f>('Table 7'!I10/'Table 7'!B10)</f>
        <v>0.16071428571428573</v>
      </c>
      <c r="J8" s="95">
        <f>('Table 7'!J10/'Table 7'!B10)</f>
        <v>0.4642857142857143</v>
      </c>
      <c r="K8" s="95">
        <f>('Table 7'!K10/'Table 7'!B10)</f>
        <v>0.3392857142857143</v>
      </c>
      <c r="L8" s="95">
        <f>('Table 7'!L10/'Table 7'!B10)</f>
        <v>3.5714285714285712E-2</v>
      </c>
    </row>
    <row r="9" spans="1:12" ht="15.75" x14ac:dyDescent="0.25">
      <c r="A9" s="108" t="s">
        <v>15</v>
      </c>
      <c r="B9" s="95">
        <f>('Table 4'!K23)/('Table 4'!Y23)</f>
        <v>3.9338399642378188E-2</v>
      </c>
      <c r="C9" s="95">
        <f>('Table 7'!C11/'Table 7'!B11)</f>
        <v>0.43181818181818182</v>
      </c>
      <c r="D9" s="95">
        <f>('Table 7'!D11/'Table 7'!B11)</f>
        <v>0.56818181818181823</v>
      </c>
      <c r="E9" s="95">
        <f>('Table 7'!E11/'Table 7'!B11)</f>
        <v>0.71590909090909094</v>
      </c>
      <c r="F9" s="95">
        <f>('Table 7'!F11/'Table 7'!B11)</f>
        <v>0.28409090909090912</v>
      </c>
      <c r="G9" s="95">
        <f>('Table 7'!G11/'Table 7'!B11)</f>
        <v>0.70454545454545459</v>
      </c>
      <c r="H9" s="95">
        <f>('Table 7'!H11/'Table 7'!B11)</f>
        <v>0.29545454545454547</v>
      </c>
      <c r="I9" s="95">
        <f>('Table 7'!I11/'Table 7'!B11)</f>
        <v>0.23863636363636365</v>
      </c>
      <c r="J9" s="95">
        <f>('Table 7'!J11/'Table 7'!B11)</f>
        <v>0.19318181818181818</v>
      </c>
      <c r="K9" s="95">
        <f>('Table 7'!K11/'Table 7'!B11)</f>
        <v>0.46590909090909088</v>
      </c>
      <c r="L9" s="95">
        <f>('Table 7'!L11/'Table 7'!B11)</f>
        <v>0.10227272727272728</v>
      </c>
    </row>
    <row r="10" spans="1:12" ht="15.75" x14ac:dyDescent="0.25">
      <c r="A10" s="108" t="s">
        <v>16</v>
      </c>
      <c r="B10" s="95">
        <f>('Table 4'!L23)/('Table 4'!Y23)</f>
        <v>1.586946803755029E-2</v>
      </c>
      <c r="C10" s="95">
        <f>('Table 7'!C12/'Table 7'!B12)</f>
        <v>0.57746478873239437</v>
      </c>
      <c r="D10" s="95">
        <f>('Table 7'!D12/'Table 7'!B12)</f>
        <v>0.42253521126760563</v>
      </c>
      <c r="E10" s="95">
        <f>('Table 7'!E12/'Table 7'!B12)</f>
        <v>0.352112676056338</v>
      </c>
      <c r="F10" s="95">
        <f>('Table 7'!F12/'Table 7'!B12)</f>
        <v>0.647887323943662</v>
      </c>
      <c r="G10" s="95">
        <f>('Table 7'!G12/'Table 7'!B12)</f>
        <v>0.3380281690140845</v>
      </c>
      <c r="H10" s="95">
        <f>('Table 7'!H12/'Table 7'!B12)</f>
        <v>0.6619718309859155</v>
      </c>
      <c r="I10" s="95">
        <f>('Table 7'!I12/'Table 7'!B12)</f>
        <v>0.18309859154929578</v>
      </c>
      <c r="J10" s="95">
        <f>('Table 7'!J12/'Table 7'!B12)</f>
        <v>0.39436619718309857</v>
      </c>
      <c r="K10" s="95">
        <f>('Table 7'!K12/'Table 7'!B12)</f>
        <v>0.15492957746478872</v>
      </c>
      <c r="L10" s="95">
        <f>('Table 7'!L12/'Table 7'!B12)</f>
        <v>0.26760563380281688</v>
      </c>
    </row>
    <row r="11" spans="1:12" ht="31.5" x14ac:dyDescent="0.25">
      <c r="A11" s="108" t="s">
        <v>17</v>
      </c>
      <c r="B11" s="95">
        <f>('Table 4'!M23)/('Table 4'!Y23)</f>
        <v>2.592758158247653E-2</v>
      </c>
      <c r="C11" s="95">
        <f>('Table 7'!C13/'Table 7'!B13)</f>
        <v>0.37931034482758619</v>
      </c>
      <c r="D11" s="95">
        <f>('Table 7'!D13/'Table 7'!B13)</f>
        <v>0.62068965517241381</v>
      </c>
      <c r="E11" s="95">
        <f>('Table 7'!E13/'Table 7'!B13)</f>
        <v>0.37068965517241381</v>
      </c>
      <c r="F11" s="95">
        <f>('Table 7'!F13/'Table 7'!B13)</f>
        <v>0.62931034482758619</v>
      </c>
      <c r="G11" s="95">
        <f>('Table 7'!G13/'Table 7'!B13)</f>
        <v>0.48275862068965519</v>
      </c>
      <c r="H11" s="95">
        <f>('Table 7'!H13/'Table 7'!B13)</f>
        <v>0.51724137931034486</v>
      </c>
      <c r="I11" s="95">
        <f>('Table 7'!I13/'Table 7'!B13)</f>
        <v>0.11206896551724138</v>
      </c>
      <c r="J11" s="95">
        <f>('Table 7'!J13/'Table 7'!B13)</f>
        <v>0.26724137931034481</v>
      </c>
      <c r="K11" s="95">
        <f>('Table 7'!K13/'Table 7'!B13)</f>
        <v>0.37068965517241381</v>
      </c>
      <c r="L11" s="95">
        <f>('Table 7'!L13/'Table 7'!B13)</f>
        <v>0.25</v>
      </c>
    </row>
    <row r="12" spans="1:12" ht="15.75" x14ac:dyDescent="0.25">
      <c r="A12" s="108" t="s">
        <v>9149</v>
      </c>
      <c r="B12" s="95">
        <f>('Table 4'!N23)/('Table 4'!Y23)</f>
        <v>1.1399195350916406E-2</v>
      </c>
      <c r="C12" s="95">
        <f>('Table 7'!C14/'Table 7'!B14)</f>
        <v>0.50980392156862742</v>
      </c>
      <c r="D12" s="95">
        <f>('Table 7'!D14/'Table 7'!B14)</f>
        <v>0.49019607843137253</v>
      </c>
      <c r="E12" s="95">
        <f>('Table 7'!E14/'Table 7'!B14)</f>
        <v>0.49019607843137253</v>
      </c>
      <c r="F12" s="95">
        <f>('Table 7'!F14/'Table 7'!B14)</f>
        <v>0.50980392156862742</v>
      </c>
      <c r="G12" s="95">
        <f>('Table 7'!G14/'Table 7'!B14)</f>
        <v>0.50980392156862742</v>
      </c>
      <c r="H12" s="95">
        <f>('Table 7'!H14/'Table 7'!B14)</f>
        <v>0.49019607843137253</v>
      </c>
      <c r="I12" s="95">
        <f>('Table 7'!I14/'Table 7'!B14)</f>
        <v>0.21568627450980393</v>
      </c>
      <c r="J12" s="95">
        <f>('Table 7'!J14/'Table 7'!B14)</f>
        <v>0.29411764705882354</v>
      </c>
      <c r="K12" s="95">
        <f>('Table 7'!K14/'Table 7'!B14)</f>
        <v>0.29411764705882354</v>
      </c>
      <c r="L12" s="95">
        <f>('Table 7'!L14/'Table 7'!B14)</f>
        <v>0.19607843137254902</v>
      </c>
    </row>
    <row r="13" spans="1:12" ht="31.5" x14ac:dyDescent="0.25">
      <c r="A13" s="108" t="s">
        <v>9150</v>
      </c>
      <c r="B13" s="95">
        <f>('Table 4'!N24)/('Table 4'!Y23)</f>
        <v>5.6995976754582029E-4</v>
      </c>
      <c r="C13" s="95">
        <f>('Table 7'!C15/'Table 7'!B15)</f>
        <v>0.32857142857142857</v>
      </c>
      <c r="D13" s="95">
        <f>('Table 7'!D15/'Table 7'!B15)</f>
        <v>0.67142857142857137</v>
      </c>
      <c r="E13" s="95">
        <f>('Table 7'!E15/'Table 7'!B15)</f>
        <v>0.5714285714285714</v>
      </c>
      <c r="F13" s="95">
        <f>('Table 7'!F15/'Table 7'!B15)</f>
        <v>0.42857142857142855</v>
      </c>
      <c r="G13" s="95">
        <f>('Table 7'!G15/'Table 7'!B15)</f>
        <v>0.55714285714285716</v>
      </c>
      <c r="H13" s="95">
        <f>('Table 7'!H15/'Table 7'!B15)</f>
        <v>0.44285714285714284</v>
      </c>
      <c r="I13" s="95">
        <f>('Table 7'!I15/'Table 7'!B15)</f>
        <v>0.14285714285714285</v>
      </c>
      <c r="J13" s="95">
        <f>('Table 7'!J15/'Table 7'!B15)</f>
        <v>0.18571428571428572</v>
      </c>
      <c r="K13" s="95">
        <f>('Table 7'!K15/'Table 7'!B15)</f>
        <v>0.41428571428571431</v>
      </c>
      <c r="L13" s="95">
        <f>('Table 7'!L15/'Table 7'!B15)</f>
        <v>0.25714285714285712</v>
      </c>
    </row>
    <row r="14" spans="1:12" ht="15.75" x14ac:dyDescent="0.25">
      <c r="A14" s="108" t="s">
        <v>18</v>
      </c>
      <c r="B14" s="95">
        <f>('Table 4'!P23)/('Table 4'!Y23)</f>
        <v>4.0679481448368353E-2</v>
      </c>
      <c r="C14" s="95">
        <f>('Table 7'!C16/'Table 7'!B16)</f>
        <v>0.49450549450549453</v>
      </c>
      <c r="D14" s="95">
        <f>('Table 7'!D16/'Table 7'!B16)</f>
        <v>0.50549450549450547</v>
      </c>
      <c r="E14" s="95">
        <f>('Table 7'!E16/'Table 7'!B16)</f>
        <v>0.54395604395604391</v>
      </c>
      <c r="F14" s="95">
        <f>('Table 7'!F16/'Table 7'!B16)</f>
        <v>0.45604395604395603</v>
      </c>
      <c r="G14" s="95">
        <f>('Table 7'!G16/'Table 7'!B16)</f>
        <v>0.54395604395604391</v>
      </c>
      <c r="H14" s="95">
        <f>('Table 7'!H16/'Table 7'!B16)</f>
        <v>0.45604395604395603</v>
      </c>
      <c r="I14" s="95">
        <f>('Table 7'!I16/'Table 7'!B16)</f>
        <v>0.28021978021978022</v>
      </c>
      <c r="J14" s="95">
        <f>('Table 7'!J16/'Table 7'!B16)</f>
        <v>0.21428571428571427</v>
      </c>
      <c r="K14" s="95">
        <f>('Table 7'!K16/'Table 7'!B16)</f>
        <v>0.26373626373626374</v>
      </c>
      <c r="L14" s="95">
        <f>('Table 7'!L16/'Table 7'!B16)</f>
        <v>0.24175824175824176</v>
      </c>
    </row>
    <row r="15" spans="1:12" ht="15.75" x14ac:dyDescent="0.25">
      <c r="A15" s="108" t="s">
        <v>19</v>
      </c>
      <c r="B15" s="95">
        <f>('Table 4'!Q23)/('Table 4'!Y23)</f>
        <v>6.7054090299508273E-3</v>
      </c>
      <c r="C15" s="95">
        <f>('Table 7'!C17/'Table 7'!B17)</f>
        <v>6.6666666666666666E-2</v>
      </c>
      <c r="D15" s="95">
        <f>('Table 7'!D17/'Table 7'!B17)</f>
        <v>0.93333333333333335</v>
      </c>
      <c r="E15" s="95">
        <f>('Table 7'!E17/'Table 7'!B17)</f>
        <v>0.6333333333333333</v>
      </c>
      <c r="F15" s="95">
        <f>('Table 7'!F17/'Table 7'!B17)</f>
        <v>0.36666666666666664</v>
      </c>
      <c r="G15" s="95">
        <f>('Table 7'!G17/'Table 7'!B17)</f>
        <v>0.6333333333333333</v>
      </c>
      <c r="H15" s="95">
        <f>('Table 7'!H17/'Table 7'!B17)</f>
        <v>0.36666666666666664</v>
      </c>
      <c r="I15" s="95">
        <f>('Table 7'!I17/'Table 7'!B17)</f>
        <v>0</v>
      </c>
      <c r="J15" s="95">
        <f>('Table 7'!J17/'Table 7'!B17)</f>
        <v>6.6666666666666666E-2</v>
      </c>
      <c r="K15" s="95">
        <f>('Table 7'!K17/'Table 7'!B17)</f>
        <v>0.6333333333333333</v>
      </c>
      <c r="L15" s="95">
        <f>('Table 7'!L17/'Table 7'!B17)</f>
        <v>0.3</v>
      </c>
    </row>
    <row r="16" spans="1:12" ht="15.75" x14ac:dyDescent="0.25">
      <c r="A16" s="108" t="s">
        <v>20</v>
      </c>
      <c r="B16" s="95">
        <f>('Table 4'!R23)/('Table 4'!Y23)</f>
        <v>7.1971390254805548E-2</v>
      </c>
      <c r="C16" s="95">
        <f>('Table 7'!C18/'Table 7'!B18)</f>
        <v>0.52173913043478259</v>
      </c>
      <c r="D16" s="95">
        <f>('Table 7'!D18/'Table 7'!B18)</f>
        <v>0.47826086956521741</v>
      </c>
      <c r="E16" s="95">
        <f>('Table 7'!E18/'Table 7'!B18)</f>
        <v>0.40062111801242234</v>
      </c>
      <c r="F16" s="95">
        <f>('Table 7'!F18/'Table 7'!B18)</f>
        <v>0.59937888198757761</v>
      </c>
      <c r="G16" s="95">
        <f>('Table 7'!G18/'Table 7'!B18)</f>
        <v>0.36645962732919257</v>
      </c>
      <c r="H16" s="95">
        <f>('Table 7'!H18/'Table 7'!B18)</f>
        <v>0.63354037267080743</v>
      </c>
      <c r="I16" s="95">
        <f>('Table 7'!I18/'Table 7'!B18)</f>
        <v>0.11801242236024845</v>
      </c>
      <c r="J16" s="95">
        <f>('Table 7'!J18/'Table 7'!B18)</f>
        <v>0.40372670807453415</v>
      </c>
      <c r="K16" s="95">
        <f>('Table 7'!K18/'Table 7'!B18)</f>
        <v>0.2484472049689441</v>
      </c>
      <c r="L16" s="95">
        <f>('Table 7'!L18/'Table 7'!B18)</f>
        <v>0.22981366459627328</v>
      </c>
    </row>
    <row r="17" spans="1:12" ht="15.75" x14ac:dyDescent="0.25">
      <c r="A17" s="108" t="s">
        <v>21</v>
      </c>
      <c r="B17" s="95">
        <f>('Table 4'!S23)/('Table 4'!Y23)</f>
        <v>0.36008046490835943</v>
      </c>
      <c r="C17" s="95">
        <f>('Table 7'!C19/'Table 7'!B19)</f>
        <v>0.33705772811918061</v>
      </c>
      <c r="D17" s="95">
        <f>('Table 7'!D19/'Table 7'!B19)</f>
        <v>0.66294227188081933</v>
      </c>
      <c r="E17" s="95">
        <f>('Table 7'!E19/'Table 7'!B19)</f>
        <v>0.4165114835505897</v>
      </c>
      <c r="F17" s="95">
        <f>('Table 7'!F19/'Table 7'!B19)</f>
        <v>0.58348851644941035</v>
      </c>
      <c r="G17" s="95">
        <f>('Table 7'!G19/'Table 7'!B19)</f>
        <v>0.4972067039106145</v>
      </c>
      <c r="H17" s="95">
        <f>('Table 7'!H19/'Table 7'!B19)</f>
        <v>0.5027932960893855</v>
      </c>
      <c r="I17" s="95">
        <f>('Table 7'!I19/'Table 7'!B19)</f>
        <v>0.1371818746120422</v>
      </c>
      <c r="J17" s="95">
        <f>('Table 7'!J19/'Table 7'!B19)</f>
        <v>0.19987585350713843</v>
      </c>
      <c r="K17" s="95">
        <f>('Table 7'!K19/'Table 7'!B19)</f>
        <v>0.36002482929857232</v>
      </c>
      <c r="L17" s="95">
        <f>('Table 7'!L19/'Table 7'!B19)</f>
        <v>0.30291744258224707</v>
      </c>
    </row>
    <row r="18" spans="1:12" ht="31.5" x14ac:dyDescent="0.25">
      <c r="A18" s="108" t="s">
        <v>22</v>
      </c>
      <c r="B18" s="95">
        <f>('Table 4'!T23)/('Table 4'!Y23)</f>
        <v>0.31627179257934734</v>
      </c>
      <c r="C18" s="95">
        <f>('Table 7'!C20/'Table 7'!B20)</f>
        <v>0.58515901060070674</v>
      </c>
      <c r="D18" s="95">
        <f>('Table 7'!D20/'Table 7'!B20)</f>
        <v>0.41484098939929331</v>
      </c>
      <c r="E18" s="95">
        <f>('Table 7'!E20/'Table 7'!B20)</f>
        <v>0.3597173144876325</v>
      </c>
      <c r="F18" s="95">
        <f>('Table 7'!F20/'Table 7'!B20)</f>
        <v>0.64028268551236744</v>
      </c>
      <c r="G18" s="95">
        <f>('Table 7'!G20/'Table 7'!B20)</f>
        <v>0.3547703180212014</v>
      </c>
      <c r="H18" s="95">
        <f>('Table 7'!H20/'Table 7'!B20)</f>
        <v>0.6452296819787986</v>
      </c>
      <c r="I18" s="95">
        <f>('Table 7'!I20/'Table 7'!B20)</f>
        <v>0.21342756183745584</v>
      </c>
      <c r="J18" s="95">
        <f>('Table 7'!J20/'Table 7'!B20)</f>
        <v>0.37173144876325087</v>
      </c>
      <c r="K18" s="95">
        <f>('Table 7'!K20/'Table 7'!B20)</f>
        <v>0.14134275618374559</v>
      </c>
      <c r="L18" s="95">
        <f>('Table 7'!L20/'Table 7'!B20)</f>
        <v>0.27349823321554773</v>
      </c>
    </row>
    <row r="19" spans="1:12" ht="15.75" x14ac:dyDescent="0.25">
      <c r="A19" s="108" t="s">
        <v>23</v>
      </c>
      <c r="B19" s="95">
        <f>('Table 4'!U23)/('Table 4'!Y23)</f>
        <v>2.4586499776486366E-2</v>
      </c>
      <c r="C19" s="95">
        <f>('Table 7'!C21/'Table 7'!B21)</f>
        <v>0.37272727272727274</v>
      </c>
      <c r="D19" s="95">
        <f>('Table 7'!D21/'Table 7'!B21)</f>
        <v>0.62727272727272732</v>
      </c>
      <c r="E19" s="95">
        <f>('Table 7'!E21/'Table 7'!B21)</f>
        <v>0.50909090909090904</v>
      </c>
      <c r="F19" s="95">
        <f>('Table 7'!F21/'Table 7'!B21)</f>
        <v>0.49090909090909091</v>
      </c>
      <c r="G19" s="95">
        <f>('Table 7'!G21/'Table 7'!B21)</f>
        <v>0.60909090909090913</v>
      </c>
      <c r="H19" s="95">
        <f>('Table 7'!H21/'Table 7'!B21)</f>
        <v>0.39090909090909093</v>
      </c>
      <c r="I19" s="95">
        <f>('Table 7'!I21/'Table 7'!B21)</f>
        <v>0.21818181818181817</v>
      </c>
      <c r="J19" s="95">
        <f>('Table 7'!J21/'Table 7'!B21)</f>
        <v>0.15454545454545454</v>
      </c>
      <c r="K19" s="95">
        <f>('Table 7'!K21/'Table 7'!B21)</f>
        <v>0.39090909090909093</v>
      </c>
      <c r="L19" s="95">
        <f>('Table 7'!L21/'Table 7'!B21)</f>
        <v>0.23636363636363636</v>
      </c>
    </row>
    <row r="20" spans="1:12" ht="15.75" x14ac:dyDescent="0.25">
      <c r="A20" s="108" t="s">
        <v>24</v>
      </c>
      <c r="B20" s="95">
        <f>('Table 4'!V23)/('Table 4'!Y23)</f>
        <v>0.21770227983907017</v>
      </c>
      <c r="C20" s="95">
        <f>('Table 7'!C22/'Table 7'!B22)</f>
        <v>0.486652977412731</v>
      </c>
      <c r="D20" s="95">
        <f>('Table 7'!D22/'Table 7'!B22)</f>
        <v>0.51334702258726894</v>
      </c>
      <c r="E20" s="95">
        <f>('Table 7'!E22/'Table 7'!B22)</f>
        <v>0.58008213552361398</v>
      </c>
      <c r="F20" s="95">
        <f>('Table 7'!F22/'Table 7'!B22)</f>
        <v>0.41991786447638602</v>
      </c>
      <c r="G20" s="95">
        <f>('Table 7'!G22/'Table 7'!B22)</f>
        <v>0.64476386036960986</v>
      </c>
      <c r="H20" s="95">
        <f>('Table 7'!H22/'Table 7'!B22)</f>
        <v>0.35523613963039014</v>
      </c>
      <c r="I20" s="95">
        <f>('Table 7'!I22/'Table 7'!B22)</f>
        <v>0.32032854209445583</v>
      </c>
      <c r="J20" s="95">
        <f>('Table 7'!J22/'Table 7'!B22)</f>
        <v>0.16632443531827515</v>
      </c>
      <c r="K20" s="95">
        <f>('Table 7'!K22/'Table 7'!B22)</f>
        <v>0.32443531827515398</v>
      </c>
      <c r="L20" s="95">
        <f>('Table 7'!L22/'Table 7'!B22)</f>
        <v>0.18891170431211499</v>
      </c>
    </row>
    <row r="21" spans="1:12" ht="15.75" x14ac:dyDescent="0.25">
      <c r="A21" s="108" t="s">
        <v>201</v>
      </c>
      <c r="B21" s="95">
        <f>('Table 4'!W23)/('Table 4'!Y23)</f>
        <v>0.28788556101922219</v>
      </c>
      <c r="C21" s="95">
        <f>('Table 7'!C23/'Table 7'!B23)</f>
        <v>0.45885093167701863</v>
      </c>
      <c r="D21" s="95">
        <f>('Table 7'!D23/'Table 7'!B23)</f>
        <v>0.54114906832298137</v>
      </c>
      <c r="E21" s="95">
        <f>('Table 7'!E23/'Table 7'!B23)</f>
        <v>0.54037267080745344</v>
      </c>
      <c r="F21" s="95">
        <f>('Table 7'!F23/'Table 7'!B23)</f>
        <v>0.45962732919254656</v>
      </c>
      <c r="G21" s="95">
        <f>('Table 7'!G23/'Table 7'!B23)</f>
        <v>0.53726708074534157</v>
      </c>
      <c r="H21" s="95">
        <f>('Table 7'!H23/'Table 7'!B23)</f>
        <v>0.46273291925465837</v>
      </c>
      <c r="I21" s="95">
        <f>('Table 7'!I23/'Table 7'!B23)</f>
        <v>0.23680124223602483</v>
      </c>
      <c r="J21" s="95">
        <f>('Table 7'!J23/'Table 7'!B23)</f>
        <v>0.22204968944099379</v>
      </c>
      <c r="K21" s="95">
        <f>('Table 7'!K23/'Table 7'!B23)</f>
        <v>0.3004658385093168</v>
      </c>
      <c r="L21" s="95">
        <f>('Table 7'!L23/'Table 7'!B23)</f>
        <v>0.24068322981366461</v>
      </c>
    </row>
    <row r="22" spans="1:12" ht="15.75" x14ac:dyDescent="0.25">
      <c r="A22" s="32" t="s">
        <v>27</v>
      </c>
      <c r="B22" s="95">
        <f>('Table 4'!X23)/('Table 4'!Y23)</f>
        <v>0.18998658918194009</v>
      </c>
      <c r="C22" s="95">
        <f>('Table 7'!C24/'Table 7'!B24)</f>
        <v>0.43764705882352939</v>
      </c>
      <c r="D22" s="95">
        <f>('Table 7'!D24/'Table 7'!B24)</f>
        <v>0.56235294117647061</v>
      </c>
      <c r="E22" s="95">
        <f>('Table 7'!E24/'Table 7'!B24)</f>
        <v>0.47411764705882353</v>
      </c>
      <c r="F22" s="95">
        <f>('Table 7'!F24/'Table 7'!B24)</f>
        <v>0.52588235294117647</v>
      </c>
      <c r="G22" s="95">
        <f>('Table 7'!G24/'Table 7'!B24)</f>
        <v>0.56000000000000005</v>
      </c>
      <c r="H22" s="95">
        <f>('Table 7'!H24/'Table 7'!B24)</f>
        <v>0.44</v>
      </c>
      <c r="I22" s="95">
        <f>('Table 7'!I24/'Table 7'!B24)</f>
        <v>0.23294117647058823</v>
      </c>
      <c r="J22" s="95">
        <f>('Table 7'!J24/'Table 7'!B24)</f>
        <v>0.20470588235294118</v>
      </c>
      <c r="K22" s="95">
        <f>('Table 7'!K24/'Table 7'!B24)</f>
        <v>0.32705882352941179</v>
      </c>
      <c r="L22" s="95">
        <f>('Table 7'!L24/'Table 7'!B24)</f>
        <v>0.23529411764705882</v>
      </c>
    </row>
  </sheetData>
  <mergeCells count="1">
    <mergeCell ref="A1:H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020D4-2838-4AD1-A005-35A4646B9F65}">
  <dimension ref="A1:U15"/>
  <sheetViews>
    <sheetView zoomScale="69" zoomScaleNormal="69" workbookViewId="0">
      <selection activeCell="M8" sqref="M8"/>
    </sheetView>
  </sheetViews>
  <sheetFormatPr defaultColWidth="8.85546875" defaultRowHeight="15" x14ac:dyDescent="0.25"/>
  <cols>
    <col min="1" max="1" width="16.28515625" customWidth="1"/>
    <col min="2" max="2" width="13" customWidth="1"/>
    <col min="3" max="3" width="14.7109375" customWidth="1"/>
    <col min="4" max="4" width="14.42578125" customWidth="1"/>
    <col min="9" max="9" width="11.140625" customWidth="1"/>
    <col min="10" max="11" width="13.140625" customWidth="1"/>
    <col min="12" max="12" width="12.28515625" customWidth="1"/>
    <col min="13" max="13" width="12.7109375" customWidth="1"/>
    <col min="14" max="14" width="13.7109375" customWidth="1"/>
    <col min="16" max="16" width="15.42578125" customWidth="1"/>
    <col min="17" max="17" width="13.85546875" customWidth="1"/>
  </cols>
  <sheetData>
    <row r="1" spans="1:21" x14ac:dyDescent="0.25">
      <c r="A1" s="184" t="s">
        <v>9446</v>
      </c>
      <c r="B1" s="184"/>
      <c r="C1" s="184"/>
      <c r="D1" s="184"/>
      <c r="E1" s="184"/>
      <c r="F1" s="184"/>
      <c r="G1" s="184"/>
      <c r="H1" s="184"/>
      <c r="I1" s="184"/>
      <c r="J1" s="184"/>
      <c r="K1" s="184"/>
      <c r="L1" s="184"/>
      <c r="M1" s="184"/>
      <c r="N1" s="184"/>
      <c r="O1" s="184"/>
      <c r="P1" s="184"/>
      <c r="Q1" s="184"/>
      <c r="R1" s="184"/>
      <c r="S1" s="184"/>
      <c r="T1" s="184"/>
      <c r="U1" s="184"/>
    </row>
    <row r="2" spans="1:21" ht="45" x14ac:dyDescent="0.25">
      <c r="A2" s="81" t="s">
        <v>8</v>
      </c>
      <c r="B2" s="82" t="s">
        <v>10</v>
      </c>
      <c r="C2" s="82" t="s">
        <v>11</v>
      </c>
      <c r="D2" s="82" t="s">
        <v>12</v>
      </c>
      <c r="E2" s="82" t="s">
        <v>13</v>
      </c>
      <c r="F2" s="82" t="s">
        <v>14</v>
      </c>
      <c r="G2" s="82" t="s">
        <v>15</v>
      </c>
      <c r="H2" s="82" t="s">
        <v>16</v>
      </c>
      <c r="I2" s="82" t="s">
        <v>17</v>
      </c>
      <c r="J2" s="82" t="s">
        <v>9149</v>
      </c>
      <c r="K2" s="82" t="s">
        <v>9150</v>
      </c>
      <c r="L2" s="82" t="s">
        <v>18</v>
      </c>
      <c r="M2" s="82" t="s">
        <v>19</v>
      </c>
      <c r="N2" s="82" t="s">
        <v>20</v>
      </c>
      <c r="O2" s="82" t="s">
        <v>21</v>
      </c>
      <c r="P2" s="82" t="s">
        <v>22</v>
      </c>
      <c r="Q2" s="82" t="s">
        <v>23</v>
      </c>
      <c r="R2" s="82" t="s">
        <v>24</v>
      </c>
      <c r="S2" s="82" t="s">
        <v>201</v>
      </c>
      <c r="T2" s="82" t="s">
        <v>27</v>
      </c>
      <c r="U2" s="75" t="s">
        <v>9377</v>
      </c>
    </row>
    <row r="3" spans="1:21" x14ac:dyDescent="0.25">
      <c r="A3" s="96" t="s">
        <v>8977</v>
      </c>
      <c r="B3" s="9">
        <f>('Table 4'!F4-'Table 4'!F3)</f>
        <v>17</v>
      </c>
      <c r="C3" s="9">
        <f>('Table 4'!G4-'Table 4'!G3)</f>
        <v>33</v>
      </c>
      <c r="D3" s="9">
        <f>('Table 4'!H4-'Table 4'!H3)</f>
        <v>-19</v>
      </c>
      <c r="E3" s="9">
        <f>('Table 4'!I4-'Table 4'!I3)</f>
        <v>26</v>
      </c>
      <c r="F3" s="9">
        <f>('Table 4'!J4-'Table 4'!J3)</f>
        <v>0</v>
      </c>
      <c r="G3" s="9">
        <f>('Table 4'!K4-'Table 4'!K3)</f>
        <v>-4</v>
      </c>
      <c r="H3" s="9">
        <f>('Table 4'!L4-'Table 4'!L3)</f>
        <v>1</v>
      </c>
      <c r="I3" s="9">
        <f>('Table 4'!M4-'Table 4'!M3)</f>
        <v>12</v>
      </c>
      <c r="J3" s="9">
        <f>('Table 4'!N4-'Table 4'!N3)</f>
        <v>8</v>
      </c>
      <c r="K3" s="9">
        <f>('Table 4'!O4-'Table 4'!O3)</f>
        <v>-1</v>
      </c>
      <c r="L3" s="9">
        <f>('Table 4'!P4-'Table 4'!P3)</f>
        <v>3</v>
      </c>
      <c r="M3" s="9">
        <f>('Table 4'!Q4-'Table 4'!Q3)</f>
        <v>0</v>
      </c>
      <c r="N3" s="9">
        <f>('Table 4'!R4-'Table 4'!R3)</f>
        <v>-4</v>
      </c>
      <c r="O3" s="9">
        <f>('Table 4'!S4-'Table 4'!S3)</f>
        <v>55</v>
      </c>
      <c r="P3" s="9">
        <f>('Table 4'!T4-'Table 4'!T3)</f>
        <v>3</v>
      </c>
      <c r="Q3" s="9">
        <f>('Table 4'!U4-'Table 4'!U3)</f>
        <v>11</v>
      </c>
      <c r="R3" s="9">
        <f>('Table 4'!V4-'Table 4'!V3)</f>
        <v>42</v>
      </c>
      <c r="S3" s="9">
        <f>('Table 4'!W4-'Table 4'!W3)</f>
        <v>40</v>
      </c>
      <c r="T3" s="9">
        <f>('Table 4'!X4-'Table 4'!X3)</f>
        <v>63</v>
      </c>
      <c r="U3" s="9">
        <f>('Table 4'!Y4-'Table 4'!Y3)</f>
        <v>147</v>
      </c>
    </row>
    <row r="4" spans="1:21" x14ac:dyDescent="0.25">
      <c r="A4" s="96" t="s">
        <v>8998</v>
      </c>
      <c r="B4" s="9">
        <f>('Table 4'!F6-'Table 4'!F5)</f>
        <v>-30</v>
      </c>
      <c r="C4" s="9">
        <f>('Table 4'!G6-'Table 4'!G5)</f>
        <v>16</v>
      </c>
      <c r="D4" s="9">
        <f>('Table 4'!H6-'Table 4'!H5)</f>
        <v>-10</v>
      </c>
      <c r="E4" s="9">
        <f>('Table 4'!I6-'Table 4'!I5)</f>
        <v>2</v>
      </c>
      <c r="F4" s="9">
        <f>('Table 4'!J6-'Table 4'!J5)</f>
        <v>4</v>
      </c>
      <c r="G4" s="9">
        <f>('Table 4'!K6-'Table 4'!K5)</f>
        <v>2</v>
      </c>
      <c r="H4" s="9">
        <f>('Table 4'!L6-'Table 4'!L5)</f>
        <v>-2</v>
      </c>
      <c r="I4" s="9">
        <f>('Table 4'!M6-'Table 4'!M5)</f>
        <v>1</v>
      </c>
      <c r="J4" s="9">
        <f>('Table 4'!N6-'Table 4'!N5)</f>
        <v>-7</v>
      </c>
      <c r="K4" s="9">
        <f>('Table 4'!O6-'Table 4'!O5)</f>
        <v>0</v>
      </c>
      <c r="L4" s="9">
        <f>('Table 4'!P6-'Table 4'!P5)</f>
        <v>-3</v>
      </c>
      <c r="M4" s="9">
        <f>('Table 4'!Q6-'Table 4'!Q5)</f>
        <v>0</v>
      </c>
      <c r="N4" s="9">
        <f>('Table 4'!R6-'Table 4'!R5)</f>
        <v>-7</v>
      </c>
      <c r="O4" s="9">
        <f>('Table 4'!S6-'Table 4'!S5)</f>
        <v>75</v>
      </c>
      <c r="P4" s="9">
        <f>('Table 4'!T6-'Table 4'!T5)</f>
        <v>-10</v>
      </c>
      <c r="Q4" s="9">
        <f>('Table 4'!U6-'Table 4'!U5)</f>
        <v>0</v>
      </c>
      <c r="R4" s="9">
        <f>('Table 4'!V6-'Table 4'!V5)</f>
        <v>21</v>
      </c>
      <c r="S4" s="9">
        <f>('Table 4'!W6-'Table 4'!W5)</f>
        <v>-44</v>
      </c>
      <c r="T4" s="9">
        <f>('Table 4'!X6-'Table 4'!X5)</f>
        <v>10</v>
      </c>
      <c r="U4" s="9">
        <f>('Table 4'!Y6-'Table 4'!Y5)</f>
        <v>61</v>
      </c>
    </row>
    <row r="5" spans="1:21" x14ac:dyDescent="0.25">
      <c r="A5" s="100" t="s">
        <v>9013</v>
      </c>
      <c r="B5" s="8">
        <f>('Table 4'!F7-'Table 4'!F8)</f>
        <v>-18</v>
      </c>
      <c r="C5" s="8">
        <f>('Table 4'!G7-'Table 4'!G8)</f>
        <v>-27</v>
      </c>
      <c r="D5" s="8">
        <f>('Table 4'!H7-'Table 4'!H8)</f>
        <v>14</v>
      </c>
      <c r="E5" s="8">
        <f>('Table 4'!I7-'Table 4'!I8)</f>
        <v>-17</v>
      </c>
      <c r="F5" s="8">
        <f>('Table 4'!J7-'Table 4'!J8)</f>
        <v>3</v>
      </c>
      <c r="G5" s="8">
        <f>('Table 4'!K7-'Table 4'!K8)</f>
        <v>1</v>
      </c>
      <c r="H5" s="8">
        <f>('Table 4'!L7-'Table 4'!L8)</f>
        <v>-5</v>
      </c>
      <c r="I5" s="8">
        <f>('Table 4'!M7-'Table 4'!M8)</f>
        <v>-2</v>
      </c>
      <c r="J5" s="8">
        <f>('Table 4'!N7-'Table 4'!N8)</f>
        <v>2</v>
      </c>
      <c r="K5" s="8">
        <f>('Table 4'!O7-'Table 4'!O8)</f>
        <v>-8</v>
      </c>
      <c r="L5" s="8">
        <f>('Table 4'!P7-'Table 4'!P8)</f>
        <v>-3</v>
      </c>
      <c r="M5" s="8">
        <f>('Table 4'!Q7-'Table 4'!Q8)</f>
        <v>0</v>
      </c>
      <c r="N5" s="8">
        <f>('Table 4'!R7-'Table 4'!R8)</f>
        <v>9</v>
      </c>
      <c r="O5" s="8">
        <f>('Table 4'!S7-'Table 4'!S8)</f>
        <v>-23</v>
      </c>
      <c r="P5" s="8">
        <f>('Table 4'!T7-'Table 4'!T8)</f>
        <v>2</v>
      </c>
      <c r="Q5" s="8">
        <f>('Table 4'!U7-'Table 4'!U8)</f>
        <v>3</v>
      </c>
      <c r="R5" s="8">
        <f>('Table 4'!V7-'Table 4'!V8)</f>
        <v>37</v>
      </c>
      <c r="S5" s="8">
        <f>('Table 4'!W7-'Table 4'!W8)</f>
        <v>28</v>
      </c>
      <c r="T5" s="8">
        <f>('Table 4'!X7-'Table 4'!X8)</f>
        <v>13</v>
      </c>
      <c r="U5" s="8">
        <f>('Table 4'!Y7-'Table 4'!Y8)</f>
        <v>-2</v>
      </c>
    </row>
    <row r="6" spans="1:21" x14ac:dyDescent="0.25">
      <c r="A6" s="100" t="s">
        <v>9025</v>
      </c>
      <c r="B6" s="8">
        <f>('Table 4'!F9-'Table 4'!F10)</f>
        <v>16</v>
      </c>
      <c r="C6" s="8">
        <f>('Table 4'!G9-'Table 4'!G10)</f>
        <v>-91</v>
      </c>
      <c r="D6" s="8">
        <f>('Table 4'!H9-'Table 4'!H10)</f>
        <v>-39</v>
      </c>
      <c r="E6" s="8">
        <f>('Table 4'!I9-'Table 4'!I10)</f>
        <v>-28</v>
      </c>
      <c r="F6" s="8">
        <f>('Table 4'!J9-'Table 4'!J10)</f>
        <v>1</v>
      </c>
      <c r="G6" s="8">
        <f>('Table 4'!K9-'Table 4'!K10)</f>
        <v>1</v>
      </c>
      <c r="H6" s="8">
        <f>('Table 4'!L9-'Table 4'!L10)</f>
        <v>-1</v>
      </c>
      <c r="I6" s="8">
        <f>('Table 4'!M9-'Table 4'!M10)</f>
        <v>-4</v>
      </c>
      <c r="J6" s="8">
        <f>('Table 4'!N9-'Table 4'!N10)</f>
        <v>-1</v>
      </c>
      <c r="K6" s="8">
        <f>('Table 4'!O9-'Table 4'!O10)</f>
        <v>-3</v>
      </c>
      <c r="L6" s="8">
        <f>('Table 4'!P9-'Table 4'!P10)</f>
        <v>-8</v>
      </c>
      <c r="M6" s="8">
        <f>('Table 4'!Q9-'Table 4'!Q10)</f>
        <v>-7</v>
      </c>
      <c r="N6" s="8">
        <f>('Table 4'!R9-'Table 4'!R10)</f>
        <v>-52</v>
      </c>
      <c r="O6" s="8">
        <f>('Table 4'!S9-'Table 4'!S10)</f>
        <v>-157</v>
      </c>
      <c r="P6" s="8">
        <f>('Table 4'!T9-'Table 4'!T10)</f>
        <v>-124</v>
      </c>
      <c r="Q6" s="8">
        <f>('Table 4'!U9-'Table 4'!U10)</f>
        <v>-5</v>
      </c>
      <c r="R6" s="8">
        <f>('Table 4'!V9-'Table 4'!V10)</f>
        <v>56</v>
      </c>
      <c r="S6" s="8">
        <f>('Table 4'!W9-'Table 4'!W10)</f>
        <v>43</v>
      </c>
      <c r="T6" s="8">
        <f>('Table 4'!X9-'Table 4'!X10)</f>
        <v>-20</v>
      </c>
      <c r="U6" s="8">
        <f>('Table 4'!Y9-'Table 4'!Y10)</f>
        <v>-137</v>
      </c>
    </row>
    <row r="7" spans="1:21" x14ac:dyDescent="0.25">
      <c r="A7" s="96" t="s">
        <v>9034</v>
      </c>
      <c r="B7" s="9">
        <f>('Table 4'!F11-'Table 4'!F12)</f>
        <v>16</v>
      </c>
      <c r="C7" s="9">
        <f>('Table 4'!G11-'Table 4'!G12)</f>
        <v>36</v>
      </c>
      <c r="D7" s="9">
        <f>('Table 4'!H11-'Table 4'!H12)</f>
        <v>10</v>
      </c>
      <c r="E7" s="9">
        <f>('Table 4'!I11-'Table 4'!I12)</f>
        <v>5</v>
      </c>
      <c r="F7" s="9">
        <f>('Table 4'!J11-'Table 4'!J12)</f>
        <v>4</v>
      </c>
      <c r="G7" s="9">
        <f>('Table 4'!K11-'Table 4'!K12)</f>
        <v>-4</v>
      </c>
      <c r="H7" s="9">
        <f>('Table 4'!L11-'Table 4'!L12)</f>
        <v>2</v>
      </c>
      <c r="I7" s="9">
        <f>('Table 4'!M11-'Table 4'!M12)</f>
        <v>1</v>
      </c>
      <c r="J7" s="9">
        <f>('Table 4'!N11-'Table 4'!N12)</f>
        <v>0</v>
      </c>
      <c r="K7" s="9">
        <f>('Table 4'!O11-'Table 4'!O12)</f>
        <v>3</v>
      </c>
      <c r="L7" s="9">
        <f>('Table 4'!P11-'Table 4'!P12)</f>
        <v>6</v>
      </c>
      <c r="M7" s="9">
        <f>('Table 4'!Q11-'Table 4'!Q12)</f>
        <v>4</v>
      </c>
      <c r="N7" s="9">
        <f>('Table 4'!R11-'Table 4'!R12)</f>
        <v>16</v>
      </c>
      <c r="O7" s="9">
        <f>('Table 4'!S11-'Table 4'!S12)</f>
        <v>115</v>
      </c>
      <c r="P7" s="9">
        <f>('Table 4'!T11-'Table 4'!T12)</f>
        <v>5</v>
      </c>
      <c r="Q7" s="9">
        <f>('Table 4'!U11-'Table 4'!U12)</f>
        <v>6</v>
      </c>
      <c r="R7" s="9">
        <f>('Table 4'!V11-'Table 4'!V12)</f>
        <v>43</v>
      </c>
      <c r="S7" s="9">
        <f>('Table 4'!W11-'Table 4'!W12)</f>
        <v>72</v>
      </c>
      <c r="T7" s="9">
        <f>('Table 4'!X11-'Table 4'!X12)</f>
        <v>18</v>
      </c>
      <c r="U7" s="9">
        <f>('Table 4'!Y11-'Table 4'!Y12)</f>
        <v>187</v>
      </c>
    </row>
    <row r="8" spans="1:21" x14ac:dyDescent="0.25">
      <c r="A8" s="96" t="s">
        <v>9037</v>
      </c>
      <c r="B8" s="9">
        <f>('Table 4'!F13-'Table 4'!F14)</f>
        <v>-26</v>
      </c>
      <c r="C8" s="9">
        <f>('Table 4'!G13-'Table 4'!G14)</f>
        <v>35</v>
      </c>
      <c r="D8" s="9">
        <f>('Table 4'!H13-'Table 4'!H14)</f>
        <v>18</v>
      </c>
      <c r="E8" s="9">
        <f>('Table 4'!I13-'Table 4'!I14)</f>
        <v>0</v>
      </c>
      <c r="F8" s="9">
        <f>('Table 4'!J13-'Table 4'!J14)</f>
        <v>-13</v>
      </c>
      <c r="G8" s="9">
        <f>('Table 4'!K13-'Table 4'!K14)</f>
        <v>43</v>
      </c>
      <c r="H8" s="9">
        <f>('Table 4'!L13-'Table 4'!L14)</f>
        <v>-14</v>
      </c>
      <c r="I8" s="9">
        <f>('Table 4'!M13-'Table 4'!M14)</f>
        <v>-4</v>
      </c>
      <c r="J8" s="9">
        <f>('Table 4'!N13-'Table 4'!N14)</f>
        <v>-3</v>
      </c>
      <c r="K8" s="9">
        <f>('Table 4'!O13-'Table 4'!O14)</f>
        <v>6</v>
      </c>
      <c r="L8" s="9">
        <f>('Table 4'!P13-'Table 4'!P14)</f>
        <v>0</v>
      </c>
      <c r="M8" s="9">
        <f>('Table 4'!Q13-'Table 4'!Q14)</f>
        <v>8</v>
      </c>
      <c r="N8" s="9">
        <f>('Table 4'!R13-'Table 4'!R14)</f>
        <v>-50</v>
      </c>
      <c r="O8" s="9">
        <f>('Table 4'!S13-'Table 4'!S14)</f>
        <v>53</v>
      </c>
      <c r="P8" s="9">
        <f>('Table 4'!T13-'Table 4'!T14)</f>
        <v>-123</v>
      </c>
      <c r="Q8" s="9">
        <f>('Table 4'!U13-'Table 4'!U14)</f>
        <v>9</v>
      </c>
      <c r="R8" s="9">
        <f>('Table 4'!V13-'Table 4'!V14)</f>
        <v>55</v>
      </c>
      <c r="S8" s="9">
        <f>('Table 4'!W13-'Table 4'!W14)</f>
        <v>38</v>
      </c>
      <c r="T8" s="9">
        <f>('Table 4'!X13-'Table 4'!X14)</f>
        <v>26</v>
      </c>
      <c r="U8" s="9">
        <f>('Table 4'!Y13-'Table 4'!Y14)</f>
        <v>67</v>
      </c>
    </row>
    <row r="9" spans="1:21" x14ac:dyDescent="0.25">
      <c r="A9" s="96" t="s">
        <v>9055</v>
      </c>
      <c r="B9" s="9">
        <f>('Table 4'!F15-'Table 4'!F16)</f>
        <v>20</v>
      </c>
      <c r="C9" s="9">
        <f>('Table 4'!G15-'Table 4'!G16)</f>
        <v>23</v>
      </c>
      <c r="D9" s="9">
        <f>('Table 4'!H15-'Table 4'!H16)</f>
        <v>-10</v>
      </c>
      <c r="E9" s="9">
        <f>('Table 4'!I15-'Table 4'!I16)</f>
        <v>4</v>
      </c>
      <c r="F9" s="9">
        <f>('Table 4'!J15-'Table 4'!J16)</f>
        <v>-3</v>
      </c>
      <c r="G9" s="9">
        <f>('Table 4'!K15-'Table 4'!K16)</f>
        <v>2</v>
      </c>
      <c r="H9" s="9">
        <f>('Table 4'!L15-'Table 4'!L16)</f>
        <v>-2</v>
      </c>
      <c r="I9" s="9">
        <f>('Table 4'!M15-'Table 4'!M16)</f>
        <v>2</v>
      </c>
      <c r="J9" s="9">
        <f>('Table 4'!N15-'Table 4'!N16)</f>
        <v>1</v>
      </c>
      <c r="K9" s="9">
        <f>('Table 4'!O15-'Table 4'!O16)</f>
        <v>3</v>
      </c>
      <c r="L9" s="9">
        <f>('Table 4'!P15-'Table 4'!P16)</f>
        <v>-3</v>
      </c>
      <c r="M9" s="9">
        <f>('Table 4'!Q15-'Table 4'!Q16)</f>
        <v>5</v>
      </c>
      <c r="N9" s="9">
        <f>('Table 4'!R15-'Table 4'!R16)</f>
        <v>-15</v>
      </c>
      <c r="O9" s="9">
        <f>('Table 4'!S15-'Table 4'!S16)</f>
        <v>-6</v>
      </c>
      <c r="P9" s="9">
        <f>('Table 4'!T15-'Table 4'!T16)</f>
        <v>-119</v>
      </c>
      <c r="Q9" s="9">
        <f>('Table 4'!U15-'Table 4'!U16)</f>
        <v>-3</v>
      </c>
      <c r="R9" s="9">
        <f>('Table 4'!V15-'Table 4'!V16)</f>
        <v>-12</v>
      </c>
      <c r="S9" s="9">
        <f>('Table 4'!W15-'Table 4'!W16)</f>
        <v>-11</v>
      </c>
      <c r="T9" s="9">
        <f>('Table 4'!X15-'Table 4'!X16)</f>
        <v>-9</v>
      </c>
      <c r="U9" s="9">
        <f>('Table 4'!Y15-'Table 4'!Y16)</f>
        <v>-81</v>
      </c>
    </row>
    <row r="10" spans="1:21" x14ac:dyDescent="0.25">
      <c r="A10" s="100" t="s">
        <v>9067</v>
      </c>
      <c r="B10" s="8">
        <f>('Table 4'!F17-'Table 4'!F18)</f>
        <v>-10</v>
      </c>
      <c r="C10" s="8">
        <f>('Table 4'!G17-'Table 4'!G18)</f>
        <v>-30</v>
      </c>
      <c r="D10" s="8">
        <f>('Table 4'!H17-'Table 4'!H18)</f>
        <v>14</v>
      </c>
      <c r="E10" s="8">
        <f>('Table 4'!I17-'Table 4'!I18)</f>
        <v>-20</v>
      </c>
      <c r="F10" s="8">
        <f>('Table 4'!J17-'Table 4'!J18)</f>
        <v>1</v>
      </c>
      <c r="G10" s="8">
        <f>('Table 4'!K17-'Table 4'!K18)</f>
        <v>0</v>
      </c>
      <c r="H10" s="8">
        <f>('Table 4'!L17-'Table 4'!L18)</f>
        <v>0</v>
      </c>
      <c r="I10" s="8">
        <f>('Table 4'!M17-'Table 4'!M18)</f>
        <v>-2</v>
      </c>
      <c r="J10" s="8">
        <f>('Table 4'!N17-'Table 4'!N18)</f>
        <v>0</v>
      </c>
      <c r="K10" s="8">
        <f>('Table 4'!O17-'Table 4'!O18)</f>
        <v>1</v>
      </c>
      <c r="L10" s="8">
        <f>('Table 4'!P17-'Table 4'!P18)</f>
        <v>9</v>
      </c>
      <c r="M10" s="8">
        <f>('Table 4'!Q17-'Table 4'!Q18)</f>
        <v>0</v>
      </c>
      <c r="N10" s="8">
        <f>('Table 4'!R17-'Table 4'!R18)</f>
        <v>11</v>
      </c>
      <c r="O10" s="8">
        <f>('Table 4'!S17-'Table 4'!S18)</f>
        <v>17</v>
      </c>
      <c r="P10" s="8">
        <f>('Table 4'!T17-'Table 4'!T18)</f>
        <v>69</v>
      </c>
      <c r="Q10" s="8">
        <f>('Table 4'!U17-'Table 4'!U18)</f>
        <v>-3</v>
      </c>
      <c r="R10" s="8">
        <f>('Table 4'!V17-'Table 4'!V18)</f>
        <v>8</v>
      </c>
      <c r="S10" s="8">
        <f>('Table 4'!W17-'Table 4'!W18)</f>
        <v>-24</v>
      </c>
      <c r="T10" s="8">
        <f>('Table 4'!X17-'Table 4'!X18)</f>
        <v>54</v>
      </c>
      <c r="U10" s="8">
        <f>('Table 4'!Y17-'Table 4'!Y18)</f>
        <v>47</v>
      </c>
    </row>
    <row r="11" spans="1:21" x14ac:dyDescent="0.25">
      <c r="A11" s="100" t="s">
        <v>9097</v>
      </c>
      <c r="B11" s="8">
        <f>('Table 4'!F19-'Table 4'!F20)</f>
        <v>5</v>
      </c>
      <c r="C11" s="8">
        <f>('Table 4'!G19-'Table 4'!G20)</f>
        <v>-24</v>
      </c>
      <c r="D11" s="8">
        <f>('Table 4'!H19-'Table 4'!H20)</f>
        <v>38</v>
      </c>
      <c r="E11" s="8">
        <f>('Table 4'!I19-'Table 4'!I20)</f>
        <v>-8</v>
      </c>
      <c r="F11" s="8">
        <f>('Table 4'!J19-'Table 4'!J20)</f>
        <v>2</v>
      </c>
      <c r="G11" s="8">
        <f>('Table 4'!K19-'Table 4'!K20)</f>
        <v>22</v>
      </c>
      <c r="H11" s="8">
        <f>('Table 4'!L19-'Table 4'!L20)</f>
        <v>0</v>
      </c>
      <c r="I11" s="8">
        <f>('Table 4'!M19-'Table 4'!M20)</f>
        <v>-8</v>
      </c>
      <c r="J11" s="8">
        <f>('Table 4'!N19-'Table 4'!N20)</f>
        <v>0</v>
      </c>
      <c r="K11" s="8">
        <f>('Table 4'!O19-'Table 4'!O20)</f>
        <v>2</v>
      </c>
      <c r="L11" s="8">
        <f>('Table 4'!P19-'Table 4'!P20)</f>
        <v>9</v>
      </c>
      <c r="M11" s="8">
        <f>('Table 4'!Q19-'Table 4'!Q20)</f>
        <v>-2</v>
      </c>
      <c r="N11" s="8">
        <f>('Table 4'!R19-'Table 4'!R20)</f>
        <v>-4</v>
      </c>
      <c r="O11" s="8">
        <f>('Table 4'!S19-'Table 4'!S20)</f>
        <v>-104</v>
      </c>
      <c r="P11" s="8">
        <f>('Table 4'!T19-'Table 4'!T20)</f>
        <v>-32</v>
      </c>
      <c r="Q11" s="8">
        <f>('Table 4'!U19-'Table 4'!U20)</f>
        <v>3</v>
      </c>
      <c r="R11" s="8">
        <f>('Table 4'!V19-'Table 4'!V20)</f>
        <v>27</v>
      </c>
      <c r="S11" s="8">
        <f>('Table 4'!W19-'Table 4'!W20)</f>
        <v>-52</v>
      </c>
      <c r="T11" s="8">
        <f>('Table 4'!X19-'Table 4'!X20)</f>
        <v>-49</v>
      </c>
      <c r="U11" s="8">
        <f>('Table 4'!Y19-'Table 4'!Y20)</f>
        <v>-53</v>
      </c>
    </row>
    <row r="12" spans="1:21" x14ac:dyDescent="0.25">
      <c r="A12" s="149" t="s">
        <v>9106</v>
      </c>
      <c r="B12" s="150">
        <f>('Table 4'!F21-'Table 4'!F22)</f>
        <v>11</v>
      </c>
      <c r="C12" s="150">
        <f>('Table 4'!G21-'Table 4'!G22)</f>
        <v>13</v>
      </c>
      <c r="D12" s="150">
        <f>('Table 4'!H21-'Table 4'!H22)</f>
        <v>-4</v>
      </c>
      <c r="E12" s="150">
        <f>('Table 4'!I21-'Table 4'!I22)</f>
        <v>-3</v>
      </c>
      <c r="F12" s="150">
        <f>('Table 4'!J21-'Table 4'!J22)</f>
        <v>1</v>
      </c>
      <c r="G12" s="150">
        <f>('Table 4'!K21-'Table 4'!K22)</f>
        <v>9</v>
      </c>
      <c r="H12" s="150">
        <f>('Table 4'!L21-'Table 4'!L22)</f>
        <v>-2</v>
      </c>
      <c r="I12" s="150">
        <f>('Table 4'!M21-'Table 4'!M22)</f>
        <v>0</v>
      </c>
      <c r="J12" s="150">
        <f>('Table 4'!N21-'Table 4'!N22)</f>
        <v>1</v>
      </c>
      <c r="K12" s="150">
        <f>('Table 4'!O21-'Table 4'!O22)</f>
        <v>5</v>
      </c>
      <c r="L12" s="150">
        <f>('Table 4'!P21-'Table 4'!P22)</f>
        <v>6</v>
      </c>
      <c r="M12" s="150">
        <f>('Table 4'!Q21-'Table 4'!Q22)</f>
        <v>0</v>
      </c>
      <c r="N12" s="150">
        <f>('Table 4'!R21-'Table 4'!R22)</f>
        <v>10</v>
      </c>
      <c r="O12" s="150">
        <f>('Table 4'!S21-'Table 4'!S22)</f>
        <v>-34</v>
      </c>
      <c r="P12" s="150">
        <f>('Table 4'!T21-'Table 4'!T22)</f>
        <v>-82</v>
      </c>
      <c r="Q12" s="150">
        <f>('Table 4'!U21-'Table 4'!U22)</f>
        <v>3</v>
      </c>
      <c r="R12" s="150">
        <f>('Table 4'!V21-'Table 4'!V22)</f>
        <v>5</v>
      </c>
      <c r="S12" s="150">
        <f>('Table 4'!W21-'Table 4'!W22)</f>
        <v>6</v>
      </c>
      <c r="T12" s="150">
        <f>('Table 4'!X21-'Table 4'!X22)</f>
        <v>-4</v>
      </c>
      <c r="U12" s="150">
        <f>('Table 4'!Y21-'Table 4'!Y22)</f>
        <v>-28</v>
      </c>
    </row>
    <row r="13" spans="1:21" ht="30" x14ac:dyDescent="0.25">
      <c r="A13" s="24" t="s">
        <v>9444</v>
      </c>
      <c r="B13" s="148">
        <f>AVERAGE(B3:B12)</f>
        <v>0.1</v>
      </c>
      <c r="C13" s="148">
        <f t="shared" ref="C13:U13" si="0">AVERAGE(C3:C12)</f>
        <v>-1.6</v>
      </c>
      <c r="D13" s="148">
        <f t="shared" si="0"/>
        <v>1.2</v>
      </c>
      <c r="E13" s="148">
        <f t="shared" si="0"/>
        <v>-3.9</v>
      </c>
      <c r="F13" s="148">
        <f t="shared" si="0"/>
        <v>0</v>
      </c>
      <c r="G13" s="148">
        <f t="shared" si="0"/>
        <v>7.2</v>
      </c>
      <c r="H13" s="148">
        <f t="shared" si="0"/>
        <v>-2.2999999999999998</v>
      </c>
      <c r="I13" s="148">
        <f t="shared" si="0"/>
        <v>-0.4</v>
      </c>
      <c r="J13" s="148">
        <f t="shared" si="0"/>
        <v>0.1</v>
      </c>
      <c r="K13" s="148">
        <f t="shared" ref="K13" si="1">AVERAGE(K3:K12)</f>
        <v>0.8</v>
      </c>
      <c r="L13" s="148">
        <f t="shared" si="0"/>
        <v>1.6</v>
      </c>
      <c r="M13" s="148">
        <f t="shared" si="0"/>
        <v>0.8</v>
      </c>
      <c r="N13" s="148">
        <f t="shared" si="0"/>
        <v>-8.6</v>
      </c>
      <c r="O13" s="148">
        <f t="shared" si="0"/>
        <v>-0.9</v>
      </c>
      <c r="P13" s="148">
        <f t="shared" si="0"/>
        <v>-41.1</v>
      </c>
      <c r="Q13" s="148">
        <f t="shared" si="0"/>
        <v>2.4</v>
      </c>
      <c r="R13" s="148">
        <f t="shared" si="0"/>
        <v>28.2</v>
      </c>
      <c r="S13" s="148">
        <f t="shared" si="0"/>
        <v>9.6</v>
      </c>
      <c r="T13" s="148">
        <f t="shared" si="0"/>
        <v>10.199999999999999</v>
      </c>
      <c r="U13" s="148">
        <f t="shared" si="0"/>
        <v>20.8</v>
      </c>
    </row>
    <row r="14" spans="1:21" s="16" customFormat="1" ht="45" x14ac:dyDescent="0.25">
      <c r="A14" s="24" t="s">
        <v>9445</v>
      </c>
      <c r="B14" s="148">
        <f>AVERAGE(ABS(B3),ABS(B4),ABS(B5),ABS(B6),ABS(B7),ABS(B8),ABS(B9),ABS(B10),ABS(B11),ABS(B12))</f>
        <v>16.899999999999999</v>
      </c>
      <c r="C14" s="148">
        <f t="shared" ref="C14:U14" si="2">AVERAGE(ABS(C3),ABS(C4),ABS(C5),ABS(C6),ABS(C7),ABS(C8),ABS(C9),ABS(C10),ABS(C11),ABS(C12))</f>
        <v>32.799999999999997</v>
      </c>
      <c r="D14" s="148">
        <f t="shared" si="2"/>
        <v>17.600000000000001</v>
      </c>
      <c r="E14" s="148">
        <f t="shared" si="2"/>
        <v>11.3</v>
      </c>
      <c r="F14" s="148">
        <f t="shared" si="2"/>
        <v>3.2</v>
      </c>
      <c r="G14" s="148">
        <f t="shared" si="2"/>
        <v>8.8000000000000007</v>
      </c>
      <c r="H14" s="148">
        <f t="shared" si="2"/>
        <v>2.9</v>
      </c>
      <c r="I14" s="148">
        <f t="shared" si="2"/>
        <v>3.6</v>
      </c>
      <c r="J14" s="148">
        <f t="shared" si="2"/>
        <v>2.2999999999999998</v>
      </c>
      <c r="K14" s="148">
        <f t="shared" ref="K14" si="3">AVERAGE(ABS(K3),ABS(K4),ABS(K5),ABS(K6),ABS(K7),ABS(K8),ABS(K9),ABS(K10),ABS(K11),ABS(K12))</f>
        <v>3.2</v>
      </c>
      <c r="L14" s="148">
        <f t="shared" si="2"/>
        <v>5</v>
      </c>
      <c r="M14" s="148">
        <f t="shared" si="2"/>
        <v>2.6</v>
      </c>
      <c r="N14" s="148">
        <f t="shared" si="2"/>
        <v>17.8</v>
      </c>
      <c r="O14" s="148">
        <f t="shared" si="2"/>
        <v>63.9</v>
      </c>
      <c r="P14" s="148">
        <f t="shared" si="2"/>
        <v>56.9</v>
      </c>
      <c r="Q14" s="148">
        <f t="shared" si="2"/>
        <v>4.5999999999999996</v>
      </c>
      <c r="R14" s="148">
        <f t="shared" si="2"/>
        <v>30.6</v>
      </c>
      <c r="S14" s="148">
        <f t="shared" si="2"/>
        <v>35.799999999999997</v>
      </c>
      <c r="T14" s="148">
        <f t="shared" si="2"/>
        <v>26.6</v>
      </c>
      <c r="U14" s="148">
        <f t="shared" si="2"/>
        <v>81</v>
      </c>
    </row>
    <row r="15" spans="1:21" x14ac:dyDescent="0.25">
      <c r="A15" s="191"/>
      <c r="B15" s="191"/>
      <c r="C15" s="191"/>
      <c r="D15" s="191"/>
      <c r="E15" s="191"/>
      <c r="F15" s="191"/>
      <c r="G15" s="191"/>
      <c r="H15" s="191"/>
      <c r="I15" s="191"/>
      <c r="J15" s="191"/>
      <c r="K15" s="191"/>
      <c r="L15" s="191"/>
      <c r="M15" s="191"/>
      <c r="N15" s="191"/>
      <c r="O15" s="191"/>
      <c r="P15" s="191"/>
      <c r="Q15" s="191"/>
      <c r="R15" s="191"/>
      <c r="S15" s="191"/>
      <c r="T15" s="191"/>
      <c r="U15" s="191"/>
    </row>
  </sheetData>
  <mergeCells count="2">
    <mergeCell ref="A1:U1"/>
    <mergeCell ref="A15:U15"/>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14B90-21C0-489B-AEDE-09CE0836748D}">
  <dimension ref="A1:AD196"/>
  <sheetViews>
    <sheetView topLeftCell="D163" zoomScale="98" zoomScaleNormal="98" workbookViewId="0">
      <selection activeCell="F196" sqref="F196:G196"/>
    </sheetView>
  </sheetViews>
  <sheetFormatPr defaultColWidth="11.42578125" defaultRowHeight="15" x14ac:dyDescent="0.25"/>
  <cols>
    <col min="2" max="2" width="37.85546875" customWidth="1"/>
    <col min="3" max="3" width="63.7109375" customWidth="1"/>
    <col min="4" max="4" width="12" customWidth="1"/>
    <col min="5" max="5" width="30.28515625" customWidth="1"/>
    <col min="6" max="7" width="21.85546875" customWidth="1"/>
    <col min="8" max="8" width="12" customWidth="1"/>
    <col min="12" max="12" width="12.42578125" customWidth="1"/>
    <col min="13" max="13" width="28.85546875" customWidth="1"/>
    <col min="15" max="15" width="14.42578125" customWidth="1"/>
    <col min="16" max="16" width="15.140625" customWidth="1"/>
    <col min="17" max="17" width="12.42578125" customWidth="1"/>
    <col min="18" max="18" width="26" customWidth="1"/>
    <col min="19" max="20" width="16.140625" customWidth="1"/>
    <col min="22" max="22" width="15.42578125" customWidth="1"/>
    <col min="24" max="24" width="19.42578125" customWidth="1"/>
    <col min="25" max="25" width="15.42578125" customWidth="1"/>
    <col min="27" max="27" width="16" customWidth="1"/>
  </cols>
  <sheetData>
    <row r="1" spans="1:30" ht="30" x14ac:dyDescent="0.25">
      <c r="A1" s="53" t="s">
        <v>0</v>
      </c>
      <c r="B1" s="52" t="s">
        <v>1</v>
      </c>
      <c r="C1" s="52" t="s">
        <v>2</v>
      </c>
      <c r="D1" s="52" t="s">
        <v>3</v>
      </c>
      <c r="E1" s="50" t="s">
        <v>4</v>
      </c>
      <c r="F1" s="52" t="s">
        <v>5</v>
      </c>
      <c r="G1" s="52" t="s">
        <v>6</v>
      </c>
      <c r="H1" s="52" t="s">
        <v>7</v>
      </c>
      <c r="I1" s="52" t="s">
        <v>8</v>
      </c>
      <c r="J1" s="52" t="s">
        <v>9</v>
      </c>
      <c r="K1" s="48" t="s">
        <v>10</v>
      </c>
      <c r="L1" s="48" t="s">
        <v>11</v>
      </c>
      <c r="M1" s="48" t="s">
        <v>12</v>
      </c>
      <c r="N1" s="48" t="s">
        <v>13</v>
      </c>
      <c r="O1" s="48" t="s">
        <v>14</v>
      </c>
      <c r="P1" s="48" t="s">
        <v>15</v>
      </c>
      <c r="Q1" s="48" t="s">
        <v>16</v>
      </c>
      <c r="R1" s="48" t="s">
        <v>17</v>
      </c>
      <c r="S1" s="48" t="s">
        <v>9149</v>
      </c>
      <c r="T1" s="48" t="s">
        <v>9150</v>
      </c>
      <c r="U1" s="48" t="s">
        <v>18</v>
      </c>
      <c r="V1" s="48" t="s">
        <v>19</v>
      </c>
      <c r="W1" s="48" t="s">
        <v>20</v>
      </c>
      <c r="X1" s="48" t="s">
        <v>21</v>
      </c>
      <c r="Y1" s="48" t="s">
        <v>22</v>
      </c>
      <c r="Z1" s="48" t="s">
        <v>23</v>
      </c>
      <c r="AA1" s="48" t="s">
        <v>24</v>
      </c>
      <c r="AB1" s="48" t="s">
        <v>25</v>
      </c>
      <c r="AC1" s="48" t="s">
        <v>201</v>
      </c>
      <c r="AD1" s="51" t="s">
        <v>27</v>
      </c>
    </row>
    <row r="2" spans="1:30" x14ac:dyDescent="0.25">
      <c r="A2" s="54">
        <v>318</v>
      </c>
      <c r="B2" s="14" t="s">
        <v>667</v>
      </c>
      <c r="C2" s="14" t="s">
        <v>668</v>
      </c>
      <c r="D2" s="17">
        <v>44138</v>
      </c>
      <c r="E2" s="14" t="s">
        <v>30</v>
      </c>
      <c r="F2" s="14">
        <v>107</v>
      </c>
      <c r="G2" s="14">
        <v>27</v>
      </c>
      <c r="H2" s="14">
        <v>3</v>
      </c>
      <c r="I2" s="14">
        <v>2</v>
      </c>
      <c r="J2" s="14" t="s">
        <v>31</v>
      </c>
      <c r="K2" s="14" cm="1">
        <f t="array" ref="K2">INT(SUMPRODUCT(--ISNUMBER(SEARCH(economy,'David Perdue'!C2)))&gt;0)</f>
        <v>0</v>
      </c>
      <c r="L2" s="14" cm="1">
        <f t="array" ref="L2">INT(SUMPRODUCT(--ISNUMBER(SEARCH(healthcare,'David Perdue'!C2)))&gt;0)</f>
        <v>0</v>
      </c>
      <c r="M2" s="14" cm="1">
        <f t="array" ref="M2">INT(SUMPRODUCT(--ISNUMBER(SEARCH(supreme,'David Perdue'!C2)))&gt;0)</f>
        <v>0</v>
      </c>
      <c r="N2" s="14" cm="1">
        <f t="array" ref="N2">INT(SUMPRODUCT(--ISNUMBER(SEARCH(covid,'David Perdue'!C2)))&gt;0)</f>
        <v>0</v>
      </c>
      <c r="O2" s="14" cm="1">
        <f t="array" ref="O2">INT(SUMPRODUCT(--ISNUMBER(SEARCH(violent,'David Perdue'!C2)))&gt;0)</f>
        <v>0</v>
      </c>
      <c r="P2" s="14" cm="1">
        <f t="array" ref="P2">INT(SUMPRODUCT(--ISNUMBER(SEARCH(foreign,'David Perdue'!C2)))&gt;0)</f>
        <v>0</v>
      </c>
      <c r="Q2" s="14" cm="1">
        <f t="array" ref="Q2">INT(SUMPRODUCT(--ISNUMBER(SEARCH(gun,'David Perdue'!C2)))&gt;0)</f>
        <v>0</v>
      </c>
      <c r="R2" s="14" cm="1">
        <f t="array" ref="R2">INT(SUMPRODUCT(--ISNUMBER(SEARCH(race,'David Perdue'!C2)))&gt;0)</f>
        <v>0</v>
      </c>
      <c r="S2" s="14" cm="1">
        <f t="array" ref="S2">INT(SUMPRODUCT(--ISNUMBER(SEARCH(immigration,C2)))&gt;0)</f>
        <v>0</v>
      </c>
      <c r="T2" s="14" cm="1">
        <f t="array" ref="T2">INT(SUMPRODUCT(--ISNUMBER(SEARCH(econineq,C2)))&gt;0)</f>
        <v>0</v>
      </c>
      <c r="U2" s="14" cm="1">
        <f t="array" ref="U2">INT(SUMPRODUCT(--ISNUMBER(SEARCH(climate,'David Perdue'!C2)))&gt;0)</f>
        <v>0</v>
      </c>
      <c r="V2" s="14" cm="1">
        <f t="array" ref="V2">INT(SUMPRODUCT(--ISNUMBER(SEARCH(abortion,'David Perdue'!C2)))&gt;0)</f>
        <v>0</v>
      </c>
      <c r="W2" s="14" cm="1">
        <f t="array" ref="W2">INT(SUMPRODUCT(--ISNUMBER(SEARCH(trump,'David Perdue'!C2)))&gt;0)</f>
        <v>0</v>
      </c>
      <c r="X2" s="14" cm="1">
        <f t="array" ref="X2">INT(SUMPRODUCT(--ISNUMBER(SEARCH(voting,'David Perdue'!C2)))&gt;0)</f>
        <v>1</v>
      </c>
      <c r="Y2" s="14" cm="1">
        <f t="array" ref="Y2">INT(SUMPRODUCT(--ISNUMBER(SEARCH(republicantrigger,'David Perdue'!C2)))&gt;0)</f>
        <v>1</v>
      </c>
      <c r="Z2" s="14" cm="1">
        <f t="array" ref="Z2">INT(SUMPRODUCT(--ISNUMBER(SEARCH(bipartisan,'David Perdue'!C2)))&gt;0)</f>
        <v>0</v>
      </c>
      <c r="AA2" s="14">
        <f t="shared" ref="AA2:AA33" si="0">INT(IF(COUNTIF(K2:Z2,1)=0,"1","0"))</f>
        <v>0</v>
      </c>
      <c r="AB2" s="14"/>
      <c r="AC2" s="30">
        <v>0</v>
      </c>
      <c r="AD2" s="37">
        <v>1</v>
      </c>
    </row>
    <row r="3" spans="1:30" x14ac:dyDescent="0.25">
      <c r="A3" s="54">
        <v>319</v>
      </c>
      <c r="B3" s="14" t="s">
        <v>669</v>
      </c>
      <c r="C3" s="14" t="s">
        <v>670</v>
      </c>
      <c r="D3" s="17">
        <v>44138</v>
      </c>
      <c r="E3" s="14" t="s">
        <v>30</v>
      </c>
      <c r="F3" s="14">
        <v>120</v>
      </c>
      <c r="G3" s="14">
        <v>41</v>
      </c>
      <c r="H3" s="14">
        <v>3</v>
      </c>
      <c r="I3" s="14">
        <v>2</v>
      </c>
      <c r="J3" s="14" t="s">
        <v>31</v>
      </c>
      <c r="K3" s="14" cm="1">
        <f t="array" ref="K3">INT(SUMPRODUCT(--ISNUMBER(SEARCH(economy,'David Perdue'!C3)))&gt;0)</f>
        <v>0</v>
      </c>
      <c r="L3" s="14" cm="1">
        <f t="array" ref="L3">INT(SUMPRODUCT(--ISNUMBER(SEARCH(healthcare,'David Perdue'!C3)))&gt;0)</f>
        <v>0</v>
      </c>
      <c r="M3" s="14" cm="1">
        <f t="array" ref="M3">INT(SUMPRODUCT(--ISNUMBER(SEARCH(supreme,'David Perdue'!C3)))&gt;0)</f>
        <v>0</v>
      </c>
      <c r="N3" s="14" cm="1">
        <f t="array" ref="N3">INT(SUMPRODUCT(--ISNUMBER(SEARCH(covid,'David Perdue'!C3)))&gt;0)</f>
        <v>0</v>
      </c>
      <c r="O3" s="14" cm="1">
        <f t="array" ref="O3">INT(SUMPRODUCT(--ISNUMBER(SEARCH(violent,'David Perdue'!C3)))&gt;0)</f>
        <v>0</v>
      </c>
      <c r="P3" s="14" cm="1">
        <f t="array" ref="P3">INT(SUMPRODUCT(--ISNUMBER(SEARCH(foreign,'David Perdue'!C3)))&gt;0)</f>
        <v>0</v>
      </c>
      <c r="Q3" s="14" cm="1">
        <f t="array" ref="Q3">INT(SUMPRODUCT(--ISNUMBER(SEARCH(gun,'David Perdue'!C3)))&gt;0)</f>
        <v>0</v>
      </c>
      <c r="R3" s="14" cm="1">
        <f t="array" ref="R3">INT(SUMPRODUCT(--ISNUMBER(SEARCH(race,'David Perdue'!C3)))&gt;0)</f>
        <v>0</v>
      </c>
      <c r="S3" s="14" cm="1">
        <f t="array" ref="S3">INT(SUMPRODUCT(--ISNUMBER(SEARCH(immigration,C3)))&gt;0)</f>
        <v>0</v>
      </c>
      <c r="T3" s="14" cm="1">
        <f t="array" ref="T3">INT(SUMPRODUCT(--ISNUMBER(SEARCH(econineq,C3)))&gt;0)</f>
        <v>0</v>
      </c>
      <c r="U3" s="14" cm="1">
        <f t="array" ref="U3">INT(SUMPRODUCT(--ISNUMBER(SEARCH(climate,'David Perdue'!C3)))&gt;0)</f>
        <v>0</v>
      </c>
      <c r="V3" s="14" cm="1">
        <f t="array" ref="V3">INT(SUMPRODUCT(--ISNUMBER(SEARCH(abortion,'David Perdue'!C3)))&gt;0)</f>
        <v>0</v>
      </c>
      <c r="W3" s="14" cm="1">
        <f t="array" ref="W3">INT(SUMPRODUCT(--ISNUMBER(SEARCH(trump,'David Perdue'!C3)))&gt;0)</f>
        <v>0</v>
      </c>
      <c r="X3" s="14" cm="1">
        <f t="array" ref="X3">INT(SUMPRODUCT(--ISNUMBER(SEARCH(voting,'David Perdue'!C3)))&gt;0)</f>
        <v>0</v>
      </c>
      <c r="Y3" s="14" cm="1">
        <f t="array" ref="Y3">INT(SUMPRODUCT(--ISNUMBER(SEARCH(republicantrigger,'David Perdue'!C3)))&gt;0)</f>
        <v>1</v>
      </c>
      <c r="Z3" s="14" cm="1">
        <f t="array" ref="Z3">INT(SUMPRODUCT(--ISNUMBER(SEARCH(bipartisan,'David Perdue'!C3)))&gt;0)</f>
        <v>0</v>
      </c>
      <c r="AA3" s="14">
        <f t="shared" si="0"/>
        <v>0</v>
      </c>
      <c r="AB3" s="14"/>
      <c r="AC3" s="30">
        <v>0</v>
      </c>
      <c r="AD3" s="37">
        <v>1</v>
      </c>
    </row>
    <row r="4" spans="1:30" x14ac:dyDescent="0.25">
      <c r="A4" s="54">
        <v>320</v>
      </c>
      <c r="B4" s="14" t="s">
        <v>671</v>
      </c>
      <c r="C4" s="14" t="s">
        <v>672</v>
      </c>
      <c r="D4" s="17">
        <v>44138</v>
      </c>
      <c r="E4" s="14" t="s">
        <v>30</v>
      </c>
      <c r="F4" s="14">
        <v>85</v>
      </c>
      <c r="G4" s="14">
        <v>25</v>
      </c>
      <c r="H4" s="14">
        <v>3</v>
      </c>
      <c r="I4" s="14">
        <v>2</v>
      </c>
      <c r="J4" s="14" t="s">
        <v>31</v>
      </c>
      <c r="K4" s="14" cm="1">
        <f t="array" ref="K4">INT(SUMPRODUCT(--ISNUMBER(SEARCH(economy,'David Perdue'!C4)))&gt;0)</f>
        <v>0</v>
      </c>
      <c r="L4" s="14" cm="1">
        <f t="array" ref="L4">INT(SUMPRODUCT(--ISNUMBER(SEARCH(healthcare,'David Perdue'!C4)))&gt;0)</f>
        <v>0</v>
      </c>
      <c r="M4" s="14" cm="1">
        <f t="array" ref="M4">INT(SUMPRODUCT(--ISNUMBER(SEARCH(supreme,'David Perdue'!C4)))&gt;0)</f>
        <v>0</v>
      </c>
      <c r="N4" s="14" cm="1">
        <f t="array" ref="N4">INT(SUMPRODUCT(--ISNUMBER(SEARCH(covid,'David Perdue'!C4)))&gt;0)</f>
        <v>0</v>
      </c>
      <c r="O4" s="14" cm="1">
        <f t="array" ref="O4">INT(SUMPRODUCT(--ISNUMBER(SEARCH(violent,'David Perdue'!C4)))&gt;0)</f>
        <v>0</v>
      </c>
      <c r="P4" s="14" cm="1">
        <f t="array" ref="P4">INT(SUMPRODUCT(--ISNUMBER(SEARCH(foreign,'David Perdue'!C4)))&gt;0)</f>
        <v>0</v>
      </c>
      <c r="Q4" s="14" cm="1">
        <f t="array" ref="Q4">INT(SUMPRODUCT(--ISNUMBER(SEARCH(gun,'David Perdue'!C4)))&gt;0)</f>
        <v>0</v>
      </c>
      <c r="R4" s="14" cm="1">
        <f t="array" ref="R4">INT(SUMPRODUCT(--ISNUMBER(SEARCH(race,'David Perdue'!C4)))&gt;0)</f>
        <v>0</v>
      </c>
      <c r="S4" s="14" cm="1">
        <f t="array" ref="S4">INT(SUMPRODUCT(--ISNUMBER(SEARCH(immigration,C4)))&gt;0)</f>
        <v>0</v>
      </c>
      <c r="T4" s="14" cm="1">
        <f t="array" ref="T4">INT(SUMPRODUCT(--ISNUMBER(SEARCH(econineq,C4)))&gt;0)</f>
        <v>0</v>
      </c>
      <c r="U4" s="14" cm="1">
        <f t="array" ref="U4">INT(SUMPRODUCT(--ISNUMBER(SEARCH(climate,'David Perdue'!C4)))&gt;0)</f>
        <v>0</v>
      </c>
      <c r="V4" s="14" cm="1">
        <f t="array" ref="V4">INT(SUMPRODUCT(--ISNUMBER(SEARCH(abortion,'David Perdue'!C4)))&gt;0)</f>
        <v>0</v>
      </c>
      <c r="W4" s="14" cm="1">
        <f t="array" ref="W4">INT(SUMPRODUCT(--ISNUMBER(SEARCH(trump,'David Perdue'!C4)))&gt;0)</f>
        <v>0</v>
      </c>
      <c r="X4" s="14" cm="1">
        <f t="array" ref="X4">INT(SUMPRODUCT(--ISNUMBER(SEARCH(voting,'David Perdue'!C4)))&gt;0)</f>
        <v>1</v>
      </c>
      <c r="Y4" s="14" cm="1">
        <f t="array" ref="Y4">INT(SUMPRODUCT(--ISNUMBER(SEARCH(republicantrigger,'David Perdue'!C4)))&gt;0)</f>
        <v>0</v>
      </c>
      <c r="Z4" s="14" cm="1">
        <f t="array" ref="Z4">INT(SUMPRODUCT(--ISNUMBER(SEARCH(bipartisan,'David Perdue'!C4)))&gt;0)</f>
        <v>0</v>
      </c>
      <c r="AA4" s="14">
        <f t="shared" si="0"/>
        <v>0</v>
      </c>
      <c r="AB4" s="14"/>
      <c r="AC4" s="30" t="s">
        <v>223</v>
      </c>
      <c r="AD4" s="37" t="s">
        <v>223</v>
      </c>
    </row>
    <row r="5" spans="1:30" x14ac:dyDescent="0.25">
      <c r="A5" s="54">
        <v>321</v>
      </c>
      <c r="B5" s="14" t="s">
        <v>673</v>
      </c>
      <c r="C5" s="14" t="s">
        <v>674</v>
      </c>
      <c r="D5" s="17">
        <v>44138</v>
      </c>
      <c r="E5" s="14" t="s">
        <v>30</v>
      </c>
      <c r="F5" s="14">
        <v>27990</v>
      </c>
      <c r="G5" s="14">
        <v>6768</v>
      </c>
      <c r="H5" s="14">
        <v>3</v>
      </c>
      <c r="I5" s="14">
        <v>2</v>
      </c>
      <c r="J5" s="14" t="s">
        <v>31</v>
      </c>
      <c r="K5" s="14" cm="1">
        <f t="array" ref="K5">INT(SUMPRODUCT(--ISNUMBER(SEARCH(economy,'David Perdue'!C5)))&gt;0)</f>
        <v>0</v>
      </c>
      <c r="L5" s="14" cm="1">
        <f t="array" ref="L5">INT(SUMPRODUCT(--ISNUMBER(SEARCH(healthcare,'David Perdue'!C5)))&gt;0)</f>
        <v>0</v>
      </c>
      <c r="M5" s="14" cm="1">
        <f t="array" ref="M5">INT(SUMPRODUCT(--ISNUMBER(SEARCH(supreme,'David Perdue'!C5)))&gt;0)</f>
        <v>0</v>
      </c>
      <c r="N5" s="14" cm="1">
        <f t="array" ref="N5">INT(SUMPRODUCT(--ISNUMBER(SEARCH(covid,'David Perdue'!C5)))&gt;0)</f>
        <v>0</v>
      </c>
      <c r="O5" s="14" cm="1">
        <f t="array" ref="O5">INT(SUMPRODUCT(--ISNUMBER(SEARCH(violent,'David Perdue'!C5)))&gt;0)</f>
        <v>0</v>
      </c>
      <c r="P5" s="14" cm="1">
        <f t="array" ref="P5">INT(SUMPRODUCT(--ISNUMBER(SEARCH(foreign,'David Perdue'!C5)))&gt;0)</f>
        <v>0</v>
      </c>
      <c r="Q5" s="14" cm="1">
        <f t="array" ref="Q5">INT(SUMPRODUCT(--ISNUMBER(SEARCH(gun,'David Perdue'!C5)))&gt;0)</f>
        <v>0</v>
      </c>
      <c r="R5" s="14" cm="1">
        <f t="array" ref="R5">INT(SUMPRODUCT(--ISNUMBER(SEARCH(race,'David Perdue'!C5)))&gt;0)</f>
        <v>0</v>
      </c>
      <c r="S5" s="14" cm="1">
        <f t="array" ref="S5">INT(SUMPRODUCT(--ISNUMBER(SEARCH(immigration,C5)))&gt;0)</f>
        <v>0</v>
      </c>
      <c r="T5" s="14" cm="1">
        <f t="array" ref="T5">INT(SUMPRODUCT(--ISNUMBER(SEARCH(econineq,C5)))&gt;0)</f>
        <v>0</v>
      </c>
      <c r="U5" s="14" cm="1">
        <f t="array" ref="U5">INT(SUMPRODUCT(--ISNUMBER(SEARCH(climate,'David Perdue'!C5)))&gt;0)</f>
        <v>0</v>
      </c>
      <c r="V5" s="14" cm="1">
        <f t="array" ref="V5">INT(SUMPRODUCT(--ISNUMBER(SEARCH(abortion,'David Perdue'!C5)))&gt;0)</f>
        <v>0</v>
      </c>
      <c r="W5" s="14" cm="1">
        <f t="array" ref="W5">INT(SUMPRODUCT(--ISNUMBER(SEARCH(trump,'David Perdue'!C5)))&gt;0)</f>
        <v>0</v>
      </c>
      <c r="X5" s="14" cm="1">
        <f t="array" ref="X5">INT(SUMPRODUCT(--ISNUMBER(SEARCH(voting,'David Perdue'!C5)))&gt;0)</f>
        <v>1</v>
      </c>
      <c r="Y5" s="14" cm="1">
        <f t="array" ref="Y5">INT(SUMPRODUCT(--ISNUMBER(SEARCH(republicantrigger,'David Perdue'!C5)))&gt;0)</f>
        <v>1</v>
      </c>
      <c r="Z5" s="14" cm="1">
        <f t="array" ref="Z5">INT(SUMPRODUCT(--ISNUMBER(SEARCH(bipartisan,'David Perdue'!C5)))&gt;0)</f>
        <v>0</v>
      </c>
      <c r="AA5" s="14">
        <f t="shared" si="0"/>
        <v>0</v>
      </c>
      <c r="AB5" s="14"/>
      <c r="AC5" s="30">
        <v>0</v>
      </c>
      <c r="AD5" s="37">
        <v>1</v>
      </c>
    </row>
    <row r="6" spans="1:30" x14ac:dyDescent="0.25">
      <c r="A6" s="54">
        <v>322</v>
      </c>
      <c r="B6" s="14" t="s">
        <v>675</v>
      </c>
      <c r="C6" s="14" t="s">
        <v>676</v>
      </c>
      <c r="D6" s="17">
        <v>44137</v>
      </c>
      <c r="E6" s="14" t="s">
        <v>30</v>
      </c>
      <c r="F6" s="14">
        <v>24</v>
      </c>
      <c r="G6" s="14">
        <v>9</v>
      </c>
      <c r="H6" s="14">
        <v>3</v>
      </c>
      <c r="I6" s="14">
        <v>2</v>
      </c>
      <c r="J6" s="14" t="s">
        <v>31</v>
      </c>
      <c r="K6" s="14" cm="1">
        <f t="array" ref="K6">INT(SUMPRODUCT(--ISNUMBER(SEARCH(economy,'David Perdue'!C6)))&gt;0)</f>
        <v>1</v>
      </c>
      <c r="L6" s="14" cm="1">
        <f t="array" ref="L6">INT(SUMPRODUCT(--ISNUMBER(SEARCH(healthcare,'David Perdue'!C6)))&gt;0)</f>
        <v>0</v>
      </c>
      <c r="M6" s="14" cm="1">
        <f t="array" ref="M6">INT(SUMPRODUCT(--ISNUMBER(SEARCH(supreme,'David Perdue'!C6)))&gt;0)</f>
        <v>0</v>
      </c>
      <c r="N6" s="14" cm="1">
        <f t="array" ref="N6">INT(SUMPRODUCT(--ISNUMBER(SEARCH(covid,'David Perdue'!C6)))&gt;0)</f>
        <v>0</v>
      </c>
      <c r="O6" s="14" cm="1">
        <f t="array" ref="O6">INT(SUMPRODUCT(--ISNUMBER(SEARCH(violent,'David Perdue'!C6)))&gt;0)</f>
        <v>0</v>
      </c>
      <c r="P6" s="14" cm="1">
        <f t="array" ref="P6">INT(SUMPRODUCT(--ISNUMBER(SEARCH(foreign,'David Perdue'!C6)))&gt;0)</f>
        <v>0</v>
      </c>
      <c r="Q6" s="14" cm="1">
        <f t="array" ref="Q6">INT(SUMPRODUCT(--ISNUMBER(SEARCH(gun,'David Perdue'!C6)))&gt;0)</f>
        <v>0</v>
      </c>
      <c r="R6" s="14" cm="1">
        <f t="array" ref="R6">INT(SUMPRODUCT(--ISNUMBER(SEARCH(race,'David Perdue'!C6)))&gt;0)</f>
        <v>0</v>
      </c>
      <c r="S6" s="14" cm="1">
        <f t="array" ref="S6">INT(SUMPRODUCT(--ISNUMBER(SEARCH(immigration,C6)))&gt;0)</f>
        <v>0</v>
      </c>
      <c r="T6" s="14" cm="1">
        <f t="array" ref="T6">INT(SUMPRODUCT(--ISNUMBER(SEARCH(econineq,C6)))&gt;0)</f>
        <v>0</v>
      </c>
      <c r="U6" s="14" cm="1">
        <f t="array" ref="U6">INT(SUMPRODUCT(--ISNUMBER(SEARCH(climate,'David Perdue'!C6)))&gt;0)</f>
        <v>0</v>
      </c>
      <c r="V6" s="14" cm="1">
        <f t="array" ref="V6">INT(SUMPRODUCT(--ISNUMBER(SEARCH(abortion,'David Perdue'!C6)))&gt;0)</f>
        <v>0</v>
      </c>
      <c r="W6" s="14" cm="1">
        <f t="array" ref="W6">INT(SUMPRODUCT(--ISNUMBER(SEARCH(trump,'David Perdue'!C6)))&gt;0)</f>
        <v>0</v>
      </c>
      <c r="X6" s="14" cm="1">
        <f t="array" ref="X6">INT(SUMPRODUCT(--ISNUMBER(SEARCH(voting,'David Perdue'!C6)))&gt;0)</f>
        <v>1</v>
      </c>
      <c r="Y6" s="14" cm="1">
        <f t="array" ref="Y6">INT(SUMPRODUCT(--ISNUMBER(SEARCH(republicantrigger,'David Perdue'!C6)))&gt;0)</f>
        <v>1</v>
      </c>
      <c r="Z6" s="14" cm="1">
        <f t="array" ref="Z6">INT(SUMPRODUCT(--ISNUMBER(SEARCH(bipartisan,'David Perdue'!C6)))&gt;0)</f>
        <v>0</v>
      </c>
      <c r="AA6" s="14">
        <f t="shared" si="0"/>
        <v>0</v>
      </c>
      <c r="AB6" s="14"/>
      <c r="AC6" s="30">
        <v>0</v>
      </c>
      <c r="AD6" s="37">
        <v>1</v>
      </c>
    </row>
    <row r="7" spans="1:30" x14ac:dyDescent="0.25">
      <c r="A7" s="54">
        <v>323</v>
      </c>
      <c r="B7" s="14" t="s">
        <v>677</v>
      </c>
      <c r="C7" s="14" t="s">
        <v>678</v>
      </c>
      <c r="D7" s="17">
        <v>44137</v>
      </c>
      <c r="E7" s="14" t="s">
        <v>30</v>
      </c>
      <c r="F7" s="14">
        <v>28</v>
      </c>
      <c r="G7" s="14">
        <v>9</v>
      </c>
      <c r="H7" s="14">
        <v>3</v>
      </c>
      <c r="I7" s="14">
        <v>2</v>
      </c>
      <c r="J7" s="14" t="s">
        <v>31</v>
      </c>
      <c r="K7" s="14" cm="1">
        <f t="array" ref="K7">INT(SUMPRODUCT(--ISNUMBER(SEARCH(economy,'David Perdue'!C7)))&gt;0)</f>
        <v>0</v>
      </c>
      <c r="L7" s="14" cm="1">
        <f t="array" ref="L7">INT(SUMPRODUCT(--ISNUMBER(SEARCH(healthcare,'David Perdue'!C7)))&gt;0)</f>
        <v>0</v>
      </c>
      <c r="M7" s="14" cm="1">
        <f t="array" ref="M7">INT(SUMPRODUCT(--ISNUMBER(SEARCH(supreme,'David Perdue'!C7)))&gt;0)</f>
        <v>0</v>
      </c>
      <c r="N7" s="14" cm="1">
        <f t="array" ref="N7">INT(SUMPRODUCT(--ISNUMBER(SEARCH(covid,'David Perdue'!C7)))&gt;0)</f>
        <v>0</v>
      </c>
      <c r="O7" s="14" cm="1">
        <f t="array" ref="O7">INT(SUMPRODUCT(--ISNUMBER(SEARCH(violent,'David Perdue'!C7)))&gt;0)</f>
        <v>0</v>
      </c>
      <c r="P7" s="14" cm="1">
        <f t="array" ref="P7">INT(SUMPRODUCT(--ISNUMBER(SEARCH(foreign,'David Perdue'!C7)))&gt;0)</f>
        <v>0</v>
      </c>
      <c r="Q7" s="14" cm="1">
        <f t="array" ref="Q7">INT(SUMPRODUCT(--ISNUMBER(SEARCH(gun,'David Perdue'!C7)))&gt;0)</f>
        <v>0</v>
      </c>
      <c r="R7" s="14" cm="1">
        <f t="array" ref="R7">INT(SUMPRODUCT(--ISNUMBER(SEARCH(race,'David Perdue'!C7)))&gt;0)</f>
        <v>0</v>
      </c>
      <c r="S7" s="14" cm="1">
        <f t="array" ref="S7">INT(SUMPRODUCT(--ISNUMBER(SEARCH(immigration,C7)))&gt;0)</f>
        <v>0</v>
      </c>
      <c r="T7" s="14" cm="1">
        <f t="array" ref="T7">INT(SUMPRODUCT(--ISNUMBER(SEARCH(econineq,C7)))&gt;0)</f>
        <v>0</v>
      </c>
      <c r="U7" s="14" cm="1">
        <f t="array" ref="U7">INT(SUMPRODUCT(--ISNUMBER(SEARCH(climate,'David Perdue'!C7)))&gt;0)</f>
        <v>0</v>
      </c>
      <c r="V7" s="14" cm="1">
        <f t="array" ref="V7">INT(SUMPRODUCT(--ISNUMBER(SEARCH(abortion,'David Perdue'!C7)))&gt;0)</f>
        <v>0</v>
      </c>
      <c r="W7" s="14" cm="1">
        <f t="array" ref="W7">INT(SUMPRODUCT(--ISNUMBER(SEARCH(trump,'David Perdue'!C7)))&gt;0)</f>
        <v>0</v>
      </c>
      <c r="X7" s="14" cm="1">
        <f t="array" ref="X7">INT(SUMPRODUCT(--ISNUMBER(SEARCH(voting,'David Perdue'!C7)))&gt;0)</f>
        <v>1</v>
      </c>
      <c r="Y7" s="14" cm="1">
        <f t="array" ref="Y7">INT(SUMPRODUCT(--ISNUMBER(SEARCH(republicantrigger,'David Perdue'!C7)))&gt;0)</f>
        <v>1</v>
      </c>
      <c r="Z7" s="14" cm="1">
        <f t="array" ref="Z7">INT(SUMPRODUCT(--ISNUMBER(SEARCH(bipartisan,'David Perdue'!C7)))&gt;0)</f>
        <v>0</v>
      </c>
      <c r="AA7" s="14">
        <f t="shared" si="0"/>
        <v>0</v>
      </c>
      <c r="AB7" s="14"/>
      <c r="AC7" s="30">
        <v>0</v>
      </c>
      <c r="AD7" s="37">
        <v>1</v>
      </c>
    </row>
    <row r="8" spans="1:30" x14ac:dyDescent="0.25">
      <c r="A8" s="54">
        <v>324</v>
      </c>
      <c r="B8" s="14" t="s">
        <v>679</v>
      </c>
      <c r="C8" s="14" t="s">
        <v>680</v>
      </c>
      <c r="D8" s="17">
        <v>44137</v>
      </c>
      <c r="E8" s="14" t="s">
        <v>30</v>
      </c>
      <c r="F8" s="14">
        <v>19</v>
      </c>
      <c r="G8" s="14">
        <v>9</v>
      </c>
      <c r="H8" s="14">
        <v>3</v>
      </c>
      <c r="I8" s="14">
        <v>2</v>
      </c>
      <c r="J8" s="14" t="s">
        <v>31</v>
      </c>
      <c r="K8" s="14" cm="1">
        <f t="array" ref="K8">INT(SUMPRODUCT(--ISNUMBER(SEARCH(economy,'David Perdue'!C8)))&gt;0)</f>
        <v>1</v>
      </c>
      <c r="L8" s="14" cm="1">
        <f t="array" ref="L8">INT(SUMPRODUCT(--ISNUMBER(SEARCH(healthcare,'David Perdue'!C8)))&gt;0)</f>
        <v>0</v>
      </c>
      <c r="M8" s="14" cm="1">
        <f t="array" ref="M8">INT(SUMPRODUCT(--ISNUMBER(SEARCH(supreme,'David Perdue'!C8)))&gt;0)</f>
        <v>0</v>
      </c>
      <c r="N8" s="14" cm="1">
        <f t="array" ref="N8">INT(SUMPRODUCT(--ISNUMBER(SEARCH(covid,'David Perdue'!C8)))&gt;0)</f>
        <v>0</v>
      </c>
      <c r="O8" s="14" cm="1">
        <f t="array" ref="O8">INT(SUMPRODUCT(--ISNUMBER(SEARCH(violent,'David Perdue'!C8)))&gt;0)</f>
        <v>0</v>
      </c>
      <c r="P8" s="14" cm="1">
        <f t="array" ref="P8">INT(SUMPRODUCT(--ISNUMBER(SEARCH(foreign,'David Perdue'!C8)))&gt;0)</f>
        <v>0</v>
      </c>
      <c r="Q8" s="14" cm="1">
        <f t="array" ref="Q8">INT(SUMPRODUCT(--ISNUMBER(SEARCH(gun,'David Perdue'!C8)))&gt;0)</f>
        <v>0</v>
      </c>
      <c r="R8" s="14" cm="1">
        <f t="array" ref="R8">INT(SUMPRODUCT(--ISNUMBER(SEARCH(race,'David Perdue'!C8)))&gt;0)</f>
        <v>0</v>
      </c>
      <c r="S8" s="14" cm="1">
        <f t="array" ref="S8">INT(SUMPRODUCT(--ISNUMBER(SEARCH(immigration,C8)))&gt;0)</f>
        <v>0</v>
      </c>
      <c r="T8" s="14" cm="1">
        <f t="array" ref="T8">INT(SUMPRODUCT(--ISNUMBER(SEARCH(econineq,C8)))&gt;0)</f>
        <v>0</v>
      </c>
      <c r="U8" s="14" cm="1">
        <f t="array" ref="U8">INT(SUMPRODUCT(--ISNUMBER(SEARCH(climate,'David Perdue'!C8)))&gt;0)</f>
        <v>0</v>
      </c>
      <c r="V8" s="14" cm="1">
        <f t="array" ref="V8">INT(SUMPRODUCT(--ISNUMBER(SEARCH(abortion,'David Perdue'!C8)))&gt;0)</f>
        <v>0</v>
      </c>
      <c r="W8" s="14" cm="1">
        <f t="array" ref="W8">INT(SUMPRODUCT(--ISNUMBER(SEARCH(trump,'David Perdue'!C8)))&gt;0)</f>
        <v>0</v>
      </c>
      <c r="X8" s="14" cm="1">
        <f t="array" ref="X8">INT(SUMPRODUCT(--ISNUMBER(SEARCH(voting,'David Perdue'!C8)))&gt;0)</f>
        <v>0</v>
      </c>
      <c r="Y8" s="14" cm="1">
        <f t="array" ref="Y8">INT(SUMPRODUCT(--ISNUMBER(SEARCH(republicantrigger,'David Perdue'!C8)))&gt;0)</f>
        <v>1</v>
      </c>
      <c r="Z8" s="14" cm="1">
        <f t="array" ref="Z8">INT(SUMPRODUCT(--ISNUMBER(SEARCH(bipartisan,'David Perdue'!C8)))&gt;0)</f>
        <v>0</v>
      </c>
      <c r="AA8" s="14">
        <f t="shared" si="0"/>
        <v>0</v>
      </c>
      <c r="AB8" s="14"/>
      <c r="AC8" s="30">
        <v>0</v>
      </c>
      <c r="AD8" s="37">
        <v>0</v>
      </c>
    </row>
    <row r="9" spans="1:30" x14ac:dyDescent="0.25">
      <c r="A9" s="54">
        <v>325</v>
      </c>
      <c r="B9" s="14" t="s">
        <v>681</v>
      </c>
      <c r="C9" s="14" t="s">
        <v>682</v>
      </c>
      <c r="D9" s="17">
        <v>44137</v>
      </c>
      <c r="E9" s="14" t="s">
        <v>30</v>
      </c>
      <c r="F9" s="14">
        <v>34</v>
      </c>
      <c r="G9" s="14">
        <v>16</v>
      </c>
      <c r="H9" s="14">
        <v>3</v>
      </c>
      <c r="I9" s="14">
        <v>2</v>
      </c>
      <c r="J9" s="14" t="s">
        <v>31</v>
      </c>
      <c r="K9" s="14" cm="1">
        <f t="array" ref="K9">INT(SUMPRODUCT(--ISNUMBER(SEARCH(economy,'David Perdue'!C9)))&gt;0)</f>
        <v>0</v>
      </c>
      <c r="L9" s="14" cm="1">
        <f t="array" ref="L9">INT(SUMPRODUCT(--ISNUMBER(SEARCH(healthcare,'David Perdue'!C9)))&gt;0)</f>
        <v>1</v>
      </c>
      <c r="M9" s="14" cm="1">
        <f t="array" ref="M9">INT(SUMPRODUCT(--ISNUMBER(SEARCH(supreme,'David Perdue'!C9)))&gt;0)</f>
        <v>0</v>
      </c>
      <c r="N9" s="14" cm="1">
        <f t="array" ref="N9">INT(SUMPRODUCT(--ISNUMBER(SEARCH(covid,'David Perdue'!C9)))&gt;0)</f>
        <v>1</v>
      </c>
      <c r="O9" s="14" cm="1">
        <f t="array" ref="O9">INT(SUMPRODUCT(--ISNUMBER(SEARCH(violent,'David Perdue'!C9)))&gt;0)</f>
        <v>0</v>
      </c>
      <c r="P9" s="14" cm="1">
        <f t="array" ref="P9">INT(SUMPRODUCT(--ISNUMBER(SEARCH(foreign,'David Perdue'!C9)))&gt;0)</f>
        <v>0</v>
      </c>
      <c r="Q9" s="14" cm="1">
        <f t="array" ref="Q9">INT(SUMPRODUCT(--ISNUMBER(SEARCH(gun,'David Perdue'!C9)))&gt;0)</f>
        <v>0</v>
      </c>
      <c r="R9" s="14" cm="1">
        <f t="array" ref="R9">INT(SUMPRODUCT(--ISNUMBER(SEARCH(race,'David Perdue'!C9)))&gt;0)</f>
        <v>0</v>
      </c>
      <c r="S9" s="14" cm="1">
        <f t="array" ref="S9">INT(SUMPRODUCT(--ISNUMBER(SEARCH(immigration,C9)))&gt;0)</f>
        <v>0</v>
      </c>
      <c r="T9" s="14" cm="1">
        <f t="array" ref="T9">INT(SUMPRODUCT(--ISNUMBER(SEARCH(econineq,C9)))&gt;0)</f>
        <v>0</v>
      </c>
      <c r="U9" s="14" cm="1">
        <f t="array" ref="U9">INT(SUMPRODUCT(--ISNUMBER(SEARCH(climate,'David Perdue'!C9)))&gt;0)</f>
        <v>0</v>
      </c>
      <c r="V9" s="14" cm="1">
        <f t="array" ref="V9">INT(SUMPRODUCT(--ISNUMBER(SEARCH(abortion,'David Perdue'!C9)))&gt;0)</f>
        <v>0</v>
      </c>
      <c r="W9" s="14" cm="1">
        <f t="array" ref="W9">INT(SUMPRODUCT(--ISNUMBER(SEARCH(trump,'David Perdue'!C9)))&gt;0)</f>
        <v>0</v>
      </c>
      <c r="X9" s="14" cm="1">
        <f t="array" ref="X9">INT(SUMPRODUCT(--ISNUMBER(SEARCH(voting,'David Perdue'!C9)))&gt;0)</f>
        <v>0</v>
      </c>
      <c r="Y9" s="14" cm="1">
        <f t="array" ref="Y9">INT(SUMPRODUCT(--ISNUMBER(SEARCH(republicantrigger,'David Perdue'!C9)))&gt;0)</f>
        <v>1</v>
      </c>
      <c r="Z9" s="14" cm="1">
        <f t="array" ref="Z9">INT(SUMPRODUCT(--ISNUMBER(SEARCH(bipartisan,'David Perdue'!C9)))&gt;0)</f>
        <v>0</v>
      </c>
      <c r="AA9" s="14">
        <f t="shared" si="0"/>
        <v>0</v>
      </c>
      <c r="AB9" s="14"/>
      <c r="AC9" s="30">
        <v>1</v>
      </c>
      <c r="AD9" s="37">
        <v>0</v>
      </c>
    </row>
    <row r="10" spans="1:30" x14ac:dyDescent="0.25">
      <c r="A10" s="54">
        <v>326</v>
      </c>
      <c r="B10" s="14" t="s">
        <v>683</v>
      </c>
      <c r="C10" s="14" t="s">
        <v>684</v>
      </c>
      <c r="D10" s="17">
        <v>44136</v>
      </c>
      <c r="E10" s="14" t="s">
        <v>30</v>
      </c>
      <c r="F10" s="14">
        <v>40</v>
      </c>
      <c r="G10" s="14">
        <v>12</v>
      </c>
      <c r="H10" s="14">
        <v>3</v>
      </c>
      <c r="I10" s="14">
        <v>2</v>
      </c>
      <c r="J10" s="14" t="s">
        <v>31</v>
      </c>
      <c r="K10" s="14" cm="1">
        <f t="array" ref="K10">INT(SUMPRODUCT(--ISNUMBER(SEARCH(economy,'David Perdue'!C10)))&gt;0)</f>
        <v>1</v>
      </c>
      <c r="L10" s="14" cm="1">
        <f t="array" ref="L10">INT(SUMPRODUCT(--ISNUMBER(SEARCH(healthcare,'David Perdue'!C10)))&gt;0)</f>
        <v>0</v>
      </c>
      <c r="M10" s="14" cm="1">
        <f t="array" ref="M10">INT(SUMPRODUCT(--ISNUMBER(SEARCH(supreme,'David Perdue'!C10)))&gt;0)</f>
        <v>0</v>
      </c>
      <c r="N10" s="14" cm="1">
        <f t="array" ref="N10">INT(SUMPRODUCT(--ISNUMBER(SEARCH(covid,'David Perdue'!C10)))&gt;0)</f>
        <v>1</v>
      </c>
      <c r="O10" s="14" cm="1">
        <f t="array" ref="O10">INT(SUMPRODUCT(--ISNUMBER(SEARCH(violent,'David Perdue'!C10)))&gt;0)</f>
        <v>0</v>
      </c>
      <c r="P10" s="14" cm="1">
        <f t="array" ref="P10">INT(SUMPRODUCT(--ISNUMBER(SEARCH(foreign,'David Perdue'!C10)))&gt;0)</f>
        <v>0</v>
      </c>
      <c r="Q10" s="14" cm="1">
        <f t="array" ref="Q10">INT(SUMPRODUCT(--ISNUMBER(SEARCH(gun,'David Perdue'!C10)))&gt;0)</f>
        <v>0</v>
      </c>
      <c r="R10" s="14" cm="1">
        <f t="array" ref="R10">INT(SUMPRODUCT(--ISNUMBER(SEARCH(race,'David Perdue'!C10)))&gt;0)</f>
        <v>0</v>
      </c>
      <c r="S10" s="14" cm="1">
        <f t="array" ref="S10">INT(SUMPRODUCT(--ISNUMBER(SEARCH(immigration,C10)))&gt;0)</f>
        <v>0</v>
      </c>
      <c r="T10" s="14" cm="1">
        <f t="array" ref="T10">INT(SUMPRODUCT(--ISNUMBER(SEARCH(econineq,C10)))&gt;0)</f>
        <v>0</v>
      </c>
      <c r="U10" s="14" cm="1">
        <f t="array" ref="U10">INT(SUMPRODUCT(--ISNUMBER(SEARCH(climate,'David Perdue'!C10)))&gt;0)</f>
        <v>0</v>
      </c>
      <c r="V10" s="14" cm="1">
        <f t="array" ref="V10">INT(SUMPRODUCT(--ISNUMBER(SEARCH(abortion,'David Perdue'!C10)))&gt;0)</f>
        <v>0</v>
      </c>
      <c r="W10" s="14" cm="1">
        <f t="array" ref="W10">INT(SUMPRODUCT(--ISNUMBER(SEARCH(trump,'David Perdue'!C10)))&gt;0)</f>
        <v>1</v>
      </c>
      <c r="X10" s="14" cm="1">
        <f t="array" ref="X10">INT(SUMPRODUCT(--ISNUMBER(SEARCH(voting,'David Perdue'!C10)))&gt;0)</f>
        <v>0</v>
      </c>
      <c r="Y10" s="14" cm="1">
        <f t="array" ref="Y10">INT(SUMPRODUCT(--ISNUMBER(SEARCH(republicantrigger,'David Perdue'!C10)))&gt;0)</f>
        <v>1</v>
      </c>
      <c r="Z10" s="14" cm="1">
        <f t="array" ref="Z10">INT(SUMPRODUCT(--ISNUMBER(SEARCH(bipartisan,'David Perdue'!C10)))&gt;0)</f>
        <v>0</v>
      </c>
      <c r="AA10" s="14">
        <f t="shared" si="0"/>
        <v>0</v>
      </c>
      <c r="AB10" s="14"/>
      <c r="AC10" s="30">
        <v>1</v>
      </c>
      <c r="AD10" s="37">
        <v>0</v>
      </c>
    </row>
    <row r="11" spans="1:30" x14ac:dyDescent="0.25">
      <c r="A11" s="54">
        <v>327</v>
      </c>
      <c r="B11" s="14" t="s">
        <v>685</v>
      </c>
      <c r="C11" s="14" t="s">
        <v>686</v>
      </c>
      <c r="D11" s="17">
        <v>44136</v>
      </c>
      <c r="E11" s="14" t="s">
        <v>30</v>
      </c>
      <c r="F11" s="14">
        <v>25</v>
      </c>
      <c r="G11" s="14">
        <v>14</v>
      </c>
      <c r="H11" s="14">
        <v>3</v>
      </c>
      <c r="I11" s="14">
        <v>2</v>
      </c>
      <c r="J11" s="14" t="s">
        <v>31</v>
      </c>
      <c r="K11" s="14" cm="1">
        <f t="array" ref="K11">INT(SUMPRODUCT(--ISNUMBER(SEARCH(economy,'David Perdue'!C11)))&gt;0)</f>
        <v>0</v>
      </c>
      <c r="L11" s="14" cm="1">
        <f t="array" ref="L11">INT(SUMPRODUCT(--ISNUMBER(SEARCH(healthcare,'David Perdue'!C11)))&gt;0)</f>
        <v>0</v>
      </c>
      <c r="M11" s="14" cm="1">
        <f t="array" ref="M11">INT(SUMPRODUCT(--ISNUMBER(SEARCH(supreme,'David Perdue'!C11)))&gt;0)</f>
        <v>0</v>
      </c>
      <c r="N11" s="14" cm="1">
        <f t="array" ref="N11">INT(SUMPRODUCT(--ISNUMBER(SEARCH(covid,'David Perdue'!C11)))&gt;0)</f>
        <v>0</v>
      </c>
      <c r="O11" s="14" cm="1">
        <f t="array" ref="O11">INT(SUMPRODUCT(--ISNUMBER(SEARCH(violent,'David Perdue'!C11)))&gt;0)</f>
        <v>0</v>
      </c>
      <c r="P11" s="14" cm="1">
        <f t="array" ref="P11">INT(SUMPRODUCT(--ISNUMBER(SEARCH(foreign,'David Perdue'!C11)))&gt;0)</f>
        <v>1</v>
      </c>
      <c r="Q11" s="14" cm="1">
        <f t="array" ref="Q11">INT(SUMPRODUCT(--ISNUMBER(SEARCH(gun,'David Perdue'!C11)))&gt;0)</f>
        <v>0</v>
      </c>
      <c r="R11" s="14" cm="1">
        <f t="array" ref="R11">INT(SUMPRODUCT(--ISNUMBER(SEARCH(race,'David Perdue'!C11)))&gt;0)</f>
        <v>0</v>
      </c>
      <c r="S11" s="14" cm="1">
        <f t="array" ref="S11">INT(SUMPRODUCT(--ISNUMBER(SEARCH(immigration,C11)))&gt;0)</f>
        <v>0</v>
      </c>
      <c r="T11" s="14" cm="1">
        <f t="array" ref="T11">INT(SUMPRODUCT(--ISNUMBER(SEARCH(econineq,C11)))&gt;0)</f>
        <v>0</v>
      </c>
      <c r="U11" s="14" cm="1">
        <f t="array" ref="U11">INT(SUMPRODUCT(--ISNUMBER(SEARCH(climate,'David Perdue'!C11)))&gt;0)</f>
        <v>0</v>
      </c>
      <c r="V11" s="14" cm="1">
        <f t="array" ref="V11">INT(SUMPRODUCT(--ISNUMBER(SEARCH(abortion,'David Perdue'!C11)))&gt;0)</f>
        <v>0</v>
      </c>
      <c r="W11" s="14" cm="1">
        <f t="array" ref="W11">INT(SUMPRODUCT(--ISNUMBER(SEARCH(trump,'David Perdue'!C11)))&gt;0)</f>
        <v>0</v>
      </c>
      <c r="X11" s="14" cm="1">
        <f t="array" ref="X11">INT(SUMPRODUCT(--ISNUMBER(SEARCH(voting,'David Perdue'!C11)))&gt;0)</f>
        <v>0</v>
      </c>
      <c r="Y11" s="14" cm="1">
        <f t="array" ref="Y11">INT(SUMPRODUCT(--ISNUMBER(SEARCH(republicantrigger,'David Perdue'!C11)))&gt;0)</f>
        <v>1</v>
      </c>
      <c r="Z11" s="14" cm="1">
        <f t="array" ref="Z11">INT(SUMPRODUCT(--ISNUMBER(SEARCH(bipartisan,'David Perdue'!C11)))&gt;0)</f>
        <v>0</v>
      </c>
      <c r="AA11" s="14">
        <f t="shared" si="0"/>
        <v>0</v>
      </c>
      <c r="AB11" s="14"/>
      <c r="AC11" s="30">
        <v>1</v>
      </c>
      <c r="AD11" s="37">
        <v>0</v>
      </c>
    </row>
    <row r="12" spans="1:30" x14ac:dyDescent="0.25">
      <c r="A12" s="54">
        <v>328</v>
      </c>
      <c r="B12" s="14" t="s">
        <v>687</v>
      </c>
      <c r="C12" s="14" t="s">
        <v>688</v>
      </c>
      <c r="D12" s="17">
        <v>44135</v>
      </c>
      <c r="E12" s="14" t="s">
        <v>30</v>
      </c>
      <c r="F12" s="14">
        <v>63</v>
      </c>
      <c r="G12" s="14">
        <v>34</v>
      </c>
      <c r="H12" s="14">
        <v>3</v>
      </c>
      <c r="I12" s="14">
        <v>2</v>
      </c>
      <c r="J12" s="14" t="s">
        <v>31</v>
      </c>
      <c r="K12" s="14" cm="1">
        <f t="array" ref="K12">INT(SUMPRODUCT(--ISNUMBER(SEARCH(economy,'David Perdue'!C12)))&gt;0)</f>
        <v>1</v>
      </c>
      <c r="L12" s="14" cm="1">
        <f t="array" ref="L12">INT(SUMPRODUCT(--ISNUMBER(SEARCH(healthcare,'David Perdue'!C12)))&gt;0)</f>
        <v>0</v>
      </c>
      <c r="M12" s="14" cm="1">
        <f t="array" ref="M12">INT(SUMPRODUCT(--ISNUMBER(SEARCH(supreme,'David Perdue'!C12)))&gt;0)</f>
        <v>0</v>
      </c>
      <c r="N12" s="14" cm="1">
        <f t="array" ref="N12">INT(SUMPRODUCT(--ISNUMBER(SEARCH(covid,'David Perdue'!C12)))&gt;0)</f>
        <v>0</v>
      </c>
      <c r="O12" s="14" cm="1">
        <f t="array" ref="O12">INT(SUMPRODUCT(--ISNUMBER(SEARCH(violent,'David Perdue'!C12)))&gt;0)</f>
        <v>0</v>
      </c>
      <c r="P12" s="14" cm="1">
        <f t="array" ref="P12">INT(SUMPRODUCT(--ISNUMBER(SEARCH(foreign,'David Perdue'!C12)))&gt;0)</f>
        <v>0</v>
      </c>
      <c r="Q12" s="14" cm="1">
        <f t="array" ref="Q12">INT(SUMPRODUCT(--ISNUMBER(SEARCH(gun,'David Perdue'!C12)))&gt;0)</f>
        <v>0</v>
      </c>
      <c r="R12" s="14" cm="1">
        <f t="array" ref="R12">INT(SUMPRODUCT(--ISNUMBER(SEARCH(race,'David Perdue'!C12)))&gt;0)</f>
        <v>0</v>
      </c>
      <c r="S12" s="14" cm="1">
        <f t="array" ref="S12">INT(SUMPRODUCT(--ISNUMBER(SEARCH(immigration,C12)))&gt;0)</f>
        <v>0</v>
      </c>
      <c r="T12" s="14" cm="1">
        <f t="array" ref="T12">INT(SUMPRODUCT(--ISNUMBER(SEARCH(econineq,C12)))&gt;0)</f>
        <v>0</v>
      </c>
      <c r="U12" s="14" cm="1">
        <f t="array" ref="U12">INT(SUMPRODUCT(--ISNUMBER(SEARCH(climate,'David Perdue'!C12)))&gt;0)</f>
        <v>0</v>
      </c>
      <c r="V12" s="14" cm="1">
        <f t="array" ref="V12">INT(SUMPRODUCT(--ISNUMBER(SEARCH(abortion,'David Perdue'!C12)))&gt;0)</f>
        <v>0</v>
      </c>
      <c r="W12" s="14" cm="1">
        <f t="array" ref="W12">INT(SUMPRODUCT(--ISNUMBER(SEARCH(trump,'David Perdue'!C12)))&gt;0)</f>
        <v>0</v>
      </c>
      <c r="X12" s="14" cm="1">
        <f t="array" ref="X12">INT(SUMPRODUCT(--ISNUMBER(SEARCH(voting,'David Perdue'!C12)))&gt;0)</f>
        <v>0</v>
      </c>
      <c r="Y12" s="14" cm="1">
        <f t="array" ref="Y12">INT(SUMPRODUCT(--ISNUMBER(SEARCH(republicantrigger,'David Perdue'!C12)))&gt;0)</f>
        <v>1</v>
      </c>
      <c r="Z12" s="14" cm="1">
        <f t="array" ref="Z12">INT(SUMPRODUCT(--ISNUMBER(SEARCH(bipartisan,'David Perdue'!C12)))&gt;0)</f>
        <v>0</v>
      </c>
      <c r="AA12" s="14">
        <f t="shared" si="0"/>
        <v>0</v>
      </c>
      <c r="AB12" s="14"/>
      <c r="AC12" s="30">
        <v>0</v>
      </c>
      <c r="AD12" s="37">
        <v>1</v>
      </c>
    </row>
    <row r="13" spans="1:30" x14ac:dyDescent="0.25">
      <c r="A13" s="54">
        <v>329</v>
      </c>
      <c r="B13" s="14" t="s">
        <v>689</v>
      </c>
      <c r="C13" s="14" t="s">
        <v>690</v>
      </c>
      <c r="D13" s="17">
        <v>44135</v>
      </c>
      <c r="E13" s="14" t="s">
        <v>30</v>
      </c>
      <c r="F13" s="14">
        <v>14</v>
      </c>
      <c r="G13" s="14">
        <v>14</v>
      </c>
      <c r="H13" s="14">
        <v>3</v>
      </c>
      <c r="I13" s="14">
        <v>2</v>
      </c>
      <c r="J13" s="14" t="s">
        <v>31</v>
      </c>
      <c r="K13" s="14" cm="1">
        <f t="array" ref="K13">INT(SUMPRODUCT(--ISNUMBER(SEARCH(economy,'David Perdue'!C13)))&gt;0)</f>
        <v>1</v>
      </c>
      <c r="L13" s="14" cm="1">
        <f t="array" ref="L13">INT(SUMPRODUCT(--ISNUMBER(SEARCH(healthcare,'David Perdue'!C13)))&gt;0)</f>
        <v>0</v>
      </c>
      <c r="M13" s="14" cm="1">
        <f t="array" ref="M13">INT(SUMPRODUCT(--ISNUMBER(SEARCH(supreme,'David Perdue'!C13)))&gt;0)</f>
        <v>0</v>
      </c>
      <c r="N13" s="14" cm="1">
        <f t="array" ref="N13">INT(SUMPRODUCT(--ISNUMBER(SEARCH(covid,'David Perdue'!C13)))&gt;0)</f>
        <v>0</v>
      </c>
      <c r="O13" s="14" cm="1">
        <f t="array" ref="O13">INT(SUMPRODUCT(--ISNUMBER(SEARCH(violent,'David Perdue'!C13)))&gt;0)</f>
        <v>0</v>
      </c>
      <c r="P13" s="14" cm="1">
        <f t="array" ref="P13">INT(SUMPRODUCT(--ISNUMBER(SEARCH(foreign,'David Perdue'!C13)))&gt;0)</f>
        <v>0</v>
      </c>
      <c r="Q13" s="14" cm="1">
        <f t="array" ref="Q13">INT(SUMPRODUCT(--ISNUMBER(SEARCH(gun,'David Perdue'!C13)))&gt;0)</f>
        <v>0</v>
      </c>
      <c r="R13" s="14" cm="1">
        <f t="array" ref="R13">INT(SUMPRODUCT(--ISNUMBER(SEARCH(race,'David Perdue'!C13)))&gt;0)</f>
        <v>0</v>
      </c>
      <c r="S13" s="14" cm="1">
        <f t="array" ref="S13">INT(SUMPRODUCT(--ISNUMBER(SEARCH(immigration,C13)))&gt;0)</f>
        <v>0</v>
      </c>
      <c r="T13" s="14" cm="1">
        <f t="array" ref="T13">INT(SUMPRODUCT(--ISNUMBER(SEARCH(econineq,C13)))&gt;0)</f>
        <v>0</v>
      </c>
      <c r="U13" s="14" cm="1">
        <f t="array" ref="U13">INT(SUMPRODUCT(--ISNUMBER(SEARCH(climate,'David Perdue'!C13)))&gt;0)</f>
        <v>0</v>
      </c>
      <c r="V13" s="14" cm="1">
        <f t="array" ref="V13">INT(SUMPRODUCT(--ISNUMBER(SEARCH(abortion,'David Perdue'!C13)))&gt;0)</f>
        <v>0</v>
      </c>
      <c r="W13" s="14" cm="1">
        <f t="array" ref="W13">INT(SUMPRODUCT(--ISNUMBER(SEARCH(trump,'David Perdue'!C13)))&gt;0)</f>
        <v>0</v>
      </c>
      <c r="X13" s="14" cm="1">
        <f t="array" ref="X13">INT(SUMPRODUCT(--ISNUMBER(SEARCH(voting,'David Perdue'!C13)))&gt;0)</f>
        <v>0</v>
      </c>
      <c r="Y13" s="14" cm="1">
        <f t="array" ref="Y13">INT(SUMPRODUCT(--ISNUMBER(SEARCH(republicantrigger,'David Perdue'!C13)))&gt;0)</f>
        <v>1</v>
      </c>
      <c r="Z13" s="14" cm="1">
        <f t="array" ref="Z13">INT(SUMPRODUCT(--ISNUMBER(SEARCH(bipartisan,'David Perdue'!C13)))&gt;0)</f>
        <v>0</v>
      </c>
      <c r="AA13" s="14">
        <f t="shared" si="0"/>
        <v>0</v>
      </c>
      <c r="AB13" s="14"/>
      <c r="AC13" s="30">
        <v>0</v>
      </c>
      <c r="AD13" s="37">
        <v>1</v>
      </c>
    </row>
    <row r="14" spans="1:30" x14ac:dyDescent="0.25">
      <c r="A14" s="54">
        <v>330</v>
      </c>
      <c r="B14" s="14" t="s">
        <v>691</v>
      </c>
      <c r="C14" s="14" t="s">
        <v>692</v>
      </c>
      <c r="D14" s="17">
        <v>44135</v>
      </c>
      <c r="E14" s="14" t="s">
        <v>30</v>
      </c>
      <c r="F14" s="14">
        <v>26</v>
      </c>
      <c r="G14" s="14">
        <v>11</v>
      </c>
      <c r="H14" s="14">
        <v>3</v>
      </c>
      <c r="I14" s="14">
        <v>2</v>
      </c>
      <c r="J14" s="14" t="s">
        <v>31</v>
      </c>
      <c r="K14" s="14" cm="1">
        <f t="array" ref="K14">INT(SUMPRODUCT(--ISNUMBER(SEARCH(economy,'David Perdue'!C14)))&gt;0)</f>
        <v>0</v>
      </c>
      <c r="L14" s="14" cm="1">
        <f t="array" ref="L14">INT(SUMPRODUCT(--ISNUMBER(SEARCH(healthcare,'David Perdue'!C14)))&gt;0)</f>
        <v>1</v>
      </c>
      <c r="M14" s="14" cm="1">
        <f t="array" ref="M14">INT(SUMPRODUCT(--ISNUMBER(SEARCH(supreme,'David Perdue'!C14)))&gt;0)</f>
        <v>0</v>
      </c>
      <c r="N14" s="14" cm="1">
        <f t="array" ref="N14">INT(SUMPRODUCT(--ISNUMBER(SEARCH(covid,'David Perdue'!C14)))&gt;0)</f>
        <v>0</v>
      </c>
      <c r="O14" s="14" cm="1">
        <f t="array" ref="O14">INT(SUMPRODUCT(--ISNUMBER(SEARCH(violent,'David Perdue'!C14)))&gt;0)</f>
        <v>0</v>
      </c>
      <c r="P14" s="14" cm="1">
        <f t="array" ref="P14">INT(SUMPRODUCT(--ISNUMBER(SEARCH(foreign,'David Perdue'!C14)))&gt;0)</f>
        <v>0</v>
      </c>
      <c r="Q14" s="14" cm="1">
        <f t="array" ref="Q14">INT(SUMPRODUCT(--ISNUMBER(SEARCH(gun,'David Perdue'!C14)))&gt;0)</f>
        <v>0</v>
      </c>
      <c r="R14" s="14" cm="1">
        <f t="array" ref="R14">INT(SUMPRODUCT(--ISNUMBER(SEARCH(race,'David Perdue'!C14)))&gt;0)</f>
        <v>0</v>
      </c>
      <c r="S14" s="14" cm="1">
        <f t="array" ref="S14">INT(SUMPRODUCT(--ISNUMBER(SEARCH(immigration,C14)))&gt;0)</f>
        <v>0</v>
      </c>
      <c r="T14" s="14" cm="1">
        <f t="array" ref="T14">INT(SUMPRODUCT(--ISNUMBER(SEARCH(econineq,C14)))&gt;0)</f>
        <v>0</v>
      </c>
      <c r="U14" s="14" cm="1">
        <f t="array" ref="U14">INT(SUMPRODUCT(--ISNUMBER(SEARCH(climate,'David Perdue'!C14)))&gt;0)</f>
        <v>0</v>
      </c>
      <c r="V14" s="14" cm="1">
        <f t="array" ref="V14">INT(SUMPRODUCT(--ISNUMBER(SEARCH(abortion,'David Perdue'!C14)))&gt;0)</f>
        <v>0</v>
      </c>
      <c r="W14" s="14" cm="1">
        <f t="array" ref="W14">INT(SUMPRODUCT(--ISNUMBER(SEARCH(trump,'David Perdue'!C14)))&gt;0)</f>
        <v>0</v>
      </c>
      <c r="X14" s="14" cm="1">
        <f t="array" ref="X14">INT(SUMPRODUCT(--ISNUMBER(SEARCH(voting,'David Perdue'!C14)))&gt;0)</f>
        <v>0</v>
      </c>
      <c r="Y14" s="14" cm="1">
        <f t="array" ref="Y14">INT(SUMPRODUCT(--ISNUMBER(SEARCH(republicantrigger,'David Perdue'!C14)))&gt;0)</f>
        <v>1</v>
      </c>
      <c r="Z14" s="14" cm="1">
        <f t="array" ref="Z14">INT(SUMPRODUCT(--ISNUMBER(SEARCH(bipartisan,'David Perdue'!C14)))&gt;0)</f>
        <v>0</v>
      </c>
      <c r="AA14" s="14">
        <f t="shared" si="0"/>
        <v>0</v>
      </c>
      <c r="AB14" s="14"/>
      <c r="AC14" s="30">
        <v>1</v>
      </c>
      <c r="AD14" s="37">
        <v>0</v>
      </c>
    </row>
    <row r="15" spans="1:30" x14ac:dyDescent="0.25">
      <c r="A15" s="54">
        <v>331</v>
      </c>
      <c r="B15" s="14" t="s">
        <v>693</v>
      </c>
      <c r="C15" s="14" t="s">
        <v>694</v>
      </c>
      <c r="D15" s="17">
        <v>44135</v>
      </c>
      <c r="E15" s="14" t="s">
        <v>30</v>
      </c>
      <c r="F15" s="14">
        <v>30</v>
      </c>
      <c r="G15" s="14">
        <v>15</v>
      </c>
      <c r="H15" s="14">
        <v>3</v>
      </c>
      <c r="I15" s="14">
        <v>2</v>
      </c>
      <c r="J15" s="14" t="s">
        <v>31</v>
      </c>
      <c r="K15" s="14" cm="1">
        <f t="array" ref="K15">INT(SUMPRODUCT(--ISNUMBER(SEARCH(economy,'David Perdue'!C15)))&gt;0)</f>
        <v>1</v>
      </c>
      <c r="L15" s="14" cm="1">
        <f t="array" ref="L15">INT(SUMPRODUCT(--ISNUMBER(SEARCH(healthcare,'David Perdue'!C15)))&gt;0)</f>
        <v>0</v>
      </c>
      <c r="M15" s="14" cm="1">
        <f t="array" ref="M15">INT(SUMPRODUCT(--ISNUMBER(SEARCH(supreme,'David Perdue'!C15)))&gt;0)</f>
        <v>0</v>
      </c>
      <c r="N15" s="14" cm="1">
        <f t="array" ref="N15">INT(SUMPRODUCT(--ISNUMBER(SEARCH(covid,'David Perdue'!C15)))&gt;0)</f>
        <v>0</v>
      </c>
      <c r="O15" s="14" cm="1">
        <f t="array" ref="O15">INT(SUMPRODUCT(--ISNUMBER(SEARCH(violent,'David Perdue'!C15)))&gt;0)</f>
        <v>0</v>
      </c>
      <c r="P15" s="14" cm="1">
        <f t="array" ref="P15">INT(SUMPRODUCT(--ISNUMBER(SEARCH(foreign,'David Perdue'!C15)))&gt;0)</f>
        <v>0</v>
      </c>
      <c r="Q15" s="14" cm="1">
        <f t="array" ref="Q15">INT(SUMPRODUCT(--ISNUMBER(SEARCH(gun,'David Perdue'!C15)))&gt;0)</f>
        <v>0</v>
      </c>
      <c r="R15" s="14" cm="1">
        <f t="array" ref="R15">INT(SUMPRODUCT(--ISNUMBER(SEARCH(race,'David Perdue'!C15)))&gt;0)</f>
        <v>0</v>
      </c>
      <c r="S15" s="14" cm="1">
        <f t="array" ref="S15">INT(SUMPRODUCT(--ISNUMBER(SEARCH(immigration,C15)))&gt;0)</f>
        <v>0</v>
      </c>
      <c r="T15" s="14" cm="1">
        <f t="array" ref="T15">INT(SUMPRODUCT(--ISNUMBER(SEARCH(econineq,C15)))&gt;0)</f>
        <v>0</v>
      </c>
      <c r="U15" s="14" cm="1">
        <f t="array" ref="U15">INT(SUMPRODUCT(--ISNUMBER(SEARCH(climate,'David Perdue'!C15)))&gt;0)</f>
        <v>0</v>
      </c>
      <c r="V15" s="14" cm="1">
        <f t="array" ref="V15">INT(SUMPRODUCT(--ISNUMBER(SEARCH(abortion,'David Perdue'!C15)))&gt;0)</f>
        <v>0</v>
      </c>
      <c r="W15" s="14" cm="1">
        <f t="array" ref="W15">INT(SUMPRODUCT(--ISNUMBER(SEARCH(trump,'David Perdue'!C15)))&gt;0)</f>
        <v>0</v>
      </c>
      <c r="X15" s="14" cm="1">
        <f t="array" ref="X15">INT(SUMPRODUCT(--ISNUMBER(SEARCH(voting,'David Perdue'!C15)))&gt;0)</f>
        <v>0</v>
      </c>
      <c r="Y15" s="14" cm="1">
        <f t="array" ref="Y15">INT(SUMPRODUCT(--ISNUMBER(SEARCH(republicantrigger,'David Perdue'!C15)))&gt;0)</f>
        <v>1</v>
      </c>
      <c r="Z15" s="14" cm="1">
        <f t="array" ref="Z15">INT(SUMPRODUCT(--ISNUMBER(SEARCH(bipartisan,'David Perdue'!C15)))&gt;0)</f>
        <v>0</v>
      </c>
      <c r="AA15" s="14">
        <f t="shared" si="0"/>
        <v>0</v>
      </c>
      <c r="AB15" s="14"/>
      <c r="AC15" s="30">
        <v>1</v>
      </c>
      <c r="AD15" s="37">
        <v>0</v>
      </c>
    </row>
    <row r="16" spans="1:30" x14ac:dyDescent="0.25">
      <c r="A16" s="54">
        <v>332</v>
      </c>
      <c r="B16" s="14" t="s">
        <v>695</v>
      </c>
      <c r="C16" s="14" t="s">
        <v>696</v>
      </c>
      <c r="D16" s="17">
        <v>44135</v>
      </c>
      <c r="E16" s="14" t="s">
        <v>30</v>
      </c>
      <c r="F16" s="14">
        <v>1662</v>
      </c>
      <c r="G16" s="14">
        <v>504</v>
      </c>
      <c r="H16" s="14">
        <v>3</v>
      </c>
      <c r="I16" s="14">
        <v>2</v>
      </c>
      <c r="J16" s="14" t="s">
        <v>31</v>
      </c>
      <c r="K16" s="14" cm="1">
        <f t="array" ref="K16">INT(SUMPRODUCT(--ISNUMBER(SEARCH(economy,'David Perdue'!C16)))&gt;0)</f>
        <v>0</v>
      </c>
      <c r="L16" s="14" cm="1">
        <f t="array" ref="L16">INT(SUMPRODUCT(--ISNUMBER(SEARCH(healthcare,'David Perdue'!C16)))&gt;0)</f>
        <v>0</v>
      </c>
      <c r="M16" s="14" cm="1">
        <f t="array" ref="M16">INT(SUMPRODUCT(--ISNUMBER(SEARCH(supreme,'David Perdue'!C16)))&gt;0)</f>
        <v>0</v>
      </c>
      <c r="N16" s="14" cm="1">
        <f t="array" ref="N16">INT(SUMPRODUCT(--ISNUMBER(SEARCH(covid,'David Perdue'!C16)))&gt;0)</f>
        <v>1</v>
      </c>
      <c r="O16" s="14" cm="1">
        <f t="array" ref="O16">INT(SUMPRODUCT(--ISNUMBER(SEARCH(violent,'David Perdue'!C16)))&gt;0)</f>
        <v>0</v>
      </c>
      <c r="P16" s="14" cm="1">
        <f t="array" ref="P16">INT(SUMPRODUCT(--ISNUMBER(SEARCH(foreign,'David Perdue'!C16)))&gt;0)</f>
        <v>0</v>
      </c>
      <c r="Q16" s="14" cm="1">
        <f t="array" ref="Q16">INT(SUMPRODUCT(--ISNUMBER(SEARCH(gun,'David Perdue'!C16)))&gt;0)</f>
        <v>0</v>
      </c>
      <c r="R16" s="14" cm="1">
        <f t="array" ref="R16">INT(SUMPRODUCT(--ISNUMBER(SEARCH(race,'David Perdue'!C16)))&gt;0)</f>
        <v>0</v>
      </c>
      <c r="S16" s="14" cm="1">
        <f t="array" ref="S16">INT(SUMPRODUCT(--ISNUMBER(SEARCH(immigration,C16)))&gt;0)</f>
        <v>0</v>
      </c>
      <c r="T16" s="14" cm="1">
        <f t="array" ref="T16">INT(SUMPRODUCT(--ISNUMBER(SEARCH(econineq,C16)))&gt;0)</f>
        <v>0</v>
      </c>
      <c r="U16" s="14" cm="1">
        <f t="array" ref="U16">INT(SUMPRODUCT(--ISNUMBER(SEARCH(climate,'David Perdue'!C16)))&gt;0)</f>
        <v>0</v>
      </c>
      <c r="V16" s="14" cm="1">
        <f t="array" ref="V16">INT(SUMPRODUCT(--ISNUMBER(SEARCH(abortion,'David Perdue'!C16)))&gt;0)</f>
        <v>0</v>
      </c>
      <c r="W16" s="14" cm="1">
        <f t="array" ref="W16">INT(SUMPRODUCT(--ISNUMBER(SEARCH(trump,'David Perdue'!C16)))&gt;0)</f>
        <v>0</v>
      </c>
      <c r="X16" s="14" cm="1">
        <f t="array" ref="X16">INT(SUMPRODUCT(--ISNUMBER(SEARCH(voting,'David Perdue'!C16)))&gt;0)</f>
        <v>0</v>
      </c>
      <c r="Y16" s="14" cm="1">
        <f t="array" ref="Y16">INT(SUMPRODUCT(--ISNUMBER(SEARCH(republicantrigger,'David Perdue'!C16)))&gt;0)</f>
        <v>1</v>
      </c>
      <c r="Z16" s="14" cm="1">
        <f t="array" ref="Z16">INT(SUMPRODUCT(--ISNUMBER(SEARCH(bipartisan,'David Perdue'!C16)))&gt;0)</f>
        <v>0</v>
      </c>
      <c r="AA16" s="14">
        <f t="shared" si="0"/>
        <v>0</v>
      </c>
      <c r="AB16" s="14"/>
      <c r="AC16" s="30">
        <v>0</v>
      </c>
      <c r="AD16" s="37">
        <v>1</v>
      </c>
    </row>
    <row r="17" spans="1:30" x14ac:dyDescent="0.25">
      <c r="A17" s="54">
        <v>333</v>
      </c>
      <c r="B17" s="14" t="s">
        <v>697</v>
      </c>
      <c r="C17" s="14" t="s">
        <v>698</v>
      </c>
      <c r="D17" s="17">
        <v>44134</v>
      </c>
      <c r="E17" s="14" t="s">
        <v>30</v>
      </c>
      <c r="F17" s="14">
        <v>77</v>
      </c>
      <c r="G17" s="14">
        <v>36</v>
      </c>
      <c r="H17" s="14">
        <v>3</v>
      </c>
      <c r="I17" s="14">
        <v>2</v>
      </c>
      <c r="J17" s="14" t="s">
        <v>31</v>
      </c>
      <c r="K17" s="14" cm="1">
        <f t="array" ref="K17">INT(SUMPRODUCT(--ISNUMBER(SEARCH(economy,'David Perdue'!C17)))&gt;0)</f>
        <v>1</v>
      </c>
      <c r="L17" s="14" cm="1">
        <f t="array" ref="L17">INT(SUMPRODUCT(--ISNUMBER(SEARCH(healthcare,'David Perdue'!C17)))&gt;0)</f>
        <v>0</v>
      </c>
      <c r="M17" s="14" cm="1">
        <f t="array" ref="M17">INT(SUMPRODUCT(--ISNUMBER(SEARCH(supreme,'David Perdue'!C17)))&gt;0)</f>
        <v>0</v>
      </c>
      <c r="N17" s="14" cm="1">
        <f t="array" ref="N17">INT(SUMPRODUCT(--ISNUMBER(SEARCH(covid,'David Perdue'!C17)))&gt;0)</f>
        <v>0</v>
      </c>
      <c r="O17" s="14" cm="1">
        <f t="array" ref="O17">INT(SUMPRODUCT(--ISNUMBER(SEARCH(violent,'David Perdue'!C17)))&gt;0)</f>
        <v>0</v>
      </c>
      <c r="P17" s="14" cm="1">
        <f t="array" ref="P17">INT(SUMPRODUCT(--ISNUMBER(SEARCH(foreign,'David Perdue'!C17)))&gt;0)</f>
        <v>1</v>
      </c>
      <c r="Q17" s="14" cm="1">
        <f t="array" ref="Q17">INT(SUMPRODUCT(--ISNUMBER(SEARCH(gun,'David Perdue'!C17)))&gt;0)</f>
        <v>0</v>
      </c>
      <c r="R17" s="14" cm="1">
        <f t="array" ref="R17">INT(SUMPRODUCT(--ISNUMBER(SEARCH(race,'David Perdue'!C17)))&gt;0)</f>
        <v>0</v>
      </c>
      <c r="S17" s="14" cm="1">
        <f t="array" ref="S17">INT(SUMPRODUCT(--ISNUMBER(SEARCH(immigration,C17)))&gt;0)</f>
        <v>0</v>
      </c>
      <c r="T17" s="14" cm="1">
        <f t="array" ref="T17">INT(SUMPRODUCT(--ISNUMBER(SEARCH(econineq,C17)))&gt;0)</f>
        <v>0</v>
      </c>
      <c r="U17" s="14" cm="1">
        <f t="array" ref="U17">INT(SUMPRODUCT(--ISNUMBER(SEARCH(climate,'David Perdue'!C17)))&gt;0)</f>
        <v>0</v>
      </c>
      <c r="V17" s="14" cm="1">
        <f t="array" ref="V17">INT(SUMPRODUCT(--ISNUMBER(SEARCH(abortion,'David Perdue'!C17)))&gt;0)</f>
        <v>0</v>
      </c>
      <c r="W17" s="14" cm="1">
        <f t="array" ref="W17">INT(SUMPRODUCT(--ISNUMBER(SEARCH(trump,'David Perdue'!C17)))&gt;0)</f>
        <v>0</v>
      </c>
      <c r="X17" s="14" cm="1">
        <f t="array" ref="X17">INT(SUMPRODUCT(--ISNUMBER(SEARCH(voting,'David Perdue'!C17)))&gt;0)</f>
        <v>0</v>
      </c>
      <c r="Y17" s="14" cm="1">
        <f t="array" ref="Y17">INT(SUMPRODUCT(--ISNUMBER(SEARCH(republicantrigger,'David Perdue'!C17)))&gt;0)</f>
        <v>1</v>
      </c>
      <c r="Z17" s="14" cm="1">
        <f t="array" ref="Z17">INT(SUMPRODUCT(--ISNUMBER(SEARCH(bipartisan,'David Perdue'!C17)))&gt;0)</f>
        <v>0</v>
      </c>
      <c r="AA17" s="14">
        <f t="shared" si="0"/>
        <v>0</v>
      </c>
      <c r="AB17" s="14"/>
      <c r="AC17" s="30">
        <v>0</v>
      </c>
      <c r="AD17" s="37">
        <v>1</v>
      </c>
    </row>
    <row r="18" spans="1:30" x14ac:dyDescent="0.25">
      <c r="A18" s="54">
        <v>334</v>
      </c>
      <c r="B18" s="14" t="s">
        <v>699</v>
      </c>
      <c r="C18" s="14" t="s">
        <v>700</v>
      </c>
      <c r="D18" s="17">
        <v>44134</v>
      </c>
      <c r="E18" s="14" t="s">
        <v>30</v>
      </c>
      <c r="F18" s="14">
        <v>69</v>
      </c>
      <c r="G18" s="14">
        <v>24</v>
      </c>
      <c r="H18" s="14">
        <v>3</v>
      </c>
      <c r="I18" s="14">
        <v>2</v>
      </c>
      <c r="J18" s="14" t="s">
        <v>31</v>
      </c>
      <c r="K18" s="14" cm="1">
        <f t="array" ref="K18">INT(SUMPRODUCT(--ISNUMBER(SEARCH(economy,'David Perdue'!C18)))&gt;0)</f>
        <v>1</v>
      </c>
      <c r="L18" s="14" cm="1">
        <f t="array" ref="L18">INT(SUMPRODUCT(--ISNUMBER(SEARCH(healthcare,'David Perdue'!C18)))&gt;0)</f>
        <v>0</v>
      </c>
      <c r="M18" s="14" cm="1">
        <f t="array" ref="M18">INT(SUMPRODUCT(--ISNUMBER(SEARCH(supreme,'David Perdue'!C18)))&gt;0)</f>
        <v>0</v>
      </c>
      <c r="N18" s="14" cm="1">
        <f t="array" ref="N18">INT(SUMPRODUCT(--ISNUMBER(SEARCH(covid,'David Perdue'!C18)))&gt;0)</f>
        <v>0</v>
      </c>
      <c r="O18" s="14" cm="1">
        <f t="array" ref="O18">INT(SUMPRODUCT(--ISNUMBER(SEARCH(violent,'David Perdue'!C18)))&gt;0)</f>
        <v>0</v>
      </c>
      <c r="P18" s="14" cm="1">
        <f t="array" ref="P18">INT(SUMPRODUCT(--ISNUMBER(SEARCH(foreign,'David Perdue'!C18)))&gt;0)</f>
        <v>0</v>
      </c>
      <c r="Q18" s="14" cm="1">
        <f t="array" ref="Q18">INT(SUMPRODUCT(--ISNUMBER(SEARCH(gun,'David Perdue'!C18)))&gt;0)</f>
        <v>0</v>
      </c>
      <c r="R18" s="14" cm="1">
        <f t="array" ref="R18">INT(SUMPRODUCT(--ISNUMBER(SEARCH(race,'David Perdue'!C18)))&gt;0)</f>
        <v>0</v>
      </c>
      <c r="S18" s="14" cm="1">
        <f t="array" ref="S18">INT(SUMPRODUCT(--ISNUMBER(SEARCH(immigration,C18)))&gt;0)</f>
        <v>0</v>
      </c>
      <c r="T18" s="14" cm="1">
        <f t="array" ref="T18">INT(SUMPRODUCT(--ISNUMBER(SEARCH(econineq,C18)))&gt;0)</f>
        <v>0</v>
      </c>
      <c r="U18" s="14" cm="1">
        <f t="array" ref="U18">INT(SUMPRODUCT(--ISNUMBER(SEARCH(climate,'David Perdue'!C18)))&gt;0)</f>
        <v>0</v>
      </c>
      <c r="V18" s="14" cm="1">
        <f t="array" ref="V18">INT(SUMPRODUCT(--ISNUMBER(SEARCH(abortion,'David Perdue'!C18)))&gt;0)</f>
        <v>0</v>
      </c>
      <c r="W18" s="14" cm="1">
        <f t="array" ref="W18">INT(SUMPRODUCT(--ISNUMBER(SEARCH(trump,'David Perdue'!C18)))&gt;0)</f>
        <v>0</v>
      </c>
      <c r="X18" s="14" cm="1">
        <f t="array" ref="X18">INT(SUMPRODUCT(--ISNUMBER(SEARCH(voting,'David Perdue'!C18)))&gt;0)</f>
        <v>0</v>
      </c>
      <c r="Y18" s="14" cm="1">
        <f t="array" ref="Y18">INT(SUMPRODUCT(--ISNUMBER(SEARCH(republicantrigger,'David Perdue'!C18)))&gt;0)</f>
        <v>1</v>
      </c>
      <c r="Z18" s="14" cm="1">
        <f t="array" ref="Z18">INT(SUMPRODUCT(--ISNUMBER(SEARCH(bipartisan,'David Perdue'!C18)))&gt;0)</f>
        <v>0</v>
      </c>
      <c r="AA18" s="14">
        <f t="shared" si="0"/>
        <v>0</v>
      </c>
      <c r="AB18" s="14"/>
      <c r="AC18" s="30">
        <v>1</v>
      </c>
      <c r="AD18" s="37">
        <v>0</v>
      </c>
    </row>
    <row r="19" spans="1:30" x14ac:dyDescent="0.25">
      <c r="A19" s="54">
        <v>335</v>
      </c>
      <c r="B19" s="14" t="s">
        <v>701</v>
      </c>
      <c r="C19" s="14" t="s">
        <v>702</v>
      </c>
      <c r="D19" s="17">
        <v>44133</v>
      </c>
      <c r="E19" s="14" t="s">
        <v>30</v>
      </c>
      <c r="F19" s="14">
        <v>55</v>
      </c>
      <c r="G19" s="14">
        <v>10</v>
      </c>
      <c r="H19" s="14">
        <v>3</v>
      </c>
      <c r="I19" s="14">
        <v>2</v>
      </c>
      <c r="J19" s="14" t="s">
        <v>31</v>
      </c>
      <c r="K19" s="14" cm="1">
        <f t="array" ref="K19">INT(SUMPRODUCT(--ISNUMBER(SEARCH(economy,'David Perdue'!C19)))&gt;0)</f>
        <v>0</v>
      </c>
      <c r="L19" s="14" cm="1">
        <f t="array" ref="L19">INT(SUMPRODUCT(--ISNUMBER(SEARCH(healthcare,'David Perdue'!C19)))&gt;0)</f>
        <v>0</v>
      </c>
      <c r="M19" s="14" cm="1">
        <f t="array" ref="M19">INT(SUMPRODUCT(--ISNUMBER(SEARCH(supreme,'David Perdue'!C19)))&gt;0)</f>
        <v>0</v>
      </c>
      <c r="N19" s="14" cm="1">
        <f t="array" ref="N19">INT(SUMPRODUCT(--ISNUMBER(SEARCH(covid,'David Perdue'!C19)))&gt;0)</f>
        <v>0</v>
      </c>
      <c r="O19" s="14" cm="1">
        <f t="array" ref="O19">INT(SUMPRODUCT(--ISNUMBER(SEARCH(violent,'David Perdue'!C19)))&gt;0)</f>
        <v>0</v>
      </c>
      <c r="P19" s="14" cm="1">
        <f t="array" ref="P19">INT(SUMPRODUCT(--ISNUMBER(SEARCH(foreign,'David Perdue'!C19)))&gt;0)</f>
        <v>0</v>
      </c>
      <c r="Q19" s="14" cm="1">
        <f t="array" ref="Q19">INT(SUMPRODUCT(--ISNUMBER(SEARCH(gun,'David Perdue'!C19)))&gt;0)</f>
        <v>0</v>
      </c>
      <c r="R19" s="14" cm="1">
        <f t="array" ref="R19">INT(SUMPRODUCT(--ISNUMBER(SEARCH(race,'David Perdue'!C19)))&gt;0)</f>
        <v>0</v>
      </c>
      <c r="S19" s="14" cm="1">
        <f t="array" ref="S19">INT(SUMPRODUCT(--ISNUMBER(SEARCH(immigration,C19)))&gt;0)</f>
        <v>0</v>
      </c>
      <c r="T19" s="14" cm="1">
        <f t="array" ref="T19">INT(SUMPRODUCT(--ISNUMBER(SEARCH(econineq,C19)))&gt;0)</f>
        <v>0</v>
      </c>
      <c r="U19" s="14" cm="1">
        <f t="array" ref="U19">INT(SUMPRODUCT(--ISNUMBER(SEARCH(climate,'David Perdue'!C19)))&gt;0)</f>
        <v>0</v>
      </c>
      <c r="V19" s="14" cm="1">
        <f t="array" ref="V19">INT(SUMPRODUCT(--ISNUMBER(SEARCH(abortion,'David Perdue'!C19)))&gt;0)</f>
        <v>0</v>
      </c>
      <c r="W19" s="14" cm="1">
        <f t="array" ref="W19">INT(SUMPRODUCT(--ISNUMBER(SEARCH(trump,'David Perdue'!C19)))&gt;0)</f>
        <v>0</v>
      </c>
      <c r="X19" s="14" cm="1">
        <f t="array" ref="X19">INT(SUMPRODUCT(--ISNUMBER(SEARCH(voting,'David Perdue'!C19)))&gt;0)</f>
        <v>0</v>
      </c>
      <c r="Y19" s="14" cm="1">
        <f t="array" ref="Y19">INT(SUMPRODUCT(--ISNUMBER(SEARCH(republicantrigger,'David Perdue'!C19)))&gt;0)</f>
        <v>0</v>
      </c>
      <c r="Z19" s="14" cm="1">
        <f t="array" ref="Z19">INT(SUMPRODUCT(--ISNUMBER(SEARCH(bipartisan,'David Perdue'!C19)))&gt;0)</f>
        <v>0</v>
      </c>
      <c r="AA19" s="14">
        <f t="shared" si="0"/>
        <v>1</v>
      </c>
      <c r="AB19" s="14"/>
      <c r="AC19" s="30">
        <v>1</v>
      </c>
      <c r="AD19" s="37">
        <v>0</v>
      </c>
    </row>
    <row r="20" spans="1:30" x14ac:dyDescent="0.25">
      <c r="A20" s="54">
        <v>336</v>
      </c>
      <c r="B20" s="14" t="s">
        <v>703</v>
      </c>
      <c r="C20" s="14" t="s">
        <v>704</v>
      </c>
      <c r="D20" s="17">
        <v>44133</v>
      </c>
      <c r="E20" s="14" t="s">
        <v>30</v>
      </c>
      <c r="F20" s="14">
        <v>38</v>
      </c>
      <c r="G20" s="14">
        <v>13</v>
      </c>
      <c r="H20" s="14">
        <v>3</v>
      </c>
      <c r="I20" s="14">
        <v>2</v>
      </c>
      <c r="J20" s="14" t="s">
        <v>31</v>
      </c>
      <c r="K20" s="14" cm="1">
        <f t="array" ref="K20">INT(SUMPRODUCT(--ISNUMBER(SEARCH(economy,'David Perdue'!C20)))&gt;0)</f>
        <v>0</v>
      </c>
      <c r="L20" s="14" cm="1">
        <f t="array" ref="L20">INT(SUMPRODUCT(--ISNUMBER(SEARCH(healthcare,'David Perdue'!C20)))&gt;0)</f>
        <v>0</v>
      </c>
      <c r="M20" s="14" cm="1">
        <f t="array" ref="M20">INT(SUMPRODUCT(--ISNUMBER(SEARCH(supreme,'David Perdue'!C20)))&gt;0)</f>
        <v>0</v>
      </c>
      <c r="N20" s="14" cm="1">
        <f t="array" ref="N20">INT(SUMPRODUCT(--ISNUMBER(SEARCH(covid,'David Perdue'!C20)))&gt;0)</f>
        <v>0</v>
      </c>
      <c r="O20" s="14" cm="1">
        <f t="array" ref="O20">INT(SUMPRODUCT(--ISNUMBER(SEARCH(violent,'David Perdue'!C20)))&gt;0)</f>
        <v>0</v>
      </c>
      <c r="P20" s="14" cm="1">
        <f t="array" ref="P20">INT(SUMPRODUCT(--ISNUMBER(SEARCH(foreign,'David Perdue'!C20)))&gt;0)</f>
        <v>0</v>
      </c>
      <c r="Q20" s="14" cm="1">
        <f t="array" ref="Q20">INT(SUMPRODUCT(--ISNUMBER(SEARCH(gun,'David Perdue'!C20)))&gt;0)</f>
        <v>0</v>
      </c>
      <c r="R20" s="14" cm="1">
        <f t="array" ref="R20">INT(SUMPRODUCT(--ISNUMBER(SEARCH(race,'David Perdue'!C20)))&gt;0)</f>
        <v>0</v>
      </c>
      <c r="S20" s="14" cm="1">
        <f t="array" ref="S20">INT(SUMPRODUCT(--ISNUMBER(SEARCH(immigration,C20)))&gt;0)</f>
        <v>0</v>
      </c>
      <c r="T20" s="14" cm="1">
        <f t="array" ref="T20">INT(SUMPRODUCT(--ISNUMBER(SEARCH(econineq,C20)))&gt;0)</f>
        <v>0</v>
      </c>
      <c r="U20" s="14" cm="1">
        <f t="array" ref="U20">INT(SUMPRODUCT(--ISNUMBER(SEARCH(climate,'David Perdue'!C20)))&gt;0)</f>
        <v>0</v>
      </c>
      <c r="V20" s="14" cm="1">
        <f t="array" ref="V20">INT(SUMPRODUCT(--ISNUMBER(SEARCH(abortion,'David Perdue'!C20)))&gt;0)</f>
        <v>0</v>
      </c>
      <c r="W20" s="14" cm="1">
        <f t="array" ref="W20">INT(SUMPRODUCT(--ISNUMBER(SEARCH(trump,'David Perdue'!C20)))&gt;0)</f>
        <v>0</v>
      </c>
      <c r="X20" s="14" cm="1">
        <f t="array" ref="X20">INT(SUMPRODUCT(--ISNUMBER(SEARCH(voting,'David Perdue'!C20)))&gt;0)</f>
        <v>1</v>
      </c>
      <c r="Y20" s="14" cm="1">
        <f t="array" ref="Y20">INT(SUMPRODUCT(--ISNUMBER(SEARCH(republicantrigger,'David Perdue'!C20)))&gt;0)</f>
        <v>0</v>
      </c>
      <c r="Z20" s="14" cm="1">
        <f t="array" ref="Z20">INT(SUMPRODUCT(--ISNUMBER(SEARCH(bipartisan,'David Perdue'!C20)))&gt;0)</f>
        <v>0</v>
      </c>
      <c r="AA20" s="14">
        <f t="shared" si="0"/>
        <v>0</v>
      </c>
      <c r="AB20" s="14"/>
      <c r="AC20" s="30">
        <v>0</v>
      </c>
      <c r="AD20" s="37">
        <v>1</v>
      </c>
    </row>
    <row r="21" spans="1:30" x14ac:dyDescent="0.25">
      <c r="A21" s="54">
        <v>337</v>
      </c>
      <c r="B21" s="14" t="s">
        <v>705</v>
      </c>
      <c r="C21" s="14" t="s">
        <v>706</v>
      </c>
      <c r="D21" s="17">
        <v>44133</v>
      </c>
      <c r="E21" s="14" t="s">
        <v>70</v>
      </c>
      <c r="F21" s="14">
        <v>18</v>
      </c>
      <c r="G21" s="14">
        <v>7</v>
      </c>
      <c r="H21" s="14">
        <v>3</v>
      </c>
      <c r="I21" s="14">
        <v>2</v>
      </c>
      <c r="J21" s="14" t="s">
        <v>31</v>
      </c>
      <c r="K21" s="14" cm="1">
        <f t="array" ref="K21">INT(SUMPRODUCT(--ISNUMBER(SEARCH(economy,'David Perdue'!C21)))&gt;0)</f>
        <v>0</v>
      </c>
      <c r="L21" s="14" cm="1">
        <f t="array" ref="L21">INT(SUMPRODUCT(--ISNUMBER(SEARCH(healthcare,'David Perdue'!C21)))&gt;0)</f>
        <v>0</v>
      </c>
      <c r="M21" s="14" cm="1">
        <f t="array" ref="M21">INT(SUMPRODUCT(--ISNUMBER(SEARCH(supreme,'David Perdue'!C21)))&gt;0)</f>
        <v>0</v>
      </c>
      <c r="N21" s="14" cm="1">
        <f t="array" ref="N21">INT(SUMPRODUCT(--ISNUMBER(SEARCH(covid,'David Perdue'!C21)))&gt;0)</f>
        <v>0</v>
      </c>
      <c r="O21" s="14" cm="1">
        <f t="array" ref="O21">INT(SUMPRODUCT(--ISNUMBER(SEARCH(violent,'David Perdue'!C21)))&gt;0)</f>
        <v>0</v>
      </c>
      <c r="P21" s="14" cm="1">
        <f t="array" ref="P21">INT(SUMPRODUCT(--ISNUMBER(SEARCH(foreign,'David Perdue'!C21)))&gt;0)</f>
        <v>0</v>
      </c>
      <c r="Q21" s="14" cm="1">
        <f t="array" ref="Q21">INT(SUMPRODUCT(--ISNUMBER(SEARCH(gun,'David Perdue'!C21)))&gt;0)</f>
        <v>0</v>
      </c>
      <c r="R21" s="14" cm="1">
        <f t="array" ref="R21">INT(SUMPRODUCT(--ISNUMBER(SEARCH(race,'David Perdue'!C21)))&gt;0)</f>
        <v>0</v>
      </c>
      <c r="S21" s="14" cm="1">
        <f t="array" ref="S21">INT(SUMPRODUCT(--ISNUMBER(SEARCH(immigration,C21)))&gt;0)</f>
        <v>0</v>
      </c>
      <c r="T21" s="14" cm="1">
        <f t="array" ref="T21">INT(SUMPRODUCT(--ISNUMBER(SEARCH(econineq,C21)))&gt;0)</f>
        <v>0</v>
      </c>
      <c r="U21" s="14" cm="1">
        <f t="array" ref="U21">INT(SUMPRODUCT(--ISNUMBER(SEARCH(climate,'David Perdue'!C21)))&gt;0)</f>
        <v>0</v>
      </c>
      <c r="V21" s="14" cm="1">
        <f t="array" ref="V21">INT(SUMPRODUCT(--ISNUMBER(SEARCH(abortion,'David Perdue'!C21)))&gt;0)</f>
        <v>0</v>
      </c>
      <c r="W21" s="14" cm="1">
        <f t="array" ref="W21">INT(SUMPRODUCT(--ISNUMBER(SEARCH(trump,'David Perdue'!C21)))&gt;0)</f>
        <v>0</v>
      </c>
      <c r="X21" s="14" cm="1">
        <f t="array" ref="X21">INT(SUMPRODUCT(--ISNUMBER(SEARCH(voting,'David Perdue'!C21)))&gt;0)</f>
        <v>1</v>
      </c>
      <c r="Y21" s="14" cm="1">
        <f t="array" ref="Y21">INT(SUMPRODUCT(--ISNUMBER(SEARCH(republicantrigger,'David Perdue'!C21)))&gt;0)</f>
        <v>0</v>
      </c>
      <c r="Z21" s="14" cm="1">
        <f t="array" ref="Z21">INT(SUMPRODUCT(--ISNUMBER(SEARCH(bipartisan,'David Perdue'!C21)))&gt;0)</f>
        <v>0</v>
      </c>
      <c r="AA21" s="14">
        <f t="shared" si="0"/>
        <v>0</v>
      </c>
      <c r="AB21" s="14"/>
      <c r="AC21" s="30">
        <v>1</v>
      </c>
      <c r="AD21" s="37">
        <v>0</v>
      </c>
    </row>
    <row r="22" spans="1:30" x14ac:dyDescent="0.25">
      <c r="A22" s="54">
        <v>338</v>
      </c>
      <c r="B22" s="14" t="s">
        <v>707</v>
      </c>
      <c r="C22" s="14" t="s">
        <v>708</v>
      </c>
      <c r="D22" s="17">
        <v>44133</v>
      </c>
      <c r="E22" s="14" t="s">
        <v>70</v>
      </c>
      <c r="F22" s="14">
        <v>6</v>
      </c>
      <c r="G22" s="14">
        <v>2</v>
      </c>
      <c r="H22" s="14">
        <v>3</v>
      </c>
      <c r="I22" s="14">
        <v>2</v>
      </c>
      <c r="J22" s="14" t="s">
        <v>31</v>
      </c>
      <c r="K22" s="14" cm="1">
        <f t="array" ref="K22">INT(SUMPRODUCT(--ISNUMBER(SEARCH(economy,'David Perdue'!C22)))&gt;0)</f>
        <v>0</v>
      </c>
      <c r="L22" s="14" cm="1">
        <f t="array" ref="L22">INT(SUMPRODUCT(--ISNUMBER(SEARCH(healthcare,'David Perdue'!C22)))&gt;0)</f>
        <v>0</v>
      </c>
      <c r="M22" s="14" cm="1">
        <f t="array" ref="M22">INT(SUMPRODUCT(--ISNUMBER(SEARCH(supreme,'David Perdue'!C22)))&gt;0)</f>
        <v>0</v>
      </c>
      <c r="N22" s="14" cm="1">
        <f t="array" ref="N22">INT(SUMPRODUCT(--ISNUMBER(SEARCH(covid,'David Perdue'!C22)))&gt;0)</f>
        <v>0</v>
      </c>
      <c r="O22" s="14" cm="1">
        <f t="array" ref="O22">INT(SUMPRODUCT(--ISNUMBER(SEARCH(violent,'David Perdue'!C22)))&gt;0)</f>
        <v>0</v>
      </c>
      <c r="P22" s="14" cm="1">
        <f t="array" ref="P22">INT(SUMPRODUCT(--ISNUMBER(SEARCH(foreign,'David Perdue'!C22)))&gt;0)</f>
        <v>0</v>
      </c>
      <c r="Q22" s="14" cm="1">
        <f t="array" ref="Q22">INT(SUMPRODUCT(--ISNUMBER(SEARCH(gun,'David Perdue'!C22)))&gt;0)</f>
        <v>0</v>
      </c>
      <c r="R22" s="14" cm="1">
        <f t="array" ref="R22">INT(SUMPRODUCT(--ISNUMBER(SEARCH(race,'David Perdue'!C22)))&gt;0)</f>
        <v>0</v>
      </c>
      <c r="S22" s="14" cm="1">
        <f t="array" ref="S22">INT(SUMPRODUCT(--ISNUMBER(SEARCH(immigration,C22)))&gt;0)</f>
        <v>0</v>
      </c>
      <c r="T22" s="14" cm="1">
        <f t="array" ref="T22">INT(SUMPRODUCT(--ISNUMBER(SEARCH(econineq,C22)))&gt;0)</f>
        <v>0</v>
      </c>
      <c r="U22" s="14" cm="1">
        <f t="array" ref="U22">INT(SUMPRODUCT(--ISNUMBER(SEARCH(climate,'David Perdue'!C22)))&gt;0)</f>
        <v>0</v>
      </c>
      <c r="V22" s="14" cm="1">
        <f t="array" ref="V22">INT(SUMPRODUCT(--ISNUMBER(SEARCH(abortion,'David Perdue'!C22)))&gt;0)</f>
        <v>0</v>
      </c>
      <c r="W22" s="14" cm="1">
        <f t="array" ref="W22">INT(SUMPRODUCT(--ISNUMBER(SEARCH(trump,'David Perdue'!C22)))&gt;0)</f>
        <v>0</v>
      </c>
      <c r="X22" s="14" cm="1">
        <f t="array" ref="X22">INT(SUMPRODUCT(--ISNUMBER(SEARCH(voting,'David Perdue'!C22)))&gt;0)</f>
        <v>0</v>
      </c>
      <c r="Y22" s="14" cm="1">
        <f t="array" ref="Y22">INT(SUMPRODUCT(--ISNUMBER(SEARCH(republicantrigger,'David Perdue'!C22)))&gt;0)</f>
        <v>0</v>
      </c>
      <c r="Z22" s="14" cm="1">
        <f t="array" ref="Z22">INT(SUMPRODUCT(--ISNUMBER(SEARCH(bipartisan,'David Perdue'!C22)))&gt;0)</f>
        <v>0</v>
      </c>
      <c r="AA22" s="14">
        <f t="shared" si="0"/>
        <v>1</v>
      </c>
      <c r="AB22" s="14"/>
      <c r="AC22" s="30">
        <v>1</v>
      </c>
      <c r="AD22" s="37">
        <v>0</v>
      </c>
    </row>
    <row r="23" spans="1:30" x14ac:dyDescent="0.25">
      <c r="A23" s="54">
        <v>339</v>
      </c>
      <c r="B23" s="14" t="s">
        <v>709</v>
      </c>
      <c r="C23" s="14" t="s">
        <v>710</v>
      </c>
      <c r="D23" s="17">
        <v>44133</v>
      </c>
      <c r="E23" s="14" t="s">
        <v>70</v>
      </c>
      <c r="F23" s="14">
        <v>6</v>
      </c>
      <c r="G23" s="14">
        <v>3</v>
      </c>
      <c r="H23" s="14">
        <v>3</v>
      </c>
      <c r="I23" s="14">
        <v>2</v>
      </c>
      <c r="J23" s="14" t="s">
        <v>31</v>
      </c>
      <c r="K23" s="14" cm="1">
        <f t="array" ref="K23">INT(SUMPRODUCT(--ISNUMBER(SEARCH(economy,'David Perdue'!C23)))&gt;0)</f>
        <v>0</v>
      </c>
      <c r="L23" s="14" cm="1">
        <f t="array" ref="L23">INT(SUMPRODUCT(--ISNUMBER(SEARCH(healthcare,'David Perdue'!C23)))&gt;0)</f>
        <v>0</v>
      </c>
      <c r="M23" s="14" cm="1">
        <f t="array" ref="M23">INT(SUMPRODUCT(--ISNUMBER(SEARCH(supreme,'David Perdue'!C23)))&gt;0)</f>
        <v>0</v>
      </c>
      <c r="N23" s="14" cm="1">
        <f t="array" ref="N23">INT(SUMPRODUCT(--ISNUMBER(SEARCH(covid,'David Perdue'!C23)))&gt;0)</f>
        <v>0</v>
      </c>
      <c r="O23" s="14" cm="1">
        <f t="array" ref="O23">INT(SUMPRODUCT(--ISNUMBER(SEARCH(violent,'David Perdue'!C23)))&gt;0)</f>
        <v>0</v>
      </c>
      <c r="P23" s="14" cm="1">
        <f t="array" ref="P23">INT(SUMPRODUCT(--ISNUMBER(SEARCH(foreign,'David Perdue'!C23)))&gt;0)</f>
        <v>0</v>
      </c>
      <c r="Q23" s="14" cm="1">
        <f t="array" ref="Q23">INT(SUMPRODUCT(--ISNUMBER(SEARCH(gun,'David Perdue'!C23)))&gt;0)</f>
        <v>0</v>
      </c>
      <c r="R23" s="14" cm="1">
        <f t="array" ref="R23">INT(SUMPRODUCT(--ISNUMBER(SEARCH(race,'David Perdue'!C23)))&gt;0)</f>
        <v>0</v>
      </c>
      <c r="S23" s="14" cm="1">
        <f t="array" ref="S23">INT(SUMPRODUCT(--ISNUMBER(SEARCH(immigration,C23)))&gt;0)</f>
        <v>0</v>
      </c>
      <c r="T23" s="14" cm="1">
        <f t="array" ref="T23">INT(SUMPRODUCT(--ISNUMBER(SEARCH(econineq,C23)))&gt;0)</f>
        <v>0</v>
      </c>
      <c r="U23" s="14" cm="1">
        <f t="array" ref="U23">INT(SUMPRODUCT(--ISNUMBER(SEARCH(climate,'David Perdue'!C23)))&gt;0)</f>
        <v>0</v>
      </c>
      <c r="V23" s="14" cm="1">
        <f t="array" ref="V23">INT(SUMPRODUCT(--ISNUMBER(SEARCH(abortion,'David Perdue'!C23)))&gt;0)</f>
        <v>0</v>
      </c>
      <c r="W23" s="14" cm="1">
        <f t="array" ref="W23">INT(SUMPRODUCT(--ISNUMBER(SEARCH(trump,'David Perdue'!C23)))&gt;0)</f>
        <v>0</v>
      </c>
      <c r="X23" s="14" cm="1">
        <f t="array" ref="X23">INT(SUMPRODUCT(--ISNUMBER(SEARCH(voting,'David Perdue'!C23)))&gt;0)</f>
        <v>0</v>
      </c>
      <c r="Y23" s="14" cm="1">
        <f t="array" ref="Y23">INT(SUMPRODUCT(--ISNUMBER(SEARCH(republicantrigger,'David Perdue'!C23)))&gt;0)</f>
        <v>0</v>
      </c>
      <c r="Z23" s="14" cm="1">
        <f t="array" ref="Z23">INT(SUMPRODUCT(--ISNUMBER(SEARCH(bipartisan,'David Perdue'!C23)))&gt;0)</f>
        <v>0</v>
      </c>
      <c r="AA23" s="14">
        <f t="shared" si="0"/>
        <v>1</v>
      </c>
      <c r="AB23" s="14"/>
      <c r="AC23" s="30">
        <v>1</v>
      </c>
      <c r="AD23" s="37">
        <v>0</v>
      </c>
    </row>
    <row r="24" spans="1:30" x14ac:dyDescent="0.25">
      <c r="A24" s="54">
        <v>340</v>
      </c>
      <c r="B24" s="14" t="s">
        <v>711</v>
      </c>
      <c r="C24" s="14" t="s">
        <v>712</v>
      </c>
      <c r="D24" s="17">
        <v>44133</v>
      </c>
      <c r="E24" s="14" t="s">
        <v>70</v>
      </c>
      <c r="F24" s="14">
        <v>5</v>
      </c>
      <c r="G24" s="14">
        <v>3</v>
      </c>
      <c r="H24" s="14">
        <v>3</v>
      </c>
      <c r="I24" s="14">
        <v>2</v>
      </c>
      <c r="J24" s="14" t="s">
        <v>31</v>
      </c>
      <c r="K24" s="14" cm="1">
        <f t="array" ref="K24">INT(SUMPRODUCT(--ISNUMBER(SEARCH(economy,'David Perdue'!C24)))&gt;0)</f>
        <v>0</v>
      </c>
      <c r="L24" s="14" cm="1">
        <f t="array" ref="L24">INT(SUMPRODUCT(--ISNUMBER(SEARCH(healthcare,'David Perdue'!C24)))&gt;0)</f>
        <v>0</v>
      </c>
      <c r="M24" s="14" cm="1">
        <f t="array" ref="M24">INT(SUMPRODUCT(--ISNUMBER(SEARCH(supreme,'David Perdue'!C24)))&gt;0)</f>
        <v>0</v>
      </c>
      <c r="N24" s="14" cm="1">
        <f t="array" ref="N24">INT(SUMPRODUCT(--ISNUMBER(SEARCH(covid,'David Perdue'!C24)))&gt;0)</f>
        <v>0</v>
      </c>
      <c r="O24" s="14" cm="1">
        <f t="array" ref="O24">INT(SUMPRODUCT(--ISNUMBER(SEARCH(violent,'David Perdue'!C24)))&gt;0)</f>
        <v>0</v>
      </c>
      <c r="P24" s="14" cm="1">
        <f t="array" ref="P24">INT(SUMPRODUCT(--ISNUMBER(SEARCH(foreign,'David Perdue'!C24)))&gt;0)</f>
        <v>0</v>
      </c>
      <c r="Q24" s="14" cm="1">
        <f t="array" ref="Q24">INT(SUMPRODUCT(--ISNUMBER(SEARCH(gun,'David Perdue'!C24)))&gt;0)</f>
        <v>0</v>
      </c>
      <c r="R24" s="14" cm="1">
        <f t="array" ref="R24">INT(SUMPRODUCT(--ISNUMBER(SEARCH(race,'David Perdue'!C24)))&gt;0)</f>
        <v>0</v>
      </c>
      <c r="S24" s="14" cm="1">
        <f t="array" ref="S24">INT(SUMPRODUCT(--ISNUMBER(SEARCH(immigration,C24)))&gt;0)</f>
        <v>0</v>
      </c>
      <c r="T24" s="14" cm="1">
        <f t="array" ref="T24">INT(SUMPRODUCT(--ISNUMBER(SEARCH(econineq,C24)))&gt;0)</f>
        <v>0</v>
      </c>
      <c r="U24" s="14" cm="1">
        <f t="array" ref="U24">INT(SUMPRODUCT(--ISNUMBER(SEARCH(climate,'David Perdue'!C24)))&gt;0)</f>
        <v>0</v>
      </c>
      <c r="V24" s="14" cm="1">
        <f t="array" ref="V24">INT(SUMPRODUCT(--ISNUMBER(SEARCH(abortion,'David Perdue'!C24)))&gt;0)</f>
        <v>0</v>
      </c>
      <c r="W24" s="14" cm="1">
        <f t="array" ref="W24">INT(SUMPRODUCT(--ISNUMBER(SEARCH(trump,'David Perdue'!C24)))&gt;0)</f>
        <v>0</v>
      </c>
      <c r="X24" s="14" cm="1">
        <f t="array" ref="X24">INT(SUMPRODUCT(--ISNUMBER(SEARCH(voting,'David Perdue'!C24)))&gt;0)</f>
        <v>0</v>
      </c>
      <c r="Y24" s="14" cm="1">
        <f t="array" ref="Y24">INT(SUMPRODUCT(--ISNUMBER(SEARCH(republicantrigger,'David Perdue'!C24)))&gt;0)</f>
        <v>0</v>
      </c>
      <c r="Z24" s="14" cm="1">
        <f t="array" ref="Z24">INT(SUMPRODUCT(--ISNUMBER(SEARCH(bipartisan,'David Perdue'!C24)))&gt;0)</f>
        <v>0</v>
      </c>
      <c r="AA24" s="14">
        <f t="shared" si="0"/>
        <v>1</v>
      </c>
      <c r="AB24" s="14"/>
      <c r="AC24" s="30">
        <v>1</v>
      </c>
      <c r="AD24" s="37">
        <v>0</v>
      </c>
    </row>
    <row r="25" spans="1:30" x14ac:dyDescent="0.25">
      <c r="A25" s="54">
        <v>341</v>
      </c>
      <c r="B25" s="14" t="s">
        <v>713</v>
      </c>
      <c r="C25" s="14" t="s">
        <v>714</v>
      </c>
      <c r="D25" s="17">
        <v>44133</v>
      </c>
      <c r="E25" s="14" t="s">
        <v>70</v>
      </c>
      <c r="F25" s="14">
        <v>6</v>
      </c>
      <c r="G25" s="14">
        <v>3</v>
      </c>
      <c r="H25" s="14">
        <v>3</v>
      </c>
      <c r="I25" s="14">
        <v>2</v>
      </c>
      <c r="J25" s="14" t="s">
        <v>31</v>
      </c>
      <c r="K25" s="14" cm="1">
        <f t="array" ref="K25">INT(SUMPRODUCT(--ISNUMBER(SEARCH(economy,'David Perdue'!C25)))&gt;0)</f>
        <v>0</v>
      </c>
      <c r="L25" s="14" cm="1">
        <f t="array" ref="L25">INT(SUMPRODUCT(--ISNUMBER(SEARCH(healthcare,'David Perdue'!C25)))&gt;0)</f>
        <v>0</v>
      </c>
      <c r="M25" s="14" cm="1">
        <f t="array" ref="M25">INT(SUMPRODUCT(--ISNUMBER(SEARCH(supreme,'David Perdue'!C25)))&gt;0)</f>
        <v>0</v>
      </c>
      <c r="N25" s="14" cm="1">
        <f t="array" ref="N25">INT(SUMPRODUCT(--ISNUMBER(SEARCH(covid,'David Perdue'!C25)))&gt;0)</f>
        <v>0</v>
      </c>
      <c r="O25" s="14" cm="1">
        <f t="array" ref="O25">INT(SUMPRODUCT(--ISNUMBER(SEARCH(violent,'David Perdue'!C25)))&gt;0)</f>
        <v>0</v>
      </c>
      <c r="P25" s="14" cm="1">
        <f t="array" ref="P25">INT(SUMPRODUCT(--ISNUMBER(SEARCH(foreign,'David Perdue'!C25)))&gt;0)</f>
        <v>0</v>
      </c>
      <c r="Q25" s="14" cm="1">
        <f t="array" ref="Q25">INT(SUMPRODUCT(--ISNUMBER(SEARCH(gun,'David Perdue'!C25)))&gt;0)</f>
        <v>0</v>
      </c>
      <c r="R25" s="14" cm="1">
        <f t="array" ref="R25">INT(SUMPRODUCT(--ISNUMBER(SEARCH(race,'David Perdue'!C25)))&gt;0)</f>
        <v>0</v>
      </c>
      <c r="S25" s="14" cm="1">
        <f t="array" ref="S25">INT(SUMPRODUCT(--ISNUMBER(SEARCH(immigration,C25)))&gt;0)</f>
        <v>0</v>
      </c>
      <c r="T25" s="14" cm="1">
        <f t="array" ref="T25">INT(SUMPRODUCT(--ISNUMBER(SEARCH(econineq,C25)))&gt;0)</f>
        <v>0</v>
      </c>
      <c r="U25" s="14" cm="1">
        <f t="array" ref="U25">INT(SUMPRODUCT(--ISNUMBER(SEARCH(climate,'David Perdue'!C25)))&gt;0)</f>
        <v>0</v>
      </c>
      <c r="V25" s="14" cm="1">
        <f t="array" ref="V25">INT(SUMPRODUCT(--ISNUMBER(SEARCH(abortion,'David Perdue'!C25)))&gt;0)</f>
        <v>0</v>
      </c>
      <c r="W25" s="14" cm="1">
        <f t="array" ref="W25">INT(SUMPRODUCT(--ISNUMBER(SEARCH(trump,'David Perdue'!C25)))&gt;0)</f>
        <v>0</v>
      </c>
      <c r="X25" s="14" cm="1">
        <f t="array" ref="X25">INT(SUMPRODUCT(--ISNUMBER(SEARCH(voting,'David Perdue'!C25)))&gt;0)</f>
        <v>0</v>
      </c>
      <c r="Y25" s="14" cm="1">
        <f t="array" ref="Y25">INT(SUMPRODUCT(--ISNUMBER(SEARCH(republicantrigger,'David Perdue'!C25)))&gt;0)</f>
        <v>0</v>
      </c>
      <c r="Z25" s="14" cm="1">
        <f t="array" ref="Z25">INT(SUMPRODUCT(--ISNUMBER(SEARCH(bipartisan,'David Perdue'!C25)))&gt;0)</f>
        <v>0</v>
      </c>
      <c r="AA25" s="14">
        <f t="shared" si="0"/>
        <v>1</v>
      </c>
      <c r="AB25" s="14"/>
      <c r="AC25" s="30">
        <v>1</v>
      </c>
      <c r="AD25" s="37">
        <v>0</v>
      </c>
    </row>
    <row r="26" spans="1:30" x14ac:dyDescent="0.25">
      <c r="A26" s="54">
        <v>342</v>
      </c>
      <c r="B26" s="14" t="s">
        <v>715</v>
      </c>
      <c r="C26" s="14" t="s">
        <v>716</v>
      </c>
      <c r="D26" s="17">
        <v>44133</v>
      </c>
      <c r="E26" s="14" t="s">
        <v>70</v>
      </c>
      <c r="F26" s="14">
        <v>3</v>
      </c>
      <c r="G26" s="14">
        <v>2</v>
      </c>
      <c r="H26" s="14">
        <v>3</v>
      </c>
      <c r="I26" s="14">
        <v>2</v>
      </c>
      <c r="J26" s="14" t="s">
        <v>31</v>
      </c>
      <c r="K26" s="14" cm="1">
        <f t="array" ref="K26">INT(SUMPRODUCT(--ISNUMBER(SEARCH(economy,'David Perdue'!C26)))&gt;0)</f>
        <v>0</v>
      </c>
      <c r="L26" s="14" cm="1">
        <f t="array" ref="L26">INT(SUMPRODUCT(--ISNUMBER(SEARCH(healthcare,'David Perdue'!C26)))&gt;0)</f>
        <v>0</v>
      </c>
      <c r="M26" s="14" cm="1">
        <f t="array" ref="M26">INT(SUMPRODUCT(--ISNUMBER(SEARCH(supreme,'David Perdue'!C26)))&gt;0)</f>
        <v>0</v>
      </c>
      <c r="N26" s="14" cm="1">
        <f t="array" ref="N26">INT(SUMPRODUCT(--ISNUMBER(SEARCH(covid,'David Perdue'!C26)))&gt;0)</f>
        <v>0</v>
      </c>
      <c r="O26" s="14" cm="1">
        <f t="array" ref="O26">INT(SUMPRODUCT(--ISNUMBER(SEARCH(violent,'David Perdue'!C26)))&gt;0)</f>
        <v>0</v>
      </c>
      <c r="P26" s="14" cm="1">
        <f t="array" ref="P26">INT(SUMPRODUCT(--ISNUMBER(SEARCH(foreign,'David Perdue'!C26)))&gt;0)</f>
        <v>0</v>
      </c>
      <c r="Q26" s="14" cm="1">
        <f t="array" ref="Q26">INT(SUMPRODUCT(--ISNUMBER(SEARCH(gun,'David Perdue'!C26)))&gt;0)</f>
        <v>0</v>
      </c>
      <c r="R26" s="14" cm="1">
        <f t="array" ref="R26">INT(SUMPRODUCT(--ISNUMBER(SEARCH(race,'David Perdue'!C26)))&gt;0)</f>
        <v>0</v>
      </c>
      <c r="S26" s="14" cm="1">
        <f t="array" ref="S26">INT(SUMPRODUCT(--ISNUMBER(SEARCH(immigration,C26)))&gt;0)</f>
        <v>0</v>
      </c>
      <c r="T26" s="14" cm="1">
        <f t="array" ref="T26">INT(SUMPRODUCT(--ISNUMBER(SEARCH(econineq,C26)))&gt;0)</f>
        <v>0</v>
      </c>
      <c r="U26" s="14" cm="1">
        <f t="array" ref="U26">INT(SUMPRODUCT(--ISNUMBER(SEARCH(climate,'David Perdue'!C26)))&gt;0)</f>
        <v>0</v>
      </c>
      <c r="V26" s="14" cm="1">
        <f t="array" ref="V26">INT(SUMPRODUCT(--ISNUMBER(SEARCH(abortion,'David Perdue'!C26)))&gt;0)</f>
        <v>0</v>
      </c>
      <c r="W26" s="14" cm="1">
        <f t="array" ref="W26">INT(SUMPRODUCT(--ISNUMBER(SEARCH(trump,'David Perdue'!C26)))&gt;0)</f>
        <v>0</v>
      </c>
      <c r="X26" s="14" cm="1">
        <f t="array" ref="X26">INT(SUMPRODUCT(--ISNUMBER(SEARCH(voting,'David Perdue'!C26)))&gt;0)</f>
        <v>0</v>
      </c>
      <c r="Y26" s="14" cm="1">
        <f t="array" ref="Y26">INT(SUMPRODUCT(--ISNUMBER(SEARCH(republicantrigger,'David Perdue'!C26)))&gt;0)</f>
        <v>0</v>
      </c>
      <c r="Z26" s="14" cm="1">
        <f t="array" ref="Z26">INT(SUMPRODUCT(--ISNUMBER(SEARCH(bipartisan,'David Perdue'!C26)))&gt;0)</f>
        <v>0</v>
      </c>
      <c r="AA26" s="14">
        <f t="shared" si="0"/>
        <v>1</v>
      </c>
      <c r="AB26" s="14"/>
      <c r="AC26" s="30">
        <v>1</v>
      </c>
      <c r="AD26" s="37">
        <v>0</v>
      </c>
    </row>
    <row r="27" spans="1:30" x14ac:dyDescent="0.25">
      <c r="A27" s="54">
        <v>343</v>
      </c>
      <c r="B27" s="14" t="s">
        <v>717</v>
      </c>
      <c r="C27" s="14" t="s">
        <v>718</v>
      </c>
      <c r="D27" s="17">
        <v>44133</v>
      </c>
      <c r="E27" s="14" t="s">
        <v>70</v>
      </c>
      <c r="F27" s="14">
        <v>5</v>
      </c>
      <c r="G27" s="14">
        <v>2</v>
      </c>
      <c r="H27" s="14">
        <v>3</v>
      </c>
      <c r="I27" s="14">
        <v>2</v>
      </c>
      <c r="J27" s="14" t="s">
        <v>31</v>
      </c>
      <c r="K27" s="14" cm="1">
        <f t="array" ref="K27">INT(SUMPRODUCT(--ISNUMBER(SEARCH(economy,'David Perdue'!C27)))&gt;0)</f>
        <v>0</v>
      </c>
      <c r="L27" s="14" cm="1">
        <f t="array" ref="L27">INT(SUMPRODUCT(--ISNUMBER(SEARCH(healthcare,'David Perdue'!C27)))&gt;0)</f>
        <v>0</v>
      </c>
      <c r="M27" s="14" cm="1">
        <f t="array" ref="M27">INT(SUMPRODUCT(--ISNUMBER(SEARCH(supreme,'David Perdue'!C27)))&gt;0)</f>
        <v>0</v>
      </c>
      <c r="N27" s="14" cm="1">
        <f t="array" ref="N27">INT(SUMPRODUCT(--ISNUMBER(SEARCH(covid,'David Perdue'!C27)))&gt;0)</f>
        <v>0</v>
      </c>
      <c r="O27" s="14" cm="1">
        <f t="array" ref="O27">INT(SUMPRODUCT(--ISNUMBER(SEARCH(violent,'David Perdue'!C27)))&gt;0)</f>
        <v>0</v>
      </c>
      <c r="P27" s="14" cm="1">
        <f t="array" ref="P27">INT(SUMPRODUCT(--ISNUMBER(SEARCH(foreign,'David Perdue'!C27)))&gt;0)</f>
        <v>0</v>
      </c>
      <c r="Q27" s="14" cm="1">
        <f t="array" ref="Q27">INT(SUMPRODUCT(--ISNUMBER(SEARCH(gun,'David Perdue'!C27)))&gt;0)</f>
        <v>0</v>
      </c>
      <c r="R27" s="14" cm="1">
        <f t="array" ref="R27">INT(SUMPRODUCT(--ISNUMBER(SEARCH(race,'David Perdue'!C27)))&gt;0)</f>
        <v>0</v>
      </c>
      <c r="S27" s="14" cm="1">
        <f t="array" ref="S27">INT(SUMPRODUCT(--ISNUMBER(SEARCH(immigration,C27)))&gt;0)</f>
        <v>0</v>
      </c>
      <c r="T27" s="14" cm="1">
        <f t="array" ref="T27">INT(SUMPRODUCT(--ISNUMBER(SEARCH(econineq,C27)))&gt;0)</f>
        <v>0</v>
      </c>
      <c r="U27" s="14" cm="1">
        <f t="array" ref="U27">INT(SUMPRODUCT(--ISNUMBER(SEARCH(climate,'David Perdue'!C27)))&gt;0)</f>
        <v>0</v>
      </c>
      <c r="V27" s="14" cm="1">
        <f t="array" ref="V27">INT(SUMPRODUCT(--ISNUMBER(SEARCH(abortion,'David Perdue'!C27)))&gt;0)</f>
        <v>0</v>
      </c>
      <c r="W27" s="14" cm="1">
        <f t="array" ref="W27">INT(SUMPRODUCT(--ISNUMBER(SEARCH(trump,'David Perdue'!C27)))&gt;0)</f>
        <v>0</v>
      </c>
      <c r="X27" s="14" cm="1">
        <f t="array" ref="X27">INT(SUMPRODUCT(--ISNUMBER(SEARCH(voting,'David Perdue'!C27)))&gt;0)</f>
        <v>0</v>
      </c>
      <c r="Y27" s="14" cm="1">
        <f t="array" ref="Y27">INT(SUMPRODUCT(--ISNUMBER(SEARCH(republicantrigger,'David Perdue'!C27)))&gt;0)</f>
        <v>0</v>
      </c>
      <c r="Z27" s="14" cm="1">
        <f t="array" ref="Z27">INT(SUMPRODUCT(--ISNUMBER(SEARCH(bipartisan,'David Perdue'!C27)))&gt;0)</f>
        <v>0</v>
      </c>
      <c r="AA27" s="14">
        <f t="shared" si="0"/>
        <v>1</v>
      </c>
      <c r="AB27" s="14"/>
      <c r="AC27" s="30">
        <v>1</v>
      </c>
      <c r="AD27" s="37">
        <v>0</v>
      </c>
    </row>
    <row r="28" spans="1:30" x14ac:dyDescent="0.25">
      <c r="A28" s="54">
        <v>344</v>
      </c>
      <c r="B28" s="14" t="s">
        <v>719</v>
      </c>
      <c r="C28" s="14" t="s">
        <v>720</v>
      </c>
      <c r="D28" s="17">
        <v>44133</v>
      </c>
      <c r="E28" s="14" t="s">
        <v>30</v>
      </c>
      <c r="F28" s="14">
        <v>34</v>
      </c>
      <c r="G28" s="14">
        <v>9</v>
      </c>
      <c r="H28" s="14">
        <v>3</v>
      </c>
      <c r="I28" s="14">
        <v>2</v>
      </c>
      <c r="J28" s="14" t="s">
        <v>31</v>
      </c>
      <c r="K28" s="14" cm="1">
        <f t="array" ref="K28">INT(SUMPRODUCT(--ISNUMBER(SEARCH(economy,'David Perdue'!C28)))&gt;0)</f>
        <v>0</v>
      </c>
      <c r="L28" s="14" cm="1">
        <f t="array" ref="L28">INT(SUMPRODUCT(--ISNUMBER(SEARCH(healthcare,'David Perdue'!C28)))&gt;0)</f>
        <v>0</v>
      </c>
      <c r="M28" s="14" cm="1">
        <f t="array" ref="M28">INT(SUMPRODUCT(--ISNUMBER(SEARCH(supreme,'David Perdue'!C28)))&gt;0)</f>
        <v>0</v>
      </c>
      <c r="N28" s="14" cm="1">
        <f t="array" ref="N28">INT(SUMPRODUCT(--ISNUMBER(SEARCH(covid,'David Perdue'!C28)))&gt;0)</f>
        <v>0</v>
      </c>
      <c r="O28" s="14" cm="1">
        <f t="array" ref="O28">INT(SUMPRODUCT(--ISNUMBER(SEARCH(violent,'David Perdue'!C28)))&gt;0)</f>
        <v>0</v>
      </c>
      <c r="P28" s="14" cm="1">
        <f t="array" ref="P28">INT(SUMPRODUCT(--ISNUMBER(SEARCH(foreign,'David Perdue'!C28)))&gt;0)</f>
        <v>0</v>
      </c>
      <c r="Q28" s="14" cm="1">
        <f t="array" ref="Q28">INT(SUMPRODUCT(--ISNUMBER(SEARCH(gun,'David Perdue'!C28)))&gt;0)</f>
        <v>0</v>
      </c>
      <c r="R28" s="14" cm="1">
        <f t="array" ref="R28">INT(SUMPRODUCT(--ISNUMBER(SEARCH(race,'David Perdue'!C28)))&gt;0)</f>
        <v>0</v>
      </c>
      <c r="S28" s="14" cm="1">
        <f t="array" ref="S28">INT(SUMPRODUCT(--ISNUMBER(SEARCH(immigration,C28)))&gt;0)</f>
        <v>0</v>
      </c>
      <c r="T28" s="14" cm="1">
        <f t="array" ref="T28">INT(SUMPRODUCT(--ISNUMBER(SEARCH(econineq,C28)))&gt;0)</f>
        <v>0</v>
      </c>
      <c r="U28" s="14" cm="1">
        <f t="array" ref="U28">INT(SUMPRODUCT(--ISNUMBER(SEARCH(climate,'David Perdue'!C28)))&gt;0)</f>
        <v>0</v>
      </c>
      <c r="V28" s="14" cm="1">
        <f t="array" ref="V28">INT(SUMPRODUCT(--ISNUMBER(SEARCH(abortion,'David Perdue'!C28)))&gt;0)</f>
        <v>0</v>
      </c>
      <c r="W28" s="14" cm="1">
        <f t="array" ref="W28">INT(SUMPRODUCT(--ISNUMBER(SEARCH(trump,'David Perdue'!C28)))&gt;0)</f>
        <v>1</v>
      </c>
      <c r="X28" s="14" cm="1">
        <f t="array" ref="X28">INT(SUMPRODUCT(--ISNUMBER(SEARCH(voting,'David Perdue'!C28)))&gt;0)</f>
        <v>1</v>
      </c>
      <c r="Y28" s="14" cm="1">
        <f t="array" ref="Y28">INT(SUMPRODUCT(--ISNUMBER(SEARCH(republicantrigger,'David Perdue'!C28)))&gt;0)</f>
        <v>1</v>
      </c>
      <c r="Z28" s="14" cm="1">
        <f t="array" ref="Z28">INT(SUMPRODUCT(--ISNUMBER(SEARCH(bipartisan,'David Perdue'!C28)))&gt;0)</f>
        <v>0</v>
      </c>
      <c r="AA28" s="14">
        <f t="shared" si="0"/>
        <v>0</v>
      </c>
      <c r="AB28" s="14"/>
      <c r="AC28" s="30">
        <v>1</v>
      </c>
      <c r="AD28" s="37">
        <v>0</v>
      </c>
    </row>
    <row r="29" spans="1:30" x14ac:dyDescent="0.25">
      <c r="A29" s="54">
        <v>345</v>
      </c>
      <c r="B29" s="14" t="s">
        <v>721</v>
      </c>
      <c r="C29" s="14" t="s">
        <v>722</v>
      </c>
      <c r="D29" s="17">
        <v>44133</v>
      </c>
      <c r="E29" s="14" t="s">
        <v>30</v>
      </c>
      <c r="F29" s="14">
        <v>178</v>
      </c>
      <c r="G29" s="14">
        <v>52</v>
      </c>
      <c r="H29" s="14">
        <v>3</v>
      </c>
      <c r="I29" s="14">
        <v>2</v>
      </c>
      <c r="J29" s="14" t="s">
        <v>31</v>
      </c>
      <c r="K29" s="14" cm="1">
        <f t="array" ref="K29">INT(SUMPRODUCT(--ISNUMBER(SEARCH(economy,'David Perdue'!C29)))&gt;0)</f>
        <v>0</v>
      </c>
      <c r="L29" s="14" cm="1">
        <f t="array" ref="L29">INT(SUMPRODUCT(--ISNUMBER(SEARCH(healthcare,'David Perdue'!C29)))&gt;0)</f>
        <v>0</v>
      </c>
      <c r="M29" s="14" cm="1">
        <f t="array" ref="M29">INT(SUMPRODUCT(--ISNUMBER(SEARCH(supreme,'David Perdue'!C29)))&gt;0)</f>
        <v>0</v>
      </c>
      <c r="N29" s="14" cm="1">
        <f t="array" ref="N29">INT(SUMPRODUCT(--ISNUMBER(SEARCH(covid,'David Perdue'!C29)))&gt;0)</f>
        <v>0</v>
      </c>
      <c r="O29" s="14" cm="1">
        <f t="array" ref="O29">INT(SUMPRODUCT(--ISNUMBER(SEARCH(violent,'David Perdue'!C29)))&gt;0)</f>
        <v>0</v>
      </c>
      <c r="P29" s="14" cm="1">
        <f t="array" ref="P29">INT(SUMPRODUCT(--ISNUMBER(SEARCH(foreign,'David Perdue'!C29)))&gt;0)</f>
        <v>0</v>
      </c>
      <c r="Q29" s="14" cm="1">
        <f t="array" ref="Q29">INT(SUMPRODUCT(--ISNUMBER(SEARCH(gun,'David Perdue'!C29)))&gt;0)</f>
        <v>0</v>
      </c>
      <c r="R29" s="14" cm="1">
        <f t="array" ref="R29">INT(SUMPRODUCT(--ISNUMBER(SEARCH(race,'David Perdue'!C29)))&gt;0)</f>
        <v>0</v>
      </c>
      <c r="S29" s="14" cm="1">
        <f t="array" ref="S29">INT(SUMPRODUCT(--ISNUMBER(SEARCH(immigration,C29)))&gt;0)</f>
        <v>0</v>
      </c>
      <c r="T29" s="14" cm="1">
        <f t="array" ref="T29">INT(SUMPRODUCT(--ISNUMBER(SEARCH(econineq,C29)))&gt;0)</f>
        <v>0</v>
      </c>
      <c r="U29" s="14" cm="1">
        <f t="array" ref="U29">INT(SUMPRODUCT(--ISNUMBER(SEARCH(climate,'David Perdue'!C29)))&gt;0)</f>
        <v>0</v>
      </c>
      <c r="V29" s="14" cm="1">
        <f t="array" ref="V29">INT(SUMPRODUCT(--ISNUMBER(SEARCH(abortion,'David Perdue'!C29)))&gt;0)</f>
        <v>0</v>
      </c>
      <c r="W29" s="14" cm="1">
        <f t="array" ref="W29">INT(SUMPRODUCT(--ISNUMBER(SEARCH(trump,'David Perdue'!C29)))&gt;0)</f>
        <v>0</v>
      </c>
      <c r="X29" s="14" cm="1">
        <f t="array" ref="X29">INT(SUMPRODUCT(--ISNUMBER(SEARCH(voting,'David Perdue'!C29)))&gt;0)</f>
        <v>0</v>
      </c>
      <c r="Y29" s="14" cm="1">
        <f t="array" ref="Y29">INT(SUMPRODUCT(--ISNUMBER(SEARCH(republicantrigger,'David Perdue'!C29)))&gt;0)</f>
        <v>1</v>
      </c>
      <c r="Z29" s="14" cm="1">
        <f t="array" ref="Z29">INT(SUMPRODUCT(--ISNUMBER(SEARCH(bipartisan,'David Perdue'!C29)))&gt;0)</f>
        <v>0</v>
      </c>
      <c r="AA29" s="14">
        <f t="shared" si="0"/>
        <v>0</v>
      </c>
      <c r="AB29" s="14"/>
      <c r="AC29" s="30">
        <v>0</v>
      </c>
      <c r="AD29" s="37">
        <v>1</v>
      </c>
    </row>
    <row r="30" spans="1:30" x14ac:dyDescent="0.25">
      <c r="A30" s="54">
        <v>346</v>
      </c>
      <c r="B30" s="14" t="s">
        <v>723</v>
      </c>
      <c r="C30" s="14" t="s">
        <v>724</v>
      </c>
      <c r="D30" s="17">
        <v>44133</v>
      </c>
      <c r="E30" s="14" t="s">
        <v>30</v>
      </c>
      <c r="F30" s="14">
        <v>22</v>
      </c>
      <c r="G30" s="14">
        <v>5</v>
      </c>
      <c r="H30" s="14">
        <v>3</v>
      </c>
      <c r="I30" s="14">
        <v>2</v>
      </c>
      <c r="J30" s="14" t="s">
        <v>31</v>
      </c>
      <c r="K30" s="14" cm="1">
        <f t="array" ref="K30">INT(SUMPRODUCT(--ISNUMBER(SEARCH(economy,'David Perdue'!C30)))&gt;0)</f>
        <v>0</v>
      </c>
      <c r="L30" s="14" cm="1">
        <f t="array" ref="L30">INT(SUMPRODUCT(--ISNUMBER(SEARCH(healthcare,'David Perdue'!C30)))&gt;0)</f>
        <v>0</v>
      </c>
      <c r="M30" s="14" cm="1">
        <f t="array" ref="M30">INT(SUMPRODUCT(--ISNUMBER(SEARCH(supreme,'David Perdue'!C30)))&gt;0)</f>
        <v>0</v>
      </c>
      <c r="N30" s="14" cm="1">
        <f t="array" ref="N30">INT(SUMPRODUCT(--ISNUMBER(SEARCH(covid,'David Perdue'!C30)))&gt;0)</f>
        <v>0</v>
      </c>
      <c r="O30" s="14" cm="1">
        <f t="array" ref="O30">INT(SUMPRODUCT(--ISNUMBER(SEARCH(violent,'David Perdue'!C30)))&gt;0)</f>
        <v>0</v>
      </c>
      <c r="P30" s="14" cm="1">
        <f t="array" ref="P30">INT(SUMPRODUCT(--ISNUMBER(SEARCH(foreign,'David Perdue'!C30)))&gt;0)</f>
        <v>0</v>
      </c>
      <c r="Q30" s="14" cm="1">
        <f t="array" ref="Q30">INT(SUMPRODUCT(--ISNUMBER(SEARCH(gun,'David Perdue'!C30)))&gt;0)</f>
        <v>0</v>
      </c>
      <c r="R30" s="14" cm="1">
        <f t="array" ref="R30">INT(SUMPRODUCT(--ISNUMBER(SEARCH(race,'David Perdue'!C30)))&gt;0)</f>
        <v>0</v>
      </c>
      <c r="S30" s="14" cm="1">
        <f t="array" ref="S30">INT(SUMPRODUCT(--ISNUMBER(SEARCH(immigration,C30)))&gt;0)</f>
        <v>0</v>
      </c>
      <c r="T30" s="14" cm="1">
        <f t="array" ref="T30">INT(SUMPRODUCT(--ISNUMBER(SEARCH(econineq,C30)))&gt;0)</f>
        <v>0</v>
      </c>
      <c r="U30" s="14" cm="1">
        <f t="array" ref="U30">INT(SUMPRODUCT(--ISNUMBER(SEARCH(climate,'David Perdue'!C30)))&gt;0)</f>
        <v>0</v>
      </c>
      <c r="V30" s="14" cm="1">
        <f t="array" ref="V30">INT(SUMPRODUCT(--ISNUMBER(SEARCH(abortion,'David Perdue'!C30)))&gt;0)</f>
        <v>0</v>
      </c>
      <c r="W30" s="14" cm="1">
        <f t="array" ref="W30">INT(SUMPRODUCT(--ISNUMBER(SEARCH(trump,'David Perdue'!C30)))&gt;0)</f>
        <v>0</v>
      </c>
      <c r="X30" s="14" cm="1">
        <f t="array" ref="X30">INT(SUMPRODUCT(--ISNUMBER(SEARCH(voting,'David Perdue'!C30)))&gt;0)</f>
        <v>0</v>
      </c>
      <c r="Y30" s="14" cm="1">
        <f t="array" ref="Y30">INT(SUMPRODUCT(--ISNUMBER(SEARCH(republicantrigger,'David Perdue'!C30)))&gt;0)</f>
        <v>0</v>
      </c>
      <c r="Z30" s="14" cm="1">
        <f t="array" ref="Z30">INT(SUMPRODUCT(--ISNUMBER(SEARCH(bipartisan,'David Perdue'!C30)))&gt;0)</f>
        <v>0</v>
      </c>
      <c r="AA30" s="14">
        <f t="shared" si="0"/>
        <v>1</v>
      </c>
      <c r="AB30" s="14"/>
      <c r="AC30" s="30">
        <v>1</v>
      </c>
      <c r="AD30" s="37">
        <v>0</v>
      </c>
    </row>
    <row r="31" spans="1:30" x14ac:dyDescent="0.25">
      <c r="A31" s="54">
        <v>347</v>
      </c>
      <c r="B31" s="14" t="s">
        <v>725</v>
      </c>
      <c r="C31" s="14" t="s">
        <v>726</v>
      </c>
      <c r="D31" s="17">
        <v>44133</v>
      </c>
      <c r="E31" s="14" t="s">
        <v>30</v>
      </c>
      <c r="F31" s="14">
        <v>65</v>
      </c>
      <c r="G31" s="14">
        <v>31</v>
      </c>
      <c r="H31" s="14">
        <v>3</v>
      </c>
      <c r="I31" s="14">
        <v>2</v>
      </c>
      <c r="J31" s="14" t="s">
        <v>31</v>
      </c>
      <c r="K31" s="14" cm="1">
        <f t="array" ref="K31">INT(SUMPRODUCT(--ISNUMBER(SEARCH(economy,'David Perdue'!C31)))&gt;0)</f>
        <v>0</v>
      </c>
      <c r="L31" s="14" cm="1">
        <f t="array" ref="L31">INT(SUMPRODUCT(--ISNUMBER(SEARCH(healthcare,'David Perdue'!C31)))&gt;0)</f>
        <v>0</v>
      </c>
      <c r="M31" s="14" cm="1">
        <f t="array" ref="M31">INT(SUMPRODUCT(--ISNUMBER(SEARCH(supreme,'David Perdue'!C31)))&gt;0)</f>
        <v>0</v>
      </c>
      <c r="N31" s="14" cm="1">
        <f t="array" ref="N31">INT(SUMPRODUCT(--ISNUMBER(SEARCH(covid,'David Perdue'!C31)))&gt;0)</f>
        <v>1</v>
      </c>
      <c r="O31" s="14" cm="1">
        <f t="array" ref="O31">INT(SUMPRODUCT(--ISNUMBER(SEARCH(violent,'David Perdue'!C31)))&gt;0)</f>
        <v>0</v>
      </c>
      <c r="P31" s="14" cm="1">
        <f t="array" ref="P31">INT(SUMPRODUCT(--ISNUMBER(SEARCH(foreign,'David Perdue'!C31)))&gt;0)</f>
        <v>0</v>
      </c>
      <c r="Q31" s="14" cm="1">
        <f t="array" ref="Q31">INT(SUMPRODUCT(--ISNUMBER(SEARCH(gun,'David Perdue'!C31)))&gt;0)</f>
        <v>0</v>
      </c>
      <c r="R31" s="14" cm="1">
        <f t="array" ref="R31">INT(SUMPRODUCT(--ISNUMBER(SEARCH(race,'David Perdue'!C31)))&gt;0)</f>
        <v>0</v>
      </c>
      <c r="S31" s="14" cm="1">
        <f t="array" ref="S31">INT(SUMPRODUCT(--ISNUMBER(SEARCH(immigration,C31)))&gt;0)</f>
        <v>0</v>
      </c>
      <c r="T31" s="14" cm="1">
        <f t="array" ref="T31">INT(SUMPRODUCT(--ISNUMBER(SEARCH(econineq,C31)))&gt;0)</f>
        <v>0</v>
      </c>
      <c r="U31" s="14" cm="1">
        <f t="array" ref="U31">INT(SUMPRODUCT(--ISNUMBER(SEARCH(climate,'David Perdue'!C31)))&gt;0)</f>
        <v>0</v>
      </c>
      <c r="V31" s="14" cm="1">
        <f t="array" ref="V31">INT(SUMPRODUCT(--ISNUMBER(SEARCH(abortion,'David Perdue'!C31)))&gt;0)</f>
        <v>0</v>
      </c>
      <c r="W31" s="14" cm="1">
        <f t="array" ref="W31">INT(SUMPRODUCT(--ISNUMBER(SEARCH(trump,'David Perdue'!C31)))&gt;0)</f>
        <v>0</v>
      </c>
      <c r="X31" s="14" cm="1">
        <f t="array" ref="X31">INT(SUMPRODUCT(--ISNUMBER(SEARCH(voting,'David Perdue'!C31)))&gt;0)</f>
        <v>0</v>
      </c>
      <c r="Y31" s="14" cm="1">
        <f t="array" ref="Y31">INT(SUMPRODUCT(--ISNUMBER(SEARCH(republicantrigger,'David Perdue'!C31)))&gt;0)</f>
        <v>1</v>
      </c>
      <c r="Z31" s="14" cm="1">
        <f t="array" ref="Z31">INT(SUMPRODUCT(--ISNUMBER(SEARCH(bipartisan,'David Perdue'!C31)))&gt;0)</f>
        <v>0</v>
      </c>
      <c r="AA31" s="14">
        <f t="shared" si="0"/>
        <v>0</v>
      </c>
      <c r="AB31" s="14"/>
      <c r="AC31" s="30">
        <v>0</v>
      </c>
      <c r="AD31" s="37">
        <v>1</v>
      </c>
    </row>
    <row r="32" spans="1:30" x14ac:dyDescent="0.25">
      <c r="A32" s="54">
        <v>348</v>
      </c>
      <c r="B32" s="14" t="s">
        <v>727</v>
      </c>
      <c r="C32" s="14" t="s">
        <v>728</v>
      </c>
      <c r="D32" s="17">
        <v>44133</v>
      </c>
      <c r="E32" s="14" t="s">
        <v>30</v>
      </c>
      <c r="F32" s="14">
        <v>56</v>
      </c>
      <c r="G32" s="14">
        <v>14</v>
      </c>
      <c r="H32" s="14">
        <v>3</v>
      </c>
      <c r="I32" s="14">
        <v>2</v>
      </c>
      <c r="J32" s="14" t="s">
        <v>31</v>
      </c>
      <c r="K32" s="14" cm="1">
        <f t="array" ref="K32">INT(SUMPRODUCT(--ISNUMBER(SEARCH(economy,'David Perdue'!C32)))&gt;0)</f>
        <v>0</v>
      </c>
      <c r="L32" s="14" cm="1">
        <f t="array" ref="L32">INT(SUMPRODUCT(--ISNUMBER(SEARCH(healthcare,'David Perdue'!C32)))&gt;0)</f>
        <v>0</v>
      </c>
      <c r="M32" s="14" cm="1">
        <f t="array" ref="M32">INT(SUMPRODUCT(--ISNUMBER(SEARCH(supreme,'David Perdue'!C32)))&gt;0)</f>
        <v>0</v>
      </c>
      <c r="N32" s="14" cm="1">
        <f t="array" ref="N32">INT(SUMPRODUCT(--ISNUMBER(SEARCH(covid,'David Perdue'!C32)))&gt;0)</f>
        <v>0</v>
      </c>
      <c r="O32" s="14" cm="1">
        <f t="array" ref="O32">INT(SUMPRODUCT(--ISNUMBER(SEARCH(violent,'David Perdue'!C32)))&gt;0)</f>
        <v>0</v>
      </c>
      <c r="P32" s="14" cm="1">
        <f t="array" ref="P32">INT(SUMPRODUCT(--ISNUMBER(SEARCH(foreign,'David Perdue'!C32)))&gt;0)</f>
        <v>0</v>
      </c>
      <c r="Q32" s="14" cm="1">
        <f t="array" ref="Q32">INT(SUMPRODUCT(--ISNUMBER(SEARCH(gun,'David Perdue'!C32)))&gt;0)</f>
        <v>0</v>
      </c>
      <c r="R32" s="14" cm="1">
        <f t="array" ref="R32">INT(SUMPRODUCT(--ISNUMBER(SEARCH(race,'David Perdue'!C32)))&gt;0)</f>
        <v>0</v>
      </c>
      <c r="S32" s="14" cm="1">
        <f t="array" ref="S32">INT(SUMPRODUCT(--ISNUMBER(SEARCH(immigration,C32)))&gt;0)</f>
        <v>0</v>
      </c>
      <c r="T32" s="14" cm="1">
        <f t="array" ref="T32">INT(SUMPRODUCT(--ISNUMBER(SEARCH(econineq,C32)))&gt;0)</f>
        <v>0</v>
      </c>
      <c r="U32" s="14" cm="1">
        <f t="array" ref="U32">INT(SUMPRODUCT(--ISNUMBER(SEARCH(climate,'David Perdue'!C32)))&gt;0)</f>
        <v>0</v>
      </c>
      <c r="V32" s="14" cm="1">
        <f t="array" ref="V32">INT(SUMPRODUCT(--ISNUMBER(SEARCH(abortion,'David Perdue'!C32)))&gt;0)</f>
        <v>0</v>
      </c>
      <c r="W32" s="14" cm="1">
        <f t="array" ref="W32">INT(SUMPRODUCT(--ISNUMBER(SEARCH(trump,'David Perdue'!C32)))&gt;0)</f>
        <v>0</v>
      </c>
      <c r="X32" s="14" cm="1">
        <f t="array" ref="X32">INT(SUMPRODUCT(--ISNUMBER(SEARCH(voting,'David Perdue'!C32)))&gt;0)</f>
        <v>0</v>
      </c>
      <c r="Y32" s="14" cm="1">
        <f t="array" ref="Y32">INT(SUMPRODUCT(--ISNUMBER(SEARCH(republicantrigger,'David Perdue'!C32)))&gt;0)</f>
        <v>0</v>
      </c>
      <c r="Z32" s="14" cm="1">
        <f t="array" ref="Z32">INT(SUMPRODUCT(--ISNUMBER(SEARCH(bipartisan,'David Perdue'!C32)))&gt;0)</f>
        <v>0</v>
      </c>
      <c r="AA32" s="14">
        <f t="shared" si="0"/>
        <v>1</v>
      </c>
      <c r="AB32" s="14"/>
      <c r="AC32" s="30">
        <v>1</v>
      </c>
      <c r="AD32" s="37">
        <v>0</v>
      </c>
    </row>
    <row r="33" spans="1:30" x14ac:dyDescent="0.25">
      <c r="A33" s="54">
        <v>349</v>
      </c>
      <c r="B33" s="14" t="s">
        <v>729</v>
      </c>
      <c r="C33" s="14" t="s">
        <v>730</v>
      </c>
      <c r="D33" s="17">
        <v>44133</v>
      </c>
      <c r="E33" s="14" t="s">
        <v>30</v>
      </c>
      <c r="F33" s="14">
        <v>234</v>
      </c>
      <c r="G33" s="14">
        <v>34</v>
      </c>
      <c r="H33" s="14">
        <v>3</v>
      </c>
      <c r="I33" s="14">
        <v>2</v>
      </c>
      <c r="J33" s="14" t="s">
        <v>31</v>
      </c>
      <c r="K33" s="14" cm="1">
        <f t="array" ref="K33">INT(SUMPRODUCT(--ISNUMBER(SEARCH(economy,'David Perdue'!C33)))&gt;0)</f>
        <v>0</v>
      </c>
      <c r="L33" s="14" cm="1">
        <f t="array" ref="L33">INT(SUMPRODUCT(--ISNUMBER(SEARCH(healthcare,'David Perdue'!C33)))&gt;0)</f>
        <v>0</v>
      </c>
      <c r="M33" s="14" cm="1">
        <f t="array" ref="M33">INT(SUMPRODUCT(--ISNUMBER(SEARCH(supreme,'David Perdue'!C33)))&gt;0)</f>
        <v>0</v>
      </c>
      <c r="N33" s="14" cm="1">
        <f t="array" ref="N33">INT(SUMPRODUCT(--ISNUMBER(SEARCH(covid,'David Perdue'!C33)))&gt;0)</f>
        <v>0</v>
      </c>
      <c r="O33" s="14" cm="1">
        <f t="array" ref="O33">INT(SUMPRODUCT(--ISNUMBER(SEARCH(violent,'David Perdue'!C33)))&gt;0)</f>
        <v>0</v>
      </c>
      <c r="P33" s="14" cm="1">
        <f t="array" ref="P33">INT(SUMPRODUCT(--ISNUMBER(SEARCH(foreign,'David Perdue'!C33)))&gt;0)</f>
        <v>0</v>
      </c>
      <c r="Q33" s="14" cm="1">
        <f t="array" ref="Q33">INT(SUMPRODUCT(--ISNUMBER(SEARCH(gun,'David Perdue'!C33)))&gt;0)</f>
        <v>0</v>
      </c>
      <c r="R33" s="14" cm="1">
        <f t="array" ref="R33">INT(SUMPRODUCT(--ISNUMBER(SEARCH(race,'David Perdue'!C33)))&gt;0)</f>
        <v>0</v>
      </c>
      <c r="S33" s="14" cm="1">
        <f t="array" ref="S33">INT(SUMPRODUCT(--ISNUMBER(SEARCH(immigration,C33)))&gt;0)</f>
        <v>0</v>
      </c>
      <c r="T33" s="14" cm="1">
        <f t="array" ref="T33">INT(SUMPRODUCT(--ISNUMBER(SEARCH(econineq,C33)))&gt;0)</f>
        <v>0</v>
      </c>
      <c r="U33" s="14" cm="1">
        <f t="array" ref="U33">INT(SUMPRODUCT(--ISNUMBER(SEARCH(climate,'David Perdue'!C33)))&gt;0)</f>
        <v>0</v>
      </c>
      <c r="V33" s="14" cm="1">
        <f t="array" ref="V33">INT(SUMPRODUCT(--ISNUMBER(SEARCH(abortion,'David Perdue'!C33)))&gt;0)</f>
        <v>0</v>
      </c>
      <c r="W33" s="14" cm="1">
        <f t="array" ref="W33">INT(SUMPRODUCT(--ISNUMBER(SEARCH(trump,'David Perdue'!C33)))&gt;0)</f>
        <v>0</v>
      </c>
      <c r="X33" s="14" cm="1">
        <f t="array" ref="X33">INT(SUMPRODUCT(--ISNUMBER(SEARCH(voting,'David Perdue'!C33)))&gt;0)</f>
        <v>0</v>
      </c>
      <c r="Y33" s="14" cm="1">
        <f t="array" ref="Y33">INT(SUMPRODUCT(--ISNUMBER(SEARCH(republicantrigger,'David Perdue'!C33)))&gt;0)</f>
        <v>0</v>
      </c>
      <c r="Z33" s="14" cm="1">
        <f t="array" ref="Z33">INT(SUMPRODUCT(--ISNUMBER(SEARCH(bipartisan,'David Perdue'!C33)))&gt;0)</f>
        <v>0</v>
      </c>
      <c r="AA33" s="14">
        <f t="shared" si="0"/>
        <v>1</v>
      </c>
      <c r="AB33" s="14"/>
      <c r="AC33" s="30">
        <v>1</v>
      </c>
      <c r="AD33" s="37">
        <v>0</v>
      </c>
    </row>
    <row r="34" spans="1:30" x14ac:dyDescent="0.25">
      <c r="A34" s="54">
        <v>350</v>
      </c>
      <c r="B34" s="14" t="s">
        <v>731</v>
      </c>
      <c r="C34" s="14" t="s">
        <v>732</v>
      </c>
      <c r="D34" s="17">
        <v>44133</v>
      </c>
      <c r="E34" s="14" t="s">
        <v>30</v>
      </c>
      <c r="F34" s="14">
        <v>24</v>
      </c>
      <c r="G34" s="14">
        <v>7</v>
      </c>
      <c r="H34" s="14">
        <v>3</v>
      </c>
      <c r="I34" s="14">
        <v>2</v>
      </c>
      <c r="J34" s="14" t="s">
        <v>31</v>
      </c>
      <c r="K34" s="14" cm="1">
        <f t="array" ref="K34">INT(SUMPRODUCT(--ISNUMBER(SEARCH(economy,'David Perdue'!C34)))&gt;0)</f>
        <v>0</v>
      </c>
      <c r="L34" s="14" cm="1">
        <f t="array" ref="L34">INT(SUMPRODUCT(--ISNUMBER(SEARCH(healthcare,'David Perdue'!C34)))&gt;0)</f>
        <v>0</v>
      </c>
      <c r="M34" s="14" cm="1">
        <f t="array" ref="M34">INT(SUMPRODUCT(--ISNUMBER(SEARCH(supreme,'David Perdue'!C34)))&gt;0)</f>
        <v>0</v>
      </c>
      <c r="N34" s="14" cm="1">
        <f t="array" ref="N34">INT(SUMPRODUCT(--ISNUMBER(SEARCH(covid,'David Perdue'!C34)))&gt;0)</f>
        <v>0</v>
      </c>
      <c r="O34" s="14" cm="1">
        <f t="array" ref="O34">INT(SUMPRODUCT(--ISNUMBER(SEARCH(violent,'David Perdue'!C34)))&gt;0)</f>
        <v>0</v>
      </c>
      <c r="P34" s="14" cm="1">
        <f t="array" ref="P34">INT(SUMPRODUCT(--ISNUMBER(SEARCH(foreign,'David Perdue'!C34)))&gt;0)</f>
        <v>0</v>
      </c>
      <c r="Q34" s="14" cm="1">
        <f t="array" ref="Q34">INT(SUMPRODUCT(--ISNUMBER(SEARCH(gun,'David Perdue'!C34)))&gt;0)</f>
        <v>0</v>
      </c>
      <c r="R34" s="14" cm="1">
        <f t="array" ref="R34">INT(SUMPRODUCT(--ISNUMBER(SEARCH(race,'David Perdue'!C34)))&gt;0)</f>
        <v>0</v>
      </c>
      <c r="S34" s="14" cm="1">
        <f t="array" ref="S34">INT(SUMPRODUCT(--ISNUMBER(SEARCH(immigration,C34)))&gt;0)</f>
        <v>0</v>
      </c>
      <c r="T34" s="14" cm="1">
        <f t="array" ref="T34">INT(SUMPRODUCT(--ISNUMBER(SEARCH(econineq,C34)))&gt;0)</f>
        <v>0</v>
      </c>
      <c r="U34" s="14" cm="1">
        <f t="array" ref="U34">INT(SUMPRODUCT(--ISNUMBER(SEARCH(climate,'David Perdue'!C34)))&gt;0)</f>
        <v>0</v>
      </c>
      <c r="V34" s="14" cm="1">
        <f t="array" ref="V34">INT(SUMPRODUCT(--ISNUMBER(SEARCH(abortion,'David Perdue'!C34)))&gt;0)</f>
        <v>0</v>
      </c>
      <c r="W34" s="14" cm="1">
        <f t="array" ref="W34">INT(SUMPRODUCT(--ISNUMBER(SEARCH(trump,'David Perdue'!C34)))&gt;0)</f>
        <v>0</v>
      </c>
      <c r="X34" s="14" cm="1">
        <f t="array" ref="X34">INT(SUMPRODUCT(--ISNUMBER(SEARCH(voting,'David Perdue'!C34)))&gt;0)</f>
        <v>1</v>
      </c>
      <c r="Y34" s="14" cm="1">
        <f t="array" ref="Y34">INT(SUMPRODUCT(--ISNUMBER(SEARCH(republicantrigger,'David Perdue'!C34)))&gt;0)</f>
        <v>0</v>
      </c>
      <c r="Z34" s="14" cm="1">
        <f t="array" ref="Z34">INT(SUMPRODUCT(--ISNUMBER(SEARCH(bipartisan,'David Perdue'!C34)))&gt;0)</f>
        <v>0</v>
      </c>
      <c r="AA34" s="14">
        <f t="shared" ref="AA34:AA65" si="1">INT(IF(COUNTIF(K34:Z34,1)=0,"1","0"))</f>
        <v>0</v>
      </c>
      <c r="AB34" s="14"/>
      <c r="AC34" s="30" t="s">
        <v>223</v>
      </c>
      <c r="AD34" s="37" t="s">
        <v>223</v>
      </c>
    </row>
    <row r="35" spans="1:30" x14ac:dyDescent="0.25">
      <c r="A35" s="54">
        <v>351</v>
      </c>
      <c r="B35" s="14" t="s">
        <v>733</v>
      </c>
      <c r="C35" s="14" t="s">
        <v>734</v>
      </c>
      <c r="D35" s="17">
        <v>44133</v>
      </c>
      <c r="E35" s="14" t="s">
        <v>30</v>
      </c>
      <c r="F35" s="14">
        <v>153</v>
      </c>
      <c r="G35" s="14">
        <v>62</v>
      </c>
      <c r="H35" s="14">
        <v>3</v>
      </c>
      <c r="I35" s="14">
        <v>2</v>
      </c>
      <c r="J35" s="14" t="s">
        <v>31</v>
      </c>
      <c r="K35" s="14" cm="1">
        <f t="array" ref="K35">INT(SUMPRODUCT(--ISNUMBER(SEARCH(economy,'David Perdue'!C35)))&gt;0)</f>
        <v>0</v>
      </c>
      <c r="L35" s="14" cm="1">
        <f t="array" ref="L35">INT(SUMPRODUCT(--ISNUMBER(SEARCH(healthcare,'David Perdue'!C35)))&gt;0)</f>
        <v>0</v>
      </c>
      <c r="M35" s="14" cm="1">
        <f t="array" ref="M35">INT(SUMPRODUCT(--ISNUMBER(SEARCH(supreme,'David Perdue'!C35)))&gt;0)</f>
        <v>0</v>
      </c>
      <c r="N35" s="14" cm="1">
        <f t="array" ref="N35">INT(SUMPRODUCT(--ISNUMBER(SEARCH(covid,'David Perdue'!C35)))&gt;0)</f>
        <v>0</v>
      </c>
      <c r="O35" s="14" cm="1">
        <f t="array" ref="O35">INT(SUMPRODUCT(--ISNUMBER(SEARCH(violent,'David Perdue'!C35)))&gt;0)</f>
        <v>0</v>
      </c>
      <c r="P35" s="14" cm="1">
        <f t="array" ref="P35">INT(SUMPRODUCT(--ISNUMBER(SEARCH(foreign,'David Perdue'!C35)))&gt;0)</f>
        <v>0</v>
      </c>
      <c r="Q35" s="14" cm="1">
        <f t="array" ref="Q35">INT(SUMPRODUCT(--ISNUMBER(SEARCH(gun,'David Perdue'!C35)))&gt;0)</f>
        <v>0</v>
      </c>
      <c r="R35" s="14" cm="1">
        <f t="array" ref="R35">INT(SUMPRODUCT(--ISNUMBER(SEARCH(race,'David Perdue'!C35)))&gt;0)</f>
        <v>0</v>
      </c>
      <c r="S35" s="14" cm="1">
        <f t="array" ref="S35">INT(SUMPRODUCT(--ISNUMBER(SEARCH(immigration,C35)))&gt;0)</f>
        <v>0</v>
      </c>
      <c r="T35" s="14" cm="1">
        <f t="array" ref="T35">INT(SUMPRODUCT(--ISNUMBER(SEARCH(econineq,C35)))&gt;0)</f>
        <v>0</v>
      </c>
      <c r="U35" s="14" cm="1">
        <f t="array" ref="U35">INT(SUMPRODUCT(--ISNUMBER(SEARCH(climate,'David Perdue'!C35)))&gt;0)</f>
        <v>0</v>
      </c>
      <c r="V35" s="14" cm="1">
        <f t="array" ref="V35">INT(SUMPRODUCT(--ISNUMBER(SEARCH(abortion,'David Perdue'!C35)))&gt;0)</f>
        <v>0</v>
      </c>
      <c r="W35" s="14" cm="1">
        <f t="array" ref="W35">INT(SUMPRODUCT(--ISNUMBER(SEARCH(trump,'David Perdue'!C35)))&gt;0)</f>
        <v>0</v>
      </c>
      <c r="X35" s="14" cm="1">
        <f t="array" ref="X35">INT(SUMPRODUCT(--ISNUMBER(SEARCH(voting,'David Perdue'!C35)))&gt;0)</f>
        <v>0</v>
      </c>
      <c r="Y35" s="14" cm="1">
        <f t="array" ref="Y35">INT(SUMPRODUCT(--ISNUMBER(SEARCH(republicantrigger,'David Perdue'!C35)))&gt;0)</f>
        <v>1</v>
      </c>
      <c r="Z35" s="14" cm="1">
        <f t="array" ref="Z35">INT(SUMPRODUCT(--ISNUMBER(SEARCH(bipartisan,'David Perdue'!C35)))&gt;0)</f>
        <v>0</v>
      </c>
      <c r="AA35" s="14">
        <f t="shared" si="1"/>
        <v>0</v>
      </c>
      <c r="AB35" s="14"/>
      <c r="AC35" s="30">
        <v>0</v>
      </c>
      <c r="AD35" s="37">
        <v>1</v>
      </c>
    </row>
    <row r="36" spans="1:30" x14ac:dyDescent="0.25">
      <c r="A36" s="54">
        <v>352</v>
      </c>
      <c r="B36" s="14" t="s">
        <v>735</v>
      </c>
      <c r="C36" s="14" t="s">
        <v>736</v>
      </c>
      <c r="D36" s="17">
        <v>44133</v>
      </c>
      <c r="E36" s="14" t="s">
        <v>30</v>
      </c>
      <c r="F36" s="14">
        <v>50</v>
      </c>
      <c r="G36" s="14">
        <v>18</v>
      </c>
      <c r="H36" s="14">
        <v>3</v>
      </c>
      <c r="I36" s="14">
        <v>2</v>
      </c>
      <c r="J36" s="14" t="s">
        <v>31</v>
      </c>
      <c r="K36" s="14" cm="1">
        <f t="array" ref="K36">INT(SUMPRODUCT(--ISNUMBER(SEARCH(economy,'David Perdue'!C36)))&gt;0)</f>
        <v>0</v>
      </c>
      <c r="L36" s="14" cm="1">
        <f t="array" ref="L36">INT(SUMPRODUCT(--ISNUMBER(SEARCH(healthcare,'David Perdue'!C36)))&gt;0)</f>
        <v>0</v>
      </c>
      <c r="M36" s="14" cm="1">
        <f t="array" ref="M36">INT(SUMPRODUCT(--ISNUMBER(SEARCH(supreme,'David Perdue'!C36)))&gt;0)</f>
        <v>0</v>
      </c>
      <c r="N36" s="14" cm="1">
        <f t="array" ref="N36">INT(SUMPRODUCT(--ISNUMBER(SEARCH(covid,'David Perdue'!C36)))&gt;0)</f>
        <v>0</v>
      </c>
      <c r="O36" s="14" cm="1">
        <f t="array" ref="O36">INT(SUMPRODUCT(--ISNUMBER(SEARCH(violent,'David Perdue'!C36)))&gt;0)</f>
        <v>0</v>
      </c>
      <c r="P36" s="14" cm="1">
        <f t="array" ref="P36">INT(SUMPRODUCT(--ISNUMBER(SEARCH(foreign,'David Perdue'!C36)))&gt;0)</f>
        <v>0</v>
      </c>
      <c r="Q36" s="14" cm="1">
        <f t="array" ref="Q36">INT(SUMPRODUCT(--ISNUMBER(SEARCH(gun,'David Perdue'!C36)))&gt;0)</f>
        <v>0</v>
      </c>
      <c r="R36" s="14" cm="1">
        <f t="array" ref="R36">INT(SUMPRODUCT(--ISNUMBER(SEARCH(race,'David Perdue'!C36)))&gt;0)</f>
        <v>0</v>
      </c>
      <c r="S36" s="14" cm="1">
        <f t="array" ref="S36">INT(SUMPRODUCT(--ISNUMBER(SEARCH(immigration,C36)))&gt;0)</f>
        <v>0</v>
      </c>
      <c r="T36" s="14" cm="1">
        <f t="array" ref="T36">INT(SUMPRODUCT(--ISNUMBER(SEARCH(econineq,C36)))&gt;0)</f>
        <v>0</v>
      </c>
      <c r="U36" s="14" cm="1">
        <f t="array" ref="U36">INT(SUMPRODUCT(--ISNUMBER(SEARCH(climate,'David Perdue'!C36)))&gt;0)</f>
        <v>0</v>
      </c>
      <c r="V36" s="14" cm="1">
        <f t="array" ref="V36">INT(SUMPRODUCT(--ISNUMBER(SEARCH(abortion,'David Perdue'!C36)))&gt;0)</f>
        <v>0</v>
      </c>
      <c r="W36" s="14" cm="1">
        <f t="array" ref="W36">INT(SUMPRODUCT(--ISNUMBER(SEARCH(trump,'David Perdue'!C36)))&gt;0)</f>
        <v>0</v>
      </c>
      <c r="X36" s="14" cm="1">
        <f t="array" ref="X36">INT(SUMPRODUCT(--ISNUMBER(SEARCH(voting,'David Perdue'!C36)))&gt;0)</f>
        <v>1</v>
      </c>
      <c r="Y36" s="14" cm="1">
        <f t="array" ref="Y36">INT(SUMPRODUCT(--ISNUMBER(SEARCH(republicantrigger,'David Perdue'!C36)))&gt;0)</f>
        <v>0</v>
      </c>
      <c r="Z36" s="14" cm="1">
        <f t="array" ref="Z36">INT(SUMPRODUCT(--ISNUMBER(SEARCH(bipartisan,'David Perdue'!C36)))&gt;0)</f>
        <v>0</v>
      </c>
      <c r="AA36" s="14">
        <f t="shared" si="1"/>
        <v>0</v>
      </c>
      <c r="AB36" s="14"/>
      <c r="AC36" s="30">
        <v>1</v>
      </c>
      <c r="AD36" s="37">
        <v>0</v>
      </c>
    </row>
    <row r="37" spans="1:30" x14ac:dyDescent="0.25">
      <c r="A37" s="54">
        <v>353</v>
      </c>
      <c r="B37" s="14" t="s">
        <v>737</v>
      </c>
      <c r="C37" s="14" t="s">
        <v>738</v>
      </c>
      <c r="D37" s="17">
        <v>44132</v>
      </c>
      <c r="E37" s="14" t="s">
        <v>30</v>
      </c>
      <c r="F37" s="14">
        <v>13</v>
      </c>
      <c r="G37" s="14">
        <v>5</v>
      </c>
      <c r="H37" s="14">
        <v>3</v>
      </c>
      <c r="I37" s="14">
        <v>2</v>
      </c>
      <c r="J37" s="14" t="s">
        <v>31</v>
      </c>
      <c r="K37" s="14" cm="1">
        <f t="array" ref="K37">INT(SUMPRODUCT(--ISNUMBER(SEARCH(economy,'David Perdue'!C37)))&gt;0)</f>
        <v>0</v>
      </c>
      <c r="L37" s="14" cm="1">
        <f t="array" ref="L37">INT(SUMPRODUCT(--ISNUMBER(SEARCH(healthcare,'David Perdue'!C37)))&gt;0)</f>
        <v>0</v>
      </c>
      <c r="M37" s="14" cm="1">
        <f t="array" ref="M37">INT(SUMPRODUCT(--ISNUMBER(SEARCH(supreme,'David Perdue'!C37)))&gt;0)</f>
        <v>1</v>
      </c>
      <c r="N37" s="14" cm="1">
        <f t="array" ref="N37">INT(SUMPRODUCT(--ISNUMBER(SEARCH(covid,'David Perdue'!C37)))&gt;0)</f>
        <v>0</v>
      </c>
      <c r="O37" s="14" cm="1">
        <f t="array" ref="O37">INT(SUMPRODUCT(--ISNUMBER(SEARCH(violent,'David Perdue'!C37)))&gt;0)</f>
        <v>0</v>
      </c>
      <c r="P37" s="14" cm="1">
        <f t="array" ref="P37">INT(SUMPRODUCT(--ISNUMBER(SEARCH(foreign,'David Perdue'!C37)))&gt;0)</f>
        <v>0</v>
      </c>
      <c r="Q37" s="14" cm="1">
        <f t="array" ref="Q37">INT(SUMPRODUCT(--ISNUMBER(SEARCH(gun,'David Perdue'!C37)))&gt;0)</f>
        <v>0</v>
      </c>
      <c r="R37" s="14" cm="1">
        <f t="array" ref="R37">INT(SUMPRODUCT(--ISNUMBER(SEARCH(race,'David Perdue'!C37)))&gt;0)</f>
        <v>0</v>
      </c>
      <c r="S37" s="14" cm="1">
        <f t="array" ref="S37">INT(SUMPRODUCT(--ISNUMBER(SEARCH(immigration,C37)))&gt;0)</f>
        <v>0</v>
      </c>
      <c r="T37" s="14" cm="1">
        <f t="array" ref="T37">INT(SUMPRODUCT(--ISNUMBER(SEARCH(econineq,C37)))&gt;0)</f>
        <v>0</v>
      </c>
      <c r="U37" s="14" cm="1">
        <f t="array" ref="U37">INT(SUMPRODUCT(--ISNUMBER(SEARCH(climate,'David Perdue'!C37)))&gt;0)</f>
        <v>0</v>
      </c>
      <c r="V37" s="14" cm="1">
        <f t="array" ref="V37">INT(SUMPRODUCT(--ISNUMBER(SEARCH(abortion,'David Perdue'!C37)))&gt;0)</f>
        <v>0</v>
      </c>
      <c r="W37" s="14" cm="1">
        <f t="array" ref="W37">INT(SUMPRODUCT(--ISNUMBER(SEARCH(trump,'David Perdue'!C37)))&gt;0)</f>
        <v>0</v>
      </c>
      <c r="X37" s="14" cm="1">
        <f t="array" ref="X37">INT(SUMPRODUCT(--ISNUMBER(SEARCH(voting,'David Perdue'!C37)))&gt;0)</f>
        <v>0</v>
      </c>
      <c r="Y37" s="14" cm="1">
        <f t="array" ref="Y37">INT(SUMPRODUCT(--ISNUMBER(SEARCH(republicantrigger,'David Perdue'!C37)))&gt;0)</f>
        <v>0</v>
      </c>
      <c r="Z37" s="14" cm="1">
        <f t="array" ref="Z37">INT(SUMPRODUCT(--ISNUMBER(SEARCH(bipartisan,'David Perdue'!C37)))&gt;0)</f>
        <v>0</v>
      </c>
      <c r="AA37" s="14">
        <f t="shared" si="1"/>
        <v>0</v>
      </c>
      <c r="AB37" s="14"/>
      <c r="AC37" s="30">
        <v>1</v>
      </c>
      <c r="AD37" s="37">
        <v>0</v>
      </c>
    </row>
    <row r="38" spans="1:30" x14ac:dyDescent="0.25">
      <c r="A38" s="54">
        <v>354</v>
      </c>
      <c r="B38" s="14" t="s">
        <v>739</v>
      </c>
      <c r="C38" s="14" t="s">
        <v>740</v>
      </c>
      <c r="D38" s="17">
        <v>44132</v>
      </c>
      <c r="E38" s="14" t="s">
        <v>30</v>
      </c>
      <c r="F38" s="14">
        <v>15</v>
      </c>
      <c r="G38" s="14">
        <v>9</v>
      </c>
      <c r="H38" s="14">
        <v>3</v>
      </c>
      <c r="I38" s="14">
        <v>2</v>
      </c>
      <c r="J38" s="14" t="s">
        <v>31</v>
      </c>
      <c r="K38" s="14" cm="1">
        <f t="array" ref="K38">INT(SUMPRODUCT(--ISNUMBER(SEARCH(economy,'David Perdue'!C38)))&gt;0)</f>
        <v>1</v>
      </c>
      <c r="L38" s="14" cm="1">
        <f t="array" ref="L38">INT(SUMPRODUCT(--ISNUMBER(SEARCH(healthcare,'David Perdue'!C38)))&gt;0)</f>
        <v>0</v>
      </c>
      <c r="M38" s="14" cm="1">
        <f t="array" ref="M38">INT(SUMPRODUCT(--ISNUMBER(SEARCH(supreme,'David Perdue'!C38)))&gt;0)</f>
        <v>0</v>
      </c>
      <c r="N38" s="14" cm="1">
        <f t="array" ref="N38">INT(SUMPRODUCT(--ISNUMBER(SEARCH(covid,'David Perdue'!C38)))&gt;0)</f>
        <v>0</v>
      </c>
      <c r="O38" s="14" cm="1">
        <f t="array" ref="O38">INT(SUMPRODUCT(--ISNUMBER(SEARCH(violent,'David Perdue'!C38)))&gt;0)</f>
        <v>0</v>
      </c>
      <c r="P38" s="14" cm="1">
        <f t="array" ref="P38">INT(SUMPRODUCT(--ISNUMBER(SEARCH(foreign,'David Perdue'!C38)))&gt;0)</f>
        <v>0</v>
      </c>
      <c r="Q38" s="14" cm="1">
        <f t="array" ref="Q38">INT(SUMPRODUCT(--ISNUMBER(SEARCH(gun,'David Perdue'!C38)))&gt;0)</f>
        <v>0</v>
      </c>
      <c r="R38" s="14" cm="1">
        <f t="array" ref="R38">INT(SUMPRODUCT(--ISNUMBER(SEARCH(race,'David Perdue'!C38)))&gt;0)</f>
        <v>0</v>
      </c>
      <c r="S38" s="14" cm="1">
        <f t="array" ref="S38">INT(SUMPRODUCT(--ISNUMBER(SEARCH(immigration,C38)))&gt;0)</f>
        <v>0</v>
      </c>
      <c r="T38" s="14" cm="1">
        <f t="array" ref="T38">INT(SUMPRODUCT(--ISNUMBER(SEARCH(econineq,C38)))&gt;0)</f>
        <v>0</v>
      </c>
      <c r="U38" s="14" cm="1">
        <f t="array" ref="U38">INT(SUMPRODUCT(--ISNUMBER(SEARCH(climate,'David Perdue'!C38)))&gt;0)</f>
        <v>0</v>
      </c>
      <c r="V38" s="14" cm="1">
        <f t="array" ref="V38">INT(SUMPRODUCT(--ISNUMBER(SEARCH(abortion,'David Perdue'!C38)))&gt;0)</f>
        <v>0</v>
      </c>
      <c r="W38" s="14" cm="1">
        <f t="array" ref="W38">INT(SUMPRODUCT(--ISNUMBER(SEARCH(trump,'David Perdue'!C38)))&gt;0)</f>
        <v>0</v>
      </c>
      <c r="X38" s="14" cm="1">
        <f t="array" ref="X38">INT(SUMPRODUCT(--ISNUMBER(SEARCH(voting,'David Perdue'!C38)))&gt;0)</f>
        <v>0</v>
      </c>
      <c r="Y38" s="14" cm="1">
        <f t="array" ref="Y38">INT(SUMPRODUCT(--ISNUMBER(SEARCH(republicantrigger,'David Perdue'!C38)))&gt;0)</f>
        <v>1</v>
      </c>
      <c r="Z38" s="14" cm="1">
        <f t="array" ref="Z38">INT(SUMPRODUCT(--ISNUMBER(SEARCH(bipartisan,'David Perdue'!C38)))&gt;0)</f>
        <v>0</v>
      </c>
      <c r="AA38" s="14">
        <f t="shared" si="1"/>
        <v>0</v>
      </c>
      <c r="AB38" s="14"/>
      <c r="AC38" s="30">
        <v>1</v>
      </c>
      <c r="AD38" s="37">
        <v>0</v>
      </c>
    </row>
    <row r="39" spans="1:30" x14ac:dyDescent="0.25">
      <c r="A39" s="54">
        <v>355</v>
      </c>
      <c r="B39" s="14" t="s">
        <v>741</v>
      </c>
      <c r="C39" s="14" t="s">
        <v>742</v>
      </c>
      <c r="D39" s="17">
        <v>44132</v>
      </c>
      <c r="E39" s="14" t="s">
        <v>30</v>
      </c>
      <c r="F39" s="14">
        <v>18</v>
      </c>
      <c r="G39" s="14">
        <v>7</v>
      </c>
      <c r="H39" s="14">
        <v>3</v>
      </c>
      <c r="I39" s="14">
        <v>2</v>
      </c>
      <c r="J39" s="14" t="s">
        <v>31</v>
      </c>
      <c r="K39" s="14" cm="1">
        <f t="array" ref="K39">INT(SUMPRODUCT(--ISNUMBER(SEARCH(economy,'David Perdue'!C39)))&gt;0)</f>
        <v>0</v>
      </c>
      <c r="L39" s="14" cm="1">
        <f t="array" ref="L39">INT(SUMPRODUCT(--ISNUMBER(SEARCH(healthcare,'David Perdue'!C39)))&gt;0)</f>
        <v>0</v>
      </c>
      <c r="M39" s="14" cm="1">
        <f t="array" ref="M39">INT(SUMPRODUCT(--ISNUMBER(SEARCH(supreme,'David Perdue'!C39)))&gt;0)</f>
        <v>0</v>
      </c>
      <c r="N39" s="14" cm="1">
        <f t="array" ref="N39">INT(SUMPRODUCT(--ISNUMBER(SEARCH(covid,'David Perdue'!C39)))&gt;0)</f>
        <v>0</v>
      </c>
      <c r="O39" s="14" cm="1">
        <f t="array" ref="O39">INT(SUMPRODUCT(--ISNUMBER(SEARCH(violent,'David Perdue'!C39)))&gt;0)</f>
        <v>0</v>
      </c>
      <c r="P39" s="14" cm="1">
        <f t="array" ref="P39">INT(SUMPRODUCT(--ISNUMBER(SEARCH(foreign,'David Perdue'!C39)))&gt;0)</f>
        <v>0</v>
      </c>
      <c r="Q39" s="14" cm="1">
        <f t="array" ref="Q39">INT(SUMPRODUCT(--ISNUMBER(SEARCH(gun,'David Perdue'!C39)))&gt;0)</f>
        <v>0</v>
      </c>
      <c r="R39" s="14" cm="1">
        <f t="array" ref="R39">INT(SUMPRODUCT(--ISNUMBER(SEARCH(race,'David Perdue'!C39)))&gt;0)</f>
        <v>0</v>
      </c>
      <c r="S39" s="14" cm="1">
        <f t="array" ref="S39">INT(SUMPRODUCT(--ISNUMBER(SEARCH(immigration,C39)))&gt;0)</f>
        <v>0</v>
      </c>
      <c r="T39" s="14" cm="1">
        <f t="array" ref="T39">INT(SUMPRODUCT(--ISNUMBER(SEARCH(econineq,C39)))&gt;0)</f>
        <v>0</v>
      </c>
      <c r="U39" s="14" cm="1">
        <f t="array" ref="U39">INT(SUMPRODUCT(--ISNUMBER(SEARCH(climate,'David Perdue'!C39)))&gt;0)</f>
        <v>0</v>
      </c>
      <c r="V39" s="14" cm="1">
        <f t="array" ref="V39">INT(SUMPRODUCT(--ISNUMBER(SEARCH(abortion,'David Perdue'!C39)))&gt;0)</f>
        <v>0</v>
      </c>
      <c r="W39" s="14" cm="1">
        <f t="array" ref="W39">INT(SUMPRODUCT(--ISNUMBER(SEARCH(trump,'David Perdue'!C39)))&gt;0)</f>
        <v>0</v>
      </c>
      <c r="X39" s="14" cm="1">
        <f t="array" ref="X39">INT(SUMPRODUCT(--ISNUMBER(SEARCH(voting,'David Perdue'!C39)))&gt;0)</f>
        <v>0</v>
      </c>
      <c r="Y39" s="14" cm="1">
        <f t="array" ref="Y39">INT(SUMPRODUCT(--ISNUMBER(SEARCH(republicantrigger,'David Perdue'!C39)))&gt;0)</f>
        <v>0</v>
      </c>
      <c r="Z39" s="14" cm="1">
        <f t="array" ref="Z39">INT(SUMPRODUCT(--ISNUMBER(SEARCH(bipartisan,'David Perdue'!C39)))&gt;0)</f>
        <v>0</v>
      </c>
      <c r="AA39" s="14">
        <f t="shared" si="1"/>
        <v>1</v>
      </c>
      <c r="AB39" s="14"/>
      <c r="AC39" s="30">
        <v>1</v>
      </c>
      <c r="AD39" s="37">
        <v>0</v>
      </c>
    </row>
    <row r="40" spans="1:30" x14ac:dyDescent="0.25">
      <c r="A40" s="54">
        <v>356</v>
      </c>
      <c r="B40" s="14" t="s">
        <v>743</v>
      </c>
      <c r="C40" s="14" t="s">
        <v>744</v>
      </c>
      <c r="D40" s="17">
        <v>44132</v>
      </c>
      <c r="E40" s="14" t="s">
        <v>30</v>
      </c>
      <c r="F40" s="14">
        <v>34</v>
      </c>
      <c r="G40" s="14">
        <v>11</v>
      </c>
      <c r="H40" s="14">
        <v>3</v>
      </c>
      <c r="I40" s="14">
        <v>2</v>
      </c>
      <c r="J40" s="14" t="s">
        <v>31</v>
      </c>
      <c r="K40" s="14" cm="1">
        <f t="array" ref="K40">INT(SUMPRODUCT(--ISNUMBER(SEARCH(economy,'David Perdue'!C40)))&gt;0)</f>
        <v>1</v>
      </c>
      <c r="L40" s="14" cm="1">
        <f t="array" ref="L40">INT(SUMPRODUCT(--ISNUMBER(SEARCH(healthcare,'David Perdue'!C40)))&gt;0)</f>
        <v>1</v>
      </c>
      <c r="M40" s="14" cm="1">
        <f t="array" ref="M40">INT(SUMPRODUCT(--ISNUMBER(SEARCH(supreme,'David Perdue'!C40)))&gt;0)</f>
        <v>0</v>
      </c>
      <c r="N40" s="14" cm="1">
        <f t="array" ref="N40">INT(SUMPRODUCT(--ISNUMBER(SEARCH(covid,'David Perdue'!C40)))&gt;0)</f>
        <v>1</v>
      </c>
      <c r="O40" s="14" cm="1">
        <f t="array" ref="O40">INT(SUMPRODUCT(--ISNUMBER(SEARCH(violent,'David Perdue'!C40)))&gt;0)</f>
        <v>0</v>
      </c>
      <c r="P40" s="14" cm="1">
        <f t="array" ref="P40">INT(SUMPRODUCT(--ISNUMBER(SEARCH(foreign,'David Perdue'!C40)))&gt;0)</f>
        <v>0</v>
      </c>
      <c r="Q40" s="14" cm="1">
        <f t="array" ref="Q40">INT(SUMPRODUCT(--ISNUMBER(SEARCH(gun,'David Perdue'!C40)))&gt;0)</f>
        <v>0</v>
      </c>
      <c r="R40" s="14" cm="1">
        <f t="array" ref="R40">INT(SUMPRODUCT(--ISNUMBER(SEARCH(race,'David Perdue'!C40)))&gt;0)</f>
        <v>0</v>
      </c>
      <c r="S40" s="14" cm="1">
        <f t="array" ref="S40">INT(SUMPRODUCT(--ISNUMBER(SEARCH(immigration,C40)))&gt;0)</f>
        <v>0</v>
      </c>
      <c r="T40" s="14" cm="1">
        <f t="array" ref="T40">INT(SUMPRODUCT(--ISNUMBER(SEARCH(econineq,C40)))&gt;0)</f>
        <v>0</v>
      </c>
      <c r="U40" s="14" cm="1">
        <f t="array" ref="U40">INT(SUMPRODUCT(--ISNUMBER(SEARCH(climate,'David Perdue'!C40)))&gt;0)</f>
        <v>0</v>
      </c>
      <c r="V40" s="14" cm="1">
        <f t="array" ref="V40">INT(SUMPRODUCT(--ISNUMBER(SEARCH(abortion,'David Perdue'!C40)))&gt;0)</f>
        <v>0</v>
      </c>
      <c r="W40" s="14" cm="1">
        <f t="array" ref="W40">INT(SUMPRODUCT(--ISNUMBER(SEARCH(trump,'David Perdue'!C40)))&gt;0)</f>
        <v>0</v>
      </c>
      <c r="X40" s="14" cm="1">
        <f t="array" ref="X40">INT(SUMPRODUCT(--ISNUMBER(SEARCH(voting,'David Perdue'!C40)))&gt;0)</f>
        <v>0</v>
      </c>
      <c r="Y40" s="14" cm="1">
        <f t="array" ref="Y40">INT(SUMPRODUCT(--ISNUMBER(SEARCH(republicantrigger,'David Perdue'!C40)))&gt;0)</f>
        <v>1</v>
      </c>
      <c r="Z40" s="14" cm="1">
        <f t="array" ref="Z40">INT(SUMPRODUCT(--ISNUMBER(SEARCH(bipartisan,'David Perdue'!C40)))&gt;0)</f>
        <v>1</v>
      </c>
      <c r="AA40" s="14">
        <f t="shared" si="1"/>
        <v>0</v>
      </c>
      <c r="AB40" s="14"/>
      <c r="AC40" s="30">
        <v>1</v>
      </c>
      <c r="AD40" s="37">
        <v>0</v>
      </c>
    </row>
    <row r="41" spans="1:30" x14ac:dyDescent="0.25">
      <c r="A41" s="54">
        <v>357</v>
      </c>
      <c r="B41" s="14" t="s">
        <v>745</v>
      </c>
      <c r="C41" s="14" t="s">
        <v>746</v>
      </c>
      <c r="D41" s="17">
        <v>44132</v>
      </c>
      <c r="E41" s="14" t="s">
        <v>30</v>
      </c>
      <c r="F41" s="14">
        <v>40</v>
      </c>
      <c r="G41" s="14">
        <v>16</v>
      </c>
      <c r="H41" s="14">
        <v>3</v>
      </c>
      <c r="I41" s="14">
        <v>2</v>
      </c>
      <c r="J41" s="14" t="s">
        <v>31</v>
      </c>
      <c r="K41" s="14" cm="1">
        <f t="array" ref="K41">INT(SUMPRODUCT(--ISNUMBER(SEARCH(economy,'David Perdue'!C41)))&gt;0)</f>
        <v>1</v>
      </c>
      <c r="L41" s="14" cm="1">
        <f t="array" ref="L41">INT(SUMPRODUCT(--ISNUMBER(SEARCH(healthcare,'David Perdue'!C41)))&gt;0)</f>
        <v>0</v>
      </c>
      <c r="M41" s="14" cm="1">
        <f t="array" ref="M41">INT(SUMPRODUCT(--ISNUMBER(SEARCH(supreme,'David Perdue'!C41)))&gt;0)</f>
        <v>0</v>
      </c>
      <c r="N41" s="14" cm="1">
        <f t="array" ref="N41">INT(SUMPRODUCT(--ISNUMBER(SEARCH(covid,'David Perdue'!C41)))&gt;0)</f>
        <v>0</v>
      </c>
      <c r="O41" s="14" cm="1">
        <f t="array" ref="O41">INT(SUMPRODUCT(--ISNUMBER(SEARCH(violent,'David Perdue'!C41)))&gt;0)</f>
        <v>0</v>
      </c>
      <c r="P41" s="14" cm="1">
        <f t="array" ref="P41">INT(SUMPRODUCT(--ISNUMBER(SEARCH(foreign,'David Perdue'!C41)))&gt;0)</f>
        <v>0</v>
      </c>
      <c r="Q41" s="14" cm="1">
        <f t="array" ref="Q41">INT(SUMPRODUCT(--ISNUMBER(SEARCH(gun,'David Perdue'!C41)))&gt;0)</f>
        <v>0</v>
      </c>
      <c r="R41" s="14" cm="1">
        <f t="array" ref="R41">INT(SUMPRODUCT(--ISNUMBER(SEARCH(race,'David Perdue'!C41)))&gt;0)</f>
        <v>0</v>
      </c>
      <c r="S41" s="14" cm="1">
        <f t="array" ref="S41">INT(SUMPRODUCT(--ISNUMBER(SEARCH(immigration,C41)))&gt;0)</f>
        <v>0</v>
      </c>
      <c r="T41" s="14" cm="1">
        <f t="array" ref="T41">INT(SUMPRODUCT(--ISNUMBER(SEARCH(econineq,C41)))&gt;0)</f>
        <v>0</v>
      </c>
      <c r="U41" s="14" cm="1">
        <f t="array" ref="U41">INT(SUMPRODUCT(--ISNUMBER(SEARCH(climate,'David Perdue'!C41)))&gt;0)</f>
        <v>0</v>
      </c>
      <c r="V41" s="14" cm="1">
        <f t="array" ref="V41">INT(SUMPRODUCT(--ISNUMBER(SEARCH(abortion,'David Perdue'!C41)))&gt;0)</f>
        <v>0</v>
      </c>
      <c r="W41" s="14" cm="1">
        <f t="array" ref="W41">INT(SUMPRODUCT(--ISNUMBER(SEARCH(trump,'David Perdue'!C41)))&gt;0)</f>
        <v>0</v>
      </c>
      <c r="X41" s="14" cm="1">
        <f t="array" ref="X41">INT(SUMPRODUCT(--ISNUMBER(SEARCH(voting,'David Perdue'!C41)))&gt;0)</f>
        <v>0</v>
      </c>
      <c r="Y41" s="14" cm="1">
        <f t="array" ref="Y41">INT(SUMPRODUCT(--ISNUMBER(SEARCH(republicantrigger,'David Perdue'!C41)))&gt;0)</f>
        <v>1</v>
      </c>
      <c r="Z41" s="14" cm="1">
        <f t="array" ref="Z41">INT(SUMPRODUCT(--ISNUMBER(SEARCH(bipartisan,'David Perdue'!C41)))&gt;0)</f>
        <v>0</v>
      </c>
      <c r="AA41" s="14">
        <f t="shared" si="1"/>
        <v>0</v>
      </c>
      <c r="AB41" s="14"/>
      <c r="AC41" s="30" t="s">
        <v>223</v>
      </c>
      <c r="AD41" s="37" t="s">
        <v>223</v>
      </c>
    </row>
    <row r="42" spans="1:30" x14ac:dyDescent="0.25">
      <c r="A42" s="54">
        <v>358</v>
      </c>
      <c r="B42" s="14" t="s">
        <v>747</v>
      </c>
      <c r="C42" s="14" t="s">
        <v>748</v>
      </c>
      <c r="D42" s="17">
        <v>44132</v>
      </c>
      <c r="E42" s="14" t="s">
        <v>30</v>
      </c>
      <c r="F42" s="14">
        <v>639</v>
      </c>
      <c r="G42" s="14">
        <v>166</v>
      </c>
      <c r="H42" s="14">
        <v>3</v>
      </c>
      <c r="I42" s="14">
        <v>2</v>
      </c>
      <c r="J42" s="14" t="s">
        <v>31</v>
      </c>
      <c r="K42" s="14" cm="1">
        <f t="array" ref="K42">INT(SUMPRODUCT(--ISNUMBER(SEARCH(economy,'David Perdue'!C42)))&gt;0)</f>
        <v>0</v>
      </c>
      <c r="L42" s="14" cm="1">
        <f t="array" ref="L42">INT(SUMPRODUCT(--ISNUMBER(SEARCH(healthcare,'David Perdue'!C42)))&gt;0)</f>
        <v>0</v>
      </c>
      <c r="M42" s="14" cm="1">
        <f t="array" ref="M42">INT(SUMPRODUCT(--ISNUMBER(SEARCH(supreme,'David Perdue'!C42)))&gt;0)</f>
        <v>0</v>
      </c>
      <c r="N42" s="14" cm="1">
        <f t="array" ref="N42">INT(SUMPRODUCT(--ISNUMBER(SEARCH(covid,'David Perdue'!C42)))&gt;0)</f>
        <v>0</v>
      </c>
      <c r="O42" s="14" cm="1">
        <f t="array" ref="O42">INT(SUMPRODUCT(--ISNUMBER(SEARCH(violent,'David Perdue'!C42)))&gt;0)</f>
        <v>0</v>
      </c>
      <c r="P42" s="14" cm="1">
        <f t="array" ref="P42">INT(SUMPRODUCT(--ISNUMBER(SEARCH(foreign,'David Perdue'!C42)))&gt;0)</f>
        <v>0</v>
      </c>
      <c r="Q42" s="14" cm="1">
        <f t="array" ref="Q42">INT(SUMPRODUCT(--ISNUMBER(SEARCH(gun,'David Perdue'!C42)))&gt;0)</f>
        <v>1</v>
      </c>
      <c r="R42" s="14" cm="1">
        <f t="array" ref="R42">INT(SUMPRODUCT(--ISNUMBER(SEARCH(race,'David Perdue'!C42)))&gt;0)</f>
        <v>0</v>
      </c>
      <c r="S42" s="14" cm="1">
        <f t="array" ref="S42">INT(SUMPRODUCT(--ISNUMBER(SEARCH(immigration,C42)))&gt;0)</f>
        <v>0</v>
      </c>
      <c r="T42" s="14" cm="1">
        <f t="array" ref="T42">INT(SUMPRODUCT(--ISNUMBER(SEARCH(econineq,C42)))&gt;0)</f>
        <v>0</v>
      </c>
      <c r="U42" s="14" cm="1">
        <f t="array" ref="U42">INT(SUMPRODUCT(--ISNUMBER(SEARCH(climate,'David Perdue'!C42)))&gt;0)</f>
        <v>1</v>
      </c>
      <c r="V42" s="14" cm="1">
        <f t="array" ref="V42">INT(SUMPRODUCT(--ISNUMBER(SEARCH(abortion,'David Perdue'!C42)))&gt;0)</f>
        <v>0</v>
      </c>
      <c r="W42" s="14" cm="1">
        <f t="array" ref="W42">INT(SUMPRODUCT(--ISNUMBER(SEARCH(trump,'David Perdue'!C42)))&gt;0)</f>
        <v>0</v>
      </c>
      <c r="X42" s="14" cm="1">
        <f t="array" ref="X42">INT(SUMPRODUCT(--ISNUMBER(SEARCH(voting,'David Perdue'!C42)))&gt;0)</f>
        <v>0</v>
      </c>
      <c r="Y42" s="14" cm="1">
        <f t="array" ref="Y42">INT(SUMPRODUCT(--ISNUMBER(SEARCH(republicantrigger,'David Perdue'!C42)))&gt;0)</f>
        <v>0</v>
      </c>
      <c r="Z42" s="14" cm="1">
        <f t="array" ref="Z42">INT(SUMPRODUCT(--ISNUMBER(SEARCH(bipartisan,'David Perdue'!C42)))&gt;0)</f>
        <v>0</v>
      </c>
      <c r="AA42" s="14">
        <f t="shared" si="1"/>
        <v>0</v>
      </c>
      <c r="AB42" s="14"/>
      <c r="AC42" s="30">
        <v>0</v>
      </c>
      <c r="AD42" s="37">
        <v>1</v>
      </c>
    </row>
    <row r="43" spans="1:30" x14ac:dyDescent="0.25">
      <c r="A43" s="54">
        <v>359</v>
      </c>
      <c r="B43" s="14" t="s">
        <v>749</v>
      </c>
      <c r="C43" s="14" t="s">
        <v>750</v>
      </c>
      <c r="D43" s="17">
        <v>44132</v>
      </c>
      <c r="E43" s="14" t="s">
        <v>30</v>
      </c>
      <c r="F43" s="14">
        <v>41</v>
      </c>
      <c r="G43" s="14">
        <v>10</v>
      </c>
      <c r="H43" s="14">
        <v>3</v>
      </c>
      <c r="I43" s="14">
        <v>2</v>
      </c>
      <c r="J43" s="14" t="s">
        <v>31</v>
      </c>
      <c r="K43" s="14" cm="1">
        <f t="array" ref="K43">INT(SUMPRODUCT(--ISNUMBER(SEARCH(economy,'David Perdue'!C43)))&gt;0)</f>
        <v>0</v>
      </c>
      <c r="L43" s="14" cm="1">
        <f t="array" ref="L43">INT(SUMPRODUCT(--ISNUMBER(SEARCH(healthcare,'David Perdue'!C43)))&gt;0)</f>
        <v>0</v>
      </c>
      <c r="M43" s="14" cm="1">
        <f t="array" ref="M43">INT(SUMPRODUCT(--ISNUMBER(SEARCH(supreme,'David Perdue'!C43)))&gt;0)</f>
        <v>0</v>
      </c>
      <c r="N43" s="14" cm="1">
        <f t="array" ref="N43">INT(SUMPRODUCT(--ISNUMBER(SEARCH(covid,'David Perdue'!C43)))&gt;0)</f>
        <v>0</v>
      </c>
      <c r="O43" s="14" cm="1">
        <f t="array" ref="O43">INT(SUMPRODUCT(--ISNUMBER(SEARCH(violent,'David Perdue'!C43)))&gt;0)</f>
        <v>0</v>
      </c>
      <c r="P43" s="14" cm="1">
        <f t="array" ref="P43">INT(SUMPRODUCT(--ISNUMBER(SEARCH(foreign,'David Perdue'!C43)))&gt;0)</f>
        <v>0</v>
      </c>
      <c r="Q43" s="14" cm="1">
        <f t="array" ref="Q43">INT(SUMPRODUCT(--ISNUMBER(SEARCH(gun,'David Perdue'!C43)))&gt;0)</f>
        <v>0</v>
      </c>
      <c r="R43" s="14" cm="1">
        <f t="array" ref="R43">INT(SUMPRODUCT(--ISNUMBER(SEARCH(race,'David Perdue'!C43)))&gt;0)</f>
        <v>0</v>
      </c>
      <c r="S43" s="14" cm="1">
        <f t="array" ref="S43">INT(SUMPRODUCT(--ISNUMBER(SEARCH(immigration,C43)))&gt;0)</f>
        <v>0</v>
      </c>
      <c r="T43" s="14" cm="1">
        <f t="array" ref="T43">INT(SUMPRODUCT(--ISNUMBER(SEARCH(econineq,C43)))&gt;0)</f>
        <v>0</v>
      </c>
      <c r="U43" s="14" cm="1">
        <f t="array" ref="U43">INT(SUMPRODUCT(--ISNUMBER(SEARCH(climate,'David Perdue'!C43)))&gt;0)</f>
        <v>0</v>
      </c>
      <c r="V43" s="14" cm="1">
        <f t="array" ref="V43">INT(SUMPRODUCT(--ISNUMBER(SEARCH(abortion,'David Perdue'!C43)))&gt;0)</f>
        <v>0</v>
      </c>
      <c r="W43" s="14" cm="1">
        <f t="array" ref="W43">INT(SUMPRODUCT(--ISNUMBER(SEARCH(trump,'David Perdue'!C43)))&gt;0)</f>
        <v>0</v>
      </c>
      <c r="X43" s="14" cm="1">
        <f t="array" ref="X43">INT(SUMPRODUCT(--ISNUMBER(SEARCH(voting,'David Perdue'!C43)))&gt;0)</f>
        <v>0</v>
      </c>
      <c r="Y43" s="14" cm="1">
        <f t="array" ref="Y43">INT(SUMPRODUCT(--ISNUMBER(SEARCH(republicantrigger,'David Perdue'!C43)))&gt;0)</f>
        <v>1</v>
      </c>
      <c r="Z43" s="14" cm="1">
        <f t="array" ref="Z43">INT(SUMPRODUCT(--ISNUMBER(SEARCH(bipartisan,'David Perdue'!C43)))&gt;0)</f>
        <v>0</v>
      </c>
      <c r="AA43" s="14">
        <f t="shared" si="1"/>
        <v>0</v>
      </c>
      <c r="AB43" s="14"/>
      <c r="AC43" s="30" t="s">
        <v>223</v>
      </c>
      <c r="AD43" s="37" t="s">
        <v>223</v>
      </c>
    </row>
    <row r="44" spans="1:30" x14ac:dyDescent="0.25">
      <c r="A44" s="54">
        <v>360</v>
      </c>
      <c r="B44" s="14" t="s">
        <v>751</v>
      </c>
      <c r="C44" s="14" t="s">
        <v>752</v>
      </c>
      <c r="D44" s="17">
        <v>44132</v>
      </c>
      <c r="E44" s="14" t="s">
        <v>30</v>
      </c>
      <c r="F44" s="14">
        <v>9</v>
      </c>
      <c r="G44" s="14">
        <v>7</v>
      </c>
      <c r="H44" s="14">
        <v>3</v>
      </c>
      <c r="I44" s="14">
        <v>2</v>
      </c>
      <c r="J44" s="14" t="s">
        <v>31</v>
      </c>
      <c r="K44" s="14" cm="1">
        <f t="array" ref="K44">INT(SUMPRODUCT(--ISNUMBER(SEARCH(economy,'David Perdue'!C44)))&gt;0)</f>
        <v>1</v>
      </c>
      <c r="L44" s="14" cm="1">
        <f t="array" ref="L44">INT(SUMPRODUCT(--ISNUMBER(SEARCH(healthcare,'David Perdue'!C44)))&gt;0)</f>
        <v>0</v>
      </c>
      <c r="M44" s="14" cm="1">
        <f t="array" ref="M44">INT(SUMPRODUCT(--ISNUMBER(SEARCH(supreme,'David Perdue'!C44)))&gt;0)</f>
        <v>0</v>
      </c>
      <c r="N44" s="14" cm="1">
        <f t="array" ref="N44">INT(SUMPRODUCT(--ISNUMBER(SEARCH(covid,'David Perdue'!C44)))&gt;0)</f>
        <v>0</v>
      </c>
      <c r="O44" s="14" cm="1">
        <f t="array" ref="O44">INT(SUMPRODUCT(--ISNUMBER(SEARCH(violent,'David Perdue'!C44)))&gt;0)</f>
        <v>0</v>
      </c>
      <c r="P44" s="14" cm="1">
        <f t="array" ref="P44">INT(SUMPRODUCT(--ISNUMBER(SEARCH(foreign,'David Perdue'!C44)))&gt;0)</f>
        <v>0</v>
      </c>
      <c r="Q44" s="14" cm="1">
        <f t="array" ref="Q44">INT(SUMPRODUCT(--ISNUMBER(SEARCH(gun,'David Perdue'!C44)))&gt;0)</f>
        <v>0</v>
      </c>
      <c r="R44" s="14" cm="1">
        <f t="array" ref="R44">INT(SUMPRODUCT(--ISNUMBER(SEARCH(race,'David Perdue'!C44)))&gt;0)</f>
        <v>0</v>
      </c>
      <c r="S44" s="14" cm="1">
        <f t="array" ref="S44">INT(SUMPRODUCT(--ISNUMBER(SEARCH(immigration,C44)))&gt;0)</f>
        <v>0</v>
      </c>
      <c r="T44" s="14" cm="1">
        <f t="array" ref="T44">INT(SUMPRODUCT(--ISNUMBER(SEARCH(econineq,C44)))&gt;0)</f>
        <v>0</v>
      </c>
      <c r="U44" s="14" cm="1">
        <f t="array" ref="U44">INT(SUMPRODUCT(--ISNUMBER(SEARCH(climate,'David Perdue'!C44)))&gt;0)</f>
        <v>1</v>
      </c>
      <c r="V44" s="14" cm="1">
        <f t="array" ref="V44">INT(SUMPRODUCT(--ISNUMBER(SEARCH(abortion,'David Perdue'!C44)))&gt;0)</f>
        <v>0</v>
      </c>
      <c r="W44" s="14" cm="1">
        <f t="array" ref="W44">INT(SUMPRODUCT(--ISNUMBER(SEARCH(trump,'David Perdue'!C44)))&gt;0)</f>
        <v>0</v>
      </c>
      <c r="X44" s="14" cm="1">
        <f t="array" ref="X44">INT(SUMPRODUCT(--ISNUMBER(SEARCH(voting,'David Perdue'!C44)))&gt;0)</f>
        <v>0</v>
      </c>
      <c r="Y44" s="14" cm="1">
        <f t="array" ref="Y44">INT(SUMPRODUCT(--ISNUMBER(SEARCH(republicantrigger,'David Perdue'!C44)))&gt;0)</f>
        <v>0</v>
      </c>
      <c r="Z44" s="14" cm="1">
        <f t="array" ref="Z44">INT(SUMPRODUCT(--ISNUMBER(SEARCH(bipartisan,'David Perdue'!C44)))&gt;0)</f>
        <v>0</v>
      </c>
      <c r="AA44" s="14">
        <f t="shared" si="1"/>
        <v>0</v>
      </c>
      <c r="AB44" s="14"/>
      <c r="AC44" s="30">
        <v>1</v>
      </c>
      <c r="AD44" s="37">
        <v>0</v>
      </c>
    </row>
    <row r="45" spans="1:30" x14ac:dyDescent="0.25">
      <c r="A45" s="54">
        <v>361</v>
      </c>
      <c r="B45" s="14" t="s">
        <v>753</v>
      </c>
      <c r="C45" s="14" t="s">
        <v>754</v>
      </c>
      <c r="D45" s="17">
        <v>44132</v>
      </c>
      <c r="E45" s="14" t="s">
        <v>30</v>
      </c>
      <c r="F45" s="14">
        <v>9</v>
      </c>
      <c r="G45" s="14">
        <v>5</v>
      </c>
      <c r="H45" s="14">
        <v>3</v>
      </c>
      <c r="I45" s="14">
        <v>2</v>
      </c>
      <c r="J45" s="14" t="s">
        <v>31</v>
      </c>
      <c r="K45" s="14" cm="1">
        <f t="array" ref="K45">INT(SUMPRODUCT(--ISNUMBER(SEARCH(economy,'David Perdue'!C45)))&gt;0)</f>
        <v>0</v>
      </c>
      <c r="L45" s="14" cm="1">
        <f t="array" ref="L45">INT(SUMPRODUCT(--ISNUMBER(SEARCH(healthcare,'David Perdue'!C45)))&gt;0)</f>
        <v>1</v>
      </c>
      <c r="M45" s="14" cm="1">
        <f t="array" ref="M45">INT(SUMPRODUCT(--ISNUMBER(SEARCH(supreme,'David Perdue'!C45)))&gt;0)</f>
        <v>0</v>
      </c>
      <c r="N45" s="14" cm="1">
        <f t="array" ref="N45">INT(SUMPRODUCT(--ISNUMBER(SEARCH(covid,'David Perdue'!C45)))&gt;0)</f>
        <v>0</v>
      </c>
      <c r="O45" s="14" cm="1">
        <f t="array" ref="O45">INT(SUMPRODUCT(--ISNUMBER(SEARCH(violent,'David Perdue'!C45)))&gt;0)</f>
        <v>0</v>
      </c>
      <c r="P45" s="14" cm="1">
        <f t="array" ref="P45">INT(SUMPRODUCT(--ISNUMBER(SEARCH(foreign,'David Perdue'!C45)))&gt;0)</f>
        <v>0</v>
      </c>
      <c r="Q45" s="14" cm="1">
        <f t="array" ref="Q45">INT(SUMPRODUCT(--ISNUMBER(SEARCH(gun,'David Perdue'!C45)))&gt;0)</f>
        <v>0</v>
      </c>
      <c r="R45" s="14" cm="1">
        <f t="array" ref="R45">INT(SUMPRODUCT(--ISNUMBER(SEARCH(race,'David Perdue'!C45)))&gt;0)</f>
        <v>0</v>
      </c>
      <c r="S45" s="14" cm="1">
        <f t="array" ref="S45">INT(SUMPRODUCT(--ISNUMBER(SEARCH(immigration,C45)))&gt;0)</f>
        <v>0</v>
      </c>
      <c r="T45" s="14" cm="1">
        <f t="array" ref="T45">INT(SUMPRODUCT(--ISNUMBER(SEARCH(econineq,C45)))&gt;0)</f>
        <v>0</v>
      </c>
      <c r="U45" s="14" cm="1">
        <f t="array" ref="U45">INT(SUMPRODUCT(--ISNUMBER(SEARCH(climate,'David Perdue'!C45)))&gt;0)</f>
        <v>0</v>
      </c>
      <c r="V45" s="14" cm="1">
        <f t="array" ref="V45">INT(SUMPRODUCT(--ISNUMBER(SEARCH(abortion,'David Perdue'!C45)))&gt;0)</f>
        <v>0</v>
      </c>
      <c r="W45" s="14" cm="1">
        <f t="array" ref="W45">INT(SUMPRODUCT(--ISNUMBER(SEARCH(trump,'David Perdue'!C45)))&gt;0)</f>
        <v>0</v>
      </c>
      <c r="X45" s="14" cm="1">
        <f t="array" ref="X45">INT(SUMPRODUCT(--ISNUMBER(SEARCH(voting,'David Perdue'!C45)))&gt;0)</f>
        <v>0</v>
      </c>
      <c r="Y45" s="14" cm="1">
        <f t="array" ref="Y45">INT(SUMPRODUCT(--ISNUMBER(SEARCH(republicantrigger,'David Perdue'!C45)))&gt;0)</f>
        <v>0</v>
      </c>
      <c r="Z45" s="14" cm="1">
        <f t="array" ref="Z45">INT(SUMPRODUCT(--ISNUMBER(SEARCH(bipartisan,'David Perdue'!C45)))&gt;0)</f>
        <v>0</v>
      </c>
      <c r="AA45" s="14">
        <f t="shared" si="1"/>
        <v>0</v>
      </c>
      <c r="AB45" s="14"/>
      <c r="AC45" s="30">
        <v>1</v>
      </c>
      <c r="AD45" s="37">
        <v>0</v>
      </c>
    </row>
    <row r="46" spans="1:30" x14ac:dyDescent="0.25">
      <c r="A46" s="54">
        <v>362</v>
      </c>
      <c r="B46" s="14" t="s">
        <v>755</v>
      </c>
      <c r="C46" s="14" t="s">
        <v>756</v>
      </c>
      <c r="D46" s="17">
        <v>44132</v>
      </c>
      <c r="E46" s="14" t="s">
        <v>30</v>
      </c>
      <c r="F46" s="14">
        <v>19</v>
      </c>
      <c r="G46" s="14">
        <v>14</v>
      </c>
      <c r="H46" s="14">
        <v>3</v>
      </c>
      <c r="I46" s="14">
        <v>2</v>
      </c>
      <c r="J46" s="14" t="s">
        <v>31</v>
      </c>
      <c r="K46" s="14" cm="1">
        <f t="array" ref="K46">INT(SUMPRODUCT(--ISNUMBER(SEARCH(economy,'David Perdue'!C46)))&gt;0)</f>
        <v>0</v>
      </c>
      <c r="L46" s="14" cm="1">
        <f t="array" ref="L46">INT(SUMPRODUCT(--ISNUMBER(SEARCH(healthcare,'David Perdue'!C46)))&gt;0)</f>
        <v>0</v>
      </c>
      <c r="M46" s="14" cm="1">
        <f t="array" ref="M46">INT(SUMPRODUCT(--ISNUMBER(SEARCH(supreme,'David Perdue'!C46)))&gt;0)</f>
        <v>0</v>
      </c>
      <c r="N46" s="14" cm="1">
        <f t="array" ref="N46">INT(SUMPRODUCT(--ISNUMBER(SEARCH(covid,'David Perdue'!C46)))&gt;0)</f>
        <v>0</v>
      </c>
      <c r="O46" s="14" cm="1">
        <f t="array" ref="O46">INT(SUMPRODUCT(--ISNUMBER(SEARCH(violent,'David Perdue'!C46)))&gt;0)</f>
        <v>0</v>
      </c>
      <c r="P46" s="14" cm="1">
        <f t="array" ref="P46">INT(SUMPRODUCT(--ISNUMBER(SEARCH(foreign,'David Perdue'!C46)))&gt;0)</f>
        <v>0</v>
      </c>
      <c r="Q46" s="14" cm="1">
        <f t="array" ref="Q46">INT(SUMPRODUCT(--ISNUMBER(SEARCH(gun,'David Perdue'!C46)))&gt;0)</f>
        <v>0</v>
      </c>
      <c r="R46" s="14" cm="1">
        <f t="array" ref="R46">INT(SUMPRODUCT(--ISNUMBER(SEARCH(race,'David Perdue'!C46)))&gt;0)</f>
        <v>0</v>
      </c>
      <c r="S46" s="14" cm="1">
        <f t="array" ref="S46">INT(SUMPRODUCT(--ISNUMBER(SEARCH(immigration,C46)))&gt;0)</f>
        <v>0</v>
      </c>
      <c r="T46" s="14" cm="1">
        <f t="array" ref="T46">INT(SUMPRODUCT(--ISNUMBER(SEARCH(econineq,C46)))&gt;0)</f>
        <v>0</v>
      </c>
      <c r="U46" s="14" cm="1">
        <f t="array" ref="U46">INT(SUMPRODUCT(--ISNUMBER(SEARCH(climate,'David Perdue'!C46)))&gt;0)</f>
        <v>0</v>
      </c>
      <c r="V46" s="14" cm="1">
        <f t="array" ref="V46">INT(SUMPRODUCT(--ISNUMBER(SEARCH(abortion,'David Perdue'!C46)))&gt;0)</f>
        <v>0</v>
      </c>
      <c r="W46" s="14" cm="1">
        <f t="array" ref="W46">INT(SUMPRODUCT(--ISNUMBER(SEARCH(trump,'David Perdue'!C46)))&gt;0)</f>
        <v>0</v>
      </c>
      <c r="X46" s="14" cm="1">
        <f t="array" ref="X46">INT(SUMPRODUCT(--ISNUMBER(SEARCH(voting,'David Perdue'!C46)))&gt;0)</f>
        <v>0</v>
      </c>
      <c r="Y46" s="14" cm="1">
        <f t="array" ref="Y46">INT(SUMPRODUCT(--ISNUMBER(SEARCH(republicantrigger,'David Perdue'!C46)))&gt;0)</f>
        <v>1</v>
      </c>
      <c r="Z46" s="14" cm="1">
        <f t="array" ref="Z46">INT(SUMPRODUCT(--ISNUMBER(SEARCH(bipartisan,'David Perdue'!C46)))&gt;0)</f>
        <v>0</v>
      </c>
      <c r="AA46" s="14">
        <f t="shared" si="1"/>
        <v>0</v>
      </c>
      <c r="AB46" s="14"/>
      <c r="AC46" s="30">
        <v>1</v>
      </c>
      <c r="AD46" s="37">
        <v>0</v>
      </c>
    </row>
    <row r="47" spans="1:30" x14ac:dyDescent="0.25">
      <c r="A47" s="54">
        <v>363</v>
      </c>
      <c r="B47" s="14" t="s">
        <v>757</v>
      </c>
      <c r="C47" s="14" t="s">
        <v>758</v>
      </c>
      <c r="D47" s="17">
        <v>44132</v>
      </c>
      <c r="E47" s="14" t="s">
        <v>30</v>
      </c>
      <c r="F47" s="14">
        <v>15</v>
      </c>
      <c r="G47" s="14">
        <v>7</v>
      </c>
      <c r="H47" s="14">
        <v>3</v>
      </c>
      <c r="I47" s="14">
        <v>2</v>
      </c>
      <c r="J47" s="14" t="s">
        <v>31</v>
      </c>
      <c r="K47" s="14" cm="1">
        <f t="array" ref="K47">INT(SUMPRODUCT(--ISNUMBER(SEARCH(economy,'David Perdue'!C47)))&gt;0)</f>
        <v>0</v>
      </c>
      <c r="L47" s="14" cm="1">
        <f t="array" ref="L47">INT(SUMPRODUCT(--ISNUMBER(SEARCH(healthcare,'David Perdue'!C47)))&gt;0)</f>
        <v>0</v>
      </c>
      <c r="M47" s="14" cm="1">
        <f t="array" ref="M47">INT(SUMPRODUCT(--ISNUMBER(SEARCH(supreme,'David Perdue'!C47)))&gt;0)</f>
        <v>0</v>
      </c>
      <c r="N47" s="14" cm="1">
        <f t="array" ref="N47">INT(SUMPRODUCT(--ISNUMBER(SEARCH(covid,'David Perdue'!C47)))&gt;0)</f>
        <v>0</v>
      </c>
      <c r="O47" s="14" cm="1">
        <f t="array" ref="O47">INT(SUMPRODUCT(--ISNUMBER(SEARCH(violent,'David Perdue'!C47)))&gt;0)</f>
        <v>0</v>
      </c>
      <c r="P47" s="14" cm="1">
        <f t="array" ref="P47">INT(SUMPRODUCT(--ISNUMBER(SEARCH(foreign,'David Perdue'!C47)))&gt;0)</f>
        <v>0</v>
      </c>
      <c r="Q47" s="14" cm="1">
        <f t="array" ref="Q47">INT(SUMPRODUCT(--ISNUMBER(SEARCH(gun,'David Perdue'!C47)))&gt;0)</f>
        <v>0</v>
      </c>
      <c r="R47" s="14" cm="1">
        <f t="array" ref="R47">INT(SUMPRODUCT(--ISNUMBER(SEARCH(race,'David Perdue'!C47)))&gt;0)</f>
        <v>0</v>
      </c>
      <c r="S47" s="14" cm="1">
        <f t="array" ref="S47">INT(SUMPRODUCT(--ISNUMBER(SEARCH(immigration,C47)))&gt;0)</f>
        <v>0</v>
      </c>
      <c r="T47" s="14" cm="1">
        <f t="array" ref="T47">INT(SUMPRODUCT(--ISNUMBER(SEARCH(econineq,C47)))&gt;0)</f>
        <v>0</v>
      </c>
      <c r="U47" s="14" cm="1">
        <f t="array" ref="U47">INT(SUMPRODUCT(--ISNUMBER(SEARCH(climate,'David Perdue'!C47)))&gt;0)</f>
        <v>0</v>
      </c>
      <c r="V47" s="14" cm="1">
        <f t="array" ref="V47">INT(SUMPRODUCT(--ISNUMBER(SEARCH(abortion,'David Perdue'!C47)))&gt;0)</f>
        <v>0</v>
      </c>
      <c r="W47" s="14" cm="1">
        <f t="array" ref="W47">INT(SUMPRODUCT(--ISNUMBER(SEARCH(trump,'David Perdue'!C47)))&gt;0)</f>
        <v>0</v>
      </c>
      <c r="X47" s="14" cm="1">
        <f t="array" ref="X47">INT(SUMPRODUCT(--ISNUMBER(SEARCH(voting,'David Perdue'!C47)))&gt;0)</f>
        <v>0</v>
      </c>
      <c r="Y47" s="14" cm="1">
        <f t="array" ref="Y47">INT(SUMPRODUCT(--ISNUMBER(SEARCH(republicantrigger,'David Perdue'!C47)))&gt;0)</f>
        <v>1</v>
      </c>
      <c r="Z47" s="14" cm="1">
        <f t="array" ref="Z47">INT(SUMPRODUCT(--ISNUMBER(SEARCH(bipartisan,'David Perdue'!C47)))&gt;0)</f>
        <v>0</v>
      </c>
      <c r="AA47" s="14">
        <f t="shared" si="1"/>
        <v>0</v>
      </c>
      <c r="AB47" s="14"/>
      <c r="AC47" s="30">
        <v>1</v>
      </c>
      <c r="AD47" s="37">
        <v>0</v>
      </c>
    </row>
    <row r="48" spans="1:30" x14ac:dyDescent="0.25">
      <c r="A48" s="54">
        <v>364</v>
      </c>
      <c r="B48" s="14" t="s">
        <v>759</v>
      </c>
      <c r="C48" s="14" t="s">
        <v>760</v>
      </c>
      <c r="D48" s="17">
        <v>44132</v>
      </c>
      <c r="E48" s="14" t="s">
        <v>30</v>
      </c>
      <c r="F48" s="14">
        <v>9</v>
      </c>
      <c r="G48" s="14">
        <v>5</v>
      </c>
      <c r="H48" s="14">
        <v>3</v>
      </c>
      <c r="I48" s="14">
        <v>2</v>
      </c>
      <c r="J48" s="14" t="s">
        <v>31</v>
      </c>
      <c r="K48" s="14" cm="1">
        <f t="array" ref="K48">INT(SUMPRODUCT(--ISNUMBER(SEARCH(economy,'David Perdue'!C48)))&gt;0)</f>
        <v>0</v>
      </c>
      <c r="L48" s="14" cm="1">
        <f t="array" ref="L48">INT(SUMPRODUCT(--ISNUMBER(SEARCH(healthcare,'David Perdue'!C48)))&gt;0)</f>
        <v>0</v>
      </c>
      <c r="M48" s="14" cm="1">
        <f t="array" ref="M48">INT(SUMPRODUCT(--ISNUMBER(SEARCH(supreme,'David Perdue'!C48)))&gt;0)</f>
        <v>0</v>
      </c>
      <c r="N48" s="14" cm="1">
        <f t="array" ref="N48">INT(SUMPRODUCT(--ISNUMBER(SEARCH(covid,'David Perdue'!C48)))&gt;0)</f>
        <v>0</v>
      </c>
      <c r="O48" s="14" cm="1">
        <f t="array" ref="O48">INT(SUMPRODUCT(--ISNUMBER(SEARCH(violent,'David Perdue'!C48)))&gt;0)</f>
        <v>0</v>
      </c>
      <c r="P48" s="14" cm="1">
        <f t="array" ref="P48">INT(SUMPRODUCT(--ISNUMBER(SEARCH(foreign,'David Perdue'!C48)))&gt;0)</f>
        <v>0</v>
      </c>
      <c r="Q48" s="14" cm="1">
        <f t="array" ref="Q48">INT(SUMPRODUCT(--ISNUMBER(SEARCH(gun,'David Perdue'!C48)))&gt;0)</f>
        <v>0</v>
      </c>
      <c r="R48" s="14" cm="1">
        <f t="array" ref="R48">INT(SUMPRODUCT(--ISNUMBER(SEARCH(race,'David Perdue'!C48)))&gt;0)</f>
        <v>0</v>
      </c>
      <c r="S48" s="14" cm="1">
        <f t="array" ref="S48">INT(SUMPRODUCT(--ISNUMBER(SEARCH(immigration,C48)))&gt;0)</f>
        <v>0</v>
      </c>
      <c r="T48" s="14" cm="1">
        <f t="array" ref="T48">INT(SUMPRODUCT(--ISNUMBER(SEARCH(econineq,C48)))&gt;0)</f>
        <v>0</v>
      </c>
      <c r="U48" s="14" cm="1">
        <f t="array" ref="U48">INT(SUMPRODUCT(--ISNUMBER(SEARCH(climate,'David Perdue'!C48)))&gt;0)</f>
        <v>0</v>
      </c>
      <c r="V48" s="14" cm="1">
        <f t="array" ref="V48">INT(SUMPRODUCT(--ISNUMBER(SEARCH(abortion,'David Perdue'!C48)))&gt;0)</f>
        <v>0</v>
      </c>
      <c r="W48" s="14" cm="1">
        <f t="array" ref="W48">INT(SUMPRODUCT(--ISNUMBER(SEARCH(trump,'David Perdue'!C48)))&gt;0)</f>
        <v>0</v>
      </c>
      <c r="X48" s="14" cm="1">
        <f t="array" ref="X48">INT(SUMPRODUCT(--ISNUMBER(SEARCH(voting,'David Perdue'!C48)))&gt;0)</f>
        <v>0</v>
      </c>
      <c r="Y48" s="14" cm="1">
        <f t="array" ref="Y48">INT(SUMPRODUCT(--ISNUMBER(SEARCH(republicantrigger,'David Perdue'!C48)))&gt;0)</f>
        <v>0</v>
      </c>
      <c r="Z48" s="14" cm="1">
        <f t="array" ref="Z48">INT(SUMPRODUCT(--ISNUMBER(SEARCH(bipartisan,'David Perdue'!C48)))&gt;0)</f>
        <v>1</v>
      </c>
      <c r="AA48" s="14">
        <f t="shared" si="1"/>
        <v>0</v>
      </c>
      <c r="AB48" s="14"/>
      <c r="AC48" s="30" t="s">
        <v>223</v>
      </c>
      <c r="AD48" s="37" t="s">
        <v>223</v>
      </c>
    </row>
    <row r="49" spans="1:30" x14ac:dyDescent="0.25">
      <c r="A49" s="54">
        <v>365</v>
      </c>
      <c r="B49" s="14" t="s">
        <v>761</v>
      </c>
      <c r="C49" s="14" t="s">
        <v>762</v>
      </c>
      <c r="D49" s="17">
        <v>44132</v>
      </c>
      <c r="E49" s="14" t="s">
        <v>30</v>
      </c>
      <c r="F49" s="14">
        <v>24</v>
      </c>
      <c r="G49" s="14">
        <v>11</v>
      </c>
      <c r="H49" s="14">
        <v>3</v>
      </c>
      <c r="I49" s="14">
        <v>2</v>
      </c>
      <c r="J49" s="14" t="s">
        <v>31</v>
      </c>
      <c r="K49" s="14" cm="1">
        <f t="array" ref="K49">INT(SUMPRODUCT(--ISNUMBER(SEARCH(economy,'David Perdue'!C49)))&gt;0)</f>
        <v>0</v>
      </c>
      <c r="L49" s="14" cm="1">
        <f t="array" ref="L49">INT(SUMPRODUCT(--ISNUMBER(SEARCH(healthcare,'David Perdue'!C49)))&gt;0)</f>
        <v>0</v>
      </c>
      <c r="M49" s="14" cm="1">
        <f t="array" ref="M49">INT(SUMPRODUCT(--ISNUMBER(SEARCH(supreme,'David Perdue'!C49)))&gt;0)</f>
        <v>0</v>
      </c>
      <c r="N49" s="14" cm="1">
        <f t="array" ref="N49">INT(SUMPRODUCT(--ISNUMBER(SEARCH(covid,'David Perdue'!C49)))&gt;0)</f>
        <v>0</v>
      </c>
      <c r="O49" s="14" cm="1">
        <f t="array" ref="O49">INT(SUMPRODUCT(--ISNUMBER(SEARCH(violent,'David Perdue'!C49)))&gt;0)</f>
        <v>0</v>
      </c>
      <c r="P49" s="14" cm="1">
        <f t="array" ref="P49">INT(SUMPRODUCT(--ISNUMBER(SEARCH(foreign,'David Perdue'!C49)))&gt;0)</f>
        <v>0</v>
      </c>
      <c r="Q49" s="14" cm="1">
        <f t="array" ref="Q49">INT(SUMPRODUCT(--ISNUMBER(SEARCH(gun,'David Perdue'!C49)))&gt;0)</f>
        <v>0</v>
      </c>
      <c r="R49" s="14" cm="1">
        <f t="array" ref="R49">INT(SUMPRODUCT(--ISNUMBER(SEARCH(race,'David Perdue'!C49)))&gt;0)</f>
        <v>0</v>
      </c>
      <c r="S49" s="14" cm="1">
        <f t="array" ref="S49">INT(SUMPRODUCT(--ISNUMBER(SEARCH(immigration,C49)))&gt;0)</f>
        <v>0</v>
      </c>
      <c r="T49" s="14" cm="1">
        <f t="array" ref="T49">INT(SUMPRODUCT(--ISNUMBER(SEARCH(econineq,C49)))&gt;0)</f>
        <v>0</v>
      </c>
      <c r="U49" s="14" cm="1">
        <f t="array" ref="U49">INT(SUMPRODUCT(--ISNUMBER(SEARCH(climate,'David Perdue'!C49)))&gt;0)</f>
        <v>0</v>
      </c>
      <c r="V49" s="14" cm="1">
        <f t="array" ref="V49">INT(SUMPRODUCT(--ISNUMBER(SEARCH(abortion,'David Perdue'!C49)))&gt;0)</f>
        <v>0</v>
      </c>
      <c r="W49" s="14" cm="1">
        <f t="array" ref="W49">INT(SUMPRODUCT(--ISNUMBER(SEARCH(trump,'David Perdue'!C49)))&gt;0)</f>
        <v>0</v>
      </c>
      <c r="X49" s="14" cm="1">
        <f t="array" ref="X49">INT(SUMPRODUCT(--ISNUMBER(SEARCH(voting,'David Perdue'!C49)))&gt;0)</f>
        <v>0</v>
      </c>
      <c r="Y49" s="14" cm="1">
        <f t="array" ref="Y49">INT(SUMPRODUCT(--ISNUMBER(SEARCH(republicantrigger,'David Perdue'!C49)))&gt;0)</f>
        <v>1</v>
      </c>
      <c r="Z49" s="14" cm="1">
        <f t="array" ref="Z49">INT(SUMPRODUCT(--ISNUMBER(SEARCH(bipartisan,'David Perdue'!C49)))&gt;0)</f>
        <v>0</v>
      </c>
      <c r="AA49" s="14">
        <f t="shared" si="1"/>
        <v>0</v>
      </c>
      <c r="AB49" s="14"/>
      <c r="AC49" s="30">
        <v>1</v>
      </c>
      <c r="AD49" s="37">
        <v>0</v>
      </c>
    </row>
    <row r="50" spans="1:30" x14ac:dyDescent="0.25">
      <c r="A50" s="54">
        <v>366</v>
      </c>
      <c r="B50" s="14" t="s">
        <v>763</v>
      </c>
      <c r="C50" s="14" t="s">
        <v>764</v>
      </c>
      <c r="D50" s="17">
        <v>44132</v>
      </c>
      <c r="E50" s="14" t="s">
        <v>30</v>
      </c>
      <c r="F50" s="14">
        <v>19</v>
      </c>
      <c r="G50" s="14">
        <v>5</v>
      </c>
      <c r="H50" s="14">
        <v>3</v>
      </c>
      <c r="I50" s="14">
        <v>2</v>
      </c>
      <c r="J50" s="14" t="s">
        <v>31</v>
      </c>
      <c r="K50" s="14" cm="1">
        <f t="array" ref="K50">INT(SUMPRODUCT(--ISNUMBER(SEARCH(economy,'David Perdue'!C50)))&gt;0)</f>
        <v>0</v>
      </c>
      <c r="L50" s="14" cm="1">
        <f t="array" ref="L50">INT(SUMPRODUCT(--ISNUMBER(SEARCH(healthcare,'David Perdue'!C50)))&gt;0)</f>
        <v>0</v>
      </c>
      <c r="M50" s="14" cm="1">
        <f t="array" ref="M50">INT(SUMPRODUCT(--ISNUMBER(SEARCH(supreme,'David Perdue'!C50)))&gt;0)</f>
        <v>0</v>
      </c>
      <c r="N50" s="14" cm="1">
        <f t="array" ref="N50">INT(SUMPRODUCT(--ISNUMBER(SEARCH(covid,'David Perdue'!C50)))&gt;0)</f>
        <v>0</v>
      </c>
      <c r="O50" s="14" cm="1">
        <f t="array" ref="O50">INT(SUMPRODUCT(--ISNUMBER(SEARCH(violent,'David Perdue'!C50)))&gt;0)</f>
        <v>0</v>
      </c>
      <c r="P50" s="14" cm="1">
        <f t="array" ref="P50">INT(SUMPRODUCT(--ISNUMBER(SEARCH(foreign,'David Perdue'!C50)))&gt;0)</f>
        <v>0</v>
      </c>
      <c r="Q50" s="14" cm="1">
        <f t="array" ref="Q50">INT(SUMPRODUCT(--ISNUMBER(SEARCH(gun,'David Perdue'!C50)))&gt;0)</f>
        <v>0</v>
      </c>
      <c r="R50" s="14" cm="1">
        <f t="array" ref="R50">INT(SUMPRODUCT(--ISNUMBER(SEARCH(race,'David Perdue'!C50)))&gt;0)</f>
        <v>0</v>
      </c>
      <c r="S50" s="14" cm="1">
        <f t="array" ref="S50">INT(SUMPRODUCT(--ISNUMBER(SEARCH(immigration,C50)))&gt;0)</f>
        <v>0</v>
      </c>
      <c r="T50" s="14" cm="1">
        <f t="array" ref="T50">INT(SUMPRODUCT(--ISNUMBER(SEARCH(econineq,C50)))&gt;0)</f>
        <v>0</v>
      </c>
      <c r="U50" s="14" cm="1">
        <f t="array" ref="U50">INT(SUMPRODUCT(--ISNUMBER(SEARCH(climate,'David Perdue'!C50)))&gt;0)</f>
        <v>0</v>
      </c>
      <c r="V50" s="14" cm="1">
        <f t="array" ref="V50">INT(SUMPRODUCT(--ISNUMBER(SEARCH(abortion,'David Perdue'!C50)))&gt;0)</f>
        <v>0</v>
      </c>
      <c r="W50" s="14" cm="1">
        <f t="array" ref="W50">INT(SUMPRODUCT(--ISNUMBER(SEARCH(trump,'David Perdue'!C50)))&gt;0)</f>
        <v>0</v>
      </c>
      <c r="X50" s="14" cm="1">
        <f t="array" ref="X50">INT(SUMPRODUCT(--ISNUMBER(SEARCH(voting,'David Perdue'!C50)))&gt;0)</f>
        <v>1</v>
      </c>
      <c r="Y50" s="14" cm="1">
        <f t="array" ref="Y50">INT(SUMPRODUCT(--ISNUMBER(SEARCH(republicantrigger,'David Perdue'!C50)))&gt;0)</f>
        <v>1</v>
      </c>
      <c r="Z50" s="14" cm="1">
        <f t="array" ref="Z50">INT(SUMPRODUCT(--ISNUMBER(SEARCH(bipartisan,'David Perdue'!C50)))&gt;0)</f>
        <v>0</v>
      </c>
      <c r="AA50" s="14">
        <f t="shared" si="1"/>
        <v>0</v>
      </c>
      <c r="AB50" s="14"/>
      <c r="AC50" s="30">
        <v>1</v>
      </c>
      <c r="AD50" s="37">
        <v>0</v>
      </c>
    </row>
    <row r="51" spans="1:30" x14ac:dyDescent="0.25">
      <c r="A51" s="54">
        <v>367</v>
      </c>
      <c r="B51" s="14" t="s">
        <v>765</v>
      </c>
      <c r="C51" s="14" t="s">
        <v>766</v>
      </c>
      <c r="D51" s="17">
        <v>44132</v>
      </c>
      <c r="E51" s="14" t="s">
        <v>30</v>
      </c>
      <c r="F51" s="14">
        <v>63</v>
      </c>
      <c r="G51" s="14">
        <v>40</v>
      </c>
      <c r="H51" s="14">
        <v>3</v>
      </c>
      <c r="I51" s="14">
        <v>2</v>
      </c>
      <c r="J51" s="14" t="s">
        <v>31</v>
      </c>
      <c r="K51" s="14" cm="1">
        <f t="array" ref="K51">INT(SUMPRODUCT(--ISNUMBER(SEARCH(economy,'David Perdue'!C51)))&gt;0)</f>
        <v>0</v>
      </c>
      <c r="L51" s="14" cm="1">
        <f t="array" ref="L51">INT(SUMPRODUCT(--ISNUMBER(SEARCH(healthcare,'David Perdue'!C51)))&gt;0)</f>
        <v>0</v>
      </c>
      <c r="M51" s="14" cm="1">
        <f t="array" ref="M51">INT(SUMPRODUCT(--ISNUMBER(SEARCH(supreme,'David Perdue'!C51)))&gt;0)</f>
        <v>0</v>
      </c>
      <c r="N51" s="14" cm="1">
        <f t="array" ref="N51">INT(SUMPRODUCT(--ISNUMBER(SEARCH(covid,'David Perdue'!C51)))&gt;0)</f>
        <v>0</v>
      </c>
      <c r="O51" s="14" cm="1">
        <f t="array" ref="O51">INT(SUMPRODUCT(--ISNUMBER(SEARCH(violent,'David Perdue'!C51)))&gt;0)</f>
        <v>0</v>
      </c>
      <c r="P51" s="14" cm="1">
        <f t="array" ref="P51">INT(SUMPRODUCT(--ISNUMBER(SEARCH(foreign,'David Perdue'!C51)))&gt;0)</f>
        <v>0</v>
      </c>
      <c r="Q51" s="14" cm="1">
        <f t="array" ref="Q51">INT(SUMPRODUCT(--ISNUMBER(SEARCH(gun,'David Perdue'!C51)))&gt;0)</f>
        <v>0</v>
      </c>
      <c r="R51" s="14" cm="1">
        <f t="array" ref="R51">INT(SUMPRODUCT(--ISNUMBER(SEARCH(race,'David Perdue'!C51)))&gt;0)</f>
        <v>0</v>
      </c>
      <c r="S51" s="14" cm="1">
        <f t="array" ref="S51">INT(SUMPRODUCT(--ISNUMBER(SEARCH(immigration,C51)))&gt;0)</f>
        <v>0</v>
      </c>
      <c r="T51" s="14" cm="1">
        <f t="array" ref="T51">INT(SUMPRODUCT(--ISNUMBER(SEARCH(econineq,C51)))&gt;0)</f>
        <v>0</v>
      </c>
      <c r="U51" s="14" cm="1">
        <f t="array" ref="U51">INT(SUMPRODUCT(--ISNUMBER(SEARCH(climate,'David Perdue'!C51)))&gt;0)</f>
        <v>0</v>
      </c>
      <c r="V51" s="14" cm="1">
        <f t="array" ref="V51">INT(SUMPRODUCT(--ISNUMBER(SEARCH(abortion,'David Perdue'!C51)))&gt;0)</f>
        <v>0</v>
      </c>
      <c r="W51" s="14" cm="1">
        <f t="array" ref="W51">INT(SUMPRODUCT(--ISNUMBER(SEARCH(trump,'David Perdue'!C51)))&gt;0)</f>
        <v>0</v>
      </c>
      <c r="X51" s="14" cm="1">
        <f t="array" ref="X51">INT(SUMPRODUCT(--ISNUMBER(SEARCH(voting,'David Perdue'!C51)))&gt;0)</f>
        <v>0</v>
      </c>
      <c r="Y51" s="14" cm="1">
        <f t="array" ref="Y51">INT(SUMPRODUCT(--ISNUMBER(SEARCH(republicantrigger,'David Perdue'!C51)))&gt;0)</f>
        <v>1</v>
      </c>
      <c r="Z51" s="14" cm="1">
        <f t="array" ref="Z51">INT(SUMPRODUCT(--ISNUMBER(SEARCH(bipartisan,'David Perdue'!C51)))&gt;0)</f>
        <v>0</v>
      </c>
      <c r="AA51" s="14">
        <f t="shared" si="1"/>
        <v>0</v>
      </c>
      <c r="AB51" s="14"/>
      <c r="AC51" s="30">
        <v>1</v>
      </c>
      <c r="AD51" s="37">
        <v>0</v>
      </c>
    </row>
    <row r="52" spans="1:30" x14ac:dyDescent="0.25">
      <c r="A52" s="54">
        <v>368</v>
      </c>
      <c r="B52" s="14" t="s">
        <v>767</v>
      </c>
      <c r="C52" s="14" t="s">
        <v>768</v>
      </c>
      <c r="D52" s="17">
        <v>44132</v>
      </c>
      <c r="E52" s="14" t="s">
        <v>30</v>
      </c>
      <c r="F52" s="14">
        <v>43</v>
      </c>
      <c r="G52" s="14">
        <v>21</v>
      </c>
      <c r="H52" s="14">
        <v>3</v>
      </c>
      <c r="I52" s="14">
        <v>2</v>
      </c>
      <c r="J52" s="14" t="s">
        <v>31</v>
      </c>
      <c r="K52" s="14" cm="1">
        <f t="array" ref="K52">INT(SUMPRODUCT(--ISNUMBER(SEARCH(economy,'David Perdue'!C52)))&gt;0)</f>
        <v>0</v>
      </c>
      <c r="L52" s="14" cm="1">
        <f t="array" ref="L52">INT(SUMPRODUCT(--ISNUMBER(SEARCH(healthcare,'David Perdue'!C52)))&gt;0)</f>
        <v>1</v>
      </c>
      <c r="M52" s="14" cm="1">
        <f t="array" ref="M52">INT(SUMPRODUCT(--ISNUMBER(SEARCH(supreme,'David Perdue'!C52)))&gt;0)</f>
        <v>0</v>
      </c>
      <c r="N52" s="14" cm="1">
        <f t="array" ref="N52">INT(SUMPRODUCT(--ISNUMBER(SEARCH(covid,'David Perdue'!C52)))&gt;0)</f>
        <v>0</v>
      </c>
      <c r="O52" s="14" cm="1">
        <f t="array" ref="O52">INT(SUMPRODUCT(--ISNUMBER(SEARCH(violent,'David Perdue'!C52)))&gt;0)</f>
        <v>0</v>
      </c>
      <c r="P52" s="14" cm="1">
        <f t="array" ref="P52">INT(SUMPRODUCT(--ISNUMBER(SEARCH(foreign,'David Perdue'!C52)))&gt;0)</f>
        <v>0</v>
      </c>
      <c r="Q52" s="14" cm="1">
        <f t="array" ref="Q52">INT(SUMPRODUCT(--ISNUMBER(SEARCH(gun,'David Perdue'!C52)))&gt;0)</f>
        <v>0</v>
      </c>
      <c r="R52" s="14" cm="1">
        <f t="array" ref="R52">INT(SUMPRODUCT(--ISNUMBER(SEARCH(race,'David Perdue'!C52)))&gt;0)</f>
        <v>0</v>
      </c>
      <c r="S52" s="14" cm="1">
        <f t="array" ref="S52">INT(SUMPRODUCT(--ISNUMBER(SEARCH(immigration,C52)))&gt;0)</f>
        <v>0</v>
      </c>
      <c r="T52" s="14" cm="1">
        <f t="array" ref="T52">INT(SUMPRODUCT(--ISNUMBER(SEARCH(econineq,C52)))&gt;0)</f>
        <v>0</v>
      </c>
      <c r="U52" s="14" cm="1">
        <f t="array" ref="U52">INT(SUMPRODUCT(--ISNUMBER(SEARCH(climate,'David Perdue'!C52)))&gt;0)</f>
        <v>0</v>
      </c>
      <c r="V52" s="14" cm="1">
        <f t="array" ref="V52">INT(SUMPRODUCT(--ISNUMBER(SEARCH(abortion,'David Perdue'!C52)))&gt;0)</f>
        <v>0</v>
      </c>
      <c r="W52" s="14" cm="1">
        <f t="array" ref="W52">INT(SUMPRODUCT(--ISNUMBER(SEARCH(trump,'David Perdue'!C52)))&gt;0)</f>
        <v>0</v>
      </c>
      <c r="X52" s="14" cm="1">
        <f t="array" ref="X52">INT(SUMPRODUCT(--ISNUMBER(SEARCH(voting,'David Perdue'!C52)))&gt;0)</f>
        <v>0</v>
      </c>
      <c r="Y52" s="14" cm="1">
        <f t="array" ref="Y52">INT(SUMPRODUCT(--ISNUMBER(SEARCH(republicantrigger,'David Perdue'!C52)))&gt;0)</f>
        <v>1</v>
      </c>
      <c r="Z52" s="14" cm="1">
        <f t="array" ref="Z52">INT(SUMPRODUCT(--ISNUMBER(SEARCH(bipartisan,'David Perdue'!C52)))&gt;0)</f>
        <v>0</v>
      </c>
      <c r="AA52" s="14">
        <f t="shared" si="1"/>
        <v>0</v>
      </c>
      <c r="AB52" s="14"/>
      <c r="AC52" s="30">
        <v>1</v>
      </c>
      <c r="AD52" s="37">
        <v>0</v>
      </c>
    </row>
    <row r="53" spans="1:30" x14ac:dyDescent="0.25">
      <c r="A53" s="54">
        <v>369</v>
      </c>
      <c r="B53" s="14" t="s">
        <v>769</v>
      </c>
      <c r="C53" s="14" t="s">
        <v>770</v>
      </c>
      <c r="D53" s="17">
        <v>44132</v>
      </c>
      <c r="E53" s="14" t="s">
        <v>30</v>
      </c>
      <c r="F53" s="14">
        <v>13</v>
      </c>
      <c r="G53" s="14">
        <v>4</v>
      </c>
      <c r="H53" s="14">
        <v>3</v>
      </c>
      <c r="I53" s="14">
        <v>2</v>
      </c>
      <c r="J53" s="14" t="s">
        <v>31</v>
      </c>
      <c r="K53" s="14" cm="1">
        <f t="array" ref="K53">INT(SUMPRODUCT(--ISNUMBER(SEARCH(economy,'David Perdue'!C53)))&gt;0)</f>
        <v>0</v>
      </c>
      <c r="L53" s="14" cm="1">
        <f t="array" ref="L53">INT(SUMPRODUCT(--ISNUMBER(SEARCH(healthcare,'David Perdue'!C53)))&gt;0)</f>
        <v>0</v>
      </c>
      <c r="M53" s="14" cm="1">
        <f t="array" ref="M53">INT(SUMPRODUCT(--ISNUMBER(SEARCH(supreme,'David Perdue'!C53)))&gt;0)</f>
        <v>0</v>
      </c>
      <c r="N53" s="14" cm="1">
        <f t="array" ref="N53">INT(SUMPRODUCT(--ISNUMBER(SEARCH(covid,'David Perdue'!C53)))&gt;0)</f>
        <v>0</v>
      </c>
      <c r="O53" s="14" cm="1">
        <f t="array" ref="O53">INT(SUMPRODUCT(--ISNUMBER(SEARCH(violent,'David Perdue'!C53)))&gt;0)</f>
        <v>0</v>
      </c>
      <c r="P53" s="14" cm="1">
        <f t="array" ref="P53">INT(SUMPRODUCT(--ISNUMBER(SEARCH(foreign,'David Perdue'!C53)))&gt;0)</f>
        <v>0</v>
      </c>
      <c r="Q53" s="14" cm="1">
        <f t="array" ref="Q53">INT(SUMPRODUCT(--ISNUMBER(SEARCH(gun,'David Perdue'!C53)))&gt;0)</f>
        <v>0</v>
      </c>
      <c r="R53" s="14" cm="1">
        <f t="array" ref="R53">INT(SUMPRODUCT(--ISNUMBER(SEARCH(race,'David Perdue'!C53)))&gt;0)</f>
        <v>0</v>
      </c>
      <c r="S53" s="14" cm="1">
        <f t="array" ref="S53">INT(SUMPRODUCT(--ISNUMBER(SEARCH(immigration,C53)))&gt;0)</f>
        <v>0</v>
      </c>
      <c r="T53" s="14" cm="1">
        <f t="array" ref="T53">INT(SUMPRODUCT(--ISNUMBER(SEARCH(econineq,C53)))&gt;0)</f>
        <v>0</v>
      </c>
      <c r="U53" s="14" cm="1">
        <f t="array" ref="U53">INT(SUMPRODUCT(--ISNUMBER(SEARCH(climate,'David Perdue'!C53)))&gt;0)</f>
        <v>0</v>
      </c>
      <c r="V53" s="14" cm="1">
        <f t="array" ref="V53">INT(SUMPRODUCT(--ISNUMBER(SEARCH(abortion,'David Perdue'!C53)))&gt;0)</f>
        <v>0</v>
      </c>
      <c r="W53" s="14" cm="1">
        <f t="array" ref="W53">INT(SUMPRODUCT(--ISNUMBER(SEARCH(trump,'David Perdue'!C53)))&gt;0)</f>
        <v>0</v>
      </c>
      <c r="X53" s="14" cm="1">
        <f t="array" ref="X53">INT(SUMPRODUCT(--ISNUMBER(SEARCH(voting,'David Perdue'!C53)))&gt;0)</f>
        <v>1</v>
      </c>
      <c r="Y53" s="14" cm="1">
        <f t="array" ref="Y53">INT(SUMPRODUCT(--ISNUMBER(SEARCH(republicantrigger,'David Perdue'!C53)))&gt;0)</f>
        <v>1</v>
      </c>
      <c r="Z53" s="14" cm="1">
        <f t="array" ref="Z53">INT(SUMPRODUCT(--ISNUMBER(SEARCH(bipartisan,'David Perdue'!C53)))&gt;0)</f>
        <v>0</v>
      </c>
      <c r="AA53" s="14">
        <f t="shared" si="1"/>
        <v>0</v>
      </c>
      <c r="AB53" s="14"/>
      <c r="AC53" s="30" t="s">
        <v>223</v>
      </c>
      <c r="AD53" s="37" t="s">
        <v>223</v>
      </c>
    </row>
    <row r="54" spans="1:30" x14ac:dyDescent="0.25">
      <c r="A54" s="54">
        <v>370</v>
      </c>
      <c r="B54" s="14" t="s">
        <v>771</v>
      </c>
      <c r="C54" s="14" t="s">
        <v>772</v>
      </c>
      <c r="D54" s="17">
        <v>44132</v>
      </c>
      <c r="E54" s="14" t="s">
        <v>30</v>
      </c>
      <c r="F54" s="14">
        <v>15</v>
      </c>
      <c r="G54" s="14">
        <v>6</v>
      </c>
      <c r="H54" s="14">
        <v>3</v>
      </c>
      <c r="I54" s="14">
        <v>2</v>
      </c>
      <c r="J54" s="14" t="s">
        <v>31</v>
      </c>
      <c r="K54" s="14" cm="1">
        <f t="array" ref="K54">INT(SUMPRODUCT(--ISNUMBER(SEARCH(economy,'David Perdue'!C54)))&gt;0)</f>
        <v>0</v>
      </c>
      <c r="L54" s="14" cm="1">
        <f t="array" ref="L54">INT(SUMPRODUCT(--ISNUMBER(SEARCH(healthcare,'David Perdue'!C54)))&gt;0)</f>
        <v>0</v>
      </c>
      <c r="M54" s="14" cm="1">
        <f t="array" ref="M54">INT(SUMPRODUCT(--ISNUMBER(SEARCH(supreme,'David Perdue'!C54)))&gt;0)</f>
        <v>0</v>
      </c>
      <c r="N54" s="14" cm="1">
        <f t="array" ref="N54">INT(SUMPRODUCT(--ISNUMBER(SEARCH(covid,'David Perdue'!C54)))&gt;0)</f>
        <v>1</v>
      </c>
      <c r="O54" s="14" cm="1">
        <f t="array" ref="O54">INT(SUMPRODUCT(--ISNUMBER(SEARCH(violent,'David Perdue'!C54)))&gt;0)</f>
        <v>0</v>
      </c>
      <c r="P54" s="14" cm="1">
        <f t="array" ref="P54">INT(SUMPRODUCT(--ISNUMBER(SEARCH(foreign,'David Perdue'!C54)))&gt;0)</f>
        <v>0</v>
      </c>
      <c r="Q54" s="14" cm="1">
        <f t="array" ref="Q54">INT(SUMPRODUCT(--ISNUMBER(SEARCH(gun,'David Perdue'!C54)))&gt;0)</f>
        <v>0</v>
      </c>
      <c r="R54" s="14" cm="1">
        <f t="array" ref="R54">INT(SUMPRODUCT(--ISNUMBER(SEARCH(race,'David Perdue'!C54)))&gt;0)</f>
        <v>0</v>
      </c>
      <c r="S54" s="14" cm="1">
        <f t="array" ref="S54">INT(SUMPRODUCT(--ISNUMBER(SEARCH(immigration,C54)))&gt;0)</f>
        <v>0</v>
      </c>
      <c r="T54" s="14" cm="1">
        <f t="array" ref="T54">INT(SUMPRODUCT(--ISNUMBER(SEARCH(econineq,C54)))&gt;0)</f>
        <v>0</v>
      </c>
      <c r="U54" s="14" cm="1">
        <f t="array" ref="U54">INT(SUMPRODUCT(--ISNUMBER(SEARCH(climate,'David Perdue'!C54)))&gt;0)</f>
        <v>0</v>
      </c>
      <c r="V54" s="14" cm="1">
        <f t="array" ref="V54">INT(SUMPRODUCT(--ISNUMBER(SEARCH(abortion,'David Perdue'!C54)))&gt;0)</f>
        <v>0</v>
      </c>
      <c r="W54" s="14" cm="1">
        <f t="array" ref="W54">INT(SUMPRODUCT(--ISNUMBER(SEARCH(trump,'David Perdue'!C54)))&gt;0)</f>
        <v>0</v>
      </c>
      <c r="X54" s="14" cm="1">
        <f t="array" ref="X54">INT(SUMPRODUCT(--ISNUMBER(SEARCH(voting,'David Perdue'!C54)))&gt;0)</f>
        <v>0</v>
      </c>
      <c r="Y54" s="14" cm="1">
        <f t="array" ref="Y54">INT(SUMPRODUCT(--ISNUMBER(SEARCH(republicantrigger,'David Perdue'!C54)))&gt;0)</f>
        <v>1</v>
      </c>
      <c r="Z54" s="14" cm="1">
        <f t="array" ref="Z54">INT(SUMPRODUCT(--ISNUMBER(SEARCH(bipartisan,'David Perdue'!C54)))&gt;0)</f>
        <v>1</v>
      </c>
      <c r="AA54" s="14">
        <f t="shared" si="1"/>
        <v>0</v>
      </c>
      <c r="AB54" s="14"/>
      <c r="AC54" s="30">
        <v>0</v>
      </c>
      <c r="AD54" s="37">
        <v>1</v>
      </c>
    </row>
    <row r="55" spans="1:30" x14ac:dyDescent="0.25">
      <c r="A55" s="54">
        <v>371</v>
      </c>
      <c r="B55" s="14" t="s">
        <v>773</v>
      </c>
      <c r="C55" s="14" t="s">
        <v>774</v>
      </c>
      <c r="D55" s="17">
        <v>44132</v>
      </c>
      <c r="E55" s="14" t="s">
        <v>30</v>
      </c>
      <c r="F55" s="14">
        <v>2</v>
      </c>
      <c r="G55" s="14">
        <v>2</v>
      </c>
      <c r="H55" s="14">
        <v>3</v>
      </c>
      <c r="I55" s="14">
        <v>2</v>
      </c>
      <c r="J55" s="14" t="s">
        <v>31</v>
      </c>
      <c r="K55" s="14" cm="1">
        <f t="array" ref="K55">INT(SUMPRODUCT(--ISNUMBER(SEARCH(economy,'David Perdue'!C55)))&gt;0)</f>
        <v>0</v>
      </c>
      <c r="L55" s="14" cm="1">
        <f t="array" ref="L55">INT(SUMPRODUCT(--ISNUMBER(SEARCH(healthcare,'David Perdue'!C55)))&gt;0)</f>
        <v>0</v>
      </c>
      <c r="M55" s="14" cm="1">
        <f t="array" ref="M55">INT(SUMPRODUCT(--ISNUMBER(SEARCH(supreme,'David Perdue'!C55)))&gt;0)</f>
        <v>0</v>
      </c>
      <c r="N55" s="14" cm="1">
        <f t="array" ref="N55">INT(SUMPRODUCT(--ISNUMBER(SEARCH(covid,'David Perdue'!C55)))&gt;0)</f>
        <v>0</v>
      </c>
      <c r="O55" s="14" cm="1">
        <f t="array" ref="O55">INT(SUMPRODUCT(--ISNUMBER(SEARCH(violent,'David Perdue'!C55)))&gt;0)</f>
        <v>0</v>
      </c>
      <c r="P55" s="14" cm="1">
        <f t="array" ref="P55">INT(SUMPRODUCT(--ISNUMBER(SEARCH(foreign,'David Perdue'!C55)))&gt;0)</f>
        <v>0</v>
      </c>
      <c r="Q55" s="14" cm="1">
        <f t="array" ref="Q55">INT(SUMPRODUCT(--ISNUMBER(SEARCH(gun,'David Perdue'!C55)))&gt;0)</f>
        <v>0</v>
      </c>
      <c r="R55" s="14" cm="1">
        <f t="array" ref="R55">INT(SUMPRODUCT(--ISNUMBER(SEARCH(race,'David Perdue'!C55)))&gt;0)</f>
        <v>0</v>
      </c>
      <c r="S55" s="14" cm="1">
        <f t="array" ref="S55">INT(SUMPRODUCT(--ISNUMBER(SEARCH(immigration,C55)))&gt;0)</f>
        <v>0</v>
      </c>
      <c r="T55" s="14" cm="1">
        <f t="array" ref="T55">INT(SUMPRODUCT(--ISNUMBER(SEARCH(econineq,C55)))&gt;0)</f>
        <v>0</v>
      </c>
      <c r="U55" s="14" cm="1">
        <f t="array" ref="U55">INT(SUMPRODUCT(--ISNUMBER(SEARCH(climate,'David Perdue'!C55)))&gt;0)</f>
        <v>0</v>
      </c>
      <c r="V55" s="14" cm="1">
        <f t="array" ref="V55">INT(SUMPRODUCT(--ISNUMBER(SEARCH(abortion,'David Perdue'!C55)))&gt;0)</f>
        <v>0</v>
      </c>
      <c r="W55" s="14" cm="1">
        <f t="array" ref="W55">INT(SUMPRODUCT(--ISNUMBER(SEARCH(trump,'David Perdue'!C55)))&gt;0)</f>
        <v>0</v>
      </c>
      <c r="X55" s="14" cm="1">
        <f t="array" ref="X55">INT(SUMPRODUCT(--ISNUMBER(SEARCH(voting,'David Perdue'!C55)))&gt;0)</f>
        <v>1</v>
      </c>
      <c r="Y55" s="14" cm="1">
        <f t="array" ref="Y55">INT(SUMPRODUCT(--ISNUMBER(SEARCH(republicantrigger,'David Perdue'!C55)))&gt;0)</f>
        <v>1</v>
      </c>
      <c r="Z55" s="14" cm="1">
        <f t="array" ref="Z55">INT(SUMPRODUCT(--ISNUMBER(SEARCH(bipartisan,'David Perdue'!C55)))&gt;0)</f>
        <v>0</v>
      </c>
      <c r="AA55" s="14">
        <f t="shared" si="1"/>
        <v>0</v>
      </c>
      <c r="AB55" s="14"/>
      <c r="AC55" s="30">
        <v>1</v>
      </c>
      <c r="AD55" s="37">
        <v>0</v>
      </c>
    </row>
    <row r="56" spans="1:30" x14ac:dyDescent="0.25">
      <c r="A56" s="54">
        <v>372</v>
      </c>
      <c r="B56" s="14" t="s">
        <v>775</v>
      </c>
      <c r="C56" s="14" t="s">
        <v>776</v>
      </c>
      <c r="D56" s="17">
        <v>44132</v>
      </c>
      <c r="E56" s="14" t="s">
        <v>30</v>
      </c>
      <c r="F56" s="14">
        <v>23</v>
      </c>
      <c r="G56" s="14">
        <v>10</v>
      </c>
      <c r="H56" s="14">
        <v>3</v>
      </c>
      <c r="I56" s="14">
        <v>2</v>
      </c>
      <c r="J56" s="14" t="s">
        <v>31</v>
      </c>
      <c r="K56" s="14" cm="1">
        <f t="array" ref="K56">INT(SUMPRODUCT(--ISNUMBER(SEARCH(economy,'David Perdue'!C56)))&gt;0)</f>
        <v>0</v>
      </c>
      <c r="L56" s="14" cm="1">
        <f t="array" ref="L56">INT(SUMPRODUCT(--ISNUMBER(SEARCH(healthcare,'David Perdue'!C56)))&gt;0)</f>
        <v>0</v>
      </c>
      <c r="M56" s="14" cm="1">
        <f t="array" ref="M56">INT(SUMPRODUCT(--ISNUMBER(SEARCH(supreme,'David Perdue'!C56)))&gt;0)</f>
        <v>0</v>
      </c>
      <c r="N56" s="14" cm="1">
        <f t="array" ref="N56">INT(SUMPRODUCT(--ISNUMBER(SEARCH(covid,'David Perdue'!C56)))&gt;0)</f>
        <v>0</v>
      </c>
      <c r="O56" s="14" cm="1">
        <f t="array" ref="O56">INT(SUMPRODUCT(--ISNUMBER(SEARCH(violent,'David Perdue'!C56)))&gt;0)</f>
        <v>0</v>
      </c>
      <c r="P56" s="14" cm="1">
        <f t="array" ref="P56">INT(SUMPRODUCT(--ISNUMBER(SEARCH(foreign,'David Perdue'!C56)))&gt;0)</f>
        <v>0</v>
      </c>
      <c r="Q56" s="14" cm="1">
        <f t="array" ref="Q56">INT(SUMPRODUCT(--ISNUMBER(SEARCH(gun,'David Perdue'!C56)))&gt;0)</f>
        <v>0</v>
      </c>
      <c r="R56" s="14" cm="1">
        <f t="array" ref="R56">INT(SUMPRODUCT(--ISNUMBER(SEARCH(race,'David Perdue'!C56)))&gt;0)</f>
        <v>0</v>
      </c>
      <c r="S56" s="14" cm="1">
        <f t="array" ref="S56">INT(SUMPRODUCT(--ISNUMBER(SEARCH(immigration,C56)))&gt;0)</f>
        <v>0</v>
      </c>
      <c r="T56" s="14" cm="1">
        <f t="array" ref="T56">INT(SUMPRODUCT(--ISNUMBER(SEARCH(econineq,C56)))&gt;0)</f>
        <v>0</v>
      </c>
      <c r="U56" s="14" cm="1">
        <f t="array" ref="U56">INT(SUMPRODUCT(--ISNUMBER(SEARCH(climate,'David Perdue'!C56)))&gt;0)</f>
        <v>0</v>
      </c>
      <c r="V56" s="14" cm="1">
        <f t="array" ref="V56">INT(SUMPRODUCT(--ISNUMBER(SEARCH(abortion,'David Perdue'!C56)))&gt;0)</f>
        <v>0</v>
      </c>
      <c r="W56" s="14" cm="1">
        <f t="array" ref="W56">INT(SUMPRODUCT(--ISNUMBER(SEARCH(trump,'David Perdue'!C56)))&gt;0)</f>
        <v>0</v>
      </c>
      <c r="X56" s="14" cm="1">
        <f t="array" ref="X56">INT(SUMPRODUCT(--ISNUMBER(SEARCH(voting,'David Perdue'!C56)))&gt;0)</f>
        <v>0</v>
      </c>
      <c r="Y56" s="14" cm="1">
        <f t="array" ref="Y56">INT(SUMPRODUCT(--ISNUMBER(SEARCH(republicantrigger,'David Perdue'!C56)))&gt;0)</f>
        <v>0</v>
      </c>
      <c r="Z56" s="14" cm="1">
        <f t="array" ref="Z56">INT(SUMPRODUCT(--ISNUMBER(SEARCH(bipartisan,'David Perdue'!C56)))&gt;0)</f>
        <v>0</v>
      </c>
      <c r="AA56" s="14">
        <f t="shared" si="1"/>
        <v>1</v>
      </c>
      <c r="AB56" s="14"/>
      <c r="AC56" s="30">
        <v>0</v>
      </c>
      <c r="AD56" s="37">
        <v>1</v>
      </c>
    </row>
    <row r="57" spans="1:30" x14ac:dyDescent="0.25">
      <c r="A57" s="54">
        <v>373</v>
      </c>
      <c r="B57" s="14" t="s">
        <v>777</v>
      </c>
      <c r="C57" s="14" t="s">
        <v>778</v>
      </c>
      <c r="D57" s="17">
        <v>44132</v>
      </c>
      <c r="E57" s="14" t="s">
        <v>30</v>
      </c>
      <c r="F57" s="14">
        <v>12</v>
      </c>
      <c r="G57" s="14">
        <v>5</v>
      </c>
      <c r="H57" s="14">
        <v>3</v>
      </c>
      <c r="I57" s="14">
        <v>2</v>
      </c>
      <c r="J57" s="14" t="s">
        <v>31</v>
      </c>
      <c r="K57" s="14" cm="1">
        <f t="array" ref="K57">INT(SUMPRODUCT(--ISNUMBER(SEARCH(economy,'David Perdue'!C57)))&gt;0)</f>
        <v>1</v>
      </c>
      <c r="L57" s="14" cm="1">
        <f t="array" ref="L57">INT(SUMPRODUCT(--ISNUMBER(SEARCH(healthcare,'David Perdue'!C57)))&gt;0)</f>
        <v>0</v>
      </c>
      <c r="M57" s="14" cm="1">
        <f t="array" ref="M57">INT(SUMPRODUCT(--ISNUMBER(SEARCH(supreme,'David Perdue'!C57)))&gt;0)</f>
        <v>0</v>
      </c>
      <c r="N57" s="14" cm="1">
        <f t="array" ref="N57">INT(SUMPRODUCT(--ISNUMBER(SEARCH(covid,'David Perdue'!C57)))&gt;0)</f>
        <v>1</v>
      </c>
      <c r="O57" s="14" cm="1">
        <f t="array" ref="O57">INT(SUMPRODUCT(--ISNUMBER(SEARCH(violent,'David Perdue'!C57)))&gt;0)</f>
        <v>0</v>
      </c>
      <c r="P57" s="14" cm="1">
        <f t="array" ref="P57">INT(SUMPRODUCT(--ISNUMBER(SEARCH(foreign,'David Perdue'!C57)))&gt;0)</f>
        <v>0</v>
      </c>
      <c r="Q57" s="14" cm="1">
        <f t="array" ref="Q57">INT(SUMPRODUCT(--ISNUMBER(SEARCH(gun,'David Perdue'!C57)))&gt;0)</f>
        <v>0</v>
      </c>
      <c r="R57" s="14" cm="1">
        <f t="array" ref="R57">INT(SUMPRODUCT(--ISNUMBER(SEARCH(race,'David Perdue'!C57)))&gt;0)</f>
        <v>0</v>
      </c>
      <c r="S57" s="14" cm="1">
        <f t="array" ref="S57">INT(SUMPRODUCT(--ISNUMBER(SEARCH(immigration,C57)))&gt;0)</f>
        <v>0</v>
      </c>
      <c r="T57" s="14" cm="1">
        <f t="array" ref="T57">INT(SUMPRODUCT(--ISNUMBER(SEARCH(econineq,C57)))&gt;0)</f>
        <v>1</v>
      </c>
      <c r="U57" s="14" cm="1">
        <f t="array" ref="U57">INT(SUMPRODUCT(--ISNUMBER(SEARCH(climate,'David Perdue'!C57)))&gt;0)</f>
        <v>0</v>
      </c>
      <c r="V57" s="14" cm="1">
        <f t="array" ref="V57">INT(SUMPRODUCT(--ISNUMBER(SEARCH(abortion,'David Perdue'!C57)))&gt;0)</f>
        <v>0</v>
      </c>
      <c r="W57" s="14" cm="1">
        <f t="array" ref="W57">INT(SUMPRODUCT(--ISNUMBER(SEARCH(trump,'David Perdue'!C57)))&gt;0)</f>
        <v>0</v>
      </c>
      <c r="X57" s="14" cm="1">
        <f t="array" ref="X57">INT(SUMPRODUCT(--ISNUMBER(SEARCH(voting,'David Perdue'!C57)))&gt;0)</f>
        <v>0</v>
      </c>
      <c r="Y57" s="14" cm="1">
        <f t="array" ref="Y57">INT(SUMPRODUCT(--ISNUMBER(SEARCH(republicantrigger,'David Perdue'!C57)))&gt;0)</f>
        <v>0</v>
      </c>
      <c r="Z57" s="14" cm="1">
        <f t="array" ref="Z57">INT(SUMPRODUCT(--ISNUMBER(SEARCH(bipartisan,'David Perdue'!C57)))&gt;0)</f>
        <v>0</v>
      </c>
      <c r="AA57" s="14">
        <f t="shared" si="1"/>
        <v>0</v>
      </c>
      <c r="AB57" s="14"/>
      <c r="AC57" s="30" t="s">
        <v>223</v>
      </c>
      <c r="AD57" s="37" t="s">
        <v>223</v>
      </c>
    </row>
    <row r="58" spans="1:30" x14ac:dyDescent="0.25">
      <c r="A58" s="54">
        <v>374</v>
      </c>
      <c r="B58" s="14" t="s">
        <v>779</v>
      </c>
      <c r="C58" s="14" t="s">
        <v>780</v>
      </c>
      <c r="D58" s="17">
        <v>44132</v>
      </c>
      <c r="E58" s="14" t="s">
        <v>30</v>
      </c>
      <c r="F58" s="14">
        <v>12</v>
      </c>
      <c r="G58" s="14">
        <v>3</v>
      </c>
      <c r="H58" s="14">
        <v>3</v>
      </c>
      <c r="I58" s="14">
        <v>2</v>
      </c>
      <c r="J58" s="14" t="s">
        <v>31</v>
      </c>
      <c r="K58" s="14" cm="1">
        <f t="array" ref="K58">INT(SUMPRODUCT(--ISNUMBER(SEARCH(economy,'David Perdue'!C58)))&gt;0)</f>
        <v>0</v>
      </c>
      <c r="L58" s="14" cm="1">
        <f t="array" ref="L58">INT(SUMPRODUCT(--ISNUMBER(SEARCH(healthcare,'David Perdue'!C58)))&gt;0)</f>
        <v>0</v>
      </c>
      <c r="M58" s="14" cm="1">
        <f t="array" ref="M58">INT(SUMPRODUCT(--ISNUMBER(SEARCH(supreme,'David Perdue'!C58)))&gt;0)</f>
        <v>0</v>
      </c>
      <c r="N58" s="14" cm="1">
        <f t="array" ref="N58">INT(SUMPRODUCT(--ISNUMBER(SEARCH(covid,'David Perdue'!C58)))&gt;0)</f>
        <v>0</v>
      </c>
      <c r="O58" s="14" cm="1">
        <f t="array" ref="O58">INT(SUMPRODUCT(--ISNUMBER(SEARCH(violent,'David Perdue'!C58)))&gt;0)</f>
        <v>0</v>
      </c>
      <c r="P58" s="14" cm="1">
        <f t="array" ref="P58">INT(SUMPRODUCT(--ISNUMBER(SEARCH(foreign,'David Perdue'!C58)))&gt;0)</f>
        <v>0</v>
      </c>
      <c r="Q58" s="14" cm="1">
        <f t="array" ref="Q58">INT(SUMPRODUCT(--ISNUMBER(SEARCH(gun,'David Perdue'!C58)))&gt;0)</f>
        <v>1</v>
      </c>
      <c r="R58" s="14" cm="1">
        <f t="array" ref="R58">INT(SUMPRODUCT(--ISNUMBER(SEARCH(race,'David Perdue'!C58)))&gt;0)</f>
        <v>0</v>
      </c>
      <c r="S58" s="14" cm="1">
        <f t="array" ref="S58">INT(SUMPRODUCT(--ISNUMBER(SEARCH(immigration,C58)))&gt;0)</f>
        <v>0</v>
      </c>
      <c r="T58" s="14" cm="1">
        <f t="array" ref="T58">INT(SUMPRODUCT(--ISNUMBER(SEARCH(econineq,C58)))&gt;0)</f>
        <v>0</v>
      </c>
      <c r="U58" s="14" cm="1">
        <f t="array" ref="U58">INT(SUMPRODUCT(--ISNUMBER(SEARCH(climate,'David Perdue'!C58)))&gt;0)</f>
        <v>0</v>
      </c>
      <c r="V58" s="14" cm="1">
        <f t="array" ref="V58">INT(SUMPRODUCT(--ISNUMBER(SEARCH(abortion,'David Perdue'!C58)))&gt;0)</f>
        <v>0</v>
      </c>
      <c r="W58" s="14" cm="1">
        <f t="array" ref="W58">INT(SUMPRODUCT(--ISNUMBER(SEARCH(trump,'David Perdue'!C58)))&gt;0)</f>
        <v>0</v>
      </c>
      <c r="X58" s="14" cm="1">
        <f t="array" ref="X58">INT(SUMPRODUCT(--ISNUMBER(SEARCH(voting,'David Perdue'!C58)))&gt;0)</f>
        <v>0</v>
      </c>
      <c r="Y58" s="14" cm="1">
        <f t="array" ref="Y58">INT(SUMPRODUCT(--ISNUMBER(SEARCH(republicantrigger,'David Perdue'!C58)))&gt;0)</f>
        <v>0</v>
      </c>
      <c r="Z58" s="14" cm="1">
        <f t="array" ref="Z58">INT(SUMPRODUCT(--ISNUMBER(SEARCH(bipartisan,'David Perdue'!C58)))&gt;0)</f>
        <v>0</v>
      </c>
      <c r="AA58" s="14">
        <f t="shared" si="1"/>
        <v>0</v>
      </c>
      <c r="AB58" s="14"/>
      <c r="AC58" s="30">
        <v>1</v>
      </c>
      <c r="AD58" s="37">
        <v>0</v>
      </c>
    </row>
    <row r="59" spans="1:30" x14ac:dyDescent="0.25">
      <c r="A59" s="54">
        <v>375</v>
      </c>
      <c r="B59" s="14" t="s">
        <v>781</v>
      </c>
      <c r="C59" s="14" t="s">
        <v>782</v>
      </c>
      <c r="D59" s="17">
        <v>44132</v>
      </c>
      <c r="E59" s="14" t="s">
        <v>30</v>
      </c>
      <c r="F59" s="14">
        <v>6</v>
      </c>
      <c r="G59" s="14">
        <v>2</v>
      </c>
      <c r="H59" s="14">
        <v>3</v>
      </c>
      <c r="I59" s="14">
        <v>2</v>
      </c>
      <c r="J59" s="14" t="s">
        <v>31</v>
      </c>
      <c r="K59" s="14" cm="1">
        <f t="array" ref="K59">INT(SUMPRODUCT(--ISNUMBER(SEARCH(economy,'David Perdue'!C59)))&gt;0)</f>
        <v>0</v>
      </c>
      <c r="L59" s="14" cm="1">
        <f t="array" ref="L59">INT(SUMPRODUCT(--ISNUMBER(SEARCH(healthcare,'David Perdue'!C59)))&gt;0)</f>
        <v>0</v>
      </c>
      <c r="M59" s="14" cm="1">
        <f t="array" ref="M59">INT(SUMPRODUCT(--ISNUMBER(SEARCH(supreme,'David Perdue'!C59)))&gt;0)</f>
        <v>0</v>
      </c>
      <c r="N59" s="14" cm="1">
        <f t="array" ref="N59">INT(SUMPRODUCT(--ISNUMBER(SEARCH(covid,'David Perdue'!C59)))&gt;0)</f>
        <v>0</v>
      </c>
      <c r="O59" s="14" cm="1">
        <f t="array" ref="O59">INT(SUMPRODUCT(--ISNUMBER(SEARCH(violent,'David Perdue'!C59)))&gt;0)</f>
        <v>0</v>
      </c>
      <c r="P59" s="14" cm="1">
        <f t="array" ref="P59">INT(SUMPRODUCT(--ISNUMBER(SEARCH(foreign,'David Perdue'!C59)))&gt;0)</f>
        <v>0</v>
      </c>
      <c r="Q59" s="14" cm="1">
        <f t="array" ref="Q59">INT(SUMPRODUCT(--ISNUMBER(SEARCH(gun,'David Perdue'!C59)))&gt;0)</f>
        <v>0</v>
      </c>
      <c r="R59" s="14" cm="1">
        <f t="array" ref="R59">INT(SUMPRODUCT(--ISNUMBER(SEARCH(race,'David Perdue'!C59)))&gt;0)</f>
        <v>0</v>
      </c>
      <c r="S59" s="14" cm="1">
        <f t="array" ref="S59">INT(SUMPRODUCT(--ISNUMBER(SEARCH(immigration,C59)))&gt;0)</f>
        <v>0</v>
      </c>
      <c r="T59" s="14" cm="1">
        <f t="array" ref="T59">INT(SUMPRODUCT(--ISNUMBER(SEARCH(econineq,C59)))&gt;0)</f>
        <v>0</v>
      </c>
      <c r="U59" s="14" cm="1">
        <f t="array" ref="U59">INT(SUMPRODUCT(--ISNUMBER(SEARCH(climate,'David Perdue'!C59)))&gt;0)</f>
        <v>0</v>
      </c>
      <c r="V59" s="14" cm="1">
        <f t="array" ref="V59">INT(SUMPRODUCT(--ISNUMBER(SEARCH(abortion,'David Perdue'!C59)))&gt;0)</f>
        <v>0</v>
      </c>
      <c r="W59" s="14" cm="1">
        <f t="array" ref="W59">INT(SUMPRODUCT(--ISNUMBER(SEARCH(trump,'David Perdue'!C59)))&gt;0)</f>
        <v>0</v>
      </c>
      <c r="X59" s="14" cm="1">
        <f t="array" ref="X59">INT(SUMPRODUCT(--ISNUMBER(SEARCH(voting,'David Perdue'!C59)))&gt;0)</f>
        <v>1</v>
      </c>
      <c r="Y59" s="14" cm="1">
        <f t="array" ref="Y59">INT(SUMPRODUCT(--ISNUMBER(SEARCH(republicantrigger,'David Perdue'!C59)))&gt;0)</f>
        <v>1</v>
      </c>
      <c r="Z59" s="14" cm="1">
        <f t="array" ref="Z59">INT(SUMPRODUCT(--ISNUMBER(SEARCH(bipartisan,'David Perdue'!C59)))&gt;0)</f>
        <v>0</v>
      </c>
      <c r="AA59" s="14">
        <f t="shared" si="1"/>
        <v>0</v>
      </c>
      <c r="AB59" s="14"/>
      <c r="AC59" s="30">
        <v>0</v>
      </c>
      <c r="AD59" s="37">
        <v>1</v>
      </c>
    </row>
    <row r="60" spans="1:30" x14ac:dyDescent="0.25">
      <c r="A60" s="54">
        <v>376</v>
      </c>
      <c r="B60" s="14" t="s">
        <v>783</v>
      </c>
      <c r="C60" s="14" t="s">
        <v>784</v>
      </c>
      <c r="D60" s="17">
        <v>44132</v>
      </c>
      <c r="E60" s="14" t="s">
        <v>30</v>
      </c>
      <c r="F60" s="14">
        <v>32</v>
      </c>
      <c r="G60" s="14">
        <v>6</v>
      </c>
      <c r="H60" s="14">
        <v>3</v>
      </c>
      <c r="I60" s="14">
        <v>2</v>
      </c>
      <c r="J60" s="14" t="s">
        <v>31</v>
      </c>
      <c r="K60" s="14" cm="1">
        <f t="array" ref="K60">INT(SUMPRODUCT(--ISNUMBER(SEARCH(economy,'David Perdue'!C60)))&gt;0)</f>
        <v>0</v>
      </c>
      <c r="L60" s="14" cm="1">
        <f t="array" ref="L60">INT(SUMPRODUCT(--ISNUMBER(SEARCH(healthcare,'David Perdue'!C60)))&gt;0)</f>
        <v>0</v>
      </c>
      <c r="M60" s="14" cm="1">
        <f t="array" ref="M60">INT(SUMPRODUCT(--ISNUMBER(SEARCH(supreme,'David Perdue'!C60)))&gt;0)</f>
        <v>0</v>
      </c>
      <c r="N60" s="14" cm="1">
        <f t="array" ref="N60">INT(SUMPRODUCT(--ISNUMBER(SEARCH(covid,'David Perdue'!C60)))&gt;0)</f>
        <v>0</v>
      </c>
      <c r="O60" s="14" cm="1">
        <f t="array" ref="O60">INT(SUMPRODUCT(--ISNUMBER(SEARCH(violent,'David Perdue'!C60)))&gt;0)</f>
        <v>0</v>
      </c>
      <c r="P60" s="14" cm="1">
        <f t="array" ref="P60">INT(SUMPRODUCT(--ISNUMBER(SEARCH(foreign,'David Perdue'!C60)))&gt;0)</f>
        <v>0</v>
      </c>
      <c r="Q60" s="14" cm="1">
        <f t="array" ref="Q60">INT(SUMPRODUCT(--ISNUMBER(SEARCH(gun,'David Perdue'!C60)))&gt;0)</f>
        <v>0</v>
      </c>
      <c r="R60" s="14" cm="1">
        <f t="array" ref="R60">INT(SUMPRODUCT(--ISNUMBER(SEARCH(race,'David Perdue'!C60)))&gt;0)</f>
        <v>0</v>
      </c>
      <c r="S60" s="14" cm="1">
        <f t="array" ref="S60">INT(SUMPRODUCT(--ISNUMBER(SEARCH(immigration,C60)))&gt;0)</f>
        <v>0</v>
      </c>
      <c r="T60" s="14" cm="1">
        <f t="array" ref="T60">INT(SUMPRODUCT(--ISNUMBER(SEARCH(econineq,C60)))&gt;0)</f>
        <v>0</v>
      </c>
      <c r="U60" s="14" cm="1">
        <f t="array" ref="U60">INT(SUMPRODUCT(--ISNUMBER(SEARCH(climate,'David Perdue'!C60)))&gt;0)</f>
        <v>0</v>
      </c>
      <c r="V60" s="14" cm="1">
        <f t="array" ref="V60">INT(SUMPRODUCT(--ISNUMBER(SEARCH(abortion,'David Perdue'!C60)))&gt;0)</f>
        <v>0</v>
      </c>
      <c r="W60" s="14" cm="1">
        <f t="array" ref="W60">INT(SUMPRODUCT(--ISNUMBER(SEARCH(trump,'David Perdue'!C60)))&gt;0)</f>
        <v>0</v>
      </c>
      <c r="X60" s="14" cm="1">
        <f t="array" ref="X60">INT(SUMPRODUCT(--ISNUMBER(SEARCH(voting,'David Perdue'!C60)))&gt;0)</f>
        <v>0</v>
      </c>
      <c r="Y60" s="14" cm="1">
        <f t="array" ref="Y60">INT(SUMPRODUCT(--ISNUMBER(SEARCH(republicantrigger,'David Perdue'!C60)))&gt;0)</f>
        <v>0</v>
      </c>
      <c r="Z60" s="14" cm="1">
        <f t="array" ref="Z60">INT(SUMPRODUCT(--ISNUMBER(SEARCH(bipartisan,'David Perdue'!C60)))&gt;0)</f>
        <v>0</v>
      </c>
      <c r="AA60" s="14">
        <f t="shared" si="1"/>
        <v>1</v>
      </c>
      <c r="AB60" s="14"/>
      <c r="AC60" s="30">
        <v>1</v>
      </c>
      <c r="AD60" s="37">
        <v>0</v>
      </c>
    </row>
    <row r="61" spans="1:30" x14ac:dyDescent="0.25">
      <c r="A61" s="54">
        <v>377</v>
      </c>
      <c r="B61" s="14" t="s">
        <v>785</v>
      </c>
      <c r="C61" s="14" t="s">
        <v>786</v>
      </c>
      <c r="D61" s="17">
        <v>44132</v>
      </c>
      <c r="E61" s="14" t="s">
        <v>30</v>
      </c>
      <c r="F61" s="14">
        <v>14</v>
      </c>
      <c r="G61" s="14">
        <v>12</v>
      </c>
      <c r="H61" s="14">
        <v>3</v>
      </c>
      <c r="I61" s="14">
        <v>2</v>
      </c>
      <c r="J61" s="14" t="s">
        <v>31</v>
      </c>
      <c r="K61" s="14" cm="1">
        <f t="array" ref="K61">INT(SUMPRODUCT(--ISNUMBER(SEARCH(economy,'David Perdue'!C61)))&gt;0)</f>
        <v>0</v>
      </c>
      <c r="L61" s="14" cm="1">
        <f t="array" ref="L61">INT(SUMPRODUCT(--ISNUMBER(SEARCH(healthcare,'David Perdue'!C61)))&gt;0)</f>
        <v>0</v>
      </c>
      <c r="M61" s="14" cm="1">
        <f t="array" ref="M61">INT(SUMPRODUCT(--ISNUMBER(SEARCH(supreme,'David Perdue'!C61)))&gt;0)</f>
        <v>0</v>
      </c>
      <c r="N61" s="14" cm="1">
        <f t="array" ref="N61">INT(SUMPRODUCT(--ISNUMBER(SEARCH(covid,'David Perdue'!C61)))&gt;0)</f>
        <v>0</v>
      </c>
      <c r="O61" s="14" cm="1">
        <f t="array" ref="O61">INT(SUMPRODUCT(--ISNUMBER(SEARCH(violent,'David Perdue'!C61)))&gt;0)</f>
        <v>0</v>
      </c>
      <c r="P61" s="14" cm="1">
        <f t="array" ref="P61">INT(SUMPRODUCT(--ISNUMBER(SEARCH(foreign,'David Perdue'!C61)))&gt;0)</f>
        <v>0</v>
      </c>
      <c r="Q61" s="14" cm="1">
        <f t="array" ref="Q61">INT(SUMPRODUCT(--ISNUMBER(SEARCH(gun,'David Perdue'!C61)))&gt;0)</f>
        <v>0</v>
      </c>
      <c r="R61" s="14" cm="1">
        <f t="array" ref="R61">INT(SUMPRODUCT(--ISNUMBER(SEARCH(race,'David Perdue'!C61)))&gt;0)</f>
        <v>0</v>
      </c>
      <c r="S61" s="14" cm="1">
        <f t="array" ref="S61">INT(SUMPRODUCT(--ISNUMBER(SEARCH(immigration,C61)))&gt;0)</f>
        <v>0</v>
      </c>
      <c r="T61" s="14" cm="1">
        <f t="array" ref="T61">INT(SUMPRODUCT(--ISNUMBER(SEARCH(econineq,C61)))&gt;0)</f>
        <v>0</v>
      </c>
      <c r="U61" s="14" cm="1">
        <f t="array" ref="U61">INT(SUMPRODUCT(--ISNUMBER(SEARCH(climate,'David Perdue'!C61)))&gt;0)</f>
        <v>0</v>
      </c>
      <c r="V61" s="14" cm="1">
        <f t="array" ref="V61">INT(SUMPRODUCT(--ISNUMBER(SEARCH(abortion,'David Perdue'!C61)))&gt;0)</f>
        <v>0</v>
      </c>
      <c r="W61" s="14" cm="1">
        <f t="array" ref="W61">INT(SUMPRODUCT(--ISNUMBER(SEARCH(trump,'David Perdue'!C61)))&gt;0)</f>
        <v>0</v>
      </c>
      <c r="X61" s="14" cm="1">
        <f t="array" ref="X61">INT(SUMPRODUCT(--ISNUMBER(SEARCH(voting,'David Perdue'!C61)))&gt;0)</f>
        <v>1</v>
      </c>
      <c r="Y61" s="14" cm="1">
        <f t="array" ref="Y61">INT(SUMPRODUCT(--ISNUMBER(SEARCH(republicantrigger,'David Perdue'!C61)))&gt;0)</f>
        <v>1</v>
      </c>
      <c r="Z61" s="14" cm="1">
        <f t="array" ref="Z61">INT(SUMPRODUCT(--ISNUMBER(SEARCH(bipartisan,'David Perdue'!C61)))&gt;0)</f>
        <v>0</v>
      </c>
      <c r="AA61" s="14">
        <f t="shared" si="1"/>
        <v>0</v>
      </c>
      <c r="AB61" s="14"/>
      <c r="AC61" s="30">
        <v>0</v>
      </c>
      <c r="AD61" s="37">
        <v>1</v>
      </c>
    </row>
    <row r="62" spans="1:30" x14ac:dyDescent="0.25">
      <c r="A62" s="54">
        <v>378</v>
      </c>
      <c r="B62" s="14" t="s">
        <v>787</v>
      </c>
      <c r="C62" s="14" t="s">
        <v>788</v>
      </c>
      <c r="D62" s="17">
        <v>44132</v>
      </c>
      <c r="E62" s="14" t="s">
        <v>30</v>
      </c>
      <c r="F62" s="14">
        <v>22</v>
      </c>
      <c r="G62" s="14">
        <v>8</v>
      </c>
      <c r="H62" s="14">
        <v>3</v>
      </c>
      <c r="I62" s="14">
        <v>2</v>
      </c>
      <c r="J62" s="14" t="s">
        <v>31</v>
      </c>
      <c r="K62" s="14" cm="1">
        <f t="array" ref="K62">INT(SUMPRODUCT(--ISNUMBER(SEARCH(economy,'David Perdue'!C62)))&gt;0)</f>
        <v>0</v>
      </c>
      <c r="L62" s="14" cm="1">
        <f t="array" ref="L62">INT(SUMPRODUCT(--ISNUMBER(SEARCH(healthcare,'David Perdue'!C62)))&gt;0)</f>
        <v>0</v>
      </c>
      <c r="M62" s="14" cm="1">
        <f t="array" ref="M62">INT(SUMPRODUCT(--ISNUMBER(SEARCH(supreme,'David Perdue'!C62)))&gt;0)</f>
        <v>1</v>
      </c>
      <c r="N62" s="14" cm="1">
        <f t="array" ref="N62">INT(SUMPRODUCT(--ISNUMBER(SEARCH(covid,'David Perdue'!C62)))&gt;0)</f>
        <v>0</v>
      </c>
      <c r="O62" s="14" cm="1">
        <f t="array" ref="O62">INT(SUMPRODUCT(--ISNUMBER(SEARCH(violent,'David Perdue'!C62)))&gt;0)</f>
        <v>0</v>
      </c>
      <c r="P62" s="14" cm="1">
        <f t="array" ref="P62">INT(SUMPRODUCT(--ISNUMBER(SEARCH(foreign,'David Perdue'!C62)))&gt;0)</f>
        <v>0</v>
      </c>
      <c r="Q62" s="14" cm="1">
        <f t="array" ref="Q62">INT(SUMPRODUCT(--ISNUMBER(SEARCH(gun,'David Perdue'!C62)))&gt;0)</f>
        <v>0</v>
      </c>
      <c r="R62" s="14" cm="1">
        <f t="array" ref="R62">INT(SUMPRODUCT(--ISNUMBER(SEARCH(race,'David Perdue'!C62)))&gt;0)</f>
        <v>0</v>
      </c>
      <c r="S62" s="14" cm="1">
        <f t="array" ref="S62">INT(SUMPRODUCT(--ISNUMBER(SEARCH(immigration,C62)))&gt;0)</f>
        <v>0</v>
      </c>
      <c r="T62" s="14" cm="1">
        <f t="array" ref="T62">INT(SUMPRODUCT(--ISNUMBER(SEARCH(econineq,C62)))&gt;0)</f>
        <v>0</v>
      </c>
      <c r="U62" s="14" cm="1">
        <f t="array" ref="U62">INT(SUMPRODUCT(--ISNUMBER(SEARCH(climate,'David Perdue'!C62)))&gt;0)</f>
        <v>0</v>
      </c>
      <c r="V62" s="14" cm="1">
        <f t="array" ref="V62">INT(SUMPRODUCT(--ISNUMBER(SEARCH(abortion,'David Perdue'!C62)))&gt;0)</f>
        <v>0</v>
      </c>
      <c r="W62" s="14" cm="1">
        <f t="array" ref="W62">INT(SUMPRODUCT(--ISNUMBER(SEARCH(trump,'David Perdue'!C62)))&gt;0)</f>
        <v>0</v>
      </c>
      <c r="X62" s="14" cm="1">
        <f t="array" ref="X62">INT(SUMPRODUCT(--ISNUMBER(SEARCH(voting,'David Perdue'!C62)))&gt;0)</f>
        <v>0</v>
      </c>
      <c r="Y62" s="14" cm="1">
        <f t="array" ref="Y62">INT(SUMPRODUCT(--ISNUMBER(SEARCH(republicantrigger,'David Perdue'!C62)))&gt;0)</f>
        <v>0</v>
      </c>
      <c r="Z62" s="14" cm="1">
        <f t="array" ref="Z62">INT(SUMPRODUCT(--ISNUMBER(SEARCH(bipartisan,'David Perdue'!C62)))&gt;0)</f>
        <v>0</v>
      </c>
      <c r="AA62" s="14">
        <f t="shared" si="1"/>
        <v>0</v>
      </c>
      <c r="AB62" s="14"/>
      <c r="AC62" s="30">
        <v>1</v>
      </c>
      <c r="AD62" s="37">
        <v>0</v>
      </c>
    </row>
    <row r="63" spans="1:30" x14ac:dyDescent="0.25">
      <c r="A63" s="54">
        <v>379</v>
      </c>
      <c r="B63" s="14" t="s">
        <v>789</v>
      </c>
      <c r="C63" s="14" t="s">
        <v>790</v>
      </c>
      <c r="D63" s="17">
        <v>44132</v>
      </c>
      <c r="E63" s="14" t="s">
        <v>30</v>
      </c>
      <c r="F63" s="14">
        <v>27</v>
      </c>
      <c r="G63" s="14">
        <v>12</v>
      </c>
      <c r="H63" s="14">
        <v>3</v>
      </c>
      <c r="I63" s="14">
        <v>2</v>
      </c>
      <c r="J63" s="14" t="s">
        <v>31</v>
      </c>
      <c r="K63" s="14" cm="1">
        <f t="array" ref="K63">INT(SUMPRODUCT(--ISNUMBER(SEARCH(economy,'David Perdue'!C63)))&gt;0)</f>
        <v>0</v>
      </c>
      <c r="L63" s="14" cm="1">
        <f t="array" ref="L63">INT(SUMPRODUCT(--ISNUMBER(SEARCH(healthcare,'David Perdue'!C63)))&gt;0)</f>
        <v>0</v>
      </c>
      <c r="M63" s="14" cm="1">
        <f t="array" ref="M63">INT(SUMPRODUCT(--ISNUMBER(SEARCH(supreme,'David Perdue'!C63)))&gt;0)</f>
        <v>0</v>
      </c>
      <c r="N63" s="14" cm="1">
        <f t="array" ref="N63">INT(SUMPRODUCT(--ISNUMBER(SEARCH(covid,'David Perdue'!C63)))&gt;0)</f>
        <v>1</v>
      </c>
      <c r="O63" s="14" cm="1">
        <f t="array" ref="O63">INT(SUMPRODUCT(--ISNUMBER(SEARCH(violent,'David Perdue'!C63)))&gt;0)</f>
        <v>0</v>
      </c>
      <c r="P63" s="14" cm="1">
        <f t="array" ref="P63">INT(SUMPRODUCT(--ISNUMBER(SEARCH(foreign,'David Perdue'!C63)))&gt;0)</f>
        <v>0</v>
      </c>
      <c r="Q63" s="14" cm="1">
        <f t="array" ref="Q63">INT(SUMPRODUCT(--ISNUMBER(SEARCH(gun,'David Perdue'!C63)))&gt;0)</f>
        <v>0</v>
      </c>
      <c r="R63" s="14" cm="1">
        <f t="array" ref="R63">INT(SUMPRODUCT(--ISNUMBER(SEARCH(race,'David Perdue'!C63)))&gt;0)</f>
        <v>1</v>
      </c>
      <c r="S63" s="14" cm="1">
        <f t="array" ref="S63">INT(SUMPRODUCT(--ISNUMBER(SEARCH(immigration,C63)))&gt;0)</f>
        <v>0</v>
      </c>
      <c r="T63" s="14" cm="1">
        <f t="array" ref="T63">INT(SUMPRODUCT(--ISNUMBER(SEARCH(econineq,C63)))&gt;0)</f>
        <v>0</v>
      </c>
      <c r="U63" s="14" cm="1">
        <f t="array" ref="U63">INT(SUMPRODUCT(--ISNUMBER(SEARCH(climate,'David Perdue'!C63)))&gt;0)</f>
        <v>0</v>
      </c>
      <c r="V63" s="14" cm="1">
        <f t="array" ref="V63">INT(SUMPRODUCT(--ISNUMBER(SEARCH(abortion,'David Perdue'!C63)))&gt;0)</f>
        <v>0</v>
      </c>
      <c r="W63" s="14" cm="1">
        <f t="array" ref="W63">INT(SUMPRODUCT(--ISNUMBER(SEARCH(trump,'David Perdue'!C63)))&gt;0)</f>
        <v>0</v>
      </c>
      <c r="X63" s="14" cm="1">
        <f t="array" ref="X63">INT(SUMPRODUCT(--ISNUMBER(SEARCH(voting,'David Perdue'!C63)))&gt;0)</f>
        <v>0</v>
      </c>
      <c r="Y63" s="14" cm="1">
        <f t="array" ref="Y63">INT(SUMPRODUCT(--ISNUMBER(SEARCH(republicantrigger,'David Perdue'!C63)))&gt;0)</f>
        <v>1</v>
      </c>
      <c r="Z63" s="14" cm="1">
        <f t="array" ref="Z63">INT(SUMPRODUCT(--ISNUMBER(SEARCH(bipartisan,'David Perdue'!C63)))&gt;0)</f>
        <v>0</v>
      </c>
      <c r="AA63" s="14">
        <f t="shared" si="1"/>
        <v>0</v>
      </c>
      <c r="AB63" s="14"/>
      <c r="AC63" s="30">
        <v>0</v>
      </c>
      <c r="AD63" s="37">
        <v>1</v>
      </c>
    </row>
    <row r="64" spans="1:30" x14ac:dyDescent="0.25">
      <c r="A64" s="54">
        <v>380</v>
      </c>
      <c r="B64" s="14" t="s">
        <v>791</v>
      </c>
      <c r="C64" s="14" t="s">
        <v>792</v>
      </c>
      <c r="D64" s="17">
        <v>44132</v>
      </c>
      <c r="E64" s="14" t="s">
        <v>30</v>
      </c>
      <c r="F64" s="14">
        <v>311</v>
      </c>
      <c r="G64" s="14">
        <v>55</v>
      </c>
      <c r="H64" s="14">
        <v>3</v>
      </c>
      <c r="I64" s="14">
        <v>2</v>
      </c>
      <c r="J64" s="14" t="s">
        <v>31</v>
      </c>
      <c r="K64" s="14" cm="1">
        <f t="array" ref="K64">INT(SUMPRODUCT(--ISNUMBER(SEARCH(economy,'David Perdue'!C64)))&gt;0)</f>
        <v>0</v>
      </c>
      <c r="L64" s="14" cm="1">
        <f t="array" ref="L64">INT(SUMPRODUCT(--ISNUMBER(SEARCH(healthcare,'David Perdue'!C64)))&gt;0)</f>
        <v>0</v>
      </c>
      <c r="M64" s="14" cm="1">
        <f t="array" ref="M64">INT(SUMPRODUCT(--ISNUMBER(SEARCH(supreme,'David Perdue'!C64)))&gt;0)</f>
        <v>0</v>
      </c>
      <c r="N64" s="14" cm="1">
        <f t="array" ref="N64">INT(SUMPRODUCT(--ISNUMBER(SEARCH(covid,'David Perdue'!C64)))&gt;0)</f>
        <v>0</v>
      </c>
      <c r="O64" s="14" cm="1">
        <f t="array" ref="O64">INT(SUMPRODUCT(--ISNUMBER(SEARCH(violent,'David Perdue'!C64)))&gt;0)</f>
        <v>0</v>
      </c>
      <c r="P64" s="14" cm="1">
        <f t="array" ref="P64">INT(SUMPRODUCT(--ISNUMBER(SEARCH(foreign,'David Perdue'!C64)))&gt;0)</f>
        <v>0</v>
      </c>
      <c r="Q64" s="14" cm="1">
        <f t="array" ref="Q64">INT(SUMPRODUCT(--ISNUMBER(SEARCH(gun,'David Perdue'!C64)))&gt;0)</f>
        <v>0</v>
      </c>
      <c r="R64" s="14" cm="1">
        <f t="array" ref="R64">INT(SUMPRODUCT(--ISNUMBER(SEARCH(race,'David Perdue'!C64)))&gt;0)</f>
        <v>0</v>
      </c>
      <c r="S64" s="14" cm="1">
        <f t="array" ref="S64">INT(SUMPRODUCT(--ISNUMBER(SEARCH(immigration,C64)))&gt;0)</f>
        <v>0</v>
      </c>
      <c r="T64" s="14" cm="1">
        <f t="array" ref="T64">INT(SUMPRODUCT(--ISNUMBER(SEARCH(econineq,C64)))&gt;0)</f>
        <v>0</v>
      </c>
      <c r="U64" s="14" cm="1">
        <f t="array" ref="U64">INT(SUMPRODUCT(--ISNUMBER(SEARCH(climate,'David Perdue'!C64)))&gt;0)</f>
        <v>0</v>
      </c>
      <c r="V64" s="14" cm="1">
        <f t="array" ref="V64">INT(SUMPRODUCT(--ISNUMBER(SEARCH(abortion,'David Perdue'!C64)))&gt;0)</f>
        <v>0</v>
      </c>
      <c r="W64" s="14" cm="1">
        <f t="array" ref="W64">INT(SUMPRODUCT(--ISNUMBER(SEARCH(trump,'David Perdue'!C64)))&gt;0)</f>
        <v>0</v>
      </c>
      <c r="X64" s="14" cm="1">
        <f t="array" ref="X64">INT(SUMPRODUCT(--ISNUMBER(SEARCH(voting,'David Perdue'!C64)))&gt;0)</f>
        <v>0</v>
      </c>
      <c r="Y64" s="14" cm="1">
        <f t="array" ref="Y64">INT(SUMPRODUCT(--ISNUMBER(SEARCH(republicantrigger,'David Perdue'!C64)))&gt;0)</f>
        <v>0</v>
      </c>
      <c r="Z64" s="14" cm="1">
        <f t="array" ref="Z64">INT(SUMPRODUCT(--ISNUMBER(SEARCH(bipartisan,'David Perdue'!C64)))&gt;0)</f>
        <v>0</v>
      </c>
      <c r="AA64" s="14">
        <f t="shared" si="1"/>
        <v>1</v>
      </c>
      <c r="AB64" s="14"/>
      <c r="AC64" s="30">
        <v>0</v>
      </c>
      <c r="AD64" s="37">
        <v>1</v>
      </c>
    </row>
    <row r="65" spans="1:30" x14ac:dyDescent="0.25">
      <c r="A65" s="54">
        <v>381</v>
      </c>
      <c r="B65" s="14" t="s">
        <v>793</v>
      </c>
      <c r="C65" s="14" t="s">
        <v>794</v>
      </c>
      <c r="D65" s="17">
        <v>44132</v>
      </c>
      <c r="E65" s="14" t="s">
        <v>30</v>
      </c>
      <c r="F65" s="14">
        <v>29</v>
      </c>
      <c r="G65" s="14">
        <v>13</v>
      </c>
      <c r="H65" s="14">
        <v>3</v>
      </c>
      <c r="I65" s="14">
        <v>2</v>
      </c>
      <c r="J65" s="14" t="s">
        <v>31</v>
      </c>
      <c r="K65" s="14" cm="1">
        <f t="array" ref="K65">INT(SUMPRODUCT(--ISNUMBER(SEARCH(economy,'David Perdue'!C65)))&gt;0)</f>
        <v>0</v>
      </c>
      <c r="L65" s="14" cm="1">
        <f t="array" ref="L65">INT(SUMPRODUCT(--ISNUMBER(SEARCH(healthcare,'David Perdue'!C65)))&gt;0)</f>
        <v>0</v>
      </c>
      <c r="M65" s="14" cm="1">
        <f t="array" ref="M65">INT(SUMPRODUCT(--ISNUMBER(SEARCH(supreme,'David Perdue'!C65)))&gt;0)</f>
        <v>0</v>
      </c>
      <c r="N65" s="14" cm="1">
        <f t="array" ref="N65">INT(SUMPRODUCT(--ISNUMBER(SEARCH(covid,'David Perdue'!C65)))&gt;0)</f>
        <v>0</v>
      </c>
      <c r="O65" s="14" cm="1">
        <f t="array" ref="O65">INT(SUMPRODUCT(--ISNUMBER(SEARCH(violent,'David Perdue'!C65)))&gt;0)</f>
        <v>0</v>
      </c>
      <c r="P65" s="14" cm="1">
        <f t="array" ref="P65">INT(SUMPRODUCT(--ISNUMBER(SEARCH(foreign,'David Perdue'!C65)))&gt;0)</f>
        <v>0</v>
      </c>
      <c r="Q65" s="14" cm="1">
        <f t="array" ref="Q65">INT(SUMPRODUCT(--ISNUMBER(SEARCH(gun,'David Perdue'!C65)))&gt;0)</f>
        <v>0</v>
      </c>
      <c r="R65" s="14" cm="1">
        <f t="array" ref="R65">INT(SUMPRODUCT(--ISNUMBER(SEARCH(race,'David Perdue'!C65)))&gt;0)</f>
        <v>0</v>
      </c>
      <c r="S65" s="14" cm="1">
        <f t="array" ref="S65">INT(SUMPRODUCT(--ISNUMBER(SEARCH(immigration,C65)))&gt;0)</f>
        <v>0</v>
      </c>
      <c r="T65" s="14" cm="1">
        <f t="array" ref="T65">INT(SUMPRODUCT(--ISNUMBER(SEARCH(econineq,C65)))&gt;0)</f>
        <v>0</v>
      </c>
      <c r="U65" s="14" cm="1">
        <f t="array" ref="U65">INT(SUMPRODUCT(--ISNUMBER(SEARCH(climate,'David Perdue'!C65)))&gt;0)</f>
        <v>0</v>
      </c>
      <c r="V65" s="14" cm="1">
        <f t="array" ref="V65">INT(SUMPRODUCT(--ISNUMBER(SEARCH(abortion,'David Perdue'!C65)))&gt;0)</f>
        <v>0</v>
      </c>
      <c r="W65" s="14" cm="1">
        <f t="array" ref="W65">INT(SUMPRODUCT(--ISNUMBER(SEARCH(trump,'David Perdue'!C65)))&gt;0)</f>
        <v>1</v>
      </c>
      <c r="X65" s="14" cm="1">
        <f t="array" ref="X65">INT(SUMPRODUCT(--ISNUMBER(SEARCH(voting,'David Perdue'!C65)))&gt;0)</f>
        <v>1</v>
      </c>
      <c r="Y65" s="14" cm="1">
        <f t="array" ref="Y65">INT(SUMPRODUCT(--ISNUMBER(SEARCH(republicantrigger,'David Perdue'!C65)))&gt;0)</f>
        <v>0</v>
      </c>
      <c r="Z65" s="14" cm="1">
        <f t="array" ref="Z65">INT(SUMPRODUCT(--ISNUMBER(SEARCH(bipartisan,'David Perdue'!C65)))&gt;0)</f>
        <v>0</v>
      </c>
      <c r="AA65" s="14">
        <f t="shared" si="1"/>
        <v>0</v>
      </c>
      <c r="AB65" s="14"/>
      <c r="AC65" s="30">
        <v>1</v>
      </c>
      <c r="AD65" s="37">
        <v>0</v>
      </c>
    </row>
    <row r="66" spans="1:30" x14ac:dyDescent="0.25">
      <c r="A66" s="54">
        <v>382</v>
      </c>
      <c r="B66" s="14" t="s">
        <v>795</v>
      </c>
      <c r="C66" s="14" t="s">
        <v>796</v>
      </c>
      <c r="D66" s="17">
        <v>44131</v>
      </c>
      <c r="E66" s="14" t="s">
        <v>30</v>
      </c>
      <c r="F66" s="14">
        <v>30</v>
      </c>
      <c r="G66" s="14">
        <v>5</v>
      </c>
      <c r="H66" s="14">
        <v>3</v>
      </c>
      <c r="I66" s="14">
        <v>2</v>
      </c>
      <c r="J66" s="14" t="s">
        <v>31</v>
      </c>
      <c r="K66" s="14" cm="1">
        <f t="array" ref="K66">INT(SUMPRODUCT(--ISNUMBER(SEARCH(economy,'David Perdue'!C66)))&gt;0)</f>
        <v>0</v>
      </c>
      <c r="L66" s="14" cm="1">
        <f t="array" ref="L66">INT(SUMPRODUCT(--ISNUMBER(SEARCH(healthcare,'David Perdue'!C66)))&gt;0)</f>
        <v>0</v>
      </c>
      <c r="M66" s="14" cm="1">
        <f t="array" ref="M66">INT(SUMPRODUCT(--ISNUMBER(SEARCH(supreme,'David Perdue'!C66)))&gt;0)</f>
        <v>0</v>
      </c>
      <c r="N66" s="14" cm="1">
        <f t="array" ref="N66">INT(SUMPRODUCT(--ISNUMBER(SEARCH(covid,'David Perdue'!C66)))&gt;0)</f>
        <v>0</v>
      </c>
      <c r="O66" s="14" cm="1">
        <f t="array" ref="O66">INT(SUMPRODUCT(--ISNUMBER(SEARCH(violent,'David Perdue'!C66)))&gt;0)</f>
        <v>0</v>
      </c>
      <c r="P66" s="14" cm="1">
        <f t="array" ref="P66">INT(SUMPRODUCT(--ISNUMBER(SEARCH(foreign,'David Perdue'!C66)))&gt;0)</f>
        <v>0</v>
      </c>
      <c r="Q66" s="14" cm="1">
        <f t="array" ref="Q66">INT(SUMPRODUCT(--ISNUMBER(SEARCH(gun,'David Perdue'!C66)))&gt;0)</f>
        <v>0</v>
      </c>
      <c r="R66" s="14" cm="1">
        <f t="array" ref="R66">INT(SUMPRODUCT(--ISNUMBER(SEARCH(race,'David Perdue'!C66)))&gt;0)</f>
        <v>0</v>
      </c>
      <c r="S66" s="14" cm="1">
        <f t="array" ref="S66">INT(SUMPRODUCT(--ISNUMBER(SEARCH(immigration,C66)))&gt;0)</f>
        <v>0</v>
      </c>
      <c r="T66" s="14" cm="1">
        <f t="array" ref="T66">INT(SUMPRODUCT(--ISNUMBER(SEARCH(econineq,C66)))&gt;0)</f>
        <v>0</v>
      </c>
      <c r="U66" s="14" cm="1">
        <f t="array" ref="U66">INT(SUMPRODUCT(--ISNUMBER(SEARCH(climate,'David Perdue'!C66)))&gt;0)</f>
        <v>0</v>
      </c>
      <c r="V66" s="14" cm="1">
        <f t="array" ref="V66">INT(SUMPRODUCT(--ISNUMBER(SEARCH(abortion,'David Perdue'!C66)))&gt;0)</f>
        <v>0</v>
      </c>
      <c r="W66" s="14" cm="1">
        <f t="array" ref="W66">INT(SUMPRODUCT(--ISNUMBER(SEARCH(trump,'David Perdue'!C66)))&gt;0)</f>
        <v>0</v>
      </c>
      <c r="X66" s="14" cm="1">
        <f t="array" ref="X66">INT(SUMPRODUCT(--ISNUMBER(SEARCH(voting,'David Perdue'!C66)))&gt;0)</f>
        <v>0</v>
      </c>
      <c r="Y66" s="14" cm="1">
        <f t="array" ref="Y66">INT(SUMPRODUCT(--ISNUMBER(SEARCH(republicantrigger,'David Perdue'!C66)))&gt;0)</f>
        <v>0</v>
      </c>
      <c r="Z66" s="14" cm="1">
        <f t="array" ref="Z66">INT(SUMPRODUCT(--ISNUMBER(SEARCH(bipartisan,'David Perdue'!C66)))&gt;0)</f>
        <v>0</v>
      </c>
      <c r="AA66" s="14">
        <f t="shared" ref="AA66:AA97" si="2">INT(IF(COUNTIF(K66:Z66,1)=0,"1","0"))</f>
        <v>1</v>
      </c>
      <c r="AB66" s="14"/>
      <c r="AC66" s="30">
        <v>1</v>
      </c>
      <c r="AD66" s="37">
        <v>0</v>
      </c>
    </row>
    <row r="67" spans="1:30" x14ac:dyDescent="0.25">
      <c r="A67" s="54">
        <v>383</v>
      </c>
      <c r="B67" s="14" t="s">
        <v>797</v>
      </c>
      <c r="C67" s="14" t="s">
        <v>798</v>
      </c>
      <c r="D67" s="17">
        <v>44131</v>
      </c>
      <c r="E67" s="14" t="s">
        <v>30</v>
      </c>
      <c r="F67" s="14">
        <v>26</v>
      </c>
      <c r="G67" s="14">
        <v>8</v>
      </c>
      <c r="H67" s="14">
        <v>3</v>
      </c>
      <c r="I67" s="14">
        <v>2</v>
      </c>
      <c r="J67" s="14" t="s">
        <v>31</v>
      </c>
      <c r="K67" s="14" cm="1">
        <f t="array" ref="K67">INT(SUMPRODUCT(--ISNUMBER(SEARCH(economy,'David Perdue'!C67)))&gt;0)</f>
        <v>0</v>
      </c>
      <c r="L67" s="14" cm="1">
        <f t="array" ref="L67">INT(SUMPRODUCT(--ISNUMBER(SEARCH(healthcare,'David Perdue'!C67)))&gt;0)</f>
        <v>0</v>
      </c>
      <c r="M67" s="14" cm="1">
        <f t="array" ref="M67">INT(SUMPRODUCT(--ISNUMBER(SEARCH(supreme,'David Perdue'!C67)))&gt;0)</f>
        <v>0</v>
      </c>
      <c r="N67" s="14" cm="1">
        <f t="array" ref="N67">INT(SUMPRODUCT(--ISNUMBER(SEARCH(covid,'David Perdue'!C67)))&gt;0)</f>
        <v>0</v>
      </c>
      <c r="O67" s="14" cm="1">
        <f t="array" ref="O67">INT(SUMPRODUCT(--ISNUMBER(SEARCH(violent,'David Perdue'!C67)))&gt;0)</f>
        <v>0</v>
      </c>
      <c r="P67" s="14" cm="1">
        <f t="array" ref="P67">INT(SUMPRODUCT(--ISNUMBER(SEARCH(foreign,'David Perdue'!C67)))&gt;0)</f>
        <v>0</v>
      </c>
      <c r="Q67" s="14" cm="1">
        <f t="array" ref="Q67">INT(SUMPRODUCT(--ISNUMBER(SEARCH(gun,'David Perdue'!C67)))&gt;0)</f>
        <v>0</v>
      </c>
      <c r="R67" s="14" cm="1">
        <f t="array" ref="R67">INT(SUMPRODUCT(--ISNUMBER(SEARCH(race,'David Perdue'!C67)))&gt;0)</f>
        <v>0</v>
      </c>
      <c r="S67" s="14" cm="1">
        <f t="array" ref="S67">INT(SUMPRODUCT(--ISNUMBER(SEARCH(immigration,C67)))&gt;0)</f>
        <v>0</v>
      </c>
      <c r="T67" s="14" cm="1">
        <f t="array" ref="T67">INT(SUMPRODUCT(--ISNUMBER(SEARCH(econineq,C67)))&gt;0)</f>
        <v>0</v>
      </c>
      <c r="U67" s="14" cm="1">
        <f t="array" ref="U67">INT(SUMPRODUCT(--ISNUMBER(SEARCH(climate,'David Perdue'!C67)))&gt;0)</f>
        <v>0</v>
      </c>
      <c r="V67" s="14" cm="1">
        <f t="array" ref="V67">INT(SUMPRODUCT(--ISNUMBER(SEARCH(abortion,'David Perdue'!C67)))&gt;0)</f>
        <v>0</v>
      </c>
      <c r="W67" s="14" cm="1">
        <f t="array" ref="W67">INT(SUMPRODUCT(--ISNUMBER(SEARCH(trump,'David Perdue'!C67)))&gt;0)</f>
        <v>0</v>
      </c>
      <c r="X67" s="14" cm="1">
        <f t="array" ref="X67">INT(SUMPRODUCT(--ISNUMBER(SEARCH(voting,'David Perdue'!C67)))&gt;0)</f>
        <v>0</v>
      </c>
      <c r="Y67" s="14" cm="1">
        <f t="array" ref="Y67">INT(SUMPRODUCT(--ISNUMBER(SEARCH(republicantrigger,'David Perdue'!C67)))&gt;0)</f>
        <v>0</v>
      </c>
      <c r="Z67" s="14" cm="1">
        <f t="array" ref="Z67">INT(SUMPRODUCT(--ISNUMBER(SEARCH(bipartisan,'David Perdue'!C67)))&gt;0)</f>
        <v>0</v>
      </c>
      <c r="AA67" s="14">
        <f t="shared" si="2"/>
        <v>1</v>
      </c>
      <c r="AB67" s="14"/>
      <c r="AC67" s="30">
        <v>1</v>
      </c>
      <c r="AD67" s="37">
        <v>0</v>
      </c>
    </row>
    <row r="68" spans="1:30" x14ac:dyDescent="0.25">
      <c r="A68" s="54">
        <v>384</v>
      </c>
      <c r="B68" s="14" t="s">
        <v>799</v>
      </c>
      <c r="C68" s="14" t="s">
        <v>800</v>
      </c>
      <c r="D68" s="17">
        <v>44131</v>
      </c>
      <c r="E68" s="14" t="s">
        <v>30</v>
      </c>
      <c r="F68" s="14">
        <v>26</v>
      </c>
      <c r="G68" s="14">
        <v>12</v>
      </c>
      <c r="H68" s="14">
        <v>3</v>
      </c>
      <c r="I68" s="14">
        <v>2</v>
      </c>
      <c r="J68" s="14" t="s">
        <v>31</v>
      </c>
      <c r="K68" s="14" cm="1">
        <f t="array" ref="K68">INT(SUMPRODUCT(--ISNUMBER(SEARCH(economy,'David Perdue'!C68)))&gt;0)</f>
        <v>1</v>
      </c>
      <c r="L68" s="14" cm="1">
        <f t="array" ref="L68">INT(SUMPRODUCT(--ISNUMBER(SEARCH(healthcare,'David Perdue'!C68)))&gt;0)</f>
        <v>0</v>
      </c>
      <c r="M68" s="14" cm="1">
        <f t="array" ref="M68">INT(SUMPRODUCT(--ISNUMBER(SEARCH(supreme,'David Perdue'!C68)))&gt;0)</f>
        <v>0</v>
      </c>
      <c r="N68" s="14" cm="1">
        <f t="array" ref="N68">INT(SUMPRODUCT(--ISNUMBER(SEARCH(covid,'David Perdue'!C68)))&gt;0)</f>
        <v>0</v>
      </c>
      <c r="O68" s="14" cm="1">
        <f t="array" ref="O68">INT(SUMPRODUCT(--ISNUMBER(SEARCH(violent,'David Perdue'!C68)))&gt;0)</f>
        <v>0</v>
      </c>
      <c r="P68" s="14" cm="1">
        <f t="array" ref="P68">INT(SUMPRODUCT(--ISNUMBER(SEARCH(foreign,'David Perdue'!C68)))&gt;0)</f>
        <v>0</v>
      </c>
      <c r="Q68" s="14" cm="1">
        <f t="array" ref="Q68">INT(SUMPRODUCT(--ISNUMBER(SEARCH(gun,'David Perdue'!C68)))&gt;0)</f>
        <v>0</v>
      </c>
      <c r="R68" s="14" cm="1">
        <f t="array" ref="R68">INT(SUMPRODUCT(--ISNUMBER(SEARCH(race,'David Perdue'!C68)))&gt;0)</f>
        <v>0</v>
      </c>
      <c r="S68" s="14" cm="1">
        <f t="array" ref="S68">INT(SUMPRODUCT(--ISNUMBER(SEARCH(immigration,C68)))&gt;0)</f>
        <v>0</v>
      </c>
      <c r="T68" s="14" cm="1">
        <f t="array" ref="T68">INT(SUMPRODUCT(--ISNUMBER(SEARCH(econineq,C68)))&gt;0)</f>
        <v>0</v>
      </c>
      <c r="U68" s="14" cm="1">
        <f t="array" ref="U68">INT(SUMPRODUCT(--ISNUMBER(SEARCH(climate,'David Perdue'!C68)))&gt;0)</f>
        <v>0</v>
      </c>
      <c r="V68" s="14" cm="1">
        <f t="array" ref="V68">INT(SUMPRODUCT(--ISNUMBER(SEARCH(abortion,'David Perdue'!C68)))&gt;0)</f>
        <v>0</v>
      </c>
      <c r="W68" s="14" cm="1">
        <f t="array" ref="W68">INT(SUMPRODUCT(--ISNUMBER(SEARCH(trump,'David Perdue'!C68)))&gt;0)</f>
        <v>0</v>
      </c>
      <c r="X68" s="14" cm="1">
        <f t="array" ref="X68">INT(SUMPRODUCT(--ISNUMBER(SEARCH(voting,'David Perdue'!C68)))&gt;0)</f>
        <v>0</v>
      </c>
      <c r="Y68" s="14" cm="1">
        <f t="array" ref="Y68">INT(SUMPRODUCT(--ISNUMBER(SEARCH(republicantrigger,'David Perdue'!C68)))&gt;0)</f>
        <v>1</v>
      </c>
      <c r="Z68" s="14" cm="1">
        <f t="array" ref="Z68">INT(SUMPRODUCT(--ISNUMBER(SEARCH(bipartisan,'David Perdue'!C68)))&gt;0)</f>
        <v>0</v>
      </c>
      <c r="AA68" s="14">
        <f t="shared" si="2"/>
        <v>0</v>
      </c>
      <c r="AB68" s="14"/>
      <c r="AC68" s="30">
        <v>1</v>
      </c>
      <c r="AD68" s="37">
        <v>0</v>
      </c>
    </row>
    <row r="69" spans="1:30" x14ac:dyDescent="0.25">
      <c r="A69" s="54">
        <v>385</v>
      </c>
      <c r="B69" s="14" t="s">
        <v>801</v>
      </c>
      <c r="C69" s="14" t="s">
        <v>802</v>
      </c>
      <c r="D69" s="17">
        <v>44131</v>
      </c>
      <c r="E69" s="14" t="s">
        <v>30</v>
      </c>
      <c r="F69" s="14">
        <v>21</v>
      </c>
      <c r="G69" s="14">
        <v>8</v>
      </c>
      <c r="H69" s="14">
        <v>3</v>
      </c>
      <c r="I69" s="14">
        <v>2</v>
      </c>
      <c r="J69" s="14" t="s">
        <v>31</v>
      </c>
      <c r="K69" s="14" cm="1">
        <f t="array" ref="K69">INT(SUMPRODUCT(--ISNUMBER(SEARCH(economy,'David Perdue'!C69)))&gt;0)</f>
        <v>0</v>
      </c>
      <c r="L69" s="14" cm="1">
        <f t="array" ref="L69">INT(SUMPRODUCT(--ISNUMBER(SEARCH(healthcare,'David Perdue'!C69)))&gt;0)</f>
        <v>0</v>
      </c>
      <c r="M69" s="14" cm="1">
        <f t="array" ref="M69">INT(SUMPRODUCT(--ISNUMBER(SEARCH(supreme,'David Perdue'!C69)))&gt;0)</f>
        <v>1</v>
      </c>
      <c r="N69" s="14" cm="1">
        <f t="array" ref="N69">INT(SUMPRODUCT(--ISNUMBER(SEARCH(covid,'David Perdue'!C69)))&gt;0)</f>
        <v>1</v>
      </c>
      <c r="O69" s="14" cm="1">
        <f t="array" ref="O69">INT(SUMPRODUCT(--ISNUMBER(SEARCH(violent,'David Perdue'!C69)))&gt;0)</f>
        <v>0</v>
      </c>
      <c r="P69" s="14" cm="1">
        <f t="array" ref="P69">INT(SUMPRODUCT(--ISNUMBER(SEARCH(foreign,'David Perdue'!C69)))&gt;0)</f>
        <v>0</v>
      </c>
      <c r="Q69" s="14" cm="1">
        <f t="array" ref="Q69">INT(SUMPRODUCT(--ISNUMBER(SEARCH(gun,'David Perdue'!C69)))&gt;0)</f>
        <v>0</v>
      </c>
      <c r="R69" s="14" cm="1">
        <f t="array" ref="R69">INT(SUMPRODUCT(--ISNUMBER(SEARCH(race,'David Perdue'!C69)))&gt;0)</f>
        <v>0</v>
      </c>
      <c r="S69" s="14" cm="1">
        <f t="array" ref="S69">INT(SUMPRODUCT(--ISNUMBER(SEARCH(immigration,C69)))&gt;0)</f>
        <v>0</v>
      </c>
      <c r="T69" s="14" cm="1">
        <f t="array" ref="T69">INT(SUMPRODUCT(--ISNUMBER(SEARCH(econineq,C69)))&gt;0)</f>
        <v>0</v>
      </c>
      <c r="U69" s="14" cm="1">
        <f t="array" ref="U69">INT(SUMPRODUCT(--ISNUMBER(SEARCH(climate,'David Perdue'!C69)))&gt;0)</f>
        <v>0</v>
      </c>
      <c r="V69" s="14" cm="1">
        <f t="array" ref="V69">INT(SUMPRODUCT(--ISNUMBER(SEARCH(abortion,'David Perdue'!C69)))&gt;0)</f>
        <v>0</v>
      </c>
      <c r="W69" s="14" cm="1">
        <f t="array" ref="W69">INT(SUMPRODUCT(--ISNUMBER(SEARCH(trump,'David Perdue'!C69)))&gt;0)</f>
        <v>0</v>
      </c>
      <c r="X69" s="14" cm="1">
        <f t="array" ref="X69">INT(SUMPRODUCT(--ISNUMBER(SEARCH(voting,'David Perdue'!C69)))&gt;0)</f>
        <v>1</v>
      </c>
      <c r="Y69" s="14" cm="1">
        <f t="array" ref="Y69">INT(SUMPRODUCT(--ISNUMBER(SEARCH(republicantrigger,'David Perdue'!C69)))&gt;0)</f>
        <v>0</v>
      </c>
      <c r="Z69" s="14" cm="1">
        <f t="array" ref="Z69">INT(SUMPRODUCT(--ISNUMBER(SEARCH(bipartisan,'David Perdue'!C69)))&gt;0)</f>
        <v>0</v>
      </c>
      <c r="AA69" s="14">
        <f t="shared" si="2"/>
        <v>0</v>
      </c>
      <c r="AB69" s="14"/>
      <c r="AC69" s="30">
        <v>1</v>
      </c>
      <c r="AD69" s="37">
        <v>0</v>
      </c>
    </row>
    <row r="70" spans="1:30" x14ac:dyDescent="0.25">
      <c r="A70" s="54">
        <v>386</v>
      </c>
      <c r="B70" s="14" t="s">
        <v>803</v>
      </c>
      <c r="C70" s="14" t="s">
        <v>804</v>
      </c>
      <c r="D70" s="17">
        <v>44131</v>
      </c>
      <c r="E70" s="14" t="s">
        <v>30</v>
      </c>
      <c r="F70" s="14">
        <v>20</v>
      </c>
      <c r="G70" s="14">
        <v>9</v>
      </c>
      <c r="H70" s="14">
        <v>3</v>
      </c>
      <c r="I70" s="14">
        <v>2</v>
      </c>
      <c r="J70" s="14" t="s">
        <v>31</v>
      </c>
      <c r="K70" s="14" cm="1">
        <f t="array" ref="K70">INT(SUMPRODUCT(--ISNUMBER(SEARCH(economy,'David Perdue'!C70)))&gt;0)</f>
        <v>0</v>
      </c>
      <c r="L70" s="14" cm="1">
        <f t="array" ref="L70">INT(SUMPRODUCT(--ISNUMBER(SEARCH(healthcare,'David Perdue'!C70)))&gt;0)</f>
        <v>0</v>
      </c>
      <c r="M70" s="14" cm="1">
        <f t="array" ref="M70">INT(SUMPRODUCT(--ISNUMBER(SEARCH(supreme,'David Perdue'!C70)))&gt;0)</f>
        <v>0</v>
      </c>
      <c r="N70" s="14" cm="1">
        <f t="array" ref="N70">INT(SUMPRODUCT(--ISNUMBER(SEARCH(covid,'David Perdue'!C70)))&gt;0)</f>
        <v>0</v>
      </c>
      <c r="O70" s="14" cm="1">
        <f t="array" ref="O70">INT(SUMPRODUCT(--ISNUMBER(SEARCH(violent,'David Perdue'!C70)))&gt;0)</f>
        <v>0</v>
      </c>
      <c r="P70" s="14" cm="1">
        <f t="array" ref="P70">INT(SUMPRODUCT(--ISNUMBER(SEARCH(foreign,'David Perdue'!C70)))&gt;0)</f>
        <v>1</v>
      </c>
      <c r="Q70" s="14" cm="1">
        <f t="array" ref="Q70">INT(SUMPRODUCT(--ISNUMBER(SEARCH(gun,'David Perdue'!C70)))&gt;0)</f>
        <v>0</v>
      </c>
      <c r="R70" s="14" cm="1">
        <f t="array" ref="R70">INT(SUMPRODUCT(--ISNUMBER(SEARCH(race,'David Perdue'!C70)))&gt;0)</f>
        <v>0</v>
      </c>
      <c r="S70" s="14" cm="1">
        <f t="array" ref="S70">INT(SUMPRODUCT(--ISNUMBER(SEARCH(immigration,C70)))&gt;0)</f>
        <v>0</v>
      </c>
      <c r="T70" s="14" cm="1">
        <f t="array" ref="T70">INT(SUMPRODUCT(--ISNUMBER(SEARCH(econineq,C70)))&gt;0)</f>
        <v>0</v>
      </c>
      <c r="U70" s="14" cm="1">
        <f t="array" ref="U70">INT(SUMPRODUCT(--ISNUMBER(SEARCH(climate,'David Perdue'!C70)))&gt;0)</f>
        <v>0</v>
      </c>
      <c r="V70" s="14" cm="1">
        <f t="array" ref="V70">INT(SUMPRODUCT(--ISNUMBER(SEARCH(abortion,'David Perdue'!C70)))&gt;0)</f>
        <v>0</v>
      </c>
      <c r="W70" s="14" cm="1">
        <f t="array" ref="W70">INT(SUMPRODUCT(--ISNUMBER(SEARCH(trump,'David Perdue'!C70)))&gt;0)</f>
        <v>0</v>
      </c>
      <c r="X70" s="14" cm="1">
        <f t="array" ref="X70">INT(SUMPRODUCT(--ISNUMBER(SEARCH(voting,'David Perdue'!C70)))&gt;0)</f>
        <v>0</v>
      </c>
      <c r="Y70" s="14" cm="1">
        <f t="array" ref="Y70">INT(SUMPRODUCT(--ISNUMBER(SEARCH(republicantrigger,'David Perdue'!C70)))&gt;0)</f>
        <v>1</v>
      </c>
      <c r="Z70" s="14" cm="1">
        <f t="array" ref="Z70">INT(SUMPRODUCT(--ISNUMBER(SEARCH(bipartisan,'David Perdue'!C70)))&gt;0)</f>
        <v>0</v>
      </c>
      <c r="AA70" s="14">
        <f t="shared" si="2"/>
        <v>0</v>
      </c>
      <c r="AB70" s="14"/>
      <c r="AC70" s="30">
        <v>0</v>
      </c>
      <c r="AD70" s="37">
        <v>1</v>
      </c>
    </row>
    <row r="71" spans="1:30" x14ac:dyDescent="0.25">
      <c r="A71" s="54">
        <v>387</v>
      </c>
      <c r="B71" s="14" t="s">
        <v>805</v>
      </c>
      <c r="C71" s="14" t="s">
        <v>806</v>
      </c>
      <c r="D71" s="17">
        <v>44131</v>
      </c>
      <c r="E71" s="14" t="s">
        <v>30</v>
      </c>
      <c r="F71" s="14">
        <v>16</v>
      </c>
      <c r="G71" s="14">
        <v>6</v>
      </c>
      <c r="H71" s="14">
        <v>3</v>
      </c>
      <c r="I71" s="14">
        <v>2</v>
      </c>
      <c r="J71" s="14" t="s">
        <v>31</v>
      </c>
      <c r="K71" s="14" cm="1">
        <f t="array" ref="K71">INT(SUMPRODUCT(--ISNUMBER(SEARCH(economy,'David Perdue'!C71)))&gt;0)</f>
        <v>0</v>
      </c>
      <c r="L71" s="14" cm="1">
        <f t="array" ref="L71">INT(SUMPRODUCT(--ISNUMBER(SEARCH(healthcare,'David Perdue'!C71)))&gt;0)</f>
        <v>0</v>
      </c>
      <c r="M71" s="14" cm="1">
        <f t="array" ref="M71">INT(SUMPRODUCT(--ISNUMBER(SEARCH(supreme,'David Perdue'!C71)))&gt;0)</f>
        <v>0</v>
      </c>
      <c r="N71" s="14" cm="1">
        <f t="array" ref="N71">INT(SUMPRODUCT(--ISNUMBER(SEARCH(covid,'David Perdue'!C71)))&gt;0)</f>
        <v>0</v>
      </c>
      <c r="O71" s="14" cm="1">
        <f t="array" ref="O71">INT(SUMPRODUCT(--ISNUMBER(SEARCH(violent,'David Perdue'!C71)))&gt;0)</f>
        <v>0</v>
      </c>
      <c r="P71" s="14" cm="1">
        <f t="array" ref="P71">INT(SUMPRODUCT(--ISNUMBER(SEARCH(foreign,'David Perdue'!C71)))&gt;0)</f>
        <v>0</v>
      </c>
      <c r="Q71" s="14" cm="1">
        <f t="array" ref="Q71">INT(SUMPRODUCT(--ISNUMBER(SEARCH(gun,'David Perdue'!C71)))&gt;0)</f>
        <v>0</v>
      </c>
      <c r="R71" s="14" cm="1">
        <f t="array" ref="R71">INT(SUMPRODUCT(--ISNUMBER(SEARCH(race,'David Perdue'!C71)))&gt;0)</f>
        <v>0</v>
      </c>
      <c r="S71" s="14" cm="1">
        <f t="array" ref="S71">INT(SUMPRODUCT(--ISNUMBER(SEARCH(immigration,C71)))&gt;0)</f>
        <v>0</v>
      </c>
      <c r="T71" s="14" cm="1">
        <f t="array" ref="T71">INT(SUMPRODUCT(--ISNUMBER(SEARCH(econineq,C71)))&gt;0)</f>
        <v>0</v>
      </c>
      <c r="U71" s="14" cm="1">
        <f t="array" ref="U71">INT(SUMPRODUCT(--ISNUMBER(SEARCH(climate,'David Perdue'!C71)))&gt;0)</f>
        <v>0</v>
      </c>
      <c r="V71" s="14" cm="1">
        <f t="array" ref="V71">INT(SUMPRODUCT(--ISNUMBER(SEARCH(abortion,'David Perdue'!C71)))&gt;0)</f>
        <v>0</v>
      </c>
      <c r="W71" s="14" cm="1">
        <f t="array" ref="W71">INT(SUMPRODUCT(--ISNUMBER(SEARCH(trump,'David Perdue'!C71)))&gt;0)</f>
        <v>0</v>
      </c>
      <c r="X71" s="14" cm="1">
        <f t="array" ref="X71">INT(SUMPRODUCT(--ISNUMBER(SEARCH(voting,'David Perdue'!C71)))&gt;0)</f>
        <v>1</v>
      </c>
      <c r="Y71" s="14" cm="1">
        <f t="array" ref="Y71">INT(SUMPRODUCT(--ISNUMBER(SEARCH(republicantrigger,'David Perdue'!C71)))&gt;0)</f>
        <v>1</v>
      </c>
      <c r="Z71" s="14" cm="1">
        <f t="array" ref="Z71">INT(SUMPRODUCT(--ISNUMBER(SEARCH(bipartisan,'David Perdue'!C71)))&gt;0)</f>
        <v>0</v>
      </c>
      <c r="AA71" s="14">
        <f t="shared" si="2"/>
        <v>0</v>
      </c>
      <c r="AB71" s="14"/>
      <c r="AC71" s="30">
        <v>0</v>
      </c>
      <c r="AD71" s="37">
        <v>1</v>
      </c>
    </row>
    <row r="72" spans="1:30" x14ac:dyDescent="0.25">
      <c r="A72" s="54">
        <v>388</v>
      </c>
      <c r="B72" s="14" t="s">
        <v>807</v>
      </c>
      <c r="C72" s="14" t="s">
        <v>808</v>
      </c>
      <c r="D72" s="17">
        <v>44131</v>
      </c>
      <c r="E72" s="14" t="s">
        <v>30</v>
      </c>
      <c r="F72" s="14">
        <v>25</v>
      </c>
      <c r="G72" s="14">
        <v>10</v>
      </c>
      <c r="H72" s="14">
        <v>3</v>
      </c>
      <c r="I72" s="14">
        <v>2</v>
      </c>
      <c r="J72" s="14" t="s">
        <v>31</v>
      </c>
      <c r="K72" s="14" cm="1">
        <f t="array" ref="K72">INT(SUMPRODUCT(--ISNUMBER(SEARCH(economy,'David Perdue'!C72)))&gt;0)</f>
        <v>0</v>
      </c>
      <c r="L72" s="14" cm="1">
        <f t="array" ref="L72">INT(SUMPRODUCT(--ISNUMBER(SEARCH(healthcare,'David Perdue'!C72)))&gt;0)</f>
        <v>0</v>
      </c>
      <c r="M72" s="14" cm="1">
        <f t="array" ref="M72">INT(SUMPRODUCT(--ISNUMBER(SEARCH(supreme,'David Perdue'!C72)))&gt;0)</f>
        <v>0</v>
      </c>
      <c r="N72" s="14" cm="1">
        <f t="array" ref="N72">INT(SUMPRODUCT(--ISNUMBER(SEARCH(covid,'David Perdue'!C72)))&gt;0)</f>
        <v>0</v>
      </c>
      <c r="O72" s="14" cm="1">
        <f t="array" ref="O72">INT(SUMPRODUCT(--ISNUMBER(SEARCH(violent,'David Perdue'!C72)))&gt;0)</f>
        <v>0</v>
      </c>
      <c r="P72" s="14" cm="1">
        <f t="array" ref="P72">INT(SUMPRODUCT(--ISNUMBER(SEARCH(foreign,'David Perdue'!C72)))&gt;0)</f>
        <v>0</v>
      </c>
      <c r="Q72" s="14" cm="1">
        <f t="array" ref="Q72">INT(SUMPRODUCT(--ISNUMBER(SEARCH(gun,'David Perdue'!C72)))&gt;0)</f>
        <v>0</v>
      </c>
      <c r="R72" s="14" cm="1">
        <f t="array" ref="R72">INT(SUMPRODUCT(--ISNUMBER(SEARCH(race,'David Perdue'!C72)))&gt;0)</f>
        <v>0</v>
      </c>
      <c r="S72" s="14" cm="1">
        <f t="array" ref="S72">INT(SUMPRODUCT(--ISNUMBER(SEARCH(immigration,C72)))&gt;0)</f>
        <v>0</v>
      </c>
      <c r="T72" s="14" cm="1">
        <f t="array" ref="T72">INT(SUMPRODUCT(--ISNUMBER(SEARCH(econineq,C72)))&gt;0)</f>
        <v>0</v>
      </c>
      <c r="U72" s="14" cm="1">
        <f t="array" ref="U72">INT(SUMPRODUCT(--ISNUMBER(SEARCH(climate,'David Perdue'!C72)))&gt;0)</f>
        <v>0</v>
      </c>
      <c r="V72" s="14" cm="1">
        <f t="array" ref="V72">INT(SUMPRODUCT(--ISNUMBER(SEARCH(abortion,'David Perdue'!C72)))&gt;0)</f>
        <v>0</v>
      </c>
      <c r="W72" s="14" cm="1">
        <f t="array" ref="W72">INT(SUMPRODUCT(--ISNUMBER(SEARCH(trump,'David Perdue'!C72)))&gt;0)</f>
        <v>0</v>
      </c>
      <c r="X72" s="14" cm="1">
        <f t="array" ref="X72">INT(SUMPRODUCT(--ISNUMBER(SEARCH(voting,'David Perdue'!C72)))&gt;0)</f>
        <v>1</v>
      </c>
      <c r="Y72" s="14" cm="1">
        <f t="array" ref="Y72">INT(SUMPRODUCT(--ISNUMBER(SEARCH(republicantrigger,'David Perdue'!C72)))&gt;0)</f>
        <v>1</v>
      </c>
      <c r="Z72" s="14" cm="1">
        <f t="array" ref="Z72">INT(SUMPRODUCT(--ISNUMBER(SEARCH(bipartisan,'David Perdue'!C72)))&gt;0)</f>
        <v>0</v>
      </c>
      <c r="AA72" s="14">
        <f t="shared" si="2"/>
        <v>0</v>
      </c>
      <c r="AB72" s="14"/>
      <c r="AC72" s="30">
        <v>0</v>
      </c>
      <c r="AD72" s="37">
        <v>1</v>
      </c>
    </row>
    <row r="73" spans="1:30" x14ac:dyDescent="0.25">
      <c r="A73" s="54">
        <v>389</v>
      </c>
      <c r="B73" s="14" t="s">
        <v>809</v>
      </c>
      <c r="C73" s="14" t="s">
        <v>810</v>
      </c>
      <c r="D73" s="17">
        <v>44131</v>
      </c>
      <c r="E73" s="14" t="s">
        <v>30</v>
      </c>
      <c r="F73" s="14">
        <v>32</v>
      </c>
      <c r="G73" s="14">
        <v>17</v>
      </c>
      <c r="H73" s="14">
        <v>3</v>
      </c>
      <c r="I73" s="14">
        <v>2</v>
      </c>
      <c r="J73" s="14" t="s">
        <v>31</v>
      </c>
      <c r="K73" s="14" cm="1">
        <f t="array" ref="K73">INT(SUMPRODUCT(--ISNUMBER(SEARCH(economy,'David Perdue'!C73)))&gt;0)</f>
        <v>0</v>
      </c>
      <c r="L73" s="14" cm="1">
        <f t="array" ref="L73">INT(SUMPRODUCT(--ISNUMBER(SEARCH(healthcare,'David Perdue'!C73)))&gt;0)</f>
        <v>0</v>
      </c>
      <c r="M73" s="14" cm="1">
        <f t="array" ref="M73">INT(SUMPRODUCT(--ISNUMBER(SEARCH(supreme,'David Perdue'!C73)))&gt;0)</f>
        <v>0</v>
      </c>
      <c r="N73" s="14" cm="1">
        <f t="array" ref="N73">INT(SUMPRODUCT(--ISNUMBER(SEARCH(covid,'David Perdue'!C73)))&gt;0)</f>
        <v>0</v>
      </c>
      <c r="O73" s="14" cm="1">
        <f t="array" ref="O73">INT(SUMPRODUCT(--ISNUMBER(SEARCH(violent,'David Perdue'!C73)))&gt;0)</f>
        <v>0</v>
      </c>
      <c r="P73" s="14" cm="1">
        <f t="array" ref="P73">INT(SUMPRODUCT(--ISNUMBER(SEARCH(foreign,'David Perdue'!C73)))&gt;0)</f>
        <v>0</v>
      </c>
      <c r="Q73" s="14" cm="1">
        <f t="array" ref="Q73">INT(SUMPRODUCT(--ISNUMBER(SEARCH(gun,'David Perdue'!C73)))&gt;0)</f>
        <v>0</v>
      </c>
      <c r="R73" s="14" cm="1">
        <f t="array" ref="R73">INT(SUMPRODUCT(--ISNUMBER(SEARCH(race,'David Perdue'!C73)))&gt;0)</f>
        <v>0</v>
      </c>
      <c r="S73" s="14" cm="1">
        <f t="array" ref="S73">INT(SUMPRODUCT(--ISNUMBER(SEARCH(immigration,C73)))&gt;0)</f>
        <v>0</v>
      </c>
      <c r="T73" s="14" cm="1">
        <f t="array" ref="T73">INT(SUMPRODUCT(--ISNUMBER(SEARCH(econineq,C73)))&gt;0)</f>
        <v>0</v>
      </c>
      <c r="U73" s="14" cm="1">
        <f t="array" ref="U73">INT(SUMPRODUCT(--ISNUMBER(SEARCH(climate,'David Perdue'!C73)))&gt;0)</f>
        <v>0</v>
      </c>
      <c r="V73" s="14" cm="1">
        <f t="array" ref="V73">INT(SUMPRODUCT(--ISNUMBER(SEARCH(abortion,'David Perdue'!C73)))&gt;0)</f>
        <v>0</v>
      </c>
      <c r="W73" s="14" cm="1">
        <f t="array" ref="W73">INT(SUMPRODUCT(--ISNUMBER(SEARCH(trump,'David Perdue'!C73)))&gt;0)</f>
        <v>0</v>
      </c>
      <c r="X73" s="14" cm="1">
        <f t="array" ref="X73">INT(SUMPRODUCT(--ISNUMBER(SEARCH(voting,'David Perdue'!C73)))&gt;0)</f>
        <v>0</v>
      </c>
      <c r="Y73" s="14" cm="1">
        <f t="array" ref="Y73">INT(SUMPRODUCT(--ISNUMBER(SEARCH(republicantrigger,'David Perdue'!C73)))&gt;0)</f>
        <v>0</v>
      </c>
      <c r="Z73" s="14" cm="1">
        <f t="array" ref="Z73">INT(SUMPRODUCT(--ISNUMBER(SEARCH(bipartisan,'David Perdue'!C73)))&gt;0)</f>
        <v>0</v>
      </c>
      <c r="AA73" s="14">
        <f t="shared" si="2"/>
        <v>1</v>
      </c>
      <c r="AB73" s="14"/>
      <c r="AC73" s="30">
        <v>1</v>
      </c>
      <c r="AD73" s="37">
        <v>0</v>
      </c>
    </row>
    <row r="74" spans="1:30" x14ac:dyDescent="0.25">
      <c r="A74" s="54">
        <v>390</v>
      </c>
      <c r="B74" s="14" t="s">
        <v>811</v>
      </c>
      <c r="C74" s="14" t="s">
        <v>812</v>
      </c>
      <c r="D74" s="17">
        <v>44131</v>
      </c>
      <c r="E74" s="14" t="s">
        <v>30</v>
      </c>
      <c r="F74" s="14">
        <v>99</v>
      </c>
      <c r="G74" s="14">
        <v>22</v>
      </c>
      <c r="H74" s="14">
        <v>3</v>
      </c>
      <c r="I74" s="14">
        <v>2</v>
      </c>
      <c r="J74" s="14" t="s">
        <v>31</v>
      </c>
      <c r="K74" s="14" cm="1">
        <f t="array" ref="K74">INT(SUMPRODUCT(--ISNUMBER(SEARCH(economy,'David Perdue'!C74)))&gt;0)</f>
        <v>0</v>
      </c>
      <c r="L74" s="14" cm="1">
        <f t="array" ref="L74">INT(SUMPRODUCT(--ISNUMBER(SEARCH(healthcare,'David Perdue'!C74)))&gt;0)</f>
        <v>0</v>
      </c>
      <c r="M74" s="14" cm="1">
        <f t="array" ref="M74">INT(SUMPRODUCT(--ISNUMBER(SEARCH(supreme,'David Perdue'!C74)))&gt;0)</f>
        <v>1</v>
      </c>
      <c r="N74" s="14" cm="1">
        <f t="array" ref="N74">INT(SUMPRODUCT(--ISNUMBER(SEARCH(covid,'David Perdue'!C74)))&gt;0)</f>
        <v>0</v>
      </c>
      <c r="O74" s="14" cm="1">
        <f t="array" ref="O74">INT(SUMPRODUCT(--ISNUMBER(SEARCH(violent,'David Perdue'!C74)))&gt;0)</f>
        <v>0</v>
      </c>
      <c r="P74" s="14" cm="1">
        <f t="array" ref="P74">INT(SUMPRODUCT(--ISNUMBER(SEARCH(foreign,'David Perdue'!C74)))&gt;0)</f>
        <v>0</v>
      </c>
      <c r="Q74" s="14" cm="1">
        <f t="array" ref="Q74">INT(SUMPRODUCT(--ISNUMBER(SEARCH(gun,'David Perdue'!C74)))&gt;0)</f>
        <v>0</v>
      </c>
      <c r="R74" s="14" cm="1">
        <f t="array" ref="R74">INT(SUMPRODUCT(--ISNUMBER(SEARCH(race,'David Perdue'!C74)))&gt;0)</f>
        <v>0</v>
      </c>
      <c r="S74" s="14" cm="1">
        <f t="array" ref="S74">INT(SUMPRODUCT(--ISNUMBER(SEARCH(immigration,C74)))&gt;0)</f>
        <v>0</v>
      </c>
      <c r="T74" s="14" cm="1">
        <f t="array" ref="T74">INT(SUMPRODUCT(--ISNUMBER(SEARCH(econineq,C74)))&gt;0)</f>
        <v>0</v>
      </c>
      <c r="U74" s="14" cm="1">
        <f t="array" ref="U74">INT(SUMPRODUCT(--ISNUMBER(SEARCH(climate,'David Perdue'!C74)))&gt;0)</f>
        <v>0</v>
      </c>
      <c r="V74" s="14" cm="1">
        <f t="array" ref="V74">INT(SUMPRODUCT(--ISNUMBER(SEARCH(abortion,'David Perdue'!C74)))&gt;0)</f>
        <v>0</v>
      </c>
      <c r="W74" s="14" cm="1">
        <f t="array" ref="W74">INT(SUMPRODUCT(--ISNUMBER(SEARCH(trump,'David Perdue'!C74)))&gt;0)</f>
        <v>0</v>
      </c>
      <c r="X74" s="14" cm="1">
        <f t="array" ref="X74">INT(SUMPRODUCT(--ISNUMBER(SEARCH(voting,'David Perdue'!C74)))&gt;0)</f>
        <v>0</v>
      </c>
      <c r="Y74" s="14" cm="1">
        <f t="array" ref="Y74">INT(SUMPRODUCT(--ISNUMBER(SEARCH(republicantrigger,'David Perdue'!C74)))&gt;0)</f>
        <v>0</v>
      </c>
      <c r="Z74" s="14" cm="1">
        <f t="array" ref="Z74">INT(SUMPRODUCT(--ISNUMBER(SEARCH(bipartisan,'David Perdue'!C74)))&gt;0)</f>
        <v>0</v>
      </c>
      <c r="AA74" s="14">
        <f t="shared" si="2"/>
        <v>0</v>
      </c>
      <c r="AB74" s="14"/>
      <c r="AC74" s="30">
        <v>1</v>
      </c>
      <c r="AD74" s="37">
        <v>0</v>
      </c>
    </row>
    <row r="75" spans="1:30" x14ac:dyDescent="0.25">
      <c r="A75" s="54">
        <v>391</v>
      </c>
      <c r="B75" s="14" t="s">
        <v>813</v>
      </c>
      <c r="C75" s="14" t="s">
        <v>814</v>
      </c>
      <c r="D75" s="17">
        <v>44130</v>
      </c>
      <c r="E75" s="14" t="s">
        <v>30</v>
      </c>
      <c r="F75" s="14">
        <v>20</v>
      </c>
      <c r="G75" s="14">
        <v>5</v>
      </c>
      <c r="H75" s="14">
        <v>3</v>
      </c>
      <c r="I75" s="14">
        <v>2</v>
      </c>
      <c r="J75" s="14" t="s">
        <v>31</v>
      </c>
      <c r="K75" s="14" cm="1">
        <f t="array" ref="K75">INT(SUMPRODUCT(--ISNUMBER(SEARCH(economy,'David Perdue'!C75)))&gt;0)</f>
        <v>1</v>
      </c>
      <c r="L75" s="14" cm="1">
        <f t="array" ref="L75">INT(SUMPRODUCT(--ISNUMBER(SEARCH(healthcare,'David Perdue'!C75)))&gt;0)</f>
        <v>0</v>
      </c>
      <c r="M75" s="14" cm="1">
        <f t="array" ref="M75">INT(SUMPRODUCT(--ISNUMBER(SEARCH(supreme,'David Perdue'!C75)))&gt;0)</f>
        <v>0</v>
      </c>
      <c r="N75" s="14" cm="1">
        <f t="array" ref="N75">INT(SUMPRODUCT(--ISNUMBER(SEARCH(covid,'David Perdue'!C75)))&gt;0)</f>
        <v>0</v>
      </c>
      <c r="O75" s="14" cm="1">
        <f t="array" ref="O75">INT(SUMPRODUCT(--ISNUMBER(SEARCH(violent,'David Perdue'!C75)))&gt;0)</f>
        <v>0</v>
      </c>
      <c r="P75" s="14" cm="1">
        <f t="array" ref="P75">INT(SUMPRODUCT(--ISNUMBER(SEARCH(foreign,'David Perdue'!C75)))&gt;0)</f>
        <v>1</v>
      </c>
      <c r="Q75" s="14" cm="1">
        <f t="array" ref="Q75">INT(SUMPRODUCT(--ISNUMBER(SEARCH(gun,'David Perdue'!C75)))&gt;0)</f>
        <v>0</v>
      </c>
      <c r="R75" s="14" cm="1">
        <f t="array" ref="R75">INT(SUMPRODUCT(--ISNUMBER(SEARCH(race,'David Perdue'!C75)))&gt;0)</f>
        <v>0</v>
      </c>
      <c r="S75" s="14" cm="1">
        <f t="array" ref="S75">INT(SUMPRODUCT(--ISNUMBER(SEARCH(immigration,C75)))&gt;0)</f>
        <v>0</v>
      </c>
      <c r="T75" s="14" cm="1">
        <f t="array" ref="T75">INT(SUMPRODUCT(--ISNUMBER(SEARCH(econineq,C75)))&gt;0)</f>
        <v>0</v>
      </c>
      <c r="U75" s="14" cm="1">
        <f t="array" ref="U75">INT(SUMPRODUCT(--ISNUMBER(SEARCH(climate,'David Perdue'!C75)))&gt;0)</f>
        <v>0</v>
      </c>
      <c r="V75" s="14" cm="1">
        <f t="array" ref="V75">INT(SUMPRODUCT(--ISNUMBER(SEARCH(abortion,'David Perdue'!C75)))&gt;0)</f>
        <v>0</v>
      </c>
      <c r="W75" s="14" cm="1">
        <f t="array" ref="W75">INT(SUMPRODUCT(--ISNUMBER(SEARCH(trump,'David Perdue'!C75)))&gt;0)</f>
        <v>0</v>
      </c>
      <c r="X75" s="14" cm="1">
        <f t="array" ref="X75">INT(SUMPRODUCT(--ISNUMBER(SEARCH(voting,'David Perdue'!C75)))&gt;0)</f>
        <v>0</v>
      </c>
      <c r="Y75" s="14" cm="1">
        <f t="array" ref="Y75">INT(SUMPRODUCT(--ISNUMBER(SEARCH(republicantrigger,'David Perdue'!C75)))&gt;0)</f>
        <v>0</v>
      </c>
      <c r="Z75" s="14" cm="1">
        <f t="array" ref="Z75">INT(SUMPRODUCT(--ISNUMBER(SEARCH(bipartisan,'David Perdue'!C75)))&gt;0)</f>
        <v>0</v>
      </c>
      <c r="AA75" s="14">
        <f t="shared" si="2"/>
        <v>0</v>
      </c>
      <c r="AB75" s="14"/>
      <c r="AC75" s="30">
        <v>0</v>
      </c>
      <c r="AD75" s="37">
        <v>1</v>
      </c>
    </row>
    <row r="76" spans="1:30" x14ac:dyDescent="0.25">
      <c r="A76" s="54">
        <v>392</v>
      </c>
      <c r="B76" s="14" t="s">
        <v>815</v>
      </c>
      <c r="C76" s="14" t="s">
        <v>816</v>
      </c>
      <c r="D76" s="17">
        <v>44130</v>
      </c>
      <c r="E76" s="14" t="s">
        <v>30</v>
      </c>
      <c r="F76" s="14">
        <v>11</v>
      </c>
      <c r="G76" s="14">
        <v>5</v>
      </c>
      <c r="H76" s="14">
        <v>3</v>
      </c>
      <c r="I76" s="14">
        <v>2</v>
      </c>
      <c r="J76" s="14" t="s">
        <v>31</v>
      </c>
      <c r="K76" s="14" cm="1">
        <f t="array" ref="K76">INT(SUMPRODUCT(--ISNUMBER(SEARCH(economy,'David Perdue'!C76)))&gt;0)</f>
        <v>0</v>
      </c>
      <c r="L76" s="14" cm="1">
        <f t="array" ref="L76">INT(SUMPRODUCT(--ISNUMBER(SEARCH(healthcare,'David Perdue'!C76)))&gt;0)</f>
        <v>0</v>
      </c>
      <c r="M76" s="14" cm="1">
        <f t="array" ref="M76">INT(SUMPRODUCT(--ISNUMBER(SEARCH(supreme,'David Perdue'!C76)))&gt;0)</f>
        <v>0</v>
      </c>
      <c r="N76" s="14" cm="1">
        <f t="array" ref="N76">INT(SUMPRODUCT(--ISNUMBER(SEARCH(covid,'David Perdue'!C76)))&gt;0)</f>
        <v>0</v>
      </c>
      <c r="O76" s="14" cm="1">
        <f t="array" ref="O76">INT(SUMPRODUCT(--ISNUMBER(SEARCH(violent,'David Perdue'!C76)))&gt;0)</f>
        <v>0</v>
      </c>
      <c r="P76" s="14" cm="1">
        <f t="array" ref="P76">INT(SUMPRODUCT(--ISNUMBER(SEARCH(foreign,'David Perdue'!C76)))&gt;0)</f>
        <v>0</v>
      </c>
      <c r="Q76" s="14" cm="1">
        <f t="array" ref="Q76">INT(SUMPRODUCT(--ISNUMBER(SEARCH(gun,'David Perdue'!C76)))&gt;0)</f>
        <v>0</v>
      </c>
      <c r="R76" s="14" cm="1">
        <f t="array" ref="R76">INT(SUMPRODUCT(--ISNUMBER(SEARCH(race,'David Perdue'!C76)))&gt;0)</f>
        <v>0</v>
      </c>
      <c r="S76" s="14" cm="1">
        <f t="array" ref="S76">INT(SUMPRODUCT(--ISNUMBER(SEARCH(immigration,C76)))&gt;0)</f>
        <v>0</v>
      </c>
      <c r="T76" s="14" cm="1">
        <f t="array" ref="T76">INT(SUMPRODUCT(--ISNUMBER(SEARCH(econineq,C76)))&gt;0)</f>
        <v>0</v>
      </c>
      <c r="U76" s="14" cm="1">
        <f t="array" ref="U76">INT(SUMPRODUCT(--ISNUMBER(SEARCH(climate,'David Perdue'!C76)))&gt;0)</f>
        <v>0</v>
      </c>
      <c r="V76" s="14" cm="1">
        <f t="array" ref="V76">INT(SUMPRODUCT(--ISNUMBER(SEARCH(abortion,'David Perdue'!C76)))&gt;0)</f>
        <v>0</v>
      </c>
      <c r="W76" s="14" cm="1">
        <f t="array" ref="W76">INT(SUMPRODUCT(--ISNUMBER(SEARCH(trump,'David Perdue'!C76)))&gt;0)</f>
        <v>0</v>
      </c>
      <c r="X76" s="14" cm="1">
        <f t="array" ref="X76">INT(SUMPRODUCT(--ISNUMBER(SEARCH(voting,'David Perdue'!C76)))&gt;0)</f>
        <v>1</v>
      </c>
      <c r="Y76" s="14" cm="1">
        <f t="array" ref="Y76">INT(SUMPRODUCT(--ISNUMBER(SEARCH(republicantrigger,'David Perdue'!C76)))&gt;0)</f>
        <v>1</v>
      </c>
      <c r="Z76" s="14" cm="1">
        <f t="array" ref="Z76">INT(SUMPRODUCT(--ISNUMBER(SEARCH(bipartisan,'David Perdue'!C76)))&gt;0)</f>
        <v>0</v>
      </c>
      <c r="AA76" s="14">
        <f t="shared" si="2"/>
        <v>0</v>
      </c>
      <c r="AB76" s="14"/>
      <c r="AC76" s="30" t="s">
        <v>223</v>
      </c>
      <c r="AD76" s="37" t="s">
        <v>223</v>
      </c>
    </row>
    <row r="77" spans="1:30" x14ac:dyDescent="0.25">
      <c r="A77" s="54">
        <v>393</v>
      </c>
      <c r="B77" s="14" t="s">
        <v>817</v>
      </c>
      <c r="C77" s="14" t="s">
        <v>818</v>
      </c>
      <c r="D77" s="17">
        <v>44130</v>
      </c>
      <c r="E77" s="14" t="s">
        <v>30</v>
      </c>
      <c r="F77" s="14">
        <v>13</v>
      </c>
      <c r="G77" s="14">
        <v>10</v>
      </c>
      <c r="H77" s="14">
        <v>3</v>
      </c>
      <c r="I77" s="14">
        <v>2</v>
      </c>
      <c r="J77" s="14" t="s">
        <v>31</v>
      </c>
      <c r="K77" s="14" cm="1">
        <f t="array" ref="K77">INT(SUMPRODUCT(--ISNUMBER(SEARCH(economy,'David Perdue'!C77)))&gt;0)</f>
        <v>0</v>
      </c>
      <c r="L77" s="14" cm="1">
        <f t="array" ref="L77">INT(SUMPRODUCT(--ISNUMBER(SEARCH(healthcare,'David Perdue'!C77)))&gt;0)</f>
        <v>0</v>
      </c>
      <c r="M77" s="14" cm="1">
        <f t="array" ref="M77">INT(SUMPRODUCT(--ISNUMBER(SEARCH(supreme,'David Perdue'!C77)))&gt;0)</f>
        <v>0</v>
      </c>
      <c r="N77" s="14" cm="1">
        <f t="array" ref="N77">INT(SUMPRODUCT(--ISNUMBER(SEARCH(covid,'David Perdue'!C77)))&gt;0)</f>
        <v>0</v>
      </c>
      <c r="O77" s="14" cm="1">
        <f t="array" ref="O77">INT(SUMPRODUCT(--ISNUMBER(SEARCH(violent,'David Perdue'!C77)))&gt;0)</f>
        <v>0</v>
      </c>
      <c r="P77" s="14" cm="1">
        <f t="array" ref="P77">INT(SUMPRODUCT(--ISNUMBER(SEARCH(foreign,'David Perdue'!C77)))&gt;0)</f>
        <v>0</v>
      </c>
      <c r="Q77" s="14" cm="1">
        <f t="array" ref="Q77">INT(SUMPRODUCT(--ISNUMBER(SEARCH(gun,'David Perdue'!C77)))&gt;0)</f>
        <v>0</v>
      </c>
      <c r="R77" s="14" cm="1">
        <f t="array" ref="R77">INT(SUMPRODUCT(--ISNUMBER(SEARCH(race,'David Perdue'!C77)))&gt;0)</f>
        <v>0</v>
      </c>
      <c r="S77" s="14" cm="1">
        <f t="array" ref="S77">INT(SUMPRODUCT(--ISNUMBER(SEARCH(immigration,C77)))&gt;0)</f>
        <v>0</v>
      </c>
      <c r="T77" s="14" cm="1">
        <f t="array" ref="T77">INT(SUMPRODUCT(--ISNUMBER(SEARCH(econineq,C77)))&gt;0)</f>
        <v>0</v>
      </c>
      <c r="U77" s="14" cm="1">
        <f t="array" ref="U77">INT(SUMPRODUCT(--ISNUMBER(SEARCH(climate,'David Perdue'!C77)))&gt;0)</f>
        <v>0</v>
      </c>
      <c r="V77" s="14" cm="1">
        <f t="array" ref="V77">INT(SUMPRODUCT(--ISNUMBER(SEARCH(abortion,'David Perdue'!C77)))&gt;0)</f>
        <v>0</v>
      </c>
      <c r="W77" s="14" cm="1">
        <f t="array" ref="W77">INT(SUMPRODUCT(--ISNUMBER(SEARCH(trump,'David Perdue'!C77)))&gt;0)</f>
        <v>0</v>
      </c>
      <c r="X77" s="14" cm="1">
        <f t="array" ref="X77">INT(SUMPRODUCT(--ISNUMBER(SEARCH(voting,'David Perdue'!C77)))&gt;0)</f>
        <v>0</v>
      </c>
      <c r="Y77" s="14" cm="1">
        <f t="array" ref="Y77">INT(SUMPRODUCT(--ISNUMBER(SEARCH(republicantrigger,'David Perdue'!C77)))&gt;0)</f>
        <v>0</v>
      </c>
      <c r="Z77" s="14" cm="1">
        <f t="array" ref="Z77">INT(SUMPRODUCT(--ISNUMBER(SEARCH(bipartisan,'David Perdue'!C77)))&gt;0)</f>
        <v>0</v>
      </c>
      <c r="AA77" s="14">
        <f t="shared" si="2"/>
        <v>1</v>
      </c>
      <c r="AB77" s="14"/>
      <c r="AC77" s="30" t="s">
        <v>223</v>
      </c>
      <c r="AD77" s="37" t="s">
        <v>223</v>
      </c>
    </row>
    <row r="78" spans="1:30" x14ac:dyDescent="0.25">
      <c r="A78" s="54">
        <v>394</v>
      </c>
      <c r="B78" s="14" t="s">
        <v>819</v>
      </c>
      <c r="C78" s="14" t="s">
        <v>820</v>
      </c>
      <c r="D78" s="17">
        <v>44130</v>
      </c>
      <c r="E78" s="14" t="s">
        <v>30</v>
      </c>
      <c r="F78" s="14">
        <v>43</v>
      </c>
      <c r="G78" s="14">
        <v>16</v>
      </c>
      <c r="H78" s="14">
        <v>3</v>
      </c>
      <c r="I78" s="14">
        <v>2</v>
      </c>
      <c r="J78" s="14" t="s">
        <v>31</v>
      </c>
      <c r="K78" s="14" cm="1">
        <f t="array" ref="K78">INT(SUMPRODUCT(--ISNUMBER(SEARCH(economy,'David Perdue'!C78)))&gt;0)</f>
        <v>0</v>
      </c>
      <c r="L78" s="14" cm="1">
        <f t="array" ref="L78">INT(SUMPRODUCT(--ISNUMBER(SEARCH(healthcare,'David Perdue'!C78)))&gt;0)</f>
        <v>0</v>
      </c>
      <c r="M78" s="14" cm="1">
        <f t="array" ref="M78">INT(SUMPRODUCT(--ISNUMBER(SEARCH(supreme,'David Perdue'!C78)))&gt;0)</f>
        <v>0</v>
      </c>
      <c r="N78" s="14" cm="1">
        <f t="array" ref="N78">INT(SUMPRODUCT(--ISNUMBER(SEARCH(covid,'David Perdue'!C78)))&gt;0)</f>
        <v>0</v>
      </c>
      <c r="O78" s="14" cm="1">
        <f t="array" ref="O78">INT(SUMPRODUCT(--ISNUMBER(SEARCH(violent,'David Perdue'!C78)))&gt;0)</f>
        <v>0</v>
      </c>
      <c r="P78" s="14" cm="1">
        <f t="array" ref="P78">INT(SUMPRODUCT(--ISNUMBER(SEARCH(foreign,'David Perdue'!C78)))&gt;0)</f>
        <v>1</v>
      </c>
      <c r="Q78" s="14" cm="1">
        <f t="array" ref="Q78">INT(SUMPRODUCT(--ISNUMBER(SEARCH(gun,'David Perdue'!C78)))&gt;0)</f>
        <v>0</v>
      </c>
      <c r="R78" s="14" cm="1">
        <f t="array" ref="R78">INT(SUMPRODUCT(--ISNUMBER(SEARCH(race,'David Perdue'!C78)))&gt;0)</f>
        <v>0</v>
      </c>
      <c r="S78" s="14" cm="1">
        <f t="array" ref="S78">INT(SUMPRODUCT(--ISNUMBER(SEARCH(immigration,C78)))&gt;0)</f>
        <v>0</v>
      </c>
      <c r="T78" s="14" cm="1">
        <f t="array" ref="T78">INT(SUMPRODUCT(--ISNUMBER(SEARCH(econineq,C78)))&gt;0)</f>
        <v>0</v>
      </c>
      <c r="U78" s="14" cm="1">
        <f t="array" ref="U78">INT(SUMPRODUCT(--ISNUMBER(SEARCH(climate,'David Perdue'!C78)))&gt;0)</f>
        <v>0</v>
      </c>
      <c r="V78" s="14" cm="1">
        <f t="array" ref="V78">INT(SUMPRODUCT(--ISNUMBER(SEARCH(abortion,'David Perdue'!C78)))&gt;0)</f>
        <v>0</v>
      </c>
      <c r="W78" s="14" cm="1">
        <f t="array" ref="W78">INT(SUMPRODUCT(--ISNUMBER(SEARCH(trump,'David Perdue'!C78)))&gt;0)</f>
        <v>0</v>
      </c>
      <c r="X78" s="14" cm="1">
        <f t="array" ref="X78">INT(SUMPRODUCT(--ISNUMBER(SEARCH(voting,'David Perdue'!C78)))&gt;0)</f>
        <v>0</v>
      </c>
      <c r="Y78" s="14" cm="1">
        <f t="array" ref="Y78">INT(SUMPRODUCT(--ISNUMBER(SEARCH(republicantrigger,'David Perdue'!C78)))&gt;0)</f>
        <v>0</v>
      </c>
      <c r="Z78" s="14" cm="1">
        <f t="array" ref="Z78">INT(SUMPRODUCT(--ISNUMBER(SEARCH(bipartisan,'David Perdue'!C78)))&gt;0)</f>
        <v>0</v>
      </c>
      <c r="AA78" s="14">
        <f t="shared" si="2"/>
        <v>0</v>
      </c>
      <c r="AB78" s="14"/>
      <c r="AC78" s="30">
        <v>0</v>
      </c>
      <c r="AD78" s="37">
        <v>1</v>
      </c>
    </row>
    <row r="79" spans="1:30" x14ac:dyDescent="0.25">
      <c r="A79" s="54">
        <v>395</v>
      </c>
      <c r="B79" s="14" t="s">
        <v>821</v>
      </c>
      <c r="C79" s="14" t="s">
        <v>822</v>
      </c>
      <c r="D79" s="17">
        <v>44130</v>
      </c>
      <c r="E79" s="14" t="s">
        <v>30</v>
      </c>
      <c r="F79" s="14">
        <v>24</v>
      </c>
      <c r="G79" s="14">
        <v>8</v>
      </c>
      <c r="H79" s="14">
        <v>3</v>
      </c>
      <c r="I79" s="14">
        <v>2</v>
      </c>
      <c r="J79" s="14" t="s">
        <v>31</v>
      </c>
      <c r="K79" s="14" cm="1">
        <f t="array" ref="K79">INT(SUMPRODUCT(--ISNUMBER(SEARCH(economy,'David Perdue'!C79)))&gt;0)</f>
        <v>1</v>
      </c>
      <c r="L79" s="14" cm="1">
        <f t="array" ref="L79">INT(SUMPRODUCT(--ISNUMBER(SEARCH(healthcare,'David Perdue'!C79)))&gt;0)</f>
        <v>0</v>
      </c>
      <c r="M79" s="14" cm="1">
        <f t="array" ref="M79">INT(SUMPRODUCT(--ISNUMBER(SEARCH(supreme,'David Perdue'!C79)))&gt;0)</f>
        <v>0</v>
      </c>
      <c r="N79" s="14" cm="1">
        <f t="array" ref="N79">INT(SUMPRODUCT(--ISNUMBER(SEARCH(covid,'David Perdue'!C79)))&gt;0)</f>
        <v>0</v>
      </c>
      <c r="O79" s="14" cm="1">
        <f t="array" ref="O79">INT(SUMPRODUCT(--ISNUMBER(SEARCH(violent,'David Perdue'!C79)))&gt;0)</f>
        <v>0</v>
      </c>
      <c r="P79" s="14" cm="1">
        <f t="array" ref="P79">INT(SUMPRODUCT(--ISNUMBER(SEARCH(foreign,'David Perdue'!C79)))&gt;0)</f>
        <v>0</v>
      </c>
      <c r="Q79" s="14" cm="1">
        <f t="array" ref="Q79">INT(SUMPRODUCT(--ISNUMBER(SEARCH(gun,'David Perdue'!C79)))&gt;0)</f>
        <v>0</v>
      </c>
      <c r="R79" s="14" cm="1">
        <f t="array" ref="R79">INT(SUMPRODUCT(--ISNUMBER(SEARCH(race,'David Perdue'!C79)))&gt;0)</f>
        <v>0</v>
      </c>
      <c r="S79" s="14" cm="1">
        <f t="array" ref="S79">INT(SUMPRODUCT(--ISNUMBER(SEARCH(immigration,C79)))&gt;0)</f>
        <v>0</v>
      </c>
      <c r="T79" s="14" cm="1">
        <f t="array" ref="T79">INT(SUMPRODUCT(--ISNUMBER(SEARCH(econineq,C79)))&gt;0)</f>
        <v>0</v>
      </c>
      <c r="U79" s="14" cm="1">
        <f t="array" ref="U79">INT(SUMPRODUCT(--ISNUMBER(SEARCH(climate,'David Perdue'!C79)))&gt;0)</f>
        <v>0</v>
      </c>
      <c r="V79" s="14" cm="1">
        <f t="array" ref="V79">INT(SUMPRODUCT(--ISNUMBER(SEARCH(abortion,'David Perdue'!C79)))&gt;0)</f>
        <v>0</v>
      </c>
      <c r="W79" s="14" cm="1">
        <f t="array" ref="W79">INT(SUMPRODUCT(--ISNUMBER(SEARCH(trump,'David Perdue'!C79)))&gt;0)</f>
        <v>0</v>
      </c>
      <c r="X79" s="14" cm="1">
        <f t="array" ref="X79">INT(SUMPRODUCT(--ISNUMBER(SEARCH(voting,'David Perdue'!C79)))&gt;0)</f>
        <v>0</v>
      </c>
      <c r="Y79" s="14" cm="1">
        <f t="array" ref="Y79">INT(SUMPRODUCT(--ISNUMBER(SEARCH(republicantrigger,'David Perdue'!C79)))&gt;0)</f>
        <v>0</v>
      </c>
      <c r="Z79" s="14" cm="1">
        <f t="array" ref="Z79">INT(SUMPRODUCT(--ISNUMBER(SEARCH(bipartisan,'David Perdue'!C79)))&gt;0)</f>
        <v>0</v>
      </c>
      <c r="AA79" s="14">
        <f t="shared" si="2"/>
        <v>0</v>
      </c>
      <c r="AB79" s="14"/>
      <c r="AC79" s="30">
        <v>1</v>
      </c>
      <c r="AD79" s="37">
        <v>0</v>
      </c>
    </row>
    <row r="80" spans="1:30" x14ac:dyDescent="0.25">
      <c r="A80" s="54">
        <v>396</v>
      </c>
      <c r="B80" s="14" t="s">
        <v>823</v>
      </c>
      <c r="C80" s="14" t="s">
        <v>824</v>
      </c>
      <c r="D80" s="17">
        <v>44129</v>
      </c>
      <c r="E80" s="14" t="s">
        <v>30</v>
      </c>
      <c r="F80" s="14">
        <v>27</v>
      </c>
      <c r="G80" s="14">
        <v>7</v>
      </c>
      <c r="H80" s="14">
        <v>3</v>
      </c>
      <c r="I80" s="14">
        <v>2</v>
      </c>
      <c r="J80" s="14" t="s">
        <v>31</v>
      </c>
      <c r="K80" s="14" cm="1">
        <f t="array" ref="K80">INT(SUMPRODUCT(--ISNUMBER(SEARCH(economy,'David Perdue'!C80)))&gt;0)</f>
        <v>1</v>
      </c>
      <c r="L80" s="14" cm="1">
        <f t="array" ref="L80">INT(SUMPRODUCT(--ISNUMBER(SEARCH(healthcare,'David Perdue'!C80)))&gt;0)</f>
        <v>0</v>
      </c>
      <c r="M80" s="14" cm="1">
        <f t="array" ref="M80">INT(SUMPRODUCT(--ISNUMBER(SEARCH(supreme,'David Perdue'!C80)))&gt;0)</f>
        <v>0</v>
      </c>
      <c r="N80" s="14" cm="1">
        <f t="array" ref="N80">INT(SUMPRODUCT(--ISNUMBER(SEARCH(covid,'David Perdue'!C80)))&gt;0)</f>
        <v>0</v>
      </c>
      <c r="O80" s="14" cm="1">
        <f t="array" ref="O80">INT(SUMPRODUCT(--ISNUMBER(SEARCH(violent,'David Perdue'!C80)))&gt;0)</f>
        <v>0</v>
      </c>
      <c r="P80" s="14" cm="1">
        <f t="array" ref="P80">INT(SUMPRODUCT(--ISNUMBER(SEARCH(foreign,'David Perdue'!C80)))&gt;0)</f>
        <v>0</v>
      </c>
      <c r="Q80" s="14" cm="1">
        <f t="array" ref="Q80">INT(SUMPRODUCT(--ISNUMBER(SEARCH(gun,'David Perdue'!C80)))&gt;0)</f>
        <v>0</v>
      </c>
      <c r="R80" s="14" cm="1">
        <f t="array" ref="R80">INT(SUMPRODUCT(--ISNUMBER(SEARCH(race,'David Perdue'!C80)))&gt;0)</f>
        <v>0</v>
      </c>
      <c r="S80" s="14" cm="1">
        <f t="array" ref="S80">INT(SUMPRODUCT(--ISNUMBER(SEARCH(immigration,C80)))&gt;0)</f>
        <v>0</v>
      </c>
      <c r="T80" s="14" cm="1">
        <f t="array" ref="T80">INT(SUMPRODUCT(--ISNUMBER(SEARCH(econineq,C80)))&gt;0)</f>
        <v>0</v>
      </c>
      <c r="U80" s="14" cm="1">
        <f t="array" ref="U80">INT(SUMPRODUCT(--ISNUMBER(SEARCH(climate,'David Perdue'!C80)))&gt;0)</f>
        <v>0</v>
      </c>
      <c r="V80" s="14" cm="1">
        <f t="array" ref="V80">INT(SUMPRODUCT(--ISNUMBER(SEARCH(abortion,'David Perdue'!C80)))&gt;0)</f>
        <v>0</v>
      </c>
      <c r="W80" s="14" cm="1">
        <f t="array" ref="W80">INT(SUMPRODUCT(--ISNUMBER(SEARCH(trump,'David Perdue'!C80)))&gt;0)</f>
        <v>0</v>
      </c>
      <c r="X80" s="14" cm="1">
        <f t="array" ref="X80">INT(SUMPRODUCT(--ISNUMBER(SEARCH(voting,'David Perdue'!C80)))&gt;0)</f>
        <v>0</v>
      </c>
      <c r="Y80" s="14" cm="1">
        <f t="array" ref="Y80">INT(SUMPRODUCT(--ISNUMBER(SEARCH(republicantrigger,'David Perdue'!C80)))&gt;0)</f>
        <v>1</v>
      </c>
      <c r="Z80" s="14" cm="1">
        <f t="array" ref="Z80">INT(SUMPRODUCT(--ISNUMBER(SEARCH(bipartisan,'David Perdue'!C80)))&gt;0)</f>
        <v>0</v>
      </c>
      <c r="AA80" s="14">
        <f t="shared" si="2"/>
        <v>0</v>
      </c>
      <c r="AB80" s="14"/>
      <c r="AC80" s="30" t="s">
        <v>223</v>
      </c>
      <c r="AD80" s="37" t="s">
        <v>223</v>
      </c>
    </row>
    <row r="81" spans="1:30" x14ac:dyDescent="0.25">
      <c r="A81" s="54">
        <v>397</v>
      </c>
      <c r="B81" s="14" t="s">
        <v>825</v>
      </c>
      <c r="C81" s="14" t="s">
        <v>826</v>
      </c>
      <c r="D81" s="17">
        <v>44128</v>
      </c>
      <c r="E81" s="14" t="s">
        <v>30</v>
      </c>
      <c r="F81" s="14">
        <v>13</v>
      </c>
      <c r="G81" s="14">
        <v>5</v>
      </c>
      <c r="H81" s="14">
        <v>3</v>
      </c>
      <c r="I81" s="14">
        <v>2</v>
      </c>
      <c r="J81" s="14" t="s">
        <v>31</v>
      </c>
      <c r="K81" s="14" cm="1">
        <f t="array" ref="K81">INT(SUMPRODUCT(--ISNUMBER(SEARCH(economy,'David Perdue'!C81)))&gt;0)</f>
        <v>0</v>
      </c>
      <c r="L81" s="14" cm="1">
        <f t="array" ref="L81">INT(SUMPRODUCT(--ISNUMBER(SEARCH(healthcare,'David Perdue'!C81)))&gt;0)</f>
        <v>0</v>
      </c>
      <c r="M81" s="14" cm="1">
        <f t="array" ref="M81">INT(SUMPRODUCT(--ISNUMBER(SEARCH(supreme,'David Perdue'!C81)))&gt;0)</f>
        <v>0</v>
      </c>
      <c r="N81" s="14" cm="1">
        <f t="array" ref="N81">INT(SUMPRODUCT(--ISNUMBER(SEARCH(covid,'David Perdue'!C81)))&gt;0)</f>
        <v>0</v>
      </c>
      <c r="O81" s="14" cm="1">
        <f t="array" ref="O81">INT(SUMPRODUCT(--ISNUMBER(SEARCH(violent,'David Perdue'!C81)))&gt;0)</f>
        <v>0</v>
      </c>
      <c r="P81" s="14" cm="1">
        <f t="array" ref="P81">INT(SUMPRODUCT(--ISNUMBER(SEARCH(foreign,'David Perdue'!C81)))&gt;0)</f>
        <v>0</v>
      </c>
      <c r="Q81" s="14" cm="1">
        <f t="array" ref="Q81">INT(SUMPRODUCT(--ISNUMBER(SEARCH(gun,'David Perdue'!C81)))&gt;0)</f>
        <v>0</v>
      </c>
      <c r="R81" s="14" cm="1">
        <f t="array" ref="R81">INT(SUMPRODUCT(--ISNUMBER(SEARCH(race,'David Perdue'!C81)))&gt;0)</f>
        <v>0</v>
      </c>
      <c r="S81" s="14" cm="1">
        <f t="array" ref="S81">INT(SUMPRODUCT(--ISNUMBER(SEARCH(immigration,C81)))&gt;0)</f>
        <v>0</v>
      </c>
      <c r="T81" s="14" cm="1">
        <f t="array" ref="T81">INT(SUMPRODUCT(--ISNUMBER(SEARCH(econineq,C81)))&gt;0)</f>
        <v>0</v>
      </c>
      <c r="U81" s="14" cm="1">
        <f t="array" ref="U81">INT(SUMPRODUCT(--ISNUMBER(SEARCH(climate,'David Perdue'!C81)))&gt;0)</f>
        <v>0</v>
      </c>
      <c r="V81" s="14" cm="1">
        <f t="array" ref="V81">INT(SUMPRODUCT(--ISNUMBER(SEARCH(abortion,'David Perdue'!C81)))&gt;0)</f>
        <v>0</v>
      </c>
      <c r="W81" s="14" cm="1">
        <f t="array" ref="W81">INT(SUMPRODUCT(--ISNUMBER(SEARCH(trump,'David Perdue'!C81)))&gt;0)</f>
        <v>0</v>
      </c>
      <c r="X81" s="14" cm="1">
        <f t="array" ref="X81">INT(SUMPRODUCT(--ISNUMBER(SEARCH(voting,'David Perdue'!C81)))&gt;0)</f>
        <v>1</v>
      </c>
      <c r="Y81" s="14" cm="1">
        <f t="array" ref="Y81">INT(SUMPRODUCT(--ISNUMBER(SEARCH(republicantrigger,'David Perdue'!C81)))&gt;0)</f>
        <v>1</v>
      </c>
      <c r="Z81" s="14" cm="1">
        <f t="array" ref="Z81">INT(SUMPRODUCT(--ISNUMBER(SEARCH(bipartisan,'David Perdue'!C81)))&gt;0)</f>
        <v>0</v>
      </c>
      <c r="AA81" s="14">
        <f t="shared" si="2"/>
        <v>0</v>
      </c>
      <c r="AB81" s="14"/>
      <c r="AC81" s="30">
        <v>1</v>
      </c>
      <c r="AD81" s="37">
        <v>0</v>
      </c>
    </row>
    <row r="82" spans="1:30" x14ac:dyDescent="0.25">
      <c r="A82" s="54">
        <v>398</v>
      </c>
      <c r="B82" s="14" t="s">
        <v>827</v>
      </c>
      <c r="C82" s="14" t="s">
        <v>828</v>
      </c>
      <c r="D82" s="17">
        <v>44128</v>
      </c>
      <c r="E82" s="14" t="s">
        <v>30</v>
      </c>
      <c r="F82" s="14">
        <v>21</v>
      </c>
      <c r="G82" s="14">
        <v>10</v>
      </c>
      <c r="H82" s="14">
        <v>3</v>
      </c>
      <c r="I82" s="14">
        <v>2</v>
      </c>
      <c r="J82" s="14" t="s">
        <v>31</v>
      </c>
      <c r="K82" s="14" cm="1">
        <f t="array" ref="K82">INT(SUMPRODUCT(--ISNUMBER(SEARCH(economy,'David Perdue'!C82)))&gt;0)</f>
        <v>0</v>
      </c>
      <c r="L82" s="14" cm="1">
        <f t="array" ref="L82">INT(SUMPRODUCT(--ISNUMBER(SEARCH(healthcare,'David Perdue'!C82)))&gt;0)</f>
        <v>0</v>
      </c>
      <c r="M82" s="14" cm="1">
        <f t="array" ref="M82">INT(SUMPRODUCT(--ISNUMBER(SEARCH(supreme,'David Perdue'!C82)))&gt;0)</f>
        <v>0</v>
      </c>
      <c r="N82" s="14" cm="1">
        <f t="array" ref="N82">INT(SUMPRODUCT(--ISNUMBER(SEARCH(covid,'David Perdue'!C82)))&gt;0)</f>
        <v>0</v>
      </c>
      <c r="O82" s="14" cm="1">
        <f t="array" ref="O82">INT(SUMPRODUCT(--ISNUMBER(SEARCH(violent,'David Perdue'!C82)))&gt;0)</f>
        <v>0</v>
      </c>
      <c r="P82" s="14" cm="1">
        <f t="array" ref="P82">INT(SUMPRODUCT(--ISNUMBER(SEARCH(foreign,'David Perdue'!C82)))&gt;0)</f>
        <v>1</v>
      </c>
      <c r="Q82" s="14" cm="1">
        <f t="array" ref="Q82">INT(SUMPRODUCT(--ISNUMBER(SEARCH(gun,'David Perdue'!C82)))&gt;0)</f>
        <v>0</v>
      </c>
      <c r="R82" s="14" cm="1">
        <f t="array" ref="R82">INT(SUMPRODUCT(--ISNUMBER(SEARCH(race,'David Perdue'!C82)))&gt;0)</f>
        <v>0</v>
      </c>
      <c r="S82" s="14" cm="1">
        <f t="array" ref="S82">INT(SUMPRODUCT(--ISNUMBER(SEARCH(immigration,C82)))&gt;0)</f>
        <v>0</v>
      </c>
      <c r="T82" s="14" cm="1">
        <f t="array" ref="T82">INT(SUMPRODUCT(--ISNUMBER(SEARCH(econineq,C82)))&gt;0)</f>
        <v>0</v>
      </c>
      <c r="U82" s="14" cm="1">
        <f t="array" ref="U82">INT(SUMPRODUCT(--ISNUMBER(SEARCH(climate,'David Perdue'!C82)))&gt;0)</f>
        <v>0</v>
      </c>
      <c r="V82" s="14" cm="1">
        <f t="array" ref="V82">INT(SUMPRODUCT(--ISNUMBER(SEARCH(abortion,'David Perdue'!C82)))&gt;0)</f>
        <v>0</v>
      </c>
      <c r="W82" s="14" cm="1">
        <f t="array" ref="W82">INT(SUMPRODUCT(--ISNUMBER(SEARCH(trump,'David Perdue'!C82)))&gt;0)</f>
        <v>0</v>
      </c>
      <c r="X82" s="14" cm="1">
        <f t="array" ref="X82">INT(SUMPRODUCT(--ISNUMBER(SEARCH(voting,'David Perdue'!C82)))&gt;0)</f>
        <v>0</v>
      </c>
      <c r="Y82" s="14" cm="1">
        <f t="array" ref="Y82">INT(SUMPRODUCT(--ISNUMBER(SEARCH(republicantrigger,'David Perdue'!C82)))&gt;0)</f>
        <v>0</v>
      </c>
      <c r="Z82" s="14" cm="1">
        <f t="array" ref="Z82">INT(SUMPRODUCT(--ISNUMBER(SEARCH(bipartisan,'David Perdue'!C82)))&gt;0)</f>
        <v>0</v>
      </c>
      <c r="AA82" s="14">
        <f t="shared" si="2"/>
        <v>0</v>
      </c>
      <c r="AB82" s="14"/>
      <c r="AC82" s="30">
        <v>0</v>
      </c>
      <c r="AD82" s="37">
        <v>1</v>
      </c>
    </row>
    <row r="83" spans="1:30" x14ac:dyDescent="0.25">
      <c r="A83" s="54">
        <v>399</v>
      </c>
      <c r="B83" s="14" t="s">
        <v>829</v>
      </c>
      <c r="C83" s="14" t="s">
        <v>830</v>
      </c>
      <c r="D83" s="17">
        <v>44128</v>
      </c>
      <c r="E83" s="14" t="s">
        <v>30</v>
      </c>
      <c r="F83" s="14">
        <v>16</v>
      </c>
      <c r="G83" s="14">
        <v>4</v>
      </c>
      <c r="H83" s="14">
        <v>3</v>
      </c>
      <c r="I83" s="14">
        <v>2</v>
      </c>
      <c r="J83" s="14" t="s">
        <v>31</v>
      </c>
      <c r="K83" s="14" cm="1">
        <f t="array" ref="K83">INT(SUMPRODUCT(--ISNUMBER(SEARCH(economy,'David Perdue'!C83)))&gt;0)</f>
        <v>1</v>
      </c>
      <c r="L83" s="14" cm="1">
        <f t="array" ref="L83">INT(SUMPRODUCT(--ISNUMBER(SEARCH(healthcare,'David Perdue'!C83)))&gt;0)</f>
        <v>0</v>
      </c>
      <c r="M83" s="14" cm="1">
        <f t="array" ref="M83">INT(SUMPRODUCT(--ISNUMBER(SEARCH(supreme,'David Perdue'!C83)))&gt;0)</f>
        <v>0</v>
      </c>
      <c r="N83" s="14" cm="1">
        <f t="array" ref="N83">INT(SUMPRODUCT(--ISNUMBER(SEARCH(covid,'David Perdue'!C83)))&gt;0)</f>
        <v>1</v>
      </c>
      <c r="O83" s="14" cm="1">
        <f t="array" ref="O83">INT(SUMPRODUCT(--ISNUMBER(SEARCH(violent,'David Perdue'!C83)))&gt;0)</f>
        <v>0</v>
      </c>
      <c r="P83" s="14" cm="1">
        <f t="array" ref="P83">INT(SUMPRODUCT(--ISNUMBER(SEARCH(foreign,'David Perdue'!C83)))&gt;0)</f>
        <v>0</v>
      </c>
      <c r="Q83" s="14" cm="1">
        <f t="array" ref="Q83">INT(SUMPRODUCT(--ISNUMBER(SEARCH(gun,'David Perdue'!C83)))&gt;0)</f>
        <v>0</v>
      </c>
      <c r="R83" s="14" cm="1">
        <f t="array" ref="R83">INT(SUMPRODUCT(--ISNUMBER(SEARCH(race,'David Perdue'!C83)))&gt;0)</f>
        <v>0</v>
      </c>
      <c r="S83" s="14" cm="1">
        <f t="array" ref="S83">INT(SUMPRODUCT(--ISNUMBER(SEARCH(immigration,C83)))&gt;0)</f>
        <v>0</v>
      </c>
      <c r="T83" s="14" cm="1">
        <f t="array" ref="T83">INT(SUMPRODUCT(--ISNUMBER(SEARCH(econineq,C83)))&gt;0)</f>
        <v>0</v>
      </c>
      <c r="U83" s="14" cm="1">
        <f t="array" ref="U83">INT(SUMPRODUCT(--ISNUMBER(SEARCH(climate,'David Perdue'!C83)))&gt;0)</f>
        <v>0</v>
      </c>
      <c r="V83" s="14" cm="1">
        <f t="array" ref="V83">INT(SUMPRODUCT(--ISNUMBER(SEARCH(abortion,'David Perdue'!C83)))&gt;0)</f>
        <v>0</v>
      </c>
      <c r="W83" s="14" cm="1">
        <f t="array" ref="W83">INT(SUMPRODUCT(--ISNUMBER(SEARCH(trump,'David Perdue'!C83)))&gt;0)</f>
        <v>0</v>
      </c>
      <c r="X83" s="14" cm="1">
        <f t="array" ref="X83">INT(SUMPRODUCT(--ISNUMBER(SEARCH(voting,'David Perdue'!C83)))&gt;0)</f>
        <v>0</v>
      </c>
      <c r="Y83" s="14" cm="1">
        <f t="array" ref="Y83">INT(SUMPRODUCT(--ISNUMBER(SEARCH(republicantrigger,'David Perdue'!C83)))&gt;0)</f>
        <v>0</v>
      </c>
      <c r="Z83" s="14" cm="1">
        <f t="array" ref="Z83">INT(SUMPRODUCT(--ISNUMBER(SEARCH(bipartisan,'David Perdue'!C83)))&gt;0)</f>
        <v>0</v>
      </c>
      <c r="AA83" s="14">
        <f t="shared" si="2"/>
        <v>0</v>
      </c>
      <c r="AB83" s="14"/>
      <c r="AC83" s="30">
        <v>1</v>
      </c>
      <c r="AD83" s="37">
        <v>0</v>
      </c>
    </row>
    <row r="84" spans="1:30" x14ac:dyDescent="0.25">
      <c r="A84" s="54">
        <v>400</v>
      </c>
      <c r="B84" s="14" t="s">
        <v>831</v>
      </c>
      <c r="C84" s="14" t="s">
        <v>832</v>
      </c>
      <c r="D84" s="17">
        <v>44127</v>
      </c>
      <c r="E84" s="14" t="s">
        <v>30</v>
      </c>
      <c r="F84" s="14">
        <v>27</v>
      </c>
      <c r="G84" s="14">
        <v>9</v>
      </c>
      <c r="H84" s="14">
        <v>3</v>
      </c>
      <c r="I84" s="14">
        <v>2</v>
      </c>
      <c r="J84" s="14" t="s">
        <v>31</v>
      </c>
      <c r="K84" s="14" cm="1">
        <f t="array" ref="K84">INT(SUMPRODUCT(--ISNUMBER(SEARCH(economy,'David Perdue'!C84)))&gt;0)</f>
        <v>0</v>
      </c>
      <c r="L84" s="14" cm="1">
        <f t="array" ref="L84">INT(SUMPRODUCT(--ISNUMBER(SEARCH(healthcare,'David Perdue'!C84)))&gt;0)</f>
        <v>0</v>
      </c>
      <c r="M84" s="14" cm="1">
        <f t="array" ref="M84">INT(SUMPRODUCT(--ISNUMBER(SEARCH(supreme,'David Perdue'!C84)))&gt;0)</f>
        <v>1</v>
      </c>
      <c r="N84" s="14" cm="1">
        <f t="array" ref="N84">INT(SUMPRODUCT(--ISNUMBER(SEARCH(covid,'David Perdue'!C84)))&gt;0)</f>
        <v>0</v>
      </c>
      <c r="O84" s="14" cm="1">
        <f t="array" ref="O84">INT(SUMPRODUCT(--ISNUMBER(SEARCH(violent,'David Perdue'!C84)))&gt;0)</f>
        <v>0</v>
      </c>
      <c r="P84" s="14" cm="1">
        <f t="array" ref="P84">INT(SUMPRODUCT(--ISNUMBER(SEARCH(foreign,'David Perdue'!C84)))&gt;0)</f>
        <v>0</v>
      </c>
      <c r="Q84" s="14" cm="1">
        <f t="array" ref="Q84">INT(SUMPRODUCT(--ISNUMBER(SEARCH(gun,'David Perdue'!C84)))&gt;0)</f>
        <v>0</v>
      </c>
      <c r="R84" s="14" cm="1">
        <f t="array" ref="R84">INT(SUMPRODUCT(--ISNUMBER(SEARCH(race,'David Perdue'!C84)))&gt;0)</f>
        <v>0</v>
      </c>
      <c r="S84" s="14" cm="1">
        <f t="array" ref="S84">INT(SUMPRODUCT(--ISNUMBER(SEARCH(immigration,C84)))&gt;0)</f>
        <v>0</v>
      </c>
      <c r="T84" s="14" cm="1">
        <f t="array" ref="T84">INT(SUMPRODUCT(--ISNUMBER(SEARCH(econineq,C84)))&gt;0)</f>
        <v>0</v>
      </c>
      <c r="U84" s="14" cm="1">
        <f t="array" ref="U84">INT(SUMPRODUCT(--ISNUMBER(SEARCH(climate,'David Perdue'!C84)))&gt;0)</f>
        <v>0</v>
      </c>
      <c r="V84" s="14" cm="1">
        <f t="array" ref="V84">INT(SUMPRODUCT(--ISNUMBER(SEARCH(abortion,'David Perdue'!C84)))&gt;0)</f>
        <v>0</v>
      </c>
      <c r="W84" s="14" cm="1">
        <f t="array" ref="W84">INT(SUMPRODUCT(--ISNUMBER(SEARCH(trump,'David Perdue'!C84)))&gt;0)</f>
        <v>0</v>
      </c>
      <c r="X84" s="14" cm="1">
        <f t="array" ref="X84">INT(SUMPRODUCT(--ISNUMBER(SEARCH(voting,'David Perdue'!C84)))&gt;0)</f>
        <v>0</v>
      </c>
      <c r="Y84" s="14" cm="1">
        <f t="array" ref="Y84">INT(SUMPRODUCT(--ISNUMBER(SEARCH(republicantrigger,'David Perdue'!C84)))&gt;0)</f>
        <v>0</v>
      </c>
      <c r="Z84" s="14" cm="1">
        <f t="array" ref="Z84">INT(SUMPRODUCT(--ISNUMBER(SEARCH(bipartisan,'David Perdue'!C84)))&gt;0)</f>
        <v>0</v>
      </c>
      <c r="AA84" s="14">
        <f t="shared" si="2"/>
        <v>0</v>
      </c>
      <c r="AB84" s="14"/>
      <c r="AC84" s="30">
        <v>0</v>
      </c>
      <c r="AD84" s="37">
        <v>1</v>
      </c>
    </row>
    <row r="85" spans="1:30" x14ac:dyDescent="0.25">
      <c r="A85" s="54">
        <v>401</v>
      </c>
      <c r="B85" s="14" t="s">
        <v>833</v>
      </c>
      <c r="C85" s="14" t="s">
        <v>834</v>
      </c>
      <c r="D85" s="17">
        <v>44127</v>
      </c>
      <c r="E85" s="14" t="s">
        <v>30</v>
      </c>
      <c r="F85" s="14">
        <v>15</v>
      </c>
      <c r="G85" s="14">
        <v>6</v>
      </c>
      <c r="H85" s="14">
        <v>3</v>
      </c>
      <c r="I85" s="14">
        <v>2</v>
      </c>
      <c r="J85" s="14" t="s">
        <v>31</v>
      </c>
      <c r="K85" s="14" cm="1">
        <f t="array" ref="K85">INT(SUMPRODUCT(--ISNUMBER(SEARCH(economy,'David Perdue'!C85)))&gt;0)</f>
        <v>1</v>
      </c>
      <c r="L85" s="14" cm="1">
        <f t="array" ref="L85">INT(SUMPRODUCT(--ISNUMBER(SEARCH(healthcare,'David Perdue'!C85)))&gt;0)</f>
        <v>0</v>
      </c>
      <c r="M85" s="14" cm="1">
        <f t="array" ref="M85">INT(SUMPRODUCT(--ISNUMBER(SEARCH(supreme,'David Perdue'!C85)))&gt;0)</f>
        <v>0</v>
      </c>
      <c r="N85" s="14" cm="1">
        <f t="array" ref="N85">INT(SUMPRODUCT(--ISNUMBER(SEARCH(covid,'David Perdue'!C85)))&gt;0)</f>
        <v>0</v>
      </c>
      <c r="O85" s="14" cm="1">
        <f t="array" ref="O85">INT(SUMPRODUCT(--ISNUMBER(SEARCH(violent,'David Perdue'!C85)))&gt;0)</f>
        <v>0</v>
      </c>
      <c r="P85" s="14" cm="1">
        <f t="array" ref="P85">INT(SUMPRODUCT(--ISNUMBER(SEARCH(foreign,'David Perdue'!C85)))&gt;0)</f>
        <v>0</v>
      </c>
      <c r="Q85" s="14" cm="1">
        <f t="array" ref="Q85">INT(SUMPRODUCT(--ISNUMBER(SEARCH(gun,'David Perdue'!C85)))&gt;0)</f>
        <v>0</v>
      </c>
      <c r="R85" s="14" cm="1">
        <f t="array" ref="R85">INT(SUMPRODUCT(--ISNUMBER(SEARCH(race,'David Perdue'!C85)))&gt;0)</f>
        <v>0</v>
      </c>
      <c r="S85" s="14" cm="1">
        <f t="array" ref="S85">INT(SUMPRODUCT(--ISNUMBER(SEARCH(immigration,C85)))&gt;0)</f>
        <v>0</v>
      </c>
      <c r="T85" s="14" cm="1">
        <f t="array" ref="T85">INT(SUMPRODUCT(--ISNUMBER(SEARCH(econineq,C85)))&gt;0)</f>
        <v>0</v>
      </c>
      <c r="U85" s="14" cm="1">
        <f t="array" ref="U85">INT(SUMPRODUCT(--ISNUMBER(SEARCH(climate,'David Perdue'!C85)))&gt;0)</f>
        <v>0</v>
      </c>
      <c r="V85" s="14" cm="1">
        <f t="array" ref="V85">INT(SUMPRODUCT(--ISNUMBER(SEARCH(abortion,'David Perdue'!C85)))&gt;0)</f>
        <v>0</v>
      </c>
      <c r="W85" s="14" cm="1">
        <f t="array" ref="W85">INT(SUMPRODUCT(--ISNUMBER(SEARCH(trump,'David Perdue'!C85)))&gt;0)</f>
        <v>0</v>
      </c>
      <c r="X85" s="14" cm="1">
        <f t="array" ref="X85">INT(SUMPRODUCT(--ISNUMBER(SEARCH(voting,'David Perdue'!C85)))&gt;0)</f>
        <v>0</v>
      </c>
      <c r="Y85" s="14" cm="1">
        <f t="array" ref="Y85">INT(SUMPRODUCT(--ISNUMBER(SEARCH(republicantrigger,'David Perdue'!C85)))&gt;0)</f>
        <v>1</v>
      </c>
      <c r="Z85" s="14" cm="1">
        <f t="array" ref="Z85">INT(SUMPRODUCT(--ISNUMBER(SEARCH(bipartisan,'David Perdue'!C85)))&gt;0)</f>
        <v>0</v>
      </c>
      <c r="AA85" s="14">
        <f t="shared" si="2"/>
        <v>0</v>
      </c>
      <c r="AB85" s="14"/>
      <c r="AC85" s="30" t="s">
        <v>223</v>
      </c>
      <c r="AD85" s="37" t="s">
        <v>223</v>
      </c>
    </row>
    <row r="86" spans="1:30" x14ac:dyDescent="0.25">
      <c r="A86" s="54">
        <v>402</v>
      </c>
      <c r="B86" s="14" t="s">
        <v>835</v>
      </c>
      <c r="C86" s="14" t="s">
        <v>836</v>
      </c>
      <c r="D86" s="17">
        <v>44127</v>
      </c>
      <c r="E86" s="14" t="s">
        <v>30</v>
      </c>
      <c r="F86" s="14">
        <v>17</v>
      </c>
      <c r="G86" s="14">
        <v>9</v>
      </c>
      <c r="H86" s="14">
        <v>3</v>
      </c>
      <c r="I86" s="14">
        <v>2</v>
      </c>
      <c r="J86" s="14" t="s">
        <v>31</v>
      </c>
      <c r="K86" s="14" cm="1">
        <f t="array" ref="K86">INT(SUMPRODUCT(--ISNUMBER(SEARCH(economy,'David Perdue'!C86)))&gt;0)</f>
        <v>0</v>
      </c>
      <c r="L86" s="14" cm="1">
        <f t="array" ref="L86">INT(SUMPRODUCT(--ISNUMBER(SEARCH(healthcare,'David Perdue'!C86)))&gt;0)</f>
        <v>0</v>
      </c>
      <c r="M86" s="14" cm="1">
        <f t="array" ref="M86">INT(SUMPRODUCT(--ISNUMBER(SEARCH(supreme,'David Perdue'!C86)))&gt;0)</f>
        <v>0</v>
      </c>
      <c r="N86" s="14" cm="1">
        <f t="array" ref="N86">INT(SUMPRODUCT(--ISNUMBER(SEARCH(covid,'David Perdue'!C86)))&gt;0)</f>
        <v>0</v>
      </c>
      <c r="O86" s="14" cm="1">
        <f t="array" ref="O86">INT(SUMPRODUCT(--ISNUMBER(SEARCH(violent,'David Perdue'!C86)))&gt;0)</f>
        <v>0</v>
      </c>
      <c r="P86" s="14" cm="1">
        <f t="array" ref="P86">INT(SUMPRODUCT(--ISNUMBER(SEARCH(foreign,'David Perdue'!C86)))&gt;0)</f>
        <v>0</v>
      </c>
      <c r="Q86" s="14" cm="1">
        <f t="array" ref="Q86">INT(SUMPRODUCT(--ISNUMBER(SEARCH(gun,'David Perdue'!C86)))&gt;0)</f>
        <v>0</v>
      </c>
      <c r="R86" s="14" cm="1">
        <f t="array" ref="R86">INT(SUMPRODUCT(--ISNUMBER(SEARCH(race,'David Perdue'!C86)))&gt;0)</f>
        <v>0</v>
      </c>
      <c r="S86" s="14" cm="1">
        <f t="array" ref="S86">INT(SUMPRODUCT(--ISNUMBER(SEARCH(immigration,C86)))&gt;0)</f>
        <v>0</v>
      </c>
      <c r="T86" s="14" cm="1">
        <f t="array" ref="T86">INT(SUMPRODUCT(--ISNUMBER(SEARCH(econineq,C86)))&gt;0)</f>
        <v>0</v>
      </c>
      <c r="U86" s="14" cm="1">
        <f t="array" ref="U86">INT(SUMPRODUCT(--ISNUMBER(SEARCH(climate,'David Perdue'!C86)))&gt;0)</f>
        <v>0</v>
      </c>
      <c r="V86" s="14" cm="1">
        <f t="array" ref="V86">INT(SUMPRODUCT(--ISNUMBER(SEARCH(abortion,'David Perdue'!C86)))&gt;0)</f>
        <v>0</v>
      </c>
      <c r="W86" s="14" cm="1">
        <f t="array" ref="W86">INT(SUMPRODUCT(--ISNUMBER(SEARCH(trump,'David Perdue'!C86)))&gt;0)</f>
        <v>0</v>
      </c>
      <c r="X86" s="14" cm="1">
        <f t="array" ref="X86">INT(SUMPRODUCT(--ISNUMBER(SEARCH(voting,'David Perdue'!C86)))&gt;0)</f>
        <v>0</v>
      </c>
      <c r="Y86" s="14" cm="1">
        <f t="array" ref="Y86">INT(SUMPRODUCT(--ISNUMBER(SEARCH(republicantrigger,'David Perdue'!C86)))&gt;0)</f>
        <v>0</v>
      </c>
      <c r="Z86" s="14" cm="1">
        <f t="array" ref="Z86">INT(SUMPRODUCT(--ISNUMBER(SEARCH(bipartisan,'David Perdue'!C86)))&gt;0)</f>
        <v>0</v>
      </c>
      <c r="AA86" s="14">
        <f t="shared" si="2"/>
        <v>1</v>
      </c>
      <c r="AB86" s="14"/>
      <c r="AC86" s="30">
        <v>1</v>
      </c>
      <c r="AD86" s="37">
        <v>0</v>
      </c>
    </row>
    <row r="87" spans="1:30" x14ac:dyDescent="0.25">
      <c r="A87" s="54">
        <v>403</v>
      </c>
      <c r="B87" s="14" t="s">
        <v>837</v>
      </c>
      <c r="C87" s="14" t="s">
        <v>838</v>
      </c>
      <c r="D87" s="17">
        <v>44127</v>
      </c>
      <c r="E87" s="14" t="s">
        <v>30</v>
      </c>
      <c r="F87" s="14">
        <v>48</v>
      </c>
      <c r="G87" s="14">
        <v>17</v>
      </c>
      <c r="H87" s="14">
        <v>3</v>
      </c>
      <c r="I87" s="14">
        <v>2</v>
      </c>
      <c r="J87" s="14" t="s">
        <v>31</v>
      </c>
      <c r="K87" s="14" cm="1">
        <f t="array" ref="K87">INT(SUMPRODUCT(--ISNUMBER(SEARCH(economy,'David Perdue'!C87)))&gt;0)</f>
        <v>0</v>
      </c>
      <c r="L87" s="14" cm="1">
        <f t="array" ref="L87">INT(SUMPRODUCT(--ISNUMBER(SEARCH(healthcare,'David Perdue'!C87)))&gt;0)</f>
        <v>0</v>
      </c>
      <c r="M87" s="14" cm="1">
        <f t="array" ref="M87">INT(SUMPRODUCT(--ISNUMBER(SEARCH(supreme,'David Perdue'!C87)))&gt;0)</f>
        <v>0</v>
      </c>
      <c r="N87" s="14" cm="1">
        <f t="array" ref="N87">INT(SUMPRODUCT(--ISNUMBER(SEARCH(covid,'David Perdue'!C87)))&gt;0)</f>
        <v>0</v>
      </c>
      <c r="O87" s="14" cm="1">
        <f t="array" ref="O87">INT(SUMPRODUCT(--ISNUMBER(SEARCH(violent,'David Perdue'!C87)))&gt;0)</f>
        <v>0</v>
      </c>
      <c r="P87" s="14" cm="1">
        <f t="array" ref="P87">INT(SUMPRODUCT(--ISNUMBER(SEARCH(foreign,'David Perdue'!C87)))&gt;0)</f>
        <v>0</v>
      </c>
      <c r="Q87" s="14" cm="1">
        <f t="array" ref="Q87">INT(SUMPRODUCT(--ISNUMBER(SEARCH(gun,'David Perdue'!C87)))&gt;0)</f>
        <v>0</v>
      </c>
      <c r="R87" s="14" cm="1">
        <f t="array" ref="R87">INT(SUMPRODUCT(--ISNUMBER(SEARCH(race,'David Perdue'!C87)))&gt;0)</f>
        <v>0</v>
      </c>
      <c r="S87" s="14" cm="1">
        <f t="array" ref="S87">INT(SUMPRODUCT(--ISNUMBER(SEARCH(immigration,C87)))&gt;0)</f>
        <v>0</v>
      </c>
      <c r="T87" s="14" cm="1">
        <f t="array" ref="T87">INT(SUMPRODUCT(--ISNUMBER(SEARCH(econineq,C87)))&gt;0)</f>
        <v>0</v>
      </c>
      <c r="U87" s="14" cm="1">
        <f t="array" ref="U87">INT(SUMPRODUCT(--ISNUMBER(SEARCH(climate,'David Perdue'!C87)))&gt;0)</f>
        <v>0</v>
      </c>
      <c r="V87" s="14" cm="1">
        <f t="array" ref="V87">INT(SUMPRODUCT(--ISNUMBER(SEARCH(abortion,'David Perdue'!C87)))&gt;0)</f>
        <v>0</v>
      </c>
      <c r="W87" s="14" cm="1">
        <f t="array" ref="W87">INT(SUMPRODUCT(--ISNUMBER(SEARCH(trump,'David Perdue'!C87)))&gt;0)</f>
        <v>0</v>
      </c>
      <c r="X87" s="14" cm="1">
        <f t="array" ref="X87">INT(SUMPRODUCT(--ISNUMBER(SEARCH(voting,'David Perdue'!C87)))&gt;0)</f>
        <v>0</v>
      </c>
      <c r="Y87" s="14" cm="1">
        <f t="array" ref="Y87">INT(SUMPRODUCT(--ISNUMBER(SEARCH(republicantrigger,'David Perdue'!C87)))&gt;0)</f>
        <v>0</v>
      </c>
      <c r="Z87" s="14" cm="1">
        <f t="array" ref="Z87">INT(SUMPRODUCT(--ISNUMBER(SEARCH(bipartisan,'David Perdue'!C87)))&gt;0)</f>
        <v>0</v>
      </c>
      <c r="AA87" s="14">
        <f t="shared" si="2"/>
        <v>1</v>
      </c>
      <c r="AB87" s="14"/>
      <c r="AC87" s="30">
        <v>0</v>
      </c>
      <c r="AD87" s="37">
        <v>1</v>
      </c>
    </row>
    <row r="88" spans="1:30" x14ac:dyDescent="0.25">
      <c r="A88" s="54">
        <v>404</v>
      </c>
      <c r="B88" s="14" t="s">
        <v>839</v>
      </c>
      <c r="C88" s="14" t="s">
        <v>840</v>
      </c>
      <c r="D88" s="17">
        <v>44127</v>
      </c>
      <c r="E88" s="14" t="s">
        <v>30</v>
      </c>
      <c r="F88" s="14">
        <v>18</v>
      </c>
      <c r="G88" s="14">
        <v>8</v>
      </c>
      <c r="H88" s="14">
        <v>3</v>
      </c>
      <c r="I88" s="14">
        <v>2</v>
      </c>
      <c r="J88" s="14" t="s">
        <v>31</v>
      </c>
      <c r="K88" s="14" cm="1">
        <f t="array" ref="K88">INT(SUMPRODUCT(--ISNUMBER(SEARCH(economy,'David Perdue'!C88)))&gt;0)</f>
        <v>0</v>
      </c>
      <c r="L88" s="14" cm="1">
        <f t="array" ref="L88">INT(SUMPRODUCT(--ISNUMBER(SEARCH(healthcare,'David Perdue'!C88)))&gt;0)</f>
        <v>0</v>
      </c>
      <c r="M88" s="14" cm="1">
        <f t="array" ref="M88">INT(SUMPRODUCT(--ISNUMBER(SEARCH(supreme,'David Perdue'!C88)))&gt;0)</f>
        <v>0</v>
      </c>
      <c r="N88" s="14" cm="1">
        <f t="array" ref="N88">INT(SUMPRODUCT(--ISNUMBER(SEARCH(covid,'David Perdue'!C88)))&gt;0)</f>
        <v>0</v>
      </c>
      <c r="O88" s="14" cm="1">
        <f t="array" ref="O88">INT(SUMPRODUCT(--ISNUMBER(SEARCH(violent,'David Perdue'!C88)))&gt;0)</f>
        <v>0</v>
      </c>
      <c r="P88" s="14" cm="1">
        <f t="array" ref="P88">INT(SUMPRODUCT(--ISNUMBER(SEARCH(foreign,'David Perdue'!C88)))&gt;0)</f>
        <v>1</v>
      </c>
      <c r="Q88" s="14" cm="1">
        <f t="array" ref="Q88">INT(SUMPRODUCT(--ISNUMBER(SEARCH(gun,'David Perdue'!C88)))&gt;0)</f>
        <v>0</v>
      </c>
      <c r="R88" s="14" cm="1">
        <f t="array" ref="R88">INT(SUMPRODUCT(--ISNUMBER(SEARCH(race,'David Perdue'!C88)))&gt;0)</f>
        <v>0</v>
      </c>
      <c r="S88" s="14" cm="1">
        <f t="array" ref="S88">INT(SUMPRODUCT(--ISNUMBER(SEARCH(immigration,C88)))&gt;0)</f>
        <v>0</v>
      </c>
      <c r="T88" s="14" cm="1">
        <f t="array" ref="T88">INT(SUMPRODUCT(--ISNUMBER(SEARCH(econineq,C88)))&gt;0)</f>
        <v>0</v>
      </c>
      <c r="U88" s="14" cm="1">
        <f t="array" ref="U88">INT(SUMPRODUCT(--ISNUMBER(SEARCH(climate,'David Perdue'!C88)))&gt;0)</f>
        <v>0</v>
      </c>
      <c r="V88" s="14" cm="1">
        <f t="array" ref="V88">INT(SUMPRODUCT(--ISNUMBER(SEARCH(abortion,'David Perdue'!C88)))&gt;0)</f>
        <v>0</v>
      </c>
      <c r="W88" s="14" cm="1">
        <f t="array" ref="W88">INT(SUMPRODUCT(--ISNUMBER(SEARCH(trump,'David Perdue'!C88)))&gt;0)</f>
        <v>0</v>
      </c>
      <c r="X88" s="14" cm="1">
        <f t="array" ref="X88">INT(SUMPRODUCT(--ISNUMBER(SEARCH(voting,'David Perdue'!C88)))&gt;0)</f>
        <v>1</v>
      </c>
      <c r="Y88" s="14" cm="1">
        <f t="array" ref="Y88">INT(SUMPRODUCT(--ISNUMBER(SEARCH(republicantrigger,'David Perdue'!C88)))&gt;0)</f>
        <v>1</v>
      </c>
      <c r="Z88" s="14" cm="1">
        <f t="array" ref="Z88">INT(SUMPRODUCT(--ISNUMBER(SEARCH(bipartisan,'David Perdue'!C88)))&gt;0)</f>
        <v>0</v>
      </c>
      <c r="AA88" s="14">
        <f t="shared" si="2"/>
        <v>0</v>
      </c>
      <c r="AB88" s="14"/>
      <c r="AC88" s="30">
        <v>0</v>
      </c>
      <c r="AD88" s="37">
        <v>1</v>
      </c>
    </row>
    <row r="89" spans="1:30" x14ac:dyDescent="0.25">
      <c r="A89" s="54">
        <v>405</v>
      </c>
      <c r="B89" s="14" t="s">
        <v>841</v>
      </c>
      <c r="C89" s="14" t="s">
        <v>842</v>
      </c>
      <c r="D89" s="17">
        <v>44127</v>
      </c>
      <c r="E89" s="14" t="s">
        <v>30</v>
      </c>
      <c r="F89" s="14">
        <v>43</v>
      </c>
      <c r="G89" s="14">
        <v>17</v>
      </c>
      <c r="H89" s="14">
        <v>3</v>
      </c>
      <c r="I89" s="14">
        <v>2</v>
      </c>
      <c r="J89" s="14" t="s">
        <v>31</v>
      </c>
      <c r="K89" s="14" cm="1">
        <f t="array" ref="K89">INT(SUMPRODUCT(--ISNUMBER(SEARCH(economy,'David Perdue'!C89)))&gt;0)</f>
        <v>1</v>
      </c>
      <c r="L89" s="14" cm="1">
        <f t="array" ref="L89">INT(SUMPRODUCT(--ISNUMBER(SEARCH(healthcare,'David Perdue'!C89)))&gt;0)</f>
        <v>0</v>
      </c>
      <c r="M89" s="14" cm="1">
        <f t="array" ref="M89">INT(SUMPRODUCT(--ISNUMBER(SEARCH(supreme,'David Perdue'!C89)))&gt;0)</f>
        <v>0</v>
      </c>
      <c r="N89" s="14" cm="1">
        <f t="array" ref="N89">INT(SUMPRODUCT(--ISNUMBER(SEARCH(covid,'David Perdue'!C89)))&gt;0)</f>
        <v>0</v>
      </c>
      <c r="O89" s="14" cm="1">
        <f t="array" ref="O89">INT(SUMPRODUCT(--ISNUMBER(SEARCH(violent,'David Perdue'!C89)))&gt;0)</f>
        <v>0</v>
      </c>
      <c r="P89" s="14" cm="1">
        <f t="array" ref="P89">INT(SUMPRODUCT(--ISNUMBER(SEARCH(foreign,'David Perdue'!C89)))&gt;0)</f>
        <v>0</v>
      </c>
      <c r="Q89" s="14" cm="1">
        <f t="array" ref="Q89">INT(SUMPRODUCT(--ISNUMBER(SEARCH(gun,'David Perdue'!C89)))&gt;0)</f>
        <v>0</v>
      </c>
      <c r="R89" s="14" cm="1">
        <f t="array" ref="R89">INT(SUMPRODUCT(--ISNUMBER(SEARCH(race,'David Perdue'!C89)))&gt;0)</f>
        <v>0</v>
      </c>
      <c r="S89" s="14" cm="1">
        <f t="array" ref="S89">INT(SUMPRODUCT(--ISNUMBER(SEARCH(immigration,C89)))&gt;0)</f>
        <v>0</v>
      </c>
      <c r="T89" s="14" cm="1">
        <f t="array" ref="T89">INT(SUMPRODUCT(--ISNUMBER(SEARCH(econineq,C89)))&gt;0)</f>
        <v>0</v>
      </c>
      <c r="U89" s="14" cm="1">
        <f t="array" ref="U89">INT(SUMPRODUCT(--ISNUMBER(SEARCH(climate,'David Perdue'!C89)))&gt;0)</f>
        <v>0</v>
      </c>
      <c r="V89" s="14" cm="1">
        <f t="array" ref="V89">INT(SUMPRODUCT(--ISNUMBER(SEARCH(abortion,'David Perdue'!C89)))&gt;0)</f>
        <v>0</v>
      </c>
      <c r="W89" s="14" cm="1">
        <f t="array" ref="W89">INT(SUMPRODUCT(--ISNUMBER(SEARCH(trump,'David Perdue'!C89)))&gt;0)</f>
        <v>1</v>
      </c>
      <c r="X89" s="14" cm="1">
        <f t="array" ref="X89">INT(SUMPRODUCT(--ISNUMBER(SEARCH(voting,'David Perdue'!C89)))&gt;0)</f>
        <v>0</v>
      </c>
      <c r="Y89" s="14" cm="1">
        <f t="array" ref="Y89">INT(SUMPRODUCT(--ISNUMBER(SEARCH(republicantrigger,'David Perdue'!C89)))&gt;0)</f>
        <v>1</v>
      </c>
      <c r="Z89" s="14" cm="1">
        <f t="array" ref="Z89">INT(SUMPRODUCT(--ISNUMBER(SEARCH(bipartisan,'David Perdue'!C89)))&gt;0)</f>
        <v>0</v>
      </c>
      <c r="AA89" s="14">
        <f t="shared" si="2"/>
        <v>0</v>
      </c>
      <c r="AB89" s="14"/>
      <c r="AC89" s="30">
        <v>0</v>
      </c>
      <c r="AD89" s="37">
        <v>1</v>
      </c>
    </row>
    <row r="90" spans="1:30" x14ac:dyDescent="0.25">
      <c r="A90" s="54">
        <v>406</v>
      </c>
      <c r="B90" s="14" t="s">
        <v>843</v>
      </c>
      <c r="C90" s="14" t="s">
        <v>844</v>
      </c>
      <c r="D90" s="17">
        <v>44127</v>
      </c>
      <c r="E90" s="14" t="s">
        <v>30</v>
      </c>
      <c r="F90" s="14">
        <v>86</v>
      </c>
      <c r="G90" s="14">
        <v>65</v>
      </c>
      <c r="H90" s="14">
        <v>3</v>
      </c>
      <c r="I90" s="14">
        <v>2</v>
      </c>
      <c r="J90" s="14" t="s">
        <v>31</v>
      </c>
      <c r="K90" s="14" cm="1">
        <f t="array" ref="K90">INT(SUMPRODUCT(--ISNUMBER(SEARCH(economy,'David Perdue'!C90)))&gt;0)</f>
        <v>0</v>
      </c>
      <c r="L90" s="14" cm="1">
        <f t="array" ref="L90">INT(SUMPRODUCT(--ISNUMBER(SEARCH(healthcare,'David Perdue'!C90)))&gt;0)</f>
        <v>0</v>
      </c>
      <c r="M90" s="14" cm="1">
        <f t="array" ref="M90">INT(SUMPRODUCT(--ISNUMBER(SEARCH(supreme,'David Perdue'!C90)))&gt;0)</f>
        <v>0</v>
      </c>
      <c r="N90" s="14" cm="1">
        <f t="array" ref="N90">INT(SUMPRODUCT(--ISNUMBER(SEARCH(covid,'David Perdue'!C90)))&gt;0)</f>
        <v>1</v>
      </c>
      <c r="O90" s="14" cm="1">
        <f t="array" ref="O90">INT(SUMPRODUCT(--ISNUMBER(SEARCH(violent,'David Perdue'!C90)))&gt;0)</f>
        <v>0</v>
      </c>
      <c r="P90" s="14" cm="1">
        <f t="array" ref="P90">INT(SUMPRODUCT(--ISNUMBER(SEARCH(foreign,'David Perdue'!C90)))&gt;0)</f>
        <v>0</v>
      </c>
      <c r="Q90" s="14" cm="1">
        <f t="array" ref="Q90">INT(SUMPRODUCT(--ISNUMBER(SEARCH(gun,'David Perdue'!C90)))&gt;0)</f>
        <v>0</v>
      </c>
      <c r="R90" s="14" cm="1">
        <f t="array" ref="R90">INT(SUMPRODUCT(--ISNUMBER(SEARCH(race,'David Perdue'!C90)))&gt;0)</f>
        <v>0</v>
      </c>
      <c r="S90" s="14" cm="1">
        <f t="array" ref="S90">INT(SUMPRODUCT(--ISNUMBER(SEARCH(immigration,C90)))&gt;0)</f>
        <v>0</v>
      </c>
      <c r="T90" s="14" cm="1">
        <f t="array" ref="T90">INT(SUMPRODUCT(--ISNUMBER(SEARCH(econineq,C90)))&gt;0)</f>
        <v>0</v>
      </c>
      <c r="U90" s="14" cm="1">
        <f t="array" ref="U90">INT(SUMPRODUCT(--ISNUMBER(SEARCH(climate,'David Perdue'!C90)))&gt;0)</f>
        <v>0</v>
      </c>
      <c r="V90" s="14" cm="1">
        <f t="array" ref="V90">INT(SUMPRODUCT(--ISNUMBER(SEARCH(abortion,'David Perdue'!C90)))&gt;0)</f>
        <v>0</v>
      </c>
      <c r="W90" s="14" cm="1">
        <f t="array" ref="W90">INT(SUMPRODUCT(--ISNUMBER(SEARCH(trump,'David Perdue'!C90)))&gt;0)</f>
        <v>0</v>
      </c>
      <c r="X90" s="14" cm="1">
        <f t="array" ref="X90">INT(SUMPRODUCT(--ISNUMBER(SEARCH(voting,'David Perdue'!C90)))&gt;0)</f>
        <v>0</v>
      </c>
      <c r="Y90" s="14" cm="1">
        <f t="array" ref="Y90">INT(SUMPRODUCT(--ISNUMBER(SEARCH(republicantrigger,'David Perdue'!C90)))&gt;0)</f>
        <v>1</v>
      </c>
      <c r="Z90" s="14" cm="1">
        <f t="array" ref="Z90">INT(SUMPRODUCT(--ISNUMBER(SEARCH(bipartisan,'David Perdue'!C90)))&gt;0)</f>
        <v>0</v>
      </c>
      <c r="AA90" s="14">
        <f t="shared" si="2"/>
        <v>0</v>
      </c>
      <c r="AB90" s="14"/>
      <c r="AC90" s="30">
        <v>0</v>
      </c>
      <c r="AD90" s="37">
        <v>1</v>
      </c>
    </row>
    <row r="91" spans="1:30" x14ac:dyDescent="0.25">
      <c r="A91" s="54">
        <v>407</v>
      </c>
      <c r="B91" s="14" t="s">
        <v>845</v>
      </c>
      <c r="C91" s="14" t="s">
        <v>846</v>
      </c>
      <c r="D91" s="17">
        <v>44127</v>
      </c>
      <c r="E91" s="14" t="s">
        <v>30</v>
      </c>
      <c r="F91" s="14">
        <v>27</v>
      </c>
      <c r="G91" s="14">
        <v>11</v>
      </c>
      <c r="H91" s="14">
        <v>3</v>
      </c>
      <c r="I91" s="14">
        <v>2</v>
      </c>
      <c r="J91" s="14" t="s">
        <v>31</v>
      </c>
      <c r="K91" s="14" cm="1">
        <f t="array" ref="K91">INT(SUMPRODUCT(--ISNUMBER(SEARCH(economy,'David Perdue'!C91)))&gt;0)</f>
        <v>1</v>
      </c>
      <c r="L91" s="14" cm="1">
        <f t="array" ref="L91">INT(SUMPRODUCT(--ISNUMBER(SEARCH(healthcare,'David Perdue'!C91)))&gt;0)</f>
        <v>0</v>
      </c>
      <c r="M91" s="14" cm="1">
        <f t="array" ref="M91">INT(SUMPRODUCT(--ISNUMBER(SEARCH(supreme,'David Perdue'!C91)))&gt;0)</f>
        <v>0</v>
      </c>
      <c r="N91" s="14" cm="1">
        <f t="array" ref="N91">INT(SUMPRODUCT(--ISNUMBER(SEARCH(covid,'David Perdue'!C91)))&gt;0)</f>
        <v>1</v>
      </c>
      <c r="O91" s="14" cm="1">
        <f t="array" ref="O91">INT(SUMPRODUCT(--ISNUMBER(SEARCH(violent,'David Perdue'!C91)))&gt;0)</f>
        <v>0</v>
      </c>
      <c r="P91" s="14" cm="1">
        <f t="array" ref="P91">INT(SUMPRODUCT(--ISNUMBER(SEARCH(foreign,'David Perdue'!C91)))&gt;0)</f>
        <v>0</v>
      </c>
      <c r="Q91" s="14" cm="1">
        <f t="array" ref="Q91">INT(SUMPRODUCT(--ISNUMBER(SEARCH(gun,'David Perdue'!C91)))&gt;0)</f>
        <v>0</v>
      </c>
      <c r="R91" s="14" cm="1">
        <f t="array" ref="R91">INT(SUMPRODUCT(--ISNUMBER(SEARCH(race,'David Perdue'!C91)))&gt;0)</f>
        <v>0</v>
      </c>
      <c r="S91" s="14" cm="1">
        <f t="array" ref="S91">INT(SUMPRODUCT(--ISNUMBER(SEARCH(immigration,C91)))&gt;0)</f>
        <v>0</v>
      </c>
      <c r="T91" s="14" cm="1">
        <f t="array" ref="T91">INT(SUMPRODUCT(--ISNUMBER(SEARCH(econineq,C91)))&gt;0)</f>
        <v>0</v>
      </c>
      <c r="U91" s="14" cm="1">
        <f t="array" ref="U91">INT(SUMPRODUCT(--ISNUMBER(SEARCH(climate,'David Perdue'!C91)))&gt;0)</f>
        <v>0</v>
      </c>
      <c r="V91" s="14" cm="1">
        <f t="array" ref="V91">INT(SUMPRODUCT(--ISNUMBER(SEARCH(abortion,'David Perdue'!C91)))&gt;0)</f>
        <v>0</v>
      </c>
      <c r="W91" s="14" cm="1">
        <f t="array" ref="W91">INT(SUMPRODUCT(--ISNUMBER(SEARCH(trump,'David Perdue'!C91)))&gt;0)</f>
        <v>1</v>
      </c>
      <c r="X91" s="14" cm="1">
        <f t="array" ref="X91">INT(SUMPRODUCT(--ISNUMBER(SEARCH(voting,'David Perdue'!C91)))&gt;0)</f>
        <v>0</v>
      </c>
      <c r="Y91" s="14" cm="1">
        <f t="array" ref="Y91">INT(SUMPRODUCT(--ISNUMBER(SEARCH(republicantrigger,'David Perdue'!C91)))&gt;0)</f>
        <v>1</v>
      </c>
      <c r="Z91" s="14" cm="1">
        <f t="array" ref="Z91">INT(SUMPRODUCT(--ISNUMBER(SEARCH(bipartisan,'David Perdue'!C91)))&gt;0)</f>
        <v>0</v>
      </c>
      <c r="AA91" s="14">
        <f t="shared" si="2"/>
        <v>0</v>
      </c>
      <c r="AB91" s="14"/>
      <c r="AC91" s="30" t="s">
        <v>223</v>
      </c>
      <c r="AD91" s="37" t="s">
        <v>223</v>
      </c>
    </row>
    <row r="92" spans="1:30" x14ac:dyDescent="0.25">
      <c r="A92" s="54">
        <v>408</v>
      </c>
      <c r="B92" s="14" t="s">
        <v>847</v>
      </c>
      <c r="C92" s="14" t="s">
        <v>848</v>
      </c>
      <c r="D92" s="17">
        <v>44126</v>
      </c>
      <c r="E92" s="14" t="s">
        <v>30</v>
      </c>
      <c r="F92" s="14">
        <v>43</v>
      </c>
      <c r="G92" s="14">
        <v>24</v>
      </c>
      <c r="H92" s="14">
        <v>3</v>
      </c>
      <c r="I92" s="14">
        <v>2</v>
      </c>
      <c r="J92" s="14" t="s">
        <v>31</v>
      </c>
      <c r="K92" s="14" cm="1">
        <f t="array" ref="K92">INT(SUMPRODUCT(--ISNUMBER(SEARCH(economy,'David Perdue'!C92)))&gt;0)</f>
        <v>0</v>
      </c>
      <c r="L92" s="14" cm="1">
        <f t="array" ref="L92">INT(SUMPRODUCT(--ISNUMBER(SEARCH(healthcare,'David Perdue'!C92)))&gt;0)</f>
        <v>0</v>
      </c>
      <c r="M92" s="14" cm="1">
        <f t="array" ref="M92">INT(SUMPRODUCT(--ISNUMBER(SEARCH(supreme,'David Perdue'!C92)))&gt;0)</f>
        <v>0</v>
      </c>
      <c r="N92" s="14" cm="1">
        <f t="array" ref="N92">INT(SUMPRODUCT(--ISNUMBER(SEARCH(covid,'David Perdue'!C92)))&gt;0)</f>
        <v>0</v>
      </c>
      <c r="O92" s="14" cm="1">
        <f t="array" ref="O92">INT(SUMPRODUCT(--ISNUMBER(SEARCH(violent,'David Perdue'!C92)))&gt;0)</f>
        <v>0</v>
      </c>
      <c r="P92" s="14" cm="1">
        <f t="array" ref="P92">INT(SUMPRODUCT(--ISNUMBER(SEARCH(foreign,'David Perdue'!C92)))&gt;0)</f>
        <v>0</v>
      </c>
      <c r="Q92" s="14" cm="1">
        <f t="array" ref="Q92">INT(SUMPRODUCT(--ISNUMBER(SEARCH(gun,'David Perdue'!C92)))&gt;0)</f>
        <v>0</v>
      </c>
      <c r="R92" s="14" cm="1">
        <f t="array" ref="R92">INT(SUMPRODUCT(--ISNUMBER(SEARCH(race,'David Perdue'!C92)))&gt;0)</f>
        <v>0</v>
      </c>
      <c r="S92" s="14" cm="1">
        <f t="array" ref="S92">INT(SUMPRODUCT(--ISNUMBER(SEARCH(immigration,C92)))&gt;0)</f>
        <v>0</v>
      </c>
      <c r="T92" s="14" cm="1">
        <f t="array" ref="T92">INT(SUMPRODUCT(--ISNUMBER(SEARCH(econineq,C92)))&gt;0)</f>
        <v>0</v>
      </c>
      <c r="U92" s="14" cm="1">
        <f t="array" ref="U92">INT(SUMPRODUCT(--ISNUMBER(SEARCH(climate,'David Perdue'!C92)))&gt;0)</f>
        <v>0</v>
      </c>
      <c r="V92" s="14" cm="1">
        <f t="array" ref="V92">INT(SUMPRODUCT(--ISNUMBER(SEARCH(abortion,'David Perdue'!C92)))&gt;0)</f>
        <v>0</v>
      </c>
      <c r="W92" s="14" cm="1">
        <f t="array" ref="W92">INT(SUMPRODUCT(--ISNUMBER(SEARCH(trump,'David Perdue'!C92)))&gt;0)</f>
        <v>0</v>
      </c>
      <c r="X92" s="14" cm="1">
        <f t="array" ref="X92">INT(SUMPRODUCT(--ISNUMBER(SEARCH(voting,'David Perdue'!C92)))&gt;0)</f>
        <v>1</v>
      </c>
      <c r="Y92" s="14" cm="1">
        <f t="array" ref="Y92">INT(SUMPRODUCT(--ISNUMBER(SEARCH(republicantrigger,'David Perdue'!C92)))&gt;0)</f>
        <v>1</v>
      </c>
      <c r="Z92" s="14" cm="1">
        <f t="array" ref="Z92">INT(SUMPRODUCT(--ISNUMBER(SEARCH(bipartisan,'David Perdue'!C92)))&gt;0)</f>
        <v>0</v>
      </c>
      <c r="AA92" s="14">
        <f t="shared" si="2"/>
        <v>0</v>
      </c>
      <c r="AB92" s="14"/>
      <c r="AC92" s="30" t="s">
        <v>223</v>
      </c>
      <c r="AD92" s="37" t="s">
        <v>223</v>
      </c>
    </row>
    <row r="93" spans="1:30" x14ac:dyDescent="0.25">
      <c r="A93" s="54">
        <v>409</v>
      </c>
      <c r="B93" s="14" t="s">
        <v>849</v>
      </c>
      <c r="C93" s="14" t="s">
        <v>850</v>
      </c>
      <c r="D93" s="17">
        <v>44126</v>
      </c>
      <c r="E93" s="14" t="s">
        <v>30</v>
      </c>
      <c r="F93" s="14">
        <v>31</v>
      </c>
      <c r="G93" s="14">
        <v>9</v>
      </c>
      <c r="H93" s="14">
        <v>3</v>
      </c>
      <c r="I93" s="14">
        <v>2</v>
      </c>
      <c r="J93" s="14" t="s">
        <v>31</v>
      </c>
      <c r="K93" s="14" cm="1">
        <f t="array" ref="K93">INT(SUMPRODUCT(--ISNUMBER(SEARCH(economy,'David Perdue'!C93)))&gt;0)</f>
        <v>0</v>
      </c>
      <c r="L93" s="14" cm="1">
        <f t="array" ref="L93">INT(SUMPRODUCT(--ISNUMBER(SEARCH(healthcare,'David Perdue'!C93)))&gt;0)</f>
        <v>0</v>
      </c>
      <c r="M93" s="14" cm="1">
        <f t="array" ref="M93">INT(SUMPRODUCT(--ISNUMBER(SEARCH(supreme,'David Perdue'!C93)))&gt;0)</f>
        <v>1</v>
      </c>
      <c r="N93" s="14" cm="1">
        <f t="array" ref="N93">INT(SUMPRODUCT(--ISNUMBER(SEARCH(covid,'David Perdue'!C93)))&gt;0)</f>
        <v>0</v>
      </c>
      <c r="O93" s="14" cm="1">
        <f t="array" ref="O93">INT(SUMPRODUCT(--ISNUMBER(SEARCH(violent,'David Perdue'!C93)))&gt;0)</f>
        <v>0</v>
      </c>
      <c r="P93" s="14" cm="1">
        <f t="array" ref="P93">INT(SUMPRODUCT(--ISNUMBER(SEARCH(foreign,'David Perdue'!C93)))&gt;0)</f>
        <v>0</v>
      </c>
      <c r="Q93" s="14" cm="1">
        <f t="array" ref="Q93">INT(SUMPRODUCT(--ISNUMBER(SEARCH(gun,'David Perdue'!C93)))&gt;0)</f>
        <v>0</v>
      </c>
      <c r="R93" s="14" cm="1">
        <f t="array" ref="R93">INT(SUMPRODUCT(--ISNUMBER(SEARCH(race,'David Perdue'!C93)))&gt;0)</f>
        <v>0</v>
      </c>
      <c r="S93" s="14" cm="1">
        <f t="array" ref="S93">INT(SUMPRODUCT(--ISNUMBER(SEARCH(immigration,C93)))&gt;0)</f>
        <v>0</v>
      </c>
      <c r="T93" s="14" cm="1">
        <f t="array" ref="T93">INT(SUMPRODUCT(--ISNUMBER(SEARCH(econineq,C93)))&gt;0)</f>
        <v>0</v>
      </c>
      <c r="U93" s="14" cm="1">
        <f t="array" ref="U93">INT(SUMPRODUCT(--ISNUMBER(SEARCH(climate,'David Perdue'!C93)))&gt;0)</f>
        <v>0</v>
      </c>
      <c r="V93" s="14" cm="1">
        <f t="array" ref="V93">INT(SUMPRODUCT(--ISNUMBER(SEARCH(abortion,'David Perdue'!C93)))&gt;0)</f>
        <v>0</v>
      </c>
      <c r="W93" s="14" cm="1">
        <f t="array" ref="W93">INT(SUMPRODUCT(--ISNUMBER(SEARCH(trump,'David Perdue'!C93)))&gt;0)</f>
        <v>0</v>
      </c>
      <c r="X93" s="14" cm="1">
        <f t="array" ref="X93">INT(SUMPRODUCT(--ISNUMBER(SEARCH(voting,'David Perdue'!C93)))&gt;0)</f>
        <v>0</v>
      </c>
      <c r="Y93" s="14" cm="1">
        <f t="array" ref="Y93">INT(SUMPRODUCT(--ISNUMBER(SEARCH(republicantrigger,'David Perdue'!C93)))&gt;0)</f>
        <v>0</v>
      </c>
      <c r="Z93" s="14" cm="1">
        <f t="array" ref="Z93">INT(SUMPRODUCT(--ISNUMBER(SEARCH(bipartisan,'David Perdue'!C93)))&gt;0)</f>
        <v>0</v>
      </c>
      <c r="AA93" s="14">
        <f t="shared" si="2"/>
        <v>0</v>
      </c>
      <c r="AB93" s="14"/>
      <c r="AC93" s="30">
        <v>1</v>
      </c>
      <c r="AD93" s="37">
        <v>0</v>
      </c>
    </row>
    <row r="94" spans="1:30" x14ac:dyDescent="0.25">
      <c r="A94" s="54">
        <v>410</v>
      </c>
      <c r="B94" s="14" t="s">
        <v>851</v>
      </c>
      <c r="C94" s="14" t="s">
        <v>852</v>
      </c>
      <c r="D94" s="17">
        <v>44126</v>
      </c>
      <c r="E94" s="14" t="s">
        <v>30</v>
      </c>
      <c r="F94" s="14">
        <v>29</v>
      </c>
      <c r="G94" s="14">
        <v>10</v>
      </c>
      <c r="H94" s="14">
        <v>3</v>
      </c>
      <c r="I94" s="14">
        <v>2</v>
      </c>
      <c r="J94" s="14" t="s">
        <v>31</v>
      </c>
      <c r="K94" s="14" cm="1">
        <f t="array" ref="K94">INT(SUMPRODUCT(--ISNUMBER(SEARCH(economy,'David Perdue'!C94)))&gt;0)</f>
        <v>1</v>
      </c>
      <c r="L94" s="14" cm="1">
        <f t="array" ref="L94">INT(SUMPRODUCT(--ISNUMBER(SEARCH(healthcare,'David Perdue'!C94)))&gt;0)</f>
        <v>0</v>
      </c>
      <c r="M94" s="14" cm="1">
        <f t="array" ref="M94">INT(SUMPRODUCT(--ISNUMBER(SEARCH(supreme,'David Perdue'!C94)))&gt;0)</f>
        <v>0</v>
      </c>
      <c r="N94" s="14" cm="1">
        <f t="array" ref="N94">INT(SUMPRODUCT(--ISNUMBER(SEARCH(covid,'David Perdue'!C94)))&gt;0)</f>
        <v>0</v>
      </c>
      <c r="O94" s="14" cm="1">
        <f t="array" ref="O94">INT(SUMPRODUCT(--ISNUMBER(SEARCH(violent,'David Perdue'!C94)))&gt;0)</f>
        <v>0</v>
      </c>
      <c r="P94" s="14" cm="1">
        <f t="array" ref="P94">INT(SUMPRODUCT(--ISNUMBER(SEARCH(foreign,'David Perdue'!C94)))&gt;0)</f>
        <v>0</v>
      </c>
      <c r="Q94" s="14" cm="1">
        <f t="array" ref="Q94">INT(SUMPRODUCT(--ISNUMBER(SEARCH(gun,'David Perdue'!C94)))&gt;0)</f>
        <v>0</v>
      </c>
      <c r="R94" s="14" cm="1">
        <f t="array" ref="R94">INT(SUMPRODUCT(--ISNUMBER(SEARCH(race,'David Perdue'!C94)))&gt;0)</f>
        <v>0</v>
      </c>
      <c r="S94" s="14" cm="1">
        <f t="array" ref="S94">INT(SUMPRODUCT(--ISNUMBER(SEARCH(immigration,C94)))&gt;0)</f>
        <v>0</v>
      </c>
      <c r="T94" s="14" cm="1">
        <f t="array" ref="T94">INT(SUMPRODUCT(--ISNUMBER(SEARCH(econineq,C94)))&gt;0)</f>
        <v>0</v>
      </c>
      <c r="U94" s="14" cm="1">
        <f t="array" ref="U94">INT(SUMPRODUCT(--ISNUMBER(SEARCH(climate,'David Perdue'!C94)))&gt;0)</f>
        <v>0</v>
      </c>
      <c r="V94" s="14" cm="1">
        <f t="array" ref="V94">INT(SUMPRODUCT(--ISNUMBER(SEARCH(abortion,'David Perdue'!C94)))&gt;0)</f>
        <v>0</v>
      </c>
      <c r="W94" s="14" cm="1">
        <f t="array" ref="W94">INT(SUMPRODUCT(--ISNUMBER(SEARCH(trump,'David Perdue'!C94)))&gt;0)</f>
        <v>0</v>
      </c>
      <c r="X94" s="14" cm="1">
        <f t="array" ref="X94">INT(SUMPRODUCT(--ISNUMBER(SEARCH(voting,'David Perdue'!C94)))&gt;0)</f>
        <v>0</v>
      </c>
      <c r="Y94" s="14" cm="1">
        <f t="array" ref="Y94">INT(SUMPRODUCT(--ISNUMBER(SEARCH(republicantrigger,'David Perdue'!C94)))&gt;0)</f>
        <v>0</v>
      </c>
      <c r="Z94" s="14" cm="1">
        <f t="array" ref="Z94">INT(SUMPRODUCT(--ISNUMBER(SEARCH(bipartisan,'David Perdue'!C94)))&gt;0)</f>
        <v>0</v>
      </c>
      <c r="AA94" s="14">
        <f t="shared" si="2"/>
        <v>0</v>
      </c>
      <c r="AB94" s="14"/>
      <c r="AC94" s="30">
        <v>1</v>
      </c>
      <c r="AD94" s="37">
        <v>0</v>
      </c>
    </row>
    <row r="95" spans="1:30" x14ac:dyDescent="0.25">
      <c r="A95" s="54">
        <v>411</v>
      </c>
      <c r="B95" s="14" t="s">
        <v>853</v>
      </c>
      <c r="C95" s="14" t="s">
        <v>854</v>
      </c>
      <c r="D95" s="17">
        <v>44126</v>
      </c>
      <c r="E95" s="14" t="s">
        <v>30</v>
      </c>
      <c r="F95" s="14">
        <v>16</v>
      </c>
      <c r="G95" s="14">
        <v>7</v>
      </c>
      <c r="H95" s="14">
        <v>3</v>
      </c>
      <c r="I95" s="14">
        <v>2</v>
      </c>
      <c r="J95" s="14" t="s">
        <v>31</v>
      </c>
      <c r="K95" s="14" cm="1">
        <f t="array" ref="K95">INT(SUMPRODUCT(--ISNUMBER(SEARCH(economy,'David Perdue'!C95)))&gt;0)</f>
        <v>1</v>
      </c>
      <c r="L95" s="14" cm="1">
        <f t="array" ref="L95">INT(SUMPRODUCT(--ISNUMBER(SEARCH(healthcare,'David Perdue'!C95)))&gt;0)</f>
        <v>0</v>
      </c>
      <c r="M95" s="14" cm="1">
        <f t="array" ref="M95">INT(SUMPRODUCT(--ISNUMBER(SEARCH(supreme,'David Perdue'!C95)))&gt;0)</f>
        <v>0</v>
      </c>
      <c r="N95" s="14" cm="1">
        <f t="array" ref="N95">INT(SUMPRODUCT(--ISNUMBER(SEARCH(covid,'David Perdue'!C95)))&gt;0)</f>
        <v>0</v>
      </c>
      <c r="O95" s="14" cm="1">
        <f t="array" ref="O95">INT(SUMPRODUCT(--ISNUMBER(SEARCH(violent,'David Perdue'!C95)))&gt;0)</f>
        <v>0</v>
      </c>
      <c r="P95" s="14" cm="1">
        <f t="array" ref="P95">INT(SUMPRODUCT(--ISNUMBER(SEARCH(foreign,'David Perdue'!C95)))&gt;0)</f>
        <v>0</v>
      </c>
      <c r="Q95" s="14" cm="1">
        <f t="array" ref="Q95">INT(SUMPRODUCT(--ISNUMBER(SEARCH(gun,'David Perdue'!C95)))&gt;0)</f>
        <v>0</v>
      </c>
      <c r="R95" s="14" cm="1">
        <f t="array" ref="R95">INT(SUMPRODUCT(--ISNUMBER(SEARCH(race,'David Perdue'!C95)))&gt;0)</f>
        <v>0</v>
      </c>
      <c r="S95" s="14" cm="1">
        <f t="array" ref="S95">INT(SUMPRODUCT(--ISNUMBER(SEARCH(immigration,C95)))&gt;0)</f>
        <v>0</v>
      </c>
      <c r="T95" s="14" cm="1">
        <f t="array" ref="T95">INT(SUMPRODUCT(--ISNUMBER(SEARCH(econineq,C95)))&gt;0)</f>
        <v>0</v>
      </c>
      <c r="U95" s="14" cm="1">
        <f t="array" ref="U95">INT(SUMPRODUCT(--ISNUMBER(SEARCH(climate,'David Perdue'!C95)))&gt;0)</f>
        <v>0</v>
      </c>
      <c r="V95" s="14" cm="1">
        <f t="array" ref="V95">INT(SUMPRODUCT(--ISNUMBER(SEARCH(abortion,'David Perdue'!C95)))&gt;0)</f>
        <v>0</v>
      </c>
      <c r="W95" s="14" cm="1">
        <f t="array" ref="W95">INT(SUMPRODUCT(--ISNUMBER(SEARCH(trump,'David Perdue'!C95)))&gt;0)</f>
        <v>1</v>
      </c>
      <c r="X95" s="14" cm="1">
        <f t="array" ref="X95">INT(SUMPRODUCT(--ISNUMBER(SEARCH(voting,'David Perdue'!C95)))&gt;0)</f>
        <v>0</v>
      </c>
      <c r="Y95" s="14" cm="1">
        <f t="array" ref="Y95">INT(SUMPRODUCT(--ISNUMBER(SEARCH(republicantrigger,'David Perdue'!C95)))&gt;0)</f>
        <v>0</v>
      </c>
      <c r="Z95" s="14" cm="1">
        <f t="array" ref="Z95">INT(SUMPRODUCT(--ISNUMBER(SEARCH(bipartisan,'David Perdue'!C95)))&gt;0)</f>
        <v>0</v>
      </c>
      <c r="AA95" s="14">
        <f t="shared" si="2"/>
        <v>0</v>
      </c>
      <c r="AB95" s="14"/>
      <c r="AC95" s="30" t="s">
        <v>223</v>
      </c>
      <c r="AD95" s="37" t="s">
        <v>223</v>
      </c>
    </row>
    <row r="96" spans="1:30" x14ac:dyDescent="0.25">
      <c r="A96" s="54">
        <v>412</v>
      </c>
      <c r="B96" s="14" t="s">
        <v>855</v>
      </c>
      <c r="C96" s="14" t="s">
        <v>856</v>
      </c>
      <c r="D96" s="17">
        <v>44126</v>
      </c>
      <c r="E96" s="14" t="s">
        <v>30</v>
      </c>
      <c r="F96" s="14">
        <v>28</v>
      </c>
      <c r="G96" s="14">
        <v>7</v>
      </c>
      <c r="H96" s="14">
        <v>3</v>
      </c>
      <c r="I96" s="14">
        <v>2</v>
      </c>
      <c r="J96" s="14" t="s">
        <v>31</v>
      </c>
      <c r="K96" s="14" cm="1">
        <f t="array" ref="K96">INT(SUMPRODUCT(--ISNUMBER(SEARCH(economy,'David Perdue'!C96)))&gt;0)</f>
        <v>0</v>
      </c>
      <c r="L96" s="14" cm="1">
        <f t="array" ref="L96">INT(SUMPRODUCT(--ISNUMBER(SEARCH(healthcare,'David Perdue'!C96)))&gt;0)</f>
        <v>0</v>
      </c>
      <c r="M96" s="14" cm="1">
        <f t="array" ref="M96">INT(SUMPRODUCT(--ISNUMBER(SEARCH(supreme,'David Perdue'!C96)))&gt;0)</f>
        <v>0</v>
      </c>
      <c r="N96" s="14" cm="1">
        <f t="array" ref="N96">INT(SUMPRODUCT(--ISNUMBER(SEARCH(covid,'David Perdue'!C96)))&gt;0)</f>
        <v>0</v>
      </c>
      <c r="O96" s="14" cm="1">
        <f t="array" ref="O96">INT(SUMPRODUCT(--ISNUMBER(SEARCH(violent,'David Perdue'!C96)))&gt;0)</f>
        <v>0</v>
      </c>
      <c r="P96" s="14" cm="1">
        <f t="array" ref="P96">INT(SUMPRODUCT(--ISNUMBER(SEARCH(foreign,'David Perdue'!C96)))&gt;0)</f>
        <v>0</v>
      </c>
      <c r="Q96" s="14" cm="1">
        <f t="array" ref="Q96">INT(SUMPRODUCT(--ISNUMBER(SEARCH(gun,'David Perdue'!C96)))&gt;0)</f>
        <v>0</v>
      </c>
      <c r="R96" s="14" cm="1">
        <f t="array" ref="R96">INT(SUMPRODUCT(--ISNUMBER(SEARCH(race,'David Perdue'!C96)))&gt;0)</f>
        <v>0</v>
      </c>
      <c r="S96" s="14" cm="1">
        <f t="array" ref="S96">INT(SUMPRODUCT(--ISNUMBER(SEARCH(immigration,C96)))&gt;0)</f>
        <v>0</v>
      </c>
      <c r="T96" s="14" cm="1">
        <f t="array" ref="T96">INT(SUMPRODUCT(--ISNUMBER(SEARCH(econineq,C96)))&gt;0)</f>
        <v>0</v>
      </c>
      <c r="U96" s="14" cm="1">
        <f t="array" ref="U96">INT(SUMPRODUCT(--ISNUMBER(SEARCH(climate,'David Perdue'!C96)))&gt;0)</f>
        <v>0</v>
      </c>
      <c r="V96" s="14" cm="1">
        <f t="array" ref="V96">INT(SUMPRODUCT(--ISNUMBER(SEARCH(abortion,'David Perdue'!C96)))&gt;0)</f>
        <v>0</v>
      </c>
      <c r="W96" s="14" cm="1">
        <f t="array" ref="W96">INT(SUMPRODUCT(--ISNUMBER(SEARCH(trump,'David Perdue'!C96)))&gt;0)</f>
        <v>0</v>
      </c>
      <c r="X96" s="14" cm="1">
        <f t="array" ref="X96">INT(SUMPRODUCT(--ISNUMBER(SEARCH(voting,'David Perdue'!C96)))&gt;0)</f>
        <v>0</v>
      </c>
      <c r="Y96" s="14" cm="1">
        <f t="array" ref="Y96">INT(SUMPRODUCT(--ISNUMBER(SEARCH(republicantrigger,'David Perdue'!C96)))&gt;0)</f>
        <v>0</v>
      </c>
      <c r="Z96" s="14" cm="1">
        <f t="array" ref="Z96">INT(SUMPRODUCT(--ISNUMBER(SEARCH(bipartisan,'David Perdue'!C96)))&gt;0)</f>
        <v>0</v>
      </c>
      <c r="AA96" s="14">
        <f t="shared" si="2"/>
        <v>1</v>
      </c>
      <c r="AB96" s="14"/>
      <c r="AC96" s="30">
        <v>1</v>
      </c>
      <c r="AD96" s="37">
        <v>0</v>
      </c>
    </row>
    <row r="97" spans="1:30" x14ac:dyDescent="0.25">
      <c r="A97" s="54">
        <v>413</v>
      </c>
      <c r="B97" s="14" t="s">
        <v>857</v>
      </c>
      <c r="C97" s="14" t="s">
        <v>858</v>
      </c>
      <c r="D97" s="17">
        <v>44126</v>
      </c>
      <c r="E97" s="14" t="s">
        <v>30</v>
      </c>
      <c r="F97" s="14">
        <v>40</v>
      </c>
      <c r="G97" s="14">
        <v>17</v>
      </c>
      <c r="H97" s="14">
        <v>3</v>
      </c>
      <c r="I97" s="14">
        <v>2</v>
      </c>
      <c r="J97" s="14" t="s">
        <v>31</v>
      </c>
      <c r="K97" s="14" cm="1">
        <f t="array" ref="K97">INT(SUMPRODUCT(--ISNUMBER(SEARCH(economy,'David Perdue'!C97)))&gt;0)</f>
        <v>0</v>
      </c>
      <c r="L97" s="14" cm="1">
        <f t="array" ref="L97">INT(SUMPRODUCT(--ISNUMBER(SEARCH(healthcare,'David Perdue'!C97)))&gt;0)</f>
        <v>0</v>
      </c>
      <c r="M97" s="14" cm="1">
        <f t="array" ref="M97">INT(SUMPRODUCT(--ISNUMBER(SEARCH(supreme,'David Perdue'!C97)))&gt;0)</f>
        <v>0</v>
      </c>
      <c r="N97" s="14" cm="1">
        <f t="array" ref="N97">INT(SUMPRODUCT(--ISNUMBER(SEARCH(covid,'David Perdue'!C97)))&gt;0)</f>
        <v>1</v>
      </c>
      <c r="O97" s="14" cm="1">
        <f t="array" ref="O97">INT(SUMPRODUCT(--ISNUMBER(SEARCH(violent,'David Perdue'!C97)))&gt;0)</f>
        <v>0</v>
      </c>
      <c r="P97" s="14" cm="1">
        <f t="array" ref="P97">INT(SUMPRODUCT(--ISNUMBER(SEARCH(foreign,'David Perdue'!C97)))&gt;0)</f>
        <v>0</v>
      </c>
      <c r="Q97" s="14" cm="1">
        <f t="array" ref="Q97">INT(SUMPRODUCT(--ISNUMBER(SEARCH(gun,'David Perdue'!C97)))&gt;0)</f>
        <v>0</v>
      </c>
      <c r="R97" s="14" cm="1">
        <f t="array" ref="R97">INT(SUMPRODUCT(--ISNUMBER(SEARCH(race,'David Perdue'!C97)))&gt;0)</f>
        <v>0</v>
      </c>
      <c r="S97" s="14" cm="1">
        <f t="array" ref="S97">INT(SUMPRODUCT(--ISNUMBER(SEARCH(immigration,C97)))&gt;0)</f>
        <v>0</v>
      </c>
      <c r="T97" s="14" cm="1">
        <f t="array" ref="T97">INT(SUMPRODUCT(--ISNUMBER(SEARCH(econineq,C97)))&gt;0)</f>
        <v>0</v>
      </c>
      <c r="U97" s="14" cm="1">
        <f t="array" ref="U97">INT(SUMPRODUCT(--ISNUMBER(SEARCH(climate,'David Perdue'!C97)))&gt;0)</f>
        <v>0</v>
      </c>
      <c r="V97" s="14" cm="1">
        <f t="array" ref="V97">INT(SUMPRODUCT(--ISNUMBER(SEARCH(abortion,'David Perdue'!C97)))&gt;0)</f>
        <v>0</v>
      </c>
      <c r="W97" s="14" cm="1">
        <f t="array" ref="W97">INT(SUMPRODUCT(--ISNUMBER(SEARCH(trump,'David Perdue'!C97)))&gt;0)</f>
        <v>0</v>
      </c>
      <c r="X97" s="14" cm="1">
        <f t="array" ref="X97">INT(SUMPRODUCT(--ISNUMBER(SEARCH(voting,'David Perdue'!C97)))&gt;0)</f>
        <v>0</v>
      </c>
      <c r="Y97" s="14" cm="1">
        <f t="array" ref="Y97">INT(SUMPRODUCT(--ISNUMBER(SEARCH(republicantrigger,'David Perdue'!C97)))&gt;0)</f>
        <v>1</v>
      </c>
      <c r="Z97" s="14" cm="1">
        <f t="array" ref="Z97">INT(SUMPRODUCT(--ISNUMBER(SEARCH(bipartisan,'David Perdue'!C97)))&gt;0)</f>
        <v>1</v>
      </c>
      <c r="AA97" s="14">
        <f t="shared" si="2"/>
        <v>0</v>
      </c>
      <c r="AB97" s="14"/>
      <c r="AC97" s="30">
        <v>0</v>
      </c>
      <c r="AD97" s="37">
        <v>1</v>
      </c>
    </row>
    <row r="98" spans="1:30" x14ac:dyDescent="0.25">
      <c r="A98" s="54">
        <v>414</v>
      </c>
      <c r="B98" s="14" t="s">
        <v>859</v>
      </c>
      <c r="C98" s="14" t="s">
        <v>860</v>
      </c>
      <c r="D98" s="17">
        <v>44126</v>
      </c>
      <c r="E98" s="14" t="s">
        <v>30</v>
      </c>
      <c r="F98" s="14">
        <v>33</v>
      </c>
      <c r="G98" s="14">
        <v>8</v>
      </c>
      <c r="H98" s="14">
        <v>3</v>
      </c>
      <c r="I98" s="14">
        <v>2</v>
      </c>
      <c r="J98" s="14" t="s">
        <v>31</v>
      </c>
      <c r="K98" s="14" cm="1">
        <f t="array" ref="K98">INT(SUMPRODUCT(--ISNUMBER(SEARCH(economy,'David Perdue'!C98)))&gt;0)</f>
        <v>0</v>
      </c>
      <c r="L98" s="14" cm="1">
        <f t="array" ref="L98">INT(SUMPRODUCT(--ISNUMBER(SEARCH(healthcare,'David Perdue'!C98)))&gt;0)</f>
        <v>0</v>
      </c>
      <c r="M98" s="14" cm="1">
        <f t="array" ref="M98">INT(SUMPRODUCT(--ISNUMBER(SEARCH(supreme,'David Perdue'!C98)))&gt;0)</f>
        <v>0</v>
      </c>
      <c r="N98" s="14" cm="1">
        <f t="array" ref="N98">INT(SUMPRODUCT(--ISNUMBER(SEARCH(covid,'David Perdue'!C98)))&gt;0)</f>
        <v>0</v>
      </c>
      <c r="O98" s="14" cm="1">
        <f t="array" ref="O98">INT(SUMPRODUCT(--ISNUMBER(SEARCH(violent,'David Perdue'!C98)))&gt;0)</f>
        <v>0</v>
      </c>
      <c r="P98" s="14" cm="1">
        <f t="array" ref="P98">INT(SUMPRODUCT(--ISNUMBER(SEARCH(foreign,'David Perdue'!C98)))&gt;0)</f>
        <v>0</v>
      </c>
      <c r="Q98" s="14" cm="1">
        <f t="array" ref="Q98">INT(SUMPRODUCT(--ISNUMBER(SEARCH(gun,'David Perdue'!C98)))&gt;0)</f>
        <v>0</v>
      </c>
      <c r="R98" s="14" cm="1">
        <f t="array" ref="R98">INT(SUMPRODUCT(--ISNUMBER(SEARCH(race,'David Perdue'!C98)))&gt;0)</f>
        <v>0</v>
      </c>
      <c r="S98" s="14" cm="1">
        <f t="array" ref="S98">INT(SUMPRODUCT(--ISNUMBER(SEARCH(immigration,C98)))&gt;0)</f>
        <v>0</v>
      </c>
      <c r="T98" s="14" cm="1">
        <f t="array" ref="T98">INT(SUMPRODUCT(--ISNUMBER(SEARCH(econineq,C98)))&gt;0)</f>
        <v>0</v>
      </c>
      <c r="U98" s="14" cm="1">
        <f t="array" ref="U98">INT(SUMPRODUCT(--ISNUMBER(SEARCH(climate,'David Perdue'!C98)))&gt;0)</f>
        <v>0</v>
      </c>
      <c r="V98" s="14" cm="1">
        <f t="array" ref="V98">INT(SUMPRODUCT(--ISNUMBER(SEARCH(abortion,'David Perdue'!C98)))&gt;0)</f>
        <v>0</v>
      </c>
      <c r="W98" s="14" cm="1">
        <f t="array" ref="W98">INT(SUMPRODUCT(--ISNUMBER(SEARCH(trump,'David Perdue'!C98)))&gt;0)</f>
        <v>1</v>
      </c>
      <c r="X98" s="14" cm="1">
        <f t="array" ref="X98">INT(SUMPRODUCT(--ISNUMBER(SEARCH(voting,'David Perdue'!C98)))&gt;0)</f>
        <v>1</v>
      </c>
      <c r="Y98" s="14" cm="1">
        <f t="array" ref="Y98">INT(SUMPRODUCT(--ISNUMBER(SEARCH(republicantrigger,'David Perdue'!C98)))&gt;0)</f>
        <v>0</v>
      </c>
      <c r="Z98" s="14" cm="1">
        <f t="array" ref="Z98">INT(SUMPRODUCT(--ISNUMBER(SEARCH(bipartisan,'David Perdue'!C98)))&gt;0)</f>
        <v>0</v>
      </c>
      <c r="AA98" s="14">
        <f t="shared" ref="AA98:AA129" si="3">INT(IF(COUNTIF(K98:Z98,1)=0,"1","0"))</f>
        <v>0</v>
      </c>
      <c r="AB98" s="14"/>
      <c r="AC98" s="30">
        <v>1</v>
      </c>
      <c r="AD98" s="37">
        <v>0</v>
      </c>
    </row>
    <row r="99" spans="1:30" x14ac:dyDescent="0.25">
      <c r="A99" s="54">
        <v>415</v>
      </c>
      <c r="B99" s="14" t="s">
        <v>861</v>
      </c>
      <c r="C99" s="14" t="s">
        <v>862</v>
      </c>
      <c r="D99" s="17">
        <v>44125</v>
      </c>
      <c r="E99" s="14" t="s">
        <v>30</v>
      </c>
      <c r="F99" s="14">
        <v>45</v>
      </c>
      <c r="G99" s="14">
        <v>11</v>
      </c>
      <c r="H99" s="14">
        <v>3</v>
      </c>
      <c r="I99" s="14">
        <v>2</v>
      </c>
      <c r="J99" s="14" t="s">
        <v>31</v>
      </c>
      <c r="K99" s="14" cm="1">
        <f t="array" ref="K99">INT(SUMPRODUCT(--ISNUMBER(SEARCH(economy,'David Perdue'!C99)))&gt;0)</f>
        <v>0</v>
      </c>
      <c r="L99" s="14" cm="1">
        <f t="array" ref="L99">INT(SUMPRODUCT(--ISNUMBER(SEARCH(healthcare,'David Perdue'!C99)))&gt;0)</f>
        <v>0</v>
      </c>
      <c r="M99" s="14" cm="1">
        <f t="array" ref="M99">INT(SUMPRODUCT(--ISNUMBER(SEARCH(supreme,'David Perdue'!C99)))&gt;0)</f>
        <v>1</v>
      </c>
      <c r="N99" s="14" cm="1">
        <f t="array" ref="N99">INT(SUMPRODUCT(--ISNUMBER(SEARCH(covid,'David Perdue'!C99)))&gt;0)</f>
        <v>0</v>
      </c>
      <c r="O99" s="14" cm="1">
        <f t="array" ref="O99">INT(SUMPRODUCT(--ISNUMBER(SEARCH(violent,'David Perdue'!C99)))&gt;0)</f>
        <v>0</v>
      </c>
      <c r="P99" s="14" cm="1">
        <f t="array" ref="P99">INT(SUMPRODUCT(--ISNUMBER(SEARCH(foreign,'David Perdue'!C99)))&gt;0)</f>
        <v>0</v>
      </c>
      <c r="Q99" s="14" cm="1">
        <f t="array" ref="Q99">INT(SUMPRODUCT(--ISNUMBER(SEARCH(gun,'David Perdue'!C99)))&gt;0)</f>
        <v>0</v>
      </c>
      <c r="R99" s="14" cm="1">
        <f t="array" ref="R99">INT(SUMPRODUCT(--ISNUMBER(SEARCH(race,'David Perdue'!C99)))&gt;0)</f>
        <v>0</v>
      </c>
      <c r="S99" s="14" cm="1">
        <f t="array" ref="S99">INT(SUMPRODUCT(--ISNUMBER(SEARCH(immigration,C99)))&gt;0)</f>
        <v>0</v>
      </c>
      <c r="T99" s="14" cm="1">
        <f t="array" ref="T99">INT(SUMPRODUCT(--ISNUMBER(SEARCH(econineq,C99)))&gt;0)</f>
        <v>0</v>
      </c>
      <c r="U99" s="14" cm="1">
        <f t="array" ref="U99">INT(SUMPRODUCT(--ISNUMBER(SEARCH(climate,'David Perdue'!C99)))&gt;0)</f>
        <v>0</v>
      </c>
      <c r="V99" s="14" cm="1">
        <f t="array" ref="V99">INT(SUMPRODUCT(--ISNUMBER(SEARCH(abortion,'David Perdue'!C99)))&gt;0)</f>
        <v>0</v>
      </c>
      <c r="W99" s="14" cm="1">
        <f t="array" ref="W99">INT(SUMPRODUCT(--ISNUMBER(SEARCH(trump,'David Perdue'!C99)))&gt;0)</f>
        <v>0</v>
      </c>
      <c r="X99" s="14" cm="1">
        <f t="array" ref="X99">INT(SUMPRODUCT(--ISNUMBER(SEARCH(voting,'David Perdue'!C99)))&gt;0)</f>
        <v>0</v>
      </c>
      <c r="Y99" s="14" cm="1">
        <f t="array" ref="Y99">INT(SUMPRODUCT(--ISNUMBER(SEARCH(republicantrigger,'David Perdue'!C99)))&gt;0)</f>
        <v>0</v>
      </c>
      <c r="Z99" s="14" cm="1">
        <f t="array" ref="Z99">INT(SUMPRODUCT(--ISNUMBER(SEARCH(bipartisan,'David Perdue'!C99)))&gt;0)</f>
        <v>0</v>
      </c>
      <c r="AA99" s="14">
        <f t="shared" si="3"/>
        <v>0</v>
      </c>
      <c r="AB99" s="14"/>
      <c r="AC99" s="30" t="s">
        <v>223</v>
      </c>
      <c r="AD99" s="37" t="s">
        <v>223</v>
      </c>
    </row>
    <row r="100" spans="1:30" x14ac:dyDescent="0.25">
      <c r="A100" s="54">
        <v>416</v>
      </c>
      <c r="B100" s="14" t="s">
        <v>863</v>
      </c>
      <c r="C100" s="14" t="s">
        <v>864</v>
      </c>
      <c r="D100" s="17">
        <v>44125</v>
      </c>
      <c r="E100" s="14" t="s">
        <v>30</v>
      </c>
      <c r="F100" s="14">
        <v>13</v>
      </c>
      <c r="G100" s="14">
        <v>7</v>
      </c>
      <c r="H100" s="14">
        <v>3</v>
      </c>
      <c r="I100" s="14">
        <v>2</v>
      </c>
      <c r="J100" s="14" t="s">
        <v>31</v>
      </c>
      <c r="K100" s="14" cm="1">
        <f t="array" ref="K100">INT(SUMPRODUCT(--ISNUMBER(SEARCH(economy,'David Perdue'!C100)))&gt;0)</f>
        <v>1</v>
      </c>
      <c r="L100" s="14" cm="1">
        <f t="array" ref="L100">INT(SUMPRODUCT(--ISNUMBER(SEARCH(healthcare,'David Perdue'!C100)))&gt;0)</f>
        <v>0</v>
      </c>
      <c r="M100" s="14" cm="1">
        <f t="array" ref="M100">INT(SUMPRODUCT(--ISNUMBER(SEARCH(supreme,'David Perdue'!C100)))&gt;0)</f>
        <v>0</v>
      </c>
      <c r="N100" s="14" cm="1">
        <f t="array" ref="N100">INT(SUMPRODUCT(--ISNUMBER(SEARCH(covid,'David Perdue'!C100)))&gt;0)</f>
        <v>0</v>
      </c>
      <c r="O100" s="14" cm="1">
        <f t="array" ref="O100">INT(SUMPRODUCT(--ISNUMBER(SEARCH(violent,'David Perdue'!C100)))&gt;0)</f>
        <v>0</v>
      </c>
      <c r="P100" s="14" cm="1">
        <f t="array" ref="P100">INT(SUMPRODUCT(--ISNUMBER(SEARCH(foreign,'David Perdue'!C100)))&gt;0)</f>
        <v>0</v>
      </c>
      <c r="Q100" s="14" cm="1">
        <f t="array" ref="Q100">INT(SUMPRODUCT(--ISNUMBER(SEARCH(gun,'David Perdue'!C100)))&gt;0)</f>
        <v>0</v>
      </c>
      <c r="R100" s="14" cm="1">
        <f t="array" ref="R100">INT(SUMPRODUCT(--ISNUMBER(SEARCH(race,'David Perdue'!C100)))&gt;0)</f>
        <v>0</v>
      </c>
      <c r="S100" s="14" cm="1">
        <f t="array" ref="S100">INT(SUMPRODUCT(--ISNUMBER(SEARCH(immigration,C100)))&gt;0)</f>
        <v>0</v>
      </c>
      <c r="T100" s="14" cm="1">
        <f t="array" ref="T100">INT(SUMPRODUCT(--ISNUMBER(SEARCH(econineq,C100)))&gt;0)</f>
        <v>0</v>
      </c>
      <c r="U100" s="14" cm="1">
        <f t="array" ref="U100">INT(SUMPRODUCT(--ISNUMBER(SEARCH(climate,'David Perdue'!C100)))&gt;0)</f>
        <v>0</v>
      </c>
      <c r="V100" s="14" cm="1">
        <f t="array" ref="V100">INT(SUMPRODUCT(--ISNUMBER(SEARCH(abortion,'David Perdue'!C100)))&gt;0)</f>
        <v>0</v>
      </c>
      <c r="W100" s="14" cm="1">
        <f t="array" ref="W100">INT(SUMPRODUCT(--ISNUMBER(SEARCH(trump,'David Perdue'!C100)))&gt;0)</f>
        <v>0</v>
      </c>
      <c r="X100" s="14" cm="1">
        <f t="array" ref="X100">INT(SUMPRODUCT(--ISNUMBER(SEARCH(voting,'David Perdue'!C100)))&gt;0)</f>
        <v>1</v>
      </c>
      <c r="Y100" s="14" cm="1">
        <f t="array" ref="Y100">INT(SUMPRODUCT(--ISNUMBER(SEARCH(republicantrigger,'David Perdue'!C100)))&gt;0)</f>
        <v>0</v>
      </c>
      <c r="Z100" s="14" cm="1">
        <f t="array" ref="Z100">INT(SUMPRODUCT(--ISNUMBER(SEARCH(bipartisan,'David Perdue'!C100)))&gt;0)</f>
        <v>1</v>
      </c>
      <c r="AA100" s="14">
        <f t="shared" si="3"/>
        <v>0</v>
      </c>
      <c r="AB100" s="14"/>
      <c r="AC100" s="30" t="s">
        <v>223</v>
      </c>
      <c r="AD100" s="37" t="s">
        <v>223</v>
      </c>
    </row>
    <row r="101" spans="1:30" x14ac:dyDescent="0.25">
      <c r="A101" s="54">
        <v>417</v>
      </c>
      <c r="B101" s="14" t="s">
        <v>865</v>
      </c>
      <c r="C101" s="14" t="s">
        <v>866</v>
      </c>
      <c r="D101" s="17">
        <v>44125</v>
      </c>
      <c r="E101" s="14" t="s">
        <v>30</v>
      </c>
      <c r="F101" s="14">
        <v>38</v>
      </c>
      <c r="G101" s="14">
        <v>8</v>
      </c>
      <c r="H101" s="14">
        <v>3</v>
      </c>
      <c r="I101" s="14">
        <v>2</v>
      </c>
      <c r="J101" s="14" t="s">
        <v>31</v>
      </c>
      <c r="K101" s="14" cm="1">
        <f t="array" ref="K101">INT(SUMPRODUCT(--ISNUMBER(SEARCH(economy,'David Perdue'!C101)))&gt;0)</f>
        <v>0</v>
      </c>
      <c r="L101" s="14" cm="1">
        <f t="array" ref="L101">INT(SUMPRODUCT(--ISNUMBER(SEARCH(healthcare,'David Perdue'!C101)))&gt;0)</f>
        <v>0</v>
      </c>
      <c r="M101" s="14" cm="1">
        <f t="array" ref="M101">INT(SUMPRODUCT(--ISNUMBER(SEARCH(supreme,'David Perdue'!C101)))&gt;0)</f>
        <v>0</v>
      </c>
      <c r="N101" s="14" cm="1">
        <f t="array" ref="N101">INT(SUMPRODUCT(--ISNUMBER(SEARCH(covid,'David Perdue'!C101)))&gt;0)</f>
        <v>0</v>
      </c>
      <c r="O101" s="14" cm="1">
        <f t="array" ref="O101">INT(SUMPRODUCT(--ISNUMBER(SEARCH(violent,'David Perdue'!C101)))&gt;0)</f>
        <v>0</v>
      </c>
      <c r="P101" s="14" cm="1">
        <f t="array" ref="P101">INT(SUMPRODUCT(--ISNUMBER(SEARCH(foreign,'David Perdue'!C101)))&gt;0)</f>
        <v>0</v>
      </c>
      <c r="Q101" s="14" cm="1">
        <f t="array" ref="Q101">INT(SUMPRODUCT(--ISNUMBER(SEARCH(gun,'David Perdue'!C101)))&gt;0)</f>
        <v>0</v>
      </c>
      <c r="R101" s="14" cm="1">
        <f t="array" ref="R101">INT(SUMPRODUCT(--ISNUMBER(SEARCH(race,'David Perdue'!C101)))&gt;0)</f>
        <v>0</v>
      </c>
      <c r="S101" s="14" cm="1">
        <f t="array" ref="S101">INT(SUMPRODUCT(--ISNUMBER(SEARCH(immigration,C101)))&gt;0)</f>
        <v>0</v>
      </c>
      <c r="T101" s="14" cm="1">
        <f t="array" ref="T101">INT(SUMPRODUCT(--ISNUMBER(SEARCH(econineq,C101)))&gt;0)</f>
        <v>0</v>
      </c>
      <c r="U101" s="14" cm="1">
        <f t="array" ref="U101">INT(SUMPRODUCT(--ISNUMBER(SEARCH(climate,'David Perdue'!C101)))&gt;0)</f>
        <v>0</v>
      </c>
      <c r="V101" s="14" cm="1">
        <f t="array" ref="V101">INT(SUMPRODUCT(--ISNUMBER(SEARCH(abortion,'David Perdue'!C101)))&gt;0)</f>
        <v>0</v>
      </c>
      <c r="W101" s="14" cm="1">
        <f t="array" ref="W101">INT(SUMPRODUCT(--ISNUMBER(SEARCH(trump,'David Perdue'!C101)))&gt;0)</f>
        <v>0</v>
      </c>
      <c r="X101" s="14" cm="1">
        <f t="array" ref="X101">INT(SUMPRODUCT(--ISNUMBER(SEARCH(voting,'David Perdue'!C101)))&gt;0)</f>
        <v>0</v>
      </c>
      <c r="Y101" s="14" cm="1">
        <f t="array" ref="Y101">INT(SUMPRODUCT(--ISNUMBER(SEARCH(republicantrigger,'David Perdue'!C101)))&gt;0)</f>
        <v>0</v>
      </c>
      <c r="Z101" s="14" cm="1">
        <f t="array" ref="Z101">INT(SUMPRODUCT(--ISNUMBER(SEARCH(bipartisan,'David Perdue'!C101)))&gt;0)</f>
        <v>0</v>
      </c>
      <c r="AA101" s="14">
        <f t="shared" si="3"/>
        <v>1</v>
      </c>
      <c r="AB101" s="14"/>
      <c r="AC101" s="30">
        <v>1</v>
      </c>
      <c r="AD101" s="37">
        <v>0</v>
      </c>
    </row>
    <row r="102" spans="1:30" x14ac:dyDescent="0.25">
      <c r="A102" s="54">
        <v>418</v>
      </c>
      <c r="B102" s="14" t="s">
        <v>867</v>
      </c>
      <c r="C102" s="14" t="s">
        <v>868</v>
      </c>
      <c r="D102" s="17">
        <v>44125</v>
      </c>
      <c r="E102" s="14" t="s">
        <v>30</v>
      </c>
      <c r="F102" s="14">
        <v>50</v>
      </c>
      <c r="G102" s="14">
        <v>14</v>
      </c>
      <c r="H102" s="14">
        <v>3</v>
      </c>
      <c r="I102" s="14">
        <v>2</v>
      </c>
      <c r="J102" s="14" t="s">
        <v>31</v>
      </c>
      <c r="K102" s="14" cm="1">
        <f t="array" ref="K102">INT(SUMPRODUCT(--ISNUMBER(SEARCH(economy,'David Perdue'!C102)))&gt;0)</f>
        <v>0</v>
      </c>
      <c r="L102" s="14" cm="1">
        <f t="array" ref="L102">INT(SUMPRODUCT(--ISNUMBER(SEARCH(healthcare,'David Perdue'!C102)))&gt;0)</f>
        <v>0</v>
      </c>
      <c r="M102" s="14" cm="1">
        <f t="array" ref="M102">INT(SUMPRODUCT(--ISNUMBER(SEARCH(supreme,'David Perdue'!C102)))&gt;0)</f>
        <v>0</v>
      </c>
      <c r="N102" s="14" cm="1">
        <f t="array" ref="N102">INT(SUMPRODUCT(--ISNUMBER(SEARCH(covid,'David Perdue'!C102)))&gt;0)</f>
        <v>0</v>
      </c>
      <c r="O102" s="14" cm="1">
        <f t="array" ref="O102">INT(SUMPRODUCT(--ISNUMBER(SEARCH(violent,'David Perdue'!C102)))&gt;0)</f>
        <v>0</v>
      </c>
      <c r="P102" s="14" cm="1">
        <f t="array" ref="P102">INT(SUMPRODUCT(--ISNUMBER(SEARCH(foreign,'David Perdue'!C102)))&gt;0)</f>
        <v>0</v>
      </c>
      <c r="Q102" s="14" cm="1">
        <f t="array" ref="Q102">INT(SUMPRODUCT(--ISNUMBER(SEARCH(gun,'David Perdue'!C102)))&gt;0)</f>
        <v>0</v>
      </c>
      <c r="R102" s="14" cm="1">
        <f t="array" ref="R102">INT(SUMPRODUCT(--ISNUMBER(SEARCH(race,'David Perdue'!C102)))&gt;0)</f>
        <v>0</v>
      </c>
      <c r="S102" s="14" cm="1">
        <f t="array" ref="S102">INT(SUMPRODUCT(--ISNUMBER(SEARCH(immigration,C102)))&gt;0)</f>
        <v>0</v>
      </c>
      <c r="T102" s="14" cm="1">
        <f t="array" ref="T102">INT(SUMPRODUCT(--ISNUMBER(SEARCH(econineq,C102)))&gt;0)</f>
        <v>0</v>
      </c>
      <c r="U102" s="14" cm="1">
        <f t="array" ref="U102">INT(SUMPRODUCT(--ISNUMBER(SEARCH(climate,'David Perdue'!C102)))&gt;0)</f>
        <v>0</v>
      </c>
      <c r="V102" s="14" cm="1">
        <f t="array" ref="V102">INT(SUMPRODUCT(--ISNUMBER(SEARCH(abortion,'David Perdue'!C102)))&gt;0)</f>
        <v>0</v>
      </c>
      <c r="W102" s="14" cm="1">
        <f t="array" ref="W102">INT(SUMPRODUCT(--ISNUMBER(SEARCH(trump,'David Perdue'!C102)))&gt;0)</f>
        <v>0</v>
      </c>
      <c r="X102" s="14" cm="1">
        <f t="array" ref="X102">INT(SUMPRODUCT(--ISNUMBER(SEARCH(voting,'David Perdue'!C102)))&gt;0)</f>
        <v>0</v>
      </c>
      <c r="Y102" s="14" cm="1">
        <f t="array" ref="Y102">INT(SUMPRODUCT(--ISNUMBER(SEARCH(republicantrigger,'David Perdue'!C102)))&gt;0)</f>
        <v>0</v>
      </c>
      <c r="Z102" s="14" cm="1">
        <f t="array" ref="Z102">INT(SUMPRODUCT(--ISNUMBER(SEARCH(bipartisan,'David Perdue'!C102)))&gt;0)</f>
        <v>0</v>
      </c>
      <c r="AA102" s="14">
        <f t="shared" si="3"/>
        <v>1</v>
      </c>
      <c r="AB102" s="14"/>
      <c r="AC102" s="30">
        <v>1</v>
      </c>
      <c r="AD102" s="37">
        <v>0</v>
      </c>
    </row>
    <row r="103" spans="1:30" x14ac:dyDescent="0.25">
      <c r="A103" s="54">
        <v>419</v>
      </c>
      <c r="B103" s="14" t="s">
        <v>869</v>
      </c>
      <c r="C103" s="14" t="s">
        <v>870</v>
      </c>
      <c r="D103" s="17">
        <v>44121</v>
      </c>
      <c r="E103" s="14" t="s">
        <v>30</v>
      </c>
      <c r="F103" s="14">
        <v>68</v>
      </c>
      <c r="G103" s="14">
        <v>9</v>
      </c>
      <c r="H103" s="14">
        <v>3</v>
      </c>
      <c r="I103" s="14">
        <v>2</v>
      </c>
      <c r="J103" s="14" t="s">
        <v>31</v>
      </c>
      <c r="K103" s="14" cm="1">
        <f t="array" ref="K103">INT(SUMPRODUCT(--ISNUMBER(SEARCH(economy,'David Perdue'!C103)))&gt;0)</f>
        <v>0</v>
      </c>
      <c r="L103" s="14" cm="1">
        <f t="array" ref="L103">INT(SUMPRODUCT(--ISNUMBER(SEARCH(healthcare,'David Perdue'!C103)))&gt;0)</f>
        <v>0</v>
      </c>
      <c r="M103" s="14" cm="1">
        <f t="array" ref="M103">INT(SUMPRODUCT(--ISNUMBER(SEARCH(supreme,'David Perdue'!C103)))&gt;0)</f>
        <v>0</v>
      </c>
      <c r="N103" s="14" cm="1">
        <f t="array" ref="N103">INT(SUMPRODUCT(--ISNUMBER(SEARCH(covid,'David Perdue'!C103)))&gt;0)</f>
        <v>0</v>
      </c>
      <c r="O103" s="14" cm="1">
        <f t="array" ref="O103">INT(SUMPRODUCT(--ISNUMBER(SEARCH(violent,'David Perdue'!C103)))&gt;0)</f>
        <v>0</v>
      </c>
      <c r="P103" s="14" cm="1">
        <f t="array" ref="P103">INT(SUMPRODUCT(--ISNUMBER(SEARCH(foreign,'David Perdue'!C103)))&gt;0)</f>
        <v>0</v>
      </c>
      <c r="Q103" s="14" cm="1">
        <f t="array" ref="Q103">INT(SUMPRODUCT(--ISNUMBER(SEARCH(gun,'David Perdue'!C103)))&gt;0)</f>
        <v>0</v>
      </c>
      <c r="R103" s="14" cm="1">
        <f t="array" ref="R103">INT(SUMPRODUCT(--ISNUMBER(SEARCH(race,'David Perdue'!C103)))&gt;0)</f>
        <v>0</v>
      </c>
      <c r="S103" s="14" cm="1">
        <f t="array" ref="S103">INT(SUMPRODUCT(--ISNUMBER(SEARCH(immigration,C103)))&gt;0)</f>
        <v>0</v>
      </c>
      <c r="T103" s="14" cm="1">
        <f t="array" ref="T103">INT(SUMPRODUCT(--ISNUMBER(SEARCH(econineq,C103)))&gt;0)</f>
        <v>0</v>
      </c>
      <c r="U103" s="14" cm="1">
        <f t="array" ref="U103">INT(SUMPRODUCT(--ISNUMBER(SEARCH(climate,'David Perdue'!C103)))&gt;0)</f>
        <v>0</v>
      </c>
      <c r="V103" s="14" cm="1">
        <f t="array" ref="V103">INT(SUMPRODUCT(--ISNUMBER(SEARCH(abortion,'David Perdue'!C103)))&gt;0)</f>
        <v>0</v>
      </c>
      <c r="W103" s="14" cm="1">
        <f t="array" ref="W103">INT(SUMPRODUCT(--ISNUMBER(SEARCH(trump,'David Perdue'!C103)))&gt;0)</f>
        <v>0</v>
      </c>
      <c r="X103" s="14" cm="1">
        <f t="array" ref="X103">INT(SUMPRODUCT(--ISNUMBER(SEARCH(voting,'David Perdue'!C103)))&gt;0)</f>
        <v>0</v>
      </c>
      <c r="Y103" s="14" cm="1">
        <f t="array" ref="Y103">INT(SUMPRODUCT(--ISNUMBER(SEARCH(republicantrigger,'David Perdue'!C103)))&gt;0)</f>
        <v>0</v>
      </c>
      <c r="Z103" s="14" cm="1">
        <f t="array" ref="Z103">INT(SUMPRODUCT(--ISNUMBER(SEARCH(bipartisan,'David Perdue'!C103)))&gt;0)</f>
        <v>0</v>
      </c>
      <c r="AA103" s="14">
        <f t="shared" si="3"/>
        <v>1</v>
      </c>
      <c r="AB103" s="14"/>
      <c r="AC103" s="30">
        <v>1</v>
      </c>
      <c r="AD103" s="37">
        <v>0</v>
      </c>
    </row>
    <row r="104" spans="1:30" x14ac:dyDescent="0.25">
      <c r="A104" s="54">
        <v>420</v>
      </c>
      <c r="B104" s="14" t="s">
        <v>871</v>
      </c>
      <c r="C104" s="14" t="s">
        <v>872</v>
      </c>
      <c r="D104" s="17">
        <v>44120</v>
      </c>
      <c r="E104" s="14" t="s">
        <v>30</v>
      </c>
      <c r="F104" s="14">
        <v>93</v>
      </c>
      <c r="G104" s="14">
        <v>26</v>
      </c>
      <c r="H104" s="14">
        <v>3</v>
      </c>
      <c r="I104" s="14">
        <v>2</v>
      </c>
      <c r="J104" s="14" t="s">
        <v>31</v>
      </c>
      <c r="K104" s="14" cm="1">
        <f t="array" ref="K104">INT(SUMPRODUCT(--ISNUMBER(SEARCH(economy,'David Perdue'!C104)))&gt;0)</f>
        <v>0</v>
      </c>
      <c r="L104" s="14" cm="1">
        <f t="array" ref="L104">INT(SUMPRODUCT(--ISNUMBER(SEARCH(healthcare,'David Perdue'!C104)))&gt;0)</f>
        <v>0</v>
      </c>
      <c r="M104" s="14" cm="1">
        <f t="array" ref="M104">INT(SUMPRODUCT(--ISNUMBER(SEARCH(supreme,'David Perdue'!C104)))&gt;0)</f>
        <v>0</v>
      </c>
      <c r="N104" s="14" cm="1">
        <f t="array" ref="N104">INT(SUMPRODUCT(--ISNUMBER(SEARCH(covid,'David Perdue'!C104)))&gt;0)</f>
        <v>1</v>
      </c>
      <c r="O104" s="14" cm="1">
        <f t="array" ref="O104">INT(SUMPRODUCT(--ISNUMBER(SEARCH(violent,'David Perdue'!C104)))&gt;0)</f>
        <v>0</v>
      </c>
      <c r="P104" s="14" cm="1">
        <f t="array" ref="P104">INT(SUMPRODUCT(--ISNUMBER(SEARCH(foreign,'David Perdue'!C104)))&gt;0)</f>
        <v>0</v>
      </c>
      <c r="Q104" s="14" cm="1">
        <f t="array" ref="Q104">INT(SUMPRODUCT(--ISNUMBER(SEARCH(gun,'David Perdue'!C104)))&gt;0)</f>
        <v>0</v>
      </c>
      <c r="R104" s="14" cm="1">
        <f t="array" ref="R104">INT(SUMPRODUCT(--ISNUMBER(SEARCH(race,'David Perdue'!C104)))&gt;0)</f>
        <v>0</v>
      </c>
      <c r="S104" s="14" cm="1">
        <f t="array" ref="S104">INT(SUMPRODUCT(--ISNUMBER(SEARCH(immigration,C104)))&gt;0)</f>
        <v>0</v>
      </c>
      <c r="T104" s="14" cm="1">
        <f t="array" ref="T104">INT(SUMPRODUCT(--ISNUMBER(SEARCH(econineq,C104)))&gt;0)</f>
        <v>0</v>
      </c>
      <c r="U104" s="14" cm="1">
        <f t="array" ref="U104">INT(SUMPRODUCT(--ISNUMBER(SEARCH(climate,'David Perdue'!C104)))&gt;0)</f>
        <v>0</v>
      </c>
      <c r="V104" s="14" cm="1">
        <f t="array" ref="V104">INT(SUMPRODUCT(--ISNUMBER(SEARCH(abortion,'David Perdue'!C104)))&gt;0)</f>
        <v>0</v>
      </c>
      <c r="W104" s="14" cm="1">
        <f t="array" ref="W104">INT(SUMPRODUCT(--ISNUMBER(SEARCH(trump,'David Perdue'!C104)))&gt;0)</f>
        <v>1</v>
      </c>
      <c r="X104" s="14" cm="1">
        <f t="array" ref="X104">INT(SUMPRODUCT(--ISNUMBER(SEARCH(voting,'David Perdue'!C104)))&gt;0)</f>
        <v>1</v>
      </c>
      <c r="Y104" s="14" cm="1">
        <f t="array" ref="Y104">INT(SUMPRODUCT(--ISNUMBER(SEARCH(republicantrigger,'David Perdue'!C104)))&gt;0)</f>
        <v>1</v>
      </c>
      <c r="Z104" s="14" cm="1">
        <f t="array" ref="Z104">INT(SUMPRODUCT(--ISNUMBER(SEARCH(bipartisan,'David Perdue'!C104)))&gt;0)</f>
        <v>0</v>
      </c>
      <c r="AA104" s="14">
        <f t="shared" si="3"/>
        <v>0</v>
      </c>
      <c r="AB104" s="14"/>
      <c r="AC104" s="30" t="s">
        <v>223</v>
      </c>
      <c r="AD104" s="37" t="s">
        <v>223</v>
      </c>
    </row>
    <row r="105" spans="1:30" x14ac:dyDescent="0.25">
      <c r="A105" s="54">
        <v>421</v>
      </c>
      <c r="B105" s="14" t="s">
        <v>873</v>
      </c>
      <c r="C105" s="14" t="s">
        <v>874</v>
      </c>
      <c r="D105" s="17">
        <v>44120</v>
      </c>
      <c r="E105" s="14" t="s">
        <v>30</v>
      </c>
      <c r="F105" s="14">
        <v>23</v>
      </c>
      <c r="G105" s="14">
        <v>9</v>
      </c>
      <c r="H105" s="14">
        <v>3</v>
      </c>
      <c r="I105" s="14">
        <v>2</v>
      </c>
      <c r="J105" s="14" t="s">
        <v>31</v>
      </c>
      <c r="K105" s="14" cm="1">
        <f t="array" ref="K105">INT(SUMPRODUCT(--ISNUMBER(SEARCH(economy,'David Perdue'!C105)))&gt;0)</f>
        <v>0</v>
      </c>
      <c r="L105" s="14" cm="1">
        <f t="array" ref="L105">INT(SUMPRODUCT(--ISNUMBER(SEARCH(healthcare,'David Perdue'!C105)))&gt;0)</f>
        <v>0</v>
      </c>
      <c r="M105" s="14" cm="1">
        <f t="array" ref="M105">INT(SUMPRODUCT(--ISNUMBER(SEARCH(supreme,'David Perdue'!C105)))&gt;0)</f>
        <v>0</v>
      </c>
      <c r="N105" s="14" cm="1">
        <f t="array" ref="N105">INT(SUMPRODUCT(--ISNUMBER(SEARCH(covid,'David Perdue'!C105)))&gt;0)</f>
        <v>0</v>
      </c>
      <c r="O105" s="14" cm="1">
        <f t="array" ref="O105">INT(SUMPRODUCT(--ISNUMBER(SEARCH(violent,'David Perdue'!C105)))&gt;0)</f>
        <v>0</v>
      </c>
      <c r="P105" s="14" cm="1">
        <f t="array" ref="P105">INT(SUMPRODUCT(--ISNUMBER(SEARCH(foreign,'David Perdue'!C105)))&gt;0)</f>
        <v>0</v>
      </c>
      <c r="Q105" s="14" cm="1">
        <f t="array" ref="Q105">INT(SUMPRODUCT(--ISNUMBER(SEARCH(gun,'David Perdue'!C105)))&gt;0)</f>
        <v>0</v>
      </c>
      <c r="R105" s="14" cm="1">
        <f t="array" ref="R105">INT(SUMPRODUCT(--ISNUMBER(SEARCH(race,'David Perdue'!C105)))&gt;0)</f>
        <v>0</v>
      </c>
      <c r="S105" s="14" cm="1">
        <f t="array" ref="S105">INT(SUMPRODUCT(--ISNUMBER(SEARCH(immigration,C105)))&gt;0)</f>
        <v>0</v>
      </c>
      <c r="T105" s="14" cm="1">
        <f t="array" ref="T105">INT(SUMPRODUCT(--ISNUMBER(SEARCH(econineq,C105)))&gt;0)</f>
        <v>0</v>
      </c>
      <c r="U105" s="14" cm="1">
        <f t="array" ref="U105">INT(SUMPRODUCT(--ISNUMBER(SEARCH(climate,'David Perdue'!C105)))&gt;0)</f>
        <v>0</v>
      </c>
      <c r="V105" s="14" cm="1">
        <f t="array" ref="V105">INT(SUMPRODUCT(--ISNUMBER(SEARCH(abortion,'David Perdue'!C105)))&gt;0)</f>
        <v>0</v>
      </c>
      <c r="W105" s="14" cm="1">
        <f t="array" ref="W105">INT(SUMPRODUCT(--ISNUMBER(SEARCH(trump,'David Perdue'!C105)))&gt;0)</f>
        <v>1</v>
      </c>
      <c r="X105" s="14" cm="1">
        <f t="array" ref="X105">INT(SUMPRODUCT(--ISNUMBER(SEARCH(voting,'David Perdue'!C105)))&gt;0)</f>
        <v>1</v>
      </c>
      <c r="Y105" s="14" cm="1">
        <f t="array" ref="Y105">INT(SUMPRODUCT(--ISNUMBER(SEARCH(republicantrigger,'David Perdue'!C105)))&gt;0)</f>
        <v>0</v>
      </c>
      <c r="Z105" s="14" cm="1">
        <f t="array" ref="Z105">INT(SUMPRODUCT(--ISNUMBER(SEARCH(bipartisan,'David Perdue'!C105)))&gt;0)</f>
        <v>0</v>
      </c>
      <c r="AA105" s="14">
        <f t="shared" si="3"/>
        <v>0</v>
      </c>
      <c r="AB105" s="14"/>
      <c r="AC105" s="30">
        <v>1</v>
      </c>
      <c r="AD105" s="37">
        <v>0</v>
      </c>
    </row>
    <row r="106" spans="1:30" x14ac:dyDescent="0.25">
      <c r="A106" s="54">
        <v>422</v>
      </c>
      <c r="B106" s="14" t="s">
        <v>875</v>
      </c>
      <c r="C106" s="14" t="s">
        <v>876</v>
      </c>
      <c r="D106" s="17">
        <v>44120</v>
      </c>
      <c r="E106" s="14" t="s">
        <v>30</v>
      </c>
      <c r="F106" s="14">
        <v>24</v>
      </c>
      <c r="G106" s="14">
        <v>11</v>
      </c>
      <c r="H106" s="14">
        <v>3</v>
      </c>
      <c r="I106" s="14">
        <v>2</v>
      </c>
      <c r="J106" s="14" t="s">
        <v>31</v>
      </c>
      <c r="K106" s="14" cm="1">
        <f t="array" ref="K106">INT(SUMPRODUCT(--ISNUMBER(SEARCH(economy,'David Perdue'!C106)))&gt;0)</f>
        <v>0</v>
      </c>
      <c r="L106" s="14" cm="1">
        <f t="array" ref="L106">INT(SUMPRODUCT(--ISNUMBER(SEARCH(healthcare,'David Perdue'!C106)))&gt;0)</f>
        <v>0</v>
      </c>
      <c r="M106" s="14" cm="1">
        <f t="array" ref="M106">INT(SUMPRODUCT(--ISNUMBER(SEARCH(supreme,'David Perdue'!C106)))&gt;0)</f>
        <v>0</v>
      </c>
      <c r="N106" s="14" cm="1">
        <f t="array" ref="N106">INT(SUMPRODUCT(--ISNUMBER(SEARCH(covid,'David Perdue'!C106)))&gt;0)</f>
        <v>0</v>
      </c>
      <c r="O106" s="14" cm="1">
        <f t="array" ref="O106">INT(SUMPRODUCT(--ISNUMBER(SEARCH(violent,'David Perdue'!C106)))&gt;0)</f>
        <v>0</v>
      </c>
      <c r="P106" s="14" cm="1">
        <f t="array" ref="P106">INT(SUMPRODUCT(--ISNUMBER(SEARCH(foreign,'David Perdue'!C106)))&gt;0)</f>
        <v>0</v>
      </c>
      <c r="Q106" s="14" cm="1">
        <f t="array" ref="Q106">INT(SUMPRODUCT(--ISNUMBER(SEARCH(gun,'David Perdue'!C106)))&gt;0)</f>
        <v>0</v>
      </c>
      <c r="R106" s="14" cm="1">
        <f t="array" ref="R106">INT(SUMPRODUCT(--ISNUMBER(SEARCH(race,'David Perdue'!C106)))&gt;0)</f>
        <v>0</v>
      </c>
      <c r="S106" s="14" cm="1">
        <f t="array" ref="S106">INT(SUMPRODUCT(--ISNUMBER(SEARCH(immigration,C106)))&gt;0)</f>
        <v>0</v>
      </c>
      <c r="T106" s="14" cm="1">
        <f t="array" ref="T106">INT(SUMPRODUCT(--ISNUMBER(SEARCH(econineq,C106)))&gt;0)</f>
        <v>0</v>
      </c>
      <c r="U106" s="14" cm="1">
        <f t="array" ref="U106">INT(SUMPRODUCT(--ISNUMBER(SEARCH(climate,'David Perdue'!C106)))&gt;0)</f>
        <v>0</v>
      </c>
      <c r="V106" s="14" cm="1">
        <f t="array" ref="V106">INT(SUMPRODUCT(--ISNUMBER(SEARCH(abortion,'David Perdue'!C106)))&gt;0)</f>
        <v>0</v>
      </c>
      <c r="W106" s="14" cm="1">
        <f t="array" ref="W106">INT(SUMPRODUCT(--ISNUMBER(SEARCH(trump,'David Perdue'!C106)))&gt;0)</f>
        <v>1</v>
      </c>
      <c r="X106" s="14" cm="1">
        <f t="array" ref="X106">INT(SUMPRODUCT(--ISNUMBER(SEARCH(voting,'David Perdue'!C106)))&gt;0)</f>
        <v>0</v>
      </c>
      <c r="Y106" s="14" cm="1">
        <f t="array" ref="Y106">INT(SUMPRODUCT(--ISNUMBER(SEARCH(republicantrigger,'David Perdue'!C106)))&gt;0)</f>
        <v>0</v>
      </c>
      <c r="Z106" s="14" cm="1">
        <f t="array" ref="Z106">INT(SUMPRODUCT(--ISNUMBER(SEARCH(bipartisan,'David Perdue'!C106)))&gt;0)</f>
        <v>0</v>
      </c>
      <c r="AA106" s="14">
        <f t="shared" si="3"/>
        <v>0</v>
      </c>
      <c r="AB106" s="14"/>
      <c r="AC106" s="30">
        <v>1</v>
      </c>
      <c r="AD106" s="37">
        <v>0</v>
      </c>
    </row>
    <row r="107" spans="1:30" x14ac:dyDescent="0.25">
      <c r="A107" s="54">
        <v>423</v>
      </c>
      <c r="B107" s="14" t="s">
        <v>877</v>
      </c>
      <c r="C107" s="14" t="s">
        <v>878</v>
      </c>
      <c r="D107" s="17">
        <v>44120</v>
      </c>
      <c r="E107" s="14" t="s">
        <v>30</v>
      </c>
      <c r="F107" s="14">
        <v>32</v>
      </c>
      <c r="G107" s="14">
        <v>8</v>
      </c>
      <c r="H107" s="14">
        <v>3</v>
      </c>
      <c r="I107" s="14">
        <v>2</v>
      </c>
      <c r="J107" s="14" t="s">
        <v>31</v>
      </c>
      <c r="K107" s="14" cm="1">
        <f t="array" ref="K107">INT(SUMPRODUCT(--ISNUMBER(SEARCH(economy,'David Perdue'!C107)))&gt;0)</f>
        <v>0</v>
      </c>
      <c r="L107" s="14" cm="1">
        <f t="array" ref="L107">INT(SUMPRODUCT(--ISNUMBER(SEARCH(healthcare,'David Perdue'!C107)))&gt;0)</f>
        <v>0</v>
      </c>
      <c r="M107" s="14" cm="1">
        <f t="array" ref="M107">INT(SUMPRODUCT(--ISNUMBER(SEARCH(supreme,'David Perdue'!C107)))&gt;0)</f>
        <v>0</v>
      </c>
      <c r="N107" s="14" cm="1">
        <f t="array" ref="N107">INT(SUMPRODUCT(--ISNUMBER(SEARCH(covid,'David Perdue'!C107)))&gt;0)</f>
        <v>0</v>
      </c>
      <c r="O107" s="14" cm="1">
        <f t="array" ref="O107">INT(SUMPRODUCT(--ISNUMBER(SEARCH(violent,'David Perdue'!C107)))&gt;0)</f>
        <v>0</v>
      </c>
      <c r="P107" s="14" cm="1">
        <f t="array" ref="P107">INT(SUMPRODUCT(--ISNUMBER(SEARCH(foreign,'David Perdue'!C107)))&gt;0)</f>
        <v>0</v>
      </c>
      <c r="Q107" s="14" cm="1">
        <f t="array" ref="Q107">INT(SUMPRODUCT(--ISNUMBER(SEARCH(gun,'David Perdue'!C107)))&gt;0)</f>
        <v>0</v>
      </c>
      <c r="R107" s="14" cm="1">
        <f t="array" ref="R107">INT(SUMPRODUCT(--ISNUMBER(SEARCH(race,'David Perdue'!C107)))&gt;0)</f>
        <v>0</v>
      </c>
      <c r="S107" s="14" cm="1">
        <f t="array" ref="S107">INT(SUMPRODUCT(--ISNUMBER(SEARCH(immigration,C107)))&gt;0)</f>
        <v>0</v>
      </c>
      <c r="T107" s="14" cm="1">
        <f t="array" ref="T107">INT(SUMPRODUCT(--ISNUMBER(SEARCH(econineq,C107)))&gt;0)</f>
        <v>0</v>
      </c>
      <c r="U107" s="14" cm="1">
        <f t="array" ref="U107">INT(SUMPRODUCT(--ISNUMBER(SEARCH(climate,'David Perdue'!C107)))&gt;0)</f>
        <v>0</v>
      </c>
      <c r="V107" s="14" cm="1">
        <f t="array" ref="V107">INT(SUMPRODUCT(--ISNUMBER(SEARCH(abortion,'David Perdue'!C107)))&gt;0)</f>
        <v>0</v>
      </c>
      <c r="W107" s="14" cm="1">
        <f t="array" ref="W107">INT(SUMPRODUCT(--ISNUMBER(SEARCH(trump,'David Perdue'!C107)))&gt;0)</f>
        <v>1</v>
      </c>
      <c r="X107" s="14" cm="1">
        <f t="array" ref="X107">INT(SUMPRODUCT(--ISNUMBER(SEARCH(voting,'David Perdue'!C107)))&gt;0)</f>
        <v>0</v>
      </c>
      <c r="Y107" s="14" cm="1">
        <f t="array" ref="Y107">INT(SUMPRODUCT(--ISNUMBER(SEARCH(republicantrigger,'David Perdue'!C107)))&gt;0)</f>
        <v>0</v>
      </c>
      <c r="Z107" s="14" cm="1">
        <f t="array" ref="Z107">INT(SUMPRODUCT(--ISNUMBER(SEARCH(bipartisan,'David Perdue'!C107)))&gt;0)</f>
        <v>0</v>
      </c>
      <c r="AA107" s="14">
        <f t="shared" si="3"/>
        <v>0</v>
      </c>
      <c r="AB107" s="14"/>
      <c r="AC107" s="30">
        <v>1</v>
      </c>
      <c r="AD107" s="37">
        <v>0</v>
      </c>
    </row>
    <row r="108" spans="1:30" x14ac:dyDescent="0.25">
      <c r="A108" s="54">
        <v>424</v>
      </c>
      <c r="B108" s="14" t="s">
        <v>879</v>
      </c>
      <c r="C108" s="14" t="s">
        <v>880</v>
      </c>
      <c r="D108" s="17">
        <v>44120</v>
      </c>
      <c r="E108" s="14" t="s">
        <v>30</v>
      </c>
      <c r="F108" s="14">
        <v>13</v>
      </c>
      <c r="G108" s="14">
        <v>5</v>
      </c>
      <c r="H108" s="14">
        <v>3</v>
      </c>
      <c r="I108" s="14">
        <v>2</v>
      </c>
      <c r="J108" s="14" t="s">
        <v>31</v>
      </c>
      <c r="K108" s="14" cm="1">
        <f t="array" ref="K108">INT(SUMPRODUCT(--ISNUMBER(SEARCH(economy,'David Perdue'!C108)))&gt;0)</f>
        <v>1</v>
      </c>
      <c r="L108" s="14" cm="1">
        <f t="array" ref="L108">INT(SUMPRODUCT(--ISNUMBER(SEARCH(healthcare,'David Perdue'!C108)))&gt;0)</f>
        <v>1</v>
      </c>
      <c r="M108" s="14" cm="1">
        <f t="array" ref="M108">INT(SUMPRODUCT(--ISNUMBER(SEARCH(supreme,'David Perdue'!C108)))&gt;0)</f>
        <v>0</v>
      </c>
      <c r="N108" s="14" cm="1">
        <f t="array" ref="N108">INT(SUMPRODUCT(--ISNUMBER(SEARCH(covid,'David Perdue'!C108)))&gt;0)</f>
        <v>1</v>
      </c>
      <c r="O108" s="14" cm="1">
        <f t="array" ref="O108">INT(SUMPRODUCT(--ISNUMBER(SEARCH(violent,'David Perdue'!C108)))&gt;0)</f>
        <v>0</v>
      </c>
      <c r="P108" s="14" cm="1">
        <f t="array" ref="P108">INT(SUMPRODUCT(--ISNUMBER(SEARCH(foreign,'David Perdue'!C108)))&gt;0)</f>
        <v>0</v>
      </c>
      <c r="Q108" s="14" cm="1">
        <f t="array" ref="Q108">INT(SUMPRODUCT(--ISNUMBER(SEARCH(gun,'David Perdue'!C108)))&gt;0)</f>
        <v>0</v>
      </c>
      <c r="R108" s="14" cm="1">
        <f t="array" ref="R108">INT(SUMPRODUCT(--ISNUMBER(SEARCH(race,'David Perdue'!C108)))&gt;0)</f>
        <v>0</v>
      </c>
      <c r="S108" s="14" cm="1">
        <f t="array" ref="S108">INT(SUMPRODUCT(--ISNUMBER(SEARCH(immigration,C108)))&gt;0)</f>
        <v>0</v>
      </c>
      <c r="T108" s="14" cm="1">
        <f t="array" ref="T108">INT(SUMPRODUCT(--ISNUMBER(SEARCH(econineq,C108)))&gt;0)</f>
        <v>0</v>
      </c>
      <c r="U108" s="14" cm="1">
        <f t="array" ref="U108">INT(SUMPRODUCT(--ISNUMBER(SEARCH(climate,'David Perdue'!C108)))&gt;0)</f>
        <v>0</v>
      </c>
      <c r="V108" s="14" cm="1">
        <f t="array" ref="V108">INT(SUMPRODUCT(--ISNUMBER(SEARCH(abortion,'David Perdue'!C108)))&gt;0)</f>
        <v>0</v>
      </c>
      <c r="W108" s="14" cm="1">
        <f t="array" ref="W108">INT(SUMPRODUCT(--ISNUMBER(SEARCH(trump,'David Perdue'!C108)))&gt;0)</f>
        <v>0</v>
      </c>
      <c r="X108" s="14" cm="1">
        <f t="array" ref="X108">INT(SUMPRODUCT(--ISNUMBER(SEARCH(voting,'David Perdue'!C108)))&gt;0)</f>
        <v>0</v>
      </c>
      <c r="Y108" s="14" cm="1">
        <f t="array" ref="Y108">INT(SUMPRODUCT(--ISNUMBER(SEARCH(republicantrigger,'David Perdue'!C108)))&gt;0)</f>
        <v>0</v>
      </c>
      <c r="Z108" s="14" cm="1">
        <f t="array" ref="Z108">INT(SUMPRODUCT(--ISNUMBER(SEARCH(bipartisan,'David Perdue'!C108)))&gt;0)</f>
        <v>0</v>
      </c>
      <c r="AA108" s="14">
        <f t="shared" si="3"/>
        <v>0</v>
      </c>
      <c r="AB108" s="14"/>
      <c r="AC108" s="30" t="s">
        <v>223</v>
      </c>
      <c r="AD108" s="37" t="s">
        <v>223</v>
      </c>
    </row>
    <row r="109" spans="1:30" x14ac:dyDescent="0.25">
      <c r="A109" s="54">
        <v>425</v>
      </c>
      <c r="B109" s="14" t="s">
        <v>881</v>
      </c>
      <c r="C109" s="14" t="s">
        <v>882</v>
      </c>
      <c r="D109" s="17">
        <v>44119</v>
      </c>
      <c r="E109" s="14" t="s">
        <v>30</v>
      </c>
      <c r="F109" s="14">
        <v>22</v>
      </c>
      <c r="G109" s="14">
        <v>10</v>
      </c>
      <c r="H109" s="14">
        <v>3</v>
      </c>
      <c r="I109" s="14">
        <v>2</v>
      </c>
      <c r="J109" s="14" t="s">
        <v>31</v>
      </c>
      <c r="K109" s="14" cm="1">
        <f t="array" ref="K109">INT(SUMPRODUCT(--ISNUMBER(SEARCH(economy,'David Perdue'!C109)))&gt;0)</f>
        <v>1</v>
      </c>
      <c r="L109" s="14" cm="1">
        <f t="array" ref="L109">INT(SUMPRODUCT(--ISNUMBER(SEARCH(healthcare,'David Perdue'!C109)))&gt;0)</f>
        <v>0</v>
      </c>
      <c r="M109" s="14" cm="1">
        <f t="array" ref="M109">INT(SUMPRODUCT(--ISNUMBER(SEARCH(supreme,'David Perdue'!C109)))&gt;0)</f>
        <v>0</v>
      </c>
      <c r="N109" s="14" cm="1">
        <f t="array" ref="N109">INT(SUMPRODUCT(--ISNUMBER(SEARCH(covid,'David Perdue'!C109)))&gt;0)</f>
        <v>1</v>
      </c>
      <c r="O109" s="14" cm="1">
        <f t="array" ref="O109">INT(SUMPRODUCT(--ISNUMBER(SEARCH(violent,'David Perdue'!C109)))&gt;0)</f>
        <v>0</v>
      </c>
      <c r="P109" s="14" cm="1">
        <f t="array" ref="P109">INT(SUMPRODUCT(--ISNUMBER(SEARCH(foreign,'David Perdue'!C109)))&gt;0)</f>
        <v>0</v>
      </c>
      <c r="Q109" s="14" cm="1">
        <f t="array" ref="Q109">INT(SUMPRODUCT(--ISNUMBER(SEARCH(gun,'David Perdue'!C109)))&gt;0)</f>
        <v>0</v>
      </c>
      <c r="R109" s="14" cm="1">
        <f t="array" ref="R109">INT(SUMPRODUCT(--ISNUMBER(SEARCH(race,'David Perdue'!C109)))&gt;0)</f>
        <v>0</v>
      </c>
      <c r="S109" s="14" cm="1">
        <f t="array" ref="S109">INT(SUMPRODUCT(--ISNUMBER(SEARCH(immigration,C109)))&gt;0)</f>
        <v>0</v>
      </c>
      <c r="T109" s="14" cm="1">
        <f t="array" ref="T109">INT(SUMPRODUCT(--ISNUMBER(SEARCH(econineq,C109)))&gt;0)</f>
        <v>0</v>
      </c>
      <c r="U109" s="14" cm="1">
        <f t="array" ref="U109">INT(SUMPRODUCT(--ISNUMBER(SEARCH(climate,'David Perdue'!C109)))&gt;0)</f>
        <v>0</v>
      </c>
      <c r="V109" s="14" cm="1">
        <f t="array" ref="V109">INT(SUMPRODUCT(--ISNUMBER(SEARCH(abortion,'David Perdue'!C109)))&gt;0)</f>
        <v>0</v>
      </c>
      <c r="W109" s="14" cm="1">
        <f t="array" ref="W109">INT(SUMPRODUCT(--ISNUMBER(SEARCH(trump,'David Perdue'!C109)))&gt;0)</f>
        <v>0</v>
      </c>
      <c r="X109" s="14" cm="1">
        <f t="array" ref="X109">INT(SUMPRODUCT(--ISNUMBER(SEARCH(voting,'David Perdue'!C109)))&gt;0)</f>
        <v>0</v>
      </c>
      <c r="Y109" s="14" cm="1">
        <f t="array" ref="Y109">INT(SUMPRODUCT(--ISNUMBER(SEARCH(republicantrigger,'David Perdue'!C109)))&gt;0)</f>
        <v>1</v>
      </c>
      <c r="Z109" s="14" cm="1">
        <f t="array" ref="Z109">INT(SUMPRODUCT(--ISNUMBER(SEARCH(bipartisan,'David Perdue'!C109)))&gt;0)</f>
        <v>0</v>
      </c>
      <c r="AA109" s="14">
        <f t="shared" si="3"/>
        <v>0</v>
      </c>
      <c r="AB109" s="14"/>
      <c r="AC109" s="30" t="s">
        <v>223</v>
      </c>
      <c r="AD109" s="37" t="s">
        <v>223</v>
      </c>
    </row>
    <row r="110" spans="1:30" x14ac:dyDescent="0.25">
      <c r="A110" s="54">
        <v>426</v>
      </c>
      <c r="B110" s="14" t="s">
        <v>883</v>
      </c>
      <c r="C110" s="14" t="s">
        <v>884</v>
      </c>
      <c r="D110" s="17">
        <v>44119</v>
      </c>
      <c r="E110" s="14" t="s">
        <v>30</v>
      </c>
      <c r="F110" s="14">
        <v>14</v>
      </c>
      <c r="G110" s="14">
        <v>3</v>
      </c>
      <c r="H110" s="14">
        <v>3</v>
      </c>
      <c r="I110" s="14">
        <v>2</v>
      </c>
      <c r="J110" s="14" t="s">
        <v>31</v>
      </c>
      <c r="K110" s="14" cm="1">
        <f t="array" ref="K110">INT(SUMPRODUCT(--ISNUMBER(SEARCH(economy,'David Perdue'!C110)))&gt;0)</f>
        <v>1</v>
      </c>
      <c r="L110" s="14" cm="1">
        <f t="array" ref="L110">INT(SUMPRODUCT(--ISNUMBER(SEARCH(healthcare,'David Perdue'!C110)))&gt;0)</f>
        <v>0</v>
      </c>
      <c r="M110" s="14" cm="1">
        <f t="array" ref="M110">INT(SUMPRODUCT(--ISNUMBER(SEARCH(supreme,'David Perdue'!C110)))&gt;0)</f>
        <v>0</v>
      </c>
      <c r="N110" s="14" cm="1">
        <f t="array" ref="N110">INT(SUMPRODUCT(--ISNUMBER(SEARCH(covid,'David Perdue'!C110)))&gt;0)</f>
        <v>0</v>
      </c>
      <c r="O110" s="14" cm="1">
        <f t="array" ref="O110">INT(SUMPRODUCT(--ISNUMBER(SEARCH(violent,'David Perdue'!C110)))&gt;0)</f>
        <v>0</v>
      </c>
      <c r="P110" s="14" cm="1">
        <f t="array" ref="P110">INT(SUMPRODUCT(--ISNUMBER(SEARCH(foreign,'David Perdue'!C110)))&gt;0)</f>
        <v>0</v>
      </c>
      <c r="Q110" s="14" cm="1">
        <f t="array" ref="Q110">INT(SUMPRODUCT(--ISNUMBER(SEARCH(gun,'David Perdue'!C110)))&gt;0)</f>
        <v>0</v>
      </c>
      <c r="R110" s="14" cm="1">
        <f t="array" ref="R110">INT(SUMPRODUCT(--ISNUMBER(SEARCH(race,'David Perdue'!C110)))&gt;0)</f>
        <v>0</v>
      </c>
      <c r="S110" s="14" cm="1">
        <f t="array" ref="S110">INT(SUMPRODUCT(--ISNUMBER(SEARCH(immigration,C110)))&gt;0)</f>
        <v>0</v>
      </c>
      <c r="T110" s="14" cm="1">
        <f t="array" ref="T110">INT(SUMPRODUCT(--ISNUMBER(SEARCH(econineq,C110)))&gt;0)</f>
        <v>0</v>
      </c>
      <c r="U110" s="14" cm="1">
        <f t="array" ref="U110">INT(SUMPRODUCT(--ISNUMBER(SEARCH(climate,'David Perdue'!C110)))&gt;0)</f>
        <v>0</v>
      </c>
      <c r="V110" s="14" cm="1">
        <f t="array" ref="V110">INT(SUMPRODUCT(--ISNUMBER(SEARCH(abortion,'David Perdue'!C110)))&gt;0)</f>
        <v>0</v>
      </c>
      <c r="W110" s="14" cm="1">
        <f t="array" ref="W110">INT(SUMPRODUCT(--ISNUMBER(SEARCH(trump,'David Perdue'!C110)))&gt;0)</f>
        <v>0</v>
      </c>
      <c r="X110" s="14" cm="1">
        <f t="array" ref="X110">INT(SUMPRODUCT(--ISNUMBER(SEARCH(voting,'David Perdue'!C110)))&gt;0)</f>
        <v>0</v>
      </c>
      <c r="Y110" s="14" cm="1">
        <f t="array" ref="Y110">INT(SUMPRODUCT(--ISNUMBER(SEARCH(republicantrigger,'David Perdue'!C110)))&gt;0)</f>
        <v>0</v>
      </c>
      <c r="Z110" s="14" cm="1">
        <f t="array" ref="Z110">INT(SUMPRODUCT(--ISNUMBER(SEARCH(bipartisan,'David Perdue'!C110)))&gt;0)</f>
        <v>0</v>
      </c>
      <c r="AA110" s="14">
        <f t="shared" si="3"/>
        <v>0</v>
      </c>
      <c r="AB110" s="14"/>
      <c r="AC110" s="30" t="s">
        <v>223</v>
      </c>
      <c r="AD110" s="37" t="s">
        <v>223</v>
      </c>
    </row>
    <row r="111" spans="1:30" x14ac:dyDescent="0.25">
      <c r="A111" s="54">
        <v>427</v>
      </c>
      <c r="B111" s="14" t="s">
        <v>885</v>
      </c>
      <c r="C111" s="14" t="s">
        <v>886</v>
      </c>
      <c r="D111" s="17">
        <v>44119</v>
      </c>
      <c r="E111" s="14" t="s">
        <v>30</v>
      </c>
      <c r="F111" s="14">
        <v>1193</v>
      </c>
      <c r="G111" s="14">
        <v>239</v>
      </c>
      <c r="H111" s="14">
        <v>3</v>
      </c>
      <c r="I111" s="14">
        <v>2</v>
      </c>
      <c r="J111" s="14" t="s">
        <v>31</v>
      </c>
      <c r="K111" s="14" cm="1">
        <f t="array" ref="K111">INT(SUMPRODUCT(--ISNUMBER(SEARCH(economy,'David Perdue'!C111)))&gt;0)</f>
        <v>1</v>
      </c>
      <c r="L111" s="14" cm="1">
        <f t="array" ref="L111">INT(SUMPRODUCT(--ISNUMBER(SEARCH(healthcare,'David Perdue'!C111)))&gt;0)</f>
        <v>0</v>
      </c>
      <c r="M111" s="14" cm="1">
        <f t="array" ref="M111">INT(SUMPRODUCT(--ISNUMBER(SEARCH(supreme,'David Perdue'!C111)))&gt;0)</f>
        <v>0</v>
      </c>
      <c r="N111" s="14" cm="1">
        <f t="array" ref="N111">INT(SUMPRODUCT(--ISNUMBER(SEARCH(covid,'David Perdue'!C111)))&gt;0)</f>
        <v>1</v>
      </c>
      <c r="O111" s="14" cm="1">
        <f t="array" ref="O111">INT(SUMPRODUCT(--ISNUMBER(SEARCH(violent,'David Perdue'!C111)))&gt;0)</f>
        <v>0</v>
      </c>
      <c r="P111" s="14" cm="1">
        <f t="array" ref="P111">INT(SUMPRODUCT(--ISNUMBER(SEARCH(foreign,'David Perdue'!C111)))&gt;0)</f>
        <v>0</v>
      </c>
      <c r="Q111" s="14" cm="1">
        <f t="array" ref="Q111">INT(SUMPRODUCT(--ISNUMBER(SEARCH(gun,'David Perdue'!C111)))&gt;0)</f>
        <v>0</v>
      </c>
      <c r="R111" s="14" cm="1">
        <f t="array" ref="R111">INT(SUMPRODUCT(--ISNUMBER(SEARCH(race,'David Perdue'!C111)))&gt;0)</f>
        <v>0</v>
      </c>
      <c r="S111" s="14" cm="1">
        <f t="array" ref="S111">INT(SUMPRODUCT(--ISNUMBER(SEARCH(immigration,C111)))&gt;0)</f>
        <v>0</v>
      </c>
      <c r="T111" s="14" cm="1">
        <f t="array" ref="T111">INT(SUMPRODUCT(--ISNUMBER(SEARCH(econineq,C111)))&gt;0)</f>
        <v>0</v>
      </c>
      <c r="U111" s="14" cm="1">
        <f t="array" ref="U111">INT(SUMPRODUCT(--ISNUMBER(SEARCH(climate,'David Perdue'!C111)))&gt;0)</f>
        <v>0</v>
      </c>
      <c r="V111" s="14" cm="1">
        <f t="array" ref="V111">INT(SUMPRODUCT(--ISNUMBER(SEARCH(abortion,'David Perdue'!C111)))&gt;0)</f>
        <v>0</v>
      </c>
      <c r="W111" s="14" cm="1">
        <f t="array" ref="W111">INT(SUMPRODUCT(--ISNUMBER(SEARCH(trump,'David Perdue'!C111)))&gt;0)</f>
        <v>1</v>
      </c>
      <c r="X111" s="14" cm="1">
        <f t="array" ref="X111">INT(SUMPRODUCT(--ISNUMBER(SEARCH(voting,'David Perdue'!C111)))&gt;0)</f>
        <v>0</v>
      </c>
      <c r="Y111" s="14" cm="1">
        <f t="array" ref="Y111">INT(SUMPRODUCT(--ISNUMBER(SEARCH(republicantrigger,'David Perdue'!C111)))&gt;0)</f>
        <v>0</v>
      </c>
      <c r="Z111" s="14" cm="1">
        <f t="array" ref="Z111">INT(SUMPRODUCT(--ISNUMBER(SEARCH(bipartisan,'David Perdue'!C111)))&gt;0)</f>
        <v>0</v>
      </c>
      <c r="AA111" s="14">
        <f t="shared" si="3"/>
        <v>0</v>
      </c>
      <c r="AB111" s="14"/>
      <c r="AC111" s="30">
        <v>0</v>
      </c>
      <c r="AD111" s="37">
        <v>1</v>
      </c>
    </row>
    <row r="112" spans="1:30" x14ac:dyDescent="0.25">
      <c r="A112" s="54">
        <v>428</v>
      </c>
      <c r="B112" s="14" t="s">
        <v>887</v>
      </c>
      <c r="C112" s="14" t="s">
        <v>888</v>
      </c>
      <c r="D112" s="17">
        <v>44119</v>
      </c>
      <c r="E112" s="14" t="s">
        <v>30</v>
      </c>
      <c r="F112" s="14">
        <v>17</v>
      </c>
      <c r="G112" s="14">
        <v>7</v>
      </c>
      <c r="H112" s="14">
        <v>3</v>
      </c>
      <c r="I112" s="14">
        <v>2</v>
      </c>
      <c r="J112" s="14" t="s">
        <v>31</v>
      </c>
      <c r="K112" s="14" cm="1">
        <f t="array" ref="K112">INT(SUMPRODUCT(--ISNUMBER(SEARCH(economy,'David Perdue'!C112)))&gt;0)</f>
        <v>0</v>
      </c>
      <c r="L112" s="14" cm="1">
        <f t="array" ref="L112">INT(SUMPRODUCT(--ISNUMBER(SEARCH(healthcare,'David Perdue'!C112)))&gt;0)</f>
        <v>0</v>
      </c>
      <c r="M112" s="14" cm="1">
        <f t="array" ref="M112">INT(SUMPRODUCT(--ISNUMBER(SEARCH(supreme,'David Perdue'!C112)))&gt;0)</f>
        <v>0</v>
      </c>
      <c r="N112" s="14" cm="1">
        <f t="array" ref="N112">INT(SUMPRODUCT(--ISNUMBER(SEARCH(covid,'David Perdue'!C112)))&gt;0)</f>
        <v>0</v>
      </c>
      <c r="O112" s="14" cm="1">
        <f t="array" ref="O112">INT(SUMPRODUCT(--ISNUMBER(SEARCH(violent,'David Perdue'!C112)))&gt;0)</f>
        <v>0</v>
      </c>
      <c r="P112" s="14" cm="1">
        <f t="array" ref="P112">INT(SUMPRODUCT(--ISNUMBER(SEARCH(foreign,'David Perdue'!C112)))&gt;0)</f>
        <v>0</v>
      </c>
      <c r="Q112" s="14" cm="1">
        <f t="array" ref="Q112">INT(SUMPRODUCT(--ISNUMBER(SEARCH(gun,'David Perdue'!C112)))&gt;0)</f>
        <v>0</v>
      </c>
      <c r="R112" s="14" cm="1">
        <f t="array" ref="R112">INT(SUMPRODUCT(--ISNUMBER(SEARCH(race,'David Perdue'!C112)))&gt;0)</f>
        <v>0</v>
      </c>
      <c r="S112" s="14" cm="1">
        <f t="array" ref="S112">INT(SUMPRODUCT(--ISNUMBER(SEARCH(immigration,C112)))&gt;0)</f>
        <v>0</v>
      </c>
      <c r="T112" s="14" cm="1">
        <f t="array" ref="T112">INT(SUMPRODUCT(--ISNUMBER(SEARCH(econineq,C112)))&gt;0)</f>
        <v>0</v>
      </c>
      <c r="U112" s="14" cm="1">
        <f t="array" ref="U112">INT(SUMPRODUCT(--ISNUMBER(SEARCH(climate,'David Perdue'!C112)))&gt;0)</f>
        <v>0</v>
      </c>
      <c r="V112" s="14" cm="1">
        <f t="array" ref="V112">INT(SUMPRODUCT(--ISNUMBER(SEARCH(abortion,'David Perdue'!C112)))&gt;0)</f>
        <v>0</v>
      </c>
      <c r="W112" s="14" cm="1">
        <f t="array" ref="W112">INT(SUMPRODUCT(--ISNUMBER(SEARCH(trump,'David Perdue'!C112)))&gt;0)</f>
        <v>0</v>
      </c>
      <c r="X112" s="14" cm="1">
        <f t="array" ref="X112">INT(SUMPRODUCT(--ISNUMBER(SEARCH(voting,'David Perdue'!C112)))&gt;0)</f>
        <v>1</v>
      </c>
      <c r="Y112" s="14" cm="1">
        <f t="array" ref="Y112">INT(SUMPRODUCT(--ISNUMBER(SEARCH(republicantrigger,'David Perdue'!C112)))&gt;0)</f>
        <v>1</v>
      </c>
      <c r="Z112" s="14" cm="1">
        <f t="array" ref="Z112">INT(SUMPRODUCT(--ISNUMBER(SEARCH(bipartisan,'David Perdue'!C112)))&gt;0)</f>
        <v>0</v>
      </c>
      <c r="AA112" s="14">
        <f t="shared" si="3"/>
        <v>0</v>
      </c>
      <c r="AB112" s="14"/>
      <c r="AC112" s="30">
        <v>0</v>
      </c>
      <c r="AD112" s="37">
        <v>1</v>
      </c>
    </row>
    <row r="113" spans="1:30" x14ac:dyDescent="0.25">
      <c r="A113" s="54">
        <v>429</v>
      </c>
      <c r="B113" s="14" t="s">
        <v>889</v>
      </c>
      <c r="C113" s="14" t="s">
        <v>890</v>
      </c>
      <c r="D113" s="17">
        <v>44119</v>
      </c>
      <c r="E113" s="14" t="s">
        <v>30</v>
      </c>
      <c r="F113" s="14">
        <v>48</v>
      </c>
      <c r="G113" s="14">
        <v>23</v>
      </c>
      <c r="H113" s="14">
        <v>3</v>
      </c>
      <c r="I113" s="14">
        <v>2</v>
      </c>
      <c r="J113" s="14" t="s">
        <v>31</v>
      </c>
      <c r="K113" s="14" cm="1">
        <f t="array" ref="K113">INT(SUMPRODUCT(--ISNUMBER(SEARCH(economy,'David Perdue'!C113)))&gt;0)</f>
        <v>0</v>
      </c>
      <c r="L113" s="14" cm="1">
        <f t="array" ref="L113">INT(SUMPRODUCT(--ISNUMBER(SEARCH(healthcare,'David Perdue'!C113)))&gt;0)</f>
        <v>0</v>
      </c>
      <c r="M113" s="14" cm="1">
        <f t="array" ref="M113">INT(SUMPRODUCT(--ISNUMBER(SEARCH(supreme,'David Perdue'!C113)))&gt;0)</f>
        <v>0</v>
      </c>
      <c r="N113" s="14" cm="1">
        <f t="array" ref="N113">INT(SUMPRODUCT(--ISNUMBER(SEARCH(covid,'David Perdue'!C113)))&gt;0)</f>
        <v>0</v>
      </c>
      <c r="O113" s="14" cm="1">
        <f t="array" ref="O113">INT(SUMPRODUCT(--ISNUMBER(SEARCH(violent,'David Perdue'!C113)))&gt;0)</f>
        <v>0</v>
      </c>
      <c r="P113" s="14" cm="1">
        <f t="array" ref="P113">INT(SUMPRODUCT(--ISNUMBER(SEARCH(foreign,'David Perdue'!C113)))&gt;0)</f>
        <v>0</v>
      </c>
      <c r="Q113" s="14" cm="1">
        <f t="array" ref="Q113">INT(SUMPRODUCT(--ISNUMBER(SEARCH(gun,'David Perdue'!C113)))&gt;0)</f>
        <v>0</v>
      </c>
      <c r="R113" s="14" cm="1">
        <f t="array" ref="R113">INT(SUMPRODUCT(--ISNUMBER(SEARCH(race,'David Perdue'!C113)))&gt;0)</f>
        <v>0</v>
      </c>
      <c r="S113" s="14" cm="1">
        <f t="array" ref="S113">INT(SUMPRODUCT(--ISNUMBER(SEARCH(immigration,C113)))&gt;0)</f>
        <v>0</v>
      </c>
      <c r="T113" s="14" cm="1">
        <f t="array" ref="T113">INT(SUMPRODUCT(--ISNUMBER(SEARCH(econineq,C113)))&gt;0)</f>
        <v>0</v>
      </c>
      <c r="U113" s="14" cm="1">
        <f t="array" ref="U113">INT(SUMPRODUCT(--ISNUMBER(SEARCH(climate,'David Perdue'!C113)))&gt;0)</f>
        <v>1</v>
      </c>
      <c r="V113" s="14" cm="1">
        <f t="array" ref="V113">INT(SUMPRODUCT(--ISNUMBER(SEARCH(abortion,'David Perdue'!C113)))&gt;0)</f>
        <v>0</v>
      </c>
      <c r="W113" s="14" cm="1">
        <f t="array" ref="W113">INT(SUMPRODUCT(--ISNUMBER(SEARCH(trump,'David Perdue'!C113)))&gt;0)</f>
        <v>0</v>
      </c>
      <c r="X113" s="14" cm="1">
        <f t="array" ref="X113">INT(SUMPRODUCT(--ISNUMBER(SEARCH(voting,'David Perdue'!C113)))&gt;0)</f>
        <v>0</v>
      </c>
      <c r="Y113" s="14" cm="1">
        <f t="array" ref="Y113">INT(SUMPRODUCT(--ISNUMBER(SEARCH(republicantrigger,'David Perdue'!C113)))&gt;0)</f>
        <v>0</v>
      </c>
      <c r="Z113" s="14" cm="1">
        <f t="array" ref="Z113">INT(SUMPRODUCT(--ISNUMBER(SEARCH(bipartisan,'David Perdue'!C113)))&gt;0)</f>
        <v>0</v>
      </c>
      <c r="AA113" s="14">
        <f t="shared" si="3"/>
        <v>0</v>
      </c>
      <c r="AB113" s="14"/>
      <c r="AC113" s="30">
        <v>1</v>
      </c>
      <c r="AD113" s="37">
        <v>0</v>
      </c>
    </row>
    <row r="114" spans="1:30" x14ac:dyDescent="0.25">
      <c r="A114" s="54">
        <v>430</v>
      </c>
      <c r="B114" s="14" t="s">
        <v>891</v>
      </c>
      <c r="C114" s="14" t="s">
        <v>892</v>
      </c>
      <c r="D114" s="17">
        <v>44119</v>
      </c>
      <c r="E114" s="14" t="s">
        <v>30</v>
      </c>
      <c r="F114" s="14">
        <v>42</v>
      </c>
      <c r="G114" s="14">
        <v>15</v>
      </c>
      <c r="H114" s="14">
        <v>3</v>
      </c>
      <c r="I114" s="14">
        <v>2</v>
      </c>
      <c r="J114" s="14" t="s">
        <v>31</v>
      </c>
      <c r="K114" s="14" cm="1">
        <f t="array" ref="K114">INT(SUMPRODUCT(--ISNUMBER(SEARCH(economy,'David Perdue'!C114)))&gt;0)</f>
        <v>0</v>
      </c>
      <c r="L114" s="14" cm="1">
        <f t="array" ref="L114">INT(SUMPRODUCT(--ISNUMBER(SEARCH(healthcare,'David Perdue'!C114)))&gt;0)</f>
        <v>0</v>
      </c>
      <c r="M114" s="14" cm="1">
        <f t="array" ref="M114">INT(SUMPRODUCT(--ISNUMBER(SEARCH(supreme,'David Perdue'!C114)))&gt;0)</f>
        <v>0</v>
      </c>
      <c r="N114" s="14" cm="1">
        <f t="array" ref="N114">INT(SUMPRODUCT(--ISNUMBER(SEARCH(covid,'David Perdue'!C114)))&gt;0)</f>
        <v>0</v>
      </c>
      <c r="O114" s="14" cm="1">
        <f t="array" ref="O114">INT(SUMPRODUCT(--ISNUMBER(SEARCH(violent,'David Perdue'!C114)))&gt;0)</f>
        <v>0</v>
      </c>
      <c r="P114" s="14" cm="1">
        <f t="array" ref="P114">INT(SUMPRODUCT(--ISNUMBER(SEARCH(foreign,'David Perdue'!C114)))&gt;0)</f>
        <v>0</v>
      </c>
      <c r="Q114" s="14" cm="1">
        <f t="array" ref="Q114">INT(SUMPRODUCT(--ISNUMBER(SEARCH(gun,'David Perdue'!C114)))&gt;0)</f>
        <v>0</v>
      </c>
      <c r="R114" s="14" cm="1">
        <f t="array" ref="R114">INT(SUMPRODUCT(--ISNUMBER(SEARCH(race,'David Perdue'!C114)))&gt;0)</f>
        <v>0</v>
      </c>
      <c r="S114" s="14" cm="1">
        <f t="array" ref="S114">INT(SUMPRODUCT(--ISNUMBER(SEARCH(immigration,C114)))&gt;0)</f>
        <v>0</v>
      </c>
      <c r="T114" s="14" cm="1">
        <f t="array" ref="T114">INT(SUMPRODUCT(--ISNUMBER(SEARCH(econineq,C114)))&gt;0)</f>
        <v>0</v>
      </c>
      <c r="U114" s="14" cm="1">
        <f t="array" ref="U114">INT(SUMPRODUCT(--ISNUMBER(SEARCH(climate,'David Perdue'!C114)))&gt;0)</f>
        <v>1</v>
      </c>
      <c r="V114" s="14" cm="1">
        <f t="array" ref="V114">INT(SUMPRODUCT(--ISNUMBER(SEARCH(abortion,'David Perdue'!C114)))&gt;0)</f>
        <v>0</v>
      </c>
      <c r="W114" s="14" cm="1">
        <f t="array" ref="W114">INT(SUMPRODUCT(--ISNUMBER(SEARCH(trump,'David Perdue'!C114)))&gt;0)</f>
        <v>0</v>
      </c>
      <c r="X114" s="14" cm="1">
        <f t="array" ref="X114">INT(SUMPRODUCT(--ISNUMBER(SEARCH(voting,'David Perdue'!C114)))&gt;0)</f>
        <v>0</v>
      </c>
      <c r="Y114" s="14" cm="1">
        <f t="array" ref="Y114">INT(SUMPRODUCT(--ISNUMBER(SEARCH(republicantrigger,'David Perdue'!C114)))&gt;0)</f>
        <v>0</v>
      </c>
      <c r="Z114" s="14" cm="1">
        <f t="array" ref="Z114">INT(SUMPRODUCT(--ISNUMBER(SEARCH(bipartisan,'David Perdue'!C114)))&gt;0)</f>
        <v>0</v>
      </c>
      <c r="AA114" s="14">
        <f t="shared" si="3"/>
        <v>0</v>
      </c>
      <c r="AB114" s="14"/>
      <c r="AC114" s="30">
        <v>1</v>
      </c>
      <c r="AD114" s="37">
        <v>0</v>
      </c>
    </row>
    <row r="115" spans="1:30" x14ac:dyDescent="0.25">
      <c r="A115" s="54">
        <v>431</v>
      </c>
      <c r="B115" s="14" t="s">
        <v>893</v>
      </c>
      <c r="C115" s="14" t="s">
        <v>894</v>
      </c>
      <c r="D115" s="17">
        <v>44119</v>
      </c>
      <c r="E115" s="14" t="s">
        <v>30</v>
      </c>
      <c r="F115" s="14">
        <v>13</v>
      </c>
      <c r="G115" s="14">
        <v>5</v>
      </c>
      <c r="H115" s="14">
        <v>3</v>
      </c>
      <c r="I115" s="14">
        <v>2</v>
      </c>
      <c r="J115" s="14" t="s">
        <v>31</v>
      </c>
      <c r="K115" s="14" cm="1">
        <f t="array" ref="K115">INT(SUMPRODUCT(--ISNUMBER(SEARCH(economy,'David Perdue'!C115)))&gt;0)</f>
        <v>0</v>
      </c>
      <c r="L115" s="14" cm="1">
        <f t="array" ref="L115">INT(SUMPRODUCT(--ISNUMBER(SEARCH(healthcare,'David Perdue'!C115)))&gt;0)</f>
        <v>0</v>
      </c>
      <c r="M115" s="14" cm="1">
        <f t="array" ref="M115">INT(SUMPRODUCT(--ISNUMBER(SEARCH(supreme,'David Perdue'!C115)))&gt;0)</f>
        <v>0</v>
      </c>
      <c r="N115" s="14" cm="1">
        <f t="array" ref="N115">INT(SUMPRODUCT(--ISNUMBER(SEARCH(covid,'David Perdue'!C115)))&gt;0)</f>
        <v>0</v>
      </c>
      <c r="O115" s="14" cm="1">
        <f t="array" ref="O115">INT(SUMPRODUCT(--ISNUMBER(SEARCH(violent,'David Perdue'!C115)))&gt;0)</f>
        <v>0</v>
      </c>
      <c r="P115" s="14" cm="1">
        <f t="array" ref="P115">INT(SUMPRODUCT(--ISNUMBER(SEARCH(foreign,'David Perdue'!C115)))&gt;0)</f>
        <v>0</v>
      </c>
      <c r="Q115" s="14" cm="1">
        <f t="array" ref="Q115">INT(SUMPRODUCT(--ISNUMBER(SEARCH(gun,'David Perdue'!C115)))&gt;0)</f>
        <v>0</v>
      </c>
      <c r="R115" s="14" cm="1">
        <f t="array" ref="R115">INT(SUMPRODUCT(--ISNUMBER(SEARCH(race,'David Perdue'!C115)))&gt;0)</f>
        <v>0</v>
      </c>
      <c r="S115" s="14" cm="1">
        <f t="array" ref="S115">INT(SUMPRODUCT(--ISNUMBER(SEARCH(immigration,C115)))&gt;0)</f>
        <v>0</v>
      </c>
      <c r="T115" s="14" cm="1">
        <f t="array" ref="T115">INT(SUMPRODUCT(--ISNUMBER(SEARCH(econineq,C115)))&gt;0)</f>
        <v>0</v>
      </c>
      <c r="U115" s="14" cm="1">
        <f t="array" ref="U115">INT(SUMPRODUCT(--ISNUMBER(SEARCH(climate,'David Perdue'!C115)))&gt;0)</f>
        <v>0</v>
      </c>
      <c r="V115" s="14" cm="1">
        <f t="array" ref="V115">INT(SUMPRODUCT(--ISNUMBER(SEARCH(abortion,'David Perdue'!C115)))&gt;0)</f>
        <v>0</v>
      </c>
      <c r="W115" s="14" cm="1">
        <f t="array" ref="W115">INT(SUMPRODUCT(--ISNUMBER(SEARCH(trump,'David Perdue'!C115)))&gt;0)</f>
        <v>0</v>
      </c>
      <c r="X115" s="14" cm="1">
        <f t="array" ref="X115">INT(SUMPRODUCT(--ISNUMBER(SEARCH(voting,'David Perdue'!C115)))&gt;0)</f>
        <v>1</v>
      </c>
      <c r="Y115" s="14" cm="1">
        <f t="array" ref="Y115">INT(SUMPRODUCT(--ISNUMBER(SEARCH(republicantrigger,'David Perdue'!C115)))&gt;0)</f>
        <v>1</v>
      </c>
      <c r="Z115" s="14" cm="1">
        <f t="array" ref="Z115">INT(SUMPRODUCT(--ISNUMBER(SEARCH(bipartisan,'David Perdue'!C115)))&gt;0)</f>
        <v>0</v>
      </c>
      <c r="AA115" s="14">
        <f t="shared" si="3"/>
        <v>0</v>
      </c>
      <c r="AB115" s="14"/>
      <c r="AC115" s="30" t="s">
        <v>223</v>
      </c>
      <c r="AD115" s="37" t="s">
        <v>223</v>
      </c>
    </row>
    <row r="116" spans="1:30" x14ac:dyDescent="0.25">
      <c r="A116" s="54">
        <v>432</v>
      </c>
      <c r="B116" s="14" t="s">
        <v>895</v>
      </c>
      <c r="C116" s="14" t="s">
        <v>896</v>
      </c>
      <c r="D116" s="17">
        <v>44119</v>
      </c>
      <c r="E116" s="14" t="s">
        <v>30</v>
      </c>
      <c r="F116" s="14">
        <v>22</v>
      </c>
      <c r="G116" s="14">
        <v>5</v>
      </c>
      <c r="H116" s="14">
        <v>3</v>
      </c>
      <c r="I116" s="14">
        <v>2</v>
      </c>
      <c r="J116" s="14" t="s">
        <v>31</v>
      </c>
      <c r="K116" s="14" cm="1">
        <f t="array" ref="K116">INT(SUMPRODUCT(--ISNUMBER(SEARCH(economy,'David Perdue'!C116)))&gt;0)</f>
        <v>0</v>
      </c>
      <c r="L116" s="14" cm="1">
        <f t="array" ref="L116">INT(SUMPRODUCT(--ISNUMBER(SEARCH(healthcare,'David Perdue'!C116)))&gt;0)</f>
        <v>0</v>
      </c>
      <c r="M116" s="14" cm="1">
        <f t="array" ref="M116">INT(SUMPRODUCT(--ISNUMBER(SEARCH(supreme,'David Perdue'!C116)))&gt;0)</f>
        <v>0</v>
      </c>
      <c r="N116" s="14" cm="1">
        <f t="array" ref="N116">INT(SUMPRODUCT(--ISNUMBER(SEARCH(covid,'David Perdue'!C116)))&gt;0)</f>
        <v>0</v>
      </c>
      <c r="O116" s="14" cm="1">
        <f t="array" ref="O116">INT(SUMPRODUCT(--ISNUMBER(SEARCH(violent,'David Perdue'!C116)))&gt;0)</f>
        <v>0</v>
      </c>
      <c r="P116" s="14" cm="1">
        <f t="array" ref="P116">INT(SUMPRODUCT(--ISNUMBER(SEARCH(foreign,'David Perdue'!C116)))&gt;0)</f>
        <v>0</v>
      </c>
      <c r="Q116" s="14" cm="1">
        <f t="array" ref="Q116">INT(SUMPRODUCT(--ISNUMBER(SEARCH(gun,'David Perdue'!C116)))&gt;0)</f>
        <v>0</v>
      </c>
      <c r="R116" s="14" cm="1">
        <f t="array" ref="R116">INT(SUMPRODUCT(--ISNUMBER(SEARCH(race,'David Perdue'!C116)))&gt;0)</f>
        <v>0</v>
      </c>
      <c r="S116" s="14" cm="1">
        <f t="array" ref="S116">INT(SUMPRODUCT(--ISNUMBER(SEARCH(immigration,C116)))&gt;0)</f>
        <v>0</v>
      </c>
      <c r="T116" s="14" cm="1">
        <f t="array" ref="T116">INT(SUMPRODUCT(--ISNUMBER(SEARCH(econineq,C116)))&gt;0)</f>
        <v>0</v>
      </c>
      <c r="U116" s="14" cm="1">
        <f t="array" ref="U116">INT(SUMPRODUCT(--ISNUMBER(SEARCH(climate,'David Perdue'!C116)))&gt;0)</f>
        <v>0</v>
      </c>
      <c r="V116" s="14" cm="1">
        <f t="array" ref="V116">INT(SUMPRODUCT(--ISNUMBER(SEARCH(abortion,'David Perdue'!C116)))&gt;0)</f>
        <v>0</v>
      </c>
      <c r="W116" s="14" cm="1">
        <f t="array" ref="W116">INT(SUMPRODUCT(--ISNUMBER(SEARCH(trump,'David Perdue'!C116)))&gt;0)</f>
        <v>0</v>
      </c>
      <c r="X116" s="14" cm="1">
        <f t="array" ref="X116">INT(SUMPRODUCT(--ISNUMBER(SEARCH(voting,'David Perdue'!C116)))&gt;0)</f>
        <v>0</v>
      </c>
      <c r="Y116" s="14" cm="1">
        <f t="array" ref="Y116">INT(SUMPRODUCT(--ISNUMBER(SEARCH(republicantrigger,'David Perdue'!C116)))&gt;0)</f>
        <v>0</v>
      </c>
      <c r="Z116" s="14" cm="1">
        <f t="array" ref="Z116">INT(SUMPRODUCT(--ISNUMBER(SEARCH(bipartisan,'David Perdue'!C116)))&gt;0)</f>
        <v>0</v>
      </c>
      <c r="AA116" s="14">
        <f t="shared" si="3"/>
        <v>1</v>
      </c>
      <c r="AB116" s="14"/>
      <c r="AC116" s="30">
        <v>1</v>
      </c>
      <c r="AD116" s="37">
        <v>0</v>
      </c>
    </row>
    <row r="117" spans="1:30" x14ac:dyDescent="0.25">
      <c r="A117" s="54">
        <v>433</v>
      </c>
      <c r="B117" s="14" t="s">
        <v>897</v>
      </c>
      <c r="C117" s="14" t="s">
        <v>898</v>
      </c>
      <c r="D117" s="17">
        <v>44119</v>
      </c>
      <c r="E117" s="14" t="s">
        <v>30</v>
      </c>
      <c r="F117" s="14">
        <v>25</v>
      </c>
      <c r="G117" s="14">
        <v>15</v>
      </c>
      <c r="H117" s="14">
        <v>3</v>
      </c>
      <c r="I117" s="14">
        <v>2</v>
      </c>
      <c r="J117" s="14" t="s">
        <v>31</v>
      </c>
      <c r="K117" s="14" cm="1">
        <f t="array" ref="K117">INT(SUMPRODUCT(--ISNUMBER(SEARCH(economy,'David Perdue'!C117)))&gt;0)</f>
        <v>0</v>
      </c>
      <c r="L117" s="14" cm="1">
        <f t="array" ref="L117">INT(SUMPRODUCT(--ISNUMBER(SEARCH(healthcare,'David Perdue'!C117)))&gt;0)</f>
        <v>0</v>
      </c>
      <c r="M117" s="14" cm="1">
        <f t="array" ref="M117">INT(SUMPRODUCT(--ISNUMBER(SEARCH(supreme,'David Perdue'!C117)))&gt;0)</f>
        <v>0</v>
      </c>
      <c r="N117" s="14" cm="1">
        <f t="array" ref="N117">INT(SUMPRODUCT(--ISNUMBER(SEARCH(covid,'David Perdue'!C117)))&gt;0)</f>
        <v>0</v>
      </c>
      <c r="O117" s="14" cm="1">
        <f t="array" ref="O117">INT(SUMPRODUCT(--ISNUMBER(SEARCH(violent,'David Perdue'!C117)))&gt;0)</f>
        <v>0</v>
      </c>
      <c r="P117" s="14" cm="1">
        <f t="array" ref="P117">INT(SUMPRODUCT(--ISNUMBER(SEARCH(foreign,'David Perdue'!C117)))&gt;0)</f>
        <v>0</v>
      </c>
      <c r="Q117" s="14" cm="1">
        <f t="array" ref="Q117">INT(SUMPRODUCT(--ISNUMBER(SEARCH(gun,'David Perdue'!C117)))&gt;0)</f>
        <v>0</v>
      </c>
      <c r="R117" s="14" cm="1">
        <f t="array" ref="R117">INT(SUMPRODUCT(--ISNUMBER(SEARCH(race,'David Perdue'!C117)))&gt;0)</f>
        <v>0</v>
      </c>
      <c r="S117" s="14" cm="1">
        <f t="array" ref="S117">INT(SUMPRODUCT(--ISNUMBER(SEARCH(immigration,C117)))&gt;0)</f>
        <v>0</v>
      </c>
      <c r="T117" s="14" cm="1">
        <f t="array" ref="T117">INT(SUMPRODUCT(--ISNUMBER(SEARCH(econineq,C117)))&gt;0)</f>
        <v>0</v>
      </c>
      <c r="U117" s="14" cm="1">
        <f t="array" ref="U117">INT(SUMPRODUCT(--ISNUMBER(SEARCH(climate,'David Perdue'!C117)))&gt;0)</f>
        <v>0</v>
      </c>
      <c r="V117" s="14" cm="1">
        <f t="array" ref="V117">INT(SUMPRODUCT(--ISNUMBER(SEARCH(abortion,'David Perdue'!C117)))&gt;0)</f>
        <v>0</v>
      </c>
      <c r="W117" s="14" cm="1">
        <f t="array" ref="W117">INT(SUMPRODUCT(--ISNUMBER(SEARCH(trump,'David Perdue'!C117)))&gt;0)</f>
        <v>0</v>
      </c>
      <c r="X117" s="14" cm="1">
        <f t="array" ref="X117">INT(SUMPRODUCT(--ISNUMBER(SEARCH(voting,'David Perdue'!C117)))&gt;0)</f>
        <v>0</v>
      </c>
      <c r="Y117" s="14" cm="1">
        <f t="array" ref="Y117">INT(SUMPRODUCT(--ISNUMBER(SEARCH(republicantrigger,'David Perdue'!C117)))&gt;0)</f>
        <v>1</v>
      </c>
      <c r="Z117" s="14" cm="1">
        <f t="array" ref="Z117">INT(SUMPRODUCT(--ISNUMBER(SEARCH(bipartisan,'David Perdue'!C117)))&gt;0)</f>
        <v>0</v>
      </c>
      <c r="AA117" s="14">
        <f t="shared" si="3"/>
        <v>0</v>
      </c>
      <c r="AB117" s="14"/>
      <c r="AC117" s="30">
        <v>0</v>
      </c>
      <c r="AD117" s="37">
        <v>1</v>
      </c>
    </row>
    <row r="118" spans="1:30" x14ac:dyDescent="0.25">
      <c r="A118" s="54">
        <v>434</v>
      </c>
      <c r="B118" s="14" t="s">
        <v>899</v>
      </c>
      <c r="C118" s="14" t="s">
        <v>900</v>
      </c>
      <c r="D118" s="17">
        <v>44119</v>
      </c>
      <c r="E118" s="14" t="s">
        <v>30</v>
      </c>
      <c r="F118" s="14">
        <v>33</v>
      </c>
      <c r="G118" s="14">
        <v>10</v>
      </c>
      <c r="H118" s="14">
        <v>3</v>
      </c>
      <c r="I118" s="14">
        <v>2</v>
      </c>
      <c r="J118" s="14" t="s">
        <v>31</v>
      </c>
      <c r="K118" s="14" cm="1">
        <f t="array" ref="K118">INT(SUMPRODUCT(--ISNUMBER(SEARCH(economy,'David Perdue'!C118)))&gt;0)</f>
        <v>0</v>
      </c>
      <c r="L118" s="14" cm="1">
        <f t="array" ref="L118">INT(SUMPRODUCT(--ISNUMBER(SEARCH(healthcare,'David Perdue'!C118)))&gt;0)</f>
        <v>0</v>
      </c>
      <c r="M118" s="14" cm="1">
        <f t="array" ref="M118">INT(SUMPRODUCT(--ISNUMBER(SEARCH(supreme,'David Perdue'!C118)))&gt;0)</f>
        <v>0</v>
      </c>
      <c r="N118" s="14" cm="1">
        <f t="array" ref="N118">INT(SUMPRODUCT(--ISNUMBER(SEARCH(covid,'David Perdue'!C118)))&gt;0)</f>
        <v>0</v>
      </c>
      <c r="O118" s="14" cm="1">
        <f t="array" ref="O118">INT(SUMPRODUCT(--ISNUMBER(SEARCH(violent,'David Perdue'!C118)))&gt;0)</f>
        <v>0</v>
      </c>
      <c r="P118" s="14" cm="1">
        <f t="array" ref="P118">INT(SUMPRODUCT(--ISNUMBER(SEARCH(foreign,'David Perdue'!C118)))&gt;0)</f>
        <v>0</v>
      </c>
      <c r="Q118" s="14" cm="1">
        <f t="array" ref="Q118">INT(SUMPRODUCT(--ISNUMBER(SEARCH(gun,'David Perdue'!C118)))&gt;0)</f>
        <v>0</v>
      </c>
      <c r="R118" s="14" cm="1">
        <f t="array" ref="R118">INT(SUMPRODUCT(--ISNUMBER(SEARCH(race,'David Perdue'!C118)))&gt;0)</f>
        <v>0</v>
      </c>
      <c r="S118" s="14" cm="1">
        <f t="array" ref="S118">INT(SUMPRODUCT(--ISNUMBER(SEARCH(immigration,C118)))&gt;0)</f>
        <v>0</v>
      </c>
      <c r="T118" s="14" cm="1">
        <f t="array" ref="T118">INT(SUMPRODUCT(--ISNUMBER(SEARCH(econineq,C118)))&gt;0)</f>
        <v>0</v>
      </c>
      <c r="U118" s="14" cm="1">
        <f t="array" ref="U118">INT(SUMPRODUCT(--ISNUMBER(SEARCH(climate,'David Perdue'!C118)))&gt;0)</f>
        <v>0</v>
      </c>
      <c r="V118" s="14" cm="1">
        <f t="array" ref="V118">INT(SUMPRODUCT(--ISNUMBER(SEARCH(abortion,'David Perdue'!C118)))&gt;0)</f>
        <v>0</v>
      </c>
      <c r="W118" s="14" cm="1">
        <f t="array" ref="W118">INT(SUMPRODUCT(--ISNUMBER(SEARCH(trump,'David Perdue'!C118)))&gt;0)</f>
        <v>0</v>
      </c>
      <c r="X118" s="14" cm="1">
        <f t="array" ref="X118">INT(SUMPRODUCT(--ISNUMBER(SEARCH(voting,'David Perdue'!C118)))&gt;0)</f>
        <v>0</v>
      </c>
      <c r="Y118" s="14" cm="1">
        <f t="array" ref="Y118">INT(SUMPRODUCT(--ISNUMBER(SEARCH(republicantrigger,'David Perdue'!C118)))&gt;0)</f>
        <v>0</v>
      </c>
      <c r="Z118" s="14" cm="1">
        <f t="array" ref="Z118">INT(SUMPRODUCT(--ISNUMBER(SEARCH(bipartisan,'David Perdue'!C118)))&gt;0)</f>
        <v>0</v>
      </c>
      <c r="AA118" s="14">
        <f t="shared" si="3"/>
        <v>1</v>
      </c>
      <c r="AB118" s="14"/>
      <c r="AC118" s="30">
        <v>0</v>
      </c>
      <c r="AD118" s="37">
        <v>1</v>
      </c>
    </row>
    <row r="119" spans="1:30" x14ac:dyDescent="0.25">
      <c r="A119" s="54">
        <v>435</v>
      </c>
      <c r="B119" s="14" t="s">
        <v>901</v>
      </c>
      <c r="C119" s="14" t="s">
        <v>902</v>
      </c>
      <c r="D119" s="17">
        <v>44118</v>
      </c>
      <c r="E119" s="14" t="s">
        <v>30</v>
      </c>
      <c r="F119" s="14">
        <v>24</v>
      </c>
      <c r="G119" s="14">
        <v>7</v>
      </c>
      <c r="H119" s="14">
        <v>3</v>
      </c>
      <c r="I119" s="14">
        <v>2</v>
      </c>
      <c r="J119" s="14" t="s">
        <v>31</v>
      </c>
      <c r="K119" s="14" cm="1">
        <f t="array" ref="K119">INT(SUMPRODUCT(--ISNUMBER(SEARCH(economy,'David Perdue'!C119)))&gt;0)</f>
        <v>0</v>
      </c>
      <c r="L119" s="14" cm="1">
        <f t="array" ref="L119">INT(SUMPRODUCT(--ISNUMBER(SEARCH(healthcare,'David Perdue'!C119)))&gt;0)</f>
        <v>0</v>
      </c>
      <c r="M119" s="14" cm="1">
        <f t="array" ref="M119">INT(SUMPRODUCT(--ISNUMBER(SEARCH(supreme,'David Perdue'!C119)))&gt;0)</f>
        <v>1</v>
      </c>
      <c r="N119" s="14" cm="1">
        <f t="array" ref="N119">INT(SUMPRODUCT(--ISNUMBER(SEARCH(covid,'David Perdue'!C119)))&gt;0)</f>
        <v>0</v>
      </c>
      <c r="O119" s="14" cm="1">
        <f t="array" ref="O119">INT(SUMPRODUCT(--ISNUMBER(SEARCH(violent,'David Perdue'!C119)))&gt;0)</f>
        <v>0</v>
      </c>
      <c r="P119" s="14" cm="1">
        <f t="array" ref="P119">INT(SUMPRODUCT(--ISNUMBER(SEARCH(foreign,'David Perdue'!C119)))&gt;0)</f>
        <v>0</v>
      </c>
      <c r="Q119" s="14" cm="1">
        <f t="array" ref="Q119">INT(SUMPRODUCT(--ISNUMBER(SEARCH(gun,'David Perdue'!C119)))&gt;0)</f>
        <v>0</v>
      </c>
      <c r="R119" s="14" cm="1">
        <f t="array" ref="R119">INT(SUMPRODUCT(--ISNUMBER(SEARCH(race,'David Perdue'!C119)))&gt;0)</f>
        <v>0</v>
      </c>
      <c r="S119" s="14" cm="1">
        <f t="array" ref="S119">INT(SUMPRODUCT(--ISNUMBER(SEARCH(immigration,C119)))&gt;0)</f>
        <v>0</v>
      </c>
      <c r="T119" s="14" cm="1">
        <f t="array" ref="T119">INT(SUMPRODUCT(--ISNUMBER(SEARCH(econineq,C119)))&gt;0)</f>
        <v>0</v>
      </c>
      <c r="U119" s="14" cm="1">
        <f t="array" ref="U119">INT(SUMPRODUCT(--ISNUMBER(SEARCH(climate,'David Perdue'!C119)))&gt;0)</f>
        <v>0</v>
      </c>
      <c r="V119" s="14" cm="1">
        <f t="array" ref="V119">INT(SUMPRODUCT(--ISNUMBER(SEARCH(abortion,'David Perdue'!C119)))&gt;0)</f>
        <v>0</v>
      </c>
      <c r="W119" s="14" cm="1">
        <f t="array" ref="W119">INT(SUMPRODUCT(--ISNUMBER(SEARCH(trump,'David Perdue'!C119)))&gt;0)</f>
        <v>0</v>
      </c>
      <c r="X119" s="14" cm="1">
        <f t="array" ref="X119">INT(SUMPRODUCT(--ISNUMBER(SEARCH(voting,'David Perdue'!C119)))&gt;0)</f>
        <v>0</v>
      </c>
      <c r="Y119" s="14" cm="1">
        <f t="array" ref="Y119">INT(SUMPRODUCT(--ISNUMBER(SEARCH(republicantrigger,'David Perdue'!C119)))&gt;0)</f>
        <v>0</v>
      </c>
      <c r="Z119" s="14" cm="1">
        <f t="array" ref="Z119">INT(SUMPRODUCT(--ISNUMBER(SEARCH(bipartisan,'David Perdue'!C119)))&gt;0)</f>
        <v>0</v>
      </c>
      <c r="AA119" s="14">
        <f t="shared" si="3"/>
        <v>0</v>
      </c>
      <c r="AB119" s="14"/>
      <c r="AC119" s="30">
        <v>1</v>
      </c>
      <c r="AD119" s="37">
        <v>0</v>
      </c>
    </row>
    <row r="120" spans="1:30" x14ac:dyDescent="0.25">
      <c r="A120" s="54">
        <v>436</v>
      </c>
      <c r="B120" s="14" t="s">
        <v>903</v>
      </c>
      <c r="C120" s="14" t="s">
        <v>904</v>
      </c>
      <c r="D120" s="17">
        <v>44118</v>
      </c>
      <c r="E120" s="14" t="s">
        <v>30</v>
      </c>
      <c r="F120" s="14">
        <v>12</v>
      </c>
      <c r="G120" s="14">
        <v>6</v>
      </c>
      <c r="H120" s="14">
        <v>3</v>
      </c>
      <c r="I120" s="14">
        <v>2</v>
      </c>
      <c r="J120" s="14" t="s">
        <v>31</v>
      </c>
      <c r="K120" s="14" cm="1">
        <f t="array" ref="K120">INT(SUMPRODUCT(--ISNUMBER(SEARCH(economy,'David Perdue'!C120)))&gt;0)</f>
        <v>1</v>
      </c>
      <c r="L120" s="14" cm="1">
        <f t="array" ref="L120">INT(SUMPRODUCT(--ISNUMBER(SEARCH(healthcare,'David Perdue'!C120)))&gt;0)</f>
        <v>0</v>
      </c>
      <c r="M120" s="14" cm="1">
        <f t="array" ref="M120">INT(SUMPRODUCT(--ISNUMBER(SEARCH(supreme,'David Perdue'!C120)))&gt;0)</f>
        <v>0</v>
      </c>
      <c r="N120" s="14" cm="1">
        <f t="array" ref="N120">INT(SUMPRODUCT(--ISNUMBER(SEARCH(covid,'David Perdue'!C120)))&gt;0)</f>
        <v>1</v>
      </c>
      <c r="O120" s="14" cm="1">
        <f t="array" ref="O120">INT(SUMPRODUCT(--ISNUMBER(SEARCH(violent,'David Perdue'!C120)))&gt;0)</f>
        <v>0</v>
      </c>
      <c r="P120" s="14" cm="1">
        <f t="array" ref="P120">INT(SUMPRODUCT(--ISNUMBER(SEARCH(foreign,'David Perdue'!C120)))&gt;0)</f>
        <v>0</v>
      </c>
      <c r="Q120" s="14" cm="1">
        <f t="array" ref="Q120">INT(SUMPRODUCT(--ISNUMBER(SEARCH(gun,'David Perdue'!C120)))&gt;0)</f>
        <v>0</v>
      </c>
      <c r="R120" s="14" cm="1">
        <f t="array" ref="R120">INT(SUMPRODUCT(--ISNUMBER(SEARCH(race,'David Perdue'!C120)))&gt;0)</f>
        <v>0</v>
      </c>
      <c r="S120" s="14" cm="1">
        <f t="array" ref="S120">INT(SUMPRODUCT(--ISNUMBER(SEARCH(immigration,C120)))&gt;0)</f>
        <v>0</v>
      </c>
      <c r="T120" s="14" cm="1">
        <f t="array" ref="T120">INT(SUMPRODUCT(--ISNUMBER(SEARCH(econineq,C120)))&gt;0)</f>
        <v>0</v>
      </c>
      <c r="U120" s="14" cm="1">
        <f t="array" ref="U120">INT(SUMPRODUCT(--ISNUMBER(SEARCH(climate,'David Perdue'!C120)))&gt;0)</f>
        <v>0</v>
      </c>
      <c r="V120" s="14" cm="1">
        <f t="array" ref="V120">INT(SUMPRODUCT(--ISNUMBER(SEARCH(abortion,'David Perdue'!C120)))&gt;0)</f>
        <v>0</v>
      </c>
      <c r="W120" s="14" cm="1">
        <f t="array" ref="W120">INT(SUMPRODUCT(--ISNUMBER(SEARCH(trump,'David Perdue'!C120)))&gt;0)</f>
        <v>0</v>
      </c>
      <c r="X120" s="14" cm="1">
        <f t="array" ref="X120">INT(SUMPRODUCT(--ISNUMBER(SEARCH(voting,'David Perdue'!C120)))&gt;0)</f>
        <v>0</v>
      </c>
      <c r="Y120" s="14" cm="1">
        <f t="array" ref="Y120">INT(SUMPRODUCT(--ISNUMBER(SEARCH(republicantrigger,'David Perdue'!C120)))&gt;0)</f>
        <v>1</v>
      </c>
      <c r="Z120" s="14" cm="1">
        <f t="array" ref="Z120">INT(SUMPRODUCT(--ISNUMBER(SEARCH(bipartisan,'David Perdue'!C120)))&gt;0)</f>
        <v>0</v>
      </c>
      <c r="AA120" s="14">
        <f t="shared" si="3"/>
        <v>0</v>
      </c>
      <c r="AB120" s="14"/>
      <c r="AC120" s="30">
        <v>0</v>
      </c>
      <c r="AD120" s="37">
        <v>1</v>
      </c>
    </row>
    <row r="121" spans="1:30" x14ac:dyDescent="0.25">
      <c r="A121" s="54">
        <v>437</v>
      </c>
      <c r="B121" s="14" t="s">
        <v>905</v>
      </c>
      <c r="C121" s="14" t="s">
        <v>906</v>
      </c>
      <c r="D121" s="17">
        <v>44118</v>
      </c>
      <c r="E121" s="14" t="s">
        <v>30</v>
      </c>
      <c r="F121" s="14">
        <v>45</v>
      </c>
      <c r="G121" s="14">
        <v>11</v>
      </c>
      <c r="H121" s="14">
        <v>3</v>
      </c>
      <c r="I121" s="14">
        <v>2</v>
      </c>
      <c r="J121" s="14" t="s">
        <v>31</v>
      </c>
      <c r="K121" s="14" cm="1">
        <f t="array" ref="K121">INT(SUMPRODUCT(--ISNUMBER(SEARCH(economy,'David Perdue'!C121)))&gt;0)</f>
        <v>0</v>
      </c>
      <c r="L121" s="14" cm="1">
        <f t="array" ref="L121">INT(SUMPRODUCT(--ISNUMBER(SEARCH(healthcare,'David Perdue'!C121)))&gt;0)</f>
        <v>0</v>
      </c>
      <c r="M121" s="14" cm="1">
        <f t="array" ref="M121">INT(SUMPRODUCT(--ISNUMBER(SEARCH(supreme,'David Perdue'!C121)))&gt;0)</f>
        <v>0</v>
      </c>
      <c r="N121" s="14" cm="1">
        <f t="array" ref="N121">INT(SUMPRODUCT(--ISNUMBER(SEARCH(covid,'David Perdue'!C121)))&gt;0)</f>
        <v>0</v>
      </c>
      <c r="O121" s="14" cm="1">
        <f t="array" ref="O121">INT(SUMPRODUCT(--ISNUMBER(SEARCH(violent,'David Perdue'!C121)))&gt;0)</f>
        <v>0</v>
      </c>
      <c r="P121" s="14" cm="1">
        <f t="array" ref="P121">INT(SUMPRODUCT(--ISNUMBER(SEARCH(foreign,'David Perdue'!C121)))&gt;0)</f>
        <v>0</v>
      </c>
      <c r="Q121" s="14" cm="1">
        <f t="array" ref="Q121">INT(SUMPRODUCT(--ISNUMBER(SEARCH(gun,'David Perdue'!C121)))&gt;0)</f>
        <v>0</v>
      </c>
      <c r="R121" s="14" cm="1">
        <f t="array" ref="R121">INT(SUMPRODUCT(--ISNUMBER(SEARCH(race,'David Perdue'!C121)))&gt;0)</f>
        <v>0</v>
      </c>
      <c r="S121" s="14" cm="1">
        <f t="array" ref="S121">INT(SUMPRODUCT(--ISNUMBER(SEARCH(immigration,C121)))&gt;0)</f>
        <v>0</v>
      </c>
      <c r="T121" s="14" cm="1">
        <f t="array" ref="T121">INT(SUMPRODUCT(--ISNUMBER(SEARCH(econineq,C121)))&gt;0)</f>
        <v>0</v>
      </c>
      <c r="U121" s="14" cm="1">
        <f t="array" ref="U121">INT(SUMPRODUCT(--ISNUMBER(SEARCH(climate,'David Perdue'!C121)))&gt;0)</f>
        <v>0</v>
      </c>
      <c r="V121" s="14" cm="1">
        <f t="array" ref="V121">INT(SUMPRODUCT(--ISNUMBER(SEARCH(abortion,'David Perdue'!C121)))&gt;0)</f>
        <v>0</v>
      </c>
      <c r="W121" s="14" cm="1">
        <f t="array" ref="W121">INT(SUMPRODUCT(--ISNUMBER(SEARCH(trump,'David Perdue'!C121)))&gt;0)</f>
        <v>1</v>
      </c>
      <c r="X121" s="14" cm="1">
        <f t="array" ref="X121">INT(SUMPRODUCT(--ISNUMBER(SEARCH(voting,'David Perdue'!C121)))&gt;0)</f>
        <v>0</v>
      </c>
      <c r="Y121" s="14" cm="1">
        <f t="array" ref="Y121">INT(SUMPRODUCT(--ISNUMBER(SEARCH(republicantrigger,'David Perdue'!C121)))&gt;0)</f>
        <v>0</v>
      </c>
      <c r="Z121" s="14" cm="1">
        <f t="array" ref="Z121">INT(SUMPRODUCT(--ISNUMBER(SEARCH(bipartisan,'David Perdue'!C121)))&gt;0)</f>
        <v>0</v>
      </c>
      <c r="AA121" s="14">
        <f t="shared" si="3"/>
        <v>0</v>
      </c>
      <c r="AB121" s="14"/>
      <c r="AC121" s="30">
        <v>1</v>
      </c>
      <c r="AD121" s="37">
        <v>0</v>
      </c>
    </row>
    <row r="122" spans="1:30" x14ac:dyDescent="0.25">
      <c r="A122" s="54">
        <v>438</v>
      </c>
      <c r="B122" s="14" t="s">
        <v>907</v>
      </c>
      <c r="C122" s="14" t="s">
        <v>908</v>
      </c>
      <c r="D122" s="17">
        <v>44118</v>
      </c>
      <c r="E122" s="14" t="s">
        <v>30</v>
      </c>
      <c r="F122" s="14">
        <v>21</v>
      </c>
      <c r="G122" s="14">
        <v>14</v>
      </c>
      <c r="H122" s="14">
        <v>3</v>
      </c>
      <c r="I122" s="14">
        <v>2</v>
      </c>
      <c r="J122" s="14" t="s">
        <v>31</v>
      </c>
      <c r="K122" s="14" cm="1">
        <f t="array" ref="K122">INT(SUMPRODUCT(--ISNUMBER(SEARCH(economy,'David Perdue'!C122)))&gt;0)</f>
        <v>0</v>
      </c>
      <c r="L122" s="14" cm="1">
        <f t="array" ref="L122">INT(SUMPRODUCT(--ISNUMBER(SEARCH(healthcare,'David Perdue'!C122)))&gt;0)</f>
        <v>0</v>
      </c>
      <c r="M122" s="14" cm="1">
        <f t="array" ref="M122">INT(SUMPRODUCT(--ISNUMBER(SEARCH(supreme,'David Perdue'!C122)))&gt;0)</f>
        <v>0</v>
      </c>
      <c r="N122" s="14" cm="1">
        <f t="array" ref="N122">INT(SUMPRODUCT(--ISNUMBER(SEARCH(covid,'David Perdue'!C122)))&gt;0)</f>
        <v>0</v>
      </c>
      <c r="O122" s="14" cm="1">
        <f t="array" ref="O122">INT(SUMPRODUCT(--ISNUMBER(SEARCH(violent,'David Perdue'!C122)))&gt;0)</f>
        <v>0</v>
      </c>
      <c r="P122" s="14" cm="1">
        <f t="array" ref="P122">INT(SUMPRODUCT(--ISNUMBER(SEARCH(foreign,'David Perdue'!C122)))&gt;0)</f>
        <v>0</v>
      </c>
      <c r="Q122" s="14" cm="1">
        <f t="array" ref="Q122">INT(SUMPRODUCT(--ISNUMBER(SEARCH(gun,'David Perdue'!C122)))&gt;0)</f>
        <v>0</v>
      </c>
      <c r="R122" s="14" cm="1">
        <f t="array" ref="R122">INT(SUMPRODUCT(--ISNUMBER(SEARCH(race,'David Perdue'!C122)))&gt;0)</f>
        <v>0</v>
      </c>
      <c r="S122" s="14" cm="1">
        <f t="array" ref="S122">INT(SUMPRODUCT(--ISNUMBER(SEARCH(immigration,C122)))&gt;0)</f>
        <v>0</v>
      </c>
      <c r="T122" s="14" cm="1">
        <f t="array" ref="T122">INT(SUMPRODUCT(--ISNUMBER(SEARCH(econineq,C122)))&gt;0)</f>
        <v>0</v>
      </c>
      <c r="U122" s="14" cm="1">
        <f t="array" ref="U122">INT(SUMPRODUCT(--ISNUMBER(SEARCH(climate,'David Perdue'!C122)))&gt;0)</f>
        <v>0</v>
      </c>
      <c r="V122" s="14" cm="1">
        <f t="array" ref="V122">INT(SUMPRODUCT(--ISNUMBER(SEARCH(abortion,'David Perdue'!C122)))&gt;0)</f>
        <v>0</v>
      </c>
      <c r="W122" s="14" cm="1">
        <f t="array" ref="W122">INT(SUMPRODUCT(--ISNUMBER(SEARCH(trump,'David Perdue'!C122)))&gt;0)</f>
        <v>0</v>
      </c>
      <c r="X122" s="14" cm="1">
        <f t="array" ref="X122">INT(SUMPRODUCT(--ISNUMBER(SEARCH(voting,'David Perdue'!C122)))&gt;0)</f>
        <v>0</v>
      </c>
      <c r="Y122" s="14" cm="1">
        <f t="array" ref="Y122">INT(SUMPRODUCT(--ISNUMBER(SEARCH(republicantrigger,'David Perdue'!C122)))&gt;0)</f>
        <v>1</v>
      </c>
      <c r="Z122" s="14" cm="1">
        <f t="array" ref="Z122">INT(SUMPRODUCT(--ISNUMBER(SEARCH(bipartisan,'David Perdue'!C122)))&gt;0)</f>
        <v>0</v>
      </c>
      <c r="AA122" s="14">
        <f t="shared" si="3"/>
        <v>0</v>
      </c>
      <c r="AB122" s="14"/>
      <c r="AC122" s="30">
        <v>0</v>
      </c>
      <c r="AD122" s="37">
        <v>1</v>
      </c>
    </row>
    <row r="123" spans="1:30" x14ac:dyDescent="0.25">
      <c r="A123" s="54">
        <v>439</v>
      </c>
      <c r="B123" s="14" t="s">
        <v>909</v>
      </c>
      <c r="C123" s="14" t="s">
        <v>910</v>
      </c>
      <c r="D123" s="17">
        <v>44118</v>
      </c>
      <c r="E123" s="14" t="s">
        <v>30</v>
      </c>
      <c r="F123" s="14">
        <v>12</v>
      </c>
      <c r="G123" s="14">
        <v>7</v>
      </c>
      <c r="H123" s="14">
        <v>3</v>
      </c>
      <c r="I123" s="14">
        <v>2</v>
      </c>
      <c r="J123" s="14" t="s">
        <v>31</v>
      </c>
      <c r="K123" s="14" cm="1">
        <f t="array" ref="K123">INT(SUMPRODUCT(--ISNUMBER(SEARCH(economy,'David Perdue'!C123)))&gt;0)</f>
        <v>0</v>
      </c>
      <c r="L123" s="14" cm="1">
        <f t="array" ref="L123">INT(SUMPRODUCT(--ISNUMBER(SEARCH(healthcare,'David Perdue'!C123)))&gt;0)</f>
        <v>0</v>
      </c>
      <c r="M123" s="14" cm="1">
        <f t="array" ref="M123">INT(SUMPRODUCT(--ISNUMBER(SEARCH(supreme,'David Perdue'!C123)))&gt;0)</f>
        <v>0</v>
      </c>
      <c r="N123" s="14" cm="1">
        <f t="array" ref="N123">INT(SUMPRODUCT(--ISNUMBER(SEARCH(covid,'David Perdue'!C123)))&gt;0)</f>
        <v>0</v>
      </c>
      <c r="O123" s="14" cm="1">
        <f t="array" ref="O123">INT(SUMPRODUCT(--ISNUMBER(SEARCH(violent,'David Perdue'!C123)))&gt;0)</f>
        <v>0</v>
      </c>
      <c r="P123" s="14" cm="1">
        <f t="array" ref="P123">INT(SUMPRODUCT(--ISNUMBER(SEARCH(foreign,'David Perdue'!C123)))&gt;0)</f>
        <v>0</v>
      </c>
      <c r="Q123" s="14" cm="1">
        <f t="array" ref="Q123">INT(SUMPRODUCT(--ISNUMBER(SEARCH(gun,'David Perdue'!C123)))&gt;0)</f>
        <v>0</v>
      </c>
      <c r="R123" s="14" cm="1">
        <f t="array" ref="R123">INT(SUMPRODUCT(--ISNUMBER(SEARCH(race,'David Perdue'!C123)))&gt;0)</f>
        <v>0</v>
      </c>
      <c r="S123" s="14" cm="1">
        <f t="array" ref="S123">INT(SUMPRODUCT(--ISNUMBER(SEARCH(immigration,C123)))&gt;0)</f>
        <v>0</v>
      </c>
      <c r="T123" s="14" cm="1">
        <f t="array" ref="T123">INT(SUMPRODUCT(--ISNUMBER(SEARCH(econineq,C123)))&gt;0)</f>
        <v>0</v>
      </c>
      <c r="U123" s="14" cm="1">
        <f t="array" ref="U123">INT(SUMPRODUCT(--ISNUMBER(SEARCH(climate,'David Perdue'!C123)))&gt;0)</f>
        <v>0</v>
      </c>
      <c r="V123" s="14" cm="1">
        <f t="array" ref="V123">INT(SUMPRODUCT(--ISNUMBER(SEARCH(abortion,'David Perdue'!C123)))&gt;0)</f>
        <v>0</v>
      </c>
      <c r="W123" s="14" cm="1">
        <f t="array" ref="W123">INT(SUMPRODUCT(--ISNUMBER(SEARCH(trump,'David Perdue'!C123)))&gt;0)</f>
        <v>0</v>
      </c>
      <c r="X123" s="14" cm="1">
        <f t="array" ref="X123">INT(SUMPRODUCT(--ISNUMBER(SEARCH(voting,'David Perdue'!C123)))&gt;0)</f>
        <v>0</v>
      </c>
      <c r="Y123" s="14" cm="1">
        <f t="array" ref="Y123">INT(SUMPRODUCT(--ISNUMBER(SEARCH(republicantrigger,'David Perdue'!C123)))&gt;0)</f>
        <v>1</v>
      </c>
      <c r="Z123" s="14" cm="1">
        <f t="array" ref="Z123">INT(SUMPRODUCT(--ISNUMBER(SEARCH(bipartisan,'David Perdue'!C123)))&gt;0)</f>
        <v>0</v>
      </c>
      <c r="AA123" s="14">
        <f t="shared" si="3"/>
        <v>0</v>
      </c>
      <c r="AB123" s="14"/>
      <c r="AC123" s="30">
        <v>0</v>
      </c>
      <c r="AD123" s="37">
        <v>1</v>
      </c>
    </row>
    <row r="124" spans="1:30" x14ac:dyDescent="0.25">
      <c r="A124" s="54">
        <v>440</v>
      </c>
      <c r="B124" s="14" t="s">
        <v>911</v>
      </c>
      <c r="C124" s="14" t="s">
        <v>912</v>
      </c>
      <c r="D124" s="17">
        <v>44118</v>
      </c>
      <c r="E124" s="14" t="s">
        <v>30</v>
      </c>
      <c r="F124" s="14">
        <v>65</v>
      </c>
      <c r="G124" s="14">
        <v>15</v>
      </c>
      <c r="H124" s="14">
        <v>3</v>
      </c>
      <c r="I124" s="14">
        <v>2</v>
      </c>
      <c r="J124" s="14" t="s">
        <v>31</v>
      </c>
      <c r="K124" s="14" cm="1">
        <f t="array" ref="K124">INT(SUMPRODUCT(--ISNUMBER(SEARCH(economy,'David Perdue'!C124)))&gt;0)</f>
        <v>0</v>
      </c>
      <c r="L124" s="14" cm="1">
        <f t="array" ref="L124">INT(SUMPRODUCT(--ISNUMBER(SEARCH(healthcare,'David Perdue'!C124)))&gt;0)</f>
        <v>0</v>
      </c>
      <c r="M124" s="14" cm="1">
        <f t="array" ref="M124">INT(SUMPRODUCT(--ISNUMBER(SEARCH(supreme,'David Perdue'!C124)))&gt;0)</f>
        <v>1</v>
      </c>
      <c r="N124" s="14" cm="1">
        <f t="array" ref="N124">INT(SUMPRODUCT(--ISNUMBER(SEARCH(covid,'David Perdue'!C124)))&gt;0)</f>
        <v>0</v>
      </c>
      <c r="O124" s="14" cm="1">
        <f t="array" ref="O124">INT(SUMPRODUCT(--ISNUMBER(SEARCH(violent,'David Perdue'!C124)))&gt;0)</f>
        <v>0</v>
      </c>
      <c r="P124" s="14" cm="1">
        <f t="array" ref="P124">INT(SUMPRODUCT(--ISNUMBER(SEARCH(foreign,'David Perdue'!C124)))&gt;0)</f>
        <v>0</v>
      </c>
      <c r="Q124" s="14" cm="1">
        <f t="array" ref="Q124">INT(SUMPRODUCT(--ISNUMBER(SEARCH(gun,'David Perdue'!C124)))&gt;0)</f>
        <v>0</v>
      </c>
      <c r="R124" s="14" cm="1">
        <f t="array" ref="R124">INT(SUMPRODUCT(--ISNUMBER(SEARCH(race,'David Perdue'!C124)))&gt;0)</f>
        <v>0</v>
      </c>
      <c r="S124" s="14" cm="1">
        <f t="array" ref="S124">INT(SUMPRODUCT(--ISNUMBER(SEARCH(immigration,C124)))&gt;0)</f>
        <v>0</v>
      </c>
      <c r="T124" s="14" cm="1">
        <f t="array" ref="T124">INT(SUMPRODUCT(--ISNUMBER(SEARCH(econineq,C124)))&gt;0)</f>
        <v>0</v>
      </c>
      <c r="U124" s="14" cm="1">
        <f t="array" ref="U124">INT(SUMPRODUCT(--ISNUMBER(SEARCH(climate,'David Perdue'!C124)))&gt;0)</f>
        <v>0</v>
      </c>
      <c r="V124" s="14" cm="1">
        <f t="array" ref="V124">INT(SUMPRODUCT(--ISNUMBER(SEARCH(abortion,'David Perdue'!C124)))&gt;0)</f>
        <v>0</v>
      </c>
      <c r="W124" s="14" cm="1">
        <f t="array" ref="W124">INT(SUMPRODUCT(--ISNUMBER(SEARCH(trump,'David Perdue'!C124)))&gt;0)</f>
        <v>1</v>
      </c>
      <c r="X124" s="14" cm="1">
        <f t="array" ref="X124">INT(SUMPRODUCT(--ISNUMBER(SEARCH(voting,'David Perdue'!C124)))&gt;0)</f>
        <v>0</v>
      </c>
      <c r="Y124" s="14" cm="1">
        <f t="array" ref="Y124">INT(SUMPRODUCT(--ISNUMBER(SEARCH(republicantrigger,'David Perdue'!C124)))&gt;0)</f>
        <v>1</v>
      </c>
      <c r="Z124" s="14" cm="1">
        <f t="array" ref="Z124">INT(SUMPRODUCT(--ISNUMBER(SEARCH(bipartisan,'David Perdue'!C124)))&gt;0)</f>
        <v>0</v>
      </c>
      <c r="AA124" s="14">
        <f t="shared" si="3"/>
        <v>0</v>
      </c>
      <c r="AB124" s="14"/>
      <c r="AC124" s="30" t="s">
        <v>223</v>
      </c>
      <c r="AD124" s="37" t="s">
        <v>223</v>
      </c>
    </row>
    <row r="125" spans="1:30" x14ac:dyDescent="0.25">
      <c r="A125" s="54">
        <v>441</v>
      </c>
      <c r="B125" s="14" t="s">
        <v>913</v>
      </c>
      <c r="C125" s="14" t="s">
        <v>914</v>
      </c>
      <c r="D125" s="17">
        <v>44117</v>
      </c>
      <c r="E125" s="14" t="s">
        <v>30</v>
      </c>
      <c r="F125" s="14">
        <v>15</v>
      </c>
      <c r="G125" s="14">
        <v>8</v>
      </c>
      <c r="H125" s="14">
        <v>3</v>
      </c>
      <c r="I125" s="14">
        <v>2</v>
      </c>
      <c r="J125" s="14" t="s">
        <v>31</v>
      </c>
      <c r="K125" s="14" cm="1">
        <f t="array" ref="K125">INT(SUMPRODUCT(--ISNUMBER(SEARCH(economy,'David Perdue'!C125)))&gt;0)</f>
        <v>0</v>
      </c>
      <c r="L125" s="14" cm="1">
        <f t="array" ref="L125">INT(SUMPRODUCT(--ISNUMBER(SEARCH(healthcare,'David Perdue'!C125)))&gt;0)</f>
        <v>0</v>
      </c>
      <c r="M125" s="14" cm="1">
        <f t="array" ref="M125">INT(SUMPRODUCT(--ISNUMBER(SEARCH(supreme,'David Perdue'!C125)))&gt;0)</f>
        <v>0</v>
      </c>
      <c r="N125" s="14" cm="1">
        <f t="array" ref="N125">INT(SUMPRODUCT(--ISNUMBER(SEARCH(covid,'David Perdue'!C125)))&gt;0)</f>
        <v>0</v>
      </c>
      <c r="O125" s="14" cm="1">
        <f t="array" ref="O125">INT(SUMPRODUCT(--ISNUMBER(SEARCH(violent,'David Perdue'!C125)))&gt;0)</f>
        <v>0</v>
      </c>
      <c r="P125" s="14" cm="1">
        <f t="array" ref="P125">INT(SUMPRODUCT(--ISNUMBER(SEARCH(foreign,'David Perdue'!C125)))&gt;0)</f>
        <v>0</v>
      </c>
      <c r="Q125" s="14" cm="1">
        <f t="array" ref="Q125">INT(SUMPRODUCT(--ISNUMBER(SEARCH(gun,'David Perdue'!C125)))&gt;0)</f>
        <v>0</v>
      </c>
      <c r="R125" s="14" cm="1">
        <f t="array" ref="R125">INT(SUMPRODUCT(--ISNUMBER(SEARCH(race,'David Perdue'!C125)))&gt;0)</f>
        <v>0</v>
      </c>
      <c r="S125" s="14" cm="1">
        <f t="array" ref="S125">INT(SUMPRODUCT(--ISNUMBER(SEARCH(immigration,C125)))&gt;0)</f>
        <v>0</v>
      </c>
      <c r="T125" s="14" cm="1">
        <f t="array" ref="T125">INT(SUMPRODUCT(--ISNUMBER(SEARCH(econineq,C125)))&gt;0)</f>
        <v>0</v>
      </c>
      <c r="U125" s="14" cm="1">
        <f t="array" ref="U125">INT(SUMPRODUCT(--ISNUMBER(SEARCH(climate,'David Perdue'!C125)))&gt;0)</f>
        <v>0</v>
      </c>
      <c r="V125" s="14" cm="1">
        <f t="array" ref="V125">INT(SUMPRODUCT(--ISNUMBER(SEARCH(abortion,'David Perdue'!C125)))&gt;0)</f>
        <v>0</v>
      </c>
      <c r="W125" s="14" cm="1">
        <f t="array" ref="W125">INT(SUMPRODUCT(--ISNUMBER(SEARCH(trump,'David Perdue'!C125)))&gt;0)</f>
        <v>0</v>
      </c>
      <c r="X125" s="14" cm="1">
        <f t="array" ref="X125">INT(SUMPRODUCT(--ISNUMBER(SEARCH(voting,'David Perdue'!C125)))&gt;0)</f>
        <v>0</v>
      </c>
      <c r="Y125" s="14" cm="1">
        <f t="array" ref="Y125">INT(SUMPRODUCT(--ISNUMBER(SEARCH(republicantrigger,'David Perdue'!C125)))&gt;0)</f>
        <v>1</v>
      </c>
      <c r="Z125" s="14" cm="1">
        <f t="array" ref="Z125">INT(SUMPRODUCT(--ISNUMBER(SEARCH(bipartisan,'David Perdue'!C125)))&gt;0)</f>
        <v>0</v>
      </c>
      <c r="AA125" s="14">
        <f t="shared" si="3"/>
        <v>0</v>
      </c>
      <c r="AB125" s="14"/>
      <c r="AC125" s="30">
        <v>0</v>
      </c>
      <c r="AD125" s="37">
        <v>1</v>
      </c>
    </row>
    <row r="126" spans="1:30" x14ac:dyDescent="0.25">
      <c r="A126" s="54">
        <v>442</v>
      </c>
      <c r="B126" s="14" t="s">
        <v>915</v>
      </c>
      <c r="C126" s="14" t="s">
        <v>916</v>
      </c>
      <c r="D126" s="17">
        <v>44117</v>
      </c>
      <c r="E126" s="14" t="s">
        <v>30</v>
      </c>
      <c r="F126" s="14">
        <v>4</v>
      </c>
      <c r="G126" s="14">
        <v>6</v>
      </c>
      <c r="H126" s="14">
        <v>3</v>
      </c>
      <c r="I126" s="14">
        <v>2</v>
      </c>
      <c r="J126" s="14" t="s">
        <v>31</v>
      </c>
      <c r="K126" s="14" cm="1">
        <f t="array" ref="K126">INT(SUMPRODUCT(--ISNUMBER(SEARCH(economy,'David Perdue'!C126)))&gt;0)</f>
        <v>0</v>
      </c>
      <c r="L126" s="14" cm="1">
        <f t="array" ref="L126">INT(SUMPRODUCT(--ISNUMBER(SEARCH(healthcare,'David Perdue'!C126)))&gt;0)</f>
        <v>0</v>
      </c>
      <c r="M126" s="14" cm="1">
        <f t="array" ref="M126">INT(SUMPRODUCT(--ISNUMBER(SEARCH(supreme,'David Perdue'!C126)))&gt;0)</f>
        <v>0</v>
      </c>
      <c r="N126" s="14" cm="1">
        <f t="array" ref="N126">INT(SUMPRODUCT(--ISNUMBER(SEARCH(covid,'David Perdue'!C126)))&gt;0)</f>
        <v>0</v>
      </c>
      <c r="O126" s="14" cm="1">
        <f t="array" ref="O126">INT(SUMPRODUCT(--ISNUMBER(SEARCH(violent,'David Perdue'!C126)))&gt;0)</f>
        <v>1</v>
      </c>
      <c r="P126" s="14" cm="1">
        <f t="array" ref="P126">INT(SUMPRODUCT(--ISNUMBER(SEARCH(foreign,'David Perdue'!C126)))&gt;0)</f>
        <v>0</v>
      </c>
      <c r="Q126" s="14" cm="1">
        <f t="array" ref="Q126">INT(SUMPRODUCT(--ISNUMBER(SEARCH(gun,'David Perdue'!C126)))&gt;0)</f>
        <v>0</v>
      </c>
      <c r="R126" s="14" cm="1">
        <f t="array" ref="R126">INT(SUMPRODUCT(--ISNUMBER(SEARCH(race,'David Perdue'!C126)))&gt;0)</f>
        <v>0</v>
      </c>
      <c r="S126" s="14" cm="1">
        <f t="array" ref="S126">INT(SUMPRODUCT(--ISNUMBER(SEARCH(immigration,C126)))&gt;0)</f>
        <v>0</v>
      </c>
      <c r="T126" s="14" cm="1">
        <f t="array" ref="T126">INT(SUMPRODUCT(--ISNUMBER(SEARCH(econineq,C126)))&gt;0)</f>
        <v>0</v>
      </c>
      <c r="U126" s="14" cm="1">
        <f t="array" ref="U126">INT(SUMPRODUCT(--ISNUMBER(SEARCH(climate,'David Perdue'!C126)))&gt;0)</f>
        <v>0</v>
      </c>
      <c r="V126" s="14" cm="1">
        <f t="array" ref="V126">INT(SUMPRODUCT(--ISNUMBER(SEARCH(abortion,'David Perdue'!C126)))&gt;0)</f>
        <v>0</v>
      </c>
      <c r="W126" s="14" cm="1">
        <f t="array" ref="W126">INT(SUMPRODUCT(--ISNUMBER(SEARCH(trump,'David Perdue'!C126)))&gt;0)</f>
        <v>0</v>
      </c>
      <c r="X126" s="14" cm="1">
        <f t="array" ref="X126">INT(SUMPRODUCT(--ISNUMBER(SEARCH(voting,'David Perdue'!C126)))&gt;0)</f>
        <v>0</v>
      </c>
      <c r="Y126" s="14" cm="1">
        <f t="array" ref="Y126">INT(SUMPRODUCT(--ISNUMBER(SEARCH(republicantrigger,'David Perdue'!C126)))&gt;0)</f>
        <v>0</v>
      </c>
      <c r="Z126" s="14" cm="1">
        <f t="array" ref="Z126">INT(SUMPRODUCT(--ISNUMBER(SEARCH(bipartisan,'David Perdue'!C126)))&gt;0)</f>
        <v>0</v>
      </c>
      <c r="AA126" s="14">
        <f t="shared" si="3"/>
        <v>0</v>
      </c>
      <c r="AB126" s="14"/>
      <c r="AC126" s="30" t="s">
        <v>223</v>
      </c>
      <c r="AD126" s="37" t="s">
        <v>223</v>
      </c>
    </row>
    <row r="127" spans="1:30" x14ac:dyDescent="0.25">
      <c r="A127" s="54">
        <v>443</v>
      </c>
      <c r="B127" s="14" t="s">
        <v>917</v>
      </c>
      <c r="C127" s="14" t="s">
        <v>918</v>
      </c>
      <c r="D127" s="17">
        <v>44117</v>
      </c>
      <c r="E127" s="14" t="s">
        <v>30</v>
      </c>
      <c r="F127" s="14">
        <v>25</v>
      </c>
      <c r="G127" s="14">
        <v>14</v>
      </c>
      <c r="H127" s="14">
        <v>3</v>
      </c>
      <c r="I127" s="14">
        <v>2</v>
      </c>
      <c r="J127" s="14" t="s">
        <v>31</v>
      </c>
      <c r="K127" s="14" cm="1">
        <f t="array" ref="K127">INT(SUMPRODUCT(--ISNUMBER(SEARCH(economy,'David Perdue'!C127)))&gt;0)</f>
        <v>0</v>
      </c>
      <c r="L127" s="14" cm="1">
        <f t="array" ref="L127">INT(SUMPRODUCT(--ISNUMBER(SEARCH(healthcare,'David Perdue'!C127)))&gt;0)</f>
        <v>0</v>
      </c>
      <c r="M127" s="14" cm="1">
        <f t="array" ref="M127">INT(SUMPRODUCT(--ISNUMBER(SEARCH(supreme,'David Perdue'!C127)))&gt;0)</f>
        <v>0</v>
      </c>
      <c r="N127" s="14" cm="1">
        <f t="array" ref="N127">INT(SUMPRODUCT(--ISNUMBER(SEARCH(covid,'David Perdue'!C127)))&gt;0)</f>
        <v>0</v>
      </c>
      <c r="O127" s="14" cm="1">
        <f t="array" ref="O127">INT(SUMPRODUCT(--ISNUMBER(SEARCH(violent,'David Perdue'!C127)))&gt;0)</f>
        <v>0</v>
      </c>
      <c r="P127" s="14" cm="1">
        <f t="array" ref="P127">INT(SUMPRODUCT(--ISNUMBER(SEARCH(foreign,'David Perdue'!C127)))&gt;0)</f>
        <v>1</v>
      </c>
      <c r="Q127" s="14" cm="1">
        <f t="array" ref="Q127">INT(SUMPRODUCT(--ISNUMBER(SEARCH(gun,'David Perdue'!C127)))&gt;0)</f>
        <v>0</v>
      </c>
      <c r="R127" s="14" cm="1">
        <f t="array" ref="R127">INT(SUMPRODUCT(--ISNUMBER(SEARCH(race,'David Perdue'!C127)))&gt;0)</f>
        <v>0</v>
      </c>
      <c r="S127" s="14" cm="1">
        <f t="array" ref="S127">INT(SUMPRODUCT(--ISNUMBER(SEARCH(immigration,C127)))&gt;0)</f>
        <v>0</v>
      </c>
      <c r="T127" s="14" cm="1">
        <f t="array" ref="T127">INT(SUMPRODUCT(--ISNUMBER(SEARCH(econineq,C127)))&gt;0)</f>
        <v>0</v>
      </c>
      <c r="U127" s="14" cm="1">
        <f t="array" ref="U127">INT(SUMPRODUCT(--ISNUMBER(SEARCH(climate,'David Perdue'!C127)))&gt;0)</f>
        <v>0</v>
      </c>
      <c r="V127" s="14" cm="1">
        <f t="array" ref="V127">INT(SUMPRODUCT(--ISNUMBER(SEARCH(abortion,'David Perdue'!C127)))&gt;0)</f>
        <v>0</v>
      </c>
      <c r="W127" s="14" cm="1">
        <f t="array" ref="W127">INT(SUMPRODUCT(--ISNUMBER(SEARCH(trump,'David Perdue'!C127)))&gt;0)</f>
        <v>0</v>
      </c>
      <c r="X127" s="14" cm="1">
        <f t="array" ref="X127">INT(SUMPRODUCT(--ISNUMBER(SEARCH(voting,'David Perdue'!C127)))&gt;0)</f>
        <v>0</v>
      </c>
      <c r="Y127" s="14" cm="1">
        <f t="array" ref="Y127">INT(SUMPRODUCT(--ISNUMBER(SEARCH(republicantrigger,'David Perdue'!C127)))&gt;0)</f>
        <v>0</v>
      </c>
      <c r="Z127" s="14" cm="1">
        <f t="array" ref="Z127">INT(SUMPRODUCT(--ISNUMBER(SEARCH(bipartisan,'David Perdue'!C127)))&gt;0)</f>
        <v>0</v>
      </c>
      <c r="AA127" s="14">
        <f t="shared" si="3"/>
        <v>0</v>
      </c>
      <c r="AB127" s="14"/>
      <c r="AC127" s="30">
        <v>0</v>
      </c>
      <c r="AD127" s="37">
        <v>1</v>
      </c>
    </row>
    <row r="128" spans="1:30" x14ac:dyDescent="0.25">
      <c r="A128" s="54">
        <v>444</v>
      </c>
      <c r="B128" s="14" t="s">
        <v>919</v>
      </c>
      <c r="C128" s="14" t="s">
        <v>920</v>
      </c>
      <c r="D128" s="17">
        <v>44117</v>
      </c>
      <c r="E128" s="14" t="s">
        <v>30</v>
      </c>
      <c r="F128" s="14">
        <v>13</v>
      </c>
      <c r="G128" s="14">
        <v>5</v>
      </c>
      <c r="H128" s="14">
        <v>3</v>
      </c>
      <c r="I128" s="14">
        <v>2</v>
      </c>
      <c r="J128" s="14" t="s">
        <v>31</v>
      </c>
      <c r="K128" s="14" cm="1">
        <f t="array" ref="K128">INT(SUMPRODUCT(--ISNUMBER(SEARCH(economy,'David Perdue'!C128)))&gt;0)</f>
        <v>0</v>
      </c>
      <c r="L128" s="14" cm="1">
        <f t="array" ref="L128">INT(SUMPRODUCT(--ISNUMBER(SEARCH(healthcare,'David Perdue'!C128)))&gt;0)</f>
        <v>0</v>
      </c>
      <c r="M128" s="14" cm="1">
        <f t="array" ref="M128">INT(SUMPRODUCT(--ISNUMBER(SEARCH(supreme,'David Perdue'!C128)))&gt;0)</f>
        <v>0</v>
      </c>
      <c r="N128" s="14" cm="1">
        <f t="array" ref="N128">INT(SUMPRODUCT(--ISNUMBER(SEARCH(covid,'David Perdue'!C128)))&gt;0)</f>
        <v>0</v>
      </c>
      <c r="O128" s="14" cm="1">
        <f t="array" ref="O128">INT(SUMPRODUCT(--ISNUMBER(SEARCH(violent,'David Perdue'!C128)))&gt;0)</f>
        <v>0</v>
      </c>
      <c r="P128" s="14" cm="1">
        <f t="array" ref="P128">INT(SUMPRODUCT(--ISNUMBER(SEARCH(foreign,'David Perdue'!C128)))&gt;0)</f>
        <v>0</v>
      </c>
      <c r="Q128" s="14" cm="1">
        <f t="array" ref="Q128">INT(SUMPRODUCT(--ISNUMBER(SEARCH(gun,'David Perdue'!C128)))&gt;0)</f>
        <v>0</v>
      </c>
      <c r="R128" s="14" cm="1">
        <f t="array" ref="R128">INT(SUMPRODUCT(--ISNUMBER(SEARCH(race,'David Perdue'!C128)))&gt;0)</f>
        <v>0</v>
      </c>
      <c r="S128" s="14" cm="1">
        <f t="array" ref="S128">INT(SUMPRODUCT(--ISNUMBER(SEARCH(immigration,C128)))&gt;0)</f>
        <v>0</v>
      </c>
      <c r="T128" s="14" cm="1">
        <f t="array" ref="T128">INT(SUMPRODUCT(--ISNUMBER(SEARCH(econineq,C128)))&gt;0)</f>
        <v>0</v>
      </c>
      <c r="U128" s="14" cm="1">
        <f t="array" ref="U128">INT(SUMPRODUCT(--ISNUMBER(SEARCH(climate,'David Perdue'!C128)))&gt;0)</f>
        <v>0</v>
      </c>
      <c r="V128" s="14" cm="1">
        <f t="array" ref="V128">INT(SUMPRODUCT(--ISNUMBER(SEARCH(abortion,'David Perdue'!C128)))&gt;0)</f>
        <v>0</v>
      </c>
      <c r="W128" s="14" cm="1">
        <f t="array" ref="W128">INT(SUMPRODUCT(--ISNUMBER(SEARCH(trump,'David Perdue'!C128)))&gt;0)</f>
        <v>0</v>
      </c>
      <c r="X128" s="14" cm="1">
        <f t="array" ref="X128">INT(SUMPRODUCT(--ISNUMBER(SEARCH(voting,'David Perdue'!C128)))&gt;0)</f>
        <v>0</v>
      </c>
      <c r="Y128" s="14" cm="1">
        <f t="array" ref="Y128">INT(SUMPRODUCT(--ISNUMBER(SEARCH(republicantrigger,'David Perdue'!C128)))&gt;0)</f>
        <v>0</v>
      </c>
      <c r="Z128" s="14" cm="1">
        <f t="array" ref="Z128">INT(SUMPRODUCT(--ISNUMBER(SEARCH(bipartisan,'David Perdue'!C128)))&gt;0)</f>
        <v>0</v>
      </c>
      <c r="AA128" s="14">
        <f t="shared" si="3"/>
        <v>1</v>
      </c>
      <c r="AB128" s="14"/>
      <c r="AC128" s="30" t="s">
        <v>223</v>
      </c>
      <c r="AD128" s="37" t="s">
        <v>223</v>
      </c>
    </row>
    <row r="129" spans="1:30" x14ac:dyDescent="0.25">
      <c r="A129" s="54">
        <v>445</v>
      </c>
      <c r="B129" s="14" t="s">
        <v>921</v>
      </c>
      <c r="C129" s="14" t="s">
        <v>922</v>
      </c>
      <c r="D129" s="17">
        <v>44117</v>
      </c>
      <c r="E129" s="14" t="s">
        <v>30</v>
      </c>
      <c r="F129" s="14">
        <v>1396</v>
      </c>
      <c r="G129" s="14">
        <v>155</v>
      </c>
      <c r="H129" s="14">
        <v>3</v>
      </c>
      <c r="I129" s="14">
        <v>2</v>
      </c>
      <c r="J129" s="14" t="s">
        <v>31</v>
      </c>
      <c r="K129" s="14" cm="1">
        <f t="array" ref="K129">INT(SUMPRODUCT(--ISNUMBER(SEARCH(economy,'David Perdue'!C129)))&gt;0)</f>
        <v>0</v>
      </c>
      <c r="L129" s="14" cm="1">
        <f t="array" ref="L129">INT(SUMPRODUCT(--ISNUMBER(SEARCH(healthcare,'David Perdue'!C129)))&gt;0)</f>
        <v>0</v>
      </c>
      <c r="M129" s="14" cm="1">
        <f t="array" ref="M129">INT(SUMPRODUCT(--ISNUMBER(SEARCH(supreme,'David Perdue'!C129)))&gt;0)</f>
        <v>0</v>
      </c>
      <c r="N129" s="14" cm="1">
        <f t="array" ref="N129">INT(SUMPRODUCT(--ISNUMBER(SEARCH(covid,'David Perdue'!C129)))&gt;0)</f>
        <v>0</v>
      </c>
      <c r="O129" s="14" cm="1">
        <f t="array" ref="O129">INT(SUMPRODUCT(--ISNUMBER(SEARCH(violent,'David Perdue'!C129)))&gt;0)</f>
        <v>0</v>
      </c>
      <c r="P129" s="14" cm="1">
        <f t="array" ref="P129">INT(SUMPRODUCT(--ISNUMBER(SEARCH(foreign,'David Perdue'!C129)))&gt;0)</f>
        <v>0</v>
      </c>
      <c r="Q129" s="14" cm="1">
        <f t="array" ref="Q129">INT(SUMPRODUCT(--ISNUMBER(SEARCH(gun,'David Perdue'!C129)))&gt;0)</f>
        <v>0</v>
      </c>
      <c r="R129" s="14" cm="1">
        <f t="array" ref="R129">INT(SUMPRODUCT(--ISNUMBER(SEARCH(race,'David Perdue'!C129)))&gt;0)</f>
        <v>0</v>
      </c>
      <c r="S129" s="14" cm="1">
        <f t="array" ref="S129">INT(SUMPRODUCT(--ISNUMBER(SEARCH(immigration,C129)))&gt;0)</f>
        <v>0</v>
      </c>
      <c r="T129" s="14" cm="1">
        <f t="array" ref="T129">INT(SUMPRODUCT(--ISNUMBER(SEARCH(econineq,C129)))&gt;0)</f>
        <v>0</v>
      </c>
      <c r="U129" s="14" cm="1">
        <f t="array" ref="U129">INT(SUMPRODUCT(--ISNUMBER(SEARCH(climate,'David Perdue'!C129)))&gt;0)</f>
        <v>0</v>
      </c>
      <c r="V129" s="14" cm="1">
        <f t="array" ref="V129">INT(SUMPRODUCT(--ISNUMBER(SEARCH(abortion,'David Perdue'!C129)))&gt;0)</f>
        <v>0</v>
      </c>
      <c r="W129" s="14" cm="1">
        <f t="array" ref="W129">INT(SUMPRODUCT(--ISNUMBER(SEARCH(trump,'David Perdue'!C129)))&gt;0)</f>
        <v>1</v>
      </c>
      <c r="X129" s="14" cm="1">
        <f t="array" ref="X129">INT(SUMPRODUCT(--ISNUMBER(SEARCH(voting,'David Perdue'!C129)))&gt;0)</f>
        <v>0</v>
      </c>
      <c r="Y129" s="14" cm="1">
        <f t="array" ref="Y129">INT(SUMPRODUCT(--ISNUMBER(SEARCH(republicantrigger,'David Perdue'!C129)))&gt;0)</f>
        <v>0</v>
      </c>
      <c r="Z129" s="14" cm="1">
        <f t="array" ref="Z129">INT(SUMPRODUCT(--ISNUMBER(SEARCH(bipartisan,'David Perdue'!C129)))&gt;0)</f>
        <v>0</v>
      </c>
      <c r="AA129" s="14">
        <f t="shared" si="3"/>
        <v>0</v>
      </c>
      <c r="AB129" s="14"/>
      <c r="AC129" s="30">
        <v>1</v>
      </c>
      <c r="AD129" s="37">
        <v>0</v>
      </c>
    </row>
    <row r="130" spans="1:30" x14ac:dyDescent="0.25">
      <c r="A130" s="54">
        <v>446</v>
      </c>
      <c r="B130" s="14" t="s">
        <v>923</v>
      </c>
      <c r="C130" s="14" t="s">
        <v>924</v>
      </c>
      <c r="D130" s="17">
        <v>44117</v>
      </c>
      <c r="E130" s="14" t="s">
        <v>30</v>
      </c>
      <c r="F130" s="14">
        <v>18</v>
      </c>
      <c r="G130" s="14">
        <v>8</v>
      </c>
      <c r="H130" s="14">
        <v>3</v>
      </c>
      <c r="I130" s="14">
        <v>2</v>
      </c>
      <c r="J130" s="14" t="s">
        <v>31</v>
      </c>
      <c r="K130" s="14" cm="1">
        <f t="array" ref="K130">INT(SUMPRODUCT(--ISNUMBER(SEARCH(economy,'David Perdue'!C130)))&gt;0)</f>
        <v>1</v>
      </c>
      <c r="L130" s="14" cm="1">
        <f t="array" ref="L130">INT(SUMPRODUCT(--ISNUMBER(SEARCH(healthcare,'David Perdue'!C130)))&gt;0)</f>
        <v>0</v>
      </c>
      <c r="M130" s="14" cm="1">
        <f t="array" ref="M130">INT(SUMPRODUCT(--ISNUMBER(SEARCH(supreme,'David Perdue'!C130)))&gt;0)</f>
        <v>0</v>
      </c>
      <c r="N130" s="14" cm="1">
        <f t="array" ref="N130">INT(SUMPRODUCT(--ISNUMBER(SEARCH(covid,'David Perdue'!C130)))&gt;0)</f>
        <v>0</v>
      </c>
      <c r="O130" s="14" cm="1">
        <f t="array" ref="O130">INT(SUMPRODUCT(--ISNUMBER(SEARCH(violent,'David Perdue'!C130)))&gt;0)</f>
        <v>0</v>
      </c>
      <c r="P130" s="14" cm="1">
        <f t="array" ref="P130">INT(SUMPRODUCT(--ISNUMBER(SEARCH(foreign,'David Perdue'!C130)))&gt;0)</f>
        <v>0</v>
      </c>
      <c r="Q130" s="14" cm="1">
        <f t="array" ref="Q130">INT(SUMPRODUCT(--ISNUMBER(SEARCH(gun,'David Perdue'!C130)))&gt;0)</f>
        <v>0</v>
      </c>
      <c r="R130" s="14" cm="1">
        <f t="array" ref="R130">INT(SUMPRODUCT(--ISNUMBER(SEARCH(race,'David Perdue'!C130)))&gt;0)</f>
        <v>0</v>
      </c>
      <c r="S130" s="14" cm="1">
        <f t="array" ref="S130">INT(SUMPRODUCT(--ISNUMBER(SEARCH(immigration,C130)))&gt;0)</f>
        <v>0</v>
      </c>
      <c r="T130" s="14" cm="1">
        <f t="array" ref="T130">INT(SUMPRODUCT(--ISNUMBER(SEARCH(econineq,C130)))&gt;0)</f>
        <v>0</v>
      </c>
      <c r="U130" s="14" cm="1">
        <f t="array" ref="U130">INT(SUMPRODUCT(--ISNUMBER(SEARCH(climate,'David Perdue'!C130)))&gt;0)</f>
        <v>0</v>
      </c>
      <c r="V130" s="14" cm="1">
        <f t="array" ref="V130">INT(SUMPRODUCT(--ISNUMBER(SEARCH(abortion,'David Perdue'!C130)))&gt;0)</f>
        <v>0</v>
      </c>
      <c r="W130" s="14" cm="1">
        <f t="array" ref="W130">INT(SUMPRODUCT(--ISNUMBER(SEARCH(trump,'David Perdue'!C130)))&gt;0)</f>
        <v>0</v>
      </c>
      <c r="X130" s="14" cm="1">
        <f t="array" ref="X130">INT(SUMPRODUCT(--ISNUMBER(SEARCH(voting,'David Perdue'!C130)))&gt;0)</f>
        <v>0</v>
      </c>
      <c r="Y130" s="14" cm="1">
        <f t="array" ref="Y130">INT(SUMPRODUCT(--ISNUMBER(SEARCH(republicantrigger,'David Perdue'!C130)))&gt;0)</f>
        <v>1</v>
      </c>
      <c r="Z130" s="14" cm="1">
        <f t="array" ref="Z130">INT(SUMPRODUCT(--ISNUMBER(SEARCH(bipartisan,'David Perdue'!C130)))&gt;0)</f>
        <v>0</v>
      </c>
      <c r="AA130" s="14">
        <f t="shared" ref="AA130:AA161" si="4">INT(IF(COUNTIF(K130:Z130,1)=0,"1","0"))</f>
        <v>0</v>
      </c>
      <c r="AB130" s="14"/>
      <c r="AC130" s="30">
        <v>0</v>
      </c>
      <c r="AD130" s="37">
        <v>1</v>
      </c>
    </row>
    <row r="131" spans="1:30" x14ac:dyDescent="0.25">
      <c r="A131" s="54">
        <v>447</v>
      </c>
      <c r="B131" s="14" t="s">
        <v>925</v>
      </c>
      <c r="C131" s="14" t="s">
        <v>926</v>
      </c>
      <c r="D131" s="17">
        <v>44117</v>
      </c>
      <c r="E131" s="14" t="s">
        <v>30</v>
      </c>
      <c r="F131" s="14">
        <v>30</v>
      </c>
      <c r="G131" s="14">
        <v>14</v>
      </c>
      <c r="H131" s="14">
        <v>3</v>
      </c>
      <c r="I131" s="14">
        <v>2</v>
      </c>
      <c r="J131" s="14" t="s">
        <v>31</v>
      </c>
      <c r="K131" s="14" cm="1">
        <f t="array" ref="K131">INT(SUMPRODUCT(--ISNUMBER(SEARCH(economy,'David Perdue'!C131)))&gt;0)</f>
        <v>1</v>
      </c>
      <c r="L131" s="14" cm="1">
        <f t="array" ref="L131">INT(SUMPRODUCT(--ISNUMBER(SEARCH(healthcare,'David Perdue'!C131)))&gt;0)</f>
        <v>0</v>
      </c>
      <c r="M131" s="14" cm="1">
        <f t="array" ref="M131">INT(SUMPRODUCT(--ISNUMBER(SEARCH(supreme,'David Perdue'!C131)))&gt;0)</f>
        <v>0</v>
      </c>
      <c r="N131" s="14" cm="1">
        <f t="array" ref="N131">INT(SUMPRODUCT(--ISNUMBER(SEARCH(covid,'David Perdue'!C131)))&gt;0)</f>
        <v>0</v>
      </c>
      <c r="O131" s="14" cm="1">
        <f t="array" ref="O131">INT(SUMPRODUCT(--ISNUMBER(SEARCH(violent,'David Perdue'!C131)))&gt;0)</f>
        <v>0</v>
      </c>
      <c r="P131" s="14" cm="1">
        <f t="array" ref="P131">INT(SUMPRODUCT(--ISNUMBER(SEARCH(foreign,'David Perdue'!C131)))&gt;0)</f>
        <v>0</v>
      </c>
      <c r="Q131" s="14" cm="1">
        <f t="array" ref="Q131">INT(SUMPRODUCT(--ISNUMBER(SEARCH(gun,'David Perdue'!C131)))&gt;0)</f>
        <v>0</v>
      </c>
      <c r="R131" s="14" cm="1">
        <f t="array" ref="R131">INT(SUMPRODUCT(--ISNUMBER(SEARCH(race,'David Perdue'!C131)))&gt;0)</f>
        <v>0</v>
      </c>
      <c r="S131" s="14" cm="1">
        <f t="array" ref="S131">INT(SUMPRODUCT(--ISNUMBER(SEARCH(immigration,C131)))&gt;0)</f>
        <v>0</v>
      </c>
      <c r="T131" s="14" cm="1">
        <f t="array" ref="T131">INT(SUMPRODUCT(--ISNUMBER(SEARCH(econineq,C131)))&gt;0)</f>
        <v>0</v>
      </c>
      <c r="U131" s="14" cm="1">
        <f t="array" ref="U131">INT(SUMPRODUCT(--ISNUMBER(SEARCH(climate,'David Perdue'!C131)))&gt;0)</f>
        <v>0</v>
      </c>
      <c r="V131" s="14" cm="1">
        <f t="array" ref="V131">INT(SUMPRODUCT(--ISNUMBER(SEARCH(abortion,'David Perdue'!C131)))&gt;0)</f>
        <v>0</v>
      </c>
      <c r="W131" s="14" cm="1">
        <f t="array" ref="W131">INT(SUMPRODUCT(--ISNUMBER(SEARCH(trump,'David Perdue'!C131)))&gt;0)</f>
        <v>1</v>
      </c>
      <c r="X131" s="14" cm="1">
        <f t="array" ref="X131">INT(SUMPRODUCT(--ISNUMBER(SEARCH(voting,'David Perdue'!C131)))&gt;0)</f>
        <v>0</v>
      </c>
      <c r="Y131" s="14" cm="1">
        <f t="array" ref="Y131">INT(SUMPRODUCT(--ISNUMBER(SEARCH(republicantrigger,'David Perdue'!C131)))&gt;0)</f>
        <v>1</v>
      </c>
      <c r="Z131" s="14" cm="1">
        <f t="array" ref="Z131">INT(SUMPRODUCT(--ISNUMBER(SEARCH(bipartisan,'David Perdue'!C131)))&gt;0)</f>
        <v>0</v>
      </c>
      <c r="AA131" s="14">
        <f t="shared" si="4"/>
        <v>0</v>
      </c>
      <c r="AB131" s="14"/>
      <c r="AC131" s="30">
        <v>0</v>
      </c>
      <c r="AD131" s="37">
        <v>1</v>
      </c>
    </row>
    <row r="132" spans="1:30" x14ac:dyDescent="0.25">
      <c r="A132" s="54">
        <v>448</v>
      </c>
      <c r="B132" s="14" t="s">
        <v>927</v>
      </c>
      <c r="C132" s="14" t="s">
        <v>928</v>
      </c>
      <c r="D132" s="17">
        <v>44117</v>
      </c>
      <c r="E132" s="14" t="s">
        <v>30</v>
      </c>
      <c r="F132" s="14">
        <v>43</v>
      </c>
      <c r="G132" s="14">
        <v>33</v>
      </c>
      <c r="H132" s="14">
        <v>3</v>
      </c>
      <c r="I132" s="14">
        <v>2</v>
      </c>
      <c r="J132" s="14" t="s">
        <v>31</v>
      </c>
      <c r="K132" s="14" cm="1">
        <f t="array" ref="K132">INT(SUMPRODUCT(--ISNUMBER(SEARCH(economy,'David Perdue'!C132)))&gt;0)</f>
        <v>1</v>
      </c>
      <c r="L132" s="14" cm="1">
        <f t="array" ref="L132">INT(SUMPRODUCT(--ISNUMBER(SEARCH(healthcare,'David Perdue'!C132)))&gt;0)</f>
        <v>0</v>
      </c>
      <c r="M132" s="14" cm="1">
        <f t="array" ref="M132">INT(SUMPRODUCT(--ISNUMBER(SEARCH(supreme,'David Perdue'!C132)))&gt;0)</f>
        <v>0</v>
      </c>
      <c r="N132" s="14" cm="1">
        <f t="array" ref="N132">INT(SUMPRODUCT(--ISNUMBER(SEARCH(covid,'David Perdue'!C132)))&gt;0)</f>
        <v>0</v>
      </c>
      <c r="O132" s="14" cm="1">
        <f t="array" ref="O132">INT(SUMPRODUCT(--ISNUMBER(SEARCH(violent,'David Perdue'!C132)))&gt;0)</f>
        <v>0</v>
      </c>
      <c r="P132" s="14" cm="1">
        <f t="array" ref="P132">INT(SUMPRODUCT(--ISNUMBER(SEARCH(foreign,'David Perdue'!C132)))&gt;0)</f>
        <v>0</v>
      </c>
      <c r="Q132" s="14" cm="1">
        <f t="array" ref="Q132">INT(SUMPRODUCT(--ISNUMBER(SEARCH(gun,'David Perdue'!C132)))&gt;0)</f>
        <v>0</v>
      </c>
      <c r="R132" s="14" cm="1">
        <f t="array" ref="R132">INT(SUMPRODUCT(--ISNUMBER(SEARCH(race,'David Perdue'!C132)))&gt;0)</f>
        <v>0</v>
      </c>
      <c r="S132" s="14" cm="1">
        <f t="array" ref="S132">INT(SUMPRODUCT(--ISNUMBER(SEARCH(immigration,C132)))&gt;0)</f>
        <v>0</v>
      </c>
      <c r="T132" s="14" cm="1">
        <f t="array" ref="T132">INT(SUMPRODUCT(--ISNUMBER(SEARCH(econineq,C132)))&gt;0)</f>
        <v>0</v>
      </c>
      <c r="U132" s="14" cm="1">
        <f t="array" ref="U132">INT(SUMPRODUCT(--ISNUMBER(SEARCH(climate,'David Perdue'!C132)))&gt;0)</f>
        <v>0</v>
      </c>
      <c r="V132" s="14" cm="1">
        <f t="array" ref="V132">INT(SUMPRODUCT(--ISNUMBER(SEARCH(abortion,'David Perdue'!C132)))&gt;0)</f>
        <v>0</v>
      </c>
      <c r="W132" s="14" cm="1">
        <f t="array" ref="W132">INT(SUMPRODUCT(--ISNUMBER(SEARCH(trump,'David Perdue'!C132)))&gt;0)</f>
        <v>0</v>
      </c>
      <c r="X132" s="14" cm="1">
        <f t="array" ref="X132">INT(SUMPRODUCT(--ISNUMBER(SEARCH(voting,'David Perdue'!C132)))&gt;0)</f>
        <v>0</v>
      </c>
      <c r="Y132" s="14" cm="1">
        <f t="array" ref="Y132">INT(SUMPRODUCT(--ISNUMBER(SEARCH(republicantrigger,'David Perdue'!C132)))&gt;0)</f>
        <v>1</v>
      </c>
      <c r="Z132" s="14" cm="1">
        <f t="array" ref="Z132">INT(SUMPRODUCT(--ISNUMBER(SEARCH(bipartisan,'David Perdue'!C132)))&gt;0)</f>
        <v>0</v>
      </c>
      <c r="AA132" s="14">
        <f t="shared" si="4"/>
        <v>0</v>
      </c>
      <c r="AB132" s="14"/>
      <c r="AC132" s="30">
        <v>0</v>
      </c>
      <c r="AD132" s="37">
        <v>1</v>
      </c>
    </row>
    <row r="133" spans="1:30" x14ac:dyDescent="0.25">
      <c r="A133" s="54">
        <v>449</v>
      </c>
      <c r="B133" s="14" t="s">
        <v>929</v>
      </c>
      <c r="C133" s="14" t="s">
        <v>930</v>
      </c>
      <c r="D133" s="17">
        <v>44117</v>
      </c>
      <c r="E133" s="14" t="s">
        <v>30</v>
      </c>
      <c r="F133" s="14">
        <v>37</v>
      </c>
      <c r="G133" s="14">
        <v>13</v>
      </c>
      <c r="H133" s="14">
        <v>3</v>
      </c>
      <c r="I133" s="14">
        <v>2</v>
      </c>
      <c r="J133" s="14" t="s">
        <v>31</v>
      </c>
      <c r="K133" s="14" cm="1">
        <f t="array" ref="K133">INT(SUMPRODUCT(--ISNUMBER(SEARCH(economy,'David Perdue'!C133)))&gt;0)</f>
        <v>0</v>
      </c>
      <c r="L133" s="14" cm="1">
        <f t="array" ref="L133">INT(SUMPRODUCT(--ISNUMBER(SEARCH(healthcare,'David Perdue'!C133)))&gt;0)</f>
        <v>0</v>
      </c>
      <c r="M133" s="14" cm="1">
        <f t="array" ref="M133">INT(SUMPRODUCT(--ISNUMBER(SEARCH(supreme,'David Perdue'!C133)))&gt;0)</f>
        <v>0</v>
      </c>
      <c r="N133" s="14" cm="1">
        <f t="array" ref="N133">INT(SUMPRODUCT(--ISNUMBER(SEARCH(covid,'David Perdue'!C133)))&gt;0)</f>
        <v>0</v>
      </c>
      <c r="O133" s="14" cm="1">
        <f t="array" ref="O133">INT(SUMPRODUCT(--ISNUMBER(SEARCH(violent,'David Perdue'!C133)))&gt;0)</f>
        <v>0</v>
      </c>
      <c r="P133" s="14" cm="1">
        <f t="array" ref="P133">INT(SUMPRODUCT(--ISNUMBER(SEARCH(foreign,'David Perdue'!C133)))&gt;0)</f>
        <v>0</v>
      </c>
      <c r="Q133" s="14" cm="1">
        <f t="array" ref="Q133">INT(SUMPRODUCT(--ISNUMBER(SEARCH(gun,'David Perdue'!C133)))&gt;0)</f>
        <v>0</v>
      </c>
      <c r="R133" s="14" cm="1">
        <f t="array" ref="R133">INT(SUMPRODUCT(--ISNUMBER(SEARCH(race,'David Perdue'!C133)))&gt;0)</f>
        <v>0</v>
      </c>
      <c r="S133" s="14" cm="1">
        <f t="array" ref="S133">INT(SUMPRODUCT(--ISNUMBER(SEARCH(immigration,C133)))&gt;0)</f>
        <v>0</v>
      </c>
      <c r="T133" s="14" cm="1">
        <f t="array" ref="T133">INT(SUMPRODUCT(--ISNUMBER(SEARCH(econineq,C133)))&gt;0)</f>
        <v>0</v>
      </c>
      <c r="U133" s="14" cm="1">
        <f t="array" ref="U133">INT(SUMPRODUCT(--ISNUMBER(SEARCH(climate,'David Perdue'!C133)))&gt;0)</f>
        <v>0</v>
      </c>
      <c r="V133" s="14" cm="1">
        <f t="array" ref="V133">INT(SUMPRODUCT(--ISNUMBER(SEARCH(abortion,'David Perdue'!C133)))&gt;0)</f>
        <v>0</v>
      </c>
      <c r="W133" s="14" cm="1">
        <f t="array" ref="W133">INT(SUMPRODUCT(--ISNUMBER(SEARCH(trump,'David Perdue'!C133)))&gt;0)</f>
        <v>0</v>
      </c>
      <c r="X133" s="14" cm="1">
        <f t="array" ref="X133">INT(SUMPRODUCT(--ISNUMBER(SEARCH(voting,'David Perdue'!C133)))&gt;0)</f>
        <v>0</v>
      </c>
      <c r="Y133" s="14" cm="1">
        <f t="array" ref="Y133">INT(SUMPRODUCT(--ISNUMBER(SEARCH(republicantrigger,'David Perdue'!C133)))&gt;0)</f>
        <v>1</v>
      </c>
      <c r="Z133" s="14" cm="1">
        <f t="array" ref="Z133">INT(SUMPRODUCT(--ISNUMBER(SEARCH(bipartisan,'David Perdue'!C133)))&gt;0)</f>
        <v>0</v>
      </c>
      <c r="AA133" s="14">
        <f t="shared" si="4"/>
        <v>0</v>
      </c>
      <c r="AB133" s="14"/>
      <c r="AC133" s="30">
        <v>0</v>
      </c>
      <c r="AD133" s="37">
        <v>1</v>
      </c>
    </row>
    <row r="134" spans="1:30" x14ac:dyDescent="0.25">
      <c r="A134" s="54">
        <v>450</v>
      </c>
      <c r="B134" s="14" t="s">
        <v>931</v>
      </c>
      <c r="C134" s="14" t="s">
        <v>932</v>
      </c>
      <c r="D134" s="17">
        <v>44116</v>
      </c>
      <c r="E134" s="14" t="s">
        <v>30</v>
      </c>
      <c r="F134" s="14">
        <v>28</v>
      </c>
      <c r="G134" s="14">
        <v>11</v>
      </c>
      <c r="H134" s="14">
        <v>3</v>
      </c>
      <c r="I134" s="14">
        <v>2</v>
      </c>
      <c r="J134" s="14" t="s">
        <v>31</v>
      </c>
      <c r="K134" s="14" cm="1">
        <f t="array" ref="K134">INT(SUMPRODUCT(--ISNUMBER(SEARCH(economy,'David Perdue'!C134)))&gt;0)</f>
        <v>0</v>
      </c>
      <c r="L134" s="14" cm="1">
        <f t="array" ref="L134">INT(SUMPRODUCT(--ISNUMBER(SEARCH(healthcare,'David Perdue'!C134)))&gt;0)</f>
        <v>0</v>
      </c>
      <c r="M134" s="14" cm="1">
        <f t="array" ref="M134">INT(SUMPRODUCT(--ISNUMBER(SEARCH(supreme,'David Perdue'!C134)))&gt;0)</f>
        <v>0</v>
      </c>
      <c r="N134" s="14" cm="1">
        <f t="array" ref="N134">INT(SUMPRODUCT(--ISNUMBER(SEARCH(covid,'David Perdue'!C134)))&gt;0)</f>
        <v>0</v>
      </c>
      <c r="O134" s="14" cm="1">
        <f t="array" ref="O134">INT(SUMPRODUCT(--ISNUMBER(SEARCH(violent,'David Perdue'!C134)))&gt;0)</f>
        <v>0</v>
      </c>
      <c r="P134" s="14" cm="1">
        <f t="array" ref="P134">INT(SUMPRODUCT(--ISNUMBER(SEARCH(foreign,'David Perdue'!C134)))&gt;0)</f>
        <v>0</v>
      </c>
      <c r="Q134" s="14" cm="1">
        <f t="array" ref="Q134">INT(SUMPRODUCT(--ISNUMBER(SEARCH(gun,'David Perdue'!C134)))&gt;0)</f>
        <v>0</v>
      </c>
      <c r="R134" s="14" cm="1">
        <f t="array" ref="R134">INT(SUMPRODUCT(--ISNUMBER(SEARCH(race,'David Perdue'!C134)))&gt;0)</f>
        <v>0</v>
      </c>
      <c r="S134" s="14" cm="1">
        <f t="array" ref="S134">INT(SUMPRODUCT(--ISNUMBER(SEARCH(immigration,C134)))&gt;0)</f>
        <v>0</v>
      </c>
      <c r="T134" s="14" cm="1">
        <f t="array" ref="T134">INT(SUMPRODUCT(--ISNUMBER(SEARCH(econineq,C134)))&gt;0)</f>
        <v>0</v>
      </c>
      <c r="U134" s="14" cm="1">
        <f t="array" ref="U134">INT(SUMPRODUCT(--ISNUMBER(SEARCH(climate,'David Perdue'!C134)))&gt;0)</f>
        <v>0</v>
      </c>
      <c r="V134" s="14" cm="1">
        <f t="array" ref="V134">INT(SUMPRODUCT(--ISNUMBER(SEARCH(abortion,'David Perdue'!C134)))&gt;0)</f>
        <v>0</v>
      </c>
      <c r="W134" s="14" cm="1">
        <f t="array" ref="W134">INT(SUMPRODUCT(--ISNUMBER(SEARCH(trump,'David Perdue'!C134)))&gt;0)</f>
        <v>0</v>
      </c>
      <c r="X134" s="14" cm="1">
        <f t="array" ref="X134">INT(SUMPRODUCT(--ISNUMBER(SEARCH(voting,'David Perdue'!C134)))&gt;0)</f>
        <v>0</v>
      </c>
      <c r="Y134" s="14" cm="1">
        <f t="array" ref="Y134">INT(SUMPRODUCT(--ISNUMBER(SEARCH(republicantrigger,'David Perdue'!C134)))&gt;0)</f>
        <v>1</v>
      </c>
      <c r="Z134" s="14" cm="1">
        <f t="array" ref="Z134">INT(SUMPRODUCT(--ISNUMBER(SEARCH(bipartisan,'David Perdue'!C134)))&gt;0)</f>
        <v>0</v>
      </c>
      <c r="AA134" s="14">
        <f t="shared" si="4"/>
        <v>0</v>
      </c>
      <c r="AB134" s="14"/>
      <c r="AC134" s="30" t="s">
        <v>223</v>
      </c>
      <c r="AD134" s="37" t="s">
        <v>223</v>
      </c>
    </row>
    <row r="135" spans="1:30" x14ac:dyDescent="0.25">
      <c r="A135" s="54">
        <v>451</v>
      </c>
      <c r="B135" s="14" t="s">
        <v>933</v>
      </c>
      <c r="C135" s="14" t="s">
        <v>934</v>
      </c>
      <c r="D135" s="17">
        <v>44116</v>
      </c>
      <c r="E135" s="14" t="s">
        <v>30</v>
      </c>
      <c r="F135" s="14">
        <v>11</v>
      </c>
      <c r="G135" s="14">
        <v>4</v>
      </c>
      <c r="H135" s="14">
        <v>3</v>
      </c>
      <c r="I135" s="14">
        <v>2</v>
      </c>
      <c r="J135" s="14" t="s">
        <v>31</v>
      </c>
      <c r="K135" s="14" cm="1">
        <f t="array" ref="K135">INT(SUMPRODUCT(--ISNUMBER(SEARCH(economy,'David Perdue'!C135)))&gt;0)</f>
        <v>0</v>
      </c>
      <c r="L135" s="14" cm="1">
        <f t="array" ref="L135">INT(SUMPRODUCT(--ISNUMBER(SEARCH(healthcare,'David Perdue'!C135)))&gt;0)</f>
        <v>0</v>
      </c>
      <c r="M135" s="14" cm="1">
        <f t="array" ref="M135">INT(SUMPRODUCT(--ISNUMBER(SEARCH(supreme,'David Perdue'!C135)))&gt;0)</f>
        <v>0</v>
      </c>
      <c r="N135" s="14" cm="1">
        <f t="array" ref="N135">INT(SUMPRODUCT(--ISNUMBER(SEARCH(covid,'David Perdue'!C135)))&gt;0)</f>
        <v>0</v>
      </c>
      <c r="O135" s="14" cm="1">
        <f t="array" ref="O135">INT(SUMPRODUCT(--ISNUMBER(SEARCH(violent,'David Perdue'!C135)))&gt;0)</f>
        <v>0</v>
      </c>
      <c r="P135" s="14" cm="1">
        <f t="array" ref="P135">INT(SUMPRODUCT(--ISNUMBER(SEARCH(foreign,'David Perdue'!C135)))&gt;0)</f>
        <v>0</v>
      </c>
      <c r="Q135" s="14" cm="1">
        <f t="array" ref="Q135">INT(SUMPRODUCT(--ISNUMBER(SEARCH(gun,'David Perdue'!C135)))&gt;0)</f>
        <v>0</v>
      </c>
      <c r="R135" s="14" cm="1">
        <f t="array" ref="R135">INT(SUMPRODUCT(--ISNUMBER(SEARCH(race,'David Perdue'!C135)))&gt;0)</f>
        <v>0</v>
      </c>
      <c r="S135" s="14" cm="1">
        <f t="array" ref="S135">INT(SUMPRODUCT(--ISNUMBER(SEARCH(immigration,C135)))&gt;0)</f>
        <v>0</v>
      </c>
      <c r="T135" s="14" cm="1">
        <f t="array" ref="T135">INT(SUMPRODUCT(--ISNUMBER(SEARCH(econineq,C135)))&gt;0)</f>
        <v>0</v>
      </c>
      <c r="U135" s="14" cm="1">
        <f t="array" ref="U135">INT(SUMPRODUCT(--ISNUMBER(SEARCH(climate,'David Perdue'!C135)))&gt;0)</f>
        <v>0</v>
      </c>
      <c r="V135" s="14" cm="1">
        <f t="array" ref="V135">INT(SUMPRODUCT(--ISNUMBER(SEARCH(abortion,'David Perdue'!C135)))&gt;0)</f>
        <v>0</v>
      </c>
      <c r="W135" s="14" cm="1">
        <f t="array" ref="W135">INT(SUMPRODUCT(--ISNUMBER(SEARCH(trump,'David Perdue'!C135)))&gt;0)</f>
        <v>0</v>
      </c>
      <c r="X135" s="14" cm="1">
        <f t="array" ref="X135">INT(SUMPRODUCT(--ISNUMBER(SEARCH(voting,'David Perdue'!C135)))&gt;0)</f>
        <v>0</v>
      </c>
      <c r="Y135" s="14" cm="1">
        <f t="array" ref="Y135">INT(SUMPRODUCT(--ISNUMBER(SEARCH(republicantrigger,'David Perdue'!C135)))&gt;0)</f>
        <v>0</v>
      </c>
      <c r="Z135" s="14" cm="1">
        <f t="array" ref="Z135">INT(SUMPRODUCT(--ISNUMBER(SEARCH(bipartisan,'David Perdue'!C135)))&gt;0)</f>
        <v>0</v>
      </c>
      <c r="AA135" s="14">
        <f t="shared" si="4"/>
        <v>1</v>
      </c>
      <c r="AB135" s="14"/>
      <c r="AC135" s="30">
        <v>1</v>
      </c>
      <c r="AD135" s="37">
        <v>0</v>
      </c>
    </row>
    <row r="136" spans="1:30" x14ac:dyDescent="0.25">
      <c r="A136" s="54">
        <v>452</v>
      </c>
      <c r="B136" s="14" t="s">
        <v>935</v>
      </c>
      <c r="C136" s="14" t="s">
        <v>936</v>
      </c>
      <c r="D136" s="17">
        <v>44116</v>
      </c>
      <c r="E136" s="14" t="s">
        <v>30</v>
      </c>
      <c r="F136" s="14">
        <v>233</v>
      </c>
      <c r="G136" s="14">
        <v>78</v>
      </c>
      <c r="H136" s="14">
        <v>3</v>
      </c>
      <c r="I136" s="14">
        <v>2</v>
      </c>
      <c r="J136" s="14" t="s">
        <v>31</v>
      </c>
      <c r="K136" s="14" cm="1">
        <f t="array" ref="K136">INT(SUMPRODUCT(--ISNUMBER(SEARCH(economy,'David Perdue'!C136)))&gt;0)</f>
        <v>0</v>
      </c>
      <c r="L136" s="14" cm="1">
        <f t="array" ref="L136">INT(SUMPRODUCT(--ISNUMBER(SEARCH(healthcare,'David Perdue'!C136)))&gt;0)</f>
        <v>0</v>
      </c>
      <c r="M136" s="14" cm="1">
        <f t="array" ref="M136">INT(SUMPRODUCT(--ISNUMBER(SEARCH(supreme,'David Perdue'!C136)))&gt;0)</f>
        <v>0</v>
      </c>
      <c r="N136" s="14" cm="1">
        <f t="array" ref="N136">INT(SUMPRODUCT(--ISNUMBER(SEARCH(covid,'David Perdue'!C136)))&gt;0)</f>
        <v>0</v>
      </c>
      <c r="O136" s="14" cm="1">
        <f t="array" ref="O136">INT(SUMPRODUCT(--ISNUMBER(SEARCH(violent,'David Perdue'!C136)))&gt;0)</f>
        <v>0</v>
      </c>
      <c r="P136" s="14" cm="1">
        <f t="array" ref="P136">INT(SUMPRODUCT(--ISNUMBER(SEARCH(foreign,'David Perdue'!C136)))&gt;0)</f>
        <v>0</v>
      </c>
      <c r="Q136" s="14" cm="1">
        <f t="array" ref="Q136">INT(SUMPRODUCT(--ISNUMBER(SEARCH(gun,'David Perdue'!C136)))&gt;0)</f>
        <v>0</v>
      </c>
      <c r="R136" s="14" cm="1">
        <f t="array" ref="R136">INT(SUMPRODUCT(--ISNUMBER(SEARCH(race,'David Perdue'!C136)))&gt;0)</f>
        <v>0</v>
      </c>
      <c r="S136" s="14" cm="1">
        <f t="array" ref="S136">INT(SUMPRODUCT(--ISNUMBER(SEARCH(immigration,C136)))&gt;0)</f>
        <v>0</v>
      </c>
      <c r="T136" s="14" cm="1">
        <f t="array" ref="T136">INT(SUMPRODUCT(--ISNUMBER(SEARCH(econineq,C136)))&gt;0)</f>
        <v>0</v>
      </c>
      <c r="U136" s="14" cm="1">
        <f t="array" ref="U136">INT(SUMPRODUCT(--ISNUMBER(SEARCH(climate,'David Perdue'!C136)))&gt;0)</f>
        <v>0</v>
      </c>
      <c r="V136" s="14" cm="1">
        <f t="array" ref="V136">INT(SUMPRODUCT(--ISNUMBER(SEARCH(abortion,'David Perdue'!C136)))&gt;0)</f>
        <v>0</v>
      </c>
      <c r="W136" s="14" cm="1">
        <f t="array" ref="W136">INT(SUMPRODUCT(--ISNUMBER(SEARCH(trump,'David Perdue'!C136)))&gt;0)</f>
        <v>0</v>
      </c>
      <c r="X136" s="14" cm="1">
        <f t="array" ref="X136">INT(SUMPRODUCT(--ISNUMBER(SEARCH(voting,'David Perdue'!C136)))&gt;0)</f>
        <v>0</v>
      </c>
      <c r="Y136" s="14" cm="1">
        <f t="array" ref="Y136">INT(SUMPRODUCT(--ISNUMBER(SEARCH(republicantrigger,'David Perdue'!C136)))&gt;0)</f>
        <v>1</v>
      </c>
      <c r="Z136" s="14" cm="1">
        <f t="array" ref="Z136">INT(SUMPRODUCT(--ISNUMBER(SEARCH(bipartisan,'David Perdue'!C136)))&gt;0)</f>
        <v>0</v>
      </c>
      <c r="AA136" s="14">
        <f t="shared" si="4"/>
        <v>0</v>
      </c>
      <c r="AB136" s="14"/>
      <c r="AC136" s="30">
        <v>0</v>
      </c>
      <c r="AD136" s="37">
        <v>1</v>
      </c>
    </row>
    <row r="137" spans="1:30" x14ac:dyDescent="0.25">
      <c r="A137" s="54">
        <v>453</v>
      </c>
      <c r="B137" s="14" t="s">
        <v>937</v>
      </c>
      <c r="C137" s="14" t="s">
        <v>938</v>
      </c>
      <c r="D137" s="17">
        <v>44116</v>
      </c>
      <c r="E137" s="14" t="s">
        <v>30</v>
      </c>
      <c r="F137" s="14">
        <v>13</v>
      </c>
      <c r="G137" s="14">
        <v>6</v>
      </c>
      <c r="H137" s="14">
        <v>3</v>
      </c>
      <c r="I137" s="14">
        <v>2</v>
      </c>
      <c r="J137" s="14" t="s">
        <v>31</v>
      </c>
      <c r="K137" s="14" cm="1">
        <f t="array" ref="K137">INT(SUMPRODUCT(--ISNUMBER(SEARCH(economy,'David Perdue'!C137)))&gt;0)</f>
        <v>0</v>
      </c>
      <c r="L137" s="14" cm="1">
        <f t="array" ref="L137">INT(SUMPRODUCT(--ISNUMBER(SEARCH(healthcare,'David Perdue'!C137)))&gt;0)</f>
        <v>0</v>
      </c>
      <c r="M137" s="14" cm="1">
        <f t="array" ref="M137">INT(SUMPRODUCT(--ISNUMBER(SEARCH(supreme,'David Perdue'!C137)))&gt;0)</f>
        <v>0</v>
      </c>
      <c r="N137" s="14" cm="1">
        <f t="array" ref="N137">INT(SUMPRODUCT(--ISNUMBER(SEARCH(covid,'David Perdue'!C137)))&gt;0)</f>
        <v>0</v>
      </c>
      <c r="O137" s="14" cm="1">
        <f t="array" ref="O137">INT(SUMPRODUCT(--ISNUMBER(SEARCH(violent,'David Perdue'!C137)))&gt;0)</f>
        <v>0</v>
      </c>
      <c r="P137" s="14" cm="1">
        <f t="array" ref="P137">INT(SUMPRODUCT(--ISNUMBER(SEARCH(foreign,'David Perdue'!C137)))&gt;0)</f>
        <v>0</v>
      </c>
      <c r="Q137" s="14" cm="1">
        <f t="array" ref="Q137">INT(SUMPRODUCT(--ISNUMBER(SEARCH(gun,'David Perdue'!C137)))&gt;0)</f>
        <v>0</v>
      </c>
      <c r="R137" s="14" cm="1">
        <f t="array" ref="R137">INT(SUMPRODUCT(--ISNUMBER(SEARCH(race,'David Perdue'!C137)))&gt;0)</f>
        <v>0</v>
      </c>
      <c r="S137" s="14" cm="1">
        <f t="array" ref="S137">INT(SUMPRODUCT(--ISNUMBER(SEARCH(immigration,C137)))&gt;0)</f>
        <v>0</v>
      </c>
      <c r="T137" s="14" cm="1">
        <f t="array" ref="T137">INT(SUMPRODUCT(--ISNUMBER(SEARCH(econineq,C137)))&gt;0)</f>
        <v>0</v>
      </c>
      <c r="U137" s="14" cm="1">
        <f t="array" ref="U137">INT(SUMPRODUCT(--ISNUMBER(SEARCH(climate,'David Perdue'!C137)))&gt;0)</f>
        <v>0</v>
      </c>
      <c r="V137" s="14" cm="1">
        <f t="array" ref="V137">INT(SUMPRODUCT(--ISNUMBER(SEARCH(abortion,'David Perdue'!C137)))&gt;0)</f>
        <v>0</v>
      </c>
      <c r="W137" s="14" cm="1">
        <f t="array" ref="W137">INT(SUMPRODUCT(--ISNUMBER(SEARCH(trump,'David Perdue'!C137)))&gt;0)</f>
        <v>0</v>
      </c>
      <c r="X137" s="14" cm="1">
        <f t="array" ref="X137">INT(SUMPRODUCT(--ISNUMBER(SEARCH(voting,'David Perdue'!C137)))&gt;0)</f>
        <v>0</v>
      </c>
      <c r="Y137" s="14" cm="1">
        <f t="array" ref="Y137">INT(SUMPRODUCT(--ISNUMBER(SEARCH(republicantrigger,'David Perdue'!C137)))&gt;0)</f>
        <v>0</v>
      </c>
      <c r="Z137" s="14" cm="1">
        <f t="array" ref="Z137">INT(SUMPRODUCT(--ISNUMBER(SEARCH(bipartisan,'David Perdue'!C137)))&gt;0)</f>
        <v>1</v>
      </c>
      <c r="AA137" s="14">
        <f t="shared" si="4"/>
        <v>0</v>
      </c>
      <c r="AB137" s="14"/>
      <c r="AC137" s="30">
        <v>1</v>
      </c>
      <c r="AD137" s="37">
        <v>0</v>
      </c>
    </row>
    <row r="138" spans="1:30" x14ac:dyDescent="0.25">
      <c r="A138" s="54">
        <v>454</v>
      </c>
      <c r="B138" s="14" t="s">
        <v>939</v>
      </c>
      <c r="C138" s="14" t="s">
        <v>940</v>
      </c>
      <c r="D138" s="17">
        <v>44116</v>
      </c>
      <c r="E138" s="14" t="s">
        <v>30</v>
      </c>
      <c r="F138" s="14">
        <v>35</v>
      </c>
      <c r="G138" s="14">
        <v>11</v>
      </c>
      <c r="H138" s="14">
        <v>3</v>
      </c>
      <c r="I138" s="14">
        <v>2</v>
      </c>
      <c r="J138" s="14" t="s">
        <v>31</v>
      </c>
      <c r="K138" s="14" cm="1">
        <f t="array" ref="K138">INT(SUMPRODUCT(--ISNUMBER(SEARCH(economy,'David Perdue'!C138)))&gt;0)</f>
        <v>1</v>
      </c>
      <c r="L138" s="14" cm="1">
        <f t="array" ref="L138">INT(SUMPRODUCT(--ISNUMBER(SEARCH(healthcare,'David Perdue'!C138)))&gt;0)</f>
        <v>0</v>
      </c>
      <c r="M138" s="14" cm="1">
        <f t="array" ref="M138">INT(SUMPRODUCT(--ISNUMBER(SEARCH(supreme,'David Perdue'!C138)))&gt;0)</f>
        <v>0</v>
      </c>
      <c r="N138" s="14" cm="1">
        <f t="array" ref="N138">INT(SUMPRODUCT(--ISNUMBER(SEARCH(covid,'David Perdue'!C138)))&gt;0)</f>
        <v>1</v>
      </c>
      <c r="O138" s="14" cm="1">
        <f t="array" ref="O138">INT(SUMPRODUCT(--ISNUMBER(SEARCH(violent,'David Perdue'!C138)))&gt;0)</f>
        <v>0</v>
      </c>
      <c r="P138" s="14" cm="1">
        <f t="array" ref="P138">INT(SUMPRODUCT(--ISNUMBER(SEARCH(foreign,'David Perdue'!C138)))&gt;0)</f>
        <v>0</v>
      </c>
      <c r="Q138" s="14" cm="1">
        <f t="array" ref="Q138">INT(SUMPRODUCT(--ISNUMBER(SEARCH(gun,'David Perdue'!C138)))&gt;0)</f>
        <v>0</v>
      </c>
      <c r="R138" s="14" cm="1">
        <f t="array" ref="R138">INT(SUMPRODUCT(--ISNUMBER(SEARCH(race,'David Perdue'!C138)))&gt;0)</f>
        <v>0</v>
      </c>
      <c r="S138" s="14" cm="1">
        <f t="array" ref="S138">INT(SUMPRODUCT(--ISNUMBER(SEARCH(immigration,C138)))&gt;0)</f>
        <v>0</v>
      </c>
      <c r="T138" s="14" cm="1">
        <f t="array" ref="T138">INT(SUMPRODUCT(--ISNUMBER(SEARCH(econineq,C138)))&gt;0)</f>
        <v>0</v>
      </c>
      <c r="U138" s="14" cm="1">
        <f t="array" ref="U138">INT(SUMPRODUCT(--ISNUMBER(SEARCH(climate,'David Perdue'!C138)))&gt;0)</f>
        <v>0</v>
      </c>
      <c r="V138" s="14" cm="1">
        <f t="array" ref="V138">INT(SUMPRODUCT(--ISNUMBER(SEARCH(abortion,'David Perdue'!C138)))&gt;0)</f>
        <v>0</v>
      </c>
      <c r="W138" s="14" cm="1">
        <f t="array" ref="W138">INT(SUMPRODUCT(--ISNUMBER(SEARCH(trump,'David Perdue'!C138)))&gt;0)</f>
        <v>0</v>
      </c>
      <c r="X138" s="14" cm="1">
        <f t="array" ref="X138">INT(SUMPRODUCT(--ISNUMBER(SEARCH(voting,'David Perdue'!C138)))&gt;0)</f>
        <v>0</v>
      </c>
      <c r="Y138" s="14" cm="1">
        <f t="array" ref="Y138">INT(SUMPRODUCT(--ISNUMBER(SEARCH(republicantrigger,'David Perdue'!C138)))&gt;0)</f>
        <v>1</v>
      </c>
      <c r="Z138" s="14" cm="1">
        <f t="array" ref="Z138">INT(SUMPRODUCT(--ISNUMBER(SEARCH(bipartisan,'David Perdue'!C138)))&gt;0)</f>
        <v>1</v>
      </c>
      <c r="AA138" s="14">
        <f t="shared" si="4"/>
        <v>0</v>
      </c>
      <c r="AB138" s="14"/>
      <c r="AC138" s="30">
        <v>1</v>
      </c>
      <c r="AD138" s="37">
        <v>0</v>
      </c>
    </row>
    <row r="139" spans="1:30" x14ac:dyDescent="0.25">
      <c r="A139" s="54">
        <v>455</v>
      </c>
      <c r="B139" s="14" t="s">
        <v>941</v>
      </c>
      <c r="C139" s="14" t="s">
        <v>942</v>
      </c>
      <c r="D139" s="17">
        <v>44116</v>
      </c>
      <c r="E139" s="14" t="s">
        <v>30</v>
      </c>
      <c r="F139" s="14">
        <v>23</v>
      </c>
      <c r="G139" s="14">
        <v>14</v>
      </c>
      <c r="H139" s="14">
        <v>3</v>
      </c>
      <c r="I139" s="14">
        <v>2</v>
      </c>
      <c r="J139" s="14" t="s">
        <v>31</v>
      </c>
      <c r="K139" s="14" cm="1">
        <f t="array" ref="K139">INT(SUMPRODUCT(--ISNUMBER(SEARCH(economy,'David Perdue'!C139)))&gt;0)</f>
        <v>0</v>
      </c>
      <c r="L139" s="14" cm="1">
        <f t="array" ref="L139">INT(SUMPRODUCT(--ISNUMBER(SEARCH(healthcare,'David Perdue'!C139)))&gt;0)</f>
        <v>0</v>
      </c>
      <c r="M139" s="14" cm="1">
        <f t="array" ref="M139">INT(SUMPRODUCT(--ISNUMBER(SEARCH(supreme,'David Perdue'!C139)))&gt;0)</f>
        <v>0</v>
      </c>
      <c r="N139" s="14" cm="1">
        <f t="array" ref="N139">INT(SUMPRODUCT(--ISNUMBER(SEARCH(covid,'David Perdue'!C139)))&gt;0)</f>
        <v>0</v>
      </c>
      <c r="O139" s="14" cm="1">
        <f t="array" ref="O139">INT(SUMPRODUCT(--ISNUMBER(SEARCH(violent,'David Perdue'!C139)))&gt;0)</f>
        <v>0</v>
      </c>
      <c r="P139" s="14" cm="1">
        <f t="array" ref="P139">INT(SUMPRODUCT(--ISNUMBER(SEARCH(foreign,'David Perdue'!C139)))&gt;0)</f>
        <v>0</v>
      </c>
      <c r="Q139" s="14" cm="1">
        <f t="array" ref="Q139">INT(SUMPRODUCT(--ISNUMBER(SEARCH(gun,'David Perdue'!C139)))&gt;0)</f>
        <v>0</v>
      </c>
      <c r="R139" s="14" cm="1">
        <f t="array" ref="R139">INT(SUMPRODUCT(--ISNUMBER(SEARCH(race,'David Perdue'!C139)))&gt;0)</f>
        <v>0</v>
      </c>
      <c r="S139" s="14" cm="1">
        <f t="array" ref="S139">INT(SUMPRODUCT(--ISNUMBER(SEARCH(immigration,C139)))&gt;0)</f>
        <v>0</v>
      </c>
      <c r="T139" s="14" cm="1">
        <f t="array" ref="T139">INT(SUMPRODUCT(--ISNUMBER(SEARCH(econineq,C139)))&gt;0)</f>
        <v>0</v>
      </c>
      <c r="U139" s="14" cm="1">
        <f t="array" ref="U139">INT(SUMPRODUCT(--ISNUMBER(SEARCH(climate,'David Perdue'!C139)))&gt;0)</f>
        <v>0</v>
      </c>
      <c r="V139" s="14" cm="1">
        <f t="array" ref="V139">INT(SUMPRODUCT(--ISNUMBER(SEARCH(abortion,'David Perdue'!C139)))&gt;0)</f>
        <v>0</v>
      </c>
      <c r="W139" s="14" cm="1">
        <f t="array" ref="W139">INT(SUMPRODUCT(--ISNUMBER(SEARCH(trump,'David Perdue'!C139)))&gt;0)</f>
        <v>0</v>
      </c>
      <c r="X139" s="14" cm="1">
        <f t="array" ref="X139">INT(SUMPRODUCT(--ISNUMBER(SEARCH(voting,'David Perdue'!C139)))&gt;0)</f>
        <v>0</v>
      </c>
      <c r="Y139" s="14" cm="1">
        <f t="array" ref="Y139">INT(SUMPRODUCT(--ISNUMBER(SEARCH(republicantrigger,'David Perdue'!C139)))&gt;0)</f>
        <v>1</v>
      </c>
      <c r="Z139" s="14" cm="1">
        <f t="array" ref="Z139">INT(SUMPRODUCT(--ISNUMBER(SEARCH(bipartisan,'David Perdue'!C139)))&gt;0)</f>
        <v>0</v>
      </c>
      <c r="AA139" s="14">
        <f t="shared" si="4"/>
        <v>0</v>
      </c>
      <c r="AB139" s="14"/>
      <c r="AC139" s="30">
        <v>0</v>
      </c>
      <c r="AD139" s="37">
        <v>1</v>
      </c>
    </row>
    <row r="140" spans="1:30" x14ac:dyDescent="0.25">
      <c r="A140" s="54">
        <v>456</v>
      </c>
      <c r="B140" s="14" t="s">
        <v>943</v>
      </c>
      <c r="C140" s="14" t="s">
        <v>944</v>
      </c>
      <c r="D140" s="17">
        <v>44116</v>
      </c>
      <c r="E140" s="14" t="s">
        <v>30</v>
      </c>
      <c r="F140" s="14">
        <v>12</v>
      </c>
      <c r="G140" s="14">
        <v>7</v>
      </c>
      <c r="H140" s="14">
        <v>3</v>
      </c>
      <c r="I140" s="14">
        <v>2</v>
      </c>
      <c r="J140" s="14" t="s">
        <v>31</v>
      </c>
      <c r="K140" s="14" cm="1">
        <f t="array" ref="K140">INT(SUMPRODUCT(--ISNUMBER(SEARCH(economy,'David Perdue'!C140)))&gt;0)</f>
        <v>1</v>
      </c>
      <c r="L140" s="14" cm="1">
        <f t="array" ref="L140">INT(SUMPRODUCT(--ISNUMBER(SEARCH(healthcare,'David Perdue'!C140)))&gt;0)</f>
        <v>0</v>
      </c>
      <c r="M140" s="14" cm="1">
        <f t="array" ref="M140">INT(SUMPRODUCT(--ISNUMBER(SEARCH(supreme,'David Perdue'!C140)))&gt;0)</f>
        <v>0</v>
      </c>
      <c r="N140" s="14" cm="1">
        <f t="array" ref="N140">INT(SUMPRODUCT(--ISNUMBER(SEARCH(covid,'David Perdue'!C140)))&gt;0)</f>
        <v>1</v>
      </c>
      <c r="O140" s="14" cm="1">
        <f t="array" ref="O140">INT(SUMPRODUCT(--ISNUMBER(SEARCH(violent,'David Perdue'!C140)))&gt;0)</f>
        <v>0</v>
      </c>
      <c r="P140" s="14" cm="1">
        <f t="array" ref="P140">INT(SUMPRODUCT(--ISNUMBER(SEARCH(foreign,'David Perdue'!C140)))&gt;0)</f>
        <v>0</v>
      </c>
      <c r="Q140" s="14" cm="1">
        <f t="array" ref="Q140">INT(SUMPRODUCT(--ISNUMBER(SEARCH(gun,'David Perdue'!C140)))&gt;0)</f>
        <v>0</v>
      </c>
      <c r="R140" s="14" cm="1">
        <f t="array" ref="R140">INT(SUMPRODUCT(--ISNUMBER(SEARCH(race,'David Perdue'!C140)))&gt;0)</f>
        <v>0</v>
      </c>
      <c r="S140" s="14" cm="1">
        <f t="array" ref="S140">INT(SUMPRODUCT(--ISNUMBER(SEARCH(immigration,C140)))&gt;0)</f>
        <v>0</v>
      </c>
      <c r="T140" s="14" cm="1">
        <f t="array" ref="T140">INT(SUMPRODUCT(--ISNUMBER(SEARCH(econineq,C140)))&gt;0)</f>
        <v>1</v>
      </c>
      <c r="U140" s="14" cm="1">
        <f t="array" ref="U140">INT(SUMPRODUCT(--ISNUMBER(SEARCH(climate,'David Perdue'!C140)))&gt;0)</f>
        <v>0</v>
      </c>
      <c r="V140" s="14" cm="1">
        <f t="array" ref="V140">INT(SUMPRODUCT(--ISNUMBER(SEARCH(abortion,'David Perdue'!C140)))&gt;0)</f>
        <v>0</v>
      </c>
      <c r="W140" s="14" cm="1">
        <f t="array" ref="W140">INT(SUMPRODUCT(--ISNUMBER(SEARCH(trump,'David Perdue'!C140)))&gt;0)</f>
        <v>0</v>
      </c>
      <c r="X140" s="14" cm="1">
        <f t="array" ref="X140">INT(SUMPRODUCT(--ISNUMBER(SEARCH(voting,'David Perdue'!C140)))&gt;0)</f>
        <v>0</v>
      </c>
      <c r="Y140" s="14" cm="1">
        <f t="array" ref="Y140">INT(SUMPRODUCT(--ISNUMBER(SEARCH(republicantrigger,'David Perdue'!C140)))&gt;0)</f>
        <v>0</v>
      </c>
      <c r="Z140" s="14" cm="1">
        <f t="array" ref="Z140">INT(SUMPRODUCT(--ISNUMBER(SEARCH(bipartisan,'David Perdue'!C140)))&gt;0)</f>
        <v>0</v>
      </c>
      <c r="AA140" s="14">
        <f t="shared" si="4"/>
        <v>0</v>
      </c>
      <c r="AB140" s="14"/>
      <c r="AC140" s="30" t="s">
        <v>223</v>
      </c>
      <c r="AD140" s="37" t="s">
        <v>223</v>
      </c>
    </row>
    <row r="141" spans="1:30" x14ac:dyDescent="0.25">
      <c r="A141" s="54">
        <v>457</v>
      </c>
      <c r="B141" s="14" t="s">
        <v>945</v>
      </c>
      <c r="C141" s="14" t="s">
        <v>946</v>
      </c>
      <c r="D141" s="17">
        <v>44116</v>
      </c>
      <c r="E141" s="14" t="s">
        <v>30</v>
      </c>
      <c r="F141" s="14">
        <v>11</v>
      </c>
      <c r="G141" s="14">
        <v>7</v>
      </c>
      <c r="H141" s="14">
        <v>3</v>
      </c>
      <c r="I141" s="14">
        <v>2</v>
      </c>
      <c r="J141" s="14" t="s">
        <v>31</v>
      </c>
      <c r="K141" s="14" cm="1">
        <f t="array" ref="K141">INT(SUMPRODUCT(--ISNUMBER(SEARCH(economy,'David Perdue'!C141)))&gt;0)</f>
        <v>1</v>
      </c>
      <c r="L141" s="14" cm="1">
        <f t="array" ref="L141">INT(SUMPRODUCT(--ISNUMBER(SEARCH(healthcare,'David Perdue'!C141)))&gt;0)</f>
        <v>1</v>
      </c>
      <c r="M141" s="14" cm="1">
        <f t="array" ref="M141">INT(SUMPRODUCT(--ISNUMBER(SEARCH(supreme,'David Perdue'!C141)))&gt;0)</f>
        <v>0</v>
      </c>
      <c r="N141" s="14" cm="1">
        <f t="array" ref="N141">INT(SUMPRODUCT(--ISNUMBER(SEARCH(covid,'David Perdue'!C141)))&gt;0)</f>
        <v>1</v>
      </c>
      <c r="O141" s="14" cm="1">
        <f t="array" ref="O141">INT(SUMPRODUCT(--ISNUMBER(SEARCH(violent,'David Perdue'!C141)))&gt;0)</f>
        <v>0</v>
      </c>
      <c r="P141" s="14" cm="1">
        <f t="array" ref="P141">INT(SUMPRODUCT(--ISNUMBER(SEARCH(foreign,'David Perdue'!C141)))&gt;0)</f>
        <v>0</v>
      </c>
      <c r="Q141" s="14" cm="1">
        <f t="array" ref="Q141">INT(SUMPRODUCT(--ISNUMBER(SEARCH(gun,'David Perdue'!C141)))&gt;0)</f>
        <v>0</v>
      </c>
      <c r="R141" s="14" cm="1">
        <f t="array" ref="R141">INT(SUMPRODUCT(--ISNUMBER(SEARCH(race,'David Perdue'!C141)))&gt;0)</f>
        <v>0</v>
      </c>
      <c r="S141" s="14" cm="1">
        <f t="array" ref="S141">INT(SUMPRODUCT(--ISNUMBER(SEARCH(immigration,C141)))&gt;0)</f>
        <v>0</v>
      </c>
      <c r="T141" s="14" cm="1">
        <f t="array" ref="T141">INT(SUMPRODUCT(--ISNUMBER(SEARCH(econineq,C141)))&gt;0)</f>
        <v>0</v>
      </c>
      <c r="U141" s="14" cm="1">
        <f t="array" ref="U141">INT(SUMPRODUCT(--ISNUMBER(SEARCH(climate,'David Perdue'!C141)))&gt;0)</f>
        <v>0</v>
      </c>
      <c r="V141" s="14" cm="1">
        <f t="array" ref="V141">INT(SUMPRODUCT(--ISNUMBER(SEARCH(abortion,'David Perdue'!C141)))&gt;0)</f>
        <v>0</v>
      </c>
      <c r="W141" s="14" cm="1">
        <f t="array" ref="W141">INT(SUMPRODUCT(--ISNUMBER(SEARCH(trump,'David Perdue'!C141)))&gt;0)</f>
        <v>0</v>
      </c>
      <c r="X141" s="14" cm="1">
        <f t="array" ref="X141">INT(SUMPRODUCT(--ISNUMBER(SEARCH(voting,'David Perdue'!C141)))&gt;0)</f>
        <v>0</v>
      </c>
      <c r="Y141" s="14" cm="1">
        <f t="array" ref="Y141">INT(SUMPRODUCT(--ISNUMBER(SEARCH(republicantrigger,'David Perdue'!C141)))&gt;0)</f>
        <v>1</v>
      </c>
      <c r="Z141" s="14" cm="1">
        <f t="array" ref="Z141">INT(SUMPRODUCT(--ISNUMBER(SEARCH(bipartisan,'David Perdue'!C141)))&gt;0)</f>
        <v>1</v>
      </c>
      <c r="AA141" s="14">
        <f t="shared" si="4"/>
        <v>0</v>
      </c>
      <c r="AB141" s="14"/>
      <c r="AC141" s="30">
        <v>1</v>
      </c>
      <c r="AD141" s="37">
        <v>0</v>
      </c>
    </row>
    <row r="142" spans="1:30" x14ac:dyDescent="0.25">
      <c r="A142" s="54">
        <v>458</v>
      </c>
      <c r="B142" s="14" t="s">
        <v>947</v>
      </c>
      <c r="C142" s="14" t="s">
        <v>948</v>
      </c>
      <c r="D142" s="17">
        <v>44116</v>
      </c>
      <c r="E142" s="14" t="s">
        <v>30</v>
      </c>
      <c r="F142" s="14">
        <v>10</v>
      </c>
      <c r="G142" s="14">
        <v>10</v>
      </c>
      <c r="H142" s="14">
        <v>3</v>
      </c>
      <c r="I142" s="14">
        <v>2</v>
      </c>
      <c r="J142" s="14" t="s">
        <v>31</v>
      </c>
      <c r="K142" s="14" cm="1">
        <f t="array" ref="K142">INT(SUMPRODUCT(--ISNUMBER(SEARCH(economy,'David Perdue'!C142)))&gt;0)</f>
        <v>0</v>
      </c>
      <c r="L142" s="14" cm="1">
        <f t="array" ref="L142">INT(SUMPRODUCT(--ISNUMBER(SEARCH(healthcare,'David Perdue'!C142)))&gt;0)</f>
        <v>0</v>
      </c>
      <c r="M142" s="14" cm="1">
        <f t="array" ref="M142">INT(SUMPRODUCT(--ISNUMBER(SEARCH(supreme,'David Perdue'!C142)))&gt;0)</f>
        <v>0</v>
      </c>
      <c r="N142" s="14" cm="1">
        <f t="array" ref="N142">INT(SUMPRODUCT(--ISNUMBER(SEARCH(covid,'David Perdue'!C142)))&gt;0)</f>
        <v>0</v>
      </c>
      <c r="O142" s="14" cm="1">
        <f t="array" ref="O142">INT(SUMPRODUCT(--ISNUMBER(SEARCH(violent,'David Perdue'!C142)))&gt;0)</f>
        <v>0</v>
      </c>
      <c r="P142" s="14" cm="1">
        <f t="array" ref="P142">INT(SUMPRODUCT(--ISNUMBER(SEARCH(foreign,'David Perdue'!C142)))&gt;0)</f>
        <v>0</v>
      </c>
      <c r="Q142" s="14" cm="1">
        <f t="array" ref="Q142">INT(SUMPRODUCT(--ISNUMBER(SEARCH(gun,'David Perdue'!C142)))&gt;0)</f>
        <v>0</v>
      </c>
      <c r="R142" s="14" cm="1">
        <f t="array" ref="R142">INT(SUMPRODUCT(--ISNUMBER(SEARCH(race,'David Perdue'!C142)))&gt;0)</f>
        <v>0</v>
      </c>
      <c r="S142" s="14" cm="1">
        <f t="array" ref="S142">INT(SUMPRODUCT(--ISNUMBER(SEARCH(immigration,C142)))&gt;0)</f>
        <v>0</v>
      </c>
      <c r="T142" s="14" cm="1">
        <f t="array" ref="T142">INT(SUMPRODUCT(--ISNUMBER(SEARCH(econineq,C142)))&gt;0)</f>
        <v>0</v>
      </c>
      <c r="U142" s="14" cm="1">
        <f t="array" ref="U142">INT(SUMPRODUCT(--ISNUMBER(SEARCH(climate,'David Perdue'!C142)))&gt;0)</f>
        <v>0</v>
      </c>
      <c r="V142" s="14" cm="1">
        <f t="array" ref="V142">INT(SUMPRODUCT(--ISNUMBER(SEARCH(abortion,'David Perdue'!C142)))&gt;0)</f>
        <v>0</v>
      </c>
      <c r="W142" s="14" cm="1">
        <f t="array" ref="W142">INT(SUMPRODUCT(--ISNUMBER(SEARCH(trump,'David Perdue'!C142)))&gt;0)</f>
        <v>0</v>
      </c>
      <c r="X142" s="14" cm="1">
        <f t="array" ref="X142">INT(SUMPRODUCT(--ISNUMBER(SEARCH(voting,'David Perdue'!C142)))&gt;0)</f>
        <v>0</v>
      </c>
      <c r="Y142" s="14" cm="1">
        <f t="array" ref="Y142">INT(SUMPRODUCT(--ISNUMBER(SEARCH(republicantrigger,'David Perdue'!C142)))&gt;0)</f>
        <v>0</v>
      </c>
      <c r="Z142" s="14" cm="1">
        <f t="array" ref="Z142">INT(SUMPRODUCT(--ISNUMBER(SEARCH(bipartisan,'David Perdue'!C142)))&gt;0)</f>
        <v>0</v>
      </c>
      <c r="AA142" s="14">
        <f t="shared" si="4"/>
        <v>1</v>
      </c>
      <c r="AB142" s="14"/>
      <c r="AC142" s="30" t="s">
        <v>223</v>
      </c>
      <c r="AD142" s="37" t="s">
        <v>223</v>
      </c>
    </row>
    <row r="143" spans="1:30" x14ac:dyDescent="0.25">
      <c r="A143" s="54">
        <v>459</v>
      </c>
      <c r="B143" s="14" t="s">
        <v>949</v>
      </c>
      <c r="C143" s="14" t="s">
        <v>950</v>
      </c>
      <c r="D143" s="17">
        <v>44116</v>
      </c>
      <c r="E143" s="14" t="s">
        <v>30</v>
      </c>
      <c r="F143" s="14">
        <v>28</v>
      </c>
      <c r="G143" s="14">
        <v>9</v>
      </c>
      <c r="H143" s="14">
        <v>3</v>
      </c>
      <c r="I143" s="14">
        <v>2</v>
      </c>
      <c r="J143" s="14" t="s">
        <v>31</v>
      </c>
      <c r="K143" s="14" cm="1">
        <f t="array" ref="K143">INT(SUMPRODUCT(--ISNUMBER(SEARCH(economy,'David Perdue'!C143)))&gt;0)</f>
        <v>0</v>
      </c>
      <c r="L143" s="14" cm="1">
        <f t="array" ref="L143">INT(SUMPRODUCT(--ISNUMBER(SEARCH(healthcare,'David Perdue'!C143)))&gt;0)</f>
        <v>0</v>
      </c>
      <c r="M143" s="14" cm="1">
        <f t="array" ref="M143">INT(SUMPRODUCT(--ISNUMBER(SEARCH(supreme,'David Perdue'!C143)))&gt;0)</f>
        <v>0</v>
      </c>
      <c r="N143" s="14" cm="1">
        <f t="array" ref="N143">INT(SUMPRODUCT(--ISNUMBER(SEARCH(covid,'David Perdue'!C143)))&gt;0)</f>
        <v>1</v>
      </c>
      <c r="O143" s="14" cm="1">
        <f t="array" ref="O143">INT(SUMPRODUCT(--ISNUMBER(SEARCH(violent,'David Perdue'!C143)))&gt;0)</f>
        <v>0</v>
      </c>
      <c r="P143" s="14" cm="1">
        <f t="array" ref="P143">INT(SUMPRODUCT(--ISNUMBER(SEARCH(foreign,'David Perdue'!C143)))&gt;0)</f>
        <v>0</v>
      </c>
      <c r="Q143" s="14" cm="1">
        <f t="array" ref="Q143">INT(SUMPRODUCT(--ISNUMBER(SEARCH(gun,'David Perdue'!C143)))&gt;0)</f>
        <v>0</v>
      </c>
      <c r="R143" s="14" cm="1">
        <f t="array" ref="R143">INT(SUMPRODUCT(--ISNUMBER(SEARCH(race,'David Perdue'!C143)))&gt;0)</f>
        <v>0</v>
      </c>
      <c r="S143" s="14" cm="1">
        <f t="array" ref="S143">INT(SUMPRODUCT(--ISNUMBER(SEARCH(immigration,C143)))&gt;0)</f>
        <v>0</v>
      </c>
      <c r="T143" s="14" cm="1">
        <f t="array" ref="T143">INT(SUMPRODUCT(--ISNUMBER(SEARCH(econineq,C143)))&gt;0)</f>
        <v>0</v>
      </c>
      <c r="U143" s="14" cm="1">
        <f t="array" ref="U143">INT(SUMPRODUCT(--ISNUMBER(SEARCH(climate,'David Perdue'!C143)))&gt;0)</f>
        <v>0</v>
      </c>
      <c r="V143" s="14" cm="1">
        <f t="array" ref="V143">INT(SUMPRODUCT(--ISNUMBER(SEARCH(abortion,'David Perdue'!C143)))&gt;0)</f>
        <v>0</v>
      </c>
      <c r="W143" s="14" cm="1">
        <f t="array" ref="W143">INT(SUMPRODUCT(--ISNUMBER(SEARCH(trump,'David Perdue'!C143)))&gt;0)</f>
        <v>0</v>
      </c>
      <c r="X143" s="14" cm="1">
        <f t="array" ref="X143">INT(SUMPRODUCT(--ISNUMBER(SEARCH(voting,'David Perdue'!C143)))&gt;0)</f>
        <v>1</v>
      </c>
      <c r="Y143" s="14" cm="1">
        <f t="array" ref="Y143">INT(SUMPRODUCT(--ISNUMBER(SEARCH(republicantrigger,'David Perdue'!C143)))&gt;0)</f>
        <v>0</v>
      </c>
      <c r="Z143" s="14" cm="1">
        <f t="array" ref="Z143">INT(SUMPRODUCT(--ISNUMBER(SEARCH(bipartisan,'David Perdue'!C143)))&gt;0)</f>
        <v>0</v>
      </c>
      <c r="AA143" s="14">
        <f t="shared" si="4"/>
        <v>0</v>
      </c>
      <c r="AB143" s="14"/>
      <c r="AC143" s="30">
        <v>1</v>
      </c>
      <c r="AD143" s="37">
        <v>0</v>
      </c>
    </row>
    <row r="144" spans="1:30" x14ac:dyDescent="0.25">
      <c r="A144" s="54">
        <v>460</v>
      </c>
      <c r="B144" s="14" t="s">
        <v>951</v>
      </c>
      <c r="C144" s="14" t="s">
        <v>952</v>
      </c>
      <c r="D144" s="17">
        <v>44116</v>
      </c>
      <c r="E144" s="14" t="s">
        <v>30</v>
      </c>
      <c r="F144" s="14">
        <v>17</v>
      </c>
      <c r="G144" s="14">
        <v>10</v>
      </c>
      <c r="H144" s="14">
        <v>3</v>
      </c>
      <c r="I144" s="14">
        <v>2</v>
      </c>
      <c r="J144" s="14" t="s">
        <v>31</v>
      </c>
      <c r="K144" s="14" cm="1">
        <f t="array" ref="K144">INT(SUMPRODUCT(--ISNUMBER(SEARCH(economy,'David Perdue'!C144)))&gt;0)</f>
        <v>0</v>
      </c>
      <c r="L144" s="14" cm="1">
        <f t="array" ref="L144">INT(SUMPRODUCT(--ISNUMBER(SEARCH(healthcare,'David Perdue'!C144)))&gt;0)</f>
        <v>0</v>
      </c>
      <c r="M144" s="14" cm="1">
        <f t="array" ref="M144">INT(SUMPRODUCT(--ISNUMBER(SEARCH(supreme,'David Perdue'!C144)))&gt;0)</f>
        <v>0</v>
      </c>
      <c r="N144" s="14" cm="1">
        <f t="array" ref="N144">INT(SUMPRODUCT(--ISNUMBER(SEARCH(covid,'David Perdue'!C144)))&gt;0)</f>
        <v>0</v>
      </c>
      <c r="O144" s="14" cm="1">
        <f t="array" ref="O144">INT(SUMPRODUCT(--ISNUMBER(SEARCH(violent,'David Perdue'!C144)))&gt;0)</f>
        <v>0</v>
      </c>
      <c r="P144" s="14" cm="1">
        <f t="array" ref="P144">INT(SUMPRODUCT(--ISNUMBER(SEARCH(foreign,'David Perdue'!C144)))&gt;0)</f>
        <v>0</v>
      </c>
      <c r="Q144" s="14" cm="1">
        <f t="array" ref="Q144">INT(SUMPRODUCT(--ISNUMBER(SEARCH(gun,'David Perdue'!C144)))&gt;0)</f>
        <v>0</v>
      </c>
      <c r="R144" s="14" cm="1">
        <f t="array" ref="R144">INT(SUMPRODUCT(--ISNUMBER(SEARCH(race,'David Perdue'!C144)))&gt;0)</f>
        <v>0</v>
      </c>
      <c r="S144" s="14" cm="1">
        <f t="array" ref="S144">INT(SUMPRODUCT(--ISNUMBER(SEARCH(immigration,C144)))&gt;0)</f>
        <v>0</v>
      </c>
      <c r="T144" s="14" cm="1">
        <f t="array" ref="T144">INT(SUMPRODUCT(--ISNUMBER(SEARCH(econineq,C144)))&gt;0)</f>
        <v>0</v>
      </c>
      <c r="U144" s="14" cm="1">
        <f t="array" ref="U144">INT(SUMPRODUCT(--ISNUMBER(SEARCH(climate,'David Perdue'!C144)))&gt;0)</f>
        <v>0</v>
      </c>
      <c r="V144" s="14" cm="1">
        <f t="array" ref="V144">INT(SUMPRODUCT(--ISNUMBER(SEARCH(abortion,'David Perdue'!C144)))&gt;0)</f>
        <v>0</v>
      </c>
      <c r="W144" s="14" cm="1">
        <f t="array" ref="W144">INT(SUMPRODUCT(--ISNUMBER(SEARCH(trump,'David Perdue'!C144)))&gt;0)</f>
        <v>0</v>
      </c>
      <c r="X144" s="14" cm="1">
        <f t="array" ref="X144">INT(SUMPRODUCT(--ISNUMBER(SEARCH(voting,'David Perdue'!C144)))&gt;0)</f>
        <v>0</v>
      </c>
      <c r="Y144" s="14" cm="1">
        <f t="array" ref="Y144">INT(SUMPRODUCT(--ISNUMBER(SEARCH(republicantrigger,'David Perdue'!C144)))&gt;0)</f>
        <v>1</v>
      </c>
      <c r="Z144" s="14" cm="1">
        <f t="array" ref="Z144">INT(SUMPRODUCT(--ISNUMBER(SEARCH(bipartisan,'David Perdue'!C144)))&gt;0)</f>
        <v>0</v>
      </c>
      <c r="AA144" s="14">
        <f t="shared" si="4"/>
        <v>0</v>
      </c>
      <c r="AB144" s="14"/>
      <c r="AC144" s="30">
        <v>0</v>
      </c>
      <c r="AD144" s="37">
        <v>1</v>
      </c>
    </row>
    <row r="145" spans="1:30" x14ac:dyDescent="0.25">
      <c r="A145" s="54">
        <v>461</v>
      </c>
      <c r="B145" s="14" t="s">
        <v>953</v>
      </c>
      <c r="C145" s="14" t="s">
        <v>954</v>
      </c>
      <c r="D145" s="17">
        <v>44116</v>
      </c>
      <c r="E145" s="14" t="s">
        <v>30</v>
      </c>
      <c r="F145" s="14">
        <v>32</v>
      </c>
      <c r="G145" s="14">
        <v>17</v>
      </c>
      <c r="H145" s="14">
        <v>3</v>
      </c>
      <c r="I145" s="14">
        <v>2</v>
      </c>
      <c r="J145" s="14" t="s">
        <v>31</v>
      </c>
      <c r="K145" s="14" cm="1">
        <f t="array" ref="K145">INT(SUMPRODUCT(--ISNUMBER(SEARCH(economy,'David Perdue'!C145)))&gt;0)</f>
        <v>0</v>
      </c>
      <c r="L145" s="14" cm="1">
        <f t="array" ref="L145">INT(SUMPRODUCT(--ISNUMBER(SEARCH(healthcare,'David Perdue'!C145)))&gt;0)</f>
        <v>0</v>
      </c>
      <c r="M145" s="14" cm="1">
        <f t="array" ref="M145">INT(SUMPRODUCT(--ISNUMBER(SEARCH(supreme,'David Perdue'!C145)))&gt;0)</f>
        <v>0</v>
      </c>
      <c r="N145" s="14" cm="1">
        <f t="array" ref="N145">INT(SUMPRODUCT(--ISNUMBER(SEARCH(covid,'David Perdue'!C145)))&gt;0)</f>
        <v>0</v>
      </c>
      <c r="O145" s="14" cm="1">
        <f t="array" ref="O145">INT(SUMPRODUCT(--ISNUMBER(SEARCH(violent,'David Perdue'!C145)))&gt;0)</f>
        <v>0</v>
      </c>
      <c r="P145" s="14" cm="1">
        <f t="array" ref="P145">INT(SUMPRODUCT(--ISNUMBER(SEARCH(foreign,'David Perdue'!C145)))&gt;0)</f>
        <v>0</v>
      </c>
      <c r="Q145" s="14" cm="1">
        <f t="array" ref="Q145">INT(SUMPRODUCT(--ISNUMBER(SEARCH(gun,'David Perdue'!C145)))&gt;0)</f>
        <v>0</v>
      </c>
      <c r="R145" s="14" cm="1">
        <f t="array" ref="R145">INT(SUMPRODUCT(--ISNUMBER(SEARCH(race,'David Perdue'!C145)))&gt;0)</f>
        <v>0</v>
      </c>
      <c r="S145" s="14" cm="1">
        <f t="array" ref="S145">INT(SUMPRODUCT(--ISNUMBER(SEARCH(immigration,C145)))&gt;0)</f>
        <v>0</v>
      </c>
      <c r="T145" s="14" cm="1">
        <f t="array" ref="T145">INT(SUMPRODUCT(--ISNUMBER(SEARCH(econineq,C145)))&gt;0)</f>
        <v>0</v>
      </c>
      <c r="U145" s="14" cm="1">
        <f t="array" ref="U145">INT(SUMPRODUCT(--ISNUMBER(SEARCH(climate,'David Perdue'!C145)))&gt;0)</f>
        <v>0</v>
      </c>
      <c r="V145" s="14" cm="1">
        <f t="array" ref="V145">INT(SUMPRODUCT(--ISNUMBER(SEARCH(abortion,'David Perdue'!C145)))&gt;0)</f>
        <v>0</v>
      </c>
      <c r="W145" s="14" cm="1">
        <f t="array" ref="W145">INT(SUMPRODUCT(--ISNUMBER(SEARCH(trump,'David Perdue'!C145)))&gt;0)</f>
        <v>0</v>
      </c>
      <c r="X145" s="14" cm="1">
        <f t="array" ref="X145">INT(SUMPRODUCT(--ISNUMBER(SEARCH(voting,'David Perdue'!C145)))&gt;0)</f>
        <v>1</v>
      </c>
      <c r="Y145" s="14" cm="1">
        <f t="array" ref="Y145">INT(SUMPRODUCT(--ISNUMBER(SEARCH(republicantrigger,'David Perdue'!C145)))&gt;0)</f>
        <v>1</v>
      </c>
      <c r="Z145" s="14" cm="1">
        <f t="array" ref="Z145">INT(SUMPRODUCT(--ISNUMBER(SEARCH(bipartisan,'David Perdue'!C145)))&gt;0)</f>
        <v>0</v>
      </c>
      <c r="AA145" s="14">
        <f t="shared" si="4"/>
        <v>0</v>
      </c>
      <c r="AB145" s="14"/>
      <c r="AC145" s="30">
        <v>1</v>
      </c>
      <c r="AD145" s="37">
        <v>0</v>
      </c>
    </row>
    <row r="146" spans="1:30" x14ac:dyDescent="0.25">
      <c r="A146" s="54">
        <v>462</v>
      </c>
      <c r="B146" s="14" t="s">
        <v>955</v>
      </c>
      <c r="C146" s="14" t="s">
        <v>956</v>
      </c>
      <c r="D146" s="17">
        <v>44116</v>
      </c>
      <c r="E146" s="14" t="s">
        <v>30</v>
      </c>
      <c r="F146" s="14">
        <v>15</v>
      </c>
      <c r="G146" s="14">
        <v>9</v>
      </c>
      <c r="H146" s="14">
        <v>3</v>
      </c>
      <c r="I146" s="14">
        <v>2</v>
      </c>
      <c r="J146" s="14" t="s">
        <v>31</v>
      </c>
      <c r="K146" s="14" cm="1">
        <f t="array" ref="K146">INT(SUMPRODUCT(--ISNUMBER(SEARCH(economy,'David Perdue'!C146)))&gt;0)</f>
        <v>0</v>
      </c>
      <c r="L146" s="14" cm="1">
        <f t="array" ref="L146">INT(SUMPRODUCT(--ISNUMBER(SEARCH(healthcare,'David Perdue'!C146)))&gt;0)</f>
        <v>0</v>
      </c>
      <c r="M146" s="14" cm="1">
        <f t="array" ref="M146">INT(SUMPRODUCT(--ISNUMBER(SEARCH(supreme,'David Perdue'!C146)))&gt;0)</f>
        <v>0</v>
      </c>
      <c r="N146" s="14" cm="1">
        <f t="array" ref="N146">INT(SUMPRODUCT(--ISNUMBER(SEARCH(covid,'David Perdue'!C146)))&gt;0)</f>
        <v>0</v>
      </c>
      <c r="O146" s="14" cm="1">
        <f t="array" ref="O146">INT(SUMPRODUCT(--ISNUMBER(SEARCH(violent,'David Perdue'!C146)))&gt;0)</f>
        <v>0</v>
      </c>
      <c r="P146" s="14" cm="1">
        <f t="array" ref="P146">INT(SUMPRODUCT(--ISNUMBER(SEARCH(foreign,'David Perdue'!C146)))&gt;0)</f>
        <v>0</v>
      </c>
      <c r="Q146" s="14" cm="1">
        <f t="array" ref="Q146">INT(SUMPRODUCT(--ISNUMBER(SEARCH(gun,'David Perdue'!C146)))&gt;0)</f>
        <v>0</v>
      </c>
      <c r="R146" s="14" cm="1">
        <f t="array" ref="R146">INT(SUMPRODUCT(--ISNUMBER(SEARCH(race,'David Perdue'!C146)))&gt;0)</f>
        <v>0</v>
      </c>
      <c r="S146" s="14" cm="1">
        <f t="array" ref="S146">INT(SUMPRODUCT(--ISNUMBER(SEARCH(immigration,C146)))&gt;0)</f>
        <v>0</v>
      </c>
      <c r="T146" s="14" cm="1">
        <f t="array" ref="T146">INT(SUMPRODUCT(--ISNUMBER(SEARCH(econineq,C146)))&gt;0)</f>
        <v>0</v>
      </c>
      <c r="U146" s="14" cm="1">
        <f t="array" ref="U146">INT(SUMPRODUCT(--ISNUMBER(SEARCH(climate,'David Perdue'!C146)))&gt;0)</f>
        <v>0</v>
      </c>
      <c r="V146" s="14" cm="1">
        <f t="array" ref="V146">INT(SUMPRODUCT(--ISNUMBER(SEARCH(abortion,'David Perdue'!C146)))&gt;0)</f>
        <v>0</v>
      </c>
      <c r="W146" s="14" cm="1">
        <f t="array" ref="W146">INT(SUMPRODUCT(--ISNUMBER(SEARCH(trump,'David Perdue'!C146)))&gt;0)</f>
        <v>0</v>
      </c>
      <c r="X146" s="14" cm="1">
        <f t="array" ref="X146">INT(SUMPRODUCT(--ISNUMBER(SEARCH(voting,'David Perdue'!C146)))&gt;0)</f>
        <v>1</v>
      </c>
      <c r="Y146" s="14" cm="1">
        <f t="array" ref="Y146">INT(SUMPRODUCT(--ISNUMBER(SEARCH(republicantrigger,'David Perdue'!C146)))&gt;0)</f>
        <v>0</v>
      </c>
      <c r="Z146" s="14" cm="1">
        <f t="array" ref="Z146">INT(SUMPRODUCT(--ISNUMBER(SEARCH(bipartisan,'David Perdue'!C146)))&gt;0)</f>
        <v>0</v>
      </c>
      <c r="AA146" s="14">
        <f t="shared" si="4"/>
        <v>0</v>
      </c>
      <c r="AB146" s="14"/>
      <c r="AC146" s="30">
        <v>1</v>
      </c>
      <c r="AD146" s="37">
        <v>0</v>
      </c>
    </row>
    <row r="147" spans="1:30" x14ac:dyDescent="0.25">
      <c r="A147" s="54">
        <v>463</v>
      </c>
      <c r="B147" s="14" t="s">
        <v>957</v>
      </c>
      <c r="C147" s="14" t="s">
        <v>958</v>
      </c>
      <c r="D147" s="17">
        <v>44115</v>
      </c>
      <c r="E147" s="14" t="s">
        <v>30</v>
      </c>
      <c r="F147" s="14">
        <v>41</v>
      </c>
      <c r="G147" s="14">
        <v>17</v>
      </c>
      <c r="H147" s="14">
        <v>3</v>
      </c>
      <c r="I147" s="14">
        <v>2</v>
      </c>
      <c r="J147" s="14" t="s">
        <v>31</v>
      </c>
      <c r="K147" s="14" cm="1">
        <f t="array" ref="K147">INT(SUMPRODUCT(--ISNUMBER(SEARCH(economy,'David Perdue'!C147)))&gt;0)</f>
        <v>0</v>
      </c>
      <c r="L147" s="14" cm="1">
        <f t="array" ref="L147">INT(SUMPRODUCT(--ISNUMBER(SEARCH(healthcare,'David Perdue'!C147)))&gt;0)</f>
        <v>0</v>
      </c>
      <c r="M147" s="14" cm="1">
        <f t="array" ref="M147">INT(SUMPRODUCT(--ISNUMBER(SEARCH(supreme,'David Perdue'!C147)))&gt;0)</f>
        <v>0</v>
      </c>
      <c r="N147" s="14" cm="1">
        <f t="array" ref="N147">INT(SUMPRODUCT(--ISNUMBER(SEARCH(covid,'David Perdue'!C147)))&gt;0)</f>
        <v>0</v>
      </c>
      <c r="O147" s="14" cm="1">
        <f t="array" ref="O147">INT(SUMPRODUCT(--ISNUMBER(SEARCH(violent,'David Perdue'!C147)))&gt;0)</f>
        <v>0</v>
      </c>
      <c r="P147" s="14" cm="1">
        <f t="array" ref="P147">INT(SUMPRODUCT(--ISNUMBER(SEARCH(foreign,'David Perdue'!C147)))&gt;0)</f>
        <v>0</v>
      </c>
      <c r="Q147" s="14" cm="1">
        <f t="array" ref="Q147">INT(SUMPRODUCT(--ISNUMBER(SEARCH(gun,'David Perdue'!C147)))&gt;0)</f>
        <v>0</v>
      </c>
      <c r="R147" s="14" cm="1">
        <f t="array" ref="R147">INT(SUMPRODUCT(--ISNUMBER(SEARCH(race,'David Perdue'!C147)))&gt;0)</f>
        <v>0</v>
      </c>
      <c r="S147" s="14" cm="1">
        <f t="array" ref="S147">INT(SUMPRODUCT(--ISNUMBER(SEARCH(immigration,C147)))&gt;0)</f>
        <v>0</v>
      </c>
      <c r="T147" s="14" cm="1">
        <f t="array" ref="T147">INT(SUMPRODUCT(--ISNUMBER(SEARCH(econineq,C147)))&gt;0)</f>
        <v>0</v>
      </c>
      <c r="U147" s="14" cm="1">
        <f t="array" ref="U147">INT(SUMPRODUCT(--ISNUMBER(SEARCH(climate,'David Perdue'!C147)))&gt;0)</f>
        <v>0</v>
      </c>
      <c r="V147" s="14" cm="1">
        <f t="array" ref="V147">INT(SUMPRODUCT(--ISNUMBER(SEARCH(abortion,'David Perdue'!C147)))&gt;0)</f>
        <v>0</v>
      </c>
      <c r="W147" s="14" cm="1">
        <f t="array" ref="W147">INT(SUMPRODUCT(--ISNUMBER(SEARCH(trump,'David Perdue'!C147)))&gt;0)</f>
        <v>1</v>
      </c>
      <c r="X147" s="14" cm="1">
        <f t="array" ref="X147">INT(SUMPRODUCT(--ISNUMBER(SEARCH(voting,'David Perdue'!C147)))&gt;0)</f>
        <v>1</v>
      </c>
      <c r="Y147" s="14" cm="1">
        <f t="array" ref="Y147">INT(SUMPRODUCT(--ISNUMBER(SEARCH(republicantrigger,'David Perdue'!C147)))&gt;0)</f>
        <v>0</v>
      </c>
      <c r="Z147" s="14" cm="1">
        <f t="array" ref="Z147">INT(SUMPRODUCT(--ISNUMBER(SEARCH(bipartisan,'David Perdue'!C147)))&gt;0)</f>
        <v>0</v>
      </c>
      <c r="AA147" s="14">
        <f t="shared" si="4"/>
        <v>0</v>
      </c>
      <c r="AB147" s="14"/>
      <c r="AC147" s="30">
        <v>1</v>
      </c>
      <c r="AD147" s="37">
        <v>0</v>
      </c>
    </row>
    <row r="148" spans="1:30" x14ac:dyDescent="0.25">
      <c r="A148" s="54">
        <v>464</v>
      </c>
      <c r="B148" s="14" t="s">
        <v>959</v>
      </c>
      <c r="C148" s="14" t="s">
        <v>960</v>
      </c>
      <c r="D148" s="17">
        <v>44114</v>
      </c>
      <c r="E148" s="14" t="s">
        <v>30</v>
      </c>
      <c r="F148" s="14">
        <v>20</v>
      </c>
      <c r="G148" s="14">
        <v>11</v>
      </c>
      <c r="H148" s="14">
        <v>3</v>
      </c>
      <c r="I148" s="14">
        <v>2</v>
      </c>
      <c r="J148" s="14" t="s">
        <v>31</v>
      </c>
      <c r="K148" s="14" cm="1">
        <f t="array" ref="K148">INT(SUMPRODUCT(--ISNUMBER(SEARCH(economy,'David Perdue'!C148)))&gt;0)</f>
        <v>0</v>
      </c>
      <c r="L148" s="14" cm="1">
        <f t="array" ref="L148">INT(SUMPRODUCT(--ISNUMBER(SEARCH(healthcare,'David Perdue'!C148)))&gt;0)</f>
        <v>1</v>
      </c>
      <c r="M148" s="14" cm="1">
        <f t="array" ref="M148">INT(SUMPRODUCT(--ISNUMBER(SEARCH(supreme,'David Perdue'!C148)))&gt;0)</f>
        <v>0</v>
      </c>
      <c r="N148" s="14" cm="1">
        <f t="array" ref="N148">INT(SUMPRODUCT(--ISNUMBER(SEARCH(covid,'David Perdue'!C148)))&gt;0)</f>
        <v>0</v>
      </c>
      <c r="O148" s="14" cm="1">
        <f t="array" ref="O148">INT(SUMPRODUCT(--ISNUMBER(SEARCH(violent,'David Perdue'!C148)))&gt;0)</f>
        <v>0</v>
      </c>
      <c r="P148" s="14" cm="1">
        <f t="array" ref="P148">INT(SUMPRODUCT(--ISNUMBER(SEARCH(foreign,'David Perdue'!C148)))&gt;0)</f>
        <v>0</v>
      </c>
      <c r="Q148" s="14" cm="1">
        <f t="array" ref="Q148">INT(SUMPRODUCT(--ISNUMBER(SEARCH(gun,'David Perdue'!C148)))&gt;0)</f>
        <v>0</v>
      </c>
      <c r="R148" s="14" cm="1">
        <f t="array" ref="R148">INT(SUMPRODUCT(--ISNUMBER(SEARCH(race,'David Perdue'!C148)))&gt;0)</f>
        <v>0</v>
      </c>
      <c r="S148" s="14" cm="1">
        <f t="array" ref="S148">INT(SUMPRODUCT(--ISNUMBER(SEARCH(immigration,C148)))&gt;0)</f>
        <v>0</v>
      </c>
      <c r="T148" s="14" cm="1">
        <f t="array" ref="T148">INT(SUMPRODUCT(--ISNUMBER(SEARCH(econineq,C148)))&gt;0)</f>
        <v>0</v>
      </c>
      <c r="U148" s="14" cm="1">
        <f t="array" ref="U148">INT(SUMPRODUCT(--ISNUMBER(SEARCH(climate,'David Perdue'!C148)))&gt;0)</f>
        <v>1</v>
      </c>
      <c r="V148" s="14" cm="1">
        <f t="array" ref="V148">INT(SUMPRODUCT(--ISNUMBER(SEARCH(abortion,'David Perdue'!C148)))&gt;0)</f>
        <v>0</v>
      </c>
      <c r="W148" s="14" cm="1">
        <f t="array" ref="W148">INT(SUMPRODUCT(--ISNUMBER(SEARCH(trump,'David Perdue'!C148)))&gt;0)</f>
        <v>0</v>
      </c>
      <c r="X148" s="14" cm="1">
        <f t="array" ref="X148">INT(SUMPRODUCT(--ISNUMBER(SEARCH(voting,'David Perdue'!C148)))&gt;0)</f>
        <v>0</v>
      </c>
      <c r="Y148" s="14" cm="1">
        <f t="array" ref="Y148">INT(SUMPRODUCT(--ISNUMBER(SEARCH(republicantrigger,'David Perdue'!C148)))&gt;0)</f>
        <v>1</v>
      </c>
      <c r="Z148" s="14" cm="1">
        <f t="array" ref="Z148">INT(SUMPRODUCT(--ISNUMBER(SEARCH(bipartisan,'David Perdue'!C148)))&gt;0)</f>
        <v>0</v>
      </c>
      <c r="AA148" s="14">
        <f t="shared" si="4"/>
        <v>0</v>
      </c>
      <c r="AB148" s="14"/>
      <c r="AC148" s="30" t="s">
        <v>223</v>
      </c>
      <c r="AD148" s="37" t="s">
        <v>223</v>
      </c>
    </row>
    <row r="149" spans="1:30" x14ac:dyDescent="0.25">
      <c r="A149" s="54">
        <v>465</v>
      </c>
      <c r="B149" s="14" t="s">
        <v>961</v>
      </c>
      <c r="C149" s="14" t="s">
        <v>962</v>
      </c>
      <c r="D149" s="17">
        <v>44114</v>
      </c>
      <c r="E149" s="14" t="s">
        <v>30</v>
      </c>
      <c r="F149" s="14">
        <v>18</v>
      </c>
      <c r="G149" s="14">
        <v>6</v>
      </c>
      <c r="H149" s="14">
        <v>3</v>
      </c>
      <c r="I149" s="14">
        <v>2</v>
      </c>
      <c r="J149" s="14" t="s">
        <v>31</v>
      </c>
      <c r="K149" s="14" cm="1">
        <f t="array" ref="K149">INT(SUMPRODUCT(--ISNUMBER(SEARCH(economy,'David Perdue'!C149)))&gt;0)</f>
        <v>0</v>
      </c>
      <c r="L149" s="14" cm="1">
        <f t="array" ref="L149">INT(SUMPRODUCT(--ISNUMBER(SEARCH(healthcare,'David Perdue'!C149)))&gt;0)</f>
        <v>0</v>
      </c>
      <c r="M149" s="14" cm="1">
        <f t="array" ref="M149">INT(SUMPRODUCT(--ISNUMBER(SEARCH(supreme,'David Perdue'!C149)))&gt;0)</f>
        <v>0</v>
      </c>
      <c r="N149" s="14" cm="1">
        <f t="array" ref="N149">INT(SUMPRODUCT(--ISNUMBER(SEARCH(covid,'David Perdue'!C149)))&gt;0)</f>
        <v>0</v>
      </c>
      <c r="O149" s="14" cm="1">
        <f t="array" ref="O149">INT(SUMPRODUCT(--ISNUMBER(SEARCH(violent,'David Perdue'!C149)))&gt;0)</f>
        <v>0</v>
      </c>
      <c r="P149" s="14" cm="1">
        <f t="array" ref="P149">INT(SUMPRODUCT(--ISNUMBER(SEARCH(foreign,'David Perdue'!C149)))&gt;0)</f>
        <v>0</v>
      </c>
      <c r="Q149" s="14" cm="1">
        <f t="array" ref="Q149">INT(SUMPRODUCT(--ISNUMBER(SEARCH(gun,'David Perdue'!C149)))&gt;0)</f>
        <v>0</v>
      </c>
      <c r="R149" s="14" cm="1">
        <f t="array" ref="R149">INT(SUMPRODUCT(--ISNUMBER(SEARCH(race,'David Perdue'!C149)))&gt;0)</f>
        <v>0</v>
      </c>
      <c r="S149" s="14" cm="1">
        <f t="array" ref="S149">INT(SUMPRODUCT(--ISNUMBER(SEARCH(immigration,C149)))&gt;0)</f>
        <v>0</v>
      </c>
      <c r="T149" s="14" cm="1">
        <f t="array" ref="T149">INT(SUMPRODUCT(--ISNUMBER(SEARCH(econineq,C149)))&gt;0)</f>
        <v>0</v>
      </c>
      <c r="U149" s="14" cm="1">
        <f t="array" ref="U149">INT(SUMPRODUCT(--ISNUMBER(SEARCH(climate,'David Perdue'!C149)))&gt;0)</f>
        <v>0</v>
      </c>
      <c r="V149" s="14" cm="1">
        <f t="array" ref="V149">INT(SUMPRODUCT(--ISNUMBER(SEARCH(abortion,'David Perdue'!C149)))&gt;0)</f>
        <v>0</v>
      </c>
      <c r="W149" s="14" cm="1">
        <f t="array" ref="W149">INT(SUMPRODUCT(--ISNUMBER(SEARCH(trump,'David Perdue'!C149)))&gt;0)</f>
        <v>0</v>
      </c>
      <c r="X149" s="14" cm="1">
        <f t="array" ref="X149">INT(SUMPRODUCT(--ISNUMBER(SEARCH(voting,'David Perdue'!C149)))&gt;0)</f>
        <v>0</v>
      </c>
      <c r="Y149" s="14" cm="1">
        <f t="array" ref="Y149">INT(SUMPRODUCT(--ISNUMBER(SEARCH(republicantrigger,'David Perdue'!C149)))&gt;0)</f>
        <v>0</v>
      </c>
      <c r="Z149" s="14" cm="1">
        <f t="array" ref="Z149">INT(SUMPRODUCT(--ISNUMBER(SEARCH(bipartisan,'David Perdue'!C149)))&gt;0)</f>
        <v>0</v>
      </c>
      <c r="AA149" s="14">
        <f t="shared" si="4"/>
        <v>1</v>
      </c>
      <c r="AB149" s="14"/>
      <c r="AC149" s="30">
        <v>1</v>
      </c>
      <c r="AD149" s="37">
        <v>0</v>
      </c>
    </row>
    <row r="150" spans="1:30" x14ac:dyDescent="0.25">
      <c r="A150" s="54">
        <v>466</v>
      </c>
      <c r="B150" s="14" t="s">
        <v>963</v>
      </c>
      <c r="C150" s="14" t="s">
        <v>964</v>
      </c>
      <c r="D150" s="17">
        <v>44114</v>
      </c>
      <c r="E150" s="14" t="s">
        <v>30</v>
      </c>
      <c r="F150" s="14">
        <v>23</v>
      </c>
      <c r="G150" s="14">
        <v>12</v>
      </c>
      <c r="H150" s="14">
        <v>3</v>
      </c>
      <c r="I150" s="14">
        <v>2</v>
      </c>
      <c r="J150" s="14" t="s">
        <v>31</v>
      </c>
      <c r="K150" s="14" cm="1">
        <f t="array" ref="K150">INT(SUMPRODUCT(--ISNUMBER(SEARCH(economy,'David Perdue'!C150)))&gt;0)</f>
        <v>0</v>
      </c>
      <c r="L150" s="14" cm="1">
        <f t="array" ref="L150">INT(SUMPRODUCT(--ISNUMBER(SEARCH(healthcare,'David Perdue'!C150)))&gt;0)</f>
        <v>0</v>
      </c>
      <c r="M150" s="14" cm="1">
        <f t="array" ref="M150">INT(SUMPRODUCT(--ISNUMBER(SEARCH(supreme,'David Perdue'!C150)))&gt;0)</f>
        <v>0</v>
      </c>
      <c r="N150" s="14" cm="1">
        <f t="array" ref="N150">INT(SUMPRODUCT(--ISNUMBER(SEARCH(covid,'David Perdue'!C150)))&gt;0)</f>
        <v>0</v>
      </c>
      <c r="O150" s="14" cm="1">
        <f t="array" ref="O150">INT(SUMPRODUCT(--ISNUMBER(SEARCH(violent,'David Perdue'!C150)))&gt;0)</f>
        <v>0</v>
      </c>
      <c r="P150" s="14" cm="1">
        <f t="array" ref="P150">INT(SUMPRODUCT(--ISNUMBER(SEARCH(foreign,'David Perdue'!C150)))&gt;0)</f>
        <v>0</v>
      </c>
      <c r="Q150" s="14" cm="1">
        <f t="array" ref="Q150">INT(SUMPRODUCT(--ISNUMBER(SEARCH(gun,'David Perdue'!C150)))&gt;0)</f>
        <v>0</v>
      </c>
      <c r="R150" s="14" cm="1">
        <f t="array" ref="R150">INT(SUMPRODUCT(--ISNUMBER(SEARCH(race,'David Perdue'!C150)))&gt;0)</f>
        <v>0</v>
      </c>
      <c r="S150" s="14" cm="1">
        <f t="array" ref="S150">INT(SUMPRODUCT(--ISNUMBER(SEARCH(immigration,C150)))&gt;0)</f>
        <v>0</v>
      </c>
      <c r="T150" s="14" cm="1">
        <f t="array" ref="T150">INT(SUMPRODUCT(--ISNUMBER(SEARCH(econineq,C150)))&gt;0)</f>
        <v>0</v>
      </c>
      <c r="U150" s="14" cm="1">
        <f t="array" ref="U150">INT(SUMPRODUCT(--ISNUMBER(SEARCH(climate,'David Perdue'!C150)))&gt;0)</f>
        <v>0</v>
      </c>
      <c r="V150" s="14" cm="1">
        <f t="array" ref="V150">INT(SUMPRODUCT(--ISNUMBER(SEARCH(abortion,'David Perdue'!C150)))&gt;0)</f>
        <v>0</v>
      </c>
      <c r="W150" s="14" cm="1">
        <f t="array" ref="W150">INT(SUMPRODUCT(--ISNUMBER(SEARCH(trump,'David Perdue'!C150)))&gt;0)</f>
        <v>0</v>
      </c>
      <c r="X150" s="14" cm="1">
        <f t="array" ref="X150">INT(SUMPRODUCT(--ISNUMBER(SEARCH(voting,'David Perdue'!C150)))&gt;0)</f>
        <v>0</v>
      </c>
      <c r="Y150" s="14" cm="1">
        <f t="array" ref="Y150">INT(SUMPRODUCT(--ISNUMBER(SEARCH(republicantrigger,'David Perdue'!C150)))&gt;0)</f>
        <v>1</v>
      </c>
      <c r="Z150" s="14" cm="1">
        <f t="array" ref="Z150">INT(SUMPRODUCT(--ISNUMBER(SEARCH(bipartisan,'David Perdue'!C150)))&gt;0)</f>
        <v>0</v>
      </c>
      <c r="AA150" s="14">
        <f t="shared" si="4"/>
        <v>0</v>
      </c>
      <c r="AB150" s="14"/>
      <c r="AC150" s="30">
        <v>1</v>
      </c>
      <c r="AD150" s="37">
        <v>0</v>
      </c>
    </row>
    <row r="151" spans="1:30" x14ac:dyDescent="0.25">
      <c r="A151" s="54">
        <v>467</v>
      </c>
      <c r="B151" s="14" t="s">
        <v>965</v>
      </c>
      <c r="C151" s="14" t="s">
        <v>966</v>
      </c>
      <c r="D151" s="17">
        <v>44114</v>
      </c>
      <c r="E151" s="14" t="s">
        <v>30</v>
      </c>
      <c r="F151" s="14">
        <v>34</v>
      </c>
      <c r="G151" s="14">
        <v>16</v>
      </c>
      <c r="H151" s="14">
        <v>3</v>
      </c>
      <c r="I151" s="14">
        <v>2</v>
      </c>
      <c r="J151" s="14" t="s">
        <v>31</v>
      </c>
      <c r="K151" s="14" cm="1">
        <f t="array" ref="K151">INT(SUMPRODUCT(--ISNUMBER(SEARCH(economy,'David Perdue'!C151)))&gt;0)</f>
        <v>0</v>
      </c>
      <c r="L151" s="14" cm="1">
        <f t="array" ref="L151">INT(SUMPRODUCT(--ISNUMBER(SEARCH(healthcare,'David Perdue'!C151)))&gt;0)</f>
        <v>0</v>
      </c>
      <c r="M151" s="14" cm="1">
        <f t="array" ref="M151">INT(SUMPRODUCT(--ISNUMBER(SEARCH(supreme,'David Perdue'!C151)))&gt;0)</f>
        <v>0</v>
      </c>
      <c r="N151" s="14" cm="1">
        <f t="array" ref="N151">INT(SUMPRODUCT(--ISNUMBER(SEARCH(covid,'David Perdue'!C151)))&gt;0)</f>
        <v>0</v>
      </c>
      <c r="O151" s="14" cm="1">
        <f t="array" ref="O151">INT(SUMPRODUCT(--ISNUMBER(SEARCH(violent,'David Perdue'!C151)))&gt;0)</f>
        <v>0</v>
      </c>
      <c r="P151" s="14" cm="1">
        <f t="array" ref="P151">INT(SUMPRODUCT(--ISNUMBER(SEARCH(foreign,'David Perdue'!C151)))&gt;0)</f>
        <v>0</v>
      </c>
      <c r="Q151" s="14" cm="1">
        <f t="array" ref="Q151">INT(SUMPRODUCT(--ISNUMBER(SEARCH(gun,'David Perdue'!C151)))&gt;0)</f>
        <v>0</v>
      </c>
      <c r="R151" s="14" cm="1">
        <f t="array" ref="R151">INT(SUMPRODUCT(--ISNUMBER(SEARCH(race,'David Perdue'!C151)))&gt;0)</f>
        <v>0</v>
      </c>
      <c r="S151" s="14" cm="1">
        <f t="array" ref="S151">INT(SUMPRODUCT(--ISNUMBER(SEARCH(immigration,C151)))&gt;0)</f>
        <v>0</v>
      </c>
      <c r="T151" s="14" cm="1">
        <f t="array" ref="T151">INT(SUMPRODUCT(--ISNUMBER(SEARCH(econineq,C151)))&gt;0)</f>
        <v>0</v>
      </c>
      <c r="U151" s="14" cm="1">
        <f t="array" ref="U151">INT(SUMPRODUCT(--ISNUMBER(SEARCH(climate,'David Perdue'!C151)))&gt;0)</f>
        <v>0</v>
      </c>
      <c r="V151" s="14" cm="1">
        <f t="array" ref="V151">INT(SUMPRODUCT(--ISNUMBER(SEARCH(abortion,'David Perdue'!C151)))&gt;0)</f>
        <v>0</v>
      </c>
      <c r="W151" s="14" cm="1">
        <f t="array" ref="W151">INT(SUMPRODUCT(--ISNUMBER(SEARCH(trump,'David Perdue'!C151)))&gt;0)</f>
        <v>1</v>
      </c>
      <c r="X151" s="14" cm="1">
        <f t="array" ref="X151">INT(SUMPRODUCT(--ISNUMBER(SEARCH(voting,'David Perdue'!C151)))&gt;0)</f>
        <v>1</v>
      </c>
      <c r="Y151" s="14" cm="1">
        <f t="array" ref="Y151">INT(SUMPRODUCT(--ISNUMBER(SEARCH(republicantrigger,'David Perdue'!C151)))&gt;0)</f>
        <v>0</v>
      </c>
      <c r="Z151" s="14" cm="1">
        <f t="array" ref="Z151">INT(SUMPRODUCT(--ISNUMBER(SEARCH(bipartisan,'David Perdue'!C151)))&gt;0)</f>
        <v>0</v>
      </c>
      <c r="AA151" s="14">
        <f t="shared" si="4"/>
        <v>0</v>
      </c>
      <c r="AB151" s="14"/>
      <c r="AC151" s="30">
        <v>1</v>
      </c>
      <c r="AD151" s="37">
        <v>0</v>
      </c>
    </row>
    <row r="152" spans="1:30" x14ac:dyDescent="0.25">
      <c r="A152" s="54">
        <v>468</v>
      </c>
      <c r="B152" s="14" t="s">
        <v>967</v>
      </c>
      <c r="C152" s="14" t="s">
        <v>968</v>
      </c>
      <c r="D152" s="17">
        <v>44114</v>
      </c>
      <c r="E152" s="14" t="s">
        <v>30</v>
      </c>
      <c r="F152" s="14">
        <v>52</v>
      </c>
      <c r="G152" s="14">
        <v>21</v>
      </c>
      <c r="H152" s="14">
        <v>3</v>
      </c>
      <c r="I152" s="14">
        <v>2</v>
      </c>
      <c r="J152" s="14" t="s">
        <v>31</v>
      </c>
      <c r="K152" s="14" cm="1">
        <f t="array" ref="K152">INT(SUMPRODUCT(--ISNUMBER(SEARCH(economy,'David Perdue'!C152)))&gt;0)</f>
        <v>0</v>
      </c>
      <c r="L152" s="14" cm="1">
        <f t="array" ref="L152">INT(SUMPRODUCT(--ISNUMBER(SEARCH(healthcare,'David Perdue'!C152)))&gt;0)</f>
        <v>0</v>
      </c>
      <c r="M152" s="14" cm="1">
        <f t="array" ref="M152">INT(SUMPRODUCT(--ISNUMBER(SEARCH(supreme,'David Perdue'!C152)))&gt;0)</f>
        <v>0</v>
      </c>
      <c r="N152" s="14" cm="1">
        <f t="array" ref="N152">INT(SUMPRODUCT(--ISNUMBER(SEARCH(covid,'David Perdue'!C152)))&gt;0)</f>
        <v>0</v>
      </c>
      <c r="O152" s="14" cm="1">
        <f t="array" ref="O152">INT(SUMPRODUCT(--ISNUMBER(SEARCH(violent,'David Perdue'!C152)))&gt;0)</f>
        <v>0</v>
      </c>
      <c r="P152" s="14" cm="1">
        <f t="array" ref="P152">INT(SUMPRODUCT(--ISNUMBER(SEARCH(foreign,'David Perdue'!C152)))&gt;0)</f>
        <v>0</v>
      </c>
      <c r="Q152" s="14" cm="1">
        <f t="array" ref="Q152">INT(SUMPRODUCT(--ISNUMBER(SEARCH(gun,'David Perdue'!C152)))&gt;0)</f>
        <v>0</v>
      </c>
      <c r="R152" s="14" cm="1">
        <f t="array" ref="R152">INT(SUMPRODUCT(--ISNUMBER(SEARCH(race,'David Perdue'!C152)))&gt;0)</f>
        <v>0</v>
      </c>
      <c r="S152" s="14" cm="1">
        <f t="array" ref="S152">INT(SUMPRODUCT(--ISNUMBER(SEARCH(immigration,C152)))&gt;0)</f>
        <v>0</v>
      </c>
      <c r="T152" s="14" cm="1">
        <f t="array" ref="T152">INT(SUMPRODUCT(--ISNUMBER(SEARCH(econineq,C152)))&gt;0)</f>
        <v>0</v>
      </c>
      <c r="U152" s="14" cm="1">
        <f t="array" ref="U152">INT(SUMPRODUCT(--ISNUMBER(SEARCH(climate,'David Perdue'!C152)))&gt;0)</f>
        <v>0</v>
      </c>
      <c r="V152" s="14" cm="1">
        <f t="array" ref="V152">INT(SUMPRODUCT(--ISNUMBER(SEARCH(abortion,'David Perdue'!C152)))&gt;0)</f>
        <v>0</v>
      </c>
      <c r="W152" s="14" cm="1">
        <f t="array" ref="W152">INT(SUMPRODUCT(--ISNUMBER(SEARCH(trump,'David Perdue'!C152)))&gt;0)</f>
        <v>0</v>
      </c>
      <c r="X152" s="14" cm="1">
        <f t="array" ref="X152">INT(SUMPRODUCT(--ISNUMBER(SEARCH(voting,'David Perdue'!C152)))&gt;0)</f>
        <v>0</v>
      </c>
      <c r="Y152" s="14" cm="1">
        <f t="array" ref="Y152">INT(SUMPRODUCT(--ISNUMBER(SEARCH(republicantrigger,'David Perdue'!C152)))&gt;0)</f>
        <v>1</v>
      </c>
      <c r="Z152" s="14" cm="1">
        <f t="array" ref="Z152">INT(SUMPRODUCT(--ISNUMBER(SEARCH(bipartisan,'David Perdue'!C152)))&gt;0)</f>
        <v>0</v>
      </c>
      <c r="AA152" s="14">
        <f t="shared" si="4"/>
        <v>0</v>
      </c>
      <c r="AB152" s="14"/>
      <c r="AC152" s="30">
        <v>1</v>
      </c>
      <c r="AD152" s="37">
        <v>0</v>
      </c>
    </row>
    <row r="153" spans="1:30" x14ac:dyDescent="0.25">
      <c r="A153" s="54">
        <v>469</v>
      </c>
      <c r="B153" s="14" t="s">
        <v>969</v>
      </c>
      <c r="C153" s="14" t="s">
        <v>970</v>
      </c>
      <c r="D153" s="17">
        <v>44114</v>
      </c>
      <c r="E153" s="14" t="s">
        <v>30</v>
      </c>
      <c r="F153" s="14">
        <v>31</v>
      </c>
      <c r="G153" s="14">
        <v>8</v>
      </c>
      <c r="H153" s="14">
        <v>3</v>
      </c>
      <c r="I153" s="14">
        <v>2</v>
      </c>
      <c r="J153" s="14" t="s">
        <v>31</v>
      </c>
      <c r="K153" s="14" cm="1">
        <f t="array" ref="K153">INT(SUMPRODUCT(--ISNUMBER(SEARCH(economy,'David Perdue'!C153)))&gt;0)</f>
        <v>1</v>
      </c>
      <c r="L153" s="14" cm="1">
        <f t="array" ref="L153">INT(SUMPRODUCT(--ISNUMBER(SEARCH(healthcare,'David Perdue'!C153)))&gt;0)</f>
        <v>1</v>
      </c>
      <c r="M153" s="14" cm="1">
        <f t="array" ref="M153">INT(SUMPRODUCT(--ISNUMBER(SEARCH(supreme,'David Perdue'!C153)))&gt;0)</f>
        <v>0</v>
      </c>
      <c r="N153" s="14" cm="1">
        <f t="array" ref="N153">INT(SUMPRODUCT(--ISNUMBER(SEARCH(covid,'David Perdue'!C153)))&gt;0)</f>
        <v>0</v>
      </c>
      <c r="O153" s="14" cm="1">
        <f t="array" ref="O153">INT(SUMPRODUCT(--ISNUMBER(SEARCH(violent,'David Perdue'!C153)))&gt;0)</f>
        <v>0</v>
      </c>
      <c r="P153" s="14" cm="1">
        <f t="array" ref="P153">INT(SUMPRODUCT(--ISNUMBER(SEARCH(foreign,'David Perdue'!C153)))&gt;0)</f>
        <v>0</v>
      </c>
      <c r="Q153" s="14" cm="1">
        <f t="array" ref="Q153">INT(SUMPRODUCT(--ISNUMBER(SEARCH(gun,'David Perdue'!C153)))&gt;0)</f>
        <v>0</v>
      </c>
      <c r="R153" s="14" cm="1">
        <f t="array" ref="R153">INT(SUMPRODUCT(--ISNUMBER(SEARCH(race,'David Perdue'!C153)))&gt;0)</f>
        <v>0</v>
      </c>
      <c r="S153" s="14" cm="1">
        <f t="array" ref="S153">INT(SUMPRODUCT(--ISNUMBER(SEARCH(immigration,C153)))&gt;0)</f>
        <v>0</v>
      </c>
      <c r="T153" s="14" cm="1">
        <f t="array" ref="T153">INT(SUMPRODUCT(--ISNUMBER(SEARCH(econineq,C153)))&gt;0)</f>
        <v>0</v>
      </c>
      <c r="U153" s="14" cm="1">
        <f t="array" ref="U153">INT(SUMPRODUCT(--ISNUMBER(SEARCH(climate,'David Perdue'!C153)))&gt;0)</f>
        <v>1</v>
      </c>
      <c r="V153" s="14" cm="1">
        <f t="array" ref="V153">INT(SUMPRODUCT(--ISNUMBER(SEARCH(abortion,'David Perdue'!C153)))&gt;0)</f>
        <v>0</v>
      </c>
      <c r="W153" s="14" cm="1">
        <f t="array" ref="W153">INT(SUMPRODUCT(--ISNUMBER(SEARCH(trump,'David Perdue'!C153)))&gt;0)</f>
        <v>0</v>
      </c>
      <c r="X153" s="14" cm="1">
        <f t="array" ref="X153">INT(SUMPRODUCT(--ISNUMBER(SEARCH(voting,'David Perdue'!C153)))&gt;0)</f>
        <v>0</v>
      </c>
      <c r="Y153" s="14" cm="1">
        <f t="array" ref="Y153">INT(SUMPRODUCT(--ISNUMBER(SEARCH(republicantrigger,'David Perdue'!C153)))&gt;0)</f>
        <v>1</v>
      </c>
      <c r="Z153" s="14" cm="1">
        <f t="array" ref="Z153">INT(SUMPRODUCT(--ISNUMBER(SEARCH(bipartisan,'David Perdue'!C153)))&gt;0)</f>
        <v>0</v>
      </c>
      <c r="AA153" s="14">
        <f t="shared" si="4"/>
        <v>0</v>
      </c>
      <c r="AB153" s="14"/>
      <c r="AC153" s="30" t="s">
        <v>223</v>
      </c>
      <c r="AD153" s="37" t="s">
        <v>223</v>
      </c>
    </row>
    <row r="154" spans="1:30" x14ac:dyDescent="0.25">
      <c r="A154" s="54">
        <v>470</v>
      </c>
      <c r="B154" s="14" t="s">
        <v>971</v>
      </c>
      <c r="C154" s="14" t="s">
        <v>972</v>
      </c>
      <c r="D154" s="17">
        <v>44113</v>
      </c>
      <c r="E154" s="14" t="s">
        <v>30</v>
      </c>
      <c r="F154" s="14">
        <v>37</v>
      </c>
      <c r="G154" s="14">
        <v>16</v>
      </c>
      <c r="H154" s="14">
        <v>3</v>
      </c>
      <c r="I154" s="14">
        <v>2</v>
      </c>
      <c r="J154" s="14" t="s">
        <v>31</v>
      </c>
      <c r="K154" s="14" cm="1">
        <f t="array" ref="K154">INT(SUMPRODUCT(--ISNUMBER(SEARCH(economy,'David Perdue'!C154)))&gt;0)</f>
        <v>0</v>
      </c>
      <c r="L154" s="14" cm="1">
        <f t="array" ref="L154">INT(SUMPRODUCT(--ISNUMBER(SEARCH(healthcare,'David Perdue'!C154)))&gt;0)</f>
        <v>0</v>
      </c>
      <c r="M154" s="14" cm="1">
        <f t="array" ref="M154">INT(SUMPRODUCT(--ISNUMBER(SEARCH(supreme,'David Perdue'!C154)))&gt;0)</f>
        <v>1</v>
      </c>
      <c r="N154" s="14" cm="1">
        <f t="array" ref="N154">INT(SUMPRODUCT(--ISNUMBER(SEARCH(covid,'David Perdue'!C154)))&gt;0)</f>
        <v>0</v>
      </c>
      <c r="O154" s="14" cm="1">
        <f t="array" ref="O154">INT(SUMPRODUCT(--ISNUMBER(SEARCH(violent,'David Perdue'!C154)))&gt;0)</f>
        <v>0</v>
      </c>
      <c r="P154" s="14" cm="1">
        <f t="array" ref="P154">INT(SUMPRODUCT(--ISNUMBER(SEARCH(foreign,'David Perdue'!C154)))&gt;0)</f>
        <v>0</v>
      </c>
      <c r="Q154" s="14" cm="1">
        <f t="array" ref="Q154">INT(SUMPRODUCT(--ISNUMBER(SEARCH(gun,'David Perdue'!C154)))&gt;0)</f>
        <v>0</v>
      </c>
      <c r="R154" s="14" cm="1">
        <f t="array" ref="R154">INT(SUMPRODUCT(--ISNUMBER(SEARCH(race,'David Perdue'!C154)))&gt;0)</f>
        <v>0</v>
      </c>
      <c r="S154" s="14" cm="1">
        <f t="array" ref="S154">INT(SUMPRODUCT(--ISNUMBER(SEARCH(immigration,C154)))&gt;0)</f>
        <v>0</v>
      </c>
      <c r="T154" s="14" cm="1">
        <f t="array" ref="T154">INT(SUMPRODUCT(--ISNUMBER(SEARCH(econineq,C154)))&gt;0)</f>
        <v>0</v>
      </c>
      <c r="U154" s="14" cm="1">
        <f t="array" ref="U154">INT(SUMPRODUCT(--ISNUMBER(SEARCH(climate,'David Perdue'!C154)))&gt;0)</f>
        <v>0</v>
      </c>
      <c r="V154" s="14" cm="1">
        <f t="array" ref="V154">INT(SUMPRODUCT(--ISNUMBER(SEARCH(abortion,'David Perdue'!C154)))&gt;0)</f>
        <v>0</v>
      </c>
      <c r="W154" s="14" cm="1">
        <f t="array" ref="W154">INT(SUMPRODUCT(--ISNUMBER(SEARCH(trump,'David Perdue'!C154)))&gt;0)</f>
        <v>0</v>
      </c>
      <c r="X154" s="14" cm="1">
        <f t="array" ref="X154">INT(SUMPRODUCT(--ISNUMBER(SEARCH(voting,'David Perdue'!C154)))&gt;0)</f>
        <v>0</v>
      </c>
      <c r="Y154" s="14" cm="1">
        <f t="array" ref="Y154">INT(SUMPRODUCT(--ISNUMBER(SEARCH(republicantrigger,'David Perdue'!C154)))&gt;0)</f>
        <v>0</v>
      </c>
      <c r="Z154" s="14" cm="1">
        <f t="array" ref="Z154">INT(SUMPRODUCT(--ISNUMBER(SEARCH(bipartisan,'David Perdue'!C154)))&gt;0)</f>
        <v>0</v>
      </c>
      <c r="AA154" s="14">
        <f t="shared" si="4"/>
        <v>0</v>
      </c>
      <c r="AB154" s="14"/>
      <c r="AC154" s="30">
        <v>1</v>
      </c>
      <c r="AD154" s="37">
        <v>0</v>
      </c>
    </row>
    <row r="155" spans="1:30" x14ac:dyDescent="0.25">
      <c r="A155" s="54">
        <v>471</v>
      </c>
      <c r="B155" s="14" t="s">
        <v>973</v>
      </c>
      <c r="C155" s="14" t="s">
        <v>974</v>
      </c>
      <c r="D155" s="17">
        <v>44113</v>
      </c>
      <c r="E155" s="14" t="s">
        <v>30</v>
      </c>
      <c r="F155" s="14">
        <v>11</v>
      </c>
      <c r="G155" s="14">
        <v>4</v>
      </c>
      <c r="H155" s="14">
        <v>3</v>
      </c>
      <c r="I155" s="14">
        <v>2</v>
      </c>
      <c r="J155" s="14" t="s">
        <v>31</v>
      </c>
      <c r="K155" s="14" cm="1">
        <f t="array" ref="K155">INT(SUMPRODUCT(--ISNUMBER(SEARCH(economy,'David Perdue'!C155)))&gt;0)</f>
        <v>1</v>
      </c>
      <c r="L155" s="14" cm="1">
        <f t="array" ref="L155">INT(SUMPRODUCT(--ISNUMBER(SEARCH(healthcare,'David Perdue'!C155)))&gt;0)</f>
        <v>0</v>
      </c>
      <c r="M155" s="14" cm="1">
        <f t="array" ref="M155">INT(SUMPRODUCT(--ISNUMBER(SEARCH(supreme,'David Perdue'!C155)))&gt;0)</f>
        <v>0</v>
      </c>
      <c r="N155" s="14" cm="1">
        <f t="array" ref="N155">INT(SUMPRODUCT(--ISNUMBER(SEARCH(covid,'David Perdue'!C155)))&gt;0)</f>
        <v>0</v>
      </c>
      <c r="O155" s="14" cm="1">
        <f t="array" ref="O155">INT(SUMPRODUCT(--ISNUMBER(SEARCH(violent,'David Perdue'!C155)))&gt;0)</f>
        <v>0</v>
      </c>
      <c r="P155" s="14" cm="1">
        <f t="array" ref="P155">INT(SUMPRODUCT(--ISNUMBER(SEARCH(foreign,'David Perdue'!C155)))&gt;0)</f>
        <v>0</v>
      </c>
      <c r="Q155" s="14" cm="1">
        <f t="array" ref="Q155">INT(SUMPRODUCT(--ISNUMBER(SEARCH(gun,'David Perdue'!C155)))&gt;0)</f>
        <v>0</v>
      </c>
      <c r="R155" s="14" cm="1">
        <f t="array" ref="R155">INT(SUMPRODUCT(--ISNUMBER(SEARCH(race,'David Perdue'!C155)))&gt;0)</f>
        <v>0</v>
      </c>
      <c r="S155" s="14" cm="1">
        <f t="array" ref="S155">INT(SUMPRODUCT(--ISNUMBER(SEARCH(immigration,C155)))&gt;0)</f>
        <v>0</v>
      </c>
      <c r="T155" s="14" cm="1">
        <f t="array" ref="T155">INT(SUMPRODUCT(--ISNUMBER(SEARCH(econineq,C155)))&gt;0)</f>
        <v>0</v>
      </c>
      <c r="U155" s="14" cm="1">
        <f t="array" ref="U155">INT(SUMPRODUCT(--ISNUMBER(SEARCH(climate,'David Perdue'!C155)))&gt;0)</f>
        <v>0</v>
      </c>
      <c r="V155" s="14" cm="1">
        <f t="array" ref="V155">INT(SUMPRODUCT(--ISNUMBER(SEARCH(abortion,'David Perdue'!C155)))&gt;0)</f>
        <v>0</v>
      </c>
      <c r="W155" s="14" cm="1">
        <f t="array" ref="W155">INT(SUMPRODUCT(--ISNUMBER(SEARCH(trump,'David Perdue'!C155)))&gt;0)</f>
        <v>0</v>
      </c>
      <c r="X155" s="14" cm="1">
        <f t="array" ref="X155">INT(SUMPRODUCT(--ISNUMBER(SEARCH(voting,'David Perdue'!C155)))&gt;0)</f>
        <v>0</v>
      </c>
      <c r="Y155" s="14" cm="1">
        <f t="array" ref="Y155">INT(SUMPRODUCT(--ISNUMBER(SEARCH(republicantrigger,'David Perdue'!C155)))&gt;0)</f>
        <v>0</v>
      </c>
      <c r="Z155" s="14" cm="1">
        <f t="array" ref="Z155">INT(SUMPRODUCT(--ISNUMBER(SEARCH(bipartisan,'David Perdue'!C155)))&gt;0)</f>
        <v>0</v>
      </c>
      <c r="AA155" s="14">
        <f t="shared" si="4"/>
        <v>0</v>
      </c>
      <c r="AB155" s="14"/>
      <c r="AC155" s="30" t="s">
        <v>223</v>
      </c>
      <c r="AD155" s="37" t="s">
        <v>223</v>
      </c>
    </row>
    <row r="156" spans="1:30" x14ac:dyDescent="0.25">
      <c r="A156" s="54">
        <v>472</v>
      </c>
      <c r="B156" s="14" t="s">
        <v>975</v>
      </c>
      <c r="C156" s="14" t="s">
        <v>976</v>
      </c>
      <c r="D156" s="17">
        <v>44113</v>
      </c>
      <c r="E156" s="14" t="s">
        <v>30</v>
      </c>
      <c r="F156" s="14">
        <v>25</v>
      </c>
      <c r="G156" s="14">
        <v>14</v>
      </c>
      <c r="H156" s="14">
        <v>3</v>
      </c>
      <c r="I156" s="14">
        <v>2</v>
      </c>
      <c r="J156" s="14" t="s">
        <v>31</v>
      </c>
      <c r="K156" s="14" cm="1">
        <f t="array" ref="K156">INT(SUMPRODUCT(--ISNUMBER(SEARCH(economy,'David Perdue'!C156)))&gt;0)</f>
        <v>0</v>
      </c>
      <c r="L156" s="14" cm="1">
        <f t="array" ref="L156">INT(SUMPRODUCT(--ISNUMBER(SEARCH(healthcare,'David Perdue'!C156)))&gt;0)</f>
        <v>0</v>
      </c>
      <c r="M156" s="14" cm="1">
        <f t="array" ref="M156">INT(SUMPRODUCT(--ISNUMBER(SEARCH(supreme,'David Perdue'!C156)))&gt;0)</f>
        <v>0</v>
      </c>
      <c r="N156" s="14" cm="1">
        <f t="array" ref="N156">INT(SUMPRODUCT(--ISNUMBER(SEARCH(covid,'David Perdue'!C156)))&gt;0)</f>
        <v>0</v>
      </c>
      <c r="O156" s="14" cm="1">
        <f t="array" ref="O156">INT(SUMPRODUCT(--ISNUMBER(SEARCH(violent,'David Perdue'!C156)))&gt;0)</f>
        <v>0</v>
      </c>
      <c r="P156" s="14" cm="1">
        <f t="array" ref="P156">INT(SUMPRODUCT(--ISNUMBER(SEARCH(foreign,'David Perdue'!C156)))&gt;0)</f>
        <v>0</v>
      </c>
      <c r="Q156" s="14" cm="1">
        <f t="array" ref="Q156">INT(SUMPRODUCT(--ISNUMBER(SEARCH(gun,'David Perdue'!C156)))&gt;0)</f>
        <v>0</v>
      </c>
      <c r="R156" s="14" cm="1">
        <f t="array" ref="R156">INT(SUMPRODUCT(--ISNUMBER(SEARCH(race,'David Perdue'!C156)))&gt;0)</f>
        <v>0</v>
      </c>
      <c r="S156" s="14" cm="1">
        <f t="array" ref="S156">INT(SUMPRODUCT(--ISNUMBER(SEARCH(immigration,C156)))&gt;0)</f>
        <v>0</v>
      </c>
      <c r="T156" s="14" cm="1">
        <f t="array" ref="T156">INT(SUMPRODUCT(--ISNUMBER(SEARCH(econineq,C156)))&gt;0)</f>
        <v>0</v>
      </c>
      <c r="U156" s="14" cm="1">
        <f t="array" ref="U156">INT(SUMPRODUCT(--ISNUMBER(SEARCH(climate,'David Perdue'!C156)))&gt;0)</f>
        <v>0</v>
      </c>
      <c r="V156" s="14" cm="1">
        <f t="array" ref="V156">INT(SUMPRODUCT(--ISNUMBER(SEARCH(abortion,'David Perdue'!C156)))&gt;0)</f>
        <v>0</v>
      </c>
      <c r="W156" s="14" cm="1">
        <f t="array" ref="W156">INT(SUMPRODUCT(--ISNUMBER(SEARCH(trump,'David Perdue'!C156)))&gt;0)</f>
        <v>0</v>
      </c>
      <c r="X156" s="14" cm="1">
        <f t="array" ref="X156">INT(SUMPRODUCT(--ISNUMBER(SEARCH(voting,'David Perdue'!C156)))&gt;0)</f>
        <v>0</v>
      </c>
      <c r="Y156" s="14" cm="1">
        <f t="array" ref="Y156">INT(SUMPRODUCT(--ISNUMBER(SEARCH(republicantrigger,'David Perdue'!C156)))&gt;0)</f>
        <v>1</v>
      </c>
      <c r="Z156" s="14" cm="1">
        <f t="array" ref="Z156">INT(SUMPRODUCT(--ISNUMBER(SEARCH(bipartisan,'David Perdue'!C156)))&gt;0)</f>
        <v>0</v>
      </c>
      <c r="AA156" s="14">
        <f t="shared" si="4"/>
        <v>0</v>
      </c>
      <c r="AB156" s="14"/>
      <c r="AC156" s="30">
        <v>0</v>
      </c>
      <c r="AD156" s="37">
        <v>1</v>
      </c>
    </row>
    <row r="157" spans="1:30" x14ac:dyDescent="0.25">
      <c r="A157" s="54">
        <v>473</v>
      </c>
      <c r="B157" s="14" t="s">
        <v>977</v>
      </c>
      <c r="C157" s="14" t="s">
        <v>978</v>
      </c>
      <c r="D157" s="17">
        <v>44113</v>
      </c>
      <c r="E157" s="14" t="s">
        <v>30</v>
      </c>
      <c r="F157" s="14">
        <v>11</v>
      </c>
      <c r="G157" s="14">
        <v>5</v>
      </c>
      <c r="H157" s="14">
        <v>3</v>
      </c>
      <c r="I157" s="14">
        <v>2</v>
      </c>
      <c r="J157" s="14" t="s">
        <v>31</v>
      </c>
      <c r="K157" s="14" cm="1">
        <f t="array" ref="K157">INT(SUMPRODUCT(--ISNUMBER(SEARCH(economy,'David Perdue'!C157)))&gt;0)</f>
        <v>0</v>
      </c>
      <c r="L157" s="14" cm="1">
        <f t="array" ref="L157">INT(SUMPRODUCT(--ISNUMBER(SEARCH(healthcare,'David Perdue'!C157)))&gt;0)</f>
        <v>1</v>
      </c>
      <c r="M157" s="14" cm="1">
        <f t="array" ref="M157">INT(SUMPRODUCT(--ISNUMBER(SEARCH(supreme,'David Perdue'!C157)))&gt;0)</f>
        <v>0</v>
      </c>
      <c r="N157" s="14" cm="1">
        <f t="array" ref="N157">INT(SUMPRODUCT(--ISNUMBER(SEARCH(covid,'David Perdue'!C157)))&gt;0)</f>
        <v>0</v>
      </c>
      <c r="O157" s="14" cm="1">
        <f t="array" ref="O157">INT(SUMPRODUCT(--ISNUMBER(SEARCH(violent,'David Perdue'!C157)))&gt;0)</f>
        <v>0</v>
      </c>
      <c r="P157" s="14" cm="1">
        <f t="array" ref="P157">INT(SUMPRODUCT(--ISNUMBER(SEARCH(foreign,'David Perdue'!C157)))&gt;0)</f>
        <v>0</v>
      </c>
      <c r="Q157" s="14" cm="1">
        <f t="array" ref="Q157">INT(SUMPRODUCT(--ISNUMBER(SEARCH(gun,'David Perdue'!C157)))&gt;0)</f>
        <v>0</v>
      </c>
      <c r="R157" s="14" cm="1">
        <f t="array" ref="R157">INT(SUMPRODUCT(--ISNUMBER(SEARCH(race,'David Perdue'!C157)))&gt;0)</f>
        <v>0</v>
      </c>
      <c r="S157" s="14" cm="1">
        <f t="array" ref="S157">INT(SUMPRODUCT(--ISNUMBER(SEARCH(immigration,C157)))&gt;0)</f>
        <v>1</v>
      </c>
      <c r="T157" s="14" cm="1">
        <f t="array" ref="T157">INT(SUMPRODUCT(--ISNUMBER(SEARCH(econineq,C157)))&gt;0)</f>
        <v>0</v>
      </c>
      <c r="U157" s="14" cm="1">
        <f t="array" ref="U157">INT(SUMPRODUCT(--ISNUMBER(SEARCH(climate,'David Perdue'!C157)))&gt;0)</f>
        <v>1</v>
      </c>
      <c r="V157" s="14" cm="1">
        <f t="array" ref="V157">INT(SUMPRODUCT(--ISNUMBER(SEARCH(abortion,'David Perdue'!C157)))&gt;0)</f>
        <v>0</v>
      </c>
      <c r="W157" s="14" cm="1">
        <f t="array" ref="W157">INT(SUMPRODUCT(--ISNUMBER(SEARCH(trump,'David Perdue'!C157)))&gt;0)</f>
        <v>0</v>
      </c>
      <c r="X157" s="14" cm="1">
        <f t="array" ref="X157">INT(SUMPRODUCT(--ISNUMBER(SEARCH(voting,'David Perdue'!C157)))&gt;0)</f>
        <v>0</v>
      </c>
      <c r="Y157" s="14" cm="1">
        <f t="array" ref="Y157">INT(SUMPRODUCT(--ISNUMBER(SEARCH(republicantrigger,'David Perdue'!C157)))&gt;0)</f>
        <v>1</v>
      </c>
      <c r="Z157" s="14" cm="1">
        <f t="array" ref="Z157">INT(SUMPRODUCT(--ISNUMBER(SEARCH(bipartisan,'David Perdue'!C157)))&gt;0)</f>
        <v>0</v>
      </c>
      <c r="AA157" s="14">
        <f t="shared" si="4"/>
        <v>0</v>
      </c>
      <c r="AB157" s="14"/>
      <c r="AC157" s="30">
        <v>0</v>
      </c>
      <c r="AD157" s="37">
        <v>1</v>
      </c>
    </row>
    <row r="158" spans="1:30" x14ac:dyDescent="0.25">
      <c r="A158" s="54">
        <v>474</v>
      </c>
      <c r="B158" s="14" t="s">
        <v>979</v>
      </c>
      <c r="C158" s="14" t="s">
        <v>980</v>
      </c>
      <c r="D158" s="17">
        <v>44113</v>
      </c>
      <c r="E158" s="14" t="s">
        <v>30</v>
      </c>
      <c r="F158" s="14">
        <v>5</v>
      </c>
      <c r="G158" s="14">
        <v>1</v>
      </c>
      <c r="H158" s="14">
        <v>3</v>
      </c>
      <c r="I158" s="14">
        <v>2</v>
      </c>
      <c r="J158" s="14" t="s">
        <v>31</v>
      </c>
      <c r="K158" s="14" cm="1">
        <f t="array" ref="K158">INT(SUMPRODUCT(--ISNUMBER(SEARCH(economy,'David Perdue'!C158)))&gt;0)</f>
        <v>0</v>
      </c>
      <c r="L158" s="14" cm="1">
        <f t="array" ref="L158">INT(SUMPRODUCT(--ISNUMBER(SEARCH(healthcare,'David Perdue'!C158)))&gt;0)</f>
        <v>0</v>
      </c>
      <c r="M158" s="14" cm="1">
        <f t="array" ref="M158">INT(SUMPRODUCT(--ISNUMBER(SEARCH(supreme,'David Perdue'!C158)))&gt;0)</f>
        <v>0</v>
      </c>
      <c r="N158" s="14" cm="1">
        <f t="array" ref="N158">INT(SUMPRODUCT(--ISNUMBER(SEARCH(covid,'David Perdue'!C158)))&gt;0)</f>
        <v>0</v>
      </c>
      <c r="O158" s="14" cm="1">
        <f t="array" ref="O158">INT(SUMPRODUCT(--ISNUMBER(SEARCH(violent,'David Perdue'!C158)))&gt;0)</f>
        <v>0</v>
      </c>
      <c r="P158" s="14" cm="1">
        <f t="array" ref="P158">INT(SUMPRODUCT(--ISNUMBER(SEARCH(foreign,'David Perdue'!C158)))&gt;0)</f>
        <v>0</v>
      </c>
      <c r="Q158" s="14" cm="1">
        <f t="array" ref="Q158">INT(SUMPRODUCT(--ISNUMBER(SEARCH(gun,'David Perdue'!C158)))&gt;0)</f>
        <v>0</v>
      </c>
      <c r="R158" s="14" cm="1">
        <f t="array" ref="R158">INT(SUMPRODUCT(--ISNUMBER(SEARCH(race,'David Perdue'!C158)))&gt;0)</f>
        <v>0</v>
      </c>
      <c r="S158" s="14" cm="1">
        <f t="array" ref="S158">INT(SUMPRODUCT(--ISNUMBER(SEARCH(immigration,C158)))&gt;0)</f>
        <v>0</v>
      </c>
      <c r="T158" s="14" cm="1">
        <f t="array" ref="T158">INT(SUMPRODUCT(--ISNUMBER(SEARCH(econineq,C158)))&gt;0)</f>
        <v>0</v>
      </c>
      <c r="U158" s="14" cm="1">
        <f t="array" ref="U158">INT(SUMPRODUCT(--ISNUMBER(SEARCH(climate,'David Perdue'!C158)))&gt;0)</f>
        <v>0</v>
      </c>
      <c r="V158" s="14" cm="1">
        <f t="array" ref="V158">INT(SUMPRODUCT(--ISNUMBER(SEARCH(abortion,'David Perdue'!C158)))&gt;0)</f>
        <v>0</v>
      </c>
      <c r="W158" s="14" cm="1">
        <f t="array" ref="W158">INT(SUMPRODUCT(--ISNUMBER(SEARCH(trump,'David Perdue'!C158)))&gt;0)</f>
        <v>0</v>
      </c>
      <c r="X158" s="14" cm="1">
        <f t="array" ref="X158">INT(SUMPRODUCT(--ISNUMBER(SEARCH(voting,'David Perdue'!C158)))&gt;0)</f>
        <v>0</v>
      </c>
      <c r="Y158" s="14" cm="1">
        <f t="array" ref="Y158">INT(SUMPRODUCT(--ISNUMBER(SEARCH(republicantrigger,'David Perdue'!C158)))&gt;0)</f>
        <v>0</v>
      </c>
      <c r="Z158" s="14" cm="1">
        <f t="array" ref="Z158">INT(SUMPRODUCT(--ISNUMBER(SEARCH(bipartisan,'David Perdue'!C158)))&gt;0)</f>
        <v>0</v>
      </c>
      <c r="AA158" s="14">
        <f t="shared" si="4"/>
        <v>1</v>
      </c>
      <c r="AB158" s="14"/>
      <c r="AC158" s="30" t="s">
        <v>223</v>
      </c>
      <c r="AD158" s="37" t="s">
        <v>223</v>
      </c>
    </row>
    <row r="159" spans="1:30" x14ac:dyDescent="0.25">
      <c r="A159" s="54">
        <v>475</v>
      </c>
      <c r="B159" s="14" t="s">
        <v>981</v>
      </c>
      <c r="C159" s="14" t="s">
        <v>982</v>
      </c>
      <c r="D159" s="17">
        <v>44113</v>
      </c>
      <c r="E159" s="14" t="s">
        <v>30</v>
      </c>
      <c r="F159" s="14">
        <v>46</v>
      </c>
      <c r="G159" s="14">
        <v>27</v>
      </c>
      <c r="H159" s="14">
        <v>3</v>
      </c>
      <c r="I159" s="14">
        <v>2</v>
      </c>
      <c r="J159" s="14" t="s">
        <v>31</v>
      </c>
      <c r="K159" s="14" cm="1">
        <f t="array" ref="K159">INT(SUMPRODUCT(--ISNUMBER(SEARCH(economy,'David Perdue'!C159)))&gt;0)</f>
        <v>1</v>
      </c>
      <c r="L159" s="14" cm="1">
        <f t="array" ref="L159">INT(SUMPRODUCT(--ISNUMBER(SEARCH(healthcare,'David Perdue'!C159)))&gt;0)</f>
        <v>0</v>
      </c>
      <c r="M159" s="14" cm="1">
        <f t="array" ref="M159">INT(SUMPRODUCT(--ISNUMBER(SEARCH(supreme,'David Perdue'!C159)))&gt;0)</f>
        <v>0</v>
      </c>
      <c r="N159" s="14" cm="1">
        <f t="array" ref="N159">INT(SUMPRODUCT(--ISNUMBER(SEARCH(covid,'David Perdue'!C159)))&gt;0)</f>
        <v>0</v>
      </c>
      <c r="O159" s="14" cm="1">
        <f t="array" ref="O159">INT(SUMPRODUCT(--ISNUMBER(SEARCH(violent,'David Perdue'!C159)))&gt;0)</f>
        <v>0</v>
      </c>
      <c r="P159" s="14" cm="1">
        <f t="array" ref="P159">INT(SUMPRODUCT(--ISNUMBER(SEARCH(foreign,'David Perdue'!C159)))&gt;0)</f>
        <v>0</v>
      </c>
      <c r="Q159" s="14" cm="1">
        <f t="array" ref="Q159">INT(SUMPRODUCT(--ISNUMBER(SEARCH(gun,'David Perdue'!C159)))&gt;0)</f>
        <v>0</v>
      </c>
      <c r="R159" s="14" cm="1">
        <f t="array" ref="R159">INT(SUMPRODUCT(--ISNUMBER(SEARCH(race,'David Perdue'!C159)))&gt;0)</f>
        <v>0</v>
      </c>
      <c r="S159" s="14" cm="1">
        <f t="array" ref="S159">INT(SUMPRODUCT(--ISNUMBER(SEARCH(immigration,C159)))&gt;0)</f>
        <v>0</v>
      </c>
      <c r="T159" s="14" cm="1">
        <f t="array" ref="T159">INT(SUMPRODUCT(--ISNUMBER(SEARCH(econineq,C159)))&gt;0)</f>
        <v>0</v>
      </c>
      <c r="U159" s="14" cm="1">
        <f t="array" ref="U159">INT(SUMPRODUCT(--ISNUMBER(SEARCH(climate,'David Perdue'!C159)))&gt;0)</f>
        <v>0</v>
      </c>
      <c r="V159" s="14" cm="1">
        <f t="array" ref="V159">INT(SUMPRODUCT(--ISNUMBER(SEARCH(abortion,'David Perdue'!C159)))&gt;0)</f>
        <v>0</v>
      </c>
      <c r="W159" s="14" cm="1">
        <f t="array" ref="W159">INT(SUMPRODUCT(--ISNUMBER(SEARCH(trump,'David Perdue'!C159)))&gt;0)</f>
        <v>1</v>
      </c>
      <c r="X159" s="14" cm="1">
        <f t="array" ref="X159">INT(SUMPRODUCT(--ISNUMBER(SEARCH(voting,'David Perdue'!C159)))&gt;0)</f>
        <v>0</v>
      </c>
      <c r="Y159" s="14" cm="1">
        <f t="array" ref="Y159">INT(SUMPRODUCT(--ISNUMBER(SEARCH(republicantrigger,'David Perdue'!C159)))&gt;0)</f>
        <v>1</v>
      </c>
      <c r="Z159" s="14" cm="1">
        <f t="array" ref="Z159">INT(SUMPRODUCT(--ISNUMBER(SEARCH(bipartisan,'David Perdue'!C159)))&gt;0)</f>
        <v>0</v>
      </c>
      <c r="AA159" s="14">
        <f t="shared" si="4"/>
        <v>0</v>
      </c>
      <c r="AB159" s="14"/>
      <c r="AC159" s="30">
        <v>0</v>
      </c>
      <c r="AD159" s="37">
        <v>1</v>
      </c>
    </row>
    <row r="160" spans="1:30" x14ac:dyDescent="0.25">
      <c r="A160" s="54">
        <v>476</v>
      </c>
      <c r="B160" s="14" t="s">
        <v>983</v>
      </c>
      <c r="C160" s="14" t="s">
        <v>984</v>
      </c>
      <c r="D160" s="17">
        <v>44112</v>
      </c>
      <c r="E160" s="14" t="s">
        <v>30</v>
      </c>
      <c r="F160" s="14">
        <v>15</v>
      </c>
      <c r="G160" s="14">
        <v>9</v>
      </c>
      <c r="H160" s="14">
        <v>3</v>
      </c>
      <c r="I160" s="14">
        <v>2</v>
      </c>
      <c r="J160" s="14" t="s">
        <v>31</v>
      </c>
      <c r="K160" s="14" cm="1">
        <f t="array" ref="K160">INT(SUMPRODUCT(--ISNUMBER(SEARCH(economy,'David Perdue'!C160)))&gt;0)</f>
        <v>0</v>
      </c>
      <c r="L160" s="14" cm="1">
        <f t="array" ref="L160">INT(SUMPRODUCT(--ISNUMBER(SEARCH(healthcare,'David Perdue'!C160)))&gt;0)</f>
        <v>0</v>
      </c>
      <c r="M160" s="14" cm="1">
        <f t="array" ref="M160">INT(SUMPRODUCT(--ISNUMBER(SEARCH(supreme,'David Perdue'!C160)))&gt;0)</f>
        <v>0</v>
      </c>
      <c r="N160" s="14" cm="1">
        <f t="array" ref="N160">INT(SUMPRODUCT(--ISNUMBER(SEARCH(covid,'David Perdue'!C160)))&gt;0)</f>
        <v>0</v>
      </c>
      <c r="O160" s="14" cm="1">
        <f t="array" ref="O160">INT(SUMPRODUCT(--ISNUMBER(SEARCH(violent,'David Perdue'!C160)))&gt;0)</f>
        <v>0</v>
      </c>
      <c r="P160" s="14" cm="1">
        <f t="array" ref="P160">INT(SUMPRODUCT(--ISNUMBER(SEARCH(foreign,'David Perdue'!C160)))&gt;0)</f>
        <v>0</v>
      </c>
      <c r="Q160" s="14" cm="1">
        <f t="array" ref="Q160">INT(SUMPRODUCT(--ISNUMBER(SEARCH(gun,'David Perdue'!C160)))&gt;0)</f>
        <v>0</v>
      </c>
      <c r="R160" s="14" cm="1">
        <f t="array" ref="R160">INT(SUMPRODUCT(--ISNUMBER(SEARCH(race,'David Perdue'!C160)))&gt;0)</f>
        <v>0</v>
      </c>
      <c r="S160" s="14" cm="1">
        <f t="array" ref="S160">INT(SUMPRODUCT(--ISNUMBER(SEARCH(immigration,C160)))&gt;0)</f>
        <v>0</v>
      </c>
      <c r="T160" s="14" cm="1">
        <f t="array" ref="T160">INT(SUMPRODUCT(--ISNUMBER(SEARCH(econineq,C160)))&gt;0)</f>
        <v>0</v>
      </c>
      <c r="U160" s="14" cm="1">
        <f t="array" ref="U160">INT(SUMPRODUCT(--ISNUMBER(SEARCH(climate,'David Perdue'!C160)))&gt;0)</f>
        <v>0</v>
      </c>
      <c r="V160" s="14" cm="1">
        <f t="array" ref="V160">INT(SUMPRODUCT(--ISNUMBER(SEARCH(abortion,'David Perdue'!C160)))&gt;0)</f>
        <v>0</v>
      </c>
      <c r="W160" s="14" cm="1">
        <f t="array" ref="W160">INT(SUMPRODUCT(--ISNUMBER(SEARCH(trump,'David Perdue'!C160)))&gt;0)</f>
        <v>0</v>
      </c>
      <c r="X160" s="14" cm="1">
        <f t="array" ref="X160">INT(SUMPRODUCT(--ISNUMBER(SEARCH(voting,'David Perdue'!C160)))&gt;0)</f>
        <v>0</v>
      </c>
      <c r="Y160" s="14" cm="1">
        <f t="array" ref="Y160">INT(SUMPRODUCT(--ISNUMBER(SEARCH(republicantrigger,'David Perdue'!C160)))&gt;0)</f>
        <v>1</v>
      </c>
      <c r="Z160" s="14" cm="1">
        <f t="array" ref="Z160">INT(SUMPRODUCT(--ISNUMBER(SEARCH(bipartisan,'David Perdue'!C160)))&gt;0)</f>
        <v>0</v>
      </c>
      <c r="AA160" s="14">
        <f t="shared" si="4"/>
        <v>0</v>
      </c>
      <c r="AB160" s="14"/>
      <c r="AC160" s="30">
        <v>0</v>
      </c>
      <c r="AD160" s="37">
        <v>1</v>
      </c>
    </row>
    <row r="161" spans="1:30" x14ac:dyDescent="0.25">
      <c r="A161" s="54">
        <v>477</v>
      </c>
      <c r="B161" s="14" t="s">
        <v>985</v>
      </c>
      <c r="C161" s="14" t="s">
        <v>986</v>
      </c>
      <c r="D161" s="17">
        <v>44112</v>
      </c>
      <c r="E161" s="14" t="s">
        <v>30</v>
      </c>
      <c r="F161" s="14">
        <v>21</v>
      </c>
      <c r="G161" s="14">
        <v>12</v>
      </c>
      <c r="H161" s="14">
        <v>3</v>
      </c>
      <c r="I161" s="14">
        <v>2</v>
      </c>
      <c r="J161" s="14" t="s">
        <v>31</v>
      </c>
      <c r="K161" s="14" cm="1">
        <f t="array" ref="K161">INT(SUMPRODUCT(--ISNUMBER(SEARCH(economy,'David Perdue'!C161)))&gt;0)</f>
        <v>0</v>
      </c>
      <c r="L161" s="14" cm="1">
        <f t="array" ref="L161">INT(SUMPRODUCT(--ISNUMBER(SEARCH(healthcare,'David Perdue'!C161)))&gt;0)</f>
        <v>0</v>
      </c>
      <c r="M161" s="14" cm="1">
        <f t="array" ref="M161">INT(SUMPRODUCT(--ISNUMBER(SEARCH(supreme,'David Perdue'!C161)))&gt;0)</f>
        <v>1</v>
      </c>
      <c r="N161" s="14" cm="1">
        <f t="array" ref="N161">INT(SUMPRODUCT(--ISNUMBER(SEARCH(covid,'David Perdue'!C161)))&gt;0)</f>
        <v>0</v>
      </c>
      <c r="O161" s="14" cm="1">
        <f t="array" ref="O161">INT(SUMPRODUCT(--ISNUMBER(SEARCH(violent,'David Perdue'!C161)))&gt;0)</f>
        <v>0</v>
      </c>
      <c r="P161" s="14" cm="1">
        <f t="array" ref="P161">INT(SUMPRODUCT(--ISNUMBER(SEARCH(foreign,'David Perdue'!C161)))&gt;0)</f>
        <v>0</v>
      </c>
      <c r="Q161" s="14" cm="1">
        <f t="array" ref="Q161">INT(SUMPRODUCT(--ISNUMBER(SEARCH(gun,'David Perdue'!C161)))&gt;0)</f>
        <v>0</v>
      </c>
      <c r="R161" s="14" cm="1">
        <f t="array" ref="R161">INT(SUMPRODUCT(--ISNUMBER(SEARCH(race,'David Perdue'!C161)))&gt;0)</f>
        <v>0</v>
      </c>
      <c r="S161" s="14" cm="1">
        <f t="array" ref="S161">INT(SUMPRODUCT(--ISNUMBER(SEARCH(immigration,C161)))&gt;0)</f>
        <v>0</v>
      </c>
      <c r="T161" s="14" cm="1">
        <f t="array" ref="T161">INT(SUMPRODUCT(--ISNUMBER(SEARCH(econineq,C161)))&gt;0)</f>
        <v>0</v>
      </c>
      <c r="U161" s="14" cm="1">
        <f t="array" ref="U161">INT(SUMPRODUCT(--ISNUMBER(SEARCH(climate,'David Perdue'!C161)))&gt;0)</f>
        <v>0</v>
      </c>
      <c r="V161" s="14" cm="1">
        <f t="array" ref="V161">INT(SUMPRODUCT(--ISNUMBER(SEARCH(abortion,'David Perdue'!C161)))&gt;0)</f>
        <v>0</v>
      </c>
      <c r="W161" s="14" cm="1">
        <f t="array" ref="W161">INT(SUMPRODUCT(--ISNUMBER(SEARCH(trump,'David Perdue'!C161)))&gt;0)</f>
        <v>0</v>
      </c>
      <c r="X161" s="14" cm="1">
        <f t="array" ref="X161">INT(SUMPRODUCT(--ISNUMBER(SEARCH(voting,'David Perdue'!C161)))&gt;0)</f>
        <v>0</v>
      </c>
      <c r="Y161" s="14" cm="1">
        <f t="array" ref="Y161">INT(SUMPRODUCT(--ISNUMBER(SEARCH(republicantrigger,'David Perdue'!C161)))&gt;0)</f>
        <v>0</v>
      </c>
      <c r="Z161" s="14" cm="1">
        <f t="array" ref="Z161">INT(SUMPRODUCT(--ISNUMBER(SEARCH(bipartisan,'David Perdue'!C161)))&gt;0)</f>
        <v>0</v>
      </c>
      <c r="AA161" s="14">
        <f t="shared" si="4"/>
        <v>0</v>
      </c>
      <c r="AB161" s="14"/>
      <c r="AC161" s="30">
        <v>0</v>
      </c>
      <c r="AD161" s="37">
        <v>1</v>
      </c>
    </row>
    <row r="162" spans="1:30" x14ac:dyDescent="0.25">
      <c r="A162" s="54">
        <v>478</v>
      </c>
      <c r="B162" s="14" t="s">
        <v>987</v>
      </c>
      <c r="C162" s="14" t="s">
        <v>988</v>
      </c>
      <c r="D162" s="17">
        <v>44112</v>
      </c>
      <c r="E162" s="14" t="s">
        <v>30</v>
      </c>
      <c r="F162" s="14">
        <v>18</v>
      </c>
      <c r="G162" s="14">
        <v>6</v>
      </c>
      <c r="H162" s="14">
        <v>3</v>
      </c>
      <c r="I162" s="14">
        <v>2</v>
      </c>
      <c r="J162" s="14" t="s">
        <v>31</v>
      </c>
      <c r="K162" s="14" cm="1">
        <f t="array" ref="K162">INT(SUMPRODUCT(--ISNUMBER(SEARCH(economy,'David Perdue'!C162)))&gt;0)</f>
        <v>0</v>
      </c>
      <c r="L162" s="14" cm="1">
        <f t="array" ref="L162">INT(SUMPRODUCT(--ISNUMBER(SEARCH(healthcare,'David Perdue'!C162)))&gt;0)</f>
        <v>0</v>
      </c>
      <c r="M162" s="14" cm="1">
        <f t="array" ref="M162">INT(SUMPRODUCT(--ISNUMBER(SEARCH(supreme,'David Perdue'!C162)))&gt;0)</f>
        <v>0</v>
      </c>
      <c r="N162" s="14" cm="1">
        <f t="array" ref="N162">INT(SUMPRODUCT(--ISNUMBER(SEARCH(covid,'David Perdue'!C162)))&gt;0)</f>
        <v>0</v>
      </c>
      <c r="O162" s="14" cm="1">
        <f t="array" ref="O162">INT(SUMPRODUCT(--ISNUMBER(SEARCH(violent,'David Perdue'!C162)))&gt;0)</f>
        <v>0</v>
      </c>
      <c r="P162" s="14" cm="1">
        <f t="array" ref="P162">INT(SUMPRODUCT(--ISNUMBER(SEARCH(foreign,'David Perdue'!C162)))&gt;0)</f>
        <v>0</v>
      </c>
      <c r="Q162" s="14" cm="1">
        <f t="array" ref="Q162">INT(SUMPRODUCT(--ISNUMBER(SEARCH(gun,'David Perdue'!C162)))&gt;0)</f>
        <v>0</v>
      </c>
      <c r="R162" s="14" cm="1">
        <f t="array" ref="R162">INT(SUMPRODUCT(--ISNUMBER(SEARCH(race,'David Perdue'!C162)))&gt;0)</f>
        <v>0</v>
      </c>
      <c r="S162" s="14" cm="1">
        <f t="array" ref="S162">INT(SUMPRODUCT(--ISNUMBER(SEARCH(immigration,C162)))&gt;0)</f>
        <v>0</v>
      </c>
      <c r="T162" s="14" cm="1">
        <f t="array" ref="T162">INT(SUMPRODUCT(--ISNUMBER(SEARCH(econineq,C162)))&gt;0)</f>
        <v>0</v>
      </c>
      <c r="U162" s="14" cm="1">
        <f t="array" ref="U162">INT(SUMPRODUCT(--ISNUMBER(SEARCH(climate,'David Perdue'!C162)))&gt;0)</f>
        <v>0</v>
      </c>
      <c r="V162" s="14" cm="1">
        <f t="array" ref="V162">INT(SUMPRODUCT(--ISNUMBER(SEARCH(abortion,'David Perdue'!C162)))&gt;0)</f>
        <v>0</v>
      </c>
      <c r="W162" s="14" cm="1">
        <f t="array" ref="W162">INT(SUMPRODUCT(--ISNUMBER(SEARCH(trump,'David Perdue'!C162)))&gt;0)</f>
        <v>0</v>
      </c>
      <c r="X162" s="14" cm="1">
        <f t="array" ref="X162">INT(SUMPRODUCT(--ISNUMBER(SEARCH(voting,'David Perdue'!C162)))&gt;0)</f>
        <v>0</v>
      </c>
      <c r="Y162" s="14" cm="1">
        <f t="array" ref="Y162">INT(SUMPRODUCT(--ISNUMBER(SEARCH(republicantrigger,'David Perdue'!C162)))&gt;0)</f>
        <v>1</v>
      </c>
      <c r="Z162" s="14" cm="1">
        <f t="array" ref="Z162">INT(SUMPRODUCT(--ISNUMBER(SEARCH(bipartisan,'David Perdue'!C162)))&gt;0)</f>
        <v>0</v>
      </c>
      <c r="AA162" s="14">
        <f t="shared" ref="AA162:AA193" si="5">INT(IF(COUNTIF(K162:Z162,1)=0,"1","0"))</f>
        <v>0</v>
      </c>
      <c r="AB162" s="14"/>
      <c r="AC162" s="30">
        <v>0</v>
      </c>
      <c r="AD162" s="37">
        <v>1</v>
      </c>
    </row>
    <row r="163" spans="1:30" x14ac:dyDescent="0.25">
      <c r="A163" s="54">
        <v>479</v>
      </c>
      <c r="B163" s="14" t="s">
        <v>989</v>
      </c>
      <c r="C163" s="14" t="s">
        <v>990</v>
      </c>
      <c r="D163" s="17">
        <v>44112</v>
      </c>
      <c r="E163" s="14" t="s">
        <v>30</v>
      </c>
      <c r="F163" s="14">
        <v>32</v>
      </c>
      <c r="G163" s="14">
        <v>11</v>
      </c>
      <c r="H163" s="14">
        <v>3</v>
      </c>
      <c r="I163" s="14">
        <v>2</v>
      </c>
      <c r="J163" s="14" t="s">
        <v>31</v>
      </c>
      <c r="K163" s="14" cm="1">
        <f t="array" ref="K163">INT(SUMPRODUCT(--ISNUMBER(SEARCH(economy,'David Perdue'!C163)))&gt;0)</f>
        <v>0</v>
      </c>
      <c r="L163" s="14" cm="1">
        <f t="array" ref="L163">INT(SUMPRODUCT(--ISNUMBER(SEARCH(healthcare,'David Perdue'!C163)))&gt;0)</f>
        <v>0</v>
      </c>
      <c r="M163" s="14" cm="1">
        <f t="array" ref="M163">INT(SUMPRODUCT(--ISNUMBER(SEARCH(supreme,'David Perdue'!C163)))&gt;0)</f>
        <v>0</v>
      </c>
      <c r="N163" s="14" cm="1">
        <f t="array" ref="N163">INT(SUMPRODUCT(--ISNUMBER(SEARCH(covid,'David Perdue'!C163)))&gt;0)</f>
        <v>0</v>
      </c>
      <c r="O163" s="14" cm="1">
        <f t="array" ref="O163">INT(SUMPRODUCT(--ISNUMBER(SEARCH(violent,'David Perdue'!C163)))&gt;0)</f>
        <v>0</v>
      </c>
      <c r="P163" s="14" cm="1">
        <f t="array" ref="P163">INT(SUMPRODUCT(--ISNUMBER(SEARCH(foreign,'David Perdue'!C163)))&gt;0)</f>
        <v>0</v>
      </c>
      <c r="Q163" s="14" cm="1">
        <f t="array" ref="Q163">INT(SUMPRODUCT(--ISNUMBER(SEARCH(gun,'David Perdue'!C163)))&gt;0)</f>
        <v>0</v>
      </c>
      <c r="R163" s="14" cm="1">
        <f t="array" ref="R163">INT(SUMPRODUCT(--ISNUMBER(SEARCH(race,'David Perdue'!C163)))&gt;0)</f>
        <v>0</v>
      </c>
      <c r="S163" s="14" cm="1">
        <f t="array" ref="S163">INT(SUMPRODUCT(--ISNUMBER(SEARCH(immigration,C163)))&gt;0)</f>
        <v>0</v>
      </c>
      <c r="T163" s="14" cm="1">
        <f t="array" ref="T163">INT(SUMPRODUCT(--ISNUMBER(SEARCH(econineq,C163)))&gt;0)</f>
        <v>0</v>
      </c>
      <c r="U163" s="14" cm="1">
        <f t="array" ref="U163">INT(SUMPRODUCT(--ISNUMBER(SEARCH(climate,'David Perdue'!C163)))&gt;0)</f>
        <v>0</v>
      </c>
      <c r="V163" s="14" cm="1">
        <f t="array" ref="V163">INT(SUMPRODUCT(--ISNUMBER(SEARCH(abortion,'David Perdue'!C163)))&gt;0)</f>
        <v>0</v>
      </c>
      <c r="W163" s="14" cm="1">
        <f t="array" ref="W163">INT(SUMPRODUCT(--ISNUMBER(SEARCH(trump,'David Perdue'!C163)))&gt;0)</f>
        <v>1</v>
      </c>
      <c r="X163" s="14" cm="1">
        <f t="array" ref="X163">INT(SUMPRODUCT(--ISNUMBER(SEARCH(voting,'David Perdue'!C163)))&gt;0)</f>
        <v>0</v>
      </c>
      <c r="Y163" s="14" cm="1">
        <f t="array" ref="Y163">INT(SUMPRODUCT(--ISNUMBER(SEARCH(republicantrigger,'David Perdue'!C163)))&gt;0)</f>
        <v>1</v>
      </c>
      <c r="Z163" s="14" cm="1">
        <f t="array" ref="Z163">INT(SUMPRODUCT(--ISNUMBER(SEARCH(bipartisan,'David Perdue'!C163)))&gt;0)</f>
        <v>0</v>
      </c>
      <c r="AA163" s="14">
        <f t="shared" si="5"/>
        <v>0</v>
      </c>
      <c r="AB163" s="14"/>
      <c r="AC163" s="30" t="s">
        <v>223</v>
      </c>
      <c r="AD163" s="37" t="s">
        <v>223</v>
      </c>
    </row>
    <row r="164" spans="1:30" x14ac:dyDescent="0.25">
      <c r="A164" s="54">
        <v>480</v>
      </c>
      <c r="B164" s="14" t="s">
        <v>991</v>
      </c>
      <c r="C164" s="14" t="s">
        <v>992</v>
      </c>
      <c r="D164" s="17">
        <v>44112</v>
      </c>
      <c r="E164" s="14" t="s">
        <v>30</v>
      </c>
      <c r="F164" s="14">
        <v>36</v>
      </c>
      <c r="G164" s="14">
        <v>17</v>
      </c>
      <c r="H164" s="14">
        <v>3</v>
      </c>
      <c r="I164" s="14">
        <v>2</v>
      </c>
      <c r="J164" s="14" t="s">
        <v>31</v>
      </c>
      <c r="K164" s="14" cm="1">
        <f t="array" ref="K164">INT(SUMPRODUCT(--ISNUMBER(SEARCH(economy,'David Perdue'!C164)))&gt;0)</f>
        <v>0</v>
      </c>
      <c r="L164" s="14" cm="1">
        <f t="array" ref="L164">INT(SUMPRODUCT(--ISNUMBER(SEARCH(healthcare,'David Perdue'!C164)))&gt;0)</f>
        <v>0</v>
      </c>
      <c r="M164" s="14" cm="1">
        <f t="array" ref="M164">INT(SUMPRODUCT(--ISNUMBER(SEARCH(supreme,'David Perdue'!C164)))&gt;0)</f>
        <v>0</v>
      </c>
      <c r="N164" s="14" cm="1">
        <f t="array" ref="N164">INT(SUMPRODUCT(--ISNUMBER(SEARCH(covid,'David Perdue'!C164)))&gt;0)</f>
        <v>0</v>
      </c>
      <c r="O164" s="14" cm="1">
        <f t="array" ref="O164">INT(SUMPRODUCT(--ISNUMBER(SEARCH(violent,'David Perdue'!C164)))&gt;0)</f>
        <v>0</v>
      </c>
      <c r="P164" s="14" cm="1">
        <f t="array" ref="P164">INT(SUMPRODUCT(--ISNUMBER(SEARCH(foreign,'David Perdue'!C164)))&gt;0)</f>
        <v>0</v>
      </c>
      <c r="Q164" s="14" cm="1">
        <f t="array" ref="Q164">INT(SUMPRODUCT(--ISNUMBER(SEARCH(gun,'David Perdue'!C164)))&gt;0)</f>
        <v>0</v>
      </c>
      <c r="R164" s="14" cm="1">
        <f t="array" ref="R164">INT(SUMPRODUCT(--ISNUMBER(SEARCH(race,'David Perdue'!C164)))&gt;0)</f>
        <v>0</v>
      </c>
      <c r="S164" s="14" cm="1">
        <f t="array" ref="S164">INT(SUMPRODUCT(--ISNUMBER(SEARCH(immigration,C164)))&gt;0)</f>
        <v>0</v>
      </c>
      <c r="T164" s="14" cm="1">
        <f t="array" ref="T164">INT(SUMPRODUCT(--ISNUMBER(SEARCH(econineq,C164)))&gt;0)</f>
        <v>0</v>
      </c>
      <c r="U164" s="14" cm="1">
        <f t="array" ref="U164">INT(SUMPRODUCT(--ISNUMBER(SEARCH(climate,'David Perdue'!C164)))&gt;0)</f>
        <v>0</v>
      </c>
      <c r="V164" s="14" cm="1">
        <f t="array" ref="V164">INT(SUMPRODUCT(--ISNUMBER(SEARCH(abortion,'David Perdue'!C164)))&gt;0)</f>
        <v>0</v>
      </c>
      <c r="W164" s="14" cm="1">
        <f t="array" ref="W164">INT(SUMPRODUCT(--ISNUMBER(SEARCH(trump,'David Perdue'!C164)))&gt;0)</f>
        <v>0</v>
      </c>
      <c r="X164" s="14" cm="1">
        <f t="array" ref="X164">INT(SUMPRODUCT(--ISNUMBER(SEARCH(voting,'David Perdue'!C164)))&gt;0)</f>
        <v>0</v>
      </c>
      <c r="Y164" s="14" cm="1">
        <f t="array" ref="Y164">INT(SUMPRODUCT(--ISNUMBER(SEARCH(republicantrigger,'David Perdue'!C164)))&gt;0)</f>
        <v>1</v>
      </c>
      <c r="Z164" s="14" cm="1">
        <f t="array" ref="Z164">INT(SUMPRODUCT(--ISNUMBER(SEARCH(bipartisan,'David Perdue'!C164)))&gt;0)</f>
        <v>0</v>
      </c>
      <c r="AA164" s="14">
        <f t="shared" si="5"/>
        <v>0</v>
      </c>
      <c r="AB164" s="14"/>
      <c r="AC164" s="30" t="s">
        <v>223</v>
      </c>
      <c r="AD164" s="37" t="s">
        <v>223</v>
      </c>
    </row>
    <row r="165" spans="1:30" x14ac:dyDescent="0.25">
      <c r="A165" s="54">
        <v>481</v>
      </c>
      <c r="B165" s="14" t="s">
        <v>993</v>
      </c>
      <c r="C165" s="14" t="s">
        <v>994</v>
      </c>
      <c r="D165" s="17">
        <v>44112</v>
      </c>
      <c r="E165" s="14" t="s">
        <v>30</v>
      </c>
      <c r="F165" s="14">
        <v>23</v>
      </c>
      <c r="G165" s="14">
        <v>6</v>
      </c>
      <c r="H165" s="14">
        <v>3</v>
      </c>
      <c r="I165" s="14">
        <v>2</v>
      </c>
      <c r="J165" s="14" t="s">
        <v>31</v>
      </c>
      <c r="K165" s="14" cm="1">
        <f t="array" ref="K165">INT(SUMPRODUCT(--ISNUMBER(SEARCH(economy,'David Perdue'!C165)))&gt;0)</f>
        <v>0</v>
      </c>
      <c r="L165" s="14" cm="1">
        <f t="array" ref="L165">INT(SUMPRODUCT(--ISNUMBER(SEARCH(healthcare,'David Perdue'!C165)))&gt;0)</f>
        <v>0</v>
      </c>
      <c r="M165" s="14" cm="1">
        <f t="array" ref="M165">INT(SUMPRODUCT(--ISNUMBER(SEARCH(supreme,'David Perdue'!C165)))&gt;0)</f>
        <v>0</v>
      </c>
      <c r="N165" s="14" cm="1">
        <f t="array" ref="N165">INT(SUMPRODUCT(--ISNUMBER(SEARCH(covid,'David Perdue'!C165)))&gt;0)</f>
        <v>0</v>
      </c>
      <c r="O165" s="14" cm="1">
        <f t="array" ref="O165">INT(SUMPRODUCT(--ISNUMBER(SEARCH(violent,'David Perdue'!C165)))&gt;0)</f>
        <v>0</v>
      </c>
      <c r="P165" s="14" cm="1">
        <f t="array" ref="P165">INT(SUMPRODUCT(--ISNUMBER(SEARCH(foreign,'David Perdue'!C165)))&gt;0)</f>
        <v>0</v>
      </c>
      <c r="Q165" s="14" cm="1">
        <f t="array" ref="Q165">INT(SUMPRODUCT(--ISNUMBER(SEARCH(gun,'David Perdue'!C165)))&gt;0)</f>
        <v>0</v>
      </c>
      <c r="R165" s="14" cm="1">
        <f t="array" ref="R165">INT(SUMPRODUCT(--ISNUMBER(SEARCH(race,'David Perdue'!C165)))&gt;0)</f>
        <v>0</v>
      </c>
      <c r="S165" s="14" cm="1">
        <f t="array" ref="S165">INT(SUMPRODUCT(--ISNUMBER(SEARCH(immigration,C165)))&gt;0)</f>
        <v>0</v>
      </c>
      <c r="T165" s="14" cm="1">
        <f t="array" ref="T165">INT(SUMPRODUCT(--ISNUMBER(SEARCH(econineq,C165)))&gt;0)</f>
        <v>0</v>
      </c>
      <c r="U165" s="14" cm="1">
        <f t="array" ref="U165">INT(SUMPRODUCT(--ISNUMBER(SEARCH(climate,'David Perdue'!C165)))&gt;0)</f>
        <v>0</v>
      </c>
      <c r="V165" s="14" cm="1">
        <f t="array" ref="V165">INT(SUMPRODUCT(--ISNUMBER(SEARCH(abortion,'David Perdue'!C165)))&gt;0)</f>
        <v>0</v>
      </c>
      <c r="W165" s="14" cm="1">
        <f t="array" ref="W165">INT(SUMPRODUCT(--ISNUMBER(SEARCH(trump,'David Perdue'!C165)))&gt;0)</f>
        <v>0</v>
      </c>
      <c r="X165" s="14" cm="1">
        <f t="array" ref="X165">INT(SUMPRODUCT(--ISNUMBER(SEARCH(voting,'David Perdue'!C165)))&gt;0)</f>
        <v>1</v>
      </c>
      <c r="Y165" s="14" cm="1">
        <f t="array" ref="Y165">INT(SUMPRODUCT(--ISNUMBER(SEARCH(republicantrigger,'David Perdue'!C165)))&gt;0)</f>
        <v>0</v>
      </c>
      <c r="Z165" s="14" cm="1">
        <f t="array" ref="Z165">INT(SUMPRODUCT(--ISNUMBER(SEARCH(bipartisan,'David Perdue'!C165)))&gt;0)</f>
        <v>0</v>
      </c>
      <c r="AA165" s="14">
        <f t="shared" si="5"/>
        <v>0</v>
      </c>
      <c r="AB165" s="14"/>
      <c r="AC165" s="30">
        <v>0</v>
      </c>
      <c r="AD165" s="37">
        <v>1</v>
      </c>
    </row>
    <row r="166" spans="1:30" x14ac:dyDescent="0.25">
      <c r="A166" s="54">
        <v>482</v>
      </c>
      <c r="B166" s="14" t="s">
        <v>995</v>
      </c>
      <c r="C166" s="14" t="s">
        <v>996</v>
      </c>
      <c r="D166" s="17">
        <v>44111</v>
      </c>
      <c r="E166" s="14" t="s">
        <v>30</v>
      </c>
      <c r="F166" s="14">
        <v>9</v>
      </c>
      <c r="G166" s="14">
        <v>3</v>
      </c>
      <c r="H166" s="14">
        <v>3</v>
      </c>
      <c r="I166" s="14">
        <v>2</v>
      </c>
      <c r="J166" s="14" t="s">
        <v>31</v>
      </c>
      <c r="K166" s="14" cm="1">
        <f t="array" ref="K166">INT(SUMPRODUCT(--ISNUMBER(SEARCH(economy,'David Perdue'!C166)))&gt;0)</f>
        <v>0</v>
      </c>
      <c r="L166" s="14" cm="1">
        <f t="array" ref="L166">INT(SUMPRODUCT(--ISNUMBER(SEARCH(healthcare,'David Perdue'!C166)))&gt;0)</f>
        <v>0</v>
      </c>
      <c r="M166" s="14" cm="1">
        <f t="array" ref="M166">INT(SUMPRODUCT(--ISNUMBER(SEARCH(supreme,'David Perdue'!C166)))&gt;0)</f>
        <v>0</v>
      </c>
      <c r="N166" s="14" cm="1">
        <f t="array" ref="N166">INT(SUMPRODUCT(--ISNUMBER(SEARCH(covid,'David Perdue'!C166)))&gt;0)</f>
        <v>0</v>
      </c>
      <c r="O166" s="14" cm="1">
        <f t="array" ref="O166">INT(SUMPRODUCT(--ISNUMBER(SEARCH(violent,'David Perdue'!C166)))&gt;0)</f>
        <v>0</v>
      </c>
      <c r="P166" s="14" cm="1">
        <f t="array" ref="P166">INT(SUMPRODUCT(--ISNUMBER(SEARCH(foreign,'David Perdue'!C166)))&gt;0)</f>
        <v>0</v>
      </c>
      <c r="Q166" s="14" cm="1">
        <f t="array" ref="Q166">INT(SUMPRODUCT(--ISNUMBER(SEARCH(gun,'David Perdue'!C166)))&gt;0)</f>
        <v>0</v>
      </c>
      <c r="R166" s="14" cm="1">
        <f t="array" ref="R166">INT(SUMPRODUCT(--ISNUMBER(SEARCH(race,'David Perdue'!C166)))&gt;0)</f>
        <v>0</v>
      </c>
      <c r="S166" s="14" cm="1">
        <f t="array" ref="S166">INT(SUMPRODUCT(--ISNUMBER(SEARCH(immigration,C166)))&gt;0)</f>
        <v>0</v>
      </c>
      <c r="T166" s="14" cm="1">
        <f t="array" ref="T166">INT(SUMPRODUCT(--ISNUMBER(SEARCH(econineq,C166)))&gt;0)</f>
        <v>0</v>
      </c>
      <c r="U166" s="14" cm="1">
        <f t="array" ref="U166">INT(SUMPRODUCT(--ISNUMBER(SEARCH(climate,'David Perdue'!C166)))&gt;0)</f>
        <v>0</v>
      </c>
      <c r="V166" s="14" cm="1">
        <f t="array" ref="V166">INT(SUMPRODUCT(--ISNUMBER(SEARCH(abortion,'David Perdue'!C166)))&gt;0)</f>
        <v>0</v>
      </c>
      <c r="W166" s="14" cm="1">
        <f t="array" ref="W166">INT(SUMPRODUCT(--ISNUMBER(SEARCH(trump,'David Perdue'!C166)))&gt;0)</f>
        <v>0</v>
      </c>
      <c r="X166" s="14" cm="1">
        <f t="array" ref="X166">INT(SUMPRODUCT(--ISNUMBER(SEARCH(voting,'David Perdue'!C166)))&gt;0)</f>
        <v>0</v>
      </c>
      <c r="Y166" s="14" cm="1">
        <f t="array" ref="Y166">INT(SUMPRODUCT(--ISNUMBER(SEARCH(republicantrigger,'David Perdue'!C166)))&gt;0)</f>
        <v>0</v>
      </c>
      <c r="Z166" s="14" cm="1">
        <f t="array" ref="Z166">INT(SUMPRODUCT(--ISNUMBER(SEARCH(bipartisan,'David Perdue'!C166)))&gt;0)</f>
        <v>0</v>
      </c>
      <c r="AA166" s="14">
        <f t="shared" si="5"/>
        <v>1</v>
      </c>
      <c r="AB166" s="14"/>
      <c r="AC166" s="30" t="s">
        <v>223</v>
      </c>
      <c r="AD166" s="37" t="s">
        <v>223</v>
      </c>
    </row>
    <row r="167" spans="1:30" x14ac:dyDescent="0.25">
      <c r="A167" s="54">
        <v>483</v>
      </c>
      <c r="B167" s="14" t="s">
        <v>997</v>
      </c>
      <c r="C167" s="14" t="s">
        <v>998</v>
      </c>
      <c r="D167" s="17">
        <v>44111</v>
      </c>
      <c r="E167" s="14" t="s">
        <v>30</v>
      </c>
      <c r="F167" s="14">
        <v>20</v>
      </c>
      <c r="G167" s="14">
        <v>10</v>
      </c>
      <c r="H167" s="14">
        <v>3</v>
      </c>
      <c r="I167" s="14">
        <v>2</v>
      </c>
      <c r="J167" s="14" t="s">
        <v>31</v>
      </c>
      <c r="K167" s="14" cm="1">
        <f t="array" ref="K167">INT(SUMPRODUCT(--ISNUMBER(SEARCH(economy,'David Perdue'!C167)))&gt;0)</f>
        <v>0</v>
      </c>
      <c r="L167" s="14" cm="1">
        <f t="array" ref="L167">INT(SUMPRODUCT(--ISNUMBER(SEARCH(healthcare,'David Perdue'!C167)))&gt;0)</f>
        <v>0</v>
      </c>
      <c r="M167" s="14" cm="1">
        <f t="array" ref="M167">INT(SUMPRODUCT(--ISNUMBER(SEARCH(supreme,'David Perdue'!C167)))&gt;0)</f>
        <v>0</v>
      </c>
      <c r="N167" s="14" cm="1">
        <f t="array" ref="N167">INT(SUMPRODUCT(--ISNUMBER(SEARCH(covid,'David Perdue'!C167)))&gt;0)</f>
        <v>0</v>
      </c>
      <c r="O167" s="14" cm="1">
        <f t="array" ref="O167">INT(SUMPRODUCT(--ISNUMBER(SEARCH(violent,'David Perdue'!C167)))&gt;0)</f>
        <v>0</v>
      </c>
      <c r="P167" s="14" cm="1">
        <f t="array" ref="P167">INT(SUMPRODUCT(--ISNUMBER(SEARCH(foreign,'David Perdue'!C167)))&gt;0)</f>
        <v>0</v>
      </c>
      <c r="Q167" s="14" cm="1">
        <f t="array" ref="Q167">INT(SUMPRODUCT(--ISNUMBER(SEARCH(gun,'David Perdue'!C167)))&gt;0)</f>
        <v>0</v>
      </c>
      <c r="R167" s="14" cm="1">
        <f t="array" ref="R167">INT(SUMPRODUCT(--ISNUMBER(SEARCH(race,'David Perdue'!C167)))&gt;0)</f>
        <v>0</v>
      </c>
      <c r="S167" s="14" cm="1">
        <f t="array" ref="S167">INT(SUMPRODUCT(--ISNUMBER(SEARCH(immigration,C167)))&gt;0)</f>
        <v>0</v>
      </c>
      <c r="T167" s="14" cm="1">
        <f t="array" ref="T167">INT(SUMPRODUCT(--ISNUMBER(SEARCH(econineq,C167)))&gt;0)</f>
        <v>0</v>
      </c>
      <c r="U167" s="14" cm="1">
        <f t="array" ref="U167">INT(SUMPRODUCT(--ISNUMBER(SEARCH(climate,'David Perdue'!C167)))&gt;0)</f>
        <v>0</v>
      </c>
      <c r="V167" s="14" cm="1">
        <f t="array" ref="V167">INT(SUMPRODUCT(--ISNUMBER(SEARCH(abortion,'David Perdue'!C167)))&gt;0)</f>
        <v>0</v>
      </c>
      <c r="W167" s="14" cm="1">
        <f t="array" ref="W167">INT(SUMPRODUCT(--ISNUMBER(SEARCH(trump,'David Perdue'!C167)))&gt;0)</f>
        <v>0</v>
      </c>
      <c r="X167" s="14" cm="1">
        <f t="array" ref="X167">INT(SUMPRODUCT(--ISNUMBER(SEARCH(voting,'David Perdue'!C167)))&gt;0)</f>
        <v>0</v>
      </c>
      <c r="Y167" s="14" cm="1">
        <f t="array" ref="Y167">INT(SUMPRODUCT(--ISNUMBER(SEARCH(republicantrigger,'David Perdue'!C167)))&gt;0)</f>
        <v>1</v>
      </c>
      <c r="Z167" s="14" cm="1">
        <f t="array" ref="Z167">INT(SUMPRODUCT(--ISNUMBER(SEARCH(bipartisan,'David Perdue'!C167)))&gt;0)</f>
        <v>0</v>
      </c>
      <c r="AA167" s="14">
        <f t="shared" si="5"/>
        <v>0</v>
      </c>
      <c r="AB167" s="14"/>
      <c r="AC167" s="30">
        <v>0</v>
      </c>
      <c r="AD167" s="37">
        <v>1</v>
      </c>
    </row>
    <row r="168" spans="1:30" x14ac:dyDescent="0.25">
      <c r="A168" s="54">
        <v>484</v>
      </c>
      <c r="B168" s="14" t="s">
        <v>999</v>
      </c>
      <c r="C168" s="14" t="s">
        <v>1000</v>
      </c>
      <c r="D168" s="17">
        <v>44111</v>
      </c>
      <c r="E168" s="14" t="s">
        <v>30</v>
      </c>
      <c r="F168" s="14">
        <v>42</v>
      </c>
      <c r="G168" s="14">
        <v>21</v>
      </c>
      <c r="H168" s="14">
        <v>3</v>
      </c>
      <c r="I168" s="14">
        <v>2</v>
      </c>
      <c r="J168" s="14" t="s">
        <v>31</v>
      </c>
      <c r="K168" s="14" cm="1">
        <f t="array" ref="K168">INT(SUMPRODUCT(--ISNUMBER(SEARCH(economy,'David Perdue'!C168)))&gt;0)</f>
        <v>0</v>
      </c>
      <c r="L168" s="14" cm="1">
        <f t="array" ref="L168">INT(SUMPRODUCT(--ISNUMBER(SEARCH(healthcare,'David Perdue'!C168)))&gt;0)</f>
        <v>0</v>
      </c>
      <c r="M168" s="14" cm="1">
        <f t="array" ref="M168">INT(SUMPRODUCT(--ISNUMBER(SEARCH(supreme,'David Perdue'!C168)))&gt;0)</f>
        <v>0</v>
      </c>
      <c r="N168" s="14" cm="1">
        <f t="array" ref="N168">INT(SUMPRODUCT(--ISNUMBER(SEARCH(covid,'David Perdue'!C168)))&gt;0)</f>
        <v>0</v>
      </c>
      <c r="O168" s="14" cm="1">
        <f t="array" ref="O168">INT(SUMPRODUCT(--ISNUMBER(SEARCH(violent,'David Perdue'!C168)))&gt;0)</f>
        <v>0</v>
      </c>
      <c r="P168" s="14" cm="1">
        <f t="array" ref="P168">INT(SUMPRODUCT(--ISNUMBER(SEARCH(foreign,'David Perdue'!C168)))&gt;0)</f>
        <v>0</v>
      </c>
      <c r="Q168" s="14" cm="1">
        <f t="array" ref="Q168">INT(SUMPRODUCT(--ISNUMBER(SEARCH(gun,'David Perdue'!C168)))&gt;0)</f>
        <v>0</v>
      </c>
      <c r="R168" s="14" cm="1">
        <f t="array" ref="R168">INT(SUMPRODUCT(--ISNUMBER(SEARCH(race,'David Perdue'!C168)))&gt;0)</f>
        <v>0</v>
      </c>
      <c r="S168" s="14" cm="1">
        <f t="array" ref="S168">INT(SUMPRODUCT(--ISNUMBER(SEARCH(immigration,C168)))&gt;0)</f>
        <v>0</v>
      </c>
      <c r="T168" s="14" cm="1">
        <f t="array" ref="T168">INT(SUMPRODUCT(--ISNUMBER(SEARCH(econineq,C168)))&gt;0)</f>
        <v>0</v>
      </c>
      <c r="U168" s="14" cm="1">
        <f t="array" ref="U168">INT(SUMPRODUCT(--ISNUMBER(SEARCH(climate,'David Perdue'!C168)))&gt;0)</f>
        <v>0</v>
      </c>
      <c r="V168" s="14" cm="1">
        <f t="array" ref="V168">INT(SUMPRODUCT(--ISNUMBER(SEARCH(abortion,'David Perdue'!C168)))&gt;0)</f>
        <v>0</v>
      </c>
      <c r="W168" s="14" cm="1">
        <f t="array" ref="W168">INT(SUMPRODUCT(--ISNUMBER(SEARCH(trump,'David Perdue'!C168)))&gt;0)</f>
        <v>0</v>
      </c>
      <c r="X168" s="14" cm="1">
        <f t="array" ref="X168">INT(SUMPRODUCT(--ISNUMBER(SEARCH(voting,'David Perdue'!C168)))&gt;0)</f>
        <v>0</v>
      </c>
      <c r="Y168" s="14" cm="1">
        <f t="array" ref="Y168">INT(SUMPRODUCT(--ISNUMBER(SEARCH(republicantrigger,'David Perdue'!C168)))&gt;0)</f>
        <v>1</v>
      </c>
      <c r="Z168" s="14" cm="1">
        <f t="array" ref="Z168">INT(SUMPRODUCT(--ISNUMBER(SEARCH(bipartisan,'David Perdue'!C168)))&gt;0)</f>
        <v>0</v>
      </c>
      <c r="AA168" s="14">
        <f t="shared" si="5"/>
        <v>0</v>
      </c>
      <c r="AB168" s="14"/>
      <c r="AC168" s="30" t="s">
        <v>223</v>
      </c>
      <c r="AD168" s="37" t="s">
        <v>223</v>
      </c>
    </row>
    <row r="169" spans="1:30" x14ac:dyDescent="0.25">
      <c r="A169" s="54">
        <v>485</v>
      </c>
      <c r="B169" s="14" t="s">
        <v>1001</v>
      </c>
      <c r="C169" s="14" t="s">
        <v>1002</v>
      </c>
      <c r="D169" s="17">
        <v>44111</v>
      </c>
      <c r="E169" s="14" t="s">
        <v>30</v>
      </c>
      <c r="F169" s="14">
        <v>15</v>
      </c>
      <c r="G169" s="14">
        <v>6</v>
      </c>
      <c r="H169" s="14">
        <v>3</v>
      </c>
      <c r="I169" s="14">
        <v>2</v>
      </c>
      <c r="J169" s="14" t="s">
        <v>31</v>
      </c>
      <c r="K169" s="14" cm="1">
        <f t="array" ref="K169">INT(SUMPRODUCT(--ISNUMBER(SEARCH(economy,'David Perdue'!C169)))&gt;0)</f>
        <v>0</v>
      </c>
      <c r="L169" s="14" cm="1">
        <f t="array" ref="L169">INT(SUMPRODUCT(--ISNUMBER(SEARCH(healthcare,'David Perdue'!C169)))&gt;0)</f>
        <v>0</v>
      </c>
      <c r="M169" s="14" cm="1">
        <f t="array" ref="M169">INT(SUMPRODUCT(--ISNUMBER(SEARCH(supreme,'David Perdue'!C169)))&gt;0)</f>
        <v>1</v>
      </c>
      <c r="N169" s="14" cm="1">
        <f t="array" ref="N169">INT(SUMPRODUCT(--ISNUMBER(SEARCH(covid,'David Perdue'!C169)))&gt;0)</f>
        <v>0</v>
      </c>
      <c r="O169" s="14" cm="1">
        <f t="array" ref="O169">INT(SUMPRODUCT(--ISNUMBER(SEARCH(violent,'David Perdue'!C169)))&gt;0)</f>
        <v>0</v>
      </c>
      <c r="P169" s="14" cm="1">
        <f t="array" ref="P169">INT(SUMPRODUCT(--ISNUMBER(SEARCH(foreign,'David Perdue'!C169)))&gt;0)</f>
        <v>0</v>
      </c>
      <c r="Q169" s="14" cm="1">
        <f t="array" ref="Q169">INT(SUMPRODUCT(--ISNUMBER(SEARCH(gun,'David Perdue'!C169)))&gt;0)</f>
        <v>0</v>
      </c>
      <c r="R169" s="14" cm="1">
        <f t="array" ref="R169">INT(SUMPRODUCT(--ISNUMBER(SEARCH(race,'David Perdue'!C169)))&gt;0)</f>
        <v>0</v>
      </c>
      <c r="S169" s="14" cm="1">
        <f t="array" ref="S169">INT(SUMPRODUCT(--ISNUMBER(SEARCH(immigration,C169)))&gt;0)</f>
        <v>0</v>
      </c>
      <c r="T169" s="14" cm="1">
        <f t="array" ref="T169">INT(SUMPRODUCT(--ISNUMBER(SEARCH(econineq,C169)))&gt;0)</f>
        <v>0</v>
      </c>
      <c r="U169" s="14" cm="1">
        <f t="array" ref="U169">INT(SUMPRODUCT(--ISNUMBER(SEARCH(climate,'David Perdue'!C169)))&gt;0)</f>
        <v>0</v>
      </c>
      <c r="V169" s="14" cm="1">
        <f t="array" ref="V169">INT(SUMPRODUCT(--ISNUMBER(SEARCH(abortion,'David Perdue'!C169)))&gt;0)</f>
        <v>0</v>
      </c>
      <c r="W169" s="14" cm="1">
        <f t="array" ref="W169">INT(SUMPRODUCT(--ISNUMBER(SEARCH(trump,'David Perdue'!C169)))&gt;0)</f>
        <v>0</v>
      </c>
      <c r="X169" s="14" cm="1">
        <f t="array" ref="X169">INT(SUMPRODUCT(--ISNUMBER(SEARCH(voting,'David Perdue'!C169)))&gt;0)</f>
        <v>0</v>
      </c>
      <c r="Y169" s="14" cm="1">
        <f t="array" ref="Y169">INT(SUMPRODUCT(--ISNUMBER(SEARCH(republicantrigger,'David Perdue'!C169)))&gt;0)</f>
        <v>0</v>
      </c>
      <c r="Z169" s="14" cm="1">
        <f t="array" ref="Z169">INT(SUMPRODUCT(--ISNUMBER(SEARCH(bipartisan,'David Perdue'!C169)))&gt;0)</f>
        <v>1</v>
      </c>
      <c r="AA169" s="14">
        <f t="shared" si="5"/>
        <v>0</v>
      </c>
      <c r="AB169" s="14"/>
      <c r="AC169" s="30">
        <v>0</v>
      </c>
      <c r="AD169" s="37">
        <v>1</v>
      </c>
    </row>
    <row r="170" spans="1:30" x14ac:dyDescent="0.25">
      <c r="A170" s="54">
        <v>486</v>
      </c>
      <c r="B170" s="14" t="s">
        <v>1003</v>
      </c>
      <c r="C170" s="14" t="s">
        <v>1004</v>
      </c>
      <c r="D170" s="17">
        <v>44111</v>
      </c>
      <c r="E170" s="14" t="s">
        <v>30</v>
      </c>
      <c r="F170" s="14">
        <v>10</v>
      </c>
      <c r="G170" s="14">
        <v>4</v>
      </c>
      <c r="H170" s="14">
        <v>3</v>
      </c>
      <c r="I170" s="14">
        <v>2</v>
      </c>
      <c r="J170" s="14" t="s">
        <v>31</v>
      </c>
      <c r="K170" s="14" cm="1">
        <f t="array" ref="K170">INT(SUMPRODUCT(--ISNUMBER(SEARCH(economy,'David Perdue'!C170)))&gt;0)</f>
        <v>0</v>
      </c>
      <c r="L170" s="14" cm="1">
        <f t="array" ref="L170">INT(SUMPRODUCT(--ISNUMBER(SEARCH(healthcare,'David Perdue'!C170)))&gt;0)</f>
        <v>0</v>
      </c>
      <c r="M170" s="14" cm="1">
        <f t="array" ref="M170">INT(SUMPRODUCT(--ISNUMBER(SEARCH(supreme,'David Perdue'!C170)))&gt;0)</f>
        <v>0</v>
      </c>
      <c r="N170" s="14" cm="1">
        <f t="array" ref="N170">INT(SUMPRODUCT(--ISNUMBER(SEARCH(covid,'David Perdue'!C170)))&gt;0)</f>
        <v>0</v>
      </c>
      <c r="O170" s="14" cm="1">
        <f t="array" ref="O170">INT(SUMPRODUCT(--ISNUMBER(SEARCH(violent,'David Perdue'!C170)))&gt;0)</f>
        <v>0</v>
      </c>
      <c r="P170" s="14" cm="1">
        <f t="array" ref="P170">INT(SUMPRODUCT(--ISNUMBER(SEARCH(foreign,'David Perdue'!C170)))&gt;0)</f>
        <v>0</v>
      </c>
      <c r="Q170" s="14" cm="1">
        <f t="array" ref="Q170">INT(SUMPRODUCT(--ISNUMBER(SEARCH(gun,'David Perdue'!C170)))&gt;0)</f>
        <v>0</v>
      </c>
      <c r="R170" s="14" cm="1">
        <f t="array" ref="R170">INT(SUMPRODUCT(--ISNUMBER(SEARCH(race,'David Perdue'!C170)))&gt;0)</f>
        <v>0</v>
      </c>
      <c r="S170" s="14" cm="1">
        <f t="array" ref="S170">INT(SUMPRODUCT(--ISNUMBER(SEARCH(immigration,C170)))&gt;0)</f>
        <v>0</v>
      </c>
      <c r="T170" s="14" cm="1">
        <f t="array" ref="T170">INT(SUMPRODUCT(--ISNUMBER(SEARCH(econineq,C170)))&gt;0)</f>
        <v>0</v>
      </c>
      <c r="U170" s="14" cm="1">
        <f t="array" ref="U170">INT(SUMPRODUCT(--ISNUMBER(SEARCH(climate,'David Perdue'!C170)))&gt;0)</f>
        <v>0</v>
      </c>
      <c r="V170" s="14" cm="1">
        <f t="array" ref="V170">INT(SUMPRODUCT(--ISNUMBER(SEARCH(abortion,'David Perdue'!C170)))&gt;0)</f>
        <v>0</v>
      </c>
      <c r="W170" s="14" cm="1">
        <f t="array" ref="W170">INT(SUMPRODUCT(--ISNUMBER(SEARCH(trump,'David Perdue'!C170)))&gt;0)</f>
        <v>0</v>
      </c>
      <c r="X170" s="14" cm="1">
        <f t="array" ref="X170">INT(SUMPRODUCT(--ISNUMBER(SEARCH(voting,'David Perdue'!C170)))&gt;0)</f>
        <v>0</v>
      </c>
      <c r="Y170" s="14" cm="1">
        <f t="array" ref="Y170">INT(SUMPRODUCT(--ISNUMBER(SEARCH(republicantrigger,'David Perdue'!C170)))&gt;0)</f>
        <v>0</v>
      </c>
      <c r="Z170" s="14" cm="1">
        <f t="array" ref="Z170">INT(SUMPRODUCT(--ISNUMBER(SEARCH(bipartisan,'David Perdue'!C170)))&gt;0)</f>
        <v>0</v>
      </c>
      <c r="AA170" s="14">
        <f t="shared" si="5"/>
        <v>1</v>
      </c>
      <c r="AB170" s="14"/>
      <c r="AC170" s="30" t="s">
        <v>223</v>
      </c>
      <c r="AD170" s="37" t="s">
        <v>223</v>
      </c>
    </row>
    <row r="171" spans="1:30" x14ac:dyDescent="0.25">
      <c r="A171" s="54">
        <v>487</v>
      </c>
      <c r="B171" s="14" t="s">
        <v>1005</v>
      </c>
      <c r="C171" s="14" t="s">
        <v>1006</v>
      </c>
      <c r="D171" s="17">
        <v>44111</v>
      </c>
      <c r="E171" s="14" t="s">
        <v>30</v>
      </c>
      <c r="F171" s="14">
        <v>17</v>
      </c>
      <c r="G171" s="14">
        <v>5</v>
      </c>
      <c r="H171" s="14">
        <v>3</v>
      </c>
      <c r="I171" s="14">
        <v>2</v>
      </c>
      <c r="J171" s="14" t="s">
        <v>31</v>
      </c>
      <c r="K171" s="14" cm="1">
        <f t="array" ref="K171">INT(SUMPRODUCT(--ISNUMBER(SEARCH(economy,'David Perdue'!C171)))&gt;0)</f>
        <v>0</v>
      </c>
      <c r="L171" s="14" cm="1">
        <f t="array" ref="L171">INT(SUMPRODUCT(--ISNUMBER(SEARCH(healthcare,'David Perdue'!C171)))&gt;0)</f>
        <v>0</v>
      </c>
      <c r="M171" s="14" cm="1">
        <f t="array" ref="M171">INT(SUMPRODUCT(--ISNUMBER(SEARCH(supreme,'David Perdue'!C171)))&gt;0)</f>
        <v>0</v>
      </c>
      <c r="N171" s="14" cm="1">
        <f t="array" ref="N171">INT(SUMPRODUCT(--ISNUMBER(SEARCH(covid,'David Perdue'!C171)))&gt;0)</f>
        <v>0</v>
      </c>
      <c r="O171" s="14" cm="1">
        <f t="array" ref="O171">INT(SUMPRODUCT(--ISNUMBER(SEARCH(violent,'David Perdue'!C171)))&gt;0)</f>
        <v>0</v>
      </c>
      <c r="P171" s="14" cm="1">
        <f t="array" ref="P171">INT(SUMPRODUCT(--ISNUMBER(SEARCH(foreign,'David Perdue'!C171)))&gt;0)</f>
        <v>0</v>
      </c>
      <c r="Q171" s="14" cm="1">
        <f t="array" ref="Q171">INT(SUMPRODUCT(--ISNUMBER(SEARCH(gun,'David Perdue'!C171)))&gt;0)</f>
        <v>0</v>
      </c>
      <c r="R171" s="14" cm="1">
        <f t="array" ref="R171">INT(SUMPRODUCT(--ISNUMBER(SEARCH(race,'David Perdue'!C171)))&gt;0)</f>
        <v>0</v>
      </c>
      <c r="S171" s="14" cm="1">
        <f t="array" ref="S171">INT(SUMPRODUCT(--ISNUMBER(SEARCH(immigration,C171)))&gt;0)</f>
        <v>0</v>
      </c>
      <c r="T171" s="14" cm="1">
        <f t="array" ref="T171">INT(SUMPRODUCT(--ISNUMBER(SEARCH(econineq,C171)))&gt;0)</f>
        <v>0</v>
      </c>
      <c r="U171" s="14" cm="1">
        <f t="array" ref="U171">INT(SUMPRODUCT(--ISNUMBER(SEARCH(climate,'David Perdue'!C171)))&gt;0)</f>
        <v>0</v>
      </c>
      <c r="V171" s="14" cm="1">
        <f t="array" ref="V171">INT(SUMPRODUCT(--ISNUMBER(SEARCH(abortion,'David Perdue'!C171)))&gt;0)</f>
        <v>0</v>
      </c>
      <c r="W171" s="14" cm="1">
        <f t="array" ref="W171">INT(SUMPRODUCT(--ISNUMBER(SEARCH(trump,'David Perdue'!C171)))&gt;0)</f>
        <v>0</v>
      </c>
      <c r="X171" s="14" cm="1">
        <f t="array" ref="X171">INT(SUMPRODUCT(--ISNUMBER(SEARCH(voting,'David Perdue'!C171)))&gt;0)</f>
        <v>0</v>
      </c>
      <c r="Y171" s="14" cm="1">
        <f t="array" ref="Y171">INT(SUMPRODUCT(--ISNUMBER(SEARCH(republicantrigger,'David Perdue'!C171)))&gt;0)</f>
        <v>1</v>
      </c>
      <c r="Z171" s="14" cm="1">
        <f t="array" ref="Z171">INT(SUMPRODUCT(--ISNUMBER(SEARCH(bipartisan,'David Perdue'!C171)))&gt;0)</f>
        <v>0</v>
      </c>
      <c r="AA171" s="14">
        <f t="shared" si="5"/>
        <v>0</v>
      </c>
      <c r="AB171" s="14"/>
      <c r="AC171" s="30">
        <v>0</v>
      </c>
      <c r="AD171" s="37">
        <v>1</v>
      </c>
    </row>
    <row r="172" spans="1:30" x14ac:dyDescent="0.25">
      <c r="A172" s="54">
        <v>488</v>
      </c>
      <c r="B172" s="14" t="s">
        <v>1007</v>
      </c>
      <c r="C172" s="14" t="s">
        <v>1008</v>
      </c>
      <c r="D172" s="17">
        <v>44111</v>
      </c>
      <c r="E172" s="14" t="s">
        <v>30</v>
      </c>
      <c r="F172" s="14">
        <v>23</v>
      </c>
      <c r="G172" s="14">
        <v>9</v>
      </c>
      <c r="H172" s="14">
        <v>3</v>
      </c>
      <c r="I172" s="14">
        <v>2</v>
      </c>
      <c r="J172" s="14" t="s">
        <v>31</v>
      </c>
      <c r="K172" s="14" cm="1">
        <f t="array" ref="K172">INT(SUMPRODUCT(--ISNUMBER(SEARCH(economy,'David Perdue'!C172)))&gt;0)</f>
        <v>0</v>
      </c>
      <c r="L172" s="14" cm="1">
        <f t="array" ref="L172">INT(SUMPRODUCT(--ISNUMBER(SEARCH(healthcare,'David Perdue'!C172)))&gt;0)</f>
        <v>0</v>
      </c>
      <c r="M172" s="14" cm="1">
        <f t="array" ref="M172">INT(SUMPRODUCT(--ISNUMBER(SEARCH(supreme,'David Perdue'!C172)))&gt;0)</f>
        <v>0</v>
      </c>
      <c r="N172" s="14" cm="1">
        <f t="array" ref="N172">INT(SUMPRODUCT(--ISNUMBER(SEARCH(covid,'David Perdue'!C172)))&gt;0)</f>
        <v>0</v>
      </c>
      <c r="O172" s="14" cm="1">
        <f t="array" ref="O172">INT(SUMPRODUCT(--ISNUMBER(SEARCH(violent,'David Perdue'!C172)))&gt;0)</f>
        <v>0</v>
      </c>
      <c r="P172" s="14" cm="1">
        <f t="array" ref="P172">INT(SUMPRODUCT(--ISNUMBER(SEARCH(foreign,'David Perdue'!C172)))&gt;0)</f>
        <v>0</v>
      </c>
      <c r="Q172" s="14" cm="1">
        <f t="array" ref="Q172">INT(SUMPRODUCT(--ISNUMBER(SEARCH(gun,'David Perdue'!C172)))&gt;0)</f>
        <v>0</v>
      </c>
      <c r="R172" s="14" cm="1">
        <f t="array" ref="R172">INT(SUMPRODUCT(--ISNUMBER(SEARCH(race,'David Perdue'!C172)))&gt;0)</f>
        <v>0</v>
      </c>
      <c r="S172" s="14" cm="1">
        <f t="array" ref="S172">INT(SUMPRODUCT(--ISNUMBER(SEARCH(immigration,C172)))&gt;0)</f>
        <v>0</v>
      </c>
      <c r="T172" s="14" cm="1">
        <f t="array" ref="T172">INT(SUMPRODUCT(--ISNUMBER(SEARCH(econineq,C172)))&gt;0)</f>
        <v>0</v>
      </c>
      <c r="U172" s="14" cm="1">
        <f t="array" ref="U172">INT(SUMPRODUCT(--ISNUMBER(SEARCH(climate,'David Perdue'!C172)))&gt;0)</f>
        <v>0</v>
      </c>
      <c r="V172" s="14" cm="1">
        <f t="array" ref="V172">INT(SUMPRODUCT(--ISNUMBER(SEARCH(abortion,'David Perdue'!C172)))&gt;0)</f>
        <v>0</v>
      </c>
      <c r="W172" s="14" cm="1">
        <f t="array" ref="W172">INT(SUMPRODUCT(--ISNUMBER(SEARCH(trump,'David Perdue'!C172)))&gt;0)</f>
        <v>0</v>
      </c>
      <c r="X172" s="14" cm="1">
        <f t="array" ref="X172">INT(SUMPRODUCT(--ISNUMBER(SEARCH(voting,'David Perdue'!C172)))&gt;0)</f>
        <v>0</v>
      </c>
      <c r="Y172" s="14" cm="1">
        <f t="array" ref="Y172">INT(SUMPRODUCT(--ISNUMBER(SEARCH(republicantrigger,'David Perdue'!C172)))&gt;0)</f>
        <v>1</v>
      </c>
      <c r="Z172" s="14" cm="1">
        <f t="array" ref="Z172">INT(SUMPRODUCT(--ISNUMBER(SEARCH(bipartisan,'David Perdue'!C172)))&gt;0)</f>
        <v>0</v>
      </c>
      <c r="AA172" s="14">
        <f t="shared" si="5"/>
        <v>0</v>
      </c>
      <c r="AB172" s="14"/>
      <c r="AC172" s="30">
        <v>0</v>
      </c>
      <c r="AD172" s="37">
        <v>1</v>
      </c>
    </row>
    <row r="173" spans="1:30" x14ac:dyDescent="0.25">
      <c r="A173" s="54">
        <v>489</v>
      </c>
      <c r="B173" s="14" t="s">
        <v>1009</v>
      </c>
      <c r="C173" s="14" t="s">
        <v>1010</v>
      </c>
      <c r="D173" s="17">
        <v>44110</v>
      </c>
      <c r="E173" s="14" t="s">
        <v>30</v>
      </c>
      <c r="F173" s="14">
        <v>14</v>
      </c>
      <c r="G173" s="14">
        <v>6</v>
      </c>
      <c r="H173" s="14">
        <v>3</v>
      </c>
      <c r="I173" s="14">
        <v>2</v>
      </c>
      <c r="J173" s="14" t="s">
        <v>31</v>
      </c>
      <c r="K173" s="14" cm="1">
        <f t="array" ref="K173">INT(SUMPRODUCT(--ISNUMBER(SEARCH(economy,'David Perdue'!C173)))&gt;0)</f>
        <v>1</v>
      </c>
      <c r="L173" s="14" cm="1">
        <f t="array" ref="L173">INT(SUMPRODUCT(--ISNUMBER(SEARCH(healthcare,'David Perdue'!C173)))&gt;0)</f>
        <v>0</v>
      </c>
      <c r="M173" s="14" cm="1">
        <f t="array" ref="M173">INT(SUMPRODUCT(--ISNUMBER(SEARCH(supreme,'David Perdue'!C173)))&gt;0)</f>
        <v>0</v>
      </c>
      <c r="N173" s="14" cm="1">
        <f t="array" ref="N173">INT(SUMPRODUCT(--ISNUMBER(SEARCH(covid,'David Perdue'!C173)))&gt;0)</f>
        <v>0</v>
      </c>
      <c r="O173" s="14" cm="1">
        <f t="array" ref="O173">INT(SUMPRODUCT(--ISNUMBER(SEARCH(violent,'David Perdue'!C173)))&gt;0)</f>
        <v>0</v>
      </c>
      <c r="P173" s="14" cm="1">
        <f t="array" ref="P173">INT(SUMPRODUCT(--ISNUMBER(SEARCH(foreign,'David Perdue'!C173)))&gt;0)</f>
        <v>0</v>
      </c>
      <c r="Q173" s="14" cm="1">
        <f t="array" ref="Q173">INT(SUMPRODUCT(--ISNUMBER(SEARCH(gun,'David Perdue'!C173)))&gt;0)</f>
        <v>0</v>
      </c>
      <c r="R173" s="14" cm="1">
        <f t="array" ref="R173">INT(SUMPRODUCT(--ISNUMBER(SEARCH(race,'David Perdue'!C173)))&gt;0)</f>
        <v>0</v>
      </c>
      <c r="S173" s="14" cm="1">
        <f t="array" ref="S173">INT(SUMPRODUCT(--ISNUMBER(SEARCH(immigration,C173)))&gt;0)</f>
        <v>0</v>
      </c>
      <c r="T173" s="14" cm="1">
        <f t="array" ref="T173">INT(SUMPRODUCT(--ISNUMBER(SEARCH(econineq,C173)))&gt;0)</f>
        <v>0</v>
      </c>
      <c r="U173" s="14" cm="1">
        <f t="array" ref="U173">INT(SUMPRODUCT(--ISNUMBER(SEARCH(climate,'David Perdue'!C173)))&gt;0)</f>
        <v>0</v>
      </c>
      <c r="V173" s="14" cm="1">
        <f t="array" ref="V173">INT(SUMPRODUCT(--ISNUMBER(SEARCH(abortion,'David Perdue'!C173)))&gt;0)</f>
        <v>0</v>
      </c>
      <c r="W173" s="14" cm="1">
        <f t="array" ref="W173">INT(SUMPRODUCT(--ISNUMBER(SEARCH(trump,'David Perdue'!C173)))&gt;0)</f>
        <v>0</v>
      </c>
      <c r="X173" s="14" cm="1">
        <f t="array" ref="X173">INT(SUMPRODUCT(--ISNUMBER(SEARCH(voting,'David Perdue'!C173)))&gt;0)</f>
        <v>1</v>
      </c>
      <c r="Y173" s="14" cm="1">
        <f t="array" ref="Y173">INT(SUMPRODUCT(--ISNUMBER(SEARCH(republicantrigger,'David Perdue'!C173)))&gt;0)</f>
        <v>1</v>
      </c>
      <c r="Z173" s="14" cm="1">
        <f t="array" ref="Z173">INT(SUMPRODUCT(--ISNUMBER(SEARCH(bipartisan,'David Perdue'!C173)))&gt;0)</f>
        <v>0</v>
      </c>
      <c r="AA173" s="14">
        <f t="shared" si="5"/>
        <v>0</v>
      </c>
      <c r="AB173" s="14"/>
      <c r="AC173" s="30">
        <v>0</v>
      </c>
      <c r="AD173" s="37">
        <v>1</v>
      </c>
    </row>
    <row r="174" spans="1:30" x14ac:dyDescent="0.25">
      <c r="A174" s="54">
        <v>490</v>
      </c>
      <c r="B174" s="14" t="s">
        <v>1011</v>
      </c>
      <c r="C174" s="14" t="s">
        <v>1012</v>
      </c>
      <c r="D174" s="17">
        <v>44110</v>
      </c>
      <c r="E174" s="14" t="s">
        <v>30</v>
      </c>
      <c r="F174" s="14">
        <v>13</v>
      </c>
      <c r="G174" s="14">
        <v>5</v>
      </c>
      <c r="H174" s="14">
        <v>3</v>
      </c>
      <c r="I174" s="14">
        <v>2</v>
      </c>
      <c r="J174" s="14" t="s">
        <v>31</v>
      </c>
      <c r="K174" s="14" cm="1">
        <f t="array" ref="K174">INT(SUMPRODUCT(--ISNUMBER(SEARCH(economy,'David Perdue'!C174)))&gt;0)</f>
        <v>0</v>
      </c>
      <c r="L174" s="14" cm="1">
        <f t="array" ref="L174">INT(SUMPRODUCT(--ISNUMBER(SEARCH(healthcare,'David Perdue'!C174)))&gt;0)</f>
        <v>0</v>
      </c>
      <c r="M174" s="14" cm="1">
        <f t="array" ref="M174">INT(SUMPRODUCT(--ISNUMBER(SEARCH(supreme,'David Perdue'!C174)))&gt;0)</f>
        <v>0</v>
      </c>
      <c r="N174" s="14" cm="1">
        <f t="array" ref="N174">INT(SUMPRODUCT(--ISNUMBER(SEARCH(covid,'David Perdue'!C174)))&gt;0)</f>
        <v>0</v>
      </c>
      <c r="O174" s="14" cm="1">
        <f t="array" ref="O174">INT(SUMPRODUCT(--ISNUMBER(SEARCH(violent,'David Perdue'!C174)))&gt;0)</f>
        <v>0</v>
      </c>
      <c r="P174" s="14" cm="1">
        <f t="array" ref="P174">INT(SUMPRODUCT(--ISNUMBER(SEARCH(foreign,'David Perdue'!C174)))&gt;0)</f>
        <v>0</v>
      </c>
      <c r="Q174" s="14" cm="1">
        <f t="array" ref="Q174">INT(SUMPRODUCT(--ISNUMBER(SEARCH(gun,'David Perdue'!C174)))&gt;0)</f>
        <v>0</v>
      </c>
      <c r="R174" s="14" cm="1">
        <f t="array" ref="R174">INT(SUMPRODUCT(--ISNUMBER(SEARCH(race,'David Perdue'!C174)))&gt;0)</f>
        <v>0</v>
      </c>
      <c r="S174" s="14" cm="1">
        <f t="array" ref="S174">INT(SUMPRODUCT(--ISNUMBER(SEARCH(immigration,C174)))&gt;0)</f>
        <v>0</v>
      </c>
      <c r="T174" s="14" cm="1">
        <f t="array" ref="T174">INT(SUMPRODUCT(--ISNUMBER(SEARCH(econineq,C174)))&gt;0)</f>
        <v>0</v>
      </c>
      <c r="U174" s="14" cm="1">
        <f t="array" ref="U174">INT(SUMPRODUCT(--ISNUMBER(SEARCH(climate,'David Perdue'!C174)))&gt;0)</f>
        <v>0</v>
      </c>
      <c r="V174" s="14" cm="1">
        <f t="array" ref="V174">INT(SUMPRODUCT(--ISNUMBER(SEARCH(abortion,'David Perdue'!C174)))&gt;0)</f>
        <v>0</v>
      </c>
      <c r="W174" s="14" cm="1">
        <f t="array" ref="W174">INT(SUMPRODUCT(--ISNUMBER(SEARCH(trump,'David Perdue'!C174)))&gt;0)</f>
        <v>0</v>
      </c>
      <c r="X174" s="14" cm="1">
        <f t="array" ref="X174">INT(SUMPRODUCT(--ISNUMBER(SEARCH(voting,'David Perdue'!C174)))&gt;0)</f>
        <v>0</v>
      </c>
      <c r="Y174" s="14" cm="1">
        <f t="array" ref="Y174">INT(SUMPRODUCT(--ISNUMBER(SEARCH(republicantrigger,'David Perdue'!C174)))&gt;0)</f>
        <v>1</v>
      </c>
      <c r="Z174" s="14" cm="1">
        <f t="array" ref="Z174">INT(SUMPRODUCT(--ISNUMBER(SEARCH(bipartisan,'David Perdue'!C174)))&gt;0)</f>
        <v>0</v>
      </c>
      <c r="AA174" s="14">
        <f t="shared" si="5"/>
        <v>0</v>
      </c>
      <c r="AB174" s="14"/>
      <c r="AC174" s="30">
        <v>0</v>
      </c>
      <c r="AD174" s="37">
        <v>1</v>
      </c>
    </row>
    <row r="175" spans="1:30" x14ac:dyDescent="0.25">
      <c r="A175" s="54">
        <v>491</v>
      </c>
      <c r="B175" s="14" t="s">
        <v>1013</v>
      </c>
      <c r="C175" s="14" t="s">
        <v>1014</v>
      </c>
      <c r="D175" s="17">
        <v>44110</v>
      </c>
      <c r="E175" s="14" t="s">
        <v>30</v>
      </c>
      <c r="F175" s="14">
        <v>12</v>
      </c>
      <c r="G175" s="14">
        <v>9</v>
      </c>
      <c r="H175" s="14">
        <v>3</v>
      </c>
      <c r="I175" s="14">
        <v>2</v>
      </c>
      <c r="J175" s="14" t="s">
        <v>31</v>
      </c>
      <c r="K175" s="14" cm="1">
        <f t="array" ref="K175">INT(SUMPRODUCT(--ISNUMBER(SEARCH(economy,'David Perdue'!C175)))&gt;0)</f>
        <v>0</v>
      </c>
      <c r="L175" s="14" cm="1">
        <f t="array" ref="L175">INT(SUMPRODUCT(--ISNUMBER(SEARCH(healthcare,'David Perdue'!C175)))&gt;0)</f>
        <v>0</v>
      </c>
      <c r="M175" s="14" cm="1">
        <f t="array" ref="M175">INT(SUMPRODUCT(--ISNUMBER(SEARCH(supreme,'David Perdue'!C175)))&gt;0)</f>
        <v>0</v>
      </c>
      <c r="N175" s="14" cm="1">
        <f t="array" ref="N175">INT(SUMPRODUCT(--ISNUMBER(SEARCH(covid,'David Perdue'!C175)))&gt;0)</f>
        <v>0</v>
      </c>
      <c r="O175" s="14" cm="1">
        <f t="array" ref="O175">INT(SUMPRODUCT(--ISNUMBER(SEARCH(violent,'David Perdue'!C175)))&gt;0)</f>
        <v>0</v>
      </c>
      <c r="P175" s="14" cm="1">
        <f t="array" ref="P175">INT(SUMPRODUCT(--ISNUMBER(SEARCH(foreign,'David Perdue'!C175)))&gt;0)</f>
        <v>0</v>
      </c>
      <c r="Q175" s="14" cm="1">
        <f t="array" ref="Q175">INT(SUMPRODUCT(--ISNUMBER(SEARCH(gun,'David Perdue'!C175)))&gt;0)</f>
        <v>0</v>
      </c>
      <c r="R175" s="14" cm="1">
        <f t="array" ref="R175">INT(SUMPRODUCT(--ISNUMBER(SEARCH(race,'David Perdue'!C175)))&gt;0)</f>
        <v>0</v>
      </c>
      <c r="S175" s="14" cm="1">
        <f t="array" ref="S175">INT(SUMPRODUCT(--ISNUMBER(SEARCH(immigration,C175)))&gt;0)</f>
        <v>0</v>
      </c>
      <c r="T175" s="14" cm="1">
        <f t="array" ref="T175">INT(SUMPRODUCT(--ISNUMBER(SEARCH(econineq,C175)))&gt;0)</f>
        <v>0</v>
      </c>
      <c r="U175" s="14" cm="1">
        <f t="array" ref="U175">INT(SUMPRODUCT(--ISNUMBER(SEARCH(climate,'David Perdue'!C175)))&gt;0)</f>
        <v>0</v>
      </c>
      <c r="V175" s="14" cm="1">
        <f t="array" ref="V175">INT(SUMPRODUCT(--ISNUMBER(SEARCH(abortion,'David Perdue'!C175)))&gt;0)</f>
        <v>0</v>
      </c>
      <c r="W175" s="14" cm="1">
        <f t="array" ref="W175">INT(SUMPRODUCT(--ISNUMBER(SEARCH(trump,'David Perdue'!C175)))&gt;0)</f>
        <v>0</v>
      </c>
      <c r="X175" s="14" cm="1">
        <f t="array" ref="X175">INT(SUMPRODUCT(--ISNUMBER(SEARCH(voting,'David Perdue'!C175)))&gt;0)</f>
        <v>1</v>
      </c>
      <c r="Y175" s="14" cm="1">
        <f t="array" ref="Y175">INT(SUMPRODUCT(--ISNUMBER(SEARCH(republicantrigger,'David Perdue'!C175)))&gt;0)</f>
        <v>1</v>
      </c>
      <c r="Z175" s="14" cm="1">
        <f t="array" ref="Z175">INT(SUMPRODUCT(--ISNUMBER(SEARCH(bipartisan,'David Perdue'!C175)))&gt;0)</f>
        <v>0</v>
      </c>
      <c r="AA175" s="14">
        <f t="shared" si="5"/>
        <v>0</v>
      </c>
      <c r="AB175" s="14"/>
      <c r="AC175" s="30" t="s">
        <v>223</v>
      </c>
      <c r="AD175" s="37" t="s">
        <v>223</v>
      </c>
    </row>
    <row r="176" spans="1:30" x14ac:dyDescent="0.25">
      <c r="A176" s="54">
        <v>492</v>
      </c>
      <c r="B176" s="14" t="s">
        <v>1015</v>
      </c>
      <c r="C176" s="14" t="s">
        <v>1016</v>
      </c>
      <c r="D176" s="17">
        <v>44110</v>
      </c>
      <c r="E176" s="14" t="s">
        <v>30</v>
      </c>
      <c r="F176" s="14">
        <v>26</v>
      </c>
      <c r="G176" s="14">
        <v>11</v>
      </c>
      <c r="H176" s="14">
        <v>3</v>
      </c>
      <c r="I176" s="14">
        <v>2</v>
      </c>
      <c r="J176" s="14" t="s">
        <v>31</v>
      </c>
      <c r="K176" s="14" cm="1">
        <f t="array" ref="K176">INT(SUMPRODUCT(--ISNUMBER(SEARCH(economy,'David Perdue'!C176)))&gt;0)</f>
        <v>0</v>
      </c>
      <c r="L176" s="14" cm="1">
        <f t="array" ref="L176">INT(SUMPRODUCT(--ISNUMBER(SEARCH(healthcare,'David Perdue'!C176)))&gt;0)</f>
        <v>0</v>
      </c>
      <c r="M176" s="14" cm="1">
        <f t="array" ref="M176">INT(SUMPRODUCT(--ISNUMBER(SEARCH(supreme,'David Perdue'!C176)))&gt;0)</f>
        <v>0</v>
      </c>
      <c r="N176" s="14" cm="1">
        <f t="array" ref="N176">INT(SUMPRODUCT(--ISNUMBER(SEARCH(covid,'David Perdue'!C176)))&gt;0)</f>
        <v>0</v>
      </c>
      <c r="O176" s="14" cm="1">
        <f t="array" ref="O176">INT(SUMPRODUCT(--ISNUMBER(SEARCH(violent,'David Perdue'!C176)))&gt;0)</f>
        <v>0</v>
      </c>
      <c r="P176" s="14" cm="1">
        <f t="array" ref="P176">INT(SUMPRODUCT(--ISNUMBER(SEARCH(foreign,'David Perdue'!C176)))&gt;0)</f>
        <v>0</v>
      </c>
      <c r="Q176" s="14" cm="1">
        <f t="array" ref="Q176">INT(SUMPRODUCT(--ISNUMBER(SEARCH(gun,'David Perdue'!C176)))&gt;0)</f>
        <v>0</v>
      </c>
      <c r="R176" s="14" cm="1">
        <f t="array" ref="R176">INT(SUMPRODUCT(--ISNUMBER(SEARCH(race,'David Perdue'!C176)))&gt;0)</f>
        <v>0</v>
      </c>
      <c r="S176" s="14" cm="1">
        <f t="array" ref="S176">INT(SUMPRODUCT(--ISNUMBER(SEARCH(immigration,C176)))&gt;0)</f>
        <v>0</v>
      </c>
      <c r="T176" s="14" cm="1">
        <f t="array" ref="T176">INT(SUMPRODUCT(--ISNUMBER(SEARCH(econineq,C176)))&gt;0)</f>
        <v>0</v>
      </c>
      <c r="U176" s="14" cm="1">
        <f t="array" ref="U176">INT(SUMPRODUCT(--ISNUMBER(SEARCH(climate,'David Perdue'!C176)))&gt;0)</f>
        <v>0</v>
      </c>
      <c r="V176" s="14" cm="1">
        <f t="array" ref="V176">INT(SUMPRODUCT(--ISNUMBER(SEARCH(abortion,'David Perdue'!C176)))&gt;0)</f>
        <v>0</v>
      </c>
      <c r="W176" s="14" cm="1">
        <f t="array" ref="W176">INT(SUMPRODUCT(--ISNUMBER(SEARCH(trump,'David Perdue'!C176)))&gt;0)</f>
        <v>0</v>
      </c>
      <c r="X176" s="14" cm="1">
        <f t="array" ref="X176">INT(SUMPRODUCT(--ISNUMBER(SEARCH(voting,'David Perdue'!C176)))&gt;0)</f>
        <v>0</v>
      </c>
      <c r="Y176" s="14" cm="1">
        <f t="array" ref="Y176">INT(SUMPRODUCT(--ISNUMBER(SEARCH(republicantrigger,'David Perdue'!C176)))&gt;0)</f>
        <v>0</v>
      </c>
      <c r="Z176" s="14" cm="1">
        <f t="array" ref="Z176">INT(SUMPRODUCT(--ISNUMBER(SEARCH(bipartisan,'David Perdue'!C176)))&gt;0)</f>
        <v>0</v>
      </c>
      <c r="AA176" s="14">
        <f t="shared" si="5"/>
        <v>1</v>
      </c>
      <c r="AB176" s="14"/>
      <c r="AC176" s="30" t="s">
        <v>223</v>
      </c>
      <c r="AD176" s="37" t="s">
        <v>223</v>
      </c>
    </row>
    <row r="177" spans="1:30" x14ac:dyDescent="0.25">
      <c r="A177" s="54">
        <v>493</v>
      </c>
      <c r="B177" s="14" t="s">
        <v>1017</v>
      </c>
      <c r="C177" s="14" t="s">
        <v>1018</v>
      </c>
      <c r="D177" s="17">
        <v>44110</v>
      </c>
      <c r="E177" s="14" t="s">
        <v>30</v>
      </c>
      <c r="F177" s="14">
        <v>21</v>
      </c>
      <c r="G177" s="14">
        <v>12</v>
      </c>
      <c r="H177" s="14">
        <v>3</v>
      </c>
      <c r="I177" s="14">
        <v>2</v>
      </c>
      <c r="J177" s="14" t="s">
        <v>31</v>
      </c>
      <c r="K177" s="14" cm="1">
        <f t="array" ref="K177">INT(SUMPRODUCT(--ISNUMBER(SEARCH(economy,'David Perdue'!C177)))&gt;0)</f>
        <v>0</v>
      </c>
      <c r="L177" s="14" cm="1">
        <f t="array" ref="L177">INT(SUMPRODUCT(--ISNUMBER(SEARCH(healthcare,'David Perdue'!C177)))&gt;0)</f>
        <v>0</v>
      </c>
      <c r="M177" s="14" cm="1">
        <f t="array" ref="M177">INT(SUMPRODUCT(--ISNUMBER(SEARCH(supreme,'David Perdue'!C177)))&gt;0)</f>
        <v>0</v>
      </c>
      <c r="N177" s="14" cm="1">
        <f t="array" ref="N177">INT(SUMPRODUCT(--ISNUMBER(SEARCH(covid,'David Perdue'!C177)))&gt;0)</f>
        <v>0</v>
      </c>
      <c r="O177" s="14" cm="1">
        <f t="array" ref="O177">INT(SUMPRODUCT(--ISNUMBER(SEARCH(violent,'David Perdue'!C177)))&gt;0)</f>
        <v>0</v>
      </c>
      <c r="P177" s="14" cm="1">
        <f t="array" ref="P177">INT(SUMPRODUCT(--ISNUMBER(SEARCH(foreign,'David Perdue'!C177)))&gt;0)</f>
        <v>0</v>
      </c>
      <c r="Q177" s="14" cm="1">
        <f t="array" ref="Q177">INT(SUMPRODUCT(--ISNUMBER(SEARCH(gun,'David Perdue'!C177)))&gt;0)</f>
        <v>0</v>
      </c>
      <c r="R177" s="14" cm="1">
        <f t="array" ref="R177">INT(SUMPRODUCT(--ISNUMBER(SEARCH(race,'David Perdue'!C177)))&gt;0)</f>
        <v>0</v>
      </c>
      <c r="S177" s="14" cm="1">
        <f t="array" ref="S177">INT(SUMPRODUCT(--ISNUMBER(SEARCH(immigration,C177)))&gt;0)</f>
        <v>0</v>
      </c>
      <c r="T177" s="14" cm="1">
        <f t="array" ref="T177">INT(SUMPRODUCT(--ISNUMBER(SEARCH(econineq,C177)))&gt;0)</f>
        <v>0</v>
      </c>
      <c r="U177" s="14" cm="1">
        <f t="array" ref="U177">INT(SUMPRODUCT(--ISNUMBER(SEARCH(climate,'David Perdue'!C177)))&gt;0)</f>
        <v>0</v>
      </c>
      <c r="V177" s="14" cm="1">
        <f t="array" ref="V177">INT(SUMPRODUCT(--ISNUMBER(SEARCH(abortion,'David Perdue'!C177)))&gt;0)</f>
        <v>0</v>
      </c>
      <c r="W177" s="14" cm="1">
        <f t="array" ref="W177">INT(SUMPRODUCT(--ISNUMBER(SEARCH(trump,'David Perdue'!C177)))&gt;0)</f>
        <v>0</v>
      </c>
      <c r="X177" s="14" cm="1">
        <f t="array" ref="X177">INT(SUMPRODUCT(--ISNUMBER(SEARCH(voting,'David Perdue'!C177)))&gt;0)</f>
        <v>0</v>
      </c>
      <c r="Y177" s="14" cm="1">
        <f t="array" ref="Y177">INT(SUMPRODUCT(--ISNUMBER(SEARCH(republicantrigger,'David Perdue'!C177)))&gt;0)</f>
        <v>1</v>
      </c>
      <c r="Z177" s="14" cm="1">
        <f t="array" ref="Z177">INT(SUMPRODUCT(--ISNUMBER(SEARCH(bipartisan,'David Perdue'!C177)))&gt;0)</f>
        <v>0</v>
      </c>
      <c r="AA177" s="14">
        <f t="shared" si="5"/>
        <v>0</v>
      </c>
      <c r="AB177" s="14"/>
      <c r="AC177" s="30">
        <v>0</v>
      </c>
      <c r="AD177" s="37">
        <v>1</v>
      </c>
    </row>
    <row r="178" spans="1:30" x14ac:dyDescent="0.25">
      <c r="A178" s="54">
        <v>494</v>
      </c>
      <c r="B178" s="14" t="s">
        <v>1019</v>
      </c>
      <c r="C178" s="14" t="s">
        <v>1020</v>
      </c>
      <c r="D178" s="17">
        <v>44110</v>
      </c>
      <c r="E178" s="14" t="s">
        <v>30</v>
      </c>
      <c r="F178" s="14">
        <v>6</v>
      </c>
      <c r="G178" s="14">
        <v>4</v>
      </c>
      <c r="H178" s="14">
        <v>3</v>
      </c>
      <c r="I178" s="14">
        <v>2</v>
      </c>
      <c r="J178" s="14" t="s">
        <v>31</v>
      </c>
      <c r="K178" s="14" cm="1">
        <f t="array" ref="K178">INT(SUMPRODUCT(--ISNUMBER(SEARCH(economy,'David Perdue'!C178)))&gt;0)</f>
        <v>1</v>
      </c>
      <c r="L178" s="14" cm="1">
        <f t="array" ref="L178">INT(SUMPRODUCT(--ISNUMBER(SEARCH(healthcare,'David Perdue'!C178)))&gt;0)</f>
        <v>0</v>
      </c>
      <c r="M178" s="14" cm="1">
        <f t="array" ref="M178">INT(SUMPRODUCT(--ISNUMBER(SEARCH(supreme,'David Perdue'!C178)))&gt;0)</f>
        <v>0</v>
      </c>
      <c r="N178" s="14" cm="1">
        <f t="array" ref="N178">INT(SUMPRODUCT(--ISNUMBER(SEARCH(covid,'David Perdue'!C178)))&gt;0)</f>
        <v>0</v>
      </c>
      <c r="O178" s="14" cm="1">
        <f t="array" ref="O178">INT(SUMPRODUCT(--ISNUMBER(SEARCH(violent,'David Perdue'!C178)))&gt;0)</f>
        <v>0</v>
      </c>
      <c r="P178" s="14" cm="1">
        <f t="array" ref="P178">INT(SUMPRODUCT(--ISNUMBER(SEARCH(foreign,'David Perdue'!C178)))&gt;0)</f>
        <v>1</v>
      </c>
      <c r="Q178" s="14" cm="1">
        <f t="array" ref="Q178">INT(SUMPRODUCT(--ISNUMBER(SEARCH(gun,'David Perdue'!C178)))&gt;0)</f>
        <v>0</v>
      </c>
      <c r="R178" s="14" cm="1">
        <f t="array" ref="R178">INT(SUMPRODUCT(--ISNUMBER(SEARCH(race,'David Perdue'!C178)))&gt;0)</f>
        <v>0</v>
      </c>
      <c r="S178" s="14" cm="1">
        <f t="array" ref="S178">INT(SUMPRODUCT(--ISNUMBER(SEARCH(immigration,C178)))&gt;0)</f>
        <v>0</v>
      </c>
      <c r="T178" s="14" cm="1">
        <f t="array" ref="T178">INT(SUMPRODUCT(--ISNUMBER(SEARCH(econineq,C178)))&gt;0)</f>
        <v>0</v>
      </c>
      <c r="U178" s="14" cm="1">
        <f t="array" ref="U178">INT(SUMPRODUCT(--ISNUMBER(SEARCH(climate,'David Perdue'!C178)))&gt;0)</f>
        <v>0</v>
      </c>
      <c r="V178" s="14" cm="1">
        <f t="array" ref="V178">INT(SUMPRODUCT(--ISNUMBER(SEARCH(abortion,'David Perdue'!C178)))&gt;0)</f>
        <v>0</v>
      </c>
      <c r="W178" s="14" cm="1">
        <f t="array" ref="W178">INT(SUMPRODUCT(--ISNUMBER(SEARCH(trump,'David Perdue'!C178)))&gt;0)</f>
        <v>0</v>
      </c>
      <c r="X178" s="14" cm="1">
        <f t="array" ref="X178">INT(SUMPRODUCT(--ISNUMBER(SEARCH(voting,'David Perdue'!C178)))&gt;0)</f>
        <v>0</v>
      </c>
      <c r="Y178" s="14" cm="1">
        <f t="array" ref="Y178">INT(SUMPRODUCT(--ISNUMBER(SEARCH(republicantrigger,'David Perdue'!C178)))&gt;0)</f>
        <v>0</v>
      </c>
      <c r="Z178" s="14" cm="1">
        <f t="array" ref="Z178">INT(SUMPRODUCT(--ISNUMBER(SEARCH(bipartisan,'David Perdue'!C178)))&gt;0)</f>
        <v>0</v>
      </c>
      <c r="AA178" s="14">
        <f t="shared" si="5"/>
        <v>0</v>
      </c>
      <c r="AB178" s="14"/>
      <c r="AC178" s="30" t="s">
        <v>223</v>
      </c>
      <c r="AD178" s="37" t="s">
        <v>223</v>
      </c>
    </row>
    <row r="179" spans="1:30" x14ac:dyDescent="0.25">
      <c r="A179" s="54">
        <v>495</v>
      </c>
      <c r="B179" s="14" t="s">
        <v>1021</v>
      </c>
      <c r="C179" s="14" t="s">
        <v>1022</v>
      </c>
      <c r="D179" s="17">
        <v>44110</v>
      </c>
      <c r="E179" s="14" t="s">
        <v>30</v>
      </c>
      <c r="F179" s="14">
        <v>130</v>
      </c>
      <c r="G179" s="14">
        <v>90</v>
      </c>
      <c r="H179" s="14">
        <v>3</v>
      </c>
      <c r="I179" s="14">
        <v>2</v>
      </c>
      <c r="J179" s="14" t="s">
        <v>31</v>
      </c>
      <c r="K179" s="14" cm="1">
        <f t="array" ref="K179">INT(SUMPRODUCT(--ISNUMBER(SEARCH(economy,'David Perdue'!C179)))&gt;0)</f>
        <v>0</v>
      </c>
      <c r="L179" s="14" cm="1">
        <f t="array" ref="L179">INT(SUMPRODUCT(--ISNUMBER(SEARCH(healthcare,'David Perdue'!C179)))&gt;0)</f>
        <v>0</v>
      </c>
      <c r="M179" s="14" cm="1">
        <f t="array" ref="M179">INT(SUMPRODUCT(--ISNUMBER(SEARCH(supreme,'David Perdue'!C179)))&gt;0)</f>
        <v>0</v>
      </c>
      <c r="N179" s="14" cm="1">
        <f t="array" ref="N179">INT(SUMPRODUCT(--ISNUMBER(SEARCH(covid,'David Perdue'!C179)))&gt;0)</f>
        <v>0</v>
      </c>
      <c r="O179" s="14" cm="1">
        <f t="array" ref="O179">INT(SUMPRODUCT(--ISNUMBER(SEARCH(violent,'David Perdue'!C179)))&gt;0)</f>
        <v>0</v>
      </c>
      <c r="P179" s="14" cm="1">
        <f t="array" ref="P179">INT(SUMPRODUCT(--ISNUMBER(SEARCH(foreign,'David Perdue'!C179)))&gt;0)</f>
        <v>0</v>
      </c>
      <c r="Q179" s="14" cm="1">
        <f t="array" ref="Q179">INT(SUMPRODUCT(--ISNUMBER(SEARCH(gun,'David Perdue'!C179)))&gt;0)</f>
        <v>0</v>
      </c>
      <c r="R179" s="14" cm="1">
        <f t="array" ref="R179">INT(SUMPRODUCT(--ISNUMBER(SEARCH(race,'David Perdue'!C179)))&gt;0)</f>
        <v>0</v>
      </c>
      <c r="S179" s="14" cm="1">
        <f t="array" ref="S179">INT(SUMPRODUCT(--ISNUMBER(SEARCH(immigration,C179)))&gt;0)</f>
        <v>0</v>
      </c>
      <c r="T179" s="14" cm="1">
        <f t="array" ref="T179">INT(SUMPRODUCT(--ISNUMBER(SEARCH(econineq,C179)))&gt;0)</f>
        <v>0</v>
      </c>
      <c r="U179" s="14" cm="1">
        <f t="array" ref="U179">INT(SUMPRODUCT(--ISNUMBER(SEARCH(climate,'David Perdue'!C179)))&gt;0)</f>
        <v>0</v>
      </c>
      <c r="V179" s="14" cm="1">
        <f t="array" ref="V179">INT(SUMPRODUCT(--ISNUMBER(SEARCH(abortion,'David Perdue'!C179)))&gt;0)</f>
        <v>0</v>
      </c>
      <c r="W179" s="14" cm="1">
        <f t="array" ref="W179">INT(SUMPRODUCT(--ISNUMBER(SEARCH(trump,'David Perdue'!C179)))&gt;0)</f>
        <v>0</v>
      </c>
      <c r="X179" s="14" cm="1">
        <f t="array" ref="X179">INT(SUMPRODUCT(--ISNUMBER(SEARCH(voting,'David Perdue'!C179)))&gt;0)</f>
        <v>0</v>
      </c>
      <c r="Y179" s="14" cm="1">
        <f t="array" ref="Y179">INT(SUMPRODUCT(--ISNUMBER(SEARCH(republicantrigger,'David Perdue'!C179)))&gt;0)</f>
        <v>1</v>
      </c>
      <c r="Z179" s="14" cm="1">
        <f t="array" ref="Z179">INT(SUMPRODUCT(--ISNUMBER(SEARCH(bipartisan,'David Perdue'!C179)))&gt;0)</f>
        <v>0</v>
      </c>
      <c r="AA179" s="14">
        <f t="shared" si="5"/>
        <v>0</v>
      </c>
      <c r="AB179" s="14"/>
      <c r="AC179" s="30">
        <v>0</v>
      </c>
      <c r="AD179" s="37">
        <v>1</v>
      </c>
    </row>
    <row r="180" spans="1:30" x14ac:dyDescent="0.25">
      <c r="A180" s="54">
        <v>496</v>
      </c>
      <c r="B180" s="14" t="s">
        <v>1023</v>
      </c>
      <c r="C180" s="14" t="s">
        <v>1024</v>
      </c>
      <c r="D180" s="17">
        <v>44110</v>
      </c>
      <c r="E180" s="14" t="s">
        <v>30</v>
      </c>
      <c r="F180" s="14">
        <v>42</v>
      </c>
      <c r="G180" s="14">
        <v>18</v>
      </c>
      <c r="H180" s="14">
        <v>3</v>
      </c>
      <c r="I180" s="14">
        <v>2</v>
      </c>
      <c r="J180" s="14" t="s">
        <v>31</v>
      </c>
      <c r="K180" s="14" cm="1">
        <f t="array" ref="K180">INT(SUMPRODUCT(--ISNUMBER(SEARCH(economy,'David Perdue'!C180)))&gt;0)</f>
        <v>0</v>
      </c>
      <c r="L180" s="14" cm="1">
        <f t="array" ref="L180">INT(SUMPRODUCT(--ISNUMBER(SEARCH(healthcare,'David Perdue'!C180)))&gt;0)</f>
        <v>0</v>
      </c>
      <c r="M180" s="14" cm="1">
        <f t="array" ref="M180">INT(SUMPRODUCT(--ISNUMBER(SEARCH(supreme,'David Perdue'!C180)))&gt;0)</f>
        <v>0</v>
      </c>
      <c r="N180" s="14" cm="1">
        <f t="array" ref="N180">INT(SUMPRODUCT(--ISNUMBER(SEARCH(covid,'David Perdue'!C180)))&gt;0)</f>
        <v>0</v>
      </c>
      <c r="O180" s="14" cm="1">
        <f t="array" ref="O180">INT(SUMPRODUCT(--ISNUMBER(SEARCH(violent,'David Perdue'!C180)))&gt;0)</f>
        <v>0</v>
      </c>
      <c r="P180" s="14" cm="1">
        <f t="array" ref="P180">INT(SUMPRODUCT(--ISNUMBER(SEARCH(foreign,'David Perdue'!C180)))&gt;0)</f>
        <v>0</v>
      </c>
      <c r="Q180" s="14" cm="1">
        <f t="array" ref="Q180">INT(SUMPRODUCT(--ISNUMBER(SEARCH(gun,'David Perdue'!C180)))&gt;0)</f>
        <v>0</v>
      </c>
      <c r="R180" s="14" cm="1">
        <f t="array" ref="R180">INT(SUMPRODUCT(--ISNUMBER(SEARCH(race,'David Perdue'!C180)))&gt;0)</f>
        <v>0</v>
      </c>
      <c r="S180" s="14" cm="1">
        <f t="array" ref="S180">INT(SUMPRODUCT(--ISNUMBER(SEARCH(immigration,C180)))&gt;0)</f>
        <v>0</v>
      </c>
      <c r="T180" s="14" cm="1">
        <f t="array" ref="T180">INT(SUMPRODUCT(--ISNUMBER(SEARCH(econineq,C180)))&gt;0)</f>
        <v>0</v>
      </c>
      <c r="U180" s="14" cm="1">
        <f t="array" ref="U180">INT(SUMPRODUCT(--ISNUMBER(SEARCH(climate,'David Perdue'!C180)))&gt;0)</f>
        <v>0</v>
      </c>
      <c r="V180" s="14" cm="1">
        <f t="array" ref="V180">INT(SUMPRODUCT(--ISNUMBER(SEARCH(abortion,'David Perdue'!C180)))&gt;0)</f>
        <v>0</v>
      </c>
      <c r="W180" s="14" cm="1">
        <f t="array" ref="W180">INT(SUMPRODUCT(--ISNUMBER(SEARCH(trump,'David Perdue'!C180)))&gt;0)</f>
        <v>0</v>
      </c>
      <c r="X180" s="14" cm="1">
        <f t="array" ref="X180">INT(SUMPRODUCT(--ISNUMBER(SEARCH(voting,'David Perdue'!C180)))&gt;0)</f>
        <v>1</v>
      </c>
      <c r="Y180" s="14" cm="1">
        <f t="array" ref="Y180">INT(SUMPRODUCT(--ISNUMBER(SEARCH(republicantrigger,'David Perdue'!C180)))&gt;0)</f>
        <v>0</v>
      </c>
      <c r="Z180" s="14" cm="1">
        <f t="array" ref="Z180">INT(SUMPRODUCT(--ISNUMBER(SEARCH(bipartisan,'David Perdue'!C180)))&gt;0)</f>
        <v>0</v>
      </c>
      <c r="AA180" s="14">
        <f t="shared" si="5"/>
        <v>0</v>
      </c>
      <c r="AB180" s="14"/>
      <c r="AC180" s="30">
        <v>0</v>
      </c>
      <c r="AD180" s="37">
        <v>1</v>
      </c>
    </row>
    <row r="181" spans="1:30" x14ac:dyDescent="0.25">
      <c r="A181" s="54">
        <v>497</v>
      </c>
      <c r="B181" s="14" t="s">
        <v>1025</v>
      </c>
      <c r="C181" s="14" t="s">
        <v>1026</v>
      </c>
      <c r="D181" s="17">
        <v>44109</v>
      </c>
      <c r="E181" s="14" t="s">
        <v>30</v>
      </c>
      <c r="F181" s="14">
        <v>24</v>
      </c>
      <c r="G181" s="14">
        <v>8</v>
      </c>
      <c r="H181" s="14">
        <v>3</v>
      </c>
      <c r="I181" s="14">
        <v>2</v>
      </c>
      <c r="J181" s="14" t="s">
        <v>31</v>
      </c>
      <c r="K181" s="14" cm="1">
        <f t="array" ref="K181">INT(SUMPRODUCT(--ISNUMBER(SEARCH(economy,'David Perdue'!C181)))&gt;0)</f>
        <v>1</v>
      </c>
      <c r="L181" s="14" cm="1">
        <f t="array" ref="L181">INT(SUMPRODUCT(--ISNUMBER(SEARCH(healthcare,'David Perdue'!C181)))&gt;0)</f>
        <v>0</v>
      </c>
      <c r="M181" s="14" cm="1">
        <f t="array" ref="M181">INT(SUMPRODUCT(--ISNUMBER(SEARCH(supreme,'David Perdue'!C181)))&gt;0)</f>
        <v>0</v>
      </c>
      <c r="N181" s="14" cm="1">
        <f t="array" ref="N181">INT(SUMPRODUCT(--ISNUMBER(SEARCH(covid,'David Perdue'!C181)))&gt;0)</f>
        <v>0</v>
      </c>
      <c r="O181" s="14" cm="1">
        <f t="array" ref="O181">INT(SUMPRODUCT(--ISNUMBER(SEARCH(violent,'David Perdue'!C181)))&gt;0)</f>
        <v>0</v>
      </c>
      <c r="P181" s="14" cm="1">
        <f t="array" ref="P181">INT(SUMPRODUCT(--ISNUMBER(SEARCH(foreign,'David Perdue'!C181)))&gt;0)</f>
        <v>0</v>
      </c>
      <c r="Q181" s="14" cm="1">
        <f t="array" ref="Q181">INT(SUMPRODUCT(--ISNUMBER(SEARCH(gun,'David Perdue'!C181)))&gt;0)</f>
        <v>0</v>
      </c>
      <c r="R181" s="14" cm="1">
        <f t="array" ref="R181">INT(SUMPRODUCT(--ISNUMBER(SEARCH(race,'David Perdue'!C181)))&gt;0)</f>
        <v>0</v>
      </c>
      <c r="S181" s="14" cm="1">
        <f t="array" ref="S181">INT(SUMPRODUCT(--ISNUMBER(SEARCH(immigration,C181)))&gt;0)</f>
        <v>0</v>
      </c>
      <c r="T181" s="14" cm="1">
        <f t="array" ref="T181">INT(SUMPRODUCT(--ISNUMBER(SEARCH(econineq,C181)))&gt;0)</f>
        <v>0</v>
      </c>
      <c r="U181" s="14" cm="1">
        <f t="array" ref="U181">INT(SUMPRODUCT(--ISNUMBER(SEARCH(climate,'David Perdue'!C181)))&gt;0)</f>
        <v>0</v>
      </c>
      <c r="V181" s="14" cm="1">
        <f t="array" ref="V181">INT(SUMPRODUCT(--ISNUMBER(SEARCH(abortion,'David Perdue'!C181)))&gt;0)</f>
        <v>0</v>
      </c>
      <c r="W181" s="14" cm="1">
        <f t="array" ref="W181">INT(SUMPRODUCT(--ISNUMBER(SEARCH(trump,'David Perdue'!C181)))&gt;0)</f>
        <v>1</v>
      </c>
      <c r="X181" s="14" cm="1">
        <f t="array" ref="X181">INT(SUMPRODUCT(--ISNUMBER(SEARCH(voting,'David Perdue'!C181)))&gt;0)</f>
        <v>0</v>
      </c>
      <c r="Y181" s="14" cm="1">
        <f t="array" ref="Y181">INT(SUMPRODUCT(--ISNUMBER(SEARCH(republicantrigger,'David Perdue'!C181)))&gt;0)</f>
        <v>1</v>
      </c>
      <c r="Z181" s="14" cm="1">
        <f t="array" ref="Z181">INT(SUMPRODUCT(--ISNUMBER(SEARCH(bipartisan,'David Perdue'!C181)))&gt;0)</f>
        <v>0</v>
      </c>
      <c r="AA181" s="14">
        <f t="shared" si="5"/>
        <v>0</v>
      </c>
      <c r="AB181" s="14"/>
      <c r="AC181" s="30">
        <v>0</v>
      </c>
      <c r="AD181" s="37">
        <v>1</v>
      </c>
    </row>
    <row r="182" spans="1:30" x14ac:dyDescent="0.25">
      <c r="A182" s="54">
        <v>498</v>
      </c>
      <c r="B182" s="14" t="s">
        <v>1027</v>
      </c>
      <c r="C182" s="14" t="s">
        <v>1028</v>
      </c>
      <c r="D182" s="17">
        <v>44109</v>
      </c>
      <c r="E182" s="14" t="s">
        <v>30</v>
      </c>
      <c r="F182" s="14">
        <v>33</v>
      </c>
      <c r="G182" s="14">
        <v>13</v>
      </c>
      <c r="H182" s="14">
        <v>3</v>
      </c>
      <c r="I182" s="14">
        <v>2</v>
      </c>
      <c r="J182" s="14" t="s">
        <v>31</v>
      </c>
      <c r="K182" s="14" cm="1">
        <f t="array" ref="K182">INT(SUMPRODUCT(--ISNUMBER(SEARCH(economy,'David Perdue'!C182)))&gt;0)</f>
        <v>0</v>
      </c>
      <c r="L182" s="14" cm="1">
        <f t="array" ref="L182">INT(SUMPRODUCT(--ISNUMBER(SEARCH(healthcare,'David Perdue'!C182)))&gt;0)</f>
        <v>0</v>
      </c>
      <c r="M182" s="14" cm="1">
        <f t="array" ref="M182">INT(SUMPRODUCT(--ISNUMBER(SEARCH(supreme,'David Perdue'!C182)))&gt;0)</f>
        <v>0</v>
      </c>
      <c r="N182" s="14" cm="1">
        <f t="array" ref="N182">INT(SUMPRODUCT(--ISNUMBER(SEARCH(covid,'David Perdue'!C182)))&gt;0)</f>
        <v>0</v>
      </c>
      <c r="O182" s="14" cm="1">
        <f t="array" ref="O182">INT(SUMPRODUCT(--ISNUMBER(SEARCH(violent,'David Perdue'!C182)))&gt;0)</f>
        <v>0</v>
      </c>
      <c r="P182" s="14" cm="1">
        <f t="array" ref="P182">INT(SUMPRODUCT(--ISNUMBER(SEARCH(foreign,'David Perdue'!C182)))&gt;0)</f>
        <v>0</v>
      </c>
      <c r="Q182" s="14" cm="1">
        <f t="array" ref="Q182">INT(SUMPRODUCT(--ISNUMBER(SEARCH(gun,'David Perdue'!C182)))&gt;0)</f>
        <v>0</v>
      </c>
      <c r="R182" s="14" cm="1">
        <f t="array" ref="R182">INT(SUMPRODUCT(--ISNUMBER(SEARCH(race,'David Perdue'!C182)))&gt;0)</f>
        <v>0</v>
      </c>
      <c r="S182" s="14" cm="1">
        <f t="array" ref="S182">INT(SUMPRODUCT(--ISNUMBER(SEARCH(immigration,C182)))&gt;0)</f>
        <v>0</v>
      </c>
      <c r="T182" s="14" cm="1">
        <f t="array" ref="T182">INT(SUMPRODUCT(--ISNUMBER(SEARCH(econineq,C182)))&gt;0)</f>
        <v>0</v>
      </c>
      <c r="U182" s="14" cm="1">
        <f t="array" ref="U182">INT(SUMPRODUCT(--ISNUMBER(SEARCH(climate,'David Perdue'!C182)))&gt;0)</f>
        <v>0</v>
      </c>
      <c r="V182" s="14" cm="1">
        <f t="array" ref="V182">INT(SUMPRODUCT(--ISNUMBER(SEARCH(abortion,'David Perdue'!C182)))&gt;0)</f>
        <v>0</v>
      </c>
      <c r="W182" s="14" cm="1">
        <f t="array" ref="W182">INT(SUMPRODUCT(--ISNUMBER(SEARCH(trump,'David Perdue'!C182)))&gt;0)</f>
        <v>0</v>
      </c>
      <c r="X182" s="14" cm="1">
        <f t="array" ref="X182">INT(SUMPRODUCT(--ISNUMBER(SEARCH(voting,'David Perdue'!C182)))&gt;0)</f>
        <v>0</v>
      </c>
      <c r="Y182" s="14" cm="1">
        <f t="array" ref="Y182">INT(SUMPRODUCT(--ISNUMBER(SEARCH(republicantrigger,'David Perdue'!C182)))&gt;0)</f>
        <v>1</v>
      </c>
      <c r="Z182" s="14" cm="1">
        <f t="array" ref="Z182">INT(SUMPRODUCT(--ISNUMBER(SEARCH(bipartisan,'David Perdue'!C182)))&gt;0)</f>
        <v>0</v>
      </c>
      <c r="AA182" s="14">
        <f t="shared" si="5"/>
        <v>0</v>
      </c>
      <c r="AB182" s="14"/>
      <c r="AC182" s="30">
        <v>0</v>
      </c>
      <c r="AD182" s="37">
        <v>1</v>
      </c>
    </row>
    <row r="183" spans="1:30" x14ac:dyDescent="0.25">
      <c r="A183" s="54">
        <v>499</v>
      </c>
      <c r="B183" s="14" t="s">
        <v>1029</v>
      </c>
      <c r="C183" s="14" t="s">
        <v>1030</v>
      </c>
      <c r="D183" s="17">
        <v>44109</v>
      </c>
      <c r="E183" s="14" t="s">
        <v>30</v>
      </c>
      <c r="F183" s="14">
        <v>25</v>
      </c>
      <c r="G183" s="14">
        <v>8</v>
      </c>
      <c r="H183" s="14">
        <v>3</v>
      </c>
      <c r="I183" s="14">
        <v>2</v>
      </c>
      <c r="J183" s="14" t="s">
        <v>31</v>
      </c>
      <c r="K183" s="14" cm="1">
        <f t="array" ref="K183">INT(SUMPRODUCT(--ISNUMBER(SEARCH(economy,'David Perdue'!C183)))&gt;0)</f>
        <v>0</v>
      </c>
      <c r="L183" s="14" cm="1">
        <f t="array" ref="L183">INT(SUMPRODUCT(--ISNUMBER(SEARCH(healthcare,'David Perdue'!C183)))&gt;0)</f>
        <v>0</v>
      </c>
      <c r="M183" s="14" cm="1">
        <f t="array" ref="M183">INT(SUMPRODUCT(--ISNUMBER(SEARCH(supreme,'David Perdue'!C183)))&gt;0)</f>
        <v>0</v>
      </c>
      <c r="N183" s="14" cm="1">
        <f t="array" ref="N183">INT(SUMPRODUCT(--ISNUMBER(SEARCH(covid,'David Perdue'!C183)))&gt;0)</f>
        <v>0</v>
      </c>
      <c r="O183" s="14" cm="1">
        <f t="array" ref="O183">INT(SUMPRODUCT(--ISNUMBER(SEARCH(violent,'David Perdue'!C183)))&gt;0)</f>
        <v>0</v>
      </c>
      <c r="P183" s="14" cm="1">
        <f t="array" ref="P183">INT(SUMPRODUCT(--ISNUMBER(SEARCH(foreign,'David Perdue'!C183)))&gt;0)</f>
        <v>0</v>
      </c>
      <c r="Q183" s="14" cm="1">
        <f t="array" ref="Q183">INT(SUMPRODUCT(--ISNUMBER(SEARCH(gun,'David Perdue'!C183)))&gt;0)</f>
        <v>0</v>
      </c>
      <c r="R183" s="14" cm="1">
        <f t="array" ref="R183">INT(SUMPRODUCT(--ISNUMBER(SEARCH(race,'David Perdue'!C183)))&gt;0)</f>
        <v>0</v>
      </c>
      <c r="S183" s="14" cm="1">
        <f t="array" ref="S183">INT(SUMPRODUCT(--ISNUMBER(SEARCH(immigration,C183)))&gt;0)</f>
        <v>0</v>
      </c>
      <c r="T183" s="14" cm="1">
        <f t="array" ref="T183">INT(SUMPRODUCT(--ISNUMBER(SEARCH(econineq,C183)))&gt;0)</f>
        <v>0</v>
      </c>
      <c r="U183" s="14" cm="1">
        <f t="array" ref="U183">INT(SUMPRODUCT(--ISNUMBER(SEARCH(climate,'David Perdue'!C183)))&gt;0)</f>
        <v>0</v>
      </c>
      <c r="V183" s="14" cm="1">
        <f t="array" ref="V183">INT(SUMPRODUCT(--ISNUMBER(SEARCH(abortion,'David Perdue'!C183)))&gt;0)</f>
        <v>0</v>
      </c>
      <c r="W183" s="14" cm="1">
        <f t="array" ref="W183">INT(SUMPRODUCT(--ISNUMBER(SEARCH(trump,'David Perdue'!C183)))&gt;0)</f>
        <v>0</v>
      </c>
      <c r="X183" s="14" cm="1">
        <f t="array" ref="X183">INT(SUMPRODUCT(--ISNUMBER(SEARCH(voting,'David Perdue'!C183)))&gt;0)</f>
        <v>0</v>
      </c>
      <c r="Y183" s="14" cm="1">
        <f t="array" ref="Y183">INT(SUMPRODUCT(--ISNUMBER(SEARCH(republicantrigger,'David Perdue'!C183)))&gt;0)</f>
        <v>1</v>
      </c>
      <c r="Z183" s="14" cm="1">
        <f t="array" ref="Z183">INT(SUMPRODUCT(--ISNUMBER(SEARCH(bipartisan,'David Perdue'!C183)))&gt;0)</f>
        <v>0</v>
      </c>
      <c r="AA183" s="14">
        <f t="shared" si="5"/>
        <v>0</v>
      </c>
      <c r="AB183" s="14"/>
      <c r="AC183" s="30" t="s">
        <v>223</v>
      </c>
      <c r="AD183" s="37" t="s">
        <v>223</v>
      </c>
    </row>
    <row r="184" spans="1:30" x14ac:dyDescent="0.25">
      <c r="A184" s="54">
        <v>500</v>
      </c>
      <c r="B184" s="14" t="s">
        <v>1031</v>
      </c>
      <c r="C184" s="14" t="s">
        <v>1032</v>
      </c>
      <c r="D184" s="17">
        <v>44109</v>
      </c>
      <c r="E184" s="14" t="s">
        <v>30</v>
      </c>
      <c r="F184" s="14">
        <v>26</v>
      </c>
      <c r="G184" s="14">
        <v>11</v>
      </c>
      <c r="H184" s="14">
        <v>3</v>
      </c>
      <c r="I184" s="14">
        <v>2</v>
      </c>
      <c r="J184" s="14" t="s">
        <v>31</v>
      </c>
      <c r="K184" s="14" cm="1">
        <f t="array" ref="K184">INT(SUMPRODUCT(--ISNUMBER(SEARCH(economy,'David Perdue'!C184)))&gt;0)</f>
        <v>0</v>
      </c>
      <c r="L184" s="14" cm="1">
        <f t="array" ref="L184">INT(SUMPRODUCT(--ISNUMBER(SEARCH(healthcare,'David Perdue'!C184)))&gt;0)</f>
        <v>0</v>
      </c>
      <c r="M184" s="14" cm="1">
        <f t="array" ref="M184">INT(SUMPRODUCT(--ISNUMBER(SEARCH(supreme,'David Perdue'!C184)))&gt;0)</f>
        <v>1</v>
      </c>
      <c r="N184" s="14" cm="1">
        <f t="array" ref="N184">INT(SUMPRODUCT(--ISNUMBER(SEARCH(covid,'David Perdue'!C184)))&gt;0)</f>
        <v>0</v>
      </c>
      <c r="O184" s="14" cm="1">
        <f t="array" ref="O184">INT(SUMPRODUCT(--ISNUMBER(SEARCH(violent,'David Perdue'!C184)))&gt;0)</f>
        <v>0</v>
      </c>
      <c r="P184" s="14" cm="1">
        <f t="array" ref="P184">INT(SUMPRODUCT(--ISNUMBER(SEARCH(foreign,'David Perdue'!C184)))&gt;0)</f>
        <v>0</v>
      </c>
      <c r="Q184" s="14" cm="1">
        <f t="array" ref="Q184">INT(SUMPRODUCT(--ISNUMBER(SEARCH(gun,'David Perdue'!C184)))&gt;0)</f>
        <v>0</v>
      </c>
      <c r="R184" s="14" cm="1">
        <f t="array" ref="R184">INT(SUMPRODUCT(--ISNUMBER(SEARCH(race,'David Perdue'!C184)))&gt;0)</f>
        <v>0</v>
      </c>
      <c r="S184" s="14" cm="1">
        <f t="array" ref="S184">INT(SUMPRODUCT(--ISNUMBER(SEARCH(immigration,C184)))&gt;0)</f>
        <v>0</v>
      </c>
      <c r="T184" s="14" cm="1">
        <f t="array" ref="T184">INT(SUMPRODUCT(--ISNUMBER(SEARCH(econineq,C184)))&gt;0)</f>
        <v>0</v>
      </c>
      <c r="U184" s="14" cm="1">
        <f t="array" ref="U184">INT(SUMPRODUCT(--ISNUMBER(SEARCH(climate,'David Perdue'!C184)))&gt;0)</f>
        <v>0</v>
      </c>
      <c r="V184" s="14" cm="1">
        <f t="array" ref="V184">INT(SUMPRODUCT(--ISNUMBER(SEARCH(abortion,'David Perdue'!C184)))&gt;0)</f>
        <v>0</v>
      </c>
      <c r="W184" s="14" cm="1">
        <f t="array" ref="W184">INT(SUMPRODUCT(--ISNUMBER(SEARCH(trump,'David Perdue'!C184)))&gt;0)</f>
        <v>0</v>
      </c>
      <c r="X184" s="14" cm="1">
        <f t="array" ref="X184">INT(SUMPRODUCT(--ISNUMBER(SEARCH(voting,'David Perdue'!C184)))&gt;0)</f>
        <v>0</v>
      </c>
      <c r="Y184" s="14" cm="1">
        <f t="array" ref="Y184">INT(SUMPRODUCT(--ISNUMBER(SEARCH(republicantrigger,'David Perdue'!C184)))&gt;0)</f>
        <v>0</v>
      </c>
      <c r="Z184" s="14" cm="1">
        <f t="array" ref="Z184">INT(SUMPRODUCT(--ISNUMBER(SEARCH(bipartisan,'David Perdue'!C184)))&gt;0)</f>
        <v>0</v>
      </c>
      <c r="AA184" s="14">
        <f t="shared" si="5"/>
        <v>0</v>
      </c>
      <c r="AB184" s="14"/>
      <c r="AC184" s="30">
        <v>0</v>
      </c>
      <c r="AD184" s="37">
        <v>1</v>
      </c>
    </row>
    <row r="185" spans="1:30" x14ac:dyDescent="0.25">
      <c r="A185" s="54">
        <v>501</v>
      </c>
      <c r="B185" s="14" t="s">
        <v>1033</v>
      </c>
      <c r="C185" s="14" t="s">
        <v>1034</v>
      </c>
      <c r="D185" s="17">
        <v>44109</v>
      </c>
      <c r="E185" s="14" t="s">
        <v>30</v>
      </c>
      <c r="F185" s="14">
        <v>32</v>
      </c>
      <c r="G185" s="14">
        <v>19</v>
      </c>
      <c r="H185" s="14">
        <v>3</v>
      </c>
      <c r="I185" s="14">
        <v>2</v>
      </c>
      <c r="J185" s="14" t="s">
        <v>31</v>
      </c>
      <c r="K185" s="14" cm="1">
        <f t="array" ref="K185">INT(SUMPRODUCT(--ISNUMBER(SEARCH(economy,'David Perdue'!C185)))&gt;0)</f>
        <v>0</v>
      </c>
      <c r="L185" s="14" cm="1">
        <f t="array" ref="L185">INT(SUMPRODUCT(--ISNUMBER(SEARCH(healthcare,'David Perdue'!C185)))&gt;0)</f>
        <v>0</v>
      </c>
      <c r="M185" s="14" cm="1">
        <f t="array" ref="M185">INT(SUMPRODUCT(--ISNUMBER(SEARCH(supreme,'David Perdue'!C185)))&gt;0)</f>
        <v>0</v>
      </c>
      <c r="N185" s="14" cm="1">
        <f t="array" ref="N185">INT(SUMPRODUCT(--ISNUMBER(SEARCH(covid,'David Perdue'!C185)))&gt;0)</f>
        <v>0</v>
      </c>
      <c r="O185" s="14" cm="1">
        <f t="array" ref="O185">INT(SUMPRODUCT(--ISNUMBER(SEARCH(violent,'David Perdue'!C185)))&gt;0)</f>
        <v>0</v>
      </c>
      <c r="P185" s="14" cm="1">
        <f t="array" ref="P185">INT(SUMPRODUCT(--ISNUMBER(SEARCH(foreign,'David Perdue'!C185)))&gt;0)</f>
        <v>0</v>
      </c>
      <c r="Q185" s="14" cm="1">
        <f t="array" ref="Q185">INT(SUMPRODUCT(--ISNUMBER(SEARCH(gun,'David Perdue'!C185)))&gt;0)</f>
        <v>0</v>
      </c>
      <c r="R185" s="14" cm="1">
        <f t="array" ref="R185">INT(SUMPRODUCT(--ISNUMBER(SEARCH(race,'David Perdue'!C185)))&gt;0)</f>
        <v>0</v>
      </c>
      <c r="S185" s="14" cm="1">
        <f t="array" ref="S185">INT(SUMPRODUCT(--ISNUMBER(SEARCH(immigration,C185)))&gt;0)</f>
        <v>0</v>
      </c>
      <c r="T185" s="14" cm="1">
        <f t="array" ref="T185">INT(SUMPRODUCT(--ISNUMBER(SEARCH(econineq,C185)))&gt;0)</f>
        <v>0</v>
      </c>
      <c r="U185" s="14" cm="1">
        <f t="array" ref="U185">INT(SUMPRODUCT(--ISNUMBER(SEARCH(climate,'David Perdue'!C185)))&gt;0)</f>
        <v>0</v>
      </c>
      <c r="V185" s="14" cm="1">
        <f t="array" ref="V185">INT(SUMPRODUCT(--ISNUMBER(SEARCH(abortion,'David Perdue'!C185)))&gt;0)</f>
        <v>0</v>
      </c>
      <c r="W185" s="14" cm="1">
        <f t="array" ref="W185">INT(SUMPRODUCT(--ISNUMBER(SEARCH(trump,'David Perdue'!C185)))&gt;0)</f>
        <v>0</v>
      </c>
      <c r="X185" s="14" cm="1">
        <f t="array" ref="X185">INT(SUMPRODUCT(--ISNUMBER(SEARCH(voting,'David Perdue'!C185)))&gt;0)</f>
        <v>1</v>
      </c>
      <c r="Y185" s="14" cm="1">
        <f t="array" ref="Y185">INT(SUMPRODUCT(--ISNUMBER(SEARCH(republicantrigger,'David Perdue'!C185)))&gt;0)</f>
        <v>0</v>
      </c>
      <c r="Z185" s="14" cm="1">
        <f t="array" ref="Z185">INT(SUMPRODUCT(--ISNUMBER(SEARCH(bipartisan,'David Perdue'!C185)))&gt;0)</f>
        <v>0</v>
      </c>
      <c r="AA185" s="14">
        <f t="shared" si="5"/>
        <v>0</v>
      </c>
      <c r="AB185" s="14"/>
      <c r="AC185" s="30" t="s">
        <v>223</v>
      </c>
      <c r="AD185" s="37" t="s">
        <v>223</v>
      </c>
    </row>
    <row r="186" spans="1:30" x14ac:dyDescent="0.25">
      <c r="A186" s="54">
        <v>502</v>
      </c>
      <c r="B186" s="14" t="s">
        <v>1035</v>
      </c>
      <c r="C186" s="14" t="s">
        <v>1036</v>
      </c>
      <c r="D186" s="17">
        <v>44108</v>
      </c>
      <c r="E186" s="14" t="s">
        <v>30</v>
      </c>
      <c r="F186" s="14">
        <v>8</v>
      </c>
      <c r="G186" s="14">
        <v>5</v>
      </c>
      <c r="H186" s="14">
        <v>3</v>
      </c>
      <c r="I186" s="14">
        <v>2</v>
      </c>
      <c r="J186" s="14" t="s">
        <v>31</v>
      </c>
      <c r="K186" s="14" cm="1">
        <f t="array" ref="K186">INT(SUMPRODUCT(--ISNUMBER(SEARCH(economy,'David Perdue'!C186)))&gt;0)</f>
        <v>0</v>
      </c>
      <c r="L186" s="14" cm="1">
        <f t="array" ref="L186">INT(SUMPRODUCT(--ISNUMBER(SEARCH(healthcare,'David Perdue'!C186)))&gt;0)</f>
        <v>0</v>
      </c>
      <c r="M186" s="14" cm="1">
        <f t="array" ref="M186">INT(SUMPRODUCT(--ISNUMBER(SEARCH(supreme,'David Perdue'!C186)))&gt;0)</f>
        <v>0</v>
      </c>
      <c r="N186" s="14" cm="1">
        <f t="array" ref="N186">INT(SUMPRODUCT(--ISNUMBER(SEARCH(covid,'David Perdue'!C186)))&gt;0)</f>
        <v>0</v>
      </c>
      <c r="O186" s="14" cm="1">
        <f t="array" ref="O186">INT(SUMPRODUCT(--ISNUMBER(SEARCH(violent,'David Perdue'!C186)))&gt;0)</f>
        <v>0</v>
      </c>
      <c r="P186" s="14" cm="1">
        <f t="array" ref="P186">INT(SUMPRODUCT(--ISNUMBER(SEARCH(foreign,'David Perdue'!C186)))&gt;0)</f>
        <v>0</v>
      </c>
      <c r="Q186" s="14" cm="1">
        <f t="array" ref="Q186">INT(SUMPRODUCT(--ISNUMBER(SEARCH(gun,'David Perdue'!C186)))&gt;0)</f>
        <v>0</v>
      </c>
      <c r="R186" s="14" cm="1">
        <f t="array" ref="R186">INT(SUMPRODUCT(--ISNUMBER(SEARCH(race,'David Perdue'!C186)))&gt;0)</f>
        <v>0</v>
      </c>
      <c r="S186" s="14" cm="1">
        <f t="array" ref="S186">INT(SUMPRODUCT(--ISNUMBER(SEARCH(immigration,C186)))&gt;0)</f>
        <v>0</v>
      </c>
      <c r="T186" s="14" cm="1">
        <f t="array" ref="T186">INT(SUMPRODUCT(--ISNUMBER(SEARCH(econineq,C186)))&gt;0)</f>
        <v>0</v>
      </c>
      <c r="U186" s="14" cm="1">
        <f t="array" ref="U186">INT(SUMPRODUCT(--ISNUMBER(SEARCH(climate,'David Perdue'!C186)))&gt;0)</f>
        <v>0</v>
      </c>
      <c r="V186" s="14" cm="1">
        <f t="array" ref="V186">INT(SUMPRODUCT(--ISNUMBER(SEARCH(abortion,'David Perdue'!C186)))&gt;0)</f>
        <v>0</v>
      </c>
      <c r="W186" s="14" cm="1">
        <f t="array" ref="W186">INT(SUMPRODUCT(--ISNUMBER(SEARCH(trump,'David Perdue'!C186)))&gt;0)</f>
        <v>0</v>
      </c>
      <c r="X186" s="14" cm="1">
        <f t="array" ref="X186">INT(SUMPRODUCT(--ISNUMBER(SEARCH(voting,'David Perdue'!C186)))&gt;0)</f>
        <v>0</v>
      </c>
      <c r="Y186" s="14" cm="1">
        <f t="array" ref="Y186">INT(SUMPRODUCT(--ISNUMBER(SEARCH(republicantrigger,'David Perdue'!C186)))&gt;0)</f>
        <v>0</v>
      </c>
      <c r="Z186" s="14" cm="1">
        <f t="array" ref="Z186">INT(SUMPRODUCT(--ISNUMBER(SEARCH(bipartisan,'David Perdue'!C186)))&gt;0)</f>
        <v>0</v>
      </c>
      <c r="AA186" s="14">
        <f t="shared" si="5"/>
        <v>1</v>
      </c>
      <c r="AB186" s="14"/>
      <c r="AC186" s="30" t="s">
        <v>223</v>
      </c>
      <c r="AD186" s="37" t="s">
        <v>223</v>
      </c>
    </row>
    <row r="187" spans="1:30" x14ac:dyDescent="0.25">
      <c r="A187" s="54">
        <v>503</v>
      </c>
      <c r="B187" s="14" t="s">
        <v>1037</v>
      </c>
      <c r="C187" s="14" t="s">
        <v>1038</v>
      </c>
      <c r="D187" s="17">
        <v>44108</v>
      </c>
      <c r="E187" s="14" t="s">
        <v>30</v>
      </c>
      <c r="F187" s="14">
        <v>109</v>
      </c>
      <c r="G187" s="14">
        <v>16</v>
      </c>
      <c r="H187" s="14">
        <v>3</v>
      </c>
      <c r="I187" s="14">
        <v>2</v>
      </c>
      <c r="J187" s="14" t="s">
        <v>31</v>
      </c>
      <c r="K187" s="14" cm="1">
        <f t="array" ref="K187">INT(SUMPRODUCT(--ISNUMBER(SEARCH(economy,'David Perdue'!C187)))&gt;0)</f>
        <v>0</v>
      </c>
      <c r="L187" s="14" cm="1">
        <f t="array" ref="L187">INT(SUMPRODUCT(--ISNUMBER(SEARCH(healthcare,'David Perdue'!C187)))&gt;0)</f>
        <v>0</v>
      </c>
      <c r="M187" s="14" cm="1">
        <f t="array" ref="M187">INT(SUMPRODUCT(--ISNUMBER(SEARCH(supreme,'David Perdue'!C187)))&gt;0)</f>
        <v>0</v>
      </c>
      <c r="N187" s="14" cm="1">
        <f t="array" ref="N187">INT(SUMPRODUCT(--ISNUMBER(SEARCH(covid,'David Perdue'!C187)))&gt;0)</f>
        <v>0</v>
      </c>
      <c r="O187" s="14" cm="1">
        <f t="array" ref="O187">INT(SUMPRODUCT(--ISNUMBER(SEARCH(violent,'David Perdue'!C187)))&gt;0)</f>
        <v>0</v>
      </c>
      <c r="P187" s="14" cm="1">
        <f t="array" ref="P187">INT(SUMPRODUCT(--ISNUMBER(SEARCH(foreign,'David Perdue'!C187)))&gt;0)</f>
        <v>0</v>
      </c>
      <c r="Q187" s="14" cm="1">
        <f t="array" ref="Q187">INT(SUMPRODUCT(--ISNUMBER(SEARCH(gun,'David Perdue'!C187)))&gt;0)</f>
        <v>0</v>
      </c>
      <c r="R187" s="14" cm="1">
        <f t="array" ref="R187">INT(SUMPRODUCT(--ISNUMBER(SEARCH(race,'David Perdue'!C187)))&gt;0)</f>
        <v>0</v>
      </c>
      <c r="S187" s="14" cm="1">
        <f t="array" ref="S187">INT(SUMPRODUCT(--ISNUMBER(SEARCH(immigration,C187)))&gt;0)</f>
        <v>0</v>
      </c>
      <c r="T187" s="14" cm="1">
        <f t="array" ref="T187">INT(SUMPRODUCT(--ISNUMBER(SEARCH(econineq,C187)))&gt;0)</f>
        <v>0</v>
      </c>
      <c r="U187" s="14" cm="1">
        <f t="array" ref="U187">INT(SUMPRODUCT(--ISNUMBER(SEARCH(climate,'David Perdue'!C187)))&gt;0)</f>
        <v>0</v>
      </c>
      <c r="V187" s="14" cm="1">
        <f t="array" ref="V187">INT(SUMPRODUCT(--ISNUMBER(SEARCH(abortion,'David Perdue'!C187)))&gt;0)</f>
        <v>0</v>
      </c>
      <c r="W187" s="14" cm="1">
        <f t="array" ref="W187">INT(SUMPRODUCT(--ISNUMBER(SEARCH(trump,'David Perdue'!C187)))&gt;0)</f>
        <v>0</v>
      </c>
      <c r="X187" s="14" cm="1">
        <f t="array" ref="X187">INT(SUMPRODUCT(--ISNUMBER(SEARCH(voting,'David Perdue'!C187)))&gt;0)</f>
        <v>1</v>
      </c>
      <c r="Y187" s="14" cm="1">
        <f t="array" ref="Y187">INT(SUMPRODUCT(--ISNUMBER(SEARCH(republicantrigger,'David Perdue'!C187)))&gt;0)</f>
        <v>0</v>
      </c>
      <c r="Z187" s="14" cm="1">
        <f t="array" ref="Z187">INT(SUMPRODUCT(--ISNUMBER(SEARCH(bipartisan,'David Perdue'!C187)))&gt;0)</f>
        <v>0</v>
      </c>
      <c r="AA187" s="14">
        <f t="shared" si="5"/>
        <v>0</v>
      </c>
      <c r="AB187" s="14"/>
      <c r="AC187" s="30">
        <v>1</v>
      </c>
      <c r="AD187" s="37">
        <v>0</v>
      </c>
    </row>
    <row r="188" spans="1:30" x14ac:dyDescent="0.25">
      <c r="A188" s="54">
        <v>504</v>
      </c>
      <c r="B188" s="14" t="s">
        <v>1039</v>
      </c>
      <c r="C188" s="14" t="s">
        <v>1040</v>
      </c>
      <c r="D188" s="17">
        <v>44108</v>
      </c>
      <c r="E188" s="14" t="s">
        <v>30</v>
      </c>
      <c r="F188" s="14">
        <v>24</v>
      </c>
      <c r="G188" s="14">
        <v>9</v>
      </c>
      <c r="H188" s="14">
        <v>3</v>
      </c>
      <c r="I188" s="14">
        <v>2</v>
      </c>
      <c r="J188" s="14" t="s">
        <v>31</v>
      </c>
      <c r="K188" s="14" cm="1">
        <f t="array" ref="K188">INT(SUMPRODUCT(--ISNUMBER(SEARCH(economy,'David Perdue'!C188)))&gt;0)</f>
        <v>0</v>
      </c>
      <c r="L188" s="14" cm="1">
        <f t="array" ref="L188">INT(SUMPRODUCT(--ISNUMBER(SEARCH(healthcare,'David Perdue'!C188)))&gt;0)</f>
        <v>0</v>
      </c>
      <c r="M188" s="14" cm="1">
        <f t="array" ref="M188">INT(SUMPRODUCT(--ISNUMBER(SEARCH(supreme,'David Perdue'!C188)))&gt;0)</f>
        <v>0</v>
      </c>
      <c r="N188" s="14" cm="1">
        <f t="array" ref="N188">INT(SUMPRODUCT(--ISNUMBER(SEARCH(covid,'David Perdue'!C188)))&gt;0)</f>
        <v>0</v>
      </c>
      <c r="O188" s="14" cm="1">
        <f t="array" ref="O188">INT(SUMPRODUCT(--ISNUMBER(SEARCH(violent,'David Perdue'!C188)))&gt;0)</f>
        <v>0</v>
      </c>
      <c r="P188" s="14" cm="1">
        <f t="array" ref="P188">INT(SUMPRODUCT(--ISNUMBER(SEARCH(foreign,'David Perdue'!C188)))&gt;0)</f>
        <v>0</v>
      </c>
      <c r="Q188" s="14" cm="1">
        <f t="array" ref="Q188">INT(SUMPRODUCT(--ISNUMBER(SEARCH(gun,'David Perdue'!C188)))&gt;0)</f>
        <v>0</v>
      </c>
      <c r="R188" s="14" cm="1">
        <f t="array" ref="R188">INT(SUMPRODUCT(--ISNUMBER(SEARCH(race,'David Perdue'!C188)))&gt;0)</f>
        <v>0</v>
      </c>
      <c r="S188" s="14" cm="1">
        <f t="array" ref="S188">INT(SUMPRODUCT(--ISNUMBER(SEARCH(immigration,C188)))&gt;0)</f>
        <v>0</v>
      </c>
      <c r="T188" s="14" cm="1">
        <f t="array" ref="T188">INT(SUMPRODUCT(--ISNUMBER(SEARCH(econineq,C188)))&gt;0)</f>
        <v>0</v>
      </c>
      <c r="U188" s="14" cm="1">
        <f t="array" ref="U188">INT(SUMPRODUCT(--ISNUMBER(SEARCH(climate,'David Perdue'!C188)))&gt;0)</f>
        <v>0</v>
      </c>
      <c r="V188" s="14" cm="1">
        <f t="array" ref="V188">INT(SUMPRODUCT(--ISNUMBER(SEARCH(abortion,'David Perdue'!C188)))&gt;0)</f>
        <v>0</v>
      </c>
      <c r="W188" s="14" cm="1">
        <f t="array" ref="W188">INT(SUMPRODUCT(--ISNUMBER(SEARCH(trump,'David Perdue'!C188)))&gt;0)</f>
        <v>0</v>
      </c>
      <c r="X188" s="14" cm="1">
        <f t="array" ref="X188">INT(SUMPRODUCT(--ISNUMBER(SEARCH(voting,'David Perdue'!C188)))&gt;0)</f>
        <v>0</v>
      </c>
      <c r="Y188" s="14" cm="1">
        <f t="array" ref="Y188">INT(SUMPRODUCT(--ISNUMBER(SEARCH(republicantrigger,'David Perdue'!C188)))&gt;0)</f>
        <v>0</v>
      </c>
      <c r="Z188" s="14" cm="1">
        <f t="array" ref="Z188">INT(SUMPRODUCT(--ISNUMBER(SEARCH(bipartisan,'David Perdue'!C188)))&gt;0)</f>
        <v>0</v>
      </c>
      <c r="AA188" s="14">
        <f t="shared" si="5"/>
        <v>1</v>
      </c>
      <c r="AB188" s="14"/>
      <c r="AC188" s="30">
        <v>1</v>
      </c>
      <c r="AD188" s="37">
        <v>0</v>
      </c>
    </row>
    <row r="189" spans="1:30" x14ac:dyDescent="0.25">
      <c r="A189" s="54">
        <v>505</v>
      </c>
      <c r="B189" s="14" t="s">
        <v>1041</v>
      </c>
      <c r="C189" s="14" t="s">
        <v>1042</v>
      </c>
      <c r="D189" s="17">
        <v>44107</v>
      </c>
      <c r="E189" s="14" t="s">
        <v>30</v>
      </c>
      <c r="F189" s="14">
        <v>31</v>
      </c>
      <c r="G189" s="14">
        <v>12</v>
      </c>
      <c r="H189" s="14">
        <v>3</v>
      </c>
      <c r="I189" s="14">
        <v>2</v>
      </c>
      <c r="J189" s="14" t="s">
        <v>31</v>
      </c>
      <c r="K189" s="14" cm="1">
        <f t="array" ref="K189">INT(SUMPRODUCT(--ISNUMBER(SEARCH(economy,'David Perdue'!C189)))&gt;0)</f>
        <v>0</v>
      </c>
      <c r="L189" s="14" cm="1">
        <f t="array" ref="L189">INT(SUMPRODUCT(--ISNUMBER(SEARCH(healthcare,'David Perdue'!C189)))&gt;0)</f>
        <v>0</v>
      </c>
      <c r="M189" s="14" cm="1">
        <f t="array" ref="M189">INT(SUMPRODUCT(--ISNUMBER(SEARCH(supreme,'David Perdue'!C189)))&gt;0)</f>
        <v>1</v>
      </c>
      <c r="N189" s="14" cm="1">
        <f t="array" ref="N189">INT(SUMPRODUCT(--ISNUMBER(SEARCH(covid,'David Perdue'!C189)))&gt;0)</f>
        <v>0</v>
      </c>
      <c r="O189" s="14" cm="1">
        <f t="array" ref="O189">INT(SUMPRODUCT(--ISNUMBER(SEARCH(violent,'David Perdue'!C189)))&gt;0)</f>
        <v>0</v>
      </c>
      <c r="P189" s="14" cm="1">
        <f t="array" ref="P189">INT(SUMPRODUCT(--ISNUMBER(SEARCH(foreign,'David Perdue'!C189)))&gt;0)</f>
        <v>0</v>
      </c>
      <c r="Q189" s="14" cm="1">
        <f t="array" ref="Q189">INT(SUMPRODUCT(--ISNUMBER(SEARCH(gun,'David Perdue'!C189)))&gt;0)</f>
        <v>0</v>
      </c>
      <c r="R189" s="14" cm="1">
        <f t="array" ref="R189">INT(SUMPRODUCT(--ISNUMBER(SEARCH(race,'David Perdue'!C189)))&gt;0)</f>
        <v>0</v>
      </c>
      <c r="S189" s="14" cm="1">
        <f t="array" ref="S189">INT(SUMPRODUCT(--ISNUMBER(SEARCH(immigration,C189)))&gt;0)</f>
        <v>0</v>
      </c>
      <c r="T189" s="14" cm="1">
        <f t="array" ref="T189">INT(SUMPRODUCT(--ISNUMBER(SEARCH(econineq,C189)))&gt;0)</f>
        <v>0</v>
      </c>
      <c r="U189" s="14" cm="1">
        <f t="array" ref="U189">INT(SUMPRODUCT(--ISNUMBER(SEARCH(climate,'David Perdue'!C189)))&gt;0)</f>
        <v>0</v>
      </c>
      <c r="V189" s="14" cm="1">
        <f t="array" ref="V189">INT(SUMPRODUCT(--ISNUMBER(SEARCH(abortion,'David Perdue'!C189)))&gt;0)</f>
        <v>0</v>
      </c>
      <c r="W189" s="14" cm="1">
        <f t="array" ref="W189">INT(SUMPRODUCT(--ISNUMBER(SEARCH(trump,'David Perdue'!C189)))&gt;0)</f>
        <v>0</v>
      </c>
      <c r="X189" s="14" cm="1">
        <f t="array" ref="X189">INT(SUMPRODUCT(--ISNUMBER(SEARCH(voting,'David Perdue'!C189)))&gt;0)</f>
        <v>0</v>
      </c>
      <c r="Y189" s="14" cm="1">
        <f t="array" ref="Y189">INT(SUMPRODUCT(--ISNUMBER(SEARCH(republicantrigger,'David Perdue'!C189)))&gt;0)</f>
        <v>0</v>
      </c>
      <c r="Z189" s="14" cm="1">
        <f t="array" ref="Z189">INT(SUMPRODUCT(--ISNUMBER(SEARCH(bipartisan,'David Perdue'!C189)))&gt;0)</f>
        <v>0</v>
      </c>
      <c r="AA189" s="14">
        <f t="shared" si="5"/>
        <v>0</v>
      </c>
      <c r="AB189" s="14"/>
      <c r="AC189" s="30">
        <v>0</v>
      </c>
      <c r="AD189" s="37">
        <v>1</v>
      </c>
    </row>
    <row r="190" spans="1:30" x14ac:dyDescent="0.25">
      <c r="A190" s="54">
        <v>506</v>
      </c>
      <c r="B190" s="14" t="s">
        <v>1043</v>
      </c>
      <c r="C190" s="14" t="s">
        <v>1044</v>
      </c>
      <c r="D190" s="17">
        <v>44107</v>
      </c>
      <c r="E190" s="14" t="s">
        <v>30</v>
      </c>
      <c r="F190" s="14">
        <v>43</v>
      </c>
      <c r="G190" s="14">
        <v>9</v>
      </c>
      <c r="H190" s="14">
        <v>3</v>
      </c>
      <c r="I190" s="14">
        <v>2</v>
      </c>
      <c r="J190" s="14" t="s">
        <v>31</v>
      </c>
      <c r="K190" s="14" cm="1">
        <f t="array" ref="K190">INT(SUMPRODUCT(--ISNUMBER(SEARCH(economy,'David Perdue'!C190)))&gt;0)</f>
        <v>0</v>
      </c>
      <c r="L190" s="14" cm="1">
        <f t="array" ref="L190">INT(SUMPRODUCT(--ISNUMBER(SEARCH(healthcare,'David Perdue'!C190)))&gt;0)</f>
        <v>0</v>
      </c>
      <c r="M190" s="14" cm="1">
        <f t="array" ref="M190">INT(SUMPRODUCT(--ISNUMBER(SEARCH(supreme,'David Perdue'!C190)))&gt;0)</f>
        <v>0</v>
      </c>
      <c r="N190" s="14" cm="1">
        <f t="array" ref="N190">INT(SUMPRODUCT(--ISNUMBER(SEARCH(covid,'David Perdue'!C190)))&gt;0)</f>
        <v>0</v>
      </c>
      <c r="O190" s="14" cm="1">
        <f t="array" ref="O190">INT(SUMPRODUCT(--ISNUMBER(SEARCH(violent,'David Perdue'!C190)))&gt;0)</f>
        <v>0</v>
      </c>
      <c r="P190" s="14" cm="1">
        <f t="array" ref="P190">INT(SUMPRODUCT(--ISNUMBER(SEARCH(foreign,'David Perdue'!C190)))&gt;0)</f>
        <v>0</v>
      </c>
      <c r="Q190" s="14" cm="1">
        <f t="array" ref="Q190">INT(SUMPRODUCT(--ISNUMBER(SEARCH(gun,'David Perdue'!C190)))&gt;0)</f>
        <v>0</v>
      </c>
      <c r="R190" s="14" cm="1">
        <f t="array" ref="R190">INT(SUMPRODUCT(--ISNUMBER(SEARCH(race,'David Perdue'!C190)))&gt;0)</f>
        <v>0</v>
      </c>
      <c r="S190" s="14" cm="1">
        <f t="array" ref="S190">INT(SUMPRODUCT(--ISNUMBER(SEARCH(immigration,C190)))&gt;0)</f>
        <v>0</v>
      </c>
      <c r="T190" s="14" cm="1">
        <f t="array" ref="T190">INT(SUMPRODUCT(--ISNUMBER(SEARCH(econineq,C190)))&gt;0)</f>
        <v>0</v>
      </c>
      <c r="U190" s="14" cm="1">
        <f t="array" ref="U190">INT(SUMPRODUCT(--ISNUMBER(SEARCH(climate,'David Perdue'!C190)))&gt;0)</f>
        <v>0</v>
      </c>
      <c r="V190" s="14" cm="1">
        <f t="array" ref="V190">INT(SUMPRODUCT(--ISNUMBER(SEARCH(abortion,'David Perdue'!C190)))&gt;0)</f>
        <v>0</v>
      </c>
      <c r="W190" s="14" cm="1">
        <f t="array" ref="W190">INT(SUMPRODUCT(--ISNUMBER(SEARCH(trump,'David Perdue'!C190)))&gt;0)</f>
        <v>0</v>
      </c>
      <c r="X190" s="14" cm="1">
        <f t="array" ref="X190">INT(SUMPRODUCT(--ISNUMBER(SEARCH(voting,'David Perdue'!C190)))&gt;0)</f>
        <v>1</v>
      </c>
      <c r="Y190" s="14" cm="1">
        <f t="array" ref="Y190">INT(SUMPRODUCT(--ISNUMBER(SEARCH(republicantrigger,'David Perdue'!C190)))&gt;0)</f>
        <v>0</v>
      </c>
      <c r="Z190" s="14" cm="1">
        <f t="array" ref="Z190">INT(SUMPRODUCT(--ISNUMBER(SEARCH(bipartisan,'David Perdue'!C190)))&gt;0)</f>
        <v>0</v>
      </c>
      <c r="AA190" s="14">
        <f t="shared" si="5"/>
        <v>0</v>
      </c>
      <c r="AB190" s="14"/>
      <c r="AC190" s="30" t="s">
        <v>223</v>
      </c>
      <c r="AD190" s="37" t="s">
        <v>223</v>
      </c>
    </row>
    <row r="191" spans="1:30" x14ac:dyDescent="0.25">
      <c r="A191" s="54">
        <v>507</v>
      </c>
      <c r="B191" s="14" t="s">
        <v>1045</v>
      </c>
      <c r="C191" s="14" t="s">
        <v>1046</v>
      </c>
      <c r="D191" s="17">
        <v>44107</v>
      </c>
      <c r="E191" s="14" t="s">
        <v>30</v>
      </c>
      <c r="F191" s="14">
        <v>15</v>
      </c>
      <c r="G191" s="14">
        <v>6</v>
      </c>
      <c r="H191" s="14">
        <v>3</v>
      </c>
      <c r="I191" s="14">
        <v>2</v>
      </c>
      <c r="J191" s="14" t="s">
        <v>31</v>
      </c>
      <c r="K191" s="14" cm="1">
        <f t="array" ref="K191">INT(SUMPRODUCT(--ISNUMBER(SEARCH(economy,'David Perdue'!C191)))&gt;0)</f>
        <v>0</v>
      </c>
      <c r="L191" s="14" cm="1">
        <f t="array" ref="L191">INT(SUMPRODUCT(--ISNUMBER(SEARCH(healthcare,'David Perdue'!C191)))&gt;0)</f>
        <v>0</v>
      </c>
      <c r="M191" s="14" cm="1">
        <f t="array" ref="M191">INT(SUMPRODUCT(--ISNUMBER(SEARCH(supreme,'David Perdue'!C191)))&gt;0)</f>
        <v>0</v>
      </c>
      <c r="N191" s="14" cm="1">
        <f t="array" ref="N191">INT(SUMPRODUCT(--ISNUMBER(SEARCH(covid,'David Perdue'!C191)))&gt;0)</f>
        <v>0</v>
      </c>
      <c r="O191" s="14" cm="1">
        <f t="array" ref="O191">INT(SUMPRODUCT(--ISNUMBER(SEARCH(violent,'David Perdue'!C191)))&gt;0)</f>
        <v>0</v>
      </c>
      <c r="P191" s="14" cm="1">
        <f t="array" ref="P191">INT(SUMPRODUCT(--ISNUMBER(SEARCH(foreign,'David Perdue'!C191)))&gt;0)</f>
        <v>0</v>
      </c>
      <c r="Q191" s="14" cm="1">
        <f t="array" ref="Q191">INT(SUMPRODUCT(--ISNUMBER(SEARCH(gun,'David Perdue'!C191)))&gt;0)</f>
        <v>0</v>
      </c>
      <c r="R191" s="14" cm="1">
        <f t="array" ref="R191">INT(SUMPRODUCT(--ISNUMBER(SEARCH(race,'David Perdue'!C191)))&gt;0)</f>
        <v>0</v>
      </c>
      <c r="S191" s="14" cm="1">
        <f t="array" ref="S191">INT(SUMPRODUCT(--ISNUMBER(SEARCH(immigration,C191)))&gt;0)</f>
        <v>0</v>
      </c>
      <c r="T191" s="14" cm="1">
        <f t="array" ref="T191">INT(SUMPRODUCT(--ISNUMBER(SEARCH(econineq,C191)))&gt;0)</f>
        <v>0</v>
      </c>
      <c r="U191" s="14" cm="1">
        <f t="array" ref="U191">INT(SUMPRODUCT(--ISNUMBER(SEARCH(climate,'David Perdue'!C191)))&gt;0)</f>
        <v>0</v>
      </c>
      <c r="V191" s="14" cm="1">
        <f t="array" ref="V191">INT(SUMPRODUCT(--ISNUMBER(SEARCH(abortion,'David Perdue'!C191)))&gt;0)</f>
        <v>0</v>
      </c>
      <c r="W191" s="14" cm="1">
        <f t="array" ref="W191">INT(SUMPRODUCT(--ISNUMBER(SEARCH(trump,'David Perdue'!C191)))&gt;0)</f>
        <v>0</v>
      </c>
      <c r="X191" s="14" cm="1">
        <f t="array" ref="X191">INT(SUMPRODUCT(--ISNUMBER(SEARCH(voting,'David Perdue'!C191)))&gt;0)</f>
        <v>1</v>
      </c>
      <c r="Y191" s="14" cm="1">
        <f t="array" ref="Y191">INT(SUMPRODUCT(--ISNUMBER(SEARCH(republicantrigger,'David Perdue'!C191)))&gt;0)</f>
        <v>0</v>
      </c>
      <c r="Z191" s="14" cm="1">
        <f t="array" ref="Z191">INT(SUMPRODUCT(--ISNUMBER(SEARCH(bipartisan,'David Perdue'!C191)))&gt;0)</f>
        <v>0</v>
      </c>
      <c r="AA191" s="14">
        <f t="shared" si="5"/>
        <v>0</v>
      </c>
      <c r="AB191" s="14"/>
      <c r="AC191" s="30" t="s">
        <v>223</v>
      </c>
      <c r="AD191" s="37" t="s">
        <v>223</v>
      </c>
    </row>
    <row r="192" spans="1:30" x14ac:dyDescent="0.25">
      <c r="A192" s="54">
        <v>508</v>
      </c>
      <c r="B192" s="14" t="s">
        <v>1047</v>
      </c>
      <c r="C192" s="14" t="s">
        <v>1048</v>
      </c>
      <c r="D192" s="17">
        <v>44107</v>
      </c>
      <c r="E192" s="14" t="s">
        <v>30</v>
      </c>
      <c r="F192" s="14">
        <v>23</v>
      </c>
      <c r="G192" s="14">
        <v>9</v>
      </c>
      <c r="H192" s="14">
        <v>3</v>
      </c>
      <c r="I192" s="14">
        <v>2</v>
      </c>
      <c r="J192" s="14" t="s">
        <v>31</v>
      </c>
      <c r="K192" s="14" cm="1">
        <f t="array" ref="K192">INT(SUMPRODUCT(--ISNUMBER(SEARCH(economy,'David Perdue'!C192)))&gt;0)</f>
        <v>0</v>
      </c>
      <c r="L192" s="14" cm="1">
        <f t="array" ref="L192">INT(SUMPRODUCT(--ISNUMBER(SEARCH(healthcare,'David Perdue'!C192)))&gt;0)</f>
        <v>0</v>
      </c>
      <c r="M192" s="14" cm="1">
        <f t="array" ref="M192">INT(SUMPRODUCT(--ISNUMBER(SEARCH(supreme,'David Perdue'!C192)))&gt;0)</f>
        <v>0</v>
      </c>
      <c r="N192" s="14" cm="1">
        <f t="array" ref="N192">INT(SUMPRODUCT(--ISNUMBER(SEARCH(covid,'David Perdue'!C192)))&gt;0)</f>
        <v>0</v>
      </c>
      <c r="O192" s="14" cm="1">
        <f t="array" ref="O192">INT(SUMPRODUCT(--ISNUMBER(SEARCH(violent,'David Perdue'!C192)))&gt;0)</f>
        <v>0</v>
      </c>
      <c r="P192" s="14" cm="1">
        <f t="array" ref="P192">INT(SUMPRODUCT(--ISNUMBER(SEARCH(foreign,'David Perdue'!C192)))&gt;0)</f>
        <v>0</v>
      </c>
      <c r="Q192" s="14" cm="1">
        <f t="array" ref="Q192">INT(SUMPRODUCT(--ISNUMBER(SEARCH(gun,'David Perdue'!C192)))&gt;0)</f>
        <v>0</v>
      </c>
      <c r="R192" s="14" cm="1">
        <f t="array" ref="R192">INT(SUMPRODUCT(--ISNUMBER(SEARCH(race,'David Perdue'!C192)))&gt;0)</f>
        <v>0</v>
      </c>
      <c r="S192" s="14" cm="1">
        <f t="array" ref="S192">INT(SUMPRODUCT(--ISNUMBER(SEARCH(immigration,C192)))&gt;0)</f>
        <v>0</v>
      </c>
      <c r="T192" s="14" cm="1">
        <f t="array" ref="T192">INT(SUMPRODUCT(--ISNUMBER(SEARCH(econineq,C192)))&gt;0)</f>
        <v>0</v>
      </c>
      <c r="U192" s="14" cm="1">
        <f t="array" ref="U192">INT(SUMPRODUCT(--ISNUMBER(SEARCH(climate,'David Perdue'!C192)))&gt;0)</f>
        <v>0</v>
      </c>
      <c r="V192" s="14" cm="1">
        <f t="array" ref="V192">INT(SUMPRODUCT(--ISNUMBER(SEARCH(abortion,'David Perdue'!C192)))&gt;0)</f>
        <v>0</v>
      </c>
      <c r="W192" s="14" cm="1">
        <f t="array" ref="W192">INT(SUMPRODUCT(--ISNUMBER(SEARCH(trump,'David Perdue'!C192)))&gt;0)</f>
        <v>0</v>
      </c>
      <c r="X192" s="14" cm="1">
        <f t="array" ref="X192">INT(SUMPRODUCT(--ISNUMBER(SEARCH(voting,'David Perdue'!C192)))&gt;0)</f>
        <v>1</v>
      </c>
      <c r="Y192" s="14" cm="1">
        <f t="array" ref="Y192">INT(SUMPRODUCT(--ISNUMBER(SEARCH(republicantrigger,'David Perdue'!C192)))&gt;0)</f>
        <v>0</v>
      </c>
      <c r="Z192" s="14" cm="1">
        <f t="array" ref="Z192">INT(SUMPRODUCT(--ISNUMBER(SEARCH(bipartisan,'David Perdue'!C192)))&gt;0)</f>
        <v>0</v>
      </c>
      <c r="AA192" s="14">
        <f t="shared" si="5"/>
        <v>0</v>
      </c>
      <c r="AB192" s="14"/>
      <c r="AC192" s="30">
        <v>1</v>
      </c>
      <c r="AD192" s="37">
        <v>0</v>
      </c>
    </row>
    <row r="193" spans="1:30" x14ac:dyDescent="0.25">
      <c r="A193" s="54">
        <v>509</v>
      </c>
      <c r="B193" s="14" t="s">
        <v>1049</v>
      </c>
      <c r="C193" s="14" t="s">
        <v>1050</v>
      </c>
      <c r="D193" s="17">
        <v>44107</v>
      </c>
      <c r="E193" s="14" t="s">
        <v>30</v>
      </c>
      <c r="F193" s="14">
        <v>25</v>
      </c>
      <c r="G193" s="14">
        <v>16</v>
      </c>
      <c r="H193" s="14">
        <v>3</v>
      </c>
      <c r="I193" s="14">
        <v>2</v>
      </c>
      <c r="J193" s="14" t="s">
        <v>31</v>
      </c>
      <c r="K193" s="14" cm="1">
        <f t="array" ref="K193">INT(SUMPRODUCT(--ISNUMBER(SEARCH(economy,'David Perdue'!C193)))&gt;0)</f>
        <v>0</v>
      </c>
      <c r="L193" s="14" cm="1">
        <f t="array" ref="L193">INT(SUMPRODUCT(--ISNUMBER(SEARCH(healthcare,'David Perdue'!C193)))&gt;0)</f>
        <v>0</v>
      </c>
      <c r="M193" s="14" cm="1">
        <f t="array" ref="M193">INT(SUMPRODUCT(--ISNUMBER(SEARCH(supreme,'David Perdue'!C193)))&gt;0)</f>
        <v>1</v>
      </c>
      <c r="N193" s="14" cm="1">
        <f t="array" ref="N193">INT(SUMPRODUCT(--ISNUMBER(SEARCH(covid,'David Perdue'!C193)))&gt;0)</f>
        <v>0</v>
      </c>
      <c r="O193" s="14" cm="1">
        <f t="array" ref="O193">INT(SUMPRODUCT(--ISNUMBER(SEARCH(violent,'David Perdue'!C193)))&gt;0)</f>
        <v>0</v>
      </c>
      <c r="P193" s="14" cm="1">
        <f t="array" ref="P193">INT(SUMPRODUCT(--ISNUMBER(SEARCH(foreign,'David Perdue'!C193)))&gt;0)</f>
        <v>0</v>
      </c>
      <c r="Q193" s="14" cm="1">
        <f t="array" ref="Q193">INT(SUMPRODUCT(--ISNUMBER(SEARCH(gun,'David Perdue'!C193)))&gt;0)</f>
        <v>0</v>
      </c>
      <c r="R193" s="14" cm="1">
        <f t="array" ref="R193">INT(SUMPRODUCT(--ISNUMBER(SEARCH(race,'David Perdue'!C193)))&gt;0)</f>
        <v>0</v>
      </c>
      <c r="S193" s="14" cm="1">
        <f t="array" ref="S193">INT(SUMPRODUCT(--ISNUMBER(SEARCH(immigration,C193)))&gt;0)</f>
        <v>0</v>
      </c>
      <c r="T193" s="14" cm="1">
        <f t="array" ref="T193">INT(SUMPRODUCT(--ISNUMBER(SEARCH(econineq,C193)))&gt;0)</f>
        <v>0</v>
      </c>
      <c r="U193" s="14" cm="1">
        <f t="array" ref="U193">INT(SUMPRODUCT(--ISNUMBER(SEARCH(climate,'David Perdue'!C193)))&gt;0)</f>
        <v>0</v>
      </c>
      <c r="V193" s="14" cm="1">
        <f t="array" ref="V193">INT(SUMPRODUCT(--ISNUMBER(SEARCH(abortion,'David Perdue'!C193)))&gt;0)</f>
        <v>0</v>
      </c>
      <c r="W193" s="14" cm="1">
        <f t="array" ref="W193">INT(SUMPRODUCT(--ISNUMBER(SEARCH(trump,'David Perdue'!C193)))&gt;0)</f>
        <v>0</v>
      </c>
      <c r="X193" s="14" cm="1">
        <f t="array" ref="X193">INT(SUMPRODUCT(--ISNUMBER(SEARCH(voting,'David Perdue'!C193)))&gt;0)</f>
        <v>0</v>
      </c>
      <c r="Y193" s="14" cm="1">
        <f t="array" ref="Y193">INT(SUMPRODUCT(--ISNUMBER(SEARCH(republicantrigger,'David Perdue'!C193)))&gt;0)</f>
        <v>0</v>
      </c>
      <c r="Z193" s="14" cm="1">
        <f t="array" ref="Z193">INT(SUMPRODUCT(--ISNUMBER(SEARCH(bipartisan,'David Perdue'!C193)))&gt;0)</f>
        <v>0</v>
      </c>
      <c r="AA193" s="14">
        <f t="shared" si="5"/>
        <v>0</v>
      </c>
      <c r="AB193" s="14"/>
      <c r="AC193" s="30">
        <v>0</v>
      </c>
      <c r="AD193" s="37">
        <v>1</v>
      </c>
    </row>
    <row r="194" spans="1:30" x14ac:dyDescent="0.25">
      <c r="A194" s="54">
        <v>510</v>
      </c>
      <c r="B194" s="14" t="s">
        <v>1051</v>
      </c>
      <c r="C194" s="14" t="s">
        <v>1052</v>
      </c>
      <c r="D194" s="17">
        <v>44107</v>
      </c>
      <c r="E194" s="14" t="s">
        <v>30</v>
      </c>
      <c r="F194" s="14">
        <v>34</v>
      </c>
      <c r="G194" s="14">
        <v>14</v>
      </c>
      <c r="H194" s="14">
        <v>3</v>
      </c>
      <c r="I194" s="14">
        <v>2</v>
      </c>
      <c r="J194" s="14" t="s">
        <v>31</v>
      </c>
      <c r="K194" s="14" cm="1">
        <f t="array" ref="K194">INT(SUMPRODUCT(--ISNUMBER(SEARCH(economy,'David Perdue'!C194)))&gt;0)</f>
        <v>0</v>
      </c>
      <c r="L194" s="14" cm="1">
        <f t="array" ref="L194">INT(SUMPRODUCT(--ISNUMBER(SEARCH(healthcare,'David Perdue'!C194)))&gt;0)</f>
        <v>0</v>
      </c>
      <c r="M194" s="14" cm="1">
        <f t="array" ref="M194">INT(SUMPRODUCT(--ISNUMBER(SEARCH(supreme,'David Perdue'!C194)))&gt;0)</f>
        <v>0</v>
      </c>
      <c r="N194" s="14" cm="1">
        <f t="array" ref="N194">INT(SUMPRODUCT(--ISNUMBER(SEARCH(covid,'David Perdue'!C194)))&gt;0)</f>
        <v>0</v>
      </c>
      <c r="O194" s="14" cm="1">
        <f t="array" ref="O194">INT(SUMPRODUCT(--ISNUMBER(SEARCH(violent,'David Perdue'!C194)))&gt;0)</f>
        <v>0</v>
      </c>
      <c r="P194" s="14" cm="1">
        <f t="array" ref="P194">INT(SUMPRODUCT(--ISNUMBER(SEARCH(foreign,'David Perdue'!C194)))&gt;0)</f>
        <v>0</v>
      </c>
      <c r="Q194" s="14" cm="1">
        <f t="array" ref="Q194">INT(SUMPRODUCT(--ISNUMBER(SEARCH(gun,'David Perdue'!C194)))&gt;0)</f>
        <v>0</v>
      </c>
      <c r="R194" s="14" cm="1">
        <f t="array" ref="R194">INT(SUMPRODUCT(--ISNUMBER(SEARCH(race,'David Perdue'!C194)))&gt;0)</f>
        <v>0</v>
      </c>
      <c r="S194" s="14" cm="1">
        <f t="array" ref="S194">INT(SUMPRODUCT(--ISNUMBER(SEARCH(immigration,C194)))&gt;0)</f>
        <v>0</v>
      </c>
      <c r="T194" s="14" cm="1">
        <f t="array" ref="T194">INT(SUMPRODUCT(--ISNUMBER(SEARCH(econineq,C194)))&gt;0)</f>
        <v>0</v>
      </c>
      <c r="U194" s="14" cm="1">
        <f t="array" ref="U194">INT(SUMPRODUCT(--ISNUMBER(SEARCH(climate,'David Perdue'!C194)))&gt;0)</f>
        <v>0</v>
      </c>
      <c r="V194" s="14" cm="1">
        <f t="array" ref="V194">INT(SUMPRODUCT(--ISNUMBER(SEARCH(abortion,'David Perdue'!C194)))&gt;0)</f>
        <v>0</v>
      </c>
      <c r="W194" s="14" cm="1">
        <f t="array" ref="W194">INT(SUMPRODUCT(--ISNUMBER(SEARCH(trump,'David Perdue'!C194)))&gt;0)</f>
        <v>0</v>
      </c>
      <c r="X194" s="14" cm="1">
        <f t="array" ref="X194">INT(SUMPRODUCT(--ISNUMBER(SEARCH(voting,'David Perdue'!C194)))&gt;0)</f>
        <v>0</v>
      </c>
      <c r="Y194" s="14" cm="1">
        <f t="array" ref="Y194">INT(SUMPRODUCT(--ISNUMBER(SEARCH(republicantrigger,'David Perdue'!C194)))&gt;0)</f>
        <v>0</v>
      </c>
      <c r="Z194" s="14" cm="1">
        <f t="array" ref="Z194">INT(SUMPRODUCT(--ISNUMBER(SEARCH(bipartisan,'David Perdue'!C194)))&gt;0)</f>
        <v>0</v>
      </c>
      <c r="AA194" s="14">
        <f t="shared" ref="AA194:AA195" si="6">INT(IF(COUNTIF(K194:Z194,1)=0,"1","0"))</f>
        <v>1</v>
      </c>
      <c r="AB194" s="14"/>
      <c r="AC194" s="30" t="s">
        <v>223</v>
      </c>
      <c r="AD194" s="37" t="s">
        <v>223</v>
      </c>
    </row>
    <row r="195" spans="1:30" x14ac:dyDescent="0.25">
      <c r="A195" s="46">
        <v>511</v>
      </c>
      <c r="B195" s="39" t="s">
        <v>1053</v>
      </c>
      <c r="C195" s="39" t="s">
        <v>1054</v>
      </c>
      <c r="D195" s="41">
        <v>44107</v>
      </c>
      <c r="E195" s="39" t="s">
        <v>30</v>
      </c>
      <c r="F195" s="39">
        <v>23</v>
      </c>
      <c r="G195" s="39">
        <v>18</v>
      </c>
      <c r="H195" s="39">
        <v>3</v>
      </c>
      <c r="I195" s="39">
        <v>2</v>
      </c>
      <c r="J195" s="39" t="s">
        <v>31</v>
      </c>
      <c r="K195" s="39" cm="1">
        <f t="array" ref="K195">INT(SUMPRODUCT(--ISNUMBER(SEARCH(economy,'David Perdue'!C195)))&gt;0)</f>
        <v>0</v>
      </c>
      <c r="L195" s="39" cm="1">
        <f t="array" ref="L195">INT(SUMPRODUCT(--ISNUMBER(SEARCH(healthcare,'David Perdue'!C195)))&gt;0)</f>
        <v>0</v>
      </c>
      <c r="M195" s="39" cm="1">
        <f t="array" ref="M195">INT(SUMPRODUCT(--ISNUMBER(SEARCH(supreme,'David Perdue'!C195)))&gt;0)</f>
        <v>0</v>
      </c>
      <c r="N195" s="39" cm="1">
        <f t="array" ref="N195">INT(SUMPRODUCT(--ISNUMBER(SEARCH(covid,'David Perdue'!C195)))&gt;0)</f>
        <v>0</v>
      </c>
      <c r="O195" s="39" cm="1">
        <f t="array" ref="O195">INT(SUMPRODUCT(--ISNUMBER(SEARCH(violent,'David Perdue'!C195)))&gt;0)</f>
        <v>0</v>
      </c>
      <c r="P195" s="39" cm="1">
        <f t="array" ref="P195">INT(SUMPRODUCT(--ISNUMBER(SEARCH(foreign,'David Perdue'!C195)))&gt;0)</f>
        <v>0</v>
      </c>
      <c r="Q195" s="39" cm="1">
        <f t="array" ref="Q195">INT(SUMPRODUCT(--ISNUMBER(SEARCH(gun,'David Perdue'!C195)))&gt;0)</f>
        <v>0</v>
      </c>
      <c r="R195" s="39" cm="1">
        <f t="array" ref="R195">INT(SUMPRODUCT(--ISNUMBER(SEARCH(race,'David Perdue'!C195)))&gt;0)</f>
        <v>0</v>
      </c>
      <c r="S195" s="39" cm="1">
        <f t="array" ref="S195">INT(SUMPRODUCT(--ISNUMBER(SEARCH(immigration,C195)))&gt;0)</f>
        <v>0</v>
      </c>
      <c r="T195" s="39" cm="1">
        <f t="array" ref="T195">INT(SUMPRODUCT(--ISNUMBER(SEARCH(econineq,C195)))&gt;0)</f>
        <v>0</v>
      </c>
      <c r="U195" s="39" cm="1">
        <f t="array" ref="U195">INT(SUMPRODUCT(--ISNUMBER(SEARCH(climate,'David Perdue'!C195)))&gt;0)</f>
        <v>0</v>
      </c>
      <c r="V195" s="39" cm="1">
        <f t="array" ref="V195">INT(SUMPRODUCT(--ISNUMBER(SEARCH(abortion,'David Perdue'!C195)))&gt;0)</f>
        <v>0</v>
      </c>
      <c r="W195" s="39" cm="1">
        <f t="array" ref="W195">INT(SUMPRODUCT(--ISNUMBER(SEARCH(trump,'David Perdue'!C195)))&gt;0)</f>
        <v>0</v>
      </c>
      <c r="X195" s="39" cm="1">
        <f t="array" ref="X195">INT(SUMPRODUCT(--ISNUMBER(SEARCH(voting,'David Perdue'!C195)))&gt;0)</f>
        <v>0</v>
      </c>
      <c r="Y195" s="39" cm="1">
        <f t="array" ref="Y195">INT(SUMPRODUCT(--ISNUMBER(SEARCH(republicantrigger,'David Perdue'!C195)))&gt;0)</f>
        <v>1</v>
      </c>
      <c r="Z195" s="39" cm="1">
        <f t="array" ref="Z195">INT(SUMPRODUCT(--ISNUMBER(SEARCH(bipartisan,'David Perdue'!C195)))&gt;0)</f>
        <v>0</v>
      </c>
      <c r="AA195" s="39">
        <f t="shared" si="6"/>
        <v>0</v>
      </c>
      <c r="AB195" s="39"/>
      <c r="AC195" s="44">
        <v>0</v>
      </c>
      <c r="AD195" s="45">
        <v>1</v>
      </c>
    </row>
    <row r="196" spans="1:30" x14ac:dyDescent="0.25">
      <c r="F196" s="21">
        <f>SUM(Table3[Likes])</f>
        <v>39313</v>
      </c>
      <c r="G196" s="21">
        <f>SUM(Table3[Retweets])</f>
        <v>10267</v>
      </c>
      <c r="K196" s="21">
        <f t="shared" ref="K196:R196" si="7">SUM(K2:K195)</f>
        <v>41</v>
      </c>
      <c r="L196" s="21">
        <f t="shared" si="7"/>
        <v>10</v>
      </c>
      <c r="M196" s="21">
        <f t="shared" si="7"/>
        <v>15</v>
      </c>
      <c r="N196" s="21">
        <f t="shared" si="7"/>
        <v>22</v>
      </c>
      <c r="O196" s="21">
        <f t="shared" si="7"/>
        <v>1</v>
      </c>
      <c r="P196" s="21">
        <f t="shared" si="7"/>
        <v>9</v>
      </c>
      <c r="Q196" s="21">
        <f t="shared" si="7"/>
        <v>2</v>
      </c>
      <c r="R196" s="21">
        <f t="shared" si="7"/>
        <v>1</v>
      </c>
      <c r="S196" s="21">
        <f>SUM(U2:U195)</f>
        <v>7</v>
      </c>
      <c r="T196" s="21">
        <f>SUM(V2:V195)</f>
        <v>0</v>
      </c>
      <c r="U196" s="21">
        <f>SUM(V2:V195)</f>
        <v>0</v>
      </c>
      <c r="V196" s="21">
        <f>SUM(W2:W195)</f>
        <v>21</v>
      </c>
      <c r="W196" s="21">
        <f>SUM(X2:X195)</f>
        <v>43</v>
      </c>
      <c r="X196" s="21">
        <f>SUM(Y2:Y195)</f>
        <v>95</v>
      </c>
      <c r="Y196" s="21"/>
      <c r="Z196" s="21">
        <f>SUM(AA2:AA195)</f>
        <v>37</v>
      </c>
      <c r="AA196" s="21">
        <f>SUM(AB2:AB195)</f>
        <v>0</v>
      </c>
      <c r="AB196" s="21">
        <f>SUM(AC2:AC195)</f>
        <v>78</v>
      </c>
      <c r="AC196" s="21">
        <f>SUM(AD2:AD195)</f>
        <v>70</v>
      </c>
    </row>
  </sheetData>
  <conditionalFormatting sqref="J2:J195">
    <cfRule type="cellIs" dxfId="21" priority="1" operator="equal">
      <formula>"R"</formula>
    </cfRule>
  </conditionalFormatting>
  <hyperlinks>
    <hyperlink ref="B2" r:id="rId1" xr:uid="{D095EE88-80C2-4F43-9365-49430573051D}"/>
    <hyperlink ref="B3" r:id="rId2" xr:uid="{B3C76110-465B-487B-9213-7259B0FA9F87}"/>
    <hyperlink ref="B4" r:id="rId3" xr:uid="{AC757E14-8BF9-4BB7-A092-C660C1DEC7DE}"/>
    <hyperlink ref="B5" r:id="rId4" xr:uid="{18B25DC3-6A18-4FE8-B975-92E7272FF9B3}"/>
    <hyperlink ref="B6" r:id="rId5" xr:uid="{8D37DE7F-B7B2-4B3C-B4C7-E126B046FE00}"/>
    <hyperlink ref="B7" r:id="rId6" xr:uid="{CE32DA37-544A-40BE-A115-34F0DCED666E}"/>
    <hyperlink ref="B8" r:id="rId7" xr:uid="{6754390A-D317-4752-BF67-46D2C0FCF08D}"/>
    <hyperlink ref="B9" r:id="rId8" xr:uid="{E13845D5-7C9C-46BB-A822-9DA961827F20}"/>
    <hyperlink ref="B10" r:id="rId9" xr:uid="{B66ADB96-D89A-4E86-A5A0-8526F1EF39E7}"/>
    <hyperlink ref="B11" r:id="rId10" xr:uid="{E5B18C18-9577-4CBE-85E7-C8B24270D1BE}"/>
    <hyperlink ref="B12" r:id="rId11" xr:uid="{2B499F5A-CFEC-4D9A-92AF-873FB52168D8}"/>
    <hyperlink ref="B13" r:id="rId12" xr:uid="{8C274B89-A9C4-4555-8FCC-D37C330ACCC6}"/>
    <hyperlink ref="B14" r:id="rId13" xr:uid="{537E3A3E-F043-477E-9015-56D008AFA55E}"/>
    <hyperlink ref="B15" r:id="rId14" xr:uid="{7E484D48-322B-445F-8272-25B6228936BF}"/>
    <hyperlink ref="B16" r:id="rId15" xr:uid="{6E23BBD7-DBD3-4719-AEE7-8561A64B6732}"/>
    <hyperlink ref="B17" r:id="rId16" xr:uid="{97FFACA8-00A0-47EE-AC72-671F47988431}"/>
    <hyperlink ref="B18" r:id="rId17" xr:uid="{8596FCA9-DCC0-4DEB-9725-58C4DAE5D31A}"/>
    <hyperlink ref="B19" r:id="rId18" xr:uid="{20F2E57D-7D46-4B4B-B930-4002AC64724C}"/>
    <hyperlink ref="B20" r:id="rId19" xr:uid="{A1F98F4F-CC6A-4844-A5DF-009F233E16F9}"/>
    <hyperlink ref="B21" r:id="rId20" xr:uid="{832A605E-2857-490C-8721-27937FC401BB}"/>
    <hyperlink ref="B22" r:id="rId21" xr:uid="{223C1ED8-066B-4305-B7BC-620815FC2D3A}"/>
    <hyperlink ref="B23" r:id="rId22" xr:uid="{EE63A7CD-7C92-4B80-AB8B-6955B5F89152}"/>
    <hyperlink ref="B24" r:id="rId23" xr:uid="{6C1F8F64-E43C-43A0-9EDE-C1BA9111C65E}"/>
    <hyperlink ref="B25" r:id="rId24" xr:uid="{74F07F37-5FD2-4E98-8D08-3CF923EE9028}"/>
    <hyperlink ref="B26" r:id="rId25" xr:uid="{EB239537-466D-4BA7-9742-780DC4B91E89}"/>
    <hyperlink ref="B27" r:id="rId26" xr:uid="{FE31317D-CBC1-41C3-AD0B-E4DDA8FC0FE6}"/>
    <hyperlink ref="B28" r:id="rId27" xr:uid="{49D31575-99DC-46AF-BC4E-AD46AD2E6299}"/>
    <hyperlink ref="B29" r:id="rId28" xr:uid="{30FF24C9-0A6A-4F2C-ACF0-0F603946111E}"/>
    <hyperlink ref="B30" r:id="rId29" xr:uid="{26C0EE4A-1ACC-4BF3-B2F4-923E7970C882}"/>
    <hyperlink ref="B31" r:id="rId30" xr:uid="{8392E218-B9EB-42A2-A2CE-A6CD77ADA0BE}"/>
    <hyperlink ref="B32" r:id="rId31" xr:uid="{006521D9-10AA-4561-92F3-2BBB14CD3AFE}"/>
    <hyperlink ref="B33" r:id="rId32" xr:uid="{63B2F549-BA77-4649-9D0F-35B97836456E}"/>
    <hyperlink ref="B34" r:id="rId33" xr:uid="{915756C3-7408-4925-85B7-9CC0D6D49AC1}"/>
    <hyperlink ref="B35" r:id="rId34" xr:uid="{FA89CD76-4020-43BE-A968-988CCD64BABB}"/>
    <hyperlink ref="B36" r:id="rId35" xr:uid="{5C79925B-7676-4AF8-B621-468FF8A08DCD}"/>
    <hyperlink ref="B37" r:id="rId36" xr:uid="{753679A2-B706-456B-BEAC-94EF05A7DECA}"/>
    <hyperlink ref="B38" r:id="rId37" xr:uid="{F202C3A1-B52D-49CF-9E16-05CE74F68D67}"/>
    <hyperlink ref="B39" r:id="rId38" xr:uid="{0B568A8D-22A3-4ABD-82CA-27F988DF272E}"/>
    <hyperlink ref="B40" r:id="rId39" xr:uid="{C53A654E-B55A-45A7-B956-12EE08BEBD5E}"/>
    <hyperlink ref="B41" r:id="rId40" xr:uid="{A996642A-93DC-4919-98D5-3BAE89CB521C}"/>
    <hyperlink ref="B42" r:id="rId41" xr:uid="{094A7EED-634A-4DB5-A91A-2860FFD1ECB5}"/>
    <hyperlink ref="B43" r:id="rId42" xr:uid="{4EA879CB-D605-4B6D-854F-EFCA72D7FF78}"/>
    <hyperlink ref="B44" r:id="rId43" xr:uid="{0330628C-7D70-4808-B6A1-D6E0806298E8}"/>
    <hyperlink ref="B45" r:id="rId44" xr:uid="{DD1E9DDD-5A41-42EB-8E1E-579A2EE93210}"/>
    <hyperlink ref="B46" r:id="rId45" xr:uid="{479DC3C3-B652-4024-B1DA-3D3F32BFB0D9}"/>
    <hyperlink ref="B47" r:id="rId46" xr:uid="{EB22E47E-2A89-4DE3-B98C-FCFB798B36F6}"/>
    <hyperlink ref="B48" r:id="rId47" xr:uid="{C89C7230-CD35-46D9-9282-6E5902D082FF}"/>
    <hyperlink ref="B49" r:id="rId48" xr:uid="{3F01689F-4D07-4AC4-95F6-1702DF387D60}"/>
    <hyperlink ref="B50" r:id="rId49" xr:uid="{8E890343-3B35-443C-9D63-3ACA738DD891}"/>
    <hyperlink ref="B51" r:id="rId50" xr:uid="{C6A707EE-C831-4795-8CD5-D87D5640DB90}"/>
    <hyperlink ref="B52" r:id="rId51" xr:uid="{953E2422-CA90-4DE3-8BF8-5FF185F7F854}"/>
    <hyperlink ref="B53" r:id="rId52" xr:uid="{41C0064E-A515-4654-8035-51CF7C849292}"/>
    <hyperlink ref="B54" r:id="rId53" xr:uid="{F2F09747-1DE8-40CE-A149-21422D03999A}"/>
    <hyperlink ref="B55" r:id="rId54" xr:uid="{7EABAF04-B50F-4E48-978C-F93CAE03AD2E}"/>
    <hyperlink ref="B56" r:id="rId55" xr:uid="{AEE0F1B3-E252-4D75-8822-6A45AA8829F1}"/>
    <hyperlink ref="B57" r:id="rId56" xr:uid="{5131F533-4417-4ACB-9FEE-F1D92249A969}"/>
    <hyperlink ref="B58" r:id="rId57" xr:uid="{C437E02C-E1A2-4D65-B6E5-2F037A6F5E95}"/>
    <hyperlink ref="B59" r:id="rId58" xr:uid="{9E5AE2F9-49D1-4C60-95D1-191A018CBC07}"/>
    <hyperlink ref="B60" r:id="rId59" xr:uid="{C0810063-511B-473C-891B-F975D081728C}"/>
    <hyperlink ref="B61" r:id="rId60" xr:uid="{5FFCC6C5-5AA0-4070-9DED-E6278872EBE2}"/>
    <hyperlink ref="B62" r:id="rId61" xr:uid="{0BDEA6F2-4E1E-4EE6-A9FC-90669066E8BA}"/>
    <hyperlink ref="B63" r:id="rId62" xr:uid="{BFB871A5-B7CE-4C58-A316-4A101527E04B}"/>
    <hyperlink ref="B64" r:id="rId63" xr:uid="{F6B2CCB9-CD4B-4273-91C0-15AB06EF9596}"/>
    <hyperlink ref="B65" r:id="rId64" xr:uid="{CA9EE5D1-48DA-43F0-AAE0-1F05978FEE7E}"/>
    <hyperlink ref="B66" r:id="rId65" xr:uid="{0F6E2963-E255-47FC-9B62-A773C420A0D1}"/>
    <hyperlink ref="B67" r:id="rId66" xr:uid="{61B1C1BD-3892-4808-9229-572D7619E94F}"/>
    <hyperlink ref="B68" r:id="rId67" xr:uid="{873F4010-7F21-48D1-9656-C7EA07DA89ED}"/>
    <hyperlink ref="B69" r:id="rId68" xr:uid="{83FED800-84C5-4733-920E-5CB2ADD2271F}"/>
    <hyperlink ref="B70" r:id="rId69" xr:uid="{EE5042D3-B294-416C-9A20-C785C0AD04ED}"/>
    <hyperlink ref="B71" r:id="rId70" xr:uid="{35142367-AB22-42F9-83A2-975A7FA33F3F}"/>
    <hyperlink ref="B72" r:id="rId71" xr:uid="{A21B10F8-255B-493A-B128-1F9059C338A6}"/>
    <hyperlink ref="B73" r:id="rId72" xr:uid="{C17555C8-1869-4353-830F-B61B201EA7FC}"/>
    <hyperlink ref="B74" r:id="rId73" xr:uid="{1AF017A3-334C-42AC-8F31-CD126F2565EA}"/>
    <hyperlink ref="B75" r:id="rId74" xr:uid="{F43E4C3D-EF4A-4A23-8540-6449C734F37C}"/>
    <hyperlink ref="B76" r:id="rId75" xr:uid="{039E00BD-EE4C-4A1D-B257-A8F482E9B722}"/>
    <hyperlink ref="B77" r:id="rId76" xr:uid="{7EED5340-5F93-40E0-B055-12AD909B5D66}"/>
    <hyperlink ref="B78" r:id="rId77" xr:uid="{AE4A2D86-0ECB-483E-AF64-92F3C6759667}"/>
    <hyperlink ref="B79" r:id="rId78" xr:uid="{47E4AF98-DAEC-4F86-B067-41D21661D5E1}"/>
    <hyperlink ref="B80" r:id="rId79" xr:uid="{31AB2450-7F5E-4A9D-B771-1F0F9C8AA0AC}"/>
    <hyperlink ref="B81" r:id="rId80" xr:uid="{65DF4DB8-E54A-49D7-8132-DFD781621A4C}"/>
    <hyperlink ref="B82" r:id="rId81" xr:uid="{295B1A7A-25FD-46E4-83CF-526B30F6CDD2}"/>
    <hyperlink ref="B83" r:id="rId82" xr:uid="{CC757936-7CA3-4607-A7EF-C451F28F909E}"/>
    <hyperlink ref="B84" r:id="rId83" xr:uid="{5C41FC5F-5432-4E89-A8B9-435AC6D9484F}"/>
    <hyperlink ref="B85" r:id="rId84" xr:uid="{FDE80AF8-DFC0-4C12-9396-1511621BC9C3}"/>
    <hyperlink ref="B86" r:id="rId85" xr:uid="{F59CBCAC-3DE8-44A0-810B-414424C108C0}"/>
    <hyperlink ref="B87" r:id="rId86" xr:uid="{8A12E6AB-A469-47CC-A786-DF187AF572FF}"/>
    <hyperlink ref="B88" r:id="rId87" xr:uid="{3D7DFEFC-ED0B-428B-A5E6-9F5FCC36E439}"/>
    <hyperlink ref="B89" r:id="rId88" xr:uid="{BD20BE12-4008-44B0-8C33-C9518192B770}"/>
    <hyperlink ref="B90" r:id="rId89" xr:uid="{98B10992-37F3-4CA4-86C7-C859717228BD}"/>
    <hyperlink ref="B91" r:id="rId90" xr:uid="{6AA7A177-A9CA-4953-9207-712873B26843}"/>
    <hyperlink ref="B92" r:id="rId91" xr:uid="{1B9B70E1-9BB4-4836-A7A6-732EAA4AE765}"/>
    <hyperlink ref="B93" r:id="rId92" xr:uid="{A225F4B2-5E54-4F79-8EDD-68A225D66A0C}"/>
    <hyperlink ref="B94" r:id="rId93" xr:uid="{6EDCC08E-C04A-4D7B-BD59-13C7FFBA7BEC}"/>
    <hyperlink ref="B95" r:id="rId94" xr:uid="{DC7FB33C-2FE3-4305-972E-C1ADE4DE3D1A}"/>
    <hyperlink ref="B96" r:id="rId95" xr:uid="{51117803-21A6-4D4E-B3EC-EDC5DB84DA1B}"/>
    <hyperlink ref="B97" r:id="rId96" xr:uid="{4B66F327-5E0F-4A0A-936F-D9D74D858AD3}"/>
    <hyperlink ref="B98" r:id="rId97" xr:uid="{C131A0B3-9945-4F8E-AB44-D3639434F121}"/>
    <hyperlink ref="B99" r:id="rId98" xr:uid="{BE967036-8CC0-4F22-A17C-E4DA1AEA53FF}"/>
    <hyperlink ref="B100" r:id="rId99" xr:uid="{82D48A89-C318-424E-8E3A-DA0288B32091}"/>
    <hyperlink ref="B101" r:id="rId100" xr:uid="{C3728475-4EA6-4F42-A7C1-81759DC918B7}"/>
    <hyperlink ref="B102" r:id="rId101" xr:uid="{9FF541FF-36B6-4F9C-A626-55343117DDAD}"/>
    <hyperlink ref="B103" r:id="rId102" xr:uid="{EA95E1FB-C360-4A41-8FF5-67596F8A6897}"/>
    <hyperlink ref="B104" r:id="rId103" xr:uid="{474E8C2D-AA7C-4F4D-97EC-133CFA7A269A}"/>
    <hyperlink ref="B105" r:id="rId104" xr:uid="{CB08C94E-2CE6-4817-BC28-279BFC892E5E}"/>
    <hyperlink ref="B106" r:id="rId105" xr:uid="{E4E86416-2975-4735-8995-A058C0E42694}"/>
    <hyperlink ref="B107" r:id="rId106" xr:uid="{306FF87C-4278-48FE-824F-C697319C703E}"/>
    <hyperlink ref="B108" r:id="rId107" xr:uid="{84C7A3C8-426F-430E-B980-1BD1EE83BB0E}"/>
    <hyperlink ref="B109" r:id="rId108" xr:uid="{60A3C0D2-5145-4A84-A382-292C90E132C4}"/>
    <hyperlink ref="B110" r:id="rId109" xr:uid="{1D952911-904A-45AF-98E7-85A4E28910B4}"/>
    <hyperlink ref="B111" r:id="rId110" xr:uid="{CA5C97CE-7346-4C48-9125-39B2F0E4E1EA}"/>
    <hyperlink ref="B112" r:id="rId111" xr:uid="{20DEE197-2BE3-46C2-9DBB-A4F961D781C9}"/>
    <hyperlink ref="B113" r:id="rId112" xr:uid="{C4C66899-B7FE-4C9C-B08B-039D2A57B968}"/>
    <hyperlink ref="B114" r:id="rId113" xr:uid="{327C71EF-4834-4B01-B46C-EE21AB092F05}"/>
    <hyperlink ref="B115" r:id="rId114" xr:uid="{52DCBC12-AD08-4A10-8DAA-1231B38FD609}"/>
    <hyperlink ref="B116" r:id="rId115" xr:uid="{1E6FB65A-E9DE-41CB-8324-EFF3580E3369}"/>
    <hyperlink ref="B117" r:id="rId116" xr:uid="{9C13E2BA-715A-4A5F-904A-949299FA40FB}"/>
    <hyperlink ref="B118" r:id="rId117" xr:uid="{0AF015E5-16C1-4ADC-986E-082B984271F3}"/>
    <hyperlink ref="B119" r:id="rId118" xr:uid="{B68D8E71-19B0-4AD7-BFD1-05F3F7158B83}"/>
    <hyperlink ref="B120" r:id="rId119" xr:uid="{34C768AD-5E8C-4AD4-B5CD-38680C50E56E}"/>
    <hyperlink ref="B121" r:id="rId120" xr:uid="{BE188DDC-59FB-4CB7-B3DF-27BA7C5531CB}"/>
    <hyperlink ref="B122" r:id="rId121" xr:uid="{5024F995-D68A-41CE-BA12-8DE9C905C1BD}"/>
    <hyperlink ref="B123" r:id="rId122" xr:uid="{EADC6565-676E-4E89-AE72-4E0BD278184C}"/>
    <hyperlink ref="B124" r:id="rId123" xr:uid="{9174EA93-A817-4867-99B4-F6FA9FA8E44B}"/>
    <hyperlink ref="B125" r:id="rId124" xr:uid="{DBCF9E94-BF1D-40AC-B7F6-41039B84D3BF}"/>
    <hyperlink ref="B126" r:id="rId125" xr:uid="{9C56B503-8D1D-4CF6-8B36-B1EB9E8A9778}"/>
    <hyperlink ref="B127" r:id="rId126" xr:uid="{35BBDE17-72C5-44F9-B037-41924D37DC78}"/>
    <hyperlink ref="B128" r:id="rId127" xr:uid="{1A27682E-41B9-4A85-B6DB-27551AEC296F}"/>
    <hyperlink ref="B129" r:id="rId128" xr:uid="{A94B4449-6E4A-42E8-B329-3C247DCB2AFE}"/>
    <hyperlink ref="B130" r:id="rId129" xr:uid="{A5692FE3-65BF-4D5A-9737-839DB1234FC1}"/>
    <hyperlink ref="B131" r:id="rId130" xr:uid="{121A52CF-19EC-445C-9302-31591CB09F90}"/>
    <hyperlink ref="B132" r:id="rId131" xr:uid="{0B18190D-1BE1-4F14-9E6C-2FE6A20C4942}"/>
    <hyperlink ref="B133" r:id="rId132" xr:uid="{D4D29E40-D465-4057-803F-56A217C3B6E2}"/>
    <hyperlink ref="B134" r:id="rId133" xr:uid="{8708AC58-2E41-4ED1-B0BA-1A9C3C787EC4}"/>
    <hyperlink ref="B135" r:id="rId134" xr:uid="{E900F3C3-5363-40A9-A9D0-62834375082D}"/>
    <hyperlink ref="B136" r:id="rId135" xr:uid="{F73E4D29-6792-4A55-9337-190318124F84}"/>
    <hyperlink ref="B137" r:id="rId136" xr:uid="{FA08556E-1CFC-4926-B17D-687ECCC2197A}"/>
    <hyperlink ref="B138" r:id="rId137" xr:uid="{E9E81B98-FB74-4C23-9234-29A6EC0BACE7}"/>
    <hyperlink ref="B139" r:id="rId138" xr:uid="{7BBDFDB5-51AA-41E2-9D65-FC71C3BE38FB}"/>
    <hyperlink ref="B140" r:id="rId139" xr:uid="{148BF138-160B-484A-BCD0-2DFC9671F4EE}"/>
    <hyperlink ref="B141" r:id="rId140" xr:uid="{3FB4A027-2663-4D9D-888B-6E73526ADB51}"/>
    <hyperlink ref="B142" r:id="rId141" xr:uid="{1F91C8A4-0314-4C0C-9BB0-0A5778F97AF9}"/>
    <hyperlink ref="B143" r:id="rId142" xr:uid="{E22F0982-F50D-4F3D-BC63-99B21C398AB5}"/>
    <hyperlink ref="B144" r:id="rId143" xr:uid="{04808DF3-8518-4076-A8A8-A3B53B4D3F1E}"/>
    <hyperlink ref="B145" r:id="rId144" xr:uid="{6889C09F-B781-4F5D-B62A-216A897CE5D0}"/>
    <hyperlink ref="B146" r:id="rId145" xr:uid="{B37826B0-29BD-4205-9E9A-C04CDA913DF3}"/>
    <hyperlink ref="B147" r:id="rId146" xr:uid="{F96E8E31-B9C8-4BC5-9E23-3A406CCA29E0}"/>
    <hyperlink ref="B148" r:id="rId147" xr:uid="{49B39A08-F265-4CC4-88CE-0BF66B0C2EDA}"/>
    <hyperlink ref="B149" r:id="rId148" xr:uid="{581CCD6F-B94A-4E94-9D3C-D59417625F79}"/>
    <hyperlink ref="B150" r:id="rId149" xr:uid="{D478C0FB-F01F-4E76-BE25-24B7C8B285BA}"/>
    <hyperlink ref="B151" r:id="rId150" xr:uid="{A2E06995-C27A-4081-AD5D-20481F8ECF52}"/>
    <hyperlink ref="B152" r:id="rId151" xr:uid="{7DD89A5C-AA16-4AE3-8E61-14805A2DE97D}"/>
    <hyperlink ref="B153" r:id="rId152" xr:uid="{04B6937F-C17D-4402-BD3C-F2F5D302F014}"/>
    <hyperlink ref="B154" r:id="rId153" xr:uid="{B4552C78-C151-4BCE-B02B-E1E8566D4026}"/>
    <hyperlink ref="B155" r:id="rId154" xr:uid="{591B0DC0-9261-43AC-9CF5-830F136F1399}"/>
    <hyperlink ref="B156" r:id="rId155" xr:uid="{9BED86AB-2F62-4B12-94AE-F959D6024A92}"/>
    <hyperlink ref="B157" r:id="rId156" xr:uid="{4EC049A9-627F-4320-A82D-BE05E9DB605E}"/>
    <hyperlink ref="B158" r:id="rId157" xr:uid="{CE26C223-22A7-48EF-91B4-9FD47CD9987E}"/>
    <hyperlink ref="B159" r:id="rId158" xr:uid="{C6CBE450-8424-4D54-B9E3-83B11C849D1B}"/>
    <hyperlink ref="B160" r:id="rId159" xr:uid="{5E4B6352-39D7-4E38-B05A-41CCC2F4851B}"/>
    <hyperlink ref="B161" r:id="rId160" xr:uid="{3DA9A5A8-051F-40A7-B637-FCD1E2948C0A}"/>
    <hyperlink ref="B162" r:id="rId161" xr:uid="{9E2979FE-BA60-42F1-AD40-49BCEE3C81D4}"/>
    <hyperlink ref="B163" r:id="rId162" xr:uid="{1FC5F33D-9DEA-484C-B63D-D80FF7467530}"/>
    <hyperlink ref="B164" r:id="rId163" xr:uid="{3A73E251-F50A-4800-899F-7A3A83F163D7}"/>
    <hyperlink ref="B165" r:id="rId164" xr:uid="{B06BE807-D057-4550-9E81-CA37E6E4EC6E}"/>
    <hyperlink ref="B166" r:id="rId165" xr:uid="{0AB8B26E-A035-457A-936D-7A62C724C473}"/>
    <hyperlink ref="B167" r:id="rId166" xr:uid="{20B83C57-16FF-4B7E-B854-FD815A0999D7}"/>
    <hyperlink ref="B168" r:id="rId167" xr:uid="{F06F8158-0C1B-4825-B3A8-2A92B0586247}"/>
    <hyperlink ref="B169" r:id="rId168" xr:uid="{302E8FAD-38E6-4B67-8294-4E7A509819B0}"/>
    <hyperlink ref="B170" r:id="rId169" xr:uid="{B202427F-D60F-450E-9067-CCA63E556374}"/>
    <hyperlink ref="B171" r:id="rId170" xr:uid="{A158AA9B-7C37-4987-B4C7-6FC088D49D17}"/>
    <hyperlink ref="B172" r:id="rId171" xr:uid="{ECDF8A58-BF72-4DE8-BEE2-05D45B984327}"/>
    <hyperlink ref="B173" r:id="rId172" xr:uid="{FB093A53-D589-4114-AD70-15A924905C8F}"/>
    <hyperlink ref="B174" r:id="rId173" xr:uid="{7AE01471-24E4-482A-B2B6-B9AA156C2130}"/>
    <hyperlink ref="B175" r:id="rId174" xr:uid="{991B4114-DBAE-430A-88B7-4F8102C61CB1}"/>
    <hyperlink ref="B176" r:id="rId175" xr:uid="{020CE252-19A7-4A3C-B4A0-40019F3B554E}"/>
    <hyperlink ref="B177" r:id="rId176" xr:uid="{6689345E-ACCC-46BB-9A32-6589FB6994C6}"/>
    <hyperlink ref="B178" r:id="rId177" xr:uid="{DB965798-5A60-4DDE-A355-DFA41BBD18E0}"/>
    <hyperlink ref="B179" r:id="rId178" xr:uid="{F54AF719-C5C4-49B4-AE9E-EBE0D79C008B}"/>
    <hyperlink ref="B180" r:id="rId179" xr:uid="{D70C760A-5DD1-4DC3-B31F-07F10CFA3C66}"/>
    <hyperlink ref="B181" r:id="rId180" xr:uid="{6ABEC9A9-7C62-49F9-A453-F7FEAE00BECB}"/>
    <hyperlink ref="B182" r:id="rId181" xr:uid="{34D32145-FEFA-4DA2-A25F-447F81FAE874}"/>
    <hyperlink ref="B183" r:id="rId182" xr:uid="{9CF3AFC6-7D39-493F-B8D0-010EAC82B522}"/>
    <hyperlink ref="B184" r:id="rId183" xr:uid="{3539D9D6-4156-475E-9860-D2B94C69B758}"/>
    <hyperlink ref="B185" r:id="rId184" xr:uid="{F16B233F-BA75-4F66-A93F-A9CE07FCC688}"/>
    <hyperlink ref="B186" r:id="rId185" xr:uid="{C5082689-A11A-4C9A-9645-54D63980E4D5}"/>
    <hyperlink ref="B187" r:id="rId186" xr:uid="{37DCF5CF-2148-4CA7-8316-3EF060110E77}"/>
    <hyperlink ref="B188" r:id="rId187" xr:uid="{D40FCC97-3DDE-40DE-B5B1-9E4C49E531D5}"/>
    <hyperlink ref="B189" r:id="rId188" xr:uid="{EF38D991-B530-4291-8656-84F858FBD3B1}"/>
    <hyperlink ref="B190" r:id="rId189" xr:uid="{2ED454B6-A479-4729-A918-00B14256A8AB}"/>
    <hyperlink ref="B191" r:id="rId190" xr:uid="{8CC5B364-6FE8-4197-9F52-01E6EBF815E4}"/>
    <hyperlink ref="B192" r:id="rId191" xr:uid="{B01DAEB2-1A60-40D7-9E7E-683804EE47A4}"/>
    <hyperlink ref="B193" r:id="rId192" xr:uid="{A0E8CFF5-FE3F-48F6-A4DD-9D4E769A3684}"/>
    <hyperlink ref="B194" r:id="rId193" xr:uid="{D236A80A-0915-4F21-BD83-98DD5468F581}"/>
    <hyperlink ref="B195" r:id="rId194" xr:uid="{5CE7E24D-3119-4388-9486-7075CF9ED9A3}"/>
  </hyperlinks>
  <pageMargins left="0.7" right="0.7" top="0.75" bottom="0.75" header="0.3" footer="0.3"/>
  <tableParts count="1">
    <tablePart r:id="rId195"/>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0C039-C8D9-425B-A4F5-0C360D966A92}">
  <dimension ref="A1:M23"/>
  <sheetViews>
    <sheetView workbookViewId="0">
      <selection activeCell="A9" sqref="A9:M9"/>
    </sheetView>
  </sheetViews>
  <sheetFormatPr defaultColWidth="8.85546875" defaultRowHeight="15" x14ac:dyDescent="0.25"/>
  <cols>
    <col min="1" max="1" width="11" customWidth="1"/>
    <col min="2" max="2" width="11.42578125" customWidth="1"/>
    <col min="3" max="3" width="12.7109375" customWidth="1"/>
    <col min="4" max="4" width="29.28515625" customWidth="1"/>
    <col min="5" max="5" width="11.42578125" customWidth="1"/>
    <col min="6" max="7" width="15.42578125" customWidth="1"/>
    <col min="8" max="8" width="12.42578125" customWidth="1"/>
    <col min="9" max="9" width="26.42578125" customWidth="1"/>
    <col min="10" max="10" width="14" customWidth="1"/>
    <col min="11" max="11" width="21" customWidth="1"/>
    <col min="12" max="12" width="16.7109375" customWidth="1"/>
    <col min="13" max="13" width="11" customWidth="1"/>
  </cols>
  <sheetData>
    <row r="1" spans="1:13" x14ac:dyDescent="0.25">
      <c r="A1" s="192" t="s">
        <v>9453</v>
      </c>
      <c r="B1" s="192"/>
      <c r="C1" s="192"/>
      <c r="D1" s="192"/>
      <c r="E1" s="192"/>
      <c r="F1" s="192"/>
      <c r="G1" s="192"/>
      <c r="H1" s="192"/>
      <c r="I1" s="192"/>
      <c r="J1" s="192"/>
      <c r="K1" s="192"/>
      <c r="L1" s="192"/>
      <c r="M1" s="192"/>
    </row>
    <row r="2" spans="1:13" x14ac:dyDescent="0.25">
      <c r="A2" s="153" t="s">
        <v>9456</v>
      </c>
      <c r="B2" s="154" t="s">
        <v>10</v>
      </c>
      <c r="C2" s="154" t="s">
        <v>11</v>
      </c>
      <c r="D2" s="154" t="s">
        <v>12</v>
      </c>
      <c r="E2" s="154" t="s">
        <v>13</v>
      </c>
      <c r="F2" s="154" t="s">
        <v>14</v>
      </c>
      <c r="G2" s="154" t="s">
        <v>15</v>
      </c>
      <c r="H2" s="154" t="s">
        <v>16</v>
      </c>
      <c r="I2" s="154" t="s">
        <v>17</v>
      </c>
      <c r="J2" s="154" t="s">
        <v>9149</v>
      </c>
      <c r="K2" s="154" t="s">
        <v>9150</v>
      </c>
      <c r="L2" s="154" t="s">
        <v>18</v>
      </c>
      <c r="M2" s="75" t="s">
        <v>19</v>
      </c>
    </row>
    <row r="3" spans="1:13" x14ac:dyDescent="0.25">
      <c r="A3" s="152" t="s">
        <v>9452</v>
      </c>
      <c r="B3" s="14">
        <v>7</v>
      </c>
      <c r="C3" s="14">
        <v>1</v>
      </c>
      <c r="D3" s="14">
        <v>0</v>
      </c>
      <c r="E3" s="14">
        <v>2</v>
      </c>
      <c r="F3" s="14">
        <v>0</v>
      </c>
      <c r="G3" s="14">
        <v>2</v>
      </c>
      <c r="H3" s="14">
        <v>1</v>
      </c>
      <c r="I3" s="14">
        <v>0</v>
      </c>
      <c r="J3" s="14">
        <v>0</v>
      </c>
      <c r="K3" s="14">
        <v>0</v>
      </c>
      <c r="L3" s="14">
        <v>0</v>
      </c>
      <c r="M3" s="15">
        <v>0</v>
      </c>
    </row>
    <row r="4" spans="1:13" x14ac:dyDescent="0.25">
      <c r="A4" s="152" t="s">
        <v>9448</v>
      </c>
      <c r="B4" s="14">
        <v>14.75</v>
      </c>
      <c r="C4" s="14">
        <v>7</v>
      </c>
      <c r="D4" s="14">
        <v>14.25</v>
      </c>
      <c r="E4" s="14">
        <v>6.25</v>
      </c>
      <c r="F4" s="14">
        <v>1</v>
      </c>
      <c r="G4" s="14">
        <v>3.75</v>
      </c>
      <c r="H4" s="14">
        <v>2</v>
      </c>
      <c r="I4" s="14">
        <v>1.25</v>
      </c>
      <c r="J4" s="14">
        <v>0.25</v>
      </c>
      <c r="K4" s="14">
        <v>1</v>
      </c>
      <c r="L4" s="14">
        <v>5.25</v>
      </c>
      <c r="M4" s="15">
        <v>0</v>
      </c>
    </row>
    <row r="5" spans="1:13" x14ac:dyDescent="0.25">
      <c r="A5" s="152" t="s">
        <v>9451</v>
      </c>
      <c r="B5" s="14">
        <v>21</v>
      </c>
      <c r="C5" s="14">
        <v>11.5</v>
      </c>
      <c r="D5" s="14">
        <v>17.5</v>
      </c>
      <c r="E5" s="14">
        <v>22</v>
      </c>
      <c r="F5" s="14">
        <v>1</v>
      </c>
      <c r="G5" s="14">
        <v>6</v>
      </c>
      <c r="H5" s="14">
        <v>2.5</v>
      </c>
      <c r="I5" s="14">
        <v>3</v>
      </c>
      <c r="J5" s="14">
        <v>1.5</v>
      </c>
      <c r="K5" s="14">
        <v>1</v>
      </c>
      <c r="L5" s="14">
        <v>8</v>
      </c>
      <c r="M5" s="15">
        <v>0</v>
      </c>
    </row>
    <row r="6" spans="1:13" x14ac:dyDescent="0.25">
      <c r="A6" s="152" t="s">
        <v>9449</v>
      </c>
      <c r="B6" s="14">
        <v>37</v>
      </c>
      <c r="C6" s="14">
        <v>14.5</v>
      </c>
      <c r="D6" s="14">
        <v>22.75</v>
      </c>
      <c r="E6" s="14">
        <v>28.75</v>
      </c>
      <c r="F6" s="14">
        <v>3.75</v>
      </c>
      <c r="G6" s="14">
        <v>8</v>
      </c>
      <c r="H6" s="14">
        <v>3.75</v>
      </c>
      <c r="I6" s="14">
        <v>3.75</v>
      </c>
      <c r="J6" s="14">
        <v>4.25</v>
      </c>
      <c r="K6" s="14">
        <v>3.75</v>
      </c>
      <c r="L6" s="14">
        <v>13</v>
      </c>
      <c r="M6" s="15">
        <v>0</v>
      </c>
    </row>
    <row r="7" spans="1:13" x14ac:dyDescent="0.25">
      <c r="A7" s="155" t="s">
        <v>9450</v>
      </c>
      <c r="B7" s="39">
        <v>56</v>
      </c>
      <c r="C7" s="39">
        <v>19</v>
      </c>
      <c r="D7" s="39">
        <v>46</v>
      </c>
      <c r="E7" s="39">
        <v>42</v>
      </c>
      <c r="F7" s="39">
        <v>18</v>
      </c>
      <c r="G7" s="39">
        <v>26</v>
      </c>
      <c r="H7" s="39">
        <v>18</v>
      </c>
      <c r="I7" s="39">
        <v>20</v>
      </c>
      <c r="J7" s="39">
        <v>8</v>
      </c>
      <c r="K7" s="39">
        <v>7</v>
      </c>
      <c r="L7" s="39">
        <v>21</v>
      </c>
      <c r="M7" s="43">
        <v>2</v>
      </c>
    </row>
    <row r="9" spans="1:13" x14ac:dyDescent="0.25">
      <c r="A9" s="193" t="s">
        <v>9454</v>
      </c>
      <c r="B9" s="194"/>
      <c r="C9" s="194"/>
      <c r="D9" s="194"/>
      <c r="E9" s="194"/>
      <c r="F9" s="194"/>
      <c r="G9" s="194"/>
      <c r="H9" s="194"/>
      <c r="I9" s="194"/>
      <c r="J9" s="194"/>
      <c r="K9" s="194"/>
      <c r="L9" s="194"/>
      <c r="M9" s="195"/>
    </row>
    <row r="10" spans="1:13" x14ac:dyDescent="0.25">
      <c r="A10" s="153" t="s">
        <v>9456</v>
      </c>
      <c r="B10" s="154" t="s">
        <v>10</v>
      </c>
      <c r="C10" s="154" t="s">
        <v>11</v>
      </c>
      <c r="D10" s="154" t="s">
        <v>12</v>
      </c>
      <c r="E10" s="154" t="s">
        <v>13</v>
      </c>
      <c r="F10" s="154" t="s">
        <v>14</v>
      </c>
      <c r="G10" s="154" t="s">
        <v>15</v>
      </c>
      <c r="H10" s="154" t="s">
        <v>16</v>
      </c>
      <c r="I10" s="154" t="s">
        <v>17</v>
      </c>
      <c r="J10" s="154" t="s">
        <v>9149</v>
      </c>
      <c r="K10" s="154" t="s">
        <v>9150</v>
      </c>
      <c r="L10" s="154" t="s">
        <v>18</v>
      </c>
      <c r="M10" s="75" t="s">
        <v>19</v>
      </c>
    </row>
    <row r="11" spans="1:13" x14ac:dyDescent="0.25">
      <c r="A11" s="152" t="s">
        <v>9452</v>
      </c>
      <c r="B11" s="14">
        <v>11</v>
      </c>
      <c r="C11" s="14">
        <v>26</v>
      </c>
      <c r="D11" s="14">
        <v>0</v>
      </c>
      <c r="E11" s="14">
        <v>7</v>
      </c>
      <c r="F11" s="14">
        <v>0</v>
      </c>
      <c r="G11" s="14">
        <v>2</v>
      </c>
      <c r="H11" s="14">
        <v>0</v>
      </c>
      <c r="I11" s="14">
        <v>2</v>
      </c>
      <c r="J11" s="14">
        <v>0</v>
      </c>
      <c r="K11" s="14">
        <v>0</v>
      </c>
      <c r="L11" s="14">
        <v>3</v>
      </c>
      <c r="M11" s="15">
        <v>0</v>
      </c>
    </row>
    <row r="12" spans="1:13" x14ac:dyDescent="0.25">
      <c r="A12" s="152" t="s">
        <v>9448</v>
      </c>
      <c r="B12" s="14">
        <v>19</v>
      </c>
      <c r="C12" s="14">
        <v>29.5</v>
      </c>
      <c r="D12" s="14">
        <v>5.75</v>
      </c>
      <c r="E12" s="14">
        <v>24.25</v>
      </c>
      <c r="F12" s="14">
        <v>0.25</v>
      </c>
      <c r="G12" s="14">
        <v>2.5</v>
      </c>
      <c r="H12" s="14">
        <v>1.25</v>
      </c>
      <c r="I12" s="14">
        <v>3.25</v>
      </c>
      <c r="J12" s="14">
        <v>0</v>
      </c>
      <c r="K12" s="14">
        <v>3</v>
      </c>
      <c r="L12" s="14">
        <v>5.25</v>
      </c>
      <c r="M12" s="15">
        <v>0</v>
      </c>
    </row>
    <row r="13" spans="1:13" x14ac:dyDescent="0.25">
      <c r="A13" s="152" t="s">
        <v>9451</v>
      </c>
      <c r="B13" s="14">
        <v>24.5</v>
      </c>
      <c r="C13" s="14">
        <v>39</v>
      </c>
      <c r="D13" s="14">
        <v>9.5</v>
      </c>
      <c r="E13" s="14">
        <v>28.5</v>
      </c>
      <c r="F13" s="14">
        <v>1.5</v>
      </c>
      <c r="G13" s="14">
        <v>4.5</v>
      </c>
      <c r="H13" s="14">
        <v>3</v>
      </c>
      <c r="I13" s="14">
        <v>5</v>
      </c>
      <c r="J13" s="14">
        <v>1.5</v>
      </c>
      <c r="K13" s="14">
        <v>4</v>
      </c>
      <c r="L13" s="14">
        <v>7</v>
      </c>
      <c r="M13" s="15">
        <v>1</v>
      </c>
    </row>
    <row r="14" spans="1:13" x14ac:dyDescent="0.25">
      <c r="A14" s="152" t="s">
        <v>9449</v>
      </c>
      <c r="B14" s="14">
        <v>37.75</v>
      </c>
      <c r="C14" s="14">
        <v>42.75</v>
      </c>
      <c r="D14" s="14">
        <v>12.25</v>
      </c>
      <c r="E14" s="14">
        <v>37.25</v>
      </c>
      <c r="F14" s="14">
        <v>4.25</v>
      </c>
      <c r="G14" s="14">
        <v>10</v>
      </c>
      <c r="H14" s="14">
        <v>4</v>
      </c>
      <c r="I14" s="14">
        <v>10.75</v>
      </c>
      <c r="J14" s="14">
        <v>2.75</v>
      </c>
      <c r="K14" s="14">
        <v>5.75</v>
      </c>
      <c r="L14" s="14">
        <v>12</v>
      </c>
      <c r="M14" s="15">
        <v>4.75</v>
      </c>
    </row>
    <row r="15" spans="1:13" x14ac:dyDescent="0.25">
      <c r="A15" s="155" t="s">
        <v>9450</v>
      </c>
      <c r="B15" s="39">
        <v>43</v>
      </c>
      <c r="C15" s="39">
        <v>110</v>
      </c>
      <c r="D15" s="39">
        <v>40</v>
      </c>
      <c r="E15" s="39">
        <v>50</v>
      </c>
      <c r="F15" s="39">
        <v>5</v>
      </c>
      <c r="G15" s="39">
        <v>51</v>
      </c>
      <c r="H15" s="39">
        <v>9</v>
      </c>
      <c r="I15" s="39">
        <v>16</v>
      </c>
      <c r="J15" s="39">
        <v>9</v>
      </c>
      <c r="K15" s="39">
        <v>13</v>
      </c>
      <c r="L15" s="39">
        <v>21</v>
      </c>
      <c r="M15" s="43">
        <v>10</v>
      </c>
    </row>
    <row r="17" spans="1:13" x14ac:dyDescent="0.25">
      <c r="A17" s="192" t="s">
        <v>9455</v>
      </c>
      <c r="B17" s="192"/>
      <c r="C17" s="192"/>
      <c r="D17" s="192"/>
      <c r="E17" s="192"/>
      <c r="F17" s="192"/>
      <c r="G17" s="192"/>
      <c r="H17" s="192"/>
      <c r="I17" s="192"/>
      <c r="J17" s="192"/>
      <c r="K17" s="192"/>
      <c r="L17" s="192"/>
      <c r="M17" s="192"/>
    </row>
    <row r="18" spans="1:13" x14ac:dyDescent="0.25">
      <c r="A18" s="153" t="s">
        <v>9456</v>
      </c>
      <c r="B18" s="154" t="s">
        <v>10</v>
      </c>
      <c r="C18" s="154" t="s">
        <v>11</v>
      </c>
      <c r="D18" s="154" t="s">
        <v>12</v>
      </c>
      <c r="E18" s="154" t="s">
        <v>13</v>
      </c>
      <c r="F18" s="154" t="s">
        <v>14</v>
      </c>
      <c r="G18" s="154" t="s">
        <v>15</v>
      </c>
      <c r="H18" s="154" t="s">
        <v>16</v>
      </c>
      <c r="I18" s="154" t="s">
        <v>17</v>
      </c>
      <c r="J18" s="154" t="s">
        <v>9149</v>
      </c>
      <c r="K18" s="154" t="s">
        <v>9150</v>
      </c>
      <c r="L18" s="154" t="s">
        <v>18</v>
      </c>
      <c r="M18" s="75" t="s">
        <v>19</v>
      </c>
    </row>
    <row r="19" spans="1:13" x14ac:dyDescent="0.25">
      <c r="A19" s="152" t="s">
        <v>9452</v>
      </c>
      <c r="B19" s="14">
        <v>7</v>
      </c>
      <c r="C19" s="14">
        <v>1</v>
      </c>
      <c r="D19" s="14">
        <v>0</v>
      </c>
      <c r="E19" s="14">
        <v>2</v>
      </c>
      <c r="F19" s="14">
        <v>0</v>
      </c>
      <c r="G19" s="14">
        <v>2</v>
      </c>
      <c r="H19" s="14">
        <v>0</v>
      </c>
      <c r="I19" s="14">
        <v>0</v>
      </c>
      <c r="J19" s="14">
        <v>0</v>
      </c>
      <c r="K19" s="14">
        <v>0</v>
      </c>
      <c r="L19" s="14">
        <v>0</v>
      </c>
      <c r="M19" s="15">
        <v>0</v>
      </c>
    </row>
    <row r="20" spans="1:13" x14ac:dyDescent="0.25">
      <c r="A20" s="152" t="s">
        <v>9448</v>
      </c>
      <c r="B20" s="14">
        <v>17.75</v>
      </c>
      <c r="C20" s="14">
        <v>12.25</v>
      </c>
      <c r="D20" s="14">
        <v>7.25</v>
      </c>
      <c r="E20" s="14">
        <v>18.25</v>
      </c>
      <c r="F20" s="14">
        <v>1</v>
      </c>
      <c r="G20" s="14">
        <v>2.75</v>
      </c>
      <c r="H20" s="14">
        <v>2</v>
      </c>
      <c r="I20" s="14">
        <v>2</v>
      </c>
      <c r="J20" s="14">
        <v>0</v>
      </c>
      <c r="K20" s="14">
        <v>1</v>
      </c>
      <c r="L20" s="14">
        <v>5</v>
      </c>
      <c r="M20" s="15">
        <v>0</v>
      </c>
    </row>
    <row r="21" spans="1:13" x14ac:dyDescent="0.25">
      <c r="A21" s="152" t="s">
        <v>9451</v>
      </c>
      <c r="B21" s="14">
        <v>23.5</v>
      </c>
      <c r="C21" s="14">
        <v>22.5</v>
      </c>
      <c r="D21" s="14">
        <v>13.5</v>
      </c>
      <c r="E21" s="14">
        <v>24.5</v>
      </c>
      <c r="F21" s="14">
        <v>1</v>
      </c>
      <c r="G21" s="14">
        <v>6</v>
      </c>
      <c r="H21" s="14">
        <v>3</v>
      </c>
      <c r="I21" s="14">
        <v>3.5</v>
      </c>
      <c r="J21" s="14">
        <v>1.5</v>
      </c>
      <c r="K21" s="14">
        <v>3</v>
      </c>
      <c r="L21" s="14">
        <v>7.5</v>
      </c>
      <c r="M21" s="15">
        <v>0</v>
      </c>
    </row>
    <row r="22" spans="1:13" x14ac:dyDescent="0.25">
      <c r="A22" s="152" t="s">
        <v>9449</v>
      </c>
      <c r="B22" s="14">
        <v>39.25</v>
      </c>
      <c r="C22" s="14">
        <v>38.5</v>
      </c>
      <c r="D22" s="14">
        <v>22.25</v>
      </c>
      <c r="E22" s="14">
        <v>32.5</v>
      </c>
      <c r="F22" s="14">
        <v>4.25</v>
      </c>
      <c r="G22" s="14">
        <v>8.25</v>
      </c>
      <c r="H22" s="14">
        <v>4</v>
      </c>
      <c r="I22" s="14">
        <v>7.25</v>
      </c>
      <c r="J22" s="14">
        <v>3.5</v>
      </c>
      <c r="K22" s="14">
        <v>5</v>
      </c>
      <c r="L22" s="14">
        <v>13.25</v>
      </c>
      <c r="M22" s="15">
        <v>2</v>
      </c>
    </row>
    <row r="23" spans="1:13" x14ac:dyDescent="0.25">
      <c r="A23" s="155" t="s">
        <v>9450</v>
      </c>
      <c r="B23" s="39">
        <v>56</v>
      </c>
      <c r="C23" s="39">
        <v>110</v>
      </c>
      <c r="D23" s="39">
        <v>46</v>
      </c>
      <c r="E23" s="39">
        <v>50</v>
      </c>
      <c r="F23" s="39">
        <v>18</v>
      </c>
      <c r="G23" s="39">
        <v>51</v>
      </c>
      <c r="H23" s="39">
        <v>18</v>
      </c>
      <c r="I23" s="39">
        <v>20</v>
      </c>
      <c r="J23" s="39">
        <v>9</v>
      </c>
      <c r="K23" s="39">
        <v>13</v>
      </c>
      <c r="L23" s="39">
        <v>21</v>
      </c>
      <c r="M23" s="43">
        <v>10</v>
      </c>
    </row>
  </sheetData>
  <mergeCells count="3">
    <mergeCell ref="A1:M1"/>
    <mergeCell ref="A9:M9"/>
    <mergeCell ref="A17:M17"/>
  </mergeCells>
  <pageMargins left="0.7" right="0.7" top="0.75" bottom="0.75" header="0.3" footer="0.3"/>
  <pageSetup orientation="portrait" r:id="rId1"/>
  <tableParts count="3">
    <tablePart r:id="rId2"/>
    <tablePart r:id="rId3"/>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39A47-3D69-44AD-B93C-CB0733C56CCD}">
  <dimension ref="A1:AA19"/>
  <sheetViews>
    <sheetView tabSelected="1" topLeftCell="I1" workbookViewId="0">
      <selection activeCell="F3" sqref="F3"/>
    </sheetView>
  </sheetViews>
  <sheetFormatPr defaultColWidth="8.85546875" defaultRowHeight="15" x14ac:dyDescent="0.25"/>
  <cols>
    <col min="1" max="1" width="20.7109375" customWidth="1"/>
    <col min="2" max="2" width="12.28515625" customWidth="1"/>
    <col min="3" max="7" width="10.85546875" customWidth="1"/>
    <col min="8" max="8" width="15" customWidth="1"/>
    <col min="9" max="9" width="13.42578125" customWidth="1"/>
    <col min="10" max="10" width="13.7109375" bestFit="1" customWidth="1"/>
    <col min="11" max="11" width="14.7109375" bestFit="1" customWidth="1"/>
    <col min="12" max="12" width="10.7109375" customWidth="1"/>
    <col min="13" max="13" width="10.42578125" customWidth="1"/>
    <col min="14" max="14" width="12.42578125" bestFit="1" customWidth="1"/>
    <col min="15" max="15" width="14.7109375" bestFit="1" customWidth="1"/>
    <col min="16" max="16" width="13.7109375" bestFit="1" customWidth="1"/>
    <col min="17" max="17" width="14.7109375" bestFit="1" customWidth="1"/>
    <col min="18" max="19" width="13.7109375" bestFit="1" customWidth="1"/>
    <col min="20" max="21" width="12.42578125" bestFit="1" customWidth="1"/>
    <col min="22" max="22" width="13.7109375" bestFit="1" customWidth="1"/>
    <col min="23" max="23" width="13.28515625" customWidth="1"/>
    <col min="24" max="24" width="13.7109375" bestFit="1" customWidth="1"/>
    <col min="25" max="25" width="14.7109375" bestFit="1" customWidth="1"/>
    <col min="26" max="27" width="13.7109375" bestFit="1" customWidth="1"/>
  </cols>
  <sheetData>
    <row r="1" spans="1:27" x14ac:dyDescent="0.25">
      <c r="A1" s="14"/>
      <c r="B1" s="185" t="s">
        <v>9474</v>
      </c>
      <c r="C1" s="187"/>
      <c r="D1" s="185" t="s">
        <v>9</v>
      </c>
      <c r="E1" s="187"/>
      <c r="F1" s="185" t="s">
        <v>9477</v>
      </c>
      <c r="G1" s="187"/>
      <c r="H1" s="180" t="s">
        <v>8977</v>
      </c>
      <c r="I1" s="180"/>
      <c r="J1" s="180" t="s">
        <v>8998</v>
      </c>
      <c r="K1" s="180"/>
      <c r="L1" s="180" t="s">
        <v>9013</v>
      </c>
      <c r="M1" s="180"/>
      <c r="N1" s="180" t="s">
        <v>9025</v>
      </c>
      <c r="O1" s="180"/>
      <c r="P1" s="180" t="s">
        <v>9034</v>
      </c>
      <c r="Q1" s="180"/>
      <c r="R1" s="180" t="s">
        <v>9037</v>
      </c>
      <c r="S1" s="180"/>
      <c r="T1" s="180" t="s">
        <v>9055</v>
      </c>
      <c r="U1" s="180"/>
      <c r="V1" s="180" t="s">
        <v>9067</v>
      </c>
      <c r="W1" s="180"/>
      <c r="X1" s="180" t="s">
        <v>9097</v>
      </c>
      <c r="Y1" s="180"/>
      <c r="Z1" s="180" t="s">
        <v>9106</v>
      </c>
      <c r="AA1" s="180"/>
    </row>
    <row r="2" spans="1:27" ht="45" x14ac:dyDescent="0.25">
      <c r="A2" s="14"/>
      <c r="B2" s="34" t="s">
        <v>9473</v>
      </c>
      <c r="C2" s="34" t="s">
        <v>9447</v>
      </c>
      <c r="D2" s="34" t="s">
        <v>9379</v>
      </c>
      <c r="E2" s="34" t="s">
        <v>9381</v>
      </c>
      <c r="F2" s="34" t="s">
        <v>9475</v>
      </c>
      <c r="G2" s="34" t="s">
        <v>9476</v>
      </c>
      <c r="H2" s="8" t="s">
        <v>9378</v>
      </c>
      <c r="I2" s="9" t="s">
        <v>9380</v>
      </c>
      <c r="J2" s="8" t="s">
        <v>9382</v>
      </c>
      <c r="K2" s="9" t="s">
        <v>9383</v>
      </c>
      <c r="L2" s="8" t="s">
        <v>9384</v>
      </c>
      <c r="M2" s="9" t="s">
        <v>9457</v>
      </c>
      <c r="N2" s="8" t="s">
        <v>9386</v>
      </c>
      <c r="O2" s="9" t="s">
        <v>9387</v>
      </c>
      <c r="P2" s="9" t="s">
        <v>9388</v>
      </c>
      <c r="Q2" s="8" t="s">
        <v>9389</v>
      </c>
      <c r="R2" s="9" t="s">
        <v>9390</v>
      </c>
      <c r="S2" s="8" t="s">
        <v>9391</v>
      </c>
      <c r="T2" s="9" t="s">
        <v>9392</v>
      </c>
      <c r="U2" s="8" t="s">
        <v>9393</v>
      </c>
      <c r="V2" s="8" t="s">
        <v>9394</v>
      </c>
      <c r="W2" s="9" t="s">
        <v>9395</v>
      </c>
      <c r="X2" s="8" t="s">
        <v>9396</v>
      </c>
      <c r="Y2" s="9" t="s">
        <v>9458</v>
      </c>
      <c r="Z2" s="9" t="s">
        <v>9398</v>
      </c>
      <c r="AA2" s="8" t="s">
        <v>9399</v>
      </c>
    </row>
    <row r="3" spans="1:27" x14ac:dyDescent="0.25">
      <c r="A3" s="14" t="s">
        <v>9435</v>
      </c>
      <c r="B3" s="14">
        <f>COUNTA(Table1[Likes],Table2[Likes],Table3[Likes],Table4[Likes],Table5[Likes],Table6[Likes],Table7[Likes],Table8[Likes],Table9[Likes],Table10[Likes],Table11[Likes],Table12[Likes],Table13[Likes],Table14[Likes],Table15[Likes],Table16[Likes],Table17[Likes],Table18[Likes],Table19[Likes],Table20[Likes])</f>
        <v>4474</v>
      </c>
      <c r="C3" s="158">
        <f>AVERAGE(H3:AA3)</f>
        <v>223.7</v>
      </c>
      <c r="D3" s="158">
        <f>COUNTA(Table1[Likes],Table3[Likes],Table5[Likes],Table7[Likes],Table10[Likes],Table12[Likes],Table14[Likes],Table15[Likes],Table17[Likes],Table20[Likes])</f>
        <v>1988</v>
      </c>
      <c r="E3" s="158">
        <f>COUNTA(Table2[Likes],Table4[Likes],Table6[Likes],Table8[Likes],Table9[Likes],Table11[Likes],Table13[Likes],Table16[Likes],Table18[Likes],Table19[Likes])</f>
        <v>2486</v>
      </c>
      <c r="F3" s="158"/>
      <c r="G3" s="158"/>
      <c r="H3" s="14">
        <f>COUNTA(Table1[Party])</f>
        <v>85</v>
      </c>
      <c r="I3" s="14">
        <f>COUNTA(Table2[Party])</f>
        <v>232</v>
      </c>
      <c r="J3" s="14">
        <f>COUNTA(Table3[Party])</f>
        <v>194</v>
      </c>
      <c r="K3" s="14">
        <f>COUNTA(Table4[Party])</f>
        <v>255</v>
      </c>
      <c r="L3" s="14">
        <f>COUNTA(Table5[Party])</f>
        <v>220</v>
      </c>
      <c r="M3" s="14">
        <f>COUNTA(Table6[Party])</f>
        <v>222</v>
      </c>
      <c r="N3" s="14">
        <f>COUNTA(Table7[Party])</f>
        <v>256</v>
      </c>
      <c r="O3" s="14">
        <f>COUNTA(Table8[Party])</f>
        <v>393</v>
      </c>
      <c r="P3" s="14">
        <f>COUNTA(Table9[Party])</f>
        <v>242</v>
      </c>
      <c r="Q3" s="14">
        <f>COUNTA(Table10[Party])</f>
        <v>55</v>
      </c>
      <c r="R3" s="14">
        <f>COUNTA(Table11[Party])</f>
        <v>353</v>
      </c>
      <c r="S3" s="14">
        <f>COUNTA(Table12[Party])</f>
        <v>286</v>
      </c>
      <c r="T3" s="14">
        <f>COUNTA(Table13[Party])</f>
        <v>175</v>
      </c>
      <c r="U3" s="14">
        <f>COUNTA(Table14[Party])</f>
        <v>256</v>
      </c>
      <c r="V3" s="14">
        <f>COUNTA(Table15[Party])</f>
        <v>182</v>
      </c>
      <c r="W3" s="14">
        <f>COUNTA(Table16[Party])</f>
        <v>135</v>
      </c>
      <c r="X3" s="14">
        <f>COUNTA(Table17[Party])</f>
        <v>301</v>
      </c>
      <c r="Y3" s="14">
        <f>COUNTA(Table18[Party])</f>
        <v>354</v>
      </c>
      <c r="Z3" s="14">
        <f>COUNTA(Table19[Party])</f>
        <v>125</v>
      </c>
      <c r="AA3" s="14">
        <f>COUNTA(Table20[Party])</f>
        <v>153</v>
      </c>
    </row>
    <row r="4" spans="1:27" x14ac:dyDescent="0.25">
      <c r="A4" s="14"/>
      <c r="B4" s="14"/>
      <c r="C4" s="14"/>
      <c r="D4" s="14"/>
      <c r="E4" s="14"/>
      <c r="F4" s="14"/>
      <c r="G4" s="14"/>
      <c r="H4" s="14"/>
      <c r="I4" s="14"/>
      <c r="J4" s="14"/>
      <c r="K4" s="14"/>
      <c r="L4" s="14"/>
      <c r="M4" s="14"/>
      <c r="N4" s="14"/>
      <c r="O4" s="14"/>
      <c r="P4" s="14"/>
      <c r="Q4" s="14"/>
      <c r="R4" s="14"/>
      <c r="S4" s="14"/>
      <c r="T4" s="14"/>
      <c r="U4" s="14"/>
      <c r="V4" s="14"/>
      <c r="W4" s="14"/>
      <c r="X4" s="14"/>
      <c r="Y4" s="14"/>
      <c r="Z4" s="14"/>
      <c r="AA4" s="14"/>
    </row>
    <row r="5" spans="1:27" x14ac:dyDescent="0.25">
      <c r="A5" s="14" t="s">
        <v>9459</v>
      </c>
      <c r="B5" s="158">
        <f>AVERAGE(Table1[Likes],Table2[Likes],Table3[Likes],Table4[Likes],Table5[Likes],Table6[Likes],Table7[Likes],Table8[Likes],Table9[Likes],Table10[Likes],Table11[Likes],Table12[Likes],Table13[Likes],Table14[Likes],Table15[Likes],Table16[Likes],Table17[Likes],Table18[Likes],Table19[Likes],Table20[Likes])</f>
        <v>1293.2612874385338</v>
      </c>
      <c r="C5" s="158">
        <f t="shared" ref="C5:C11" si="0">AVERAGE(H5:AA5)</f>
        <v>1313.6081757059915</v>
      </c>
      <c r="D5" s="158">
        <f>AVERAGE(Table1[Likes],Table3[Likes],Table5[Likes],Table7[Likes],Table10[Likes],Table12[Likes],Table14[Likes],Table15[Likes],Table17[Likes],Table20[Likes])</f>
        <v>369.99798792756542</v>
      </c>
      <c r="E5" s="158">
        <f>AVERAGE(Table2[Likes],Table4[Likes],Table6[Likes],Table8[Likes],Table9[Likes],Table11[Likes],Table13[Likes],Table16[Likes],Table18[Likes],Table19[Likes])</f>
        <v>2031.5748189863234</v>
      </c>
      <c r="F5" s="158"/>
      <c r="G5" s="158"/>
      <c r="H5" s="158">
        <f>AVERAGE(Table1[Likes])</f>
        <v>859.67058823529408</v>
      </c>
      <c r="I5" s="158">
        <f>AVERAGE(Table2[Likes])</f>
        <v>2801.0474137931033</v>
      </c>
      <c r="J5" s="158">
        <f>AVERAGE(Table3[Likes])</f>
        <v>202.64432989690721</v>
      </c>
      <c r="K5" s="158">
        <f>AVERAGE(Table4[Likes])</f>
        <v>5292.1803921568626</v>
      </c>
      <c r="L5" s="158">
        <f>AVERAGE(Table5[Likes])</f>
        <v>217.63181818181818</v>
      </c>
      <c r="M5" s="158">
        <f>AVERAGE(Table6[Likes])</f>
        <v>3232.0180180180182</v>
      </c>
      <c r="N5" s="158">
        <f>AVERAGE(Table7[Likes])</f>
        <v>38.43359375</v>
      </c>
      <c r="O5" s="158">
        <f>AVERAGE(Table8[Likes])</f>
        <v>1487.8931297709923</v>
      </c>
      <c r="P5" s="158">
        <f>AVERAGE(Table9[Likes])</f>
        <v>627.14876033057851</v>
      </c>
      <c r="Q5" s="158">
        <f>AVERAGE(Table10[Likes])</f>
        <v>4619.909090909091</v>
      </c>
      <c r="R5" s="158">
        <f>AVERAGE(Table11[Likes])</f>
        <v>200.68271954674222</v>
      </c>
      <c r="S5" s="158">
        <f>AVERAGE(Table12[Likes])</f>
        <v>235.85314685314685</v>
      </c>
      <c r="T5" s="158">
        <f>AVERAGE(Table13[Likes])</f>
        <v>48.822857142857146</v>
      </c>
      <c r="U5" s="158">
        <f>AVERAGE(Table14[Likes])</f>
        <v>25.73046875</v>
      </c>
      <c r="V5" s="158">
        <f>AVERAGE(Table15[Likes])</f>
        <v>184.28571428571428</v>
      </c>
      <c r="W5" s="158">
        <f>AVERAGE(Table16[Likes])</f>
        <v>1191.9333333333334</v>
      </c>
      <c r="X5" s="158">
        <f>AVERAGE(Table17[Likes])</f>
        <v>541.62458471760795</v>
      </c>
      <c r="Y5" s="158">
        <f>AVERAGE(Table18[Likes])</f>
        <v>3633.3587570621471</v>
      </c>
      <c r="Z5" s="158">
        <f>AVERAGE(Table19[Likes])</f>
        <v>564.96799999999996</v>
      </c>
      <c r="AA5" s="158">
        <f>AVERAGE(Table20[Likes])</f>
        <v>266.32679738562092</v>
      </c>
    </row>
    <row r="6" spans="1:27" x14ac:dyDescent="0.25">
      <c r="A6" s="14" t="s">
        <v>9460</v>
      </c>
      <c r="B6" s="14">
        <f>MIN(Table1[Likes],Table2[Likes],Table3[Likes],Table4[Likes],Table5[Likes],Table6[Likes],Table7[Likes],Table8[Likes],Table9[Likes],Table10[Likes],Table11[Likes],Table12[Likes],Table13[Likes],Table14[Likes],Table15[Likes],Table16[Likes],Table17[Likes],Table18[Likes],Table19[Likes],Table20[Likes])</f>
        <v>0</v>
      </c>
      <c r="C6" s="158">
        <f t="shared" si="0"/>
        <v>66.45</v>
      </c>
      <c r="D6" s="14">
        <f>MIN(Table1[Likes],Table3[Likes],Table5[Likes],Table7[Likes],Table10[Likes],Table12[Likes],Table14[Likes],Table15[Likes],Table17[Likes],Table20[Likes])</f>
        <v>0</v>
      </c>
      <c r="E6" s="14">
        <f>MIN(Table2[Likes],Table4[Likes],Table6[Likes],Table8[Likes],Table9[Likes],Table11[Likes],Table13[Likes],Table16[Likes],Table18[Likes],Table19[Likes])</f>
        <v>2</v>
      </c>
      <c r="F6" s="158"/>
      <c r="G6" s="158"/>
      <c r="H6" s="14">
        <f>MIN(Table1[Likes])</f>
        <v>59</v>
      </c>
      <c r="I6" s="14">
        <f>MIN(Table2[Likes])</f>
        <v>132</v>
      </c>
      <c r="J6" s="14">
        <f>MIN(Table3[Likes])</f>
        <v>2</v>
      </c>
      <c r="K6" s="14">
        <f>MIN(Table4[Likes])</f>
        <v>10</v>
      </c>
      <c r="L6" s="14">
        <f>MIN(Table5[Likes])</f>
        <v>17</v>
      </c>
      <c r="M6" s="14">
        <f>MIN(Table6[Likes])</f>
        <v>80</v>
      </c>
      <c r="N6" s="14">
        <f>MIN(Table7[Likes])</f>
        <v>10</v>
      </c>
      <c r="O6" s="14">
        <f>MIN(Table8[Likes])</f>
        <v>155</v>
      </c>
      <c r="P6" s="14">
        <f>MIN(Table9[Likes])</f>
        <v>50</v>
      </c>
      <c r="Q6" s="14">
        <f>MIN(Table10[Likes])</f>
        <v>545</v>
      </c>
      <c r="R6" s="14">
        <f>MIN(Table11[Likes])</f>
        <v>4</v>
      </c>
      <c r="S6" s="14">
        <f>MIN(Table12[Likes])</f>
        <v>2</v>
      </c>
      <c r="T6" s="14">
        <f>MIN(Table13[Likes])</f>
        <v>2</v>
      </c>
      <c r="U6" s="14">
        <f>MIN(Table14[Likes])</f>
        <v>1</v>
      </c>
      <c r="V6" s="14">
        <f>MIN(Table15[Likes])</f>
        <v>14</v>
      </c>
      <c r="W6" s="14">
        <f>MIN(Table16[Likes])</f>
        <v>209</v>
      </c>
      <c r="X6" s="14">
        <f>MIN(Table17[Likes])</f>
        <v>9</v>
      </c>
      <c r="Y6" s="14">
        <f>MIN(Table18[Likes])</f>
        <v>21</v>
      </c>
      <c r="Z6" s="14">
        <f>MIN(Table19[Likes])</f>
        <v>7</v>
      </c>
      <c r="AA6" s="14">
        <f>MIN(Table20[Likes])</f>
        <v>0</v>
      </c>
    </row>
    <row r="7" spans="1:27" x14ac:dyDescent="0.25">
      <c r="A7" s="14" t="s">
        <v>9461</v>
      </c>
      <c r="B7" s="14">
        <v>61</v>
      </c>
      <c r="C7" s="158">
        <f t="shared" si="0"/>
        <v>323.875</v>
      </c>
      <c r="D7" s="14"/>
      <c r="E7" s="14"/>
      <c r="F7" s="158"/>
      <c r="G7" s="158"/>
      <c r="H7" s="14">
        <f>QUARTILE(Table1[Likes],1)</f>
        <v>153</v>
      </c>
      <c r="I7" s="14">
        <f>QUARTILE(Table2[Likes],1)</f>
        <v>782.25</v>
      </c>
      <c r="J7" s="14">
        <f>QUARTILE(Table3[Likes],1)</f>
        <v>15</v>
      </c>
      <c r="K7" s="14">
        <f>QUARTILE(Table4[Likes],1)</f>
        <v>674</v>
      </c>
      <c r="L7" s="14">
        <f>QUARTILE(Table5[Likes],1)</f>
        <v>75</v>
      </c>
      <c r="M7" s="14">
        <f>QUARTILE(Table6[Likes],1)</f>
        <v>443</v>
      </c>
      <c r="N7" s="14">
        <f>QUARTILE(Table7[Likes],1)</f>
        <v>23</v>
      </c>
      <c r="O7" s="14">
        <f>QUARTILE(Table8[Likes],1)</f>
        <v>546</v>
      </c>
      <c r="P7" s="14">
        <f>QUARTILE(Table9[Likes],1)</f>
        <v>180</v>
      </c>
      <c r="Q7" s="14">
        <f>QUARTILE(Table10[Likes],1)</f>
        <v>1583.5</v>
      </c>
      <c r="R7" s="14">
        <f>QUARTILE(Table11[Likes],1)</f>
        <v>61</v>
      </c>
      <c r="S7" s="14">
        <f>QUARTILE(Table12[Likes],1)</f>
        <v>80.25</v>
      </c>
      <c r="T7" s="14">
        <f>QUARTILE(Table13[Likes],1)</f>
        <v>17</v>
      </c>
      <c r="U7" s="14">
        <f>QUARTILE(Table14[Likes],1)</f>
        <v>12</v>
      </c>
      <c r="V7" s="14">
        <f>QUARTILE(Table15[Likes],1)</f>
        <v>58.25</v>
      </c>
      <c r="W7" s="14">
        <f>QUARTILE(Table16[Likes],1)</f>
        <v>578.5</v>
      </c>
      <c r="X7" s="14">
        <f>QUARTILE(Table17[Likes],1)</f>
        <v>100</v>
      </c>
      <c r="Y7" s="14">
        <f>QUARTILE(Table18[Likes],1)</f>
        <v>946.75</v>
      </c>
      <c r="Z7" s="14">
        <f>QUARTILE(Table19[Likes],1)</f>
        <v>91</v>
      </c>
      <c r="AA7" s="14">
        <f>QUARTILE(Table20[Likes],1)</f>
        <v>58</v>
      </c>
    </row>
    <row r="8" spans="1:27" x14ac:dyDescent="0.25">
      <c r="A8" s="14" t="s">
        <v>9462</v>
      </c>
      <c r="B8" s="14">
        <f>MEDIAN(Table1[Likes],Table2[Likes],Table3[Likes],Table4[Likes],Table5[Likes],Table6[Likes],Table7[Likes],Table8[Likes],Table9[Likes],Table10[Likes],Table11[Likes],Table12[Likes],Table13[Likes],Table14[Likes],Table15[Likes],Table16[Likes],Table17[Likes],Table18[Likes],Table19[Likes],Table20[Likes])</f>
        <v>234</v>
      </c>
      <c r="C8" s="158">
        <f t="shared" si="0"/>
        <v>554.625</v>
      </c>
      <c r="D8" s="14">
        <f>MEDIAN(Table1[Likes],Table3[Likes],Table5[Likes],Table7[Likes],Table10[Likes],Table12[Likes],Table14[Likes],Table15[Likes],Table17[Likes],Table20[Likes])</f>
        <v>76</v>
      </c>
      <c r="E8" s="14">
        <f>MEDIAN(Table2[Likes],Table4[Likes],Table6[Likes],Table8[Likes],Table9[Likes],Table11[Likes],Table13[Likes],Table16[Likes],Table18[Likes],Table19[Likes])</f>
        <v>659</v>
      </c>
      <c r="F8" s="158"/>
      <c r="G8" s="158"/>
      <c r="H8" s="14">
        <f>MEDIAN(Table1[Likes])</f>
        <v>339</v>
      </c>
      <c r="I8" s="14">
        <f>MEDIAN(Table2[Likes])</f>
        <v>1321.5</v>
      </c>
      <c r="J8" s="14">
        <f>MEDIAN(Table3[Likes])</f>
        <v>24.5</v>
      </c>
      <c r="K8" s="14">
        <f>MEDIAN(Table4[Likes])</f>
        <v>1519</v>
      </c>
      <c r="L8" s="14">
        <f>MEDIAN(Table5[Likes])</f>
        <v>124.5</v>
      </c>
      <c r="M8" s="14">
        <f>MEDIAN(Table6[Likes])</f>
        <v>760.5</v>
      </c>
      <c r="N8" s="14">
        <f>MEDIAN(Table7[Likes])</f>
        <v>32</v>
      </c>
      <c r="O8" s="14">
        <f>MEDIAN(Table8[Likes])</f>
        <v>816</v>
      </c>
      <c r="P8" s="14">
        <f>MEDIAN(Table9[Likes])</f>
        <v>307</v>
      </c>
      <c r="Q8" s="14">
        <f>MEDIAN(Table10[Likes])</f>
        <v>2424</v>
      </c>
      <c r="R8" s="14">
        <f>MEDIAN(Table11[Likes])</f>
        <v>111</v>
      </c>
      <c r="S8" s="14">
        <f>MEDIAN(Table12[Likes])</f>
        <v>133</v>
      </c>
      <c r="T8" s="14">
        <f>MEDIAN(Table13[Likes])</f>
        <v>30</v>
      </c>
      <c r="U8" s="14">
        <f>MEDIAN(Table14[Likes])</f>
        <v>18</v>
      </c>
      <c r="V8" s="14">
        <f>MEDIAN(Table15[Likes])</f>
        <v>81.5</v>
      </c>
      <c r="W8" s="14">
        <f>MEDIAN(Table16[Likes])</f>
        <v>810</v>
      </c>
      <c r="X8" s="14">
        <f>MEDIAN(Table17[Likes])</f>
        <v>197</v>
      </c>
      <c r="Y8" s="14">
        <f>MEDIAN(Table18[Likes])</f>
        <v>1786</v>
      </c>
      <c r="Z8" s="14">
        <f>MEDIAN(Table19[Likes])</f>
        <v>156</v>
      </c>
      <c r="AA8" s="14">
        <f>MEDIAN(Table20[Likes])</f>
        <v>102</v>
      </c>
    </row>
    <row r="9" spans="1:27" x14ac:dyDescent="0.25">
      <c r="A9" s="14" t="s">
        <v>9463</v>
      </c>
      <c r="B9" s="14">
        <v>904</v>
      </c>
      <c r="C9" s="158">
        <f t="shared" si="0"/>
        <v>1206.75</v>
      </c>
      <c r="D9" s="14"/>
      <c r="E9" s="14"/>
      <c r="F9" s="158"/>
      <c r="G9" s="158"/>
      <c r="H9" s="14">
        <f>QUARTILE(Table1[Likes],3)</f>
        <v>1011</v>
      </c>
      <c r="I9" s="14">
        <f>QUARTILE(Table2[Likes],3)</f>
        <v>2717</v>
      </c>
      <c r="J9" s="14">
        <f>QUARTILE(Table3[Likes],3)</f>
        <v>39.5</v>
      </c>
      <c r="K9" s="14">
        <f>QUARTILE(Table4[Likes],3)</f>
        <v>4725</v>
      </c>
      <c r="L9" s="14">
        <f>QUARTILE(Table5[Likes],3)</f>
        <v>195.25</v>
      </c>
      <c r="M9" s="14">
        <f>QUARTILE(Table6[Likes],3)</f>
        <v>1747.5</v>
      </c>
      <c r="N9" s="14">
        <f>QUARTILE(Table7[Likes],3)</f>
        <v>43.25</v>
      </c>
      <c r="O9" s="14">
        <f>QUARTILE(Table8[Likes],3)</f>
        <v>1380</v>
      </c>
      <c r="P9" s="14">
        <f>QUARTILE(Table9[Likes],3)</f>
        <v>550.5</v>
      </c>
      <c r="Q9" s="14">
        <f>QUARTILE(Table10[Likes],3)</f>
        <v>5056.5</v>
      </c>
      <c r="R9" s="14">
        <f>QUARTILE(Table11[Likes],3)</f>
        <v>196</v>
      </c>
      <c r="S9" s="14">
        <f>QUARTILE(Table12[Likes],3)</f>
        <v>230.5</v>
      </c>
      <c r="T9" s="14">
        <f>QUARTILE(Table13[Likes],3)</f>
        <v>61.5</v>
      </c>
      <c r="U9" s="14">
        <f>QUARTILE(Table14[Likes],3)</f>
        <v>24</v>
      </c>
      <c r="V9" s="14">
        <f>QUARTILE(Table15[Likes],3)</f>
        <v>139</v>
      </c>
      <c r="W9" s="14">
        <f>QUARTILE(Table16[Likes],3)</f>
        <v>1049.5</v>
      </c>
      <c r="X9" s="14">
        <f>QUARTILE(Table17[Likes],3)</f>
        <v>472</v>
      </c>
      <c r="Y9" s="14">
        <f>QUARTILE(Table18[Likes],3)</f>
        <v>3933</v>
      </c>
      <c r="Z9" s="14">
        <f>QUARTILE(Table19[Likes],3)</f>
        <v>317</v>
      </c>
      <c r="AA9" s="14">
        <f>QUARTILE(Table20[Likes],3)</f>
        <v>247</v>
      </c>
    </row>
    <row r="10" spans="1:27" x14ac:dyDescent="0.25">
      <c r="A10" s="14" t="s">
        <v>9464</v>
      </c>
      <c r="B10" s="14">
        <f>MAX(Table1[Likes],Table2[Likes],Table3[Likes],Table4[Likes],Table5[Likes],Table6[Likes],Table7[Likes],Table8[Likes],Table9[Likes],Table10[Likes],Table11[Likes],Table12[Likes],Table13[Likes],Table14[Likes],Table15[Likes],Table16[Likes],Table17[Likes],Table18[Likes],Table19[Likes],Table20[Likes])</f>
        <v>164471</v>
      </c>
      <c r="C10" s="158">
        <f t="shared" si="0"/>
        <v>29846.9</v>
      </c>
      <c r="D10" s="14">
        <f>MAX(Table1[Likes],Table3[Likes],Table5[Likes],Table7[Likes],Table10[Likes],Table12[Likes],Table14[Likes],Table15[Likes],Table17[Likes],Table20[Likes])</f>
        <v>34148</v>
      </c>
      <c r="E10" s="14">
        <f>MAX(Table2[Likes],Table4[Likes],Table6[Likes],Table8[Likes],Table9[Likes],Table11[Likes],Table13[Likes],Table16[Likes],Table18[Likes],Table19[Likes])</f>
        <v>164471</v>
      </c>
      <c r="F10" s="158"/>
      <c r="G10" s="158"/>
      <c r="H10" s="14">
        <f>MAX(Table1[Likes])</f>
        <v>5289</v>
      </c>
      <c r="I10" s="14">
        <f>MAX(Table2[Likes])</f>
        <v>30354</v>
      </c>
      <c r="J10" s="14">
        <f>MAX(Table3[Likes])</f>
        <v>27990</v>
      </c>
      <c r="K10" s="14">
        <f>MAX(Table4[Likes])</f>
        <v>164471</v>
      </c>
      <c r="L10" s="14">
        <f>MAX(Table5[Likes])</f>
        <v>7139</v>
      </c>
      <c r="M10" s="14">
        <f>MAX(Table6[Likes])</f>
        <v>126709</v>
      </c>
      <c r="N10" s="14">
        <f>MAX(Table7[Likes])</f>
        <v>480</v>
      </c>
      <c r="O10" s="14">
        <f>MAX(Table8[Likes])</f>
        <v>26460</v>
      </c>
      <c r="P10" s="14">
        <f>MAX(Table9[Likes])</f>
        <v>13257</v>
      </c>
      <c r="Q10" s="14">
        <f>MAX(Table10[Likes])</f>
        <v>34148</v>
      </c>
      <c r="R10" s="14">
        <f>MAX(Table11[Likes])</f>
        <v>6297</v>
      </c>
      <c r="S10" s="14">
        <f>MAX(Table12[Likes])</f>
        <v>6486</v>
      </c>
      <c r="T10" s="14">
        <f>MAX(Table13[Likes])</f>
        <v>462</v>
      </c>
      <c r="U10" s="14">
        <f>MAX(Table14[Likes])</f>
        <v>1427</v>
      </c>
      <c r="V10" s="14">
        <f>MAX(Table15[Likes])</f>
        <v>2305</v>
      </c>
      <c r="W10" s="14">
        <f>MAX(Table16[Likes])</f>
        <v>18241</v>
      </c>
      <c r="X10" s="14">
        <f>MAX(Table17[Likes])</f>
        <v>23387</v>
      </c>
      <c r="Y10" s="14">
        <f>MAX(Table18[Likes])</f>
        <v>81579</v>
      </c>
      <c r="Z10" s="14">
        <f>MAX(Table19[Likes])</f>
        <v>16704</v>
      </c>
      <c r="AA10" s="14">
        <f>MAX(Table20[Likes])</f>
        <v>3753</v>
      </c>
    </row>
    <row r="11" spans="1:27" x14ac:dyDescent="0.25">
      <c r="A11" s="14" t="s">
        <v>9465</v>
      </c>
      <c r="B11" s="21">
        <f>SUM(Table1[Likes],Table2[Likes],Table3[Likes],Table4[Likes],Table5[Likes],Table6[Likes],Table7[Likes],Table8[Likes],Table9[Likes],Table10[Likes],Table11[Likes],Table12[Likes],Table13[Likes],Table14[Likes],Table15[Likes],Table16[Likes],Table17[Likes],Table18[Likes],Table19[Likes],Table20[Likes])</f>
        <v>5786051</v>
      </c>
      <c r="C11" s="21">
        <f t="shared" si="0"/>
        <v>289302.55</v>
      </c>
      <c r="D11" s="21">
        <f>SUM(Table1[Likes],Table3[Likes],Table5[Likes],Table7[Likes],Table10[Likes],Table12[Likes],Table14[Likes],Table15[Likes],Table17[Likes],Table20[Likes])</f>
        <v>735556</v>
      </c>
      <c r="E11" s="21">
        <f>SUM(Table2[Likes],Table4[Likes],Table6[Likes],Table8[Likes],Table9[Likes],Table11[Likes],Table13[Likes],Table16[Likes],Table18[Likes],Table19[Likes])</f>
        <v>5050495</v>
      </c>
      <c r="F11" s="21"/>
      <c r="G11" s="21"/>
      <c r="H11" s="21">
        <f>SUM(Table1[Likes])</f>
        <v>73072</v>
      </c>
      <c r="I11" s="21">
        <f>SUM(Table2[Likes])</f>
        <v>649843</v>
      </c>
      <c r="J11" s="21">
        <f>SUM(Table3[Likes])</f>
        <v>39313</v>
      </c>
      <c r="K11" s="21">
        <f>SUM(Table4[Likes])</f>
        <v>1349506</v>
      </c>
      <c r="L11" s="21">
        <f>SUM(Table5[Likes])</f>
        <v>47879</v>
      </c>
      <c r="M11" s="21">
        <f>SUM(Table6[Likes])</f>
        <v>717508</v>
      </c>
      <c r="N11" s="21">
        <f>SUM(Table7[Likes])</f>
        <v>9839</v>
      </c>
      <c r="O11" s="21">
        <f>SUM(Table8[Likes])</f>
        <v>584742</v>
      </c>
      <c r="P11" s="21">
        <f>SUM(Table9[Likes])</f>
        <v>151770</v>
      </c>
      <c r="Q11" s="21">
        <f>SUM(Table10[Likes])</f>
        <v>254095</v>
      </c>
      <c r="R11" s="21">
        <f>SUM(Table11[Likes])</f>
        <v>70841</v>
      </c>
      <c r="S11" s="21">
        <f>SUM(Table12[Likes])</f>
        <v>67454</v>
      </c>
      <c r="T11" s="21">
        <f>SUM(Table13[Likes])</f>
        <v>8544</v>
      </c>
      <c r="U11" s="21">
        <f>SUM(Table14[Likes])</f>
        <v>6587</v>
      </c>
      <c r="V11" s="21">
        <f>SUM(Table15[Likes])</f>
        <v>33540</v>
      </c>
      <c r="W11" s="21">
        <f>SUM(Table16[Likes])</f>
        <v>160911</v>
      </c>
      <c r="X11" s="21">
        <f>SUM(Table17[Likes])</f>
        <v>163029</v>
      </c>
      <c r="Y11" s="21">
        <f>SUM(Table18[Likes])</f>
        <v>1286209</v>
      </c>
      <c r="Z11" s="21">
        <f>SUM(Table19[Likes])</f>
        <v>70621</v>
      </c>
      <c r="AA11" s="21">
        <f>SUM(Table20[Likes])</f>
        <v>40748</v>
      </c>
    </row>
    <row r="12" spans="1:27" x14ac:dyDescent="0.25">
      <c r="A12" s="14"/>
      <c r="B12" s="14"/>
      <c r="C12" s="158"/>
      <c r="D12" s="158"/>
      <c r="E12" s="158"/>
      <c r="F12" s="158"/>
      <c r="G12" s="158"/>
      <c r="H12" s="14"/>
      <c r="I12" s="14"/>
      <c r="J12" s="14"/>
      <c r="K12" s="14"/>
      <c r="L12" s="14"/>
      <c r="M12" s="14"/>
      <c r="N12" s="14"/>
      <c r="O12" s="14"/>
      <c r="P12" s="14"/>
      <c r="Q12" s="14"/>
      <c r="R12" s="14"/>
      <c r="S12" s="14"/>
      <c r="T12" s="14"/>
      <c r="U12" s="14"/>
      <c r="V12" s="14"/>
      <c r="W12" s="14"/>
      <c r="X12" s="14"/>
      <c r="Y12" s="14"/>
      <c r="Z12" s="14"/>
      <c r="AA12" s="14"/>
    </row>
    <row r="13" spans="1:27" x14ac:dyDescent="0.25">
      <c r="A13" s="35" t="s">
        <v>9466</v>
      </c>
      <c r="B13" s="158">
        <f>AVERAGE(Table1[Retweets],Table2[Retweets],Table3[Retweets],Table4[Retweets],Table5[Retweets],Table6[Retweets],Table7[Retweets],Table8[Retweets],Table9[Retweets],Table10[Retweets],Table11[Retweets],Table12[Retweets],Table13[Retweets],Table14[Retweets],Table15[Retweets],Table16[Retweets],Table17[Retweets],Table18[Retweets],Table19[Retweets],Table20[Retweets])</f>
        <v>331.16092981671881</v>
      </c>
      <c r="C13" s="158">
        <f t="shared" ref="C13:C19" si="1">AVERAGE(H13:AA13)</f>
        <v>344.21276706972014</v>
      </c>
      <c r="D13" s="158">
        <f>AVERAGE(Table1[Retweets],Table3[Retweets],Table5[Retweets],Table7[Retweets],Table10[Retweets],Table12[Retweets],Table14[Retweets],Table15[Retweets],Table17[Retweets],Table20[Retweets])</f>
        <v>107.6579476861167</v>
      </c>
      <c r="E13" s="158">
        <f>AVERAGE(Table2[Retweets],Table4[Retweets],Table6[Retweets],Table8[Retweets],Table9[Retweets],Table11[Retweets],Table13[Retweets],Table16[Retweets],Table18[Retweets],Table19[Retweets])</f>
        <v>509.89139179404668</v>
      </c>
      <c r="F13" s="158"/>
      <c r="G13" s="158"/>
      <c r="H13" s="158">
        <f>AVERAGE(Table1[Retweets])</f>
        <v>184.3294117647059</v>
      </c>
      <c r="I13" s="158">
        <f>AVERAGE(Table2[Retweets])</f>
        <v>609.04310344827582</v>
      </c>
      <c r="J13" s="158">
        <f>AVERAGE(Table3[Retweets])</f>
        <v>52.922680412371136</v>
      </c>
      <c r="K13" s="158">
        <f>AVERAGE(Table4[Retweets])</f>
        <v>1219.9568627450981</v>
      </c>
      <c r="L13" s="158">
        <f>AVERAGE(Table5[Retweets])</f>
        <v>48.254545454545458</v>
      </c>
      <c r="M13" s="158">
        <f>AVERAGE(Table6[Retweets])</f>
        <v>776.1351351351351</v>
      </c>
      <c r="N13" s="158">
        <f>AVERAGE(Table7[Retweets])</f>
        <v>7.50390625</v>
      </c>
      <c r="O13" s="158">
        <f>AVERAGE(Table8[Retweets])</f>
        <v>423.94402035623409</v>
      </c>
      <c r="P13" s="158">
        <f>AVERAGE(Table9[Retweets])</f>
        <v>182.88429752066116</v>
      </c>
      <c r="Q13" s="158">
        <f>AVERAGE(Table10[Retweets])</f>
        <v>1483.4181818181819</v>
      </c>
      <c r="R13" s="158">
        <f>AVERAGE(Table11[Retweets])</f>
        <v>36.708215297450423</v>
      </c>
      <c r="S13" s="158">
        <f>AVERAGE(Table12[Retweets])</f>
        <v>70.3041958041958</v>
      </c>
      <c r="T13" s="158">
        <f>AVERAGE(Table13[Retweets])</f>
        <v>12.674285714285714</v>
      </c>
      <c r="U13" s="158">
        <f>AVERAGE(Table14[Retweets])</f>
        <v>9.69921875</v>
      </c>
      <c r="V13" s="158">
        <f>AVERAGE(Table15[Retweets])</f>
        <v>56.329670329670328</v>
      </c>
      <c r="W13" s="158">
        <f>AVERAGE(Table16[Retweets])</f>
        <v>312.72592592592594</v>
      </c>
      <c r="X13" s="158">
        <f>AVERAGE(Table17[Retweets])</f>
        <v>161.14950166112956</v>
      </c>
      <c r="Y13" s="158">
        <f>AVERAGE(Table18[Retweets])</f>
        <v>1006.1666666666666</v>
      </c>
      <c r="Z13" s="158">
        <f>AVERAGE(Table19[Retweets])</f>
        <v>147.648</v>
      </c>
      <c r="AA13" s="158">
        <f>AVERAGE(Table20[Retweets])</f>
        <v>82.457516339869287</v>
      </c>
    </row>
    <row r="14" spans="1:27" x14ac:dyDescent="0.25">
      <c r="A14" s="35" t="s">
        <v>9467</v>
      </c>
      <c r="B14" s="14">
        <f>MIN(Table1[Retweets],Table2[Retweets],Table3[Retweets],Table4[Retweets],Table5[Retweets],Table6[Retweets],Table7[Retweets],Table8[Retweets],Table9[Retweets],Table10[Retweets],Table11[Retweets],Table12[Retweets],Table13[Retweets],Table14[Retweets],Table15[Retweets],Table16[Retweets],Table17[Retweets],Table18[Retweets],Table19[Retweets],Table20[Retweets])</f>
        <v>0</v>
      </c>
      <c r="C14" s="158">
        <f t="shared" si="1"/>
        <v>15.05</v>
      </c>
      <c r="D14" s="14">
        <f>MIN(Table1[Retweets],Table3[Retweets],Table5[Retweets],Table7[Retweets],Table10[Retweets],Table12[Retweets],Table14[Retweets],Table15[Retweets],Table17[Retweets],Table20[Retweets])</f>
        <v>0</v>
      </c>
      <c r="E14" s="14">
        <f>MIN(Table2[Retweets],Table4[Retweets],Table6[Retweets],Table8[Retweets],Table9[Retweets],Table11[Retweets],Table13[Retweets],Table16[Retweets],Table18[Retweets],Table19[Retweets])</f>
        <v>0</v>
      </c>
      <c r="F14" s="158"/>
      <c r="G14" s="158"/>
      <c r="H14" s="14">
        <f>MIN(Table1[Retweets])</f>
        <v>23</v>
      </c>
      <c r="I14" s="14">
        <f>MIN(Table2[Retweets])</f>
        <v>35</v>
      </c>
      <c r="J14" s="14">
        <f>MIN(Table3[Retweets])</f>
        <v>1</v>
      </c>
      <c r="K14" s="14">
        <f>MIN(Table4[Retweets])</f>
        <v>0</v>
      </c>
      <c r="L14" s="14">
        <f>MIN(Table5[Retweets])</f>
        <v>5</v>
      </c>
      <c r="M14" s="14">
        <f>MIN(Table6[Retweets])</f>
        <v>44</v>
      </c>
      <c r="N14" s="14">
        <f>MIN(Table7[Retweets])</f>
        <v>0</v>
      </c>
      <c r="O14" s="14">
        <f>MIN(Table8[Retweets])</f>
        <v>32</v>
      </c>
      <c r="P14" s="14">
        <f>MIN(Table9[Retweets])</f>
        <v>16</v>
      </c>
      <c r="Q14" s="14">
        <f>MIN(Table10[Retweets])</f>
        <v>79</v>
      </c>
      <c r="R14" s="14">
        <f>MIN(Table11[Retweets])</f>
        <v>0</v>
      </c>
      <c r="S14" s="14">
        <f>MIN(Table12[Retweets])</f>
        <v>0</v>
      </c>
      <c r="T14" s="14">
        <f>MIN(Table13[Retweets])</f>
        <v>0</v>
      </c>
      <c r="U14" s="14">
        <f>MIN(Table14[Retweets])</f>
        <v>0</v>
      </c>
      <c r="V14" s="14">
        <f>MIN(Table15[Retweets])</f>
        <v>4</v>
      </c>
      <c r="W14" s="14">
        <f>MIN(Table16[Retweets])</f>
        <v>47</v>
      </c>
      <c r="X14" s="14">
        <f>MIN(Table17[Retweets])</f>
        <v>2</v>
      </c>
      <c r="Y14" s="14">
        <f>MIN(Table18[Retweets])</f>
        <v>12</v>
      </c>
      <c r="Z14" s="14">
        <f>MIN(Table19[Retweets])</f>
        <v>1</v>
      </c>
      <c r="AA14" s="14">
        <f>MIN(Table20[Retweets])</f>
        <v>0</v>
      </c>
    </row>
    <row r="15" spans="1:27" x14ac:dyDescent="0.25">
      <c r="A15" s="35" t="s">
        <v>9468</v>
      </c>
      <c r="B15" s="14">
        <v>18</v>
      </c>
      <c r="C15" s="158">
        <f t="shared" si="1"/>
        <v>90.625</v>
      </c>
      <c r="D15" s="14"/>
      <c r="E15" s="14"/>
      <c r="F15" s="158"/>
      <c r="G15" s="158"/>
      <c r="H15" s="14">
        <f>QUARTILE(Table1[Retweets],1)</f>
        <v>50</v>
      </c>
      <c r="I15" s="14">
        <f>QUARTILE(Table2[Retweets],1)</f>
        <v>199.75</v>
      </c>
      <c r="J15" s="14">
        <f>QUARTILE(Table3[Retweets],1)</f>
        <v>6.25</v>
      </c>
      <c r="K15" s="14">
        <f>QUARTILE(Table4[Retweets],1)</f>
        <v>221</v>
      </c>
      <c r="L15" s="14">
        <f>QUARTILE(Table5[Retweets],1)</f>
        <v>21</v>
      </c>
      <c r="M15" s="14">
        <f>QUARTILE(Table6[Retweets],1)</f>
        <v>147</v>
      </c>
      <c r="N15" s="14">
        <f>QUARTILE(Table7[Retweets],1)</f>
        <v>3</v>
      </c>
      <c r="O15" s="14">
        <f>QUARTILE(Table8[Retweets],1)</f>
        <v>138</v>
      </c>
      <c r="P15" s="14">
        <f>QUARTILE(Table9[Retweets],1)</f>
        <v>65.25</v>
      </c>
      <c r="Q15" s="14">
        <f>QUARTILE(Table10[Retweets],1)</f>
        <v>424.5</v>
      </c>
      <c r="R15" s="14">
        <f>QUARTILE(Table11[Retweets],1)</f>
        <v>14</v>
      </c>
      <c r="S15" s="14">
        <f>QUARTILE(Table12[Retweets],1)</f>
        <v>24.25</v>
      </c>
      <c r="T15" s="14">
        <f>QUARTILE(Table13[Retweets],1)</f>
        <v>4</v>
      </c>
      <c r="U15" s="14">
        <f>QUARTILE(Table14[Retweets],1)</f>
        <v>5</v>
      </c>
      <c r="V15" s="14">
        <f>QUARTILE(Table15[Retweets],1)</f>
        <v>21</v>
      </c>
      <c r="W15" s="14">
        <f>QUARTILE(Table16[Retweets],1)</f>
        <v>149</v>
      </c>
      <c r="X15" s="14">
        <f>QUARTILE(Table17[Retweets],1)</f>
        <v>24</v>
      </c>
      <c r="Y15" s="14">
        <f>QUARTILE(Table18[Retweets],1)</f>
        <v>253.5</v>
      </c>
      <c r="Z15" s="14">
        <f>QUARTILE(Table19[Retweets],1)</f>
        <v>20</v>
      </c>
      <c r="AA15" s="14">
        <f>QUARTILE(Table20[Retweets],1)</f>
        <v>22</v>
      </c>
    </row>
    <row r="16" spans="1:27" x14ac:dyDescent="0.25">
      <c r="A16" s="35" t="s">
        <v>9469</v>
      </c>
      <c r="B16" s="14">
        <f>MEDIAN(Table1[Retweets],Table2[Retweets],Table3[Retweets],Table4[Retweets],Table5[Retweets],Table6[Retweets],Table7[Retweets],Table8[Retweets],Table9[Retweets],Table10[Retweets],Table11[Retweets],Table12[Retweets],Table13[Retweets],Table14[Retweets],Table15[Retweets],Table16[Retweets],Table17[Retweets],Table18[Retweets],Table19[Retweets],Table20[Retweets])</f>
        <v>67.5</v>
      </c>
      <c r="C16" s="158">
        <f t="shared" si="1"/>
        <v>156.94999999999999</v>
      </c>
      <c r="D16" s="14">
        <f>MEDIAN(Table1[Retweets],Table3[Retweets],Table5[Retweets],Table7[Retweets],Table10[Retweets],Table12[Retweets],Table14[Retweets],Table15[Retweets],Table17[Retweets],Table20[Retweets])</f>
        <v>24</v>
      </c>
      <c r="E16" s="14">
        <f>MEDIAN(Table2[Retweets],Table4[Retweets],Table6[Retweets],Table8[Retweets],Table9[Retweets],Table11[Retweets],Table13[Retweets],Table16[Retweets],Table18[Retweets],Table19[Retweets])</f>
        <v>176</v>
      </c>
      <c r="F16" s="158"/>
      <c r="G16" s="158"/>
      <c r="H16" s="14">
        <f>MEDIAN(Table1[Retweets])</f>
        <v>95</v>
      </c>
      <c r="I16" s="14">
        <f>MEDIAN(Table2[Retweets])</f>
        <v>306</v>
      </c>
      <c r="J16" s="14">
        <f>MEDIAN(Table3[Retweets])</f>
        <v>10</v>
      </c>
      <c r="K16" s="14">
        <f>MEDIAN(Table4[Retweets])</f>
        <v>433</v>
      </c>
      <c r="L16" s="14">
        <f>MEDIAN(Table5[Retweets])</f>
        <v>30</v>
      </c>
      <c r="M16" s="14">
        <f>MEDIAN(Table6[Retweets])</f>
        <v>227.5</v>
      </c>
      <c r="N16" s="14">
        <f>MEDIAN(Table7[Retweets])</f>
        <v>6</v>
      </c>
      <c r="O16" s="14">
        <f>MEDIAN(Table8[Retweets])</f>
        <v>206</v>
      </c>
      <c r="P16" s="14">
        <f>MEDIAN(Table9[Retweets])</f>
        <v>102</v>
      </c>
      <c r="Q16" s="14">
        <f>MEDIAN(Table10[Retweets])</f>
        <v>796</v>
      </c>
      <c r="R16" s="14">
        <f>MEDIAN(Table11[Retweets])</f>
        <v>21</v>
      </c>
      <c r="S16" s="14">
        <f>MEDIAN(Table12[Retweets])</f>
        <v>44.5</v>
      </c>
      <c r="T16" s="14">
        <f>MEDIAN(Table13[Retweets])</f>
        <v>9</v>
      </c>
      <c r="U16" s="14">
        <f>MEDIAN(Table14[Retweets])</f>
        <v>7</v>
      </c>
      <c r="V16" s="14">
        <f>MEDIAN(Table15[Retweets])</f>
        <v>34</v>
      </c>
      <c r="W16" s="14">
        <f>MEDIAN(Table16[Retweets])</f>
        <v>211</v>
      </c>
      <c r="X16" s="14">
        <f>MEDIAN(Table17[Retweets])</f>
        <v>55</v>
      </c>
      <c r="Y16" s="14">
        <f>MEDIAN(Table18[Retweets])</f>
        <v>457</v>
      </c>
      <c r="Z16" s="14">
        <f>MEDIAN(Table19[Retweets])</f>
        <v>46</v>
      </c>
      <c r="AA16" s="14">
        <f>MEDIAN(Table20[Retweets])</f>
        <v>43</v>
      </c>
    </row>
    <row r="17" spans="1:27" x14ac:dyDescent="0.25">
      <c r="A17" s="35" t="s">
        <v>9470</v>
      </c>
      <c r="B17" s="14">
        <v>247</v>
      </c>
      <c r="C17" s="158">
        <f t="shared" si="1"/>
        <v>334.38749999999999</v>
      </c>
      <c r="D17" s="14"/>
      <c r="E17" s="14"/>
      <c r="F17" s="158"/>
      <c r="G17" s="158"/>
      <c r="H17" s="14">
        <f>QUARTILE(Table1[Retweets],3)</f>
        <v>235</v>
      </c>
      <c r="I17" s="14">
        <f>QUARTILE(Table2[Retweets],3)</f>
        <v>610.25</v>
      </c>
      <c r="J17" s="14">
        <f>QUARTILE(Table3[Retweets],3)</f>
        <v>15</v>
      </c>
      <c r="K17" s="14">
        <f>QUARTILE(Table4[Retweets],3)</f>
        <v>1001.5</v>
      </c>
      <c r="L17" s="14">
        <f>QUARTILE(Table5[Retweets],3)</f>
        <v>47</v>
      </c>
      <c r="M17" s="14">
        <f>QUARTILE(Table6[Retweets],3)</f>
        <v>486</v>
      </c>
      <c r="N17" s="14">
        <f>QUARTILE(Table7[Retweets],3)</f>
        <v>8</v>
      </c>
      <c r="O17" s="14">
        <f>QUARTILE(Table8[Retweets],3)</f>
        <v>388</v>
      </c>
      <c r="P17" s="14">
        <f>QUARTILE(Table9[Retweets],3)</f>
        <v>167.75</v>
      </c>
      <c r="Q17" s="14">
        <f>QUARTILE(Table10[Retweets],3)</f>
        <v>1862.5</v>
      </c>
      <c r="R17" s="14">
        <f>QUARTILE(Table11[Retweets],3)</f>
        <v>37</v>
      </c>
      <c r="S17" s="14">
        <f>QUARTILE(Table12[Retweets],3)</f>
        <v>71</v>
      </c>
      <c r="T17" s="14">
        <f>QUARTILE(Table13[Retweets],3)</f>
        <v>17</v>
      </c>
      <c r="U17" s="14">
        <f>QUARTILE(Table14[Retweets],3)</f>
        <v>12</v>
      </c>
      <c r="V17" s="14">
        <f>QUARTILE(Table15[Retweets],3)</f>
        <v>52.75</v>
      </c>
      <c r="W17" s="14">
        <f>QUARTILE(Table16[Retweets],3)</f>
        <v>316.5</v>
      </c>
      <c r="X17" s="14">
        <f>QUARTILE(Table17[Retweets],3)</f>
        <v>132</v>
      </c>
      <c r="Y17" s="14">
        <f>QUARTILE(Table18[Retweets],3)</f>
        <v>1048.5</v>
      </c>
      <c r="Z17" s="14">
        <f>QUARTILE(Table19[Retweets],3)</f>
        <v>93</v>
      </c>
      <c r="AA17" s="14">
        <f>QUARTILE(Table20[Retweets],3)</f>
        <v>87</v>
      </c>
    </row>
    <row r="18" spans="1:27" x14ac:dyDescent="0.25">
      <c r="A18" s="35" t="s">
        <v>9471</v>
      </c>
      <c r="B18" s="14">
        <f>MAX(Table1[Retweets],Table2[Retweets],Table3[Retweets],Table4[Retweets],Table5[Retweets],Table6[Retweets],Table7[Retweets],Table8[Retweets],Table9[Retweets],Table10[Retweets],Table11[Retweets],Table12[Retweets],Table13[Retweets],Table14[Retweets],Table15[Retweets],Table16[Retweets],Table17[Retweets],Table18[Retweets],Table19[Retweets],Table20[Retweets])</f>
        <v>31810</v>
      </c>
      <c r="C18" s="158">
        <f t="shared" si="1"/>
        <v>6312.75</v>
      </c>
      <c r="D18" s="14">
        <f>MAX(Table1[Retweets],Table3[Retweets],Table5[Retweets],Table7[Retweets],Table10[Retweets],Table12[Retweets],Table14[Retweets],Table15[Retweets],Table17[Retweets],Table20[Retweets])</f>
        <v>14992</v>
      </c>
      <c r="E18" s="14">
        <f>MAX(Table2[Retweets],Table4[Retweets],Table6[Retweets],Table8[Retweets],Table9[Retweets],Table11[Retweets],Table13[Retweets],Table16[Retweets],Table18[Retweets],Table19[Retweets])</f>
        <v>31810</v>
      </c>
      <c r="F18" s="158"/>
      <c r="G18" s="158"/>
      <c r="H18" s="14">
        <f>MAX(Table1[Retweets])</f>
        <v>1020</v>
      </c>
      <c r="I18" s="14">
        <f>MAX(Table2[Retweets])</f>
        <v>6556</v>
      </c>
      <c r="J18" s="14">
        <f>MAX(Table3[Retweets])</f>
        <v>6768</v>
      </c>
      <c r="K18" s="14">
        <f>MAX(Table4[Retweets])</f>
        <v>31810</v>
      </c>
      <c r="L18" s="14">
        <f>MAX(Table5[Retweets])</f>
        <v>864</v>
      </c>
      <c r="M18" s="14">
        <f>MAX(Table6[Retweets])</f>
        <v>18528</v>
      </c>
      <c r="N18" s="14">
        <f>MAX(Table7[Retweets])</f>
        <v>92</v>
      </c>
      <c r="O18" s="14">
        <f>MAX(Table8[Retweets])</f>
        <v>10713</v>
      </c>
      <c r="P18" s="14">
        <f>MAX(Table9[Retweets])</f>
        <v>3227</v>
      </c>
      <c r="Q18" s="14">
        <f>MAX(Table10[Retweets])</f>
        <v>14992</v>
      </c>
      <c r="R18" s="14">
        <f>MAX(Table11[Retweets])</f>
        <v>743</v>
      </c>
      <c r="S18" s="14">
        <f>MAX(Table12[Retweets])</f>
        <v>1131</v>
      </c>
      <c r="T18" s="14">
        <f>MAX(Table13[Retweets])</f>
        <v>100</v>
      </c>
      <c r="U18" s="14">
        <f>MAX(Table14[Retweets])</f>
        <v>198</v>
      </c>
      <c r="V18" s="14">
        <f>MAX(Table15[Retweets])</f>
        <v>754</v>
      </c>
      <c r="W18" s="14">
        <f>MAX(Table16[Retweets])</f>
        <v>3282</v>
      </c>
      <c r="X18" s="14">
        <f>MAX(Table17[Retweets])</f>
        <v>7479</v>
      </c>
      <c r="Y18" s="14">
        <f>MAX(Table18[Retweets])</f>
        <v>13792</v>
      </c>
      <c r="Z18" s="14">
        <f>MAX(Table19[Retweets])</f>
        <v>3157</v>
      </c>
      <c r="AA18" s="14">
        <f>MAX(Table20[Retweets])</f>
        <v>1049</v>
      </c>
    </row>
    <row r="19" spans="1:27" x14ac:dyDescent="0.25">
      <c r="A19" s="35" t="s">
        <v>9472</v>
      </c>
      <c r="B19" s="21">
        <f>SUM(Table1[Likes],Table2[Likes],Table3[Likes],Table4[Likes],Table5[Likes],Table6[Likes],Table7[Likes],Table8[Likes],Table9[Likes],Table10[Likes],Table11[Likes],Table12[Likes],Table13[Likes],Table14[Likes],Table15[Likes],Table16[Likes],Table17[Likes],Table18[Likes],Table19[Likes],Table20[Likes])</f>
        <v>5786051</v>
      </c>
      <c r="C19" s="21">
        <f t="shared" si="1"/>
        <v>74080.7</v>
      </c>
      <c r="D19" s="21">
        <f>SUM(Table1[Retweets],Table3[Retweets],Table5[Retweets],Table7[Retweets],Table10[Retweets],Table12[Retweets],Table14[Retweets],Table15[Retweets],Table17[Retweets],Table20[Retweets])</f>
        <v>214024</v>
      </c>
      <c r="E19" s="21">
        <f>SUM(Table2[Retweets],Table4[Retweets],Table6[Retweets],Table8[Retweets],Table9[Retweets],Table11[Retweets],Table13[Retweets],Table16[Retweets],Table18[Retweets],Table19[Retweets])</f>
        <v>1267590</v>
      </c>
      <c r="F19" s="21"/>
      <c r="G19" s="21"/>
      <c r="H19" s="21">
        <f>SUM(Table1[Retweets])</f>
        <v>15668</v>
      </c>
      <c r="I19" s="21">
        <f>SUM(Table2[Retweets])</f>
        <v>141298</v>
      </c>
      <c r="J19" s="21">
        <f>SUM(Table3[Retweets])</f>
        <v>10267</v>
      </c>
      <c r="K19" s="21">
        <f>SUM(Table4[Retweets])</f>
        <v>311089</v>
      </c>
      <c r="L19" s="21">
        <f>SUM(Table5[Retweets])</f>
        <v>10616</v>
      </c>
      <c r="M19" s="21">
        <f>SUM(Table6[Retweets])</f>
        <v>172302</v>
      </c>
      <c r="N19" s="21">
        <f>SUM(Table7[Retweets])</f>
        <v>1921</v>
      </c>
      <c r="O19" s="21">
        <f>SUM(Table8[Retweets])</f>
        <v>166610</v>
      </c>
      <c r="P19" s="21">
        <f>SUM(Table9[Retweets])</f>
        <v>44258</v>
      </c>
      <c r="Q19" s="21">
        <f>SUM(Table10[Retweets])</f>
        <v>81588</v>
      </c>
      <c r="R19" s="21">
        <f>SUM(Table11[Retweets])</f>
        <v>12958</v>
      </c>
      <c r="S19" s="21">
        <f>SUM(Table12[Retweets])</f>
        <v>20107</v>
      </c>
      <c r="T19" s="21">
        <f>SUM(Table13[Retweets])</f>
        <v>2218</v>
      </c>
      <c r="U19" s="21">
        <f>SUM(Table14[Retweets])</f>
        <v>2483</v>
      </c>
      <c r="V19" s="21">
        <f>SUM(Table15[Retweets])</f>
        <v>10252</v>
      </c>
      <c r="W19" s="21">
        <f>SUM(Table16[Retweets])</f>
        <v>42218</v>
      </c>
      <c r="X19" s="21">
        <f>SUM(Table17[Retweets])</f>
        <v>48506</v>
      </c>
      <c r="Y19" s="21">
        <f>SUM(Table18[Retweets])</f>
        <v>356183</v>
      </c>
      <c r="Z19" s="21">
        <f>SUM(Table19[Retweets])</f>
        <v>18456</v>
      </c>
      <c r="AA19" s="21">
        <f>SUM(Table20[Retweets])</f>
        <v>12616</v>
      </c>
    </row>
  </sheetData>
  <mergeCells count="13">
    <mergeCell ref="T1:U1"/>
    <mergeCell ref="V1:W1"/>
    <mergeCell ref="X1:Y1"/>
    <mergeCell ref="Z1:AA1"/>
    <mergeCell ref="B1:C1"/>
    <mergeCell ref="D1:E1"/>
    <mergeCell ref="F1:G1"/>
    <mergeCell ref="H1:I1"/>
    <mergeCell ref="J1:K1"/>
    <mergeCell ref="L1:M1"/>
    <mergeCell ref="N1:O1"/>
    <mergeCell ref="P1:Q1"/>
    <mergeCell ref="R1:S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EE5E3-598F-4130-9CE2-657B4B55E050}">
  <dimension ref="A1:AD393"/>
  <sheetViews>
    <sheetView topLeftCell="E241" workbookViewId="0">
      <selection activeCell="I257" sqref="I257"/>
    </sheetView>
  </sheetViews>
  <sheetFormatPr defaultColWidth="11.42578125" defaultRowHeight="15" x14ac:dyDescent="0.25"/>
  <cols>
    <col min="2" max="2" width="37.85546875" customWidth="1"/>
    <col min="3" max="3" width="37.85546875" style="26" customWidth="1"/>
    <col min="4" max="4" width="13.28515625" customWidth="1"/>
    <col min="5" max="5" width="31.85546875" customWidth="1"/>
    <col min="6" max="7" width="21.85546875" customWidth="1"/>
    <col min="8" max="8" width="12.140625" customWidth="1"/>
    <col min="12" max="12" width="12.7109375" customWidth="1"/>
    <col min="13" max="13" width="29.28515625" customWidth="1"/>
    <col min="14" max="14" width="20" customWidth="1"/>
    <col min="15" max="15" width="16.140625" customWidth="1"/>
    <col min="16" max="16" width="15.42578125" customWidth="1"/>
    <col min="17" max="17" width="12.42578125" customWidth="1"/>
    <col min="18" max="20" width="26.42578125" customWidth="1"/>
    <col min="21" max="21" width="16.7109375" customWidth="1"/>
    <col min="23" max="23" width="15.42578125" customWidth="1"/>
    <col min="25" max="25" width="19.85546875" customWidth="1"/>
    <col min="26" max="26" width="15.7109375" customWidth="1"/>
    <col min="28" max="28" width="16" customWidth="1"/>
  </cols>
  <sheetData>
    <row r="1" spans="1:30" x14ac:dyDescent="0.25">
      <c r="A1" s="53" t="s">
        <v>0</v>
      </c>
      <c r="B1" s="52" t="s">
        <v>1</v>
      </c>
      <c r="C1" s="52" t="s">
        <v>2</v>
      </c>
      <c r="D1" s="52" t="s">
        <v>3</v>
      </c>
      <c r="E1" s="50" t="s">
        <v>4</v>
      </c>
      <c r="F1" s="52" t="s">
        <v>5</v>
      </c>
      <c r="G1" s="52" t="s">
        <v>6</v>
      </c>
      <c r="H1" s="52" t="s">
        <v>7</v>
      </c>
      <c r="I1" s="52" t="s">
        <v>8</v>
      </c>
      <c r="J1" s="52" t="s">
        <v>9</v>
      </c>
      <c r="K1" s="48" t="s">
        <v>10</v>
      </c>
      <c r="L1" s="48" t="s">
        <v>11</v>
      </c>
      <c r="M1" s="48" t="s">
        <v>12</v>
      </c>
      <c r="N1" s="48" t="s">
        <v>13</v>
      </c>
      <c r="O1" s="48" t="s">
        <v>14</v>
      </c>
      <c r="P1" s="48" t="s">
        <v>15</v>
      </c>
      <c r="Q1" s="48" t="s">
        <v>16</v>
      </c>
      <c r="R1" s="48" t="s">
        <v>17</v>
      </c>
      <c r="S1" s="48" t="s">
        <v>9149</v>
      </c>
      <c r="T1" s="48" t="s">
        <v>9150</v>
      </c>
      <c r="U1" s="48" t="s">
        <v>18</v>
      </c>
      <c r="V1" s="48" t="s">
        <v>19</v>
      </c>
      <c r="W1" s="48" t="s">
        <v>20</v>
      </c>
      <c r="X1" s="48" t="s">
        <v>21</v>
      </c>
      <c r="Y1" s="48" t="s">
        <v>22</v>
      </c>
      <c r="Z1" s="48" t="s">
        <v>23</v>
      </c>
      <c r="AA1" s="48" t="s">
        <v>24</v>
      </c>
      <c r="AB1" s="48" t="s">
        <v>25</v>
      </c>
      <c r="AC1" s="48" t="s">
        <v>201</v>
      </c>
      <c r="AD1" s="51" t="s">
        <v>27</v>
      </c>
    </row>
    <row r="2" spans="1:30" x14ac:dyDescent="0.25">
      <c r="A2" s="36">
        <v>512</v>
      </c>
      <c r="B2" s="14" t="s">
        <v>1055</v>
      </c>
      <c r="C2" s="31" t="s">
        <v>1056</v>
      </c>
      <c r="D2" s="17">
        <v>44138</v>
      </c>
      <c r="E2" s="14" t="s">
        <v>30</v>
      </c>
      <c r="F2" s="14">
        <v>9580</v>
      </c>
      <c r="G2" s="14">
        <v>1932</v>
      </c>
      <c r="H2" s="14">
        <v>4</v>
      </c>
      <c r="I2" s="14">
        <v>2</v>
      </c>
      <c r="J2" s="14" t="s">
        <v>204</v>
      </c>
      <c r="K2" s="14" cm="1">
        <f t="array" ref="K2">INT(SUMPRODUCT(--ISNUMBER(SEARCH(economy,'Jon Ossoff'!C2)))&gt;0)</f>
        <v>0</v>
      </c>
      <c r="L2" s="14" cm="1">
        <f t="array" ref="L2">INT(SUMPRODUCT(--ISNUMBER(SEARCH(healthcare,'Jon Ossoff'!C2)))&gt;0)</f>
        <v>0</v>
      </c>
      <c r="M2" s="14" cm="1">
        <f t="array" ref="M2">INT(SUMPRODUCT(--ISNUMBER(SEARCH(supreme,'Jon Ossoff'!C2)))&gt;0)</f>
        <v>0</v>
      </c>
      <c r="N2" s="14" cm="1">
        <f t="array" ref="N2">INT(SUMPRODUCT(--ISNUMBER(SEARCH(covid,'Jon Ossoff'!C2)))&gt;0)</f>
        <v>0</v>
      </c>
      <c r="O2" s="14" cm="1">
        <f t="array" ref="O2">INT(SUMPRODUCT(--ISNUMBER(SEARCH(violent,'Jon Ossoff'!C2)))&gt;0)</f>
        <v>0</v>
      </c>
      <c r="P2" s="14" cm="1">
        <f t="array" ref="P2">INT(SUMPRODUCT(--ISNUMBER(SEARCH(foreign,'Jon Ossoff'!C2)))&gt;0)</f>
        <v>0</v>
      </c>
      <c r="Q2" s="14" cm="1">
        <f t="array" ref="Q2">INT(SUMPRODUCT(--ISNUMBER(SEARCH(gun,'Jon Ossoff'!C2)))&gt;0)</f>
        <v>0</v>
      </c>
      <c r="R2" s="14" cm="1">
        <f t="array" ref="R2">INT(SUMPRODUCT(--ISNUMBER(SEARCH(race,'Jon Ossoff'!C2)))&gt;0)</f>
        <v>0</v>
      </c>
      <c r="S2" s="14" cm="1">
        <f t="array" ref="S2">INT(SUMPRODUCT(--ISNUMBER(SEARCH(immigration,C2)))&gt;0)</f>
        <v>0</v>
      </c>
      <c r="T2" s="14" cm="1">
        <f t="array" ref="T2">INT(SUMPRODUCT(--ISNUMBER(SEARCH(econineq,C2)))&gt;0)</f>
        <v>0</v>
      </c>
      <c r="U2" s="14" cm="1">
        <f t="array" ref="U2">INT(SUMPRODUCT(--ISNUMBER(SEARCH(climate,'Jon Ossoff'!C2)))&gt;0)</f>
        <v>0</v>
      </c>
      <c r="V2" s="14" cm="1">
        <f t="array" ref="V2">INT(SUMPRODUCT(--ISNUMBER(SEARCH(abortion,'Jon Ossoff'!C2)))&gt;0)</f>
        <v>0</v>
      </c>
      <c r="W2" s="14" cm="1">
        <f t="array" ref="W2">INT(SUMPRODUCT(--ISNUMBER(SEARCH(trump,'Jon Ossoff'!C2)))&gt;0)</f>
        <v>0</v>
      </c>
      <c r="X2" s="14" cm="1">
        <f t="array" ref="X2">INT(SUMPRODUCT(--ISNUMBER(SEARCH(voting,'Jon Ossoff'!C2)))&gt;0)</f>
        <v>1</v>
      </c>
      <c r="Y2" s="14" cm="1">
        <f t="array" ref="Y2">INT(SUMPRODUCT(--ISNUMBER(SEARCH(democrattrigger,'Jon Ossoff'!C2)))&gt;0)</f>
        <v>0</v>
      </c>
      <c r="Z2" s="14" cm="1">
        <f t="array" ref="Z2">INT(SUMPRODUCT(--ISNUMBER(SEARCH(bipartisan,'Jon Ossoff'!C2)))&gt;0)</f>
        <v>0</v>
      </c>
      <c r="AA2" s="14">
        <f>INT(IF(COUNTIF(K2:Z2,1)=0,"1","0"))</f>
        <v>0</v>
      </c>
      <c r="AB2" s="14"/>
      <c r="AC2" s="30">
        <v>0</v>
      </c>
      <c r="AD2" s="37">
        <v>0</v>
      </c>
    </row>
    <row r="3" spans="1:30" x14ac:dyDescent="0.25">
      <c r="A3" s="36">
        <v>513</v>
      </c>
      <c r="B3" s="14" t="s">
        <v>1057</v>
      </c>
      <c r="C3" s="31" t="s">
        <v>1058</v>
      </c>
      <c r="D3" s="17">
        <v>44138</v>
      </c>
      <c r="E3" s="14" t="s">
        <v>30</v>
      </c>
      <c r="F3" s="14">
        <v>2698</v>
      </c>
      <c r="G3" s="14">
        <v>239</v>
      </c>
      <c r="H3" s="14">
        <v>4</v>
      </c>
      <c r="I3" s="14">
        <v>2</v>
      </c>
      <c r="J3" s="14" t="s">
        <v>204</v>
      </c>
      <c r="K3" s="14" cm="1">
        <f t="array" ref="K3">INT(SUMPRODUCT(--ISNUMBER(SEARCH(economy,'Jon Ossoff'!C3)))&gt;0)</f>
        <v>0</v>
      </c>
      <c r="L3" s="14" cm="1">
        <f t="array" ref="L3">INT(SUMPRODUCT(--ISNUMBER(SEARCH(healthcare,'Jon Ossoff'!C3)))&gt;0)</f>
        <v>0</v>
      </c>
      <c r="M3" s="14" cm="1">
        <f t="array" ref="M3">INT(SUMPRODUCT(--ISNUMBER(SEARCH(supreme,'Jon Ossoff'!C3)))&gt;0)</f>
        <v>0</v>
      </c>
      <c r="N3" s="14" cm="1">
        <f t="array" ref="N3">INT(SUMPRODUCT(--ISNUMBER(SEARCH(covid,'Jon Ossoff'!C3)))&gt;0)</f>
        <v>0</v>
      </c>
      <c r="O3" s="14" cm="1">
        <f t="array" ref="O3">INT(SUMPRODUCT(--ISNUMBER(SEARCH(violent,'Jon Ossoff'!C3)))&gt;0)</f>
        <v>0</v>
      </c>
      <c r="P3" s="14" cm="1">
        <f t="array" ref="P3">INT(SUMPRODUCT(--ISNUMBER(SEARCH(foreign,'Jon Ossoff'!C3)))&gt;0)</f>
        <v>0</v>
      </c>
      <c r="Q3" s="14" cm="1">
        <f t="array" ref="Q3">INT(SUMPRODUCT(--ISNUMBER(SEARCH(gun,'Jon Ossoff'!C3)))&gt;0)</f>
        <v>0</v>
      </c>
      <c r="R3" s="14" cm="1">
        <f t="array" ref="R3">INT(SUMPRODUCT(--ISNUMBER(SEARCH(race,'Jon Ossoff'!C3)))&gt;0)</f>
        <v>0</v>
      </c>
      <c r="S3" s="14" cm="1">
        <f t="array" ref="S3">INT(SUMPRODUCT(--ISNUMBER(SEARCH(immigration,C3)))&gt;0)</f>
        <v>0</v>
      </c>
      <c r="T3" s="14" cm="1">
        <f t="array" ref="T3">INT(SUMPRODUCT(--ISNUMBER(SEARCH(econineq,C3)))&gt;0)</f>
        <v>0</v>
      </c>
      <c r="U3" s="14" cm="1">
        <f t="array" ref="U3">INT(SUMPRODUCT(--ISNUMBER(SEARCH(climate,'Jon Ossoff'!C3)))&gt;0)</f>
        <v>0</v>
      </c>
      <c r="V3" s="14" cm="1">
        <f t="array" ref="V3">INT(SUMPRODUCT(--ISNUMBER(SEARCH(abortion,'Jon Ossoff'!C3)))&gt;0)</f>
        <v>0</v>
      </c>
      <c r="W3" s="14" cm="1">
        <f t="array" ref="W3">INT(SUMPRODUCT(--ISNUMBER(SEARCH(trump,'Jon Ossoff'!C3)))&gt;0)</f>
        <v>0</v>
      </c>
      <c r="X3" s="14" cm="1">
        <f t="array" ref="X3">INT(SUMPRODUCT(--ISNUMBER(SEARCH(voting,'Jon Ossoff'!C3)))&gt;0)</f>
        <v>0</v>
      </c>
      <c r="Y3" s="14" cm="1">
        <f t="array" ref="Y3">INT(SUMPRODUCT(--ISNUMBER(SEARCH(democrattrigger,'Jon Ossoff'!C3)))&gt;0)</f>
        <v>0</v>
      </c>
      <c r="Z3" s="14" cm="1">
        <f t="array" ref="Z3">INT(SUMPRODUCT(--ISNUMBER(SEARCH(bipartisan,'Jon Ossoff'!C3)))&gt;0)</f>
        <v>0</v>
      </c>
      <c r="AA3" s="14">
        <f t="shared" ref="AA3:AA66" si="0">INT(IF(COUNTIF(K3:Z3,1)=0,"1","0"))</f>
        <v>1</v>
      </c>
      <c r="AB3" s="14"/>
      <c r="AC3" s="30">
        <v>0</v>
      </c>
      <c r="AD3" s="37">
        <v>0</v>
      </c>
    </row>
    <row r="4" spans="1:30" x14ac:dyDescent="0.25">
      <c r="A4" s="36">
        <v>514</v>
      </c>
      <c r="B4" s="14" t="s">
        <v>1059</v>
      </c>
      <c r="C4" s="31" t="s">
        <v>1060</v>
      </c>
      <c r="D4" s="17">
        <v>44138</v>
      </c>
      <c r="E4" s="14" t="s">
        <v>30</v>
      </c>
      <c r="F4" s="14">
        <v>11591</v>
      </c>
      <c r="G4" s="14">
        <v>1709</v>
      </c>
      <c r="H4" s="14">
        <v>4</v>
      </c>
      <c r="I4" s="14">
        <v>2</v>
      </c>
      <c r="J4" s="14" t="s">
        <v>204</v>
      </c>
      <c r="K4" s="14" cm="1">
        <f t="array" ref="K4">INT(SUMPRODUCT(--ISNUMBER(SEARCH(economy,'Jon Ossoff'!C4)))&gt;0)</f>
        <v>0</v>
      </c>
      <c r="L4" s="14" cm="1">
        <f t="array" ref="L4">INT(SUMPRODUCT(--ISNUMBER(SEARCH(healthcare,'Jon Ossoff'!C4)))&gt;0)</f>
        <v>0</v>
      </c>
      <c r="M4" s="14" cm="1">
        <f t="array" ref="M4">INT(SUMPRODUCT(--ISNUMBER(SEARCH(supreme,'Jon Ossoff'!C4)))&gt;0)</f>
        <v>0</v>
      </c>
      <c r="N4" s="14" cm="1">
        <f t="array" ref="N4">INT(SUMPRODUCT(--ISNUMBER(SEARCH(covid,'Jon Ossoff'!C4)))&gt;0)</f>
        <v>0</v>
      </c>
      <c r="O4" s="14" cm="1">
        <f t="array" ref="O4">INT(SUMPRODUCT(--ISNUMBER(SEARCH(violent,'Jon Ossoff'!C4)))&gt;0)</f>
        <v>0</v>
      </c>
      <c r="P4" s="14" cm="1">
        <f t="array" ref="P4">INT(SUMPRODUCT(--ISNUMBER(SEARCH(foreign,'Jon Ossoff'!C4)))&gt;0)</f>
        <v>0</v>
      </c>
      <c r="Q4" s="14" cm="1">
        <f t="array" ref="Q4">INT(SUMPRODUCT(--ISNUMBER(SEARCH(gun,'Jon Ossoff'!C4)))&gt;0)</f>
        <v>0</v>
      </c>
      <c r="R4" s="14" cm="1">
        <f t="array" ref="R4">INT(SUMPRODUCT(--ISNUMBER(SEARCH(race,'Jon Ossoff'!C4)))&gt;0)</f>
        <v>0</v>
      </c>
      <c r="S4" s="14" cm="1">
        <f t="array" ref="S4">INT(SUMPRODUCT(--ISNUMBER(SEARCH(immigration,C4)))&gt;0)</f>
        <v>0</v>
      </c>
      <c r="T4" s="14" cm="1">
        <f t="array" ref="T4">INT(SUMPRODUCT(--ISNUMBER(SEARCH(econineq,C4)))&gt;0)</f>
        <v>0</v>
      </c>
      <c r="U4" s="14" cm="1">
        <f t="array" ref="U4">INT(SUMPRODUCT(--ISNUMBER(SEARCH(climate,'Jon Ossoff'!C4)))&gt;0)</f>
        <v>0</v>
      </c>
      <c r="V4" s="14" cm="1">
        <f t="array" ref="V4">INT(SUMPRODUCT(--ISNUMBER(SEARCH(abortion,'Jon Ossoff'!C4)))&gt;0)</f>
        <v>0</v>
      </c>
      <c r="W4" s="14" cm="1">
        <f t="array" ref="W4">INT(SUMPRODUCT(--ISNUMBER(SEARCH(trump,'Jon Ossoff'!C4)))&gt;0)</f>
        <v>0</v>
      </c>
      <c r="X4" s="14" cm="1">
        <f t="array" ref="X4">INT(SUMPRODUCT(--ISNUMBER(SEARCH(voting,'Jon Ossoff'!C4)))&gt;0)</f>
        <v>0</v>
      </c>
      <c r="Y4" s="14" cm="1">
        <f t="array" ref="Y4">INT(SUMPRODUCT(--ISNUMBER(SEARCH(democrattrigger,'Jon Ossoff'!C4)))&gt;0)</f>
        <v>0</v>
      </c>
      <c r="Z4" s="14" cm="1">
        <f t="array" ref="Z4">INT(SUMPRODUCT(--ISNUMBER(SEARCH(bipartisan,'Jon Ossoff'!C4)))&gt;0)</f>
        <v>0</v>
      </c>
      <c r="AA4" s="14">
        <f t="shared" si="0"/>
        <v>1</v>
      </c>
      <c r="AB4" s="14"/>
      <c r="AC4" s="30">
        <v>0</v>
      </c>
      <c r="AD4" s="37">
        <v>1</v>
      </c>
    </row>
    <row r="5" spans="1:30" x14ac:dyDescent="0.25">
      <c r="A5" s="36">
        <v>515</v>
      </c>
      <c r="B5" s="14" t="s">
        <v>1061</v>
      </c>
      <c r="C5" s="31" t="s">
        <v>1062</v>
      </c>
      <c r="D5" s="17">
        <v>44138</v>
      </c>
      <c r="E5" s="14" t="s">
        <v>30</v>
      </c>
      <c r="F5" s="14">
        <v>3285</v>
      </c>
      <c r="G5" s="14">
        <v>514</v>
      </c>
      <c r="H5" s="14">
        <v>4</v>
      </c>
      <c r="I5" s="14">
        <v>2</v>
      </c>
      <c r="J5" s="14" t="s">
        <v>204</v>
      </c>
      <c r="K5" s="14" cm="1">
        <f t="array" ref="K5">INT(SUMPRODUCT(--ISNUMBER(SEARCH(economy,'Jon Ossoff'!C5)))&gt;0)</f>
        <v>0</v>
      </c>
      <c r="L5" s="14" cm="1">
        <f t="array" ref="L5">INT(SUMPRODUCT(--ISNUMBER(SEARCH(healthcare,'Jon Ossoff'!C5)))&gt;0)</f>
        <v>0</v>
      </c>
      <c r="M5" s="14" cm="1">
        <f t="array" ref="M5">INT(SUMPRODUCT(--ISNUMBER(SEARCH(supreme,'Jon Ossoff'!C5)))&gt;0)</f>
        <v>0</v>
      </c>
      <c r="N5" s="14" cm="1">
        <f t="array" ref="N5">INT(SUMPRODUCT(--ISNUMBER(SEARCH(covid,'Jon Ossoff'!C5)))&gt;0)</f>
        <v>0</v>
      </c>
      <c r="O5" s="14" cm="1">
        <f t="array" ref="O5">INT(SUMPRODUCT(--ISNUMBER(SEARCH(violent,'Jon Ossoff'!C5)))&gt;0)</f>
        <v>0</v>
      </c>
      <c r="P5" s="14" cm="1">
        <f t="array" ref="P5">INT(SUMPRODUCT(--ISNUMBER(SEARCH(foreign,'Jon Ossoff'!C5)))&gt;0)</f>
        <v>0</v>
      </c>
      <c r="Q5" s="14" cm="1">
        <f t="array" ref="Q5">INT(SUMPRODUCT(--ISNUMBER(SEARCH(gun,'Jon Ossoff'!C5)))&gt;0)</f>
        <v>0</v>
      </c>
      <c r="R5" s="14" cm="1">
        <f t="array" ref="R5">INT(SUMPRODUCT(--ISNUMBER(SEARCH(race,'Jon Ossoff'!C5)))&gt;0)</f>
        <v>0</v>
      </c>
      <c r="S5" s="14" cm="1">
        <f t="array" ref="S5">INT(SUMPRODUCT(--ISNUMBER(SEARCH(immigration,C5)))&gt;0)</f>
        <v>0</v>
      </c>
      <c r="T5" s="14" cm="1">
        <f t="array" ref="T5">INT(SUMPRODUCT(--ISNUMBER(SEARCH(econineq,C5)))&gt;0)</f>
        <v>0</v>
      </c>
      <c r="U5" s="14" cm="1">
        <f t="array" ref="U5">INT(SUMPRODUCT(--ISNUMBER(SEARCH(climate,'Jon Ossoff'!C5)))&gt;0)</f>
        <v>0</v>
      </c>
      <c r="V5" s="14" cm="1">
        <f t="array" ref="V5">INT(SUMPRODUCT(--ISNUMBER(SEARCH(abortion,'Jon Ossoff'!C5)))&gt;0)</f>
        <v>0</v>
      </c>
      <c r="W5" s="14" cm="1">
        <f t="array" ref="W5">INT(SUMPRODUCT(--ISNUMBER(SEARCH(trump,'Jon Ossoff'!C5)))&gt;0)</f>
        <v>0</v>
      </c>
      <c r="X5" s="14" cm="1">
        <f t="array" ref="X5">INT(SUMPRODUCT(--ISNUMBER(SEARCH(voting,'Jon Ossoff'!C5)))&gt;0)</f>
        <v>0</v>
      </c>
      <c r="Y5" s="14" cm="1">
        <f t="array" ref="Y5">INT(SUMPRODUCT(--ISNUMBER(SEARCH(democrattrigger,'Jon Ossoff'!C5)))&gt;0)</f>
        <v>1</v>
      </c>
      <c r="Z5" s="14" cm="1">
        <f t="array" ref="Z5">INT(SUMPRODUCT(--ISNUMBER(SEARCH(bipartisan,'Jon Ossoff'!C5)))&gt;0)</f>
        <v>0</v>
      </c>
      <c r="AA5" s="14">
        <f t="shared" si="0"/>
        <v>0</v>
      </c>
      <c r="AB5" s="14"/>
      <c r="AC5" s="30">
        <v>0</v>
      </c>
      <c r="AD5" s="37">
        <v>0</v>
      </c>
    </row>
    <row r="6" spans="1:30" x14ac:dyDescent="0.25">
      <c r="A6" s="36">
        <v>516</v>
      </c>
      <c r="B6" s="14" t="s">
        <v>1063</v>
      </c>
      <c r="C6" s="31" t="s">
        <v>1064</v>
      </c>
      <c r="D6" s="17">
        <v>44138</v>
      </c>
      <c r="E6" s="14" t="s">
        <v>30</v>
      </c>
      <c r="F6" s="14">
        <v>2651</v>
      </c>
      <c r="G6" s="14">
        <v>587</v>
      </c>
      <c r="H6" s="14">
        <v>4</v>
      </c>
      <c r="I6" s="14">
        <v>2</v>
      </c>
      <c r="J6" s="14" t="s">
        <v>204</v>
      </c>
      <c r="K6" s="14" cm="1">
        <f t="array" ref="K6">INT(SUMPRODUCT(--ISNUMBER(SEARCH(economy,'Jon Ossoff'!C6)))&gt;0)</f>
        <v>0</v>
      </c>
      <c r="L6" s="14" cm="1">
        <f t="array" ref="L6">INT(SUMPRODUCT(--ISNUMBER(SEARCH(healthcare,'Jon Ossoff'!C6)))&gt;0)</f>
        <v>0</v>
      </c>
      <c r="M6" s="14" cm="1">
        <f t="array" ref="M6">INT(SUMPRODUCT(--ISNUMBER(SEARCH(supreme,'Jon Ossoff'!C6)))&gt;0)</f>
        <v>0</v>
      </c>
      <c r="N6" s="14" cm="1">
        <f t="array" ref="N6">INT(SUMPRODUCT(--ISNUMBER(SEARCH(covid,'Jon Ossoff'!C6)))&gt;0)</f>
        <v>0</v>
      </c>
      <c r="O6" s="14" cm="1">
        <f t="array" ref="O6">INT(SUMPRODUCT(--ISNUMBER(SEARCH(violent,'Jon Ossoff'!C6)))&gt;0)</f>
        <v>0</v>
      </c>
      <c r="P6" s="14" cm="1">
        <f t="array" ref="P6">INT(SUMPRODUCT(--ISNUMBER(SEARCH(foreign,'Jon Ossoff'!C6)))&gt;0)</f>
        <v>0</v>
      </c>
      <c r="Q6" s="14" cm="1">
        <f t="array" ref="Q6">INT(SUMPRODUCT(--ISNUMBER(SEARCH(gun,'Jon Ossoff'!C6)))&gt;0)</f>
        <v>0</v>
      </c>
      <c r="R6" s="14" cm="1">
        <f t="array" ref="R6">INT(SUMPRODUCT(--ISNUMBER(SEARCH(race,'Jon Ossoff'!C6)))&gt;0)</f>
        <v>0</v>
      </c>
      <c r="S6" s="14" cm="1">
        <f t="array" ref="S6">INT(SUMPRODUCT(--ISNUMBER(SEARCH(immigration,C6)))&gt;0)</f>
        <v>0</v>
      </c>
      <c r="T6" s="14" cm="1">
        <f t="array" ref="T6">INT(SUMPRODUCT(--ISNUMBER(SEARCH(econineq,C6)))&gt;0)</f>
        <v>0</v>
      </c>
      <c r="U6" s="14" cm="1">
        <f t="array" ref="U6">INT(SUMPRODUCT(--ISNUMBER(SEARCH(climate,'Jon Ossoff'!C6)))&gt;0)</f>
        <v>0</v>
      </c>
      <c r="V6" s="14" cm="1">
        <f t="array" ref="V6">INT(SUMPRODUCT(--ISNUMBER(SEARCH(abortion,'Jon Ossoff'!C6)))&gt;0)</f>
        <v>0</v>
      </c>
      <c r="W6" s="14" cm="1">
        <f t="array" ref="W6">INT(SUMPRODUCT(--ISNUMBER(SEARCH(trump,'Jon Ossoff'!C6)))&gt;0)</f>
        <v>0</v>
      </c>
      <c r="X6" s="14" cm="1">
        <f t="array" ref="X6">INT(SUMPRODUCT(--ISNUMBER(SEARCH(voting,'Jon Ossoff'!C6)))&gt;0)</f>
        <v>1</v>
      </c>
      <c r="Y6" s="14" cm="1">
        <f t="array" ref="Y6">INT(SUMPRODUCT(--ISNUMBER(SEARCH(democrattrigger,'Jon Ossoff'!C6)))&gt;0)</f>
        <v>0</v>
      </c>
      <c r="Z6" s="14" cm="1">
        <f t="array" ref="Z6">INT(SUMPRODUCT(--ISNUMBER(SEARCH(bipartisan,'Jon Ossoff'!C6)))&gt;0)</f>
        <v>0</v>
      </c>
      <c r="AA6" s="14">
        <f t="shared" si="0"/>
        <v>0</v>
      </c>
      <c r="AB6" s="14"/>
      <c r="AC6" s="30">
        <v>0</v>
      </c>
      <c r="AD6" s="37">
        <v>1</v>
      </c>
    </row>
    <row r="7" spans="1:30" x14ac:dyDescent="0.25">
      <c r="A7" s="36">
        <v>517</v>
      </c>
      <c r="B7" s="14" t="s">
        <v>1065</v>
      </c>
      <c r="C7" s="31" t="s">
        <v>1066</v>
      </c>
      <c r="D7" s="17">
        <v>44138</v>
      </c>
      <c r="E7" s="14" t="s">
        <v>30</v>
      </c>
      <c r="F7" s="14">
        <v>33046</v>
      </c>
      <c r="G7" s="14">
        <v>3544</v>
      </c>
      <c r="H7" s="14">
        <v>4</v>
      </c>
      <c r="I7" s="14">
        <v>2</v>
      </c>
      <c r="J7" s="14" t="s">
        <v>204</v>
      </c>
      <c r="K7" s="14" cm="1">
        <f t="array" ref="K7">INT(SUMPRODUCT(--ISNUMBER(SEARCH(economy,'Jon Ossoff'!C7)))&gt;0)</f>
        <v>0</v>
      </c>
      <c r="L7" s="14" cm="1">
        <f t="array" ref="L7">INT(SUMPRODUCT(--ISNUMBER(SEARCH(healthcare,'Jon Ossoff'!C7)))&gt;0)</f>
        <v>0</v>
      </c>
      <c r="M7" s="14" cm="1">
        <f t="array" ref="M7">INT(SUMPRODUCT(--ISNUMBER(SEARCH(supreme,'Jon Ossoff'!C7)))&gt;0)</f>
        <v>0</v>
      </c>
      <c r="N7" s="14" cm="1">
        <f t="array" ref="N7">INT(SUMPRODUCT(--ISNUMBER(SEARCH(covid,'Jon Ossoff'!C7)))&gt;0)</f>
        <v>0</v>
      </c>
      <c r="O7" s="14" cm="1">
        <f t="array" ref="O7">INT(SUMPRODUCT(--ISNUMBER(SEARCH(violent,'Jon Ossoff'!C7)))&gt;0)</f>
        <v>0</v>
      </c>
      <c r="P7" s="14" cm="1">
        <f t="array" ref="P7">INT(SUMPRODUCT(--ISNUMBER(SEARCH(foreign,'Jon Ossoff'!C7)))&gt;0)</f>
        <v>0</v>
      </c>
      <c r="Q7" s="14" cm="1">
        <f t="array" ref="Q7">INT(SUMPRODUCT(--ISNUMBER(SEARCH(gun,'Jon Ossoff'!C7)))&gt;0)</f>
        <v>0</v>
      </c>
      <c r="R7" s="14" cm="1">
        <f t="array" ref="R7">INT(SUMPRODUCT(--ISNUMBER(SEARCH(race,'Jon Ossoff'!C7)))&gt;0)</f>
        <v>0</v>
      </c>
      <c r="S7" s="14" cm="1">
        <f t="array" ref="S7">INT(SUMPRODUCT(--ISNUMBER(SEARCH(immigration,C7)))&gt;0)</f>
        <v>0</v>
      </c>
      <c r="T7" s="14" cm="1">
        <f t="array" ref="T7">INT(SUMPRODUCT(--ISNUMBER(SEARCH(econineq,C7)))&gt;0)</f>
        <v>0</v>
      </c>
      <c r="U7" s="14" cm="1">
        <f t="array" ref="U7">INT(SUMPRODUCT(--ISNUMBER(SEARCH(climate,'Jon Ossoff'!C7)))&gt;0)</f>
        <v>0</v>
      </c>
      <c r="V7" s="14" cm="1">
        <f t="array" ref="V7">INT(SUMPRODUCT(--ISNUMBER(SEARCH(abortion,'Jon Ossoff'!C7)))&gt;0)</f>
        <v>0</v>
      </c>
      <c r="W7" s="14" cm="1">
        <f t="array" ref="W7">INT(SUMPRODUCT(--ISNUMBER(SEARCH(trump,'Jon Ossoff'!C7)))&gt;0)</f>
        <v>0</v>
      </c>
      <c r="X7" s="14" cm="1">
        <f t="array" ref="X7">INT(SUMPRODUCT(--ISNUMBER(SEARCH(voting,'Jon Ossoff'!C7)))&gt;0)</f>
        <v>0</v>
      </c>
      <c r="Y7" s="14" cm="1">
        <f t="array" ref="Y7">INT(SUMPRODUCT(--ISNUMBER(SEARCH(democrattrigger,'Jon Ossoff'!C7)))&gt;0)</f>
        <v>0</v>
      </c>
      <c r="Z7" s="14" cm="1">
        <f t="array" ref="Z7">INT(SUMPRODUCT(--ISNUMBER(SEARCH(bipartisan,'Jon Ossoff'!C7)))&gt;0)</f>
        <v>0</v>
      </c>
      <c r="AA7" s="14">
        <f t="shared" si="0"/>
        <v>1</v>
      </c>
      <c r="AB7" s="14"/>
      <c r="AC7" s="30">
        <v>0</v>
      </c>
      <c r="AD7" s="37">
        <v>0</v>
      </c>
    </row>
    <row r="8" spans="1:30" x14ac:dyDescent="0.25">
      <c r="A8" s="36">
        <v>518</v>
      </c>
      <c r="B8" s="14" t="s">
        <v>1067</v>
      </c>
      <c r="C8" s="31" t="s">
        <v>1068</v>
      </c>
      <c r="D8" s="17">
        <v>44138</v>
      </c>
      <c r="E8" s="14" t="s">
        <v>70</v>
      </c>
      <c r="F8" s="14">
        <v>742</v>
      </c>
      <c r="G8" s="14">
        <v>245</v>
      </c>
      <c r="H8" s="14">
        <v>4</v>
      </c>
      <c r="I8" s="14">
        <v>2</v>
      </c>
      <c r="J8" s="14" t="s">
        <v>204</v>
      </c>
      <c r="K8" s="14" cm="1">
        <f t="array" ref="K8">INT(SUMPRODUCT(--ISNUMBER(SEARCH(economy,'Jon Ossoff'!C8)))&gt;0)</f>
        <v>0</v>
      </c>
      <c r="L8" s="14" cm="1">
        <f t="array" ref="L8">INT(SUMPRODUCT(--ISNUMBER(SEARCH(healthcare,'Jon Ossoff'!C8)))&gt;0)</f>
        <v>0</v>
      </c>
      <c r="M8" s="14" cm="1">
        <f t="array" ref="M8">INT(SUMPRODUCT(--ISNUMBER(SEARCH(supreme,'Jon Ossoff'!C8)))&gt;0)</f>
        <v>0</v>
      </c>
      <c r="N8" s="14" cm="1">
        <f t="array" ref="N8">INT(SUMPRODUCT(--ISNUMBER(SEARCH(covid,'Jon Ossoff'!C8)))&gt;0)</f>
        <v>0</v>
      </c>
      <c r="O8" s="14" cm="1">
        <f t="array" ref="O8">INT(SUMPRODUCT(--ISNUMBER(SEARCH(violent,'Jon Ossoff'!C8)))&gt;0)</f>
        <v>0</v>
      </c>
      <c r="P8" s="14" cm="1">
        <f t="array" ref="P8">INT(SUMPRODUCT(--ISNUMBER(SEARCH(foreign,'Jon Ossoff'!C8)))&gt;0)</f>
        <v>0</v>
      </c>
      <c r="Q8" s="14" cm="1">
        <f t="array" ref="Q8">INT(SUMPRODUCT(--ISNUMBER(SEARCH(gun,'Jon Ossoff'!C8)))&gt;0)</f>
        <v>0</v>
      </c>
      <c r="R8" s="14" cm="1">
        <f t="array" ref="R8">INT(SUMPRODUCT(--ISNUMBER(SEARCH(race,'Jon Ossoff'!C8)))&gt;0)</f>
        <v>0</v>
      </c>
      <c r="S8" s="14" cm="1">
        <f t="array" ref="S8">INT(SUMPRODUCT(--ISNUMBER(SEARCH(immigration,C8)))&gt;0)</f>
        <v>0</v>
      </c>
      <c r="T8" s="14" cm="1">
        <f t="array" ref="T8">INT(SUMPRODUCT(--ISNUMBER(SEARCH(econineq,C8)))&gt;0)</f>
        <v>0</v>
      </c>
      <c r="U8" s="14" cm="1">
        <f t="array" ref="U8">INT(SUMPRODUCT(--ISNUMBER(SEARCH(climate,'Jon Ossoff'!C8)))&gt;0)</f>
        <v>0</v>
      </c>
      <c r="V8" s="14" cm="1">
        <f t="array" ref="V8">INT(SUMPRODUCT(--ISNUMBER(SEARCH(abortion,'Jon Ossoff'!C8)))&gt;0)</f>
        <v>0</v>
      </c>
      <c r="W8" s="14" cm="1">
        <f t="array" ref="W8">INT(SUMPRODUCT(--ISNUMBER(SEARCH(trump,'Jon Ossoff'!C8)))&gt;0)</f>
        <v>0</v>
      </c>
      <c r="X8" s="14" cm="1">
        <f t="array" ref="X8">INT(SUMPRODUCT(--ISNUMBER(SEARCH(voting,'Jon Ossoff'!C8)))&gt;0)</f>
        <v>1</v>
      </c>
      <c r="Y8" s="14" cm="1">
        <f t="array" ref="Y8">INT(SUMPRODUCT(--ISNUMBER(SEARCH(democrattrigger,'Jon Ossoff'!C8)))&gt;0)</f>
        <v>0</v>
      </c>
      <c r="Z8" s="14" cm="1">
        <f t="array" ref="Z8">INT(SUMPRODUCT(--ISNUMBER(SEARCH(bipartisan,'Jon Ossoff'!C8)))&gt;0)</f>
        <v>0</v>
      </c>
      <c r="AA8" s="14">
        <f t="shared" si="0"/>
        <v>0</v>
      </c>
      <c r="AB8" s="14"/>
      <c r="AC8" s="30">
        <v>0</v>
      </c>
      <c r="AD8" s="37">
        <v>0</v>
      </c>
    </row>
    <row r="9" spans="1:30" x14ac:dyDescent="0.25">
      <c r="A9" s="36">
        <v>519</v>
      </c>
      <c r="B9" s="14" t="s">
        <v>1069</v>
      </c>
      <c r="C9" s="31" t="s">
        <v>1070</v>
      </c>
      <c r="D9" s="17">
        <v>44138</v>
      </c>
      <c r="E9" s="14" t="s">
        <v>30</v>
      </c>
      <c r="F9" s="14">
        <v>4842</v>
      </c>
      <c r="G9" s="14">
        <v>949</v>
      </c>
      <c r="H9" s="14">
        <v>4</v>
      </c>
      <c r="I9" s="14">
        <v>2</v>
      </c>
      <c r="J9" s="14" t="s">
        <v>204</v>
      </c>
      <c r="K9" s="14" cm="1">
        <f t="array" ref="K9">INT(SUMPRODUCT(--ISNUMBER(SEARCH(economy,'Jon Ossoff'!C9)))&gt;0)</f>
        <v>0</v>
      </c>
      <c r="L9" s="14" cm="1">
        <f t="array" ref="L9">INT(SUMPRODUCT(--ISNUMBER(SEARCH(healthcare,'Jon Ossoff'!C9)))&gt;0)</f>
        <v>0</v>
      </c>
      <c r="M9" s="14" cm="1">
        <f t="array" ref="M9">INT(SUMPRODUCT(--ISNUMBER(SEARCH(supreme,'Jon Ossoff'!C9)))&gt;0)</f>
        <v>0</v>
      </c>
      <c r="N9" s="14" cm="1">
        <f t="array" ref="N9">INT(SUMPRODUCT(--ISNUMBER(SEARCH(covid,'Jon Ossoff'!C9)))&gt;0)</f>
        <v>0</v>
      </c>
      <c r="O9" s="14" cm="1">
        <f t="array" ref="O9">INT(SUMPRODUCT(--ISNUMBER(SEARCH(violent,'Jon Ossoff'!C9)))&gt;0)</f>
        <v>0</v>
      </c>
      <c r="P9" s="14" cm="1">
        <f t="array" ref="P9">INT(SUMPRODUCT(--ISNUMBER(SEARCH(foreign,'Jon Ossoff'!C9)))&gt;0)</f>
        <v>0</v>
      </c>
      <c r="Q9" s="14" cm="1">
        <f t="array" ref="Q9">INT(SUMPRODUCT(--ISNUMBER(SEARCH(gun,'Jon Ossoff'!C9)))&gt;0)</f>
        <v>0</v>
      </c>
      <c r="R9" s="14" cm="1">
        <f t="array" ref="R9">INT(SUMPRODUCT(--ISNUMBER(SEARCH(race,'Jon Ossoff'!C9)))&gt;0)</f>
        <v>0</v>
      </c>
      <c r="S9" s="14" cm="1">
        <f t="array" ref="S9">INT(SUMPRODUCT(--ISNUMBER(SEARCH(immigration,C9)))&gt;0)</f>
        <v>0</v>
      </c>
      <c r="T9" s="14" cm="1">
        <f t="array" ref="T9">INT(SUMPRODUCT(--ISNUMBER(SEARCH(econineq,C9)))&gt;0)</f>
        <v>0</v>
      </c>
      <c r="U9" s="14" cm="1">
        <f t="array" ref="U9">INT(SUMPRODUCT(--ISNUMBER(SEARCH(climate,'Jon Ossoff'!C9)))&gt;0)</f>
        <v>0</v>
      </c>
      <c r="V9" s="14" cm="1">
        <f t="array" ref="V9">INT(SUMPRODUCT(--ISNUMBER(SEARCH(abortion,'Jon Ossoff'!C9)))&gt;0)</f>
        <v>0</v>
      </c>
      <c r="W9" s="14" cm="1">
        <f t="array" ref="W9">INT(SUMPRODUCT(--ISNUMBER(SEARCH(trump,'Jon Ossoff'!C9)))&gt;0)</f>
        <v>0</v>
      </c>
      <c r="X9" s="14" cm="1">
        <f t="array" ref="X9">INT(SUMPRODUCT(--ISNUMBER(SEARCH(voting,'Jon Ossoff'!C9)))&gt;0)</f>
        <v>1</v>
      </c>
      <c r="Y9" s="14" cm="1">
        <f t="array" ref="Y9">INT(SUMPRODUCT(--ISNUMBER(SEARCH(democrattrigger,'Jon Ossoff'!C9)))&gt;0)</f>
        <v>0</v>
      </c>
      <c r="Z9" s="14" cm="1">
        <f t="array" ref="Z9">INT(SUMPRODUCT(--ISNUMBER(SEARCH(bipartisan,'Jon Ossoff'!C9)))&gt;0)</f>
        <v>0</v>
      </c>
      <c r="AA9" s="14">
        <f t="shared" si="0"/>
        <v>0</v>
      </c>
      <c r="AB9" s="14"/>
      <c r="AC9" s="30">
        <v>0</v>
      </c>
      <c r="AD9" s="37">
        <v>1</v>
      </c>
    </row>
    <row r="10" spans="1:30" x14ac:dyDescent="0.25">
      <c r="A10" s="36">
        <v>520</v>
      </c>
      <c r="B10" s="14" t="s">
        <v>1071</v>
      </c>
      <c r="C10" s="31" t="s">
        <v>1068</v>
      </c>
      <c r="D10" s="17">
        <v>44138</v>
      </c>
      <c r="E10" s="14" t="s">
        <v>70</v>
      </c>
      <c r="F10" s="14">
        <v>2403</v>
      </c>
      <c r="G10" s="14">
        <v>802</v>
      </c>
      <c r="H10" s="14">
        <v>4</v>
      </c>
      <c r="I10" s="14">
        <v>2</v>
      </c>
      <c r="J10" s="14" t="s">
        <v>204</v>
      </c>
      <c r="K10" s="14" cm="1">
        <f t="array" ref="K10">INT(SUMPRODUCT(--ISNUMBER(SEARCH(economy,'Jon Ossoff'!C10)))&gt;0)</f>
        <v>0</v>
      </c>
      <c r="L10" s="14" cm="1">
        <f t="array" ref="L10">INT(SUMPRODUCT(--ISNUMBER(SEARCH(healthcare,'Jon Ossoff'!C10)))&gt;0)</f>
        <v>0</v>
      </c>
      <c r="M10" s="14" cm="1">
        <f t="array" ref="M10">INT(SUMPRODUCT(--ISNUMBER(SEARCH(supreme,'Jon Ossoff'!C10)))&gt;0)</f>
        <v>0</v>
      </c>
      <c r="N10" s="14" cm="1">
        <f t="array" ref="N10">INT(SUMPRODUCT(--ISNUMBER(SEARCH(covid,'Jon Ossoff'!C10)))&gt;0)</f>
        <v>0</v>
      </c>
      <c r="O10" s="14" cm="1">
        <f t="array" ref="O10">INT(SUMPRODUCT(--ISNUMBER(SEARCH(violent,'Jon Ossoff'!C10)))&gt;0)</f>
        <v>0</v>
      </c>
      <c r="P10" s="14" cm="1">
        <f t="array" ref="P10">INT(SUMPRODUCT(--ISNUMBER(SEARCH(foreign,'Jon Ossoff'!C10)))&gt;0)</f>
        <v>0</v>
      </c>
      <c r="Q10" s="14" cm="1">
        <f t="array" ref="Q10">INT(SUMPRODUCT(--ISNUMBER(SEARCH(gun,'Jon Ossoff'!C10)))&gt;0)</f>
        <v>0</v>
      </c>
      <c r="R10" s="14" cm="1">
        <f t="array" ref="R10">INT(SUMPRODUCT(--ISNUMBER(SEARCH(race,'Jon Ossoff'!C10)))&gt;0)</f>
        <v>0</v>
      </c>
      <c r="S10" s="14" cm="1">
        <f t="array" ref="S10">INT(SUMPRODUCT(--ISNUMBER(SEARCH(immigration,C10)))&gt;0)</f>
        <v>0</v>
      </c>
      <c r="T10" s="14" cm="1">
        <f t="array" ref="T10">INT(SUMPRODUCT(--ISNUMBER(SEARCH(econineq,C10)))&gt;0)</f>
        <v>0</v>
      </c>
      <c r="U10" s="14" cm="1">
        <f t="array" ref="U10">INT(SUMPRODUCT(--ISNUMBER(SEARCH(climate,'Jon Ossoff'!C10)))&gt;0)</f>
        <v>0</v>
      </c>
      <c r="V10" s="14" cm="1">
        <f t="array" ref="V10">INT(SUMPRODUCT(--ISNUMBER(SEARCH(abortion,'Jon Ossoff'!C10)))&gt;0)</f>
        <v>0</v>
      </c>
      <c r="W10" s="14" cm="1">
        <f t="array" ref="W10">INT(SUMPRODUCT(--ISNUMBER(SEARCH(trump,'Jon Ossoff'!C10)))&gt;0)</f>
        <v>0</v>
      </c>
      <c r="X10" s="14" cm="1">
        <f t="array" ref="X10">INT(SUMPRODUCT(--ISNUMBER(SEARCH(voting,'Jon Ossoff'!C10)))&gt;0)</f>
        <v>1</v>
      </c>
      <c r="Y10" s="14" cm="1">
        <f t="array" ref="Y10">INT(SUMPRODUCT(--ISNUMBER(SEARCH(democrattrigger,'Jon Ossoff'!C10)))&gt;0)</f>
        <v>0</v>
      </c>
      <c r="Z10" s="14" cm="1">
        <f t="array" ref="Z10">INT(SUMPRODUCT(--ISNUMBER(SEARCH(bipartisan,'Jon Ossoff'!C10)))&gt;0)</f>
        <v>0</v>
      </c>
      <c r="AA10" s="14">
        <f t="shared" si="0"/>
        <v>0</v>
      </c>
      <c r="AB10" s="14"/>
      <c r="AC10" s="30">
        <v>0</v>
      </c>
      <c r="AD10" s="37">
        <v>0</v>
      </c>
    </row>
    <row r="11" spans="1:30" x14ac:dyDescent="0.25">
      <c r="A11" s="36">
        <v>521</v>
      </c>
      <c r="B11" s="14" t="s">
        <v>1072</v>
      </c>
      <c r="C11" s="31" t="s">
        <v>1073</v>
      </c>
      <c r="D11" s="17">
        <v>44138</v>
      </c>
      <c r="E11" s="14" t="s">
        <v>30</v>
      </c>
      <c r="F11" s="14">
        <v>5849</v>
      </c>
      <c r="G11" s="14">
        <v>2576</v>
      </c>
      <c r="H11" s="14">
        <v>4</v>
      </c>
      <c r="I11" s="14">
        <v>2</v>
      </c>
      <c r="J11" s="14" t="s">
        <v>204</v>
      </c>
      <c r="K11" s="14" cm="1">
        <f t="array" ref="K11">INT(SUMPRODUCT(--ISNUMBER(SEARCH(economy,'Jon Ossoff'!C11)))&gt;0)</f>
        <v>0</v>
      </c>
      <c r="L11" s="14" cm="1">
        <f t="array" ref="L11">INT(SUMPRODUCT(--ISNUMBER(SEARCH(healthcare,'Jon Ossoff'!C11)))&gt;0)</f>
        <v>0</v>
      </c>
      <c r="M11" s="14" cm="1">
        <f t="array" ref="M11">INT(SUMPRODUCT(--ISNUMBER(SEARCH(supreme,'Jon Ossoff'!C11)))&gt;0)</f>
        <v>0</v>
      </c>
      <c r="N11" s="14" cm="1">
        <f t="array" ref="N11">INT(SUMPRODUCT(--ISNUMBER(SEARCH(covid,'Jon Ossoff'!C11)))&gt;0)</f>
        <v>0</v>
      </c>
      <c r="O11" s="14" cm="1">
        <f t="array" ref="O11">INT(SUMPRODUCT(--ISNUMBER(SEARCH(violent,'Jon Ossoff'!C11)))&gt;0)</f>
        <v>0</v>
      </c>
      <c r="P11" s="14" cm="1">
        <f t="array" ref="P11">INT(SUMPRODUCT(--ISNUMBER(SEARCH(foreign,'Jon Ossoff'!C11)))&gt;0)</f>
        <v>0</v>
      </c>
      <c r="Q11" s="14" cm="1">
        <f t="array" ref="Q11">INT(SUMPRODUCT(--ISNUMBER(SEARCH(gun,'Jon Ossoff'!C11)))&gt;0)</f>
        <v>0</v>
      </c>
      <c r="R11" s="14" cm="1">
        <f t="array" ref="R11">INT(SUMPRODUCT(--ISNUMBER(SEARCH(race,'Jon Ossoff'!C11)))&gt;0)</f>
        <v>0</v>
      </c>
      <c r="S11" s="14" cm="1">
        <f t="array" ref="S11">INT(SUMPRODUCT(--ISNUMBER(SEARCH(immigration,C11)))&gt;0)</f>
        <v>0</v>
      </c>
      <c r="T11" s="14" cm="1">
        <f t="array" ref="T11">INT(SUMPRODUCT(--ISNUMBER(SEARCH(econineq,C11)))&gt;0)</f>
        <v>0</v>
      </c>
      <c r="U11" s="14" cm="1">
        <f t="array" ref="U11">INT(SUMPRODUCT(--ISNUMBER(SEARCH(climate,'Jon Ossoff'!C11)))&gt;0)</f>
        <v>0</v>
      </c>
      <c r="V11" s="14" cm="1">
        <f t="array" ref="V11">INT(SUMPRODUCT(--ISNUMBER(SEARCH(abortion,'Jon Ossoff'!C11)))&gt;0)</f>
        <v>0</v>
      </c>
      <c r="W11" s="14" cm="1">
        <f t="array" ref="W11">INT(SUMPRODUCT(--ISNUMBER(SEARCH(trump,'Jon Ossoff'!C11)))&gt;0)</f>
        <v>0</v>
      </c>
      <c r="X11" s="14" cm="1">
        <f t="array" ref="X11">INT(SUMPRODUCT(--ISNUMBER(SEARCH(voting,'Jon Ossoff'!C11)))&gt;0)</f>
        <v>1</v>
      </c>
      <c r="Y11" s="14" cm="1">
        <f t="array" ref="Y11">INT(SUMPRODUCT(--ISNUMBER(SEARCH(democrattrigger,'Jon Ossoff'!C11)))&gt;0)</f>
        <v>0</v>
      </c>
      <c r="Z11" s="14" cm="1">
        <f t="array" ref="Z11">INT(SUMPRODUCT(--ISNUMBER(SEARCH(bipartisan,'Jon Ossoff'!C11)))&gt;0)</f>
        <v>0</v>
      </c>
      <c r="AA11" s="14">
        <f t="shared" si="0"/>
        <v>0</v>
      </c>
      <c r="AB11" s="14"/>
      <c r="AC11" s="30">
        <v>0</v>
      </c>
      <c r="AD11" s="37">
        <v>0</v>
      </c>
    </row>
    <row r="12" spans="1:30" x14ac:dyDescent="0.25">
      <c r="A12" s="36">
        <v>522</v>
      </c>
      <c r="B12" s="14" t="s">
        <v>1074</v>
      </c>
      <c r="C12" s="31" t="s">
        <v>1075</v>
      </c>
      <c r="D12" s="17">
        <v>44138</v>
      </c>
      <c r="E12" s="14" t="s">
        <v>30</v>
      </c>
      <c r="F12" s="14">
        <v>8859</v>
      </c>
      <c r="G12" s="14">
        <v>1033</v>
      </c>
      <c r="H12" s="14">
        <v>4</v>
      </c>
      <c r="I12" s="14">
        <v>2</v>
      </c>
      <c r="J12" s="14" t="s">
        <v>204</v>
      </c>
      <c r="K12" s="14" cm="1">
        <f t="array" ref="K12">INT(SUMPRODUCT(--ISNUMBER(SEARCH(economy,'Jon Ossoff'!C12)))&gt;0)</f>
        <v>0</v>
      </c>
      <c r="L12" s="14" cm="1">
        <f t="array" ref="L12">INT(SUMPRODUCT(--ISNUMBER(SEARCH(healthcare,'Jon Ossoff'!C12)))&gt;0)</f>
        <v>0</v>
      </c>
      <c r="M12" s="14" cm="1">
        <f t="array" ref="M12">INT(SUMPRODUCT(--ISNUMBER(SEARCH(supreme,'Jon Ossoff'!C12)))&gt;0)</f>
        <v>0</v>
      </c>
      <c r="N12" s="14" cm="1">
        <f t="array" ref="N12">INT(SUMPRODUCT(--ISNUMBER(SEARCH(covid,'Jon Ossoff'!C12)))&gt;0)</f>
        <v>0</v>
      </c>
      <c r="O12" s="14" cm="1">
        <f t="array" ref="O12">INT(SUMPRODUCT(--ISNUMBER(SEARCH(violent,'Jon Ossoff'!C12)))&gt;0)</f>
        <v>0</v>
      </c>
      <c r="P12" s="14" cm="1">
        <f t="array" ref="P12">INT(SUMPRODUCT(--ISNUMBER(SEARCH(foreign,'Jon Ossoff'!C12)))&gt;0)</f>
        <v>0</v>
      </c>
      <c r="Q12" s="14" cm="1">
        <f t="array" ref="Q12">INT(SUMPRODUCT(--ISNUMBER(SEARCH(gun,'Jon Ossoff'!C12)))&gt;0)</f>
        <v>0</v>
      </c>
      <c r="R12" s="14" cm="1">
        <f t="array" ref="R12">INT(SUMPRODUCT(--ISNUMBER(SEARCH(race,'Jon Ossoff'!C12)))&gt;0)</f>
        <v>0</v>
      </c>
      <c r="S12" s="14" cm="1">
        <f t="array" ref="S12">INT(SUMPRODUCT(--ISNUMBER(SEARCH(immigration,C12)))&gt;0)</f>
        <v>0</v>
      </c>
      <c r="T12" s="14" cm="1">
        <f t="array" ref="T12">INT(SUMPRODUCT(--ISNUMBER(SEARCH(econineq,C12)))&gt;0)</f>
        <v>0</v>
      </c>
      <c r="U12" s="14" cm="1">
        <f t="array" ref="U12">INT(SUMPRODUCT(--ISNUMBER(SEARCH(climate,'Jon Ossoff'!C12)))&gt;0)</f>
        <v>0</v>
      </c>
      <c r="V12" s="14" cm="1">
        <f t="array" ref="V12">INT(SUMPRODUCT(--ISNUMBER(SEARCH(abortion,'Jon Ossoff'!C12)))&gt;0)</f>
        <v>0</v>
      </c>
      <c r="W12" s="14" cm="1">
        <f t="array" ref="W12">INT(SUMPRODUCT(--ISNUMBER(SEARCH(trump,'Jon Ossoff'!C12)))&gt;0)</f>
        <v>0</v>
      </c>
      <c r="X12" s="14" cm="1">
        <f t="array" ref="X12">INT(SUMPRODUCT(--ISNUMBER(SEARCH(voting,'Jon Ossoff'!C12)))&gt;0)</f>
        <v>1</v>
      </c>
      <c r="Y12" s="14" cm="1">
        <f t="array" ref="Y12">INT(SUMPRODUCT(--ISNUMBER(SEARCH(democrattrigger,'Jon Ossoff'!C12)))&gt;0)</f>
        <v>0</v>
      </c>
      <c r="Z12" s="14" cm="1">
        <f t="array" ref="Z12">INT(SUMPRODUCT(--ISNUMBER(SEARCH(bipartisan,'Jon Ossoff'!C12)))&gt;0)</f>
        <v>0</v>
      </c>
      <c r="AA12" s="14">
        <f t="shared" si="0"/>
        <v>0</v>
      </c>
      <c r="AB12" s="14"/>
      <c r="AC12" s="30">
        <v>0</v>
      </c>
      <c r="AD12" s="37">
        <v>0</v>
      </c>
    </row>
    <row r="13" spans="1:30" x14ac:dyDescent="0.25">
      <c r="A13" s="36">
        <v>523</v>
      </c>
      <c r="B13" s="14" t="s">
        <v>1076</v>
      </c>
      <c r="C13" s="31" t="s">
        <v>1077</v>
      </c>
      <c r="D13" s="17">
        <v>44138</v>
      </c>
      <c r="E13" s="14" t="s">
        <v>30</v>
      </c>
      <c r="F13" s="14">
        <v>11527</v>
      </c>
      <c r="G13" s="14">
        <v>1347</v>
      </c>
      <c r="H13" s="14">
        <v>4</v>
      </c>
      <c r="I13" s="14">
        <v>2</v>
      </c>
      <c r="J13" s="14" t="s">
        <v>204</v>
      </c>
      <c r="K13" s="14" cm="1">
        <f t="array" ref="K13">INT(SUMPRODUCT(--ISNUMBER(SEARCH(economy,'Jon Ossoff'!C13)))&gt;0)</f>
        <v>0</v>
      </c>
      <c r="L13" s="14" cm="1">
        <f t="array" ref="L13">INT(SUMPRODUCT(--ISNUMBER(SEARCH(healthcare,'Jon Ossoff'!C13)))&gt;0)</f>
        <v>0</v>
      </c>
      <c r="M13" s="14" cm="1">
        <f t="array" ref="M13">INT(SUMPRODUCT(--ISNUMBER(SEARCH(supreme,'Jon Ossoff'!C13)))&gt;0)</f>
        <v>0</v>
      </c>
      <c r="N13" s="14" cm="1">
        <f t="array" ref="N13">INT(SUMPRODUCT(--ISNUMBER(SEARCH(covid,'Jon Ossoff'!C13)))&gt;0)</f>
        <v>0</v>
      </c>
      <c r="O13" s="14" cm="1">
        <f t="array" ref="O13">INT(SUMPRODUCT(--ISNUMBER(SEARCH(violent,'Jon Ossoff'!C13)))&gt;0)</f>
        <v>0</v>
      </c>
      <c r="P13" s="14" cm="1">
        <f t="array" ref="P13">INT(SUMPRODUCT(--ISNUMBER(SEARCH(foreign,'Jon Ossoff'!C13)))&gt;0)</f>
        <v>0</v>
      </c>
      <c r="Q13" s="14" cm="1">
        <f t="array" ref="Q13">INT(SUMPRODUCT(--ISNUMBER(SEARCH(gun,'Jon Ossoff'!C13)))&gt;0)</f>
        <v>0</v>
      </c>
      <c r="R13" s="14" cm="1">
        <f t="array" ref="R13">INT(SUMPRODUCT(--ISNUMBER(SEARCH(race,'Jon Ossoff'!C13)))&gt;0)</f>
        <v>0</v>
      </c>
      <c r="S13" s="14" cm="1">
        <f t="array" ref="S13">INT(SUMPRODUCT(--ISNUMBER(SEARCH(immigration,C13)))&gt;0)</f>
        <v>0</v>
      </c>
      <c r="T13" s="14" cm="1">
        <f t="array" ref="T13">INT(SUMPRODUCT(--ISNUMBER(SEARCH(econineq,C13)))&gt;0)</f>
        <v>0</v>
      </c>
      <c r="U13" s="14" cm="1">
        <f t="array" ref="U13">INT(SUMPRODUCT(--ISNUMBER(SEARCH(climate,'Jon Ossoff'!C13)))&gt;0)</f>
        <v>0</v>
      </c>
      <c r="V13" s="14" cm="1">
        <f t="array" ref="V13">INT(SUMPRODUCT(--ISNUMBER(SEARCH(abortion,'Jon Ossoff'!C13)))&gt;0)</f>
        <v>0</v>
      </c>
      <c r="W13" s="14" cm="1">
        <f t="array" ref="W13">INT(SUMPRODUCT(--ISNUMBER(SEARCH(trump,'Jon Ossoff'!C13)))&gt;0)</f>
        <v>0</v>
      </c>
      <c r="X13" s="14" cm="1">
        <f t="array" ref="X13">INT(SUMPRODUCT(--ISNUMBER(SEARCH(voting,'Jon Ossoff'!C13)))&gt;0)</f>
        <v>0</v>
      </c>
      <c r="Y13" s="14" cm="1">
        <f t="array" ref="Y13">INT(SUMPRODUCT(--ISNUMBER(SEARCH(democrattrigger,'Jon Ossoff'!C13)))&gt;0)</f>
        <v>0</v>
      </c>
      <c r="Z13" s="14" cm="1">
        <f t="array" ref="Z13">INT(SUMPRODUCT(--ISNUMBER(SEARCH(bipartisan,'Jon Ossoff'!C13)))&gt;0)</f>
        <v>0</v>
      </c>
      <c r="AA13" s="14">
        <f t="shared" si="0"/>
        <v>1</v>
      </c>
      <c r="AB13" s="14"/>
      <c r="AC13" s="30">
        <v>1</v>
      </c>
      <c r="AD13" s="37">
        <v>0</v>
      </c>
    </row>
    <row r="14" spans="1:30" x14ac:dyDescent="0.25">
      <c r="A14" s="36">
        <v>524</v>
      </c>
      <c r="B14" s="14" t="s">
        <v>1078</v>
      </c>
      <c r="C14" s="31" t="s">
        <v>1079</v>
      </c>
      <c r="D14" s="17">
        <v>44138</v>
      </c>
      <c r="E14" s="14" t="s">
        <v>70</v>
      </c>
      <c r="F14" s="14">
        <v>1924</v>
      </c>
      <c r="G14" s="14">
        <v>628</v>
      </c>
      <c r="H14" s="14">
        <v>4</v>
      </c>
      <c r="I14" s="14">
        <v>2</v>
      </c>
      <c r="J14" s="14" t="s">
        <v>204</v>
      </c>
      <c r="K14" s="14" cm="1">
        <f t="array" ref="K14">INT(SUMPRODUCT(--ISNUMBER(SEARCH(economy,'Jon Ossoff'!C14)))&gt;0)</f>
        <v>0</v>
      </c>
      <c r="L14" s="14" cm="1">
        <f t="array" ref="L14">INT(SUMPRODUCT(--ISNUMBER(SEARCH(healthcare,'Jon Ossoff'!C14)))&gt;0)</f>
        <v>0</v>
      </c>
      <c r="M14" s="14" cm="1">
        <f t="array" ref="M14">INT(SUMPRODUCT(--ISNUMBER(SEARCH(supreme,'Jon Ossoff'!C14)))&gt;0)</f>
        <v>0</v>
      </c>
      <c r="N14" s="14" cm="1">
        <f t="array" ref="N14">INT(SUMPRODUCT(--ISNUMBER(SEARCH(covid,'Jon Ossoff'!C14)))&gt;0)</f>
        <v>0</v>
      </c>
      <c r="O14" s="14" cm="1">
        <f t="array" ref="O14">INT(SUMPRODUCT(--ISNUMBER(SEARCH(violent,'Jon Ossoff'!C14)))&gt;0)</f>
        <v>0</v>
      </c>
      <c r="P14" s="14" cm="1">
        <f t="array" ref="P14">INT(SUMPRODUCT(--ISNUMBER(SEARCH(foreign,'Jon Ossoff'!C14)))&gt;0)</f>
        <v>0</v>
      </c>
      <c r="Q14" s="14" cm="1">
        <f t="array" ref="Q14">INT(SUMPRODUCT(--ISNUMBER(SEARCH(gun,'Jon Ossoff'!C14)))&gt;0)</f>
        <v>0</v>
      </c>
      <c r="R14" s="14" cm="1">
        <f t="array" ref="R14">INT(SUMPRODUCT(--ISNUMBER(SEARCH(race,'Jon Ossoff'!C14)))&gt;0)</f>
        <v>0</v>
      </c>
      <c r="S14" s="14" cm="1">
        <f t="array" ref="S14">INT(SUMPRODUCT(--ISNUMBER(SEARCH(immigration,C14)))&gt;0)</f>
        <v>0</v>
      </c>
      <c r="T14" s="14" cm="1">
        <f t="array" ref="T14">INT(SUMPRODUCT(--ISNUMBER(SEARCH(econineq,C14)))&gt;0)</f>
        <v>0</v>
      </c>
      <c r="U14" s="14" cm="1">
        <f t="array" ref="U14">INT(SUMPRODUCT(--ISNUMBER(SEARCH(climate,'Jon Ossoff'!C14)))&gt;0)</f>
        <v>0</v>
      </c>
      <c r="V14" s="14" cm="1">
        <f t="array" ref="V14">INT(SUMPRODUCT(--ISNUMBER(SEARCH(abortion,'Jon Ossoff'!C14)))&gt;0)</f>
        <v>0</v>
      </c>
      <c r="W14" s="14" cm="1">
        <f t="array" ref="W14">INT(SUMPRODUCT(--ISNUMBER(SEARCH(trump,'Jon Ossoff'!C14)))&gt;0)</f>
        <v>0</v>
      </c>
      <c r="X14" s="14" cm="1">
        <f t="array" ref="X14">INT(SUMPRODUCT(--ISNUMBER(SEARCH(voting,'Jon Ossoff'!C14)))&gt;0)</f>
        <v>1</v>
      </c>
      <c r="Y14" s="14" cm="1">
        <f t="array" ref="Y14">INT(SUMPRODUCT(--ISNUMBER(SEARCH(democrattrigger,'Jon Ossoff'!C14)))&gt;0)</f>
        <v>0</v>
      </c>
      <c r="Z14" s="14" cm="1">
        <f t="array" ref="Z14">INT(SUMPRODUCT(--ISNUMBER(SEARCH(bipartisan,'Jon Ossoff'!C14)))&gt;0)</f>
        <v>0</v>
      </c>
      <c r="AA14" s="14">
        <f t="shared" si="0"/>
        <v>0</v>
      </c>
      <c r="AB14" s="14"/>
      <c r="AC14" s="30">
        <v>0</v>
      </c>
      <c r="AD14" s="37">
        <v>0</v>
      </c>
    </row>
    <row r="15" spans="1:30" x14ac:dyDescent="0.25">
      <c r="A15" s="36">
        <v>525</v>
      </c>
      <c r="B15" s="14" t="s">
        <v>1080</v>
      </c>
      <c r="C15" s="31" t="s">
        <v>1081</v>
      </c>
      <c r="D15" s="17">
        <v>44138</v>
      </c>
      <c r="E15" s="14" t="s">
        <v>30</v>
      </c>
      <c r="F15" s="14">
        <v>9733</v>
      </c>
      <c r="G15" s="14">
        <v>1526</v>
      </c>
      <c r="H15" s="14">
        <v>4</v>
      </c>
      <c r="I15" s="14">
        <v>2</v>
      </c>
      <c r="J15" s="14" t="s">
        <v>204</v>
      </c>
      <c r="K15" s="14" cm="1">
        <f t="array" ref="K15">INT(SUMPRODUCT(--ISNUMBER(SEARCH(economy,'Jon Ossoff'!C15)))&gt;0)</f>
        <v>0</v>
      </c>
      <c r="L15" s="14" cm="1">
        <f t="array" ref="L15">INT(SUMPRODUCT(--ISNUMBER(SEARCH(healthcare,'Jon Ossoff'!C15)))&gt;0)</f>
        <v>0</v>
      </c>
      <c r="M15" s="14" cm="1">
        <f t="array" ref="M15">INT(SUMPRODUCT(--ISNUMBER(SEARCH(supreme,'Jon Ossoff'!C15)))&gt;0)</f>
        <v>0</v>
      </c>
      <c r="N15" s="14" cm="1">
        <f t="array" ref="N15">INT(SUMPRODUCT(--ISNUMBER(SEARCH(covid,'Jon Ossoff'!C15)))&gt;0)</f>
        <v>0</v>
      </c>
      <c r="O15" s="14" cm="1">
        <f t="array" ref="O15">INT(SUMPRODUCT(--ISNUMBER(SEARCH(violent,'Jon Ossoff'!C15)))&gt;0)</f>
        <v>0</v>
      </c>
      <c r="P15" s="14" cm="1">
        <f t="array" ref="P15">INT(SUMPRODUCT(--ISNUMBER(SEARCH(foreign,'Jon Ossoff'!C15)))&gt;0)</f>
        <v>0</v>
      </c>
      <c r="Q15" s="14" cm="1">
        <f t="array" ref="Q15">INT(SUMPRODUCT(--ISNUMBER(SEARCH(gun,'Jon Ossoff'!C15)))&gt;0)</f>
        <v>0</v>
      </c>
      <c r="R15" s="14" cm="1">
        <f t="array" ref="R15">INT(SUMPRODUCT(--ISNUMBER(SEARCH(race,'Jon Ossoff'!C15)))&gt;0)</f>
        <v>0</v>
      </c>
      <c r="S15" s="14" cm="1">
        <f t="array" ref="S15">INT(SUMPRODUCT(--ISNUMBER(SEARCH(immigration,C15)))&gt;0)</f>
        <v>0</v>
      </c>
      <c r="T15" s="14" cm="1">
        <f t="array" ref="T15">INT(SUMPRODUCT(--ISNUMBER(SEARCH(econineq,C15)))&gt;0)</f>
        <v>0</v>
      </c>
      <c r="U15" s="14" cm="1">
        <f t="array" ref="U15">INT(SUMPRODUCT(--ISNUMBER(SEARCH(climate,'Jon Ossoff'!C15)))&gt;0)</f>
        <v>0</v>
      </c>
      <c r="V15" s="14" cm="1">
        <f t="array" ref="V15">INT(SUMPRODUCT(--ISNUMBER(SEARCH(abortion,'Jon Ossoff'!C15)))&gt;0)</f>
        <v>0</v>
      </c>
      <c r="W15" s="14" cm="1">
        <f t="array" ref="W15">INT(SUMPRODUCT(--ISNUMBER(SEARCH(trump,'Jon Ossoff'!C15)))&gt;0)</f>
        <v>0</v>
      </c>
      <c r="X15" s="14" cm="1">
        <f t="array" ref="X15">INT(SUMPRODUCT(--ISNUMBER(SEARCH(voting,'Jon Ossoff'!C15)))&gt;0)</f>
        <v>0</v>
      </c>
      <c r="Y15" s="14" cm="1">
        <f t="array" ref="Y15">INT(SUMPRODUCT(--ISNUMBER(SEARCH(democrattrigger,'Jon Ossoff'!C15)))&gt;0)</f>
        <v>0</v>
      </c>
      <c r="Z15" s="14" cm="1">
        <f t="array" ref="Z15">INT(SUMPRODUCT(--ISNUMBER(SEARCH(bipartisan,'Jon Ossoff'!C15)))&gt;0)</f>
        <v>0</v>
      </c>
      <c r="AA15" s="14">
        <f t="shared" si="0"/>
        <v>1</v>
      </c>
      <c r="AB15" s="14"/>
      <c r="AC15" s="30">
        <v>0</v>
      </c>
      <c r="AD15" s="37">
        <v>0</v>
      </c>
    </row>
    <row r="16" spans="1:30" x14ac:dyDescent="0.25">
      <c r="A16" s="36">
        <v>526</v>
      </c>
      <c r="B16" s="14" t="s">
        <v>1082</v>
      </c>
      <c r="C16" s="31" t="s">
        <v>1083</v>
      </c>
      <c r="D16" s="17">
        <v>44138</v>
      </c>
      <c r="E16" s="14" t="s">
        <v>30</v>
      </c>
      <c r="F16" s="14">
        <v>7523</v>
      </c>
      <c r="G16" s="14">
        <v>1535</v>
      </c>
      <c r="H16" s="14">
        <v>4</v>
      </c>
      <c r="I16" s="14">
        <v>2</v>
      </c>
      <c r="J16" s="14" t="s">
        <v>204</v>
      </c>
      <c r="K16" s="14" cm="1">
        <f t="array" ref="K16">INT(SUMPRODUCT(--ISNUMBER(SEARCH(economy,'Jon Ossoff'!C16)))&gt;0)</f>
        <v>0</v>
      </c>
      <c r="L16" s="14" cm="1">
        <f t="array" ref="L16">INT(SUMPRODUCT(--ISNUMBER(SEARCH(healthcare,'Jon Ossoff'!C16)))&gt;0)</f>
        <v>0</v>
      </c>
      <c r="M16" s="14" cm="1">
        <f t="array" ref="M16">INT(SUMPRODUCT(--ISNUMBER(SEARCH(supreme,'Jon Ossoff'!C16)))&gt;0)</f>
        <v>0</v>
      </c>
      <c r="N16" s="14" cm="1">
        <f t="array" ref="N16">INT(SUMPRODUCT(--ISNUMBER(SEARCH(covid,'Jon Ossoff'!C16)))&gt;0)</f>
        <v>0</v>
      </c>
      <c r="O16" s="14" cm="1">
        <f t="array" ref="O16">INT(SUMPRODUCT(--ISNUMBER(SEARCH(violent,'Jon Ossoff'!C16)))&gt;0)</f>
        <v>0</v>
      </c>
      <c r="P16" s="14" cm="1">
        <f t="array" ref="P16">INT(SUMPRODUCT(--ISNUMBER(SEARCH(foreign,'Jon Ossoff'!C16)))&gt;0)</f>
        <v>0</v>
      </c>
      <c r="Q16" s="14" cm="1">
        <f t="array" ref="Q16">INT(SUMPRODUCT(--ISNUMBER(SEARCH(gun,'Jon Ossoff'!C16)))&gt;0)</f>
        <v>0</v>
      </c>
      <c r="R16" s="14" cm="1">
        <f t="array" ref="R16">INT(SUMPRODUCT(--ISNUMBER(SEARCH(race,'Jon Ossoff'!C16)))&gt;0)</f>
        <v>0</v>
      </c>
      <c r="S16" s="14" cm="1">
        <f t="array" ref="S16">INT(SUMPRODUCT(--ISNUMBER(SEARCH(immigration,C16)))&gt;0)</f>
        <v>0</v>
      </c>
      <c r="T16" s="14" cm="1">
        <f t="array" ref="T16">INT(SUMPRODUCT(--ISNUMBER(SEARCH(econineq,C16)))&gt;0)</f>
        <v>0</v>
      </c>
      <c r="U16" s="14" cm="1">
        <f t="array" ref="U16">INT(SUMPRODUCT(--ISNUMBER(SEARCH(climate,'Jon Ossoff'!C16)))&gt;0)</f>
        <v>0</v>
      </c>
      <c r="V16" s="14" cm="1">
        <f t="array" ref="V16">INT(SUMPRODUCT(--ISNUMBER(SEARCH(abortion,'Jon Ossoff'!C16)))&gt;0)</f>
        <v>0</v>
      </c>
      <c r="W16" s="14" cm="1">
        <f t="array" ref="W16">INT(SUMPRODUCT(--ISNUMBER(SEARCH(trump,'Jon Ossoff'!C16)))&gt;0)</f>
        <v>0</v>
      </c>
      <c r="X16" s="14" cm="1">
        <f t="array" ref="X16">INT(SUMPRODUCT(--ISNUMBER(SEARCH(voting,'Jon Ossoff'!C16)))&gt;0)</f>
        <v>1</v>
      </c>
      <c r="Y16" s="14" cm="1">
        <f t="array" ref="Y16">INT(SUMPRODUCT(--ISNUMBER(SEARCH(democrattrigger,'Jon Ossoff'!C16)))&gt;0)</f>
        <v>1</v>
      </c>
      <c r="Z16" s="14" cm="1">
        <f t="array" ref="Z16">INT(SUMPRODUCT(--ISNUMBER(SEARCH(bipartisan,'Jon Ossoff'!C16)))&gt;0)</f>
        <v>0</v>
      </c>
      <c r="AA16" s="14">
        <f t="shared" si="0"/>
        <v>0</v>
      </c>
      <c r="AB16" s="14"/>
      <c r="AC16" s="30">
        <v>0</v>
      </c>
      <c r="AD16" s="37">
        <v>1</v>
      </c>
    </row>
    <row r="17" spans="1:30" x14ac:dyDescent="0.25">
      <c r="A17" s="36">
        <v>527</v>
      </c>
      <c r="B17" s="14" t="s">
        <v>1084</v>
      </c>
      <c r="C17" s="31" t="s">
        <v>1085</v>
      </c>
      <c r="D17" s="17">
        <v>44137</v>
      </c>
      <c r="E17" s="14" t="s">
        <v>30</v>
      </c>
      <c r="F17" s="14">
        <v>6675</v>
      </c>
      <c r="G17" s="14">
        <v>1453</v>
      </c>
      <c r="H17" s="14">
        <v>4</v>
      </c>
      <c r="I17" s="14">
        <v>2</v>
      </c>
      <c r="J17" s="14" t="s">
        <v>204</v>
      </c>
      <c r="K17" s="14" cm="1">
        <f t="array" ref="K17">INT(SUMPRODUCT(--ISNUMBER(SEARCH(economy,'Jon Ossoff'!C17)))&gt;0)</f>
        <v>0</v>
      </c>
      <c r="L17" s="14" cm="1">
        <f t="array" ref="L17">INT(SUMPRODUCT(--ISNUMBER(SEARCH(healthcare,'Jon Ossoff'!C17)))&gt;0)</f>
        <v>0</v>
      </c>
      <c r="M17" s="14" cm="1">
        <f t="array" ref="M17">INT(SUMPRODUCT(--ISNUMBER(SEARCH(supreme,'Jon Ossoff'!C17)))&gt;0)</f>
        <v>0</v>
      </c>
      <c r="N17" s="14" cm="1">
        <f t="array" ref="N17">INT(SUMPRODUCT(--ISNUMBER(SEARCH(covid,'Jon Ossoff'!C17)))&gt;0)</f>
        <v>1</v>
      </c>
      <c r="O17" s="14" cm="1">
        <f t="array" ref="O17">INT(SUMPRODUCT(--ISNUMBER(SEARCH(violent,'Jon Ossoff'!C17)))&gt;0)</f>
        <v>0</v>
      </c>
      <c r="P17" s="14" cm="1">
        <f t="array" ref="P17">INT(SUMPRODUCT(--ISNUMBER(SEARCH(foreign,'Jon Ossoff'!C17)))&gt;0)</f>
        <v>0</v>
      </c>
      <c r="Q17" s="14" cm="1">
        <f t="array" ref="Q17">INT(SUMPRODUCT(--ISNUMBER(SEARCH(gun,'Jon Ossoff'!C17)))&gt;0)</f>
        <v>0</v>
      </c>
      <c r="R17" s="14" cm="1">
        <f t="array" ref="R17">INT(SUMPRODUCT(--ISNUMBER(SEARCH(race,'Jon Ossoff'!C17)))&gt;0)</f>
        <v>0</v>
      </c>
      <c r="S17" s="14" cm="1">
        <f t="array" ref="S17">INT(SUMPRODUCT(--ISNUMBER(SEARCH(immigration,C17)))&gt;0)</f>
        <v>0</v>
      </c>
      <c r="T17" s="14" cm="1">
        <f t="array" ref="T17">INT(SUMPRODUCT(--ISNUMBER(SEARCH(econineq,C17)))&gt;0)</f>
        <v>0</v>
      </c>
      <c r="U17" s="14" cm="1">
        <f t="array" ref="U17">INT(SUMPRODUCT(--ISNUMBER(SEARCH(climate,'Jon Ossoff'!C17)))&gt;0)</f>
        <v>0</v>
      </c>
      <c r="V17" s="14" cm="1">
        <f t="array" ref="V17">INT(SUMPRODUCT(--ISNUMBER(SEARCH(abortion,'Jon Ossoff'!C17)))&gt;0)</f>
        <v>0</v>
      </c>
      <c r="W17" s="14" cm="1">
        <f t="array" ref="W17">INT(SUMPRODUCT(--ISNUMBER(SEARCH(trump,'Jon Ossoff'!C17)))&gt;0)</f>
        <v>0</v>
      </c>
      <c r="X17" s="14" cm="1">
        <f t="array" ref="X17">INT(SUMPRODUCT(--ISNUMBER(SEARCH(voting,'Jon Ossoff'!C17)))&gt;0)</f>
        <v>1</v>
      </c>
      <c r="Y17" s="14" cm="1">
        <f t="array" ref="Y17">INT(SUMPRODUCT(--ISNUMBER(SEARCH(democrattrigger,'Jon Ossoff'!C17)))&gt;0)</f>
        <v>0</v>
      </c>
      <c r="Z17" s="14" cm="1">
        <f t="array" ref="Z17">INT(SUMPRODUCT(--ISNUMBER(SEARCH(bipartisan,'Jon Ossoff'!C17)))&gt;0)</f>
        <v>0</v>
      </c>
      <c r="AA17" s="14">
        <f t="shared" si="0"/>
        <v>0</v>
      </c>
      <c r="AB17" s="14"/>
      <c r="AC17" s="30">
        <v>0</v>
      </c>
      <c r="AD17" s="37">
        <v>0</v>
      </c>
    </row>
    <row r="18" spans="1:30" x14ac:dyDescent="0.25">
      <c r="A18" s="36">
        <v>528</v>
      </c>
      <c r="B18" s="14" t="s">
        <v>1086</v>
      </c>
      <c r="C18" s="31" t="s">
        <v>1087</v>
      </c>
      <c r="D18" s="17">
        <v>44137</v>
      </c>
      <c r="E18" s="14" t="s">
        <v>30</v>
      </c>
      <c r="F18" s="14">
        <v>1886</v>
      </c>
      <c r="G18" s="14">
        <v>281</v>
      </c>
      <c r="H18" s="14">
        <v>4</v>
      </c>
      <c r="I18" s="14">
        <v>2</v>
      </c>
      <c r="J18" s="14" t="s">
        <v>204</v>
      </c>
      <c r="K18" s="14" cm="1">
        <f t="array" ref="K18">INT(SUMPRODUCT(--ISNUMBER(SEARCH(economy,'Jon Ossoff'!C18)))&gt;0)</f>
        <v>0</v>
      </c>
      <c r="L18" s="14" cm="1">
        <f t="array" ref="L18">INT(SUMPRODUCT(--ISNUMBER(SEARCH(healthcare,'Jon Ossoff'!C18)))&gt;0)</f>
        <v>0</v>
      </c>
      <c r="M18" s="14" cm="1">
        <f t="array" ref="M18">INT(SUMPRODUCT(--ISNUMBER(SEARCH(supreme,'Jon Ossoff'!C18)))&gt;0)</f>
        <v>0</v>
      </c>
      <c r="N18" s="14" cm="1">
        <f t="array" ref="N18">INT(SUMPRODUCT(--ISNUMBER(SEARCH(covid,'Jon Ossoff'!C18)))&gt;0)</f>
        <v>0</v>
      </c>
      <c r="O18" s="14" cm="1">
        <f t="array" ref="O18">INT(SUMPRODUCT(--ISNUMBER(SEARCH(violent,'Jon Ossoff'!C18)))&gt;0)</f>
        <v>0</v>
      </c>
      <c r="P18" s="14" cm="1">
        <f t="array" ref="P18">INT(SUMPRODUCT(--ISNUMBER(SEARCH(foreign,'Jon Ossoff'!C18)))&gt;0)</f>
        <v>0</v>
      </c>
      <c r="Q18" s="14" cm="1">
        <f t="array" ref="Q18">INT(SUMPRODUCT(--ISNUMBER(SEARCH(gun,'Jon Ossoff'!C18)))&gt;0)</f>
        <v>0</v>
      </c>
      <c r="R18" s="14" cm="1">
        <f t="array" ref="R18">INT(SUMPRODUCT(--ISNUMBER(SEARCH(race,'Jon Ossoff'!C18)))&gt;0)</f>
        <v>0</v>
      </c>
      <c r="S18" s="14" cm="1">
        <f t="array" ref="S18">INT(SUMPRODUCT(--ISNUMBER(SEARCH(immigration,C18)))&gt;0)</f>
        <v>0</v>
      </c>
      <c r="T18" s="14" cm="1">
        <f t="array" ref="T18">INT(SUMPRODUCT(--ISNUMBER(SEARCH(econineq,C18)))&gt;0)</f>
        <v>0</v>
      </c>
      <c r="U18" s="14" cm="1">
        <f t="array" ref="U18">INT(SUMPRODUCT(--ISNUMBER(SEARCH(climate,'Jon Ossoff'!C18)))&gt;0)</f>
        <v>0</v>
      </c>
      <c r="V18" s="14" cm="1">
        <f t="array" ref="V18">INT(SUMPRODUCT(--ISNUMBER(SEARCH(abortion,'Jon Ossoff'!C18)))&gt;0)</f>
        <v>0</v>
      </c>
      <c r="W18" s="14" cm="1">
        <f t="array" ref="W18">INT(SUMPRODUCT(--ISNUMBER(SEARCH(trump,'Jon Ossoff'!C18)))&gt;0)</f>
        <v>1</v>
      </c>
      <c r="X18" s="14" cm="1">
        <f t="array" ref="X18">INT(SUMPRODUCT(--ISNUMBER(SEARCH(voting,'Jon Ossoff'!C18)))&gt;0)</f>
        <v>0</v>
      </c>
      <c r="Y18" s="14" cm="1">
        <f t="array" ref="Y18">INT(SUMPRODUCT(--ISNUMBER(SEARCH(democrattrigger,'Jon Ossoff'!C18)))&gt;0)</f>
        <v>0</v>
      </c>
      <c r="Z18" s="14" cm="1">
        <f t="array" ref="Z18">INT(SUMPRODUCT(--ISNUMBER(SEARCH(bipartisan,'Jon Ossoff'!C18)))&gt;0)</f>
        <v>0</v>
      </c>
      <c r="AA18" s="14">
        <f t="shared" si="0"/>
        <v>0</v>
      </c>
      <c r="AB18" s="14"/>
      <c r="AC18" s="30">
        <v>1</v>
      </c>
      <c r="AD18" s="37">
        <v>1</v>
      </c>
    </row>
    <row r="19" spans="1:30" x14ac:dyDescent="0.25">
      <c r="A19" s="36">
        <v>529</v>
      </c>
      <c r="B19" s="14" t="s">
        <v>1088</v>
      </c>
      <c r="C19" s="31" t="s">
        <v>1089</v>
      </c>
      <c r="D19" s="17">
        <v>44137</v>
      </c>
      <c r="E19" s="14" t="s">
        <v>30</v>
      </c>
      <c r="F19" s="14">
        <v>17960</v>
      </c>
      <c r="G19" s="14">
        <v>2803</v>
      </c>
      <c r="H19" s="14">
        <v>4</v>
      </c>
      <c r="I19" s="14">
        <v>2</v>
      </c>
      <c r="J19" s="14" t="s">
        <v>204</v>
      </c>
      <c r="K19" s="14" cm="1">
        <f t="array" ref="K19">INT(SUMPRODUCT(--ISNUMBER(SEARCH(economy,'Jon Ossoff'!C19)))&gt;0)</f>
        <v>0</v>
      </c>
      <c r="L19" s="14" cm="1">
        <f t="array" ref="L19">INT(SUMPRODUCT(--ISNUMBER(SEARCH(healthcare,'Jon Ossoff'!C19)))&gt;0)</f>
        <v>0</v>
      </c>
      <c r="M19" s="14" cm="1">
        <f t="array" ref="M19">INT(SUMPRODUCT(--ISNUMBER(SEARCH(supreme,'Jon Ossoff'!C19)))&gt;0)</f>
        <v>0</v>
      </c>
      <c r="N19" s="14" cm="1">
        <f t="array" ref="N19">INT(SUMPRODUCT(--ISNUMBER(SEARCH(covid,'Jon Ossoff'!C19)))&gt;0)</f>
        <v>0</v>
      </c>
      <c r="O19" s="14" cm="1">
        <f t="array" ref="O19">INT(SUMPRODUCT(--ISNUMBER(SEARCH(violent,'Jon Ossoff'!C19)))&gt;0)</f>
        <v>0</v>
      </c>
      <c r="P19" s="14" cm="1">
        <f t="array" ref="P19">INT(SUMPRODUCT(--ISNUMBER(SEARCH(foreign,'Jon Ossoff'!C19)))&gt;0)</f>
        <v>0</v>
      </c>
      <c r="Q19" s="14" cm="1">
        <f t="array" ref="Q19">INT(SUMPRODUCT(--ISNUMBER(SEARCH(gun,'Jon Ossoff'!C19)))&gt;0)</f>
        <v>0</v>
      </c>
      <c r="R19" s="14" cm="1">
        <f t="array" ref="R19">INT(SUMPRODUCT(--ISNUMBER(SEARCH(race,'Jon Ossoff'!C19)))&gt;0)</f>
        <v>0</v>
      </c>
      <c r="S19" s="14" cm="1">
        <f t="array" ref="S19">INT(SUMPRODUCT(--ISNUMBER(SEARCH(immigration,C19)))&gt;0)</f>
        <v>0</v>
      </c>
      <c r="T19" s="14" cm="1">
        <f t="array" ref="T19">INT(SUMPRODUCT(--ISNUMBER(SEARCH(econineq,C19)))&gt;0)</f>
        <v>0</v>
      </c>
      <c r="U19" s="14" cm="1">
        <f t="array" ref="U19">INT(SUMPRODUCT(--ISNUMBER(SEARCH(climate,'Jon Ossoff'!C19)))&gt;0)</f>
        <v>0</v>
      </c>
      <c r="V19" s="14" cm="1">
        <f t="array" ref="V19">INT(SUMPRODUCT(--ISNUMBER(SEARCH(abortion,'Jon Ossoff'!C19)))&gt;0)</f>
        <v>0</v>
      </c>
      <c r="W19" s="14" cm="1">
        <f t="array" ref="W19">INT(SUMPRODUCT(--ISNUMBER(SEARCH(trump,'Jon Ossoff'!C19)))&gt;0)</f>
        <v>0</v>
      </c>
      <c r="X19" s="14" cm="1">
        <f t="array" ref="X19">INT(SUMPRODUCT(--ISNUMBER(SEARCH(voting,'Jon Ossoff'!C19)))&gt;0)</f>
        <v>0</v>
      </c>
      <c r="Y19" s="14" cm="1">
        <f t="array" ref="Y19">INT(SUMPRODUCT(--ISNUMBER(SEARCH(democrattrigger,'Jon Ossoff'!C19)))&gt;0)</f>
        <v>0</v>
      </c>
      <c r="Z19" s="14" cm="1">
        <f t="array" ref="Z19">INT(SUMPRODUCT(--ISNUMBER(SEARCH(bipartisan,'Jon Ossoff'!C19)))&gt;0)</f>
        <v>0</v>
      </c>
      <c r="AA19" s="14">
        <f t="shared" si="0"/>
        <v>1</v>
      </c>
      <c r="AB19" s="14"/>
      <c r="AC19" s="30">
        <v>1</v>
      </c>
      <c r="AD19" s="37">
        <v>0</v>
      </c>
    </row>
    <row r="20" spans="1:30" x14ac:dyDescent="0.25">
      <c r="A20" s="36">
        <v>530</v>
      </c>
      <c r="B20" s="14" t="s">
        <v>1090</v>
      </c>
      <c r="C20" s="31" t="s">
        <v>1091</v>
      </c>
      <c r="D20" s="17">
        <v>44137</v>
      </c>
      <c r="E20" s="14" t="s">
        <v>30</v>
      </c>
      <c r="F20" s="14">
        <v>17333</v>
      </c>
      <c r="G20" s="14">
        <v>2161</v>
      </c>
      <c r="H20" s="14">
        <v>4</v>
      </c>
      <c r="I20" s="14">
        <v>2</v>
      </c>
      <c r="J20" s="14" t="s">
        <v>204</v>
      </c>
      <c r="K20" s="14" cm="1">
        <f t="array" ref="K20">INT(SUMPRODUCT(--ISNUMBER(SEARCH(economy,'Jon Ossoff'!C20)))&gt;0)</f>
        <v>0</v>
      </c>
      <c r="L20" s="14" cm="1">
        <f t="array" ref="L20">INT(SUMPRODUCT(--ISNUMBER(SEARCH(healthcare,'Jon Ossoff'!C20)))&gt;0)</f>
        <v>0</v>
      </c>
      <c r="M20" s="14" cm="1">
        <f t="array" ref="M20">INT(SUMPRODUCT(--ISNUMBER(SEARCH(supreme,'Jon Ossoff'!C20)))&gt;0)</f>
        <v>0</v>
      </c>
      <c r="N20" s="14" cm="1">
        <f t="array" ref="N20">INT(SUMPRODUCT(--ISNUMBER(SEARCH(covid,'Jon Ossoff'!C20)))&gt;0)</f>
        <v>0</v>
      </c>
      <c r="O20" s="14" cm="1">
        <f t="array" ref="O20">INT(SUMPRODUCT(--ISNUMBER(SEARCH(violent,'Jon Ossoff'!C20)))&gt;0)</f>
        <v>0</v>
      </c>
      <c r="P20" s="14" cm="1">
        <f t="array" ref="P20">INT(SUMPRODUCT(--ISNUMBER(SEARCH(foreign,'Jon Ossoff'!C20)))&gt;0)</f>
        <v>0</v>
      </c>
      <c r="Q20" s="14" cm="1">
        <f t="array" ref="Q20">INT(SUMPRODUCT(--ISNUMBER(SEARCH(gun,'Jon Ossoff'!C20)))&gt;0)</f>
        <v>0</v>
      </c>
      <c r="R20" s="14" cm="1">
        <f t="array" ref="R20">INT(SUMPRODUCT(--ISNUMBER(SEARCH(race,'Jon Ossoff'!C20)))&gt;0)</f>
        <v>0</v>
      </c>
      <c r="S20" s="14" cm="1">
        <f t="array" ref="S20">INT(SUMPRODUCT(--ISNUMBER(SEARCH(immigration,C20)))&gt;0)</f>
        <v>0</v>
      </c>
      <c r="T20" s="14" cm="1">
        <f t="array" ref="T20">INT(SUMPRODUCT(--ISNUMBER(SEARCH(econineq,C20)))&gt;0)</f>
        <v>0</v>
      </c>
      <c r="U20" s="14" cm="1">
        <f t="array" ref="U20">INT(SUMPRODUCT(--ISNUMBER(SEARCH(climate,'Jon Ossoff'!C20)))&gt;0)</f>
        <v>0</v>
      </c>
      <c r="V20" s="14" cm="1">
        <f t="array" ref="V20">INT(SUMPRODUCT(--ISNUMBER(SEARCH(abortion,'Jon Ossoff'!C20)))&gt;0)</f>
        <v>0</v>
      </c>
      <c r="W20" s="14" cm="1">
        <f t="array" ref="W20">INT(SUMPRODUCT(--ISNUMBER(SEARCH(trump,'Jon Ossoff'!C20)))&gt;0)</f>
        <v>0</v>
      </c>
      <c r="X20" s="14" cm="1">
        <f t="array" ref="X20">INT(SUMPRODUCT(--ISNUMBER(SEARCH(voting,'Jon Ossoff'!C20)))&gt;0)</f>
        <v>0</v>
      </c>
      <c r="Y20" s="14" cm="1">
        <f t="array" ref="Y20">INT(SUMPRODUCT(--ISNUMBER(SEARCH(democrattrigger,'Jon Ossoff'!C20)))&gt;0)</f>
        <v>0</v>
      </c>
      <c r="Z20" s="14" cm="1">
        <f t="array" ref="Z20">INT(SUMPRODUCT(--ISNUMBER(SEARCH(bipartisan,'Jon Ossoff'!C20)))&gt;0)</f>
        <v>0</v>
      </c>
      <c r="AA20" s="14">
        <f t="shared" si="0"/>
        <v>1</v>
      </c>
      <c r="AB20" s="14"/>
      <c r="AC20" s="30">
        <v>1</v>
      </c>
      <c r="AD20" s="37">
        <v>0</v>
      </c>
    </row>
    <row r="21" spans="1:30" x14ac:dyDescent="0.25">
      <c r="A21" s="36">
        <v>531</v>
      </c>
      <c r="B21" s="14" t="s">
        <v>1092</v>
      </c>
      <c r="C21" s="31" t="s">
        <v>1093</v>
      </c>
      <c r="D21" s="17">
        <v>44137</v>
      </c>
      <c r="E21" s="14" t="s">
        <v>30</v>
      </c>
      <c r="F21" s="14">
        <v>2975</v>
      </c>
      <c r="G21" s="14">
        <v>474</v>
      </c>
      <c r="H21" s="14">
        <v>4</v>
      </c>
      <c r="I21" s="14">
        <v>2</v>
      </c>
      <c r="J21" s="14" t="s">
        <v>204</v>
      </c>
      <c r="K21" s="14" cm="1">
        <f t="array" ref="K21">INT(SUMPRODUCT(--ISNUMBER(SEARCH(economy,'Jon Ossoff'!C21)))&gt;0)</f>
        <v>0</v>
      </c>
      <c r="L21" s="14" cm="1">
        <f t="array" ref="L21">INT(SUMPRODUCT(--ISNUMBER(SEARCH(healthcare,'Jon Ossoff'!C21)))&gt;0)</f>
        <v>0</v>
      </c>
      <c r="M21" s="14" cm="1">
        <f t="array" ref="M21">INT(SUMPRODUCT(--ISNUMBER(SEARCH(supreme,'Jon Ossoff'!C21)))&gt;0)</f>
        <v>0</v>
      </c>
      <c r="N21" s="14" cm="1">
        <f t="array" ref="N21">INT(SUMPRODUCT(--ISNUMBER(SEARCH(covid,'Jon Ossoff'!C21)))&gt;0)</f>
        <v>0</v>
      </c>
      <c r="O21" s="14" cm="1">
        <f t="array" ref="O21">INT(SUMPRODUCT(--ISNUMBER(SEARCH(violent,'Jon Ossoff'!C21)))&gt;0)</f>
        <v>0</v>
      </c>
      <c r="P21" s="14" cm="1">
        <f t="array" ref="P21">INT(SUMPRODUCT(--ISNUMBER(SEARCH(foreign,'Jon Ossoff'!C21)))&gt;0)</f>
        <v>0</v>
      </c>
      <c r="Q21" s="14" cm="1">
        <f t="array" ref="Q21">INT(SUMPRODUCT(--ISNUMBER(SEARCH(gun,'Jon Ossoff'!C21)))&gt;0)</f>
        <v>0</v>
      </c>
      <c r="R21" s="14" cm="1">
        <f t="array" ref="R21">INT(SUMPRODUCT(--ISNUMBER(SEARCH(race,'Jon Ossoff'!C21)))&gt;0)</f>
        <v>0</v>
      </c>
      <c r="S21" s="14" cm="1">
        <f t="array" ref="S21">INT(SUMPRODUCT(--ISNUMBER(SEARCH(immigration,C21)))&gt;0)</f>
        <v>0</v>
      </c>
      <c r="T21" s="14" cm="1">
        <f t="array" ref="T21">INT(SUMPRODUCT(--ISNUMBER(SEARCH(econineq,C21)))&gt;0)</f>
        <v>0</v>
      </c>
      <c r="U21" s="14" cm="1">
        <f t="array" ref="U21">INT(SUMPRODUCT(--ISNUMBER(SEARCH(climate,'Jon Ossoff'!C21)))&gt;0)</f>
        <v>0</v>
      </c>
      <c r="V21" s="14" cm="1">
        <f t="array" ref="V21">INT(SUMPRODUCT(--ISNUMBER(SEARCH(abortion,'Jon Ossoff'!C21)))&gt;0)</f>
        <v>0</v>
      </c>
      <c r="W21" s="14" cm="1">
        <f t="array" ref="W21">INT(SUMPRODUCT(--ISNUMBER(SEARCH(trump,'Jon Ossoff'!C21)))&gt;0)</f>
        <v>0</v>
      </c>
      <c r="X21" s="14" cm="1">
        <f t="array" ref="X21">INT(SUMPRODUCT(--ISNUMBER(SEARCH(voting,'Jon Ossoff'!C21)))&gt;0)</f>
        <v>0</v>
      </c>
      <c r="Y21" s="14" cm="1">
        <f t="array" ref="Y21">INT(SUMPRODUCT(--ISNUMBER(SEARCH(democrattrigger,'Jon Ossoff'!C21)))&gt;0)</f>
        <v>0</v>
      </c>
      <c r="Z21" s="14" cm="1">
        <f t="array" ref="Z21">INT(SUMPRODUCT(--ISNUMBER(SEARCH(bipartisan,'Jon Ossoff'!C21)))&gt;0)</f>
        <v>0</v>
      </c>
      <c r="AA21" s="14">
        <f t="shared" si="0"/>
        <v>1</v>
      </c>
      <c r="AB21" s="14"/>
      <c r="AC21" s="30">
        <v>0</v>
      </c>
      <c r="AD21" s="37">
        <v>0</v>
      </c>
    </row>
    <row r="22" spans="1:30" x14ac:dyDescent="0.25">
      <c r="A22" s="36">
        <v>532</v>
      </c>
      <c r="B22" s="14" t="s">
        <v>1094</v>
      </c>
      <c r="C22" s="31" t="s">
        <v>1095</v>
      </c>
      <c r="D22" s="17">
        <v>44137</v>
      </c>
      <c r="E22" s="14" t="s">
        <v>70</v>
      </c>
      <c r="F22" s="14">
        <v>659</v>
      </c>
      <c r="G22" s="14">
        <v>187</v>
      </c>
      <c r="H22" s="14">
        <v>4</v>
      </c>
      <c r="I22" s="14">
        <v>2</v>
      </c>
      <c r="J22" s="14" t="s">
        <v>204</v>
      </c>
      <c r="K22" s="14" cm="1">
        <f t="array" ref="K22">INT(SUMPRODUCT(--ISNUMBER(SEARCH(economy,'Jon Ossoff'!C22)))&gt;0)</f>
        <v>0</v>
      </c>
      <c r="L22" s="14" cm="1">
        <f t="array" ref="L22">INT(SUMPRODUCT(--ISNUMBER(SEARCH(healthcare,'Jon Ossoff'!C22)))&gt;0)</f>
        <v>0</v>
      </c>
      <c r="M22" s="14" cm="1">
        <f t="array" ref="M22">INT(SUMPRODUCT(--ISNUMBER(SEARCH(supreme,'Jon Ossoff'!C22)))&gt;0)</f>
        <v>0</v>
      </c>
      <c r="N22" s="14" cm="1">
        <f t="array" ref="N22">INT(SUMPRODUCT(--ISNUMBER(SEARCH(covid,'Jon Ossoff'!C22)))&gt;0)</f>
        <v>0</v>
      </c>
      <c r="O22" s="14" cm="1">
        <f t="array" ref="O22">INT(SUMPRODUCT(--ISNUMBER(SEARCH(violent,'Jon Ossoff'!C22)))&gt;0)</f>
        <v>0</v>
      </c>
      <c r="P22" s="14" cm="1">
        <f t="array" ref="P22">INT(SUMPRODUCT(--ISNUMBER(SEARCH(foreign,'Jon Ossoff'!C22)))&gt;0)</f>
        <v>0</v>
      </c>
      <c r="Q22" s="14" cm="1">
        <f t="array" ref="Q22">INT(SUMPRODUCT(--ISNUMBER(SEARCH(gun,'Jon Ossoff'!C22)))&gt;0)</f>
        <v>0</v>
      </c>
      <c r="R22" s="14" cm="1">
        <f t="array" ref="R22">INT(SUMPRODUCT(--ISNUMBER(SEARCH(race,'Jon Ossoff'!C22)))&gt;0)</f>
        <v>0</v>
      </c>
      <c r="S22" s="14" cm="1">
        <f t="array" ref="S22">INT(SUMPRODUCT(--ISNUMBER(SEARCH(immigration,C22)))&gt;0)</f>
        <v>0</v>
      </c>
      <c r="T22" s="14" cm="1">
        <f t="array" ref="T22">INT(SUMPRODUCT(--ISNUMBER(SEARCH(econineq,C22)))&gt;0)</f>
        <v>0</v>
      </c>
      <c r="U22" s="14" cm="1">
        <f t="array" ref="U22">INT(SUMPRODUCT(--ISNUMBER(SEARCH(climate,'Jon Ossoff'!C22)))&gt;0)</f>
        <v>0</v>
      </c>
      <c r="V22" s="14" cm="1">
        <f t="array" ref="V22">INT(SUMPRODUCT(--ISNUMBER(SEARCH(abortion,'Jon Ossoff'!C22)))&gt;0)</f>
        <v>0</v>
      </c>
      <c r="W22" s="14" cm="1">
        <f t="array" ref="W22">INT(SUMPRODUCT(--ISNUMBER(SEARCH(trump,'Jon Ossoff'!C22)))&gt;0)</f>
        <v>0</v>
      </c>
      <c r="X22" s="14" cm="1">
        <f t="array" ref="X22">INT(SUMPRODUCT(--ISNUMBER(SEARCH(voting,'Jon Ossoff'!C22)))&gt;0)</f>
        <v>1</v>
      </c>
      <c r="Y22" s="14" cm="1">
        <f t="array" ref="Y22">INT(SUMPRODUCT(--ISNUMBER(SEARCH(democrattrigger,'Jon Ossoff'!C22)))&gt;0)</f>
        <v>0</v>
      </c>
      <c r="Z22" s="14" cm="1">
        <f t="array" ref="Z22">INT(SUMPRODUCT(--ISNUMBER(SEARCH(bipartisan,'Jon Ossoff'!C22)))&gt;0)</f>
        <v>0</v>
      </c>
      <c r="AA22" s="14">
        <f t="shared" si="0"/>
        <v>0</v>
      </c>
      <c r="AB22" s="14"/>
      <c r="AC22" s="30">
        <v>0</v>
      </c>
      <c r="AD22" s="37">
        <v>0</v>
      </c>
    </row>
    <row r="23" spans="1:30" x14ac:dyDescent="0.25">
      <c r="A23" s="36">
        <v>533</v>
      </c>
      <c r="B23" s="14" t="s">
        <v>1096</v>
      </c>
      <c r="C23" s="31" t="s">
        <v>1097</v>
      </c>
      <c r="D23" s="17">
        <v>44137</v>
      </c>
      <c r="E23" s="14" t="s">
        <v>30</v>
      </c>
      <c r="F23" s="14">
        <v>2891</v>
      </c>
      <c r="G23" s="14">
        <v>624</v>
      </c>
      <c r="H23" s="14">
        <v>4</v>
      </c>
      <c r="I23" s="14">
        <v>2</v>
      </c>
      <c r="J23" s="14" t="s">
        <v>204</v>
      </c>
      <c r="K23" s="14" cm="1">
        <f t="array" ref="K23">INT(SUMPRODUCT(--ISNUMBER(SEARCH(economy,'Jon Ossoff'!C23)))&gt;0)</f>
        <v>0</v>
      </c>
      <c r="L23" s="14" cm="1">
        <f t="array" ref="L23">INT(SUMPRODUCT(--ISNUMBER(SEARCH(healthcare,'Jon Ossoff'!C23)))&gt;0)</f>
        <v>0</v>
      </c>
      <c r="M23" s="14" cm="1">
        <f t="array" ref="M23">INT(SUMPRODUCT(--ISNUMBER(SEARCH(supreme,'Jon Ossoff'!C23)))&gt;0)</f>
        <v>0</v>
      </c>
      <c r="N23" s="14" cm="1">
        <f t="array" ref="N23">INT(SUMPRODUCT(--ISNUMBER(SEARCH(covid,'Jon Ossoff'!C23)))&gt;0)</f>
        <v>0</v>
      </c>
      <c r="O23" s="14" cm="1">
        <f t="array" ref="O23">INT(SUMPRODUCT(--ISNUMBER(SEARCH(violent,'Jon Ossoff'!C23)))&gt;0)</f>
        <v>0</v>
      </c>
      <c r="P23" s="14" cm="1">
        <f t="array" ref="P23">INT(SUMPRODUCT(--ISNUMBER(SEARCH(foreign,'Jon Ossoff'!C23)))&gt;0)</f>
        <v>0</v>
      </c>
      <c r="Q23" s="14" cm="1">
        <f t="array" ref="Q23">INT(SUMPRODUCT(--ISNUMBER(SEARCH(gun,'Jon Ossoff'!C23)))&gt;0)</f>
        <v>0</v>
      </c>
      <c r="R23" s="14" cm="1">
        <f t="array" ref="R23">INT(SUMPRODUCT(--ISNUMBER(SEARCH(race,'Jon Ossoff'!C23)))&gt;0)</f>
        <v>0</v>
      </c>
      <c r="S23" s="14" cm="1">
        <f t="array" ref="S23">INT(SUMPRODUCT(--ISNUMBER(SEARCH(immigration,C23)))&gt;0)</f>
        <v>0</v>
      </c>
      <c r="T23" s="14" cm="1">
        <f t="array" ref="T23">INT(SUMPRODUCT(--ISNUMBER(SEARCH(econineq,C23)))&gt;0)</f>
        <v>0</v>
      </c>
      <c r="U23" s="14" cm="1">
        <f t="array" ref="U23">INT(SUMPRODUCT(--ISNUMBER(SEARCH(climate,'Jon Ossoff'!C23)))&gt;0)</f>
        <v>0</v>
      </c>
      <c r="V23" s="14" cm="1">
        <f t="array" ref="V23">INT(SUMPRODUCT(--ISNUMBER(SEARCH(abortion,'Jon Ossoff'!C23)))&gt;0)</f>
        <v>0</v>
      </c>
      <c r="W23" s="14" cm="1">
        <f t="array" ref="W23">INT(SUMPRODUCT(--ISNUMBER(SEARCH(trump,'Jon Ossoff'!C23)))&gt;0)</f>
        <v>0</v>
      </c>
      <c r="X23" s="14" cm="1">
        <f t="array" ref="X23">INT(SUMPRODUCT(--ISNUMBER(SEARCH(voting,'Jon Ossoff'!C23)))&gt;0)</f>
        <v>0</v>
      </c>
      <c r="Y23" s="14" cm="1">
        <f t="array" ref="Y23">INT(SUMPRODUCT(--ISNUMBER(SEARCH(democrattrigger,'Jon Ossoff'!C23)))&gt;0)</f>
        <v>0</v>
      </c>
      <c r="Z23" s="14" cm="1">
        <f t="array" ref="Z23">INT(SUMPRODUCT(--ISNUMBER(SEARCH(bipartisan,'Jon Ossoff'!C23)))&gt;0)</f>
        <v>0</v>
      </c>
      <c r="AA23" s="14">
        <f t="shared" si="0"/>
        <v>1</v>
      </c>
      <c r="AB23" s="14"/>
      <c r="AC23" s="30">
        <v>0</v>
      </c>
      <c r="AD23" s="37">
        <v>1</v>
      </c>
    </row>
    <row r="24" spans="1:30" x14ac:dyDescent="0.25">
      <c r="A24" s="36">
        <v>534</v>
      </c>
      <c r="B24" s="14" t="s">
        <v>1098</v>
      </c>
      <c r="C24" s="31" t="s">
        <v>1099</v>
      </c>
      <c r="D24" s="17">
        <v>44137</v>
      </c>
      <c r="E24" s="14" t="s">
        <v>70</v>
      </c>
      <c r="F24" s="14">
        <v>16</v>
      </c>
      <c r="G24" s="14">
        <v>0</v>
      </c>
      <c r="H24" s="14">
        <v>4</v>
      </c>
      <c r="I24" s="14">
        <v>2</v>
      </c>
      <c r="J24" s="14" t="s">
        <v>204</v>
      </c>
      <c r="K24" s="14" cm="1">
        <f t="array" ref="K24">INT(SUMPRODUCT(--ISNUMBER(SEARCH(economy,'Jon Ossoff'!C24)))&gt;0)</f>
        <v>0</v>
      </c>
      <c r="L24" s="14" cm="1">
        <f t="array" ref="L24">INT(SUMPRODUCT(--ISNUMBER(SEARCH(healthcare,'Jon Ossoff'!C24)))&gt;0)</f>
        <v>0</v>
      </c>
      <c r="M24" s="14" cm="1">
        <f t="array" ref="M24">INT(SUMPRODUCT(--ISNUMBER(SEARCH(supreme,'Jon Ossoff'!C24)))&gt;0)</f>
        <v>0</v>
      </c>
      <c r="N24" s="14" cm="1">
        <f t="array" ref="N24">INT(SUMPRODUCT(--ISNUMBER(SEARCH(covid,'Jon Ossoff'!C24)))&gt;0)</f>
        <v>0</v>
      </c>
      <c r="O24" s="14" cm="1">
        <f t="array" ref="O24">INT(SUMPRODUCT(--ISNUMBER(SEARCH(violent,'Jon Ossoff'!C24)))&gt;0)</f>
        <v>0</v>
      </c>
      <c r="P24" s="14" cm="1">
        <f t="array" ref="P24">INT(SUMPRODUCT(--ISNUMBER(SEARCH(foreign,'Jon Ossoff'!C24)))&gt;0)</f>
        <v>0</v>
      </c>
      <c r="Q24" s="14" cm="1">
        <f t="array" ref="Q24">INT(SUMPRODUCT(--ISNUMBER(SEARCH(gun,'Jon Ossoff'!C24)))&gt;0)</f>
        <v>0</v>
      </c>
      <c r="R24" s="14" cm="1">
        <f t="array" ref="R24">INT(SUMPRODUCT(--ISNUMBER(SEARCH(race,'Jon Ossoff'!C24)))&gt;0)</f>
        <v>0</v>
      </c>
      <c r="S24" s="14" cm="1">
        <f t="array" ref="S24">INT(SUMPRODUCT(--ISNUMBER(SEARCH(immigration,C24)))&gt;0)</f>
        <v>0</v>
      </c>
      <c r="T24" s="14" cm="1">
        <f t="array" ref="T24">INT(SUMPRODUCT(--ISNUMBER(SEARCH(econineq,C24)))&gt;0)</f>
        <v>0</v>
      </c>
      <c r="U24" s="14" cm="1">
        <f t="array" ref="U24">INT(SUMPRODUCT(--ISNUMBER(SEARCH(climate,'Jon Ossoff'!C24)))&gt;0)</f>
        <v>0</v>
      </c>
      <c r="V24" s="14" cm="1">
        <f t="array" ref="V24">INT(SUMPRODUCT(--ISNUMBER(SEARCH(abortion,'Jon Ossoff'!C24)))&gt;0)</f>
        <v>0</v>
      </c>
      <c r="W24" s="14" cm="1">
        <f t="array" ref="W24">INT(SUMPRODUCT(--ISNUMBER(SEARCH(trump,'Jon Ossoff'!C24)))&gt;0)</f>
        <v>0</v>
      </c>
      <c r="X24" s="14" cm="1">
        <f t="array" ref="X24">INT(SUMPRODUCT(--ISNUMBER(SEARCH(voting,'Jon Ossoff'!C24)))&gt;0)</f>
        <v>0</v>
      </c>
      <c r="Y24" s="14" cm="1">
        <f t="array" ref="Y24">INT(SUMPRODUCT(--ISNUMBER(SEARCH(democrattrigger,'Jon Ossoff'!C24)))&gt;0)</f>
        <v>0</v>
      </c>
      <c r="Z24" s="14" cm="1">
        <f t="array" ref="Z24">INT(SUMPRODUCT(--ISNUMBER(SEARCH(bipartisan,'Jon Ossoff'!C24)))&gt;0)</f>
        <v>0</v>
      </c>
      <c r="AA24" s="14">
        <f t="shared" si="0"/>
        <v>1</v>
      </c>
      <c r="AB24" s="14"/>
      <c r="AC24" s="30">
        <v>0</v>
      </c>
      <c r="AD24" s="37">
        <v>0</v>
      </c>
    </row>
    <row r="25" spans="1:30" x14ac:dyDescent="0.25">
      <c r="A25" s="36">
        <v>535</v>
      </c>
      <c r="B25" s="14" t="s">
        <v>1100</v>
      </c>
      <c r="C25" s="31" t="s">
        <v>1101</v>
      </c>
      <c r="D25" s="17">
        <v>44137</v>
      </c>
      <c r="E25" s="14" t="s">
        <v>30</v>
      </c>
      <c r="F25" s="14">
        <v>7652</v>
      </c>
      <c r="G25" s="14">
        <v>858</v>
      </c>
      <c r="H25" s="14">
        <v>4</v>
      </c>
      <c r="I25" s="14">
        <v>2</v>
      </c>
      <c r="J25" s="14" t="s">
        <v>204</v>
      </c>
      <c r="K25" s="14" cm="1">
        <f t="array" ref="K25">INT(SUMPRODUCT(--ISNUMBER(SEARCH(economy,'Jon Ossoff'!C25)))&gt;0)</f>
        <v>0</v>
      </c>
      <c r="L25" s="14" cm="1">
        <f t="array" ref="L25">INT(SUMPRODUCT(--ISNUMBER(SEARCH(healthcare,'Jon Ossoff'!C25)))&gt;0)</f>
        <v>0</v>
      </c>
      <c r="M25" s="14" cm="1">
        <f t="array" ref="M25">INT(SUMPRODUCT(--ISNUMBER(SEARCH(supreme,'Jon Ossoff'!C25)))&gt;0)</f>
        <v>0</v>
      </c>
      <c r="N25" s="14" cm="1">
        <f t="array" ref="N25">INT(SUMPRODUCT(--ISNUMBER(SEARCH(covid,'Jon Ossoff'!C25)))&gt;0)</f>
        <v>0</v>
      </c>
      <c r="O25" s="14" cm="1">
        <f t="array" ref="O25">INT(SUMPRODUCT(--ISNUMBER(SEARCH(violent,'Jon Ossoff'!C25)))&gt;0)</f>
        <v>0</v>
      </c>
      <c r="P25" s="14" cm="1">
        <f t="array" ref="P25">INT(SUMPRODUCT(--ISNUMBER(SEARCH(foreign,'Jon Ossoff'!C25)))&gt;0)</f>
        <v>0</v>
      </c>
      <c r="Q25" s="14" cm="1">
        <f t="array" ref="Q25">INT(SUMPRODUCT(--ISNUMBER(SEARCH(gun,'Jon Ossoff'!C25)))&gt;0)</f>
        <v>0</v>
      </c>
      <c r="R25" s="14" cm="1">
        <f t="array" ref="R25">INT(SUMPRODUCT(--ISNUMBER(SEARCH(race,'Jon Ossoff'!C25)))&gt;0)</f>
        <v>0</v>
      </c>
      <c r="S25" s="14" cm="1">
        <f t="array" ref="S25">INT(SUMPRODUCT(--ISNUMBER(SEARCH(immigration,C25)))&gt;0)</f>
        <v>0</v>
      </c>
      <c r="T25" s="14" cm="1">
        <f t="array" ref="T25">INT(SUMPRODUCT(--ISNUMBER(SEARCH(econineq,C25)))&gt;0)</f>
        <v>0</v>
      </c>
      <c r="U25" s="14" cm="1">
        <f t="array" ref="U25">INT(SUMPRODUCT(--ISNUMBER(SEARCH(climate,'Jon Ossoff'!C25)))&gt;0)</f>
        <v>0</v>
      </c>
      <c r="V25" s="14" cm="1">
        <f t="array" ref="V25">INT(SUMPRODUCT(--ISNUMBER(SEARCH(abortion,'Jon Ossoff'!C25)))&gt;0)</f>
        <v>0</v>
      </c>
      <c r="W25" s="14" cm="1">
        <f t="array" ref="W25">INT(SUMPRODUCT(--ISNUMBER(SEARCH(trump,'Jon Ossoff'!C25)))&gt;0)</f>
        <v>0</v>
      </c>
      <c r="X25" s="14" cm="1">
        <f t="array" ref="X25">INT(SUMPRODUCT(--ISNUMBER(SEARCH(voting,'Jon Ossoff'!C25)))&gt;0)</f>
        <v>0</v>
      </c>
      <c r="Y25" s="14" cm="1">
        <f t="array" ref="Y25">INT(SUMPRODUCT(--ISNUMBER(SEARCH(democrattrigger,'Jon Ossoff'!C25)))&gt;0)</f>
        <v>0</v>
      </c>
      <c r="Z25" s="14" cm="1">
        <f t="array" ref="Z25">INT(SUMPRODUCT(--ISNUMBER(SEARCH(bipartisan,'Jon Ossoff'!C25)))&gt;0)</f>
        <v>0</v>
      </c>
      <c r="AA25" s="14">
        <f t="shared" si="0"/>
        <v>1</v>
      </c>
      <c r="AB25" s="14"/>
      <c r="AC25" s="30">
        <v>1</v>
      </c>
      <c r="AD25" s="37">
        <v>0</v>
      </c>
    </row>
    <row r="26" spans="1:30" x14ac:dyDescent="0.25">
      <c r="A26" s="36">
        <v>536</v>
      </c>
      <c r="B26" s="14" t="s">
        <v>1102</v>
      </c>
      <c r="C26" s="31" t="s">
        <v>1103</v>
      </c>
      <c r="D26" s="17">
        <v>44137</v>
      </c>
      <c r="E26" s="14" t="s">
        <v>70</v>
      </c>
      <c r="F26" s="14">
        <v>639</v>
      </c>
      <c r="G26" s="14">
        <v>65</v>
      </c>
      <c r="H26" s="14">
        <v>4</v>
      </c>
      <c r="I26" s="14">
        <v>2</v>
      </c>
      <c r="J26" s="14" t="s">
        <v>204</v>
      </c>
      <c r="K26" s="14" cm="1">
        <f t="array" ref="K26">INT(SUMPRODUCT(--ISNUMBER(SEARCH(economy,'Jon Ossoff'!C26)))&gt;0)</f>
        <v>0</v>
      </c>
      <c r="L26" s="14" cm="1">
        <f t="array" ref="L26">INT(SUMPRODUCT(--ISNUMBER(SEARCH(healthcare,'Jon Ossoff'!C26)))&gt;0)</f>
        <v>0</v>
      </c>
      <c r="M26" s="14" cm="1">
        <f t="array" ref="M26">INT(SUMPRODUCT(--ISNUMBER(SEARCH(supreme,'Jon Ossoff'!C26)))&gt;0)</f>
        <v>0</v>
      </c>
      <c r="N26" s="14" cm="1">
        <f t="array" ref="N26">INT(SUMPRODUCT(--ISNUMBER(SEARCH(covid,'Jon Ossoff'!C26)))&gt;0)</f>
        <v>0</v>
      </c>
      <c r="O26" s="14" cm="1">
        <f t="array" ref="O26">INT(SUMPRODUCT(--ISNUMBER(SEARCH(violent,'Jon Ossoff'!C26)))&gt;0)</f>
        <v>0</v>
      </c>
      <c r="P26" s="14" cm="1">
        <f t="array" ref="P26">INT(SUMPRODUCT(--ISNUMBER(SEARCH(foreign,'Jon Ossoff'!C26)))&gt;0)</f>
        <v>0</v>
      </c>
      <c r="Q26" s="14" cm="1">
        <f t="array" ref="Q26">INT(SUMPRODUCT(--ISNUMBER(SEARCH(gun,'Jon Ossoff'!C26)))&gt;0)</f>
        <v>0</v>
      </c>
      <c r="R26" s="14" cm="1">
        <f t="array" ref="R26">INT(SUMPRODUCT(--ISNUMBER(SEARCH(race,'Jon Ossoff'!C26)))&gt;0)</f>
        <v>0</v>
      </c>
      <c r="S26" s="14" cm="1">
        <f t="array" ref="S26">INT(SUMPRODUCT(--ISNUMBER(SEARCH(immigration,C26)))&gt;0)</f>
        <v>0</v>
      </c>
      <c r="T26" s="14" cm="1">
        <f t="array" ref="T26">INT(SUMPRODUCT(--ISNUMBER(SEARCH(econineq,C26)))&gt;0)</f>
        <v>0</v>
      </c>
      <c r="U26" s="14" cm="1">
        <f t="array" ref="U26">INT(SUMPRODUCT(--ISNUMBER(SEARCH(climate,'Jon Ossoff'!C26)))&gt;0)</f>
        <v>0</v>
      </c>
      <c r="V26" s="14" cm="1">
        <f t="array" ref="V26">INT(SUMPRODUCT(--ISNUMBER(SEARCH(abortion,'Jon Ossoff'!C26)))&gt;0)</f>
        <v>0</v>
      </c>
      <c r="W26" s="14" cm="1">
        <f t="array" ref="W26">INT(SUMPRODUCT(--ISNUMBER(SEARCH(trump,'Jon Ossoff'!C26)))&gt;0)</f>
        <v>0</v>
      </c>
      <c r="X26" s="14" cm="1">
        <f t="array" ref="X26">INT(SUMPRODUCT(--ISNUMBER(SEARCH(voting,'Jon Ossoff'!C26)))&gt;0)</f>
        <v>0</v>
      </c>
      <c r="Y26" s="14" cm="1">
        <f t="array" ref="Y26">INT(SUMPRODUCT(--ISNUMBER(SEARCH(democrattrigger,'Jon Ossoff'!C26)))&gt;0)</f>
        <v>0</v>
      </c>
      <c r="Z26" s="14" cm="1">
        <f t="array" ref="Z26">INT(SUMPRODUCT(--ISNUMBER(SEARCH(bipartisan,'Jon Ossoff'!C26)))&gt;0)</f>
        <v>0</v>
      </c>
      <c r="AA26" s="14">
        <f t="shared" si="0"/>
        <v>1</v>
      </c>
      <c r="AB26" s="14"/>
      <c r="AC26" s="30">
        <v>0</v>
      </c>
      <c r="AD26" s="37">
        <v>0</v>
      </c>
    </row>
    <row r="27" spans="1:30" x14ac:dyDescent="0.25">
      <c r="A27" s="36">
        <v>537</v>
      </c>
      <c r="B27" s="14" t="s">
        <v>1104</v>
      </c>
      <c r="C27" s="31" t="s">
        <v>1105</v>
      </c>
      <c r="D27" s="17">
        <v>44137</v>
      </c>
      <c r="E27" s="14" t="s">
        <v>30</v>
      </c>
      <c r="F27" s="14">
        <v>4947</v>
      </c>
      <c r="G27" s="14">
        <v>957</v>
      </c>
      <c r="H27" s="14">
        <v>4</v>
      </c>
      <c r="I27" s="14">
        <v>2</v>
      </c>
      <c r="J27" s="14" t="s">
        <v>204</v>
      </c>
      <c r="K27" s="14" cm="1">
        <f t="array" ref="K27">INT(SUMPRODUCT(--ISNUMBER(SEARCH(economy,'Jon Ossoff'!C27)))&gt;0)</f>
        <v>0</v>
      </c>
      <c r="L27" s="14" cm="1">
        <f t="array" ref="L27">INT(SUMPRODUCT(--ISNUMBER(SEARCH(healthcare,'Jon Ossoff'!C27)))&gt;0)</f>
        <v>0</v>
      </c>
      <c r="M27" s="14" cm="1">
        <f t="array" ref="M27">INT(SUMPRODUCT(--ISNUMBER(SEARCH(supreme,'Jon Ossoff'!C27)))&gt;0)</f>
        <v>0</v>
      </c>
      <c r="N27" s="14" cm="1">
        <f t="array" ref="N27">INT(SUMPRODUCT(--ISNUMBER(SEARCH(covid,'Jon Ossoff'!C27)))&gt;0)</f>
        <v>0</v>
      </c>
      <c r="O27" s="14" cm="1">
        <f t="array" ref="O27">INT(SUMPRODUCT(--ISNUMBER(SEARCH(violent,'Jon Ossoff'!C27)))&gt;0)</f>
        <v>0</v>
      </c>
      <c r="P27" s="14" cm="1">
        <f t="array" ref="P27">INT(SUMPRODUCT(--ISNUMBER(SEARCH(foreign,'Jon Ossoff'!C27)))&gt;0)</f>
        <v>0</v>
      </c>
      <c r="Q27" s="14" cm="1">
        <f t="array" ref="Q27">INT(SUMPRODUCT(--ISNUMBER(SEARCH(gun,'Jon Ossoff'!C27)))&gt;0)</f>
        <v>0</v>
      </c>
      <c r="R27" s="14" cm="1">
        <f t="array" ref="R27">INT(SUMPRODUCT(--ISNUMBER(SEARCH(race,'Jon Ossoff'!C27)))&gt;0)</f>
        <v>0</v>
      </c>
      <c r="S27" s="14" cm="1">
        <f t="array" ref="S27">INT(SUMPRODUCT(--ISNUMBER(SEARCH(immigration,C27)))&gt;0)</f>
        <v>0</v>
      </c>
      <c r="T27" s="14" cm="1">
        <f t="array" ref="T27">INT(SUMPRODUCT(--ISNUMBER(SEARCH(econineq,C27)))&gt;0)</f>
        <v>0</v>
      </c>
      <c r="U27" s="14" cm="1">
        <f t="array" ref="U27">INT(SUMPRODUCT(--ISNUMBER(SEARCH(climate,'Jon Ossoff'!C27)))&gt;0)</f>
        <v>0</v>
      </c>
      <c r="V27" s="14" cm="1">
        <f t="array" ref="V27">INT(SUMPRODUCT(--ISNUMBER(SEARCH(abortion,'Jon Ossoff'!C27)))&gt;0)</f>
        <v>0</v>
      </c>
      <c r="W27" s="14" cm="1">
        <f t="array" ref="W27">INT(SUMPRODUCT(--ISNUMBER(SEARCH(trump,'Jon Ossoff'!C27)))&gt;0)</f>
        <v>0</v>
      </c>
      <c r="X27" s="14" cm="1">
        <f t="array" ref="X27">INT(SUMPRODUCT(--ISNUMBER(SEARCH(voting,'Jon Ossoff'!C27)))&gt;0)</f>
        <v>0</v>
      </c>
      <c r="Y27" s="14" cm="1">
        <f t="array" ref="Y27">INT(SUMPRODUCT(--ISNUMBER(SEARCH(democrattrigger,'Jon Ossoff'!C27)))&gt;0)</f>
        <v>1</v>
      </c>
      <c r="Z27" s="14" cm="1">
        <f t="array" ref="Z27">INT(SUMPRODUCT(--ISNUMBER(SEARCH(bipartisan,'Jon Ossoff'!C27)))&gt;0)</f>
        <v>0</v>
      </c>
      <c r="AA27" s="14">
        <f t="shared" si="0"/>
        <v>0</v>
      </c>
      <c r="AB27" s="14"/>
      <c r="AC27" s="30">
        <v>0</v>
      </c>
      <c r="AD27" s="37">
        <v>0</v>
      </c>
    </row>
    <row r="28" spans="1:30" x14ac:dyDescent="0.25">
      <c r="A28" s="36">
        <v>538</v>
      </c>
      <c r="B28" s="14" t="s">
        <v>1106</v>
      </c>
      <c r="C28" s="31" t="s">
        <v>1107</v>
      </c>
      <c r="D28" s="17">
        <v>44136</v>
      </c>
      <c r="E28" s="14" t="s">
        <v>30</v>
      </c>
      <c r="F28" s="14">
        <v>27182</v>
      </c>
      <c r="G28" s="14">
        <v>4484</v>
      </c>
      <c r="H28" s="14">
        <v>4</v>
      </c>
      <c r="I28" s="14">
        <v>2</v>
      </c>
      <c r="J28" s="14" t="s">
        <v>204</v>
      </c>
      <c r="K28" s="14" cm="1">
        <f t="array" ref="K28">INT(SUMPRODUCT(--ISNUMBER(SEARCH(economy,'Jon Ossoff'!C28)))&gt;0)</f>
        <v>0</v>
      </c>
      <c r="L28" s="14" cm="1">
        <f t="array" ref="L28">INT(SUMPRODUCT(--ISNUMBER(SEARCH(healthcare,'Jon Ossoff'!C28)))&gt;0)</f>
        <v>0</v>
      </c>
      <c r="M28" s="14" cm="1">
        <f t="array" ref="M28">INT(SUMPRODUCT(--ISNUMBER(SEARCH(supreme,'Jon Ossoff'!C28)))&gt;0)</f>
        <v>0</v>
      </c>
      <c r="N28" s="14" cm="1">
        <f t="array" ref="N28">INT(SUMPRODUCT(--ISNUMBER(SEARCH(covid,'Jon Ossoff'!C28)))&gt;0)</f>
        <v>0</v>
      </c>
      <c r="O28" s="14" cm="1">
        <f t="array" ref="O28">INT(SUMPRODUCT(--ISNUMBER(SEARCH(violent,'Jon Ossoff'!C28)))&gt;0)</f>
        <v>0</v>
      </c>
      <c r="P28" s="14" cm="1">
        <f t="array" ref="P28">INT(SUMPRODUCT(--ISNUMBER(SEARCH(foreign,'Jon Ossoff'!C28)))&gt;0)</f>
        <v>0</v>
      </c>
      <c r="Q28" s="14" cm="1">
        <f t="array" ref="Q28">INT(SUMPRODUCT(--ISNUMBER(SEARCH(gun,'Jon Ossoff'!C28)))&gt;0)</f>
        <v>0</v>
      </c>
      <c r="R28" s="14" cm="1">
        <f t="array" ref="R28">INT(SUMPRODUCT(--ISNUMBER(SEARCH(race,'Jon Ossoff'!C28)))&gt;0)</f>
        <v>0</v>
      </c>
      <c r="S28" s="14" cm="1">
        <f t="array" ref="S28">INT(SUMPRODUCT(--ISNUMBER(SEARCH(immigration,C28)))&gt;0)</f>
        <v>0</v>
      </c>
      <c r="T28" s="14" cm="1">
        <f t="array" ref="T28">INT(SUMPRODUCT(--ISNUMBER(SEARCH(econineq,C28)))&gt;0)</f>
        <v>0</v>
      </c>
      <c r="U28" s="14" cm="1">
        <f t="array" ref="U28">INT(SUMPRODUCT(--ISNUMBER(SEARCH(climate,'Jon Ossoff'!C28)))&gt;0)</f>
        <v>0</v>
      </c>
      <c r="V28" s="14" cm="1">
        <f t="array" ref="V28">INT(SUMPRODUCT(--ISNUMBER(SEARCH(abortion,'Jon Ossoff'!C28)))&gt;0)</f>
        <v>0</v>
      </c>
      <c r="W28" s="14" cm="1">
        <f t="array" ref="W28">INT(SUMPRODUCT(--ISNUMBER(SEARCH(trump,'Jon Ossoff'!C28)))&gt;0)</f>
        <v>0</v>
      </c>
      <c r="X28" s="14" cm="1">
        <f t="array" ref="X28">INT(SUMPRODUCT(--ISNUMBER(SEARCH(voting,'Jon Ossoff'!C28)))&gt;0)</f>
        <v>0</v>
      </c>
      <c r="Y28" s="14" cm="1">
        <f t="array" ref="Y28">INT(SUMPRODUCT(--ISNUMBER(SEARCH(democrattrigger,'Jon Ossoff'!C28)))&gt;0)</f>
        <v>1</v>
      </c>
      <c r="Z28" s="14" cm="1">
        <f t="array" ref="Z28">INT(SUMPRODUCT(--ISNUMBER(SEARCH(bipartisan,'Jon Ossoff'!C28)))&gt;0)</f>
        <v>0</v>
      </c>
      <c r="AA28" s="14">
        <f t="shared" si="0"/>
        <v>0</v>
      </c>
      <c r="AB28" s="14"/>
      <c r="AC28" s="30">
        <v>0</v>
      </c>
      <c r="AD28" s="37">
        <v>0</v>
      </c>
    </row>
    <row r="29" spans="1:30" x14ac:dyDescent="0.25">
      <c r="A29" s="36">
        <v>539</v>
      </c>
      <c r="B29" s="14" t="s">
        <v>1108</v>
      </c>
      <c r="C29" s="31" t="s">
        <v>1109</v>
      </c>
      <c r="D29" s="17">
        <v>44136</v>
      </c>
      <c r="E29" s="14" t="s">
        <v>30</v>
      </c>
      <c r="F29" s="14">
        <v>44332</v>
      </c>
      <c r="G29" s="14">
        <v>7255</v>
      </c>
      <c r="H29" s="14">
        <v>4</v>
      </c>
      <c r="I29" s="14">
        <v>2</v>
      </c>
      <c r="J29" s="14" t="s">
        <v>204</v>
      </c>
      <c r="K29" s="14" cm="1">
        <f t="array" ref="K29">INT(SUMPRODUCT(--ISNUMBER(SEARCH(economy,'Jon Ossoff'!C29)))&gt;0)</f>
        <v>0</v>
      </c>
      <c r="L29" s="14" cm="1">
        <f t="array" ref="L29">INT(SUMPRODUCT(--ISNUMBER(SEARCH(healthcare,'Jon Ossoff'!C29)))&gt;0)</f>
        <v>0</v>
      </c>
      <c r="M29" s="14" cm="1">
        <f t="array" ref="M29">INT(SUMPRODUCT(--ISNUMBER(SEARCH(supreme,'Jon Ossoff'!C29)))&gt;0)</f>
        <v>0</v>
      </c>
      <c r="N29" s="14" cm="1">
        <f t="array" ref="N29">INT(SUMPRODUCT(--ISNUMBER(SEARCH(covid,'Jon Ossoff'!C29)))&gt;0)</f>
        <v>0</v>
      </c>
      <c r="O29" s="14" cm="1">
        <f t="array" ref="O29">INT(SUMPRODUCT(--ISNUMBER(SEARCH(violent,'Jon Ossoff'!C29)))&gt;0)</f>
        <v>1</v>
      </c>
      <c r="P29" s="14" cm="1">
        <f t="array" ref="P29">INT(SUMPRODUCT(--ISNUMBER(SEARCH(foreign,'Jon Ossoff'!C29)))&gt;0)</f>
        <v>0</v>
      </c>
      <c r="Q29" s="14" cm="1">
        <f t="array" ref="Q29">INT(SUMPRODUCT(--ISNUMBER(SEARCH(gun,'Jon Ossoff'!C29)))&gt;0)</f>
        <v>0</v>
      </c>
      <c r="R29" s="14" cm="1">
        <f t="array" ref="R29">INT(SUMPRODUCT(--ISNUMBER(SEARCH(race,'Jon Ossoff'!C29)))&gt;0)</f>
        <v>0</v>
      </c>
      <c r="S29" s="14" cm="1">
        <f t="array" ref="S29">INT(SUMPRODUCT(--ISNUMBER(SEARCH(immigration,C29)))&gt;0)</f>
        <v>0</v>
      </c>
      <c r="T29" s="14" cm="1">
        <f t="array" ref="T29">INT(SUMPRODUCT(--ISNUMBER(SEARCH(econineq,C29)))&gt;0)</f>
        <v>0</v>
      </c>
      <c r="U29" s="14" cm="1">
        <f t="array" ref="U29">INT(SUMPRODUCT(--ISNUMBER(SEARCH(climate,'Jon Ossoff'!C29)))&gt;0)</f>
        <v>0</v>
      </c>
      <c r="V29" s="14" cm="1">
        <f t="array" ref="V29">INT(SUMPRODUCT(--ISNUMBER(SEARCH(abortion,'Jon Ossoff'!C29)))&gt;0)</f>
        <v>0</v>
      </c>
      <c r="W29" s="14" cm="1">
        <f t="array" ref="W29">INT(SUMPRODUCT(--ISNUMBER(SEARCH(trump,'Jon Ossoff'!C29)))&gt;0)</f>
        <v>0</v>
      </c>
      <c r="X29" s="14" cm="1">
        <f t="array" ref="X29">INT(SUMPRODUCT(--ISNUMBER(SEARCH(voting,'Jon Ossoff'!C29)))&gt;0)</f>
        <v>1</v>
      </c>
      <c r="Y29" s="14" cm="1">
        <f t="array" ref="Y29">INT(SUMPRODUCT(--ISNUMBER(SEARCH(democrattrigger,'Jon Ossoff'!C29)))&gt;0)</f>
        <v>0</v>
      </c>
      <c r="Z29" s="14" cm="1">
        <f t="array" ref="Z29">INT(SUMPRODUCT(--ISNUMBER(SEARCH(bipartisan,'Jon Ossoff'!C29)))&gt;0)</f>
        <v>0</v>
      </c>
      <c r="AA29" s="14">
        <f t="shared" si="0"/>
        <v>0</v>
      </c>
      <c r="AB29" s="14"/>
      <c r="AC29" s="30">
        <v>0</v>
      </c>
      <c r="AD29" s="37">
        <v>0</v>
      </c>
    </row>
    <row r="30" spans="1:30" x14ac:dyDescent="0.25">
      <c r="A30" s="36">
        <v>540</v>
      </c>
      <c r="B30" s="14" t="s">
        <v>1110</v>
      </c>
      <c r="C30" s="31" t="s">
        <v>1111</v>
      </c>
      <c r="D30" s="17">
        <v>44136</v>
      </c>
      <c r="E30" s="14" t="s">
        <v>30</v>
      </c>
      <c r="F30" s="14">
        <v>1078</v>
      </c>
      <c r="G30" s="14">
        <v>279</v>
      </c>
      <c r="H30" s="14">
        <v>4</v>
      </c>
      <c r="I30" s="14">
        <v>2</v>
      </c>
      <c r="J30" s="14" t="s">
        <v>204</v>
      </c>
      <c r="K30" s="14" cm="1">
        <f t="array" ref="K30">INT(SUMPRODUCT(--ISNUMBER(SEARCH(economy,'Jon Ossoff'!C30)))&gt;0)</f>
        <v>0</v>
      </c>
      <c r="L30" s="14" cm="1">
        <f t="array" ref="L30">INT(SUMPRODUCT(--ISNUMBER(SEARCH(healthcare,'Jon Ossoff'!C30)))&gt;0)</f>
        <v>0</v>
      </c>
      <c r="M30" s="14" cm="1">
        <f t="array" ref="M30">INT(SUMPRODUCT(--ISNUMBER(SEARCH(supreme,'Jon Ossoff'!C30)))&gt;0)</f>
        <v>0</v>
      </c>
      <c r="N30" s="14" cm="1">
        <f t="array" ref="N30">INT(SUMPRODUCT(--ISNUMBER(SEARCH(covid,'Jon Ossoff'!C30)))&gt;0)</f>
        <v>0</v>
      </c>
      <c r="O30" s="14" cm="1">
        <f t="array" ref="O30">INT(SUMPRODUCT(--ISNUMBER(SEARCH(violent,'Jon Ossoff'!C30)))&gt;0)</f>
        <v>0</v>
      </c>
      <c r="P30" s="14" cm="1">
        <f t="array" ref="P30">INT(SUMPRODUCT(--ISNUMBER(SEARCH(foreign,'Jon Ossoff'!C30)))&gt;0)</f>
        <v>0</v>
      </c>
      <c r="Q30" s="14" cm="1">
        <f t="array" ref="Q30">INT(SUMPRODUCT(--ISNUMBER(SEARCH(gun,'Jon Ossoff'!C30)))&gt;0)</f>
        <v>0</v>
      </c>
      <c r="R30" s="14" cm="1">
        <f t="array" ref="R30">INT(SUMPRODUCT(--ISNUMBER(SEARCH(race,'Jon Ossoff'!C30)))&gt;0)</f>
        <v>0</v>
      </c>
      <c r="S30" s="14" cm="1">
        <f t="array" ref="S30">INT(SUMPRODUCT(--ISNUMBER(SEARCH(immigration,C30)))&gt;0)</f>
        <v>0</v>
      </c>
      <c r="T30" s="14" cm="1">
        <f t="array" ref="T30">INT(SUMPRODUCT(--ISNUMBER(SEARCH(econineq,C30)))&gt;0)</f>
        <v>0</v>
      </c>
      <c r="U30" s="14" cm="1">
        <f t="array" ref="U30">INT(SUMPRODUCT(--ISNUMBER(SEARCH(climate,'Jon Ossoff'!C30)))&gt;0)</f>
        <v>0</v>
      </c>
      <c r="V30" s="14" cm="1">
        <f t="array" ref="V30">INT(SUMPRODUCT(--ISNUMBER(SEARCH(abortion,'Jon Ossoff'!C30)))&gt;0)</f>
        <v>0</v>
      </c>
      <c r="W30" s="14" cm="1">
        <f t="array" ref="W30">INT(SUMPRODUCT(--ISNUMBER(SEARCH(trump,'Jon Ossoff'!C30)))&gt;0)</f>
        <v>0</v>
      </c>
      <c r="X30" s="14" cm="1">
        <f t="array" ref="X30">INT(SUMPRODUCT(--ISNUMBER(SEARCH(voting,'Jon Ossoff'!C30)))&gt;0)</f>
        <v>1</v>
      </c>
      <c r="Y30" s="14" cm="1">
        <f t="array" ref="Y30">INT(SUMPRODUCT(--ISNUMBER(SEARCH(democrattrigger,'Jon Ossoff'!C30)))&gt;0)</f>
        <v>0</v>
      </c>
      <c r="Z30" s="14" cm="1">
        <f t="array" ref="Z30">INT(SUMPRODUCT(--ISNUMBER(SEARCH(bipartisan,'Jon Ossoff'!C30)))&gt;0)</f>
        <v>0</v>
      </c>
      <c r="AA30" s="14">
        <f t="shared" si="0"/>
        <v>0</v>
      </c>
      <c r="AB30" s="14"/>
      <c r="AC30" s="30">
        <v>0</v>
      </c>
      <c r="AD30" s="37">
        <v>0</v>
      </c>
    </row>
    <row r="31" spans="1:30" x14ac:dyDescent="0.25">
      <c r="A31" s="36">
        <v>541</v>
      </c>
      <c r="B31" s="14" t="s">
        <v>1112</v>
      </c>
      <c r="C31" s="31" t="s">
        <v>1113</v>
      </c>
      <c r="D31" s="17">
        <v>44136</v>
      </c>
      <c r="E31" s="14" t="s">
        <v>30</v>
      </c>
      <c r="F31" s="14">
        <v>3488</v>
      </c>
      <c r="G31" s="14">
        <v>868</v>
      </c>
      <c r="H31" s="14">
        <v>4</v>
      </c>
      <c r="I31" s="14">
        <v>2</v>
      </c>
      <c r="J31" s="14" t="s">
        <v>204</v>
      </c>
      <c r="K31" s="14" cm="1">
        <f t="array" ref="K31">INT(SUMPRODUCT(--ISNUMBER(SEARCH(economy,'Jon Ossoff'!C31)))&gt;0)</f>
        <v>0</v>
      </c>
      <c r="L31" s="14" cm="1">
        <f t="array" ref="L31">INT(SUMPRODUCT(--ISNUMBER(SEARCH(healthcare,'Jon Ossoff'!C31)))&gt;0)</f>
        <v>0</v>
      </c>
      <c r="M31" s="14" cm="1">
        <f t="array" ref="M31">INT(SUMPRODUCT(--ISNUMBER(SEARCH(supreme,'Jon Ossoff'!C31)))&gt;0)</f>
        <v>0</v>
      </c>
      <c r="N31" s="14" cm="1">
        <f t="array" ref="N31">INT(SUMPRODUCT(--ISNUMBER(SEARCH(covid,'Jon Ossoff'!C31)))&gt;0)</f>
        <v>0</v>
      </c>
      <c r="O31" s="14" cm="1">
        <f t="array" ref="O31">INT(SUMPRODUCT(--ISNUMBER(SEARCH(violent,'Jon Ossoff'!C31)))&gt;0)</f>
        <v>0</v>
      </c>
      <c r="P31" s="14" cm="1">
        <f t="array" ref="P31">INT(SUMPRODUCT(--ISNUMBER(SEARCH(foreign,'Jon Ossoff'!C31)))&gt;0)</f>
        <v>0</v>
      </c>
      <c r="Q31" s="14" cm="1">
        <f t="array" ref="Q31">INT(SUMPRODUCT(--ISNUMBER(SEARCH(gun,'Jon Ossoff'!C31)))&gt;0)</f>
        <v>0</v>
      </c>
      <c r="R31" s="14" cm="1">
        <f t="array" ref="R31">INT(SUMPRODUCT(--ISNUMBER(SEARCH(race,'Jon Ossoff'!C31)))&gt;0)</f>
        <v>0</v>
      </c>
      <c r="S31" s="14" cm="1">
        <f t="array" ref="S31">INT(SUMPRODUCT(--ISNUMBER(SEARCH(immigration,C31)))&gt;0)</f>
        <v>0</v>
      </c>
      <c r="T31" s="14" cm="1">
        <f t="array" ref="T31">INT(SUMPRODUCT(--ISNUMBER(SEARCH(econineq,C31)))&gt;0)</f>
        <v>0</v>
      </c>
      <c r="U31" s="14" cm="1">
        <f t="array" ref="U31">INT(SUMPRODUCT(--ISNUMBER(SEARCH(climate,'Jon Ossoff'!C31)))&gt;0)</f>
        <v>0</v>
      </c>
      <c r="V31" s="14" cm="1">
        <f t="array" ref="V31">INT(SUMPRODUCT(--ISNUMBER(SEARCH(abortion,'Jon Ossoff'!C31)))&gt;0)</f>
        <v>0</v>
      </c>
      <c r="W31" s="14" cm="1">
        <f t="array" ref="W31">INT(SUMPRODUCT(--ISNUMBER(SEARCH(trump,'Jon Ossoff'!C31)))&gt;0)</f>
        <v>0</v>
      </c>
      <c r="X31" s="14" cm="1">
        <f t="array" ref="X31">INT(SUMPRODUCT(--ISNUMBER(SEARCH(voting,'Jon Ossoff'!C31)))&gt;0)</f>
        <v>1</v>
      </c>
      <c r="Y31" s="14" cm="1">
        <f t="array" ref="Y31">INT(SUMPRODUCT(--ISNUMBER(SEARCH(democrattrigger,'Jon Ossoff'!C31)))&gt;0)</f>
        <v>0</v>
      </c>
      <c r="Z31" s="14" cm="1">
        <f t="array" ref="Z31">INT(SUMPRODUCT(--ISNUMBER(SEARCH(bipartisan,'Jon Ossoff'!C31)))&gt;0)</f>
        <v>0</v>
      </c>
      <c r="AA31" s="14">
        <f t="shared" si="0"/>
        <v>0</v>
      </c>
      <c r="AB31" s="14"/>
      <c r="AC31" s="30">
        <v>0</v>
      </c>
      <c r="AD31" s="37">
        <v>1</v>
      </c>
    </row>
    <row r="32" spans="1:30" x14ac:dyDescent="0.25">
      <c r="A32" s="36">
        <v>542</v>
      </c>
      <c r="B32" s="14" t="s">
        <v>1114</v>
      </c>
      <c r="C32" s="31" t="s">
        <v>1115</v>
      </c>
      <c r="D32" s="17">
        <v>44136</v>
      </c>
      <c r="E32" s="14" t="s">
        <v>70</v>
      </c>
      <c r="F32" s="14">
        <v>10</v>
      </c>
      <c r="G32" s="14">
        <v>0</v>
      </c>
      <c r="H32" s="14">
        <v>4</v>
      </c>
      <c r="I32" s="14">
        <v>2</v>
      </c>
      <c r="J32" s="14" t="s">
        <v>204</v>
      </c>
      <c r="K32" s="14" cm="1">
        <f t="array" ref="K32">INT(SUMPRODUCT(--ISNUMBER(SEARCH(economy,'Jon Ossoff'!C32)))&gt;0)</f>
        <v>0</v>
      </c>
      <c r="L32" s="14" cm="1">
        <f t="array" ref="L32">INT(SUMPRODUCT(--ISNUMBER(SEARCH(healthcare,'Jon Ossoff'!C32)))&gt;0)</f>
        <v>0</v>
      </c>
      <c r="M32" s="14" cm="1">
        <f t="array" ref="M32">INT(SUMPRODUCT(--ISNUMBER(SEARCH(supreme,'Jon Ossoff'!C32)))&gt;0)</f>
        <v>0</v>
      </c>
      <c r="N32" s="14" cm="1">
        <f t="array" ref="N32">INT(SUMPRODUCT(--ISNUMBER(SEARCH(covid,'Jon Ossoff'!C32)))&gt;0)</f>
        <v>0</v>
      </c>
      <c r="O32" s="14" cm="1">
        <f t="array" ref="O32">INT(SUMPRODUCT(--ISNUMBER(SEARCH(violent,'Jon Ossoff'!C32)))&gt;0)</f>
        <v>0</v>
      </c>
      <c r="P32" s="14" cm="1">
        <f t="array" ref="P32">INT(SUMPRODUCT(--ISNUMBER(SEARCH(foreign,'Jon Ossoff'!C32)))&gt;0)</f>
        <v>0</v>
      </c>
      <c r="Q32" s="14" cm="1">
        <f t="array" ref="Q32">INT(SUMPRODUCT(--ISNUMBER(SEARCH(gun,'Jon Ossoff'!C32)))&gt;0)</f>
        <v>0</v>
      </c>
      <c r="R32" s="14" cm="1">
        <f t="array" ref="R32">INT(SUMPRODUCT(--ISNUMBER(SEARCH(race,'Jon Ossoff'!C32)))&gt;0)</f>
        <v>0</v>
      </c>
      <c r="S32" s="14" cm="1">
        <f t="array" ref="S32">INT(SUMPRODUCT(--ISNUMBER(SEARCH(immigration,C32)))&gt;0)</f>
        <v>0</v>
      </c>
      <c r="T32" s="14" cm="1">
        <f t="array" ref="T32">INT(SUMPRODUCT(--ISNUMBER(SEARCH(econineq,C32)))&gt;0)</f>
        <v>0</v>
      </c>
      <c r="U32" s="14" cm="1">
        <f t="array" ref="U32">INT(SUMPRODUCT(--ISNUMBER(SEARCH(climate,'Jon Ossoff'!C32)))&gt;0)</f>
        <v>0</v>
      </c>
      <c r="V32" s="14" cm="1">
        <f t="array" ref="V32">INT(SUMPRODUCT(--ISNUMBER(SEARCH(abortion,'Jon Ossoff'!C32)))&gt;0)</f>
        <v>0</v>
      </c>
      <c r="W32" s="14" cm="1">
        <f t="array" ref="W32">INT(SUMPRODUCT(--ISNUMBER(SEARCH(trump,'Jon Ossoff'!C32)))&gt;0)</f>
        <v>0</v>
      </c>
      <c r="X32" s="14" cm="1">
        <f t="array" ref="X32">INT(SUMPRODUCT(--ISNUMBER(SEARCH(voting,'Jon Ossoff'!C32)))&gt;0)</f>
        <v>0</v>
      </c>
      <c r="Y32" s="14" cm="1">
        <f t="array" ref="Y32">INT(SUMPRODUCT(--ISNUMBER(SEARCH(democrattrigger,'Jon Ossoff'!C32)))&gt;0)</f>
        <v>0</v>
      </c>
      <c r="Z32" s="14" cm="1">
        <f t="array" ref="Z32">INT(SUMPRODUCT(--ISNUMBER(SEARCH(bipartisan,'Jon Ossoff'!C32)))&gt;0)</f>
        <v>0</v>
      </c>
      <c r="AA32" s="14">
        <f t="shared" si="0"/>
        <v>1</v>
      </c>
      <c r="AB32" s="14"/>
      <c r="AC32" s="30">
        <v>0</v>
      </c>
      <c r="AD32" s="37">
        <v>0</v>
      </c>
    </row>
    <row r="33" spans="1:30" x14ac:dyDescent="0.25">
      <c r="A33" s="36">
        <v>543</v>
      </c>
      <c r="B33" s="14" t="s">
        <v>1116</v>
      </c>
      <c r="C33" s="31" t="s">
        <v>1117</v>
      </c>
      <c r="D33" s="17">
        <v>44136</v>
      </c>
      <c r="E33" s="14" t="s">
        <v>30</v>
      </c>
      <c r="F33" s="14">
        <v>976</v>
      </c>
      <c r="G33" s="14">
        <v>225</v>
      </c>
      <c r="H33" s="14">
        <v>4</v>
      </c>
      <c r="I33" s="14">
        <v>2</v>
      </c>
      <c r="J33" s="14" t="s">
        <v>204</v>
      </c>
      <c r="K33" s="14" cm="1">
        <f t="array" ref="K33">INT(SUMPRODUCT(--ISNUMBER(SEARCH(economy,'Jon Ossoff'!C33)))&gt;0)</f>
        <v>0</v>
      </c>
      <c r="L33" s="14" cm="1">
        <f t="array" ref="L33">INT(SUMPRODUCT(--ISNUMBER(SEARCH(healthcare,'Jon Ossoff'!C33)))&gt;0)</f>
        <v>0</v>
      </c>
      <c r="M33" s="14" cm="1">
        <f t="array" ref="M33">INT(SUMPRODUCT(--ISNUMBER(SEARCH(supreme,'Jon Ossoff'!C33)))&gt;0)</f>
        <v>0</v>
      </c>
      <c r="N33" s="14" cm="1">
        <f t="array" ref="N33">INT(SUMPRODUCT(--ISNUMBER(SEARCH(covid,'Jon Ossoff'!C33)))&gt;0)</f>
        <v>0</v>
      </c>
      <c r="O33" s="14" cm="1">
        <f t="array" ref="O33">INT(SUMPRODUCT(--ISNUMBER(SEARCH(violent,'Jon Ossoff'!C33)))&gt;0)</f>
        <v>0</v>
      </c>
      <c r="P33" s="14" cm="1">
        <f t="array" ref="P33">INT(SUMPRODUCT(--ISNUMBER(SEARCH(foreign,'Jon Ossoff'!C33)))&gt;0)</f>
        <v>0</v>
      </c>
      <c r="Q33" s="14" cm="1">
        <f t="array" ref="Q33">INT(SUMPRODUCT(--ISNUMBER(SEARCH(gun,'Jon Ossoff'!C33)))&gt;0)</f>
        <v>0</v>
      </c>
      <c r="R33" s="14" cm="1">
        <f t="array" ref="R33">INT(SUMPRODUCT(--ISNUMBER(SEARCH(race,'Jon Ossoff'!C33)))&gt;0)</f>
        <v>0</v>
      </c>
      <c r="S33" s="14" cm="1">
        <f t="array" ref="S33">INT(SUMPRODUCT(--ISNUMBER(SEARCH(immigration,C33)))&gt;0)</f>
        <v>0</v>
      </c>
      <c r="T33" s="14" cm="1">
        <f t="array" ref="T33">INT(SUMPRODUCT(--ISNUMBER(SEARCH(econineq,C33)))&gt;0)</f>
        <v>0</v>
      </c>
      <c r="U33" s="14" cm="1">
        <f t="array" ref="U33">INT(SUMPRODUCT(--ISNUMBER(SEARCH(climate,'Jon Ossoff'!C33)))&gt;0)</f>
        <v>0</v>
      </c>
      <c r="V33" s="14" cm="1">
        <f t="array" ref="V33">INT(SUMPRODUCT(--ISNUMBER(SEARCH(abortion,'Jon Ossoff'!C33)))&gt;0)</f>
        <v>0</v>
      </c>
      <c r="W33" s="14" cm="1">
        <f t="array" ref="W33">INT(SUMPRODUCT(--ISNUMBER(SEARCH(trump,'Jon Ossoff'!C33)))&gt;0)</f>
        <v>0</v>
      </c>
      <c r="X33" s="14" cm="1">
        <f t="array" ref="X33">INT(SUMPRODUCT(--ISNUMBER(SEARCH(voting,'Jon Ossoff'!C33)))&gt;0)</f>
        <v>1</v>
      </c>
      <c r="Y33" s="14" cm="1">
        <f t="array" ref="Y33">INT(SUMPRODUCT(--ISNUMBER(SEARCH(democrattrigger,'Jon Ossoff'!C33)))&gt;0)</f>
        <v>0</v>
      </c>
      <c r="Z33" s="14" cm="1">
        <f t="array" ref="Z33">INT(SUMPRODUCT(--ISNUMBER(SEARCH(bipartisan,'Jon Ossoff'!C33)))&gt;0)</f>
        <v>0</v>
      </c>
      <c r="AA33" s="14">
        <f t="shared" si="0"/>
        <v>0</v>
      </c>
      <c r="AB33" s="14"/>
      <c r="AC33" s="30">
        <v>0</v>
      </c>
      <c r="AD33" s="37">
        <v>0</v>
      </c>
    </row>
    <row r="34" spans="1:30" x14ac:dyDescent="0.25">
      <c r="A34" s="36">
        <v>544</v>
      </c>
      <c r="B34" s="14" t="s">
        <v>1118</v>
      </c>
      <c r="C34" s="31" t="s">
        <v>1119</v>
      </c>
      <c r="D34" s="17">
        <v>44136</v>
      </c>
      <c r="E34" s="14" t="s">
        <v>30</v>
      </c>
      <c r="F34" s="14">
        <v>15968</v>
      </c>
      <c r="G34" s="14">
        <v>3200</v>
      </c>
      <c r="H34" s="14">
        <v>4</v>
      </c>
      <c r="I34" s="14">
        <v>2</v>
      </c>
      <c r="J34" s="14" t="s">
        <v>204</v>
      </c>
      <c r="K34" s="14" cm="1">
        <f t="array" ref="K34">INT(SUMPRODUCT(--ISNUMBER(SEARCH(economy,'Jon Ossoff'!C34)))&gt;0)</f>
        <v>0</v>
      </c>
      <c r="L34" s="14" cm="1">
        <f t="array" ref="L34">INT(SUMPRODUCT(--ISNUMBER(SEARCH(healthcare,'Jon Ossoff'!C34)))&gt;0)</f>
        <v>1</v>
      </c>
      <c r="M34" s="14" cm="1">
        <f t="array" ref="M34">INT(SUMPRODUCT(--ISNUMBER(SEARCH(supreme,'Jon Ossoff'!C34)))&gt;0)</f>
        <v>0</v>
      </c>
      <c r="N34" s="14" cm="1">
        <f t="array" ref="N34">INT(SUMPRODUCT(--ISNUMBER(SEARCH(covid,'Jon Ossoff'!C34)))&gt;0)</f>
        <v>0</v>
      </c>
      <c r="O34" s="14" cm="1">
        <f t="array" ref="O34">INT(SUMPRODUCT(--ISNUMBER(SEARCH(violent,'Jon Ossoff'!C34)))&gt;0)</f>
        <v>0</v>
      </c>
      <c r="P34" s="14" cm="1">
        <f t="array" ref="P34">INT(SUMPRODUCT(--ISNUMBER(SEARCH(foreign,'Jon Ossoff'!C34)))&gt;0)</f>
        <v>0</v>
      </c>
      <c r="Q34" s="14" cm="1">
        <f t="array" ref="Q34">INT(SUMPRODUCT(--ISNUMBER(SEARCH(gun,'Jon Ossoff'!C34)))&gt;0)</f>
        <v>0</v>
      </c>
      <c r="R34" s="14" cm="1">
        <f t="array" ref="R34">INT(SUMPRODUCT(--ISNUMBER(SEARCH(race,'Jon Ossoff'!C34)))&gt;0)</f>
        <v>0</v>
      </c>
      <c r="S34" s="14" cm="1">
        <f t="array" ref="S34">INT(SUMPRODUCT(--ISNUMBER(SEARCH(immigration,C34)))&gt;0)</f>
        <v>0</v>
      </c>
      <c r="T34" s="14" cm="1">
        <f t="array" ref="T34">INT(SUMPRODUCT(--ISNUMBER(SEARCH(econineq,C34)))&gt;0)</f>
        <v>0</v>
      </c>
      <c r="U34" s="14" cm="1">
        <f t="array" ref="U34">INT(SUMPRODUCT(--ISNUMBER(SEARCH(climate,'Jon Ossoff'!C34)))&gt;0)</f>
        <v>0</v>
      </c>
      <c r="V34" s="14" cm="1">
        <f t="array" ref="V34">INT(SUMPRODUCT(--ISNUMBER(SEARCH(abortion,'Jon Ossoff'!C34)))&gt;0)</f>
        <v>0</v>
      </c>
      <c r="W34" s="14" cm="1">
        <f t="array" ref="W34">INT(SUMPRODUCT(--ISNUMBER(SEARCH(trump,'Jon Ossoff'!C34)))&gt;0)</f>
        <v>0</v>
      </c>
      <c r="X34" s="14" cm="1">
        <f t="array" ref="X34">INT(SUMPRODUCT(--ISNUMBER(SEARCH(voting,'Jon Ossoff'!C34)))&gt;0)</f>
        <v>0</v>
      </c>
      <c r="Y34" s="14" cm="1">
        <f t="array" ref="Y34">INT(SUMPRODUCT(--ISNUMBER(SEARCH(democrattrigger,'Jon Ossoff'!C34)))&gt;0)</f>
        <v>1</v>
      </c>
      <c r="Z34" s="14" cm="1">
        <f t="array" ref="Z34">INT(SUMPRODUCT(--ISNUMBER(SEARCH(bipartisan,'Jon Ossoff'!C34)))&gt;0)</f>
        <v>0</v>
      </c>
      <c r="AA34" s="14">
        <f t="shared" si="0"/>
        <v>0</v>
      </c>
      <c r="AB34" s="14"/>
      <c r="AC34" s="30">
        <v>0</v>
      </c>
      <c r="AD34" s="37">
        <v>0</v>
      </c>
    </row>
    <row r="35" spans="1:30" x14ac:dyDescent="0.25">
      <c r="A35" s="36">
        <v>545</v>
      </c>
      <c r="B35" s="14" t="s">
        <v>1120</v>
      </c>
      <c r="C35" s="31" t="s">
        <v>1121</v>
      </c>
      <c r="D35" s="17">
        <v>44136</v>
      </c>
      <c r="E35" s="14" t="s">
        <v>30</v>
      </c>
      <c r="F35" s="14">
        <v>5156</v>
      </c>
      <c r="G35" s="14">
        <v>479</v>
      </c>
      <c r="H35" s="14">
        <v>4</v>
      </c>
      <c r="I35" s="14">
        <v>2</v>
      </c>
      <c r="J35" s="14" t="s">
        <v>204</v>
      </c>
      <c r="K35" s="14" cm="1">
        <f t="array" ref="K35">INT(SUMPRODUCT(--ISNUMBER(SEARCH(economy,'Jon Ossoff'!C35)))&gt;0)</f>
        <v>0</v>
      </c>
      <c r="L35" s="14" cm="1">
        <f t="array" ref="L35">INT(SUMPRODUCT(--ISNUMBER(SEARCH(healthcare,'Jon Ossoff'!C35)))&gt;0)</f>
        <v>0</v>
      </c>
      <c r="M35" s="14" cm="1">
        <f t="array" ref="M35">INT(SUMPRODUCT(--ISNUMBER(SEARCH(supreme,'Jon Ossoff'!C35)))&gt;0)</f>
        <v>0</v>
      </c>
      <c r="N35" s="14" cm="1">
        <f t="array" ref="N35">INT(SUMPRODUCT(--ISNUMBER(SEARCH(covid,'Jon Ossoff'!C35)))&gt;0)</f>
        <v>0</v>
      </c>
      <c r="O35" s="14" cm="1">
        <f t="array" ref="O35">INT(SUMPRODUCT(--ISNUMBER(SEARCH(violent,'Jon Ossoff'!C35)))&gt;0)</f>
        <v>0</v>
      </c>
      <c r="P35" s="14" cm="1">
        <f t="array" ref="P35">INT(SUMPRODUCT(--ISNUMBER(SEARCH(foreign,'Jon Ossoff'!C35)))&gt;0)</f>
        <v>0</v>
      </c>
      <c r="Q35" s="14" cm="1">
        <f t="array" ref="Q35">INT(SUMPRODUCT(--ISNUMBER(SEARCH(gun,'Jon Ossoff'!C35)))&gt;0)</f>
        <v>0</v>
      </c>
      <c r="R35" s="14" cm="1">
        <f t="array" ref="R35">INT(SUMPRODUCT(--ISNUMBER(SEARCH(race,'Jon Ossoff'!C35)))&gt;0)</f>
        <v>0</v>
      </c>
      <c r="S35" s="14" cm="1">
        <f t="array" ref="S35">INT(SUMPRODUCT(--ISNUMBER(SEARCH(immigration,C35)))&gt;0)</f>
        <v>0</v>
      </c>
      <c r="T35" s="14" cm="1">
        <f t="array" ref="T35">INT(SUMPRODUCT(--ISNUMBER(SEARCH(econineq,C35)))&gt;0)</f>
        <v>0</v>
      </c>
      <c r="U35" s="14" cm="1">
        <f t="array" ref="U35">INT(SUMPRODUCT(--ISNUMBER(SEARCH(climate,'Jon Ossoff'!C35)))&gt;0)</f>
        <v>0</v>
      </c>
      <c r="V35" s="14" cm="1">
        <f t="array" ref="V35">INT(SUMPRODUCT(--ISNUMBER(SEARCH(abortion,'Jon Ossoff'!C35)))&gt;0)</f>
        <v>0</v>
      </c>
      <c r="W35" s="14" cm="1">
        <f t="array" ref="W35">INT(SUMPRODUCT(--ISNUMBER(SEARCH(trump,'Jon Ossoff'!C35)))&gt;0)</f>
        <v>0</v>
      </c>
      <c r="X35" s="14" cm="1">
        <f t="array" ref="X35">INT(SUMPRODUCT(--ISNUMBER(SEARCH(voting,'Jon Ossoff'!C35)))&gt;0)</f>
        <v>0</v>
      </c>
      <c r="Y35" s="14" cm="1">
        <f t="array" ref="Y35">INT(SUMPRODUCT(--ISNUMBER(SEARCH(democrattrigger,'Jon Ossoff'!C35)))&gt;0)</f>
        <v>0</v>
      </c>
      <c r="Z35" s="14" cm="1">
        <f t="array" ref="Z35">INT(SUMPRODUCT(--ISNUMBER(SEARCH(bipartisan,'Jon Ossoff'!C35)))&gt;0)</f>
        <v>0</v>
      </c>
      <c r="AA35" s="14">
        <f t="shared" si="0"/>
        <v>1</v>
      </c>
      <c r="AB35" s="14"/>
      <c r="AC35" s="30">
        <v>0</v>
      </c>
      <c r="AD35" s="37">
        <v>0</v>
      </c>
    </row>
    <row r="36" spans="1:30" x14ac:dyDescent="0.25">
      <c r="A36" s="36">
        <v>546</v>
      </c>
      <c r="B36" s="14" t="s">
        <v>1122</v>
      </c>
      <c r="C36" s="31" t="s">
        <v>1123</v>
      </c>
      <c r="D36" s="17">
        <v>44135</v>
      </c>
      <c r="E36" s="14" t="s">
        <v>70</v>
      </c>
      <c r="F36" s="14">
        <v>1363</v>
      </c>
      <c r="G36" s="14">
        <v>373</v>
      </c>
      <c r="H36" s="14">
        <v>4</v>
      </c>
      <c r="I36" s="14">
        <v>2</v>
      </c>
      <c r="J36" s="14" t="s">
        <v>204</v>
      </c>
      <c r="K36" s="14" cm="1">
        <f t="array" ref="K36">INT(SUMPRODUCT(--ISNUMBER(SEARCH(economy,'Jon Ossoff'!C36)))&gt;0)</f>
        <v>0</v>
      </c>
      <c r="L36" s="14" cm="1">
        <f t="array" ref="L36">INT(SUMPRODUCT(--ISNUMBER(SEARCH(healthcare,'Jon Ossoff'!C36)))&gt;0)</f>
        <v>0</v>
      </c>
      <c r="M36" s="14" cm="1">
        <f t="array" ref="M36">INT(SUMPRODUCT(--ISNUMBER(SEARCH(supreme,'Jon Ossoff'!C36)))&gt;0)</f>
        <v>0</v>
      </c>
      <c r="N36" s="14" cm="1">
        <f t="array" ref="N36">INT(SUMPRODUCT(--ISNUMBER(SEARCH(covid,'Jon Ossoff'!C36)))&gt;0)</f>
        <v>0</v>
      </c>
      <c r="O36" s="14" cm="1">
        <f t="array" ref="O36">INT(SUMPRODUCT(--ISNUMBER(SEARCH(violent,'Jon Ossoff'!C36)))&gt;0)</f>
        <v>0</v>
      </c>
      <c r="P36" s="14" cm="1">
        <f t="array" ref="P36">INT(SUMPRODUCT(--ISNUMBER(SEARCH(foreign,'Jon Ossoff'!C36)))&gt;0)</f>
        <v>0</v>
      </c>
      <c r="Q36" s="14" cm="1">
        <f t="array" ref="Q36">INT(SUMPRODUCT(--ISNUMBER(SEARCH(gun,'Jon Ossoff'!C36)))&gt;0)</f>
        <v>0</v>
      </c>
      <c r="R36" s="14" cm="1">
        <f t="array" ref="R36">INT(SUMPRODUCT(--ISNUMBER(SEARCH(race,'Jon Ossoff'!C36)))&gt;0)</f>
        <v>0</v>
      </c>
      <c r="S36" s="14" cm="1">
        <f t="array" ref="S36">INT(SUMPRODUCT(--ISNUMBER(SEARCH(immigration,C36)))&gt;0)</f>
        <v>0</v>
      </c>
      <c r="T36" s="14" cm="1">
        <f t="array" ref="T36">INT(SUMPRODUCT(--ISNUMBER(SEARCH(econineq,C36)))&gt;0)</f>
        <v>0</v>
      </c>
      <c r="U36" s="14" cm="1">
        <f t="array" ref="U36">INT(SUMPRODUCT(--ISNUMBER(SEARCH(climate,'Jon Ossoff'!C36)))&gt;0)</f>
        <v>0</v>
      </c>
      <c r="V36" s="14" cm="1">
        <f t="array" ref="V36">INT(SUMPRODUCT(--ISNUMBER(SEARCH(abortion,'Jon Ossoff'!C36)))&gt;0)</f>
        <v>0</v>
      </c>
      <c r="W36" s="14" cm="1">
        <f t="array" ref="W36">INT(SUMPRODUCT(--ISNUMBER(SEARCH(trump,'Jon Ossoff'!C36)))&gt;0)</f>
        <v>0</v>
      </c>
      <c r="X36" s="14" cm="1">
        <f t="array" ref="X36">INT(SUMPRODUCT(--ISNUMBER(SEARCH(voting,'Jon Ossoff'!C36)))&gt;0)</f>
        <v>1</v>
      </c>
      <c r="Y36" s="14" cm="1">
        <f t="array" ref="Y36">INT(SUMPRODUCT(--ISNUMBER(SEARCH(democrattrigger,'Jon Ossoff'!C36)))&gt;0)</f>
        <v>0</v>
      </c>
      <c r="Z36" s="14" cm="1">
        <f t="array" ref="Z36">INT(SUMPRODUCT(--ISNUMBER(SEARCH(bipartisan,'Jon Ossoff'!C36)))&gt;0)</f>
        <v>0</v>
      </c>
      <c r="AA36" s="14">
        <f t="shared" si="0"/>
        <v>0</v>
      </c>
      <c r="AB36" s="14"/>
      <c r="AC36" s="30">
        <v>0</v>
      </c>
      <c r="AD36" s="37">
        <v>0</v>
      </c>
    </row>
    <row r="37" spans="1:30" x14ac:dyDescent="0.25">
      <c r="A37" s="36">
        <v>547</v>
      </c>
      <c r="B37" s="14" t="s">
        <v>1124</v>
      </c>
      <c r="C37" s="31" t="s">
        <v>1125</v>
      </c>
      <c r="D37" s="17">
        <v>44135</v>
      </c>
      <c r="E37" s="14" t="s">
        <v>30</v>
      </c>
      <c r="F37" s="14">
        <v>18472</v>
      </c>
      <c r="G37" s="14">
        <v>2735</v>
      </c>
      <c r="H37" s="14">
        <v>4</v>
      </c>
      <c r="I37" s="14">
        <v>2</v>
      </c>
      <c r="J37" s="14" t="s">
        <v>204</v>
      </c>
      <c r="K37" s="14" cm="1">
        <f t="array" ref="K37">INT(SUMPRODUCT(--ISNUMBER(SEARCH(economy,'Jon Ossoff'!C37)))&gt;0)</f>
        <v>0</v>
      </c>
      <c r="L37" s="14" cm="1">
        <f t="array" ref="L37">INT(SUMPRODUCT(--ISNUMBER(SEARCH(healthcare,'Jon Ossoff'!C37)))&gt;0)</f>
        <v>1</v>
      </c>
      <c r="M37" s="14" cm="1">
        <f t="array" ref="M37">INT(SUMPRODUCT(--ISNUMBER(SEARCH(supreme,'Jon Ossoff'!C37)))&gt;0)</f>
        <v>0</v>
      </c>
      <c r="N37" s="14" cm="1">
        <f t="array" ref="N37">INT(SUMPRODUCT(--ISNUMBER(SEARCH(covid,'Jon Ossoff'!C37)))&gt;0)</f>
        <v>0</v>
      </c>
      <c r="O37" s="14" cm="1">
        <f t="array" ref="O37">INT(SUMPRODUCT(--ISNUMBER(SEARCH(violent,'Jon Ossoff'!C37)))&gt;0)</f>
        <v>0</v>
      </c>
      <c r="P37" s="14" cm="1">
        <f t="array" ref="P37">INT(SUMPRODUCT(--ISNUMBER(SEARCH(foreign,'Jon Ossoff'!C37)))&gt;0)</f>
        <v>0</v>
      </c>
      <c r="Q37" s="14" cm="1">
        <f t="array" ref="Q37">INT(SUMPRODUCT(--ISNUMBER(SEARCH(gun,'Jon Ossoff'!C37)))&gt;0)</f>
        <v>0</v>
      </c>
      <c r="R37" s="14" cm="1">
        <f t="array" ref="R37">INT(SUMPRODUCT(--ISNUMBER(SEARCH(race,'Jon Ossoff'!C37)))&gt;0)</f>
        <v>0</v>
      </c>
      <c r="S37" s="14" cm="1">
        <f t="array" ref="S37">INT(SUMPRODUCT(--ISNUMBER(SEARCH(immigration,C37)))&gt;0)</f>
        <v>0</v>
      </c>
      <c r="T37" s="14" cm="1">
        <f t="array" ref="T37">INT(SUMPRODUCT(--ISNUMBER(SEARCH(econineq,C37)))&gt;0)</f>
        <v>0</v>
      </c>
      <c r="U37" s="14" cm="1">
        <f t="array" ref="U37">INT(SUMPRODUCT(--ISNUMBER(SEARCH(climate,'Jon Ossoff'!C37)))&gt;0)</f>
        <v>0</v>
      </c>
      <c r="V37" s="14" cm="1">
        <f t="array" ref="V37">INT(SUMPRODUCT(--ISNUMBER(SEARCH(abortion,'Jon Ossoff'!C37)))&gt;0)</f>
        <v>0</v>
      </c>
      <c r="W37" s="14" cm="1">
        <f t="array" ref="W37">INT(SUMPRODUCT(--ISNUMBER(SEARCH(trump,'Jon Ossoff'!C37)))&gt;0)</f>
        <v>0</v>
      </c>
      <c r="X37" s="14" cm="1">
        <f t="array" ref="X37">INT(SUMPRODUCT(--ISNUMBER(SEARCH(voting,'Jon Ossoff'!C37)))&gt;0)</f>
        <v>0</v>
      </c>
      <c r="Y37" s="14" cm="1">
        <f t="array" ref="Y37">INT(SUMPRODUCT(--ISNUMBER(SEARCH(democrattrigger,'Jon Ossoff'!C37)))&gt;0)</f>
        <v>0</v>
      </c>
      <c r="Z37" s="14" cm="1">
        <f t="array" ref="Z37">INT(SUMPRODUCT(--ISNUMBER(SEARCH(bipartisan,'Jon Ossoff'!C37)))&gt;0)</f>
        <v>0</v>
      </c>
      <c r="AA37" s="14">
        <f t="shared" si="0"/>
        <v>0</v>
      </c>
      <c r="AB37" s="14"/>
      <c r="AC37" s="30">
        <v>0</v>
      </c>
      <c r="AD37" s="37">
        <v>0</v>
      </c>
    </row>
    <row r="38" spans="1:30" x14ac:dyDescent="0.25">
      <c r="A38" s="36">
        <v>548</v>
      </c>
      <c r="B38" s="14" t="s">
        <v>1126</v>
      </c>
      <c r="C38" s="31" t="s">
        <v>1127</v>
      </c>
      <c r="D38" s="17">
        <v>44135</v>
      </c>
      <c r="E38" s="14" t="s">
        <v>70</v>
      </c>
      <c r="F38" s="14">
        <v>729</v>
      </c>
      <c r="G38" s="14">
        <v>290</v>
      </c>
      <c r="H38" s="14">
        <v>4</v>
      </c>
      <c r="I38" s="14">
        <v>2</v>
      </c>
      <c r="J38" s="14" t="s">
        <v>204</v>
      </c>
      <c r="K38" s="14" cm="1">
        <f t="array" ref="K38">INT(SUMPRODUCT(--ISNUMBER(SEARCH(economy,'Jon Ossoff'!C38)))&gt;0)</f>
        <v>0</v>
      </c>
      <c r="L38" s="14" cm="1">
        <f t="array" ref="L38">INT(SUMPRODUCT(--ISNUMBER(SEARCH(healthcare,'Jon Ossoff'!C38)))&gt;0)</f>
        <v>0</v>
      </c>
      <c r="M38" s="14" cm="1">
        <f t="array" ref="M38">INT(SUMPRODUCT(--ISNUMBER(SEARCH(supreme,'Jon Ossoff'!C38)))&gt;0)</f>
        <v>0</v>
      </c>
      <c r="N38" s="14" cm="1">
        <f t="array" ref="N38">INT(SUMPRODUCT(--ISNUMBER(SEARCH(covid,'Jon Ossoff'!C38)))&gt;0)</f>
        <v>0</v>
      </c>
      <c r="O38" s="14" cm="1">
        <f t="array" ref="O38">INT(SUMPRODUCT(--ISNUMBER(SEARCH(violent,'Jon Ossoff'!C38)))&gt;0)</f>
        <v>0</v>
      </c>
      <c r="P38" s="14" cm="1">
        <f t="array" ref="P38">INT(SUMPRODUCT(--ISNUMBER(SEARCH(foreign,'Jon Ossoff'!C38)))&gt;0)</f>
        <v>0</v>
      </c>
      <c r="Q38" s="14" cm="1">
        <f t="array" ref="Q38">INT(SUMPRODUCT(--ISNUMBER(SEARCH(gun,'Jon Ossoff'!C38)))&gt;0)</f>
        <v>0</v>
      </c>
      <c r="R38" s="14" cm="1">
        <f t="array" ref="R38">INT(SUMPRODUCT(--ISNUMBER(SEARCH(race,'Jon Ossoff'!C38)))&gt;0)</f>
        <v>0</v>
      </c>
      <c r="S38" s="14" cm="1">
        <f t="array" ref="S38">INT(SUMPRODUCT(--ISNUMBER(SEARCH(immigration,C38)))&gt;0)</f>
        <v>0</v>
      </c>
      <c r="T38" s="14" cm="1">
        <f t="array" ref="T38">INT(SUMPRODUCT(--ISNUMBER(SEARCH(econineq,C38)))&gt;0)</f>
        <v>0</v>
      </c>
      <c r="U38" s="14" cm="1">
        <f t="array" ref="U38">INT(SUMPRODUCT(--ISNUMBER(SEARCH(climate,'Jon Ossoff'!C38)))&gt;0)</f>
        <v>0</v>
      </c>
      <c r="V38" s="14" cm="1">
        <f t="array" ref="V38">INT(SUMPRODUCT(--ISNUMBER(SEARCH(abortion,'Jon Ossoff'!C38)))&gt;0)</f>
        <v>0</v>
      </c>
      <c r="W38" s="14" cm="1">
        <f t="array" ref="W38">INT(SUMPRODUCT(--ISNUMBER(SEARCH(trump,'Jon Ossoff'!C38)))&gt;0)</f>
        <v>0</v>
      </c>
      <c r="X38" s="14" cm="1">
        <f t="array" ref="X38">INT(SUMPRODUCT(--ISNUMBER(SEARCH(voting,'Jon Ossoff'!C38)))&gt;0)</f>
        <v>1</v>
      </c>
      <c r="Y38" s="14" cm="1">
        <f t="array" ref="Y38">INT(SUMPRODUCT(--ISNUMBER(SEARCH(democrattrigger,'Jon Ossoff'!C38)))&gt;0)</f>
        <v>0</v>
      </c>
      <c r="Z38" s="14" cm="1">
        <f t="array" ref="Z38">INT(SUMPRODUCT(--ISNUMBER(SEARCH(bipartisan,'Jon Ossoff'!C38)))&gt;0)</f>
        <v>0</v>
      </c>
      <c r="AA38" s="14">
        <f t="shared" si="0"/>
        <v>0</v>
      </c>
      <c r="AB38" s="14"/>
      <c r="AC38" s="30">
        <v>0</v>
      </c>
      <c r="AD38" s="37">
        <v>0</v>
      </c>
    </row>
    <row r="39" spans="1:30" x14ac:dyDescent="0.25">
      <c r="A39" s="36">
        <v>549</v>
      </c>
      <c r="B39" s="14" t="s">
        <v>1128</v>
      </c>
      <c r="C39" s="31" t="s">
        <v>1129</v>
      </c>
      <c r="D39" s="17">
        <v>44135</v>
      </c>
      <c r="E39" s="14" t="s">
        <v>30</v>
      </c>
      <c r="F39" s="14">
        <v>6163</v>
      </c>
      <c r="G39" s="14">
        <v>1466</v>
      </c>
      <c r="H39" s="14">
        <v>4</v>
      </c>
      <c r="I39" s="14">
        <v>2</v>
      </c>
      <c r="J39" s="14" t="s">
        <v>204</v>
      </c>
      <c r="K39" s="14" cm="1">
        <f t="array" ref="K39">INT(SUMPRODUCT(--ISNUMBER(SEARCH(economy,'Jon Ossoff'!C39)))&gt;0)</f>
        <v>0</v>
      </c>
      <c r="L39" s="14" cm="1">
        <f t="array" ref="L39">INT(SUMPRODUCT(--ISNUMBER(SEARCH(healthcare,'Jon Ossoff'!C39)))&gt;0)</f>
        <v>0</v>
      </c>
      <c r="M39" s="14" cm="1">
        <f t="array" ref="M39">INT(SUMPRODUCT(--ISNUMBER(SEARCH(supreme,'Jon Ossoff'!C39)))&gt;0)</f>
        <v>0</v>
      </c>
      <c r="N39" s="14" cm="1">
        <f t="array" ref="N39">INT(SUMPRODUCT(--ISNUMBER(SEARCH(covid,'Jon Ossoff'!C39)))&gt;0)</f>
        <v>0</v>
      </c>
      <c r="O39" s="14" cm="1">
        <f t="array" ref="O39">INT(SUMPRODUCT(--ISNUMBER(SEARCH(violent,'Jon Ossoff'!C39)))&gt;0)</f>
        <v>0</v>
      </c>
      <c r="P39" s="14" cm="1">
        <f t="array" ref="P39">INT(SUMPRODUCT(--ISNUMBER(SEARCH(foreign,'Jon Ossoff'!C39)))&gt;0)</f>
        <v>0</v>
      </c>
      <c r="Q39" s="14" cm="1">
        <f t="array" ref="Q39">INT(SUMPRODUCT(--ISNUMBER(SEARCH(gun,'Jon Ossoff'!C39)))&gt;0)</f>
        <v>0</v>
      </c>
      <c r="R39" s="14" cm="1">
        <f t="array" ref="R39">INT(SUMPRODUCT(--ISNUMBER(SEARCH(race,'Jon Ossoff'!C39)))&gt;0)</f>
        <v>0</v>
      </c>
      <c r="S39" s="14" cm="1">
        <f t="array" ref="S39">INT(SUMPRODUCT(--ISNUMBER(SEARCH(immigration,C39)))&gt;0)</f>
        <v>0</v>
      </c>
      <c r="T39" s="14" cm="1">
        <f t="array" ref="T39">INT(SUMPRODUCT(--ISNUMBER(SEARCH(econineq,C39)))&gt;0)</f>
        <v>0</v>
      </c>
      <c r="U39" s="14" cm="1">
        <f t="array" ref="U39">INT(SUMPRODUCT(--ISNUMBER(SEARCH(climate,'Jon Ossoff'!C39)))&gt;0)</f>
        <v>0</v>
      </c>
      <c r="V39" s="14" cm="1">
        <f t="array" ref="V39">INT(SUMPRODUCT(--ISNUMBER(SEARCH(abortion,'Jon Ossoff'!C39)))&gt;0)</f>
        <v>0</v>
      </c>
      <c r="W39" s="14" cm="1">
        <f t="array" ref="W39">INT(SUMPRODUCT(--ISNUMBER(SEARCH(trump,'Jon Ossoff'!C39)))&gt;0)</f>
        <v>0</v>
      </c>
      <c r="X39" s="14" cm="1">
        <f t="array" ref="X39">INT(SUMPRODUCT(--ISNUMBER(SEARCH(voting,'Jon Ossoff'!C39)))&gt;0)</f>
        <v>1</v>
      </c>
      <c r="Y39" s="14" cm="1">
        <f t="array" ref="Y39">INT(SUMPRODUCT(--ISNUMBER(SEARCH(democrattrigger,'Jon Ossoff'!C39)))&gt;0)</f>
        <v>0</v>
      </c>
      <c r="Z39" s="14" cm="1">
        <f t="array" ref="Z39">INT(SUMPRODUCT(--ISNUMBER(SEARCH(bipartisan,'Jon Ossoff'!C39)))&gt;0)</f>
        <v>0</v>
      </c>
      <c r="AA39" s="14">
        <f t="shared" si="0"/>
        <v>0</v>
      </c>
      <c r="AB39" s="14"/>
      <c r="AC39" s="30">
        <v>0</v>
      </c>
      <c r="AD39" s="37">
        <v>1</v>
      </c>
    </row>
    <row r="40" spans="1:30" x14ac:dyDescent="0.25">
      <c r="A40" s="36">
        <v>550</v>
      </c>
      <c r="B40" s="14" t="s">
        <v>1130</v>
      </c>
      <c r="C40" s="31" t="s">
        <v>1131</v>
      </c>
      <c r="D40" s="17">
        <v>44135</v>
      </c>
      <c r="E40" s="14" t="s">
        <v>30</v>
      </c>
      <c r="F40" s="14">
        <v>2597</v>
      </c>
      <c r="G40" s="14">
        <v>562</v>
      </c>
      <c r="H40" s="14">
        <v>4</v>
      </c>
      <c r="I40" s="14">
        <v>2</v>
      </c>
      <c r="J40" s="14" t="s">
        <v>204</v>
      </c>
      <c r="K40" s="14" cm="1">
        <f t="array" ref="K40">INT(SUMPRODUCT(--ISNUMBER(SEARCH(economy,'Jon Ossoff'!C40)))&gt;0)</f>
        <v>0</v>
      </c>
      <c r="L40" s="14" cm="1">
        <f t="array" ref="L40">INT(SUMPRODUCT(--ISNUMBER(SEARCH(healthcare,'Jon Ossoff'!C40)))&gt;0)</f>
        <v>1</v>
      </c>
      <c r="M40" s="14" cm="1">
        <f t="array" ref="M40">INT(SUMPRODUCT(--ISNUMBER(SEARCH(supreme,'Jon Ossoff'!C40)))&gt;0)</f>
        <v>0</v>
      </c>
      <c r="N40" s="14" cm="1">
        <f t="array" ref="N40">INT(SUMPRODUCT(--ISNUMBER(SEARCH(covid,'Jon Ossoff'!C40)))&gt;0)</f>
        <v>1</v>
      </c>
      <c r="O40" s="14" cm="1">
        <f t="array" ref="O40">INT(SUMPRODUCT(--ISNUMBER(SEARCH(violent,'Jon Ossoff'!C40)))&gt;0)</f>
        <v>0</v>
      </c>
      <c r="P40" s="14" cm="1">
        <f t="array" ref="P40">INT(SUMPRODUCT(--ISNUMBER(SEARCH(foreign,'Jon Ossoff'!C40)))&gt;0)</f>
        <v>0</v>
      </c>
      <c r="Q40" s="14" cm="1">
        <f t="array" ref="Q40">INT(SUMPRODUCT(--ISNUMBER(SEARCH(gun,'Jon Ossoff'!C40)))&gt;0)</f>
        <v>0</v>
      </c>
      <c r="R40" s="14" cm="1">
        <f t="array" ref="R40">INT(SUMPRODUCT(--ISNUMBER(SEARCH(race,'Jon Ossoff'!C40)))&gt;0)</f>
        <v>0</v>
      </c>
      <c r="S40" s="14" cm="1">
        <f t="array" ref="S40">INT(SUMPRODUCT(--ISNUMBER(SEARCH(immigration,C40)))&gt;0)</f>
        <v>0</v>
      </c>
      <c r="T40" s="14" cm="1">
        <f t="array" ref="T40">INT(SUMPRODUCT(--ISNUMBER(SEARCH(econineq,C40)))&gt;0)</f>
        <v>0</v>
      </c>
      <c r="U40" s="14" cm="1">
        <f t="array" ref="U40">INT(SUMPRODUCT(--ISNUMBER(SEARCH(climate,'Jon Ossoff'!C40)))&gt;0)</f>
        <v>0</v>
      </c>
      <c r="V40" s="14" cm="1">
        <f t="array" ref="V40">INT(SUMPRODUCT(--ISNUMBER(SEARCH(abortion,'Jon Ossoff'!C40)))&gt;0)</f>
        <v>0</v>
      </c>
      <c r="W40" s="14" cm="1">
        <f t="array" ref="W40">INT(SUMPRODUCT(--ISNUMBER(SEARCH(trump,'Jon Ossoff'!C40)))&gt;0)</f>
        <v>0</v>
      </c>
      <c r="X40" s="14" cm="1">
        <f t="array" ref="X40">INT(SUMPRODUCT(--ISNUMBER(SEARCH(voting,'Jon Ossoff'!C40)))&gt;0)</f>
        <v>0</v>
      </c>
      <c r="Y40" s="14" cm="1">
        <f t="array" ref="Y40">INT(SUMPRODUCT(--ISNUMBER(SEARCH(democrattrigger,'Jon Ossoff'!C40)))&gt;0)</f>
        <v>1</v>
      </c>
      <c r="Z40" s="14" cm="1">
        <f t="array" ref="Z40">INT(SUMPRODUCT(--ISNUMBER(SEARCH(bipartisan,'Jon Ossoff'!C40)))&gt;0)</f>
        <v>0</v>
      </c>
      <c r="AA40" s="14">
        <f t="shared" si="0"/>
        <v>0</v>
      </c>
      <c r="AB40" s="14"/>
      <c r="AC40" s="30">
        <v>0</v>
      </c>
      <c r="AD40" s="37">
        <v>0</v>
      </c>
    </row>
    <row r="41" spans="1:30" x14ac:dyDescent="0.25">
      <c r="A41" s="36">
        <v>551</v>
      </c>
      <c r="B41" s="14" t="s">
        <v>1132</v>
      </c>
      <c r="C41" s="31" t="s">
        <v>1133</v>
      </c>
      <c r="D41" s="17">
        <v>44135</v>
      </c>
      <c r="E41" s="14" t="s">
        <v>30</v>
      </c>
      <c r="F41" s="14">
        <v>1579</v>
      </c>
      <c r="G41" s="14">
        <v>336</v>
      </c>
      <c r="H41" s="14">
        <v>4</v>
      </c>
      <c r="I41" s="14">
        <v>2</v>
      </c>
      <c r="J41" s="14" t="s">
        <v>204</v>
      </c>
      <c r="K41" s="14" cm="1">
        <f t="array" ref="K41">INT(SUMPRODUCT(--ISNUMBER(SEARCH(economy,'Jon Ossoff'!C41)))&gt;0)</f>
        <v>0</v>
      </c>
      <c r="L41" s="14" cm="1">
        <f t="array" ref="L41">INT(SUMPRODUCT(--ISNUMBER(SEARCH(healthcare,'Jon Ossoff'!C41)))&gt;0)</f>
        <v>0</v>
      </c>
      <c r="M41" s="14" cm="1">
        <f t="array" ref="M41">INT(SUMPRODUCT(--ISNUMBER(SEARCH(supreme,'Jon Ossoff'!C41)))&gt;0)</f>
        <v>0</v>
      </c>
      <c r="N41" s="14" cm="1">
        <f t="array" ref="N41">INT(SUMPRODUCT(--ISNUMBER(SEARCH(covid,'Jon Ossoff'!C41)))&gt;0)</f>
        <v>0</v>
      </c>
      <c r="O41" s="14" cm="1">
        <f t="array" ref="O41">INT(SUMPRODUCT(--ISNUMBER(SEARCH(violent,'Jon Ossoff'!C41)))&gt;0)</f>
        <v>0</v>
      </c>
      <c r="P41" s="14" cm="1">
        <f t="array" ref="P41">INT(SUMPRODUCT(--ISNUMBER(SEARCH(foreign,'Jon Ossoff'!C41)))&gt;0)</f>
        <v>0</v>
      </c>
      <c r="Q41" s="14" cm="1">
        <f t="array" ref="Q41">INT(SUMPRODUCT(--ISNUMBER(SEARCH(gun,'Jon Ossoff'!C41)))&gt;0)</f>
        <v>0</v>
      </c>
      <c r="R41" s="14" cm="1">
        <f t="array" ref="R41">INT(SUMPRODUCT(--ISNUMBER(SEARCH(race,'Jon Ossoff'!C41)))&gt;0)</f>
        <v>0</v>
      </c>
      <c r="S41" s="14" cm="1">
        <f t="array" ref="S41">INT(SUMPRODUCT(--ISNUMBER(SEARCH(immigration,C41)))&gt;0)</f>
        <v>0</v>
      </c>
      <c r="T41" s="14" cm="1">
        <f t="array" ref="T41">INT(SUMPRODUCT(--ISNUMBER(SEARCH(econineq,C41)))&gt;0)</f>
        <v>0</v>
      </c>
      <c r="U41" s="14" cm="1">
        <f t="array" ref="U41">INT(SUMPRODUCT(--ISNUMBER(SEARCH(climate,'Jon Ossoff'!C41)))&gt;0)</f>
        <v>0</v>
      </c>
      <c r="V41" s="14" cm="1">
        <f t="array" ref="V41">INT(SUMPRODUCT(--ISNUMBER(SEARCH(abortion,'Jon Ossoff'!C41)))&gt;0)</f>
        <v>0</v>
      </c>
      <c r="W41" s="14" cm="1">
        <f t="array" ref="W41">INT(SUMPRODUCT(--ISNUMBER(SEARCH(trump,'Jon Ossoff'!C41)))&gt;0)</f>
        <v>0</v>
      </c>
      <c r="X41" s="14" cm="1">
        <f t="array" ref="X41">INT(SUMPRODUCT(--ISNUMBER(SEARCH(voting,'Jon Ossoff'!C41)))&gt;0)</f>
        <v>0</v>
      </c>
      <c r="Y41" s="14" cm="1">
        <f t="array" ref="Y41">INT(SUMPRODUCT(--ISNUMBER(SEARCH(democrattrigger,'Jon Ossoff'!C41)))&gt;0)</f>
        <v>0</v>
      </c>
      <c r="Z41" s="14" cm="1">
        <f t="array" ref="Z41">INT(SUMPRODUCT(--ISNUMBER(SEARCH(bipartisan,'Jon Ossoff'!C41)))&gt;0)</f>
        <v>0</v>
      </c>
      <c r="AA41" s="14">
        <f t="shared" si="0"/>
        <v>1</v>
      </c>
      <c r="AB41" s="14"/>
      <c r="AC41" s="30">
        <v>0</v>
      </c>
      <c r="AD41" s="37">
        <v>0</v>
      </c>
    </row>
    <row r="42" spans="1:30" x14ac:dyDescent="0.25">
      <c r="A42" s="36">
        <v>552</v>
      </c>
      <c r="B42" s="14" t="s">
        <v>1134</v>
      </c>
      <c r="C42" s="31" t="s">
        <v>1135</v>
      </c>
      <c r="D42" s="17">
        <v>44135</v>
      </c>
      <c r="E42" s="14" t="s">
        <v>30</v>
      </c>
      <c r="F42" s="14">
        <v>980</v>
      </c>
      <c r="G42" s="14">
        <v>114</v>
      </c>
      <c r="H42" s="14">
        <v>4</v>
      </c>
      <c r="I42" s="14">
        <v>2</v>
      </c>
      <c r="J42" s="14" t="s">
        <v>204</v>
      </c>
      <c r="K42" s="14" cm="1">
        <f t="array" ref="K42">INT(SUMPRODUCT(--ISNUMBER(SEARCH(economy,'Jon Ossoff'!C42)))&gt;0)</f>
        <v>0</v>
      </c>
      <c r="L42" s="14" cm="1">
        <f t="array" ref="L42">INT(SUMPRODUCT(--ISNUMBER(SEARCH(healthcare,'Jon Ossoff'!C42)))&gt;0)</f>
        <v>0</v>
      </c>
      <c r="M42" s="14" cm="1">
        <f t="array" ref="M42">INT(SUMPRODUCT(--ISNUMBER(SEARCH(supreme,'Jon Ossoff'!C42)))&gt;0)</f>
        <v>0</v>
      </c>
      <c r="N42" s="14" cm="1">
        <f t="array" ref="N42">INT(SUMPRODUCT(--ISNUMBER(SEARCH(covid,'Jon Ossoff'!C42)))&gt;0)</f>
        <v>0</v>
      </c>
      <c r="O42" s="14" cm="1">
        <f t="array" ref="O42">INT(SUMPRODUCT(--ISNUMBER(SEARCH(violent,'Jon Ossoff'!C42)))&gt;0)</f>
        <v>0</v>
      </c>
      <c r="P42" s="14" cm="1">
        <f t="array" ref="P42">INT(SUMPRODUCT(--ISNUMBER(SEARCH(foreign,'Jon Ossoff'!C42)))&gt;0)</f>
        <v>0</v>
      </c>
      <c r="Q42" s="14" cm="1">
        <f t="array" ref="Q42">INT(SUMPRODUCT(--ISNUMBER(SEARCH(gun,'Jon Ossoff'!C42)))&gt;0)</f>
        <v>0</v>
      </c>
      <c r="R42" s="14" cm="1">
        <f t="array" ref="R42">INT(SUMPRODUCT(--ISNUMBER(SEARCH(race,'Jon Ossoff'!C42)))&gt;0)</f>
        <v>0</v>
      </c>
      <c r="S42" s="14" cm="1">
        <f t="array" ref="S42">INT(SUMPRODUCT(--ISNUMBER(SEARCH(immigration,C42)))&gt;0)</f>
        <v>0</v>
      </c>
      <c r="T42" s="14" cm="1">
        <f t="array" ref="T42">INT(SUMPRODUCT(--ISNUMBER(SEARCH(econineq,C42)))&gt;0)</f>
        <v>0</v>
      </c>
      <c r="U42" s="14" cm="1">
        <f t="array" ref="U42">INT(SUMPRODUCT(--ISNUMBER(SEARCH(climate,'Jon Ossoff'!C42)))&gt;0)</f>
        <v>0</v>
      </c>
      <c r="V42" s="14" cm="1">
        <f t="array" ref="V42">INT(SUMPRODUCT(--ISNUMBER(SEARCH(abortion,'Jon Ossoff'!C42)))&gt;0)</f>
        <v>0</v>
      </c>
      <c r="W42" s="14" cm="1">
        <f t="array" ref="W42">INT(SUMPRODUCT(--ISNUMBER(SEARCH(trump,'Jon Ossoff'!C42)))&gt;0)</f>
        <v>0</v>
      </c>
      <c r="X42" s="14" cm="1">
        <f t="array" ref="X42">INT(SUMPRODUCT(--ISNUMBER(SEARCH(voting,'Jon Ossoff'!C42)))&gt;0)</f>
        <v>0</v>
      </c>
      <c r="Y42" s="14" cm="1">
        <f t="array" ref="Y42">INT(SUMPRODUCT(--ISNUMBER(SEARCH(democrattrigger,'Jon Ossoff'!C42)))&gt;0)</f>
        <v>0</v>
      </c>
      <c r="Z42" s="14" cm="1">
        <f t="array" ref="Z42">INT(SUMPRODUCT(--ISNUMBER(SEARCH(bipartisan,'Jon Ossoff'!C42)))&gt;0)</f>
        <v>0</v>
      </c>
      <c r="AA42" s="14">
        <f t="shared" si="0"/>
        <v>1</v>
      </c>
      <c r="AB42" s="14"/>
      <c r="AC42" s="30">
        <v>0</v>
      </c>
      <c r="AD42" s="37">
        <v>0</v>
      </c>
    </row>
    <row r="43" spans="1:30" x14ac:dyDescent="0.25">
      <c r="A43" s="36">
        <v>553</v>
      </c>
      <c r="B43" s="14" t="s">
        <v>1136</v>
      </c>
      <c r="C43" s="31" t="s">
        <v>1137</v>
      </c>
      <c r="D43" s="17">
        <v>44135</v>
      </c>
      <c r="E43" s="14" t="s">
        <v>70</v>
      </c>
      <c r="F43" s="14">
        <v>806</v>
      </c>
      <c r="G43" s="14">
        <v>169</v>
      </c>
      <c r="H43" s="14">
        <v>4</v>
      </c>
      <c r="I43" s="14">
        <v>2</v>
      </c>
      <c r="J43" s="14" t="s">
        <v>204</v>
      </c>
      <c r="K43" s="14" cm="1">
        <f t="array" ref="K43">INT(SUMPRODUCT(--ISNUMBER(SEARCH(economy,'Jon Ossoff'!C43)))&gt;0)</f>
        <v>0</v>
      </c>
      <c r="L43" s="14" cm="1">
        <f t="array" ref="L43">INT(SUMPRODUCT(--ISNUMBER(SEARCH(healthcare,'Jon Ossoff'!C43)))&gt;0)</f>
        <v>0</v>
      </c>
      <c r="M43" s="14" cm="1">
        <f t="array" ref="M43">INT(SUMPRODUCT(--ISNUMBER(SEARCH(supreme,'Jon Ossoff'!C43)))&gt;0)</f>
        <v>0</v>
      </c>
      <c r="N43" s="14" cm="1">
        <f t="array" ref="N43">INT(SUMPRODUCT(--ISNUMBER(SEARCH(covid,'Jon Ossoff'!C43)))&gt;0)</f>
        <v>0</v>
      </c>
      <c r="O43" s="14" cm="1">
        <f t="array" ref="O43">INT(SUMPRODUCT(--ISNUMBER(SEARCH(violent,'Jon Ossoff'!C43)))&gt;0)</f>
        <v>0</v>
      </c>
      <c r="P43" s="14" cm="1">
        <f t="array" ref="P43">INT(SUMPRODUCT(--ISNUMBER(SEARCH(foreign,'Jon Ossoff'!C43)))&gt;0)</f>
        <v>0</v>
      </c>
      <c r="Q43" s="14" cm="1">
        <f t="array" ref="Q43">INT(SUMPRODUCT(--ISNUMBER(SEARCH(gun,'Jon Ossoff'!C43)))&gt;0)</f>
        <v>0</v>
      </c>
      <c r="R43" s="14" cm="1">
        <f t="array" ref="R43">INT(SUMPRODUCT(--ISNUMBER(SEARCH(race,'Jon Ossoff'!C43)))&gt;0)</f>
        <v>0</v>
      </c>
      <c r="S43" s="14" cm="1">
        <f t="array" ref="S43">INT(SUMPRODUCT(--ISNUMBER(SEARCH(immigration,C43)))&gt;0)</f>
        <v>0</v>
      </c>
      <c r="T43" s="14" cm="1">
        <f t="array" ref="T43">INT(SUMPRODUCT(--ISNUMBER(SEARCH(econineq,C43)))&gt;0)</f>
        <v>0</v>
      </c>
      <c r="U43" s="14" cm="1">
        <f t="array" ref="U43">INT(SUMPRODUCT(--ISNUMBER(SEARCH(climate,'Jon Ossoff'!C43)))&gt;0)</f>
        <v>0</v>
      </c>
      <c r="V43" s="14" cm="1">
        <f t="array" ref="V43">INT(SUMPRODUCT(--ISNUMBER(SEARCH(abortion,'Jon Ossoff'!C43)))&gt;0)</f>
        <v>0</v>
      </c>
      <c r="W43" s="14" cm="1">
        <f t="array" ref="W43">INT(SUMPRODUCT(--ISNUMBER(SEARCH(trump,'Jon Ossoff'!C43)))&gt;0)</f>
        <v>0</v>
      </c>
      <c r="X43" s="14" cm="1">
        <f t="array" ref="X43">INT(SUMPRODUCT(--ISNUMBER(SEARCH(voting,'Jon Ossoff'!C43)))&gt;0)</f>
        <v>1</v>
      </c>
      <c r="Y43" s="14" cm="1">
        <f t="array" ref="Y43">INT(SUMPRODUCT(--ISNUMBER(SEARCH(democrattrigger,'Jon Ossoff'!C43)))&gt;0)</f>
        <v>0</v>
      </c>
      <c r="Z43" s="14" cm="1">
        <f t="array" ref="Z43">INT(SUMPRODUCT(--ISNUMBER(SEARCH(bipartisan,'Jon Ossoff'!C43)))&gt;0)</f>
        <v>0</v>
      </c>
      <c r="AA43" s="14">
        <f t="shared" si="0"/>
        <v>0</v>
      </c>
      <c r="AB43" s="14"/>
      <c r="AC43" s="30">
        <v>0</v>
      </c>
      <c r="AD43" s="37">
        <v>0</v>
      </c>
    </row>
    <row r="44" spans="1:30" x14ac:dyDescent="0.25">
      <c r="A44" s="36">
        <v>554</v>
      </c>
      <c r="B44" s="14" t="s">
        <v>1138</v>
      </c>
      <c r="C44" s="31" t="s">
        <v>1139</v>
      </c>
      <c r="D44" s="17">
        <v>44135</v>
      </c>
      <c r="E44" s="14" t="s">
        <v>30</v>
      </c>
      <c r="F44" s="14">
        <v>1699</v>
      </c>
      <c r="G44" s="14">
        <v>321</v>
      </c>
      <c r="H44" s="14">
        <v>4</v>
      </c>
      <c r="I44" s="14">
        <v>2</v>
      </c>
      <c r="J44" s="14" t="s">
        <v>204</v>
      </c>
      <c r="K44" s="14" cm="1">
        <f t="array" ref="K44">INT(SUMPRODUCT(--ISNUMBER(SEARCH(economy,'Jon Ossoff'!C44)))&gt;0)</f>
        <v>0</v>
      </c>
      <c r="L44" s="14" cm="1">
        <f t="array" ref="L44">INT(SUMPRODUCT(--ISNUMBER(SEARCH(healthcare,'Jon Ossoff'!C44)))&gt;0)</f>
        <v>0</v>
      </c>
      <c r="M44" s="14" cm="1">
        <f t="array" ref="M44">INT(SUMPRODUCT(--ISNUMBER(SEARCH(supreme,'Jon Ossoff'!C44)))&gt;0)</f>
        <v>0</v>
      </c>
      <c r="N44" s="14" cm="1">
        <f t="array" ref="N44">INT(SUMPRODUCT(--ISNUMBER(SEARCH(covid,'Jon Ossoff'!C44)))&gt;0)</f>
        <v>0</v>
      </c>
      <c r="O44" s="14" cm="1">
        <f t="array" ref="O44">INT(SUMPRODUCT(--ISNUMBER(SEARCH(violent,'Jon Ossoff'!C44)))&gt;0)</f>
        <v>0</v>
      </c>
      <c r="P44" s="14" cm="1">
        <f t="array" ref="P44">INT(SUMPRODUCT(--ISNUMBER(SEARCH(foreign,'Jon Ossoff'!C44)))&gt;0)</f>
        <v>0</v>
      </c>
      <c r="Q44" s="14" cm="1">
        <f t="array" ref="Q44">INT(SUMPRODUCT(--ISNUMBER(SEARCH(gun,'Jon Ossoff'!C44)))&gt;0)</f>
        <v>0</v>
      </c>
      <c r="R44" s="14" cm="1">
        <f t="array" ref="R44">INT(SUMPRODUCT(--ISNUMBER(SEARCH(race,'Jon Ossoff'!C44)))&gt;0)</f>
        <v>0</v>
      </c>
      <c r="S44" s="14" cm="1">
        <f t="array" ref="S44">INT(SUMPRODUCT(--ISNUMBER(SEARCH(immigration,C44)))&gt;0)</f>
        <v>0</v>
      </c>
      <c r="T44" s="14" cm="1">
        <f t="array" ref="T44">INT(SUMPRODUCT(--ISNUMBER(SEARCH(econineq,C44)))&gt;0)</f>
        <v>0</v>
      </c>
      <c r="U44" s="14" cm="1">
        <f t="array" ref="U44">INT(SUMPRODUCT(--ISNUMBER(SEARCH(climate,'Jon Ossoff'!C44)))&gt;0)</f>
        <v>0</v>
      </c>
      <c r="V44" s="14" cm="1">
        <f t="array" ref="V44">INT(SUMPRODUCT(--ISNUMBER(SEARCH(abortion,'Jon Ossoff'!C44)))&gt;0)</f>
        <v>0</v>
      </c>
      <c r="W44" s="14" cm="1">
        <f t="array" ref="W44">INT(SUMPRODUCT(--ISNUMBER(SEARCH(trump,'Jon Ossoff'!C44)))&gt;0)</f>
        <v>0</v>
      </c>
      <c r="X44" s="14" cm="1">
        <f t="array" ref="X44">INT(SUMPRODUCT(--ISNUMBER(SEARCH(voting,'Jon Ossoff'!C44)))&gt;0)</f>
        <v>0</v>
      </c>
      <c r="Y44" s="14" cm="1">
        <f t="array" ref="Y44">INT(SUMPRODUCT(--ISNUMBER(SEARCH(democrattrigger,'Jon Ossoff'!C44)))&gt;0)</f>
        <v>0</v>
      </c>
      <c r="Z44" s="14" cm="1">
        <f t="array" ref="Z44">INT(SUMPRODUCT(--ISNUMBER(SEARCH(bipartisan,'Jon Ossoff'!C44)))&gt;0)</f>
        <v>0</v>
      </c>
      <c r="AA44" s="14">
        <f t="shared" si="0"/>
        <v>1</v>
      </c>
      <c r="AB44" s="14"/>
      <c r="AC44" s="30">
        <v>0</v>
      </c>
      <c r="AD44" s="37">
        <v>0</v>
      </c>
    </row>
    <row r="45" spans="1:30" x14ac:dyDescent="0.25">
      <c r="A45" s="36">
        <v>555</v>
      </c>
      <c r="B45" s="14" t="s">
        <v>1140</v>
      </c>
      <c r="C45" s="31" t="s">
        <v>1141</v>
      </c>
      <c r="D45" s="17">
        <v>44135</v>
      </c>
      <c r="E45" s="14" t="s">
        <v>30</v>
      </c>
      <c r="F45" s="14">
        <v>10611</v>
      </c>
      <c r="G45" s="14">
        <v>1739</v>
      </c>
      <c r="H45" s="14">
        <v>4</v>
      </c>
      <c r="I45" s="14">
        <v>2</v>
      </c>
      <c r="J45" s="14" t="s">
        <v>204</v>
      </c>
      <c r="K45" s="14" cm="1">
        <f t="array" ref="K45">INT(SUMPRODUCT(--ISNUMBER(SEARCH(economy,'Jon Ossoff'!C45)))&gt;0)</f>
        <v>0</v>
      </c>
      <c r="L45" s="14" cm="1">
        <f t="array" ref="L45">INT(SUMPRODUCT(--ISNUMBER(SEARCH(healthcare,'Jon Ossoff'!C45)))&gt;0)</f>
        <v>0</v>
      </c>
      <c r="M45" s="14" cm="1">
        <f t="array" ref="M45">INT(SUMPRODUCT(--ISNUMBER(SEARCH(supreme,'Jon Ossoff'!C45)))&gt;0)</f>
        <v>0</v>
      </c>
      <c r="N45" s="14" cm="1">
        <f t="array" ref="N45">INT(SUMPRODUCT(--ISNUMBER(SEARCH(covid,'Jon Ossoff'!C45)))&gt;0)</f>
        <v>0</v>
      </c>
      <c r="O45" s="14" cm="1">
        <f t="array" ref="O45">INT(SUMPRODUCT(--ISNUMBER(SEARCH(violent,'Jon Ossoff'!C45)))&gt;0)</f>
        <v>0</v>
      </c>
      <c r="P45" s="14" cm="1">
        <f t="array" ref="P45">INT(SUMPRODUCT(--ISNUMBER(SEARCH(foreign,'Jon Ossoff'!C45)))&gt;0)</f>
        <v>0</v>
      </c>
      <c r="Q45" s="14" cm="1">
        <f t="array" ref="Q45">INT(SUMPRODUCT(--ISNUMBER(SEARCH(gun,'Jon Ossoff'!C45)))&gt;0)</f>
        <v>0</v>
      </c>
      <c r="R45" s="14" cm="1">
        <f t="array" ref="R45">INT(SUMPRODUCT(--ISNUMBER(SEARCH(race,'Jon Ossoff'!C45)))&gt;0)</f>
        <v>0</v>
      </c>
      <c r="S45" s="14" cm="1">
        <f t="array" ref="S45">INT(SUMPRODUCT(--ISNUMBER(SEARCH(immigration,C45)))&gt;0)</f>
        <v>0</v>
      </c>
      <c r="T45" s="14" cm="1">
        <f t="array" ref="T45">INT(SUMPRODUCT(--ISNUMBER(SEARCH(econineq,C45)))&gt;0)</f>
        <v>0</v>
      </c>
      <c r="U45" s="14" cm="1">
        <f t="array" ref="U45">INT(SUMPRODUCT(--ISNUMBER(SEARCH(climate,'Jon Ossoff'!C45)))&gt;0)</f>
        <v>0</v>
      </c>
      <c r="V45" s="14" cm="1">
        <f t="array" ref="V45">INT(SUMPRODUCT(--ISNUMBER(SEARCH(abortion,'Jon Ossoff'!C45)))&gt;0)</f>
        <v>0</v>
      </c>
      <c r="W45" s="14" cm="1">
        <f t="array" ref="W45">INT(SUMPRODUCT(--ISNUMBER(SEARCH(trump,'Jon Ossoff'!C45)))&gt;0)</f>
        <v>0</v>
      </c>
      <c r="X45" s="14" cm="1">
        <f t="array" ref="X45">INT(SUMPRODUCT(--ISNUMBER(SEARCH(voting,'Jon Ossoff'!C45)))&gt;0)</f>
        <v>0</v>
      </c>
      <c r="Y45" s="14" cm="1">
        <f t="array" ref="Y45">INT(SUMPRODUCT(--ISNUMBER(SEARCH(democrattrigger,'Jon Ossoff'!C45)))&gt;0)</f>
        <v>0</v>
      </c>
      <c r="Z45" s="14" cm="1">
        <f t="array" ref="Z45">INT(SUMPRODUCT(--ISNUMBER(SEARCH(bipartisan,'Jon Ossoff'!C45)))&gt;0)</f>
        <v>0</v>
      </c>
      <c r="AA45" s="14">
        <f t="shared" si="0"/>
        <v>1</v>
      </c>
      <c r="AB45" s="14"/>
      <c r="AC45" s="30">
        <v>0</v>
      </c>
      <c r="AD45" s="37">
        <v>0</v>
      </c>
    </row>
    <row r="46" spans="1:30" x14ac:dyDescent="0.25">
      <c r="A46" s="36">
        <v>556</v>
      </c>
      <c r="B46" s="14" t="s">
        <v>1142</v>
      </c>
      <c r="C46" s="31" t="s">
        <v>1143</v>
      </c>
      <c r="D46" s="17">
        <v>44135</v>
      </c>
      <c r="E46" s="14" t="s">
        <v>30</v>
      </c>
      <c r="F46" s="14">
        <v>1052</v>
      </c>
      <c r="G46" s="14">
        <v>368</v>
      </c>
      <c r="H46" s="14">
        <v>4</v>
      </c>
      <c r="I46" s="14">
        <v>2</v>
      </c>
      <c r="J46" s="14" t="s">
        <v>204</v>
      </c>
      <c r="K46" s="14" cm="1">
        <f t="array" ref="K46">INT(SUMPRODUCT(--ISNUMBER(SEARCH(economy,'Jon Ossoff'!C46)))&gt;0)</f>
        <v>0</v>
      </c>
      <c r="L46" s="14" cm="1">
        <f t="array" ref="L46">INT(SUMPRODUCT(--ISNUMBER(SEARCH(healthcare,'Jon Ossoff'!C46)))&gt;0)</f>
        <v>0</v>
      </c>
      <c r="M46" s="14" cm="1">
        <f t="array" ref="M46">INT(SUMPRODUCT(--ISNUMBER(SEARCH(supreme,'Jon Ossoff'!C46)))&gt;0)</f>
        <v>0</v>
      </c>
      <c r="N46" s="14" cm="1">
        <f t="array" ref="N46">INT(SUMPRODUCT(--ISNUMBER(SEARCH(covid,'Jon Ossoff'!C46)))&gt;0)</f>
        <v>0</v>
      </c>
      <c r="O46" s="14" cm="1">
        <f t="array" ref="O46">INT(SUMPRODUCT(--ISNUMBER(SEARCH(violent,'Jon Ossoff'!C46)))&gt;0)</f>
        <v>0</v>
      </c>
      <c r="P46" s="14" cm="1">
        <f t="array" ref="P46">INT(SUMPRODUCT(--ISNUMBER(SEARCH(foreign,'Jon Ossoff'!C46)))&gt;0)</f>
        <v>0</v>
      </c>
      <c r="Q46" s="14" cm="1">
        <f t="array" ref="Q46">INT(SUMPRODUCT(--ISNUMBER(SEARCH(gun,'Jon Ossoff'!C46)))&gt;0)</f>
        <v>0</v>
      </c>
      <c r="R46" s="14" cm="1">
        <f t="array" ref="R46">INT(SUMPRODUCT(--ISNUMBER(SEARCH(race,'Jon Ossoff'!C46)))&gt;0)</f>
        <v>0</v>
      </c>
      <c r="S46" s="14" cm="1">
        <f t="array" ref="S46">INT(SUMPRODUCT(--ISNUMBER(SEARCH(immigration,C46)))&gt;0)</f>
        <v>0</v>
      </c>
      <c r="T46" s="14" cm="1">
        <f t="array" ref="T46">INT(SUMPRODUCT(--ISNUMBER(SEARCH(econineq,C46)))&gt;0)</f>
        <v>0</v>
      </c>
      <c r="U46" s="14" cm="1">
        <f t="array" ref="U46">INT(SUMPRODUCT(--ISNUMBER(SEARCH(climate,'Jon Ossoff'!C46)))&gt;0)</f>
        <v>0</v>
      </c>
      <c r="V46" s="14" cm="1">
        <f t="array" ref="V46">INT(SUMPRODUCT(--ISNUMBER(SEARCH(abortion,'Jon Ossoff'!C46)))&gt;0)</f>
        <v>0</v>
      </c>
      <c r="W46" s="14" cm="1">
        <f t="array" ref="W46">INT(SUMPRODUCT(--ISNUMBER(SEARCH(trump,'Jon Ossoff'!C46)))&gt;0)</f>
        <v>0</v>
      </c>
      <c r="X46" s="14" cm="1">
        <f t="array" ref="X46">INT(SUMPRODUCT(--ISNUMBER(SEARCH(voting,'Jon Ossoff'!C46)))&gt;0)</f>
        <v>1</v>
      </c>
      <c r="Y46" s="14" cm="1">
        <f t="array" ref="Y46">INT(SUMPRODUCT(--ISNUMBER(SEARCH(democrattrigger,'Jon Ossoff'!C46)))&gt;0)</f>
        <v>0</v>
      </c>
      <c r="Z46" s="14" cm="1">
        <f t="array" ref="Z46">INT(SUMPRODUCT(--ISNUMBER(SEARCH(bipartisan,'Jon Ossoff'!C46)))&gt;0)</f>
        <v>0</v>
      </c>
      <c r="AA46" s="14">
        <f t="shared" si="0"/>
        <v>0</v>
      </c>
      <c r="AB46" s="14"/>
      <c r="AC46" s="30">
        <v>0</v>
      </c>
      <c r="AD46" s="37">
        <v>0</v>
      </c>
    </row>
    <row r="47" spans="1:30" x14ac:dyDescent="0.25">
      <c r="A47" s="36">
        <v>557</v>
      </c>
      <c r="B47" s="14" t="s">
        <v>1144</v>
      </c>
      <c r="C47" s="31" t="s">
        <v>1145</v>
      </c>
      <c r="D47" s="17">
        <v>44135</v>
      </c>
      <c r="E47" s="14" t="s">
        <v>30</v>
      </c>
      <c r="F47" s="14">
        <v>8084</v>
      </c>
      <c r="G47" s="14">
        <v>1474</v>
      </c>
      <c r="H47" s="14">
        <v>4</v>
      </c>
      <c r="I47" s="14">
        <v>2</v>
      </c>
      <c r="J47" s="14" t="s">
        <v>204</v>
      </c>
      <c r="K47" s="14" cm="1">
        <f t="array" ref="K47">INT(SUMPRODUCT(--ISNUMBER(SEARCH(economy,'Jon Ossoff'!C47)))&gt;0)</f>
        <v>0</v>
      </c>
      <c r="L47" s="14" cm="1">
        <f t="array" ref="L47">INT(SUMPRODUCT(--ISNUMBER(SEARCH(healthcare,'Jon Ossoff'!C47)))&gt;0)</f>
        <v>0</v>
      </c>
      <c r="M47" s="14" cm="1">
        <f t="array" ref="M47">INT(SUMPRODUCT(--ISNUMBER(SEARCH(supreme,'Jon Ossoff'!C47)))&gt;0)</f>
        <v>0</v>
      </c>
      <c r="N47" s="14" cm="1">
        <f t="array" ref="N47">INT(SUMPRODUCT(--ISNUMBER(SEARCH(covid,'Jon Ossoff'!C47)))&gt;0)</f>
        <v>0</v>
      </c>
      <c r="O47" s="14" cm="1">
        <f t="array" ref="O47">INT(SUMPRODUCT(--ISNUMBER(SEARCH(violent,'Jon Ossoff'!C47)))&gt;0)</f>
        <v>0</v>
      </c>
      <c r="P47" s="14" cm="1">
        <f t="array" ref="P47">INT(SUMPRODUCT(--ISNUMBER(SEARCH(foreign,'Jon Ossoff'!C47)))&gt;0)</f>
        <v>0</v>
      </c>
      <c r="Q47" s="14" cm="1">
        <f t="array" ref="Q47">INT(SUMPRODUCT(--ISNUMBER(SEARCH(gun,'Jon Ossoff'!C47)))&gt;0)</f>
        <v>0</v>
      </c>
      <c r="R47" s="14" cm="1">
        <f t="array" ref="R47">INT(SUMPRODUCT(--ISNUMBER(SEARCH(race,'Jon Ossoff'!C47)))&gt;0)</f>
        <v>0</v>
      </c>
      <c r="S47" s="14" cm="1">
        <f t="array" ref="S47">INT(SUMPRODUCT(--ISNUMBER(SEARCH(immigration,C47)))&gt;0)</f>
        <v>0</v>
      </c>
      <c r="T47" s="14" cm="1">
        <f t="array" ref="T47">INT(SUMPRODUCT(--ISNUMBER(SEARCH(econineq,C47)))&gt;0)</f>
        <v>0</v>
      </c>
      <c r="U47" s="14" cm="1">
        <f t="array" ref="U47">INT(SUMPRODUCT(--ISNUMBER(SEARCH(climate,'Jon Ossoff'!C47)))&gt;0)</f>
        <v>0</v>
      </c>
      <c r="V47" s="14" cm="1">
        <f t="array" ref="V47">INT(SUMPRODUCT(--ISNUMBER(SEARCH(abortion,'Jon Ossoff'!C47)))&gt;0)</f>
        <v>0</v>
      </c>
      <c r="W47" s="14" cm="1">
        <f t="array" ref="W47">INT(SUMPRODUCT(--ISNUMBER(SEARCH(trump,'Jon Ossoff'!C47)))&gt;0)</f>
        <v>0</v>
      </c>
      <c r="X47" s="14" cm="1">
        <f t="array" ref="X47">INT(SUMPRODUCT(--ISNUMBER(SEARCH(voting,'Jon Ossoff'!C47)))&gt;0)</f>
        <v>1</v>
      </c>
      <c r="Y47" s="14" cm="1">
        <f t="array" ref="Y47">INT(SUMPRODUCT(--ISNUMBER(SEARCH(democrattrigger,'Jon Ossoff'!C47)))&gt;0)</f>
        <v>1</v>
      </c>
      <c r="Z47" s="14" cm="1">
        <f t="array" ref="Z47">INT(SUMPRODUCT(--ISNUMBER(SEARCH(bipartisan,'Jon Ossoff'!C47)))&gt;0)</f>
        <v>0</v>
      </c>
      <c r="AA47" s="14">
        <f t="shared" si="0"/>
        <v>0</v>
      </c>
      <c r="AB47" s="14"/>
      <c r="AC47" s="30">
        <v>1</v>
      </c>
      <c r="AD47" s="37">
        <v>0</v>
      </c>
    </row>
    <row r="48" spans="1:30" x14ac:dyDescent="0.25">
      <c r="A48" s="36">
        <v>558</v>
      </c>
      <c r="B48" s="14" t="s">
        <v>1146</v>
      </c>
      <c r="C48" s="31" t="s">
        <v>1147</v>
      </c>
      <c r="D48" s="17">
        <v>44135</v>
      </c>
      <c r="E48" s="14" t="s">
        <v>30</v>
      </c>
      <c r="F48" s="14">
        <v>3786</v>
      </c>
      <c r="G48" s="14">
        <v>717</v>
      </c>
      <c r="H48" s="14">
        <v>4</v>
      </c>
      <c r="I48" s="14">
        <v>2</v>
      </c>
      <c r="J48" s="14" t="s">
        <v>204</v>
      </c>
      <c r="K48" s="14" cm="1">
        <f t="array" ref="K48">INT(SUMPRODUCT(--ISNUMBER(SEARCH(economy,'Jon Ossoff'!C48)))&gt;0)</f>
        <v>0</v>
      </c>
      <c r="L48" s="14" cm="1">
        <f t="array" ref="L48">INT(SUMPRODUCT(--ISNUMBER(SEARCH(healthcare,'Jon Ossoff'!C48)))&gt;0)</f>
        <v>0</v>
      </c>
      <c r="M48" s="14" cm="1">
        <f t="array" ref="M48">INT(SUMPRODUCT(--ISNUMBER(SEARCH(supreme,'Jon Ossoff'!C48)))&gt;0)</f>
        <v>0</v>
      </c>
      <c r="N48" s="14" cm="1">
        <f t="array" ref="N48">INT(SUMPRODUCT(--ISNUMBER(SEARCH(covid,'Jon Ossoff'!C48)))&gt;0)</f>
        <v>0</v>
      </c>
      <c r="O48" s="14" cm="1">
        <f t="array" ref="O48">INT(SUMPRODUCT(--ISNUMBER(SEARCH(violent,'Jon Ossoff'!C48)))&gt;0)</f>
        <v>0</v>
      </c>
      <c r="P48" s="14" cm="1">
        <f t="array" ref="P48">INT(SUMPRODUCT(--ISNUMBER(SEARCH(foreign,'Jon Ossoff'!C48)))&gt;0)</f>
        <v>0</v>
      </c>
      <c r="Q48" s="14" cm="1">
        <f t="array" ref="Q48">INT(SUMPRODUCT(--ISNUMBER(SEARCH(gun,'Jon Ossoff'!C48)))&gt;0)</f>
        <v>0</v>
      </c>
      <c r="R48" s="14" cm="1">
        <f t="array" ref="R48">INT(SUMPRODUCT(--ISNUMBER(SEARCH(race,'Jon Ossoff'!C48)))&gt;0)</f>
        <v>0</v>
      </c>
      <c r="S48" s="14" cm="1">
        <f t="array" ref="S48">INT(SUMPRODUCT(--ISNUMBER(SEARCH(immigration,C48)))&gt;0)</f>
        <v>0</v>
      </c>
      <c r="T48" s="14" cm="1">
        <f t="array" ref="T48">INT(SUMPRODUCT(--ISNUMBER(SEARCH(econineq,C48)))&gt;0)</f>
        <v>0</v>
      </c>
      <c r="U48" s="14" cm="1">
        <f t="array" ref="U48">INT(SUMPRODUCT(--ISNUMBER(SEARCH(climate,'Jon Ossoff'!C48)))&gt;0)</f>
        <v>0</v>
      </c>
      <c r="V48" s="14" cm="1">
        <f t="array" ref="V48">INT(SUMPRODUCT(--ISNUMBER(SEARCH(abortion,'Jon Ossoff'!C48)))&gt;0)</f>
        <v>0</v>
      </c>
      <c r="W48" s="14" cm="1">
        <f t="array" ref="W48">INT(SUMPRODUCT(--ISNUMBER(SEARCH(trump,'Jon Ossoff'!C48)))&gt;0)</f>
        <v>0</v>
      </c>
      <c r="X48" s="14" cm="1">
        <f t="array" ref="X48">INT(SUMPRODUCT(--ISNUMBER(SEARCH(voting,'Jon Ossoff'!C48)))&gt;0)</f>
        <v>0</v>
      </c>
      <c r="Y48" s="14" cm="1">
        <f t="array" ref="Y48">INT(SUMPRODUCT(--ISNUMBER(SEARCH(democrattrigger,'Jon Ossoff'!C48)))&gt;0)</f>
        <v>0</v>
      </c>
      <c r="Z48" s="14" cm="1">
        <f t="array" ref="Z48">INT(SUMPRODUCT(--ISNUMBER(SEARCH(bipartisan,'Jon Ossoff'!C48)))&gt;0)</f>
        <v>0</v>
      </c>
      <c r="AA48" s="14">
        <f t="shared" si="0"/>
        <v>1</v>
      </c>
      <c r="AB48" s="14"/>
      <c r="AC48" s="30" t="s">
        <v>223</v>
      </c>
      <c r="AD48" s="37" t="s">
        <v>223</v>
      </c>
    </row>
    <row r="49" spans="1:30" x14ac:dyDescent="0.25">
      <c r="A49" s="36">
        <v>559</v>
      </c>
      <c r="B49" s="14" t="s">
        <v>1148</v>
      </c>
      <c r="C49" s="31" t="s">
        <v>1149</v>
      </c>
      <c r="D49" s="17">
        <v>44134</v>
      </c>
      <c r="E49" s="14" t="s">
        <v>70</v>
      </c>
      <c r="F49" s="14">
        <v>1183</v>
      </c>
      <c r="G49" s="14">
        <v>84</v>
      </c>
      <c r="H49" s="14">
        <v>4</v>
      </c>
      <c r="I49" s="14">
        <v>2</v>
      </c>
      <c r="J49" s="14" t="s">
        <v>204</v>
      </c>
      <c r="K49" s="14" cm="1">
        <f t="array" ref="K49">INT(SUMPRODUCT(--ISNUMBER(SEARCH(economy,'Jon Ossoff'!C49)))&gt;0)</f>
        <v>0</v>
      </c>
      <c r="L49" s="14" cm="1">
        <f t="array" ref="L49">INT(SUMPRODUCT(--ISNUMBER(SEARCH(healthcare,'Jon Ossoff'!C49)))&gt;0)</f>
        <v>0</v>
      </c>
      <c r="M49" s="14" cm="1">
        <f t="array" ref="M49">INT(SUMPRODUCT(--ISNUMBER(SEARCH(supreme,'Jon Ossoff'!C49)))&gt;0)</f>
        <v>0</v>
      </c>
      <c r="N49" s="14" cm="1">
        <f t="array" ref="N49">INT(SUMPRODUCT(--ISNUMBER(SEARCH(covid,'Jon Ossoff'!C49)))&gt;0)</f>
        <v>0</v>
      </c>
      <c r="O49" s="14" cm="1">
        <f t="array" ref="O49">INT(SUMPRODUCT(--ISNUMBER(SEARCH(violent,'Jon Ossoff'!C49)))&gt;0)</f>
        <v>0</v>
      </c>
      <c r="P49" s="14" cm="1">
        <f t="array" ref="P49">INT(SUMPRODUCT(--ISNUMBER(SEARCH(foreign,'Jon Ossoff'!C49)))&gt;0)</f>
        <v>0</v>
      </c>
      <c r="Q49" s="14" cm="1">
        <f t="array" ref="Q49">INT(SUMPRODUCT(--ISNUMBER(SEARCH(gun,'Jon Ossoff'!C49)))&gt;0)</f>
        <v>0</v>
      </c>
      <c r="R49" s="14" cm="1">
        <f t="array" ref="R49">INT(SUMPRODUCT(--ISNUMBER(SEARCH(race,'Jon Ossoff'!C49)))&gt;0)</f>
        <v>0</v>
      </c>
      <c r="S49" s="14" cm="1">
        <f t="array" ref="S49">INT(SUMPRODUCT(--ISNUMBER(SEARCH(immigration,C49)))&gt;0)</f>
        <v>0</v>
      </c>
      <c r="T49" s="14" cm="1">
        <f t="array" ref="T49">INT(SUMPRODUCT(--ISNUMBER(SEARCH(econineq,C49)))&gt;0)</f>
        <v>0</v>
      </c>
      <c r="U49" s="14" cm="1">
        <f t="array" ref="U49">INT(SUMPRODUCT(--ISNUMBER(SEARCH(climate,'Jon Ossoff'!C49)))&gt;0)</f>
        <v>0</v>
      </c>
      <c r="V49" s="14" cm="1">
        <f t="array" ref="V49">INT(SUMPRODUCT(--ISNUMBER(SEARCH(abortion,'Jon Ossoff'!C49)))&gt;0)</f>
        <v>0</v>
      </c>
      <c r="W49" s="14" cm="1">
        <f t="array" ref="W49">INT(SUMPRODUCT(--ISNUMBER(SEARCH(trump,'Jon Ossoff'!C49)))&gt;0)</f>
        <v>0</v>
      </c>
      <c r="X49" s="14" cm="1">
        <f t="array" ref="X49">INT(SUMPRODUCT(--ISNUMBER(SEARCH(voting,'Jon Ossoff'!C49)))&gt;0)</f>
        <v>0</v>
      </c>
      <c r="Y49" s="14" cm="1">
        <f t="array" ref="Y49">INT(SUMPRODUCT(--ISNUMBER(SEARCH(democrattrigger,'Jon Ossoff'!C49)))&gt;0)</f>
        <v>0</v>
      </c>
      <c r="Z49" s="14" cm="1">
        <f t="array" ref="Z49">INT(SUMPRODUCT(--ISNUMBER(SEARCH(bipartisan,'Jon Ossoff'!C49)))&gt;0)</f>
        <v>0</v>
      </c>
      <c r="AA49" s="14">
        <f t="shared" si="0"/>
        <v>1</v>
      </c>
      <c r="AB49" s="14"/>
      <c r="AC49" s="30" t="s">
        <v>223</v>
      </c>
      <c r="AD49" s="37" t="s">
        <v>223</v>
      </c>
    </row>
    <row r="50" spans="1:30" x14ac:dyDescent="0.25">
      <c r="A50" s="36">
        <v>560</v>
      </c>
      <c r="B50" s="14" t="s">
        <v>1150</v>
      </c>
      <c r="C50" s="31" t="s">
        <v>1151</v>
      </c>
      <c r="D50" s="17">
        <v>44134</v>
      </c>
      <c r="E50" s="14" t="s">
        <v>30</v>
      </c>
      <c r="F50" s="14">
        <v>2467</v>
      </c>
      <c r="G50" s="14">
        <v>515</v>
      </c>
      <c r="H50" s="14">
        <v>4</v>
      </c>
      <c r="I50" s="14">
        <v>2</v>
      </c>
      <c r="J50" s="14" t="s">
        <v>204</v>
      </c>
      <c r="K50" s="14" cm="1">
        <f t="array" ref="K50">INT(SUMPRODUCT(--ISNUMBER(SEARCH(economy,'Jon Ossoff'!C50)))&gt;0)</f>
        <v>0</v>
      </c>
      <c r="L50" s="14" cm="1">
        <f t="array" ref="L50">INT(SUMPRODUCT(--ISNUMBER(SEARCH(healthcare,'Jon Ossoff'!C50)))&gt;0)</f>
        <v>0</v>
      </c>
      <c r="M50" s="14" cm="1">
        <f t="array" ref="M50">INT(SUMPRODUCT(--ISNUMBER(SEARCH(supreme,'Jon Ossoff'!C50)))&gt;0)</f>
        <v>0</v>
      </c>
      <c r="N50" s="14" cm="1">
        <f t="array" ref="N50">INT(SUMPRODUCT(--ISNUMBER(SEARCH(covid,'Jon Ossoff'!C50)))&gt;0)</f>
        <v>0</v>
      </c>
      <c r="O50" s="14" cm="1">
        <f t="array" ref="O50">INT(SUMPRODUCT(--ISNUMBER(SEARCH(violent,'Jon Ossoff'!C50)))&gt;0)</f>
        <v>0</v>
      </c>
      <c r="P50" s="14" cm="1">
        <f t="array" ref="P50">INT(SUMPRODUCT(--ISNUMBER(SEARCH(foreign,'Jon Ossoff'!C50)))&gt;0)</f>
        <v>0</v>
      </c>
      <c r="Q50" s="14" cm="1">
        <f t="array" ref="Q50">INT(SUMPRODUCT(--ISNUMBER(SEARCH(gun,'Jon Ossoff'!C50)))&gt;0)</f>
        <v>0</v>
      </c>
      <c r="R50" s="14" cm="1">
        <f t="array" ref="R50">INT(SUMPRODUCT(--ISNUMBER(SEARCH(race,'Jon Ossoff'!C50)))&gt;0)</f>
        <v>0</v>
      </c>
      <c r="S50" s="14" cm="1">
        <f t="array" ref="S50">INT(SUMPRODUCT(--ISNUMBER(SEARCH(immigration,C50)))&gt;0)</f>
        <v>0</v>
      </c>
      <c r="T50" s="14" cm="1">
        <f t="array" ref="T50">INT(SUMPRODUCT(--ISNUMBER(SEARCH(econineq,C50)))&gt;0)</f>
        <v>0</v>
      </c>
      <c r="U50" s="14" cm="1">
        <f t="array" ref="U50">INT(SUMPRODUCT(--ISNUMBER(SEARCH(climate,'Jon Ossoff'!C50)))&gt;0)</f>
        <v>0</v>
      </c>
      <c r="V50" s="14" cm="1">
        <f t="array" ref="V50">INT(SUMPRODUCT(--ISNUMBER(SEARCH(abortion,'Jon Ossoff'!C50)))&gt;0)</f>
        <v>0</v>
      </c>
      <c r="W50" s="14" cm="1">
        <f t="array" ref="W50">INT(SUMPRODUCT(--ISNUMBER(SEARCH(trump,'Jon Ossoff'!C50)))&gt;0)</f>
        <v>0</v>
      </c>
      <c r="X50" s="14" cm="1">
        <f t="array" ref="X50">INT(SUMPRODUCT(--ISNUMBER(SEARCH(voting,'Jon Ossoff'!C50)))&gt;0)</f>
        <v>0</v>
      </c>
      <c r="Y50" s="14" cm="1">
        <f t="array" ref="Y50">INT(SUMPRODUCT(--ISNUMBER(SEARCH(democrattrigger,'Jon Ossoff'!C50)))&gt;0)</f>
        <v>0</v>
      </c>
      <c r="Z50" s="14" cm="1">
        <f t="array" ref="Z50">INT(SUMPRODUCT(--ISNUMBER(SEARCH(bipartisan,'Jon Ossoff'!C50)))&gt;0)</f>
        <v>0</v>
      </c>
      <c r="AA50" s="14">
        <f t="shared" si="0"/>
        <v>1</v>
      </c>
      <c r="AB50" s="14"/>
      <c r="AC50" s="30" t="s">
        <v>223</v>
      </c>
      <c r="AD50" s="37" t="s">
        <v>223</v>
      </c>
    </row>
    <row r="51" spans="1:30" x14ac:dyDescent="0.25">
      <c r="A51" s="36">
        <v>561</v>
      </c>
      <c r="B51" s="14" t="s">
        <v>1152</v>
      </c>
      <c r="C51" s="31" t="s">
        <v>1153</v>
      </c>
      <c r="D51" s="17">
        <v>44134</v>
      </c>
      <c r="E51" s="14" t="s">
        <v>30</v>
      </c>
      <c r="F51" s="14">
        <v>2402</v>
      </c>
      <c r="G51" s="14">
        <v>455</v>
      </c>
      <c r="H51" s="14">
        <v>4</v>
      </c>
      <c r="I51" s="14">
        <v>2</v>
      </c>
      <c r="J51" s="14" t="s">
        <v>204</v>
      </c>
      <c r="K51" s="14" cm="1">
        <f t="array" ref="K51">INT(SUMPRODUCT(--ISNUMBER(SEARCH(economy,'Jon Ossoff'!C51)))&gt;0)</f>
        <v>0</v>
      </c>
      <c r="L51" s="14" cm="1">
        <f t="array" ref="L51">INT(SUMPRODUCT(--ISNUMBER(SEARCH(healthcare,'Jon Ossoff'!C51)))&gt;0)</f>
        <v>1</v>
      </c>
      <c r="M51" s="14" cm="1">
        <f t="array" ref="M51">INT(SUMPRODUCT(--ISNUMBER(SEARCH(supreme,'Jon Ossoff'!C51)))&gt;0)</f>
        <v>0</v>
      </c>
      <c r="N51" s="14" cm="1">
        <f t="array" ref="N51">INT(SUMPRODUCT(--ISNUMBER(SEARCH(covid,'Jon Ossoff'!C51)))&gt;0)</f>
        <v>0</v>
      </c>
      <c r="O51" s="14" cm="1">
        <f t="array" ref="O51">INT(SUMPRODUCT(--ISNUMBER(SEARCH(violent,'Jon Ossoff'!C51)))&gt;0)</f>
        <v>0</v>
      </c>
      <c r="P51" s="14" cm="1">
        <f t="array" ref="P51">INT(SUMPRODUCT(--ISNUMBER(SEARCH(foreign,'Jon Ossoff'!C51)))&gt;0)</f>
        <v>0</v>
      </c>
      <c r="Q51" s="14" cm="1">
        <f t="array" ref="Q51">INT(SUMPRODUCT(--ISNUMBER(SEARCH(gun,'Jon Ossoff'!C51)))&gt;0)</f>
        <v>0</v>
      </c>
      <c r="R51" s="14" cm="1">
        <f t="array" ref="R51">INT(SUMPRODUCT(--ISNUMBER(SEARCH(race,'Jon Ossoff'!C51)))&gt;0)</f>
        <v>0</v>
      </c>
      <c r="S51" s="14" cm="1">
        <f t="array" ref="S51">INT(SUMPRODUCT(--ISNUMBER(SEARCH(immigration,C51)))&gt;0)</f>
        <v>0</v>
      </c>
      <c r="T51" s="14" cm="1">
        <f t="array" ref="T51">INT(SUMPRODUCT(--ISNUMBER(SEARCH(econineq,C51)))&gt;0)</f>
        <v>0</v>
      </c>
      <c r="U51" s="14" cm="1">
        <f t="array" ref="U51">INT(SUMPRODUCT(--ISNUMBER(SEARCH(climate,'Jon Ossoff'!C51)))&gt;0)</f>
        <v>0</v>
      </c>
      <c r="V51" s="14" cm="1">
        <f t="array" ref="V51">INT(SUMPRODUCT(--ISNUMBER(SEARCH(abortion,'Jon Ossoff'!C51)))&gt;0)</f>
        <v>0</v>
      </c>
      <c r="W51" s="14" cm="1">
        <f t="array" ref="W51">INT(SUMPRODUCT(--ISNUMBER(SEARCH(trump,'Jon Ossoff'!C51)))&gt;0)</f>
        <v>0</v>
      </c>
      <c r="X51" s="14" cm="1">
        <f t="array" ref="X51">INT(SUMPRODUCT(--ISNUMBER(SEARCH(voting,'Jon Ossoff'!C51)))&gt;0)</f>
        <v>0</v>
      </c>
      <c r="Y51" s="14" cm="1">
        <f t="array" ref="Y51">INT(SUMPRODUCT(--ISNUMBER(SEARCH(democrattrigger,'Jon Ossoff'!C51)))&gt;0)</f>
        <v>0</v>
      </c>
      <c r="Z51" s="14" cm="1">
        <f t="array" ref="Z51">INT(SUMPRODUCT(--ISNUMBER(SEARCH(bipartisan,'Jon Ossoff'!C51)))&gt;0)</f>
        <v>0</v>
      </c>
      <c r="AA51" s="14">
        <f t="shared" si="0"/>
        <v>0</v>
      </c>
      <c r="AB51" s="14"/>
      <c r="AC51" s="30">
        <v>0</v>
      </c>
      <c r="AD51" s="37">
        <v>1</v>
      </c>
    </row>
    <row r="52" spans="1:30" x14ac:dyDescent="0.25">
      <c r="A52" s="36">
        <v>562</v>
      </c>
      <c r="B52" s="14" t="s">
        <v>1154</v>
      </c>
      <c r="C52" s="31" t="s">
        <v>1155</v>
      </c>
      <c r="D52" s="17">
        <v>44134</v>
      </c>
      <c r="E52" s="14" t="s">
        <v>30</v>
      </c>
      <c r="F52" s="14">
        <v>9626</v>
      </c>
      <c r="G52" s="14">
        <v>2187</v>
      </c>
      <c r="H52" s="14">
        <v>4</v>
      </c>
      <c r="I52" s="14">
        <v>2</v>
      </c>
      <c r="J52" s="14" t="s">
        <v>204</v>
      </c>
      <c r="K52" s="14" cm="1">
        <f t="array" ref="K52">INT(SUMPRODUCT(--ISNUMBER(SEARCH(economy,'Jon Ossoff'!C52)))&gt;0)</f>
        <v>0</v>
      </c>
      <c r="L52" s="14" cm="1">
        <f t="array" ref="L52">INT(SUMPRODUCT(--ISNUMBER(SEARCH(healthcare,'Jon Ossoff'!C52)))&gt;0)</f>
        <v>0</v>
      </c>
      <c r="M52" s="14" cm="1">
        <f t="array" ref="M52">INT(SUMPRODUCT(--ISNUMBER(SEARCH(supreme,'Jon Ossoff'!C52)))&gt;0)</f>
        <v>0</v>
      </c>
      <c r="N52" s="14" cm="1">
        <f t="array" ref="N52">INT(SUMPRODUCT(--ISNUMBER(SEARCH(covid,'Jon Ossoff'!C52)))&gt;0)</f>
        <v>1</v>
      </c>
      <c r="O52" s="14" cm="1">
        <f t="array" ref="O52">INT(SUMPRODUCT(--ISNUMBER(SEARCH(violent,'Jon Ossoff'!C52)))&gt;0)</f>
        <v>0</v>
      </c>
      <c r="P52" s="14" cm="1">
        <f t="array" ref="P52">INT(SUMPRODUCT(--ISNUMBER(SEARCH(foreign,'Jon Ossoff'!C52)))&gt;0)</f>
        <v>0</v>
      </c>
      <c r="Q52" s="14" cm="1">
        <f t="array" ref="Q52">INT(SUMPRODUCT(--ISNUMBER(SEARCH(gun,'Jon Ossoff'!C52)))&gt;0)</f>
        <v>0</v>
      </c>
      <c r="R52" s="14" cm="1">
        <f t="array" ref="R52">INT(SUMPRODUCT(--ISNUMBER(SEARCH(race,'Jon Ossoff'!C52)))&gt;0)</f>
        <v>0</v>
      </c>
      <c r="S52" s="14" cm="1">
        <f t="array" ref="S52">INT(SUMPRODUCT(--ISNUMBER(SEARCH(immigration,C52)))&gt;0)</f>
        <v>0</v>
      </c>
      <c r="T52" s="14" cm="1">
        <f t="array" ref="T52">INT(SUMPRODUCT(--ISNUMBER(SEARCH(econineq,C52)))&gt;0)</f>
        <v>0</v>
      </c>
      <c r="U52" s="14" cm="1">
        <f t="array" ref="U52">INT(SUMPRODUCT(--ISNUMBER(SEARCH(climate,'Jon Ossoff'!C52)))&gt;0)</f>
        <v>0</v>
      </c>
      <c r="V52" s="14" cm="1">
        <f t="array" ref="V52">INT(SUMPRODUCT(--ISNUMBER(SEARCH(abortion,'Jon Ossoff'!C52)))&gt;0)</f>
        <v>0</v>
      </c>
      <c r="W52" s="14" cm="1">
        <f t="array" ref="W52">INT(SUMPRODUCT(--ISNUMBER(SEARCH(trump,'Jon Ossoff'!C52)))&gt;0)</f>
        <v>1</v>
      </c>
      <c r="X52" s="14" cm="1">
        <f t="array" ref="X52">INT(SUMPRODUCT(--ISNUMBER(SEARCH(voting,'Jon Ossoff'!C52)))&gt;0)</f>
        <v>0</v>
      </c>
      <c r="Y52" s="14" cm="1">
        <f t="array" ref="Y52">INT(SUMPRODUCT(--ISNUMBER(SEARCH(democrattrigger,'Jon Ossoff'!C52)))&gt;0)</f>
        <v>1</v>
      </c>
      <c r="Z52" s="14" cm="1">
        <f t="array" ref="Z52">INT(SUMPRODUCT(--ISNUMBER(SEARCH(bipartisan,'Jon Ossoff'!C52)))&gt;0)</f>
        <v>0</v>
      </c>
      <c r="AA52" s="14">
        <f t="shared" si="0"/>
        <v>0</v>
      </c>
      <c r="AB52" s="14"/>
      <c r="AC52" s="30" t="s">
        <v>223</v>
      </c>
      <c r="AD52" s="37" t="s">
        <v>223</v>
      </c>
    </row>
    <row r="53" spans="1:30" x14ac:dyDescent="0.25">
      <c r="A53" s="36">
        <v>563</v>
      </c>
      <c r="B53" s="14" t="s">
        <v>1156</v>
      </c>
      <c r="C53" s="31" t="s">
        <v>1157</v>
      </c>
      <c r="D53" s="17">
        <v>44134</v>
      </c>
      <c r="E53" s="14" t="s">
        <v>30</v>
      </c>
      <c r="F53" s="14">
        <v>5240</v>
      </c>
      <c r="G53" s="14">
        <v>494</v>
      </c>
      <c r="H53" s="14">
        <v>4</v>
      </c>
      <c r="I53" s="14">
        <v>2</v>
      </c>
      <c r="J53" s="14" t="s">
        <v>204</v>
      </c>
      <c r="K53" s="14" cm="1">
        <f t="array" ref="K53">INT(SUMPRODUCT(--ISNUMBER(SEARCH(economy,'Jon Ossoff'!C53)))&gt;0)</f>
        <v>0</v>
      </c>
      <c r="L53" s="14" cm="1">
        <f t="array" ref="L53">INT(SUMPRODUCT(--ISNUMBER(SEARCH(healthcare,'Jon Ossoff'!C53)))&gt;0)</f>
        <v>0</v>
      </c>
      <c r="M53" s="14" cm="1">
        <f t="array" ref="M53">INT(SUMPRODUCT(--ISNUMBER(SEARCH(supreme,'Jon Ossoff'!C53)))&gt;0)</f>
        <v>0</v>
      </c>
      <c r="N53" s="14" cm="1">
        <f t="array" ref="N53">INT(SUMPRODUCT(--ISNUMBER(SEARCH(covid,'Jon Ossoff'!C53)))&gt;0)</f>
        <v>0</v>
      </c>
      <c r="O53" s="14" cm="1">
        <f t="array" ref="O53">INT(SUMPRODUCT(--ISNUMBER(SEARCH(violent,'Jon Ossoff'!C53)))&gt;0)</f>
        <v>0</v>
      </c>
      <c r="P53" s="14" cm="1">
        <f t="array" ref="P53">INT(SUMPRODUCT(--ISNUMBER(SEARCH(foreign,'Jon Ossoff'!C53)))&gt;0)</f>
        <v>0</v>
      </c>
      <c r="Q53" s="14" cm="1">
        <f t="array" ref="Q53">INT(SUMPRODUCT(--ISNUMBER(SEARCH(gun,'Jon Ossoff'!C53)))&gt;0)</f>
        <v>0</v>
      </c>
      <c r="R53" s="14" cm="1">
        <f t="array" ref="R53">INT(SUMPRODUCT(--ISNUMBER(SEARCH(race,'Jon Ossoff'!C53)))&gt;0)</f>
        <v>0</v>
      </c>
      <c r="S53" s="14" cm="1">
        <f t="array" ref="S53">INT(SUMPRODUCT(--ISNUMBER(SEARCH(immigration,C53)))&gt;0)</f>
        <v>0</v>
      </c>
      <c r="T53" s="14" cm="1">
        <f t="array" ref="T53">INT(SUMPRODUCT(--ISNUMBER(SEARCH(econineq,C53)))&gt;0)</f>
        <v>0</v>
      </c>
      <c r="U53" s="14" cm="1">
        <f t="array" ref="U53">INT(SUMPRODUCT(--ISNUMBER(SEARCH(climate,'Jon Ossoff'!C53)))&gt;0)</f>
        <v>0</v>
      </c>
      <c r="V53" s="14" cm="1">
        <f t="array" ref="V53">INT(SUMPRODUCT(--ISNUMBER(SEARCH(abortion,'Jon Ossoff'!C53)))&gt;0)</f>
        <v>0</v>
      </c>
      <c r="W53" s="14" cm="1">
        <f t="array" ref="W53">INT(SUMPRODUCT(--ISNUMBER(SEARCH(trump,'Jon Ossoff'!C53)))&gt;0)</f>
        <v>0</v>
      </c>
      <c r="X53" s="14" cm="1">
        <f t="array" ref="X53">INT(SUMPRODUCT(--ISNUMBER(SEARCH(voting,'Jon Ossoff'!C53)))&gt;0)</f>
        <v>1</v>
      </c>
      <c r="Y53" s="14" cm="1">
        <f t="array" ref="Y53">INT(SUMPRODUCT(--ISNUMBER(SEARCH(democrattrigger,'Jon Ossoff'!C53)))&gt;0)</f>
        <v>0</v>
      </c>
      <c r="Z53" s="14" cm="1">
        <f t="array" ref="Z53">INT(SUMPRODUCT(--ISNUMBER(SEARCH(bipartisan,'Jon Ossoff'!C53)))&gt;0)</f>
        <v>0</v>
      </c>
      <c r="AA53" s="14">
        <f t="shared" si="0"/>
        <v>0</v>
      </c>
      <c r="AB53" s="14"/>
      <c r="AC53" s="30">
        <v>0</v>
      </c>
      <c r="AD53" s="37">
        <v>1</v>
      </c>
    </row>
    <row r="54" spans="1:30" x14ac:dyDescent="0.25">
      <c r="A54" s="36">
        <v>564</v>
      </c>
      <c r="B54" s="14" t="s">
        <v>1158</v>
      </c>
      <c r="C54" s="31" t="s">
        <v>1159</v>
      </c>
      <c r="D54" s="17">
        <v>44134</v>
      </c>
      <c r="E54" s="14" t="s">
        <v>30</v>
      </c>
      <c r="F54" s="14">
        <v>9407</v>
      </c>
      <c r="G54" s="14">
        <v>2522</v>
      </c>
      <c r="H54" s="14">
        <v>4</v>
      </c>
      <c r="I54" s="14">
        <v>2</v>
      </c>
      <c r="J54" s="14" t="s">
        <v>204</v>
      </c>
      <c r="K54" s="14" cm="1">
        <f t="array" ref="K54">INT(SUMPRODUCT(--ISNUMBER(SEARCH(economy,'Jon Ossoff'!C54)))&gt;0)</f>
        <v>0</v>
      </c>
      <c r="L54" s="14" cm="1">
        <f t="array" ref="L54">INT(SUMPRODUCT(--ISNUMBER(SEARCH(healthcare,'Jon Ossoff'!C54)))&gt;0)</f>
        <v>0</v>
      </c>
      <c r="M54" s="14" cm="1">
        <f t="array" ref="M54">INT(SUMPRODUCT(--ISNUMBER(SEARCH(supreme,'Jon Ossoff'!C54)))&gt;0)</f>
        <v>0</v>
      </c>
      <c r="N54" s="14" cm="1">
        <f t="array" ref="N54">INT(SUMPRODUCT(--ISNUMBER(SEARCH(covid,'Jon Ossoff'!C54)))&gt;0)</f>
        <v>0</v>
      </c>
      <c r="O54" s="14" cm="1">
        <f t="array" ref="O54">INT(SUMPRODUCT(--ISNUMBER(SEARCH(violent,'Jon Ossoff'!C54)))&gt;0)</f>
        <v>0</v>
      </c>
      <c r="P54" s="14" cm="1">
        <f t="array" ref="P54">INT(SUMPRODUCT(--ISNUMBER(SEARCH(foreign,'Jon Ossoff'!C54)))&gt;0)</f>
        <v>0</v>
      </c>
      <c r="Q54" s="14" cm="1">
        <f t="array" ref="Q54">INT(SUMPRODUCT(--ISNUMBER(SEARCH(gun,'Jon Ossoff'!C54)))&gt;0)</f>
        <v>0</v>
      </c>
      <c r="R54" s="14" cm="1">
        <f t="array" ref="R54">INT(SUMPRODUCT(--ISNUMBER(SEARCH(race,'Jon Ossoff'!C54)))&gt;0)</f>
        <v>0</v>
      </c>
      <c r="S54" s="14" cm="1">
        <f t="array" ref="S54">INT(SUMPRODUCT(--ISNUMBER(SEARCH(immigration,C54)))&gt;0)</f>
        <v>0</v>
      </c>
      <c r="T54" s="14" cm="1">
        <f t="array" ref="T54">INT(SUMPRODUCT(--ISNUMBER(SEARCH(econineq,C54)))&gt;0)</f>
        <v>0</v>
      </c>
      <c r="U54" s="14" cm="1">
        <f t="array" ref="U54">INT(SUMPRODUCT(--ISNUMBER(SEARCH(climate,'Jon Ossoff'!C54)))&gt;0)</f>
        <v>0</v>
      </c>
      <c r="V54" s="14" cm="1">
        <f t="array" ref="V54">INT(SUMPRODUCT(--ISNUMBER(SEARCH(abortion,'Jon Ossoff'!C54)))&gt;0)</f>
        <v>0</v>
      </c>
      <c r="W54" s="14" cm="1">
        <f t="array" ref="W54">INT(SUMPRODUCT(--ISNUMBER(SEARCH(trump,'Jon Ossoff'!C54)))&gt;0)</f>
        <v>0</v>
      </c>
      <c r="X54" s="14" cm="1">
        <f t="array" ref="X54">INT(SUMPRODUCT(--ISNUMBER(SEARCH(voting,'Jon Ossoff'!C54)))&gt;0)</f>
        <v>0</v>
      </c>
      <c r="Y54" s="14" cm="1">
        <f t="array" ref="Y54">INT(SUMPRODUCT(--ISNUMBER(SEARCH(democrattrigger,'Jon Ossoff'!C54)))&gt;0)</f>
        <v>1</v>
      </c>
      <c r="Z54" s="14" cm="1">
        <f t="array" ref="Z54">INT(SUMPRODUCT(--ISNUMBER(SEARCH(bipartisan,'Jon Ossoff'!C54)))&gt;0)</f>
        <v>0</v>
      </c>
      <c r="AA54" s="14">
        <f t="shared" si="0"/>
        <v>0</v>
      </c>
      <c r="AB54" s="14"/>
      <c r="AC54" s="30">
        <v>0</v>
      </c>
      <c r="AD54" s="37">
        <v>1</v>
      </c>
    </row>
    <row r="55" spans="1:30" x14ac:dyDescent="0.25">
      <c r="A55" s="36">
        <v>565</v>
      </c>
      <c r="B55" s="14" t="s">
        <v>1160</v>
      </c>
      <c r="C55" s="31" t="s">
        <v>1161</v>
      </c>
      <c r="D55" s="17">
        <v>44134</v>
      </c>
      <c r="E55" s="14" t="s">
        <v>70</v>
      </c>
      <c r="F55" s="14">
        <v>1668</v>
      </c>
      <c r="G55" s="14">
        <v>640</v>
      </c>
      <c r="H55" s="14">
        <v>4</v>
      </c>
      <c r="I55" s="14">
        <v>2</v>
      </c>
      <c r="J55" s="14" t="s">
        <v>204</v>
      </c>
      <c r="K55" s="14" cm="1">
        <f t="array" ref="K55">INT(SUMPRODUCT(--ISNUMBER(SEARCH(economy,'Jon Ossoff'!C55)))&gt;0)</f>
        <v>0</v>
      </c>
      <c r="L55" s="14" cm="1">
        <f t="array" ref="L55">INT(SUMPRODUCT(--ISNUMBER(SEARCH(healthcare,'Jon Ossoff'!C55)))&gt;0)</f>
        <v>0</v>
      </c>
      <c r="M55" s="14" cm="1">
        <f t="array" ref="M55">INT(SUMPRODUCT(--ISNUMBER(SEARCH(supreme,'Jon Ossoff'!C55)))&gt;0)</f>
        <v>0</v>
      </c>
      <c r="N55" s="14" cm="1">
        <f t="array" ref="N55">INT(SUMPRODUCT(--ISNUMBER(SEARCH(covid,'Jon Ossoff'!C55)))&gt;0)</f>
        <v>0</v>
      </c>
      <c r="O55" s="14" cm="1">
        <f t="array" ref="O55">INT(SUMPRODUCT(--ISNUMBER(SEARCH(violent,'Jon Ossoff'!C55)))&gt;0)</f>
        <v>0</v>
      </c>
      <c r="P55" s="14" cm="1">
        <f t="array" ref="P55">INT(SUMPRODUCT(--ISNUMBER(SEARCH(foreign,'Jon Ossoff'!C55)))&gt;0)</f>
        <v>0</v>
      </c>
      <c r="Q55" s="14" cm="1">
        <f t="array" ref="Q55">INT(SUMPRODUCT(--ISNUMBER(SEARCH(gun,'Jon Ossoff'!C55)))&gt;0)</f>
        <v>0</v>
      </c>
      <c r="R55" s="14" cm="1">
        <f t="array" ref="R55">INT(SUMPRODUCT(--ISNUMBER(SEARCH(race,'Jon Ossoff'!C55)))&gt;0)</f>
        <v>0</v>
      </c>
      <c r="S55" s="14" cm="1">
        <f t="array" ref="S55">INT(SUMPRODUCT(--ISNUMBER(SEARCH(immigration,C55)))&gt;0)</f>
        <v>0</v>
      </c>
      <c r="T55" s="14" cm="1">
        <f t="array" ref="T55">INT(SUMPRODUCT(--ISNUMBER(SEARCH(econineq,C55)))&gt;0)</f>
        <v>0</v>
      </c>
      <c r="U55" s="14" cm="1">
        <f t="array" ref="U55">INT(SUMPRODUCT(--ISNUMBER(SEARCH(climate,'Jon Ossoff'!C55)))&gt;0)</f>
        <v>0</v>
      </c>
      <c r="V55" s="14" cm="1">
        <f t="array" ref="V55">INT(SUMPRODUCT(--ISNUMBER(SEARCH(abortion,'Jon Ossoff'!C55)))&gt;0)</f>
        <v>0</v>
      </c>
      <c r="W55" s="14" cm="1">
        <f t="array" ref="W55">INT(SUMPRODUCT(--ISNUMBER(SEARCH(trump,'Jon Ossoff'!C55)))&gt;0)</f>
        <v>0</v>
      </c>
      <c r="X55" s="14" cm="1">
        <f t="array" ref="X55">INT(SUMPRODUCT(--ISNUMBER(SEARCH(voting,'Jon Ossoff'!C55)))&gt;0)</f>
        <v>1</v>
      </c>
      <c r="Y55" s="14" cm="1">
        <f t="array" ref="Y55">INT(SUMPRODUCT(--ISNUMBER(SEARCH(democrattrigger,'Jon Ossoff'!C55)))&gt;0)</f>
        <v>0</v>
      </c>
      <c r="Z55" s="14" cm="1">
        <f t="array" ref="Z55">INT(SUMPRODUCT(--ISNUMBER(SEARCH(bipartisan,'Jon Ossoff'!C55)))&gt;0)</f>
        <v>0</v>
      </c>
      <c r="AA55" s="14">
        <f t="shared" si="0"/>
        <v>0</v>
      </c>
      <c r="AB55" s="14"/>
      <c r="AC55" s="30" t="s">
        <v>223</v>
      </c>
      <c r="AD55" s="37" t="s">
        <v>223</v>
      </c>
    </row>
    <row r="56" spans="1:30" x14ac:dyDescent="0.25">
      <c r="A56" s="36">
        <v>566</v>
      </c>
      <c r="B56" s="14" t="s">
        <v>1162</v>
      </c>
      <c r="C56" s="31" t="s">
        <v>1163</v>
      </c>
      <c r="D56" s="17">
        <v>44134</v>
      </c>
      <c r="E56" s="14" t="s">
        <v>30</v>
      </c>
      <c r="F56" s="14">
        <v>26027</v>
      </c>
      <c r="G56" s="14">
        <v>6090</v>
      </c>
      <c r="H56" s="14">
        <v>4</v>
      </c>
      <c r="I56" s="14">
        <v>2</v>
      </c>
      <c r="J56" s="14" t="s">
        <v>204</v>
      </c>
      <c r="K56" s="14" cm="1">
        <f t="array" ref="K56">INT(SUMPRODUCT(--ISNUMBER(SEARCH(economy,'Jon Ossoff'!C56)))&gt;0)</f>
        <v>0</v>
      </c>
      <c r="L56" s="14" cm="1">
        <f t="array" ref="L56">INT(SUMPRODUCT(--ISNUMBER(SEARCH(healthcare,'Jon Ossoff'!C56)))&gt;0)</f>
        <v>0</v>
      </c>
      <c r="M56" s="14" cm="1">
        <f t="array" ref="M56">INT(SUMPRODUCT(--ISNUMBER(SEARCH(supreme,'Jon Ossoff'!C56)))&gt;0)</f>
        <v>0</v>
      </c>
      <c r="N56" s="14" cm="1">
        <f t="array" ref="N56">INT(SUMPRODUCT(--ISNUMBER(SEARCH(covid,'Jon Ossoff'!C56)))&gt;0)</f>
        <v>0</v>
      </c>
      <c r="O56" s="14" cm="1">
        <f t="array" ref="O56">INT(SUMPRODUCT(--ISNUMBER(SEARCH(violent,'Jon Ossoff'!C56)))&gt;0)</f>
        <v>0</v>
      </c>
      <c r="P56" s="14" cm="1">
        <f t="array" ref="P56">INT(SUMPRODUCT(--ISNUMBER(SEARCH(foreign,'Jon Ossoff'!C56)))&gt;0)</f>
        <v>0</v>
      </c>
      <c r="Q56" s="14" cm="1">
        <f t="array" ref="Q56">INT(SUMPRODUCT(--ISNUMBER(SEARCH(gun,'Jon Ossoff'!C56)))&gt;0)</f>
        <v>0</v>
      </c>
      <c r="R56" s="14" cm="1">
        <f t="array" ref="R56">INT(SUMPRODUCT(--ISNUMBER(SEARCH(race,'Jon Ossoff'!C56)))&gt;0)</f>
        <v>0</v>
      </c>
      <c r="S56" s="14" cm="1">
        <f t="array" ref="S56">INT(SUMPRODUCT(--ISNUMBER(SEARCH(immigration,C56)))&gt;0)</f>
        <v>0</v>
      </c>
      <c r="T56" s="14" cm="1">
        <f t="array" ref="T56">INT(SUMPRODUCT(--ISNUMBER(SEARCH(econineq,C56)))&gt;0)</f>
        <v>0</v>
      </c>
      <c r="U56" s="14" cm="1">
        <f t="array" ref="U56">INT(SUMPRODUCT(--ISNUMBER(SEARCH(climate,'Jon Ossoff'!C56)))&gt;0)</f>
        <v>0</v>
      </c>
      <c r="V56" s="14" cm="1">
        <f t="array" ref="V56">INT(SUMPRODUCT(--ISNUMBER(SEARCH(abortion,'Jon Ossoff'!C56)))&gt;0)</f>
        <v>0</v>
      </c>
      <c r="W56" s="14" cm="1">
        <f t="array" ref="W56">INT(SUMPRODUCT(--ISNUMBER(SEARCH(trump,'Jon Ossoff'!C56)))&gt;0)</f>
        <v>0</v>
      </c>
      <c r="X56" s="14" cm="1">
        <f t="array" ref="X56">INT(SUMPRODUCT(--ISNUMBER(SEARCH(voting,'Jon Ossoff'!C56)))&gt;0)</f>
        <v>1</v>
      </c>
      <c r="Y56" s="14" cm="1">
        <f t="array" ref="Y56">INT(SUMPRODUCT(--ISNUMBER(SEARCH(democrattrigger,'Jon Ossoff'!C56)))&gt;0)</f>
        <v>0</v>
      </c>
      <c r="Z56" s="14" cm="1">
        <f t="array" ref="Z56">INT(SUMPRODUCT(--ISNUMBER(SEARCH(bipartisan,'Jon Ossoff'!C56)))&gt;0)</f>
        <v>0</v>
      </c>
      <c r="AA56" s="14">
        <f t="shared" si="0"/>
        <v>0</v>
      </c>
      <c r="AB56" s="14"/>
      <c r="AC56" s="30" t="s">
        <v>223</v>
      </c>
      <c r="AD56" s="37" t="s">
        <v>223</v>
      </c>
    </row>
    <row r="57" spans="1:30" x14ac:dyDescent="0.25">
      <c r="A57" s="36">
        <v>567</v>
      </c>
      <c r="B57" s="14" t="s">
        <v>1164</v>
      </c>
      <c r="C57" s="31" t="s">
        <v>1165</v>
      </c>
      <c r="D57" s="17">
        <v>44134</v>
      </c>
      <c r="E57" s="14" t="s">
        <v>30</v>
      </c>
      <c r="F57" s="14">
        <v>11245</v>
      </c>
      <c r="G57" s="14">
        <v>1187</v>
      </c>
      <c r="H57" s="14">
        <v>4</v>
      </c>
      <c r="I57" s="14">
        <v>2</v>
      </c>
      <c r="J57" s="14" t="s">
        <v>204</v>
      </c>
      <c r="K57" s="14" cm="1">
        <f t="array" ref="K57">INT(SUMPRODUCT(--ISNUMBER(SEARCH(economy,'Jon Ossoff'!C57)))&gt;0)</f>
        <v>0</v>
      </c>
      <c r="L57" s="14" cm="1">
        <f t="array" ref="L57">INT(SUMPRODUCT(--ISNUMBER(SEARCH(healthcare,'Jon Ossoff'!C57)))&gt;0)</f>
        <v>0</v>
      </c>
      <c r="M57" s="14" cm="1">
        <f t="array" ref="M57">INT(SUMPRODUCT(--ISNUMBER(SEARCH(supreme,'Jon Ossoff'!C57)))&gt;0)</f>
        <v>0</v>
      </c>
      <c r="N57" s="14" cm="1">
        <f t="array" ref="N57">INT(SUMPRODUCT(--ISNUMBER(SEARCH(covid,'Jon Ossoff'!C57)))&gt;0)</f>
        <v>0</v>
      </c>
      <c r="O57" s="14" cm="1">
        <f t="array" ref="O57">INT(SUMPRODUCT(--ISNUMBER(SEARCH(violent,'Jon Ossoff'!C57)))&gt;0)</f>
        <v>0</v>
      </c>
      <c r="P57" s="14" cm="1">
        <f t="array" ref="P57">INT(SUMPRODUCT(--ISNUMBER(SEARCH(foreign,'Jon Ossoff'!C57)))&gt;0)</f>
        <v>0</v>
      </c>
      <c r="Q57" s="14" cm="1">
        <f t="array" ref="Q57">INT(SUMPRODUCT(--ISNUMBER(SEARCH(gun,'Jon Ossoff'!C57)))&gt;0)</f>
        <v>0</v>
      </c>
      <c r="R57" s="14" cm="1">
        <f t="array" ref="R57">INT(SUMPRODUCT(--ISNUMBER(SEARCH(race,'Jon Ossoff'!C57)))&gt;0)</f>
        <v>0</v>
      </c>
      <c r="S57" s="14" cm="1">
        <f t="array" ref="S57">INT(SUMPRODUCT(--ISNUMBER(SEARCH(immigration,C57)))&gt;0)</f>
        <v>0</v>
      </c>
      <c r="T57" s="14" cm="1">
        <f t="array" ref="T57">INT(SUMPRODUCT(--ISNUMBER(SEARCH(econineq,C57)))&gt;0)</f>
        <v>0</v>
      </c>
      <c r="U57" s="14" cm="1">
        <f t="array" ref="U57">INT(SUMPRODUCT(--ISNUMBER(SEARCH(climate,'Jon Ossoff'!C57)))&gt;0)</f>
        <v>0</v>
      </c>
      <c r="V57" s="14" cm="1">
        <f t="array" ref="V57">INT(SUMPRODUCT(--ISNUMBER(SEARCH(abortion,'Jon Ossoff'!C57)))&gt;0)</f>
        <v>0</v>
      </c>
      <c r="W57" s="14" cm="1">
        <f t="array" ref="W57">INT(SUMPRODUCT(--ISNUMBER(SEARCH(trump,'Jon Ossoff'!C57)))&gt;0)</f>
        <v>0</v>
      </c>
      <c r="X57" s="14" cm="1">
        <f t="array" ref="X57">INT(SUMPRODUCT(--ISNUMBER(SEARCH(voting,'Jon Ossoff'!C57)))&gt;0)</f>
        <v>0</v>
      </c>
      <c r="Y57" s="14" cm="1">
        <f t="array" ref="Y57">INT(SUMPRODUCT(--ISNUMBER(SEARCH(democrattrigger,'Jon Ossoff'!C57)))&gt;0)</f>
        <v>0</v>
      </c>
      <c r="Z57" s="14" cm="1">
        <f t="array" ref="Z57">INT(SUMPRODUCT(--ISNUMBER(SEARCH(bipartisan,'Jon Ossoff'!C57)))&gt;0)</f>
        <v>0</v>
      </c>
      <c r="AA57" s="14">
        <f t="shared" si="0"/>
        <v>1</v>
      </c>
      <c r="AB57" s="14"/>
      <c r="AC57" s="30" t="s">
        <v>223</v>
      </c>
      <c r="AD57" s="37" t="s">
        <v>223</v>
      </c>
    </row>
    <row r="58" spans="1:30" x14ac:dyDescent="0.25">
      <c r="A58" s="36">
        <v>568</v>
      </c>
      <c r="B58" s="14" t="s">
        <v>1166</v>
      </c>
      <c r="C58" s="31" t="s">
        <v>1167</v>
      </c>
      <c r="D58" s="17">
        <v>44134</v>
      </c>
      <c r="E58" s="14" t="s">
        <v>70</v>
      </c>
      <c r="F58" s="14">
        <v>872</v>
      </c>
      <c r="G58" s="14">
        <v>276</v>
      </c>
      <c r="H58" s="14">
        <v>4</v>
      </c>
      <c r="I58" s="14">
        <v>2</v>
      </c>
      <c r="J58" s="14" t="s">
        <v>204</v>
      </c>
      <c r="K58" s="14" cm="1">
        <f t="array" ref="K58">INT(SUMPRODUCT(--ISNUMBER(SEARCH(economy,'Jon Ossoff'!C58)))&gt;0)</f>
        <v>0</v>
      </c>
      <c r="L58" s="14" cm="1">
        <f t="array" ref="L58">INT(SUMPRODUCT(--ISNUMBER(SEARCH(healthcare,'Jon Ossoff'!C58)))&gt;0)</f>
        <v>0</v>
      </c>
      <c r="M58" s="14" cm="1">
        <f t="array" ref="M58">INT(SUMPRODUCT(--ISNUMBER(SEARCH(supreme,'Jon Ossoff'!C58)))&gt;0)</f>
        <v>0</v>
      </c>
      <c r="N58" s="14" cm="1">
        <f t="array" ref="N58">INT(SUMPRODUCT(--ISNUMBER(SEARCH(covid,'Jon Ossoff'!C58)))&gt;0)</f>
        <v>0</v>
      </c>
      <c r="O58" s="14" cm="1">
        <f t="array" ref="O58">INT(SUMPRODUCT(--ISNUMBER(SEARCH(violent,'Jon Ossoff'!C58)))&gt;0)</f>
        <v>0</v>
      </c>
      <c r="P58" s="14" cm="1">
        <f t="array" ref="P58">INT(SUMPRODUCT(--ISNUMBER(SEARCH(foreign,'Jon Ossoff'!C58)))&gt;0)</f>
        <v>0</v>
      </c>
      <c r="Q58" s="14" cm="1">
        <f t="array" ref="Q58">INT(SUMPRODUCT(--ISNUMBER(SEARCH(gun,'Jon Ossoff'!C58)))&gt;0)</f>
        <v>0</v>
      </c>
      <c r="R58" s="14" cm="1">
        <f t="array" ref="R58">INT(SUMPRODUCT(--ISNUMBER(SEARCH(race,'Jon Ossoff'!C58)))&gt;0)</f>
        <v>0</v>
      </c>
      <c r="S58" s="14" cm="1">
        <f t="array" ref="S58">INT(SUMPRODUCT(--ISNUMBER(SEARCH(immigration,C58)))&gt;0)</f>
        <v>0</v>
      </c>
      <c r="T58" s="14" cm="1">
        <f t="array" ref="T58">INT(SUMPRODUCT(--ISNUMBER(SEARCH(econineq,C58)))&gt;0)</f>
        <v>0</v>
      </c>
      <c r="U58" s="14" cm="1">
        <f t="array" ref="U58">INT(SUMPRODUCT(--ISNUMBER(SEARCH(climate,'Jon Ossoff'!C58)))&gt;0)</f>
        <v>0</v>
      </c>
      <c r="V58" s="14" cm="1">
        <f t="array" ref="V58">INT(SUMPRODUCT(--ISNUMBER(SEARCH(abortion,'Jon Ossoff'!C58)))&gt;0)</f>
        <v>0</v>
      </c>
      <c r="W58" s="14" cm="1">
        <f t="array" ref="W58">INT(SUMPRODUCT(--ISNUMBER(SEARCH(trump,'Jon Ossoff'!C58)))&gt;0)</f>
        <v>0</v>
      </c>
      <c r="X58" s="14" cm="1">
        <f t="array" ref="X58">INT(SUMPRODUCT(--ISNUMBER(SEARCH(voting,'Jon Ossoff'!C58)))&gt;0)</f>
        <v>1</v>
      </c>
      <c r="Y58" s="14" cm="1">
        <f t="array" ref="Y58">INT(SUMPRODUCT(--ISNUMBER(SEARCH(democrattrigger,'Jon Ossoff'!C58)))&gt;0)</f>
        <v>0</v>
      </c>
      <c r="Z58" s="14" cm="1">
        <f t="array" ref="Z58">INT(SUMPRODUCT(--ISNUMBER(SEARCH(bipartisan,'Jon Ossoff'!C58)))&gt;0)</f>
        <v>0</v>
      </c>
      <c r="AA58" s="14">
        <f t="shared" si="0"/>
        <v>0</v>
      </c>
      <c r="AB58" s="14"/>
      <c r="AC58" s="30" t="s">
        <v>223</v>
      </c>
      <c r="AD58" s="37" t="s">
        <v>223</v>
      </c>
    </row>
    <row r="59" spans="1:30" x14ac:dyDescent="0.25">
      <c r="A59" s="36">
        <v>569</v>
      </c>
      <c r="B59" s="14" t="s">
        <v>1168</v>
      </c>
      <c r="C59" s="31" t="s">
        <v>1169</v>
      </c>
      <c r="D59" s="17">
        <v>44134</v>
      </c>
      <c r="E59" s="14" t="s">
        <v>70</v>
      </c>
      <c r="F59" s="14">
        <v>1873</v>
      </c>
      <c r="G59" s="14">
        <v>418</v>
      </c>
      <c r="H59" s="14">
        <v>4</v>
      </c>
      <c r="I59" s="14">
        <v>2</v>
      </c>
      <c r="J59" s="14" t="s">
        <v>204</v>
      </c>
      <c r="K59" s="14" cm="1">
        <f t="array" ref="K59">INT(SUMPRODUCT(--ISNUMBER(SEARCH(economy,'Jon Ossoff'!C59)))&gt;0)</f>
        <v>0</v>
      </c>
      <c r="L59" s="14" cm="1">
        <f t="array" ref="L59">INT(SUMPRODUCT(--ISNUMBER(SEARCH(healthcare,'Jon Ossoff'!C59)))&gt;0)</f>
        <v>0</v>
      </c>
      <c r="M59" s="14" cm="1">
        <f t="array" ref="M59">INT(SUMPRODUCT(--ISNUMBER(SEARCH(supreme,'Jon Ossoff'!C59)))&gt;0)</f>
        <v>0</v>
      </c>
      <c r="N59" s="14" cm="1">
        <f t="array" ref="N59">INT(SUMPRODUCT(--ISNUMBER(SEARCH(covid,'Jon Ossoff'!C59)))&gt;0)</f>
        <v>0</v>
      </c>
      <c r="O59" s="14" cm="1">
        <f t="array" ref="O59">INT(SUMPRODUCT(--ISNUMBER(SEARCH(violent,'Jon Ossoff'!C59)))&gt;0)</f>
        <v>0</v>
      </c>
      <c r="P59" s="14" cm="1">
        <f t="array" ref="P59">INT(SUMPRODUCT(--ISNUMBER(SEARCH(foreign,'Jon Ossoff'!C59)))&gt;0)</f>
        <v>0</v>
      </c>
      <c r="Q59" s="14" cm="1">
        <f t="array" ref="Q59">INT(SUMPRODUCT(--ISNUMBER(SEARCH(gun,'Jon Ossoff'!C59)))&gt;0)</f>
        <v>0</v>
      </c>
      <c r="R59" s="14" cm="1">
        <f t="array" ref="R59">INT(SUMPRODUCT(--ISNUMBER(SEARCH(race,'Jon Ossoff'!C59)))&gt;0)</f>
        <v>0</v>
      </c>
      <c r="S59" s="14" cm="1">
        <f t="array" ref="S59">INT(SUMPRODUCT(--ISNUMBER(SEARCH(immigration,C59)))&gt;0)</f>
        <v>0</v>
      </c>
      <c r="T59" s="14" cm="1">
        <f t="array" ref="T59">INT(SUMPRODUCT(--ISNUMBER(SEARCH(econineq,C59)))&gt;0)</f>
        <v>0</v>
      </c>
      <c r="U59" s="14" cm="1">
        <f t="array" ref="U59">INT(SUMPRODUCT(--ISNUMBER(SEARCH(climate,'Jon Ossoff'!C59)))&gt;0)</f>
        <v>0</v>
      </c>
      <c r="V59" s="14" cm="1">
        <f t="array" ref="V59">INT(SUMPRODUCT(--ISNUMBER(SEARCH(abortion,'Jon Ossoff'!C59)))&gt;0)</f>
        <v>0</v>
      </c>
      <c r="W59" s="14" cm="1">
        <f t="array" ref="W59">INT(SUMPRODUCT(--ISNUMBER(SEARCH(trump,'Jon Ossoff'!C59)))&gt;0)</f>
        <v>0</v>
      </c>
      <c r="X59" s="14" cm="1">
        <f t="array" ref="X59">INT(SUMPRODUCT(--ISNUMBER(SEARCH(voting,'Jon Ossoff'!C59)))&gt;0)</f>
        <v>0</v>
      </c>
      <c r="Y59" s="14" cm="1">
        <f t="array" ref="Y59">INT(SUMPRODUCT(--ISNUMBER(SEARCH(democrattrigger,'Jon Ossoff'!C59)))&gt;0)</f>
        <v>1</v>
      </c>
      <c r="Z59" s="14" cm="1">
        <f t="array" ref="Z59">INT(SUMPRODUCT(--ISNUMBER(SEARCH(bipartisan,'Jon Ossoff'!C59)))&gt;0)</f>
        <v>0</v>
      </c>
      <c r="AA59" s="14">
        <f t="shared" si="0"/>
        <v>0</v>
      </c>
      <c r="AB59" s="14"/>
      <c r="AC59" s="30" t="s">
        <v>223</v>
      </c>
      <c r="AD59" s="37" t="s">
        <v>223</v>
      </c>
    </row>
    <row r="60" spans="1:30" x14ac:dyDescent="0.25">
      <c r="A60" s="36">
        <v>570</v>
      </c>
      <c r="B60" s="14" t="s">
        <v>1170</v>
      </c>
      <c r="C60" s="31" t="s">
        <v>1171</v>
      </c>
      <c r="D60" s="17">
        <v>44134</v>
      </c>
      <c r="E60" s="14" t="s">
        <v>30</v>
      </c>
      <c r="F60" s="14">
        <v>19677</v>
      </c>
      <c r="G60" s="14">
        <v>4235</v>
      </c>
      <c r="H60" s="14">
        <v>4</v>
      </c>
      <c r="I60" s="14">
        <v>2</v>
      </c>
      <c r="J60" s="14" t="s">
        <v>204</v>
      </c>
      <c r="K60" s="14" cm="1">
        <f t="array" ref="K60">INT(SUMPRODUCT(--ISNUMBER(SEARCH(economy,'Jon Ossoff'!C60)))&gt;0)</f>
        <v>0</v>
      </c>
      <c r="L60" s="14" cm="1">
        <f t="array" ref="L60">INT(SUMPRODUCT(--ISNUMBER(SEARCH(healthcare,'Jon Ossoff'!C60)))&gt;0)</f>
        <v>0</v>
      </c>
      <c r="M60" s="14" cm="1">
        <f t="array" ref="M60">INT(SUMPRODUCT(--ISNUMBER(SEARCH(supreme,'Jon Ossoff'!C60)))&gt;0)</f>
        <v>0</v>
      </c>
      <c r="N60" s="14" cm="1">
        <f t="array" ref="N60">INT(SUMPRODUCT(--ISNUMBER(SEARCH(covid,'Jon Ossoff'!C60)))&gt;0)</f>
        <v>0</v>
      </c>
      <c r="O60" s="14" cm="1">
        <f t="array" ref="O60">INT(SUMPRODUCT(--ISNUMBER(SEARCH(violent,'Jon Ossoff'!C60)))&gt;0)</f>
        <v>0</v>
      </c>
      <c r="P60" s="14" cm="1">
        <f t="array" ref="P60">INT(SUMPRODUCT(--ISNUMBER(SEARCH(foreign,'Jon Ossoff'!C60)))&gt;0)</f>
        <v>0</v>
      </c>
      <c r="Q60" s="14" cm="1">
        <f t="array" ref="Q60">INT(SUMPRODUCT(--ISNUMBER(SEARCH(gun,'Jon Ossoff'!C60)))&gt;0)</f>
        <v>0</v>
      </c>
      <c r="R60" s="14" cm="1">
        <f t="array" ref="R60">INT(SUMPRODUCT(--ISNUMBER(SEARCH(race,'Jon Ossoff'!C60)))&gt;0)</f>
        <v>0</v>
      </c>
      <c r="S60" s="14" cm="1">
        <f t="array" ref="S60">INT(SUMPRODUCT(--ISNUMBER(SEARCH(immigration,C60)))&gt;0)</f>
        <v>0</v>
      </c>
      <c r="T60" s="14" cm="1">
        <f t="array" ref="T60">INT(SUMPRODUCT(--ISNUMBER(SEARCH(econineq,C60)))&gt;0)</f>
        <v>0</v>
      </c>
      <c r="U60" s="14" cm="1">
        <f t="array" ref="U60">INT(SUMPRODUCT(--ISNUMBER(SEARCH(climate,'Jon Ossoff'!C60)))&gt;0)</f>
        <v>0</v>
      </c>
      <c r="V60" s="14" cm="1">
        <f t="array" ref="V60">INT(SUMPRODUCT(--ISNUMBER(SEARCH(abortion,'Jon Ossoff'!C60)))&gt;0)</f>
        <v>0</v>
      </c>
      <c r="W60" s="14" cm="1">
        <f t="array" ref="W60">INT(SUMPRODUCT(--ISNUMBER(SEARCH(trump,'Jon Ossoff'!C60)))&gt;0)</f>
        <v>0</v>
      </c>
      <c r="X60" s="14" cm="1">
        <f t="array" ref="X60">INT(SUMPRODUCT(--ISNUMBER(SEARCH(voting,'Jon Ossoff'!C60)))&gt;0)</f>
        <v>0</v>
      </c>
      <c r="Y60" s="14" cm="1">
        <f t="array" ref="Y60">INT(SUMPRODUCT(--ISNUMBER(SEARCH(democrattrigger,'Jon Ossoff'!C60)))&gt;0)</f>
        <v>1</v>
      </c>
      <c r="Z60" s="14" cm="1">
        <f t="array" ref="Z60">INT(SUMPRODUCT(--ISNUMBER(SEARCH(bipartisan,'Jon Ossoff'!C60)))&gt;0)</f>
        <v>0</v>
      </c>
      <c r="AA60" s="14">
        <f t="shared" si="0"/>
        <v>0</v>
      </c>
      <c r="AB60" s="14"/>
      <c r="AC60" s="30">
        <v>0</v>
      </c>
      <c r="AD60" s="37">
        <v>1</v>
      </c>
    </row>
    <row r="61" spans="1:30" x14ac:dyDescent="0.25">
      <c r="A61" s="36">
        <v>571</v>
      </c>
      <c r="B61" s="14" t="s">
        <v>1172</v>
      </c>
      <c r="C61" s="31" t="s">
        <v>1173</v>
      </c>
      <c r="D61" s="17">
        <v>44133</v>
      </c>
      <c r="E61" s="14" t="s">
        <v>70</v>
      </c>
      <c r="F61" s="14">
        <v>711</v>
      </c>
      <c r="G61" s="14">
        <v>153</v>
      </c>
      <c r="H61" s="14">
        <v>4</v>
      </c>
      <c r="I61" s="14">
        <v>2</v>
      </c>
      <c r="J61" s="14" t="s">
        <v>204</v>
      </c>
      <c r="K61" s="14" cm="1">
        <f t="array" ref="K61">INT(SUMPRODUCT(--ISNUMBER(SEARCH(economy,'Jon Ossoff'!C61)))&gt;0)</f>
        <v>0</v>
      </c>
      <c r="L61" s="14" cm="1">
        <f t="array" ref="L61">INT(SUMPRODUCT(--ISNUMBER(SEARCH(healthcare,'Jon Ossoff'!C61)))&gt;0)</f>
        <v>0</v>
      </c>
      <c r="M61" s="14" cm="1">
        <f t="array" ref="M61">INT(SUMPRODUCT(--ISNUMBER(SEARCH(supreme,'Jon Ossoff'!C61)))&gt;0)</f>
        <v>0</v>
      </c>
      <c r="N61" s="14" cm="1">
        <f t="array" ref="N61">INT(SUMPRODUCT(--ISNUMBER(SEARCH(covid,'Jon Ossoff'!C61)))&gt;0)</f>
        <v>0</v>
      </c>
      <c r="O61" s="14" cm="1">
        <f t="array" ref="O61">INT(SUMPRODUCT(--ISNUMBER(SEARCH(violent,'Jon Ossoff'!C61)))&gt;0)</f>
        <v>0</v>
      </c>
      <c r="P61" s="14" cm="1">
        <f t="array" ref="P61">INT(SUMPRODUCT(--ISNUMBER(SEARCH(foreign,'Jon Ossoff'!C61)))&gt;0)</f>
        <v>0</v>
      </c>
      <c r="Q61" s="14" cm="1">
        <f t="array" ref="Q61">INT(SUMPRODUCT(--ISNUMBER(SEARCH(gun,'Jon Ossoff'!C61)))&gt;0)</f>
        <v>0</v>
      </c>
      <c r="R61" s="14" cm="1">
        <f t="array" ref="R61">INT(SUMPRODUCT(--ISNUMBER(SEARCH(race,'Jon Ossoff'!C61)))&gt;0)</f>
        <v>0</v>
      </c>
      <c r="S61" s="14" cm="1">
        <f t="array" ref="S61">INT(SUMPRODUCT(--ISNUMBER(SEARCH(immigration,C61)))&gt;0)</f>
        <v>0</v>
      </c>
      <c r="T61" s="14" cm="1">
        <f t="array" ref="T61">INT(SUMPRODUCT(--ISNUMBER(SEARCH(econineq,C61)))&gt;0)</f>
        <v>0</v>
      </c>
      <c r="U61" s="14" cm="1">
        <f t="array" ref="U61">INT(SUMPRODUCT(--ISNUMBER(SEARCH(climate,'Jon Ossoff'!C61)))&gt;0)</f>
        <v>0</v>
      </c>
      <c r="V61" s="14" cm="1">
        <f t="array" ref="V61">INT(SUMPRODUCT(--ISNUMBER(SEARCH(abortion,'Jon Ossoff'!C61)))&gt;0)</f>
        <v>0</v>
      </c>
      <c r="W61" s="14" cm="1">
        <f t="array" ref="W61">INT(SUMPRODUCT(--ISNUMBER(SEARCH(trump,'Jon Ossoff'!C61)))&gt;0)</f>
        <v>0</v>
      </c>
      <c r="X61" s="14" cm="1">
        <f t="array" ref="X61">INT(SUMPRODUCT(--ISNUMBER(SEARCH(voting,'Jon Ossoff'!C61)))&gt;0)</f>
        <v>0</v>
      </c>
      <c r="Y61" s="14" cm="1">
        <f t="array" ref="Y61">INT(SUMPRODUCT(--ISNUMBER(SEARCH(democrattrigger,'Jon Ossoff'!C61)))&gt;0)</f>
        <v>1</v>
      </c>
      <c r="Z61" s="14" cm="1">
        <f t="array" ref="Z61">INT(SUMPRODUCT(--ISNUMBER(SEARCH(bipartisan,'Jon Ossoff'!C61)))&gt;0)</f>
        <v>0</v>
      </c>
      <c r="AA61" s="14">
        <f t="shared" si="0"/>
        <v>0</v>
      </c>
      <c r="AB61" s="14"/>
      <c r="AC61" s="30" t="s">
        <v>223</v>
      </c>
      <c r="AD61" s="37" t="s">
        <v>223</v>
      </c>
    </row>
    <row r="62" spans="1:30" x14ac:dyDescent="0.25">
      <c r="A62" s="36">
        <v>572</v>
      </c>
      <c r="B62" s="14" t="s">
        <v>1174</v>
      </c>
      <c r="C62" s="31" t="s">
        <v>1175</v>
      </c>
      <c r="D62" s="17">
        <v>44133</v>
      </c>
      <c r="E62" s="14" t="s">
        <v>30</v>
      </c>
      <c r="F62" s="14">
        <v>15163</v>
      </c>
      <c r="G62" s="14">
        <v>3124</v>
      </c>
      <c r="H62" s="14">
        <v>4</v>
      </c>
      <c r="I62" s="14">
        <v>2</v>
      </c>
      <c r="J62" s="14" t="s">
        <v>204</v>
      </c>
      <c r="K62" s="14" cm="1">
        <f t="array" ref="K62">INT(SUMPRODUCT(--ISNUMBER(SEARCH(economy,'Jon Ossoff'!C62)))&gt;0)</f>
        <v>0</v>
      </c>
      <c r="L62" s="14" cm="1">
        <f t="array" ref="L62">INT(SUMPRODUCT(--ISNUMBER(SEARCH(healthcare,'Jon Ossoff'!C62)))&gt;0)</f>
        <v>0</v>
      </c>
      <c r="M62" s="14" cm="1">
        <f t="array" ref="M62">INT(SUMPRODUCT(--ISNUMBER(SEARCH(supreme,'Jon Ossoff'!C62)))&gt;0)</f>
        <v>0</v>
      </c>
      <c r="N62" s="14" cm="1">
        <f t="array" ref="N62">INT(SUMPRODUCT(--ISNUMBER(SEARCH(covid,'Jon Ossoff'!C62)))&gt;0)</f>
        <v>0</v>
      </c>
      <c r="O62" s="14" cm="1">
        <f t="array" ref="O62">INT(SUMPRODUCT(--ISNUMBER(SEARCH(violent,'Jon Ossoff'!C62)))&gt;0)</f>
        <v>0</v>
      </c>
      <c r="P62" s="14" cm="1">
        <f t="array" ref="P62">INT(SUMPRODUCT(--ISNUMBER(SEARCH(foreign,'Jon Ossoff'!C62)))&gt;0)</f>
        <v>0</v>
      </c>
      <c r="Q62" s="14" cm="1">
        <f t="array" ref="Q62">INT(SUMPRODUCT(--ISNUMBER(SEARCH(gun,'Jon Ossoff'!C62)))&gt;0)</f>
        <v>0</v>
      </c>
      <c r="R62" s="14" cm="1">
        <f t="array" ref="R62">INT(SUMPRODUCT(--ISNUMBER(SEARCH(race,'Jon Ossoff'!C62)))&gt;0)</f>
        <v>0</v>
      </c>
      <c r="S62" s="14" cm="1">
        <f t="array" ref="S62">INT(SUMPRODUCT(--ISNUMBER(SEARCH(immigration,C62)))&gt;0)</f>
        <v>0</v>
      </c>
      <c r="T62" s="14" cm="1">
        <f t="array" ref="T62">INT(SUMPRODUCT(--ISNUMBER(SEARCH(econineq,C62)))&gt;0)</f>
        <v>0</v>
      </c>
      <c r="U62" s="14" cm="1">
        <f t="array" ref="U62">INT(SUMPRODUCT(--ISNUMBER(SEARCH(climate,'Jon Ossoff'!C62)))&gt;0)</f>
        <v>0</v>
      </c>
      <c r="V62" s="14" cm="1">
        <f t="array" ref="V62">INT(SUMPRODUCT(--ISNUMBER(SEARCH(abortion,'Jon Ossoff'!C62)))&gt;0)</f>
        <v>0</v>
      </c>
      <c r="W62" s="14" cm="1">
        <f t="array" ref="W62">INT(SUMPRODUCT(--ISNUMBER(SEARCH(trump,'Jon Ossoff'!C62)))&gt;0)</f>
        <v>0</v>
      </c>
      <c r="X62" s="14" cm="1">
        <f t="array" ref="X62">INT(SUMPRODUCT(--ISNUMBER(SEARCH(voting,'Jon Ossoff'!C62)))&gt;0)</f>
        <v>1</v>
      </c>
      <c r="Y62" s="14" cm="1">
        <f t="array" ref="Y62">INT(SUMPRODUCT(--ISNUMBER(SEARCH(democrattrigger,'Jon Ossoff'!C62)))&gt;0)</f>
        <v>0</v>
      </c>
      <c r="Z62" s="14" cm="1">
        <f t="array" ref="Z62">INT(SUMPRODUCT(--ISNUMBER(SEARCH(bipartisan,'Jon Ossoff'!C62)))&gt;0)</f>
        <v>0</v>
      </c>
      <c r="AA62" s="14">
        <f t="shared" si="0"/>
        <v>0</v>
      </c>
      <c r="AB62" s="14"/>
      <c r="AC62" s="30">
        <v>0</v>
      </c>
      <c r="AD62" s="37">
        <v>1</v>
      </c>
    </row>
    <row r="63" spans="1:30" x14ac:dyDescent="0.25">
      <c r="A63" s="36">
        <v>573</v>
      </c>
      <c r="B63" s="14" t="s">
        <v>1176</v>
      </c>
      <c r="C63" s="31" t="s">
        <v>1177</v>
      </c>
      <c r="D63" s="17">
        <v>44133</v>
      </c>
      <c r="E63" s="14" t="s">
        <v>30</v>
      </c>
      <c r="F63" s="14">
        <v>13620</v>
      </c>
      <c r="G63" s="14">
        <v>3183</v>
      </c>
      <c r="H63" s="14">
        <v>4</v>
      </c>
      <c r="I63" s="14">
        <v>2</v>
      </c>
      <c r="J63" s="14" t="s">
        <v>204</v>
      </c>
      <c r="K63" s="14" cm="1">
        <f t="array" ref="K63">INT(SUMPRODUCT(--ISNUMBER(SEARCH(economy,'Jon Ossoff'!C63)))&gt;0)</f>
        <v>0</v>
      </c>
      <c r="L63" s="14" cm="1">
        <f t="array" ref="L63">INT(SUMPRODUCT(--ISNUMBER(SEARCH(healthcare,'Jon Ossoff'!C63)))&gt;0)</f>
        <v>0</v>
      </c>
      <c r="M63" s="14" cm="1">
        <f t="array" ref="M63">INT(SUMPRODUCT(--ISNUMBER(SEARCH(supreme,'Jon Ossoff'!C63)))&gt;0)</f>
        <v>0</v>
      </c>
      <c r="N63" s="14" cm="1">
        <f t="array" ref="N63">INT(SUMPRODUCT(--ISNUMBER(SEARCH(covid,'Jon Ossoff'!C63)))&gt;0)</f>
        <v>0</v>
      </c>
      <c r="O63" s="14" cm="1">
        <f t="array" ref="O63">INT(SUMPRODUCT(--ISNUMBER(SEARCH(violent,'Jon Ossoff'!C63)))&gt;0)</f>
        <v>0</v>
      </c>
      <c r="P63" s="14" cm="1">
        <f t="array" ref="P63">INT(SUMPRODUCT(--ISNUMBER(SEARCH(foreign,'Jon Ossoff'!C63)))&gt;0)</f>
        <v>0</v>
      </c>
      <c r="Q63" s="14" cm="1">
        <f t="array" ref="Q63">INT(SUMPRODUCT(--ISNUMBER(SEARCH(gun,'Jon Ossoff'!C63)))&gt;0)</f>
        <v>0</v>
      </c>
      <c r="R63" s="14" cm="1">
        <f t="array" ref="R63">INT(SUMPRODUCT(--ISNUMBER(SEARCH(race,'Jon Ossoff'!C63)))&gt;0)</f>
        <v>0</v>
      </c>
      <c r="S63" s="14" cm="1">
        <f t="array" ref="S63">INT(SUMPRODUCT(--ISNUMBER(SEARCH(immigration,C63)))&gt;0)</f>
        <v>0</v>
      </c>
      <c r="T63" s="14" cm="1">
        <f t="array" ref="T63">INT(SUMPRODUCT(--ISNUMBER(SEARCH(econineq,C63)))&gt;0)</f>
        <v>0</v>
      </c>
      <c r="U63" s="14" cm="1">
        <f t="array" ref="U63">INT(SUMPRODUCT(--ISNUMBER(SEARCH(climate,'Jon Ossoff'!C63)))&gt;0)</f>
        <v>0</v>
      </c>
      <c r="V63" s="14" cm="1">
        <f t="array" ref="V63">INT(SUMPRODUCT(--ISNUMBER(SEARCH(abortion,'Jon Ossoff'!C63)))&gt;0)</f>
        <v>0</v>
      </c>
      <c r="W63" s="14" cm="1">
        <f t="array" ref="W63">INT(SUMPRODUCT(--ISNUMBER(SEARCH(trump,'Jon Ossoff'!C63)))&gt;0)</f>
        <v>0</v>
      </c>
      <c r="X63" s="14" cm="1">
        <f t="array" ref="X63">INT(SUMPRODUCT(--ISNUMBER(SEARCH(voting,'Jon Ossoff'!C63)))&gt;0)</f>
        <v>0</v>
      </c>
      <c r="Y63" s="14" cm="1">
        <f t="array" ref="Y63">INT(SUMPRODUCT(--ISNUMBER(SEARCH(democrattrigger,'Jon Ossoff'!C63)))&gt;0)</f>
        <v>1</v>
      </c>
      <c r="Z63" s="14" cm="1">
        <f t="array" ref="Z63">INT(SUMPRODUCT(--ISNUMBER(SEARCH(bipartisan,'Jon Ossoff'!C63)))&gt;0)</f>
        <v>0</v>
      </c>
      <c r="AA63" s="14">
        <f t="shared" si="0"/>
        <v>0</v>
      </c>
      <c r="AB63" s="14"/>
      <c r="AC63" s="30" t="s">
        <v>223</v>
      </c>
      <c r="AD63" s="37" t="s">
        <v>223</v>
      </c>
    </row>
    <row r="64" spans="1:30" x14ac:dyDescent="0.25">
      <c r="A64" s="36">
        <v>574</v>
      </c>
      <c r="B64" s="14" t="s">
        <v>1178</v>
      </c>
      <c r="C64" s="31" t="s">
        <v>1179</v>
      </c>
      <c r="D64" s="17">
        <v>44133</v>
      </c>
      <c r="E64" s="14" t="s">
        <v>70</v>
      </c>
      <c r="F64" s="14">
        <v>17862</v>
      </c>
      <c r="G64" s="14">
        <v>4007</v>
      </c>
      <c r="H64" s="14">
        <v>4</v>
      </c>
      <c r="I64" s="14">
        <v>2</v>
      </c>
      <c r="J64" s="14" t="s">
        <v>204</v>
      </c>
      <c r="K64" s="14" cm="1">
        <f t="array" ref="K64">INT(SUMPRODUCT(--ISNUMBER(SEARCH(economy,'Jon Ossoff'!C64)))&gt;0)</f>
        <v>0</v>
      </c>
      <c r="L64" s="14" cm="1">
        <f t="array" ref="L64">INT(SUMPRODUCT(--ISNUMBER(SEARCH(healthcare,'Jon Ossoff'!C64)))&gt;0)</f>
        <v>0</v>
      </c>
      <c r="M64" s="14" cm="1">
        <f t="array" ref="M64">INT(SUMPRODUCT(--ISNUMBER(SEARCH(supreme,'Jon Ossoff'!C64)))&gt;0)</f>
        <v>0</v>
      </c>
      <c r="N64" s="14" cm="1">
        <f t="array" ref="N64">INT(SUMPRODUCT(--ISNUMBER(SEARCH(covid,'Jon Ossoff'!C64)))&gt;0)</f>
        <v>0</v>
      </c>
      <c r="O64" s="14" cm="1">
        <f t="array" ref="O64">INT(SUMPRODUCT(--ISNUMBER(SEARCH(violent,'Jon Ossoff'!C64)))&gt;0)</f>
        <v>0</v>
      </c>
      <c r="P64" s="14" cm="1">
        <f t="array" ref="P64">INT(SUMPRODUCT(--ISNUMBER(SEARCH(foreign,'Jon Ossoff'!C64)))&gt;0)</f>
        <v>0</v>
      </c>
      <c r="Q64" s="14" cm="1">
        <f t="array" ref="Q64">INT(SUMPRODUCT(--ISNUMBER(SEARCH(gun,'Jon Ossoff'!C64)))&gt;0)</f>
        <v>0</v>
      </c>
      <c r="R64" s="14" cm="1">
        <f t="array" ref="R64">INT(SUMPRODUCT(--ISNUMBER(SEARCH(race,'Jon Ossoff'!C64)))&gt;0)</f>
        <v>0</v>
      </c>
      <c r="S64" s="14" cm="1">
        <f t="array" ref="S64">INT(SUMPRODUCT(--ISNUMBER(SEARCH(immigration,C64)))&gt;0)</f>
        <v>0</v>
      </c>
      <c r="T64" s="14" cm="1">
        <f t="array" ref="T64">INT(SUMPRODUCT(--ISNUMBER(SEARCH(econineq,C64)))&gt;0)</f>
        <v>0</v>
      </c>
      <c r="U64" s="14" cm="1">
        <f t="array" ref="U64">INT(SUMPRODUCT(--ISNUMBER(SEARCH(climate,'Jon Ossoff'!C64)))&gt;0)</f>
        <v>0</v>
      </c>
      <c r="V64" s="14" cm="1">
        <f t="array" ref="V64">INT(SUMPRODUCT(--ISNUMBER(SEARCH(abortion,'Jon Ossoff'!C64)))&gt;0)</f>
        <v>0</v>
      </c>
      <c r="W64" s="14" cm="1">
        <f t="array" ref="W64">INT(SUMPRODUCT(--ISNUMBER(SEARCH(trump,'Jon Ossoff'!C64)))&gt;0)</f>
        <v>0</v>
      </c>
      <c r="X64" s="14" cm="1">
        <f t="array" ref="X64">INT(SUMPRODUCT(--ISNUMBER(SEARCH(voting,'Jon Ossoff'!C64)))&gt;0)</f>
        <v>0</v>
      </c>
      <c r="Y64" s="14" cm="1">
        <f t="array" ref="Y64">INT(SUMPRODUCT(--ISNUMBER(SEARCH(democrattrigger,'Jon Ossoff'!C64)))&gt;0)</f>
        <v>0</v>
      </c>
      <c r="Z64" s="14" cm="1">
        <f t="array" ref="Z64">INT(SUMPRODUCT(--ISNUMBER(SEARCH(bipartisan,'Jon Ossoff'!C64)))&gt;0)</f>
        <v>0</v>
      </c>
      <c r="AA64" s="14">
        <f t="shared" si="0"/>
        <v>1</v>
      </c>
      <c r="AB64" s="14"/>
      <c r="AC64" s="30" t="s">
        <v>223</v>
      </c>
      <c r="AD64" s="37" t="s">
        <v>223</v>
      </c>
    </row>
    <row r="65" spans="1:30" x14ac:dyDescent="0.25">
      <c r="A65" s="36">
        <v>575</v>
      </c>
      <c r="B65" s="14" t="s">
        <v>1180</v>
      </c>
      <c r="C65" s="31" t="s">
        <v>1181</v>
      </c>
      <c r="D65" s="17">
        <v>44133</v>
      </c>
      <c r="E65" s="14" t="s">
        <v>30</v>
      </c>
      <c r="F65" s="14">
        <v>164471</v>
      </c>
      <c r="G65" s="14">
        <v>31810</v>
      </c>
      <c r="H65" s="14">
        <v>4</v>
      </c>
      <c r="I65" s="14">
        <v>2</v>
      </c>
      <c r="J65" s="14" t="s">
        <v>204</v>
      </c>
      <c r="K65" s="14" cm="1">
        <f t="array" ref="K65">INT(SUMPRODUCT(--ISNUMBER(SEARCH(economy,'Jon Ossoff'!C65)))&gt;0)</f>
        <v>1</v>
      </c>
      <c r="L65" s="14" cm="1">
        <f t="array" ref="L65">INT(SUMPRODUCT(--ISNUMBER(SEARCH(healthcare,'Jon Ossoff'!C65)))&gt;0)</f>
        <v>0</v>
      </c>
      <c r="M65" s="14" cm="1">
        <f t="array" ref="M65">INT(SUMPRODUCT(--ISNUMBER(SEARCH(supreme,'Jon Ossoff'!C65)))&gt;0)</f>
        <v>0</v>
      </c>
      <c r="N65" s="14" cm="1">
        <f t="array" ref="N65">INT(SUMPRODUCT(--ISNUMBER(SEARCH(covid,'Jon Ossoff'!C65)))&gt;0)</f>
        <v>0</v>
      </c>
      <c r="O65" s="14" cm="1">
        <f t="array" ref="O65">INT(SUMPRODUCT(--ISNUMBER(SEARCH(violent,'Jon Ossoff'!C65)))&gt;0)</f>
        <v>0</v>
      </c>
      <c r="P65" s="14" cm="1">
        <f t="array" ref="P65">INT(SUMPRODUCT(--ISNUMBER(SEARCH(foreign,'Jon Ossoff'!C65)))&gt;0)</f>
        <v>1</v>
      </c>
      <c r="Q65" s="14" cm="1">
        <f t="array" ref="Q65">INT(SUMPRODUCT(--ISNUMBER(SEARCH(gun,'Jon Ossoff'!C65)))&gt;0)</f>
        <v>0</v>
      </c>
      <c r="R65" s="14" cm="1">
        <f t="array" ref="R65">INT(SUMPRODUCT(--ISNUMBER(SEARCH(race,'Jon Ossoff'!C65)))&gt;0)</f>
        <v>0</v>
      </c>
      <c r="S65" s="14" cm="1">
        <f t="array" ref="S65">INT(SUMPRODUCT(--ISNUMBER(SEARCH(immigration,C65)))&gt;0)</f>
        <v>0</v>
      </c>
      <c r="T65" s="14" cm="1">
        <f t="array" ref="T65">INT(SUMPRODUCT(--ISNUMBER(SEARCH(econineq,C65)))&gt;0)</f>
        <v>0</v>
      </c>
      <c r="U65" s="14" cm="1">
        <f t="array" ref="U65">INT(SUMPRODUCT(--ISNUMBER(SEARCH(climate,'Jon Ossoff'!C65)))&gt;0)</f>
        <v>0</v>
      </c>
      <c r="V65" s="14" cm="1">
        <f t="array" ref="V65">INT(SUMPRODUCT(--ISNUMBER(SEARCH(abortion,'Jon Ossoff'!C65)))&gt;0)</f>
        <v>0</v>
      </c>
      <c r="W65" s="14" cm="1">
        <f t="array" ref="W65">INT(SUMPRODUCT(--ISNUMBER(SEARCH(trump,'Jon Ossoff'!C65)))&gt;0)</f>
        <v>0</v>
      </c>
      <c r="X65" s="14" cm="1">
        <f t="array" ref="X65">INT(SUMPRODUCT(--ISNUMBER(SEARCH(voting,'Jon Ossoff'!C65)))&gt;0)</f>
        <v>0</v>
      </c>
      <c r="Y65" s="14" cm="1">
        <f t="array" ref="Y65">INT(SUMPRODUCT(--ISNUMBER(SEARCH(democrattrigger,'Jon Ossoff'!C65)))&gt;0)</f>
        <v>1</v>
      </c>
      <c r="Z65" s="14" cm="1">
        <f t="array" ref="Z65">INT(SUMPRODUCT(--ISNUMBER(SEARCH(bipartisan,'Jon Ossoff'!C65)))&gt;0)</f>
        <v>0</v>
      </c>
      <c r="AA65" s="14">
        <f t="shared" si="0"/>
        <v>0</v>
      </c>
      <c r="AB65" s="14"/>
      <c r="AC65" s="30" t="s">
        <v>223</v>
      </c>
      <c r="AD65" s="37" t="s">
        <v>223</v>
      </c>
    </row>
    <row r="66" spans="1:30" x14ac:dyDescent="0.25">
      <c r="A66" s="36">
        <v>576</v>
      </c>
      <c r="B66" s="14" t="s">
        <v>1182</v>
      </c>
      <c r="C66" s="31" t="s">
        <v>1183</v>
      </c>
      <c r="D66" s="17">
        <v>44133</v>
      </c>
      <c r="E66" s="14" t="s">
        <v>70</v>
      </c>
      <c r="F66" s="14">
        <v>800</v>
      </c>
      <c r="G66" s="14">
        <v>262</v>
      </c>
      <c r="H66" s="14">
        <v>4</v>
      </c>
      <c r="I66" s="14">
        <v>2</v>
      </c>
      <c r="J66" s="14" t="s">
        <v>204</v>
      </c>
      <c r="K66" s="14" cm="1">
        <f t="array" ref="K66">INT(SUMPRODUCT(--ISNUMBER(SEARCH(economy,'Jon Ossoff'!C66)))&gt;0)</f>
        <v>0</v>
      </c>
      <c r="L66" s="14" cm="1">
        <f t="array" ref="L66">INT(SUMPRODUCT(--ISNUMBER(SEARCH(healthcare,'Jon Ossoff'!C66)))&gt;0)</f>
        <v>0</v>
      </c>
      <c r="M66" s="14" cm="1">
        <f t="array" ref="M66">INT(SUMPRODUCT(--ISNUMBER(SEARCH(supreme,'Jon Ossoff'!C66)))&gt;0)</f>
        <v>0</v>
      </c>
      <c r="N66" s="14" cm="1">
        <f t="array" ref="N66">INT(SUMPRODUCT(--ISNUMBER(SEARCH(covid,'Jon Ossoff'!C66)))&gt;0)</f>
        <v>0</v>
      </c>
      <c r="O66" s="14" cm="1">
        <f t="array" ref="O66">INT(SUMPRODUCT(--ISNUMBER(SEARCH(violent,'Jon Ossoff'!C66)))&gt;0)</f>
        <v>0</v>
      </c>
      <c r="P66" s="14" cm="1">
        <f t="array" ref="P66">INT(SUMPRODUCT(--ISNUMBER(SEARCH(foreign,'Jon Ossoff'!C66)))&gt;0)</f>
        <v>0</v>
      </c>
      <c r="Q66" s="14" cm="1">
        <f t="array" ref="Q66">INT(SUMPRODUCT(--ISNUMBER(SEARCH(gun,'Jon Ossoff'!C66)))&gt;0)</f>
        <v>0</v>
      </c>
      <c r="R66" s="14" cm="1">
        <f t="array" ref="R66">INT(SUMPRODUCT(--ISNUMBER(SEARCH(race,'Jon Ossoff'!C66)))&gt;0)</f>
        <v>0</v>
      </c>
      <c r="S66" s="14" cm="1">
        <f t="array" ref="S66">INT(SUMPRODUCT(--ISNUMBER(SEARCH(immigration,C66)))&gt;0)</f>
        <v>0</v>
      </c>
      <c r="T66" s="14" cm="1">
        <f t="array" ref="T66">INT(SUMPRODUCT(--ISNUMBER(SEARCH(econineq,C66)))&gt;0)</f>
        <v>0</v>
      </c>
      <c r="U66" s="14" cm="1">
        <f t="array" ref="U66">INT(SUMPRODUCT(--ISNUMBER(SEARCH(climate,'Jon Ossoff'!C66)))&gt;0)</f>
        <v>0</v>
      </c>
      <c r="V66" s="14" cm="1">
        <f t="array" ref="V66">INT(SUMPRODUCT(--ISNUMBER(SEARCH(abortion,'Jon Ossoff'!C66)))&gt;0)</f>
        <v>0</v>
      </c>
      <c r="W66" s="14" cm="1">
        <f t="array" ref="W66">INT(SUMPRODUCT(--ISNUMBER(SEARCH(trump,'Jon Ossoff'!C66)))&gt;0)</f>
        <v>0</v>
      </c>
      <c r="X66" s="14" cm="1">
        <f t="array" ref="X66">INT(SUMPRODUCT(--ISNUMBER(SEARCH(voting,'Jon Ossoff'!C66)))&gt;0)</f>
        <v>1</v>
      </c>
      <c r="Y66" s="14" cm="1">
        <f t="array" ref="Y66">INT(SUMPRODUCT(--ISNUMBER(SEARCH(democrattrigger,'Jon Ossoff'!C66)))&gt;0)</f>
        <v>0</v>
      </c>
      <c r="Z66" s="14" cm="1">
        <f t="array" ref="Z66">INT(SUMPRODUCT(--ISNUMBER(SEARCH(bipartisan,'Jon Ossoff'!C66)))&gt;0)</f>
        <v>0</v>
      </c>
      <c r="AA66" s="14">
        <f t="shared" si="0"/>
        <v>0</v>
      </c>
      <c r="AB66" s="14"/>
      <c r="AC66" s="30" t="s">
        <v>223</v>
      </c>
      <c r="AD66" s="37" t="s">
        <v>223</v>
      </c>
    </row>
    <row r="67" spans="1:30" x14ac:dyDescent="0.25">
      <c r="A67" s="36">
        <v>577</v>
      </c>
      <c r="B67" s="14" t="s">
        <v>1184</v>
      </c>
      <c r="C67" s="31" t="s">
        <v>1185</v>
      </c>
      <c r="D67" s="17">
        <v>44133</v>
      </c>
      <c r="E67" s="14" t="s">
        <v>30</v>
      </c>
      <c r="F67" s="14">
        <v>4756</v>
      </c>
      <c r="G67" s="14">
        <v>1020</v>
      </c>
      <c r="H67" s="14">
        <v>4</v>
      </c>
      <c r="I67" s="14">
        <v>2</v>
      </c>
      <c r="J67" s="14" t="s">
        <v>204</v>
      </c>
      <c r="K67" s="14" cm="1">
        <f t="array" ref="K67">INT(SUMPRODUCT(--ISNUMBER(SEARCH(economy,'Jon Ossoff'!C67)))&gt;0)</f>
        <v>0</v>
      </c>
      <c r="L67" s="14" cm="1">
        <f t="array" ref="L67">INT(SUMPRODUCT(--ISNUMBER(SEARCH(healthcare,'Jon Ossoff'!C67)))&gt;0)</f>
        <v>0</v>
      </c>
      <c r="M67" s="14" cm="1">
        <f t="array" ref="M67">INT(SUMPRODUCT(--ISNUMBER(SEARCH(supreme,'Jon Ossoff'!C67)))&gt;0)</f>
        <v>0</v>
      </c>
      <c r="N67" s="14" cm="1">
        <f t="array" ref="N67">INT(SUMPRODUCT(--ISNUMBER(SEARCH(covid,'Jon Ossoff'!C67)))&gt;0)</f>
        <v>0</v>
      </c>
      <c r="O67" s="14" cm="1">
        <f t="array" ref="O67">INT(SUMPRODUCT(--ISNUMBER(SEARCH(violent,'Jon Ossoff'!C67)))&gt;0)</f>
        <v>0</v>
      </c>
      <c r="P67" s="14" cm="1">
        <f t="array" ref="P67">INT(SUMPRODUCT(--ISNUMBER(SEARCH(foreign,'Jon Ossoff'!C67)))&gt;0)</f>
        <v>0</v>
      </c>
      <c r="Q67" s="14" cm="1">
        <f t="array" ref="Q67">INT(SUMPRODUCT(--ISNUMBER(SEARCH(gun,'Jon Ossoff'!C67)))&gt;0)</f>
        <v>0</v>
      </c>
      <c r="R67" s="14" cm="1">
        <f t="array" ref="R67">INT(SUMPRODUCT(--ISNUMBER(SEARCH(race,'Jon Ossoff'!C67)))&gt;0)</f>
        <v>0</v>
      </c>
      <c r="S67" s="14" cm="1">
        <f t="array" ref="S67">INT(SUMPRODUCT(--ISNUMBER(SEARCH(immigration,C67)))&gt;0)</f>
        <v>0</v>
      </c>
      <c r="T67" s="14" cm="1">
        <f t="array" ref="T67">INT(SUMPRODUCT(--ISNUMBER(SEARCH(econineq,C67)))&gt;0)</f>
        <v>0</v>
      </c>
      <c r="U67" s="14" cm="1">
        <f t="array" ref="U67">INT(SUMPRODUCT(--ISNUMBER(SEARCH(climate,'Jon Ossoff'!C67)))&gt;0)</f>
        <v>0</v>
      </c>
      <c r="V67" s="14" cm="1">
        <f t="array" ref="V67">INT(SUMPRODUCT(--ISNUMBER(SEARCH(abortion,'Jon Ossoff'!C67)))&gt;0)</f>
        <v>0</v>
      </c>
      <c r="W67" s="14" cm="1">
        <f t="array" ref="W67">INT(SUMPRODUCT(--ISNUMBER(SEARCH(trump,'Jon Ossoff'!C67)))&gt;0)</f>
        <v>0</v>
      </c>
      <c r="X67" s="14" cm="1">
        <f t="array" ref="X67">INT(SUMPRODUCT(--ISNUMBER(SEARCH(voting,'Jon Ossoff'!C67)))&gt;0)</f>
        <v>1</v>
      </c>
      <c r="Y67" s="14" cm="1">
        <f t="array" ref="Y67">INT(SUMPRODUCT(--ISNUMBER(SEARCH(democrattrigger,'Jon Ossoff'!C67)))&gt;0)</f>
        <v>0</v>
      </c>
      <c r="Z67" s="14" cm="1">
        <f t="array" ref="Z67">INT(SUMPRODUCT(--ISNUMBER(SEARCH(bipartisan,'Jon Ossoff'!C67)))&gt;0)</f>
        <v>0</v>
      </c>
      <c r="AA67" s="14">
        <f t="shared" ref="AA67:AA130" si="1">INT(IF(COUNTIF(K67:Z67,1)=0,"1","0"))</f>
        <v>0</v>
      </c>
      <c r="AB67" s="14"/>
      <c r="AC67" s="30">
        <v>0</v>
      </c>
      <c r="AD67" s="37">
        <v>1</v>
      </c>
    </row>
    <row r="68" spans="1:30" x14ac:dyDescent="0.25">
      <c r="A68" s="36">
        <v>578</v>
      </c>
      <c r="B68" s="14" t="s">
        <v>1186</v>
      </c>
      <c r="C68" s="31" t="s">
        <v>1187</v>
      </c>
      <c r="D68" s="17">
        <v>44133</v>
      </c>
      <c r="E68" s="14" t="s">
        <v>30</v>
      </c>
      <c r="F68" s="14">
        <v>10452</v>
      </c>
      <c r="G68" s="14">
        <v>1935</v>
      </c>
      <c r="H68" s="14">
        <v>4</v>
      </c>
      <c r="I68" s="14">
        <v>2</v>
      </c>
      <c r="J68" s="14" t="s">
        <v>204</v>
      </c>
      <c r="K68" s="14" cm="1">
        <f t="array" ref="K68">INT(SUMPRODUCT(--ISNUMBER(SEARCH(economy,'Jon Ossoff'!C68)))&gt;0)</f>
        <v>0</v>
      </c>
      <c r="L68" s="14" cm="1">
        <f t="array" ref="L68">INT(SUMPRODUCT(--ISNUMBER(SEARCH(healthcare,'Jon Ossoff'!C68)))&gt;0)</f>
        <v>0</v>
      </c>
      <c r="M68" s="14" cm="1">
        <f t="array" ref="M68">INT(SUMPRODUCT(--ISNUMBER(SEARCH(supreme,'Jon Ossoff'!C68)))&gt;0)</f>
        <v>0</v>
      </c>
      <c r="N68" s="14" cm="1">
        <f t="array" ref="N68">INT(SUMPRODUCT(--ISNUMBER(SEARCH(covid,'Jon Ossoff'!C68)))&gt;0)</f>
        <v>0</v>
      </c>
      <c r="O68" s="14" cm="1">
        <f t="array" ref="O68">INT(SUMPRODUCT(--ISNUMBER(SEARCH(violent,'Jon Ossoff'!C68)))&gt;0)</f>
        <v>0</v>
      </c>
      <c r="P68" s="14" cm="1">
        <f t="array" ref="P68">INT(SUMPRODUCT(--ISNUMBER(SEARCH(foreign,'Jon Ossoff'!C68)))&gt;0)</f>
        <v>0</v>
      </c>
      <c r="Q68" s="14" cm="1">
        <f t="array" ref="Q68">INT(SUMPRODUCT(--ISNUMBER(SEARCH(gun,'Jon Ossoff'!C68)))&gt;0)</f>
        <v>0</v>
      </c>
      <c r="R68" s="14" cm="1">
        <f t="array" ref="R68">INT(SUMPRODUCT(--ISNUMBER(SEARCH(race,'Jon Ossoff'!C68)))&gt;0)</f>
        <v>0</v>
      </c>
      <c r="S68" s="14" cm="1">
        <f t="array" ref="S68">INT(SUMPRODUCT(--ISNUMBER(SEARCH(immigration,C68)))&gt;0)</f>
        <v>0</v>
      </c>
      <c r="T68" s="14" cm="1">
        <f t="array" ref="T68">INT(SUMPRODUCT(--ISNUMBER(SEARCH(econineq,C68)))&gt;0)</f>
        <v>0</v>
      </c>
      <c r="U68" s="14" cm="1">
        <f t="array" ref="U68">INT(SUMPRODUCT(--ISNUMBER(SEARCH(climate,'Jon Ossoff'!C68)))&gt;0)</f>
        <v>0</v>
      </c>
      <c r="V68" s="14" cm="1">
        <f t="array" ref="V68">INT(SUMPRODUCT(--ISNUMBER(SEARCH(abortion,'Jon Ossoff'!C68)))&gt;0)</f>
        <v>0</v>
      </c>
      <c r="W68" s="14" cm="1">
        <f t="array" ref="W68">INT(SUMPRODUCT(--ISNUMBER(SEARCH(trump,'Jon Ossoff'!C68)))&gt;0)</f>
        <v>0</v>
      </c>
      <c r="X68" s="14" cm="1">
        <f t="array" ref="X68">INT(SUMPRODUCT(--ISNUMBER(SEARCH(voting,'Jon Ossoff'!C68)))&gt;0)</f>
        <v>0</v>
      </c>
      <c r="Y68" s="14" cm="1">
        <f t="array" ref="Y68">INT(SUMPRODUCT(--ISNUMBER(SEARCH(democrattrigger,'Jon Ossoff'!C68)))&gt;0)</f>
        <v>1</v>
      </c>
      <c r="Z68" s="14" cm="1">
        <f t="array" ref="Z68">INT(SUMPRODUCT(--ISNUMBER(SEARCH(bipartisan,'Jon Ossoff'!C68)))&gt;0)</f>
        <v>0</v>
      </c>
      <c r="AA68" s="14">
        <f t="shared" si="1"/>
        <v>0</v>
      </c>
      <c r="AB68" s="14"/>
      <c r="AC68" s="30" t="s">
        <v>223</v>
      </c>
      <c r="AD68" s="37" t="s">
        <v>223</v>
      </c>
    </row>
    <row r="69" spans="1:30" x14ac:dyDescent="0.25">
      <c r="A69" s="36">
        <v>579</v>
      </c>
      <c r="B69" s="14" t="s">
        <v>1188</v>
      </c>
      <c r="C69" s="31" t="s">
        <v>1189</v>
      </c>
      <c r="D69" s="17">
        <v>44133</v>
      </c>
      <c r="E69" s="14" t="s">
        <v>30</v>
      </c>
      <c r="F69" s="14">
        <v>1735</v>
      </c>
      <c r="G69" s="14">
        <v>440</v>
      </c>
      <c r="H69" s="14">
        <v>4</v>
      </c>
      <c r="I69" s="14">
        <v>2</v>
      </c>
      <c r="J69" s="14" t="s">
        <v>204</v>
      </c>
      <c r="K69" s="14" cm="1">
        <f t="array" ref="K69">INT(SUMPRODUCT(--ISNUMBER(SEARCH(economy,'Jon Ossoff'!C69)))&gt;0)</f>
        <v>1</v>
      </c>
      <c r="L69" s="14" cm="1">
        <f t="array" ref="L69">INT(SUMPRODUCT(--ISNUMBER(SEARCH(healthcare,'Jon Ossoff'!C69)))&gt;0)</f>
        <v>0</v>
      </c>
      <c r="M69" s="14" cm="1">
        <f t="array" ref="M69">INT(SUMPRODUCT(--ISNUMBER(SEARCH(supreme,'Jon Ossoff'!C69)))&gt;0)</f>
        <v>0</v>
      </c>
      <c r="N69" s="14" cm="1">
        <f t="array" ref="N69">INT(SUMPRODUCT(--ISNUMBER(SEARCH(covid,'Jon Ossoff'!C69)))&gt;0)</f>
        <v>0</v>
      </c>
      <c r="O69" s="14" cm="1">
        <f t="array" ref="O69">INT(SUMPRODUCT(--ISNUMBER(SEARCH(violent,'Jon Ossoff'!C69)))&gt;0)</f>
        <v>0</v>
      </c>
      <c r="P69" s="14" cm="1">
        <f t="array" ref="P69">INT(SUMPRODUCT(--ISNUMBER(SEARCH(foreign,'Jon Ossoff'!C69)))&gt;0)</f>
        <v>1</v>
      </c>
      <c r="Q69" s="14" cm="1">
        <f t="array" ref="Q69">INT(SUMPRODUCT(--ISNUMBER(SEARCH(gun,'Jon Ossoff'!C69)))&gt;0)</f>
        <v>0</v>
      </c>
      <c r="R69" s="14" cm="1">
        <f t="array" ref="R69">INT(SUMPRODUCT(--ISNUMBER(SEARCH(race,'Jon Ossoff'!C69)))&gt;0)</f>
        <v>0</v>
      </c>
      <c r="S69" s="14" cm="1">
        <f t="array" ref="S69">INT(SUMPRODUCT(--ISNUMBER(SEARCH(immigration,C69)))&gt;0)</f>
        <v>0</v>
      </c>
      <c r="T69" s="14" cm="1">
        <f t="array" ref="T69">INT(SUMPRODUCT(--ISNUMBER(SEARCH(econineq,C69)))&gt;0)</f>
        <v>0</v>
      </c>
      <c r="U69" s="14" cm="1">
        <f t="array" ref="U69">INT(SUMPRODUCT(--ISNUMBER(SEARCH(climate,'Jon Ossoff'!C69)))&gt;0)</f>
        <v>0</v>
      </c>
      <c r="V69" s="14" cm="1">
        <f t="array" ref="V69">INT(SUMPRODUCT(--ISNUMBER(SEARCH(abortion,'Jon Ossoff'!C69)))&gt;0)</f>
        <v>0</v>
      </c>
      <c r="W69" s="14" cm="1">
        <f t="array" ref="W69">INT(SUMPRODUCT(--ISNUMBER(SEARCH(trump,'Jon Ossoff'!C69)))&gt;0)</f>
        <v>0</v>
      </c>
      <c r="X69" s="14" cm="1">
        <f t="array" ref="X69">INT(SUMPRODUCT(--ISNUMBER(SEARCH(voting,'Jon Ossoff'!C69)))&gt;0)</f>
        <v>1</v>
      </c>
      <c r="Y69" s="14" cm="1">
        <f t="array" ref="Y69">INT(SUMPRODUCT(--ISNUMBER(SEARCH(democrattrigger,'Jon Ossoff'!C69)))&gt;0)</f>
        <v>1</v>
      </c>
      <c r="Z69" s="14" cm="1">
        <f t="array" ref="Z69">INT(SUMPRODUCT(--ISNUMBER(SEARCH(bipartisan,'Jon Ossoff'!C69)))&gt;0)</f>
        <v>0</v>
      </c>
      <c r="AA69" s="14">
        <f t="shared" si="1"/>
        <v>0</v>
      </c>
      <c r="AB69" s="14"/>
      <c r="AC69" s="30" t="s">
        <v>223</v>
      </c>
      <c r="AD69" s="37" t="s">
        <v>223</v>
      </c>
    </row>
    <row r="70" spans="1:30" x14ac:dyDescent="0.25">
      <c r="A70" s="36">
        <v>580</v>
      </c>
      <c r="B70" s="14" t="s">
        <v>1190</v>
      </c>
      <c r="C70" s="31" t="s">
        <v>1191</v>
      </c>
      <c r="D70" s="17">
        <v>44133</v>
      </c>
      <c r="E70" s="14" t="s">
        <v>30</v>
      </c>
      <c r="F70" s="14">
        <v>17841</v>
      </c>
      <c r="G70" s="14">
        <v>4037</v>
      </c>
      <c r="H70" s="14">
        <v>4</v>
      </c>
      <c r="I70" s="14">
        <v>2</v>
      </c>
      <c r="J70" s="14" t="s">
        <v>204</v>
      </c>
      <c r="K70" s="14" cm="1">
        <f t="array" ref="K70">INT(SUMPRODUCT(--ISNUMBER(SEARCH(economy,'Jon Ossoff'!C70)))&gt;0)</f>
        <v>1</v>
      </c>
      <c r="L70" s="14" cm="1">
        <f t="array" ref="L70">INT(SUMPRODUCT(--ISNUMBER(SEARCH(healthcare,'Jon Ossoff'!C70)))&gt;0)</f>
        <v>0</v>
      </c>
      <c r="M70" s="14" cm="1">
        <f t="array" ref="M70">INT(SUMPRODUCT(--ISNUMBER(SEARCH(supreme,'Jon Ossoff'!C70)))&gt;0)</f>
        <v>0</v>
      </c>
      <c r="N70" s="14" cm="1">
        <f t="array" ref="N70">INT(SUMPRODUCT(--ISNUMBER(SEARCH(covid,'Jon Ossoff'!C70)))&gt;0)</f>
        <v>0</v>
      </c>
      <c r="O70" s="14" cm="1">
        <f t="array" ref="O70">INT(SUMPRODUCT(--ISNUMBER(SEARCH(violent,'Jon Ossoff'!C70)))&gt;0)</f>
        <v>0</v>
      </c>
      <c r="P70" s="14" cm="1">
        <f t="array" ref="P70">INT(SUMPRODUCT(--ISNUMBER(SEARCH(foreign,'Jon Ossoff'!C70)))&gt;0)</f>
        <v>1</v>
      </c>
      <c r="Q70" s="14" cm="1">
        <f t="array" ref="Q70">INT(SUMPRODUCT(--ISNUMBER(SEARCH(gun,'Jon Ossoff'!C70)))&gt;0)</f>
        <v>0</v>
      </c>
      <c r="R70" s="14" cm="1">
        <f t="array" ref="R70">INT(SUMPRODUCT(--ISNUMBER(SEARCH(race,'Jon Ossoff'!C70)))&gt;0)</f>
        <v>0</v>
      </c>
      <c r="S70" s="14" cm="1">
        <f t="array" ref="S70">INT(SUMPRODUCT(--ISNUMBER(SEARCH(immigration,C70)))&gt;0)</f>
        <v>0</v>
      </c>
      <c r="T70" s="14" cm="1">
        <f t="array" ref="T70">INT(SUMPRODUCT(--ISNUMBER(SEARCH(econineq,C70)))&gt;0)</f>
        <v>0</v>
      </c>
      <c r="U70" s="14" cm="1">
        <f t="array" ref="U70">INT(SUMPRODUCT(--ISNUMBER(SEARCH(climate,'Jon Ossoff'!C70)))&gt;0)</f>
        <v>0</v>
      </c>
      <c r="V70" s="14" cm="1">
        <f t="array" ref="V70">INT(SUMPRODUCT(--ISNUMBER(SEARCH(abortion,'Jon Ossoff'!C70)))&gt;0)</f>
        <v>0</v>
      </c>
      <c r="W70" s="14" cm="1">
        <f t="array" ref="W70">INT(SUMPRODUCT(--ISNUMBER(SEARCH(trump,'Jon Ossoff'!C70)))&gt;0)</f>
        <v>0</v>
      </c>
      <c r="X70" s="14" cm="1">
        <f t="array" ref="X70">INT(SUMPRODUCT(--ISNUMBER(SEARCH(voting,'Jon Ossoff'!C70)))&gt;0)</f>
        <v>0</v>
      </c>
      <c r="Y70" s="14" cm="1">
        <f t="array" ref="Y70">INT(SUMPRODUCT(--ISNUMBER(SEARCH(democrattrigger,'Jon Ossoff'!C70)))&gt;0)</f>
        <v>1</v>
      </c>
      <c r="Z70" s="14" cm="1">
        <f t="array" ref="Z70">INT(SUMPRODUCT(--ISNUMBER(SEARCH(bipartisan,'Jon Ossoff'!C70)))&gt;0)</f>
        <v>0</v>
      </c>
      <c r="AA70" s="14">
        <f t="shared" si="1"/>
        <v>0</v>
      </c>
      <c r="AB70" s="14"/>
      <c r="AC70" s="30" t="s">
        <v>223</v>
      </c>
      <c r="AD70" s="37" t="s">
        <v>223</v>
      </c>
    </row>
    <row r="71" spans="1:30" x14ac:dyDescent="0.25">
      <c r="A71" s="36">
        <v>581</v>
      </c>
      <c r="B71" s="14" t="s">
        <v>1192</v>
      </c>
      <c r="C71" s="31" t="s">
        <v>1193</v>
      </c>
      <c r="D71" s="17">
        <v>44133</v>
      </c>
      <c r="E71" s="14" t="s">
        <v>30</v>
      </c>
      <c r="F71" s="14">
        <v>23376</v>
      </c>
      <c r="G71" s="14">
        <v>4750</v>
      </c>
      <c r="H71" s="14">
        <v>4</v>
      </c>
      <c r="I71" s="14">
        <v>2</v>
      </c>
      <c r="J71" s="14" t="s">
        <v>204</v>
      </c>
      <c r="K71" s="14" cm="1">
        <f t="array" ref="K71">INT(SUMPRODUCT(--ISNUMBER(SEARCH(economy,'Jon Ossoff'!C71)))&gt;0)</f>
        <v>0</v>
      </c>
      <c r="L71" s="14" cm="1">
        <f t="array" ref="L71">INT(SUMPRODUCT(--ISNUMBER(SEARCH(healthcare,'Jon Ossoff'!C71)))&gt;0)</f>
        <v>1</v>
      </c>
      <c r="M71" s="14" cm="1">
        <f t="array" ref="M71">INT(SUMPRODUCT(--ISNUMBER(SEARCH(supreme,'Jon Ossoff'!C71)))&gt;0)</f>
        <v>0</v>
      </c>
      <c r="N71" s="14" cm="1">
        <f t="array" ref="N71">INT(SUMPRODUCT(--ISNUMBER(SEARCH(covid,'Jon Ossoff'!C71)))&gt;0)</f>
        <v>0</v>
      </c>
      <c r="O71" s="14" cm="1">
        <f t="array" ref="O71">INT(SUMPRODUCT(--ISNUMBER(SEARCH(violent,'Jon Ossoff'!C71)))&gt;0)</f>
        <v>0</v>
      </c>
      <c r="P71" s="14" cm="1">
        <f t="array" ref="P71">INT(SUMPRODUCT(--ISNUMBER(SEARCH(foreign,'Jon Ossoff'!C71)))&gt;0)</f>
        <v>0</v>
      </c>
      <c r="Q71" s="14" cm="1">
        <f t="array" ref="Q71">INT(SUMPRODUCT(--ISNUMBER(SEARCH(gun,'Jon Ossoff'!C71)))&gt;0)</f>
        <v>0</v>
      </c>
      <c r="R71" s="14" cm="1">
        <f t="array" ref="R71">INT(SUMPRODUCT(--ISNUMBER(SEARCH(race,'Jon Ossoff'!C71)))&gt;0)</f>
        <v>0</v>
      </c>
      <c r="S71" s="14" cm="1">
        <f t="array" ref="S71">INT(SUMPRODUCT(--ISNUMBER(SEARCH(immigration,C71)))&gt;0)</f>
        <v>0</v>
      </c>
      <c r="T71" s="14" cm="1">
        <f t="array" ref="T71">INT(SUMPRODUCT(--ISNUMBER(SEARCH(econineq,C71)))&gt;0)</f>
        <v>0</v>
      </c>
      <c r="U71" s="14" cm="1">
        <f t="array" ref="U71">INT(SUMPRODUCT(--ISNUMBER(SEARCH(climate,'Jon Ossoff'!C71)))&gt;0)</f>
        <v>0</v>
      </c>
      <c r="V71" s="14" cm="1">
        <f t="array" ref="V71">INT(SUMPRODUCT(--ISNUMBER(SEARCH(abortion,'Jon Ossoff'!C71)))&gt;0)</f>
        <v>0</v>
      </c>
      <c r="W71" s="14" cm="1">
        <f t="array" ref="W71">INT(SUMPRODUCT(--ISNUMBER(SEARCH(trump,'Jon Ossoff'!C71)))&gt;0)</f>
        <v>0</v>
      </c>
      <c r="X71" s="14" cm="1">
        <f t="array" ref="X71">INT(SUMPRODUCT(--ISNUMBER(SEARCH(voting,'Jon Ossoff'!C71)))&gt;0)</f>
        <v>0</v>
      </c>
      <c r="Y71" s="14" cm="1">
        <f t="array" ref="Y71">INT(SUMPRODUCT(--ISNUMBER(SEARCH(democrattrigger,'Jon Ossoff'!C71)))&gt;0)</f>
        <v>1</v>
      </c>
      <c r="Z71" s="14" cm="1">
        <f t="array" ref="Z71">INT(SUMPRODUCT(--ISNUMBER(SEARCH(bipartisan,'Jon Ossoff'!C71)))&gt;0)</f>
        <v>0</v>
      </c>
      <c r="AA71" s="14">
        <f t="shared" si="1"/>
        <v>0</v>
      </c>
      <c r="AB71" s="14"/>
      <c r="AC71" s="30">
        <v>0</v>
      </c>
      <c r="AD71" s="37">
        <v>1</v>
      </c>
    </row>
    <row r="72" spans="1:30" x14ac:dyDescent="0.25">
      <c r="A72" s="36">
        <v>582</v>
      </c>
      <c r="B72" s="14" t="s">
        <v>1194</v>
      </c>
      <c r="C72" s="31" t="s">
        <v>1195</v>
      </c>
      <c r="D72" s="17">
        <v>44133</v>
      </c>
      <c r="E72" s="14" t="s">
        <v>30</v>
      </c>
      <c r="F72" s="14">
        <v>7776</v>
      </c>
      <c r="G72" s="14">
        <v>2274</v>
      </c>
      <c r="H72" s="14">
        <v>4</v>
      </c>
      <c r="I72" s="14">
        <v>2</v>
      </c>
      <c r="J72" s="14" t="s">
        <v>204</v>
      </c>
      <c r="K72" s="14" cm="1">
        <f t="array" ref="K72">INT(SUMPRODUCT(--ISNUMBER(SEARCH(economy,'Jon Ossoff'!C72)))&gt;0)</f>
        <v>0</v>
      </c>
      <c r="L72" s="14" cm="1">
        <f t="array" ref="L72">INT(SUMPRODUCT(--ISNUMBER(SEARCH(healthcare,'Jon Ossoff'!C72)))&gt;0)</f>
        <v>0</v>
      </c>
      <c r="M72" s="14" cm="1">
        <f t="array" ref="M72">INT(SUMPRODUCT(--ISNUMBER(SEARCH(supreme,'Jon Ossoff'!C72)))&gt;0)</f>
        <v>0</v>
      </c>
      <c r="N72" s="14" cm="1">
        <f t="array" ref="N72">INT(SUMPRODUCT(--ISNUMBER(SEARCH(covid,'Jon Ossoff'!C72)))&gt;0)</f>
        <v>0</v>
      </c>
      <c r="O72" s="14" cm="1">
        <f t="array" ref="O72">INT(SUMPRODUCT(--ISNUMBER(SEARCH(violent,'Jon Ossoff'!C72)))&gt;0)</f>
        <v>0</v>
      </c>
      <c r="P72" s="14" cm="1">
        <f t="array" ref="P72">INT(SUMPRODUCT(--ISNUMBER(SEARCH(foreign,'Jon Ossoff'!C72)))&gt;0)</f>
        <v>0</v>
      </c>
      <c r="Q72" s="14" cm="1">
        <f t="array" ref="Q72">INT(SUMPRODUCT(--ISNUMBER(SEARCH(gun,'Jon Ossoff'!C72)))&gt;0)</f>
        <v>0</v>
      </c>
      <c r="R72" s="14" cm="1">
        <f t="array" ref="R72">INT(SUMPRODUCT(--ISNUMBER(SEARCH(race,'Jon Ossoff'!C72)))&gt;0)</f>
        <v>0</v>
      </c>
      <c r="S72" s="14" cm="1">
        <f t="array" ref="S72">INT(SUMPRODUCT(--ISNUMBER(SEARCH(immigration,C72)))&gt;0)</f>
        <v>0</v>
      </c>
      <c r="T72" s="14" cm="1">
        <f t="array" ref="T72">INT(SUMPRODUCT(--ISNUMBER(SEARCH(econineq,C72)))&gt;0)</f>
        <v>0</v>
      </c>
      <c r="U72" s="14" cm="1">
        <f t="array" ref="U72">INT(SUMPRODUCT(--ISNUMBER(SEARCH(climate,'Jon Ossoff'!C72)))&gt;0)</f>
        <v>0</v>
      </c>
      <c r="V72" s="14" cm="1">
        <f t="array" ref="V72">INT(SUMPRODUCT(--ISNUMBER(SEARCH(abortion,'Jon Ossoff'!C72)))&gt;0)</f>
        <v>0</v>
      </c>
      <c r="W72" s="14" cm="1">
        <f t="array" ref="W72">INT(SUMPRODUCT(--ISNUMBER(SEARCH(trump,'Jon Ossoff'!C72)))&gt;0)</f>
        <v>0</v>
      </c>
      <c r="X72" s="14" cm="1">
        <f t="array" ref="X72">INT(SUMPRODUCT(--ISNUMBER(SEARCH(voting,'Jon Ossoff'!C72)))&gt;0)</f>
        <v>1</v>
      </c>
      <c r="Y72" s="14" cm="1">
        <f t="array" ref="Y72">INT(SUMPRODUCT(--ISNUMBER(SEARCH(democrattrigger,'Jon Ossoff'!C72)))&gt;0)</f>
        <v>1</v>
      </c>
      <c r="Z72" s="14" cm="1">
        <f t="array" ref="Z72">INT(SUMPRODUCT(--ISNUMBER(SEARCH(bipartisan,'Jon Ossoff'!C72)))&gt;0)</f>
        <v>0</v>
      </c>
      <c r="AA72" s="14">
        <f t="shared" si="1"/>
        <v>0</v>
      </c>
      <c r="AB72" s="14"/>
      <c r="AC72" s="30" t="s">
        <v>223</v>
      </c>
      <c r="AD72" s="37" t="s">
        <v>223</v>
      </c>
    </row>
    <row r="73" spans="1:30" x14ac:dyDescent="0.25">
      <c r="A73" s="36">
        <v>583</v>
      </c>
      <c r="B73" s="14" t="s">
        <v>1196</v>
      </c>
      <c r="C73" s="31" t="s">
        <v>1197</v>
      </c>
      <c r="D73" s="17">
        <v>44133</v>
      </c>
      <c r="E73" s="14" t="s">
        <v>70</v>
      </c>
      <c r="F73" s="14">
        <v>6959</v>
      </c>
      <c r="G73" s="14">
        <v>1618</v>
      </c>
      <c r="H73" s="14">
        <v>4</v>
      </c>
      <c r="I73" s="14">
        <v>2</v>
      </c>
      <c r="J73" s="14" t="s">
        <v>204</v>
      </c>
      <c r="K73" s="14" cm="1">
        <f t="array" ref="K73">INT(SUMPRODUCT(--ISNUMBER(SEARCH(economy,'Jon Ossoff'!C73)))&gt;0)</f>
        <v>0</v>
      </c>
      <c r="L73" s="14" cm="1">
        <f t="array" ref="L73">INT(SUMPRODUCT(--ISNUMBER(SEARCH(healthcare,'Jon Ossoff'!C73)))&gt;0)</f>
        <v>0</v>
      </c>
      <c r="M73" s="14" cm="1">
        <f t="array" ref="M73">INT(SUMPRODUCT(--ISNUMBER(SEARCH(supreme,'Jon Ossoff'!C73)))&gt;0)</f>
        <v>0</v>
      </c>
      <c r="N73" s="14" cm="1">
        <f t="array" ref="N73">INT(SUMPRODUCT(--ISNUMBER(SEARCH(covid,'Jon Ossoff'!C73)))&gt;0)</f>
        <v>0</v>
      </c>
      <c r="O73" s="14" cm="1">
        <f t="array" ref="O73">INT(SUMPRODUCT(--ISNUMBER(SEARCH(violent,'Jon Ossoff'!C73)))&gt;0)</f>
        <v>0</v>
      </c>
      <c r="P73" s="14" cm="1">
        <f t="array" ref="P73">INT(SUMPRODUCT(--ISNUMBER(SEARCH(foreign,'Jon Ossoff'!C73)))&gt;0)</f>
        <v>0</v>
      </c>
      <c r="Q73" s="14" cm="1">
        <f t="array" ref="Q73">INT(SUMPRODUCT(--ISNUMBER(SEARCH(gun,'Jon Ossoff'!C73)))&gt;0)</f>
        <v>0</v>
      </c>
      <c r="R73" s="14" cm="1">
        <f t="array" ref="R73">INT(SUMPRODUCT(--ISNUMBER(SEARCH(race,'Jon Ossoff'!C73)))&gt;0)</f>
        <v>0</v>
      </c>
      <c r="S73" s="14" cm="1">
        <f t="array" ref="S73">INT(SUMPRODUCT(--ISNUMBER(SEARCH(immigration,C73)))&gt;0)</f>
        <v>0</v>
      </c>
      <c r="T73" s="14" cm="1">
        <f t="array" ref="T73">INT(SUMPRODUCT(--ISNUMBER(SEARCH(econineq,C73)))&gt;0)</f>
        <v>0</v>
      </c>
      <c r="U73" s="14" cm="1">
        <f t="array" ref="U73">INT(SUMPRODUCT(--ISNUMBER(SEARCH(climate,'Jon Ossoff'!C73)))&gt;0)</f>
        <v>0</v>
      </c>
      <c r="V73" s="14" cm="1">
        <f t="array" ref="V73">INT(SUMPRODUCT(--ISNUMBER(SEARCH(abortion,'Jon Ossoff'!C73)))&gt;0)</f>
        <v>0</v>
      </c>
      <c r="W73" s="14" cm="1">
        <f t="array" ref="W73">INT(SUMPRODUCT(--ISNUMBER(SEARCH(trump,'Jon Ossoff'!C73)))&gt;0)</f>
        <v>0</v>
      </c>
      <c r="X73" s="14" cm="1">
        <f t="array" ref="X73">INT(SUMPRODUCT(--ISNUMBER(SEARCH(voting,'Jon Ossoff'!C73)))&gt;0)</f>
        <v>0</v>
      </c>
      <c r="Y73" s="14" cm="1">
        <f t="array" ref="Y73">INT(SUMPRODUCT(--ISNUMBER(SEARCH(democrattrigger,'Jon Ossoff'!C73)))&gt;0)</f>
        <v>0</v>
      </c>
      <c r="Z73" s="14" cm="1">
        <f t="array" ref="Z73">INT(SUMPRODUCT(--ISNUMBER(SEARCH(bipartisan,'Jon Ossoff'!C73)))&gt;0)</f>
        <v>0</v>
      </c>
      <c r="AA73" s="14">
        <f t="shared" si="1"/>
        <v>1</v>
      </c>
      <c r="AB73" s="14"/>
      <c r="AC73" s="30" t="s">
        <v>223</v>
      </c>
      <c r="AD73" s="37" t="s">
        <v>223</v>
      </c>
    </row>
    <row r="74" spans="1:30" x14ac:dyDescent="0.25">
      <c r="A74" s="36">
        <v>584</v>
      </c>
      <c r="B74" s="14" t="s">
        <v>1198</v>
      </c>
      <c r="C74" s="31" t="s">
        <v>1199</v>
      </c>
      <c r="D74" s="17">
        <v>44133</v>
      </c>
      <c r="E74" s="14" t="s">
        <v>70</v>
      </c>
      <c r="F74" s="14">
        <v>6470</v>
      </c>
      <c r="G74" s="14">
        <v>1730</v>
      </c>
      <c r="H74" s="14">
        <v>4</v>
      </c>
      <c r="I74" s="14">
        <v>2</v>
      </c>
      <c r="J74" s="14" t="s">
        <v>204</v>
      </c>
      <c r="K74" s="14" cm="1">
        <f t="array" ref="K74">INT(SUMPRODUCT(--ISNUMBER(SEARCH(economy,'Jon Ossoff'!C74)))&gt;0)</f>
        <v>0</v>
      </c>
      <c r="L74" s="14" cm="1">
        <f t="array" ref="L74">INT(SUMPRODUCT(--ISNUMBER(SEARCH(healthcare,'Jon Ossoff'!C74)))&gt;0)</f>
        <v>0</v>
      </c>
      <c r="M74" s="14" cm="1">
        <f t="array" ref="M74">INT(SUMPRODUCT(--ISNUMBER(SEARCH(supreme,'Jon Ossoff'!C74)))&gt;0)</f>
        <v>0</v>
      </c>
      <c r="N74" s="14" cm="1">
        <f t="array" ref="N74">INT(SUMPRODUCT(--ISNUMBER(SEARCH(covid,'Jon Ossoff'!C74)))&gt;0)</f>
        <v>0</v>
      </c>
      <c r="O74" s="14" cm="1">
        <f t="array" ref="O74">INT(SUMPRODUCT(--ISNUMBER(SEARCH(violent,'Jon Ossoff'!C74)))&gt;0)</f>
        <v>0</v>
      </c>
      <c r="P74" s="14" cm="1">
        <f t="array" ref="P74">INT(SUMPRODUCT(--ISNUMBER(SEARCH(foreign,'Jon Ossoff'!C74)))&gt;0)</f>
        <v>0</v>
      </c>
      <c r="Q74" s="14" cm="1">
        <f t="array" ref="Q74">INT(SUMPRODUCT(--ISNUMBER(SEARCH(gun,'Jon Ossoff'!C74)))&gt;0)</f>
        <v>0</v>
      </c>
      <c r="R74" s="14" cm="1">
        <f t="array" ref="R74">INT(SUMPRODUCT(--ISNUMBER(SEARCH(race,'Jon Ossoff'!C74)))&gt;0)</f>
        <v>0</v>
      </c>
      <c r="S74" s="14" cm="1">
        <f t="array" ref="S74">INT(SUMPRODUCT(--ISNUMBER(SEARCH(immigration,C74)))&gt;0)</f>
        <v>0</v>
      </c>
      <c r="T74" s="14" cm="1">
        <f t="array" ref="T74">INT(SUMPRODUCT(--ISNUMBER(SEARCH(econineq,C74)))&gt;0)</f>
        <v>0</v>
      </c>
      <c r="U74" s="14" cm="1">
        <f t="array" ref="U74">INT(SUMPRODUCT(--ISNUMBER(SEARCH(climate,'Jon Ossoff'!C74)))&gt;0)</f>
        <v>0</v>
      </c>
      <c r="V74" s="14" cm="1">
        <f t="array" ref="V74">INT(SUMPRODUCT(--ISNUMBER(SEARCH(abortion,'Jon Ossoff'!C74)))&gt;0)</f>
        <v>0</v>
      </c>
      <c r="W74" s="14" cm="1">
        <f t="array" ref="W74">INT(SUMPRODUCT(--ISNUMBER(SEARCH(trump,'Jon Ossoff'!C74)))&gt;0)</f>
        <v>0</v>
      </c>
      <c r="X74" s="14" cm="1">
        <f t="array" ref="X74">INT(SUMPRODUCT(--ISNUMBER(SEARCH(voting,'Jon Ossoff'!C74)))&gt;0)</f>
        <v>1</v>
      </c>
      <c r="Y74" s="14" cm="1">
        <f t="array" ref="Y74">INT(SUMPRODUCT(--ISNUMBER(SEARCH(democrattrigger,'Jon Ossoff'!C74)))&gt;0)</f>
        <v>1</v>
      </c>
      <c r="Z74" s="14" cm="1">
        <f t="array" ref="Z74">INT(SUMPRODUCT(--ISNUMBER(SEARCH(bipartisan,'Jon Ossoff'!C74)))&gt;0)</f>
        <v>0</v>
      </c>
      <c r="AA74" s="14">
        <f t="shared" si="1"/>
        <v>0</v>
      </c>
      <c r="AB74" s="14"/>
      <c r="AC74" s="30" t="s">
        <v>223</v>
      </c>
      <c r="AD74" s="37" t="s">
        <v>223</v>
      </c>
    </row>
    <row r="75" spans="1:30" x14ac:dyDescent="0.25">
      <c r="A75" s="36">
        <v>585</v>
      </c>
      <c r="B75" s="14" t="s">
        <v>1200</v>
      </c>
      <c r="C75" s="31" t="s">
        <v>1201</v>
      </c>
      <c r="D75" s="17">
        <v>44133</v>
      </c>
      <c r="E75" s="14" t="s">
        <v>30</v>
      </c>
      <c r="F75" s="14">
        <v>64380</v>
      </c>
      <c r="G75" s="14">
        <v>12162</v>
      </c>
      <c r="H75" s="14">
        <v>4</v>
      </c>
      <c r="I75" s="14">
        <v>2</v>
      </c>
      <c r="J75" s="14" t="s">
        <v>204</v>
      </c>
      <c r="K75" s="14" cm="1">
        <f t="array" ref="K75">INT(SUMPRODUCT(--ISNUMBER(SEARCH(economy,'Jon Ossoff'!C75)))&gt;0)</f>
        <v>0</v>
      </c>
      <c r="L75" s="14" cm="1">
        <f t="array" ref="L75">INT(SUMPRODUCT(--ISNUMBER(SEARCH(healthcare,'Jon Ossoff'!C75)))&gt;0)</f>
        <v>0</v>
      </c>
      <c r="M75" s="14" cm="1">
        <f t="array" ref="M75">INT(SUMPRODUCT(--ISNUMBER(SEARCH(supreme,'Jon Ossoff'!C75)))&gt;0)</f>
        <v>0</v>
      </c>
      <c r="N75" s="14" cm="1">
        <f t="array" ref="N75">INT(SUMPRODUCT(--ISNUMBER(SEARCH(covid,'Jon Ossoff'!C75)))&gt;0)</f>
        <v>0</v>
      </c>
      <c r="O75" s="14" cm="1">
        <f t="array" ref="O75">INT(SUMPRODUCT(--ISNUMBER(SEARCH(violent,'Jon Ossoff'!C75)))&gt;0)</f>
        <v>0</v>
      </c>
      <c r="P75" s="14" cm="1">
        <f t="array" ref="P75">INT(SUMPRODUCT(--ISNUMBER(SEARCH(foreign,'Jon Ossoff'!C75)))&gt;0)</f>
        <v>0</v>
      </c>
      <c r="Q75" s="14" cm="1">
        <f t="array" ref="Q75">INT(SUMPRODUCT(--ISNUMBER(SEARCH(gun,'Jon Ossoff'!C75)))&gt;0)</f>
        <v>0</v>
      </c>
      <c r="R75" s="14" cm="1">
        <f t="array" ref="R75">INT(SUMPRODUCT(--ISNUMBER(SEARCH(race,'Jon Ossoff'!C75)))&gt;0)</f>
        <v>0</v>
      </c>
      <c r="S75" s="14" cm="1">
        <f t="array" ref="S75">INT(SUMPRODUCT(--ISNUMBER(SEARCH(immigration,C75)))&gt;0)</f>
        <v>0</v>
      </c>
      <c r="T75" s="14" cm="1">
        <f t="array" ref="T75">INT(SUMPRODUCT(--ISNUMBER(SEARCH(econineq,C75)))&gt;0)</f>
        <v>0</v>
      </c>
      <c r="U75" s="14" cm="1">
        <f t="array" ref="U75">INT(SUMPRODUCT(--ISNUMBER(SEARCH(climate,'Jon Ossoff'!C75)))&gt;0)</f>
        <v>0</v>
      </c>
      <c r="V75" s="14" cm="1">
        <f t="array" ref="V75">INT(SUMPRODUCT(--ISNUMBER(SEARCH(abortion,'Jon Ossoff'!C75)))&gt;0)</f>
        <v>0</v>
      </c>
      <c r="W75" s="14" cm="1">
        <f t="array" ref="W75">INT(SUMPRODUCT(--ISNUMBER(SEARCH(trump,'Jon Ossoff'!C75)))&gt;0)</f>
        <v>0</v>
      </c>
      <c r="X75" s="14" cm="1">
        <f t="array" ref="X75">INT(SUMPRODUCT(--ISNUMBER(SEARCH(voting,'Jon Ossoff'!C75)))&gt;0)</f>
        <v>1</v>
      </c>
      <c r="Y75" s="14" cm="1">
        <f t="array" ref="Y75">INT(SUMPRODUCT(--ISNUMBER(SEARCH(democrattrigger,'Jon Ossoff'!C75)))&gt;0)</f>
        <v>1</v>
      </c>
      <c r="Z75" s="14" cm="1">
        <f t="array" ref="Z75">INT(SUMPRODUCT(--ISNUMBER(SEARCH(bipartisan,'Jon Ossoff'!C75)))&gt;0)</f>
        <v>0</v>
      </c>
      <c r="AA75" s="14">
        <f t="shared" si="1"/>
        <v>0</v>
      </c>
      <c r="AB75" s="14"/>
      <c r="AC75" s="30">
        <v>0</v>
      </c>
      <c r="AD75" s="37">
        <v>1</v>
      </c>
    </row>
    <row r="76" spans="1:30" x14ac:dyDescent="0.25">
      <c r="A76" s="36">
        <v>586</v>
      </c>
      <c r="B76" s="14" t="s">
        <v>1202</v>
      </c>
      <c r="C76" s="31" t="s">
        <v>1203</v>
      </c>
      <c r="D76" s="17">
        <v>44133</v>
      </c>
      <c r="E76" s="14" t="s">
        <v>70</v>
      </c>
      <c r="F76" s="14">
        <v>1286</v>
      </c>
      <c r="G76" s="14">
        <v>308</v>
      </c>
      <c r="H76" s="14">
        <v>4</v>
      </c>
      <c r="I76" s="14">
        <v>2</v>
      </c>
      <c r="J76" s="14" t="s">
        <v>204</v>
      </c>
      <c r="K76" s="14" cm="1">
        <f t="array" ref="K76">INT(SUMPRODUCT(--ISNUMBER(SEARCH(economy,'Jon Ossoff'!C76)))&gt;0)</f>
        <v>1</v>
      </c>
      <c r="L76" s="14" cm="1">
        <f t="array" ref="L76">INT(SUMPRODUCT(--ISNUMBER(SEARCH(healthcare,'Jon Ossoff'!C76)))&gt;0)</f>
        <v>0</v>
      </c>
      <c r="M76" s="14" cm="1">
        <f t="array" ref="M76">INT(SUMPRODUCT(--ISNUMBER(SEARCH(supreme,'Jon Ossoff'!C76)))&gt;0)</f>
        <v>0</v>
      </c>
      <c r="N76" s="14" cm="1">
        <f t="array" ref="N76">INT(SUMPRODUCT(--ISNUMBER(SEARCH(covid,'Jon Ossoff'!C76)))&gt;0)</f>
        <v>1</v>
      </c>
      <c r="O76" s="14" cm="1">
        <f t="array" ref="O76">INT(SUMPRODUCT(--ISNUMBER(SEARCH(violent,'Jon Ossoff'!C76)))&gt;0)</f>
        <v>0</v>
      </c>
      <c r="P76" s="14" cm="1">
        <f t="array" ref="P76">INT(SUMPRODUCT(--ISNUMBER(SEARCH(foreign,'Jon Ossoff'!C76)))&gt;0)</f>
        <v>0</v>
      </c>
      <c r="Q76" s="14" cm="1">
        <f t="array" ref="Q76">INT(SUMPRODUCT(--ISNUMBER(SEARCH(gun,'Jon Ossoff'!C76)))&gt;0)</f>
        <v>0</v>
      </c>
      <c r="R76" s="14" cm="1">
        <f t="array" ref="R76">INT(SUMPRODUCT(--ISNUMBER(SEARCH(race,'Jon Ossoff'!C76)))&gt;0)</f>
        <v>0</v>
      </c>
      <c r="S76" s="14" cm="1">
        <f t="array" ref="S76">INT(SUMPRODUCT(--ISNUMBER(SEARCH(immigration,C76)))&gt;0)</f>
        <v>0</v>
      </c>
      <c r="T76" s="14" cm="1">
        <f t="array" ref="T76">INT(SUMPRODUCT(--ISNUMBER(SEARCH(econineq,C76)))&gt;0)</f>
        <v>0</v>
      </c>
      <c r="U76" s="14" cm="1">
        <f t="array" ref="U76">INT(SUMPRODUCT(--ISNUMBER(SEARCH(climate,'Jon Ossoff'!C76)))&gt;0)</f>
        <v>0</v>
      </c>
      <c r="V76" s="14" cm="1">
        <f t="array" ref="V76">INT(SUMPRODUCT(--ISNUMBER(SEARCH(abortion,'Jon Ossoff'!C76)))&gt;0)</f>
        <v>0</v>
      </c>
      <c r="W76" s="14" cm="1">
        <f t="array" ref="W76">INT(SUMPRODUCT(--ISNUMBER(SEARCH(trump,'Jon Ossoff'!C76)))&gt;0)</f>
        <v>0</v>
      </c>
      <c r="X76" s="14" cm="1">
        <f t="array" ref="X76">INT(SUMPRODUCT(--ISNUMBER(SEARCH(voting,'Jon Ossoff'!C76)))&gt;0)</f>
        <v>0</v>
      </c>
      <c r="Y76" s="14" cm="1">
        <f t="array" ref="Y76">INT(SUMPRODUCT(--ISNUMBER(SEARCH(democrattrigger,'Jon Ossoff'!C76)))&gt;0)</f>
        <v>0</v>
      </c>
      <c r="Z76" s="14" cm="1">
        <f t="array" ref="Z76">INT(SUMPRODUCT(--ISNUMBER(SEARCH(bipartisan,'Jon Ossoff'!C76)))&gt;0)</f>
        <v>0</v>
      </c>
      <c r="AA76" s="14">
        <f t="shared" si="1"/>
        <v>0</v>
      </c>
      <c r="AB76" s="14"/>
      <c r="AC76" s="30" t="s">
        <v>223</v>
      </c>
      <c r="AD76" s="37" t="s">
        <v>223</v>
      </c>
    </row>
    <row r="77" spans="1:30" x14ac:dyDescent="0.25">
      <c r="A77" s="36">
        <v>587</v>
      </c>
      <c r="B77" s="14" t="s">
        <v>1204</v>
      </c>
      <c r="C77" s="31" t="s">
        <v>1205</v>
      </c>
      <c r="D77" s="17">
        <v>44133</v>
      </c>
      <c r="E77" s="14" t="s">
        <v>30</v>
      </c>
      <c r="F77" s="14">
        <v>5171</v>
      </c>
      <c r="G77" s="14">
        <v>1262</v>
      </c>
      <c r="H77" s="14">
        <v>4</v>
      </c>
      <c r="I77" s="14">
        <v>2</v>
      </c>
      <c r="J77" s="14" t="s">
        <v>204</v>
      </c>
      <c r="K77" s="14" cm="1">
        <f t="array" ref="K77">INT(SUMPRODUCT(--ISNUMBER(SEARCH(economy,'Jon Ossoff'!C77)))&gt;0)</f>
        <v>0</v>
      </c>
      <c r="L77" s="14" cm="1">
        <f t="array" ref="L77">INT(SUMPRODUCT(--ISNUMBER(SEARCH(healthcare,'Jon Ossoff'!C77)))&gt;0)</f>
        <v>0</v>
      </c>
      <c r="M77" s="14" cm="1">
        <f t="array" ref="M77">INT(SUMPRODUCT(--ISNUMBER(SEARCH(supreme,'Jon Ossoff'!C77)))&gt;0)</f>
        <v>0</v>
      </c>
      <c r="N77" s="14" cm="1">
        <f t="array" ref="N77">INT(SUMPRODUCT(--ISNUMBER(SEARCH(covid,'Jon Ossoff'!C77)))&gt;0)</f>
        <v>0</v>
      </c>
      <c r="O77" s="14" cm="1">
        <f t="array" ref="O77">INT(SUMPRODUCT(--ISNUMBER(SEARCH(violent,'Jon Ossoff'!C77)))&gt;0)</f>
        <v>0</v>
      </c>
      <c r="P77" s="14" cm="1">
        <f t="array" ref="P77">INT(SUMPRODUCT(--ISNUMBER(SEARCH(foreign,'Jon Ossoff'!C77)))&gt;0)</f>
        <v>0</v>
      </c>
      <c r="Q77" s="14" cm="1">
        <f t="array" ref="Q77">INT(SUMPRODUCT(--ISNUMBER(SEARCH(gun,'Jon Ossoff'!C77)))&gt;0)</f>
        <v>0</v>
      </c>
      <c r="R77" s="14" cm="1">
        <f t="array" ref="R77">INT(SUMPRODUCT(--ISNUMBER(SEARCH(race,'Jon Ossoff'!C77)))&gt;0)</f>
        <v>0</v>
      </c>
      <c r="S77" s="14" cm="1">
        <f t="array" ref="S77">INT(SUMPRODUCT(--ISNUMBER(SEARCH(immigration,C77)))&gt;0)</f>
        <v>0</v>
      </c>
      <c r="T77" s="14" cm="1">
        <f t="array" ref="T77">INT(SUMPRODUCT(--ISNUMBER(SEARCH(econineq,C77)))&gt;0)</f>
        <v>0</v>
      </c>
      <c r="U77" s="14" cm="1">
        <f t="array" ref="U77">INT(SUMPRODUCT(--ISNUMBER(SEARCH(climate,'Jon Ossoff'!C77)))&gt;0)</f>
        <v>0</v>
      </c>
      <c r="V77" s="14" cm="1">
        <f t="array" ref="V77">INT(SUMPRODUCT(--ISNUMBER(SEARCH(abortion,'Jon Ossoff'!C77)))&gt;0)</f>
        <v>0</v>
      </c>
      <c r="W77" s="14" cm="1">
        <f t="array" ref="W77">INT(SUMPRODUCT(--ISNUMBER(SEARCH(trump,'Jon Ossoff'!C77)))&gt;0)</f>
        <v>0</v>
      </c>
      <c r="X77" s="14" cm="1">
        <f t="array" ref="X77">INT(SUMPRODUCT(--ISNUMBER(SEARCH(voting,'Jon Ossoff'!C77)))&gt;0)</f>
        <v>0</v>
      </c>
      <c r="Y77" s="14" cm="1">
        <f t="array" ref="Y77">INT(SUMPRODUCT(--ISNUMBER(SEARCH(democrattrigger,'Jon Ossoff'!C77)))&gt;0)</f>
        <v>0</v>
      </c>
      <c r="Z77" s="14" cm="1">
        <f t="array" ref="Z77">INT(SUMPRODUCT(--ISNUMBER(SEARCH(bipartisan,'Jon Ossoff'!C77)))&gt;0)</f>
        <v>0</v>
      </c>
      <c r="AA77" s="14">
        <f t="shared" si="1"/>
        <v>1</v>
      </c>
      <c r="AB77" s="14"/>
      <c r="AC77" s="30">
        <v>0</v>
      </c>
      <c r="AD77" s="37">
        <v>1</v>
      </c>
    </row>
    <row r="78" spans="1:30" x14ac:dyDescent="0.25">
      <c r="A78" s="36">
        <v>588</v>
      </c>
      <c r="B78" s="14" t="s">
        <v>1206</v>
      </c>
      <c r="C78" s="31" t="s">
        <v>1207</v>
      </c>
      <c r="D78" s="17">
        <v>44133</v>
      </c>
      <c r="E78" s="14" t="s">
        <v>30</v>
      </c>
      <c r="F78" s="14">
        <v>4224</v>
      </c>
      <c r="G78" s="14">
        <v>983</v>
      </c>
      <c r="H78" s="14">
        <v>4</v>
      </c>
      <c r="I78" s="14">
        <v>2</v>
      </c>
      <c r="J78" s="14" t="s">
        <v>204</v>
      </c>
      <c r="K78" s="14" cm="1">
        <f t="array" ref="K78">INT(SUMPRODUCT(--ISNUMBER(SEARCH(economy,'Jon Ossoff'!C78)))&gt;0)</f>
        <v>0</v>
      </c>
      <c r="L78" s="14" cm="1">
        <f t="array" ref="L78">INT(SUMPRODUCT(--ISNUMBER(SEARCH(healthcare,'Jon Ossoff'!C78)))&gt;0)</f>
        <v>0</v>
      </c>
      <c r="M78" s="14" cm="1">
        <f t="array" ref="M78">INT(SUMPRODUCT(--ISNUMBER(SEARCH(supreme,'Jon Ossoff'!C78)))&gt;0)</f>
        <v>0</v>
      </c>
      <c r="N78" s="14" cm="1">
        <f t="array" ref="N78">INT(SUMPRODUCT(--ISNUMBER(SEARCH(covid,'Jon Ossoff'!C78)))&gt;0)</f>
        <v>0</v>
      </c>
      <c r="O78" s="14" cm="1">
        <f t="array" ref="O78">INT(SUMPRODUCT(--ISNUMBER(SEARCH(violent,'Jon Ossoff'!C78)))&gt;0)</f>
        <v>0</v>
      </c>
      <c r="P78" s="14" cm="1">
        <f t="array" ref="P78">INT(SUMPRODUCT(--ISNUMBER(SEARCH(foreign,'Jon Ossoff'!C78)))&gt;0)</f>
        <v>0</v>
      </c>
      <c r="Q78" s="14" cm="1">
        <f t="array" ref="Q78">INT(SUMPRODUCT(--ISNUMBER(SEARCH(gun,'Jon Ossoff'!C78)))&gt;0)</f>
        <v>0</v>
      </c>
      <c r="R78" s="14" cm="1">
        <f t="array" ref="R78">INT(SUMPRODUCT(--ISNUMBER(SEARCH(race,'Jon Ossoff'!C78)))&gt;0)</f>
        <v>0</v>
      </c>
      <c r="S78" s="14" cm="1">
        <f t="array" ref="S78">INT(SUMPRODUCT(--ISNUMBER(SEARCH(immigration,C78)))&gt;0)</f>
        <v>0</v>
      </c>
      <c r="T78" s="14" cm="1">
        <f t="array" ref="T78">INT(SUMPRODUCT(--ISNUMBER(SEARCH(econineq,C78)))&gt;0)</f>
        <v>0</v>
      </c>
      <c r="U78" s="14" cm="1">
        <f t="array" ref="U78">INT(SUMPRODUCT(--ISNUMBER(SEARCH(climate,'Jon Ossoff'!C78)))&gt;0)</f>
        <v>0</v>
      </c>
      <c r="V78" s="14" cm="1">
        <f t="array" ref="V78">INT(SUMPRODUCT(--ISNUMBER(SEARCH(abortion,'Jon Ossoff'!C78)))&gt;0)</f>
        <v>0</v>
      </c>
      <c r="W78" s="14" cm="1">
        <f t="array" ref="W78">INT(SUMPRODUCT(--ISNUMBER(SEARCH(trump,'Jon Ossoff'!C78)))&gt;0)</f>
        <v>0</v>
      </c>
      <c r="X78" s="14" cm="1">
        <f t="array" ref="X78">INT(SUMPRODUCT(--ISNUMBER(SEARCH(voting,'Jon Ossoff'!C78)))&gt;0)</f>
        <v>0</v>
      </c>
      <c r="Y78" s="14" cm="1">
        <f t="array" ref="Y78">INT(SUMPRODUCT(--ISNUMBER(SEARCH(democrattrigger,'Jon Ossoff'!C78)))&gt;0)</f>
        <v>1</v>
      </c>
      <c r="Z78" s="14" cm="1">
        <f t="array" ref="Z78">INT(SUMPRODUCT(--ISNUMBER(SEARCH(bipartisan,'Jon Ossoff'!C78)))&gt;0)</f>
        <v>0</v>
      </c>
      <c r="AA78" s="14">
        <f t="shared" si="1"/>
        <v>0</v>
      </c>
      <c r="AB78" s="14"/>
      <c r="AC78" s="30">
        <v>0</v>
      </c>
      <c r="AD78" s="37">
        <v>1</v>
      </c>
    </row>
    <row r="79" spans="1:30" x14ac:dyDescent="0.25">
      <c r="A79" s="36">
        <v>589</v>
      </c>
      <c r="B79" s="14" t="s">
        <v>1208</v>
      </c>
      <c r="C79" s="31" t="s">
        <v>1209</v>
      </c>
      <c r="D79" s="17">
        <v>44133</v>
      </c>
      <c r="E79" s="14" t="s">
        <v>30</v>
      </c>
      <c r="F79" s="14">
        <v>15590</v>
      </c>
      <c r="G79" s="14">
        <v>3779</v>
      </c>
      <c r="H79" s="14">
        <v>4</v>
      </c>
      <c r="I79" s="14">
        <v>2</v>
      </c>
      <c r="J79" s="14" t="s">
        <v>204</v>
      </c>
      <c r="K79" s="14" cm="1">
        <f t="array" ref="K79">INT(SUMPRODUCT(--ISNUMBER(SEARCH(economy,'Jon Ossoff'!C79)))&gt;0)</f>
        <v>0</v>
      </c>
      <c r="L79" s="14" cm="1">
        <f t="array" ref="L79">INT(SUMPRODUCT(--ISNUMBER(SEARCH(healthcare,'Jon Ossoff'!C79)))&gt;0)</f>
        <v>0</v>
      </c>
      <c r="M79" s="14" cm="1">
        <f t="array" ref="M79">INT(SUMPRODUCT(--ISNUMBER(SEARCH(supreme,'Jon Ossoff'!C79)))&gt;0)</f>
        <v>0</v>
      </c>
      <c r="N79" s="14" cm="1">
        <f t="array" ref="N79">INT(SUMPRODUCT(--ISNUMBER(SEARCH(covid,'Jon Ossoff'!C79)))&gt;0)</f>
        <v>0</v>
      </c>
      <c r="O79" s="14" cm="1">
        <f t="array" ref="O79">INT(SUMPRODUCT(--ISNUMBER(SEARCH(violent,'Jon Ossoff'!C79)))&gt;0)</f>
        <v>0</v>
      </c>
      <c r="P79" s="14" cm="1">
        <f t="array" ref="P79">INT(SUMPRODUCT(--ISNUMBER(SEARCH(foreign,'Jon Ossoff'!C79)))&gt;0)</f>
        <v>0</v>
      </c>
      <c r="Q79" s="14" cm="1">
        <f t="array" ref="Q79">INT(SUMPRODUCT(--ISNUMBER(SEARCH(gun,'Jon Ossoff'!C79)))&gt;0)</f>
        <v>0</v>
      </c>
      <c r="R79" s="14" cm="1">
        <f t="array" ref="R79">INT(SUMPRODUCT(--ISNUMBER(SEARCH(race,'Jon Ossoff'!C79)))&gt;0)</f>
        <v>0</v>
      </c>
      <c r="S79" s="14" cm="1">
        <f t="array" ref="S79">INT(SUMPRODUCT(--ISNUMBER(SEARCH(immigration,C79)))&gt;0)</f>
        <v>0</v>
      </c>
      <c r="T79" s="14" cm="1">
        <f t="array" ref="T79">INT(SUMPRODUCT(--ISNUMBER(SEARCH(econineq,C79)))&gt;0)</f>
        <v>0</v>
      </c>
      <c r="U79" s="14" cm="1">
        <f t="array" ref="U79">INT(SUMPRODUCT(--ISNUMBER(SEARCH(climate,'Jon Ossoff'!C79)))&gt;0)</f>
        <v>0</v>
      </c>
      <c r="V79" s="14" cm="1">
        <f t="array" ref="V79">INT(SUMPRODUCT(--ISNUMBER(SEARCH(abortion,'Jon Ossoff'!C79)))&gt;0)</f>
        <v>0</v>
      </c>
      <c r="W79" s="14" cm="1">
        <f t="array" ref="W79">INT(SUMPRODUCT(--ISNUMBER(SEARCH(trump,'Jon Ossoff'!C79)))&gt;0)</f>
        <v>0</v>
      </c>
      <c r="X79" s="14" cm="1">
        <f t="array" ref="X79">INT(SUMPRODUCT(--ISNUMBER(SEARCH(voting,'Jon Ossoff'!C79)))&gt;0)</f>
        <v>0</v>
      </c>
      <c r="Y79" s="14" cm="1">
        <f t="array" ref="Y79">INT(SUMPRODUCT(--ISNUMBER(SEARCH(democrattrigger,'Jon Ossoff'!C79)))&gt;0)</f>
        <v>1</v>
      </c>
      <c r="Z79" s="14" cm="1">
        <f t="array" ref="Z79">INT(SUMPRODUCT(--ISNUMBER(SEARCH(bipartisan,'Jon Ossoff'!C79)))&gt;0)</f>
        <v>0</v>
      </c>
      <c r="AA79" s="14">
        <f t="shared" si="1"/>
        <v>0</v>
      </c>
      <c r="AB79" s="14"/>
      <c r="AC79" s="30">
        <v>0</v>
      </c>
      <c r="AD79" s="37">
        <v>1</v>
      </c>
    </row>
    <row r="80" spans="1:30" x14ac:dyDescent="0.25">
      <c r="A80" s="36">
        <v>590</v>
      </c>
      <c r="B80" s="14" t="s">
        <v>1210</v>
      </c>
      <c r="C80" s="31" t="s">
        <v>1211</v>
      </c>
      <c r="D80" s="17">
        <v>44133</v>
      </c>
      <c r="E80" s="14" t="s">
        <v>30</v>
      </c>
      <c r="F80" s="14">
        <v>68014</v>
      </c>
      <c r="G80" s="14">
        <v>17520</v>
      </c>
      <c r="H80" s="14">
        <v>4</v>
      </c>
      <c r="I80" s="14">
        <v>2</v>
      </c>
      <c r="J80" s="14" t="s">
        <v>204</v>
      </c>
      <c r="K80" s="14" cm="1">
        <f t="array" ref="K80">INT(SUMPRODUCT(--ISNUMBER(SEARCH(economy,'Jon Ossoff'!C80)))&gt;0)</f>
        <v>0</v>
      </c>
      <c r="L80" s="14" cm="1">
        <f t="array" ref="L80">INT(SUMPRODUCT(--ISNUMBER(SEARCH(healthcare,'Jon Ossoff'!C80)))&gt;0)</f>
        <v>0</v>
      </c>
      <c r="M80" s="14" cm="1">
        <f t="array" ref="M80">INT(SUMPRODUCT(--ISNUMBER(SEARCH(supreme,'Jon Ossoff'!C80)))&gt;0)</f>
        <v>0</v>
      </c>
      <c r="N80" s="14" cm="1">
        <f t="array" ref="N80">INT(SUMPRODUCT(--ISNUMBER(SEARCH(covid,'Jon Ossoff'!C80)))&gt;0)</f>
        <v>1</v>
      </c>
      <c r="O80" s="14" cm="1">
        <f t="array" ref="O80">INT(SUMPRODUCT(--ISNUMBER(SEARCH(violent,'Jon Ossoff'!C80)))&gt;0)</f>
        <v>0</v>
      </c>
      <c r="P80" s="14" cm="1">
        <f t="array" ref="P80">INT(SUMPRODUCT(--ISNUMBER(SEARCH(foreign,'Jon Ossoff'!C80)))&gt;0)</f>
        <v>0</v>
      </c>
      <c r="Q80" s="14" cm="1">
        <f t="array" ref="Q80">INT(SUMPRODUCT(--ISNUMBER(SEARCH(gun,'Jon Ossoff'!C80)))&gt;0)</f>
        <v>0</v>
      </c>
      <c r="R80" s="14" cm="1">
        <f t="array" ref="R80">INT(SUMPRODUCT(--ISNUMBER(SEARCH(race,'Jon Ossoff'!C80)))&gt;0)</f>
        <v>0</v>
      </c>
      <c r="S80" s="14" cm="1">
        <f t="array" ref="S80">INT(SUMPRODUCT(--ISNUMBER(SEARCH(immigration,C80)))&gt;0)</f>
        <v>0</v>
      </c>
      <c r="T80" s="14" cm="1">
        <f t="array" ref="T80">INT(SUMPRODUCT(--ISNUMBER(SEARCH(econineq,C80)))&gt;0)</f>
        <v>0</v>
      </c>
      <c r="U80" s="14" cm="1">
        <f t="array" ref="U80">INT(SUMPRODUCT(--ISNUMBER(SEARCH(climate,'Jon Ossoff'!C80)))&gt;0)</f>
        <v>0</v>
      </c>
      <c r="V80" s="14" cm="1">
        <f t="array" ref="V80">INT(SUMPRODUCT(--ISNUMBER(SEARCH(abortion,'Jon Ossoff'!C80)))&gt;0)</f>
        <v>0</v>
      </c>
      <c r="W80" s="14" cm="1">
        <f t="array" ref="W80">INT(SUMPRODUCT(--ISNUMBER(SEARCH(trump,'Jon Ossoff'!C80)))&gt;0)</f>
        <v>0</v>
      </c>
      <c r="X80" s="14" cm="1">
        <f t="array" ref="X80">INT(SUMPRODUCT(--ISNUMBER(SEARCH(voting,'Jon Ossoff'!C80)))&gt;0)</f>
        <v>1</v>
      </c>
      <c r="Y80" s="14" cm="1">
        <f t="array" ref="Y80">INT(SUMPRODUCT(--ISNUMBER(SEARCH(democrattrigger,'Jon Ossoff'!C80)))&gt;0)</f>
        <v>1</v>
      </c>
      <c r="Z80" s="14" cm="1">
        <f t="array" ref="Z80">INT(SUMPRODUCT(--ISNUMBER(SEARCH(bipartisan,'Jon Ossoff'!C80)))&gt;0)</f>
        <v>0</v>
      </c>
      <c r="AA80" s="14">
        <f t="shared" si="1"/>
        <v>0</v>
      </c>
      <c r="AB80" s="14"/>
      <c r="AC80" s="30">
        <v>0</v>
      </c>
      <c r="AD80" s="37">
        <v>1</v>
      </c>
    </row>
    <row r="81" spans="1:30" x14ac:dyDescent="0.25">
      <c r="A81" s="36">
        <v>591</v>
      </c>
      <c r="B81" s="14" t="s">
        <v>1212</v>
      </c>
      <c r="C81" s="31" t="s">
        <v>1213</v>
      </c>
      <c r="D81" s="17">
        <v>44132</v>
      </c>
      <c r="E81" s="14" t="s">
        <v>30</v>
      </c>
      <c r="F81" s="14">
        <v>2569</v>
      </c>
      <c r="G81" s="14">
        <v>507</v>
      </c>
      <c r="H81" s="14">
        <v>4</v>
      </c>
      <c r="I81" s="14">
        <v>2</v>
      </c>
      <c r="J81" s="14" t="s">
        <v>204</v>
      </c>
      <c r="K81" s="14" cm="1">
        <f t="array" ref="K81">INT(SUMPRODUCT(--ISNUMBER(SEARCH(economy,'Jon Ossoff'!C81)))&gt;0)</f>
        <v>0</v>
      </c>
      <c r="L81" s="14" cm="1">
        <f t="array" ref="L81">INT(SUMPRODUCT(--ISNUMBER(SEARCH(healthcare,'Jon Ossoff'!C81)))&gt;0)</f>
        <v>0</v>
      </c>
      <c r="M81" s="14" cm="1">
        <f t="array" ref="M81">INT(SUMPRODUCT(--ISNUMBER(SEARCH(supreme,'Jon Ossoff'!C81)))&gt;0)</f>
        <v>0</v>
      </c>
      <c r="N81" s="14" cm="1">
        <f t="array" ref="N81">INT(SUMPRODUCT(--ISNUMBER(SEARCH(covid,'Jon Ossoff'!C81)))&gt;0)</f>
        <v>0</v>
      </c>
      <c r="O81" s="14" cm="1">
        <f t="array" ref="O81">INT(SUMPRODUCT(--ISNUMBER(SEARCH(violent,'Jon Ossoff'!C81)))&gt;0)</f>
        <v>0</v>
      </c>
      <c r="P81" s="14" cm="1">
        <f t="array" ref="P81">INT(SUMPRODUCT(--ISNUMBER(SEARCH(foreign,'Jon Ossoff'!C81)))&gt;0)</f>
        <v>0</v>
      </c>
      <c r="Q81" s="14" cm="1">
        <f t="array" ref="Q81">INT(SUMPRODUCT(--ISNUMBER(SEARCH(gun,'Jon Ossoff'!C81)))&gt;0)</f>
        <v>0</v>
      </c>
      <c r="R81" s="14" cm="1">
        <f t="array" ref="R81">INT(SUMPRODUCT(--ISNUMBER(SEARCH(race,'Jon Ossoff'!C81)))&gt;0)</f>
        <v>0</v>
      </c>
      <c r="S81" s="14" cm="1">
        <f t="array" ref="S81">INT(SUMPRODUCT(--ISNUMBER(SEARCH(immigration,C81)))&gt;0)</f>
        <v>0</v>
      </c>
      <c r="T81" s="14" cm="1">
        <f t="array" ref="T81">INT(SUMPRODUCT(--ISNUMBER(SEARCH(econineq,C81)))&gt;0)</f>
        <v>0</v>
      </c>
      <c r="U81" s="14" cm="1">
        <f t="array" ref="U81">INT(SUMPRODUCT(--ISNUMBER(SEARCH(climate,'Jon Ossoff'!C81)))&gt;0)</f>
        <v>0</v>
      </c>
      <c r="V81" s="14" cm="1">
        <f t="array" ref="V81">INT(SUMPRODUCT(--ISNUMBER(SEARCH(abortion,'Jon Ossoff'!C81)))&gt;0)</f>
        <v>0</v>
      </c>
      <c r="W81" s="14" cm="1">
        <f t="array" ref="W81">INT(SUMPRODUCT(--ISNUMBER(SEARCH(trump,'Jon Ossoff'!C81)))&gt;0)</f>
        <v>0</v>
      </c>
      <c r="X81" s="14" cm="1">
        <f t="array" ref="X81">INT(SUMPRODUCT(--ISNUMBER(SEARCH(voting,'Jon Ossoff'!C81)))&gt;0)</f>
        <v>0</v>
      </c>
      <c r="Y81" s="14" cm="1">
        <f t="array" ref="Y81">INT(SUMPRODUCT(--ISNUMBER(SEARCH(democrattrigger,'Jon Ossoff'!C81)))&gt;0)</f>
        <v>0</v>
      </c>
      <c r="Z81" s="14" cm="1">
        <f t="array" ref="Z81">INT(SUMPRODUCT(--ISNUMBER(SEARCH(bipartisan,'Jon Ossoff'!C81)))&gt;0)</f>
        <v>0</v>
      </c>
      <c r="AA81" s="14">
        <f t="shared" si="1"/>
        <v>1</v>
      </c>
      <c r="AB81" s="14"/>
      <c r="AC81" s="30">
        <v>0</v>
      </c>
      <c r="AD81" s="37">
        <v>1</v>
      </c>
    </row>
    <row r="82" spans="1:30" x14ac:dyDescent="0.25">
      <c r="A82" s="36">
        <v>592</v>
      </c>
      <c r="B82" s="14" t="s">
        <v>1214</v>
      </c>
      <c r="C82" s="31" t="s">
        <v>1215</v>
      </c>
      <c r="D82" s="17">
        <v>44132</v>
      </c>
      <c r="E82" s="14" t="s">
        <v>30</v>
      </c>
      <c r="F82" s="14">
        <v>1989</v>
      </c>
      <c r="G82" s="14">
        <v>540</v>
      </c>
      <c r="H82" s="14">
        <v>4</v>
      </c>
      <c r="I82" s="14">
        <v>2</v>
      </c>
      <c r="J82" s="14" t="s">
        <v>204</v>
      </c>
      <c r="K82" s="14" cm="1">
        <f t="array" ref="K82">INT(SUMPRODUCT(--ISNUMBER(SEARCH(economy,'Jon Ossoff'!C82)))&gt;0)</f>
        <v>0</v>
      </c>
      <c r="L82" s="14" cm="1">
        <f t="array" ref="L82">INT(SUMPRODUCT(--ISNUMBER(SEARCH(healthcare,'Jon Ossoff'!C82)))&gt;0)</f>
        <v>1</v>
      </c>
      <c r="M82" s="14" cm="1">
        <f t="array" ref="M82">INT(SUMPRODUCT(--ISNUMBER(SEARCH(supreme,'Jon Ossoff'!C82)))&gt;0)</f>
        <v>0</v>
      </c>
      <c r="N82" s="14" cm="1">
        <f t="array" ref="N82">INT(SUMPRODUCT(--ISNUMBER(SEARCH(covid,'Jon Ossoff'!C82)))&gt;0)</f>
        <v>1</v>
      </c>
      <c r="O82" s="14" cm="1">
        <f t="array" ref="O82">INT(SUMPRODUCT(--ISNUMBER(SEARCH(violent,'Jon Ossoff'!C82)))&gt;0)</f>
        <v>0</v>
      </c>
      <c r="P82" s="14" cm="1">
        <f t="array" ref="P82">INT(SUMPRODUCT(--ISNUMBER(SEARCH(foreign,'Jon Ossoff'!C82)))&gt;0)</f>
        <v>0</v>
      </c>
      <c r="Q82" s="14" cm="1">
        <f t="array" ref="Q82">INT(SUMPRODUCT(--ISNUMBER(SEARCH(gun,'Jon Ossoff'!C82)))&gt;0)</f>
        <v>0</v>
      </c>
      <c r="R82" s="14" cm="1">
        <f t="array" ref="R82">INT(SUMPRODUCT(--ISNUMBER(SEARCH(race,'Jon Ossoff'!C82)))&gt;0)</f>
        <v>0</v>
      </c>
      <c r="S82" s="14" cm="1">
        <f t="array" ref="S82">INT(SUMPRODUCT(--ISNUMBER(SEARCH(immigration,C82)))&gt;0)</f>
        <v>0</v>
      </c>
      <c r="T82" s="14" cm="1">
        <f t="array" ref="T82">INT(SUMPRODUCT(--ISNUMBER(SEARCH(econineq,C82)))&gt;0)</f>
        <v>0</v>
      </c>
      <c r="U82" s="14" cm="1">
        <f t="array" ref="U82">INT(SUMPRODUCT(--ISNUMBER(SEARCH(climate,'Jon Ossoff'!C82)))&gt;0)</f>
        <v>0</v>
      </c>
      <c r="V82" s="14" cm="1">
        <f t="array" ref="V82">INT(SUMPRODUCT(--ISNUMBER(SEARCH(abortion,'Jon Ossoff'!C82)))&gt;0)</f>
        <v>0</v>
      </c>
      <c r="W82" s="14" cm="1">
        <f t="array" ref="W82">INT(SUMPRODUCT(--ISNUMBER(SEARCH(trump,'Jon Ossoff'!C82)))&gt;0)</f>
        <v>0</v>
      </c>
      <c r="X82" s="14" cm="1">
        <f t="array" ref="X82">INT(SUMPRODUCT(--ISNUMBER(SEARCH(voting,'Jon Ossoff'!C82)))&gt;0)</f>
        <v>0</v>
      </c>
      <c r="Y82" s="14" cm="1">
        <f t="array" ref="Y82">INT(SUMPRODUCT(--ISNUMBER(SEARCH(democrattrigger,'Jon Ossoff'!C82)))&gt;0)</f>
        <v>1</v>
      </c>
      <c r="Z82" s="14" cm="1">
        <f t="array" ref="Z82">INT(SUMPRODUCT(--ISNUMBER(SEARCH(bipartisan,'Jon Ossoff'!C82)))&gt;0)</f>
        <v>0</v>
      </c>
      <c r="AA82" s="14">
        <f t="shared" si="1"/>
        <v>0</v>
      </c>
      <c r="AB82" s="14"/>
      <c r="AC82" s="30">
        <v>0</v>
      </c>
      <c r="AD82" s="37">
        <v>1</v>
      </c>
    </row>
    <row r="83" spans="1:30" x14ac:dyDescent="0.25">
      <c r="A83" s="36">
        <v>593</v>
      </c>
      <c r="B83" s="14" t="s">
        <v>1216</v>
      </c>
      <c r="C83" s="31" t="s">
        <v>1217</v>
      </c>
      <c r="D83" s="17">
        <v>44132</v>
      </c>
      <c r="E83" s="14" t="s">
        <v>30</v>
      </c>
      <c r="F83" s="14">
        <v>1501</v>
      </c>
      <c r="G83" s="14">
        <v>402</v>
      </c>
      <c r="H83" s="14">
        <v>4</v>
      </c>
      <c r="I83" s="14">
        <v>2</v>
      </c>
      <c r="J83" s="14" t="s">
        <v>204</v>
      </c>
      <c r="K83" s="14" cm="1">
        <f t="array" ref="K83">INT(SUMPRODUCT(--ISNUMBER(SEARCH(economy,'Jon Ossoff'!C83)))&gt;0)</f>
        <v>0</v>
      </c>
      <c r="L83" s="14" cm="1">
        <f t="array" ref="L83">INT(SUMPRODUCT(--ISNUMBER(SEARCH(healthcare,'Jon Ossoff'!C83)))&gt;0)</f>
        <v>1</v>
      </c>
      <c r="M83" s="14" cm="1">
        <f t="array" ref="M83">INT(SUMPRODUCT(--ISNUMBER(SEARCH(supreme,'Jon Ossoff'!C83)))&gt;0)</f>
        <v>0</v>
      </c>
      <c r="N83" s="14" cm="1">
        <f t="array" ref="N83">INT(SUMPRODUCT(--ISNUMBER(SEARCH(covid,'Jon Ossoff'!C83)))&gt;0)</f>
        <v>1</v>
      </c>
      <c r="O83" s="14" cm="1">
        <f t="array" ref="O83">INT(SUMPRODUCT(--ISNUMBER(SEARCH(violent,'Jon Ossoff'!C83)))&gt;0)</f>
        <v>0</v>
      </c>
      <c r="P83" s="14" cm="1">
        <f t="array" ref="P83">INT(SUMPRODUCT(--ISNUMBER(SEARCH(foreign,'Jon Ossoff'!C83)))&gt;0)</f>
        <v>0</v>
      </c>
      <c r="Q83" s="14" cm="1">
        <f t="array" ref="Q83">INT(SUMPRODUCT(--ISNUMBER(SEARCH(gun,'Jon Ossoff'!C83)))&gt;0)</f>
        <v>0</v>
      </c>
      <c r="R83" s="14" cm="1">
        <f t="array" ref="R83">INT(SUMPRODUCT(--ISNUMBER(SEARCH(race,'Jon Ossoff'!C83)))&gt;0)</f>
        <v>0</v>
      </c>
      <c r="S83" s="14" cm="1">
        <f t="array" ref="S83">INT(SUMPRODUCT(--ISNUMBER(SEARCH(immigration,C83)))&gt;0)</f>
        <v>0</v>
      </c>
      <c r="T83" s="14" cm="1">
        <f t="array" ref="T83">INT(SUMPRODUCT(--ISNUMBER(SEARCH(econineq,C83)))&gt;0)</f>
        <v>0</v>
      </c>
      <c r="U83" s="14" cm="1">
        <f t="array" ref="U83">INT(SUMPRODUCT(--ISNUMBER(SEARCH(climate,'Jon Ossoff'!C83)))&gt;0)</f>
        <v>0</v>
      </c>
      <c r="V83" s="14" cm="1">
        <f t="array" ref="V83">INT(SUMPRODUCT(--ISNUMBER(SEARCH(abortion,'Jon Ossoff'!C83)))&gt;0)</f>
        <v>0</v>
      </c>
      <c r="W83" s="14" cm="1">
        <f t="array" ref="W83">INT(SUMPRODUCT(--ISNUMBER(SEARCH(trump,'Jon Ossoff'!C83)))&gt;0)</f>
        <v>0</v>
      </c>
      <c r="X83" s="14" cm="1">
        <f t="array" ref="X83">INT(SUMPRODUCT(--ISNUMBER(SEARCH(voting,'Jon Ossoff'!C83)))&gt;0)</f>
        <v>0</v>
      </c>
      <c r="Y83" s="14" cm="1">
        <f t="array" ref="Y83">INT(SUMPRODUCT(--ISNUMBER(SEARCH(democrattrigger,'Jon Ossoff'!C83)))&gt;0)</f>
        <v>1</v>
      </c>
      <c r="Z83" s="14" cm="1">
        <f t="array" ref="Z83">INT(SUMPRODUCT(--ISNUMBER(SEARCH(bipartisan,'Jon Ossoff'!C83)))&gt;0)</f>
        <v>0</v>
      </c>
      <c r="AA83" s="14">
        <f t="shared" si="1"/>
        <v>0</v>
      </c>
      <c r="AB83" s="14"/>
      <c r="AC83" s="30">
        <v>0</v>
      </c>
      <c r="AD83" s="37">
        <v>1</v>
      </c>
    </row>
    <row r="84" spans="1:30" x14ac:dyDescent="0.25">
      <c r="A84" s="36">
        <v>594</v>
      </c>
      <c r="B84" s="14" t="s">
        <v>1218</v>
      </c>
      <c r="C84" s="31" t="s">
        <v>1219</v>
      </c>
      <c r="D84" s="17">
        <v>44132</v>
      </c>
      <c r="E84" s="14" t="s">
        <v>30</v>
      </c>
      <c r="F84" s="14">
        <v>2125</v>
      </c>
      <c r="G84" s="14">
        <v>601</v>
      </c>
      <c r="H84" s="14">
        <v>4</v>
      </c>
      <c r="I84" s="14">
        <v>2</v>
      </c>
      <c r="J84" s="14" t="s">
        <v>204</v>
      </c>
      <c r="K84" s="14" cm="1">
        <f t="array" ref="K84">INT(SUMPRODUCT(--ISNUMBER(SEARCH(economy,'Jon Ossoff'!C84)))&gt;0)</f>
        <v>1</v>
      </c>
      <c r="L84" s="14" cm="1">
        <f t="array" ref="L84">INT(SUMPRODUCT(--ISNUMBER(SEARCH(healthcare,'Jon Ossoff'!C84)))&gt;0)</f>
        <v>0</v>
      </c>
      <c r="M84" s="14" cm="1">
        <f t="array" ref="M84">INT(SUMPRODUCT(--ISNUMBER(SEARCH(supreme,'Jon Ossoff'!C84)))&gt;0)</f>
        <v>0</v>
      </c>
      <c r="N84" s="14" cm="1">
        <f t="array" ref="N84">INT(SUMPRODUCT(--ISNUMBER(SEARCH(covid,'Jon Ossoff'!C84)))&gt;0)</f>
        <v>1</v>
      </c>
      <c r="O84" s="14" cm="1">
        <f t="array" ref="O84">INT(SUMPRODUCT(--ISNUMBER(SEARCH(violent,'Jon Ossoff'!C84)))&gt;0)</f>
        <v>0</v>
      </c>
      <c r="P84" s="14" cm="1">
        <f t="array" ref="P84">INT(SUMPRODUCT(--ISNUMBER(SEARCH(foreign,'Jon Ossoff'!C84)))&gt;0)</f>
        <v>0</v>
      </c>
      <c r="Q84" s="14" cm="1">
        <f t="array" ref="Q84">INT(SUMPRODUCT(--ISNUMBER(SEARCH(gun,'Jon Ossoff'!C84)))&gt;0)</f>
        <v>0</v>
      </c>
      <c r="R84" s="14" cm="1">
        <f t="array" ref="R84">INT(SUMPRODUCT(--ISNUMBER(SEARCH(race,'Jon Ossoff'!C84)))&gt;0)</f>
        <v>0</v>
      </c>
      <c r="S84" s="14" cm="1">
        <f t="array" ref="S84">INT(SUMPRODUCT(--ISNUMBER(SEARCH(immigration,C84)))&gt;0)</f>
        <v>0</v>
      </c>
      <c r="T84" s="14" cm="1">
        <f t="array" ref="T84">INT(SUMPRODUCT(--ISNUMBER(SEARCH(econineq,C84)))&gt;0)</f>
        <v>0</v>
      </c>
      <c r="U84" s="14" cm="1">
        <f t="array" ref="U84">INT(SUMPRODUCT(--ISNUMBER(SEARCH(climate,'Jon Ossoff'!C84)))&gt;0)</f>
        <v>0</v>
      </c>
      <c r="V84" s="14" cm="1">
        <f t="array" ref="V84">INT(SUMPRODUCT(--ISNUMBER(SEARCH(abortion,'Jon Ossoff'!C84)))&gt;0)</f>
        <v>0</v>
      </c>
      <c r="W84" s="14" cm="1">
        <f t="array" ref="W84">INT(SUMPRODUCT(--ISNUMBER(SEARCH(trump,'Jon Ossoff'!C84)))&gt;0)</f>
        <v>0</v>
      </c>
      <c r="X84" s="14" cm="1">
        <f t="array" ref="X84">INT(SUMPRODUCT(--ISNUMBER(SEARCH(voting,'Jon Ossoff'!C84)))&gt;0)</f>
        <v>0</v>
      </c>
      <c r="Y84" s="14" cm="1">
        <f t="array" ref="Y84">INT(SUMPRODUCT(--ISNUMBER(SEARCH(democrattrigger,'Jon Ossoff'!C84)))&gt;0)</f>
        <v>1</v>
      </c>
      <c r="Z84" s="14" cm="1">
        <f t="array" ref="Z84">INT(SUMPRODUCT(--ISNUMBER(SEARCH(bipartisan,'Jon Ossoff'!C84)))&gt;0)</f>
        <v>0</v>
      </c>
      <c r="AA84" s="14">
        <f t="shared" si="1"/>
        <v>0</v>
      </c>
      <c r="AB84" s="14"/>
      <c r="AC84" s="30">
        <v>0</v>
      </c>
      <c r="AD84" s="37">
        <v>1</v>
      </c>
    </row>
    <row r="85" spans="1:30" x14ac:dyDescent="0.25">
      <c r="A85" s="36">
        <v>595</v>
      </c>
      <c r="B85" s="14" t="s">
        <v>1220</v>
      </c>
      <c r="C85" s="31" t="s">
        <v>1221</v>
      </c>
      <c r="D85" s="17">
        <v>44132</v>
      </c>
      <c r="E85" s="14" t="s">
        <v>30</v>
      </c>
      <c r="F85" s="14">
        <v>1736</v>
      </c>
      <c r="G85" s="14">
        <v>463</v>
      </c>
      <c r="H85" s="14">
        <v>4</v>
      </c>
      <c r="I85" s="14">
        <v>2</v>
      </c>
      <c r="J85" s="14" t="s">
        <v>204</v>
      </c>
      <c r="K85" s="14" cm="1">
        <f t="array" ref="K85">INT(SUMPRODUCT(--ISNUMBER(SEARCH(economy,'Jon Ossoff'!C85)))&gt;0)</f>
        <v>0</v>
      </c>
      <c r="L85" s="14" cm="1">
        <f t="array" ref="L85">INT(SUMPRODUCT(--ISNUMBER(SEARCH(healthcare,'Jon Ossoff'!C85)))&gt;0)</f>
        <v>1</v>
      </c>
      <c r="M85" s="14" cm="1">
        <f t="array" ref="M85">INT(SUMPRODUCT(--ISNUMBER(SEARCH(supreme,'Jon Ossoff'!C85)))&gt;0)</f>
        <v>0</v>
      </c>
      <c r="N85" s="14" cm="1">
        <f t="array" ref="N85">INT(SUMPRODUCT(--ISNUMBER(SEARCH(covid,'Jon Ossoff'!C85)))&gt;0)</f>
        <v>1</v>
      </c>
      <c r="O85" s="14" cm="1">
        <f t="array" ref="O85">INT(SUMPRODUCT(--ISNUMBER(SEARCH(violent,'Jon Ossoff'!C85)))&gt;0)</f>
        <v>0</v>
      </c>
      <c r="P85" s="14" cm="1">
        <f t="array" ref="P85">INT(SUMPRODUCT(--ISNUMBER(SEARCH(foreign,'Jon Ossoff'!C85)))&gt;0)</f>
        <v>0</v>
      </c>
      <c r="Q85" s="14" cm="1">
        <f t="array" ref="Q85">INT(SUMPRODUCT(--ISNUMBER(SEARCH(gun,'Jon Ossoff'!C85)))&gt;0)</f>
        <v>0</v>
      </c>
      <c r="R85" s="14" cm="1">
        <f t="array" ref="R85">INT(SUMPRODUCT(--ISNUMBER(SEARCH(race,'Jon Ossoff'!C85)))&gt;0)</f>
        <v>0</v>
      </c>
      <c r="S85" s="14" cm="1">
        <f t="array" ref="S85">INT(SUMPRODUCT(--ISNUMBER(SEARCH(immigration,C85)))&gt;0)</f>
        <v>0</v>
      </c>
      <c r="T85" s="14" cm="1">
        <f t="array" ref="T85">INT(SUMPRODUCT(--ISNUMBER(SEARCH(econineq,C85)))&gt;0)</f>
        <v>0</v>
      </c>
      <c r="U85" s="14" cm="1">
        <f t="array" ref="U85">INT(SUMPRODUCT(--ISNUMBER(SEARCH(climate,'Jon Ossoff'!C85)))&gt;0)</f>
        <v>0</v>
      </c>
      <c r="V85" s="14" cm="1">
        <f t="array" ref="V85">INT(SUMPRODUCT(--ISNUMBER(SEARCH(abortion,'Jon Ossoff'!C85)))&gt;0)</f>
        <v>0</v>
      </c>
      <c r="W85" s="14" cm="1">
        <f t="array" ref="W85">INT(SUMPRODUCT(--ISNUMBER(SEARCH(trump,'Jon Ossoff'!C85)))&gt;0)</f>
        <v>0</v>
      </c>
      <c r="X85" s="14" cm="1">
        <f t="array" ref="X85">INT(SUMPRODUCT(--ISNUMBER(SEARCH(voting,'Jon Ossoff'!C85)))&gt;0)</f>
        <v>0</v>
      </c>
      <c r="Y85" s="14" cm="1">
        <f t="array" ref="Y85">INT(SUMPRODUCT(--ISNUMBER(SEARCH(democrattrigger,'Jon Ossoff'!C85)))&gt;0)</f>
        <v>1</v>
      </c>
      <c r="Z85" s="14" cm="1">
        <f t="array" ref="Z85">INT(SUMPRODUCT(--ISNUMBER(SEARCH(bipartisan,'Jon Ossoff'!C85)))&gt;0)</f>
        <v>0</v>
      </c>
      <c r="AA85" s="14">
        <f t="shared" si="1"/>
        <v>0</v>
      </c>
      <c r="AB85" s="14"/>
      <c r="AC85" s="30" t="s">
        <v>223</v>
      </c>
      <c r="AD85" s="37" t="s">
        <v>223</v>
      </c>
    </row>
    <row r="86" spans="1:30" x14ac:dyDescent="0.25">
      <c r="A86" s="36">
        <v>596</v>
      </c>
      <c r="B86" s="14" t="s">
        <v>1222</v>
      </c>
      <c r="C86" s="31" t="s">
        <v>1223</v>
      </c>
      <c r="D86" s="17">
        <v>44132</v>
      </c>
      <c r="E86" s="14" t="s">
        <v>30</v>
      </c>
      <c r="F86" s="14">
        <v>1743</v>
      </c>
      <c r="G86" s="14">
        <v>484</v>
      </c>
      <c r="H86" s="14">
        <v>4</v>
      </c>
      <c r="I86" s="14">
        <v>2</v>
      </c>
      <c r="J86" s="14" t="s">
        <v>204</v>
      </c>
      <c r="K86" s="14" cm="1">
        <f t="array" ref="K86">INT(SUMPRODUCT(--ISNUMBER(SEARCH(economy,'Jon Ossoff'!C86)))&gt;0)</f>
        <v>0</v>
      </c>
      <c r="L86" s="14" cm="1">
        <f t="array" ref="L86">INT(SUMPRODUCT(--ISNUMBER(SEARCH(healthcare,'Jon Ossoff'!C86)))&gt;0)</f>
        <v>0</v>
      </c>
      <c r="M86" s="14" cm="1">
        <f t="array" ref="M86">INT(SUMPRODUCT(--ISNUMBER(SEARCH(supreme,'Jon Ossoff'!C86)))&gt;0)</f>
        <v>0</v>
      </c>
      <c r="N86" s="14" cm="1">
        <f t="array" ref="N86">INT(SUMPRODUCT(--ISNUMBER(SEARCH(covid,'Jon Ossoff'!C86)))&gt;0)</f>
        <v>0</v>
      </c>
      <c r="O86" s="14" cm="1">
        <f t="array" ref="O86">INT(SUMPRODUCT(--ISNUMBER(SEARCH(violent,'Jon Ossoff'!C86)))&gt;0)</f>
        <v>0</v>
      </c>
      <c r="P86" s="14" cm="1">
        <f t="array" ref="P86">INT(SUMPRODUCT(--ISNUMBER(SEARCH(foreign,'Jon Ossoff'!C86)))&gt;0)</f>
        <v>0</v>
      </c>
      <c r="Q86" s="14" cm="1">
        <f t="array" ref="Q86">INT(SUMPRODUCT(--ISNUMBER(SEARCH(gun,'Jon Ossoff'!C86)))&gt;0)</f>
        <v>0</v>
      </c>
      <c r="R86" s="14" cm="1">
        <f t="array" ref="R86">INT(SUMPRODUCT(--ISNUMBER(SEARCH(race,'Jon Ossoff'!C86)))&gt;0)</f>
        <v>0</v>
      </c>
      <c r="S86" s="14" cm="1">
        <f t="array" ref="S86">INT(SUMPRODUCT(--ISNUMBER(SEARCH(immigration,C86)))&gt;0)</f>
        <v>0</v>
      </c>
      <c r="T86" s="14" cm="1">
        <f t="array" ref="T86">INT(SUMPRODUCT(--ISNUMBER(SEARCH(econineq,C86)))&gt;0)</f>
        <v>0</v>
      </c>
      <c r="U86" s="14" cm="1">
        <f t="array" ref="U86">INT(SUMPRODUCT(--ISNUMBER(SEARCH(climate,'Jon Ossoff'!C86)))&gt;0)</f>
        <v>0</v>
      </c>
      <c r="V86" s="14" cm="1">
        <f t="array" ref="V86">INT(SUMPRODUCT(--ISNUMBER(SEARCH(abortion,'Jon Ossoff'!C86)))&gt;0)</f>
        <v>0</v>
      </c>
      <c r="W86" s="14" cm="1">
        <f t="array" ref="W86">INT(SUMPRODUCT(--ISNUMBER(SEARCH(trump,'Jon Ossoff'!C86)))&gt;0)</f>
        <v>0</v>
      </c>
      <c r="X86" s="14" cm="1">
        <f t="array" ref="X86">INT(SUMPRODUCT(--ISNUMBER(SEARCH(voting,'Jon Ossoff'!C86)))&gt;0)</f>
        <v>1</v>
      </c>
      <c r="Y86" s="14" cm="1">
        <f t="array" ref="Y86">INT(SUMPRODUCT(--ISNUMBER(SEARCH(democrattrigger,'Jon Ossoff'!C86)))&gt;0)</f>
        <v>1</v>
      </c>
      <c r="Z86" s="14" cm="1">
        <f t="array" ref="Z86">INT(SUMPRODUCT(--ISNUMBER(SEARCH(bipartisan,'Jon Ossoff'!C86)))&gt;0)</f>
        <v>0</v>
      </c>
      <c r="AA86" s="14">
        <f t="shared" si="1"/>
        <v>0</v>
      </c>
      <c r="AB86" s="14"/>
      <c r="AC86" s="30">
        <v>0</v>
      </c>
      <c r="AD86" s="37">
        <v>1</v>
      </c>
    </row>
    <row r="87" spans="1:30" x14ac:dyDescent="0.25">
      <c r="A87" s="36">
        <v>597</v>
      </c>
      <c r="B87" s="14" t="s">
        <v>1224</v>
      </c>
      <c r="C87" s="31" t="s">
        <v>1225</v>
      </c>
      <c r="D87" s="17">
        <v>44132</v>
      </c>
      <c r="E87" s="14" t="s">
        <v>30</v>
      </c>
      <c r="F87" s="14">
        <v>1282</v>
      </c>
      <c r="G87" s="14">
        <v>229</v>
      </c>
      <c r="H87" s="14">
        <v>4</v>
      </c>
      <c r="I87" s="14">
        <v>2</v>
      </c>
      <c r="J87" s="14" t="s">
        <v>204</v>
      </c>
      <c r="K87" s="14" cm="1">
        <f t="array" ref="K87">INT(SUMPRODUCT(--ISNUMBER(SEARCH(economy,'Jon Ossoff'!C87)))&gt;0)</f>
        <v>0</v>
      </c>
      <c r="L87" s="14" cm="1">
        <f t="array" ref="L87">INT(SUMPRODUCT(--ISNUMBER(SEARCH(healthcare,'Jon Ossoff'!C87)))&gt;0)</f>
        <v>0</v>
      </c>
      <c r="M87" s="14" cm="1">
        <f t="array" ref="M87">INT(SUMPRODUCT(--ISNUMBER(SEARCH(supreme,'Jon Ossoff'!C87)))&gt;0)</f>
        <v>0</v>
      </c>
      <c r="N87" s="14" cm="1">
        <f t="array" ref="N87">INT(SUMPRODUCT(--ISNUMBER(SEARCH(covid,'Jon Ossoff'!C87)))&gt;0)</f>
        <v>0</v>
      </c>
      <c r="O87" s="14" cm="1">
        <f t="array" ref="O87">INT(SUMPRODUCT(--ISNUMBER(SEARCH(violent,'Jon Ossoff'!C87)))&gt;0)</f>
        <v>0</v>
      </c>
      <c r="P87" s="14" cm="1">
        <f t="array" ref="P87">INT(SUMPRODUCT(--ISNUMBER(SEARCH(foreign,'Jon Ossoff'!C87)))&gt;0)</f>
        <v>0</v>
      </c>
      <c r="Q87" s="14" cm="1">
        <f t="array" ref="Q87">INT(SUMPRODUCT(--ISNUMBER(SEARCH(gun,'Jon Ossoff'!C87)))&gt;0)</f>
        <v>0</v>
      </c>
      <c r="R87" s="14" cm="1">
        <f t="array" ref="R87">INT(SUMPRODUCT(--ISNUMBER(SEARCH(race,'Jon Ossoff'!C87)))&gt;0)</f>
        <v>0</v>
      </c>
      <c r="S87" s="14" cm="1">
        <f t="array" ref="S87">INT(SUMPRODUCT(--ISNUMBER(SEARCH(immigration,C87)))&gt;0)</f>
        <v>0</v>
      </c>
      <c r="T87" s="14" cm="1">
        <f t="array" ref="T87">INT(SUMPRODUCT(--ISNUMBER(SEARCH(econineq,C87)))&gt;0)</f>
        <v>0</v>
      </c>
      <c r="U87" s="14" cm="1">
        <f t="array" ref="U87">INT(SUMPRODUCT(--ISNUMBER(SEARCH(climate,'Jon Ossoff'!C87)))&gt;0)</f>
        <v>0</v>
      </c>
      <c r="V87" s="14" cm="1">
        <f t="array" ref="V87">INT(SUMPRODUCT(--ISNUMBER(SEARCH(abortion,'Jon Ossoff'!C87)))&gt;0)</f>
        <v>0</v>
      </c>
      <c r="W87" s="14" cm="1">
        <f t="array" ref="W87">INT(SUMPRODUCT(--ISNUMBER(SEARCH(trump,'Jon Ossoff'!C87)))&gt;0)</f>
        <v>0</v>
      </c>
      <c r="X87" s="14" cm="1">
        <f t="array" ref="X87">INT(SUMPRODUCT(--ISNUMBER(SEARCH(voting,'Jon Ossoff'!C87)))&gt;0)</f>
        <v>1</v>
      </c>
      <c r="Y87" s="14" cm="1">
        <f t="array" ref="Y87">INT(SUMPRODUCT(--ISNUMBER(SEARCH(democrattrigger,'Jon Ossoff'!C87)))&gt;0)</f>
        <v>0</v>
      </c>
      <c r="Z87" s="14" cm="1">
        <f t="array" ref="Z87">INT(SUMPRODUCT(--ISNUMBER(SEARCH(bipartisan,'Jon Ossoff'!C87)))&gt;0)</f>
        <v>0</v>
      </c>
      <c r="AA87" s="14">
        <f t="shared" si="1"/>
        <v>0</v>
      </c>
      <c r="AB87" s="14"/>
      <c r="AC87" s="30">
        <v>1</v>
      </c>
      <c r="AD87" s="37">
        <v>0</v>
      </c>
    </row>
    <row r="88" spans="1:30" x14ac:dyDescent="0.25">
      <c r="A88" s="36">
        <v>598</v>
      </c>
      <c r="B88" s="14" t="s">
        <v>1226</v>
      </c>
      <c r="C88" s="31" t="s">
        <v>1227</v>
      </c>
      <c r="D88" s="17">
        <v>44132</v>
      </c>
      <c r="E88" s="14" t="s">
        <v>30</v>
      </c>
      <c r="F88" s="14">
        <v>1427</v>
      </c>
      <c r="G88" s="14">
        <v>330</v>
      </c>
      <c r="H88" s="14">
        <v>4</v>
      </c>
      <c r="I88" s="14">
        <v>2</v>
      </c>
      <c r="J88" s="14" t="s">
        <v>204</v>
      </c>
      <c r="K88" s="14" cm="1">
        <f t="array" ref="K88">INT(SUMPRODUCT(--ISNUMBER(SEARCH(economy,'Jon Ossoff'!C88)))&gt;0)</f>
        <v>0</v>
      </c>
      <c r="L88" s="14" cm="1">
        <f t="array" ref="L88">INT(SUMPRODUCT(--ISNUMBER(SEARCH(healthcare,'Jon Ossoff'!C88)))&gt;0)</f>
        <v>1</v>
      </c>
      <c r="M88" s="14" cm="1">
        <f t="array" ref="M88">INT(SUMPRODUCT(--ISNUMBER(SEARCH(supreme,'Jon Ossoff'!C88)))&gt;0)</f>
        <v>0</v>
      </c>
      <c r="N88" s="14" cm="1">
        <f t="array" ref="N88">INT(SUMPRODUCT(--ISNUMBER(SEARCH(covid,'Jon Ossoff'!C88)))&gt;0)</f>
        <v>0</v>
      </c>
      <c r="O88" s="14" cm="1">
        <f t="array" ref="O88">INT(SUMPRODUCT(--ISNUMBER(SEARCH(violent,'Jon Ossoff'!C88)))&gt;0)</f>
        <v>0</v>
      </c>
      <c r="P88" s="14" cm="1">
        <f t="array" ref="P88">INT(SUMPRODUCT(--ISNUMBER(SEARCH(foreign,'Jon Ossoff'!C88)))&gt;0)</f>
        <v>0</v>
      </c>
      <c r="Q88" s="14" cm="1">
        <f t="array" ref="Q88">INT(SUMPRODUCT(--ISNUMBER(SEARCH(gun,'Jon Ossoff'!C88)))&gt;0)</f>
        <v>0</v>
      </c>
      <c r="R88" s="14" cm="1">
        <f t="array" ref="R88">INT(SUMPRODUCT(--ISNUMBER(SEARCH(race,'Jon Ossoff'!C88)))&gt;0)</f>
        <v>0</v>
      </c>
      <c r="S88" s="14" cm="1">
        <f t="array" ref="S88">INT(SUMPRODUCT(--ISNUMBER(SEARCH(immigration,C88)))&gt;0)</f>
        <v>0</v>
      </c>
      <c r="T88" s="14" cm="1">
        <f t="array" ref="T88">INT(SUMPRODUCT(--ISNUMBER(SEARCH(econineq,C88)))&gt;0)</f>
        <v>0</v>
      </c>
      <c r="U88" s="14" cm="1">
        <f t="array" ref="U88">INT(SUMPRODUCT(--ISNUMBER(SEARCH(climate,'Jon Ossoff'!C88)))&gt;0)</f>
        <v>0</v>
      </c>
      <c r="V88" s="14" cm="1">
        <f t="array" ref="V88">INT(SUMPRODUCT(--ISNUMBER(SEARCH(abortion,'Jon Ossoff'!C88)))&gt;0)</f>
        <v>0</v>
      </c>
      <c r="W88" s="14" cm="1">
        <f t="array" ref="W88">INT(SUMPRODUCT(--ISNUMBER(SEARCH(trump,'Jon Ossoff'!C88)))&gt;0)</f>
        <v>0</v>
      </c>
      <c r="X88" s="14" cm="1">
        <f t="array" ref="X88">INT(SUMPRODUCT(--ISNUMBER(SEARCH(voting,'Jon Ossoff'!C88)))&gt;0)</f>
        <v>0</v>
      </c>
      <c r="Y88" s="14" cm="1">
        <f t="array" ref="Y88">INT(SUMPRODUCT(--ISNUMBER(SEARCH(democrattrigger,'Jon Ossoff'!C88)))&gt;0)</f>
        <v>1</v>
      </c>
      <c r="Z88" s="14" cm="1">
        <f t="array" ref="Z88">INT(SUMPRODUCT(--ISNUMBER(SEARCH(bipartisan,'Jon Ossoff'!C88)))&gt;0)</f>
        <v>0</v>
      </c>
      <c r="AA88" s="14">
        <f t="shared" si="1"/>
        <v>0</v>
      </c>
      <c r="AB88" s="14"/>
      <c r="AC88" s="30" t="s">
        <v>223</v>
      </c>
      <c r="AD88" s="37" t="s">
        <v>223</v>
      </c>
    </row>
    <row r="89" spans="1:30" x14ac:dyDescent="0.25">
      <c r="A89" s="36">
        <v>599</v>
      </c>
      <c r="B89" s="14" t="s">
        <v>1228</v>
      </c>
      <c r="C89" s="31" t="s">
        <v>1229</v>
      </c>
      <c r="D89" s="17">
        <v>44132</v>
      </c>
      <c r="E89" s="14" t="s">
        <v>30</v>
      </c>
      <c r="F89" s="14">
        <v>5026</v>
      </c>
      <c r="G89" s="14">
        <v>966</v>
      </c>
      <c r="H89" s="14">
        <v>4</v>
      </c>
      <c r="I89" s="14">
        <v>2</v>
      </c>
      <c r="J89" s="14" t="s">
        <v>204</v>
      </c>
      <c r="K89" s="14" cm="1">
        <f t="array" ref="K89">INT(SUMPRODUCT(--ISNUMBER(SEARCH(economy,'Jon Ossoff'!C89)))&gt;0)</f>
        <v>0</v>
      </c>
      <c r="L89" s="14" cm="1">
        <f t="array" ref="L89">INT(SUMPRODUCT(--ISNUMBER(SEARCH(healthcare,'Jon Ossoff'!C89)))&gt;0)</f>
        <v>0</v>
      </c>
      <c r="M89" s="14" cm="1">
        <f t="array" ref="M89">INT(SUMPRODUCT(--ISNUMBER(SEARCH(supreme,'Jon Ossoff'!C89)))&gt;0)</f>
        <v>0</v>
      </c>
      <c r="N89" s="14" cm="1">
        <f t="array" ref="N89">INT(SUMPRODUCT(--ISNUMBER(SEARCH(covid,'Jon Ossoff'!C89)))&gt;0)</f>
        <v>0</v>
      </c>
      <c r="O89" s="14" cm="1">
        <f t="array" ref="O89">INT(SUMPRODUCT(--ISNUMBER(SEARCH(violent,'Jon Ossoff'!C89)))&gt;0)</f>
        <v>0</v>
      </c>
      <c r="P89" s="14" cm="1">
        <f t="array" ref="P89">INT(SUMPRODUCT(--ISNUMBER(SEARCH(foreign,'Jon Ossoff'!C89)))&gt;0)</f>
        <v>0</v>
      </c>
      <c r="Q89" s="14" cm="1">
        <f t="array" ref="Q89">INT(SUMPRODUCT(--ISNUMBER(SEARCH(gun,'Jon Ossoff'!C89)))&gt;0)</f>
        <v>0</v>
      </c>
      <c r="R89" s="14" cm="1">
        <f t="array" ref="R89">INT(SUMPRODUCT(--ISNUMBER(SEARCH(race,'Jon Ossoff'!C89)))&gt;0)</f>
        <v>0</v>
      </c>
      <c r="S89" s="14" cm="1">
        <f t="array" ref="S89">INT(SUMPRODUCT(--ISNUMBER(SEARCH(immigration,C89)))&gt;0)</f>
        <v>0</v>
      </c>
      <c r="T89" s="14" cm="1">
        <f t="array" ref="T89">INT(SUMPRODUCT(--ISNUMBER(SEARCH(econineq,C89)))&gt;0)</f>
        <v>0</v>
      </c>
      <c r="U89" s="14" cm="1">
        <f t="array" ref="U89">INT(SUMPRODUCT(--ISNUMBER(SEARCH(climate,'Jon Ossoff'!C89)))&gt;0)</f>
        <v>0</v>
      </c>
      <c r="V89" s="14" cm="1">
        <f t="array" ref="V89">INT(SUMPRODUCT(--ISNUMBER(SEARCH(abortion,'Jon Ossoff'!C89)))&gt;0)</f>
        <v>0</v>
      </c>
      <c r="W89" s="14" cm="1">
        <f t="array" ref="W89">INT(SUMPRODUCT(--ISNUMBER(SEARCH(trump,'Jon Ossoff'!C89)))&gt;0)</f>
        <v>0</v>
      </c>
      <c r="X89" s="14" cm="1">
        <f t="array" ref="X89">INT(SUMPRODUCT(--ISNUMBER(SEARCH(voting,'Jon Ossoff'!C89)))&gt;0)</f>
        <v>0</v>
      </c>
      <c r="Y89" s="14" cm="1">
        <f t="array" ref="Y89">INT(SUMPRODUCT(--ISNUMBER(SEARCH(democrattrigger,'Jon Ossoff'!C89)))&gt;0)</f>
        <v>1</v>
      </c>
      <c r="Z89" s="14" cm="1">
        <f t="array" ref="Z89">INT(SUMPRODUCT(--ISNUMBER(SEARCH(bipartisan,'Jon Ossoff'!C89)))&gt;0)</f>
        <v>0</v>
      </c>
      <c r="AA89" s="14">
        <f t="shared" si="1"/>
        <v>0</v>
      </c>
      <c r="AB89" s="14"/>
      <c r="AC89" s="30" t="s">
        <v>223</v>
      </c>
      <c r="AD89" s="37" t="s">
        <v>223</v>
      </c>
    </row>
    <row r="90" spans="1:30" x14ac:dyDescent="0.25">
      <c r="A90" s="36">
        <v>600</v>
      </c>
      <c r="B90" s="14" t="s">
        <v>1230</v>
      </c>
      <c r="C90" s="31" t="s">
        <v>1231</v>
      </c>
      <c r="D90" s="17">
        <v>44132</v>
      </c>
      <c r="E90" s="14" t="s">
        <v>30</v>
      </c>
      <c r="F90" s="14">
        <v>7680</v>
      </c>
      <c r="G90" s="14">
        <v>1508</v>
      </c>
      <c r="H90" s="14">
        <v>4</v>
      </c>
      <c r="I90" s="14">
        <v>2</v>
      </c>
      <c r="J90" s="14" t="s">
        <v>204</v>
      </c>
      <c r="K90" s="14" cm="1">
        <f t="array" ref="K90">INT(SUMPRODUCT(--ISNUMBER(SEARCH(economy,'Jon Ossoff'!C90)))&gt;0)</f>
        <v>0</v>
      </c>
      <c r="L90" s="14" cm="1">
        <f t="array" ref="L90">INT(SUMPRODUCT(--ISNUMBER(SEARCH(healthcare,'Jon Ossoff'!C90)))&gt;0)</f>
        <v>0</v>
      </c>
      <c r="M90" s="14" cm="1">
        <f t="array" ref="M90">INT(SUMPRODUCT(--ISNUMBER(SEARCH(supreme,'Jon Ossoff'!C90)))&gt;0)</f>
        <v>0</v>
      </c>
      <c r="N90" s="14" cm="1">
        <f t="array" ref="N90">INT(SUMPRODUCT(--ISNUMBER(SEARCH(covid,'Jon Ossoff'!C90)))&gt;0)</f>
        <v>0</v>
      </c>
      <c r="O90" s="14" cm="1">
        <f t="array" ref="O90">INT(SUMPRODUCT(--ISNUMBER(SEARCH(violent,'Jon Ossoff'!C90)))&gt;0)</f>
        <v>0</v>
      </c>
      <c r="P90" s="14" cm="1">
        <f t="array" ref="P90">INT(SUMPRODUCT(--ISNUMBER(SEARCH(foreign,'Jon Ossoff'!C90)))&gt;0)</f>
        <v>0</v>
      </c>
      <c r="Q90" s="14" cm="1">
        <f t="array" ref="Q90">INT(SUMPRODUCT(--ISNUMBER(SEARCH(gun,'Jon Ossoff'!C90)))&gt;0)</f>
        <v>0</v>
      </c>
      <c r="R90" s="14" cm="1">
        <f t="array" ref="R90">INT(SUMPRODUCT(--ISNUMBER(SEARCH(race,'Jon Ossoff'!C90)))&gt;0)</f>
        <v>0</v>
      </c>
      <c r="S90" s="14" cm="1">
        <f t="array" ref="S90">INT(SUMPRODUCT(--ISNUMBER(SEARCH(immigration,C90)))&gt;0)</f>
        <v>0</v>
      </c>
      <c r="T90" s="14" cm="1">
        <f t="array" ref="T90">INT(SUMPRODUCT(--ISNUMBER(SEARCH(econineq,C90)))&gt;0)</f>
        <v>0</v>
      </c>
      <c r="U90" s="14" cm="1">
        <f t="array" ref="U90">INT(SUMPRODUCT(--ISNUMBER(SEARCH(climate,'Jon Ossoff'!C90)))&gt;0)</f>
        <v>0</v>
      </c>
      <c r="V90" s="14" cm="1">
        <f t="array" ref="V90">INT(SUMPRODUCT(--ISNUMBER(SEARCH(abortion,'Jon Ossoff'!C90)))&gt;0)</f>
        <v>0</v>
      </c>
      <c r="W90" s="14" cm="1">
        <f t="array" ref="W90">INT(SUMPRODUCT(--ISNUMBER(SEARCH(trump,'Jon Ossoff'!C90)))&gt;0)</f>
        <v>0</v>
      </c>
      <c r="X90" s="14" cm="1">
        <f t="array" ref="X90">INT(SUMPRODUCT(--ISNUMBER(SEARCH(voting,'Jon Ossoff'!C90)))&gt;0)</f>
        <v>0</v>
      </c>
      <c r="Y90" s="14" cm="1">
        <f t="array" ref="Y90">INT(SUMPRODUCT(--ISNUMBER(SEARCH(democrattrigger,'Jon Ossoff'!C90)))&gt;0)</f>
        <v>0</v>
      </c>
      <c r="Z90" s="14" cm="1">
        <f t="array" ref="Z90">INT(SUMPRODUCT(--ISNUMBER(SEARCH(bipartisan,'Jon Ossoff'!C90)))&gt;0)</f>
        <v>0</v>
      </c>
      <c r="AA90" s="14">
        <f t="shared" si="1"/>
        <v>1</v>
      </c>
      <c r="AB90" s="14"/>
      <c r="AC90" s="30">
        <v>1</v>
      </c>
      <c r="AD90" s="37">
        <v>0</v>
      </c>
    </row>
    <row r="91" spans="1:30" x14ac:dyDescent="0.25">
      <c r="A91" s="36">
        <v>601</v>
      </c>
      <c r="B91" s="14" t="s">
        <v>1232</v>
      </c>
      <c r="C91" s="31" t="s">
        <v>1233</v>
      </c>
      <c r="D91" s="17">
        <v>44132</v>
      </c>
      <c r="E91" s="14" t="s">
        <v>70</v>
      </c>
      <c r="F91" s="14">
        <v>778</v>
      </c>
      <c r="G91" s="14">
        <v>271</v>
      </c>
      <c r="H91" s="14">
        <v>4</v>
      </c>
      <c r="I91" s="14">
        <v>2</v>
      </c>
      <c r="J91" s="14" t="s">
        <v>204</v>
      </c>
      <c r="K91" s="14" cm="1">
        <f t="array" ref="K91">INT(SUMPRODUCT(--ISNUMBER(SEARCH(economy,'Jon Ossoff'!C91)))&gt;0)</f>
        <v>0</v>
      </c>
      <c r="L91" s="14" cm="1">
        <f t="array" ref="L91">INT(SUMPRODUCT(--ISNUMBER(SEARCH(healthcare,'Jon Ossoff'!C91)))&gt;0)</f>
        <v>0</v>
      </c>
      <c r="M91" s="14" cm="1">
        <f t="array" ref="M91">INT(SUMPRODUCT(--ISNUMBER(SEARCH(supreme,'Jon Ossoff'!C91)))&gt;0)</f>
        <v>0</v>
      </c>
      <c r="N91" s="14" cm="1">
        <f t="array" ref="N91">INT(SUMPRODUCT(--ISNUMBER(SEARCH(covid,'Jon Ossoff'!C91)))&gt;0)</f>
        <v>0</v>
      </c>
      <c r="O91" s="14" cm="1">
        <f t="array" ref="O91">INT(SUMPRODUCT(--ISNUMBER(SEARCH(violent,'Jon Ossoff'!C91)))&gt;0)</f>
        <v>0</v>
      </c>
      <c r="P91" s="14" cm="1">
        <f t="array" ref="P91">INT(SUMPRODUCT(--ISNUMBER(SEARCH(foreign,'Jon Ossoff'!C91)))&gt;0)</f>
        <v>0</v>
      </c>
      <c r="Q91" s="14" cm="1">
        <f t="array" ref="Q91">INT(SUMPRODUCT(--ISNUMBER(SEARCH(gun,'Jon Ossoff'!C91)))&gt;0)</f>
        <v>0</v>
      </c>
      <c r="R91" s="14" cm="1">
        <f t="array" ref="R91">INT(SUMPRODUCT(--ISNUMBER(SEARCH(race,'Jon Ossoff'!C91)))&gt;0)</f>
        <v>0</v>
      </c>
      <c r="S91" s="14" cm="1">
        <f t="array" ref="S91">INT(SUMPRODUCT(--ISNUMBER(SEARCH(immigration,C91)))&gt;0)</f>
        <v>0</v>
      </c>
      <c r="T91" s="14" cm="1">
        <f t="array" ref="T91">INT(SUMPRODUCT(--ISNUMBER(SEARCH(econineq,C91)))&gt;0)</f>
        <v>0</v>
      </c>
      <c r="U91" s="14" cm="1">
        <f t="array" ref="U91">INT(SUMPRODUCT(--ISNUMBER(SEARCH(climate,'Jon Ossoff'!C91)))&gt;0)</f>
        <v>0</v>
      </c>
      <c r="V91" s="14" cm="1">
        <f t="array" ref="V91">INT(SUMPRODUCT(--ISNUMBER(SEARCH(abortion,'Jon Ossoff'!C91)))&gt;0)</f>
        <v>0</v>
      </c>
      <c r="W91" s="14" cm="1">
        <f t="array" ref="W91">INT(SUMPRODUCT(--ISNUMBER(SEARCH(trump,'Jon Ossoff'!C91)))&gt;0)</f>
        <v>0</v>
      </c>
      <c r="X91" s="14" cm="1">
        <f t="array" ref="X91">INT(SUMPRODUCT(--ISNUMBER(SEARCH(voting,'Jon Ossoff'!C91)))&gt;0)</f>
        <v>1</v>
      </c>
      <c r="Y91" s="14" cm="1">
        <f t="array" ref="Y91">INT(SUMPRODUCT(--ISNUMBER(SEARCH(democrattrigger,'Jon Ossoff'!C91)))&gt;0)</f>
        <v>0</v>
      </c>
      <c r="Z91" s="14" cm="1">
        <f t="array" ref="Z91">INT(SUMPRODUCT(--ISNUMBER(SEARCH(bipartisan,'Jon Ossoff'!C91)))&gt;0)</f>
        <v>0</v>
      </c>
      <c r="AA91" s="14">
        <f t="shared" si="1"/>
        <v>0</v>
      </c>
      <c r="AB91" s="14"/>
      <c r="AC91" s="30" t="s">
        <v>223</v>
      </c>
      <c r="AD91" s="37" t="s">
        <v>223</v>
      </c>
    </row>
    <row r="92" spans="1:30" x14ac:dyDescent="0.25">
      <c r="A92" s="36">
        <v>602</v>
      </c>
      <c r="B92" s="14" t="s">
        <v>1234</v>
      </c>
      <c r="C92" s="31" t="s">
        <v>1235</v>
      </c>
      <c r="D92" s="17">
        <v>44132</v>
      </c>
      <c r="E92" s="14" t="s">
        <v>30</v>
      </c>
      <c r="F92" s="14">
        <v>9305</v>
      </c>
      <c r="G92" s="14">
        <v>1308</v>
      </c>
      <c r="H92" s="14">
        <v>4</v>
      </c>
      <c r="I92" s="14">
        <v>2</v>
      </c>
      <c r="J92" s="14" t="s">
        <v>204</v>
      </c>
      <c r="K92" s="14" cm="1">
        <f t="array" ref="K92">INT(SUMPRODUCT(--ISNUMBER(SEARCH(economy,'Jon Ossoff'!C92)))&gt;0)</f>
        <v>0</v>
      </c>
      <c r="L92" s="14" cm="1">
        <f t="array" ref="L92">INT(SUMPRODUCT(--ISNUMBER(SEARCH(healthcare,'Jon Ossoff'!C92)))&gt;0)</f>
        <v>0</v>
      </c>
      <c r="M92" s="14" cm="1">
        <f t="array" ref="M92">INT(SUMPRODUCT(--ISNUMBER(SEARCH(supreme,'Jon Ossoff'!C92)))&gt;0)</f>
        <v>0</v>
      </c>
      <c r="N92" s="14" cm="1">
        <f t="array" ref="N92">INT(SUMPRODUCT(--ISNUMBER(SEARCH(covid,'Jon Ossoff'!C92)))&gt;0)</f>
        <v>0</v>
      </c>
      <c r="O92" s="14" cm="1">
        <f t="array" ref="O92">INT(SUMPRODUCT(--ISNUMBER(SEARCH(violent,'Jon Ossoff'!C92)))&gt;0)</f>
        <v>0</v>
      </c>
      <c r="P92" s="14" cm="1">
        <f t="array" ref="P92">INT(SUMPRODUCT(--ISNUMBER(SEARCH(foreign,'Jon Ossoff'!C92)))&gt;0)</f>
        <v>0</v>
      </c>
      <c r="Q92" s="14" cm="1">
        <f t="array" ref="Q92">INT(SUMPRODUCT(--ISNUMBER(SEARCH(gun,'Jon Ossoff'!C92)))&gt;0)</f>
        <v>0</v>
      </c>
      <c r="R92" s="14" cm="1">
        <f t="array" ref="R92">INT(SUMPRODUCT(--ISNUMBER(SEARCH(race,'Jon Ossoff'!C92)))&gt;0)</f>
        <v>0</v>
      </c>
      <c r="S92" s="14" cm="1">
        <f t="array" ref="S92">INT(SUMPRODUCT(--ISNUMBER(SEARCH(immigration,C92)))&gt;0)</f>
        <v>0</v>
      </c>
      <c r="T92" s="14" cm="1">
        <f t="array" ref="T92">INT(SUMPRODUCT(--ISNUMBER(SEARCH(econineq,C92)))&gt;0)</f>
        <v>0</v>
      </c>
      <c r="U92" s="14" cm="1">
        <f t="array" ref="U92">INT(SUMPRODUCT(--ISNUMBER(SEARCH(climate,'Jon Ossoff'!C92)))&gt;0)</f>
        <v>0</v>
      </c>
      <c r="V92" s="14" cm="1">
        <f t="array" ref="V92">INT(SUMPRODUCT(--ISNUMBER(SEARCH(abortion,'Jon Ossoff'!C92)))&gt;0)</f>
        <v>0</v>
      </c>
      <c r="W92" s="14" cm="1">
        <f t="array" ref="W92">INT(SUMPRODUCT(--ISNUMBER(SEARCH(trump,'Jon Ossoff'!C92)))&gt;0)</f>
        <v>0</v>
      </c>
      <c r="X92" s="14" cm="1">
        <f t="array" ref="X92">INT(SUMPRODUCT(--ISNUMBER(SEARCH(voting,'Jon Ossoff'!C92)))&gt;0)</f>
        <v>0</v>
      </c>
      <c r="Y92" s="14" cm="1">
        <f t="array" ref="Y92">INT(SUMPRODUCT(--ISNUMBER(SEARCH(democrattrigger,'Jon Ossoff'!C92)))&gt;0)</f>
        <v>0</v>
      </c>
      <c r="Z92" s="14" cm="1">
        <f t="array" ref="Z92">INT(SUMPRODUCT(--ISNUMBER(SEARCH(bipartisan,'Jon Ossoff'!C92)))&gt;0)</f>
        <v>0</v>
      </c>
      <c r="AA92" s="14">
        <f t="shared" si="1"/>
        <v>1</v>
      </c>
      <c r="AB92" s="14"/>
      <c r="AC92" s="30" t="s">
        <v>223</v>
      </c>
      <c r="AD92" s="37" t="s">
        <v>223</v>
      </c>
    </row>
    <row r="93" spans="1:30" x14ac:dyDescent="0.25">
      <c r="A93" s="36">
        <v>603</v>
      </c>
      <c r="B93" s="14" t="s">
        <v>1236</v>
      </c>
      <c r="C93" s="31" t="s">
        <v>1237</v>
      </c>
      <c r="D93" s="17">
        <v>44132</v>
      </c>
      <c r="E93" s="14" t="s">
        <v>30</v>
      </c>
      <c r="F93" s="14">
        <v>4170</v>
      </c>
      <c r="G93" s="14">
        <v>721</v>
      </c>
      <c r="H93" s="14">
        <v>4</v>
      </c>
      <c r="I93" s="14">
        <v>2</v>
      </c>
      <c r="J93" s="14" t="s">
        <v>204</v>
      </c>
      <c r="K93" s="14" cm="1">
        <f t="array" ref="K93">INT(SUMPRODUCT(--ISNUMBER(SEARCH(economy,'Jon Ossoff'!C93)))&gt;0)</f>
        <v>0</v>
      </c>
      <c r="L93" s="14" cm="1">
        <f t="array" ref="L93">INT(SUMPRODUCT(--ISNUMBER(SEARCH(healthcare,'Jon Ossoff'!C93)))&gt;0)</f>
        <v>0</v>
      </c>
      <c r="M93" s="14" cm="1">
        <f t="array" ref="M93">INT(SUMPRODUCT(--ISNUMBER(SEARCH(supreme,'Jon Ossoff'!C93)))&gt;0)</f>
        <v>0</v>
      </c>
      <c r="N93" s="14" cm="1">
        <f t="array" ref="N93">INT(SUMPRODUCT(--ISNUMBER(SEARCH(covid,'Jon Ossoff'!C93)))&gt;0)</f>
        <v>0</v>
      </c>
      <c r="O93" s="14" cm="1">
        <f t="array" ref="O93">INT(SUMPRODUCT(--ISNUMBER(SEARCH(violent,'Jon Ossoff'!C93)))&gt;0)</f>
        <v>0</v>
      </c>
      <c r="P93" s="14" cm="1">
        <f t="array" ref="P93">INT(SUMPRODUCT(--ISNUMBER(SEARCH(foreign,'Jon Ossoff'!C93)))&gt;0)</f>
        <v>0</v>
      </c>
      <c r="Q93" s="14" cm="1">
        <f t="array" ref="Q93">INT(SUMPRODUCT(--ISNUMBER(SEARCH(gun,'Jon Ossoff'!C93)))&gt;0)</f>
        <v>0</v>
      </c>
      <c r="R93" s="14" cm="1">
        <f t="array" ref="R93">INT(SUMPRODUCT(--ISNUMBER(SEARCH(race,'Jon Ossoff'!C93)))&gt;0)</f>
        <v>0</v>
      </c>
      <c r="S93" s="14" cm="1">
        <f t="array" ref="S93">INT(SUMPRODUCT(--ISNUMBER(SEARCH(immigration,C93)))&gt;0)</f>
        <v>0</v>
      </c>
      <c r="T93" s="14" cm="1">
        <f t="array" ref="T93">INT(SUMPRODUCT(--ISNUMBER(SEARCH(econineq,C93)))&gt;0)</f>
        <v>0</v>
      </c>
      <c r="U93" s="14" cm="1">
        <f t="array" ref="U93">INT(SUMPRODUCT(--ISNUMBER(SEARCH(climate,'Jon Ossoff'!C93)))&gt;0)</f>
        <v>0</v>
      </c>
      <c r="V93" s="14" cm="1">
        <f t="array" ref="V93">INT(SUMPRODUCT(--ISNUMBER(SEARCH(abortion,'Jon Ossoff'!C93)))&gt;0)</f>
        <v>0</v>
      </c>
      <c r="W93" s="14" cm="1">
        <f t="array" ref="W93">INT(SUMPRODUCT(--ISNUMBER(SEARCH(trump,'Jon Ossoff'!C93)))&gt;0)</f>
        <v>0</v>
      </c>
      <c r="X93" s="14" cm="1">
        <f t="array" ref="X93">INT(SUMPRODUCT(--ISNUMBER(SEARCH(voting,'Jon Ossoff'!C93)))&gt;0)</f>
        <v>0</v>
      </c>
      <c r="Y93" s="14" cm="1">
        <f t="array" ref="Y93">INT(SUMPRODUCT(--ISNUMBER(SEARCH(democrattrigger,'Jon Ossoff'!C93)))&gt;0)</f>
        <v>0</v>
      </c>
      <c r="Z93" s="14" cm="1">
        <f t="array" ref="Z93">INT(SUMPRODUCT(--ISNUMBER(SEARCH(bipartisan,'Jon Ossoff'!C93)))&gt;0)</f>
        <v>0</v>
      </c>
      <c r="AA93" s="14">
        <f t="shared" si="1"/>
        <v>1</v>
      </c>
      <c r="AB93" s="14"/>
      <c r="AC93" s="30">
        <v>1</v>
      </c>
      <c r="AD93" s="37">
        <v>0</v>
      </c>
    </row>
    <row r="94" spans="1:30" x14ac:dyDescent="0.25">
      <c r="A94" s="36">
        <v>604</v>
      </c>
      <c r="B94" s="14" t="s">
        <v>1238</v>
      </c>
      <c r="C94" s="31" t="s">
        <v>1239</v>
      </c>
      <c r="D94" s="17">
        <v>44131</v>
      </c>
      <c r="E94" s="14" t="s">
        <v>30</v>
      </c>
      <c r="F94" s="14">
        <v>495</v>
      </c>
      <c r="G94" s="14">
        <v>131</v>
      </c>
      <c r="H94" s="14">
        <v>4</v>
      </c>
      <c r="I94" s="14">
        <v>2</v>
      </c>
      <c r="J94" s="14" t="s">
        <v>204</v>
      </c>
      <c r="K94" s="14" cm="1">
        <f t="array" ref="K94">INT(SUMPRODUCT(--ISNUMBER(SEARCH(economy,'Jon Ossoff'!C94)))&gt;0)</f>
        <v>0</v>
      </c>
      <c r="L94" s="14" cm="1">
        <f t="array" ref="L94">INT(SUMPRODUCT(--ISNUMBER(SEARCH(healthcare,'Jon Ossoff'!C94)))&gt;0)</f>
        <v>0</v>
      </c>
      <c r="M94" s="14" cm="1">
        <f t="array" ref="M94">INT(SUMPRODUCT(--ISNUMBER(SEARCH(supreme,'Jon Ossoff'!C94)))&gt;0)</f>
        <v>0</v>
      </c>
      <c r="N94" s="14" cm="1">
        <f t="array" ref="N94">INT(SUMPRODUCT(--ISNUMBER(SEARCH(covid,'Jon Ossoff'!C94)))&gt;0)</f>
        <v>0</v>
      </c>
      <c r="O94" s="14" cm="1">
        <f t="array" ref="O94">INT(SUMPRODUCT(--ISNUMBER(SEARCH(violent,'Jon Ossoff'!C94)))&gt;0)</f>
        <v>0</v>
      </c>
      <c r="P94" s="14" cm="1">
        <f t="array" ref="P94">INT(SUMPRODUCT(--ISNUMBER(SEARCH(foreign,'Jon Ossoff'!C94)))&gt;0)</f>
        <v>0</v>
      </c>
      <c r="Q94" s="14" cm="1">
        <f t="array" ref="Q94">INT(SUMPRODUCT(--ISNUMBER(SEARCH(gun,'Jon Ossoff'!C94)))&gt;0)</f>
        <v>0</v>
      </c>
      <c r="R94" s="14" cm="1">
        <f t="array" ref="R94">INT(SUMPRODUCT(--ISNUMBER(SEARCH(race,'Jon Ossoff'!C94)))&gt;0)</f>
        <v>0</v>
      </c>
      <c r="S94" s="14" cm="1">
        <f t="array" ref="S94">INT(SUMPRODUCT(--ISNUMBER(SEARCH(immigration,C94)))&gt;0)</f>
        <v>0</v>
      </c>
      <c r="T94" s="14" cm="1">
        <f t="array" ref="T94">INT(SUMPRODUCT(--ISNUMBER(SEARCH(econineq,C94)))&gt;0)</f>
        <v>0</v>
      </c>
      <c r="U94" s="14" cm="1">
        <f t="array" ref="U94">INT(SUMPRODUCT(--ISNUMBER(SEARCH(climate,'Jon Ossoff'!C94)))&gt;0)</f>
        <v>0</v>
      </c>
      <c r="V94" s="14" cm="1">
        <f t="array" ref="V94">INT(SUMPRODUCT(--ISNUMBER(SEARCH(abortion,'Jon Ossoff'!C94)))&gt;0)</f>
        <v>0</v>
      </c>
      <c r="W94" s="14" cm="1">
        <f t="array" ref="W94">INT(SUMPRODUCT(--ISNUMBER(SEARCH(trump,'Jon Ossoff'!C94)))&gt;0)</f>
        <v>0</v>
      </c>
      <c r="X94" s="14" cm="1">
        <f t="array" ref="X94">INT(SUMPRODUCT(--ISNUMBER(SEARCH(voting,'Jon Ossoff'!C94)))&gt;0)</f>
        <v>0</v>
      </c>
      <c r="Y94" s="14" cm="1">
        <f t="array" ref="Y94">INT(SUMPRODUCT(--ISNUMBER(SEARCH(democrattrigger,'Jon Ossoff'!C94)))&gt;0)</f>
        <v>0</v>
      </c>
      <c r="Z94" s="14" cm="1">
        <f t="array" ref="Z94">INT(SUMPRODUCT(--ISNUMBER(SEARCH(bipartisan,'Jon Ossoff'!C94)))&gt;0)</f>
        <v>0</v>
      </c>
      <c r="AA94" s="14">
        <f t="shared" si="1"/>
        <v>1</v>
      </c>
      <c r="AB94" s="14"/>
      <c r="AC94" s="30">
        <v>0</v>
      </c>
      <c r="AD94" s="37">
        <v>1</v>
      </c>
    </row>
    <row r="95" spans="1:30" x14ac:dyDescent="0.25">
      <c r="A95" s="36">
        <v>605</v>
      </c>
      <c r="B95" s="14" t="s">
        <v>1240</v>
      </c>
      <c r="C95" s="31" t="s">
        <v>1241</v>
      </c>
      <c r="D95" s="17">
        <v>44131</v>
      </c>
      <c r="E95" s="14" t="s">
        <v>30</v>
      </c>
      <c r="F95" s="14">
        <v>3209</v>
      </c>
      <c r="G95" s="14">
        <v>568</v>
      </c>
      <c r="H95" s="14">
        <v>4</v>
      </c>
      <c r="I95" s="14">
        <v>2</v>
      </c>
      <c r="J95" s="14" t="s">
        <v>204</v>
      </c>
      <c r="K95" s="14" cm="1">
        <f t="array" ref="K95">INT(SUMPRODUCT(--ISNUMBER(SEARCH(economy,'Jon Ossoff'!C95)))&gt;0)</f>
        <v>0</v>
      </c>
      <c r="L95" s="14" cm="1">
        <f t="array" ref="L95">INT(SUMPRODUCT(--ISNUMBER(SEARCH(healthcare,'Jon Ossoff'!C95)))&gt;0)</f>
        <v>0</v>
      </c>
      <c r="M95" s="14" cm="1">
        <f t="array" ref="M95">INT(SUMPRODUCT(--ISNUMBER(SEARCH(supreme,'Jon Ossoff'!C95)))&gt;0)</f>
        <v>0</v>
      </c>
      <c r="N95" s="14" cm="1">
        <f t="array" ref="N95">INT(SUMPRODUCT(--ISNUMBER(SEARCH(covid,'Jon Ossoff'!C95)))&gt;0)</f>
        <v>0</v>
      </c>
      <c r="O95" s="14" cm="1">
        <f t="array" ref="O95">INT(SUMPRODUCT(--ISNUMBER(SEARCH(violent,'Jon Ossoff'!C95)))&gt;0)</f>
        <v>0</v>
      </c>
      <c r="P95" s="14" cm="1">
        <f t="array" ref="P95">INT(SUMPRODUCT(--ISNUMBER(SEARCH(foreign,'Jon Ossoff'!C95)))&gt;0)</f>
        <v>0</v>
      </c>
      <c r="Q95" s="14" cm="1">
        <f t="array" ref="Q95">INT(SUMPRODUCT(--ISNUMBER(SEARCH(gun,'Jon Ossoff'!C95)))&gt;0)</f>
        <v>0</v>
      </c>
      <c r="R95" s="14" cm="1">
        <f t="array" ref="R95">INT(SUMPRODUCT(--ISNUMBER(SEARCH(race,'Jon Ossoff'!C95)))&gt;0)</f>
        <v>0</v>
      </c>
      <c r="S95" s="14" cm="1">
        <f t="array" ref="S95">INT(SUMPRODUCT(--ISNUMBER(SEARCH(immigration,C95)))&gt;0)</f>
        <v>0</v>
      </c>
      <c r="T95" s="14" cm="1">
        <f t="array" ref="T95">INT(SUMPRODUCT(--ISNUMBER(SEARCH(econineq,C95)))&gt;0)</f>
        <v>0</v>
      </c>
      <c r="U95" s="14" cm="1">
        <f t="array" ref="U95">INT(SUMPRODUCT(--ISNUMBER(SEARCH(climate,'Jon Ossoff'!C95)))&gt;0)</f>
        <v>0</v>
      </c>
      <c r="V95" s="14" cm="1">
        <f t="array" ref="V95">INT(SUMPRODUCT(--ISNUMBER(SEARCH(abortion,'Jon Ossoff'!C95)))&gt;0)</f>
        <v>0</v>
      </c>
      <c r="W95" s="14" cm="1">
        <f t="array" ref="W95">INT(SUMPRODUCT(--ISNUMBER(SEARCH(trump,'Jon Ossoff'!C95)))&gt;0)</f>
        <v>0</v>
      </c>
      <c r="X95" s="14" cm="1">
        <f t="array" ref="X95">INT(SUMPRODUCT(--ISNUMBER(SEARCH(voting,'Jon Ossoff'!C95)))&gt;0)</f>
        <v>0</v>
      </c>
      <c r="Y95" s="14" cm="1">
        <f t="array" ref="Y95">INT(SUMPRODUCT(--ISNUMBER(SEARCH(democrattrigger,'Jon Ossoff'!C95)))&gt;0)</f>
        <v>0</v>
      </c>
      <c r="Z95" s="14" cm="1">
        <f t="array" ref="Z95">INT(SUMPRODUCT(--ISNUMBER(SEARCH(bipartisan,'Jon Ossoff'!C95)))&gt;0)</f>
        <v>0</v>
      </c>
      <c r="AA95" s="14">
        <f t="shared" si="1"/>
        <v>1</v>
      </c>
      <c r="AB95" s="14"/>
      <c r="AC95" s="30" t="s">
        <v>223</v>
      </c>
      <c r="AD95" s="37" t="s">
        <v>223</v>
      </c>
    </row>
    <row r="96" spans="1:30" x14ac:dyDescent="0.25">
      <c r="A96" s="36">
        <v>606</v>
      </c>
      <c r="B96" s="14" t="s">
        <v>1242</v>
      </c>
      <c r="C96" s="31" t="s">
        <v>1243</v>
      </c>
      <c r="D96" s="17">
        <v>44131</v>
      </c>
      <c r="E96" s="14" t="s">
        <v>30</v>
      </c>
      <c r="F96" s="14">
        <v>5221</v>
      </c>
      <c r="G96" s="14">
        <v>1213</v>
      </c>
      <c r="H96" s="14">
        <v>4</v>
      </c>
      <c r="I96" s="14">
        <v>2</v>
      </c>
      <c r="J96" s="14" t="s">
        <v>204</v>
      </c>
      <c r="K96" s="14" cm="1">
        <f t="array" ref="K96">INT(SUMPRODUCT(--ISNUMBER(SEARCH(economy,'Jon Ossoff'!C96)))&gt;0)</f>
        <v>0</v>
      </c>
      <c r="L96" s="14" cm="1">
        <f t="array" ref="L96">INT(SUMPRODUCT(--ISNUMBER(SEARCH(healthcare,'Jon Ossoff'!C96)))&gt;0)</f>
        <v>0</v>
      </c>
      <c r="M96" s="14" cm="1">
        <f t="array" ref="M96">INT(SUMPRODUCT(--ISNUMBER(SEARCH(supreme,'Jon Ossoff'!C96)))&gt;0)</f>
        <v>0</v>
      </c>
      <c r="N96" s="14" cm="1">
        <f t="array" ref="N96">INT(SUMPRODUCT(--ISNUMBER(SEARCH(covid,'Jon Ossoff'!C96)))&gt;0)</f>
        <v>0</v>
      </c>
      <c r="O96" s="14" cm="1">
        <f t="array" ref="O96">INT(SUMPRODUCT(--ISNUMBER(SEARCH(violent,'Jon Ossoff'!C96)))&gt;0)</f>
        <v>0</v>
      </c>
      <c r="P96" s="14" cm="1">
        <f t="array" ref="P96">INT(SUMPRODUCT(--ISNUMBER(SEARCH(foreign,'Jon Ossoff'!C96)))&gt;0)</f>
        <v>0</v>
      </c>
      <c r="Q96" s="14" cm="1">
        <f t="array" ref="Q96">INT(SUMPRODUCT(--ISNUMBER(SEARCH(gun,'Jon Ossoff'!C96)))&gt;0)</f>
        <v>0</v>
      </c>
      <c r="R96" s="14" cm="1">
        <f t="array" ref="R96">INT(SUMPRODUCT(--ISNUMBER(SEARCH(race,'Jon Ossoff'!C96)))&gt;0)</f>
        <v>0</v>
      </c>
      <c r="S96" s="14" cm="1">
        <f t="array" ref="S96">INT(SUMPRODUCT(--ISNUMBER(SEARCH(immigration,C96)))&gt;0)</f>
        <v>0</v>
      </c>
      <c r="T96" s="14" cm="1">
        <f t="array" ref="T96">INT(SUMPRODUCT(--ISNUMBER(SEARCH(econineq,C96)))&gt;0)</f>
        <v>0</v>
      </c>
      <c r="U96" s="14" cm="1">
        <f t="array" ref="U96">INT(SUMPRODUCT(--ISNUMBER(SEARCH(climate,'Jon Ossoff'!C96)))&gt;0)</f>
        <v>0</v>
      </c>
      <c r="V96" s="14" cm="1">
        <f t="array" ref="V96">INT(SUMPRODUCT(--ISNUMBER(SEARCH(abortion,'Jon Ossoff'!C96)))&gt;0)</f>
        <v>0</v>
      </c>
      <c r="W96" s="14" cm="1">
        <f t="array" ref="W96">INT(SUMPRODUCT(--ISNUMBER(SEARCH(trump,'Jon Ossoff'!C96)))&gt;0)</f>
        <v>0</v>
      </c>
      <c r="X96" s="14" cm="1">
        <f t="array" ref="X96">INT(SUMPRODUCT(--ISNUMBER(SEARCH(voting,'Jon Ossoff'!C96)))&gt;0)</f>
        <v>1</v>
      </c>
      <c r="Y96" s="14" cm="1">
        <f t="array" ref="Y96">INT(SUMPRODUCT(--ISNUMBER(SEARCH(democrattrigger,'Jon Ossoff'!C96)))&gt;0)</f>
        <v>0</v>
      </c>
      <c r="Z96" s="14" cm="1">
        <f t="array" ref="Z96">INT(SUMPRODUCT(--ISNUMBER(SEARCH(bipartisan,'Jon Ossoff'!C96)))&gt;0)</f>
        <v>0</v>
      </c>
      <c r="AA96" s="14">
        <f t="shared" si="1"/>
        <v>0</v>
      </c>
      <c r="AB96" s="14"/>
      <c r="AC96" s="30">
        <v>0</v>
      </c>
      <c r="AD96" s="37">
        <v>1</v>
      </c>
    </row>
    <row r="97" spans="1:30" x14ac:dyDescent="0.25">
      <c r="A97" s="36">
        <v>607</v>
      </c>
      <c r="B97" s="14" t="s">
        <v>1244</v>
      </c>
      <c r="C97" s="31" t="s">
        <v>1245</v>
      </c>
      <c r="D97" s="17">
        <v>44131</v>
      </c>
      <c r="E97" s="14" t="s">
        <v>70</v>
      </c>
      <c r="F97" s="14">
        <v>446</v>
      </c>
      <c r="G97" s="14">
        <v>139</v>
      </c>
      <c r="H97" s="14">
        <v>4</v>
      </c>
      <c r="I97" s="14">
        <v>2</v>
      </c>
      <c r="J97" s="14" t="s">
        <v>204</v>
      </c>
      <c r="K97" s="14" cm="1">
        <f t="array" ref="K97">INT(SUMPRODUCT(--ISNUMBER(SEARCH(economy,'Jon Ossoff'!C97)))&gt;0)</f>
        <v>0</v>
      </c>
      <c r="L97" s="14" cm="1">
        <f t="array" ref="L97">INT(SUMPRODUCT(--ISNUMBER(SEARCH(healthcare,'Jon Ossoff'!C97)))&gt;0)</f>
        <v>0</v>
      </c>
      <c r="M97" s="14" cm="1">
        <f t="array" ref="M97">INT(SUMPRODUCT(--ISNUMBER(SEARCH(supreme,'Jon Ossoff'!C97)))&gt;0)</f>
        <v>0</v>
      </c>
      <c r="N97" s="14" cm="1">
        <f t="array" ref="N97">INT(SUMPRODUCT(--ISNUMBER(SEARCH(covid,'Jon Ossoff'!C97)))&gt;0)</f>
        <v>0</v>
      </c>
      <c r="O97" s="14" cm="1">
        <f t="array" ref="O97">INT(SUMPRODUCT(--ISNUMBER(SEARCH(violent,'Jon Ossoff'!C97)))&gt;0)</f>
        <v>0</v>
      </c>
      <c r="P97" s="14" cm="1">
        <f t="array" ref="P97">INT(SUMPRODUCT(--ISNUMBER(SEARCH(foreign,'Jon Ossoff'!C97)))&gt;0)</f>
        <v>0</v>
      </c>
      <c r="Q97" s="14" cm="1">
        <f t="array" ref="Q97">INT(SUMPRODUCT(--ISNUMBER(SEARCH(gun,'Jon Ossoff'!C97)))&gt;0)</f>
        <v>0</v>
      </c>
      <c r="R97" s="14" cm="1">
        <f t="array" ref="R97">INT(SUMPRODUCT(--ISNUMBER(SEARCH(race,'Jon Ossoff'!C97)))&gt;0)</f>
        <v>0</v>
      </c>
      <c r="S97" s="14" cm="1">
        <f t="array" ref="S97">INT(SUMPRODUCT(--ISNUMBER(SEARCH(immigration,C97)))&gt;0)</f>
        <v>0</v>
      </c>
      <c r="T97" s="14" cm="1">
        <f t="array" ref="T97">INT(SUMPRODUCT(--ISNUMBER(SEARCH(econineq,C97)))&gt;0)</f>
        <v>0</v>
      </c>
      <c r="U97" s="14" cm="1">
        <f t="array" ref="U97">INT(SUMPRODUCT(--ISNUMBER(SEARCH(climate,'Jon Ossoff'!C97)))&gt;0)</f>
        <v>0</v>
      </c>
      <c r="V97" s="14" cm="1">
        <f t="array" ref="V97">INT(SUMPRODUCT(--ISNUMBER(SEARCH(abortion,'Jon Ossoff'!C97)))&gt;0)</f>
        <v>0</v>
      </c>
      <c r="W97" s="14" cm="1">
        <f t="array" ref="W97">INT(SUMPRODUCT(--ISNUMBER(SEARCH(trump,'Jon Ossoff'!C97)))&gt;0)</f>
        <v>0</v>
      </c>
      <c r="X97" s="14" cm="1">
        <f t="array" ref="X97">INT(SUMPRODUCT(--ISNUMBER(SEARCH(voting,'Jon Ossoff'!C97)))&gt;0)</f>
        <v>0</v>
      </c>
      <c r="Y97" s="14" cm="1">
        <f t="array" ref="Y97">INT(SUMPRODUCT(--ISNUMBER(SEARCH(democrattrigger,'Jon Ossoff'!C97)))&gt;0)</f>
        <v>0</v>
      </c>
      <c r="Z97" s="14" cm="1">
        <f t="array" ref="Z97">INT(SUMPRODUCT(--ISNUMBER(SEARCH(bipartisan,'Jon Ossoff'!C97)))&gt;0)</f>
        <v>0</v>
      </c>
      <c r="AA97" s="14">
        <f t="shared" si="1"/>
        <v>1</v>
      </c>
      <c r="AB97" s="14"/>
      <c r="AC97" s="30" t="s">
        <v>223</v>
      </c>
      <c r="AD97" s="37" t="s">
        <v>223</v>
      </c>
    </row>
    <row r="98" spans="1:30" x14ac:dyDescent="0.25">
      <c r="A98" s="36">
        <v>608</v>
      </c>
      <c r="B98" s="14" t="s">
        <v>1246</v>
      </c>
      <c r="C98" s="31" t="s">
        <v>1247</v>
      </c>
      <c r="D98" s="17">
        <v>44131</v>
      </c>
      <c r="E98" s="14" t="s">
        <v>30</v>
      </c>
      <c r="F98" s="14">
        <v>1311</v>
      </c>
      <c r="G98" s="14">
        <v>180</v>
      </c>
      <c r="H98" s="14">
        <v>4</v>
      </c>
      <c r="I98" s="14">
        <v>2</v>
      </c>
      <c r="J98" s="14" t="s">
        <v>204</v>
      </c>
      <c r="K98" s="14" cm="1">
        <f t="array" ref="K98">INT(SUMPRODUCT(--ISNUMBER(SEARCH(economy,'Jon Ossoff'!C98)))&gt;0)</f>
        <v>0</v>
      </c>
      <c r="L98" s="14" cm="1">
        <f t="array" ref="L98">INT(SUMPRODUCT(--ISNUMBER(SEARCH(healthcare,'Jon Ossoff'!C98)))&gt;0)</f>
        <v>0</v>
      </c>
      <c r="M98" s="14" cm="1">
        <f t="array" ref="M98">INT(SUMPRODUCT(--ISNUMBER(SEARCH(supreme,'Jon Ossoff'!C98)))&gt;0)</f>
        <v>0</v>
      </c>
      <c r="N98" s="14" cm="1">
        <f t="array" ref="N98">INT(SUMPRODUCT(--ISNUMBER(SEARCH(covid,'Jon Ossoff'!C98)))&gt;0)</f>
        <v>0</v>
      </c>
      <c r="O98" s="14" cm="1">
        <f t="array" ref="O98">INT(SUMPRODUCT(--ISNUMBER(SEARCH(violent,'Jon Ossoff'!C98)))&gt;0)</f>
        <v>0</v>
      </c>
      <c r="P98" s="14" cm="1">
        <f t="array" ref="P98">INT(SUMPRODUCT(--ISNUMBER(SEARCH(foreign,'Jon Ossoff'!C98)))&gt;0)</f>
        <v>0</v>
      </c>
      <c r="Q98" s="14" cm="1">
        <f t="array" ref="Q98">INT(SUMPRODUCT(--ISNUMBER(SEARCH(gun,'Jon Ossoff'!C98)))&gt;0)</f>
        <v>0</v>
      </c>
      <c r="R98" s="14" cm="1">
        <f t="array" ref="R98">INT(SUMPRODUCT(--ISNUMBER(SEARCH(race,'Jon Ossoff'!C98)))&gt;0)</f>
        <v>0</v>
      </c>
      <c r="S98" s="14" cm="1">
        <f t="array" ref="S98">INT(SUMPRODUCT(--ISNUMBER(SEARCH(immigration,C98)))&gt;0)</f>
        <v>0</v>
      </c>
      <c r="T98" s="14" cm="1">
        <f t="array" ref="T98">INT(SUMPRODUCT(--ISNUMBER(SEARCH(econineq,C98)))&gt;0)</f>
        <v>0</v>
      </c>
      <c r="U98" s="14" cm="1">
        <f t="array" ref="U98">INT(SUMPRODUCT(--ISNUMBER(SEARCH(climate,'Jon Ossoff'!C98)))&gt;0)</f>
        <v>0</v>
      </c>
      <c r="V98" s="14" cm="1">
        <f t="array" ref="V98">INT(SUMPRODUCT(--ISNUMBER(SEARCH(abortion,'Jon Ossoff'!C98)))&gt;0)</f>
        <v>0</v>
      </c>
      <c r="W98" s="14" cm="1">
        <f t="array" ref="W98">INT(SUMPRODUCT(--ISNUMBER(SEARCH(trump,'Jon Ossoff'!C98)))&gt;0)</f>
        <v>0</v>
      </c>
      <c r="X98" s="14" cm="1">
        <f t="array" ref="X98">INT(SUMPRODUCT(--ISNUMBER(SEARCH(voting,'Jon Ossoff'!C98)))&gt;0)</f>
        <v>0</v>
      </c>
      <c r="Y98" s="14" cm="1">
        <f t="array" ref="Y98">INT(SUMPRODUCT(--ISNUMBER(SEARCH(democrattrigger,'Jon Ossoff'!C98)))&gt;0)</f>
        <v>0</v>
      </c>
      <c r="Z98" s="14" cm="1">
        <f t="array" ref="Z98">INT(SUMPRODUCT(--ISNUMBER(SEARCH(bipartisan,'Jon Ossoff'!C98)))&gt;0)</f>
        <v>0</v>
      </c>
      <c r="AA98" s="14">
        <f t="shared" si="1"/>
        <v>1</v>
      </c>
      <c r="AB98" s="14"/>
      <c r="AC98" s="30" t="s">
        <v>223</v>
      </c>
      <c r="AD98" s="37" t="s">
        <v>223</v>
      </c>
    </row>
    <row r="99" spans="1:30" x14ac:dyDescent="0.25">
      <c r="A99" s="36">
        <v>609</v>
      </c>
      <c r="B99" s="14" t="s">
        <v>1248</v>
      </c>
      <c r="C99" s="31" t="s">
        <v>1249</v>
      </c>
      <c r="D99" s="17">
        <v>44131</v>
      </c>
      <c r="E99" s="14" t="s">
        <v>30</v>
      </c>
      <c r="F99" s="14">
        <v>1968</v>
      </c>
      <c r="G99" s="14">
        <v>951</v>
      </c>
      <c r="H99" s="14">
        <v>4</v>
      </c>
      <c r="I99" s="14">
        <v>2</v>
      </c>
      <c r="J99" s="14" t="s">
        <v>204</v>
      </c>
      <c r="K99" s="14" cm="1">
        <f t="array" ref="K99">INT(SUMPRODUCT(--ISNUMBER(SEARCH(economy,'Jon Ossoff'!C99)))&gt;0)</f>
        <v>0</v>
      </c>
      <c r="L99" s="14" cm="1">
        <f t="array" ref="L99">INT(SUMPRODUCT(--ISNUMBER(SEARCH(healthcare,'Jon Ossoff'!C99)))&gt;0)</f>
        <v>0</v>
      </c>
      <c r="M99" s="14" cm="1">
        <f t="array" ref="M99">INT(SUMPRODUCT(--ISNUMBER(SEARCH(supreme,'Jon Ossoff'!C99)))&gt;0)</f>
        <v>0</v>
      </c>
      <c r="N99" s="14" cm="1">
        <f t="array" ref="N99">INT(SUMPRODUCT(--ISNUMBER(SEARCH(covid,'Jon Ossoff'!C99)))&gt;0)</f>
        <v>0</v>
      </c>
      <c r="O99" s="14" cm="1">
        <f t="array" ref="O99">INT(SUMPRODUCT(--ISNUMBER(SEARCH(violent,'Jon Ossoff'!C99)))&gt;0)</f>
        <v>0</v>
      </c>
      <c r="P99" s="14" cm="1">
        <f t="array" ref="P99">INT(SUMPRODUCT(--ISNUMBER(SEARCH(foreign,'Jon Ossoff'!C99)))&gt;0)</f>
        <v>0</v>
      </c>
      <c r="Q99" s="14" cm="1">
        <f t="array" ref="Q99">INT(SUMPRODUCT(--ISNUMBER(SEARCH(gun,'Jon Ossoff'!C99)))&gt;0)</f>
        <v>0</v>
      </c>
      <c r="R99" s="14" cm="1">
        <f t="array" ref="R99">INT(SUMPRODUCT(--ISNUMBER(SEARCH(race,'Jon Ossoff'!C99)))&gt;0)</f>
        <v>0</v>
      </c>
      <c r="S99" s="14" cm="1">
        <f t="array" ref="S99">INT(SUMPRODUCT(--ISNUMBER(SEARCH(immigration,C99)))&gt;0)</f>
        <v>0</v>
      </c>
      <c r="T99" s="14" cm="1">
        <f t="array" ref="T99">INT(SUMPRODUCT(--ISNUMBER(SEARCH(econineq,C99)))&gt;0)</f>
        <v>0</v>
      </c>
      <c r="U99" s="14" cm="1">
        <f t="array" ref="U99">INT(SUMPRODUCT(--ISNUMBER(SEARCH(climate,'Jon Ossoff'!C99)))&gt;0)</f>
        <v>0</v>
      </c>
      <c r="V99" s="14" cm="1">
        <f t="array" ref="V99">INT(SUMPRODUCT(--ISNUMBER(SEARCH(abortion,'Jon Ossoff'!C99)))&gt;0)</f>
        <v>0</v>
      </c>
      <c r="W99" s="14" cm="1">
        <f t="array" ref="W99">INT(SUMPRODUCT(--ISNUMBER(SEARCH(trump,'Jon Ossoff'!C99)))&gt;0)</f>
        <v>0</v>
      </c>
      <c r="X99" s="14" cm="1">
        <f t="array" ref="X99">INT(SUMPRODUCT(--ISNUMBER(SEARCH(voting,'Jon Ossoff'!C99)))&gt;0)</f>
        <v>1</v>
      </c>
      <c r="Y99" s="14" cm="1">
        <f t="array" ref="Y99">INT(SUMPRODUCT(--ISNUMBER(SEARCH(democrattrigger,'Jon Ossoff'!C99)))&gt;0)</f>
        <v>0</v>
      </c>
      <c r="Z99" s="14" cm="1">
        <f t="array" ref="Z99">INT(SUMPRODUCT(--ISNUMBER(SEARCH(bipartisan,'Jon Ossoff'!C99)))&gt;0)</f>
        <v>0</v>
      </c>
      <c r="AA99" s="14">
        <f t="shared" si="1"/>
        <v>0</v>
      </c>
      <c r="AB99" s="14"/>
      <c r="AC99" s="30" t="s">
        <v>223</v>
      </c>
      <c r="AD99" s="37" t="s">
        <v>223</v>
      </c>
    </row>
    <row r="100" spans="1:30" x14ac:dyDescent="0.25">
      <c r="A100" s="36">
        <v>610</v>
      </c>
      <c r="B100" s="14" t="s">
        <v>1250</v>
      </c>
      <c r="C100" s="31" t="s">
        <v>1251</v>
      </c>
      <c r="D100" s="17">
        <v>44131</v>
      </c>
      <c r="E100" s="14" t="s">
        <v>70</v>
      </c>
      <c r="F100" s="14">
        <v>583</v>
      </c>
      <c r="G100" s="14">
        <v>262</v>
      </c>
      <c r="H100" s="14">
        <v>4</v>
      </c>
      <c r="I100" s="14">
        <v>2</v>
      </c>
      <c r="J100" s="14" t="s">
        <v>204</v>
      </c>
      <c r="K100" s="14" cm="1">
        <f t="array" ref="K100">INT(SUMPRODUCT(--ISNUMBER(SEARCH(economy,'Jon Ossoff'!C100)))&gt;0)</f>
        <v>0</v>
      </c>
      <c r="L100" s="14" cm="1">
        <f t="array" ref="L100">INT(SUMPRODUCT(--ISNUMBER(SEARCH(healthcare,'Jon Ossoff'!C100)))&gt;0)</f>
        <v>0</v>
      </c>
      <c r="M100" s="14" cm="1">
        <f t="array" ref="M100">INT(SUMPRODUCT(--ISNUMBER(SEARCH(supreme,'Jon Ossoff'!C100)))&gt;0)</f>
        <v>0</v>
      </c>
      <c r="N100" s="14" cm="1">
        <f t="array" ref="N100">INT(SUMPRODUCT(--ISNUMBER(SEARCH(covid,'Jon Ossoff'!C100)))&gt;0)</f>
        <v>0</v>
      </c>
      <c r="O100" s="14" cm="1">
        <f t="array" ref="O100">INT(SUMPRODUCT(--ISNUMBER(SEARCH(violent,'Jon Ossoff'!C100)))&gt;0)</f>
        <v>0</v>
      </c>
      <c r="P100" s="14" cm="1">
        <f t="array" ref="P100">INT(SUMPRODUCT(--ISNUMBER(SEARCH(foreign,'Jon Ossoff'!C100)))&gt;0)</f>
        <v>0</v>
      </c>
      <c r="Q100" s="14" cm="1">
        <f t="array" ref="Q100">INT(SUMPRODUCT(--ISNUMBER(SEARCH(gun,'Jon Ossoff'!C100)))&gt;0)</f>
        <v>0</v>
      </c>
      <c r="R100" s="14" cm="1">
        <f t="array" ref="R100">INT(SUMPRODUCT(--ISNUMBER(SEARCH(race,'Jon Ossoff'!C100)))&gt;0)</f>
        <v>0</v>
      </c>
      <c r="S100" s="14" cm="1">
        <f t="array" ref="S100">INT(SUMPRODUCT(--ISNUMBER(SEARCH(immigration,C100)))&gt;0)</f>
        <v>0</v>
      </c>
      <c r="T100" s="14" cm="1">
        <f t="array" ref="T100">INT(SUMPRODUCT(--ISNUMBER(SEARCH(econineq,C100)))&gt;0)</f>
        <v>0</v>
      </c>
      <c r="U100" s="14" cm="1">
        <f t="array" ref="U100">INT(SUMPRODUCT(--ISNUMBER(SEARCH(climate,'Jon Ossoff'!C100)))&gt;0)</f>
        <v>0</v>
      </c>
      <c r="V100" s="14" cm="1">
        <f t="array" ref="V100">INT(SUMPRODUCT(--ISNUMBER(SEARCH(abortion,'Jon Ossoff'!C100)))&gt;0)</f>
        <v>0</v>
      </c>
      <c r="W100" s="14" cm="1">
        <f t="array" ref="W100">INT(SUMPRODUCT(--ISNUMBER(SEARCH(trump,'Jon Ossoff'!C100)))&gt;0)</f>
        <v>0</v>
      </c>
      <c r="X100" s="14" cm="1">
        <f t="array" ref="X100">INT(SUMPRODUCT(--ISNUMBER(SEARCH(voting,'Jon Ossoff'!C100)))&gt;0)</f>
        <v>1</v>
      </c>
      <c r="Y100" s="14" cm="1">
        <f t="array" ref="Y100">INT(SUMPRODUCT(--ISNUMBER(SEARCH(democrattrigger,'Jon Ossoff'!C100)))&gt;0)</f>
        <v>0</v>
      </c>
      <c r="Z100" s="14" cm="1">
        <f t="array" ref="Z100">INT(SUMPRODUCT(--ISNUMBER(SEARCH(bipartisan,'Jon Ossoff'!C100)))&gt;0)</f>
        <v>0</v>
      </c>
      <c r="AA100" s="14">
        <f t="shared" si="1"/>
        <v>0</v>
      </c>
      <c r="AB100" s="14"/>
      <c r="AC100" s="30" t="s">
        <v>223</v>
      </c>
      <c r="AD100" s="37" t="s">
        <v>223</v>
      </c>
    </row>
    <row r="101" spans="1:30" x14ac:dyDescent="0.25">
      <c r="A101" s="36">
        <v>611</v>
      </c>
      <c r="B101" s="14" t="s">
        <v>1252</v>
      </c>
      <c r="C101" s="31" t="s">
        <v>1253</v>
      </c>
      <c r="D101" s="17">
        <v>44131</v>
      </c>
      <c r="E101" s="14" t="s">
        <v>30</v>
      </c>
      <c r="F101" s="14">
        <v>10933</v>
      </c>
      <c r="G101" s="14">
        <v>1771</v>
      </c>
      <c r="H101" s="14">
        <v>4</v>
      </c>
      <c r="I101" s="14">
        <v>2</v>
      </c>
      <c r="J101" s="14" t="s">
        <v>204</v>
      </c>
      <c r="K101" s="14" cm="1">
        <f t="array" ref="K101">INT(SUMPRODUCT(--ISNUMBER(SEARCH(economy,'Jon Ossoff'!C101)))&gt;0)</f>
        <v>0</v>
      </c>
      <c r="L101" s="14" cm="1">
        <f t="array" ref="L101">INT(SUMPRODUCT(--ISNUMBER(SEARCH(healthcare,'Jon Ossoff'!C101)))&gt;0)</f>
        <v>0</v>
      </c>
      <c r="M101" s="14" cm="1">
        <f t="array" ref="M101">INT(SUMPRODUCT(--ISNUMBER(SEARCH(supreme,'Jon Ossoff'!C101)))&gt;0)</f>
        <v>0</v>
      </c>
      <c r="N101" s="14" cm="1">
        <f t="array" ref="N101">INT(SUMPRODUCT(--ISNUMBER(SEARCH(covid,'Jon Ossoff'!C101)))&gt;0)</f>
        <v>0</v>
      </c>
      <c r="O101" s="14" cm="1">
        <f t="array" ref="O101">INT(SUMPRODUCT(--ISNUMBER(SEARCH(violent,'Jon Ossoff'!C101)))&gt;0)</f>
        <v>0</v>
      </c>
      <c r="P101" s="14" cm="1">
        <f t="array" ref="P101">INT(SUMPRODUCT(--ISNUMBER(SEARCH(foreign,'Jon Ossoff'!C101)))&gt;0)</f>
        <v>0</v>
      </c>
      <c r="Q101" s="14" cm="1">
        <f t="array" ref="Q101">INT(SUMPRODUCT(--ISNUMBER(SEARCH(gun,'Jon Ossoff'!C101)))&gt;0)</f>
        <v>0</v>
      </c>
      <c r="R101" s="14" cm="1">
        <f t="array" ref="R101">INT(SUMPRODUCT(--ISNUMBER(SEARCH(race,'Jon Ossoff'!C101)))&gt;0)</f>
        <v>0</v>
      </c>
      <c r="S101" s="14" cm="1">
        <f t="array" ref="S101">INT(SUMPRODUCT(--ISNUMBER(SEARCH(immigration,C101)))&gt;0)</f>
        <v>0</v>
      </c>
      <c r="T101" s="14" cm="1">
        <f t="array" ref="T101">INT(SUMPRODUCT(--ISNUMBER(SEARCH(econineq,C101)))&gt;0)</f>
        <v>0</v>
      </c>
      <c r="U101" s="14" cm="1">
        <f t="array" ref="U101">INT(SUMPRODUCT(--ISNUMBER(SEARCH(climate,'Jon Ossoff'!C101)))&gt;0)</f>
        <v>0</v>
      </c>
      <c r="V101" s="14" cm="1">
        <f t="array" ref="V101">INT(SUMPRODUCT(--ISNUMBER(SEARCH(abortion,'Jon Ossoff'!C101)))&gt;0)</f>
        <v>0</v>
      </c>
      <c r="W101" s="14" cm="1">
        <f t="array" ref="W101">INT(SUMPRODUCT(--ISNUMBER(SEARCH(trump,'Jon Ossoff'!C101)))&gt;0)</f>
        <v>0</v>
      </c>
      <c r="X101" s="14" cm="1">
        <f t="array" ref="X101">INT(SUMPRODUCT(--ISNUMBER(SEARCH(voting,'Jon Ossoff'!C101)))&gt;0)</f>
        <v>0</v>
      </c>
      <c r="Y101" s="14" cm="1">
        <f t="array" ref="Y101">INT(SUMPRODUCT(--ISNUMBER(SEARCH(democrattrigger,'Jon Ossoff'!C101)))&gt;0)</f>
        <v>0</v>
      </c>
      <c r="Z101" s="14" cm="1">
        <f t="array" ref="Z101">INT(SUMPRODUCT(--ISNUMBER(SEARCH(bipartisan,'Jon Ossoff'!C101)))&gt;0)</f>
        <v>0</v>
      </c>
      <c r="AA101" s="14">
        <f t="shared" si="1"/>
        <v>1</v>
      </c>
      <c r="AB101" s="14"/>
      <c r="AC101" s="30">
        <v>1</v>
      </c>
      <c r="AD101" s="37">
        <v>0</v>
      </c>
    </row>
    <row r="102" spans="1:30" x14ac:dyDescent="0.25">
      <c r="A102" s="36">
        <v>612</v>
      </c>
      <c r="B102" s="14" t="s">
        <v>1254</v>
      </c>
      <c r="C102" s="31" t="s">
        <v>1161</v>
      </c>
      <c r="D102" s="17">
        <v>44131</v>
      </c>
      <c r="E102" s="14" t="s">
        <v>70</v>
      </c>
      <c r="F102" s="14">
        <v>526</v>
      </c>
      <c r="G102" s="14">
        <v>168</v>
      </c>
      <c r="H102" s="14">
        <v>4</v>
      </c>
      <c r="I102" s="14">
        <v>2</v>
      </c>
      <c r="J102" s="14" t="s">
        <v>204</v>
      </c>
      <c r="K102" s="14" cm="1">
        <f t="array" ref="K102">INT(SUMPRODUCT(--ISNUMBER(SEARCH(economy,'Jon Ossoff'!C102)))&gt;0)</f>
        <v>0</v>
      </c>
      <c r="L102" s="14" cm="1">
        <f t="array" ref="L102">INT(SUMPRODUCT(--ISNUMBER(SEARCH(healthcare,'Jon Ossoff'!C102)))&gt;0)</f>
        <v>0</v>
      </c>
      <c r="M102" s="14" cm="1">
        <f t="array" ref="M102">INT(SUMPRODUCT(--ISNUMBER(SEARCH(supreme,'Jon Ossoff'!C102)))&gt;0)</f>
        <v>0</v>
      </c>
      <c r="N102" s="14" cm="1">
        <f t="array" ref="N102">INT(SUMPRODUCT(--ISNUMBER(SEARCH(covid,'Jon Ossoff'!C102)))&gt;0)</f>
        <v>0</v>
      </c>
      <c r="O102" s="14" cm="1">
        <f t="array" ref="O102">INT(SUMPRODUCT(--ISNUMBER(SEARCH(violent,'Jon Ossoff'!C102)))&gt;0)</f>
        <v>0</v>
      </c>
      <c r="P102" s="14" cm="1">
        <f t="array" ref="P102">INT(SUMPRODUCT(--ISNUMBER(SEARCH(foreign,'Jon Ossoff'!C102)))&gt;0)</f>
        <v>0</v>
      </c>
      <c r="Q102" s="14" cm="1">
        <f t="array" ref="Q102">INT(SUMPRODUCT(--ISNUMBER(SEARCH(gun,'Jon Ossoff'!C102)))&gt;0)</f>
        <v>0</v>
      </c>
      <c r="R102" s="14" cm="1">
        <f t="array" ref="R102">INT(SUMPRODUCT(--ISNUMBER(SEARCH(race,'Jon Ossoff'!C102)))&gt;0)</f>
        <v>0</v>
      </c>
      <c r="S102" s="14" cm="1">
        <f t="array" ref="S102">INT(SUMPRODUCT(--ISNUMBER(SEARCH(immigration,C102)))&gt;0)</f>
        <v>0</v>
      </c>
      <c r="T102" s="14" cm="1">
        <f t="array" ref="T102">INT(SUMPRODUCT(--ISNUMBER(SEARCH(econineq,C102)))&gt;0)</f>
        <v>0</v>
      </c>
      <c r="U102" s="14" cm="1">
        <f t="array" ref="U102">INT(SUMPRODUCT(--ISNUMBER(SEARCH(climate,'Jon Ossoff'!C102)))&gt;0)</f>
        <v>0</v>
      </c>
      <c r="V102" s="14" cm="1">
        <f t="array" ref="V102">INT(SUMPRODUCT(--ISNUMBER(SEARCH(abortion,'Jon Ossoff'!C102)))&gt;0)</f>
        <v>0</v>
      </c>
      <c r="W102" s="14" cm="1">
        <f t="array" ref="W102">INT(SUMPRODUCT(--ISNUMBER(SEARCH(trump,'Jon Ossoff'!C102)))&gt;0)</f>
        <v>0</v>
      </c>
      <c r="X102" s="14" cm="1">
        <f t="array" ref="X102">INT(SUMPRODUCT(--ISNUMBER(SEARCH(voting,'Jon Ossoff'!C102)))&gt;0)</f>
        <v>1</v>
      </c>
      <c r="Y102" s="14" cm="1">
        <f t="array" ref="Y102">INT(SUMPRODUCT(--ISNUMBER(SEARCH(democrattrigger,'Jon Ossoff'!C102)))&gt;0)</f>
        <v>0</v>
      </c>
      <c r="Z102" s="14" cm="1">
        <f t="array" ref="Z102">INT(SUMPRODUCT(--ISNUMBER(SEARCH(bipartisan,'Jon Ossoff'!C102)))&gt;0)</f>
        <v>0</v>
      </c>
      <c r="AA102" s="14">
        <f t="shared" si="1"/>
        <v>0</v>
      </c>
      <c r="AB102" s="14"/>
      <c r="AC102" s="30" t="s">
        <v>223</v>
      </c>
      <c r="AD102" s="37" t="s">
        <v>223</v>
      </c>
    </row>
    <row r="103" spans="1:30" x14ac:dyDescent="0.25">
      <c r="A103" s="36">
        <v>613</v>
      </c>
      <c r="B103" s="14" t="s">
        <v>1255</v>
      </c>
      <c r="C103" s="31" t="s">
        <v>1256</v>
      </c>
      <c r="D103" s="17">
        <v>44131</v>
      </c>
      <c r="E103" s="14" t="s">
        <v>30</v>
      </c>
      <c r="F103" s="14">
        <v>4226</v>
      </c>
      <c r="G103" s="14">
        <v>854</v>
      </c>
      <c r="H103" s="14">
        <v>4</v>
      </c>
      <c r="I103" s="14">
        <v>2</v>
      </c>
      <c r="J103" s="14" t="s">
        <v>204</v>
      </c>
      <c r="K103" s="14" cm="1">
        <f t="array" ref="K103">INT(SUMPRODUCT(--ISNUMBER(SEARCH(economy,'Jon Ossoff'!C103)))&gt;0)</f>
        <v>0</v>
      </c>
      <c r="L103" s="14" cm="1">
        <f t="array" ref="L103">INT(SUMPRODUCT(--ISNUMBER(SEARCH(healthcare,'Jon Ossoff'!C103)))&gt;0)</f>
        <v>1</v>
      </c>
      <c r="M103" s="14" cm="1">
        <f t="array" ref="M103">INT(SUMPRODUCT(--ISNUMBER(SEARCH(supreme,'Jon Ossoff'!C103)))&gt;0)</f>
        <v>0</v>
      </c>
      <c r="N103" s="14" cm="1">
        <f t="array" ref="N103">INT(SUMPRODUCT(--ISNUMBER(SEARCH(covid,'Jon Ossoff'!C103)))&gt;0)</f>
        <v>0</v>
      </c>
      <c r="O103" s="14" cm="1">
        <f t="array" ref="O103">INT(SUMPRODUCT(--ISNUMBER(SEARCH(violent,'Jon Ossoff'!C103)))&gt;0)</f>
        <v>0</v>
      </c>
      <c r="P103" s="14" cm="1">
        <f t="array" ref="P103">INT(SUMPRODUCT(--ISNUMBER(SEARCH(foreign,'Jon Ossoff'!C103)))&gt;0)</f>
        <v>0</v>
      </c>
      <c r="Q103" s="14" cm="1">
        <f t="array" ref="Q103">INT(SUMPRODUCT(--ISNUMBER(SEARCH(gun,'Jon Ossoff'!C103)))&gt;0)</f>
        <v>0</v>
      </c>
      <c r="R103" s="14" cm="1">
        <f t="array" ref="R103">INT(SUMPRODUCT(--ISNUMBER(SEARCH(race,'Jon Ossoff'!C103)))&gt;0)</f>
        <v>0</v>
      </c>
      <c r="S103" s="14" cm="1">
        <f t="array" ref="S103">INT(SUMPRODUCT(--ISNUMBER(SEARCH(immigration,C103)))&gt;0)</f>
        <v>0</v>
      </c>
      <c r="T103" s="14" cm="1">
        <f t="array" ref="T103">INT(SUMPRODUCT(--ISNUMBER(SEARCH(econineq,C103)))&gt;0)</f>
        <v>0</v>
      </c>
      <c r="U103" s="14" cm="1">
        <f t="array" ref="U103">INT(SUMPRODUCT(--ISNUMBER(SEARCH(climate,'Jon Ossoff'!C103)))&gt;0)</f>
        <v>0</v>
      </c>
      <c r="V103" s="14" cm="1">
        <f t="array" ref="V103">INT(SUMPRODUCT(--ISNUMBER(SEARCH(abortion,'Jon Ossoff'!C103)))&gt;0)</f>
        <v>0</v>
      </c>
      <c r="W103" s="14" cm="1">
        <f t="array" ref="W103">INT(SUMPRODUCT(--ISNUMBER(SEARCH(trump,'Jon Ossoff'!C103)))&gt;0)</f>
        <v>0</v>
      </c>
      <c r="X103" s="14" cm="1">
        <f t="array" ref="X103">INT(SUMPRODUCT(--ISNUMBER(SEARCH(voting,'Jon Ossoff'!C103)))&gt;0)</f>
        <v>1</v>
      </c>
      <c r="Y103" s="14" cm="1">
        <f t="array" ref="Y103">INT(SUMPRODUCT(--ISNUMBER(SEARCH(democrattrigger,'Jon Ossoff'!C103)))&gt;0)</f>
        <v>0</v>
      </c>
      <c r="Z103" s="14" cm="1">
        <f t="array" ref="Z103">INT(SUMPRODUCT(--ISNUMBER(SEARCH(bipartisan,'Jon Ossoff'!C103)))&gt;0)</f>
        <v>0</v>
      </c>
      <c r="AA103" s="14">
        <f t="shared" si="1"/>
        <v>0</v>
      </c>
      <c r="AB103" s="14"/>
      <c r="AC103" s="30" t="s">
        <v>223</v>
      </c>
      <c r="AD103" s="37" t="s">
        <v>223</v>
      </c>
    </row>
    <row r="104" spans="1:30" x14ac:dyDescent="0.25">
      <c r="A104" s="36">
        <v>614</v>
      </c>
      <c r="B104" s="14" t="s">
        <v>1257</v>
      </c>
      <c r="C104" s="31" t="s">
        <v>1258</v>
      </c>
      <c r="D104" s="17">
        <v>44130</v>
      </c>
      <c r="E104" s="14" t="s">
        <v>30</v>
      </c>
      <c r="F104" s="14">
        <v>1727</v>
      </c>
      <c r="G104" s="14">
        <v>331</v>
      </c>
      <c r="H104" s="14">
        <v>4</v>
      </c>
      <c r="I104" s="14">
        <v>2</v>
      </c>
      <c r="J104" s="14" t="s">
        <v>204</v>
      </c>
      <c r="K104" s="14" cm="1">
        <f t="array" ref="K104">INT(SUMPRODUCT(--ISNUMBER(SEARCH(economy,'Jon Ossoff'!C104)))&gt;0)</f>
        <v>0</v>
      </c>
      <c r="L104" s="14" cm="1">
        <f t="array" ref="L104">INT(SUMPRODUCT(--ISNUMBER(SEARCH(healthcare,'Jon Ossoff'!C104)))&gt;0)</f>
        <v>0</v>
      </c>
      <c r="M104" s="14" cm="1">
        <f t="array" ref="M104">INT(SUMPRODUCT(--ISNUMBER(SEARCH(supreme,'Jon Ossoff'!C104)))&gt;0)</f>
        <v>0</v>
      </c>
      <c r="N104" s="14" cm="1">
        <f t="array" ref="N104">INT(SUMPRODUCT(--ISNUMBER(SEARCH(covid,'Jon Ossoff'!C104)))&gt;0)</f>
        <v>0</v>
      </c>
      <c r="O104" s="14" cm="1">
        <f t="array" ref="O104">INT(SUMPRODUCT(--ISNUMBER(SEARCH(violent,'Jon Ossoff'!C104)))&gt;0)</f>
        <v>0</v>
      </c>
      <c r="P104" s="14" cm="1">
        <f t="array" ref="P104">INT(SUMPRODUCT(--ISNUMBER(SEARCH(foreign,'Jon Ossoff'!C104)))&gt;0)</f>
        <v>0</v>
      </c>
      <c r="Q104" s="14" cm="1">
        <f t="array" ref="Q104">INT(SUMPRODUCT(--ISNUMBER(SEARCH(gun,'Jon Ossoff'!C104)))&gt;0)</f>
        <v>0</v>
      </c>
      <c r="R104" s="14" cm="1">
        <f t="array" ref="R104">INT(SUMPRODUCT(--ISNUMBER(SEARCH(race,'Jon Ossoff'!C104)))&gt;0)</f>
        <v>0</v>
      </c>
      <c r="S104" s="14" cm="1">
        <f t="array" ref="S104">INT(SUMPRODUCT(--ISNUMBER(SEARCH(immigration,C104)))&gt;0)</f>
        <v>0</v>
      </c>
      <c r="T104" s="14" cm="1">
        <f t="array" ref="T104">INT(SUMPRODUCT(--ISNUMBER(SEARCH(econineq,C104)))&gt;0)</f>
        <v>0</v>
      </c>
      <c r="U104" s="14" cm="1">
        <f t="array" ref="U104">INT(SUMPRODUCT(--ISNUMBER(SEARCH(climate,'Jon Ossoff'!C104)))&gt;0)</f>
        <v>0</v>
      </c>
      <c r="V104" s="14" cm="1">
        <f t="array" ref="V104">INT(SUMPRODUCT(--ISNUMBER(SEARCH(abortion,'Jon Ossoff'!C104)))&gt;0)</f>
        <v>0</v>
      </c>
      <c r="W104" s="14" cm="1">
        <f t="array" ref="W104">INT(SUMPRODUCT(--ISNUMBER(SEARCH(trump,'Jon Ossoff'!C104)))&gt;0)</f>
        <v>0</v>
      </c>
      <c r="X104" s="14" cm="1">
        <f t="array" ref="X104">INT(SUMPRODUCT(--ISNUMBER(SEARCH(voting,'Jon Ossoff'!C104)))&gt;0)</f>
        <v>0</v>
      </c>
      <c r="Y104" s="14" cm="1">
        <f t="array" ref="Y104">INT(SUMPRODUCT(--ISNUMBER(SEARCH(democrattrigger,'Jon Ossoff'!C104)))&gt;0)</f>
        <v>0</v>
      </c>
      <c r="Z104" s="14" cm="1">
        <f t="array" ref="Z104">INT(SUMPRODUCT(--ISNUMBER(SEARCH(bipartisan,'Jon Ossoff'!C104)))&gt;0)</f>
        <v>0</v>
      </c>
      <c r="AA104" s="14">
        <f t="shared" si="1"/>
        <v>1</v>
      </c>
      <c r="AB104" s="14"/>
      <c r="AC104" s="30" t="s">
        <v>223</v>
      </c>
      <c r="AD104" s="37" t="s">
        <v>223</v>
      </c>
    </row>
    <row r="105" spans="1:30" x14ac:dyDescent="0.25">
      <c r="A105" s="36">
        <v>615</v>
      </c>
      <c r="B105" s="14" t="s">
        <v>1259</v>
      </c>
      <c r="C105" s="31" t="s">
        <v>1260</v>
      </c>
      <c r="D105" s="17">
        <v>44130</v>
      </c>
      <c r="E105" s="14" t="s">
        <v>70</v>
      </c>
      <c r="F105" s="14">
        <v>348</v>
      </c>
      <c r="G105" s="14">
        <v>106</v>
      </c>
      <c r="H105" s="14">
        <v>4</v>
      </c>
      <c r="I105" s="14">
        <v>2</v>
      </c>
      <c r="J105" s="14" t="s">
        <v>204</v>
      </c>
      <c r="K105" s="14" cm="1">
        <f t="array" ref="K105">INT(SUMPRODUCT(--ISNUMBER(SEARCH(economy,'Jon Ossoff'!C105)))&gt;0)</f>
        <v>0</v>
      </c>
      <c r="L105" s="14" cm="1">
        <f t="array" ref="L105">INT(SUMPRODUCT(--ISNUMBER(SEARCH(healthcare,'Jon Ossoff'!C105)))&gt;0)</f>
        <v>0</v>
      </c>
      <c r="M105" s="14" cm="1">
        <f t="array" ref="M105">INT(SUMPRODUCT(--ISNUMBER(SEARCH(supreme,'Jon Ossoff'!C105)))&gt;0)</f>
        <v>0</v>
      </c>
      <c r="N105" s="14" cm="1">
        <f t="array" ref="N105">INT(SUMPRODUCT(--ISNUMBER(SEARCH(covid,'Jon Ossoff'!C105)))&gt;0)</f>
        <v>0</v>
      </c>
      <c r="O105" s="14" cm="1">
        <f t="array" ref="O105">INT(SUMPRODUCT(--ISNUMBER(SEARCH(violent,'Jon Ossoff'!C105)))&gt;0)</f>
        <v>0</v>
      </c>
      <c r="P105" s="14" cm="1">
        <f t="array" ref="P105">INT(SUMPRODUCT(--ISNUMBER(SEARCH(foreign,'Jon Ossoff'!C105)))&gt;0)</f>
        <v>0</v>
      </c>
      <c r="Q105" s="14" cm="1">
        <f t="array" ref="Q105">INT(SUMPRODUCT(--ISNUMBER(SEARCH(gun,'Jon Ossoff'!C105)))&gt;0)</f>
        <v>0</v>
      </c>
      <c r="R105" s="14" cm="1">
        <f t="array" ref="R105">INT(SUMPRODUCT(--ISNUMBER(SEARCH(race,'Jon Ossoff'!C105)))&gt;0)</f>
        <v>0</v>
      </c>
      <c r="S105" s="14" cm="1">
        <f t="array" ref="S105">INT(SUMPRODUCT(--ISNUMBER(SEARCH(immigration,C105)))&gt;0)</f>
        <v>0</v>
      </c>
      <c r="T105" s="14" cm="1">
        <f t="array" ref="T105">INT(SUMPRODUCT(--ISNUMBER(SEARCH(econineq,C105)))&gt;0)</f>
        <v>0</v>
      </c>
      <c r="U105" s="14" cm="1">
        <f t="array" ref="U105">INT(SUMPRODUCT(--ISNUMBER(SEARCH(climate,'Jon Ossoff'!C105)))&gt;0)</f>
        <v>0</v>
      </c>
      <c r="V105" s="14" cm="1">
        <f t="array" ref="V105">INT(SUMPRODUCT(--ISNUMBER(SEARCH(abortion,'Jon Ossoff'!C105)))&gt;0)</f>
        <v>0</v>
      </c>
      <c r="W105" s="14" cm="1">
        <f t="array" ref="W105">INT(SUMPRODUCT(--ISNUMBER(SEARCH(trump,'Jon Ossoff'!C105)))&gt;0)</f>
        <v>0</v>
      </c>
      <c r="X105" s="14" cm="1">
        <f t="array" ref="X105">INT(SUMPRODUCT(--ISNUMBER(SEARCH(voting,'Jon Ossoff'!C105)))&gt;0)</f>
        <v>1</v>
      </c>
      <c r="Y105" s="14" cm="1">
        <f t="array" ref="Y105">INT(SUMPRODUCT(--ISNUMBER(SEARCH(democrattrigger,'Jon Ossoff'!C105)))&gt;0)</f>
        <v>0</v>
      </c>
      <c r="Z105" s="14" cm="1">
        <f t="array" ref="Z105">INT(SUMPRODUCT(--ISNUMBER(SEARCH(bipartisan,'Jon Ossoff'!C105)))&gt;0)</f>
        <v>0</v>
      </c>
      <c r="AA105" s="14">
        <f t="shared" si="1"/>
        <v>0</v>
      </c>
      <c r="AB105" s="14"/>
      <c r="AC105" s="30" t="s">
        <v>223</v>
      </c>
      <c r="AD105" s="37" t="s">
        <v>223</v>
      </c>
    </row>
    <row r="106" spans="1:30" x14ac:dyDescent="0.25">
      <c r="A106" s="36">
        <v>616</v>
      </c>
      <c r="B106" s="14" t="s">
        <v>1261</v>
      </c>
      <c r="C106" s="31" t="s">
        <v>1262</v>
      </c>
      <c r="D106" s="17">
        <v>44130</v>
      </c>
      <c r="E106" s="14" t="s">
        <v>30</v>
      </c>
      <c r="F106" s="14">
        <v>1193</v>
      </c>
      <c r="G106" s="14">
        <v>268</v>
      </c>
      <c r="H106" s="14">
        <v>4</v>
      </c>
      <c r="I106" s="14">
        <v>2</v>
      </c>
      <c r="J106" s="14" t="s">
        <v>204</v>
      </c>
      <c r="K106" s="14" cm="1">
        <f t="array" ref="K106">INT(SUMPRODUCT(--ISNUMBER(SEARCH(economy,'Jon Ossoff'!C106)))&gt;0)</f>
        <v>0</v>
      </c>
      <c r="L106" s="14" cm="1">
        <f t="array" ref="L106">INT(SUMPRODUCT(--ISNUMBER(SEARCH(healthcare,'Jon Ossoff'!C106)))&gt;0)</f>
        <v>0</v>
      </c>
      <c r="M106" s="14" cm="1">
        <f t="array" ref="M106">INT(SUMPRODUCT(--ISNUMBER(SEARCH(supreme,'Jon Ossoff'!C106)))&gt;0)</f>
        <v>0</v>
      </c>
      <c r="N106" s="14" cm="1">
        <f t="array" ref="N106">INT(SUMPRODUCT(--ISNUMBER(SEARCH(covid,'Jon Ossoff'!C106)))&gt;0)</f>
        <v>0</v>
      </c>
      <c r="O106" s="14" cm="1">
        <f t="array" ref="O106">INT(SUMPRODUCT(--ISNUMBER(SEARCH(violent,'Jon Ossoff'!C106)))&gt;0)</f>
        <v>0</v>
      </c>
      <c r="P106" s="14" cm="1">
        <f t="array" ref="P106">INT(SUMPRODUCT(--ISNUMBER(SEARCH(foreign,'Jon Ossoff'!C106)))&gt;0)</f>
        <v>0</v>
      </c>
      <c r="Q106" s="14" cm="1">
        <f t="array" ref="Q106">INT(SUMPRODUCT(--ISNUMBER(SEARCH(gun,'Jon Ossoff'!C106)))&gt;0)</f>
        <v>0</v>
      </c>
      <c r="R106" s="14" cm="1">
        <f t="array" ref="R106">INT(SUMPRODUCT(--ISNUMBER(SEARCH(race,'Jon Ossoff'!C106)))&gt;0)</f>
        <v>0</v>
      </c>
      <c r="S106" s="14" cm="1">
        <f t="array" ref="S106">INT(SUMPRODUCT(--ISNUMBER(SEARCH(immigration,C106)))&gt;0)</f>
        <v>0</v>
      </c>
      <c r="T106" s="14" cm="1">
        <f t="array" ref="T106">INT(SUMPRODUCT(--ISNUMBER(SEARCH(econineq,C106)))&gt;0)</f>
        <v>0</v>
      </c>
      <c r="U106" s="14" cm="1">
        <f t="array" ref="U106">INT(SUMPRODUCT(--ISNUMBER(SEARCH(climate,'Jon Ossoff'!C106)))&gt;0)</f>
        <v>0</v>
      </c>
      <c r="V106" s="14" cm="1">
        <f t="array" ref="V106">INT(SUMPRODUCT(--ISNUMBER(SEARCH(abortion,'Jon Ossoff'!C106)))&gt;0)</f>
        <v>0</v>
      </c>
      <c r="W106" s="14" cm="1">
        <f t="array" ref="W106">INT(SUMPRODUCT(--ISNUMBER(SEARCH(trump,'Jon Ossoff'!C106)))&gt;0)</f>
        <v>0</v>
      </c>
      <c r="X106" s="14" cm="1">
        <f t="array" ref="X106">INT(SUMPRODUCT(--ISNUMBER(SEARCH(voting,'Jon Ossoff'!C106)))&gt;0)</f>
        <v>1</v>
      </c>
      <c r="Y106" s="14" cm="1">
        <f t="array" ref="Y106">INT(SUMPRODUCT(--ISNUMBER(SEARCH(democrattrigger,'Jon Ossoff'!C106)))&gt;0)</f>
        <v>0</v>
      </c>
      <c r="Z106" s="14" cm="1">
        <f t="array" ref="Z106">INT(SUMPRODUCT(--ISNUMBER(SEARCH(bipartisan,'Jon Ossoff'!C106)))&gt;0)</f>
        <v>0</v>
      </c>
      <c r="AA106" s="14">
        <f t="shared" si="1"/>
        <v>0</v>
      </c>
      <c r="AB106" s="14"/>
      <c r="AC106" s="30">
        <v>0</v>
      </c>
      <c r="AD106" s="37">
        <v>1</v>
      </c>
    </row>
    <row r="107" spans="1:30" x14ac:dyDescent="0.25">
      <c r="A107" s="36">
        <v>617</v>
      </c>
      <c r="B107" s="14" t="s">
        <v>1263</v>
      </c>
      <c r="C107" s="31" t="s">
        <v>1264</v>
      </c>
      <c r="D107" s="17">
        <v>44130</v>
      </c>
      <c r="E107" s="14" t="s">
        <v>30</v>
      </c>
      <c r="F107" s="14">
        <v>1453</v>
      </c>
      <c r="G107" s="14">
        <v>279</v>
      </c>
      <c r="H107" s="14">
        <v>4</v>
      </c>
      <c r="I107" s="14">
        <v>2</v>
      </c>
      <c r="J107" s="14" t="s">
        <v>204</v>
      </c>
      <c r="K107" s="14" cm="1">
        <f t="array" ref="K107">INT(SUMPRODUCT(--ISNUMBER(SEARCH(economy,'Jon Ossoff'!C107)))&gt;0)</f>
        <v>0</v>
      </c>
      <c r="L107" s="14" cm="1">
        <f t="array" ref="L107">INT(SUMPRODUCT(--ISNUMBER(SEARCH(healthcare,'Jon Ossoff'!C107)))&gt;0)</f>
        <v>0</v>
      </c>
      <c r="M107" s="14" cm="1">
        <f t="array" ref="M107">INT(SUMPRODUCT(--ISNUMBER(SEARCH(supreme,'Jon Ossoff'!C107)))&gt;0)</f>
        <v>0</v>
      </c>
      <c r="N107" s="14" cm="1">
        <f t="array" ref="N107">INT(SUMPRODUCT(--ISNUMBER(SEARCH(covid,'Jon Ossoff'!C107)))&gt;0)</f>
        <v>0</v>
      </c>
      <c r="O107" s="14" cm="1">
        <f t="array" ref="O107">INT(SUMPRODUCT(--ISNUMBER(SEARCH(violent,'Jon Ossoff'!C107)))&gt;0)</f>
        <v>0</v>
      </c>
      <c r="P107" s="14" cm="1">
        <f t="array" ref="P107">INT(SUMPRODUCT(--ISNUMBER(SEARCH(foreign,'Jon Ossoff'!C107)))&gt;0)</f>
        <v>0</v>
      </c>
      <c r="Q107" s="14" cm="1">
        <f t="array" ref="Q107">INT(SUMPRODUCT(--ISNUMBER(SEARCH(gun,'Jon Ossoff'!C107)))&gt;0)</f>
        <v>0</v>
      </c>
      <c r="R107" s="14" cm="1">
        <f t="array" ref="R107">INT(SUMPRODUCT(--ISNUMBER(SEARCH(race,'Jon Ossoff'!C107)))&gt;0)</f>
        <v>0</v>
      </c>
      <c r="S107" s="14" cm="1">
        <f t="array" ref="S107">INT(SUMPRODUCT(--ISNUMBER(SEARCH(immigration,C107)))&gt;0)</f>
        <v>0</v>
      </c>
      <c r="T107" s="14" cm="1">
        <f t="array" ref="T107">INT(SUMPRODUCT(--ISNUMBER(SEARCH(econineq,C107)))&gt;0)</f>
        <v>0</v>
      </c>
      <c r="U107" s="14" cm="1">
        <f t="array" ref="U107">INT(SUMPRODUCT(--ISNUMBER(SEARCH(climate,'Jon Ossoff'!C107)))&gt;0)</f>
        <v>0</v>
      </c>
      <c r="V107" s="14" cm="1">
        <f t="array" ref="V107">INT(SUMPRODUCT(--ISNUMBER(SEARCH(abortion,'Jon Ossoff'!C107)))&gt;0)</f>
        <v>0</v>
      </c>
      <c r="W107" s="14" cm="1">
        <f t="array" ref="W107">INT(SUMPRODUCT(--ISNUMBER(SEARCH(trump,'Jon Ossoff'!C107)))&gt;0)</f>
        <v>0</v>
      </c>
      <c r="X107" s="14" cm="1">
        <f t="array" ref="X107">INT(SUMPRODUCT(--ISNUMBER(SEARCH(voting,'Jon Ossoff'!C107)))&gt;0)</f>
        <v>0</v>
      </c>
      <c r="Y107" s="14" cm="1">
        <f t="array" ref="Y107">INT(SUMPRODUCT(--ISNUMBER(SEARCH(democrattrigger,'Jon Ossoff'!C107)))&gt;0)</f>
        <v>1</v>
      </c>
      <c r="Z107" s="14" cm="1">
        <f t="array" ref="Z107">INT(SUMPRODUCT(--ISNUMBER(SEARCH(bipartisan,'Jon Ossoff'!C107)))&gt;0)</f>
        <v>0</v>
      </c>
      <c r="AA107" s="14">
        <f t="shared" si="1"/>
        <v>0</v>
      </c>
      <c r="AB107" s="14"/>
      <c r="AC107" s="30" t="s">
        <v>223</v>
      </c>
      <c r="AD107" s="37" t="s">
        <v>223</v>
      </c>
    </row>
    <row r="108" spans="1:30" x14ac:dyDescent="0.25">
      <c r="A108" s="36">
        <v>618</v>
      </c>
      <c r="B108" s="14" t="s">
        <v>1265</v>
      </c>
      <c r="C108" s="31" t="s">
        <v>1266</v>
      </c>
      <c r="D108" s="17">
        <v>44130</v>
      </c>
      <c r="E108" s="14" t="s">
        <v>70</v>
      </c>
      <c r="F108" s="14">
        <v>749</v>
      </c>
      <c r="G108" s="14">
        <v>264</v>
      </c>
      <c r="H108" s="14">
        <v>4</v>
      </c>
      <c r="I108" s="14">
        <v>2</v>
      </c>
      <c r="J108" s="14" t="s">
        <v>204</v>
      </c>
      <c r="K108" s="14" cm="1">
        <f t="array" ref="K108">INT(SUMPRODUCT(--ISNUMBER(SEARCH(economy,'Jon Ossoff'!C108)))&gt;0)</f>
        <v>0</v>
      </c>
      <c r="L108" s="14" cm="1">
        <f t="array" ref="L108">INT(SUMPRODUCT(--ISNUMBER(SEARCH(healthcare,'Jon Ossoff'!C108)))&gt;0)</f>
        <v>0</v>
      </c>
      <c r="M108" s="14" cm="1">
        <f t="array" ref="M108">INT(SUMPRODUCT(--ISNUMBER(SEARCH(supreme,'Jon Ossoff'!C108)))&gt;0)</f>
        <v>0</v>
      </c>
      <c r="N108" s="14" cm="1">
        <f t="array" ref="N108">INT(SUMPRODUCT(--ISNUMBER(SEARCH(covid,'Jon Ossoff'!C108)))&gt;0)</f>
        <v>0</v>
      </c>
      <c r="O108" s="14" cm="1">
        <f t="array" ref="O108">INT(SUMPRODUCT(--ISNUMBER(SEARCH(violent,'Jon Ossoff'!C108)))&gt;0)</f>
        <v>0</v>
      </c>
      <c r="P108" s="14" cm="1">
        <f t="array" ref="P108">INT(SUMPRODUCT(--ISNUMBER(SEARCH(foreign,'Jon Ossoff'!C108)))&gt;0)</f>
        <v>0</v>
      </c>
      <c r="Q108" s="14" cm="1">
        <f t="array" ref="Q108">INT(SUMPRODUCT(--ISNUMBER(SEARCH(gun,'Jon Ossoff'!C108)))&gt;0)</f>
        <v>0</v>
      </c>
      <c r="R108" s="14" cm="1">
        <f t="array" ref="R108">INT(SUMPRODUCT(--ISNUMBER(SEARCH(race,'Jon Ossoff'!C108)))&gt;0)</f>
        <v>0</v>
      </c>
      <c r="S108" s="14" cm="1">
        <f t="array" ref="S108">INT(SUMPRODUCT(--ISNUMBER(SEARCH(immigration,C108)))&gt;0)</f>
        <v>0</v>
      </c>
      <c r="T108" s="14" cm="1">
        <f t="array" ref="T108">INT(SUMPRODUCT(--ISNUMBER(SEARCH(econineq,C108)))&gt;0)</f>
        <v>0</v>
      </c>
      <c r="U108" s="14" cm="1">
        <f t="array" ref="U108">INT(SUMPRODUCT(--ISNUMBER(SEARCH(climate,'Jon Ossoff'!C108)))&gt;0)</f>
        <v>0</v>
      </c>
      <c r="V108" s="14" cm="1">
        <f t="array" ref="V108">INT(SUMPRODUCT(--ISNUMBER(SEARCH(abortion,'Jon Ossoff'!C108)))&gt;0)</f>
        <v>0</v>
      </c>
      <c r="W108" s="14" cm="1">
        <f t="array" ref="W108">INT(SUMPRODUCT(--ISNUMBER(SEARCH(trump,'Jon Ossoff'!C108)))&gt;0)</f>
        <v>0</v>
      </c>
      <c r="X108" s="14" cm="1">
        <f t="array" ref="X108">INT(SUMPRODUCT(--ISNUMBER(SEARCH(voting,'Jon Ossoff'!C108)))&gt;0)</f>
        <v>0</v>
      </c>
      <c r="Y108" s="14" cm="1">
        <f t="array" ref="Y108">INT(SUMPRODUCT(--ISNUMBER(SEARCH(democrattrigger,'Jon Ossoff'!C108)))&gt;0)</f>
        <v>0</v>
      </c>
      <c r="Z108" s="14" cm="1">
        <f t="array" ref="Z108">INT(SUMPRODUCT(--ISNUMBER(SEARCH(bipartisan,'Jon Ossoff'!C108)))&gt;0)</f>
        <v>0</v>
      </c>
      <c r="AA108" s="14">
        <f t="shared" si="1"/>
        <v>1</v>
      </c>
      <c r="AB108" s="14"/>
      <c r="AC108" s="30" t="s">
        <v>223</v>
      </c>
      <c r="AD108" s="37" t="s">
        <v>223</v>
      </c>
    </row>
    <row r="109" spans="1:30" x14ac:dyDescent="0.25">
      <c r="A109" s="36">
        <v>619</v>
      </c>
      <c r="B109" s="14" t="s">
        <v>1267</v>
      </c>
      <c r="C109" s="31" t="s">
        <v>1268</v>
      </c>
      <c r="D109" s="17">
        <v>44130</v>
      </c>
      <c r="E109" s="14" t="s">
        <v>30</v>
      </c>
      <c r="F109" s="14">
        <v>6491</v>
      </c>
      <c r="G109" s="14">
        <v>2248</v>
      </c>
      <c r="H109" s="14">
        <v>4</v>
      </c>
      <c r="I109" s="14">
        <v>2</v>
      </c>
      <c r="J109" s="14" t="s">
        <v>204</v>
      </c>
      <c r="K109" s="14" cm="1">
        <f t="array" ref="K109">INT(SUMPRODUCT(--ISNUMBER(SEARCH(economy,'Jon Ossoff'!C109)))&gt;0)</f>
        <v>0</v>
      </c>
      <c r="L109" s="14" cm="1">
        <f t="array" ref="L109">INT(SUMPRODUCT(--ISNUMBER(SEARCH(healthcare,'Jon Ossoff'!C109)))&gt;0)</f>
        <v>0</v>
      </c>
      <c r="M109" s="14" cm="1">
        <f t="array" ref="M109">INT(SUMPRODUCT(--ISNUMBER(SEARCH(supreme,'Jon Ossoff'!C109)))&gt;0)</f>
        <v>0</v>
      </c>
      <c r="N109" s="14" cm="1">
        <f t="array" ref="N109">INT(SUMPRODUCT(--ISNUMBER(SEARCH(covid,'Jon Ossoff'!C109)))&gt;0)</f>
        <v>0</v>
      </c>
      <c r="O109" s="14" cm="1">
        <f t="array" ref="O109">INT(SUMPRODUCT(--ISNUMBER(SEARCH(violent,'Jon Ossoff'!C109)))&gt;0)</f>
        <v>0</v>
      </c>
      <c r="P109" s="14" cm="1">
        <f t="array" ref="P109">INT(SUMPRODUCT(--ISNUMBER(SEARCH(foreign,'Jon Ossoff'!C109)))&gt;0)</f>
        <v>0</v>
      </c>
      <c r="Q109" s="14" cm="1">
        <f t="array" ref="Q109">INT(SUMPRODUCT(--ISNUMBER(SEARCH(gun,'Jon Ossoff'!C109)))&gt;0)</f>
        <v>0</v>
      </c>
      <c r="R109" s="14" cm="1">
        <f t="array" ref="R109">INT(SUMPRODUCT(--ISNUMBER(SEARCH(race,'Jon Ossoff'!C109)))&gt;0)</f>
        <v>0</v>
      </c>
      <c r="S109" s="14" cm="1">
        <f t="array" ref="S109">INT(SUMPRODUCT(--ISNUMBER(SEARCH(immigration,C109)))&gt;0)</f>
        <v>0</v>
      </c>
      <c r="T109" s="14" cm="1">
        <f t="array" ref="T109">INT(SUMPRODUCT(--ISNUMBER(SEARCH(econineq,C109)))&gt;0)</f>
        <v>0</v>
      </c>
      <c r="U109" s="14" cm="1">
        <f t="array" ref="U109">INT(SUMPRODUCT(--ISNUMBER(SEARCH(climate,'Jon Ossoff'!C109)))&gt;0)</f>
        <v>0</v>
      </c>
      <c r="V109" s="14" cm="1">
        <f t="array" ref="V109">INT(SUMPRODUCT(--ISNUMBER(SEARCH(abortion,'Jon Ossoff'!C109)))&gt;0)</f>
        <v>0</v>
      </c>
      <c r="W109" s="14" cm="1">
        <f t="array" ref="W109">INT(SUMPRODUCT(--ISNUMBER(SEARCH(trump,'Jon Ossoff'!C109)))&gt;0)</f>
        <v>0</v>
      </c>
      <c r="X109" s="14" cm="1">
        <f t="array" ref="X109">INT(SUMPRODUCT(--ISNUMBER(SEARCH(voting,'Jon Ossoff'!C109)))&gt;0)</f>
        <v>0</v>
      </c>
      <c r="Y109" s="14" cm="1">
        <f t="array" ref="Y109">INT(SUMPRODUCT(--ISNUMBER(SEARCH(democrattrigger,'Jon Ossoff'!C109)))&gt;0)</f>
        <v>1</v>
      </c>
      <c r="Z109" s="14" cm="1">
        <f t="array" ref="Z109">INT(SUMPRODUCT(--ISNUMBER(SEARCH(bipartisan,'Jon Ossoff'!C109)))&gt;0)</f>
        <v>0</v>
      </c>
      <c r="AA109" s="14">
        <f t="shared" si="1"/>
        <v>0</v>
      </c>
      <c r="AB109" s="14"/>
      <c r="AC109" s="30">
        <v>0</v>
      </c>
      <c r="AD109" s="37">
        <v>1</v>
      </c>
    </row>
    <row r="110" spans="1:30" x14ac:dyDescent="0.25">
      <c r="A110" s="36">
        <v>620</v>
      </c>
      <c r="B110" s="14" t="s">
        <v>1269</v>
      </c>
      <c r="C110" s="31" t="s">
        <v>1270</v>
      </c>
      <c r="D110" s="17">
        <v>44130</v>
      </c>
      <c r="E110" s="14" t="s">
        <v>70</v>
      </c>
      <c r="F110" s="14">
        <v>293</v>
      </c>
      <c r="G110" s="14">
        <v>126</v>
      </c>
      <c r="H110" s="14">
        <v>4</v>
      </c>
      <c r="I110" s="14">
        <v>2</v>
      </c>
      <c r="J110" s="14" t="s">
        <v>204</v>
      </c>
      <c r="K110" s="14" cm="1">
        <f t="array" ref="K110">INT(SUMPRODUCT(--ISNUMBER(SEARCH(economy,'Jon Ossoff'!C110)))&gt;0)</f>
        <v>0</v>
      </c>
      <c r="L110" s="14" cm="1">
        <f t="array" ref="L110">INT(SUMPRODUCT(--ISNUMBER(SEARCH(healthcare,'Jon Ossoff'!C110)))&gt;0)</f>
        <v>0</v>
      </c>
      <c r="M110" s="14" cm="1">
        <f t="array" ref="M110">INT(SUMPRODUCT(--ISNUMBER(SEARCH(supreme,'Jon Ossoff'!C110)))&gt;0)</f>
        <v>0</v>
      </c>
      <c r="N110" s="14" cm="1">
        <f t="array" ref="N110">INT(SUMPRODUCT(--ISNUMBER(SEARCH(covid,'Jon Ossoff'!C110)))&gt;0)</f>
        <v>0</v>
      </c>
      <c r="O110" s="14" cm="1">
        <f t="array" ref="O110">INT(SUMPRODUCT(--ISNUMBER(SEARCH(violent,'Jon Ossoff'!C110)))&gt;0)</f>
        <v>0</v>
      </c>
      <c r="P110" s="14" cm="1">
        <f t="array" ref="P110">INT(SUMPRODUCT(--ISNUMBER(SEARCH(foreign,'Jon Ossoff'!C110)))&gt;0)</f>
        <v>0</v>
      </c>
      <c r="Q110" s="14" cm="1">
        <f t="array" ref="Q110">INT(SUMPRODUCT(--ISNUMBER(SEARCH(gun,'Jon Ossoff'!C110)))&gt;0)</f>
        <v>0</v>
      </c>
      <c r="R110" s="14" cm="1">
        <f t="array" ref="R110">INT(SUMPRODUCT(--ISNUMBER(SEARCH(race,'Jon Ossoff'!C110)))&gt;0)</f>
        <v>0</v>
      </c>
      <c r="S110" s="14" cm="1">
        <f t="array" ref="S110">INT(SUMPRODUCT(--ISNUMBER(SEARCH(immigration,C110)))&gt;0)</f>
        <v>0</v>
      </c>
      <c r="T110" s="14" cm="1">
        <f t="array" ref="T110">INT(SUMPRODUCT(--ISNUMBER(SEARCH(econineq,C110)))&gt;0)</f>
        <v>0</v>
      </c>
      <c r="U110" s="14" cm="1">
        <f t="array" ref="U110">INT(SUMPRODUCT(--ISNUMBER(SEARCH(climate,'Jon Ossoff'!C110)))&gt;0)</f>
        <v>0</v>
      </c>
      <c r="V110" s="14" cm="1">
        <f t="array" ref="V110">INT(SUMPRODUCT(--ISNUMBER(SEARCH(abortion,'Jon Ossoff'!C110)))&gt;0)</f>
        <v>0</v>
      </c>
      <c r="W110" s="14" cm="1">
        <f t="array" ref="W110">INT(SUMPRODUCT(--ISNUMBER(SEARCH(trump,'Jon Ossoff'!C110)))&gt;0)</f>
        <v>0</v>
      </c>
      <c r="X110" s="14" cm="1">
        <f t="array" ref="X110">INT(SUMPRODUCT(--ISNUMBER(SEARCH(voting,'Jon Ossoff'!C110)))&gt;0)</f>
        <v>1</v>
      </c>
      <c r="Y110" s="14" cm="1">
        <f t="array" ref="Y110">INT(SUMPRODUCT(--ISNUMBER(SEARCH(democrattrigger,'Jon Ossoff'!C110)))&gt;0)</f>
        <v>0</v>
      </c>
      <c r="Z110" s="14" cm="1">
        <f t="array" ref="Z110">INT(SUMPRODUCT(--ISNUMBER(SEARCH(bipartisan,'Jon Ossoff'!C110)))&gt;0)</f>
        <v>0</v>
      </c>
      <c r="AA110" s="14">
        <f t="shared" si="1"/>
        <v>0</v>
      </c>
      <c r="AB110" s="14"/>
      <c r="AC110" s="30" t="s">
        <v>223</v>
      </c>
      <c r="AD110" s="37" t="s">
        <v>223</v>
      </c>
    </row>
    <row r="111" spans="1:30" x14ac:dyDescent="0.25">
      <c r="A111" s="36">
        <v>621</v>
      </c>
      <c r="B111" s="14" t="s">
        <v>1271</v>
      </c>
      <c r="C111" s="31" t="s">
        <v>1272</v>
      </c>
      <c r="D111" s="17">
        <v>44130</v>
      </c>
      <c r="E111" s="14" t="s">
        <v>30</v>
      </c>
      <c r="F111" s="14">
        <v>4878</v>
      </c>
      <c r="G111" s="14">
        <v>1129</v>
      </c>
      <c r="H111" s="14">
        <v>4</v>
      </c>
      <c r="I111" s="14">
        <v>2</v>
      </c>
      <c r="J111" s="14" t="s">
        <v>204</v>
      </c>
      <c r="K111" s="14" cm="1">
        <f t="array" ref="K111">INT(SUMPRODUCT(--ISNUMBER(SEARCH(economy,'Jon Ossoff'!C111)))&gt;0)</f>
        <v>0</v>
      </c>
      <c r="L111" s="14" cm="1">
        <f t="array" ref="L111">INT(SUMPRODUCT(--ISNUMBER(SEARCH(healthcare,'Jon Ossoff'!C111)))&gt;0)</f>
        <v>0</v>
      </c>
      <c r="M111" s="14" cm="1">
        <f t="array" ref="M111">INT(SUMPRODUCT(--ISNUMBER(SEARCH(supreme,'Jon Ossoff'!C111)))&gt;0)</f>
        <v>0</v>
      </c>
      <c r="N111" s="14" cm="1">
        <f t="array" ref="N111">INT(SUMPRODUCT(--ISNUMBER(SEARCH(covid,'Jon Ossoff'!C111)))&gt;0)</f>
        <v>0</v>
      </c>
      <c r="O111" s="14" cm="1">
        <f t="array" ref="O111">INT(SUMPRODUCT(--ISNUMBER(SEARCH(violent,'Jon Ossoff'!C111)))&gt;0)</f>
        <v>0</v>
      </c>
      <c r="P111" s="14" cm="1">
        <f t="array" ref="P111">INT(SUMPRODUCT(--ISNUMBER(SEARCH(foreign,'Jon Ossoff'!C111)))&gt;0)</f>
        <v>0</v>
      </c>
      <c r="Q111" s="14" cm="1">
        <f t="array" ref="Q111">INT(SUMPRODUCT(--ISNUMBER(SEARCH(gun,'Jon Ossoff'!C111)))&gt;0)</f>
        <v>0</v>
      </c>
      <c r="R111" s="14" cm="1">
        <f t="array" ref="R111">INT(SUMPRODUCT(--ISNUMBER(SEARCH(race,'Jon Ossoff'!C111)))&gt;0)</f>
        <v>0</v>
      </c>
      <c r="S111" s="14" cm="1">
        <f t="array" ref="S111">INT(SUMPRODUCT(--ISNUMBER(SEARCH(immigration,C111)))&gt;0)</f>
        <v>0</v>
      </c>
      <c r="T111" s="14" cm="1">
        <f t="array" ref="T111">INT(SUMPRODUCT(--ISNUMBER(SEARCH(econineq,C111)))&gt;0)</f>
        <v>0</v>
      </c>
      <c r="U111" s="14" cm="1">
        <f t="array" ref="U111">INT(SUMPRODUCT(--ISNUMBER(SEARCH(climate,'Jon Ossoff'!C111)))&gt;0)</f>
        <v>0</v>
      </c>
      <c r="V111" s="14" cm="1">
        <f t="array" ref="V111">INT(SUMPRODUCT(--ISNUMBER(SEARCH(abortion,'Jon Ossoff'!C111)))&gt;0)</f>
        <v>0</v>
      </c>
      <c r="W111" s="14" cm="1">
        <f t="array" ref="W111">INT(SUMPRODUCT(--ISNUMBER(SEARCH(trump,'Jon Ossoff'!C111)))&gt;0)</f>
        <v>0</v>
      </c>
      <c r="X111" s="14" cm="1">
        <f t="array" ref="X111">INT(SUMPRODUCT(--ISNUMBER(SEARCH(voting,'Jon Ossoff'!C111)))&gt;0)</f>
        <v>1</v>
      </c>
      <c r="Y111" s="14" cm="1">
        <f t="array" ref="Y111">INT(SUMPRODUCT(--ISNUMBER(SEARCH(democrattrigger,'Jon Ossoff'!C111)))&gt;0)</f>
        <v>0</v>
      </c>
      <c r="Z111" s="14" cm="1">
        <f t="array" ref="Z111">INT(SUMPRODUCT(--ISNUMBER(SEARCH(bipartisan,'Jon Ossoff'!C111)))&gt;0)</f>
        <v>0</v>
      </c>
      <c r="AA111" s="14">
        <f t="shared" si="1"/>
        <v>0</v>
      </c>
      <c r="AB111" s="14"/>
      <c r="AC111" s="30">
        <v>0</v>
      </c>
      <c r="AD111" s="37">
        <v>1</v>
      </c>
    </row>
    <row r="112" spans="1:30" x14ac:dyDescent="0.25">
      <c r="A112" s="36">
        <v>622</v>
      </c>
      <c r="B112" s="14" t="s">
        <v>1273</v>
      </c>
      <c r="C112" s="31" t="s">
        <v>1274</v>
      </c>
      <c r="D112" s="17">
        <v>44130</v>
      </c>
      <c r="E112" s="14" t="s">
        <v>30</v>
      </c>
      <c r="F112" s="14">
        <v>1519</v>
      </c>
      <c r="G112" s="14">
        <v>250</v>
      </c>
      <c r="H112" s="14">
        <v>4</v>
      </c>
      <c r="I112" s="14">
        <v>2</v>
      </c>
      <c r="J112" s="14" t="s">
        <v>204</v>
      </c>
      <c r="K112" s="14" cm="1">
        <f t="array" ref="K112">INT(SUMPRODUCT(--ISNUMBER(SEARCH(economy,'Jon Ossoff'!C112)))&gt;0)</f>
        <v>0</v>
      </c>
      <c r="L112" s="14" cm="1">
        <f t="array" ref="L112">INT(SUMPRODUCT(--ISNUMBER(SEARCH(healthcare,'Jon Ossoff'!C112)))&gt;0)</f>
        <v>0</v>
      </c>
      <c r="M112" s="14" cm="1">
        <f t="array" ref="M112">INT(SUMPRODUCT(--ISNUMBER(SEARCH(supreme,'Jon Ossoff'!C112)))&gt;0)</f>
        <v>0</v>
      </c>
      <c r="N112" s="14" cm="1">
        <f t="array" ref="N112">INT(SUMPRODUCT(--ISNUMBER(SEARCH(covid,'Jon Ossoff'!C112)))&gt;0)</f>
        <v>0</v>
      </c>
      <c r="O112" s="14" cm="1">
        <f t="array" ref="O112">INT(SUMPRODUCT(--ISNUMBER(SEARCH(violent,'Jon Ossoff'!C112)))&gt;0)</f>
        <v>0</v>
      </c>
      <c r="P112" s="14" cm="1">
        <f t="array" ref="P112">INT(SUMPRODUCT(--ISNUMBER(SEARCH(foreign,'Jon Ossoff'!C112)))&gt;0)</f>
        <v>0</v>
      </c>
      <c r="Q112" s="14" cm="1">
        <f t="array" ref="Q112">INT(SUMPRODUCT(--ISNUMBER(SEARCH(gun,'Jon Ossoff'!C112)))&gt;0)</f>
        <v>0</v>
      </c>
      <c r="R112" s="14" cm="1">
        <f t="array" ref="R112">INT(SUMPRODUCT(--ISNUMBER(SEARCH(race,'Jon Ossoff'!C112)))&gt;0)</f>
        <v>0</v>
      </c>
      <c r="S112" s="14" cm="1">
        <f t="array" ref="S112">INT(SUMPRODUCT(--ISNUMBER(SEARCH(immigration,C112)))&gt;0)</f>
        <v>0</v>
      </c>
      <c r="T112" s="14" cm="1">
        <f t="array" ref="T112">INT(SUMPRODUCT(--ISNUMBER(SEARCH(econineq,C112)))&gt;0)</f>
        <v>0</v>
      </c>
      <c r="U112" s="14" cm="1">
        <f t="array" ref="U112">INT(SUMPRODUCT(--ISNUMBER(SEARCH(climate,'Jon Ossoff'!C112)))&gt;0)</f>
        <v>0</v>
      </c>
      <c r="V112" s="14" cm="1">
        <f t="array" ref="V112">INT(SUMPRODUCT(--ISNUMBER(SEARCH(abortion,'Jon Ossoff'!C112)))&gt;0)</f>
        <v>0</v>
      </c>
      <c r="W112" s="14" cm="1">
        <f t="array" ref="W112">INT(SUMPRODUCT(--ISNUMBER(SEARCH(trump,'Jon Ossoff'!C112)))&gt;0)</f>
        <v>0</v>
      </c>
      <c r="X112" s="14" cm="1">
        <f t="array" ref="X112">INT(SUMPRODUCT(--ISNUMBER(SEARCH(voting,'Jon Ossoff'!C112)))&gt;0)</f>
        <v>0</v>
      </c>
      <c r="Y112" s="14" cm="1">
        <f t="array" ref="Y112">INT(SUMPRODUCT(--ISNUMBER(SEARCH(democrattrigger,'Jon Ossoff'!C112)))&gt;0)</f>
        <v>0</v>
      </c>
      <c r="Z112" s="14" cm="1">
        <f t="array" ref="Z112">INT(SUMPRODUCT(--ISNUMBER(SEARCH(bipartisan,'Jon Ossoff'!C112)))&gt;0)</f>
        <v>0</v>
      </c>
      <c r="AA112" s="14">
        <f t="shared" si="1"/>
        <v>1</v>
      </c>
      <c r="AB112" s="14"/>
      <c r="AC112" s="30" t="s">
        <v>223</v>
      </c>
      <c r="AD112" s="37" t="s">
        <v>223</v>
      </c>
    </row>
    <row r="113" spans="1:30" x14ac:dyDescent="0.25">
      <c r="A113" s="36">
        <v>623</v>
      </c>
      <c r="B113" s="14" t="s">
        <v>1275</v>
      </c>
      <c r="C113" s="31" t="s">
        <v>1276</v>
      </c>
      <c r="D113" s="17">
        <v>44130</v>
      </c>
      <c r="E113" s="14" t="s">
        <v>30</v>
      </c>
      <c r="F113" s="14">
        <v>2161</v>
      </c>
      <c r="G113" s="14">
        <v>593</v>
      </c>
      <c r="H113" s="14">
        <v>4</v>
      </c>
      <c r="I113" s="14">
        <v>2</v>
      </c>
      <c r="J113" s="14" t="s">
        <v>204</v>
      </c>
      <c r="K113" s="14" cm="1">
        <f t="array" ref="K113">INT(SUMPRODUCT(--ISNUMBER(SEARCH(economy,'Jon Ossoff'!C113)))&gt;0)</f>
        <v>0</v>
      </c>
      <c r="L113" s="14" cm="1">
        <f t="array" ref="L113">INT(SUMPRODUCT(--ISNUMBER(SEARCH(healthcare,'Jon Ossoff'!C113)))&gt;0)</f>
        <v>0</v>
      </c>
      <c r="M113" s="14" cm="1">
        <f t="array" ref="M113">INT(SUMPRODUCT(--ISNUMBER(SEARCH(supreme,'Jon Ossoff'!C113)))&gt;0)</f>
        <v>0</v>
      </c>
      <c r="N113" s="14" cm="1">
        <f t="array" ref="N113">INT(SUMPRODUCT(--ISNUMBER(SEARCH(covid,'Jon Ossoff'!C113)))&gt;0)</f>
        <v>0</v>
      </c>
      <c r="O113" s="14" cm="1">
        <f t="array" ref="O113">INT(SUMPRODUCT(--ISNUMBER(SEARCH(violent,'Jon Ossoff'!C113)))&gt;0)</f>
        <v>0</v>
      </c>
      <c r="P113" s="14" cm="1">
        <f t="array" ref="P113">INT(SUMPRODUCT(--ISNUMBER(SEARCH(foreign,'Jon Ossoff'!C113)))&gt;0)</f>
        <v>0</v>
      </c>
      <c r="Q113" s="14" cm="1">
        <f t="array" ref="Q113">INT(SUMPRODUCT(--ISNUMBER(SEARCH(gun,'Jon Ossoff'!C113)))&gt;0)</f>
        <v>0</v>
      </c>
      <c r="R113" s="14" cm="1">
        <f t="array" ref="R113">INT(SUMPRODUCT(--ISNUMBER(SEARCH(race,'Jon Ossoff'!C113)))&gt;0)</f>
        <v>0</v>
      </c>
      <c r="S113" s="14" cm="1">
        <f t="array" ref="S113">INT(SUMPRODUCT(--ISNUMBER(SEARCH(immigration,C113)))&gt;0)</f>
        <v>0</v>
      </c>
      <c r="T113" s="14" cm="1">
        <f t="array" ref="T113">INT(SUMPRODUCT(--ISNUMBER(SEARCH(econineq,C113)))&gt;0)</f>
        <v>0</v>
      </c>
      <c r="U113" s="14" cm="1">
        <f t="array" ref="U113">INT(SUMPRODUCT(--ISNUMBER(SEARCH(climate,'Jon Ossoff'!C113)))&gt;0)</f>
        <v>0</v>
      </c>
      <c r="V113" s="14" cm="1">
        <f t="array" ref="V113">INT(SUMPRODUCT(--ISNUMBER(SEARCH(abortion,'Jon Ossoff'!C113)))&gt;0)</f>
        <v>0</v>
      </c>
      <c r="W113" s="14" cm="1">
        <f t="array" ref="W113">INT(SUMPRODUCT(--ISNUMBER(SEARCH(trump,'Jon Ossoff'!C113)))&gt;0)</f>
        <v>0</v>
      </c>
      <c r="X113" s="14" cm="1">
        <f t="array" ref="X113">INT(SUMPRODUCT(--ISNUMBER(SEARCH(voting,'Jon Ossoff'!C113)))&gt;0)</f>
        <v>1</v>
      </c>
      <c r="Y113" s="14" cm="1">
        <f t="array" ref="Y113">INT(SUMPRODUCT(--ISNUMBER(SEARCH(democrattrigger,'Jon Ossoff'!C113)))&gt;0)</f>
        <v>0</v>
      </c>
      <c r="Z113" s="14" cm="1">
        <f t="array" ref="Z113">INT(SUMPRODUCT(--ISNUMBER(SEARCH(bipartisan,'Jon Ossoff'!C113)))&gt;0)</f>
        <v>0</v>
      </c>
      <c r="AA113" s="14">
        <f t="shared" si="1"/>
        <v>0</v>
      </c>
      <c r="AB113" s="14"/>
      <c r="AC113" s="30">
        <v>1</v>
      </c>
      <c r="AD113" s="37">
        <v>0</v>
      </c>
    </row>
    <row r="114" spans="1:30" x14ac:dyDescent="0.25">
      <c r="A114" s="36">
        <v>624</v>
      </c>
      <c r="B114" s="14" t="s">
        <v>1277</v>
      </c>
      <c r="C114" s="31" t="s">
        <v>1278</v>
      </c>
      <c r="D114" s="17">
        <v>44129</v>
      </c>
      <c r="E114" s="14" t="s">
        <v>30</v>
      </c>
      <c r="F114" s="14">
        <v>691</v>
      </c>
      <c r="G114" s="14">
        <v>205</v>
      </c>
      <c r="H114" s="14">
        <v>4</v>
      </c>
      <c r="I114" s="14">
        <v>2</v>
      </c>
      <c r="J114" s="14" t="s">
        <v>204</v>
      </c>
      <c r="K114" s="14" cm="1">
        <f t="array" ref="K114">INT(SUMPRODUCT(--ISNUMBER(SEARCH(economy,'Jon Ossoff'!C114)))&gt;0)</f>
        <v>0</v>
      </c>
      <c r="L114" s="14" cm="1">
        <f t="array" ref="L114">INT(SUMPRODUCT(--ISNUMBER(SEARCH(healthcare,'Jon Ossoff'!C114)))&gt;0)</f>
        <v>1</v>
      </c>
      <c r="M114" s="14" cm="1">
        <f t="array" ref="M114">INT(SUMPRODUCT(--ISNUMBER(SEARCH(supreme,'Jon Ossoff'!C114)))&gt;0)</f>
        <v>0</v>
      </c>
      <c r="N114" s="14" cm="1">
        <f t="array" ref="N114">INT(SUMPRODUCT(--ISNUMBER(SEARCH(covid,'Jon Ossoff'!C114)))&gt;0)</f>
        <v>0</v>
      </c>
      <c r="O114" s="14" cm="1">
        <f t="array" ref="O114">INT(SUMPRODUCT(--ISNUMBER(SEARCH(violent,'Jon Ossoff'!C114)))&gt;0)</f>
        <v>0</v>
      </c>
      <c r="P114" s="14" cm="1">
        <f t="array" ref="P114">INT(SUMPRODUCT(--ISNUMBER(SEARCH(foreign,'Jon Ossoff'!C114)))&gt;0)</f>
        <v>0</v>
      </c>
      <c r="Q114" s="14" cm="1">
        <f t="array" ref="Q114">INT(SUMPRODUCT(--ISNUMBER(SEARCH(gun,'Jon Ossoff'!C114)))&gt;0)</f>
        <v>0</v>
      </c>
      <c r="R114" s="14" cm="1">
        <f t="array" ref="R114">INT(SUMPRODUCT(--ISNUMBER(SEARCH(race,'Jon Ossoff'!C114)))&gt;0)</f>
        <v>0</v>
      </c>
      <c r="S114" s="14" cm="1">
        <f t="array" ref="S114">INT(SUMPRODUCT(--ISNUMBER(SEARCH(immigration,C114)))&gt;0)</f>
        <v>0</v>
      </c>
      <c r="T114" s="14" cm="1">
        <f t="array" ref="T114">INT(SUMPRODUCT(--ISNUMBER(SEARCH(econineq,C114)))&gt;0)</f>
        <v>0</v>
      </c>
      <c r="U114" s="14" cm="1">
        <f t="array" ref="U114">INT(SUMPRODUCT(--ISNUMBER(SEARCH(climate,'Jon Ossoff'!C114)))&gt;0)</f>
        <v>0</v>
      </c>
      <c r="V114" s="14" cm="1">
        <f t="array" ref="V114">INT(SUMPRODUCT(--ISNUMBER(SEARCH(abortion,'Jon Ossoff'!C114)))&gt;0)</f>
        <v>0</v>
      </c>
      <c r="W114" s="14" cm="1">
        <f t="array" ref="W114">INT(SUMPRODUCT(--ISNUMBER(SEARCH(trump,'Jon Ossoff'!C114)))&gt;0)</f>
        <v>0</v>
      </c>
      <c r="X114" s="14" cm="1">
        <f t="array" ref="X114">INT(SUMPRODUCT(--ISNUMBER(SEARCH(voting,'Jon Ossoff'!C114)))&gt;0)</f>
        <v>0</v>
      </c>
      <c r="Y114" s="14" cm="1">
        <f t="array" ref="Y114">INT(SUMPRODUCT(--ISNUMBER(SEARCH(democrattrigger,'Jon Ossoff'!C114)))&gt;0)</f>
        <v>0</v>
      </c>
      <c r="Z114" s="14" cm="1">
        <f t="array" ref="Z114">INT(SUMPRODUCT(--ISNUMBER(SEARCH(bipartisan,'Jon Ossoff'!C114)))&gt;0)</f>
        <v>0</v>
      </c>
      <c r="AA114" s="14">
        <f t="shared" si="1"/>
        <v>0</v>
      </c>
      <c r="AB114" s="14"/>
      <c r="AC114" s="30" t="s">
        <v>223</v>
      </c>
      <c r="AD114" s="37" t="s">
        <v>223</v>
      </c>
    </row>
    <row r="115" spans="1:30" x14ac:dyDescent="0.25">
      <c r="A115" s="36">
        <v>625</v>
      </c>
      <c r="B115" s="14" t="s">
        <v>1279</v>
      </c>
      <c r="C115" s="31" t="s">
        <v>1280</v>
      </c>
      <c r="D115" s="17">
        <v>44129</v>
      </c>
      <c r="E115" s="14" t="s">
        <v>30</v>
      </c>
      <c r="F115" s="14">
        <v>1677</v>
      </c>
      <c r="G115" s="14">
        <v>295</v>
      </c>
      <c r="H115" s="14">
        <v>4</v>
      </c>
      <c r="I115" s="14">
        <v>2</v>
      </c>
      <c r="J115" s="14" t="s">
        <v>204</v>
      </c>
      <c r="K115" s="14" cm="1">
        <f t="array" ref="K115">INT(SUMPRODUCT(--ISNUMBER(SEARCH(economy,'Jon Ossoff'!C115)))&gt;0)</f>
        <v>0</v>
      </c>
      <c r="L115" s="14" cm="1">
        <f t="array" ref="L115">INT(SUMPRODUCT(--ISNUMBER(SEARCH(healthcare,'Jon Ossoff'!C115)))&gt;0)</f>
        <v>0</v>
      </c>
      <c r="M115" s="14" cm="1">
        <f t="array" ref="M115">INT(SUMPRODUCT(--ISNUMBER(SEARCH(supreme,'Jon Ossoff'!C115)))&gt;0)</f>
        <v>0</v>
      </c>
      <c r="N115" s="14" cm="1">
        <f t="array" ref="N115">INT(SUMPRODUCT(--ISNUMBER(SEARCH(covid,'Jon Ossoff'!C115)))&gt;0)</f>
        <v>0</v>
      </c>
      <c r="O115" s="14" cm="1">
        <f t="array" ref="O115">INT(SUMPRODUCT(--ISNUMBER(SEARCH(violent,'Jon Ossoff'!C115)))&gt;0)</f>
        <v>0</v>
      </c>
      <c r="P115" s="14" cm="1">
        <f t="array" ref="P115">INT(SUMPRODUCT(--ISNUMBER(SEARCH(foreign,'Jon Ossoff'!C115)))&gt;0)</f>
        <v>0</v>
      </c>
      <c r="Q115" s="14" cm="1">
        <f t="array" ref="Q115">INT(SUMPRODUCT(--ISNUMBER(SEARCH(gun,'Jon Ossoff'!C115)))&gt;0)</f>
        <v>0</v>
      </c>
      <c r="R115" s="14" cm="1">
        <f t="array" ref="R115">INT(SUMPRODUCT(--ISNUMBER(SEARCH(race,'Jon Ossoff'!C115)))&gt;0)</f>
        <v>0</v>
      </c>
      <c r="S115" s="14" cm="1">
        <f t="array" ref="S115">INT(SUMPRODUCT(--ISNUMBER(SEARCH(immigration,C115)))&gt;0)</f>
        <v>0</v>
      </c>
      <c r="T115" s="14" cm="1">
        <f t="array" ref="T115">INT(SUMPRODUCT(--ISNUMBER(SEARCH(econineq,C115)))&gt;0)</f>
        <v>0</v>
      </c>
      <c r="U115" s="14" cm="1">
        <f t="array" ref="U115">INT(SUMPRODUCT(--ISNUMBER(SEARCH(climate,'Jon Ossoff'!C115)))&gt;0)</f>
        <v>0</v>
      </c>
      <c r="V115" s="14" cm="1">
        <f t="array" ref="V115">INT(SUMPRODUCT(--ISNUMBER(SEARCH(abortion,'Jon Ossoff'!C115)))&gt;0)</f>
        <v>0</v>
      </c>
      <c r="W115" s="14" cm="1">
        <f t="array" ref="W115">INT(SUMPRODUCT(--ISNUMBER(SEARCH(trump,'Jon Ossoff'!C115)))&gt;0)</f>
        <v>0</v>
      </c>
      <c r="X115" s="14" cm="1">
        <f t="array" ref="X115">INT(SUMPRODUCT(--ISNUMBER(SEARCH(voting,'Jon Ossoff'!C115)))&gt;0)</f>
        <v>0</v>
      </c>
      <c r="Y115" s="14" cm="1">
        <f t="array" ref="Y115">INT(SUMPRODUCT(--ISNUMBER(SEARCH(democrattrigger,'Jon Ossoff'!C115)))&gt;0)</f>
        <v>0</v>
      </c>
      <c r="Z115" s="14" cm="1">
        <f t="array" ref="Z115">INT(SUMPRODUCT(--ISNUMBER(SEARCH(bipartisan,'Jon Ossoff'!C115)))&gt;0)</f>
        <v>0</v>
      </c>
      <c r="AA115" s="14">
        <f t="shared" si="1"/>
        <v>1</v>
      </c>
      <c r="AB115" s="14"/>
      <c r="AC115" s="30" t="s">
        <v>223</v>
      </c>
      <c r="AD115" s="37" t="s">
        <v>223</v>
      </c>
    </row>
    <row r="116" spans="1:30" x14ac:dyDescent="0.25">
      <c r="A116" s="36">
        <v>626</v>
      </c>
      <c r="B116" s="14" t="s">
        <v>1281</v>
      </c>
      <c r="C116" s="31" t="s">
        <v>1282</v>
      </c>
      <c r="D116" s="17">
        <v>44129</v>
      </c>
      <c r="E116" s="14" t="s">
        <v>30</v>
      </c>
      <c r="F116" s="14">
        <v>696</v>
      </c>
      <c r="G116" s="14">
        <v>142</v>
      </c>
      <c r="H116" s="14">
        <v>4</v>
      </c>
      <c r="I116" s="14">
        <v>2</v>
      </c>
      <c r="J116" s="14" t="s">
        <v>204</v>
      </c>
      <c r="K116" s="14" cm="1">
        <f t="array" ref="K116">INT(SUMPRODUCT(--ISNUMBER(SEARCH(economy,'Jon Ossoff'!C116)))&gt;0)</f>
        <v>0</v>
      </c>
      <c r="L116" s="14" cm="1">
        <f t="array" ref="L116">INT(SUMPRODUCT(--ISNUMBER(SEARCH(healthcare,'Jon Ossoff'!C116)))&gt;0)</f>
        <v>0</v>
      </c>
      <c r="M116" s="14" cm="1">
        <f t="array" ref="M116">INT(SUMPRODUCT(--ISNUMBER(SEARCH(supreme,'Jon Ossoff'!C116)))&gt;0)</f>
        <v>0</v>
      </c>
      <c r="N116" s="14" cm="1">
        <f t="array" ref="N116">INT(SUMPRODUCT(--ISNUMBER(SEARCH(covid,'Jon Ossoff'!C116)))&gt;0)</f>
        <v>0</v>
      </c>
      <c r="O116" s="14" cm="1">
        <f t="array" ref="O116">INT(SUMPRODUCT(--ISNUMBER(SEARCH(violent,'Jon Ossoff'!C116)))&gt;0)</f>
        <v>0</v>
      </c>
      <c r="P116" s="14" cm="1">
        <f t="array" ref="P116">INT(SUMPRODUCT(--ISNUMBER(SEARCH(foreign,'Jon Ossoff'!C116)))&gt;0)</f>
        <v>0</v>
      </c>
      <c r="Q116" s="14" cm="1">
        <f t="array" ref="Q116">INT(SUMPRODUCT(--ISNUMBER(SEARCH(gun,'Jon Ossoff'!C116)))&gt;0)</f>
        <v>0</v>
      </c>
      <c r="R116" s="14" cm="1">
        <f t="array" ref="R116">INT(SUMPRODUCT(--ISNUMBER(SEARCH(race,'Jon Ossoff'!C116)))&gt;0)</f>
        <v>0</v>
      </c>
      <c r="S116" s="14" cm="1">
        <f t="array" ref="S116">INT(SUMPRODUCT(--ISNUMBER(SEARCH(immigration,C116)))&gt;0)</f>
        <v>0</v>
      </c>
      <c r="T116" s="14" cm="1">
        <f t="array" ref="T116">INT(SUMPRODUCT(--ISNUMBER(SEARCH(econineq,C116)))&gt;0)</f>
        <v>0</v>
      </c>
      <c r="U116" s="14" cm="1">
        <f t="array" ref="U116">INT(SUMPRODUCT(--ISNUMBER(SEARCH(climate,'Jon Ossoff'!C116)))&gt;0)</f>
        <v>0</v>
      </c>
      <c r="V116" s="14" cm="1">
        <f t="array" ref="V116">INT(SUMPRODUCT(--ISNUMBER(SEARCH(abortion,'Jon Ossoff'!C116)))&gt;0)</f>
        <v>0</v>
      </c>
      <c r="W116" s="14" cm="1">
        <f t="array" ref="W116">INT(SUMPRODUCT(--ISNUMBER(SEARCH(trump,'Jon Ossoff'!C116)))&gt;0)</f>
        <v>0</v>
      </c>
      <c r="X116" s="14" cm="1">
        <f t="array" ref="X116">INT(SUMPRODUCT(--ISNUMBER(SEARCH(voting,'Jon Ossoff'!C116)))&gt;0)</f>
        <v>0</v>
      </c>
      <c r="Y116" s="14" cm="1">
        <f t="array" ref="Y116">INT(SUMPRODUCT(--ISNUMBER(SEARCH(democrattrigger,'Jon Ossoff'!C116)))&gt;0)</f>
        <v>0</v>
      </c>
      <c r="Z116" s="14" cm="1">
        <f t="array" ref="Z116">INT(SUMPRODUCT(--ISNUMBER(SEARCH(bipartisan,'Jon Ossoff'!C116)))&gt;0)</f>
        <v>0</v>
      </c>
      <c r="AA116" s="14">
        <f t="shared" si="1"/>
        <v>1</v>
      </c>
      <c r="AB116" s="14"/>
      <c r="AC116" s="30" t="s">
        <v>223</v>
      </c>
      <c r="AD116" s="37" t="s">
        <v>223</v>
      </c>
    </row>
    <row r="117" spans="1:30" x14ac:dyDescent="0.25">
      <c r="A117" s="36">
        <v>627</v>
      </c>
      <c r="B117" s="14" t="s">
        <v>1283</v>
      </c>
      <c r="C117" s="31" t="s">
        <v>1284</v>
      </c>
      <c r="D117" s="17">
        <v>44129</v>
      </c>
      <c r="E117" s="14" t="s">
        <v>30</v>
      </c>
      <c r="F117" s="14">
        <v>3912</v>
      </c>
      <c r="G117" s="14">
        <v>1245</v>
      </c>
      <c r="H117" s="14">
        <v>4</v>
      </c>
      <c r="I117" s="14">
        <v>2</v>
      </c>
      <c r="J117" s="14" t="s">
        <v>204</v>
      </c>
      <c r="K117" s="14" cm="1">
        <f t="array" ref="K117">INT(SUMPRODUCT(--ISNUMBER(SEARCH(economy,'Jon Ossoff'!C117)))&gt;0)</f>
        <v>0</v>
      </c>
      <c r="L117" s="14" cm="1">
        <f t="array" ref="L117">INT(SUMPRODUCT(--ISNUMBER(SEARCH(healthcare,'Jon Ossoff'!C117)))&gt;0)</f>
        <v>0</v>
      </c>
      <c r="M117" s="14" cm="1">
        <f t="array" ref="M117">INT(SUMPRODUCT(--ISNUMBER(SEARCH(supreme,'Jon Ossoff'!C117)))&gt;0)</f>
        <v>0</v>
      </c>
      <c r="N117" s="14" cm="1">
        <f t="array" ref="N117">INT(SUMPRODUCT(--ISNUMBER(SEARCH(covid,'Jon Ossoff'!C117)))&gt;0)</f>
        <v>0</v>
      </c>
      <c r="O117" s="14" cm="1">
        <f t="array" ref="O117">INT(SUMPRODUCT(--ISNUMBER(SEARCH(violent,'Jon Ossoff'!C117)))&gt;0)</f>
        <v>0</v>
      </c>
      <c r="P117" s="14" cm="1">
        <f t="array" ref="P117">INT(SUMPRODUCT(--ISNUMBER(SEARCH(foreign,'Jon Ossoff'!C117)))&gt;0)</f>
        <v>0</v>
      </c>
      <c r="Q117" s="14" cm="1">
        <f t="array" ref="Q117">INT(SUMPRODUCT(--ISNUMBER(SEARCH(gun,'Jon Ossoff'!C117)))&gt;0)</f>
        <v>0</v>
      </c>
      <c r="R117" s="14" cm="1">
        <f t="array" ref="R117">INT(SUMPRODUCT(--ISNUMBER(SEARCH(race,'Jon Ossoff'!C117)))&gt;0)</f>
        <v>0</v>
      </c>
      <c r="S117" s="14" cm="1">
        <f t="array" ref="S117">INT(SUMPRODUCT(--ISNUMBER(SEARCH(immigration,C117)))&gt;0)</f>
        <v>0</v>
      </c>
      <c r="T117" s="14" cm="1">
        <f t="array" ref="T117">INT(SUMPRODUCT(--ISNUMBER(SEARCH(econineq,C117)))&gt;0)</f>
        <v>0</v>
      </c>
      <c r="U117" s="14" cm="1">
        <f t="array" ref="U117">INT(SUMPRODUCT(--ISNUMBER(SEARCH(climate,'Jon Ossoff'!C117)))&gt;0)</f>
        <v>0</v>
      </c>
      <c r="V117" s="14" cm="1">
        <f t="array" ref="V117">INT(SUMPRODUCT(--ISNUMBER(SEARCH(abortion,'Jon Ossoff'!C117)))&gt;0)</f>
        <v>0</v>
      </c>
      <c r="W117" s="14" cm="1">
        <f t="array" ref="W117">INT(SUMPRODUCT(--ISNUMBER(SEARCH(trump,'Jon Ossoff'!C117)))&gt;0)</f>
        <v>0</v>
      </c>
      <c r="X117" s="14" cm="1">
        <f t="array" ref="X117">INT(SUMPRODUCT(--ISNUMBER(SEARCH(voting,'Jon Ossoff'!C117)))&gt;0)</f>
        <v>1</v>
      </c>
      <c r="Y117" s="14" cm="1">
        <f t="array" ref="Y117">INT(SUMPRODUCT(--ISNUMBER(SEARCH(democrattrigger,'Jon Ossoff'!C117)))&gt;0)</f>
        <v>0</v>
      </c>
      <c r="Z117" s="14" cm="1">
        <f t="array" ref="Z117">INT(SUMPRODUCT(--ISNUMBER(SEARCH(bipartisan,'Jon Ossoff'!C117)))&gt;0)</f>
        <v>0</v>
      </c>
      <c r="AA117" s="14">
        <f t="shared" si="1"/>
        <v>0</v>
      </c>
      <c r="AB117" s="14"/>
      <c r="AC117" s="30" t="s">
        <v>223</v>
      </c>
      <c r="AD117" s="37" t="s">
        <v>223</v>
      </c>
    </row>
    <row r="118" spans="1:30" x14ac:dyDescent="0.25">
      <c r="A118" s="36">
        <v>628</v>
      </c>
      <c r="B118" s="14" t="s">
        <v>1285</v>
      </c>
      <c r="C118" s="31" t="s">
        <v>1286</v>
      </c>
      <c r="D118" s="17">
        <v>44129</v>
      </c>
      <c r="E118" s="14" t="s">
        <v>30</v>
      </c>
      <c r="F118" s="14">
        <v>628</v>
      </c>
      <c r="G118" s="14">
        <v>187</v>
      </c>
      <c r="H118" s="14">
        <v>4</v>
      </c>
      <c r="I118" s="14">
        <v>2</v>
      </c>
      <c r="J118" s="14" t="s">
        <v>204</v>
      </c>
      <c r="K118" s="14" cm="1">
        <f t="array" ref="K118">INT(SUMPRODUCT(--ISNUMBER(SEARCH(economy,'Jon Ossoff'!C118)))&gt;0)</f>
        <v>0</v>
      </c>
      <c r="L118" s="14" cm="1">
        <f t="array" ref="L118">INT(SUMPRODUCT(--ISNUMBER(SEARCH(healthcare,'Jon Ossoff'!C118)))&gt;0)</f>
        <v>0</v>
      </c>
      <c r="M118" s="14" cm="1">
        <f t="array" ref="M118">INT(SUMPRODUCT(--ISNUMBER(SEARCH(supreme,'Jon Ossoff'!C118)))&gt;0)</f>
        <v>0</v>
      </c>
      <c r="N118" s="14" cm="1">
        <f t="array" ref="N118">INT(SUMPRODUCT(--ISNUMBER(SEARCH(covid,'Jon Ossoff'!C118)))&gt;0)</f>
        <v>0</v>
      </c>
      <c r="O118" s="14" cm="1">
        <f t="array" ref="O118">INT(SUMPRODUCT(--ISNUMBER(SEARCH(violent,'Jon Ossoff'!C118)))&gt;0)</f>
        <v>0</v>
      </c>
      <c r="P118" s="14" cm="1">
        <f t="array" ref="P118">INT(SUMPRODUCT(--ISNUMBER(SEARCH(foreign,'Jon Ossoff'!C118)))&gt;0)</f>
        <v>0</v>
      </c>
      <c r="Q118" s="14" cm="1">
        <f t="array" ref="Q118">INT(SUMPRODUCT(--ISNUMBER(SEARCH(gun,'Jon Ossoff'!C118)))&gt;0)</f>
        <v>0</v>
      </c>
      <c r="R118" s="14" cm="1">
        <f t="array" ref="R118">INT(SUMPRODUCT(--ISNUMBER(SEARCH(race,'Jon Ossoff'!C118)))&gt;0)</f>
        <v>0</v>
      </c>
      <c r="S118" s="14" cm="1">
        <f t="array" ref="S118">INT(SUMPRODUCT(--ISNUMBER(SEARCH(immigration,C118)))&gt;0)</f>
        <v>0</v>
      </c>
      <c r="T118" s="14" cm="1">
        <f t="array" ref="T118">INT(SUMPRODUCT(--ISNUMBER(SEARCH(econineq,C118)))&gt;0)</f>
        <v>0</v>
      </c>
      <c r="U118" s="14" cm="1">
        <f t="array" ref="U118">INT(SUMPRODUCT(--ISNUMBER(SEARCH(climate,'Jon Ossoff'!C118)))&gt;0)</f>
        <v>0</v>
      </c>
      <c r="V118" s="14" cm="1">
        <f t="array" ref="V118">INT(SUMPRODUCT(--ISNUMBER(SEARCH(abortion,'Jon Ossoff'!C118)))&gt;0)</f>
        <v>0</v>
      </c>
      <c r="W118" s="14" cm="1">
        <f t="array" ref="W118">INT(SUMPRODUCT(--ISNUMBER(SEARCH(trump,'Jon Ossoff'!C118)))&gt;0)</f>
        <v>0</v>
      </c>
      <c r="X118" s="14" cm="1">
        <f t="array" ref="X118">INT(SUMPRODUCT(--ISNUMBER(SEARCH(voting,'Jon Ossoff'!C118)))&gt;0)</f>
        <v>1</v>
      </c>
      <c r="Y118" s="14" cm="1">
        <f t="array" ref="Y118">INT(SUMPRODUCT(--ISNUMBER(SEARCH(democrattrigger,'Jon Ossoff'!C118)))&gt;0)</f>
        <v>0</v>
      </c>
      <c r="Z118" s="14" cm="1">
        <f t="array" ref="Z118">INT(SUMPRODUCT(--ISNUMBER(SEARCH(bipartisan,'Jon Ossoff'!C118)))&gt;0)</f>
        <v>0</v>
      </c>
      <c r="AA118" s="14">
        <f t="shared" si="1"/>
        <v>0</v>
      </c>
      <c r="AB118" s="14"/>
      <c r="AC118" s="30" t="s">
        <v>223</v>
      </c>
      <c r="AD118" s="37" t="s">
        <v>223</v>
      </c>
    </row>
    <row r="119" spans="1:30" x14ac:dyDescent="0.25">
      <c r="A119" s="36">
        <v>629</v>
      </c>
      <c r="B119" s="14" t="s">
        <v>1287</v>
      </c>
      <c r="C119" s="31" t="s">
        <v>1288</v>
      </c>
      <c r="D119" s="17">
        <v>44128</v>
      </c>
      <c r="E119" s="14" t="s">
        <v>30</v>
      </c>
      <c r="F119" s="14">
        <v>3917</v>
      </c>
      <c r="G119" s="14">
        <v>601</v>
      </c>
      <c r="H119" s="14">
        <v>4</v>
      </c>
      <c r="I119" s="14">
        <v>2</v>
      </c>
      <c r="J119" s="14" t="s">
        <v>204</v>
      </c>
      <c r="K119" s="14" cm="1">
        <f t="array" ref="K119">INT(SUMPRODUCT(--ISNUMBER(SEARCH(economy,'Jon Ossoff'!C119)))&gt;0)</f>
        <v>0</v>
      </c>
      <c r="L119" s="14" cm="1">
        <f t="array" ref="L119">INT(SUMPRODUCT(--ISNUMBER(SEARCH(healthcare,'Jon Ossoff'!C119)))&gt;0)</f>
        <v>0</v>
      </c>
      <c r="M119" s="14" cm="1">
        <f t="array" ref="M119">INT(SUMPRODUCT(--ISNUMBER(SEARCH(supreme,'Jon Ossoff'!C119)))&gt;0)</f>
        <v>0</v>
      </c>
      <c r="N119" s="14" cm="1">
        <f t="array" ref="N119">INT(SUMPRODUCT(--ISNUMBER(SEARCH(covid,'Jon Ossoff'!C119)))&gt;0)</f>
        <v>0</v>
      </c>
      <c r="O119" s="14" cm="1">
        <f t="array" ref="O119">INT(SUMPRODUCT(--ISNUMBER(SEARCH(violent,'Jon Ossoff'!C119)))&gt;0)</f>
        <v>0</v>
      </c>
      <c r="P119" s="14" cm="1">
        <f t="array" ref="P119">INT(SUMPRODUCT(--ISNUMBER(SEARCH(foreign,'Jon Ossoff'!C119)))&gt;0)</f>
        <v>0</v>
      </c>
      <c r="Q119" s="14" cm="1">
        <f t="array" ref="Q119">INT(SUMPRODUCT(--ISNUMBER(SEARCH(gun,'Jon Ossoff'!C119)))&gt;0)</f>
        <v>0</v>
      </c>
      <c r="R119" s="14" cm="1">
        <f t="array" ref="R119">INT(SUMPRODUCT(--ISNUMBER(SEARCH(race,'Jon Ossoff'!C119)))&gt;0)</f>
        <v>0</v>
      </c>
      <c r="S119" s="14" cm="1">
        <f t="array" ref="S119">INT(SUMPRODUCT(--ISNUMBER(SEARCH(immigration,C119)))&gt;0)</f>
        <v>0</v>
      </c>
      <c r="T119" s="14" cm="1">
        <f t="array" ref="T119">INT(SUMPRODUCT(--ISNUMBER(SEARCH(econineq,C119)))&gt;0)</f>
        <v>0</v>
      </c>
      <c r="U119" s="14" cm="1">
        <f t="array" ref="U119">INT(SUMPRODUCT(--ISNUMBER(SEARCH(climate,'Jon Ossoff'!C119)))&gt;0)</f>
        <v>0</v>
      </c>
      <c r="V119" s="14" cm="1">
        <f t="array" ref="V119">INT(SUMPRODUCT(--ISNUMBER(SEARCH(abortion,'Jon Ossoff'!C119)))&gt;0)</f>
        <v>0</v>
      </c>
      <c r="W119" s="14" cm="1">
        <f t="array" ref="W119">INT(SUMPRODUCT(--ISNUMBER(SEARCH(trump,'Jon Ossoff'!C119)))&gt;0)</f>
        <v>0</v>
      </c>
      <c r="X119" s="14" cm="1">
        <f t="array" ref="X119">INT(SUMPRODUCT(--ISNUMBER(SEARCH(voting,'Jon Ossoff'!C119)))&gt;0)</f>
        <v>0</v>
      </c>
      <c r="Y119" s="14" cm="1">
        <f t="array" ref="Y119">INT(SUMPRODUCT(--ISNUMBER(SEARCH(democrattrigger,'Jon Ossoff'!C119)))&gt;0)</f>
        <v>0</v>
      </c>
      <c r="Z119" s="14" cm="1">
        <f t="array" ref="Z119">INT(SUMPRODUCT(--ISNUMBER(SEARCH(bipartisan,'Jon Ossoff'!C119)))&gt;0)</f>
        <v>0</v>
      </c>
      <c r="AA119" s="14">
        <f t="shared" si="1"/>
        <v>1</v>
      </c>
      <c r="AB119" s="14"/>
      <c r="AC119" s="30" t="s">
        <v>223</v>
      </c>
      <c r="AD119" s="37" t="s">
        <v>223</v>
      </c>
    </row>
    <row r="120" spans="1:30" x14ac:dyDescent="0.25">
      <c r="A120" s="36">
        <v>630</v>
      </c>
      <c r="B120" s="14" t="s">
        <v>1289</v>
      </c>
      <c r="C120" s="31" t="s">
        <v>1290</v>
      </c>
      <c r="D120" s="17">
        <v>44128</v>
      </c>
      <c r="E120" s="14" t="s">
        <v>30</v>
      </c>
      <c r="F120" s="14">
        <v>1072</v>
      </c>
      <c r="G120" s="14">
        <v>338</v>
      </c>
      <c r="H120" s="14">
        <v>4</v>
      </c>
      <c r="I120" s="14">
        <v>2</v>
      </c>
      <c r="J120" s="14" t="s">
        <v>204</v>
      </c>
      <c r="K120" s="14" cm="1">
        <f t="array" ref="K120">INT(SUMPRODUCT(--ISNUMBER(SEARCH(economy,'Jon Ossoff'!C120)))&gt;0)</f>
        <v>0</v>
      </c>
      <c r="L120" s="14" cm="1">
        <f t="array" ref="L120">INT(SUMPRODUCT(--ISNUMBER(SEARCH(healthcare,'Jon Ossoff'!C120)))&gt;0)</f>
        <v>0</v>
      </c>
      <c r="M120" s="14" cm="1">
        <f t="array" ref="M120">INT(SUMPRODUCT(--ISNUMBER(SEARCH(supreme,'Jon Ossoff'!C120)))&gt;0)</f>
        <v>0</v>
      </c>
      <c r="N120" s="14" cm="1">
        <f t="array" ref="N120">INT(SUMPRODUCT(--ISNUMBER(SEARCH(covid,'Jon Ossoff'!C120)))&gt;0)</f>
        <v>0</v>
      </c>
      <c r="O120" s="14" cm="1">
        <f t="array" ref="O120">INT(SUMPRODUCT(--ISNUMBER(SEARCH(violent,'Jon Ossoff'!C120)))&gt;0)</f>
        <v>0</v>
      </c>
      <c r="P120" s="14" cm="1">
        <f t="array" ref="P120">INT(SUMPRODUCT(--ISNUMBER(SEARCH(foreign,'Jon Ossoff'!C120)))&gt;0)</f>
        <v>0</v>
      </c>
      <c r="Q120" s="14" cm="1">
        <f t="array" ref="Q120">INT(SUMPRODUCT(--ISNUMBER(SEARCH(gun,'Jon Ossoff'!C120)))&gt;0)</f>
        <v>0</v>
      </c>
      <c r="R120" s="14" cm="1">
        <f t="array" ref="R120">INT(SUMPRODUCT(--ISNUMBER(SEARCH(race,'Jon Ossoff'!C120)))&gt;0)</f>
        <v>0</v>
      </c>
      <c r="S120" s="14" cm="1">
        <f t="array" ref="S120">INT(SUMPRODUCT(--ISNUMBER(SEARCH(immigration,C120)))&gt;0)</f>
        <v>0</v>
      </c>
      <c r="T120" s="14" cm="1">
        <f t="array" ref="T120">INT(SUMPRODUCT(--ISNUMBER(SEARCH(econineq,C120)))&gt;0)</f>
        <v>0</v>
      </c>
      <c r="U120" s="14" cm="1">
        <f t="array" ref="U120">INT(SUMPRODUCT(--ISNUMBER(SEARCH(climate,'Jon Ossoff'!C120)))&gt;0)</f>
        <v>0</v>
      </c>
      <c r="V120" s="14" cm="1">
        <f t="array" ref="V120">INT(SUMPRODUCT(--ISNUMBER(SEARCH(abortion,'Jon Ossoff'!C120)))&gt;0)</f>
        <v>0</v>
      </c>
      <c r="W120" s="14" cm="1">
        <f t="array" ref="W120">INT(SUMPRODUCT(--ISNUMBER(SEARCH(trump,'Jon Ossoff'!C120)))&gt;0)</f>
        <v>0</v>
      </c>
      <c r="X120" s="14" cm="1">
        <f t="array" ref="X120">INT(SUMPRODUCT(--ISNUMBER(SEARCH(voting,'Jon Ossoff'!C120)))&gt;0)</f>
        <v>1</v>
      </c>
      <c r="Y120" s="14" cm="1">
        <f t="array" ref="Y120">INT(SUMPRODUCT(--ISNUMBER(SEARCH(democrattrigger,'Jon Ossoff'!C120)))&gt;0)</f>
        <v>0</v>
      </c>
      <c r="Z120" s="14" cm="1">
        <f t="array" ref="Z120">INT(SUMPRODUCT(--ISNUMBER(SEARCH(bipartisan,'Jon Ossoff'!C120)))&gt;0)</f>
        <v>0</v>
      </c>
      <c r="AA120" s="14">
        <f t="shared" si="1"/>
        <v>0</v>
      </c>
      <c r="AB120" s="14"/>
      <c r="AC120" s="30">
        <v>0</v>
      </c>
      <c r="AD120" s="37">
        <v>1</v>
      </c>
    </row>
    <row r="121" spans="1:30" x14ac:dyDescent="0.25">
      <c r="A121" s="36">
        <v>631</v>
      </c>
      <c r="B121" s="14" t="s">
        <v>1291</v>
      </c>
      <c r="C121" s="31" t="s">
        <v>1292</v>
      </c>
      <c r="D121" s="17">
        <v>44128</v>
      </c>
      <c r="E121" s="14" t="s">
        <v>70</v>
      </c>
      <c r="F121" s="14">
        <v>372</v>
      </c>
      <c r="G121" s="14">
        <v>90</v>
      </c>
      <c r="H121" s="14">
        <v>4</v>
      </c>
      <c r="I121" s="14">
        <v>2</v>
      </c>
      <c r="J121" s="14" t="s">
        <v>204</v>
      </c>
      <c r="K121" s="14" cm="1">
        <f t="array" ref="K121">INT(SUMPRODUCT(--ISNUMBER(SEARCH(economy,'Jon Ossoff'!C121)))&gt;0)</f>
        <v>0</v>
      </c>
      <c r="L121" s="14" cm="1">
        <f t="array" ref="L121">INT(SUMPRODUCT(--ISNUMBER(SEARCH(healthcare,'Jon Ossoff'!C121)))&gt;0)</f>
        <v>0</v>
      </c>
      <c r="M121" s="14" cm="1">
        <f t="array" ref="M121">INT(SUMPRODUCT(--ISNUMBER(SEARCH(supreme,'Jon Ossoff'!C121)))&gt;0)</f>
        <v>0</v>
      </c>
      <c r="N121" s="14" cm="1">
        <f t="array" ref="N121">INT(SUMPRODUCT(--ISNUMBER(SEARCH(covid,'Jon Ossoff'!C121)))&gt;0)</f>
        <v>0</v>
      </c>
      <c r="O121" s="14" cm="1">
        <f t="array" ref="O121">INT(SUMPRODUCT(--ISNUMBER(SEARCH(violent,'Jon Ossoff'!C121)))&gt;0)</f>
        <v>0</v>
      </c>
      <c r="P121" s="14" cm="1">
        <f t="array" ref="P121">INT(SUMPRODUCT(--ISNUMBER(SEARCH(foreign,'Jon Ossoff'!C121)))&gt;0)</f>
        <v>0</v>
      </c>
      <c r="Q121" s="14" cm="1">
        <f t="array" ref="Q121">INT(SUMPRODUCT(--ISNUMBER(SEARCH(gun,'Jon Ossoff'!C121)))&gt;0)</f>
        <v>0</v>
      </c>
      <c r="R121" s="14" cm="1">
        <f t="array" ref="R121">INT(SUMPRODUCT(--ISNUMBER(SEARCH(race,'Jon Ossoff'!C121)))&gt;0)</f>
        <v>0</v>
      </c>
      <c r="S121" s="14" cm="1">
        <f t="array" ref="S121">INT(SUMPRODUCT(--ISNUMBER(SEARCH(immigration,C121)))&gt;0)</f>
        <v>0</v>
      </c>
      <c r="T121" s="14" cm="1">
        <f t="array" ref="T121">INT(SUMPRODUCT(--ISNUMBER(SEARCH(econineq,C121)))&gt;0)</f>
        <v>0</v>
      </c>
      <c r="U121" s="14" cm="1">
        <f t="array" ref="U121">INT(SUMPRODUCT(--ISNUMBER(SEARCH(climate,'Jon Ossoff'!C121)))&gt;0)</f>
        <v>0</v>
      </c>
      <c r="V121" s="14" cm="1">
        <f t="array" ref="V121">INT(SUMPRODUCT(--ISNUMBER(SEARCH(abortion,'Jon Ossoff'!C121)))&gt;0)</f>
        <v>0</v>
      </c>
      <c r="W121" s="14" cm="1">
        <f t="array" ref="W121">INT(SUMPRODUCT(--ISNUMBER(SEARCH(trump,'Jon Ossoff'!C121)))&gt;0)</f>
        <v>0</v>
      </c>
      <c r="X121" s="14" cm="1">
        <f t="array" ref="X121">INT(SUMPRODUCT(--ISNUMBER(SEARCH(voting,'Jon Ossoff'!C121)))&gt;0)</f>
        <v>1</v>
      </c>
      <c r="Y121" s="14" cm="1">
        <f t="array" ref="Y121">INT(SUMPRODUCT(--ISNUMBER(SEARCH(democrattrigger,'Jon Ossoff'!C121)))&gt;0)</f>
        <v>0</v>
      </c>
      <c r="Z121" s="14" cm="1">
        <f t="array" ref="Z121">INT(SUMPRODUCT(--ISNUMBER(SEARCH(bipartisan,'Jon Ossoff'!C121)))&gt;0)</f>
        <v>0</v>
      </c>
      <c r="AA121" s="14">
        <f t="shared" si="1"/>
        <v>0</v>
      </c>
      <c r="AB121" s="14"/>
      <c r="AC121" s="30" t="s">
        <v>223</v>
      </c>
      <c r="AD121" s="37" t="s">
        <v>223</v>
      </c>
    </row>
    <row r="122" spans="1:30" x14ac:dyDescent="0.25">
      <c r="A122" s="36">
        <v>632</v>
      </c>
      <c r="B122" s="14" t="s">
        <v>1293</v>
      </c>
      <c r="C122" s="31" t="s">
        <v>1294</v>
      </c>
      <c r="D122" s="17">
        <v>44128</v>
      </c>
      <c r="E122" s="14" t="s">
        <v>30</v>
      </c>
      <c r="F122" s="14">
        <v>3593</v>
      </c>
      <c r="G122" s="14">
        <v>644</v>
      </c>
      <c r="H122" s="14">
        <v>4</v>
      </c>
      <c r="I122" s="14">
        <v>2</v>
      </c>
      <c r="J122" s="14" t="s">
        <v>204</v>
      </c>
      <c r="K122" s="14" cm="1">
        <f t="array" ref="K122">INT(SUMPRODUCT(--ISNUMBER(SEARCH(economy,'Jon Ossoff'!C122)))&gt;0)</f>
        <v>0</v>
      </c>
      <c r="L122" s="14" cm="1">
        <f t="array" ref="L122">INT(SUMPRODUCT(--ISNUMBER(SEARCH(healthcare,'Jon Ossoff'!C122)))&gt;0)</f>
        <v>0</v>
      </c>
      <c r="M122" s="14" cm="1">
        <f t="array" ref="M122">INT(SUMPRODUCT(--ISNUMBER(SEARCH(supreme,'Jon Ossoff'!C122)))&gt;0)</f>
        <v>0</v>
      </c>
      <c r="N122" s="14" cm="1">
        <f t="array" ref="N122">INT(SUMPRODUCT(--ISNUMBER(SEARCH(covid,'Jon Ossoff'!C122)))&gt;0)</f>
        <v>0</v>
      </c>
      <c r="O122" s="14" cm="1">
        <f t="array" ref="O122">INT(SUMPRODUCT(--ISNUMBER(SEARCH(violent,'Jon Ossoff'!C122)))&gt;0)</f>
        <v>0</v>
      </c>
      <c r="P122" s="14" cm="1">
        <f t="array" ref="P122">INT(SUMPRODUCT(--ISNUMBER(SEARCH(foreign,'Jon Ossoff'!C122)))&gt;0)</f>
        <v>0</v>
      </c>
      <c r="Q122" s="14" cm="1">
        <f t="array" ref="Q122">INT(SUMPRODUCT(--ISNUMBER(SEARCH(gun,'Jon Ossoff'!C122)))&gt;0)</f>
        <v>0</v>
      </c>
      <c r="R122" s="14" cm="1">
        <f t="array" ref="R122">INT(SUMPRODUCT(--ISNUMBER(SEARCH(race,'Jon Ossoff'!C122)))&gt;0)</f>
        <v>0</v>
      </c>
      <c r="S122" s="14" cm="1">
        <f t="array" ref="S122">INT(SUMPRODUCT(--ISNUMBER(SEARCH(immigration,C122)))&gt;0)</f>
        <v>0</v>
      </c>
      <c r="T122" s="14" cm="1">
        <f t="array" ref="T122">INT(SUMPRODUCT(--ISNUMBER(SEARCH(econineq,C122)))&gt;0)</f>
        <v>0</v>
      </c>
      <c r="U122" s="14" cm="1">
        <f t="array" ref="U122">INT(SUMPRODUCT(--ISNUMBER(SEARCH(climate,'Jon Ossoff'!C122)))&gt;0)</f>
        <v>0</v>
      </c>
      <c r="V122" s="14" cm="1">
        <f t="array" ref="V122">INT(SUMPRODUCT(--ISNUMBER(SEARCH(abortion,'Jon Ossoff'!C122)))&gt;0)</f>
        <v>0</v>
      </c>
      <c r="W122" s="14" cm="1">
        <f t="array" ref="W122">INT(SUMPRODUCT(--ISNUMBER(SEARCH(trump,'Jon Ossoff'!C122)))&gt;0)</f>
        <v>0</v>
      </c>
      <c r="X122" s="14" cm="1">
        <f t="array" ref="X122">INT(SUMPRODUCT(--ISNUMBER(SEARCH(voting,'Jon Ossoff'!C122)))&gt;0)</f>
        <v>0</v>
      </c>
      <c r="Y122" s="14" cm="1">
        <f t="array" ref="Y122">INT(SUMPRODUCT(--ISNUMBER(SEARCH(democrattrigger,'Jon Ossoff'!C122)))&gt;0)</f>
        <v>0</v>
      </c>
      <c r="Z122" s="14" cm="1">
        <f t="array" ref="Z122">INT(SUMPRODUCT(--ISNUMBER(SEARCH(bipartisan,'Jon Ossoff'!C122)))&gt;0)</f>
        <v>0</v>
      </c>
      <c r="AA122" s="14">
        <f t="shared" si="1"/>
        <v>1</v>
      </c>
      <c r="AB122" s="14"/>
      <c r="AC122" s="30">
        <v>1</v>
      </c>
      <c r="AD122" s="37">
        <v>0</v>
      </c>
    </row>
    <row r="123" spans="1:30" x14ac:dyDescent="0.25">
      <c r="A123" s="36">
        <v>633</v>
      </c>
      <c r="B123" s="14" t="s">
        <v>1295</v>
      </c>
      <c r="C123" s="31" t="s">
        <v>1296</v>
      </c>
      <c r="D123" s="17">
        <v>44128</v>
      </c>
      <c r="E123" s="14" t="s">
        <v>30</v>
      </c>
      <c r="F123" s="14">
        <v>902</v>
      </c>
      <c r="G123" s="14">
        <v>253</v>
      </c>
      <c r="H123" s="14">
        <v>4</v>
      </c>
      <c r="I123" s="14">
        <v>2</v>
      </c>
      <c r="J123" s="14" t="s">
        <v>204</v>
      </c>
      <c r="K123" s="14" cm="1">
        <f t="array" ref="K123">INT(SUMPRODUCT(--ISNUMBER(SEARCH(economy,'Jon Ossoff'!C123)))&gt;0)</f>
        <v>0</v>
      </c>
      <c r="L123" s="14" cm="1">
        <f t="array" ref="L123">INT(SUMPRODUCT(--ISNUMBER(SEARCH(healthcare,'Jon Ossoff'!C123)))&gt;0)</f>
        <v>0</v>
      </c>
      <c r="M123" s="14" cm="1">
        <f t="array" ref="M123">INT(SUMPRODUCT(--ISNUMBER(SEARCH(supreme,'Jon Ossoff'!C123)))&gt;0)</f>
        <v>0</v>
      </c>
      <c r="N123" s="14" cm="1">
        <f t="array" ref="N123">INT(SUMPRODUCT(--ISNUMBER(SEARCH(covid,'Jon Ossoff'!C123)))&gt;0)</f>
        <v>0</v>
      </c>
      <c r="O123" s="14" cm="1">
        <f t="array" ref="O123">INT(SUMPRODUCT(--ISNUMBER(SEARCH(violent,'Jon Ossoff'!C123)))&gt;0)</f>
        <v>0</v>
      </c>
      <c r="P123" s="14" cm="1">
        <f t="array" ref="P123">INT(SUMPRODUCT(--ISNUMBER(SEARCH(foreign,'Jon Ossoff'!C123)))&gt;0)</f>
        <v>0</v>
      </c>
      <c r="Q123" s="14" cm="1">
        <f t="array" ref="Q123">INT(SUMPRODUCT(--ISNUMBER(SEARCH(gun,'Jon Ossoff'!C123)))&gt;0)</f>
        <v>0</v>
      </c>
      <c r="R123" s="14" cm="1">
        <f t="array" ref="R123">INT(SUMPRODUCT(--ISNUMBER(SEARCH(race,'Jon Ossoff'!C123)))&gt;0)</f>
        <v>0</v>
      </c>
      <c r="S123" s="14" cm="1">
        <f t="array" ref="S123">INT(SUMPRODUCT(--ISNUMBER(SEARCH(immigration,C123)))&gt;0)</f>
        <v>0</v>
      </c>
      <c r="T123" s="14" cm="1">
        <f t="array" ref="T123">INT(SUMPRODUCT(--ISNUMBER(SEARCH(econineq,C123)))&gt;0)</f>
        <v>0</v>
      </c>
      <c r="U123" s="14" cm="1">
        <f t="array" ref="U123">INT(SUMPRODUCT(--ISNUMBER(SEARCH(climate,'Jon Ossoff'!C123)))&gt;0)</f>
        <v>0</v>
      </c>
      <c r="V123" s="14" cm="1">
        <f t="array" ref="V123">INT(SUMPRODUCT(--ISNUMBER(SEARCH(abortion,'Jon Ossoff'!C123)))&gt;0)</f>
        <v>0</v>
      </c>
      <c r="W123" s="14" cm="1">
        <f t="array" ref="W123">INT(SUMPRODUCT(--ISNUMBER(SEARCH(trump,'Jon Ossoff'!C123)))&gt;0)</f>
        <v>0</v>
      </c>
      <c r="X123" s="14" cm="1">
        <f t="array" ref="X123">INT(SUMPRODUCT(--ISNUMBER(SEARCH(voting,'Jon Ossoff'!C123)))&gt;0)</f>
        <v>1</v>
      </c>
      <c r="Y123" s="14" cm="1">
        <f t="array" ref="Y123">INT(SUMPRODUCT(--ISNUMBER(SEARCH(democrattrigger,'Jon Ossoff'!C123)))&gt;0)</f>
        <v>0</v>
      </c>
      <c r="Z123" s="14" cm="1">
        <f t="array" ref="Z123">INT(SUMPRODUCT(--ISNUMBER(SEARCH(bipartisan,'Jon Ossoff'!C123)))&gt;0)</f>
        <v>0</v>
      </c>
      <c r="AA123" s="14">
        <f t="shared" si="1"/>
        <v>0</v>
      </c>
      <c r="AB123" s="14"/>
      <c r="AC123" s="30">
        <v>0</v>
      </c>
      <c r="AD123" s="37">
        <v>1</v>
      </c>
    </row>
    <row r="124" spans="1:30" x14ac:dyDescent="0.25">
      <c r="A124" s="36">
        <v>634</v>
      </c>
      <c r="B124" s="14" t="s">
        <v>1297</v>
      </c>
      <c r="C124" s="31" t="s">
        <v>1298</v>
      </c>
      <c r="D124" s="17">
        <v>44128</v>
      </c>
      <c r="E124" s="14" t="s">
        <v>30</v>
      </c>
      <c r="F124" s="14">
        <v>435</v>
      </c>
      <c r="G124" s="14">
        <v>151</v>
      </c>
      <c r="H124" s="14">
        <v>4</v>
      </c>
      <c r="I124" s="14">
        <v>2</v>
      </c>
      <c r="J124" s="14" t="s">
        <v>204</v>
      </c>
      <c r="K124" s="14" cm="1">
        <f t="array" ref="K124">INT(SUMPRODUCT(--ISNUMBER(SEARCH(economy,'Jon Ossoff'!C124)))&gt;0)</f>
        <v>0</v>
      </c>
      <c r="L124" s="14" cm="1">
        <f t="array" ref="L124">INT(SUMPRODUCT(--ISNUMBER(SEARCH(healthcare,'Jon Ossoff'!C124)))&gt;0)</f>
        <v>0</v>
      </c>
      <c r="M124" s="14" cm="1">
        <f t="array" ref="M124">INT(SUMPRODUCT(--ISNUMBER(SEARCH(supreme,'Jon Ossoff'!C124)))&gt;0)</f>
        <v>0</v>
      </c>
      <c r="N124" s="14" cm="1">
        <f t="array" ref="N124">INT(SUMPRODUCT(--ISNUMBER(SEARCH(covid,'Jon Ossoff'!C124)))&gt;0)</f>
        <v>0</v>
      </c>
      <c r="O124" s="14" cm="1">
        <f t="array" ref="O124">INT(SUMPRODUCT(--ISNUMBER(SEARCH(violent,'Jon Ossoff'!C124)))&gt;0)</f>
        <v>0</v>
      </c>
      <c r="P124" s="14" cm="1">
        <f t="array" ref="P124">INT(SUMPRODUCT(--ISNUMBER(SEARCH(foreign,'Jon Ossoff'!C124)))&gt;0)</f>
        <v>0</v>
      </c>
      <c r="Q124" s="14" cm="1">
        <f t="array" ref="Q124">INT(SUMPRODUCT(--ISNUMBER(SEARCH(gun,'Jon Ossoff'!C124)))&gt;0)</f>
        <v>0</v>
      </c>
      <c r="R124" s="14" cm="1">
        <f t="array" ref="R124">INT(SUMPRODUCT(--ISNUMBER(SEARCH(race,'Jon Ossoff'!C124)))&gt;0)</f>
        <v>0</v>
      </c>
      <c r="S124" s="14" cm="1">
        <f t="array" ref="S124">INT(SUMPRODUCT(--ISNUMBER(SEARCH(immigration,C124)))&gt;0)</f>
        <v>0</v>
      </c>
      <c r="T124" s="14" cm="1">
        <f t="array" ref="T124">INT(SUMPRODUCT(--ISNUMBER(SEARCH(econineq,C124)))&gt;0)</f>
        <v>0</v>
      </c>
      <c r="U124" s="14" cm="1">
        <f t="array" ref="U124">INT(SUMPRODUCT(--ISNUMBER(SEARCH(climate,'Jon Ossoff'!C124)))&gt;0)</f>
        <v>0</v>
      </c>
      <c r="V124" s="14" cm="1">
        <f t="array" ref="V124">INT(SUMPRODUCT(--ISNUMBER(SEARCH(abortion,'Jon Ossoff'!C124)))&gt;0)</f>
        <v>0</v>
      </c>
      <c r="W124" s="14" cm="1">
        <f t="array" ref="W124">INT(SUMPRODUCT(--ISNUMBER(SEARCH(trump,'Jon Ossoff'!C124)))&gt;0)</f>
        <v>0</v>
      </c>
      <c r="X124" s="14" cm="1">
        <f t="array" ref="X124">INT(SUMPRODUCT(--ISNUMBER(SEARCH(voting,'Jon Ossoff'!C124)))&gt;0)</f>
        <v>1</v>
      </c>
      <c r="Y124" s="14" cm="1">
        <f t="array" ref="Y124">INT(SUMPRODUCT(--ISNUMBER(SEARCH(democrattrigger,'Jon Ossoff'!C124)))&gt;0)</f>
        <v>0</v>
      </c>
      <c r="Z124" s="14" cm="1">
        <f t="array" ref="Z124">INT(SUMPRODUCT(--ISNUMBER(SEARCH(bipartisan,'Jon Ossoff'!C124)))&gt;0)</f>
        <v>0</v>
      </c>
      <c r="AA124" s="14">
        <f t="shared" si="1"/>
        <v>0</v>
      </c>
      <c r="AB124" s="14"/>
      <c r="AC124" s="30" t="s">
        <v>223</v>
      </c>
      <c r="AD124" s="37" t="s">
        <v>223</v>
      </c>
    </row>
    <row r="125" spans="1:30" x14ac:dyDescent="0.25">
      <c r="A125" s="36">
        <v>635</v>
      </c>
      <c r="B125" s="14" t="s">
        <v>1299</v>
      </c>
      <c r="C125" s="31" t="s">
        <v>1300</v>
      </c>
      <c r="D125" s="17">
        <v>44128</v>
      </c>
      <c r="E125" s="14" t="s">
        <v>30</v>
      </c>
      <c r="F125" s="14">
        <v>1515</v>
      </c>
      <c r="G125" s="14">
        <v>602</v>
      </c>
      <c r="H125" s="14">
        <v>4</v>
      </c>
      <c r="I125" s="14">
        <v>2</v>
      </c>
      <c r="J125" s="14" t="s">
        <v>204</v>
      </c>
      <c r="K125" s="14" cm="1">
        <f t="array" ref="K125">INT(SUMPRODUCT(--ISNUMBER(SEARCH(economy,'Jon Ossoff'!C125)))&gt;0)</f>
        <v>0</v>
      </c>
      <c r="L125" s="14" cm="1">
        <f t="array" ref="L125">INT(SUMPRODUCT(--ISNUMBER(SEARCH(healthcare,'Jon Ossoff'!C125)))&gt;0)</f>
        <v>0</v>
      </c>
      <c r="M125" s="14" cm="1">
        <f t="array" ref="M125">INT(SUMPRODUCT(--ISNUMBER(SEARCH(supreme,'Jon Ossoff'!C125)))&gt;0)</f>
        <v>0</v>
      </c>
      <c r="N125" s="14" cm="1">
        <f t="array" ref="N125">INT(SUMPRODUCT(--ISNUMBER(SEARCH(covid,'Jon Ossoff'!C125)))&gt;0)</f>
        <v>0</v>
      </c>
      <c r="O125" s="14" cm="1">
        <f t="array" ref="O125">INT(SUMPRODUCT(--ISNUMBER(SEARCH(violent,'Jon Ossoff'!C125)))&gt;0)</f>
        <v>0</v>
      </c>
      <c r="P125" s="14" cm="1">
        <f t="array" ref="P125">INT(SUMPRODUCT(--ISNUMBER(SEARCH(foreign,'Jon Ossoff'!C125)))&gt;0)</f>
        <v>0</v>
      </c>
      <c r="Q125" s="14" cm="1">
        <f t="array" ref="Q125">INT(SUMPRODUCT(--ISNUMBER(SEARCH(gun,'Jon Ossoff'!C125)))&gt;0)</f>
        <v>0</v>
      </c>
      <c r="R125" s="14" cm="1">
        <f t="array" ref="R125">INT(SUMPRODUCT(--ISNUMBER(SEARCH(race,'Jon Ossoff'!C125)))&gt;0)</f>
        <v>0</v>
      </c>
      <c r="S125" s="14" cm="1">
        <f t="array" ref="S125">INT(SUMPRODUCT(--ISNUMBER(SEARCH(immigration,C125)))&gt;0)</f>
        <v>0</v>
      </c>
      <c r="T125" s="14" cm="1">
        <f t="array" ref="T125">INT(SUMPRODUCT(--ISNUMBER(SEARCH(econineq,C125)))&gt;0)</f>
        <v>0</v>
      </c>
      <c r="U125" s="14" cm="1">
        <f t="array" ref="U125">INT(SUMPRODUCT(--ISNUMBER(SEARCH(climate,'Jon Ossoff'!C125)))&gt;0)</f>
        <v>0</v>
      </c>
      <c r="V125" s="14" cm="1">
        <f t="array" ref="V125">INT(SUMPRODUCT(--ISNUMBER(SEARCH(abortion,'Jon Ossoff'!C125)))&gt;0)</f>
        <v>0</v>
      </c>
      <c r="W125" s="14" cm="1">
        <f t="array" ref="W125">INT(SUMPRODUCT(--ISNUMBER(SEARCH(trump,'Jon Ossoff'!C125)))&gt;0)</f>
        <v>0</v>
      </c>
      <c r="X125" s="14" cm="1">
        <f t="array" ref="X125">INT(SUMPRODUCT(--ISNUMBER(SEARCH(voting,'Jon Ossoff'!C125)))&gt;0)</f>
        <v>1</v>
      </c>
      <c r="Y125" s="14" cm="1">
        <f t="array" ref="Y125">INT(SUMPRODUCT(--ISNUMBER(SEARCH(democrattrigger,'Jon Ossoff'!C125)))&gt;0)</f>
        <v>0</v>
      </c>
      <c r="Z125" s="14" cm="1">
        <f t="array" ref="Z125">INT(SUMPRODUCT(--ISNUMBER(SEARCH(bipartisan,'Jon Ossoff'!C125)))&gt;0)</f>
        <v>0</v>
      </c>
      <c r="AA125" s="14">
        <f t="shared" si="1"/>
        <v>0</v>
      </c>
      <c r="AB125" s="14"/>
      <c r="AC125" s="30">
        <v>0</v>
      </c>
      <c r="AD125" s="37">
        <v>1</v>
      </c>
    </row>
    <row r="126" spans="1:30" x14ac:dyDescent="0.25">
      <c r="A126" s="36">
        <v>636</v>
      </c>
      <c r="B126" s="14" t="s">
        <v>1301</v>
      </c>
      <c r="C126" s="31" t="s">
        <v>1302</v>
      </c>
      <c r="D126" s="17">
        <v>44128</v>
      </c>
      <c r="E126" s="14" t="s">
        <v>30</v>
      </c>
      <c r="F126" s="14">
        <v>6404</v>
      </c>
      <c r="G126" s="14">
        <v>1125</v>
      </c>
      <c r="H126" s="14">
        <v>4</v>
      </c>
      <c r="I126" s="14">
        <v>2</v>
      </c>
      <c r="J126" s="14" t="s">
        <v>204</v>
      </c>
      <c r="K126" s="14" cm="1">
        <f t="array" ref="K126">INT(SUMPRODUCT(--ISNUMBER(SEARCH(economy,'Jon Ossoff'!C126)))&gt;0)</f>
        <v>0</v>
      </c>
      <c r="L126" s="14" cm="1">
        <f t="array" ref="L126">INT(SUMPRODUCT(--ISNUMBER(SEARCH(healthcare,'Jon Ossoff'!C126)))&gt;0)</f>
        <v>0</v>
      </c>
      <c r="M126" s="14" cm="1">
        <f t="array" ref="M126">INT(SUMPRODUCT(--ISNUMBER(SEARCH(supreme,'Jon Ossoff'!C126)))&gt;0)</f>
        <v>0</v>
      </c>
      <c r="N126" s="14" cm="1">
        <f t="array" ref="N126">INT(SUMPRODUCT(--ISNUMBER(SEARCH(covid,'Jon Ossoff'!C126)))&gt;0)</f>
        <v>0</v>
      </c>
      <c r="O126" s="14" cm="1">
        <f t="array" ref="O126">INT(SUMPRODUCT(--ISNUMBER(SEARCH(violent,'Jon Ossoff'!C126)))&gt;0)</f>
        <v>0</v>
      </c>
      <c r="P126" s="14" cm="1">
        <f t="array" ref="P126">INT(SUMPRODUCT(--ISNUMBER(SEARCH(foreign,'Jon Ossoff'!C126)))&gt;0)</f>
        <v>0</v>
      </c>
      <c r="Q126" s="14" cm="1">
        <f t="array" ref="Q126">INT(SUMPRODUCT(--ISNUMBER(SEARCH(gun,'Jon Ossoff'!C126)))&gt;0)</f>
        <v>0</v>
      </c>
      <c r="R126" s="14" cm="1">
        <f t="array" ref="R126">INT(SUMPRODUCT(--ISNUMBER(SEARCH(race,'Jon Ossoff'!C126)))&gt;0)</f>
        <v>0</v>
      </c>
      <c r="S126" s="14" cm="1">
        <f t="array" ref="S126">INT(SUMPRODUCT(--ISNUMBER(SEARCH(immigration,C126)))&gt;0)</f>
        <v>0</v>
      </c>
      <c r="T126" s="14" cm="1">
        <f t="array" ref="T126">INT(SUMPRODUCT(--ISNUMBER(SEARCH(econineq,C126)))&gt;0)</f>
        <v>0</v>
      </c>
      <c r="U126" s="14" cm="1">
        <f t="array" ref="U126">INT(SUMPRODUCT(--ISNUMBER(SEARCH(climate,'Jon Ossoff'!C126)))&gt;0)</f>
        <v>0</v>
      </c>
      <c r="V126" s="14" cm="1">
        <f t="array" ref="V126">INT(SUMPRODUCT(--ISNUMBER(SEARCH(abortion,'Jon Ossoff'!C126)))&gt;0)</f>
        <v>0</v>
      </c>
      <c r="W126" s="14" cm="1">
        <f t="array" ref="W126">INT(SUMPRODUCT(--ISNUMBER(SEARCH(trump,'Jon Ossoff'!C126)))&gt;0)</f>
        <v>0</v>
      </c>
      <c r="X126" s="14" cm="1">
        <f t="array" ref="X126">INT(SUMPRODUCT(--ISNUMBER(SEARCH(voting,'Jon Ossoff'!C126)))&gt;0)</f>
        <v>0</v>
      </c>
      <c r="Y126" s="14" cm="1">
        <f t="array" ref="Y126">INT(SUMPRODUCT(--ISNUMBER(SEARCH(democrattrigger,'Jon Ossoff'!C126)))&gt;0)</f>
        <v>0</v>
      </c>
      <c r="Z126" s="14" cm="1">
        <f t="array" ref="Z126">INT(SUMPRODUCT(--ISNUMBER(SEARCH(bipartisan,'Jon Ossoff'!C126)))&gt;0)</f>
        <v>0</v>
      </c>
      <c r="AA126" s="14">
        <f t="shared" si="1"/>
        <v>1</v>
      </c>
      <c r="AB126" s="14"/>
      <c r="AC126" s="30">
        <v>1</v>
      </c>
      <c r="AD126" s="37">
        <v>0</v>
      </c>
    </row>
    <row r="127" spans="1:30" x14ac:dyDescent="0.25">
      <c r="A127" s="36">
        <v>637</v>
      </c>
      <c r="B127" s="14" t="s">
        <v>1303</v>
      </c>
      <c r="C127" s="31" t="s">
        <v>1304</v>
      </c>
      <c r="D127" s="17">
        <v>44127</v>
      </c>
      <c r="E127" s="14" t="s">
        <v>30</v>
      </c>
      <c r="F127" s="14">
        <v>3948</v>
      </c>
      <c r="G127" s="14">
        <v>629</v>
      </c>
      <c r="H127" s="14">
        <v>4</v>
      </c>
      <c r="I127" s="14">
        <v>2</v>
      </c>
      <c r="J127" s="14" t="s">
        <v>204</v>
      </c>
      <c r="K127" s="14" cm="1">
        <f t="array" ref="K127">INT(SUMPRODUCT(--ISNUMBER(SEARCH(economy,'Jon Ossoff'!C127)))&gt;0)</f>
        <v>0</v>
      </c>
      <c r="L127" s="14" cm="1">
        <f t="array" ref="L127">INT(SUMPRODUCT(--ISNUMBER(SEARCH(healthcare,'Jon Ossoff'!C127)))&gt;0)</f>
        <v>0</v>
      </c>
      <c r="M127" s="14" cm="1">
        <f t="array" ref="M127">INT(SUMPRODUCT(--ISNUMBER(SEARCH(supreme,'Jon Ossoff'!C127)))&gt;0)</f>
        <v>0</v>
      </c>
      <c r="N127" s="14" cm="1">
        <f t="array" ref="N127">INT(SUMPRODUCT(--ISNUMBER(SEARCH(covid,'Jon Ossoff'!C127)))&gt;0)</f>
        <v>0</v>
      </c>
      <c r="O127" s="14" cm="1">
        <f t="array" ref="O127">INT(SUMPRODUCT(--ISNUMBER(SEARCH(violent,'Jon Ossoff'!C127)))&gt;0)</f>
        <v>0</v>
      </c>
      <c r="P127" s="14" cm="1">
        <f t="array" ref="P127">INT(SUMPRODUCT(--ISNUMBER(SEARCH(foreign,'Jon Ossoff'!C127)))&gt;0)</f>
        <v>0</v>
      </c>
      <c r="Q127" s="14" cm="1">
        <f t="array" ref="Q127">INT(SUMPRODUCT(--ISNUMBER(SEARCH(gun,'Jon Ossoff'!C127)))&gt;0)</f>
        <v>0</v>
      </c>
      <c r="R127" s="14" cm="1">
        <f t="array" ref="R127">INT(SUMPRODUCT(--ISNUMBER(SEARCH(race,'Jon Ossoff'!C127)))&gt;0)</f>
        <v>0</v>
      </c>
      <c r="S127" s="14" cm="1">
        <f t="array" ref="S127">INT(SUMPRODUCT(--ISNUMBER(SEARCH(immigration,C127)))&gt;0)</f>
        <v>0</v>
      </c>
      <c r="T127" s="14" cm="1">
        <f t="array" ref="T127">INT(SUMPRODUCT(--ISNUMBER(SEARCH(econineq,C127)))&gt;0)</f>
        <v>0</v>
      </c>
      <c r="U127" s="14" cm="1">
        <f t="array" ref="U127">INT(SUMPRODUCT(--ISNUMBER(SEARCH(climate,'Jon Ossoff'!C127)))&gt;0)</f>
        <v>0</v>
      </c>
      <c r="V127" s="14" cm="1">
        <f t="array" ref="V127">INT(SUMPRODUCT(--ISNUMBER(SEARCH(abortion,'Jon Ossoff'!C127)))&gt;0)</f>
        <v>0</v>
      </c>
      <c r="W127" s="14" cm="1">
        <f t="array" ref="W127">INT(SUMPRODUCT(--ISNUMBER(SEARCH(trump,'Jon Ossoff'!C127)))&gt;0)</f>
        <v>0</v>
      </c>
      <c r="X127" s="14" cm="1">
        <f t="array" ref="X127">INT(SUMPRODUCT(--ISNUMBER(SEARCH(voting,'Jon Ossoff'!C127)))&gt;0)</f>
        <v>0</v>
      </c>
      <c r="Y127" s="14" cm="1">
        <f t="array" ref="Y127">INT(SUMPRODUCT(--ISNUMBER(SEARCH(democrattrigger,'Jon Ossoff'!C127)))&gt;0)</f>
        <v>0</v>
      </c>
      <c r="Z127" s="14" cm="1">
        <f t="array" ref="Z127">INT(SUMPRODUCT(--ISNUMBER(SEARCH(bipartisan,'Jon Ossoff'!C127)))&gt;0)</f>
        <v>0</v>
      </c>
      <c r="AA127" s="14">
        <f t="shared" si="1"/>
        <v>1</v>
      </c>
      <c r="AB127" s="14"/>
      <c r="AC127" s="30">
        <v>0</v>
      </c>
      <c r="AD127" s="37">
        <v>1</v>
      </c>
    </row>
    <row r="128" spans="1:30" x14ac:dyDescent="0.25">
      <c r="A128" s="36">
        <v>638</v>
      </c>
      <c r="B128" s="14" t="s">
        <v>1305</v>
      </c>
      <c r="C128" s="31" t="s">
        <v>1306</v>
      </c>
      <c r="D128" s="17">
        <v>44127</v>
      </c>
      <c r="E128" s="14" t="s">
        <v>30</v>
      </c>
      <c r="F128" s="14">
        <v>426</v>
      </c>
      <c r="G128" s="14">
        <v>124</v>
      </c>
      <c r="H128" s="14">
        <v>4</v>
      </c>
      <c r="I128" s="14">
        <v>2</v>
      </c>
      <c r="J128" s="14" t="s">
        <v>204</v>
      </c>
      <c r="K128" s="14" cm="1">
        <f t="array" ref="K128">INT(SUMPRODUCT(--ISNUMBER(SEARCH(economy,'Jon Ossoff'!C128)))&gt;0)</f>
        <v>0</v>
      </c>
      <c r="L128" s="14" cm="1">
        <f t="array" ref="L128">INT(SUMPRODUCT(--ISNUMBER(SEARCH(healthcare,'Jon Ossoff'!C128)))&gt;0)</f>
        <v>0</v>
      </c>
      <c r="M128" s="14" cm="1">
        <f t="array" ref="M128">INT(SUMPRODUCT(--ISNUMBER(SEARCH(supreme,'Jon Ossoff'!C128)))&gt;0)</f>
        <v>0</v>
      </c>
      <c r="N128" s="14" cm="1">
        <f t="array" ref="N128">INT(SUMPRODUCT(--ISNUMBER(SEARCH(covid,'Jon Ossoff'!C128)))&gt;0)</f>
        <v>0</v>
      </c>
      <c r="O128" s="14" cm="1">
        <f t="array" ref="O128">INT(SUMPRODUCT(--ISNUMBER(SEARCH(violent,'Jon Ossoff'!C128)))&gt;0)</f>
        <v>0</v>
      </c>
      <c r="P128" s="14" cm="1">
        <f t="array" ref="P128">INT(SUMPRODUCT(--ISNUMBER(SEARCH(foreign,'Jon Ossoff'!C128)))&gt;0)</f>
        <v>0</v>
      </c>
      <c r="Q128" s="14" cm="1">
        <f t="array" ref="Q128">INT(SUMPRODUCT(--ISNUMBER(SEARCH(gun,'Jon Ossoff'!C128)))&gt;0)</f>
        <v>0</v>
      </c>
      <c r="R128" s="14" cm="1">
        <f t="array" ref="R128">INT(SUMPRODUCT(--ISNUMBER(SEARCH(race,'Jon Ossoff'!C128)))&gt;0)</f>
        <v>0</v>
      </c>
      <c r="S128" s="14" cm="1">
        <f t="array" ref="S128">INT(SUMPRODUCT(--ISNUMBER(SEARCH(immigration,C128)))&gt;0)</f>
        <v>0</v>
      </c>
      <c r="T128" s="14" cm="1">
        <f t="array" ref="T128">INT(SUMPRODUCT(--ISNUMBER(SEARCH(econineq,C128)))&gt;0)</f>
        <v>0</v>
      </c>
      <c r="U128" s="14" cm="1">
        <f t="array" ref="U128">INT(SUMPRODUCT(--ISNUMBER(SEARCH(climate,'Jon Ossoff'!C128)))&gt;0)</f>
        <v>0</v>
      </c>
      <c r="V128" s="14" cm="1">
        <f t="array" ref="V128">INT(SUMPRODUCT(--ISNUMBER(SEARCH(abortion,'Jon Ossoff'!C128)))&gt;0)</f>
        <v>0</v>
      </c>
      <c r="W128" s="14" cm="1">
        <f t="array" ref="W128">INT(SUMPRODUCT(--ISNUMBER(SEARCH(trump,'Jon Ossoff'!C128)))&gt;0)</f>
        <v>0</v>
      </c>
      <c r="X128" s="14" cm="1">
        <f t="array" ref="X128">INT(SUMPRODUCT(--ISNUMBER(SEARCH(voting,'Jon Ossoff'!C128)))&gt;0)</f>
        <v>1</v>
      </c>
      <c r="Y128" s="14" cm="1">
        <f t="array" ref="Y128">INT(SUMPRODUCT(--ISNUMBER(SEARCH(democrattrigger,'Jon Ossoff'!C128)))&gt;0)</f>
        <v>0</v>
      </c>
      <c r="Z128" s="14" cm="1">
        <f t="array" ref="Z128">INT(SUMPRODUCT(--ISNUMBER(SEARCH(bipartisan,'Jon Ossoff'!C128)))&gt;0)</f>
        <v>0</v>
      </c>
      <c r="AA128" s="14">
        <f t="shared" si="1"/>
        <v>0</v>
      </c>
      <c r="AB128" s="14"/>
      <c r="AC128" s="30" t="s">
        <v>223</v>
      </c>
      <c r="AD128" s="37" t="s">
        <v>223</v>
      </c>
    </row>
    <row r="129" spans="1:30" x14ac:dyDescent="0.25">
      <c r="A129" s="36">
        <v>639</v>
      </c>
      <c r="B129" s="14" t="s">
        <v>1307</v>
      </c>
      <c r="C129" s="31" t="s">
        <v>1308</v>
      </c>
      <c r="D129" s="17">
        <v>44127</v>
      </c>
      <c r="E129" s="14" t="s">
        <v>30</v>
      </c>
      <c r="F129" s="14">
        <v>588</v>
      </c>
      <c r="G129" s="14">
        <v>240</v>
      </c>
      <c r="H129" s="14">
        <v>4</v>
      </c>
      <c r="I129" s="14">
        <v>2</v>
      </c>
      <c r="J129" s="14" t="s">
        <v>204</v>
      </c>
      <c r="K129" s="14" cm="1">
        <f t="array" ref="K129">INT(SUMPRODUCT(--ISNUMBER(SEARCH(economy,'Jon Ossoff'!C129)))&gt;0)</f>
        <v>0</v>
      </c>
      <c r="L129" s="14" cm="1">
        <f t="array" ref="L129">INT(SUMPRODUCT(--ISNUMBER(SEARCH(healthcare,'Jon Ossoff'!C129)))&gt;0)</f>
        <v>0</v>
      </c>
      <c r="M129" s="14" cm="1">
        <f t="array" ref="M129">INT(SUMPRODUCT(--ISNUMBER(SEARCH(supreme,'Jon Ossoff'!C129)))&gt;0)</f>
        <v>0</v>
      </c>
      <c r="N129" s="14" cm="1">
        <f t="array" ref="N129">INT(SUMPRODUCT(--ISNUMBER(SEARCH(covid,'Jon Ossoff'!C129)))&gt;0)</f>
        <v>0</v>
      </c>
      <c r="O129" s="14" cm="1">
        <f t="array" ref="O129">INT(SUMPRODUCT(--ISNUMBER(SEARCH(violent,'Jon Ossoff'!C129)))&gt;0)</f>
        <v>0</v>
      </c>
      <c r="P129" s="14" cm="1">
        <f t="array" ref="P129">INT(SUMPRODUCT(--ISNUMBER(SEARCH(foreign,'Jon Ossoff'!C129)))&gt;0)</f>
        <v>0</v>
      </c>
      <c r="Q129" s="14" cm="1">
        <f t="array" ref="Q129">INT(SUMPRODUCT(--ISNUMBER(SEARCH(gun,'Jon Ossoff'!C129)))&gt;0)</f>
        <v>0</v>
      </c>
      <c r="R129" s="14" cm="1">
        <f t="array" ref="R129">INT(SUMPRODUCT(--ISNUMBER(SEARCH(race,'Jon Ossoff'!C129)))&gt;0)</f>
        <v>0</v>
      </c>
      <c r="S129" s="14" cm="1">
        <f t="array" ref="S129">INT(SUMPRODUCT(--ISNUMBER(SEARCH(immigration,C129)))&gt;0)</f>
        <v>0</v>
      </c>
      <c r="T129" s="14" cm="1">
        <f t="array" ref="T129">INT(SUMPRODUCT(--ISNUMBER(SEARCH(econineq,C129)))&gt;0)</f>
        <v>0</v>
      </c>
      <c r="U129" s="14" cm="1">
        <f t="array" ref="U129">INT(SUMPRODUCT(--ISNUMBER(SEARCH(climate,'Jon Ossoff'!C129)))&gt;0)</f>
        <v>0</v>
      </c>
      <c r="V129" s="14" cm="1">
        <f t="array" ref="V129">INT(SUMPRODUCT(--ISNUMBER(SEARCH(abortion,'Jon Ossoff'!C129)))&gt;0)</f>
        <v>0</v>
      </c>
      <c r="W129" s="14" cm="1">
        <f t="array" ref="W129">INT(SUMPRODUCT(--ISNUMBER(SEARCH(trump,'Jon Ossoff'!C129)))&gt;0)</f>
        <v>0</v>
      </c>
      <c r="X129" s="14" cm="1">
        <f t="array" ref="X129">INT(SUMPRODUCT(--ISNUMBER(SEARCH(voting,'Jon Ossoff'!C129)))&gt;0)</f>
        <v>1</v>
      </c>
      <c r="Y129" s="14" cm="1">
        <f t="array" ref="Y129">INT(SUMPRODUCT(--ISNUMBER(SEARCH(democrattrigger,'Jon Ossoff'!C129)))&gt;0)</f>
        <v>0</v>
      </c>
      <c r="Z129" s="14" cm="1">
        <f t="array" ref="Z129">INT(SUMPRODUCT(--ISNUMBER(SEARCH(bipartisan,'Jon Ossoff'!C129)))&gt;0)</f>
        <v>0</v>
      </c>
      <c r="AA129" s="14">
        <f t="shared" si="1"/>
        <v>0</v>
      </c>
      <c r="AB129" s="14"/>
      <c r="AC129" s="30">
        <v>0</v>
      </c>
      <c r="AD129" s="37">
        <v>1</v>
      </c>
    </row>
    <row r="130" spans="1:30" x14ac:dyDescent="0.25">
      <c r="A130" s="36">
        <v>640</v>
      </c>
      <c r="B130" s="14" t="s">
        <v>1309</v>
      </c>
      <c r="C130" s="31" t="s">
        <v>1310</v>
      </c>
      <c r="D130" s="17">
        <v>44127</v>
      </c>
      <c r="E130" s="14" t="s">
        <v>30</v>
      </c>
      <c r="F130" s="14">
        <v>4532</v>
      </c>
      <c r="G130" s="14">
        <v>704</v>
      </c>
      <c r="H130" s="14">
        <v>4</v>
      </c>
      <c r="I130" s="14">
        <v>2</v>
      </c>
      <c r="J130" s="14" t="s">
        <v>204</v>
      </c>
      <c r="K130" s="14" cm="1">
        <f t="array" ref="K130">INT(SUMPRODUCT(--ISNUMBER(SEARCH(economy,'Jon Ossoff'!C130)))&gt;0)</f>
        <v>0</v>
      </c>
      <c r="L130" s="14" cm="1">
        <f t="array" ref="L130">INT(SUMPRODUCT(--ISNUMBER(SEARCH(healthcare,'Jon Ossoff'!C130)))&gt;0)</f>
        <v>0</v>
      </c>
      <c r="M130" s="14" cm="1">
        <f t="array" ref="M130">INT(SUMPRODUCT(--ISNUMBER(SEARCH(supreme,'Jon Ossoff'!C130)))&gt;0)</f>
        <v>0</v>
      </c>
      <c r="N130" s="14" cm="1">
        <f t="array" ref="N130">INT(SUMPRODUCT(--ISNUMBER(SEARCH(covid,'Jon Ossoff'!C130)))&gt;0)</f>
        <v>0</v>
      </c>
      <c r="O130" s="14" cm="1">
        <f t="array" ref="O130">INT(SUMPRODUCT(--ISNUMBER(SEARCH(violent,'Jon Ossoff'!C130)))&gt;0)</f>
        <v>0</v>
      </c>
      <c r="P130" s="14" cm="1">
        <f t="array" ref="P130">INT(SUMPRODUCT(--ISNUMBER(SEARCH(foreign,'Jon Ossoff'!C130)))&gt;0)</f>
        <v>0</v>
      </c>
      <c r="Q130" s="14" cm="1">
        <f t="array" ref="Q130">INT(SUMPRODUCT(--ISNUMBER(SEARCH(gun,'Jon Ossoff'!C130)))&gt;0)</f>
        <v>0</v>
      </c>
      <c r="R130" s="14" cm="1">
        <f t="array" ref="R130">INT(SUMPRODUCT(--ISNUMBER(SEARCH(race,'Jon Ossoff'!C130)))&gt;0)</f>
        <v>0</v>
      </c>
      <c r="S130" s="14" cm="1">
        <f t="array" ref="S130">INT(SUMPRODUCT(--ISNUMBER(SEARCH(immigration,C130)))&gt;0)</f>
        <v>0</v>
      </c>
      <c r="T130" s="14" cm="1">
        <f t="array" ref="T130">INT(SUMPRODUCT(--ISNUMBER(SEARCH(econineq,C130)))&gt;0)</f>
        <v>0</v>
      </c>
      <c r="U130" s="14" cm="1">
        <f t="array" ref="U130">INT(SUMPRODUCT(--ISNUMBER(SEARCH(climate,'Jon Ossoff'!C130)))&gt;0)</f>
        <v>0</v>
      </c>
      <c r="V130" s="14" cm="1">
        <f t="array" ref="V130">INT(SUMPRODUCT(--ISNUMBER(SEARCH(abortion,'Jon Ossoff'!C130)))&gt;0)</f>
        <v>0</v>
      </c>
      <c r="W130" s="14" cm="1">
        <f t="array" ref="W130">INT(SUMPRODUCT(--ISNUMBER(SEARCH(trump,'Jon Ossoff'!C130)))&gt;0)</f>
        <v>0</v>
      </c>
      <c r="X130" s="14" cm="1">
        <f t="array" ref="X130">INT(SUMPRODUCT(--ISNUMBER(SEARCH(voting,'Jon Ossoff'!C130)))&gt;0)</f>
        <v>0</v>
      </c>
      <c r="Y130" s="14" cm="1">
        <f t="array" ref="Y130">INT(SUMPRODUCT(--ISNUMBER(SEARCH(democrattrigger,'Jon Ossoff'!C130)))&gt;0)</f>
        <v>0</v>
      </c>
      <c r="Z130" s="14" cm="1">
        <f t="array" ref="Z130">INT(SUMPRODUCT(--ISNUMBER(SEARCH(bipartisan,'Jon Ossoff'!C130)))&gt;0)</f>
        <v>0</v>
      </c>
      <c r="AA130" s="14">
        <f t="shared" si="1"/>
        <v>1</v>
      </c>
      <c r="AB130" s="14"/>
      <c r="AC130" s="30" t="s">
        <v>223</v>
      </c>
      <c r="AD130" s="37" t="s">
        <v>223</v>
      </c>
    </row>
    <row r="131" spans="1:30" x14ac:dyDescent="0.25">
      <c r="A131" s="36">
        <v>641</v>
      </c>
      <c r="B131" s="14" t="s">
        <v>1311</v>
      </c>
      <c r="C131" s="31" t="s">
        <v>1312</v>
      </c>
      <c r="D131" s="17">
        <v>44127</v>
      </c>
      <c r="E131" s="14" t="s">
        <v>30</v>
      </c>
      <c r="F131" s="14">
        <v>704</v>
      </c>
      <c r="G131" s="14">
        <v>154</v>
      </c>
      <c r="H131" s="14">
        <v>4</v>
      </c>
      <c r="I131" s="14">
        <v>2</v>
      </c>
      <c r="J131" s="14" t="s">
        <v>204</v>
      </c>
      <c r="K131" s="14" cm="1">
        <f t="array" ref="K131">INT(SUMPRODUCT(--ISNUMBER(SEARCH(economy,'Jon Ossoff'!C131)))&gt;0)</f>
        <v>0</v>
      </c>
      <c r="L131" s="14" cm="1">
        <f t="array" ref="L131">INT(SUMPRODUCT(--ISNUMBER(SEARCH(healthcare,'Jon Ossoff'!C131)))&gt;0)</f>
        <v>0</v>
      </c>
      <c r="M131" s="14" cm="1">
        <f t="array" ref="M131">INT(SUMPRODUCT(--ISNUMBER(SEARCH(supreme,'Jon Ossoff'!C131)))&gt;0)</f>
        <v>0</v>
      </c>
      <c r="N131" s="14" cm="1">
        <f t="array" ref="N131">INT(SUMPRODUCT(--ISNUMBER(SEARCH(covid,'Jon Ossoff'!C131)))&gt;0)</f>
        <v>0</v>
      </c>
      <c r="O131" s="14" cm="1">
        <f t="array" ref="O131">INT(SUMPRODUCT(--ISNUMBER(SEARCH(violent,'Jon Ossoff'!C131)))&gt;0)</f>
        <v>1</v>
      </c>
      <c r="P131" s="14" cm="1">
        <f t="array" ref="P131">INT(SUMPRODUCT(--ISNUMBER(SEARCH(foreign,'Jon Ossoff'!C131)))&gt;0)</f>
        <v>0</v>
      </c>
      <c r="Q131" s="14" cm="1">
        <f t="array" ref="Q131">INT(SUMPRODUCT(--ISNUMBER(SEARCH(gun,'Jon Ossoff'!C131)))&gt;0)</f>
        <v>0</v>
      </c>
      <c r="R131" s="14" cm="1">
        <f t="array" ref="R131">INT(SUMPRODUCT(--ISNUMBER(SEARCH(race,'Jon Ossoff'!C131)))&gt;0)</f>
        <v>1</v>
      </c>
      <c r="S131" s="14" cm="1">
        <f t="array" ref="S131">INT(SUMPRODUCT(--ISNUMBER(SEARCH(immigration,C131)))&gt;0)</f>
        <v>0</v>
      </c>
      <c r="T131" s="14" cm="1">
        <f t="array" ref="T131">INT(SUMPRODUCT(--ISNUMBER(SEARCH(econineq,C131)))&gt;0)</f>
        <v>0</v>
      </c>
      <c r="U131" s="14" cm="1">
        <f t="array" ref="U131">INT(SUMPRODUCT(--ISNUMBER(SEARCH(climate,'Jon Ossoff'!C131)))&gt;0)</f>
        <v>0</v>
      </c>
      <c r="V131" s="14" cm="1">
        <f t="array" ref="V131">INT(SUMPRODUCT(--ISNUMBER(SEARCH(abortion,'Jon Ossoff'!C131)))&gt;0)</f>
        <v>0</v>
      </c>
      <c r="W131" s="14" cm="1">
        <f t="array" ref="W131">INT(SUMPRODUCT(--ISNUMBER(SEARCH(trump,'Jon Ossoff'!C131)))&gt;0)</f>
        <v>0</v>
      </c>
      <c r="X131" s="14" cm="1">
        <f t="array" ref="X131">INT(SUMPRODUCT(--ISNUMBER(SEARCH(voting,'Jon Ossoff'!C131)))&gt;0)</f>
        <v>0</v>
      </c>
      <c r="Y131" s="14" cm="1">
        <f t="array" ref="Y131">INT(SUMPRODUCT(--ISNUMBER(SEARCH(democrattrigger,'Jon Ossoff'!C131)))&gt;0)</f>
        <v>0</v>
      </c>
      <c r="Z131" s="14" cm="1">
        <f t="array" ref="Z131">INT(SUMPRODUCT(--ISNUMBER(SEARCH(bipartisan,'Jon Ossoff'!C131)))&gt;0)</f>
        <v>0</v>
      </c>
      <c r="AA131" s="14">
        <f t="shared" ref="AA131:AA194" si="2">INT(IF(COUNTIF(K131:Z131,1)=0,"1","0"))</f>
        <v>0</v>
      </c>
      <c r="AB131" s="14"/>
      <c r="AC131" s="30" t="s">
        <v>223</v>
      </c>
      <c r="AD131" s="37" t="s">
        <v>223</v>
      </c>
    </row>
    <row r="132" spans="1:30" x14ac:dyDescent="0.25">
      <c r="A132" s="36">
        <v>642</v>
      </c>
      <c r="B132" s="14" t="s">
        <v>1313</v>
      </c>
      <c r="C132" s="31" t="s">
        <v>1314</v>
      </c>
      <c r="D132" s="17">
        <v>44126</v>
      </c>
      <c r="E132" s="14" t="s">
        <v>30</v>
      </c>
      <c r="F132" s="14">
        <v>875</v>
      </c>
      <c r="G132" s="14">
        <v>328</v>
      </c>
      <c r="H132" s="14">
        <v>4</v>
      </c>
      <c r="I132" s="14">
        <v>2</v>
      </c>
      <c r="J132" s="14" t="s">
        <v>204</v>
      </c>
      <c r="K132" s="14" cm="1">
        <f t="array" ref="K132">INT(SUMPRODUCT(--ISNUMBER(SEARCH(economy,'Jon Ossoff'!C132)))&gt;0)</f>
        <v>0</v>
      </c>
      <c r="L132" s="14" cm="1">
        <f t="array" ref="L132">INT(SUMPRODUCT(--ISNUMBER(SEARCH(healthcare,'Jon Ossoff'!C132)))&gt;0)</f>
        <v>0</v>
      </c>
      <c r="M132" s="14" cm="1">
        <f t="array" ref="M132">INT(SUMPRODUCT(--ISNUMBER(SEARCH(supreme,'Jon Ossoff'!C132)))&gt;0)</f>
        <v>0</v>
      </c>
      <c r="N132" s="14" cm="1">
        <f t="array" ref="N132">INT(SUMPRODUCT(--ISNUMBER(SEARCH(covid,'Jon Ossoff'!C132)))&gt;0)</f>
        <v>1</v>
      </c>
      <c r="O132" s="14" cm="1">
        <f t="array" ref="O132">INT(SUMPRODUCT(--ISNUMBER(SEARCH(violent,'Jon Ossoff'!C132)))&gt;0)</f>
        <v>0</v>
      </c>
      <c r="P132" s="14" cm="1">
        <f t="array" ref="P132">INT(SUMPRODUCT(--ISNUMBER(SEARCH(foreign,'Jon Ossoff'!C132)))&gt;0)</f>
        <v>0</v>
      </c>
      <c r="Q132" s="14" cm="1">
        <f t="array" ref="Q132">INT(SUMPRODUCT(--ISNUMBER(SEARCH(gun,'Jon Ossoff'!C132)))&gt;0)</f>
        <v>0</v>
      </c>
      <c r="R132" s="14" cm="1">
        <f t="array" ref="R132">INT(SUMPRODUCT(--ISNUMBER(SEARCH(race,'Jon Ossoff'!C132)))&gt;0)</f>
        <v>0</v>
      </c>
      <c r="S132" s="14" cm="1">
        <f t="array" ref="S132">INT(SUMPRODUCT(--ISNUMBER(SEARCH(immigration,C132)))&gt;0)</f>
        <v>0</v>
      </c>
      <c r="T132" s="14" cm="1">
        <f t="array" ref="T132">INT(SUMPRODUCT(--ISNUMBER(SEARCH(econineq,C132)))&gt;0)</f>
        <v>0</v>
      </c>
      <c r="U132" s="14" cm="1">
        <f t="array" ref="U132">INT(SUMPRODUCT(--ISNUMBER(SEARCH(climate,'Jon Ossoff'!C132)))&gt;0)</f>
        <v>0</v>
      </c>
      <c r="V132" s="14" cm="1">
        <f t="array" ref="V132">INT(SUMPRODUCT(--ISNUMBER(SEARCH(abortion,'Jon Ossoff'!C132)))&gt;0)</f>
        <v>0</v>
      </c>
      <c r="W132" s="14" cm="1">
        <f t="array" ref="W132">INT(SUMPRODUCT(--ISNUMBER(SEARCH(trump,'Jon Ossoff'!C132)))&gt;0)</f>
        <v>0</v>
      </c>
      <c r="X132" s="14" cm="1">
        <f t="array" ref="X132">INT(SUMPRODUCT(--ISNUMBER(SEARCH(voting,'Jon Ossoff'!C132)))&gt;0)</f>
        <v>0</v>
      </c>
      <c r="Y132" s="14" cm="1">
        <f t="array" ref="Y132">INT(SUMPRODUCT(--ISNUMBER(SEARCH(democrattrigger,'Jon Ossoff'!C132)))&gt;0)</f>
        <v>1</v>
      </c>
      <c r="Z132" s="14" cm="1">
        <f t="array" ref="Z132">INT(SUMPRODUCT(--ISNUMBER(SEARCH(bipartisan,'Jon Ossoff'!C132)))&gt;0)</f>
        <v>0</v>
      </c>
      <c r="AA132" s="14">
        <f t="shared" si="2"/>
        <v>0</v>
      </c>
      <c r="AB132" s="14"/>
      <c r="AC132" s="30">
        <v>0</v>
      </c>
      <c r="AD132" s="37">
        <v>1</v>
      </c>
    </row>
    <row r="133" spans="1:30" x14ac:dyDescent="0.25">
      <c r="A133" s="36">
        <v>643</v>
      </c>
      <c r="B133" s="14" t="s">
        <v>1315</v>
      </c>
      <c r="C133" s="31" t="s">
        <v>1316</v>
      </c>
      <c r="D133" s="17">
        <v>44126</v>
      </c>
      <c r="E133" s="14" t="s">
        <v>30</v>
      </c>
      <c r="F133" s="14">
        <v>910</v>
      </c>
      <c r="G133" s="14">
        <v>326</v>
      </c>
      <c r="H133" s="14">
        <v>4</v>
      </c>
      <c r="I133" s="14">
        <v>2</v>
      </c>
      <c r="J133" s="14" t="s">
        <v>204</v>
      </c>
      <c r="K133" s="14" cm="1">
        <f t="array" ref="K133">INT(SUMPRODUCT(--ISNUMBER(SEARCH(economy,'Jon Ossoff'!C133)))&gt;0)</f>
        <v>0</v>
      </c>
      <c r="L133" s="14" cm="1">
        <f t="array" ref="L133">INT(SUMPRODUCT(--ISNUMBER(SEARCH(healthcare,'Jon Ossoff'!C133)))&gt;0)</f>
        <v>1</v>
      </c>
      <c r="M133" s="14" cm="1">
        <f t="array" ref="M133">INT(SUMPRODUCT(--ISNUMBER(SEARCH(supreme,'Jon Ossoff'!C133)))&gt;0)</f>
        <v>0</v>
      </c>
      <c r="N133" s="14" cm="1">
        <f t="array" ref="N133">INT(SUMPRODUCT(--ISNUMBER(SEARCH(covid,'Jon Ossoff'!C133)))&gt;0)</f>
        <v>1</v>
      </c>
      <c r="O133" s="14" cm="1">
        <f t="array" ref="O133">INT(SUMPRODUCT(--ISNUMBER(SEARCH(violent,'Jon Ossoff'!C133)))&gt;0)</f>
        <v>0</v>
      </c>
      <c r="P133" s="14" cm="1">
        <f t="array" ref="P133">INT(SUMPRODUCT(--ISNUMBER(SEARCH(foreign,'Jon Ossoff'!C133)))&gt;0)</f>
        <v>0</v>
      </c>
      <c r="Q133" s="14" cm="1">
        <f t="array" ref="Q133">INT(SUMPRODUCT(--ISNUMBER(SEARCH(gun,'Jon Ossoff'!C133)))&gt;0)</f>
        <v>0</v>
      </c>
      <c r="R133" s="14" cm="1">
        <f t="array" ref="R133">INT(SUMPRODUCT(--ISNUMBER(SEARCH(race,'Jon Ossoff'!C133)))&gt;0)</f>
        <v>0</v>
      </c>
      <c r="S133" s="14" cm="1">
        <f t="array" ref="S133">INT(SUMPRODUCT(--ISNUMBER(SEARCH(immigration,C133)))&gt;0)</f>
        <v>0</v>
      </c>
      <c r="T133" s="14" cm="1">
        <f t="array" ref="T133">INT(SUMPRODUCT(--ISNUMBER(SEARCH(econineq,C133)))&gt;0)</f>
        <v>0</v>
      </c>
      <c r="U133" s="14" cm="1">
        <f t="array" ref="U133">INT(SUMPRODUCT(--ISNUMBER(SEARCH(climate,'Jon Ossoff'!C133)))&gt;0)</f>
        <v>0</v>
      </c>
      <c r="V133" s="14" cm="1">
        <f t="array" ref="V133">INT(SUMPRODUCT(--ISNUMBER(SEARCH(abortion,'Jon Ossoff'!C133)))&gt;0)</f>
        <v>0</v>
      </c>
      <c r="W133" s="14" cm="1">
        <f t="array" ref="W133">INT(SUMPRODUCT(--ISNUMBER(SEARCH(trump,'Jon Ossoff'!C133)))&gt;0)</f>
        <v>1</v>
      </c>
      <c r="X133" s="14" cm="1">
        <f t="array" ref="X133">INT(SUMPRODUCT(--ISNUMBER(SEARCH(voting,'Jon Ossoff'!C133)))&gt;0)</f>
        <v>1</v>
      </c>
      <c r="Y133" s="14" cm="1">
        <f t="array" ref="Y133">INT(SUMPRODUCT(--ISNUMBER(SEARCH(democrattrigger,'Jon Ossoff'!C133)))&gt;0)</f>
        <v>1</v>
      </c>
      <c r="Z133" s="14" cm="1">
        <f t="array" ref="Z133">INT(SUMPRODUCT(--ISNUMBER(SEARCH(bipartisan,'Jon Ossoff'!C133)))&gt;0)</f>
        <v>0</v>
      </c>
      <c r="AA133" s="14">
        <f t="shared" si="2"/>
        <v>0</v>
      </c>
      <c r="AB133" s="14"/>
      <c r="AC133" s="30" t="s">
        <v>223</v>
      </c>
      <c r="AD133" s="37" t="s">
        <v>223</v>
      </c>
    </row>
    <row r="134" spans="1:30" x14ac:dyDescent="0.25">
      <c r="A134" s="36">
        <v>644</v>
      </c>
      <c r="B134" s="14" t="s">
        <v>1317</v>
      </c>
      <c r="C134" s="31" t="s">
        <v>1318</v>
      </c>
      <c r="D134" s="17">
        <v>44126</v>
      </c>
      <c r="E134" s="14" t="s">
        <v>30</v>
      </c>
      <c r="F134" s="14">
        <v>1555</v>
      </c>
      <c r="G134" s="14">
        <v>445</v>
      </c>
      <c r="H134" s="14">
        <v>4</v>
      </c>
      <c r="I134" s="14">
        <v>2</v>
      </c>
      <c r="J134" s="14" t="s">
        <v>204</v>
      </c>
      <c r="K134" s="14" cm="1">
        <f t="array" ref="K134">INT(SUMPRODUCT(--ISNUMBER(SEARCH(economy,'Jon Ossoff'!C134)))&gt;0)</f>
        <v>0</v>
      </c>
      <c r="L134" s="14" cm="1">
        <f t="array" ref="L134">INT(SUMPRODUCT(--ISNUMBER(SEARCH(healthcare,'Jon Ossoff'!C134)))&gt;0)</f>
        <v>0</v>
      </c>
      <c r="M134" s="14" cm="1">
        <f t="array" ref="M134">INT(SUMPRODUCT(--ISNUMBER(SEARCH(supreme,'Jon Ossoff'!C134)))&gt;0)</f>
        <v>0</v>
      </c>
      <c r="N134" s="14" cm="1">
        <f t="array" ref="N134">INT(SUMPRODUCT(--ISNUMBER(SEARCH(covid,'Jon Ossoff'!C134)))&gt;0)</f>
        <v>0</v>
      </c>
      <c r="O134" s="14" cm="1">
        <f t="array" ref="O134">INT(SUMPRODUCT(--ISNUMBER(SEARCH(violent,'Jon Ossoff'!C134)))&gt;0)</f>
        <v>0</v>
      </c>
      <c r="P134" s="14" cm="1">
        <f t="array" ref="P134">INT(SUMPRODUCT(--ISNUMBER(SEARCH(foreign,'Jon Ossoff'!C134)))&gt;0)</f>
        <v>0</v>
      </c>
      <c r="Q134" s="14" cm="1">
        <f t="array" ref="Q134">INT(SUMPRODUCT(--ISNUMBER(SEARCH(gun,'Jon Ossoff'!C134)))&gt;0)</f>
        <v>0</v>
      </c>
      <c r="R134" s="14" cm="1">
        <f t="array" ref="R134">INT(SUMPRODUCT(--ISNUMBER(SEARCH(race,'Jon Ossoff'!C134)))&gt;0)</f>
        <v>0</v>
      </c>
      <c r="S134" s="14" cm="1">
        <f t="array" ref="S134">INT(SUMPRODUCT(--ISNUMBER(SEARCH(immigration,C134)))&gt;0)</f>
        <v>0</v>
      </c>
      <c r="T134" s="14" cm="1">
        <f t="array" ref="T134">INT(SUMPRODUCT(--ISNUMBER(SEARCH(econineq,C134)))&gt;0)</f>
        <v>0</v>
      </c>
      <c r="U134" s="14" cm="1">
        <f t="array" ref="U134">INT(SUMPRODUCT(--ISNUMBER(SEARCH(climate,'Jon Ossoff'!C134)))&gt;0)</f>
        <v>0</v>
      </c>
      <c r="V134" s="14" cm="1">
        <f t="array" ref="V134">INT(SUMPRODUCT(--ISNUMBER(SEARCH(abortion,'Jon Ossoff'!C134)))&gt;0)</f>
        <v>0</v>
      </c>
      <c r="W134" s="14" cm="1">
        <f t="array" ref="W134">INT(SUMPRODUCT(--ISNUMBER(SEARCH(trump,'Jon Ossoff'!C134)))&gt;0)</f>
        <v>1</v>
      </c>
      <c r="X134" s="14" cm="1">
        <f t="array" ref="X134">INT(SUMPRODUCT(--ISNUMBER(SEARCH(voting,'Jon Ossoff'!C134)))&gt;0)</f>
        <v>1</v>
      </c>
      <c r="Y134" s="14" cm="1">
        <f t="array" ref="Y134">INT(SUMPRODUCT(--ISNUMBER(SEARCH(democrattrigger,'Jon Ossoff'!C134)))&gt;0)</f>
        <v>0</v>
      </c>
      <c r="Z134" s="14" cm="1">
        <f t="array" ref="Z134">INT(SUMPRODUCT(--ISNUMBER(SEARCH(bipartisan,'Jon Ossoff'!C134)))&gt;0)</f>
        <v>0</v>
      </c>
      <c r="AA134" s="14">
        <f t="shared" si="2"/>
        <v>0</v>
      </c>
      <c r="AB134" s="14"/>
      <c r="AC134" s="30">
        <v>0</v>
      </c>
      <c r="AD134" s="37">
        <v>1</v>
      </c>
    </row>
    <row r="135" spans="1:30" x14ac:dyDescent="0.25">
      <c r="A135" s="36">
        <v>645</v>
      </c>
      <c r="B135" s="14" t="s">
        <v>1319</v>
      </c>
      <c r="C135" s="31" t="s">
        <v>1320</v>
      </c>
      <c r="D135" s="17">
        <v>44126</v>
      </c>
      <c r="E135" s="14" t="s">
        <v>30</v>
      </c>
      <c r="F135" s="14">
        <v>562</v>
      </c>
      <c r="G135" s="14">
        <v>165</v>
      </c>
      <c r="H135" s="14">
        <v>4</v>
      </c>
      <c r="I135" s="14">
        <v>2</v>
      </c>
      <c r="J135" s="14" t="s">
        <v>204</v>
      </c>
      <c r="K135" s="14" cm="1">
        <f t="array" ref="K135">INT(SUMPRODUCT(--ISNUMBER(SEARCH(economy,'Jon Ossoff'!C135)))&gt;0)</f>
        <v>0</v>
      </c>
      <c r="L135" s="14" cm="1">
        <f t="array" ref="L135">INT(SUMPRODUCT(--ISNUMBER(SEARCH(healthcare,'Jon Ossoff'!C135)))&gt;0)</f>
        <v>0</v>
      </c>
      <c r="M135" s="14" cm="1">
        <f t="array" ref="M135">INT(SUMPRODUCT(--ISNUMBER(SEARCH(supreme,'Jon Ossoff'!C135)))&gt;0)</f>
        <v>0</v>
      </c>
      <c r="N135" s="14" cm="1">
        <f t="array" ref="N135">INT(SUMPRODUCT(--ISNUMBER(SEARCH(covid,'Jon Ossoff'!C135)))&gt;0)</f>
        <v>0</v>
      </c>
      <c r="O135" s="14" cm="1">
        <f t="array" ref="O135">INT(SUMPRODUCT(--ISNUMBER(SEARCH(violent,'Jon Ossoff'!C135)))&gt;0)</f>
        <v>0</v>
      </c>
      <c r="P135" s="14" cm="1">
        <f t="array" ref="P135">INT(SUMPRODUCT(--ISNUMBER(SEARCH(foreign,'Jon Ossoff'!C135)))&gt;0)</f>
        <v>0</v>
      </c>
      <c r="Q135" s="14" cm="1">
        <f t="array" ref="Q135">INT(SUMPRODUCT(--ISNUMBER(SEARCH(gun,'Jon Ossoff'!C135)))&gt;0)</f>
        <v>0</v>
      </c>
      <c r="R135" s="14" cm="1">
        <f t="array" ref="R135">INT(SUMPRODUCT(--ISNUMBER(SEARCH(race,'Jon Ossoff'!C135)))&gt;0)</f>
        <v>0</v>
      </c>
      <c r="S135" s="14" cm="1">
        <f t="array" ref="S135">INT(SUMPRODUCT(--ISNUMBER(SEARCH(immigration,C135)))&gt;0)</f>
        <v>0</v>
      </c>
      <c r="T135" s="14" cm="1">
        <f t="array" ref="T135">INT(SUMPRODUCT(--ISNUMBER(SEARCH(econineq,C135)))&gt;0)</f>
        <v>0</v>
      </c>
      <c r="U135" s="14" cm="1">
        <f t="array" ref="U135">INT(SUMPRODUCT(--ISNUMBER(SEARCH(climate,'Jon Ossoff'!C135)))&gt;0)</f>
        <v>1</v>
      </c>
      <c r="V135" s="14" cm="1">
        <f t="array" ref="V135">INT(SUMPRODUCT(--ISNUMBER(SEARCH(abortion,'Jon Ossoff'!C135)))&gt;0)</f>
        <v>0</v>
      </c>
      <c r="W135" s="14" cm="1">
        <f t="array" ref="W135">INT(SUMPRODUCT(--ISNUMBER(SEARCH(trump,'Jon Ossoff'!C135)))&gt;0)</f>
        <v>0</v>
      </c>
      <c r="X135" s="14" cm="1">
        <f t="array" ref="X135">INT(SUMPRODUCT(--ISNUMBER(SEARCH(voting,'Jon Ossoff'!C135)))&gt;0)</f>
        <v>0</v>
      </c>
      <c r="Y135" s="14" cm="1">
        <f t="array" ref="Y135">INT(SUMPRODUCT(--ISNUMBER(SEARCH(democrattrigger,'Jon Ossoff'!C135)))&gt;0)</f>
        <v>0</v>
      </c>
      <c r="Z135" s="14" cm="1">
        <f t="array" ref="Z135">INT(SUMPRODUCT(--ISNUMBER(SEARCH(bipartisan,'Jon Ossoff'!C135)))&gt;0)</f>
        <v>0</v>
      </c>
      <c r="AA135" s="14">
        <f t="shared" si="2"/>
        <v>0</v>
      </c>
      <c r="AB135" s="14"/>
      <c r="AC135" s="30" t="s">
        <v>223</v>
      </c>
      <c r="AD135" s="37" t="s">
        <v>223</v>
      </c>
    </row>
    <row r="136" spans="1:30" x14ac:dyDescent="0.25">
      <c r="A136" s="36">
        <v>646</v>
      </c>
      <c r="B136" s="14" t="s">
        <v>1321</v>
      </c>
      <c r="C136" s="31" t="s">
        <v>1322</v>
      </c>
      <c r="D136" s="17">
        <v>44126</v>
      </c>
      <c r="E136" s="14" t="s">
        <v>70</v>
      </c>
      <c r="F136" s="14">
        <v>225</v>
      </c>
      <c r="G136" s="14">
        <v>96</v>
      </c>
      <c r="H136" s="14">
        <v>4</v>
      </c>
      <c r="I136" s="14">
        <v>2</v>
      </c>
      <c r="J136" s="14" t="s">
        <v>204</v>
      </c>
      <c r="K136" s="14" cm="1">
        <f t="array" ref="K136">INT(SUMPRODUCT(--ISNUMBER(SEARCH(economy,'Jon Ossoff'!C136)))&gt;0)</f>
        <v>0</v>
      </c>
      <c r="L136" s="14" cm="1">
        <f t="array" ref="L136">INT(SUMPRODUCT(--ISNUMBER(SEARCH(healthcare,'Jon Ossoff'!C136)))&gt;0)</f>
        <v>0</v>
      </c>
      <c r="M136" s="14" cm="1">
        <f t="array" ref="M136">INT(SUMPRODUCT(--ISNUMBER(SEARCH(supreme,'Jon Ossoff'!C136)))&gt;0)</f>
        <v>0</v>
      </c>
      <c r="N136" s="14" cm="1">
        <f t="array" ref="N136">INT(SUMPRODUCT(--ISNUMBER(SEARCH(covid,'Jon Ossoff'!C136)))&gt;0)</f>
        <v>0</v>
      </c>
      <c r="O136" s="14" cm="1">
        <f t="array" ref="O136">INT(SUMPRODUCT(--ISNUMBER(SEARCH(violent,'Jon Ossoff'!C136)))&gt;0)</f>
        <v>0</v>
      </c>
      <c r="P136" s="14" cm="1">
        <f t="array" ref="P136">INT(SUMPRODUCT(--ISNUMBER(SEARCH(foreign,'Jon Ossoff'!C136)))&gt;0)</f>
        <v>0</v>
      </c>
      <c r="Q136" s="14" cm="1">
        <f t="array" ref="Q136">INT(SUMPRODUCT(--ISNUMBER(SEARCH(gun,'Jon Ossoff'!C136)))&gt;0)</f>
        <v>0</v>
      </c>
      <c r="R136" s="14" cm="1">
        <f t="array" ref="R136">INT(SUMPRODUCT(--ISNUMBER(SEARCH(race,'Jon Ossoff'!C136)))&gt;0)</f>
        <v>0</v>
      </c>
      <c r="S136" s="14" cm="1">
        <f t="array" ref="S136">INT(SUMPRODUCT(--ISNUMBER(SEARCH(immigration,C136)))&gt;0)</f>
        <v>0</v>
      </c>
      <c r="T136" s="14" cm="1">
        <f t="array" ref="T136">INT(SUMPRODUCT(--ISNUMBER(SEARCH(econineq,C136)))&gt;0)</f>
        <v>0</v>
      </c>
      <c r="U136" s="14" cm="1">
        <f t="array" ref="U136">INT(SUMPRODUCT(--ISNUMBER(SEARCH(climate,'Jon Ossoff'!C136)))&gt;0)</f>
        <v>0</v>
      </c>
      <c r="V136" s="14" cm="1">
        <f t="array" ref="V136">INT(SUMPRODUCT(--ISNUMBER(SEARCH(abortion,'Jon Ossoff'!C136)))&gt;0)</f>
        <v>0</v>
      </c>
      <c r="W136" s="14" cm="1">
        <f t="array" ref="W136">INT(SUMPRODUCT(--ISNUMBER(SEARCH(trump,'Jon Ossoff'!C136)))&gt;0)</f>
        <v>0</v>
      </c>
      <c r="X136" s="14" cm="1">
        <f t="array" ref="X136">INT(SUMPRODUCT(--ISNUMBER(SEARCH(voting,'Jon Ossoff'!C136)))&gt;0)</f>
        <v>1</v>
      </c>
      <c r="Y136" s="14" cm="1">
        <f t="array" ref="Y136">INT(SUMPRODUCT(--ISNUMBER(SEARCH(democrattrigger,'Jon Ossoff'!C136)))&gt;0)</f>
        <v>0</v>
      </c>
      <c r="Z136" s="14" cm="1">
        <f t="array" ref="Z136">INT(SUMPRODUCT(--ISNUMBER(SEARCH(bipartisan,'Jon Ossoff'!C136)))&gt;0)</f>
        <v>0</v>
      </c>
      <c r="AA136" s="14">
        <f t="shared" si="2"/>
        <v>0</v>
      </c>
      <c r="AB136" s="14"/>
      <c r="AC136" s="30" t="s">
        <v>223</v>
      </c>
      <c r="AD136" s="37" t="s">
        <v>223</v>
      </c>
    </row>
    <row r="137" spans="1:30" x14ac:dyDescent="0.25">
      <c r="A137" s="36">
        <v>647</v>
      </c>
      <c r="B137" s="14" t="s">
        <v>1323</v>
      </c>
      <c r="C137" s="31" t="s">
        <v>1324</v>
      </c>
      <c r="D137" s="17">
        <v>44126</v>
      </c>
      <c r="E137" s="14" t="s">
        <v>30</v>
      </c>
      <c r="F137" s="14">
        <v>1291</v>
      </c>
      <c r="G137" s="14">
        <v>360</v>
      </c>
      <c r="H137" s="14">
        <v>4</v>
      </c>
      <c r="I137" s="14">
        <v>2</v>
      </c>
      <c r="J137" s="14" t="s">
        <v>204</v>
      </c>
      <c r="K137" s="14" cm="1">
        <f t="array" ref="K137">INT(SUMPRODUCT(--ISNUMBER(SEARCH(economy,'Jon Ossoff'!C137)))&gt;0)</f>
        <v>0</v>
      </c>
      <c r="L137" s="14" cm="1">
        <f t="array" ref="L137">INT(SUMPRODUCT(--ISNUMBER(SEARCH(healthcare,'Jon Ossoff'!C137)))&gt;0)</f>
        <v>0</v>
      </c>
      <c r="M137" s="14" cm="1">
        <f t="array" ref="M137">INT(SUMPRODUCT(--ISNUMBER(SEARCH(supreme,'Jon Ossoff'!C137)))&gt;0)</f>
        <v>0</v>
      </c>
      <c r="N137" s="14" cm="1">
        <f t="array" ref="N137">INT(SUMPRODUCT(--ISNUMBER(SEARCH(covid,'Jon Ossoff'!C137)))&gt;0)</f>
        <v>0</v>
      </c>
      <c r="O137" s="14" cm="1">
        <f t="array" ref="O137">INT(SUMPRODUCT(--ISNUMBER(SEARCH(violent,'Jon Ossoff'!C137)))&gt;0)</f>
        <v>0</v>
      </c>
      <c r="P137" s="14" cm="1">
        <f t="array" ref="P137">INT(SUMPRODUCT(--ISNUMBER(SEARCH(foreign,'Jon Ossoff'!C137)))&gt;0)</f>
        <v>0</v>
      </c>
      <c r="Q137" s="14" cm="1">
        <f t="array" ref="Q137">INT(SUMPRODUCT(--ISNUMBER(SEARCH(gun,'Jon Ossoff'!C137)))&gt;0)</f>
        <v>0</v>
      </c>
      <c r="R137" s="14" cm="1">
        <f t="array" ref="R137">INT(SUMPRODUCT(--ISNUMBER(SEARCH(race,'Jon Ossoff'!C137)))&gt;0)</f>
        <v>0</v>
      </c>
      <c r="S137" s="14" cm="1">
        <f t="array" ref="S137">INT(SUMPRODUCT(--ISNUMBER(SEARCH(immigration,C137)))&gt;0)</f>
        <v>0</v>
      </c>
      <c r="T137" s="14" cm="1">
        <f t="array" ref="T137">INT(SUMPRODUCT(--ISNUMBER(SEARCH(econineq,C137)))&gt;0)</f>
        <v>0</v>
      </c>
      <c r="U137" s="14" cm="1">
        <f t="array" ref="U137">INT(SUMPRODUCT(--ISNUMBER(SEARCH(climate,'Jon Ossoff'!C137)))&gt;0)</f>
        <v>0</v>
      </c>
      <c r="V137" s="14" cm="1">
        <f t="array" ref="V137">INT(SUMPRODUCT(--ISNUMBER(SEARCH(abortion,'Jon Ossoff'!C137)))&gt;0)</f>
        <v>0</v>
      </c>
      <c r="W137" s="14" cm="1">
        <f t="array" ref="W137">INT(SUMPRODUCT(--ISNUMBER(SEARCH(trump,'Jon Ossoff'!C137)))&gt;0)</f>
        <v>0</v>
      </c>
      <c r="X137" s="14" cm="1">
        <f t="array" ref="X137">INT(SUMPRODUCT(--ISNUMBER(SEARCH(voting,'Jon Ossoff'!C137)))&gt;0)</f>
        <v>0</v>
      </c>
      <c r="Y137" s="14" cm="1">
        <f t="array" ref="Y137">INT(SUMPRODUCT(--ISNUMBER(SEARCH(democrattrigger,'Jon Ossoff'!C137)))&gt;0)</f>
        <v>1</v>
      </c>
      <c r="Z137" s="14" cm="1">
        <f t="array" ref="Z137">INT(SUMPRODUCT(--ISNUMBER(SEARCH(bipartisan,'Jon Ossoff'!C137)))&gt;0)</f>
        <v>0</v>
      </c>
      <c r="AA137" s="14">
        <f t="shared" si="2"/>
        <v>0</v>
      </c>
      <c r="AB137" s="14"/>
      <c r="AC137" s="30">
        <v>0</v>
      </c>
      <c r="AD137" s="37">
        <v>1</v>
      </c>
    </row>
    <row r="138" spans="1:30" x14ac:dyDescent="0.25">
      <c r="A138" s="36">
        <v>648</v>
      </c>
      <c r="B138" s="14" t="s">
        <v>1325</v>
      </c>
      <c r="C138" s="31" t="s">
        <v>1326</v>
      </c>
      <c r="D138" s="17">
        <v>44125</v>
      </c>
      <c r="E138" s="14" t="s">
        <v>30</v>
      </c>
      <c r="F138" s="14">
        <v>3345</v>
      </c>
      <c r="G138" s="14">
        <v>610</v>
      </c>
      <c r="H138" s="14">
        <v>4</v>
      </c>
      <c r="I138" s="14">
        <v>2</v>
      </c>
      <c r="J138" s="14" t="s">
        <v>204</v>
      </c>
      <c r="K138" s="14" cm="1">
        <f t="array" ref="K138">INT(SUMPRODUCT(--ISNUMBER(SEARCH(economy,'Jon Ossoff'!C138)))&gt;0)</f>
        <v>0</v>
      </c>
      <c r="L138" s="14" cm="1">
        <f t="array" ref="L138">INT(SUMPRODUCT(--ISNUMBER(SEARCH(healthcare,'Jon Ossoff'!C138)))&gt;0)</f>
        <v>0</v>
      </c>
      <c r="M138" s="14" cm="1">
        <f t="array" ref="M138">INT(SUMPRODUCT(--ISNUMBER(SEARCH(supreme,'Jon Ossoff'!C138)))&gt;0)</f>
        <v>0</v>
      </c>
      <c r="N138" s="14" cm="1">
        <f t="array" ref="N138">INT(SUMPRODUCT(--ISNUMBER(SEARCH(covid,'Jon Ossoff'!C138)))&gt;0)</f>
        <v>0</v>
      </c>
      <c r="O138" s="14" cm="1">
        <f t="array" ref="O138">INT(SUMPRODUCT(--ISNUMBER(SEARCH(violent,'Jon Ossoff'!C138)))&gt;0)</f>
        <v>0</v>
      </c>
      <c r="P138" s="14" cm="1">
        <f t="array" ref="P138">INT(SUMPRODUCT(--ISNUMBER(SEARCH(foreign,'Jon Ossoff'!C138)))&gt;0)</f>
        <v>0</v>
      </c>
      <c r="Q138" s="14" cm="1">
        <f t="array" ref="Q138">INT(SUMPRODUCT(--ISNUMBER(SEARCH(gun,'Jon Ossoff'!C138)))&gt;0)</f>
        <v>0</v>
      </c>
      <c r="R138" s="14" cm="1">
        <f t="array" ref="R138">INT(SUMPRODUCT(--ISNUMBER(SEARCH(race,'Jon Ossoff'!C138)))&gt;0)</f>
        <v>0</v>
      </c>
      <c r="S138" s="14" cm="1">
        <f t="array" ref="S138">INT(SUMPRODUCT(--ISNUMBER(SEARCH(immigration,C138)))&gt;0)</f>
        <v>0</v>
      </c>
      <c r="T138" s="14" cm="1">
        <f t="array" ref="T138">INT(SUMPRODUCT(--ISNUMBER(SEARCH(econineq,C138)))&gt;0)</f>
        <v>0</v>
      </c>
      <c r="U138" s="14" cm="1">
        <f t="array" ref="U138">INT(SUMPRODUCT(--ISNUMBER(SEARCH(climate,'Jon Ossoff'!C138)))&gt;0)</f>
        <v>0</v>
      </c>
      <c r="V138" s="14" cm="1">
        <f t="array" ref="V138">INT(SUMPRODUCT(--ISNUMBER(SEARCH(abortion,'Jon Ossoff'!C138)))&gt;0)</f>
        <v>0</v>
      </c>
      <c r="W138" s="14" cm="1">
        <f t="array" ref="W138">INT(SUMPRODUCT(--ISNUMBER(SEARCH(trump,'Jon Ossoff'!C138)))&gt;0)</f>
        <v>0</v>
      </c>
      <c r="X138" s="14" cm="1">
        <f t="array" ref="X138">INT(SUMPRODUCT(--ISNUMBER(SEARCH(voting,'Jon Ossoff'!C138)))&gt;0)</f>
        <v>0</v>
      </c>
      <c r="Y138" s="14" cm="1">
        <f t="array" ref="Y138">INT(SUMPRODUCT(--ISNUMBER(SEARCH(democrattrigger,'Jon Ossoff'!C138)))&gt;0)</f>
        <v>0</v>
      </c>
      <c r="Z138" s="14" cm="1">
        <f t="array" ref="Z138">INT(SUMPRODUCT(--ISNUMBER(SEARCH(bipartisan,'Jon Ossoff'!C138)))&gt;0)</f>
        <v>0</v>
      </c>
      <c r="AA138" s="14">
        <f t="shared" si="2"/>
        <v>1</v>
      </c>
      <c r="AB138" s="14"/>
      <c r="AC138" s="30" t="s">
        <v>223</v>
      </c>
      <c r="AD138" s="37" t="s">
        <v>223</v>
      </c>
    </row>
    <row r="139" spans="1:30" x14ac:dyDescent="0.25">
      <c r="A139" s="36">
        <v>649</v>
      </c>
      <c r="B139" s="14" t="s">
        <v>1327</v>
      </c>
      <c r="C139" s="31" t="s">
        <v>1328</v>
      </c>
      <c r="D139" s="17">
        <v>44125</v>
      </c>
      <c r="E139" s="14" t="s">
        <v>30</v>
      </c>
      <c r="F139" s="14">
        <v>2684</v>
      </c>
      <c r="G139" s="14">
        <v>717</v>
      </c>
      <c r="H139" s="14">
        <v>4</v>
      </c>
      <c r="I139" s="14">
        <v>2</v>
      </c>
      <c r="J139" s="14" t="s">
        <v>204</v>
      </c>
      <c r="K139" s="14" cm="1">
        <f t="array" ref="K139">INT(SUMPRODUCT(--ISNUMBER(SEARCH(economy,'Jon Ossoff'!C139)))&gt;0)</f>
        <v>0</v>
      </c>
      <c r="L139" s="14" cm="1">
        <f t="array" ref="L139">INT(SUMPRODUCT(--ISNUMBER(SEARCH(healthcare,'Jon Ossoff'!C139)))&gt;0)</f>
        <v>1</v>
      </c>
      <c r="M139" s="14" cm="1">
        <f t="array" ref="M139">INT(SUMPRODUCT(--ISNUMBER(SEARCH(supreme,'Jon Ossoff'!C139)))&gt;0)</f>
        <v>0</v>
      </c>
      <c r="N139" s="14" cm="1">
        <f t="array" ref="N139">INT(SUMPRODUCT(--ISNUMBER(SEARCH(covid,'Jon Ossoff'!C139)))&gt;0)</f>
        <v>0</v>
      </c>
      <c r="O139" s="14" cm="1">
        <f t="array" ref="O139">INT(SUMPRODUCT(--ISNUMBER(SEARCH(violent,'Jon Ossoff'!C139)))&gt;0)</f>
        <v>0</v>
      </c>
      <c r="P139" s="14" cm="1">
        <f t="array" ref="P139">INT(SUMPRODUCT(--ISNUMBER(SEARCH(foreign,'Jon Ossoff'!C139)))&gt;0)</f>
        <v>0</v>
      </c>
      <c r="Q139" s="14" cm="1">
        <f t="array" ref="Q139">INT(SUMPRODUCT(--ISNUMBER(SEARCH(gun,'Jon Ossoff'!C139)))&gt;0)</f>
        <v>0</v>
      </c>
      <c r="R139" s="14" cm="1">
        <f t="array" ref="R139">INT(SUMPRODUCT(--ISNUMBER(SEARCH(race,'Jon Ossoff'!C139)))&gt;0)</f>
        <v>0</v>
      </c>
      <c r="S139" s="14" cm="1">
        <f t="array" ref="S139">INT(SUMPRODUCT(--ISNUMBER(SEARCH(immigration,C139)))&gt;0)</f>
        <v>0</v>
      </c>
      <c r="T139" s="14" cm="1">
        <f t="array" ref="T139">INT(SUMPRODUCT(--ISNUMBER(SEARCH(econineq,C139)))&gt;0)</f>
        <v>0</v>
      </c>
      <c r="U139" s="14" cm="1">
        <f t="array" ref="U139">INT(SUMPRODUCT(--ISNUMBER(SEARCH(climate,'Jon Ossoff'!C139)))&gt;0)</f>
        <v>0</v>
      </c>
      <c r="V139" s="14" cm="1">
        <f t="array" ref="V139">INT(SUMPRODUCT(--ISNUMBER(SEARCH(abortion,'Jon Ossoff'!C139)))&gt;0)</f>
        <v>0</v>
      </c>
      <c r="W139" s="14" cm="1">
        <f t="array" ref="W139">INT(SUMPRODUCT(--ISNUMBER(SEARCH(trump,'Jon Ossoff'!C139)))&gt;0)</f>
        <v>0</v>
      </c>
      <c r="X139" s="14" cm="1">
        <f t="array" ref="X139">INT(SUMPRODUCT(--ISNUMBER(SEARCH(voting,'Jon Ossoff'!C139)))&gt;0)</f>
        <v>0</v>
      </c>
      <c r="Y139" s="14" cm="1">
        <f t="array" ref="Y139">INT(SUMPRODUCT(--ISNUMBER(SEARCH(democrattrigger,'Jon Ossoff'!C139)))&gt;0)</f>
        <v>1</v>
      </c>
      <c r="Z139" s="14" cm="1">
        <f t="array" ref="Z139">INT(SUMPRODUCT(--ISNUMBER(SEARCH(bipartisan,'Jon Ossoff'!C139)))&gt;0)</f>
        <v>0</v>
      </c>
      <c r="AA139" s="14">
        <f t="shared" si="2"/>
        <v>0</v>
      </c>
      <c r="AB139" s="14"/>
      <c r="AC139" s="30" t="s">
        <v>223</v>
      </c>
      <c r="AD139" s="37" t="s">
        <v>223</v>
      </c>
    </row>
    <row r="140" spans="1:30" x14ac:dyDescent="0.25">
      <c r="A140" s="36">
        <v>650</v>
      </c>
      <c r="B140" s="14" t="s">
        <v>1329</v>
      </c>
      <c r="C140" s="31" t="s">
        <v>1330</v>
      </c>
      <c r="D140" s="17">
        <v>44125</v>
      </c>
      <c r="E140" s="14" t="s">
        <v>30</v>
      </c>
      <c r="F140" s="14">
        <v>1729</v>
      </c>
      <c r="G140" s="14">
        <v>434</v>
      </c>
      <c r="H140" s="14">
        <v>4</v>
      </c>
      <c r="I140" s="14">
        <v>2</v>
      </c>
      <c r="J140" s="14" t="s">
        <v>204</v>
      </c>
      <c r="K140" s="14" cm="1">
        <f t="array" ref="K140">INT(SUMPRODUCT(--ISNUMBER(SEARCH(economy,'Jon Ossoff'!C140)))&gt;0)</f>
        <v>0</v>
      </c>
      <c r="L140" s="14" cm="1">
        <f t="array" ref="L140">INT(SUMPRODUCT(--ISNUMBER(SEARCH(healthcare,'Jon Ossoff'!C140)))&gt;0)</f>
        <v>0</v>
      </c>
      <c r="M140" s="14" cm="1">
        <f t="array" ref="M140">INT(SUMPRODUCT(--ISNUMBER(SEARCH(supreme,'Jon Ossoff'!C140)))&gt;0)</f>
        <v>0</v>
      </c>
      <c r="N140" s="14" cm="1">
        <f t="array" ref="N140">INT(SUMPRODUCT(--ISNUMBER(SEARCH(covid,'Jon Ossoff'!C140)))&gt;0)</f>
        <v>0</v>
      </c>
      <c r="O140" s="14" cm="1">
        <f t="array" ref="O140">INT(SUMPRODUCT(--ISNUMBER(SEARCH(violent,'Jon Ossoff'!C140)))&gt;0)</f>
        <v>0</v>
      </c>
      <c r="P140" s="14" cm="1">
        <f t="array" ref="P140">INT(SUMPRODUCT(--ISNUMBER(SEARCH(foreign,'Jon Ossoff'!C140)))&gt;0)</f>
        <v>0</v>
      </c>
      <c r="Q140" s="14" cm="1">
        <f t="array" ref="Q140">INT(SUMPRODUCT(--ISNUMBER(SEARCH(gun,'Jon Ossoff'!C140)))&gt;0)</f>
        <v>0</v>
      </c>
      <c r="R140" s="14" cm="1">
        <f t="array" ref="R140">INT(SUMPRODUCT(--ISNUMBER(SEARCH(race,'Jon Ossoff'!C140)))&gt;0)</f>
        <v>0</v>
      </c>
      <c r="S140" s="14" cm="1">
        <f t="array" ref="S140">INT(SUMPRODUCT(--ISNUMBER(SEARCH(immigration,C140)))&gt;0)</f>
        <v>0</v>
      </c>
      <c r="T140" s="14" cm="1">
        <f t="array" ref="T140">INT(SUMPRODUCT(--ISNUMBER(SEARCH(econineq,C140)))&gt;0)</f>
        <v>0</v>
      </c>
      <c r="U140" s="14" cm="1">
        <f t="array" ref="U140">INT(SUMPRODUCT(--ISNUMBER(SEARCH(climate,'Jon Ossoff'!C140)))&gt;0)</f>
        <v>0</v>
      </c>
      <c r="V140" s="14" cm="1">
        <f t="array" ref="V140">INT(SUMPRODUCT(--ISNUMBER(SEARCH(abortion,'Jon Ossoff'!C140)))&gt;0)</f>
        <v>0</v>
      </c>
      <c r="W140" s="14" cm="1">
        <f t="array" ref="W140">INT(SUMPRODUCT(--ISNUMBER(SEARCH(trump,'Jon Ossoff'!C140)))&gt;0)</f>
        <v>0</v>
      </c>
      <c r="X140" s="14" cm="1">
        <f t="array" ref="X140">INT(SUMPRODUCT(--ISNUMBER(SEARCH(voting,'Jon Ossoff'!C140)))&gt;0)</f>
        <v>0</v>
      </c>
      <c r="Y140" s="14" cm="1">
        <f t="array" ref="Y140">INT(SUMPRODUCT(--ISNUMBER(SEARCH(democrattrigger,'Jon Ossoff'!C140)))&gt;0)</f>
        <v>1</v>
      </c>
      <c r="Z140" s="14" cm="1">
        <f t="array" ref="Z140">INT(SUMPRODUCT(--ISNUMBER(SEARCH(bipartisan,'Jon Ossoff'!C140)))&gt;0)</f>
        <v>0</v>
      </c>
      <c r="AA140" s="14">
        <f t="shared" si="2"/>
        <v>0</v>
      </c>
      <c r="AB140" s="14"/>
      <c r="AC140" s="30" t="s">
        <v>223</v>
      </c>
      <c r="AD140" s="37" t="s">
        <v>223</v>
      </c>
    </row>
    <row r="141" spans="1:30" x14ac:dyDescent="0.25">
      <c r="A141" s="36">
        <v>651</v>
      </c>
      <c r="B141" s="14" t="s">
        <v>1331</v>
      </c>
      <c r="C141" s="31" t="s">
        <v>1161</v>
      </c>
      <c r="D141" s="17">
        <v>44125</v>
      </c>
      <c r="E141" s="14" t="s">
        <v>70</v>
      </c>
      <c r="F141" s="14">
        <v>203</v>
      </c>
      <c r="G141" s="14">
        <v>82</v>
      </c>
      <c r="H141" s="14">
        <v>4</v>
      </c>
      <c r="I141" s="14">
        <v>2</v>
      </c>
      <c r="J141" s="14" t="s">
        <v>204</v>
      </c>
      <c r="K141" s="14" cm="1">
        <f t="array" ref="K141">INT(SUMPRODUCT(--ISNUMBER(SEARCH(economy,'Jon Ossoff'!C141)))&gt;0)</f>
        <v>0</v>
      </c>
      <c r="L141" s="14" cm="1">
        <f t="array" ref="L141">INT(SUMPRODUCT(--ISNUMBER(SEARCH(healthcare,'Jon Ossoff'!C141)))&gt;0)</f>
        <v>0</v>
      </c>
      <c r="M141" s="14" cm="1">
        <f t="array" ref="M141">INT(SUMPRODUCT(--ISNUMBER(SEARCH(supreme,'Jon Ossoff'!C141)))&gt;0)</f>
        <v>0</v>
      </c>
      <c r="N141" s="14" cm="1">
        <f t="array" ref="N141">INT(SUMPRODUCT(--ISNUMBER(SEARCH(covid,'Jon Ossoff'!C141)))&gt;0)</f>
        <v>0</v>
      </c>
      <c r="O141" s="14" cm="1">
        <f t="array" ref="O141">INT(SUMPRODUCT(--ISNUMBER(SEARCH(violent,'Jon Ossoff'!C141)))&gt;0)</f>
        <v>0</v>
      </c>
      <c r="P141" s="14" cm="1">
        <f t="array" ref="P141">INT(SUMPRODUCT(--ISNUMBER(SEARCH(foreign,'Jon Ossoff'!C141)))&gt;0)</f>
        <v>0</v>
      </c>
      <c r="Q141" s="14" cm="1">
        <f t="array" ref="Q141">INT(SUMPRODUCT(--ISNUMBER(SEARCH(gun,'Jon Ossoff'!C141)))&gt;0)</f>
        <v>0</v>
      </c>
      <c r="R141" s="14" cm="1">
        <f t="array" ref="R141">INT(SUMPRODUCT(--ISNUMBER(SEARCH(race,'Jon Ossoff'!C141)))&gt;0)</f>
        <v>0</v>
      </c>
      <c r="S141" s="14" cm="1">
        <f t="array" ref="S141">INT(SUMPRODUCT(--ISNUMBER(SEARCH(immigration,C141)))&gt;0)</f>
        <v>0</v>
      </c>
      <c r="T141" s="14" cm="1">
        <f t="array" ref="T141">INT(SUMPRODUCT(--ISNUMBER(SEARCH(econineq,C141)))&gt;0)</f>
        <v>0</v>
      </c>
      <c r="U141" s="14" cm="1">
        <f t="array" ref="U141">INT(SUMPRODUCT(--ISNUMBER(SEARCH(climate,'Jon Ossoff'!C141)))&gt;0)</f>
        <v>0</v>
      </c>
      <c r="V141" s="14" cm="1">
        <f t="array" ref="V141">INT(SUMPRODUCT(--ISNUMBER(SEARCH(abortion,'Jon Ossoff'!C141)))&gt;0)</f>
        <v>0</v>
      </c>
      <c r="W141" s="14" cm="1">
        <f t="array" ref="W141">INT(SUMPRODUCT(--ISNUMBER(SEARCH(trump,'Jon Ossoff'!C141)))&gt;0)</f>
        <v>0</v>
      </c>
      <c r="X141" s="14" cm="1">
        <f t="array" ref="X141">INT(SUMPRODUCT(--ISNUMBER(SEARCH(voting,'Jon Ossoff'!C141)))&gt;0)</f>
        <v>1</v>
      </c>
      <c r="Y141" s="14" cm="1">
        <f t="array" ref="Y141">INT(SUMPRODUCT(--ISNUMBER(SEARCH(democrattrigger,'Jon Ossoff'!C141)))&gt;0)</f>
        <v>0</v>
      </c>
      <c r="Z141" s="14" cm="1">
        <f t="array" ref="Z141">INT(SUMPRODUCT(--ISNUMBER(SEARCH(bipartisan,'Jon Ossoff'!C141)))&gt;0)</f>
        <v>0</v>
      </c>
      <c r="AA141" s="14">
        <f t="shared" si="2"/>
        <v>0</v>
      </c>
      <c r="AB141" s="14"/>
      <c r="AC141" s="30" t="s">
        <v>223</v>
      </c>
      <c r="AD141" s="37" t="s">
        <v>223</v>
      </c>
    </row>
    <row r="142" spans="1:30" x14ac:dyDescent="0.25">
      <c r="A142" s="36">
        <v>652</v>
      </c>
      <c r="B142" s="14" t="s">
        <v>1332</v>
      </c>
      <c r="C142" s="31" t="s">
        <v>1333</v>
      </c>
      <c r="D142" s="17">
        <v>44125</v>
      </c>
      <c r="E142" s="14" t="s">
        <v>30</v>
      </c>
      <c r="F142" s="14">
        <v>1160</v>
      </c>
      <c r="G142" s="14">
        <v>252</v>
      </c>
      <c r="H142" s="14">
        <v>4</v>
      </c>
      <c r="I142" s="14">
        <v>2</v>
      </c>
      <c r="J142" s="14" t="s">
        <v>204</v>
      </c>
      <c r="K142" s="14" cm="1">
        <f t="array" ref="K142">INT(SUMPRODUCT(--ISNUMBER(SEARCH(economy,'Jon Ossoff'!C142)))&gt;0)</f>
        <v>0</v>
      </c>
      <c r="L142" s="14" cm="1">
        <f t="array" ref="L142">INT(SUMPRODUCT(--ISNUMBER(SEARCH(healthcare,'Jon Ossoff'!C142)))&gt;0)</f>
        <v>0</v>
      </c>
      <c r="M142" s="14" cm="1">
        <f t="array" ref="M142">INT(SUMPRODUCT(--ISNUMBER(SEARCH(supreme,'Jon Ossoff'!C142)))&gt;0)</f>
        <v>0</v>
      </c>
      <c r="N142" s="14" cm="1">
        <f t="array" ref="N142">INT(SUMPRODUCT(--ISNUMBER(SEARCH(covid,'Jon Ossoff'!C142)))&gt;0)</f>
        <v>0</v>
      </c>
      <c r="O142" s="14" cm="1">
        <f t="array" ref="O142">INT(SUMPRODUCT(--ISNUMBER(SEARCH(violent,'Jon Ossoff'!C142)))&gt;0)</f>
        <v>0</v>
      </c>
      <c r="P142" s="14" cm="1">
        <f t="array" ref="P142">INT(SUMPRODUCT(--ISNUMBER(SEARCH(foreign,'Jon Ossoff'!C142)))&gt;0)</f>
        <v>0</v>
      </c>
      <c r="Q142" s="14" cm="1">
        <f t="array" ref="Q142">INT(SUMPRODUCT(--ISNUMBER(SEARCH(gun,'Jon Ossoff'!C142)))&gt;0)</f>
        <v>0</v>
      </c>
      <c r="R142" s="14" cm="1">
        <f t="array" ref="R142">INT(SUMPRODUCT(--ISNUMBER(SEARCH(race,'Jon Ossoff'!C142)))&gt;0)</f>
        <v>0</v>
      </c>
      <c r="S142" s="14" cm="1">
        <f t="array" ref="S142">INT(SUMPRODUCT(--ISNUMBER(SEARCH(immigration,C142)))&gt;0)</f>
        <v>0</v>
      </c>
      <c r="T142" s="14" cm="1">
        <f t="array" ref="T142">INT(SUMPRODUCT(--ISNUMBER(SEARCH(econineq,C142)))&gt;0)</f>
        <v>0</v>
      </c>
      <c r="U142" s="14" cm="1">
        <f t="array" ref="U142">INT(SUMPRODUCT(--ISNUMBER(SEARCH(climate,'Jon Ossoff'!C142)))&gt;0)</f>
        <v>0</v>
      </c>
      <c r="V142" s="14" cm="1">
        <f t="array" ref="V142">INT(SUMPRODUCT(--ISNUMBER(SEARCH(abortion,'Jon Ossoff'!C142)))&gt;0)</f>
        <v>0</v>
      </c>
      <c r="W142" s="14" cm="1">
        <f t="array" ref="W142">INT(SUMPRODUCT(--ISNUMBER(SEARCH(trump,'Jon Ossoff'!C142)))&gt;0)</f>
        <v>0</v>
      </c>
      <c r="X142" s="14" cm="1">
        <f t="array" ref="X142">INT(SUMPRODUCT(--ISNUMBER(SEARCH(voting,'Jon Ossoff'!C142)))&gt;0)</f>
        <v>1</v>
      </c>
      <c r="Y142" s="14" cm="1">
        <f t="array" ref="Y142">INT(SUMPRODUCT(--ISNUMBER(SEARCH(democrattrigger,'Jon Ossoff'!C142)))&gt;0)</f>
        <v>0</v>
      </c>
      <c r="Z142" s="14" cm="1">
        <f t="array" ref="Z142">INT(SUMPRODUCT(--ISNUMBER(SEARCH(bipartisan,'Jon Ossoff'!C142)))&gt;0)</f>
        <v>0</v>
      </c>
      <c r="AA142" s="14">
        <f t="shared" si="2"/>
        <v>0</v>
      </c>
      <c r="AB142" s="14"/>
      <c r="AC142" s="30">
        <v>1</v>
      </c>
      <c r="AD142" s="37">
        <v>0</v>
      </c>
    </row>
    <row r="143" spans="1:30" x14ac:dyDescent="0.25">
      <c r="A143" s="36">
        <v>653</v>
      </c>
      <c r="B143" s="14" t="s">
        <v>1334</v>
      </c>
      <c r="C143" s="31" t="s">
        <v>1335</v>
      </c>
      <c r="D143" s="17">
        <v>44125</v>
      </c>
      <c r="E143" s="14" t="s">
        <v>30</v>
      </c>
      <c r="F143" s="14">
        <v>4694</v>
      </c>
      <c r="G143" s="14">
        <v>1435</v>
      </c>
      <c r="H143" s="14">
        <v>4</v>
      </c>
      <c r="I143" s="14">
        <v>2</v>
      </c>
      <c r="J143" s="14" t="s">
        <v>204</v>
      </c>
      <c r="K143" s="14" cm="1">
        <f t="array" ref="K143">INT(SUMPRODUCT(--ISNUMBER(SEARCH(economy,'Jon Ossoff'!C143)))&gt;0)</f>
        <v>0</v>
      </c>
      <c r="L143" s="14" cm="1">
        <f t="array" ref="L143">INT(SUMPRODUCT(--ISNUMBER(SEARCH(healthcare,'Jon Ossoff'!C143)))&gt;0)</f>
        <v>0</v>
      </c>
      <c r="M143" s="14" cm="1">
        <f t="array" ref="M143">INT(SUMPRODUCT(--ISNUMBER(SEARCH(supreme,'Jon Ossoff'!C143)))&gt;0)</f>
        <v>0</v>
      </c>
      <c r="N143" s="14" cm="1">
        <f t="array" ref="N143">INT(SUMPRODUCT(--ISNUMBER(SEARCH(covid,'Jon Ossoff'!C143)))&gt;0)</f>
        <v>0</v>
      </c>
      <c r="O143" s="14" cm="1">
        <f t="array" ref="O143">INT(SUMPRODUCT(--ISNUMBER(SEARCH(violent,'Jon Ossoff'!C143)))&gt;0)</f>
        <v>0</v>
      </c>
      <c r="P143" s="14" cm="1">
        <f t="array" ref="P143">INT(SUMPRODUCT(--ISNUMBER(SEARCH(foreign,'Jon Ossoff'!C143)))&gt;0)</f>
        <v>0</v>
      </c>
      <c r="Q143" s="14" cm="1">
        <f t="array" ref="Q143">INT(SUMPRODUCT(--ISNUMBER(SEARCH(gun,'Jon Ossoff'!C143)))&gt;0)</f>
        <v>0</v>
      </c>
      <c r="R143" s="14" cm="1">
        <f t="array" ref="R143">INT(SUMPRODUCT(--ISNUMBER(SEARCH(race,'Jon Ossoff'!C143)))&gt;0)</f>
        <v>0</v>
      </c>
      <c r="S143" s="14" cm="1">
        <f t="array" ref="S143">INT(SUMPRODUCT(--ISNUMBER(SEARCH(immigration,C143)))&gt;0)</f>
        <v>0</v>
      </c>
      <c r="T143" s="14" cm="1">
        <f t="array" ref="T143">INT(SUMPRODUCT(--ISNUMBER(SEARCH(econineq,C143)))&gt;0)</f>
        <v>0</v>
      </c>
      <c r="U143" s="14" cm="1">
        <f t="array" ref="U143">INT(SUMPRODUCT(--ISNUMBER(SEARCH(climate,'Jon Ossoff'!C143)))&gt;0)</f>
        <v>0</v>
      </c>
      <c r="V143" s="14" cm="1">
        <f t="array" ref="V143">INT(SUMPRODUCT(--ISNUMBER(SEARCH(abortion,'Jon Ossoff'!C143)))&gt;0)</f>
        <v>0</v>
      </c>
      <c r="W143" s="14" cm="1">
        <f t="array" ref="W143">INT(SUMPRODUCT(--ISNUMBER(SEARCH(trump,'Jon Ossoff'!C143)))&gt;0)</f>
        <v>0</v>
      </c>
      <c r="X143" s="14" cm="1">
        <f t="array" ref="X143">INT(SUMPRODUCT(--ISNUMBER(SEARCH(voting,'Jon Ossoff'!C143)))&gt;0)</f>
        <v>0</v>
      </c>
      <c r="Y143" s="14" cm="1">
        <f t="array" ref="Y143">INT(SUMPRODUCT(--ISNUMBER(SEARCH(democrattrigger,'Jon Ossoff'!C143)))&gt;0)</f>
        <v>0</v>
      </c>
      <c r="Z143" s="14" cm="1">
        <f t="array" ref="Z143">INT(SUMPRODUCT(--ISNUMBER(SEARCH(bipartisan,'Jon Ossoff'!C143)))&gt;0)</f>
        <v>0</v>
      </c>
      <c r="AA143" s="14">
        <f t="shared" si="2"/>
        <v>1</v>
      </c>
      <c r="AB143" s="14"/>
      <c r="AC143" s="30">
        <v>0</v>
      </c>
      <c r="AD143" s="37">
        <v>1</v>
      </c>
    </row>
    <row r="144" spans="1:30" x14ac:dyDescent="0.25">
      <c r="A144" s="36">
        <v>654</v>
      </c>
      <c r="B144" s="14" t="s">
        <v>1336</v>
      </c>
      <c r="C144" s="31" t="s">
        <v>1337</v>
      </c>
      <c r="D144" s="17">
        <v>44124</v>
      </c>
      <c r="E144" s="14" t="s">
        <v>30</v>
      </c>
      <c r="F144" s="14">
        <v>576</v>
      </c>
      <c r="G144" s="14">
        <v>187</v>
      </c>
      <c r="H144" s="14">
        <v>4</v>
      </c>
      <c r="I144" s="14">
        <v>2</v>
      </c>
      <c r="J144" s="14" t="s">
        <v>204</v>
      </c>
      <c r="K144" s="14" cm="1">
        <f t="array" ref="K144">INT(SUMPRODUCT(--ISNUMBER(SEARCH(economy,'Jon Ossoff'!C144)))&gt;0)</f>
        <v>0</v>
      </c>
      <c r="L144" s="14" cm="1">
        <f t="array" ref="L144">INT(SUMPRODUCT(--ISNUMBER(SEARCH(healthcare,'Jon Ossoff'!C144)))&gt;0)</f>
        <v>0</v>
      </c>
      <c r="M144" s="14" cm="1">
        <f t="array" ref="M144">INT(SUMPRODUCT(--ISNUMBER(SEARCH(supreme,'Jon Ossoff'!C144)))&gt;0)</f>
        <v>0</v>
      </c>
      <c r="N144" s="14" cm="1">
        <f t="array" ref="N144">INT(SUMPRODUCT(--ISNUMBER(SEARCH(covid,'Jon Ossoff'!C144)))&gt;0)</f>
        <v>0</v>
      </c>
      <c r="O144" s="14" cm="1">
        <f t="array" ref="O144">INT(SUMPRODUCT(--ISNUMBER(SEARCH(violent,'Jon Ossoff'!C144)))&gt;0)</f>
        <v>0</v>
      </c>
      <c r="P144" s="14" cm="1">
        <f t="array" ref="P144">INT(SUMPRODUCT(--ISNUMBER(SEARCH(foreign,'Jon Ossoff'!C144)))&gt;0)</f>
        <v>0</v>
      </c>
      <c r="Q144" s="14" cm="1">
        <f t="array" ref="Q144">INT(SUMPRODUCT(--ISNUMBER(SEARCH(gun,'Jon Ossoff'!C144)))&gt;0)</f>
        <v>0</v>
      </c>
      <c r="R144" s="14" cm="1">
        <f t="array" ref="R144">INT(SUMPRODUCT(--ISNUMBER(SEARCH(race,'Jon Ossoff'!C144)))&gt;0)</f>
        <v>0</v>
      </c>
      <c r="S144" s="14" cm="1">
        <f t="array" ref="S144">INT(SUMPRODUCT(--ISNUMBER(SEARCH(immigration,C144)))&gt;0)</f>
        <v>0</v>
      </c>
      <c r="T144" s="14" cm="1">
        <f t="array" ref="T144">INT(SUMPRODUCT(--ISNUMBER(SEARCH(econineq,C144)))&gt;0)</f>
        <v>0</v>
      </c>
      <c r="U144" s="14" cm="1">
        <f t="array" ref="U144">INT(SUMPRODUCT(--ISNUMBER(SEARCH(climate,'Jon Ossoff'!C144)))&gt;0)</f>
        <v>0</v>
      </c>
      <c r="V144" s="14" cm="1">
        <f t="array" ref="V144">INT(SUMPRODUCT(--ISNUMBER(SEARCH(abortion,'Jon Ossoff'!C144)))&gt;0)</f>
        <v>0</v>
      </c>
      <c r="W144" s="14" cm="1">
        <f t="array" ref="W144">INT(SUMPRODUCT(--ISNUMBER(SEARCH(trump,'Jon Ossoff'!C144)))&gt;0)</f>
        <v>0</v>
      </c>
      <c r="X144" s="14" cm="1">
        <f t="array" ref="X144">INT(SUMPRODUCT(--ISNUMBER(SEARCH(voting,'Jon Ossoff'!C144)))&gt;0)</f>
        <v>0</v>
      </c>
      <c r="Y144" s="14" cm="1">
        <f t="array" ref="Y144">INT(SUMPRODUCT(--ISNUMBER(SEARCH(democrattrigger,'Jon Ossoff'!C144)))&gt;0)</f>
        <v>1</v>
      </c>
      <c r="Z144" s="14" cm="1">
        <f t="array" ref="Z144">INT(SUMPRODUCT(--ISNUMBER(SEARCH(bipartisan,'Jon Ossoff'!C144)))&gt;0)</f>
        <v>0</v>
      </c>
      <c r="AA144" s="14">
        <f t="shared" si="2"/>
        <v>0</v>
      </c>
      <c r="AB144" s="14"/>
      <c r="AC144" s="30">
        <v>1</v>
      </c>
      <c r="AD144" s="37">
        <v>0</v>
      </c>
    </row>
    <row r="145" spans="1:30" x14ac:dyDescent="0.25">
      <c r="A145" s="36">
        <v>655</v>
      </c>
      <c r="B145" s="14" t="s">
        <v>1338</v>
      </c>
      <c r="C145" s="31" t="s">
        <v>1339</v>
      </c>
      <c r="D145" s="17">
        <v>44124</v>
      </c>
      <c r="E145" s="14" t="s">
        <v>30</v>
      </c>
      <c r="F145" s="14">
        <v>374</v>
      </c>
      <c r="G145" s="14">
        <v>135</v>
      </c>
      <c r="H145" s="14">
        <v>4</v>
      </c>
      <c r="I145" s="14">
        <v>2</v>
      </c>
      <c r="J145" s="14" t="s">
        <v>204</v>
      </c>
      <c r="K145" s="14" cm="1">
        <f t="array" ref="K145">INT(SUMPRODUCT(--ISNUMBER(SEARCH(economy,'Jon Ossoff'!C145)))&gt;0)</f>
        <v>0</v>
      </c>
      <c r="L145" s="14" cm="1">
        <f t="array" ref="L145">INT(SUMPRODUCT(--ISNUMBER(SEARCH(healthcare,'Jon Ossoff'!C145)))&gt;0)</f>
        <v>0</v>
      </c>
      <c r="M145" s="14" cm="1">
        <f t="array" ref="M145">INT(SUMPRODUCT(--ISNUMBER(SEARCH(supreme,'Jon Ossoff'!C145)))&gt;0)</f>
        <v>0</v>
      </c>
      <c r="N145" s="14" cm="1">
        <f t="array" ref="N145">INT(SUMPRODUCT(--ISNUMBER(SEARCH(covid,'Jon Ossoff'!C145)))&gt;0)</f>
        <v>0</v>
      </c>
      <c r="O145" s="14" cm="1">
        <f t="array" ref="O145">INT(SUMPRODUCT(--ISNUMBER(SEARCH(violent,'Jon Ossoff'!C145)))&gt;0)</f>
        <v>0</v>
      </c>
      <c r="P145" s="14" cm="1">
        <f t="array" ref="P145">INT(SUMPRODUCT(--ISNUMBER(SEARCH(foreign,'Jon Ossoff'!C145)))&gt;0)</f>
        <v>1</v>
      </c>
      <c r="Q145" s="14" cm="1">
        <f t="array" ref="Q145">INT(SUMPRODUCT(--ISNUMBER(SEARCH(gun,'Jon Ossoff'!C145)))&gt;0)</f>
        <v>0</v>
      </c>
      <c r="R145" s="14" cm="1">
        <f t="array" ref="R145">INT(SUMPRODUCT(--ISNUMBER(SEARCH(race,'Jon Ossoff'!C145)))&gt;0)</f>
        <v>0</v>
      </c>
      <c r="S145" s="14" cm="1">
        <f t="array" ref="S145">INT(SUMPRODUCT(--ISNUMBER(SEARCH(immigration,C145)))&gt;0)</f>
        <v>0</v>
      </c>
      <c r="T145" s="14" cm="1">
        <f t="array" ref="T145">INT(SUMPRODUCT(--ISNUMBER(SEARCH(econineq,C145)))&gt;0)</f>
        <v>0</v>
      </c>
      <c r="U145" s="14" cm="1">
        <f t="array" ref="U145">INT(SUMPRODUCT(--ISNUMBER(SEARCH(climate,'Jon Ossoff'!C145)))&gt;0)</f>
        <v>0</v>
      </c>
      <c r="V145" s="14" cm="1">
        <f t="array" ref="V145">INT(SUMPRODUCT(--ISNUMBER(SEARCH(abortion,'Jon Ossoff'!C145)))&gt;0)</f>
        <v>0</v>
      </c>
      <c r="W145" s="14" cm="1">
        <f t="array" ref="W145">INT(SUMPRODUCT(--ISNUMBER(SEARCH(trump,'Jon Ossoff'!C145)))&gt;0)</f>
        <v>0</v>
      </c>
      <c r="X145" s="14" cm="1">
        <f t="array" ref="X145">INT(SUMPRODUCT(--ISNUMBER(SEARCH(voting,'Jon Ossoff'!C145)))&gt;0)</f>
        <v>1</v>
      </c>
      <c r="Y145" s="14" cm="1">
        <f t="array" ref="Y145">INT(SUMPRODUCT(--ISNUMBER(SEARCH(democrattrigger,'Jon Ossoff'!C145)))&gt;0)</f>
        <v>1</v>
      </c>
      <c r="Z145" s="14" cm="1">
        <f t="array" ref="Z145">INT(SUMPRODUCT(--ISNUMBER(SEARCH(bipartisan,'Jon Ossoff'!C145)))&gt;0)</f>
        <v>0</v>
      </c>
      <c r="AA145" s="14">
        <f t="shared" si="2"/>
        <v>0</v>
      </c>
      <c r="AB145" s="14"/>
      <c r="AC145" s="30" t="s">
        <v>223</v>
      </c>
      <c r="AD145" s="37" t="s">
        <v>223</v>
      </c>
    </row>
    <row r="146" spans="1:30" x14ac:dyDescent="0.25">
      <c r="A146" s="36">
        <v>656</v>
      </c>
      <c r="B146" s="14" t="s">
        <v>1340</v>
      </c>
      <c r="C146" s="31" t="s">
        <v>1341</v>
      </c>
      <c r="D146" s="17">
        <v>44124</v>
      </c>
      <c r="E146" s="14" t="s">
        <v>30</v>
      </c>
      <c r="F146" s="14">
        <v>892</v>
      </c>
      <c r="G146" s="14">
        <v>253</v>
      </c>
      <c r="H146" s="14">
        <v>4</v>
      </c>
      <c r="I146" s="14">
        <v>2</v>
      </c>
      <c r="J146" s="14" t="s">
        <v>204</v>
      </c>
      <c r="K146" s="14" cm="1">
        <f t="array" ref="K146">INT(SUMPRODUCT(--ISNUMBER(SEARCH(economy,'Jon Ossoff'!C146)))&gt;0)</f>
        <v>0</v>
      </c>
      <c r="L146" s="14" cm="1">
        <f t="array" ref="L146">INT(SUMPRODUCT(--ISNUMBER(SEARCH(healthcare,'Jon Ossoff'!C146)))&gt;0)</f>
        <v>0</v>
      </c>
      <c r="M146" s="14" cm="1">
        <f t="array" ref="M146">INT(SUMPRODUCT(--ISNUMBER(SEARCH(supreme,'Jon Ossoff'!C146)))&gt;0)</f>
        <v>0</v>
      </c>
      <c r="N146" s="14" cm="1">
        <f t="array" ref="N146">INT(SUMPRODUCT(--ISNUMBER(SEARCH(covid,'Jon Ossoff'!C146)))&gt;0)</f>
        <v>0</v>
      </c>
      <c r="O146" s="14" cm="1">
        <f t="array" ref="O146">INT(SUMPRODUCT(--ISNUMBER(SEARCH(violent,'Jon Ossoff'!C146)))&gt;0)</f>
        <v>0</v>
      </c>
      <c r="P146" s="14" cm="1">
        <f t="array" ref="P146">INT(SUMPRODUCT(--ISNUMBER(SEARCH(foreign,'Jon Ossoff'!C146)))&gt;0)</f>
        <v>0</v>
      </c>
      <c r="Q146" s="14" cm="1">
        <f t="array" ref="Q146">INT(SUMPRODUCT(--ISNUMBER(SEARCH(gun,'Jon Ossoff'!C146)))&gt;0)</f>
        <v>0</v>
      </c>
      <c r="R146" s="14" cm="1">
        <f t="array" ref="R146">INT(SUMPRODUCT(--ISNUMBER(SEARCH(race,'Jon Ossoff'!C146)))&gt;0)</f>
        <v>0</v>
      </c>
      <c r="S146" s="14" cm="1">
        <f t="array" ref="S146">INT(SUMPRODUCT(--ISNUMBER(SEARCH(immigration,C146)))&gt;0)</f>
        <v>0</v>
      </c>
      <c r="T146" s="14" cm="1">
        <f t="array" ref="T146">INT(SUMPRODUCT(--ISNUMBER(SEARCH(econineq,C146)))&gt;0)</f>
        <v>0</v>
      </c>
      <c r="U146" s="14" cm="1">
        <f t="array" ref="U146">INT(SUMPRODUCT(--ISNUMBER(SEARCH(climate,'Jon Ossoff'!C146)))&gt;0)</f>
        <v>0</v>
      </c>
      <c r="V146" s="14" cm="1">
        <f t="array" ref="V146">INT(SUMPRODUCT(--ISNUMBER(SEARCH(abortion,'Jon Ossoff'!C146)))&gt;0)</f>
        <v>0</v>
      </c>
      <c r="W146" s="14" cm="1">
        <f t="array" ref="W146">INT(SUMPRODUCT(--ISNUMBER(SEARCH(trump,'Jon Ossoff'!C146)))&gt;0)</f>
        <v>0</v>
      </c>
      <c r="X146" s="14" cm="1">
        <f t="array" ref="X146">INT(SUMPRODUCT(--ISNUMBER(SEARCH(voting,'Jon Ossoff'!C146)))&gt;0)</f>
        <v>1</v>
      </c>
      <c r="Y146" s="14" cm="1">
        <f t="array" ref="Y146">INT(SUMPRODUCT(--ISNUMBER(SEARCH(democrattrigger,'Jon Ossoff'!C146)))&gt;0)</f>
        <v>0</v>
      </c>
      <c r="Z146" s="14" cm="1">
        <f t="array" ref="Z146">INT(SUMPRODUCT(--ISNUMBER(SEARCH(bipartisan,'Jon Ossoff'!C146)))&gt;0)</f>
        <v>0</v>
      </c>
      <c r="AA146" s="14">
        <f t="shared" si="2"/>
        <v>0</v>
      </c>
      <c r="AB146" s="14"/>
      <c r="AC146" s="30" t="s">
        <v>223</v>
      </c>
      <c r="AD146" s="37" t="s">
        <v>223</v>
      </c>
    </row>
    <row r="147" spans="1:30" x14ac:dyDescent="0.25">
      <c r="A147" s="36">
        <v>657</v>
      </c>
      <c r="B147" s="14" t="s">
        <v>1342</v>
      </c>
      <c r="C147" s="31" t="s">
        <v>1343</v>
      </c>
      <c r="D147" s="17">
        <v>44124</v>
      </c>
      <c r="E147" s="14" t="s">
        <v>30</v>
      </c>
      <c r="F147" s="14">
        <v>1379</v>
      </c>
      <c r="G147" s="14">
        <v>562</v>
      </c>
      <c r="H147" s="14">
        <v>4</v>
      </c>
      <c r="I147" s="14">
        <v>2</v>
      </c>
      <c r="J147" s="14" t="s">
        <v>204</v>
      </c>
      <c r="K147" s="14" cm="1">
        <f t="array" ref="K147">INT(SUMPRODUCT(--ISNUMBER(SEARCH(economy,'Jon Ossoff'!C147)))&gt;0)</f>
        <v>0</v>
      </c>
      <c r="L147" s="14" cm="1">
        <f t="array" ref="L147">INT(SUMPRODUCT(--ISNUMBER(SEARCH(healthcare,'Jon Ossoff'!C147)))&gt;0)</f>
        <v>0</v>
      </c>
      <c r="M147" s="14" cm="1">
        <f t="array" ref="M147">INT(SUMPRODUCT(--ISNUMBER(SEARCH(supreme,'Jon Ossoff'!C147)))&gt;0)</f>
        <v>0</v>
      </c>
      <c r="N147" s="14" cm="1">
        <f t="array" ref="N147">INT(SUMPRODUCT(--ISNUMBER(SEARCH(covid,'Jon Ossoff'!C147)))&gt;0)</f>
        <v>0</v>
      </c>
      <c r="O147" s="14" cm="1">
        <f t="array" ref="O147">INT(SUMPRODUCT(--ISNUMBER(SEARCH(violent,'Jon Ossoff'!C147)))&gt;0)</f>
        <v>0</v>
      </c>
      <c r="P147" s="14" cm="1">
        <f t="array" ref="P147">INT(SUMPRODUCT(--ISNUMBER(SEARCH(foreign,'Jon Ossoff'!C147)))&gt;0)</f>
        <v>0</v>
      </c>
      <c r="Q147" s="14" cm="1">
        <f t="array" ref="Q147">INT(SUMPRODUCT(--ISNUMBER(SEARCH(gun,'Jon Ossoff'!C147)))&gt;0)</f>
        <v>0</v>
      </c>
      <c r="R147" s="14" cm="1">
        <f t="array" ref="R147">INT(SUMPRODUCT(--ISNUMBER(SEARCH(race,'Jon Ossoff'!C147)))&gt;0)</f>
        <v>0</v>
      </c>
      <c r="S147" s="14" cm="1">
        <f t="array" ref="S147">INT(SUMPRODUCT(--ISNUMBER(SEARCH(immigration,C147)))&gt;0)</f>
        <v>0</v>
      </c>
      <c r="T147" s="14" cm="1">
        <f t="array" ref="T147">INT(SUMPRODUCT(--ISNUMBER(SEARCH(econineq,C147)))&gt;0)</f>
        <v>0</v>
      </c>
      <c r="U147" s="14" cm="1">
        <f t="array" ref="U147">INT(SUMPRODUCT(--ISNUMBER(SEARCH(climate,'Jon Ossoff'!C147)))&gt;0)</f>
        <v>0</v>
      </c>
      <c r="V147" s="14" cm="1">
        <f t="array" ref="V147">INT(SUMPRODUCT(--ISNUMBER(SEARCH(abortion,'Jon Ossoff'!C147)))&gt;0)</f>
        <v>0</v>
      </c>
      <c r="W147" s="14" cm="1">
        <f t="array" ref="W147">INT(SUMPRODUCT(--ISNUMBER(SEARCH(trump,'Jon Ossoff'!C147)))&gt;0)</f>
        <v>0</v>
      </c>
      <c r="X147" s="14" cm="1">
        <f t="array" ref="X147">INT(SUMPRODUCT(--ISNUMBER(SEARCH(voting,'Jon Ossoff'!C147)))&gt;0)</f>
        <v>0</v>
      </c>
      <c r="Y147" s="14" cm="1">
        <f t="array" ref="Y147">INT(SUMPRODUCT(--ISNUMBER(SEARCH(democrattrigger,'Jon Ossoff'!C147)))&gt;0)</f>
        <v>1</v>
      </c>
      <c r="Z147" s="14" cm="1">
        <f t="array" ref="Z147">INT(SUMPRODUCT(--ISNUMBER(SEARCH(bipartisan,'Jon Ossoff'!C147)))&gt;0)</f>
        <v>0</v>
      </c>
      <c r="AA147" s="14">
        <f t="shared" si="2"/>
        <v>0</v>
      </c>
      <c r="AB147" s="14"/>
      <c r="AC147" s="30">
        <v>0</v>
      </c>
      <c r="AD147" s="37">
        <v>1</v>
      </c>
    </row>
    <row r="148" spans="1:30" x14ac:dyDescent="0.25">
      <c r="A148" s="36">
        <v>658</v>
      </c>
      <c r="B148" s="14" t="s">
        <v>1344</v>
      </c>
      <c r="C148" s="31" t="s">
        <v>1345</v>
      </c>
      <c r="D148" s="17">
        <v>44124</v>
      </c>
      <c r="E148" s="14" t="s">
        <v>30</v>
      </c>
      <c r="F148" s="14">
        <v>839</v>
      </c>
      <c r="G148" s="14">
        <v>282</v>
      </c>
      <c r="H148" s="14">
        <v>4</v>
      </c>
      <c r="I148" s="14">
        <v>2</v>
      </c>
      <c r="J148" s="14" t="s">
        <v>204</v>
      </c>
      <c r="K148" s="14" cm="1">
        <f t="array" ref="K148">INT(SUMPRODUCT(--ISNUMBER(SEARCH(economy,'Jon Ossoff'!C148)))&gt;0)</f>
        <v>0</v>
      </c>
      <c r="L148" s="14" cm="1">
        <f t="array" ref="L148">INT(SUMPRODUCT(--ISNUMBER(SEARCH(healthcare,'Jon Ossoff'!C148)))&gt;0)</f>
        <v>0</v>
      </c>
      <c r="M148" s="14" cm="1">
        <f t="array" ref="M148">INT(SUMPRODUCT(--ISNUMBER(SEARCH(supreme,'Jon Ossoff'!C148)))&gt;0)</f>
        <v>0</v>
      </c>
      <c r="N148" s="14" cm="1">
        <f t="array" ref="N148">INT(SUMPRODUCT(--ISNUMBER(SEARCH(covid,'Jon Ossoff'!C148)))&gt;0)</f>
        <v>0</v>
      </c>
      <c r="O148" s="14" cm="1">
        <f t="array" ref="O148">INT(SUMPRODUCT(--ISNUMBER(SEARCH(violent,'Jon Ossoff'!C148)))&gt;0)</f>
        <v>0</v>
      </c>
      <c r="P148" s="14" cm="1">
        <f t="array" ref="P148">INT(SUMPRODUCT(--ISNUMBER(SEARCH(foreign,'Jon Ossoff'!C148)))&gt;0)</f>
        <v>0</v>
      </c>
      <c r="Q148" s="14" cm="1">
        <f t="array" ref="Q148">INT(SUMPRODUCT(--ISNUMBER(SEARCH(gun,'Jon Ossoff'!C148)))&gt;0)</f>
        <v>0</v>
      </c>
      <c r="R148" s="14" cm="1">
        <f t="array" ref="R148">INT(SUMPRODUCT(--ISNUMBER(SEARCH(race,'Jon Ossoff'!C148)))&gt;0)</f>
        <v>0</v>
      </c>
      <c r="S148" s="14" cm="1">
        <f t="array" ref="S148">INT(SUMPRODUCT(--ISNUMBER(SEARCH(immigration,C148)))&gt;0)</f>
        <v>0</v>
      </c>
      <c r="T148" s="14" cm="1">
        <f t="array" ref="T148">INT(SUMPRODUCT(--ISNUMBER(SEARCH(econineq,C148)))&gt;0)</f>
        <v>0</v>
      </c>
      <c r="U148" s="14" cm="1">
        <f t="array" ref="U148">INT(SUMPRODUCT(--ISNUMBER(SEARCH(climate,'Jon Ossoff'!C148)))&gt;0)</f>
        <v>0</v>
      </c>
      <c r="V148" s="14" cm="1">
        <f t="array" ref="V148">INT(SUMPRODUCT(--ISNUMBER(SEARCH(abortion,'Jon Ossoff'!C148)))&gt;0)</f>
        <v>0</v>
      </c>
      <c r="W148" s="14" cm="1">
        <f t="array" ref="W148">INT(SUMPRODUCT(--ISNUMBER(SEARCH(trump,'Jon Ossoff'!C148)))&gt;0)</f>
        <v>0</v>
      </c>
      <c r="X148" s="14" cm="1">
        <f t="array" ref="X148">INT(SUMPRODUCT(--ISNUMBER(SEARCH(voting,'Jon Ossoff'!C148)))&gt;0)</f>
        <v>0</v>
      </c>
      <c r="Y148" s="14" cm="1">
        <f t="array" ref="Y148">INT(SUMPRODUCT(--ISNUMBER(SEARCH(democrattrigger,'Jon Ossoff'!C148)))&gt;0)</f>
        <v>1</v>
      </c>
      <c r="Z148" s="14" cm="1">
        <f t="array" ref="Z148">INT(SUMPRODUCT(--ISNUMBER(SEARCH(bipartisan,'Jon Ossoff'!C148)))&gt;0)</f>
        <v>0</v>
      </c>
      <c r="AA148" s="14">
        <f t="shared" si="2"/>
        <v>0</v>
      </c>
      <c r="AB148" s="14"/>
      <c r="AC148" s="30">
        <v>0</v>
      </c>
      <c r="AD148" s="37">
        <v>1</v>
      </c>
    </row>
    <row r="149" spans="1:30" x14ac:dyDescent="0.25">
      <c r="A149" s="36">
        <v>659</v>
      </c>
      <c r="B149" s="14" t="s">
        <v>1346</v>
      </c>
      <c r="C149" s="31" t="s">
        <v>1347</v>
      </c>
      <c r="D149" s="17">
        <v>44124</v>
      </c>
      <c r="E149" s="14" t="s">
        <v>30</v>
      </c>
      <c r="F149" s="14">
        <v>2049</v>
      </c>
      <c r="G149" s="14">
        <v>718</v>
      </c>
      <c r="H149" s="14">
        <v>4</v>
      </c>
      <c r="I149" s="14">
        <v>2</v>
      </c>
      <c r="J149" s="14" t="s">
        <v>204</v>
      </c>
      <c r="K149" s="14" cm="1">
        <f t="array" ref="K149">INT(SUMPRODUCT(--ISNUMBER(SEARCH(economy,'Jon Ossoff'!C149)))&gt;0)</f>
        <v>1</v>
      </c>
      <c r="L149" s="14" cm="1">
        <f t="array" ref="L149">INT(SUMPRODUCT(--ISNUMBER(SEARCH(healthcare,'Jon Ossoff'!C149)))&gt;0)</f>
        <v>0</v>
      </c>
      <c r="M149" s="14" cm="1">
        <f t="array" ref="M149">INT(SUMPRODUCT(--ISNUMBER(SEARCH(supreme,'Jon Ossoff'!C149)))&gt;0)</f>
        <v>0</v>
      </c>
      <c r="N149" s="14" cm="1">
        <f t="array" ref="N149">INT(SUMPRODUCT(--ISNUMBER(SEARCH(covid,'Jon Ossoff'!C149)))&gt;0)</f>
        <v>0</v>
      </c>
      <c r="O149" s="14" cm="1">
        <f t="array" ref="O149">INT(SUMPRODUCT(--ISNUMBER(SEARCH(violent,'Jon Ossoff'!C149)))&gt;0)</f>
        <v>0</v>
      </c>
      <c r="P149" s="14" cm="1">
        <f t="array" ref="P149">INT(SUMPRODUCT(--ISNUMBER(SEARCH(foreign,'Jon Ossoff'!C149)))&gt;0)</f>
        <v>1</v>
      </c>
      <c r="Q149" s="14" cm="1">
        <f t="array" ref="Q149">INT(SUMPRODUCT(--ISNUMBER(SEARCH(gun,'Jon Ossoff'!C149)))&gt;0)</f>
        <v>0</v>
      </c>
      <c r="R149" s="14" cm="1">
        <f t="array" ref="R149">INT(SUMPRODUCT(--ISNUMBER(SEARCH(race,'Jon Ossoff'!C149)))&gt;0)</f>
        <v>0</v>
      </c>
      <c r="S149" s="14" cm="1">
        <f t="array" ref="S149">INT(SUMPRODUCT(--ISNUMBER(SEARCH(immigration,C149)))&gt;0)</f>
        <v>0</v>
      </c>
      <c r="T149" s="14" cm="1">
        <f t="array" ref="T149">INT(SUMPRODUCT(--ISNUMBER(SEARCH(econineq,C149)))&gt;0)</f>
        <v>0</v>
      </c>
      <c r="U149" s="14" cm="1">
        <f t="array" ref="U149">INT(SUMPRODUCT(--ISNUMBER(SEARCH(climate,'Jon Ossoff'!C149)))&gt;0)</f>
        <v>0</v>
      </c>
      <c r="V149" s="14" cm="1">
        <f t="array" ref="V149">INT(SUMPRODUCT(--ISNUMBER(SEARCH(abortion,'Jon Ossoff'!C149)))&gt;0)</f>
        <v>0</v>
      </c>
      <c r="W149" s="14" cm="1">
        <f t="array" ref="W149">INT(SUMPRODUCT(--ISNUMBER(SEARCH(trump,'Jon Ossoff'!C149)))&gt;0)</f>
        <v>0</v>
      </c>
      <c r="X149" s="14" cm="1">
        <f t="array" ref="X149">INT(SUMPRODUCT(--ISNUMBER(SEARCH(voting,'Jon Ossoff'!C149)))&gt;0)</f>
        <v>0</v>
      </c>
      <c r="Y149" s="14" cm="1">
        <f t="array" ref="Y149">INT(SUMPRODUCT(--ISNUMBER(SEARCH(democrattrigger,'Jon Ossoff'!C149)))&gt;0)</f>
        <v>1</v>
      </c>
      <c r="Z149" s="14" cm="1">
        <f t="array" ref="Z149">INT(SUMPRODUCT(--ISNUMBER(SEARCH(bipartisan,'Jon Ossoff'!C149)))&gt;0)</f>
        <v>0</v>
      </c>
      <c r="AA149" s="14">
        <f t="shared" si="2"/>
        <v>0</v>
      </c>
      <c r="AB149" s="14"/>
      <c r="AC149" s="30">
        <v>1</v>
      </c>
      <c r="AD149" s="37">
        <v>0</v>
      </c>
    </row>
    <row r="150" spans="1:30" x14ac:dyDescent="0.25">
      <c r="A150" s="36">
        <v>660</v>
      </c>
      <c r="B150" s="14" t="s">
        <v>1348</v>
      </c>
      <c r="C150" s="31" t="s">
        <v>1349</v>
      </c>
      <c r="D150" s="17">
        <v>44123</v>
      </c>
      <c r="E150" s="14" t="s">
        <v>30</v>
      </c>
      <c r="F150" s="14">
        <v>2000</v>
      </c>
      <c r="G150" s="14">
        <v>790</v>
      </c>
      <c r="H150" s="14">
        <v>4</v>
      </c>
      <c r="I150" s="14">
        <v>2</v>
      </c>
      <c r="J150" s="14" t="s">
        <v>204</v>
      </c>
      <c r="K150" s="14" cm="1">
        <f t="array" ref="K150">INT(SUMPRODUCT(--ISNUMBER(SEARCH(economy,'Jon Ossoff'!C150)))&gt;0)</f>
        <v>0</v>
      </c>
      <c r="L150" s="14" cm="1">
        <f t="array" ref="L150">INT(SUMPRODUCT(--ISNUMBER(SEARCH(healthcare,'Jon Ossoff'!C150)))&gt;0)</f>
        <v>1</v>
      </c>
      <c r="M150" s="14" cm="1">
        <f t="array" ref="M150">INT(SUMPRODUCT(--ISNUMBER(SEARCH(supreme,'Jon Ossoff'!C150)))&gt;0)</f>
        <v>1</v>
      </c>
      <c r="N150" s="14" cm="1">
        <f t="array" ref="N150">INT(SUMPRODUCT(--ISNUMBER(SEARCH(covid,'Jon Ossoff'!C150)))&gt;0)</f>
        <v>0</v>
      </c>
      <c r="O150" s="14" cm="1">
        <f t="array" ref="O150">INT(SUMPRODUCT(--ISNUMBER(SEARCH(violent,'Jon Ossoff'!C150)))&gt;0)</f>
        <v>0</v>
      </c>
      <c r="P150" s="14" cm="1">
        <f t="array" ref="P150">INT(SUMPRODUCT(--ISNUMBER(SEARCH(foreign,'Jon Ossoff'!C150)))&gt;0)</f>
        <v>0</v>
      </c>
      <c r="Q150" s="14" cm="1">
        <f t="array" ref="Q150">INT(SUMPRODUCT(--ISNUMBER(SEARCH(gun,'Jon Ossoff'!C150)))&gt;0)</f>
        <v>0</v>
      </c>
      <c r="R150" s="14" cm="1">
        <f t="array" ref="R150">INT(SUMPRODUCT(--ISNUMBER(SEARCH(race,'Jon Ossoff'!C150)))&gt;0)</f>
        <v>0</v>
      </c>
      <c r="S150" s="14" cm="1">
        <f t="array" ref="S150">INT(SUMPRODUCT(--ISNUMBER(SEARCH(immigration,C150)))&gt;0)</f>
        <v>0</v>
      </c>
      <c r="T150" s="14" cm="1">
        <f t="array" ref="T150">INT(SUMPRODUCT(--ISNUMBER(SEARCH(econineq,C150)))&gt;0)</f>
        <v>0</v>
      </c>
      <c r="U150" s="14" cm="1">
        <f t="array" ref="U150">INT(SUMPRODUCT(--ISNUMBER(SEARCH(climate,'Jon Ossoff'!C150)))&gt;0)</f>
        <v>0</v>
      </c>
      <c r="V150" s="14" cm="1">
        <f t="array" ref="V150">INT(SUMPRODUCT(--ISNUMBER(SEARCH(abortion,'Jon Ossoff'!C150)))&gt;0)</f>
        <v>0</v>
      </c>
      <c r="W150" s="14" cm="1">
        <f t="array" ref="W150">INT(SUMPRODUCT(--ISNUMBER(SEARCH(trump,'Jon Ossoff'!C150)))&gt;0)</f>
        <v>0</v>
      </c>
      <c r="X150" s="14" cm="1">
        <f t="array" ref="X150">INT(SUMPRODUCT(--ISNUMBER(SEARCH(voting,'Jon Ossoff'!C150)))&gt;0)</f>
        <v>1</v>
      </c>
      <c r="Y150" s="14" cm="1">
        <f t="array" ref="Y150">INT(SUMPRODUCT(--ISNUMBER(SEARCH(democrattrigger,'Jon Ossoff'!C150)))&gt;0)</f>
        <v>0</v>
      </c>
      <c r="Z150" s="14" cm="1">
        <f t="array" ref="Z150">INT(SUMPRODUCT(--ISNUMBER(SEARCH(bipartisan,'Jon Ossoff'!C150)))&gt;0)</f>
        <v>0</v>
      </c>
      <c r="AA150" s="14">
        <f t="shared" si="2"/>
        <v>0</v>
      </c>
      <c r="AB150" s="14"/>
      <c r="AC150" s="30" t="s">
        <v>223</v>
      </c>
      <c r="AD150" s="37" t="s">
        <v>223</v>
      </c>
    </row>
    <row r="151" spans="1:30" x14ac:dyDescent="0.25">
      <c r="A151" s="36">
        <v>661</v>
      </c>
      <c r="B151" s="14" t="s">
        <v>1350</v>
      </c>
      <c r="C151" s="31" t="s">
        <v>1351</v>
      </c>
      <c r="D151" s="17">
        <v>44123</v>
      </c>
      <c r="E151" s="14" t="s">
        <v>30</v>
      </c>
      <c r="F151" s="14">
        <v>7891</v>
      </c>
      <c r="G151" s="14">
        <v>3889</v>
      </c>
      <c r="H151" s="14">
        <v>4</v>
      </c>
      <c r="I151" s="14">
        <v>2</v>
      </c>
      <c r="J151" s="14" t="s">
        <v>204</v>
      </c>
      <c r="K151" s="14" cm="1">
        <f t="array" ref="K151">INT(SUMPRODUCT(--ISNUMBER(SEARCH(economy,'Jon Ossoff'!C151)))&gt;0)</f>
        <v>0</v>
      </c>
      <c r="L151" s="14" cm="1">
        <f t="array" ref="L151">INT(SUMPRODUCT(--ISNUMBER(SEARCH(healthcare,'Jon Ossoff'!C151)))&gt;0)</f>
        <v>0</v>
      </c>
      <c r="M151" s="14" cm="1">
        <f t="array" ref="M151">INT(SUMPRODUCT(--ISNUMBER(SEARCH(supreme,'Jon Ossoff'!C151)))&gt;0)</f>
        <v>0</v>
      </c>
      <c r="N151" s="14" cm="1">
        <f t="array" ref="N151">INT(SUMPRODUCT(--ISNUMBER(SEARCH(covid,'Jon Ossoff'!C151)))&gt;0)</f>
        <v>0</v>
      </c>
      <c r="O151" s="14" cm="1">
        <f t="array" ref="O151">INT(SUMPRODUCT(--ISNUMBER(SEARCH(violent,'Jon Ossoff'!C151)))&gt;0)</f>
        <v>0</v>
      </c>
      <c r="P151" s="14" cm="1">
        <f t="array" ref="P151">INT(SUMPRODUCT(--ISNUMBER(SEARCH(foreign,'Jon Ossoff'!C151)))&gt;0)</f>
        <v>0</v>
      </c>
      <c r="Q151" s="14" cm="1">
        <f t="array" ref="Q151">INT(SUMPRODUCT(--ISNUMBER(SEARCH(gun,'Jon Ossoff'!C151)))&gt;0)</f>
        <v>0</v>
      </c>
      <c r="R151" s="14" cm="1">
        <f t="array" ref="R151">INT(SUMPRODUCT(--ISNUMBER(SEARCH(race,'Jon Ossoff'!C151)))&gt;0)</f>
        <v>0</v>
      </c>
      <c r="S151" s="14" cm="1">
        <f t="array" ref="S151">INT(SUMPRODUCT(--ISNUMBER(SEARCH(immigration,C151)))&gt;0)</f>
        <v>0</v>
      </c>
      <c r="T151" s="14" cm="1">
        <f t="array" ref="T151">INT(SUMPRODUCT(--ISNUMBER(SEARCH(econineq,C151)))&gt;0)</f>
        <v>0</v>
      </c>
      <c r="U151" s="14" cm="1">
        <f t="array" ref="U151">INT(SUMPRODUCT(--ISNUMBER(SEARCH(climate,'Jon Ossoff'!C151)))&gt;0)</f>
        <v>0</v>
      </c>
      <c r="V151" s="14" cm="1">
        <f t="array" ref="V151">INT(SUMPRODUCT(--ISNUMBER(SEARCH(abortion,'Jon Ossoff'!C151)))&gt;0)</f>
        <v>0</v>
      </c>
      <c r="W151" s="14" cm="1">
        <f t="array" ref="W151">INT(SUMPRODUCT(--ISNUMBER(SEARCH(trump,'Jon Ossoff'!C151)))&gt;0)</f>
        <v>0</v>
      </c>
      <c r="X151" s="14" cm="1">
        <f t="array" ref="X151">INT(SUMPRODUCT(--ISNUMBER(SEARCH(voting,'Jon Ossoff'!C151)))&gt;0)</f>
        <v>0</v>
      </c>
      <c r="Y151" s="14" cm="1">
        <f t="array" ref="Y151">INT(SUMPRODUCT(--ISNUMBER(SEARCH(democrattrigger,'Jon Ossoff'!C151)))&gt;0)</f>
        <v>1</v>
      </c>
      <c r="Z151" s="14" cm="1">
        <f t="array" ref="Z151">INT(SUMPRODUCT(--ISNUMBER(SEARCH(bipartisan,'Jon Ossoff'!C151)))&gt;0)</f>
        <v>0</v>
      </c>
      <c r="AA151" s="14">
        <f t="shared" si="2"/>
        <v>0</v>
      </c>
      <c r="AB151" s="14"/>
      <c r="AC151" s="30" t="s">
        <v>223</v>
      </c>
      <c r="AD151" s="37" t="s">
        <v>223</v>
      </c>
    </row>
    <row r="152" spans="1:30" x14ac:dyDescent="0.25">
      <c r="A152" s="36">
        <v>662</v>
      </c>
      <c r="B152" s="14" t="s">
        <v>1352</v>
      </c>
      <c r="C152" s="31" t="s">
        <v>1353</v>
      </c>
      <c r="D152" s="17">
        <v>44123</v>
      </c>
      <c r="E152" s="14" t="s">
        <v>30</v>
      </c>
      <c r="F152" s="14">
        <v>1591</v>
      </c>
      <c r="G152" s="14">
        <v>596</v>
      </c>
      <c r="H152" s="14">
        <v>4</v>
      </c>
      <c r="I152" s="14">
        <v>2</v>
      </c>
      <c r="J152" s="14" t="s">
        <v>204</v>
      </c>
      <c r="K152" s="14" cm="1">
        <f t="array" ref="K152">INT(SUMPRODUCT(--ISNUMBER(SEARCH(economy,'Jon Ossoff'!C152)))&gt;0)</f>
        <v>0</v>
      </c>
      <c r="L152" s="14" cm="1">
        <f t="array" ref="L152">INT(SUMPRODUCT(--ISNUMBER(SEARCH(healthcare,'Jon Ossoff'!C152)))&gt;0)</f>
        <v>0</v>
      </c>
      <c r="M152" s="14" cm="1">
        <f t="array" ref="M152">INT(SUMPRODUCT(--ISNUMBER(SEARCH(supreme,'Jon Ossoff'!C152)))&gt;0)</f>
        <v>0</v>
      </c>
      <c r="N152" s="14" cm="1">
        <f t="array" ref="N152">INT(SUMPRODUCT(--ISNUMBER(SEARCH(covid,'Jon Ossoff'!C152)))&gt;0)</f>
        <v>0</v>
      </c>
      <c r="O152" s="14" cm="1">
        <f t="array" ref="O152">INT(SUMPRODUCT(--ISNUMBER(SEARCH(violent,'Jon Ossoff'!C152)))&gt;0)</f>
        <v>0</v>
      </c>
      <c r="P152" s="14" cm="1">
        <f t="array" ref="P152">INT(SUMPRODUCT(--ISNUMBER(SEARCH(foreign,'Jon Ossoff'!C152)))&gt;0)</f>
        <v>0</v>
      </c>
      <c r="Q152" s="14" cm="1">
        <f t="array" ref="Q152">INT(SUMPRODUCT(--ISNUMBER(SEARCH(gun,'Jon Ossoff'!C152)))&gt;0)</f>
        <v>0</v>
      </c>
      <c r="R152" s="14" cm="1">
        <f t="array" ref="R152">INT(SUMPRODUCT(--ISNUMBER(SEARCH(race,'Jon Ossoff'!C152)))&gt;0)</f>
        <v>0</v>
      </c>
      <c r="S152" s="14" cm="1">
        <f t="array" ref="S152">INT(SUMPRODUCT(--ISNUMBER(SEARCH(immigration,C152)))&gt;0)</f>
        <v>0</v>
      </c>
      <c r="T152" s="14" cm="1">
        <f t="array" ref="T152">INT(SUMPRODUCT(--ISNUMBER(SEARCH(econineq,C152)))&gt;0)</f>
        <v>0</v>
      </c>
      <c r="U152" s="14" cm="1">
        <f t="array" ref="U152">INT(SUMPRODUCT(--ISNUMBER(SEARCH(climate,'Jon Ossoff'!C152)))&gt;0)</f>
        <v>0</v>
      </c>
      <c r="V152" s="14" cm="1">
        <f t="array" ref="V152">INT(SUMPRODUCT(--ISNUMBER(SEARCH(abortion,'Jon Ossoff'!C152)))&gt;0)</f>
        <v>0</v>
      </c>
      <c r="W152" s="14" cm="1">
        <f t="array" ref="W152">INT(SUMPRODUCT(--ISNUMBER(SEARCH(trump,'Jon Ossoff'!C152)))&gt;0)</f>
        <v>0</v>
      </c>
      <c r="X152" s="14" cm="1">
        <f t="array" ref="X152">INT(SUMPRODUCT(--ISNUMBER(SEARCH(voting,'Jon Ossoff'!C152)))&gt;0)</f>
        <v>0</v>
      </c>
      <c r="Y152" s="14" cm="1">
        <f t="array" ref="Y152">INT(SUMPRODUCT(--ISNUMBER(SEARCH(democrattrigger,'Jon Ossoff'!C152)))&gt;0)</f>
        <v>1</v>
      </c>
      <c r="Z152" s="14" cm="1">
        <f t="array" ref="Z152">INT(SUMPRODUCT(--ISNUMBER(SEARCH(bipartisan,'Jon Ossoff'!C152)))&gt;0)</f>
        <v>0</v>
      </c>
      <c r="AA152" s="14">
        <f t="shared" si="2"/>
        <v>0</v>
      </c>
      <c r="AB152" s="14"/>
      <c r="AC152" s="30">
        <v>0</v>
      </c>
      <c r="AD152" s="37">
        <v>1</v>
      </c>
    </row>
    <row r="153" spans="1:30" x14ac:dyDescent="0.25">
      <c r="A153" s="36">
        <v>663</v>
      </c>
      <c r="B153" s="14" t="s">
        <v>1354</v>
      </c>
      <c r="C153" s="31" t="s">
        <v>1355</v>
      </c>
      <c r="D153" s="17">
        <v>44123</v>
      </c>
      <c r="E153" s="14" t="s">
        <v>30</v>
      </c>
      <c r="F153" s="14">
        <v>553</v>
      </c>
      <c r="G153" s="14">
        <v>266</v>
      </c>
      <c r="H153" s="14">
        <v>4</v>
      </c>
      <c r="I153" s="14">
        <v>2</v>
      </c>
      <c r="J153" s="14" t="s">
        <v>204</v>
      </c>
      <c r="K153" s="14" cm="1">
        <f t="array" ref="K153">INT(SUMPRODUCT(--ISNUMBER(SEARCH(economy,'Jon Ossoff'!C153)))&gt;0)</f>
        <v>0</v>
      </c>
      <c r="L153" s="14" cm="1">
        <f t="array" ref="L153">INT(SUMPRODUCT(--ISNUMBER(SEARCH(healthcare,'Jon Ossoff'!C153)))&gt;0)</f>
        <v>0</v>
      </c>
      <c r="M153" s="14" cm="1">
        <f t="array" ref="M153">INT(SUMPRODUCT(--ISNUMBER(SEARCH(supreme,'Jon Ossoff'!C153)))&gt;0)</f>
        <v>0</v>
      </c>
      <c r="N153" s="14" cm="1">
        <f t="array" ref="N153">INT(SUMPRODUCT(--ISNUMBER(SEARCH(covid,'Jon Ossoff'!C153)))&gt;0)</f>
        <v>0</v>
      </c>
      <c r="O153" s="14" cm="1">
        <f t="array" ref="O153">INT(SUMPRODUCT(--ISNUMBER(SEARCH(violent,'Jon Ossoff'!C153)))&gt;0)</f>
        <v>0</v>
      </c>
      <c r="P153" s="14" cm="1">
        <f t="array" ref="P153">INT(SUMPRODUCT(--ISNUMBER(SEARCH(foreign,'Jon Ossoff'!C153)))&gt;0)</f>
        <v>0</v>
      </c>
      <c r="Q153" s="14" cm="1">
        <f t="array" ref="Q153">INT(SUMPRODUCT(--ISNUMBER(SEARCH(gun,'Jon Ossoff'!C153)))&gt;0)</f>
        <v>0</v>
      </c>
      <c r="R153" s="14" cm="1">
        <f t="array" ref="R153">INT(SUMPRODUCT(--ISNUMBER(SEARCH(race,'Jon Ossoff'!C153)))&gt;0)</f>
        <v>0</v>
      </c>
      <c r="S153" s="14" cm="1">
        <f t="array" ref="S153">INT(SUMPRODUCT(--ISNUMBER(SEARCH(immigration,C153)))&gt;0)</f>
        <v>0</v>
      </c>
      <c r="T153" s="14" cm="1">
        <f t="array" ref="T153">INT(SUMPRODUCT(--ISNUMBER(SEARCH(econineq,C153)))&gt;0)</f>
        <v>0</v>
      </c>
      <c r="U153" s="14" cm="1">
        <f t="array" ref="U153">INT(SUMPRODUCT(--ISNUMBER(SEARCH(climate,'Jon Ossoff'!C153)))&gt;0)</f>
        <v>0</v>
      </c>
      <c r="V153" s="14" cm="1">
        <f t="array" ref="V153">INT(SUMPRODUCT(--ISNUMBER(SEARCH(abortion,'Jon Ossoff'!C153)))&gt;0)</f>
        <v>0</v>
      </c>
      <c r="W153" s="14" cm="1">
        <f t="array" ref="W153">INT(SUMPRODUCT(--ISNUMBER(SEARCH(trump,'Jon Ossoff'!C153)))&gt;0)</f>
        <v>0</v>
      </c>
      <c r="X153" s="14" cm="1">
        <f t="array" ref="X153">INT(SUMPRODUCT(--ISNUMBER(SEARCH(voting,'Jon Ossoff'!C153)))&gt;0)</f>
        <v>1</v>
      </c>
      <c r="Y153" s="14" cm="1">
        <f t="array" ref="Y153">INT(SUMPRODUCT(--ISNUMBER(SEARCH(democrattrigger,'Jon Ossoff'!C153)))&gt;0)</f>
        <v>0</v>
      </c>
      <c r="Z153" s="14" cm="1">
        <f t="array" ref="Z153">INT(SUMPRODUCT(--ISNUMBER(SEARCH(bipartisan,'Jon Ossoff'!C153)))&gt;0)</f>
        <v>0</v>
      </c>
      <c r="AA153" s="14">
        <f t="shared" si="2"/>
        <v>0</v>
      </c>
      <c r="AB153" s="14"/>
      <c r="AC153" s="30" t="s">
        <v>223</v>
      </c>
      <c r="AD153" s="37" t="s">
        <v>223</v>
      </c>
    </row>
    <row r="154" spans="1:30" x14ac:dyDescent="0.25">
      <c r="A154" s="36">
        <v>664</v>
      </c>
      <c r="B154" s="14" t="s">
        <v>1356</v>
      </c>
      <c r="C154" s="31" t="s">
        <v>1161</v>
      </c>
      <c r="D154" s="17">
        <v>44123</v>
      </c>
      <c r="E154" s="14" t="s">
        <v>70</v>
      </c>
      <c r="F154" s="14">
        <v>706</v>
      </c>
      <c r="G154" s="14">
        <v>349</v>
      </c>
      <c r="H154" s="14">
        <v>4</v>
      </c>
      <c r="I154" s="14">
        <v>2</v>
      </c>
      <c r="J154" s="14" t="s">
        <v>204</v>
      </c>
      <c r="K154" s="14" cm="1">
        <f t="array" ref="K154">INT(SUMPRODUCT(--ISNUMBER(SEARCH(economy,'Jon Ossoff'!C154)))&gt;0)</f>
        <v>0</v>
      </c>
      <c r="L154" s="14" cm="1">
        <f t="array" ref="L154">INT(SUMPRODUCT(--ISNUMBER(SEARCH(healthcare,'Jon Ossoff'!C154)))&gt;0)</f>
        <v>0</v>
      </c>
      <c r="M154" s="14" cm="1">
        <f t="array" ref="M154">INT(SUMPRODUCT(--ISNUMBER(SEARCH(supreme,'Jon Ossoff'!C154)))&gt;0)</f>
        <v>0</v>
      </c>
      <c r="N154" s="14" cm="1">
        <f t="array" ref="N154">INT(SUMPRODUCT(--ISNUMBER(SEARCH(covid,'Jon Ossoff'!C154)))&gt;0)</f>
        <v>0</v>
      </c>
      <c r="O154" s="14" cm="1">
        <f t="array" ref="O154">INT(SUMPRODUCT(--ISNUMBER(SEARCH(violent,'Jon Ossoff'!C154)))&gt;0)</f>
        <v>0</v>
      </c>
      <c r="P154" s="14" cm="1">
        <f t="array" ref="P154">INT(SUMPRODUCT(--ISNUMBER(SEARCH(foreign,'Jon Ossoff'!C154)))&gt;0)</f>
        <v>0</v>
      </c>
      <c r="Q154" s="14" cm="1">
        <f t="array" ref="Q154">INT(SUMPRODUCT(--ISNUMBER(SEARCH(gun,'Jon Ossoff'!C154)))&gt;0)</f>
        <v>0</v>
      </c>
      <c r="R154" s="14" cm="1">
        <f t="array" ref="R154">INT(SUMPRODUCT(--ISNUMBER(SEARCH(race,'Jon Ossoff'!C154)))&gt;0)</f>
        <v>0</v>
      </c>
      <c r="S154" s="14" cm="1">
        <f t="array" ref="S154">INT(SUMPRODUCT(--ISNUMBER(SEARCH(immigration,C154)))&gt;0)</f>
        <v>0</v>
      </c>
      <c r="T154" s="14" cm="1">
        <f t="array" ref="T154">INT(SUMPRODUCT(--ISNUMBER(SEARCH(econineq,C154)))&gt;0)</f>
        <v>0</v>
      </c>
      <c r="U154" s="14" cm="1">
        <f t="array" ref="U154">INT(SUMPRODUCT(--ISNUMBER(SEARCH(climate,'Jon Ossoff'!C154)))&gt;0)</f>
        <v>0</v>
      </c>
      <c r="V154" s="14" cm="1">
        <f t="array" ref="V154">INT(SUMPRODUCT(--ISNUMBER(SEARCH(abortion,'Jon Ossoff'!C154)))&gt;0)</f>
        <v>0</v>
      </c>
      <c r="W154" s="14" cm="1">
        <f t="array" ref="W154">INT(SUMPRODUCT(--ISNUMBER(SEARCH(trump,'Jon Ossoff'!C154)))&gt;0)</f>
        <v>0</v>
      </c>
      <c r="X154" s="14" cm="1">
        <f t="array" ref="X154">INT(SUMPRODUCT(--ISNUMBER(SEARCH(voting,'Jon Ossoff'!C154)))&gt;0)</f>
        <v>1</v>
      </c>
      <c r="Y154" s="14" cm="1">
        <f t="array" ref="Y154">INT(SUMPRODUCT(--ISNUMBER(SEARCH(democrattrigger,'Jon Ossoff'!C154)))&gt;0)</f>
        <v>0</v>
      </c>
      <c r="Z154" s="14" cm="1">
        <f t="array" ref="Z154">INT(SUMPRODUCT(--ISNUMBER(SEARCH(bipartisan,'Jon Ossoff'!C154)))&gt;0)</f>
        <v>0</v>
      </c>
      <c r="AA154" s="14">
        <f t="shared" si="2"/>
        <v>0</v>
      </c>
      <c r="AB154" s="14"/>
      <c r="AC154" s="30" t="s">
        <v>223</v>
      </c>
      <c r="AD154" s="37" t="s">
        <v>223</v>
      </c>
    </row>
    <row r="155" spans="1:30" x14ac:dyDescent="0.25">
      <c r="A155" s="36">
        <v>665</v>
      </c>
      <c r="B155" s="14" t="s">
        <v>1357</v>
      </c>
      <c r="C155" s="31" t="s">
        <v>1358</v>
      </c>
      <c r="D155" s="17">
        <v>44123</v>
      </c>
      <c r="E155" s="14" t="s">
        <v>30</v>
      </c>
      <c r="F155" s="14">
        <v>27322</v>
      </c>
      <c r="G155" s="14">
        <v>4613</v>
      </c>
      <c r="H155" s="14">
        <v>4</v>
      </c>
      <c r="I155" s="14">
        <v>2</v>
      </c>
      <c r="J155" s="14" t="s">
        <v>204</v>
      </c>
      <c r="K155" s="14" cm="1">
        <f t="array" ref="K155">INT(SUMPRODUCT(--ISNUMBER(SEARCH(economy,'Jon Ossoff'!C155)))&gt;0)</f>
        <v>0</v>
      </c>
      <c r="L155" s="14" cm="1">
        <f t="array" ref="L155">INT(SUMPRODUCT(--ISNUMBER(SEARCH(healthcare,'Jon Ossoff'!C155)))&gt;0)</f>
        <v>0</v>
      </c>
      <c r="M155" s="14" cm="1">
        <f t="array" ref="M155">INT(SUMPRODUCT(--ISNUMBER(SEARCH(supreme,'Jon Ossoff'!C155)))&gt;0)</f>
        <v>0</v>
      </c>
      <c r="N155" s="14" cm="1">
        <f t="array" ref="N155">INT(SUMPRODUCT(--ISNUMBER(SEARCH(covid,'Jon Ossoff'!C155)))&gt;0)</f>
        <v>0</v>
      </c>
      <c r="O155" s="14" cm="1">
        <f t="array" ref="O155">INT(SUMPRODUCT(--ISNUMBER(SEARCH(violent,'Jon Ossoff'!C155)))&gt;0)</f>
        <v>0</v>
      </c>
      <c r="P155" s="14" cm="1">
        <f t="array" ref="P155">INT(SUMPRODUCT(--ISNUMBER(SEARCH(foreign,'Jon Ossoff'!C155)))&gt;0)</f>
        <v>0</v>
      </c>
      <c r="Q155" s="14" cm="1">
        <f t="array" ref="Q155">INT(SUMPRODUCT(--ISNUMBER(SEARCH(gun,'Jon Ossoff'!C155)))&gt;0)</f>
        <v>0</v>
      </c>
      <c r="R155" s="14" cm="1">
        <f t="array" ref="R155">INT(SUMPRODUCT(--ISNUMBER(SEARCH(race,'Jon Ossoff'!C155)))&gt;0)</f>
        <v>0</v>
      </c>
      <c r="S155" s="14" cm="1">
        <f t="array" ref="S155">INT(SUMPRODUCT(--ISNUMBER(SEARCH(immigration,C155)))&gt;0)</f>
        <v>0</v>
      </c>
      <c r="T155" s="14" cm="1">
        <f t="array" ref="T155">INT(SUMPRODUCT(--ISNUMBER(SEARCH(econineq,C155)))&gt;0)</f>
        <v>0</v>
      </c>
      <c r="U155" s="14" cm="1">
        <f t="array" ref="U155">INT(SUMPRODUCT(--ISNUMBER(SEARCH(climate,'Jon Ossoff'!C155)))&gt;0)</f>
        <v>0</v>
      </c>
      <c r="V155" s="14" cm="1">
        <f t="array" ref="V155">INT(SUMPRODUCT(--ISNUMBER(SEARCH(abortion,'Jon Ossoff'!C155)))&gt;0)</f>
        <v>0</v>
      </c>
      <c r="W155" s="14" cm="1">
        <f t="array" ref="W155">INT(SUMPRODUCT(--ISNUMBER(SEARCH(trump,'Jon Ossoff'!C155)))&gt;0)</f>
        <v>0</v>
      </c>
      <c r="X155" s="14" cm="1">
        <f t="array" ref="X155">INT(SUMPRODUCT(--ISNUMBER(SEARCH(voting,'Jon Ossoff'!C155)))&gt;0)</f>
        <v>0</v>
      </c>
      <c r="Y155" s="14" cm="1">
        <f t="array" ref="Y155">INT(SUMPRODUCT(--ISNUMBER(SEARCH(democrattrigger,'Jon Ossoff'!C155)))&gt;0)</f>
        <v>0</v>
      </c>
      <c r="Z155" s="14" cm="1">
        <f t="array" ref="Z155">INT(SUMPRODUCT(--ISNUMBER(SEARCH(bipartisan,'Jon Ossoff'!C155)))&gt;0)</f>
        <v>0</v>
      </c>
      <c r="AA155" s="14">
        <f t="shared" si="2"/>
        <v>1</v>
      </c>
      <c r="AB155" s="14"/>
      <c r="AC155" s="30" t="s">
        <v>223</v>
      </c>
      <c r="AD155" s="37" t="s">
        <v>223</v>
      </c>
    </row>
    <row r="156" spans="1:30" x14ac:dyDescent="0.25">
      <c r="A156" s="36">
        <v>666</v>
      </c>
      <c r="B156" s="14" t="s">
        <v>1359</v>
      </c>
      <c r="C156" s="31" t="s">
        <v>1360</v>
      </c>
      <c r="D156" s="17">
        <v>44123</v>
      </c>
      <c r="E156" s="14" t="s">
        <v>30</v>
      </c>
      <c r="F156" s="14">
        <v>7448</v>
      </c>
      <c r="G156" s="14">
        <v>2227</v>
      </c>
      <c r="H156" s="14">
        <v>4</v>
      </c>
      <c r="I156" s="14">
        <v>2</v>
      </c>
      <c r="J156" s="14" t="s">
        <v>204</v>
      </c>
      <c r="K156" s="14" cm="1">
        <f t="array" ref="K156">INT(SUMPRODUCT(--ISNUMBER(SEARCH(economy,'Jon Ossoff'!C156)))&gt;0)</f>
        <v>0</v>
      </c>
      <c r="L156" s="14" cm="1">
        <f t="array" ref="L156">INT(SUMPRODUCT(--ISNUMBER(SEARCH(healthcare,'Jon Ossoff'!C156)))&gt;0)</f>
        <v>0</v>
      </c>
      <c r="M156" s="14" cm="1">
        <f t="array" ref="M156">INT(SUMPRODUCT(--ISNUMBER(SEARCH(supreme,'Jon Ossoff'!C156)))&gt;0)</f>
        <v>0</v>
      </c>
      <c r="N156" s="14" cm="1">
        <f t="array" ref="N156">INT(SUMPRODUCT(--ISNUMBER(SEARCH(covid,'Jon Ossoff'!C156)))&gt;0)</f>
        <v>0</v>
      </c>
      <c r="O156" s="14" cm="1">
        <f t="array" ref="O156">INT(SUMPRODUCT(--ISNUMBER(SEARCH(violent,'Jon Ossoff'!C156)))&gt;0)</f>
        <v>0</v>
      </c>
      <c r="P156" s="14" cm="1">
        <f t="array" ref="P156">INT(SUMPRODUCT(--ISNUMBER(SEARCH(foreign,'Jon Ossoff'!C156)))&gt;0)</f>
        <v>0</v>
      </c>
      <c r="Q156" s="14" cm="1">
        <f t="array" ref="Q156">INT(SUMPRODUCT(--ISNUMBER(SEARCH(gun,'Jon Ossoff'!C156)))&gt;0)</f>
        <v>0</v>
      </c>
      <c r="R156" s="14" cm="1">
        <f t="array" ref="R156">INT(SUMPRODUCT(--ISNUMBER(SEARCH(race,'Jon Ossoff'!C156)))&gt;0)</f>
        <v>0</v>
      </c>
      <c r="S156" s="14" cm="1">
        <f t="array" ref="S156">INT(SUMPRODUCT(--ISNUMBER(SEARCH(immigration,C156)))&gt;0)</f>
        <v>0</v>
      </c>
      <c r="T156" s="14" cm="1">
        <f t="array" ref="T156">INT(SUMPRODUCT(--ISNUMBER(SEARCH(econineq,C156)))&gt;0)</f>
        <v>0</v>
      </c>
      <c r="U156" s="14" cm="1">
        <f t="array" ref="U156">INT(SUMPRODUCT(--ISNUMBER(SEARCH(climate,'Jon Ossoff'!C156)))&gt;0)</f>
        <v>0</v>
      </c>
      <c r="V156" s="14" cm="1">
        <f t="array" ref="V156">INT(SUMPRODUCT(--ISNUMBER(SEARCH(abortion,'Jon Ossoff'!C156)))&gt;0)</f>
        <v>0</v>
      </c>
      <c r="W156" s="14" cm="1">
        <f t="array" ref="W156">INT(SUMPRODUCT(--ISNUMBER(SEARCH(trump,'Jon Ossoff'!C156)))&gt;0)</f>
        <v>0</v>
      </c>
      <c r="X156" s="14" cm="1">
        <f t="array" ref="X156">INT(SUMPRODUCT(--ISNUMBER(SEARCH(voting,'Jon Ossoff'!C156)))&gt;0)</f>
        <v>0</v>
      </c>
      <c r="Y156" s="14" cm="1">
        <f t="array" ref="Y156">INT(SUMPRODUCT(--ISNUMBER(SEARCH(democrattrigger,'Jon Ossoff'!C156)))&gt;0)</f>
        <v>1</v>
      </c>
      <c r="Z156" s="14" cm="1">
        <f t="array" ref="Z156">INT(SUMPRODUCT(--ISNUMBER(SEARCH(bipartisan,'Jon Ossoff'!C156)))&gt;0)</f>
        <v>0</v>
      </c>
      <c r="AA156" s="14">
        <f t="shared" si="2"/>
        <v>0</v>
      </c>
      <c r="AB156" s="14"/>
      <c r="AC156" s="30">
        <v>0</v>
      </c>
      <c r="AD156" s="37">
        <v>1</v>
      </c>
    </row>
    <row r="157" spans="1:30" x14ac:dyDescent="0.25">
      <c r="A157" s="36">
        <v>667</v>
      </c>
      <c r="B157" s="14" t="s">
        <v>1361</v>
      </c>
      <c r="C157" s="31" t="s">
        <v>1362</v>
      </c>
      <c r="D157" s="17">
        <v>44122</v>
      </c>
      <c r="E157" s="14" t="s">
        <v>30</v>
      </c>
      <c r="F157" s="14">
        <v>657</v>
      </c>
      <c r="G157" s="14">
        <v>221</v>
      </c>
      <c r="H157" s="14">
        <v>4</v>
      </c>
      <c r="I157" s="14">
        <v>2</v>
      </c>
      <c r="J157" s="14" t="s">
        <v>204</v>
      </c>
      <c r="K157" s="14" cm="1">
        <f t="array" ref="K157">INT(SUMPRODUCT(--ISNUMBER(SEARCH(economy,'Jon Ossoff'!C157)))&gt;0)</f>
        <v>0</v>
      </c>
      <c r="L157" s="14" cm="1">
        <f t="array" ref="L157">INT(SUMPRODUCT(--ISNUMBER(SEARCH(healthcare,'Jon Ossoff'!C157)))&gt;0)</f>
        <v>1</v>
      </c>
      <c r="M157" s="14" cm="1">
        <f t="array" ref="M157">INT(SUMPRODUCT(--ISNUMBER(SEARCH(supreme,'Jon Ossoff'!C157)))&gt;0)</f>
        <v>0</v>
      </c>
      <c r="N157" s="14" cm="1">
        <f t="array" ref="N157">INT(SUMPRODUCT(--ISNUMBER(SEARCH(covid,'Jon Ossoff'!C157)))&gt;0)</f>
        <v>0</v>
      </c>
      <c r="O157" s="14" cm="1">
        <f t="array" ref="O157">INT(SUMPRODUCT(--ISNUMBER(SEARCH(violent,'Jon Ossoff'!C157)))&gt;0)</f>
        <v>0</v>
      </c>
      <c r="P157" s="14" cm="1">
        <f t="array" ref="P157">INT(SUMPRODUCT(--ISNUMBER(SEARCH(foreign,'Jon Ossoff'!C157)))&gt;0)</f>
        <v>0</v>
      </c>
      <c r="Q157" s="14" cm="1">
        <f t="array" ref="Q157">INT(SUMPRODUCT(--ISNUMBER(SEARCH(gun,'Jon Ossoff'!C157)))&gt;0)</f>
        <v>0</v>
      </c>
      <c r="R157" s="14" cm="1">
        <f t="array" ref="R157">INT(SUMPRODUCT(--ISNUMBER(SEARCH(race,'Jon Ossoff'!C157)))&gt;0)</f>
        <v>0</v>
      </c>
      <c r="S157" s="14" cm="1">
        <f t="array" ref="S157">INT(SUMPRODUCT(--ISNUMBER(SEARCH(immigration,C157)))&gt;0)</f>
        <v>0</v>
      </c>
      <c r="T157" s="14" cm="1">
        <f t="array" ref="T157">INT(SUMPRODUCT(--ISNUMBER(SEARCH(econineq,C157)))&gt;0)</f>
        <v>0</v>
      </c>
      <c r="U157" s="14" cm="1">
        <f t="array" ref="U157">INT(SUMPRODUCT(--ISNUMBER(SEARCH(climate,'Jon Ossoff'!C157)))&gt;0)</f>
        <v>0</v>
      </c>
      <c r="V157" s="14" cm="1">
        <f t="array" ref="V157">INT(SUMPRODUCT(--ISNUMBER(SEARCH(abortion,'Jon Ossoff'!C157)))&gt;0)</f>
        <v>0</v>
      </c>
      <c r="W157" s="14" cm="1">
        <f t="array" ref="W157">INT(SUMPRODUCT(--ISNUMBER(SEARCH(trump,'Jon Ossoff'!C157)))&gt;0)</f>
        <v>0</v>
      </c>
      <c r="X157" s="14" cm="1">
        <f t="array" ref="X157">INT(SUMPRODUCT(--ISNUMBER(SEARCH(voting,'Jon Ossoff'!C157)))&gt;0)</f>
        <v>0</v>
      </c>
      <c r="Y157" s="14" cm="1">
        <f t="array" ref="Y157">INT(SUMPRODUCT(--ISNUMBER(SEARCH(democrattrigger,'Jon Ossoff'!C157)))&gt;0)</f>
        <v>0</v>
      </c>
      <c r="Z157" s="14" cm="1">
        <f t="array" ref="Z157">INT(SUMPRODUCT(--ISNUMBER(SEARCH(bipartisan,'Jon Ossoff'!C157)))&gt;0)</f>
        <v>0</v>
      </c>
      <c r="AA157" s="14">
        <f t="shared" si="2"/>
        <v>0</v>
      </c>
      <c r="AB157" s="14"/>
      <c r="AC157" s="30" t="s">
        <v>223</v>
      </c>
      <c r="AD157" s="37" t="s">
        <v>223</v>
      </c>
    </row>
    <row r="158" spans="1:30" x14ac:dyDescent="0.25">
      <c r="A158" s="36">
        <v>668</v>
      </c>
      <c r="B158" s="14" t="s">
        <v>1363</v>
      </c>
      <c r="C158" s="31" t="s">
        <v>1364</v>
      </c>
      <c r="D158" s="17">
        <v>44122</v>
      </c>
      <c r="E158" s="14" t="s">
        <v>30</v>
      </c>
      <c r="F158" s="14">
        <v>4021</v>
      </c>
      <c r="G158" s="14">
        <v>752</v>
      </c>
      <c r="H158" s="14">
        <v>4</v>
      </c>
      <c r="I158" s="14">
        <v>2</v>
      </c>
      <c r="J158" s="14" t="s">
        <v>204</v>
      </c>
      <c r="K158" s="14" cm="1">
        <f t="array" ref="K158">INT(SUMPRODUCT(--ISNUMBER(SEARCH(economy,'Jon Ossoff'!C158)))&gt;0)</f>
        <v>0</v>
      </c>
      <c r="L158" s="14" cm="1">
        <f t="array" ref="L158">INT(SUMPRODUCT(--ISNUMBER(SEARCH(healthcare,'Jon Ossoff'!C158)))&gt;0)</f>
        <v>1</v>
      </c>
      <c r="M158" s="14" cm="1">
        <f t="array" ref="M158">INT(SUMPRODUCT(--ISNUMBER(SEARCH(supreme,'Jon Ossoff'!C158)))&gt;0)</f>
        <v>0</v>
      </c>
      <c r="N158" s="14" cm="1">
        <f t="array" ref="N158">INT(SUMPRODUCT(--ISNUMBER(SEARCH(covid,'Jon Ossoff'!C158)))&gt;0)</f>
        <v>0</v>
      </c>
      <c r="O158" s="14" cm="1">
        <f t="array" ref="O158">INT(SUMPRODUCT(--ISNUMBER(SEARCH(violent,'Jon Ossoff'!C158)))&gt;0)</f>
        <v>0</v>
      </c>
      <c r="P158" s="14" cm="1">
        <f t="array" ref="P158">INT(SUMPRODUCT(--ISNUMBER(SEARCH(foreign,'Jon Ossoff'!C158)))&gt;0)</f>
        <v>0</v>
      </c>
      <c r="Q158" s="14" cm="1">
        <f t="array" ref="Q158">INT(SUMPRODUCT(--ISNUMBER(SEARCH(gun,'Jon Ossoff'!C158)))&gt;0)</f>
        <v>0</v>
      </c>
      <c r="R158" s="14" cm="1">
        <f t="array" ref="R158">INT(SUMPRODUCT(--ISNUMBER(SEARCH(race,'Jon Ossoff'!C158)))&gt;0)</f>
        <v>0</v>
      </c>
      <c r="S158" s="14" cm="1">
        <f t="array" ref="S158">INT(SUMPRODUCT(--ISNUMBER(SEARCH(immigration,C158)))&gt;0)</f>
        <v>0</v>
      </c>
      <c r="T158" s="14" cm="1">
        <f t="array" ref="T158">INT(SUMPRODUCT(--ISNUMBER(SEARCH(econineq,C158)))&gt;0)</f>
        <v>0</v>
      </c>
      <c r="U158" s="14" cm="1">
        <f t="array" ref="U158">INT(SUMPRODUCT(--ISNUMBER(SEARCH(climate,'Jon Ossoff'!C158)))&gt;0)</f>
        <v>0</v>
      </c>
      <c r="V158" s="14" cm="1">
        <f t="array" ref="V158">INT(SUMPRODUCT(--ISNUMBER(SEARCH(abortion,'Jon Ossoff'!C158)))&gt;0)</f>
        <v>0</v>
      </c>
      <c r="W158" s="14" cm="1">
        <f t="array" ref="W158">INT(SUMPRODUCT(--ISNUMBER(SEARCH(trump,'Jon Ossoff'!C158)))&gt;0)</f>
        <v>0</v>
      </c>
      <c r="X158" s="14" cm="1">
        <f t="array" ref="X158">INT(SUMPRODUCT(--ISNUMBER(SEARCH(voting,'Jon Ossoff'!C158)))&gt;0)</f>
        <v>0</v>
      </c>
      <c r="Y158" s="14" cm="1">
        <f t="array" ref="Y158">INT(SUMPRODUCT(--ISNUMBER(SEARCH(democrattrigger,'Jon Ossoff'!C158)))&gt;0)</f>
        <v>0</v>
      </c>
      <c r="Z158" s="14" cm="1">
        <f t="array" ref="Z158">INT(SUMPRODUCT(--ISNUMBER(SEARCH(bipartisan,'Jon Ossoff'!C158)))&gt;0)</f>
        <v>0</v>
      </c>
      <c r="AA158" s="14">
        <f t="shared" si="2"/>
        <v>0</v>
      </c>
      <c r="AB158" s="14"/>
      <c r="AC158" s="30">
        <v>1</v>
      </c>
      <c r="AD158" s="37">
        <v>0</v>
      </c>
    </row>
    <row r="159" spans="1:30" x14ac:dyDescent="0.25">
      <c r="A159" s="36">
        <v>669</v>
      </c>
      <c r="B159" s="14" t="s">
        <v>1365</v>
      </c>
      <c r="C159" s="31" t="s">
        <v>1366</v>
      </c>
      <c r="D159" s="17">
        <v>44122</v>
      </c>
      <c r="E159" s="14" t="s">
        <v>30</v>
      </c>
      <c r="F159" s="14">
        <v>2238</v>
      </c>
      <c r="G159" s="14">
        <v>691</v>
      </c>
      <c r="H159" s="14">
        <v>4</v>
      </c>
      <c r="I159" s="14">
        <v>2</v>
      </c>
      <c r="J159" s="14" t="s">
        <v>204</v>
      </c>
      <c r="K159" s="14" cm="1">
        <f t="array" ref="K159">INT(SUMPRODUCT(--ISNUMBER(SEARCH(economy,'Jon Ossoff'!C159)))&gt;0)</f>
        <v>0</v>
      </c>
      <c r="L159" s="14" cm="1">
        <f t="array" ref="L159">INT(SUMPRODUCT(--ISNUMBER(SEARCH(healthcare,'Jon Ossoff'!C159)))&gt;0)</f>
        <v>0</v>
      </c>
      <c r="M159" s="14" cm="1">
        <f t="array" ref="M159">INT(SUMPRODUCT(--ISNUMBER(SEARCH(supreme,'Jon Ossoff'!C159)))&gt;0)</f>
        <v>0</v>
      </c>
      <c r="N159" s="14" cm="1">
        <f t="array" ref="N159">INT(SUMPRODUCT(--ISNUMBER(SEARCH(covid,'Jon Ossoff'!C159)))&gt;0)</f>
        <v>0</v>
      </c>
      <c r="O159" s="14" cm="1">
        <f t="array" ref="O159">INT(SUMPRODUCT(--ISNUMBER(SEARCH(violent,'Jon Ossoff'!C159)))&gt;0)</f>
        <v>0</v>
      </c>
      <c r="P159" s="14" cm="1">
        <f t="array" ref="P159">INT(SUMPRODUCT(--ISNUMBER(SEARCH(foreign,'Jon Ossoff'!C159)))&gt;0)</f>
        <v>0</v>
      </c>
      <c r="Q159" s="14" cm="1">
        <f t="array" ref="Q159">INT(SUMPRODUCT(--ISNUMBER(SEARCH(gun,'Jon Ossoff'!C159)))&gt;0)</f>
        <v>0</v>
      </c>
      <c r="R159" s="14" cm="1">
        <f t="array" ref="R159">INT(SUMPRODUCT(--ISNUMBER(SEARCH(race,'Jon Ossoff'!C159)))&gt;0)</f>
        <v>0</v>
      </c>
      <c r="S159" s="14" cm="1">
        <f t="array" ref="S159">INT(SUMPRODUCT(--ISNUMBER(SEARCH(immigration,C159)))&gt;0)</f>
        <v>0</v>
      </c>
      <c r="T159" s="14" cm="1">
        <f t="array" ref="T159">INT(SUMPRODUCT(--ISNUMBER(SEARCH(econineq,C159)))&gt;0)</f>
        <v>0</v>
      </c>
      <c r="U159" s="14" cm="1">
        <f t="array" ref="U159">INT(SUMPRODUCT(--ISNUMBER(SEARCH(climate,'Jon Ossoff'!C159)))&gt;0)</f>
        <v>0</v>
      </c>
      <c r="V159" s="14" cm="1">
        <f t="array" ref="V159">INT(SUMPRODUCT(--ISNUMBER(SEARCH(abortion,'Jon Ossoff'!C159)))&gt;0)</f>
        <v>0</v>
      </c>
      <c r="W159" s="14" cm="1">
        <f t="array" ref="W159">INT(SUMPRODUCT(--ISNUMBER(SEARCH(trump,'Jon Ossoff'!C159)))&gt;0)</f>
        <v>0</v>
      </c>
      <c r="X159" s="14" cm="1">
        <f t="array" ref="X159">INT(SUMPRODUCT(--ISNUMBER(SEARCH(voting,'Jon Ossoff'!C159)))&gt;0)</f>
        <v>1</v>
      </c>
      <c r="Y159" s="14" cm="1">
        <f t="array" ref="Y159">INT(SUMPRODUCT(--ISNUMBER(SEARCH(democrattrigger,'Jon Ossoff'!C159)))&gt;0)</f>
        <v>0</v>
      </c>
      <c r="Z159" s="14" cm="1">
        <f t="array" ref="Z159">INT(SUMPRODUCT(--ISNUMBER(SEARCH(bipartisan,'Jon Ossoff'!C159)))&gt;0)</f>
        <v>0</v>
      </c>
      <c r="AA159" s="14">
        <f t="shared" si="2"/>
        <v>0</v>
      </c>
      <c r="AB159" s="14"/>
      <c r="AC159" s="30">
        <v>0</v>
      </c>
      <c r="AD159" s="37">
        <v>1</v>
      </c>
    </row>
    <row r="160" spans="1:30" x14ac:dyDescent="0.25">
      <c r="A160" s="36">
        <v>670</v>
      </c>
      <c r="B160" s="14" t="s">
        <v>1367</v>
      </c>
      <c r="C160" s="31" t="s">
        <v>1368</v>
      </c>
      <c r="D160" s="17">
        <v>44122</v>
      </c>
      <c r="E160" s="14" t="s">
        <v>30</v>
      </c>
      <c r="F160" s="14">
        <v>490</v>
      </c>
      <c r="G160" s="14">
        <v>255</v>
      </c>
      <c r="H160" s="14">
        <v>4</v>
      </c>
      <c r="I160" s="14">
        <v>2</v>
      </c>
      <c r="J160" s="14" t="s">
        <v>204</v>
      </c>
      <c r="K160" s="14" cm="1">
        <f t="array" ref="K160">INT(SUMPRODUCT(--ISNUMBER(SEARCH(economy,'Jon Ossoff'!C160)))&gt;0)</f>
        <v>0</v>
      </c>
      <c r="L160" s="14" cm="1">
        <f t="array" ref="L160">INT(SUMPRODUCT(--ISNUMBER(SEARCH(healthcare,'Jon Ossoff'!C160)))&gt;0)</f>
        <v>0</v>
      </c>
      <c r="M160" s="14" cm="1">
        <f t="array" ref="M160">INT(SUMPRODUCT(--ISNUMBER(SEARCH(supreme,'Jon Ossoff'!C160)))&gt;0)</f>
        <v>0</v>
      </c>
      <c r="N160" s="14" cm="1">
        <f t="array" ref="N160">INT(SUMPRODUCT(--ISNUMBER(SEARCH(covid,'Jon Ossoff'!C160)))&gt;0)</f>
        <v>0</v>
      </c>
      <c r="O160" s="14" cm="1">
        <f t="array" ref="O160">INT(SUMPRODUCT(--ISNUMBER(SEARCH(violent,'Jon Ossoff'!C160)))&gt;0)</f>
        <v>0</v>
      </c>
      <c r="P160" s="14" cm="1">
        <f t="array" ref="P160">INT(SUMPRODUCT(--ISNUMBER(SEARCH(foreign,'Jon Ossoff'!C160)))&gt;0)</f>
        <v>0</v>
      </c>
      <c r="Q160" s="14" cm="1">
        <f t="array" ref="Q160">INT(SUMPRODUCT(--ISNUMBER(SEARCH(gun,'Jon Ossoff'!C160)))&gt;0)</f>
        <v>0</v>
      </c>
      <c r="R160" s="14" cm="1">
        <f t="array" ref="R160">INT(SUMPRODUCT(--ISNUMBER(SEARCH(race,'Jon Ossoff'!C160)))&gt;0)</f>
        <v>0</v>
      </c>
      <c r="S160" s="14" cm="1">
        <f t="array" ref="S160">INT(SUMPRODUCT(--ISNUMBER(SEARCH(immigration,C160)))&gt;0)</f>
        <v>0</v>
      </c>
      <c r="T160" s="14" cm="1">
        <f t="array" ref="T160">INT(SUMPRODUCT(--ISNUMBER(SEARCH(econineq,C160)))&gt;0)</f>
        <v>0</v>
      </c>
      <c r="U160" s="14" cm="1">
        <f t="array" ref="U160">INT(SUMPRODUCT(--ISNUMBER(SEARCH(climate,'Jon Ossoff'!C160)))&gt;0)</f>
        <v>1</v>
      </c>
      <c r="V160" s="14" cm="1">
        <f t="array" ref="V160">INT(SUMPRODUCT(--ISNUMBER(SEARCH(abortion,'Jon Ossoff'!C160)))&gt;0)</f>
        <v>0</v>
      </c>
      <c r="W160" s="14" cm="1">
        <f t="array" ref="W160">INT(SUMPRODUCT(--ISNUMBER(SEARCH(trump,'Jon Ossoff'!C160)))&gt;0)</f>
        <v>0</v>
      </c>
      <c r="X160" s="14" cm="1">
        <f t="array" ref="X160">INT(SUMPRODUCT(--ISNUMBER(SEARCH(voting,'Jon Ossoff'!C160)))&gt;0)</f>
        <v>1</v>
      </c>
      <c r="Y160" s="14" cm="1">
        <f t="array" ref="Y160">INT(SUMPRODUCT(--ISNUMBER(SEARCH(democrattrigger,'Jon Ossoff'!C160)))&gt;0)</f>
        <v>0</v>
      </c>
      <c r="Z160" s="14" cm="1">
        <f t="array" ref="Z160">INT(SUMPRODUCT(--ISNUMBER(SEARCH(bipartisan,'Jon Ossoff'!C160)))&gt;0)</f>
        <v>0</v>
      </c>
      <c r="AA160" s="14">
        <f t="shared" si="2"/>
        <v>0</v>
      </c>
      <c r="AB160" s="14"/>
      <c r="AC160" s="30" t="s">
        <v>223</v>
      </c>
      <c r="AD160" s="37" t="s">
        <v>223</v>
      </c>
    </row>
    <row r="161" spans="1:30" x14ac:dyDescent="0.25">
      <c r="A161" s="36">
        <v>671</v>
      </c>
      <c r="B161" s="14" t="s">
        <v>1369</v>
      </c>
      <c r="C161" s="31" t="s">
        <v>1370</v>
      </c>
      <c r="D161" s="17">
        <v>44122</v>
      </c>
      <c r="E161" s="14" t="s">
        <v>30</v>
      </c>
      <c r="F161" s="14">
        <v>3605</v>
      </c>
      <c r="G161" s="14">
        <v>824</v>
      </c>
      <c r="H161" s="14">
        <v>4</v>
      </c>
      <c r="I161" s="14">
        <v>2</v>
      </c>
      <c r="J161" s="14" t="s">
        <v>204</v>
      </c>
      <c r="K161" s="14" cm="1">
        <f t="array" ref="K161">INT(SUMPRODUCT(--ISNUMBER(SEARCH(economy,'Jon Ossoff'!C161)))&gt;0)</f>
        <v>0</v>
      </c>
      <c r="L161" s="14" cm="1">
        <f t="array" ref="L161">INT(SUMPRODUCT(--ISNUMBER(SEARCH(healthcare,'Jon Ossoff'!C161)))&gt;0)</f>
        <v>0</v>
      </c>
      <c r="M161" s="14" cm="1">
        <f t="array" ref="M161">INT(SUMPRODUCT(--ISNUMBER(SEARCH(supreme,'Jon Ossoff'!C161)))&gt;0)</f>
        <v>0</v>
      </c>
      <c r="N161" s="14" cm="1">
        <f t="array" ref="N161">INT(SUMPRODUCT(--ISNUMBER(SEARCH(covid,'Jon Ossoff'!C161)))&gt;0)</f>
        <v>0</v>
      </c>
      <c r="O161" s="14" cm="1">
        <f t="array" ref="O161">INT(SUMPRODUCT(--ISNUMBER(SEARCH(violent,'Jon Ossoff'!C161)))&gt;0)</f>
        <v>0</v>
      </c>
      <c r="P161" s="14" cm="1">
        <f t="array" ref="P161">INT(SUMPRODUCT(--ISNUMBER(SEARCH(foreign,'Jon Ossoff'!C161)))&gt;0)</f>
        <v>0</v>
      </c>
      <c r="Q161" s="14" cm="1">
        <f t="array" ref="Q161">INT(SUMPRODUCT(--ISNUMBER(SEARCH(gun,'Jon Ossoff'!C161)))&gt;0)</f>
        <v>0</v>
      </c>
      <c r="R161" s="14" cm="1">
        <f t="array" ref="R161">INT(SUMPRODUCT(--ISNUMBER(SEARCH(race,'Jon Ossoff'!C161)))&gt;0)</f>
        <v>0</v>
      </c>
      <c r="S161" s="14" cm="1">
        <f t="array" ref="S161">INT(SUMPRODUCT(--ISNUMBER(SEARCH(immigration,C161)))&gt;0)</f>
        <v>0</v>
      </c>
      <c r="T161" s="14" cm="1">
        <f t="array" ref="T161">INT(SUMPRODUCT(--ISNUMBER(SEARCH(econineq,C161)))&gt;0)</f>
        <v>0</v>
      </c>
      <c r="U161" s="14" cm="1">
        <f t="array" ref="U161">INT(SUMPRODUCT(--ISNUMBER(SEARCH(climate,'Jon Ossoff'!C161)))&gt;0)</f>
        <v>0</v>
      </c>
      <c r="V161" s="14" cm="1">
        <f t="array" ref="V161">INT(SUMPRODUCT(--ISNUMBER(SEARCH(abortion,'Jon Ossoff'!C161)))&gt;0)</f>
        <v>0</v>
      </c>
      <c r="W161" s="14" cm="1">
        <f t="array" ref="W161">INT(SUMPRODUCT(--ISNUMBER(SEARCH(trump,'Jon Ossoff'!C161)))&gt;0)</f>
        <v>0</v>
      </c>
      <c r="X161" s="14" cm="1">
        <f t="array" ref="X161">INT(SUMPRODUCT(--ISNUMBER(SEARCH(voting,'Jon Ossoff'!C161)))&gt;0)</f>
        <v>1</v>
      </c>
      <c r="Y161" s="14" cm="1">
        <f t="array" ref="Y161">INT(SUMPRODUCT(--ISNUMBER(SEARCH(democrattrigger,'Jon Ossoff'!C161)))&gt;0)</f>
        <v>0</v>
      </c>
      <c r="Z161" s="14" cm="1">
        <f t="array" ref="Z161">INT(SUMPRODUCT(--ISNUMBER(SEARCH(bipartisan,'Jon Ossoff'!C161)))&gt;0)</f>
        <v>0</v>
      </c>
      <c r="AA161" s="14">
        <f t="shared" si="2"/>
        <v>0</v>
      </c>
      <c r="AB161" s="14"/>
      <c r="AC161" s="30" t="s">
        <v>223</v>
      </c>
      <c r="AD161" s="37" t="s">
        <v>223</v>
      </c>
    </row>
    <row r="162" spans="1:30" x14ac:dyDescent="0.25">
      <c r="A162" s="36">
        <v>672</v>
      </c>
      <c r="B162" s="14" t="s">
        <v>1371</v>
      </c>
      <c r="C162" s="31" t="s">
        <v>1372</v>
      </c>
      <c r="D162" s="17">
        <v>44122</v>
      </c>
      <c r="E162" s="14" t="s">
        <v>70</v>
      </c>
      <c r="F162" s="14">
        <v>1025</v>
      </c>
      <c r="G162" s="14">
        <v>450</v>
      </c>
      <c r="H162" s="14">
        <v>4</v>
      </c>
      <c r="I162" s="14">
        <v>2</v>
      </c>
      <c r="J162" s="14" t="s">
        <v>204</v>
      </c>
      <c r="K162" s="14" cm="1">
        <f t="array" ref="K162">INT(SUMPRODUCT(--ISNUMBER(SEARCH(economy,'Jon Ossoff'!C162)))&gt;0)</f>
        <v>0</v>
      </c>
      <c r="L162" s="14" cm="1">
        <f t="array" ref="L162">INT(SUMPRODUCT(--ISNUMBER(SEARCH(healthcare,'Jon Ossoff'!C162)))&gt;0)</f>
        <v>0</v>
      </c>
      <c r="M162" s="14" cm="1">
        <f t="array" ref="M162">INT(SUMPRODUCT(--ISNUMBER(SEARCH(supreme,'Jon Ossoff'!C162)))&gt;0)</f>
        <v>0</v>
      </c>
      <c r="N162" s="14" cm="1">
        <f t="array" ref="N162">INT(SUMPRODUCT(--ISNUMBER(SEARCH(covid,'Jon Ossoff'!C162)))&gt;0)</f>
        <v>0</v>
      </c>
      <c r="O162" s="14" cm="1">
        <f t="array" ref="O162">INT(SUMPRODUCT(--ISNUMBER(SEARCH(violent,'Jon Ossoff'!C162)))&gt;0)</f>
        <v>0</v>
      </c>
      <c r="P162" s="14" cm="1">
        <f t="array" ref="P162">INT(SUMPRODUCT(--ISNUMBER(SEARCH(foreign,'Jon Ossoff'!C162)))&gt;0)</f>
        <v>0</v>
      </c>
      <c r="Q162" s="14" cm="1">
        <f t="array" ref="Q162">INT(SUMPRODUCT(--ISNUMBER(SEARCH(gun,'Jon Ossoff'!C162)))&gt;0)</f>
        <v>0</v>
      </c>
      <c r="R162" s="14" cm="1">
        <f t="array" ref="R162">INT(SUMPRODUCT(--ISNUMBER(SEARCH(race,'Jon Ossoff'!C162)))&gt;0)</f>
        <v>0</v>
      </c>
      <c r="S162" s="14" cm="1">
        <f t="array" ref="S162">INT(SUMPRODUCT(--ISNUMBER(SEARCH(immigration,C162)))&gt;0)</f>
        <v>0</v>
      </c>
      <c r="T162" s="14" cm="1">
        <f t="array" ref="T162">INT(SUMPRODUCT(--ISNUMBER(SEARCH(econineq,C162)))&gt;0)</f>
        <v>0</v>
      </c>
      <c r="U162" s="14" cm="1">
        <f t="array" ref="U162">INT(SUMPRODUCT(--ISNUMBER(SEARCH(climate,'Jon Ossoff'!C162)))&gt;0)</f>
        <v>0</v>
      </c>
      <c r="V162" s="14" cm="1">
        <f t="array" ref="V162">INT(SUMPRODUCT(--ISNUMBER(SEARCH(abortion,'Jon Ossoff'!C162)))&gt;0)</f>
        <v>0</v>
      </c>
      <c r="W162" s="14" cm="1">
        <f t="array" ref="W162">INT(SUMPRODUCT(--ISNUMBER(SEARCH(trump,'Jon Ossoff'!C162)))&gt;0)</f>
        <v>0</v>
      </c>
      <c r="X162" s="14" cm="1">
        <f t="array" ref="X162">INT(SUMPRODUCT(--ISNUMBER(SEARCH(voting,'Jon Ossoff'!C162)))&gt;0)</f>
        <v>0</v>
      </c>
      <c r="Y162" s="14" cm="1">
        <f t="array" ref="Y162">INT(SUMPRODUCT(--ISNUMBER(SEARCH(democrattrigger,'Jon Ossoff'!C162)))&gt;0)</f>
        <v>0</v>
      </c>
      <c r="Z162" s="14" cm="1">
        <f t="array" ref="Z162">INT(SUMPRODUCT(--ISNUMBER(SEARCH(bipartisan,'Jon Ossoff'!C162)))&gt;0)</f>
        <v>0</v>
      </c>
      <c r="AA162" s="14">
        <f t="shared" si="2"/>
        <v>1</v>
      </c>
      <c r="AB162" s="14"/>
      <c r="AC162" s="30" t="s">
        <v>223</v>
      </c>
      <c r="AD162" s="37" t="s">
        <v>223</v>
      </c>
    </row>
    <row r="163" spans="1:30" x14ac:dyDescent="0.25">
      <c r="A163" s="36">
        <v>673</v>
      </c>
      <c r="B163" s="14" t="s">
        <v>1373</v>
      </c>
      <c r="C163" s="31" t="s">
        <v>1374</v>
      </c>
      <c r="D163" s="17">
        <v>44122</v>
      </c>
      <c r="E163" s="14" t="s">
        <v>30</v>
      </c>
      <c r="F163" s="14">
        <v>2173</v>
      </c>
      <c r="G163" s="14">
        <v>836</v>
      </c>
      <c r="H163" s="14">
        <v>4</v>
      </c>
      <c r="I163" s="14">
        <v>2</v>
      </c>
      <c r="J163" s="14" t="s">
        <v>204</v>
      </c>
      <c r="K163" s="14" cm="1">
        <f t="array" ref="K163">INT(SUMPRODUCT(--ISNUMBER(SEARCH(economy,'Jon Ossoff'!C163)))&gt;0)</f>
        <v>0</v>
      </c>
      <c r="L163" s="14" cm="1">
        <f t="array" ref="L163">INT(SUMPRODUCT(--ISNUMBER(SEARCH(healthcare,'Jon Ossoff'!C163)))&gt;0)</f>
        <v>0</v>
      </c>
      <c r="M163" s="14" cm="1">
        <f t="array" ref="M163">INT(SUMPRODUCT(--ISNUMBER(SEARCH(supreme,'Jon Ossoff'!C163)))&gt;0)</f>
        <v>0</v>
      </c>
      <c r="N163" s="14" cm="1">
        <f t="array" ref="N163">INT(SUMPRODUCT(--ISNUMBER(SEARCH(covid,'Jon Ossoff'!C163)))&gt;0)</f>
        <v>0</v>
      </c>
      <c r="O163" s="14" cm="1">
        <f t="array" ref="O163">INT(SUMPRODUCT(--ISNUMBER(SEARCH(violent,'Jon Ossoff'!C163)))&gt;0)</f>
        <v>0</v>
      </c>
      <c r="P163" s="14" cm="1">
        <f t="array" ref="P163">INT(SUMPRODUCT(--ISNUMBER(SEARCH(foreign,'Jon Ossoff'!C163)))&gt;0)</f>
        <v>1</v>
      </c>
      <c r="Q163" s="14" cm="1">
        <f t="array" ref="Q163">INT(SUMPRODUCT(--ISNUMBER(SEARCH(gun,'Jon Ossoff'!C163)))&gt;0)</f>
        <v>0</v>
      </c>
      <c r="R163" s="14" cm="1">
        <f t="array" ref="R163">INT(SUMPRODUCT(--ISNUMBER(SEARCH(race,'Jon Ossoff'!C163)))&gt;0)</f>
        <v>0</v>
      </c>
      <c r="S163" s="14" cm="1">
        <f t="array" ref="S163">INT(SUMPRODUCT(--ISNUMBER(SEARCH(immigration,C163)))&gt;0)</f>
        <v>0</v>
      </c>
      <c r="T163" s="14" cm="1">
        <f t="array" ref="T163">INT(SUMPRODUCT(--ISNUMBER(SEARCH(econineq,C163)))&gt;0)</f>
        <v>0</v>
      </c>
      <c r="U163" s="14" cm="1">
        <f t="array" ref="U163">INT(SUMPRODUCT(--ISNUMBER(SEARCH(climate,'Jon Ossoff'!C163)))&gt;0)</f>
        <v>0</v>
      </c>
      <c r="V163" s="14" cm="1">
        <f t="array" ref="V163">INT(SUMPRODUCT(--ISNUMBER(SEARCH(abortion,'Jon Ossoff'!C163)))&gt;0)</f>
        <v>0</v>
      </c>
      <c r="W163" s="14" cm="1">
        <f t="array" ref="W163">INT(SUMPRODUCT(--ISNUMBER(SEARCH(trump,'Jon Ossoff'!C163)))&gt;0)</f>
        <v>0</v>
      </c>
      <c r="X163" s="14" cm="1">
        <f t="array" ref="X163">INT(SUMPRODUCT(--ISNUMBER(SEARCH(voting,'Jon Ossoff'!C163)))&gt;0)</f>
        <v>0</v>
      </c>
      <c r="Y163" s="14" cm="1">
        <f t="array" ref="Y163">INT(SUMPRODUCT(--ISNUMBER(SEARCH(democrattrigger,'Jon Ossoff'!C163)))&gt;0)</f>
        <v>1</v>
      </c>
      <c r="Z163" s="14" cm="1">
        <f t="array" ref="Z163">INT(SUMPRODUCT(--ISNUMBER(SEARCH(bipartisan,'Jon Ossoff'!C163)))&gt;0)</f>
        <v>0</v>
      </c>
      <c r="AA163" s="14">
        <f t="shared" si="2"/>
        <v>0</v>
      </c>
      <c r="AB163" s="14"/>
      <c r="AC163" s="30">
        <v>0</v>
      </c>
      <c r="AD163" s="37">
        <v>1</v>
      </c>
    </row>
    <row r="164" spans="1:30" x14ac:dyDescent="0.25">
      <c r="A164" s="36">
        <v>674</v>
      </c>
      <c r="B164" s="14" t="s">
        <v>1375</v>
      </c>
      <c r="C164" s="31" t="s">
        <v>1376</v>
      </c>
      <c r="D164" s="17">
        <v>44121</v>
      </c>
      <c r="E164" s="14" t="s">
        <v>30</v>
      </c>
      <c r="F164" s="14">
        <v>8531</v>
      </c>
      <c r="G164" s="14">
        <v>1556</v>
      </c>
      <c r="H164" s="14">
        <v>4</v>
      </c>
      <c r="I164" s="14">
        <v>2</v>
      </c>
      <c r="J164" s="14" t="s">
        <v>204</v>
      </c>
      <c r="K164" s="14" cm="1">
        <f t="array" ref="K164">INT(SUMPRODUCT(--ISNUMBER(SEARCH(economy,'Jon Ossoff'!C164)))&gt;0)</f>
        <v>0</v>
      </c>
      <c r="L164" s="14" cm="1">
        <f t="array" ref="L164">INT(SUMPRODUCT(--ISNUMBER(SEARCH(healthcare,'Jon Ossoff'!C164)))&gt;0)</f>
        <v>0</v>
      </c>
      <c r="M164" s="14" cm="1">
        <f t="array" ref="M164">INT(SUMPRODUCT(--ISNUMBER(SEARCH(supreme,'Jon Ossoff'!C164)))&gt;0)</f>
        <v>0</v>
      </c>
      <c r="N164" s="14" cm="1">
        <f t="array" ref="N164">INT(SUMPRODUCT(--ISNUMBER(SEARCH(covid,'Jon Ossoff'!C164)))&gt;0)</f>
        <v>0</v>
      </c>
      <c r="O164" s="14" cm="1">
        <f t="array" ref="O164">INT(SUMPRODUCT(--ISNUMBER(SEARCH(violent,'Jon Ossoff'!C164)))&gt;0)</f>
        <v>0</v>
      </c>
      <c r="P164" s="14" cm="1">
        <f t="array" ref="P164">INT(SUMPRODUCT(--ISNUMBER(SEARCH(foreign,'Jon Ossoff'!C164)))&gt;0)</f>
        <v>0</v>
      </c>
      <c r="Q164" s="14" cm="1">
        <f t="array" ref="Q164">INT(SUMPRODUCT(--ISNUMBER(SEARCH(gun,'Jon Ossoff'!C164)))&gt;0)</f>
        <v>0</v>
      </c>
      <c r="R164" s="14" cm="1">
        <f t="array" ref="R164">INT(SUMPRODUCT(--ISNUMBER(SEARCH(race,'Jon Ossoff'!C164)))&gt;0)</f>
        <v>0</v>
      </c>
      <c r="S164" s="14" cm="1">
        <f t="array" ref="S164">INT(SUMPRODUCT(--ISNUMBER(SEARCH(immigration,C164)))&gt;0)</f>
        <v>0</v>
      </c>
      <c r="T164" s="14" cm="1">
        <f t="array" ref="T164">INT(SUMPRODUCT(--ISNUMBER(SEARCH(econineq,C164)))&gt;0)</f>
        <v>0</v>
      </c>
      <c r="U164" s="14" cm="1">
        <f t="array" ref="U164">INT(SUMPRODUCT(--ISNUMBER(SEARCH(climate,'Jon Ossoff'!C164)))&gt;0)</f>
        <v>0</v>
      </c>
      <c r="V164" s="14" cm="1">
        <f t="array" ref="V164">INT(SUMPRODUCT(--ISNUMBER(SEARCH(abortion,'Jon Ossoff'!C164)))&gt;0)</f>
        <v>0</v>
      </c>
      <c r="W164" s="14" cm="1">
        <f t="array" ref="W164">INT(SUMPRODUCT(--ISNUMBER(SEARCH(trump,'Jon Ossoff'!C164)))&gt;0)</f>
        <v>0</v>
      </c>
      <c r="X164" s="14" cm="1">
        <f t="array" ref="X164">INT(SUMPRODUCT(--ISNUMBER(SEARCH(voting,'Jon Ossoff'!C164)))&gt;0)</f>
        <v>1</v>
      </c>
      <c r="Y164" s="14" cm="1">
        <f t="array" ref="Y164">INT(SUMPRODUCT(--ISNUMBER(SEARCH(democrattrigger,'Jon Ossoff'!C164)))&gt;0)</f>
        <v>0</v>
      </c>
      <c r="Z164" s="14" cm="1">
        <f t="array" ref="Z164">INT(SUMPRODUCT(--ISNUMBER(SEARCH(bipartisan,'Jon Ossoff'!C164)))&gt;0)</f>
        <v>0</v>
      </c>
      <c r="AA164" s="14">
        <f t="shared" si="2"/>
        <v>0</v>
      </c>
      <c r="AB164" s="14"/>
      <c r="AC164" s="30">
        <v>0</v>
      </c>
      <c r="AD164" s="37">
        <v>1</v>
      </c>
    </row>
    <row r="165" spans="1:30" x14ac:dyDescent="0.25">
      <c r="A165" s="36">
        <v>675</v>
      </c>
      <c r="B165" s="14" t="s">
        <v>1377</v>
      </c>
      <c r="C165" s="31" t="s">
        <v>1378</v>
      </c>
      <c r="D165" s="17">
        <v>44121</v>
      </c>
      <c r="E165" s="14" t="s">
        <v>30</v>
      </c>
      <c r="F165" s="14">
        <v>2268</v>
      </c>
      <c r="G165" s="14">
        <v>480</v>
      </c>
      <c r="H165" s="14">
        <v>4</v>
      </c>
      <c r="I165" s="14">
        <v>2</v>
      </c>
      <c r="J165" s="14" t="s">
        <v>204</v>
      </c>
      <c r="K165" s="14" cm="1">
        <f t="array" ref="K165">INT(SUMPRODUCT(--ISNUMBER(SEARCH(economy,'Jon Ossoff'!C165)))&gt;0)</f>
        <v>0</v>
      </c>
      <c r="L165" s="14" cm="1">
        <f t="array" ref="L165">INT(SUMPRODUCT(--ISNUMBER(SEARCH(healthcare,'Jon Ossoff'!C165)))&gt;0)</f>
        <v>0</v>
      </c>
      <c r="M165" s="14" cm="1">
        <f t="array" ref="M165">INT(SUMPRODUCT(--ISNUMBER(SEARCH(supreme,'Jon Ossoff'!C165)))&gt;0)</f>
        <v>0</v>
      </c>
      <c r="N165" s="14" cm="1">
        <f t="array" ref="N165">INT(SUMPRODUCT(--ISNUMBER(SEARCH(covid,'Jon Ossoff'!C165)))&gt;0)</f>
        <v>0</v>
      </c>
      <c r="O165" s="14" cm="1">
        <f t="array" ref="O165">INT(SUMPRODUCT(--ISNUMBER(SEARCH(violent,'Jon Ossoff'!C165)))&gt;0)</f>
        <v>0</v>
      </c>
      <c r="P165" s="14" cm="1">
        <f t="array" ref="P165">INT(SUMPRODUCT(--ISNUMBER(SEARCH(foreign,'Jon Ossoff'!C165)))&gt;0)</f>
        <v>0</v>
      </c>
      <c r="Q165" s="14" cm="1">
        <f t="array" ref="Q165">INT(SUMPRODUCT(--ISNUMBER(SEARCH(gun,'Jon Ossoff'!C165)))&gt;0)</f>
        <v>0</v>
      </c>
      <c r="R165" s="14" cm="1">
        <f t="array" ref="R165">INT(SUMPRODUCT(--ISNUMBER(SEARCH(race,'Jon Ossoff'!C165)))&gt;0)</f>
        <v>0</v>
      </c>
      <c r="S165" s="14" cm="1">
        <f t="array" ref="S165">INT(SUMPRODUCT(--ISNUMBER(SEARCH(immigration,C165)))&gt;0)</f>
        <v>0</v>
      </c>
      <c r="T165" s="14" cm="1">
        <f t="array" ref="T165">INT(SUMPRODUCT(--ISNUMBER(SEARCH(econineq,C165)))&gt;0)</f>
        <v>0</v>
      </c>
      <c r="U165" s="14" cm="1">
        <f t="array" ref="U165">INT(SUMPRODUCT(--ISNUMBER(SEARCH(climate,'Jon Ossoff'!C165)))&gt;0)</f>
        <v>0</v>
      </c>
      <c r="V165" s="14" cm="1">
        <f t="array" ref="V165">INT(SUMPRODUCT(--ISNUMBER(SEARCH(abortion,'Jon Ossoff'!C165)))&gt;0)</f>
        <v>0</v>
      </c>
      <c r="W165" s="14" cm="1">
        <f t="array" ref="W165">INT(SUMPRODUCT(--ISNUMBER(SEARCH(trump,'Jon Ossoff'!C165)))&gt;0)</f>
        <v>0</v>
      </c>
      <c r="X165" s="14" cm="1">
        <f t="array" ref="X165">INT(SUMPRODUCT(--ISNUMBER(SEARCH(voting,'Jon Ossoff'!C165)))&gt;0)</f>
        <v>1</v>
      </c>
      <c r="Y165" s="14" cm="1">
        <f t="array" ref="Y165">INT(SUMPRODUCT(--ISNUMBER(SEARCH(democrattrigger,'Jon Ossoff'!C165)))&gt;0)</f>
        <v>0</v>
      </c>
      <c r="Z165" s="14" cm="1">
        <f t="array" ref="Z165">INT(SUMPRODUCT(--ISNUMBER(SEARCH(bipartisan,'Jon Ossoff'!C165)))&gt;0)</f>
        <v>0</v>
      </c>
      <c r="AA165" s="14">
        <f t="shared" si="2"/>
        <v>0</v>
      </c>
      <c r="AB165" s="14"/>
      <c r="AC165" s="30">
        <v>1</v>
      </c>
      <c r="AD165" s="37">
        <v>0</v>
      </c>
    </row>
    <row r="166" spans="1:30" x14ac:dyDescent="0.25">
      <c r="A166" s="36">
        <v>676</v>
      </c>
      <c r="B166" s="14" t="s">
        <v>1379</v>
      </c>
      <c r="C166" s="31" t="s">
        <v>1380</v>
      </c>
      <c r="D166" s="17">
        <v>44121</v>
      </c>
      <c r="E166" s="14" t="s">
        <v>30</v>
      </c>
      <c r="F166" s="14">
        <v>15548</v>
      </c>
      <c r="G166" s="14">
        <v>5291</v>
      </c>
      <c r="H166" s="14">
        <v>4</v>
      </c>
      <c r="I166" s="14">
        <v>2</v>
      </c>
      <c r="J166" s="14" t="s">
        <v>204</v>
      </c>
      <c r="K166" s="14" cm="1">
        <f t="array" ref="K166">INT(SUMPRODUCT(--ISNUMBER(SEARCH(economy,'Jon Ossoff'!C166)))&gt;0)</f>
        <v>0</v>
      </c>
      <c r="L166" s="14" cm="1">
        <f t="array" ref="L166">INT(SUMPRODUCT(--ISNUMBER(SEARCH(healthcare,'Jon Ossoff'!C166)))&gt;0)</f>
        <v>0</v>
      </c>
      <c r="M166" s="14" cm="1">
        <f t="array" ref="M166">INT(SUMPRODUCT(--ISNUMBER(SEARCH(supreme,'Jon Ossoff'!C166)))&gt;0)</f>
        <v>0</v>
      </c>
      <c r="N166" s="14" cm="1">
        <f t="array" ref="N166">INT(SUMPRODUCT(--ISNUMBER(SEARCH(covid,'Jon Ossoff'!C166)))&gt;0)</f>
        <v>0</v>
      </c>
      <c r="O166" s="14" cm="1">
        <f t="array" ref="O166">INT(SUMPRODUCT(--ISNUMBER(SEARCH(violent,'Jon Ossoff'!C166)))&gt;0)</f>
        <v>0</v>
      </c>
      <c r="P166" s="14" cm="1">
        <f t="array" ref="P166">INT(SUMPRODUCT(--ISNUMBER(SEARCH(foreign,'Jon Ossoff'!C166)))&gt;0)</f>
        <v>0</v>
      </c>
      <c r="Q166" s="14" cm="1">
        <f t="array" ref="Q166">INT(SUMPRODUCT(--ISNUMBER(SEARCH(gun,'Jon Ossoff'!C166)))&gt;0)</f>
        <v>0</v>
      </c>
      <c r="R166" s="14" cm="1">
        <f t="array" ref="R166">INT(SUMPRODUCT(--ISNUMBER(SEARCH(race,'Jon Ossoff'!C166)))&gt;0)</f>
        <v>0</v>
      </c>
      <c r="S166" s="14" cm="1">
        <f t="array" ref="S166">INT(SUMPRODUCT(--ISNUMBER(SEARCH(immigration,C166)))&gt;0)</f>
        <v>0</v>
      </c>
      <c r="T166" s="14" cm="1">
        <f t="array" ref="T166">INT(SUMPRODUCT(--ISNUMBER(SEARCH(econineq,C166)))&gt;0)</f>
        <v>0</v>
      </c>
      <c r="U166" s="14" cm="1">
        <f t="array" ref="U166">INT(SUMPRODUCT(--ISNUMBER(SEARCH(climate,'Jon Ossoff'!C166)))&gt;0)</f>
        <v>0</v>
      </c>
      <c r="V166" s="14" cm="1">
        <f t="array" ref="V166">INT(SUMPRODUCT(--ISNUMBER(SEARCH(abortion,'Jon Ossoff'!C166)))&gt;0)</f>
        <v>0</v>
      </c>
      <c r="W166" s="14" cm="1">
        <f t="array" ref="W166">INT(SUMPRODUCT(--ISNUMBER(SEARCH(trump,'Jon Ossoff'!C166)))&gt;0)</f>
        <v>1</v>
      </c>
      <c r="X166" s="14" cm="1">
        <f t="array" ref="X166">INT(SUMPRODUCT(--ISNUMBER(SEARCH(voting,'Jon Ossoff'!C166)))&gt;0)</f>
        <v>1</v>
      </c>
      <c r="Y166" s="14" cm="1">
        <f t="array" ref="Y166">INT(SUMPRODUCT(--ISNUMBER(SEARCH(democrattrigger,'Jon Ossoff'!C166)))&gt;0)</f>
        <v>1</v>
      </c>
      <c r="Z166" s="14" cm="1">
        <f t="array" ref="Z166">INT(SUMPRODUCT(--ISNUMBER(SEARCH(bipartisan,'Jon Ossoff'!C166)))&gt;0)</f>
        <v>0</v>
      </c>
      <c r="AA166" s="14">
        <f t="shared" si="2"/>
        <v>0</v>
      </c>
      <c r="AB166" s="14"/>
      <c r="AC166" s="30" t="s">
        <v>223</v>
      </c>
      <c r="AD166" s="37" t="s">
        <v>223</v>
      </c>
    </row>
    <row r="167" spans="1:30" x14ac:dyDescent="0.25">
      <c r="A167" s="36">
        <v>677</v>
      </c>
      <c r="B167" s="14" t="s">
        <v>1381</v>
      </c>
      <c r="C167" s="31" t="s">
        <v>1382</v>
      </c>
      <c r="D167" s="17">
        <v>44121</v>
      </c>
      <c r="E167" s="14" t="s">
        <v>70</v>
      </c>
      <c r="F167" s="14">
        <v>677</v>
      </c>
      <c r="G167" s="14">
        <v>305</v>
      </c>
      <c r="H167" s="14">
        <v>4</v>
      </c>
      <c r="I167" s="14">
        <v>2</v>
      </c>
      <c r="J167" s="14" t="s">
        <v>204</v>
      </c>
      <c r="K167" s="14" cm="1">
        <f t="array" ref="K167">INT(SUMPRODUCT(--ISNUMBER(SEARCH(economy,'Jon Ossoff'!C167)))&gt;0)</f>
        <v>0</v>
      </c>
      <c r="L167" s="14" cm="1">
        <f t="array" ref="L167">INT(SUMPRODUCT(--ISNUMBER(SEARCH(healthcare,'Jon Ossoff'!C167)))&gt;0)</f>
        <v>0</v>
      </c>
      <c r="M167" s="14" cm="1">
        <f t="array" ref="M167">INT(SUMPRODUCT(--ISNUMBER(SEARCH(supreme,'Jon Ossoff'!C167)))&gt;0)</f>
        <v>0</v>
      </c>
      <c r="N167" s="14" cm="1">
        <f t="array" ref="N167">INT(SUMPRODUCT(--ISNUMBER(SEARCH(covid,'Jon Ossoff'!C167)))&gt;0)</f>
        <v>0</v>
      </c>
      <c r="O167" s="14" cm="1">
        <f t="array" ref="O167">INT(SUMPRODUCT(--ISNUMBER(SEARCH(violent,'Jon Ossoff'!C167)))&gt;0)</f>
        <v>0</v>
      </c>
      <c r="P167" s="14" cm="1">
        <f t="array" ref="P167">INT(SUMPRODUCT(--ISNUMBER(SEARCH(foreign,'Jon Ossoff'!C167)))&gt;0)</f>
        <v>0</v>
      </c>
      <c r="Q167" s="14" cm="1">
        <f t="array" ref="Q167">INT(SUMPRODUCT(--ISNUMBER(SEARCH(gun,'Jon Ossoff'!C167)))&gt;0)</f>
        <v>0</v>
      </c>
      <c r="R167" s="14" cm="1">
        <f t="array" ref="R167">INT(SUMPRODUCT(--ISNUMBER(SEARCH(race,'Jon Ossoff'!C167)))&gt;0)</f>
        <v>0</v>
      </c>
      <c r="S167" s="14" cm="1">
        <f t="array" ref="S167">INT(SUMPRODUCT(--ISNUMBER(SEARCH(immigration,C167)))&gt;0)</f>
        <v>0</v>
      </c>
      <c r="T167" s="14" cm="1">
        <f t="array" ref="T167">INT(SUMPRODUCT(--ISNUMBER(SEARCH(econineq,C167)))&gt;0)</f>
        <v>0</v>
      </c>
      <c r="U167" s="14" cm="1">
        <f t="array" ref="U167">INT(SUMPRODUCT(--ISNUMBER(SEARCH(climate,'Jon Ossoff'!C167)))&gt;0)</f>
        <v>0</v>
      </c>
      <c r="V167" s="14" cm="1">
        <f t="array" ref="V167">INT(SUMPRODUCT(--ISNUMBER(SEARCH(abortion,'Jon Ossoff'!C167)))&gt;0)</f>
        <v>0</v>
      </c>
      <c r="W167" s="14" cm="1">
        <f t="array" ref="W167">INT(SUMPRODUCT(--ISNUMBER(SEARCH(trump,'Jon Ossoff'!C167)))&gt;0)</f>
        <v>0</v>
      </c>
      <c r="X167" s="14" cm="1">
        <f t="array" ref="X167">INT(SUMPRODUCT(--ISNUMBER(SEARCH(voting,'Jon Ossoff'!C167)))&gt;0)</f>
        <v>0</v>
      </c>
      <c r="Y167" s="14" cm="1">
        <f t="array" ref="Y167">INT(SUMPRODUCT(--ISNUMBER(SEARCH(democrattrigger,'Jon Ossoff'!C167)))&gt;0)</f>
        <v>0</v>
      </c>
      <c r="Z167" s="14" cm="1">
        <f t="array" ref="Z167">INT(SUMPRODUCT(--ISNUMBER(SEARCH(bipartisan,'Jon Ossoff'!C167)))&gt;0)</f>
        <v>0</v>
      </c>
      <c r="AA167" s="14">
        <f t="shared" si="2"/>
        <v>1</v>
      </c>
      <c r="AB167" s="14"/>
      <c r="AC167" s="30" t="s">
        <v>223</v>
      </c>
      <c r="AD167" s="37" t="s">
        <v>223</v>
      </c>
    </row>
    <row r="168" spans="1:30" x14ac:dyDescent="0.25">
      <c r="A168" s="36">
        <v>678</v>
      </c>
      <c r="B168" s="14" t="s">
        <v>1383</v>
      </c>
      <c r="C168" s="31" t="s">
        <v>1384</v>
      </c>
      <c r="D168" s="17">
        <v>44121</v>
      </c>
      <c r="E168" s="14" t="s">
        <v>30</v>
      </c>
      <c r="F168" s="14">
        <v>2836</v>
      </c>
      <c r="G168" s="14">
        <v>1054</v>
      </c>
      <c r="H168" s="14">
        <v>4</v>
      </c>
      <c r="I168" s="14">
        <v>2</v>
      </c>
      <c r="J168" s="14" t="s">
        <v>204</v>
      </c>
      <c r="K168" s="14" cm="1">
        <f t="array" ref="K168">INT(SUMPRODUCT(--ISNUMBER(SEARCH(economy,'Jon Ossoff'!C168)))&gt;0)</f>
        <v>0</v>
      </c>
      <c r="L168" s="14" cm="1">
        <f t="array" ref="L168">INT(SUMPRODUCT(--ISNUMBER(SEARCH(healthcare,'Jon Ossoff'!C168)))&gt;0)</f>
        <v>0</v>
      </c>
      <c r="M168" s="14" cm="1">
        <f t="array" ref="M168">INT(SUMPRODUCT(--ISNUMBER(SEARCH(supreme,'Jon Ossoff'!C168)))&gt;0)</f>
        <v>0</v>
      </c>
      <c r="N168" s="14" cm="1">
        <f t="array" ref="N168">INT(SUMPRODUCT(--ISNUMBER(SEARCH(covid,'Jon Ossoff'!C168)))&gt;0)</f>
        <v>0</v>
      </c>
      <c r="O168" s="14" cm="1">
        <f t="array" ref="O168">INT(SUMPRODUCT(--ISNUMBER(SEARCH(violent,'Jon Ossoff'!C168)))&gt;0)</f>
        <v>0</v>
      </c>
      <c r="P168" s="14" cm="1">
        <f t="array" ref="P168">INT(SUMPRODUCT(--ISNUMBER(SEARCH(foreign,'Jon Ossoff'!C168)))&gt;0)</f>
        <v>0</v>
      </c>
      <c r="Q168" s="14" cm="1">
        <f t="array" ref="Q168">INT(SUMPRODUCT(--ISNUMBER(SEARCH(gun,'Jon Ossoff'!C168)))&gt;0)</f>
        <v>0</v>
      </c>
      <c r="R168" s="14" cm="1">
        <f t="array" ref="R168">INT(SUMPRODUCT(--ISNUMBER(SEARCH(race,'Jon Ossoff'!C168)))&gt;0)</f>
        <v>0</v>
      </c>
      <c r="S168" s="14" cm="1">
        <f t="array" ref="S168">INT(SUMPRODUCT(--ISNUMBER(SEARCH(immigration,C168)))&gt;0)</f>
        <v>0</v>
      </c>
      <c r="T168" s="14" cm="1">
        <f t="array" ref="T168">INT(SUMPRODUCT(--ISNUMBER(SEARCH(econineq,C168)))&gt;0)</f>
        <v>0</v>
      </c>
      <c r="U168" s="14" cm="1">
        <f t="array" ref="U168">INT(SUMPRODUCT(--ISNUMBER(SEARCH(climate,'Jon Ossoff'!C168)))&gt;0)</f>
        <v>0</v>
      </c>
      <c r="V168" s="14" cm="1">
        <f t="array" ref="V168">INT(SUMPRODUCT(--ISNUMBER(SEARCH(abortion,'Jon Ossoff'!C168)))&gt;0)</f>
        <v>0</v>
      </c>
      <c r="W168" s="14" cm="1">
        <f t="array" ref="W168">INT(SUMPRODUCT(--ISNUMBER(SEARCH(trump,'Jon Ossoff'!C168)))&gt;0)</f>
        <v>1</v>
      </c>
      <c r="X168" s="14" cm="1">
        <f t="array" ref="X168">INT(SUMPRODUCT(--ISNUMBER(SEARCH(voting,'Jon Ossoff'!C168)))&gt;0)</f>
        <v>1</v>
      </c>
      <c r="Y168" s="14" cm="1">
        <f t="array" ref="Y168">INT(SUMPRODUCT(--ISNUMBER(SEARCH(democrattrigger,'Jon Ossoff'!C168)))&gt;0)</f>
        <v>1</v>
      </c>
      <c r="Z168" s="14" cm="1">
        <f t="array" ref="Z168">INT(SUMPRODUCT(--ISNUMBER(SEARCH(bipartisan,'Jon Ossoff'!C168)))&gt;0)</f>
        <v>0</v>
      </c>
      <c r="AA168" s="14">
        <f t="shared" si="2"/>
        <v>0</v>
      </c>
      <c r="AB168" s="14"/>
      <c r="AC168" s="30">
        <v>0</v>
      </c>
      <c r="AD168" s="37">
        <v>1</v>
      </c>
    </row>
    <row r="169" spans="1:30" x14ac:dyDescent="0.25">
      <c r="A169" s="36">
        <v>679</v>
      </c>
      <c r="B169" s="14" t="s">
        <v>1385</v>
      </c>
      <c r="C169" s="31" t="s">
        <v>1386</v>
      </c>
      <c r="D169" s="17">
        <v>44121</v>
      </c>
      <c r="E169" s="14" t="s">
        <v>30</v>
      </c>
      <c r="F169" s="14">
        <v>12190</v>
      </c>
      <c r="G169" s="14">
        <v>3670</v>
      </c>
      <c r="H169" s="14">
        <v>4</v>
      </c>
      <c r="I169" s="14">
        <v>2</v>
      </c>
      <c r="J169" s="14" t="s">
        <v>204</v>
      </c>
      <c r="K169" s="14" cm="1">
        <f t="array" ref="K169">INT(SUMPRODUCT(--ISNUMBER(SEARCH(economy,'Jon Ossoff'!C169)))&gt;0)</f>
        <v>0</v>
      </c>
      <c r="L169" s="14" cm="1">
        <f t="array" ref="L169">INT(SUMPRODUCT(--ISNUMBER(SEARCH(healthcare,'Jon Ossoff'!C169)))&gt;0)</f>
        <v>0</v>
      </c>
      <c r="M169" s="14" cm="1">
        <f t="array" ref="M169">INT(SUMPRODUCT(--ISNUMBER(SEARCH(supreme,'Jon Ossoff'!C169)))&gt;0)</f>
        <v>0</v>
      </c>
      <c r="N169" s="14" cm="1">
        <f t="array" ref="N169">INT(SUMPRODUCT(--ISNUMBER(SEARCH(covid,'Jon Ossoff'!C169)))&gt;0)</f>
        <v>0</v>
      </c>
      <c r="O169" s="14" cm="1">
        <f t="array" ref="O169">INT(SUMPRODUCT(--ISNUMBER(SEARCH(violent,'Jon Ossoff'!C169)))&gt;0)</f>
        <v>0</v>
      </c>
      <c r="P169" s="14" cm="1">
        <f t="array" ref="P169">INT(SUMPRODUCT(--ISNUMBER(SEARCH(foreign,'Jon Ossoff'!C169)))&gt;0)</f>
        <v>0</v>
      </c>
      <c r="Q169" s="14" cm="1">
        <f t="array" ref="Q169">INT(SUMPRODUCT(--ISNUMBER(SEARCH(gun,'Jon Ossoff'!C169)))&gt;0)</f>
        <v>0</v>
      </c>
      <c r="R169" s="14" cm="1">
        <f t="array" ref="R169">INT(SUMPRODUCT(--ISNUMBER(SEARCH(race,'Jon Ossoff'!C169)))&gt;0)</f>
        <v>0</v>
      </c>
      <c r="S169" s="14" cm="1">
        <f t="array" ref="S169">INT(SUMPRODUCT(--ISNUMBER(SEARCH(immigration,C169)))&gt;0)</f>
        <v>0</v>
      </c>
      <c r="T169" s="14" cm="1">
        <f t="array" ref="T169">INT(SUMPRODUCT(--ISNUMBER(SEARCH(econineq,C169)))&gt;0)</f>
        <v>0</v>
      </c>
      <c r="U169" s="14" cm="1">
        <f t="array" ref="U169">INT(SUMPRODUCT(--ISNUMBER(SEARCH(climate,'Jon Ossoff'!C169)))&gt;0)</f>
        <v>0</v>
      </c>
      <c r="V169" s="14" cm="1">
        <f t="array" ref="V169">INT(SUMPRODUCT(--ISNUMBER(SEARCH(abortion,'Jon Ossoff'!C169)))&gt;0)</f>
        <v>0</v>
      </c>
      <c r="W169" s="14" cm="1">
        <f t="array" ref="W169">INT(SUMPRODUCT(--ISNUMBER(SEARCH(trump,'Jon Ossoff'!C169)))&gt;0)</f>
        <v>0</v>
      </c>
      <c r="X169" s="14" cm="1">
        <f t="array" ref="X169">INT(SUMPRODUCT(--ISNUMBER(SEARCH(voting,'Jon Ossoff'!C169)))&gt;0)</f>
        <v>0</v>
      </c>
      <c r="Y169" s="14" cm="1">
        <f t="array" ref="Y169">INT(SUMPRODUCT(--ISNUMBER(SEARCH(democrattrigger,'Jon Ossoff'!C169)))&gt;0)</f>
        <v>1</v>
      </c>
      <c r="Z169" s="14" cm="1">
        <f t="array" ref="Z169">INT(SUMPRODUCT(--ISNUMBER(SEARCH(bipartisan,'Jon Ossoff'!C169)))&gt;0)</f>
        <v>0</v>
      </c>
      <c r="AA169" s="14">
        <f t="shared" si="2"/>
        <v>0</v>
      </c>
      <c r="AB169" s="14"/>
      <c r="AC169" s="30">
        <v>0</v>
      </c>
      <c r="AD169" s="37">
        <v>1</v>
      </c>
    </row>
    <row r="170" spans="1:30" x14ac:dyDescent="0.25">
      <c r="A170" s="36">
        <v>680</v>
      </c>
      <c r="B170" s="14" t="s">
        <v>1387</v>
      </c>
      <c r="C170" s="31" t="s">
        <v>1388</v>
      </c>
      <c r="D170" s="17">
        <v>44120</v>
      </c>
      <c r="E170" s="14" t="s">
        <v>30</v>
      </c>
      <c r="F170" s="14">
        <v>8699</v>
      </c>
      <c r="G170" s="14">
        <v>3390</v>
      </c>
      <c r="H170" s="14">
        <v>4</v>
      </c>
      <c r="I170" s="14">
        <v>2</v>
      </c>
      <c r="J170" s="14" t="s">
        <v>204</v>
      </c>
      <c r="K170" s="14" cm="1">
        <f t="array" ref="K170">INT(SUMPRODUCT(--ISNUMBER(SEARCH(economy,'Jon Ossoff'!C170)))&gt;0)</f>
        <v>0</v>
      </c>
      <c r="L170" s="14" cm="1">
        <f t="array" ref="L170">INT(SUMPRODUCT(--ISNUMBER(SEARCH(healthcare,'Jon Ossoff'!C170)))&gt;0)</f>
        <v>0</v>
      </c>
      <c r="M170" s="14" cm="1">
        <f t="array" ref="M170">INT(SUMPRODUCT(--ISNUMBER(SEARCH(supreme,'Jon Ossoff'!C170)))&gt;0)</f>
        <v>0</v>
      </c>
      <c r="N170" s="14" cm="1">
        <f t="array" ref="N170">INT(SUMPRODUCT(--ISNUMBER(SEARCH(covid,'Jon Ossoff'!C170)))&gt;0)</f>
        <v>0</v>
      </c>
      <c r="O170" s="14" cm="1">
        <f t="array" ref="O170">INT(SUMPRODUCT(--ISNUMBER(SEARCH(violent,'Jon Ossoff'!C170)))&gt;0)</f>
        <v>0</v>
      </c>
      <c r="P170" s="14" cm="1">
        <f t="array" ref="P170">INT(SUMPRODUCT(--ISNUMBER(SEARCH(foreign,'Jon Ossoff'!C170)))&gt;0)</f>
        <v>0</v>
      </c>
      <c r="Q170" s="14" cm="1">
        <f t="array" ref="Q170">INT(SUMPRODUCT(--ISNUMBER(SEARCH(gun,'Jon Ossoff'!C170)))&gt;0)</f>
        <v>0</v>
      </c>
      <c r="R170" s="14" cm="1">
        <f t="array" ref="R170">INT(SUMPRODUCT(--ISNUMBER(SEARCH(race,'Jon Ossoff'!C170)))&gt;0)</f>
        <v>0</v>
      </c>
      <c r="S170" s="14" cm="1">
        <f t="array" ref="S170">INT(SUMPRODUCT(--ISNUMBER(SEARCH(immigration,C170)))&gt;0)</f>
        <v>0</v>
      </c>
      <c r="T170" s="14" cm="1">
        <f t="array" ref="T170">INT(SUMPRODUCT(--ISNUMBER(SEARCH(econineq,C170)))&gt;0)</f>
        <v>0</v>
      </c>
      <c r="U170" s="14" cm="1">
        <f t="array" ref="U170">INT(SUMPRODUCT(--ISNUMBER(SEARCH(climate,'Jon Ossoff'!C170)))&gt;0)</f>
        <v>0</v>
      </c>
      <c r="V170" s="14" cm="1">
        <f t="array" ref="V170">INT(SUMPRODUCT(--ISNUMBER(SEARCH(abortion,'Jon Ossoff'!C170)))&gt;0)</f>
        <v>0</v>
      </c>
      <c r="W170" s="14" cm="1">
        <f t="array" ref="W170">INT(SUMPRODUCT(--ISNUMBER(SEARCH(trump,'Jon Ossoff'!C170)))&gt;0)</f>
        <v>1</v>
      </c>
      <c r="X170" s="14" cm="1">
        <f t="array" ref="X170">INT(SUMPRODUCT(--ISNUMBER(SEARCH(voting,'Jon Ossoff'!C170)))&gt;0)</f>
        <v>1</v>
      </c>
      <c r="Y170" s="14" cm="1">
        <f t="array" ref="Y170">INT(SUMPRODUCT(--ISNUMBER(SEARCH(democrattrigger,'Jon Ossoff'!C170)))&gt;0)</f>
        <v>1</v>
      </c>
      <c r="Z170" s="14" cm="1">
        <f t="array" ref="Z170">INT(SUMPRODUCT(--ISNUMBER(SEARCH(bipartisan,'Jon Ossoff'!C170)))&gt;0)</f>
        <v>0</v>
      </c>
      <c r="AA170" s="14">
        <f t="shared" si="2"/>
        <v>0</v>
      </c>
      <c r="AB170" s="14"/>
      <c r="AC170" s="30">
        <v>0</v>
      </c>
      <c r="AD170" s="37">
        <v>1</v>
      </c>
    </row>
    <row r="171" spans="1:30" x14ac:dyDescent="0.25">
      <c r="A171" s="36">
        <v>681</v>
      </c>
      <c r="B171" s="14" t="s">
        <v>1389</v>
      </c>
      <c r="C171" s="31" t="s">
        <v>1390</v>
      </c>
      <c r="D171" s="17">
        <v>44120</v>
      </c>
      <c r="E171" s="14" t="s">
        <v>70</v>
      </c>
      <c r="F171" s="14">
        <v>15631</v>
      </c>
      <c r="G171" s="14">
        <v>5138</v>
      </c>
      <c r="H171" s="14">
        <v>4</v>
      </c>
      <c r="I171" s="14">
        <v>2</v>
      </c>
      <c r="J171" s="14" t="s">
        <v>204</v>
      </c>
      <c r="K171" s="14" cm="1">
        <f t="array" ref="K171">INT(SUMPRODUCT(--ISNUMBER(SEARCH(economy,'Jon Ossoff'!C171)))&gt;0)</f>
        <v>0</v>
      </c>
      <c r="L171" s="14" cm="1">
        <f t="array" ref="L171">INT(SUMPRODUCT(--ISNUMBER(SEARCH(healthcare,'Jon Ossoff'!C171)))&gt;0)</f>
        <v>0</v>
      </c>
      <c r="M171" s="14" cm="1">
        <f t="array" ref="M171">INT(SUMPRODUCT(--ISNUMBER(SEARCH(supreme,'Jon Ossoff'!C171)))&gt;0)</f>
        <v>0</v>
      </c>
      <c r="N171" s="14" cm="1">
        <f t="array" ref="N171">INT(SUMPRODUCT(--ISNUMBER(SEARCH(covid,'Jon Ossoff'!C171)))&gt;0)</f>
        <v>0</v>
      </c>
      <c r="O171" s="14" cm="1">
        <f t="array" ref="O171">INT(SUMPRODUCT(--ISNUMBER(SEARCH(violent,'Jon Ossoff'!C171)))&gt;0)</f>
        <v>0</v>
      </c>
      <c r="P171" s="14" cm="1">
        <f t="array" ref="P171">INT(SUMPRODUCT(--ISNUMBER(SEARCH(foreign,'Jon Ossoff'!C171)))&gt;0)</f>
        <v>0</v>
      </c>
      <c r="Q171" s="14" cm="1">
        <f t="array" ref="Q171">INT(SUMPRODUCT(--ISNUMBER(SEARCH(gun,'Jon Ossoff'!C171)))&gt;0)</f>
        <v>0</v>
      </c>
      <c r="R171" s="14" cm="1">
        <f t="array" ref="R171">INT(SUMPRODUCT(--ISNUMBER(SEARCH(race,'Jon Ossoff'!C171)))&gt;0)</f>
        <v>0</v>
      </c>
      <c r="S171" s="14" cm="1">
        <f t="array" ref="S171">INT(SUMPRODUCT(--ISNUMBER(SEARCH(immigration,C171)))&gt;0)</f>
        <v>0</v>
      </c>
      <c r="T171" s="14" cm="1">
        <f t="array" ref="T171">INT(SUMPRODUCT(--ISNUMBER(SEARCH(econineq,C171)))&gt;0)</f>
        <v>0</v>
      </c>
      <c r="U171" s="14" cm="1">
        <f t="array" ref="U171">INT(SUMPRODUCT(--ISNUMBER(SEARCH(climate,'Jon Ossoff'!C171)))&gt;0)</f>
        <v>0</v>
      </c>
      <c r="V171" s="14" cm="1">
        <f t="array" ref="V171">INT(SUMPRODUCT(--ISNUMBER(SEARCH(abortion,'Jon Ossoff'!C171)))&gt;0)</f>
        <v>0</v>
      </c>
      <c r="W171" s="14" cm="1">
        <f t="array" ref="W171">INT(SUMPRODUCT(--ISNUMBER(SEARCH(trump,'Jon Ossoff'!C171)))&gt;0)</f>
        <v>0</v>
      </c>
      <c r="X171" s="14" cm="1">
        <f t="array" ref="X171">INT(SUMPRODUCT(--ISNUMBER(SEARCH(voting,'Jon Ossoff'!C171)))&gt;0)</f>
        <v>1</v>
      </c>
      <c r="Y171" s="14" cm="1">
        <f t="array" ref="Y171">INT(SUMPRODUCT(--ISNUMBER(SEARCH(democrattrigger,'Jon Ossoff'!C171)))&gt;0)</f>
        <v>1</v>
      </c>
      <c r="Z171" s="14" cm="1">
        <f t="array" ref="Z171">INT(SUMPRODUCT(--ISNUMBER(SEARCH(bipartisan,'Jon Ossoff'!C171)))&gt;0)</f>
        <v>0</v>
      </c>
      <c r="AA171" s="14">
        <f t="shared" si="2"/>
        <v>0</v>
      </c>
      <c r="AB171" s="14"/>
      <c r="AC171" s="30" t="s">
        <v>223</v>
      </c>
      <c r="AD171" s="37" t="s">
        <v>223</v>
      </c>
    </row>
    <row r="172" spans="1:30" x14ac:dyDescent="0.25">
      <c r="A172" s="36">
        <v>682</v>
      </c>
      <c r="B172" s="14" t="s">
        <v>1391</v>
      </c>
      <c r="C172" s="31" t="s">
        <v>1392</v>
      </c>
      <c r="D172" s="17">
        <v>44120</v>
      </c>
      <c r="E172" s="14" t="s">
        <v>30</v>
      </c>
      <c r="F172" s="14">
        <v>61644</v>
      </c>
      <c r="G172" s="14">
        <v>19203</v>
      </c>
      <c r="H172" s="14">
        <v>4</v>
      </c>
      <c r="I172" s="14">
        <v>2</v>
      </c>
      <c r="J172" s="14" t="s">
        <v>204</v>
      </c>
      <c r="K172" s="14" cm="1">
        <f t="array" ref="K172">INT(SUMPRODUCT(--ISNUMBER(SEARCH(economy,'Jon Ossoff'!C172)))&gt;0)</f>
        <v>0</v>
      </c>
      <c r="L172" s="14" cm="1">
        <f t="array" ref="L172">INT(SUMPRODUCT(--ISNUMBER(SEARCH(healthcare,'Jon Ossoff'!C172)))&gt;0)</f>
        <v>0</v>
      </c>
      <c r="M172" s="14" cm="1">
        <f t="array" ref="M172">INT(SUMPRODUCT(--ISNUMBER(SEARCH(supreme,'Jon Ossoff'!C172)))&gt;0)</f>
        <v>1</v>
      </c>
      <c r="N172" s="14" cm="1">
        <f t="array" ref="N172">INT(SUMPRODUCT(--ISNUMBER(SEARCH(covid,'Jon Ossoff'!C172)))&gt;0)</f>
        <v>0</v>
      </c>
      <c r="O172" s="14" cm="1">
        <f t="array" ref="O172">INT(SUMPRODUCT(--ISNUMBER(SEARCH(violent,'Jon Ossoff'!C172)))&gt;0)</f>
        <v>0</v>
      </c>
      <c r="P172" s="14" cm="1">
        <f t="array" ref="P172">INT(SUMPRODUCT(--ISNUMBER(SEARCH(foreign,'Jon Ossoff'!C172)))&gt;0)</f>
        <v>0</v>
      </c>
      <c r="Q172" s="14" cm="1">
        <f t="array" ref="Q172">INT(SUMPRODUCT(--ISNUMBER(SEARCH(gun,'Jon Ossoff'!C172)))&gt;0)</f>
        <v>0</v>
      </c>
      <c r="R172" s="14" cm="1">
        <f t="array" ref="R172">INT(SUMPRODUCT(--ISNUMBER(SEARCH(race,'Jon Ossoff'!C172)))&gt;0)</f>
        <v>0</v>
      </c>
      <c r="S172" s="14" cm="1">
        <f t="array" ref="S172">INT(SUMPRODUCT(--ISNUMBER(SEARCH(immigration,C172)))&gt;0)</f>
        <v>0</v>
      </c>
      <c r="T172" s="14" cm="1">
        <f t="array" ref="T172">INT(SUMPRODUCT(--ISNUMBER(SEARCH(econineq,C172)))&gt;0)</f>
        <v>0</v>
      </c>
      <c r="U172" s="14" cm="1">
        <f t="array" ref="U172">INT(SUMPRODUCT(--ISNUMBER(SEARCH(climate,'Jon Ossoff'!C172)))&gt;0)</f>
        <v>0</v>
      </c>
      <c r="V172" s="14" cm="1">
        <f t="array" ref="V172">INT(SUMPRODUCT(--ISNUMBER(SEARCH(abortion,'Jon Ossoff'!C172)))&gt;0)</f>
        <v>0</v>
      </c>
      <c r="W172" s="14" cm="1">
        <f t="array" ref="W172">INT(SUMPRODUCT(--ISNUMBER(SEARCH(trump,'Jon Ossoff'!C172)))&gt;0)</f>
        <v>1</v>
      </c>
      <c r="X172" s="14" cm="1">
        <f t="array" ref="X172">INT(SUMPRODUCT(--ISNUMBER(SEARCH(voting,'Jon Ossoff'!C172)))&gt;0)</f>
        <v>1</v>
      </c>
      <c r="Y172" s="14" cm="1">
        <f t="array" ref="Y172">INT(SUMPRODUCT(--ISNUMBER(SEARCH(democrattrigger,'Jon Ossoff'!C172)))&gt;0)</f>
        <v>1</v>
      </c>
      <c r="Z172" s="14" cm="1">
        <f t="array" ref="Z172">INT(SUMPRODUCT(--ISNUMBER(SEARCH(bipartisan,'Jon Ossoff'!C172)))&gt;0)</f>
        <v>0</v>
      </c>
      <c r="AA172" s="14">
        <f t="shared" si="2"/>
        <v>0</v>
      </c>
      <c r="AB172" s="14"/>
      <c r="AC172" s="30">
        <v>0</v>
      </c>
      <c r="AD172" s="37">
        <v>1</v>
      </c>
    </row>
    <row r="173" spans="1:30" x14ac:dyDescent="0.25">
      <c r="A173" s="36">
        <v>683</v>
      </c>
      <c r="B173" s="14" t="s">
        <v>1393</v>
      </c>
      <c r="C173" s="31" t="s">
        <v>1394</v>
      </c>
      <c r="D173" s="17">
        <v>44120</v>
      </c>
      <c r="E173" s="14" t="s">
        <v>30</v>
      </c>
      <c r="F173" s="14">
        <v>989</v>
      </c>
      <c r="G173" s="14">
        <v>579</v>
      </c>
      <c r="H173" s="14">
        <v>4</v>
      </c>
      <c r="I173" s="14">
        <v>2</v>
      </c>
      <c r="J173" s="14" t="s">
        <v>204</v>
      </c>
      <c r="K173" s="14" cm="1">
        <f t="array" ref="K173">INT(SUMPRODUCT(--ISNUMBER(SEARCH(economy,'Jon Ossoff'!C173)))&gt;0)</f>
        <v>0</v>
      </c>
      <c r="L173" s="14" cm="1">
        <f t="array" ref="L173">INT(SUMPRODUCT(--ISNUMBER(SEARCH(healthcare,'Jon Ossoff'!C173)))&gt;0)</f>
        <v>1</v>
      </c>
      <c r="M173" s="14" cm="1">
        <f t="array" ref="M173">INT(SUMPRODUCT(--ISNUMBER(SEARCH(supreme,'Jon Ossoff'!C173)))&gt;0)</f>
        <v>0</v>
      </c>
      <c r="N173" s="14" cm="1">
        <f t="array" ref="N173">INT(SUMPRODUCT(--ISNUMBER(SEARCH(covid,'Jon Ossoff'!C173)))&gt;0)</f>
        <v>0</v>
      </c>
      <c r="O173" s="14" cm="1">
        <f t="array" ref="O173">INT(SUMPRODUCT(--ISNUMBER(SEARCH(violent,'Jon Ossoff'!C173)))&gt;0)</f>
        <v>0</v>
      </c>
      <c r="P173" s="14" cm="1">
        <f t="array" ref="P173">INT(SUMPRODUCT(--ISNUMBER(SEARCH(foreign,'Jon Ossoff'!C173)))&gt;0)</f>
        <v>0</v>
      </c>
      <c r="Q173" s="14" cm="1">
        <f t="array" ref="Q173">INT(SUMPRODUCT(--ISNUMBER(SEARCH(gun,'Jon Ossoff'!C173)))&gt;0)</f>
        <v>0</v>
      </c>
      <c r="R173" s="14" cm="1">
        <f t="array" ref="R173">INT(SUMPRODUCT(--ISNUMBER(SEARCH(race,'Jon Ossoff'!C173)))&gt;0)</f>
        <v>0</v>
      </c>
      <c r="S173" s="14" cm="1">
        <f t="array" ref="S173">INT(SUMPRODUCT(--ISNUMBER(SEARCH(immigration,C173)))&gt;0)</f>
        <v>0</v>
      </c>
      <c r="T173" s="14" cm="1">
        <f t="array" ref="T173">INT(SUMPRODUCT(--ISNUMBER(SEARCH(econineq,C173)))&gt;0)</f>
        <v>0</v>
      </c>
      <c r="U173" s="14" cm="1">
        <f t="array" ref="U173">INT(SUMPRODUCT(--ISNUMBER(SEARCH(climate,'Jon Ossoff'!C173)))&gt;0)</f>
        <v>0</v>
      </c>
      <c r="V173" s="14" cm="1">
        <f t="array" ref="V173">INT(SUMPRODUCT(--ISNUMBER(SEARCH(abortion,'Jon Ossoff'!C173)))&gt;0)</f>
        <v>0</v>
      </c>
      <c r="W173" s="14" cm="1">
        <f t="array" ref="W173">INT(SUMPRODUCT(--ISNUMBER(SEARCH(trump,'Jon Ossoff'!C173)))&gt;0)</f>
        <v>0</v>
      </c>
      <c r="X173" s="14" cm="1">
        <f t="array" ref="X173">INT(SUMPRODUCT(--ISNUMBER(SEARCH(voting,'Jon Ossoff'!C173)))&gt;0)</f>
        <v>1</v>
      </c>
      <c r="Y173" s="14" cm="1">
        <f t="array" ref="Y173">INT(SUMPRODUCT(--ISNUMBER(SEARCH(democrattrigger,'Jon Ossoff'!C173)))&gt;0)</f>
        <v>1</v>
      </c>
      <c r="Z173" s="14" cm="1">
        <f t="array" ref="Z173">INT(SUMPRODUCT(--ISNUMBER(SEARCH(bipartisan,'Jon Ossoff'!C173)))&gt;0)</f>
        <v>0</v>
      </c>
      <c r="AA173" s="14">
        <f t="shared" si="2"/>
        <v>0</v>
      </c>
      <c r="AB173" s="14"/>
      <c r="AC173" s="30">
        <v>0</v>
      </c>
      <c r="AD173" s="37">
        <v>1</v>
      </c>
    </row>
    <row r="174" spans="1:30" x14ac:dyDescent="0.25">
      <c r="A174" s="36">
        <v>684</v>
      </c>
      <c r="B174" s="14" t="s">
        <v>1395</v>
      </c>
      <c r="C174" s="31" t="s">
        <v>1396</v>
      </c>
      <c r="D174" s="17">
        <v>44120</v>
      </c>
      <c r="E174" s="14" t="s">
        <v>70</v>
      </c>
      <c r="F174" s="14">
        <v>175</v>
      </c>
      <c r="G174" s="14">
        <v>105</v>
      </c>
      <c r="H174" s="14">
        <v>4</v>
      </c>
      <c r="I174" s="14">
        <v>2</v>
      </c>
      <c r="J174" s="14" t="s">
        <v>204</v>
      </c>
      <c r="K174" s="14" cm="1">
        <f t="array" ref="K174">INT(SUMPRODUCT(--ISNUMBER(SEARCH(economy,'Jon Ossoff'!C174)))&gt;0)</f>
        <v>0</v>
      </c>
      <c r="L174" s="14" cm="1">
        <f t="array" ref="L174">INT(SUMPRODUCT(--ISNUMBER(SEARCH(healthcare,'Jon Ossoff'!C174)))&gt;0)</f>
        <v>0</v>
      </c>
      <c r="M174" s="14" cm="1">
        <f t="array" ref="M174">INT(SUMPRODUCT(--ISNUMBER(SEARCH(supreme,'Jon Ossoff'!C174)))&gt;0)</f>
        <v>0</v>
      </c>
      <c r="N174" s="14" cm="1">
        <f t="array" ref="N174">INT(SUMPRODUCT(--ISNUMBER(SEARCH(covid,'Jon Ossoff'!C174)))&gt;0)</f>
        <v>0</v>
      </c>
      <c r="O174" s="14" cm="1">
        <f t="array" ref="O174">INT(SUMPRODUCT(--ISNUMBER(SEARCH(violent,'Jon Ossoff'!C174)))&gt;0)</f>
        <v>0</v>
      </c>
      <c r="P174" s="14" cm="1">
        <f t="array" ref="P174">INT(SUMPRODUCT(--ISNUMBER(SEARCH(foreign,'Jon Ossoff'!C174)))&gt;0)</f>
        <v>0</v>
      </c>
      <c r="Q174" s="14" cm="1">
        <f t="array" ref="Q174">INT(SUMPRODUCT(--ISNUMBER(SEARCH(gun,'Jon Ossoff'!C174)))&gt;0)</f>
        <v>0</v>
      </c>
      <c r="R174" s="14" cm="1">
        <f t="array" ref="R174">INT(SUMPRODUCT(--ISNUMBER(SEARCH(race,'Jon Ossoff'!C174)))&gt;0)</f>
        <v>0</v>
      </c>
      <c r="S174" s="14" cm="1">
        <f t="array" ref="S174">INT(SUMPRODUCT(--ISNUMBER(SEARCH(immigration,C174)))&gt;0)</f>
        <v>0</v>
      </c>
      <c r="T174" s="14" cm="1">
        <f t="array" ref="T174">INT(SUMPRODUCT(--ISNUMBER(SEARCH(econineq,C174)))&gt;0)</f>
        <v>0</v>
      </c>
      <c r="U174" s="14" cm="1">
        <f t="array" ref="U174">INT(SUMPRODUCT(--ISNUMBER(SEARCH(climate,'Jon Ossoff'!C174)))&gt;0)</f>
        <v>0</v>
      </c>
      <c r="V174" s="14" cm="1">
        <f t="array" ref="V174">INT(SUMPRODUCT(--ISNUMBER(SEARCH(abortion,'Jon Ossoff'!C174)))&gt;0)</f>
        <v>0</v>
      </c>
      <c r="W174" s="14" cm="1">
        <f t="array" ref="W174">INT(SUMPRODUCT(--ISNUMBER(SEARCH(trump,'Jon Ossoff'!C174)))&gt;0)</f>
        <v>0</v>
      </c>
      <c r="X174" s="14" cm="1">
        <f t="array" ref="X174">INT(SUMPRODUCT(--ISNUMBER(SEARCH(voting,'Jon Ossoff'!C174)))&gt;0)</f>
        <v>1</v>
      </c>
      <c r="Y174" s="14" cm="1">
        <f t="array" ref="Y174">INT(SUMPRODUCT(--ISNUMBER(SEARCH(democrattrigger,'Jon Ossoff'!C174)))&gt;0)</f>
        <v>0</v>
      </c>
      <c r="Z174" s="14" cm="1">
        <f t="array" ref="Z174">INT(SUMPRODUCT(--ISNUMBER(SEARCH(bipartisan,'Jon Ossoff'!C174)))&gt;0)</f>
        <v>0</v>
      </c>
      <c r="AA174" s="14">
        <f t="shared" si="2"/>
        <v>0</v>
      </c>
      <c r="AB174" s="14"/>
      <c r="AC174" s="30" t="s">
        <v>223</v>
      </c>
      <c r="AD174" s="37" t="s">
        <v>223</v>
      </c>
    </row>
    <row r="175" spans="1:30" x14ac:dyDescent="0.25">
      <c r="A175" s="36">
        <v>685</v>
      </c>
      <c r="B175" s="14" t="s">
        <v>1397</v>
      </c>
      <c r="C175" s="31" t="s">
        <v>1398</v>
      </c>
      <c r="D175" s="17">
        <v>44120</v>
      </c>
      <c r="E175" s="14" t="s">
        <v>30</v>
      </c>
      <c r="F175" s="14">
        <v>580</v>
      </c>
      <c r="G175" s="14">
        <v>334</v>
      </c>
      <c r="H175" s="14">
        <v>4</v>
      </c>
      <c r="I175" s="14">
        <v>2</v>
      </c>
      <c r="J175" s="14" t="s">
        <v>204</v>
      </c>
      <c r="K175" s="14" cm="1">
        <f t="array" ref="K175">INT(SUMPRODUCT(--ISNUMBER(SEARCH(economy,'Jon Ossoff'!C175)))&gt;0)</f>
        <v>0</v>
      </c>
      <c r="L175" s="14" cm="1">
        <f t="array" ref="L175">INT(SUMPRODUCT(--ISNUMBER(SEARCH(healthcare,'Jon Ossoff'!C175)))&gt;0)</f>
        <v>0</v>
      </c>
      <c r="M175" s="14" cm="1">
        <f t="array" ref="M175">INT(SUMPRODUCT(--ISNUMBER(SEARCH(supreme,'Jon Ossoff'!C175)))&gt;0)</f>
        <v>0</v>
      </c>
      <c r="N175" s="14" cm="1">
        <f t="array" ref="N175">INT(SUMPRODUCT(--ISNUMBER(SEARCH(covid,'Jon Ossoff'!C175)))&gt;0)</f>
        <v>0</v>
      </c>
      <c r="O175" s="14" cm="1">
        <f t="array" ref="O175">INT(SUMPRODUCT(--ISNUMBER(SEARCH(violent,'Jon Ossoff'!C175)))&gt;0)</f>
        <v>0</v>
      </c>
      <c r="P175" s="14" cm="1">
        <f t="array" ref="P175">INT(SUMPRODUCT(--ISNUMBER(SEARCH(foreign,'Jon Ossoff'!C175)))&gt;0)</f>
        <v>0</v>
      </c>
      <c r="Q175" s="14" cm="1">
        <f t="array" ref="Q175">INT(SUMPRODUCT(--ISNUMBER(SEARCH(gun,'Jon Ossoff'!C175)))&gt;0)</f>
        <v>0</v>
      </c>
      <c r="R175" s="14" cm="1">
        <f t="array" ref="R175">INT(SUMPRODUCT(--ISNUMBER(SEARCH(race,'Jon Ossoff'!C175)))&gt;0)</f>
        <v>0</v>
      </c>
      <c r="S175" s="14" cm="1">
        <f t="array" ref="S175">INT(SUMPRODUCT(--ISNUMBER(SEARCH(immigration,C175)))&gt;0)</f>
        <v>0</v>
      </c>
      <c r="T175" s="14" cm="1">
        <f t="array" ref="T175">INT(SUMPRODUCT(--ISNUMBER(SEARCH(econineq,C175)))&gt;0)</f>
        <v>0</v>
      </c>
      <c r="U175" s="14" cm="1">
        <f t="array" ref="U175">INT(SUMPRODUCT(--ISNUMBER(SEARCH(climate,'Jon Ossoff'!C175)))&gt;0)</f>
        <v>0</v>
      </c>
      <c r="V175" s="14" cm="1">
        <f t="array" ref="V175">INT(SUMPRODUCT(--ISNUMBER(SEARCH(abortion,'Jon Ossoff'!C175)))&gt;0)</f>
        <v>0</v>
      </c>
      <c r="W175" s="14" cm="1">
        <f t="array" ref="W175">INT(SUMPRODUCT(--ISNUMBER(SEARCH(trump,'Jon Ossoff'!C175)))&gt;0)</f>
        <v>0</v>
      </c>
      <c r="X175" s="14" cm="1">
        <f t="array" ref="X175">INT(SUMPRODUCT(--ISNUMBER(SEARCH(voting,'Jon Ossoff'!C175)))&gt;0)</f>
        <v>1</v>
      </c>
      <c r="Y175" s="14" cm="1">
        <f t="array" ref="Y175">INT(SUMPRODUCT(--ISNUMBER(SEARCH(democrattrigger,'Jon Ossoff'!C175)))&gt;0)</f>
        <v>0</v>
      </c>
      <c r="Z175" s="14" cm="1">
        <f t="array" ref="Z175">INT(SUMPRODUCT(--ISNUMBER(SEARCH(bipartisan,'Jon Ossoff'!C175)))&gt;0)</f>
        <v>0</v>
      </c>
      <c r="AA175" s="14">
        <f t="shared" si="2"/>
        <v>0</v>
      </c>
      <c r="AB175" s="14"/>
      <c r="AC175" s="30" t="s">
        <v>223</v>
      </c>
      <c r="AD175" s="37" t="s">
        <v>223</v>
      </c>
    </row>
    <row r="176" spans="1:30" x14ac:dyDescent="0.25">
      <c r="A176" s="36">
        <v>686</v>
      </c>
      <c r="B176" s="14" t="s">
        <v>1399</v>
      </c>
      <c r="C176" s="31" t="s">
        <v>1400</v>
      </c>
      <c r="D176" s="17">
        <v>44120</v>
      </c>
      <c r="E176" s="14" t="s">
        <v>30</v>
      </c>
      <c r="F176" s="14">
        <v>988</v>
      </c>
      <c r="G176" s="14">
        <v>319</v>
      </c>
      <c r="H176" s="14">
        <v>4</v>
      </c>
      <c r="I176" s="14">
        <v>2</v>
      </c>
      <c r="J176" s="14" t="s">
        <v>204</v>
      </c>
      <c r="K176" s="14" cm="1">
        <f t="array" ref="K176">INT(SUMPRODUCT(--ISNUMBER(SEARCH(economy,'Jon Ossoff'!C176)))&gt;0)</f>
        <v>0</v>
      </c>
      <c r="L176" s="14" cm="1">
        <f t="array" ref="L176">INT(SUMPRODUCT(--ISNUMBER(SEARCH(healthcare,'Jon Ossoff'!C176)))&gt;0)</f>
        <v>0</v>
      </c>
      <c r="M176" s="14" cm="1">
        <f t="array" ref="M176">INT(SUMPRODUCT(--ISNUMBER(SEARCH(supreme,'Jon Ossoff'!C176)))&gt;0)</f>
        <v>0</v>
      </c>
      <c r="N176" s="14" cm="1">
        <f t="array" ref="N176">INT(SUMPRODUCT(--ISNUMBER(SEARCH(covid,'Jon Ossoff'!C176)))&gt;0)</f>
        <v>0</v>
      </c>
      <c r="O176" s="14" cm="1">
        <f t="array" ref="O176">INT(SUMPRODUCT(--ISNUMBER(SEARCH(violent,'Jon Ossoff'!C176)))&gt;0)</f>
        <v>0</v>
      </c>
      <c r="P176" s="14" cm="1">
        <f t="array" ref="P176">INT(SUMPRODUCT(--ISNUMBER(SEARCH(foreign,'Jon Ossoff'!C176)))&gt;0)</f>
        <v>0</v>
      </c>
      <c r="Q176" s="14" cm="1">
        <f t="array" ref="Q176">INT(SUMPRODUCT(--ISNUMBER(SEARCH(gun,'Jon Ossoff'!C176)))&gt;0)</f>
        <v>0</v>
      </c>
      <c r="R176" s="14" cm="1">
        <f t="array" ref="R176">INT(SUMPRODUCT(--ISNUMBER(SEARCH(race,'Jon Ossoff'!C176)))&gt;0)</f>
        <v>0</v>
      </c>
      <c r="S176" s="14" cm="1">
        <f t="array" ref="S176">INT(SUMPRODUCT(--ISNUMBER(SEARCH(immigration,C176)))&gt;0)</f>
        <v>0</v>
      </c>
      <c r="T176" s="14" cm="1">
        <f t="array" ref="T176">INT(SUMPRODUCT(--ISNUMBER(SEARCH(econineq,C176)))&gt;0)</f>
        <v>0</v>
      </c>
      <c r="U176" s="14" cm="1">
        <f t="array" ref="U176">INT(SUMPRODUCT(--ISNUMBER(SEARCH(climate,'Jon Ossoff'!C176)))&gt;0)</f>
        <v>0</v>
      </c>
      <c r="V176" s="14" cm="1">
        <f t="array" ref="V176">INT(SUMPRODUCT(--ISNUMBER(SEARCH(abortion,'Jon Ossoff'!C176)))&gt;0)</f>
        <v>0</v>
      </c>
      <c r="W176" s="14" cm="1">
        <f t="array" ref="W176">INT(SUMPRODUCT(--ISNUMBER(SEARCH(trump,'Jon Ossoff'!C176)))&gt;0)</f>
        <v>0</v>
      </c>
      <c r="X176" s="14" cm="1">
        <f t="array" ref="X176">INT(SUMPRODUCT(--ISNUMBER(SEARCH(voting,'Jon Ossoff'!C176)))&gt;0)</f>
        <v>1</v>
      </c>
      <c r="Y176" s="14" cm="1">
        <f t="array" ref="Y176">INT(SUMPRODUCT(--ISNUMBER(SEARCH(democrattrigger,'Jon Ossoff'!C176)))&gt;0)</f>
        <v>1</v>
      </c>
      <c r="Z176" s="14" cm="1">
        <f t="array" ref="Z176">INT(SUMPRODUCT(--ISNUMBER(SEARCH(bipartisan,'Jon Ossoff'!C176)))&gt;0)</f>
        <v>0</v>
      </c>
      <c r="AA176" s="14">
        <f t="shared" si="2"/>
        <v>0</v>
      </c>
      <c r="AB176" s="14"/>
      <c r="AC176" s="30" t="s">
        <v>223</v>
      </c>
      <c r="AD176" s="37" t="s">
        <v>223</v>
      </c>
    </row>
    <row r="177" spans="1:30" x14ac:dyDescent="0.25">
      <c r="A177" s="36">
        <v>687</v>
      </c>
      <c r="B177" s="14" t="s">
        <v>1401</v>
      </c>
      <c r="C177" s="31" t="s">
        <v>1402</v>
      </c>
      <c r="D177" s="17">
        <v>44120</v>
      </c>
      <c r="E177" s="14" t="s">
        <v>30</v>
      </c>
      <c r="F177" s="14">
        <v>2675</v>
      </c>
      <c r="G177" s="14">
        <v>825</v>
      </c>
      <c r="H177" s="14">
        <v>4</v>
      </c>
      <c r="I177" s="14">
        <v>2</v>
      </c>
      <c r="J177" s="14" t="s">
        <v>204</v>
      </c>
      <c r="K177" s="14" cm="1">
        <f t="array" ref="K177">INT(SUMPRODUCT(--ISNUMBER(SEARCH(economy,'Jon Ossoff'!C177)))&gt;0)</f>
        <v>0</v>
      </c>
      <c r="L177" s="14" cm="1">
        <f t="array" ref="L177">INT(SUMPRODUCT(--ISNUMBER(SEARCH(healthcare,'Jon Ossoff'!C177)))&gt;0)</f>
        <v>0</v>
      </c>
      <c r="M177" s="14" cm="1">
        <f t="array" ref="M177">INT(SUMPRODUCT(--ISNUMBER(SEARCH(supreme,'Jon Ossoff'!C177)))&gt;0)</f>
        <v>0</v>
      </c>
      <c r="N177" s="14" cm="1">
        <f t="array" ref="N177">INT(SUMPRODUCT(--ISNUMBER(SEARCH(covid,'Jon Ossoff'!C177)))&gt;0)</f>
        <v>0</v>
      </c>
      <c r="O177" s="14" cm="1">
        <f t="array" ref="O177">INT(SUMPRODUCT(--ISNUMBER(SEARCH(violent,'Jon Ossoff'!C177)))&gt;0)</f>
        <v>0</v>
      </c>
      <c r="P177" s="14" cm="1">
        <f t="array" ref="P177">INT(SUMPRODUCT(--ISNUMBER(SEARCH(foreign,'Jon Ossoff'!C177)))&gt;0)</f>
        <v>0</v>
      </c>
      <c r="Q177" s="14" cm="1">
        <f t="array" ref="Q177">INT(SUMPRODUCT(--ISNUMBER(SEARCH(gun,'Jon Ossoff'!C177)))&gt;0)</f>
        <v>0</v>
      </c>
      <c r="R177" s="14" cm="1">
        <f t="array" ref="R177">INT(SUMPRODUCT(--ISNUMBER(SEARCH(race,'Jon Ossoff'!C177)))&gt;0)</f>
        <v>0</v>
      </c>
      <c r="S177" s="14" cm="1">
        <f t="array" ref="S177">INT(SUMPRODUCT(--ISNUMBER(SEARCH(immigration,C177)))&gt;0)</f>
        <v>0</v>
      </c>
      <c r="T177" s="14" cm="1">
        <f t="array" ref="T177">INT(SUMPRODUCT(--ISNUMBER(SEARCH(econineq,C177)))&gt;0)</f>
        <v>0</v>
      </c>
      <c r="U177" s="14" cm="1">
        <f t="array" ref="U177">INT(SUMPRODUCT(--ISNUMBER(SEARCH(climate,'Jon Ossoff'!C177)))&gt;0)</f>
        <v>1</v>
      </c>
      <c r="V177" s="14" cm="1">
        <f t="array" ref="V177">INT(SUMPRODUCT(--ISNUMBER(SEARCH(abortion,'Jon Ossoff'!C177)))&gt;0)</f>
        <v>0</v>
      </c>
      <c r="W177" s="14" cm="1">
        <f t="array" ref="W177">INT(SUMPRODUCT(--ISNUMBER(SEARCH(trump,'Jon Ossoff'!C177)))&gt;0)</f>
        <v>0</v>
      </c>
      <c r="X177" s="14" cm="1">
        <f t="array" ref="X177">INT(SUMPRODUCT(--ISNUMBER(SEARCH(voting,'Jon Ossoff'!C177)))&gt;0)</f>
        <v>1</v>
      </c>
      <c r="Y177" s="14" cm="1">
        <f t="array" ref="Y177">INT(SUMPRODUCT(--ISNUMBER(SEARCH(democrattrigger,'Jon Ossoff'!C177)))&gt;0)</f>
        <v>0</v>
      </c>
      <c r="Z177" s="14" cm="1">
        <f t="array" ref="Z177">INT(SUMPRODUCT(--ISNUMBER(SEARCH(bipartisan,'Jon Ossoff'!C177)))&gt;0)</f>
        <v>0</v>
      </c>
      <c r="AA177" s="14">
        <f t="shared" si="2"/>
        <v>0</v>
      </c>
      <c r="AB177" s="14"/>
      <c r="AC177" s="30" t="s">
        <v>223</v>
      </c>
      <c r="AD177" s="37" t="s">
        <v>223</v>
      </c>
    </row>
    <row r="178" spans="1:30" x14ac:dyDescent="0.25">
      <c r="A178" s="36">
        <v>688</v>
      </c>
      <c r="B178" s="14" t="s">
        <v>1403</v>
      </c>
      <c r="C178" s="31" t="s">
        <v>1404</v>
      </c>
      <c r="D178" s="17">
        <v>44119</v>
      </c>
      <c r="E178" s="14" t="s">
        <v>30</v>
      </c>
      <c r="F178" s="14">
        <v>480</v>
      </c>
      <c r="G178" s="14">
        <v>149</v>
      </c>
      <c r="H178" s="14">
        <v>4</v>
      </c>
      <c r="I178" s="14">
        <v>2</v>
      </c>
      <c r="J178" s="14" t="s">
        <v>204</v>
      </c>
      <c r="K178" s="14" cm="1">
        <f t="array" ref="K178">INT(SUMPRODUCT(--ISNUMBER(SEARCH(economy,'Jon Ossoff'!C178)))&gt;0)</f>
        <v>0</v>
      </c>
      <c r="L178" s="14" cm="1">
        <f t="array" ref="L178">INT(SUMPRODUCT(--ISNUMBER(SEARCH(healthcare,'Jon Ossoff'!C178)))&gt;0)</f>
        <v>0</v>
      </c>
      <c r="M178" s="14" cm="1">
        <f t="array" ref="M178">INT(SUMPRODUCT(--ISNUMBER(SEARCH(supreme,'Jon Ossoff'!C178)))&gt;0)</f>
        <v>0</v>
      </c>
      <c r="N178" s="14" cm="1">
        <f t="array" ref="N178">INT(SUMPRODUCT(--ISNUMBER(SEARCH(covid,'Jon Ossoff'!C178)))&gt;0)</f>
        <v>0</v>
      </c>
      <c r="O178" s="14" cm="1">
        <f t="array" ref="O178">INT(SUMPRODUCT(--ISNUMBER(SEARCH(violent,'Jon Ossoff'!C178)))&gt;0)</f>
        <v>0</v>
      </c>
      <c r="P178" s="14" cm="1">
        <f t="array" ref="P178">INT(SUMPRODUCT(--ISNUMBER(SEARCH(foreign,'Jon Ossoff'!C178)))&gt;0)</f>
        <v>0</v>
      </c>
      <c r="Q178" s="14" cm="1">
        <f t="array" ref="Q178">INT(SUMPRODUCT(--ISNUMBER(SEARCH(gun,'Jon Ossoff'!C178)))&gt;0)</f>
        <v>0</v>
      </c>
      <c r="R178" s="14" cm="1">
        <f t="array" ref="R178">INT(SUMPRODUCT(--ISNUMBER(SEARCH(race,'Jon Ossoff'!C178)))&gt;0)</f>
        <v>0</v>
      </c>
      <c r="S178" s="14" cm="1">
        <f t="array" ref="S178">INT(SUMPRODUCT(--ISNUMBER(SEARCH(immigration,C178)))&gt;0)</f>
        <v>0</v>
      </c>
      <c r="T178" s="14" cm="1">
        <f t="array" ref="T178">INT(SUMPRODUCT(--ISNUMBER(SEARCH(econineq,C178)))&gt;0)</f>
        <v>0</v>
      </c>
      <c r="U178" s="14" cm="1">
        <f t="array" ref="U178">INT(SUMPRODUCT(--ISNUMBER(SEARCH(climate,'Jon Ossoff'!C178)))&gt;0)</f>
        <v>0</v>
      </c>
      <c r="V178" s="14" cm="1">
        <f t="array" ref="V178">INT(SUMPRODUCT(--ISNUMBER(SEARCH(abortion,'Jon Ossoff'!C178)))&gt;0)</f>
        <v>0</v>
      </c>
      <c r="W178" s="14" cm="1">
        <f t="array" ref="W178">INT(SUMPRODUCT(--ISNUMBER(SEARCH(trump,'Jon Ossoff'!C178)))&gt;0)</f>
        <v>0</v>
      </c>
      <c r="X178" s="14" cm="1">
        <f t="array" ref="X178">INT(SUMPRODUCT(--ISNUMBER(SEARCH(voting,'Jon Ossoff'!C178)))&gt;0)</f>
        <v>0</v>
      </c>
      <c r="Y178" s="14" cm="1">
        <f t="array" ref="Y178">INT(SUMPRODUCT(--ISNUMBER(SEARCH(democrattrigger,'Jon Ossoff'!C178)))&gt;0)</f>
        <v>0</v>
      </c>
      <c r="Z178" s="14" cm="1">
        <f t="array" ref="Z178">INT(SUMPRODUCT(--ISNUMBER(SEARCH(bipartisan,'Jon Ossoff'!C178)))&gt;0)</f>
        <v>0</v>
      </c>
      <c r="AA178" s="14">
        <f t="shared" si="2"/>
        <v>1</v>
      </c>
      <c r="AB178" s="14"/>
      <c r="AC178" s="30" t="s">
        <v>223</v>
      </c>
      <c r="AD178" s="37" t="s">
        <v>223</v>
      </c>
    </row>
    <row r="179" spans="1:30" x14ac:dyDescent="0.25">
      <c r="A179" s="36">
        <v>689</v>
      </c>
      <c r="B179" s="14" t="s">
        <v>1405</v>
      </c>
      <c r="C179" s="31" t="s">
        <v>1406</v>
      </c>
      <c r="D179" s="17">
        <v>44119</v>
      </c>
      <c r="E179" s="14" t="s">
        <v>30</v>
      </c>
      <c r="F179" s="14">
        <v>950</v>
      </c>
      <c r="G179" s="14">
        <v>271</v>
      </c>
      <c r="H179" s="14">
        <v>4</v>
      </c>
      <c r="I179" s="14">
        <v>2</v>
      </c>
      <c r="J179" s="14" t="s">
        <v>204</v>
      </c>
      <c r="K179" s="14" cm="1">
        <f t="array" ref="K179">INT(SUMPRODUCT(--ISNUMBER(SEARCH(economy,'Jon Ossoff'!C179)))&gt;0)</f>
        <v>0</v>
      </c>
      <c r="L179" s="14" cm="1">
        <f t="array" ref="L179">INT(SUMPRODUCT(--ISNUMBER(SEARCH(healthcare,'Jon Ossoff'!C179)))&gt;0)</f>
        <v>0</v>
      </c>
      <c r="M179" s="14" cm="1">
        <f t="array" ref="M179">INT(SUMPRODUCT(--ISNUMBER(SEARCH(supreme,'Jon Ossoff'!C179)))&gt;0)</f>
        <v>0</v>
      </c>
      <c r="N179" s="14" cm="1">
        <f t="array" ref="N179">INT(SUMPRODUCT(--ISNUMBER(SEARCH(covid,'Jon Ossoff'!C179)))&gt;0)</f>
        <v>0</v>
      </c>
      <c r="O179" s="14" cm="1">
        <f t="array" ref="O179">INT(SUMPRODUCT(--ISNUMBER(SEARCH(violent,'Jon Ossoff'!C179)))&gt;0)</f>
        <v>1</v>
      </c>
      <c r="P179" s="14" cm="1">
        <f t="array" ref="P179">INT(SUMPRODUCT(--ISNUMBER(SEARCH(foreign,'Jon Ossoff'!C179)))&gt;0)</f>
        <v>0</v>
      </c>
      <c r="Q179" s="14" cm="1">
        <f t="array" ref="Q179">INT(SUMPRODUCT(--ISNUMBER(SEARCH(gun,'Jon Ossoff'!C179)))&gt;0)</f>
        <v>0</v>
      </c>
      <c r="R179" s="14" cm="1">
        <f t="array" ref="R179">INT(SUMPRODUCT(--ISNUMBER(SEARCH(race,'Jon Ossoff'!C179)))&gt;0)</f>
        <v>1</v>
      </c>
      <c r="S179" s="14" cm="1">
        <f t="array" ref="S179">INT(SUMPRODUCT(--ISNUMBER(SEARCH(immigration,C179)))&gt;0)</f>
        <v>0</v>
      </c>
      <c r="T179" s="14" cm="1">
        <f t="array" ref="T179">INT(SUMPRODUCT(--ISNUMBER(SEARCH(econineq,C179)))&gt;0)</f>
        <v>0</v>
      </c>
      <c r="U179" s="14" cm="1">
        <f t="array" ref="U179">INT(SUMPRODUCT(--ISNUMBER(SEARCH(climate,'Jon Ossoff'!C179)))&gt;0)</f>
        <v>0</v>
      </c>
      <c r="V179" s="14" cm="1">
        <f t="array" ref="V179">INT(SUMPRODUCT(--ISNUMBER(SEARCH(abortion,'Jon Ossoff'!C179)))&gt;0)</f>
        <v>0</v>
      </c>
      <c r="W179" s="14" cm="1">
        <f t="array" ref="W179">INT(SUMPRODUCT(--ISNUMBER(SEARCH(trump,'Jon Ossoff'!C179)))&gt;0)</f>
        <v>0</v>
      </c>
      <c r="X179" s="14" cm="1">
        <f t="array" ref="X179">INT(SUMPRODUCT(--ISNUMBER(SEARCH(voting,'Jon Ossoff'!C179)))&gt;0)</f>
        <v>0</v>
      </c>
      <c r="Y179" s="14" cm="1">
        <f t="array" ref="Y179">INT(SUMPRODUCT(--ISNUMBER(SEARCH(democrattrigger,'Jon Ossoff'!C179)))&gt;0)</f>
        <v>0</v>
      </c>
      <c r="Z179" s="14" cm="1">
        <f t="array" ref="Z179">INT(SUMPRODUCT(--ISNUMBER(SEARCH(bipartisan,'Jon Ossoff'!C179)))&gt;0)</f>
        <v>0</v>
      </c>
      <c r="AA179" s="14">
        <f t="shared" si="2"/>
        <v>0</v>
      </c>
      <c r="AB179" s="14"/>
      <c r="AC179" s="30" t="s">
        <v>223</v>
      </c>
      <c r="AD179" s="37" t="s">
        <v>223</v>
      </c>
    </row>
    <row r="180" spans="1:30" x14ac:dyDescent="0.25">
      <c r="A180" s="36">
        <v>690</v>
      </c>
      <c r="B180" s="14" t="s">
        <v>1407</v>
      </c>
      <c r="C180" s="31" t="s">
        <v>1408</v>
      </c>
      <c r="D180" s="17">
        <v>44119</v>
      </c>
      <c r="E180" s="14" t="s">
        <v>30</v>
      </c>
      <c r="F180" s="14">
        <v>18067</v>
      </c>
      <c r="G180" s="14">
        <v>6986</v>
      </c>
      <c r="H180" s="14">
        <v>4</v>
      </c>
      <c r="I180" s="14">
        <v>2</v>
      </c>
      <c r="J180" s="14" t="s">
        <v>204</v>
      </c>
      <c r="K180" s="14" cm="1">
        <f t="array" ref="K180">INT(SUMPRODUCT(--ISNUMBER(SEARCH(economy,'Jon Ossoff'!C180)))&gt;0)</f>
        <v>0</v>
      </c>
      <c r="L180" s="14" cm="1">
        <f t="array" ref="L180">INT(SUMPRODUCT(--ISNUMBER(SEARCH(healthcare,'Jon Ossoff'!C180)))&gt;0)</f>
        <v>0</v>
      </c>
      <c r="M180" s="14" cm="1">
        <f t="array" ref="M180">INT(SUMPRODUCT(--ISNUMBER(SEARCH(supreme,'Jon Ossoff'!C180)))&gt;0)</f>
        <v>0</v>
      </c>
      <c r="N180" s="14" cm="1">
        <f t="array" ref="N180">INT(SUMPRODUCT(--ISNUMBER(SEARCH(covid,'Jon Ossoff'!C180)))&gt;0)</f>
        <v>0</v>
      </c>
      <c r="O180" s="14" cm="1">
        <f t="array" ref="O180">INT(SUMPRODUCT(--ISNUMBER(SEARCH(violent,'Jon Ossoff'!C180)))&gt;0)</f>
        <v>0</v>
      </c>
      <c r="P180" s="14" cm="1">
        <f t="array" ref="P180">INT(SUMPRODUCT(--ISNUMBER(SEARCH(foreign,'Jon Ossoff'!C180)))&gt;0)</f>
        <v>0</v>
      </c>
      <c r="Q180" s="14" cm="1">
        <f t="array" ref="Q180">INT(SUMPRODUCT(--ISNUMBER(SEARCH(gun,'Jon Ossoff'!C180)))&gt;0)</f>
        <v>0</v>
      </c>
      <c r="R180" s="14" cm="1">
        <f t="array" ref="R180">INT(SUMPRODUCT(--ISNUMBER(SEARCH(race,'Jon Ossoff'!C180)))&gt;0)</f>
        <v>0</v>
      </c>
      <c r="S180" s="14" cm="1">
        <f t="array" ref="S180">INT(SUMPRODUCT(--ISNUMBER(SEARCH(immigration,C180)))&gt;0)</f>
        <v>0</v>
      </c>
      <c r="T180" s="14" cm="1">
        <f t="array" ref="T180">INT(SUMPRODUCT(--ISNUMBER(SEARCH(econineq,C180)))&gt;0)</f>
        <v>0</v>
      </c>
      <c r="U180" s="14" cm="1">
        <f t="array" ref="U180">INT(SUMPRODUCT(--ISNUMBER(SEARCH(climate,'Jon Ossoff'!C180)))&gt;0)</f>
        <v>0</v>
      </c>
      <c r="V180" s="14" cm="1">
        <f t="array" ref="V180">INT(SUMPRODUCT(--ISNUMBER(SEARCH(abortion,'Jon Ossoff'!C180)))&gt;0)</f>
        <v>0</v>
      </c>
      <c r="W180" s="14" cm="1">
        <f t="array" ref="W180">INT(SUMPRODUCT(--ISNUMBER(SEARCH(trump,'Jon Ossoff'!C180)))&gt;0)</f>
        <v>0</v>
      </c>
      <c r="X180" s="14" cm="1">
        <f t="array" ref="X180">INT(SUMPRODUCT(--ISNUMBER(SEARCH(voting,'Jon Ossoff'!C180)))&gt;0)</f>
        <v>0</v>
      </c>
      <c r="Y180" s="14" cm="1">
        <f t="array" ref="Y180">INT(SUMPRODUCT(--ISNUMBER(SEARCH(democrattrigger,'Jon Ossoff'!C180)))&gt;0)</f>
        <v>1</v>
      </c>
      <c r="Z180" s="14" cm="1">
        <f t="array" ref="Z180">INT(SUMPRODUCT(--ISNUMBER(SEARCH(bipartisan,'Jon Ossoff'!C180)))&gt;0)</f>
        <v>0</v>
      </c>
      <c r="AA180" s="14">
        <f t="shared" si="2"/>
        <v>0</v>
      </c>
      <c r="AB180" s="14"/>
      <c r="AC180" s="30">
        <v>1</v>
      </c>
      <c r="AD180" s="37">
        <v>0</v>
      </c>
    </row>
    <row r="181" spans="1:30" x14ac:dyDescent="0.25">
      <c r="A181" s="36">
        <v>691</v>
      </c>
      <c r="B181" s="14" t="s">
        <v>1409</v>
      </c>
      <c r="C181" s="31" t="s">
        <v>1410</v>
      </c>
      <c r="D181" s="17">
        <v>44119</v>
      </c>
      <c r="E181" s="14" t="s">
        <v>30</v>
      </c>
      <c r="F181" s="14">
        <v>671</v>
      </c>
      <c r="G181" s="14">
        <v>177</v>
      </c>
      <c r="H181" s="14">
        <v>4</v>
      </c>
      <c r="I181" s="14">
        <v>2</v>
      </c>
      <c r="J181" s="14" t="s">
        <v>204</v>
      </c>
      <c r="K181" s="14" cm="1">
        <f t="array" ref="K181">INT(SUMPRODUCT(--ISNUMBER(SEARCH(economy,'Jon Ossoff'!C181)))&gt;0)</f>
        <v>0</v>
      </c>
      <c r="L181" s="14" cm="1">
        <f t="array" ref="L181">INT(SUMPRODUCT(--ISNUMBER(SEARCH(healthcare,'Jon Ossoff'!C181)))&gt;0)</f>
        <v>0</v>
      </c>
      <c r="M181" s="14" cm="1">
        <f t="array" ref="M181">INT(SUMPRODUCT(--ISNUMBER(SEARCH(supreme,'Jon Ossoff'!C181)))&gt;0)</f>
        <v>0</v>
      </c>
      <c r="N181" s="14" cm="1">
        <f t="array" ref="N181">INT(SUMPRODUCT(--ISNUMBER(SEARCH(covid,'Jon Ossoff'!C181)))&gt;0)</f>
        <v>0</v>
      </c>
      <c r="O181" s="14" cm="1">
        <f t="array" ref="O181">INT(SUMPRODUCT(--ISNUMBER(SEARCH(violent,'Jon Ossoff'!C181)))&gt;0)</f>
        <v>0</v>
      </c>
      <c r="P181" s="14" cm="1">
        <f t="array" ref="P181">INT(SUMPRODUCT(--ISNUMBER(SEARCH(foreign,'Jon Ossoff'!C181)))&gt;0)</f>
        <v>0</v>
      </c>
      <c r="Q181" s="14" cm="1">
        <f t="array" ref="Q181">INT(SUMPRODUCT(--ISNUMBER(SEARCH(gun,'Jon Ossoff'!C181)))&gt;0)</f>
        <v>0</v>
      </c>
      <c r="R181" s="14" cm="1">
        <f t="array" ref="R181">INT(SUMPRODUCT(--ISNUMBER(SEARCH(race,'Jon Ossoff'!C181)))&gt;0)</f>
        <v>0</v>
      </c>
      <c r="S181" s="14" cm="1">
        <f t="array" ref="S181">INT(SUMPRODUCT(--ISNUMBER(SEARCH(immigration,C181)))&gt;0)</f>
        <v>0</v>
      </c>
      <c r="T181" s="14" cm="1">
        <f t="array" ref="T181">INT(SUMPRODUCT(--ISNUMBER(SEARCH(econineq,C181)))&gt;0)</f>
        <v>0</v>
      </c>
      <c r="U181" s="14" cm="1">
        <f t="array" ref="U181">INT(SUMPRODUCT(--ISNUMBER(SEARCH(climate,'Jon Ossoff'!C181)))&gt;0)</f>
        <v>0</v>
      </c>
      <c r="V181" s="14" cm="1">
        <f t="array" ref="V181">INT(SUMPRODUCT(--ISNUMBER(SEARCH(abortion,'Jon Ossoff'!C181)))&gt;0)</f>
        <v>0</v>
      </c>
      <c r="W181" s="14" cm="1">
        <f t="array" ref="W181">INT(SUMPRODUCT(--ISNUMBER(SEARCH(trump,'Jon Ossoff'!C181)))&gt;0)</f>
        <v>0</v>
      </c>
      <c r="X181" s="14" cm="1">
        <f t="array" ref="X181">INT(SUMPRODUCT(--ISNUMBER(SEARCH(voting,'Jon Ossoff'!C181)))&gt;0)</f>
        <v>1</v>
      </c>
      <c r="Y181" s="14" cm="1">
        <f t="array" ref="Y181">INT(SUMPRODUCT(--ISNUMBER(SEARCH(democrattrigger,'Jon Ossoff'!C181)))&gt;0)</f>
        <v>0</v>
      </c>
      <c r="Z181" s="14" cm="1">
        <f t="array" ref="Z181">INT(SUMPRODUCT(--ISNUMBER(SEARCH(bipartisan,'Jon Ossoff'!C181)))&gt;0)</f>
        <v>0</v>
      </c>
      <c r="AA181" s="14">
        <f t="shared" si="2"/>
        <v>0</v>
      </c>
      <c r="AB181" s="14"/>
      <c r="AC181" s="30">
        <v>1</v>
      </c>
      <c r="AD181" s="37">
        <v>0</v>
      </c>
    </row>
    <row r="182" spans="1:30" x14ac:dyDescent="0.25">
      <c r="A182" s="36">
        <v>692</v>
      </c>
      <c r="B182" s="14" t="s">
        <v>1411</v>
      </c>
      <c r="C182" s="31" t="s">
        <v>1412</v>
      </c>
      <c r="D182" s="17">
        <v>44119</v>
      </c>
      <c r="E182" s="14" t="s">
        <v>30</v>
      </c>
      <c r="F182" s="14">
        <v>2204</v>
      </c>
      <c r="G182" s="14">
        <v>488</v>
      </c>
      <c r="H182" s="14">
        <v>4</v>
      </c>
      <c r="I182" s="14">
        <v>2</v>
      </c>
      <c r="J182" s="14" t="s">
        <v>204</v>
      </c>
      <c r="K182" s="14" cm="1">
        <f t="array" ref="K182">INT(SUMPRODUCT(--ISNUMBER(SEARCH(economy,'Jon Ossoff'!C182)))&gt;0)</f>
        <v>0</v>
      </c>
      <c r="L182" s="14" cm="1">
        <f t="array" ref="L182">INT(SUMPRODUCT(--ISNUMBER(SEARCH(healthcare,'Jon Ossoff'!C182)))&gt;0)</f>
        <v>0</v>
      </c>
      <c r="M182" s="14" cm="1">
        <f t="array" ref="M182">INT(SUMPRODUCT(--ISNUMBER(SEARCH(supreme,'Jon Ossoff'!C182)))&gt;0)</f>
        <v>0</v>
      </c>
      <c r="N182" s="14" cm="1">
        <f t="array" ref="N182">INT(SUMPRODUCT(--ISNUMBER(SEARCH(covid,'Jon Ossoff'!C182)))&gt;0)</f>
        <v>0</v>
      </c>
      <c r="O182" s="14" cm="1">
        <f t="array" ref="O182">INT(SUMPRODUCT(--ISNUMBER(SEARCH(violent,'Jon Ossoff'!C182)))&gt;0)</f>
        <v>0</v>
      </c>
      <c r="P182" s="14" cm="1">
        <f t="array" ref="P182">INT(SUMPRODUCT(--ISNUMBER(SEARCH(foreign,'Jon Ossoff'!C182)))&gt;0)</f>
        <v>1</v>
      </c>
      <c r="Q182" s="14" cm="1">
        <f t="array" ref="Q182">INT(SUMPRODUCT(--ISNUMBER(SEARCH(gun,'Jon Ossoff'!C182)))&gt;0)</f>
        <v>0</v>
      </c>
      <c r="R182" s="14" cm="1">
        <f t="array" ref="R182">INT(SUMPRODUCT(--ISNUMBER(SEARCH(race,'Jon Ossoff'!C182)))&gt;0)</f>
        <v>0</v>
      </c>
      <c r="S182" s="14" cm="1">
        <f t="array" ref="S182">INT(SUMPRODUCT(--ISNUMBER(SEARCH(immigration,C182)))&gt;0)</f>
        <v>0</v>
      </c>
      <c r="T182" s="14" cm="1">
        <f t="array" ref="T182">INT(SUMPRODUCT(--ISNUMBER(SEARCH(econineq,C182)))&gt;0)</f>
        <v>0</v>
      </c>
      <c r="U182" s="14" cm="1">
        <f t="array" ref="U182">INT(SUMPRODUCT(--ISNUMBER(SEARCH(climate,'Jon Ossoff'!C182)))&gt;0)</f>
        <v>0</v>
      </c>
      <c r="V182" s="14" cm="1">
        <f t="array" ref="V182">INT(SUMPRODUCT(--ISNUMBER(SEARCH(abortion,'Jon Ossoff'!C182)))&gt;0)</f>
        <v>0</v>
      </c>
      <c r="W182" s="14" cm="1">
        <f t="array" ref="W182">INT(SUMPRODUCT(--ISNUMBER(SEARCH(trump,'Jon Ossoff'!C182)))&gt;0)</f>
        <v>0</v>
      </c>
      <c r="X182" s="14" cm="1">
        <f t="array" ref="X182">INT(SUMPRODUCT(--ISNUMBER(SEARCH(voting,'Jon Ossoff'!C182)))&gt;0)</f>
        <v>0</v>
      </c>
      <c r="Y182" s="14" cm="1">
        <f t="array" ref="Y182">INT(SUMPRODUCT(--ISNUMBER(SEARCH(democrattrigger,'Jon Ossoff'!C182)))&gt;0)</f>
        <v>0</v>
      </c>
      <c r="Z182" s="14" cm="1">
        <f t="array" ref="Z182">INT(SUMPRODUCT(--ISNUMBER(SEARCH(bipartisan,'Jon Ossoff'!C182)))&gt;0)</f>
        <v>0</v>
      </c>
      <c r="AA182" s="14">
        <f t="shared" si="2"/>
        <v>0</v>
      </c>
      <c r="AB182" s="14"/>
      <c r="AC182" s="30" t="s">
        <v>223</v>
      </c>
      <c r="AD182" s="37" t="s">
        <v>223</v>
      </c>
    </row>
    <row r="183" spans="1:30" x14ac:dyDescent="0.25">
      <c r="A183" s="36">
        <v>693</v>
      </c>
      <c r="B183" s="14" t="s">
        <v>1413</v>
      </c>
      <c r="C183" s="31" t="s">
        <v>1414</v>
      </c>
      <c r="D183" s="17">
        <v>44118</v>
      </c>
      <c r="E183" s="14" t="s">
        <v>70</v>
      </c>
      <c r="F183" s="14">
        <v>105</v>
      </c>
      <c r="G183" s="14">
        <v>67</v>
      </c>
      <c r="H183" s="14">
        <v>4</v>
      </c>
      <c r="I183" s="14">
        <v>2</v>
      </c>
      <c r="J183" s="14" t="s">
        <v>204</v>
      </c>
      <c r="K183" s="14" cm="1">
        <f t="array" ref="K183">INT(SUMPRODUCT(--ISNUMBER(SEARCH(economy,'Jon Ossoff'!C183)))&gt;0)</f>
        <v>0</v>
      </c>
      <c r="L183" s="14" cm="1">
        <f t="array" ref="L183">INT(SUMPRODUCT(--ISNUMBER(SEARCH(healthcare,'Jon Ossoff'!C183)))&gt;0)</f>
        <v>0</v>
      </c>
      <c r="M183" s="14" cm="1">
        <f t="array" ref="M183">INT(SUMPRODUCT(--ISNUMBER(SEARCH(supreme,'Jon Ossoff'!C183)))&gt;0)</f>
        <v>0</v>
      </c>
      <c r="N183" s="14" cm="1">
        <f t="array" ref="N183">INT(SUMPRODUCT(--ISNUMBER(SEARCH(covid,'Jon Ossoff'!C183)))&gt;0)</f>
        <v>0</v>
      </c>
      <c r="O183" s="14" cm="1">
        <f t="array" ref="O183">INT(SUMPRODUCT(--ISNUMBER(SEARCH(violent,'Jon Ossoff'!C183)))&gt;0)</f>
        <v>0</v>
      </c>
      <c r="P183" s="14" cm="1">
        <f t="array" ref="P183">INT(SUMPRODUCT(--ISNUMBER(SEARCH(foreign,'Jon Ossoff'!C183)))&gt;0)</f>
        <v>0</v>
      </c>
      <c r="Q183" s="14" cm="1">
        <f t="array" ref="Q183">INT(SUMPRODUCT(--ISNUMBER(SEARCH(gun,'Jon Ossoff'!C183)))&gt;0)</f>
        <v>0</v>
      </c>
      <c r="R183" s="14" cm="1">
        <f t="array" ref="R183">INT(SUMPRODUCT(--ISNUMBER(SEARCH(race,'Jon Ossoff'!C183)))&gt;0)</f>
        <v>0</v>
      </c>
      <c r="S183" s="14" cm="1">
        <f t="array" ref="S183">INT(SUMPRODUCT(--ISNUMBER(SEARCH(immigration,C183)))&gt;0)</f>
        <v>0</v>
      </c>
      <c r="T183" s="14" cm="1">
        <f t="array" ref="T183">INT(SUMPRODUCT(--ISNUMBER(SEARCH(econineq,C183)))&gt;0)</f>
        <v>0</v>
      </c>
      <c r="U183" s="14" cm="1">
        <f t="array" ref="U183">INT(SUMPRODUCT(--ISNUMBER(SEARCH(climate,'Jon Ossoff'!C183)))&gt;0)</f>
        <v>0</v>
      </c>
      <c r="V183" s="14" cm="1">
        <f t="array" ref="V183">INT(SUMPRODUCT(--ISNUMBER(SEARCH(abortion,'Jon Ossoff'!C183)))&gt;0)</f>
        <v>0</v>
      </c>
      <c r="W183" s="14" cm="1">
        <f t="array" ref="W183">INT(SUMPRODUCT(--ISNUMBER(SEARCH(trump,'Jon Ossoff'!C183)))&gt;0)</f>
        <v>0</v>
      </c>
      <c r="X183" s="14" cm="1">
        <f t="array" ref="X183">INT(SUMPRODUCT(--ISNUMBER(SEARCH(voting,'Jon Ossoff'!C183)))&gt;0)</f>
        <v>1</v>
      </c>
      <c r="Y183" s="14" cm="1">
        <f t="array" ref="Y183">INT(SUMPRODUCT(--ISNUMBER(SEARCH(democrattrigger,'Jon Ossoff'!C183)))&gt;0)</f>
        <v>0</v>
      </c>
      <c r="Z183" s="14" cm="1">
        <f t="array" ref="Z183">INT(SUMPRODUCT(--ISNUMBER(SEARCH(bipartisan,'Jon Ossoff'!C183)))&gt;0)</f>
        <v>0</v>
      </c>
      <c r="AA183" s="14">
        <f t="shared" si="2"/>
        <v>0</v>
      </c>
      <c r="AB183" s="14"/>
      <c r="AC183" s="30" t="s">
        <v>223</v>
      </c>
      <c r="AD183" s="37" t="s">
        <v>223</v>
      </c>
    </row>
    <row r="184" spans="1:30" x14ac:dyDescent="0.25">
      <c r="A184" s="36">
        <v>694</v>
      </c>
      <c r="B184" s="14" t="s">
        <v>1415</v>
      </c>
      <c r="C184" s="31" t="s">
        <v>1416</v>
      </c>
      <c r="D184" s="17">
        <v>44118</v>
      </c>
      <c r="E184" s="14" t="s">
        <v>30</v>
      </c>
      <c r="F184" s="14">
        <v>534</v>
      </c>
      <c r="G184" s="14">
        <v>176</v>
      </c>
      <c r="H184" s="14">
        <v>4</v>
      </c>
      <c r="I184" s="14">
        <v>2</v>
      </c>
      <c r="J184" s="14" t="s">
        <v>204</v>
      </c>
      <c r="K184" s="14" cm="1">
        <f t="array" ref="K184">INT(SUMPRODUCT(--ISNUMBER(SEARCH(economy,'Jon Ossoff'!C184)))&gt;0)</f>
        <v>0</v>
      </c>
      <c r="L184" s="14" cm="1">
        <f t="array" ref="L184">INT(SUMPRODUCT(--ISNUMBER(SEARCH(healthcare,'Jon Ossoff'!C184)))&gt;0)</f>
        <v>0</v>
      </c>
      <c r="M184" s="14" cm="1">
        <f t="array" ref="M184">INT(SUMPRODUCT(--ISNUMBER(SEARCH(supreme,'Jon Ossoff'!C184)))&gt;0)</f>
        <v>0</v>
      </c>
      <c r="N184" s="14" cm="1">
        <f t="array" ref="N184">INT(SUMPRODUCT(--ISNUMBER(SEARCH(covid,'Jon Ossoff'!C184)))&gt;0)</f>
        <v>0</v>
      </c>
      <c r="O184" s="14" cm="1">
        <f t="array" ref="O184">INT(SUMPRODUCT(--ISNUMBER(SEARCH(violent,'Jon Ossoff'!C184)))&gt;0)</f>
        <v>0</v>
      </c>
      <c r="P184" s="14" cm="1">
        <f t="array" ref="P184">INT(SUMPRODUCT(--ISNUMBER(SEARCH(foreign,'Jon Ossoff'!C184)))&gt;0)</f>
        <v>0</v>
      </c>
      <c r="Q184" s="14" cm="1">
        <f t="array" ref="Q184">INT(SUMPRODUCT(--ISNUMBER(SEARCH(gun,'Jon Ossoff'!C184)))&gt;0)</f>
        <v>0</v>
      </c>
      <c r="R184" s="14" cm="1">
        <f t="array" ref="R184">INT(SUMPRODUCT(--ISNUMBER(SEARCH(race,'Jon Ossoff'!C184)))&gt;0)</f>
        <v>0</v>
      </c>
      <c r="S184" s="14" cm="1">
        <f t="array" ref="S184">INT(SUMPRODUCT(--ISNUMBER(SEARCH(immigration,C184)))&gt;0)</f>
        <v>0</v>
      </c>
      <c r="T184" s="14" cm="1">
        <f t="array" ref="T184">INT(SUMPRODUCT(--ISNUMBER(SEARCH(econineq,C184)))&gt;0)</f>
        <v>0</v>
      </c>
      <c r="U184" s="14" cm="1">
        <f t="array" ref="U184">INT(SUMPRODUCT(--ISNUMBER(SEARCH(climate,'Jon Ossoff'!C184)))&gt;0)</f>
        <v>0</v>
      </c>
      <c r="V184" s="14" cm="1">
        <f t="array" ref="V184">INT(SUMPRODUCT(--ISNUMBER(SEARCH(abortion,'Jon Ossoff'!C184)))&gt;0)</f>
        <v>0</v>
      </c>
      <c r="W184" s="14" cm="1">
        <f t="array" ref="W184">INT(SUMPRODUCT(--ISNUMBER(SEARCH(trump,'Jon Ossoff'!C184)))&gt;0)</f>
        <v>0</v>
      </c>
      <c r="X184" s="14" cm="1">
        <f t="array" ref="X184">INT(SUMPRODUCT(--ISNUMBER(SEARCH(voting,'Jon Ossoff'!C184)))&gt;0)</f>
        <v>1</v>
      </c>
      <c r="Y184" s="14" cm="1">
        <f t="array" ref="Y184">INT(SUMPRODUCT(--ISNUMBER(SEARCH(democrattrigger,'Jon Ossoff'!C184)))&gt;0)</f>
        <v>0</v>
      </c>
      <c r="Z184" s="14" cm="1">
        <f t="array" ref="Z184">INT(SUMPRODUCT(--ISNUMBER(SEARCH(bipartisan,'Jon Ossoff'!C184)))&gt;0)</f>
        <v>0</v>
      </c>
      <c r="AA184" s="14">
        <f t="shared" si="2"/>
        <v>0</v>
      </c>
      <c r="AB184" s="14"/>
      <c r="AC184" s="30" t="s">
        <v>223</v>
      </c>
      <c r="AD184" s="37" t="s">
        <v>223</v>
      </c>
    </row>
    <row r="185" spans="1:30" x14ac:dyDescent="0.25">
      <c r="A185" s="36">
        <v>695</v>
      </c>
      <c r="B185" s="14" t="s">
        <v>1417</v>
      </c>
      <c r="C185" s="31" t="s">
        <v>1418</v>
      </c>
      <c r="D185" s="17">
        <v>44118</v>
      </c>
      <c r="E185" s="14" t="s">
        <v>30</v>
      </c>
      <c r="F185" s="14">
        <v>1998</v>
      </c>
      <c r="G185" s="14">
        <v>804</v>
      </c>
      <c r="H185" s="14">
        <v>4</v>
      </c>
      <c r="I185" s="14">
        <v>2</v>
      </c>
      <c r="J185" s="14" t="s">
        <v>204</v>
      </c>
      <c r="K185" s="14" cm="1">
        <f t="array" ref="K185">INT(SUMPRODUCT(--ISNUMBER(SEARCH(economy,'Jon Ossoff'!C185)))&gt;0)</f>
        <v>0</v>
      </c>
      <c r="L185" s="14" cm="1">
        <f t="array" ref="L185">INT(SUMPRODUCT(--ISNUMBER(SEARCH(healthcare,'Jon Ossoff'!C185)))&gt;0)</f>
        <v>0</v>
      </c>
      <c r="M185" s="14" cm="1">
        <f t="array" ref="M185">INT(SUMPRODUCT(--ISNUMBER(SEARCH(supreme,'Jon Ossoff'!C185)))&gt;0)</f>
        <v>0</v>
      </c>
      <c r="N185" s="14" cm="1">
        <f t="array" ref="N185">INT(SUMPRODUCT(--ISNUMBER(SEARCH(covid,'Jon Ossoff'!C185)))&gt;0)</f>
        <v>0</v>
      </c>
      <c r="O185" s="14" cm="1">
        <f t="array" ref="O185">INT(SUMPRODUCT(--ISNUMBER(SEARCH(violent,'Jon Ossoff'!C185)))&gt;0)</f>
        <v>0</v>
      </c>
      <c r="P185" s="14" cm="1">
        <f t="array" ref="P185">INT(SUMPRODUCT(--ISNUMBER(SEARCH(foreign,'Jon Ossoff'!C185)))&gt;0)</f>
        <v>0</v>
      </c>
      <c r="Q185" s="14" cm="1">
        <f t="array" ref="Q185">INT(SUMPRODUCT(--ISNUMBER(SEARCH(gun,'Jon Ossoff'!C185)))&gt;0)</f>
        <v>0</v>
      </c>
      <c r="R185" s="14" cm="1">
        <f t="array" ref="R185">INT(SUMPRODUCT(--ISNUMBER(SEARCH(race,'Jon Ossoff'!C185)))&gt;0)</f>
        <v>0</v>
      </c>
      <c r="S185" s="14" cm="1">
        <f t="array" ref="S185">INT(SUMPRODUCT(--ISNUMBER(SEARCH(immigration,C185)))&gt;0)</f>
        <v>0</v>
      </c>
      <c r="T185" s="14" cm="1">
        <f t="array" ref="T185">INT(SUMPRODUCT(--ISNUMBER(SEARCH(econineq,C185)))&gt;0)</f>
        <v>0</v>
      </c>
      <c r="U185" s="14" cm="1">
        <f t="array" ref="U185">INT(SUMPRODUCT(--ISNUMBER(SEARCH(climate,'Jon Ossoff'!C185)))&gt;0)</f>
        <v>0</v>
      </c>
      <c r="V185" s="14" cm="1">
        <f t="array" ref="V185">INT(SUMPRODUCT(--ISNUMBER(SEARCH(abortion,'Jon Ossoff'!C185)))&gt;0)</f>
        <v>0</v>
      </c>
      <c r="W185" s="14" cm="1">
        <f t="array" ref="W185">INT(SUMPRODUCT(--ISNUMBER(SEARCH(trump,'Jon Ossoff'!C185)))&gt;0)</f>
        <v>0</v>
      </c>
      <c r="X185" s="14" cm="1">
        <f t="array" ref="X185">INT(SUMPRODUCT(--ISNUMBER(SEARCH(voting,'Jon Ossoff'!C185)))&gt;0)</f>
        <v>0</v>
      </c>
      <c r="Y185" s="14" cm="1">
        <f t="array" ref="Y185">INT(SUMPRODUCT(--ISNUMBER(SEARCH(democrattrigger,'Jon Ossoff'!C185)))&gt;0)</f>
        <v>0</v>
      </c>
      <c r="Z185" s="14" cm="1">
        <f t="array" ref="Z185">INT(SUMPRODUCT(--ISNUMBER(SEARCH(bipartisan,'Jon Ossoff'!C185)))&gt;0)</f>
        <v>0</v>
      </c>
      <c r="AA185" s="14">
        <f t="shared" si="2"/>
        <v>1</v>
      </c>
      <c r="AB185" s="14"/>
      <c r="AC185" s="30" t="s">
        <v>223</v>
      </c>
      <c r="AD185" s="37" t="s">
        <v>223</v>
      </c>
    </row>
    <row r="186" spans="1:30" x14ac:dyDescent="0.25">
      <c r="A186" s="36">
        <v>696</v>
      </c>
      <c r="B186" s="14" t="s">
        <v>1419</v>
      </c>
      <c r="C186" s="31" t="s">
        <v>1420</v>
      </c>
      <c r="D186" s="17">
        <v>44118</v>
      </c>
      <c r="E186" s="14" t="s">
        <v>30</v>
      </c>
      <c r="F186" s="14">
        <v>778</v>
      </c>
      <c r="G186" s="14">
        <v>252</v>
      </c>
      <c r="H186" s="14">
        <v>4</v>
      </c>
      <c r="I186" s="14">
        <v>2</v>
      </c>
      <c r="J186" s="14" t="s">
        <v>204</v>
      </c>
      <c r="K186" s="14" cm="1">
        <f t="array" ref="K186">INT(SUMPRODUCT(--ISNUMBER(SEARCH(economy,'Jon Ossoff'!C186)))&gt;0)</f>
        <v>0</v>
      </c>
      <c r="L186" s="14" cm="1">
        <f t="array" ref="L186">INT(SUMPRODUCT(--ISNUMBER(SEARCH(healthcare,'Jon Ossoff'!C186)))&gt;0)</f>
        <v>0</v>
      </c>
      <c r="M186" s="14" cm="1">
        <f t="array" ref="M186">INT(SUMPRODUCT(--ISNUMBER(SEARCH(supreme,'Jon Ossoff'!C186)))&gt;0)</f>
        <v>0</v>
      </c>
      <c r="N186" s="14" cm="1">
        <f t="array" ref="N186">INT(SUMPRODUCT(--ISNUMBER(SEARCH(covid,'Jon Ossoff'!C186)))&gt;0)</f>
        <v>0</v>
      </c>
      <c r="O186" s="14" cm="1">
        <f t="array" ref="O186">INT(SUMPRODUCT(--ISNUMBER(SEARCH(violent,'Jon Ossoff'!C186)))&gt;0)</f>
        <v>0</v>
      </c>
      <c r="P186" s="14" cm="1">
        <f t="array" ref="P186">INT(SUMPRODUCT(--ISNUMBER(SEARCH(foreign,'Jon Ossoff'!C186)))&gt;0)</f>
        <v>0</v>
      </c>
      <c r="Q186" s="14" cm="1">
        <f t="array" ref="Q186">INT(SUMPRODUCT(--ISNUMBER(SEARCH(gun,'Jon Ossoff'!C186)))&gt;0)</f>
        <v>0</v>
      </c>
      <c r="R186" s="14" cm="1">
        <f t="array" ref="R186">INT(SUMPRODUCT(--ISNUMBER(SEARCH(race,'Jon Ossoff'!C186)))&gt;0)</f>
        <v>0</v>
      </c>
      <c r="S186" s="14" cm="1">
        <f t="array" ref="S186">INT(SUMPRODUCT(--ISNUMBER(SEARCH(immigration,C186)))&gt;0)</f>
        <v>0</v>
      </c>
      <c r="T186" s="14" cm="1">
        <f t="array" ref="T186">INT(SUMPRODUCT(--ISNUMBER(SEARCH(econineq,C186)))&gt;0)</f>
        <v>0</v>
      </c>
      <c r="U186" s="14" cm="1">
        <f t="array" ref="U186">INT(SUMPRODUCT(--ISNUMBER(SEARCH(climate,'Jon Ossoff'!C186)))&gt;0)</f>
        <v>0</v>
      </c>
      <c r="V186" s="14" cm="1">
        <f t="array" ref="V186">INT(SUMPRODUCT(--ISNUMBER(SEARCH(abortion,'Jon Ossoff'!C186)))&gt;0)</f>
        <v>0</v>
      </c>
      <c r="W186" s="14" cm="1">
        <f t="array" ref="W186">INT(SUMPRODUCT(--ISNUMBER(SEARCH(trump,'Jon Ossoff'!C186)))&gt;0)</f>
        <v>0</v>
      </c>
      <c r="X186" s="14" cm="1">
        <f t="array" ref="X186">INT(SUMPRODUCT(--ISNUMBER(SEARCH(voting,'Jon Ossoff'!C186)))&gt;0)</f>
        <v>1</v>
      </c>
      <c r="Y186" s="14" cm="1">
        <f t="array" ref="Y186">INT(SUMPRODUCT(--ISNUMBER(SEARCH(democrattrigger,'Jon Ossoff'!C186)))&gt;0)</f>
        <v>0</v>
      </c>
      <c r="Z186" s="14" cm="1">
        <f t="array" ref="Z186">INT(SUMPRODUCT(--ISNUMBER(SEARCH(bipartisan,'Jon Ossoff'!C186)))&gt;0)</f>
        <v>0</v>
      </c>
      <c r="AA186" s="14">
        <f t="shared" si="2"/>
        <v>0</v>
      </c>
      <c r="AB186" s="14"/>
      <c r="AC186" s="30">
        <v>1</v>
      </c>
      <c r="AD186" s="37">
        <v>0</v>
      </c>
    </row>
    <row r="187" spans="1:30" x14ac:dyDescent="0.25">
      <c r="A187" s="36">
        <v>697</v>
      </c>
      <c r="B187" s="14" t="s">
        <v>1421</v>
      </c>
      <c r="C187" s="31" t="s">
        <v>1422</v>
      </c>
      <c r="D187" s="17">
        <v>44118</v>
      </c>
      <c r="E187" s="14" t="s">
        <v>30</v>
      </c>
      <c r="F187" s="14">
        <v>8468</v>
      </c>
      <c r="G187" s="14">
        <v>2235</v>
      </c>
      <c r="H187" s="14">
        <v>4</v>
      </c>
      <c r="I187" s="14">
        <v>2</v>
      </c>
      <c r="J187" s="14" t="s">
        <v>204</v>
      </c>
      <c r="K187" s="14" cm="1">
        <f t="array" ref="K187">INT(SUMPRODUCT(--ISNUMBER(SEARCH(economy,'Jon Ossoff'!C187)))&gt;0)</f>
        <v>0</v>
      </c>
      <c r="L187" s="14" cm="1">
        <f t="array" ref="L187">INT(SUMPRODUCT(--ISNUMBER(SEARCH(healthcare,'Jon Ossoff'!C187)))&gt;0)</f>
        <v>0</v>
      </c>
      <c r="M187" s="14" cm="1">
        <f t="array" ref="M187">INT(SUMPRODUCT(--ISNUMBER(SEARCH(supreme,'Jon Ossoff'!C187)))&gt;0)</f>
        <v>0</v>
      </c>
      <c r="N187" s="14" cm="1">
        <f t="array" ref="N187">INT(SUMPRODUCT(--ISNUMBER(SEARCH(covid,'Jon Ossoff'!C187)))&gt;0)</f>
        <v>0</v>
      </c>
      <c r="O187" s="14" cm="1">
        <f t="array" ref="O187">INT(SUMPRODUCT(--ISNUMBER(SEARCH(violent,'Jon Ossoff'!C187)))&gt;0)</f>
        <v>0</v>
      </c>
      <c r="P187" s="14" cm="1">
        <f t="array" ref="P187">INT(SUMPRODUCT(--ISNUMBER(SEARCH(foreign,'Jon Ossoff'!C187)))&gt;0)</f>
        <v>0</v>
      </c>
      <c r="Q187" s="14" cm="1">
        <f t="array" ref="Q187">INT(SUMPRODUCT(--ISNUMBER(SEARCH(gun,'Jon Ossoff'!C187)))&gt;0)</f>
        <v>0</v>
      </c>
      <c r="R187" s="14" cm="1">
        <f t="array" ref="R187">INT(SUMPRODUCT(--ISNUMBER(SEARCH(race,'Jon Ossoff'!C187)))&gt;0)</f>
        <v>0</v>
      </c>
      <c r="S187" s="14" cm="1">
        <f t="array" ref="S187">INT(SUMPRODUCT(--ISNUMBER(SEARCH(immigration,C187)))&gt;0)</f>
        <v>0</v>
      </c>
      <c r="T187" s="14" cm="1">
        <f t="array" ref="T187">INT(SUMPRODUCT(--ISNUMBER(SEARCH(econineq,C187)))&gt;0)</f>
        <v>0</v>
      </c>
      <c r="U187" s="14" cm="1">
        <f t="array" ref="U187">INT(SUMPRODUCT(--ISNUMBER(SEARCH(climate,'Jon Ossoff'!C187)))&gt;0)</f>
        <v>0</v>
      </c>
      <c r="V187" s="14" cm="1">
        <f t="array" ref="V187">INT(SUMPRODUCT(--ISNUMBER(SEARCH(abortion,'Jon Ossoff'!C187)))&gt;0)</f>
        <v>0</v>
      </c>
      <c r="W187" s="14" cm="1">
        <f t="array" ref="W187">INT(SUMPRODUCT(--ISNUMBER(SEARCH(trump,'Jon Ossoff'!C187)))&gt;0)</f>
        <v>0</v>
      </c>
      <c r="X187" s="14" cm="1">
        <f t="array" ref="X187">INT(SUMPRODUCT(--ISNUMBER(SEARCH(voting,'Jon Ossoff'!C187)))&gt;0)</f>
        <v>0</v>
      </c>
      <c r="Y187" s="14" cm="1">
        <f t="array" ref="Y187">INT(SUMPRODUCT(--ISNUMBER(SEARCH(democrattrigger,'Jon Ossoff'!C187)))&gt;0)</f>
        <v>1</v>
      </c>
      <c r="Z187" s="14" cm="1">
        <f t="array" ref="Z187">INT(SUMPRODUCT(--ISNUMBER(SEARCH(bipartisan,'Jon Ossoff'!C187)))&gt;0)</f>
        <v>0</v>
      </c>
      <c r="AA187" s="14">
        <f t="shared" si="2"/>
        <v>0</v>
      </c>
      <c r="AB187" s="14"/>
      <c r="AC187" s="30" t="s">
        <v>223</v>
      </c>
      <c r="AD187" s="37" t="s">
        <v>223</v>
      </c>
    </row>
    <row r="188" spans="1:30" x14ac:dyDescent="0.25">
      <c r="A188" s="36">
        <v>698</v>
      </c>
      <c r="B188" s="14" t="s">
        <v>1423</v>
      </c>
      <c r="C188" s="31" t="s">
        <v>1424</v>
      </c>
      <c r="D188" s="17">
        <v>44118</v>
      </c>
      <c r="E188" s="14" t="s">
        <v>30</v>
      </c>
      <c r="F188" s="14">
        <v>476</v>
      </c>
      <c r="G188" s="14">
        <v>159</v>
      </c>
      <c r="H188" s="14">
        <v>4</v>
      </c>
      <c r="I188" s="14">
        <v>2</v>
      </c>
      <c r="J188" s="14" t="s">
        <v>204</v>
      </c>
      <c r="K188" s="14" cm="1">
        <f t="array" ref="K188">INT(SUMPRODUCT(--ISNUMBER(SEARCH(economy,'Jon Ossoff'!C188)))&gt;0)</f>
        <v>0</v>
      </c>
      <c r="L188" s="14" cm="1">
        <f t="array" ref="L188">INT(SUMPRODUCT(--ISNUMBER(SEARCH(healthcare,'Jon Ossoff'!C188)))&gt;0)</f>
        <v>0</v>
      </c>
      <c r="M188" s="14" cm="1">
        <f t="array" ref="M188">INT(SUMPRODUCT(--ISNUMBER(SEARCH(supreme,'Jon Ossoff'!C188)))&gt;0)</f>
        <v>0</v>
      </c>
      <c r="N188" s="14" cm="1">
        <f t="array" ref="N188">INT(SUMPRODUCT(--ISNUMBER(SEARCH(covid,'Jon Ossoff'!C188)))&gt;0)</f>
        <v>0</v>
      </c>
      <c r="O188" s="14" cm="1">
        <f t="array" ref="O188">INT(SUMPRODUCT(--ISNUMBER(SEARCH(violent,'Jon Ossoff'!C188)))&gt;0)</f>
        <v>0</v>
      </c>
      <c r="P188" s="14" cm="1">
        <f t="array" ref="P188">INT(SUMPRODUCT(--ISNUMBER(SEARCH(foreign,'Jon Ossoff'!C188)))&gt;0)</f>
        <v>0</v>
      </c>
      <c r="Q188" s="14" cm="1">
        <f t="array" ref="Q188">INT(SUMPRODUCT(--ISNUMBER(SEARCH(gun,'Jon Ossoff'!C188)))&gt;0)</f>
        <v>0</v>
      </c>
      <c r="R188" s="14" cm="1">
        <f t="array" ref="R188">INT(SUMPRODUCT(--ISNUMBER(SEARCH(race,'Jon Ossoff'!C188)))&gt;0)</f>
        <v>0</v>
      </c>
      <c r="S188" s="14" cm="1">
        <f t="array" ref="S188">INT(SUMPRODUCT(--ISNUMBER(SEARCH(immigration,C188)))&gt;0)</f>
        <v>0</v>
      </c>
      <c r="T188" s="14" cm="1">
        <f t="array" ref="T188">INT(SUMPRODUCT(--ISNUMBER(SEARCH(econineq,C188)))&gt;0)</f>
        <v>0</v>
      </c>
      <c r="U188" s="14" cm="1">
        <f t="array" ref="U188">INT(SUMPRODUCT(--ISNUMBER(SEARCH(climate,'Jon Ossoff'!C188)))&gt;0)</f>
        <v>0</v>
      </c>
      <c r="V188" s="14" cm="1">
        <f t="array" ref="V188">INT(SUMPRODUCT(--ISNUMBER(SEARCH(abortion,'Jon Ossoff'!C188)))&gt;0)</f>
        <v>0</v>
      </c>
      <c r="W188" s="14" cm="1">
        <f t="array" ref="W188">INT(SUMPRODUCT(--ISNUMBER(SEARCH(trump,'Jon Ossoff'!C188)))&gt;0)</f>
        <v>0</v>
      </c>
      <c r="X188" s="14" cm="1">
        <f t="array" ref="X188">INT(SUMPRODUCT(--ISNUMBER(SEARCH(voting,'Jon Ossoff'!C188)))&gt;0)</f>
        <v>1</v>
      </c>
      <c r="Y188" s="14" cm="1">
        <f t="array" ref="Y188">INT(SUMPRODUCT(--ISNUMBER(SEARCH(democrattrigger,'Jon Ossoff'!C188)))&gt;0)</f>
        <v>0</v>
      </c>
      <c r="Z188" s="14" cm="1">
        <f t="array" ref="Z188">INT(SUMPRODUCT(--ISNUMBER(SEARCH(bipartisan,'Jon Ossoff'!C188)))&gt;0)</f>
        <v>0</v>
      </c>
      <c r="AA188" s="14">
        <f t="shared" si="2"/>
        <v>0</v>
      </c>
      <c r="AB188" s="14"/>
      <c r="AC188" s="30" t="s">
        <v>223</v>
      </c>
      <c r="AD188" s="37" t="s">
        <v>223</v>
      </c>
    </row>
    <row r="189" spans="1:30" x14ac:dyDescent="0.25">
      <c r="A189" s="36">
        <v>699</v>
      </c>
      <c r="B189" s="14" t="s">
        <v>1425</v>
      </c>
      <c r="C189" s="31" t="s">
        <v>1426</v>
      </c>
      <c r="D189" s="17">
        <v>44118</v>
      </c>
      <c r="E189" s="14" t="s">
        <v>30</v>
      </c>
      <c r="F189" s="14">
        <v>973</v>
      </c>
      <c r="G189" s="14">
        <v>267</v>
      </c>
      <c r="H189" s="14">
        <v>4</v>
      </c>
      <c r="I189" s="14">
        <v>2</v>
      </c>
      <c r="J189" s="14" t="s">
        <v>204</v>
      </c>
      <c r="K189" s="14" cm="1">
        <f t="array" ref="K189">INT(SUMPRODUCT(--ISNUMBER(SEARCH(economy,'Jon Ossoff'!C189)))&gt;0)</f>
        <v>0</v>
      </c>
      <c r="L189" s="14" cm="1">
        <f t="array" ref="L189">INT(SUMPRODUCT(--ISNUMBER(SEARCH(healthcare,'Jon Ossoff'!C189)))&gt;0)</f>
        <v>0</v>
      </c>
      <c r="M189" s="14" cm="1">
        <f t="array" ref="M189">INT(SUMPRODUCT(--ISNUMBER(SEARCH(supreme,'Jon Ossoff'!C189)))&gt;0)</f>
        <v>0</v>
      </c>
      <c r="N189" s="14" cm="1">
        <f t="array" ref="N189">INT(SUMPRODUCT(--ISNUMBER(SEARCH(covid,'Jon Ossoff'!C189)))&gt;0)</f>
        <v>0</v>
      </c>
      <c r="O189" s="14" cm="1">
        <f t="array" ref="O189">INT(SUMPRODUCT(--ISNUMBER(SEARCH(violent,'Jon Ossoff'!C189)))&gt;0)</f>
        <v>0</v>
      </c>
      <c r="P189" s="14" cm="1">
        <f t="array" ref="P189">INT(SUMPRODUCT(--ISNUMBER(SEARCH(foreign,'Jon Ossoff'!C189)))&gt;0)</f>
        <v>0</v>
      </c>
      <c r="Q189" s="14" cm="1">
        <f t="array" ref="Q189">INT(SUMPRODUCT(--ISNUMBER(SEARCH(gun,'Jon Ossoff'!C189)))&gt;0)</f>
        <v>0</v>
      </c>
      <c r="R189" s="14" cm="1">
        <f t="array" ref="R189">INT(SUMPRODUCT(--ISNUMBER(SEARCH(race,'Jon Ossoff'!C189)))&gt;0)</f>
        <v>0</v>
      </c>
      <c r="S189" s="14" cm="1">
        <f t="array" ref="S189">INT(SUMPRODUCT(--ISNUMBER(SEARCH(immigration,C189)))&gt;0)</f>
        <v>0</v>
      </c>
      <c r="T189" s="14" cm="1">
        <f t="array" ref="T189">INT(SUMPRODUCT(--ISNUMBER(SEARCH(econineq,C189)))&gt;0)</f>
        <v>0</v>
      </c>
      <c r="U189" s="14" cm="1">
        <f t="array" ref="U189">INT(SUMPRODUCT(--ISNUMBER(SEARCH(climate,'Jon Ossoff'!C189)))&gt;0)</f>
        <v>0</v>
      </c>
      <c r="V189" s="14" cm="1">
        <f t="array" ref="V189">INT(SUMPRODUCT(--ISNUMBER(SEARCH(abortion,'Jon Ossoff'!C189)))&gt;0)</f>
        <v>0</v>
      </c>
      <c r="W189" s="14" cm="1">
        <f t="array" ref="W189">INT(SUMPRODUCT(--ISNUMBER(SEARCH(trump,'Jon Ossoff'!C189)))&gt;0)</f>
        <v>1</v>
      </c>
      <c r="X189" s="14" cm="1">
        <f t="array" ref="X189">INT(SUMPRODUCT(--ISNUMBER(SEARCH(voting,'Jon Ossoff'!C189)))&gt;0)</f>
        <v>0</v>
      </c>
      <c r="Y189" s="14" cm="1">
        <f t="array" ref="Y189">INT(SUMPRODUCT(--ISNUMBER(SEARCH(democrattrigger,'Jon Ossoff'!C189)))&gt;0)</f>
        <v>1</v>
      </c>
      <c r="Z189" s="14" cm="1">
        <f t="array" ref="Z189">INT(SUMPRODUCT(--ISNUMBER(SEARCH(bipartisan,'Jon Ossoff'!C189)))&gt;0)</f>
        <v>0</v>
      </c>
      <c r="AA189" s="14">
        <f t="shared" si="2"/>
        <v>0</v>
      </c>
      <c r="AB189" s="14"/>
      <c r="AC189" s="30" t="s">
        <v>223</v>
      </c>
      <c r="AD189" s="37" t="s">
        <v>223</v>
      </c>
    </row>
    <row r="190" spans="1:30" x14ac:dyDescent="0.25">
      <c r="A190" s="36">
        <v>700</v>
      </c>
      <c r="B190" s="14" t="s">
        <v>1427</v>
      </c>
      <c r="C190" s="31" t="s">
        <v>1428</v>
      </c>
      <c r="D190" s="17">
        <v>44118</v>
      </c>
      <c r="E190" s="14" t="s">
        <v>70</v>
      </c>
      <c r="F190" s="14">
        <v>332</v>
      </c>
      <c r="G190" s="14">
        <v>164</v>
      </c>
      <c r="H190" s="14">
        <v>4</v>
      </c>
      <c r="I190" s="14">
        <v>2</v>
      </c>
      <c r="J190" s="14" t="s">
        <v>204</v>
      </c>
      <c r="K190" s="14" cm="1">
        <f t="array" ref="K190">INT(SUMPRODUCT(--ISNUMBER(SEARCH(economy,'Jon Ossoff'!C190)))&gt;0)</f>
        <v>0</v>
      </c>
      <c r="L190" s="14" cm="1">
        <f t="array" ref="L190">INT(SUMPRODUCT(--ISNUMBER(SEARCH(healthcare,'Jon Ossoff'!C190)))&gt;0)</f>
        <v>0</v>
      </c>
      <c r="M190" s="14" cm="1">
        <f t="array" ref="M190">INT(SUMPRODUCT(--ISNUMBER(SEARCH(supreme,'Jon Ossoff'!C190)))&gt;0)</f>
        <v>0</v>
      </c>
      <c r="N190" s="14" cm="1">
        <f t="array" ref="N190">INT(SUMPRODUCT(--ISNUMBER(SEARCH(covid,'Jon Ossoff'!C190)))&gt;0)</f>
        <v>0</v>
      </c>
      <c r="O190" s="14" cm="1">
        <f t="array" ref="O190">INT(SUMPRODUCT(--ISNUMBER(SEARCH(violent,'Jon Ossoff'!C190)))&gt;0)</f>
        <v>0</v>
      </c>
      <c r="P190" s="14" cm="1">
        <f t="array" ref="P190">INT(SUMPRODUCT(--ISNUMBER(SEARCH(foreign,'Jon Ossoff'!C190)))&gt;0)</f>
        <v>0</v>
      </c>
      <c r="Q190" s="14" cm="1">
        <f t="array" ref="Q190">INT(SUMPRODUCT(--ISNUMBER(SEARCH(gun,'Jon Ossoff'!C190)))&gt;0)</f>
        <v>0</v>
      </c>
      <c r="R190" s="14" cm="1">
        <f t="array" ref="R190">INT(SUMPRODUCT(--ISNUMBER(SEARCH(race,'Jon Ossoff'!C190)))&gt;0)</f>
        <v>0</v>
      </c>
      <c r="S190" s="14" cm="1">
        <f t="array" ref="S190">INT(SUMPRODUCT(--ISNUMBER(SEARCH(immigration,C190)))&gt;0)</f>
        <v>0</v>
      </c>
      <c r="T190" s="14" cm="1">
        <f t="array" ref="T190">INT(SUMPRODUCT(--ISNUMBER(SEARCH(econineq,C190)))&gt;0)</f>
        <v>0</v>
      </c>
      <c r="U190" s="14" cm="1">
        <f t="array" ref="U190">INT(SUMPRODUCT(--ISNUMBER(SEARCH(climate,'Jon Ossoff'!C190)))&gt;0)</f>
        <v>0</v>
      </c>
      <c r="V190" s="14" cm="1">
        <f t="array" ref="V190">INT(SUMPRODUCT(--ISNUMBER(SEARCH(abortion,'Jon Ossoff'!C190)))&gt;0)</f>
        <v>0</v>
      </c>
      <c r="W190" s="14" cm="1">
        <f t="array" ref="W190">INT(SUMPRODUCT(--ISNUMBER(SEARCH(trump,'Jon Ossoff'!C190)))&gt;0)</f>
        <v>0</v>
      </c>
      <c r="X190" s="14" cm="1">
        <f t="array" ref="X190">INT(SUMPRODUCT(--ISNUMBER(SEARCH(voting,'Jon Ossoff'!C190)))&gt;0)</f>
        <v>1</v>
      </c>
      <c r="Y190" s="14" cm="1">
        <f t="array" ref="Y190">INT(SUMPRODUCT(--ISNUMBER(SEARCH(democrattrigger,'Jon Ossoff'!C190)))&gt;0)</f>
        <v>0</v>
      </c>
      <c r="Z190" s="14" cm="1">
        <f t="array" ref="Z190">INT(SUMPRODUCT(--ISNUMBER(SEARCH(bipartisan,'Jon Ossoff'!C190)))&gt;0)</f>
        <v>0</v>
      </c>
      <c r="AA190" s="14">
        <f t="shared" si="2"/>
        <v>0</v>
      </c>
      <c r="AB190" s="14"/>
      <c r="AC190" s="30" t="s">
        <v>223</v>
      </c>
      <c r="AD190" s="37" t="s">
        <v>223</v>
      </c>
    </row>
    <row r="191" spans="1:30" x14ac:dyDescent="0.25">
      <c r="A191" s="36">
        <v>701</v>
      </c>
      <c r="B191" s="14" t="s">
        <v>1429</v>
      </c>
      <c r="C191" s="31" t="s">
        <v>1430</v>
      </c>
      <c r="D191" s="17">
        <v>44118</v>
      </c>
      <c r="E191" s="14" t="s">
        <v>30</v>
      </c>
      <c r="F191" s="14">
        <v>2592</v>
      </c>
      <c r="G191" s="14">
        <v>581</v>
      </c>
      <c r="H191" s="14">
        <v>4</v>
      </c>
      <c r="I191" s="14">
        <v>2</v>
      </c>
      <c r="J191" s="14" t="s">
        <v>204</v>
      </c>
      <c r="K191" s="14" cm="1">
        <f t="array" ref="K191">INT(SUMPRODUCT(--ISNUMBER(SEARCH(economy,'Jon Ossoff'!C191)))&gt;0)</f>
        <v>0</v>
      </c>
      <c r="L191" s="14" cm="1">
        <f t="array" ref="L191">INT(SUMPRODUCT(--ISNUMBER(SEARCH(healthcare,'Jon Ossoff'!C191)))&gt;0)</f>
        <v>0</v>
      </c>
      <c r="M191" s="14" cm="1">
        <f t="array" ref="M191">INT(SUMPRODUCT(--ISNUMBER(SEARCH(supreme,'Jon Ossoff'!C191)))&gt;0)</f>
        <v>0</v>
      </c>
      <c r="N191" s="14" cm="1">
        <f t="array" ref="N191">INT(SUMPRODUCT(--ISNUMBER(SEARCH(covid,'Jon Ossoff'!C191)))&gt;0)</f>
        <v>0</v>
      </c>
      <c r="O191" s="14" cm="1">
        <f t="array" ref="O191">INT(SUMPRODUCT(--ISNUMBER(SEARCH(violent,'Jon Ossoff'!C191)))&gt;0)</f>
        <v>0</v>
      </c>
      <c r="P191" s="14" cm="1">
        <f t="array" ref="P191">INT(SUMPRODUCT(--ISNUMBER(SEARCH(foreign,'Jon Ossoff'!C191)))&gt;0)</f>
        <v>0</v>
      </c>
      <c r="Q191" s="14" cm="1">
        <f t="array" ref="Q191">INT(SUMPRODUCT(--ISNUMBER(SEARCH(gun,'Jon Ossoff'!C191)))&gt;0)</f>
        <v>0</v>
      </c>
      <c r="R191" s="14" cm="1">
        <f t="array" ref="R191">INT(SUMPRODUCT(--ISNUMBER(SEARCH(race,'Jon Ossoff'!C191)))&gt;0)</f>
        <v>0</v>
      </c>
      <c r="S191" s="14" cm="1">
        <f t="array" ref="S191">INT(SUMPRODUCT(--ISNUMBER(SEARCH(immigration,C191)))&gt;0)</f>
        <v>0</v>
      </c>
      <c r="T191" s="14" cm="1">
        <f t="array" ref="T191">INT(SUMPRODUCT(--ISNUMBER(SEARCH(econineq,C191)))&gt;0)</f>
        <v>0</v>
      </c>
      <c r="U191" s="14" cm="1">
        <f t="array" ref="U191">INT(SUMPRODUCT(--ISNUMBER(SEARCH(climate,'Jon Ossoff'!C191)))&gt;0)</f>
        <v>0</v>
      </c>
      <c r="V191" s="14" cm="1">
        <f t="array" ref="V191">INT(SUMPRODUCT(--ISNUMBER(SEARCH(abortion,'Jon Ossoff'!C191)))&gt;0)</f>
        <v>0</v>
      </c>
      <c r="W191" s="14" cm="1">
        <f t="array" ref="W191">INT(SUMPRODUCT(--ISNUMBER(SEARCH(trump,'Jon Ossoff'!C191)))&gt;0)</f>
        <v>0</v>
      </c>
      <c r="X191" s="14" cm="1">
        <f t="array" ref="X191">INT(SUMPRODUCT(--ISNUMBER(SEARCH(voting,'Jon Ossoff'!C191)))&gt;0)</f>
        <v>1</v>
      </c>
      <c r="Y191" s="14" cm="1">
        <f t="array" ref="Y191">INT(SUMPRODUCT(--ISNUMBER(SEARCH(democrattrigger,'Jon Ossoff'!C191)))&gt;0)</f>
        <v>0</v>
      </c>
      <c r="Z191" s="14" cm="1">
        <f t="array" ref="Z191">INT(SUMPRODUCT(--ISNUMBER(SEARCH(bipartisan,'Jon Ossoff'!C191)))&gt;0)</f>
        <v>0</v>
      </c>
      <c r="AA191" s="14">
        <f t="shared" si="2"/>
        <v>0</v>
      </c>
      <c r="AB191" s="14"/>
      <c r="AC191" s="30" t="s">
        <v>223</v>
      </c>
      <c r="AD191" s="37" t="s">
        <v>223</v>
      </c>
    </row>
    <row r="192" spans="1:30" x14ac:dyDescent="0.25">
      <c r="A192" s="36">
        <v>702</v>
      </c>
      <c r="B192" s="14" t="s">
        <v>1431</v>
      </c>
      <c r="C192" s="31" t="s">
        <v>1432</v>
      </c>
      <c r="D192" s="17">
        <v>44117</v>
      </c>
      <c r="E192" s="14" t="s">
        <v>30</v>
      </c>
      <c r="F192" s="14">
        <v>425</v>
      </c>
      <c r="G192" s="14">
        <v>158</v>
      </c>
      <c r="H192" s="14">
        <v>4</v>
      </c>
      <c r="I192" s="14">
        <v>2</v>
      </c>
      <c r="J192" s="14" t="s">
        <v>204</v>
      </c>
      <c r="K192" s="14" cm="1">
        <f t="array" ref="K192">INT(SUMPRODUCT(--ISNUMBER(SEARCH(economy,'Jon Ossoff'!C192)))&gt;0)</f>
        <v>0</v>
      </c>
      <c r="L192" s="14" cm="1">
        <f t="array" ref="L192">INT(SUMPRODUCT(--ISNUMBER(SEARCH(healthcare,'Jon Ossoff'!C192)))&gt;0)</f>
        <v>0</v>
      </c>
      <c r="M192" s="14" cm="1">
        <f t="array" ref="M192">INT(SUMPRODUCT(--ISNUMBER(SEARCH(supreme,'Jon Ossoff'!C192)))&gt;0)</f>
        <v>0</v>
      </c>
      <c r="N192" s="14" cm="1">
        <f t="array" ref="N192">INT(SUMPRODUCT(--ISNUMBER(SEARCH(covid,'Jon Ossoff'!C192)))&gt;0)</f>
        <v>0</v>
      </c>
      <c r="O192" s="14" cm="1">
        <f t="array" ref="O192">INT(SUMPRODUCT(--ISNUMBER(SEARCH(violent,'Jon Ossoff'!C192)))&gt;0)</f>
        <v>1</v>
      </c>
      <c r="P192" s="14" cm="1">
        <f t="array" ref="P192">INT(SUMPRODUCT(--ISNUMBER(SEARCH(foreign,'Jon Ossoff'!C192)))&gt;0)</f>
        <v>0</v>
      </c>
      <c r="Q192" s="14" cm="1">
        <f t="array" ref="Q192">INT(SUMPRODUCT(--ISNUMBER(SEARCH(gun,'Jon Ossoff'!C192)))&gt;0)</f>
        <v>0</v>
      </c>
      <c r="R192" s="14" cm="1">
        <f t="array" ref="R192">INT(SUMPRODUCT(--ISNUMBER(SEARCH(race,'Jon Ossoff'!C192)))&gt;0)</f>
        <v>0</v>
      </c>
      <c r="S192" s="14" cm="1">
        <f t="array" ref="S192">INT(SUMPRODUCT(--ISNUMBER(SEARCH(immigration,C192)))&gt;0)</f>
        <v>0</v>
      </c>
      <c r="T192" s="14" cm="1">
        <f t="array" ref="T192">INT(SUMPRODUCT(--ISNUMBER(SEARCH(econineq,C192)))&gt;0)</f>
        <v>0</v>
      </c>
      <c r="U192" s="14" cm="1">
        <f t="array" ref="U192">INT(SUMPRODUCT(--ISNUMBER(SEARCH(climate,'Jon Ossoff'!C192)))&gt;0)</f>
        <v>0</v>
      </c>
      <c r="V192" s="14" cm="1">
        <f t="array" ref="V192">INT(SUMPRODUCT(--ISNUMBER(SEARCH(abortion,'Jon Ossoff'!C192)))&gt;0)</f>
        <v>0</v>
      </c>
      <c r="W192" s="14" cm="1">
        <f t="array" ref="W192">INT(SUMPRODUCT(--ISNUMBER(SEARCH(trump,'Jon Ossoff'!C192)))&gt;0)</f>
        <v>0</v>
      </c>
      <c r="X192" s="14" cm="1">
        <f t="array" ref="X192">INT(SUMPRODUCT(--ISNUMBER(SEARCH(voting,'Jon Ossoff'!C192)))&gt;0)</f>
        <v>1</v>
      </c>
      <c r="Y192" s="14" cm="1">
        <f t="array" ref="Y192">INT(SUMPRODUCT(--ISNUMBER(SEARCH(democrattrigger,'Jon Ossoff'!C192)))&gt;0)</f>
        <v>1</v>
      </c>
      <c r="Z192" s="14" cm="1">
        <f t="array" ref="Z192">INT(SUMPRODUCT(--ISNUMBER(SEARCH(bipartisan,'Jon Ossoff'!C192)))&gt;0)</f>
        <v>0</v>
      </c>
      <c r="AA192" s="14">
        <f t="shared" si="2"/>
        <v>0</v>
      </c>
      <c r="AB192" s="14"/>
      <c r="AC192" s="30">
        <v>1</v>
      </c>
      <c r="AD192" s="37">
        <v>0</v>
      </c>
    </row>
    <row r="193" spans="1:30" x14ac:dyDescent="0.25">
      <c r="A193" s="36">
        <v>703</v>
      </c>
      <c r="B193" s="14" t="s">
        <v>1433</v>
      </c>
      <c r="C193" s="31" t="s">
        <v>1434</v>
      </c>
      <c r="D193" s="17">
        <v>44117</v>
      </c>
      <c r="E193" s="14" t="s">
        <v>30</v>
      </c>
      <c r="F193" s="14">
        <v>411</v>
      </c>
      <c r="G193" s="14">
        <v>197</v>
      </c>
      <c r="H193" s="14">
        <v>4</v>
      </c>
      <c r="I193" s="14">
        <v>2</v>
      </c>
      <c r="J193" s="14" t="s">
        <v>204</v>
      </c>
      <c r="K193" s="14" cm="1">
        <f t="array" ref="K193">INT(SUMPRODUCT(--ISNUMBER(SEARCH(economy,'Jon Ossoff'!C193)))&gt;0)</f>
        <v>0</v>
      </c>
      <c r="L193" s="14" cm="1">
        <f t="array" ref="L193">INT(SUMPRODUCT(--ISNUMBER(SEARCH(healthcare,'Jon Ossoff'!C193)))&gt;0)</f>
        <v>1</v>
      </c>
      <c r="M193" s="14" cm="1">
        <f t="array" ref="M193">INT(SUMPRODUCT(--ISNUMBER(SEARCH(supreme,'Jon Ossoff'!C193)))&gt;0)</f>
        <v>0</v>
      </c>
      <c r="N193" s="14" cm="1">
        <f t="array" ref="N193">INT(SUMPRODUCT(--ISNUMBER(SEARCH(covid,'Jon Ossoff'!C193)))&gt;0)</f>
        <v>0</v>
      </c>
      <c r="O193" s="14" cm="1">
        <f t="array" ref="O193">INT(SUMPRODUCT(--ISNUMBER(SEARCH(violent,'Jon Ossoff'!C193)))&gt;0)</f>
        <v>0</v>
      </c>
      <c r="P193" s="14" cm="1">
        <f t="array" ref="P193">INT(SUMPRODUCT(--ISNUMBER(SEARCH(foreign,'Jon Ossoff'!C193)))&gt;0)</f>
        <v>0</v>
      </c>
      <c r="Q193" s="14" cm="1">
        <f t="array" ref="Q193">INT(SUMPRODUCT(--ISNUMBER(SEARCH(gun,'Jon Ossoff'!C193)))&gt;0)</f>
        <v>0</v>
      </c>
      <c r="R193" s="14" cm="1">
        <f t="array" ref="R193">INT(SUMPRODUCT(--ISNUMBER(SEARCH(race,'Jon Ossoff'!C193)))&gt;0)</f>
        <v>0</v>
      </c>
      <c r="S193" s="14" cm="1">
        <f t="array" ref="S193">INT(SUMPRODUCT(--ISNUMBER(SEARCH(immigration,C193)))&gt;0)</f>
        <v>0</v>
      </c>
      <c r="T193" s="14" cm="1">
        <f t="array" ref="T193">INT(SUMPRODUCT(--ISNUMBER(SEARCH(econineq,C193)))&gt;0)</f>
        <v>0</v>
      </c>
      <c r="U193" s="14" cm="1">
        <f t="array" ref="U193">INT(SUMPRODUCT(--ISNUMBER(SEARCH(climate,'Jon Ossoff'!C193)))&gt;0)</f>
        <v>0</v>
      </c>
      <c r="V193" s="14" cm="1">
        <f t="array" ref="V193">INT(SUMPRODUCT(--ISNUMBER(SEARCH(abortion,'Jon Ossoff'!C193)))&gt;0)</f>
        <v>0</v>
      </c>
      <c r="W193" s="14" cm="1">
        <f t="array" ref="W193">INT(SUMPRODUCT(--ISNUMBER(SEARCH(trump,'Jon Ossoff'!C193)))&gt;0)</f>
        <v>0</v>
      </c>
      <c r="X193" s="14" cm="1">
        <f t="array" ref="X193">INT(SUMPRODUCT(--ISNUMBER(SEARCH(voting,'Jon Ossoff'!C193)))&gt;0)</f>
        <v>0</v>
      </c>
      <c r="Y193" s="14" cm="1">
        <f t="array" ref="Y193">INT(SUMPRODUCT(--ISNUMBER(SEARCH(democrattrigger,'Jon Ossoff'!C193)))&gt;0)</f>
        <v>1</v>
      </c>
      <c r="Z193" s="14" cm="1">
        <f t="array" ref="Z193">INT(SUMPRODUCT(--ISNUMBER(SEARCH(bipartisan,'Jon Ossoff'!C193)))&gt;0)</f>
        <v>0</v>
      </c>
      <c r="AA193" s="14">
        <f t="shared" si="2"/>
        <v>0</v>
      </c>
      <c r="AB193" s="14"/>
      <c r="AC193" s="30" t="s">
        <v>223</v>
      </c>
      <c r="AD193" s="37" t="s">
        <v>223</v>
      </c>
    </row>
    <row r="194" spans="1:30" x14ac:dyDescent="0.25">
      <c r="A194" s="36">
        <v>704</v>
      </c>
      <c r="B194" s="14" t="s">
        <v>1435</v>
      </c>
      <c r="C194" s="31" t="s">
        <v>1436</v>
      </c>
      <c r="D194" s="17">
        <v>44117</v>
      </c>
      <c r="E194" s="14" t="s">
        <v>30</v>
      </c>
      <c r="F194" s="14">
        <v>945</v>
      </c>
      <c r="G194" s="14">
        <v>425</v>
      </c>
      <c r="H194" s="14">
        <v>4</v>
      </c>
      <c r="I194" s="14">
        <v>2</v>
      </c>
      <c r="J194" s="14" t="s">
        <v>204</v>
      </c>
      <c r="K194" s="14" cm="1">
        <f t="array" ref="K194">INT(SUMPRODUCT(--ISNUMBER(SEARCH(economy,'Jon Ossoff'!C194)))&gt;0)</f>
        <v>0</v>
      </c>
      <c r="L194" s="14" cm="1">
        <f t="array" ref="L194">INT(SUMPRODUCT(--ISNUMBER(SEARCH(healthcare,'Jon Ossoff'!C194)))&gt;0)</f>
        <v>1</v>
      </c>
      <c r="M194" s="14" cm="1">
        <f t="array" ref="M194">INT(SUMPRODUCT(--ISNUMBER(SEARCH(supreme,'Jon Ossoff'!C194)))&gt;0)</f>
        <v>1</v>
      </c>
      <c r="N194" s="14" cm="1">
        <f t="array" ref="N194">INT(SUMPRODUCT(--ISNUMBER(SEARCH(covid,'Jon Ossoff'!C194)))&gt;0)</f>
        <v>0</v>
      </c>
      <c r="O194" s="14" cm="1">
        <f t="array" ref="O194">INT(SUMPRODUCT(--ISNUMBER(SEARCH(violent,'Jon Ossoff'!C194)))&gt;0)</f>
        <v>0</v>
      </c>
      <c r="P194" s="14" cm="1">
        <f t="array" ref="P194">INT(SUMPRODUCT(--ISNUMBER(SEARCH(foreign,'Jon Ossoff'!C194)))&gt;0)</f>
        <v>0</v>
      </c>
      <c r="Q194" s="14" cm="1">
        <f t="array" ref="Q194">INT(SUMPRODUCT(--ISNUMBER(SEARCH(gun,'Jon Ossoff'!C194)))&gt;0)</f>
        <v>0</v>
      </c>
      <c r="R194" s="14" cm="1">
        <f t="array" ref="R194">INT(SUMPRODUCT(--ISNUMBER(SEARCH(race,'Jon Ossoff'!C194)))&gt;0)</f>
        <v>0</v>
      </c>
      <c r="S194" s="14" cm="1">
        <f t="array" ref="S194">INT(SUMPRODUCT(--ISNUMBER(SEARCH(immigration,C194)))&gt;0)</f>
        <v>0</v>
      </c>
      <c r="T194" s="14" cm="1">
        <f t="array" ref="T194">INT(SUMPRODUCT(--ISNUMBER(SEARCH(econineq,C194)))&gt;0)</f>
        <v>0</v>
      </c>
      <c r="U194" s="14" cm="1">
        <f t="array" ref="U194">INT(SUMPRODUCT(--ISNUMBER(SEARCH(climate,'Jon Ossoff'!C194)))&gt;0)</f>
        <v>0</v>
      </c>
      <c r="V194" s="14" cm="1">
        <f t="array" ref="V194">INT(SUMPRODUCT(--ISNUMBER(SEARCH(abortion,'Jon Ossoff'!C194)))&gt;0)</f>
        <v>0</v>
      </c>
      <c r="W194" s="14" cm="1">
        <f t="array" ref="W194">INT(SUMPRODUCT(--ISNUMBER(SEARCH(trump,'Jon Ossoff'!C194)))&gt;0)</f>
        <v>0</v>
      </c>
      <c r="X194" s="14" cm="1">
        <f t="array" ref="X194">INT(SUMPRODUCT(--ISNUMBER(SEARCH(voting,'Jon Ossoff'!C194)))&gt;0)</f>
        <v>1</v>
      </c>
      <c r="Y194" s="14" cm="1">
        <f t="array" ref="Y194">INT(SUMPRODUCT(--ISNUMBER(SEARCH(democrattrigger,'Jon Ossoff'!C194)))&gt;0)</f>
        <v>0</v>
      </c>
      <c r="Z194" s="14" cm="1">
        <f t="array" ref="Z194">INT(SUMPRODUCT(--ISNUMBER(SEARCH(bipartisan,'Jon Ossoff'!C194)))&gt;0)</f>
        <v>0</v>
      </c>
      <c r="AA194" s="14">
        <f t="shared" si="2"/>
        <v>0</v>
      </c>
      <c r="AB194" s="14"/>
      <c r="AC194" s="30" t="s">
        <v>223</v>
      </c>
      <c r="AD194" s="37" t="s">
        <v>223</v>
      </c>
    </row>
    <row r="195" spans="1:30" x14ac:dyDescent="0.25">
      <c r="A195" s="36">
        <v>705</v>
      </c>
      <c r="B195" s="14" t="s">
        <v>1437</v>
      </c>
      <c r="C195" s="31" t="s">
        <v>1438</v>
      </c>
      <c r="D195" s="17">
        <v>44117</v>
      </c>
      <c r="E195" s="14" t="s">
        <v>30</v>
      </c>
      <c r="F195" s="14">
        <v>3278</v>
      </c>
      <c r="G195" s="14">
        <v>730</v>
      </c>
      <c r="H195" s="14">
        <v>4</v>
      </c>
      <c r="I195" s="14">
        <v>2</v>
      </c>
      <c r="J195" s="14" t="s">
        <v>204</v>
      </c>
      <c r="K195" s="14" cm="1">
        <f t="array" ref="K195">INT(SUMPRODUCT(--ISNUMBER(SEARCH(economy,'Jon Ossoff'!C195)))&gt;0)</f>
        <v>0</v>
      </c>
      <c r="L195" s="14" cm="1">
        <f t="array" ref="L195">INT(SUMPRODUCT(--ISNUMBER(SEARCH(healthcare,'Jon Ossoff'!C195)))&gt;0)</f>
        <v>0</v>
      </c>
      <c r="M195" s="14" cm="1">
        <f t="array" ref="M195">INT(SUMPRODUCT(--ISNUMBER(SEARCH(supreme,'Jon Ossoff'!C195)))&gt;0)</f>
        <v>0</v>
      </c>
      <c r="N195" s="14" cm="1">
        <f t="array" ref="N195">INT(SUMPRODUCT(--ISNUMBER(SEARCH(covid,'Jon Ossoff'!C195)))&gt;0)</f>
        <v>0</v>
      </c>
      <c r="O195" s="14" cm="1">
        <f t="array" ref="O195">INT(SUMPRODUCT(--ISNUMBER(SEARCH(violent,'Jon Ossoff'!C195)))&gt;0)</f>
        <v>0</v>
      </c>
      <c r="P195" s="14" cm="1">
        <f t="array" ref="P195">INT(SUMPRODUCT(--ISNUMBER(SEARCH(foreign,'Jon Ossoff'!C195)))&gt;0)</f>
        <v>0</v>
      </c>
      <c r="Q195" s="14" cm="1">
        <f t="array" ref="Q195">INT(SUMPRODUCT(--ISNUMBER(SEARCH(gun,'Jon Ossoff'!C195)))&gt;0)</f>
        <v>0</v>
      </c>
      <c r="R195" s="14" cm="1">
        <f t="array" ref="R195">INT(SUMPRODUCT(--ISNUMBER(SEARCH(race,'Jon Ossoff'!C195)))&gt;0)</f>
        <v>0</v>
      </c>
      <c r="S195" s="14" cm="1">
        <f t="array" ref="S195">INT(SUMPRODUCT(--ISNUMBER(SEARCH(immigration,C195)))&gt;0)</f>
        <v>0</v>
      </c>
      <c r="T195" s="14" cm="1">
        <f t="array" ref="T195">INT(SUMPRODUCT(--ISNUMBER(SEARCH(econineq,C195)))&gt;0)</f>
        <v>0</v>
      </c>
      <c r="U195" s="14" cm="1">
        <f t="array" ref="U195">INT(SUMPRODUCT(--ISNUMBER(SEARCH(climate,'Jon Ossoff'!C195)))&gt;0)</f>
        <v>0</v>
      </c>
      <c r="V195" s="14" cm="1">
        <f t="array" ref="V195">INT(SUMPRODUCT(--ISNUMBER(SEARCH(abortion,'Jon Ossoff'!C195)))&gt;0)</f>
        <v>0</v>
      </c>
      <c r="W195" s="14" cm="1">
        <f t="array" ref="W195">INT(SUMPRODUCT(--ISNUMBER(SEARCH(trump,'Jon Ossoff'!C195)))&gt;0)</f>
        <v>0</v>
      </c>
      <c r="X195" s="14" cm="1">
        <f t="array" ref="X195">INT(SUMPRODUCT(--ISNUMBER(SEARCH(voting,'Jon Ossoff'!C195)))&gt;0)</f>
        <v>1</v>
      </c>
      <c r="Y195" s="14" cm="1">
        <f t="array" ref="Y195">INT(SUMPRODUCT(--ISNUMBER(SEARCH(democrattrigger,'Jon Ossoff'!C195)))&gt;0)</f>
        <v>0</v>
      </c>
      <c r="Z195" s="14" cm="1">
        <f t="array" ref="Z195">INT(SUMPRODUCT(--ISNUMBER(SEARCH(bipartisan,'Jon Ossoff'!C195)))&gt;0)</f>
        <v>0</v>
      </c>
      <c r="AA195" s="14">
        <f t="shared" ref="AA195:AA256" si="3">INT(IF(COUNTIF(K195:Z195,1)=0,"1","0"))</f>
        <v>0</v>
      </c>
      <c r="AB195" s="14"/>
      <c r="AC195" s="30" t="s">
        <v>223</v>
      </c>
      <c r="AD195" s="37" t="s">
        <v>223</v>
      </c>
    </row>
    <row r="196" spans="1:30" x14ac:dyDescent="0.25">
      <c r="A196" s="36">
        <v>706</v>
      </c>
      <c r="B196" s="14" t="s">
        <v>1439</v>
      </c>
      <c r="C196" s="31" t="s">
        <v>1440</v>
      </c>
      <c r="D196" s="17">
        <v>44117</v>
      </c>
      <c r="E196" s="14" t="s">
        <v>30</v>
      </c>
      <c r="F196" s="14">
        <v>1212</v>
      </c>
      <c r="G196" s="14">
        <v>393</v>
      </c>
      <c r="H196" s="14">
        <v>4</v>
      </c>
      <c r="I196" s="14">
        <v>2</v>
      </c>
      <c r="J196" s="14" t="s">
        <v>204</v>
      </c>
      <c r="K196" s="14" cm="1">
        <f t="array" ref="K196">INT(SUMPRODUCT(--ISNUMBER(SEARCH(economy,'Jon Ossoff'!C196)))&gt;0)</f>
        <v>0</v>
      </c>
      <c r="L196" s="14" cm="1">
        <f t="array" ref="L196">INT(SUMPRODUCT(--ISNUMBER(SEARCH(healthcare,'Jon Ossoff'!C196)))&gt;0)</f>
        <v>0</v>
      </c>
      <c r="M196" s="14" cm="1">
        <f t="array" ref="M196">INT(SUMPRODUCT(--ISNUMBER(SEARCH(supreme,'Jon Ossoff'!C196)))&gt;0)</f>
        <v>0</v>
      </c>
      <c r="N196" s="14" cm="1">
        <f t="array" ref="N196">INT(SUMPRODUCT(--ISNUMBER(SEARCH(covid,'Jon Ossoff'!C196)))&gt;0)</f>
        <v>0</v>
      </c>
      <c r="O196" s="14" cm="1">
        <f t="array" ref="O196">INT(SUMPRODUCT(--ISNUMBER(SEARCH(violent,'Jon Ossoff'!C196)))&gt;0)</f>
        <v>0</v>
      </c>
      <c r="P196" s="14" cm="1">
        <f t="array" ref="P196">INT(SUMPRODUCT(--ISNUMBER(SEARCH(foreign,'Jon Ossoff'!C196)))&gt;0)</f>
        <v>0</v>
      </c>
      <c r="Q196" s="14" cm="1">
        <f t="array" ref="Q196">INT(SUMPRODUCT(--ISNUMBER(SEARCH(gun,'Jon Ossoff'!C196)))&gt;0)</f>
        <v>0</v>
      </c>
      <c r="R196" s="14" cm="1">
        <f t="array" ref="R196">INT(SUMPRODUCT(--ISNUMBER(SEARCH(race,'Jon Ossoff'!C196)))&gt;0)</f>
        <v>0</v>
      </c>
      <c r="S196" s="14" cm="1">
        <f t="array" ref="S196">INT(SUMPRODUCT(--ISNUMBER(SEARCH(immigration,C196)))&gt;0)</f>
        <v>0</v>
      </c>
      <c r="T196" s="14" cm="1">
        <f t="array" ref="T196">INT(SUMPRODUCT(--ISNUMBER(SEARCH(econineq,C196)))&gt;0)</f>
        <v>0</v>
      </c>
      <c r="U196" s="14" cm="1">
        <f t="array" ref="U196">INT(SUMPRODUCT(--ISNUMBER(SEARCH(climate,'Jon Ossoff'!C196)))&gt;0)</f>
        <v>0</v>
      </c>
      <c r="V196" s="14" cm="1">
        <f t="array" ref="V196">INT(SUMPRODUCT(--ISNUMBER(SEARCH(abortion,'Jon Ossoff'!C196)))&gt;0)</f>
        <v>0</v>
      </c>
      <c r="W196" s="14" cm="1">
        <f t="array" ref="W196">INT(SUMPRODUCT(--ISNUMBER(SEARCH(trump,'Jon Ossoff'!C196)))&gt;0)</f>
        <v>0</v>
      </c>
      <c r="X196" s="14" cm="1">
        <f t="array" ref="X196">INT(SUMPRODUCT(--ISNUMBER(SEARCH(voting,'Jon Ossoff'!C196)))&gt;0)</f>
        <v>0</v>
      </c>
      <c r="Y196" s="14" cm="1">
        <f t="array" ref="Y196">INT(SUMPRODUCT(--ISNUMBER(SEARCH(democrattrigger,'Jon Ossoff'!C196)))&gt;0)</f>
        <v>1</v>
      </c>
      <c r="Z196" s="14" cm="1">
        <f t="array" ref="Z196">INT(SUMPRODUCT(--ISNUMBER(SEARCH(bipartisan,'Jon Ossoff'!C196)))&gt;0)</f>
        <v>0</v>
      </c>
      <c r="AA196" s="14">
        <f t="shared" si="3"/>
        <v>0</v>
      </c>
      <c r="AB196" s="14"/>
      <c r="AC196" s="30">
        <v>0</v>
      </c>
      <c r="AD196" s="37">
        <v>1</v>
      </c>
    </row>
    <row r="197" spans="1:30" x14ac:dyDescent="0.25">
      <c r="A197" s="36">
        <v>707</v>
      </c>
      <c r="B197" s="14" t="s">
        <v>1441</v>
      </c>
      <c r="C197" s="31" t="s">
        <v>1442</v>
      </c>
      <c r="D197" s="17">
        <v>44117</v>
      </c>
      <c r="E197" s="14" t="s">
        <v>30</v>
      </c>
      <c r="F197" s="14">
        <v>4346</v>
      </c>
      <c r="G197" s="14">
        <v>959</v>
      </c>
      <c r="H197" s="14">
        <v>4</v>
      </c>
      <c r="I197" s="14">
        <v>2</v>
      </c>
      <c r="J197" s="14" t="s">
        <v>204</v>
      </c>
      <c r="K197" s="14" cm="1">
        <f t="array" ref="K197">INT(SUMPRODUCT(--ISNUMBER(SEARCH(economy,'Jon Ossoff'!C197)))&gt;0)</f>
        <v>0</v>
      </c>
      <c r="L197" s="14" cm="1">
        <f t="array" ref="L197">INT(SUMPRODUCT(--ISNUMBER(SEARCH(healthcare,'Jon Ossoff'!C197)))&gt;0)</f>
        <v>0</v>
      </c>
      <c r="M197" s="14" cm="1">
        <f t="array" ref="M197">INT(SUMPRODUCT(--ISNUMBER(SEARCH(supreme,'Jon Ossoff'!C197)))&gt;0)</f>
        <v>0</v>
      </c>
      <c r="N197" s="14" cm="1">
        <f t="array" ref="N197">INT(SUMPRODUCT(--ISNUMBER(SEARCH(covid,'Jon Ossoff'!C197)))&gt;0)</f>
        <v>0</v>
      </c>
      <c r="O197" s="14" cm="1">
        <f t="array" ref="O197">INT(SUMPRODUCT(--ISNUMBER(SEARCH(violent,'Jon Ossoff'!C197)))&gt;0)</f>
        <v>0</v>
      </c>
      <c r="P197" s="14" cm="1">
        <f t="array" ref="P197">INT(SUMPRODUCT(--ISNUMBER(SEARCH(foreign,'Jon Ossoff'!C197)))&gt;0)</f>
        <v>0</v>
      </c>
      <c r="Q197" s="14" cm="1">
        <f t="array" ref="Q197">INT(SUMPRODUCT(--ISNUMBER(SEARCH(gun,'Jon Ossoff'!C197)))&gt;0)</f>
        <v>0</v>
      </c>
      <c r="R197" s="14" cm="1">
        <f t="array" ref="R197">INT(SUMPRODUCT(--ISNUMBER(SEARCH(race,'Jon Ossoff'!C197)))&gt;0)</f>
        <v>0</v>
      </c>
      <c r="S197" s="14" cm="1">
        <f t="array" ref="S197">INT(SUMPRODUCT(--ISNUMBER(SEARCH(immigration,C197)))&gt;0)</f>
        <v>0</v>
      </c>
      <c r="T197" s="14" cm="1">
        <f t="array" ref="T197">INT(SUMPRODUCT(--ISNUMBER(SEARCH(econineq,C197)))&gt;0)</f>
        <v>0</v>
      </c>
      <c r="U197" s="14" cm="1">
        <f t="array" ref="U197">INT(SUMPRODUCT(--ISNUMBER(SEARCH(climate,'Jon Ossoff'!C197)))&gt;0)</f>
        <v>0</v>
      </c>
      <c r="V197" s="14" cm="1">
        <f t="array" ref="V197">INT(SUMPRODUCT(--ISNUMBER(SEARCH(abortion,'Jon Ossoff'!C197)))&gt;0)</f>
        <v>0</v>
      </c>
      <c r="W197" s="14" cm="1">
        <f t="array" ref="W197">INT(SUMPRODUCT(--ISNUMBER(SEARCH(trump,'Jon Ossoff'!C197)))&gt;0)</f>
        <v>0</v>
      </c>
      <c r="X197" s="14" cm="1">
        <f t="array" ref="X197">INT(SUMPRODUCT(--ISNUMBER(SEARCH(voting,'Jon Ossoff'!C197)))&gt;0)</f>
        <v>0</v>
      </c>
      <c r="Y197" s="14" cm="1">
        <f t="array" ref="Y197">INT(SUMPRODUCT(--ISNUMBER(SEARCH(democrattrigger,'Jon Ossoff'!C197)))&gt;0)</f>
        <v>0</v>
      </c>
      <c r="Z197" s="14" cm="1">
        <f t="array" ref="Z197">INT(SUMPRODUCT(--ISNUMBER(SEARCH(bipartisan,'Jon Ossoff'!C197)))&gt;0)</f>
        <v>0</v>
      </c>
      <c r="AA197" s="14">
        <f t="shared" si="3"/>
        <v>1</v>
      </c>
      <c r="AB197" s="14"/>
      <c r="AC197" s="30" t="s">
        <v>223</v>
      </c>
      <c r="AD197" s="37" t="s">
        <v>223</v>
      </c>
    </row>
    <row r="198" spans="1:30" x14ac:dyDescent="0.25">
      <c r="A198" s="36">
        <v>708</v>
      </c>
      <c r="B198" s="14" t="s">
        <v>1443</v>
      </c>
      <c r="C198" s="31" t="s">
        <v>1444</v>
      </c>
      <c r="D198" s="17">
        <v>44117</v>
      </c>
      <c r="E198" s="14" t="s">
        <v>30</v>
      </c>
      <c r="F198" s="14">
        <v>2990</v>
      </c>
      <c r="G198" s="14">
        <v>1320</v>
      </c>
      <c r="H198" s="14">
        <v>4</v>
      </c>
      <c r="I198" s="14">
        <v>2</v>
      </c>
      <c r="J198" s="14" t="s">
        <v>204</v>
      </c>
      <c r="K198" s="14" cm="1">
        <f t="array" ref="K198">INT(SUMPRODUCT(--ISNUMBER(SEARCH(economy,'Jon Ossoff'!C198)))&gt;0)</f>
        <v>0</v>
      </c>
      <c r="L198" s="14" cm="1">
        <f t="array" ref="L198">INT(SUMPRODUCT(--ISNUMBER(SEARCH(healthcare,'Jon Ossoff'!C198)))&gt;0)</f>
        <v>0</v>
      </c>
      <c r="M198" s="14" cm="1">
        <f t="array" ref="M198">INT(SUMPRODUCT(--ISNUMBER(SEARCH(supreme,'Jon Ossoff'!C198)))&gt;0)</f>
        <v>0</v>
      </c>
      <c r="N198" s="14" cm="1">
        <f t="array" ref="N198">INT(SUMPRODUCT(--ISNUMBER(SEARCH(covid,'Jon Ossoff'!C198)))&gt;0)</f>
        <v>1</v>
      </c>
      <c r="O198" s="14" cm="1">
        <f t="array" ref="O198">INT(SUMPRODUCT(--ISNUMBER(SEARCH(violent,'Jon Ossoff'!C198)))&gt;0)</f>
        <v>0</v>
      </c>
      <c r="P198" s="14" cm="1">
        <f t="array" ref="P198">INT(SUMPRODUCT(--ISNUMBER(SEARCH(foreign,'Jon Ossoff'!C198)))&gt;0)</f>
        <v>0</v>
      </c>
      <c r="Q198" s="14" cm="1">
        <f t="array" ref="Q198">INT(SUMPRODUCT(--ISNUMBER(SEARCH(gun,'Jon Ossoff'!C198)))&gt;0)</f>
        <v>0</v>
      </c>
      <c r="R198" s="14" cm="1">
        <f t="array" ref="R198">INT(SUMPRODUCT(--ISNUMBER(SEARCH(race,'Jon Ossoff'!C198)))&gt;0)</f>
        <v>0</v>
      </c>
      <c r="S198" s="14" cm="1">
        <f t="array" ref="S198">INT(SUMPRODUCT(--ISNUMBER(SEARCH(immigration,C198)))&gt;0)</f>
        <v>0</v>
      </c>
      <c r="T198" s="14" cm="1">
        <f t="array" ref="T198">INT(SUMPRODUCT(--ISNUMBER(SEARCH(econineq,C198)))&gt;0)</f>
        <v>0</v>
      </c>
      <c r="U198" s="14" cm="1">
        <f t="array" ref="U198">INT(SUMPRODUCT(--ISNUMBER(SEARCH(climate,'Jon Ossoff'!C198)))&gt;0)</f>
        <v>0</v>
      </c>
      <c r="V198" s="14" cm="1">
        <f t="array" ref="V198">INT(SUMPRODUCT(--ISNUMBER(SEARCH(abortion,'Jon Ossoff'!C198)))&gt;0)</f>
        <v>0</v>
      </c>
      <c r="W198" s="14" cm="1">
        <f t="array" ref="W198">INT(SUMPRODUCT(--ISNUMBER(SEARCH(trump,'Jon Ossoff'!C198)))&gt;0)</f>
        <v>0</v>
      </c>
      <c r="X198" s="14" cm="1">
        <f t="array" ref="X198">INT(SUMPRODUCT(--ISNUMBER(SEARCH(voting,'Jon Ossoff'!C198)))&gt;0)</f>
        <v>0</v>
      </c>
      <c r="Y198" s="14" cm="1">
        <f t="array" ref="Y198">INT(SUMPRODUCT(--ISNUMBER(SEARCH(democrattrigger,'Jon Ossoff'!C198)))&gt;0)</f>
        <v>1</v>
      </c>
      <c r="Z198" s="14" cm="1">
        <f t="array" ref="Z198">INT(SUMPRODUCT(--ISNUMBER(SEARCH(bipartisan,'Jon Ossoff'!C198)))&gt;0)</f>
        <v>0</v>
      </c>
      <c r="AA198" s="14">
        <f t="shared" si="3"/>
        <v>0</v>
      </c>
      <c r="AB198" s="14"/>
      <c r="AC198" s="30">
        <v>0</v>
      </c>
      <c r="AD198" s="37">
        <v>1</v>
      </c>
    </row>
    <row r="199" spans="1:30" x14ac:dyDescent="0.25">
      <c r="A199" s="36">
        <v>709</v>
      </c>
      <c r="B199" s="14" t="s">
        <v>1445</v>
      </c>
      <c r="C199" s="31" t="s">
        <v>1446</v>
      </c>
      <c r="D199" s="17">
        <v>44117</v>
      </c>
      <c r="E199" s="14" t="s">
        <v>30</v>
      </c>
      <c r="F199" s="14">
        <v>920</v>
      </c>
      <c r="G199" s="14">
        <v>433</v>
      </c>
      <c r="H199" s="14">
        <v>4</v>
      </c>
      <c r="I199" s="14">
        <v>2</v>
      </c>
      <c r="J199" s="14" t="s">
        <v>204</v>
      </c>
      <c r="K199" s="14" cm="1">
        <f t="array" ref="K199">INT(SUMPRODUCT(--ISNUMBER(SEARCH(economy,'Jon Ossoff'!C199)))&gt;0)</f>
        <v>0</v>
      </c>
      <c r="L199" s="14" cm="1">
        <f t="array" ref="L199">INT(SUMPRODUCT(--ISNUMBER(SEARCH(healthcare,'Jon Ossoff'!C199)))&gt;0)</f>
        <v>0</v>
      </c>
      <c r="M199" s="14" cm="1">
        <f t="array" ref="M199">INT(SUMPRODUCT(--ISNUMBER(SEARCH(supreme,'Jon Ossoff'!C199)))&gt;0)</f>
        <v>0</v>
      </c>
      <c r="N199" s="14" cm="1">
        <f t="array" ref="N199">INT(SUMPRODUCT(--ISNUMBER(SEARCH(covid,'Jon Ossoff'!C199)))&gt;0)</f>
        <v>0</v>
      </c>
      <c r="O199" s="14" cm="1">
        <f t="array" ref="O199">INT(SUMPRODUCT(--ISNUMBER(SEARCH(violent,'Jon Ossoff'!C199)))&gt;0)</f>
        <v>0</v>
      </c>
      <c r="P199" s="14" cm="1">
        <f t="array" ref="P199">INT(SUMPRODUCT(--ISNUMBER(SEARCH(foreign,'Jon Ossoff'!C199)))&gt;0)</f>
        <v>0</v>
      </c>
      <c r="Q199" s="14" cm="1">
        <f t="array" ref="Q199">INT(SUMPRODUCT(--ISNUMBER(SEARCH(gun,'Jon Ossoff'!C199)))&gt;0)</f>
        <v>0</v>
      </c>
      <c r="R199" s="14" cm="1">
        <f t="array" ref="R199">INT(SUMPRODUCT(--ISNUMBER(SEARCH(race,'Jon Ossoff'!C199)))&gt;0)</f>
        <v>0</v>
      </c>
      <c r="S199" s="14" cm="1">
        <f t="array" ref="S199">INT(SUMPRODUCT(--ISNUMBER(SEARCH(immigration,C199)))&gt;0)</f>
        <v>0</v>
      </c>
      <c r="T199" s="14" cm="1">
        <f t="array" ref="T199">INT(SUMPRODUCT(--ISNUMBER(SEARCH(econineq,C199)))&gt;0)</f>
        <v>0</v>
      </c>
      <c r="U199" s="14" cm="1">
        <f t="array" ref="U199">INT(SUMPRODUCT(--ISNUMBER(SEARCH(climate,'Jon Ossoff'!C199)))&gt;0)</f>
        <v>0</v>
      </c>
      <c r="V199" s="14" cm="1">
        <f t="array" ref="V199">INT(SUMPRODUCT(--ISNUMBER(SEARCH(abortion,'Jon Ossoff'!C199)))&gt;0)</f>
        <v>0</v>
      </c>
      <c r="W199" s="14" cm="1">
        <f t="array" ref="W199">INT(SUMPRODUCT(--ISNUMBER(SEARCH(trump,'Jon Ossoff'!C199)))&gt;0)</f>
        <v>0</v>
      </c>
      <c r="X199" s="14" cm="1">
        <f t="array" ref="X199">INT(SUMPRODUCT(--ISNUMBER(SEARCH(voting,'Jon Ossoff'!C199)))&gt;0)</f>
        <v>0</v>
      </c>
      <c r="Y199" s="14" cm="1">
        <f t="array" ref="Y199">INT(SUMPRODUCT(--ISNUMBER(SEARCH(democrattrigger,'Jon Ossoff'!C199)))&gt;0)</f>
        <v>1</v>
      </c>
      <c r="Z199" s="14" cm="1">
        <f t="array" ref="Z199">INT(SUMPRODUCT(--ISNUMBER(SEARCH(bipartisan,'Jon Ossoff'!C199)))&gt;0)</f>
        <v>0</v>
      </c>
      <c r="AA199" s="14">
        <f t="shared" si="3"/>
        <v>0</v>
      </c>
      <c r="AB199" s="14"/>
      <c r="AC199" s="30">
        <v>0</v>
      </c>
      <c r="AD199" s="37">
        <v>1</v>
      </c>
    </row>
    <row r="200" spans="1:30" x14ac:dyDescent="0.25">
      <c r="A200" s="36">
        <v>710</v>
      </c>
      <c r="B200" s="14" t="s">
        <v>1447</v>
      </c>
      <c r="C200" s="31" t="s">
        <v>1448</v>
      </c>
      <c r="D200" s="17">
        <v>44116</v>
      </c>
      <c r="E200" s="14" t="s">
        <v>30</v>
      </c>
      <c r="F200" s="14">
        <v>446</v>
      </c>
      <c r="G200" s="14">
        <v>191</v>
      </c>
      <c r="H200" s="14">
        <v>4</v>
      </c>
      <c r="I200" s="14">
        <v>2</v>
      </c>
      <c r="J200" s="14" t="s">
        <v>204</v>
      </c>
      <c r="K200" s="14" cm="1">
        <f t="array" ref="K200">INT(SUMPRODUCT(--ISNUMBER(SEARCH(economy,'Jon Ossoff'!C200)))&gt;0)</f>
        <v>1</v>
      </c>
      <c r="L200" s="14" cm="1">
        <f t="array" ref="L200">INT(SUMPRODUCT(--ISNUMBER(SEARCH(healthcare,'Jon Ossoff'!C200)))&gt;0)</f>
        <v>0</v>
      </c>
      <c r="M200" s="14" cm="1">
        <f t="array" ref="M200">INT(SUMPRODUCT(--ISNUMBER(SEARCH(supreme,'Jon Ossoff'!C200)))&gt;0)</f>
        <v>0</v>
      </c>
      <c r="N200" s="14" cm="1">
        <f t="array" ref="N200">INT(SUMPRODUCT(--ISNUMBER(SEARCH(covid,'Jon Ossoff'!C200)))&gt;0)</f>
        <v>1</v>
      </c>
      <c r="O200" s="14" cm="1">
        <f t="array" ref="O200">INT(SUMPRODUCT(--ISNUMBER(SEARCH(violent,'Jon Ossoff'!C200)))&gt;0)</f>
        <v>0</v>
      </c>
      <c r="P200" s="14" cm="1">
        <f t="array" ref="P200">INT(SUMPRODUCT(--ISNUMBER(SEARCH(foreign,'Jon Ossoff'!C200)))&gt;0)</f>
        <v>0</v>
      </c>
      <c r="Q200" s="14" cm="1">
        <f t="array" ref="Q200">INT(SUMPRODUCT(--ISNUMBER(SEARCH(gun,'Jon Ossoff'!C200)))&gt;0)</f>
        <v>0</v>
      </c>
      <c r="R200" s="14" cm="1">
        <f t="array" ref="R200">INT(SUMPRODUCT(--ISNUMBER(SEARCH(race,'Jon Ossoff'!C200)))&gt;0)</f>
        <v>0</v>
      </c>
      <c r="S200" s="14" cm="1">
        <f t="array" ref="S200">INT(SUMPRODUCT(--ISNUMBER(SEARCH(immigration,C200)))&gt;0)</f>
        <v>0</v>
      </c>
      <c r="T200" s="14" cm="1">
        <f t="array" ref="T200">INT(SUMPRODUCT(--ISNUMBER(SEARCH(econineq,C200)))&gt;0)</f>
        <v>0</v>
      </c>
      <c r="U200" s="14" cm="1">
        <f t="array" ref="U200">INT(SUMPRODUCT(--ISNUMBER(SEARCH(climate,'Jon Ossoff'!C200)))&gt;0)</f>
        <v>0</v>
      </c>
      <c r="V200" s="14" cm="1">
        <f t="array" ref="V200">INT(SUMPRODUCT(--ISNUMBER(SEARCH(abortion,'Jon Ossoff'!C200)))&gt;0)</f>
        <v>0</v>
      </c>
      <c r="W200" s="14" cm="1">
        <f t="array" ref="W200">INT(SUMPRODUCT(--ISNUMBER(SEARCH(trump,'Jon Ossoff'!C200)))&gt;0)</f>
        <v>1</v>
      </c>
      <c r="X200" s="14" cm="1">
        <f t="array" ref="X200">INT(SUMPRODUCT(--ISNUMBER(SEARCH(voting,'Jon Ossoff'!C200)))&gt;0)</f>
        <v>0</v>
      </c>
      <c r="Y200" s="14" cm="1">
        <f t="array" ref="Y200">INT(SUMPRODUCT(--ISNUMBER(SEARCH(democrattrigger,'Jon Ossoff'!C200)))&gt;0)</f>
        <v>1</v>
      </c>
      <c r="Z200" s="14" cm="1">
        <f t="array" ref="Z200">INT(SUMPRODUCT(--ISNUMBER(SEARCH(bipartisan,'Jon Ossoff'!C200)))&gt;0)</f>
        <v>0</v>
      </c>
      <c r="AA200" s="14">
        <f t="shared" si="3"/>
        <v>0</v>
      </c>
      <c r="AB200" s="14"/>
      <c r="AC200" s="30">
        <v>0</v>
      </c>
      <c r="AD200" s="37">
        <v>1</v>
      </c>
    </row>
    <row r="201" spans="1:30" x14ac:dyDescent="0.25">
      <c r="A201" s="36">
        <v>711</v>
      </c>
      <c r="B201" s="14" t="s">
        <v>1449</v>
      </c>
      <c r="C201" s="31" t="s">
        <v>1450</v>
      </c>
      <c r="D201" s="17">
        <v>44116</v>
      </c>
      <c r="E201" s="14" t="s">
        <v>30</v>
      </c>
      <c r="F201" s="14">
        <v>830</v>
      </c>
      <c r="G201" s="14">
        <v>345</v>
      </c>
      <c r="H201" s="14">
        <v>4</v>
      </c>
      <c r="I201" s="14">
        <v>2</v>
      </c>
      <c r="J201" s="14" t="s">
        <v>204</v>
      </c>
      <c r="K201" s="14" cm="1">
        <f t="array" ref="K201">INT(SUMPRODUCT(--ISNUMBER(SEARCH(economy,'Jon Ossoff'!C201)))&gt;0)</f>
        <v>0</v>
      </c>
      <c r="L201" s="14" cm="1">
        <f t="array" ref="L201">INT(SUMPRODUCT(--ISNUMBER(SEARCH(healthcare,'Jon Ossoff'!C201)))&gt;0)</f>
        <v>0</v>
      </c>
      <c r="M201" s="14" cm="1">
        <f t="array" ref="M201">INT(SUMPRODUCT(--ISNUMBER(SEARCH(supreme,'Jon Ossoff'!C201)))&gt;0)</f>
        <v>0</v>
      </c>
      <c r="N201" s="14" cm="1">
        <f t="array" ref="N201">INT(SUMPRODUCT(--ISNUMBER(SEARCH(covid,'Jon Ossoff'!C201)))&gt;0)</f>
        <v>0</v>
      </c>
      <c r="O201" s="14" cm="1">
        <f t="array" ref="O201">INT(SUMPRODUCT(--ISNUMBER(SEARCH(violent,'Jon Ossoff'!C201)))&gt;0)</f>
        <v>0</v>
      </c>
      <c r="P201" s="14" cm="1">
        <f t="array" ref="P201">INT(SUMPRODUCT(--ISNUMBER(SEARCH(foreign,'Jon Ossoff'!C201)))&gt;0)</f>
        <v>0</v>
      </c>
      <c r="Q201" s="14" cm="1">
        <f t="array" ref="Q201">INT(SUMPRODUCT(--ISNUMBER(SEARCH(gun,'Jon Ossoff'!C201)))&gt;0)</f>
        <v>0</v>
      </c>
      <c r="R201" s="14" cm="1">
        <f t="array" ref="R201">INT(SUMPRODUCT(--ISNUMBER(SEARCH(race,'Jon Ossoff'!C201)))&gt;0)</f>
        <v>0</v>
      </c>
      <c r="S201" s="14" cm="1">
        <f t="array" ref="S201">INT(SUMPRODUCT(--ISNUMBER(SEARCH(immigration,C201)))&gt;0)</f>
        <v>0</v>
      </c>
      <c r="T201" s="14" cm="1">
        <f t="array" ref="T201">INT(SUMPRODUCT(--ISNUMBER(SEARCH(econineq,C201)))&gt;0)</f>
        <v>0</v>
      </c>
      <c r="U201" s="14" cm="1">
        <f t="array" ref="U201">INT(SUMPRODUCT(--ISNUMBER(SEARCH(climate,'Jon Ossoff'!C201)))&gt;0)</f>
        <v>0</v>
      </c>
      <c r="V201" s="14" cm="1">
        <f t="array" ref="V201">INT(SUMPRODUCT(--ISNUMBER(SEARCH(abortion,'Jon Ossoff'!C201)))&gt;0)</f>
        <v>0</v>
      </c>
      <c r="W201" s="14" cm="1">
        <f t="array" ref="W201">INT(SUMPRODUCT(--ISNUMBER(SEARCH(trump,'Jon Ossoff'!C201)))&gt;0)</f>
        <v>0</v>
      </c>
      <c r="X201" s="14" cm="1">
        <f t="array" ref="X201">INT(SUMPRODUCT(--ISNUMBER(SEARCH(voting,'Jon Ossoff'!C201)))&gt;0)</f>
        <v>1</v>
      </c>
      <c r="Y201" s="14" cm="1">
        <f t="array" ref="Y201">INT(SUMPRODUCT(--ISNUMBER(SEARCH(democrattrigger,'Jon Ossoff'!C201)))&gt;0)</f>
        <v>0</v>
      </c>
      <c r="Z201" s="14" cm="1">
        <f t="array" ref="Z201">INT(SUMPRODUCT(--ISNUMBER(SEARCH(bipartisan,'Jon Ossoff'!C201)))&gt;0)</f>
        <v>0</v>
      </c>
      <c r="AA201" s="14">
        <f t="shared" si="3"/>
        <v>0</v>
      </c>
      <c r="AB201" s="14"/>
      <c r="AC201" s="30" t="s">
        <v>223</v>
      </c>
      <c r="AD201" s="37" t="s">
        <v>223</v>
      </c>
    </row>
    <row r="202" spans="1:30" x14ac:dyDescent="0.25">
      <c r="A202" s="36">
        <v>712</v>
      </c>
      <c r="B202" s="14" t="s">
        <v>1451</v>
      </c>
      <c r="C202" s="31" t="s">
        <v>1452</v>
      </c>
      <c r="D202" s="17">
        <v>44116</v>
      </c>
      <c r="E202" s="14" t="s">
        <v>30</v>
      </c>
      <c r="F202" s="14">
        <v>335</v>
      </c>
      <c r="G202" s="14">
        <v>164</v>
      </c>
      <c r="H202" s="14">
        <v>4</v>
      </c>
      <c r="I202" s="14">
        <v>2</v>
      </c>
      <c r="J202" s="14" t="s">
        <v>204</v>
      </c>
      <c r="K202" s="14" cm="1">
        <f t="array" ref="K202">INT(SUMPRODUCT(--ISNUMBER(SEARCH(economy,'Jon Ossoff'!C202)))&gt;0)</f>
        <v>0</v>
      </c>
      <c r="L202" s="14" cm="1">
        <f t="array" ref="L202">INT(SUMPRODUCT(--ISNUMBER(SEARCH(healthcare,'Jon Ossoff'!C202)))&gt;0)</f>
        <v>0</v>
      </c>
      <c r="M202" s="14" cm="1">
        <f t="array" ref="M202">INT(SUMPRODUCT(--ISNUMBER(SEARCH(supreme,'Jon Ossoff'!C202)))&gt;0)</f>
        <v>0</v>
      </c>
      <c r="N202" s="14" cm="1">
        <f t="array" ref="N202">INT(SUMPRODUCT(--ISNUMBER(SEARCH(covid,'Jon Ossoff'!C202)))&gt;0)</f>
        <v>0</v>
      </c>
      <c r="O202" s="14" cm="1">
        <f t="array" ref="O202">INT(SUMPRODUCT(--ISNUMBER(SEARCH(violent,'Jon Ossoff'!C202)))&gt;0)</f>
        <v>0</v>
      </c>
      <c r="P202" s="14" cm="1">
        <f t="array" ref="P202">INT(SUMPRODUCT(--ISNUMBER(SEARCH(foreign,'Jon Ossoff'!C202)))&gt;0)</f>
        <v>0</v>
      </c>
      <c r="Q202" s="14" cm="1">
        <f t="array" ref="Q202">INT(SUMPRODUCT(--ISNUMBER(SEARCH(gun,'Jon Ossoff'!C202)))&gt;0)</f>
        <v>0</v>
      </c>
      <c r="R202" s="14" cm="1">
        <f t="array" ref="R202">INT(SUMPRODUCT(--ISNUMBER(SEARCH(race,'Jon Ossoff'!C202)))&gt;0)</f>
        <v>0</v>
      </c>
      <c r="S202" s="14" cm="1">
        <f t="array" ref="S202">INT(SUMPRODUCT(--ISNUMBER(SEARCH(immigration,C202)))&gt;0)</f>
        <v>0</v>
      </c>
      <c r="T202" s="14" cm="1">
        <f t="array" ref="T202">INT(SUMPRODUCT(--ISNUMBER(SEARCH(econineq,C202)))&gt;0)</f>
        <v>0</v>
      </c>
      <c r="U202" s="14" cm="1">
        <f t="array" ref="U202">INT(SUMPRODUCT(--ISNUMBER(SEARCH(climate,'Jon Ossoff'!C202)))&gt;0)</f>
        <v>0</v>
      </c>
      <c r="V202" s="14" cm="1">
        <f t="array" ref="V202">INT(SUMPRODUCT(--ISNUMBER(SEARCH(abortion,'Jon Ossoff'!C202)))&gt;0)</f>
        <v>0</v>
      </c>
      <c r="W202" s="14" cm="1">
        <f t="array" ref="W202">INT(SUMPRODUCT(--ISNUMBER(SEARCH(trump,'Jon Ossoff'!C202)))&gt;0)</f>
        <v>0</v>
      </c>
      <c r="X202" s="14" cm="1">
        <f t="array" ref="X202">INT(SUMPRODUCT(--ISNUMBER(SEARCH(voting,'Jon Ossoff'!C202)))&gt;0)</f>
        <v>0</v>
      </c>
      <c r="Y202" s="14" cm="1">
        <f t="array" ref="Y202">INT(SUMPRODUCT(--ISNUMBER(SEARCH(democrattrigger,'Jon Ossoff'!C202)))&gt;0)</f>
        <v>1</v>
      </c>
      <c r="Z202" s="14" cm="1">
        <f t="array" ref="Z202">INT(SUMPRODUCT(--ISNUMBER(SEARCH(bipartisan,'Jon Ossoff'!C202)))&gt;0)</f>
        <v>0</v>
      </c>
      <c r="AA202" s="14">
        <f t="shared" si="3"/>
        <v>0</v>
      </c>
      <c r="AB202" s="14"/>
      <c r="AC202" s="30">
        <v>0</v>
      </c>
      <c r="AD202" s="37">
        <v>1</v>
      </c>
    </row>
    <row r="203" spans="1:30" x14ac:dyDescent="0.25">
      <c r="A203" s="36">
        <v>713</v>
      </c>
      <c r="B203" s="14" t="s">
        <v>1453</v>
      </c>
      <c r="C203" s="31" t="s">
        <v>1454</v>
      </c>
      <c r="D203" s="17">
        <v>44116</v>
      </c>
      <c r="E203" s="14" t="s">
        <v>30</v>
      </c>
      <c r="F203" s="14">
        <v>727</v>
      </c>
      <c r="G203" s="14">
        <v>324</v>
      </c>
      <c r="H203" s="14">
        <v>4</v>
      </c>
      <c r="I203" s="14">
        <v>2</v>
      </c>
      <c r="J203" s="14" t="s">
        <v>204</v>
      </c>
      <c r="K203" s="14" cm="1">
        <f t="array" ref="K203">INT(SUMPRODUCT(--ISNUMBER(SEARCH(economy,'Jon Ossoff'!C203)))&gt;0)</f>
        <v>1</v>
      </c>
      <c r="L203" s="14" cm="1">
        <f t="array" ref="L203">INT(SUMPRODUCT(--ISNUMBER(SEARCH(healthcare,'Jon Ossoff'!C203)))&gt;0)</f>
        <v>0</v>
      </c>
      <c r="M203" s="14" cm="1">
        <f t="array" ref="M203">INT(SUMPRODUCT(--ISNUMBER(SEARCH(supreme,'Jon Ossoff'!C203)))&gt;0)</f>
        <v>0</v>
      </c>
      <c r="N203" s="14" cm="1">
        <f t="array" ref="N203">INT(SUMPRODUCT(--ISNUMBER(SEARCH(covid,'Jon Ossoff'!C203)))&gt;0)</f>
        <v>0</v>
      </c>
      <c r="O203" s="14" cm="1">
        <f t="array" ref="O203">INT(SUMPRODUCT(--ISNUMBER(SEARCH(violent,'Jon Ossoff'!C203)))&gt;0)</f>
        <v>0</v>
      </c>
      <c r="P203" s="14" cm="1">
        <f t="array" ref="P203">INT(SUMPRODUCT(--ISNUMBER(SEARCH(foreign,'Jon Ossoff'!C203)))&gt;0)</f>
        <v>1</v>
      </c>
      <c r="Q203" s="14" cm="1">
        <f t="array" ref="Q203">INT(SUMPRODUCT(--ISNUMBER(SEARCH(gun,'Jon Ossoff'!C203)))&gt;0)</f>
        <v>0</v>
      </c>
      <c r="R203" s="14" cm="1">
        <f t="array" ref="R203">INT(SUMPRODUCT(--ISNUMBER(SEARCH(race,'Jon Ossoff'!C203)))&gt;0)</f>
        <v>0</v>
      </c>
      <c r="S203" s="14" cm="1">
        <f t="array" ref="S203">INT(SUMPRODUCT(--ISNUMBER(SEARCH(immigration,C203)))&gt;0)</f>
        <v>0</v>
      </c>
      <c r="T203" s="14" cm="1">
        <f t="array" ref="T203">INT(SUMPRODUCT(--ISNUMBER(SEARCH(econineq,C203)))&gt;0)</f>
        <v>0</v>
      </c>
      <c r="U203" s="14" cm="1">
        <f t="array" ref="U203">INT(SUMPRODUCT(--ISNUMBER(SEARCH(climate,'Jon Ossoff'!C203)))&gt;0)</f>
        <v>0</v>
      </c>
      <c r="V203" s="14" cm="1">
        <f t="array" ref="V203">INT(SUMPRODUCT(--ISNUMBER(SEARCH(abortion,'Jon Ossoff'!C203)))&gt;0)</f>
        <v>0</v>
      </c>
      <c r="W203" s="14" cm="1">
        <f t="array" ref="W203">INT(SUMPRODUCT(--ISNUMBER(SEARCH(trump,'Jon Ossoff'!C203)))&gt;0)</f>
        <v>0</v>
      </c>
      <c r="X203" s="14" cm="1">
        <f t="array" ref="X203">INT(SUMPRODUCT(--ISNUMBER(SEARCH(voting,'Jon Ossoff'!C203)))&gt;0)</f>
        <v>0</v>
      </c>
      <c r="Y203" s="14" cm="1">
        <f t="array" ref="Y203">INT(SUMPRODUCT(--ISNUMBER(SEARCH(democrattrigger,'Jon Ossoff'!C203)))&gt;0)</f>
        <v>1</v>
      </c>
      <c r="Z203" s="14" cm="1">
        <f t="array" ref="Z203">INT(SUMPRODUCT(--ISNUMBER(SEARCH(bipartisan,'Jon Ossoff'!C203)))&gt;0)</f>
        <v>0</v>
      </c>
      <c r="AA203" s="14">
        <f t="shared" si="3"/>
        <v>0</v>
      </c>
      <c r="AB203" s="14"/>
      <c r="AC203" s="30">
        <v>0</v>
      </c>
      <c r="AD203" s="37">
        <v>1</v>
      </c>
    </row>
    <row r="204" spans="1:30" x14ac:dyDescent="0.25">
      <c r="A204" s="36">
        <v>714</v>
      </c>
      <c r="B204" s="14" t="s">
        <v>1455</v>
      </c>
      <c r="C204" s="31" t="s">
        <v>1456</v>
      </c>
      <c r="D204" s="17">
        <v>44116</v>
      </c>
      <c r="E204" s="14" t="s">
        <v>30</v>
      </c>
      <c r="F204" s="14">
        <v>570</v>
      </c>
      <c r="G204" s="14">
        <v>220</v>
      </c>
      <c r="H204" s="14">
        <v>4</v>
      </c>
      <c r="I204" s="14">
        <v>2</v>
      </c>
      <c r="J204" s="14" t="s">
        <v>204</v>
      </c>
      <c r="K204" s="14" cm="1">
        <f t="array" ref="K204">INT(SUMPRODUCT(--ISNUMBER(SEARCH(economy,'Jon Ossoff'!C204)))&gt;0)</f>
        <v>0</v>
      </c>
      <c r="L204" s="14" cm="1">
        <f t="array" ref="L204">INT(SUMPRODUCT(--ISNUMBER(SEARCH(healthcare,'Jon Ossoff'!C204)))&gt;0)</f>
        <v>0</v>
      </c>
      <c r="M204" s="14" cm="1">
        <f t="array" ref="M204">INT(SUMPRODUCT(--ISNUMBER(SEARCH(supreme,'Jon Ossoff'!C204)))&gt;0)</f>
        <v>0</v>
      </c>
      <c r="N204" s="14" cm="1">
        <f t="array" ref="N204">INT(SUMPRODUCT(--ISNUMBER(SEARCH(covid,'Jon Ossoff'!C204)))&gt;0)</f>
        <v>0</v>
      </c>
      <c r="O204" s="14" cm="1">
        <f t="array" ref="O204">INT(SUMPRODUCT(--ISNUMBER(SEARCH(violent,'Jon Ossoff'!C204)))&gt;0)</f>
        <v>0</v>
      </c>
      <c r="P204" s="14" cm="1">
        <f t="array" ref="P204">INT(SUMPRODUCT(--ISNUMBER(SEARCH(foreign,'Jon Ossoff'!C204)))&gt;0)</f>
        <v>0</v>
      </c>
      <c r="Q204" s="14" cm="1">
        <f t="array" ref="Q204">INT(SUMPRODUCT(--ISNUMBER(SEARCH(gun,'Jon Ossoff'!C204)))&gt;0)</f>
        <v>0</v>
      </c>
      <c r="R204" s="14" cm="1">
        <f t="array" ref="R204">INT(SUMPRODUCT(--ISNUMBER(SEARCH(race,'Jon Ossoff'!C204)))&gt;0)</f>
        <v>0</v>
      </c>
      <c r="S204" s="14" cm="1">
        <f t="array" ref="S204">INT(SUMPRODUCT(--ISNUMBER(SEARCH(immigration,C204)))&gt;0)</f>
        <v>0</v>
      </c>
      <c r="T204" s="14" cm="1">
        <f t="array" ref="T204">INT(SUMPRODUCT(--ISNUMBER(SEARCH(econineq,C204)))&gt;0)</f>
        <v>0</v>
      </c>
      <c r="U204" s="14" cm="1">
        <f t="array" ref="U204">INT(SUMPRODUCT(--ISNUMBER(SEARCH(climate,'Jon Ossoff'!C204)))&gt;0)</f>
        <v>0</v>
      </c>
      <c r="V204" s="14" cm="1">
        <f t="array" ref="V204">INT(SUMPRODUCT(--ISNUMBER(SEARCH(abortion,'Jon Ossoff'!C204)))&gt;0)</f>
        <v>0</v>
      </c>
      <c r="W204" s="14" cm="1">
        <f t="array" ref="W204">INT(SUMPRODUCT(--ISNUMBER(SEARCH(trump,'Jon Ossoff'!C204)))&gt;0)</f>
        <v>0</v>
      </c>
      <c r="X204" s="14" cm="1">
        <f t="array" ref="X204">INT(SUMPRODUCT(--ISNUMBER(SEARCH(voting,'Jon Ossoff'!C204)))&gt;0)</f>
        <v>1</v>
      </c>
      <c r="Y204" s="14" cm="1">
        <f t="array" ref="Y204">INT(SUMPRODUCT(--ISNUMBER(SEARCH(democrattrigger,'Jon Ossoff'!C204)))&gt;0)</f>
        <v>0</v>
      </c>
      <c r="Z204" s="14" cm="1">
        <f t="array" ref="Z204">INT(SUMPRODUCT(--ISNUMBER(SEARCH(bipartisan,'Jon Ossoff'!C204)))&gt;0)</f>
        <v>0</v>
      </c>
      <c r="AA204" s="14">
        <f t="shared" si="3"/>
        <v>0</v>
      </c>
      <c r="AB204" s="14"/>
      <c r="AC204" s="30">
        <v>0</v>
      </c>
      <c r="AD204" s="37">
        <v>1</v>
      </c>
    </row>
    <row r="205" spans="1:30" x14ac:dyDescent="0.25">
      <c r="A205" s="36">
        <v>715</v>
      </c>
      <c r="B205" s="14" t="s">
        <v>1457</v>
      </c>
      <c r="C205" s="31" t="s">
        <v>1458</v>
      </c>
      <c r="D205" s="17">
        <v>44116</v>
      </c>
      <c r="E205" s="14" t="s">
        <v>30</v>
      </c>
      <c r="F205" s="14">
        <v>260</v>
      </c>
      <c r="G205" s="14">
        <v>121</v>
      </c>
      <c r="H205" s="14">
        <v>4</v>
      </c>
      <c r="I205" s="14">
        <v>2</v>
      </c>
      <c r="J205" s="14" t="s">
        <v>204</v>
      </c>
      <c r="K205" s="14" cm="1">
        <f t="array" ref="K205">INT(SUMPRODUCT(--ISNUMBER(SEARCH(economy,'Jon Ossoff'!C205)))&gt;0)</f>
        <v>0</v>
      </c>
      <c r="L205" s="14" cm="1">
        <f t="array" ref="L205">INT(SUMPRODUCT(--ISNUMBER(SEARCH(healthcare,'Jon Ossoff'!C205)))&gt;0)</f>
        <v>1</v>
      </c>
      <c r="M205" s="14" cm="1">
        <f t="array" ref="M205">INT(SUMPRODUCT(--ISNUMBER(SEARCH(supreme,'Jon Ossoff'!C205)))&gt;0)</f>
        <v>0</v>
      </c>
      <c r="N205" s="14" cm="1">
        <f t="array" ref="N205">INT(SUMPRODUCT(--ISNUMBER(SEARCH(covid,'Jon Ossoff'!C205)))&gt;0)</f>
        <v>0</v>
      </c>
      <c r="O205" s="14" cm="1">
        <f t="array" ref="O205">INT(SUMPRODUCT(--ISNUMBER(SEARCH(violent,'Jon Ossoff'!C205)))&gt;0)</f>
        <v>0</v>
      </c>
      <c r="P205" s="14" cm="1">
        <f t="array" ref="P205">INT(SUMPRODUCT(--ISNUMBER(SEARCH(foreign,'Jon Ossoff'!C205)))&gt;0)</f>
        <v>0</v>
      </c>
      <c r="Q205" s="14" cm="1">
        <f t="array" ref="Q205">INT(SUMPRODUCT(--ISNUMBER(SEARCH(gun,'Jon Ossoff'!C205)))&gt;0)</f>
        <v>0</v>
      </c>
      <c r="R205" s="14" cm="1">
        <f t="array" ref="R205">INT(SUMPRODUCT(--ISNUMBER(SEARCH(race,'Jon Ossoff'!C205)))&gt;0)</f>
        <v>0</v>
      </c>
      <c r="S205" s="14" cm="1">
        <f t="array" ref="S205">INT(SUMPRODUCT(--ISNUMBER(SEARCH(immigration,C205)))&gt;0)</f>
        <v>0</v>
      </c>
      <c r="T205" s="14" cm="1">
        <f t="array" ref="T205">INT(SUMPRODUCT(--ISNUMBER(SEARCH(econineq,C205)))&gt;0)</f>
        <v>0</v>
      </c>
      <c r="U205" s="14" cm="1">
        <f t="array" ref="U205">INT(SUMPRODUCT(--ISNUMBER(SEARCH(climate,'Jon Ossoff'!C205)))&gt;0)</f>
        <v>1</v>
      </c>
      <c r="V205" s="14" cm="1">
        <f t="array" ref="V205">INT(SUMPRODUCT(--ISNUMBER(SEARCH(abortion,'Jon Ossoff'!C205)))&gt;0)</f>
        <v>0</v>
      </c>
      <c r="W205" s="14" cm="1">
        <f t="array" ref="W205">INT(SUMPRODUCT(--ISNUMBER(SEARCH(trump,'Jon Ossoff'!C205)))&gt;0)</f>
        <v>0</v>
      </c>
      <c r="X205" s="14" cm="1">
        <f t="array" ref="X205">INT(SUMPRODUCT(--ISNUMBER(SEARCH(voting,'Jon Ossoff'!C205)))&gt;0)</f>
        <v>0</v>
      </c>
      <c r="Y205" s="14" cm="1">
        <f t="array" ref="Y205">INT(SUMPRODUCT(--ISNUMBER(SEARCH(democrattrigger,'Jon Ossoff'!C205)))&gt;0)</f>
        <v>0</v>
      </c>
      <c r="Z205" s="14" cm="1">
        <f t="array" ref="Z205">INT(SUMPRODUCT(--ISNUMBER(SEARCH(bipartisan,'Jon Ossoff'!C205)))&gt;0)</f>
        <v>0</v>
      </c>
      <c r="AA205" s="14">
        <f t="shared" si="3"/>
        <v>0</v>
      </c>
      <c r="AB205" s="14"/>
      <c r="AC205" s="30">
        <v>0</v>
      </c>
      <c r="AD205" s="37">
        <v>1</v>
      </c>
    </row>
    <row r="206" spans="1:30" x14ac:dyDescent="0.25">
      <c r="A206" s="36">
        <v>716</v>
      </c>
      <c r="B206" s="14" t="s">
        <v>1459</v>
      </c>
      <c r="C206" s="31" t="s">
        <v>1460</v>
      </c>
      <c r="D206" s="17">
        <v>44116</v>
      </c>
      <c r="E206" s="14" t="s">
        <v>30</v>
      </c>
      <c r="F206" s="14">
        <v>361</v>
      </c>
      <c r="G206" s="14">
        <v>141</v>
      </c>
      <c r="H206" s="14">
        <v>4</v>
      </c>
      <c r="I206" s="14">
        <v>2</v>
      </c>
      <c r="J206" s="14" t="s">
        <v>204</v>
      </c>
      <c r="K206" s="14" cm="1">
        <f t="array" ref="K206">INT(SUMPRODUCT(--ISNUMBER(SEARCH(economy,'Jon Ossoff'!C206)))&gt;0)</f>
        <v>0</v>
      </c>
      <c r="L206" s="14" cm="1">
        <f t="array" ref="L206">INT(SUMPRODUCT(--ISNUMBER(SEARCH(healthcare,'Jon Ossoff'!C206)))&gt;0)</f>
        <v>0</v>
      </c>
      <c r="M206" s="14" cm="1">
        <f t="array" ref="M206">INT(SUMPRODUCT(--ISNUMBER(SEARCH(supreme,'Jon Ossoff'!C206)))&gt;0)</f>
        <v>0</v>
      </c>
      <c r="N206" s="14" cm="1">
        <f t="array" ref="N206">INT(SUMPRODUCT(--ISNUMBER(SEARCH(covid,'Jon Ossoff'!C206)))&gt;0)</f>
        <v>0</v>
      </c>
      <c r="O206" s="14" cm="1">
        <f t="array" ref="O206">INT(SUMPRODUCT(--ISNUMBER(SEARCH(violent,'Jon Ossoff'!C206)))&gt;0)</f>
        <v>1</v>
      </c>
      <c r="P206" s="14" cm="1">
        <f t="array" ref="P206">INT(SUMPRODUCT(--ISNUMBER(SEARCH(foreign,'Jon Ossoff'!C206)))&gt;0)</f>
        <v>0</v>
      </c>
      <c r="Q206" s="14" cm="1">
        <f t="array" ref="Q206">INT(SUMPRODUCT(--ISNUMBER(SEARCH(gun,'Jon Ossoff'!C206)))&gt;0)</f>
        <v>0</v>
      </c>
      <c r="R206" s="14" cm="1">
        <f t="array" ref="R206">INT(SUMPRODUCT(--ISNUMBER(SEARCH(race,'Jon Ossoff'!C206)))&gt;0)</f>
        <v>0</v>
      </c>
      <c r="S206" s="14" cm="1">
        <f t="array" ref="S206">INT(SUMPRODUCT(--ISNUMBER(SEARCH(immigration,C206)))&gt;0)</f>
        <v>0</v>
      </c>
      <c r="T206" s="14" cm="1">
        <f t="array" ref="T206">INT(SUMPRODUCT(--ISNUMBER(SEARCH(econineq,C206)))&gt;0)</f>
        <v>0</v>
      </c>
      <c r="U206" s="14" cm="1">
        <f t="array" ref="U206">INT(SUMPRODUCT(--ISNUMBER(SEARCH(climate,'Jon Ossoff'!C206)))&gt;0)</f>
        <v>0</v>
      </c>
      <c r="V206" s="14" cm="1">
        <f t="array" ref="V206">INT(SUMPRODUCT(--ISNUMBER(SEARCH(abortion,'Jon Ossoff'!C206)))&gt;0)</f>
        <v>0</v>
      </c>
      <c r="W206" s="14" cm="1">
        <f t="array" ref="W206">INT(SUMPRODUCT(--ISNUMBER(SEARCH(trump,'Jon Ossoff'!C206)))&gt;0)</f>
        <v>0</v>
      </c>
      <c r="X206" s="14" cm="1">
        <f t="array" ref="X206">INT(SUMPRODUCT(--ISNUMBER(SEARCH(voting,'Jon Ossoff'!C206)))&gt;0)</f>
        <v>0</v>
      </c>
      <c r="Y206" s="14" cm="1">
        <f t="array" ref="Y206">INT(SUMPRODUCT(--ISNUMBER(SEARCH(democrattrigger,'Jon Ossoff'!C206)))&gt;0)</f>
        <v>1</v>
      </c>
      <c r="Z206" s="14" cm="1">
        <f t="array" ref="Z206">INT(SUMPRODUCT(--ISNUMBER(SEARCH(bipartisan,'Jon Ossoff'!C206)))&gt;0)</f>
        <v>0</v>
      </c>
      <c r="AA206" s="14">
        <f t="shared" si="3"/>
        <v>0</v>
      </c>
      <c r="AB206" s="14"/>
      <c r="AC206" s="30">
        <v>0</v>
      </c>
      <c r="AD206" s="37">
        <v>1</v>
      </c>
    </row>
    <row r="207" spans="1:30" x14ac:dyDescent="0.25">
      <c r="A207" s="36">
        <v>717</v>
      </c>
      <c r="B207" s="14" t="s">
        <v>1461</v>
      </c>
      <c r="C207" s="31" t="s">
        <v>1462</v>
      </c>
      <c r="D207" s="17">
        <v>44116</v>
      </c>
      <c r="E207" s="14" t="s">
        <v>30</v>
      </c>
      <c r="F207" s="14">
        <v>440</v>
      </c>
      <c r="G207" s="14">
        <v>172</v>
      </c>
      <c r="H207" s="14">
        <v>4</v>
      </c>
      <c r="I207" s="14">
        <v>2</v>
      </c>
      <c r="J207" s="14" t="s">
        <v>204</v>
      </c>
      <c r="K207" s="14" cm="1">
        <f t="array" ref="K207">INT(SUMPRODUCT(--ISNUMBER(SEARCH(economy,'Jon Ossoff'!C207)))&gt;0)</f>
        <v>0</v>
      </c>
      <c r="L207" s="14" cm="1">
        <f t="array" ref="L207">INT(SUMPRODUCT(--ISNUMBER(SEARCH(healthcare,'Jon Ossoff'!C207)))&gt;0)</f>
        <v>1</v>
      </c>
      <c r="M207" s="14" cm="1">
        <f t="array" ref="M207">INT(SUMPRODUCT(--ISNUMBER(SEARCH(supreme,'Jon Ossoff'!C207)))&gt;0)</f>
        <v>0</v>
      </c>
      <c r="N207" s="14" cm="1">
        <f t="array" ref="N207">INT(SUMPRODUCT(--ISNUMBER(SEARCH(covid,'Jon Ossoff'!C207)))&gt;0)</f>
        <v>0</v>
      </c>
      <c r="O207" s="14" cm="1">
        <f t="array" ref="O207">INT(SUMPRODUCT(--ISNUMBER(SEARCH(violent,'Jon Ossoff'!C207)))&gt;0)</f>
        <v>0</v>
      </c>
      <c r="P207" s="14" cm="1">
        <f t="array" ref="P207">INT(SUMPRODUCT(--ISNUMBER(SEARCH(foreign,'Jon Ossoff'!C207)))&gt;0)</f>
        <v>0</v>
      </c>
      <c r="Q207" s="14" cm="1">
        <f t="array" ref="Q207">INT(SUMPRODUCT(--ISNUMBER(SEARCH(gun,'Jon Ossoff'!C207)))&gt;0)</f>
        <v>0</v>
      </c>
      <c r="R207" s="14" cm="1">
        <f t="array" ref="R207">INT(SUMPRODUCT(--ISNUMBER(SEARCH(race,'Jon Ossoff'!C207)))&gt;0)</f>
        <v>0</v>
      </c>
      <c r="S207" s="14" cm="1">
        <f t="array" ref="S207">INT(SUMPRODUCT(--ISNUMBER(SEARCH(immigration,C207)))&gt;0)</f>
        <v>0</v>
      </c>
      <c r="T207" s="14" cm="1">
        <f t="array" ref="T207">INT(SUMPRODUCT(--ISNUMBER(SEARCH(econineq,C207)))&gt;0)</f>
        <v>0</v>
      </c>
      <c r="U207" s="14" cm="1">
        <f t="array" ref="U207">INT(SUMPRODUCT(--ISNUMBER(SEARCH(climate,'Jon Ossoff'!C207)))&gt;0)</f>
        <v>0</v>
      </c>
      <c r="V207" s="14" cm="1">
        <f t="array" ref="V207">INT(SUMPRODUCT(--ISNUMBER(SEARCH(abortion,'Jon Ossoff'!C207)))&gt;0)</f>
        <v>0</v>
      </c>
      <c r="W207" s="14" cm="1">
        <f t="array" ref="W207">INT(SUMPRODUCT(--ISNUMBER(SEARCH(trump,'Jon Ossoff'!C207)))&gt;0)</f>
        <v>0</v>
      </c>
      <c r="X207" s="14" cm="1">
        <f t="array" ref="X207">INT(SUMPRODUCT(--ISNUMBER(SEARCH(voting,'Jon Ossoff'!C207)))&gt;0)</f>
        <v>1</v>
      </c>
      <c r="Y207" s="14" cm="1">
        <f t="array" ref="Y207">INT(SUMPRODUCT(--ISNUMBER(SEARCH(democrattrigger,'Jon Ossoff'!C207)))&gt;0)</f>
        <v>1</v>
      </c>
      <c r="Z207" s="14" cm="1">
        <f t="array" ref="Z207">INT(SUMPRODUCT(--ISNUMBER(SEARCH(bipartisan,'Jon Ossoff'!C207)))&gt;0)</f>
        <v>0</v>
      </c>
      <c r="AA207" s="14">
        <f t="shared" si="3"/>
        <v>0</v>
      </c>
      <c r="AB207" s="14"/>
      <c r="AC207" s="30">
        <v>0</v>
      </c>
      <c r="AD207" s="37">
        <v>1</v>
      </c>
    </row>
    <row r="208" spans="1:30" x14ac:dyDescent="0.25">
      <c r="A208" s="36">
        <v>718</v>
      </c>
      <c r="B208" s="14" t="s">
        <v>1463</v>
      </c>
      <c r="C208" s="31" t="s">
        <v>1464</v>
      </c>
      <c r="D208" s="17">
        <v>44116</v>
      </c>
      <c r="E208" s="14" t="s">
        <v>30</v>
      </c>
      <c r="F208" s="14">
        <v>692</v>
      </c>
      <c r="G208" s="14">
        <v>316</v>
      </c>
      <c r="H208" s="14">
        <v>4</v>
      </c>
      <c r="I208" s="14">
        <v>2</v>
      </c>
      <c r="J208" s="14" t="s">
        <v>204</v>
      </c>
      <c r="K208" s="14" cm="1">
        <f t="array" ref="K208">INT(SUMPRODUCT(--ISNUMBER(SEARCH(economy,'Jon Ossoff'!C208)))&gt;0)</f>
        <v>0</v>
      </c>
      <c r="L208" s="14" cm="1">
        <f t="array" ref="L208">INT(SUMPRODUCT(--ISNUMBER(SEARCH(healthcare,'Jon Ossoff'!C208)))&gt;0)</f>
        <v>0</v>
      </c>
      <c r="M208" s="14" cm="1">
        <f t="array" ref="M208">INT(SUMPRODUCT(--ISNUMBER(SEARCH(supreme,'Jon Ossoff'!C208)))&gt;0)</f>
        <v>0</v>
      </c>
      <c r="N208" s="14" cm="1">
        <f t="array" ref="N208">INT(SUMPRODUCT(--ISNUMBER(SEARCH(covid,'Jon Ossoff'!C208)))&gt;0)</f>
        <v>0</v>
      </c>
      <c r="O208" s="14" cm="1">
        <f t="array" ref="O208">INT(SUMPRODUCT(--ISNUMBER(SEARCH(violent,'Jon Ossoff'!C208)))&gt;0)</f>
        <v>0</v>
      </c>
      <c r="P208" s="14" cm="1">
        <f t="array" ref="P208">INT(SUMPRODUCT(--ISNUMBER(SEARCH(foreign,'Jon Ossoff'!C208)))&gt;0)</f>
        <v>0</v>
      </c>
      <c r="Q208" s="14" cm="1">
        <f t="array" ref="Q208">INT(SUMPRODUCT(--ISNUMBER(SEARCH(gun,'Jon Ossoff'!C208)))&gt;0)</f>
        <v>0</v>
      </c>
      <c r="R208" s="14" cm="1">
        <f t="array" ref="R208">INT(SUMPRODUCT(--ISNUMBER(SEARCH(race,'Jon Ossoff'!C208)))&gt;0)</f>
        <v>0</v>
      </c>
      <c r="S208" s="14" cm="1">
        <f t="array" ref="S208">INT(SUMPRODUCT(--ISNUMBER(SEARCH(immigration,C208)))&gt;0)</f>
        <v>0</v>
      </c>
      <c r="T208" s="14" cm="1">
        <f t="array" ref="T208">INT(SUMPRODUCT(--ISNUMBER(SEARCH(econineq,C208)))&gt;0)</f>
        <v>0</v>
      </c>
      <c r="U208" s="14" cm="1">
        <f t="array" ref="U208">INT(SUMPRODUCT(--ISNUMBER(SEARCH(climate,'Jon Ossoff'!C208)))&gt;0)</f>
        <v>0</v>
      </c>
      <c r="V208" s="14" cm="1">
        <f t="array" ref="V208">INT(SUMPRODUCT(--ISNUMBER(SEARCH(abortion,'Jon Ossoff'!C208)))&gt;0)</f>
        <v>0</v>
      </c>
      <c r="W208" s="14" cm="1">
        <f t="array" ref="W208">INT(SUMPRODUCT(--ISNUMBER(SEARCH(trump,'Jon Ossoff'!C208)))&gt;0)</f>
        <v>0</v>
      </c>
      <c r="X208" s="14" cm="1">
        <f t="array" ref="X208">INT(SUMPRODUCT(--ISNUMBER(SEARCH(voting,'Jon Ossoff'!C208)))&gt;0)</f>
        <v>0</v>
      </c>
      <c r="Y208" s="14" cm="1">
        <f t="array" ref="Y208">INT(SUMPRODUCT(--ISNUMBER(SEARCH(democrattrigger,'Jon Ossoff'!C208)))&gt;0)</f>
        <v>1</v>
      </c>
      <c r="Z208" s="14" cm="1">
        <f t="array" ref="Z208">INT(SUMPRODUCT(--ISNUMBER(SEARCH(bipartisan,'Jon Ossoff'!C208)))&gt;0)</f>
        <v>0</v>
      </c>
      <c r="AA208" s="14">
        <f t="shared" si="3"/>
        <v>0</v>
      </c>
      <c r="AB208" s="14"/>
      <c r="AC208" s="30">
        <v>0</v>
      </c>
      <c r="AD208" s="37">
        <v>1</v>
      </c>
    </row>
    <row r="209" spans="1:30" x14ac:dyDescent="0.25">
      <c r="A209" s="36">
        <v>719</v>
      </c>
      <c r="B209" s="14" t="s">
        <v>1465</v>
      </c>
      <c r="C209" s="31" t="s">
        <v>1466</v>
      </c>
      <c r="D209" s="17">
        <v>44116</v>
      </c>
      <c r="E209" s="14" t="s">
        <v>30</v>
      </c>
      <c r="F209" s="14">
        <v>283</v>
      </c>
      <c r="G209" s="14">
        <v>158</v>
      </c>
      <c r="H209" s="14">
        <v>4</v>
      </c>
      <c r="I209" s="14">
        <v>2</v>
      </c>
      <c r="J209" s="14" t="s">
        <v>204</v>
      </c>
      <c r="K209" s="14" cm="1">
        <f t="array" ref="K209">INT(SUMPRODUCT(--ISNUMBER(SEARCH(economy,'Jon Ossoff'!C209)))&gt;0)</f>
        <v>0</v>
      </c>
      <c r="L209" s="14" cm="1">
        <f t="array" ref="L209">INT(SUMPRODUCT(--ISNUMBER(SEARCH(healthcare,'Jon Ossoff'!C209)))&gt;0)</f>
        <v>0</v>
      </c>
      <c r="M209" s="14" cm="1">
        <f t="array" ref="M209">INT(SUMPRODUCT(--ISNUMBER(SEARCH(supreme,'Jon Ossoff'!C209)))&gt;0)</f>
        <v>0</v>
      </c>
      <c r="N209" s="14" cm="1">
        <f t="array" ref="N209">INT(SUMPRODUCT(--ISNUMBER(SEARCH(covid,'Jon Ossoff'!C209)))&gt;0)</f>
        <v>1</v>
      </c>
      <c r="O209" s="14" cm="1">
        <f t="array" ref="O209">INT(SUMPRODUCT(--ISNUMBER(SEARCH(violent,'Jon Ossoff'!C209)))&gt;0)</f>
        <v>0</v>
      </c>
      <c r="P209" s="14" cm="1">
        <f t="array" ref="P209">INT(SUMPRODUCT(--ISNUMBER(SEARCH(foreign,'Jon Ossoff'!C209)))&gt;0)</f>
        <v>0</v>
      </c>
      <c r="Q209" s="14" cm="1">
        <f t="array" ref="Q209">INT(SUMPRODUCT(--ISNUMBER(SEARCH(gun,'Jon Ossoff'!C209)))&gt;0)</f>
        <v>0</v>
      </c>
      <c r="R209" s="14" cm="1">
        <f t="array" ref="R209">INT(SUMPRODUCT(--ISNUMBER(SEARCH(race,'Jon Ossoff'!C209)))&gt;0)</f>
        <v>0</v>
      </c>
      <c r="S209" s="14" cm="1">
        <f t="array" ref="S209">INT(SUMPRODUCT(--ISNUMBER(SEARCH(immigration,C209)))&gt;0)</f>
        <v>0</v>
      </c>
      <c r="T209" s="14" cm="1">
        <f t="array" ref="T209">INT(SUMPRODUCT(--ISNUMBER(SEARCH(econineq,C209)))&gt;0)</f>
        <v>0</v>
      </c>
      <c r="U209" s="14" cm="1">
        <f t="array" ref="U209">INT(SUMPRODUCT(--ISNUMBER(SEARCH(climate,'Jon Ossoff'!C209)))&gt;0)</f>
        <v>0</v>
      </c>
      <c r="V209" s="14" cm="1">
        <f t="array" ref="V209">INT(SUMPRODUCT(--ISNUMBER(SEARCH(abortion,'Jon Ossoff'!C209)))&gt;0)</f>
        <v>0</v>
      </c>
      <c r="W209" s="14" cm="1">
        <f t="array" ref="W209">INT(SUMPRODUCT(--ISNUMBER(SEARCH(trump,'Jon Ossoff'!C209)))&gt;0)</f>
        <v>1</v>
      </c>
      <c r="X209" s="14" cm="1">
        <f t="array" ref="X209">INT(SUMPRODUCT(--ISNUMBER(SEARCH(voting,'Jon Ossoff'!C209)))&gt;0)</f>
        <v>0</v>
      </c>
      <c r="Y209" s="14" cm="1">
        <f t="array" ref="Y209">INT(SUMPRODUCT(--ISNUMBER(SEARCH(democrattrigger,'Jon Ossoff'!C209)))&gt;0)</f>
        <v>1</v>
      </c>
      <c r="Z209" s="14" cm="1">
        <f t="array" ref="Z209">INT(SUMPRODUCT(--ISNUMBER(SEARCH(bipartisan,'Jon Ossoff'!C209)))&gt;0)</f>
        <v>0</v>
      </c>
      <c r="AA209" s="14">
        <f t="shared" si="3"/>
        <v>0</v>
      </c>
      <c r="AB209" s="14"/>
      <c r="AC209" s="30">
        <v>0</v>
      </c>
      <c r="AD209" s="37">
        <v>1</v>
      </c>
    </row>
    <row r="210" spans="1:30" x14ac:dyDescent="0.25">
      <c r="A210" s="36">
        <v>720</v>
      </c>
      <c r="B210" s="14" t="s">
        <v>1467</v>
      </c>
      <c r="C210" s="31" t="s">
        <v>1468</v>
      </c>
      <c r="D210" s="17">
        <v>44116</v>
      </c>
      <c r="E210" s="14" t="s">
        <v>30</v>
      </c>
      <c r="F210" s="14">
        <v>677</v>
      </c>
      <c r="G210" s="14">
        <v>305</v>
      </c>
      <c r="H210" s="14">
        <v>4</v>
      </c>
      <c r="I210" s="14">
        <v>2</v>
      </c>
      <c r="J210" s="14" t="s">
        <v>204</v>
      </c>
      <c r="K210" s="14" cm="1">
        <f t="array" ref="K210">INT(SUMPRODUCT(--ISNUMBER(SEARCH(economy,'Jon Ossoff'!C210)))&gt;0)</f>
        <v>1</v>
      </c>
      <c r="L210" s="14" cm="1">
        <f t="array" ref="L210">INT(SUMPRODUCT(--ISNUMBER(SEARCH(healthcare,'Jon Ossoff'!C210)))&gt;0)</f>
        <v>0</v>
      </c>
      <c r="M210" s="14" cm="1">
        <f t="array" ref="M210">INT(SUMPRODUCT(--ISNUMBER(SEARCH(supreme,'Jon Ossoff'!C210)))&gt;0)</f>
        <v>1</v>
      </c>
      <c r="N210" s="14" cm="1">
        <f t="array" ref="N210">INT(SUMPRODUCT(--ISNUMBER(SEARCH(covid,'Jon Ossoff'!C210)))&gt;0)</f>
        <v>1</v>
      </c>
      <c r="O210" s="14" cm="1">
        <f t="array" ref="O210">INT(SUMPRODUCT(--ISNUMBER(SEARCH(violent,'Jon Ossoff'!C210)))&gt;0)</f>
        <v>0</v>
      </c>
      <c r="P210" s="14" cm="1">
        <f t="array" ref="P210">INT(SUMPRODUCT(--ISNUMBER(SEARCH(foreign,'Jon Ossoff'!C210)))&gt;0)</f>
        <v>0</v>
      </c>
      <c r="Q210" s="14" cm="1">
        <f t="array" ref="Q210">INT(SUMPRODUCT(--ISNUMBER(SEARCH(gun,'Jon Ossoff'!C210)))&gt;0)</f>
        <v>0</v>
      </c>
      <c r="R210" s="14" cm="1">
        <f t="array" ref="R210">INT(SUMPRODUCT(--ISNUMBER(SEARCH(race,'Jon Ossoff'!C210)))&gt;0)</f>
        <v>0</v>
      </c>
      <c r="S210" s="14" cm="1">
        <f t="array" ref="S210">INT(SUMPRODUCT(--ISNUMBER(SEARCH(immigration,C210)))&gt;0)</f>
        <v>0</v>
      </c>
      <c r="T210" s="14" cm="1">
        <f t="array" ref="T210">INT(SUMPRODUCT(--ISNUMBER(SEARCH(econineq,C210)))&gt;0)</f>
        <v>0</v>
      </c>
      <c r="U210" s="14" cm="1">
        <f t="array" ref="U210">INT(SUMPRODUCT(--ISNUMBER(SEARCH(climate,'Jon Ossoff'!C210)))&gt;0)</f>
        <v>0</v>
      </c>
      <c r="V210" s="14" cm="1">
        <f t="array" ref="V210">INT(SUMPRODUCT(--ISNUMBER(SEARCH(abortion,'Jon Ossoff'!C210)))&gt;0)</f>
        <v>0</v>
      </c>
      <c r="W210" s="14" cm="1">
        <f t="array" ref="W210">INT(SUMPRODUCT(--ISNUMBER(SEARCH(trump,'Jon Ossoff'!C210)))&gt;0)</f>
        <v>0</v>
      </c>
      <c r="X210" s="14" cm="1">
        <f t="array" ref="X210">INT(SUMPRODUCT(--ISNUMBER(SEARCH(voting,'Jon Ossoff'!C210)))&gt;0)</f>
        <v>0</v>
      </c>
      <c r="Y210" s="14" cm="1">
        <f t="array" ref="Y210">INT(SUMPRODUCT(--ISNUMBER(SEARCH(democrattrigger,'Jon Ossoff'!C210)))&gt;0)</f>
        <v>1</v>
      </c>
      <c r="Z210" s="14" cm="1">
        <f t="array" ref="Z210">INT(SUMPRODUCT(--ISNUMBER(SEARCH(bipartisan,'Jon Ossoff'!C210)))&gt;0)</f>
        <v>0</v>
      </c>
      <c r="AA210" s="14">
        <f t="shared" si="3"/>
        <v>0</v>
      </c>
      <c r="AB210" s="14"/>
      <c r="AC210" s="30">
        <v>0</v>
      </c>
      <c r="AD210" s="37">
        <v>1</v>
      </c>
    </row>
    <row r="211" spans="1:30" x14ac:dyDescent="0.25">
      <c r="A211" s="36">
        <v>721</v>
      </c>
      <c r="B211" s="14" t="s">
        <v>1469</v>
      </c>
      <c r="C211" s="31" t="s">
        <v>1470</v>
      </c>
      <c r="D211" s="17">
        <v>44116</v>
      </c>
      <c r="E211" s="14" t="s">
        <v>30</v>
      </c>
      <c r="F211" s="14">
        <v>499</v>
      </c>
      <c r="G211" s="14">
        <v>230</v>
      </c>
      <c r="H211" s="14">
        <v>4</v>
      </c>
      <c r="I211" s="14">
        <v>2</v>
      </c>
      <c r="J211" s="14" t="s">
        <v>204</v>
      </c>
      <c r="K211" s="14" cm="1">
        <f t="array" ref="K211">INT(SUMPRODUCT(--ISNUMBER(SEARCH(economy,'Jon Ossoff'!C211)))&gt;0)</f>
        <v>0</v>
      </c>
      <c r="L211" s="14" cm="1">
        <f t="array" ref="L211">INT(SUMPRODUCT(--ISNUMBER(SEARCH(healthcare,'Jon Ossoff'!C211)))&gt;0)</f>
        <v>0</v>
      </c>
      <c r="M211" s="14" cm="1">
        <f t="array" ref="M211">INT(SUMPRODUCT(--ISNUMBER(SEARCH(supreme,'Jon Ossoff'!C211)))&gt;0)</f>
        <v>0</v>
      </c>
      <c r="N211" s="14" cm="1">
        <f t="array" ref="N211">INT(SUMPRODUCT(--ISNUMBER(SEARCH(covid,'Jon Ossoff'!C211)))&gt;0)</f>
        <v>0</v>
      </c>
      <c r="O211" s="14" cm="1">
        <f t="array" ref="O211">INT(SUMPRODUCT(--ISNUMBER(SEARCH(violent,'Jon Ossoff'!C211)))&gt;0)</f>
        <v>0</v>
      </c>
      <c r="P211" s="14" cm="1">
        <f t="array" ref="P211">INT(SUMPRODUCT(--ISNUMBER(SEARCH(foreign,'Jon Ossoff'!C211)))&gt;0)</f>
        <v>0</v>
      </c>
      <c r="Q211" s="14" cm="1">
        <f t="array" ref="Q211">INT(SUMPRODUCT(--ISNUMBER(SEARCH(gun,'Jon Ossoff'!C211)))&gt;0)</f>
        <v>0</v>
      </c>
      <c r="R211" s="14" cm="1">
        <f t="array" ref="R211">INT(SUMPRODUCT(--ISNUMBER(SEARCH(race,'Jon Ossoff'!C211)))&gt;0)</f>
        <v>0</v>
      </c>
      <c r="S211" s="14" cm="1">
        <f t="array" ref="S211">INT(SUMPRODUCT(--ISNUMBER(SEARCH(immigration,C211)))&gt;0)</f>
        <v>0</v>
      </c>
      <c r="T211" s="14" cm="1">
        <f t="array" ref="T211">INT(SUMPRODUCT(--ISNUMBER(SEARCH(econineq,C211)))&gt;0)</f>
        <v>0</v>
      </c>
      <c r="U211" s="14" cm="1">
        <f t="array" ref="U211">INT(SUMPRODUCT(--ISNUMBER(SEARCH(climate,'Jon Ossoff'!C211)))&gt;0)</f>
        <v>0</v>
      </c>
      <c r="V211" s="14" cm="1">
        <f t="array" ref="V211">INT(SUMPRODUCT(--ISNUMBER(SEARCH(abortion,'Jon Ossoff'!C211)))&gt;0)</f>
        <v>0</v>
      </c>
      <c r="W211" s="14" cm="1">
        <f t="array" ref="W211">INT(SUMPRODUCT(--ISNUMBER(SEARCH(trump,'Jon Ossoff'!C211)))&gt;0)</f>
        <v>0</v>
      </c>
      <c r="X211" s="14" cm="1">
        <f t="array" ref="X211">INT(SUMPRODUCT(--ISNUMBER(SEARCH(voting,'Jon Ossoff'!C211)))&gt;0)</f>
        <v>0</v>
      </c>
      <c r="Y211" s="14" cm="1">
        <f t="array" ref="Y211">INT(SUMPRODUCT(--ISNUMBER(SEARCH(democrattrigger,'Jon Ossoff'!C211)))&gt;0)</f>
        <v>1</v>
      </c>
      <c r="Z211" s="14" cm="1">
        <f t="array" ref="Z211">INT(SUMPRODUCT(--ISNUMBER(SEARCH(bipartisan,'Jon Ossoff'!C211)))&gt;0)</f>
        <v>0</v>
      </c>
      <c r="AA211" s="14">
        <f t="shared" si="3"/>
        <v>0</v>
      </c>
      <c r="AB211" s="14"/>
      <c r="AC211" s="30">
        <v>0</v>
      </c>
      <c r="AD211" s="37">
        <v>1</v>
      </c>
    </row>
    <row r="212" spans="1:30" x14ac:dyDescent="0.25">
      <c r="A212" s="36">
        <v>722</v>
      </c>
      <c r="B212" s="14" t="s">
        <v>1471</v>
      </c>
      <c r="C212" s="31" t="s">
        <v>1472</v>
      </c>
      <c r="D212" s="17">
        <v>44116</v>
      </c>
      <c r="E212" s="14" t="s">
        <v>30</v>
      </c>
      <c r="F212" s="14">
        <v>341</v>
      </c>
      <c r="G212" s="14">
        <v>137</v>
      </c>
      <c r="H212" s="14">
        <v>4</v>
      </c>
      <c r="I212" s="14">
        <v>2</v>
      </c>
      <c r="J212" s="14" t="s">
        <v>204</v>
      </c>
      <c r="K212" s="14" cm="1">
        <f t="array" ref="K212">INT(SUMPRODUCT(--ISNUMBER(SEARCH(economy,'Jon Ossoff'!C212)))&gt;0)</f>
        <v>0</v>
      </c>
      <c r="L212" s="14" cm="1">
        <f t="array" ref="L212">INT(SUMPRODUCT(--ISNUMBER(SEARCH(healthcare,'Jon Ossoff'!C212)))&gt;0)</f>
        <v>0</v>
      </c>
      <c r="M212" s="14" cm="1">
        <f t="array" ref="M212">INT(SUMPRODUCT(--ISNUMBER(SEARCH(supreme,'Jon Ossoff'!C212)))&gt;0)</f>
        <v>0</v>
      </c>
      <c r="N212" s="14" cm="1">
        <f t="array" ref="N212">INT(SUMPRODUCT(--ISNUMBER(SEARCH(covid,'Jon Ossoff'!C212)))&gt;0)</f>
        <v>1</v>
      </c>
      <c r="O212" s="14" cm="1">
        <f t="array" ref="O212">INT(SUMPRODUCT(--ISNUMBER(SEARCH(violent,'Jon Ossoff'!C212)))&gt;0)</f>
        <v>0</v>
      </c>
      <c r="P212" s="14" cm="1">
        <f t="array" ref="P212">INT(SUMPRODUCT(--ISNUMBER(SEARCH(foreign,'Jon Ossoff'!C212)))&gt;0)</f>
        <v>0</v>
      </c>
      <c r="Q212" s="14" cm="1">
        <f t="array" ref="Q212">INT(SUMPRODUCT(--ISNUMBER(SEARCH(gun,'Jon Ossoff'!C212)))&gt;0)</f>
        <v>0</v>
      </c>
      <c r="R212" s="14" cm="1">
        <f t="array" ref="R212">INT(SUMPRODUCT(--ISNUMBER(SEARCH(race,'Jon Ossoff'!C212)))&gt;0)</f>
        <v>0</v>
      </c>
      <c r="S212" s="14" cm="1">
        <f t="array" ref="S212">INT(SUMPRODUCT(--ISNUMBER(SEARCH(immigration,C212)))&gt;0)</f>
        <v>0</v>
      </c>
      <c r="T212" s="14" cm="1">
        <f t="array" ref="T212">INT(SUMPRODUCT(--ISNUMBER(SEARCH(econineq,C212)))&gt;0)</f>
        <v>0</v>
      </c>
      <c r="U212" s="14" cm="1">
        <f t="array" ref="U212">INT(SUMPRODUCT(--ISNUMBER(SEARCH(climate,'Jon Ossoff'!C212)))&gt;0)</f>
        <v>0</v>
      </c>
      <c r="V212" s="14" cm="1">
        <f t="array" ref="V212">INT(SUMPRODUCT(--ISNUMBER(SEARCH(abortion,'Jon Ossoff'!C212)))&gt;0)</f>
        <v>0</v>
      </c>
      <c r="W212" s="14" cm="1">
        <f t="array" ref="W212">INT(SUMPRODUCT(--ISNUMBER(SEARCH(trump,'Jon Ossoff'!C212)))&gt;0)</f>
        <v>1</v>
      </c>
      <c r="X212" s="14" cm="1">
        <f t="array" ref="X212">INT(SUMPRODUCT(--ISNUMBER(SEARCH(voting,'Jon Ossoff'!C212)))&gt;0)</f>
        <v>0</v>
      </c>
      <c r="Y212" s="14" cm="1">
        <f t="array" ref="Y212">INT(SUMPRODUCT(--ISNUMBER(SEARCH(democrattrigger,'Jon Ossoff'!C212)))&gt;0)</f>
        <v>1</v>
      </c>
      <c r="Z212" s="14" cm="1">
        <f t="array" ref="Z212">INT(SUMPRODUCT(--ISNUMBER(SEARCH(bipartisan,'Jon Ossoff'!C212)))&gt;0)</f>
        <v>0</v>
      </c>
      <c r="AA212" s="14">
        <f t="shared" si="3"/>
        <v>0</v>
      </c>
      <c r="AB212" s="14"/>
      <c r="AC212" s="30">
        <v>1</v>
      </c>
      <c r="AD212" s="37">
        <v>0</v>
      </c>
    </row>
    <row r="213" spans="1:30" x14ac:dyDescent="0.25">
      <c r="A213" s="36">
        <v>723</v>
      </c>
      <c r="B213" s="14" t="s">
        <v>1473</v>
      </c>
      <c r="C213" s="31" t="s">
        <v>1474</v>
      </c>
      <c r="D213" s="17">
        <v>44116</v>
      </c>
      <c r="E213" s="14" t="s">
        <v>30</v>
      </c>
      <c r="F213" s="14">
        <v>581</v>
      </c>
      <c r="G213" s="14">
        <v>264</v>
      </c>
      <c r="H213" s="14">
        <v>4</v>
      </c>
      <c r="I213" s="14">
        <v>2</v>
      </c>
      <c r="J213" s="14" t="s">
        <v>204</v>
      </c>
      <c r="K213" s="14" cm="1">
        <f t="array" ref="K213">INT(SUMPRODUCT(--ISNUMBER(SEARCH(economy,'Jon Ossoff'!C213)))&gt;0)</f>
        <v>0</v>
      </c>
      <c r="L213" s="14" cm="1">
        <f t="array" ref="L213">INT(SUMPRODUCT(--ISNUMBER(SEARCH(healthcare,'Jon Ossoff'!C213)))&gt;0)</f>
        <v>0</v>
      </c>
      <c r="M213" s="14" cm="1">
        <f t="array" ref="M213">INT(SUMPRODUCT(--ISNUMBER(SEARCH(supreme,'Jon Ossoff'!C213)))&gt;0)</f>
        <v>0</v>
      </c>
      <c r="N213" s="14" cm="1">
        <f t="array" ref="N213">INT(SUMPRODUCT(--ISNUMBER(SEARCH(covid,'Jon Ossoff'!C213)))&gt;0)</f>
        <v>0</v>
      </c>
      <c r="O213" s="14" cm="1">
        <f t="array" ref="O213">INT(SUMPRODUCT(--ISNUMBER(SEARCH(violent,'Jon Ossoff'!C213)))&gt;0)</f>
        <v>0</v>
      </c>
      <c r="P213" s="14" cm="1">
        <f t="array" ref="P213">INT(SUMPRODUCT(--ISNUMBER(SEARCH(foreign,'Jon Ossoff'!C213)))&gt;0)</f>
        <v>0</v>
      </c>
      <c r="Q213" s="14" cm="1">
        <f t="array" ref="Q213">INT(SUMPRODUCT(--ISNUMBER(SEARCH(gun,'Jon Ossoff'!C213)))&gt;0)</f>
        <v>0</v>
      </c>
      <c r="R213" s="14" cm="1">
        <f t="array" ref="R213">INT(SUMPRODUCT(--ISNUMBER(SEARCH(race,'Jon Ossoff'!C213)))&gt;0)</f>
        <v>0</v>
      </c>
      <c r="S213" s="14" cm="1">
        <f t="array" ref="S213">INT(SUMPRODUCT(--ISNUMBER(SEARCH(immigration,C213)))&gt;0)</f>
        <v>0</v>
      </c>
      <c r="T213" s="14" cm="1">
        <f t="array" ref="T213">INT(SUMPRODUCT(--ISNUMBER(SEARCH(econineq,C213)))&gt;0)</f>
        <v>0</v>
      </c>
      <c r="U213" s="14" cm="1">
        <f t="array" ref="U213">INT(SUMPRODUCT(--ISNUMBER(SEARCH(climate,'Jon Ossoff'!C213)))&gt;0)</f>
        <v>0</v>
      </c>
      <c r="V213" s="14" cm="1">
        <f t="array" ref="V213">INT(SUMPRODUCT(--ISNUMBER(SEARCH(abortion,'Jon Ossoff'!C213)))&gt;0)</f>
        <v>0</v>
      </c>
      <c r="W213" s="14" cm="1">
        <f t="array" ref="W213">INT(SUMPRODUCT(--ISNUMBER(SEARCH(trump,'Jon Ossoff'!C213)))&gt;0)</f>
        <v>0</v>
      </c>
      <c r="X213" s="14" cm="1">
        <f t="array" ref="X213">INT(SUMPRODUCT(--ISNUMBER(SEARCH(voting,'Jon Ossoff'!C213)))&gt;0)</f>
        <v>1</v>
      </c>
      <c r="Y213" s="14" cm="1">
        <f t="array" ref="Y213">INT(SUMPRODUCT(--ISNUMBER(SEARCH(democrattrigger,'Jon Ossoff'!C213)))&gt;0)</f>
        <v>0</v>
      </c>
      <c r="Z213" s="14" cm="1">
        <f t="array" ref="Z213">INT(SUMPRODUCT(--ISNUMBER(SEARCH(bipartisan,'Jon Ossoff'!C213)))&gt;0)</f>
        <v>0</v>
      </c>
      <c r="AA213" s="14">
        <f t="shared" si="3"/>
        <v>0</v>
      </c>
      <c r="AB213" s="14"/>
      <c r="AC213" s="30">
        <v>0</v>
      </c>
      <c r="AD213" s="37">
        <v>1</v>
      </c>
    </row>
    <row r="214" spans="1:30" x14ac:dyDescent="0.25">
      <c r="A214" s="36">
        <v>724</v>
      </c>
      <c r="B214" s="14" t="s">
        <v>1475</v>
      </c>
      <c r="C214" s="31" t="s">
        <v>1476</v>
      </c>
      <c r="D214" s="17">
        <v>44116</v>
      </c>
      <c r="E214" s="14" t="s">
        <v>70</v>
      </c>
      <c r="F214" s="14">
        <v>134</v>
      </c>
      <c r="G214" s="14">
        <v>47</v>
      </c>
      <c r="H214" s="14">
        <v>4</v>
      </c>
      <c r="I214" s="14">
        <v>2</v>
      </c>
      <c r="J214" s="14" t="s">
        <v>204</v>
      </c>
      <c r="K214" s="14" cm="1">
        <f t="array" ref="K214">INT(SUMPRODUCT(--ISNUMBER(SEARCH(economy,'Jon Ossoff'!C214)))&gt;0)</f>
        <v>0</v>
      </c>
      <c r="L214" s="14" cm="1">
        <f t="array" ref="L214">INT(SUMPRODUCT(--ISNUMBER(SEARCH(healthcare,'Jon Ossoff'!C214)))&gt;0)</f>
        <v>0</v>
      </c>
      <c r="M214" s="14" cm="1">
        <f t="array" ref="M214">INT(SUMPRODUCT(--ISNUMBER(SEARCH(supreme,'Jon Ossoff'!C214)))&gt;0)</f>
        <v>0</v>
      </c>
      <c r="N214" s="14" cm="1">
        <f t="array" ref="N214">INT(SUMPRODUCT(--ISNUMBER(SEARCH(covid,'Jon Ossoff'!C214)))&gt;0)</f>
        <v>0</v>
      </c>
      <c r="O214" s="14" cm="1">
        <f t="array" ref="O214">INT(SUMPRODUCT(--ISNUMBER(SEARCH(violent,'Jon Ossoff'!C214)))&gt;0)</f>
        <v>0</v>
      </c>
      <c r="P214" s="14" cm="1">
        <f t="array" ref="P214">INT(SUMPRODUCT(--ISNUMBER(SEARCH(foreign,'Jon Ossoff'!C214)))&gt;0)</f>
        <v>1</v>
      </c>
      <c r="Q214" s="14" cm="1">
        <f t="array" ref="Q214">INT(SUMPRODUCT(--ISNUMBER(SEARCH(gun,'Jon Ossoff'!C214)))&gt;0)</f>
        <v>0</v>
      </c>
      <c r="R214" s="14" cm="1">
        <f t="array" ref="R214">INT(SUMPRODUCT(--ISNUMBER(SEARCH(race,'Jon Ossoff'!C214)))&gt;0)</f>
        <v>0</v>
      </c>
      <c r="S214" s="14" cm="1">
        <f t="array" ref="S214">INT(SUMPRODUCT(--ISNUMBER(SEARCH(immigration,C214)))&gt;0)</f>
        <v>0</v>
      </c>
      <c r="T214" s="14" cm="1">
        <f t="array" ref="T214">INT(SUMPRODUCT(--ISNUMBER(SEARCH(econineq,C214)))&gt;0)</f>
        <v>0</v>
      </c>
      <c r="U214" s="14" cm="1">
        <f t="array" ref="U214">INT(SUMPRODUCT(--ISNUMBER(SEARCH(climate,'Jon Ossoff'!C214)))&gt;0)</f>
        <v>0</v>
      </c>
      <c r="V214" s="14" cm="1">
        <f t="array" ref="V214">INT(SUMPRODUCT(--ISNUMBER(SEARCH(abortion,'Jon Ossoff'!C214)))&gt;0)</f>
        <v>0</v>
      </c>
      <c r="W214" s="14" cm="1">
        <f t="array" ref="W214">INT(SUMPRODUCT(--ISNUMBER(SEARCH(trump,'Jon Ossoff'!C214)))&gt;0)</f>
        <v>0</v>
      </c>
      <c r="X214" s="14" cm="1">
        <f t="array" ref="X214">INT(SUMPRODUCT(--ISNUMBER(SEARCH(voting,'Jon Ossoff'!C214)))&gt;0)</f>
        <v>1</v>
      </c>
      <c r="Y214" s="14" cm="1">
        <f t="array" ref="Y214">INT(SUMPRODUCT(--ISNUMBER(SEARCH(democrattrigger,'Jon Ossoff'!C214)))&gt;0)</f>
        <v>0</v>
      </c>
      <c r="Z214" s="14" cm="1">
        <f t="array" ref="Z214">INT(SUMPRODUCT(--ISNUMBER(SEARCH(bipartisan,'Jon Ossoff'!C214)))&gt;0)</f>
        <v>0</v>
      </c>
      <c r="AA214" s="14">
        <f t="shared" si="3"/>
        <v>0</v>
      </c>
      <c r="AB214" s="14"/>
      <c r="AC214" s="30" t="s">
        <v>223</v>
      </c>
      <c r="AD214" s="37" t="s">
        <v>223</v>
      </c>
    </row>
    <row r="215" spans="1:30" x14ac:dyDescent="0.25">
      <c r="A215" s="36">
        <v>725</v>
      </c>
      <c r="B215" s="14" t="s">
        <v>1477</v>
      </c>
      <c r="C215" s="31" t="s">
        <v>1478</v>
      </c>
      <c r="D215" s="17">
        <v>44116</v>
      </c>
      <c r="E215" s="14" t="s">
        <v>30</v>
      </c>
      <c r="F215" s="14">
        <v>3088</v>
      </c>
      <c r="G215" s="14">
        <v>1419</v>
      </c>
      <c r="H215" s="14">
        <v>4</v>
      </c>
      <c r="I215" s="14">
        <v>2</v>
      </c>
      <c r="J215" s="14" t="s">
        <v>204</v>
      </c>
      <c r="K215" s="14" cm="1">
        <f t="array" ref="K215">INT(SUMPRODUCT(--ISNUMBER(SEARCH(economy,'Jon Ossoff'!C215)))&gt;0)</f>
        <v>0</v>
      </c>
      <c r="L215" s="14" cm="1">
        <f t="array" ref="L215">INT(SUMPRODUCT(--ISNUMBER(SEARCH(healthcare,'Jon Ossoff'!C215)))&gt;0)</f>
        <v>0</v>
      </c>
      <c r="M215" s="14" cm="1">
        <f t="array" ref="M215">INT(SUMPRODUCT(--ISNUMBER(SEARCH(supreme,'Jon Ossoff'!C215)))&gt;0)</f>
        <v>0</v>
      </c>
      <c r="N215" s="14" cm="1">
        <f t="array" ref="N215">INT(SUMPRODUCT(--ISNUMBER(SEARCH(covid,'Jon Ossoff'!C215)))&gt;0)</f>
        <v>0</v>
      </c>
      <c r="O215" s="14" cm="1">
        <f t="array" ref="O215">INT(SUMPRODUCT(--ISNUMBER(SEARCH(violent,'Jon Ossoff'!C215)))&gt;0)</f>
        <v>0</v>
      </c>
      <c r="P215" s="14" cm="1">
        <f t="array" ref="P215">INT(SUMPRODUCT(--ISNUMBER(SEARCH(foreign,'Jon Ossoff'!C215)))&gt;0)</f>
        <v>0</v>
      </c>
      <c r="Q215" s="14" cm="1">
        <f t="array" ref="Q215">INT(SUMPRODUCT(--ISNUMBER(SEARCH(gun,'Jon Ossoff'!C215)))&gt;0)</f>
        <v>0</v>
      </c>
      <c r="R215" s="14" cm="1">
        <f t="array" ref="R215">INT(SUMPRODUCT(--ISNUMBER(SEARCH(race,'Jon Ossoff'!C215)))&gt;0)</f>
        <v>0</v>
      </c>
      <c r="S215" s="14" cm="1">
        <f t="array" ref="S215">INT(SUMPRODUCT(--ISNUMBER(SEARCH(immigration,C215)))&gt;0)</f>
        <v>0</v>
      </c>
      <c r="T215" s="14" cm="1">
        <f t="array" ref="T215">INT(SUMPRODUCT(--ISNUMBER(SEARCH(econineq,C215)))&gt;0)</f>
        <v>0</v>
      </c>
      <c r="U215" s="14" cm="1">
        <f t="array" ref="U215">INT(SUMPRODUCT(--ISNUMBER(SEARCH(climate,'Jon Ossoff'!C215)))&gt;0)</f>
        <v>0</v>
      </c>
      <c r="V215" s="14" cm="1">
        <f t="array" ref="V215">INT(SUMPRODUCT(--ISNUMBER(SEARCH(abortion,'Jon Ossoff'!C215)))&gt;0)</f>
        <v>0</v>
      </c>
      <c r="W215" s="14" cm="1">
        <f t="array" ref="W215">INT(SUMPRODUCT(--ISNUMBER(SEARCH(trump,'Jon Ossoff'!C215)))&gt;0)</f>
        <v>0</v>
      </c>
      <c r="X215" s="14" cm="1">
        <f t="array" ref="X215">INT(SUMPRODUCT(--ISNUMBER(SEARCH(voting,'Jon Ossoff'!C215)))&gt;0)</f>
        <v>1</v>
      </c>
      <c r="Y215" s="14" cm="1">
        <f t="array" ref="Y215">INT(SUMPRODUCT(--ISNUMBER(SEARCH(democrattrigger,'Jon Ossoff'!C215)))&gt;0)</f>
        <v>0</v>
      </c>
      <c r="Z215" s="14" cm="1">
        <f t="array" ref="Z215">INT(SUMPRODUCT(--ISNUMBER(SEARCH(bipartisan,'Jon Ossoff'!C215)))&gt;0)</f>
        <v>0</v>
      </c>
      <c r="AA215" s="14">
        <f t="shared" si="3"/>
        <v>0</v>
      </c>
      <c r="AB215" s="14"/>
      <c r="AC215" s="30">
        <v>0</v>
      </c>
      <c r="AD215" s="37">
        <v>1</v>
      </c>
    </row>
    <row r="216" spans="1:30" x14ac:dyDescent="0.25">
      <c r="A216" s="36">
        <v>726</v>
      </c>
      <c r="B216" s="14" t="s">
        <v>1479</v>
      </c>
      <c r="C216" s="31" t="s">
        <v>1480</v>
      </c>
      <c r="D216" s="17">
        <v>44116</v>
      </c>
      <c r="E216" s="14" t="s">
        <v>30</v>
      </c>
      <c r="F216" s="14">
        <v>574</v>
      </c>
      <c r="G216" s="14">
        <v>172</v>
      </c>
      <c r="H216" s="14">
        <v>4</v>
      </c>
      <c r="I216" s="14">
        <v>2</v>
      </c>
      <c r="J216" s="14" t="s">
        <v>204</v>
      </c>
      <c r="K216" s="14" cm="1">
        <f t="array" ref="K216">INT(SUMPRODUCT(--ISNUMBER(SEARCH(economy,'Jon Ossoff'!C216)))&gt;0)</f>
        <v>0</v>
      </c>
      <c r="L216" s="14" cm="1">
        <f t="array" ref="L216">INT(SUMPRODUCT(--ISNUMBER(SEARCH(healthcare,'Jon Ossoff'!C216)))&gt;0)</f>
        <v>1</v>
      </c>
      <c r="M216" s="14" cm="1">
        <f t="array" ref="M216">INT(SUMPRODUCT(--ISNUMBER(SEARCH(supreme,'Jon Ossoff'!C216)))&gt;0)</f>
        <v>0</v>
      </c>
      <c r="N216" s="14" cm="1">
        <f t="array" ref="N216">INT(SUMPRODUCT(--ISNUMBER(SEARCH(covid,'Jon Ossoff'!C216)))&gt;0)</f>
        <v>0</v>
      </c>
      <c r="O216" s="14" cm="1">
        <f t="array" ref="O216">INT(SUMPRODUCT(--ISNUMBER(SEARCH(violent,'Jon Ossoff'!C216)))&gt;0)</f>
        <v>0</v>
      </c>
      <c r="P216" s="14" cm="1">
        <f t="array" ref="P216">INT(SUMPRODUCT(--ISNUMBER(SEARCH(foreign,'Jon Ossoff'!C216)))&gt;0)</f>
        <v>0</v>
      </c>
      <c r="Q216" s="14" cm="1">
        <f t="array" ref="Q216">INT(SUMPRODUCT(--ISNUMBER(SEARCH(gun,'Jon Ossoff'!C216)))&gt;0)</f>
        <v>0</v>
      </c>
      <c r="R216" s="14" cm="1">
        <f t="array" ref="R216">INT(SUMPRODUCT(--ISNUMBER(SEARCH(race,'Jon Ossoff'!C216)))&gt;0)</f>
        <v>0</v>
      </c>
      <c r="S216" s="14" cm="1">
        <f t="array" ref="S216">INT(SUMPRODUCT(--ISNUMBER(SEARCH(immigration,C216)))&gt;0)</f>
        <v>0</v>
      </c>
      <c r="T216" s="14" cm="1">
        <f t="array" ref="T216">INT(SUMPRODUCT(--ISNUMBER(SEARCH(econineq,C216)))&gt;0)</f>
        <v>0</v>
      </c>
      <c r="U216" s="14" cm="1">
        <f t="array" ref="U216">INT(SUMPRODUCT(--ISNUMBER(SEARCH(climate,'Jon Ossoff'!C216)))&gt;0)</f>
        <v>0</v>
      </c>
      <c r="V216" s="14" cm="1">
        <f t="array" ref="V216">INT(SUMPRODUCT(--ISNUMBER(SEARCH(abortion,'Jon Ossoff'!C216)))&gt;0)</f>
        <v>0</v>
      </c>
      <c r="W216" s="14" cm="1">
        <f t="array" ref="W216">INT(SUMPRODUCT(--ISNUMBER(SEARCH(trump,'Jon Ossoff'!C216)))&gt;0)</f>
        <v>0</v>
      </c>
      <c r="X216" s="14" cm="1">
        <f t="array" ref="X216">INT(SUMPRODUCT(--ISNUMBER(SEARCH(voting,'Jon Ossoff'!C216)))&gt;0)</f>
        <v>0</v>
      </c>
      <c r="Y216" s="14" cm="1">
        <f t="array" ref="Y216">INT(SUMPRODUCT(--ISNUMBER(SEARCH(democrattrigger,'Jon Ossoff'!C216)))&gt;0)</f>
        <v>0</v>
      </c>
      <c r="Z216" s="14" cm="1">
        <f t="array" ref="Z216">INT(SUMPRODUCT(--ISNUMBER(SEARCH(bipartisan,'Jon Ossoff'!C216)))&gt;0)</f>
        <v>0</v>
      </c>
      <c r="AA216" s="14">
        <f t="shared" si="3"/>
        <v>0</v>
      </c>
      <c r="AB216" s="14"/>
      <c r="AC216" s="30">
        <v>0</v>
      </c>
      <c r="AD216" s="37">
        <v>1</v>
      </c>
    </row>
    <row r="217" spans="1:30" x14ac:dyDescent="0.25">
      <c r="A217" s="36">
        <v>727</v>
      </c>
      <c r="B217" s="14" t="s">
        <v>1481</v>
      </c>
      <c r="C217" s="31" t="s">
        <v>1482</v>
      </c>
      <c r="D217" s="17">
        <v>44115</v>
      </c>
      <c r="E217" s="14" t="s">
        <v>30</v>
      </c>
      <c r="F217" s="14">
        <v>1296</v>
      </c>
      <c r="G217" s="14">
        <v>696</v>
      </c>
      <c r="H217" s="14">
        <v>4</v>
      </c>
      <c r="I217" s="14">
        <v>2</v>
      </c>
      <c r="J217" s="14" t="s">
        <v>204</v>
      </c>
      <c r="K217" s="14" cm="1">
        <f t="array" ref="K217">INT(SUMPRODUCT(--ISNUMBER(SEARCH(economy,'Jon Ossoff'!C217)))&gt;0)</f>
        <v>0</v>
      </c>
      <c r="L217" s="14" cm="1">
        <f t="array" ref="L217">INT(SUMPRODUCT(--ISNUMBER(SEARCH(healthcare,'Jon Ossoff'!C217)))&gt;0)</f>
        <v>0</v>
      </c>
      <c r="M217" s="14" cm="1">
        <f t="array" ref="M217">INT(SUMPRODUCT(--ISNUMBER(SEARCH(supreme,'Jon Ossoff'!C217)))&gt;0)</f>
        <v>0</v>
      </c>
      <c r="N217" s="14" cm="1">
        <f t="array" ref="N217">INT(SUMPRODUCT(--ISNUMBER(SEARCH(covid,'Jon Ossoff'!C217)))&gt;0)</f>
        <v>0</v>
      </c>
      <c r="O217" s="14" cm="1">
        <f t="array" ref="O217">INT(SUMPRODUCT(--ISNUMBER(SEARCH(violent,'Jon Ossoff'!C217)))&gt;0)</f>
        <v>0</v>
      </c>
      <c r="P217" s="14" cm="1">
        <f t="array" ref="P217">INT(SUMPRODUCT(--ISNUMBER(SEARCH(foreign,'Jon Ossoff'!C217)))&gt;0)</f>
        <v>1</v>
      </c>
      <c r="Q217" s="14" cm="1">
        <f t="array" ref="Q217">INT(SUMPRODUCT(--ISNUMBER(SEARCH(gun,'Jon Ossoff'!C217)))&gt;0)</f>
        <v>0</v>
      </c>
      <c r="R217" s="14" cm="1">
        <f t="array" ref="R217">INT(SUMPRODUCT(--ISNUMBER(SEARCH(race,'Jon Ossoff'!C217)))&gt;0)</f>
        <v>0</v>
      </c>
      <c r="S217" s="14" cm="1">
        <f t="array" ref="S217">INT(SUMPRODUCT(--ISNUMBER(SEARCH(immigration,C217)))&gt;0)</f>
        <v>0</v>
      </c>
      <c r="T217" s="14" cm="1">
        <f t="array" ref="T217">INT(SUMPRODUCT(--ISNUMBER(SEARCH(econineq,C217)))&gt;0)</f>
        <v>0</v>
      </c>
      <c r="U217" s="14" cm="1">
        <f t="array" ref="U217">INT(SUMPRODUCT(--ISNUMBER(SEARCH(climate,'Jon Ossoff'!C217)))&gt;0)</f>
        <v>0</v>
      </c>
      <c r="V217" s="14" cm="1">
        <f t="array" ref="V217">INT(SUMPRODUCT(--ISNUMBER(SEARCH(abortion,'Jon Ossoff'!C217)))&gt;0)</f>
        <v>0</v>
      </c>
      <c r="W217" s="14" cm="1">
        <f t="array" ref="W217">INT(SUMPRODUCT(--ISNUMBER(SEARCH(trump,'Jon Ossoff'!C217)))&gt;0)</f>
        <v>0</v>
      </c>
      <c r="X217" s="14" cm="1">
        <f t="array" ref="X217">INT(SUMPRODUCT(--ISNUMBER(SEARCH(voting,'Jon Ossoff'!C217)))&gt;0)</f>
        <v>1</v>
      </c>
      <c r="Y217" s="14" cm="1">
        <f t="array" ref="Y217">INT(SUMPRODUCT(--ISNUMBER(SEARCH(democrattrigger,'Jon Ossoff'!C217)))&gt;0)</f>
        <v>0</v>
      </c>
      <c r="Z217" s="14" cm="1">
        <f t="array" ref="Z217">INT(SUMPRODUCT(--ISNUMBER(SEARCH(bipartisan,'Jon Ossoff'!C217)))&gt;0)</f>
        <v>0</v>
      </c>
      <c r="AA217" s="14">
        <f t="shared" si="3"/>
        <v>0</v>
      </c>
      <c r="AB217" s="14"/>
      <c r="AC217" s="30">
        <v>1</v>
      </c>
      <c r="AD217" s="37">
        <v>0</v>
      </c>
    </row>
    <row r="218" spans="1:30" x14ac:dyDescent="0.25">
      <c r="A218" s="36">
        <v>728</v>
      </c>
      <c r="B218" s="14" t="s">
        <v>1483</v>
      </c>
      <c r="C218" s="31" t="s">
        <v>1484</v>
      </c>
      <c r="D218" s="17">
        <v>44115</v>
      </c>
      <c r="E218" s="14" t="s">
        <v>30</v>
      </c>
      <c r="F218" s="14">
        <v>569</v>
      </c>
      <c r="G218" s="14">
        <v>221</v>
      </c>
      <c r="H218" s="14">
        <v>4</v>
      </c>
      <c r="I218" s="14">
        <v>2</v>
      </c>
      <c r="J218" s="14" t="s">
        <v>204</v>
      </c>
      <c r="K218" s="14" cm="1">
        <f t="array" ref="K218">INT(SUMPRODUCT(--ISNUMBER(SEARCH(economy,'Jon Ossoff'!C218)))&gt;0)</f>
        <v>1</v>
      </c>
      <c r="L218" s="14" cm="1">
        <f t="array" ref="L218">INT(SUMPRODUCT(--ISNUMBER(SEARCH(healthcare,'Jon Ossoff'!C218)))&gt;0)</f>
        <v>0</v>
      </c>
      <c r="M218" s="14" cm="1">
        <f t="array" ref="M218">INT(SUMPRODUCT(--ISNUMBER(SEARCH(supreme,'Jon Ossoff'!C218)))&gt;0)</f>
        <v>0</v>
      </c>
      <c r="N218" s="14" cm="1">
        <f t="array" ref="N218">INT(SUMPRODUCT(--ISNUMBER(SEARCH(covid,'Jon Ossoff'!C218)))&gt;0)</f>
        <v>0</v>
      </c>
      <c r="O218" s="14" cm="1">
        <f t="array" ref="O218">INT(SUMPRODUCT(--ISNUMBER(SEARCH(violent,'Jon Ossoff'!C218)))&gt;0)</f>
        <v>0</v>
      </c>
      <c r="P218" s="14" cm="1">
        <f t="array" ref="P218">INT(SUMPRODUCT(--ISNUMBER(SEARCH(foreign,'Jon Ossoff'!C218)))&gt;0)</f>
        <v>1</v>
      </c>
      <c r="Q218" s="14" cm="1">
        <f t="array" ref="Q218">INT(SUMPRODUCT(--ISNUMBER(SEARCH(gun,'Jon Ossoff'!C218)))&gt;0)</f>
        <v>0</v>
      </c>
      <c r="R218" s="14" cm="1">
        <f t="array" ref="R218">INT(SUMPRODUCT(--ISNUMBER(SEARCH(race,'Jon Ossoff'!C218)))&gt;0)</f>
        <v>0</v>
      </c>
      <c r="S218" s="14" cm="1">
        <f t="array" ref="S218">INT(SUMPRODUCT(--ISNUMBER(SEARCH(immigration,C218)))&gt;0)</f>
        <v>0</v>
      </c>
      <c r="T218" s="14" cm="1">
        <f t="array" ref="T218">INT(SUMPRODUCT(--ISNUMBER(SEARCH(econineq,C218)))&gt;0)</f>
        <v>0</v>
      </c>
      <c r="U218" s="14" cm="1">
        <f t="array" ref="U218">INT(SUMPRODUCT(--ISNUMBER(SEARCH(climate,'Jon Ossoff'!C218)))&gt;0)</f>
        <v>0</v>
      </c>
      <c r="V218" s="14" cm="1">
        <f t="array" ref="V218">INT(SUMPRODUCT(--ISNUMBER(SEARCH(abortion,'Jon Ossoff'!C218)))&gt;0)</f>
        <v>0</v>
      </c>
      <c r="W218" s="14" cm="1">
        <f t="array" ref="W218">INT(SUMPRODUCT(--ISNUMBER(SEARCH(trump,'Jon Ossoff'!C218)))&gt;0)</f>
        <v>0</v>
      </c>
      <c r="X218" s="14" cm="1">
        <f t="array" ref="X218">INT(SUMPRODUCT(--ISNUMBER(SEARCH(voting,'Jon Ossoff'!C218)))&gt;0)</f>
        <v>0</v>
      </c>
      <c r="Y218" s="14" cm="1">
        <f t="array" ref="Y218">INT(SUMPRODUCT(--ISNUMBER(SEARCH(democrattrigger,'Jon Ossoff'!C218)))&gt;0)</f>
        <v>1</v>
      </c>
      <c r="Z218" s="14" cm="1">
        <f t="array" ref="Z218">INT(SUMPRODUCT(--ISNUMBER(SEARCH(bipartisan,'Jon Ossoff'!C218)))&gt;0)</f>
        <v>0</v>
      </c>
      <c r="AA218" s="14">
        <f t="shared" si="3"/>
        <v>0</v>
      </c>
      <c r="AB218" s="14"/>
      <c r="AC218" s="30">
        <v>1</v>
      </c>
      <c r="AD218" s="37">
        <v>0</v>
      </c>
    </row>
    <row r="219" spans="1:30" x14ac:dyDescent="0.25">
      <c r="A219" s="36">
        <v>729</v>
      </c>
      <c r="B219" s="14" t="s">
        <v>1485</v>
      </c>
      <c r="C219" s="31" t="s">
        <v>1486</v>
      </c>
      <c r="D219" s="17">
        <v>44114</v>
      </c>
      <c r="E219" s="14" t="s">
        <v>30</v>
      </c>
      <c r="F219" s="14">
        <v>1695</v>
      </c>
      <c r="G219" s="14">
        <v>531</v>
      </c>
      <c r="H219" s="14">
        <v>4</v>
      </c>
      <c r="I219" s="14">
        <v>2</v>
      </c>
      <c r="J219" s="14" t="s">
        <v>204</v>
      </c>
      <c r="K219" s="14" cm="1">
        <f t="array" ref="K219">INT(SUMPRODUCT(--ISNUMBER(SEARCH(economy,'Jon Ossoff'!C219)))&gt;0)</f>
        <v>0</v>
      </c>
      <c r="L219" s="14" cm="1">
        <f t="array" ref="L219">INT(SUMPRODUCT(--ISNUMBER(SEARCH(healthcare,'Jon Ossoff'!C219)))&gt;0)</f>
        <v>0</v>
      </c>
      <c r="M219" s="14" cm="1">
        <f t="array" ref="M219">INT(SUMPRODUCT(--ISNUMBER(SEARCH(supreme,'Jon Ossoff'!C219)))&gt;0)</f>
        <v>0</v>
      </c>
      <c r="N219" s="14" cm="1">
        <f t="array" ref="N219">INT(SUMPRODUCT(--ISNUMBER(SEARCH(covid,'Jon Ossoff'!C219)))&gt;0)</f>
        <v>0</v>
      </c>
      <c r="O219" s="14" cm="1">
        <f t="array" ref="O219">INT(SUMPRODUCT(--ISNUMBER(SEARCH(violent,'Jon Ossoff'!C219)))&gt;0)</f>
        <v>0</v>
      </c>
      <c r="P219" s="14" cm="1">
        <f t="array" ref="P219">INT(SUMPRODUCT(--ISNUMBER(SEARCH(foreign,'Jon Ossoff'!C219)))&gt;0)</f>
        <v>0</v>
      </c>
      <c r="Q219" s="14" cm="1">
        <f t="array" ref="Q219">INT(SUMPRODUCT(--ISNUMBER(SEARCH(gun,'Jon Ossoff'!C219)))&gt;0)</f>
        <v>0</v>
      </c>
      <c r="R219" s="14" cm="1">
        <f t="array" ref="R219">INT(SUMPRODUCT(--ISNUMBER(SEARCH(race,'Jon Ossoff'!C219)))&gt;0)</f>
        <v>0</v>
      </c>
      <c r="S219" s="14" cm="1">
        <f t="array" ref="S219">INT(SUMPRODUCT(--ISNUMBER(SEARCH(immigration,C219)))&gt;0)</f>
        <v>0</v>
      </c>
      <c r="T219" s="14" cm="1">
        <f t="array" ref="T219">INT(SUMPRODUCT(--ISNUMBER(SEARCH(econineq,C219)))&gt;0)</f>
        <v>0</v>
      </c>
      <c r="U219" s="14" cm="1">
        <f t="array" ref="U219">INT(SUMPRODUCT(--ISNUMBER(SEARCH(climate,'Jon Ossoff'!C219)))&gt;0)</f>
        <v>0</v>
      </c>
      <c r="V219" s="14" cm="1">
        <f t="array" ref="V219">INT(SUMPRODUCT(--ISNUMBER(SEARCH(abortion,'Jon Ossoff'!C219)))&gt;0)</f>
        <v>0</v>
      </c>
      <c r="W219" s="14" cm="1">
        <f t="array" ref="W219">INT(SUMPRODUCT(--ISNUMBER(SEARCH(trump,'Jon Ossoff'!C219)))&gt;0)</f>
        <v>0</v>
      </c>
      <c r="X219" s="14" cm="1">
        <f t="array" ref="X219">INT(SUMPRODUCT(--ISNUMBER(SEARCH(voting,'Jon Ossoff'!C219)))&gt;0)</f>
        <v>0</v>
      </c>
      <c r="Y219" s="14" cm="1">
        <f t="array" ref="Y219">INT(SUMPRODUCT(--ISNUMBER(SEARCH(democrattrigger,'Jon Ossoff'!C219)))&gt;0)</f>
        <v>0</v>
      </c>
      <c r="Z219" s="14" cm="1">
        <f t="array" ref="Z219">INT(SUMPRODUCT(--ISNUMBER(SEARCH(bipartisan,'Jon Ossoff'!C219)))&gt;0)</f>
        <v>0</v>
      </c>
      <c r="AA219" s="14">
        <f t="shared" si="3"/>
        <v>1</v>
      </c>
      <c r="AB219" s="14"/>
      <c r="AC219" s="30" t="s">
        <v>223</v>
      </c>
      <c r="AD219" s="37" t="s">
        <v>223</v>
      </c>
    </row>
    <row r="220" spans="1:30" x14ac:dyDescent="0.25">
      <c r="A220" s="36">
        <v>730</v>
      </c>
      <c r="B220" s="14" t="s">
        <v>1487</v>
      </c>
      <c r="C220" s="31" t="s">
        <v>1488</v>
      </c>
      <c r="D220" s="17">
        <v>44114</v>
      </c>
      <c r="E220" s="14" t="s">
        <v>30</v>
      </c>
      <c r="F220" s="14">
        <v>371</v>
      </c>
      <c r="G220" s="14">
        <v>157</v>
      </c>
      <c r="H220" s="14">
        <v>4</v>
      </c>
      <c r="I220" s="14">
        <v>2</v>
      </c>
      <c r="J220" s="14" t="s">
        <v>204</v>
      </c>
      <c r="K220" s="14" cm="1">
        <f t="array" ref="K220">INT(SUMPRODUCT(--ISNUMBER(SEARCH(economy,'Jon Ossoff'!C220)))&gt;0)</f>
        <v>0</v>
      </c>
      <c r="L220" s="14" cm="1">
        <f t="array" ref="L220">INT(SUMPRODUCT(--ISNUMBER(SEARCH(healthcare,'Jon Ossoff'!C220)))&gt;0)</f>
        <v>0</v>
      </c>
      <c r="M220" s="14" cm="1">
        <f t="array" ref="M220">INT(SUMPRODUCT(--ISNUMBER(SEARCH(supreme,'Jon Ossoff'!C220)))&gt;0)</f>
        <v>0</v>
      </c>
      <c r="N220" s="14" cm="1">
        <f t="array" ref="N220">INT(SUMPRODUCT(--ISNUMBER(SEARCH(covid,'Jon Ossoff'!C220)))&gt;0)</f>
        <v>0</v>
      </c>
      <c r="O220" s="14" cm="1">
        <f t="array" ref="O220">INT(SUMPRODUCT(--ISNUMBER(SEARCH(violent,'Jon Ossoff'!C220)))&gt;0)</f>
        <v>0</v>
      </c>
      <c r="P220" s="14" cm="1">
        <f t="array" ref="P220">INT(SUMPRODUCT(--ISNUMBER(SEARCH(foreign,'Jon Ossoff'!C220)))&gt;0)</f>
        <v>0</v>
      </c>
      <c r="Q220" s="14" cm="1">
        <f t="array" ref="Q220">INT(SUMPRODUCT(--ISNUMBER(SEARCH(gun,'Jon Ossoff'!C220)))&gt;0)</f>
        <v>0</v>
      </c>
      <c r="R220" s="14" cm="1">
        <f t="array" ref="R220">INT(SUMPRODUCT(--ISNUMBER(SEARCH(race,'Jon Ossoff'!C220)))&gt;0)</f>
        <v>0</v>
      </c>
      <c r="S220" s="14" cm="1">
        <f t="array" ref="S220">INT(SUMPRODUCT(--ISNUMBER(SEARCH(immigration,C220)))&gt;0)</f>
        <v>0</v>
      </c>
      <c r="T220" s="14" cm="1">
        <f t="array" ref="T220">INT(SUMPRODUCT(--ISNUMBER(SEARCH(econineq,C220)))&gt;0)</f>
        <v>0</v>
      </c>
      <c r="U220" s="14" cm="1">
        <f t="array" ref="U220">INT(SUMPRODUCT(--ISNUMBER(SEARCH(climate,'Jon Ossoff'!C220)))&gt;0)</f>
        <v>0</v>
      </c>
      <c r="V220" s="14" cm="1">
        <f t="array" ref="V220">INT(SUMPRODUCT(--ISNUMBER(SEARCH(abortion,'Jon Ossoff'!C220)))&gt;0)</f>
        <v>0</v>
      </c>
      <c r="W220" s="14" cm="1">
        <f t="array" ref="W220">INT(SUMPRODUCT(--ISNUMBER(SEARCH(trump,'Jon Ossoff'!C220)))&gt;0)</f>
        <v>0</v>
      </c>
      <c r="X220" s="14" cm="1">
        <f t="array" ref="X220">INT(SUMPRODUCT(--ISNUMBER(SEARCH(voting,'Jon Ossoff'!C220)))&gt;0)</f>
        <v>1</v>
      </c>
      <c r="Y220" s="14" cm="1">
        <f t="array" ref="Y220">INT(SUMPRODUCT(--ISNUMBER(SEARCH(democrattrigger,'Jon Ossoff'!C220)))&gt;0)</f>
        <v>1</v>
      </c>
      <c r="Z220" s="14" cm="1">
        <f t="array" ref="Z220">INT(SUMPRODUCT(--ISNUMBER(SEARCH(bipartisan,'Jon Ossoff'!C220)))&gt;0)</f>
        <v>0</v>
      </c>
      <c r="AA220" s="14">
        <f t="shared" si="3"/>
        <v>0</v>
      </c>
      <c r="AB220" s="14"/>
      <c r="AC220" s="30">
        <v>0</v>
      </c>
      <c r="AD220" s="37">
        <v>1</v>
      </c>
    </row>
    <row r="221" spans="1:30" x14ac:dyDescent="0.25">
      <c r="A221" s="36">
        <v>731</v>
      </c>
      <c r="B221" s="14" t="s">
        <v>1489</v>
      </c>
      <c r="C221" s="31" t="s">
        <v>1490</v>
      </c>
      <c r="D221" s="17">
        <v>44114</v>
      </c>
      <c r="E221" s="14" t="s">
        <v>30</v>
      </c>
      <c r="F221" s="14">
        <v>1035</v>
      </c>
      <c r="G221" s="14">
        <v>373</v>
      </c>
      <c r="H221" s="14">
        <v>4</v>
      </c>
      <c r="I221" s="14">
        <v>2</v>
      </c>
      <c r="J221" s="14" t="s">
        <v>204</v>
      </c>
      <c r="K221" s="14" cm="1">
        <f t="array" ref="K221">INT(SUMPRODUCT(--ISNUMBER(SEARCH(economy,'Jon Ossoff'!C221)))&gt;0)</f>
        <v>0</v>
      </c>
      <c r="L221" s="14" cm="1">
        <f t="array" ref="L221">INT(SUMPRODUCT(--ISNUMBER(SEARCH(healthcare,'Jon Ossoff'!C221)))&gt;0)</f>
        <v>0</v>
      </c>
      <c r="M221" s="14" cm="1">
        <f t="array" ref="M221">INT(SUMPRODUCT(--ISNUMBER(SEARCH(supreme,'Jon Ossoff'!C221)))&gt;0)</f>
        <v>0</v>
      </c>
      <c r="N221" s="14" cm="1">
        <f t="array" ref="N221">INT(SUMPRODUCT(--ISNUMBER(SEARCH(covid,'Jon Ossoff'!C221)))&gt;0)</f>
        <v>0</v>
      </c>
      <c r="O221" s="14" cm="1">
        <f t="array" ref="O221">INT(SUMPRODUCT(--ISNUMBER(SEARCH(violent,'Jon Ossoff'!C221)))&gt;0)</f>
        <v>0</v>
      </c>
      <c r="P221" s="14" cm="1">
        <f t="array" ref="P221">INT(SUMPRODUCT(--ISNUMBER(SEARCH(foreign,'Jon Ossoff'!C221)))&gt;0)</f>
        <v>0</v>
      </c>
      <c r="Q221" s="14" cm="1">
        <f t="array" ref="Q221">INT(SUMPRODUCT(--ISNUMBER(SEARCH(gun,'Jon Ossoff'!C221)))&gt;0)</f>
        <v>0</v>
      </c>
      <c r="R221" s="14" cm="1">
        <f t="array" ref="R221">INT(SUMPRODUCT(--ISNUMBER(SEARCH(race,'Jon Ossoff'!C221)))&gt;0)</f>
        <v>0</v>
      </c>
      <c r="S221" s="14" cm="1">
        <f t="array" ref="S221">INT(SUMPRODUCT(--ISNUMBER(SEARCH(immigration,C221)))&gt;0)</f>
        <v>0</v>
      </c>
      <c r="T221" s="14" cm="1">
        <f t="array" ref="T221">INT(SUMPRODUCT(--ISNUMBER(SEARCH(econineq,C221)))&gt;0)</f>
        <v>0</v>
      </c>
      <c r="U221" s="14" cm="1">
        <f t="array" ref="U221">INT(SUMPRODUCT(--ISNUMBER(SEARCH(climate,'Jon Ossoff'!C221)))&gt;0)</f>
        <v>0</v>
      </c>
      <c r="V221" s="14" cm="1">
        <f t="array" ref="V221">INT(SUMPRODUCT(--ISNUMBER(SEARCH(abortion,'Jon Ossoff'!C221)))&gt;0)</f>
        <v>0</v>
      </c>
      <c r="W221" s="14" cm="1">
        <f t="array" ref="W221">INT(SUMPRODUCT(--ISNUMBER(SEARCH(trump,'Jon Ossoff'!C221)))&gt;0)</f>
        <v>0</v>
      </c>
      <c r="X221" s="14" cm="1">
        <f t="array" ref="X221">INT(SUMPRODUCT(--ISNUMBER(SEARCH(voting,'Jon Ossoff'!C221)))&gt;0)</f>
        <v>0</v>
      </c>
      <c r="Y221" s="14" cm="1">
        <f t="array" ref="Y221">INT(SUMPRODUCT(--ISNUMBER(SEARCH(democrattrigger,'Jon Ossoff'!C221)))&gt;0)</f>
        <v>1</v>
      </c>
      <c r="Z221" s="14" cm="1">
        <f t="array" ref="Z221">INT(SUMPRODUCT(--ISNUMBER(SEARCH(bipartisan,'Jon Ossoff'!C221)))&gt;0)</f>
        <v>0</v>
      </c>
      <c r="AA221" s="14">
        <f t="shared" si="3"/>
        <v>0</v>
      </c>
      <c r="AB221" s="14"/>
      <c r="AC221" s="30">
        <v>0</v>
      </c>
      <c r="AD221" s="37">
        <v>1</v>
      </c>
    </row>
    <row r="222" spans="1:30" x14ac:dyDescent="0.25">
      <c r="A222" s="36">
        <v>732</v>
      </c>
      <c r="B222" s="14" t="s">
        <v>1491</v>
      </c>
      <c r="C222" s="31" t="s">
        <v>1492</v>
      </c>
      <c r="D222" s="17">
        <v>44114</v>
      </c>
      <c r="E222" s="14" t="s">
        <v>30</v>
      </c>
      <c r="F222" s="14">
        <v>859</v>
      </c>
      <c r="G222" s="14">
        <v>277</v>
      </c>
      <c r="H222" s="14">
        <v>4</v>
      </c>
      <c r="I222" s="14">
        <v>2</v>
      </c>
      <c r="J222" s="14" t="s">
        <v>204</v>
      </c>
      <c r="K222" s="14" cm="1">
        <f t="array" ref="K222">INT(SUMPRODUCT(--ISNUMBER(SEARCH(economy,'Jon Ossoff'!C222)))&gt;0)</f>
        <v>0</v>
      </c>
      <c r="L222" s="14" cm="1">
        <f t="array" ref="L222">INT(SUMPRODUCT(--ISNUMBER(SEARCH(healthcare,'Jon Ossoff'!C222)))&gt;0)</f>
        <v>0</v>
      </c>
      <c r="M222" s="14" cm="1">
        <f t="array" ref="M222">INT(SUMPRODUCT(--ISNUMBER(SEARCH(supreme,'Jon Ossoff'!C222)))&gt;0)</f>
        <v>0</v>
      </c>
      <c r="N222" s="14" cm="1">
        <f t="array" ref="N222">INT(SUMPRODUCT(--ISNUMBER(SEARCH(covid,'Jon Ossoff'!C222)))&gt;0)</f>
        <v>1</v>
      </c>
      <c r="O222" s="14" cm="1">
        <f t="array" ref="O222">INT(SUMPRODUCT(--ISNUMBER(SEARCH(violent,'Jon Ossoff'!C222)))&gt;0)</f>
        <v>0</v>
      </c>
      <c r="P222" s="14" cm="1">
        <f t="array" ref="P222">INT(SUMPRODUCT(--ISNUMBER(SEARCH(foreign,'Jon Ossoff'!C222)))&gt;0)</f>
        <v>0</v>
      </c>
      <c r="Q222" s="14" cm="1">
        <f t="array" ref="Q222">INT(SUMPRODUCT(--ISNUMBER(SEARCH(gun,'Jon Ossoff'!C222)))&gt;0)</f>
        <v>0</v>
      </c>
      <c r="R222" s="14" cm="1">
        <f t="array" ref="R222">INT(SUMPRODUCT(--ISNUMBER(SEARCH(race,'Jon Ossoff'!C222)))&gt;0)</f>
        <v>0</v>
      </c>
      <c r="S222" s="14" cm="1">
        <f t="array" ref="S222">INT(SUMPRODUCT(--ISNUMBER(SEARCH(immigration,C222)))&gt;0)</f>
        <v>0</v>
      </c>
      <c r="T222" s="14" cm="1">
        <f t="array" ref="T222">INT(SUMPRODUCT(--ISNUMBER(SEARCH(econineq,C222)))&gt;0)</f>
        <v>0</v>
      </c>
      <c r="U222" s="14" cm="1">
        <f t="array" ref="U222">INT(SUMPRODUCT(--ISNUMBER(SEARCH(climate,'Jon Ossoff'!C222)))&gt;0)</f>
        <v>0</v>
      </c>
      <c r="V222" s="14" cm="1">
        <f t="array" ref="V222">INT(SUMPRODUCT(--ISNUMBER(SEARCH(abortion,'Jon Ossoff'!C222)))&gt;0)</f>
        <v>0</v>
      </c>
      <c r="W222" s="14" cm="1">
        <f t="array" ref="W222">INT(SUMPRODUCT(--ISNUMBER(SEARCH(trump,'Jon Ossoff'!C222)))&gt;0)</f>
        <v>0</v>
      </c>
      <c r="X222" s="14" cm="1">
        <f t="array" ref="X222">INT(SUMPRODUCT(--ISNUMBER(SEARCH(voting,'Jon Ossoff'!C222)))&gt;0)</f>
        <v>1</v>
      </c>
      <c r="Y222" s="14" cm="1">
        <f t="array" ref="Y222">INT(SUMPRODUCT(--ISNUMBER(SEARCH(democrattrigger,'Jon Ossoff'!C222)))&gt;0)</f>
        <v>0</v>
      </c>
      <c r="Z222" s="14" cm="1">
        <f t="array" ref="Z222">INT(SUMPRODUCT(--ISNUMBER(SEARCH(bipartisan,'Jon Ossoff'!C222)))&gt;0)</f>
        <v>0</v>
      </c>
      <c r="AA222" s="14">
        <f t="shared" si="3"/>
        <v>0</v>
      </c>
      <c r="AB222" s="14"/>
      <c r="AC222" s="30">
        <v>1</v>
      </c>
      <c r="AD222" s="37">
        <v>0</v>
      </c>
    </row>
    <row r="223" spans="1:30" x14ac:dyDescent="0.25">
      <c r="A223" s="36">
        <v>733</v>
      </c>
      <c r="B223" s="14" t="s">
        <v>1493</v>
      </c>
      <c r="C223" s="31" t="s">
        <v>1494</v>
      </c>
      <c r="D223" s="17">
        <v>44114</v>
      </c>
      <c r="E223" s="14" t="s">
        <v>30</v>
      </c>
      <c r="F223" s="14">
        <v>1726</v>
      </c>
      <c r="G223" s="14">
        <v>471</v>
      </c>
      <c r="H223" s="14">
        <v>4</v>
      </c>
      <c r="I223" s="14">
        <v>2</v>
      </c>
      <c r="J223" s="14" t="s">
        <v>204</v>
      </c>
      <c r="K223" s="14" cm="1">
        <f t="array" ref="K223">INT(SUMPRODUCT(--ISNUMBER(SEARCH(economy,'Jon Ossoff'!C223)))&gt;0)</f>
        <v>0</v>
      </c>
      <c r="L223" s="14" cm="1">
        <f t="array" ref="L223">INT(SUMPRODUCT(--ISNUMBER(SEARCH(healthcare,'Jon Ossoff'!C223)))&gt;0)</f>
        <v>0</v>
      </c>
      <c r="M223" s="14" cm="1">
        <f t="array" ref="M223">INT(SUMPRODUCT(--ISNUMBER(SEARCH(supreme,'Jon Ossoff'!C223)))&gt;0)</f>
        <v>0</v>
      </c>
      <c r="N223" s="14" cm="1">
        <f t="array" ref="N223">INT(SUMPRODUCT(--ISNUMBER(SEARCH(covid,'Jon Ossoff'!C223)))&gt;0)</f>
        <v>0</v>
      </c>
      <c r="O223" s="14" cm="1">
        <f t="array" ref="O223">INT(SUMPRODUCT(--ISNUMBER(SEARCH(violent,'Jon Ossoff'!C223)))&gt;0)</f>
        <v>0</v>
      </c>
      <c r="P223" s="14" cm="1">
        <f t="array" ref="P223">INT(SUMPRODUCT(--ISNUMBER(SEARCH(foreign,'Jon Ossoff'!C223)))&gt;0)</f>
        <v>0</v>
      </c>
      <c r="Q223" s="14" cm="1">
        <f t="array" ref="Q223">INT(SUMPRODUCT(--ISNUMBER(SEARCH(gun,'Jon Ossoff'!C223)))&gt;0)</f>
        <v>0</v>
      </c>
      <c r="R223" s="14" cm="1">
        <f t="array" ref="R223">INT(SUMPRODUCT(--ISNUMBER(SEARCH(race,'Jon Ossoff'!C223)))&gt;0)</f>
        <v>0</v>
      </c>
      <c r="S223" s="14" cm="1">
        <f t="array" ref="S223">INT(SUMPRODUCT(--ISNUMBER(SEARCH(immigration,C223)))&gt;0)</f>
        <v>0</v>
      </c>
      <c r="T223" s="14" cm="1">
        <f t="array" ref="T223">INT(SUMPRODUCT(--ISNUMBER(SEARCH(econineq,C223)))&gt;0)</f>
        <v>0</v>
      </c>
      <c r="U223" s="14" cm="1">
        <f t="array" ref="U223">INT(SUMPRODUCT(--ISNUMBER(SEARCH(climate,'Jon Ossoff'!C223)))&gt;0)</f>
        <v>0</v>
      </c>
      <c r="V223" s="14" cm="1">
        <f t="array" ref="V223">INT(SUMPRODUCT(--ISNUMBER(SEARCH(abortion,'Jon Ossoff'!C223)))&gt;0)</f>
        <v>0</v>
      </c>
      <c r="W223" s="14" cm="1">
        <f t="array" ref="W223">INT(SUMPRODUCT(--ISNUMBER(SEARCH(trump,'Jon Ossoff'!C223)))&gt;0)</f>
        <v>0</v>
      </c>
      <c r="X223" s="14" cm="1">
        <f t="array" ref="X223">INT(SUMPRODUCT(--ISNUMBER(SEARCH(voting,'Jon Ossoff'!C223)))&gt;0)</f>
        <v>1</v>
      </c>
      <c r="Y223" s="14" cm="1">
        <f t="array" ref="Y223">INT(SUMPRODUCT(--ISNUMBER(SEARCH(democrattrigger,'Jon Ossoff'!C223)))&gt;0)</f>
        <v>0</v>
      </c>
      <c r="Z223" s="14" cm="1">
        <f t="array" ref="Z223">INT(SUMPRODUCT(--ISNUMBER(SEARCH(bipartisan,'Jon Ossoff'!C223)))&gt;0)</f>
        <v>0</v>
      </c>
      <c r="AA223" s="14">
        <f t="shared" si="3"/>
        <v>0</v>
      </c>
      <c r="AB223" s="14"/>
      <c r="AC223" s="30" t="s">
        <v>223</v>
      </c>
      <c r="AD223" s="37" t="s">
        <v>223</v>
      </c>
    </row>
    <row r="224" spans="1:30" x14ac:dyDescent="0.25">
      <c r="A224" s="36">
        <v>734</v>
      </c>
      <c r="B224" s="14" t="s">
        <v>1495</v>
      </c>
      <c r="C224" s="31" t="s">
        <v>1496</v>
      </c>
      <c r="D224" s="17">
        <v>44113</v>
      </c>
      <c r="E224" s="14" t="s">
        <v>30</v>
      </c>
      <c r="F224" s="14">
        <v>535</v>
      </c>
      <c r="G224" s="14">
        <v>214</v>
      </c>
      <c r="H224" s="14">
        <v>4</v>
      </c>
      <c r="I224" s="14">
        <v>2</v>
      </c>
      <c r="J224" s="14" t="s">
        <v>204</v>
      </c>
      <c r="K224" s="14" cm="1">
        <f t="array" ref="K224">INT(SUMPRODUCT(--ISNUMBER(SEARCH(economy,'Jon Ossoff'!C224)))&gt;0)</f>
        <v>0</v>
      </c>
      <c r="L224" s="14" cm="1">
        <f t="array" ref="L224">INT(SUMPRODUCT(--ISNUMBER(SEARCH(healthcare,'Jon Ossoff'!C224)))&gt;0)</f>
        <v>0</v>
      </c>
      <c r="M224" s="14" cm="1">
        <f t="array" ref="M224">INT(SUMPRODUCT(--ISNUMBER(SEARCH(supreme,'Jon Ossoff'!C224)))&gt;0)</f>
        <v>0</v>
      </c>
      <c r="N224" s="14" cm="1">
        <f t="array" ref="N224">INT(SUMPRODUCT(--ISNUMBER(SEARCH(covid,'Jon Ossoff'!C224)))&gt;0)</f>
        <v>0</v>
      </c>
      <c r="O224" s="14" cm="1">
        <f t="array" ref="O224">INT(SUMPRODUCT(--ISNUMBER(SEARCH(violent,'Jon Ossoff'!C224)))&gt;0)</f>
        <v>0</v>
      </c>
      <c r="P224" s="14" cm="1">
        <f t="array" ref="P224">INT(SUMPRODUCT(--ISNUMBER(SEARCH(foreign,'Jon Ossoff'!C224)))&gt;0)</f>
        <v>0</v>
      </c>
      <c r="Q224" s="14" cm="1">
        <f t="array" ref="Q224">INT(SUMPRODUCT(--ISNUMBER(SEARCH(gun,'Jon Ossoff'!C224)))&gt;0)</f>
        <v>0</v>
      </c>
      <c r="R224" s="14" cm="1">
        <f t="array" ref="R224">INT(SUMPRODUCT(--ISNUMBER(SEARCH(race,'Jon Ossoff'!C224)))&gt;0)</f>
        <v>0</v>
      </c>
      <c r="S224" s="14" cm="1">
        <f t="array" ref="S224">INT(SUMPRODUCT(--ISNUMBER(SEARCH(immigration,C224)))&gt;0)</f>
        <v>0</v>
      </c>
      <c r="T224" s="14" cm="1">
        <f t="array" ref="T224">INT(SUMPRODUCT(--ISNUMBER(SEARCH(econineq,C224)))&gt;0)</f>
        <v>0</v>
      </c>
      <c r="U224" s="14" cm="1">
        <f t="array" ref="U224">INT(SUMPRODUCT(--ISNUMBER(SEARCH(climate,'Jon Ossoff'!C224)))&gt;0)</f>
        <v>0</v>
      </c>
      <c r="V224" s="14" cm="1">
        <f t="array" ref="V224">INT(SUMPRODUCT(--ISNUMBER(SEARCH(abortion,'Jon Ossoff'!C224)))&gt;0)</f>
        <v>0</v>
      </c>
      <c r="W224" s="14" cm="1">
        <f t="array" ref="W224">INT(SUMPRODUCT(--ISNUMBER(SEARCH(trump,'Jon Ossoff'!C224)))&gt;0)</f>
        <v>0</v>
      </c>
      <c r="X224" s="14" cm="1">
        <f t="array" ref="X224">INT(SUMPRODUCT(--ISNUMBER(SEARCH(voting,'Jon Ossoff'!C224)))&gt;0)</f>
        <v>1</v>
      </c>
      <c r="Y224" s="14" cm="1">
        <f t="array" ref="Y224">INT(SUMPRODUCT(--ISNUMBER(SEARCH(democrattrigger,'Jon Ossoff'!C224)))&gt;0)</f>
        <v>0</v>
      </c>
      <c r="Z224" s="14" cm="1">
        <f t="array" ref="Z224">INT(SUMPRODUCT(--ISNUMBER(SEARCH(bipartisan,'Jon Ossoff'!C224)))&gt;0)</f>
        <v>0</v>
      </c>
      <c r="AA224" s="14">
        <f t="shared" si="3"/>
        <v>0</v>
      </c>
      <c r="AB224" s="14"/>
      <c r="AC224" s="30">
        <v>1</v>
      </c>
      <c r="AD224" s="37">
        <v>0</v>
      </c>
    </row>
    <row r="225" spans="1:30" x14ac:dyDescent="0.25">
      <c r="A225" s="36">
        <v>735</v>
      </c>
      <c r="B225" s="14" t="s">
        <v>1497</v>
      </c>
      <c r="C225" s="31" t="s">
        <v>1498</v>
      </c>
      <c r="D225" s="17">
        <v>44113</v>
      </c>
      <c r="E225" s="14" t="s">
        <v>30</v>
      </c>
      <c r="F225" s="14">
        <v>1286</v>
      </c>
      <c r="G225" s="14">
        <v>371</v>
      </c>
      <c r="H225" s="14">
        <v>4</v>
      </c>
      <c r="I225" s="14">
        <v>2</v>
      </c>
      <c r="J225" s="14" t="s">
        <v>204</v>
      </c>
      <c r="K225" s="14" cm="1">
        <f t="array" ref="K225">INT(SUMPRODUCT(--ISNUMBER(SEARCH(economy,'Jon Ossoff'!C225)))&gt;0)</f>
        <v>0</v>
      </c>
      <c r="L225" s="14" cm="1">
        <f t="array" ref="L225">INT(SUMPRODUCT(--ISNUMBER(SEARCH(healthcare,'Jon Ossoff'!C225)))&gt;0)</f>
        <v>0</v>
      </c>
      <c r="M225" s="14" cm="1">
        <f t="array" ref="M225">INT(SUMPRODUCT(--ISNUMBER(SEARCH(supreme,'Jon Ossoff'!C225)))&gt;0)</f>
        <v>0</v>
      </c>
      <c r="N225" s="14" cm="1">
        <f t="array" ref="N225">INT(SUMPRODUCT(--ISNUMBER(SEARCH(covid,'Jon Ossoff'!C225)))&gt;0)</f>
        <v>0</v>
      </c>
      <c r="O225" s="14" cm="1">
        <f t="array" ref="O225">INT(SUMPRODUCT(--ISNUMBER(SEARCH(violent,'Jon Ossoff'!C225)))&gt;0)</f>
        <v>0</v>
      </c>
      <c r="P225" s="14" cm="1">
        <f t="array" ref="P225">INT(SUMPRODUCT(--ISNUMBER(SEARCH(foreign,'Jon Ossoff'!C225)))&gt;0)</f>
        <v>0</v>
      </c>
      <c r="Q225" s="14" cm="1">
        <f t="array" ref="Q225">INT(SUMPRODUCT(--ISNUMBER(SEARCH(gun,'Jon Ossoff'!C225)))&gt;0)</f>
        <v>0</v>
      </c>
      <c r="R225" s="14" cm="1">
        <f t="array" ref="R225">INT(SUMPRODUCT(--ISNUMBER(SEARCH(race,'Jon Ossoff'!C225)))&gt;0)</f>
        <v>0</v>
      </c>
      <c r="S225" s="14" cm="1">
        <f t="array" ref="S225">INT(SUMPRODUCT(--ISNUMBER(SEARCH(immigration,C225)))&gt;0)</f>
        <v>0</v>
      </c>
      <c r="T225" s="14" cm="1">
        <f t="array" ref="T225">INT(SUMPRODUCT(--ISNUMBER(SEARCH(econineq,C225)))&gt;0)</f>
        <v>0</v>
      </c>
      <c r="U225" s="14" cm="1">
        <f t="array" ref="U225">INT(SUMPRODUCT(--ISNUMBER(SEARCH(climate,'Jon Ossoff'!C225)))&gt;0)</f>
        <v>0</v>
      </c>
      <c r="V225" s="14" cm="1">
        <f t="array" ref="V225">INT(SUMPRODUCT(--ISNUMBER(SEARCH(abortion,'Jon Ossoff'!C225)))&gt;0)</f>
        <v>0</v>
      </c>
      <c r="W225" s="14" cm="1">
        <f t="array" ref="W225">INT(SUMPRODUCT(--ISNUMBER(SEARCH(trump,'Jon Ossoff'!C225)))&gt;0)</f>
        <v>0</v>
      </c>
      <c r="X225" s="14" cm="1">
        <f t="array" ref="X225">INT(SUMPRODUCT(--ISNUMBER(SEARCH(voting,'Jon Ossoff'!C225)))&gt;0)</f>
        <v>0</v>
      </c>
      <c r="Y225" s="14" cm="1">
        <f t="array" ref="Y225">INT(SUMPRODUCT(--ISNUMBER(SEARCH(democrattrigger,'Jon Ossoff'!C225)))&gt;0)</f>
        <v>1</v>
      </c>
      <c r="Z225" s="14" cm="1">
        <f t="array" ref="Z225">INT(SUMPRODUCT(--ISNUMBER(SEARCH(bipartisan,'Jon Ossoff'!C225)))&gt;0)</f>
        <v>0</v>
      </c>
      <c r="AA225" s="14">
        <f t="shared" si="3"/>
        <v>0</v>
      </c>
      <c r="AB225" s="14"/>
      <c r="AC225" s="30">
        <v>1</v>
      </c>
      <c r="AD225" s="37">
        <v>0</v>
      </c>
    </row>
    <row r="226" spans="1:30" x14ac:dyDescent="0.25">
      <c r="A226" s="36">
        <v>736</v>
      </c>
      <c r="B226" s="14" t="s">
        <v>1499</v>
      </c>
      <c r="C226" s="31" t="s">
        <v>1500</v>
      </c>
      <c r="D226" s="17">
        <v>44113</v>
      </c>
      <c r="E226" s="14" t="s">
        <v>30</v>
      </c>
      <c r="F226" s="14">
        <v>485</v>
      </c>
      <c r="G226" s="14">
        <v>187</v>
      </c>
      <c r="H226" s="14">
        <v>4</v>
      </c>
      <c r="I226" s="14">
        <v>2</v>
      </c>
      <c r="J226" s="14" t="s">
        <v>204</v>
      </c>
      <c r="K226" s="14" cm="1">
        <f t="array" ref="K226">INT(SUMPRODUCT(--ISNUMBER(SEARCH(economy,'Jon Ossoff'!C226)))&gt;0)</f>
        <v>0</v>
      </c>
      <c r="L226" s="14" cm="1">
        <f t="array" ref="L226">INT(SUMPRODUCT(--ISNUMBER(SEARCH(healthcare,'Jon Ossoff'!C226)))&gt;0)</f>
        <v>0</v>
      </c>
      <c r="M226" s="14" cm="1">
        <f t="array" ref="M226">INT(SUMPRODUCT(--ISNUMBER(SEARCH(supreme,'Jon Ossoff'!C226)))&gt;0)</f>
        <v>0</v>
      </c>
      <c r="N226" s="14" cm="1">
        <f t="array" ref="N226">INT(SUMPRODUCT(--ISNUMBER(SEARCH(covid,'Jon Ossoff'!C226)))&gt;0)</f>
        <v>0</v>
      </c>
      <c r="O226" s="14" cm="1">
        <f t="array" ref="O226">INT(SUMPRODUCT(--ISNUMBER(SEARCH(violent,'Jon Ossoff'!C226)))&gt;0)</f>
        <v>0</v>
      </c>
      <c r="P226" s="14" cm="1">
        <f t="array" ref="P226">INT(SUMPRODUCT(--ISNUMBER(SEARCH(foreign,'Jon Ossoff'!C226)))&gt;0)</f>
        <v>0</v>
      </c>
      <c r="Q226" s="14" cm="1">
        <f t="array" ref="Q226">INT(SUMPRODUCT(--ISNUMBER(SEARCH(gun,'Jon Ossoff'!C226)))&gt;0)</f>
        <v>0</v>
      </c>
      <c r="R226" s="14" cm="1">
        <f t="array" ref="R226">INT(SUMPRODUCT(--ISNUMBER(SEARCH(race,'Jon Ossoff'!C226)))&gt;0)</f>
        <v>0</v>
      </c>
      <c r="S226" s="14" cm="1">
        <f t="array" ref="S226">INT(SUMPRODUCT(--ISNUMBER(SEARCH(immigration,C226)))&gt;0)</f>
        <v>0</v>
      </c>
      <c r="T226" s="14" cm="1">
        <f t="array" ref="T226">INT(SUMPRODUCT(--ISNUMBER(SEARCH(econineq,C226)))&gt;0)</f>
        <v>0</v>
      </c>
      <c r="U226" s="14" cm="1">
        <f t="array" ref="U226">INT(SUMPRODUCT(--ISNUMBER(SEARCH(climate,'Jon Ossoff'!C226)))&gt;0)</f>
        <v>0</v>
      </c>
      <c r="V226" s="14" cm="1">
        <f t="array" ref="V226">INT(SUMPRODUCT(--ISNUMBER(SEARCH(abortion,'Jon Ossoff'!C226)))&gt;0)</f>
        <v>0</v>
      </c>
      <c r="W226" s="14" cm="1">
        <f t="array" ref="W226">INT(SUMPRODUCT(--ISNUMBER(SEARCH(trump,'Jon Ossoff'!C226)))&gt;0)</f>
        <v>0</v>
      </c>
      <c r="X226" s="14" cm="1">
        <f t="array" ref="X226">INT(SUMPRODUCT(--ISNUMBER(SEARCH(voting,'Jon Ossoff'!C226)))&gt;0)</f>
        <v>1</v>
      </c>
      <c r="Y226" s="14" cm="1">
        <f t="array" ref="Y226">INT(SUMPRODUCT(--ISNUMBER(SEARCH(democrattrigger,'Jon Ossoff'!C226)))&gt;0)</f>
        <v>0</v>
      </c>
      <c r="Z226" s="14" cm="1">
        <f t="array" ref="Z226">INT(SUMPRODUCT(--ISNUMBER(SEARCH(bipartisan,'Jon Ossoff'!C226)))&gt;0)</f>
        <v>0</v>
      </c>
      <c r="AA226" s="14">
        <f t="shared" si="3"/>
        <v>0</v>
      </c>
      <c r="AB226" s="14"/>
      <c r="AC226" s="30">
        <v>1</v>
      </c>
      <c r="AD226" s="37">
        <v>0</v>
      </c>
    </row>
    <row r="227" spans="1:30" x14ac:dyDescent="0.25">
      <c r="A227" s="36">
        <v>737</v>
      </c>
      <c r="B227" s="14" t="s">
        <v>1501</v>
      </c>
      <c r="C227" s="31" t="s">
        <v>1502</v>
      </c>
      <c r="D227" s="17">
        <v>44113</v>
      </c>
      <c r="E227" s="14" t="s">
        <v>30</v>
      </c>
      <c r="F227" s="14">
        <v>611</v>
      </c>
      <c r="G227" s="14">
        <v>204</v>
      </c>
      <c r="H227" s="14">
        <v>4</v>
      </c>
      <c r="I227" s="14">
        <v>2</v>
      </c>
      <c r="J227" s="14" t="s">
        <v>204</v>
      </c>
      <c r="K227" s="14" cm="1">
        <f t="array" ref="K227">INT(SUMPRODUCT(--ISNUMBER(SEARCH(economy,'Jon Ossoff'!C227)))&gt;0)</f>
        <v>0</v>
      </c>
      <c r="L227" s="14" cm="1">
        <f t="array" ref="L227">INT(SUMPRODUCT(--ISNUMBER(SEARCH(healthcare,'Jon Ossoff'!C227)))&gt;0)</f>
        <v>1</v>
      </c>
      <c r="M227" s="14" cm="1">
        <f t="array" ref="M227">INT(SUMPRODUCT(--ISNUMBER(SEARCH(supreme,'Jon Ossoff'!C227)))&gt;0)</f>
        <v>0</v>
      </c>
      <c r="N227" s="14" cm="1">
        <f t="array" ref="N227">INT(SUMPRODUCT(--ISNUMBER(SEARCH(covid,'Jon Ossoff'!C227)))&gt;0)</f>
        <v>0</v>
      </c>
      <c r="O227" s="14" cm="1">
        <f t="array" ref="O227">INT(SUMPRODUCT(--ISNUMBER(SEARCH(violent,'Jon Ossoff'!C227)))&gt;0)</f>
        <v>0</v>
      </c>
      <c r="P227" s="14" cm="1">
        <f t="array" ref="P227">INT(SUMPRODUCT(--ISNUMBER(SEARCH(foreign,'Jon Ossoff'!C227)))&gt;0)</f>
        <v>0</v>
      </c>
      <c r="Q227" s="14" cm="1">
        <f t="array" ref="Q227">INT(SUMPRODUCT(--ISNUMBER(SEARCH(gun,'Jon Ossoff'!C227)))&gt;0)</f>
        <v>0</v>
      </c>
      <c r="R227" s="14" cm="1">
        <f t="array" ref="R227">INT(SUMPRODUCT(--ISNUMBER(SEARCH(race,'Jon Ossoff'!C227)))&gt;0)</f>
        <v>0</v>
      </c>
      <c r="S227" s="14" cm="1">
        <f t="array" ref="S227">INT(SUMPRODUCT(--ISNUMBER(SEARCH(immigration,C227)))&gt;0)</f>
        <v>0</v>
      </c>
      <c r="T227" s="14" cm="1">
        <f t="array" ref="T227">INT(SUMPRODUCT(--ISNUMBER(SEARCH(econineq,C227)))&gt;0)</f>
        <v>0</v>
      </c>
      <c r="U227" s="14" cm="1">
        <f t="array" ref="U227">INT(SUMPRODUCT(--ISNUMBER(SEARCH(climate,'Jon Ossoff'!C227)))&gt;0)</f>
        <v>0</v>
      </c>
      <c r="V227" s="14" cm="1">
        <f t="array" ref="V227">INT(SUMPRODUCT(--ISNUMBER(SEARCH(abortion,'Jon Ossoff'!C227)))&gt;0)</f>
        <v>0</v>
      </c>
      <c r="W227" s="14" cm="1">
        <f t="array" ref="W227">INT(SUMPRODUCT(--ISNUMBER(SEARCH(trump,'Jon Ossoff'!C227)))&gt;0)</f>
        <v>0</v>
      </c>
      <c r="X227" s="14" cm="1">
        <f t="array" ref="X227">INT(SUMPRODUCT(--ISNUMBER(SEARCH(voting,'Jon Ossoff'!C227)))&gt;0)</f>
        <v>0</v>
      </c>
      <c r="Y227" s="14" cm="1">
        <f t="array" ref="Y227">INT(SUMPRODUCT(--ISNUMBER(SEARCH(democrattrigger,'Jon Ossoff'!C227)))&gt;0)</f>
        <v>0</v>
      </c>
      <c r="Z227" s="14" cm="1">
        <f t="array" ref="Z227">INT(SUMPRODUCT(--ISNUMBER(SEARCH(bipartisan,'Jon Ossoff'!C227)))&gt;0)</f>
        <v>0</v>
      </c>
      <c r="AA227" s="14">
        <f t="shared" si="3"/>
        <v>0</v>
      </c>
      <c r="AB227" s="14"/>
      <c r="AC227" s="30">
        <v>0</v>
      </c>
      <c r="AD227" s="37">
        <v>1</v>
      </c>
    </row>
    <row r="228" spans="1:30" x14ac:dyDescent="0.25">
      <c r="A228" s="36">
        <v>738</v>
      </c>
      <c r="B228" s="14" t="s">
        <v>1503</v>
      </c>
      <c r="C228" s="31" t="s">
        <v>1504</v>
      </c>
      <c r="D228" s="17">
        <v>44112</v>
      </c>
      <c r="E228" s="14" t="s">
        <v>30</v>
      </c>
      <c r="F228" s="14">
        <v>1394</v>
      </c>
      <c r="G228" s="14">
        <v>419</v>
      </c>
      <c r="H228" s="14">
        <v>4</v>
      </c>
      <c r="I228" s="14">
        <v>2</v>
      </c>
      <c r="J228" s="14" t="s">
        <v>204</v>
      </c>
      <c r="K228" s="14" cm="1">
        <f t="array" ref="K228">INT(SUMPRODUCT(--ISNUMBER(SEARCH(economy,'Jon Ossoff'!C228)))&gt;0)</f>
        <v>0</v>
      </c>
      <c r="L228" s="14" cm="1">
        <f t="array" ref="L228">INT(SUMPRODUCT(--ISNUMBER(SEARCH(healthcare,'Jon Ossoff'!C228)))&gt;0)</f>
        <v>0</v>
      </c>
      <c r="M228" s="14" cm="1">
        <f t="array" ref="M228">INT(SUMPRODUCT(--ISNUMBER(SEARCH(supreme,'Jon Ossoff'!C228)))&gt;0)</f>
        <v>0</v>
      </c>
      <c r="N228" s="14" cm="1">
        <f t="array" ref="N228">INT(SUMPRODUCT(--ISNUMBER(SEARCH(covid,'Jon Ossoff'!C228)))&gt;0)</f>
        <v>0</v>
      </c>
      <c r="O228" s="14" cm="1">
        <f t="array" ref="O228">INT(SUMPRODUCT(--ISNUMBER(SEARCH(violent,'Jon Ossoff'!C228)))&gt;0)</f>
        <v>0</v>
      </c>
      <c r="P228" s="14" cm="1">
        <f t="array" ref="P228">INT(SUMPRODUCT(--ISNUMBER(SEARCH(foreign,'Jon Ossoff'!C228)))&gt;0)</f>
        <v>0</v>
      </c>
      <c r="Q228" s="14" cm="1">
        <f t="array" ref="Q228">INT(SUMPRODUCT(--ISNUMBER(SEARCH(gun,'Jon Ossoff'!C228)))&gt;0)</f>
        <v>0</v>
      </c>
      <c r="R228" s="14" cm="1">
        <f t="array" ref="R228">INT(SUMPRODUCT(--ISNUMBER(SEARCH(race,'Jon Ossoff'!C228)))&gt;0)</f>
        <v>0</v>
      </c>
      <c r="S228" s="14" cm="1">
        <f t="array" ref="S228">INT(SUMPRODUCT(--ISNUMBER(SEARCH(immigration,C228)))&gt;0)</f>
        <v>0</v>
      </c>
      <c r="T228" s="14" cm="1">
        <f t="array" ref="T228">INT(SUMPRODUCT(--ISNUMBER(SEARCH(econineq,C228)))&gt;0)</f>
        <v>0</v>
      </c>
      <c r="U228" s="14" cm="1">
        <f t="array" ref="U228">INT(SUMPRODUCT(--ISNUMBER(SEARCH(climate,'Jon Ossoff'!C228)))&gt;0)</f>
        <v>0</v>
      </c>
      <c r="V228" s="14" cm="1">
        <f t="array" ref="V228">INT(SUMPRODUCT(--ISNUMBER(SEARCH(abortion,'Jon Ossoff'!C228)))&gt;0)</f>
        <v>0</v>
      </c>
      <c r="W228" s="14" cm="1">
        <f t="array" ref="W228">INT(SUMPRODUCT(--ISNUMBER(SEARCH(trump,'Jon Ossoff'!C228)))&gt;0)</f>
        <v>0</v>
      </c>
      <c r="X228" s="14" cm="1">
        <f t="array" ref="X228">INT(SUMPRODUCT(--ISNUMBER(SEARCH(voting,'Jon Ossoff'!C228)))&gt;0)</f>
        <v>1</v>
      </c>
      <c r="Y228" s="14" cm="1">
        <f t="array" ref="Y228">INT(SUMPRODUCT(--ISNUMBER(SEARCH(democrattrigger,'Jon Ossoff'!C228)))&gt;0)</f>
        <v>0</v>
      </c>
      <c r="Z228" s="14" cm="1">
        <f t="array" ref="Z228">INT(SUMPRODUCT(--ISNUMBER(SEARCH(bipartisan,'Jon Ossoff'!C228)))&gt;0)</f>
        <v>0</v>
      </c>
      <c r="AA228" s="14">
        <f t="shared" si="3"/>
        <v>0</v>
      </c>
      <c r="AB228" s="14"/>
      <c r="AC228" s="30" t="s">
        <v>223</v>
      </c>
      <c r="AD228" s="37" t="s">
        <v>223</v>
      </c>
    </row>
    <row r="229" spans="1:30" x14ac:dyDescent="0.25">
      <c r="A229" s="36">
        <v>739</v>
      </c>
      <c r="B229" s="14" t="s">
        <v>1505</v>
      </c>
      <c r="C229" s="31" t="s">
        <v>1506</v>
      </c>
      <c r="D229" s="17">
        <v>44112</v>
      </c>
      <c r="E229" s="14" t="s">
        <v>30</v>
      </c>
      <c r="F229" s="14">
        <v>2020</v>
      </c>
      <c r="G229" s="14">
        <v>598</v>
      </c>
      <c r="H229" s="14">
        <v>4</v>
      </c>
      <c r="I229" s="14">
        <v>2</v>
      </c>
      <c r="J229" s="14" t="s">
        <v>204</v>
      </c>
      <c r="K229" s="14" cm="1">
        <f t="array" ref="K229">INT(SUMPRODUCT(--ISNUMBER(SEARCH(economy,'Jon Ossoff'!C229)))&gt;0)</f>
        <v>0</v>
      </c>
      <c r="L229" s="14" cm="1">
        <f t="array" ref="L229">INT(SUMPRODUCT(--ISNUMBER(SEARCH(healthcare,'Jon Ossoff'!C229)))&gt;0)</f>
        <v>0</v>
      </c>
      <c r="M229" s="14" cm="1">
        <f t="array" ref="M229">INT(SUMPRODUCT(--ISNUMBER(SEARCH(supreme,'Jon Ossoff'!C229)))&gt;0)</f>
        <v>0</v>
      </c>
      <c r="N229" s="14" cm="1">
        <f t="array" ref="N229">INT(SUMPRODUCT(--ISNUMBER(SEARCH(covid,'Jon Ossoff'!C229)))&gt;0)</f>
        <v>0</v>
      </c>
      <c r="O229" s="14" cm="1">
        <f t="array" ref="O229">INT(SUMPRODUCT(--ISNUMBER(SEARCH(violent,'Jon Ossoff'!C229)))&gt;0)</f>
        <v>0</v>
      </c>
      <c r="P229" s="14" cm="1">
        <f t="array" ref="P229">INT(SUMPRODUCT(--ISNUMBER(SEARCH(foreign,'Jon Ossoff'!C229)))&gt;0)</f>
        <v>0</v>
      </c>
      <c r="Q229" s="14" cm="1">
        <f t="array" ref="Q229">INT(SUMPRODUCT(--ISNUMBER(SEARCH(gun,'Jon Ossoff'!C229)))&gt;0)</f>
        <v>0</v>
      </c>
      <c r="R229" s="14" cm="1">
        <f t="array" ref="R229">INT(SUMPRODUCT(--ISNUMBER(SEARCH(race,'Jon Ossoff'!C229)))&gt;0)</f>
        <v>0</v>
      </c>
      <c r="S229" s="14" cm="1">
        <f t="array" ref="S229">INT(SUMPRODUCT(--ISNUMBER(SEARCH(immigration,C229)))&gt;0)</f>
        <v>0</v>
      </c>
      <c r="T229" s="14" cm="1">
        <f t="array" ref="T229">INT(SUMPRODUCT(--ISNUMBER(SEARCH(econineq,C229)))&gt;0)</f>
        <v>0</v>
      </c>
      <c r="U229" s="14" cm="1">
        <f t="array" ref="U229">INT(SUMPRODUCT(--ISNUMBER(SEARCH(climate,'Jon Ossoff'!C229)))&gt;0)</f>
        <v>0</v>
      </c>
      <c r="V229" s="14" cm="1">
        <f t="array" ref="V229">INT(SUMPRODUCT(--ISNUMBER(SEARCH(abortion,'Jon Ossoff'!C229)))&gt;0)</f>
        <v>0</v>
      </c>
      <c r="W229" s="14" cm="1">
        <f t="array" ref="W229">INT(SUMPRODUCT(--ISNUMBER(SEARCH(trump,'Jon Ossoff'!C229)))&gt;0)</f>
        <v>0</v>
      </c>
      <c r="X229" s="14" cm="1">
        <f t="array" ref="X229">INT(SUMPRODUCT(--ISNUMBER(SEARCH(voting,'Jon Ossoff'!C229)))&gt;0)</f>
        <v>0</v>
      </c>
      <c r="Y229" s="14" cm="1">
        <f t="array" ref="Y229">INT(SUMPRODUCT(--ISNUMBER(SEARCH(democrattrigger,'Jon Ossoff'!C229)))&gt;0)</f>
        <v>0</v>
      </c>
      <c r="Z229" s="14" cm="1">
        <f t="array" ref="Z229">INT(SUMPRODUCT(--ISNUMBER(SEARCH(bipartisan,'Jon Ossoff'!C229)))&gt;0)</f>
        <v>0</v>
      </c>
      <c r="AA229" s="14">
        <f t="shared" si="3"/>
        <v>1</v>
      </c>
      <c r="AB229" s="14"/>
      <c r="AC229" s="30">
        <v>0</v>
      </c>
      <c r="AD229" s="37">
        <v>1</v>
      </c>
    </row>
    <row r="230" spans="1:30" x14ac:dyDescent="0.25">
      <c r="A230" s="36">
        <v>740</v>
      </c>
      <c r="B230" s="14" t="s">
        <v>1507</v>
      </c>
      <c r="C230" s="31" t="s">
        <v>1508</v>
      </c>
      <c r="D230" s="17">
        <v>44112</v>
      </c>
      <c r="E230" s="14" t="s">
        <v>30</v>
      </c>
      <c r="F230" s="14">
        <v>579</v>
      </c>
      <c r="G230" s="14">
        <v>163</v>
      </c>
      <c r="H230" s="14">
        <v>4</v>
      </c>
      <c r="I230" s="14">
        <v>2</v>
      </c>
      <c r="J230" s="14" t="s">
        <v>204</v>
      </c>
      <c r="K230" s="14" cm="1">
        <f t="array" ref="K230">INT(SUMPRODUCT(--ISNUMBER(SEARCH(economy,'Jon Ossoff'!C230)))&gt;0)</f>
        <v>0</v>
      </c>
      <c r="L230" s="14" cm="1">
        <f t="array" ref="L230">INT(SUMPRODUCT(--ISNUMBER(SEARCH(healthcare,'Jon Ossoff'!C230)))&gt;0)</f>
        <v>0</v>
      </c>
      <c r="M230" s="14" cm="1">
        <f t="array" ref="M230">INT(SUMPRODUCT(--ISNUMBER(SEARCH(supreme,'Jon Ossoff'!C230)))&gt;0)</f>
        <v>0</v>
      </c>
      <c r="N230" s="14" cm="1">
        <f t="array" ref="N230">INT(SUMPRODUCT(--ISNUMBER(SEARCH(covid,'Jon Ossoff'!C230)))&gt;0)</f>
        <v>1</v>
      </c>
      <c r="O230" s="14" cm="1">
        <f t="array" ref="O230">INT(SUMPRODUCT(--ISNUMBER(SEARCH(violent,'Jon Ossoff'!C230)))&gt;0)</f>
        <v>0</v>
      </c>
      <c r="P230" s="14" cm="1">
        <f t="array" ref="P230">INT(SUMPRODUCT(--ISNUMBER(SEARCH(foreign,'Jon Ossoff'!C230)))&gt;0)</f>
        <v>0</v>
      </c>
      <c r="Q230" s="14" cm="1">
        <f t="array" ref="Q230">INT(SUMPRODUCT(--ISNUMBER(SEARCH(gun,'Jon Ossoff'!C230)))&gt;0)</f>
        <v>0</v>
      </c>
      <c r="R230" s="14" cm="1">
        <f t="array" ref="R230">INT(SUMPRODUCT(--ISNUMBER(SEARCH(race,'Jon Ossoff'!C230)))&gt;0)</f>
        <v>0</v>
      </c>
      <c r="S230" s="14" cm="1">
        <f t="array" ref="S230">INT(SUMPRODUCT(--ISNUMBER(SEARCH(immigration,C230)))&gt;0)</f>
        <v>0</v>
      </c>
      <c r="T230" s="14" cm="1">
        <f t="array" ref="T230">INT(SUMPRODUCT(--ISNUMBER(SEARCH(econineq,C230)))&gt;0)</f>
        <v>0</v>
      </c>
      <c r="U230" s="14" cm="1">
        <f t="array" ref="U230">INT(SUMPRODUCT(--ISNUMBER(SEARCH(climate,'Jon Ossoff'!C230)))&gt;0)</f>
        <v>0</v>
      </c>
      <c r="V230" s="14" cm="1">
        <f t="array" ref="V230">INT(SUMPRODUCT(--ISNUMBER(SEARCH(abortion,'Jon Ossoff'!C230)))&gt;0)</f>
        <v>0</v>
      </c>
      <c r="W230" s="14" cm="1">
        <f t="array" ref="W230">INT(SUMPRODUCT(--ISNUMBER(SEARCH(trump,'Jon Ossoff'!C230)))&gt;0)</f>
        <v>0</v>
      </c>
      <c r="X230" s="14" cm="1">
        <f t="array" ref="X230">INT(SUMPRODUCT(--ISNUMBER(SEARCH(voting,'Jon Ossoff'!C230)))&gt;0)</f>
        <v>0</v>
      </c>
      <c r="Y230" s="14" cm="1">
        <f t="array" ref="Y230">INT(SUMPRODUCT(--ISNUMBER(SEARCH(democrattrigger,'Jon Ossoff'!C230)))&gt;0)</f>
        <v>0</v>
      </c>
      <c r="Z230" s="14" cm="1">
        <f t="array" ref="Z230">INT(SUMPRODUCT(--ISNUMBER(SEARCH(bipartisan,'Jon Ossoff'!C230)))&gt;0)</f>
        <v>0</v>
      </c>
      <c r="AA230" s="14">
        <f t="shared" si="3"/>
        <v>0</v>
      </c>
      <c r="AB230" s="14"/>
      <c r="AC230" s="30">
        <v>0</v>
      </c>
      <c r="AD230" s="37">
        <v>1</v>
      </c>
    </row>
    <row r="231" spans="1:30" x14ac:dyDescent="0.25">
      <c r="A231" s="36">
        <v>741</v>
      </c>
      <c r="B231" s="14" t="s">
        <v>1509</v>
      </c>
      <c r="C231" s="31" t="s">
        <v>1510</v>
      </c>
      <c r="D231" s="17">
        <v>44112</v>
      </c>
      <c r="E231" s="14" t="s">
        <v>70</v>
      </c>
      <c r="F231" s="14">
        <v>138</v>
      </c>
      <c r="G231" s="14">
        <v>55</v>
      </c>
      <c r="H231" s="14">
        <v>4</v>
      </c>
      <c r="I231" s="14">
        <v>2</v>
      </c>
      <c r="J231" s="14" t="s">
        <v>204</v>
      </c>
      <c r="K231" s="14" cm="1">
        <f t="array" ref="K231">INT(SUMPRODUCT(--ISNUMBER(SEARCH(economy,'Jon Ossoff'!C231)))&gt;0)</f>
        <v>0</v>
      </c>
      <c r="L231" s="14" cm="1">
        <f t="array" ref="L231">INT(SUMPRODUCT(--ISNUMBER(SEARCH(healthcare,'Jon Ossoff'!C231)))&gt;0)</f>
        <v>0</v>
      </c>
      <c r="M231" s="14" cm="1">
        <f t="array" ref="M231">INT(SUMPRODUCT(--ISNUMBER(SEARCH(supreme,'Jon Ossoff'!C231)))&gt;0)</f>
        <v>0</v>
      </c>
      <c r="N231" s="14" cm="1">
        <f t="array" ref="N231">INT(SUMPRODUCT(--ISNUMBER(SEARCH(covid,'Jon Ossoff'!C231)))&gt;0)</f>
        <v>0</v>
      </c>
      <c r="O231" s="14" cm="1">
        <f t="array" ref="O231">INT(SUMPRODUCT(--ISNUMBER(SEARCH(violent,'Jon Ossoff'!C231)))&gt;0)</f>
        <v>0</v>
      </c>
      <c r="P231" s="14" cm="1">
        <f t="array" ref="P231">INT(SUMPRODUCT(--ISNUMBER(SEARCH(foreign,'Jon Ossoff'!C231)))&gt;0)</f>
        <v>0</v>
      </c>
      <c r="Q231" s="14" cm="1">
        <f t="array" ref="Q231">INT(SUMPRODUCT(--ISNUMBER(SEARCH(gun,'Jon Ossoff'!C231)))&gt;0)</f>
        <v>0</v>
      </c>
      <c r="R231" s="14" cm="1">
        <f t="array" ref="R231">INT(SUMPRODUCT(--ISNUMBER(SEARCH(race,'Jon Ossoff'!C231)))&gt;0)</f>
        <v>0</v>
      </c>
      <c r="S231" s="14" cm="1">
        <f t="array" ref="S231">INT(SUMPRODUCT(--ISNUMBER(SEARCH(immigration,C231)))&gt;0)</f>
        <v>0</v>
      </c>
      <c r="T231" s="14" cm="1">
        <f t="array" ref="T231">INT(SUMPRODUCT(--ISNUMBER(SEARCH(econineq,C231)))&gt;0)</f>
        <v>0</v>
      </c>
      <c r="U231" s="14" cm="1">
        <f t="array" ref="U231">INT(SUMPRODUCT(--ISNUMBER(SEARCH(climate,'Jon Ossoff'!C231)))&gt;0)</f>
        <v>0</v>
      </c>
      <c r="V231" s="14" cm="1">
        <f t="array" ref="V231">INT(SUMPRODUCT(--ISNUMBER(SEARCH(abortion,'Jon Ossoff'!C231)))&gt;0)</f>
        <v>0</v>
      </c>
      <c r="W231" s="14" cm="1">
        <f t="array" ref="W231">INT(SUMPRODUCT(--ISNUMBER(SEARCH(trump,'Jon Ossoff'!C231)))&gt;0)</f>
        <v>0</v>
      </c>
      <c r="X231" s="14" cm="1">
        <f t="array" ref="X231">INT(SUMPRODUCT(--ISNUMBER(SEARCH(voting,'Jon Ossoff'!C231)))&gt;0)</f>
        <v>1</v>
      </c>
      <c r="Y231" s="14" cm="1">
        <f t="array" ref="Y231">INT(SUMPRODUCT(--ISNUMBER(SEARCH(democrattrigger,'Jon Ossoff'!C231)))&gt;0)</f>
        <v>0</v>
      </c>
      <c r="Z231" s="14" cm="1">
        <f t="array" ref="Z231">INT(SUMPRODUCT(--ISNUMBER(SEARCH(bipartisan,'Jon Ossoff'!C231)))&gt;0)</f>
        <v>0</v>
      </c>
      <c r="AA231" s="14">
        <f t="shared" si="3"/>
        <v>0</v>
      </c>
      <c r="AB231" s="14"/>
      <c r="AC231" s="30" t="s">
        <v>223</v>
      </c>
      <c r="AD231" s="37" t="s">
        <v>223</v>
      </c>
    </row>
    <row r="232" spans="1:30" x14ac:dyDescent="0.25">
      <c r="A232" s="36">
        <v>742</v>
      </c>
      <c r="B232" s="14" t="s">
        <v>1511</v>
      </c>
      <c r="C232" s="31" t="s">
        <v>1512</v>
      </c>
      <c r="D232" s="17">
        <v>44112</v>
      </c>
      <c r="E232" s="14" t="s">
        <v>30</v>
      </c>
      <c r="F232" s="14">
        <v>665</v>
      </c>
      <c r="G232" s="14">
        <v>199</v>
      </c>
      <c r="H232" s="14">
        <v>4</v>
      </c>
      <c r="I232" s="14">
        <v>2</v>
      </c>
      <c r="J232" s="14" t="s">
        <v>204</v>
      </c>
      <c r="K232" s="14" cm="1">
        <f t="array" ref="K232">INT(SUMPRODUCT(--ISNUMBER(SEARCH(economy,'Jon Ossoff'!C232)))&gt;0)</f>
        <v>0</v>
      </c>
      <c r="L232" s="14" cm="1">
        <f t="array" ref="L232">INT(SUMPRODUCT(--ISNUMBER(SEARCH(healthcare,'Jon Ossoff'!C232)))&gt;0)</f>
        <v>0</v>
      </c>
      <c r="M232" s="14" cm="1">
        <f t="array" ref="M232">INT(SUMPRODUCT(--ISNUMBER(SEARCH(supreme,'Jon Ossoff'!C232)))&gt;0)</f>
        <v>0</v>
      </c>
      <c r="N232" s="14" cm="1">
        <f t="array" ref="N232">INT(SUMPRODUCT(--ISNUMBER(SEARCH(covid,'Jon Ossoff'!C232)))&gt;0)</f>
        <v>0</v>
      </c>
      <c r="O232" s="14" cm="1">
        <f t="array" ref="O232">INT(SUMPRODUCT(--ISNUMBER(SEARCH(violent,'Jon Ossoff'!C232)))&gt;0)</f>
        <v>0</v>
      </c>
      <c r="P232" s="14" cm="1">
        <f t="array" ref="P232">INT(SUMPRODUCT(--ISNUMBER(SEARCH(foreign,'Jon Ossoff'!C232)))&gt;0)</f>
        <v>0</v>
      </c>
      <c r="Q232" s="14" cm="1">
        <f t="array" ref="Q232">INT(SUMPRODUCT(--ISNUMBER(SEARCH(gun,'Jon Ossoff'!C232)))&gt;0)</f>
        <v>0</v>
      </c>
      <c r="R232" s="14" cm="1">
        <f t="array" ref="R232">INT(SUMPRODUCT(--ISNUMBER(SEARCH(race,'Jon Ossoff'!C232)))&gt;0)</f>
        <v>0</v>
      </c>
      <c r="S232" s="14" cm="1">
        <f t="array" ref="S232">INT(SUMPRODUCT(--ISNUMBER(SEARCH(immigration,C232)))&gt;0)</f>
        <v>0</v>
      </c>
      <c r="T232" s="14" cm="1">
        <f t="array" ref="T232">INT(SUMPRODUCT(--ISNUMBER(SEARCH(econineq,C232)))&gt;0)</f>
        <v>0</v>
      </c>
      <c r="U232" s="14" cm="1">
        <f t="array" ref="U232">INT(SUMPRODUCT(--ISNUMBER(SEARCH(climate,'Jon Ossoff'!C232)))&gt;0)</f>
        <v>0</v>
      </c>
      <c r="V232" s="14" cm="1">
        <f t="array" ref="V232">INT(SUMPRODUCT(--ISNUMBER(SEARCH(abortion,'Jon Ossoff'!C232)))&gt;0)</f>
        <v>0</v>
      </c>
      <c r="W232" s="14" cm="1">
        <f t="array" ref="W232">INT(SUMPRODUCT(--ISNUMBER(SEARCH(trump,'Jon Ossoff'!C232)))&gt;0)</f>
        <v>0</v>
      </c>
      <c r="X232" s="14" cm="1">
        <f t="array" ref="X232">INT(SUMPRODUCT(--ISNUMBER(SEARCH(voting,'Jon Ossoff'!C232)))&gt;0)</f>
        <v>0</v>
      </c>
      <c r="Y232" s="14" cm="1">
        <f t="array" ref="Y232">INT(SUMPRODUCT(--ISNUMBER(SEARCH(democrattrigger,'Jon Ossoff'!C232)))&gt;0)</f>
        <v>0</v>
      </c>
      <c r="Z232" s="14" cm="1">
        <f t="array" ref="Z232">INT(SUMPRODUCT(--ISNUMBER(SEARCH(bipartisan,'Jon Ossoff'!C232)))&gt;0)</f>
        <v>0</v>
      </c>
      <c r="AA232" s="14">
        <f t="shared" si="3"/>
        <v>1</v>
      </c>
      <c r="AB232" s="14"/>
      <c r="AC232" s="30">
        <v>0</v>
      </c>
      <c r="AD232" s="37">
        <v>1</v>
      </c>
    </row>
    <row r="233" spans="1:30" x14ac:dyDescent="0.25">
      <c r="A233" s="36">
        <v>743</v>
      </c>
      <c r="B233" s="14" t="s">
        <v>1513</v>
      </c>
      <c r="C233" s="31" t="s">
        <v>1514</v>
      </c>
      <c r="D233" s="17">
        <v>44112</v>
      </c>
      <c r="E233" s="14" t="s">
        <v>30</v>
      </c>
      <c r="F233" s="14">
        <v>1033</v>
      </c>
      <c r="G233" s="14">
        <v>278</v>
      </c>
      <c r="H233" s="14">
        <v>4</v>
      </c>
      <c r="I233" s="14">
        <v>2</v>
      </c>
      <c r="J233" s="14" t="s">
        <v>204</v>
      </c>
      <c r="K233" s="14" cm="1">
        <f t="array" ref="K233">INT(SUMPRODUCT(--ISNUMBER(SEARCH(economy,'Jon Ossoff'!C233)))&gt;0)</f>
        <v>0</v>
      </c>
      <c r="L233" s="14" cm="1">
        <f t="array" ref="L233">INT(SUMPRODUCT(--ISNUMBER(SEARCH(healthcare,'Jon Ossoff'!C233)))&gt;0)</f>
        <v>0</v>
      </c>
      <c r="M233" s="14" cm="1">
        <f t="array" ref="M233">INT(SUMPRODUCT(--ISNUMBER(SEARCH(supreme,'Jon Ossoff'!C233)))&gt;0)</f>
        <v>0</v>
      </c>
      <c r="N233" s="14" cm="1">
        <f t="array" ref="N233">INT(SUMPRODUCT(--ISNUMBER(SEARCH(covid,'Jon Ossoff'!C233)))&gt;0)</f>
        <v>0</v>
      </c>
      <c r="O233" s="14" cm="1">
        <f t="array" ref="O233">INT(SUMPRODUCT(--ISNUMBER(SEARCH(violent,'Jon Ossoff'!C233)))&gt;0)</f>
        <v>0</v>
      </c>
      <c r="P233" s="14" cm="1">
        <f t="array" ref="P233">INT(SUMPRODUCT(--ISNUMBER(SEARCH(foreign,'Jon Ossoff'!C233)))&gt;0)</f>
        <v>0</v>
      </c>
      <c r="Q233" s="14" cm="1">
        <f t="array" ref="Q233">INT(SUMPRODUCT(--ISNUMBER(SEARCH(gun,'Jon Ossoff'!C233)))&gt;0)</f>
        <v>0</v>
      </c>
      <c r="R233" s="14" cm="1">
        <f t="array" ref="R233">INT(SUMPRODUCT(--ISNUMBER(SEARCH(race,'Jon Ossoff'!C233)))&gt;0)</f>
        <v>0</v>
      </c>
      <c r="S233" s="14" cm="1">
        <f t="array" ref="S233">INT(SUMPRODUCT(--ISNUMBER(SEARCH(immigration,C233)))&gt;0)</f>
        <v>0</v>
      </c>
      <c r="T233" s="14" cm="1">
        <f t="array" ref="T233">INT(SUMPRODUCT(--ISNUMBER(SEARCH(econineq,C233)))&gt;0)</f>
        <v>0</v>
      </c>
      <c r="U233" s="14" cm="1">
        <f t="array" ref="U233">INT(SUMPRODUCT(--ISNUMBER(SEARCH(climate,'Jon Ossoff'!C233)))&gt;0)</f>
        <v>0</v>
      </c>
      <c r="V233" s="14" cm="1">
        <f t="array" ref="V233">INT(SUMPRODUCT(--ISNUMBER(SEARCH(abortion,'Jon Ossoff'!C233)))&gt;0)</f>
        <v>0</v>
      </c>
      <c r="W233" s="14" cm="1">
        <f t="array" ref="W233">INT(SUMPRODUCT(--ISNUMBER(SEARCH(trump,'Jon Ossoff'!C233)))&gt;0)</f>
        <v>0</v>
      </c>
      <c r="X233" s="14" cm="1">
        <f t="array" ref="X233">INT(SUMPRODUCT(--ISNUMBER(SEARCH(voting,'Jon Ossoff'!C233)))&gt;0)</f>
        <v>1</v>
      </c>
      <c r="Y233" s="14" cm="1">
        <f t="array" ref="Y233">INT(SUMPRODUCT(--ISNUMBER(SEARCH(democrattrigger,'Jon Ossoff'!C233)))&gt;0)</f>
        <v>0</v>
      </c>
      <c r="Z233" s="14" cm="1">
        <f t="array" ref="Z233">INT(SUMPRODUCT(--ISNUMBER(SEARCH(bipartisan,'Jon Ossoff'!C233)))&gt;0)</f>
        <v>0</v>
      </c>
      <c r="AA233" s="14">
        <f t="shared" si="3"/>
        <v>0</v>
      </c>
      <c r="AB233" s="14"/>
      <c r="AC233" s="30" t="s">
        <v>223</v>
      </c>
      <c r="AD233" s="37" t="s">
        <v>223</v>
      </c>
    </row>
    <row r="234" spans="1:30" x14ac:dyDescent="0.25">
      <c r="A234" s="36">
        <v>744</v>
      </c>
      <c r="B234" s="14" t="s">
        <v>1515</v>
      </c>
      <c r="C234" s="31" t="s">
        <v>1516</v>
      </c>
      <c r="D234" s="17">
        <v>44112</v>
      </c>
      <c r="E234" s="14" t="s">
        <v>30</v>
      </c>
      <c r="F234" s="14">
        <v>1505</v>
      </c>
      <c r="G234" s="14">
        <v>263</v>
      </c>
      <c r="H234" s="14">
        <v>4</v>
      </c>
      <c r="I234" s="14">
        <v>2</v>
      </c>
      <c r="J234" s="14" t="s">
        <v>204</v>
      </c>
      <c r="K234" s="14" cm="1">
        <f t="array" ref="K234">INT(SUMPRODUCT(--ISNUMBER(SEARCH(economy,'Jon Ossoff'!C234)))&gt;0)</f>
        <v>0</v>
      </c>
      <c r="L234" s="14" cm="1">
        <f t="array" ref="L234">INT(SUMPRODUCT(--ISNUMBER(SEARCH(healthcare,'Jon Ossoff'!C234)))&gt;0)</f>
        <v>0</v>
      </c>
      <c r="M234" s="14" cm="1">
        <f t="array" ref="M234">INT(SUMPRODUCT(--ISNUMBER(SEARCH(supreme,'Jon Ossoff'!C234)))&gt;0)</f>
        <v>0</v>
      </c>
      <c r="N234" s="14" cm="1">
        <f t="array" ref="N234">INT(SUMPRODUCT(--ISNUMBER(SEARCH(covid,'Jon Ossoff'!C234)))&gt;0)</f>
        <v>0</v>
      </c>
      <c r="O234" s="14" cm="1">
        <f t="array" ref="O234">INT(SUMPRODUCT(--ISNUMBER(SEARCH(violent,'Jon Ossoff'!C234)))&gt;0)</f>
        <v>0</v>
      </c>
      <c r="P234" s="14" cm="1">
        <f t="array" ref="P234">INT(SUMPRODUCT(--ISNUMBER(SEARCH(foreign,'Jon Ossoff'!C234)))&gt;0)</f>
        <v>0</v>
      </c>
      <c r="Q234" s="14" cm="1">
        <f t="array" ref="Q234">INT(SUMPRODUCT(--ISNUMBER(SEARCH(gun,'Jon Ossoff'!C234)))&gt;0)</f>
        <v>0</v>
      </c>
      <c r="R234" s="14" cm="1">
        <f t="array" ref="R234">INT(SUMPRODUCT(--ISNUMBER(SEARCH(race,'Jon Ossoff'!C234)))&gt;0)</f>
        <v>0</v>
      </c>
      <c r="S234" s="14" cm="1">
        <f t="array" ref="S234">INT(SUMPRODUCT(--ISNUMBER(SEARCH(immigration,C234)))&gt;0)</f>
        <v>0</v>
      </c>
      <c r="T234" s="14" cm="1">
        <f t="array" ref="T234">INT(SUMPRODUCT(--ISNUMBER(SEARCH(econineq,C234)))&gt;0)</f>
        <v>0</v>
      </c>
      <c r="U234" s="14" cm="1">
        <f t="array" ref="U234">INT(SUMPRODUCT(--ISNUMBER(SEARCH(climate,'Jon Ossoff'!C234)))&gt;0)</f>
        <v>0</v>
      </c>
      <c r="V234" s="14" cm="1">
        <f t="array" ref="V234">INT(SUMPRODUCT(--ISNUMBER(SEARCH(abortion,'Jon Ossoff'!C234)))&gt;0)</f>
        <v>0</v>
      </c>
      <c r="W234" s="14" cm="1">
        <f t="array" ref="W234">INT(SUMPRODUCT(--ISNUMBER(SEARCH(trump,'Jon Ossoff'!C234)))&gt;0)</f>
        <v>0</v>
      </c>
      <c r="X234" s="14" cm="1">
        <f t="array" ref="X234">INT(SUMPRODUCT(--ISNUMBER(SEARCH(voting,'Jon Ossoff'!C234)))&gt;0)</f>
        <v>0</v>
      </c>
      <c r="Y234" s="14" cm="1">
        <f t="array" ref="Y234">INT(SUMPRODUCT(--ISNUMBER(SEARCH(democrattrigger,'Jon Ossoff'!C234)))&gt;0)</f>
        <v>0</v>
      </c>
      <c r="Z234" s="14" cm="1">
        <f t="array" ref="Z234">INT(SUMPRODUCT(--ISNUMBER(SEARCH(bipartisan,'Jon Ossoff'!C234)))&gt;0)</f>
        <v>0</v>
      </c>
      <c r="AA234" s="14">
        <f t="shared" si="3"/>
        <v>1</v>
      </c>
      <c r="AB234" s="14"/>
      <c r="AC234" s="30" t="s">
        <v>223</v>
      </c>
      <c r="AD234" s="37" t="s">
        <v>223</v>
      </c>
    </row>
    <row r="235" spans="1:30" x14ac:dyDescent="0.25">
      <c r="A235" s="36">
        <v>745</v>
      </c>
      <c r="B235" s="14" t="s">
        <v>1517</v>
      </c>
      <c r="C235" s="31" t="s">
        <v>1518</v>
      </c>
      <c r="D235" s="17">
        <v>44112</v>
      </c>
      <c r="E235" s="14" t="s">
        <v>30</v>
      </c>
      <c r="F235" s="14">
        <v>995</v>
      </c>
      <c r="G235" s="14">
        <v>169</v>
      </c>
      <c r="H235" s="14">
        <v>4</v>
      </c>
      <c r="I235" s="14">
        <v>2</v>
      </c>
      <c r="J235" s="14" t="s">
        <v>204</v>
      </c>
      <c r="K235" s="14" cm="1">
        <f t="array" ref="K235">INT(SUMPRODUCT(--ISNUMBER(SEARCH(economy,'Jon Ossoff'!C235)))&gt;0)</f>
        <v>0</v>
      </c>
      <c r="L235" s="14" cm="1">
        <f t="array" ref="L235">INT(SUMPRODUCT(--ISNUMBER(SEARCH(healthcare,'Jon Ossoff'!C235)))&gt;0)</f>
        <v>0</v>
      </c>
      <c r="M235" s="14" cm="1">
        <f t="array" ref="M235">INT(SUMPRODUCT(--ISNUMBER(SEARCH(supreme,'Jon Ossoff'!C235)))&gt;0)</f>
        <v>0</v>
      </c>
      <c r="N235" s="14" cm="1">
        <f t="array" ref="N235">INT(SUMPRODUCT(--ISNUMBER(SEARCH(covid,'Jon Ossoff'!C235)))&gt;0)</f>
        <v>1</v>
      </c>
      <c r="O235" s="14" cm="1">
        <f t="array" ref="O235">INT(SUMPRODUCT(--ISNUMBER(SEARCH(violent,'Jon Ossoff'!C235)))&gt;0)</f>
        <v>0</v>
      </c>
      <c r="P235" s="14" cm="1">
        <f t="array" ref="P235">INT(SUMPRODUCT(--ISNUMBER(SEARCH(foreign,'Jon Ossoff'!C235)))&gt;0)</f>
        <v>0</v>
      </c>
      <c r="Q235" s="14" cm="1">
        <f t="array" ref="Q235">INT(SUMPRODUCT(--ISNUMBER(SEARCH(gun,'Jon Ossoff'!C235)))&gt;0)</f>
        <v>0</v>
      </c>
      <c r="R235" s="14" cm="1">
        <f t="array" ref="R235">INT(SUMPRODUCT(--ISNUMBER(SEARCH(race,'Jon Ossoff'!C235)))&gt;0)</f>
        <v>0</v>
      </c>
      <c r="S235" s="14" cm="1">
        <f t="array" ref="S235">INT(SUMPRODUCT(--ISNUMBER(SEARCH(immigration,C235)))&gt;0)</f>
        <v>0</v>
      </c>
      <c r="T235" s="14" cm="1">
        <f t="array" ref="T235">INT(SUMPRODUCT(--ISNUMBER(SEARCH(econineq,C235)))&gt;0)</f>
        <v>0</v>
      </c>
      <c r="U235" s="14" cm="1">
        <f t="array" ref="U235">INT(SUMPRODUCT(--ISNUMBER(SEARCH(climate,'Jon Ossoff'!C235)))&gt;0)</f>
        <v>0</v>
      </c>
      <c r="V235" s="14" cm="1">
        <f t="array" ref="V235">INT(SUMPRODUCT(--ISNUMBER(SEARCH(abortion,'Jon Ossoff'!C235)))&gt;0)</f>
        <v>0</v>
      </c>
      <c r="W235" s="14" cm="1">
        <f t="array" ref="W235">INT(SUMPRODUCT(--ISNUMBER(SEARCH(trump,'Jon Ossoff'!C235)))&gt;0)</f>
        <v>0</v>
      </c>
      <c r="X235" s="14" cm="1">
        <f t="array" ref="X235">INT(SUMPRODUCT(--ISNUMBER(SEARCH(voting,'Jon Ossoff'!C235)))&gt;0)</f>
        <v>0</v>
      </c>
      <c r="Y235" s="14" cm="1">
        <f t="array" ref="Y235">INT(SUMPRODUCT(--ISNUMBER(SEARCH(democrattrigger,'Jon Ossoff'!C235)))&gt;0)</f>
        <v>1</v>
      </c>
      <c r="Z235" s="14" cm="1">
        <f t="array" ref="Z235">INT(SUMPRODUCT(--ISNUMBER(SEARCH(bipartisan,'Jon Ossoff'!C235)))&gt;0)</f>
        <v>0</v>
      </c>
      <c r="AA235" s="14">
        <f t="shared" si="3"/>
        <v>0</v>
      </c>
      <c r="AB235" s="14"/>
      <c r="AC235" s="30" t="s">
        <v>223</v>
      </c>
      <c r="AD235" s="37" t="s">
        <v>223</v>
      </c>
    </row>
    <row r="236" spans="1:30" x14ac:dyDescent="0.25">
      <c r="A236" s="36">
        <v>746</v>
      </c>
      <c r="B236" s="14" t="s">
        <v>1519</v>
      </c>
      <c r="C236" s="31" t="s">
        <v>1520</v>
      </c>
      <c r="D236" s="17">
        <v>44112</v>
      </c>
      <c r="E236" s="14" t="s">
        <v>30</v>
      </c>
      <c r="F236" s="14">
        <v>402</v>
      </c>
      <c r="G236" s="14">
        <v>179</v>
      </c>
      <c r="H236" s="14">
        <v>4</v>
      </c>
      <c r="I236" s="14">
        <v>2</v>
      </c>
      <c r="J236" s="14" t="s">
        <v>204</v>
      </c>
      <c r="K236" s="14" cm="1">
        <f t="array" ref="K236">INT(SUMPRODUCT(--ISNUMBER(SEARCH(economy,'Jon Ossoff'!C236)))&gt;0)</f>
        <v>0</v>
      </c>
      <c r="L236" s="14" cm="1">
        <f t="array" ref="L236">INT(SUMPRODUCT(--ISNUMBER(SEARCH(healthcare,'Jon Ossoff'!C236)))&gt;0)</f>
        <v>0</v>
      </c>
      <c r="M236" s="14" cm="1">
        <f t="array" ref="M236">INT(SUMPRODUCT(--ISNUMBER(SEARCH(supreme,'Jon Ossoff'!C236)))&gt;0)</f>
        <v>0</v>
      </c>
      <c r="N236" s="14" cm="1">
        <f t="array" ref="N236">INT(SUMPRODUCT(--ISNUMBER(SEARCH(covid,'Jon Ossoff'!C236)))&gt;0)</f>
        <v>0</v>
      </c>
      <c r="O236" s="14" cm="1">
        <f t="array" ref="O236">INT(SUMPRODUCT(--ISNUMBER(SEARCH(violent,'Jon Ossoff'!C236)))&gt;0)</f>
        <v>0</v>
      </c>
      <c r="P236" s="14" cm="1">
        <f t="array" ref="P236">INT(SUMPRODUCT(--ISNUMBER(SEARCH(foreign,'Jon Ossoff'!C236)))&gt;0)</f>
        <v>0</v>
      </c>
      <c r="Q236" s="14" cm="1">
        <f t="array" ref="Q236">INT(SUMPRODUCT(--ISNUMBER(SEARCH(gun,'Jon Ossoff'!C236)))&gt;0)</f>
        <v>0</v>
      </c>
      <c r="R236" s="14" cm="1">
        <f t="array" ref="R236">INT(SUMPRODUCT(--ISNUMBER(SEARCH(race,'Jon Ossoff'!C236)))&gt;0)</f>
        <v>0</v>
      </c>
      <c r="S236" s="14" cm="1">
        <f t="array" ref="S236">INT(SUMPRODUCT(--ISNUMBER(SEARCH(immigration,C236)))&gt;0)</f>
        <v>0</v>
      </c>
      <c r="T236" s="14" cm="1">
        <f t="array" ref="T236">INT(SUMPRODUCT(--ISNUMBER(SEARCH(econineq,C236)))&gt;0)</f>
        <v>0</v>
      </c>
      <c r="U236" s="14" cm="1">
        <f t="array" ref="U236">INT(SUMPRODUCT(--ISNUMBER(SEARCH(climate,'Jon Ossoff'!C236)))&gt;0)</f>
        <v>0</v>
      </c>
      <c r="V236" s="14" cm="1">
        <f t="array" ref="V236">INT(SUMPRODUCT(--ISNUMBER(SEARCH(abortion,'Jon Ossoff'!C236)))&gt;0)</f>
        <v>0</v>
      </c>
      <c r="W236" s="14" cm="1">
        <f t="array" ref="W236">INT(SUMPRODUCT(--ISNUMBER(SEARCH(trump,'Jon Ossoff'!C236)))&gt;0)</f>
        <v>0</v>
      </c>
      <c r="X236" s="14" cm="1">
        <f t="array" ref="X236">INT(SUMPRODUCT(--ISNUMBER(SEARCH(voting,'Jon Ossoff'!C236)))&gt;0)</f>
        <v>1</v>
      </c>
      <c r="Y236" s="14" cm="1">
        <f t="array" ref="Y236">INT(SUMPRODUCT(--ISNUMBER(SEARCH(democrattrigger,'Jon Ossoff'!C236)))&gt;0)</f>
        <v>0</v>
      </c>
      <c r="Z236" s="14" cm="1">
        <f t="array" ref="Z236">INT(SUMPRODUCT(--ISNUMBER(SEARCH(bipartisan,'Jon Ossoff'!C236)))&gt;0)</f>
        <v>0</v>
      </c>
      <c r="AA236" s="14">
        <f t="shared" si="3"/>
        <v>0</v>
      </c>
      <c r="AB236" s="14"/>
      <c r="AC236" s="30" t="s">
        <v>223</v>
      </c>
      <c r="AD236" s="37" t="s">
        <v>223</v>
      </c>
    </row>
    <row r="237" spans="1:30" x14ac:dyDescent="0.25">
      <c r="A237" s="36">
        <v>747</v>
      </c>
      <c r="B237" s="14" t="s">
        <v>1521</v>
      </c>
      <c r="C237" s="31" t="s">
        <v>1522</v>
      </c>
      <c r="D237" s="17">
        <v>44111</v>
      </c>
      <c r="E237" s="14" t="s">
        <v>30</v>
      </c>
      <c r="F237" s="14">
        <v>378</v>
      </c>
      <c r="G237" s="14">
        <v>221</v>
      </c>
      <c r="H237" s="14">
        <v>4</v>
      </c>
      <c r="I237" s="14">
        <v>2</v>
      </c>
      <c r="J237" s="14" t="s">
        <v>204</v>
      </c>
      <c r="K237" s="14" cm="1">
        <f t="array" ref="K237">INT(SUMPRODUCT(--ISNUMBER(SEARCH(economy,'Jon Ossoff'!C237)))&gt;0)</f>
        <v>0</v>
      </c>
      <c r="L237" s="14" cm="1">
        <f t="array" ref="L237">INT(SUMPRODUCT(--ISNUMBER(SEARCH(healthcare,'Jon Ossoff'!C237)))&gt;0)</f>
        <v>1</v>
      </c>
      <c r="M237" s="14" cm="1">
        <f t="array" ref="M237">INT(SUMPRODUCT(--ISNUMBER(SEARCH(supreme,'Jon Ossoff'!C237)))&gt;0)</f>
        <v>0</v>
      </c>
      <c r="N237" s="14" cm="1">
        <f t="array" ref="N237">INT(SUMPRODUCT(--ISNUMBER(SEARCH(covid,'Jon Ossoff'!C237)))&gt;0)</f>
        <v>1</v>
      </c>
      <c r="O237" s="14" cm="1">
        <f t="array" ref="O237">INT(SUMPRODUCT(--ISNUMBER(SEARCH(violent,'Jon Ossoff'!C237)))&gt;0)</f>
        <v>0</v>
      </c>
      <c r="P237" s="14" cm="1">
        <f t="array" ref="P237">INT(SUMPRODUCT(--ISNUMBER(SEARCH(foreign,'Jon Ossoff'!C237)))&gt;0)</f>
        <v>0</v>
      </c>
      <c r="Q237" s="14" cm="1">
        <f t="array" ref="Q237">INT(SUMPRODUCT(--ISNUMBER(SEARCH(gun,'Jon Ossoff'!C237)))&gt;0)</f>
        <v>0</v>
      </c>
      <c r="R237" s="14" cm="1">
        <f t="array" ref="R237">INT(SUMPRODUCT(--ISNUMBER(SEARCH(race,'Jon Ossoff'!C237)))&gt;0)</f>
        <v>0</v>
      </c>
      <c r="S237" s="14" cm="1">
        <f t="array" ref="S237">INT(SUMPRODUCT(--ISNUMBER(SEARCH(immigration,C237)))&gt;0)</f>
        <v>0</v>
      </c>
      <c r="T237" s="14" cm="1">
        <f t="array" ref="T237">INT(SUMPRODUCT(--ISNUMBER(SEARCH(econineq,C237)))&gt;0)</f>
        <v>0</v>
      </c>
      <c r="U237" s="14" cm="1">
        <f t="array" ref="U237">INT(SUMPRODUCT(--ISNUMBER(SEARCH(climate,'Jon Ossoff'!C237)))&gt;0)</f>
        <v>0</v>
      </c>
      <c r="V237" s="14" cm="1">
        <f t="array" ref="V237">INT(SUMPRODUCT(--ISNUMBER(SEARCH(abortion,'Jon Ossoff'!C237)))&gt;0)</f>
        <v>0</v>
      </c>
      <c r="W237" s="14" cm="1">
        <f t="array" ref="W237">INT(SUMPRODUCT(--ISNUMBER(SEARCH(trump,'Jon Ossoff'!C237)))&gt;0)</f>
        <v>0</v>
      </c>
      <c r="X237" s="14" cm="1">
        <f t="array" ref="X237">INT(SUMPRODUCT(--ISNUMBER(SEARCH(voting,'Jon Ossoff'!C237)))&gt;0)</f>
        <v>0</v>
      </c>
      <c r="Y237" s="14" cm="1">
        <f t="array" ref="Y237">INT(SUMPRODUCT(--ISNUMBER(SEARCH(democrattrigger,'Jon Ossoff'!C237)))&gt;0)</f>
        <v>1</v>
      </c>
      <c r="Z237" s="14" cm="1">
        <f t="array" ref="Z237">INT(SUMPRODUCT(--ISNUMBER(SEARCH(bipartisan,'Jon Ossoff'!C237)))&gt;0)</f>
        <v>0</v>
      </c>
      <c r="AA237" s="14">
        <f t="shared" si="3"/>
        <v>0</v>
      </c>
      <c r="AB237" s="14"/>
      <c r="AC237" s="30">
        <v>0</v>
      </c>
      <c r="AD237" s="37">
        <v>1</v>
      </c>
    </row>
    <row r="238" spans="1:30" x14ac:dyDescent="0.25">
      <c r="A238" s="36">
        <v>748</v>
      </c>
      <c r="B238" s="14" t="s">
        <v>1523</v>
      </c>
      <c r="C238" s="31" t="s">
        <v>1524</v>
      </c>
      <c r="D238" s="17">
        <v>44111</v>
      </c>
      <c r="E238" s="14" t="s">
        <v>30</v>
      </c>
      <c r="F238" s="14">
        <v>1571</v>
      </c>
      <c r="G238" s="14">
        <v>490</v>
      </c>
      <c r="H238" s="14">
        <v>4</v>
      </c>
      <c r="I238" s="14">
        <v>2</v>
      </c>
      <c r="J238" s="14" t="s">
        <v>204</v>
      </c>
      <c r="K238" s="14" cm="1">
        <f t="array" ref="K238">INT(SUMPRODUCT(--ISNUMBER(SEARCH(economy,'Jon Ossoff'!C238)))&gt;0)</f>
        <v>0</v>
      </c>
      <c r="L238" s="14" cm="1">
        <f t="array" ref="L238">INT(SUMPRODUCT(--ISNUMBER(SEARCH(healthcare,'Jon Ossoff'!C238)))&gt;0)</f>
        <v>0</v>
      </c>
      <c r="M238" s="14" cm="1">
        <f t="array" ref="M238">INT(SUMPRODUCT(--ISNUMBER(SEARCH(supreme,'Jon Ossoff'!C238)))&gt;0)</f>
        <v>0</v>
      </c>
      <c r="N238" s="14" cm="1">
        <f t="array" ref="N238">INT(SUMPRODUCT(--ISNUMBER(SEARCH(covid,'Jon Ossoff'!C238)))&gt;0)</f>
        <v>0</v>
      </c>
      <c r="O238" s="14" cm="1">
        <f t="array" ref="O238">INT(SUMPRODUCT(--ISNUMBER(SEARCH(violent,'Jon Ossoff'!C238)))&gt;0)</f>
        <v>0</v>
      </c>
      <c r="P238" s="14" cm="1">
        <f t="array" ref="P238">INT(SUMPRODUCT(--ISNUMBER(SEARCH(foreign,'Jon Ossoff'!C238)))&gt;0)</f>
        <v>0</v>
      </c>
      <c r="Q238" s="14" cm="1">
        <f t="array" ref="Q238">INT(SUMPRODUCT(--ISNUMBER(SEARCH(gun,'Jon Ossoff'!C238)))&gt;0)</f>
        <v>0</v>
      </c>
      <c r="R238" s="14" cm="1">
        <f t="array" ref="R238">INT(SUMPRODUCT(--ISNUMBER(SEARCH(race,'Jon Ossoff'!C238)))&gt;0)</f>
        <v>0</v>
      </c>
      <c r="S238" s="14" cm="1">
        <f t="array" ref="S238">INT(SUMPRODUCT(--ISNUMBER(SEARCH(immigration,C238)))&gt;0)</f>
        <v>0</v>
      </c>
      <c r="T238" s="14" cm="1">
        <f t="array" ref="T238">INT(SUMPRODUCT(--ISNUMBER(SEARCH(econineq,C238)))&gt;0)</f>
        <v>0</v>
      </c>
      <c r="U238" s="14" cm="1">
        <f t="array" ref="U238">INT(SUMPRODUCT(--ISNUMBER(SEARCH(climate,'Jon Ossoff'!C238)))&gt;0)</f>
        <v>0</v>
      </c>
      <c r="V238" s="14" cm="1">
        <f t="array" ref="V238">INT(SUMPRODUCT(--ISNUMBER(SEARCH(abortion,'Jon Ossoff'!C238)))&gt;0)</f>
        <v>0</v>
      </c>
      <c r="W238" s="14" cm="1">
        <f t="array" ref="W238">INT(SUMPRODUCT(--ISNUMBER(SEARCH(trump,'Jon Ossoff'!C238)))&gt;0)</f>
        <v>1</v>
      </c>
      <c r="X238" s="14" cm="1">
        <f t="array" ref="X238">INT(SUMPRODUCT(--ISNUMBER(SEARCH(voting,'Jon Ossoff'!C238)))&gt;0)</f>
        <v>0</v>
      </c>
      <c r="Y238" s="14" cm="1">
        <f t="array" ref="Y238">INT(SUMPRODUCT(--ISNUMBER(SEARCH(democrattrigger,'Jon Ossoff'!C238)))&gt;0)</f>
        <v>1</v>
      </c>
      <c r="Z238" s="14" cm="1">
        <f t="array" ref="Z238">INT(SUMPRODUCT(--ISNUMBER(SEARCH(bipartisan,'Jon Ossoff'!C238)))&gt;0)</f>
        <v>0</v>
      </c>
      <c r="AA238" s="14">
        <f t="shared" si="3"/>
        <v>0</v>
      </c>
      <c r="AB238" s="14"/>
      <c r="AC238" s="30" t="s">
        <v>223</v>
      </c>
      <c r="AD238" s="37" t="s">
        <v>223</v>
      </c>
    </row>
    <row r="239" spans="1:30" x14ac:dyDescent="0.25">
      <c r="A239" s="36">
        <v>749</v>
      </c>
      <c r="B239" s="14" t="s">
        <v>1525</v>
      </c>
      <c r="C239" s="31" t="s">
        <v>1526</v>
      </c>
      <c r="D239" s="17">
        <v>44111</v>
      </c>
      <c r="E239" s="14" t="s">
        <v>30</v>
      </c>
      <c r="F239" s="14">
        <v>721</v>
      </c>
      <c r="G239" s="14">
        <v>209</v>
      </c>
      <c r="H239" s="14">
        <v>4</v>
      </c>
      <c r="I239" s="14">
        <v>2</v>
      </c>
      <c r="J239" s="14" t="s">
        <v>204</v>
      </c>
      <c r="K239" s="14" cm="1">
        <f t="array" ref="K239">INT(SUMPRODUCT(--ISNUMBER(SEARCH(economy,'Jon Ossoff'!C239)))&gt;0)</f>
        <v>0</v>
      </c>
      <c r="L239" s="14" cm="1">
        <f t="array" ref="L239">INT(SUMPRODUCT(--ISNUMBER(SEARCH(healthcare,'Jon Ossoff'!C239)))&gt;0)</f>
        <v>0</v>
      </c>
      <c r="M239" s="14" cm="1">
        <f t="array" ref="M239">INT(SUMPRODUCT(--ISNUMBER(SEARCH(supreme,'Jon Ossoff'!C239)))&gt;0)</f>
        <v>0</v>
      </c>
      <c r="N239" s="14" cm="1">
        <f t="array" ref="N239">INT(SUMPRODUCT(--ISNUMBER(SEARCH(covid,'Jon Ossoff'!C239)))&gt;0)</f>
        <v>1</v>
      </c>
      <c r="O239" s="14" cm="1">
        <f t="array" ref="O239">INT(SUMPRODUCT(--ISNUMBER(SEARCH(violent,'Jon Ossoff'!C239)))&gt;0)</f>
        <v>0</v>
      </c>
      <c r="P239" s="14" cm="1">
        <f t="array" ref="P239">INT(SUMPRODUCT(--ISNUMBER(SEARCH(foreign,'Jon Ossoff'!C239)))&gt;0)</f>
        <v>0</v>
      </c>
      <c r="Q239" s="14" cm="1">
        <f t="array" ref="Q239">INT(SUMPRODUCT(--ISNUMBER(SEARCH(gun,'Jon Ossoff'!C239)))&gt;0)</f>
        <v>0</v>
      </c>
      <c r="R239" s="14" cm="1">
        <f t="array" ref="R239">INT(SUMPRODUCT(--ISNUMBER(SEARCH(race,'Jon Ossoff'!C239)))&gt;0)</f>
        <v>0</v>
      </c>
      <c r="S239" s="14" cm="1">
        <f t="array" ref="S239">INT(SUMPRODUCT(--ISNUMBER(SEARCH(immigration,C239)))&gt;0)</f>
        <v>0</v>
      </c>
      <c r="T239" s="14" cm="1">
        <f t="array" ref="T239">INT(SUMPRODUCT(--ISNUMBER(SEARCH(econineq,C239)))&gt;0)</f>
        <v>0</v>
      </c>
      <c r="U239" s="14" cm="1">
        <f t="array" ref="U239">INT(SUMPRODUCT(--ISNUMBER(SEARCH(climate,'Jon Ossoff'!C239)))&gt;0)</f>
        <v>0</v>
      </c>
      <c r="V239" s="14" cm="1">
        <f t="array" ref="V239">INT(SUMPRODUCT(--ISNUMBER(SEARCH(abortion,'Jon Ossoff'!C239)))&gt;0)</f>
        <v>0</v>
      </c>
      <c r="W239" s="14" cm="1">
        <f t="array" ref="W239">INT(SUMPRODUCT(--ISNUMBER(SEARCH(trump,'Jon Ossoff'!C239)))&gt;0)</f>
        <v>0</v>
      </c>
      <c r="X239" s="14" cm="1">
        <f t="array" ref="X239">INT(SUMPRODUCT(--ISNUMBER(SEARCH(voting,'Jon Ossoff'!C239)))&gt;0)</f>
        <v>1</v>
      </c>
      <c r="Y239" s="14" cm="1">
        <f t="array" ref="Y239">INT(SUMPRODUCT(--ISNUMBER(SEARCH(democrattrigger,'Jon Ossoff'!C239)))&gt;0)</f>
        <v>0</v>
      </c>
      <c r="Z239" s="14" cm="1">
        <f t="array" ref="Z239">INT(SUMPRODUCT(--ISNUMBER(SEARCH(bipartisan,'Jon Ossoff'!C239)))&gt;0)</f>
        <v>0</v>
      </c>
      <c r="AA239" s="14">
        <f t="shared" si="3"/>
        <v>0</v>
      </c>
      <c r="AB239" s="14"/>
      <c r="AC239" s="30">
        <v>1</v>
      </c>
      <c r="AD239" s="37">
        <v>0</v>
      </c>
    </row>
    <row r="240" spans="1:30" x14ac:dyDescent="0.25">
      <c r="A240" s="36">
        <v>750</v>
      </c>
      <c r="B240" s="14" t="s">
        <v>1527</v>
      </c>
      <c r="C240" s="31" t="s">
        <v>1528</v>
      </c>
      <c r="D240" s="17">
        <v>44111</v>
      </c>
      <c r="E240" s="14" t="s">
        <v>30</v>
      </c>
      <c r="F240" s="14">
        <v>607</v>
      </c>
      <c r="G240" s="14">
        <v>292</v>
      </c>
      <c r="H240" s="14">
        <v>4</v>
      </c>
      <c r="I240" s="14">
        <v>2</v>
      </c>
      <c r="J240" s="14" t="s">
        <v>204</v>
      </c>
      <c r="K240" s="14" cm="1">
        <f t="array" ref="K240">INT(SUMPRODUCT(--ISNUMBER(SEARCH(economy,'Jon Ossoff'!C240)))&gt;0)</f>
        <v>0</v>
      </c>
      <c r="L240" s="14" cm="1">
        <f t="array" ref="L240">INT(SUMPRODUCT(--ISNUMBER(SEARCH(healthcare,'Jon Ossoff'!C240)))&gt;0)</f>
        <v>0</v>
      </c>
      <c r="M240" s="14" cm="1">
        <f t="array" ref="M240">INT(SUMPRODUCT(--ISNUMBER(SEARCH(supreme,'Jon Ossoff'!C240)))&gt;0)</f>
        <v>1</v>
      </c>
      <c r="N240" s="14" cm="1">
        <f t="array" ref="N240">INT(SUMPRODUCT(--ISNUMBER(SEARCH(covid,'Jon Ossoff'!C240)))&gt;0)</f>
        <v>1</v>
      </c>
      <c r="O240" s="14" cm="1">
        <f t="array" ref="O240">INT(SUMPRODUCT(--ISNUMBER(SEARCH(violent,'Jon Ossoff'!C240)))&gt;0)</f>
        <v>0</v>
      </c>
      <c r="P240" s="14" cm="1">
        <f t="array" ref="P240">INT(SUMPRODUCT(--ISNUMBER(SEARCH(foreign,'Jon Ossoff'!C240)))&gt;0)</f>
        <v>0</v>
      </c>
      <c r="Q240" s="14" cm="1">
        <f t="array" ref="Q240">INT(SUMPRODUCT(--ISNUMBER(SEARCH(gun,'Jon Ossoff'!C240)))&gt;0)</f>
        <v>0</v>
      </c>
      <c r="R240" s="14" cm="1">
        <f t="array" ref="R240">INT(SUMPRODUCT(--ISNUMBER(SEARCH(race,'Jon Ossoff'!C240)))&gt;0)</f>
        <v>0</v>
      </c>
      <c r="S240" s="14" cm="1">
        <f t="array" ref="S240">INT(SUMPRODUCT(--ISNUMBER(SEARCH(immigration,C240)))&gt;0)</f>
        <v>0</v>
      </c>
      <c r="T240" s="14" cm="1">
        <f t="array" ref="T240">INT(SUMPRODUCT(--ISNUMBER(SEARCH(econineq,C240)))&gt;0)</f>
        <v>0</v>
      </c>
      <c r="U240" s="14" cm="1">
        <f t="array" ref="U240">INT(SUMPRODUCT(--ISNUMBER(SEARCH(climate,'Jon Ossoff'!C240)))&gt;0)</f>
        <v>0</v>
      </c>
      <c r="V240" s="14" cm="1">
        <f t="array" ref="V240">INT(SUMPRODUCT(--ISNUMBER(SEARCH(abortion,'Jon Ossoff'!C240)))&gt;0)</f>
        <v>0</v>
      </c>
      <c r="W240" s="14" cm="1">
        <f t="array" ref="W240">INT(SUMPRODUCT(--ISNUMBER(SEARCH(trump,'Jon Ossoff'!C240)))&gt;0)</f>
        <v>0</v>
      </c>
      <c r="X240" s="14" cm="1">
        <f t="array" ref="X240">INT(SUMPRODUCT(--ISNUMBER(SEARCH(voting,'Jon Ossoff'!C240)))&gt;0)</f>
        <v>0</v>
      </c>
      <c r="Y240" s="14" cm="1">
        <f t="array" ref="Y240">INT(SUMPRODUCT(--ISNUMBER(SEARCH(democrattrigger,'Jon Ossoff'!C240)))&gt;0)</f>
        <v>1</v>
      </c>
      <c r="Z240" s="14" cm="1">
        <f t="array" ref="Z240">INT(SUMPRODUCT(--ISNUMBER(SEARCH(bipartisan,'Jon Ossoff'!C240)))&gt;0)</f>
        <v>0</v>
      </c>
      <c r="AA240" s="14">
        <f t="shared" si="3"/>
        <v>0</v>
      </c>
      <c r="AB240" s="14"/>
      <c r="AC240" s="30" t="s">
        <v>223</v>
      </c>
      <c r="AD240" s="37" t="s">
        <v>223</v>
      </c>
    </row>
    <row r="241" spans="1:30" x14ac:dyDescent="0.25">
      <c r="A241" s="36">
        <v>751</v>
      </c>
      <c r="B241" s="14" t="s">
        <v>1529</v>
      </c>
      <c r="C241" s="31" t="s">
        <v>1530</v>
      </c>
      <c r="D241" s="17">
        <v>44110</v>
      </c>
      <c r="E241" s="14" t="s">
        <v>30</v>
      </c>
      <c r="F241" s="14">
        <v>716</v>
      </c>
      <c r="G241" s="14">
        <v>279</v>
      </c>
      <c r="H241" s="14">
        <v>4</v>
      </c>
      <c r="I241" s="14">
        <v>2</v>
      </c>
      <c r="J241" s="14" t="s">
        <v>204</v>
      </c>
      <c r="K241" s="14" cm="1">
        <f t="array" ref="K241">INT(SUMPRODUCT(--ISNUMBER(SEARCH(economy,'Jon Ossoff'!C241)))&gt;0)</f>
        <v>1</v>
      </c>
      <c r="L241" s="14" cm="1">
        <f t="array" ref="L241">INT(SUMPRODUCT(--ISNUMBER(SEARCH(healthcare,'Jon Ossoff'!C241)))&gt;0)</f>
        <v>0</v>
      </c>
      <c r="M241" s="14" cm="1">
        <f t="array" ref="M241">INT(SUMPRODUCT(--ISNUMBER(SEARCH(supreme,'Jon Ossoff'!C241)))&gt;0)</f>
        <v>0</v>
      </c>
      <c r="N241" s="14" cm="1">
        <f t="array" ref="N241">INT(SUMPRODUCT(--ISNUMBER(SEARCH(covid,'Jon Ossoff'!C241)))&gt;0)</f>
        <v>1</v>
      </c>
      <c r="O241" s="14" cm="1">
        <f t="array" ref="O241">INT(SUMPRODUCT(--ISNUMBER(SEARCH(violent,'Jon Ossoff'!C241)))&gt;0)</f>
        <v>0</v>
      </c>
      <c r="P241" s="14" cm="1">
        <f t="array" ref="P241">INT(SUMPRODUCT(--ISNUMBER(SEARCH(foreign,'Jon Ossoff'!C241)))&gt;0)</f>
        <v>0</v>
      </c>
      <c r="Q241" s="14" cm="1">
        <f t="array" ref="Q241">INT(SUMPRODUCT(--ISNUMBER(SEARCH(gun,'Jon Ossoff'!C241)))&gt;0)</f>
        <v>0</v>
      </c>
      <c r="R241" s="14" cm="1">
        <f t="array" ref="R241">INT(SUMPRODUCT(--ISNUMBER(SEARCH(race,'Jon Ossoff'!C241)))&gt;0)</f>
        <v>0</v>
      </c>
      <c r="S241" s="14" cm="1">
        <f t="array" ref="S241">INT(SUMPRODUCT(--ISNUMBER(SEARCH(immigration,C241)))&gt;0)</f>
        <v>0</v>
      </c>
      <c r="T241" s="14" cm="1">
        <f t="array" ref="T241">INT(SUMPRODUCT(--ISNUMBER(SEARCH(econineq,C241)))&gt;0)</f>
        <v>0</v>
      </c>
      <c r="U241" s="14" cm="1">
        <f t="array" ref="U241">INT(SUMPRODUCT(--ISNUMBER(SEARCH(climate,'Jon Ossoff'!C241)))&gt;0)</f>
        <v>0</v>
      </c>
      <c r="V241" s="14" cm="1">
        <f t="array" ref="V241">INT(SUMPRODUCT(--ISNUMBER(SEARCH(abortion,'Jon Ossoff'!C241)))&gt;0)</f>
        <v>0</v>
      </c>
      <c r="W241" s="14" cm="1">
        <f t="array" ref="W241">INT(SUMPRODUCT(--ISNUMBER(SEARCH(trump,'Jon Ossoff'!C241)))&gt;0)</f>
        <v>1</v>
      </c>
      <c r="X241" s="14" cm="1">
        <f t="array" ref="X241">INT(SUMPRODUCT(--ISNUMBER(SEARCH(voting,'Jon Ossoff'!C241)))&gt;0)</f>
        <v>1</v>
      </c>
      <c r="Y241" s="14" cm="1">
        <f t="array" ref="Y241">INT(SUMPRODUCT(--ISNUMBER(SEARCH(democrattrigger,'Jon Ossoff'!C241)))&gt;0)</f>
        <v>1</v>
      </c>
      <c r="Z241" s="14" cm="1">
        <f t="array" ref="Z241">INT(SUMPRODUCT(--ISNUMBER(SEARCH(bipartisan,'Jon Ossoff'!C241)))&gt;0)</f>
        <v>0</v>
      </c>
      <c r="AA241" s="14">
        <f t="shared" si="3"/>
        <v>0</v>
      </c>
      <c r="AB241" s="14"/>
      <c r="AC241" s="30" t="s">
        <v>223</v>
      </c>
      <c r="AD241" s="37" t="s">
        <v>223</v>
      </c>
    </row>
    <row r="242" spans="1:30" x14ac:dyDescent="0.25">
      <c r="A242" s="36">
        <v>752</v>
      </c>
      <c r="B242" s="14" t="s">
        <v>1531</v>
      </c>
      <c r="C242" s="31" t="s">
        <v>1532</v>
      </c>
      <c r="D242" s="17">
        <v>44110</v>
      </c>
      <c r="E242" s="14" t="s">
        <v>30</v>
      </c>
      <c r="F242" s="14">
        <v>902</v>
      </c>
      <c r="G242" s="14">
        <v>471</v>
      </c>
      <c r="H242" s="14">
        <v>4</v>
      </c>
      <c r="I242" s="14">
        <v>2</v>
      </c>
      <c r="J242" s="14" t="s">
        <v>204</v>
      </c>
      <c r="K242" s="14" cm="1">
        <f t="array" ref="K242">INT(SUMPRODUCT(--ISNUMBER(SEARCH(economy,'Jon Ossoff'!C242)))&gt;0)</f>
        <v>0</v>
      </c>
      <c r="L242" s="14" cm="1">
        <f t="array" ref="L242">INT(SUMPRODUCT(--ISNUMBER(SEARCH(healthcare,'Jon Ossoff'!C242)))&gt;0)</f>
        <v>0</v>
      </c>
      <c r="M242" s="14" cm="1">
        <f t="array" ref="M242">INT(SUMPRODUCT(--ISNUMBER(SEARCH(supreme,'Jon Ossoff'!C242)))&gt;0)</f>
        <v>0</v>
      </c>
      <c r="N242" s="14" cm="1">
        <f t="array" ref="N242">INT(SUMPRODUCT(--ISNUMBER(SEARCH(covid,'Jon Ossoff'!C242)))&gt;0)</f>
        <v>1</v>
      </c>
      <c r="O242" s="14" cm="1">
        <f t="array" ref="O242">INT(SUMPRODUCT(--ISNUMBER(SEARCH(violent,'Jon Ossoff'!C242)))&gt;0)</f>
        <v>0</v>
      </c>
      <c r="P242" s="14" cm="1">
        <f t="array" ref="P242">INT(SUMPRODUCT(--ISNUMBER(SEARCH(foreign,'Jon Ossoff'!C242)))&gt;0)</f>
        <v>0</v>
      </c>
      <c r="Q242" s="14" cm="1">
        <f t="array" ref="Q242">INT(SUMPRODUCT(--ISNUMBER(SEARCH(gun,'Jon Ossoff'!C242)))&gt;0)</f>
        <v>0</v>
      </c>
      <c r="R242" s="14" cm="1">
        <f t="array" ref="R242">INT(SUMPRODUCT(--ISNUMBER(SEARCH(race,'Jon Ossoff'!C242)))&gt;0)</f>
        <v>0</v>
      </c>
      <c r="S242" s="14" cm="1">
        <f t="array" ref="S242">INT(SUMPRODUCT(--ISNUMBER(SEARCH(immigration,C242)))&gt;0)</f>
        <v>0</v>
      </c>
      <c r="T242" s="14" cm="1">
        <f t="array" ref="T242">INT(SUMPRODUCT(--ISNUMBER(SEARCH(econineq,C242)))&gt;0)</f>
        <v>0</v>
      </c>
      <c r="U242" s="14" cm="1">
        <f t="array" ref="U242">INT(SUMPRODUCT(--ISNUMBER(SEARCH(climate,'Jon Ossoff'!C242)))&gt;0)</f>
        <v>0</v>
      </c>
      <c r="V242" s="14" cm="1">
        <f t="array" ref="V242">INT(SUMPRODUCT(--ISNUMBER(SEARCH(abortion,'Jon Ossoff'!C242)))&gt;0)</f>
        <v>0</v>
      </c>
      <c r="W242" s="14" cm="1">
        <f t="array" ref="W242">INT(SUMPRODUCT(--ISNUMBER(SEARCH(trump,'Jon Ossoff'!C242)))&gt;0)</f>
        <v>0</v>
      </c>
      <c r="X242" s="14" cm="1">
        <f t="array" ref="X242">INT(SUMPRODUCT(--ISNUMBER(SEARCH(voting,'Jon Ossoff'!C242)))&gt;0)</f>
        <v>0</v>
      </c>
      <c r="Y242" s="14" cm="1">
        <f t="array" ref="Y242">INT(SUMPRODUCT(--ISNUMBER(SEARCH(democrattrigger,'Jon Ossoff'!C242)))&gt;0)</f>
        <v>1</v>
      </c>
      <c r="Z242" s="14" cm="1">
        <f t="array" ref="Z242">INT(SUMPRODUCT(--ISNUMBER(SEARCH(bipartisan,'Jon Ossoff'!C242)))&gt;0)</f>
        <v>0</v>
      </c>
      <c r="AA242" s="14">
        <f t="shared" si="3"/>
        <v>0</v>
      </c>
      <c r="AB242" s="14"/>
      <c r="AC242" s="30">
        <v>0</v>
      </c>
      <c r="AD242" s="37">
        <v>1</v>
      </c>
    </row>
    <row r="243" spans="1:30" x14ac:dyDescent="0.25">
      <c r="A243" s="36">
        <v>753</v>
      </c>
      <c r="B243" s="14" t="s">
        <v>1533</v>
      </c>
      <c r="C243" s="31" t="s">
        <v>1534</v>
      </c>
      <c r="D243" s="17">
        <v>44110</v>
      </c>
      <c r="E243" s="14" t="s">
        <v>30</v>
      </c>
      <c r="F243" s="14">
        <v>195</v>
      </c>
      <c r="G243" s="14">
        <v>64</v>
      </c>
      <c r="H243" s="14">
        <v>4</v>
      </c>
      <c r="I243" s="14">
        <v>2</v>
      </c>
      <c r="J243" s="14" t="s">
        <v>204</v>
      </c>
      <c r="K243" s="14" cm="1">
        <f t="array" ref="K243">INT(SUMPRODUCT(--ISNUMBER(SEARCH(economy,'Jon Ossoff'!C243)))&gt;0)</f>
        <v>0</v>
      </c>
      <c r="L243" s="14" cm="1">
        <f t="array" ref="L243">INT(SUMPRODUCT(--ISNUMBER(SEARCH(healthcare,'Jon Ossoff'!C243)))&gt;0)</f>
        <v>0</v>
      </c>
      <c r="M243" s="14" cm="1">
        <f t="array" ref="M243">INT(SUMPRODUCT(--ISNUMBER(SEARCH(supreme,'Jon Ossoff'!C243)))&gt;0)</f>
        <v>0</v>
      </c>
      <c r="N243" s="14" cm="1">
        <f t="array" ref="N243">INT(SUMPRODUCT(--ISNUMBER(SEARCH(covid,'Jon Ossoff'!C243)))&gt;0)</f>
        <v>0</v>
      </c>
      <c r="O243" s="14" cm="1">
        <f t="array" ref="O243">INT(SUMPRODUCT(--ISNUMBER(SEARCH(violent,'Jon Ossoff'!C243)))&gt;0)</f>
        <v>0</v>
      </c>
      <c r="P243" s="14" cm="1">
        <f t="array" ref="P243">INT(SUMPRODUCT(--ISNUMBER(SEARCH(foreign,'Jon Ossoff'!C243)))&gt;0)</f>
        <v>0</v>
      </c>
      <c r="Q243" s="14" cm="1">
        <f t="array" ref="Q243">INT(SUMPRODUCT(--ISNUMBER(SEARCH(gun,'Jon Ossoff'!C243)))&gt;0)</f>
        <v>0</v>
      </c>
      <c r="R243" s="14" cm="1">
        <f t="array" ref="R243">INT(SUMPRODUCT(--ISNUMBER(SEARCH(race,'Jon Ossoff'!C243)))&gt;0)</f>
        <v>0</v>
      </c>
      <c r="S243" s="14" cm="1">
        <f t="array" ref="S243">INT(SUMPRODUCT(--ISNUMBER(SEARCH(immigration,C243)))&gt;0)</f>
        <v>0</v>
      </c>
      <c r="T243" s="14" cm="1">
        <f t="array" ref="T243">INT(SUMPRODUCT(--ISNUMBER(SEARCH(econineq,C243)))&gt;0)</f>
        <v>0</v>
      </c>
      <c r="U243" s="14" cm="1">
        <f t="array" ref="U243">INT(SUMPRODUCT(--ISNUMBER(SEARCH(climate,'Jon Ossoff'!C243)))&gt;0)</f>
        <v>0</v>
      </c>
      <c r="V243" s="14" cm="1">
        <f t="array" ref="V243">INT(SUMPRODUCT(--ISNUMBER(SEARCH(abortion,'Jon Ossoff'!C243)))&gt;0)</f>
        <v>0</v>
      </c>
      <c r="W243" s="14" cm="1">
        <f t="array" ref="W243">INT(SUMPRODUCT(--ISNUMBER(SEARCH(trump,'Jon Ossoff'!C243)))&gt;0)</f>
        <v>0</v>
      </c>
      <c r="X243" s="14" cm="1">
        <f t="array" ref="X243">INT(SUMPRODUCT(--ISNUMBER(SEARCH(voting,'Jon Ossoff'!C243)))&gt;0)</f>
        <v>0</v>
      </c>
      <c r="Y243" s="14" cm="1">
        <f t="array" ref="Y243">INT(SUMPRODUCT(--ISNUMBER(SEARCH(democrattrigger,'Jon Ossoff'!C243)))&gt;0)</f>
        <v>0</v>
      </c>
      <c r="Z243" s="14" cm="1">
        <f t="array" ref="Z243">INT(SUMPRODUCT(--ISNUMBER(SEARCH(bipartisan,'Jon Ossoff'!C243)))&gt;0)</f>
        <v>0</v>
      </c>
      <c r="AA243" s="14">
        <f t="shared" si="3"/>
        <v>1</v>
      </c>
      <c r="AB243" s="14"/>
      <c r="AC243" s="30" t="s">
        <v>223</v>
      </c>
      <c r="AD243" s="37" t="s">
        <v>223</v>
      </c>
    </row>
    <row r="244" spans="1:30" x14ac:dyDescent="0.25">
      <c r="A244" s="36">
        <v>754</v>
      </c>
      <c r="B244" s="14" t="s">
        <v>1535</v>
      </c>
      <c r="C244" s="31" t="s">
        <v>1536</v>
      </c>
      <c r="D244" s="17">
        <v>44109</v>
      </c>
      <c r="E244" s="14" t="s">
        <v>30</v>
      </c>
      <c r="F244" s="14">
        <v>1056</v>
      </c>
      <c r="G244" s="14">
        <v>310</v>
      </c>
      <c r="H244" s="14">
        <v>4</v>
      </c>
      <c r="I244" s="14">
        <v>2</v>
      </c>
      <c r="J244" s="14" t="s">
        <v>204</v>
      </c>
      <c r="K244" s="14" cm="1">
        <f t="array" ref="K244">INT(SUMPRODUCT(--ISNUMBER(SEARCH(economy,'Jon Ossoff'!C244)))&gt;0)</f>
        <v>0</v>
      </c>
      <c r="L244" s="14" cm="1">
        <f t="array" ref="L244">INT(SUMPRODUCT(--ISNUMBER(SEARCH(healthcare,'Jon Ossoff'!C244)))&gt;0)</f>
        <v>0</v>
      </c>
      <c r="M244" s="14" cm="1">
        <f t="array" ref="M244">INT(SUMPRODUCT(--ISNUMBER(SEARCH(supreme,'Jon Ossoff'!C244)))&gt;0)</f>
        <v>0</v>
      </c>
      <c r="N244" s="14" cm="1">
        <f t="array" ref="N244">INT(SUMPRODUCT(--ISNUMBER(SEARCH(covid,'Jon Ossoff'!C244)))&gt;0)</f>
        <v>0</v>
      </c>
      <c r="O244" s="14" cm="1">
        <f t="array" ref="O244">INT(SUMPRODUCT(--ISNUMBER(SEARCH(violent,'Jon Ossoff'!C244)))&gt;0)</f>
        <v>0</v>
      </c>
      <c r="P244" s="14" cm="1">
        <f t="array" ref="P244">INT(SUMPRODUCT(--ISNUMBER(SEARCH(foreign,'Jon Ossoff'!C244)))&gt;0)</f>
        <v>0</v>
      </c>
      <c r="Q244" s="14" cm="1">
        <f t="array" ref="Q244">INT(SUMPRODUCT(--ISNUMBER(SEARCH(gun,'Jon Ossoff'!C244)))&gt;0)</f>
        <v>0</v>
      </c>
      <c r="R244" s="14" cm="1">
        <f t="array" ref="R244">INT(SUMPRODUCT(--ISNUMBER(SEARCH(race,'Jon Ossoff'!C244)))&gt;0)</f>
        <v>0</v>
      </c>
      <c r="S244" s="14" cm="1">
        <f t="array" ref="S244">INT(SUMPRODUCT(--ISNUMBER(SEARCH(immigration,C244)))&gt;0)</f>
        <v>0</v>
      </c>
      <c r="T244" s="14" cm="1">
        <f t="array" ref="T244">INT(SUMPRODUCT(--ISNUMBER(SEARCH(econineq,C244)))&gt;0)</f>
        <v>0</v>
      </c>
      <c r="U244" s="14" cm="1">
        <f t="array" ref="U244">INT(SUMPRODUCT(--ISNUMBER(SEARCH(climate,'Jon Ossoff'!C244)))&gt;0)</f>
        <v>0</v>
      </c>
      <c r="V244" s="14" cm="1">
        <f t="array" ref="V244">INT(SUMPRODUCT(--ISNUMBER(SEARCH(abortion,'Jon Ossoff'!C244)))&gt;0)</f>
        <v>0</v>
      </c>
      <c r="W244" s="14" cm="1">
        <f t="array" ref="W244">INT(SUMPRODUCT(--ISNUMBER(SEARCH(trump,'Jon Ossoff'!C244)))&gt;0)</f>
        <v>0</v>
      </c>
      <c r="X244" s="14" cm="1">
        <f t="array" ref="X244">INT(SUMPRODUCT(--ISNUMBER(SEARCH(voting,'Jon Ossoff'!C244)))&gt;0)</f>
        <v>1</v>
      </c>
      <c r="Y244" s="14" cm="1">
        <f t="array" ref="Y244">INT(SUMPRODUCT(--ISNUMBER(SEARCH(democrattrigger,'Jon Ossoff'!C244)))&gt;0)</f>
        <v>0</v>
      </c>
      <c r="Z244" s="14" cm="1">
        <f t="array" ref="Z244">INT(SUMPRODUCT(--ISNUMBER(SEARCH(bipartisan,'Jon Ossoff'!C244)))&gt;0)</f>
        <v>0</v>
      </c>
      <c r="AA244" s="14">
        <f t="shared" si="3"/>
        <v>0</v>
      </c>
      <c r="AB244" s="14"/>
      <c r="AC244" s="30">
        <v>0</v>
      </c>
      <c r="AD244" s="37">
        <v>1</v>
      </c>
    </row>
    <row r="245" spans="1:30" x14ac:dyDescent="0.25">
      <c r="A245" s="36">
        <v>755</v>
      </c>
      <c r="B245" s="14" t="s">
        <v>1537</v>
      </c>
      <c r="C245" s="31" t="s">
        <v>1538</v>
      </c>
      <c r="D245" s="17">
        <v>44109</v>
      </c>
      <c r="E245" s="14" t="s">
        <v>30</v>
      </c>
      <c r="F245" s="14">
        <v>336</v>
      </c>
      <c r="G245" s="14">
        <v>128</v>
      </c>
      <c r="H245" s="14">
        <v>4</v>
      </c>
      <c r="I245" s="14">
        <v>2</v>
      </c>
      <c r="J245" s="14" t="s">
        <v>204</v>
      </c>
      <c r="K245" s="14" cm="1">
        <f t="array" ref="K245">INT(SUMPRODUCT(--ISNUMBER(SEARCH(economy,'Jon Ossoff'!C245)))&gt;0)</f>
        <v>0</v>
      </c>
      <c r="L245" s="14" cm="1">
        <f t="array" ref="L245">INT(SUMPRODUCT(--ISNUMBER(SEARCH(healthcare,'Jon Ossoff'!C245)))&gt;0)</f>
        <v>0</v>
      </c>
      <c r="M245" s="14" cm="1">
        <f t="array" ref="M245">INT(SUMPRODUCT(--ISNUMBER(SEARCH(supreme,'Jon Ossoff'!C245)))&gt;0)</f>
        <v>0</v>
      </c>
      <c r="N245" s="14" cm="1">
        <f t="array" ref="N245">INT(SUMPRODUCT(--ISNUMBER(SEARCH(covid,'Jon Ossoff'!C245)))&gt;0)</f>
        <v>0</v>
      </c>
      <c r="O245" s="14" cm="1">
        <f t="array" ref="O245">INT(SUMPRODUCT(--ISNUMBER(SEARCH(violent,'Jon Ossoff'!C245)))&gt;0)</f>
        <v>0</v>
      </c>
      <c r="P245" s="14" cm="1">
        <f t="array" ref="P245">INT(SUMPRODUCT(--ISNUMBER(SEARCH(foreign,'Jon Ossoff'!C245)))&gt;0)</f>
        <v>0</v>
      </c>
      <c r="Q245" s="14" cm="1">
        <f t="array" ref="Q245">INT(SUMPRODUCT(--ISNUMBER(SEARCH(gun,'Jon Ossoff'!C245)))&gt;0)</f>
        <v>0</v>
      </c>
      <c r="R245" s="14" cm="1">
        <f t="array" ref="R245">INT(SUMPRODUCT(--ISNUMBER(SEARCH(race,'Jon Ossoff'!C245)))&gt;0)</f>
        <v>0</v>
      </c>
      <c r="S245" s="14" cm="1">
        <f t="array" ref="S245">INT(SUMPRODUCT(--ISNUMBER(SEARCH(immigration,C245)))&gt;0)</f>
        <v>0</v>
      </c>
      <c r="T245" s="14" cm="1">
        <f t="array" ref="T245">INT(SUMPRODUCT(--ISNUMBER(SEARCH(econineq,C245)))&gt;0)</f>
        <v>0</v>
      </c>
      <c r="U245" s="14" cm="1">
        <f t="array" ref="U245">INT(SUMPRODUCT(--ISNUMBER(SEARCH(climate,'Jon Ossoff'!C245)))&gt;0)</f>
        <v>0</v>
      </c>
      <c r="V245" s="14" cm="1">
        <f t="array" ref="V245">INT(SUMPRODUCT(--ISNUMBER(SEARCH(abortion,'Jon Ossoff'!C245)))&gt;0)</f>
        <v>0</v>
      </c>
      <c r="W245" s="14" cm="1">
        <f t="array" ref="W245">INT(SUMPRODUCT(--ISNUMBER(SEARCH(trump,'Jon Ossoff'!C245)))&gt;0)</f>
        <v>0</v>
      </c>
      <c r="X245" s="14" cm="1">
        <f t="array" ref="X245">INT(SUMPRODUCT(--ISNUMBER(SEARCH(voting,'Jon Ossoff'!C245)))&gt;0)</f>
        <v>0</v>
      </c>
      <c r="Y245" s="14" cm="1">
        <f t="array" ref="Y245">INT(SUMPRODUCT(--ISNUMBER(SEARCH(democrattrigger,'Jon Ossoff'!C245)))&gt;0)</f>
        <v>0</v>
      </c>
      <c r="Z245" s="14" cm="1">
        <f t="array" ref="Z245">INT(SUMPRODUCT(--ISNUMBER(SEARCH(bipartisan,'Jon Ossoff'!C245)))&gt;0)</f>
        <v>0</v>
      </c>
      <c r="AA245" s="14">
        <f t="shared" si="3"/>
        <v>1</v>
      </c>
      <c r="AB245" s="14"/>
      <c r="AC245" s="30">
        <v>0</v>
      </c>
      <c r="AD245" s="37">
        <v>1</v>
      </c>
    </row>
    <row r="246" spans="1:30" x14ac:dyDescent="0.25">
      <c r="A246" s="36">
        <v>756</v>
      </c>
      <c r="B246" s="14" t="s">
        <v>1539</v>
      </c>
      <c r="C246" s="31" t="s">
        <v>1540</v>
      </c>
      <c r="D246" s="17">
        <v>44109</v>
      </c>
      <c r="E246" s="14" t="s">
        <v>30</v>
      </c>
      <c r="F246" s="14">
        <v>429</v>
      </c>
      <c r="G246" s="14">
        <v>152</v>
      </c>
      <c r="H246" s="14">
        <v>4</v>
      </c>
      <c r="I246" s="14">
        <v>2</v>
      </c>
      <c r="J246" s="14" t="s">
        <v>204</v>
      </c>
      <c r="K246" s="14" cm="1">
        <f t="array" ref="K246">INT(SUMPRODUCT(--ISNUMBER(SEARCH(economy,'Jon Ossoff'!C246)))&gt;0)</f>
        <v>0</v>
      </c>
      <c r="L246" s="14" cm="1">
        <f t="array" ref="L246">INT(SUMPRODUCT(--ISNUMBER(SEARCH(healthcare,'Jon Ossoff'!C246)))&gt;0)</f>
        <v>0</v>
      </c>
      <c r="M246" s="14" cm="1">
        <f t="array" ref="M246">INT(SUMPRODUCT(--ISNUMBER(SEARCH(supreme,'Jon Ossoff'!C246)))&gt;0)</f>
        <v>0</v>
      </c>
      <c r="N246" s="14" cm="1">
        <f t="array" ref="N246">INT(SUMPRODUCT(--ISNUMBER(SEARCH(covid,'Jon Ossoff'!C246)))&gt;0)</f>
        <v>0</v>
      </c>
      <c r="O246" s="14" cm="1">
        <f t="array" ref="O246">INT(SUMPRODUCT(--ISNUMBER(SEARCH(violent,'Jon Ossoff'!C246)))&gt;0)</f>
        <v>0</v>
      </c>
      <c r="P246" s="14" cm="1">
        <f t="array" ref="P246">INT(SUMPRODUCT(--ISNUMBER(SEARCH(foreign,'Jon Ossoff'!C246)))&gt;0)</f>
        <v>0</v>
      </c>
      <c r="Q246" s="14" cm="1">
        <f t="array" ref="Q246">INT(SUMPRODUCT(--ISNUMBER(SEARCH(gun,'Jon Ossoff'!C246)))&gt;0)</f>
        <v>0</v>
      </c>
      <c r="R246" s="14" cm="1">
        <f t="array" ref="R246">INT(SUMPRODUCT(--ISNUMBER(SEARCH(race,'Jon Ossoff'!C246)))&gt;0)</f>
        <v>0</v>
      </c>
      <c r="S246" s="14" cm="1">
        <f t="array" ref="S246">INT(SUMPRODUCT(--ISNUMBER(SEARCH(immigration,C246)))&gt;0)</f>
        <v>0</v>
      </c>
      <c r="T246" s="14" cm="1">
        <f t="array" ref="T246">INT(SUMPRODUCT(--ISNUMBER(SEARCH(econineq,C246)))&gt;0)</f>
        <v>0</v>
      </c>
      <c r="U246" s="14" cm="1">
        <f t="array" ref="U246">INT(SUMPRODUCT(--ISNUMBER(SEARCH(climate,'Jon Ossoff'!C246)))&gt;0)</f>
        <v>0</v>
      </c>
      <c r="V246" s="14" cm="1">
        <f t="array" ref="V246">INT(SUMPRODUCT(--ISNUMBER(SEARCH(abortion,'Jon Ossoff'!C246)))&gt;0)</f>
        <v>0</v>
      </c>
      <c r="W246" s="14" cm="1">
        <f t="array" ref="W246">INT(SUMPRODUCT(--ISNUMBER(SEARCH(trump,'Jon Ossoff'!C246)))&gt;0)</f>
        <v>0</v>
      </c>
      <c r="X246" s="14" cm="1">
        <f t="array" ref="X246">INT(SUMPRODUCT(--ISNUMBER(SEARCH(voting,'Jon Ossoff'!C246)))&gt;0)</f>
        <v>1</v>
      </c>
      <c r="Y246" s="14" cm="1">
        <f t="array" ref="Y246">INT(SUMPRODUCT(--ISNUMBER(SEARCH(democrattrigger,'Jon Ossoff'!C246)))&gt;0)</f>
        <v>1</v>
      </c>
      <c r="Z246" s="14" cm="1">
        <f t="array" ref="Z246">INT(SUMPRODUCT(--ISNUMBER(SEARCH(bipartisan,'Jon Ossoff'!C246)))&gt;0)</f>
        <v>0</v>
      </c>
      <c r="AA246" s="14">
        <f t="shared" si="3"/>
        <v>0</v>
      </c>
      <c r="AB246" s="14"/>
      <c r="AC246" s="30">
        <v>1</v>
      </c>
      <c r="AD246" s="37">
        <v>0</v>
      </c>
    </row>
    <row r="247" spans="1:30" x14ac:dyDescent="0.25">
      <c r="A247" s="36">
        <v>757</v>
      </c>
      <c r="B247" s="14" t="s">
        <v>1541</v>
      </c>
      <c r="C247" s="31" t="s">
        <v>1542</v>
      </c>
      <c r="D247" s="17">
        <v>44109</v>
      </c>
      <c r="E247" s="14" t="s">
        <v>70</v>
      </c>
      <c r="F247" s="14">
        <v>556</v>
      </c>
      <c r="G247" s="14">
        <v>347</v>
      </c>
      <c r="H247" s="14">
        <v>4</v>
      </c>
      <c r="I247" s="14">
        <v>2</v>
      </c>
      <c r="J247" s="14" t="s">
        <v>204</v>
      </c>
      <c r="K247" s="14" cm="1">
        <f t="array" ref="K247">INT(SUMPRODUCT(--ISNUMBER(SEARCH(economy,'Jon Ossoff'!C247)))&gt;0)</f>
        <v>0</v>
      </c>
      <c r="L247" s="14" cm="1">
        <f t="array" ref="L247">INT(SUMPRODUCT(--ISNUMBER(SEARCH(healthcare,'Jon Ossoff'!C247)))&gt;0)</f>
        <v>0</v>
      </c>
      <c r="M247" s="14" cm="1">
        <f t="array" ref="M247">INT(SUMPRODUCT(--ISNUMBER(SEARCH(supreme,'Jon Ossoff'!C247)))&gt;0)</f>
        <v>0</v>
      </c>
      <c r="N247" s="14" cm="1">
        <f t="array" ref="N247">INT(SUMPRODUCT(--ISNUMBER(SEARCH(covid,'Jon Ossoff'!C247)))&gt;0)</f>
        <v>0</v>
      </c>
      <c r="O247" s="14" cm="1">
        <f t="array" ref="O247">INT(SUMPRODUCT(--ISNUMBER(SEARCH(violent,'Jon Ossoff'!C247)))&gt;0)</f>
        <v>0</v>
      </c>
      <c r="P247" s="14" cm="1">
        <f t="array" ref="P247">INT(SUMPRODUCT(--ISNUMBER(SEARCH(foreign,'Jon Ossoff'!C247)))&gt;0)</f>
        <v>0</v>
      </c>
      <c r="Q247" s="14" cm="1">
        <f t="array" ref="Q247">INT(SUMPRODUCT(--ISNUMBER(SEARCH(gun,'Jon Ossoff'!C247)))&gt;0)</f>
        <v>0</v>
      </c>
      <c r="R247" s="14" cm="1">
        <f t="array" ref="R247">INT(SUMPRODUCT(--ISNUMBER(SEARCH(race,'Jon Ossoff'!C247)))&gt;0)</f>
        <v>0</v>
      </c>
      <c r="S247" s="14" cm="1">
        <f t="array" ref="S247">INT(SUMPRODUCT(--ISNUMBER(SEARCH(immigration,C247)))&gt;0)</f>
        <v>0</v>
      </c>
      <c r="T247" s="14" cm="1">
        <f t="array" ref="T247">INT(SUMPRODUCT(--ISNUMBER(SEARCH(econineq,C247)))&gt;0)</f>
        <v>0</v>
      </c>
      <c r="U247" s="14" cm="1">
        <f t="array" ref="U247">INT(SUMPRODUCT(--ISNUMBER(SEARCH(climate,'Jon Ossoff'!C247)))&gt;0)</f>
        <v>0</v>
      </c>
      <c r="V247" s="14" cm="1">
        <f t="array" ref="V247">INT(SUMPRODUCT(--ISNUMBER(SEARCH(abortion,'Jon Ossoff'!C247)))&gt;0)</f>
        <v>0</v>
      </c>
      <c r="W247" s="14" cm="1">
        <f t="array" ref="W247">INT(SUMPRODUCT(--ISNUMBER(SEARCH(trump,'Jon Ossoff'!C247)))&gt;0)</f>
        <v>0</v>
      </c>
      <c r="X247" s="14" cm="1">
        <f t="array" ref="X247">INT(SUMPRODUCT(--ISNUMBER(SEARCH(voting,'Jon Ossoff'!C247)))&gt;0)</f>
        <v>1</v>
      </c>
      <c r="Y247" s="14" cm="1">
        <f t="array" ref="Y247">INT(SUMPRODUCT(--ISNUMBER(SEARCH(democrattrigger,'Jon Ossoff'!C247)))&gt;0)</f>
        <v>0</v>
      </c>
      <c r="Z247" s="14" cm="1">
        <f t="array" ref="Z247">INT(SUMPRODUCT(--ISNUMBER(SEARCH(bipartisan,'Jon Ossoff'!C247)))&gt;0)</f>
        <v>0</v>
      </c>
      <c r="AA247" s="14">
        <f t="shared" si="3"/>
        <v>0</v>
      </c>
      <c r="AB247" s="14"/>
      <c r="AC247" s="30" t="s">
        <v>223</v>
      </c>
      <c r="AD247" s="37" t="s">
        <v>223</v>
      </c>
    </row>
    <row r="248" spans="1:30" x14ac:dyDescent="0.25">
      <c r="A248" s="36">
        <v>758</v>
      </c>
      <c r="B248" s="14" t="s">
        <v>1543</v>
      </c>
      <c r="C248" s="31" t="s">
        <v>1544</v>
      </c>
      <c r="D248" s="17">
        <v>44109</v>
      </c>
      <c r="E248" s="14" t="s">
        <v>30</v>
      </c>
      <c r="F248" s="14">
        <v>19206</v>
      </c>
      <c r="G248" s="14">
        <v>7670</v>
      </c>
      <c r="H248" s="14">
        <v>4</v>
      </c>
      <c r="I248" s="14">
        <v>2</v>
      </c>
      <c r="J248" s="14" t="s">
        <v>204</v>
      </c>
      <c r="K248" s="14" cm="1">
        <f t="array" ref="K248">INT(SUMPRODUCT(--ISNUMBER(SEARCH(economy,'Jon Ossoff'!C248)))&gt;0)</f>
        <v>0</v>
      </c>
      <c r="L248" s="14" cm="1">
        <f t="array" ref="L248">INT(SUMPRODUCT(--ISNUMBER(SEARCH(healthcare,'Jon Ossoff'!C248)))&gt;0)</f>
        <v>0</v>
      </c>
      <c r="M248" s="14" cm="1">
        <f t="array" ref="M248">INT(SUMPRODUCT(--ISNUMBER(SEARCH(supreme,'Jon Ossoff'!C248)))&gt;0)</f>
        <v>0</v>
      </c>
      <c r="N248" s="14" cm="1">
        <f t="array" ref="N248">INT(SUMPRODUCT(--ISNUMBER(SEARCH(covid,'Jon Ossoff'!C248)))&gt;0)</f>
        <v>0</v>
      </c>
      <c r="O248" s="14" cm="1">
        <f t="array" ref="O248">INT(SUMPRODUCT(--ISNUMBER(SEARCH(violent,'Jon Ossoff'!C248)))&gt;0)</f>
        <v>0</v>
      </c>
      <c r="P248" s="14" cm="1">
        <f t="array" ref="P248">INT(SUMPRODUCT(--ISNUMBER(SEARCH(foreign,'Jon Ossoff'!C248)))&gt;0)</f>
        <v>0</v>
      </c>
      <c r="Q248" s="14" cm="1">
        <f t="array" ref="Q248">INT(SUMPRODUCT(--ISNUMBER(SEARCH(gun,'Jon Ossoff'!C248)))&gt;0)</f>
        <v>0</v>
      </c>
      <c r="R248" s="14" cm="1">
        <f t="array" ref="R248">INT(SUMPRODUCT(--ISNUMBER(SEARCH(race,'Jon Ossoff'!C248)))&gt;0)</f>
        <v>0</v>
      </c>
      <c r="S248" s="14" cm="1">
        <f t="array" ref="S248">INT(SUMPRODUCT(--ISNUMBER(SEARCH(immigration,C248)))&gt;0)</f>
        <v>0</v>
      </c>
      <c r="T248" s="14" cm="1">
        <f t="array" ref="T248">INT(SUMPRODUCT(--ISNUMBER(SEARCH(econineq,C248)))&gt;0)</f>
        <v>0</v>
      </c>
      <c r="U248" s="14" cm="1">
        <f t="array" ref="U248">INT(SUMPRODUCT(--ISNUMBER(SEARCH(climate,'Jon Ossoff'!C248)))&gt;0)</f>
        <v>0</v>
      </c>
      <c r="V248" s="14" cm="1">
        <f t="array" ref="V248">INT(SUMPRODUCT(--ISNUMBER(SEARCH(abortion,'Jon Ossoff'!C248)))&gt;0)</f>
        <v>0</v>
      </c>
      <c r="W248" s="14" cm="1">
        <f t="array" ref="W248">INT(SUMPRODUCT(--ISNUMBER(SEARCH(trump,'Jon Ossoff'!C248)))&gt;0)</f>
        <v>0</v>
      </c>
      <c r="X248" s="14" cm="1">
        <f t="array" ref="X248">INT(SUMPRODUCT(--ISNUMBER(SEARCH(voting,'Jon Ossoff'!C248)))&gt;0)</f>
        <v>1</v>
      </c>
      <c r="Y248" s="14" cm="1">
        <f t="array" ref="Y248">INT(SUMPRODUCT(--ISNUMBER(SEARCH(democrattrigger,'Jon Ossoff'!C248)))&gt;0)</f>
        <v>0</v>
      </c>
      <c r="Z248" s="14" cm="1">
        <f t="array" ref="Z248">INT(SUMPRODUCT(--ISNUMBER(SEARCH(bipartisan,'Jon Ossoff'!C248)))&gt;0)</f>
        <v>0</v>
      </c>
      <c r="AA248" s="14">
        <f t="shared" si="3"/>
        <v>0</v>
      </c>
      <c r="AB248" s="14"/>
      <c r="AC248" s="30" t="s">
        <v>223</v>
      </c>
      <c r="AD248" s="37" t="s">
        <v>223</v>
      </c>
    </row>
    <row r="249" spans="1:30" x14ac:dyDescent="0.25">
      <c r="A249" s="36">
        <v>759</v>
      </c>
      <c r="B249" s="14" t="s">
        <v>1545</v>
      </c>
      <c r="C249" s="31" t="s">
        <v>1546</v>
      </c>
      <c r="D249" s="17">
        <v>44109</v>
      </c>
      <c r="E249" s="14" t="s">
        <v>30</v>
      </c>
      <c r="F249" s="14">
        <v>543</v>
      </c>
      <c r="G249" s="14">
        <v>195</v>
      </c>
      <c r="H249" s="14">
        <v>4</v>
      </c>
      <c r="I249" s="14">
        <v>2</v>
      </c>
      <c r="J249" s="14" t="s">
        <v>204</v>
      </c>
      <c r="K249" s="14" cm="1">
        <f t="array" ref="K249">INT(SUMPRODUCT(--ISNUMBER(SEARCH(economy,'Jon Ossoff'!C249)))&gt;0)</f>
        <v>0</v>
      </c>
      <c r="L249" s="14" cm="1">
        <f t="array" ref="L249">INT(SUMPRODUCT(--ISNUMBER(SEARCH(healthcare,'Jon Ossoff'!C249)))&gt;0)</f>
        <v>0</v>
      </c>
      <c r="M249" s="14" cm="1">
        <f t="array" ref="M249">INT(SUMPRODUCT(--ISNUMBER(SEARCH(supreme,'Jon Ossoff'!C249)))&gt;0)</f>
        <v>0</v>
      </c>
      <c r="N249" s="14" cm="1">
        <f t="array" ref="N249">INT(SUMPRODUCT(--ISNUMBER(SEARCH(covid,'Jon Ossoff'!C249)))&gt;0)</f>
        <v>0</v>
      </c>
      <c r="O249" s="14" cm="1">
        <f t="array" ref="O249">INT(SUMPRODUCT(--ISNUMBER(SEARCH(violent,'Jon Ossoff'!C249)))&gt;0)</f>
        <v>0</v>
      </c>
      <c r="P249" s="14" cm="1">
        <f t="array" ref="P249">INT(SUMPRODUCT(--ISNUMBER(SEARCH(foreign,'Jon Ossoff'!C249)))&gt;0)</f>
        <v>0</v>
      </c>
      <c r="Q249" s="14" cm="1">
        <f t="array" ref="Q249">INT(SUMPRODUCT(--ISNUMBER(SEARCH(gun,'Jon Ossoff'!C249)))&gt;0)</f>
        <v>0</v>
      </c>
      <c r="R249" s="14" cm="1">
        <f t="array" ref="R249">INT(SUMPRODUCT(--ISNUMBER(SEARCH(race,'Jon Ossoff'!C249)))&gt;0)</f>
        <v>0</v>
      </c>
      <c r="S249" s="14" cm="1">
        <f t="array" ref="S249">INT(SUMPRODUCT(--ISNUMBER(SEARCH(immigration,C249)))&gt;0)</f>
        <v>0</v>
      </c>
      <c r="T249" s="14" cm="1">
        <f t="array" ref="T249">INT(SUMPRODUCT(--ISNUMBER(SEARCH(econineq,C249)))&gt;0)</f>
        <v>0</v>
      </c>
      <c r="U249" s="14" cm="1">
        <f t="array" ref="U249">INT(SUMPRODUCT(--ISNUMBER(SEARCH(climate,'Jon Ossoff'!C249)))&gt;0)</f>
        <v>0</v>
      </c>
      <c r="V249" s="14" cm="1">
        <f t="array" ref="V249">INT(SUMPRODUCT(--ISNUMBER(SEARCH(abortion,'Jon Ossoff'!C249)))&gt;0)</f>
        <v>0</v>
      </c>
      <c r="W249" s="14" cm="1">
        <f t="array" ref="W249">INT(SUMPRODUCT(--ISNUMBER(SEARCH(trump,'Jon Ossoff'!C249)))&gt;0)</f>
        <v>0</v>
      </c>
      <c r="X249" s="14" cm="1">
        <f t="array" ref="X249">INT(SUMPRODUCT(--ISNUMBER(SEARCH(voting,'Jon Ossoff'!C249)))&gt;0)</f>
        <v>1</v>
      </c>
      <c r="Y249" s="14" cm="1">
        <f t="array" ref="Y249">INT(SUMPRODUCT(--ISNUMBER(SEARCH(democrattrigger,'Jon Ossoff'!C249)))&gt;0)</f>
        <v>0</v>
      </c>
      <c r="Z249" s="14" cm="1">
        <f t="array" ref="Z249">INT(SUMPRODUCT(--ISNUMBER(SEARCH(bipartisan,'Jon Ossoff'!C249)))&gt;0)</f>
        <v>0</v>
      </c>
      <c r="AA249" s="14">
        <f t="shared" si="3"/>
        <v>0</v>
      </c>
      <c r="AB249" s="14"/>
      <c r="AC249" s="30">
        <v>1</v>
      </c>
      <c r="AD249" s="37">
        <v>0</v>
      </c>
    </row>
    <row r="250" spans="1:30" x14ac:dyDescent="0.25">
      <c r="A250" s="36">
        <v>760</v>
      </c>
      <c r="B250" s="14" t="s">
        <v>1547</v>
      </c>
      <c r="C250" s="31" t="s">
        <v>1548</v>
      </c>
      <c r="D250" s="17">
        <v>44108</v>
      </c>
      <c r="E250" s="14" t="s">
        <v>30</v>
      </c>
      <c r="F250" s="14">
        <v>360</v>
      </c>
      <c r="G250" s="14">
        <v>149</v>
      </c>
      <c r="H250" s="14">
        <v>4</v>
      </c>
      <c r="I250" s="14">
        <v>2</v>
      </c>
      <c r="J250" s="14" t="s">
        <v>204</v>
      </c>
      <c r="K250" s="14" cm="1">
        <f t="array" ref="K250">INT(SUMPRODUCT(--ISNUMBER(SEARCH(economy,'Jon Ossoff'!C250)))&gt;0)</f>
        <v>0</v>
      </c>
      <c r="L250" s="14" cm="1">
        <f t="array" ref="L250">INT(SUMPRODUCT(--ISNUMBER(SEARCH(healthcare,'Jon Ossoff'!C250)))&gt;0)</f>
        <v>1</v>
      </c>
      <c r="M250" s="14" cm="1">
        <f t="array" ref="M250">INT(SUMPRODUCT(--ISNUMBER(SEARCH(supreme,'Jon Ossoff'!C250)))&gt;0)</f>
        <v>0</v>
      </c>
      <c r="N250" s="14" cm="1">
        <f t="array" ref="N250">INT(SUMPRODUCT(--ISNUMBER(SEARCH(covid,'Jon Ossoff'!C250)))&gt;0)</f>
        <v>0</v>
      </c>
      <c r="O250" s="14" cm="1">
        <f t="array" ref="O250">INT(SUMPRODUCT(--ISNUMBER(SEARCH(violent,'Jon Ossoff'!C250)))&gt;0)</f>
        <v>0</v>
      </c>
      <c r="P250" s="14" cm="1">
        <f t="array" ref="P250">INT(SUMPRODUCT(--ISNUMBER(SEARCH(foreign,'Jon Ossoff'!C250)))&gt;0)</f>
        <v>0</v>
      </c>
      <c r="Q250" s="14" cm="1">
        <f t="array" ref="Q250">INT(SUMPRODUCT(--ISNUMBER(SEARCH(gun,'Jon Ossoff'!C250)))&gt;0)</f>
        <v>0</v>
      </c>
      <c r="R250" s="14" cm="1">
        <f t="array" ref="R250">INT(SUMPRODUCT(--ISNUMBER(SEARCH(race,'Jon Ossoff'!C250)))&gt;0)</f>
        <v>0</v>
      </c>
      <c r="S250" s="14" cm="1">
        <f t="array" ref="S250">INT(SUMPRODUCT(--ISNUMBER(SEARCH(immigration,C250)))&gt;0)</f>
        <v>0</v>
      </c>
      <c r="T250" s="14" cm="1">
        <f t="array" ref="T250">INT(SUMPRODUCT(--ISNUMBER(SEARCH(econineq,C250)))&gt;0)</f>
        <v>0</v>
      </c>
      <c r="U250" s="14" cm="1">
        <f t="array" ref="U250">INT(SUMPRODUCT(--ISNUMBER(SEARCH(climate,'Jon Ossoff'!C250)))&gt;0)</f>
        <v>0</v>
      </c>
      <c r="V250" s="14" cm="1">
        <f t="array" ref="V250">INT(SUMPRODUCT(--ISNUMBER(SEARCH(abortion,'Jon Ossoff'!C250)))&gt;0)</f>
        <v>0</v>
      </c>
      <c r="W250" s="14" cm="1">
        <f t="array" ref="W250">INT(SUMPRODUCT(--ISNUMBER(SEARCH(trump,'Jon Ossoff'!C250)))&gt;0)</f>
        <v>0</v>
      </c>
      <c r="X250" s="14" cm="1">
        <f t="array" ref="X250">INT(SUMPRODUCT(--ISNUMBER(SEARCH(voting,'Jon Ossoff'!C250)))&gt;0)</f>
        <v>0</v>
      </c>
      <c r="Y250" s="14" cm="1">
        <f t="array" ref="Y250">INT(SUMPRODUCT(--ISNUMBER(SEARCH(democrattrigger,'Jon Ossoff'!C250)))&gt;0)</f>
        <v>0</v>
      </c>
      <c r="Z250" s="14" cm="1">
        <f t="array" ref="Z250">INT(SUMPRODUCT(--ISNUMBER(SEARCH(bipartisan,'Jon Ossoff'!C250)))&gt;0)</f>
        <v>0</v>
      </c>
      <c r="AA250" s="14">
        <f t="shared" si="3"/>
        <v>0</v>
      </c>
      <c r="AB250" s="14"/>
      <c r="AC250" s="30">
        <v>0</v>
      </c>
      <c r="AD250" s="37">
        <v>1</v>
      </c>
    </row>
    <row r="251" spans="1:30" x14ac:dyDescent="0.25">
      <c r="A251" s="36">
        <v>761</v>
      </c>
      <c r="B251" s="14" t="s">
        <v>1549</v>
      </c>
      <c r="C251" s="31" t="s">
        <v>1550</v>
      </c>
      <c r="D251" s="17">
        <v>44108</v>
      </c>
      <c r="E251" s="14" t="s">
        <v>30</v>
      </c>
      <c r="F251" s="14">
        <v>4585</v>
      </c>
      <c r="G251" s="14">
        <v>3159</v>
      </c>
      <c r="H251" s="14">
        <v>4</v>
      </c>
      <c r="I251" s="14">
        <v>2</v>
      </c>
      <c r="J251" s="14" t="s">
        <v>204</v>
      </c>
      <c r="K251" s="14" cm="1">
        <f t="array" ref="K251">INT(SUMPRODUCT(--ISNUMBER(SEARCH(economy,'Jon Ossoff'!C251)))&gt;0)</f>
        <v>0</v>
      </c>
      <c r="L251" s="14" cm="1">
        <f t="array" ref="L251">INT(SUMPRODUCT(--ISNUMBER(SEARCH(healthcare,'Jon Ossoff'!C251)))&gt;0)</f>
        <v>0</v>
      </c>
      <c r="M251" s="14" cm="1">
        <f t="array" ref="M251">INT(SUMPRODUCT(--ISNUMBER(SEARCH(supreme,'Jon Ossoff'!C251)))&gt;0)</f>
        <v>0</v>
      </c>
      <c r="N251" s="14" cm="1">
        <f t="array" ref="N251">INT(SUMPRODUCT(--ISNUMBER(SEARCH(covid,'Jon Ossoff'!C251)))&gt;0)</f>
        <v>0</v>
      </c>
      <c r="O251" s="14" cm="1">
        <f t="array" ref="O251">INT(SUMPRODUCT(--ISNUMBER(SEARCH(violent,'Jon Ossoff'!C251)))&gt;0)</f>
        <v>0</v>
      </c>
      <c r="P251" s="14" cm="1">
        <f t="array" ref="P251">INT(SUMPRODUCT(--ISNUMBER(SEARCH(foreign,'Jon Ossoff'!C251)))&gt;0)</f>
        <v>0</v>
      </c>
      <c r="Q251" s="14" cm="1">
        <f t="array" ref="Q251">INT(SUMPRODUCT(--ISNUMBER(SEARCH(gun,'Jon Ossoff'!C251)))&gt;0)</f>
        <v>0</v>
      </c>
      <c r="R251" s="14" cm="1">
        <f t="array" ref="R251">INT(SUMPRODUCT(--ISNUMBER(SEARCH(race,'Jon Ossoff'!C251)))&gt;0)</f>
        <v>0</v>
      </c>
      <c r="S251" s="14" cm="1">
        <f t="array" ref="S251">INT(SUMPRODUCT(--ISNUMBER(SEARCH(immigration,C251)))&gt;0)</f>
        <v>0</v>
      </c>
      <c r="T251" s="14" cm="1">
        <f t="array" ref="T251">INT(SUMPRODUCT(--ISNUMBER(SEARCH(econineq,C251)))&gt;0)</f>
        <v>0</v>
      </c>
      <c r="U251" s="14" cm="1">
        <f t="array" ref="U251">INT(SUMPRODUCT(--ISNUMBER(SEARCH(climate,'Jon Ossoff'!C251)))&gt;0)</f>
        <v>0</v>
      </c>
      <c r="V251" s="14" cm="1">
        <f t="array" ref="V251">INT(SUMPRODUCT(--ISNUMBER(SEARCH(abortion,'Jon Ossoff'!C251)))&gt;0)</f>
        <v>0</v>
      </c>
      <c r="W251" s="14" cm="1">
        <f t="array" ref="W251">INT(SUMPRODUCT(--ISNUMBER(SEARCH(trump,'Jon Ossoff'!C251)))&gt;0)</f>
        <v>0</v>
      </c>
      <c r="X251" s="14" cm="1">
        <f t="array" ref="X251">INT(SUMPRODUCT(--ISNUMBER(SEARCH(voting,'Jon Ossoff'!C251)))&gt;0)</f>
        <v>1</v>
      </c>
      <c r="Y251" s="14" cm="1">
        <f t="array" ref="Y251">INT(SUMPRODUCT(--ISNUMBER(SEARCH(democrattrigger,'Jon Ossoff'!C251)))&gt;0)</f>
        <v>0</v>
      </c>
      <c r="Z251" s="14" cm="1">
        <f t="array" ref="Z251">INT(SUMPRODUCT(--ISNUMBER(SEARCH(bipartisan,'Jon Ossoff'!C251)))&gt;0)</f>
        <v>0</v>
      </c>
      <c r="AA251" s="14">
        <f t="shared" si="3"/>
        <v>0</v>
      </c>
      <c r="AB251" s="14"/>
      <c r="AC251" s="30" t="s">
        <v>223</v>
      </c>
      <c r="AD251" s="37" t="s">
        <v>223</v>
      </c>
    </row>
    <row r="252" spans="1:30" x14ac:dyDescent="0.25">
      <c r="A252" s="36">
        <v>762</v>
      </c>
      <c r="B252" s="14" t="s">
        <v>1551</v>
      </c>
      <c r="C252" s="31" t="s">
        <v>1552</v>
      </c>
      <c r="D252" s="17">
        <v>44108</v>
      </c>
      <c r="E252" s="14" t="s">
        <v>30</v>
      </c>
      <c r="F252" s="14">
        <v>1007</v>
      </c>
      <c r="G252" s="14">
        <v>458</v>
      </c>
      <c r="H252" s="14">
        <v>4</v>
      </c>
      <c r="I252" s="14">
        <v>2</v>
      </c>
      <c r="J252" s="14" t="s">
        <v>204</v>
      </c>
      <c r="K252" s="14" cm="1">
        <f t="array" ref="K252">INT(SUMPRODUCT(--ISNUMBER(SEARCH(economy,'Jon Ossoff'!C252)))&gt;0)</f>
        <v>0</v>
      </c>
      <c r="L252" s="14" cm="1">
        <f t="array" ref="L252">INT(SUMPRODUCT(--ISNUMBER(SEARCH(healthcare,'Jon Ossoff'!C252)))&gt;0)</f>
        <v>1</v>
      </c>
      <c r="M252" s="14" cm="1">
        <f t="array" ref="M252">INT(SUMPRODUCT(--ISNUMBER(SEARCH(supreme,'Jon Ossoff'!C252)))&gt;0)</f>
        <v>0</v>
      </c>
      <c r="N252" s="14" cm="1">
        <f t="array" ref="N252">INT(SUMPRODUCT(--ISNUMBER(SEARCH(covid,'Jon Ossoff'!C252)))&gt;0)</f>
        <v>0</v>
      </c>
      <c r="O252" s="14" cm="1">
        <f t="array" ref="O252">INT(SUMPRODUCT(--ISNUMBER(SEARCH(violent,'Jon Ossoff'!C252)))&gt;0)</f>
        <v>0</v>
      </c>
      <c r="P252" s="14" cm="1">
        <f t="array" ref="P252">INT(SUMPRODUCT(--ISNUMBER(SEARCH(foreign,'Jon Ossoff'!C252)))&gt;0)</f>
        <v>0</v>
      </c>
      <c r="Q252" s="14" cm="1">
        <f t="array" ref="Q252">INT(SUMPRODUCT(--ISNUMBER(SEARCH(gun,'Jon Ossoff'!C252)))&gt;0)</f>
        <v>0</v>
      </c>
      <c r="R252" s="14" cm="1">
        <f t="array" ref="R252">INT(SUMPRODUCT(--ISNUMBER(SEARCH(race,'Jon Ossoff'!C252)))&gt;0)</f>
        <v>0</v>
      </c>
      <c r="S252" s="14" cm="1">
        <f t="array" ref="S252">INT(SUMPRODUCT(--ISNUMBER(SEARCH(immigration,C252)))&gt;0)</f>
        <v>0</v>
      </c>
      <c r="T252" s="14" cm="1">
        <f t="array" ref="T252">INT(SUMPRODUCT(--ISNUMBER(SEARCH(econineq,C252)))&gt;0)</f>
        <v>0</v>
      </c>
      <c r="U252" s="14" cm="1">
        <f t="array" ref="U252">INT(SUMPRODUCT(--ISNUMBER(SEARCH(climate,'Jon Ossoff'!C252)))&gt;0)</f>
        <v>0</v>
      </c>
      <c r="V252" s="14" cm="1">
        <f t="array" ref="V252">INT(SUMPRODUCT(--ISNUMBER(SEARCH(abortion,'Jon Ossoff'!C252)))&gt;0)</f>
        <v>0</v>
      </c>
      <c r="W252" s="14" cm="1">
        <f t="array" ref="W252">INT(SUMPRODUCT(--ISNUMBER(SEARCH(trump,'Jon Ossoff'!C252)))&gt;0)</f>
        <v>0</v>
      </c>
      <c r="X252" s="14" cm="1">
        <f t="array" ref="X252">INT(SUMPRODUCT(--ISNUMBER(SEARCH(voting,'Jon Ossoff'!C252)))&gt;0)</f>
        <v>0</v>
      </c>
      <c r="Y252" s="14" cm="1">
        <f t="array" ref="Y252">INT(SUMPRODUCT(--ISNUMBER(SEARCH(democrattrigger,'Jon Ossoff'!C252)))&gt;0)</f>
        <v>1</v>
      </c>
      <c r="Z252" s="14" cm="1">
        <f t="array" ref="Z252">INT(SUMPRODUCT(--ISNUMBER(SEARCH(bipartisan,'Jon Ossoff'!C252)))&gt;0)</f>
        <v>0</v>
      </c>
      <c r="AA252" s="14">
        <f t="shared" si="3"/>
        <v>0</v>
      </c>
      <c r="AB252" s="14"/>
      <c r="AC252" s="30">
        <v>0</v>
      </c>
      <c r="AD252" s="37">
        <v>1</v>
      </c>
    </row>
    <row r="253" spans="1:30" x14ac:dyDescent="0.25">
      <c r="A253" s="36">
        <v>763</v>
      </c>
      <c r="B253" s="14" t="s">
        <v>1553</v>
      </c>
      <c r="C253" s="31" t="s">
        <v>1554</v>
      </c>
      <c r="D253" s="17">
        <v>44107</v>
      </c>
      <c r="E253" s="14" t="s">
        <v>30</v>
      </c>
      <c r="F253" s="14">
        <v>5214</v>
      </c>
      <c r="G253" s="14">
        <v>1588</v>
      </c>
      <c r="H253" s="14">
        <v>4</v>
      </c>
      <c r="I253" s="14">
        <v>2</v>
      </c>
      <c r="J253" s="14" t="s">
        <v>204</v>
      </c>
      <c r="K253" s="14" cm="1">
        <f t="array" ref="K253">INT(SUMPRODUCT(--ISNUMBER(SEARCH(economy,'Jon Ossoff'!C253)))&gt;0)</f>
        <v>0</v>
      </c>
      <c r="L253" s="14" cm="1">
        <f t="array" ref="L253">INT(SUMPRODUCT(--ISNUMBER(SEARCH(healthcare,'Jon Ossoff'!C253)))&gt;0)</f>
        <v>0</v>
      </c>
      <c r="M253" s="14" cm="1">
        <f t="array" ref="M253">INT(SUMPRODUCT(--ISNUMBER(SEARCH(supreme,'Jon Ossoff'!C253)))&gt;0)</f>
        <v>0</v>
      </c>
      <c r="N253" s="14" cm="1">
        <f t="array" ref="N253">INT(SUMPRODUCT(--ISNUMBER(SEARCH(covid,'Jon Ossoff'!C253)))&gt;0)</f>
        <v>0</v>
      </c>
      <c r="O253" s="14" cm="1">
        <f t="array" ref="O253">INT(SUMPRODUCT(--ISNUMBER(SEARCH(violent,'Jon Ossoff'!C253)))&gt;0)</f>
        <v>0</v>
      </c>
      <c r="P253" s="14" cm="1">
        <f t="array" ref="P253">INT(SUMPRODUCT(--ISNUMBER(SEARCH(foreign,'Jon Ossoff'!C253)))&gt;0)</f>
        <v>0</v>
      </c>
      <c r="Q253" s="14" cm="1">
        <f t="array" ref="Q253">INT(SUMPRODUCT(--ISNUMBER(SEARCH(gun,'Jon Ossoff'!C253)))&gt;0)</f>
        <v>0</v>
      </c>
      <c r="R253" s="14" cm="1">
        <f t="array" ref="R253">INT(SUMPRODUCT(--ISNUMBER(SEARCH(race,'Jon Ossoff'!C253)))&gt;0)</f>
        <v>0</v>
      </c>
      <c r="S253" s="14" cm="1">
        <f t="array" ref="S253">INT(SUMPRODUCT(--ISNUMBER(SEARCH(immigration,C253)))&gt;0)</f>
        <v>0</v>
      </c>
      <c r="T253" s="14" cm="1">
        <f t="array" ref="T253">INT(SUMPRODUCT(--ISNUMBER(SEARCH(econineq,C253)))&gt;0)</f>
        <v>0</v>
      </c>
      <c r="U253" s="14" cm="1">
        <f t="array" ref="U253">INT(SUMPRODUCT(--ISNUMBER(SEARCH(climate,'Jon Ossoff'!C253)))&gt;0)</f>
        <v>0</v>
      </c>
      <c r="V253" s="14" cm="1">
        <f t="array" ref="V253">INT(SUMPRODUCT(--ISNUMBER(SEARCH(abortion,'Jon Ossoff'!C253)))&gt;0)</f>
        <v>0</v>
      </c>
      <c r="W253" s="14" cm="1">
        <f t="array" ref="W253">INT(SUMPRODUCT(--ISNUMBER(SEARCH(trump,'Jon Ossoff'!C253)))&gt;0)</f>
        <v>0</v>
      </c>
      <c r="X253" s="14" cm="1">
        <f t="array" ref="X253">INT(SUMPRODUCT(--ISNUMBER(SEARCH(voting,'Jon Ossoff'!C253)))&gt;0)</f>
        <v>1</v>
      </c>
      <c r="Y253" s="14" cm="1">
        <f t="array" ref="Y253">INT(SUMPRODUCT(--ISNUMBER(SEARCH(democrattrigger,'Jon Ossoff'!C253)))&gt;0)</f>
        <v>0</v>
      </c>
      <c r="Z253" s="14" cm="1">
        <f t="array" ref="Z253">INT(SUMPRODUCT(--ISNUMBER(SEARCH(bipartisan,'Jon Ossoff'!C253)))&gt;0)</f>
        <v>0</v>
      </c>
      <c r="AA253" s="14">
        <f t="shared" si="3"/>
        <v>0</v>
      </c>
      <c r="AB253" s="14"/>
      <c r="AC253" s="30">
        <v>1</v>
      </c>
      <c r="AD253" s="37">
        <v>0</v>
      </c>
    </row>
    <row r="254" spans="1:30" x14ac:dyDescent="0.25">
      <c r="A254" s="36">
        <v>764</v>
      </c>
      <c r="B254" s="14" t="s">
        <v>1555</v>
      </c>
      <c r="C254" s="31" t="s">
        <v>1556</v>
      </c>
      <c r="D254" s="17">
        <v>44107</v>
      </c>
      <c r="E254" s="14" t="s">
        <v>30</v>
      </c>
      <c r="F254" s="14">
        <v>1190</v>
      </c>
      <c r="G254" s="14">
        <v>246</v>
      </c>
      <c r="H254" s="14">
        <v>4</v>
      </c>
      <c r="I254" s="14">
        <v>2</v>
      </c>
      <c r="J254" s="14" t="s">
        <v>204</v>
      </c>
      <c r="K254" s="14" cm="1">
        <f t="array" ref="K254">INT(SUMPRODUCT(--ISNUMBER(SEARCH(economy,'Jon Ossoff'!C254)))&gt;0)</f>
        <v>0</v>
      </c>
      <c r="L254" s="14" cm="1">
        <f t="array" ref="L254">INT(SUMPRODUCT(--ISNUMBER(SEARCH(healthcare,'Jon Ossoff'!C254)))&gt;0)</f>
        <v>0</v>
      </c>
      <c r="M254" s="14" cm="1">
        <f t="array" ref="M254">INT(SUMPRODUCT(--ISNUMBER(SEARCH(supreme,'Jon Ossoff'!C254)))&gt;0)</f>
        <v>0</v>
      </c>
      <c r="N254" s="14" cm="1">
        <f t="array" ref="N254">INT(SUMPRODUCT(--ISNUMBER(SEARCH(covid,'Jon Ossoff'!C254)))&gt;0)</f>
        <v>0</v>
      </c>
      <c r="O254" s="14" cm="1">
        <f t="array" ref="O254">INT(SUMPRODUCT(--ISNUMBER(SEARCH(violent,'Jon Ossoff'!C254)))&gt;0)</f>
        <v>0</v>
      </c>
      <c r="P254" s="14" cm="1">
        <f t="array" ref="P254">INT(SUMPRODUCT(--ISNUMBER(SEARCH(foreign,'Jon Ossoff'!C254)))&gt;0)</f>
        <v>0</v>
      </c>
      <c r="Q254" s="14" cm="1">
        <f t="array" ref="Q254">INT(SUMPRODUCT(--ISNUMBER(SEARCH(gun,'Jon Ossoff'!C254)))&gt;0)</f>
        <v>0</v>
      </c>
      <c r="R254" s="14" cm="1">
        <f t="array" ref="R254">INT(SUMPRODUCT(--ISNUMBER(SEARCH(race,'Jon Ossoff'!C254)))&gt;0)</f>
        <v>0</v>
      </c>
      <c r="S254" s="14" cm="1">
        <f t="array" ref="S254">INT(SUMPRODUCT(--ISNUMBER(SEARCH(immigration,C254)))&gt;0)</f>
        <v>0</v>
      </c>
      <c r="T254" s="14" cm="1">
        <f t="array" ref="T254">INT(SUMPRODUCT(--ISNUMBER(SEARCH(econineq,C254)))&gt;0)</f>
        <v>0</v>
      </c>
      <c r="U254" s="14" cm="1">
        <f t="array" ref="U254">INT(SUMPRODUCT(--ISNUMBER(SEARCH(climate,'Jon Ossoff'!C254)))&gt;0)</f>
        <v>0</v>
      </c>
      <c r="V254" s="14" cm="1">
        <f t="array" ref="V254">INT(SUMPRODUCT(--ISNUMBER(SEARCH(abortion,'Jon Ossoff'!C254)))&gt;0)</f>
        <v>0</v>
      </c>
      <c r="W254" s="14" cm="1">
        <f t="array" ref="W254">INT(SUMPRODUCT(--ISNUMBER(SEARCH(trump,'Jon Ossoff'!C254)))&gt;0)</f>
        <v>0</v>
      </c>
      <c r="X254" s="14" cm="1">
        <f t="array" ref="X254">INT(SUMPRODUCT(--ISNUMBER(SEARCH(voting,'Jon Ossoff'!C254)))&gt;0)</f>
        <v>1</v>
      </c>
      <c r="Y254" s="14" cm="1">
        <f t="array" ref="Y254">INT(SUMPRODUCT(--ISNUMBER(SEARCH(democrattrigger,'Jon Ossoff'!C254)))&gt;0)</f>
        <v>0</v>
      </c>
      <c r="Z254" s="14" cm="1">
        <f t="array" ref="Z254">INT(SUMPRODUCT(--ISNUMBER(SEARCH(bipartisan,'Jon Ossoff'!C254)))&gt;0)</f>
        <v>0</v>
      </c>
      <c r="AA254" s="14">
        <f t="shared" si="3"/>
        <v>0</v>
      </c>
      <c r="AB254" s="14"/>
      <c r="AC254" s="30">
        <v>1</v>
      </c>
      <c r="AD254" s="37">
        <v>0</v>
      </c>
    </row>
    <row r="255" spans="1:30" x14ac:dyDescent="0.25">
      <c r="A255" s="36">
        <v>765</v>
      </c>
      <c r="B255" s="14" t="s">
        <v>1557</v>
      </c>
      <c r="C255" s="31" t="s">
        <v>1558</v>
      </c>
      <c r="D255" s="17">
        <v>44107</v>
      </c>
      <c r="E255" s="14" t="s">
        <v>30</v>
      </c>
      <c r="F255" s="14">
        <v>647</v>
      </c>
      <c r="G255" s="14">
        <v>143</v>
      </c>
      <c r="H255" s="14">
        <v>4</v>
      </c>
      <c r="I255" s="14">
        <v>2</v>
      </c>
      <c r="J255" s="14" t="s">
        <v>204</v>
      </c>
      <c r="K255" s="14" cm="1">
        <f t="array" ref="K255">INT(SUMPRODUCT(--ISNUMBER(SEARCH(economy,'Jon Ossoff'!C255)))&gt;0)</f>
        <v>0</v>
      </c>
      <c r="L255" s="14" cm="1">
        <f t="array" ref="L255">INT(SUMPRODUCT(--ISNUMBER(SEARCH(healthcare,'Jon Ossoff'!C255)))&gt;0)</f>
        <v>0</v>
      </c>
      <c r="M255" s="14" cm="1">
        <f t="array" ref="M255">INT(SUMPRODUCT(--ISNUMBER(SEARCH(supreme,'Jon Ossoff'!C255)))&gt;0)</f>
        <v>0</v>
      </c>
      <c r="N255" s="14" cm="1">
        <f t="array" ref="N255">INT(SUMPRODUCT(--ISNUMBER(SEARCH(covid,'Jon Ossoff'!C255)))&gt;0)</f>
        <v>0</v>
      </c>
      <c r="O255" s="14" cm="1">
        <f t="array" ref="O255">INT(SUMPRODUCT(--ISNUMBER(SEARCH(violent,'Jon Ossoff'!C255)))&gt;0)</f>
        <v>0</v>
      </c>
      <c r="P255" s="14" cm="1">
        <f t="array" ref="P255">INT(SUMPRODUCT(--ISNUMBER(SEARCH(foreign,'Jon Ossoff'!C255)))&gt;0)</f>
        <v>0</v>
      </c>
      <c r="Q255" s="14" cm="1">
        <f t="array" ref="Q255">INT(SUMPRODUCT(--ISNUMBER(SEARCH(gun,'Jon Ossoff'!C255)))&gt;0)</f>
        <v>0</v>
      </c>
      <c r="R255" s="14" cm="1">
        <f t="array" ref="R255">INT(SUMPRODUCT(--ISNUMBER(SEARCH(race,'Jon Ossoff'!C255)))&gt;0)</f>
        <v>0</v>
      </c>
      <c r="S255" s="14" cm="1">
        <f t="array" ref="S255">INT(SUMPRODUCT(--ISNUMBER(SEARCH(immigration,C255)))&gt;0)</f>
        <v>0</v>
      </c>
      <c r="T255" s="14" cm="1">
        <f t="array" ref="T255">INT(SUMPRODUCT(--ISNUMBER(SEARCH(econineq,C255)))&gt;0)</f>
        <v>0</v>
      </c>
      <c r="U255" s="14" cm="1">
        <f t="array" ref="U255">INT(SUMPRODUCT(--ISNUMBER(SEARCH(climate,'Jon Ossoff'!C255)))&gt;0)</f>
        <v>0</v>
      </c>
      <c r="V255" s="14" cm="1">
        <f t="array" ref="V255">INT(SUMPRODUCT(--ISNUMBER(SEARCH(abortion,'Jon Ossoff'!C255)))&gt;0)</f>
        <v>0</v>
      </c>
      <c r="W255" s="14" cm="1">
        <f t="array" ref="W255">INT(SUMPRODUCT(--ISNUMBER(SEARCH(trump,'Jon Ossoff'!C255)))&gt;0)</f>
        <v>0</v>
      </c>
      <c r="X255" s="14" cm="1">
        <f t="array" ref="X255">INT(SUMPRODUCT(--ISNUMBER(SEARCH(voting,'Jon Ossoff'!C255)))&gt;0)</f>
        <v>1</v>
      </c>
      <c r="Y255" s="14" cm="1">
        <f t="array" ref="Y255">INT(SUMPRODUCT(--ISNUMBER(SEARCH(democrattrigger,'Jon Ossoff'!C255)))&gt;0)</f>
        <v>0</v>
      </c>
      <c r="Z255" s="14" cm="1">
        <f t="array" ref="Z255">INT(SUMPRODUCT(--ISNUMBER(SEARCH(bipartisan,'Jon Ossoff'!C255)))&gt;0)</f>
        <v>0</v>
      </c>
      <c r="AA255" s="14">
        <f t="shared" si="3"/>
        <v>0</v>
      </c>
      <c r="AB255" s="14"/>
      <c r="AC255" s="30" t="s">
        <v>223</v>
      </c>
      <c r="AD255" s="37" t="s">
        <v>223</v>
      </c>
    </row>
    <row r="256" spans="1:30" x14ac:dyDescent="0.25">
      <c r="A256" s="38">
        <v>766</v>
      </c>
      <c r="B256" s="39" t="s">
        <v>1559</v>
      </c>
      <c r="C256" s="40" t="s">
        <v>1560</v>
      </c>
      <c r="D256" s="41">
        <v>44107</v>
      </c>
      <c r="E256" s="39" t="s">
        <v>70</v>
      </c>
      <c r="F256" s="39">
        <v>188</v>
      </c>
      <c r="G256" s="39">
        <v>148</v>
      </c>
      <c r="H256" s="39">
        <v>4</v>
      </c>
      <c r="I256" s="39">
        <v>2</v>
      </c>
      <c r="J256" s="39" t="s">
        <v>204</v>
      </c>
      <c r="K256" s="39" cm="1">
        <f t="array" ref="K256">INT(SUMPRODUCT(--ISNUMBER(SEARCH(economy,'Jon Ossoff'!C256)))&gt;0)</f>
        <v>0</v>
      </c>
      <c r="L256" s="39" cm="1">
        <f t="array" ref="L256">INT(SUMPRODUCT(--ISNUMBER(SEARCH(healthcare,'Jon Ossoff'!C256)))&gt;0)</f>
        <v>0</v>
      </c>
      <c r="M256" s="39" cm="1">
        <f t="array" ref="M256">INT(SUMPRODUCT(--ISNUMBER(SEARCH(supreme,'Jon Ossoff'!C256)))&gt;0)</f>
        <v>0</v>
      </c>
      <c r="N256" s="39" cm="1">
        <f t="array" ref="N256">INT(SUMPRODUCT(--ISNUMBER(SEARCH(covid,'Jon Ossoff'!C256)))&gt;0)</f>
        <v>0</v>
      </c>
      <c r="O256" s="39" cm="1">
        <f t="array" ref="O256">INT(SUMPRODUCT(--ISNUMBER(SEARCH(violent,'Jon Ossoff'!C256)))&gt;0)</f>
        <v>0</v>
      </c>
      <c r="P256" s="39" cm="1">
        <f t="array" ref="P256">INT(SUMPRODUCT(--ISNUMBER(SEARCH(foreign,'Jon Ossoff'!C256)))&gt;0)</f>
        <v>0</v>
      </c>
      <c r="Q256" s="39" cm="1">
        <f t="array" ref="Q256">INT(SUMPRODUCT(--ISNUMBER(SEARCH(gun,'Jon Ossoff'!C256)))&gt;0)</f>
        <v>0</v>
      </c>
      <c r="R256" s="39" cm="1">
        <f t="array" ref="R256">INT(SUMPRODUCT(--ISNUMBER(SEARCH(race,'Jon Ossoff'!C256)))&gt;0)</f>
        <v>0</v>
      </c>
      <c r="S256" s="39" cm="1">
        <f t="array" ref="S256">INT(SUMPRODUCT(--ISNUMBER(SEARCH(immigration,C256)))&gt;0)</f>
        <v>0</v>
      </c>
      <c r="T256" s="39" cm="1">
        <f t="array" ref="T256">INT(SUMPRODUCT(--ISNUMBER(SEARCH(econineq,C256)))&gt;0)</f>
        <v>0</v>
      </c>
      <c r="U256" s="39" cm="1">
        <f t="array" ref="U256">INT(SUMPRODUCT(--ISNUMBER(SEARCH(climate,'Jon Ossoff'!C256)))&gt;0)</f>
        <v>0</v>
      </c>
      <c r="V256" s="39" cm="1">
        <f t="array" ref="V256">INT(SUMPRODUCT(--ISNUMBER(SEARCH(abortion,'Jon Ossoff'!C256)))&gt;0)</f>
        <v>0</v>
      </c>
      <c r="W256" s="39" cm="1">
        <f t="array" ref="W256">INT(SUMPRODUCT(--ISNUMBER(SEARCH(trump,'Jon Ossoff'!C256)))&gt;0)</f>
        <v>0</v>
      </c>
      <c r="X256" s="39" cm="1">
        <f t="array" ref="X256">INT(SUMPRODUCT(--ISNUMBER(SEARCH(voting,'Jon Ossoff'!C256)))&gt;0)</f>
        <v>1</v>
      </c>
      <c r="Y256" s="39" cm="1">
        <f t="array" ref="Y256">INT(SUMPRODUCT(--ISNUMBER(SEARCH(democrattrigger,'Jon Ossoff'!C256)))&gt;0)</f>
        <v>0</v>
      </c>
      <c r="Z256" s="39" cm="1">
        <f t="array" ref="Z256">INT(SUMPRODUCT(--ISNUMBER(SEARCH(bipartisan,'Jon Ossoff'!C256)))&gt;0)</f>
        <v>0</v>
      </c>
      <c r="AA256" s="39">
        <f t="shared" si="3"/>
        <v>0</v>
      </c>
      <c r="AB256" s="39"/>
      <c r="AC256" s="44" t="s">
        <v>223</v>
      </c>
      <c r="AD256" s="45" t="s">
        <v>223</v>
      </c>
    </row>
    <row r="257" spans="6:30" x14ac:dyDescent="0.25">
      <c r="F257" s="21">
        <f>SUM(Table4[Likes])</f>
        <v>1349506</v>
      </c>
      <c r="G257" s="21">
        <f>SUM(Table4[Retweets])</f>
        <v>311089</v>
      </c>
      <c r="H257" s="16"/>
      <c r="I257" s="16"/>
      <c r="J257" s="16"/>
      <c r="K257" s="21">
        <f t="shared" ref="K257:AD257" si="4">SUM(K2:K256)</f>
        <v>11</v>
      </c>
      <c r="L257" s="21">
        <f t="shared" si="4"/>
        <v>26</v>
      </c>
      <c r="M257" s="21">
        <f t="shared" si="4"/>
        <v>5</v>
      </c>
      <c r="N257" s="21">
        <f t="shared" si="4"/>
        <v>24</v>
      </c>
      <c r="O257" s="21">
        <f t="shared" si="4"/>
        <v>5</v>
      </c>
      <c r="P257" s="21">
        <f t="shared" si="4"/>
        <v>11</v>
      </c>
      <c r="Q257" s="21">
        <f t="shared" si="4"/>
        <v>0</v>
      </c>
      <c r="R257" s="21">
        <f t="shared" si="4"/>
        <v>2</v>
      </c>
      <c r="S257" s="21">
        <f t="shared" si="4"/>
        <v>0</v>
      </c>
      <c r="T257" s="21">
        <f t="shared" si="4"/>
        <v>0</v>
      </c>
      <c r="U257" s="21">
        <f t="shared" si="4"/>
        <v>4</v>
      </c>
      <c r="V257" s="21">
        <f t="shared" si="4"/>
        <v>0</v>
      </c>
      <c r="W257" s="21">
        <f t="shared" si="4"/>
        <v>14</v>
      </c>
      <c r="X257" s="21">
        <f t="shared" si="4"/>
        <v>118</v>
      </c>
      <c r="Y257" s="21">
        <f t="shared" si="4"/>
        <v>85</v>
      </c>
      <c r="Z257" s="21">
        <f t="shared" si="4"/>
        <v>0</v>
      </c>
      <c r="AA257" s="21">
        <f t="shared" si="4"/>
        <v>58</v>
      </c>
      <c r="AB257" s="21">
        <f t="shared" si="4"/>
        <v>0</v>
      </c>
      <c r="AC257" s="21">
        <f t="shared" si="4"/>
        <v>34</v>
      </c>
      <c r="AD257" s="21">
        <f t="shared" si="4"/>
        <v>80</v>
      </c>
    </row>
    <row r="258" spans="6:30" x14ac:dyDescent="0.25">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6:30" x14ac:dyDescent="0.25">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6:30" x14ac:dyDescent="0.25">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6:30" x14ac:dyDescent="0.25">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6:30" x14ac:dyDescent="0.25">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6:30" x14ac:dyDescent="0.25">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6:30" x14ac:dyDescent="0.25">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6:30" x14ac:dyDescent="0.25">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6:30" x14ac:dyDescent="0.25">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6:30" x14ac:dyDescent="0.25">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6:30" x14ac:dyDescent="0.25">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6:30" x14ac:dyDescent="0.25">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6:30" x14ac:dyDescent="0.25">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6:30" x14ac:dyDescent="0.25">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6:30" x14ac:dyDescent="0.25">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8:30" x14ac:dyDescent="0.25">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8:30" x14ac:dyDescent="0.25">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8:30" x14ac:dyDescent="0.25">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8:30" x14ac:dyDescent="0.25">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8:30" x14ac:dyDescent="0.25">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8:30" x14ac:dyDescent="0.25">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8:30" x14ac:dyDescent="0.25">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8:30" x14ac:dyDescent="0.25">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8:30" x14ac:dyDescent="0.25">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8:30" x14ac:dyDescent="0.25">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8:30" x14ac:dyDescent="0.25">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8:30" x14ac:dyDescent="0.25">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8:30" x14ac:dyDescent="0.25">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8:30" x14ac:dyDescent="0.25">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8:30" x14ac:dyDescent="0.25">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8:30" x14ac:dyDescent="0.25">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8:30" x14ac:dyDescent="0.25">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8:30" x14ac:dyDescent="0.25">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8:30" x14ac:dyDescent="0.25">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8:30" x14ac:dyDescent="0.25">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8:30" x14ac:dyDescent="0.25">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8:30" x14ac:dyDescent="0.25">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8:30" x14ac:dyDescent="0.25">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8:30" x14ac:dyDescent="0.25">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8:30" x14ac:dyDescent="0.25">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8:30" x14ac:dyDescent="0.25">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8:30" x14ac:dyDescent="0.25">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8:30" x14ac:dyDescent="0.25">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8:30" x14ac:dyDescent="0.25">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8:30" x14ac:dyDescent="0.25">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8:30" x14ac:dyDescent="0.25">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8:30" x14ac:dyDescent="0.25">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8:30" x14ac:dyDescent="0.25">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8:30" x14ac:dyDescent="0.25">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8:30" x14ac:dyDescent="0.25">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8:30" x14ac:dyDescent="0.25">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8:30" x14ac:dyDescent="0.25">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8:30" x14ac:dyDescent="0.25">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8:30" x14ac:dyDescent="0.25">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8:30" x14ac:dyDescent="0.25">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8:30" x14ac:dyDescent="0.25">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8:30" x14ac:dyDescent="0.25">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8:30" x14ac:dyDescent="0.25">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8:30" x14ac:dyDescent="0.25">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8:30" x14ac:dyDescent="0.25">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8:30" x14ac:dyDescent="0.25">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8:30" x14ac:dyDescent="0.25">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8:30" x14ac:dyDescent="0.25">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8:30" x14ac:dyDescent="0.25">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8:30" x14ac:dyDescent="0.25">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8:30" x14ac:dyDescent="0.25">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8:30" x14ac:dyDescent="0.25">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8:30" x14ac:dyDescent="0.25">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8:30" x14ac:dyDescent="0.25">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8:30" x14ac:dyDescent="0.25">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8:30" x14ac:dyDescent="0.25">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8:30" x14ac:dyDescent="0.25">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8:30" x14ac:dyDescent="0.25">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8:30" x14ac:dyDescent="0.25">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8:30" x14ac:dyDescent="0.25">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8:30" x14ac:dyDescent="0.25">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8:30" x14ac:dyDescent="0.25">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row>
    <row r="335" spans="8:30" x14ac:dyDescent="0.25">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row>
    <row r="336" spans="8:30" x14ac:dyDescent="0.25">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row>
    <row r="337" spans="8:30" x14ac:dyDescent="0.25">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row>
    <row r="338" spans="8:30" x14ac:dyDescent="0.25">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row>
    <row r="339" spans="8:30" x14ac:dyDescent="0.25">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row>
    <row r="340" spans="8:30" x14ac:dyDescent="0.25">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row>
    <row r="341" spans="8:30" x14ac:dyDescent="0.25">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row>
    <row r="342" spans="8:30" x14ac:dyDescent="0.25">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row>
    <row r="343" spans="8:30" x14ac:dyDescent="0.25">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row>
    <row r="344" spans="8:30" x14ac:dyDescent="0.25">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row>
    <row r="345" spans="8:30" x14ac:dyDescent="0.25">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row>
    <row r="346" spans="8:30" x14ac:dyDescent="0.25">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row>
    <row r="347" spans="8:30" x14ac:dyDescent="0.25">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row>
    <row r="348" spans="8:30" x14ac:dyDescent="0.25">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row>
    <row r="349" spans="8:30" x14ac:dyDescent="0.25">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row>
    <row r="350" spans="8:30" x14ac:dyDescent="0.25">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row>
    <row r="351" spans="8:30" x14ac:dyDescent="0.25">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row>
    <row r="352" spans="8:30" x14ac:dyDescent="0.25">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row>
    <row r="353" spans="8:30" x14ac:dyDescent="0.25">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row>
    <row r="354" spans="8:30" x14ac:dyDescent="0.25">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row>
    <row r="355" spans="8:30" x14ac:dyDescent="0.25">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row>
    <row r="356" spans="8:30" x14ac:dyDescent="0.25">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row>
    <row r="357" spans="8:30" x14ac:dyDescent="0.25">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row>
    <row r="358" spans="8:30" x14ac:dyDescent="0.25">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row>
    <row r="359" spans="8:30" x14ac:dyDescent="0.25">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row>
    <row r="360" spans="8:30" x14ac:dyDescent="0.25">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row>
    <row r="361" spans="8:30" x14ac:dyDescent="0.25">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row>
    <row r="362" spans="8:30" x14ac:dyDescent="0.25">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row>
    <row r="363" spans="8:30" x14ac:dyDescent="0.25">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row>
    <row r="364" spans="8:30" x14ac:dyDescent="0.25">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row>
    <row r="365" spans="8:30" x14ac:dyDescent="0.25">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row>
    <row r="366" spans="8:30" x14ac:dyDescent="0.25">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row>
    <row r="367" spans="8:30" x14ac:dyDescent="0.25">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row>
    <row r="368" spans="8:30" x14ac:dyDescent="0.25">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row>
    <row r="369" spans="8:30" x14ac:dyDescent="0.25">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row>
    <row r="370" spans="8:30" x14ac:dyDescent="0.25">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row>
    <row r="371" spans="8:30" x14ac:dyDescent="0.25">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row>
    <row r="372" spans="8:30" x14ac:dyDescent="0.25">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row>
    <row r="373" spans="8:30" x14ac:dyDescent="0.25">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row>
    <row r="374" spans="8:30" x14ac:dyDescent="0.25">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row>
    <row r="375" spans="8:30" x14ac:dyDescent="0.25">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row>
    <row r="376" spans="8:30" x14ac:dyDescent="0.25">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row>
    <row r="377" spans="8:30" x14ac:dyDescent="0.25">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row>
    <row r="378" spans="8:30" x14ac:dyDescent="0.25">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row>
    <row r="379" spans="8:30" x14ac:dyDescent="0.25">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row>
    <row r="380" spans="8:30" x14ac:dyDescent="0.25">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row>
    <row r="381" spans="8:30" x14ac:dyDescent="0.25">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row>
    <row r="382" spans="8:30" x14ac:dyDescent="0.25">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row>
    <row r="383" spans="8:30" x14ac:dyDescent="0.25">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row>
    <row r="384" spans="8:30" x14ac:dyDescent="0.25">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row>
    <row r="385" spans="8:30" x14ac:dyDescent="0.25">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row>
    <row r="386" spans="8:30" x14ac:dyDescent="0.25">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row>
    <row r="387" spans="8:30" x14ac:dyDescent="0.25">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row>
    <row r="388" spans="8:30" x14ac:dyDescent="0.25">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row>
    <row r="389" spans="8:30" x14ac:dyDescent="0.25">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row>
    <row r="390" spans="8:30" x14ac:dyDescent="0.25">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row>
    <row r="391" spans="8:30" x14ac:dyDescent="0.25">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row>
    <row r="392" spans="8:30" x14ac:dyDescent="0.25">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row>
    <row r="393" spans="8:30" x14ac:dyDescent="0.25">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row>
  </sheetData>
  <conditionalFormatting sqref="J2:J256">
    <cfRule type="cellIs" dxfId="20" priority="1" operator="equal">
      <formula>"D"</formula>
    </cfRule>
  </conditionalFormatting>
  <hyperlinks>
    <hyperlink ref="B2" r:id="rId1" xr:uid="{0DB3B273-360D-4A9F-9938-00AB8DC6698C}"/>
    <hyperlink ref="B3" r:id="rId2" xr:uid="{825746EC-2BB6-41AC-A59A-40074CA34A8E}"/>
    <hyperlink ref="B4" r:id="rId3" xr:uid="{43FBF318-79CD-4409-8E78-8A063BA2E22F}"/>
    <hyperlink ref="B5" r:id="rId4" xr:uid="{C91BCCD2-75C0-4631-B19E-8BDFDCD194F3}"/>
    <hyperlink ref="B6" r:id="rId5" xr:uid="{6A766586-D74A-464A-AA41-3C2022970E71}"/>
    <hyperlink ref="B7" r:id="rId6" xr:uid="{41655D1D-0C1D-411E-9623-795255EC01C7}"/>
    <hyperlink ref="B8" r:id="rId7" xr:uid="{A1E75CFD-E9FF-4A0E-BF43-882FBB23F630}"/>
    <hyperlink ref="B9" r:id="rId8" xr:uid="{33819F0A-B8F9-4585-BD52-BC3D2422F088}"/>
    <hyperlink ref="B10" r:id="rId9" xr:uid="{C617EA3D-80BC-4FA3-A4B6-3E65F60C434C}"/>
    <hyperlink ref="B11" r:id="rId10" xr:uid="{C71443BD-6FE0-4ED5-91B5-1D3904E30EBA}"/>
    <hyperlink ref="B12" r:id="rId11" xr:uid="{7B965AB0-1C9F-4005-A725-006C8AEEFFC2}"/>
    <hyperlink ref="B13" r:id="rId12" xr:uid="{5FC61A25-6CB9-488A-B8A5-31AFB1A29F72}"/>
    <hyperlink ref="B14" r:id="rId13" xr:uid="{C6CB1652-373B-4DB9-9A7E-87DAD20C4887}"/>
    <hyperlink ref="B15" r:id="rId14" xr:uid="{F658D692-41CE-4D0B-8C1A-222A47F377A3}"/>
    <hyperlink ref="B16" r:id="rId15" xr:uid="{38FAE40D-D95C-4BD4-B476-FB2386E43422}"/>
    <hyperlink ref="B17" r:id="rId16" xr:uid="{60C63560-B56D-47A4-8421-B873EFFDBD38}"/>
    <hyperlink ref="B18" r:id="rId17" xr:uid="{E21CDA03-1357-4F98-BCC3-1FCC83C50CA9}"/>
    <hyperlink ref="B19" r:id="rId18" xr:uid="{964D54DF-5D3A-41F8-9BDF-A314FFA249F9}"/>
    <hyperlink ref="B20" r:id="rId19" xr:uid="{143D2ADD-4D25-4526-8129-85E3B80443FF}"/>
    <hyperlink ref="B21" r:id="rId20" xr:uid="{C025ED26-06C5-4605-BF2B-F1904F9F554A}"/>
    <hyperlink ref="B22" r:id="rId21" xr:uid="{C158B864-0020-4CCE-BFD8-CD558B0EFB0D}"/>
    <hyperlink ref="B23" r:id="rId22" xr:uid="{FF499A71-39E2-45C2-88A1-0B9146041D0C}"/>
    <hyperlink ref="B24" r:id="rId23" xr:uid="{563D7DC2-B54D-4EAF-9F06-1BF499CA70C6}"/>
    <hyperlink ref="B25" r:id="rId24" xr:uid="{767FB095-536D-4060-8A45-304EB4A33AB5}"/>
    <hyperlink ref="B26" r:id="rId25" xr:uid="{6D0A1C4A-2B83-41AC-AEBE-0C8C50FFFCDF}"/>
    <hyperlink ref="B27" r:id="rId26" xr:uid="{46A0C398-EF3E-4C01-8E52-4353C48286DE}"/>
    <hyperlink ref="B28" r:id="rId27" xr:uid="{F751D636-9ED6-47EF-98B9-3EE1FA550BE5}"/>
    <hyperlink ref="B29" r:id="rId28" xr:uid="{1FB7EA10-E22F-43E1-A34D-F11B8166AF36}"/>
    <hyperlink ref="B30" r:id="rId29" xr:uid="{2A4E85C2-E391-4EB9-90A8-228F0AB73FF0}"/>
    <hyperlink ref="B31" r:id="rId30" xr:uid="{2986A4FC-BFD4-4C85-8B6D-9B5A798B0E5C}"/>
    <hyperlink ref="B32" r:id="rId31" xr:uid="{1B08122F-F7C9-4AB6-9417-A108DA9C2B9F}"/>
    <hyperlink ref="B33" r:id="rId32" xr:uid="{A86D7C98-3F70-4189-B7CB-E8CFAF334D17}"/>
    <hyperlink ref="B34" r:id="rId33" xr:uid="{C2784C53-F997-4760-B474-8F945F3045B9}"/>
    <hyperlink ref="B35" r:id="rId34" xr:uid="{8270F7A0-B853-4EEF-A445-E7EBE068490C}"/>
    <hyperlink ref="B36" r:id="rId35" xr:uid="{987EBACF-3A72-4D3E-A693-8F2DAE9342E6}"/>
    <hyperlink ref="B37" r:id="rId36" xr:uid="{80EE101D-41FB-494A-AAF2-7FDC21E100D3}"/>
    <hyperlink ref="B38" r:id="rId37" xr:uid="{B1076F84-7F83-4D86-A299-6E5F0DFE9106}"/>
    <hyperlink ref="B39" r:id="rId38" xr:uid="{5DBC97F3-E62D-4CF8-9A01-834881CDACDA}"/>
    <hyperlink ref="B40" r:id="rId39" xr:uid="{17EB3A6E-1B0B-4586-895C-8028AB1F9827}"/>
    <hyperlink ref="B41" r:id="rId40" xr:uid="{FC4012B5-8F2B-4DEE-890E-30DAE741AB1A}"/>
    <hyperlink ref="B42" r:id="rId41" xr:uid="{83EFA9E7-AE6F-4970-A8A8-AD4D90DE0331}"/>
    <hyperlink ref="B43" r:id="rId42" xr:uid="{2B18296E-6B15-47EC-9CA5-FCA113FF8436}"/>
    <hyperlink ref="B44" r:id="rId43" xr:uid="{D08AB7E8-86C0-4094-984E-9798186D9C8C}"/>
    <hyperlink ref="B45" r:id="rId44" xr:uid="{B4B293B6-D8A6-4190-9E72-6A402CB8A9CB}"/>
    <hyperlink ref="B46" r:id="rId45" xr:uid="{EFE32490-FBD2-41D7-B06E-F4FF09801022}"/>
    <hyperlink ref="B47" r:id="rId46" xr:uid="{70BFF4AD-2AA3-4CE6-8AFC-A1D8D5E371DB}"/>
    <hyperlink ref="B48" r:id="rId47" xr:uid="{C90A7FB9-68E0-4768-A067-8BD8512F5770}"/>
    <hyperlink ref="B49" r:id="rId48" xr:uid="{42218F9B-C96E-4FA4-BCC6-DB1643784EC3}"/>
    <hyperlink ref="B50" r:id="rId49" xr:uid="{D6C5B5D3-F648-46FB-AF59-A92B6576044F}"/>
    <hyperlink ref="B51" r:id="rId50" xr:uid="{EBC026F2-8957-4B71-9B6F-701F2F2E2186}"/>
    <hyperlink ref="B52" r:id="rId51" xr:uid="{95F2FEB8-4A25-4F7B-9E2D-94C268F019AA}"/>
    <hyperlink ref="B53" r:id="rId52" xr:uid="{BD6F1EBE-1B9D-4DDA-BE4F-862C7ADBE85B}"/>
    <hyperlink ref="B54" r:id="rId53" xr:uid="{DD672C59-21A3-49E0-B37A-55A553E76B4D}"/>
    <hyperlink ref="B55" r:id="rId54" xr:uid="{27DAE442-87C7-4322-AB81-EA26ADC595FC}"/>
    <hyperlink ref="B56" r:id="rId55" xr:uid="{62624F6A-3436-43C2-8C8A-5CBF6C876169}"/>
    <hyperlink ref="B57" r:id="rId56" xr:uid="{D2F464E1-B31D-48DF-B4E9-F4900CA7E6C0}"/>
    <hyperlink ref="B58" r:id="rId57" xr:uid="{F2E3F590-631C-44B0-87C2-E5977BF6BE20}"/>
    <hyperlink ref="B59" r:id="rId58" xr:uid="{AE2AEBB0-6753-4EE1-8FD4-C4BE25AF178D}"/>
    <hyperlink ref="B60" r:id="rId59" xr:uid="{5D6B5BB9-44CE-40FE-9324-909DD27BDC65}"/>
    <hyperlink ref="B61" r:id="rId60" xr:uid="{8DB74B92-2BFA-4614-946B-AC7D0A3B7AC6}"/>
    <hyperlink ref="B62" r:id="rId61" xr:uid="{4C575FC1-4C6C-4B5F-8F38-2184B0700E8B}"/>
    <hyperlink ref="B63" r:id="rId62" xr:uid="{27BBF5F4-0533-4F05-9732-A32923E52783}"/>
    <hyperlink ref="B64" r:id="rId63" xr:uid="{AA19C354-125C-4426-90BF-7CA0BF3D1E01}"/>
    <hyperlink ref="B65" r:id="rId64" xr:uid="{B95D15B5-9ADF-4411-9166-2BBA4FB01860}"/>
    <hyperlink ref="B66" r:id="rId65" xr:uid="{1E3DF3BF-EAEC-497C-AE22-FA2E99BD959E}"/>
    <hyperlink ref="B67" r:id="rId66" xr:uid="{B776EF57-C8C6-4C7A-BD42-F4F0D4511FA5}"/>
    <hyperlink ref="B68" r:id="rId67" xr:uid="{974A3C70-B4D0-4CE9-BE4C-3E21BD1BFE59}"/>
    <hyperlink ref="B69" r:id="rId68" xr:uid="{3E818729-81C9-4DE6-AA49-82CECD63432B}"/>
    <hyperlink ref="B70" r:id="rId69" xr:uid="{7F5E8C77-99E6-484B-A24A-133BA09D05EA}"/>
    <hyperlink ref="B71" r:id="rId70" xr:uid="{DBB24CD3-5298-46F4-91CF-98D8F7D8C009}"/>
    <hyperlink ref="B72" r:id="rId71" xr:uid="{16695D31-C610-4A1D-B051-EBCFB9440DC6}"/>
    <hyperlink ref="B73" r:id="rId72" xr:uid="{0BD0BC0D-366C-4D7A-BCE9-B376DE0F3B20}"/>
    <hyperlink ref="B74" r:id="rId73" xr:uid="{64ECB7A8-37F2-46FE-A9D1-153EE0BD3639}"/>
    <hyperlink ref="B75" r:id="rId74" xr:uid="{DD1EB64C-3ED5-4DDC-B940-5A882D796400}"/>
    <hyperlink ref="B76" r:id="rId75" xr:uid="{F1C00156-4120-4E38-8FC6-BDC5F222908A}"/>
    <hyperlink ref="B77" r:id="rId76" xr:uid="{EC32F8B1-3A5E-4810-AD3E-060FB1DBB4F7}"/>
    <hyperlink ref="B78" r:id="rId77" xr:uid="{31B0DCD1-5EFE-4919-8E02-0FD2F3850EE8}"/>
    <hyperlink ref="B79" r:id="rId78" xr:uid="{0400BBF6-411C-44AF-B8E7-D67390EE9FAE}"/>
    <hyperlink ref="B80" r:id="rId79" xr:uid="{03D5294E-2824-4478-B715-EDA92A233993}"/>
    <hyperlink ref="B81" r:id="rId80" xr:uid="{583A8438-46C7-4373-9600-11EBEF7C8989}"/>
    <hyperlink ref="B82" r:id="rId81" xr:uid="{2371BEB2-5C72-45CA-9D1B-AE67137D2407}"/>
    <hyperlink ref="B83" r:id="rId82" xr:uid="{62731665-0396-4FC4-9BAC-C95FC33A45C6}"/>
    <hyperlink ref="B84" r:id="rId83" xr:uid="{9648521F-6F13-4AA1-A823-13265113CBB1}"/>
    <hyperlink ref="B85" r:id="rId84" xr:uid="{994A7018-CECF-457F-9982-435714A0CA42}"/>
    <hyperlink ref="B86" r:id="rId85" xr:uid="{C440369B-E5AC-4F2B-A76A-64E3E7A5442F}"/>
    <hyperlink ref="B87" r:id="rId86" xr:uid="{2FAD7BF9-E0FA-4261-AEE0-91EB37F834F7}"/>
    <hyperlink ref="B88" r:id="rId87" xr:uid="{CCBDF9B7-FBC9-4120-ACB0-5F50077D3FF3}"/>
    <hyperlink ref="B89" r:id="rId88" xr:uid="{0C55BC18-D4B2-4E8F-B109-273A9C7A11D3}"/>
    <hyperlink ref="B90" r:id="rId89" xr:uid="{3CDD4FF7-759E-4675-9215-C2C4AAD4B81F}"/>
    <hyperlink ref="B91" r:id="rId90" xr:uid="{3333CC30-E2DF-4F60-AE62-1C31E006AB5A}"/>
    <hyperlink ref="B92" r:id="rId91" xr:uid="{219D6871-655F-4D32-A50B-CBFE43029C00}"/>
    <hyperlink ref="B93" r:id="rId92" xr:uid="{9B2293D1-9867-4781-B2A6-867185E962AB}"/>
    <hyperlink ref="B94" r:id="rId93" xr:uid="{B9721A39-A29C-4B24-9792-D09A7BBF1ED9}"/>
    <hyperlink ref="B95" r:id="rId94" xr:uid="{2609CECC-9172-4320-BDD0-D258B43B1DC5}"/>
    <hyperlink ref="B96" r:id="rId95" xr:uid="{EF706E92-7C06-4AF9-A034-AC139A8F9ED5}"/>
    <hyperlink ref="B97" r:id="rId96" xr:uid="{7653AD83-F319-4E45-BBDE-E3FFBCD97AEB}"/>
    <hyperlink ref="B98" r:id="rId97" xr:uid="{AD0BB1EE-66E9-4004-A398-7ECCD496F339}"/>
    <hyperlink ref="B99" r:id="rId98" xr:uid="{788EA7F7-5816-42A5-B03F-3242CF928891}"/>
    <hyperlink ref="B100" r:id="rId99" xr:uid="{5099972C-BAE6-4ACC-82CB-45C773A57043}"/>
    <hyperlink ref="B101" r:id="rId100" xr:uid="{A37F8231-93C1-4332-ADD2-91055450E518}"/>
    <hyperlink ref="B102" r:id="rId101" xr:uid="{EB1DE992-A432-4B73-A255-D1E236741C3F}"/>
    <hyperlink ref="B103" r:id="rId102" xr:uid="{C0674BD6-3A64-4E17-B881-800B60B3CB90}"/>
    <hyperlink ref="B104" r:id="rId103" xr:uid="{B273D47C-47F4-4B72-AC16-6C01ACE9FB87}"/>
    <hyperlink ref="B105" r:id="rId104" xr:uid="{97EACFBB-97E9-4686-8EE4-F91D712A40C9}"/>
    <hyperlink ref="B106" r:id="rId105" xr:uid="{545A7773-CF88-4601-998C-2524E685A7AC}"/>
    <hyperlink ref="B107" r:id="rId106" xr:uid="{803A4A71-F03F-4166-BAC6-05C9E09AB06F}"/>
    <hyperlink ref="B108" r:id="rId107" xr:uid="{6BB7C8C0-C7B6-4399-9941-3DBB716AB4E1}"/>
    <hyperlink ref="B109" r:id="rId108" xr:uid="{3351158A-DBF1-4300-9146-10DA2309074D}"/>
    <hyperlink ref="B110" r:id="rId109" xr:uid="{AD0803D1-AF97-44D6-A28B-97E10C83E217}"/>
    <hyperlink ref="B111" r:id="rId110" xr:uid="{9BD3FB48-CBC0-45F0-9133-06B60F2679B2}"/>
    <hyperlink ref="B112" r:id="rId111" xr:uid="{4A150E25-5F56-4E5D-9510-E47797D14924}"/>
    <hyperlink ref="B113" r:id="rId112" xr:uid="{99BA64F1-E7EB-4BA4-8A67-24BEFAF3B839}"/>
    <hyperlink ref="B114" r:id="rId113" xr:uid="{E89A2AE2-26A7-4688-8AE8-60DE00C45133}"/>
    <hyperlink ref="B115" r:id="rId114" xr:uid="{F4DC3B2D-3FEB-4911-87C0-A11ABAEF32BE}"/>
    <hyperlink ref="B116" r:id="rId115" xr:uid="{C855754A-035B-4380-8C2A-FC91BF4EF992}"/>
    <hyperlink ref="B117" r:id="rId116" xr:uid="{BA616654-75F8-4833-9ED7-6F54D722C0D6}"/>
    <hyperlink ref="B118" r:id="rId117" xr:uid="{3650014B-DA85-4917-9442-77B49D1AEA4A}"/>
    <hyperlink ref="B119" r:id="rId118" xr:uid="{7320B288-49AE-4B29-B012-1B48C1AAF925}"/>
    <hyperlink ref="B120" r:id="rId119" xr:uid="{B3D4E6FA-85A9-43CA-A33B-ACB2536F0D08}"/>
    <hyperlink ref="B121" r:id="rId120" xr:uid="{7421B18D-1F55-43FA-878C-C3CC531D5AED}"/>
    <hyperlink ref="B122" r:id="rId121" xr:uid="{2EC4D283-EF10-4540-8D74-30D253CB59A3}"/>
    <hyperlink ref="B123" r:id="rId122" xr:uid="{ECA83180-F8D4-44B8-9FFD-77987D8407FF}"/>
    <hyperlink ref="B124" r:id="rId123" xr:uid="{EC37B028-F2A1-4D2D-AC96-3410112959A2}"/>
    <hyperlink ref="B125" r:id="rId124" xr:uid="{97A11C31-2C34-4B17-894C-925E7696BDD2}"/>
    <hyperlink ref="B126" r:id="rId125" xr:uid="{25A1BDB2-4BA7-40BB-90BC-DAF5C225A4EE}"/>
    <hyperlink ref="B127" r:id="rId126" xr:uid="{3C3751C4-F5D1-4792-85D8-42F0531F23CD}"/>
    <hyperlink ref="B128" r:id="rId127" xr:uid="{1511853E-7669-4FE7-A3F9-FC1A88FAD3D9}"/>
    <hyperlink ref="B129" r:id="rId128" xr:uid="{946E7071-8474-4FC8-9056-6BDC03567C34}"/>
    <hyperlink ref="B130" r:id="rId129" xr:uid="{4641B159-5DD7-4AED-A483-0B6DA831617B}"/>
    <hyperlink ref="B131" r:id="rId130" xr:uid="{115B5932-F691-4804-9F4C-E11C5242C12D}"/>
    <hyperlink ref="B132" r:id="rId131" xr:uid="{151A3002-5748-4446-888C-6526D7337BF4}"/>
    <hyperlink ref="B133" r:id="rId132" xr:uid="{BAE4D09C-1008-4C55-A2BF-AB99667CD95D}"/>
    <hyperlink ref="B134" r:id="rId133" xr:uid="{9B5F750E-DB7B-4559-B8D2-866FDC532DC7}"/>
    <hyperlink ref="B135" r:id="rId134" xr:uid="{A0BFE0E4-CD63-4B0D-A46D-E67450A5E3EA}"/>
    <hyperlink ref="B136" r:id="rId135" xr:uid="{B54E6C90-9458-4689-9F07-F5BF3D4BEA5B}"/>
    <hyperlink ref="B137" r:id="rId136" xr:uid="{4E8A01AF-AE71-4A78-A117-8B7AF502760F}"/>
    <hyperlink ref="B138" r:id="rId137" xr:uid="{98D9EA20-4740-439E-8CE4-9146DD061901}"/>
    <hyperlink ref="B139" r:id="rId138" xr:uid="{E5E1026C-E118-42FB-943E-7B3D099CE58E}"/>
    <hyperlink ref="B140" r:id="rId139" xr:uid="{EEA384D8-9D76-4E45-99D4-71D1A36C56CA}"/>
    <hyperlink ref="B141" r:id="rId140" xr:uid="{B708E70F-B557-4218-8965-C5557DBB5967}"/>
    <hyperlink ref="B142" r:id="rId141" xr:uid="{7B8EB394-F85D-4DC1-B3C9-2F96975378CF}"/>
    <hyperlink ref="B143" r:id="rId142" xr:uid="{2FA6DD46-BF15-42A1-A178-2681CA3B903A}"/>
    <hyperlink ref="B144" r:id="rId143" xr:uid="{D8352B78-F1E6-4AD1-9E4B-529A9A8FF7CF}"/>
    <hyperlink ref="B145" r:id="rId144" xr:uid="{B0BEB581-4446-4B62-8621-8FC1401A2411}"/>
    <hyperlink ref="B146" r:id="rId145" xr:uid="{E4FD054C-3F46-4372-8A1A-BBC8C313EDF5}"/>
    <hyperlink ref="B147" r:id="rId146" xr:uid="{04C5AA2B-0B1F-4C23-BF9B-6C68C8E3AECE}"/>
    <hyperlink ref="B148" r:id="rId147" xr:uid="{5737A856-2819-4985-B08B-74DA7EE2BA7A}"/>
    <hyperlink ref="B149" r:id="rId148" xr:uid="{19345E60-AF1F-44C1-857F-8226CA916C87}"/>
    <hyperlink ref="B150" r:id="rId149" xr:uid="{E986E644-2CD7-4468-B12E-D247B4494F98}"/>
    <hyperlink ref="B151" r:id="rId150" xr:uid="{ADCAA0FD-530B-49CD-BB5C-BCB88F292C7F}"/>
    <hyperlink ref="B152" r:id="rId151" xr:uid="{DEA4D8F6-8B55-429E-80F6-6A1BD3653E9D}"/>
    <hyperlink ref="B153" r:id="rId152" xr:uid="{B28466B2-0D12-4C9A-ADF2-D0707D3A7C35}"/>
    <hyperlink ref="B154" r:id="rId153" xr:uid="{169D8B19-742A-4F23-B077-BC7ACA884489}"/>
    <hyperlink ref="B155" r:id="rId154" xr:uid="{DDB16653-B47D-4349-BDEB-E46681E2E80D}"/>
    <hyperlink ref="B156" r:id="rId155" xr:uid="{EB88F334-2E47-4463-8CA9-3DBF55CE82AA}"/>
    <hyperlink ref="B157" r:id="rId156" xr:uid="{2D4A404E-D6B4-4560-937D-CA6C77E282FE}"/>
    <hyperlink ref="B158" r:id="rId157" xr:uid="{43D39074-1EE0-4C32-99EE-D5AF0195E2F7}"/>
    <hyperlink ref="B159" r:id="rId158" xr:uid="{B2D6B0CC-5720-4787-B4CA-705F7605B4AF}"/>
    <hyperlink ref="B160" r:id="rId159" xr:uid="{281C1ACA-532F-4E7C-BD55-8CB1B30C8680}"/>
    <hyperlink ref="B161" r:id="rId160" xr:uid="{C2BD3695-49DC-4178-97EF-11DB9478C472}"/>
    <hyperlink ref="B162" r:id="rId161" xr:uid="{943C39E2-F6BA-4AA3-9655-A075A924638B}"/>
    <hyperlink ref="B163" r:id="rId162" xr:uid="{E19A9A8F-E991-4D77-8978-B9CF0408B0DC}"/>
    <hyperlink ref="B164" r:id="rId163" xr:uid="{E3FDBD06-410B-49B0-9181-1952CBF95ECA}"/>
    <hyperlink ref="B165" r:id="rId164" xr:uid="{31851CE7-D2FE-4C9E-AC21-48259D0C5E4E}"/>
    <hyperlink ref="B166" r:id="rId165" xr:uid="{20257757-6659-4B92-AA76-0851AA872EBF}"/>
    <hyperlink ref="B167" r:id="rId166" xr:uid="{71A87661-9C18-4881-9E0E-2A69FACC8DD6}"/>
    <hyperlink ref="B168" r:id="rId167" xr:uid="{49CFDF7E-43D5-4DF3-9C1F-EBA8DBA7FCB0}"/>
    <hyperlink ref="B169" r:id="rId168" xr:uid="{85A5CAC5-0E65-444B-BCEF-1B84A53FA20C}"/>
    <hyperlink ref="B170" r:id="rId169" xr:uid="{E5B4098C-DF79-488B-AE38-C4B66F76A9E7}"/>
    <hyperlink ref="B171" r:id="rId170" xr:uid="{73BC3EA0-F059-4769-9589-18E4E0315535}"/>
    <hyperlink ref="B172" r:id="rId171" xr:uid="{1352BB95-314E-4251-A17E-9708070D4F28}"/>
    <hyperlink ref="B173" r:id="rId172" xr:uid="{EBCFDC58-0A5D-454F-B7F8-DB1FAE442D6E}"/>
    <hyperlink ref="B174" r:id="rId173" xr:uid="{7D7CE80C-F902-4418-B4D0-89C6147527C1}"/>
    <hyperlink ref="B175" r:id="rId174" xr:uid="{FD4266BA-141C-4F20-A144-B3B0B01B2BC6}"/>
    <hyperlink ref="B176" r:id="rId175" xr:uid="{ABADD179-5E5F-4E53-A031-565EF2221E1D}"/>
    <hyperlink ref="B177" r:id="rId176" xr:uid="{BC403833-66CC-4718-B40E-A24BFDB642FA}"/>
    <hyperlink ref="B178" r:id="rId177" xr:uid="{3BE77B41-3DCF-478F-B185-EF8BC3831E05}"/>
    <hyperlink ref="B179" r:id="rId178" xr:uid="{B19E98A6-151D-4809-B9BF-7976BD2AED87}"/>
    <hyperlink ref="B180" r:id="rId179" xr:uid="{ED954D5F-271C-41B7-B43D-EEF1888A1F45}"/>
    <hyperlink ref="B181" r:id="rId180" xr:uid="{48078B40-3274-496A-BB53-CD69B9C3D5ED}"/>
    <hyperlink ref="B182" r:id="rId181" xr:uid="{B4B10F22-E71D-4189-A1E5-A7086B589D32}"/>
    <hyperlink ref="B183" r:id="rId182" xr:uid="{04156BC1-FE16-4A0C-A05A-00005A1ED9AF}"/>
    <hyperlink ref="B184" r:id="rId183" xr:uid="{30ED250F-F16E-43BB-8E57-FB4BB207A83F}"/>
    <hyperlink ref="B185" r:id="rId184" xr:uid="{50525070-C8D5-4AD1-929E-C3D1D85148B2}"/>
    <hyperlink ref="B186" r:id="rId185" xr:uid="{386CB2E7-ED05-4DFC-BAE3-DAE8CC07D635}"/>
    <hyperlink ref="B187" r:id="rId186" xr:uid="{7B241B4F-B882-4D3F-B2CF-398522FB44D1}"/>
    <hyperlink ref="B188" r:id="rId187" xr:uid="{F9FF3850-8D84-43D1-B785-57FE9D106928}"/>
    <hyperlink ref="B189" r:id="rId188" xr:uid="{7CCC913F-E40C-4D3B-AA28-E7C4455EB8B5}"/>
    <hyperlink ref="B190" r:id="rId189" xr:uid="{A3ACE8C9-7B5D-4CA3-B110-A3FE23CBDD45}"/>
    <hyperlink ref="B191" r:id="rId190" xr:uid="{7E0D4928-31CB-4DD6-B1C3-5DD38614CAA0}"/>
    <hyperlink ref="B192" r:id="rId191" xr:uid="{82F9E3B1-9879-4F96-8B39-E721EA2AE801}"/>
    <hyperlink ref="B193" r:id="rId192" xr:uid="{CB8C3226-6CF7-42EE-BDC9-FFD77113C1CC}"/>
    <hyperlink ref="B194" r:id="rId193" xr:uid="{00196CAA-B8AB-4166-AEE8-76CD816F640D}"/>
    <hyperlink ref="B195" r:id="rId194" xr:uid="{6BE984F4-8483-4843-8E9E-E6141AD57998}"/>
    <hyperlink ref="B196" r:id="rId195" xr:uid="{E7935FC9-0FB4-49A1-A4CB-CCA05A9B6114}"/>
    <hyperlink ref="B197" r:id="rId196" xr:uid="{6B192729-9C41-4D02-AD0F-BACE2E1A1C5A}"/>
    <hyperlink ref="B198" r:id="rId197" xr:uid="{1727C290-FB33-4208-B5D3-7CF38266ACC4}"/>
    <hyperlink ref="B199" r:id="rId198" xr:uid="{335F8440-CC48-43EE-9CAB-11E37325591E}"/>
    <hyperlink ref="B200" r:id="rId199" xr:uid="{588A042E-44B1-4E9D-83F8-F607E4F16F9E}"/>
    <hyperlink ref="B201" r:id="rId200" xr:uid="{24946FF1-D669-4169-9E15-06EB7627E37E}"/>
    <hyperlink ref="B202" r:id="rId201" xr:uid="{64C0A6E5-B261-4D76-AA17-AE215118C5F9}"/>
    <hyperlink ref="B203" r:id="rId202" xr:uid="{A3E3A126-20B4-436E-91EB-8571CCEC376F}"/>
    <hyperlink ref="B204" r:id="rId203" xr:uid="{D4E3A61B-2BEA-47A1-A351-20339098F1B3}"/>
    <hyperlink ref="B205" r:id="rId204" xr:uid="{DB4190F7-E94A-413F-9C53-3A643FC74CE8}"/>
    <hyperlink ref="B206" r:id="rId205" xr:uid="{306C9152-38E5-4E77-A30A-23B272AC0B94}"/>
    <hyperlink ref="B207" r:id="rId206" xr:uid="{1FA99973-75A1-4099-B11E-79235737C208}"/>
    <hyperlink ref="B208" r:id="rId207" xr:uid="{491D37E5-A502-4089-BD72-84DB1B293E1A}"/>
    <hyperlink ref="B209" r:id="rId208" xr:uid="{636865D3-4D06-4CF3-875F-5DEB3D3884A6}"/>
    <hyperlink ref="B210" r:id="rId209" xr:uid="{CEB85464-1C9A-4186-B27C-1AB3EFA44109}"/>
    <hyperlink ref="B211" r:id="rId210" xr:uid="{49CE447D-6D7C-44EF-91E2-FCBBA580BCF0}"/>
    <hyperlink ref="B212" r:id="rId211" xr:uid="{68B9777A-6A10-415E-8658-041023D148C5}"/>
    <hyperlink ref="B213" r:id="rId212" xr:uid="{580C5BDD-4427-41AA-A2B7-299B00627C9F}"/>
    <hyperlink ref="B214" r:id="rId213" xr:uid="{7AA13079-C38C-40B7-9A64-632A821B7E32}"/>
    <hyperlink ref="B215" r:id="rId214" xr:uid="{436C419F-A8EA-4943-B38B-94D1E612F4BF}"/>
    <hyperlink ref="B216" r:id="rId215" xr:uid="{D7836E82-A10C-4DA9-97BF-09C0AE586A95}"/>
    <hyperlink ref="B217" r:id="rId216" xr:uid="{715F6A03-7333-4C89-A06C-D1C7798AFA5C}"/>
    <hyperlink ref="B218" r:id="rId217" xr:uid="{8DD437D9-8AE2-439E-A252-D8149028AB7D}"/>
    <hyperlink ref="B219" r:id="rId218" xr:uid="{2130A957-B889-4217-BEAB-A69EC389A554}"/>
    <hyperlink ref="B220" r:id="rId219" xr:uid="{85BC4DED-C87D-4ACA-B5F1-4AA521FF4819}"/>
    <hyperlink ref="B221" r:id="rId220" xr:uid="{DED97882-1730-49DF-BD43-E796A6E77E96}"/>
    <hyperlink ref="B222" r:id="rId221" xr:uid="{0D9D1BA4-3DAA-40FE-9F9F-8617CA9BDC30}"/>
    <hyperlink ref="B223" r:id="rId222" xr:uid="{2A9F66B2-26C8-4B03-B65F-892FB2A7A327}"/>
    <hyperlink ref="B224" r:id="rId223" xr:uid="{C6221A4D-FAE3-49AB-AC15-114E05461BDD}"/>
    <hyperlink ref="B225" r:id="rId224" xr:uid="{6DAE1A4C-DDD4-4DFE-A662-EDD6E041E9DA}"/>
    <hyperlink ref="B226" r:id="rId225" xr:uid="{8B58A95F-7219-4C7D-BD14-93F0B35B0A37}"/>
    <hyperlink ref="B227" r:id="rId226" xr:uid="{7D9148E5-FA0E-4549-83DD-D7A5E5D960F3}"/>
    <hyperlink ref="B228" r:id="rId227" xr:uid="{7A2EF8E6-6B63-4400-9BC9-866D6979E7D3}"/>
    <hyperlink ref="B229" r:id="rId228" xr:uid="{00143816-48B3-4BFA-9FFC-427C82982260}"/>
    <hyperlink ref="B230" r:id="rId229" xr:uid="{D8ECFE3E-2BD9-4A4C-B0DC-58DB493A7F5B}"/>
    <hyperlink ref="B231" r:id="rId230" xr:uid="{63A255D9-5BEA-4A62-92DA-E00D1FE55F70}"/>
    <hyperlink ref="B232" r:id="rId231" xr:uid="{F33FF3FC-65FC-44CB-9C94-DE76F5FEC751}"/>
    <hyperlink ref="B233" r:id="rId232" xr:uid="{6477AD89-05E5-4AA7-872B-9C0D42194EF2}"/>
    <hyperlink ref="B234" r:id="rId233" xr:uid="{2132AA17-3D00-42A2-A148-703123FDF263}"/>
    <hyperlink ref="B235" r:id="rId234" xr:uid="{894BCCCB-895D-4441-97C3-716323543DC5}"/>
    <hyperlink ref="B236" r:id="rId235" xr:uid="{5EAABE65-1BBA-44E4-8F47-430AF5EA4FE0}"/>
    <hyperlink ref="B237" r:id="rId236" xr:uid="{748AFF1D-EA42-44E3-BD8B-BEBA5D490A99}"/>
    <hyperlink ref="B238" r:id="rId237" xr:uid="{1E1B5445-8F38-4EFA-A738-DD5C1469BB02}"/>
    <hyperlink ref="B239" r:id="rId238" xr:uid="{66357AF9-3E93-4836-8C66-7C2255129EED}"/>
    <hyperlink ref="B240" r:id="rId239" xr:uid="{40D55263-60AB-43E3-B40B-55800FD0E7E9}"/>
    <hyperlink ref="B241" r:id="rId240" xr:uid="{83D3FAE9-956C-44CA-B9EB-1D541562CDEC}"/>
    <hyperlink ref="B242" r:id="rId241" xr:uid="{B99D7865-79E4-456A-8902-38B084C6AEE9}"/>
    <hyperlink ref="B243" r:id="rId242" xr:uid="{AE1A0C55-52AD-4FCF-8475-59E371C7DD48}"/>
    <hyperlink ref="B244" r:id="rId243" xr:uid="{20CF0968-7FF1-414D-8B8D-D49585EF8C31}"/>
    <hyperlink ref="B245" r:id="rId244" xr:uid="{B359F168-FA32-4010-ACD1-4FF09BAFC6B9}"/>
    <hyperlink ref="B246" r:id="rId245" xr:uid="{1D0ED20E-D9CB-4299-A231-832C40009370}"/>
    <hyperlink ref="B247" r:id="rId246" xr:uid="{339E17F3-3E1D-4AAB-B311-93C0D40B13DB}"/>
    <hyperlink ref="B248" r:id="rId247" xr:uid="{01BEA492-1CD2-4C99-BF09-AA5D45D65236}"/>
    <hyperlink ref="B249" r:id="rId248" xr:uid="{6BC52130-745A-4716-A42E-521AB55B51BA}"/>
    <hyperlink ref="B250" r:id="rId249" xr:uid="{BFE0F2D6-9654-4B00-BF81-A3BD179B1C1F}"/>
    <hyperlink ref="B251" r:id="rId250" xr:uid="{763530DC-63A8-4419-A394-BAE93FBB8338}"/>
    <hyperlink ref="B252" r:id="rId251" xr:uid="{29BBD694-8DFE-4ABA-B1A0-61C557C45A05}"/>
    <hyperlink ref="B253" r:id="rId252" xr:uid="{3CE02825-BBE3-41B9-B791-3FD908301530}"/>
    <hyperlink ref="B254" r:id="rId253" xr:uid="{786602F1-3410-4FCA-A84C-34D05F3EEBE5}"/>
    <hyperlink ref="B255" r:id="rId254" xr:uid="{DB7AC323-8D5A-4B2B-9AFA-0B7EC769F85D}"/>
    <hyperlink ref="B256" r:id="rId255" xr:uid="{DF3068C4-E846-465F-81D0-C4FE41983BA3}"/>
  </hyperlinks>
  <pageMargins left="0.7" right="0.7" top="0.75" bottom="0.75" header="0.3" footer="0.3"/>
  <tableParts count="1">
    <tablePart r:id="rId25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1989E-33F3-486E-98E9-924589747748}">
  <dimension ref="A1:AE437"/>
  <sheetViews>
    <sheetView topLeftCell="E189" workbookViewId="0">
      <selection activeCell="F222" sqref="F222:G222"/>
    </sheetView>
  </sheetViews>
  <sheetFormatPr defaultColWidth="11.42578125" defaultRowHeight="15" x14ac:dyDescent="0.25"/>
  <cols>
    <col min="2" max="3" width="37.85546875" customWidth="1"/>
    <col min="4" max="4" width="13.42578125" customWidth="1"/>
    <col min="5" max="5" width="31.85546875" customWidth="1"/>
    <col min="6" max="7" width="21.85546875" customWidth="1"/>
    <col min="8" max="8" width="12.140625" customWidth="1"/>
    <col min="12" max="12" width="12.7109375" customWidth="1"/>
    <col min="13" max="13" width="29.28515625" customWidth="1"/>
    <col min="14" max="14" width="20" customWidth="1"/>
    <col min="15" max="15" width="15.85546875" customWidth="1"/>
    <col min="16" max="16" width="15.42578125" customWidth="1"/>
    <col min="17" max="17" width="15.140625" customWidth="1"/>
    <col min="18" max="20" width="26.42578125" customWidth="1"/>
    <col min="21" max="21" width="16.7109375" customWidth="1"/>
    <col min="23" max="23" width="15.42578125" customWidth="1"/>
    <col min="25" max="25" width="19.85546875" customWidth="1"/>
    <col min="26" max="26" width="15.7109375" customWidth="1"/>
    <col min="28" max="28" width="16" customWidth="1"/>
  </cols>
  <sheetData>
    <row r="1" spans="1:30" ht="60" customHeight="1" x14ac:dyDescent="0.25">
      <c r="A1" s="53" t="s">
        <v>0</v>
      </c>
      <c r="B1" s="52" t="s">
        <v>1</v>
      </c>
      <c r="C1" s="49" t="s">
        <v>2</v>
      </c>
      <c r="D1" s="52" t="s">
        <v>3</v>
      </c>
      <c r="E1" s="50" t="s">
        <v>4</v>
      </c>
      <c r="F1" s="52" t="s">
        <v>5</v>
      </c>
      <c r="G1" s="52" t="s">
        <v>6</v>
      </c>
      <c r="H1" s="52" t="s">
        <v>7</v>
      </c>
      <c r="I1" s="52" t="s">
        <v>8</v>
      </c>
      <c r="J1" s="52" t="s">
        <v>9</v>
      </c>
      <c r="K1" s="48" t="s">
        <v>10</v>
      </c>
      <c r="L1" s="48" t="s">
        <v>11</v>
      </c>
      <c r="M1" s="48" t="s">
        <v>12</v>
      </c>
      <c r="N1" s="48" t="s">
        <v>13</v>
      </c>
      <c r="O1" s="48" t="s">
        <v>14</v>
      </c>
      <c r="P1" s="48" t="s">
        <v>15</v>
      </c>
      <c r="Q1" s="48" t="s">
        <v>16</v>
      </c>
      <c r="R1" s="48" t="s">
        <v>17</v>
      </c>
      <c r="S1" s="48" t="s">
        <v>9149</v>
      </c>
      <c r="T1" s="48" t="s">
        <v>9150</v>
      </c>
      <c r="U1" s="48" t="s">
        <v>18</v>
      </c>
      <c r="V1" s="48" t="s">
        <v>19</v>
      </c>
      <c r="W1" s="48" t="s">
        <v>20</v>
      </c>
      <c r="X1" s="48" t="s">
        <v>21</v>
      </c>
      <c r="Y1" s="48" t="s">
        <v>22</v>
      </c>
      <c r="Z1" s="48" t="s">
        <v>23</v>
      </c>
      <c r="AA1" s="48" t="s">
        <v>24</v>
      </c>
      <c r="AB1" s="48" t="s">
        <v>25</v>
      </c>
      <c r="AC1" s="48" t="s">
        <v>201</v>
      </c>
      <c r="AD1" s="51" t="s">
        <v>27</v>
      </c>
    </row>
    <row r="2" spans="1:30" x14ac:dyDescent="0.25">
      <c r="A2" s="36">
        <v>767</v>
      </c>
      <c r="B2" s="14" t="s">
        <v>1561</v>
      </c>
      <c r="C2" s="14" t="s">
        <v>1562</v>
      </c>
      <c r="D2" s="17">
        <v>44138</v>
      </c>
      <c r="E2" s="14" t="s">
        <v>30</v>
      </c>
      <c r="F2" s="14">
        <v>118</v>
      </c>
      <c r="G2" s="14">
        <v>34</v>
      </c>
      <c r="H2" s="14">
        <v>5</v>
      </c>
      <c r="I2" s="14">
        <v>3</v>
      </c>
      <c r="J2" s="14" t="s">
        <v>31</v>
      </c>
      <c r="K2" s="14" cm="1">
        <f t="array" ref="K2">INT(SUMPRODUCT(--ISNUMBER(SEARCH(economy,C2)))&gt;0)</f>
        <v>1</v>
      </c>
      <c r="L2" s="14" cm="1">
        <f t="array" ref="L2">INT(SUMPRODUCT(--ISNUMBER(SEARCH(healthcare,C2)))&gt;0)</f>
        <v>0</v>
      </c>
      <c r="M2" s="14" cm="1">
        <f t="array" ref="M2">INT(SUMPRODUCT(--ISNUMBER(SEARCH(supreme,C2)))&gt;0)</f>
        <v>0</v>
      </c>
      <c r="N2" s="14" cm="1">
        <f t="array" ref="N2">INT(SUMPRODUCT(--ISNUMBER(SEARCH(covid,C2)))&gt;0)</f>
        <v>0</v>
      </c>
      <c r="O2" s="14" cm="1">
        <f t="array" ref="O2">INT(SUMPRODUCT(--ISNUMBER(SEARCH(violent,C2)))&gt;0)</f>
        <v>0</v>
      </c>
      <c r="P2" s="14" cm="1">
        <f t="array" ref="P2">INT(SUMPRODUCT(--ISNUMBER(SEARCH(foreign,C2)))&gt;0)</f>
        <v>0</v>
      </c>
      <c r="Q2" s="14" cm="1">
        <f t="array" ref="Q2">INT(SUMPRODUCT(--ISNUMBER(SEARCH(gun,C2)))&gt;0)</f>
        <v>0</v>
      </c>
      <c r="R2" s="14" cm="1">
        <f t="array" ref="R2">INT(SUMPRODUCT(--ISNUMBER(SEARCH(race,C2)))&gt;0)</f>
        <v>0</v>
      </c>
      <c r="S2" s="14" cm="1">
        <f t="array" ref="S2">INT(SUMPRODUCT(--ISNUMBER(SEARCH(immigration,C2)))&gt;0)</f>
        <v>0</v>
      </c>
      <c r="T2" s="14" cm="1">
        <f t="array" ref="T2">INT(SUMPRODUCT(--ISNUMBER(SEARCH(econineq,C3)))&gt;0)</f>
        <v>0</v>
      </c>
      <c r="U2" s="14" cm="1">
        <f t="array" ref="U2">INT(SUMPRODUCT(--ISNUMBER(SEARCH(climate,C2)))&gt;0)</f>
        <v>0</v>
      </c>
      <c r="V2" s="14" cm="1">
        <f t="array" ref="V2">INT(SUMPRODUCT(--ISNUMBER(SEARCH(abortion,C2)))&gt;0)</f>
        <v>0</v>
      </c>
      <c r="W2" s="14" cm="1">
        <f t="array" ref="W2">INT(SUMPRODUCT(--ISNUMBER(SEARCH(trump,C2)))&gt;0)</f>
        <v>0</v>
      </c>
      <c r="X2" s="14" cm="1">
        <f t="array" ref="X2">INT(SUMPRODUCT(--ISNUMBER(SEARCH(voting,C2)))&gt;0)</f>
        <v>1</v>
      </c>
      <c r="Y2" s="14" cm="1">
        <f t="array" ref="Y2">INT(SUMPRODUCT(--ISNUMBER(SEARCH(republicantrigger,C2)))&gt;0)</f>
        <v>0</v>
      </c>
      <c r="Z2" s="14" cm="1">
        <f t="array" ref="Z2">INT(SUMPRODUCT(--ISNUMBER(SEARCH(bipartisan,C2)))&gt;0)</f>
        <v>0</v>
      </c>
      <c r="AA2" s="14">
        <f>INT(IF(COUNTIF(K2:Z2,1)=0,"1","0"))</f>
        <v>0</v>
      </c>
      <c r="AB2" s="14"/>
      <c r="AC2" s="30">
        <v>0</v>
      </c>
      <c r="AD2" s="37">
        <v>0</v>
      </c>
    </row>
    <row r="3" spans="1:30" x14ac:dyDescent="0.25">
      <c r="A3" s="36">
        <v>768</v>
      </c>
      <c r="B3" s="14" t="s">
        <v>1563</v>
      </c>
      <c r="C3" s="14" t="s">
        <v>1564</v>
      </c>
      <c r="D3" s="17">
        <v>44138</v>
      </c>
      <c r="E3" s="14" t="s">
        <v>30</v>
      </c>
      <c r="F3" s="14">
        <v>183</v>
      </c>
      <c r="G3" s="14">
        <v>29</v>
      </c>
      <c r="H3" s="14">
        <v>5</v>
      </c>
      <c r="I3" s="14">
        <v>3</v>
      </c>
      <c r="J3" s="14" t="s">
        <v>31</v>
      </c>
      <c r="K3" s="14" cm="1">
        <f t="array" ref="K3">INT(SUMPRODUCT(--ISNUMBER(SEARCH(economy,C3)))&gt;0)</f>
        <v>0</v>
      </c>
      <c r="L3" s="14" cm="1">
        <f t="array" ref="L3">INT(SUMPRODUCT(--ISNUMBER(SEARCH(healthcare,C3)))&gt;0)</f>
        <v>0</v>
      </c>
      <c r="M3" s="14" cm="1">
        <f t="array" ref="M3">INT(SUMPRODUCT(--ISNUMBER(SEARCH(supreme,C3)))&gt;0)</f>
        <v>0</v>
      </c>
      <c r="N3" s="14" cm="1">
        <f t="array" ref="N3">INT(SUMPRODUCT(--ISNUMBER(SEARCH(covid,C3)))&gt;0)</f>
        <v>0</v>
      </c>
      <c r="O3" s="14" cm="1">
        <f t="array" ref="O3">INT(SUMPRODUCT(--ISNUMBER(SEARCH(violent,C3)))&gt;0)</f>
        <v>0</v>
      </c>
      <c r="P3" s="14" cm="1">
        <f t="array" ref="P3">INT(SUMPRODUCT(--ISNUMBER(SEARCH(foreign,C3)))&gt;0)</f>
        <v>0</v>
      </c>
      <c r="Q3" s="14" cm="1">
        <f t="array" ref="Q3">INT(SUMPRODUCT(--ISNUMBER(SEARCH(gun,C3)))&gt;0)</f>
        <v>0</v>
      </c>
      <c r="R3" s="14" cm="1">
        <f t="array" ref="R3">INT(SUMPRODUCT(--ISNUMBER(SEARCH(race,C3)))&gt;0)</f>
        <v>0</v>
      </c>
      <c r="S3" s="14" cm="1">
        <f t="array" ref="S3">INT(SUMPRODUCT(--ISNUMBER(SEARCH(immigration,C3)))&gt;0)</f>
        <v>0</v>
      </c>
      <c r="T3" s="14" cm="1">
        <f t="array" ref="T3">INT(SUMPRODUCT(--ISNUMBER(SEARCH(econineq,C4)))&gt;0)</f>
        <v>0</v>
      </c>
      <c r="U3" s="14" cm="1">
        <f t="array" ref="U3">INT(SUMPRODUCT(--ISNUMBER(SEARCH(climate,C3)))&gt;0)</f>
        <v>0</v>
      </c>
      <c r="V3" s="14" cm="1">
        <f t="array" ref="V3">INT(SUMPRODUCT(--ISNUMBER(SEARCH(abortion,C3)))&gt;0)</f>
        <v>0</v>
      </c>
      <c r="W3" s="14" cm="1">
        <f t="array" ref="W3">INT(SUMPRODUCT(--ISNUMBER(SEARCH(trump,C3)))&gt;0)</f>
        <v>0</v>
      </c>
      <c r="X3" s="14" cm="1">
        <f t="array" ref="X3">INT(SUMPRODUCT(--ISNUMBER(SEARCH(voting,C3)))&gt;0)</f>
        <v>1</v>
      </c>
      <c r="Y3" s="14" cm="1">
        <f t="array" ref="Y3">INT(SUMPRODUCT(--ISNUMBER(SEARCH(republicantrigger,C3)))&gt;0)</f>
        <v>0</v>
      </c>
      <c r="Z3" s="14" cm="1">
        <f t="array" ref="Z3">INT(SUMPRODUCT(--ISNUMBER(SEARCH(bipartisan,C3)))&gt;0)</f>
        <v>0</v>
      </c>
      <c r="AA3" s="14">
        <f t="shared" ref="AA3:AA66" si="0">INT(IF(COUNTIF(K3:Z3,1)=0,"1","0"))</f>
        <v>0</v>
      </c>
      <c r="AB3" s="14"/>
      <c r="AC3" s="30">
        <v>1</v>
      </c>
      <c r="AD3" s="37">
        <v>0</v>
      </c>
    </row>
    <row r="4" spans="1:30" x14ac:dyDescent="0.25">
      <c r="A4" s="36">
        <v>769</v>
      </c>
      <c r="B4" s="14" t="s">
        <v>1565</v>
      </c>
      <c r="C4" s="14" t="s">
        <v>1566</v>
      </c>
      <c r="D4" s="17">
        <v>44138</v>
      </c>
      <c r="E4" s="14" t="s">
        <v>30</v>
      </c>
      <c r="F4" s="14">
        <v>1322</v>
      </c>
      <c r="G4" s="14">
        <v>131</v>
      </c>
      <c r="H4" s="14">
        <v>5</v>
      </c>
      <c r="I4" s="14">
        <v>3</v>
      </c>
      <c r="J4" s="14" t="s">
        <v>31</v>
      </c>
      <c r="K4" s="14" cm="1">
        <f t="array" ref="K4">INT(SUMPRODUCT(--ISNUMBER(SEARCH(economy,C4)))&gt;0)</f>
        <v>0</v>
      </c>
      <c r="L4" s="14" cm="1">
        <f t="array" ref="L4">INT(SUMPRODUCT(--ISNUMBER(SEARCH(healthcare,C4)))&gt;0)</f>
        <v>0</v>
      </c>
      <c r="M4" s="14" cm="1">
        <f t="array" ref="M4">INT(SUMPRODUCT(--ISNUMBER(SEARCH(supreme,C4)))&gt;0)</f>
        <v>0</v>
      </c>
      <c r="N4" s="14" cm="1">
        <f t="array" ref="N4">INT(SUMPRODUCT(--ISNUMBER(SEARCH(covid,C4)))&gt;0)</f>
        <v>0</v>
      </c>
      <c r="O4" s="14" cm="1">
        <f t="array" ref="O4">INT(SUMPRODUCT(--ISNUMBER(SEARCH(violent,C4)))&gt;0)</f>
        <v>0</v>
      </c>
      <c r="P4" s="14" cm="1">
        <f t="array" ref="P4">INT(SUMPRODUCT(--ISNUMBER(SEARCH(foreign,C4)))&gt;0)</f>
        <v>0</v>
      </c>
      <c r="Q4" s="14" cm="1">
        <f t="array" ref="Q4">INT(SUMPRODUCT(--ISNUMBER(SEARCH(gun,C4)))&gt;0)</f>
        <v>0</v>
      </c>
      <c r="R4" s="14" cm="1">
        <f t="array" ref="R4">INT(SUMPRODUCT(--ISNUMBER(SEARCH(race,C4)))&gt;0)</f>
        <v>0</v>
      </c>
      <c r="S4" s="14" cm="1">
        <f t="array" ref="S4">INT(SUMPRODUCT(--ISNUMBER(SEARCH(immigration,C4)))&gt;0)</f>
        <v>0</v>
      </c>
      <c r="T4" s="14" cm="1">
        <f t="array" ref="T4">INT(SUMPRODUCT(--ISNUMBER(SEARCH(econineq,C5)))&gt;0)</f>
        <v>0</v>
      </c>
      <c r="U4" s="14" cm="1">
        <f t="array" ref="U4">INT(SUMPRODUCT(--ISNUMBER(SEARCH(climate,C4)))&gt;0)</f>
        <v>0</v>
      </c>
      <c r="V4" s="14" cm="1">
        <f t="array" ref="V4">INT(SUMPRODUCT(--ISNUMBER(SEARCH(abortion,C4)))&gt;0)</f>
        <v>0</v>
      </c>
      <c r="W4" s="14" cm="1">
        <f t="array" ref="W4">INT(SUMPRODUCT(--ISNUMBER(SEARCH(trump,C4)))&gt;0)</f>
        <v>0</v>
      </c>
      <c r="X4" s="14" cm="1">
        <f t="array" ref="X4">INT(SUMPRODUCT(--ISNUMBER(SEARCH(voting,C4)))&gt;0)</f>
        <v>1</v>
      </c>
      <c r="Y4" s="14" cm="1">
        <f t="array" ref="Y4">INT(SUMPRODUCT(--ISNUMBER(SEARCH(republicantrigger,C4)))&gt;0)</f>
        <v>0</v>
      </c>
      <c r="Z4" s="14" cm="1">
        <f t="array" ref="Z4">INT(SUMPRODUCT(--ISNUMBER(SEARCH(bipartisan,C4)))&gt;0)</f>
        <v>0</v>
      </c>
      <c r="AA4" s="14">
        <f t="shared" si="0"/>
        <v>0</v>
      </c>
      <c r="AB4" s="14"/>
      <c r="AC4" s="30">
        <v>1</v>
      </c>
      <c r="AD4" s="37">
        <v>0</v>
      </c>
    </row>
    <row r="5" spans="1:30" x14ac:dyDescent="0.25">
      <c r="A5" s="36">
        <v>770</v>
      </c>
      <c r="B5" s="14" t="s">
        <v>1567</v>
      </c>
      <c r="C5" s="14" t="s">
        <v>1568</v>
      </c>
      <c r="D5" s="17">
        <v>44138</v>
      </c>
      <c r="E5" s="14" t="s">
        <v>30</v>
      </c>
      <c r="F5" s="14">
        <v>285</v>
      </c>
      <c r="G5" s="14">
        <v>47</v>
      </c>
      <c r="H5" s="14">
        <v>5</v>
      </c>
      <c r="I5" s="14">
        <v>3</v>
      </c>
      <c r="J5" s="14" t="s">
        <v>31</v>
      </c>
      <c r="K5" s="14" cm="1">
        <f t="array" ref="K5">INT(SUMPRODUCT(--ISNUMBER(SEARCH(economy,C5)))&gt;0)</f>
        <v>0</v>
      </c>
      <c r="L5" s="14" cm="1">
        <f t="array" ref="L5">INT(SUMPRODUCT(--ISNUMBER(SEARCH(healthcare,C5)))&gt;0)</f>
        <v>0</v>
      </c>
      <c r="M5" s="14" cm="1">
        <f t="array" ref="M5">INT(SUMPRODUCT(--ISNUMBER(SEARCH(supreme,C5)))&gt;0)</f>
        <v>0</v>
      </c>
      <c r="N5" s="14" cm="1">
        <f t="array" ref="N5">INT(SUMPRODUCT(--ISNUMBER(SEARCH(covid,C5)))&gt;0)</f>
        <v>0</v>
      </c>
      <c r="O5" s="14" cm="1">
        <f t="array" ref="O5">INT(SUMPRODUCT(--ISNUMBER(SEARCH(violent,C5)))&gt;0)</f>
        <v>0</v>
      </c>
      <c r="P5" s="14" cm="1">
        <f t="array" ref="P5">INT(SUMPRODUCT(--ISNUMBER(SEARCH(foreign,C5)))&gt;0)</f>
        <v>0</v>
      </c>
      <c r="Q5" s="14" cm="1">
        <f t="array" ref="Q5">INT(SUMPRODUCT(--ISNUMBER(SEARCH(gun,C5)))&gt;0)</f>
        <v>0</v>
      </c>
      <c r="R5" s="14" cm="1">
        <f t="array" ref="R5">INT(SUMPRODUCT(--ISNUMBER(SEARCH(race,C5)))&gt;0)</f>
        <v>0</v>
      </c>
      <c r="S5" s="14" cm="1">
        <f t="array" ref="S5">INT(SUMPRODUCT(--ISNUMBER(SEARCH(immigration,C5)))&gt;0)</f>
        <v>0</v>
      </c>
      <c r="T5" s="14" cm="1">
        <f t="array" ref="T5">INT(SUMPRODUCT(--ISNUMBER(SEARCH(econineq,C6)))&gt;0)</f>
        <v>0</v>
      </c>
      <c r="U5" s="14" cm="1">
        <f t="array" ref="U5">INT(SUMPRODUCT(--ISNUMBER(SEARCH(climate,C5)))&gt;0)</f>
        <v>0</v>
      </c>
      <c r="V5" s="14" cm="1">
        <f t="array" ref="V5">INT(SUMPRODUCT(--ISNUMBER(SEARCH(abortion,C5)))&gt;0)</f>
        <v>0</v>
      </c>
      <c r="W5" s="14" cm="1">
        <f t="array" ref="W5">INT(SUMPRODUCT(--ISNUMBER(SEARCH(trump,C5)))&gt;0)</f>
        <v>0</v>
      </c>
      <c r="X5" s="14" cm="1">
        <f t="array" ref="X5">INT(SUMPRODUCT(--ISNUMBER(SEARCH(voting,C5)))&gt;0)</f>
        <v>1</v>
      </c>
      <c r="Y5" s="14" cm="1">
        <f t="array" ref="Y5">INT(SUMPRODUCT(--ISNUMBER(SEARCH(republicantrigger,C5)))&gt;0)</f>
        <v>0</v>
      </c>
      <c r="Z5" s="14" cm="1">
        <f t="array" ref="Z5">INT(SUMPRODUCT(--ISNUMBER(SEARCH(bipartisan,C5)))&gt;0)</f>
        <v>0</v>
      </c>
      <c r="AA5" s="14">
        <f t="shared" si="0"/>
        <v>0</v>
      </c>
      <c r="AB5" s="14"/>
      <c r="AC5" s="30">
        <v>1</v>
      </c>
      <c r="AD5" s="37">
        <v>0</v>
      </c>
    </row>
    <row r="6" spans="1:30" x14ac:dyDescent="0.25">
      <c r="A6" s="36">
        <v>771</v>
      </c>
      <c r="B6" s="14" t="s">
        <v>1569</v>
      </c>
      <c r="C6" s="14" t="s">
        <v>1570</v>
      </c>
      <c r="D6" s="17">
        <v>44138</v>
      </c>
      <c r="E6" s="14" t="s">
        <v>30</v>
      </c>
      <c r="F6" s="14">
        <v>258</v>
      </c>
      <c r="G6" s="14">
        <v>31</v>
      </c>
      <c r="H6" s="14">
        <v>5</v>
      </c>
      <c r="I6" s="14">
        <v>3</v>
      </c>
      <c r="J6" s="14" t="s">
        <v>31</v>
      </c>
      <c r="K6" s="14" cm="1">
        <f t="array" ref="K6">INT(SUMPRODUCT(--ISNUMBER(SEARCH(economy,C6)))&gt;0)</f>
        <v>0</v>
      </c>
      <c r="L6" s="14" cm="1">
        <f t="array" ref="L6">INT(SUMPRODUCT(--ISNUMBER(SEARCH(healthcare,C6)))&gt;0)</f>
        <v>0</v>
      </c>
      <c r="M6" s="14" cm="1">
        <f t="array" ref="M6">INT(SUMPRODUCT(--ISNUMBER(SEARCH(supreme,C6)))&gt;0)</f>
        <v>0</v>
      </c>
      <c r="N6" s="14" cm="1">
        <f t="array" ref="N6">INT(SUMPRODUCT(--ISNUMBER(SEARCH(covid,C6)))&gt;0)</f>
        <v>0</v>
      </c>
      <c r="O6" s="14" cm="1">
        <f t="array" ref="O6">INT(SUMPRODUCT(--ISNUMBER(SEARCH(violent,C6)))&gt;0)</f>
        <v>0</v>
      </c>
      <c r="P6" s="14" cm="1">
        <f t="array" ref="P6">INT(SUMPRODUCT(--ISNUMBER(SEARCH(foreign,C6)))&gt;0)</f>
        <v>0</v>
      </c>
      <c r="Q6" s="14" cm="1">
        <f t="array" ref="Q6">INT(SUMPRODUCT(--ISNUMBER(SEARCH(gun,C6)))&gt;0)</f>
        <v>0</v>
      </c>
      <c r="R6" s="14" cm="1">
        <f t="array" ref="R6">INT(SUMPRODUCT(--ISNUMBER(SEARCH(race,C6)))&gt;0)</f>
        <v>0</v>
      </c>
      <c r="S6" s="14" cm="1">
        <f t="array" ref="S6">INT(SUMPRODUCT(--ISNUMBER(SEARCH(immigration,C6)))&gt;0)</f>
        <v>0</v>
      </c>
      <c r="T6" s="14" cm="1">
        <f t="array" ref="T6">INT(SUMPRODUCT(--ISNUMBER(SEARCH(econineq,C7)))&gt;0)</f>
        <v>0</v>
      </c>
      <c r="U6" s="14" cm="1">
        <f t="array" ref="U6">INT(SUMPRODUCT(--ISNUMBER(SEARCH(climate,C6)))&gt;0)</f>
        <v>0</v>
      </c>
      <c r="V6" s="14" cm="1">
        <f t="array" ref="V6">INT(SUMPRODUCT(--ISNUMBER(SEARCH(abortion,C6)))&gt;0)</f>
        <v>0</v>
      </c>
      <c r="W6" s="14" cm="1">
        <f t="array" ref="W6">INT(SUMPRODUCT(--ISNUMBER(SEARCH(trump,C6)))&gt;0)</f>
        <v>1</v>
      </c>
      <c r="X6" s="14" cm="1">
        <f t="array" ref="X6">INT(SUMPRODUCT(--ISNUMBER(SEARCH(voting,C6)))&gt;0)</f>
        <v>1</v>
      </c>
      <c r="Y6" s="14" cm="1">
        <f t="array" ref="Y6">INT(SUMPRODUCT(--ISNUMBER(SEARCH(republicantrigger,C6)))&gt;0)</f>
        <v>0</v>
      </c>
      <c r="Z6" s="14" cm="1">
        <f t="array" ref="Z6">INT(SUMPRODUCT(--ISNUMBER(SEARCH(bipartisan,C6)))&gt;0)</f>
        <v>0</v>
      </c>
      <c r="AA6" s="14">
        <f t="shared" si="0"/>
        <v>0</v>
      </c>
      <c r="AB6" s="14"/>
      <c r="AC6" s="30">
        <v>0</v>
      </c>
      <c r="AD6" s="37">
        <v>1</v>
      </c>
    </row>
    <row r="7" spans="1:30" x14ac:dyDescent="0.25">
      <c r="A7" s="36">
        <v>772</v>
      </c>
      <c r="B7" s="14" t="s">
        <v>1571</v>
      </c>
      <c r="C7" s="14" t="s">
        <v>1572</v>
      </c>
      <c r="D7" s="17">
        <v>44138</v>
      </c>
      <c r="E7" s="14" t="s">
        <v>30</v>
      </c>
      <c r="F7" s="14">
        <v>111</v>
      </c>
      <c r="G7" s="14">
        <v>16</v>
      </c>
      <c r="H7" s="14">
        <v>5</v>
      </c>
      <c r="I7" s="14">
        <v>3</v>
      </c>
      <c r="J7" s="14" t="s">
        <v>31</v>
      </c>
      <c r="K7" s="14" cm="1">
        <f t="array" ref="K7">INT(SUMPRODUCT(--ISNUMBER(SEARCH(economy,C7)))&gt;0)</f>
        <v>0</v>
      </c>
      <c r="L7" s="14" cm="1">
        <f t="array" ref="L7">INT(SUMPRODUCT(--ISNUMBER(SEARCH(healthcare,C7)))&gt;0)</f>
        <v>0</v>
      </c>
      <c r="M7" s="14" cm="1">
        <f t="array" ref="M7">INT(SUMPRODUCT(--ISNUMBER(SEARCH(supreme,C7)))&gt;0)</f>
        <v>0</v>
      </c>
      <c r="N7" s="14" cm="1">
        <f t="array" ref="N7">INT(SUMPRODUCT(--ISNUMBER(SEARCH(covid,C7)))&gt;0)</f>
        <v>0</v>
      </c>
      <c r="O7" s="14" cm="1">
        <f t="array" ref="O7">INT(SUMPRODUCT(--ISNUMBER(SEARCH(violent,C7)))&gt;0)</f>
        <v>0</v>
      </c>
      <c r="P7" s="14" cm="1">
        <f t="array" ref="P7">INT(SUMPRODUCT(--ISNUMBER(SEARCH(foreign,C7)))&gt;0)</f>
        <v>0</v>
      </c>
      <c r="Q7" s="14" cm="1">
        <f t="array" ref="Q7">INT(SUMPRODUCT(--ISNUMBER(SEARCH(gun,C7)))&gt;0)</f>
        <v>0</v>
      </c>
      <c r="R7" s="14" cm="1">
        <f t="array" ref="R7">INT(SUMPRODUCT(--ISNUMBER(SEARCH(race,C7)))&gt;0)</f>
        <v>0</v>
      </c>
      <c r="S7" s="14" cm="1">
        <f t="array" ref="S7">INT(SUMPRODUCT(--ISNUMBER(SEARCH(immigration,C7)))&gt;0)</f>
        <v>0</v>
      </c>
      <c r="T7" s="14" cm="1">
        <f t="array" ref="T7">INT(SUMPRODUCT(--ISNUMBER(SEARCH(econineq,C8)))&gt;0)</f>
        <v>0</v>
      </c>
      <c r="U7" s="14" cm="1">
        <f t="array" ref="U7">INT(SUMPRODUCT(--ISNUMBER(SEARCH(climate,C7)))&gt;0)</f>
        <v>0</v>
      </c>
      <c r="V7" s="14" cm="1">
        <f t="array" ref="V7">INT(SUMPRODUCT(--ISNUMBER(SEARCH(abortion,C7)))&gt;0)</f>
        <v>0</v>
      </c>
      <c r="W7" s="14" cm="1">
        <f t="array" ref="W7">INT(SUMPRODUCT(--ISNUMBER(SEARCH(trump,C7)))&gt;0)</f>
        <v>0</v>
      </c>
      <c r="X7" s="14" cm="1">
        <f t="array" ref="X7">INT(SUMPRODUCT(--ISNUMBER(SEARCH(voting,C7)))&gt;0)</f>
        <v>0</v>
      </c>
      <c r="Y7" s="14" cm="1">
        <f t="array" ref="Y7">INT(SUMPRODUCT(--ISNUMBER(SEARCH(republicantrigger,C7)))&gt;0)</f>
        <v>0</v>
      </c>
      <c r="Z7" s="14" cm="1">
        <f t="array" ref="Z7">INT(SUMPRODUCT(--ISNUMBER(SEARCH(bipartisan,C7)))&gt;0)</f>
        <v>0</v>
      </c>
      <c r="AA7" s="14">
        <f t="shared" si="0"/>
        <v>1</v>
      </c>
      <c r="AB7" s="14"/>
      <c r="AC7" s="30">
        <v>1</v>
      </c>
      <c r="AD7" s="37">
        <v>0</v>
      </c>
    </row>
    <row r="8" spans="1:30" x14ac:dyDescent="0.25">
      <c r="A8" s="36">
        <v>773</v>
      </c>
      <c r="B8" s="14" t="s">
        <v>1573</v>
      </c>
      <c r="C8" s="14" t="s">
        <v>1574</v>
      </c>
      <c r="D8" s="17">
        <v>44137</v>
      </c>
      <c r="E8" s="14" t="s">
        <v>30</v>
      </c>
      <c r="F8" s="14">
        <v>503</v>
      </c>
      <c r="G8" s="14">
        <v>64</v>
      </c>
      <c r="H8" s="14">
        <v>5</v>
      </c>
      <c r="I8" s="14">
        <v>3</v>
      </c>
      <c r="J8" s="14" t="s">
        <v>31</v>
      </c>
      <c r="K8" s="14" cm="1">
        <f t="array" ref="K8">INT(SUMPRODUCT(--ISNUMBER(SEARCH(economy,C8)))&gt;0)</f>
        <v>0</v>
      </c>
      <c r="L8" s="14" cm="1">
        <f t="array" ref="L8">INT(SUMPRODUCT(--ISNUMBER(SEARCH(healthcare,C8)))&gt;0)</f>
        <v>0</v>
      </c>
      <c r="M8" s="14" cm="1">
        <f t="array" ref="M8">INT(SUMPRODUCT(--ISNUMBER(SEARCH(supreme,C8)))&gt;0)</f>
        <v>0</v>
      </c>
      <c r="N8" s="14" cm="1">
        <f t="array" ref="N8">INT(SUMPRODUCT(--ISNUMBER(SEARCH(covid,C8)))&gt;0)</f>
        <v>0</v>
      </c>
      <c r="O8" s="14" cm="1">
        <f t="array" ref="O8">INT(SUMPRODUCT(--ISNUMBER(SEARCH(violent,C8)))&gt;0)</f>
        <v>0</v>
      </c>
      <c r="P8" s="14" cm="1">
        <f t="array" ref="P8">INT(SUMPRODUCT(--ISNUMBER(SEARCH(foreign,C8)))&gt;0)</f>
        <v>0</v>
      </c>
      <c r="Q8" s="14" cm="1">
        <f t="array" ref="Q8">INT(SUMPRODUCT(--ISNUMBER(SEARCH(gun,C8)))&gt;0)</f>
        <v>0</v>
      </c>
      <c r="R8" s="14" cm="1">
        <f t="array" ref="R8">INT(SUMPRODUCT(--ISNUMBER(SEARCH(race,C8)))&gt;0)</f>
        <v>0</v>
      </c>
      <c r="S8" s="14" cm="1">
        <f t="array" ref="S8">INT(SUMPRODUCT(--ISNUMBER(SEARCH(immigration,C8)))&gt;0)</f>
        <v>0</v>
      </c>
      <c r="T8" s="14" cm="1">
        <f t="array" ref="T8">INT(SUMPRODUCT(--ISNUMBER(SEARCH(econineq,C9)))&gt;0)</f>
        <v>0</v>
      </c>
      <c r="U8" s="14" cm="1">
        <f t="array" ref="U8">INT(SUMPRODUCT(--ISNUMBER(SEARCH(climate,C8)))&gt;0)</f>
        <v>0</v>
      </c>
      <c r="V8" s="14" cm="1">
        <f t="array" ref="V8">INT(SUMPRODUCT(--ISNUMBER(SEARCH(abortion,C8)))&gt;0)</f>
        <v>0</v>
      </c>
      <c r="W8" s="14" cm="1">
        <f t="array" ref="W8">INT(SUMPRODUCT(--ISNUMBER(SEARCH(trump,C8)))&gt;0)</f>
        <v>1</v>
      </c>
      <c r="X8" s="14" cm="1">
        <f t="array" ref="X8">INT(SUMPRODUCT(--ISNUMBER(SEARCH(voting,C8)))&gt;0)</f>
        <v>0</v>
      </c>
      <c r="Y8" s="14" cm="1">
        <f t="array" ref="Y8">INT(SUMPRODUCT(--ISNUMBER(SEARCH(republicantrigger,C8)))&gt;0)</f>
        <v>0</v>
      </c>
      <c r="Z8" s="14" cm="1">
        <f t="array" ref="Z8">INT(SUMPRODUCT(--ISNUMBER(SEARCH(bipartisan,C8)))&gt;0)</f>
        <v>0</v>
      </c>
      <c r="AA8" s="14">
        <f t="shared" si="0"/>
        <v>0</v>
      </c>
      <c r="AB8" s="14"/>
      <c r="AC8" s="30">
        <v>1</v>
      </c>
      <c r="AD8" s="37">
        <v>0</v>
      </c>
    </row>
    <row r="9" spans="1:30" x14ac:dyDescent="0.25">
      <c r="A9" s="36">
        <v>774</v>
      </c>
      <c r="B9" s="14" t="s">
        <v>1575</v>
      </c>
      <c r="C9" s="14" t="s">
        <v>1576</v>
      </c>
      <c r="D9" s="17">
        <v>44137</v>
      </c>
      <c r="E9" s="14" t="s">
        <v>30</v>
      </c>
      <c r="F9" s="14">
        <v>150</v>
      </c>
      <c r="G9" s="14">
        <v>30</v>
      </c>
      <c r="H9" s="14">
        <v>5</v>
      </c>
      <c r="I9" s="14">
        <v>3</v>
      </c>
      <c r="J9" s="14" t="s">
        <v>31</v>
      </c>
      <c r="K9" s="14" cm="1">
        <f t="array" ref="K9">INT(SUMPRODUCT(--ISNUMBER(SEARCH(economy,C9)))&gt;0)</f>
        <v>0</v>
      </c>
      <c r="L9" s="14" cm="1">
        <f t="array" ref="L9">INT(SUMPRODUCT(--ISNUMBER(SEARCH(healthcare,C9)))&gt;0)</f>
        <v>0</v>
      </c>
      <c r="M9" s="14" cm="1">
        <f t="array" ref="M9">INT(SUMPRODUCT(--ISNUMBER(SEARCH(supreme,C9)))&gt;0)</f>
        <v>0</v>
      </c>
      <c r="N9" s="14" cm="1">
        <f t="array" ref="N9">INT(SUMPRODUCT(--ISNUMBER(SEARCH(covid,C9)))&gt;0)</f>
        <v>0</v>
      </c>
      <c r="O9" s="14" cm="1">
        <f t="array" ref="O9">INT(SUMPRODUCT(--ISNUMBER(SEARCH(violent,C9)))&gt;0)</f>
        <v>0</v>
      </c>
      <c r="P9" s="14" cm="1">
        <f t="array" ref="P9">INT(SUMPRODUCT(--ISNUMBER(SEARCH(foreign,C9)))&gt;0)</f>
        <v>0</v>
      </c>
      <c r="Q9" s="14" cm="1">
        <f t="array" ref="Q9">INT(SUMPRODUCT(--ISNUMBER(SEARCH(gun,C9)))&gt;0)</f>
        <v>0</v>
      </c>
      <c r="R9" s="14" cm="1">
        <f t="array" ref="R9">INT(SUMPRODUCT(--ISNUMBER(SEARCH(race,C9)))&gt;0)</f>
        <v>0</v>
      </c>
      <c r="S9" s="14" cm="1">
        <f t="array" ref="S9">INT(SUMPRODUCT(--ISNUMBER(SEARCH(immigration,C9)))&gt;0)</f>
        <v>0</v>
      </c>
      <c r="T9" s="14" cm="1">
        <f t="array" ref="T9">INT(SUMPRODUCT(--ISNUMBER(SEARCH(econineq,C10)))&gt;0)</f>
        <v>0</v>
      </c>
      <c r="U9" s="14" cm="1">
        <f t="array" ref="U9">INT(SUMPRODUCT(--ISNUMBER(SEARCH(climate,C9)))&gt;0)</f>
        <v>0</v>
      </c>
      <c r="V9" s="14" cm="1">
        <f t="array" ref="V9">INT(SUMPRODUCT(--ISNUMBER(SEARCH(abortion,C9)))&gt;0)</f>
        <v>0</v>
      </c>
      <c r="W9" s="14" cm="1">
        <f t="array" ref="W9">INT(SUMPRODUCT(--ISNUMBER(SEARCH(trump,C9)))&gt;0)</f>
        <v>0</v>
      </c>
      <c r="X9" s="14" cm="1">
        <f t="array" ref="X9">INT(SUMPRODUCT(--ISNUMBER(SEARCH(voting,C9)))&gt;0)</f>
        <v>0</v>
      </c>
      <c r="Y9" s="14" cm="1">
        <f t="array" ref="Y9">INT(SUMPRODUCT(--ISNUMBER(SEARCH(republicantrigger,C9)))&gt;0)</f>
        <v>0</v>
      </c>
      <c r="Z9" s="14" cm="1">
        <f t="array" ref="Z9">INT(SUMPRODUCT(--ISNUMBER(SEARCH(bipartisan,C9)))&gt;0)</f>
        <v>0</v>
      </c>
      <c r="AA9" s="14">
        <f t="shared" si="0"/>
        <v>1</v>
      </c>
      <c r="AB9" s="14"/>
      <c r="AC9" s="30">
        <v>1</v>
      </c>
      <c r="AD9" s="37">
        <v>0</v>
      </c>
    </row>
    <row r="10" spans="1:30" x14ac:dyDescent="0.25">
      <c r="A10" s="36">
        <v>775</v>
      </c>
      <c r="B10" s="14" t="s">
        <v>1577</v>
      </c>
      <c r="C10" s="14" t="s">
        <v>1578</v>
      </c>
      <c r="D10" s="17">
        <v>44137</v>
      </c>
      <c r="E10" s="14" t="s">
        <v>30</v>
      </c>
      <c r="F10" s="14">
        <v>1010</v>
      </c>
      <c r="G10" s="14">
        <v>195</v>
      </c>
      <c r="H10" s="14">
        <v>5</v>
      </c>
      <c r="I10" s="14">
        <v>3</v>
      </c>
      <c r="J10" s="14" t="s">
        <v>31</v>
      </c>
      <c r="K10" s="14" cm="1">
        <f t="array" ref="K10">INT(SUMPRODUCT(--ISNUMBER(SEARCH(economy,C10)))&gt;0)</f>
        <v>0</v>
      </c>
      <c r="L10" s="14" cm="1">
        <f t="array" ref="L10">INT(SUMPRODUCT(--ISNUMBER(SEARCH(healthcare,C10)))&gt;0)</f>
        <v>0</v>
      </c>
      <c r="M10" s="14" cm="1">
        <f t="array" ref="M10">INT(SUMPRODUCT(--ISNUMBER(SEARCH(supreme,C10)))&gt;0)</f>
        <v>0</v>
      </c>
      <c r="N10" s="14" cm="1">
        <f t="array" ref="N10">INT(SUMPRODUCT(--ISNUMBER(SEARCH(covid,C10)))&gt;0)</f>
        <v>0</v>
      </c>
      <c r="O10" s="14" cm="1">
        <f t="array" ref="O10">INT(SUMPRODUCT(--ISNUMBER(SEARCH(violent,C10)))&gt;0)</f>
        <v>0</v>
      </c>
      <c r="P10" s="14" cm="1">
        <f t="array" ref="P10">INT(SUMPRODUCT(--ISNUMBER(SEARCH(foreign,C10)))&gt;0)</f>
        <v>0</v>
      </c>
      <c r="Q10" s="14" cm="1">
        <f t="array" ref="Q10">INT(SUMPRODUCT(--ISNUMBER(SEARCH(gun,C10)))&gt;0)</f>
        <v>0</v>
      </c>
      <c r="R10" s="14" cm="1">
        <f t="array" ref="R10">INT(SUMPRODUCT(--ISNUMBER(SEARCH(race,C10)))&gt;0)</f>
        <v>0</v>
      </c>
      <c r="S10" s="14" cm="1">
        <f t="array" ref="S10">INT(SUMPRODUCT(--ISNUMBER(SEARCH(immigration,C10)))&gt;0)</f>
        <v>0</v>
      </c>
      <c r="T10" s="14" cm="1">
        <f t="array" ref="T10">INT(SUMPRODUCT(--ISNUMBER(SEARCH(econineq,C11)))&gt;0)</f>
        <v>0</v>
      </c>
      <c r="U10" s="14" cm="1">
        <f t="array" ref="U10">INT(SUMPRODUCT(--ISNUMBER(SEARCH(climate,C10)))&gt;0)</f>
        <v>0</v>
      </c>
      <c r="V10" s="14" cm="1">
        <f t="array" ref="V10">INT(SUMPRODUCT(--ISNUMBER(SEARCH(abortion,C10)))&gt;0)</f>
        <v>0</v>
      </c>
      <c r="W10" s="14" cm="1">
        <f t="array" ref="W10">INT(SUMPRODUCT(--ISNUMBER(SEARCH(trump,C10)))&gt;0)</f>
        <v>0</v>
      </c>
      <c r="X10" s="14" cm="1">
        <f t="array" ref="X10">INT(SUMPRODUCT(--ISNUMBER(SEARCH(voting,C10)))&gt;0)</f>
        <v>1</v>
      </c>
      <c r="Y10" s="14" cm="1">
        <f t="array" ref="Y10">INT(SUMPRODUCT(--ISNUMBER(SEARCH(republicantrigger,C10)))&gt;0)</f>
        <v>0</v>
      </c>
      <c r="Z10" s="14" cm="1">
        <f t="array" ref="Z10">INT(SUMPRODUCT(--ISNUMBER(SEARCH(bipartisan,C10)))&gt;0)</f>
        <v>0</v>
      </c>
      <c r="AA10" s="14">
        <f t="shared" si="0"/>
        <v>0</v>
      </c>
      <c r="AB10" s="14"/>
      <c r="AC10" s="30">
        <v>0</v>
      </c>
      <c r="AD10" s="37">
        <v>1</v>
      </c>
    </row>
    <row r="11" spans="1:30" x14ac:dyDescent="0.25">
      <c r="A11" s="36">
        <v>776</v>
      </c>
      <c r="B11" s="14" t="s">
        <v>1579</v>
      </c>
      <c r="C11" s="14" t="s">
        <v>1580</v>
      </c>
      <c r="D11" s="17">
        <v>44137</v>
      </c>
      <c r="E11" s="14" t="s">
        <v>30</v>
      </c>
      <c r="F11" s="14">
        <v>126</v>
      </c>
      <c r="G11" s="14">
        <v>26</v>
      </c>
      <c r="H11" s="14">
        <v>5</v>
      </c>
      <c r="I11" s="14">
        <v>3</v>
      </c>
      <c r="J11" s="14" t="s">
        <v>31</v>
      </c>
      <c r="K11" s="14" cm="1">
        <f t="array" ref="K11">INT(SUMPRODUCT(--ISNUMBER(SEARCH(economy,C11)))&gt;0)</f>
        <v>0</v>
      </c>
      <c r="L11" s="14" cm="1">
        <f t="array" ref="L11">INT(SUMPRODUCT(--ISNUMBER(SEARCH(healthcare,C11)))&gt;0)</f>
        <v>0</v>
      </c>
      <c r="M11" s="14" cm="1">
        <f t="array" ref="M11">INT(SUMPRODUCT(--ISNUMBER(SEARCH(supreme,C11)))&gt;0)</f>
        <v>0</v>
      </c>
      <c r="N11" s="14" cm="1">
        <f t="array" ref="N11">INT(SUMPRODUCT(--ISNUMBER(SEARCH(covid,C11)))&gt;0)</f>
        <v>0</v>
      </c>
      <c r="O11" s="14" cm="1">
        <f t="array" ref="O11">INT(SUMPRODUCT(--ISNUMBER(SEARCH(violent,C11)))&gt;0)</f>
        <v>0</v>
      </c>
      <c r="P11" s="14" cm="1">
        <f t="array" ref="P11">INT(SUMPRODUCT(--ISNUMBER(SEARCH(foreign,C11)))&gt;0)</f>
        <v>0</v>
      </c>
      <c r="Q11" s="14" cm="1">
        <f t="array" ref="Q11">INT(SUMPRODUCT(--ISNUMBER(SEARCH(gun,C11)))&gt;0)</f>
        <v>0</v>
      </c>
      <c r="R11" s="14" cm="1">
        <f t="array" ref="R11">INT(SUMPRODUCT(--ISNUMBER(SEARCH(race,C11)))&gt;0)</f>
        <v>0</v>
      </c>
      <c r="S11" s="14" cm="1">
        <f t="array" ref="S11">INT(SUMPRODUCT(--ISNUMBER(SEARCH(immigration,C11)))&gt;0)</f>
        <v>0</v>
      </c>
      <c r="T11" s="14" cm="1">
        <f t="array" ref="T11">INT(SUMPRODUCT(--ISNUMBER(SEARCH(econineq,C12)))&gt;0)</f>
        <v>0</v>
      </c>
      <c r="U11" s="14" cm="1">
        <f t="array" ref="U11">INT(SUMPRODUCT(--ISNUMBER(SEARCH(climate,C11)))&gt;0)</f>
        <v>0</v>
      </c>
      <c r="V11" s="14" cm="1">
        <f t="array" ref="V11">INT(SUMPRODUCT(--ISNUMBER(SEARCH(abortion,C11)))&gt;0)</f>
        <v>0</v>
      </c>
      <c r="W11" s="14" cm="1">
        <f t="array" ref="W11">INT(SUMPRODUCT(--ISNUMBER(SEARCH(trump,C11)))&gt;0)</f>
        <v>0</v>
      </c>
      <c r="X11" s="14" cm="1">
        <f t="array" ref="X11">INT(SUMPRODUCT(--ISNUMBER(SEARCH(voting,C11)))&gt;0)</f>
        <v>0</v>
      </c>
      <c r="Y11" s="14" cm="1">
        <f t="array" ref="Y11">INT(SUMPRODUCT(--ISNUMBER(SEARCH(republicantrigger,C11)))&gt;0)</f>
        <v>0</v>
      </c>
      <c r="Z11" s="14" cm="1">
        <f t="array" ref="Z11">INT(SUMPRODUCT(--ISNUMBER(SEARCH(bipartisan,C11)))&gt;0)</f>
        <v>0</v>
      </c>
      <c r="AA11" s="14">
        <f t="shared" si="0"/>
        <v>1</v>
      </c>
      <c r="AB11" s="14"/>
      <c r="AC11" s="30">
        <v>1</v>
      </c>
      <c r="AD11" s="37">
        <v>0</v>
      </c>
    </row>
    <row r="12" spans="1:30" x14ac:dyDescent="0.25">
      <c r="A12" s="36">
        <v>777</v>
      </c>
      <c r="B12" s="14" t="s">
        <v>1581</v>
      </c>
      <c r="C12" s="14" t="s">
        <v>1582</v>
      </c>
      <c r="D12" s="17">
        <v>44137</v>
      </c>
      <c r="E12" s="14" t="s">
        <v>30</v>
      </c>
      <c r="F12" s="14">
        <v>147</v>
      </c>
      <c r="G12" s="14">
        <v>26</v>
      </c>
      <c r="H12" s="14">
        <v>5</v>
      </c>
      <c r="I12" s="14">
        <v>3</v>
      </c>
      <c r="J12" s="14" t="s">
        <v>31</v>
      </c>
      <c r="K12" s="14" cm="1">
        <f t="array" ref="K12">INT(SUMPRODUCT(--ISNUMBER(SEARCH(economy,C12)))&gt;0)</f>
        <v>0</v>
      </c>
      <c r="L12" s="14" cm="1">
        <f t="array" ref="L12">INT(SUMPRODUCT(--ISNUMBER(SEARCH(healthcare,C12)))&gt;0)</f>
        <v>0</v>
      </c>
      <c r="M12" s="14" cm="1">
        <f t="array" ref="M12">INT(SUMPRODUCT(--ISNUMBER(SEARCH(supreme,C12)))&gt;0)</f>
        <v>0</v>
      </c>
      <c r="N12" s="14" cm="1">
        <f t="array" ref="N12">INT(SUMPRODUCT(--ISNUMBER(SEARCH(covid,C12)))&gt;0)</f>
        <v>0</v>
      </c>
      <c r="O12" s="14" cm="1">
        <f t="array" ref="O12">INT(SUMPRODUCT(--ISNUMBER(SEARCH(violent,C12)))&gt;0)</f>
        <v>0</v>
      </c>
      <c r="P12" s="14" cm="1">
        <f t="array" ref="P12">INT(SUMPRODUCT(--ISNUMBER(SEARCH(foreign,C12)))&gt;0)</f>
        <v>0</v>
      </c>
      <c r="Q12" s="14" cm="1">
        <f t="array" ref="Q12">INT(SUMPRODUCT(--ISNUMBER(SEARCH(gun,C12)))&gt;0)</f>
        <v>0</v>
      </c>
      <c r="R12" s="14" cm="1">
        <f t="array" ref="R12">INT(SUMPRODUCT(--ISNUMBER(SEARCH(race,C12)))&gt;0)</f>
        <v>0</v>
      </c>
      <c r="S12" s="14" cm="1">
        <f t="array" ref="S12">INT(SUMPRODUCT(--ISNUMBER(SEARCH(immigration,C12)))&gt;0)</f>
        <v>0</v>
      </c>
      <c r="T12" s="14" cm="1">
        <f t="array" ref="T12">INT(SUMPRODUCT(--ISNUMBER(SEARCH(econineq,C13)))&gt;0)</f>
        <v>0</v>
      </c>
      <c r="U12" s="14" cm="1">
        <f t="array" ref="U12">INT(SUMPRODUCT(--ISNUMBER(SEARCH(climate,C12)))&gt;0)</f>
        <v>0</v>
      </c>
      <c r="V12" s="14" cm="1">
        <f t="array" ref="V12">INT(SUMPRODUCT(--ISNUMBER(SEARCH(abortion,C12)))&gt;0)</f>
        <v>0</v>
      </c>
      <c r="W12" s="14" cm="1">
        <f t="array" ref="W12">INT(SUMPRODUCT(--ISNUMBER(SEARCH(trump,C12)))&gt;0)</f>
        <v>0</v>
      </c>
      <c r="X12" s="14" cm="1">
        <f t="array" ref="X12">INT(SUMPRODUCT(--ISNUMBER(SEARCH(voting,C12)))&gt;0)</f>
        <v>1</v>
      </c>
      <c r="Y12" s="14" cm="1">
        <f t="array" ref="Y12">INT(SUMPRODUCT(--ISNUMBER(SEARCH(republicantrigger,C12)))&gt;0)</f>
        <v>0</v>
      </c>
      <c r="Z12" s="14" cm="1">
        <f t="array" ref="Z12">INT(SUMPRODUCT(--ISNUMBER(SEARCH(bipartisan,C12)))&gt;0)</f>
        <v>0</v>
      </c>
      <c r="AA12" s="14">
        <f t="shared" si="0"/>
        <v>0</v>
      </c>
      <c r="AB12" s="14"/>
      <c r="AC12" s="30">
        <v>1</v>
      </c>
      <c r="AD12" s="37">
        <v>0</v>
      </c>
    </row>
    <row r="13" spans="1:30" x14ac:dyDescent="0.25">
      <c r="A13" s="36">
        <v>778</v>
      </c>
      <c r="B13" s="14" t="s">
        <v>1583</v>
      </c>
      <c r="C13" s="14" t="s">
        <v>1584</v>
      </c>
      <c r="D13" s="17">
        <v>44137</v>
      </c>
      <c r="E13" s="14" t="s">
        <v>30</v>
      </c>
      <c r="F13" s="14">
        <v>247</v>
      </c>
      <c r="G13" s="14">
        <v>44</v>
      </c>
      <c r="H13" s="14">
        <v>5</v>
      </c>
      <c r="I13" s="14">
        <v>3</v>
      </c>
      <c r="J13" s="14" t="s">
        <v>31</v>
      </c>
      <c r="K13" s="14" cm="1">
        <f t="array" ref="K13">INT(SUMPRODUCT(--ISNUMBER(SEARCH(economy,C13)))&gt;0)</f>
        <v>0</v>
      </c>
      <c r="L13" s="14" cm="1">
        <f t="array" ref="L13">INT(SUMPRODUCT(--ISNUMBER(SEARCH(healthcare,C13)))&gt;0)</f>
        <v>0</v>
      </c>
      <c r="M13" s="14" cm="1">
        <f t="array" ref="M13">INT(SUMPRODUCT(--ISNUMBER(SEARCH(supreme,C13)))&gt;0)</f>
        <v>0</v>
      </c>
      <c r="N13" s="14" cm="1">
        <f t="array" ref="N13">INT(SUMPRODUCT(--ISNUMBER(SEARCH(covid,C13)))&gt;0)</f>
        <v>0</v>
      </c>
      <c r="O13" s="14" cm="1">
        <f t="array" ref="O13">INT(SUMPRODUCT(--ISNUMBER(SEARCH(violent,C13)))&gt;0)</f>
        <v>0</v>
      </c>
      <c r="P13" s="14" cm="1">
        <f t="array" ref="P13">INT(SUMPRODUCT(--ISNUMBER(SEARCH(foreign,C13)))&gt;0)</f>
        <v>0</v>
      </c>
      <c r="Q13" s="14" cm="1">
        <f t="array" ref="Q13">INT(SUMPRODUCT(--ISNUMBER(SEARCH(gun,C13)))&gt;0)</f>
        <v>0</v>
      </c>
      <c r="R13" s="14" cm="1">
        <f t="array" ref="R13">INT(SUMPRODUCT(--ISNUMBER(SEARCH(race,C13)))&gt;0)</f>
        <v>0</v>
      </c>
      <c r="S13" s="14" cm="1">
        <f t="array" ref="S13">INT(SUMPRODUCT(--ISNUMBER(SEARCH(immigration,C13)))&gt;0)</f>
        <v>0</v>
      </c>
      <c r="T13" s="14" cm="1">
        <f t="array" ref="T13">INT(SUMPRODUCT(--ISNUMBER(SEARCH(econineq,C14)))&gt;0)</f>
        <v>0</v>
      </c>
      <c r="U13" s="14" cm="1">
        <f t="array" ref="U13">INT(SUMPRODUCT(--ISNUMBER(SEARCH(climate,C13)))&gt;0)</f>
        <v>0</v>
      </c>
      <c r="V13" s="14" cm="1">
        <f t="array" ref="V13">INT(SUMPRODUCT(--ISNUMBER(SEARCH(abortion,C13)))&gt;0)</f>
        <v>0</v>
      </c>
      <c r="W13" s="14" cm="1">
        <f t="array" ref="W13">INT(SUMPRODUCT(--ISNUMBER(SEARCH(trump,C13)))&gt;0)</f>
        <v>0</v>
      </c>
      <c r="X13" s="14" cm="1">
        <f t="array" ref="X13">INT(SUMPRODUCT(--ISNUMBER(SEARCH(voting,C13)))&gt;0)</f>
        <v>0</v>
      </c>
      <c r="Y13" s="14" cm="1">
        <f t="array" ref="Y13">INT(SUMPRODUCT(--ISNUMBER(SEARCH(republicantrigger,C13)))&gt;0)</f>
        <v>0</v>
      </c>
      <c r="Z13" s="14" cm="1">
        <f t="array" ref="Z13">INT(SUMPRODUCT(--ISNUMBER(SEARCH(bipartisan,C13)))&gt;0)</f>
        <v>0</v>
      </c>
      <c r="AA13" s="14">
        <f t="shared" si="0"/>
        <v>1</v>
      </c>
      <c r="AB13" s="14"/>
      <c r="AC13" s="30">
        <v>1</v>
      </c>
      <c r="AD13" s="37">
        <v>0</v>
      </c>
    </row>
    <row r="14" spans="1:30" x14ac:dyDescent="0.25">
      <c r="A14" s="36">
        <v>779</v>
      </c>
      <c r="B14" s="14" t="s">
        <v>1585</v>
      </c>
      <c r="C14" s="14" t="s">
        <v>1586</v>
      </c>
      <c r="D14" s="17">
        <v>44136</v>
      </c>
      <c r="E14" s="14" t="s">
        <v>30</v>
      </c>
      <c r="F14" s="14">
        <v>447</v>
      </c>
      <c r="G14" s="14">
        <v>133</v>
      </c>
      <c r="H14" s="14">
        <v>5</v>
      </c>
      <c r="I14" s="14">
        <v>3</v>
      </c>
      <c r="J14" s="14" t="s">
        <v>31</v>
      </c>
      <c r="K14" s="14" cm="1">
        <f t="array" ref="K14">INT(SUMPRODUCT(--ISNUMBER(SEARCH(economy,C14)))&gt;0)</f>
        <v>0</v>
      </c>
      <c r="L14" s="14" cm="1">
        <f t="array" ref="L14">INT(SUMPRODUCT(--ISNUMBER(SEARCH(healthcare,C14)))&gt;0)</f>
        <v>0</v>
      </c>
      <c r="M14" s="14" cm="1">
        <f t="array" ref="M14">INT(SUMPRODUCT(--ISNUMBER(SEARCH(supreme,C14)))&gt;0)</f>
        <v>0</v>
      </c>
      <c r="N14" s="14" cm="1">
        <f t="array" ref="N14">INT(SUMPRODUCT(--ISNUMBER(SEARCH(covid,C14)))&gt;0)</f>
        <v>0</v>
      </c>
      <c r="O14" s="14" cm="1">
        <f t="array" ref="O14">INT(SUMPRODUCT(--ISNUMBER(SEARCH(violent,C14)))&gt;0)</f>
        <v>0</v>
      </c>
      <c r="P14" s="14" cm="1">
        <f t="array" ref="P14">INT(SUMPRODUCT(--ISNUMBER(SEARCH(foreign,C14)))&gt;0)</f>
        <v>0</v>
      </c>
      <c r="Q14" s="14" cm="1">
        <f t="array" ref="Q14">INT(SUMPRODUCT(--ISNUMBER(SEARCH(gun,C14)))&gt;0)</f>
        <v>0</v>
      </c>
      <c r="R14" s="14" cm="1">
        <f t="array" ref="R14">INT(SUMPRODUCT(--ISNUMBER(SEARCH(race,C14)))&gt;0)</f>
        <v>0</v>
      </c>
      <c r="S14" s="14" cm="1">
        <f t="array" ref="S14">INT(SUMPRODUCT(--ISNUMBER(SEARCH(immigration,C14)))&gt;0)</f>
        <v>0</v>
      </c>
      <c r="T14" s="14" cm="1">
        <f t="array" ref="T14">INT(SUMPRODUCT(--ISNUMBER(SEARCH(econineq,C15)))&gt;0)</f>
        <v>0</v>
      </c>
      <c r="U14" s="14" cm="1">
        <f t="array" ref="U14">INT(SUMPRODUCT(--ISNUMBER(SEARCH(climate,C14)))&gt;0)</f>
        <v>0</v>
      </c>
      <c r="V14" s="14" cm="1">
        <f t="array" ref="V14">INT(SUMPRODUCT(--ISNUMBER(SEARCH(abortion,C14)))&gt;0)</f>
        <v>0</v>
      </c>
      <c r="W14" s="14" cm="1">
        <f t="array" ref="W14">INT(SUMPRODUCT(--ISNUMBER(SEARCH(trump,C14)))&gt;0)</f>
        <v>0</v>
      </c>
      <c r="X14" s="14" cm="1">
        <f t="array" ref="X14">INT(SUMPRODUCT(--ISNUMBER(SEARCH(voting,C14)))&gt;0)</f>
        <v>0</v>
      </c>
      <c r="Y14" s="14" cm="1">
        <f t="array" ref="Y14">INT(SUMPRODUCT(--ISNUMBER(SEARCH(republicantrigger,C14)))&gt;0)</f>
        <v>1</v>
      </c>
      <c r="Z14" s="14" cm="1">
        <f t="array" ref="Z14">INT(SUMPRODUCT(--ISNUMBER(SEARCH(bipartisan,C14)))&gt;0)</f>
        <v>0</v>
      </c>
      <c r="AA14" s="14">
        <f t="shared" si="0"/>
        <v>0</v>
      </c>
      <c r="AB14" s="14"/>
      <c r="AC14" s="30">
        <v>0</v>
      </c>
      <c r="AD14" s="37">
        <v>1</v>
      </c>
    </row>
    <row r="15" spans="1:30" x14ac:dyDescent="0.25">
      <c r="A15" s="36">
        <v>780</v>
      </c>
      <c r="B15" s="14" t="s">
        <v>1587</v>
      </c>
      <c r="C15" s="14" t="s">
        <v>1588</v>
      </c>
      <c r="D15" s="17">
        <v>44136</v>
      </c>
      <c r="E15" s="14" t="s">
        <v>30</v>
      </c>
      <c r="F15" s="14">
        <v>245</v>
      </c>
      <c r="G15" s="14">
        <v>47</v>
      </c>
      <c r="H15" s="14">
        <v>5</v>
      </c>
      <c r="I15" s="14">
        <v>3</v>
      </c>
      <c r="J15" s="14" t="s">
        <v>31</v>
      </c>
      <c r="K15" s="14" cm="1">
        <f t="array" ref="K15">INT(SUMPRODUCT(--ISNUMBER(SEARCH(economy,C15)))&gt;0)</f>
        <v>0</v>
      </c>
      <c r="L15" s="14" cm="1">
        <f t="array" ref="L15">INT(SUMPRODUCT(--ISNUMBER(SEARCH(healthcare,C15)))&gt;0)</f>
        <v>0</v>
      </c>
      <c r="M15" s="14" cm="1">
        <f t="array" ref="M15">INT(SUMPRODUCT(--ISNUMBER(SEARCH(supreme,C15)))&gt;0)</f>
        <v>0</v>
      </c>
      <c r="N15" s="14" cm="1">
        <f t="array" ref="N15">INT(SUMPRODUCT(--ISNUMBER(SEARCH(covid,C15)))&gt;0)</f>
        <v>0</v>
      </c>
      <c r="O15" s="14" cm="1">
        <f t="array" ref="O15">INT(SUMPRODUCT(--ISNUMBER(SEARCH(violent,C15)))&gt;0)</f>
        <v>0</v>
      </c>
      <c r="P15" s="14" cm="1">
        <f t="array" ref="P15">INT(SUMPRODUCT(--ISNUMBER(SEARCH(foreign,C15)))&gt;0)</f>
        <v>0</v>
      </c>
      <c r="Q15" s="14" cm="1">
        <f t="array" ref="Q15">INT(SUMPRODUCT(--ISNUMBER(SEARCH(gun,C15)))&gt;0)</f>
        <v>0</v>
      </c>
      <c r="R15" s="14" cm="1">
        <f t="array" ref="R15">INT(SUMPRODUCT(--ISNUMBER(SEARCH(race,C15)))&gt;0)</f>
        <v>0</v>
      </c>
      <c r="S15" s="14" cm="1">
        <f t="array" ref="S15">INT(SUMPRODUCT(--ISNUMBER(SEARCH(immigration,C15)))&gt;0)</f>
        <v>0</v>
      </c>
      <c r="T15" s="14" cm="1">
        <f t="array" ref="T15">INT(SUMPRODUCT(--ISNUMBER(SEARCH(econineq,C16)))&gt;0)</f>
        <v>0</v>
      </c>
      <c r="U15" s="14" cm="1">
        <f t="array" ref="U15">INT(SUMPRODUCT(--ISNUMBER(SEARCH(climate,C15)))&gt;0)</f>
        <v>0</v>
      </c>
      <c r="V15" s="14" cm="1">
        <f t="array" ref="V15">INT(SUMPRODUCT(--ISNUMBER(SEARCH(abortion,C15)))&gt;0)</f>
        <v>0</v>
      </c>
      <c r="W15" s="14" cm="1">
        <f t="array" ref="W15">INT(SUMPRODUCT(--ISNUMBER(SEARCH(trump,C15)))&gt;0)</f>
        <v>1</v>
      </c>
      <c r="X15" s="14" cm="1">
        <f t="array" ref="X15">INT(SUMPRODUCT(--ISNUMBER(SEARCH(voting,C15)))&gt;0)</f>
        <v>1</v>
      </c>
      <c r="Y15" s="14" cm="1">
        <f t="array" ref="Y15">INT(SUMPRODUCT(--ISNUMBER(SEARCH(republicantrigger,C15)))&gt;0)</f>
        <v>1</v>
      </c>
      <c r="Z15" s="14" cm="1">
        <f t="array" ref="Z15">INT(SUMPRODUCT(--ISNUMBER(SEARCH(bipartisan,C15)))&gt;0)</f>
        <v>0</v>
      </c>
      <c r="AA15" s="14">
        <f t="shared" si="0"/>
        <v>0</v>
      </c>
      <c r="AB15" s="14"/>
      <c r="AC15" s="30">
        <v>1</v>
      </c>
      <c r="AD15" s="37">
        <v>0</v>
      </c>
    </row>
    <row r="16" spans="1:30" x14ac:dyDescent="0.25">
      <c r="A16" s="36">
        <v>781</v>
      </c>
      <c r="B16" s="14" t="s">
        <v>1589</v>
      </c>
      <c r="C16" s="14" t="s">
        <v>1590</v>
      </c>
      <c r="D16" s="17">
        <v>44136</v>
      </c>
      <c r="E16" s="14" t="s">
        <v>30</v>
      </c>
      <c r="F16" s="14">
        <v>215</v>
      </c>
      <c r="G16" s="14">
        <v>35</v>
      </c>
      <c r="H16" s="14">
        <v>5</v>
      </c>
      <c r="I16" s="14">
        <v>3</v>
      </c>
      <c r="J16" s="14" t="s">
        <v>31</v>
      </c>
      <c r="K16" s="14" cm="1">
        <f t="array" ref="K16">INT(SUMPRODUCT(--ISNUMBER(SEARCH(economy,C16)))&gt;0)</f>
        <v>0</v>
      </c>
      <c r="L16" s="14" cm="1">
        <f t="array" ref="L16">INT(SUMPRODUCT(--ISNUMBER(SEARCH(healthcare,C16)))&gt;0)</f>
        <v>0</v>
      </c>
      <c r="M16" s="14" cm="1">
        <f t="array" ref="M16">INT(SUMPRODUCT(--ISNUMBER(SEARCH(supreme,C16)))&gt;0)</f>
        <v>0</v>
      </c>
      <c r="N16" s="14" cm="1">
        <f t="array" ref="N16">INT(SUMPRODUCT(--ISNUMBER(SEARCH(covid,C16)))&gt;0)</f>
        <v>0</v>
      </c>
      <c r="O16" s="14" cm="1">
        <f t="array" ref="O16">INT(SUMPRODUCT(--ISNUMBER(SEARCH(violent,C16)))&gt;0)</f>
        <v>0</v>
      </c>
      <c r="P16" s="14" cm="1">
        <f t="array" ref="P16">INT(SUMPRODUCT(--ISNUMBER(SEARCH(foreign,C16)))&gt;0)</f>
        <v>0</v>
      </c>
      <c r="Q16" s="14" cm="1">
        <f t="array" ref="Q16">INT(SUMPRODUCT(--ISNUMBER(SEARCH(gun,C16)))&gt;0)</f>
        <v>0</v>
      </c>
      <c r="R16" s="14" cm="1">
        <f t="array" ref="R16">INT(SUMPRODUCT(--ISNUMBER(SEARCH(race,C16)))&gt;0)</f>
        <v>0</v>
      </c>
      <c r="S16" s="14" cm="1">
        <f t="array" ref="S16">INT(SUMPRODUCT(--ISNUMBER(SEARCH(immigration,C16)))&gt;0)</f>
        <v>0</v>
      </c>
      <c r="T16" s="14" cm="1">
        <f t="array" ref="T16">INT(SUMPRODUCT(--ISNUMBER(SEARCH(econineq,C17)))&gt;0)</f>
        <v>0</v>
      </c>
      <c r="U16" s="14" cm="1">
        <f t="array" ref="U16">INT(SUMPRODUCT(--ISNUMBER(SEARCH(climate,C16)))&gt;0)</f>
        <v>1</v>
      </c>
      <c r="V16" s="14" cm="1">
        <f t="array" ref="V16">INT(SUMPRODUCT(--ISNUMBER(SEARCH(abortion,C16)))&gt;0)</f>
        <v>0</v>
      </c>
      <c r="W16" s="14" cm="1">
        <f t="array" ref="W16">INT(SUMPRODUCT(--ISNUMBER(SEARCH(trump,C16)))&gt;0)</f>
        <v>1</v>
      </c>
      <c r="X16" s="14" cm="1">
        <f t="array" ref="X16">INT(SUMPRODUCT(--ISNUMBER(SEARCH(voting,C16)))&gt;0)</f>
        <v>1</v>
      </c>
      <c r="Y16" s="14" cm="1">
        <f t="array" ref="Y16">INT(SUMPRODUCT(--ISNUMBER(SEARCH(republicantrigger,C16)))&gt;0)</f>
        <v>0</v>
      </c>
      <c r="Z16" s="14" cm="1">
        <f t="array" ref="Z16">INT(SUMPRODUCT(--ISNUMBER(SEARCH(bipartisan,C16)))&gt;0)</f>
        <v>0</v>
      </c>
      <c r="AA16" s="14">
        <f t="shared" si="0"/>
        <v>0</v>
      </c>
      <c r="AB16" s="14"/>
      <c r="AC16" s="30">
        <v>1</v>
      </c>
      <c r="AD16" s="37">
        <v>0</v>
      </c>
    </row>
    <row r="17" spans="1:30" x14ac:dyDescent="0.25">
      <c r="A17" s="36">
        <v>782</v>
      </c>
      <c r="B17" s="14" t="s">
        <v>1591</v>
      </c>
      <c r="C17" s="14" t="s">
        <v>1592</v>
      </c>
      <c r="D17" s="17">
        <v>44136</v>
      </c>
      <c r="E17" s="14" t="s">
        <v>30</v>
      </c>
      <c r="F17" s="14">
        <v>231</v>
      </c>
      <c r="G17" s="14">
        <v>52</v>
      </c>
      <c r="H17" s="14">
        <v>5</v>
      </c>
      <c r="I17" s="14">
        <v>3</v>
      </c>
      <c r="J17" s="14" t="s">
        <v>31</v>
      </c>
      <c r="K17" s="14" cm="1">
        <f t="array" ref="K17">INT(SUMPRODUCT(--ISNUMBER(SEARCH(economy,C17)))&gt;0)</f>
        <v>0</v>
      </c>
      <c r="L17" s="14" cm="1">
        <f t="array" ref="L17">INT(SUMPRODUCT(--ISNUMBER(SEARCH(healthcare,C17)))&gt;0)</f>
        <v>1</v>
      </c>
      <c r="M17" s="14" cm="1">
        <f t="array" ref="M17">INT(SUMPRODUCT(--ISNUMBER(SEARCH(supreme,C17)))&gt;0)</f>
        <v>0</v>
      </c>
      <c r="N17" s="14" cm="1">
        <f t="array" ref="N17">INT(SUMPRODUCT(--ISNUMBER(SEARCH(covid,C17)))&gt;0)</f>
        <v>0</v>
      </c>
      <c r="O17" s="14" cm="1">
        <f t="array" ref="O17">INT(SUMPRODUCT(--ISNUMBER(SEARCH(violent,C17)))&gt;0)</f>
        <v>0</v>
      </c>
      <c r="P17" s="14" cm="1">
        <f t="array" ref="P17">INT(SUMPRODUCT(--ISNUMBER(SEARCH(foreign,C17)))&gt;0)</f>
        <v>0</v>
      </c>
      <c r="Q17" s="14" cm="1">
        <f t="array" ref="Q17">INT(SUMPRODUCT(--ISNUMBER(SEARCH(gun,C17)))&gt;0)</f>
        <v>0</v>
      </c>
      <c r="R17" s="14" cm="1">
        <f t="array" ref="R17">INT(SUMPRODUCT(--ISNUMBER(SEARCH(race,C17)))&gt;0)</f>
        <v>0</v>
      </c>
      <c r="S17" s="14" cm="1">
        <f t="array" ref="S17">INT(SUMPRODUCT(--ISNUMBER(SEARCH(immigration,C17)))&gt;0)</f>
        <v>0</v>
      </c>
      <c r="T17" s="14" cm="1">
        <f t="array" ref="T17">INT(SUMPRODUCT(--ISNUMBER(SEARCH(econineq,C18)))&gt;0)</f>
        <v>0</v>
      </c>
      <c r="U17" s="14" cm="1">
        <f t="array" ref="U17">INT(SUMPRODUCT(--ISNUMBER(SEARCH(climate,C17)))&gt;0)</f>
        <v>0</v>
      </c>
      <c r="V17" s="14" cm="1">
        <f t="array" ref="V17">INT(SUMPRODUCT(--ISNUMBER(SEARCH(abortion,C17)))&gt;0)</f>
        <v>0</v>
      </c>
      <c r="W17" s="14" cm="1">
        <f t="array" ref="W17">INT(SUMPRODUCT(--ISNUMBER(SEARCH(trump,C17)))&gt;0)</f>
        <v>0</v>
      </c>
      <c r="X17" s="14" cm="1">
        <f t="array" ref="X17">INT(SUMPRODUCT(--ISNUMBER(SEARCH(voting,C17)))&gt;0)</f>
        <v>0</v>
      </c>
      <c r="Y17" s="14" cm="1">
        <f t="array" ref="Y17">INT(SUMPRODUCT(--ISNUMBER(SEARCH(republicantrigger,C17)))&gt;0)</f>
        <v>0</v>
      </c>
      <c r="Z17" s="14" cm="1">
        <f t="array" ref="Z17">INT(SUMPRODUCT(--ISNUMBER(SEARCH(bipartisan,C17)))&gt;0)</f>
        <v>0</v>
      </c>
      <c r="AA17" s="14">
        <f t="shared" si="0"/>
        <v>0</v>
      </c>
      <c r="AB17" s="14"/>
      <c r="AC17" s="30" t="s">
        <v>223</v>
      </c>
      <c r="AD17" s="37" t="s">
        <v>223</v>
      </c>
    </row>
    <row r="18" spans="1:30" x14ac:dyDescent="0.25">
      <c r="A18" s="36">
        <v>783</v>
      </c>
      <c r="B18" s="14" t="s">
        <v>1593</v>
      </c>
      <c r="C18" s="14" t="s">
        <v>1594</v>
      </c>
      <c r="D18" s="17">
        <v>44136</v>
      </c>
      <c r="E18" s="14" t="s">
        <v>30</v>
      </c>
      <c r="F18" s="14">
        <v>166</v>
      </c>
      <c r="G18" s="14">
        <v>25</v>
      </c>
      <c r="H18" s="14">
        <v>5</v>
      </c>
      <c r="I18" s="14">
        <v>3</v>
      </c>
      <c r="J18" s="14" t="s">
        <v>31</v>
      </c>
      <c r="K18" s="14" cm="1">
        <f t="array" ref="K18">INT(SUMPRODUCT(--ISNUMBER(SEARCH(economy,C18)))&gt;0)</f>
        <v>0</v>
      </c>
      <c r="L18" s="14" cm="1">
        <f t="array" ref="L18">INT(SUMPRODUCT(--ISNUMBER(SEARCH(healthcare,C18)))&gt;0)</f>
        <v>0</v>
      </c>
      <c r="M18" s="14" cm="1">
        <f t="array" ref="M18">INT(SUMPRODUCT(--ISNUMBER(SEARCH(supreme,C18)))&gt;0)</f>
        <v>0</v>
      </c>
      <c r="N18" s="14" cm="1">
        <f t="array" ref="N18">INT(SUMPRODUCT(--ISNUMBER(SEARCH(covid,C18)))&gt;0)</f>
        <v>0</v>
      </c>
      <c r="O18" s="14" cm="1">
        <f t="array" ref="O18">INT(SUMPRODUCT(--ISNUMBER(SEARCH(violent,C18)))&gt;0)</f>
        <v>0</v>
      </c>
      <c r="P18" s="14" cm="1">
        <f t="array" ref="P18">INT(SUMPRODUCT(--ISNUMBER(SEARCH(foreign,C18)))&gt;0)</f>
        <v>1</v>
      </c>
      <c r="Q18" s="14" cm="1">
        <f t="array" ref="Q18">INT(SUMPRODUCT(--ISNUMBER(SEARCH(gun,C18)))&gt;0)</f>
        <v>0</v>
      </c>
      <c r="R18" s="14" cm="1">
        <f t="array" ref="R18">INT(SUMPRODUCT(--ISNUMBER(SEARCH(race,C18)))&gt;0)</f>
        <v>0</v>
      </c>
      <c r="S18" s="14" cm="1">
        <f t="array" ref="S18">INT(SUMPRODUCT(--ISNUMBER(SEARCH(immigration,C18)))&gt;0)</f>
        <v>0</v>
      </c>
      <c r="T18" s="14" cm="1">
        <f t="array" ref="T18">INT(SUMPRODUCT(--ISNUMBER(SEARCH(econineq,C19)))&gt;0)</f>
        <v>0</v>
      </c>
      <c r="U18" s="14" cm="1">
        <f t="array" ref="U18">INT(SUMPRODUCT(--ISNUMBER(SEARCH(climate,C18)))&gt;0)</f>
        <v>0</v>
      </c>
      <c r="V18" s="14" cm="1">
        <f t="array" ref="V18">INT(SUMPRODUCT(--ISNUMBER(SEARCH(abortion,C18)))&gt;0)</f>
        <v>0</v>
      </c>
      <c r="W18" s="14" cm="1">
        <f t="array" ref="W18">INT(SUMPRODUCT(--ISNUMBER(SEARCH(trump,C18)))&gt;0)</f>
        <v>0</v>
      </c>
      <c r="X18" s="14" cm="1">
        <f t="array" ref="X18">INT(SUMPRODUCT(--ISNUMBER(SEARCH(voting,C18)))&gt;0)</f>
        <v>0</v>
      </c>
      <c r="Y18" s="14" cm="1">
        <f t="array" ref="Y18">INT(SUMPRODUCT(--ISNUMBER(SEARCH(republicantrigger,C18)))&gt;0)</f>
        <v>0</v>
      </c>
      <c r="Z18" s="14" cm="1">
        <f t="array" ref="Z18">INT(SUMPRODUCT(--ISNUMBER(SEARCH(bipartisan,C18)))&gt;0)</f>
        <v>0</v>
      </c>
      <c r="AA18" s="14">
        <f t="shared" si="0"/>
        <v>0</v>
      </c>
      <c r="AB18" s="14"/>
      <c r="AC18" s="30">
        <v>1</v>
      </c>
      <c r="AD18" s="37">
        <v>0</v>
      </c>
    </row>
    <row r="19" spans="1:30" x14ac:dyDescent="0.25">
      <c r="A19" s="36">
        <v>784</v>
      </c>
      <c r="B19" s="14" t="s">
        <v>1595</v>
      </c>
      <c r="C19" s="14" t="s">
        <v>1596</v>
      </c>
      <c r="D19" s="17">
        <v>44136</v>
      </c>
      <c r="E19" s="14" t="s">
        <v>70</v>
      </c>
      <c r="F19" s="14">
        <v>130</v>
      </c>
      <c r="G19" s="14">
        <v>15</v>
      </c>
      <c r="H19" s="14">
        <v>5</v>
      </c>
      <c r="I19" s="14">
        <v>3</v>
      </c>
      <c r="J19" s="14" t="s">
        <v>31</v>
      </c>
      <c r="K19" s="14" cm="1">
        <f t="array" ref="K19">INT(SUMPRODUCT(--ISNUMBER(SEARCH(economy,C19)))&gt;0)</f>
        <v>0</v>
      </c>
      <c r="L19" s="14" cm="1">
        <f t="array" ref="L19">INT(SUMPRODUCT(--ISNUMBER(SEARCH(healthcare,C19)))&gt;0)</f>
        <v>0</v>
      </c>
      <c r="M19" s="14" cm="1">
        <f t="array" ref="M19">INT(SUMPRODUCT(--ISNUMBER(SEARCH(supreme,C19)))&gt;0)</f>
        <v>0</v>
      </c>
      <c r="N19" s="14" cm="1">
        <f t="array" ref="N19">INT(SUMPRODUCT(--ISNUMBER(SEARCH(covid,C19)))&gt;0)</f>
        <v>0</v>
      </c>
      <c r="O19" s="14" cm="1">
        <f t="array" ref="O19">INT(SUMPRODUCT(--ISNUMBER(SEARCH(violent,C19)))&gt;0)</f>
        <v>0</v>
      </c>
      <c r="P19" s="14" cm="1">
        <f t="array" ref="P19">INT(SUMPRODUCT(--ISNUMBER(SEARCH(foreign,C19)))&gt;0)</f>
        <v>0</v>
      </c>
      <c r="Q19" s="14" cm="1">
        <f t="array" ref="Q19">INT(SUMPRODUCT(--ISNUMBER(SEARCH(gun,C19)))&gt;0)</f>
        <v>0</v>
      </c>
      <c r="R19" s="14" cm="1">
        <f t="array" ref="R19">INT(SUMPRODUCT(--ISNUMBER(SEARCH(race,C19)))&gt;0)</f>
        <v>0</v>
      </c>
      <c r="S19" s="14" cm="1">
        <f t="array" ref="S19">INT(SUMPRODUCT(--ISNUMBER(SEARCH(immigration,C19)))&gt;0)</f>
        <v>0</v>
      </c>
      <c r="T19" s="14" cm="1">
        <f t="array" ref="T19">INT(SUMPRODUCT(--ISNUMBER(SEARCH(econineq,C20)))&gt;0)</f>
        <v>0</v>
      </c>
      <c r="U19" s="14" cm="1">
        <f t="array" ref="U19">INT(SUMPRODUCT(--ISNUMBER(SEARCH(climate,C19)))&gt;0)</f>
        <v>0</v>
      </c>
      <c r="V19" s="14" cm="1">
        <f t="array" ref="V19">INT(SUMPRODUCT(--ISNUMBER(SEARCH(abortion,C19)))&gt;0)</f>
        <v>0</v>
      </c>
      <c r="W19" s="14" cm="1">
        <f t="array" ref="W19">INT(SUMPRODUCT(--ISNUMBER(SEARCH(trump,C19)))&gt;0)</f>
        <v>0</v>
      </c>
      <c r="X19" s="14" cm="1">
        <f t="array" ref="X19">INT(SUMPRODUCT(--ISNUMBER(SEARCH(voting,C19)))&gt;0)</f>
        <v>0</v>
      </c>
      <c r="Y19" s="14" cm="1">
        <f t="array" ref="Y19">INT(SUMPRODUCT(--ISNUMBER(SEARCH(republicantrigger,C19)))&gt;0)</f>
        <v>0</v>
      </c>
      <c r="Z19" s="14" cm="1">
        <f t="array" ref="Z19">INT(SUMPRODUCT(--ISNUMBER(SEARCH(bipartisan,C19)))&gt;0)</f>
        <v>0</v>
      </c>
      <c r="AA19" s="14">
        <f t="shared" si="0"/>
        <v>1</v>
      </c>
      <c r="AB19" s="14"/>
      <c r="AC19" s="30">
        <v>1</v>
      </c>
      <c r="AD19" s="37">
        <v>0</v>
      </c>
    </row>
    <row r="20" spans="1:30" x14ac:dyDescent="0.25">
      <c r="A20" s="36">
        <v>785</v>
      </c>
      <c r="B20" s="14" t="s">
        <v>1597</v>
      </c>
      <c r="C20" s="14" t="s">
        <v>1598</v>
      </c>
      <c r="D20" s="17">
        <v>44136</v>
      </c>
      <c r="E20" s="14" t="s">
        <v>30</v>
      </c>
      <c r="F20" s="14">
        <v>193</v>
      </c>
      <c r="G20" s="14">
        <v>24</v>
      </c>
      <c r="H20" s="14">
        <v>5</v>
      </c>
      <c r="I20" s="14">
        <v>3</v>
      </c>
      <c r="J20" s="14" t="s">
        <v>31</v>
      </c>
      <c r="K20" s="14" cm="1">
        <f t="array" ref="K20">INT(SUMPRODUCT(--ISNUMBER(SEARCH(economy,C20)))&gt;0)</f>
        <v>0</v>
      </c>
      <c r="L20" s="14" cm="1">
        <f t="array" ref="L20">INT(SUMPRODUCT(--ISNUMBER(SEARCH(healthcare,C20)))&gt;0)</f>
        <v>0</v>
      </c>
      <c r="M20" s="14" cm="1">
        <f t="array" ref="M20">INT(SUMPRODUCT(--ISNUMBER(SEARCH(supreme,C20)))&gt;0)</f>
        <v>0</v>
      </c>
      <c r="N20" s="14" cm="1">
        <f t="array" ref="N20">INT(SUMPRODUCT(--ISNUMBER(SEARCH(covid,C20)))&gt;0)</f>
        <v>0</v>
      </c>
      <c r="O20" s="14" cm="1">
        <f t="array" ref="O20">INT(SUMPRODUCT(--ISNUMBER(SEARCH(violent,C20)))&gt;0)</f>
        <v>0</v>
      </c>
      <c r="P20" s="14" cm="1">
        <f t="array" ref="P20">INT(SUMPRODUCT(--ISNUMBER(SEARCH(foreign,C20)))&gt;0)</f>
        <v>0</v>
      </c>
      <c r="Q20" s="14" cm="1">
        <f t="array" ref="Q20">INT(SUMPRODUCT(--ISNUMBER(SEARCH(gun,C20)))&gt;0)</f>
        <v>0</v>
      </c>
      <c r="R20" s="14" cm="1">
        <f t="array" ref="R20">INT(SUMPRODUCT(--ISNUMBER(SEARCH(race,C20)))&gt;0)</f>
        <v>0</v>
      </c>
      <c r="S20" s="14" cm="1">
        <f t="array" ref="S20">INT(SUMPRODUCT(--ISNUMBER(SEARCH(immigration,C20)))&gt;0)</f>
        <v>0</v>
      </c>
      <c r="T20" s="14" cm="1">
        <f t="array" ref="T20">INT(SUMPRODUCT(--ISNUMBER(SEARCH(econineq,C21)))&gt;0)</f>
        <v>0</v>
      </c>
      <c r="U20" s="14" cm="1">
        <f t="array" ref="U20">INT(SUMPRODUCT(--ISNUMBER(SEARCH(climate,C20)))&gt;0)</f>
        <v>0</v>
      </c>
      <c r="V20" s="14" cm="1">
        <f t="array" ref="V20">INT(SUMPRODUCT(--ISNUMBER(SEARCH(abortion,C20)))&gt;0)</f>
        <v>0</v>
      </c>
      <c r="W20" s="14" cm="1">
        <f t="array" ref="W20">INT(SUMPRODUCT(--ISNUMBER(SEARCH(trump,C20)))&gt;0)</f>
        <v>0</v>
      </c>
      <c r="X20" s="14" cm="1">
        <f t="array" ref="X20">INT(SUMPRODUCT(--ISNUMBER(SEARCH(voting,C20)))&gt;0)</f>
        <v>0</v>
      </c>
      <c r="Y20" s="14" cm="1">
        <f t="array" ref="Y20">INT(SUMPRODUCT(--ISNUMBER(SEARCH(republicantrigger,C20)))&gt;0)</f>
        <v>0</v>
      </c>
      <c r="Z20" s="14" cm="1">
        <f t="array" ref="Z20">INT(SUMPRODUCT(--ISNUMBER(SEARCH(bipartisan,C20)))&gt;0)</f>
        <v>0</v>
      </c>
      <c r="AA20" s="14">
        <f t="shared" si="0"/>
        <v>1</v>
      </c>
      <c r="AB20" s="14"/>
      <c r="AC20" s="30">
        <v>1</v>
      </c>
      <c r="AD20" s="37">
        <v>0</v>
      </c>
    </row>
    <row r="21" spans="1:30" x14ac:dyDescent="0.25">
      <c r="A21" s="36">
        <v>786</v>
      </c>
      <c r="B21" s="14" t="s">
        <v>1599</v>
      </c>
      <c r="C21" s="14" t="s">
        <v>1600</v>
      </c>
      <c r="D21" s="17">
        <v>44136</v>
      </c>
      <c r="E21" s="14" t="s">
        <v>30</v>
      </c>
      <c r="F21" s="14">
        <v>121</v>
      </c>
      <c r="G21" s="14">
        <v>18</v>
      </c>
      <c r="H21" s="14">
        <v>5</v>
      </c>
      <c r="I21" s="14">
        <v>3</v>
      </c>
      <c r="J21" s="14" t="s">
        <v>31</v>
      </c>
      <c r="K21" s="14" cm="1">
        <f t="array" ref="K21">INT(SUMPRODUCT(--ISNUMBER(SEARCH(economy,C21)))&gt;0)</f>
        <v>0</v>
      </c>
      <c r="L21" s="14" cm="1">
        <f t="array" ref="L21">INT(SUMPRODUCT(--ISNUMBER(SEARCH(healthcare,C21)))&gt;0)</f>
        <v>0</v>
      </c>
      <c r="M21" s="14" cm="1">
        <f t="array" ref="M21">INT(SUMPRODUCT(--ISNUMBER(SEARCH(supreme,C21)))&gt;0)</f>
        <v>0</v>
      </c>
      <c r="N21" s="14" cm="1">
        <f t="array" ref="N21">INT(SUMPRODUCT(--ISNUMBER(SEARCH(covid,C21)))&gt;0)</f>
        <v>0</v>
      </c>
      <c r="O21" s="14" cm="1">
        <f t="array" ref="O21">INT(SUMPRODUCT(--ISNUMBER(SEARCH(violent,C21)))&gt;0)</f>
        <v>0</v>
      </c>
      <c r="P21" s="14" cm="1">
        <f t="array" ref="P21">INT(SUMPRODUCT(--ISNUMBER(SEARCH(foreign,C21)))&gt;0)</f>
        <v>0</v>
      </c>
      <c r="Q21" s="14" cm="1">
        <f t="array" ref="Q21">INT(SUMPRODUCT(--ISNUMBER(SEARCH(gun,C21)))&gt;0)</f>
        <v>0</v>
      </c>
      <c r="R21" s="14" cm="1">
        <f t="array" ref="R21">INT(SUMPRODUCT(--ISNUMBER(SEARCH(race,C21)))&gt;0)</f>
        <v>0</v>
      </c>
      <c r="S21" s="14" cm="1">
        <f t="array" ref="S21">INT(SUMPRODUCT(--ISNUMBER(SEARCH(immigration,C21)))&gt;0)</f>
        <v>0</v>
      </c>
      <c r="T21" s="14" cm="1">
        <f t="array" ref="T21">INT(SUMPRODUCT(--ISNUMBER(SEARCH(econineq,C22)))&gt;0)</f>
        <v>0</v>
      </c>
      <c r="U21" s="14" cm="1">
        <f t="array" ref="U21">INT(SUMPRODUCT(--ISNUMBER(SEARCH(climate,C21)))&gt;0)</f>
        <v>0</v>
      </c>
      <c r="V21" s="14" cm="1">
        <f t="array" ref="V21">INT(SUMPRODUCT(--ISNUMBER(SEARCH(abortion,C21)))&gt;0)</f>
        <v>0</v>
      </c>
      <c r="W21" s="14" cm="1">
        <f t="array" ref="W21">INT(SUMPRODUCT(--ISNUMBER(SEARCH(trump,C21)))&gt;0)</f>
        <v>0</v>
      </c>
      <c r="X21" s="14" cm="1">
        <f t="array" ref="X21">INT(SUMPRODUCT(--ISNUMBER(SEARCH(voting,C21)))&gt;0)</f>
        <v>0</v>
      </c>
      <c r="Y21" s="14" cm="1">
        <f t="array" ref="Y21">INT(SUMPRODUCT(--ISNUMBER(SEARCH(republicantrigger,C21)))&gt;0)</f>
        <v>0</v>
      </c>
      <c r="Z21" s="14" cm="1">
        <f t="array" ref="Z21">INT(SUMPRODUCT(--ISNUMBER(SEARCH(bipartisan,C21)))&gt;0)</f>
        <v>0</v>
      </c>
      <c r="AA21" s="14">
        <f t="shared" si="0"/>
        <v>1</v>
      </c>
      <c r="AB21" s="14"/>
      <c r="AC21" s="30">
        <v>1</v>
      </c>
      <c r="AD21" s="37">
        <v>0</v>
      </c>
    </row>
    <row r="22" spans="1:30" x14ac:dyDescent="0.25">
      <c r="A22" s="36">
        <v>787</v>
      </c>
      <c r="B22" s="14" t="s">
        <v>1601</v>
      </c>
      <c r="C22" s="14" t="s">
        <v>1602</v>
      </c>
      <c r="D22" s="17">
        <v>44135</v>
      </c>
      <c r="E22" s="14" t="s">
        <v>30</v>
      </c>
      <c r="F22" s="14">
        <v>108</v>
      </c>
      <c r="G22" s="14">
        <v>23</v>
      </c>
      <c r="H22" s="14">
        <v>5</v>
      </c>
      <c r="I22" s="14">
        <v>3</v>
      </c>
      <c r="J22" s="14" t="s">
        <v>31</v>
      </c>
      <c r="K22" s="14" cm="1">
        <f t="array" ref="K22">INT(SUMPRODUCT(--ISNUMBER(SEARCH(economy,C22)))&gt;0)</f>
        <v>0</v>
      </c>
      <c r="L22" s="14" cm="1">
        <f t="array" ref="L22">INT(SUMPRODUCT(--ISNUMBER(SEARCH(healthcare,C22)))&gt;0)</f>
        <v>0</v>
      </c>
      <c r="M22" s="14" cm="1">
        <f t="array" ref="M22">INT(SUMPRODUCT(--ISNUMBER(SEARCH(supreme,C22)))&gt;0)</f>
        <v>0</v>
      </c>
      <c r="N22" s="14" cm="1">
        <f t="array" ref="N22">INT(SUMPRODUCT(--ISNUMBER(SEARCH(covid,C22)))&gt;0)</f>
        <v>0</v>
      </c>
      <c r="O22" s="14" cm="1">
        <f t="array" ref="O22">INT(SUMPRODUCT(--ISNUMBER(SEARCH(violent,C22)))&gt;0)</f>
        <v>0</v>
      </c>
      <c r="P22" s="14" cm="1">
        <f t="array" ref="P22">INT(SUMPRODUCT(--ISNUMBER(SEARCH(foreign,C22)))&gt;0)</f>
        <v>0</v>
      </c>
      <c r="Q22" s="14" cm="1">
        <f t="array" ref="Q22">INT(SUMPRODUCT(--ISNUMBER(SEARCH(gun,C22)))&gt;0)</f>
        <v>0</v>
      </c>
      <c r="R22" s="14" cm="1">
        <f t="array" ref="R22">INT(SUMPRODUCT(--ISNUMBER(SEARCH(race,C22)))&gt;0)</f>
        <v>0</v>
      </c>
      <c r="S22" s="14" cm="1">
        <f t="array" ref="S22">INT(SUMPRODUCT(--ISNUMBER(SEARCH(immigration,C22)))&gt;0)</f>
        <v>0</v>
      </c>
      <c r="T22" s="14" cm="1">
        <f t="array" ref="T22">INT(SUMPRODUCT(--ISNUMBER(SEARCH(econineq,C23)))&gt;0)</f>
        <v>0</v>
      </c>
      <c r="U22" s="14" cm="1">
        <f t="array" ref="U22">INT(SUMPRODUCT(--ISNUMBER(SEARCH(climate,C22)))&gt;0)</f>
        <v>0</v>
      </c>
      <c r="V22" s="14" cm="1">
        <f t="array" ref="V22">INT(SUMPRODUCT(--ISNUMBER(SEARCH(abortion,C22)))&gt;0)</f>
        <v>0</v>
      </c>
      <c r="W22" s="14" cm="1">
        <f t="array" ref="W22">INT(SUMPRODUCT(--ISNUMBER(SEARCH(trump,C22)))&gt;0)</f>
        <v>0</v>
      </c>
      <c r="X22" s="14" cm="1">
        <f t="array" ref="X22">INT(SUMPRODUCT(--ISNUMBER(SEARCH(voting,C22)))&gt;0)</f>
        <v>1</v>
      </c>
      <c r="Y22" s="14" cm="1">
        <f t="array" ref="Y22">INT(SUMPRODUCT(--ISNUMBER(SEARCH(republicantrigger,C22)))&gt;0)</f>
        <v>0</v>
      </c>
      <c r="Z22" s="14" cm="1">
        <f t="array" ref="Z22">INT(SUMPRODUCT(--ISNUMBER(SEARCH(bipartisan,C22)))&gt;0)</f>
        <v>0</v>
      </c>
      <c r="AA22" s="14">
        <f t="shared" si="0"/>
        <v>0</v>
      </c>
      <c r="AB22" s="14"/>
      <c r="AC22" s="30">
        <v>1</v>
      </c>
      <c r="AD22" s="37">
        <v>0</v>
      </c>
    </row>
    <row r="23" spans="1:30" x14ac:dyDescent="0.25">
      <c r="A23" s="36">
        <v>788</v>
      </c>
      <c r="B23" s="14" t="s">
        <v>1603</v>
      </c>
      <c r="C23" s="14" t="s">
        <v>1604</v>
      </c>
      <c r="D23" s="17">
        <v>44135</v>
      </c>
      <c r="E23" s="14" t="s">
        <v>30</v>
      </c>
      <c r="F23" s="14">
        <v>144</v>
      </c>
      <c r="G23" s="14">
        <v>31</v>
      </c>
      <c r="H23" s="14">
        <v>5</v>
      </c>
      <c r="I23" s="14">
        <v>3</v>
      </c>
      <c r="J23" s="14" t="s">
        <v>31</v>
      </c>
      <c r="K23" s="14" cm="1">
        <f t="array" ref="K23">INT(SUMPRODUCT(--ISNUMBER(SEARCH(economy,C23)))&gt;0)</f>
        <v>0</v>
      </c>
      <c r="L23" s="14" cm="1">
        <f t="array" ref="L23">INT(SUMPRODUCT(--ISNUMBER(SEARCH(healthcare,C23)))&gt;0)</f>
        <v>0</v>
      </c>
      <c r="M23" s="14" cm="1">
        <f t="array" ref="M23">INT(SUMPRODUCT(--ISNUMBER(SEARCH(supreme,C23)))&gt;0)</f>
        <v>0</v>
      </c>
      <c r="N23" s="14" cm="1">
        <f t="array" ref="N23">INT(SUMPRODUCT(--ISNUMBER(SEARCH(covid,C23)))&gt;0)</f>
        <v>0</v>
      </c>
      <c r="O23" s="14" cm="1">
        <f t="array" ref="O23">INT(SUMPRODUCT(--ISNUMBER(SEARCH(violent,C23)))&gt;0)</f>
        <v>0</v>
      </c>
      <c r="P23" s="14" cm="1">
        <f t="array" ref="P23">INT(SUMPRODUCT(--ISNUMBER(SEARCH(foreign,C23)))&gt;0)</f>
        <v>0</v>
      </c>
      <c r="Q23" s="14" cm="1">
        <f t="array" ref="Q23">INT(SUMPRODUCT(--ISNUMBER(SEARCH(gun,C23)))&gt;0)</f>
        <v>0</v>
      </c>
      <c r="R23" s="14" cm="1">
        <f t="array" ref="R23">INT(SUMPRODUCT(--ISNUMBER(SEARCH(race,C23)))&gt;0)</f>
        <v>0</v>
      </c>
      <c r="S23" s="14" cm="1">
        <f t="array" ref="S23">INT(SUMPRODUCT(--ISNUMBER(SEARCH(immigration,C23)))&gt;0)</f>
        <v>0</v>
      </c>
      <c r="T23" s="14" cm="1">
        <f t="array" ref="T23">INT(SUMPRODUCT(--ISNUMBER(SEARCH(econineq,C24)))&gt;0)</f>
        <v>0</v>
      </c>
      <c r="U23" s="14" cm="1">
        <f t="array" ref="U23">INT(SUMPRODUCT(--ISNUMBER(SEARCH(climate,C23)))&gt;0)</f>
        <v>0</v>
      </c>
      <c r="V23" s="14" cm="1">
        <f t="array" ref="V23">INT(SUMPRODUCT(--ISNUMBER(SEARCH(abortion,C23)))&gt;0)</f>
        <v>0</v>
      </c>
      <c r="W23" s="14" cm="1">
        <f t="array" ref="W23">INT(SUMPRODUCT(--ISNUMBER(SEARCH(trump,C23)))&gt;0)</f>
        <v>0</v>
      </c>
      <c r="X23" s="14" cm="1">
        <f t="array" ref="X23">INT(SUMPRODUCT(--ISNUMBER(SEARCH(voting,C23)))&gt;0)</f>
        <v>0</v>
      </c>
      <c r="Y23" s="14" cm="1">
        <f t="array" ref="Y23">INT(SUMPRODUCT(--ISNUMBER(SEARCH(republicantrigger,C23)))&gt;0)</f>
        <v>0</v>
      </c>
      <c r="Z23" s="14" cm="1">
        <f t="array" ref="Z23">INT(SUMPRODUCT(--ISNUMBER(SEARCH(bipartisan,C23)))&gt;0)</f>
        <v>0</v>
      </c>
      <c r="AA23" s="14">
        <f t="shared" si="0"/>
        <v>1</v>
      </c>
      <c r="AB23" s="14"/>
      <c r="AC23" s="30">
        <v>1</v>
      </c>
      <c r="AD23" s="37">
        <v>0</v>
      </c>
    </row>
    <row r="24" spans="1:30" x14ac:dyDescent="0.25">
      <c r="A24" s="36">
        <v>789</v>
      </c>
      <c r="B24" s="14" t="s">
        <v>1605</v>
      </c>
      <c r="C24" s="14" t="s">
        <v>1606</v>
      </c>
      <c r="D24" s="17">
        <v>44135</v>
      </c>
      <c r="E24" s="14" t="s">
        <v>30</v>
      </c>
      <c r="F24" s="14">
        <v>108</v>
      </c>
      <c r="G24" s="14">
        <v>14</v>
      </c>
      <c r="H24" s="14">
        <v>5</v>
      </c>
      <c r="I24" s="14">
        <v>3</v>
      </c>
      <c r="J24" s="14" t="s">
        <v>31</v>
      </c>
      <c r="K24" s="14" cm="1">
        <f t="array" ref="K24">INT(SUMPRODUCT(--ISNUMBER(SEARCH(economy,C24)))&gt;0)</f>
        <v>0</v>
      </c>
      <c r="L24" s="14" cm="1">
        <f t="array" ref="L24">INT(SUMPRODUCT(--ISNUMBER(SEARCH(healthcare,C24)))&gt;0)</f>
        <v>0</v>
      </c>
      <c r="M24" s="14" cm="1">
        <f t="array" ref="M24">INT(SUMPRODUCT(--ISNUMBER(SEARCH(supreme,C24)))&gt;0)</f>
        <v>0</v>
      </c>
      <c r="N24" s="14" cm="1">
        <f t="array" ref="N24">INT(SUMPRODUCT(--ISNUMBER(SEARCH(covid,C24)))&gt;0)</f>
        <v>0</v>
      </c>
      <c r="O24" s="14" cm="1">
        <f t="array" ref="O24">INT(SUMPRODUCT(--ISNUMBER(SEARCH(violent,C24)))&gt;0)</f>
        <v>0</v>
      </c>
      <c r="P24" s="14" cm="1">
        <f t="array" ref="P24">INT(SUMPRODUCT(--ISNUMBER(SEARCH(foreign,C24)))&gt;0)</f>
        <v>0</v>
      </c>
      <c r="Q24" s="14" cm="1">
        <f t="array" ref="Q24">INT(SUMPRODUCT(--ISNUMBER(SEARCH(gun,C24)))&gt;0)</f>
        <v>0</v>
      </c>
      <c r="R24" s="14" cm="1">
        <f t="array" ref="R24">INT(SUMPRODUCT(--ISNUMBER(SEARCH(race,C24)))&gt;0)</f>
        <v>0</v>
      </c>
      <c r="S24" s="14" cm="1">
        <f t="array" ref="S24">INT(SUMPRODUCT(--ISNUMBER(SEARCH(immigration,C24)))&gt;0)</f>
        <v>0</v>
      </c>
      <c r="T24" s="14" cm="1">
        <f t="array" ref="T24">INT(SUMPRODUCT(--ISNUMBER(SEARCH(econineq,C25)))&gt;0)</f>
        <v>0</v>
      </c>
      <c r="U24" s="14" cm="1">
        <f t="array" ref="U24">INT(SUMPRODUCT(--ISNUMBER(SEARCH(climate,C24)))&gt;0)</f>
        <v>1</v>
      </c>
      <c r="V24" s="14" cm="1">
        <f t="array" ref="V24">INT(SUMPRODUCT(--ISNUMBER(SEARCH(abortion,C24)))&gt;0)</f>
        <v>0</v>
      </c>
      <c r="W24" s="14" cm="1">
        <f t="array" ref="W24">INT(SUMPRODUCT(--ISNUMBER(SEARCH(trump,C24)))&gt;0)</f>
        <v>0</v>
      </c>
      <c r="X24" s="14" cm="1">
        <f t="array" ref="X24">INT(SUMPRODUCT(--ISNUMBER(SEARCH(voting,C24)))&gt;0)</f>
        <v>0</v>
      </c>
      <c r="Y24" s="14" cm="1">
        <f t="array" ref="Y24">INT(SUMPRODUCT(--ISNUMBER(SEARCH(republicantrigger,C24)))&gt;0)</f>
        <v>0</v>
      </c>
      <c r="Z24" s="14" cm="1">
        <f t="array" ref="Z24">INT(SUMPRODUCT(--ISNUMBER(SEARCH(bipartisan,C24)))&gt;0)</f>
        <v>0</v>
      </c>
      <c r="AA24" s="14">
        <f t="shared" si="0"/>
        <v>0</v>
      </c>
      <c r="AB24" s="14"/>
      <c r="AC24" s="30">
        <v>1</v>
      </c>
      <c r="AD24" s="37">
        <v>0</v>
      </c>
    </row>
    <row r="25" spans="1:30" x14ac:dyDescent="0.25">
      <c r="A25" s="36">
        <v>790</v>
      </c>
      <c r="B25" s="14" t="s">
        <v>1607</v>
      </c>
      <c r="C25" s="14" t="s">
        <v>1608</v>
      </c>
      <c r="D25" s="17">
        <v>44135</v>
      </c>
      <c r="E25" s="14" t="s">
        <v>30</v>
      </c>
      <c r="F25" s="14">
        <v>140</v>
      </c>
      <c r="G25" s="14">
        <v>17</v>
      </c>
      <c r="H25" s="14">
        <v>5</v>
      </c>
      <c r="I25" s="14">
        <v>3</v>
      </c>
      <c r="J25" s="14" t="s">
        <v>31</v>
      </c>
      <c r="K25" s="14" cm="1">
        <f t="array" ref="K25">INT(SUMPRODUCT(--ISNUMBER(SEARCH(economy,C25)))&gt;0)</f>
        <v>0</v>
      </c>
      <c r="L25" s="14" cm="1">
        <f t="array" ref="L25">INT(SUMPRODUCT(--ISNUMBER(SEARCH(healthcare,C25)))&gt;0)</f>
        <v>0</v>
      </c>
      <c r="M25" s="14" cm="1">
        <f t="array" ref="M25">INT(SUMPRODUCT(--ISNUMBER(SEARCH(supreme,C25)))&gt;0)</f>
        <v>0</v>
      </c>
      <c r="N25" s="14" cm="1">
        <f t="array" ref="N25">INT(SUMPRODUCT(--ISNUMBER(SEARCH(covid,C25)))&gt;0)</f>
        <v>0</v>
      </c>
      <c r="O25" s="14" cm="1">
        <f t="array" ref="O25">INT(SUMPRODUCT(--ISNUMBER(SEARCH(violent,C25)))&gt;0)</f>
        <v>0</v>
      </c>
      <c r="P25" s="14" cm="1">
        <f t="array" ref="P25">INT(SUMPRODUCT(--ISNUMBER(SEARCH(foreign,C25)))&gt;0)</f>
        <v>0</v>
      </c>
      <c r="Q25" s="14" cm="1">
        <f t="array" ref="Q25">INT(SUMPRODUCT(--ISNUMBER(SEARCH(gun,C25)))&gt;0)</f>
        <v>0</v>
      </c>
      <c r="R25" s="14" cm="1">
        <f t="array" ref="R25">INT(SUMPRODUCT(--ISNUMBER(SEARCH(race,C25)))&gt;0)</f>
        <v>0</v>
      </c>
      <c r="S25" s="14" cm="1">
        <f t="array" ref="S25">INT(SUMPRODUCT(--ISNUMBER(SEARCH(immigration,C25)))&gt;0)</f>
        <v>0</v>
      </c>
      <c r="T25" s="14" cm="1">
        <f t="array" ref="T25">INT(SUMPRODUCT(--ISNUMBER(SEARCH(econineq,C26)))&gt;0)</f>
        <v>0</v>
      </c>
      <c r="U25" s="14" cm="1">
        <f t="array" ref="U25">INT(SUMPRODUCT(--ISNUMBER(SEARCH(climate,C25)))&gt;0)</f>
        <v>0</v>
      </c>
      <c r="V25" s="14" cm="1">
        <f t="array" ref="V25">INT(SUMPRODUCT(--ISNUMBER(SEARCH(abortion,C25)))&gt;0)</f>
        <v>0</v>
      </c>
      <c r="W25" s="14" cm="1">
        <f t="array" ref="W25">INT(SUMPRODUCT(--ISNUMBER(SEARCH(trump,C25)))&gt;0)</f>
        <v>0</v>
      </c>
      <c r="X25" s="14" cm="1">
        <f t="array" ref="X25">INT(SUMPRODUCT(--ISNUMBER(SEARCH(voting,C25)))&gt;0)</f>
        <v>1</v>
      </c>
      <c r="Y25" s="14" cm="1">
        <f t="array" ref="Y25">INT(SUMPRODUCT(--ISNUMBER(SEARCH(republicantrigger,C25)))&gt;0)</f>
        <v>0</v>
      </c>
      <c r="Z25" s="14" cm="1">
        <f t="array" ref="Z25">INT(SUMPRODUCT(--ISNUMBER(SEARCH(bipartisan,C25)))&gt;0)</f>
        <v>0</v>
      </c>
      <c r="AA25" s="14">
        <f t="shared" si="0"/>
        <v>0</v>
      </c>
      <c r="AB25" s="14"/>
      <c r="AC25" s="30">
        <v>0</v>
      </c>
      <c r="AD25" s="37">
        <v>1</v>
      </c>
    </row>
    <row r="26" spans="1:30" x14ac:dyDescent="0.25">
      <c r="A26" s="36">
        <v>791</v>
      </c>
      <c r="B26" s="14" t="s">
        <v>1609</v>
      </c>
      <c r="C26" s="14" t="s">
        <v>1610</v>
      </c>
      <c r="D26" s="17">
        <v>44135</v>
      </c>
      <c r="E26" s="14" t="s">
        <v>30</v>
      </c>
      <c r="F26" s="14">
        <v>52</v>
      </c>
      <c r="G26" s="14">
        <v>13</v>
      </c>
      <c r="H26" s="14">
        <v>5</v>
      </c>
      <c r="I26" s="14">
        <v>3</v>
      </c>
      <c r="J26" s="14" t="s">
        <v>31</v>
      </c>
      <c r="K26" s="14" cm="1">
        <f t="array" ref="K26">INT(SUMPRODUCT(--ISNUMBER(SEARCH(economy,C26)))&gt;0)</f>
        <v>0</v>
      </c>
      <c r="L26" s="14" cm="1">
        <f t="array" ref="L26">INT(SUMPRODUCT(--ISNUMBER(SEARCH(healthcare,C26)))&gt;0)</f>
        <v>0</v>
      </c>
      <c r="M26" s="14" cm="1">
        <f t="array" ref="M26">INT(SUMPRODUCT(--ISNUMBER(SEARCH(supreme,C26)))&gt;0)</f>
        <v>0</v>
      </c>
      <c r="N26" s="14" cm="1">
        <f t="array" ref="N26">INT(SUMPRODUCT(--ISNUMBER(SEARCH(covid,C26)))&gt;0)</f>
        <v>0</v>
      </c>
      <c r="O26" s="14" cm="1">
        <f t="array" ref="O26">INT(SUMPRODUCT(--ISNUMBER(SEARCH(violent,C26)))&gt;0)</f>
        <v>0</v>
      </c>
      <c r="P26" s="14" cm="1">
        <f t="array" ref="P26">INT(SUMPRODUCT(--ISNUMBER(SEARCH(foreign,C26)))&gt;0)</f>
        <v>0</v>
      </c>
      <c r="Q26" s="14" cm="1">
        <f t="array" ref="Q26">INT(SUMPRODUCT(--ISNUMBER(SEARCH(gun,C26)))&gt;0)</f>
        <v>0</v>
      </c>
      <c r="R26" s="14" cm="1">
        <f t="array" ref="R26">INT(SUMPRODUCT(--ISNUMBER(SEARCH(race,C26)))&gt;0)</f>
        <v>0</v>
      </c>
      <c r="S26" s="14" cm="1">
        <f t="array" ref="S26">INT(SUMPRODUCT(--ISNUMBER(SEARCH(immigration,C26)))&gt;0)</f>
        <v>0</v>
      </c>
      <c r="T26" s="14" cm="1">
        <f t="array" ref="T26">INT(SUMPRODUCT(--ISNUMBER(SEARCH(econineq,C27)))&gt;0)</f>
        <v>0</v>
      </c>
      <c r="U26" s="14" cm="1">
        <f t="array" ref="U26">INT(SUMPRODUCT(--ISNUMBER(SEARCH(climate,C26)))&gt;0)</f>
        <v>0</v>
      </c>
      <c r="V26" s="14" cm="1">
        <f t="array" ref="V26">INT(SUMPRODUCT(--ISNUMBER(SEARCH(abortion,C26)))&gt;0)</f>
        <v>0</v>
      </c>
      <c r="W26" s="14" cm="1">
        <f t="array" ref="W26">INT(SUMPRODUCT(--ISNUMBER(SEARCH(trump,C26)))&gt;0)</f>
        <v>0</v>
      </c>
      <c r="X26" s="14" cm="1">
        <f t="array" ref="X26">INT(SUMPRODUCT(--ISNUMBER(SEARCH(voting,C26)))&gt;0)</f>
        <v>1</v>
      </c>
      <c r="Y26" s="14" cm="1">
        <f t="array" ref="Y26">INT(SUMPRODUCT(--ISNUMBER(SEARCH(republicantrigger,C26)))&gt;0)</f>
        <v>0</v>
      </c>
      <c r="Z26" s="14" cm="1">
        <f t="array" ref="Z26">INT(SUMPRODUCT(--ISNUMBER(SEARCH(bipartisan,C26)))&gt;0)</f>
        <v>0</v>
      </c>
      <c r="AA26" s="14">
        <f t="shared" si="0"/>
        <v>0</v>
      </c>
      <c r="AB26" s="14"/>
      <c r="AC26" s="30">
        <v>1</v>
      </c>
      <c r="AD26" s="37">
        <v>0</v>
      </c>
    </row>
    <row r="27" spans="1:30" x14ac:dyDescent="0.25">
      <c r="A27" s="36">
        <v>792</v>
      </c>
      <c r="B27" s="14" t="s">
        <v>1611</v>
      </c>
      <c r="C27" s="14" t="s">
        <v>1612</v>
      </c>
      <c r="D27" s="17">
        <v>44135</v>
      </c>
      <c r="E27" s="14" t="s">
        <v>30</v>
      </c>
      <c r="F27" s="14">
        <v>73</v>
      </c>
      <c r="G27" s="14">
        <v>9</v>
      </c>
      <c r="H27" s="14">
        <v>5</v>
      </c>
      <c r="I27" s="14">
        <v>3</v>
      </c>
      <c r="J27" s="14" t="s">
        <v>31</v>
      </c>
      <c r="K27" s="14" cm="1">
        <f t="array" ref="K27">INT(SUMPRODUCT(--ISNUMBER(SEARCH(economy,C27)))&gt;0)</f>
        <v>0</v>
      </c>
      <c r="L27" s="14" cm="1">
        <f t="array" ref="L27">INT(SUMPRODUCT(--ISNUMBER(SEARCH(healthcare,C27)))&gt;0)</f>
        <v>0</v>
      </c>
      <c r="M27" s="14" cm="1">
        <f t="array" ref="M27">INT(SUMPRODUCT(--ISNUMBER(SEARCH(supreme,C27)))&gt;0)</f>
        <v>0</v>
      </c>
      <c r="N27" s="14" cm="1">
        <f t="array" ref="N27">INT(SUMPRODUCT(--ISNUMBER(SEARCH(covid,C27)))&gt;0)</f>
        <v>0</v>
      </c>
      <c r="O27" s="14" cm="1">
        <f t="array" ref="O27">INT(SUMPRODUCT(--ISNUMBER(SEARCH(violent,C27)))&gt;0)</f>
        <v>0</v>
      </c>
      <c r="P27" s="14" cm="1">
        <f t="array" ref="P27">INT(SUMPRODUCT(--ISNUMBER(SEARCH(foreign,C27)))&gt;0)</f>
        <v>0</v>
      </c>
      <c r="Q27" s="14" cm="1">
        <f t="array" ref="Q27">INT(SUMPRODUCT(--ISNUMBER(SEARCH(gun,C27)))&gt;0)</f>
        <v>0</v>
      </c>
      <c r="R27" s="14" cm="1">
        <f t="array" ref="R27">INT(SUMPRODUCT(--ISNUMBER(SEARCH(race,C27)))&gt;0)</f>
        <v>0</v>
      </c>
      <c r="S27" s="14" cm="1">
        <f t="array" ref="S27">INT(SUMPRODUCT(--ISNUMBER(SEARCH(immigration,C27)))&gt;0)</f>
        <v>0</v>
      </c>
      <c r="T27" s="14" cm="1">
        <f t="array" ref="T27">INT(SUMPRODUCT(--ISNUMBER(SEARCH(econineq,C28)))&gt;0)</f>
        <v>0</v>
      </c>
      <c r="U27" s="14" cm="1">
        <f t="array" ref="U27">INT(SUMPRODUCT(--ISNUMBER(SEARCH(climate,C27)))&gt;0)</f>
        <v>0</v>
      </c>
      <c r="V27" s="14" cm="1">
        <f t="array" ref="V27">INT(SUMPRODUCT(--ISNUMBER(SEARCH(abortion,C27)))&gt;0)</f>
        <v>0</v>
      </c>
      <c r="W27" s="14" cm="1">
        <f t="array" ref="W27">INT(SUMPRODUCT(--ISNUMBER(SEARCH(trump,C27)))&gt;0)</f>
        <v>0</v>
      </c>
      <c r="X27" s="14" cm="1">
        <f t="array" ref="X27">INT(SUMPRODUCT(--ISNUMBER(SEARCH(voting,C27)))&gt;0)</f>
        <v>0</v>
      </c>
      <c r="Y27" s="14" cm="1">
        <f t="array" ref="Y27">INT(SUMPRODUCT(--ISNUMBER(SEARCH(republicantrigger,C27)))&gt;0)</f>
        <v>0</v>
      </c>
      <c r="Z27" s="14" cm="1">
        <f t="array" ref="Z27">INT(SUMPRODUCT(--ISNUMBER(SEARCH(bipartisan,C27)))&gt;0)</f>
        <v>0</v>
      </c>
      <c r="AA27" s="14">
        <f t="shared" si="0"/>
        <v>1</v>
      </c>
      <c r="AB27" s="14"/>
      <c r="AC27" s="30">
        <v>0</v>
      </c>
      <c r="AD27" s="37">
        <v>1</v>
      </c>
    </row>
    <row r="28" spans="1:30" x14ac:dyDescent="0.25">
      <c r="A28" s="36">
        <v>793</v>
      </c>
      <c r="B28" s="14" t="s">
        <v>1613</v>
      </c>
      <c r="C28" s="14" t="s">
        <v>1614</v>
      </c>
      <c r="D28" s="17">
        <v>44135</v>
      </c>
      <c r="E28" s="14" t="s">
        <v>30</v>
      </c>
      <c r="F28" s="14">
        <v>150</v>
      </c>
      <c r="G28" s="14">
        <v>20</v>
      </c>
      <c r="H28" s="14">
        <v>5</v>
      </c>
      <c r="I28" s="14">
        <v>3</v>
      </c>
      <c r="J28" s="14" t="s">
        <v>31</v>
      </c>
      <c r="K28" s="14" cm="1">
        <f t="array" ref="K28">INT(SUMPRODUCT(--ISNUMBER(SEARCH(economy,C28)))&gt;0)</f>
        <v>0</v>
      </c>
      <c r="L28" s="14" cm="1">
        <f t="array" ref="L28">INT(SUMPRODUCT(--ISNUMBER(SEARCH(healthcare,C28)))&gt;0)</f>
        <v>0</v>
      </c>
      <c r="M28" s="14" cm="1">
        <f t="array" ref="M28">INT(SUMPRODUCT(--ISNUMBER(SEARCH(supreme,C28)))&gt;0)</f>
        <v>0</v>
      </c>
      <c r="N28" s="14" cm="1">
        <f t="array" ref="N28">INT(SUMPRODUCT(--ISNUMBER(SEARCH(covid,C28)))&gt;0)</f>
        <v>0</v>
      </c>
      <c r="O28" s="14" cm="1">
        <f t="array" ref="O28">INT(SUMPRODUCT(--ISNUMBER(SEARCH(violent,C28)))&gt;0)</f>
        <v>0</v>
      </c>
      <c r="P28" s="14" cm="1">
        <f t="array" ref="P28">INT(SUMPRODUCT(--ISNUMBER(SEARCH(foreign,C28)))&gt;0)</f>
        <v>0</v>
      </c>
      <c r="Q28" s="14" cm="1">
        <f t="array" ref="Q28">INT(SUMPRODUCT(--ISNUMBER(SEARCH(gun,C28)))&gt;0)</f>
        <v>0</v>
      </c>
      <c r="R28" s="14" cm="1">
        <f t="array" ref="R28">INT(SUMPRODUCT(--ISNUMBER(SEARCH(race,C28)))&gt;0)</f>
        <v>0</v>
      </c>
      <c r="S28" s="14" cm="1">
        <f t="array" ref="S28">INT(SUMPRODUCT(--ISNUMBER(SEARCH(immigration,C28)))&gt;0)</f>
        <v>0</v>
      </c>
      <c r="T28" s="14" cm="1">
        <f t="array" ref="T28">INT(SUMPRODUCT(--ISNUMBER(SEARCH(econineq,C29)))&gt;0)</f>
        <v>0</v>
      </c>
      <c r="U28" s="14" cm="1">
        <f t="array" ref="U28">INT(SUMPRODUCT(--ISNUMBER(SEARCH(climate,C28)))&gt;0)</f>
        <v>0</v>
      </c>
      <c r="V28" s="14" cm="1">
        <f t="array" ref="V28">INT(SUMPRODUCT(--ISNUMBER(SEARCH(abortion,C28)))&gt;0)</f>
        <v>0</v>
      </c>
      <c r="W28" s="14" cm="1">
        <f t="array" ref="W28">INT(SUMPRODUCT(--ISNUMBER(SEARCH(trump,C28)))&gt;0)</f>
        <v>0</v>
      </c>
      <c r="X28" s="14" cm="1">
        <f t="array" ref="X28">INT(SUMPRODUCT(--ISNUMBER(SEARCH(voting,C28)))&gt;0)</f>
        <v>1</v>
      </c>
      <c r="Y28" s="14" cm="1">
        <f t="array" ref="Y28">INT(SUMPRODUCT(--ISNUMBER(SEARCH(republicantrigger,C28)))&gt;0)</f>
        <v>0</v>
      </c>
      <c r="Z28" s="14" cm="1">
        <f t="array" ref="Z28">INT(SUMPRODUCT(--ISNUMBER(SEARCH(bipartisan,C28)))&gt;0)</f>
        <v>0</v>
      </c>
      <c r="AA28" s="14">
        <f t="shared" si="0"/>
        <v>0</v>
      </c>
      <c r="AB28" s="14"/>
      <c r="AC28" s="30">
        <v>1</v>
      </c>
      <c r="AD28" s="37">
        <v>0</v>
      </c>
    </row>
    <row r="29" spans="1:30" x14ac:dyDescent="0.25">
      <c r="A29" s="36">
        <v>794</v>
      </c>
      <c r="B29" s="14" t="s">
        <v>1615</v>
      </c>
      <c r="C29" s="14" t="s">
        <v>1616</v>
      </c>
      <c r="D29" s="17">
        <v>44135</v>
      </c>
      <c r="E29" s="14" t="s">
        <v>30</v>
      </c>
      <c r="F29" s="14">
        <v>131</v>
      </c>
      <c r="G29" s="14">
        <v>16</v>
      </c>
      <c r="H29" s="14">
        <v>5</v>
      </c>
      <c r="I29" s="14">
        <v>3</v>
      </c>
      <c r="J29" s="14" t="s">
        <v>31</v>
      </c>
      <c r="K29" s="14" cm="1">
        <f t="array" ref="K29">INT(SUMPRODUCT(--ISNUMBER(SEARCH(economy,C29)))&gt;0)</f>
        <v>0</v>
      </c>
      <c r="L29" s="14" cm="1">
        <f t="array" ref="L29">INT(SUMPRODUCT(--ISNUMBER(SEARCH(healthcare,C29)))&gt;0)</f>
        <v>0</v>
      </c>
      <c r="M29" s="14" cm="1">
        <f t="array" ref="M29">INT(SUMPRODUCT(--ISNUMBER(SEARCH(supreme,C29)))&gt;0)</f>
        <v>0</v>
      </c>
      <c r="N29" s="14" cm="1">
        <f t="array" ref="N29">INT(SUMPRODUCT(--ISNUMBER(SEARCH(covid,C29)))&gt;0)</f>
        <v>0</v>
      </c>
      <c r="O29" s="14" cm="1">
        <f t="array" ref="O29">INT(SUMPRODUCT(--ISNUMBER(SEARCH(violent,C29)))&gt;0)</f>
        <v>0</v>
      </c>
      <c r="P29" s="14" cm="1">
        <f t="array" ref="P29">INT(SUMPRODUCT(--ISNUMBER(SEARCH(foreign,C29)))&gt;0)</f>
        <v>0</v>
      </c>
      <c r="Q29" s="14" cm="1">
        <f t="array" ref="Q29">INT(SUMPRODUCT(--ISNUMBER(SEARCH(gun,C29)))&gt;0)</f>
        <v>0</v>
      </c>
      <c r="R29" s="14" cm="1">
        <f t="array" ref="R29">INT(SUMPRODUCT(--ISNUMBER(SEARCH(race,C29)))&gt;0)</f>
        <v>0</v>
      </c>
      <c r="S29" s="14" cm="1">
        <f t="array" ref="S29">INT(SUMPRODUCT(--ISNUMBER(SEARCH(immigration,C29)))&gt;0)</f>
        <v>0</v>
      </c>
      <c r="T29" s="14" cm="1">
        <f t="array" ref="T29">INT(SUMPRODUCT(--ISNUMBER(SEARCH(econineq,C30)))&gt;0)</f>
        <v>0</v>
      </c>
      <c r="U29" s="14" cm="1">
        <f t="array" ref="U29">INT(SUMPRODUCT(--ISNUMBER(SEARCH(climate,C29)))&gt;0)</f>
        <v>0</v>
      </c>
      <c r="V29" s="14" cm="1">
        <f t="array" ref="V29">INT(SUMPRODUCT(--ISNUMBER(SEARCH(abortion,C29)))&gt;0)</f>
        <v>0</v>
      </c>
      <c r="W29" s="14" cm="1">
        <f t="array" ref="W29">INT(SUMPRODUCT(--ISNUMBER(SEARCH(trump,C29)))&gt;0)</f>
        <v>0</v>
      </c>
      <c r="X29" s="14" cm="1">
        <f t="array" ref="X29">INT(SUMPRODUCT(--ISNUMBER(SEARCH(voting,C29)))&gt;0)</f>
        <v>0</v>
      </c>
      <c r="Y29" s="14" cm="1">
        <f t="array" ref="Y29">INT(SUMPRODUCT(--ISNUMBER(SEARCH(republicantrigger,C29)))&gt;0)</f>
        <v>0</v>
      </c>
      <c r="Z29" s="14" cm="1">
        <f t="array" ref="Z29">INT(SUMPRODUCT(--ISNUMBER(SEARCH(bipartisan,C29)))&gt;0)</f>
        <v>0</v>
      </c>
      <c r="AA29" s="14">
        <f t="shared" si="0"/>
        <v>1</v>
      </c>
      <c r="AB29" s="14"/>
      <c r="AC29" s="30">
        <v>1</v>
      </c>
      <c r="AD29" s="37">
        <v>0</v>
      </c>
    </row>
    <row r="30" spans="1:30" x14ac:dyDescent="0.25">
      <c r="A30" s="36">
        <v>795</v>
      </c>
      <c r="B30" s="14" t="s">
        <v>1617</v>
      </c>
      <c r="C30" s="14" t="s">
        <v>1618</v>
      </c>
      <c r="D30" s="17">
        <v>44135</v>
      </c>
      <c r="E30" s="14" t="s">
        <v>30</v>
      </c>
      <c r="F30" s="14">
        <v>156</v>
      </c>
      <c r="G30" s="14">
        <v>28</v>
      </c>
      <c r="H30" s="14">
        <v>5</v>
      </c>
      <c r="I30" s="14">
        <v>3</v>
      </c>
      <c r="J30" s="14" t="s">
        <v>31</v>
      </c>
      <c r="K30" s="14" cm="1">
        <f t="array" ref="K30">INT(SUMPRODUCT(--ISNUMBER(SEARCH(economy,C30)))&gt;0)</f>
        <v>0</v>
      </c>
      <c r="L30" s="14" cm="1">
        <f t="array" ref="L30">INT(SUMPRODUCT(--ISNUMBER(SEARCH(healthcare,C30)))&gt;0)</f>
        <v>0</v>
      </c>
      <c r="M30" s="14" cm="1">
        <f t="array" ref="M30">INT(SUMPRODUCT(--ISNUMBER(SEARCH(supreme,C30)))&gt;0)</f>
        <v>0</v>
      </c>
      <c r="N30" s="14" cm="1">
        <f t="array" ref="N30">INT(SUMPRODUCT(--ISNUMBER(SEARCH(covid,C30)))&gt;0)</f>
        <v>0</v>
      </c>
      <c r="O30" s="14" cm="1">
        <f t="array" ref="O30">INT(SUMPRODUCT(--ISNUMBER(SEARCH(violent,C30)))&gt;0)</f>
        <v>0</v>
      </c>
      <c r="P30" s="14" cm="1">
        <f t="array" ref="P30">INT(SUMPRODUCT(--ISNUMBER(SEARCH(foreign,C30)))&gt;0)</f>
        <v>0</v>
      </c>
      <c r="Q30" s="14" cm="1">
        <f t="array" ref="Q30">INT(SUMPRODUCT(--ISNUMBER(SEARCH(gun,C30)))&gt;0)</f>
        <v>0</v>
      </c>
      <c r="R30" s="14" cm="1">
        <f t="array" ref="R30">INT(SUMPRODUCT(--ISNUMBER(SEARCH(race,C30)))&gt;0)</f>
        <v>0</v>
      </c>
      <c r="S30" s="14" cm="1">
        <f t="array" ref="S30">INT(SUMPRODUCT(--ISNUMBER(SEARCH(immigration,C30)))&gt;0)</f>
        <v>0</v>
      </c>
      <c r="T30" s="14" cm="1">
        <f t="array" ref="T30">INT(SUMPRODUCT(--ISNUMBER(SEARCH(econineq,C31)))&gt;0)</f>
        <v>0</v>
      </c>
      <c r="U30" s="14" cm="1">
        <f t="array" ref="U30">INT(SUMPRODUCT(--ISNUMBER(SEARCH(climate,C30)))&gt;0)</f>
        <v>0</v>
      </c>
      <c r="V30" s="14" cm="1">
        <f t="array" ref="V30">INT(SUMPRODUCT(--ISNUMBER(SEARCH(abortion,C30)))&gt;0)</f>
        <v>0</v>
      </c>
      <c r="W30" s="14" cm="1">
        <f t="array" ref="W30">INT(SUMPRODUCT(--ISNUMBER(SEARCH(trump,C30)))&gt;0)</f>
        <v>0</v>
      </c>
      <c r="X30" s="14" cm="1">
        <f t="array" ref="X30">INT(SUMPRODUCT(--ISNUMBER(SEARCH(voting,C30)))&gt;0)</f>
        <v>0</v>
      </c>
      <c r="Y30" s="14" cm="1">
        <f t="array" ref="Y30">INT(SUMPRODUCT(--ISNUMBER(SEARCH(republicantrigger,C30)))&gt;0)</f>
        <v>0</v>
      </c>
      <c r="Z30" s="14" cm="1">
        <f t="array" ref="Z30">INT(SUMPRODUCT(--ISNUMBER(SEARCH(bipartisan,C30)))&gt;0)</f>
        <v>0</v>
      </c>
      <c r="AA30" s="14">
        <f t="shared" si="0"/>
        <v>1</v>
      </c>
      <c r="AB30" s="14"/>
      <c r="AC30" s="30">
        <v>1</v>
      </c>
      <c r="AD30" s="37">
        <v>0</v>
      </c>
    </row>
    <row r="31" spans="1:30" x14ac:dyDescent="0.25">
      <c r="A31" s="36">
        <v>796</v>
      </c>
      <c r="B31" s="14" t="s">
        <v>1619</v>
      </c>
      <c r="C31" s="14" t="s">
        <v>1620</v>
      </c>
      <c r="D31" s="17">
        <v>44134</v>
      </c>
      <c r="E31" s="14" t="s">
        <v>30</v>
      </c>
      <c r="F31" s="14">
        <v>141</v>
      </c>
      <c r="G31" s="14">
        <v>19</v>
      </c>
      <c r="H31" s="14">
        <v>5</v>
      </c>
      <c r="I31" s="14">
        <v>3</v>
      </c>
      <c r="J31" s="14" t="s">
        <v>31</v>
      </c>
      <c r="K31" s="14" cm="1">
        <f t="array" ref="K31">INT(SUMPRODUCT(--ISNUMBER(SEARCH(economy,C31)))&gt;0)</f>
        <v>0</v>
      </c>
      <c r="L31" s="14" cm="1">
        <f t="array" ref="L31">INT(SUMPRODUCT(--ISNUMBER(SEARCH(healthcare,C31)))&gt;0)</f>
        <v>0</v>
      </c>
      <c r="M31" s="14" cm="1">
        <f t="array" ref="M31">INT(SUMPRODUCT(--ISNUMBER(SEARCH(supreme,C31)))&gt;0)</f>
        <v>1</v>
      </c>
      <c r="N31" s="14" cm="1">
        <f t="array" ref="N31">INT(SUMPRODUCT(--ISNUMBER(SEARCH(covid,C31)))&gt;0)</f>
        <v>0</v>
      </c>
      <c r="O31" s="14" cm="1">
        <f t="array" ref="O31">INT(SUMPRODUCT(--ISNUMBER(SEARCH(violent,C31)))&gt;0)</f>
        <v>0</v>
      </c>
      <c r="P31" s="14" cm="1">
        <f t="array" ref="P31">INT(SUMPRODUCT(--ISNUMBER(SEARCH(foreign,C31)))&gt;0)</f>
        <v>0</v>
      </c>
      <c r="Q31" s="14" cm="1">
        <f t="array" ref="Q31">INT(SUMPRODUCT(--ISNUMBER(SEARCH(gun,C31)))&gt;0)</f>
        <v>0</v>
      </c>
      <c r="R31" s="14" cm="1">
        <f t="array" ref="R31">INT(SUMPRODUCT(--ISNUMBER(SEARCH(race,C31)))&gt;0)</f>
        <v>0</v>
      </c>
      <c r="S31" s="14" cm="1">
        <f t="array" ref="S31">INT(SUMPRODUCT(--ISNUMBER(SEARCH(immigration,C31)))&gt;0)</f>
        <v>0</v>
      </c>
      <c r="T31" s="14" cm="1">
        <f t="array" ref="T31">INT(SUMPRODUCT(--ISNUMBER(SEARCH(econineq,C32)))&gt;0)</f>
        <v>0</v>
      </c>
      <c r="U31" s="14" cm="1">
        <f t="array" ref="U31">INT(SUMPRODUCT(--ISNUMBER(SEARCH(climate,C31)))&gt;0)</f>
        <v>0</v>
      </c>
      <c r="V31" s="14" cm="1">
        <f t="array" ref="V31">INT(SUMPRODUCT(--ISNUMBER(SEARCH(abortion,C31)))&gt;0)</f>
        <v>0</v>
      </c>
      <c r="W31" s="14" cm="1">
        <f t="array" ref="W31">INT(SUMPRODUCT(--ISNUMBER(SEARCH(trump,C31)))&gt;0)</f>
        <v>0</v>
      </c>
      <c r="X31" s="14" cm="1">
        <f t="array" ref="X31">INT(SUMPRODUCT(--ISNUMBER(SEARCH(voting,C31)))&gt;0)</f>
        <v>0</v>
      </c>
      <c r="Y31" s="14" cm="1">
        <f t="array" ref="Y31">INT(SUMPRODUCT(--ISNUMBER(SEARCH(republicantrigger,C31)))&gt;0)</f>
        <v>0</v>
      </c>
      <c r="Z31" s="14" cm="1">
        <f t="array" ref="Z31">INT(SUMPRODUCT(--ISNUMBER(SEARCH(bipartisan,C31)))&gt;0)</f>
        <v>0</v>
      </c>
      <c r="AA31" s="14">
        <f t="shared" si="0"/>
        <v>0</v>
      </c>
      <c r="AB31" s="14"/>
      <c r="AC31" s="30">
        <v>1</v>
      </c>
      <c r="AD31" s="37">
        <v>0</v>
      </c>
    </row>
    <row r="32" spans="1:30" x14ac:dyDescent="0.25">
      <c r="A32" s="36">
        <v>797</v>
      </c>
      <c r="B32" s="14" t="s">
        <v>1621</v>
      </c>
      <c r="C32" s="14" t="s">
        <v>1622</v>
      </c>
      <c r="D32" s="17">
        <v>44134</v>
      </c>
      <c r="E32" s="14" t="s">
        <v>30</v>
      </c>
      <c r="F32" s="14">
        <v>133</v>
      </c>
      <c r="G32" s="14">
        <v>24</v>
      </c>
      <c r="H32" s="14">
        <v>5</v>
      </c>
      <c r="I32" s="14">
        <v>3</v>
      </c>
      <c r="J32" s="14" t="s">
        <v>31</v>
      </c>
      <c r="K32" s="14" cm="1">
        <f t="array" ref="K32">INT(SUMPRODUCT(--ISNUMBER(SEARCH(economy,C32)))&gt;0)</f>
        <v>0</v>
      </c>
      <c r="L32" s="14" cm="1">
        <f t="array" ref="L32">INT(SUMPRODUCT(--ISNUMBER(SEARCH(healthcare,C32)))&gt;0)</f>
        <v>0</v>
      </c>
      <c r="M32" s="14" cm="1">
        <f t="array" ref="M32">INT(SUMPRODUCT(--ISNUMBER(SEARCH(supreme,C32)))&gt;0)</f>
        <v>0</v>
      </c>
      <c r="N32" s="14" cm="1">
        <f t="array" ref="N32">INT(SUMPRODUCT(--ISNUMBER(SEARCH(covid,C32)))&gt;0)</f>
        <v>0</v>
      </c>
      <c r="O32" s="14" cm="1">
        <f t="array" ref="O32">INT(SUMPRODUCT(--ISNUMBER(SEARCH(violent,C32)))&gt;0)</f>
        <v>0</v>
      </c>
      <c r="P32" s="14" cm="1">
        <f t="array" ref="P32">INT(SUMPRODUCT(--ISNUMBER(SEARCH(foreign,C32)))&gt;0)</f>
        <v>0</v>
      </c>
      <c r="Q32" s="14" cm="1">
        <f t="array" ref="Q32">INT(SUMPRODUCT(--ISNUMBER(SEARCH(gun,C32)))&gt;0)</f>
        <v>0</v>
      </c>
      <c r="R32" s="14" cm="1">
        <f t="array" ref="R32">INT(SUMPRODUCT(--ISNUMBER(SEARCH(race,C32)))&gt;0)</f>
        <v>0</v>
      </c>
      <c r="S32" s="14" cm="1">
        <f t="array" ref="S32">INT(SUMPRODUCT(--ISNUMBER(SEARCH(immigration,C32)))&gt;0)</f>
        <v>0</v>
      </c>
      <c r="T32" s="14" cm="1">
        <f t="array" ref="T32">INT(SUMPRODUCT(--ISNUMBER(SEARCH(econineq,C33)))&gt;0)</f>
        <v>0</v>
      </c>
      <c r="U32" s="14" cm="1">
        <f t="array" ref="U32">INT(SUMPRODUCT(--ISNUMBER(SEARCH(climate,C32)))&gt;0)</f>
        <v>0</v>
      </c>
      <c r="V32" s="14" cm="1">
        <f t="array" ref="V32">INT(SUMPRODUCT(--ISNUMBER(SEARCH(abortion,C32)))&gt;0)</f>
        <v>0</v>
      </c>
      <c r="W32" s="14" cm="1">
        <f t="array" ref="W32">INT(SUMPRODUCT(--ISNUMBER(SEARCH(trump,C32)))&gt;0)</f>
        <v>0</v>
      </c>
      <c r="X32" s="14" cm="1">
        <f t="array" ref="X32">INT(SUMPRODUCT(--ISNUMBER(SEARCH(voting,C32)))&gt;0)</f>
        <v>0</v>
      </c>
      <c r="Y32" s="14" cm="1">
        <f t="array" ref="Y32">INT(SUMPRODUCT(--ISNUMBER(SEARCH(republicantrigger,C32)))&gt;0)</f>
        <v>0</v>
      </c>
      <c r="Z32" s="14" cm="1">
        <f t="array" ref="Z32">INT(SUMPRODUCT(--ISNUMBER(SEARCH(bipartisan,C32)))&gt;0)</f>
        <v>0</v>
      </c>
      <c r="AA32" s="14">
        <f t="shared" si="0"/>
        <v>1</v>
      </c>
      <c r="AB32" s="14"/>
      <c r="AC32" s="30">
        <v>1</v>
      </c>
      <c r="AD32" s="37">
        <v>0</v>
      </c>
    </row>
    <row r="33" spans="1:30" x14ac:dyDescent="0.25">
      <c r="A33" s="36">
        <v>798</v>
      </c>
      <c r="B33" s="14" t="s">
        <v>1623</v>
      </c>
      <c r="C33" s="14" t="s">
        <v>1624</v>
      </c>
      <c r="D33" s="17">
        <v>44134</v>
      </c>
      <c r="E33" s="14" t="s">
        <v>30</v>
      </c>
      <c r="F33" s="14">
        <v>82</v>
      </c>
      <c r="G33" s="14">
        <v>13</v>
      </c>
      <c r="H33" s="14">
        <v>5</v>
      </c>
      <c r="I33" s="14">
        <v>3</v>
      </c>
      <c r="J33" s="14" t="s">
        <v>31</v>
      </c>
      <c r="K33" s="14" cm="1">
        <f t="array" ref="K33">INT(SUMPRODUCT(--ISNUMBER(SEARCH(economy,C33)))&gt;0)</f>
        <v>0</v>
      </c>
      <c r="L33" s="14" cm="1">
        <f t="array" ref="L33">INT(SUMPRODUCT(--ISNUMBER(SEARCH(healthcare,C33)))&gt;0)</f>
        <v>0</v>
      </c>
      <c r="M33" s="14" cm="1">
        <f t="array" ref="M33">INT(SUMPRODUCT(--ISNUMBER(SEARCH(supreme,C33)))&gt;0)</f>
        <v>0</v>
      </c>
      <c r="N33" s="14" cm="1">
        <f t="array" ref="N33">INT(SUMPRODUCT(--ISNUMBER(SEARCH(covid,C33)))&gt;0)</f>
        <v>0</v>
      </c>
      <c r="O33" s="14" cm="1">
        <f t="array" ref="O33">INT(SUMPRODUCT(--ISNUMBER(SEARCH(violent,C33)))&gt;0)</f>
        <v>0</v>
      </c>
      <c r="P33" s="14" cm="1">
        <f t="array" ref="P33">INT(SUMPRODUCT(--ISNUMBER(SEARCH(foreign,C33)))&gt;0)</f>
        <v>0</v>
      </c>
      <c r="Q33" s="14" cm="1">
        <f t="array" ref="Q33">INT(SUMPRODUCT(--ISNUMBER(SEARCH(gun,C33)))&gt;0)</f>
        <v>0</v>
      </c>
      <c r="R33" s="14" cm="1">
        <f t="array" ref="R33">INT(SUMPRODUCT(--ISNUMBER(SEARCH(race,C33)))&gt;0)</f>
        <v>0</v>
      </c>
      <c r="S33" s="14" cm="1">
        <f t="array" ref="S33">INT(SUMPRODUCT(--ISNUMBER(SEARCH(immigration,C33)))&gt;0)</f>
        <v>0</v>
      </c>
      <c r="T33" s="14" cm="1">
        <f t="array" ref="T33">INT(SUMPRODUCT(--ISNUMBER(SEARCH(econineq,C34)))&gt;0)</f>
        <v>0</v>
      </c>
      <c r="U33" s="14" cm="1">
        <f t="array" ref="U33">INT(SUMPRODUCT(--ISNUMBER(SEARCH(climate,C33)))&gt;0)</f>
        <v>0</v>
      </c>
      <c r="V33" s="14" cm="1">
        <f t="array" ref="V33">INT(SUMPRODUCT(--ISNUMBER(SEARCH(abortion,C33)))&gt;0)</f>
        <v>0</v>
      </c>
      <c r="W33" s="14" cm="1">
        <f t="array" ref="W33">INT(SUMPRODUCT(--ISNUMBER(SEARCH(trump,C33)))&gt;0)</f>
        <v>0</v>
      </c>
      <c r="X33" s="14" cm="1">
        <f t="array" ref="X33">INT(SUMPRODUCT(--ISNUMBER(SEARCH(voting,C33)))&gt;0)</f>
        <v>0</v>
      </c>
      <c r="Y33" s="14" cm="1">
        <f t="array" ref="Y33">INT(SUMPRODUCT(--ISNUMBER(SEARCH(republicantrigger,C33)))&gt;0)</f>
        <v>1</v>
      </c>
      <c r="Z33" s="14" cm="1">
        <f t="array" ref="Z33">INT(SUMPRODUCT(--ISNUMBER(SEARCH(bipartisan,C33)))&gt;0)</f>
        <v>0</v>
      </c>
      <c r="AA33" s="14">
        <f t="shared" si="0"/>
        <v>0</v>
      </c>
      <c r="AB33" s="14"/>
      <c r="AC33" s="30">
        <v>1</v>
      </c>
      <c r="AD33" s="37">
        <v>0</v>
      </c>
    </row>
    <row r="34" spans="1:30" x14ac:dyDescent="0.25">
      <c r="A34" s="36">
        <v>799</v>
      </c>
      <c r="B34" s="14" t="s">
        <v>1625</v>
      </c>
      <c r="C34" s="14" t="s">
        <v>1626</v>
      </c>
      <c r="D34" s="17">
        <v>44134</v>
      </c>
      <c r="E34" s="14" t="s">
        <v>30</v>
      </c>
      <c r="F34" s="14">
        <v>93</v>
      </c>
      <c r="G34" s="14">
        <v>20</v>
      </c>
      <c r="H34" s="14">
        <v>5</v>
      </c>
      <c r="I34" s="14">
        <v>3</v>
      </c>
      <c r="J34" s="14" t="s">
        <v>31</v>
      </c>
      <c r="K34" s="14" cm="1">
        <f t="array" ref="K34">INT(SUMPRODUCT(--ISNUMBER(SEARCH(economy,C34)))&gt;0)</f>
        <v>0</v>
      </c>
      <c r="L34" s="14" cm="1">
        <f t="array" ref="L34">INT(SUMPRODUCT(--ISNUMBER(SEARCH(healthcare,C34)))&gt;0)</f>
        <v>0</v>
      </c>
      <c r="M34" s="14" cm="1">
        <f t="array" ref="M34">INT(SUMPRODUCT(--ISNUMBER(SEARCH(supreme,C34)))&gt;0)</f>
        <v>0</v>
      </c>
      <c r="N34" s="14" cm="1">
        <f t="array" ref="N34">INT(SUMPRODUCT(--ISNUMBER(SEARCH(covid,C34)))&gt;0)</f>
        <v>0</v>
      </c>
      <c r="O34" s="14" cm="1">
        <f t="array" ref="O34">INT(SUMPRODUCT(--ISNUMBER(SEARCH(violent,C34)))&gt;0)</f>
        <v>0</v>
      </c>
      <c r="P34" s="14" cm="1">
        <f t="array" ref="P34">INT(SUMPRODUCT(--ISNUMBER(SEARCH(foreign,C34)))&gt;0)</f>
        <v>0</v>
      </c>
      <c r="Q34" s="14" cm="1">
        <f t="array" ref="Q34">INT(SUMPRODUCT(--ISNUMBER(SEARCH(gun,C34)))&gt;0)</f>
        <v>0</v>
      </c>
      <c r="R34" s="14" cm="1">
        <f t="array" ref="R34">INT(SUMPRODUCT(--ISNUMBER(SEARCH(race,C34)))&gt;0)</f>
        <v>0</v>
      </c>
      <c r="S34" s="14" cm="1">
        <f t="array" ref="S34">INT(SUMPRODUCT(--ISNUMBER(SEARCH(immigration,C34)))&gt;0)</f>
        <v>0</v>
      </c>
      <c r="T34" s="14" cm="1">
        <f t="array" ref="T34">INT(SUMPRODUCT(--ISNUMBER(SEARCH(econineq,C35)))&gt;0)</f>
        <v>0</v>
      </c>
      <c r="U34" s="14" cm="1">
        <f t="array" ref="U34">INT(SUMPRODUCT(--ISNUMBER(SEARCH(climate,C34)))&gt;0)</f>
        <v>0</v>
      </c>
      <c r="V34" s="14" cm="1">
        <f t="array" ref="V34">INT(SUMPRODUCT(--ISNUMBER(SEARCH(abortion,C34)))&gt;0)</f>
        <v>0</v>
      </c>
      <c r="W34" s="14" cm="1">
        <f t="array" ref="W34">INT(SUMPRODUCT(--ISNUMBER(SEARCH(trump,C34)))&gt;0)</f>
        <v>0</v>
      </c>
      <c r="X34" s="14" cm="1">
        <f t="array" ref="X34">INT(SUMPRODUCT(--ISNUMBER(SEARCH(voting,C34)))&gt;0)</f>
        <v>0</v>
      </c>
      <c r="Y34" s="14" cm="1">
        <f t="array" ref="Y34">INT(SUMPRODUCT(--ISNUMBER(SEARCH(republicantrigger,C34)))&gt;0)</f>
        <v>0</v>
      </c>
      <c r="Z34" s="14" cm="1">
        <f t="array" ref="Z34">INT(SUMPRODUCT(--ISNUMBER(SEARCH(bipartisan,C34)))&gt;0)</f>
        <v>0</v>
      </c>
      <c r="AA34" s="14">
        <f t="shared" si="0"/>
        <v>1</v>
      </c>
      <c r="AB34" s="14"/>
      <c r="AC34" s="30">
        <v>1</v>
      </c>
      <c r="AD34" s="37">
        <v>0</v>
      </c>
    </row>
    <row r="35" spans="1:30" x14ac:dyDescent="0.25">
      <c r="A35" s="36">
        <v>800</v>
      </c>
      <c r="B35" s="14" t="s">
        <v>1627</v>
      </c>
      <c r="C35" s="14" t="s">
        <v>1628</v>
      </c>
      <c r="D35" s="17">
        <v>44134</v>
      </c>
      <c r="E35" s="14" t="s">
        <v>30</v>
      </c>
      <c r="F35" s="14">
        <v>513</v>
      </c>
      <c r="G35" s="14">
        <v>96</v>
      </c>
      <c r="H35" s="14">
        <v>5</v>
      </c>
      <c r="I35" s="14">
        <v>3</v>
      </c>
      <c r="J35" s="14" t="s">
        <v>31</v>
      </c>
      <c r="K35" s="14" cm="1">
        <f t="array" ref="K35">INT(SUMPRODUCT(--ISNUMBER(SEARCH(economy,C35)))&gt;0)</f>
        <v>0</v>
      </c>
      <c r="L35" s="14" cm="1">
        <f t="array" ref="L35">INT(SUMPRODUCT(--ISNUMBER(SEARCH(healthcare,C35)))&gt;0)</f>
        <v>0</v>
      </c>
      <c r="M35" s="14" cm="1">
        <f t="array" ref="M35">INT(SUMPRODUCT(--ISNUMBER(SEARCH(supreme,C35)))&gt;0)</f>
        <v>0</v>
      </c>
      <c r="N35" s="14" cm="1">
        <f t="array" ref="N35">INT(SUMPRODUCT(--ISNUMBER(SEARCH(covid,C35)))&gt;0)</f>
        <v>0</v>
      </c>
      <c r="O35" s="14" cm="1">
        <f t="array" ref="O35">INT(SUMPRODUCT(--ISNUMBER(SEARCH(violent,C35)))&gt;0)</f>
        <v>0</v>
      </c>
      <c r="P35" s="14" cm="1">
        <f t="array" ref="P35">INT(SUMPRODUCT(--ISNUMBER(SEARCH(foreign,C35)))&gt;0)</f>
        <v>0</v>
      </c>
      <c r="Q35" s="14" cm="1">
        <f t="array" ref="Q35">INT(SUMPRODUCT(--ISNUMBER(SEARCH(gun,C35)))&gt;0)</f>
        <v>0</v>
      </c>
      <c r="R35" s="14" cm="1">
        <f t="array" ref="R35">INT(SUMPRODUCT(--ISNUMBER(SEARCH(race,C35)))&gt;0)</f>
        <v>0</v>
      </c>
      <c r="S35" s="14" cm="1">
        <f t="array" ref="S35">INT(SUMPRODUCT(--ISNUMBER(SEARCH(immigration,C35)))&gt;0)</f>
        <v>0</v>
      </c>
      <c r="T35" s="14" cm="1">
        <f t="array" ref="T35">INT(SUMPRODUCT(--ISNUMBER(SEARCH(econineq,C36)))&gt;0)</f>
        <v>0</v>
      </c>
      <c r="U35" s="14" cm="1">
        <f t="array" ref="U35">INT(SUMPRODUCT(--ISNUMBER(SEARCH(climate,C35)))&gt;0)</f>
        <v>0</v>
      </c>
      <c r="V35" s="14" cm="1">
        <f t="array" ref="V35">INT(SUMPRODUCT(--ISNUMBER(SEARCH(abortion,C35)))&gt;0)</f>
        <v>0</v>
      </c>
      <c r="W35" s="14" cm="1">
        <f t="array" ref="W35">INT(SUMPRODUCT(--ISNUMBER(SEARCH(trump,C35)))&gt;0)</f>
        <v>0</v>
      </c>
      <c r="X35" s="14" cm="1">
        <f t="array" ref="X35">INT(SUMPRODUCT(--ISNUMBER(SEARCH(voting,C35)))&gt;0)</f>
        <v>1</v>
      </c>
      <c r="Y35" s="14" cm="1">
        <f t="array" ref="Y35">INT(SUMPRODUCT(--ISNUMBER(SEARCH(republicantrigger,C35)))&gt;0)</f>
        <v>0</v>
      </c>
      <c r="Z35" s="14" cm="1">
        <f t="array" ref="Z35">INT(SUMPRODUCT(--ISNUMBER(SEARCH(bipartisan,C35)))&gt;0)</f>
        <v>0</v>
      </c>
      <c r="AA35" s="14">
        <f t="shared" si="0"/>
        <v>0</v>
      </c>
      <c r="AB35" s="14"/>
      <c r="AC35" s="30">
        <v>1</v>
      </c>
      <c r="AD35" s="37">
        <v>0</v>
      </c>
    </row>
    <row r="36" spans="1:30" x14ac:dyDescent="0.25">
      <c r="A36" s="36">
        <v>801</v>
      </c>
      <c r="B36" s="14" t="s">
        <v>1629</v>
      </c>
      <c r="C36" s="14" t="s">
        <v>1630</v>
      </c>
      <c r="D36" s="17">
        <v>44134</v>
      </c>
      <c r="E36" s="14" t="s">
        <v>30</v>
      </c>
      <c r="F36" s="14">
        <v>100</v>
      </c>
      <c r="G36" s="14">
        <v>16</v>
      </c>
      <c r="H36" s="14">
        <v>5</v>
      </c>
      <c r="I36" s="14">
        <v>3</v>
      </c>
      <c r="J36" s="14" t="s">
        <v>31</v>
      </c>
      <c r="K36" s="14" cm="1">
        <f t="array" ref="K36">INT(SUMPRODUCT(--ISNUMBER(SEARCH(economy,C36)))&gt;0)</f>
        <v>1</v>
      </c>
      <c r="L36" s="14" cm="1">
        <f t="array" ref="L36">INT(SUMPRODUCT(--ISNUMBER(SEARCH(healthcare,C36)))&gt;0)</f>
        <v>0</v>
      </c>
      <c r="M36" s="14" cm="1">
        <f t="array" ref="M36">INT(SUMPRODUCT(--ISNUMBER(SEARCH(supreme,C36)))&gt;0)</f>
        <v>0</v>
      </c>
      <c r="N36" s="14" cm="1">
        <f t="array" ref="N36">INT(SUMPRODUCT(--ISNUMBER(SEARCH(covid,C36)))&gt;0)</f>
        <v>0</v>
      </c>
      <c r="O36" s="14" cm="1">
        <f t="array" ref="O36">INT(SUMPRODUCT(--ISNUMBER(SEARCH(violent,C36)))&gt;0)</f>
        <v>0</v>
      </c>
      <c r="P36" s="14" cm="1">
        <f t="array" ref="P36">INT(SUMPRODUCT(--ISNUMBER(SEARCH(foreign,C36)))&gt;0)</f>
        <v>0</v>
      </c>
      <c r="Q36" s="14" cm="1">
        <f t="array" ref="Q36">INT(SUMPRODUCT(--ISNUMBER(SEARCH(gun,C36)))&gt;0)</f>
        <v>0</v>
      </c>
      <c r="R36" s="14" cm="1">
        <f t="array" ref="R36">INT(SUMPRODUCT(--ISNUMBER(SEARCH(race,C36)))&gt;0)</f>
        <v>0</v>
      </c>
      <c r="S36" s="14" cm="1">
        <f t="array" ref="S36">INT(SUMPRODUCT(--ISNUMBER(SEARCH(immigration,C36)))&gt;0)</f>
        <v>0</v>
      </c>
      <c r="T36" s="14" cm="1">
        <f t="array" ref="T36">INT(SUMPRODUCT(--ISNUMBER(SEARCH(econineq,C37)))&gt;0)</f>
        <v>0</v>
      </c>
      <c r="U36" s="14" cm="1">
        <f t="array" ref="U36">INT(SUMPRODUCT(--ISNUMBER(SEARCH(climate,C36)))&gt;0)</f>
        <v>0</v>
      </c>
      <c r="V36" s="14" cm="1">
        <f t="array" ref="V36">INT(SUMPRODUCT(--ISNUMBER(SEARCH(abortion,C36)))&gt;0)</f>
        <v>0</v>
      </c>
      <c r="W36" s="14" cm="1">
        <f t="array" ref="W36">INT(SUMPRODUCT(--ISNUMBER(SEARCH(trump,C36)))&gt;0)</f>
        <v>0</v>
      </c>
      <c r="X36" s="14" cm="1">
        <f t="array" ref="X36">INT(SUMPRODUCT(--ISNUMBER(SEARCH(voting,C36)))&gt;0)</f>
        <v>0</v>
      </c>
      <c r="Y36" s="14" cm="1">
        <f t="array" ref="Y36">INT(SUMPRODUCT(--ISNUMBER(SEARCH(republicantrigger,C36)))&gt;0)</f>
        <v>0</v>
      </c>
      <c r="Z36" s="14" cm="1">
        <f t="array" ref="Z36">INT(SUMPRODUCT(--ISNUMBER(SEARCH(bipartisan,C36)))&gt;0)</f>
        <v>0</v>
      </c>
      <c r="AA36" s="14">
        <f t="shared" si="0"/>
        <v>0</v>
      </c>
      <c r="AB36" s="14"/>
      <c r="AC36" s="30">
        <v>1</v>
      </c>
      <c r="AD36" s="37">
        <v>0</v>
      </c>
    </row>
    <row r="37" spans="1:30" x14ac:dyDescent="0.25">
      <c r="A37" s="36">
        <v>802</v>
      </c>
      <c r="B37" s="14" t="s">
        <v>1631</v>
      </c>
      <c r="C37" s="14" t="s">
        <v>1632</v>
      </c>
      <c r="D37" s="17">
        <v>44134</v>
      </c>
      <c r="E37" s="14" t="s">
        <v>30</v>
      </c>
      <c r="F37" s="14">
        <v>58</v>
      </c>
      <c r="G37" s="14">
        <v>20</v>
      </c>
      <c r="H37" s="14">
        <v>5</v>
      </c>
      <c r="I37" s="14">
        <v>3</v>
      </c>
      <c r="J37" s="14" t="s">
        <v>31</v>
      </c>
      <c r="K37" s="14" cm="1">
        <f t="array" ref="K37">INT(SUMPRODUCT(--ISNUMBER(SEARCH(economy,C37)))&gt;0)</f>
        <v>0</v>
      </c>
      <c r="L37" s="14" cm="1">
        <f t="array" ref="L37">INT(SUMPRODUCT(--ISNUMBER(SEARCH(healthcare,C37)))&gt;0)</f>
        <v>0</v>
      </c>
      <c r="M37" s="14" cm="1">
        <f t="array" ref="M37">INT(SUMPRODUCT(--ISNUMBER(SEARCH(supreme,C37)))&gt;0)</f>
        <v>0</v>
      </c>
      <c r="N37" s="14" cm="1">
        <f t="array" ref="N37">INT(SUMPRODUCT(--ISNUMBER(SEARCH(covid,C37)))&gt;0)</f>
        <v>0</v>
      </c>
      <c r="O37" s="14" cm="1">
        <f t="array" ref="O37">INT(SUMPRODUCT(--ISNUMBER(SEARCH(violent,C37)))&gt;0)</f>
        <v>0</v>
      </c>
      <c r="P37" s="14" cm="1">
        <f t="array" ref="P37">INT(SUMPRODUCT(--ISNUMBER(SEARCH(foreign,C37)))&gt;0)</f>
        <v>0</v>
      </c>
      <c r="Q37" s="14" cm="1">
        <f t="array" ref="Q37">INT(SUMPRODUCT(--ISNUMBER(SEARCH(gun,C37)))&gt;0)</f>
        <v>0</v>
      </c>
      <c r="R37" s="14" cm="1">
        <f t="array" ref="R37">INT(SUMPRODUCT(--ISNUMBER(SEARCH(race,C37)))&gt;0)</f>
        <v>0</v>
      </c>
      <c r="S37" s="14" cm="1">
        <f t="array" ref="S37">INT(SUMPRODUCT(--ISNUMBER(SEARCH(immigration,C37)))&gt;0)</f>
        <v>0</v>
      </c>
      <c r="T37" s="14" cm="1">
        <f t="array" ref="T37">INT(SUMPRODUCT(--ISNUMBER(SEARCH(econineq,C38)))&gt;0)</f>
        <v>0</v>
      </c>
      <c r="U37" s="14" cm="1">
        <f t="array" ref="U37">INT(SUMPRODUCT(--ISNUMBER(SEARCH(climate,C37)))&gt;0)</f>
        <v>0</v>
      </c>
      <c r="V37" s="14" cm="1">
        <f t="array" ref="V37">INT(SUMPRODUCT(--ISNUMBER(SEARCH(abortion,C37)))&gt;0)</f>
        <v>0</v>
      </c>
      <c r="W37" s="14" cm="1">
        <f t="array" ref="W37">INT(SUMPRODUCT(--ISNUMBER(SEARCH(trump,C37)))&gt;0)</f>
        <v>1</v>
      </c>
      <c r="X37" s="14" cm="1">
        <f t="array" ref="X37">INT(SUMPRODUCT(--ISNUMBER(SEARCH(voting,C37)))&gt;0)</f>
        <v>0</v>
      </c>
      <c r="Y37" s="14" cm="1">
        <f t="array" ref="Y37">INT(SUMPRODUCT(--ISNUMBER(SEARCH(republicantrigger,C37)))&gt;0)</f>
        <v>0</v>
      </c>
      <c r="Z37" s="14" cm="1">
        <f t="array" ref="Z37">INT(SUMPRODUCT(--ISNUMBER(SEARCH(bipartisan,C37)))&gt;0)</f>
        <v>0</v>
      </c>
      <c r="AA37" s="14">
        <f t="shared" si="0"/>
        <v>0</v>
      </c>
      <c r="AB37" s="14"/>
      <c r="AC37" s="30" t="s">
        <v>223</v>
      </c>
      <c r="AD37" s="37" t="s">
        <v>223</v>
      </c>
    </row>
    <row r="38" spans="1:30" x14ac:dyDescent="0.25">
      <c r="A38" s="36">
        <v>803</v>
      </c>
      <c r="B38" s="14" t="s">
        <v>1633</v>
      </c>
      <c r="C38" s="14" t="s">
        <v>1634</v>
      </c>
      <c r="D38" s="17">
        <v>44134</v>
      </c>
      <c r="E38" s="14" t="s">
        <v>30</v>
      </c>
      <c r="F38" s="14">
        <v>148</v>
      </c>
      <c r="G38" s="14">
        <v>15</v>
      </c>
      <c r="H38" s="14">
        <v>5</v>
      </c>
      <c r="I38" s="14">
        <v>3</v>
      </c>
      <c r="J38" s="14" t="s">
        <v>31</v>
      </c>
      <c r="K38" s="14" cm="1">
        <f t="array" ref="K38">INT(SUMPRODUCT(--ISNUMBER(SEARCH(economy,C38)))&gt;0)</f>
        <v>0</v>
      </c>
      <c r="L38" s="14" cm="1">
        <f t="array" ref="L38">INT(SUMPRODUCT(--ISNUMBER(SEARCH(healthcare,C38)))&gt;0)</f>
        <v>0</v>
      </c>
      <c r="M38" s="14" cm="1">
        <f t="array" ref="M38">INT(SUMPRODUCT(--ISNUMBER(SEARCH(supreme,C38)))&gt;0)</f>
        <v>0</v>
      </c>
      <c r="N38" s="14" cm="1">
        <f t="array" ref="N38">INT(SUMPRODUCT(--ISNUMBER(SEARCH(covid,C38)))&gt;0)</f>
        <v>0</v>
      </c>
      <c r="O38" s="14" cm="1">
        <f t="array" ref="O38">INT(SUMPRODUCT(--ISNUMBER(SEARCH(violent,C38)))&gt;0)</f>
        <v>0</v>
      </c>
      <c r="P38" s="14" cm="1">
        <f t="array" ref="P38">INT(SUMPRODUCT(--ISNUMBER(SEARCH(foreign,C38)))&gt;0)</f>
        <v>0</v>
      </c>
      <c r="Q38" s="14" cm="1">
        <f t="array" ref="Q38">INT(SUMPRODUCT(--ISNUMBER(SEARCH(gun,C38)))&gt;0)</f>
        <v>0</v>
      </c>
      <c r="R38" s="14" cm="1">
        <f t="array" ref="R38">INT(SUMPRODUCT(--ISNUMBER(SEARCH(race,C38)))&gt;0)</f>
        <v>0</v>
      </c>
      <c r="S38" s="14" cm="1">
        <f t="array" ref="S38">INT(SUMPRODUCT(--ISNUMBER(SEARCH(immigration,C38)))&gt;0)</f>
        <v>0</v>
      </c>
      <c r="T38" s="14" cm="1">
        <f t="array" ref="T38">INT(SUMPRODUCT(--ISNUMBER(SEARCH(econineq,C39)))&gt;0)</f>
        <v>0</v>
      </c>
      <c r="U38" s="14" cm="1">
        <f t="array" ref="U38">INT(SUMPRODUCT(--ISNUMBER(SEARCH(climate,C38)))&gt;0)</f>
        <v>0</v>
      </c>
      <c r="V38" s="14" cm="1">
        <f t="array" ref="V38">INT(SUMPRODUCT(--ISNUMBER(SEARCH(abortion,C38)))&gt;0)</f>
        <v>0</v>
      </c>
      <c r="W38" s="14" cm="1">
        <f t="array" ref="W38">INT(SUMPRODUCT(--ISNUMBER(SEARCH(trump,C38)))&gt;0)</f>
        <v>0</v>
      </c>
      <c r="X38" s="14" cm="1">
        <f t="array" ref="X38">INT(SUMPRODUCT(--ISNUMBER(SEARCH(voting,C38)))&gt;0)</f>
        <v>0</v>
      </c>
      <c r="Y38" s="14" cm="1">
        <f t="array" ref="Y38">INT(SUMPRODUCT(--ISNUMBER(SEARCH(republicantrigger,C38)))&gt;0)</f>
        <v>0</v>
      </c>
      <c r="Z38" s="14" cm="1">
        <f t="array" ref="Z38">INT(SUMPRODUCT(--ISNUMBER(SEARCH(bipartisan,C38)))&gt;0)</f>
        <v>0</v>
      </c>
      <c r="AA38" s="14">
        <f t="shared" si="0"/>
        <v>1</v>
      </c>
      <c r="AB38" s="14"/>
      <c r="AC38" s="30">
        <v>1</v>
      </c>
      <c r="AD38" s="37">
        <v>0</v>
      </c>
    </row>
    <row r="39" spans="1:30" x14ac:dyDescent="0.25">
      <c r="A39" s="36">
        <v>804</v>
      </c>
      <c r="B39" s="14" t="s">
        <v>1635</v>
      </c>
      <c r="C39" s="14" t="s">
        <v>1636</v>
      </c>
      <c r="D39" s="17">
        <v>44134</v>
      </c>
      <c r="E39" s="14" t="s">
        <v>30</v>
      </c>
      <c r="F39" s="14">
        <v>152</v>
      </c>
      <c r="G39" s="14">
        <v>18</v>
      </c>
      <c r="H39" s="14">
        <v>5</v>
      </c>
      <c r="I39" s="14">
        <v>3</v>
      </c>
      <c r="J39" s="14" t="s">
        <v>31</v>
      </c>
      <c r="K39" s="14" cm="1">
        <f t="array" ref="K39">INT(SUMPRODUCT(--ISNUMBER(SEARCH(economy,C39)))&gt;0)</f>
        <v>0</v>
      </c>
      <c r="L39" s="14" cm="1">
        <f t="array" ref="L39">INT(SUMPRODUCT(--ISNUMBER(SEARCH(healthcare,C39)))&gt;0)</f>
        <v>0</v>
      </c>
      <c r="M39" s="14" cm="1">
        <f t="array" ref="M39">INT(SUMPRODUCT(--ISNUMBER(SEARCH(supreme,C39)))&gt;0)</f>
        <v>0</v>
      </c>
      <c r="N39" s="14" cm="1">
        <f t="array" ref="N39">INT(SUMPRODUCT(--ISNUMBER(SEARCH(covid,C39)))&gt;0)</f>
        <v>0</v>
      </c>
      <c r="O39" s="14" cm="1">
        <f t="array" ref="O39">INT(SUMPRODUCT(--ISNUMBER(SEARCH(violent,C39)))&gt;0)</f>
        <v>0</v>
      </c>
      <c r="P39" s="14" cm="1">
        <f t="array" ref="P39">INT(SUMPRODUCT(--ISNUMBER(SEARCH(foreign,C39)))&gt;0)</f>
        <v>0</v>
      </c>
      <c r="Q39" s="14" cm="1">
        <f t="array" ref="Q39">INT(SUMPRODUCT(--ISNUMBER(SEARCH(gun,C39)))&gt;0)</f>
        <v>0</v>
      </c>
      <c r="R39" s="14" cm="1">
        <f t="array" ref="R39">INT(SUMPRODUCT(--ISNUMBER(SEARCH(race,C39)))&gt;0)</f>
        <v>0</v>
      </c>
      <c r="S39" s="14" cm="1">
        <f t="array" ref="S39">INT(SUMPRODUCT(--ISNUMBER(SEARCH(immigration,C39)))&gt;0)</f>
        <v>0</v>
      </c>
      <c r="T39" s="14" cm="1">
        <f t="array" ref="T39">INT(SUMPRODUCT(--ISNUMBER(SEARCH(econineq,C40)))&gt;0)</f>
        <v>0</v>
      </c>
      <c r="U39" s="14" cm="1">
        <f t="array" ref="U39">INT(SUMPRODUCT(--ISNUMBER(SEARCH(climate,C39)))&gt;0)</f>
        <v>0</v>
      </c>
      <c r="V39" s="14" cm="1">
        <f t="array" ref="V39">INT(SUMPRODUCT(--ISNUMBER(SEARCH(abortion,C39)))&gt;0)</f>
        <v>0</v>
      </c>
      <c r="W39" s="14" cm="1">
        <f t="array" ref="W39">INT(SUMPRODUCT(--ISNUMBER(SEARCH(trump,C39)))&gt;0)</f>
        <v>0</v>
      </c>
      <c r="X39" s="14" cm="1">
        <f t="array" ref="X39">INT(SUMPRODUCT(--ISNUMBER(SEARCH(voting,C39)))&gt;0)</f>
        <v>0</v>
      </c>
      <c r="Y39" s="14" cm="1">
        <f t="array" ref="Y39">INT(SUMPRODUCT(--ISNUMBER(SEARCH(republicantrigger,C39)))&gt;0)</f>
        <v>0</v>
      </c>
      <c r="Z39" s="14" cm="1">
        <f t="array" ref="Z39">INT(SUMPRODUCT(--ISNUMBER(SEARCH(bipartisan,C39)))&gt;0)</f>
        <v>0</v>
      </c>
      <c r="AA39" s="14">
        <f t="shared" si="0"/>
        <v>1</v>
      </c>
      <c r="AB39" s="14"/>
      <c r="AC39" s="30">
        <v>1</v>
      </c>
      <c r="AD39" s="37">
        <v>0</v>
      </c>
    </row>
    <row r="40" spans="1:30" x14ac:dyDescent="0.25">
      <c r="A40" s="36">
        <v>805</v>
      </c>
      <c r="B40" s="14" t="s">
        <v>1637</v>
      </c>
      <c r="C40" s="14" t="s">
        <v>1638</v>
      </c>
      <c r="D40" s="17">
        <v>44133</v>
      </c>
      <c r="E40" s="14" t="s">
        <v>30</v>
      </c>
      <c r="F40" s="14">
        <v>131</v>
      </c>
      <c r="G40" s="14">
        <v>25</v>
      </c>
      <c r="H40" s="14">
        <v>5</v>
      </c>
      <c r="I40" s="14">
        <v>3</v>
      </c>
      <c r="J40" s="14" t="s">
        <v>31</v>
      </c>
      <c r="K40" s="14" cm="1">
        <f t="array" ref="K40">INT(SUMPRODUCT(--ISNUMBER(SEARCH(economy,C40)))&gt;0)</f>
        <v>0</v>
      </c>
      <c r="L40" s="14" cm="1">
        <f t="array" ref="L40">INT(SUMPRODUCT(--ISNUMBER(SEARCH(healthcare,C40)))&gt;0)</f>
        <v>0</v>
      </c>
      <c r="M40" s="14" cm="1">
        <f t="array" ref="M40">INT(SUMPRODUCT(--ISNUMBER(SEARCH(supreme,C40)))&gt;0)</f>
        <v>0</v>
      </c>
      <c r="N40" s="14" cm="1">
        <f t="array" ref="N40">INT(SUMPRODUCT(--ISNUMBER(SEARCH(covid,C40)))&gt;0)</f>
        <v>0</v>
      </c>
      <c r="O40" s="14" cm="1">
        <f t="array" ref="O40">INT(SUMPRODUCT(--ISNUMBER(SEARCH(violent,C40)))&gt;0)</f>
        <v>0</v>
      </c>
      <c r="P40" s="14" cm="1">
        <f t="array" ref="P40">INT(SUMPRODUCT(--ISNUMBER(SEARCH(foreign,C40)))&gt;0)</f>
        <v>0</v>
      </c>
      <c r="Q40" s="14" cm="1">
        <f t="array" ref="Q40">INT(SUMPRODUCT(--ISNUMBER(SEARCH(gun,C40)))&gt;0)</f>
        <v>0</v>
      </c>
      <c r="R40" s="14" cm="1">
        <f t="array" ref="R40">INT(SUMPRODUCT(--ISNUMBER(SEARCH(race,C40)))&gt;0)</f>
        <v>0</v>
      </c>
      <c r="S40" s="14" cm="1">
        <f t="array" ref="S40">INT(SUMPRODUCT(--ISNUMBER(SEARCH(immigration,C40)))&gt;0)</f>
        <v>0</v>
      </c>
      <c r="T40" s="14" cm="1">
        <f t="array" ref="T40">INT(SUMPRODUCT(--ISNUMBER(SEARCH(econineq,C41)))&gt;0)</f>
        <v>0</v>
      </c>
      <c r="U40" s="14" cm="1">
        <f t="array" ref="U40">INT(SUMPRODUCT(--ISNUMBER(SEARCH(climate,C40)))&gt;0)</f>
        <v>0</v>
      </c>
      <c r="V40" s="14" cm="1">
        <f t="array" ref="V40">INT(SUMPRODUCT(--ISNUMBER(SEARCH(abortion,C40)))&gt;0)</f>
        <v>0</v>
      </c>
      <c r="W40" s="14" cm="1">
        <f t="array" ref="W40">INT(SUMPRODUCT(--ISNUMBER(SEARCH(trump,C40)))&gt;0)</f>
        <v>0</v>
      </c>
      <c r="X40" s="14" cm="1">
        <f t="array" ref="X40">INT(SUMPRODUCT(--ISNUMBER(SEARCH(voting,C40)))&gt;0)</f>
        <v>0</v>
      </c>
      <c r="Y40" s="14" cm="1">
        <f t="array" ref="Y40">INT(SUMPRODUCT(--ISNUMBER(SEARCH(republicantrigger,C40)))&gt;0)</f>
        <v>0</v>
      </c>
      <c r="Z40" s="14" cm="1">
        <f t="array" ref="Z40">INT(SUMPRODUCT(--ISNUMBER(SEARCH(bipartisan,C40)))&gt;0)</f>
        <v>0</v>
      </c>
      <c r="AA40" s="14">
        <f t="shared" si="0"/>
        <v>1</v>
      </c>
      <c r="AB40" s="14"/>
      <c r="AC40" s="30">
        <v>1</v>
      </c>
      <c r="AD40" s="37">
        <v>0</v>
      </c>
    </row>
    <row r="41" spans="1:30" x14ac:dyDescent="0.25">
      <c r="A41" s="36">
        <v>806</v>
      </c>
      <c r="B41" s="14" t="s">
        <v>1639</v>
      </c>
      <c r="C41" s="14" t="s">
        <v>1640</v>
      </c>
      <c r="D41" s="17">
        <v>44133</v>
      </c>
      <c r="E41" s="14" t="s">
        <v>30</v>
      </c>
      <c r="F41" s="14">
        <v>75</v>
      </c>
      <c r="G41" s="14">
        <v>10</v>
      </c>
      <c r="H41" s="14">
        <v>5</v>
      </c>
      <c r="I41" s="14">
        <v>3</v>
      </c>
      <c r="J41" s="14" t="s">
        <v>31</v>
      </c>
      <c r="K41" s="14" cm="1">
        <f t="array" ref="K41">INT(SUMPRODUCT(--ISNUMBER(SEARCH(economy,C41)))&gt;0)</f>
        <v>0</v>
      </c>
      <c r="L41" s="14" cm="1">
        <f t="array" ref="L41">INT(SUMPRODUCT(--ISNUMBER(SEARCH(healthcare,C41)))&gt;0)</f>
        <v>0</v>
      </c>
      <c r="M41" s="14" cm="1">
        <f t="array" ref="M41">INT(SUMPRODUCT(--ISNUMBER(SEARCH(supreme,C41)))&gt;0)</f>
        <v>0</v>
      </c>
      <c r="N41" s="14" cm="1">
        <f t="array" ref="N41">INT(SUMPRODUCT(--ISNUMBER(SEARCH(covid,C41)))&gt;0)</f>
        <v>0</v>
      </c>
      <c r="O41" s="14" cm="1">
        <f t="array" ref="O41">INT(SUMPRODUCT(--ISNUMBER(SEARCH(violent,C41)))&gt;0)</f>
        <v>0</v>
      </c>
      <c r="P41" s="14" cm="1">
        <f t="array" ref="P41">INT(SUMPRODUCT(--ISNUMBER(SEARCH(foreign,C41)))&gt;0)</f>
        <v>0</v>
      </c>
      <c r="Q41" s="14" cm="1">
        <f t="array" ref="Q41">INT(SUMPRODUCT(--ISNUMBER(SEARCH(gun,C41)))&gt;0)</f>
        <v>0</v>
      </c>
      <c r="R41" s="14" cm="1">
        <f t="array" ref="R41">INT(SUMPRODUCT(--ISNUMBER(SEARCH(race,C41)))&gt;0)</f>
        <v>0</v>
      </c>
      <c r="S41" s="14" cm="1">
        <f t="array" ref="S41">INT(SUMPRODUCT(--ISNUMBER(SEARCH(immigration,C41)))&gt;0)</f>
        <v>0</v>
      </c>
      <c r="T41" s="14" cm="1">
        <f t="array" ref="T41">INT(SUMPRODUCT(--ISNUMBER(SEARCH(econineq,C42)))&gt;0)</f>
        <v>0</v>
      </c>
      <c r="U41" s="14" cm="1">
        <f t="array" ref="U41">INT(SUMPRODUCT(--ISNUMBER(SEARCH(climate,C41)))&gt;0)</f>
        <v>0</v>
      </c>
      <c r="V41" s="14" cm="1">
        <f t="array" ref="V41">INT(SUMPRODUCT(--ISNUMBER(SEARCH(abortion,C41)))&gt;0)</f>
        <v>0</v>
      </c>
      <c r="W41" s="14" cm="1">
        <f t="array" ref="W41">INT(SUMPRODUCT(--ISNUMBER(SEARCH(trump,C41)))&gt;0)</f>
        <v>0</v>
      </c>
      <c r="X41" s="14" cm="1">
        <f t="array" ref="X41">INT(SUMPRODUCT(--ISNUMBER(SEARCH(voting,C41)))&gt;0)</f>
        <v>0</v>
      </c>
      <c r="Y41" s="14" cm="1">
        <f t="array" ref="Y41">INT(SUMPRODUCT(--ISNUMBER(SEARCH(republicantrigger,C41)))&gt;0)</f>
        <v>0</v>
      </c>
      <c r="Z41" s="14" cm="1">
        <f t="array" ref="Z41">INT(SUMPRODUCT(--ISNUMBER(SEARCH(bipartisan,C41)))&gt;0)</f>
        <v>0</v>
      </c>
      <c r="AA41" s="14">
        <f t="shared" si="0"/>
        <v>1</v>
      </c>
      <c r="AB41" s="14"/>
      <c r="AC41" s="30">
        <v>1</v>
      </c>
      <c r="AD41" s="37">
        <v>0</v>
      </c>
    </row>
    <row r="42" spans="1:30" x14ac:dyDescent="0.25">
      <c r="A42" s="36">
        <v>807</v>
      </c>
      <c r="B42" s="14" t="s">
        <v>1641</v>
      </c>
      <c r="C42" s="14" t="s">
        <v>1642</v>
      </c>
      <c r="D42" s="17">
        <v>44133</v>
      </c>
      <c r="E42" s="14" t="s">
        <v>30</v>
      </c>
      <c r="F42" s="14">
        <v>213</v>
      </c>
      <c r="G42" s="14">
        <v>35</v>
      </c>
      <c r="H42" s="14">
        <v>5</v>
      </c>
      <c r="I42" s="14">
        <v>3</v>
      </c>
      <c r="J42" s="14" t="s">
        <v>31</v>
      </c>
      <c r="K42" s="14" cm="1">
        <f t="array" ref="K42">INT(SUMPRODUCT(--ISNUMBER(SEARCH(economy,C42)))&gt;0)</f>
        <v>0</v>
      </c>
      <c r="L42" s="14" cm="1">
        <f t="array" ref="L42">INT(SUMPRODUCT(--ISNUMBER(SEARCH(healthcare,C42)))&gt;0)</f>
        <v>0</v>
      </c>
      <c r="M42" s="14" cm="1">
        <f t="array" ref="M42">INT(SUMPRODUCT(--ISNUMBER(SEARCH(supreme,C42)))&gt;0)</f>
        <v>0</v>
      </c>
      <c r="N42" s="14" cm="1">
        <f t="array" ref="N42">INT(SUMPRODUCT(--ISNUMBER(SEARCH(covid,C42)))&gt;0)</f>
        <v>0</v>
      </c>
      <c r="O42" s="14" cm="1">
        <f t="array" ref="O42">INT(SUMPRODUCT(--ISNUMBER(SEARCH(violent,C42)))&gt;0)</f>
        <v>0</v>
      </c>
      <c r="P42" s="14" cm="1">
        <f t="array" ref="P42">INT(SUMPRODUCT(--ISNUMBER(SEARCH(foreign,C42)))&gt;0)</f>
        <v>0</v>
      </c>
      <c r="Q42" s="14" cm="1">
        <f t="array" ref="Q42">INT(SUMPRODUCT(--ISNUMBER(SEARCH(gun,C42)))&gt;0)</f>
        <v>0</v>
      </c>
      <c r="R42" s="14" cm="1">
        <f t="array" ref="R42">INT(SUMPRODUCT(--ISNUMBER(SEARCH(race,C42)))&gt;0)</f>
        <v>0</v>
      </c>
      <c r="S42" s="14" cm="1">
        <f t="array" ref="S42">INT(SUMPRODUCT(--ISNUMBER(SEARCH(immigration,C42)))&gt;0)</f>
        <v>0</v>
      </c>
      <c r="T42" s="14" cm="1">
        <f t="array" ref="T42">INT(SUMPRODUCT(--ISNUMBER(SEARCH(econineq,C43)))&gt;0)</f>
        <v>0</v>
      </c>
      <c r="U42" s="14" cm="1">
        <f t="array" ref="U42">INT(SUMPRODUCT(--ISNUMBER(SEARCH(climate,C42)))&gt;0)</f>
        <v>0</v>
      </c>
      <c r="V42" s="14" cm="1">
        <f t="array" ref="V42">INT(SUMPRODUCT(--ISNUMBER(SEARCH(abortion,C42)))&gt;0)</f>
        <v>0</v>
      </c>
      <c r="W42" s="14" cm="1">
        <f t="array" ref="W42">INT(SUMPRODUCT(--ISNUMBER(SEARCH(trump,C42)))&gt;0)</f>
        <v>0</v>
      </c>
      <c r="X42" s="14" cm="1">
        <f t="array" ref="X42">INT(SUMPRODUCT(--ISNUMBER(SEARCH(voting,C42)))&gt;0)</f>
        <v>0</v>
      </c>
      <c r="Y42" s="14" cm="1">
        <f t="array" ref="Y42">INT(SUMPRODUCT(--ISNUMBER(SEARCH(republicantrigger,C42)))&gt;0)</f>
        <v>0</v>
      </c>
      <c r="Z42" s="14" cm="1">
        <f t="array" ref="Z42">INT(SUMPRODUCT(--ISNUMBER(SEARCH(bipartisan,C42)))&gt;0)</f>
        <v>0</v>
      </c>
      <c r="AA42" s="14">
        <f t="shared" si="0"/>
        <v>1</v>
      </c>
      <c r="AB42" s="14"/>
      <c r="AC42" s="30">
        <v>1</v>
      </c>
      <c r="AD42" s="37">
        <v>0</v>
      </c>
    </row>
    <row r="43" spans="1:30" x14ac:dyDescent="0.25">
      <c r="A43" s="36">
        <v>808</v>
      </c>
      <c r="B43" s="14" t="s">
        <v>1643</v>
      </c>
      <c r="C43" s="14" t="s">
        <v>1644</v>
      </c>
      <c r="D43" s="17">
        <v>44133</v>
      </c>
      <c r="E43" s="14" t="s">
        <v>30</v>
      </c>
      <c r="F43" s="14">
        <v>232</v>
      </c>
      <c r="G43" s="14">
        <v>56</v>
      </c>
      <c r="H43" s="14">
        <v>5</v>
      </c>
      <c r="I43" s="14">
        <v>3</v>
      </c>
      <c r="J43" s="14" t="s">
        <v>31</v>
      </c>
      <c r="K43" s="14" cm="1">
        <f t="array" ref="K43">INT(SUMPRODUCT(--ISNUMBER(SEARCH(economy,C43)))&gt;0)</f>
        <v>0</v>
      </c>
      <c r="L43" s="14" cm="1">
        <f t="array" ref="L43">INT(SUMPRODUCT(--ISNUMBER(SEARCH(healthcare,C43)))&gt;0)</f>
        <v>1</v>
      </c>
      <c r="M43" s="14" cm="1">
        <f t="array" ref="M43">INT(SUMPRODUCT(--ISNUMBER(SEARCH(supreme,C43)))&gt;0)</f>
        <v>0</v>
      </c>
      <c r="N43" s="14" cm="1">
        <f t="array" ref="N43">INT(SUMPRODUCT(--ISNUMBER(SEARCH(covid,C43)))&gt;0)</f>
        <v>0</v>
      </c>
      <c r="O43" s="14" cm="1">
        <f t="array" ref="O43">INT(SUMPRODUCT(--ISNUMBER(SEARCH(violent,C43)))&gt;0)</f>
        <v>0</v>
      </c>
      <c r="P43" s="14" cm="1">
        <f t="array" ref="P43">INT(SUMPRODUCT(--ISNUMBER(SEARCH(foreign,C43)))&gt;0)</f>
        <v>0</v>
      </c>
      <c r="Q43" s="14" cm="1">
        <f t="array" ref="Q43">INT(SUMPRODUCT(--ISNUMBER(SEARCH(gun,C43)))&gt;0)</f>
        <v>0</v>
      </c>
      <c r="R43" s="14" cm="1">
        <f t="array" ref="R43">INT(SUMPRODUCT(--ISNUMBER(SEARCH(race,C43)))&gt;0)</f>
        <v>0</v>
      </c>
      <c r="S43" s="14" cm="1">
        <f t="array" ref="S43">INT(SUMPRODUCT(--ISNUMBER(SEARCH(immigration,C43)))&gt;0)</f>
        <v>0</v>
      </c>
      <c r="T43" s="14" cm="1">
        <f t="array" ref="T43">INT(SUMPRODUCT(--ISNUMBER(SEARCH(econineq,C44)))&gt;0)</f>
        <v>0</v>
      </c>
      <c r="U43" s="14" cm="1">
        <f t="array" ref="U43">INT(SUMPRODUCT(--ISNUMBER(SEARCH(climate,C43)))&gt;0)</f>
        <v>0</v>
      </c>
      <c r="V43" s="14" cm="1">
        <f t="array" ref="V43">INT(SUMPRODUCT(--ISNUMBER(SEARCH(abortion,C43)))&gt;0)</f>
        <v>0</v>
      </c>
      <c r="W43" s="14" cm="1">
        <f t="array" ref="W43">INT(SUMPRODUCT(--ISNUMBER(SEARCH(trump,C43)))&gt;0)</f>
        <v>0</v>
      </c>
      <c r="X43" s="14" cm="1">
        <f t="array" ref="X43">INT(SUMPRODUCT(--ISNUMBER(SEARCH(voting,C43)))&gt;0)</f>
        <v>0</v>
      </c>
      <c r="Y43" s="14" cm="1">
        <f t="array" ref="Y43">INT(SUMPRODUCT(--ISNUMBER(SEARCH(republicantrigger,C43)))&gt;0)</f>
        <v>1</v>
      </c>
      <c r="Z43" s="14" cm="1">
        <f t="array" ref="Z43">INT(SUMPRODUCT(--ISNUMBER(SEARCH(bipartisan,C43)))&gt;0)</f>
        <v>0</v>
      </c>
      <c r="AA43" s="14">
        <f t="shared" si="0"/>
        <v>0</v>
      </c>
      <c r="AB43" s="14"/>
      <c r="AC43" s="30" t="s">
        <v>223</v>
      </c>
      <c r="AD43" s="37" t="s">
        <v>223</v>
      </c>
    </row>
    <row r="44" spans="1:30" x14ac:dyDescent="0.25">
      <c r="A44" s="36">
        <v>809</v>
      </c>
      <c r="B44" s="14" t="s">
        <v>1645</v>
      </c>
      <c r="C44" s="14" t="s">
        <v>1646</v>
      </c>
      <c r="D44" s="17">
        <v>44133</v>
      </c>
      <c r="E44" s="14" t="s">
        <v>30</v>
      </c>
      <c r="F44" s="14">
        <v>3000</v>
      </c>
      <c r="G44" s="14">
        <v>365</v>
      </c>
      <c r="H44" s="14">
        <v>5</v>
      </c>
      <c r="I44" s="14">
        <v>3</v>
      </c>
      <c r="J44" s="14" t="s">
        <v>31</v>
      </c>
      <c r="K44" s="14" cm="1">
        <f t="array" ref="K44">INT(SUMPRODUCT(--ISNUMBER(SEARCH(economy,C44)))&gt;0)</f>
        <v>0</v>
      </c>
      <c r="L44" s="14" cm="1">
        <f t="array" ref="L44">INT(SUMPRODUCT(--ISNUMBER(SEARCH(healthcare,C44)))&gt;0)</f>
        <v>0</v>
      </c>
      <c r="M44" s="14" cm="1">
        <f t="array" ref="M44">INT(SUMPRODUCT(--ISNUMBER(SEARCH(supreme,C44)))&gt;0)</f>
        <v>0</v>
      </c>
      <c r="N44" s="14" cm="1">
        <f t="array" ref="N44">INT(SUMPRODUCT(--ISNUMBER(SEARCH(covid,C44)))&gt;0)</f>
        <v>0</v>
      </c>
      <c r="O44" s="14" cm="1">
        <f t="array" ref="O44">INT(SUMPRODUCT(--ISNUMBER(SEARCH(violent,C44)))&gt;0)</f>
        <v>0</v>
      </c>
      <c r="P44" s="14" cm="1">
        <f t="array" ref="P44">INT(SUMPRODUCT(--ISNUMBER(SEARCH(foreign,C44)))&gt;0)</f>
        <v>0</v>
      </c>
      <c r="Q44" s="14" cm="1">
        <f t="array" ref="Q44">INT(SUMPRODUCT(--ISNUMBER(SEARCH(gun,C44)))&gt;0)</f>
        <v>0</v>
      </c>
      <c r="R44" s="14" cm="1">
        <f t="array" ref="R44">INT(SUMPRODUCT(--ISNUMBER(SEARCH(race,C44)))&gt;0)</f>
        <v>0</v>
      </c>
      <c r="S44" s="14" cm="1">
        <f t="array" ref="S44">INT(SUMPRODUCT(--ISNUMBER(SEARCH(immigration,C44)))&gt;0)</f>
        <v>0</v>
      </c>
      <c r="T44" s="14" cm="1">
        <f t="array" ref="T44">INT(SUMPRODUCT(--ISNUMBER(SEARCH(econineq,C45)))&gt;0)</f>
        <v>0</v>
      </c>
      <c r="U44" s="14" cm="1">
        <f t="array" ref="U44">INT(SUMPRODUCT(--ISNUMBER(SEARCH(climate,C44)))&gt;0)</f>
        <v>0</v>
      </c>
      <c r="V44" s="14" cm="1">
        <f t="array" ref="V44">INT(SUMPRODUCT(--ISNUMBER(SEARCH(abortion,C44)))&gt;0)</f>
        <v>0</v>
      </c>
      <c r="W44" s="14" cm="1">
        <f t="array" ref="W44">INT(SUMPRODUCT(--ISNUMBER(SEARCH(trump,C44)))&gt;0)</f>
        <v>0</v>
      </c>
      <c r="X44" s="14" cm="1">
        <f t="array" ref="X44">INT(SUMPRODUCT(--ISNUMBER(SEARCH(voting,C44)))&gt;0)</f>
        <v>0</v>
      </c>
      <c r="Y44" s="14" cm="1">
        <f t="array" ref="Y44">INT(SUMPRODUCT(--ISNUMBER(SEARCH(republicantrigger,C44)))&gt;0)</f>
        <v>0</v>
      </c>
      <c r="Z44" s="14" cm="1">
        <f t="array" ref="Z44">INT(SUMPRODUCT(--ISNUMBER(SEARCH(bipartisan,C44)))&gt;0)</f>
        <v>0</v>
      </c>
      <c r="AA44" s="14">
        <f t="shared" si="0"/>
        <v>1</v>
      </c>
      <c r="AB44" s="14"/>
      <c r="AC44" s="30">
        <v>0</v>
      </c>
      <c r="AD44" s="37">
        <v>1</v>
      </c>
    </row>
    <row r="45" spans="1:30" x14ac:dyDescent="0.25">
      <c r="A45" s="36">
        <v>810</v>
      </c>
      <c r="B45" s="14" t="s">
        <v>1647</v>
      </c>
      <c r="C45" s="14" t="s">
        <v>1648</v>
      </c>
      <c r="D45" s="17">
        <v>44133</v>
      </c>
      <c r="E45" s="14" t="s">
        <v>70</v>
      </c>
      <c r="F45" s="14">
        <v>75</v>
      </c>
      <c r="G45" s="14">
        <v>19</v>
      </c>
      <c r="H45" s="14">
        <v>5</v>
      </c>
      <c r="I45" s="14">
        <v>3</v>
      </c>
      <c r="J45" s="14" t="s">
        <v>31</v>
      </c>
      <c r="K45" s="14" cm="1">
        <f t="array" ref="K45">INT(SUMPRODUCT(--ISNUMBER(SEARCH(economy,C45)))&gt;0)</f>
        <v>0</v>
      </c>
      <c r="L45" s="14" cm="1">
        <f t="array" ref="L45">INT(SUMPRODUCT(--ISNUMBER(SEARCH(healthcare,C45)))&gt;0)</f>
        <v>0</v>
      </c>
      <c r="M45" s="14" cm="1">
        <f t="array" ref="M45">INT(SUMPRODUCT(--ISNUMBER(SEARCH(supreme,C45)))&gt;0)</f>
        <v>0</v>
      </c>
      <c r="N45" s="14" cm="1">
        <f t="array" ref="N45">INT(SUMPRODUCT(--ISNUMBER(SEARCH(covid,C45)))&gt;0)</f>
        <v>0</v>
      </c>
      <c r="O45" s="14" cm="1">
        <f t="array" ref="O45">INT(SUMPRODUCT(--ISNUMBER(SEARCH(violent,C45)))&gt;0)</f>
        <v>0</v>
      </c>
      <c r="P45" s="14" cm="1">
        <f t="array" ref="P45">INT(SUMPRODUCT(--ISNUMBER(SEARCH(foreign,C45)))&gt;0)</f>
        <v>0</v>
      </c>
      <c r="Q45" s="14" cm="1">
        <f t="array" ref="Q45">INT(SUMPRODUCT(--ISNUMBER(SEARCH(gun,C45)))&gt;0)</f>
        <v>0</v>
      </c>
      <c r="R45" s="14" cm="1">
        <f t="array" ref="R45">INT(SUMPRODUCT(--ISNUMBER(SEARCH(race,C45)))&gt;0)</f>
        <v>0</v>
      </c>
      <c r="S45" s="14" cm="1">
        <f t="array" ref="S45">INT(SUMPRODUCT(--ISNUMBER(SEARCH(immigration,C45)))&gt;0)</f>
        <v>0</v>
      </c>
      <c r="T45" s="14" cm="1">
        <f t="array" ref="T45">INT(SUMPRODUCT(--ISNUMBER(SEARCH(econineq,C46)))&gt;0)</f>
        <v>0</v>
      </c>
      <c r="U45" s="14" cm="1">
        <f t="array" ref="U45">INT(SUMPRODUCT(--ISNUMBER(SEARCH(climate,C45)))&gt;0)</f>
        <v>0</v>
      </c>
      <c r="V45" s="14" cm="1">
        <f t="array" ref="V45">INT(SUMPRODUCT(--ISNUMBER(SEARCH(abortion,C45)))&gt;0)</f>
        <v>0</v>
      </c>
      <c r="W45" s="14" cm="1">
        <f t="array" ref="W45">INT(SUMPRODUCT(--ISNUMBER(SEARCH(trump,C45)))&gt;0)</f>
        <v>0</v>
      </c>
      <c r="X45" s="14" cm="1">
        <f t="array" ref="X45">INT(SUMPRODUCT(--ISNUMBER(SEARCH(voting,C45)))&gt;0)</f>
        <v>1</v>
      </c>
      <c r="Y45" s="14" cm="1">
        <f t="array" ref="Y45">INT(SUMPRODUCT(--ISNUMBER(SEARCH(republicantrigger,C45)))&gt;0)</f>
        <v>0</v>
      </c>
      <c r="Z45" s="14" cm="1">
        <f t="array" ref="Z45">INT(SUMPRODUCT(--ISNUMBER(SEARCH(bipartisan,C45)))&gt;0)</f>
        <v>0</v>
      </c>
      <c r="AA45" s="14">
        <f t="shared" si="0"/>
        <v>0</v>
      </c>
      <c r="AB45" s="14"/>
      <c r="AC45" s="30">
        <v>0</v>
      </c>
      <c r="AD45" s="37">
        <v>1</v>
      </c>
    </row>
    <row r="46" spans="1:30" x14ac:dyDescent="0.25">
      <c r="A46" s="36">
        <v>811</v>
      </c>
      <c r="B46" s="14" t="s">
        <v>1649</v>
      </c>
      <c r="C46" s="14" t="s">
        <v>1650</v>
      </c>
      <c r="D46" s="17">
        <v>44133</v>
      </c>
      <c r="E46" s="14" t="s">
        <v>70</v>
      </c>
      <c r="F46" s="14">
        <v>84</v>
      </c>
      <c r="G46" s="14">
        <v>21</v>
      </c>
      <c r="H46" s="14">
        <v>5</v>
      </c>
      <c r="I46" s="14">
        <v>3</v>
      </c>
      <c r="J46" s="14" t="s">
        <v>31</v>
      </c>
      <c r="K46" s="14" cm="1">
        <f t="array" ref="K46">INT(SUMPRODUCT(--ISNUMBER(SEARCH(economy,C46)))&gt;0)</f>
        <v>0</v>
      </c>
      <c r="L46" s="14" cm="1">
        <f t="array" ref="L46">INT(SUMPRODUCT(--ISNUMBER(SEARCH(healthcare,C46)))&gt;0)</f>
        <v>0</v>
      </c>
      <c r="M46" s="14" cm="1">
        <f t="array" ref="M46">INT(SUMPRODUCT(--ISNUMBER(SEARCH(supreme,C46)))&gt;0)</f>
        <v>0</v>
      </c>
      <c r="N46" s="14" cm="1">
        <f t="array" ref="N46">INT(SUMPRODUCT(--ISNUMBER(SEARCH(covid,C46)))&gt;0)</f>
        <v>0</v>
      </c>
      <c r="O46" s="14" cm="1">
        <f t="array" ref="O46">INT(SUMPRODUCT(--ISNUMBER(SEARCH(violent,C46)))&gt;0)</f>
        <v>0</v>
      </c>
      <c r="P46" s="14" cm="1">
        <f t="array" ref="P46">INT(SUMPRODUCT(--ISNUMBER(SEARCH(foreign,C46)))&gt;0)</f>
        <v>0</v>
      </c>
      <c r="Q46" s="14" cm="1">
        <f t="array" ref="Q46">INT(SUMPRODUCT(--ISNUMBER(SEARCH(gun,C46)))&gt;0)</f>
        <v>0</v>
      </c>
      <c r="R46" s="14" cm="1">
        <f t="array" ref="R46">INT(SUMPRODUCT(--ISNUMBER(SEARCH(race,C46)))&gt;0)</f>
        <v>0</v>
      </c>
      <c r="S46" s="14" cm="1">
        <f t="array" ref="S46">INT(SUMPRODUCT(--ISNUMBER(SEARCH(immigration,C46)))&gt;0)</f>
        <v>0</v>
      </c>
      <c r="T46" s="14" cm="1">
        <f t="array" ref="T46">INT(SUMPRODUCT(--ISNUMBER(SEARCH(econineq,C47)))&gt;0)</f>
        <v>0</v>
      </c>
      <c r="U46" s="14" cm="1">
        <f t="array" ref="U46">INT(SUMPRODUCT(--ISNUMBER(SEARCH(climate,C46)))&gt;0)</f>
        <v>0</v>
      </c>
      <c r="V46" s="14" cm="1">
        <f t="array" ref="V46">INT(SUMPRODUCT(--ISNUMBER(SEARCH(abortion,C46)))&gt;0)</f>
        <v>0</v>
      </c>
      <c r="W46" s="14" cm="1">
        <f t="array" ref="W46">INT(SUMPRODUCT(--ISNUMBER(SEARCH(trump,C46)))&gt;0)</f>
        <v>0</v>
      </c>
      <c r="X46" s="14" cm="1">
        <f t="array" ref="X46">INT(SUMPRODUCT(--ISNUMBER(SEARCH(voting,C46)))&gt;0)</f>
        <v>1</v>
      </c>
      <c r="Y46" s="14" cm="1">
        <f t="array" ref="Y46">INT(SUMPRODUCT(--ISNUMBER(SEARCH(republicantrigger,C46)))&gt;0)</f>
        <v>0</v>
      </c>
      <c r="Z46" s="14" cm="1">
        <f t="array" ref="Z46">INT(SUMPRODUCT(--ISNUMBER(SEARCH(bipartisan,C46)))&gt;0)</f>
        <v>0</v>
      </c>
      <c r="AA46" s="14">
        <f t="shared" si="0"/>
        <v>0</v>
      </c>
      <c r="AB46" s="14"/>
      <c r="AC46" s="30">
        <v>0</v>
      </c>
      <c r="AD46" s="37">
        <v>1</v>
      </c>
    </row>
    <row r="47" spans="1:30" x14ac:dyDescent="0.25">
      <c r="A47" s="36">
        <v>812</v>
      </c>
      <c r="B47" s="14" t="s">
        <v>1651</v>
      </c>
      <c r="C47" s="14" t="s">
        <v>1652</v>
      </c>
      <c r="D47" s="17">
        <v>44133</v>
      </c>
      <c r="E47" s="14" t="s">
        <v>70</v>
      </c>
      <c r="F47" s="14">
        <v>36</v>
      </c>
      <c r="G47" s="14">
        <v>7</v>
      </c>
      <c r="H47" s="14">
        <v>5</v>
      </c>
      <c r="I47" s="14">
        <v>3</v>
      </c>
      <c r="J47" s="14" t="s">
        <v>31</v>
      </c>
      <c r="K47" s="14" cm="1">
        <f t="array" ref="K47">INT(SUMPRODUCT(--ISNUMBER(SEARCH(economy,C47)))&gt;0)</f>
        <v>0</v>
      </c>
      <c r="L47" s="14" cm="1">
        <f t="array" ref="L47">INT(SUMPRODUCT(--ISNUMBER(SEARCH(healthcare,C47)))&gt;0)</f>
        <v>0</v>
      </c>
      <c r="M47" s="14" cm="1">
        <f t="array" ref="M47">INT(SUMPRODUCT(--ISNUMBER(SEARCH(supreme,C47)))&gt;0)</f>
        <v>1</v>
      </c>
      <c r="N47" s="14" cm="1">
        <f t="array" ref="N47">INT(SUMPRODUCT(--ISNUMBER(SEARCH(covid,C47)))&gt;0)</f>
        <v>0</v>
      </c>
      <c r="O47" s="14" cm="1">
        <f t="array" ref="O47">INT(SUMPRODUCT(--ISNUMBER(SEARCH(violent,C47)))&gt;0)</f>
        <v>0</v>
      </c>
      <c r="P47" s="14" cm="1">
        <f t="array" ref="P47">INT(SUMPRODUCT(--ISNUMBER(SEARCH(foreign,C47)))&gt;0)</f>
        <v>0</v>
      </c>
      <c r="Q47" s="14" cm="1">
        <f t="array" ref="Q47">INT(SUMPRODUCT(--ISNUMBER(SEARCH(gun,C47)))&gt;0)</f>
        <v>0</v>
      </c>
      <c r="R47" s="14" cm="1">
        <f t="array" ref="R47">INT(SUMPRODUCT(--ISNUMBER(SEARCH(race,C47)))&gt;0)</f>
        <v>0</v>
      </c>
      <c r="S47" s="14" cm="1">
        <f t="array" ref="S47">INT(SUMPRODUCT(--ISNUMBER(SEARCH(immigration,C47)))&gt;0)</f>
        <v>0</v>
      </c>
      <c r="T47" s="14" cm="1">
        <f t="array" ref="T47">INT(SUMPRODUCT(--ISNUMBER(SEARCH(econineq,C48)))&gt;0)</f>
        <v>0</v>
      </c>
      <c r="U47" s="14" cm="1">
        <f t="array" ref="U47">INT(SUMPRODUCT(--ISNUMBER(SEARCH(climate,C47)))&gt;0)</f>
        <v>0</v>
      </c>
      <c r="V47" s="14" cm="1">
        <f t="array" ref="V47">INT(SUMPRODUCT(--ISNUMBER(SEARCH(abortion,C47)))&gt;0)</f>
        <v>0</v>
      </c>
      <c r="W47" s="14" cm="1">
        <f t="array" ref="W47">INT(SUMPRODUCT(--ISNUMBER(SEARCH(trump,C47)))&gt;0)</f>
        <v>0</v>
      </c>
      <c r="X47" s="14" cm="1">
        <f t="array" ref="X47">INT(SUMPRODUCT(--ISNUMBER(SEARCH(voting,C47)))&gt;0)</f>
        <v>0</v>
      </c>
      <c r="Y47" s="14" cm="1">
        <f t="array" ref="Y47">INT(SUMPRODUCT(--ISNUMBER(SEARCH(republicantrigger,C47)))&gt;0)</f>
        <v>0</v>
      </c>
      <c r="Z47" s="14" cm="1">
        <f t="array" ref="Z47">INT(SUMPRODUCT(--ISNUMBER(SEARCH(bipartisan,C47)))&gt;0)</f>
        <v>0</v>
      </c>
      <c r="AA47" s="14">
        <f t="shared" si="0"/>
        <v>0</v>
      </c>
      <c r="AB47" s="14"/>
      <c r="AC47" s="30">
        <v>0</v>
      </c>
      <c r="AD47" s="37">
        <v>1</v>
      </c>
    </row>
    <row r="48" spans="1:30" x14ac:dyDescent="0.25">
      <c r="A48" s="36">
        <v>813</v>
      </c>
      <c r="B48" s="14" t="s">
        <v>1653</v>
      </c>
      <c r="C48" s="14" t="s">
        <v>1654</v>
      </c>
      <c r="D48" s="17">
        <v>44133</v>
      </c>
      <c r="E48" s="14" t="s">
        <v>70</v>
      </c>
      <c r="F48" s="14">
        <v>64</v>
      </c>
      <c r="G48" s="14">
        <v>18</v>
      </c>
      <c r="H48" s="14">
        <v>5</v>
      </c>
      <c r="I48" s="14">
        <v>3</v>
      </c>
      <c r="J48" s="14" t="s">
        <v>31</v>
      </c>
      <c r="K48" s="14" cm="1">
        <f t="array" ref="K48">INT(SUMPRODUCT(--ISNUMBER(SEARCH(economy,C48)))&gt;0)</f>
        <v>0</v>
      </c>
      <c r="L48" s="14" cm="1">
        <f t="array" ref="L48">INT(SUMPRODUCT(--ISNUMBER(SEARCH(healthcare,C48)))&gt;0)</f>
        <v>0</v>
      </c>
      <c r="M48" s="14" cm="1">
        <f t="array" ref="M48">INT(SUMPRODUCT(--ISNUMBER(SEARCH(supreme,C48)))&gt;0)</f>
        <v>0</v>
      </c>
      <c r="N48" s="14" cm="1">
        <f t="array" ref="N48">INT(SUMPRODUCT(--ISNUMBER(SEARCH(covid,C48)))&gt;0)</f>
        <v>0</v>
      </c>
      <c r="O48" s="14" cm="1">
        <f t="array" ref="O48">INT(SUMPRODUCT(--ISNUMBER(SEARCH(violent,C48)))&gt;0)</f>
        <v>0</v>
      </c>
      <c r="P48" s="14" cm="1">
        <f t="array" ref="P48">INT(SUMPRODUCT(--ISNUMBER(SEARCH(foreign,C48)))&gt;0)</f>
        <v>0</v>
      </c>
      <c r="Q48" s="14" cm="1">
        <f t="array" ref="Q48">INT(SUMPRODUCT(--ISNUMBER(SEARCH(gun,C48)))&gt;0)</f>
        <v>0</v>
      </c>
      <c r="R48" s="14" cm="1">
        <f t="array" ref="R48">INT(SUMPRODUCT(--ISNUMBER(SEARCH(race,C48)))&gt;0)</f>
        <v>0</v>
      </c>
      <c r="S48" s="14" cm="1">
        <f t="array" ref="S48">INT(SUMPRODUCT(--ISNUMBER(SEARCH(immigration,C48)))&gt;0)</f>
        <v>0</v>
      </c>
      <c r="T48" s="14" cm="1">
        <f t="array" ref="T48">INT(SUMPRODUCT(--ISNUMBER(SEARCH(econineq,C49)))&gt;0)</f>
        <v>0</v>
      </c>
      <c r="U48" s="14" cm="1">
        <f t="array" ref="U48">INT(SUMPRODUCT(--ISNUMBER(SEARCH(climate,C48)))&gt;0)</f>
        <v>0</v>
      </c>
      <c r="V48" s="14" cm="1">
        <f t="array" ref="V48">INT(SUMPRODUCT(--ISNUMBER(SEARCH(abortion,C48)))&gt;0)</f>
        <v>0</v>
      </c>
      <c r="W48" s="14" cm="1">
        <f t="array" ref="W48">INT(SUMPRODUCT(--ISNUMBER(SEARCH(trump,C48)))&gt;0)</f>
        <v>0</v>
      </c>
      <c r="X48" s="14" cm="1">
        <f t="array" ref="X48">INT(SUMPRODUCT(--ISNUMBER(SEARCH(voting,C48)))&gt;0)</f>
        <v>1</v>
      </c>
      <c r="Y48" s="14" cm="1">
        <f t="array" ref="Y48">INT(SUMPRODUCT(--ISNUMBER(SEARCH(republicantrigger,C48)))&gt;0)</f>
        <v>1</v>
      </c>
      <c r="Z48" s="14" cm="1">
        <f t="array" ref="Z48">INT(SUMPRODUCT(--ISNUMBER(SEARCH(bipartisan,C48)))&gt;0)</f>
        <v>0</v>
      </c>
      <c r="AA48" s="14">
        <f t="shared" si="0"/>
        <v>0</v>
      </c>
      <c r="AB48" s="14"/>
      <c r="AC48" s="30">
        <v>0</v>
      </c>
      <c r="AD48" s="37">
        <v>1</v>
      </c>
    </row>
    <row r="49" spans="1:30" x14ac:dyDescent="0.25">
      <c r="A49" s="36">
        <v>814</v>
      </c>
      <c r="B49" s="14" t="s">
        <v>1655</v>
      </c>
      <c r="C49" s="14" t="s">
        <v>1656</v>
      </c>
      <c r="D49" s="17">
        <v>44133</v>
      </c>
      <c r="E49" s="14" t="s">
        <v>30</v>
      </c>
      <c r="F49" s="14">
        <v>211</v>
      </c>
      <c r="G49" s="14">
        <v>55</v>
      </c>
      <c r="H49" s="14">
        <v>5</v>
      </c>
      <c r="I49" s="14">
        <v>3</v>
      </c>
      <c r="J49" s="14" t="s">
        <v>31</v>
      </c>
      <c r="K49" s="14" cm="1">
        <f t="array" ref="K49">INT(SUMPRODUCT(--ISNUMBER(SEARCH(economy,C49)))&gt;0)</f>
        <v>0</v>
      </c>
      <c r="L49" s="14" cm="1">
        <f t="array" ref="L49">INT(SUMPRODUCT(--ISNUMBER(SEARCH(healthcare,C49)))&gt;0)</f>
        <v>0</v>
      </c>
      <c r="M49" s="14" cm="1">
        <f t="array" ref="M49">INT(SUMPRODUCT(--ISNUMBER(SEARCH(supreme,C49)))&gt;0)</f>
        <v>0</v>
      </c>
      <c r="N49" s="14" cm="1">
        <f t="array" ref="N49">INT(SUMPRODUCT(--ISNUMBER(SEARCH(covid,C49)))&gt;0)</f>
        <v>0</v>
      </c>
      <c r="O49" s="14" cm="1">
        <f t="array" ref="O49">INT(SUMPRODUCT(--ISNUMBER(SEARCH(violent,C49)))&gt;0)</f>
        <v>0</v>
      </c>
      <c r="P49" s="14" cm="1">
        <f t="array" ref="P49">INT(SUMPRODUCT(--ISNUMBER(SEARCH(foreign,C49)))&gt;0)</f>
        <v>0</v>
      </c>
      <c r="Q49" s="14" cm="1">
        <f t="array" ref="Q49">INT(SUMPRODUCT(--ISNUMBER(SEARCH(gun,C49)))&gt;0)</f>
        <v>0</v>
      </c>
      <c r="R49" s="14" cm="1">
        <f t="array" ref="R49">INT(SUMPRODUCT(--ISNUMBER(SEARCH(race,C49)))&gt;0)</f>
        <v>0</v>
      </c>
      <c r="S49" s="14" cm="1">
        <f t="array" ref="S49">INT(SUMPRODUCT(--ISNUMBER(SEARCH(immigration,C49)))&gt;0)</f>
        <v>0</v>
      </c>
      <c r="T49" s="14" cm="1">
        <f t="array" ref="T49">INT(SUMPRODUCT(--ISNUMBER(SEARCH(econineq,C50)))&gt;0)</f>
        <v>0</v>
      </c>
      <c r="U49" s="14" cm="1">
        <f t="array" ref="U49">INT(SUMPRODUCT(--ISNUMBER(SEARCH(climate,C49)))&gt;0)</f>
        <v>0</v>
      </c>
      <c r="V49" s="14" cm="1">
        <f t="array" ref="V49">INT(SUMPRODUCT(--ISNUMBER(SEARCH(abortion,C49)))&gt;0)</f>
        <v>0</v>
      </c>
      <c r="W49" s="14" cm="1">
        <f t="array" ref="W49">INT(SUMPRODUCT(--ISNUMBER(SEARCH(trump,C49)))&gt;0)</f>
        <v>0</v>
      </c>
      <c r="X49" s="14" cm="1">
        <f t="array" ref="X49">INT(SUMPRODUCT(--ISNUMBER(SEARCH(voting,C49)))&gt;0)</f>
        <v>1</v>
      </c>
      <c r="Y49" s="14" cm="1">
        <f t="array" ref="Y49">INT(SUMPRODUCT(--ISNUMBER(SEARCH(republicantrigger,C49)))&gt;0)</f>
        <v>1</v>
      </c>
      <c r="Z49" s="14" cm="1">
        <f t="array" ref="Z49">INT(SUMPRODUCT(--ISNUMBER(SEARCH(bipartisan,C49)))&gt;0)</f>
        <v>0</v>
      </c>
      <c r="AA49" s="14">
        <f t="shared" si="0"/>
        <v>0</v>
      </c>
      <c r="AB49" s="14"/>
      <c r="AC49" s="30">
        <v>0</v>
      </c>
      <c r="AD49" s="37">
        <v>1</v>
      </c>
    </row>
    <row r="50" spans="1:30" x14ac:dyDescent="0.25">
      <c r="A50" s="36">
        <v>815</v>
      </c>
      <c r="B50" s="14" t="s">
        <v>1657</v>
      </c>
      <c r="C50" s="14" t="s">
        <v>1658</v>
      </c>
      <c r="D50" s="17">
        <v>44133</v>
      </c>
      <c r="E50" s="14" t="s">
        <v>30</v>
      </c>
      <c r="F50" s="14">
        <v>126</v>
      </c>
      <c r="G50" s="14">
        <v>22</v>
      </c>
      <c r="H50" s="14">
        <v>5</v>
      </c>
      <c r="I50" s="14">
        <v>3</v>
      </c>
      <c r="J50" s="14" t="s">
        <v>31</v>
      </c>
      <c r="K50" s="14" cm="1">
        <f t="array" ref="K50">INT(SUMPRODUCT(--ISNUMBER(SEARCH(economy,C50)))&gt;0)</f>
        <v>0</v>
      </c>
      <c r="L50" s="14" cm="1">
        <f t="array" ref="L50">INT(SUMPRODUCT(--ISNUMBER(SEARCH(healthcare,C50)))&gt;0)</f>
        <v>0</v>
      </c>
      <c r="M50" s="14" cm="1">
        <f t="array" ref="M50">INT(SUMPRODUCT(--ISNUMBER(SEARCH(supreme,C50)))&gt;0)</f>
        <v>0</v>
      </c>
      <c r="N50" s="14" cm="1">
        <f t="array" ref="N50">INT(SUMPRODUCT(--ISNUMBER(SEARCH(covid,C50)))&gt;0)</f>
        <v>0</v>
      </c>
      <c r="O50" s="14" cm="1">
        <f t="array" ref="O50">INT(SUMPRODUCT(--ISNUMBER(SEARCH(violent,C50)))&gt;0)</f>
        <v>0</v>
      </c>
      <c r="P50" s="14" cm="1">
        <f t="array" ref="P50">INT(SUMPRODUCT(--ISNUMBER(SEARCH(foreign,C50)))&gt;0)</f>
        <v>0</v>
      </c>
      <c r="Q50" s="14" cm="1">
        <f t="array" ref="Q50">INT(SUMPRODUCT(--ISNUMBER(SEARCH(gun,C50)))&gt;0)</f>
        <v>0</v>
      </c>
      <c r="R50" s="14" cm="1">
        <f t="array" ref="R50">INT(SUMPRODUCT(--ISNUMBER(SEARCH(race,C50)))&gt;0)</f>
        <v>0</v>
      </c>
      <c r="S50" s="14" cm="1">
        <f t="array" ref="S50">INT(SUMPRODUCT(--ISNUMBER(SEARCH(immigration,C50)))&gt;0)</f>
        <v>0</v>
      </c>
      <c r="T50" s="14" cm="1">
        <f t="array" ref="T50">INT(SUMPRODUCT(--ISNUMBER(SEARCH(econineq,C51)))&gt;0)</f>
        <v>0</v>
      </c>
      <c r="U50" s="14" cm="1">
        <f t="array" ref="U50">INT(SUMPRODUCT(--ISNUMBER(SEARCH(climate,C50)))&gt;0)</f>
        <v>0</v>
      </c>
      <c r="V50" s="14" cm="1">
        <f t="array" ref="V50">INT(SUMPRODUCT(--ISNUMBER(SEARCH(abortion,C50)))&gt;0)</f>
        <v>0</v>
      </c>
      <c r="W50" s="14" cm="1">
        <f t="array" ref="W50">INT(SUMPRODUCT(--ISNUMBER(SEARCH(trump,C50)))&gt;0)</f>
        <v>0</v>
      </c>
      <c r="X50" s="14" cm="1">
        <f t="array" ref="X50">INT(SUMPRODUCT(--ISNUMBER(SEARCH(voting,C50)))&gt;0)</f>
        <v>0</v>
      </c>
      <c r="Y50" s="14" cm="1">
        <f t="array" ref="Y50">INT(SUMPRODUCT(--ISNUMBER(SEARCH(republicantrigger,C50)))&gt;0)</f>
        <v>0</v>
      </c>
      <c r="Z50" s="14" cm="1">
        <f t="array" ref="Z50">INT(SUMPRODUCT(--ISNUMBER(SEARCH(bipartisan,C50)))&gt;0)</f>
        <v>0</v>
      </c>
      <c r="AA50" s="14">
        <f t="shared" si="0"/>
        <v>1</v>
      </c>
      <c r="AB50" s="14"/>
      <c r="AC50" s="30">
        <v>0</v>
      </c>
      <c r="AD50" s="37">
        <v>1</v>
      </c>
    </row>
    <row r="51" spans="1:30" x14ac:dyDescent="0.25">
      <c r="A51" s="36">
        <v>816</v>
      </c>
      <c r="B51" s="14" t="s">
        <v>1659</v>
      </c>
      <c r="C51" s="14" t="s">
        <v>1660</v>
      </c>
      <c r="D51" s="17">
        <v>44133</v>
      </c>
      <c r="E51" s="14" t="s">
        <v>30</v>
      </c>
      <c r="F51" s="14">
        <v>99</v>
      </c>
      <c r="G51" s="14">
        <v>25</v>
      </c>
      <c r="H51" s="14">
        <v>5</v>
      </c>
      <c r="I51" s="14">
        <v>3</v>
      </c>
      <c r="J51" s="14" t="s">
        <v>31</v>
      </c>
      <c r="K51" s="14" cm="1">
        <f t="array" ref="K51">INT(SUMPRODUCT(--ISNUMBER(SEARCH(economy,C51)))&gt;0)</f>
        <v>0</v>
      </c>
      <c r="L51" s="14" cm="1">
        <f t="array" ref="L51">INT(SUMPRODUCT(--ISNUMBER(SEARCH(healthcare,C51)))&gt;0)</f>
        <v>0</v>
      </c>
      <c r="M51" s="14" cm="1">
        <f t="array" ref="M51">INT(SUMPRODUCT(--ISNUMBER(SEARCH(supreme,C51)))&gt;0)</f>
        <v>0</v>
      </c>
      <c r="N51" s="14" cm="1">
        <f t="array" ref="N51">INT(SUMPRODUCT(--ISNUMBER(SEARCH(covid,C51)))&gt;0)</f>
        <v>0</v>
      </c>
      <c r="O51" s="14" cm="1">
        <f t="array" ref="O51">INT(SUMPRODUCT(--ISNUMBER(SEARCH(violent,C51)))&gt;0)</f>
        <v>0</v>
      </c>
      <c r="P51" s="14" cm="1">
        <f t="array" ref="P51">INT(SUMPRODUCT(--ISNUMBER(SEARCH(foreign,C51)))&gt;0)</f>
        <v>0</v>
      </c>
      <c r="Q51" s="14" cm="1">
        <f t="array" ref="Q51">INT(SUMPRODUCT(--ISNUMBER(SEARCH(gun,C51)))&gt;0)</f>
        <v>0</v>
      </c>
      <c r="R51" s="14" cm="1">
        <f t="array" ref="R51">INT(SUMPRODUCT(--ISNUMBER(SEARCH(race,C51)))&gt;0)</f>
        <v>0</v>
      </c>
      <c r="S51" s="14" cm="1">
        <f t="array" ref="S51">INT(SUMPRODUCT(--ISNUMBER(SEARCH(immigration,C51)))&gt;0)</f>
        <v>0</v>
      </c>
      <c r="T51" s="14" cm="1">
        <f t="array" ref="T51">INT(SUMPRODUCT(--ISNUMBER(SEARCH(econineq,C52)))&gt;0)</f>
        <v>0</v>
      </c>
      <c r="U51" s="14" cm="1">
        <f t="array" ref="U51">INT(SUMPRODUCT(--ISNUMBER(SEARCH(climate,C51)))&gt;0)</f>
        <v>0</v>
      </c>
      <c r="V51" s="14" cm="1">
        <f t="array" ref="V51">INT(SUMPRODUCT(--ISNUMBER(SEARCH(abortion,C51)))&gt;0)</f>
        <v>0</v>
      </c>
      <c r="W51" s="14" cm="1">
        <f t="array" ref="W51">INT(SUMPRODUCT(--ISNUMBER(SEARCH(trump,C51)))&gt;0)</f>
        <v>0</v>
      </c>
      <c r="X51" s="14" cm="1">
        <f t="array" ref="X51">INT(SUMPRODUCT(--ISNUMBER(SEARCH(voting,C51)))&gt;0)</f>
        <v>0</v>
      </c>
      <c r="Y51" s="14" cm="1">
        <f t="array" ref="Y51">INT(SUMPRODUCT(--ISNUMBER(SEARCH(republicantrigger,C51)))&gt;0)</f>
        <v>0</v>
      </c>
      <c r="Z51" s="14" cm="1">
        <f t="array" ref="Z51">INT(SUMPRODUCT(--ISNUMBER(SEARCH(bipartisan,C51)))&gt;0)</f>
        <v>0</v>
      </c>
      <c r="AA51" s="14">
        <f t="shared" si="0"/>
        <v>1</v>
      </c>
      <c r="AB51" s="14"/>
      <c r="AC51" s="30">
        <v>1</v>
      </c>
      <c r="AD51" s="37">
        <v>0</v>
      </c>
    </row>
    <row r="52" spans="1:30" x14ac:dyDescent="0.25">
      <c r="A52" s="36">
        <v>817</v>
      </c>
      <c r="B52" s="14" t="s">
        <v>1661</v>
      </c>
      <c r="C52" s="14" t="s">
        <v>1662</v>
      </c>
      <c r="D52" s="17">
        <v>44133</v>
      </c>
      <c r="E52" s="14" t="s">
        <v>30</v>
      </c>
      <c r="F52" s="14">
        <v>157</v>
      </c>
      <c r="G52" s="14">
        <v>34</v>
      </c>
      <c r="H52" s="14">
        <v>5</v>
      </c>
      <c r="I52" s="14">
        <v>3</v>
      </c>
      <c r="J52" s="14" t="s">
        <v>31</v>
      </c>
      <c r="K52" s="14" cm="1">
        <f t="array" ref="K52">INT(SUMPRODUCT(--ISNUMBER(SEARCH(economy,C52)))&gt;0)</f>
        <v>0</v>
      </c>
      <c r="L52" s="14" cm="1">
        <f t="array" ref="L52">INT(SUMPRODUCT(--ISNUMBER(SEARCH(healthcare,C52)))&gt;0)</f>
        <v>0</v>
      </c>
      <c r="M52" s="14" cm="1">
        <f t="array" ref="M52">INT(SUMPRODUCT(--ISNUMBER(SEARCH(supreme,C52)))&gt;0)</f>
        <v>0</v>
      </c>
      <c r="N52" s="14" cm="1">
        <f t="array" ref="N52">INT(SUMPRODUCT(--ISNUMBER(SEARCH(covid,C52)))&gt;0)</f>
        <v>0</v>
      </c>
      <c r="O52" s="14" cm="1">
        <f t="array" ref="O52">INT(SUMPRODUCT(--ISNUMBER(SEARCH(violent,C52)))&gt;0)</f>
        <v>0</v>
      </c>
      <c r="P52" s="14" cm="1">
        <f t="array" ref="P52">INT(SUMPRODUCT(--ISNUMBER(SEARCH(foreign,C52)))&gt;0)</f>
        <v>0</v>
      </c>
      <c r="Q52" s="14" cm="1">
        <f t="array" ref="Q52">INT(SUMPRODUCT(--ISNUMBER(SEARCH(gun,C52)))&gt;0)</f>
        <v>0</v>
      </c>
      <c r="R52" s="14" cm="1">
        <f t="array" ref="R52">INT(SUMPRODUCT(--ISNUMBER(SEARCH(race,C52)))&gt;0)</f>
        <v>0</v>
      </c>
      <c r="S52" s="14" cm="1">
        <f t="array" ref="S52">INT(SUMPRODUCT(--ISNUMBER(SEARCH(immigration,C52)))&gt;0)</f>
        <v>0</v>
      </c>
      <c r="T52" s="14" cm="1">
        <f t="array" ref="T52">INT(SUMPRODUCT(--ISNUMBER(SEARCH(econineq,C53)))&gt;0)</f>
        <v>0</v>
      </c>
      <c r="U52" s="14" cm="1">
        <f t="array" ref="U52">INT(SUMPRODUCT(--ISNUMBER(SEARCH(climate,C52)))&gt;0)</f>
        <v>0</v>
      </c>
      <c r="V52" s="14" cm="1">
        <f t="array" ref="V52">INT(SUMPRODUCT(--ISNUMBER(SEARCH(abortion,C52)))&gt;0)</f>
        <v>0</v>
      </c>
      <c r="W52" s="14" cm="1">
        <f t="array" ref="W52">INT(SUMPRODUCT(--ISNUMBER(SEARCH(trump,C52)))&gt;0)</f>
        <v>0</v>
      </c>
      <c r="X52" s="14" cm="1">
        <f t="array" ref="X52">INT(SUMPRODUCT(--ISNUMBER(SEARCH(voting,C52)))&gt;0)</f>
        <v>0</v>
      </c>
      <c r="Y52" s="14" cm="1">
        <f t="array" ref="Y52">INT(SUMPRODUCT(--ISNUMBER(SEARCH(republicantrigger,C52)))&gt;0)</f>
        <v>0</v>
      </c>
      <c r="Z52" s="14" cm="1">
        <f t="array" ref="Z52">INT(SUMPRODUCT(--ISNUMBER(SEARCH(bipartisan,C52)))&gt;0)</f>
        <v>0</v>
      </c>
      <c r="AA52" s="14">
        <f t="shared" si="0"/>
        <v>1</v>
      </c>
      <c r="AB52" s="14"/>
      <c r="AC52" s="30">
        <v>1</v>
      </c>
      <c r="AD52" s="37">
        <v>0</v>
      </c>
    </row>
    <row r="53" spans="1:30" x14ac:dyDescent="0.25">
      <c r="A53" s="36">
        <v>818</v>
      </c>
      <c r="B53" s="14" t="s">
        <v>1663</v>
      </c>
      <c r="C53" s="14" t="s">
        <v>1664</v>
      </c>
      <c r="D53" s="17">
        <v>44132</v>
      </c>
      <c r="E53" s="14" t="s">
        <v>30</v>
      </c>
      <c r="F53" s="14">
        <v>451</v>
      </c>
      <c r="G53" s="14">
        <v>68</v>
      </c>
      <c r="H53" s="14">
        <v>5</v>
      </c>
      <c r="I53" s="14">
        <v>3</v>
      </c>
      <c r="J53" s="14" t="s">
        <v>31</v>
      </c>
      <c r="K53" s="14" cm="1">
        <f t="array" ref="K53">INT(SUMPRODUCT(--ISNUMBER(SEARCH(economy,C53)))&gt;0)</f>
        <v>0</v>
      </c>
      <c r="L53" s="14" cm="1">
        <f t="array" ref="L53">INT(SUMPRODUCT(--ISNUMBER(SEARCH(healthcare,C53)))&gt;0)</f>
        <v>0</v>
      </c>
      <c r="M53" s="14" cm="1">
        <f t="array" ref="M53">INT(SUMPRODUCT(--ISNUMBER(SEARCH(supreme,C53)))&gt;0)</f>
        <v>0</v>
      </c>
      <c r="N53" s="14" cm="1">
        <f t="array" ref="N53">INT(SUMPRODUCT(--ISNUMBER(SEARCH(covid,C53)))&gt;0)</f>
        <v>0</v>
      </c>
      <c r="O53" s="14" cm="1">
        <f t="array" ref="O53">INT(SUMPRODUCT(--ISNUMBER(SEARCH(violent,C53)))&gt;0)</f>
        <v>0</v>
      </c>
      <c r="P53" s="14" cm="1">
        <f t="array" ref="P53">INT(SUMPRODUCT(--ISNUMBER(SEARCH(foreign,C53)))&gt;0)</f>
        <v>0</v>
      </c>
      <c r="Q53" s="14" cm="1">
        <f t="array" ref="Q53">INT(SUMPRODUCT(--ISNUMBER(SEARCH(gun,C53)))&gt;0)</f>
        <v>0</v>
      </c>
      <c r="R53" s="14" cm="1">
        <f t="array" ref="R53">INT(SUMPRODUCT(--ISNUMBER(SEARCH(race,C53)))&gt;0)</f>
        <v>0</v>
      </c>
      <c r="S53" s="14" cm="1">
        <f t="array" ref="S53">INT(SUMPRODUCT(--ISNUMBER(SEARCH(immigration,C53)))&gt;0)</f>
        <v>0</v>
      </c>
      <c r="T53" s="14" cm="1">
        <f t="array" ref="T53">INT(SUMPRODUCT(--ISNUMBER(SEARCH(econineq,C54)))&gt;0)</f>
        <v>0</v>
      </c>
      <c r="U53" s="14" cm="1">
        <f t="array" ref="U53">INT(SUMPRODUCT(--ISNUMBER(SEARCH(climate,C53)))&gt;0)</f>
        <v>0</v>
      </c>
      <c r="V53" s="14" cm="1">
        <f t="array" ref="V53">INT(SUMPRODUCT(--ISNUMBER(SEARCH(abortion,C53)))&gt;0)</f>
        <v>0</v>
      </c>
      <c r="W53" s="14" cm="1">
        <f t="array" ref="W53">INT(SUMPRODUCT(--ISNUMBER(SEARCH(trump,C53)))&gt;0)</f>
        <v>0</v>
      </c>
      <c r="X53" s="14" cm="1">
        <f t="array" ref="X53">INT(SUMPRODUCT(--ISNUMBER(SEARCH(voting,C53)))&gt;0)</f>
        <v>0</v>
      </c>
      <c r="Y53" s="14" cm="1">
        <f t="array" ref="Y53">INT(SUMPRODUCT(--ISNUMBER(SEARCH(republicantrigger,C53)))&gt;0)</f>
        <v>0</v>
      </c>
      <c r="Z53" s="14" cm="1">
        <f t="array" ref="Z53">INT(SUMPRODUCT(--ISNUMBER(SEARCH(bipartisan,C53)))&gt;0)</f>
        <v>0</v>
      </c>
      <c r="AA53" s="14">
        <f t="shared" si="0"/>
        <v>1</v>
      </c>
      <c r="AB53" s="14"/>
      <c r="AC53" s="30">
        <v>0</v>
      </c>
      <c r="AD53" s="37">
        <v>1</v>
      </c>
    </row>
    <row r="54" spans="1:30" x14ac:dyDescent="0.25">
      <c r="A54" s="36">
        <v>819</v>
      </c>
      <c r="B54" s="14" t="s">
        <v>1665</v>
      </c>
      <c r="C54" s="14" t="s">
        <v>1666</v>
      </c>
      <c r="D54" s="17">
        <v>44132</v>
      </c>
      <c r="E54" s="14" t="s">
        <v>30</v>
      </c>
      <c r="F54" s="14">
        <v>89</v>
      </c>
      <c r="G54" s="14">
        <v>16</v>
      </c>
      <c r="H54" s="14">
        <v>5</v>
      </c>
      <c r="I54" s="14">
        <v>3</v>
      </c>
      <c r="J54" s="14" t="s">
        <v>31</v>
      </c>
      <c r="K54" s="14" cm="1">
        <f t="array" ref="K54">INT(SUMPRODUCT(--ISNUMBER(SEARCH(economy,C54)))&gt;0)</f>
        <v>0</v>
      </c>
      <c r="L54" s="14" cm="1">
        <f t="array" ref="L54">INT(SUMPRODUCT(--ISNUMBER(SEARCH(healthcare,C54)))&gt;0)</f>
        <v>0</v>
      </c>
      <c r="M54" s="14" cm="1">
        <f t="array" ref="M54">INT(SUMPRODUCT(--ISNUMBER(SEARCH(supreme,C54)))&gt;0)</f>
        <v>0</v>
      </c>
      <c r="N54" s="14" cm="1">
        <f t="array" ref="N54">INT(SUMPRODUCT(--ISNUMBER(SEARCH(covid,C54)))&gt;0)</f>
        <v>0</v>
      </c>
      <c r="O54" s="14" cm="1">
        <f t="array" ref="O54">INT(SUMPRODUCT(--ISNUMBER(SEARCH(violent,C54)))&gt;0)</f>
        <v>0</v>
      </c>
      <c r="P54" s="14" cm="1">
        <f t="array" ref="P54">INT(SUMPRODUCT(--ISNUMBER(SEARCH(foreign,C54)))&gt;0)</f>
        <v>1</v>
      </c>
      <c r="Q54" s="14" cm="1">
        <f t="array" ref="Q54">INT(SUMPRODUCT(--ISNUMBER(SEARCH(gun,C54)))&gt;0)</f>
        <v>0</v>
      </c>
      <c r="R54" s="14" cm="1">
        <f t="array" ref="R54">INT(SUMPRODUCT(--ISNUMBER(SEARCH(race,C54)))&gt;0)</f>
        <v>0</v>
      </c>
      <c r="S54" s="14" cm="1">
        <f t="array" ref="S54">INT(SUMPRODUCT(--ISNUMBER(SEARCH(immigration,C54)))&gt;0)</f>
        <v>0</v>
      </c>
      <c r="T54" s="14" cm="1">
        <f t="array" ref="T54">INT(SUMPRODUCT(--ISNUMBER(SEARCH(econineq,C55)))&gt;0)</f>
        <v>0</v>
      </c>
      <c r="U54" s="14" cm="1">
        <f t="array" ref="U54">INT(SUMPRODUCT(--ISNUMBER(SEARCH(climate,C54)))&gt;0)</f>
        <v>0</v>
      </c>
      <c r="V54" s="14" cm="1">
        <f t="array" ref="V54">INT(SUMPRODUCT(--ISNUMBER(SEARCH(abortion,C54)))&gt;0)</f>
        <v>0</v>
      </c>
      <c r="W54" s="14" cm="1">
        <f t="array" ref="W54">INT(SUMPRODUCT(--ISNUMBER(SEARCH(trump,C54)))&gt;0)</f>
        <v>0</v>
      </c>
      <c r="X54" s="14" cm="1">
        <f t="array" ref="X54">INT(SUMPRODUCT(--ISNUMBER(SEARCH(voting,C54)))&gt;0)</f>
        <v>0</v>
      </c>
      <c r="Y54" s="14" cm="1">
        <f t="array" ref="Y54">INT(SUMPRODUCT(--ISNUMBER(SEARCH(republicantrigger,C54)))&gt;0)</f>
        <v>0</v>
      </c>
      <c r="Z54" s="14" cm="1">
        <f t="array" ref="Z54">INT(SUMPRODUCT(--ISNUMBER(SEARCH(bipartisan,C54)))&gt;0)</f>
        <v>0</v>
      </c>
      <c r="AA54" s="14">
        <f t="shared" si="0"/>
        <v>0</v>
      </c>
      <c r="AB54" s="14"/>
      <c r="AC54" s="30">
        <v>1</v>
      </c>
      <c r="AD54" s="37">
        <v>0</v>
      </c>
    </row>
    <row r="55" spans="1:30" x14ac:dyDescent="0.25">
      <c r="A55" s="36">
        <v>820</v>
      </c>
      <c r="B55" s="14" t="s">
        <v>1667</v>
      </c>
      <c r="C55" s="14" t="s">
        <v>1668</v>
      </c>
      <c r="D55" s="17">
        <v>44132</v>
      </c>
      <c r="E55" s="14" t="s">
        <v>30</v>
      </c>
      <c r="F55" s="14">
        <v>133</v>
      </c>
      <c r="G55" s="14">
        <v>24</v>
      </c>
      <c r="H55" s="14">
        <v>5</v>
      </c>
      <c r="I55" s="14">
        <v>3</v>
      </c>
      <c r="J55" s="14" t="s">
        <v>31</v>
      </c>
      <c r="K55" s="14" cm="1">
        <f t="array" ref="K55">INT(SUMPRODUCT(--ISNUMBER(SEARCH(economy,C55)))&gt;0)</f>
        <v>0</v>
      </c>
      <c r="L55" s="14" cm="1">
        <f t="array" ref="L55">INT(SUMPRODUCT(--ISNUMBER(SEARCH(healthcare,C55)))&gt;0)</f>
        <v>0</v>
      </c>
      <c r="M55" s="14" cm="1">
        <f t="array" ref="M55">INT(SUMPRODUCT(--ISNUMBER(SEARCH(supreme,C55)))&gt;0)</f>
        <v>0</v>
      </c>
      <c r="N55" s="14" cm="1">
        <f t="array" ref="N55">INT(SUMPRODUCT(--ISNUMBER(SEARCH(covid,C55)))&gt;0)</f>
        <v>0</v>
      </c>
      <c r="O55" s="14" cm="1">
        <f t="array" ref="O55">INT(SUMPRODUCT(--ISNUMBER(SEARCH(violent,C55)))&gt;0)</f>
        <v>0</v>
      </c>
      <c r="P55" s="14" cm="1">
        <f t="array" ref="P55">INT(SUMPRODUCT(--ISNUMBER(SEARCH(foreign,C55)))&gt;0)</f>
        <v>0</v>
      </c>
      <c r="Q55" s="14" cm="1">
        <f t="array" ref="Q55">INT(SUMPRODUCT(--ISNUMBER(SEARCH(gun,C55)))&gt;0)</f>
        <v>0</v>
      </c>
      <c r="R55" s="14" cm="1">
        <f t="array" ref="R55">INT(SUMPRODUCT(--ISNUMBER(SEARCH(race,C55)))&gt;0)</f>
        <v>0</v>
      </c>
      <c r="S55" s="14" cm="1">
        <f t="array" ref="S55">INT(SUMPRODUCT(--ISNUMBER(SEARCH(immigration,C55)))&gt;0)</f>
        <v>0</v>
      </c>
      <c r="T55" s="14" cm="1">
        <f t="array" ref="T55">INT(SUMPRODUCT(--ISNUMBER(SEARCH(econineq,C56)))&gt;0)</f>
        <v>0</v>
      </c>
      <c r="U55" s="14" cm="1">
        <f t="array" ref="U55">INT(SUMPRODUCT(--ISNUMBER(SEARCH(climate,C55)))&gt;0)</f>
        <v>0</v>
      </c>
      <c r="V55" s="14" cm="1">
        <f t="array" ref="V55">INT(SUMPRODUCT(--ISNUMBER(SEARCH(abortion,C55)))&gt;0)</f>
        <v>0</v>
      </c>
      <c r="W55" s="14" cm="1">
        <f t="array" ref="W55">INT(SUMPRODUCT(--ISNUMBER(SEARCH(trump,C55)))&gt;0)</f>
        <v>0</v>
      </c>
      <c r="X55" s="14" cm="1">
        <f t="array" ref="X55">INT(SUMPRODUCT(--ISNUMBER(SEARCH(voting,C55)))&gt;0)</f>
        <v>0</v>
      </c>
      <c r="Y55" s="14" cm="1">
        <f t="array" ref="Y55">INT(SUMPRODUCT(--ISNUMBER(SEARCH(republicantrigger,C55)))&gt;0)</f>
        <v>0</v>
      </c>
      <c r="Z55" s="14" cm="1">
        <f t="array" ref="Z55">INT(SUMPRODUCT(--ISNUMBER(SEARCH(bipartisan,C55)))&gt;0)</f>
        <v>0</v>
      </c>
      <c r="AA55" s="14">
        <f t="shared" si="0"/>
        <v>1</v>
      </c>
      <c r="AB55" s="14"/>
      <c r="AC55" s="30">
        <v>1</v>
      </c>
      <c r="AD55" s="37">
        <v>0</v>
      </c>
    </row>
    <row r="56" spans="1:30" x14ac:dyDescent="0.25">
      <c r="A56" s="36">
        <v>821</v>
      </c>
      <c r="B56" s="14" t="s">
        <v>1669</v>
      </c>
      <c r="C56" s="14" t="s">
        <v>1670</v>
      </c>
      <c r="D56" s="17">
        <v>44132</v>
      </c>
      <c r="E56" s="14" t="s">
        <v>30</v>
      </c>
      <c r="F56" s="14">
        <v>123</v>
      </c>
      <c r="G56" s="14">
        <v>47</v>
      </c>
      <c r="H56" s="14">
        <v>5</v>
      </c>
      <c r="I56" s="14">
        <v>3</v>
      </c>
      <c r="J56" s="14" t="s">
        <v>31</v>
      </c>
      <c r="K56" s="14" cm="1">
        <f t="array" ref="K56">INT(SUMPRODUCT(--ISNUMBER(SEARCH(economy,C56)))&gt;0)</f>
        <v>0</v>
      </c>
      <c r="L56" s="14" cm="1">
        <f t="array" ref="L56">INT(SUMPRODUCT(--ISNUMBER(SEARCH(healthcare,C56)))&gt;0)</f>
        <v>0</v>
      </c>
      <c r="M56" s="14" cm="1">
        <f t="array" ref="M56">INT(SUMPRODUCT(--ISNUMBER(SEARCH(supreme,C56)))&gt;0)</f>
        <v>0</v>
      </c>
      <c r="N56" s="14" cm="1">
        <f t="array" ref="N56">INT(SUMPRODUCT(--ISNUMBER(SEARCH(covid,C56)))&gt;0)</f>
        <v>0</v>
      </c>
      <c r="O56" s="14" cm="1">
        <f t="array" ref="O56">INT(SUMPRODUCT(--ISNUMBER(SEARCH(violent,C56)))&gt;0)</f>
        <v>0</v>
      </c>
      <c r="P56" s="14" cm="1">
        <f t="array" ref="P56">INT(SUMPRODUCT(--ISNUMBER(SEARCH(foreign,C56)))&gt;0)</f>
        <v>0</v>
      </c>
      <c r="Q56" s="14" cm="1">
        <f t="array" ref="Q56">INT(SUMPRODUCT(--ISNUMBER(SEARCH(gun,C56)))&gt;0)</f>
        <v>0</v>
      </c>
      <c r="R56" s="14" cm="1">
        <f t="array" ref="R56">INT(SUMPRODUCT(--ISNUMBER(SEARCH(race,C56)))&gt;0)</f>
        <v>0</v>
      </c>
      <c r="S56" s="14" cm="1">
        <f t="array" ref="S56">INT(SUMPRODUCT(--ISNUMBER(SEARCH(immigration,C56)))&gt;0)</f>
        <v>1</v>
      </c>
      <c r="T56" s="14" cm="1">
        <f t="array" ref="T56">INT(SUMPRODUCT(--ISNUMBER(SEARCH(econineq,C57)))&gt;0)</f>
        <v>0</v>
      </c>
      <c r="U56" s="14" cm="1">
        <f t="array" ref="U56">INT(SUMPRODUCT(--ISNUMBER(SEARCH(climate,C56)))&gt;0)</f>
        <v>0</v>
      </c>
      <c r="V56" s="14" cm="1">
        <f t="array" ref="V56">INT(SUMPRODUCT(--ISNUMBER(SEARCH(abortion,C56)))&gt;0)</f>
        <v>0</v>
      </c>
      <c r="W56" s="14" cm="1">
        <f t="array" ref="W56">INT(SUMPRODUCT(--ISNUMBER(SEARCH(trump,C56)))&gt;0)</f>
        <v>0</v>
      </c>
      <c r="X56" s="14" cm="1">
        <f t="array" ref="X56">INT(SUMPRODUCT(--ISNUMBER(SEARCH(voting,C56)))&gt;0)</f>
        <v>1</v>
      </c>
      <c r="Y56" s="14" cm="1">
        <f t="array" ref="Y56">INT(SUMPRODUCT(--ISNUMBER(SEARCH(republicantrigger,C56)))&gt;0)</f>
        <v>1</v>
      </c>
      <c r="Z56" s="14" cm="1">
        <f t="array" ref="Z56">INT(SUMPRODUCT(--ISNUMBER(SEARCH(bipartisan,C56)))&gt;0)</f>
        <v>0</v>
      </c>
      <c r="AA56" s="14">
        <f t="shared" si="0"/>
        <v>0</v>
      </c>
      <c r="AB56" s="14"/>
      <c r="AC56" s="30" t="s">
        <v>223</v>
      </c>
      <c r="AD56" s="37" t="s">
        <v>223</v>
      </c>
    </row>
    <row r="57" spans="1:30" x14ac:dyDescent="0.25">
      <c r="A57" s="36">
        <v>822</v>
      </c>
      <c r="B57" s="14" t="s">
        <v>1671</v>
      </c>
      <c r="C57" s="14" t="s">
        <v>1672</v>
      </c>
      <c r="D57" s="17">
        <v>44132</v>
      </c>
      <c r="E57" s="14" t="s">
        <v>30</v>
      </c>
      <c r="F57" s="14">
        <v>83</v>
      </c>
      <c r="G57" s="14">
        <v>21</v>
      </c>
      <c r="H57" s="14">
        <v>5</v>
      </c>
      <c r="I57" s="14">
        <v>3</v>
      </c>
      <c r="J57" s="14" t="s">
        <v>31</v>
      </c>
      <c r="K57" s="14" cm="1">
        <f t="array" ref="K57">INT(SUMPRODUCT(--ISNUMBER(SEARCH(economy,C57)))&gt;0)</f>
        <v>0</v>
      </c>
      <c r="L57" s="14" cm="1">
        <f t="array" ref="L57">INT(SUMPRODUCT(--ISNUMBER(SEARCH(healthcare,C57)))&gt;0)</f>
        <v>0</v>
      </c>
      <c r="M57" s="14" cm="1">
        <f t="array" ref="M57">INT(SUMPRODUCT(--ISNUMBER(SEARCH(supreme,C57)))&gt;0)</f>
        <v>0</v>
      </c>
      <c r="N57" s="14" cm="1">
        <f t="array" ref="N57">INT(SUMPRODUCT(--ISNUMBER(SEARCH(covid,C57)))&gt;0)</f>
        <v>0</v>
      </c>
      <c r="O57" s="14" cm="1">
        <f t="array" ref="O57">INT(SUMPRODUCT(--ISNUMBER(SEARCH(violent,C57)))&gt;0)</f>
        <v>0</v>
      </c>
      <c r="P57" s="14" cm="1">
        <f t="array" ref="P57">INT(SUMPRODUCT(--ISNUMBER(SEARCH(foreign,C57)))&gt;0)</f>
        <v>0</v>
      </c>
      <c r="Q57" s="14" cm="1">
        <f t="array" ref="Q57">INT(SUMPRODUCT(--ISNUMBER(SEARCH(gun,C57)))&gt;0)</f>
        <v>0</v>
      </c>
      <c r="R57" s="14" cm="1">
        <f t="array" ref="R57">INT(SUMPRODUCT(--ISNUMBER(SEARCH(race,C57)))&gt;0)</f>
        <v>0</v>
      </c>
      <c r="S57" s="14" cm="1">
        <f t="array" ref="S57">INT(SUMPRODUCT(--ISNUMBER(SEARCH(immigration,C57)))&gt;0)</f>
        <v>0</v>
      </c>
      <c r="T57" s="14" cm="1">
        <f t="array" ref="T57">INT(SUMPRODUCT(--ISNUMBER(SEARCH(econineq,C58)))&gt;0)</f>
        <v>0</v>
      </c>
      <c r="U57" s="14" cm="1">
        <f t="array" ref="U57">INT(SUMPRODUCT(--ISNUMBER(SEARCH(climate,C57)))&gt;0)</f>
        <v>0</v>
      </c>
      <c r="V57" s="14" cm="1">
        <f t="array" ref="V57">INT(SUMPRODUCT(--ISNUMBER(SEARCH(abortion,C57)))&gt;0)</f>
        <v>0</v>
      </c>
      <c r="W57" s="14" cm="1">
        <f t="array" ref="W57">INT(SUMPRODUCT(--ISNUMBER(SEARCH(trump,C57)))&gt;0)</f>
        <v>0</v>
      </c>
      <c r="X57" s="14" cm="1">
        <f t="array" ref="X57">INT(SUMPRODUCT(--ISNUMBER(SEARCH(voting,C57)))&gt;0)</f>
        <v>0</v>
      </c>
      <c r="Y57" s="14" cm="1">
        <f t="array" ref="Y57">INT(SUMPRODUCT(--ISNUMBER(SEARCH(republicantrigger,C57)))&gt;0)</f>
        <v>0</v>
      </c>
      <c r="Z57" s="14" cm="1">
        <f t="array" ref="Z57">INT(SUMPRODUCT(--ISNUMBER(SEARCH(bipartisan,C57)))&gt;0)</f>
        <v>0</v>
      </c>
      <c r="AA57" s="14">
        <f t="shared" si="0"/>
        <v>1</v>
      </c>
      <c r="AB57" s="14"/>
      <c r="AC57" s="30">
        <v>1</v>
      </c>
      <c r="AD57" s="37">
        <v>0</v>
      </c>
    </row>
    <row r="58" spans="1:30" x14ac:dyDescent="0.25">
      <c r="A58" s="36">
        <v>823</v>
      </c>
      <c r="B58" s="14" t="s">
        <v>1673</v>
      </c>
      <c r="C58" s="14" t="s">
        <v>1674</v>
      </c>
      <c r="D58" s="17">
        <v>44132</v>
      </c>
      <c r="E58" s="14" t="s">
        <v>30</v>
      </c>
      <c r="F58" s="14">
        <v>125</v>
      </c>
      <c r="G58" s="14">
        <v>27</v>
      </c>
      <c r="H58" s="14">
        <v>5</v>
      </c>
      <c r="I58" s="14">
        <v>3</v>
      </c>
      <c r="J58" s="14" t="s">
        <v>31</v>
      </c>
      <c r="K58" s="14" cm="1">
        <f t="array" ref="K58">INT(SUMPRODUCT(--ISNUMBER(SEARCH(economy,C58)))&gt;0)</f>
        <v>0</v>
      </c>
      <c r="L58" s="14" cm="1">
        <f t="array" ref="L58">INT(SUMPRODUCT(--ISNUMBER(SEARCH(healthcare,C58)))&gt;0)</f>
        <v>0</v>
      </c>
      <c r="M58" s="14" cm="1">
        <f t="array" ref="M58">INT(SUMPRODUCT(--ISNUMBER(SEARCH(supreme,C58)))&gt;0)</f>
        <v>0</v>
      </c>
      <c r="N58" s="14" cm="1">
        <f t="array" ref="N58">INT(SUMPRODUCT(--ISNUMBER(SEARCH(covid,C58)))&gt;0)</f>
        <v>0</v>
      </c>
      <c r="O58" s="14" cm="1">
        <f t="array" ref="O58">INT(SUMPRODUCT(--ISNUMBER(SEARCH(violent,C58)))&gt;0)</f>
        <v>0</v>
      </c>
      <c r="P58" s="14" cm="1">
        <f t="array" ref="P58">INT(SUMPRODUCT(--ISNUMBER(SEARCH(foreign,C58)))&gt;0)</f>
        <v>0</v>
      </c>
      <c r="Q58" s="14" cm="1">
        <f t="array" ref="Q58">INT(SUMPRODUCT(--ISNUMBER(SEARCH(gun,C58)))&gt;0)</f>
        <v>0</v>
      </c>
      <c r="R58" s="14" cm="1">
        <f t="array" ref="R58">INT(SUMPRODUCT(--ISNUMBER(SEARCH(race,C58)))&gt;0)</f>
        <v>0</v>
      </c>
      <c r="S58" s="14" cm="1">
        <f t="array" ref="S58">INT(SUMPRODUCT(--ISNUMBER(SEARCH(immigration,C58)))&gt;0)</f>
        <v>0</v>
      </c>
      <c r="T58" s="14" cm="1">
        <f t="array" ref="T58">INT(SUMPRODUCT(--ISNUMBER(SEARCH(econineq,C59)))&gt;0)</f>
        <v>0</v>
      </c>
      <c r="U58" s="14" cm="1">
        <f t="array" ref="U58">INT(SUMPRODUCT(--ISNUMBER(SEARCH(climate,C58)))&gt;0)</f>
        <v>0</v>
      </c>
      <c r="V58" s="14" cm="1">
        <f t="array" ref="V58">INT(SUMPRODUCT(--ISNUMBER(SEARCH(abortion,C58)))&gt;0)</f>
        <v>0</v>
      </c>
      <c r="W58" s="14" cm="1">
        <f t="array" ref="W58">INT(SUMPRODUCT(--ISNUMBER(SEARCH(trump,C58)))&gt;0)</f>
        <v>0</v>
      </c>
      <c r="X58" s="14" cm="1">
        <f t="array" ref="X58">INT(SUMPRODUCT(--ISNUMBER(SEARCH(voting,C58)))&gt;0)</f>
        <v>0</v>
      </c>
      <c r="Y58" s="14" cm="1">
        <f t="array" ref="Y58">INT(SUMPRODUCT(--ISNUMBER(SEARCH(republicantrigger,C58)))&gt;0)</f>
        <v>0</v>
      </c>
      <c r="Z58" s="14" cm="1">
        <f t="array" ref="Z58">INT(SUMPRODUCT(--ISNUMBER(SEARCH(bipartisan,C58)))&gt;0)</f>
        <v>0</v>
      </c>
      <c r="AA58" s="14">
        <f t="shared" si="0"/>
        <v>1</v>
      </c>
      <c r="AB58" s="14"/>
      <c r="AC58" s="30">
        <v>1</v>
      </c>
      <c r="AD58" s="37">
        <v>0</v>
      </c>
    </row>
    <row r="59" spans="1:30" x14ac:dyDescent="0.25">
      <c r="A59" s="36">
        <v>824</v>
      </c>
      <c r="B59" s="14" t="s">
        <v>1675</v>
      </c>
      <c r="C59" s="14" t="s">
        <v>1676</v>
      </c>
      <c r="D59" s="17">
        <v>44132</v>
      </c>
      <c r="E59" s="14" t="s">
        <v>30</v>
      </c>
      <c r="F59" s="14">
        <v>567</v>
      </c>
      <c r="G59" s="14">
        <v>97</v>
      </c>
      <c r="H59" s="14">
        <v>5</v>
      </c>
      <c r="I59" s="14">
        <v>3</v>
      </c>
      <c r="J59" s="14" t="s">
        <v>31</v>
      </c>
      <c r="K59" s="14" cm="1">
        <f t="array" ref="K59">INT(SUMPRODUCT(--ISNUMBER(SEARCH(economy,C59)))&gt;0)</f>
        <v>0</v>
      </c>
      <c r="L59" s="14" cm="1">
        <f t="array" ref="L59">INT(SUMPRODUCT(--ISNUMBER(SEARCH(healthcare,C59)))&gt;0)</f>
        <v>0</v>
      </c>
      <c r="M59" s="14" cm="1">
        <f t="array" ref="M59">INT(SUMPRODUCT(--ISNUMBER(SEARCH(supreme,C59)))&gt;0)</f>
        <v>0</v>
      </c>
      <c r="N59" s="14" cm="1">
        <f t="array" ref="N59">INT(SUMPRODUCT(--ISNUMBER(SEARCH(covid,C59)))&gt;0)</f>
        <v>0</v>
      </c>
      <c r="O59" s="14" cm="1">
        <f t="array" ref="O59">INT(SUMPRODUCT(--ISNUMBER(SEARCH(violent,C59)))&gt;0)</f>
        <v>0</v>
      </c>
      <c r="P59" s="14" cm="1">
        <f t="array" ref="P59">INT(SUMPRODUCT(--ISNUMBER(SEARCH(foreign,C59)))&gt;0)</f>
        <v>0</v>
      </c>
      <c r="Q59" s="14" cm="1">
        <f t="array" ref="Q59">INT(SUMPRODUCT(--ISNUMBER(SEARCH(gun,C59)))&gt;0)</f>
        <v>0</v>
      </c>
      <c r="R59" s="14" cm="1">
        <f t="array" ref="R59">INT(SUMPRODUCT(--ISNUMBER(SEARCH(race,C59)))&gt;0)</f>
        <v>0</v>
      </c>
      <c r="S59" s="14" cm="1">
        <f t="array" ref="S59">INT(SUMPRODUCT(--ISNUMBER(SEARCH(immigration,C59)))&gt;0)</f>
        <v>0</v>
      </c>
      <c r="T59" s="14" cm="1">
        <f t="array" ref="T59">INT(SUMPRODUCT(--ISNUMBER(SEARCH(econineq,C60)))&gt;0)</f>
        <v>0</v>
      </c>
      <c r="U59" s="14" cm="1">
        <f t="array" ref="U59">INT(SUMPRODUCT(--ISNUMBER(SEARCH(climate,C59)))&gt;0)</f>
        <v>0</v>
      </c>
      <c r="V59" s="14" cm="1">
        <f t="array" ref="V59">INT(SUMPRODUCT(--ISNUMBER(SEARCH(abortion,C59)))&gt;0)</f>
        <v>0</v>
      </c>
      <c r="W59" s="14" cm="1">
        <f t="array" ref="W59">INT(SUMPRODUCT(--ISNUMBER(SEARCH(trump,C59)))&gt;0)</f>
        <v>1</v>
      </c>
      <c r="X59" s="14" cm="1">
        <f t="array" ref="X59">INT(SUMPRODUCT(--ISNUMBER(SEARCH(voting,C59)))&gt;0)</f>
        <v>0</v>
      </c>
      <c r="Y59" s="14" cm="1">
        <f t="array" ref="Y59">INT(SUMPRODUCT(--ISNUMBER(SEARCH(republicantrigger,C59)))&gt;0)</f>
        <v>0</v>
      </c>
      <c r="Z59" s="14" cm="1">
        <f t="array" ref="Z59">INT(SUMPRODUCT(--ISNUMBER(SEARCH(bipartisan,C59)))&gt;0)</f>
        <v>0</v>
      </c>
      <c r="AA59" s="14">
        <f t="shared" si="0"/>
        <v>0</v>
      </c>
      <c r="AB59" s="14"/>
      <c r="AC59" s="30">
        <v>1</v>
      </c>
      <c r="AD59" s="37">
        <v>0</v>
      </c>
    </row>
    <row r="60" spans="1:30" x14ac:dyDescent="0.25">
      <c r="A60" s="36">
        <v>825</v>
      </c>
      <c r="B60" s="14" t="s">
        <v>1677</v>
      </c>
      <c r="C60" s="14" t="s">
        <v>1678</v>
      </c>
      <c r="D60" s="17">
        <v>44131</v>
      </c>
      <c r="E60" s="14" t="s">
        <v>30</v>
      </c>
      <c r="F60" s="14">
        <v>572</v>
      </c>
      <c r="G60" s="14">
        <v>137</v>
      </c>
      <c r="H60" s="14">
        <v>5</v>
      </c>
      <c r="I60" s="14">
        <v>3</v>
      </c>
      <c r="J60" s="14" t="s">
        <v>31</v>
      </c>
      <c r="K60" s="14" cm="1">
        <f t="array" ref="K60">INT(SUMPRODUCT(--ISNUMBER(SEARCH(economy,C60)))&gt;0)</f>
        <v>0</v>
      </c>
      <c r="L60" s="14" cm="1">
        <f t="array" ref="L60">INT(SUMPRODUCT(--ISNUMBER(SEARCH(healthcare,C60)))&gt;0)</f>
        <v>0</v>
      </c>
      <c r="M60" s="14" cm="1">
        <f t="array" ref="M60">INT(SUMPRODUCT(--ISNUMBER(SEARCH(supreme,C60)))&gt;0)</f>
        <v>0</v>
      </c>
      <c r="N60" s="14" cm="1">
        <f t="array" ref="N60">INT(SUMPRODUCT(--ISNUMBER(SEARCH(covid,C60)))&gt;0)</f>
        <v>0</v>
      </c>
      <c r="O60" s="14" cm="1">
        <f t="array" ref="O60">INT(SUMPRODUCT(--ISNUMBER(SEARCH(violent,C60)))&gt;0)</f>
        <v>0</v>
      </c>
      <c r="P60" s="14" cm="1">
        <f t="array" ref="P60">INT(SUMPRODUCT(--ISNUMBER(SEARCH(foreign,C60)))&gt;0)</f>
        <v>0</v>
      </c>
      <c r="Q60" s="14" cm="1">
        <f t="array" ref="Q60">INT(SUMPRODUCT(--ISNUMBER(SEARCH(gun,C60)))&gt;0)</f>
        <v>0</v>
      </c>
      <c r="R60" s="14" cm="1">
        <f t="array" ref="R60">INT(SUMPRODUCT(--ISNUMBER(SEARCH(race,C60)))&gt;0)</f>
        <v>0</v>
      </c>
      <c r="S60" s="14" cm="1">
        <f t="array" ref="S60">INT(SUMPRODUCT(--ISNUMBER(SEARCH(immigration,C60)))&gt;0)</f>
        <v>0</v>
      </c>
      <c r="T60" s="14" cm="1">
        <f t="array" ref="T60">INT(SUMPRODUCT(--ISNUMBER(SEARCH(econineq,C61)))&gt;0)</f>
        <v>0</v>
      </c>
      <c r="U60" s="14" cm="1">
        <f t="array" ref="U60">INT(SUMPRODUCT(--ISNUMBER(SEARCH(climate,C60)))&gt;0)</f>
        <v>0</v>
      </c>
      <c r="V60" s="14" cm="1">
        <f t="array" ref="V60">INT(SUMPRODUCT(--ISNUMBER(SEARCH(abortion,C60)))&gt;0)</f>
        <v>0</v>
      </c>
      <c r="W60" s="14" cm="1">
        <f t="array" ref="W60">INT(SUMPRODUCT(--ISNUMBER(SEARCH(trump,C60)))&gt;0)</f>
        <v>0</v>
      </c>
      <c r="X60" s="14" cm="1">
        <f t="array" ref="X60">INT(SUMPRODUCT(--ISNUMBER(SEARCH(voting,C60)))&gt;0)</f>
        <v>0</v>
      </c>
      <c r="Y60" s="14" cm="1">
        <f t="array" ref="Y60">INT(SUMPRODUCT(--ISNUMBER(SEARCH(republicantrigger,C60)))&gt;0)</f>
        <v>1</v>
      </c>
      <c r="Z60" s="14" cm="1">
        <f t="array" ref="Z60">INT(SUMPRODUCT(--ISNUMBER(SEARCH(bipartisan,C60)))&gt;0)</f>
        <v>0</v>
      </c>
      <c r="AA60" s="14">
        <f t="shared" si="0"/>
        <v>0</v>
      </c>
      <c r="AB60" s="14"/>
      <c r="AC60" s="30" t="s">
        <v>223</v>
      </c>
      <c r="AD60" s="37" t="s">
        <v>223</v>
      </c>
    </row>
    <row r="61" spans="1:30" x14ac:dyDescent="0.25">
      <c r="A61" s="36">
        <v>826</v>
      </c>
      <c r="B61" s="14" t="s">
        <v>1679</v>
      </c>
      <c r="C61" s="14" t="s">
        <v>1680</v>
      </c>
      <c r="D61" s="17">
        <v>44131</v>
      </c>
      <c r="E61" s="14" t="s">
        <v>30</v>
      </c>
      <c r="F61" s="14">
        <v>88</v>
      </c>
      <c r="G61" s="14">
        <v>24</v>
      </c>
      <c r="H61" s="14">
        <v>5</v>
      </c>
      <c r="I61" s="14">
        <v>3</v>
      </c>
      <c r="J61" s="14" t="s">
        <v>31</v>
      </c>
      <c r="K61" s="14" cm="1">
        <f t="array" ref="K61">INT(SUMPRODUCT(--ISNUMBER(SEARCH(economy,C61)))&gt;0)</f>
        <v>0</v>
      </c>
      <c r="L61" s="14" cm="1">
        <f t="array" ref="L61">INT(SUMPRODUCT(--ISNUMBER(SEARCH(healthcare,C61)))&gt;0)</f>
        <v>0</v>
      </c>
      <c r="M61" s="14" cm="1">
        <f t="array" ref="M61">INT(SUMPRODUCT(--ISNUMBER(SEARCH(supreme,C61)))&gt;0)</f>
        <v>1</v>
      </c>
      <c r="N61" s="14" cm="1">
        <f t="array" ref="N61">INT(SUMPRODUCT(--ISNUMBER(SEARCH(covid,C61)))&gt;0)</f>
        <v>0</v>
      </c>
      <c r="O61" s="14" cm="1">
        <f t="array" ref="O61">INT(SUMPRODUCT(--ISNUMBER(SEARCH(violent,C61)))&gt;0)</f>
        <v>0</v>
      </c>
      <c r="P61" s="14" cm="1">
        <f t="array" ref="P61">INT(SUMPRODUCT(--ISNUMBER(SEARCH(foreign,C61)))&gt;0)</f>
        <v>0</v>
      </c>
      <c r="Q61" s="14" cm="1">
        <f t="array" ref="Q61">INT(SUMPRODUCT(--ISNUMBER(SEARCH(gun,C61)))&gt;0)</f>
        <v>0</v>
      </c>
      <c r="R61" s="14" cm="1">
        <f t="array" ref="R61">INT(SUMPRODUCT(--ISNUMBER(SEARCH(race,C61)))&gt;0)</f>
        <v>0</v>
      </c>
      <c r="S61" s="14" cm="1">
        <f t="array" ref="S61">INT(SUMPRODUCT(--ISNUMBER(SEARCH(immigration,C61)))&gt;0)</f>
        <v>0</v>
      </c>
      <c r="T61" s="14" cm="1">
        <f t="array" ref="T61">INT(SUMPRODUCT(--ISNUMBER(SEARCH(econineq,C62)))&gt;0)</f>
        <v>0</v>
      </c>
      <c r="U61" s="14" cm="1">
        <f t="array" ref="U61">INT(SUMPRODUCT(--ISNUMBER(SEARCH(climate,C61)))&gt;0)</f>
        <v>0</v>
      </c>
      <c r="V61" s="14" cm="1">
        <f t="array" ref="V61">INT(SUMPRODUCT(--ISNUMBER(SEARCH(abortion,C61)))&gt;0)</f>
        <v>0</v>
      </c>
      <c r="W61" s="14" cm="1">
        <f t="array" ref="W61">INT(SUMPRODUCT(--ISNUMBER(SEARCH(trump,C61)))&gt;0)</f>
        <v>0</v>
      </c>
      <c r="X61" s="14" cm="1">
        <f t="array" ref="X61">INT(SUMPRODUCT(--ISNUMBER(SEARCH(voting,C61)))&gt;0)</f>
        <v>0</v>
      </c>
      <c r="Y61" s="14" cm="1">
        <f t="array" ref="Y61">INT(SUMPRODUCT(--ISNUMBER(SEARCH(republicantrigger,C61)))&gt;0)</f>
        <v>1</v>
      </c>
      <c r="Z61" s="14" cm="1">
        <f t="array" ref="Z61">INT(SUMPRODUCT(--ISNUMBER(SEARCH(bipartisan,C61)))&gt;0)</f>
        <v>0</v>
      </c>
      <c r="AA61" s="14">
        <f t="shared" si="0"/>
        <v>0</v>
      </c>
      <c r="AB61" s="14"/>
      <c r="AC61" s="30" t="s">
        <v>223</v>
      </c>
      <c r="AD61" s="37" t="s">
        <v>223</v>
      </c>
    </row>
    <row r="62" spans="1:30" x14ac:dyDescent="0.25">
      <c r="A62" s="36">
        <v>827</v>
      </c>
      <c r="B62" s="14" t="s">
        <v>1681</v>
      </c>
      <c r="C62" s="14" t="s">
        <v>1682</v>
      </c>
      <c r="D62" s="17">
        <v>44131</v>
      </c>
      <c r="E62" s="14" t="s">
        <v>30</v>
      </c>
      <c r="F62" s="14">
        <v>111</v>
      </c>
      <c r="G62" s="14">
        <v>30</v>
      </c>
      <c r="H62" s="14">
        <v>5</v>
      </c>
      <c r="I62" s="14">
        <v>3</v>
      </c>
      <c r="J62" s="14" t="s">
        <v>31</v>
      </c>
      <c r="K62" s="14" cm="1">
        <f t="array" ref="K62">INT(SUMPRODUCT(--ISNUMBER(SEARCH(economy,C62)))&gt;0)</f>
        <v>0</v>
      </c>
      <c r="L62" s="14" cm="1">
        <f t="array" ref="L62">INT(SUMPRODUCT(--ISNUMBER(SEARCH(healthcare,C62)))&gt;0)</f>
        <v>0</v>
      </c>
      <c r="M62" s="14" cm="1">
        <f t="array" ref="M62">INT(SUMPRODUCT(--ISNUMBER(SEARCH(supreme,C62)))&gt;0)</f>
        <v>0</v>
      </c>
      <c r="N62" s="14" cm="1">
        <f t="array" ref="N62">INT(SUMPRODUCT(--ISNUMBER(SEARCH(covid,C62)))&gt;0)</f>
        <v>0</v>
      </c>
      <c r="O62" s="14" cm="1">
        <f t="array" ref="O62">INT(SUMPRODUCT(--ISNUMBER(SEARCH(violent,C62)))&gt;0)</f>
        <v>0</v>
      </c>
      <c r="P62" s="14" cm="1">
        <f t="array" ref="P62">INT(SUMPRODUCT(--ISNUMBER(SEARCH(foreign,C62)))&gt;0)</f>
        <v>0</v>
      </c>
      <c r="Q62" s="14" cm="1">
        <f t="array" ref="Q62">INT(SUMPRODUCT(--ISNUMBER(SEARCH(gun,C62)))&gt;0)</f>
        <v>0</v>
      </c>
      <c r="R62" s="14" cm="1">
        <f t="array" ref="R62">INT(SUMPRODUCT(--ISNUMBER(SEARCH(race,C62)))&gt;0)</f>
        <v>0</v>
      </c>
      <c r="S62" s="14" cm="1">
        <f t="array" ref="S62">INT(SUMPRODUCT(--ISNUMBER(SEARCH(immigration,C62)))&gt;0)</f>
        <v>0</v>
      </c>
      <c r="T62" s="14" cm="1">
        <f t="array" ref="T62">INT(SUMPRODUCT(--ISNUMBER(SEARCH(econineq,C63)))&gt;0)</f>
        <v>0</v>
      </c>
      <c r="U62" s="14" cm="1">
        <f t="array" ref="U62">INT(SUMPRODUCT(--ISNUMBER(SEARCH(climate,C62)))&gt;0)</f>
        <v>0</v>
      </c>
      <c r="V62" s="14" cm="1">
        <f t="array" ref="V62">INT(SUMPRODUCT(--ISNUMBER(SEARCH(abortion,C62)))&gt;0)</f>
        <v>0</v>
      </c>
      <c r="W62" s="14" cm="1">
        <f t="array" ref="W62">INT(SUMPRODUCT(--ISNUMBER(SEARCH(trump,C62)))&gt;0)</f>
        <v>0</v>
      </c>
      <c r="X62" s="14" cm="1">
        <f t="array" ref="X62">INT(SUMPRODUCT(--ISNUMBER(SEARCH(voting,C62)))&gt;0)</f>
        <v>1</v>
      </c>
      <c r="Y62" s="14" cm="1">
        <f t="array" ref="Y62">INT(SUMPRODUCT(--ISNUMBER(SEARCH(republicantrigger,C62)))&gt;0)</f>
        <v>0</v>
      </c>
      <c r="Z62" s="14" cm="1">
        <f t="array" ref="Z62">INT(SUMPRODUCT(--ISNUMBER(SEARCH(bipartisan,C62)))&gt;0)</f>
        <v>0</v>
      </c>
      <c r="AA62" s="14">
        <f t="shared" si="0"/>
        <v>0</v>
      </c>
      <c r="AB62" s="14"/>
      <c r="AC62" s="30">
        <v>1</v>
      </c>
      <c r="AD62" s="37">
        <v>0</v>
      </c>
    </row>
    <row r="63" spans="1:30" x14ac:dyDescent="0.25">
      <c r="A63" s="36">
        <v>828</v>
      </c>
      <c r="B63" s="14" t="s">
        <v>1683</v>
      </c>
      <c r="C63" s="14" t="s">
        <v>1684</v>
      </c>
      <c r="D63" s="17">
        <v>44131</v>
      </c>
      <c r="E63" s="14" t="s">
        <v>30</v>
      </c>
      <c r="F63" s="14">
        <v>196</v>
      </c>
      <c r="G63" s="14">
        <v>37</v>
      </c>
      <c r="H63" s="14">
        <v>5</v>
      </c>
      <c r="I63" s="14">
        <v>3</v>
      </c>
      <c r="J63" s="14" t="s">
        <v>31</v>
      </c>
      <c r="K63" s="14" cm="1">
        <f t="array" ref="K63">INT(SUMPRODUCT(--ISNUMBER(SEARCH(economy,C63)))&gt;0)</f>
        <v>0</v>
      </c>
      <c r="L63" s="14" cm="1">
        <f t="array" ref="L63">INT(SUMPRODUCT(--ISNUMBER(SEARCH(healthcare,C63)))&gt;0)</f>
        <v>0</v>
      </c>
      <c r="M63" s="14" cm="1">
        <f t="array" ref="M63">INT(SUMPRODUCT(--ISNUMBER(SEARCH(supreme,C63)))&gt;0)</f>
        <v>1</v>
      </c>
      <c r="N63" s="14" cm="1">
        <f t="array" ref="N63">INT(SUMPRODUCT(--ISNUMBER(SEARCH(covid,C63)))&gt;0)</f>
        <v>0</v>
      </c>
      <c r="O63" s="14" cm="1">
        <f t="array" ref="O63">INT(SUMPRODUCT(--ISNUMBER(SEARCH(violent,C63)))&gt;0)</f>
        <v>0</v>
      </c>
      <c r="P63" s="14" cm="1">
        <f t="array" ref="P63">INT(SUMPRODUCT(--ISNUMBER(SEARCH(foreign,C63)))&gt;0)</f>
        <v>0</v>
      </c>
      <c r="Q63" s="14" cm="1">
        <f t="array" ref="Q63">INT(SUMPRODUCT(--ISNUMBER(SEARCH(gun,C63)))&gt;0)</f>
        <v>0</v>
      </c>
      <c r="R63" s="14" cm="1">
        <f t="array" ref="R63">INT(SUMPRODUCT(--ISNUMBER(SEARCH(race,C63)))&gt;0)</f>
        <v>0</v>
      </c>
      <c r="S63" s="14" cm="1">
        <f t="array" ref="S63">INT(SUMPRODUCT(--ISNUMBER(SEARCH(immigration,C63)))&gt;0)</f>
        <v>0</v>
      </c>
      <c r="T63" s="14" cm="1">
        <f t="array" ref="T63">INT(SUMPRODUCT(--ISNUMBER(SEARCH(econineq,C64)))&gt;0)</f>
        <v>0</v>
      </c>
      <c r="U63" s="14" cm="1">
        <f t="array" ref="U63">INT(SUMPRODUCT(--ISNUMBER(SEARCH(climate,C63)))&gt;0)</f>
        <v>0</v>
      </c>
      <c r="V63" s="14" cm="1">
        <f t="array" ref="V63">INT(SUMPRODUCT(--ISNUMBER(SEARCH(abortion,C63)))&gt;0)</f>
        <v>0</v>
      </c>
      <c r="W63" s="14" cm="1">
        <f t="array" ref="W63">INT(SUMPRODUCT(--ISNUMBER(SEARCH(trump,C63)))&gt;0)</f>
        <v>0</v>
      </c>
      <c r="X63" s="14" cm="1">
        <f t="array" ref="X63">INT(SUMPRODUCT(--ISNUMBER(SEARCH(voting,C63)))&gt;0)</f>
        <v>0</v>
      </c>
      <c r="Y63" s="14" cm="1">
        <f t="array" ref="Y63">INT(SUMPRODUCT(--ISNUMBER(SEARCH(republicantrigger,C63)))&gt;0)</f>
        <v>0</v>
      </c>
      <c r="Z63" s="14" cm="1">
        <f t="array" ref="Z63">INT(SUMPRODUCT(--ISNUMBER(SEARCH(bipartisan,C63)))&gt;0)</f>
        <v>0</v>
      </c>
      <c r="AA63" s="14">
        <f t="shared" si="0"/>
        <v>0</v>
      </c>
      <c r="AB63" s="14"/>
      <c r="AC63" s="30" t="s">
        <v>223</v>
      </c>
      <c r="AD63" s="37" t="s">
        <v>223</v>
      </c>
    </row>
    <row r="64" spans="1:30" x14ac:dyDescent="0.25">
      <c r="A64" s="36">
        <v>829</v>
      </c>
      <c r="B64" s="14" t="s">
        <v>1685</v>
      </c>
      <c r="C64" s="14" t="s">
        <v>1686</v>
      </c>
      <c r="D64" s="17">
        <v>44131</v>
      </c>
      <c r="E64" s="14" t="s">
        <v>30</v>
      </c>
      <c r="F64" s="14">
        <v>301</v>
      </c>
      <c r="G64" s="14">
        <v>45</v>
      </c>
      <c r="H64" s="14">
        <v>5</v>
      </c>
      <c r="I64" s="14">
        <v>3</v>
      </c>
      <c r="J64" s="14" t="s">
        <v>31</v>
      </c>
      <c r="K64" s="14" cm="1">
        <f t="array" ref="K64">INT(SUMPRODUCT(--ISNUMBER(SEARCH(economy,C64)))&gt;0)</f>
        <v>0</v>
      </c>
      <c r="L64" s="14" cm="1">
        <f t="array" ref="L64">INT(SUMPRODUCT(--ISNUMBER(SEARCH(healthcare,C64)))&gt;0)</f>
        <v>0</v>
      </c>
      <c r="M64" s="14" cm="1">
        <f t="array" ref="M64">INT(SUMPRODUCT(--ISNUMBER(SEARCH(supreme,C64)))&gt;0)</f>
        <v>0</v>
      </c>
      <c r="N64" s="14" cm="1">
        <f t="array" ref="N64">INT(SUMPRODUCT(--ISNUMBER(SEARCH(covid,C64)))&gt;0)</f>
        <v>0</v>
      </c>
      <c r="O64" s="14" cm="1">
        <f t="array" ref="O64">INT(SUMPRODUCT(--ISNUMBER(SEARCH(violent,C64)))&gt;0)</f>
        <v>0</v>
      </c>
      <c r="P64" s="14" cm="1">
        <f t="array" ref="P64">INT(SUMPRODUCT(--ISNUMBER(SEARCH(foreign,C64)))&gt;0)</f>
        <v>0</v>
      </c>
      <c r="Q64" s="14" cm="1">
        <f t="array" ref="Q64">INT(SUMPRODUCT(--ISNUMBER(SEARCH(gun,C64)))&gt;0)</f>
        <v>0</v>
      </c>
      <c r="R64" s="14" cm="1">
        <f t="array" ref="R64">INT(SUMPRODUCT(--ISNUMBER(SEARCH(race,C64)))&gt;0)</f>
        <v>0</v>
      </c>
      <c r="S64" s="14" cm="1">
        <f t="array" ref="S64">INT(SUMPRODUCT(--ISNUMBER(SEARCH(immigration,C64)))&gt;0)</f>
        <v>0</v>
      </c>
      <c r="T64" s="14" cm="1">
        <f t="array" ref="T64">INT(SUMPRODUCT(--ISNUMBER(SEARCH(econineq,C65)))&gt;0)</f>
        <v>0</v>
      </c>
      <c r="U64" s="14" cm="1">
        <f t="array" ref="U64">INT(SUMPRODUCT(--ISNUMBER(SEARCH(climate,C64)))&gt;0)</f>
        <v>0</v>
      </c>
      <c r="V64" s="14" cm="1">
        <f t="array" ref="V64">INT(SUMPRODUCT(--ISNUMBER(SEARCH(abortion,C64)))&gt;0)</f>
        <v>0</v>
      </c>
      <c r="W64" s="14" cm="1">
        <f t="array" ref="W64">INT(SUMPRODUCT(--ISNUMBER(SEARCH(trump,C64)))&gt;0)</f>
        <v>0</v>
      </c>
      <c r="X64" s="14" cm="1">
        <f t="array" ref="X64">INT(SUMPRODUCT(--ISNUMBER(SEARCH(voting,C64)))&gt;0)</f>
        <v>0</v>
      </c>
      <c r="Y64" s="14" cm="1">
        <f t="array" ref="Y64">INT(SUMPRODUCT(--ISNUMBER(SEARCH(republicantrigger,C64)))&gt;0)</f>
        <v>0</v>
      </c>
      <c r="Z64" s="14" cm="1">
        <f t="array" ref="Z64">INT(SUMPRODUCT(--ISNUMBER(SEARCH(bipartisan,C64)))&gt;0)</f>
        <v>0</v>
      </c>
      <c r="AA64" s="14">
        <f t="shared" si="0"/>
        <v>1</v>
      </c>
      <c r="AB64" s="14"/>
      <c r="AC64" s="30" t="s">
        <v>223</v>
      </c>
      <c r="AD64" s="37" t="s">
        <v>223</v>
      </c>
    </row>
    <row r="65" spans="1:30" x14ac:dyDescent="0.25">
      <c r="A65" s="36">
        <v>830</v>
      </c>
      <c r="B65" s="14" t="s">
        <v>1687</v>
      </c>
      <c r="C65" s="14" t="s">
        <v>1688</v>
      </c>
      <c r="D65" s="17">
        <v>44131</v>
      </c>
      <c r="E65" s="14" t="s">
        <v>30</v>
      </c>
      <c r="F65" s="14">
        <v>7139</v>
      </c>
      <c r="G65" s="14">
        <v>864</v>
      </c>
      <c r="H65" s="14">
        <v>5</v>
      </c>
      <c r="I65" s="14">
        <v>3</v>
      </c>
      <c r="J65" s="14" t="s">
        <v>31</v>
      </c>
      <c r="K65" s="14" cm="1">
        <f t="array" ref="K65">INT(SUMPRODUCT(--ISNUMBER(SEARCH(economy,C65)))&gt;0)</f>
        <v>0</v>
      </c>
      <c r="L65" s="14" cm="1">
        <f t="array" ref="L65">INT(SUMPRODUCT(--ISNUMBER(SEARCH(healthcare,C65)))&gt;0)</f>
        <v>0</v>
      </c>
      <c r="M65" s="14" cm="1">
        <f t="array" ref="M65">INT(SUMPRODUCT(--ISNUMBER(SEARCH(supreme,C65)))&gt;0)</f>
        <v>1</v>
      </c>
      <c r="N65" s="14" cm="1">
        <f t="array" ref="N65">INT(SUMPRODUCT(--ISNUMBER(SEARCH(covid,C65)))&gt;0)</f>
        <v>0</v>
      </c>
      <c r="O65" s="14" cm="1">
        <f t="array" ref="O65">INT(SUMPRODUCT(--ISNUMBER(SEARCH(violent,C65)))&gt;0)</f>
        <v>0</v>
      </c>
      <c r="P65" s="14" cm="1">
        <f t="array" ref="P65">INT(SUMPRODUCT(--ISNUMBER(SEARCH(foreign,C65)))&gt;0)</f>
        <v>0</v>
      </c>
      <c r="Q65" s="14" cm="1">
        <f t="array" ref="Q65">INT(SUMPRODUCT(--ISNUMBER(SEARCH(gun,C65)))&gt;0)</f>
        <v>0</v>
      </c>
      <c r="R65" s="14" cm="1">
        <f t="array" ref="R65">INT(SUMPRODUCT(--ISNUMBER(SEARCH(race,C65)))&gt;0)</f>
        <v>0</v>
      </c>
      <c r="S65" s="14" cm="1">
        <f t="array" ref="S65">INT(SUMPRODUCT(--ISNUMBER(SEARCH(immigration,C65)))&gt;0)</f>
        <v>0</v>
      </c>
      <c r="T65" s="14" cm="1">
        <f t="array" ref="T65">INT(SUMPRODUCT(--ISNUMBER(SEARCH(econineq,C66)))&gt;0)</f>
        <v>0</v>
      </c>
      <c r="U65" s="14" cm="1">
        <f t="array" ref="U65">INT(SUMPRODUCT(--ISNUMBER(SEARCH(climate,C65)))&gt;0)</f>
        <v>0</v>
      </c>
      <c r="V65" s="14" cm="1">
        <f t="array" ref="V65">INT(SUMPRODUCT(--ISNUMBER(SEARCH(abortion,C65)))&gt;0)</f>
        <v>0</v>
      </c>
      <c r="W65" s="14" cm="1">
        <f t="array" ref="W65">INT(SUMPRODUCT(--ISNUMBER(SEARCH(trump,C65)))&gt;0)</f>
        <v>0</v>
      </c>
      <c r="X65" s="14" cm="1">
        <f t="array" ref="X65">INT(SUMPRODUCT(--ISNUMBER(SEARCH(voting,C65)))&gt;0)</f>
        <v>0</v>
      </c>
      <c r="Y65" s="14" cm="1">
        <f t="array" ref="Y65">INT(SUMPRODUCT(--ISNUMBER(SEARCH(republicantrigger,C65)))&gt;0)</f>
        <v>0</v>
      </c>
      <c r="Z65" s="14" cm="1">
        <f t="array" ref="Z65">INT(SUMPRODUCT(--ISNUMBER(SEARCH(bipartisan,C65)))&gt;0)</f>
        <v>0</v>
      </c>
      <c r="AA65" s="14">
        <f t="shared" si="0"/>
        <v>0</v>
      </c>
      <c r="AB65" s="14"/>
      <c r="AC65" s="30">
        <v>1</v>
      </c>
      <c r="AD65" s="37">
        <v>0</v>
      </c>
    </row>
    <row r="66" spans="1:30" x14ac:dyDescent="0.25">
      <c r="A66" s="36">
        <v>831</v>
      </c>
      <c r="B66" s="14" t="s">
        <v>1689</v>
      </c>
      <c r="C66" s="14" t="s">
        <v>1690</v>
      </c>
      <c r="D66" s="17">
        <v>44130</v>
      </c>
      <c r="E66" s="14" t="s">
        <v>30</v>
      </c>
      <c r="F66" s="14">
        <v>198</v>
      </c>
      <c r="G66" s="14">
        <v>42</v>
      </c>
      <c r="H66" s="14">
        <v>5</v>
      </c>
      <c r="I66" s="14">
        <v>3</v>
      </c>
      <c r="J66" s="14" t="s">
        <v>31</v>
      </c>
      <c r="K66" s="14" cm="1">
        <f t="array" ref="K66">INT(SUMPRODUCT(--ISNUMBER(SEARCH(economy,C66)))&gt;0)</f>
        <v>0</v>
      </c>
      <c r="L66" s="14" cm="1">
        <f t="array" ref="L66">INT(SUMPRODUCT(--ISNUMBER(SEARCH(healthcare,C66)))&gt;0)</f>
        <v>0</v>
      </c>
      <c r="M66" s="14" cm="1">
        <f t="array" ref="M66">INT(SUMPRODUCT(--ISNUMBER(SEARCH(supreme,C66)))&gt;0)</f>
        <v>0</v>
      </c>
      <c r="N66" s="14" cm="1">
        <f t="array" ref="N66">INT(SUMPRODUCT(--ISNUMBER(SEARCH(covid,C66)))&gt;0)</f>
        <v>0</v>
      </c>
      <c r="O66" s="14" cm="1">
        <f t="array" ref="O66">INT(SUMPRODUCT(--ISNUMBER(SEARCH(violent,C66)))&gt;0)</f>
        <v>0</v>
      </c>
      <c r="P66" s="14" cm="1">
        <f t="array" ref="P66">INT(SUMPRODUCT(--ISNUMBER(SEARCH(foreign,C66)))&gt;0)</f>
        <v>0</v>
      </c>
      <c r="Q66" s="14" cm="1">
        <f t="array" ref="Q66">INT(SUMPRODUCT(--ISNUMBER(SEARCH(gun,C66)))&gt;0)</f>
        <v>0</v>
      </c>
      <c r="R66" s="14" cm="1">
        <f t="array" ref="R66">INT(SUMPRODUCT(--ISNUMBER(SEARCH(race,C66)))&gt;0)</f>
        <v>0</v>
      </c>
      <c r="S66" s="14" cm="1">
        <f t="array" ref="S66">INT(SUMPRODUCT(--ISNUMBER(SEARCH(immigration,C66)))&gt;0)</f>
        <v>0</v>
      </c>
      <c r="T66" s="14" cm="1">
        <f t="array" ref="T66">INT(SUMPRODUCT(--ISNUMBER(SEARCH(econineq,C67)))&gt;0)</f>
        <v>0</v>
      </c>
      <c r="U66" s="14" cm="1">
        <f t="array" ref="U66">INT(SUMPRODUCT(--ISNUMBER(SEARCH(climate,C66)))&gt;0)</f>
        <v>0</v>
      </c>
      <c r="V66" s="14" cm="1">
        <f t="array" ref="V66">INT(SUMPRODUCT(--ISNUMBER(SEARCH(abortion,C66)))&gt;0)</f>
        <v>0</v>
      </c>
      <c r="W66" s="14" cm="1">
        <f t="array" ref="W66">INT(SUMPRODUCT(--ISNUMBER(SEARCH(trump,C66)))&gt;0)</f>
        <v>0</v>
      </c>
      <c r="X66" s="14" cm="1">
        <f t="array" ref="X66">INT(SUMPRODUCT(--ISNUMBER(SEARCH(voting,C66)))&gt;0)</f>
        <v>0</v>
      </c>
      <c r="Y66" s="14" cm="1">
        <f t="array" ref="Y66">INT(SUMPRODUCT(--ISNUMBER(SEARCH(republicantrigger,C66)))&gt;0)</f>
        <v>0</v>
      </c>
      <c r="Z66" s="14" cm="1">
        <f t="array" ref="Z66">INT(SUMPRODUCT(--ISNUMBER(SEARCH(bipartisan,C66)))&gt;0)</f>
        <v>0</v>
      </c>
      <c r="AA66" s="14">
        <f t="shared" si="0"/>
        <v>1</v>
      </c>
      <c r="AB66" s="14"/>
      <c r="AC66" s="30">
        <v>0</v>
      </c>
      <c r="AD66" s="37">
        <v>1</v>
      </c>
    </row>
    <row r="67" spans="1:30" x14ac:dyDescent="0.25">
      <c r="A67" s="36">
        <v>832</v>
      </c>
      <c r="B67" s="14" t="s">
        <v>1691</v>
      </c>
      <c r="C67" s="14" t="s">
        <v>1692</v>
      </c>
      <c r="D67" s="17">
        <v>44130</v>
      </c>
      <c r="E67" s="14" t="s">
        <v>30</v>
      </c>
      <c r="F67" s="14">
        <v>169</v>
      </c>
      <c r="G67" s="14">
        <v>40</v>
      </c>
      <c r="H67" s="14">
        <v>5</v>
      </c>
      <c r="I67" s="14">
        <v>3</v>
      </c>
      <c r="J67" s="14" t="s">
        <v>31</v>
      </c>
      <c r="K67" s="14" cm="1">
        <f t="array" ref="K67">INT(SUMPRODUCT(--ISNUMBER(SEARCH(economy,C67)))&gt;0)</f>
        <v>0</v>
      </c>
      <c r="L67" s="14" cm="1">
        <f t="array" ref="L67">INT(SUMPRODUCT(--ISNUMBER(SEARCH(healthcare,C67)))&gt;0)</f>
        <v>0</v>
      </c>
      <c r="M67" s="14" cm="1">
        <f t="array" ref="M67">INT(SUMPRODUCT(--ISNUMBER(SEARCH(supreme,C67)))&gt;0)</f>
        <v>0</v>
      </c>
      <c r="N67" s="14" cm="1">
        <f t="array" ref="N67">INT(SUMPRODUCT(--ISNUMBER(SEARCH(covid,C67)))&gt;0)</f>
        <v>0</v>
      </c>
      <c r="O67" s="14" cm="1">
        <f t="array" ref="O67">INT(SUMPRODUCT(--ISNUMBER(SEARCH(violent,C67)))&gt;0)</f>
        <v>0</v>
      </c>
      <c r="P67" s="14" cm="1">
        <f t="array" ref="P67">INT(SUMPRODUCT(--ISNUMBER(SEARCH(foreign,C67)))&gt;0)</f>
        <v>0</v>
      </c>
      <c r="Q67" s="14" cm="1">
        <f t="array" ref="Q67">INT(SUMPRODUCT(--ISNUMBER(SEARCH(gun,C67)))&gt;0)</f>
        <v>0</v>
      </c>
      <c r="R67" s="14" cm="1">
        <f t="array" ref="R67">INT(SUMPRODUCT(--ISNUMBER(SEARCH(race,C67)))&gt;0)</f>
        <v>0</v>
      </c>
      <c r="S67" s="14" cm="1">
        <f t="array" ref="S67">INT(SUMPRODUCT(--ISNUMBER(SEARCH(immigration,C67)))&gt;0)</f>
        <v>0</v>
      </c>
      <c r="T67" s="14" cm="1">
        <f t="array" ref="T67">INT(SUMPRODUCT(--ISNUMBER(SEARCH(econineq,C68)))&gt;0)</f>
        <v>0</v>
      </c>
      <c r="U67" s="14" cm="1">
        <f t="array" ref="U67">INT(SUMPRODUCT(--ISNUMBER(SEARCH(climate,C67)))&gt;0)</f>
        <v>0</v>
      </c>
      <c r="V67" s="14" cm="1">
        <f t="array" ref="V67">INT(SUMPRODUCT(--ISNUMBER(SEARCH(abortion,C67)))&gt;0)</f>
        <v>0</v>
      </c>
      <c r="W67" s="14" cm="1">
        <f t="array" ref="W67">INT(SUMPRODUCT(--ISNUMBER(SEARCH(trump,C67)))&gt;0)</f>
        <v>0</v>
      </c>
      <c r="X67" s="14" cm="1">
        <f t="array" ref="X67">INT(SUMPRODUCT(--ISNUMBER(SEARCH(voting,C67)))&gt;0)</f>
        <v>0</v>
      </c>
      <c r="Y67" s="14" cm="1">
        <f t="array" ref="Y67">INT(SUMPRODUCT(--ISNUMBER(SEARCH(republicantrigger,C67)))&gt;0)</f>
        <v>1</v>
      </c>
      <c r="Z67" s="14" cm="1">
        <f t="array" ref="Z67">INT(SUMPRODUCT(--ISNUMBER(SEARCH(bipartisan,C67)))&gt;0)</f>
        <v>1</v>
      </c>
      <c r="AA67" s="14">
        <f t="shared" ref="AA67:AA130" si="1">INT(IF(COUNTIF(K67:Z67,1)=0,"1","0"))</f>
        <v>0</v>
      </c>
      <c r="AB67" s="14"/>
      <c r="AC67" s="30">
        <v>1</v>
      </c>
      <c r="AD67" s="37">
        <v>0</v>
      </c>
    </row>
    <row r="68" spans="1:30" x14ac:dyDescent="0.25">
      <c r="A68" s="36">
        <v>833</v>
      </c>
      <c r="B68" s="14" t="s">
        <v>1693</v>
      </c>
      <c r="C68" s="14" t="s">
        <v>1694</v>
      </c>
      <c r="D68" s="17">
        <v>44129</v>
      </c>
      <c r="E68" s="14" t="s">
        <v>30</v>
      </c>
      <c r="F68" s="14">
        <v>214</v>
      </c>
      <c r="G68" s="14">
        <v>36</v>
      </c>
      <c r="H68" s="14">
        <v>5</v>
      </c>
      <c r="I68" s="14">
        <v>3</v>
      </c>
      <c r="J68" s="14" t="s">
        <v>31</v>
      </c>
      <c r="K68" s="14" cm="1">
        <f t="array" ref="K68">INT(SUMPRODUCT(--ISNUMBER(SEARCH(economy,C68)))&gt;0)</f>
        <v>0</v>
      </c>
      <c r="L68" s="14" cm="1">
        <f t="array" ref="L68">INT(SUMPRODUCT(--ISNUMBER(SEARCH(healthcare,C68)))&gt;0)</f>
        <v>0</v>
      </c>
      <c r="M68" s="14" cm="1">
        <f t="array" ref="M68">INT(SUMPRODUCT(--ISNUMBER(SEARCH(supreme,C68)))&gt;0)</f>
        <v>0</v>
      </c>
      <c r="N68" s="14" cm="1">
        <f t="array" ref="N68">INT(SUMPRODUCT(--ISNUMBER(SEARCH(covid,C68)))&gt;0)</f>
        <v>0</v>
      </c>
      <c r="O68" s="14" cm="1">
        <f t="array" ref="O68">INT(SUMPRODUCT(--ISNUMBER(SEARCH(violent,C68)))&gt;0)</f>
        <v>0</v>
      </c>
      <c r="P68" s="14" cm="1">
        <f t="array" ref="P68">INT(SUMPRODUCT(--ISNUMBER(SEARCH(foreign,C68)))&gt;0)</f>
        <v>0</v>
      </c>
      <c r="Q68" s="14" cm="1">
        <f t="array" ref="Q68">INT(SUMPRODUCT(--ISNUMBER(SEARCH(gun,C68)))&gt;0)</f>
        <v>0</v>
      </c>
      <c r="R68" s="14" cm="1">
        <f t="array" ref="R68">INT(SUMPRODUCT(--ISNUMBER(SEARCH(race,C68)))&gt;0)</f>
        <v>0</v>
      </c>
      <c r="S68" s="14" cm="1">
        <f t="array" ref="S68">INT(SUMPRODUCT(--ISNUMBER(SEARCH(immigration,C68)))&gt;0)</f>
        <v>0</v>
      </c>
      <c r="T68" s="14" cm="1">
        <f t="array" ref="T68">INT(SUMPRODUCT(--ISNUMBER(SEARCH(econineq,C69)))&gt;0)</f>
        <v>0</v>
      </c>
      <c r="U68" s="14" cm="1">
        <f t="array" ref="U68">INT(SUMPRODUCT(--ISNUMBER(SEARCH(climate,C68)))&gt;0)</f>
        <v>0</v>
      </c>
      <c r="V68" s="14" cm="1">
        <f t="array" ref="V68">INT(SUMPRODUCT(--ISNUMBER(SEARCH(abortion,C68)))&gt;0)</f>
        <v>0</v>
      </c>
      <c r="W68" s="14" cm="1">
        <f t="array" ref="W68">INT(SUMPRODUCT(--ISNUMBER(SEARCH(trump,C68)))&gt;0)</f>
        <v>0</v>
      </c>
      <c r="X68" s="14" cm="1">
        <f t="array" ref="X68">INT(SUMPRODUCT(--ISNUMBER(SEARCH(voting,C68)))&gt;0)</f>
        <v>0</v>
      </c>
      <c r="Y68" s="14" cm="1">
        <f t="array" ref="Y68">INT(SUMPRODUCT(--ISNUMBER(SEARCH(republicantrigger,C68)))&gt;0)</f>
        <v>0</v>
      </c>
      <c r="Z68" s="14" cm="1">
        <f t="array" ref="Z68">INT(SUMPRODUCT(--ISNUMBER(SEARCH(bipartisan,C68)))&gt;0)</f>
        <v>0</v>
      </c>
      <c r="AA68" s="14">
        <f t="shared" si="1"/>
        <v>1</v>
      </c>
      <c r="AB68" s="14"/>
      <c r="AC68" s="30" t="s">
        <v>223</v>
      </c>
      <c r="AD68" s="37" t="s">
        <v>223</v>
      </c>
    </row>
    <row r="69" spans="1:30" x14ac:dyDescent="0.25">
      <c r="A69" s="36">
        <v>834</v>
      </c>
      <c r="B69" s="14" t="s">
        <v>1695</v>
      </c>
      <c r="C69" s="14" t="s">
        <v>1696</v>
      </c>
      <c r="D69" s="17">
        <v>44129</v>
      </c>
      <c r="E69" s="14" t="s">
        <v>30</v>
      </c>
      <c r="F69" s="14">
        <v>288</v>
      </c>
      <c r="G69" s="14">
        <v>84</v>
      </c>
      <c r="H69" s="14">
        <v>5</v>
      </c>
      <c r="I69" s="14">
        <v>3</v>
      </c>
      <c r="J69" s="14" t="s">
        <v>31</v>
      </c>
      <c r="K69" s="14" cm="1">
        <f t="array" ref="K69">INT(SUMPRODUCT(--ISNUMBER(SEARCH(economy,C69)))&gt;0)</f>
        <v>0</v>
      </c>
      <c r="L69" s="14" cm="1">
        <f t="array" ref="L69">INT(SUMPRODUCT(--ISNUMBER(SEARCH(healthcare,C69)))&gt;0)</f>
        <v>0</v>
      </c>
      <c r="M69" s="14" cm="1">
        <f t="array" ref="M69">INT(SUMPRODUCT(--ISNUMBER(SEARCH(supreme,C69)))&gt;0)</f>
        <v>0</v>
      </c>
      <c r="N69" s="14" cm="1">
        <f t="array" ref="N69">INT(SUMPRODUCT(--ISNUMBER(SEARCH(covid,C69)))&gt;0)</f>
        <v>0</v>
      </c>
      <c r="O69" s="14" cm="1">
        <f t="array" ref="O69">INT(SUMPRODUCT(--ISNUMBER(SEARCH(violent,C69)))&gt;0)</f>
        <v>0</v>
      </c>
      <c r="P69" s="14" cm="1">
        <f t="array" ref="P69">INT(SUMPRODUCT(--ISNUMBER(SEARCH(foreign,C69)))&gt;0)</f>
        <v>0</v>
      </c>
      <c r="Q69" s="14" cm="1">
        <f t="array" ref="Q69">INT(SUMPRODUCT(--ISNUMBER(SEARCH(gun,C69)))&gt;0)</f>
        <v>0</v>
      </c>
      <c r="R69" s="14" cm="1">
        <f t="array" ref="R69">INT(SUMPRODUCT(--ISNUMBER(SEARCH(race,C69)))&gt;0)</f>
        <v>0</v>
      </c>
      <c r="S69" s="14" cm="1">
        <f t="array" ref="S69">INT(SUMPRODUCT(--ISNUMBER(SEARCH(immigration,C69)))&gt;0)</f>
        <v>0</v>
      </c>
      <c r="T69" s="14" cm="1">
        <f t="array" ref="T69">INT(SUMPRODUCT(--ISNUMBER(SEARCH(econineq,C70)))&gt;0)</f>
        <v>0</v>
      </c>
      <c r="U69" s="14" cm="1">
        <f t="array" ref="U69">INT(SUMPRODUCT(--ISNUMBER(SEARCH(climate,C69)))&gt;0)</f>
        <v>0</v>
      </c>
      <c r="V69" s="14" cm="1">
        <f t="array" ref="V69">INT(SUMPRODUCT(--ISNUMBER(SEARCH(abortion,C69)))&gt;0)</f>
        <v>0</v>
      </c>
      <c r="W69" s="14" cm="1">
        <f t="array" ref="W69">INT(SUMPRODUCT(--ISNUMBER(SEARCH(trump,C69)))&gt;0)</f>
        <v>0</v>
      </c>
      <c r="X69" s="14" cm="1">
        <f t="array" ref="X69">INT(SUMPRODUCT(--ISNUMBER(SEARCH(voting,C69)))&gt;0)</f>
        <v>1</v>
      </c>
      <c r="Y69" s="14" cm="1">
        <f t="array" ref="Y69">INT(SUMPRODUCT(--ISNUMBER(SEARCH(republicantrigger,C69)))&gt;0)</f>
        <v>1</v>
      </c>
      <c r="Z69" s="14" cm="1">
        <f t="array" ref="Z69">INT(SUMPRODUCT(--ISNUMBER(SEARCH(bipartisan,C69)))&gt;0)</f>
        <v>0</v>
      </c>
      <c r="AA69" s="14">
        <f t="shared" si="1"/>
        <v>0</v>
      </c>
      <c r="AB69" s="14"/>
      <c r="AC69" s="30" t="s">
        <v>223</v>
      </c>
      <c r="AD69" s="37" t="s">
        <v>223</v>
      </c>
    </row>
    <row r="70" spans="1:30" x14ac:dyDescent="0.25">
      <c r="A70" s="36">
        <v>835</v>
      </c>
      <c r="B70" s="14" t="s">
        <v>1697</v>
      </c>
      <c r="C70" s="14" t="s">
        <v>1698</v>
      </c>
      <c r="D70" s="17">
        <v>44129</v>
      </c>
      <c r="E70" s="14" t="s">
        <v>30</v>
      </c>
      <c r="F70" s="14">
        <v>279</v>
      </c>
      <c r="G70" s="14">
        <v>106</v>
      </c>
      <c r="H70" s="14">
        <v>5</v>
      </c>
      <c r="I70" s="14">
        <v>3</v>
      </c>
      <c r="J70" s="14" t="s">
        <v>31</v>
      </c>
      <c r="K70" s="14" cm="1">
        <f t="array" ref="K70">INT(SUMPRODUCT(--ISNUMBER(SEARCH(economy,C70)))&gt;0)</f>
        <v>0</v>
      </c>
      <c r="L70" s="14" cm="1">
        <f t="array" ref="L70">INT(SUMPRODUCT(--ISNUMBER(SEARCH(healthcare,C70)))&gt;0)</f>
        <v>0</v>
      </c>
      <c r="M70" s="14" cm="1">
        <f t="array" ref="M70">INT(SUMPRODUCT(--ISNUMBER(SEARCH(supreme,C70)))&gt;0)</f>
        <v>0</v>
      </c>
      <c r="N70" s="14" cm="1">
        <f t="array" ref="N70">INT(SUMPRODUCT(--ISNUMBER(SEARCH(covid,C70)))&gt;0)</f>
        <v>0</v>
      </c>
      <c r="O70" s="14" cm="1">
        <f t="array" ref="O70">INT(SUMPRODUCT(--ISNUMBER(SEARCH(violent,C70)))&gt;0)</f>
        <v>0</v>
      </c>
      <c r="P70" s="14" cm="1">
        <f t="array" ref="P70">INT(SUMPRODUCT(--ISNUMBER(SEARCH(foreign,C70)))&gt;0)</f>
        <v>0</v>
      </c>
      <c r="Q70" s="14" cm="1">
        <f t="array" ref="Q70">INT(SUMPRODUCT(--ISNUMBER(SEARCH(gun,C70)))&gt;0)</f>
        <v>0</v>
      </c>
      <c r="R70" s="14" cm="1">
        <f t="array" ref="R70">INT(SUMPRODUCT(--ISNUMBER(SEARCH(race,C70)))&gt;0)</f>
        <v>0</v>
      </c>
      <c r="S70" s="14" cm="1">
        <f t="array" ref="S70">INT(SUMPRODUCT(--ISNUMBER(SEARCH(immigration,C70)))&gt;0)</f>
        <v>0</v>
      </c>
      <c r="T70" s="14" cm="1">
        <f t="array" ref="T70">INT(SUMPRODUCT(--ISNUMBER(SEARCH(econineq,C71)))&gt;0)</f>
        <v>0</v>
      </c>
      <c r="U70" s="14" cm="1">
        <f t="array" ref="U70">INT(SUMPRODUCT(--ISNUMBER(SEARCH(climate,C70)))&gt;0)</f>
        <v>0</v>
      </c>
      <c r="V70" s="14" cm="1">
        <f t="array" ref="V70">INT(SUMPRODUCT(--ISNUMBER(SEARCH(abortion,C70)))&gt;0)</f>
        <v>0</v>
      </c>
      <c r="W70" s="14" cm="1">
        <f t="array" ref="W70">INT(SUMPRODUCT(--ISNUMBER(SEARCH(trump,C70)))&gt;0)</f>
        <v>0</v>
      </c>
      <c r="X70" s="14" cm="1">
        <f t="array" ref="X70">INT(SUMPRODUCT(--ISNUMBER(SEARCH(voting,C70)))&gt;0)</f>
        <v>1</v>
      </c>
      <c r="Y70" s="14" cm="1">
        <f t="array" ref="Y70">INT(SUMPRODUCT(--ISNUMBER(SEARCH(republicantrigger,C70)))&gt;0)</f>
        <v>1</v>
      </c>
      <c r="Z70" s="14" cm="1">
        <f t="array" ref="Z70">INT(SUMPRODUCT(--ISNUMBER(SEARCH(bipartisan,C70)))&gt;0)</f>
        <v>0</v>
      </c>
      <c r="AA70" s="14">
        <f t="shared" si="1"/>
        <v>0</v>
      </c>
      <c r="AB70" s="14"/>
      <c r="AC70" s="30">
        <v>0</v>
      </c>
      <c r="AD70" s="37">
        <v>1</v>
      </c>
    </row>
    <row r="71" spans="1:30" x14ac:dyDescent="0.25">
      <c r="A71" s="36">
        <v>836</v>
      </c>
      <c r="B71" s="14" t="s">
        <v>1699</v>
      </c>
      <c r="C71" s="14" t="s">
        <v>1700</v>
      </c>
      <c r="D71" s="17">
        <v>44128</v>
      </c>
      <c r="E71" s="14" t="s">
        <v>30</v>
      </c>
      <c r="F71" s="14">
        <v>72</v>
      </c>
      <c r="G71" s="14">
        <v>14</v>
      </c>
      <c r="H71" s="14">
        <v>5</v>
      </c>
      <c r="I71" s="14">
        <v>3</v>
      </c>
      <c r="J71" s="14" t="s">
        <v>31</v>
      </c>
      <c r="K71" s="14" cm="1">
        <f t="array" ref="K71">INT(SUMPRODUCT(--ISNUMBER(SEARCH(economy,C71)))&gt;0)</f>
        <v>0</v>
      </c>
      <c r="L71" s="14" cm="1">
        <f t="array" ref="L71">INT(SUMPRODUCT(--ISNUMBER(SEARCH(healthcare,C71)))&gt;0)</f>
        <v>0</v>
      </c>
      <c r="M71" s="14" cm="1">
        <f t="array" ref="M71">INT(SUMPRODUCT(--ISNUMBER(SEARCH(supreme,C71)))&gt;0)</f>
        <v>0</v>
      </c>
      <c r="N71" s="14" cm="1">
        <f t="array" ref="N71">INT(SUMPRODUCT(--ISNUMBER(SEARCH(covid,C71)))&gt;0)</f>
        <v>0</v>
      </c>
      <c r="O71" s="14" cm="1">
        <f t="array" ref="O71">INT(SUMPRODUCT(--ISNUMBER(SEARCH(violent,C71)))&gt;0)</f>
        <v>0</v>
      </c>
      <c r="P71" s="14" cm="1">
        <f t="array" ref="P71">INT(SUMPRODUCT(--ISNUMBER(SEARCH(foreign,C71)))&gt;0)</f>
        <v>0</v>
      </c>
      <c r="Q71" s="14" cm="1">
        <f t="array" ref="Q71">INT(SUMPRODUCT(--ISNUMBER(SEARCH(gun,C71)))&gt;0)</f>
        <v>1</v>
      </c>
      <c r="R71" s="14" cm="1">
        <f t="array" ref="R71">INT(SUMPRODUCT(--ISNUMBER(SEARCH(race,C71)))&gt;0)</f>
        <v>0</v>
      </c>
      <c r="S71" s="14" cm="1">
        <f t="array" ref="S71">INT(SUMPRODUCT(--ISNUMBER(SEARCH(immigration,C71)))&gt;0)</f>
        <v>0</v>
      </c>
      <c r="T71" s="14" cm="1">
        <f t="array" ref="T71">INT(SUMPRODUCT(--ISNUMBER(SEARCH(econineq,C72)))&gt;0)</f>
        <v>0</v>
      </c>
      <c r="U71" s="14" cm="1">
        <f t="array" ref="U71">INT(SUMPRODUCT(--ISNUMBER(SEARCH(climate,C71)))&gt;0)</f>
        <v>0</v>
      </c>
      <c r="V71" s="14" cm="1">
        <f t="array" ref="V71">INT(SUMPRODUCT(--ISNUMBER(SEARCH(abortion,C71)))&gt;0)</f>
        <v>0</v>
      </c>
      <c r="W71" s="14" cm="1">
        <f t="array" ref="W71">INT(SUMPRODUCT(--ISNUMBER(SEARCH(trump,C71)))&gt;0)</f>
        <v>0</v>
      </c>
      <c r="X71" s="14" cm="1">
        <f t="array" ref="X71">INT(SUMPRODUCT(--ISNUMBER(SEARCH(voting,C71)))&gt;0)</f>
        <v>0</v>
      </c>
      <c r="Y71" s="14" cm="1">
        <f t="array" ref="Y71">INT(SUMPRODUCT(--ISNUMBER(SEARCH(republicantrigger,C71)))&gt;0)</f>
        <v>0</v>
      </c>
      <c r="Z71" s="14" cm="1">
        <f t="array" ref="Z71">INT(SUMPRODUCT(--ISNUMBER(SEARCH(bipartisan,C71)))&gt;0)</f>
        <v>0</v>
      </c>
      <c r="AA71" s="14">
        <f t="shared" si="1"/>
        <v>0</v>
      </c>
      <c r="AB71" s="14"/>
      <c r="AC71" s="30">
        <v>0</v>
      </c>
      <c r="AD71" s="37">
        <v>1</v>
      </c>
    </row>
    <row r="72" spans="1:30" x14ac:dyDescent="0.25">
      <c r="A72" s="36">
        <v>837</v>
      </c>
      <c r="B72" s="14" t="s">
        <v>1701</v>
      </c>
      <c r="C72" s="14" t="s">
        <v>1702</v>
      </c>
      <c r="D72" s="17">
        <v>44128</v>
      </c>
      <c r="E72" s="14" t="s">
        <v>30</v>
      </c>
      <c r="F72" s="14">
        <v>85</v>
      </c>
      <c r="G72" s="14">
        <v>22</v>
      </c>
      <c r="H72" s="14">
        <v>5</v>
      </c>
      <c r="I72" s="14">
        <v>3</v>
      </c>
      <c r="J72" s="14" t="s">
        <v>31</v>
      </c>
      <c r="K72" s="14" cm="1">
        <f t="array" ref="K72">INT(SUMPRODUCT(--ISNUMBER(SEARCH(economy,C72)))&gt;0)</f>
        <v>0</v>
      </c>
      <c r="L72" s="14" cm="1">
        <f t="array" ref="L72">INT(SUMPRODUCT(--ISNUMBER(SEARCH(healthcare,C72)))&gt;0)</f>
        <v>0</v>
      </c>
      <c r="M72" s="14" cm="1">
        <f t="array" ref="M72">INT(SUMPRODUCT(--ISNUMBER(SEARCH(supreme,C72)))&gt;0)</f>
        <v>0</v>
      </c>
      <c r="N72" s="14" cm="1">
        <f t="array" ref="N72">INT(SUMPRODUCT(--ISNUMBER(SEARCH(covid,C72)))&gt;0)</f>
        <v>0</v>
      </c>
      <c r="O72" s="14" cm="1">
        <f t="array" ref="O72">INT(SUMPRODUCT(--ISNUMBER(SEARCH(violent,C72)))&gt;0)</f>
        <v>0</v>
      </c>
      <c r="P72" s="14" cm="1">
        <f t="array" ref="P72">INT(SUMPRODUCT(--ISNUMBER(SEARCH(foreign,C72)))&gt;0)</f>
        <v>0</v>
      </c>
      <c r="Q72" s="14" cm="1">
        <f t="array" ref="Q72">INT(SUMPRODUCT(--ISNUMBER(SEARCH(gun,C72)))&gt;0)</f>
        <v>0</v>
      </c>
      <c r="R72" s="14" cm="1">
        <f t="array" ref="R72">INT(SUMPRODUCT(--ISNUMBER(SEARCH(race,C72)))&gt;0)</f>
        <v>0</v>
      </c>
      <c r="S72" s="14" cm="1">
        <f t="array" ref="S72">INT(SUMPRODUCT(--ISNUMBER(SEARCH(immigration,C72)))&gt;0)</f>
        <v>0</v>
      </c>
      <c r="T72" s="14" cm="1">
        <f t="array" ref="T72">INT(SUMPRODUCT(--ISNUMBER(SEARCH(econineq,C73)))&gt;0)</f>
        <v>0</v>
      </c>
      <c r="U72" s="14" cm="1">
        <f t="array" ref="U72">INT(SUMPRODUCT(--ISNUMBER(SEARCH(climate,C72)))&gt;0)</f>
        <v>0</v>
      </c>
      <c r="V72" s="14" cm="1">
        <f t="array" ref="V72">INT(SUMPRODUCT(--ISNUMBER(SEARCH(abortion,C72)))&gt;0)</f>
        <v>0</v>
      </c>
      <c r="W72" s="14" cm="1">
        <f t="array" ref="W72">INT(SUMPRODUCT(--ISNUMBER(SEARCH(trump,C72)))&gt;0)</f>
        <v>0</v>
      </c>
      <c r="X72" s="14" cm="1">
        <f t="array" ref="X72">INT(SUMPRODUCT(--ISNUMBER(SEARCH(voting,C72)))&gt;0)</f>
        <v>0</v>
      </c>
      <c r="Y72" s="14" cm="1">
        <f t="array" ref="Y72">INT(SUMPRODUCT(--ISNUMBER(SEARCH(republicantrigger,C72)))&gt;0)</f>
        <v>1</v>
      </c>
      <c r="Z72" s="14" cm="1">
        <f t="array" ref="Z72">INT(SUMPRODUCT(--ISNUMBER(SEARCH(bipartisan,C72)))&gt;0)</f>
        <v>0</v>
      </c>
      <c r="AA72" s="14">
        <f t="shared" si="1"/>
        <v>0</v>
      </c>
      <c r="AB72" s="14"/>
      <c r="AC72" s="30">
        <v>0</v>
      </c>
      <c r="AD72" s="37">
        <v>1</v>
      </c>
    </row>
    <row r="73" spans="1:30" x14ac:dyDescent="0.25">
      <c r="A73" s="36">
        <v>838</v>
      </c>
      <c r="B73" s="14" t="s">
        <v>1703</v>
      </c>
      <c r="C73" s="14" t="s">
        <v>1704</v>
      </c>
      <c r="D73" s="17">
        <v>44128</v>
      </c>
      <c r="E73" s="14" t="s">
        <v>30</v>
      </c>
      <c r="F73" s="14">
        <v>175</v>
      </c>
      <c r="G73" s="14">
        <v>65</v>
      </c>
      <c r="H73" s="14">
        <v>5</v>
      </c>
      <c r="I73" s="14">
        <v>3</v>
      </c>
      <c r="J73" s="14" t="s">
        <v>31</v>
      </c>
      <c r="K73" s="14" cm="1">
        <f t="array" ref="K73">INT(SUMPRODUCT(--ISNUMBER(SEARCH(economy,C73)))&gt;0)</f>
        <v>1</v>
      </c>
      <c r="L73" s="14" cm="1">
        <f t="array" ref="L73">INT(SUMPRODUCT(--ISNUMBER(SEARCH(healthcare,C73)))&gt;0)</f>
        <v>0</v>
      </c>
      <c r="M73" s="14" cm="1">
        <f t="array" ref="M73">INT(SUMPRODUCT(--ISNUMBER(SEARCH(supreme,C73)))&gt;0)</f>
        <v>0</v>
      </c>
      <c r="N73" s="14" cm="1">
        <f t="array" ref="N73">INT(SUMPRODUCT(--ISNUMBER(SEARCH(covid,C73)))&gt;0)</f>
        <v>0</v>
      </c>
      <c r="O73" s="14" cm="1">
        <f t="array" ref="O73">INT(SUMPRODUCT(--ISNUMBER(SEARCH(violent,C73)))&gt;0)</f>
        <v>0</v>
      </c>
      <c r="P73" s="14" cm="1">
        <f t="array" ref="P73">INT(SUMPRODUCT(--ISNUMBER(SEARCH(foreign,C73)))&gt;0)</f>
        <v>0</v>
      </c>
      <c r="Q73" s="14" cm="1">
        <f t="array" ref="Q73">INT(SUMPRODUCT(--ISNUMBER(SEARCH(gun,C73)))&gt;0)</f>
        <v>0</v>
      </c>
      <c r="R73" s="14" cm="1">
        <f t="array" ref="R73">INT(SUMPRODUCT(--ISNUMBER(SEARCH(race,C73)))&gt;0)</f>
        <v>0</v>
      </c>
      <c r="S73" s="14" cm="1">
        <f t="array" ref="S73">INT(SUMPRODUCT(--ISNUMBER(SEARCH(immigration,C73)))&gt;0)</f>
        <v>0</v>
      </c>
      <c r="T73" s="14" cm="1">
        <f t="array" ref="T73">INT(SUMPRODUCT(--ISNUMBER(SEARCH(econineq,C74)))&gt;0)</f>
        <v>0</v>
      </c>
      <c r="U73" s="14" cm="1">
        <f t="array" ref="U73">INT(SUMPRODUCT(--ISNUMBER(SEARCH(climate,C73)))&gt;0)</f>
        <v>0</v>
      </c>
      <c r="V73" s="14" cm="1">
        <f t="array" ref="V73">INT(SUMPRODUCT(--ISNUMBER(SEARCH(abortion,C73)))&gt;0)</f>
        <v>0</v>
      </c>
      <c r="W73" s="14" cm="1">
        <f t="array" ref="W73">INT(SUMPRODUCT(--ISNUMBER(SEARCH(trump,C73)))&gt;0)</f>
        <v>0</v>
      </c>
      <c r="X73" s="14" cm="1">
        <f t="array" ref="X73">INT(SUMPRODUCT(--ISNUMBER(SEARCH(voting,C73)))&gt;0)</f>
        <v>0</v>
      </c>
      <c r="Y73" s="14" cm="1">
        <f t="array" ref="Y73">INT(SUMPRODUCT(--ISNUMBER(SEARCH(republicantrigger,C73)))&gt;0)</f>
        <v>1</v>
      </c>
      <c r="Z73" s="14" cm="1">
        <f t="array" ref="Z73">INT(SUMPRODUCT(--ISNUMBER(SEARCH(bipartisan,C73)))&gt;0)</f>
        <v>0</v>
      </c>
      <c r="AA73" s="14">
        <f t="shared" si="1"/>
        <v>0</v>
      </c>
      <c r="AB73" s="14"/>
      <c r="AC73" s="30">
        <v>1</v>
      </c>
      <c r="AD73" s="37">
        <v>0</v>
      </c>
    </row>
    <row r="74" spans="1:30" x14ac:dyDescent="0.25">
      <c r="A74" s="36">
        <v>839</v>
      </c>
      <c r="B74" s="14" t="s">
        <v>1705</v>
      </c>
      <c r="C74" s="14" t="s">
        <v>1706</v>
      </c>
      <c r="D74" s="17">
        <v>44128</v>
      </c>
      <c r="E74" s="14" t="s">
        <v>30</v>
      </c>
      <c r="F74" s="14">
        <v>64</v>
      </c>
      <c r="G74" s="14">
        <v>14</v>
      </c>
      <c r="H74" s="14">
        <v>5</v>
      </c>
      <c r="I74" s="14">
        <v>3</v>
      </c>
      <c r="J74" s="14" t="s">
        <v>31</v>
      </c>
      <c r="K74" s="14" cm="1">
        <f t="array" ref="K74">INT(SUMPRODUCT(--ISNUMBER(SEARCH(economy,C74)))&gt;0)</f>
        <v>0</v>
      </c>
      <c r="L74" s="14" cm="1">
        <f t="array" ref="L74">INT(SUMPRODUCT(--ISNUMBER(SEARCH(healthcare,C74)))&gt;0)</f>
        <v>0</v>
      </c>
      <c r="M74" s="14" cm="1">
        <f t="array" ref="M74">INT(SUMPRODUCT(--ISNUMBER(SEARCH(supreme,C74)))&gt;0)</f>
        <v>0</v>
      </c>
      <c r="N74" s="14" cm="1">
        <f t="array" ref="N74">INT(SUMPRODUCT(--ISNUMBER(SEARCH(covid,C74)))&gt;0)</f>
        <v>0</v>
      </c>
      <c r="O74" s="14" cm="1">
        <f t="array" ref="O74">INT(SUMPRODUCT(--ISNUMBER(SEARCH(violent,C74)))&gt;0)</f>
        <v>0</v>
      </c>
      <c r="P74" s="14" cm="1">
        <f t="array" ref="P74">INT(SUMPRODUCT(--ISNUMBER(SEARCH(foreign,C74)))&gt;0)</f>
        <v>0</v>
      </c>
      <c r="Q74" s="14" cm="1">
        <f t="array" ref="Q74">INT(SUMPRODUCT(--ISNUMBER(SEARCH(gun,C74)))&gt;0)</f>
        <v>0</v>
      </c>
      <c r="R74" s="14" cm="1">
        <f t="array" ref="R74">INT(SUMPRODUCT(--ISNUMBER(SEARCH(race,C74)))&gt;0)</f>
        <v>0</v>
      </c>
      <c r="S74" s="14" cm="1">
        <f t="array" ref="S74">INT(SUMPRODUCT(--ISNUMBER(SEARCH(immigration,C74)))&gt;0)</f>
        <v>0</v>
      </c>
      <c r="T74" s="14" cm="1">
        <f t="array" ref="T74">INT(SUMPRODUCT(--ISNUMBER(SEARCH(econineq,C75)))&gt;0)</f>
        <v>0</v>
      </c>
      <c r="U74" s="14" cm="1">
        <f t="array" ref="U74">INT(SUMPRODUCT(--ISNUMBER(SEARCH(climate,C74)))&gt;0)</f>
        <v>0</v>
      </c>
      <c r="V74" s="14" cm="1">
        <f t="array" ref="V74">INT(SUMPRODUCT(--ISNUMBER(SEARCH(abortion,C74)))&gt;0)</f>
        <v>0</v>
      </c>
      <c r="W74" s="14" cm="1">
        <f t="array" ref="W74">INT(SUMPRODUCT(--ISNUMBER(SEARCH(trump,C74)))&gt;0)</f>
        <v>0</v>
      </c>
      <c r="X74" s="14" cm="1">
        <f t="array" ref="X74">INT(SUMPRODUCT(--ISNUMBER(SEARCH(voting,C74)))&gt;0)</f>
        <v>1</v>
      </c>
      <c r="Y74" s="14" cm="1">
        <f t="array" ref="Y74">INT(SUMPRODUCT(--ISNUMBER(SEARCH(republicantrigger,C74)))&gt;0)</f>
        <v>0</v>
      </c>
      <c r="Z74" s="14" cm="1">
        <f t="array" ref="Z74">INT(SUMPRODUCT(--ISNUMBER(SEARCH(bipartisan,C74)))&gt;0)</f>
        <v>0</v>
      </c>
      <c r="AA74" s="14">
        <f t="shared" si="1"/>
        <v>0</v>
      </c>
      <c r="AB74" s="14"/>
      <c r="AC74" s="30" t="s">
        <v>223</v>
      </c>
      <c r="AD74" s="37" t="s">
        <v>223</v>
      </c>
    </row>
    <row r="75" spans="1:30" x14ac:dyDescent="0.25">
      <c r="A75" s="36">
        <v>840</v>
      </c>
      <c r="B75" s="14" t="s">
        <v>1707</v>
      </c>
      <c r="C75" s="14" t="s">
        <v>1708</v>
      </c>
      <c r="D75" s="17">
        <v>44127</v>
      </c>
      <c r="E75" s="14" t="s">
        <v>30</v>
      </c>
      <c r="F75" s="14">
        <v>229</v>
      </c>
      <c r="G75" s="14">
        <v>83</v>
      </c>
      <c r="H75" s="14">
        <v>5</v>
      </c>
      <c r="I75" s="14">
        <v>3</v>
      </c>
      <c r="J75" s="14" t="s">
        <v>31</v>
      </c>
      <c r="K75" s="14" cm="1">
        <f t="array" ref="K75">INT(SUMPRODUCT(--ISNUMBER(SEARCH(economy,C75)))&gt;0)</f>
        <v>1</v>
      </c>
      <c r="L75" s="14" cm="1">
        <f t="array" ref="L75">INT(SUMPRODUCT(--ISNUMBER(SEARCH(healthcare,C75)))&gt;0)</f>
        <v>0</v>
      </c>
      <c r="M75" s="14" cm="1">
        <f t="array" ref="M75">INT(SUMPRODUCT(--ISNUMBER(SEARCH(supreme,C75)))&gt;0)</f>
        <v>0</v>
      </c>
      <c r="N75" s="14" cm="1">
        <f t="array" ref="N75">INT(SUMPRODUCT(--ISNUMBER(SEARCH(covid,C75)))&gt;0)</f>
        <v>0</v>
      </c>
      <c r="O75" s="14" cm="1">
        <f t="array" ref="O75">INT(SUMPRODUCT(--ISNUMBER(SEARCH(violent,C75)))&gt;0)</f>
        <v>0</v>
      </c>
      <c r="P75" s="14" cm="1">
        <f t="array" ref="P75">INT(SUMPRODUCT(--ISNUMBER(SEARCH(foreign,C75)))&gt;0)</f>
        <v>0</v>
      </c>
      <c r="Q75" s="14" cm="1">
        <f t="array" ref="Q75">INT(SUMPRODUCT(--ISNUMBER(SEARCH(gun,C75)))&gt;0)</f>
        <v>0</v>
      </c>
      <c r="R75" s="14" cm="1">
        <f t="array" ref="R75">INT(SUMPRODUCT(--ISNUMBER(SEARCH(race,C75)))&gt;0)</f>
        <v>0</v>
      </c>
      <c r="S75" s="14" cm="1">
        <f t="array" ref="S75">INT(SUMPRODUCT(--ISNUMBER(SEARCH(immigration,C75)))&gt;0)</f>
        <v>0</v>
      </c>
      <c r="T75" s="14" cm="1">
        <f t="array" ref="T75">INT(SUMPRODUCT(--ISNUMBER(SEARCH(econineq,C76)))&gt;0)</f>
        <v>0</v>
      </c>
      <c r="U75" s="14" cm="1">
        <f t="array" ref="U75">INT(SUMPRODUCT(--ISNUMBER(SEARCH(climate,C75)))&gt;0)</f>
        <v>0</v>
      </c>
      <c r="V75" s="14" cm="1">
        <f t="array" ref="V75">INT(SUMPRODUCT(--ISNUMBER(SEARCH(abortion,C75)))&gt;0)</f>
        <v>0</v>
      </c>
      <c r="W75" s="14" cm="1">
        <f t="array" ref="W75">INT(SUMPRODUCT(--ISNUMBER(SEARCH(trump,C75)))&gt;0)</f>
        <v>0</v>
      </c>
      <c r="X75" s="14" cm="1">
        <f t="array" ref="X75">INT(SUMPRODUCT(--ISNUMBER(SEARCH(voting,C75)))&gt;0)</f>
        <v>0</v>
      </c>
      <c r="Y75" s="14" cm="1">
        <f t="array" ref="Y75">INT(SUMPRODUCT(--ISNUMBER(SEARCH(republicantrigger,C75)))&gt;0)</f>
        <v>1</v>
      </c>
      <c r="Z75" s="14" cm="1">
        <f t="array" ref="Z75">INT(SUMPRODUCT(--ISNUMBER(SEARCH(bipartisan,C75)))&gt;0)</f>
        <v>0</v>
      </c>
      <c r="AA75" s="14">
        <f t="shared" si="1"/>
        <v>0</v>
      </c>
      <c r="AB75" s="14"/>
      <c r="AC75" s="30" t="s">
        <v>223</v>
      </c>
      <c r="AD75" s="37" t="s">
        <v>223</v>
      </c>
    </row>
    <row r="76" spans="1:30" x14ac:dyDescent="0.25">
      <c r="A76" s="36">
        <v>841</v>
      </c>
      <c r="B76" s="14" t="s">
        <v>1709</v>
      </c>
      <c r="C76" s="14" t="s">
        <v>1710</v>
      </c>
      <c r="D76" s="17">
        <v>44127</v>
      </c>
      <c r="E76" s="14" t="s">
        <v>30</v>
      </c>
      <c r="F76" s="14">
        <v>63</v>
      </c>
      <c r="G76" s="14">
        <v>18</v>
      </c>
      <c r="H76" s="14">
        <v>5</v>
      </c>
      <c r="I76" s="14">
        <v>3</v>
      </c>
      <c r="J76" s="14" t="s">
        <v>31</v>
      </c>
      <c r="K76" s="14" cm="1">
        <f t="array" ref="K76">INT(SUMPRODUCT(--ISNUMBER(SEARCH(economy,C76)))&gt;0)</f>
        <v>0</v>
      </c>
      <c r="L76" s="14" cm="1">
        <f t="array" ref="L76">INT(SUMPRODUCT(--ISNUMBER(SEARCH(healthcare,C76)))&gt;0)</f>
        <v>0</v>
      </c>
      <c r="M76" s="14" cm="1">
        <f t="array" ref="M76">INT(SUMPRODUCT(--ISNUMBER(SEARCH(supreme,C76)))&gt;0)</f>
        <v>0</v>
      </c>
      <c r="N76" s="14" cm="1">
        <f t="array" ref="N76">INT(SUMPRODUCT(--ISNUMBER(SEARCH(covid,C76)))&gt;0)</f>
        <v>0</v>
      </c>
      <c r="O76" s="14" cm="1">
        <f t="array" ref="O76">INT(SUMPRODUCT(--ISNUMBER(SEARCH(violent,C76)))&gt;0)</f>
        <v>0</v>
      </c>
      <c r="P76" s="14" cm="1">
        <f t="array" ref="P76">INT(SUMPRODUCT(--ISNUMBER(SEARCH(foreign,C76)))&gt;0)</f>
        <v>0</v>
      </c>
      <c r="Q76" s="14" cm="1">
        <f t="array" ref="Q76">INT(SUMPRODUCT(--ISNUMBER(SEARCH(gun,C76)))&gt;0)</f>
        <v>0</v>
      </c>
      <c r="R76" s="14" cm="1">
        <f t="array" ref="R76">INT(SUMPRODUCT(--ISNUMBER(SEARCH(race,C76)))&gt;0)</f>
        <v>0</v>
      </c>
      <c r="S76" s="14" cm="1">
        <f t="array" ref="S76">INT(SUMPRODUCT(--ISNUMBER(SEARCH(immigration,C76)))&gt;0)</f>
        <v>0</v>
      </c>
      <c r="T76" s="14" cm="1">
        <f t="array" ref="T76">INT(SUMPRODUCT(--ISNUMBER(SEARCH(econineq,C77)))&gt;0)</f>
        <v>0</v>
      </c>
      <c r="U76" s="14" cm="1">
        <f t="array" ref="U76">INT(SUMPRODUCT(--ISNUMBER(SEARCH(climate,C76)))&gt;0)</f>
        <v>0</v>
      </c>
      <c r="V76" s="14" cm="1">
        <f t="array" ref="V76">INT(SUMPRODUCT(--ISNUMBER(SEARCH(abortion,C76)))&gt;0)</f>
        <v>0</v>
      </c>
      <c r="W76" s="14" cm="1">
        <f t="array" ref="W76">INT(SUMPRODUCT(--ISNUMBER(SEARCH(trump,C76)))&gt;0)</f>
        <v>0</v>
      </c>
      <c r="X76" s="14" cm="1">
        <f t="array" ref="X76">INT(SUMPRODUCT(--ISNUMBER(SEARCH(voting,C76)))&gt;0)</f>
        <v>1</v>
      </c>
      <c r="Y76" s="14" cm="1">
        <f t="array" ref="Y76">INT(SUMPRODUCT(--ISNUMBER(SEARCH(republicantrigger,C76)))&gt;0)</f>
        <v>0</v>
      </c>
      <c r="Z76" s="14" cm="1">
        <f t="array" ref="Z76">INT(SUMPRODUCT(--ISNUMBER(SEARCH(bipartisan,C76)))&gt;0)</f>
        <v>0</v>
      </c>
      <c r="AA76" s="14">
        <f t="shared" si="1"/>
        <v>0</v>
      </c>
      <c r="AB76" s="14"/>
      <c r="AC76" s="30">
        <v>1</v>
      </c>
      <c r="AD76" s="37">
        <v>0</v>
      </c>
    </row>
    <row r="77" spans="1:30" x14ac:dyDescent="0.25">
      <c r="A77" s="36">
        <v>842</v>
      </c>
      <c r="B77" s="14" t="s">
        <v>1711</v>
      </c>
      <c r="C77" s="14" t="s">
        <v>1712</v>
      </c>
      <c r="D77" s="17">
        <v>44127</v>
      </c>
      <c r="E77" s="14" t="s">
        <v>30</v>
      </c>
      <c r="F77" s="14">
        <v>300</v>
      </c>
      <c r="G77" s="14">
        <v>135</v>
      </c>
      <c r="H77" s="14">
        <v>5</v>
      </c>
      <c r="I77" s="14">
        <v>3</v>
      </c>
      <c r="J77" s="14" t="s">
        <v>31</v>
      </c>
      <c r="K77" s="14" cm="1">
        <f t="array" ref="K77">INT(SUMPRODUCT(--ISNUMBER(SEARCH(economy,C77)))&gt;0)</f>
        <v>0</v>
      </c>
      <c r="L77" s="14" cm="1">
        <f t="array" ref="L77">INT(SUMPRODUCT(--ISNUMBER(SEARCH(healthcare,C77)))&gt;0)</f>
        <v>0</v>
      </c>
      <c r="M77" s="14" cm="1">
        <f t="array" ref="M77">INT(SUMPRODUCT(--ISNUMBER(SEARCH(supreme,C77)))&gt;0)</f>
        <v>0</v>
      </c>
      <c r="N77" s="14" cm="1">
        <f t="array" ref="N77">INT(SUMPRODUCT(--ISNUMBER(SEARCH(covid,C77)))&gt;0)</f>
        <v>0</v>
      </c>
      <c r="O77" s="14" cm="1">
        <f t="array" ref="O77">INT(SUMPRODUCT(--ISNUMBER(SEARCH(violent,C77)))&gt;0)</f>
        <v>0</v>
      </c>
      <c r="P77" s="14" cm="1">
        <f t="array" ref="P77">INT(SUMPRODUCT(--ISNUMBER(SEARCH(foreign,C77)))&gt;0)</f>
        <v>0</v>
      </c>
      <c r="Q77" s="14" cm="1">
        <f t="array" ref="Q77">INT(SUMPRODUCT(--ISNUMBER(SEARCH(gun,C77)))&gt;0)</f>
        <v>0</v>
      </c>
      <c r="R77" s="14" cm="1">
        <f t="array" ref="R77">INT(SUMPRODUCT(--ISNUMBER(SEARCH(race,C77)))&gt;0)</f>
        <v>1</v>
      </c>
      <c r="S77" s="14" cm="1">
        <f t="array" ref="S77">INT(SUMPRODUCT(--ISNUMBER(SEARCH(immigration,C77)))&gt;0)</f>
        <v>0</v>
      </c>
      <c r="T77" s="14" cm="1">
        <f t="array" ref="T77">INT(SUMPRODUCT(--ISNUMBER(SEARCH(econineq,C78)))&gt;0)</f>
        <v>0</v>
      </c>
      <c r="U77" s="14" cm="1">
        <f t="array" ref="U77">INT(SUMPRODUCT(--ISNUMBER(SEARCH(climate,C77)))&gt;0)</f>
        <v>0</v>
      </c>
      <c r="V77" s="14" cm="1">
        <f t="array" ref="V77">INT(SUMPRODUCT(--ISNUMBER(SEARCH(abortion,C77)))&gt;0)</f>
        <v>0</v>
      </c>
      <c r="W77" s="14" cm="1">
        <f t="array" ref="W77">INT(SUMPRODUCT(--ISNUMBER(SEARCH(trump,C77)))&gt;0)</f>
        <v>0</v>
      </c>
      <c r="X77" s="14" cm="1">
        <f t="array" ref="X77">INT(SUMPRODUCT(--ISNUMBER(SEARCH(voting,C77)))&gt;0)</f>
        <v>0</v>
      </c>
      <c r="Y77" s="14" cm="1">
        <f t="array" ref="Y77">INT(SUMPRODUCT(--ISNUMBER(SEARCH(republicantrigger,C77)))&gt;0)</f>
        <v>1</v>
      </c>
      <c r="Z77" s="14" cm="1">
        <f t="array" ref="Z77">INT(SUMPRODUCT(--ISNUMBER(SEARCH(bipartisan,C77)))&gt;0)</f>
        <v>0</v>
      </c>
      <c r="AA77" s="14">
        <f t="shared" si="1"/>
        <v>0</v>
      </c>
      <c r="AB77" s="14"/>
      <c r="AC77" s="30">
        <v>0</v>
      </c>
      <c r="AD77" s="37">
        <v>1</v>
      </c>
    </row>
    <row r="78" spans="1:30" x14ac:dyDescent="0.25">
      <c r="A78" s="36">
        <v>843</v>
      </c>
      <c r="B78" s="14" t="s">
        <v>1713</v>
      </c>
      <c r="C78" s="14" t="s">
        <v>1714</v>
      </c>
      <c r="D78" s="17">
        <v>44127</v>
      </c>
      <c r="E78" s="14" t="s">
        <v>30</v>
      </c>
      <c r="F78" s="14">
        <v>185</v>
      </c>
      <c r="G78" s="14">
        <v>35</v>
      </c>
      <c r="H78" s="14">
        <v>5</v>
      </c>
      <c r="I78" s="14">
        <v>3</v>
      </c>
      <c r="J78" s="14" t="s">
        <v>31</v>
      </c>
      <c r="K78" s="14" cm="1">
        <f t="array" ref="K78">INT(SUMPRODUCT(--ISNUMBER(SEARCH(economy,C78)))&gt;0)</f>
        <v>0</v>
      </c>
      <c r="L78" s="14" cm="1">
        <f t="array" ref="L78">INT(SUMPRODUCT(--ISNUMBER(SEARCH(healthcare,C78)))&gt;0)</f>
        <v>0</v>
      </c>
      <c r="M78" s="14" cm="1">
        <f t="array" ref="M78">INT(SUMPRODUCT(--ISNUMBER(SEARCH(supreme,C78)))&gt;0)</f>
        <v>0</v>
      </c>
      <c r="N78" s="14" cm="1">
        <f t="array" ref="N78">INT(SUMPRODUCT(--ISNUMBER(SEARCH(covid,C78)))&gt;0)</f>
        <v>0</v>
      </c>
      <c r="O78" s="14" cm="1">
        <f t="array" ref="O78">INT(SUMPRODUCT(--ISNUMBER(SEARCH(violent,C78)))&gt;0)</f>
        <v>0</v>
      </c>
      <c r="P78" s="14" cm="1">
        <f t="array" ref="P78">INT(SUMPRODUCT(--ISNUMBER(SEARCH(foreign,C78)))&gt;0)</f>
        <v>1</v>
      </c>
      <c r="Q78" s="14" cm="1">
        <f t="array" ref="Q78">INT(SUMPRODUCT(--ISNUMBER(SEARCH(gun,C78)))&gt;0)</f>
        <v>0</v>
      </c>
      <c r="R78" s="14" cm="1">
        <f t="array" ref="R78">INT(SUMPRODUCT(--ISNUMBER(SEARCH(race,C78)))&gt;0)</f>
        <v>0</v>
      </c>
      <c r="S78" s="14" cm="1">
        <f t="array" ref="S78">INT(SUMPRODUCT(--ISNUMBER(SEARCH(immigration,C78)))&gt;0)</f>
        <v>0</v>
      </c>
      <c r="T78" s="14" cm="1">
        <f t="array" ref="T78">INT(SUMPRODUCT(--ISNUMBER(SEARCH(econineq,C79)))&gt;0)</f>
        <v>0</v>
      </c>
      <c r="U78" s="14" cm="1">
        <f t="array" ref="U78">INT(SUMPRODUCT(--ISNUMBER(SEARCH(climate,C78)))&gt;0)</f>
        <v>0</v>
      </c>
      <c r="V78" s="14" cm="1">
        <f t="array" ref="V78">INT(SUMPRODUCT(--ISNUMBER(SEARCH(abortion,C78)))&gt;0)</f>
        <v>0</v>
      </c>
      <c r="W78" s="14" cm="1">
        <f t="array" ref="W78">INT(SUMPRODUCT(--ISNUMBER(SEARCH(trump,C78)))&gt;0)</f>
        <v>0</v>
      </c>
      <c r="X78" s="14" cm="1">
        <f t="array" ref="X78">INT(SUMPRODUCT(--ISNUMBER(SEARCH(voting,C78)))&gt;0)</f>
        <v>0</v>
      </c>
      <c r="Y78" s="14" cm="1">
        <f t="array" ref="Y78">INT(SUMPRODUCT(--ISNUMBER(SEARCH(republicantrigger,C78)))&gt;0)</f>
        <v>0</v>
      </c>
      <c r="Z78" s="14" cm="1">
        <f t="array" ref="Z78">INT(SUMPRODUCT(--ISNUMBER(SEARCH(bipartisan,C78)))&gt;0)</f>
        <v>0</v>
      </c>
      <c r="AA78" s="14">
        <f t="shared" si="1"/>
        <v>0</v>
      </c>
      <c r="AB78" s="14"/>
      <c r="AC78" s="30" t="s">
        <v>223</v>
      </c>
      <c r="AD78" s="37" t="s">
        <v>223</v>
      </c>
    </row>
    <row r="79" spans="1:30" x14ac:dyDescent="0.25">
      <c r="A79" s="36">
        <v>844</v>
      </c>
      <c r="B79" s="14" t="s">
        <v>1715</v>
      </c>
      <c r="C79" s="14" t="s">
        <v>1716</v>
      </c>
      <c r="D79" s="17">
        <v>44126</v>
      </c>
      <c r="E79" s="14" t="s">
        <v>30</v>
      </c>
      <c r="F79" s="14">
        <v>142</v>
      </c>
      <c r="G79" s="14">
        <v>34</v>
      </c>
      <c r="H79" s="14">
        <v>5</v>
      </c>
      <c r="I79" s="14">
        <v>3</v>
      </c>
      <c r="J79" s="14" t="s">
        <v>31</v>
      </c>
      <c r="K79" s="14" cm="1">
        <f t="array" ref="K79">INT(SUMPRODUCT(--ISNUMBER(SEARCH(economy,C79)))&gt;0)</f>
        <v>0</v>
      </c>
      <c r="L79" s="14" cm="1">
        <f t="array" ref="L79">INT(SUMPRODUCT(--ISNUMBER(SEARCH(healthcare,C79)))&gt;0)</f>
        <v>0</v>
      </c>
      <c r="M79" s="14" cm="1">
        <f t="array" ref="M79">INT(SUMPRODUCT(--ISNUMBER(SEARCH(supreme,C79)))&gt;0)</f>
        <v>0</v>
      </c>
      <c r="N79" s="14" cm="1">
        <f t="array" ref="N79">INT(SUMPRODUCT(--ISNUMBER(SEARCH(covid,C79)))&gt;0)</f>
        <v>1</v>
      </c>
      <c r="O79" s="14" cm="1">
        <f t="array" ref="O79">INT(SUMPRODUCT(--ISNUMBER(SEARCH(violent,C79)))&gt;0)</f>
        <v>0</v>
      </c>
      <c r="P79" s="14" cm="1">
        <f t="array" ref="P79">INT(SUMPRODUCT(--ISNUMBER(SEARCH(foreign,C79)))&gt;0)</f>
        <v>0</v>
      </c>
      <c r="Q79" s="14" cm="1">
        <f t="array" ref="Q79">INT(SUMPRODUCT(--ISNUMBER(SEARCH(gun,C79)))&gt;0)</f>
        <v>0</v>
      </c>
      <c r="R79" s="14" cm="1">
        <f t="array" ref="R79">INT(SUMPRODUCT(--ISNUMBER(SEARCH(race,C79)))&gt;0)</f>
        <v>0</v>
      </c>
      <c r="S79" s="14" cm="1">
        <f t="array" ref="S79">INT(SUMPRODUCT(--ISNUMBER(SEARCH(immigration,C79)))&gt;0)</f>
        <v>0</v>
      </c>
      <c r="T79" s="14" cm="1">
        <f t="array" ref="T79">INT(SUMPRODUCT(--ISNUMBER(SEARCH(econineq,C80)))&gt;0)</f>
        <v>0</v>
      </c>
      <c r="U79" s="14" cm="1">
        <f t="array" ref="U79">INT(SUMPRODUCT(--ISNUMBER(SEARCH(climate,C79)))&gt;0)</f>
        <v>0</v>
      </c>
      <c r="V79" s="14" cm="1">
        <f t="array" ref="V79">INT(SUMPRODUCT(--ISNUMBER(SEARCH(abortion,C79)))&gt;0)</f>
        <v>0</v>
      </c>
      <c r="W79" s="14" cm="1">
        <f t="array" ref="W79">INT(SUMPRODUCT(--ISNUMBER(SEARCH(trump,C79)))&gt;0)</f>
        <v>0</v>
      </c>
      <c r="X79" s="14" cm="1">
        <f t="array" ref="X79">INT(SUMPRODUCT(--ISNUMBER(SEARCH(voting,C79)))&gt;0)</f>
        <v>0</v>
      </c>
      <c r="Y79" s="14" cm="1">
        <f t="array" ref="Y79">INT(SUMPRODUCT(--ISNUMBER(SEARCH(republicantrigger,C79)))&gt;0)</f>
        <v>1</v>
      </c>
      <c r="Z79" s="14" cm="1">
        <f t="array" ref="Z79">INT(SUMPRODUCT(--ISNUMBER(SEARCH(bipartisan,C79)))&gt;0)</f>
        <v>1</v>
      </c>
      <c r="AA79" s="14">
        <f t="shared" si="1"/>
        <v>0</v>
      </c>
      <c r="AB79" s="14"/>
      <c r="AC79" s="30" t="s">
        <v>223</v>
      </c>
      <c r="AD79" s="37" t="s">
        <v>223</v>
      </c>
    </row>
    <row r="80" spans="1:30" x14ac:dyDescent="0.25">
      <c r="A80" s="36">
        <v>845</v>
      </c>
      <c r="B80" s="14" t="s">
        <v>1717</v>
      </c>
      <c r="C80" s="14" t="s">
        <v>1718</v>
      </c>
      <c r="D80" s="17">
        <v>44126</v>
      </c>
      <c r="E80" s="14" t="s">
        <v>30</v>
      </c>
      <c r="F80" s="14">
        <v>81</v>
      </c>
      <c r="G80" s="14">
        <v>33</v>
      </c>
      <c r="H80" s="14">
        <v>5</v>
      </c>
      <c r="I80" s="14">
        <v>3</v>
      </c>
      <c r="J80" s="14" t="s">
        <v>31</v>
      </c>
      <c r="K80" s="14" cm="1">
        <f t="array" ref="K80">INT(SUMPRODUCT(--ISNUMBER(SEARCH(economy,C80)))&gt;0)</f>
        <v>1</v>
      </c>
      <c r="L80" s="14" cm="1">
        <f t="array" ref="L80">INT(SUMPRODUCT(--ISNUMBER(SEARCH(healthcare,C80)))&gt;0)</f>
        <v>0</v>
      </c>
      <c r="M80" s="14" cm="1">
        <f t="array" ref="M80">INT(SUMPRODUCT(--ISNUMBER(SEARCH(supreme,C80)))&gt;0)</f>
        <v>1</v>
      </c>
      <c r="N80" s="14" cm="1">
        <f t="array" ref="N80">INT(SUMPRODUCT(--ISNUMBER(SEARCH(covid,C80)))&gt;0)</f>
        <v>0</v>
      </c>
      <c r="O80" s="14" cm="1">
        <f t="array" ref="O80">INT(SUMPRODUCT(--ISNUMBER(SEARCH(violent,C80)))&gt;0)</f>
        <v>0</v>
      </c>
      <c r="P80" s="14" cm="1">
        <f t="array" ref="P80">INT(SUMPRODUCT(--ISNUMBER(SEARCH(foreign,C80)))&gt;0)</f>
        <v>0</v>
      </c>
      <c r="Q80" s="14" cm="1">
        <f t="array" ref="Q80">INT(SUMPRODUCT(--ISNUMBER(SEARCH(gun,C80)))&gt;0)</f>
        <v>0</v>
      </c>
      <c r="R80" s="14" cm="1">
        <f t="array" ref="R80">INT(SUMPRODUCT(--ISNUMBER(SEARCH(race,C80)))&gt;0)</f>
        <v>0</v>
      </c>
      <c r="S80" s="14" cm="1">
        <f t="array" ref="S80">INT(SUMPRODUCT(--ISNUMBER(SEARCH(immigration,C80)))&gt;0)</f>
        <v>0</v>
      </c>
      <c r="T80" s="14" cm="1">
        <f t="array" ref="T80">INT(SUMPRODUCT(--ISNUMBER(SEARCH(econineq,C81)))&gt;0)</f>
        <v>0</v>
      </c>
      <c r="U80" s="14" cm="1">
        <f t="array" ref="U80">INT(SUMPRODUCT(--ISNUMBER(SEARCH(climate,C80)))&gt;0)</f>
        <v>0</v>
      </c>
      <c r="V80" s="14" cm="1">
        <f t="array" ref="V80">INT(SUMPRODUCT(--ISNUMBER(SEARCH(abortion,C80)))&gt;0)</f>
        <v>0</v>
      </c>
      <c r="W80" s="14" cm="1">
        <f t="array" ref="W80">INT(SUMPRODUCT(--ISNUMBER(SEARCH(trump,C80)))&gt;0)</f>
        <v>0</v>
      </c>
      <c r="X80" s="14" cm="1">
        <f t="array" ref="X80">INT(SUMPRODUCT(--ISNUMBER(SEARCH(voting,C80)))&gt;0)</f>
        <v>1</v>
      </c>
      <c r="Y80" s="14" cm="1">
        <f t="array" ref="Y80">INT(SUMPRODUCT(--ISNUMBER(SEARCH(republicantrigger,C80)))&gt;0)</f>
        <v>1</v>
      </c>
      <c r="Z80" s="14" cm="1">
        <f t="array" ref="Z80">INT(SUMPRODUCT(--ISNUMBER(SEARCH(bipartisan,C80)))&gt;0)</f>
        <v>0</v>
      </c>
      <c r="AA80" s="14">
        <f t="shared" si="1"/>
        <v>0</v>
      </c>
      <c r="AB80" s="14"/>
      <c r="AC80" s="30">
        <v>1</v>
      </c>
      <c r="AD80" s="37">
        <v>0</v>
      </c>
    </row>
    <row r="81" spans="1:30" x14ac:dyDescent="0.25">
      <c r="A81" s="36">
        <v>846</v>
      </c>
      <c r="B81" s="14" t="s">
        <v>1719</v>
      </c>
      <c r="C81" s="14" t="s">
        <v>1720</v>
      </c>
      <c r="D81" s="17">
        <v>44126</v>
      </c>
      <c r="E81" s="14" t="s">
        <v>30</v>
      </c>
      <c r="F81" s="14">
        <v>581</v>
      </c>
      <c r="G81" s="14">
        <v>98</v>
      </c>
      <c r="H81" s="14">
        <v>5</v>
      </c>
      <c r="I81" s="14">
        <v>3</v>
      </c>
      <c r="J81" s="14" t="s">
        <v>31</v>
      </c>
      <c r="K81" s="14" cm="1">
        <f t="array" ref="K81">INT(SUMPRODUCT(--ISNUMBER(SEARCH(economy,C81)))&gt;0)</f>
        <v>0</v>
      </c>
      <c r="L81" s="14" cm="1">
        <f t="array" ref="L81">INT(SUMPRODUCT(--ISNUMBER(SEARCH(healthcare,C81)))&gt;0)</f>
        <v>0</v>
      </c>
      <c r="M81" s="14" cm="1">
        <f t="array" ref="M81">INT(SUMPRODUCT(--ISNUMBER(SEARCH(supreme,C81)))&gt;0)</f>
        <v>1</v>
      </c>
      <c r="N81" s="14" cm="1">
        <f t="array" ref="N81">INT(SUMPRODUCT(--ISNUMBER(SEARCH(covid,C81)))&gt;0)</f>
        <v>0</v>
      </c>
      <c r="O81" s="14" cm="1">
        <f t="array" ref="O81">INT(SUMPRODUCT(--ISNUMBER(SEARCH(violent,C81)))&gt;0)</f>
        <v>0</v>
      </c>
      <c r="P81" s="14" cm="1">
        <f t="array" ref="P81">INT(SUMPRODUCT(--ISNUMBER(SEARCH(foreign,C81)))&gt;0)</f>
        <v>0</v>
      </c>
      <c r="Q81" s="14" cm="1">
        <f t="array" ref="Q81">INT(SUMPRODUCT(--ISNUMBER(SEARCH(gun,C81)))&gt;0)</f>
        <v>0</v>
      </c>
      <c r="R81" s="14" cm="1">
        <f t="array" ref="R81">INT(SUMPRODUCT(--ISNUMBER(SEARCH(race,C81)))&gt;0)</f>
        <v>0</v>
      </c>
      <c r="S81" s="14" cm="1">
        <f t="array" ref="S81">INT(SUMPRODUCT(--ISNUMBER(SEARCH(immigration,C81)))&gt;0)</f>
        <v>0</v>
      </c>
      <c r="T81" s="14" cm="1">
        <f t="array" ref="T81">INT(SUMPRODUCT(--ISNUMBER(SEARCH(econineq,C82)))&gt;0)</f>
        <v>0</v>
      </c>
      <c r="U81" s="14" cm="1">
        <f t="array" ref="U81">INT(SUMPRODUCT(--ISNUMBER(SEARCH(climate,C81)))&gt;0)</f>
        <v>0</v>
      </c>
      <c r="V81" s="14" cm="1">
        <f t="array" ref="V81">INT(SUMPRODUCT(--ISNUMBER(SEARCH(abortion,C81)))&gt;0)</f>
        <v>0</v>
      </c>
      <c r="W81" s="14" cm="1">
        <f t="array" ref="W81">INT(SUMPRODUCT(--ISNUMBER(SEARCH(trump,C81)))&gt;0)</f>
        <v>0</v>
      </c>
      <c r="X81" s="14" cm="1">
        <f t="array" ref="X81">INT(SUMPRODUCT(--ISNUMBER(SEARCH(voting,C81)))&gt;0)</f>
        <v>1</v>
      </c>
      <c r="Y81" s="14" cm="1">
        <f t="array" ref="Y81">INT(SUMPRODUCT(--ISNUMBER(SEARCH(republicantrigger,C81)))&gt;0)</f>
        <v>0</v>
      </c>
      <c r="Z81" s="14" cm="1">
        <f t="array" ref="Z81">INT(SUMPRODUCT(--ISNUMBER(SEARCH(bipartisan,C81)))&gt;0)</f>
        <v>0</v>
      </c>
      <c r="AA81" s="14">
        <f t="shared" si="1"/>
        <v>0</v>
      </c>
      <c r="AB81" s="14"/>
      <c r="AC81" s="30" t="s">
        <v>223</v>
      </c>
      <c r="AD81" s="37" t="s">
        <v>223</v>
      </c>
    </row>
    <row r="82" spans="1:30" x14ac:dyDescent="0.25">
      <c r="A82" s="36">
        <v>847</v>
      </c>
      <c r="B82" s="14" t="s">
        <v>1721</v>
      </c>
      <c r="C82" s="14" t="s">
        <v>1722</v>
      </c>
      <c r="D82" s="17">
        <v>44125</v>
      </c>
      <c r="E82" s="14" t="s">
        <v>30</v>
      </c>
      <c r="F82" s="14">
        <v>52</v>
      </c>
      <c r="G82" s="14">
        <v>18</v>
      </c>
      <c r="H82" s="14">
        <v>5</v>
      </c>
      <c r="I82" s="14">
        <v>3</v>
      </c>
      <c r="J82" s="14" t="s">
        <v>31</v>
      </c>
      <c r="K82" s="14" cm="1">
        <f t="array" ref="K82">INT(SUMPRODUCT(--ISNUMBER(SEARCH(economy,C82)))&gt;0)</f>
        <v>0</v>
      </c>
      <c r="L82" s="14" cm="1">
        <f t="array" ref="L82">INT(SUMPRODUCT(--ISNUMBER(SEARCH(healthcare,C82)))&gt;0)</f>
        <v>0</v>
      </c>
      <c r="M82" s="14" cm="1">
        <f t="array" ref="M82">INT(SUMPRODUCT(--ISNUMBER(SEARCH(supreme,C82)))&gt;0)</f>
        <v>0</v>
      </c>
      <c r="N82" s="14" cm="1">
        <f t="array" ref="N82">INT(SUMPRODUCT(--ISNUMBER(SEARCH(covid,C82)))&gt;0)</f>
        <v>0</v>
      </c>
      <c r="O82" s="14" cm="1">
        <f t="array" ref="O82">INT(SUMPRODUCT(--ISNUMBER(SEARCH(violent,C82)))&gt;0)</f>
        <v>0</v>
      </c>
      <c r="P82" s="14" cm="1">
        <f t="array" ref="P82">INT(SUMPRODUCT(--ISNUMBER(SEARCH(foreign,C82)))&gt;0)</f>
        <v>0</v>
      </c>
      <c r="Q82" s="14" cm="1">
        <f t="array" ref="Q82">INT(SUMPRODUCT(--ISNUMBER(SEARCH(gun,C82)))&gt;0)</f>
        <v>0</v>
      </c>
      <c r="R82" s="14" cm="1">
        <f t="array" ref="R82">INT(SUMPRODUCT(--ISNUMBER(SEARCH(race,C82)))&gt;0)</f>
        <v>0</v>
      </c>
      <c r="S82" s="14" cm="1">
        <f t="array" ref="S82">INT(SUMPRODUCT(--ISNUMBER(SEARCH(immigration,C82)))&gt;0)</f>
        <v>0</v>
      </c>
      <c r="T82" s="14" cm="1">
        <f t="array" ref="T82">INT(SUMPRODUCT(--ISNUMBER(SEARCH(econineq,C83)))&gt;0)</f>
        <v>0</v>
      </c>
      <c r="U82" s="14" cm="1">
        <f t="array" ref="U82">INT(SUMPRODUCT(--ISNUMBER(SEARCH(climate,C82)))&gt;0)</f>
        <v>0</v>
      </c>
      <c r="V82" s="14" cm="1">
        <f t="array" ref="V82">INT(SUMPRODUCT(--ISNUMBER(SEARCH(abortion,C82)))&gt;0)</f>
        <v>0</v>
      </c>
      <c r="W82" s="14" cm="1">
        <f t="array" ref="W82">INT(SUMPRODUCT(--ISNUMBER(SEARCH(trump,C82)))&gt;0)</f>
        <v>0</v>
      </c>
      <c r="X82" s="14" cm="1">
        <f t="array" ref="X82">INT(SUMPRODUCT(--ISNUMBER(SEARCH(voting,C82)))&gt;0)</f>
        <v>1</v>
      </c>
      <c r="Y82" s="14" cm="1">
        <f t="array" ref="Y82">INT(SUMPRODUCT(--ISNUMBER(SEARCH(republicantrigger,C82)))&gt;0)</f>
        <v>0</v>
      </c>
      <c r="Z82" s="14" cm="1">
        <f t="array" ref="Z82">INT(SUMPRODUCT(--ISNUMBER(SEARCH(bipartisan,C82)))&gt;0)</f>
        <v>0</v>
      </c>
      <c r="AA82" s="14">
        <f t="shared" si="1"/>
        <v>0</v>
      </c>
      <c r="AB82" s="14"/>
      <c r="AC82" s="30" t="s">
        <v>223</v>
      </c>
      <c r="AD82" s="37" t="s">
        <v>223</v>
      </c>
    </row>
    <row r="83" spans="1:30" x14ac:dyDescent="0.25">
      <c r="A83" s="36">
        <v>848</v>
      </c>
      <c r="B83" s="14" t="s">
        <v>1723</v>
      </c>
      <c r="C83" s="14" t="s">
        <v>1724</v>
      </c>
      <c r="D83" s="17">
        <v>44125</v>
      </c>
      <c r="E83" s="14" t="s">
        <v>30</v>
      </c>
      <c r="F83" s="14">
        <v>109</v>
      </c>
      <c r="G83" s="14">
        <v>31</v>
      </c>
      <c r="H83" s="14">
        <v>5</v>
      </c>
      <c r="I83" s="14">
        <v>3</v>
      </c>
      <c r="J83" s="14" t="s">
        <v>31</v>
      </c>
      <c r="K83" s="14" cm="1">
        <f t="array" ref="K83">INT(SUMPRODUCT(--ISNUMBER(SEARCH(economy,C83)))&gt;0)</f>
        <v>1</v>
      </c>
      <c r="L83" s="14" cm="1">
        <f t="array" ref="L83">INT(SUMPRODUCT(--ISNUMBER(SEARCH(healthcare,C83)))&gt;0)</f>
        <v>0</v>
      </c>
      <c r="M83" s="14" cm="1">
        <f t="array" ref="M83">INT(SUMPRODUCT(--ISNUMBER(SEARCH(supreme,C83)))&gt;0)</f>
        <v>0</v>
      </c>
      <c r="N83" s="14" cm="1">
        <f t="array" ref="N83">INT(SUMPRODUCT(--ISNUMBER(SEARCH(covid,C83)))&gt;0)</f>
        <v>0</v>
      </c>
      <c r="O83" s="14" cm="1">
        <f t="array" ref="O83">INT(SUMPRODUCT(--ISNUMBER(SEARCH(violent,C83)))&gt;0)</f>
        <v>0</v>
      </c>
      <c r="P83" s="14" cm="1">
        <f t="array" ref="P83">INT(SUMPRODUCT(--ISNUMBER(SEARCH(foreign,C83)))&gt;0)</f>
        <v>0</v>
      </c>
      <c r="Q83" s="14" cm="1">
        <f t="array" ref="Q83">INT(SUMPRODUCT(--ISNUMBER(SEARCH(gun,C83)))&gt;0)</f>
        <v>0</v>
      </c>
      <c r="R83" s="14" cm="1">
        <f t="array" ref="R83">INT(SUMPRODUCT(--ISNUMBER(SEARCH(race,C83)))&gt;0)</f>
        <v>0</v>
      </c>
      <c r="S83" s="14" cm="1">
        <f t="array" ref="S83">INT(SUMPRODUCT(--ISNUMBER(SEARCH(immigration,C83)))&gt;0)</f>
        <v>0</v>
      </c>
      <c r="T83" s="14" cm="1">
        <f t="array" ref="T83">INT(SUMPRODUCT(--ISNUMBER(SEARCH(econineq,C84)))&gt;0)</f>
        <v>0</v>
      </c>
      <c r="U83" s="14" cm="1">
        <f t="array" ref="U83">INT(SUMPRODUCT(--ISNUMBER(SEARCH(climate,C83)))&gt;0)</f>
        <v>0</v>
      </c>
      <c r="V83" s="14" cm="1">
        <f t="array" ref="V83">INT(SUMPRODUCT(--ISNUMBER(SEARCH(abortion,C83)))&gt;0)</f>
        <v>0</v>
      </c>
      <c r="W83" s="14" cm="1">
        <f t="array" ref="W83">INT(SUMPRODUCT(--ISNUMBER(SEARCH(trump,C83)))&gt;0)</f>
        <v>0</v>
      </c>
      <c r="X83" s="14" cm="1">
        <f t="array" ref="X83">INT(SUMPRODUCT(--ISNUMBER(SEARCH(voting,C83)))&gt;0)</f>
        <v>0</v>
      </c>
      <c r="Y83" s="14" cm="1">
        <f t="array" ref="Y83">INT(SUMPRODUCT(--ISNUMBER(SEARCH(republicantrigger,C83)))&gt;0)</f>
        <v>0</v>
      </c>
      <c r="Z83" s="14" cm="1">
        <f t="array" ref="Z83">INT(SUMPRODUCT(--ISNUMBER(SEARCH(bipartisan,C83)))&gt;0)</f>
        <v>0</v>
      </c>
      <c r="AA83" s="14">
        <f t="shared" si="1"/>
        <v>0</v>
      </c>
      <c r="AB83" s="14"/>
      <c r="AC83" s="30" t="s">
        <v>223</v>
      </c>
      <c r="AD83" s="37" t="s">
        <v>223</v>
      </c>
    </row>
    <row r="84" spans="1:30" x14ac:dyDescent="0.25">
      <c r="A84" s="36">
        <v>849</v>
      </c>
      <c r="B84" s="14" t="s">
        <v>1725</v>
      </c>
      <c r="C84" s="14" t="s">
        <v>1726</v>
      </c>
      <c r="D84" s="17">
        <v>44125</v>
      </c>
      <c r="E84" s="14" t="s">
        <v>30</v>
      </c>
      <c r="F84" s="14">
        <v>135</v>
      </c>
      <c r="G84" s="14">
        <v>52</v>
      </c>
      <c r="H84" s="14">
        <v>5</v>
      </c>
      <c r="I84" s="14">
        <v>3</v>
      </c>
      <c r="J84" s="14" t="s">
        <v>31</v>
      </c>
      <c r="K84" s="14" cm="1">
        <f t="array" ref="K84">INT(SUMPRODUCT(--ISNUMBER(SEARCH(economy,C84)))&gt;0)</f>
        <v>0</v>
      </c>
      <c r="L84" s="14" cm="1">
        <f t="array" ref="L84">INT(SUMPRODUCT(--ISNUMBER(SEARCH(healthcare,C84)))&gt;0)</f>
        <v>0</v>
      </c>
      <c r="M84" s="14" cm="1">
        <f t="array" ref="M84">INT(SUMPRODUCT(--ISNUMBER(SEARCH(supreme,C84)))&gt;0)</f>
        <v>0</v>
      </c>
      <c r="N84" s="14" cm="1">
        <f t="array" ref="N84">INT(SUMPRODUCT(--ISNUMBER(SEARCH(covid,C84)))&gt;0)</f>
        <v>1</v>
      </c>
      <c r="O84" s="14" cm="1">
        <f t="array" ref="O84">INT(SUMPRODUCT(--ISNUMBER(SEARCH(violent,C84)))&gt;0)</f>
        <v>0</v>
      </c>
      <c r="P84" s="14" cm="1">
        <f t="array" ref="P84">INT(SUMPRODUCT(--ISNUMBER(SEARCH(foreign,C84)))&gt;0)</f>
        <v>0</v>
      </c>
      <c r="Q84" s="14" cm="1">
        <f t="array" ref="Q84">INT(SUMPRODUCT(--ISNUMBER(SEARCH(gun,C84)))&gt;0)</f>
        <v>0</v>
      </c>
      <c r="R84" s="14" cm="1">
        <f t="array" ref="R84">INT(SUMPRODUCT(--ISNUMBER(SEARCH(race,C84)))&gt;0)</f>
        <v>0</v>
      </c>
      <c r="S84" s="14" cm="1">
        <f t="array" ref="S84">INT(SUMPRODUCT(--ISNUMBER(SEARCH(immigration,C84)))&gt;0)</f>
        <v>0</v>
      </c>
      <c r="T84" s="14" cm="1">
        <f t="array" ref="T84">INT(SUMPRODUCT(--ISNUMBER(SEARCH(econineq,C85)))&gt;0)</f>
        <v>0</v>
      </c>
      <c r="U84" s="14" cm="1">
        <f t="array" ref="U84">INT(SUMPRODUCT(--ISNUMBER(SEARCH(climate,C84)))&gt;0)</f>
        <v>0</v>
      </c>
      <c r="V84" s="14" cm="1">
        <f t="array" ref="V84">INT(SUMPRODUCT(--ISNUMBER(SEARCH(abortion,C84)))&gt;0)</f>
        <v>0</v>
      </c>
      <c r="W84" s="14" cm="1">
        <f t="array" ref="W84">INT(SUMPRODUCT(--ISNUMBER(SEARCH(trump,C84)))&gt;0)</f>
        <v>0</v>
      </c>
      <c r="X84" s="14" cm="1">
        <f t="array" ref="X84">INT(SUMPRODUCT(--ISNUMBER(SEARCH(voting,C84)))&gt;0)</f>
        <v>1</v>
      </c>
      <c r="Y84" s="14" cm="1">
        <f t="array" ref="Y84">INT(SUMPRODUCT(--ISNUMBER(SEARCH(republicantrigger,C84)))&gt;0)</f>
        <v>1</v>
      </c>
      <c r="Z84" s="14" cm="1">
        <f t="array" ref="Z84">INT(SUMPRODUCT(--ISNUMBER(SEARCH(bipartisan,C84)))&gt;0)</f>
        <v>1</v>
      </c>
      <c r="AA84" s="14">
        <f t="shared" si="1"/>
        <v>0</v>
      </c>
      <c r="AB84" s="14"/>
      <c r="AC84" s="30" t="s">
        <v>223</v>
      </c>
      <c r="AD84" s="37" t="s">
        <v>223</v>
      </c>
    </row>
    <row r="85" spans="1:30" x14ac:dyDescent="0.25">
      <c r="A85" s="36">
        <v>850</v>
      </c>
      <c r="B85" s="14" t="s">
        <v>1727</v>
      </c>
      <c r="C85" s="14" t="s">
        <v>1728</v>
      </c>
      <c r="D85" s="17">
        <v>44125</v>
      </c>
      <c r="E85" s="14" t="s">
        <v>30</v>
      </c>
      <c r="F85" s="14">
        <v>141</v>
      </c>
      <c r="G85" s="14">
        <v>51</v>
      </c>
      <c r="H85" s="14">
        <v>5</v>
      </c>
      <c r="I85" s="14">
        <v>3</v>
      </c>
      <c r="J85" s="14" t="s">
        <v>31</v>
      </c>
      <c r="K85" s="14" cm="1">
        <f t="array" ref="K85">INT(SUMPRODUCT(--ISNUMBER(SEARCH(economy,C85)))&gt;0)</f>
        <v>1</v>
      </c>
      <c r="L85" s="14" cm="1">
        <f t="array" ref="L85">INT(SUMPRODUCT(--ISNUMBER(SEARCH(healthcare,C85)))&gt;0)</f>
        <v>0</v>
      </c>
      <c r="M85" s="14" cm="1">
        <f t="array" ref="M85">INT(SUMPRODUCT(--ISNUMBER(SEARCH(supreme,C85)))&gt;0)</f>
        <v>0</v>
      </c>
      <c r="N85" s="14" cm="1">
        <f t="array" ref="N85">INT(SUMPRODUCT(--ISNUMBER(SEARCH(covid,C85)))&gt;0)</f>
        <v>0</v>
      </c>
      <c r="O85" s="14" cm="1">
        <f t="array" ref="O85">INT(SUMPRODUCT(--ISNUMBER(SEARCH(violent,C85)))&gt;0)</f>
        <v>0</v>
      </c>
      <c r="P85" s="14" cm="1">
        <f t="array" ref="P85">INT(SUMPRODUCT(--ISNUMBER(SEARCH(foreign,C85)))&gt;0)</f>
        <v>1</v>
      </c>
      <c r="Q85" s="14" cm="1">
        <f t="array" ref="Q85">INT(SUMPRODUCT(--ISNUMBER(SEARCH(gun,C85)))&gt;0)</f>
        <v>0</v>
      </c>
      <c r="R85" s="14" cm="1">
        <f t="array" ref="R85">INT(SUMPRODUCT(--ISNUMBER(SEARCH(race,C85)))&gt;0)</f>
        <v>0</v>
      </c>
      <c r="S85" s="14" cm="1">
        <f t="array" ref="S85">INT(SUMPRODUCT(--ISNUMBER(SEARCH(immigration,C85)))&gt;0)</f>
        <v>0</v>
      </c>
      <c r="T85" s="14" cm="1">
        <f t="array" ref="T85">INT(SUMPRODUCT(--ISNUMBER(SEARCH(econineq,C86)))&gt;0)</f>
        <v>0</v>
      </c>
      <c r="U85" s="14" cm="1">
        <f t="array" ref="U85">INT(SUMPRODUCT(--ISNUMBER(SEARCH(climate,C85)))&gt;0)</f>
        <v>0</v>
      </c>
      <c r="V85" s="14" cm="1">
        <f t="array" ref="V85">INT(SUMPRODUCT(--ISNUMBER(SEARCH(abortion,C85)))&gt;0)</f>
        <v>0</v>
      </c>
      <c r="W85" s="14" cm="1">
        <f t="array" ref="W85">INT(SUMPRODUCT(--ISNUMBER(SEARCH(trump,C85)))&gt;0)</f>
        <v>0</v>
      </c>
      <c r="X85" s="14" cm="1">
        <f t="array" ref="X85">INT(SUMPRODUCT(--ISNUMBER(SEARCH(voting,C85)))&gt;0)</f>
        <v>0</v>
      </c>
      <c r="Y85" s="14" cm="1">
        <f t="array" ref="Y85">INT(SUMPRODUCT(--ISNUMBER(SEARCH(republicantrigger,C85)))&gt;0)</f>
        <v>0</v>
      </c>
      <c r="Z85" s="14" cm="1">
        <f t="array" ref="Z85">INT(SUMPRODUCT(--ISNUMBER(SEARCH(bipartisan,C85)))&gt;0)</f>
        <v>0</v>
      </c>
      <c r="AA85" s="14">
        <f t="shared" si="1"/>
        <v>0</v>
      </c>
      <c r="AB85" s="14"/>
      <c r="AC85" s="30">
        <v>0</v>
      </c>
      <c r="AD85" s="37">
        <v>1</v>
      </c>
    </row>
    <row r="86" spans="1:30" x14ac:dyDescent="0.25">
      <c r="A86" s="36">
        <v>851</v>
      </c>
      <c r="B86" s="14" t="s">
        <v>1729</v>
      </c>
      <c r="C86" s="14" t="s">
        <v>1730</v>
      </c>
      <c r="D86" s="17">
        <v>44125</v>
      </c>
      <c r="E86" s="14" t="s">
        <v>30</v>
      </c>
      <c r="F86" s="14">
        <v>108</v>
      </c>
      <c r="G86" s="14">
        <v>24</v>
      </c>
      <c r="H86" s="14">
        <v>5</v>
      </c>
      <c r="I86" s="14">
        <v>3</v>
      </c>
      <c r="J86" s="14" t="s">
        <v>31</v>
      </c>
      <c r="K86" s="14" cm="1">
        <f t="array" ref="K86">INT(SUMPRODUCT(--ISNUMBER(SEARCH(economy,C86)))&gt;0)</f>
        <v>1</v>
      </c>
      <c r="L86" s="14" cm="1">
        <f t="array" ref="L86">INT(SUMPRODUCT(--ISNUMBER(SEARCH(healthcare,C86)))&gt;0)</f>
        <v>0</v>
      </c>
      <c r="M86" s="14" cm="1">
        <f t="array" ref="M86">INT(SUMPRODUCT(--ISNUMBER(SEARCH(supreme,C86)))&gt;0)</f>
        <v>0</v>
      </c>
      <c r="N86" s="14" cm="1">
        <f t="array" ref="N86">INT(SUMPRODUCT(--ISNUMBER(SEARCH(covid,C86)))&gt;0)</f>
        <v>0</v>
      </c>
      <c r="O86" s="14" cm="1">
        <f t="array" ref="O86">INT(SUMPRODUCT(--ISNUMBER(SEARCH(violent,C86)))&gt;0)</f>
        <v>0</v>
      </c>
      <c r="P86" s="14" cm="1">
        <f t="array" ref="P86">INT(SUMPRODUCT(--ISNUMBER(SEARCH(foreign,C86)))&gt;0)</f>
        <v>0</v>
      </c>
      <c r="Q86" s="14" cm="1">
        <f t="array" ref="Q86">INT(SUMPRODUCT(--ISNUMBER(SEARCH(gun,C86)))&gt;0)</f>
        <v>0</v>
      </c>
      <c r="R86" s="14" cm="1">
        <f t="array" ref="R86">INT(SUMPRODUCT(--ISNUMBER(SEARCH(race,C86)))&gt;0)</f>
        <v>0</v>
      </c>
      <c r="S86" s="14" cm="1">
        <f t="array" ref="S86">INT(SUMPRODUCT(--ISNUMBER(SEARCH(immigration,C86)))&gt;0)</f>
        <v>0</v>
      </c>
      <c r="T86" s="14" cm="1">
        <f t="array" ref="T86">INT(SUMPRODUCT(--ISNUMBER(SEARCH(econineq,C87)))&gt;0)</f>
        <v>0</v>
      </c>
      <c r="U86" s="14" cm="1">
        <f t="array" ref="U86">INT(SUMPRODUCT(--ISNUMBER(SEARCH(climate,C86)))&gt;0)</f>
        <v>0</v>
      </c>
      <c r="V86" s="14" cm="1">
        <f t="array" ref="V86">INT(SUMPRODUCT(--ISNUMBER(SEARCH(abortion,C86)))&gt;0)</f>
        <v>0</v>
      </c>
      <c r="W86" s="14" cm="1">
        <f t="array" ref="W86">INT(SUMPRODUCT(--ISNUMBER(SEARCH(trump,C86)))&gt;0)</f>
        <v>0</v>
      </c>
      <c r="X86" s="14" cm="1">
        <f t="array" ref="X86">INT(SUMPRODUCT(--ISNUMBER(SEARCH(voting,C86)))&gt;0)</f>
        <v>0</v>
      </c>
      <c r="Y86" s="14" cm="1">
        <f t="array" ref="Y86">INT(SUMPRODUCT(--ISNUMBER(SEARCH(republicantrigger,C86)))&gt;0)</f>
        <v>1</v>
      </c>
      <c r="Z86" s="14" cm="1">
        <f t="array" ref="Z86">INT(SUMPRODUCT(--ISNUMBER(SEARCH(bipartisan,C86)))&gt;0)</f>
        <v>1</v>
      </c>
      <c r="AA86" s="14">
        <f t="shared" si="1"/>
        <v>0</v>
      </c>
      <c r="AB86" s="14"/>
      <c r="AC86" s="30" t="s">
        <v>223</v>
      </c>
      <c r="AD86" s="37" t="s">
        <v>223</v>
      </c>
    </row>
    <row r="87" spans="1:30" x14ac:dyDescent="0.25">
      <c r="A87" s="36">
        <v>852</v>
      </c>
      <c r="B87" s="14" t="s">
        <v>1731</v>
      </c>
      <c r="C87" s="14" t="s">
        <v>1732</v>
      </c>
      <c r="D87" s="17">
        <v>44125</v>
      </c>
      <c r="E87" s="14" t="s">
        <v>30</v>
      </c>
      <c r="F87" s="14">
        <v>303</v>
      </c>
      <c r="G87" s="14">
        <v>58</v>
      </c>
      <c r="H87" s="14">
        <v>5</v>
      </c>
      <c r="I87" s="14">
        <v>3</v>
      </c>
      <c r="J87" s="14" t="s">
        <v>31</v>
      </c>
      <c r="K87" s="14" cm="1">
        <f t="array" ref="K87">INT(SUMPRODUCT(--ISNUMBER(SEARCH(economy,C87)))&gt;0)</f>
        <v>0</v>
      </c>
      <c r="L87" s="14" cm="1">
        <f t="array" ref="L87">INT(SUMPRODUCT(--ISNUMBER(SEARCH(healthcare,C87)))&gt;0)</f>
        <v>0</v>
      </c>
      <c r="M87" s="14" cm="1">
        <f t="array" ref="M87">INT(SUMPRODUCT(--ISNUMBER(SEARCH(supreme,C87)))&gt;0)</f>
        <v>0</v>
      </c>
      <c r="N87" s="14" cm="1">
        <f t="array" ref="N87">INT(SUMPRODUCT(--ISNUMBER(SEARCH(covid,C87)))&gt;0)</f>
        <v>0</v>
      </c>
      <c r="O87" s="14" cm="1">
        <f t="array" ref="O87">INT(SUMPRODUCT(--ISNUMBER(SEARCH(violent,C87)))&gt;0)</f>
        <v>0</v>
      </c>
      <c r="P87" s="14" cm="1">
        <f t="array" ref="P87">INT(SUMPRODUCT(--ISNUMBER(SEARCH(foreign,C87)))&gt;0)</f>
        <v>0</v>
      </c>
      <c r="Q87" s="14" cm="1">
        <f t="array" ref="Q87">INT(SUMPRODUCT(--ISNUMBER(SEARCH(gun,C87)))&gt;0)</f>
        <v>0</v>
      </c>
      <c r="R87" s="14" cm="1">
        <f t="array" ref="R87">INT(SUMPRODUCT(--ISNUMBER(SEARCH(race,C87)))&gt;0)</f>
        <v>0</v>
      </c>
      <c r="S87" s="14" cm="1">
        <f t="array" ref="S87">INT(SUMPRODUCT(--ISNUMBER(SEARCH(immigration,C87)))&gt;0)</f>
        <v>0</v>
      </c>
      <c r="T87" s="14" cm="1">
        <f t="array" ref="T87">INT(SUMPRODUCT(--ISNUMBER(SEARCH(econineq,C88)))&gt;0)</f>
        <v>0</v>
      </c>
      <c r="U87" s="14" cm="1">
        <f t="array" ref="U87">INT(SUMPRODUCT(--ISNUMBER(SEARCH(climate,C87)))&gt;0)</f>
        <v>0</v>
      </c>
      <c r="V87" s="14" cm="1">
        <f t="array" ref="V87">INT(SUMPRODUCT(--ISNUMBER(SEARCH(abortion,C87)))&gt;0)</f>
        <v>0</v>
      </c>
      <c r="W87" s="14" cm="1">
        <f t="array" ref="W87">INT(SUMPRODUCT(--ISNUMBER(SEARCH(trump,C87)))&gt;0)</f>
        <v>0</v>
      </c>
      <c r="X87" s="14" cm="1">
        <f t="array" ref="X87">INT(SUMPRODUCT(--ISNUMBER(SEARCH(voting,C87)))&gt;0)</f>
        <v>0</v>
      </c>
      <c r="Y87" s="14" cm="1">
        <f t="array" ref="Y87">INT(SUMPRODUCT(--ISNUMBER(SEARCH(republicantrigger,C87)))&gt;0)</f>
        <v>0</v>
      </c>
      <c r="Z87" s="14" cm="1">
        <f t="array" ref="Z87">INT(SUMPRODUCT(--ISNUMBER(SEARCH(bipartisan,C87)))&gt;0)</f>
        <v>0</v>
      </c>
      <c r="AA87" s="14">
        <f t="shared" si="1"/>
        <v>1</v>
      </c>
      <c r="AB87" s="14"/>
      <c r="AC87" s="30" t="s">
        <v>223</v>
      </c>
      <c r="AD87" s="37" t="s">
        <v>223</v>
      </c>
    </row>
    <row r="88" spans="1:30" x14ac:dyDescent="0.25">
      <c r="A88" s="36">
        <v>853</v>
      </c>
      <c r="B88" s="14" t="s">
        <v>1733</v>
      </c>
      <c r="C88" s="14" t="s">
        <v>1734</v>
      </c>
      <c r="D88" s="17">
        <v>44125</v>
      </c>
      <c r="E88" s="14" t="s">
        <v>30</v>
      </c>
      <c r="F88" s="14">
        <v>149</v>
      </c>
      <c r="G88" s="14">
        <v>67</v>
      </c>
      <c r="H88" s="14">
        <v>5</v>
      </c>
      <c r="I88" s="14">
        <v>3</v>
      </c>
      <c r="J88" s="14" t="s">
        <v>31</v>
      </c>
      <c r="K88" s="14" cm="1">
        <f t="array" ref="K88">INT(SUMPRODUCT(--ISNUMBER(SEARCH(economy,C88)))&gt;0)</f>
        <v>0</v>
      </c>
      <c r="L88" s="14" cm="1">
        <f t="array" ref="L88">INT(SUMPRODUCT(--ISNUMBER(SEARCH(healthcare,C88)))&gt;0)</f>
        <v>0</v>
      </c>
      <c r="M88" s="14" cm="1">
        <f t="array" ref="M88">INT(SUMPRODUCT(--ISNUMBER(SEARCH(supreme,C88)))&gt;0)</f>
        <v>0</v>
      </c>
      <c r="N88" s="14" cm="1">
        <f t="array" ref="N88">INT(SUMPRODUCT(--ISNUMBER(SEARCH(covid,C88)))&gt;0)</f>
        <v>0</v>
      </c>
      <c r="O88" s="14" cm="1">
        <f t="array" ref="O88">INT(SUMPRODUCT(--ISNUMBER(SEARCH(violent,C88)))&gt;0)</f>
        <v>0</v>
      </c>
      <c r="P88" s="14" cm="1">
        <f t="array" ref="P88">INT(SUMPRODUCT(--ISNUMBER(SEARCH(foreign,C88)))&gt;0)</f>
        <v>0</v>
      </c>
      <c r="Q88" s="14" cm="1">
        <f t="array" ref="Q88">INT(SUMPRODUCT(--ISNUMBER(SEARCH(gun,C88)))&gt;0)</f>
        <v>0</v>
      </c>
      <c r="R88" s="14" cm="1">
        <f t="array" ref="R88">INT(SUMPRODUCT(--ISNUMBER(SEARCH(race,C88)))&gt;0)</f>
        <v>0</v>
      </c>
      <c r="S88" s="14" cm="1">
        <f t="array" ref="S88">INT(SUMPRODUCT(--ISNUMBER(SEARCH(immigration,C88)))&gt;0)</f>
        <v>0</v>
      </c>
      <c r="T88" s="14" cm="1">
        <f t="array" ref="T88">INT(SUMPRODUCT(--ISNUMBER(SEARCH(econineq,C89)))&gt;0)</f>
        <v>0</v>
      </c>
      <c r="U88" s="14" cm="1">
        <f t="array" ref="U88">INT(SUMPRODUCT(--ISNUMBER(SEARCH(climate,C88)))&gt;0)</f>
        <v>0</v>
      </c>
      <c r="V88" s="14" cm="1">
        <f t="array" ref="V88">INT(SUMPRODUCT(--ISNUMBER(SEARCH(abortion,C88)))&gt;0)</f>
        <v>0</v>
      </c>
      <c r="W88" s="14" cm="1">
        <f t="array" ref="W88">INT(SUMPRODUCT(--ISNUMBER(SEARCH(trump,C88)))&gt;0)</f>
        <v>0</v>
      </c>
      <c r="X88" s="14" cm="1">
        <f t="array" ref="X88">INT(SUMPRODUCT(--ISNUMBER(SEARCH(voting,C88)))&gt;0)</f>
        <v>1</v>
      </c>
      <c r="Y88" s="14" cm="1">
        <f t="array" ref="Y88">INT(SUMPRODUCT(--ISNUMBER(SEARCH(republicantrigger,C88)))&gt;0)</f>
        <v>1</v>
      </c>
      <c r="Z88" s="14" cm="1">
        <f t="array" ref="Z88">INT(SUMPRODUCT(--ISNUMBER(SEARCH(bipartisan,C88)))&gt;0)</f>
        <v>0</v>
      </c>
      <c r="AA88" s="14">
        <f t="shared" si="1"/>
        <v>0</v>
      </c>
      <c r="AB88" s="14"/>
      <c r="AC88" s="30">
        <v>0</v>
      </c>
      <c r="AD88" s="37">
        <v>1</v>
      </c>
    </row>
    <row r="89" spans="1:30" x14ac:dyDescent="0.25">
      <c r="A89" s="36">
        <v>854</v>
      </c>
      <c r="B89" s="14" t="s">
        <v>1735</v>
      </c>
      <c r="C89" s="14" t="s">
        <v>1736</v>
      </c>
      <c r="D89" s="17">
        <v>44125</v>
      </c>
      <c r="E89" s="14" t="s">
        <v>30</v>
      </c>
      <c r="F89" s="14">
        <v>138</v>
      </c>
      <c r="G89" s="14">
        <v>40</v>
      </c>
      <c r="H89" s="14">
        <v>5</v>
      </c>
      <c r="I89" s="14">
        <v>3</v>
      </c>
      <c r="J89" s="14" t="s">
        <v>31</v>
      </c>
      <c r="K89" s="14" cm="1">
        <f t="array" ref="K89">INT(SUMPRODUCT(--ISNUMBER(SEARCH(economy,C89)))&gt;0)</f>
        <v>0</v>
      </c>
      <c r="L89" s="14" cm="1">
        <f t="array" ref="L89">INT(SUMPRODUCT(--ISNUMBER(SEARCH(healthcare,C89)))&gt;0)</f>
        <v>0</v>
      </c>
      <c r="M89" s="14" cm="1">
        <f t="array" ref="M89">INT(SUMPRODUCT(--ISNUMBER(SEARCH(supreme,C89)))&gt;0)</f>
        <v>0</v>
      </c>
      <c r="N89" s="14" cm="1">
        <f t="array" ref="N89">INT(SUMPRODUCT(--ISNUMBER(SEARCH(covid,C89)))&gt;0)</f>
        <v>0</v>
      </c>
      <c r="O89" s="14" cm="1">
        <f t="array" ref="O89">INT(SUMPRODUCT(--ISNUMBER(SEARCH(violent,C89)))&gt;0)</f>
        <v>0</v>
      </c>
      <c r="P89" s="14" cm="1">
        <f t="array" ref="P89">INT(SUMPRODUCT(--ISNUMBER(SEARCH(foreign,C89)))&gt;0)</f>
        <v>0</v>
      </c>
      <c r="Q89" s="14" cm="1">
        <f t="array" ref="Q89">INT(SUMPRODUCT(--ISNUMBER(SEARCH(gun,C89)))&gt;0)</f>
        <v>0</v>
      </c>
      <c r="R89" s="14" cm="1">
        <f t="array" ref="R89">INT(SUMPRODUCT(--ISNUMBER(SEARCH(race,C89)))&gt;0)</f>
        <v>0</v>
      </c>
      <c r="S89" s="14" cm="1">
        <f t="array" ref="S89">INT(SUMPRODUCT(--ISNUMBER(SEARCH(immigration,C89)))&gt;0)</f>
        <v>0</v>
      </c>
      <c r="T89" s="14" cm="1">
        <f t="array" ref="T89">INT(SUMPRODUCT(--ISNUMBER(SEARCH(econineq,C90)))&gt;0)</f>
        <v>0</v>
      </c>
      <c r="U89" s="14" cm="1">
        <f t="array" ref="U89">INT(SUMPRODUCT(--ISNUMBER(SEARCH(climate,C89)))&gt;0)</f>
        <v>0</v>
      </c>
      <c r="V89" s="14" cm="1">
        <f t="array" ref="V89">INT(SUMPRODUCT(--ISNUMBER(SEARCH(abortion,C89)))&gt;0)</f>
        <v>0</v>
      </c>
      <c r="W89" s="14" cm="1">
        <f t="array" ref="W89">INT(SUMPRODUCT(--ISNUMBER(SEARCH(trump,C89)))&gt;0)</f>
        <v>0</v>
      </c>
      <c r="X89" s="14" cm="1">
        <f t="array" ref="X89">INT(SUMPRODUCT(--ISNUMBER(SEARCH(voting,C89)))&gt;0)</f>
        <v>0</v>
      </c>
      <c r="Y89" s="14" cm="1">
        <f t="array" ref="Y89">INT(SUMPRODUCT(--ISNUMBER(SEARCH(republicantrigger,C89)))&gt;0)</f>
        <v>0</v>
      </c>
      <c r="Z89" s="14" cm="1">
        <f t="array" ref="Z89">INT(SUMPRODUCT(--ISNUMBER(SEARCH(bipartisan,C89)))&gt;0)</f>
        <v>0</v>
      </c>
      <c r="AA89" s="14">
        <f t="shared" si="1"/>
        <v>1</v>
      </c>
      <c r="AB89" s="14"/>
      <c r="AC89" s="30" t="s">
        <v>223</v>
      </c>
      <c r="AD89" s="37" t="s">
        <v>223</v>
      </c>
    </row>
    <row r="90" spans="1:30" x14ac:dyDescent="0.25">
      <c r="A90" s="36">
        <v>855</v>
      </c>
      <c r="B90" s="14" t="s">
        <v>1737</v>
      </c>
      <c r="C90" s="14" t="s">
        <v>1738</v>
      </c>
      <c r="D90" s="17">
        <v>44124</v>
      </c>
      <c r="E90" s="14" t="s">
        <v>30</v>
      </c>
      <c r="F90" s="14">
        <v>80</v>
      </c>
      <c r="G90" s="14">
        <v>32</v>
      </c>
      <c r="H90" s="14">
        <v>5</v>
      </c>
      <c r="I90" s="14">
        <v>3</v>
      </c>
      <c r="J90" s="14" t="s">
        <v>31</v>
      </c>
      <c r="K90" s="14" cm="1">
        <f t="array" ref="K90">INT(SUMPRODUCT(--ISNUMBER(SEARCH(economy,C90)))&gt;0)</f>
        <v>0</v>
      </c>
      <c r="L90" s="14" cm="1">
        <f t="array" ref="L90">INT(SUMPRODUCT(--ISNUMBER(SEARCH(healthcare,C90)))&gt;0)</f>
        <v>0</v>
      </c>
      <c r="M90" s="14" cm="1">
        <f t="array" ref="M90">INT(SUMPRODUCT(--ISNUMBER(SEARCH(supreme,C90)))&gt;0)</f>
        <v>0</v>
      </c>
      <c r="N90" s="14" cm="1">
        <f t="array" ref="N90">INT(SUMPRODUCT(--ISNUMBER(SEARCH(covid,C90)))&gt;0)</f>
        <v>0</v>
      </c>
      <c r="O90" s="14" cm="1">
        <f t="array" ref="O90">INT(SUMPRODUCT(--ISNUMBER(SEARCH(violent,C90)))&gt;0)</f>
        <v>0</v>
      </c>
      <c r="P90" s="14" cm="1">
        <f t="array" ref="P90">INT(SUMPRODUCT(--ISNUMBER(SEARCH(foreign,C90)))&gt;0)</f>
        <v>0</v>
      </c>
      <c r="Q90" s="14" cm="1">
        <f t="array" ref="Q90">INT(SUMPRODUCT(--ISNUMBER(SEARCH(gun,C90)))&gt;0)</f>
        <v>0</v>
      </c>
      <c r="R90" s="14" cm="1">
        <f t="array" ref="R90">INT(SUMPRODUCT(--ISNUMBER(SEARCH(race,C90)))&gt;0)</f>
        <v>0</v>
      </c>
      <c r="S90" s="14" cm="1">
        <f t="array" ref="S90">INT(SUMPRODUCT(--ISNUMBER(SEARCH(immigration,C90)))&gt;0)</f>
        <v>0</v>
      </c>
      <c r="T90" s="14" cm="1">
        <f t="array" ref="T90">INT(SUMPRODUCT(--ISNUMBER(SEARCH(econineq,C91)))&gt;0)</f>
        <v>0</v>
      </c>
      <c r="U90" s="14" cm="1">
        <f t="array" ref="U90">INT(SUMPRODUCT(--ISNUMBER(SEARCH(climate,C90)))&gt;0)</f>
        <v>0</v>
      </c>
      <c r="V90" s="14" cm="1">
        <f t="array" ref="V90">INT(SUMPRODUCT(--ISNUMBER(SEARCH(abortion,C90)))&gt;0)</f>
        <v>0</v>
      </c>
      <c r="W90" s="14" cm="1">
        <f t="array" ref="W90">INT(SUMPRODUCT(--ISNUMBER(SEARCH(trump,C90)))&gt;0)</f>
        <v>0</v>
      </c>
      <c r="X90" s="14" cm="1">
        <f t="array" ref="X90">INT(SUMPRODUCT(--ISNUMBER(SEARCH(voting,C90)))&gt;0)</f>
        <v>0</v>
      </c>
      <c r="Y90" s="14" cm="1">
        <f t="array" ref="Y90">INT(SUMPRODUCT(--ISNUMBER(SEARCH(republicantrigger,C90)))&gt;0)</f>
        <v>1</v>
      </c>
      <c r="Z90" s="14" cm="1">
        <f t="array" ref="Z90">INT(SUMPRODUCT(--ISNUMBER(SEARCH(bipartisan,C90)))&gt;0)</f>
        <v>1</v>
      </c>
      <c r="AA90" s="14">
        <f t="shared" si="1"/>
        <v>0</v>
      </c>
      <c r="AB90" s="14"/>
      <c r="AC90" s="30" t="s">
        <v>223</v>
      </c>
      <c r="AD90" s="37" t="s">
        <v>223</v>
      </c>
    </row>
    <row r="91" spans="1:30" x14ac:dyDescent="0.25">
      <c r="A91" s="36">
        <v>856</v>
      </c>
      <c r="B91" s="14" t="s">
        <v>1739</v>
      </c>
      <c r="C91" s="14" t="s">
        <v>1740</v>
      </c>
      <c r="D91" s="17">
        <v>44124</v>
      </c>
      <c r="E91" s="14" t="s">
        <v>30</v>
      </c>
      <c r="F91" s="14">
        <v>168</v>
      </c>
      <c r="G91" s="14">
        <v>45</v>
      </c>
      <c r="H91" s="14">
        <v>5</v>
      </c>
      <c r="I91" s="14">
        <v>3</v>
      </c>
      <c r="J91" s="14" t="s">
        <v>31</v>
      </c>
      <c r="K91" s="14" cm="1">
        <f t="array" ref="K91">INT(SUMPRODUCT(--ISNUMBER(SEARCH(economy,C91)))&gt;0)</f>
        <v>0</v>
      </c>
      <c r="L91" s="14" cm="1">
        <f t="array" ref="L91">INT(SUMPRODUCT(--ISNUMBER(SEARCH(healthcare,C91)))&gt;0)</f>
        <v>1</v>
      </c>
      <c r="M91" s="14" cm="1">
        <f t="array" ref="M91">INT(SUMPRODUCT(--ISNUMBER(SEARCH(supreme,C91)))&gt;0)</f>
        <v>0</v>
      </c>
      <c r="N91" s="14" cm="1">
        <f t="array" ref="N91">INT(SUMPRODUCT(--ISNUMBER(SEARCH(covid,C91)))&gt;0)</f>
        <v>0</v>
      </c>
      <c r="O91" s="14" cm="1">
        <f t="array" ref="O91">INT(SUMPRODUCT(--ISNUMBER(SEARCH(violent,C91)))&gt;0)</f>
        <v>0</v>
      </c>
      <c r="P91" s="14" cm="1">
        <f t="array" ref="P91">INT(SUMPRODUCT(--ISNUMBER(SEARCH(foreign,C91)))&gt;0)</f>
        <v>0</v>
      </c>
      <c r="Q91" s="14" cm="1">
        <f t="array" ref="Q91">INT(SUMPRODUCT(--ISNUMBER(SEARCH(gun,C91)))&gt;0)</f>
        <v>0</v>
      </c>
      <c r="R91" s="14" cm="1">
        <f t="array" ref="R91">INT(SUMPRODUCT(--ISNUMBER(SEARCH(race,C91)))&gt;0)</f>
        <v>0</v>
      </c>
      <c r="S91" s="14" cm="1">
        <f t="array" ref="S91">INT(SUMPRODUCT(--ISNUMBER(SEARCH(immigration,C91)))&gt;0)</f>
        <v>0</v>
      </c>
      <c r="T91" s="14" cm="1">
        <f t="array" ref="T91">INT(SUMPRODUCT(--ISNUMBER(SEARCH(econineq,C92)))&gt;0)</f>
        <v>0</v>
      </c>
      <c r="U91" s="14" cm="1">
        <f t="array" ref="U91">INT(SUMPRODUCT(--ISNUMBER(SEARCH(climate,C91)))&gt;0)</f>
        <v>0</v>
      </c>
      <c r="V91" s="14" cm="1">
        <f t="array" ref="V91">INT(SUMPRODUCT(--ISNUMBER(SEARCH(abortion,C91)))&gt;0)</f>
        <v>0</v>
      </c>
      <c r="W91" s="14" cm="1">
        <f t="array" ref="W91">INT(SUMPRODUCT(--ISNUMBER(SEARCH(trump,C91)))&gt;0)</f>
        <v>0</v>
      </c>
      <c r="X91" s="14" cm="1">
        <f t="array" ref="X91">INT(SUMPRODUCT(--ISNUMBER(SEARCH(voting,C91)))&gt;0)</f>
        <v>0</v>
      </c>
      <c r="Y91" s="14" cm="1">
        <f t="array" ref="Y91">INT(SUMPRODUCT(--ISNUMBER(SEARCH(republicantrigger,C91)))&gt;0)</f>
        <v>0</v>
      </c>
      <c r="Z91" s="14" cm="1">
        <f t="array" ref="Z91">INT(SUMPRODUCT(--ISNUMBER(SEARCH(bipartisan,C91)))&gt;0)</f>
        <v>0</v>
      </c>
      <c r="AA91" s="14">
        <f t="shared" si="1"/>
        <v>0</v>
      </c>
      <c r="AB91" s="14"/>
      <c r="AC91" s="30" t="s">
        <v>223</v>
      </c>
      <c r="AD91" s="37" t="s">
        <v>223</v>
      </c>
    </row>
    <row r="92" spans="1:30" x14ac:dyDescent="0.25">
      <c r="A92" s="36">
        <v>857</v>
      </c>
      <c r="B92" s="14" t="s">
        <v>1741</v>
      </c>
      <c r="C92" s="14" t="s">
        <v>1742</v>
      </c>
      <c r="D92" s="17">
        <v>44124</v>
      </c>
      <c r="E92" s="14" t="s">
        <v>30</v>
      </c>
      <c r="F92" s="14">
        <v>133</v>
      </c>
      <c r="G92" s="14">
        <v>74</v>
      </c>
      <c r="H92" s="14">
        <v>5</v>
      </c>
      <c r="I92" s="14">
        <v>3</v>
      </c>
      <c r="J92" s="14" t="s">
        <v>31</v>
      </c>
      <c r="K92" s="14" cm="1">
        <f t="array" ref="K92">INT(SUMPRODUCT(--ISNUMBER(SEARCH(economy,C92)))&gt;0)</f>
        <v>0</v>
      </c>
      <c r="L92" s="14" cm="1">
        <f t="array" ref="L92">INT(SUMPRODUCT(--ISNUMBER(SEARCH(healthcare,C92)))&gt;0)</f>
        <v>0</v>
      </c>
      <c r="M92" s="14" cm="1">
        <f t="array" ref="M92">INT(SUMPRODUCT(--ISNUMBER(SEARCH(supreme,C92)))&gt;0)</f>
        <v>0</v>
      </c>
      <c r="N92" s="14" cm="1">
        <f t="array" ref="N92">INT(SUMPRODUCT(--ISNUMBER(SEARCH(covid,C92)))&gt;0)</f>
        <v>0</v>
      </c>
      <c r="O92" s="14" cm="1">
        <f t="array" ref="O92">INT(SUMPRODUCT(--ISNUMBER(SEARCH(violent,C92)))&gt;0)</f>
        <v>0</v>
      </c>
      <c r="P92" s="14" cm="1">
        <f t="array" ref="P92">INT(SUMPRODUCT(--ISNUMBER(SEARCH(foreign,C92)))&gt;0)</f>
        <v>0</v>
      </c>
      <c r="Q92" s="14" cm="1">
        <f t="array" ref="Q92">INT(SUMPRODUCT(--ISNUMBER(SEARCH(gun,C92)))&gt;0)</f>
        <v>0</v>
      </c>
      <c r="R92" s="14" cm="1">
        <f t="array" ref="R92">INT(SUMPRODUCT(--ISNUMBER(SEARCH(race,C92)))&gt;0)</f>
        <v>0</v>
      </c>
      <c r="S92" s="14" cm="1">
        <f t="array" ref="S92">INT(SUMPRODUCT(--ISNUMBER(SEARCH(immigration,C92)))&gt;0)</f>
        <v>0</v>
      </c>
      <c r="T92" s="14" cm="1">
        <f t="array" ref="T92">INT(SUMPRODUCT(--ISNUMBER(SEARCH(econineq,C93)))&gt;0)</f>
        <v>0</v>
      </c>
      <c r="U92" s="14" cm="1">
        <f t="array" ref="U92">INT(SUMPRODUCT(--ISNUMBER(SEARCH(climate,C92)))&gt;0)</f>
        <v>0</v>
      </c>
      <c r="V92" s="14" cm="1">
        <f t="array" ref="V92">INT(SUMPRODUCT(--ISNUMBER(SEARCH(abortion,C92)))&gt;0)</f>
        <v>0</v>
      </c>
      <c r="W92" s="14" cm="1">
        <f t="array" ref="W92">INT(SUMPRODUCT(--ISNUMBER(SEARCH(trump,C92)))&gt;0)</f>
        <v>0</v>
      </c>
      <c r="X92" s="14" cm="1">
        <f t="array" ref="X92">INT(SUMPRODUCT(--ISNUMBER(SEARCH(voting,C92)))&gt;0)</f>
        <v>1</v>
      </c>
      <c r="Y92" s="14" cm="1">
        <f t="array" ref="Y92">INT(SUMPRODUCT(--ISNUMBER(SEARCH(republicantrigger,C92)))&gt;0)</f>
        <v>1</v>
      </c>
      <c r="Z92" s="14" cm="1">
        <f t="array" ref="Z92">INT(SUMPRODUCT(--ISNUMBER(SEARCH(bipartisan,C92)))&gt;0)</f>
        <v>0</v>
      </c>
      <c r="AA92" s="14">
        <f t="shared" si="1"/>
        <v>0</v>
      </c>
      <c r="AB92" s="14"/>
      <c r="AC92" s="30">
        <v>1</v>
      </c>
      <c r="AD92" s="37">
        <v>0</v>
      </c>
    </row>
    <row r="93" spans="1:30" x14ac:dyDescent="0.25">
      <c r="A93" s="36">
        <v>858</v>
      </c>
      <c r="B93" s="14" t="s">
        <v>1743</v>
      </c>
      <c r="C93" s="14" t="s">
        <v>1744</v>
      </c>
      <c r="D93" s="17">
        <v>44124</v>
      </c>
      <c r="E93" s="14" t="s">
        <v>30</v>
      </c>
      <c r="F93" s="14">
        <v>57</v>
      </c>
      <c r="G93" s="14">
        <v>18</v>
      </c>
      <c r="H93" s="14">
        <v>5</v>
      </c>
      <c r="I93" s="14">
        <v>3</v>
      </c>
      <c r="J93" s="14" t="s">
        <v>31</v>
      </c>
      <c r="K93" s="14" cm="1">
        <f t="array" ref="K93">INT(SUMPRODUCT(--ISNUMBER(SEARCH(economy,C93)))&gt;0)</f>
        <v>1</v>
      </c>
      <c r="L93" s="14" cm="1">
        <f t="array" ref="L93">INT(SUMPRODUCT(--ISNUMBER(SEARCH(healthcare,C93)))&gt;0)</f>
        <v>0</v>
      </c>
      <c r="M93" s="14" cm="1">
        <f t="array" ref="M93">INT(SUMPRODUCT(--ISNUMBER(SEARCH(supreme,C93)))&gt;0)</f>
        <v>0</v>
      </c>
      <c r="N93" s="14" cm="1">
        <f t="array" ref="N93">INT(SUMPRODUCT(--ISNUMBER(SEARCH(covid,C93)))&gt;0)</f>
        <v>0</v>
      </c>
      <c r="O93" s="14" cm="1">
        <f t="array" ref="O93">INT(SUMPRODUCT(--ISNUMBER(SEARCH(violent,C93)))&gt;0)</f>
        <v>0</v>
      </c>
      <c r="P93" s="14" cm="1">
        <f t="array" ref="P93">INT(SUMPRODUCT(--ISNUMBER(SEARCH(foreign,C93)))&gt;0)</f>
        <v>0</v>
      </c>
      <c r="Q93" s="14" cm="1">
        <f t="array" ref="Q93">INT(SUMPRODUCT(--ISNUMBER(SEARCH(gun,C93)))&gt;0)</f>
        <v>0</v>
      </c>
      <c r="R93" s="14" cm="1">
        <f t="array" ref="R93">INT(SUMPRODUCT(--ISNUMBER(SEARCH(race,C93)))&gt;0)</f>
        <v>0</v>
      </c>
      <c r="S93" s="14" cm="1">
        <f t="array" ref="S93">INT(SUMPRODUCT(--ISNUMBER(SEARCH(immigration,C93)))&gt;0)</f>
        <v>0</v>
      </c>
      <c r="T93" s="14" cm="1">
        <f t="array" ref="T93">INT(SUMPRODUCT(--ISNUMBER(SEARCH(econineq,C94)))&gt;0)</f>
        <v>0</v>
      </c>
      <c r="U93" s="14" cm="1">
        <f t="array" ref="U93">INT(SUMPRODUCT(--ISNUMBER(SEARCH(climate,C93)))&gt;0)</f>
        <v>0</v>
      </c>
      <c r="V93" s="14" cm="1">
        <f t="array" ref="V93">INT(SUMPRODUCT(--ISNUMBER(SEARCH(abortion,C93)))&gt;0)</f>
        <v>0</v>
      </c>
      <c r="W93" s="14" cm="1">
        <f t="array" ref="W93">INT(SUMPRODUCT(--ISNUMBER(SEARCH(trump,C93)))&gt;0)</f>
        <v>0</v>
      </c>
      <c r="X93" s="14" cm="1">
        <f t="array" ref="X93">INT(SUMPRODUCT(--ISNUMBER(SEARCH(voting,C93)))&gt;0)</f>
        <v>0</v>
      </c>
      <c r="Y93" s="14" cm="1">
        <f t="array" ref="Y93">INT(SUMPRODUCT(--ISNUMBER(SEARCH(republicantrigger,C93)))&gt;0)</f>
        <v>1</v>
      </c>
      <c r="Z93" s="14" cm="1">
        <f t="array" ref="Z93">INT(SUMPRODUCT(--ISNUMBER(SEARCH(bipartisan,C93)))&gt;0)</f>
        <v>1</v>
      </c>
      <c r="AA93" s="14">
        <f t="shared" si="1"/>
        <v>0</v>
      </c>
      <c r="AB93" s="14"/>
      <c r="AC93" s="30" t="s">
        <v>223</v>
      </c>
      <c r="AD93" s="37" t="s">
        <v>223</v>
      </c>
    </row>
    <row r="94" spans="1:30" x14ac:dyDescent="0.25">
      <c r="A94" s="36">
        <v>859</v>
      </c>
      <c r="B94" s="14" t="s">
        <v>1745</v>
      </c>
      <c r="C94" s="14" t="s">
        <v>1746</v>
      </c>
      <c r="D94" s="17">
        <v>44124</v>
      </c>
      <c r="E94" s="14" t="s">
        <v>30</v>
      </c>
      <c r="F94" s="14">
        <v>152</v>
      </c>
      <c r="G94" s="14">
        <v>66</v>
      </c>
      <c r="H94" s="14">
        <v>5</v>
      </c>
      <c r="I94" s="14">
        <v>3</v>
      </c>
      <c r="J94" s="14" t="s">
        <v>31</v>
      </c>
      <c r="K94" s="14" cm="1">
        <f t="array" ref="K94">INT(SUMPRODUCT(--ISNUMBER(SEARCH(economy,C94)))&gt;0)</f>
        <v>1</v>
      </c>
      <c r="L94" s="14" cm="1">
        <f t="array" ref="L94">INT(SUMPRODUCT(--ISNUMBER(SEARCH(healthcare,C94)))&gt;0)</f>
        <v>0</v>
      </c>
      <c r="M94" s="14" cm="1">
        <f t="array" ref="M94">INT(SUMPRODUCT(--ISNUMBER(SEARCH(supreme,C94)))&gt;0)</f>
        <v>0</v>
      </c>
      <c r="N94" s="14" cm="1">
        <f t="array" ref="N94">INT(SUMPRODUCT(--ISNUMBER(SEARCH(covid,C94)))&gt;0)</f>
        <v>0</v>
      </c>
      <c r="O94" s="14" cm="1">
        <f t="array" ref="O94">INT(SUMPRODUCT(--ISNUMBER(SEARCH(violent,C94)))&gt;0)</f>
        <v>0</v>
      </c>
      <c r="P94" s="14" cm="1">
        <f t="array" ref="P94">INT(SUMPRODUCT(--ISNUMBER(SEARCH(foreign,C94)))&gt;0)</f>
        <v>0</v>
      </c>
      <c r="Q94" s="14" cm="1">
        <f t="array" ref="Q94">INT(SUMPRODUCT(--ISNUMBER(SEARCH(gun,C94)))&gt;0)</f>
        <v>0</v>
      </c>
      <c r="R94" s="14" cm="1">
        <f t="array" ref="R94">INT(SUMPRODUCT(--ISNUMBER(SEARCH(race,C94)))&gt;0)</f>
        <v>0</v>
      </c>
      <c r="S94" s="14" cm="1">
        <f t="array" ref="S94">INT(SUMPRODUCT(--ISNUMBER(SEARCH(immigration,C94)))&gt;0)</f>
        <v>0</v>
      </c>
      <c r="T94" s="14" cm="1">
        <f t="array" ref="T94">INT(SUMPRODUCT(--ISNUMBER(SEARCH(econineq,C95)))&gt;0)</f>
        <v>0</v>
      </c>
      <c r="U94" s="14" cm="1">
        <f t="array" ref="U94">INT(SUMPRODUCT(--ISNUMBER(SEARCH(climate,C94)))&gt;0)</f>
        <v>0</v>
      </c>
      <c r="V94" s="14" cm="1">
        <f t="array" ref="V94">INT(SUMPRODUCT(--ISNUMBER(SEARCH(abortion,C94)))&gt;0)</f>
        <v>0</v>
      </c>
      <c r="W94" s="14" cm="1">
        <f t="array" ref="W94">INT(SUMPRODUCT(--ISNUMBER(SEARCH(trump,C94)))&gt;0)</f>
        <v>0</v>
      </c>
      <c r="X94" s="14" cm="1">
        <f t="array" ref="X94">INT(SUMPRODUCT(--ISNUMBER(SEARCH(voting,C94)))&gt;0)</f>
        <v>0</v>
      </c>
      <c r="Y94" s="14" cm="1">
        <f t="array" ref="Y94">INT(SUMPRODUCT(--ISNUMBER(SEARCH(republicantrigger,C94)))&gt;0)</f>
        <v>1</v>
      </c>
      <c r="Z94" s="14" cm="1">
        <f t="array" ref="Z94">INT(SUMPRODUCT(--ISNUMBER(SEARCH(bipartisan,C94)))&gt;0)</f>
        <v>0</v>
      </c>
      <c r="AA94" s="14">
        <f t="shared" si="1"/>
        <v>0</v>
      </c>
      <c r="AB94" s="14"/>
      <c r="AC94" s="30">
        <v>0</v>
      </c>
      <c r="AD94" s="37">
        <v>1</v>
      </c>
    </row>
    <row r="95" spans="1:30" x14ac:dyDescent="0.25">
      <c r="A95" s="36">
        <v>860</v>
      </c>
      <c r="B95" s="14" t="s">
        <v>1747</v>
      </c>
      <c r="C95" s="14" t="s">
        <v>1748</v>
      </c>
      <c r="D95" s="17">
        <v>44123</v>
      </c>
      <c r="E95" s="14" t="s">
        <v>30</v>
      </c>
      <c r="F95" s="14">
        <v>130</v>
      </c>
      <c r="G95" s="14">
        <v>60</v>
      </c>
      <c r="H95" s="14">
        <v>5</v>
      </c>
      <c r="I95" s="14">
        <v>3</v>
      </c>
      <c r="J95" s="14" t="s">
        <v>31</v>
      </c>
      <c r="K95" s="14" cm="1">
        <f t="array" ref="K95">INT(SUMPRODUCT(--ISNUMBER(SEARCH(economy,C95)))&gt;0)</f>
        <v>0</v>
      </c>
      <c r="L95" s="14" cm="1">
        <f t="array" ref="L95">INT(SUMPRODUCT(--ISNUMBER(SEARCH(healthcare,C95)))&gt;0)</f>
        <v>0</v>
      </c>
      <c r="M95" s="14" cm="1">
        <f t="array" ref="M95">INT(SUMPRODUCT(--ISNUMBER(SEARCH(supreme,C95)))&gt;0)</f>
        <v>1</v>
      </c>
      <c r="N95" s="14" cm="1">
        <f t="array" ref="N95">INT(SUMPRODUCT(--ISNUMBER(SEARCH(covid,C95)))&gt;0)</f>
        <v>0</v>
      </c>
      <c r="O95" s="14" cm="1">
        <f t="array" ref="O95">INT(SUMPRODUCT(--ISNUMBER(SEARCH(violent,C95)))&gt;0)</f>
        <v>0</v>
      </c>
      <c r="P95" s="14" cm="1">
        <f t="array" ref="P95">INT(SUMPRODUCT(--ISNUMBER(SEARCH(foreign,C95)))&gt;0)</f>
        <v>0</v>
      </c>
      <c r="Q95" s="14" cm="1">
        <f t="array" ref="Q95">INT(SUMPRODUCT(--ISNUMBER(SEARCH(gun,C95)))&gt;0)</f>
        <v>1</v>
      </c>
      <c r="R95" s="14" cm="1">
        <f t="array" ref="R95">INT(SUMPRODUCT(--ISNUMBER(SEARCH(race,C95)))&gt;0)</f>
        <v>0</v>
      </c>
      <c r="S95" s="14" cm="1">
        <f t="array" ref="S95">INT(SUMPRODUCT(--ISNUMBER(SEARCH(immigration,C95)))&gt;0)</f>
        <v>0</v>
      </c>
      <c r="T95" s="14" cm="1">
        <f t="array" ref="T95">INT(SUMPRODUCT(--ISNUMBER(SEARCH(econineq,C96)))&gt;0)</f>
        <v>0</v>
      </c>
      <c r="U95" s="14" cm="1">
        <f t="array" ref="U95">INT(SUMPRODUCT(--ISNUMBER(SEARCH(climate,C95)))&gt;0)</f>
        <v>1</v>
      </c>
      <c r="V95" s="14" cm="1">
        <f t="array" ref="V95">INT(SUMPRODUCT(--ISNUMBER(SEARCH(abortion,C95)))&gt;0)</f>
        <v>0</v>
      </c>
      <c r="W95" s="14" cm="1">
        <f t="array" ref="W95">INT(SUMPRODUCT(--ISNUMBER(SEARCH(trump,C95)))&gt;0)</f>
        <v>0</v>
      </c>
      <c r="X95" s="14" cm="1">
        <f t="array" ref="X95">INT(SUMPRODUCT(--ISNUMBER(SEARCH(voting,C95)))&gt;0)</f>
        <v>0</v>
      </c>
      <c r="Y95" s="14" cm="1">
        <f t="array" ref="Y95">INT(SUMPRODUCT(--ISNUMBER(SEARCH(republicantrigger,C95)))&gt;0)</f>
        <v>1</v>
      </c>
      <c r="Z95" s="14" cm="1">
        <f t="array" ref="Z95">INT(SUMPRODUCT(--ISNUMBER(SEARCH(bipartisan,C95)))&gt;0)</f>
        <v>0</v>
      </c>
      <c r="AA95" s="14">
        <f t="shared" si="1"/>
        <v>0</v>
      </c>
      <c r="AB95" s="14"/>
      <c r="AC95" s="30" t="s">
        <v>223</v>
      </c>
      <c r="AD95" s="37" t="s">
        <v>223</v>
      </c>
    </row>
    <row r="96" spans="1:30" x14ac:dyDescent="0.25">
      <c r="A96" s="36">
        <v>861</v>
      </c>
      <c r="B96" s="14" t="s">
        <v>1749</v>
      </c>
      <c r="C96" s="14" t="s">
        <v>1750</v>
      </c>
      <c r="D96" s="17">
        <v>44123</v>
      </c>
      <c r="E96" s="14" t="s">
        <v>30</v>
      </c>
      <c r="F96" s="14">
        <v>310</v>
      </c>
      <c r="G96" s="14">
        <v>83</v>
      </c>
      <c r="H96" s="14">
        <v>5</v>
      </c>
      <c r="I96" s="14">
        <v>3</v>
      </c>
      <c r="J96" s="14" t="s">
        <v>31</v>
      </c>
      <c r="K96" s="14" cm="1">
        <f t="array" ref="K96">INT(SUMPRODUCT(--ISNUMBER(SEARCH(economy,C96)))&gt;0)</f>
        <v>0</v>
      </c>
      <c r="L96" s="14" cm="1">
        <f t="array" ref="L96">INT(SUMPRODUCT(--ISNUMBER(SEARCH(healthcare,C96)))&gt;0)</f>
        <v>0</v>
      </c>
      <c r="M96" s="14" cm="1">
        <f t="array" ref="M96">INT(SUMPRODUCT(--ISNUMBER(SEARCH(supreme,C96)))&gt;0)</f>
        <v>0</v>
      </c>
      <c r="N96" s="14" cm="1">
        <f t="array" ref="N96">INT(SUMPRODUCT(--ISNUMBER(SEARCH(covid,C96)))&gt;0)</f>
        <v>0</v>
      </c>
      <c r="O96" s="14" cm="1">
        <f t="array" ref="O96">INT(SUMPRODUCT(--ISNUMBER(SEARCH(violent,C96)))&gt;0)</f>
        <v>0</v>
      </c>
      <c r="P96" s="14" cm="1">
        <f t="array" ref="P96">INT(SUMPRODUCT(--ISNUMBER(SEARCH(foreign,C96)))&gt;0)</f>
        <v>0</v>
      </c>
      <c r="Q96" s="14" cm="1">
        <f t="array" ref="Q96">INT(SUMPRODUCT(--ISNUMBER(SEARCH(gun,C96)))&gt;0)</f>
        <v>0</v>
      </c>
      <c r="R96" s="14" cm="1">
        <f t="array" ref="R96">INT(SUMPRODUCT(--ISNUMBER(SEARCH(race,C96)))&gt;0)</f>
        <v>0</v>
      </c>
      <c r="S96" s="14" cm="1">
        <f t="array" ref="S96">INT(SUMPRODUCT(--ISNUMBER(SEARCH(immigration,C96)))&gt;0)</f>
        <v>0</v>
      </c>
      <c r="T96" s="14" cm="1">
        <f t="array" ref="T96">INT(SUMPRODUCT(--ISNUMBER(SEARCH(econineq,C97)))&gt;0)</f>
        <v>0</v>
      </c>
      <c r="U96" s="14" cm="1">
        <f t="array" ref="U96">INT(SUMPRODUCT(--ISNUMBER(SEARCH(climate,C96)))&gt;0)</f>
        <v>0</v>
      </c>
      <c r="V96" s="14" cm="1">
        <f t="array" ref="V96">INT(SUMPRODUCT(--ISNUMBER(SEARCH(abortion,C96)))&gt;0)</f>
        <v>0</v>
      </c>
      <c r="W96" s="14" cm="1">
        <f t="array" ref="W96">INT(SUMPRODUCT(--ISNUMBER(SEARCH(trump,C96)))&gt;0)</f>
        <v>0</v>
      </c>
      <c r="X96" s="14" cm="1">
        <f t="array" ref="X96">INT(SUMPRODUCT(--ISNUMBER(SEARCH(voting,C96)))&gt;0)</f>
        <v>0</v>
      </c>
      <c r="Y96" s="14" cm="1">
        <f t="array" ref="Y96">INT(SUMPRODUCT(--ISNUMBER(SEARCH(republicantrigger,C96)))&gt;0)</f>
        <v>0</v>
      </c>
      <c r="Z96" s="14" cm="1">
        <f t="array" ref="Z96">INT(SUMPRODUCT(--ISNUMBER(SEARCH(bipartisan,C96)))&gt;0)</f>
        <v>0</v>
      </c>
      <c r="AA96" s="14">
        <f t="shared" si="1"/>
        <v>1</v>
      </c>
      <c r="AB96" s="14"/>
      <c r="AC96" s="30" t="s">
        <v>223</v>
      </c>
      <c r="AD96" s="37" t="s">
        <v>223</v>
      </c>
    </row>
    <row r="97" spans="1:30" x14ac:dyDescent="0.25">
      <c r="A97" s="36">
        <v>862</v>
      </c>
      <c r="B97" s="14" t="s">
        <v>1751</v>
      </c>
      <c r="C97" s="14" t="s">
        <v>1752</v>
      </c>
      <c r="D97" s="17">
        <v>44123</v>
      </c>
      <c r="E97" s="14" t="s">
        <v>30</v>
      </c>
      <c r="F97" s="14">
        <v>97</v>
      </c>
      <c r="G97" s="14">
        <v>46</v>
      </c>
      <c r="H97" s="14">
        <v>5</v>
      </c>
      <c r="I97" s="14">
        <v>3</v>
      </c>
      <c r="J97" s="14" t="s">
        <v>31</v>
      </c>
      <c r="K97" s="14" cm="1">
        <f t="array" ref="K97">INT(SUMPRODUCT(--ISNUMBER(SEARCH(economy,C97)))&gt;0)</f>
        <v>0</v>
      </c>
      <c r="L97" s="14" cm="1">
        <f t="array" ref="L97">INT(SUMPRODUCT(--ISNUMBER(SEARCH(healthcare,C97)))&gt;0)</f>
        <v>0</v>
      </c>
      <c r="M97" s="14" cm="1">
        <f t="array" ref="M97">INT(SUMPRODUCT(--ISNUMBER(SEARCH(supreme,C97)))&gt;0)</f>
        <v>0</v>
      </c>
      <c r="N97" s="14" cm="1">
        <f t="array" ref="N97">INT(SUMPRODUCT(--ISNUMBER(SEARCH(covid,C97)))&gt;0)</f>
        <v>0</v>
      </c>
      <c r="O97" s="14" cm="1">
        <f t="array" ref="O97">INT(SUMPRODUCT(--ISNUMBER(SEARCH(violent,C97)))&gt;0)</f>
        <v>1</v>
      </c>
      <c r="P97" s="14" cm="1">
        <f t="array" ref="P97">INT(SUMPRODUCT(--ISNUMBER(SEARCH(foreign,C97)))&gt;0)</f>
        <v>0</v>
      </c>
      <c r="Q97" s="14" cm="1">
        <f t="array" ref="Q97">INT(SUMPRODUCT(--ISNUMBER(SEARCH(gun,C97)))&gt;0)</f>
        <v>0</v>
      </c>
      <c r="R97" s="14" cm="1">
        <f t="array" ref="R97">INT(SUMPRODUCT(--ISNUMBER(SEARCH(race,C97)))&gt;0)</f>
        <v>0</v>
      </c>
      <c r="S97" s="14" cm="1">
        <f t="array" ref="S97">INT(SUMPRODUCT(--ISNUMBER(SEARCH(immigration,C97)))&gt;0)</f>
        <v>1</v>
      </c>
      <c r="T97" s="14" cm="1">
        <f t="array" ref="T97">INT(SUMPRODUCT(--ISNUMBER(SEARCH(econineq,C98)))&gt;0)</f>
        <v>0</v>
      </c>
      <c r="U97" s="14" cm="1">
        <f t="array" ref="U97">INT(SUMPRODUCT(--ISNUMBER(SEARCH(climate,C97)))&gt;0)</f>
        <v>0</v>
      </c>
      <c r="V97" s="14" cm="1">
        <f t="array" ref="V97">INT(SUMPRODUCT(--ISNUMBER(SEARCH(abortion,C97)))&gt;0)</f>
        <v>0</v>
      </c>
      <c r="W97" s="14" cm="1">
        <f t="array" ref="W97">INT(SUMPRODUCT(--ISNUMBER(SEARCH(trump,C97)))&gt;0)</f>
        <v>0</v>
      </c>
      <c r="X97" s="14" cm="1">
        <f t="array" ref="X97">INT(SUMPRODUCT(--ISNUMBER(SEARCH(voting,C97)))&gt;0)</f>
        <v>0</v>
      </c>
      <c r="Y97" s="14" cm="1">
        <f t="array" ref="Y97">INT(SUMPRODUCT(--ISNUMBER(SEARCH(republicantrigger,C97)))&gt;0)</f>
        <v>1</v>
      </c>
      <c r="Z97" s="14" cm="1">
        <f t="array" ref="Z97">INT(SUMPRODUCT(--ISNUMBER(SEARCH(bipartisan,C97)))&gt;0)</f>
        <v>0</v>
      </c>
      <c r="AA97" s="14">
        <f t="shared" si="1"/>
        <v>0</v>
      </c>
      <c r="AB97" s="14"/>
      <c r="AC97" s="30">
        <v>0</v>
      </c>
      <c r="AD97" s="37">
        <v>1</v>
      </c>
    </row>
    <row r="98" spans="1:30" x14ac:dyDescent="0.25">
      <c r="A98" s="36">
        <v>863</v>
      </c>
      <c r="B98" s="14" t="s">
        <v>1753</v>
      </c>
      <c r="C98" s="14" t="s">
        <v>1754</v>
      </c>
      <c r="D98" s="17">
        <v>44123</v>
      </c>
      <c r="E98" s="14" t="s">
        <v>30</v>
      </c>
      <c r="F98" s="14">
        <v>265</v>
      </c>
      <c r="G98" s="14">
        <v>50</v>
      </c>
      <c r="H98" s="14">
        <v>5</v>
      </c>
      <c r="I98" s="14">
        <v>3</v>
      </c>
      <c r="J98" s="14" t="s">
        <v>31</v>
      </c>
      <c r="K98" s="14" cm="1">
        <f t="array" ref="K98">INT(SUMPRODUCT(--ISNUMBER(SEARCH(economy,C98)))&gt;0)</f>
        <v>0</v>
      </c>
      <c r="L98" s="14" cm="1">
        <f t="array" ref="L98">INT(SUMPRODUCT(--ISNUMBER(SEARCH(healthcare,C98)))&gt;0)</f>
        <v>0</v>
      </c>
      <c r="M98" s="14" cm="1">
        <f t="array" ref="M98">INT(SUMPRODUCT(--ISNUMBER(SEARCH(supreme,C98)))&gt;0)</f>
        <v>0</v>
      </c>
      <c r="N98" s="14" cm="1">
        <f t="array" ref="N98">INT(SUMPRODUCT(--ISNUMBER(SEARCH(covid,C98)))&gt;0)</f>
        <v>0</v>
      </c>
      <c r="O98" s="14" cm="1">
        <f t="array" ref="O98">INT(SUMPRODUCT(--ISNUMBER(SEARCH(violent,C98)))&gt;0)</f>
        <v>0</v>
      </c>
      <c r="P98" s="14" cm="1">
        <f t="array" ref="P98">INT(SUMPRODUCT(--ISNUMBER(SEARCH(foreign,C98)))&gt;0)</f>
        <v>0</v>
      </c>
      <c r="Q98" s="14" cm="1">
        <f t="array" ref="Q98">INT(SUMPRODUCT(--ISNUMBER(SEARCH(gun,C98)))&gt;0)</f>
        <v>0</v>
      </c>
      <c r="R98" s="14" cm="1">
        <f t="array" ref="R98">INT(SUMPRODUCT(--ISNUMBER(SEARCH(race,C98)))&gt;0)</f>
        <v>0</v>
      </c>
      <c r="S98" s="14" cm="1">
        <f t="array" ref="S98">INT(SUMPRODUCT(--ISNUMBER(SEARCH(immigration,C98)))&gt;0)</f>
        <v>0</v>
      </c>
      <c r="T98" s="14" cm="1">
        <f t="array" ref="T98">INT(SUMPRODUCT(--ISNUMBER(SEARCH(econineq,C99)))&gt;0)</f>
        <v>0</v>
      </c>
      <c r="U98" s="14" cm="1">
        <f t="array" ref="U98">INT(SUMPRODUCT(--ISNUMBER(SEARCH(climate,C98)))&gt;0)</f>
        <v>0</v>
      </c>
      <c r="V98" s="14" cm="1">
        <f t="array" ref="V98">INT(SUMPRODUCT(--ISNUMBER(SEARCH(abortion,C98)))&gt;0)</f>
        <v>0</v>
      </c>
      <c r="W98" s="14" cm="1">
        <f t="array" ref="W98">INT(SUMPRODUCT(--ISNUMBER(SEARCH(trump,C98)))&gt;0)</f>
        <v>0</v>
      </c>
      <c r="X98" s="14" cm="1">
        <f t="array" ref="X98">INT(SUMPRODUCT(--ISNUMBER(SEARCH(voting,C98)))&gt;0)</f>
        <v>0</v>
      </c>
      <c r="Y98" s="14" cm="1">
        <f t="array" ref="Y98">INT(SUMPRODUCT(--ISNUMBER(SEARCH(republicantrigger,C98)))&gt;0)</f>
        <v>0</v>
      </c>
      <c r="Z98" s="14" cm="1">
        <f t="array" ref="Z98">INT(SUMPRODUCT(--ISNUMBER(SEARCH(bipartisan,C98)))&gt;0)</f>
        <v>0</v>
      </c>
      <c r="AA98" s="14">
        <f t="shared" si="1"/>
        <v>1</v>
      </c>
      <c r="AB98" s="14"/>
      <c r="AC98" s="30">
        <v>0</v>
      </c>
      <c r="AD98" s="37">
        <v>1</v>
      </c>
    </row>
    <row r="99" spans="1:30" x14ac:dyDescent="0.25">
      <c r="A99" s="36">
        <v>864</v>
      </c>
      <c r="B99" s="14" t="s">
        <v>1755</v>
      </c>
      <c r="C99" s="14" t="s">
        <v>1756</v>
      </c>
      <c r="D99" s="17">
        <v>44122</v>
      </c>
      <c r="E99" s="14" t="s">
        <v>30</v>
      </c>
      <c r="F99" s="14">
        <v>230</v>
      </c>
      <c r="G99" s="14">
        <v>65</v>
      </c>
      <c r="H99" s="14">
        <v>5</v>
      </c>
      <c r="I99" s="14">
        <v>3</v>
      </c>
      <c r="J99" s="14" t="s">
        <v>31</v>
      </c>
      <c r="K99" s="14" cm="1">
        <f t="array" ref="K99">INT(SUMPRODUCT(--ISNUMBER(SEARCH(economy,C99)))&gt;0)</f>
        <v>0</v>
      </c>
      <c r="L99" s="14" cm="1">
        <f t="array" ref="L99">INT(SUMPRODUCT(--ISNUMBER(SEARCH(healthcare,C99)))&gt;0)</f>
        <v>0</v>
      </c>
      <c r="M99" s="14" cm="1">
        <f t="array" ref="M99">INT(SUMPRODUCT(--ISNUMBER(SEARCH(supreme,C99)))&gt;0)</f>
        <v>0</v>
      </c>
      <c r="N99" s="14" cm="1">
        <f t="array" ref="N99">INT(SUMPRODUCT(--ISNUMBER(SEARCH(covid,C99)))&gt;0)</f>
        <v>0</v>
      </c>
      <c r="O99" s="14" cm="1">
        <f t="array" ref="O99">INT(SUMPRODUCT(--ISNUMBER(SEARCH(violent,C99)))&gt;0)</f>
        <v>0</v>
      </c>
      <c r="P99" s="14" cm="1">
        <f t="array" ref="P99">INT(SUMPRODUCT(--ISNUMBER(SEARCH(foreign,C99)))&gt;0)</f>
        <v>0</v>
      </c>
      <c r="Q99" s="14" cm="1">
        <f t="array" ref="Q99">INT(SUMPRODUCT(--ISNUMBER(SEARCH(gun,C99)))&gt;0)</f>
        <v>1</v>
      </c>
      <c r="R99" s="14" cm="1">
        <f t="array" ref="R99">INT(SUMPRODUCT(--ISNUMBER(SEARCH(race,C99)))&gt;0)</f>
        <v>0</v>
      </c>
      <c r="S99" s="14" cm="1">
        <f t="array" ref="S99">INT(SUMPRODUCT(--ISNUMBER(SEARCH(immigration,C99)))&gt;0)</f>
        <v>0</v>
      </c>
      <c r="T99" s="14" cm="1">
        <f t="array" ref="T99">INT(SUMPRODUCT(--ISNUMBER(SEARCH(econineq,C100)))&gt;0)</f>
        <v>0</v>
      </c>
      <c r="U99" s="14" cm="1">
        <f t="array" ref="U99">INT(SUMPRODUCT(--ISNUMBER(SEARCH(climate,C99)))&gt;0)</f>
        <v>0</v>
      </c>
      <c r="V99" s="14" cm="1">
        <f t="array" ref="V99">INT(SUMPRODUCT(--ISNUMBER(SEARCH(abortion,C99)))&gt;0)</f>
        <v>0</v>
      </c>
      <c r="W99" s="14" cm="1">
        <f t="array" ref="W99">INT(SUMPRODUCT(--ISNUMBER(SEARCH(trump,C99)))&gt;0)</f>
        <v>0</v>
      </c>
      <c r="X99" s="14" cm="1">
        <f t="array" ref="X99">INT(SUMPRODUCT(--ISNUMBER(SEARCH(voting,C99)))&gt;0)</f>
        <v>0</v>
      </c>
      <c r="Y99" s="14" cm="1">
        <f t="array" ref="Y99">INT(SUMPRODUCT(--ISNUMBER(SEARCH(republicantrigger,C99)))&gt;0)</f>
        <v>0</v>
      </c>
      <c r="Z99" s="14" cm="1">
        <f t="array" ref="Z99">INT(SUMPRODUCT(--ISNUMBER(SEARCH(bipartisan,C99)))&gt;0)</f>
        <v>0</v>
      </c>
      <c r="AA99" s="14">
        <f t="shared" si="1"/>
        <v>0</v>
      </c>
      <c r="AB99" s="14"/>
      <c r="AC99" s="30">
        <v>0</v>
      </c>
      <c r="AD99" s="37">
        <v>1</v>
      </c>
    </row>
    <row r="100" spans="1:30" x14ac:dyDescent="0.25">
      <c r="A100" s="36">
        <v>865</v>
      </c>
      <c r="B100" s="14" t="s">
        <v>1757</v>
      </c>
      <c r="C100" s="14" t="s">
        <v>1758</v>
      </c>
      <c r="D100" s="17">
        <v>44122</v>
      </c>
      <c r="E100" s="14" t="s">
        <v>30</v>
      </c>
      <c r="F100" s="14">
        <v>115</v>
      </c>
      <c r="G100" s="14">
        <v>45</v>
      </c>
      <c r="H100" s="14">
        <v>5</v>
      </c>
      <c r="I100" s="14">
        <v>3</v>
      </c>
      <c r="J100" s="14" t="s">
        <v>31</v>
      </c>
      <c r="K100" s="14" cm="1">
        <f t="array" ref="K100">INT(SUMPRODUCT(--ISNUMBER(SEARCH(economy,C100)))&gt;0)</f>
        <v>0</v>
      </c>
      <c r="L100" s="14" cm="1">
        <f t="array" ref="L100">INT(SUMPRODUCT(--ISNUMBER(SEARCH(healthcare,C100)))&gt;0)</f>
        <v>0</v>
      </c>
      <c r="M100" s="14" cm="1">
        <f t="array" ref="M100">INT(SUMPRODUCT(--ISNUMBER(SEARCH(supreme,C100)))&gt;0)</f>
        <v>0</v>
      </c>
      <c r="N100" s="14" cm="1">
        <f t="array" ref="N100">INT(SUMPRODUCT(--ISNUMBER(SEARCH(covid,C100)))&gt;0)</f>
        <v>0</v>
      </c>
      <c r="O100" s="14" cm="1">
        <f t="array" ref="O100">INT(SUMPRODUCT(--ISNUMBER(SEARCH(violent,C100)))&gt;0)</f>
        <v>0</v>
      </c>
      <c r="P100" s="14" cm="1">
        <f t="array" ref="P100">INT(SUMPRODUCT(--ISNUMBER(SEARCH(foreign,C100)))&gt;0)</f>
        <v>0</v>
      </c>
      <c r="Q100" s="14" cm="1">
        <f t="array" ref="Q100">INT(SUMPRODUCT(--ISNUMBER(SEARCH(gun,C100)))&gt;0)</f>
        <v>0</v>
      </c>
      <c r="R100" s="14" cm="1">
        <f t="array" ref="R100">INT(SUMPRODUCT(--ISNUMBER(SEARCH(race,C100)))&gt;0)</f>
        <v>0</v>
      </c>
      <c r="S100" s="14" cm="1">
        <f t="array" ref="S100">INT(SUMPRODUCT(--ISNUMBER(SEARCH(immigration,C100)))&gt;0)</f>
        <v>0</v>
      </c>
      <c r="T100" s="14" cm="1">
        <f t="array" ref="T100">INT(SUMPRODUCT(--ISNUMBER(SEARCH(econineq,C101)))&gt;0)</f>
        <v>0</v>
      </c>
      <c r="U100" s="14" cm="1">
        <f t="array" ref="U100">INT(SUMPRODUCT(--ISNUMBER(SEARCH(climate,C100)))&gt;0)</f>
        <v>0</v>
      </c>
      <c r="V100" s="14" cm="1">
        <f t="array" ref="V100">INT(SUMPRODUCT(--ISNUMBER(SEARCH(abortion,C100)))&gt;0)</f>
        <v>0</v>
      </c>
      <c r="W100" s="14" cm="1">
        <f t="array" ref="W100">INT(SUMPRODUCT(--ISNUMBER(SEARCH(trump,C100)))&gt;0)</f>
        <v>1</v>
      </c>
      <c r="X100" s="14" cm="1">
        <f t="array" ref="X100">INT(SUMPRODUCT(--ISNUMBER(SEARCH(voting,C100)))&gt;0)</f>
        <v>1</v>
      </c>
      <c r="Y100" s="14" cm="1">
        <f t="array" ref="Y100">INT(SUMPRODUCT(--ISNUMBER(SEARCH(republicantrigger,C100)))&gt;0)</f>
        <v>0</v>
      </c>
      <c r="Z100" s="14" cm="1">
        <f t="array" ref="Z100">INT(SUMPRODUCT(--ISNUMBER(SEARCH(bipartisan,C100)))&gt;0)</f>
        <v>0</v>
      </c>
      <c r="AA100" s="14">
        <f t="shared" si="1"/>
        <v>0</v>
      </c>
      <c r="AB100" s="14"/>
      <c r="AC100" s="30" t="s">
        <v>223</v>
      </c>
      <c r="AD100" s="37" t="s">
        <v>223</v>
      </c>
    </row>
    <row r="101" spans="1:30" x14ac:dyDescent="0.25">
      <c r="A101" s="36">
        <v>866</v>
      </c>
      <c r="B101" s="14" t="s">
        <v>1759</v>
      </c>
      <c r="C101" s="14" t="s">
        <v>1760</v>
      </c>
      <c r="D101" s="17">
        <v>44121</v>
      </c>
      <c r="E101" s="14" t="s">
        <v>30</v>
      </c>
      <c r="F101" s="14">
        <v>268</v>
      </c>
      <c r="G101" s="14">
        <v>43</v>
      </c>
      <c r="H101" s="14">
        <v>5</v>
      </c>
      <c r="I101" s="14">
        <v>3</v>
      </c>
      <c r="J101" s="14" t="s">
        <v>31</v>
      </c>
      <c r="K101" s="14" cm="1">
        <f t="array" ref="K101">INT(SUMPRODUCT(--ISNUMBER(SEARCH(economy,C101)))&gt;0)</f>
        <v>0</v>
      </c>
      <c r="L101" s="14" cm="1">
        <f t="array" ref="L101">INT(SUMPRODUCT(--ISNUMBER(SEARCH(healthcare,C101)))&gt;0)</f>
        <v>0</v>
      </c>
      <c r="M101" s="14" cm="1">
        <f t="array" ref="M101">INT(SUMPRODUCT(--ISNUMBER(SEARCH(supreme,C101)))&gt;0)</f>
        <v>0</v>
      </c>
      <c r="N101" s="14" cm="1">
        <f t="array" ref="N101">INT(SUMPRODUCT(--ISNUMBER(SEARCH(covid,C101)))&gt;0)</f>
        <v>0</v>
      </c>
      <c r="O101" s="14" cm="1">
        <f t="array" ref="O101">INT(SUMPRODUCT(--ISNUMBER(SEARCH(violent,C101)))&gt;0)</f>
        <v>0</v>
      </c>
      <c r="P101" s="14" cm="1">
        <f t="array" ref="P101">INT(SUMPRODUCT(--ISNUMBER(SEARCH(foreign,C101)))&gt;0)</f>
        <v>0</v>
      </c>
      <c r="Q101" s="14" cm="1">
        <f t="array" ref="Q101">INT(SUMPRODUCT(--ISNUMBER(SEARCH(gun,C101)))&gt;0)</f>
        <v>0</v>
      </c>
      <c r="R101" s="14" cm="1">
        <f t="array" ref="R101">INT(SUMPRODUCT(--ISNUMBER(SEARCH(race,C101)))&gt;0)</f>
        <v>0</v>
      </c>
      <c r="S101" s="14" cm="1">
        <f t="array" ref="S101">INT(SUMPRODUCT(--ISNUMBER(SEARCH(immigration,C101)))&gt;0)</f>
        <v>0</v>
      </c>
      <c r="T101" s="14" cm="1">
        <f t="array" ref="T101">INT(SUMPRODUCT(--ISNUMBER(SEARCH(econineq,C102)))&gt;0)</f>
        <v>0</v>
      </c>
      <c r="U101" s="14" cm="1">
        <f t="array" ref="U101">INT(SUMPRODUCT(--ISNUMBER(SEARCH(climate,C101)))&gt;0)</f>
        <v>0</v>
      </c>
      <c r="V101" s="14" cm="1">
        <f t="array" ref="V101">INT(SUMPRODUCT(--ISNUMBER(SEARCH(abortion,C101)))&gt;0)</f>
        <v>0</v>
      </c>
      <c r="W101" s="14" cm="1">
        <f t="array" ref="W101">INT(SUMPRODUCT(--ISNUMBER(SEARCH(trump,C101)))&gt;0)</f>
        <v>0</v>
      </c>
      <c r="X101" s="14" cm="1">
        <f t="array" ref="X101">INT(SUMPRODUCT(--ISNUMBER(SEARCH(voting,C101)))&gt;0)</f>
        <v>0</v>
      </c>
      <c r="Y101" s="14" cm="1">
        <f t="array" ref="Y101">INT(SUMPRODUCT(--ISNUMBER(SEARCH(republicantrigger,C101)))&gt;0)</f>
        <v>0</v>
      </c>
      <c r="Z101" s="14" cm="1">
        <f t="array" ref="Z101">INT(SUMPRODUCT(--ISNUMBER(SEARCH(bipartisan,C101)))&gt;0)</f>
        <v>0</v>
      </c>
      <c r="AA101" s="14">
        <f t="shared" si="1"/>
        <v>1</v>
      </c>
      <c r="AB101" s="14"/>
      <c r="AC101" s="30">
        <v>1</v>
      </c>
      <c r="AD101" s="37">
        <v>0</v>
      </c>
    </row>
    <row r="102" spans="1:30" x14ac:dyDescent="0.25">
      <c r="A102" s="36">
        <v>867</v>
      </c>
      <c r="B102" s="14" t="s">
        <v>1761</v>
      </c>
      <c r="C102" s="14" t="s">
        <v>1762</v>
      </c>
      <c r="D102" s="17">
        <v>44121</v>
      </c>
      <c r="E102" s="14" t="s">
        <v>30</v>
      </c>
      <c r="F102" s="14">
        <v>163</v>
      </c>
      <c r="G102" s="14">
        <v>31</v>
      </c>
      <c r="H102" s="14">
        <v>5</v>
      </c>
      <c r="I102" s="14">
        <v>3</v>
      </c>
      <c r="J102" s="14" t="s">
        <v>31</v>
      </c>
      <c r="K102" s="14" cm="1">
        <f t="array" ref="K102">INT(SUMPRODUCT(--ISNUMBER(SEARCH(economy,C102)))&gt;0)</f>
        <v>0</v>
      </c>
      <c r="L102" s="14" cm="1">
        <f t="array" ref="L102">INT(SUMPRODUCT(--ISNUMBER(SEARCH(healthcare,C102)))&gt;0)</f>
        <v>0</v>
      </c>
      <c r="M102" s="14" cm="1">
        <f t="array" ref="M102">INT(SUMPRODUCT(--ISNUMBER(SEARCH(supreme,C102)))&gt;0)</f>
        <v>0</v>
      </c>
      <c r="N102" s="14" cm="1">
        <f t="array" ref="N102">INT(SUMPRODUCT(--ISNUMBER(SEARCH(covid,C102)))&gt;0)</f>
        <v>0</v>
      </c>
      <c r="O102" s="14" cm="1">
        <f t="array" ref="O102">INT(SUMPRODUCT(--ISNUMBER(SEARCH(violent,C102)))&gt;0)</f>
        <v>0</v>
      </c>
      <c r="P102" s="14" cm="1">
        <f t="array" ref="P102">INT(SUMPRODUCT(--ISNUMBER(SEARCH(foreign,C102)))&gt;0)</f>
        <v>1</v>
      </c>
      <c r="Q102" s="14" cm="1">
        <f t="array" ref="Q102">INT(SUMPRODUCT(--ISNUMBER(SEARCH(gun,C102)))&gt;0)</f>
        <v>0</v>
      </c>
      <c r="R102" s="14" cm="1">
        <f t="array" ref="R102">INT(SUMPRODUCT(--ISNUMBER(SEARCH(race,C102)))&gt;0)</f>
        <v>0</v>
      </c>
      <c r="S102" s="14" cm="1">
        <f t="array" ref="S102">INT(SUMPRODUCT(--ISNUMBER(SEARCH(immigration,C102)))&gt;0)</f>
        <v>0</v>
      </c>
      <c r="T102" s="14" cm="1">
        <f t="array" ref="T102">INT(SUMPRODUCT(--ISNUMBER(SEARCH(econineq,C103)))&gt;0)</f>
        <v>0</v>
      </c>
      <c r="U102" s="14" cm="1">
        <f t="array" ref="U102">INT(SUMPRODUCT(--ISNUMBER(SEARCH(climate,C102)))&gt;0)</f>
        <v>0</v>
      </c>
      <c r="V102" s="14" cm="1">
        <f t="array" ref="V102">INT(SUMPRODUCT(--ISNUMBER(SEARCH(abortion,C102)))&gt;0)</f>
        <v>0</v>
      </c>
      <c r="W102" s="14" cm="1">
        <f t="array" ref="W102">INT(SUMPRODUCT(--ISNUMBER(SEARCH(trump,C102)))&gt;0)</f>
        <v>0</v>
      </c>
      <c r="X102" s="14" cm="1">
        <f t="array" ref="X102">INT(SUMPRODUCT(--ISNUMBER(SEARCH(voting,C102)))&gt;0)</f>
        <v>0</v>
      </c>
      <c r="Y102" s="14" cm="1">
        <f t="array" ref="Y102">INT(SUMPRODUCT(--ISNUMBER(SEARCH(republicantrigger,C102)))&gt;0)</f>
        <v>0</v>
      </c>
      <c r="Z102" s="14" cm="1">
        <f t="array" ref="Z102">INT(SUMPRODUCT(--ISNUMBER(SEARCH(bipartisan,C102)))&gt;0)</f>
        <v>0</v>
      </c>
      <c r="AA102" s="14">
        <f t="shared" si="1"/>
        <v>0</v>
      </c>
      <c r="AB102" s="14"/>
      <c r="AC102" s="30">
        <v>1</v>
      </c>
      <c r="AD102" s="37">
        <v>0</v>
      </c>
    </row>
    <row r="103" spans="1:30" x14ac:dyDescent="0.25">
      <c r="A103" s="36">
        <v>868</v>
      </c>
      <c r="B103" s="14" t="s">
        <v>1763</v>
      </c>
      <c r="C103" s="14" t="s">
        <v>1764</v>
      </c>
      <c r="D103" s="17">
        <v>44121</v>
      </c>
      <c r="E103" s="14" t="s">
        <v>30</v>
      </c>
      <c r="F103" s="14">
        <v>77</v>
      </c>
      <c r="G103" s="14">
        <v>16</v>
      </c>
      <c r="H103" s="14">
        <v>5</v>
      </c>
      <c r="I103" s="14">
        <v>3</v>
      </c>
      <c r="J103" s="14" t="s">
        <v>31</v>
      </c>
      <c r="K103" s="14" cm="1">
        <f t="array" ref="K103">INT(SUMPRODUCT(--ISNUMBER(SEARCH(economy,C103)))&gt;0)</f>
        <v>0</v>
      </c>
      <c r="L103" s="14" cm="1">
        <f t="array" ref="L103">INT(SUMPRODUCT(--ISNUMBER(SEARCH(healthcare,C103)))&gt;0)</f>
        <v>0</v>
      </c>
      <c r="M103" s="14" cm="1">
        <f t="array" ref="M103">INT(SUMPRODUCT(--ISNUMBER(SEARCH(supreme,C103)))&gt;0)</f>
        <v>0</v>
      </c>
      <c r="N103" s="14" cm="1">
        <f t="array" ref="N103">INT(SUMPRODUCT(--ISNUMBER(SEARCH(covid,C103)))&gt;0)</f>
        <v>0</v>
      </c>
      <c r="O103" s="14" cm="1">
        <f t="array" ref="O103">INT(SUMPRODUCT(--ISNUMBER(SEARCH(violent,C103)))&gt;0)</f>
        <v>0</v>
      </c>
      <c r="P103" s="14" cm="1">
        <f t="array" ref="P103">INT(SUMPRODUCT(--ISNUMBER(SEARCH(foreign,C103)))&gt;0)</f>
        <v>0</v>
      </c>
      <c r="Q103" s="14" cm="1">
        <f t="array" ref="Q103">INT(SUMPRODUCT(--ISNUMBER(SEARCH(gun,C103)))&gt;0)</f>
        <v>0</v>
      </c>
      <c r="R103" s="14" cm="1">
        <f t="array" ref="R103">INT(SUMPRODUCT(--ISNUMBER(SEARCH(race,C103)))&gt;0)</f>
        <v>0</v>
      </c>
      <c r="S103" s="14" cm="1">
        <f t="array" ref="S103">INT(SUMPRODUCT(--ISNUMBER(SEARCH(immigration,C103)))&gt;0)</f>
        <v>0</v>
      </c>
      <c r="T103" s="14" cm="1">
        <f t="array" ref="T103">INT(SUMPRODUCT(--ISNUMBER(SEARCH(econineq,C104)))&gt;0)</f>
        <v>0</v>
      </c>
      <c r="U103" s="14" cm="1">
        <f t="array" ref="U103">INT(SUMPRODUCT(--ISNUMBER(SEARCH(climate,C103)))&gt;0)</f>
        <v>0</v>
      </c>
      <c r="V103" s="14" cm="1">
        <f t="array" ref="V103">INT(SUMPRODUCT(--ISNUMBER(SEARCH(abortion,C103)))&gt;0)</f>
        <v>0</v>
      </c>
      <c r="W103" s="14" cm="1">
        <f t="array" ref="W103">INT(SUMPRODUCT(--ISNUMBER(SEARCH(trump,C103)))&gt;0)</f>
        <v>0</v>
      </c>
      <c r="X103" s="14" cm="1">
        <f t="array" ref="X103">INT(SUMPRODUCT(--ISNUMBER(SEARCH(voting,C103)))&gt;0)</f>
        <v>0</v>
      </c>
      <c r="Y103" s="14" cm="1">
        <f t="array" ref="Y103">INT(SUMPRODUCT(--ISNUMBER(SEARCH(republicantrigger,C103)))&gt;0)</f>
        <v>0</v>
      </c>
      <c r="Z103" s="14" cm="1">
        <f t="array" ref="Z103">INT(SUMPRODUCT(--ISNUMBER(SEARCH(bipartisan,C103)))&gt;0)</f>
        <v>0</v>
      </c>
      <c r="AA103" s="14">
        <f t="shared" si="1"/>
        <v>1</v>
      </c>
      <c r="AB103" s="14"/>
      <c r="AC103" s="30">
        <v>1</v>
      </c>
      <c r="AD103" s="37">
        <v>0</v>
      </c>
    </row>
    <row r="104" spans="1:30" x14ac:dyDescent="0.25">
      <c r="A104" s="36">
        <v>869</v>
      </c>
      <c r="B104" s="14" t="s">
        <v>1765</v>
      </c>
      <c r="C104" s="14" t="s">
        <v>1766</v>
      </c>
      <c r="D104" s="17">
        <v>44121</v>
      </c>
      <c r="E104" s="14" t="s">
        <v>30</v>
      </c>
      <c r="F104" s="14">
        <v>59</v>
      </c>
      <c r="G104" s="14">
        <v>17</v>
      </c>
      <c r="H104" s="14">
        <v>5</v>
      </c>
      <c r="I104" s="14">
        <v>3</v>
      </c>
      <c r="J104" s="14" t="s">
        <v>31</v>
      </c>
      <c r="K104" s="14" cm="1">
        <f t="array" ref="K104">INT(SUMPRODUCT(--ISNUMBER(SEARCH(economy,C104)))&gt;0)</f>
        <v>1</v>
      </c>
      <c r="L104" s="14" cm="1">
        <f t="array" ref="L104">INT(SUMPRODUCT(--ISNUMBER(SEARCH(healthcare,C104)))&gt;0)</f>
        <v>0</v>
      </c>
      <c r="M104" s="14" cm="1">
        <f t="array" ref="M104">INT(SUMPRODUCT(--ISNUMBER(SEARCH(supreme,C104)))&gt;0)</f>
        <v>0</v>
      </c>
      <c r="N104" s="14" cm="1">
        <f t="array" ref="N104">INT(SUMPRODUCT(--ISNUMBER(SEARCH(covid,C104)))&gt;0)</f>
        <v>0</v>
      </c>
      <c r="O104" s="14" cm="1">
        <f t="array" ref="O104">INT(SUMPRODUCT(--ISNUMBER(SEARCH(violent,C104)))&gt;0)</f>
        <v>0</v>
      </c>
      <c r="P104" s="14" cm="1">
        <f t="array" ref="P104">INT(SUMPRODUCT(--ISNUMBER(SEARCH(foreign,C104)))&gt;0)</f>
        <v>0</v>
      </c>
      <c r="Q104" s="14" cm="1">
        <f t="array" ref="Q104">INT(SUMPRODUCT(--ISNUMBER(SEARCH(gun,C104)))&gt;0)</f>
        <v>0</v>
      </c>
      <c r="R104" s="14" cm="1">
        <f t="array" ref="R104">INT(SUMPRODUCT(--ISNUMBER(SEARCH(race,C104)))&gt;0)</f>
        <v>0</v>
      </c>
      <c r="S104" s="14" cm="1">
        <f t="array" ref="S104">INT(SUMPRODUCT(--ISNUMBER(SEARCH(immigration,C104)))&gt;0)</f>
        <v>0</v>
      </c>
      <c r="T104" s="14" cm="1">
        <f t="array" ref="T104">INT(SUMPRODUCT(--ISNUMBER(SEARCH(econineq,C105)))&gt;0)</f>
        <v>0</v>
      </c>
      <c r="U104" s="14" cm="1">
        <f t="array" ref="U104">INT(SUMPRODUCT(--ISNUMBER(SEARCH(climate,C104)))&gt;0)</f>
        <v>0</v>
      </c>
      <c r="V104" s="14" cm="1">
        <f t="array" ref="V104">INT(SUMPRODUCT(--ISNUMBER(SEARCH(abortion,C104)))&gt;0)</f>
        <v>0</v>
      </c>
      <c r="W104" s="14" cm="1">
        <f t="array" ref="W104">INT(SUMPRODUCT(--ISNUMBER(SEARCH(trump,C104)))&gt;0)</f>
        <v>0</v>
      </c>
      <c r="X104" s="14" cm="1">
        <f t="array" ref="X104">INT(SUMPRODUCT(--ISNUMBER(SEARCH(voting,C104)))&gt;0)</f>
        <v>0</v>
      </c>
      <c r="Y104" s="14" cm="1">
        <f t="array" ref="Y104">INT(SUMPRODUCT(--ISNUMBER(SEARCH(republicantrigger,C104)))&gt;0)</f>
        <v>0</v>
      </c>
      <c r="Z104" s="14" cm="1">
        <f t="array" ref="Z104">INT(SUMPRODUCT(--ISNUMBER(SEARCH(bipartisan,C104)))&gt;0)</f>
        <v>0</v>
      </c>
      <c r="AA104" s="14">
        <f t="shared" si="1"/>
        <v>0</v>
      </c>
      <c r="AB104" s="14"/>
      <c r="AC104" s="30" t="s">
        <v>223</v>
      </c>
      <c r="AD104" s="37" t="s">
        <v>223</v>
      </c>
    </row>
    <row r="105" spans="1:30" x14ac:dyDescent="0.25">
      <c r="A105" s="36">
        <v>870</v>
      </c>
      <c r="B105" s="14" t="s">
        <v>1767</v>
      </c>
      <c r="C105" s="14" t="s">
        <v>1768</v>
      </c>
      <c r="D105" s="17">
        <v>44121</v>
      </c>
      <c r="E105" s="14" t="s">
        <v>30</v>
      </c>
      <c r="F105" s="14">
        <v>82</v>
      </c>
      <c r="G105" s="14">
        <v>28</v>
      </c>
      <c r="H105" s="14">
        <v>5</v>
      </c>
      <c r="I105" s="14">
        <v>3</v>
      </c>
      <c r="J105" s="14" t="s">
        <v>31</v>
      </c>
      <c r="K105" s="14" cm="1">
        <f t="array" ref="K105">INT(SUMPRODUCT(--ISNUMBER(SEARCH(economy,C105)))&gt;0)</f>
        <v>0</v>
      </c>
      <c r="L105" s="14" cm="1">
        <f t="array" ref="L105">INT(SUMPRODUCT(--ISNUMBER(SEARCH(healthcare,C105)))&gt;0)</f>
        <v>1</v>
      </c>
      <c r="M105" s="14" cm="1">
        <f t="array" ref="M105">INT(SUMPRODUCT(--ISNUMBER(SEARCH(supreme,C105)))&gt;0)</f>
        <v>0</v>
      </c>
      <c r="N105" s="14" cm="1">
        <f t="array" ref="N105">INT(SUMPRODUCT(--ISNUMBER(SEARCH(covid,C105)))&gt;0)</f>
        <v>0</v>
      </c>
      <c r="O105" s="14" cm="1">
        <f t="array" ref="O105">INT(SUMPRODUCT(--ISNUMBER(SEARCH(violent,C105)))&gt;0)</f>
        <v>0</v>
      </c>
      <c r="P105" s="14" cm="1">
        <f t="array" ref="P105">INT(SUMPRODUCT(--ISNUMBER(SEARCH(foreign,C105)))&gt;0)</f>
        <v>0</v>
      </c>
      <c r="Q105" s="14" cm="1">
        <f t="array" ref="Q105">INT(SUMPRODUCT(--ISNUMBER(SEARCH(gun,C105)))&gt;0)</f>
        <v>0</v>
      </c>
      <c r="R105" s="14" cm="1">
        <f t="array" ref="R105">INT(SUMPRODUCT(--ISNUMBER(SEARCH(race,C105)))&gt;0)</f>
        <v>0</v>
      </c>
      <c r="S105" s="14" cm="1">
        <f t="array" ref="S105">INT(SUMPRODUCT(--ISNUMBER(SEARCH(immigration,C105)))&gt;0)</f>
        <v>0</v>
      </c>
      <c r="T105" s="14" cm="1">
        <f t="array" ref="T105">INT(SUMPRODUCT(--ISNUMBER(SEARCH(econineq,C106)))&gt;0)</f>
        <v>0</v>
      </c>
      <c r="U105" s="14" cm="1">
        <f t="array" ref="U105">INT(SUMPRODUCT(--ISNUMBER(SEARCH(climate,C105)))&gt;0)</f>
        <v>0</v>
      </c>
      <c r="V105" s="14" cm="1">
        <f t="array" ref="V105">INT(SUMPRODUCT(--ISNUMBER(SEARCH(abortion,C105)))&gt;0)</f>
        <v>0</v>
      </c>
      <c r="W105" s="14" cm="1">
        <f t="array" ref="W105">INT(SUMPRODUCT(--ISNUMBER(SEARCH(trump,C105)))&gt;0)</f>
        <v>0</v>
      </c>
      <c r="X105" s="14" cm="1">
        <f t="array" ref="X105">INT(SUMPRODUCT(--ISNUMBER(SEARCH(voting,C105)))&gt;0)</f>
        <v>0</v>
      </c>
      <c r="Y105" s="14" cm="1">
        <f t="array" ref="Y105">INT(SUMPRODUCT(--ISNUMBER(SEARCH(republicantrigger,C105)))&gt;0)</f>
        <v>0</v>
      </c>
      <c r="Z105" s="14" cm="1">
        <f t="array" ref="Z105">INT(SUMPRODUCT(--ISNUMBER(SEARCH(bipartisan,C105)))&gt;0)</f>
        <v>0</v>
      </c>
      <c r="AA105" s="14">
        <f t="shared" si="1"/>
        <v>0</v>
      </c>
      <c r="AB105" s="14"/>
      <c r="AC105" s="30">
        <v>1</v>
      </c>
      <c r="AD105" s="37">
        <v>0</v>
      </c>
    </row>
    <row r="106" spans="1:30" x14ac:dyDescent="0.25">
      <c r="A106" s="36">
        <v>871</v>
      </c>
      <c r="B106" s="14" t="s">
        <v>1769</v>
      </c>
      <c r="C106" s="14" t="s">
        <v>1770</v>
      </c>
      <c r="D106" s="17">
        <v>44121</v>
      </c>
      <c r="E106" s="14" t="s">
        <v>30</v>
      </c>
      <c r="F106" s="14">
        <v>113</v>
      </c>
      <c r="G106" s="14">
        <v>25</v>
      </c>
      <c r="H106" s="14">
        <v>5</v>
      </c>
      <c r="I106" s="14">
        <v>3</v>
      </c>
      <c r="J106" s="14" t="s">
        <v>31</v>
      </c>
      <c r="K106" s="14" cm="1">
        <f t="array" ref="K106">INT(SUMPRODUCT(--ISNUMBER(SEARCH(economy,C106)))&gt;0)</f>
        <v>0</v>
      </c>
      <c r="L106" s="14" cm="1">
        <f t="array" ref="L106">INT(SUMPRODUCT(--ISNUMBER(SEARCH(healthcare,C106)))&gt;0)</f>
        <v>0</v>
      </c>
      <c r="M106" s="14" cm="1">
        <f t="array" ref="M106">INT(SUMPRODUCT(--ISNUMBER(SEARCH(supreme,C106)))&gt;0)</f>
        <v>0</v>
      </c>
      <c r="N106" s="14" cm="1">
        <f t="array" ref="N106">INT(SUMPRODUCT(--ISNUMBER(SEARCH(covid,C106)))&gt;0)</f>
        <v>0</v>
      </c>
      <c r="O106" s="14" cm="1">
        <f t="array" ref="O106">INT(SUMPRODUCT(--ISNUMBER(SEARCH(violent,C106)))&gt;0)</f>
        <v>0</v>
      </c>
      <c r="P106" s="14" cm="1">
        <f t="array" ref="P106">INT(SUMPRODUCT(--ISNUMBER(SEARCH(foreign,C106)))&gt;0)</f>
        <v>0</v>
      </c>
      <c r="Q106" s="14" cm="1">
        <f t="array" ref="Q106">INT(SUMPRODUCT(--ISNUMBER(SEARCH(gun,C106)))&gt;0)</f>
        <v>0</v>
      </c>
      <c r="R106" s="14" cm="1">
        <f t="array" ref="R106">INT(SUMPRODUCT(--ISNUMBER(SEARCH(race,C106)))&gt;0)</f>
        <v>0</v>
      </c>
      <c r="S106" s="14" cm="1">
        <f t="array" ref="S106">INT(SUMPRODUCT(--ISNUMBER(SEARCH(immigration,C106)))&gt;0)</f>
        <v>0</v>
      </c>
      <c r="T106" s="14" cm="1">
        <f t="array" ref="T106">INT(SUMPRODUCT(--ISNUMBER(SEARCH(econineq,C107)))&gt;0)</f>
        <v>0</v>
      </c>
      <c r="U106" s="14" cm="1">
        <f t="array" ref="U106">INT(SUMPRODUCT(--ISNUMBER(SEARCH(climate,C106)))&gt;0)</f>
        <v>0</v>
      </c>
      <c r="V106" s="14" cm="1">
        <f t="array" ref="V106">INT(SUMPRODUCT(--ISNUMBER(SEARCH(abortion,C106)))&gt;0)</f>
        <v>0</v>
      </c>
      <c r="W106" s="14" cm="1">
        <f t="array" ref="W106">INT(SUMPRODUCT(--ISNUMBER(SEARCH(trump,C106)))&gt;0)</f>
        <v>0</v>
      </c>
      <c r="X106" s="14" cm="1">
        <f t="array" ref="X106">INT(SUMPRODUCT(--ISNUMBER(SEARCH(voting,C106)))&gt;0)</f>
        <v>0</v>
      </c>
      <c r="Y106" s="14" cm="1">
        <f t="array" ref="Y106">INT(SUMPRODUCT(--ISNUMBER(SEARCH(republicantrigger,C106)))&gt;0)</f>
        <v>0</v>
      </c>
      <c r="Z106" s="14" cm="1">
        <f t="array" ref="Z106">INT(SUMPRODUCT(--ISNUMBER(SEARCH(bipartisan,C106)))&gt;0)</f>
        <v>0</v>
      </c>
      <c r="AA106" s="14">
        <f t="shared" si="1"/>
        <v>1</v>
      </c>
      <c r="AB106" s="14"/>
      <c r="AC106" s="30">
        <v>1</v>
      </c>
      <c r="AD106" s="37">
        <v>0</v>
      </c>
    </row>
    <row r="107" spans="1:30" x14ac:dyDescent="0.25">
      <c r="A107" s="36">
        <v>872</v>
      </c>
      <c r="B107" s="14" t="s">
        <v>1771</v>
      </c>
      <c r="C107" s="14" t="s">
        <v>1772</v>
      </c>
      <c r="D107" s="17">
        <v>44121</v>
      </c>
      <c r="E107" s="14" t="s">
        <v>70</v>
      </c>
      <c r="F107" s="14">
        <v>32</v>
      </c>
      <c r="G107" s="14">
        <v>5</v>
      </c>
      <c r="H107" s="14">
        <v>5</v>
      </c>
      <c r="I107" s="14">
        <v>3</v>
      </c>
      <c r="J107" s="14" t="s">
        <v>31</v>
      </c>
      <c r="K107" s="14" cm="1">
        <f t="array" ref="K107">INT(SUMPRODUCT(--ISNUMBER(SEARCH(economy,C107)))&gt;0)</f>
        <v>0</v>
      </c>
      <c r="L107" s="14" cm="1">
        <f t="array" ref="L107">INT(SUMPRODUCT(--ISNUMBER(SEARCH(healthcare,C107)))&gt;0)</f>
        <v>0</v>
      </c>
      <c r="M107" s="14" cm="1">
        <f t="array" ref="M107">INT(SUMPRODUCT(--ISNUMBER(SEARCH(supreme,C107)))&gt;0)</f>
        <v>0</v>
      </c>
      <c r="N107" s="14" cm="1">
        <f t="array" ref="N107">INT(SUMPRODUCT(--ISNUMBER(SEARCH(covid,C107)))&gt;0)</f>
        <v>0</v>
      </c>
      <c r="O107" s="14" cm="1">
        <f t="array" ref="O107">INT(SUMPRODUCT(--ISNUMBER(SEARCH(violent,C107)))&gt;0)</f>
        <v>0</v>
      </c>
      <c r="P107" s="14" cm="1">
        <f t="array" ref="P107">INT(SUMPRODUCT(--ISNUMBER(SEARCH(foreign,C107)))&gt;0)</f>
        <v>0</v>
      </c>
      <c r="Q107" s="14" cm="1">
        <f t="array" ref="Q107">INT(SUMPRODUCT(--ISNUMBER(SEARCH(gun,C107)))&gt;0)</f>
        <v>0</v>
      </c>
      <c r="R107" s="14" cm="1">
        <f t="array" ref="R107">INT(SUMPRODUCT(--ISNUMBER(SEARCH(race,C107)))&gt;0)</f>
        <v>0</v>
      </c>
      <c r="S107" s="14" cm="1">
        <f t="array" ref="S107">INT(SUMPRODUCT(--ISNUMBER(SEARCH(immigration,C107)))&gt;0)</f>
        <v>0</v>
      </c>
      <c r="T107" s="14" cm="1">
        <f t="array" ref="T107">INT(SUMPRODUCT(--ISNUMBER(SEARCH(econineq,C108)))&gt;0)</f>
        <v>0</v>
      </c>
      <c r="U107" s="14" cm="1">
        <f t="array" ref="U107">INT(SUMPRODUCT(--ISNUMBER(SEARCH(climate,C107)))&gt;0)</f>
        <v>0</v>
      </c>
      <c r="V107" s="14" cm="1">
        <f t="array" ref="V107">INT(SUMPRODUCT(--ISNUMBER(SEARCH(abortion,C107)))&gt;0)</f>
        <v>0</v>
      </c>
      <c r="W107" s="14" cm="1">
        <f t="array" ref="W107">INT(SUMPRODUCT(--ISNUMBER(SEARCH(trump,C107)))&gt;0)</f>
        <v>0</v>
      </c>
      <c r="X107" s="14" cm="1">
        <f t="array" ref="X107">INT(SUMPRODUCT(--ISNUMBER(SEARCH(voting,C107)))&gt;0)</f>
        <v>0</v>
      </c>
      <c r="Y107" s="14" cm="1">
        <f t="array" ref="Y107">INT(SUMPRODUCT(--ISNUMBER(SEARCH(republicantrigger,C107)))&gt;0)</f>
        <v>0</v>
      </c>
      <c r="Z107" s="14" cm="1">
        <f t="array" ref="Z107">INT(SUMPRODUCT(--ISNUMBER(SEARCH(bipartisan,C107)))&gt;0)</f>
        <v>0</v>
      </c>
      <c r="AA107" s="14">
        <f t="shared" si="1"/>
        <v>1</v>
      </c>
      <c r="AB107" s="14"/>
      <c r="AC107" s="30">
        <v>1</v>
      </c>
      <c r="AD107" s="37">
        <v>0</v>
      </c>
    </row>
    <row r="108" spans="1:30" x14ac:dyDescent="0.25">
      <c r="A108" s="36">
        <v>873</v>
      </c>
      <c r="B108" s="14" t="s">
        <v>1773</v>
      </c>
      <c r="C108" s="14" t="s">
        <v>1774</v>
      </c>
      <c r="D108" s="17">
        <v>44121</v>
      </c>
      <c r="E108" s="14" t="s">
        <v>30</v>
      </c>
      <c r="F108" s="14">
        <v>51</v>
      </c>
      <c r="G108" s="14">
        <v>15</v>
      </c>
      <c r="H108" s="14">
        <v>5</v>
      </c>
      <c r="I108" s="14">
        <v>3</v>
      </c>
      <c r="J108" s="14" t="s">
        <v>31</v>
      </c>
      <c r="K108" s="14" cm="1">
        <f t="array" ref="K108">INT(SUMPRODUCT(--ISNUMBER(SEARCH(economy,C108)))&gt;0)</f>
        <v>0</v>
      </c>
      <c r="L108" s="14" cm="1">
        <f t="array" ref="L108">INT(SUMPRODUCT(--ISNUMBER(SEARCH(healthcare,C108)))&gt;0)</f>
        <v>1</v>
      </c>
      <c r="M108" s="14" cm="1">
        <f t="array" ref="M108">INT(SUMPRODUCT(--ISNUMBER(SEARCH(supreme,C108)))&gt;0)</f>
        <v>0</v>
      </c>
      <c r="N108" s="14" cm="1">
        <f t="array" ref="N108">INT(SUMPRODUCT(--ISNUMBER(SEARCH(covid,C108)))&gt;0)</f>
        <v>0</v>
      </c>
      <c r="O108" s="14" cm="1">
        <f t="array" ref="O108">INT(SUMPRODUCT(--ISNUMBER(SEARCH(violent,C108)))&gt;0)</f>
        <v>0</v>
      </c>
      <c r="P108" s="14" cm="1">
        <f t="array" ref="P108">INT(SUMPRODUCT(--ISNUMBER(SEARCH(foreign,C108)))&gt;0)</f>
        <v>0</v>
      </c>
      <c r="Q108" s="14" cm="1">
        <f t="array" ref="Q108">INT(SUMPRODUCT(--ISNUMBER(SEARCH(gun,C108)))&gt;0)</f>
        <v>0</v>
      </c>
      <c r="R108" s="14" cm="1">
        <f t="array" ref="R108">INT(SUMPRODUCT(--ISNUMBER(SEARCH(race,C108)))&gt;0)</f>
        <v>0</v>
      </c>
      <c r="S108" s="14" cm="1">
        <f t="array" ref="S108">INT(SUMPRODUCT(--ISNUMBER(SEARCH(immigration,C108)))&gt;0)</f>
        <v>0</v>
      </c>
      <c r="T108" s="14" cm="1">
        <f t="array" ref="T108">INT(SUMPRODUCT(--ISNUMBER(SEARCH(econineq,C109)))&gt;0)</f>
        <v>0</v>
      </c>
      <c r="U108" s="14" cm="1">
        <f t="array" ref="U108">INT(SUMPRODUCT(--ISNUMBER(SEARCH(climate,C108)))&gt;0)</f>
        <v>1</v>
      </c>
      <c r="V108" s="14" cm="1">
        <f t="array" ref="V108">INT(SUMPRODUCT(--ISNUMBER(SEARCH(abortion,C108)))&gt;0)</f>
        <v>0</v>
      </c>
      <c r="W108" s="14" cm="1">
        <f t="array" ref="W108">INT(SUMPRODUCT(--ISNUMBER(SEARCH(trump,C108)))&gt;0)</f>
        <v>0</v>
      </c>
      <c r="X108" s="14" cm="1">
        <f t="array" ref="X108">INT(SUMPRODUCT(--ISNUMBER(SEARCH(voting,C108)))&gt;0)</f>
        <v>0</v>
      </c>
      <c r="Y108" s="14" cm="1">
        <f t="array" ref="Y108">INT(SUMPRODUCT(--ISNUMBER(SEARCH(republicantrigger,C108)))&gt;0)</f>
        <v>0</v>
      </c>
      <c r="Z108" s="14" cm="1">
        <f t="array" ref="Z108">INT(SUMPRODUCT(--ISNUMBER(SEARCH(bipartisan,C108)))&gt;0)</f>
        <v>0</v>
      </c>
      <c r="AA108" s="14">
        <f t="shared" si="1"/>
        <v>0</v>
      </c>
      <c r="AB108" s="14"/>
      <c r="AC108" s="30">
        <v>1</v>
      </c>
      <c r="AD108" s="37">
        <v>0</v>
      </c>
    </row>
    <row r="109" spans="1:30" x14ac:dyDescent="0.25">
      <c r="A109" s="36">
        <v>874</v>
      </c>
      <c r="B109" s="14" t="s">
        <v>1775</v>
      </c>
      <c r="C109" s="14" t="s">
        <v>1776</v>
      </c>
      <c r="D109" s="17">
        <v>44121</v>
      </c>
      <c r="E109" s="14" t="s">
        <v>30</v>
      </c>
      <c r="F109" s="14">
        <v>112</v>
      </c>
      <c r="G109" s="14">
        <v>21</v>
      </c>
      <c r="H109" s="14">
        <v>5</v>
      </c>
      <c r="I109" s="14">
        <v>3</v>
      </c>
      <c r="J109" s="14" t="s">
        <v>31</v>
      </c>
      <c r="K109" s="14" cm="1">
        <f t="array" ref="K109">INT(SUMPRODUCT(--ISNUMBER(SEARCH(economy,C109)))&gt;0)</f>
        <v>0</v>
      </c>
      <c r="L109" s="14" cm="1">
        <f t="array" ref="L109">INT(SUMPRODUCT(--ISNUMBER(SEARCH(healthcare,C109)))&gt;0)</f>
        <v>0</v>
      </c>
      <c r="M109" s="14" cm="1">
        <f t="array" ref="M109">INT(SUMPRODUCT(--ISNUMBER(SEARCH(supreme,C109)))&gt;0)</f>
        <v>0</v>
      </c>
      <c r="N109" s="14" cm="1">
        <f t="array" ref="N109">INT(SUMPRODUCT(--ISNUMBER(SEARCH(covid,C109)))&gt;0)</f>
        <v>0</v>
      </c>
      <c r="O109" s="14" cm="1">
        <f t="array" ref="O109">INT(SUMPRODUCT(--ISNUMBER(SEARCH(violent,C109)))&gt;0)</f>
        <v>0</v>
      </c>
      <c r="P109" s="14" cm="1">
        <f t="array" ref="P109">INT(SUMPRODUCT(--ISNUMBER(SEARCH(foreign,C109)))&gt;0)</f>
        <v>0</v>
      </c>
      <c r="Q109" s="14" cm="1">
        <f t="array" ref="Q109">INT(SUMPRODUCT(--ISNUMBER(SEARCH(gun,C109)))&gt;0)</f>
        <v>0</v>
      </c>
      <c r="R109" s="14" cm="1">
        <f t="array" ref="R109">INT(SUMPRODUCT(--ISNUMBER(SEARCH(race,C109)))&gt;0)</f>
        <v>0</v>
      </c>
      <c r="S109" s="14" cm="1">
        <f t="array" ref="S109">INT(SUMPRODUCT(--ISNUMBER(SEARCH(immigration,C109)))&gt;0)</f>
        <v>0</v>
      </c>
      <c r="T109" s="14" cm="1">
        <f t="array" ref="T109">INT(SUMPRODUCT(--ISNUMBER(SEARCH(econineq,C110)))&gt;0)</f>
        <v>0</v>
      </c>
      <c r="U109" s="14" cm="1">
        <f t="array" ref="U109">INT(SUMPRODUCT(--ISNUMBER(SEARCH(climate,C109)))&gt;0)</f>
        <v>0</v>
      </c>
      <c r="V109" s="14" cm="1">
        <f t="array" ref="V109">INT(SUMPRODUCT(--ISNUMBER(SEARCH(abortion,C109)))&gt;0)</f>
        <v>0</v>
      </c>
      <c r="W109" s="14" cm="1">
        <f t="array" ref="W109">INT(SUMPRODUCT(--ISNUMBER(SEARCH(trump,C109)))&gt;0)</f>
        <v>0</v>
      </c>
      <c r="X109" s="14" cm="1">
        <f t="array" ref="X109">INT(SUMPRODUCT(--ISNUMBER(SEARCH(voting,C109)))&gt;0)</f>
        <v>1</v>
      </c>
      <c r="Y109" s="14" cm="1">
        <f t="array" ref="Y109">INT(SUMPRODUCT(--ISNUMBER(SEARCH(republicantrigger,C109)))&gt;0)</f>
        <v>0</v>
      </c>
      <c r="Z109" s="14" cm="1">
        <f t="array" ref="Z109">INT(SUMPRODUCT(--ISNUMBER(SEARCH(bipartisan,C109)))&gt;0)</f>
        <v>0</v>
      </c>
      <c r="AA109" s="14">
        <f t="shared" si="1"/>
        <v>0</v>
      </c>
      <c r="AB109" s="14"/>
      <c r="AC109" s="30">
        <v>1</v>
      </c>
      <c r="AD109" s="37">
        <v>0</v>
      </c>
    </row>
    <row r="110" spans="1:30" x14ac:dyDescent="0.25">
      <c r="A110" s="36">
        <v>875</v>
      </c>
      <c r="B110" s="14" t="s">
        <v>1777</v>
      </c>
      <c r="C110" s="14" t="s">
        <v>1778</v>
      </c>
      <c r="D110" s="17">
        <v>44121</v>
      </c>
      <c r="E110" s="14" t="s">
        <v>30</v>
      </c>
      <c r="F110" s="14">
        <v>45</v>
      </c>
      <c r="G110" s="14">
        <v>9</v>
      </c>
      <c r="H110" s="14">
        <v>5</v>
      </c>
      <c r="I110" s="14">
        <v>3</v>
      </c>
      <c r="J110" s="14" t="s">
        <v>31</v>
      </c>
      <c r="K110" s="14" cm="1">
        <f t="array" ref="K110">INT(SUMPRODUCT(--ISNUMBER(SEARCH(economy,C110)))&gt;0)</f>
        <v>1</v>
      </c>
      <c r="L110" s="14" cm="1">
        <f t="array" ref="L110">INT(SUMPRODUCT(--ISNUMBER(SEARCH(healthcare,C110)))&gt;0)</f>
        <v>0</v>
      </c>
      <c r="M110" s="14" cm="1">
        <f t="array" ref="M110">INT(SUMPRODUCT(--ISNUMBER(SEARCH(supreme,C110)))&gt;0)</f>
        <v>0</v>
      </c>
      <c r="N110" s="14" cm="1">
        <f t="array" ref="N110">INT(SUMPRODUCT(--ISNUMBER(SEARCH(covid,C110)))&gt;0)</f>
        <v>0</v>
      </c>
      <c r="O110" s="14" cm="1">
        <f t="array" ref="O110">INT(SUMPRODUCT(--ISNUMBER(SEARCH(violent,C110)))&gt;0)</f>
        <v>0</v>
      </c>
      <c r="P110" s="14" cm="1">
        <f t="array" ref="P110">INT(SUMPRODUCT(--ISNUMBER(SEARCH(foreign,C110)))&gt;0)</f>
        <v>0</v>
      </c>
      <c r="Q110" s="14" cm="1">
        <f t="array" ref="Q110">INT(SUMPRODUCT(--ISNUMBER(SEARCH(gun,C110)))&gt;0)</f>
        <v>0</v>
      </c>
      <c r="R110" s="14" cm="1">
        <f t="array" ref="R110">INT(SUMPRODUCT(--ISNUMBER(SEARCH(race,C110)))&gt;0)</f>
        <v>0</v>
      </c>
      <c r="S110" s="14" cm="1">
        <f t="array" ref="S110">INT(SUMPRODUCT(--ISNUMBER(SEARCH(immigration,C110)))&gt;0)</f>
        <v>0</v>
      </c>
      <c r="T110" s="14" cm="1">
        <f t="array" ref="T110">INT(SUMPRODUCT(--ISNUMBER(SEARCH(econineq,C111)))&gt;0)</f>
        <v>0</v>
      </c>
      <c r="U110" s="14" cm="1">
        <f t="array" ref="U110">INT(SUMPRODUCT(--ISNUMBER(SEARCH(climate,C110)))&gt;0)</f>
        <v>0</v>
      </c>
      <c r="V110" s="14" cm="1">
        <f t="array" ref="V110">INT(SUMPRODUCT(--ISNUMBER(SEARCH(abortion,C110)))&gt;0)</f>
        <v>0</v>
      </c>
      <c r="W110" s="14" cm="1">
        <f t="array" ref="W110">INT(SUMPRODUCT(--ISNUMBER(SEARCH(trump,C110)))&gt;0)</f>
        <v>0</v>
      </c>
      <c r="X110" s="14" cm="1">
        <f t="array" ref="X110">INT(SUMPRODUCT(--ISNUMBER(SEARCH(voting,C110)))&gt;0)</f>
        <v>0</v>
      </c>
      <c r="Y110" s="14" cm="1">
        <f t="array" ref="Y110">INT(SUMPRODUCT(--ISNUMBER(SEARCH(republicantrigger,C110)))&gt;0)</f>
        <v>0</v>
      </c>
      <c r="Z110" s="14" cm="1">
        <f t="array" ref="Z110">INT(SUMPRODUCT(--ISNUMBER(SEARCH(bipartisan,C110)))&gt;0)</f>
        <v>0</v>
      </c>
      <c r="AA110" s="14">
        <f t="shared" si="1"/>
        <v>0</v>
      </c>
      <c r="AB110" s="14"/>
      <c r="AC110" s="30">
        <v>1</v>
      </c>
      <c r="AD110" s="37">
        <v>0</v>
      </c>
    </row>
    <row r="111" spans="1:30" x14ac:dyDescent="0.25">
      <c r="A111" s="36">
        <v>876</v>
      </c>
      <c r="B111" s="14" t="s">
        <v>1779</v>
      </c>
      <c r="C111" s="14" t="s">
        <v>1780</v>
      </c>
      <c r="D111" s="17">
        <v>44121</v>
      </c>
      <c r="E111" s="14" t="s">
        <v>30</v>
      </c>
      <c r="F111" s="14">
        <v>200</v>
      </c>
      <c r="G111" s="14">
        <v>38</v>
      </c>
      <c r="H111" s="14">
        <v>5</v>
      </c>
      <c r="I111" s="14">
        <v>3</v>
      </c>
      <c r="J111" s="14" t="s">
        <v>31</v>
      </c>
      <c r="K111" s="14" cm="1">
        <f t="array" ref="K111">INT(SUMPRODUCT(--ISNUMBER(SEARCH(economy,C111)))&gt;0)</f>
        <v>0</v>
      </c>
      <c r="L111" s="14" cm="1">
        <f t="array" ref="L111">INT(SUMPRODUCT(--ISNUMBER(SEARCH(healthcare,C111)))&gt;0)</f>
        <v>0</v>
      </c>
      <c r="M111" s="14" cm="1">
        <f t="array" ref="M111">INT(SUMPRODUCT(--ISNUMBER(SEARCH(supreme,C111)))&gt;0)</f>
        <v>0</v>
      </c>
      <c r="N111" s="14" cm="1">
        <f t="array" ref="N111">INT(SUMPRODUCT(--ISNUMBER(SEARCH(covid,C111)))&gt;0)</f>
        <v>0</v>
      </c>
      <c r="O111" s="14" cm="1">
        <f t="array" ref="O111">INT(SUMPRODUCT(--ISNUMBER(SEARCH(violent,C111)))&gt;0)</f>
        <v>0</v>
      </c>
      <c r="P111" s="14" cm="1">
        <f t="array" ref="P111">INT(SUMPRODUCT(--ISNUMBER(SEARCH(foreign,C111)))&gt;0)</f>
        <v>0</v>
      </c>
      <c r="Q111" s="14" cm="1">
        <f t="array" ref="Q111">INT(SUMPRODUCT(--ISNUMBER(SEARCH(gun,C111)))&gt;0)</f>
        <v>0</v>
      </c>
      <c r="R111" s="14" cm="1">
        <f t="array" ref="R111">INT(SUMPRODUCT(--ISNUMBER(SEARCH(race,C111)))&gt;0)</f>
        <v>0</v>
      </c>
      <c r="S111" s="14" cm="1">
        <f t="array" ref="S111">INT(SUMPRODUCT(--ISNUMBER(SEARCH(immigration,C111)))&gt;0)</f>
        <v>0</v>
      </c>
      <c r="T111" s="14" cm="1">
        <f t="array" ref="T111">INT(SUMPRODUCT(--ISNUMBER(SEARCH(econineq,C112)))&gt;0)</f>
        <v>0</v>
      </c>
      <c r="U111" s="14" cm="1">
        <f t="array" ref="U111">INT(SUMPRODUCT(--ISNUMBER(SEARCH(climate,C111)))&gt;0)</f>
        <v>0</v>
      </c>
      <c r="V111" s="14" cm="1">
        <f t="array" ref="V111">INT(SUMPRODUCT(--ISNUMBER(SEARCH(abortion,C111)))&gt;0)</f>
        <v>0</v>
      </c>
      <c r="W111" s="14" cm="1">
        <f t="array" ref="W111">INT(SUMPRODUCT(--ISNUMBER(SEARCH(trump,C111)))&gt;0)</f>
        <v>0</v>
      </c>
      <c r="X111" s="14" cm="1">
        <f t="array" ref="X111">INT(SUMPRODUCT(--ISNUMBER(SEARCH(voting,C111)))&gt;0)</f>
        <v>1</v>
      </c>
      <c r="Y111" s="14" cm="1">
        <f t="array" ref="Y111">INT(SUMPRODUCT(--ISNUMBER(SEARCH(republicantrigger,C111)))&gt;0)</f>
        <v>0</v>
      </c>
      <c r="Z111" s="14" cm="1">
        <f t="array" ref="Z111">INT(SUMPRODUCT(--ISNUMBER(SEARCH(bipartisan,C111)))&gt;0)</f>
        <v>0</v>
      </c>
      <c r="AA111" s="14">
        <f t="shared" si="1"/>
        <v>0</v>
      </c>
      <c r="AB111" s="14"/>
      <c r="AC111" s="30">
        <v>0</v>
      </c>
      <c r="AD111" s="37">
        <v>1</v>
      </c>
    </row>
    <row r="112" spans="1:30" x14ac:dyDescent="0.25">
      <c r="A112" s="36">
        <v>877</v>
      </c>
      <c r="B112" s="14" t="s">
        <v>1781</v>
      </c>
      <c r="C112" s="14" t="s">
        <v>1782</v>
      </c>
      <c r="D112" s="17">
        <v>44121</v>
      </c>
      <c r="E112" s="14" t="s">
        <v>30</v>
      </c>
      <c r="F112" s="14">
        <v>88</v>
      </c>
      <c r="G112" s="14">
        <v>18</v>
      </c>
      <c r="H112" s="14">
        <v>5</v>
      </c>
      <c r="I112" s="14">
        <v>3</v>
      </c>
      <c r="J112" s="14" t="s">
        <v>31</v>
      </c>
      <c r="K112" s="14" cm="1">
        <f t="array" ref="K112">INT(SUMPRODUCT(--ISNUMBER(SEARCH(economy,C112)))&gt;0)</f>
        <v>0</v>
      </c>
      <c r="L112" s="14" cm="1">
        <f t="array" ref="L112">INT(SUMPRODUCT(--ISNUMBER(SEARCH(healthcare,C112)))&gt;0)</f>
        <v>0</v>
      </c>
      <c r="M112" s="14" cm="1">
        <f t="array" ref="M112">INT(SUMPRODUCT(--ISNUMBER(SEARCH(supreme,C112)))&gt;0)</f>
        <v>0</v>
      </c>
      <c r="N112" s="14" cm="1">
        <f t="array" ref="N112">INT(SUMPRODUCT(--ISNUMBER(SEARCH(covid,C112)))&gt;0)</f>
        <v>0</v>
      </c>
      <c r="O112" s="14" cm="1">
        <f t="array" ref="O112">INT(SUMPRODUCT(--ISNUMBER(SEARCH(violent,C112)))&gt;0)</f>
        <v>0</v>
      </c>
      <c r="P112" s="14" cm="1">
        <f t="array" ref="P112">INT(SUMPRODUCT(--ISNUMBER(SEARCH(foreign,C112)))&gt;0)</f>
        <v>0</v>
      </c>
      <c r="Q112" s="14" cm="1">
        <f t="array" ref="Q112">INT(SUMPRODUCT(--ISNUMBER(SEARCH(gun,C112)))&gt;0)</f>
        <v>0</v>
      </c>
      <c r="R112" s="14" cm="1">
        <f t="array" ref="R112">INT(SUMPRODUCT(--ISNUMBER(SEARCH(race,C112)))&gt;0)</f>
        <v>0</v>
      </c>
      <c r="S112" s="14" cm="1">
        <f t="array" ref="S112">INT(SUMPRODUCT(--ISNUMBER(SEARCH(immigration,C112)))&gt;0)</f>
        <v>0</v>
      </c>
      <c r="T112" s="14" cm="1">
        <f t="array" ref="T112">INT(SUMPRODUCT(--ISNUMBER(SEARCH(econineq,C113)))&gt;0)</f>
        <v>0</v>
      </c>
      <c r="U112" s="14" cm="1">
        <f t="array" ref="U112">INT(SUMPRODUCT(--ISNUMBER(SEARCH(climate,C112)))&gt;0)</f>
        <v>0</v>
      </c>
      <c r="V112" s="14" cm="1">
        <f t="array" ref="V112">INT(SUMPRODUCT(--ISNUMBER(SEARCH(abortion,C112)))&gt;0)</f>
        <v>0</v>
      </c>
      <c r="W112" s="14" cm="1">
        <f t="array" ref="W112">INT(SUMPRODUCT(--ISNUMBER(SEARCH(trump,C112)))&gt;0)</f>
        <v>0</v>
      </c>
      <c r="X112" s="14" cm="1">
        <f t="array" ref="X112">INT(SUMPRODUCT(--ISNUMBER(SEARCH(voting,C112)))&gt;0)</f>
        <v>1</v>
      </c>
      <c r="Y112" s="14" cm="1">
        <f t="array" ref="Y112">INT(SUMPRODUCT(--ISNUMBER(SEARCH(republicantrigger,C112)))&gt;0)</f>
        <v>0</v>
      </c>
      <c r="Z112" s="14" cm="1">
        <f t="array" ref="Z112">INT(SUMPRODUCT(--ISNUMBER(SEARCH(bipartisan,C112)))&gt;0)</f>
        <v>0</v>
      </c>
      <c r="AA112" s="14">
        <f t="shared" si="1"/>
        <v>0</v>
      </c>
      <c r="AB112" s="14"/>
      <c r="AC112" s="30">
        <v>1</v>
      </c>
      <c r="AD112" s="37">
        <v>0</v>
      </c>
    </row>
    <row r="113" spans="1:30" x14ac:dyDescent="0.25">
      <c r="A113" s="36">
        <v>878</v>
      </c>
      <c r="B113" s="14" t="s">
        <v>1783</v>
      </c>
      <c r="C113" s="14" t="s">
        <v>1784</v>
      </c>
      <c r="D113" s="17">
        <v>44121</v>
      </c>
      <c r="E113" s="14" t="s">
        <v>30</v>
      </c>
      <c r="F113" s="14">
        <v>194</v>
      </c>
      <c r="G113" s="14">
        <v>35</v>
      </c>
      <c r="H113" s="14">
        <v>5</v>
      </c>
      <c r="I113" s="14">
        <v>3</v>
      </c>
      <c r="J113" s="14" t="s">
        <v>31</v>
      </c>
      <c r="K113" s="14" cm="1">
        <f t="array" ref="K113">INT(SUMPRODUCT(--ISNUMBER(SEARCH(economy,C113)))&gt;0)</f>
        <v>0</v>
      </c>
      <c r="L113" s="14" cm="1">
        <f t="array" ref="L113">INT(SUMPRODUCT(--ISNUMBER(SEARCH(healthcare,C113)))&gt;0)</f>
        <v>0</v>
      </c>
      <c r="M113" s="14" cm="1">
        <f t="array" ref="M113">INT(SUMPRODUCT(--ISNUMBER(SEARCH(supreme,C113)))&gt;0)</f>
        <v>0</v>
      </c>
      <c r="N113" s="14" cm="1">
        <f t="array" ref="N113">INT(SUMPRODUCT(--ISNUMBER(SEARCH(covid,C113)))&gt;0)</f>
        <v>0</v>
      </c>
      <c r="O113" s="14" cm="1">
        <f t="array" ref="O113">INT(SUMPRODUCT(--ISNUMBER(SEARCH(violent,C113)))&gt;0)</f>
        <v>0</v>
      </c>
      <c r="P113" s="14" cm="1">
        <f t="array" ref="P113">INT(SUMPRODUCT(--ISNUMBER(SEARCH(foreign,C113)))&gt;0)</f>
        <v>0</v>
      </c>
      <c r="Q113" s="14" cm="1">
        <f t="array" ref="Q113">INT(SUMPRODUCT(--ISNUMBER(SEARCH(gun,C113)))&gt;0)</f>
        <v>0</v>
      </c>
      <c r="R113" s="14" cm="1">
        <f t="array" ref="R113">INT(SUMPRODUCT(--ISNUMBER(SEARCH(race,C113)))&gt;0)</f>
        <v>0</v>
      </c>
      <c r="S113" s="14" cm="1">
        <f t="array" ref="S113">INT(SUMPRODUCT(--ISNUMBER(SEARCH(immigration,C113)))&gt;0)</f>
        <v>0</v>
      </c>
      <c r="T113" s="14" cm="1">
        <f t="array" ref="T113">INT(SUMPRODUCT(--ISNUMBER(SEARCH(econineq,C114)))&gt;0)</f>
        <v>0</v>
      </c>
      <c r="U113" s="14" cm="1">
        <f t="array" ref="U113">INT(SUMPRODUCT(--ISNUMBER(SEARCH(climate,C113)))&gt;0)</f>
        <v>0</v>
      </c>
      <c r="V113" s="14" cm="1">
        <f t="array" ref="V113">INT(SUMPRODUCT(--ISNUMBER(SEARCH(abortion,C113)))&gt;0)</f>
        <v>0</v>
      </c>
      <c r="W113" s="14" cm="1">
        <f t="array" ref="W113">INT(SUMPRODUCT(--ISNUMBER(SEARCH(trump,C113)))&gt;0)</f>
        <v>0</v>
      </c>
      <c r="X113" s="14" cm="1">
        <f t="array" ref="X113">INT(SUMPRODUCT(--ISNUMBER(SEARCH(voting,C113)))&gt;0)</f>
        <v>0</v>
      </c>
      <c r="Y113" s="14" cm="1">
        <f t="array" ref="Y113">INT(SUMPRODUCT(--ISNUMBER(SEARCH(republicantrigger,C113)))&gt;0)</f>
        <v>0</v>
      </c>
      <c r="Z113" s="14" cm="1">
        <f t="array" ref="Z113">INT(SUMPRODUCT(--ISNUMBER(SEARCH(bipartisan,C113)))&gt;0)</f>
        <v>0</v>
      </c>
      <c r="AA113" s="14">
        <f t="shared" si="1"/>
        <v>1</v>
      </c>
      <c r="AB113" s="14"/>
      <c r="AC113" s="30">
        <v>1</v>
      </c>
      <c r="AD113" s="37">
        <v>0</v>
      </c>
    </row>
    <row r="114" spans="1:30" x14ac:dyDescent="0.25">
      <c r="A114" s="36">
        <v>879</v>
      </c>
      <c r="B114" s="14" t="s">
        <v>1785</v>
      </c>
      <c r="C114" s="14" t="s">
        <v>1786</v>
      </c>
      <c r="D114" s="17">
        <v>44121</v>
      </c>
      <c r="E114" s="14" t="s">
        <v>30</v>
      </c>
      <c r="F114" s="14">
        <v>52</v>
      </c>
      <c r="G114" s="14">
        <v>20</v>
      </c>
      <c r="H114" s="14">
        <v>5</v>
      </c>
      <c r="I114" s="14">
        <v>3</v>
      </c>
      <c r="J114" s="14" t="s">
        <v>31</v>
      </c>
      <c r="K114" s="14" cm="1">
        <f t="array" ref="K114">INT(SUMPRODUCT(--ISNUMBER(SEARCH(economy,C114)))&gt;0)</f>
        <v>0</v>
      </c>
      <c r="L114" s="14" cm="1">
        <f t="array" ref="L114">INT(SUMPRODUCT(--ISNUMBER(SEARCH(healthcare,C114)))&gt;0)</f>
        <v>0</v>
      </c>
      <c r="M114" s="14" cm="1">
        <f t="array" ref="M114">INT(SUMPRODUCT(--ISNUMBER(SEARCH(supreme,C114)))&gt;0)</f>
        <v>0</v>
      </c>
      <c r="N114" s="14" cm="1">
        <f t="array" ref="N114">INT(SUMPRODUCT(--ISNUMBER(SEARCH(covid,C114)))&gt;0)</f>
        <v>0</v>
      </c>
      <c r="O114" s="14" cm="1">
        <f t="array" ref="O114">INT(SUMPRODUCT(--ISNUMBER(SEARCH(violent,C114)))&gt;0)</f>
        <v>0</v>
      </c>
      <c r="P114" s="14" cm="1">
        <f t="array" ref="P114">INT(SUMPRODUCT(--ISNUMBER(SEARCH(foreign,C114)))&gt;0)</f>
        <v>0</v>
      </c>
      <c r="Q114" s="14" cm="1">
        <f t="array" ref="Q114">INT(SUMPRODUCT(--ISNUMBER(SEARCH(gun,C114)))&gt;0)</f>
        <v>0</v>
      </c>
      <c r="R114" s="14" cm="1">
        <f t="array" ref="R114">INT(SUMPRODUCT(--ISNUMBER(SEARCH(race,C114)))&gt;0)</f>
        <v>0</v>
      </c>
      <c r="S114" s="14" cm="1">
        <f t="array" ref="S114">INT(SUMPRODUCT(--ISNUMBER(SEARCH(immigration,C114)))&gt;0)</f>
        <v>0</v>
      </c>
      <c r="T114" s="14" cm="1">
        <f t="array" ref="T114">INT(SUMPRODUCT(--ISNUMBER(SEARCH(econineq,C115)))&gt;0)</f>
        <v>0</v>
      </c>
      <c r="U114" s="14" cm="1">
        <f t="array" ref="U114">INT(SUMPRODUCT(--ISNUMBER(SEARCH(climate,C114)))&gt;0)</f>
        <v>0</v>
      </c>
      <c r="V114" s="14" cm="1">
        <f t="array" ref="V114">INT(SUMPRODUCT(--ISNUMBER(SEARCH(abortion,C114)))&gt;0)</f>
        <v>0</v>
      </c>
      <c r="W114" s="14" cm="1">
        <f t="array" ref="W114">INT(SUMPRODUCT(--ISNUMBER(SEARCH(trump,C114)))&gt;0)</f>
        <v>0</v>
      </c>
      <c r="X114" s="14" cm="1">
        <f t="array" ref="X114">INT(SUMPRODUCT(--ISNUMBER(SEARCH(voting,C114)))&gt;0)</f>
        <v>0</v>
      </c>
      <c r="Y114" s="14" cm="1">
        <f t="array" ref="Y114">INT(SUMPRODUCT(--ISNUMBER(SEARCH(republicantrigger,C114)))&gt;0)</f>
        <v>0</v>
      </c>
      <c r="Z114" s="14" cm="1">
        <f t="array" ref="Z114">INT(SUMPRODUCT(--ISNUMBER(SEARCH(bipartisan,C114)))&gt;0)</f>
        <v>0</v>
      </c>
      <c r="AA114" s="14">
        <f t="shared" si="1"/>
        <v>1</v>
      </c>
      <c r="AB114" s="14"/>
      <c r="AC114" s="30" t="s">
        <v>223</v>
      </c>
      <c r="AD114" s="37" t="s">
        <v>223</v>
      </c>
    </row>
    <row r="115" spans="1:30" x14ac:dyDescent="0.25">
      <c r="A115" s="36">
        <v>880</v>
      </c>
      <c r="B115" s="14" t="s">
        <v>1787</v>
      </c>
      <c r="C115" s="14" t="s">
        <v>1788</v>
      </c>
      <c r="D115" s="17">
        <v>44120</v>
      </c>
      <c r="E115" s="14" t="s">
        <v>30</v>
      </c>
      <c r="F115" s="14">
        <v>118</v>
      </c>
      <c r="G115" s="14">
        <v>26</v>
      </c>
      <c r="H115" s="14">
        <v>5</v>
      </c>
      <c r="I115" s="14">
        <v>3</v>
      </c>
      <c r="J115" s="14" t="s">
        <v>31</v>
      </c>
      <c r="K115" s="14" cm="1">
        <f t="array" ref="K115">INT(SUMPRODUCT(--ISNUMBER(SEARCH(economy,C115)))&gt;0)</f>
        <v>0</v>
      </c>
      <c r="L115" s="14" cm="1">
        <f t="array" ref="L115">INT(SUMPRODUCT(--ISNUMBER(SEARCH(healthcare,C115)))&gt;0)</f>
        <v>0</v>
      </c>
      <c r="M115" s="14" cm="1">
        <f t="array" ref="M115">INT(SUMPRODUCT(--ISNUMBER(SEARCH(supreme,C115)))&gt;0)</f>
        <v>0</v>
      </c>
      <c r="N115" s="14" cm="1">
        <f t="array" ref="N115">INT(SUMPRODUCT(--ISNUMBER(SEARCH(covid,C115)))&gt;0)</f>
        <v>0</v>
      </c>
      <c r="O115" s="14" cm="1">
        <f t="array" ref="O115">INT(SUMPRODUCT(--ISNUMBER(SEARCH(violent,C115)))&gt;0)</f>
        <v>0</v>
      </c>
      <c r="P115" s="14" cm="1">
        <f t="array" ref="P115">INT(SUMPRODUCT(--ISNUMBER(SEARCH(foreign,C115)))&gt;0)</f>
        <v>0</v>
      </c>
      <c r="Q115" s="14" cm="1">
        <f t="array" ref="Q115">INT(SUMPRODUCT(--ISNUMBER(SEARCH(gun,C115)))&gt;0)</f>
        <v>0</v>
      </c>
      <c r="R115" s="14" cm="1">
        <f t="array" ref="R115">INT(SUMPRODUCT(--ISNUMBER(SEARCH(race,C115)))&gt;0)</f>
        <v>0</v>
      </c>
      <c r="S115" s="14" cm="1">
        <f t="array" ref="S115">INT(SUMPRODUCT(--ISNUMBER(SEARCH(immigration,C115)))&gt;0)</f>
        <v>0</v>
      </c>
      <c r="T115" s="14" cm="1">
        <f t="array" ref="T115">INT(SUMPRODUCT(--ISNUMBER(SEARCH(econineq,C116)))&gt;0)</f>
        <v>0</v>
      </c>
      <c r="U115" s="14" cm="1">
        <f t="array" ref="U115">INT(SUMPRODUCT(--ISNUMBER(SEARCH(climate,C115)))&gt;0)</f>
        <v>0</v>
      </c>
      <c r="V115" s="14" cm="1">
        <f t="array" ref="V115">INT(SUMPRODUCT(--ISNUMBER(SEARCH(abortion,C115)))&gt;0)</f>
        <v>0</v>
      </c>
      <c r="W115" s="14" cm="1">
        <f t="array" ref="W115">INT(SUMPRODUCT(--ISNUMBER(SEARCH(trump,C115)))&gt;0)</f>
        <v>0</v>
      </c>
      <c r="X115" s="14" cm="1">
        <f t="array" ref="X115">INT(SUMPRODUCT(--ISNUMBER(SEARCH(voting,C115)))&gt;0)</f>
        <v>0</v>
      </c>
      <c r="Y115" s="14" cm="1">
        <f t="array" ref="Y115">INT(SUMPRODUCT(--ISNUMBER(SEARCH(republicantrigger,C115)))&gt;0)</f>
        <v>0</v>
      </c>
      <c r="Z115" s="14" cm="1">
        <f t="array" ref="Z115">INT(SUMPRODUCT(--ISNUMBER(SEARCH(bipartisan,C115)))&gt;0)</f>
        <v>0</v>
      </c>
      <c r="AA115" s="14">
        <f t="shared" si="1"/>
        <v>1</v>
      </c>
      <c r="AB115" s="14"/>
      <c r="AC115" s="30">
        <v>0</v>
      </c>
      <c r="AD115" s="37">
        <v>1</v>
      </c>
    </row>
    <row r="116" spans="1:30" x14ac:dyDescent="0.25">
      <c r="A116" s="36">
        <v>881</v>
      </c>
      <c r="B116" s="14" t="s">
        <v>1789</v>
      </c>
      <c r="C116" s="14" t="s">
        <v>1790</v>
      </c>
      <c r="D116" s="17">
        <v>44120</v>
      </c>
      <c r="E116" s="14" t="s">
        <v>30</v>
      </c>
      <c r="F116" s="14">
        <v>56</v>
      </c>
      <c r="G116" s="14">
        <v>16</v>
      </c>
      <c r="H116" s="14">
        <v>5</v>
      </c>
      <c r="I116" s="14">
        <v>3</v>
      </c>
      <c r="J116" s="14" t="s">
        <v>31</v>
      </c>
      <c r="K116" s="14" cm="1">
        <f t="array" ref="K116">INT(SUMPRODUCT(--ISNUMBER(SEARCH(economy,C116)))&gt;0)</f>
        <v>0</v>
      </c>
      <c r="L116" s="14" cm="1">
        <f t="array" ref="L116">INT(SUMPRODUCT(--ISNUMBER(SEARCH(healthcare,C116)))&gt;0)</f>
        <v>0</v>
      </c>
      <c r="M116" s="14" cm="1">
        <f t="array" ref="M116">INT(SUMPRODUCT(--ISNUMBER(SEARCH(supreme,C116)))&gt;0)</f>
        <v>0</v>
      </c>
      <c r="N116" s="14" cm="1">
        <f t="array" ref="N116">INT(SUMPRODUCT(--ISNUMBER(SEARCH(covid,C116)))&gt;0)</f>
        <v>0</v>
      </c>
      <c r="O116" s="14" cm="1">
        <f t="array" ref="O116">INT(SUMPRODUCT(--ISNUMBER(SEARCH(violent,C116)))&gt;0)</f>
        <v>0</v>
      </c>
      <c r="P116" s="14" cm="1">
        <f t="array" ref="P116">INT(SUMPRODUCT(--ISNUMBER(SEARCH(foreign,C116)))&gt;0)</f>
        <v>0</v>
      </c>
      <c r="Q116" s="14" cm="1">
        <f t="array" ref="Q116">INT(SUMPRODUCT(--ISNUMBER(SEARCH(gun,C116)))&gt;0)</f>
        <v>0</v>
      </c>
      <c r="R116" s="14" cm="1">
        <f t="array" ref="R116">INT(SUMPRODUCT(--ISNUMBER(SEARCH(race,C116)))&gt;0)</f>
        <v>0</v>
      </c>
      <c r="S116" s="14" cm="1">
        <f t="array" ref="S116">INT(SUMPRODUCT(--ISNUMBER(SEARCH(immigration,C116)))&gt;0)</f>
        <v>0</v>
      </c>
      <c r="T116" s="14" cm="1">
        <f t="array" ref="T116">INT(SUMPRODUCT(--ISNUMBER(SEARCH(econineq,C117)))&gt;0)</f>
        <v>0</v>
      </c>
      <c r="U116" s="14" cm="1">
        <f t="array" ref="U116">INT(SUMPRODUCT(--ISNUMBER(SEARCH(climate,C116)))&gt;0)</f>
        <v>0</v>
      </c>
      <c r="V116" s="14" cm="1">
        <f t="array" ref="V116">INT(SUMPRODUCT(--ISNUMBER(SEARCH(abortion,C116)))&gt;0)</f>
        <v>0</v>
      </c>
      <c r="W116" s="14" cm="1">
        <f t="array" ref="W116">INT(SUMPRODUCT(--ISNUMBER(SEARCH(trump,C116)))&gt;0)</f>
        <v>0</v>
      </c>
      <c r="X116" s="14" cm="1">
        <f t="array" ref="X116">INT(SUMPRODUCT(--ISNUMBER(SEARCH(voting,C116)))&gt;0)</f>
        <v>0</v>
      </c>
      <c r="Y116" s="14" cm="1">
        <f t="array" ref="Y116">INT(SUMPRODUCT(--ISNUMBER(SEARCH(republicantrigger,C116)))&gt;0)</f>
        <v>0</v>
      </c>
      <c r="Z116" s="14" cm="1">
        <f t="array" ref="Z116">INT(SUMPRODUCT(--ISNUMBER(SEARCH(bipartisan,C116)))&gt;0)</f>
        <v>0</v>
      </c>
      <c r="AA116" s="14">
        <f t="shared" si="1"/>
        <v>1</v>
      </c>
      <c r="AB116" s="14"/>
      <c r="AC116" s="30">
        <v>1</v>
      </c>
      <c r="AD116" s="37">
        <v>0</v>
      </c>
    </row>
    <row r="117" spans="1:30" x14ac:dyDescent="0.25">
      <c r="A117" s="36">
        <v>882</v>
      </c>
      <c r="B117" s="14" t="s">
        <v>1791</v>
      </c>
      <c r="C117" s="14" t="s">
        <v>1792</v>
      </c>
      <c r="D117" s="17">
        <v>44120</v>
      </c>
      <c r="E117" s="14" t="s">
        <v>30</v>
      </c>
      <c r="F117" s="14">
        <v>163</v>
      </c>
      <c r="G117" s="14">
        <v>38</v>
      </c>
      <c r="H117" s="14">
        <v>5</v>
      </c>
      <c r="I117" s="14">
        <v>3</v>
      </c>
      <c r="J117" s="14" t="s">
        <v>31</v>
      </c>
      <c r="K117" s="14" cm="1">
        <f t="array" ref="K117">INT(SUMPRODUCT(--ISNUMBER(SEARCH(economy,C117)))&gt;0)</f>
        <v>0</v>
      </c>
      <c r="L117" s="14" cm="1">
        <f t="array" ref="L117">INT(SUMPRODUCT(--ISNUMBER(SEARCH(healthcare,C117)))&gt;0)</f>
        <v>0</v>
      </c>
      <c r="M117" s="14" cm="1">
        <f t="array" ref="M117">INT(SUMPRODUCT(--ISNUMBER(SEARCH(supreme,C117)))&gt;0)</f>
        <v>1</v>
      </c>
      <c r="N117" s="14" cm="1">
        <f t="array" ref="N117">INT(SUMPRODUCT(--ISNUMBER(SEARCH(covid,C117)))&gt;0)</f>
        <v>0</v>
      </c>
      <c r="O117" s="14" cm="1">
        <f t="array" ref="O117">INT(SUMPRODUCT(--ISNUMBER(SEARCH(violent,C117)))&gt;0)</f>
        <v>0</v>
      </c>
      <c r="P117" s="14" cm="1">
        <f t="array" ref="P117">INT(SUMPRODUCT(--ISNUMBER(SEARCH(foreign,C117)))&gt;0)</f>
        <v>0</v>
      </c>
      <c r="Q117" s="14" cm="1">
        <f t="array" ref="Q117">INT(SUMPRODUCT(--ISNUMBER(SEARCH(gun,C117)))&gt;0)</f>
        <v>1</v>
      </c>
      <c r="R117" s="14" cm="1">
        <f t="array" ref="R117">INT(SUMPRODUCT(--ISNUMBER(SEARCH(race,C117)))&gt;0)</f>
        <v>0</v>
      </c>
      <c r="S117" s="14" cm="1">
        <f t="array" ref="S117">INT(SUMPRODUCT(--ISNUMBER(SEARCH(immigration,C117)))&gt;0)</f>
        <v>0</v>
      </c>
      <c r="T117" s="14" cm="1">
        <f t="array" ref="T117">INT(SUMPRODUCT(--ISNUMBER(SEARCH(econineq,C118)))&gt;0)</f>
        <v>0</v>
      </c>
      <c r="U117" s="14" cm="1">
        <f t="array" ref="U117">INT(SUMPRODUCT(--ISNUMBER(SEARCH(climate,C117)))&gt;0)</f>
        <v>0</v>
      </c>
      <c r="V117" s="14" cm="1">
        <f t="array" ref="V117">INT(SUMPRODUCT(--ISNUMBER(SEARCH(abortion,C117)))&gt;0)</f>
        <v>0</v>
      </c>
      <c r="W117" s="14" cm="1">
        <f t="array" ref="W117">INT(SUMPRODUCT(--ISNUMBER(SEARCH(trump,C117)))&gt;0)</f>
        <v>0</v>
      </c>
      <c r="X117" s="14" cm="1">
        <f t="array" ref="X117">INT(SUMPRODUCT(--ISNUMBER(SEARCH(voting,C117)))&gt;0)</f>
        <v>0</v>
      </c>
      <c r="Y117" s="14" cm="1">
        <f t="array" ref="Y117">INT(SUMPRODUCT(--ISNUMBER(SEARCH(republicantrigger,C117)))&gt;0)</f>
        <v>1</v>
      </c>
      <c r="Z117" s="14" cm="1">
        <f t="array" ref="Z117">INT(SUMPRODUCT(--ISNUMBER(SEARCH(bipartisan,C117)))&gt;0)</f>
        <v>0</v>
      </c>
      <c r="AA117" s="14">
        <f t="shared" si="1"/>
        <v>0</v>
      </c>
      <c r="AB117" s="14"/>
      <c r="AC117" s="30" t="s">
        <v>223</v>
      </c>
      <c r="AD117" s="37" t="s">
        <v>223</v>
      </c>
    </row>
    <row r="118" spans="1:30" x14ac:dyDescent="0.25">
      <c r="A118" s="36">
        <v>883</v>
      </c>
      <c r="B118" s="14" t="s">
        <v>1793</v>
      </c>
      <c r="C118" s="14" t="s">
        <v>1794</v>
      </c>
      <c r="D118" s="17">
        <v>44120</v>
      </c>
      <c r="E118" s="14" t="s">
        <v>30</v>
      </c>
      <c r="F118" s="14">
        <v>1090</v>
      </c>
      <c r="G118" s="14">
        <v>316</v>
      </c>
      <c r="H118" s="14">
        <v>5</v>
      </c>
      <c r="I118" s="14">
        <v>3</v>
      </c>
      <c r="J118" s="14" t="s">
        <v>31</v>
      </c>
      <c r="K118" s="14" cm="1">
        <f t="array" ref="K118">INT(SUMPRODUCT(--ISNUMBER(SEARCH(economy,C118)))&gt;0)</f>
        <v>0</v>
      </c>
      <c r="L118" s="14" cm="1">
        <f t="array" ref="L118">INT(SUMPRODUCT(--ISNUMBER(SEARCH(healthcare,C118)))&gt;0)</f>
        <v>0</v>
      </c>
      <c r="M118" s="14" cm="1">
        <f t="array" ref="M118">INT(SUMPRODUCT(--ISNUMBER(SEARCH(supreme,C118)))&gt;0)</f>
        <v>0</v>
      </c>
      <c r="N118" s="14" cm="1">
        <f t="array" ref="N118">INT(SUMPRODUCT(--ISNUMBER(SEARCH(covid,C118)))&gt;0)</f>
        <v>0</v>
      </c>
      <c r="O118" s="14" cm="1">
        <f t="array" ref="O118">INT(SUMPRODUCT(--ISNUMBER(SEARCH(violent,C118)))&gt;0)</f>
        <v>0</v>
      </c>
      <c r="P118" s="14" cm="1">
        <f t="array" ref="P118">INT(SUMPRODUCT(--ISNUMBER(SEARCH(foreign,C118)))&gt;0)</f>
        <v>0</v>
      </c>
      <c r="Q118" s="14" cm="1">
        <f t="array" ref="Q118">INT(SUMPRODUCT(--ISNUMBER(SEARCH(gun,C118)))&gt;0)</f>
        <v>0</v>
      </c>
      <c r="R118" s="14" cm="1">
        <f t="array" ref="R118">INT(SUMPRODUCT(--ISNUMBER(SEARCH(race,C118)))&gt;0)</f>
        <v>0</v>
      </c>
      <c r="S118" s="14" cm="1">
        <f t="array" ref="S118">INT(SUMPRODUCT(--ISNUMBER(SEARCH(immigration,C118)))&gt;0)</f>
        <v>0</v>
      </c>
      <c r="T118" s="14" cm="1">
        <f t="array" ref="T118">INT(SUMPRODUCT(--ISNUMBER(SEARCH(econineq,C119)))&gt;0)</f>
        <v>0</v>
      </c>
      <c r="U118" s="14" cm="1">
        <f t="array" ref="U118">INT(SUMPRODUCT(--ISNUMBER(SEARCH(climate,C118)))&gt;0)</f>
        <v>0</v>
      </c>
      <c r="V118" s="14" cm="1">
        <f t="array" ref="V118">INT(SUMPRODUCT(--ISNUMBER(SEARCH(abortion,C118)))&gt;0)</f>
        <v>0</v>
      </c>
      <c r="W118" s="14" cm="1">
        <f t="array" ref="W118">INT(SUMPRODUCT(--ISNUMBER(SEARCH(trump,C118)))&gt;0)</f>
        <v>0</v>
      </c>
      <c r="X118" s="14" cm="1">
        <f t="array" ref="X118">INT(SUMPRODUCT(--ISNUMBER(SEARCH(voting,C118)))&gt;0)</f>
        <v>0</v>
      </c>
      <c r="Y118" s="14" cm="1">
        <f t="array" ref="Y118">INT(SUMPRODUCT(--ISNUMBER(SEARCH(republicantrigger,C118)))&gt;0)</f>
        <v>0</v>
      </c>
      <c r="Z118" s="14" cm="1">
        <f t="array" ref="Z118">INT(SUMPRODUCT(--ISNUMBER(SEARCH(bipartisan,C118)))&gt;0)</f>
        <v>0</v>
      </c>
      <c r="AA118" s="14">
        <f t="shared" si="1"/>
        <v>1</v>
      </c>
      <c r="AB118" s="14"/>
      <c r="AC118" s="30">
        <v>0</v>
      </c>
      <c r="AD118" s="37">
        <v>1</v>
      </c>
    </row>
    <row r="119" spans="1:30" x14ac:dyDescent="0.25">
      <c r="A119" s="36">
        <v>884</v>
      </c>
      <c r="B119" s="14" t="s">
        <v>1795</v>
      </c>
      <c r="C119" s="14" t="s">
        <v>1796</v>
      </c>
      <c r="D119" s="17">
        <v>44120</v>
      </c>
      <c r="E119" s="14" t="s">
        <v>30</v>
      </c>
      <c r="F119" s="14">
        <v>32</v>
      </c>
      <c r="G119" s="14">
        <v>16</v>
      </c>
      <c r="H119" s="14">
        <v>5</v>
      </c>
      <c r="I119" s="14">
        <v>3</v>
      </c>
      <c r="J119" s="14" t="s">
        <v>31</v>
      </c>
      <c r="K119" s="14" cm="1">
        <f t="array" ref="K119">INT(SUMPRODUCT(--ISNUMBER(SEARCH(economy,C119)))&gt;0)</f>
        <v>1</v>
      </c>
      <c r="L119" s="14" cm="1">
        <f t="array" ref="L119">INT(SUMPRODUCT(--ISNUMBER(SEARCH(healthcare,C119)))&gt;0)</f>
        <v>0</v>
      </c>
      <c r="M119" s="14" cm="1">
        <f t="array" ref="M119">INT(SUMPRODUCT(--ISNUMBER(SEARCH(supreme,C119)))&gt;0)</f>
        <v>0</v>
      </c>
      <c r="N119" s="14" cm="1">
        <f t="array" ref="N119">INT(SUMPRODUCT(--ISNUMBER(SEARCH(covid,C119)))&gt;0)</f>
        <v>0</v>
      </c>
      <c r="O119" s="14" cm="1">
        <f t="array" ref="O119">INT(SUMPRODUCT(--ISNUMBER(SEARCH(violent,C119)))&gt;0)</f>
        <v>0</v>
      </c>
      <c r="P119" s="14" cm="1">
        <f t="array" ref="P119">INT(SUMPRODUCT(--ISNUMBER(SEARCH(foreign,C119)))&gt;0)</f>
        <v>0</v>
      </c>
      <c r="Q119" s="14" cm="1">
        <f t="array" ref="Q119">INT(SUMPRODUCT(--ISNUMBER(SEARCH(gun,C119)))&gt;0)</f>
        <v>0</v>
      </c>
      <c r="R119" s="14" cm="1">
        <f t="array" ref="R119">INT(SUMPRODUCT(--ISNUMBER(SEARCH(race,C119)))&gt;0)</f>
        <v>0</v>
      </c>
      <c r="S119" s="14" cm="1">
        <f t="array" ref="S119">INT(SUMPRODUCT(--ISNUMBER(SEARCH(immigration,C119)))&gt;0)</f>
        <v>0</v>
      </c>
      <c r="T119" s="14" cm="1">
        <f t="array" ref="T119">INT(SUMPRODUCT(--ISNUMBER(SEARCH(econineq,C120)))&gt;0)</f>
        <v>0</v>
      </c>
      <c r="U119" s="14" cm="1">
        <f t="array" ref="U119">INT(SUMPRODUCT(--ISNUMBER(SEARCH(climate,C119)))&gt;0)</f>
        <v>0</v>
      </c>
      <c r="V119" s="14" cm="1">
        <f t="array" ref="V119">INT(SUMPRODUCT(--ISNUMBER(SEARCH(abortion,C119)))&gt;0)</f>
        <v>0</v>
      </c>
      <c r="W119" s="14" cm="1">
        <f t="array" ref="W119">INT(SUMPRODUCT(--ISNUMBER(SEARCH(trump,C119)))&gt;0)</f>
        <v>0</v>
      </c>
      <c r="X119" s="14" cm="1">
        <f t="array" ref="X119">INT(SUMPRODUCT(--ISNUMBER(SEARCH(voting,C119)))&gt;0)</f>
        <v>0</v>
      </c>
      <c r="Y119" s="14" cm="1">
        <f t="array" ref="Y119">INT(SUMPRODUCT(--ISNUMBER(SEARCH(republicantrigger,C119)))&gt;0)</f>
        <v>1</v>
      </c>
      <c r="Z119" s="14" cm="1">
        <f t="array" ref="Z119">INT(SUMPRODUCT(--ISNUMBER(SEARCH(bipartisan,C119)))&gt;0)</f>
        <v>0</v>
      </c>
      <c r="AA119" s="14">
        <f t="shared" si="1"/>
        <v>0</v>
      </c>
      <c r="AB119" s="14"/>
      <c r="AC119" s="30">
        <v>1</v>
      </c>
      <c r="AD119" s="37">
        <v>0</v>
      </c>
    </row>
    <row r="120" spans="1:30" x14ac:dyDescent="0.25">
      <c r="A120" s="36">
        <v>885</v>
      </c>
      <c r="B120" s="14" t="s">
        <v>1797</v>
      </c>
      <c r="C120" s="14" t="s">
        <v>1798</v>
      </c>
      <c r="D120" s="17">
        <v>44120</v>
      </c>
      <c r="E120" s="14" t="s">
        <v>30</v>
      </c>
      <c r="F120" s="14">
        <v>40</v>
      </c>
      <c r="G120" s="14">
        <v>14</v>
      </c>
      <c r="H120" s="14">
        <v>5</v>
      </c>
      <c r="I120" s="14">
        <v>3</v>
      </c>
      <c r="J120" s="14" t="s">
        <v>31</v>
      </c>
      <c r="K120" s="14" cm="1">
        <f t="array" ref="K120">INT(SUMPRODUCT(--ISNUMBER(SEARCH(economy,C120)))&gt;0)</f>
        <v>0</v>
      </c>
      <c r="L120" s="14" cm="1">
        <f t="array" ref="L120">INT(SUMPRODUCT(--ISNUMBER(SEARCH(healthcare,C120)))&gt;0)</f>
        <v>0</v>
      </c>
      <c r="M120" s="14" cm="1">
        <f t="array" ref="M120">INT(SUMPRODUCT(--ISNUMBER(SEARCH(supreme,C120)))&gt;0)</f>
        <v>0</v>
      </c>
      <c r="N120" s="14" cm="1">
        <f t="array" ref="N120">INT(SUMPRODUCT(--ISNUMBER(SEARCH(covid,C120)))&gt;0)</f>
        <v>0</v>
      </c>
      <c r="O120" s="14" cm="1">
        <f t="array" ref="O120">INT(SUMPRODUCT(--ISNUMBER(SEARCH(violent,C120)))&gt;0)</f>
        <v>0</v>
      </c>
      <c r="P120" s="14" cm="1">
        <f t="array" ref="P120">INT(SUMPRODUCT(--ISNUMBER(SEARCH(foreign,C120)))&gt;0)</f>
        <v>0</v>
      </c>
      <c r="Q120" s="14" cm="1">
        <f t="array" ref="Q120">INT(SUMPRODUCT(--ISNUMBER(SEARCH(gun,C120)))&gt;0)</f>
        <v>0</v>
      </c>
      <c r="R120" s="14" cm="1">
        <f t="array" ref="R120">INT(SUMPRODUCT(--ISNUMBER(SEARCH(race,C120)))&gt;0)</f>
        <v>0</v>
      </c>
      <c r="S120" s="14" cm="1">
        <f t="array" ref="S120">INT(SUMPRODUCT(--ISNUMBER(SEARCH(immigration,C120)))&gt;0)</f>
        <v>0</v>
      </c>
      <c r="T120" s="14" cm="1">
        <f t="array" ref="T120">INT(SUMPRODUCT(--ISNUMBER(SEARCH(econineq,C121)))&gt;0)</f>
        <v>0</v>
      </c>
      <c r="U120" s="14" cm="1">
        <f t="array" ref="U120">INT(SUMPRODUCT(--ISNUMBER(SEARCH(climate,C120)))&gt;0)</f>
        <v>1</v>
      </c>
      <c r="V120" s="14" cm="1">
        <f t="array" ref="V120">INT(SUMPRODUCT(--ISNUMBER(SEARCH(abortion,C120)))&gt;0)</f>
        <v>0</v>
      </c>
      <c r="W120" s="14" cm="1">
        <f t="array" ref="W120">INT(SUMPRODUCT(--ISNUMBER(SEARCH(trump,C120)))&gt;0)</f>
        <v>0</v>
      </c>
      <c r="X120" s="14" cm="1">
        <f t="array" ref="X120">INT(SUMPRODUCT(--ISNUMBER(SEARCH(voting,C120)))&gt;0)</f>
        <v>0</v>
      </c>
      <c r="Y120" s="14" cm="1">
        <f t="array" ref="Y120">INT(SUMPRODUCT(--ISNUMBER(SEARCH(republicantrigger,C120)))&gt;0)</f>
        <v>0</v>
      </c>
      <c r="Z120" s="14" cm="1">
        <f t="array" ref="Z120">INT(SUMPRODUCT(--ISNUMBER(SEARCH(bipartisan,C120)))&gt;0)</f>
        <v>0</v>
      </c>
      <c r="AA120" s="14">
        <f t="shared" si="1"/>
        <v>0</v>
      </c>
      <c r="AB120" s="14"/>
      <c r="AC120" s="30">
        <v>1</v>
      </c>
      <c r="AD120" s="37">
        <v>0</v>
      </c>
    </row>
    <row r="121" spans="1:30" x14ac:dyDescent="0.25">
      <c r="A121" s="36">
        <v>886</v>
      </c>
      <c r="B121" s="14" t="s">
        <v>1799</v>
      </c>
      <c r="C121" s="14" t="s">
        <v>1800</v>
      </c>
      <c r="D121" s="17">
        <v>44120</v>
      </c>
      <c r="E121" s="14" t="s">
        <v>30</v>
      </c>
      <c r="F121" s="14">
        <v>84</v>
      </c>
      <c r="G121" s="14">
        <v>31</v>
      </c>
      <c r="H121" s="14">
        <v>5</v>
      </c>
      <c r="I121" s="14">
        <v>3</v>
      </c>
      <c r="J121" s="14" t="s">
        <v>31</v>
      </c>
      <c r="K121" s="14" cm="1">
        <f t="array" ref="K121">INT(SUMPRODUCT(--ISNUMBER(SEARCH(economy,C121)))&gt;0)</f>
        <v>0</v>
      </c>
      <c r="L121" s="14" cm="1">
        <f t="array" ref="L121">INT(SUMPRODUCT(--ISNUMBER(SEARCH(healthcare,C121)))&gt;0)</f>
        <v>0</v>
      </c>
      <c r="M121" s="14" cm="1">
        <f t="array" ref="M121">INT(SUMPRODUCT(--ISNUMBER(SEARCH(supreme,C121)))&gt;0)</f>
        <v>0</v>
      </c>
      <c r="N121" s="14" cm="1">
        <f t="array" ref="N121">INT(SUMPRODUCT(--ISNUMBER(SEARCH(covid,C121)))&gt;0)</f>
        <v>1</v>
      </c>
      <c r="O121" s="14" cm="1">
        <f t="array" ref="O121">INT(SUMPRODUCT(--ISNUMBER(SEARCH(violent,C121)))&gt;0)</f>
        <v>0</v>
      </c>
      <c r="P121" s="14" cm="1">
        <f t="array" ref="P121">INT(SUMPRODUCT(--ISNUMBER(SEARCH(foreign,C121)))&gt;0)</f>
        <v>0</v>
      </c>
      <c r="Q121" s="14" cm="1">
        <f t="array" ref="Q121">INT(SUMPRODUCT(--ISNUMBER(SEARCH(gun,C121)))&gt;0)</f>
        <v>0</v>
      </c>
      <c r="R121" s="14" cm="1">
        <f t="array" ref="R121">INT(SUMPRODUCT(--ISNUMBER(SEARCH(race,C121)))&gt;0)</f>
        <v>0</v>
      </c>
      <c r="S121" s="14" cm="1">
        <f t="array" ref="S121">INT(SUMPRODUCT(--ISNUMBER(SEARCH(immigration,C121)))&gt;0)</f>
        <v>0</v>
      </c>
      <c r="T121" s="14" cm="1">
        <f t="array" ref="T121">INT(SUMPRODUCT(--ISNUMBER(SEARCH(econineq,C122)))&gt;0)</f>
        <v>0</v>
      </c>
      <c r="U121" s="14" cm="1">
        <f t="array" ref="U121">INT(SUMPRODUCT(--ISNUMBER(SEARCH(climate,C121)))&gt;0)</f>
        <v>1</v>
      </c>
      <c r="V121" s="14" cm="1">
        <f t="array" ref="V121">INT(SUMPRODUCT(--ISNUMBER(SEARCH(abortion,C121)))&gt;0)</f>
        <v>0</v>
      </c>
      <c r="W121" s="14" cm="1">
        <f t="array" ref="W121">INT(SUMPRODUCT(--ISNUMBER(SEARCH(trump,C121)))&gt;0)</f>
        <v>0</v>
      </c>
      <c r="X121" s="14" cm="1">
        <f t="array" ref="X121">INT(SUMPRODUCT(--ISNUMBER(SEARCH(voting,C121)))&gt;0)</f>
        <v>0</v>
      </c>
      <c r="Y121" s="14" cm="1">
        <f t="array" ref="Y121">INT(SUMPRODUCT(--ISNUMBER(SEARCH(republicantrigger,C121)))&gt;0)</f>
        <v>0</v>
      </c>
      <c r="Z121" s="14" cm="1">
        <f t="array" ref="Z121">INT(SUMPRODUCT(--ISNUMBER(SEARCH(bipartisan,C121)))&gt;0)</f>
        <v>0</v>
      </c>
      <c r="AA121" s="14">
        <f t="shared" si="1"/>
        <v>0</v>
      </c>
      <c r="AB121" s="14"/>
      <c r="AC121" s="30" t="s">
        <v>223</v>
      </c>
      <c r="AD121" s="37" t="s">
        <v>223</v>
      </c>
    </row>
    <row r="122" spans="1:30" x14ac:dyDescent="0.25">
      <c r="A122" s="36">
        <v>887</v>
      </c>
      <c r="B122" s="14" t="s">
        <v>1801</v>
      </c>
      <c r="C122" s="14" t="s">
        <v>1802</v>
      </c>
      <c r="D122" s="17">
        <v>44120</v>
      </c>
      <c r="E122" s="14" t="s">
        <v>30</v>
      </c>
      <c r="F122" s="14">
        <v>25</v>
      </c>
      <c r="G122" s="14">
        <v>17</v>
      </c>
      <c r="H122" s="14">
        <v>5</v>
      </c>
      <c r="I122" s="14">
        <v>3</v>
      </c>
      <c r="J122" s="14" t="s">
        <v>31</v>
      </c>
      <c r="K122" s="14" cm="1">
        <f t="array" ref="K122">INT(SUMPRODUCT(--ISNUMBER(SEARCH(economy,C122)))&gt;0)</f>
        <v>0</v>
      </c>
      <c r="L122" s="14" cm="1">
        <f t="array" ref="L122">INT(SUMPRODUCT(--ISNUMBER(SEARCH(healthcare,C122)))&gt;0)</f>
        <v>0</v>
      </c>
      <c r="M122" s="14" cm="1">
        <f t="array" ref="M122">INT(SUMPRODUCT(--ISNUMBER(SEARCH(supreme,C122)))&gt;0)</f>
        <v>0</v>
      </c>
      <c r="N122" s="14" cm="1">
        <f t="array" ref="N122">INT(SUMPRODUCT(--ISNUMBER(SEARCH(covid,C122)))&gt;0)</f>
        <v>0</v>
      </c>
      <c r="O122" s="14" cm="1">
        <f t="array" ref="O122">INT(SUMPRODUCT(--ISNUMBER(SEARCH(violent,C122)))&gt;0)</f>
        <v>0</v>
      </c>
      <c r="P122" s="14" cm="1">
        <f t="array" ref="P122">INT(SUMPRODUCT(--ISNUMBER(SEARCH(foreign,C122)))&gt;0)</f>
        <v>0</v>
      </c>
      <c r="Q122" s="14" cm="1">
        <f t="array" ref="Q122">INT(SUMPRODUCT(--ISNUMBER(SEARCH(gun,C122)))&gt;0)</f>
        <v>0</v>
      </c>
      <c r="R122" s="14" cm="1">
        <f t="array" ref="R122">INT(SUMPRODUCT(--ISNUMBER(SEARCH(race,C122)))&gt;0)</f>
        <v>0</v>
      </c>
      <c r="S122" s="14" cm="1">
        <f t="array" ref="S122">INT(SUMPRODUCT(--ISNUMBER(SEARCH(immigration,C122)))&gt;0)</f>
        <v>0</v>
      </c>
      <c r="T122" s="14" cm="1">
        <f t="array" ref="T122">INT(SUMPRODUCT(--ISNUMBER(SEARCH(econineq,C123)))&gt;0)</f>
        <v>0</v>
      </c>
      <c r="U122" s="14" cm="1">
        <f t="array" ref="U122">INT(SUMPRODUCT(--ISNUMBER(SEARCH(climate,C122)))&gt;0)</f>
        <v>1</v>
      </c>
      <c r="V122" s="14" cm="1">
        <f t="array" ref="V122">INT(SUMPRODUCT(--ISNUMBER(SEARCH(abortion,C122)))&gt;0)</f>
        <v>0</v>
      </c>
      <c r="W122" s="14" cm="1">
        <f t="array" ref="W122">INT(SUMPRODUCT(--ISNUMBER(SEARCH(trump,C122)))&gt;0)</f>
        <v>0</v>
      </c>
      <c r="X122" s="14" cm="1">
        <f t="array" ref="X122">INT(SUMPRODUCT(--ISNUMBER(SEARCH(voting,C122)))&gt;0)</f>
        <v>0</v>
      </c>
      <c r="Y122" s="14" cm="1">
        <f t="array" ref="Y122">INT(SUMPRODUCT(--ISNUMBER(SEARCH(republicantrigger,C122)))&gt;0)</f>
        <v>1</v>
      </c>
      <c r="Z122" s="14" cm="1">
        <f t="array" ref="Z122">INT(SUMPRODUCT(--ISNUMBER(SEARCH(bipartisan,C122)))&gt;0)</f>
        <v>0</v>
      </c>
      <c r="AA122" s="14">
        <f t="shared" si="1"/>
        <v>0</v>
      </c>
      <c r="AB122" s="14"/>
      <c r="AC122" s="30">
        <v>1</v>
      </c>
      <c r="AD122" s="37">
        <v>0</v>
      </c>
    </row>
    <row r="123" spans="1:30" x14ac:dyDescent="0.25">
      <c r="A123" s="36">
        <v>888</v>
      </c>
      <c r="B123" s="14" t="s">
        <v>1803</v>
      </c>
      <c r="C123" s="14" t="s">
        <v>1804</v>
      </c>
      <c r="D123" s="17">
        <v>44120</v>
      </c>
      <c r="E123" s="14" t="s">
        <v>30</v>
      </c>
      <c r="F123" s="14">
        <v>31</v>
      </c>
      <c r="G123" s="14">
        <v>25</v>
      </c>
      <c r="H123" s="14">
        <v>5</v>
      </c>
      <c r="I123" s="14">
        <v>3</v>
      </c>
      <c r="J123" s="14" t="s">
        <v>31</v>
      </c>
      <c r="K123" s="14" cm="1">
        <f t="array" ref="K123">INT(SUMPRODUCT(--ISNUMBER(SEARCH(economy,C123)))&gt;0)</f>
        <v>0</v>
      </c>
      <c r="L123" s="14" cm="1">
        <f t="array" ref="L123">INT(SUMPRODUCT(--ISNUMBER(SEARCH(healthcare,C123)))&gt;0)</f>
        <v>0</v>
      </c>
      <c r="M123" s="14" cm="1">
        <f t="array" ref="M123">INT(SUMPRODUCT(--ISNUMBER(SEARCH(supreme,C123)))&gt;0)</f>
        <v>0</v>
      </c>
      <c r="N123" s="14" cm="1">
        <f t="array" ref="N123">INT(SUMPRODUCT(--ISNUMBER(SEARCH(covid,C123)))&gt;0)</f>
        <v>0</v>
      </c>
      <c r="O123" s="14" cm="1">
        <f t="array" ref="O123">INT(SUMPRODUCT(--ISNUMBER(SEARCH(violent,C123)))&gt;0)</f>
        <v>0</v>
      </c>
      <c r="P123" s="14" cm="1">
        <f t="array" ref="P123">INT(SUMPRODUCT(--ISNUMBER(SEARCH(foreign,C123)))&gt;0)</f>
        <v>0</v>
      </c>
      <c r="Q123" s="14" cm="1">
        <f t="array" ref="Q123">INT(SUMPRODUCT(--ISNUMBER(SEARCH(gun,C123)))&gt;0)</f>
        <v>0</v>
      </c>
      <c r="R123" s="14" cm="1">
        <f t="array" ref="R123">INT(SUMPRODUCT(--ISNUMBER(SEARCH(race,C123)))&gt;0)</f>
        <v>0</v>
      </c>
      <c r="S123" s="14" cm="1">
        <f t="array" ref="S123">INT(SUMPRODUCT(--ISNUMBER(SEARCH(immigration,C123)))&gt;0)</f>
        <v>0</v>
      </c>
      <c r="T123" s="14" cm="1">
        <f t="array" ref="T123">INT(SUMPRODUCT(--ISNUMBER(SEARCH(econineq,C124)))&gt;0)</f>
        <v>0</v>
      </c>
      <c r="U123" s="14" cm="1">
        <f t="array" ref="U123">INT(SUMPRODUCT(--ISNUMBER(SEARCH(climate,C123)))&gt;0)</f>
        <v>0</v>
      </c>
      <c r="V123" s="14" cm="1">
        <f t="array" ref="V123">INT(SUMPRODUCT(--ISNUMBER(SEARCH(abortion,C123)))&gt;0)</f>
        <v>0</v>
      </c>
      <c r="W123" s="14" cm="1">
        <f t="array" ref="W123">INT(SUMPRODUCT(--ISNUMBER(SEARCH(trump,C123)))&gt;0)</f>
        <v>0</v>
      </c>
      <c r="X123" s="14" cm="1">
        <f t="array" ref="X123">INT(SUMPRODUCT(--ISNUMBER(SEARCH(voting,C123)))&gt;0)</f>
        <v>1</v>
      </c>
      <c r="Y123" s="14" cm="1">
        <f t="array" ref="Y123">INT(SUMPRODUCT(--ISNUMBER(SEARCH(republicantrigger,C123)))&gt;0)</f>
        <v>1</v>
      </c>
      <c r="Z123" s="14" cm="1">
        <f t="array" ref="Z123">INT(SUMPRODUCT(--ISNUMBER(SEARCH(bipartisan,C123)))&gt;0)</f>
        <v>0</v>
      </c>
      <c r="AA123" s="14">
        <f t="shared" si="1"/>
        <v>0</v>
      </c>
      <c r="AB123" s="14"/>
      <c r="AC123" s="30">
        <v>1</v>
      </c>
      <c r="AD123" s="37">
        <v>0</v>
      </c>
    </row>
    <row r="124" spans="1:30" x14ac:dyDescent="0.25">
      <c r="A124" s="36">
        <v>889</v>
      </c>
      <c r="B124" s="14" t="s">
        <v>1805</v>
      </c>
      <c r="C124" s="14" t="s">
        <v>1806</v>
      </c>
      <c r="D124" s="17">
        <v>44120</v>
      </c>
      <c r="E124" s="14" t="s">
        <v>30</v>
      </c>
      <c r="F124" s="14">
        <v>57</v>
      </c>
      <c r="G124" s="14">
        <v>30</v>
      </c>
      <c r="H124" s="14">
        <v>5</v>
      </c>
      <c r="I124" s="14">
        <v>3</v>
      </c>
      <c r="J124" s="14" t="s">
        <v>31</v>
      </c>
      <c r="K124" s="14" cm="1">
        <f t="array" ref="K124">INT(SUMPRODUCT(--ISNUMBER(SEARCH(economy,C124)))&gt;0)</f>
        <v>0</v>
      </c>
      <c r="L124" s="14" cm="1">
        <f t="array" ref="L124">INT(SUMPRODUCT(--ISNUMBER(SEARCH(healthcare,C124)))&gt;0)</f>
        <v>0</v>
      </c>
      <c r="M124" s="14" cm="1">
        <f t="array" ref="M124">INT(SUMPRODUCT(--ISNUMBER(SEARCH(supreme,C124)))&gt;0)</f>
        <v>0</v>
      </c>
      <c r="N124" s="14" cm="1">
        <f t="array" ref="N124">INT(SUMPRODUCT(--ISNUMBER(SEARCH(covid,C124)))&gt;0)</f>
        <v>0</v>
      </c>
      <c r="O124" s="14" cm="1">
        <f t="array" ref="O124">INT(SUMPRODUCT(--ISNUMBER(SEARCH(violent,C124)))&gt;0)</f>
        <v>0</v>
      </c>
      <c r="P124" s="14" cm="1">
        <f t="array" ref="P124">INT(SUMPRODUCT(--ISNUMBER(SEARCH(foreign,C124)))&gt;0)</f>
        <v>0</v>
      </c>
      <c r="Q124" s="14" cm="1">
        <f t="array" ref="Q124">INT(SUMPRODUCT(--ISNUMBER(SEARCH(gun,C124)))&gt;0)</f>
        <v>0</v>
      </c>
      <c r="R124" s="14" cm="1">
        <f t="array" ref="R124">INT(SUMPRODUCT(--ISNUMBER(SEARCH(race,C124)))&gt;0)</f>
        <v>0</v>
      </c>
      <c r="S124" s="14" cm="1">
        <f t="array" ref="S124">INT(SUMPRODUCT(--ISNUMBER(SEARCH(immigration,C124)))&gt;0)</f>
        <v>0</v>
      </c>
      <c r="T124" s="14" cm="1">
        <f t="array" ref="T124">INT(SUMPRODUCT(--ISNUMBER(SEARCH(econineq,C125)))&gt;0)</f>
        <v>0</v>
      </c>
      <c r="U124" s="14" cm="1">
        <f t="array" ref="U124">INT(SUMPRODUCT(--ISNUMBER(SEARCH(climate,C124)))&gt;0)</f>
        <v>0</v>
      </c>
      <c r="V124" s="14" cm="1">
        <f t="array" ref="V124">INT(SUMPRODUCT(--ISNUMBER(SEARCH(abortion,C124)))&gt;0)</f>
        <v>0</v>
      </c>
      <c r="W124" s="14" cm="1">
        <f t="array" ref="W124">INT(SUMPRODUCT(--ISNUMBER(SEARCH(trump,C124)))&gt;0)</f>
        <v>0</v>
      </c>
      <c r="X124" s="14" cm="1">
        <f t="array" ref="X124">INT(SUMPRODUCT(--ISNUMBER(SEARCH(voting,C124)))&gt;0)</f>
        <v>0</v>
      </c>
      <c r="Y124" s="14" cm="1">
        <f t="array" ref="Y124">INT(SUMPRODUCT(--ISNUMBER(SEARCH(republicantrigger,C124)))&gt;0)</f>
        <v>1</v>
      </c>
      <c r="Z124" s="14" cm="1">
        <f t="array" ref="Z124">INT(SUMPRODUCT(--ISNUMBER(SEARCH(bipartisan,C124)))&gt;0)</f>
        <v>0</v>
      </c>
      <c r="AA124" s="14">
        <f t="shared" si="1"/>
        <v>0</v>
      </c>
      <c r="AB124" s="14"/>
      <c r="AC124" s="30">
        <v>1</v>
      </c>
      <c r="AD124" s="37">
        <v>0</v>
      </c>
    </row>
    <row r="125" spans="1:30" x14ac:dyDescent="0.25">
      <c r="A125" s="36">
        <v>890</v>
      </c>
      <c r="B125" s="14" t="s">
        <v>1807</v>
      </c>
      <c r="C125" s="14" t="s">
        <v>1808</v>
      </c>
      <c r="D125" s="17">
        <v>44120</v>
      </c>
      <c r="E125" s="14" t="s">
        <v>30</v>
      </c>
      <c r="F125" s="14">
        <v>21</v>
      </c>
      <c r="G125" s="14">
        <v>15</v>
      </c>
      <c r="H125" s="14">
        <v>5</v>
      </c>
      <c r="I125" s="14">
        <v>3</v>
      </c>
      <c r="J125" s="14" t="s">
        <v>31</v>
      </c>
      <c r="K125" s="14" cm="1">
        <f t="array" ref="K125">INT(SUMPRODUCT(--ISNUMBER(SEARCH(economy,C125)))&gt;0)</f>
        <v>0</v>
      </c>
      <c r="L125" s="14" cm="1">
        <f t="array" ref="L125">INT(SUMPRODUCT(--ISNUMBER(SEARCH(healthcare,C125)))&gt;0)</f>
        <v>0</v>
      </c>
      <c r="M125" s="14" cm="1">
        <f t="array" ref="M125">INT(SUMPRODUCT(--ISNUMBER(SEARCH(supreme,C125)))&gt;0)</f>
        <v>0</v>
      </c>
      <c r="N125" s="14" cm="1">
        <f t="array" ref="N125">INT(SUMPRODUCT(--ISNUMBER(SEARCH(covid,C125)))&gt;0)</f>
        <v>0</v>
      </c>
      <c r="O125" s="14" cm="1">
        <f t="array" ref="O125">INT(SUMPRODUCT(--ISNUMBER(SEARCH(violent,C125)))&gt;0)</f>
        <v>0</v>
      </c>
      <c r="P125" s="14" cm="1">
        <f t="array" ref="P125">INT(SUMPRODUCT(--ISNUMBER(SEARCH(foreign,C125)))&gt;0)</f>
        <v>0</v>
      </c>
      <c r="Q125" s="14" cm="1">
        <f t="array" ref="Q125">INT(SUMPRODUCT(--ISNUMBER(SEARCH(gun,C125)))&gt;0)</f>
        <v>0</v>
      </c>
      <c r="R125" s="14" cm="1">
        <f t="array" ref="R125">INT(SUMPRODUCT(--ISNUMBER(SEARCH(race,C125)))&gt;0)</f>
        <v>0</v>
      </c>
      <c r="S125" s="14" cm="1">
        <f t="array" ref="S125">INT(SUMPRODUCT(--ISNUMBER(SEARCH(immigration,C125)))&gt;0)</f>
        <v>0</v>
      </c>
      <c r="T125" s="14" cm="1">
        <f t="array" ref="T125">INT(SUMPRODUCT(--ISNUMBER(SEARCH(econineq,C126)))&gt;0)</f>
        <v>0</v>
      </c>
      <c r="U125" s="14" cm="1">
        <f t="array" ref="U125">INT(SUMPRODUCT(--ISNUMBER(SEARCH(climate,C125)))&gt;0)</f>
        <v>0</v>
      </c>
      <c r="V125" s="14" cm="1">
        <f t="array" ref="V125">INT(SUMPRODUCT(--ISNUMBER(SEARCH(abortion,C125)))&gt;0)</f>
        <v>0</v>
      </c>
      <c r="W125" s="14" cm="1">
        <f t="array" ref="W125">INT(SUMPRODUCT(--ISNUMBER(SEARCH(trump,C125)))&gt;0)</f>
        <v>0</v>
      </c>
      <c r="X125" s="14" cm="1">
        <f t="array" ref="X125">INT(SUMPRODUCT(--ISNUMBER(SEARCH(voting,C125)))&gt;0)</f>
        <v>1</v>
      </c>
      <c r="Y125" s="14" cm="1">
        <f t="array" ref="Y125">INT(SUMPRODUCT(--ISNUMBER(SEARCH(republicantrigger,C125)))&gt;0)</f>
        <v>1</v>
      </c>
      <c r="Z125" s="14" cm="1">
        <f t="array" ref="Z125">INT(SUMPRODUCT(--ISNUMBER(SEARCH(bipartisan,C125)))&gt;0)</f>
        <v>0</v>
      </c>
      <c r="AA125" s="14">
        <f t="shared" si="1"/>
        <v>0</v>
      </c>
      <c r="AB125" s="14"/>
      <c r="AC125" s="30">
        <v>1</v>
      </c>
      <c r="AD125" s="37">
        <v>0</v>
      </c>
    </row>
    <row r="126" spans="1:30" x14ac:dyDescent="0.25">
      <c r="A126" s="36">
        <v>891</v>
      </c>
      <c r="B126" s="14" t="s">
        <v>1809</v>
      </c>
      <c r="C126" s="14" t="s">
        <v>1810</v>
      </c>
      <c r="D126" s="17">
        <v>44120</v>
      </c>
      <c r="E126" s="14" t="s">
        <v>30</v>
      </c>
      <c r="F126" s="14">
        <v>31</v>
      </c>
      <c r="G126" s="14">
        <v>14</v>
      </c>
      <c r="H126" s="14">
        <v>5</v>
      </c>
      <c r="I126" s="14">
        <v>3</v>
      </c>
      <c r="J126" s="14" t="s">
        <v>31</v>
      </c>
      <c r="K126" s="14" cm="1">
        <f t="array" ref="K126">INT(SUMPRODUCT(--ISNUMBER(SEARCH(economy,C126)))&gt;0)</f>
        <v>0</v>
      </c>
      <c r="L126" s="14" cm="1">
        <f t="array" ref="L126">INT(SUMPRODUCT(--ISNUMBER(SEARCH(healthcare,C126)))&gt;0)</f>
        <v>0</v>
      </c>
      <c r="M126" s="14" cm="1">
        <f t="array" ref="M126">INT(SUMPRODUCT(--ISNUMBER(SEARCH(supreme,C126)))&gt;0)</f>
        <v>0</v>
      </c>
      <c r="N126" s="14" cm="1">
        <f t="array" ref="N126">INT(SUMPRODUCT(--ISNUMBER(SEARCH(covid,C126)))&gt;0)</f>
        <v>0</v>
      </c>
      <c r="O126" s="14" cm="1">
        <f t="array" ref="O126">INT(SUMPRODUCT(--ISNUMBER(SEARCH(violent,C126)))&gt;0)</f>
        <v>0</v>
      </c>
      <c r="P126" s="14" cm="1">
        <f t="array" ref="P126">INT(SUMPRODUCT(--ISNUMBER(SEARCH(foreign,C126)))&gt;0)</f>
        <v>0</v>
      </c>
      <c r="Q126" s="14" cm="1">
        <f t="array" ref="Q126">INT(SUMPRODUCT(--ISNUMBER(SEARCH(gun,C126)))&gt;0)</f>
        <v>0</v>
      </c>
      <c r="R126" s="14" cm="1">
        <f t="array" ref="R126">INT(SUMPRODUCT(--ISNUMBER(SEARCH(race,C126)))&gt;0)</f>
        <v>0</v>
      </c>
      <c r="S126" s="14" cm="1">
        <f t="array" ref="S126">INT(SUMPRODUCT(--ISNUMBER(SEARCH(immigration,C126)))&gt;0)</f>
        <v>0</v>
      </c>
      <c r="T126" s="14" cm="1">
        <f t="array" ref="T126">INT(SUMPRODUCT(--ISNUMBER(SEARCH(econineq,C127)))&gt;0)</f>
        <v>0</v>
      </c>
      <c r="U126" s="14" cm="1">
        <f t="array" ref="U126">INT(SUMPRODUCT(--ISNUMBER(SEARCH(climate,C126)))&gt;0)</f>
        <v>0</v>
      </c>
      <c r="V126" s="14" cm="1">
        <f t="array" ref="V126">INT(SUMPRODUCT(--ISNUMBER(SEARCH(abortion,C126)))&gt;0)</f>
        <v>0</v>
      </c>
      <c r="W126" s="14" cm="1">
        <f t="array" ref="W126">INT(SUMPRODUCT(--ISNUMBER(SEARCH(trump,C126)))&gt;0)</f>
        <v>0</v>
      </c>
      <c r="X126" s="14" cm="1">
        <f t="array" ref="X126">INT(SUMPRODUCT(--ISNUMBER(SEARCH(voting,C126)))&gt;0)</f>
        <v>0</v>
      </c>
      <c r="Y126" s="14" cm="1">
        <f t="array" ref="Y126">INT(SUMPRODUCT(--ISNUMBER(SEARCH(republicantrigger,C126)))&gt;0)</f>
        <v>1</v>
      </c>
      <c r="Z126" s="14" cm="1">
        <f t="array" ref="Z126">INT(SUMPRODUCT(--ISNUMBER(SEARCH(bipartisan,C126)))&gt;0)</f>
        <v>0</v>
      </c>
      <c r="AA126" s="14">
        <f t="shared" si="1"/>
        <v>0</v>
      </c>
      <c r="AB126" s="14"/>
      <c r="AC126" s="30" t="s">
        <v>223</v>
      </c>
      <c r="AD126" s="37" t="s">
        <v>223</v>
      </c>
    </row>
    <row r="127" spans="1:30" x14ac:dyDescent="0.25">
      <c r="A127" s="36">
        <v>892</v>
      </c>
      <c r="B127" s="14" t="s">
        <v>1811</v>
      </c>
      <c r="C127" s="14" t="s">
        <v>1812</v>
      </c>
      <c r="D127" s="17">
        <v>44120</v>
      </c>
      <c r="E127" s="14" t="s">
        <v>30</v>
      </c>
      <c r="F127" s="14">
        <v>17</v>
      </c>
      <c r="G127" s="14">
        <v>15</v>
      </c>
      <c r="H127" s="14">
        <v>5</v>
      </c>
      <c r="I127" s="14">
        <v>3</v>
      </c>
      <c r="J127" s="14" t="s">
        <v>31</v>
      </c>
      <c r="K127" s="14" cm="1">
        <f t="array" ref="K127">INT(SUMPRODUCT(--ISNUMBER(SEARCH(economy,C127)))&gt;0)</f>
        <v>0</v>
      </c>
      <c r="L127" s="14" cm="1">
        <f t="array" ref="L127">INT(SUMPRODUCT(--ISNUMBER(SEARCH(healthcare,C127)))&gt;0)</f>
        <v>0</v>
      </c>
      <c r="M127" s="14" cm="1">
        <f t="array" ref="M127">INT(SUMPRODUCT(--ISNUMBER(SEARCH(supreme,C127)))&gt;0)</f>
        <v>0</v>
      </c>
      <c r="N127" s="14" cm="1">
        <f t="array" ref="N127">INT(SUMPRODUCT(--ISNUMBER(SEARCH(covid,C127)))&gt;0)</f>
        <v>0</v>
      </c>
      <c r="O127" s="14" cm="1">
        <f t="array" ref="O127">INT(SUMPRODUCT(--ISNUMBER(SEARCH(violent,C127)))&gt;0)</f>
        <v>0</v>
      </c>
      <c r="P127" s="14" cm="1">
        <f t="array" ref="P127">INT(SUMPRODUCT(--ISNUMBER(SEARCH(foreign,C127)))&gt;0)</f>
        <v>0</v>
      </c>
      <c r="Q127" s="14" cm="1">
        <f t="array" ref="Q127">INT(SUMPRODUCT(--ISNUMBER(SEARCH(gun,C127)))&gt;0)</f>
        <v>0</v>
      </c>
      <c r="R127" s="14" cm="1">
        <f t="array" ref="R127">INT(SUMPRODUCT(--ISNUMBER(SEARCH(race,C127)))&gt;0)</f>
        <v>0</v>
      </c>
      <c r="S127" s="14" cm="1">
        <f t="array" ref="S127">INT(SUMPRODUCT(--ISNUMBER(SEARCH(immigration,C127)))&gt;0)</f>
        <v>0</v>
      </c>
      <c r="T127" s="14" cm="1">
        <f t="array" ref="T127">INT(SUMPRODUCT(--ISNUMBER(SEARCH(econineq,C128)))&gt;0)</f>
        <v>0</v>
      </c>
      <c r="U127" s="14" cm="1">
        <f t="array" ref="U127">INT(SUMPRODUCT(--ISNUMBER(SEARCH(climate,C127)))&gt;0)</f>
        <v>0</v>
      </c>
      <c r="V127" s="14" cm="1">
        <f t="array" ref="V127">INT(SUMPRODUCT(--ISNUMBER(SEARCH(abortion,C127)))&gt;0)</f>
        <v>0</v>
      </c>
      <c r="W127" s="14" cm="1">
        <f t="array" ref="W127">INT(SUMPRODUCT(--ISNUMBER(SEARCH(trump,C127)))&gt;0)</f>
        <v>0</v>
      </c>
      <c r="X127" s="14" cm="1">
        <f t="array" ref="X127">INT(SUMPRODUCT(--ISNUMBER(SEARCH(voting,C127)))&gt;0)</f>
        <v>0</v>
      </c>
      <c r="Y127" s="14" cm="1">
        <f t="array" ref="Y127">INT(SUMPRODUCT(--ISNUMBER(SEARCH(republicantrigger,C127)))&gt;0)</f>
        <v>1</v>
      </c>
      <c r="Z127" s="14" cm="1">
        <f t="array" ref="Z127">INT(SUMPRODUCT(--ISNUMBER(SEARCH(bipartisan,C127)))&gt;0)</f>
        <v>0</v>
      </c>
      <c r="AA127" s="14">
        <f t="shared" si="1"/>
        <v>0</v>
      </c>
      <c r="AB127" s="14"/>
      <c r="AC127" s="30">
        <v>1</v>
      </c>
      <c r="AD127" s="37">
        <v>0</v>
      </c>
    </row>
    <row r="128" spans="1:30" x14ac:dyDescent="0.25">
      <c r="A128" s="36">
        <v>893</v>
      </c>
      <c r="B128" s="14" t="s">
        <v>1813</v>
      </c>
      <c r="C128" s="14" t="s">
        <v>1814</v>
      </c>
      <c r="D128" s="17">
        <v>44120</v>
      </c>
      <c r="E128" s="14" t="s">
        <v>30</v>
      </c>
      <c r="F128" s="14">
        <v>31</v>
      </c>
      <c r="G128" s="14">
        <v>12</v>
      </c>
      <c r="H128" s="14">
        <v>5</v>
      </c>
      <c r="I128" s="14">
        <v>3</v>
      </c>
      <c r="J128" s="14" t="s">
        <v>31</v>
      </c>
      <c r="K128" s="14" cm="1">
        <f t="array" ref="K128">INT(SUMPRODUCT(--ISNUMBER(SEARCH(economy,C128)))&gt;0)</f>
        <v>0</v>
      </c>
      <c r="L128" s="14" cm="1">
        <f t="array" ref="L128">INT(SUMPRODUCT(--ISNUMBER(SEARCH(healthcare,C128)))&gt;0)</f>
        <v>0</v>
      </c>
      <c r="M128" s="14" cm="1">
        <f t="array" ref="M128">INT(SUMPRODUCT(--ISNUMBER(SEARCH(supreme,C128)))&gt;0)</f>
        <v>0</v>
      </c>
      <c r="N128" s="14" cm="1">
        <f t="array" ref="N128">INT(SUMPRODUCT(--ISNUMBER(SEARCH(covid,C128)))&gt;0)</f>
        <v>0</v>
      </c>
      <c r="O128" s="14" cm="1">
        <f t="array" ref="O128">INT(SUMPRODUCT(--ISNUMBER(SEARCH(violent,C128)))&gt;0)</f>
        <v>0</v>
      </c>
      <c r="P128" s="14" cm="1">
        <f t="array" ref="P128">INT(SUMPRODUCT(--ISNUMBER(SEARCH(foreign,C128)))&gt;0)</f>
        <v>0</v>
      </c>
      <c r="Q128" s="14" cm="1">
        <f t="array" ref="Q128">INT(SUMPRODUCT(--ISNUMBER(SEARCH(gun,C128)))&gt;0)</f>
        <v>0</v>
      </c>
      <c r="R128" s="14" cm="1">
        <f t="array" ref="R128">INT(SUMPRODUCT(--ISNUMBER(SEARCH(race,C128)))&gt;0)</f>
        <v>0</v>
      </c>
      <c r="S128" s="14" cm="1">
        <f t="array" ref="S128">INT(SUMPRODUCT(--ISNUMBER(SEARCH(immigration,C128)))&gt;0)</f>
        <v>0</v>
      </c>
      <c r="T128" s="14" cm="1">
        <f t="array" ref="T128">INT(SUMPRODUCT(--ISNUMBER(SEARCH(econineq,C129)))&gt;0)</f>
        <v>0</v>
      </c>
      <c r="U128" s="14" cm="1">
        <f t="array" ref="U128">INT(SUMPRODUCT(--ISNUMBER(SEARCH(climate,C128)))&gt;0)</f>
        <v>0</v>
      </c>
      <c r="V128" s="14" cm="1">
        <f t="array" ref="V128">INT(SUMPRODUCT(--ISNUMBER(SEARCH(abortion,C128)))&gt;0)</f>
        <v>0</v>
      </c>
      <c r="W128" s="14" cm="1">
        <f t="array" ref="W128">INT(SUMPRODUCT(--ISNUMBER(SEARCH(trump,C128)))&gt;0)</f>
        <v>0</v>
      </c>
      <c r="X128" s="14" cm="1">
        <f t="array" ref="X128">INT(SUMPRODUCT(--ISNUMBER(SEARCH(voting,C128)))&gt;0)</f>
        <v>0</v>
      </c>
      <c r="Y128" s="14" cm="1">
        <f t="array" ref="Y128">INT(SUMPRODUCT(--ISNUMBER(SEARCH(republicantrigger,C128)))&gt;0)</f>
        <v>0</v>
      </c>
      <c r="Z128" s="14" cm="1">
        <f t="array" ref="Z128">INT(SUMPRODUCT(--ISNUMBER(SEARCH(bipartisan,C128)))&gt;0)</f>
        <v>0</v>
      </c>
      <c r="AA128" s="14">
        <f t="shared" si="1"/>
        <v>1</v>
      </c>
      <c r="AB128" s="14"/>
      <c r="AC128" s="30">
        <v>1</v>
      </c>
      <c r="AD128" s="37">
        <v>0</v>
      </c>
    </row>
    <row r="129" spans="1:30" x14ac:dyDescent="0.25">
      <c r="A129" s="36">
        <v>894</v>
      </c>
      <c r="B129" s="14" t="s">
        <v>1815</v>
      </c>
      <c r="C129" s="14" t="s">
        <v>1816</v>
      </c>
      <c r="D129" s="17">
        <v>44120</v>
      </c>
      <c r="E129" s="14" t="s">
        <v>30</v>
      </c>
      <c r="F129" s="14">
        <v>27</v>
      </c>
      <c r="G129" s="14">
        <v>16</v>
      </c>
      <c r="H129" s="14">
        <v>5</v>
      </c>
      <c r="I129" s="14">
        <v>3</v>
      </c>
      <c r="J129" s="14" t="s">
        <v>31</v>
      </c>
      <c r="K129" s="14" cm="1">
        <f t="array" ref="K129">INT(SUMPRODUCT(--ISNUMBER(SEARCH(economy,C129)))&gt;0)</f>
        <v>0</v>
      </c>
      <c r="L129" s="14" cm="1">
        <f t="array" ref="L129">INT(SUMPRODUCT(--ISNUMBER(SEARCH(healthcare,C129)))&gt;0)</f>
        <v>0</v>
      </c>
      <c r="M129" s="14" cm="1">
        <f t="array" ref="M129">INT(SUMPRODUCT(--ISNUMBER(SEARCH(supreme,C129)))&gt;0)</f>
        <v>0</v>
      </c>
      <c r="N129" s="14" cm="1">
        <f t="array" ref="N129">INT(SUMPRODUCT(--ISNUMBER(SEARCH(covid,C129)))&gt;0)</f>
        <v>1</v>
      </c>
      <c r="O129" s="14" cm="1">
        <f t="array" ref="O129">INT(SUMPRODUCT(--ISNUMBER(SEARCH(violent,C129)))&gt;0)</f>
        <v>0</v>
      </c>
      <c r="P129" s="14" cm="1">
        <f t="array" ref="P129">INT(SUMPRODUCT(--ISNUMBER(SEARCH(foreign,C129)))&gt;0)</f>
        <v>0</v>
      </c>
      <c r="Q129" s="14" cm="1">
        <f t="array" ref="Q129">INT(SUMPRODUCT(--ISNUMBER(SEARCH(gun,C129)))&gt;0)</f>
        <v>0</v>
      </c>
      <c r="R129" s="14" cm="1">
        <f t="array" ref="R129">INT(SUMPRODUCT(--ISNUMBER(SEARCH(race,C129)))&gt;0)</f>
        <v>0</v>
      </c>
      <c r="S129" s="14" cm="1">
        <f t="array" ref="S129">INT(SUMPRODUCT(--ISNUMBER(SEARCH(immigration,C129)))&gt;0)</f>
        <v>0</v>
      </c>
      <c r="T129" s="14" cm="1">
        <f t="array" ref="T129">INT(SUMPRODUCT(--ISNUMBER(SEARCH(econineq,C130)))&gt;0)</f>
        <v>0</v>
      </c>
      <c r="U129" s="14" cm="1">
        <f t="array" ref="U129">INT(SUMPRODUCT(--ISNUMBER(SEARCH(climate,C129)))&gt;0)</f>
        <v>0</v>
      </c>
      <c r="V129" s="14" cm="1">
        <f t="array" ref="V129">INT(SUMPRODUCT(--ISNUMBER(SEARCH(abortion,C129)))&gt;0)</f>
        <v>0</v>
      </c>
      <c r="W129" s="14" cm="1">
        <f t="array" ref="W129">INT(SUMPRODUCT(--ISNUMBER(SEARCH(trump,C129)))&gt;0)</f>
        <v>0</v>
      </c>
      <c r="X129" s="14" cm="1">
        <f t="array" ref="X129">INT(SUMPRODUCT(--ISNUMBER(SEARCH(voting,C129)))&gt;0)</f>
        <v>0</v>
      </c>
      <c r="Y129" s="14" cm="1">
        <f t="array" ref="Y129">INT(SUMPRODUCT(--ISNUMBER(SEARCH(republicantrigger,C129)))&gt;0)</f>
        <v>1</v>
      </c>
      <c r="Z129" s="14" cm="1">
        <f t="array" ref="Z129">INT(SUMPRODUCT(--ISNUMBER(SEARCH(bipartisan,C129)))&gt;0)</f>
        <v>0</v>
      </c>
      <c r="AA129" s="14">
        <f t="shared" si="1"/>
        <v>0</v>
      </c>
      <c r="AB129" s="14"/>
      <c r="AC129" s="30" t="s">
        <v>223</v>
      </c>
      <c r="AD129" s="37" t="s">
        <v>223</v>
      </c>
    </row>
    <row r="130" spans="1:30" x14ac:dyDescent="0.25">
      <c r="A130" s="36">
        <v>895</v>
      </c>
      <c r="B130" s="14" t="s">
        <v>1817</v>
      </c>
      <c r="C130" s="14" t="s">
        <v>1818</v>
      </c>
      <c r="D130" s="17">
        <v>44119</v>
      </c>
      <c r="E130" s="14" t="s">
        <v>30</v>
      </c>
      <c r="F130" s="14">
        <v>155</v>
      </c>
      <c r="G130" s="14">
        <v>50</v>
      </c>
      <c r="H130" s="14">
        <v>5</v>
      </c>
      <c r="I130" s="14">
        <v>3</v>
      </c>
      <c r="J130" s="14" t="s">
        <v>31</v>
      </c>
      <c r="K130" s="14" cm="1">
        <f t="array" ref="K130">INT(SUMPRODUCT(--ISNUMBER(SEARCH(economy,C130)))&gt;0)</f>
        <v>0</v>
      </c>
      <c r="L130" s="14" cm="1">
        <f t="array" ref="L130">INT(SUMPRODUCT(--ISNUMBER(SEARCH(healthcare,C130)))&gt;0)</f>
        <v>1</v>
      </c>
      <c r="M130" s="14" cm="1">
        <f t="array" ref="M130">INT(SUMPRODUCT(--ISNUMBER(SEARCH(supreme,C130)))&gt;0)</f>
        <v>0</v>
      </c>
      <c r="N130" s="14" cm="1">
        <f t="array" ref="N130">INT(SUMPRODUCT(--ISNUMBER(SEARCH(covid,C130)))&gt;0)</f>
        <v>0</v>
      </c>
      <c r="O130" s="14" cm="1">
        <f t="array" ref="O130">INT(SUMPRODUCT(--ISNUMBER(SEARCH(violent,C130)))&gt;0)</f>
        <v>0</v>
      </c>
      <c r="P130" s="14" cm="1">
        <f t="array" ref="P130">INT(SUMPRODUCT(--ISNUMBER(SEARCH(foreign,C130)))&gt;0)</f>
        <v>0</v>
      </c>
      <c r="Q130" s="14" cm="1">
        <f t="array" ref="Q130">INT(SUMPRODUCT(--ISNUMBER(SEARCH(gun,C130)))&gt;0)</f>
        <v>0</v>
      </c>
      <c r="R130" s="14" cm="1">
        <f t="array" ref="R130">INT(SUMPRODUCT(--ISNUMBER(SEARCH(race,C130)))&gt;0)</f>
        <v>0</v>
      </c>
      <c r="S130" s="14" cm="1">
        <f t="array" ref="S130">INT(SUMPRODUCT(--ISNUMBER(SEARCH(immigration,C130)))&gt;0)</f>
        <v>0</v>
      </c>
      <c r="T130" s="14" cm="1">
        <f t="array" ref="T130">INT(SUMPRODUCT(--ISNUMBER(SEARCH(econineq,C131)))&gt;0)</f>
        <v>0</v>
      </c>
      <c r="U130" s="14" cm="1">
        <f t="array" ref="U130">INT(SUMPRODUCT(--ISNUMBER(SEARCH(climate,C130)))&gt;0)</f>
        <v>0</v>
      </c>
      <c r="V130" s="14" cm="1">
        <f t="array" ref="V130">INT(SUMPRODUCT(--ISNUMBER(SEARCH(abortion,C130)))&gt;0)</f>
        <v>0</v>
      </c>
      <c r="W130" s="14" cm="1">
        <f t="array" ref="W130">INT(SUMPRODUCT(--ISNUMBER(SEARCH(trump,C130)))&gt;0)</f>
        <v>0</v>
      </c>
      <c r="X130" s="14" cm="1">
        <f t="array" ref="X130">INT(SUMPRODUCT(--ISNUMBER(SEARCH(voting,C130)))&gt;0)</f>
        <v>0</v>
      </c>
      <c r="Y130" s="14" cm="1">
        <f t="array" ref="Y130">INT(SUMPRODUCT(--ISNUMBER(SEARCH(republicantrigger,C130)))&gt;0)</f>
        <v>0</v>
      </c>
      <c r="Z130" s="14" cm="1">
        <f t="array" ref="Z130">INT(SUMPRODUCT(--ISNUMBER(SEARCH(bipartisan,C130)))&gt;0)</f>
        <v>0</v>
      </c>
      <c r="AA130" s="14">
        <f t="shared" si="1"/>
        <v>0</v>
      </c>
      <c r="AB130" s="14"/>
      <c r="AC130" s="30">
        <v>1</v>
      </c>
      <c r="AD130" s="37">
        <v>0</v>
      </c>
    </row>
    <row r="131" spans="1:30" x14ac:dyDescent="0.25">
      <c r="A131" s="36">
        <v>896</v>
      </c>
      <c r="B131" s="14" t="s">
        <v>1819</v>
      </c>
      <c r="C131" s="14" t="s">
        <v>1820</v>
      </c>
      <c r="D131" s="17">
        <v>44119</v>
      </c>
      <c r="E131" s="14" t="s">
        <v>30</v>
      </c>
      <c r="F131" s="14">
        <v>24</v>
      </c>
      <c r="G131" s="14">
        <v>21</v>
      </c>
      <c r="H131" s="14">
        <v>5</v>
      </c>
      <c r="I131" s="14">
        <v>3</v>
      </c>
      <c r="J131" s="14" t="s">
        <v>31</v>
      </c>
      <c r="K131" s="14" cm="1">
        <f t="array" ref="K131">INT(SUMPRODUCT(--ISNUMBER(SEARCH(economy,C131)))&gt;0)</f>
        <v>0</v>
      </c>
      <c r="L131" s="14" cm="1">
        <f t="array" ref="L131">INT(SUMPRODUCT(--ISNUMBER(SEARCH(healthcare,C131)))&gt;0)</f>
        <v>1</v>
      </c>
      <c r="M131" s="14" cm="1">
        <f t="array" ref="M131">INT(SUMPRODUCT(--ISNUMBER(SEARCH(supreme,C131)))&gt;0)</f>
        <v>0</v>
      </c>
      <c r="N131" s="14" cm="1">
        <f t="array" ref="N131">INT(SUMPRODUCT(--ISNUMBER(SEARCH(covid,C131)))&gt;0)</f>
        <v>0</v>
      </c>
      <c r="O131" s="14" cm="1">
        <f t="array" ref="O131">INT(SUMPRODUCT(--ISNUMBER(SEARCH(violent,C131)))&gt;0)</f>
        <v>0</v>
      </c>
      <c r="P131" s="14" cm="1">
        <f t="array" ref="P131">INT(SUMPRODUCT(--ISNUMBER(SEARCH(foreign,C131)))&gt;0)</f>
        <v>0</v>
      </c>
      <c r="Q131" s="14" cm="1">
        <f t="array" ref="Q131">INT(SUMPRODUCT(--ISNUMBER(SEARCH(gun,C131)))&gt;0)</f>
        <v>0</v>
      </c>
      <c r="R131" s="14" cm="1">
        <f t="array" ref="R131">INT(SUMPRODUCT(--ISNUMBER(SEARCH(race,C131)))&gt;0)</f>
        <v>0</v>
      </c>
      <c r="S131" s="14" cm="1">
        <f t="array" ref="S131">INT(SUMPRODUCT(--ISNUMBER(SEARCH(immigration,C131)))&gt;0)</f>
        <v>0</v>
      </c>
      <c r="T131" s="14" cm="1">
        <f t="array" ref="T131">INT(SUMPRODUCT(--ISNUMBER(SEARCH(econineq,C132)))&gt;0)</f>
        <v>0</v>
      </c>
      <c r="U131" s="14" cm="1">
        <f t="array" ref="U131">INT(SUMPRODUCT(--ISNUMBER(SEARCH(climate,C131)))&gt;0)</f>
        <v>0</v>
      </c>
      <c r="V131" s="14" cm="1">
        <f t="array" ref="V131">INT(SUMPRODUCT(--ISNUMBER(SEARCH(abortion,C131)))&gt;0)</f>
        <v>0</v>
      </c>
      <c r="W131" s="14" cm="1">
        <f t="array" ref="W131">INT(SUMPRODUCT(--ISNUMBER(SEARCH(trump,C131)))&gt;0)</f>
        <v>0</v>
      </c>
      <c r="X131" s="14" cm="1">
        <f t="array" ref="X131">INT(SUMPRODUCT(--ISNUMBER(SEARCH(voting,C131)))&gt;0)</f>
        <v>0</v>
      </c>
      <c r="Y131" s="14" cm="1">
        <f t="array" ref="Y131">INT(SUMPRODUCT(--ISNUMBER(SEARCH(republicantrigger,C131)))&gt;0)</f>
        <v>1</v>
      </c>
      <c r="Z131" s="14" cm="1">
        <f t="array" ref="Z131">INT(SUMPRODUCT(--ISNUMBER(SEARCH(bipartisan,C131)))&gt;0)</f>
        <v>0</v>
      </c>
      <c r="AA131" s="14">
        <f t="shared" ref="AA131:AA194" si="2">INT(IF(COUNTIF(K131:Z131,1)=0,"1","0"))</f>
        <v>0</v>
      </c>
      <c r="AB131" s="14"/>
      <c r="AC131" s="30">
        <v>0</v>
      </c>
      <c r="AD131" s="37">
        <v>1</v>
      </c>
    </row>
    <row r="132" spans="1:30" x14ac:dyDescent="0.25">
      <c r="A132" s="36">
        <v>897</v>
      </c>
      <c r="B132" s="14" t="s">
        <v>1821</v>
      </c>
      <c r="C132" s="14" t="s">
        <v>1822</v>
      </c>
      <c r="D132" s="17">
        <v>44119</v>
      </c>
      <c r="E132" s="14" t="s">
        <v>30</v>
      </c>
      <c r="F132" s="14">
        <v>39</v>
      </c>
      <c r="G132" s="14">
        <v>24</v>
      </c>
      <c r="H132" s="14">
        <v>5</v>
      </c>
      <c r="I132" s="14">
        <v>3</v>
      </c>
      <c r="J132" s="14" t="s">
        <v>31</v>
      </c>
      <c r="K132" s="14" cm="1">
        <f t="array" ref="K132">INT(SUMPRODUCT(--ISNUMBER(SEARCH(economy,C132)))&gt;0)</f>
        <v>0</v>
      </c>
      <c r="L132" s="14" cm="1">
        <f t="array" ref="L132">INT(SUMPRODUCT(--ISNUMBER(SEARCH(healthcare,C132)))&gt;0)</f>
        <v>0</v>
      </c>
      <c r="M132" s="14" cm="1">
        <f t="array" ref="M132">INT(SUMPRODUCT(--ISNUMBER(SEARCH(supreme,C132)))&gt;0)</f>
        <v>0</v>
      </c>
      <c r="N132" s="14" cm="1">
        <f t="array" ref="N132">INT(SUMPRODUCT(--ISNUMBER(SEARCH(covid,C132)))&gt;0)</f>
        <v>0</v>
      </c>
      <c r="O132" s="14" cm="1">
        <f t="array" ref="O132">INT(SUMPRODUCT(--ISNUMBER(SEARCH(violent,C132)))&gt;0)</f>
        <v>0</v>
      </c>
      <c r="P132" s="14" cm="1">
        <f t="array" ref="P132">INT(SUMPRODUCT(--ISNUMBER(SEARCH(foreign,C132)))&gt;0)</f>
        <v>0</v>
      </c>
      <c r="Q132" s="14" cm="1">
        <f t="array" ref="Q132">INT(SUMPRODUCT(--ISNUMBER(SEARCH(gun,C132)))&gt;0)</f>
        <v>0</v>
      </c>
      <c r="R132" s="14" cm="1">
        <f t="array" ref="R132">INT(SUMPRODUCT(--ISNUMBER(SEARCH(race,C132)))&gt;0)</f>
        <v>0</v>
      </c>
      <c r="S132" s="14" cm="1">
        <f t="array" ref="S132">INT(SUMPRODUCT(--ISNUMBER(SEARCH(immigration,C132)))&gt;0)</f>
        <v>0</v>
      </c>
      <c r="T132" s="14" cm="1">
        <f t="array" ref="T132">INT(SUMPRODUCT(--ISNUMBER(SEARCH(econineq,C133)))&gt;0)</f>
        <v>0</v>
      </c>
      <c r="U132" s="14" cm="1">
        <f t="array" ref="U132">INT(SUMPRODUCT(--ISNUMBER(SEARCH(climate,C132)))&gt;0)</f>
        <v>0</v>
      </c>
      <c r="V132" s="14" cm="1">
        <f t="array" ref="V132">INT(SUMPRODUCT(--ISNUMBER(SEARCH(abortion,C132)))&gt;0)</f>
        <v>0</v>
      </c>
      <c r="W132" s="14" cm="1">
        <f t="array" ref="W132">INT(SUMPRODUCT(--ISNUMBER(SEARCH(trump,C132)))&gt;0)</f>
        <v>0</v>
      </c>
      <c r="X132" s="14" cm="1">
        <f t="array" ref="X132">INT(SUMPRODUCT(--ISNUMBER(SEARCH(voting,C132)))&gt;0)</f>
        <v>0</v>
      </c>
      <c r="Y132" s="14" cm="1">
        <f t="array" ref="Y132">INT(SUMPRODUCT(--ISNUMBER(SEARCH(republicantrigger,C132)))&gt;0)</f>
        <v>1</v>
      </c>
      <c r="Z132" s="14" cm="1">
        <f t="array" ref="Z132">INT(SUMPRODUCT(--ISNUMBER(SEARCH(bipartisan,C132)))&gt;0)</f>
        <v>0</v>
      </c>
      <c r="AA132" s="14">
        <f t="shared" si="2"/>
        <v>0</v>
      </c>
      <c r="AB132" s="14"/>
      <c r="AC132" s="30">
        <v>1</v>
      </c>
      <c r="AD132" s="37">
        <v>0</v>
      </c>
    </row>
    <row r="133" spans="1:30" x14ac:dyDescent="0.25">
      <c r="A133" s="36">
        <v>898</v>
      </c>
      <c r="B133" s="14" t="s">
        <v>1823</v>
      </c>
      <c r="C133" s="14" t="s">
        <v>1824</v>
      </c>
      <c r="D133" s="17">
        <v>44119</v>
      </c>
      <c r="E133" s="14" t="s">
        <v>30</v>
      </c>
      <c r="F133" s="14">
        <v>41</v>
      </c>
      <c r="G133" s="14">
        <v>22</v>
      </c>
      <c r="H133" s="14">
        <v>5</v>
      </c>
      <c r="I133" s="14">
        <v>3</v>
      </c>
      <c r="J133" s="14" t="s">
        <v>31</v>
      </c>
      <c r="K133" s="14" cm="1">
        <f t="array" ref="K133">INT(SUMPRODUCT(--ISNUMBER(SEARCH(economy,C133)))&gt;0)</f>
        <v>0</v>
      </c>
      <c r="L133" s="14" cm="1">
        <f t="array" ref="L133">INT(SUMPRODUCT(--ISNUMBER(SEARCH(healthcare,C133)))&gt;0)</f>
        <v>0</v>
      </c>
      <c r="M133" s="14" cm="1">
        <f t="array" ref="M133">INT(SUMPRODUCT(--ISNUMBER(SEARCH(supreme,C133)))&gt;0)</f>
        <v>0</v>
      </c>
      <c r="N133" s="14" cm="1">
        <f t="array" ref="N133">INT(SUMPRODUCT(--ISNUMBER(SEARCH(covid,C133)))&gt;0)</f>
        <v>1</v>
      </c>
      <c r="O133" s="14" cm="1">
        <f t="array" ref="O133">INT(SUMPRODUCT(--ISNUMBER(SEARCH(violent,C133)))&gt;0)</f>
        <v>0</v>
      </c>
      <c r="P133" s="14" cm="1">
        <f t="array" ref="P133">INT(SUMPRODUCT(--ISNUMBER(SEARCH(foreign,C133)))&gt;0)</f>
        <v>0</v>
      </c>
      <c r="Q133" s="14" cm="1">
        <f t="array" ref="Q133">INT(SUMPRODUCT(--ISNUMBER(SEARCH(gun,C133)))&gt;0)</f>
        <v>0</v>
      </c>
      <c r="R133" s="14" cm="1">
        <f t="array" ref="R133">INT(SUMPRODUCT(--ISNUMBER(SEARCH(race,C133)))&gt;0)</f>
        <v>0</v>
      </c>
      <c r="S133" s="14" cm="1">
        <f t="array" ref="S133">INT(SUMPRODUCT(--ISNUMBER(SEARCH(immigration,C133)))&gt;0)</f>
        <v>0</v>
      </c>
      <c r="T133" s="14" cm="1">
        <f t="array" ref="T133">INT(SUMPRODUCT(--ISNUMBER(SEARCH(econineq,C134)))&gt;0)</f>
        <v>0</v>
      </c>
      <c r="U133" s="14" cm="1">
        <f t="array" ref="U133">INT(SUMPRODUCT(--ISNUMBER(SEARCH(climate,C133)))&gt;0)</f>
        <v>0</v>
      </c>
      <c r="V133" s="14" cm="1">
        <f t="array" ref="V133">INT(SUMPRODUCT(--ISNUMBER(SEARCH(abortion,C133)))&gt;0)</f>
        <v>0</v>
      </c>
      <c r="W133" s="14" cm="1">
        <f t="array" ref="W133">INT(SUMPRODUCT(--ISNUMBER(SEARCH(trump,C133)))&gt;0)</f>
        <v>0</v>
      </c>
      <c r="X133" s="14" cm="1">
        <f t="array" ref="X133">INT(SUMPRODUCT(--ISNUMBER(SEARCH(voting,C133)))&gt;0)</f>
        <v>0</v>
      </c>
      <c r="Y133" s="14" cm="1">
        <f t="array" ref="Y133">INT(SUMPRODUCT(--ISNUMBER(SEARCH(republicantrigger,C133)))&gt;0)</f>
        <v>1</v>
      </c>
      <c r="Z133" s="14" cm="1">
        <f t="array" ref="Z133">INT(SUMPRODUCT(--ISNUMBER(SEARCH(bipartisan,C133)))&gt;0)</f>
        <v>0</v>
      </c>
      <c r="AA133" s="14">
        <f t="shared" si="2"/>
        <v>0</v>
      </c>
      <c r="AB133" s="14"/>
      <c r="AC133" s="30">
        <v>1</v>
      </c>
      <c r="AD133" s="37">
        <v>0</v>
      </c>
    </row>
    <row r="134" spans="1:30" x14ac:dyDescent="0.25">
      <c r="A134" s="36">
        <v>899</v>
      </c>
      <c r="B134" s="14" t="s">
        <v>1825</v>
      </c>
      <c r="C134" s="14" t="s">
        <v>1826</v>
      </c>
      <c r="D134" s="17">
        <v>44119</v>
      </c>
      <c r="E134" s="14" t="s">
        <v>30</v>
      </c>
      <c r="F134" s="14">
        <v>29</v>
      </c>
      <c r="G134" s="14">
        <v>25</v>
      </c>
      <c r="H134" s="14">
        <v>5</v>
      </c>
      <c r="I134" s="14">
        <v>3</v>
      </c>
      <c r="J134" s="14" t="s">
        <v>31</v>
      </c>
      <c r="K134" s="14" cm="1">
        <f t="array" ref="K134">INT(SUMPRODUCT(--ISNUMBER(SEARCH(economy,C134)))&gt;0)</f>
        <v>0</v>
      </c>
      <c r="L134" s="14" cm="1">
        <f t="array" ref="L134">INT(SUMPRODUCT(--ISNUMBER(SEARCH(healthcare,C134)))&gt;0)</f>
        <v>0</v>
      </c>
      <c r="M134" s="14" cm="1">
        <f t="array" ref="M134">INT(SUMPRODUCT(--ISNUMBER(SEARCH(supreme,C134)))&gt;0)</f>
        <v>0</v>
      </c>
      <c r="N134" s="14" cm="1">
        <f t="array" ref="N134">INT(SUMPRODUCT(--ISNUMBER(SEARCH(covid,C134)))&gt;0)</f>
        <v>0</v>
      </c>
      <c r="O134" s="14" cm="1">
        <f t="array" ref="O134">INT(SUMPRODUCT(--ISNUMBER(SEARCH(violent,C134)))&gt;0)</f>
        <v>0</v>
      </c>
      <c r="P134" s="14" cm="1">
        <f t="array" ref="P134">INT(SUMPRODUCT(--ISNUMBER(SEARCH(foreign,C134)))&gt;0)</f>
        <v>0</v>
      </c>
      <c r="Q134" s="14" cm="1">
        <f t="array" ref="Q134">INT(SUMPRODUCT(--ISNUMBER(SEARCH(gun,C134)))&gt;0)</f>
        <v>0</v>
      </c>
      <c r="R134" s="14" cm="1">
        <f t="array" ref="R134">INT(SUMPRODUCT(--ISNUMBER(SEARCH(race,C134)))&gt;0)</f>
        <v>0</v>
      </c>
      <c r="S134" s="14" cm="1">
        <f t="array" ref="S134">INT(SUMPRODUCT(--ISNUMBER(SEARCH(immigration,C134)))&gt;0)</f>
        <v>0</v>
      </c>
      <c r="T134" s="14" cm="1">
        <f t="array" ref="T134">INT(SUMPRODUCT(--ISNUMBER(SEARCH(econineq,C135)))&gt;0)</f>
        <v>0</v>
      </c>
      <c r="U134" s="14" cm="1">
        <f t="array" ref="U134">INT(SUMPRODUCT(--ISNUMBER(SEARCH(climate,C134)))&gt;0)</f>
        <v>0</v>
      </c>
      <c r="V134" s="14" cm="1">
        <f t="array" ref="V134">INT(SUMPRODUCT(--ISNUMBER(SEARCH(abortion,C134)))&gt;0)</f>
        <v>0</v>
      </c>
      <c r="W134" s="14" cm="1">
        <f t="array" ref="W134">INT(SUMPRODUCT(--ISNUMBER(SEARCH(trump,C134)))&gt;0)</f>
        <v>0</v>
      </c>
      <c r="X134" s="14" cm="1">
        <f t="array" ref="X134">INT(SUMPRODUCT(--ISNUMBER(SEARCH(voting,C134)))&gt;0)</f>
        <v>1</v>
      </c>
      <c r="Y134" s="14" cm="1">
        <f t="array" ref="Y134">INT(SUMPRODUCT(--ISNUMBER(SEARCH(republicantrigger,C134)))&gt;0)</f>
        <v>1</v>
      </c>
      <c r="Z134" s="14" cm="1">
        <f t="array" ref="Z134">INT(SUMPRODUCT(--ISNUMBER(SEARCH(bipartisan,C134)))&gt;0)</f>
        <v>0</v>
      </c>
      <c r="AA134" s="14">
        <f t="shared" si="2"/>
        <v>0</v>
      </c>
      <c r="AB134" s="14"/>
      <c r="AC134" s="30">
        <v>1</v>
      </c>
      <c r="AD134" s="37">
        <v>0</v>
      </c>
    </row>
    <row r="135" spans="1:30" x14ac:dyDescent="0.25">
      <c r="A135" s="36">
        <v>900</v>
      </c>
      <c r="B135" s="14" t="s">
        <v>1827</v>
      </c>
      <c r="C135" s="14" t="s">
        <v>1828</v>
      </c>
      <c r="D135" s="17">
        <v>44119</v>
      </c>
      <c r="E135" s="14" t="s">
        <v>30</v>
      </c>
      <c r="F135" s="14">
        <v>52</v>
      </c>
      <c r="G135" s="14">
        <v>24</v>
      </c>
      <c r="H135" s="14">
        <v>5</v>
      </c>
      <c r="I135" s="14">
        <v>3</v>
      </c>
      <c r="J135" s="14" t="s">
        <v>31</v>
      </c>
      <c r="K135" s="14" cm="1">
        <f t="array" ref="K135">INT(SUMPRODUCT(--ISNUMBER(SEARCH(economy,C135)))&gt;0)</f>
        <v>0</v>
      </c>
      <c r="L135" s="14" cm="1">
        <f t="array" ref="L135">INT(SUMPRODUCT(--ISNUMBER(SEARCH(healthcare,C135)))&gt;0)</f>
        <v>0</v>
      </c>
      <c r="M135" s="14" cm="1">
        <f t="array" ref="M135">INT(SUMPRODUCT(--ISNUMBER(SEARCH(supreme,C135)))&gt;0)</f>
        <v>0</v>
      </c>
      <c r="N135" s="14" cm="1">
        <f t="array" ref="N135">INT(SUMPRODUCT(--ISNUMBER(SEARCH(covid,C135)))&gt;0)</f>
        <v>0</v>
      </c>
      <c r="O135" s="14" cm="1">
        <f t="array" ref="O135">INT(SUMPRODUCT(--ISNUMBER(SEARCH(violent,C135)))&gt;0)</f>
        <v>0</v>
      </c>
      <c r="P135" s="14" cm="1">
        <f t="array" ref="P135">INT(SUMPRODUCT(--ISNUMBER(SEARCH(foreign,C135)))&gt;0)</f>
        <v>0</v>
      </c>
      <c r="Q135" s="14" cm="1">
        <f t="array" ref="Q135">INT(SUMPRODUCT(--ISNUMBER(SEARCH(gun,C135)))&gt;0)</f>
        <v>0</v>
      </c>
      <c r="R135" s="14" cm="1">
        <f t="array" ref="R135">INT(SUMPRODUCT(--ISNUMBER(SEARCH(race,C135)))&gt;0)</f>
        <v>0</v>
      </c>
      <c r="S135" s="14" cm="1">
        <f t="array" ref="S135">INT(SUMPRODUCT(--ISNUMBER(SEARCH(immigration,C135)))&gt;0)</f>
        <v>0</v>
      </c>
      <c r="T135" s="14" cm="1">
        <f t="array" ref="T135">INT(SUMPRODUCT(--ISNUMBER(SEARCH(econineq,C136)))&gt;0)</f>
        <v>0</v>
      </c>
      <c r="U135" s="14" cm="1">
        <f t="array" ref="U135">INT(SUMPRODUCT(--ISNUMBER(SEARCH(climate,C135)))&gt;0)</f>
        <v>0</v>
      </c>
      <c r="V135" s="14" cm="1">
        <f t="array" ref="V135">INT(SUMPRODUCT(--ISNUMBER(SEARCH(abortion,C135)))&gt;0)</f>
        <v>0</v>
      </c>
      <c r="W135" s="14" cm="1">
        <f t="array" ref="W135">INT(SUMPRODUCT(--ISNUMBER(SEARCH(trump,C135)))&gt;0)</f>
        <v>0</v>
      </c>
      <c r="X135" s="14" cm="1">
        <f t="array" ref="X135">INT(SUMPRODUCT(--ISNUMBER(SEARCH(voting,C135)))&gt;0)</f>
        <v>1</v>
      </c>
      <c r="Y135" s="14" cm="1">
        <f t="array" ref="Y135">INT(SUMPRODUCT(--ISNUMBER(SEARCH(republicantrigger,C135)))&gt;0)</f>
        <v>1</v>
      </c>
      <c r="Z135" s="14" cm="1">
        <f t="array" ref="Z135">INT(SUMPRODUCT(--ISNUMBER(SEARCH(bipartisan,C135)))&gt;0)</f>
        <v>0</v>
      </c>
      <c r="AA135" s="14">
        <f t="shared" si="2"/>
        <v>0</v>
      </c>
      <c r="AB135" s="14"/>
      <c r="AC135" s="30">
        <v>1</v>
      </c>
      <c r="AD135" s="37">
        <v>0</v>
      </c>
    </row>
    <row r="136" spans="1:30" x14ac:dyDescent="0.25">
      <c r="A136" s="36">
        <v>901</v>
      </c>
      <c r="B136" s="14" t="s">
        <v>1829</v>
      </c>
      <c r="C136" s="14" t="s">
        <v>1830</v>
      </c>
      <c r="D136" s="17">
        <v>44119</v>
      </c>
      <c r="E136" s="14" t="s">
        <v>30</v>
      </c>
      <c r="F136" s="14">
        <v>92</v>
      </c>
      <c r="G136" s="14">
        <v>28</v>
      </c>
      <c r="H136" s="14">
        <v>5</v>
      </c>
      <c r="I136" s="14">
        <v>3</v>
      </c>
      <c r="J136" s="14" t="s">
        <v>31</v>
      </c>
      <c r="K136" s="14" cm="1">
        <f t="array" ref="K136">INT(SUMPRODUCT(--ISNUMBER(SEARCH(economy,C136)))&gt;0)</f>
        <v>1</v>
      </c>
      <c r="L136" s="14" cm="1">
        <f t="array" ref="L136">INT(SUMPRODUCT(--ISNUMBER(SEARCH(healthcare,C136)))&gt;0)</f>
        <v>0</v>
      </c>
      <c r="M136" s="14" cm="1">
        <f t="array" ref="M136">INT(SUMPRODUCT(--ISNUMBER(SEARCH(supreme,C136)))&gt;0)</f>
        <v>0</v>
      </c>
      <c r="N136" s="14" cm="1">
        <f t="array" ref="N136">INT(SUMPRODUCT(--ISNUMBER(SEARCH(covid,C136)))&gt;0)</f>
        <v>0</v>
      </c>
      <c r="O136" s="14" cm="1">
        <f t="array" ref="O136">INT(SUMPRODUCT(--ISNUMBER(SEARCH(violent,C136)))&gt;0)</f>
        <v>0</v>
      </c>
      <c r="P136" s="14" cm="1">
        <f t="array" ref="P136">INT(SUMPRODUCT(--ISNUMBER(SEARCH(foreign,C136)))&gt;0)</f>
        <v>0</v>
      </c>
      <c r="Q136" s="14" cm="1">
        <f t="array" ref="Q136">INT(SUMPRODUCT(--ISNUMBER(SEARCH(gun,C136)))&gt;0)</f>
        <v>0</v>
      </c>
      <c r="R136" s="14" cm="1">
        <f t="array" ref="R136">INT(SUMPRODUCT(--ISNUMBER(SEARCH(race,C136)))&gt;0)</f>
        <v>0</v>
      </c>
      <c r="S136" s="14" cm="1">
        <f t="array" ref="S136">INT(SUMPRODUCT(--ISNUMBER(SEARCH(immigration,C136)))&gt;0)</f>
        <v>0</v>
      </c>
      <c r="T136" s="14" cm="1">
        <f t="array" ref="T136">INT(SUMPRODUCT(--ISNUMBER(SEARCH(econineq,C137)))&gt;0)</f>
        <v>0</v>
      </c>
      <c r="U136" s="14" cm="1">
        <f t="array" ref="U136">INT(SUMPRODUCT(--ISNUMBER(SEARCH(climate,C136)))&gt;0)</f>
        <v>0</v>
      </c>
      <c r="V136" s="14" cm="1">
        <f t="array" ref="V136">INT(SUMPRODUCT(--ISNUMBER(SEARCH(abortion,C136)))&gt;0)</f>
        <v>0</v>
      </c>
      <c r="W136" s="14" cm="1">
        <f t="array" ref="W136">INT(SUMPRODUCT(--ISNUMBER(SEARCH(trump,C136)))&gt;0)</f>
        <v>0</v>
      </c>
      <c r="X136" s="14" cm="1">
        <f t="array" ref="X136">INT(SUMPRODUCT(--ISNUMBER(SEARCH(voting,C136)))&gt;0)</f>
        <v>0</v>
      </c>
      <c r="Y136" s="14" cm="1">
        <f t="array" ref="Y136">INT(SUMPRODUCT(--ISNUMBER(SEARCH(republicantrigger,C136)))&gt;0)</f>
        <v>1</v>
      </c>
      <c r="Z136" s="14" cm="1">
        <f t="array" ref="Z136">INT(SUMPRODUCT(--ISNUMBER(SEARCH(bipartisan,C136)))&gt;0)</f>
        <v>0</v>
      </c>
      <c r="AA136" s="14">
        <f t="shared" si="2"/>
        <v>0</v>
      </c>
      <c r="AB136" s="14"/>
      <c r="AC136" s="30">
        <v>0</v>
      </c>
      <c r="AD136" s="37">
        <v>1</v>
      </c>
    </row>
    <row r="137" spans="1:30" x14ac:dyDescent="0.25">
      <c r="A137" s="36">
        <v>902</v>
      </c>
      <c r="B137" s="14" t="s">
        <v>1831</v>
      </c>
      <c r="C137" s="14" t="s">
        <v>1832</v>
      </c>
      <c r="D137" s="17">
        <v>44119</v>
      </c>
      <c r="E137" s="14" t="s">
        <v>30</v>
      </c>
      <c r="F137" s="14">
        <v>129</v>
      </c>
      <c r="G137" s="14">
        <v>25</v>
      </c>
      <c r="H137" s="14">
        <v>5</v>
      </c>
      <c r="I137" s="14">
        <v>3</v>
      </c>
      <c r="J137" s="14" t="s">
        <v>31</v>
      </c>
      <c r="K137" s="14" cm="1">
        <f t="array" ref="K137">INT(SUMPRODUCT(--ISNUMBER(SEARCH(economy,C137)))&gt;0)</f>
        <v>0</v>
      </c>
      <c r="L137" s="14" cm="1">
        <f t="array" ref="L137">INT(SUMPRODUCT(--ISNUMBER(SEARCH(healthcare,C137)))&gt;0)</f>
        <v>0</v>
      </c>
      <c r="M137" s="14" cm="1">
        <f t="array" ref="M137">INT(SUMPRODUCT(--ISNUMBER(SEARCH(supreme,C137)))&gt;0)</f>
        <v>0</v>
      </c>
      <c r="N137" s="14" cm="1">
        <f t="array" ref="N137">INT(SUMPRODUCT(--ISNUMBER(SEARCH(covid,C137)))&gt;0)</f>
        <v>0</v>
      </c>
      <c r="O137" s="14" cm="1">
        <f t="array" ref="O137">INT(SUMPRODUCT(--ISNUMBER(SEARCH(violent,C137)))&gt;0)</f>
        <v>0</v>
      </c>
      <c r="P137" s="14" cm="1">
        <f t="array" ref="P137">INT(SUMPRODUCT(--ISNUMBER(SEARCH(foreign,C137)))&gt;0)</f>
        <v>0</v>
      </c>
      <c r="Q137" s="14" cm="1">
        <f t="array" ref="Q137">INT(SUMPRODUCT(--ISNUMBER(SEARCH(gun,C137)))&gt;0)</f>
        <v>0</v>
      </c>
      <c r="R137" s="14" cm="1">
        <f t="array" ref="R137">INT(SUMPRODUCT(--ISNUMBER(SEARCH(race,C137)))&gt;0)</f>
        <v>0</v>
      </c>
      <c r="S137" s="14" cm="1">
        <f t="array" ref="S137">INT(SUMPRODUCT(--ISNUMBER(SEARCH(immigration,C137)))&gt;0)</f>
        <v>0</v>
      </c>
      <c r="T137" s="14" cm="1">
        <f t="array" ref="T137">INT(SUMPRODUCT(--ISNUMBER(SEARCH(econineq,C138)))&gt;0)</f>
        <v>0</v>
      </c>
      <c r="U137" s="14" cm="1">
        <f t="array" ref="U137">INT(SUMPRODUCT(--ISNUMBER(SEARCH(climate,C137)))&gt;0)</f>
        <v>0</v>
      </c>
      <c r="V137" s="14" cm="1">
        <f t="array" ref="V137">INT(SUMPRODUCT(--ISNUMBER(SEARCH(abortion,C137)))&gt;0)</f>
        <v>0</v>
      </c>
      <c r="W137" s="14" cm="1">
        <f t="array" ref="W137">INT(SUMPRODUCT(--ISNUMBER(SEARCH(trump,C137)))&gt;0)</f>
        <v>1</v>
      </c>
      <c r="X137" s="14" cm="1">
        <f t="array" ref="X137">INT(SUMPRODUCT(--ISNUMBER(SEARCH(voting,C137)))&gt;0)</f>
        <v>0</v>
      </c>
      <c r="Y137" s="14" cm="1">
        <f t="array" ref="Y137">INT(SUMPRODUCT(--ISNUMBER(SEARCH(republicantrigger,C137)))&gt;0)</f>
        <v>0</v>
      </c>
      <c r="Z137" s="14" cm="1">
        <f t="array" ref="Z137">INT(SUMPRODUCT(--ISNUMBER(SEARCH(bipartisan,C137)))&gt;0)</f>
        <v>0</v>
      </c>
      <c r="AA137" s="14">
        <f t="shared" si="2"/>
        <v>0</v>
      </c>
      <c r="AB137" s="14"/>
      <c r="AC137" s="30">
        <v>0</v>
      </c>
      <c r="AD137" s="37">
        <v>1</v>
      </c>
    </row>
    <row r="138" spans="1:30" x14ac:dyDescent="0.25">
      <c r="A138" s="36">
        <v>903</v>
      </c>
      <c r="B138" s="14" t="s">
        <v>1833</v>
      </c>
      <c r="C138" s="14" t="s">
        <v>1834</v>
      </c>
      <c r="D138" s="17">
        <v>44119</v>
      </c>
      <c r="E138" s="14" t="s">
        <v>30</v>
      </c>
      <c r="F138" s="14">
        <v>260</v>
      </c>
      <c r="G138" s="14">
        <v>53</v>
      </c>
      <c r="H138" s="14">
        <v>5</v>
      </c>
      <c r="I138" s="14">
        <v>3</v>
      </c>
      <c r="J138" s="14" t="s">
        <v>31</v>
      </c>
      <c r="K138" s="14" cm="1">
        <f t="array" ref="K138">INT(SUMPRODUCT(--ISNUMBER(SEARCH(economy,C138)))&gt;0)</f>
        <v>0</v>
      </c>
      <c r="L138" s="14" cm="1">
        <f t="array" ref="L138">INT(SUMPRODUCT(--ISNUMBER(SEARCH(healthcare,C138)))&gt;0)</f>
        <v>0</v>
      </c>
      <c r="M138" s="14" cm="1">
        <f t="array" ref="M138">INT(SUMPRODUCT(--ISNUMBER(SEARCH(supreme,C138)))&gt;0)</f>
        <v>0</v>
      </c>
      <c r="N138" s="14" cm="1">
        <f t="array" ref="N138">INT(SUMPRODUCT(--ISNUMBER(SEARCH(covid,C138)))&gt;0)</f>
        <v>0</v>
      </c>
      <c r="O138" s="14" cm="1">
        <f t="array" ref="O138">INT(SUMPRODUCT(--ISNUMBER(SEARCH(violent,C138)))&gt;0)</f>
        <v>0</v>
      </c>
      <c r="P138" s="14" cm="1">
        <f t="array" ref="P138">INT(SUMPRODUCT(--ISNUMBER(SEARCH(foreign,C138)))&gt;0)</f>
        <v>1</v>
      </c>
      <c r="Q138" s="14" cm="1">
        <f t="array" ref="Q138">INT(SUMPRODUCT(--ISNUMBER(SEARCH(gun,C138)))&gt;0)</f>
        <v>0</v>
      </c>
      <c r="R138" s="14" cm="1">
        <f t="array" ref="R138">INT(SUMPRODUCT(--ISNUMBER(SEARCH(race,C138)))&gt;0)</f>
        <v>0</v>
      </c>
      <c r="S138" s="14" cm="1">
        <f t="array" ref="S138">INT(SUMPRODUCT(--ISNUMBER(SEARCH(immigration,C138)))&gt;0)</f>
        <v>0</v>
      </c>
      <c r="T138" s="14" cm="1">
        <f t="array" ref="T138">INT(SUMPRODUCT(--ISNUMBER(SEARCH(econineq,C139)))&gt;0)</f>
        <v>0</v>
      </c>
      <c r="U138" s="14" cm="1">
        <f t="array" ref="U138">INT(SUMPRODUCT(--ISNUMBER(SEARCH(climate,C138)))&gt;0)</f>
        <v>0</v>
      </c>
      <c r="V138" s="14" cm="1">
        <f t="array" ref="V138">INT(SUMPRODUCT(--ISNUMBER(SEARCH(abortion,C138)))&gt;0)</f>
        <v>0</v>
      </c>
      <c r="W138" s="14" cm="1">
        <f t="array" ref="W138">INT(SUMPRODUCT(--ISNUMBER(SEARCH(trump,C138)))&gt;0)</f>
        <v>0</v>
      </c>
      <c r="X138" s="14" cm="1">
        <f t="array" ref="X138">INT(SUMPRODUCT(--ISNUMBER(SEARCH(voting,C138)))&gt;0)</f>
        <v>0</v>
      </c>
      <c r="Y138" s="14" cm="1">
        <f t="array" ref="Y138">INT(SUMPRODUCT(--ISNUMBER(SEARCH(republicantrigger,C138)))&gt;0)</f>
        <v>0</v>
      </c>
      <c r="Z138" s="14" cm="1">
        <f t="array" ref="Z138">INT(SUMPRODUCT(--ISNUMBER(SEARCH(bipartisan,C138)))&gt;0)</f>
        <v>0</v>
      </c>
      <c r="AA138" s="14">
        <f t="shared" si="2"/>
        <v>0</v>
      </c>
      <c r="AB138" s="14"/>
      <c r="AC138" s="30" t="s">
        <v>223</v>
      </c>
      <c r="AD138" s="37" t="s">
        <v>223</v>
      </c>
    </row>
    <row r="139" spans="1:30" x14ac:dyDescent="0.25">
      <c r="A139" s="36">
        <v>904</v>
      </c>
      <c r="B139" s="14" t="s">
        <v>1835</v>
      </c>
      <c r="C139" s="14" t="s">
        <v>1836</v>
      </c>
      <c r="D139" s="17">
        <v>44119</v>
      </c>
      <c r="E139" s="14" t="s">
        <v>30</v>
      </c>
      <c r="F139" s="14">
        <v>151</v>
      </c>
      <c r="G139" s="14">
        <v>40</v>
      </c>
      <c r="H139" s="14">
        <v>5</v>
      </c>
      <c r="I139" s="14">
        <v>3</v>
      </c>
      <c r="J139" s="14" t="s">
        <v>31</v>
      </c>
      <c r="K139" s="14" cm="1">
        <f t="array" ref="K139">INT(SUMPRODUCT(--ISNUMBER(SEARCH(economy,C139)))&gt;0)</f>
        <v>0</v>
      </c>
      <c r="L139" s="14" cm="1">
        <f t="array" ref="L139">INT(SUMPRODUCT(--ISNUMBER(SEARCH(healthcare,C139)))&gt;0)</f>
        <v>0</v>
      </c>
      <c r="M139" s="14" cm="1">
        <f t="array" ref="M139">INT(SUMPRODUCT(--ISNUMBER(SEARCH(supreme,C139)))&gt;0)</f>
        <v>1</v>
      </c>
      <c r="N139" s="14" cm="1">
        <f t="array" ref="N139">INT(SUMPRODUCT(--ISNUMBER(SEARCH(covid,C139)))&gt;0)</f>
        <v>0</v>
      </c>
      <c r="O139" s="14" cm="1">
        <f t="array" ref="O139">INT(SUMPRODUCT(--ISNUMBER(SEARCH(violent,C139)))&gt;0)</f>
        <v>0</v>
      </c>
      <c r="P139" s="14" cm="1">
        <f t="array" ref="P139">INT(SUMPRODUCT(--ISNUMBER(SEARCH(foreign,C139)))&gt;0)</f>
        <v>0</v>
      </c>
      <c r="Q139" s="14" cm="1">
        <f t="array" ref="Q139">INT(SUMPRODUCT(--ISNUMBER(SEARCH(gun,C139)))&gt;0)</f>
        <v>0</v>
      </c>
      <c r="R139" s="14" cm="1">
        <f t="array" ref="R139">INT(SUMPRODUCT(--ISNUMBER(SEARCH(race,C139)))&gt;0)</f>
        <v>0</v>
      </c>
      <c r="S139" s="14" cm="1">
        <f t="array" ref="S139">INT(SUMPRODUCT(--ISNUMBER(SEARCH(immigration,C139)))&gt;0)</f>
        <v>0</v>
      </c>
      <c r="T139" s="14" cm="1">
        <f t="array" ref="T139">INT(SUMPRODUCT(--ISNUMBER(SEARCH(econineq,C140)))&gt;0)</f>
        <v>0</v>
      </c>
      <c r="U139" s="14" cm="1">
        <f t="array" ref="U139">INT(SUMPRODUCT(--ISNUMBER(SEARCH(climate,C139)))&gt;0)</f>
        <v>0</v>
      </c>
      <c r="V139" s="14" cm="1">
        <f t="array" ref="V139">INT(SUMPRODUCT(--ISNUMBER(SEARCH(abortion,C139)))&gt;0)</f>
        <v>0</v>
      </c>
      <c r="W139" s="14" cm="1">
        <f t="array" ref="W139">INT(SUMPRODUCT(--ISNUMBER(SEARCH(trump,C139)))&gt;0)</f>
        <v>0</v>
      </c>
      <c r="X139" s="14" cm="1">
        <f t="array" ref="X139">INT(SUMPRODUCT(--ISNUMBER(SEARCH(voting,C139)))&gt;0)</f>
        <v>0</v>
      </c>
      <c r="Y139" s="14" cm="1">
        <f t="array" ref="Y139">INT(SUMPRODUCT(--ISNUMBER(SEARCH(republicantrigger,C139)))&gt;0)</f>
        <v>0</v>
      </c>
      <c r="Z139" s="14" cm="1">
        <f t="array" ref="Z139">INT(SUMPRODUCT(--ISNUMBER(SEARCH(bipartisan,C139)))&gt;0)</f>
        <v>0</v>
      </c>
      <c r="AA139" s="14">
        <f t="shared" si="2"/>
        <v>0</v>
      </c>
      <c r="AB139" s="14"/>
      <c r="AC139" s="30" t="s">
        <v>223</v>
      </c>
      <c r="AD139" s="37" t="s">
        <v>223</v>
      </c>
    </row>
    <row r="140" spans="1:30" x14ac:dyDescent="0.25">
      <c r="A140" s="36">
        <v>905</v>
      </c>
      <c r="B140" s="14" t="s">
        <v>1837</v>
      </c>
      <c r="C140" s="14" t="s">
        <v>1838</v>
      </c>
      <c r="D140" s="17">
        <v>44119</v>
      </c>
      <c r="E140" s="14" t="s">
        <v>30</v>
      </c>
      <c r="F140" s="14">
        <v>94</v>
      </c>
      <c r="G140" s="14">
        <v>36</v>
      </c>
      <c r="H140" s="14">
        <v>5</v>
      </c>
      <c r="I140" s="14">
        <v>3</v>
      </c>
      <c r="J140" s="14" t="s">
        <v>31</v>
      </c>
      <c r="K140" s="14" cm="1">
        <f t="array" ref="K140">INT(SUMPRODUCT(--ISNUMBER(SEARCH(economy,C140)))&gt;0)</f>
        <v>0</v>
      </c>
      <c r="L140" s="14" cm="1">
        <f t="array" ref="L140">INT(SUMPRODUCT(--ISNUMBER(SEARCH(healthcare,C140)))&gt;0)</f>
        <v>0</v>
      </c>
      <c r="M140" s="14" cm="1">
        <f t="array" ref="M140">INT(SUMPRODUCT(--ISNUMBER(SEARCH(supreme,C140)))&gt;0)</f>
        <v>0</v>
      </c>
      <c r="N140" s="14" cm="1">
        <f t="array" ref="N140">INT(SUMPRODUCT(--ISNUMBER(SEARCH(covid,C140)))&gt;0)</f>
        <v>0</v>
      </c>
      <c r="O140" s="14" cm="1">
        <f t="array" ref="O140">INT(SUMPRODUCT(--ISNUMBER(SEARCH(violent,C140)))&gt;0)</f>
        <v>0</v>
      </c>
      <c r="P140" s="14" cm="1">
        <f t="array" ref="P140">INT(SUMPRODUCT(--ISNUMBER(SEARCH(foreign,C140)))&gt;0)</f>
        <v>0</v>
      </c>
      <c r="Q140" s="14" cm="1">
        <f t="array" ref="Q140">INT(SUMPRODUCT(--ISNUMBER(SEARCH(gun,C140)))&gt;0)</f>
        <v>0</v>
      </c>
      <c r="R140" s="14" cm="1">
        <f t="array" ref="R140">INT(SUMPRODUCT(--ISNUMBER(SEARCH(race,C140)))&gt;0)</f>
        <v>0</v>
      </c>
      <c r="S140" s="14" cm="1">
        <f t="array" ref="S140">INT(SUMPRODUCT(--ISNUMBER(SEARCH(immigration,C140)))&gt;0)</f>
        <v>0</v>
      </c>
      <c r="T140" s="14" cm="1">
        <f t="array" ref="T140">INT(SUMPRODUCT(--ISNUMBER(SEARCH(econineq,C141)))&gt;0)</f>
        <v>0</v>
      </c>
      <c r="U140" s="14" cm="1">
        <f t="array" ref="U140">INT(SUMPRODUCT(--ISNUMBER(SEARCH(climate,C140)))&gt;0)</f>
        <v>0</v>
      </c>
      <c r="V140" s="14" cm="1">
        <f t="array" ref="V140">INT(SUMPRODUCT(--ISNUMBER(SEARCH(abortion,C140)))&gt;0)</f>
        <v>0</v>
      </c>
      <c r="W140" s="14" cm="1">
        <f t="array" ref="W140">INT(SUMPRODUCT(--ISNUMBER(SEARCH(trump,C140)))&gt;0)</f>
        <v>0</v>
      </c>
      <c r="X140" s="14" cm="1">
        <f t="array" ref="X140">INT(SUMPRODUCT(--ISNUMBER(SEARCH(voting,C140)))&gt;0)</f>
        <v>0</v>
      </c>
      <c r="Y140" s="14" cm="1">
        <f t="array" ref="Y140">INT(SUMPRODUCT(--ISNUMBER(SEARCH(republicantrigger,C140)))&gt;0)</f>
        <v>0</v>
      </c>
      <c r="Z140" s="14" cm="1">
        <f t="array" ref="Z140">INT(SUMPRODUCT(--ISNUMBER(SEARCH(bipartisan,C140)))&gt;0)</f>
        <v>0</v>
      </c>
      <c r="AA140" s="14">
        <f t="shared" si="2"/>
        <v>1</v>
      </c>
      <c r="AB140" s="14"/>
      <c r="AC140" s="30">
        <v>0</v>
      </c>
      <c r="AD140" s="37">
        <v>1</v>
      </c>
    </row>
    <row r="141" spans="1:30" x14ac:dyDescent="0.25">
      <c r="A141" s="36">
        <v>906</v>
      </c>
      <c r="B141" s="14" t="s">
        <v>1839</v>
      </c>
      <c r="C141" s="14" t="s">
        <v>1840</v>
      </c>
      <c r="D141" s="17">
        <v>44119</v>
      </c>
      <c r="E141" s="14" t="s">
        <v>30</v>
      </c>
      <c r="F141" s="14">
        <v>124</v>
      </c>
      <c r="G141" s="14">
        <v>30</v>
      </c>
      <c r="H141" s="14">
        <v>5</v>
      </c>
      <c r="I141" s="14">
        <v>3</v>
      </c>
      <c r="J141" s="14" t="s">
        <v>31</v>
      </c>
      <c r="K141" s="14" cm="1">
        <f t="array" ref="K141">INT(SUMPRODUCT(--ISNUMBER(SEARCH(economy,C141)))&gt;0)</f>
        <v>0</v>
      </c>
      <c r="L141" s="14" cm="1">
        <f t="array" ref="L141">INT(SUMPRODUCT(--ISNUMBER(SEARCH(healthcare,C141)))&gt;0)</f>
        <v>0</v>
      </c>
      <c r="M141" s="14" cm="1">
        <f t="array" ref="M141">INT(SUMPRODUCT(--ISNUMBER(SEARCH(supreme,C141)))&gt;0)</f>
        <v>0</v>
      </c>
      <c r="N141" s="14" cm="1">
        <f t="array" ref="N141">INT(SUMPRODUCT(--ISNUMBER(SEARCH(covid,C141)))&gt;0)</f>
        <v>0</v>
      </c>
      <c r="O141" s="14" cm="1">
        <f t="array" ref="O141">INT(SUMPRODUCT(--ISNUMBER(SEARCH(violent,C141)))&gt;0)</f>
        <v>0</v>
      </c>
      <c r="P141" s="14" cm="1">
        <f t="array" ref="P141">INT(SUMPRODUCT(--ISNUMBER(SEARCH(foreign,C141)))&gt;0)</f>
        <v>0</v>
      </c>
      <c r="Q141" s="14" cm="1">
        <f t="array" ref="Q141">INT(SUMPRODUCT(--ISNUMBER(SEARCH(gun,C141)))&gt;0)</f>
        <v>0</v>
      </c>
      <c r="R141" s="14" cm="1">
        <f t="array" ref="R141">INT(SUMPRODUCT(--ISNUMBER(SEARCH(race,C141)))&gt;0)</f>
        <v>0</v>
      </c>
      <c r="S141" s="14" cm="1">
        <f t="array" ref="S141">INT(SUMPRODUCT(--ISNUMBER(SEARCH(immigration,C141)))&gt;0)</f>
        <v>0</v>
      </c>
      <c r="T141" s="14" cm="1">
        <f t="array" ref="T141">INT(SUMPRODUCT(--ISNUMBER(SEARCH(econineq,C142)))&gt;0)</f>
        <v>0</v>
      </c>
      <c r="U141" s="14" cm="1">
        <f t="array" ref="U141">INT(SUMPRODUCT(--ISNUMBER(SEARCH(climate,C141)))&gt;0)</f>
        <v>0</v>
      </c>
      <c r="V141" s="14" cm="1">
        <f t="array" ref="V141">INT(SUMPRODUCT(--ISNUMBER(SEARCH(abortion,C141)))&gt;0)</f>
        <v>0</v>
      </c>
      <c r="W141" s="14" cm="1">
        <f t="array" ref="W141">INT(SUMPRODUCT(--ISNUMBER(SEARCH(trump,C141)))&gt;0)</f>
        <v>0</v>
      </c>
      <c r="X141" s="14" cm="1">
        <f t="array" ref="X141">INT(SUMPRODUCT(--ISNUMBER(SEARCH(voting,C141)))&gt;0)</f>
        <v>0</v>
      </c>
      <c r="Y141" s="14" cm="1">
        <f t="array" ref="Y141">INT(SUMPRODUCT(--ISNUMBER(SEARCH(republicantrigger,C141)))&gt;0)</f>
        <v>0</v>
      </c>
      <c r="Z141" s="14" cm="1">
        <f t="array" ref="Z141">INT(SUMPRODUCT(--ISNUMBER(SEARCH(bipartisan,C141)))&gt;0)</f>
        <v>0</v>
      </c>
      <c r="AA141" s="14">
        <f t="shared" si="2"/>
        <v>1</v>
      </c>
      <c r="AB141" s="14"/>
      <c r="AC141" s="30">
        <v>1</v>
      </c>
      <c r="AD141" s="37">
        <v>0</v>
      </c>
    </row>
    <row r="142" spans="1:30" x14ac:dyDescent="0.25">
      <c r="A142" s="36">
        <v>907</v>
      </c>
      <c r="B142" s="14" t="s">
        <v>1841</v>
      </c>
      <c r="C142" s="14" t="s">
        <v>1842</v>
      </c>
      <c r="D142" s="17">
        <v>44118</v>
      </c>
      <c r="E142" s="14" t="s">
        <v>30</v>
      </c>
      <c r="F142" s="14">
        <v>211</v>
      </c>
      <c r="G142" s="14">
        <v>64</v>
      </c>
      <c r="H142" s="14">
        <v>5</v>
      </c>
      <c r="I142" s="14">
        <v>3</v>
      </c>
      <c r="J142" s="14" t="s">
        <v>31</v>
      </c>
      <c r="K142" s="14" cm="1">
        <f t="array" ref="K142">INT(SUMPRODUCT(--ISNUMBER(SEARCH(economy,C142)))&gt;0)</f>
        <v>0</v>
      </c>
      <c r="L142" s="14" cm="1">
        <f t="array" ref="L142">INT(SUMPRODUCT(--ISNUMBER(SEARCH(healthcare,C142)))&gt;0)</f>
        <v>0</v>
      </c>
      <c r="M142" s="14" cm="1">
        <f t="array" ref="M142">INT(SUMPRODUCT(--ISNUMBER(SEARCH(supreme,C142)))&gt;0)</f>
        <v>0</v>
      </c>
      <c r="N142" s="14" cm="1">
        <f t="array" ref="N142">INT(SUMPRODUCT(--ISNUMBER(SEARCH(covid,C142)))&gt;0)</f>
        <v>0</v>
      </c>
      <c r="O142" s="14" cm="1">
        <f t="array" ref="O142">INT(SUMPRODUCT(--ISNUMBER(SEARCH(violent,C142)))&gt;0)</f>
        <v>0</v>
      </c>
      <c r="P142" s="14" cm="1">
        <f t="array" ref="P142">INT(SUMPRODUCT(--ISNUMBER(SEARCH(foreign,C142)))&gt;0)</f>
        <v>0</v>
      </c>
      <c r="Q142" s="14" cm="1">
        <f t="array" ref="Q142">INT(SUMPRODUCT(--ISNUMBER(SEARCH(gun,C142)))&gt;0)</f>
        <v>0</v>
      </c>
      <c r="R142" s="14" cm="1">
        <f t="array" ref="R142">INT(SUMPRODUCT(--ISNUMBER(SEARCH(race,C142)))&gt;0)</f>
        <v>0</v>
      </c>
      <c r="S142" s="14" cm="1">
        <f t="array" ref="S142">INT(SUMPRODUCT(--ISNUMBER(SEARCH(immigration,C142)))&gt;0)</f>
        <v>0</v>
      </c>
      <c r="T142" s="14" cm="1">
        <f t="array" ref="T142">INT(SUMPRODUCT(--ISNUMBER(SEARCH(econineq,C143)))&gt;0)</f>
        <v>0</v>
      </c>
      <c r="U142" s="14" cm="1">
        <f t="array" ref="U142">INT(SUMPRODUCT(--ISNUMBER(SEARCH(climate,C142)))&gt;0)</f>
        <v>0</v>
      </c>
      <c r="V142" s="14" cm="1">
        <f t="array" ref="V142">INT(SUMPRODUCT(--ISNUMBER(SEARCH(abortion,C142)))&gt;0)</f>
        <v>0</v>
      </c>
      <c r="W142" s="14" cm="1">
        <f t="array" ref="W142">INT(SUMPRODUCT(--ISNUMBER(SEARCH(trump,C142)))&gt;0)</f>
        <v>0</v>
      </c>
      <c r="X142" s="14" cm="1">
        <f t="array" ref="X142">INT(SUMPRODUCT(--ISNUMBER(SEARCH(voting,C142)))&gt;0)</f>
        <v>1</v>
      </c>
      <c r="Y142" s="14" cm="1">
        <f t="array" ref="Y142">INT(SUMPRODUCT(--ISNUMBER(SEARCH(republicantrigger,C142)))&gt;0)</f>
        <v>1</v>
      </c>
      <c r="Z142" s="14" cm="1">
        <f t="array" ref="Z142">INT(SUMPRODUCT(--ISNUMBER(SEARCH(bipartisan,C142)))&gt;0)</f>
        <v>0</v>
      </c>
      <c r="AA142" s="14">
        <f t="shared" si="2"/>
        <v>0</v>
      </c>
      <c r="AB142" s="14"/>
      <c r="AC142" s="30" t="s">
        <v>223</v>
      </c>
      <c r="AD142" s="37" t="s">
        <v>223</v>
      </c>
    </row>
    <row r="143" spans="1:30" x14ac:dyDescent="0.25">
      <c r="A143" s="36">
        <v>908</v>
      </c>
      <c r="B143" s="14" t="s">
        <v>1843</v>
      </c>
      <c r="C143" s="14" t="s">
        <v>1844</v>
      </c>
      <c r="D143" s="17">
        <v>44118</v>
      </c>
      <c r="E143" s="14" t="s">
        <v>30</v>
      </c>
      <c r="F143" s="14">
        <v>67</v>
      </c>
      <c r="G143" s="14">
        <v>21</v>
      </c>
      <c r="H143" s="14">
        <v>5</v>
      </c>
      <c r="I143" s="14">
        <v>3</v>
      </c>
      <c r="J143" s="14" t="s">
        <v>31</v>
      </c>
      <c r="K143" s="14" cm="1">
        <f t="array" ref="K143">INT(SUMPRODUCT(--ISNUMBER(SEARCH(economy,C143)))&gt;0)</f>
        <v>0</v>
      </c>
      <c r="L143" s="14" cm="1">
        <f t="array" ref="L143">INT(SUMPRODUCT(--ISNUMBER(SEARCH(healthcare,C143)))&gt;0)</f>
        <v>1</v>
      </c>
      <c r="M143" s="14" cm="1">
        <f t="array" ref="M143">INT(SUMPRODUCT(--ISNUMBER(SEARCH(supreme,C143)))&gt;0)</f>
        <v>0</v>
      </c>
      <c r="N143" s="14" cm="1">
        <f t="array" ref="N143">INT(SUMPRODUCT(--ISNUMBER(SEARCH(covid,C143)))&gt;0)</f>
        <v>0</v>
      </c>
      <c r="O143" s="14" cm="1">
        <f t="array" ref="O143">INT(SUMPRODUCT(--ISNUMBER(SEARCH(violent,C143)))&gt;0)</f>
        <v>0</v>
      </c>
      <c r="P143" s="14" cm="1">
        <f t="array" ref="P143">INT(SUMPRODUCT(--ISNUMBER(SEARCH(foreign,C143)))&gt;0)</f>
        <v>0</v>
      </c>
      <c r="Q143" s="14" cm="1">
        <f t="array" ref="Q143">INT(SUMPRODUCT(--ISNUMBER(SEARCH(gun,C143)))&gt;0)</f>
        <v>0</v>
      </c>
      <c r="R143" s="14" cm="1">
        <f t="array" ref="R143">INT(SUMPRODUCT(--ISNUMBER(SEARCH(race,C143)))&gt;0)</f>
        <v>0</v>
      </c>
      <c r="S143" s="14" cm="1">
        <f t="array" ref="S143">INT(SUMPRODUCT(--ISNUMBER(SEARCH(immigration,C143)))&gt;0)</f>
        <v>0</v>
      </c>
      <c r="T143" s="14" cm="1">
        <f t="array" ref="T143">INT(SUMPRODUCT(--ISNUMBER(SEARCH(econineq,C144)))&gt;0)</f>
        <v>0</v>
      </c>
      <c r="U143" s="14" cm="1">
        <f t="array" ref="U143">INT(SUMPRODUCT(--ISNUMBER(SEARCH(climate,C143)))&gt;0)</f>
        <v>0</v>
      </c>
      <c r="V143" s="14" cm="1">
        <f t="array" ref="V143">INT(SUMPRODUCT(--ISNUMBER(SEARCH(abortion,C143)))&gt;0)</f>
        <v>0</v>
      </c>
      <c r="W143" s="14" cm="1">
        <f t="array" ref="W143">INT(SUMPRODUCT(--ISNUMBER(SEARCH(trump,C143)))&gt;0)</f>
        <v>0</v>
      </c>
      <c r="X143" s="14" cm="1">
        <f t="array" ref="X143">INT(SUMPRODUCT(--ISNUMBER(SEARCH(voting,C143)))&gt;0)</f>
        <v>0</v>
      </c>
      <c r="Y143" s="14" cm="1">
        <f t="array" ref="Y143">INT(SUMPRODUCT(--ISNUMBER(SEARCH(republicantrigger,C143)))&gt;0)</f>
        <v>0</v>
      </c>
      <c r="Z143" s="14" cm="1">
        <f t="array" ref="Z143">INT(SUMPRODUCT(--ISNUMBER(SEARCH(bipartisan,C143)))&gt;0)</f>
        <v>0</v>
      </c>
      <c r="AA143" s="14">
        <f t="shared" si="2"/>
        <v>0</v>
      </c>
      <c r="AB143" s="14"/>
      <c r="AC143" s="30" t="s">
        <v>223</v>
      </c>
      <c r="AD143" s="37" t="s">
        <v>223</v>
      </c>
    </row>
    <row r="144" spans="1:30" x14ac:dyDescent="0.25">
      <c r="A144" s="36">
        <v>909</v>
      </c>
      <c r="B144" s="14" t="s">
        <v>1845</v>
      </c>
      <c r="C144" s="14" t="s">
        <v>1846</v>
      </c>
      <c r="D144" s="17">
        <v>44118</v>
      </c>
      <c r="E144" s="14" t="s">
        <v>30</v>
      </c>
      <c r="F144" s="14">
        <v>433</v>
      </c>
      <c r="G144" s="14">
        <v>169</v>
      </c>
      <c r="H144" s="14">
        <v>5</v>
      </c>
      <c r="I144" s="14">
        <v>3</v>
      </c>
      <c r="J144" s="14" t="s">
        <v>31</v>
      </c>
      <c r="K144" s="14" cm="1">
        <f t="array" ref="K144">INT(SUMPRODUCT(--ISNUMBER(SEARCH(economy,C144)))&gt;0)</f>
        <v>1</v>
      </c>
      <c r="L144" s="14" cm="1">
        <f t="array" ref="L144">INT(SUMPRODUCT(--ISNUMBER(SEARCH(healthcare,C144)))&gt;0)</f>
        <v>0</v>
      </c>
      <c r="M144" s="14" cm="1">
        <f t="array" ref="M144">INT(SUMPRODUCT(--ISNUMBER(SEARCH(supreme,C144)))&gt;0)</f>
        <v>0</v>
      </c>
      <c r="N144" s="14" cm="1">
        <f t="array" ref="N144">INT(SUMPRODUCT(--ISNUMBER(SEARCH(covid,C144)))&gt;0)</f>
        <v>1</v>
      </c>
      <c r="O144" s="14" cm="1">
        <f t="array" ref="O144">INT(SUMPRODUCT(--ISNUMBER(SEARCH(violent,C144)))&gt;0)</f>
        <v>0</v>
      </c>
      <c r="P144" s="14" cm="1">
        <f t="array" ref="P144">INT(SUMPRODUCT(--ISNUMBER(SEARCH(foreign,C144)))&gt;0)</f>
        <v>0</v>
      </c>
      <c r="Q144" s="14" cm="1">
        <f t="array" ref="Q144">INT(SUMPRODUCT(--ISNUMBER(SEARCH(gun,C144)))&gt;0)</f>
        <v>0</v>
      </c>
      <c r="R144" s="14" cm="1">
        <f t="array" ref="R144">INT(SUMPRODUCT(--ISNUMBER(SEARCH(race,C144)))&gt;0)</f>
        <v>0</v>
      </c>
      <c r="S144" s="14" cm="1">
        <f t="array" ref="S144">INT(SUMPRODUCT(--ISNUMBER(SEARCH(immigration,C144)))&gt;0)</f>
        <v>0</v>
      </c>
      <c r="T144" s="14" cm="1">
        <f t="array" ref="T144">INT(SUMPRODUCT(--ISNUMBER(SEARCH(econineq,C145)))&gt;0)</f>
        <v>0</v>
      </c>
      <c r="U144" s="14" cm="1">
        <f t="array" ref="U144">INT(SUMPRODUCT(--ISNUMBER(SEARCH(climate,C144)))&gt;0)</f>
        <v>0</v>
      </c>
      <c r="V144" s="14" cm="1">
        <f t="array" ref="V144">INT(SUMPRODUCT(--ISNUMBER(SEARCH(abortion,C144)))&gt;0)</f>
        <v>0</v>
      </c>
      <c r="W144" s="14" cm="1">
        <f t="array" ref="W144">INT(SUMPRODUCT(--ISNUMBER(SEARCH(trump,C144)))&gt;0)</f>
        <v>0</v>
      </c>
      <c r="X144" s="14" cm="1">
        <f t="array" ref="X144">INT(SUMPRODUCT(--ISNUMBER(SEARCH(voting,C144)))&gt;0)</f>
        <v>0</v>
      </c>
      <c r="Y144" s="14" cm="1">
        <f t="array" ref="Y144">INT(SUMPRODUCT(--ISNUMBER(SEARCH(republicantrigger,C144)))&gt;0)</f>
        <v>0</v>
      </c>
      <c r="Z144" s="14" cm="1">
        <f t="array" ref="Z144">INT(SUMPRODUCT(--ISNUMBER(SEARCH(bipartisan,C144)))&gt;0)</f>
        <v>0</v>
      </c>
      <c r="AA144" s="14">
        <f t="shared" si="2"/>
        <v>0</v>
      </c>
      <c r="AB144" s="14"/>
      <c r="AC144" s="30" t="s">
        <v>223</v>
      </c>
      <c r="AD144" s="37" t="s">
        <v>223</v>
      </c>
    </row>
    <row r="145" spans="1:30" x14ac:dyDescent="0.25">
      <c r="A145" s="36">
        <v>910</v>
      </c>
      <c r="B145" s="14" t="s">
        <v>1847</v>
      </c>
      <c r="C145" s="14" t="s">
        <v>1848</v>
      </c>
      <c r="D145" s="17">
        <v>44118</v>
      </c>
      <c r="E145" s="14" t="s">
        <v>30</v>
      </c>
      <c r="F145" s="14">
        <v>884</v>
      </c>
      <c r="G145" s="14">
        <v>278</v>
      </c>
      <c r="H145" s="14">
        <v>5</v>
      </c>
      <c r="I145" s="14">
        <v>3</v>
      </c>
      <c r="J145" s="14" t="s">
        <v>31</v>
      </c>
      <c r="K145" s="14" cm="1">
        <f t="array" ref="K145">INT(SUMPRODUCT(--ISNUMBER(SEARCH(economy,C145)))&gt;0)</f>
        <v>0</v>
      </c>
      <c r="L145" s="14" cm="1">
        <f t="array" ref="L145">INT(SUMPRODUCT(--ISNUMBER(SEARCH(healthcare,C145)))&gt;0)</f>
        <v>0</v>
      </c>
      <c r="M145" s="14" cm="1">
        <f t="array" ref="M145">INT(SUMPRODUCT(--ISNUMBER(SEARCH(supreme,C145)))&gt;0)</f>
        <v>1</v>
      </c>
      <c r="N145" s="14" cm="1">
        <f t="array" ref="N145">INT(SUMPRODUCT(--ISNUMBER(SEARCH(covid,C145)))&gt;0)</f>
        <v>0</v>
      </c>
      <c r="O145" s="14" cm="1">
        <f t="array" ref="O145">INT(SUMPRODUCT(--ISNUMBER(SEARCH(violent,C145)))&gt;0)</f>
        <v>0</v>
      </c>
      <c r="P145" s="14" cm="1">
        <f t="array" ref="P145">INT(SUMPRODUCT(--ISNUMBER(SEARCH(foreign,C145)))&gt;0)</f>
        <v>0</v>
      </c>
      <c r="Q145" s="14" cm="1">
        <f t="array" ref="Q145">INT(SUMPRODUCT(--ISNUMBER(SEARCH(gun,C145)))&gt;0)</f>
        <v>0</v>
      </c>
      <c r="R145" s="14" cm="1">
        <f t="array" ref="R145">INT(SUMPRODUCT(--ISNUMBER(SEARCH(race,C145)))&gt;0)</f>
        <v>0</v>
      </c>
      <c r="S145" s="14" cm="1">
        <f t="array" ref="S145">INT(SUMPRODUCT(--ISNUMBER(SEARCH(immigration,C145)))&gt;0)</f>
        <v>0</v>
      </c>
      <c r="T145" s="14" cm="1">
        <f t="array" ref="T145">INT(SUMPRODUCT(--ISNUMBER(SEARCH(econineq,C146)))&gt;0)</f>
        <v>0</v>
      </c>
      <c r="U145" s="14" cm="1">
        <f t="array" ref="U145">INT(SUMPRODUCT(--ISNUMBER(SEARCH(climate,C145)))&gt;0)</f>
        <v>0</v>
      </c>
      <c r="V145" s="14" cm="1">
        <f t="array" ref="V145">INT(SUMPRODUCT(--ISNUMBER(SEARCH(abortion,C145)))&gt;0)</f>
        <v>0</v>
      </c>
      <c r="W145" s="14" cm="1">
        <f t="array" ref="W145">INT(SUMPRODUCT(--ISNUMBER(SEARCH(trump,C145)))&gt;0)</f>
        <v>0</v>
      </c>
      <c r="X145" s="14" cm="1">
        <f t="array" ref="X145">INT(SUMPRODUCT(--ISNUMBER(SEARCH(voting,C145)))&gt;0)</f>
        <v>0</v>
      </c>
      <c r="Y145" s="14" cm="1">
        <f t="array" ref="Y145">INT(SUMPRODUCT(--ISNUMBER(SEARCH(republicantrigger,C145)))&gt;0)</f>
        <v>1</v>
      </c>
      <c r="Z145" s="14" cm="1">
        <f t="array" ref="Z145">INT(SUMPRODUCT(--ISNUMBER(SEARCH(bipartisan,C145)))&gt;0)</f>
        <v>0</v>
      </c>
      <c r="AA145" s="14">
        <f t="shared" si="2"/>
        <v>0</v>
      </c>
      <c r="AB145" s="14"/>
      <c r="AC145" s="30">
        <v>1</v>
      </c>
      <c r="AD145" s="37">
        <v>0</v>
      </c>
    </row>
    <row r="146" spans="1:30" x14ac:dyDescent="0.25">
      <c r="A146" s="36">
        <v>911</v>
      </c>
      <c r="B146" s="14" t="s">
        <v>1849</v>
      </c>
      <c r="C146" s="14" t="s">
        <v>1850</v>
      </c>
      <c r="D146" s="17">
        <v>44118</v>
      </c>
      <c r="E146" s="14" t="s">
        <v>30</v>
      </c>
      <c r="F146" s="14">
        <v>231</v>
      </c>
      <c r="G146" s="14">
        <v>46</v>
      </c>
      <c r="H146" s="14">
        <v>5</v>
      </c>
      <c r="I146" s="14">
        <v>3</v>
      </c>
      <c r="J146" s="14" t="s">
        <v>31</v>
      </c>
      <c r="K146" s="14" cm="1">
        <f t="array" ref="K146">INT(SUMPRODUCT(--ISNUMBER(SEARCH(economy,C146)))&gt;0)</f>
        <v>0</v>
      </c>
      <c r="L146" s="14" cm="1">
        <f t="array" ref="L146">INT(SUMPRODUCT(--ISNUMBER(SEARCH(healthcare,C146)))&gt;0)</f>
        <v>0</v>
      </c>
      <c r="M146" s="14" cm="1">
        <f t="array" ref="M146">INT(SUMPRODUCT(--ISNUMBER(SEARCH(supreme,C146)))&gt;0)</f>
        <v>1</v>
      </c>
      <c r="N146" s="14" cm="1">
        <f t="array" ref="N146">INT(SUMPRODUCT(--ISNUMBER(SEARCH(covid,C146)))&gt;0)</f>
        <v>0</v>
      </c>
      <c r="O146" s="14" cm="1">
        <f t="array" ref="O146">INT(SUMPRODUCT(--ISNUMBER(SEARCH(violent,C146)))&gt;0)</f>
        <v>0</v>
      </c>
      <c r="P146" s="14" cm="1">
        <f t="array" ref="P146">INT(SUMPRODUCT(--ISNUMBER(SEARCH(foreign,C146)))&gt;0)</f>
        <v>0</v>
      </c>
      <c r="Q146" s="14" cm="1">
        <f t="array" ref="Q146">INT(SUMPRODUCT(--ISNUMBER(SEARCH(gun,C146)))&gt;0)</f>
        <v>0</v>
      </c>
      <c r="R146" s="14" cm="1">
        <f t="array" ref="R146">INT(SUMPRODUCT(--ISNUMBER(SEARCH(race,C146)))&gt;0)</f>
        <v>0</v>
      </c>
      <c r="S146" s="14" cm="1">
        <f t="array" ref="S146">INT(SUMPRODUCT(--ISNUMBER(SEARCH(immigration,C146)))&gt;0)</f>
        <v>0</v>
      </c>
      <c r="T146" s="14" cm="1">
        <f t="array" ref="T146">INT(SUMPRODUCT(--ISNUMBER(SEARCH(econineq,C147)))&gt;0)</f>
        <v>0</v>
      </c>
      <c r="U146" s="14" cm="1">
        <f t="array" ref="U146">INT(SUMPRODUCT(--ISNUMBER(SEARCH(climate,C146)))&gt;0)</f>
        <v>0</v>
      </c>
      <c r="V146" s="14" cm="1">
        <f t="array" ref="V146">INT(SUMPRODUCT(--ISNUMBER(SEARCH(abortion,C146)))&gt;0)</f>
        <v>0</v>
      </c>
      <c r="W146" s="14" cm="1">
        <f t="array" ref="W146">INT(SUMPRODUCT(--ISNUMBER(SEARCH(trump,C146)))&gt;0)</f>
        <v>0</v>
      </c>
      <c r="X146" s="14" cm="1">
        <f t="array" ref="X146">INT(SUMPRODUCT(--ISNUMBER(SEARCH(voting,C146)))&gt;0)</f>
        <v>0</v>
      </c>
      <c r="Y146" s="14" cm="1">
        <f t="array" ref="Y146">INT(SUMPRODUCT(--ISNUMBER(SEARCH(republicantrigger,C146)))&gt;0)</f>
        <v>0</v>
      </c>
      <c r="Z146" s="14" cm="1">
        <f t="array" ref="Z146">INT(SUMPRODUCT(--ISNUMBER(SEARCH(bipartisan,C146)))&gt;0)</f>
        <v>0</v>
      </c>
      <c r="AA146" s="14">
        <f t="shared" si="2"/>
        <v>0</v>
      </c>
      <c r="AB146" s="14"/>
      <c r="AC146" s="30" t="s">
        <v>223</v>
      </c>
      <c r="AD146" s="37" t="s">
        <v>223</v>
      </c>
    </row>
    <row r="147" spans="1:30" x14ac:dyDescent="0.25">
      <c r="A147" s="36">
        <v>912</v>
      </c>
      <c r="B147" s="14" t="s">
        <v>1851</v>
      </c>
      <c r="C147" s="14" t="s">
        <v>1852</v>
      </c>
      <c r="D147" s="17">
        <v>44117</v>
      </c>
      <c r="E147" s="14" t="s">
        <v>30</v>
      </c>
      <c r="F147" s="14">
        <v>164</v>
      </c>
      <c r="G147" s="14">
        <v>26</v>
      </c>
      <c r="H147" s="14">
        <v>5</v>
      </c>
      <c r="I147" s="14">
        <v>3</v>
      </c>
      <c r="J147" s="14" t="s">
        <v>31</v>
      </c>
      <c r="K147" s="14" cm="1">
        <f t="array" ref="K147">INT(SUMPRODUCT(--ISNUMBER(SEARCH(economy,C147)))&gt;0)</f>
        <v>0</v>
      </c>
      <c r="L147" s="14" cm="1">
        <f t="array" ref="L147">INT(SUMPRODUCT(--ISNUMBER(SEARCH(healthcare,C147)))&gt;0)</f>
        <v>0</v>
      </c>
      <c r="M147" s="14" cm="1">
        <f t="array" ref="M147">INT(SUMPRODUCT(--ISNUMBER(SEARCH(supreme,C147)))&gt;0)</f>
        <v>0</v>
      </c>
      <c r="N147" s="14" cm="1">
        <f t="array" ref="N147">INT(SUMPRODUCT(--ISNUMBER(SEARCH(covid,C147)))&gt;0)</f>
        <v>0</v>
      </c>
      <c r="O147" s="14" cm="1">
        <f t="array" ref="O147">INT(SUMPRODUCT(--ISNUMBER(SEARCH(violent,C147)))&gt;0)</f>
        <v>0</v>
      </c>
      <c r="P147" s="14" cm="1">
        <f t="array" ref="P147">INT(SUMPRODUCT(--ISNUMBER(SEARCH(foreign,C147)))&gt;0)</f>
        <v>0</v>
      </c>
      <c r="Q147" s="14" cm="1">
        <f t="array" ref="Q147">INT(SUMPRODUCT(--ISNUMBER(SEARCH(gun,C147)))&gt;0)</f>
        <v>0</v>
      </c>
      <c r="R147" s="14" cm="1">
        <f t="array" ref="R147">INT(SUMPRODUCT(--ISNUMBER(SEARCH(race,C147)))&gt;0)</f>
        <v>0</v>
      </c>
      <c r="S147" s="14" cm="1">
        <f t="array" ref="S147">INT(SUMPRODUCT(--ISNUMBER(SEARCH(immigration,C147)))&gt;0)</f>
        <v>0</v>
      </c>
      <c r="T147" s="14" cm="1">
        <f t="array" ref="T147">INT(SUMPRODUCT(--ISNUMBER(SEARCH(econineq,C148)))&gt;0)</f>
        <v>0</v>
      </c>
      <c r="U147" s="14" cm="1">
        <f t="array" ref="U147">INT(SUMPRODUCT(--ISNUMBER(SEARCH(climate,C147)))&gt;0)</f>
        <v>0</v>
      </c>
      <c r="V147" s="14" cm="1">
        <f t="array" ref="V147">INT(SUMPRODUCT(--ISNUMBER(SEARCH(abortion,C147)))&gt;0)</f>
        <v>0</v>
      </c>
      <c r="W147" s="14" cm="1">
        <f t="array" ref="W147">INT(SUMPRODUCT(--ISNUMBER(SEARCH(trump,C147)))&gt;0)</f>
        <v>0</v>
      </c>
      <c r="X147" s="14" cm="1">
        <f t="array" ref="X147">INT(SUMPRODUCT(--ISNUMBER(SEARCH(voting,C147)))&gt;0)</f>
        <v>0</v>
      </c>
      <c r="Y147" s="14" cm="1">
        <f t="array" ref="Y147">INT(SUMPRODUCT(--ISNUMBER(SEARCH(republicantrigger,C147)))&gt;0)</f>
        <v>0</v>
      </c>
      <c r="Z147" s="14" cm="1">
        <f t="array" ref="Z147">INT(SUMPRODUCT(--ISNUMBER(SEARCH(bipartisan,C147)))&gt;0)</f>
        <v>0</v>
      </c>
      <c r="AA147" s="14">
        <f t="shared" si="2"/>
        <v>1</v>
      </c>
      <c r="AB147" s="14"/>
      <c r="AC147" s="30">
        <v>1</v>
      </c>
      <c r="AD147" s="37">
        <v>0</v>
      </c>
    </row>
    <row r="148" spans="1:30" x14ac:dyDescent="0.25">
      <c r="A148" s="36">
        <v>913</v>
      </c>
      <c r="B148" s="14" t="s">
        <v>1853</v>
      </c>
      <c r="C148" s="14" t="s">
        <v>1854</v>
      </c>
      <c r="D148" s="17">
        <v>44117</v>
      </c>
      <c r="E148" s="14" t="s">
        <v>30</v>
      </c>
      <c r="F148" s="14">
        <v>652</v>
      </c>
      <c r="G148" s="14">
        <v>178</v>
      </c>
      <c r="H148" s="14">
        <v>5</v>
      </c>
      <c r="I148" s="14">
        <v>3</v>
      </c>
      <c r="J148" s="14" t="s">
        <v>31</v>
      </c>
      <c r="K148" s="14" cm="1">
        <f t="array" ref="K148">INT(SUMPRODUCT(--ISNUMBER(SEARCH(economy,C148)))&gt;0)</f>
        <v>0</v>
      </c>
      <c r="L148" s="14" cm="1">
        <f t="array" ref="L148">INT(SUMPRODUCT(--ISNUMBER(SEARCH(healthcare,C148)))&gt;0)</f>
        <v>0</v>
      </c>
      <c r="M148" s="14" cm="1">
        <f t="array" ref="M148">INT(SUMPRODUCT(--ISNUMBER(SEARCH(supreme,C148)))&gt;0)</f>
        <v>1</v>
      </c>
      <c r="N148" s="14" cm="1">
        <f t="array" ref="N148">INT(SUMPRODUCT(--ISNUMBER(SEARCH(covid,C148)))&gt;0)</f>
        <v>0</v>
      </c>
      <c r="O148" s="14" cm="1">
        <f t="array" ref="O148">INT(SUMPRODUCT(--ISNUMBER(SEARCH(violent,C148)))&gt;0)</f>
        <v>0</v>
      </c>
      <c r="P148" s="14" cm="1">
        <f t="array" ref="P148">INT(SUMPRODUCT(--ISNUMBER(SEARCH(foreign,C148)))&gt;0)</f>
        <v>0</v>
      </c>
      <c r="Q148" s="14" cm="1">
        <f t="array" ref="Q148">INT(SUMPRODUCT(--ISNUMBER(SEARCH(gun,C148)))&gt;0)</f>
        <v>0</v>
      </c>
      <c r="R148" s="14" cm="1">
        <f t="array" ref="R148">INT(SUMPRODUCT(--ISNUMBER(SEARCH(race,C148)))&gt;0)</f>
        <v>0</v>
      </c>
      <c r="S148" s="14" cm="1">
        <f t="array" ref="S148">INT(SUMPRODUCT(--ISNUMBER(SEARCH(immigration,C148)))&gt;0)</f>
        <v>0</v>
      </c>
      <c r="T148" s="14" cm="1">
        <f t="array" ref="T148">INT(SUMPRODUCT(--ISNUMBER(SEARCH(econineq,C149)))&gt;0)</f>
        <v>0</v>
      </c>
      <c r="U148" s="14" cm="1">
        <f t="array" ref="U148">INT(SUMPRODUCT(--ISNUMBER(SEARCH(climate,C148)))&gt;0)</f>
        <v>0</v>
      </c>
      <c r="V148" s="14" cm="1">
        <f t="array" ref="V148">INT(SUMPRODUCT(--ISNUMBER(SEARCH(abortion,C148)))&gt;0)</f>
        <v>0</v>
      </c>
      <c r="W148" s="14" cm="1">
        <f t="array" ref="W148">INT(SUMPRODUCT(--ISNUMBER(SEARCH(trump,C148)))&gt;0)</f>
        <v>0</v>
      </c>
      <c r="X148" s="14" cm="1">
        <f t="array" ref="X148">INT(SUMPRODUCT(--ISNUMBER(SEARCH(voting,C148)))&gt;0)</f>
        <v>0</v>
      </c>
      <c r="Y148" s="14" cm="1">
        <f t="array" ref="Y148">INT(SUMPRODUCT(--ISNUMBER(SEARCH(republicantrigger,C148)))&gt;0)</f>
        <v>0</v>
      </c>
      <c r="Z148" s="14" cm="1">
        <f t="array" ref="Z148">INT(SUMPRODUCT(--ISNUMBER(SEARCH(bipartisan,C148)))&gt;0)</f>
        <v>0</v>
      </c>
      <c r="AA148" s="14">
        <f t="shared" si="2"/>
        <v>0</v>
      </c>
      <c r="AB148" s="14"/>
      <c r="AC148" s="30">
        <v>1</v>
      </c>
      <c r="AD148" s="37">
        <v>0</v>
      </c>
    </row>
    <row r="149" spans="1:30" x14ac:dyDescent="0.25">
      <c r="A149" s="36">
        <v>914</v>
      </c>
      <c r="B149" s="14" t="s">
        <v>1855</v>
      </c>
      <c r="C149" s="14" t="s">
        <v>1856</v>
      </c>
      <c r="D149" s="17">
        <v>44117</v>
      </c>
      <c r="E149" s="14" t="s">
        <v>30</v>
      </c>
      <c r="F149" s="14">
        <v>100</v>
      </c>
      <c r="G149" s="14">
        <v>27</v>
      </c>
      <c r="H149" s="14">
        <v>5</v>
      </c>
      <c r="I149" s="14">
        <v>3</v>
      </c>
      <c r="J149" s="14" t="s">
        <v>31</v>
      </c>
      <c r="K149" s="14" cm="1">
        <f t="array" ref="K149">INT(SUMPRODUCT(--ISNUMBER(SEARCH(economy,C149)))&gt;0)</f>
        <v>0</v>
      </c>
      <c r="L149" s="14" cm="1">
        <f t="array" ref="L149">INT(SUMPRODUCT(--ISNUMBER(SEARCH(healthcare,C149)))&gt;0)</f>
        <v>0</v>
      </c>
      <c r="M149" s="14" cm="1">
        <f t="array" ref="M149">INT(SUMPRODUCT(--ISNUMBER(SEARCH(supreme,C149)))&gt;0)</f>
        <v>0</v>
      </c>
      <c r="N149" s="14" cm="1">
        <f t="array" ref="N149">INT(SUMPRODUCT(--ISNUMBER(SEARCH(covid,C149)))&gt;0)</f>
        <v>0</v>
      </c>
      <c r="O149" s="14" cm="1">
        <f t="array" ref="O149">INT(SUMPRODUCT(--ISNUMBER(SEARCH(violent,C149)))&gt;0)</f>
        <v>0</v>
      </c>
      <c r="P149" s="14" cm="1">
        <f t="array" ref="P149">INT(SUMPRODUCT(--ISNUMBER(SEARCH(foreign,C149)))&gt;0)</f>
        <v>0</v>
      </c>
      <c r="Q149" s="14" cm="1">
        <f t="array" ref="Q149">INT(SUMPRODUCT(--ISNUMBER(SEARCH(gun,C149)))&gt;0)</f>
        <v>0</v>
      </c>
      <c r="R149" s="14" cm="1">
        <f t="array" ref="R149">INT(SUMPRODUCT(--ISNUMBER(SEARCH(race,C149)))&gt;0)</f>
        <v>0</v>
      </c>
      <c r="S149" s="14" cm="1">
        <f t="array" ref="S149">INT(SUMPRODUCT(--ISNUMBER(SEARCH(immigration,C149)))&gt;0)</f>
        <v>0</v>
      </c>
      <c r="T149" s="14" cm="1">
        <f t="array" ref="T149">INT(SUMPRODUCT(--ISNUMBER(SEARCH(econineq,C150)))&gt;0)</f>
        <v>0</v>
      </c>
      <c r="U149" s="14" cm="1">
        <f t="array" ref="U149">INT(SUMPRODUCT(--ISNUMBER(SEARCH(climate,C149)))&gt;0)</f>
        <v>0</v>
      </c>
      <c r="V149" s="14" cm="1">
        <f t="array" ref="V149">INT(SUMPRODUCT(--ISNUMBER(SEARCH(abortion,C149)))&gt;0)</f>
        <v>0</v>
      </c>
      <c r="W149" s="14" cm="1">
        <f t="array" ref="W149">INT(SUMPRODUCT(--ISNUMBER(SEARCH(trump,C149)))&gt;0)</f>
        <v>0</v>
      </c>
      <c r="X149" s="14" cm="1">
        <f t="array" ref="X149">INT(SUMPRODUCT(--ISNUMBER(SEARCH(voting,C149)))&gt;0)</f>
        <v>0</v>
      </c>
      <c r="Y149" s="14" cm="1">
        <f t="array" ref="Y149">INT(SUMPRODUCT(--ISNUMBER(SEARCH(republicantrigger,C149)))&gt;0)</f>
        <v>0</v>
      </c>
      <c r="Z149" s="14" cm="1">
        <f t="array" ref="Z149">INT(SUMPRODUCT(--ISNUMBER(SEARCH(bipartisan,C149)))&gt;0)</f>
        <v>0</v>
      </c>
      <c r="AA149" s="14">
        <f t="shared" si="2"/>
        <v>1</v>
      </c>
      <c r="AB149" s="14"/>
      <c r="AC149" s="30">
        <v>0</v>
      </c>
      <c r="AD149" s="37">
        <v>1</v>
      </c>
    </row>
    <row r="150" spans="1:30" x14ac:dyDescent="0.25">
      <c r="A150" s="36">
        <v>915</v>
      </c>
      <c r="B150" s="14" t="s">
        <v>1857</v>
      </c>
      <c r="C150" s="14" t="s">
        <v>1858</v>
      </c>
      <c r="D150" s="17">
        <v>44117</v>
      </c>
      <c r="E150" s="14" t="s">
        <v>30</v>
      </c>
      <c r="F150" s="14">
        <v>89</v>
      </c>
      <c r="G150" s="14">
        <v>23</v>
      </c>
      <c r="H150" s="14">
        <v>5</v>
      </c>
      <c r="I150" s="14">
        <v>3</v>
      </c>
      <c r="J150" s="14" t="s">
        <v>31</v>
      </c>
      <c r="K150" s="14" cm="1">
        <f t="array" ref="K150">INT(SUMPRODUCT(--ISNUMBER(SEARCH(economy,C150)))&gt;0)</f>
        <v>0</v>
      </c>
      <c r="L150" s="14" cm="1">
        <f t="array" ref="L150">INT(SUMPRODUCT(--ISNUMBER(SEARCH(healthcare,C150)))&gt;0)</f>
        <v>0</v>
      </c>
      <c r="M150" s="14" cm="1">
        <f t="array" ref="M150">INT(SUMPRODUCT(--ISNUMBER(SEARCH(supreme,C150)))&gt;0)</f>
        <v>0</v>
      </c>
      <c r="N150" s="14" cm="1">
        <f t="array" ref="N150">INT(SUMPRODUCT(--ISNUMBER(SEARCH(covid,C150)))&gt;0)</f>
        <v>0</v>
      </c>
      <c r="O150" s="14" cm="1">
        <f t="array" ref="O150">INT(SUMPRODUCT(--ISNUMBER(SEARCH(violent,C150)))&gt;0)</f>
        <v>0</v>
      </c>
      <c r="P150" s="14" cm="1">
        <f t="array" ref="P150">INT(SUMPRODUCT(--ISNUMBER(SEARCH(foreign,C150)))&gt;0)</f>
        <v>0</v>
      </c>
      <c r="Q150" s="14" cm="1">
        <f t="array" ref="Q150">INT(SUMPRODUCT(--ISNUMBER(SEARCH(gun,C150)))&gt;0)</f>
        <v>0</v>
      </c>
      <c r="R150" s="14" cm="1">
        <f t="array" ref="R150">INT(SUMPRODUCT(--ISNUMBER(SEARCH(race,C150)))&gt;0)</f>
        <v>0</v>
      </c>
      <c r="S150" s="14" cm="1">
        <f t="array" ref="S150">INT(SUMPRODUCT(--ISNUMBER(SEARCH(immigration,C150)))&gt;0)</f>
        <v>0</v>
      </c>
      <c r="T150" s="14" cm="1">
        <f t="array" ref="T150">INT(SUMPRODUCT(--ISNUMBER(SEARCH(econineq,C151)))&gt;0)</f>
        <v>0</v>
      </c>
      <c r="U150" s="14" cm="1">
        <f t="array" ref="U150">INT(SUMPRODUCT(--ISNUMBER(SEARCH(climate,C150)))&gt;0)</f>
        <v>0</v>
      </c>
      <c r="V150" s="14" cm="1">
        <f t="array" ref="V150">INT(SUMPRODUCT(--ISNUMBER(SEARCH(abortion,C150)))&gt;0)</f>
        <v>0</v>
      </c>
      <c r="W150" s="14" cm="1">
        <f t="array" ref="W150">INT(SUMPRODUCT(--ISNUMBER(SEARCH(trump,C150)))&gt;0)</f>
        <v>0</v>
      </c>
      <c r="X150" s="14" cm="1">
        <f t="array" ref="X150">INT(SUMPRODUCT(--ISNUMBER(SEARCH(voting,C150)))&gt;0)</f>
        <v>0</v>
      </c>
      <c r="Y150" s="14" cm="1">
        <f t="array" ref="Y150">INT(SUMPRODUCT(--ISNUMBER(SEARCH(republicantrigger,C150)))&gt;0)</f>
        <v>0</v>
      </c>
      <c r="Z150" s="14" cm="1">
        <f t="array" ref="Z150">INT(SUMPRODUCT(--ISNUMBER(SEARCH(bipartisan,C150)))&gt;0)</f>
        <v>0</v>
      </c>
      <c r="AA150" s="14">
        <f t="shared" si="2"/>
        <v>1</v>
      </c>
      <c r="AB150" s="14"/>
      <c r="AC150" s="30" t="s">
        <v>223</v>
      </c>
      <c r="AD150" s="37" t="s">
        <v>223</v>
      </c>
    </row>
    <row r="151" spans="1:30" x14ac:dyDescent="0.25">
      <c r="A151" s="36">
        <v>916</v>
      </c>
      <c r="B151" s="14" t="s">
        <v>1859</v>
      </c>
      <c r="C151" s="14" t="s">
        <v>1860</v>
      </c>
      <c r="D151" s="17">
        <v>44116</v>
      </c>
      <c r="E151" s="14" t="s">
        <v>30</v>
      </c>
      <c r="F151" s="14">
        <v>854</v>
      </c>
      <c r="G151" s="14">
        <v>243</v>
      </c>
      <c r="H151" s="14">
        <v>5</v>
      </c>
      <c r="I151" s="14">
        <v>3</v>
      </c>
      <c r="J151" s="14" t="s">
        <v>31</v>
      </c>
      <c r="K151" s="14" cm="1">
        <f t="array" ref="K151">INT(SUMPRODUCT(--ISNUMBER(SEARCH(economy,C151)))&gt;0)</f>
        <v>0</v>
      </c>
      <c r="L151" s="14" cm="1">
        <f t="array" ref="L151">INT(SUMPRODUCT(--ISNUMBER(SEARCH(healthcare,C151)))&gt;0)</f>
        <v>0</v>
      </c>
      <c r="M151" s="14" cm="1">
        <f t="array" ref="M151">INT(SUMPRODUCT(--ISNUMBER(SEARCH(supreme,C151)))&gt;0)</f>
        <v>1</v>
      </c>
      <c r="N151" s="14" cm="1">
        <f t="array" ref="N151">INT(SUMPRODUCT(--ISNUMBER(SEARCH(covid,C151)))&gt;0)</f>
        <v>0</v>
      </c>
      <c r="O151" s="14" cm="1">
        <f t="array" ref="O151">INT(SUMPRODUCT(--ISNUMBER(SEARCH(violent,C151)))&gt;0)</f>
        <v>0</v>
      </c>
      <c r="P151" s="14" cm="1">
        <f t="array" ref="P151">INT(SUMPRODUCT(--ISNUMBER(SEARCH(foreign,C151)))&gt;0)</f>
        <v>0</v>
      </c>
      <c r="Q151" s="14" cm="1">
        <f t="array" ref="Q151">INT(SUMPRODUCT(--ISNUMBER(SEARCH(gun,C151)))&gt;0)</f>
        <v>0</v>
      </c>
      <c r="R151" s="14" cm="1">
        <f t="array" ref="R151">INT(SUMPRODUCT(--ISNUMBER(SEARCH(race,C151)))&gt;0)</f>
        <v>0</v>
      </c>
      <c r="S151" s="14" cm="1">
        <f t="array" ref="S151">INT(SUMPRODUCT(--ISNUMBER(SEARCH(immigration,C151)))&gt;0)</f>
        <v>0</v>
      </c>
      <c r="T151" s="14" cm="1">
        <f t="array" ref="T151">INT(SUMPRODUCT(--ISNUMBER(SEARCH(econineq,C152)))&gt;0)</f>
        <v>0</v>
      </c>
      <c r="U151" s="14" cm="1">
        <f t="array" ref="U151">INT(SUMPRODUCT(--ISNUMBER(SEARCH(climate,C151)))&gt;0)</f>
        <v>0</v>
      </c>
      <c r="V151" s="14" cm="1">
        <f t="array" ref="V151">INT(SUMPRODUCT(--ISNUMBER(SEARCH(abortion,C151)))&gt;0)</f>
        <v>0</v>
      </c>
      <c r="W151" s="14" cm="1">
        <f t="array" ref="W151">INT(SUMPRODUCT(--ISNUMBER(SEARCH(trump,C151)))&gt;0)</f>
        <v>0</v>
      </c>
      <c r="X151" s="14" cm="1">
        <f t="array" ref="X151">INT(SUMPRODUCT(--ISNUMBER(SEARCH(voting,C151)))&gt;0)</f>
        <v>0</v>
      </c>
      <c r="Y151" s="14" cm="1">
        <f t="array" ref="Y151">INT(SUMPRODUCT(--ISNUMBER(SEARCH(republicantrigger,C151)))&gt;0)</f>
        <v>1</v>
      </c>
      <c r="Z151" s="14" cm="1">
        <f t="array" ref="Z151">INT(SUMPRODUCT(--ISNUMBER(SEARCH(bipartisan,C151)))&gt;0)</f>
        <v>0</v>
      </c>
      <c r="AA151" s="14">
        <f t="shared" si="2"/>
        <v>0</v>
      </c>
      <c r="AB151" s="14"/>
      <c r="AC151" s="30" t="s">
        <v>223</v>
      </c>
      <c r="AD151" s="37" t="s">
        <v>223</v>
      </c>
    </row>
    <row r="152" spans="1:30" x14ac:dyDescent="0.25">
      <c r="A152" s="36">
        <v>917</v>
      </c>
      <c r="B152" s="14" t="s">
        <v>1861</v>
      </c>
      <c r="C152" s="14" t="s">
        <v>1862</v>
      </c>
      <c r="D152" s="17">
        <v>44116</v>
      </c>
      <c r="E152" s="14" t="s">
        <v>30</v>
      </c>
      <c r="F152" s="14">
        <v>247</v>
      </c>
      <c r="G152" s="14">
        <v>56</v>
      </c>
      <c r="H152" s="14">
        <v>5</v>
      </c>
      <c r="I152" s="14">
        <v>3</v>
      </c>
      <c r="J152" s="14" t="s">
        <v>31</v>
      </c>
      <c r="K152" s="14" cm="1">
        <f t="array" ref="K152">INT(SUMPRODUCT(--ISNUMBER(SEARCH(economy,C152)))&gt;0)</f>
        <v>0</v>
      </c>
      <c r="L152" s="14" cm="1">
        <f t="array" ref="L152">INT(SUMPRODUCT(--ISNUMBER(SEARCH(healthcare,C152)))&gt;0)</f>
        <v>0</v>
      </c>
      <c r="M152" s="14" cm="1">
        <f t="array" ref="M152">INT(SUMPRODUCT(--ISNUMBER(SEARCH(supreme,C152)))&gt;0)</f>
        <v>1</v>
      </c>
      <c r="N152" s="14" cm="1">
        <f t="array" ref="N152">INT(SUMPRODUCT(--ISNUMBER(SEARCH(covid,C152)))&gt;0)</f>
        <v>0</v>
      </c>
      <c r="O152" s="14" cm="1">
        <f t="array" ref="O152">INT(SUMPRODUCT(--ISNUMBER(SEARCH(violent,C152)))&gt;0)</f>
        <v>0</v>
      </c>
      <c r="P152" s="14" cm="1">
        <f t="array" ref="P152">INT(SUMPRODUCT(--ISNUMBER(SEARCH(foreign,C152)))&gt;0)</f>
        <v>0</v>
      </c>
      <c r="Q152" s="14" cm="1">
        <f t="array" ref="Q152">INT(SUMPRODUCT(--ISNUMBER(SEARCH(gun,C152)))&gt;0)</f>
        <v>0</v>
      </c>
      <c r="R152" s="14" cm="1">
        <f t="array" ref="R152">INT(SUMPRODUCT(--ISNUMBER(SEARCH(race,C152)))&gt;0)</f>
        <v>0</v>
      </c>
      <c r="S152" s="14" cm="1">
        <f t="array" ref="S152">INT(SUMPRODUCT(--ISNUMBER(SEARCH(immigration,C152)))&gt;0)</f>
        <v>0</v>
      </c>
      <c r="T152" s="14" cm="1">
        <f t="array" ref="T152">INT(SUMPRODUCT(--ISNUMBER(SEARCH(econineq,C153)))&gt;0)</f>
        <v>0</v>
      </c>
      <c r="U152" s="14" cm="1">
        <f t="array" ref="U152">INT(SUMPRODUCT(--ISNUMBER(SEARCH(climate,C152)))&gt;0)</f>
        <v>0</v>
      </c>
      <c r="V152" s="14" cm="1">
        <f t="array" ref="V152">INT(SUMPRODUCT(--ISNUMBER(SEARCH(abortion,C152)))&gt;0)</f>
        <v>0</v>
      </c>
      <c r="W152" s="14" cm="1">
        <f t="array" ref="W152">INT(SUMPRODUCT(--ISNUMBER(SEARCH(trump,C152)))&gt;0)</f>
        <v>0</v>
      </c>
      <c r="X152" s="14" cm="1">
        <f t="array" ref="X152">INT(SUMPRODUCT(--ISNUMBER(SEARCH(voting,C152)))&gt;0)</f>
        <v>0</v>
      </c>
      <c r="Y152" s="14" cm="1">
        <f t="array" ref="Y152">INT(SUMPRODUCT(--ISNUMBER(SEARCH(republicantrigger,C152)))&gt;0)</f>
        <v>1</v>
      </c>
      <c r="Z152" s="14" cm="1">
        <f t="array" ref="Z152">INT(SUMPRODUCT(--ISNUMBER(SEARCH(bipartisan,C152)))&gt;0)</f>
        <v>0</v>
      </c>
      <c r="AA152" s="14">
        <f t="shared" si="2"/>
        <v>0</v>
      </c>
      <c r="AB152" s="14"/>
      <c r="AC152" s="30">
        <v>0</v>
      </c>
      <c r="AD152" s="37">
        <v>1</v>
      </c>
    </row>
    <row r="153" spans="1:30" x14ac:dyDescent="0.25">
      <c r="A153" s="36">
        <v>918</v>
      </c>
      <c r="B153" s="14" t="s">
        <v>1863</v>
      </c>
      <c r="C153" s="14" t="s">
        <v>1864</v>
      </c>
      <c r="D153" s="17">
        <v>44115</v>
      </c>
      <c r="E153" s="14" t="s">
        <v>30</v>
      </c>
      <c r="F153" s="14">
        <v>101</v>
      </c>
      <c r="G153" s="14">
        <v>22</v>
      </c>
      <c r="H153" s="14">
        <v>5</v>
      </c>
      <c r="I153" s="14">
        <v>3</v>
      </c>
      <c r="J153" s="14" t="s">
        <v>31</v>
      </c>
      <c r="K153" s="14" cm="1">
        <f t="array" ref="K153">INT(SUMPRODUCT(--ISNUMBER(SEARCH(economy,C153)))&gt;0)</f>
        <v>0</v>
      </c>
      <c r="L153" s="14" cm="1">
        <f t="array" ref="L153">INT(SUMPRODUCT(--ISNUMBER(SEARCH(healthcare,C153)))&gt;0)</f>
        <v>0</v>
      </c>
      <c r="M153" s="14" cm="1">
        <f t="array" ref="M153">INT(SUMPRODUCT(--ISNUMBER(SEARCH(supreme,C153)))&gt;0)</f>
        <v>0</v>
      </c>
      <c r="N153" s="14" cm="1">
        <f t="array" ref="N153">INT(SUMPRODUCT(--ISNUMBER(SEARCH(covid,C153)))&gt;0)</f>
        <v>0</v>
      </c>
      <c r="O153" s="14" cm="1">
        <f t="array" ref="O153">INT(SUMPRODUCT(--ISNUMBER(SEARCH(violent,C153)))&gt;0)</f>
        <v>0</v>
      </c>
      <c r="P153" s="14" cm="1">
        <f t="array" ref="P153">INT(SUMPRODUCT(--ISNUMBER(SEARCH(foreign,C153)))&gt;0)</f>
        <v>0</v>
      </c>
      <c r="Q153" s="14" cm="1">
        <f t="array" ref="Q153">INT(SUMPRODUCT(--ISNUMBER(SEARCH(gun,C153)))&gt;0)</f>
        <v>0</v>
      </c>
      <c r="R153" s="14" cm="1">
        <f t="array" ref="R153">INT(SUMPRODUCT(--ISNUMBER(SEARCH(race,C153)))&gt;0)</f>
        <v>0</v>
      </c>
      <c r="S153" s="14" cm="1">
        <f t="array" ref="S153">INT(SUMPRODUCT(--ISNUMBER(SEARCH(immigration,C153)))&gt;0)</f>
        <v>0</v>
      </c>
      <c r="T153" s="14" cm="1">
        <f t="array" ref="T153">INT(SUMPRODUCT(--ISNUMBER(SEARCH(econineq,C154)))&gt;0)</f>
        <v>0</v>
      </c>
      <c r="U153" s="14" cm="1">
        <f t="array" ref="U153">INT(SUMPRODUCT(--ISNUMBER(SEARCH(climate,C153)))&gt;0)</f>
        <v>0</v>
      </c>
      <c r="V153" s="14" cm="1">
        <f t="array" ref="V153">INT(SUMPRODUCT(--ISNUMBER(SEARCH(abortion,C153)))&gt;0)</f>
        <v>0</v>
      </c>
      <c r="W153" s="14" cm="1">
        <f t="array" ref="W153">INT(SUMPRODUCT(--ISNUMBER(SEARCH(trump,C153)))&gt;0)</f>
        <v>0</v>
      </c>
      <c r="X153" s="14" cm="1">
        <f t="array" ref="X153">INT(SUMPRODUCT(--ISNUMBER(SEARCH(voting,C153)))&gt;0)</f>
        <v>0</v>
      </c>
      <c r="Y153" s="14" cm="1">
        <f t="array" ref="Y153">INT(SUMPRODUCT(--ISNUMBER(SEARCH(republicantrigger,C153)))&gt;0)</f>
        <v>0</v>
      </c>
      <c r="Z153" s="14" cm="1">
        <f t="array" ref="Z153">INT(SUMPRODUCT(--ISNUMBER(SEARCH(bipartisan,C153)))&gt;0)</f>
        <v>0</v>
      </c>
      <c r="AA153" s="14">
        <f t="shared" si="2"/>
        <v>1</v>
      </c>
      <c r="AB153" s="14"/>
      <c r="AC153" s="30">
        <v>1</v>
      </c>
      <c r="AD153" s="37">
        <v>0</v>
      </c>
    </row>
    <row r="154" spans="1:30" x14ac:dyDescent="0.25">
      <c r="A154" s="36">
        <v>919</v>
      </c>
      <c r="B154" s="14" t="s">
        <v>1865</v>
      </c>
      <c r="C154" s="14" t="s">
        <v>1866</v>
      </c>
      <c r="D154" s="17">
        <v>44115</v>
      </c>
      <c r="E154" s="14" t="s">
        <v>30</v>
      </c>
      <c r="F154" s="14">
        <v>95</v>
      </c>
      <c r="G154" s="14">
        <v>32</v>
      </c>
      <c r="H154" s="14">
        <v>5</v>
      </c>
      <c r="I154" s="14">
        <v>3</v>
      </c>
      <c r="J154" s="14" t="s">
        <v>31</v>
      </c>
      <c r="K154" s="14" cm="1">
        <f t="array" ref="K154">INT(SUMPRODUCT(--ISNUMBER(SEARCH(economy,C154)))&gt;0)</f>
        <v>0</v>
      </c>
      <c r="L154" s="14" cm="1">
        <f t="array" ref="L154">INT(SUMPRODUCT(--ISNUMBER(SEARCH(healthcare,C154)))&gt;0)</f>
        <v>0</v>
      </c>
      <c r="M154" s="14" cm="1">
        <f t="array" ref="M154">INT(SUMPRODUCT(--ISNUMBER(SEARCH(supreme,C154)))&gt;0)</f>
        <v>0</v>
      </c>
      <c r="N154" s="14" cm="1">
        <f t="array" ref="N154">INT(SUMPRODUCT(--ISNUMBER(SEARCH(covid,C154)))&gt;0)</f>
        <v>0</v>
      </c>
      <c r="O154" s="14" cm="1">
        <f t="array" ref="O154">INT(SUMPRODUCT(--ISNUMBER(SEARCH(violent,C154)))&gt;0)</f>
        <v>0</v>
      </c>
      <c r="P154" s="14" cm="1">
        <f t="array" ref="P154">INT(SUMPRODUCT(--ISNUMBER(SEARCH(foreign,C154)))&gt;0)</f>
        <v>0</v>
      </c>
      <c r="Q154" s="14" cm="1">
        <f t="array" ref="Q154">INT(SUMPRODUCT(--ISNUMBER(SEARCH(gun,C154)))&gt;0)</f>
        <v>0</v>
      </c>
      <c r="R154" s="14" cm="1">
        <f t="array" ref="R154">INT(SUMPRODUCT(--ISNUMBER(SEARCH(race,C154)))&gt;0)</f>
        <v>0</v>
      </c>
      <c r="S154" s="14" cm="1">
        <f t="array" ref="S154">INT(SUMPRODUCT(--ISNUMBER(SEARCH(immigration,C154)))&gt;0)</f>
        <v>0</v>
      </c>
      <c r="T154" s="14" cm="1">
        <f t="array" ref="T154">INT(SUMPRODUCT(--ISNUMBER(SEARCH(econineq,C155)))&gt;0)</f>
        <v>0</v>
      </c>
      <c r="U154" s="14" cm="1">
        <f t="array" ref="U154">INT(SUMPRODUCT(--ISNUMBER(SEARCH(climate,C154)))&gt;0)</f>
        <v>0</v>
      </c>
      <c r="V154" s="14" cm="1">
        <f t="array" ref="V154">INT(SUMPRODUCT(--ISNUMBER(SEARCH(abortion,C154)))&gt;0)</f>
        <v>0</v>
      </c>
      <c r="W154" s="14" cm="1">
        <f t="array" ref="W154">INT(SUMPRODUCT(--ISNUMBER(SEARCH(trump,C154)))&gt;0)</f>
        <v>0</v>
      </c>
      <c r="X154" s="14" cm="1">
        <f t="array" ref="X154">INT(SUMPRODUCT(--ISNUMBER(SEARCH(voting,C154)))&gt;0)</f>
        <v>0</v>
      </c>
      <c r="Y154" s="14" cm="1">
        <f t="array" ref="Y154">INT(SUMPRODUCT(--ISNUMBER(SEARCH(republicantrigger,C154)))&gt;0)</f>
        <v>0</v>
      </c>
      <c r="Z154" s="14" cm="1">
        <f t="array" ref="Z154">INT(SUMPRODUCT(--ISNUMBER(SEARCH(bipartisan,C154)))&gt;0)</f>
        <v>0</v>
      </c>
      <c r="AA154" s="14">
        <f t="shared" si="2"/>
        <v>1</v>
      </c>
      <c r="AB154" s="14"/>
      <c r="AC154" s="30" t="s">
        <v>223</v>
      </c>
      <c r="AD154" s="37" t="s">
        <v>223</v>
      </c>
    </row>
    <row r="155" spans="1:30" x14ac:dyDescent="0.25">
      <c r="A155" s="36">
        <v>920</v>
      </c>
      <c r="B155" s="14" t="s">
        <v>1867</v>
      </c>
      <c r="C155" s="14" t="s">
        <v>1868</v>
      </c>
      <c r="D155" s="17">
        <v>44115</v>
      </c>
      <c r="E155" s="14" t="s">
        <v>30</v>
      </c>
      <c r="F155" s="14">
        <v>38</v>
      </c>
      <c r="G155" s="14">
        <v>14</v>
      </c>
      <c r="H155" s="14">
        <v>5</v>
      </c>
      <c r="I155" s="14">
        <v>3</v>
      </c>
      <c r="J155" s="14" t="s">
        <v>31</v>
      </c>
      <c r="K155" s="14" cm="1">
        <f t="array" ref="K155">INT(SUMPRODUCT(--ISNUMBER(SEARCH(economy,C155)))&gt;0)</f>
        <v>0</v>
      </c>
      <c r="L155" s="14" cm="1">
        <f t="array" ref="L155">INT(SUMPRODUCT(--ISNUMBER(SEARCH(healthcare,C155)))&gt;0)</f>
        <v>0</v>
      </c>
      <c r="M155" s="14" cm="1">
        <f t="array" ref="M155">INT(SUMPRODUCT(--ISNUMBER(SEARCH(supreme,C155)))&gt;0)</f>
        <v>0</v>
      </c>
      <c r="N155" s="14" cm="1">
        <f t="array" ref="N155">INT(SUMPRODUCT(--ISNUMBER(SEARCH(covid,C155)))&gt;0)</f>
        <v>1</v>
      </c>
      <c r="O155" s="14" cm="1">
        <f t="array" ref="O155">INT(SUMPRODUCT(--ISNUMBER(SEARCH(violent,C155)))&gt;0)</f>
        <v>0</v>
      </c>
      <c r="P155" s="14" cm="1">
        <f t="array" ref="P155">INT(SUMPRODUCT(--ISNUMBER(SEARCH(foreign,C155)))&gt;0)</f>
        <v>0</v>
      </c>
      <c r="Q155" s="14" cm="1">
        <f t="array" ref="Q155">INT(SUMPRODUCT(--ISNUMBER(SEARCH(gun,C155)))&gt;0)</f>
        <v>0</v>
      </c>
      <c r="R155" s="14" cm="1">
        <f t="array" ref="R155">INT(SUMPRODUCT(--ISNUMBER(SEARCH(race,C155)))&gt;0)</f>
        <v>0</v>
      </c>
      <c r="S155" s="14" cm="1">
        <f t="array" ref="S155">INT(SUMPRODUCT(--ISNUMBER(SEARCH(immigration,C155)))&gt;0)</f>
        <v>0</v>
      </c>
      <c r="T155" s="14" cm="1">
        <f t="array" ref="T155">INT(SUMPRODUCT(--ISNUMBER(SEARCH(econineq,C156)))&gt;0)</f>
        <v>0</v>
      </c>
      <c r="U155" s="14" cm="1">
        <f t="array" ref="U155">INT(SUMPRODUCT(--ISNUMBER(SEARCH(climate,C155)))&gt;0)</f>
        <v>0</v>
      </c>
      <c r="V155" s="14" cm="1">
        <f t="array" ref="V155">INT(SUMPRODUCT(--ISNUMBER(SEARCH(abortion,C155)))&gt;0)</f>
        <v>0</v>
      </c>
      <c r="W155" s="14" cm="1">
        <f t="array" ref="W155">INT(SUMPRODUCT(--ISNUMBER(SEARCH(trump,C155)))&gt;0)</f>
        <v>0</v>
      </c>
      <c r="X155" s="14" cm="1">
        <f t="array" ref="X155">INT(SUMPRODUCT(--ISNUMBER(SEARCH(voting,C155)))&gt;0)</f>
        <v>0</v>
      </c>
      <c r="Y155" s="14" cm="1">
        <f t="array" ref="Y155">INT(SUMPRODUCT(--ISNUMBER(SEARCH(republicantrigger,C155)))&gt;0)</f>
        <v>0</v>
      </c>
      <c r="Z155" s="14" cm="1">
        <f t="array" ref="Z155">INT(SUMPRODUCT(--ISNUMBER(SEARCH(bipartisan,C155)))&gt;0)</f>
        <v>0</v>
      </c>
      <c r="AA155" s="14">
        <f t="shared" si="2"/>
        <v>0</v>
      </c>
      <c r="AB155" s="14"/>
      <c r="AC155" s="30">
        <v>1</v>
      </c>
      <c r="AD155" s="37">
        <v>0</v>
      </c>
    </row>
    <row r="156" spans="1:30" x14ac:dyDescent="0.25">
      <c r="A156" s="36">
        <v>921</v>
      </c>
      <c r="B156" s="14" t="s">
        <v>1869</v>
      </c>
      <c r="C156" s="14" t="s">
        <v>1870</v>
      </c>
      <c r="D156" s="17">
        <v>44115</v>
      </c>
      <c r="E156" s="14" t="s">
        <v>30</v>
      </c>
      <c r="F156" s="14">
        <v>133</v>
      </c>
      <c r="G156" s="14">
        <v>32</v>
      </c>
      <c r="H156" s="14">
        <v>5</v>
      </c>
      <c r="I156" s="14">
        <v>3</v>
      </c>
      <c r="J156" s="14" t="s">
        <v>31</v>
      </c>
      <c r="K156" s="14" cm="1">
        <f t="array" ref="K156">INT(SUMPRODUCT(--ISNUMBER(SEARCH(economy,C156)))&gt;0)</f>
        <v>0</v>
      </c>
      <c r="L156" s="14" cm="1">
        <f t="array" ref="L156">INT(SUMPRODUCT(--ISNUMBER(SEARCH(healthcare,C156)))&gt;0)</f>
        <v>0</v>
      </c>
      <c r="M156" s="14" cm="1">
        <f t="array" ref="M156">INT(SUMPRODUCT(--ISNUMBER(SEARCH(supreme,C156)))&gt;0)</f>
        <v>0</v>
      </c>
      <c r="N156" s="14" cm="1">
        <f t="array" ref="N156">INT(SUMPRODUCT(--ISNUMBER(SEARCH(covid,C156)))&gt;0)</f>
        <v>0</v>
      </c>
      <c r="O156" s="14" cm="1">
        <f t="array" ref="O156">INT(SUMPRODUCT(--ISNUMBER(SEARCH(violent,C156)))&gt;0)</f>
        <v>0</v>
      </c>
      <c r="P156" s="14" cm="1">
        <f t="array" ref="P156">INT(SUMPRODUCT(--ISNUMBER(SEARCH(foreign,C156)))&gt;0)</f>
        <v>0</v>
      </c>
      <c r="Q156" s="14" cm="1">
        <f t="array" ref="Q156">INT(SUMPRODUCT(--ISNUMBER(SEARCH(gun,C156)))&gt;0)</f>
        <v>0</v>
      </c>
      <c r="R156" s="14" cm="1">
        <f t="array" ref="R156">INT(SUMPRODUCT(--ISNUMBER(SEARCH(race,C156)))&gt;0)</f>
        <v>0</v>
      </c>
      <c r="S156" s="14" cm="1">
        <f t="array" ref="S156">INT(SUMPRODUCT(--ISNUMBER(SEARCH(immigration,C156)))&gt;0)</f>
        <v>0</v>
      </c>
      <c r="T156" s="14" cm="1">
        <f t="array" ref="T156">INT(SUMPRODUCT(--ISNUMBER(SEARCH(econineq,C157)))&gt;0)</f>
        <v>0</v>
      </c>
      <c r="U156" s="14" cm="1">
        <f t="array" ref="U156">INT(SUMPRODUCT(--ISNUMBER(SEARCH(climate,C156)))&gt;0)</f>
        <v>0</v>
      </c>
      <c r="V156" s="14" cm="1">
        <f t="array" ref="V156">INT(SUMPRODUCT(--ISNUMBER(SEARCH(abortion,C156)))&gt;0)</f>
        <v>0</v>
      </c>
      <c r="W156" s="14" cm="1">
        <f t="array" ref="W156">INT(SUMPRODUCT(--ISNUMBER(SEARCH(trump,C156)))&gt;0)</f>
        <v>0</v>
      </c>
      <c r="X156" s="14" cm="1">
        <f t="array" ref="X156">INT(SUMPRODUCT(--ISNUMBER(SEARCH(voting,C156)))&gt;0)</f>
        <v>0</v>
      </c>
      <c r="Y156" s="14" cm="1">
        <f t="array" ref="Y156">INT(SUMPRODUCT(--ISNUMBER(SEARCH(republicantrigger,C156)))&gt;0)</f>
        <v>0</v>
      </c>
      <c r="Z156" s="14" cm="1">
        <f t="array" ref="Z156">INT(SUMPRODUCT(--ISNUMBER(SEARCH(bipartisan,C156)))&gt;0)</f>
        <v>0</v>
      </c>
      <c r="AA156" s="14">
        <f t="shared" si="2"/>
        <v>1</v>
      </c>
      <c r="AB156" s="14"/>
      <c r="AC156" s="30">
        <v>0</v>
      </c>
      <c r="AD156" s="37">
        <v>1</v>
      </c>
    </row>
    <row r="157" spans="1:30" x14ac:dyDescent="0.25">
      <c r="A157" s="36">
        <v>922</v>
      </c>
      <c r="B157" s="14" t="s">
        <v>1871</v>
      </c>
      <c r="C157" s="14" t="s">
        <v>1872</v>
      </c>
      <c r="D157" s="17">
        <v>44115</v>
      </c>
      <c r="E157" s="14" t="s">
        <v>30</v>
      </c>
      <c r="F157" s="14">
        <v>84</v>
      </c>
      <c r="G157" s="14">
        <v>25</v>
      </c>
      <c r="H157" s="14">
        <v>5</v>
      </c>
      <c r="I157" s="14">
        <v>3</v>
      </c>
      <c r="J157" s="14" t="s">
        <v>31</v>
      </c>
      <c r="K157" s="14" cm="1">
        <f t="array" ref="K157">INT(SUMPRODUCT(--ISNUMBER(SEARCH(economy,C157)))&gt;0)</f>
        <v>0</v>
      </c>
      <c r="L157" s="14" cm="1">
        <f t="array" ref="L157">INT(SUMPRODUCT(--ISNUMBER(SEARCH(healthcare,C157)))&gt;0)</f>
        <v>0</v>
      </c>
      <c r="M157" s="14" cm="1">
        <f t="array" ref="M157">INT(SUMPRODUCT(--ISNUMBER(SEARCH(supreme,C157)))&gt;0)</f>
        <v>0</v>
      </c>
      <c r="N157" s="14" cm="1">
        <f t="array" ref="N157">INT(SUMPRODUCT(--ISNUMBER(SEARCH(covid,C157)))&gt;0)</f>
        <v>0</v>
      </c>
      <c r="O157" s="14" cm="1">
        <f t="array" ref="O157">INT(SUMPRODUCT(--ISNUMBER(SEARCH(violent,C157)))&gt;0)</f>
        <v>0</v>
      </c>
      <c r="P157" s="14" cm="1">
        <f t="array" ref="P157">INT(SUMPRODUCT(--ISNUMBER(SEARCH(foreign,C157)))&gt;0)</f>
        <v>0</v>
      </c>
      <c r="Q157" s="14" cm="1">
        <f t="array" ref="Q157">INT(SUMPRODUCT(--ISNUMBER(SEARCH(gun,C157)))&gt;0)</f>
        <v>0</v>
      </c>
      <c r="R157" s="14" cm="1">
        <f t="array" ref="R157">INT(SUMPRODUCT(--ISNUMBER(SEARCH(race,C157)))&gt;0)</f>
        <v>0</v>
      </c>
      <c r="S157" s="14" cm="1">
        <f t="array" ref="S157">INT(SUMPRODUCT(--ISNUMBER(SEARCH(immigration,C157)))&gt;0)</f>
        <v>0</v>
      </c>
      <c r="T157" s="14" cm="1">
        <f t="array" ref="T157">INT(SUMPRODUCT(--ISNUMBER(SEARCH(econineq,C158)))&gt;0)</f>
        <v>0</v>
      </c>
      <c r="U157" s="14" cm="1">
        <f t="array" ref="U157">INT(SUMPRODUCT(--ISNUMBER(SEARCH(climate,C157)))&gt;0)</f>
        <v>0</v>
      </c>
      <c r="V157" s="14" cm="1">
        <f t="array" ref="V157">INT(SUMPRODUCT(--ISNUMBER(SEARCH(abortion,C157)))&gt;0)</f>
        <v>0</v>
      </c>
      <c r="W157" s="14" cm="1">
        <f t="array" ref="W157">INT(SUMPRODUCT(--ISNUMBER(SEARCH(trump,C157)))&gt;0)</f>
        <v>0</v>
      </c>
      <c r="X157" s="14" cm="1">
        <f t="array" ref="X157">INT(SUMPRODUCT(--ISNUMBER(SEARCH(voting,C157)))&gt;0)</f>
        <v>0</v>
      </c>
      <c r="Y157" s="14" cm="1">
        <f t="array" ref="Y157">INT(SUMPRODUCT(--ISNUMBER(SEARCH(republicantrigger,C157)))&gt;0)</f>
        <v>0</v>
      </c>
      <c r="Z157" s="14" cm="1">
        <f t="array" ref="Z157">INT(SUMPRODUCT(--ISNUMBER(SEARCH(bipartisan,C157)))&gt;0)</f>
        <v>0</v>
      </c>
      <c r="AA157" s="14">
        <f t="shared" si="2"/>
        <v>1</v>
      </c>
      <c r="AB157" s="14"/>
      <c r="AC157" s="30">
        <v>0</v>
      </c>
      <c r="AD157" s="37">
        <v>1</v>
      </c>
    </row>
    <row r="158" spans="1:30" x14ac:dyDescent="0.25">
      <c r="A158" s="36">
        <v>923</v>
      </c>
      <c r="B158" s="14" t="s">
        <v>1873</v>
      </c>
      <c r="C158" s="14" t="s">
        <v>1874</v>
      </c>
      <c r="D158" s="17">
        <v>44115</v>
      </c>
      <c r="E158" s="14" t="s">
        <v>30</v>
      </c>
      <c r="F158" s="14">
        <v>610</v>
      </c>
      <c r="G158" s="14">
        <v>93</v>
      </c>
      <c r="H158" s="14">
        <v>5</v>
      </c>
      <c r="I158" s="14">
        <v>3</v>
      </c>
      <c r="J158" s="14" t="s">
        <v>31</v>
      </c>
      <c r="K158" s="14" cm="1">
        <f t="array" ref="K158">INT(SUMPRODUCT(--ISNUMBER(SEARCH(economy,C158)))&gt;0)</f>
        <v>0</v>
      </c>
      <c r="L158" s="14" cm="1">
        <f t="array" ref="L158">INT(SUMPRODUCT(--ISNUMBER(SEARCH(healthcare,C158)))&gt;0)</f>
        <v>0</v>
      </c>
      <c r="M158" s="14" cm="1">
        <f t="array" ref="M158">INT(SUMPRODUCT(--ISNUMBER(SEARCH(supreme,C158)))&gt;0)</f>
        <v>0</v>
      </c>
      <c r="N158" s="14" cm="1">
        <f t="array" ref="N158">INT(SUMPRODUCT(--ISNUMBER(SEARCH(covid,C158)))&gt;0)</f>
        <v>0</v>
      </c>
      <c r="O158" s="14" cm="1">
        <f t="array" ref="O158">INT(SUMPRODUCT(--ISNUMBER(SEARCH(violent,C158)))&gt;0)</f>
        <v>0</v>
      </c>
      <c r="P158" s="14" cm="1">
        <f t="array" ref="P158">INT(SUMPRODUCT(--ISNUMBER(SEARCH(foreign,C158)))&gt;0)</f>
        <v>0</v>
      </c>
      <c r="Q158" s="14" cm="1">
        <f t="array" ref="Q158">INT(SUMPRODUCT(--ISNUMBER(SEARCH(gun,C158)))&gt;0)</f>
        <v>0</v>
      </c>
      <c r="R158" s="14" cm="1">
        <f t="array" ref="R158">INT(SUMPRODUCT(--ISNUMBER(SEARCH(race,C158)))&gt;0)</f>
        <v>0</v>
      </c>
      <c r="S158" s="14" cm="1">
        <f t="array" ref="S158">INT(SUMPRODUCT(--ISNUMBER(SEARCH(immigration,C158)))&gt;0)</f>
        <v>0</v>
      </c>
      <c r="T158" s="14" cm="1">
        <f t="array" ref="T158">INT(SUMPRODUCT(--ISNUMBER(SEARCH(econineq,C159)))&gt;0)</f>
        <v>0</v>
      </c>
      <c r="U158" s="14" cm="1">
        <f t="array" ref="U158">INT(SUMPRODUCT(--ISNUMBER(SEARCH(climate,C158)))&gt;0)</f>
        <v>0</v>
      </c>
      <c r="V158" s="14" cm="1">
        <f t="array" ref="V158">INT(SUMPRODUCT(--ISNUMBER(SEARCH(abortion,C158)))&gt;0)</f>
        <v>0</v>
      </c>
      <c r="W158" s="14" cm="1">
        <f t="array" ref="W158">INT(SUMPRODUCT(--ISNUMBER(SEARCH(trump,C158)))&gt;0)</f>
        <v>0</v>
      </c>
      <c r="X158" s="14" cm="1">
        <f t="array" ref="X158">INT(SUMPRODUCT(--ISNUMBER(SEARCH(voting,C158)))&gt;0)</f>
        <v>0</v>
      </c>
      <c r="Y158" s="14" cm="1">
        <f t="array" ref="Y158">INT(SUMPRODUCT(--ISNUMBER(SEARCH(republicantrigger,C158)))&gt;0)</f>
        <v>0</v>
      </c>
      <c r="Z158" s="14" cm="1">
        <f t="array" ref="Z158">INT(SUMPRODUCT(--ISNUMBER(SEARCH(bipartisan,C158)))&gt;0)</f>
        <v>0</v>
      </c>
      <c r="AA158" s="14">
        <f t="shared" si="2"/>
        <v>1</v>
      </c>
      <c r="AB158" s="14"/>
      <c r="AC158" s="30">
        <v>1</v>
      </c>
      <c r="AD158" s="37">
        <v>0</v>
      </c>
    </row>
    <row r="159" spans="1:30" x14ac:dyDescent="0.25">
      <c r="A159" s="36">
        <v>924</v>
      </c>
      <c r="B159" s="14" t="s">
        <v>1875</v>
      </c>
      <c r="C159" s="14" t="s">
        <v>1876</v>
      </c>
      <c r="D159" s="17">
        <v>44115</v>
      </c>
      <c r="E159" s="14" t="s">
        <v>30</v>
      </c>
      <c r="F159" s="14">
        <v>59</v>
      </c>
      <c r="G159" s="14">
        <v>16</v>
      </c>
      <c r="H159" s="14">
        <v>5</v>
      </c>
      <c r="I159" s="14">
        <v>3</v>
      </c>
      <c r="J159" s="14" t="s">
        <v>31</v>
      </c>
      <c r="K159" s="14" cm="1">
        <f t="array" ref="K159">INT(SUMPRODUCT(--ISNUMBER(SEARCH(economy,C159)))&gt;0)</f>
        <v>0</v>
      </c>
      <c r="L159" s="14" cm="1">
        <f t="array" ref="L159">INT(SUMPRODUCT(--ISNUMBER(SEARCH(healthcare,C159)))&gt;0)</f>
        <v>0</v>
      </c>
      <c r="M159" s="14" cm="1">
        <f t="array" ref="M159">INT(SUMPRODUCT(--ISNUMBER(SEARCH(supreme,C159)))&gt;0)</f>
        <v>0</v>
      </c>
      <c r="N159" s="14" cm="1">
        <f t="array" ref="N159">INT(SUMPRODUCT(--ISNUMBER(SEARCH(covid,C159)))&gt;0)</f>
        <v>0</v>
      </c>
      <c r="O159" s="14" cm="1">
        <f t="array" ref="O159">INT(SUMPRODUCT(--ISNUMBER(SEARCH(violent,C159)))&gt;0)</f>
        <v>0</v>
      </c>
      <c r="P159" s="14" cm="1">
        <f t="array" ref="P159">INT(SUMPRODUCT(--ISNUMBER(SEARCH(foreign,C159)))&gt;0)</f>
        <v>0</v>
      </c>
      <c r="Q159" s="14" cm="1">
        <f t="array" ref="Q159">INT(SUMPRODUCT(--ISNUMBER(SEARCH(gun,C159)))&gt;0)</f>
        <v>0</v>
      </c>
      <c r="R159" s="14" cm="1">
        <f t="array" ref="R159">INT(SUMPRODUCT(--ISNUMBER(SEARCH(race,C159)))&gt;0)</f>
        <v>0</v>
      </c>
      <c r="S159" s="14" cm="1">
        <f t="array" ref="S159">INT(SUMPRODUCT(--ISNUMBER(SEARCH(immigration,C159)))&gt;0)</f>
        <v>0</v>
      </c>
      <c r="T159" s="14" cm="1">
        <f t="array" ref="T159">INT(SUMPRODUCT(--ISNUMBER(SEARCH(econineq,C160)))&gt;0)</f>
        <v>0</v>
      </c>
      <c r="U159" s="14" cm="1">
        <f t="array" ref="U159">INT(SUMPRODUCT(--ISNUMBER(SEARCH(climate,C159)))&gt;0)</f>
        <v>0</v>
      </c>
      <c r="V159" s="14" cm="1">
        <f t="array" ref="V159">INT(SUMPRODUCT(--ISNUMBER(SEARCH(abortion,C159)))&gt;0)</f>
        <v>0</v>
      </c>
      <c r="W159" s="14" cm="1">
        <f t="array" ref="W159">INT(SUMPRODUCT(--ISNUMBER(SEARCH(trump,C159)))&gt;0)</f>
        <v>0</v>
      </c>
      <c r="X159" s="14" cm="1">
        <f t="array" ref="X159">INT(SUMPRODUCT(--ISNUMBER(SEARCH(voting,C159)))&gt;0)</f>
        <v>0</v>
      </c>
      <c r="Y159" s="14" cm="1">
        <f t="array" ref="Y159">INT(SUMPRODUCT(--ISNUMBER(SEARCH(republicantrigger,C159)))&gt;0)</f>
        <v>0</v>
      </c>
      <c r="Z159" s="14" cm="1">
        <f t="array" ref="Z159">INT(SUMPRODUCT(--ISNUMBER(SEARCH(bipartisan,C159)))&gt;0)</f>
        <v>0</v>
      </c>
      <c r="AA159" s="14">
        <f t="shared" si="2"/>
        <v>1</v>
      </c>
      <c r="AB159" s="14"/>
      <c r="AC159" s="30">
        <v>1</v>
      </c>
      <c r="AD159" s="37">
        <v>0</v>
      </c>
    </row>
    <row r="160" spans="1:30" x14ac:dyDescent="0.25">
      <c r="A160" s="36">
        <v>925</v>
      </c>
      <c r="B160" s="14" t="s">
        <v>1877</v>
      </c>
      <c r="C160" s="14" t="s">
        <v>1878</v>
      </c>
      <c r="D160" s="17">
        <v>44115</v>
      </c>
      <c r="E160" s="14" t="s">
        <v>30</v>
      </c>
      <c r="F160" s="14">
        <v>78</v>
      </c>
      <c r="G160" s="14">
        <v>23</v>
      </c>
      <c r="H160" s="14">
        <v>5</v>
      </c>
      <c r="I160" s="14">
        <v>3</v>
      </c>
      <c r="J160" s="14" t="s">
        <v>31</v>
      </c>
      <c r="K160" s="14" cm="1">
        <f t="array" ref="K160">INT(SUMPRODUCT(--ISNUMBER(SEARCH(economy,C160)))&gt;0)</f>
        <v>0</v>
      </c>
      <c r="L160" s="14" cm="1">
        <f t="array" ref="L160">INT(SUMPRODUCT(--ISNUMBER(SEARCH(healthcare,C160)))&gt;0)</f>
        <v>0</v>
      </c>
      <c r="M160" s="14" cm="1">
        <f t="array" ref="M160">INT(SUMPRODUCT(--ISNUMBER(SEARCH(supreme,C160)))&gt;0)</f>
        <v>0</v>
      </c>
      <c r="N160" s="14" cm="1">
        <f t="array" ref="N160">INT(SUMPRODUCT(--ISNUMBER(SEARCH(covid,C160)))&gt;0)</f>
        <v>0</v>
      </c>
      <c r="O160" s="14" cm="1">
        <f t="array" ref="O160">INT(SUMPRODUCT(--ISNUMBER(SEARCH(violent,C160)))&gt;0)</f>
        <v>0</v>
      </c>
      <c r="P160" s="14" cm="1">
        <f t="array" ref="P160">INT(SUMPRODUCT(--ISNUMBER(SEARCH(foreign,C160)))&gt;0)</f>
        <v>0</v>
      </c>
      <c r="Q160" s="14" cm="1">
        <f t="array" ref="Q160">INT(SUMPRODUCT(--ISNUMBER(SEARCH(gun,C160)))&gt;0)</f>
        <v>0</v>
      </c>
      <c r="R160" s="14" cm="1">
        <f t="array" ref="R160">INT(SUMPRODUCT(--ISNUMBER(SEARCH(race,C160)))&gt;0)</f>
        <v>0</v>
      </c>
      <c r="S160" s="14" cm="1">
        <f t="array" ref="S160">INT(SUMPRODUCT(--ISNUMBER(SEARCH(immigration,C160)))&gt;0)</f>
        <v>0</v>
      </c>
      <c r="T160" s="14" cm="1">
        <f t="array" ref="T160">INT(SUMPRODUCT(--ISNUMBER(SEARCH(econineq,C161)))&gt;0)</f>
        <v>0</v>
      </c>
      <c r="U160" s="14" cm="1">
        <f t="array" ref="U160">INT(SUMPRODUCT(--ISNUMBER(SEARCH(climate,C160)))&gt;0)</f>
        <v>0</v>
      </c>
      <c r="V160" s="14" cm="1">
        <f t="array" ref="V160">INT(SUMPRODUCT(--ISNUMBER(SEARCH(abortion,C160)))&gt;0)</f>
        <v>0</v>
      </c>
      <c r="W160" s="14" cm="1">
        <f t="array" ref="W160">INT(SUMPRODUCT(--ISNUMBER(SEARCH(trump,C160)))&gt;0)</f>
        <v>0</v>
      </c>
      <c r="X160" s="14" cm="1">
        <f t="array" ref="X160">INT(SUMPRODUCT(--ISNUMBER(SEARCH(voting,C160)))&gt;0)</f>
        <v>0</v>
      </c>
      <c r="Y160" s="14" cm="1">
        <f t="array" ref="Y160">INT(SUMPRODUCT(--ISNUMBER(SEARCH(republicantrigger,C160)))&gt;0)</f>
        <v>0</v>
      </c>
      <c r="Z160" s="14" cm="1">
        <f t="array" ref="Z160">INT(SUMPRODUCT(--ISNUMBER(SEARCH(bipartisan,C160)))&gt;0)</f>
        <v>0</v>
      </c>
      <c r="AA160" s="14">
        <f t="shared" si="2"/>
        <v>1</v>
      </c>
      <c r="AB160" s="14"/>
      <c r="AC160" s="30" t="s">
        <v>223</v>
      </c>
      <c r="AD160" s="37" t="s">
        <v>223</v>
      </c>
    </row>
    <row r="161" spans="1:30" x14ac:dyDescent="0.25">
      <c r="A161" s="36">
        <v>926</v>
      </c>
      <c r="B161" s="14" t="s">
        <v>1879</v>
      </c>
      <c r="C161" s="14" t="s">
        <v>1880</v>
      </c>
      <c r="D161" s="17">
        <v>44115</v>
      </c>
      <c r="E161" s="14" t="s">
        <v>30</v>
      </c>
      <c r="F161" s="14">
        <v>146</v>
      </c>
      <c r="G161" s="14">
        <v>48</v>
      </c>
      <c r="H161" s="14">
        <v>5</v>
      </c>
      <c r="I161" s="14">
        <v>3</v>
      </c>
      <c r="J161" s="14" t="s">
        <v>31</v>
      </c>
      <c r="K161" s="14" cm="1">
        <f t="array" ref="K161">INT(SUMPRODUCT(--ISNUMBER(SEARCH(economy,C161)))&gt;0)</f>
        <v>0</v>
      </c>
      <c r="L161" s="14" cm="1">
        <f t="array" ref="L161">INT(SUMPRODUCT(--ISNUMBER(SEARCH(healthcare,C161)))&gt;0)</f>
        <v>0</v>
      </c>
      <c r="M161" s="14" cm="1">
        <f t="array" ref="M161">INT(SUMPRODUCT(--ISNUMBER(SEARCH(supreme,C161)))&gt;0)</f>
        <v>0</v>
      </c>
      <c r="N161" s="14" cm="1">
        <f t="array" ref="N161">INT(SUMPRODUCT(--ISNUMBER(SEARCH(covid,C161)))&gt;0)</f>
        <v>0</v>
      </c>
      <c r="O161" s="14" cm="1">
        <f t="array" ref="O161">INT(SUMPRODUCT(--ISNUMBER(SEARCH(violent,C161)))&gt;0)</f>
        <v>0</v>
      </c>
      <c r="P161" s="14" cm="1">
        <f t="array" ref="P161">INT(SUMPRODUCT(--ISNUMBER(SEARCH(foreign,C161)))&gt;0)</f>
        <v>0</v>
      </c>
      <c r="Q161" s="14" cm="1">
        <f t="array" ref="Q161">INT(SUMPRODUCT(--ISNUMBER(SEARCH(gun,C161)))&gt;0)</f>
        <v>0</v>
      </c>
      <c r="R161" s="14" cm="1">
        <f t="array" ref="R161">INT(SUMPRODUCT(--ISNUMBER(SEARCH(race,C161)))&gt;0)</f>
        <v>0</v>
      </c>
      <c r="S161" s="14" cm="1">
        <f t="array" ref="S161">INT(SUMPRODUCT(--ISNUMBER(SEARCH(immigration,C161)))&gt;0)</f>
        <v>0</v>
      </c>
      <c r="T161" s="14" cm="1">
        <f t="array" ref="T161">INT(SUMPRODUCT(--ISNUMBER(SEARCH(econineq,C162)))&gt;0)</f>
        <v>0</v>
      </c>
      <c r="U161" s="14" cm="1">
        <f t="array" ref="U161">INT(SUMPRODUCT(--ISNUMBER(SEARCH(climate,C161)))&gt;0)</f>
        <v>0</v>
      </c>
      <c r="V161" s="14" cm="1">
        <f t="array" ref="V161">INT(SUMPRODUCT(--ISNUMBER(SEARCH(abortion,C161)))&gt;0)</f>
        <v>0</v>
      </c>
      <c r="W161" s="14" cm="1">
        <f t="array" ref="W161">INT(SUMPRODUCT(--ISNUMBER(SEARCH(trump,C161)))&gt;0)</f>
        <v>0</v>
      </c>
      <c r="X161" s="14" cm="1">
        <f t="array" ref="X161">INT(SUMPRODUCT(--ISNUMBER(SEARCH(voting,C161)))&gt;0)</f>
        <v>0</v>
      </c>
      <c r="Y161" s="14" cm="1">
        <f t="array" ref="Y161">INT(SUMPRODUCT(--ISNUMBER(SEARCH(republicantrigger,C161)))&gt;0)</f>
        <v>0</v>
      </c>
      <c r="Z161" s="14" cm="1">
        <f t="array" ref="Z161">INT(SUMPRODUCT(--ISNUMBER(SEARCH(bipartisan,C161)))&gt;0)</f>
        <v>0</v>
      </c>
      <c r="AA161" s="14">
        <f t="shared" si="2"/>
        <v>1</v>
      </c>
      <c r="AB161" s="14"/>
      <c r="AC161" s="30">
        <v>0</v>
      </c>
      <c r="AD161" s="37">
        <v>1</v>
      </c>
    </row>
    <row r="162" spans="1:30" x14ac:dyDescent="0.25">
      <c r="A162" s="36">
        <v>927</v>
      </c>
      <c r="B162" s="14" t="s">
        <v>1881</v>
      </c>
      <c r="C162" s="14" t="s">
        <v>1882</v>
      </c>
      <c r="D162" s="17">
        <v>44115</v>
      </c>
      <c r="E162" s="14" t="s">
        <v>30</v>
      </c>
      <c r="F162" s="14">
        <v>170</v>
      </c>
      <c r="G162" s="14">
        <v>24</v>
      </c>
      <c r="H162" s="14">
        <v>5</v>
      </c>
      <c r="I162" s="14">
        <v>3</v>
      </c>
      <c r="J162" s="14" t="s">
        <v>31</v>
      </c>
      <c r="K162" s="14" cm="1">
        <f t="array" ref="K162">INT(SUMPRODUCT(--ISNUMBER(SEARCH(economy,C162)))&gt;0)</f>
        <v>0</v>
      </c>
      <c r="L162" s="14" cm="1">
        <f t="array" ref="L162">INT(SUMPRODUCT(--ISNUMBER(SEARCH(healthcare,C162)))&gt;0)</f>
        <v>0</v>
      </c>
      <c r="M162" s="14" cm="1">
        <f t="array" ref="M162">INT(SUMPRODUCT(--ISNUMBER(SEARCH(supreme,C162)))&gt;0)</f>
        <v>0</v>
      </c>
      <c r="N162" s="14" cm="1">
        <f t="array" ref="N162">INT(SUMPRODUCT(--ISNUMBER(SEARCH(covid,C162)))&gt;0)</f>
        <v>0</v>
      </c>
      <c r="O162" s="14" cm="1">
        <f t="array" ref="O162">INT(SUMPRODUCT(--ISNUMBER(SEARCH(violent,C162)))&gt;0)</f>
        <v>0</v>
      </c>
      <c r="P162" s="14" cm="1">
        <f t="array" ref="P162">INT(SUMPRODUCT(--ISNUMBER(SEARCH(foreign,C162)))&gt;0)</f>
        <v>0</v>
      </c>
      <c r="Q162" s="14" cm="1">
        <f t="array" ref="Q162">INT(SUMPRODUCT(--ISNUMBER(SEARCH(gun,C162)))&gt;0)</f>
        <v>0</v>
      </c>
      <c r="R162" s="14" cm="1">
        <f t="array" ref="R162">INT(SUMPRODUCT(--ISNUMBER(SEARCH(race,C162)))&gt;0)</f>
        <v>0</v>
      </c>
      <c r="S162" s="14" cm="1">
        <f t="array" ref="S162">INT(SUMPRODUCT(--ISNUMBER(SEARCH(immigration,C162)))&gt;0)</f>
        <v>0</v>
      </c>
      <c r="T162" s="14" cm="1">
        <f t="array" ref="T162">INT(SUMPRODUCT(--ISNUMBER(SEARCH(econineq,C163)))&gt;0)</f>
        <v>0</v>
      </c>
      <c r="U162" s="14" cm="1">
        <f t="array" ref="U162">INT(SUMPRODUCT(--ISNUMBER(SEARCH(climate,C162)))&gt;0)</f>
        <v>0</v>
      </c>
      <c r="V162" s="14" cm="1">
        <f t="array" ref="V162">INT(SUMPRODUCT(--ISNUMBER(SEARCH(abortion,C162)))&gt;0)</f>
        <v>0</v>
      </c>
      <c r="W162" s="14" cm="1">
        <f t="array" ref="W162">INT(SUMPRODUCT(--ISNUMBER(SEARCH(trump,C162)))&gt;0)</f>
        <v>0</v>
      </c>
      <c r="X162" s="14" cm="1">
        <f t="array" ref="X162">INT(SUMPRODUCT(--ISNUMBER(SEARCH(voting,C162)))&gt;0)</f>
        <v>0</v>
      </c>
      <c r="Y162" s="14" cm="1">
        <f t="array" ref="Y162">INT(SUMPRODUCT(--ISNUMBER(SEARCH(republicantrigger,C162)))&gt;0)</f>
        <v>0</v>
      </c>
      <c r="Z162" s="14" cm="1">
        <f t="array" ref="Z162">INT(SUMPRODUCT(--ISNUMBER(SEARCH(bipartisan,C162)))&gt;0)</f>
        <v>0</v>
      </c>
      <c r="AA162" s="14">
        <f t="shared" si="2"/>
        <v>1</v>
      </c>
      <c r="AB162" s="14"/>
      <c r="AC162" s="30">
        <v>1</v>
      </c>
      <c r="AD162" s="37">
        <v>0</v>
      </c>
    </row>
    <row r="163" spans="1:30" x14ac:dyDescent="0.25">
      <c r="A163" s="36">
        <v>928</v>
      </c>
      <c r="B163" s="14" t="s">
        <v>1883</v>
      </c>
      <c r="C163" s="14" t="s">
        <v>1884</v>
      </c>
      <c r="D163" s="17">
        <v>44114</v>
      </c>
      <c r="E163" s="14" t="s">
        <v>30</v>
      </c>
      <c r="F163" s="14">
        <v>194</v>
      </c>
      <c r="G163" s="14">
        <v>39</v>
      </c>
      <c r="H163" s="14">
        <v>5</v>
      </c>
      <c r="I163" s="14">
        <v>3</v>
      </c>
      <c r="J163" s="14" t="s">
        <v>31</v>
      </c>
      <c r="K163" s="14" cm="1">
        <f t="array" ref="K163">INT(SUMPRODUCT(--ISNUMBER(SEARCH(economy,C163)))&gt;0)</f>
        <v>0</v>
      </c>
      <c r="L163" s="14" cm="1">
        <f t="array" ref="L163">INT(SUMPRODUCT(--ISNUMBER(SEARCH(healthcare,C163)))&gt;0)</f>
        <v>0</v>
      </c>
      <c r="M163" s="14" cm="1">
        <f t="array" ref="M163">INT(SUMPRODUCT(--ISNUMBER(SEARCH(supreme,C163)))&gt;0)</f>
        <v>0</v>
      </c>
      <c r="N163" s="14" cm="1">
        <f t="array" ref="N163">INT(SUMPRODUCT(--ISNUMBER(SEARCH(covid,C163)))&gt;0)</f>
        <v>0</v>
      </c>
      <c r="O163" s="14" cm="1">
        <f t="array" ref="O163">INT(SUMPRODUCT(--ISNUMBER(SEARCH(violent,C163)))&gt;0)</f>
        <v>0</v>
      </c>
      <c r="P163" s="14" cm="1">
        <f t="array" ref="P163">INT(SUMPRODUCT(--ISNUMBER(SEARCH(foreign,C163)))&gt;0)</f>
        <v>0</v>
      </c>
      <c r="Q163" s="14" cm="1">
        <f t="array" ref="Q163">INT(SUMPRODUCT(--ISNUMBER(SEARCH(gun,C163)))&gt;0)</f>
        <v>0</v>
      </c>
      <c r="R163" s="14" cm="1">
        <f t="array" ref="R163">INT(SUMPRODUCT(--ISNUMBER(SEARCH(race,C163)))&gt;0)</f>
        <v>0</v>
      </c>
      <c r="S163" s="14" cm="1">
        <f t="array" ref="S163">INT(SUMPRODUCT(--ISNUMBER(SEARCH(immigration,C163)))&gt;0)</f>
        <v>0</v>
      </c>
      <c r="T163" s="14" cm="1">
        <f t="array" ref="T163">INT(SUMPRODUCT(--ISNUMBER(SEARCH(econineq,C164)))&gt;0)</f>
        <v>0</v>
      </c>
      <c r="U163" s="14" cm="1">
        <f t="array" ref="U163">INT(SUMPRODUCT(--ISNUMBER(SEARCH(climate,C163)))&gt;0)</f>
        <v>0</v>
      </c>
      <c r="V163" s="14" cm="1">
        <f t="array" ref="V163">INT(SUMPRODUCT(--ISNUMBER(SEARCH(abortion,C163)))&gt;0)</f>
        <v>0</v>
      </c>
      <c r="W163" s="14" cm="1">
        <f t="array" ref="W163">INT(SUMPRODUCT(--ISNUMBER(SEARCH(trump,C163)))&gt;0)</f>
        <v>0</v>
      </c>
      <c r="X163" s="14" cm="1">
        <f t="array" ref="X163">INT(SUMPRODUCT(--ISNUMBER(SEARCH(voting,C163)))&gt;0)</f>
        <v>0</v>
      </c>
      <c r="Y163" s="14" cm="1">
        <f t="array" ref="Y163">INT(SUMPRODUCT(--ISNUMBER(SEARCH(republicantrigger,C163)))&gt;0)</f>
        <v>0</v>
      </c>
      <c r="Z163" s="14" cm="1">
        <f t="array" ref="Z163">INT(SUMPRODUCT(--ISNUMBER(SEARCH(bipartisan,C163)))&gt;0)</f>
        <v>0</v>
      </c>
      <c r="AA163" s="14">
        <f t="shared" si="2"/>
        <v>1</v>
      </c>
      <c r="AB163" s="14"/>
      <c r="AC163" s="30">
        <v>0</v>
      </c>
      <c r="AD163" s="37">
        <v>1</v>
      </c>
    </row>
    <row r="164" spans="1:30" x14ac:dyDescent="0.25">
      <c r="A164" s="36">
        <v>929</v>
      </c>
      <c r="B164" s="14" t="s">
        <v>1885</v>
      </c>
      <c r="C164" s="14" t="s">
        <v>1886</v>
      </c>
      <c r="D164" s="17">
        <v>44114</v>
      </c>
      <c r="E164" s="14" t="s">
        <v>30</v>
      </c>
      <c r="F164" s="14">
        <v>195</v>
      </c>
      <c r="G164" s="14">
        <v>33</v>
      </c>
      <c r="H164" s="14">
        <v>5</v>
      </c>
      <c r="I164" s="14">
        <v>3</v>
      </c>
      <c r="J164" s="14" t="s">
        <v>31</v>
      </c>
      <c r="K164" s="14" cm="1">
        <f t="array" ref="K164">INT(SUMPRODUCT(--ISNUMBER(SEARCH(economy,C164)))&gt;0)</f>
        <v>0</v>
      </c>
      <c r="L164" s="14" cm="1">
        <f t="array" ref="L164">INT(SUMPRODUCT(--ISNUMBER(SEARCH(healthcare,C164)))&gt;0)</f>
        <v>0</v>
      </c>
      <c r="M164" s="14" cm="1">
        <f t="array" ref="M164">INT(SUMPRODUCT(--ISNUMBER(SEARCH(supreme,C164)))&gt;0)</f>
        <v>0</v>
      </c>
      <c r="N164" s="14" cm="1">
        <f t="array" ref="N164">INT(SUMPRODUCT(--ISNUMBER(SEARCH(covid,C164)))&gt;0)</f>
        <v>0</v>
      </c>
      <c r="O164" s="14" cm="1">
        <f t="array" ref="O164">INT(SUMPRODUCT(--ISNUMBER(SEARCH(violent,C164)))&gt;0)</f>
        <v>0</v>
      </c>
      <c r="P164" s="14" cm="1">
        <f t="array" ref="P164">INT(SUMPRODUCT(--ISNUMBER(SEARCH(foreign,C164)))&gt;0)</f>
        <v>0</v>
      </c>
      <c r="Q164" s="14" cm="1">
        <f t="array" ref="Q164">INT(SUMPRODUCT(--ISNUMBER(SEARCH(gun,C164)))&gt;0)</f>
        <v>0</v>
      </c>
      <c r="R164" s="14" cm="1">
        <f t="array" ref="R164">INT(SUMPRODUCT(--ISNUMBER(SEARCH(race,C164)))&gt;0)</f>
        <v>0</v>
      </c>
      <c r="S164" s="14" cm="1">
        <f t="array" ref="S164">INT(SUMPRODUCT(--ISNUMBER(SEARCH(immigration,C164)))&gt;0)</f>
        <v>0</v>
      </c>
      <c r="T164" s="14" cm="1">
        <f t="array" ref="T164">INT(SUMPRODUCT(--ISNUMBER(SEARCH(econineq,C165)))&gt;0)</f>
        <v>0</v>
      </c>
      <c r="U164" s="14" cm="1">
        <f t="array" ref="U164">INT(SUMPRODUCT(--ISNUMBER(SEARCH(climate,C164)))&gt;0)</f>
        <v>0</v>
      </c>
      <c r="V164" s="14" cm="1">
        <f t="array" ref="V164">INT(SUMPRODUCT(--ISNUMBER(SEARCH(abortion,C164)))&gt;0)</f>
        <v>0</v>
      </c>
      <c r="W164" s="14" cm="1">
        <f t="array" ref="W164">INT(SUMPRODUCT(--ISNUMBER(SEARCH(trump,C164)))&gt;0)</f>
        <v>0</v>
      </c>
      <c r="X164" s="14" cm="1">
        <f t="array" ref="X164">INT(SUMPRODUCT(--ISNUMBER(SEARCH(voting,C164)))&gt;0)</f>
        <v>0</v>
      </c>
      <c r="Y164" s="14" cm="1">
        <f t="array" ref="Y164">INT(SUMPRODUCT(--ISNUMBER(SEARCH(republicantrigger,C164)))&gt;0)</f>
        <v>0</v>
      </c>
      <c r="Z164" s="14" cm="1">
        <f t="array" ref="Z164">INT(SUMPRODUCT(--ISNUMBER(SEARCH(bipartisan,C164)))&gt;0)</f>
        <v>0</v>
      </c>
      <c r="AA164" s="14">
        <f t="shared" si="2"/>
        <v>1</v>
      </c>
      <c r="AB164" s="14"/>
      <c r="AC164" s="30">
        <v>1</v>
      </c>
      <c r="AD164" s="37">
        <v>0</v>
      </c>
    </row>
    <row r="165" spans="1:30" x14ac:dyDescent="0.25">
      <c r="A165" s="36">
        <v>930</v>
      </c>
      <c r="B165" s="14" t="s">
        <v>1887</v>
      </c>
      <c r="C165" s="14" t="s">
        <v>1888</v>
      </c>
      <c r="D165" s="17">
        <v>44114</v>
      </c>
      <c r="E165" s="14" t="s">
        <v>30</v>
      </c>
      <c r="F165" s="14">
        <v>77</v>
      </c>
      <c r="G165" s="14">
        <v>20</v>
      </c>
      <c r="H165" s="14">
        <v>5</v>
      </c>
      <c r="I165" s="14">
        <v>3</v>
      </c>
      <c r="J165" s="14" t="s">
        <v>31</v>
      </c>
      <c r="K165" s="14" cm="1">
        <f t="array" ref="K165">INT(SUMPRODUCT(--ISNUMBER(SEARCH(economy,C165)))&gt;0)</f>
        <v>0</v>
      </c>
      <c r="L165" s="14" cm="1">
        <f t="array" ref="L165">INT(SUMPRODUCT(--ISNUMBER(SEARCH(healthcare,C165)))&gt;0)</f>
        <v>0</v>
      </c>
      <c r="M165" s="14" cm="1">
        <f t="array" ref="M165">INT(SUMPRODUCT(--ISNUMBER(SEARCH(supreme,C165)))&gt;0)</f>
        <v>0</v>
      </c>
      <c r="N165" s="14" cm="1">
        <f t="array" ref="N165">INT(SUMPRODUCT(--ISNUMBER(SEARCH(covid,C165)))&gt;0)</f>
        <v>0</v>
      </c>
      <c r="O165" s="14" cm="1">
        <f t="array" ref="O165">INT(SUMPRODUCT(--ISNUMBER(SEARCH(violent,C165)))&gt;0)</f>
        <v>0</v>
      </c>
      <c r="P165" s="14" cm="1">
        <f t="array" ref="P165">INT(SUMPRODUCT(--ISNUMBER(SEARCH(foreign,C165)))&gt;0)</f>
        <v>0</v>
      </c>
      <c r="Q165" s="14" cm="1">
        <f t="array" ref="Q165">INT(SUMPRODUCT(--ISNUMBER(SEARCH(gun,C165)))&gt;0)</f>
        <v>0</v>
      </c>
      <c r="R165" s="14" cm="1">
        <f t="array" ref="R165">INT(SUMPRODUCT(--ISNUMBER(SEARCH(race,C165)))&gt;0)</f>
        <v>0</v>
      </c>
      <c r="S165" s="14" cm="1">
        <f t="array" ref="S165">INT(SUMPRODUCT(--ISNUMBER(SEARCH(immigration,C165)))&gt;0)</f>
        <v>0</v>
      </c>
      <c r="T165" s="14" cm="1">
        <f t="array" ref="T165">INT(SUMPRODUCT(--ISNUMBER(SEARCH(econineq,C166)))&gt;0)</f>
        <v>0</v>
      </c>
      <c r="U165" s="14" cm="1">
        <f t="array" ref="U165">INT(SUMPRODUCT(--ISNUMBER(SEARCH(climate,C165)))&gt;0)</f>
        <v>0</v>
      </c>
      <c r="V165" s="14" cm="1">
        <f t="array" ref="V165">INT(SUMPRODUCT(--ISNUMBER(SEARCH(abortion,C165)))&gt;0)</f>
        <v>0</v>
      </c>
      <c r="W165" s="14" cm="1">
        <f t="array" ref="W165">INT(SUMPRODUCT(--ISNUMBER(SEARCH(trump,C165)))&gt;0)</f>
        <v>0</v>
      </c>
      <c r="X165" s="14" cm="1">
        <f t="array" ref="X165">INT(SUMPRODUCT(--ISNUMBER(SEARCH(voting,C165)))&gt;0)</f>
        <v>0</v>
      </c>
      <c r="Y165" s="14" cm="1">
        <f t="array" ref="Y165">INT(SUMPRODUCT(--ISNUMBER(SEARCH(republicantrigger,C165)))&gt;0)</f>
        <v>0</v>
      </c>
      <c r="Z165" s="14" cm="1">
        <f t="array" ref="Z165">INT(SUMPRODUCT(--ISNUMBER(SEARCH(bipartisan,C165)))&gt;0)</f>
        <v>0</v>
      </c>
      <c r="AA165" s="14">
        <f t="shared" si="2"/>
        <v>1</v>
      </c>
      <c r="AB165" s="14"/>
      <c r="AC165" s="30">
        <v>1</v>
      </c>
      <c r="AD165" s="37">
        <v>0</v>
      </c>
    </row>
    <row r="166" spans="1:30" x14ac:dyDescent="0.25">
      <c r="A166" s="36">
        <v>931</v>
      </c>
      <c r="B166" s="14" t="s">
        <v>1889</v>
      </c>
      <c r="C166" s="14" t="s">
        <v>1890</v>
      </c>
      <c r="D166" s="17">
        <v>44114</v>
      </c>
      <c r="E166" s="14" t="s">
        <v>30</v>
      </c>
      <c r="F166" s="14">
        <v>279</v>
      </c>
      <c r="G166" s="14">
        <v>40</v>
      </c>
      <c r="H166" s="14">
        <v>5</v>
      </c>
      <c r="I166" s="14">
        <v>3</v>
      </c>
      <c r="J166" s="14" t="s">
        <v>31</v>
      </c>
      <c r="K166" s="14" cm="1">
        <f t="array" ref="K166">INT(SUMPRODUCT(--ISNUMBER(SEARCH(economy,C166)))&gt;0)</f>
        <v>0</v>
      </c>
      <c r="L166" s="14" cm="1">
        <f t="array" ref="L166">INT(SUMPRODUCT(--ISNUMBER(SEARCH(healthcare,C166)))&gt;0)</f>
        <v>0</v>
      </c>
      <c r="M166" s="14" cm="1">
        <f t="array" ref="M166">INT(SUMPRODUCT(--ISNUMBER(SEARCH(supreme,C166)))&gt;0)</f>
        <v>0</v>
      </c>
      <c r="N166" s="14" cm="1">
        <f t="array" ref="N166">INT(SUMPRODUCT(--ISNUMBER(SEARCH(covid,C166)))&gt;0)</f>
        <v>0</v>
      </c>
      <c r="O166" s="14" cm="1">
        <f t="array" ref="O166">INT(SUMPRODUCT(--ISNUMBER(SEARCH(violent,C166)))&gt;0)</f>
        <v>0</v>
      </c>
      <c r="P166" s="14" cm="1">
        <f t="array" ref="P166">INT(SUMPRODUCT(--ISNUMBER(SEARCH(foreign,C166)))&gt;0)</f>
        <v>0</v>
      </c>
      <c r="Q166" s="14" cm="1">
        <f t="array" ref="Q166">INT(SUMPRODUCT(--ISNUMBER(SEARCH(gun,C166)))&gt;0)</f>
        <v>0</v>
      </c>
      <c r="R166" s="14" cm="1">
        <f t="array" ref="R166">INT(SUMPRODUCT(--ISNUMBER(SEARCH(race,C166)))&gt;0)</f>
        <v>0</v>
      </c>
      <c r="S166" s="14" cm="1">
        <f t="array" ref="S166">INT(SUMPRODUCT(--ISNUMBER(SEARCH(immigration,C166)))&gt;0)</f>
        <v>0</v>
      </c>
      <c r="T166" s="14" cm="1">
        <f t="array" ref="T166">INT(SUMPRODUCT(--ISNUMBER(SEARCH(econineq,C167)))&gt;0)</f>
        <v>0</v>
      </c>
      <c r="U166" s="14" cm="1">
        <f t="array" ref="U166">INT(SUMPRODUCT(--ISNUMBER(SEARCH(climate,C166)))&gt;0)</f>
        <v>0</v>
      </c>
      <c r="V166" s="14" cm="1">
        <f t="array" ref="V166">INT(SUMPRODUCT(--ISNUMBER(SEARCH(abortion,C166)))&gt;0)</f>
        <v>0</v>
      </c>
      <c r="W166" s="14" cm="1">
        <f t="array" ref="W166">INT(SUMPRODUCT(--ISNUMBER(SEARCH(trump,C166)))&gt;0)</f>
        <v>0</v>
      </c>
      <c r="X166" s="14" cm="1">
        <f t="array" ref="X166">INT(SUMPRODUCT(--ISNUMBER(SEARCH(voting,C166)))&gt;0)</f>
        <v>0</v>
      </c>
      <c r="Y166" s="14" cm="1">
        <f t="array" ref="Y166">INT(SUMPRODUCT(--ISNUMBER(SEARCH(republicantrigger,C166)))&gt;0)</f>
        <v>0</v>
      </c>
      <c r="Z166" s="14" cm="1">
        <f t="array" ref="Z166">INT(SUMPRODUCT(--ISNUMBER(SEARCH(bipartisan,C166)))&gt;0)</f>
        <v>0</v>
      </c>
      <c r="AA166" s="14">
        <f t="shared" si="2"/>
        <v>1</v>
      </c>
      <c r="AB166" s="14"/>
      <c r="AC166" s="30">
        <v>1</v>
      </c>
      <c r="AD166" s="37">
        <v>0</v>
      </c>
    </row>
    <row r="167" spans="1:30" x14ac:dyDescent="0.25">
      <c r="A167" s="36">
        <v>932</v>
      </c>
      <c r="B167" s="14" t="s">
        <v>1891</v>
      </c>
      <c r="C167" s="14" t="s">
        <v>1892</v>
      </c>
      <c r="D167" s="17">
        <v>44114</v>
      </c>
      <c r="E167" s="14" t="s">
        <v>30</v>
      </c>
      <c r="F167" s="14">
        <v>177</v>
      </c>
      <c r="G167" s="14">
        <v>35</v>
      </c>
      <c r="H167" s="14">
        <v>5</v>
      </c>
      <c r="I167" s="14">
        <v>3</v>
      </c>
      <c r="J167" s="14" t="s">
        <v>31</v>
      </c>
      <c r="K167" s="14" cm="1">
        <f t="array" ref="K167">INT(SUMPRODUCT(--ISNUMBER(SEARCH(economy,C167)))&gt;0)</f>
        <v>0</v>
      </c>
      <c r="L167" s="14" cm="1">
        <f t="array" ref="L167">INT(SUMPRODUCT(--ISNUMBER(SEARCH(healthcare,C167)))&gt;0)</f>
        <v>0</v>
      </c>
      <c r="M167" s="14" cm="1">
        <f t="array" ref="M167">INT(SUMPRODUCT(--ISNUMBER(SEARCH(supreme,C167)))&gt;0)</f>
        <v>0</v>
      </c>
      <c r="N167" s="14" cm="1">
        <f t="array" ref="N167">INT(SUMPRODUCT(--ISNUMBER(SEARCH(covid,C167)))&gt;0)</f>
        <v>0</v>
      </c>
      <c r="O167" s="14" cm="1">
        <f t="array" ref="O167">INT(SUMPRODUCT(--ISNUMBER(SEARCH(violent,C167)))&gt;0)</f>
        <v>0</v>
      </c>
      <c r="P167" s="14" cm="1">
        <f t="array" ref="P167">INT(SUMPRODUCT(--ISNUMBER(SEARCH(foreign,C167)))&gt;0)</f>
        <v>0</v>
      </c>
      <c r="Q167" s="14" cm="1">
        <f t="array" ref="Q167">INT(SUMPRODUCT(--ISNUMBER(SEARCH(gun,C167)))&gt;0)</f>
        <v>0</v>
      </c>
      <c r="R167" s="14" cm="1">
        <f t="array" ref="R167">INT(SUMPRODUCT(--ISNUMBER(SEARCH(race,C167)))&gt;0)</f>
        <v>0</v>
      </c>
      <c r="S167" s="14" cm="1">
        <f t="array" ref="S167">INT(SUMPRODUCT(--ISNUMBER(SEARCH(immigration,C167)))&gt;0)</f>
        <v>0</v>
      </c>
      <c r="T167" s="14" cm="1">
        <f t="array" ref="T167">INT(SUMPRODUCT(--ISNUMBER(SEARCH(econineq,C168)))&gt;0)</f>
        <v>0</v>
      </c>
      <c r="U167" s="14" cm="1">
        <f t="array" ref="U167">INT(SUMPRODUCT(--ISNUMBER(SEARCH(climate,C167)))&gt;0)</f>
        <v>0</v>
      </c>
      <c r="V167" s="14" cm="1">
        <f t="array" ref="V167">INT(SUMPRODUCT(--ISNUMBER(SEARCH(abortion,C167)))&gt;0)</f>
        <v>0</v>
      </c>
      <c r="W167" s="14" cm="1">
        <f t="array" ref="W167">INT(SUMPRODUCT(--ISNUMBER(SEARCH(trump,C167)))&gt;0)</f>
        <v>0</v>
      </c>
      <c r="X167" s="14" cm="1">
        <f t="array" ref="X167">INT(SUMPRODUCT(--ISNUMBER(SEARCH(voting,C167)))&gt;0)</f>
        <v>0</v>
      </c>
      <c r="Y167" s="14" cm="1">
        <f t="array" ref="Y167">INT(SUMPRODUCT(--ISNUMBER(SEARCH(republicantrigger,C167)))&gt;0)</f>
        <v>0</v>
      </c>
      <c r="Z167" s="14" cm="1">
        <f t="array" ref="Z167">INT(SUMPRODUCT(--ISNUMBER(SEARCH(bipartisan,C167)))&gt;0)</f>
        <v>0</v>
      </c>
      <c r="AA167" s="14">
        <f t="shared" si="2"/>
        <v>1</v>
      </c>
      <c r="AB167" s="14"/>
      <c r="AC167" s="30">
        <v>1</v>
      </c>
      <c r="AD167" s="37">
        <v>0</v>
      </c>
    </row>
    <row r="168" spans="1:30" x14ac:dyDescent="0.25">
      <c r="A168" s="36">
        <v>933</v>
      </c>
      <c r="B168" s="14" t="s">
        <v>1893</v>
      </c>
      <c r="C168" s="14" t="s">
        <v>1894</v>
      </c>
      <c r="D168" s="17">
        <v>44114</v>
      </c>
      <c r="E168" s="14" t="s">
        <v>30</v>
      </c>
      <c r="F168" s="14">
        <v>132</v>
      </c>
      <c r="G168" s="14">
        <v>42</v>
      </c>
      <c r="H168" s="14">
        <v>5</v>
      </c>
      <c r="I168" s="14">
        <v>3</v>
      </c>
      <c r="J168" s="14" t="s">
        <v>31</v>
      </c>
      <c r="K168" s="14" cm="1">
        <f t="array" ref="K168">INT(SUMPRODUCT(--ISNUMBER(SEARCH(economy,C168)))&gt;0)</f>
        <v>0</v>
      </c>
      <c r="L168" s="14" cm="1">
        <f t="array" ref="L168">INT(SUMPRODUCT(--ISNUMBER(SEARCH(healthcare,C168)))&gt;0)</f>
        <v>0</v>
      </c>
      <c r="M168" s="14" cm="1">
        <f t="array" ref="M168">INT(SUMPRODUCT(--ISNUMBER(SEARCH(supreme,C168)))&gt;0)</f>
        <v>0</v>
      </c>
      <c r="N168" s="14" cm="1">
        <f t="array" ref="N168">INT(SUMPRODUCT(--ISNUMBER(SEARCH(covid,C168)))&gt;0)</f>
        <v>0</v>
      </c>
      <c r="O168" s="14" cm="1">
        <f t="array" ref="O168">INT(SUMPRODUCT(--ISNUMBER(SEARCH(violent,C168)))&gt;0)</f>
        <v>0</v>
      </c>
      <c r="P168" s="14" cm="1">
        <f t="array" ref="P168">INT(SUMPRODUCT(--ISNUMBER(SEARCH(foreign,C168)))&gt;0)</f>
        <v>0</v>
      </c>
      <c r="Q168" s="14" cm="1">
        <f t="array" ref="Q168">INT(SUMPRODUCT(--ISNUMBER(SEARCH(gun,C168)))&gt;0)</f>
        <v>0</v>
      </c>
      <c r="R168" s="14" cm="1">
        <f t="array" ref="R168">INT(SUMPRODUCT(--ISNUMBER(SEARCH(race,C168)))&gt;0)</f>
        <v>0</v>
      </c>
      <c r="S168" s="14" cm="1">
        <f t="array" ref="S168">INT(SUMPRODUCT(--ISNUMBER(SEARCH(immigration,C168)))&gt;0)</f>
        <v>0</v>
      </c>
      <c r="T168" s="14" cm="1">
        <f t="array" ref="T168">INT(SUMPRODUCT(--ISNUMBER(SEARCH(econineq,C169)))&gt;0)</f>
        <v>0</v>
      </c>
      <c r="U168" s="14" cm="1">
        <f t="array" ref="U168">INT(SUMPRODUCT(--ISNUMBER(SEARCH(climate,C168)))&gt;0)</f>
        <v>0</v>
      </c>
      <c r="V168" s="14" cm="1">
        <f t="array" ref="V168">INT(SUMPRODUCT(--ISNUMBER(SEARCH(abortion,C168)))&gt;0)</f>
        <v>0</v>
      </c>
      <c r="W168" s="14" cm="1">
        <f t="array" ref="W168">INT(SUMPRODUCT(--ISNUMBER(SEARCH(trump,C168)))&gt;0)</f>
        <v>0</v>
      </c>
      <c r="X168" s="14" cm="1">
        <f t="array" ref="X168">INT(SUMPRODUCT(--ISNUMBER(SEARCH(voting,C168)))&gt;0)</f>
        <v>0</v>
      </c>
      <c r="Y168" s="14" cm="1">
        <f t="array" ref="Y168">INT(SUMPRODUCT(--ISNUMBER(SEARCH(republicantrigger,C168)))&gt;0)</f>
        <v>0</v>
      </c>
      <c r="Z168" s="14" cm="1">
        <f t="array" ref="Z168">INT(SUMPRODUCT(--ISNUMBER(SEARCH(bipartisan,C168)))&gt;0)</f>
        <v>0</v>
      </c>
      <c r="AA168" s="14">
        <f t="shared" si="2"/>
        <v>1</v>
      </c>
      <c r="AB168" s="14"/>
      <c r="AC168" s="30">
        <v>0</v>
      </c>
      <c r="AD168" s="37">
        <v>1</v>
      </c>
    </row>
    <row r="169" spans="1:30" x14ac:dyDescent="0.25">
      <c r="A169" s="36">
        <v>934</v>
      </c>
      <c r="B169" s="14" t="s">
        <v>1895</v>
      </c>
      <c r="C169" s="14" t="s">
        <v>1896</v>
      </c>
      <c r="D169" s="17">
        <v>44114</v>
      </c>
      <c r="E169" s="14" t="s">
        <v>30</v>
      </c>
      <c r="F169" s="14">
        <v>154</v>
      </c>
      <c r="G169" s="14">
        <v>27</v>
      </c>
      <c r="H169" s="14">
        <v>5</v>
      </c>
      <c r="I169" s="14">
        <v>3</v>
      </c>
      <c r="J169" s="14" t="s">
        <v>31</v>
      </c>
      <c r="K169" s="14" cm="1">
        <f t="array" ref="K169">INT(SUMPRODUCT(--ISNUMBER(SEARCH(economy,C169)))&gt;0)</f>
        <v>0</v>
      </c>
      <c r="L169" s="14" cm="1">
        <f t="array" ref="L169">INT(SUMPRODUCT(--ISNUMBER(SEARCH(healthcare,C169)))&gt;0)</f>
        <v>0</v>
      </c>
      <c r="M169" s="14" cm="1">
        <f t="array" ref="M169">INT(SUMPRODUCT(--ISNUMBER(SEARCH(supreme,C169)))&gt;0)</f>
        <v>0</v>
      </c>
      <c r="N169" s="14" cm="1">
        <f t="array" ref="N169">INT(SUMPRODUCT(--ISNUMBER(SEARCH(covid,C169)))&gt;0)</f>
        <v>0</v>
      </c>
      <c r="O169" s="14" cm="1">
        <f t="array" ref="O169">INT(SUMPRODUCT(--ISNUMBER(SEARCH(violent,C169)))&gt;0)</f>
        <v>0</v>
      </c>
      <c r="P169" s="14" cm="1">
        <f t="array" ref="P169">INT(SUMPRODUCT(--ISNUMBER(SEARCH(foreign,C169)))&gt;0)</f>
        <v>0</v>
      </c>
      <c r="Q169" s="14" cm="1">
        <f t="array" ref="Q169">INT(SUMPRODUCT(--ISNUMBER(SEARCH(gun,C169)))&gt;0)</f>
        <v>0</v>
      </c>
      <c r="R169" s="14" cm="1">
        <f t="array" ref="R169">INT(SUMPRODUCT(--ISNUMBER(SEARCH(race,C169)))&gt;0)</f>
        <v>0</v>
      </c>
      <c r="S169" s="14" cm="1">
        <f t="array" ref="S169">INT(SUMPRODUCT(--ISNUMBER(SEARCH(immigration,C169)))&gt;0)</f>
        <v>0</v>
      </c>
      <c r="T169" s="14" cm="1">
        <f t="array" ref="T169">INT(SUMPRODUCT(--ISNUMBER(SEARCH(econineq,C170)))&gt;0)</f>
        <v>0</v>
      </c>
      <c r="U169" s="14" cm="1">
        <f t="array" ref="U169">INT(SUMPRODUCT(--ISNUMBER(SEARCH(climate,C169)))&gt;0)</f>
        <v>0</v>
      </c>
      <c r="V169" s="14" cm="1">
        <f t="array" ref="V169">INT(SUMPRODUCT(--ISNUMBER(SEARCH(abortion,C169)))&gt;0)</f>
        <v>0</v>
      </c>
      <c r="W169" s="14" cm="1">
        <f t="array" ref="W169">INT(SUMPRODUCT(--ISNUMBER(SEARCH(trump,C169)))&gt;0)</f>
        <v>0</v>
      </c>
      <c r="X169" s="14" cm="1">
        <f t="array" ref="X169">INT(SUMPRODUCT(--ISNUMBER(SEARCH(voting,C169)))&gt;0)</f>
        <v>0</v>
      </c>
      <c r="Y169" s="14" cm="1">
        <f t="array" ref="Y169">INT(SUMPRODUCT(--ISNUMBER(SEARCH(republicantrigger,C169)))&gt;0)</f>
        <v>0</v>
      </c>
      <c r="Z169" s="14" cm="1">
        <f t="array" ref="Z169">INT(SUMPRODUCT(--ISNUMBER(SEARCH(bipartisan,C169)))&gt;0)</f>
        <v>0</v>
      </c>
      <c r="AA169" s="14">
        <f t="shared" si="2"/>
        <v>1</v>
      </c>
      <c r="AB169" s="14"/>
      <c r="AC169" s="30">
        <v>1</v>
      </c>
      <c r="AD169" s="37">
        <v>0</v>
      </c>
    </row>
    <row r="170" spans="1:30" x14ac:dyDescent="0.25">
      <c r="A170" s="36">
        <v>935</v>
      </c>
      <c r="B170" s="14" t="s">
        <v>1897</v>
      </c>
      <c r="C170" s="14" t="s">
        <v>1898</v>
      </c>
      <c r="D170" s="17">
        <v>44114</v>
      </c>
      <c r="E170" s="14" t="s">
        <v>30</v>
      </c>
      <c r="F170" s="14">
        <v>96</v>
      </c>
      <c r="G170" s="14">
        <v>14</v>
      </c>
      <c r="H170" s="14">
        <v>5</v>
      </c>
      <c r="I170" s="14">
        <v>3</v>
      </c>
      <c r="J170" s="14" t="s">
        <v>31</v>
      </c>
      <c r="K170" s="14" cm="1">
        <f t="array" ref="K170">INT(SUMPRODUCT(--ISNUMBER(SEARCH(economy,C170)))&gt;0)</f>
        <v>0</v>
      </c>
      <c r="L170" s="14" cm="1">
        <f t="array" ref="L170">INT(SUMPRODUCT(--ISNUMBER(SEARCH(healthcare,C170)))&gt;0)</f>
        <v>0</v>
      </c>
      <c r="M170" s="14" cm="1">
        <f t="array" ref="M170">INT(SUMPRODUCT(--ISNUMBER(SEARCH(supreme,C170)))&gt;0)</f>
        <v>0</v>
      </c>
      <c r="N170" s="14" cm="1">
        <f t="array" ref="N170">INT(SUMPRODUCT(--ISNUMBER(SEARCH(covid,C170)))&gt;0)</f>
        <v>0</v>
      </c>
      <c r="O170" s="14" cm="1">
        <f t="array" ref="O170">INT(SUMPRODUCT(--ISNUMBER(SEARCH(violent,C170)))&gt;0)</f>
        <v>0</v>
      </c>
      <c r="P170" s="14" cm="1">
        <f t="array" ref="P170">INT(SUMPRODUCT(--ISNUMBER(SEARCH(foreign,C170)))&gt;0)</f>
        <v>0</v>
      </c>
      <c r="Q170" s="14" cm="1">
        <f t="array" ref="Q170">INT(SUMPRODUCT(--ISNUMBER(SEARCH(gun,C170)))&gt;0)</f>
        <v>0</v>
      </c>
      <c r="R170" s="14" cm="1">
        <f t="array" ref="R170">INT(SUMPRODUCT(--ISNUMBER(SEARCH(race,C170)))&gt;0)</f>
        <v>0</v>
      </c>
      <c r="S170" s="14" cm="1">
        <f t="array" ref="S170">INT(SUMPRODUCT(--ISNUMBER(SEARCH(immigration,C170)))&gt;0)</f>
        <v>0</v>
      </c>
      <c r="T170" s="14" cm="1">
        <f t="array" ref="T170">INT(SUMPRODUCT(--ISNUMBER(SEARCH(econineq,C171)))&gt;0)</f>
        <v>0</v>
      </c>
      <c r="U170" s="14" cm="1">
        <f t="array" ref="U170">INT(SUMPRODUCT(--ISNUMBER(SEARCH(climate,C170)))&gt;0)</f>
        <v>0</v>
      </c>
      <c r="V170" s="14" cm="1">
        <f t="array" ref="V170">INT(SUMPRODUCT(--ISNUMBER(SEARCH(abortion,C170)))&gt;0)</f>
        <v>0</v>
      </c>
      <c r="W170" s="14" cm="1">
        <f t="array" ref="W170">INT(SUMPRODUCT(--ISNUMBER(SEARCH(trump,C170)))&gt;0)</f>
        <v>0</v>
      </c>
      <c r="X170" s="14" cm="1">
        <f t="array" ref="X170">INT(SUMPRODUCT(--ISNUMBER(SEARCH(voting,C170)))&gt;0)</f>
        <v>0</v>
      </c>
      <c r="Y170" s="14" cm="1">
        <f t="array" ref="Y170">INT(SUMPRODUCT(--ISNUMBER(SEARCH(republicantrigger,C170)))&gt;0)</f>
        <v>0</v>
      </c>
      <c r="Z170" s="14" cm="1">
        <f t="array" ref="Z170">INT(SUMPRODUCT(--ISNUMBER(SEARCH(bipartisan,C170)))&gt;0)</f>
        <v>0</v>
      </c>
      <c r="AA170" s="14">
        <f t="shared" si="2"/>
        <v>1</v>
      </c>
      <c r="AB170" s="14"/>
      <c r="AC170" s="30">
        <v>1</v>
      </c>
      <c r="AD170" s="37">
        <v>0</v>
      </c>
    </row>
    <row r="171" spans="1:30" x14ac:dyDescent="0.25">
      <c r="A171" s="36">
        <v>936</v>
      </c>
      <c r="B171" s="14" t="s">
        <v>1899</v>
      </c>
      <c r="C171" s="14" t="s">
        <v>1900</v>
      </c>
      <c r="D171" s="17">
        <v>44113</v>
      </c>
      <c r="E171" s="14" t="s">
        <v>30</v>
      </c>
      <c r="F171" s="14">
        <v>163</v>
      </c>
      <c r="G171" s="14">
        <v>41</v>
      </c>
      <c r="H171" s="14">
        <v>5</v>
      </c>
      <c r="I171" s="14">
        <v>3</v>
      </c>
      <c r="J171" s="14" t="s">
        <v>31</v>
      </c>
      <c r="K171" s="14" cm="1">
        <f t="array" ref="K171">INT(SUMPRODUCT(--ISNUMBER(SEARCH(economy,C171)))&gt;0)</f>
        <v>0</v>
      </c>
      <c r="L171" s="14" cm="1">
        <f t="array" ref="L171">INT(SUMPRODUCT(--ISNUMBER(SEARCH(healthcare,C171)))&gt;0)</f>
        <v>0</v>
      </c>
      <c r="M171" s="14" cm="1">
        <f t="array" ref="M171">INT(SUMPRODUCT(--ISNUMBER(SEARCH(supreme,C171)))&gt;0)</f>
        <v>0</v>
      </c>
      <c r="N171" s="14" cm="1">
        <f t="array" ref="N171">INT(SUMPRODUCT(--ISNUMBER(SEARCH(covid,C171)))&gt;0)</f>
        <v>0</v>
      </c>
      <c r="O171" s="14" cm="1">
        <f t="array" ref="O171">INT(SUMPRODUCT(--ISNUMBER(SEARCH(violent,C171)))&gt;0)</f>
        <v>0</v>
      </c>
      <c r="P171" s="14" cm="1">
        <f t="array" ref="P171">INT(SUMPRODUCT(--ISNUMBER(SEARCH(foreign,C171)))&gt;0)</f>
        <v>0</v>
      </c>
      <c r="Q171" s="14" cm="1">
        <f t="array" ref="Q171">INT(SUMPRODUCT(--ISNUMBER(SEARCH(gun,C171)))&gt;0)</f>
        <v>0</v>
      </c>
      <c r="R171" s="14" cm="1">
        <f t="array" ref="R171">INT(SUMPRODUCT(--ISNUMBER(SEARCH(race,C171)))&gt;0)</f>
        <v>0</v>
      </c>
      <c r="S171" s="14" cm="1">
        <f t="array" ref="S171">INT(SUMPRODUCT(--ISNUMBER(SEARCH(immigration,C171)))&gt;0)</f>
        <v>0</v>
      </c>
      <c r="T171" s="14" cm="1">
        <f t="array" ref="T171">INT(SUMPRODUCT(--ISNUMBER(SEARCH(econineq,C172)))&gt;0)</f>
        <v>0</v>
      </c>
      <c r="U171" s="14" cm="1">
        <f t="array" ref="U171">INT(SUMPRODUCT(--ISNUMBER(SEARCH(climate,C171)))&gt;0)</f>
        <v>0</v>
      </c>
      <c r="V171" s="14" cm="1">
        <f t="array" ref="V171">INT(SUMPRODUCT(--ISNUMBER(SEARCH(abortion,C171)))&gt;0)</f>
        <v>0</v>
      </c>
      <c r="W171" s="14" cm="1">
        <f t="array" ref="W171">INT(SUMPRODUCT(--ISNUMBER(SEARCH(trump,C171)))&gt;0)</f>
        <v>0</v>
      </c>
      <c r="X171" s="14" cm="1">
        <f t="array" ref="X171">INT(SUMPRODUCT(--ISNUMBER(SEARCH(voting,C171)))&gt;0)</f>
        <v>0</v>
      </c>
      <c r="Y171" s="14" cm="1">
        <f t="array" ref="Y171">INT(SUMPRODUCT(--ISNUMBER(SEARCH(republicantrigger,C171)))&gt;0)</f>
        <v>0</v>
      </c>
      <c r="Z171" s="14" cm="1">
        <f t="array" ref="Z171">INT(SUMPRODUCT(--ISNUMBER(SEARCH(bipartisan,C171)))&gt;0)</f>
        <v>0</v>
      </c>
      <c r="AA171" s="14">
        <f t="shared" si="2"/>
        <v>1</v>
      </c>
      <c r="AB171" s="14"/>
      <c r="AC171" s="30">
        <v>1</v>
      </c>
      <c r="AD171" s="37">
        <v>0</v>
      </c>
    </row>
    <row r="172" spans="1:30" x14ac:dyDescent="0.25">
      <c r="A172" s="36">
        <v>937</v>
      </c>
      <c r="B172" s="14" t="s">
        <v>1901</v>
      </c>
      <c r="C172" s="14" t="s">
        <v>1902</v>
      </c>
      <c r="D172" s="17">
        <v>44113</v>
      </c>
      <c r="E172" s="14" t="s">
        <v>30</v>
      </c>
      <c r="F172" s="14">
        <v>69</v>
      </c>
      <c r="G172" s="14">
        <v>29</v>
      </c>
      <c r="H172" s="14">
        <v>5</v>
      </c>
      <c r="I172" s="14">
        <v>3</v>
      </c>
      <c r="J172" s="14" t="s">
        <v>31</v>
      </c>
      <c r="K172" s="14" cm="1">
        <f t="array" ref="K172">INT(SUMPRODUCT(--ISNUMBER(SEARCH(economy,C172)))&gt;0)</f>
        <v>0</v>
      </c>
      <c r="L172" s="14" cm="1">
        <f t="array" ref="L172">INT(SUMPRODUCT(--ISNUMBER(SEARCH(healthcare,C172)))&gt;0)</f>
        <v>0</v>
      </c>
      <c r="M172" s="14" cm="1">
        <f t="array" ref="M172">INT(SUMPRODUCT(--ISNUMBER(SEARCH(supreme,C172)))&gt;0)</f>
        <v>0</v>
      </c>
      <c r="N172" s="14" cm="1">
        <f t="array" ref="N172">INT(SUMPRODUCT(--ISNUMBER(SEARCH(covid,C172)))&gt;0)</f>
        <v>0</v>
      </c>
      <c r="O172" s="14" cm="1">
        <f t="array" ref="O172">INT(SUMPRODUCT(--ISNUMBER(SEARCH(violent,C172)))&gt;0)</f>
        <v>0</v>
      </c>
      <c r="P172" s="14" cm="1">
        <f t="array" ref="P172">INT(SUMPRODUCT(--ISNUMBER(SEARCH(foreign,C172)))&gt;0)</f>
        <v>0</v>
      </c>
      <c r="Q172" s="14" cm="1">
        <f t="array" ref="Q172">INT(SUMPRODUCT(--ISNUMBER(SEARCH(gun,C172)))&gt;0)</f>
        <v>0</v>
      </c>
      <c r="R172" s="14" cm="1">
        <f t="array" ref="R172">INT(SUMPRODUCT(--ISNUMBER(SEARCH(race,C172)))&gt;0)</f>
        <v>0</v>
      </c>
      <c r="S172" s="14" cm="1">
        <f t="array" ref="S172">INT(SUMPRODUCT(--ISNUMBER(SEARCH(immigration,C172)))&gt;0)</f>
        <v>0</v>
      </c>
      <c r="T172" s="14" cm="1">
        <f t="array" ref="T172">INT(SUMPRODUCT(--ISNUMBER(SEARCH(econineq,C173)))&gt;0)</f>
        <v>0</v>
      </c>
      <c r="U172" s="14" cm="1">
        <f t="array" ref="U172">INT(SUMPRODUCT(--ISNUMBER(SEARCH(climate,C172)))&gt;0)</f>
        <v>1</v>
      </c>
      <c r="V172" s="14" cm="1">
        <f t="array" ref="V172">INT(SUMPRODUCT(--ISNUMBER(SEARCH(abortion,C172)))&gt;0)</f>
        <v>0</v>
      </c>
      <c r="W172" s="14" cm="1">
        <f t="array" ref="W172">INT(SUMPRODUCT(--ISNUMBER(SEARCH(trump,C172)))&gt;0)</f>
        <v>0</v>
      </c>
      <c r="X172" s="14" cm="1">
        <f t="array" ref="X172">INT(SUMPRODUCT(--ISNUMBER(SEARCH(voting,C172)))&gt;0)</f>
        <v>0</v>
      </c>
      <c r="Y172" s="14" cm="1">
        <f t="array" ref="Y172">INT(SUMPRODUCT(--ISNUMBER(SEARCH(republicantrigger,C172)))&gt;0)</f>
        <v>1</v>
      </c>
      <c r="Z172" s="14" cm="1">
        <f t="array" ref="Z172">INT(SUMPRODUCT(--ISNUMBER(SEARCH(bipartisan,C172)))&gt;0)</f>
        <v>0</v>
      </c>
      <c r="AA172" s="14">
        <f t="shared" si="2"/>
        <v>0</v>
      </c>
      <c r="AB172" s="14"/>
      <c r="AC172" s="30" t="s">
        <v>223</v>
      </c>
      <c r="AD172" s="37" t="s">
        <v>223</v>
      </c>
    </row>
    <row r="173" spans="1:30" x14ac:dyDescent="0.25">
      <c r="A173" s="36">
        <v>938</v>
      </c>
      <c r="B173" s="14" t="s">
        <v>1903</v>
      </c>
      <c r="C173" s="14" t="s">
        <v>1904</v>
      </c>
      <c r="D173" s="17">
        <v>44113</v>
      </c>
      <c r="E173" s="14" t="s">
        <v>30</v>
      </c>
      <c r="F173" s="14">
        <v>225</v>
      </c>
      <c r="G173" s="14">
        <v>66</v>
      </c>
      <c r="H173" s="14">
        <v>5</v>
      </c>
      <c r="I173" s="14">
        <v>3</v>
      </c>
      <c r="J173" s="14" t="s">
        <v>31</v>
      </c>
      <c r="K173" s="14" cm="1">
        <f t="array" ref="K173">INT(SUMPRODUCT(--ISNUMBER(SEARCH(economy,C173)))&gt;0)</f>
        <v>0</v>
      </c>
      <c r="L173" s="14" cm="1">
        <f t="array" ref="L173">INT(SUMPRODUCT(--ISNUMBER(SEARCH(healthcare,C173)))&gt;0)</f>
        <v>0</v>
      </c>
      <c r="M173" s="14" cm="1">
        <f t="array" ref="M173">INT(SUMPRODUCT(--ISNUMBER(SEARCH(supreme,C173)))&gt;0)</f>
        <v>0</v>
      </c>
      <c r="N173" s="14" cm="1">
        <f t="array" ref="N173">INT(SUMPRODUCT(--ISNUMBER(SEARCH(covid,C173)))&gt;0)</f>
        <v>0</v>
      </c>
      <c r="O173" s="14" cm="1">
        <f t="array" ref="O173">INT(SUMPRODUCT(--ISNUMBER(SEARCH(violent,C173)))&gt;0)</f>
        <v>0</v>
      </c>
      <c r="P173" s="14" cm="1">
        <f t="array" ref="P173">INT(SUMPRODUCT(--ISNUMBER(SEARCH(foreign,C173)))&gt;0)</f>
        <v>0</v>
      </c>
      <c r="Q173" s="14" cm="1">
        <f t="array" ref="Q173">INT(SUMPRODUCT(--ISNUMBER(SEARCH(gun,C173)))&gt;0)</f>
        <v>0</v>
      </c>
      <c r="R173" s="14" cm="1">
        <f t="array" ref="R173">INT(SUMPRODUCT(--ISNUMBER(SEARCH(race,C173)))&gt;0)</f>
        <v>0</v>
      </c>
      <c r="S173" s="14" cm="1">
        <f t="array" ref="S173">INT(SUMPRODUCT(--ISNUMBER(SEARCH(immigration,C173)))&gt;0)</f>
        <v>0</v>
      </c>
      <c r="T173" s="14" cm="1">
        <f t="array" ref="T173">INT(SUMPRODUCT(--ISNUMBER(SEARCH(econineq,C174)))&gt;0)</f>
        <v>0</v>
      </c>
      <c r="U173" s="14" cm="1">
        <f t="array" ref="U173">INT(SUMPRODUCT(--ISNUMBER(SEARCH(climate,C173)))&gt;0)</f>
        <v>0</v>
      </c>
      <c r="V173" s="14" cm="1">
        <f t="array" ref="V173">INT(SUMPRODUCT(--ISNUMBER(SEARCH(abortion,C173)))&gt;0)</f>
        <v>0</v>
      </c>
      <c r="W173" s="14" cm="1">
        <f t="array" ref="W173">INT(SUMPRODUCT(--ISNUMBER(SEARCH(trump,C173)))&gt;0)</f>
        <v>0</v>
      </c>
      <c r="X173" s="14" cm="1">
        <f t="array" ref="X173">INT(SUMPRODUCT(--ISNUMBER(SEARCH(voting,C173)))&gt;0)</f>
        <v>0</v>
      </c>
      <c r="Y173" s="14" cm="1">
        <f t="array" ref="Y173">INT(SUMPRODUCT(--ISNUMBER(SEARCH(republicantrigger,C173)))&gt;0)</f>
        <v>0</v>
      </c>
      <c r="Z173" s="14" cm="1">
        <f t="array" ref="Z173">INT(SUMPRODUCT(--ISNUMBER(SEARCH(bipartisan,C173)))&gt;0)</f>
        <v>0</v>
      </c>
      <c r="AA173" s="14">
        <f t="shared" si="2"/>
        <v>1</v>
      </c>
      <c r="AB173" s="14"/>
      <c r="AC173" s="30">
        <v>0</v>
      </c>
      <c r="AD173" s="37">
        <v>1</v>
      </c>
    </row>
    <row r="174" spans="1:30" x14ac:dyDescent="0.25">
      <c r="A174" s="36">
        <v>939</v>
      </c>
      <c r="B174" s="14" t="s">
        <v>1905</v>
      </c>
      <c r="C174" s="14" t="s">
        <v>1906</v>
      </c>
      <c r="D174" s="17">
        <v>44113</v>
      </c>
      <c r="E174" s="14" t="s">
        <v>30</v>
      </c>
      <c r="F174" s="14">
        <v>42</v>
      </c>
      <c r="G174" s="14">
        <v>12</v>
      </c>
      <c r="H174" s="14">
        <v>5</v>
      </c>
      <c r="I174" s="14">
        <v>3</v>
      </c>
      <c r="J174" s="14" t="s">
        <v>31</v>
      </c>
      <c r="K174" s="14" cm="1">
        <f t="array" ref="K174">INT(SUMPRODUCT(--ISNUMBER(SEARCH(economy,C174)))&gt;0)</f>
        <v>0</v>
      </c>
      <c r="L174" s="14" cm="1">
        <f t="array" ref="L174">INT(SUMPRODUCT(--ISNUMBER(SEARCH(healthcare,C174)))&gt;0)</f>
        <v>0</v>
      </c>
      <c r="M174" s="14" cm="1">
        <f t="array" ref="M174">INT(SUMPRODUCT(--ISNUMBER(SEARCH(supreme,C174)))&gt;0)</f>
        <v>0</v>
      </c>
      <c r="N174" s="14" cm="1">
        <f t="array" ref="N174">INT(SUMPRODUCT(--ISNUMBER(SEARCH(covid,C174)))&gt;0)</f>
        <v>0</v>
      </c>
      <c r="O174" s="14" cm="1">
        <f t="array" ref="O174">INT(SUMPRODUCT(--ISNUMBER(SEARCH(violent,C174)))&gt;0)</f>
        <v>0</v>
      </c>
      <c r="P174" s="14" cm="1">
        <f t="array" ref="P174">INT(SUMPRODUCT(--ISNUMBER(SEARCH(foreign,C174)))&gt;0)</f>
        <v>0</v>
      </c>
      <c r="Q174" s="14" cm="1">
        <f t="array" ref="Q174">INT(SUMPRODUCT(--ISNUMBER(SEARCH(gun,C174)))&gt;0)</f>
        <v>0</v>
      </c>
      <c r="R174" s="14" cm="1">
        <f t="array" ref="R174">INT(SUMPRODUCT(--ISNUMBER(SEARCH(race,C174)))&gt;0)</f>
        <v>0</v>
      </c>
      <c r="S174" s="14" cm="1">
        <f t="array" ref="S174">INT(SUMPRODUCT(--ISNUMBER(SEARCH(immigration,C174)))&gt;0)</f>
        <v>0</v>
      </c>
      <c r="T174" s="14" cm="1">
        <f t="array" ref="T174">INT(SUMPRODUCT(--ISNUMBER(SEARCH(econineq,C175)))&gt;0)</f>
        <v>0</v>
      </c>
      <c r="U174" s="14" cm="1">
        <f t="array" ref="U174">INT(SUMPRODUCT(--ISNUMBER(SEARCH(climate,C174)))&gt;0)</f>
        <v>0</v>
      </c>
      <c r="V174" s="14" cm="1">
        <f t="array" ref="V174">INT(SUMPRODUCT(--ISNUMBER(SEARCH(abortion,C174)))&gt;0)</f>
        <v>0</v>
      </c>
      <c r="W174" s="14" cm="1">
        <f t="array" ref="W174">INT(SUMPRODUCT(--ISNUMBER(SEARCH(trump,C174)))&gt;0)</f>
        <v>0</v>
      </c>
      <c r="X174" s="14" cm="1">
        <f t="array" ref="X174">INT(SUMPRODUCT(--ISNUMBER(SEARCH(voting,C174)))&gt;0)</f>
        <v>0</v>
      </c>
      <c r="Y174" s="14" cm="1">
        <f t="array" ref="Y174">INT(SUMPRODUCT(--ISNUMBER(SEARCH(republicantrigger,C174)))&gt;0)</f>
        <v>0</v>
      </c>
      <c r="Z174" s="14" cm="1">
        <f t="array" ref="Z174">INT(SUMPRODUCT(--ISNUMBER(SEARCH(bipartisan,C174)))&gt;0)</f>
        <v>0</v>
      </c>
      <c r="AA174" s="14">
        <f t="shared" si="2"/>
        <v>1</v>
      </c>
      <c r="AB174" s="14"/>
      <c r="AC174" s="30" t="s">
        <v>223</v>
      </c>
      <c r="AD174" s="37" t="s">
        <v>223</v>
      </c>
    </row>
    <row r="175" spans="1:30" x14ac:dyDescent="0.25">
      <c r="A175" s="36">
        <v>940</v>
      </c>
      <c r="B175" s="14" t="s">
        <v>1907</v>
      </c>
      <c r="C175" s="14" t="s">
        <v>1908</v>
      </c>
      <c r="D175" s="17">
        <v>44113</v>
      </c>
      <c r="E175" s="14" t="s">
        <v>30</v>
      </c>
      <c r="F175" s="14">
        <v>251</v>
      </c>
      <c r="G175" s="14">
        <v>81</v>
      </c>
      <c r="H175" s="14">
        <v>5</v>
      </c>
      <c r="I175" s="14">
        <v>3</v>
      </c>
      <c r="J175" s="14" t="s">
        <v>31</v>
      </c>
      <c r="K175" s="14" cm="1">
        <f t="array" ref="K175">INT(SUMPRODUCT(--ISNUMBER(SEARCH(economy,C175)))&gt;0)</f>
        <v>0</v>
      </c>
      <c r="L175" s="14" cm="1">
        <f t="array" ref="L175">INT(SUMPRODUCT(--ISNUMBER(SEARCH(healthcare,C175)))&gt;0)</f>
        <v>0</v>
      </c>
      <c r="M175" s="14" cm="1">
        <f t="array" ref="M175">INT(SUMPRODUCT(--ISNUMBER(SEARCH(supreme,C175)))&gt;0)</f>
        <v>0</v>
      </c>
      <c r="N175" s="14" cm="1">
        <f t="array" ref="N175">INT(SUMPRODUCT(--ISNUMBER(SEARCH(covid,C175)))&gt;0)</f>
        <v>0</v>
      </c>
      <c r="O175" s="14" cm="1">
        <f t="array" ref="O175">INT(SUMPRODUCT(--ISNUMBER(SEARCH(violent,C175)))&gt;0)</f>
        <v>0</v>
      </c>
      <c r="P175" s="14" cm="1">
        <f t="array" ref="P175">INT(SUMPRODUCT(--ISNUMBER(SEARCH(foreign,C175)))&gt;0)</f>
        <v>0</v>
      </c>
      <c r="Q175" s="14" cm="1">
        <f t="array" ref="Q175">INT(SUMPRODUCT(--ISNUMBER(SEARCH(gun,C175)))&gt;0)</f>
        <v>0</v>
      </c>
      <c r="R175" s="14" cm="1">
        <f t="array" ref="R175">INT(SUMPRODUCT(--ISNUMBER(SEARCH(race,C175)))&gt;0)</f>
        <v>0</v>
      </c>
      <c r="S175" s="14" cm="1">
        <f t="array" ref="S175">INT(SUMPRODUCT(--ISNUMBER(SEARCH(immigration,C175)))&gt;0)</f>
        <v>0</v>
      </c>
      <c r="T175" s="14" cm="1">
        <f t="array" ref="T175">INT(SUMPRODUCT(--ISNUMBER(SEARCH(econineq,C176)))&gt;0)</f>
        <v>0</v>
      </c>
      <c r="U175" s="14" cm="1">
        <f t="array" ref="U175">INT(SUMPRODUCT(--ISNUMBER(SEARCH(climate,C175)))&gt;0)</f>
        <v>0</v>
      </c>
      <c r="V175" s="14" cm="1">
        <f t="array" ref="V175">INT(SUMPRODUCT(--ISNUMBER(SEARCH(abortion,C175)))&gt;0)</f>
        <v>0</v>
      </c>
      <c r="W175" s="14" cm="1">
        <f t="array" ref="W175">INT(SUMPRODUCT(--ISNUMBER(SEARCH(trump,C175)))&gt;0)</f>
        <v>0</v>
      </c>
      <c r="X175" s="14" cm="1">
        <f t="array" ref="X175">INT(SUMPRODUCT(--ISNUMBER(SEARCH(voting,C175)))&gt;0)</f>
        <v>1</v>
      </c>
      <c r="Y175" s="14" cm="1">
        <f t="array" ref="Y175">INT(SUMPRODUCT(--ISNUMBER(SEARCH(republicantrigger,C175)))&gt;0)</f>
        <v>1</v>
      </c>
      <c r="Z175" s="14" cm="1">
        <f t="array" ref="Z175">INT(SUMPRODUCT(--ISNUMBER(SEARCH(bipartisan,C175)))&gt;0)</f>
        <v>0</v>
      </c>
      <c r="AA175" s="14">
        <f t="shared" si="2"/>
        <v>0</v>
      </c>
      <c r="AB175" s="14"/>
      <c r="AC175" s="30" t="s">
        <v>223</v>
      </c>
      <c r="AD175" s="37" t="s">
        <v>223</v>
      </c>
    </row>
    <row r="176" spans="1:30" x14ac:dyDescent="0.25">
      <c r="A176" s="36">
        <v>941</v>
      </c>
      <c r="B176" s="14" t="s">
        <v>1909</v>
      </c>
      <c r="C176" s="14" t="s">
        <v>1910</v>
      </c>
      <c r="D176" s="17">
        <v>44112</v>
      </c>
      <c r="E176" s="14" t="s">
        <v>30</v>
      </c>
      <c r="F176" s="14">
        <v>91</v>
      </c>
      <c r="G176" s="14">
        <v>22</v>
      </c>
      <c r="H176" s="14">
        <v>5</v>
      </c>
      <c r="I176" s="14">
        <v>3</v>
      </c>
      <c r="J176" s="14" t="s">
        <v>31</v>
      </c>
      <c r="K176" s="14" cm="1">
        <f t="array" ref="K176">INT(SUMPRODUCT(--ISNUMBER(SEARCH(economy,C176)))&gt;0)</f>
        <v>0</v>
      </c>
      <c r="L176" s="14" cm="1">
        <f t="array" ref="L176">INT(SUMPRODUCT(--ISNUMBER(SEARCH(healthcare,C176)))&gt;0)</f>
        <v>0</v>
      </c>
      <c r="M176" s="14" cm="1">
        <f t="array" ref="M176">INT(SUMPRODUCT(--ISNUMBER(SEARCH(supreme,C176)))&gt;0)</f>
        <v>0</v>
      </c>
      <c r="N176" s="14" cm="1">
        <f t="array" ref="N176">INT(SUMPRODUCT(--ISNUMBER(SEARCH(covid,C176)))&gt;0)</f>
        <v>0</v>
      </c>
      <c r="O176" s="14" cm="1">
        <f t="array" ref="O176">INT(SUMPRODUCT(--ISNUMBER(SEARCH(violent,C176)))&gt;0)</f>
        <v>0</v>
      </c>
      <c r="P176" s="14" cm="1">
        <f t="array" ref="P176">INT(SUMPRODUCT(--ISNUMBER(SEARCH(foreign,C176)))&gt;0)</f>
        <v>0</v>
      </c>
      <c r="Q176" s="14" cm="1">
        <f t="array" ref="Q176">INT(SUMPRODUCT(--ISNUMBER(SEARCH(gun,C176)))&gt;0)</f>
        <v>0</v>
      </c>
      <c r="R176" s="14" cm="1">
        <f t="array" ref="R176">INT(SUMPRODUCT(--ISNUMBER(SEARCH(race,C176)))&gt;0)</f>
        <v>0</v>
      </c>
      <c r="S176" s="14" cm="1">
        <f t="array" ref="S176">INT(SUMPRODUCT(--ISNUMBER(SEARCH(immigration,C176)))&gt;0)</f>
        <v>0</v>
      </c>
      <c r="T176" s="14" cm="1">
        <f t="array" ref="T176">INT(SUMPRODUCT(--ISNUMBER(SEARCH(econineq,C177)))&gt;0)</f>
        <v>0</v>
      </c>
      <c r="U176" s="14" cm="1">
        <f t="array" ref="U176">INT(SUMPRODUCT(--ISNUMBER(SEARCH(climate,C176)))&gt;0)</f>
        <v>0</v>
      </c>
      <c r="V176" s="14" cm="1">
        <f t="array" ref="V176">INT(SUMPRODUCT(--ISNUMBER(SEARCH(abortion,C176)))&gt;0)</f>
        <v>0</v>
      </c>
      <c r="W176" s="14" cm="1">
        <f t="array" ref="W176">INT(SUMPRODUCT(--ISNUMBER(SEARCH(trump,C176)))&gt;0)</f>
        <v>0</v>
      </c>
      <c r="X176" s="14" cm="1">
        <f t="array" ref="X176">INT(SUMPRODUCT(--ISNUMBER(SEARCH(voting,C176)))&gt;0)</f>
        <v>0</v>
      </c>
      <c r="Y176" s="14" cm="1">
        <f t="array" ref="Y176">INT(SUMPRODUCT(--ISNUMBER(SEARCH(republicantrigger,C176)))&gt;0)</f>
        <v>0</v>
      </c>
      <c r="Z176" s="14" cm="1">
        <f t="array" ref="Z176">INT(SUMPRODUCT(--ISNUMBER(SEARCH(bipartisan,C176)))&gt;0)</f>
        <v>0</v>
      </c>
      <c r="AA176" s="14">
        <f t="shared" si="2"/>
        <v>1</v>
      </c>
      <c r="AB176" s="14"/>
      <c r="AC176" s="30">
        <v>0</v>
      </c>
      <c r="AD176" s="37">
        <v>1</v>
      </c>
    </row>
    <row r="177" spans="1:30" x14ac:dyDescent="0.25">
      <c r="A177" s="36">
        <v>942</v>
      </c>
      <c r="B177" s="14" t="s">
        <v>1911</v>
      </c>
      <c r="C177" s="14" t="s">
        <v>1912</v>
      </c>
      <c r="D177" s="17">
        <v>44112</v>
      </c>
      <c r="E177" s="14" t="s">
        <v>30</v>
      </c>
      <c r="F177" s="14">
        <v>54</v>
      </c>
      <c r="G177" s="14">
        <v>28</v>
      </c>
      <c r="H177" s="14">
        <v>5</v>
      </c>
      <c r="I177" s="14">
        <v>3</v>
      </c>
      <c r="J177" s="14" t="s">
        <v>31</v>
      </c>
      <c r="K177" s="14" cm="1">
        <f t="array" ref="K177">INT(SUMPRODUCT(--ISNUMBER(SEARCH(economy,C177)))&gt;0)</f>
        <v>1</v>
      </c>
      <c r="L177" s="14" cm="1">
        <f t="array" ref="L177">INT(SUMPRODUCT(--ISNUMBER(SEARCH(healthcare,C177)))&gt;0)</f>
        <v>0</v>
      </c>
      <c r="M177" s="14" cm="1">
        <f t="array" ref="M177">INT(SUMPRODUCT(--ISNUMBER(SEARCH(supreme,C177)))&gt;0)</f>
        <v>0</v>
      </c>
      <c r="N177" s="14" cm="1">
        <f t="array" ref="N177">INT(SUMPRODUCT(--ISNUMBER(SEARCH(covid,C177)))&gt;0)</f>
        <v>0</v>
      </c>
      <c r="O177" s="14" cm="1">
        <f t="array" ref="O177">INT(SUMPRODUCT(--ISNUMBER(SEARCH(violent,C177)))&gt;0)</f>
        <v>0</v>
      </c>
      <c r="P177" s="14" cm="1">
        <f t="array" ref="P177">INT(SUMPRODUCT(--ISNUMBER(SEARCH(foreign,C177)))&gt;0)</f>
        <v>0</v>
      </c>
      <c r="Q177" s="14" cm="1">
        <f t="array" ref="Q177">INT(SUMPRODUCT(--ISNUMBER(SEARCH(gun,C177)))&gt;0)</f>
        <v>0</v>
      </c>
      <c r="R177" s="14" cm="1">
        <f t="array" ref="R177">INT(SUMPRODUCT(--ISNUMBER(SEARCH(race,C177)))&gt;0)</f>
        <v>0</v>
      </c>
      <c r="S177" s="14" cm="1">
        <f t="array" ref="S177">INT(SUMPRODUCT(--ISNUMBER(SEARCH(immigration,C177)))&gt;0)</f>
        <v>0</v>
      </c>
      <c r="T177" s="14" cm="1">
        <f t="array" ref="T177">INT(SUMPRODUCT(--ISNUMBER(SEARCH(econineq,C178)))&gt;0)</f>
        <v>0</v>
      </c>
      <c r="U177" s="14" cm="1">
        <f t="array" ref="U177">INT(SUMPRODUCT(--ISNUMBER(SEARCH(climate,C177)))&gt;0)</f>
        <v>0</v>
      </c>
      <c r="V177" s="14" cm="1">
        <f t="array" ref="V177">INT(SUMPRODUCT(--ISNUMBER(SEARCH(abortion,C177)))&gt;0)</f>
        <v>0</v>
      </c>
      <c r="W177" s="14" cm="1">
        <f t="array" ref="W177">INT(SUMPRODUCT(--ISNUMBER(SEARCH(trump,C177)))&gt;0)</f>
        <v>0</v>
      </c>
      <c r="X177" s="14" cm="1">
        <f t="array" ref="X177">INT(SUMPRODUCT(--ISNUMBER(SEARCH(voting,C177)))&gt;0)</f>
        <v>1</v>
      </c>
      <c r="Y177" s="14" cm="1">
        <f t="array" ref="Y177">INT(SUMPRODUCT(--ISNUMBER(SEARCH(republicantrigger,C177)))&gt;0)</f>
        <v>1</v>
      </c>
      <c r="Z177" s="14" cm="1">
        <f t="array" ref="Z177">INT(SUMPRODUCT(--ISNUMBER(SEARCH(bipartisan,C177)))&gt;0)</f>
        <v>0</v>
      </c>
      <c r="AA177" s="14">
        <f t="shared" si="2"/>
        <v>0</v>
      </c>
      <c r="AB177" s="14"/>
      <c r="AC177" s="30" t="s">
        <v>223</v>
      </c>
      <c r="AD177" s="37" t="s">
        <v>223</v>
      </c>
    </row>
    <row r="178" spans="1:30" x14ac:dyDescent="0.25">
      <c r="A178" s="36">
        <v>943</v>
      </c>
      <c r="B178" s="14" t="s">
        <v>1913</v>
      </c>
      <c r="C178" s="14" t="s">
        <v>1914</v>
      </c>
      <c r="D178" s="17">
        <v>44112</v>
      </c>
      <c r="E178" s="14" t="s">
        <v>30</v>
      </c>
      <c r="F178" s="14">
        <v>62</v>
      </c>
      <c r="G178" s="14">
        <v>18</v>
      </c>
      <c r="H178" s="14">
        <v>5</v>
      </c>
      <c r="I178" s="14">
        <v>3</v>
      </c>
      <c r="J178" s="14" t="s">
        <v>31</v>
      </c>
      <c r="K178" s="14" cm="1">
        <f t="array" ref="K178">INT(SUMPRODUCT(--ISNUMBER(SEARCH(economy,C178)))&gt;0)</f>
        <v>0</v>
      </c>
      <c r="L178" s="14" cm="1">
        <f t="array" ref="L178">INT(SUMPRODUCT(--ISNUMBER(SEARCH(healthcare,C178)))&gt;0)</f>
        <v>0</v>
      </c>
      <c r="M178" s="14" cm="1">
        <f t="array" ref="M178">INT(SUMPRODUCT(--ISNUMBER(SEARCH(supreme,C178)))&gt;0)</f>
        <v>0</v>
      </c>
      <c r="N178" s="14" cm="1">
        <f t="array" ref="N178">INT(SUMPRODUCT(--ISNUMBER(SEARCH(covid,C178)))&gt;0)</f>
        <v>0</v>
      </c>
      <c r="O178" s="14" cm="1">
        <f t="array" ref="O178">INT(SUMPRODUCT(--ISNUMBER(SEARCH(violent,C178)))&gt;0)</f>
        <v>0</v>
      </c>
      <c r="P178" s="14" cm="1">
        <f t="array" ref="P178">INT(SUMPRODUCT(--ISNUMBER(SEARCH(foreign,C178)))&gt;0)</f>
        <v>0</v>
      </c>
      <c r="Q178" s="14" cm="1">
        <f t="array" ref="Q178">INT(SUMPRODUCT(--ISNUMBER(SEARCH(gun,C178)))&gt;0)</f>
        <v>0</v>
      </c>
      <c r="R178" s="14" cm="1">
        <f t="array" ref="R178">INT(SUMPRODUCT(--ISNUMBER(SEARCH(race,C178)))&gt;0)</f>
        <v>0</v>
      </c>
      <c r="S178" s="14" cm="1">
        <f t="array" ref="S178">INT(SUMPRODUCT(--ISNUMBER(SEARCH(immigration,C178)))&gt;0)</f>
        <v>0</v>
      </c>
      <c r="T178" s="14" cm="1">
        <f t="array" ref="T178">INT(SUMPRODUCT(--ISNUMBER(SEARCH(econineq,C179)))&gt;0)</f>
        <v>0</v>
      </c>
      <c r="U178" s="14" cm="1">
        <f t="array" ref="U178">INT(SUMPRODUCT(--ISNUMBER(SEARCH(climate,C178)))&gt;0)</f>
        <v>1</v>
      </c>
      <c r="V178" s="14" cm="1">
        <f t="array" ref="V178">INT(SUMPRODUCT(--ISNUMBER(SEARCH(abortion,C178)))&gt;0)</f>
        <v>0</v>
      </c>
      <c r="W178" s="14" cm="1">
        <f t="array" ref="W178">INT(SUMPRODUCT(--ISNUMBER(SEARCH(trump,C178)))&gt;0)</f>
        <v>0</v>
      </c>
      <c r="X178" s="14" cm="1">
        <f t="array" ref="X178">INT(SUMPRODUCT(--ISNUMBER(SEARCH(voting,C178)))&gt;0)</f>
        <v>1</v>
      </c>
      <c r="Y178" s="14" cm="1">
        <f t="array" ref="Y178">INT(SUMPRODUCT(--ISNUMBER(SEARCH(republicantrigger,C178)))&gt;0)</f>
        <v>0</v>
      </c>
      <c r="Z178" s="14" cm="1">
        <f t="array" ref="Z178">INT(SUMPRODUCT(--ISNUMBER(SEARCH(bipartisan,C178)))&gt;0)</f>
        <v>0</v>
      </c>
      <c r="AA178" s="14">
        <f t="shared" si="2"/>
        <v>0</v>
      </c>
      <c r="AB178" s="14"/>
      <c r="AC178" s="30">
        <v>1</v>
      </c>
      <c r="AD178" s="37">
        <v>0</v>
      </c>
    </row>
    <row r="179" spans="1:30" x14ac:dyDescent="0.25">
      <c r="A179" s="36">
        <v>944</v>
      </c>
      <c r="B179" s="14" t="s">
        <v>1915</v>
      </c>
      <c r="C179" s="14" t="s">
        <v>1916</v>
      </c>
      <c r="D179" s="17">
        <v>44112</v>
      </c>
      <c r="E179" s="14" t="s">
        <v>30</v>
      </c>
      <c r="F179" s="14">
        <v>105</v>
      </c>
      <c r="G179" s="14">
        <v>28</v>
      </c>
      <c r="H179" s="14">
        <v>5</v>
      </c>
      <c r="I179" s="14">
        <v>3</v>
      </c>
      <c r="J179" s="14" t="s">
        <v>31</v>
      </c>
      <c r="K179" s="14" cm="1">
        <f t="array" ref="K179">INT(SUMPRODUCT(--ISNUMBER(SEARCH(economy,C179)))&gt;0)</f>
        <v>0</v>
      </c>
      <c r="L179" s="14" cm="1">
        <f t="array" ref="L179">INT(SUMPRODUCT(--ISNUMBER(SEARCH(healthcare,C179)))&gt;0)</f>
        <v>0</v>
      </c>
      <c r="M179" s="14" cm="1">
        <f t="array" ref="M179">INT(SUMPRODUCT(--ISNUMBER(SEARCH(supreme,C179)))&gt;0)</f>
        <v>0</v>
      </c>
      <c r="N179" s="14" cm="1">
        <f t="array" ref="N179">INT(SUMPRODUCT(--ISNUMBER(SEARCH(covid,C179)))&gt;0)</f>
        <v>0</v>
      </c>
      <c r="O179" s="14" cm="1">
        <f t="array" ref="O179">INT(SUMPRODUCT(--ISNUMBER(SEARCH(violent,C179)))&gt;0)</f>
        <v>0</v>
      </c>
      <c r="P179" s="14" cm="1">
        <f t="array" ref="P179">INT(SUMPRODUCT(--ISNUMBER(SEARCH(foreign,C179)))&gt;0)</f>
        <v>0</v>
      </c>
      <c r="Q179" s="14" cm="1">
        <f t="array" ref="Q179">INT(SUMPRODUCT(--ISNUMBER(SEARCH(gun,C179)))&gt;0)</f>
        <v>0</v>
      </c>
      <c r="R179" s="14" cm="1">
        <f t="array" ref="R179">INT(SUMPRODUCT(--ISNUMBER(SEARCH(race,C179)))&gt;0)</f>
        <v>0</v>
      </c>
      <c r="S179" s="14" cm="1">
        <f t="array" ref="S179">INT(SUMPRODUCT(--ISNUMBER(SEARCH(immigration,C179)))&gt;0)</f>
        <v>0</v>
      </c>
      <c r="T179" s="14" cm="1">
        <f t="array" ref="T179">INT(SUMPRODUCT(--ISNUMBER(SEARCH(econineq,C180)))&gt;0)</f>
        <v>0</v>
      </c>
      <c r="U179" s="14" cm="1">
        <f t="array" ref="U179">INT(SUMPRODUCT(--ISNUMBER(SEARCH(climate,C179)))&gt;0)</f>
        <v>0</v>
      </c>
      <c r="V179" s="14" cm="1">
        <f t="array" ref="V179">INT(SUMPRODUCT(--ISNUMBER(SEARCH(abortion,C179)))&gt;0)</f>
        <v>0</v>
      </c>
      <c r="W179" s="14" cm="1">
        <f t="array" ref="W179">INT(SUMPRODUCT(--ISNUMBER(SEARCH(trump,C179)))&gt;0)</f>
        <v>0</v>
      </c>
      <c r="X179" s="14" cm="1">
        <f t="array" ref="X179">INT(SUMPRODUCT(--ISNUMBER(SEARCH(voting,C179)))&gt;0)</f>
        <v>1</v>
      </c>
      <c r="Y179" s="14" cm="1">
        <f t="array" ref="Y179">INT(SUMPRODUCT(--ISNUMBER(SEARCH(republicantrigger,C179)))&gt;0)</f>
        <v>0</v>
      </c>
      <c r="Z179" s="14" cm="1">
        <f t="array" ref="Z179">INT(SUMPRODUCT(--ISNUMBER(SEARCH(bipartisan,C179)))&gt;0)</f>
        <v>0</v>
      </c>
      <c r="AA179" s="14">
        <f t="shared" si="2"/>
        <v>0</v>
      </c>
      <c r="AB179" s="14"/>
      <c r="AC179" s="30">
        <v>0</v>
      </c>
      <c r="AD179" s="37">
        <v>1</v>
      </c>
    </row>
    <row r="180" spans="1:30" x14ac:dyDescent="0.25">
      <c r="A180" s="36">
        <v>945</v>
      </c>
      <c r="B180" s="14" t="s">
        <v>1917</v>
      </c>
      <c r="C180" s="14" t="s">
        <v>1918</v>
      </c>
      <c r="D180" s="17">
        <v>44112</v>
      </c>
      <c r="E180" s="14" t="s">
        <v>30</v>
      </c>
      <c r="F180" s="14">
        <v>77</v>
      </c>
      <c r="G180" s="14">
        <v>28</v>
      </c>
      <c r="H180" s="14">
        <v>5</v>
      </c>
      <c r="I180" s="14">
        <v>3</v>
      </c>
      <c r="J180" s="14" t="s">
        <v>31</v>
      </c>
      <c r="K180" s="14" cm="1">
        <f t="array" ref="K180">INT(SUMPRODUCT(--ISNUMBER(SEARCH(economy,C180)))&gt;0)</f>
        <v>0</v>
      </c>
      <c r="L180" s="14" cm="1">
        <f t="array" ref="L180">INT(SUMPRODUCT(--ISNUMBER(SEARCH(healthcare,C180)))&gt;0)</f>
        <v>1</v>
      </c>
      <c r="M180" s="14" cm="1">
        <f t="array" ref="M180">INT(SUMPRODUCT(--ISNUMBER(SEARCH(supreme,C180)))&gt;0)</f>
        <v>0</v>
      </c>
      <c r="N180" s="14" cm="1">
        <f t="array" ref="N180">INT(SUMPRODUCT(--ISNUMBER(SEARCH(covid,C180)))&gt;0)</f>
        <v>0</v>
      </c>
      <c r="O180" s="14" cm="1">
        <f t="array" ref="O180">INT(SUMPRODUCT(--ISNUMBER(SEARCH(violent,C180)))&gt;0)</f>
        <v>0</v>
      </c>
      <c r="P180" s="14" cm="1">
        <f t="array" ref="P180">INT(SUMPRODUCT(--ISNUMBER(SEARCH(foreign,C180)))&gt;0)</f>
        <v>0</v>
      </c>
      <c r="Q180" s="14" cm="1">
        <f t="array" ref="Q180">INT(SUMPRODUCT(--ISNUMBER(SEARCH(gun,C180)))&gt;0)</f>
        <v>0</v>
      </c>
      <c r="R180" s="14" cm="1">
        <f t="array" ref="R180">INT(SUMPRODUCT(--ISNUMBER(SEARCH(race,C180)))&gt;0)</f>
        <v>0</v>
      </c>
      <c r="S180" s="14" cm="1">
        <f t="array" ref="S180">INT(SUMPRODUCT(--ISNUMBER(SEARCH(immigration,C180)))&gt;0)</f>
        <v>0</v>
      </c>
      <c r="T180" s="14" cm="1">
        <f t="array" ref="T180">INT(SUMPRODUCT(--ISNUMBER(SEARCH(econineq,C181)))&gt;0)</f>
        <v>0</v>
      </c>
      <c r="U180" s="14" cm="1">
        <f t="array" ref="U180">INT(SUMPRODUCT(--ISNUMBER(SEARCH(climate,C180)))&gt;0)</f>
        <v>0</v>
      </c>
      <c r="V180" s="14" cm="1">
        <f t="array" ref="V180">INT(SUMPRODUCT(--ISNUMBER(SEARCH(abortion,C180)))&gt;0)</f>
        <v>0</v>
      </c>
      <c r="W180" s="14" cm="1">
        <f t="array" ref="W180">INT(SUMPRODUCT(--ISNUMBER(SEARCH(trump,C180)))&gt;0)</f>
        <v>0</v>
      </c>
      <c r="X180" s="14" cm="1">
        <f t="array" ref="X180">INT(SUMPRODUCT(--ISNUMBER(SEARCH(voting,C180)))&gt;0)</f>
        <v>0</v>
      </c>
      <c r="Y180" s="14" cm="1">
        <f t="array" ref="Y180">INT(SUMPRODUCT(--ISNUMBER(SEARCH(republicantrigger,C180)))&gt;0)</f>
        <v>0</v>
      </c>
      <c r="Z180" s="14" cm="1">
        <f t="array" ref="Z180">INT(SUMPRODUCT(--ISNUMBER(SEARCH(bipartisan,C180)))&gt;0)</f>
        <v>0</v>
      </c>
      <c r="AA180" s="14">
        <f t="shared" si="2"/>
        <v>0</v>
      </c>
      <c r="AB180" s="14"/>
      <c r="AC180" s="30">
        <v>0</v>
      </c>
      <c r="AD180" s="37">
        <v>1</v>
      </c>
    </row>
    <row r="181" spans="1:30" x14ac:dyDescent="0.25">
      <c r="A181" s="36">
        <v>946</v>
      </c>
      <c r="B181" s="14" t="s">
        <v>1919</v>
      </c>
      <c r="C181" s="14" t="s">
        <v>1920</v>
      </c>
      <c r="D181" s="17">
        <v>44111</v>
      </c>
      <c r="E181" s="14" t="s">
        <v>30</v>
      </c>
      <c r="F181" s="14">
        <v>56</v>
      </c>
      <c r="G181" s="14">
        <v>23</v>
      </c>
      <c r="H181" s="14">
        <v>5</v>
      </c>
      <c r="I181" s="14">
        <v>3</v>
      </c>
      <c r="J181" s="14" t="s">
        <v>31</v>
      </c>
      <c r="K181" s="14" cm="1">
        <f t="array" ref="K181">INT(SUMPRODUCT(--ISNUMBER(SEARCH(economy,C181)))&gt;0)</f>
        <v>1</v>
      </c>
      <c r="L181" s="14" cm="1">
        <f t="array" ref="L181">INT(SUMPRODUCT(--ISNUMBER(SEARCH(healthcare,C181)))&gt;0)</f>
        <v>0</v>
      </c>
      <c r="M181" s="14" cm="1">
        <f t="array" ref="M181">INT(SUMPRODUCT(--ISNUMBER(SEARCH(supreme,C181)))&gt;0)</f>
        <v>0</v>
      </c>
      <c r="N181" s="14" cm="1">
        <f t="array" ref="N181">INT(SUMPRODUCT(--ISNUMBER(SEARCH(covid,C181)))&gt;0)</f>
        <v>0</v>
      </c>
      <c r="O181" s="14" cm="1">
        <f t="array" ref="O181">INT(SUMPRODUCT(--ISNUMBER(SEARCH(violent,C181)))&gt;0)</f>
        <v>0</v>
      </c>
      <c r="P181" s="14" cm="1">
        <f t="array" ref="P181">INT(SUMPRODUCT(--ISNUMBER(SEARCH(foreign,C181)))&gt;0)</f>
        <v>0</v>
      </c>
      <c r="Q181" s="14" cm="1">
        <f t="array" ref="Q181">INT(SUMPRODUCT(--ISNUMBER(SEARCH(gun,C181)))&gt;0)</f>
        <v>0</v>
      </c>
      <c r="R181" s="14" cm="1">
        <f t="array" ref="R181">INT(SUMPRODUCT(--ISNUMBER(SEARCH(race,C181)))&gt;0)</f>
        <v>0</v>
      </c>
      <c r="S181" s="14" cm="1">
        <f t="array" ref="S181">INT(SUMPRODUCT(--ISNUMBER(SEARCH(immigration,C181)))&gt;0)</f>
        <v>0</v>
      </c>
      <c r="T181" s="14" cm="1">
        <f t="array" ref="T181">INT(SUMPRODUCT(--ISNUMBER(SEARCH(econineq,C182)))&gt;0)</f>
        <v>0</v>
      </c>
      <c r="U181" s="14" cm="1">
        <f t="array" ref="U181">INT(SUMPRODUCT(--ISNUMBER(SEARCH(climate,C181)))&gt;0)</f>
        <v>1</v>
      </c>
      <c r="V181" s="14" cm="1">
        <f t="array" ref="V181">INT(SUMPRODUCT(--ISNUMBER(SEARCH(abortion,C181)))&gt;0)</f>
        <v>0</v>
      </c>
      <c r="W181" s="14" cm="1">
        <f t="array" ref="W181">INT(SUMPRODUCT(--ISNUMBER(SEARCH(trump,C181)))&gt;0)</f>
        <v>0</v>
      </c>
      <c r="X181" s="14" cm="1">
        <f t="array" ref="X181">INT(SUMPRODUCT(--ISNUMBER(SEARCH(voting,C181)))&gt;0)</f>
        <v>0</v>
      </c>
      <c r="Y181" s="14" cm="1">
        <f t="array" ref="Y181">INT(SUMPRODUCT(--ISNUMBER(SEARCH(republicantrigger,C181)))&gt;0)</f>
        <v>1</v>
      </c>
      <c r="Z181" s="14" cm="1">
        <f t="array" ref="Z181">INT(SUMPRODUCT(--ISNUMBER(SEARCH(bipartisan,C181)))&gt;0)</f>
        <v>0</v>
      </c>
      <c r="AA181" s="14">
        <f t="shared" si="2"/>
        <v>0</v>
      </c>
      <c r="AB181" s="14"/>
      <c r="AC181" s="30" t="s">
        <v>223</v>
      </c>
      <c r="AD181" s="37" t="s">
        <v>223</v>
      </c>
    </row>
    <row r="182" spans="1:30" x14ac:dyDescent="0.25">
      <c r="A182" s="36">
        <v>947</v>
      </c>
      <c r="B182" s="14" t="s">
        <v>1921</v>
      </c>
      <c r="C182" s="14" t="s">
        <v>1922</v>
      </c>
      <c r="D182" s="17">
        <v>44111</v>
      </c>
      <c r="E182" s="14" t="s">
        <v>30</v>
      </c>
      <c r="F182" s="14">
        <v>46</v>
      </c>
      <c r="G182" s="14">
        <v>16</v>
      </c>
      <c r="H182" s="14">
        <v>5</v>
      </c>
      <c r="I182" s="14">
        <v>3</v>
      </c>
      <c r="J182" s="14" t="s">
        <v>31</v>
      </c>
      <c r="K182" s="14" cm="1">
        <f t="array" ref="K182">INT(SUMPRODUCT(--ISNUMBER(SEARCH(economy,C182)))&gt;0)</f>
        <v>0</v>
      </c>
      <c r="L182" s="14" cm="1">
        <f t="array" ref="L182">INT(SUMPRODUCT(--ISNUMBER(SEARCH(healthcare,C182)))&gt;0)</f>
        <v>0</v>
      </c>
      <c r="M182" s="14" cm="1">
        <f t="array" ref="M182">INT(SUMPRODUCT(--ISNUMBER(SEARCH(supreme,C182)))&gt;0)</f>
        <v>0</v>
      </c>
      <c r="N182" s="14" cm="1">
        <f t="array" ref="N182">INT(SUMPRODUCT(--ISNUMBER(SEARCH(covid,C182)))&gt;0)</f>
        <v>0</v>
      </c>
      <c r="O182" s="14" cm="1">
        <f t="array" ref="O182">INT(SUMPRODUCT(--ISNUMBER(SEARCH(violent,C182)))&gt;0)</f>
        <v>0</v>
      </c>
      <c r="P182" s="14" cm="1">
        <f t="array" ref="P182">INT(SUMPRODUCT(--ISNUMBER(SEARCH(foreign,C182)))&gt;0)</f>
        <v>0</v>
      </c>
      <c r="Q182" s="14" cm="1">
        <f t="array" ref="Q182">INT(SUMPRODUCT(--ISNUMBER(SEARCH(gun,C182)))&gt;0)</f>
        <v>0</v>
      </c>
      <c r="R182" s="14" cm="1">
        <f t="array" ref="R182">INT(SUMPRODUCT(--ISNUMBER(SEARCH(race,C182)))&gt;0)</f>
        <v>0</v>
      </c>
      <c r="S182" s="14" cm="1">
        <f t="array" ref="S182">INT(SUMPRODUCT(--ISNUMBER(SEARCH(immigration,C182)))&gt;0)</f>
        <v>0</v>
      </c>
      <c r="T182" s="14" cm="1">
        <f t="array" ref="T182">INT(SUMPRODUCT(--ISNUMBER(SEARCH(econineq,C183)))&gt;0)</f>
        <v>0</v>
      </c>
      <c r="U182" s="14" cm="1">
        <f t="array" ref="U182">INT(SUMPRODUCT(--ISNUMBER(SEARCH(climate,C182)))&gt;0)</f>
        <v>0</v>
      </c>
      <c r="V182" s="14" cm="1">
        <f t="array" ref="V182">INT(SUMPRODUCT(--ISNUMBER(SEARCH(abortion,C182)))&gt;0)</f>
        <v>0</v>
      </c>
      <c r="W182" s="14" cm="1">
        <f t="array" ref="W182">INT(SUMPRODUCT(--ISNUMBER(SEARCH(trump,C182)))&gt;0)</f>
        <v>0</v>
      </c>
      <c r="X182" s="14" cm="1">
        <f t="array" ref="X182">INT(SUMPRODUCT(--ISNUMBER(SEARCH(voting,C182)))&gt;0)</f>
        <v>0</v>
      </c>
      <c r="Y182" s="14" cm="1">
        <f t="array" ref="Y182">INT(SUMPRODUCT(--ISNUMBER(SEARCH(republicantrigger,C182)))&gt;0)</f>
        <v>1</v>
      </c>
      <c r="Z182" s="14" cm="1">
        <f t="array" ref="Z182">INT(SUMPRODUCT(--ISNUMBER(SEARCH(bipartisan,C182)))&gt;0)</f>
        <v>0</v>
      </c>
      <c r="AA182" s="14">
        <f t="shared" si="2"/>
        <v>0</v>
      </c>
      <c r="AB182" s="14"/>
      <c r="AC182" s="30">
        <v>0</v>
      </c>
      <c r="AD182" s="37">
        <v>1</v>
      </c>
    </row>
    <row r="183" spans="1:30" x14ac:dyDescent="0.25">
      <c r="A183" s="36">
        <v>948</v>
      </c>
      <c r="B183" s="14" t="s">
        <v>1923</v>
      </c>
      <c r="C183" s="14" t="s">
        <v>1924</v>
      </c>
      <c r="D183" s="17">
        <v>44111</v>
      </c>
      <c r="E183" s="14" t="s">
        <v>30</v>
      </c>
      <c r="F183" s="14">
        <v>94</v>
      </c>
      <c r="G183" s="14">
        <v>31</v>
      </c>
      <c r="H183" s="14">
        <v>5</v>
      </c>
      <c r="I183" s="14">
        <v>3</v>
      </c>
      <c r="J183" s="14" t="s">
        <v>31</v>
      </c>
      <c r="K183" s="14" cm="1">
        <f t="array" ref="K183">INT(SUMPRODUCT(--ISNUMBER(SEARCH(economy,C183)))&gt;0)</f>
        <v>0</v>
      </c>
      <c r="L183" s="14" cm="1">
        <f t="array" ref="L183">INT(SUMPRODUCT(--ISNUMBER(SEARCH(healthcare,C183)))&gt;0)</f>
        <v>0</v>
      </c>
      <c r="M183" s="14" cm="1">
        <f t="array" ref="M183">INT(SUMPRODUCT(--ISNUMBER(SEARCH(supreme,C183)))&gt;0)</f>
        <v>0</v>
      </c>
      <c r="N183" s="14" cm="1">
        <f t="array" ref="N183">INT(SUMPRODUCT(--ISNUMBER(SEARCH(covid,C183)))&gt;0)</f>
        <v>0</v>
      </c>
      <c r="O183" s="14" cm="1">
        <f t="array" ref="O183">INT(SUMPRODUCT(--ISNUMBER(SEARCH(violent,C183)))&gt;0)</f>
        <v>0</v>
      </c>
      <c r="P183" s="14" cm="1">
        <f t="array" ref="P183">INT(SUMPRODUCT(--ISNUMBER(SEARCH(foreign,C183)))&gt;0)</f>
        <v>0</v>
      </c>
      <c r="Q183" s="14" cm="1">
        <f t="array" ref="Q183">INT(SUMPRODUCT(--ISNUMBER(SEARCH(gun,C183)))&gt;0)</f>
        <v>0</v>
      </c>
      <c r="R183" s="14" cm="1">
        <f t="array" ref="R183">INT(SUMPRODUCT(--ISNUMBER(SEARCH(race,C183)))&gt;0)</f>
        <v>0</v>
      </c>
      <c r="S183" s="14" cm="1">
        <f t="array" ref="S183">INT(SUMPRODUCT(--ISNUMBER(SEARCH(immigration,C183)))&gt;0)</f>
        <v>0</v>
      </c>
      <c r="T183" s="14" cm="1">
        <f t="array" ref="T183">INT(SUMPRODUCT(--ISNUMBER(SEARCH(econineq,C184)))&gt;0)</f>
        <v>0</v>
      </c>
      <c r="U183" s="14" cm="1">
        <f t="array" ref="U183">INT(SUMPRODUCT(--ISNUMBER(SEARCH(climate,C183)))&gt;0)</f>
        <v>0</v>
      </c>
      <c r="V183" s="14" cm="1">
        <f t="array" ref="V183">INT(SUMPRODUCT(--ISNUMBER(SEARCH(abortion,C183)))&gt;0)</f>
        <v>0</v>
      </c>
      <c r="W183" s="14" cm="1">
        <f t="array" ref="W183">INT(SUMPRODUCT(--ISNUMBER(SEARCH(trump,C183)))&gt;0)</f>
        <v>0</v>
      </c>
      <c r="X183" s="14" cm="1">
        <f t="array" ref="X183">INT(SUMPRODUCT(--ISNUMBER(SEARCH(voting,C183)))&gt;0)</f>
        <v>1</v>
      </c>
      <c r="Y183" s="14" cm="1">
        <f t="array" ref="Y183">INT(SUMPRODUCT(--ISNUMBER(SEARCH(republicantrigger,C183)))&gt;0)</f>
        <v>0</v>
      </c>
      <c r="Z183" s="14" cm="1">
        <f t="array" ref="Z183">INT(SUMPRODUCT(--ISNUMBER(SEARCH(bipartisan,C183)))&gt;0)</f>
        <v>0</v>
      </c>
      <c r="AA183" s="14">
        <f t="shared" si="2"/>
        <v>0</v>
      </c>
      <c r="AB183" s="14"/>
      <c r="AC183" s="30" t="s">
        <v>223</v>
      </c>
      <c r="AD183" s="37" t="s">
        <v>223</v>
      </c>
    </row>
    <row r="184" spans="1:30" x14ac:dyDescent="0.25">
      <c r="A184" s="36">
        <v>949</v>
      </c>
      <c r="B184" s="14" t="s">
        <v>1925</v>
      </c>
      <c r="C184" s="14" t="s">
        <v>1926</v>
      </c>
      <c r="D184" s="17">
        <v>44111</v>
      </c>
      <c r="E184" s="14" t="s">
        <v>30</v>
      </c>
      <c r="F184" s="14">
        <v>134</v>
      </c>
      <c r="G184" s="14">
        <v>49</v>
      </c>
      <c r="H184" s="14">
        <v>5</v>
      </c>
      <c r="I184" s="14">
        <v>3</v>
      </c>
      <c r="J184" s="14" t="s">
        <v>31</v>
      </c>
      <c r="K184" s="14" cm="1">
        <f t="array" ref="K184">INT(SUMPRODUCT(--ISNUMBER(SEARCH(economy,C184)))&gt;0)</f>
        <v>0</v>
      </c>
      <c r="L184" s="14" cm="1">
        <f t="array" ref="L184">INT(SUMPRODUCT(--ISNUMBER(SEARCH(healthcare,C184)))&gt;0)</f>
        <v>0</v>
      </c>
      <c r="M184" s="14" cm="1">
        <f t="array" ref="M184">INT(SUMPRODUCT(--ISNUMBER(SEARCH(supreme,C184)))&gt;0)</f>
        <v>0</v>
      </c>
      <c r="N184" s="14" cm="1">
        <f t="array" ref="N184">INT(SUMPRODUCT(--ISNUMBER(SEARCH(covid,C184)))&gt;0)</f>
        <v>0</v>
      </c>
      <c r="O184" s="14" cm="1">
        <f t="array" ref="O184">INT(SUMPRODUCT(--ISNUMBER(SEARCH(violent,C184)))&gt;0)</f>
        <v>0</v>
      </c>
      <c r="P184" s="14" cm="1">
        <f t="array" ref="P184">INT(SUMPRODUCT(--ISNUMBER(SEARCH(foreign,C184)))&gt;0)</f>
        <v>0</v>
      </c>
      <c r="Q184" s="14" cm="1">
        <f t="array" ref="Q184">INT(SUMPRODUCT(--ISNUMBER(SEARCH(gun,C184)))&gt;0)</f>
        <v>0</v>
      </c>
      <c r="R184" s="14" cm="1">
        <f t="array" ref="R184">INT(SUMPRODUCT(--ISNUMBER(SEARCH(race,C184)))&gt;0)</f>
        <v>0</v>
      </c>
      <c r="S184" s="14" cm="1">
        <f t="array" ref="S184">INT(SUMPRODUCT(--ISNUMBER(SEARCH(immigration,C184)))&gt;0)</f>
        <v>0</v>
      </c>
      <c r="T184" s="14" cm="1">
        <f t="array" ref="T184">INT(SUMPRODUCT(--ISNUMBER(SEARCH(econineq,C185)))&gt;0)</f>
        <v>0</v>
      </c>
      <c r="U184" s="14" cm="1">
        <f t="array" ref="U184">INT(SUMPRODUCT(--ISNUMBER(SEARCH(climate,C184)))&gt;0)</f>
        <v>0</v>
      </c>
      <c r="V184" s="14" cm="1">
        <f t="array" ref="V184">INT(SUMPRODUCT(--ISNUMBER(SEARCH(abortion,C184)))&gt;0)</f>
        <v>0</v>
      </c>
      <c r="W184" s="14" cm="1">
        <f t="array" ref="W184">INT(SUMPRODUCT(--ISNUMBER(SEARCH(trump,C184)))&gt;0)</f>
        <v>0</v>
      </c>
      <c r="X184" s="14" cm="1">
        <f t="array" ref="X184">INT(SUMPRODUCT(--ISNUMBER(SEARCH(voting,C184)))&gt;0)</f>
        <v>0</v>
      </c>
      <c r="Y184" s="14" cm="1">
        <f t="array" ref="Y184">INT(SUMPRODUCT(--ISNUMBER(SEARCH(republicantrigger,C184)))&gt;0)</f>
        <v>0</v>
      </c>
      <c r="Z184" s="14" cm="1">
        <f t="array" ref="Z184">INT(SUMPRODUCT(--ISNUMBER(SEARCH(bipartisan,C184)))&gt;0)</f>
        <v>0</v>
      </c>
      <c r="AA184" s="14">
        <f t="shared" si="2"/>
        <v>1</v>
      </c>
      <c r="AB184" s="14"/>
      <c r="AC184" s="30">
        <v>0</v>
      </c>
      <c r="AD184" s="37">
        <v>1</v>
      </c>
    </row>
    <row r="185" spans="1:30" x14ac:dyDescent="0.25">
      <c r="A185" s="36">
        <v>950</v>
      </c>
      <c r="B185" s="14" t="s">
        <v>1927</v>
      </c>
      <c r="C185" s="14" t="s">
        <v>1928</v>
      </c>
      <c r="D185" s="17">
        <v>44111</v>
      </c>
      <c r="E185" s="14" t="s">
        <v>70</v>
      </c>
      <c r="F185" s="14">
        <v>22</v>
      </c>
      <c r="G185" s="14">
        <v>7</v>
      </c>
      <c r="H185" s="14">
        <v>5</v>
      </c>
      <c r="I185" s="14">
        <v>3</v>
      </c>
      <c r="J185" s="14" t="s">
        <v>31</v>
      </c>
      <c r="K185" s="14" cm="1">
        <f t="array" ref="K185">INT(SUMPRODUCT(--ISNUMBER(SEARCH(economy,C185)))&gt;0)</f>
        <v>0</v>
      </c>
      <c r="L185" s="14" cm="1">
        <f t="array" ref="L185">INT(SUMPRODUCT(--ISNUMBER(SEARCH(healthcare,C185)))&gt;0)</f>
        <v>0</v>
      </c>
      <c r="M185" s="14" cm="1">
        <f t="array" ref="M185">INT(SUMPRODUCT(--ISNUMBER(SEARCH(supreme,C185)))&gt;0)</f>
        <v>0</v>
      </c>
      <c r="N185" s="14" cm="1">
        <f t="array" ref="N185">INT(SUMPRODUCT(--ISNUMBER(SEARCH(covid,C185)))&gt;0)</f>
        <v>0</v>
      </c>
      <c r="O185" s="14" cm="1">
        <f t="array" ref="O185">INT(SUMPRODUCT(--ISNUMBER(SEARCH(violent,C185)))&gt;0)</f>
        <v>0</v>
      </c>
      <c r="P185" s="14" cm="1">
        <f t="array" ref="P185">INT(SUMPRODUCT(--ISNUMBER(SEARCH(foreign,C185)))&gt;0)</f>
        <v>0</v>
      </c>
      <c r="Q185" s="14" cm="1">
        <f t="array" ref="Q185">INT(SUMPRODUCT(--ISNUMBER(SEARCH(gun,C185)))&gt;0)</f>
        <v>0</v>
      </c>
      <c r="R185" s="14" cm="1">
        <f t="array" ref="R185">INT(SUMPRODUCT(--ISNUMBER(SEARCH(race,C185)))&gt;0)</f>
        <v>0</v>
      </c>
      <c r="S185" s="14" cm="1">
        <f t="array" ref="S185">INT(SUMPRODUCT(--ISNUMBER(SEARCH(immigration,C185)))&gt;0)</f>
        <v>0</v>
      </c>
      <c r="T185" s="14" cm="1">
        <f t="array" ref="T185">INT(SUMPRODUCT(--ISNUMBER(SEARCH(econineq,C186)))&gt;0)</f>
        <v>0</v>
      </c>
      <c r="U185" s="14" cm="1">
        <f t="array" ref="U185">INT(SUMPRODUCT(--ISNUMBER(SEARCH(climate,C185)))&gt;0)</f>
        <v>0</v>
      </c>
      <c r="V185" s="14" cm="1">
        <f t="array" ref="V185">INT(SUMPRODUCT(--ISNUMBER(SEARCH(abortion,C185)))&gt;0)</f>
        <v>0</v>
      </c>
      <c r="W185" s="14" cm="1">
        <f t="array" ref="W185">INT(SUMPRODUCT(--ISNUMBER(SEARCH(trump,C185)))&gt;0)</f>
        <v>0</v>
      </c>
      <c r="X185" s="14" cm="1">
        <f t="array" ref="X185">INT(SUMPRODUCT(--ISNUMBER(SEARCH(voting,C185)))&gt;0)</f>
        <v>1</v>
      </c>
      <c r="Y185" s="14" cm="1">
        <f t="array" ref="Y185">INT(SUMPRODUCT(--ISNUMBER(SEARCH(republicantrigger,C185)))&gt;0)</f>
        <v>0</v>
      </c>
      <c r="Z185" s="14" cm="1">
        <f t="array" ref="Z185">INT(SUMPRODUCT(--ISNUMBER(SEARCH(bipartisan,C185)))&gt;0)</f>
        <v>0</v>
      </c>
      <c r="AA185" s="14">
        <f t="shared" si="2"/>
        <v>0</v>
      </c>
      <c r="AB185" s="14"/>
      <c r="AC185" s="30">
        <v>1</v>
      </c>
      <c r="AD185" s="37">
        <v>0</v>
      </c>
    </row>
    <row r="186" spans="1:30" x14ac:dyDescent="0.25">
      <c r="A186" s="36">
        <v>951</v>
      </c>
      <c r="B186" s="14" t="s">
        <v>1929</v>
      </c>
      <c r="C186" s="14" t="s">
        <v>1930</v>
      </c>
      <c r="D186" s="17">
        <v>44111</v>
      </c>
      <c r="E186" s="14" t="s">
        <v>30</v>
      </c>
      <c r="F186" s="14">
        <v>48</v>
      </c>
      <c r="G186" s="14">
        <v>17</v>
      </c>
      <c r="H186" s="14">
        <v>5</v>
      </c>
      <c r="I186" s="14">
        <v>3</v>
      </c>
      <c r="J186" s="14" t="s">
        <v>31</v>
      </c>
      <c r="K186" s="14" cm="1">
        <f t="array" ref="K186">INT(SUMPRODUCT(--ISNUMBER(SEARCH(economy,C186)))&gt;0)</f>
        <v>1</v>
      </c>
      <c r="L186" s="14" cm="1">
        <f t="array" ref="L186">INT(SUMPRODUCT(--ISNUMBER(SEARCH(healthcare,C186)))&gt;0)</f>
        <v>0</v>
      </c>
      <c r="M186" s="14" cm="1">
        <f t="array" ref="M186">INT(SUMPRODUCT(--ISNUMBER(SEARCH(supreme,C186)))&gt;0)</f>
        <v>0</v>
      </c>
      <c r="N186" s="14" cm="1">
        <f t="array" ref="N186">INT(SUMPRODUCT(--ISNUMBER(SEARCH(covid,C186)))&gt;0)</f>
        <v>0</v>
      </c>
      <c r="O186" s="14" cm="1">
        <f t="array" ref="O186">INT(SUMPRODUCT(--ISNUMBER(SEARCH(violent,C186)))&gt;0)</f>
        <v>0</v>
      </c>
      <c r="P186" s="14" cm="1">
        <f t="array" ref="P186">INT(SUMPRODUCT(--ISNUMBER(SEARCH(foreign,C186)))&gt;0)</f>
        <v>0</v>
      </c>
      <c r="Q186" s="14" cm="1">
        <f t="array" ref="Q186">INT(SUMPRODUCT(--ISNUMBER(SEARCH(gun,C186)))&gt;0)</f>
        <v>0</v>
      </c>
      <c r="R186" s="14" cm="1">
        <f t="array" ref="R186">INT(SUMPRODUCT(--ISNUMBER(SEARCH(race,C186)))&gt;0)</f>
        <v>0</v>
      </c>
      <c r="S186" s="14" cm="1">
        <f t="array" ref="S186">INT(SUMPRODUCT(--ISNUMBER(SEARCH(immigration,C186)))&gt;0)</f>
        <v>0</v>
      </c>
      <c r="T186" s="14" cm="1">
        <f t="array" ref="T186">INT(SUMPRODUCT(--ISNUMBER(SEARCH(econineq,C187)))&gt;0)</f>
        <v>0</v>
      </c>
      <c r="U186" s="14" cm="1">
        <f t="array" ref="U186">INT(SUMPRODUCT(--ISNUMBER(SEARCH(climate,C186)))&gt;0)</f>
        <v>0</v>
      </c>
      <c r="V186" s="14" cm="1">
        <f t="array" ref="V186">INT(SUMPRODUCT(--ISNUMBER(SEARCH(abortion,C186)))&gt;0)</f>
        <v>0</v>
      </c>
      <c r="W186" s="14" cm="1">
        <f t="array" ref="W186">INT(SUMPRODUCT(--ISNUMBER(SEARCH(trump,C186)))&gt;0)</f>
        <v>0</v>
      </c>
      <c r="X186" s="14" cm="1">
        <f t="array" ref="X186">INT(SUMPRODUCT(--ISNUMBER(SEARCH(voting,C186)))&gt;0)</f>
        <v>0</v>
      </c>
      <c r="Y186" s="14" cm="1">
        <f t="array" ref="Y186">INT(SUMPRODUCT(--ISNUMBER(SEARCH(republicantrigger,C186)))&gt;0)</f>
        <v>0</v>
      </c>
      <c r="Z186" s="14" cm="1">
        <f t="array" ref="Z186">INT(SUMPRODUCT(--ISNUMBER(SEARCH(bipartisan,C186)))&gt;0)</f>
        <v>0</v>
      </c>
      <c r="AA186" s="14">
        <f t="shared" si="2"/>
        <v>0</v>
      </c>
      <c r="AB186" s="14"/>
      <c r="AC186" s="30">
        <v>1</v>
      </c>
      <c r="AD186" s="37">
        <v>0</v>
      </c>
    </row>
    <row r="187" spans="1:30" x14ac:dyDescent="0.25">
      <c r="A187" s="36">
        <v>952</v>
      </c>
      <c r="B187" s="14" t="s">
        <v>1931</v>
      </c>
      <c r="C187" s="14" t="s">
        <v>1932</v>
      </c>
      <c r="D187" s="17">
        <v>44111</v>
      </c>
      <c r="E187" s="14" t="s">
        <v>30</v>
      </c>
      <c r="F187" s="14">
        <v>189</v>
      </c>
      <c r="G187" s="14">
        <v>68</v>
      </c>
      <c r="H187" s="14">
        <v>5</v>
      </c>
      <c r="I187" s="14">
        <v>3</v>
      </c>
      <c r="J187" s="14" t="s">
        <v>31</v>
      </c>
      <c r="K187" s="14" cm="1">
        <f t="array" ref="K187">INT(SUMPRODUCT(--ISNUMBER(SEARCH(economy,C187)))&gt;0)</f>
        <v>0</v>
      </c>
      <c r="L187" s="14" cm="1">
        <f t="array" ref="L187">INT(SUMPRODUCT(--ISNUMBER(SEARCH(healthcare,C187)))&gt;0)</f>
        <v>0</v>
      </c>
      <c r="M187" s="14" cm="1">
        <f t="array" ref="M187">INT(SUMPRODUCT(--ISNUMBER(SEARCH(supreme,C187)))&gt;0)</f>
        <v>0</v>
      </c>
      <c r="N187" s="14" cm="1">
        <f t="array" ref="N187">INT(SUMPRODUCT(--ISNUMBER(SEARCH(covid,C187)))&gt;0)</f>
        <v>0</v>
      </c>
      <c r="O187" s="14" cm="1">
        <f t="array" ref="O187">INT(SUMPRODUCT(--ISNUMBER(SEARCH(violent,C187)))&gt;0)</f>
        <v>0</v>
      </c>
      <c r="P187" s="14" cm="1">
        <f t="array" ref="P187">INT(SUMPRODUCT(--ISNUMBER(SEARCH(foreign,C187)))&gt;0)</f>
        <v>0</v>
      </c>
      <c r="Q187" s="14" cm="1">
        <f t="array" ref="Q187">INT(SUMPRODUCT(--ISNUMBER(SEARCH(gun,C187)))&gt;0)</f>
        <v>0</v>
      </c>
      <c r="R187" s="14" cm="1">
        <f t="array" ref="R187">INT(SUMPRODUCT(--ISNUMBER(SEARCH(race,C187)))&gt;0)</f>
        <v>0</v>
      </c>
      <c r="S187" s="14" cm="1">
        <f t="array" ref="S187">INT(SUMPRODUCT(--ISNUMBER(SEARCH(immigration,C187)))&gt;0)</f>
        <v>0</v>
      </c>
      <c r="T187" s="14" cm="1">
        <f t="array" ref="T187">INT(SUMPRODUCT(--ISNUMBER(SEARCH(econineq,C188)))&gt;0)</f>
        <v>0</v>
      </c>
      <c r="U187" s="14" cm="1">
        <f t="array" ref="U187">INT(SUMPRODUCT(--ISNUMBER(SEARCH(climate,C187)))&gt;0)</f>
        <v>0</v>
      </c>
      <c r="V187" s="14" cm="1">
        <f t="array" ref="V187">INT(SUMPRODUCT(--ISNUMBER(SEARCH(abortion,C187)))&gt;0)</f>
        <v>0</v>
      </c>
      <c r="W187" s="14" cm="1">
        <f t="array" ref="W187">INT(SUMPRODUCT(--ISNUMBER(SEARCH(trump,C187)))&gt;0)</f>
        <v>0</v>
      </c>
      <c r="X187" s="14" cm="1">
        <f t="array" ref="X187">INT(SUMPRODUCT(--ISNUMBER(SEARCH(voting,C187)))&gt;0)</f>
        <v>0</v>
      </c>
      <c r="Y187" s="14" cm="1">
        <f t="array" ref="Y187">INT(SUMPRODUCT(--ISNUMBER(SEARCH(republicantrigger,C187)))&gt;0)</f>
        <v>0</v>
      </c>
      <c r="Z187" s="14" cm="1">
        <f t="array" ref="Z187">INT(SUMPRODUCT(--ISNUMBER(SEARCH(bipartisan,C187)))&gt;0)</f>
        <v>0</v>
      </c>
      <c r="AA187" s="14">
        <f t="shared" si="2"/>
        <v>1</v>
      </c>
      <c r="AB187" s="14"/>
      <c r="AC187" s="30">
        <v>0</v>
      </c>
      <c r="AD187" s="37">
        <v>1</v>
      </c>
    </row>
    <row r="188" spans="1:30" x14ac:dyDescent="0.25">
      <c r="A188" s="36">
        <v>953</v>
      </c>
      <c r="B188" s="14" t="s">
        <v>1933</v>
      </c>
      <c r="C188" s="14" t="s">
        <v>1934</v>
      </c>
      <c r="D188" s="17">
        <v>44110</v>
      </c>
      <c r="E188" s="14" t="s">
        <v>30</v>
      </c>
      <c r="F188" s="14">
        <v>57</v>
      </c>
      <c r="G188" s="14">
        <v>22</v>
      </c>
      <c r="H188" s="14">
        <v>5</v>
      </c>
      <c r="I188" s="14">
        <v>3</v>
      </c>
      <c r="J188" s="14" t="s">
        <v>31</v>
      </c>
      <c r="K188" s="14" cm="1">
        <f t="array" ref="K188">INT(SUMPRODUCT(--ISNUMBER(SEARCH(economy,C188)))&gt;0)</f>
        <v>0</v>
      </c>
      <c r="L188" s="14" cm="1">
        <f t="array" ref="L188">INT(SUMPRODUCT(--ISNUMBER(SEARCH(healthcare,C188)))&gt;0)</f>
        <v>0</v>
      </c>
      <c r="M188" s="14" cm="1">
        <f t="array" ref="M188">INT(SUMPRODUCT(--ISNUMBER(SEARCH(supreme,C188)))&gt;0)</f>
        <v>0</v>
      </c>
      <c r="N188" s="14" cm="1">
        <f t="array" ref="N188">INT(SUMPRODUCT(--ISNUMBER(SEARCH(covid,C188)))&gt;0)</f>
        <v>0</v>
      </c>
      <c r="O188" s="14" cm="1">
        <f t="array" ref="O188">INT(SUMPRODUCT(--ISNUMBER(SEARCH(violent,C188)))&gt;0)</f>
        <v>0</v>
      </c>
      <c r="P188" s="14" cm="1">
        <f t="array" ref="P188">INT(SUMPRODUCT(--ISNUMBER(SEARCH(foreign,C188)))&gt;0)</f>
        <v>0</v>
      </c>
      <c r="Q188" s="14" cm="1">
        <f t="array" ref="Q188">INT(SUMPRODUCT(--ISNUMBER(SEARCH(gun,C188)))&gt;0)</f>
        <v>0</v>
      </c>
      <c r="R188" s="14" cm="1">
        <f t="array" ref="R188">INT(SUMPRODUCT(--ISNUMBER(SEARCH(race,C188)))&gt;0)</f>
        <v>0</v>
      </c>
      <c r="S188" s="14" cm="1">
        <f t="array" ref="S188">INT(SUMPRODUCT(--ISNUMBER(SEARCH(immigration,C188)))&gt;0)</f>
        <v>0</v>
      </c>
      <c r="T188" s="14" cm="1">
        <f t="array" ref="T188">INT(SUMPRODUCT(--ISNUMBER(SEARCH(econineq,C189)))&gt;0)</f>
        <v>0</v>
      </c>
      <c r="U188" s="14" cm="1">
        <f t="array" ref="U188">INT(SUMPRODUCT(--ISNUMBER(SEARCH(climate,C188)))&gt;0)</f>
        <v>0</v>
      </c>
      <c r="V188" s="14" cm="1">
        <f t="array" ref="V188">INT(SUMPRODUCT(--ISNUMBER(SEARCH(abortion,C188)))&gt;0)</f>
        <v>0</v>
      </c>
      <c r="W188" s="14" cm="1">
        <f t="array" ref="W188">INT(SUMPRODUCT(--ISNUMBER(SEARCH(trump,C188)))&gt;0)</f>
        <v>0</v>
      </c>
      <c r="X188" s="14" cm="1">
        <f t="array" ref="X188">INT(SUMPRODUCT(--ISNUMBER(SEARCH(voting,C188)))&gt;0)</f>
        <v>1</v>
      </c>
      <c r="Y188" s="14" cm="1">
        <f t="array" ref="Y188">INT(SUMPRODUCT(--ISNUMBER(SEARCH(republicantrigger,C188)))&gt;0)</f>
        <v>1</v>
      </c>
      <c r="Z188" s="14" cm="1">
        <f t="array" ref="Z188">INT(SUMPRODUCT(--ISNUMBER(SEARCH(bipartisan,C188)))&gt;0)</f>
        <v>0</v>
      </c>
      <c r="AA188" s="14">
        <f t="shared" si="2"/>
        <v>0</v>
      </c>
      <c r="AB188" s="14"/>
      <c r="AC188" s="30">
        <v>0</v>
      </c>
      <c r="AD188" s="37">
        <v>1</v>
      </c>
    </row>
    <row r="189" spans="1:30" x14ac:dyDescent="0.25">
      <c r="A189" s="36">
        <v>954</v>
      </c>
      <c r="B189" s="14" t="s">
        <v>1935</v>
      </c>
      <c r="C189" s="14" t="s">
        <v>1936</v>
      </c>
      <c r="D189" s="17">
        <v>44110</v>
      </c>
      <c r="E189" s="14" t="s">
        <v>30</v>
      </c>
      <c r="F189" s="14">
        <v>49</v>
      </c>
      <c r="G189" s="14">
        <v>28</v>
      </c>
      <c r="H189" s="14">
        <v>5</v>
      </c>
      <c r="I189" s="14">
        <v>3</v>
      </c>
      <c r="J189" s="14" t="s">
        <v>31</v>
      </c>
      <c r="K189" s="14" cm="1">
        <f t="array" ref="K189">INT(SUMPRODUCT(--ISNUMBER(SEARCH(economy,C189)))&gt;0)</f>
        <v>0</v>
      </c>
      <c r="L189" s="14" cm="1">
        <f t="array" ref="L189">INT(SUMPRODUCT(--ISNUMBER(SEARCH(healthcare,C189)))&gt;0)</f>
        <v>1</v>
      </c>
      <c r="M189" s="14" cm="1">
        <f t="array" ref="M189">INT(SUMPRODUCT(--ISNUMBER(SEARCH(supreme,C189)))&gt;0)</f>
        <v>0</v>
      </c>
      <c r="N189" s="14" cm="1">
        <f t="array" ref="N189">INT(SUMPRODUCT(--ISNUMBER(SEARCH(covid,C189)))&gt;0)</f>
        <v>0</v>
      </c>
      <c r="O189" s="14" cm="1">
        <f t="array" ref="O189">INT(SUMPRODUCT(--ISNUMBER(SEARCH(violent,C189)))&gt;0)</f>
        <v>0</v>
      </c>
      <c r="P189" s="14" cm="1">
        <f t="array" ref="P189">INT(SUMPRODUCT(--ISNUMBER(SEARCH(foreign,C189)))&gt;0)</f>
        <v>0</v>
      </c>
      <c r="Q189" s="14" cm="1">
        <f t="array" ref="Q189">INT(SUMPRODUCT(--ISNUMBER(SEARCH(gun,C189)))&gt;0)</f>
        <v>0</v>
      </c>
      <c r="R189" s="14" cm="1">
        <f t="array" ref="R189">INT(SUMPRODUCT(--ISNUMBER(SEARCH(race,C189)))&gt;0)</f>
        <v>0</v>
      </c>
      <c r="S189" s="14" cm="1">
        <f t="array" ref="S189">INT(SUMPRODUCT(--ISNUMBER(SEARCH(immigration,C189)))&gt;0)</f>
        <v>0</v>
      </c>
      <c r="T189" s="14" cm="1">
        <f t="array" ref="T189">INT(SUMPRODUCT(--ISNUMBER(SEARCH(econineq,C190)))&gt;0)</f>
        <v>0</v>
      </c>
      <c r="U189" s="14" cm="1">
        <f t="array" ref="U189">INT(SUMPRODUCT(--ISNUMBER(SEARCH(climate,C189)))&gt;0)</f>
        <v>0</v>
      </c>
      <c r="V189" s="14" cm="1">
        <f t="array" ref="V189">INT(SUMPRODUCT(--ISNUMBER(SEARCH(abortion,C189)))&gt;0)</f>
        <v>0</v>
      </c>
      <c r="W189" s="14" cm="1">
        <f t="array" ref="W189">INT(SUMPRODUCT(--ISNUMBER(SEARCH(trump,C189)))&gt;0)</f>
        <v>0</v>
      </c>
      <c r="X189" s="14" cm="1">
        <f t="array" ref="X189">INT(SUMPRODUCT(--ISNUMBER(SEARCH(voting,C189)))&gt;0)</f>
        <v>0</v>
      </c>
      <c r="Y189" s="14" cm="1">
        <f t="array" ref="Y189">INT(SUMPRODUCT(--ISNUMBER(SEARCH(republicantrigger,C189)))&gt;0)</f>
        <v>1</v>
      </c>
      <c r="Z189" s="14" cm="1">
        <f t="array" ref="Z189">INT(SUMPRODUCT(--ISNUMBER(SEARCH(bipartisan,C189)))&gt;0)</f>
        <v>0</v>
      </c>
      <c r="AA189" s="14">
        <f t="shared" si="2"/>
        <v>0</v>
      </c>
      <c r="AB189" s="14"/>
      <c r="AC189" s="30">
        <v>1</v>
      </c>
      <c r="AD189" s="37">
        <v>0</v>
      </c>
    </row>
    <row r="190" spans="1:30" x14ac:dyDescent="0.25">
      <c r="A190" s="36">
        <v>955</v>
      </c>
      <c r="B190" s="14" t="s">
        <v>1937</v>
      </c>
      <c r="C190" s="14" t="s">
        <v>1938</v>
      </c>
      <c r="D190" s="17">
        <v>44110</v>
      </c>
      <c r="E190" s="14" t="s">
        <v>30</v>
      </c>
      <c r="F190" s="14">
        <v>198</v>
      </c>
      <c r="G190" s="14">
        <v>47</v>
      </c>
      <c r="H190" s="14">
        <v>5</v>
      </c>
      <c r="I190" s="14">
        <v>3</v>
      </c>
      <c r="J190" s="14" t="s">
        <v>31</v>
      </c>
      <c r="K190" s="14" cm="1">
        <f t="array" ref="K190">INT(SUMPRODUCT(--ISNUMBER(SEARCH(economy,C190)))&gt;0)</f>
        <v>0</v>
      </c>
      <c r="L190" s="14" cm="1">
        <f t="array" ref="L190">INT(SUMPRODUCT(--ISNUMBER(SEARCH(healthcare,C190)))&gt;0)</f>
        <v>0</v>
      </c>
      <c r="M190" s="14" cm="1">
        <f t="array" ref="M190">INT(SUMPRODUCT(--ISNUMBER(SEARCH(supreme,C190)))&gt;0)</f>
        <v>0</v>
      </c>
      <c r="N190" s="14" cm="1">
        <f t="array" ref="N190">INT(SUMPRODUCT(--ISNUMBER(SEARCH(covid,C190)))&gt;0)</f>
        <v>0</v>
      </c>
      <c r="O190" s="14" cm="1">
        <f t="array" ref="O190">INT(SUMPRODUCT(--ISNUMBER(SEARCH(violent,C190)))&gt;0)</f>
        <v>1</v>
      </c>
      <c r="P190" s="14" cm="1">
        <f t="array" ref="P190">INT(SUMPRODUCT(--ISNUMBER(SEARCH(foreign,C190)))&gt;0)</f>
        <v>0</v>
      </c>
      <c r="Q190" s="14" cm="1">
        <f t="array" ref="Q190">INT(SUMPRODUCT(--ISNUMBER(SEARCH(gun,C190)))&gt;0)</f>
        <v>0</v>
      </c>
      <c r="R190" s="14" cm="1">
        <f t="array" ref="R190">INT(SUMPRODUCT(--ISNUMBER(SEARCH(race,C190)))&gt;0)</f>
        <v>0</v>
      </c>
      <c r="S190" s="14" cm="1">
        <f t="array" ref="S190">INT(SUMPRODUCT(--ISNUMBER(SEARCH(immigration,C190)))&gt;0)</f>
        <v>0</v>
      </c>
      <c r="T190" s="14" cm="1">
        <f t="array" ref="T190">INT(SUMPRODUCT(--ISNUMBER(SEARCH(econineq,C191)))&gt;0)</f>
        <v>0</v>
      </c>
      <c r="U190" s="14" cm="1">
        <f t="array" ref="U190">INT(SUMPRODUCT(--ISNUMBER(SEARCH(climate,C190)))&gt;0)</f>
        <v>0</v>
      </c>
      <c r="V190" s="14" cm="1">
        <f t="array" ref="V190">INT(SUMPRODUCT(--ISNUMBER(SEARCH(abortion,C190)))&gt;0)</f>
        <v>0</v>
      </c>
      <c r="W190" s="14" cm="1">
        <f t="array" ref="W190">INT(SUMPRODUCT(--ISNUMBER(SEARCH(trump,C190)))&gt;0)</f>
        <v>0</v>
      </c>
      <c r="X190" s="14" cm="1">
        <f t="array" ref="X190">INT(SUMPRODUCT(--ISNUMBER(SEARCH(voting,C190)))&gt;0)</f>
        <v>0</v>
      </c>
      <c r="Y190" s="14" cm="1">
        <f t="array" ref="Y190">INT(SUMPRODUCT(--ISNUMBER(SEARCH(republicantrigger,C190)))&gt;0)</f>
        <v>0</v>
      </c>
      <c r="Z190" s="14" cm="1">
        <f t="array" ref="Z190">INT(SUMPRODUCT(--ISNUMBER(SEARCH(bipartisan,C190)))&gt;0)</f>
        <v>0</v>
      </c>
      <c r="AA190" s="14">
        <f t="shared" si="2"/>
        <v>0</v>
      </c>
      <c r="AB190" s="14"/>
      <c r="AC190" s="30" t="s">
        <v>223</v>
      </c>
      <c r="AD190" s="37" t="s">
        <v>223</v>
      </c>
    </row>
    <row r="191" spans="1:30" x14ac:dyDescent="0.25">
      <c r="A191" s="36">
        <v>956</v>
      </c>
      <c r="B191" s="14" t="s">
        <v>1939</v>
      </c>
      <c r="C191" s="14" t="s">
        <v>1940</v>
      </c>
      <c r="D191" s="17">
        <v>44110</v>
      </c>
      <c r="E191" s="14" t="s">
        <v>30</v>
      </c>
      <c r="F191" s="14">
        <v>95</v>
      </c>
      <c r="G191" s="14">
        <v>28</v>
      </c>
      <c r="H191" s="14">
        <v>5</v>
      </c>
      <c r="I191" s="14">
        <v>3</v>
      </c>
      <c r="J191" s="14" t="s">
        <v>31</v>
      </c>
      <c r="K191" s="14" cm="1">
        <f t="array" ref="K191">INT(SUMPRODUCT(--ISNUMBER(SEARCH(economy,C191)))&gt;0)</f>
        <v>0</v>
      </c>
      <c r="L191" s="14" cm="1">
        <f t="array" ref="L191">INT(SUMPRODUCT(--ISNUMBER(SEARCH(healthcare,C191)))&gt;0)</f>
        <v>0</v>
      </c>
      <c r="M191" s="14" cm="1">
        <f t="array" ref="M191">INT(SUMPRODUCT(--ISNUMBER(SEARCH(supreme,C191)))&gt;0)</f>
        <v>0</v>
      </c>
      <c r="N191" s="14" cm="1">
        <f t="array" ref="N191">INT(SUMPRODUCT(--ISNUMBER(SEARCH(covid,C191)))&gt;0)</f>
        <v>0</v>
      </c>
      <c r="O191" s="14" cm="1">
        <f t="array" ref="O191">INT(SUMPRODUCT(--ISNUMBER(SEARCH(violent,C191)))&gt;0)</f>
        <v>0</v>
      </c>
      <c r="P191" s="14" cm="1">
        <f t="array" ref="P191">INT(SUMPRODUCT(--ISNUMBER(SEARCH(foreign,C191)))&gt;0)</f>
        <v>0</v>
      </c>
      <c r="Q191" s="14" cm="1">
        <f t="array" ref="Q191">INT(SUMPRODUCT(--ISNUMBER(SEARCH(gun,C191)))&gt;0)</f>
        <v>0</v>
      </c>
      <c r="R191" s="14" cm="1">
        <f t="array" ref="R191">INT(SUMPRODUCT(--ISNUMBER(SEARCH(race,C191)))&gt;0)</f>
        <v>0</v>
      </c>
      <c r="S191" s="14" cm="1">
        <f t="array" ref="S191">INT(SUMPRODUCT(--ISNUMBER(SEARCH(immigration,C191)))&gt;0)</f>
        <v>0</v>
      </c>
      <c r="T191" s="14" cm="1">
        <f t="array" ref="T191">INT(SUMPRODUCT(--ISNUMBER(SEARCH(econineq,C192)))&gt;0)</f>
        <v>0</v>
      </c>
      <c r="U191" s="14" cm="1">
        <f t="array" ref="U191">INT(SUMPRODUCT(--ISNUMBER(SEARCH(climate,C191)))&gt;0)</f>
        <v>0</v>
      </c>
      <c r="V191" s="14" cm="1">
        <f t="array" ref="V191">INT(SUMPRODUCT(--ISNUMBER(SEARCH(abortion,C191)))&gt;0)</f>
        <v>0</v>
      </c>
      <c r="W191" s="14" cm="1">
        <f t="array" ref="W191">INT(SUMPRODUCT(--ISNUMBER(SEARCH(trump,C191)))&gt;0)</f>
        <v>0</v>
      </c>
      <c r="X191" s="14" cm="1">
        <f t="array" ref="X191">INT(SUMPRODUCT(--ISNUMBER(SEARCH(voting,C191)))&gt;0)</f>
        <v>0</v>
      </c>
      <c r="Y191" s="14" cm="1">
        <f t="array" ref="Y191">INT(SUMPRODUCT(--ISNUMBER(SEARCH(republicantrigger,C191)))&gt;0)</f>
        <v>0</v>
      </c>
      <c r="Z191" s="14" cm="1">
        <f t="array" ref="Z191">INT(SUMPRODUCT(--ISNUMBER(SEARCH(bipartisan,C191)))&gt;0)</f>
        <v>0</v>
      </c>
      <c r="AA191" s="14">
        <f t="shared" si="2"/>
        <v>1</v>
      </c>
      <c r="AB191" s="14"/>
      <c r="AC191" s="30" t="s">
        <v>223</v>
      </c>
      <c r="AD191" s="37" t="s">
        <v>223</v>
      </c>
    </row>
    <row r="192" spans="1:30" x14ac:dyDescent="0.25">
      <c r="A192" s="36">
        <v>957</v>
      </c>
      <c r="B192" s="14" t="s">
        <v>1941</v>
      </c>
      <c r="C192" s="14" t="s">
        <v>1942</v>
      </c>
      <c r="D192" s="17">
        <v>44110</v>
      </c>
      <c r="E192" s="14" t="s">
        <v>30</v>
      </c>
      <c r="F192" s="14">
        <v>62</v>
      </c>
      <c r="G192" s="14">
        <v>16</v>
      </c>
      <c r="H192" s="14">
        <v>5</v>
      </c>
      <c r="I192" s="14">
        <v>3</v>
      </c>
      <c r="J192" s="14" t="s">
        <v>31</v>
      </c>
      <c r="K192" s="14" cm="1">
        <f t="array" ref="K192">INT(SUMPRODUCT(--ISNUMBER(SEARCH(economy,C192)))&gt;0)</f>
        <v>0</v>
      </c>
      <c r="L192" s="14" cm="1">
        <f t="array" ref="L192">INT(SUMPRODUCT(--ISNUMBER(SEARCH(healthcare,C192)))&gt;0)</f>
        <v>0</v>
      </c>
      <c r="M192" s="14" cm="1">
        <f t="array" ref="M192">INT(SUMPRODUCT(--ISNUMBER(SEARCH(supreme,C192)))&gt;0)</f>
        <v>0</v>
      </c>
      <c r="N192" s="14" cm="1">
        <f t="array" ref="N192">INT(SUMPRODUCT(--ISNUMBER(SEARCH(covid,C192)))&gt;0)</f>
        <v>0</v>
      </c>
      <c r="O192" s="14" cm="1">
        <f t="array" ref="O192">INT(SUMPRODUCT(--ISNUMBER(SEARCH(violent,C192)))&gt;0)</f>
        <v>0</v>
      </c>
      <c r="P192" s="14" cm="1">
        <f t="array" ref="P192">INT(SUMPRODUCT(--ISNUMBER(SEARCH(foreign,C192)))&gt;0)</f>
        <v>0</v>
      </c>
      <c r="Q192" s="14" cm="1">
        <f t="array" ref="Q192">INT(SUMPRODUCT(--ISNUMBER(SEARCH(gun,C192)))&gt;0)</f>
        <v>0</v>
      </c>
      <c r="R192" s="14" cm="1">
        <f t="array" ref="R192">INT(SUMPRODUCT(--ISNUMBER(SEARCH(race,C192)))&gt;0)</f>
        <v>0</v>
      </c>
      <c r="S192" s="14" cm="1">
        <f t="array" ref="S192">INT(SUMPRODUCT(--ISNUMBER(SEARCH(immigration,C192)))&gt;0)</f>
        <v>0</v>
      </c>
      <c r="T192" s="14" cm="1">
        <f t="array" ref="T192">INT(SUMPRODUCT(--ISNUMBER(SEARCH(econineq,C193)))&gt;0)</f>
        <v>0</v>
      </c>
      <c r="U192" s="14" cm="1">
        <f t="array" ref="U192">INT(SUMPRODUCT(--ISNUMBER(SEARCH(climate,C192)))&gt;0)</f>
        <v>0</v>
      </c>
      <c r="V192" s="14" cm="1">
        <f t="array" ref="V192">INT(SUMPRODUCT(--ISNUMBER(SEARCH(abortion,C192)))&gt;0)</f>
        <v>0</v>
      </c>
      <c r="W192" s="14" cm="1">
        <f t="array" ref="W192">INT(SUMPRODUCT(--ISNUMBER(SEARCH(trump,C192)))&gt;0)</f>
        <v>0</v>
      </c>
      <c r="X192" s="14" cm="1">
        <f t="array" ref="X192">INT(SUMPRODUCT(--ISNUMBER(SEARCH(voting,C192)))&gt;0)</f>
        <v>0</v>
      </c>
      <c r="Y192" s="14" cm="1">
        <f t="array" ref="Y192">INT(SUMPRODUCT(--ISNUMBER(SEARCH(republicantrigger,C192)))&gt;0)</f>
        <v>0</v>
      </c>
      <c r="Z192" s="14" cm="1">
        <f t="array" ref="Z192">INT(SUMPRODUCT(--ISNUMBER(SEARCH(bipartisan,C192)))&gt;0)</f>
        <v>0</v>
      </c>
      <c r="AA192" s="14">
        <f t="shared" si="2"/>
        <v>1</v>
      </c>
      <c r="AB192" s="14"/>
      <c r="AC192" s="30" t="s">
        <v>223</v>
      </c>
      <c r="AD192" s="37" t="s">
        <v>223</v>
      </c>
    </row>
    <row r="193" spans="1:30" x14ac:dyDescent="0.25">
      <c r="A193" s="36">
        <v>958</v>
      </c>
      <c r="B193" s="14" t="s">
        <v>1943</v>
      </c>
      <c r="C193" s="14" t="s">
        <v>1944</v>
      </c>
      <c r="D193" s="17">
        <v>44109</v>
      </c>
      <c r="E193" s="14" t="s">
        <v>30</v>
      </c>
      <c r="F193" s="14">
        <v>266</v>
      </c>
      <c r="G193" s="14">
        <v>63</v>
      </c>
      <c r="H193" s="14">
        <v>5</v>
      </c>
      <c r="I193" s="14">
        <v>3</v>
      </c>
      <c r="J193" s="14" t="s">
        <v>31</v>
      </c>
      <c r="K193" s="14" cm="1">
        <f t="array" ref="K193">INT(SUMPRODUCT(--ISNUMBER(SEARCH(economy,C193)))&gt;0)</f>
        <v>0</v>
      </c>
      <c r="L193" s="14" cm="1">
        <f t="array" ref="L193">INT(SUMPRODUCT(--ISNUMBER(SEARCH(healthcare,C193)))&gt;0)</f>
        <v>0</v>
      </c>
      <c r="M193" s="14" cm="1">
        <f t="array" ref="M193">INT(SUMPRODUCT(--ISNUMBER(SEARCH(supreme,C193)))&gt;0)</f>
        <v>1</v>
      </c>
      <c r="N193" s="14" cm="1">
        <f t="array" ref="N193">INT(SUMPRODUCT(--ISNUMBER(SEARCH(covid,C193)))&gt;0)</f>
        <v>0</v>
      </c>
      <c r="O193" s="14" cm="1">
        <f t="array" ref="O193">INT(SUMPRODUCT(--ISNUMBER(SEARCH(violent,C193)))&gt;0)</f>
        <v>0</v>
      </c>
      <c r="P193" s="14" cm="1">
        <f t="array" ref="P193">INT(SUMPRODUCT(--ISNUMBER(SEARCH(foreign,C193)))&gt;0)</f>
        <v>0</v>
      </c>
      <c r="Q193" s="14" cm="1">
        <f t="array" ref="Q193">INT(SUMPRODUCT(--ISNUMBER(SEARCH(gun,C193)))&gt;0)</f>
        <v>0</v>
      </c>
      <c r="R193" s="14" cm="1">
        <f t="array" ref="R193">INT(SUMPRODUCT(--ISNUMBER(SEARCH(race,C193)))&gt;0)</f>
        <v>0</v>
      </c>
      <c r="S193" s="14" cm="1">
        <f t="array" ref="S193">INT(SUMPRODUCT(--ISNUMBER(SEARCH(immigration,C193)))&gt;0)</f>
        <v>0</v>
      </c>
      <c r="T193" s="14" cm="1">
        <f t="array" ref="T193">INT(SUMPRODUCT(--ISNUMBER(SEARCH(econineq,C194)))&gt;0)</f>
        <v>0</v>
      </c>
      <c r="U193" s="14" cm="1">
        <f t="array" ref="U193">INT(SUMPRODUCT(--ISNUMBER(SEARCH(climate,C193)))&gt;0)</f>
        <v>0</v>
      </c>
      <c r="V193" s="14" cm="1">
        <f t="array" ref="V193">INT(SUMPRODUCT(--ISNUMBER(SEARCH(abortion,C193)))&gt;0)</f>
        <v>0</v>
      </c>
      <c r="W193" s="14" cm="1">
        <f t="array" ref="W193">INT(SUMPRODUCT(--ISNUMBER(SEARCH(trump,C193)))&gt;0)</f>
        <v>0</v>
      </c>
      <c r="X193" s="14" cm="1">
        <f t="array" ref="X193">INT(SUMPRODUCT(--ISNUMBER(SEARCH(voting,C193)))&gt;0)</f>
        <v>0</v>
      </c>
      <c r="Y193" s="14" cm="1">
        <f t="array" ref="Y193">INT(SUMPRODUCT(--ISNUMBER(SEARCH(republicantrigger,C193)))&gt;0)</f>
        <v>0</v>
      </c>
      <c r="Z193" s="14" cm="1">
        <f t="array" ref="Z193">INT(SUMPRODUCT(--ISNUMBER(SEARCH(bipartisan,C193)))&gt;0)</f>
        <v>0</v>
      </c>
      <c r="AA193" s="14">
        <f t="shared" si="2"/>
        <v>0</v>
      </c>
      <c r="AB193" s="14"/>
      <c r="AC193" s="30" t="s">
        <v>223</v>
      </c>
      <c r="AD193" s="37" t="s">
        <v>223</v>
      </c>
    </row>
    <row r="194" spans="1:30" x14ac:dyDescent="0.25">
      <c r="A194" s="36">
        <v>959</v>
      </c>
      <c r="B194" s="14" t="s">
        <v>1945</v>
      </c>
      <c r="C194" s="14" t="s">
        <v>1946</v>
      </c>
      <c r="D194" s="17">
        <v>44109</v>
      </c>
      <c r="E194" s="14" t="s">
        <v>30</v>
      </c>
      <c r="F194" s="14">
        <v>144</v>
      </c>
      <c r="G194" s="14">
        <v>54</v>
      </c>
      <c r="H194" s="14">
        <v>5</v>
      </c>
      <c r="I194" s="14">
        <v>3</v>
      </c>
      <c r="J194" s="14" t="s">
        <v>31</v>
      </c>
      <c r="K194" s="14" cm="1">
        <f t="array" ref="K194">INT(SUMPRODUCT(--ISNUMBER(SEARCH(economy,C194)))&gt;0)</f>
        <v>1</v>
      </c>
      <c r="L194" s="14" cm="1">
        <f t="array" ref="L194">INT(SUMPRODUCT(--ISNUMBER(SEARCH(healthcare,C194)))&gt;0)</f>
        <v>0</v>
      </c>
      <c r="M194" s="14" cm="1">
        <f t="array" ref="M194">INT(SUMPRODUCT(--ISNUMBER(SEARCH(supreme,C194)))&gt;0)</f>
        <v>0</v>
      </c>
      <c r="N194" s="14" cm="1">
        <f t="array" ref="N194">INT(SUMPRODUCT(--ISNUMBER(SEARCH(covid,C194)))&gt;0)</f>
        <v>0</v>
      </c>
      <c r="O194" s="14" cm="1">
        <f t="array" ref="O194">INT(SUMPRODUCT(--ISNUMBER(SEARCH(violent,C194)))&gt;0)</f>
        <v>0</v>
      </c>
      <c r="P194" s="14" cm="1">
        <f t="array" ref="P194">INT(SUMPRODUCT(--ISNUMBER(SEARCH(foreign,C194)))&gt;0)</f>
        <v>0</v>
      </c>
      <c r="Q194" s="14" cm="1">
        <f t="array" ref="Q194">INT(SUMPRODUCT(--ISNUMBER(SEARCH(gun,C194)))&gt;0)</f>
        <v>0</v>
      </c>
      <c r="R194" s="14" cm="1">
        <f t="array" ref="R194">INT(SUMPRODUCT(--ISNUMBER(SEARCH(race,C194)))&gt;0)</f>
        <v>0</v>
      </c>
      <c r="S194" s="14" cm="1">
        <f t="array" ref="S194">INT(SUMPRODUCT(--ISNUMBER(SEARCH(immigration,C194)))&gt;0)</f>
        <v>0</v>
      </c>
      <c r="T194" s="14" cm="1">
        <f t="array" ref="T194">INT(SUMPRODUCT(--ISNUMBER(SEARCH(econineq,C195)))&gt;0)</f>
        <v>0</v>
      </c>
      <c r="U194" s="14" cm="1">
        <f t="array" ref="U194">INT(SUMPRODUCT(--ISNUMBER(SEARCH(climate,C194)))&gt;0)</f>
        <v>0</v>
      </c>
      <c r="V194" s="14" cm="1">
        <f t="array" ref="V194">INT(SUMPRODUCT(--ISNUMBER(SEARCH(abortion,C194)))&gt;0)</f>
        <v>0</v>
      </c>
      <c r="W194" s="14" cm="1">
        <f t="array" ref="W194">INT(SUMPRODUCT(--ISNUMBER(SEARCH(trump,C194)))&gt;0)</f>
        <v>0</v>
      </c>
      <c r="X194" s="14" cm="1">
        <f t="array" ref="X194">INT(SUMPRODUCT(--ISNUMBER(SEARCH(voting,C194)))&gt;0)</f>
        <v>1</v>
      </c>
      <c r="Y194" s="14" cm="1">
        <f t="array" ref="Y194">INT(SUMPRODUCT(--ISNUMBER(SEARCH(republicantrigger,C194)))&gt;0)</f>
        <v>1</v>
      </c>
      <c r="Z194" s="14" cm="1">
        <f t="array" ref="Z194">INT(SUMPRODUCT(--ISNUMBER(SEARCH(bipartisan,C194)))&gt;0)</f>
        <v>0</v>
      </c>
      <c r="AA194" s="14">
        <f t="shared" si="2"/>
        <v>0</v>
      </c>
      <c r="AB194" s="14"/>
      <c r="AC194" s="30">
        <v>0</v>
      </c>
      <c r="AD194" s="37">
        <v>1</v>
      </c>
    </row>
    <row r="195" spans="1:30" x14ac:dyDescent="0.25">
      <c r="A195" s="36">
        <v>960</v>
      </c>
      <c r="B195" s="14" t="s">
        <v>1947</v>
      </c>
      <c r="C195" s="14" t="s">
        <v>1948</v>
      </c>
      <c r="D195" s="17">
        <v>44109</v>
      </c>
      <c r="E195" s="14" t="s">
        <v>30</v>
      </c>
      <c r="F195" s="14">
        <v>123</v>
      </c>
      <c r="G195" s="14">
        <v>41</v>
      </c>
      <c r="H195" s="14">
        <v>5</v>
      </c>
      <c r="I195" s="14">
        <v>3</v>
      </c>
      <c r="J195" s="14" t="s">
        <v>31</v>
      </c>
      <c r="K195" s="14" cm="1">
        <f t="array" ref="K195">INT(SUMPRODUCT(--ISNUMBER(SEARCH(economy,C195)))&gt;0)</f>
        <v>0</v>
      </c>
      <c r="L195" s="14" cm="1">
        <f t="array" ref="L195">INT(SUMPRODUCT(--ISNUMBER(SEARCH(healthcare,C195)))&gt;0)</f>
        <v>0</v>
      </c>
      <c r="M195" s="14" cm="1">
        <f t="array" ref="M195">INT(SUMPRODUCT(--ISNUMBER(SEARCH(supreme,C195)))&gt;0)</f>
        <v>0</v>
      </c>
      <c r="N195" s="14" cm="1">
        <f t="array" ref="N195">INT(SUMPRODUCT(--ISNUMBER(SEARCH(covid,C195)))&gt;0)</f>
        <v>0</v>
      </c>
      <c r="O195" s="14" cm="1">
        <f t="array" ref="O195">INT(SUMPRODUCT(--ISNUMBER(SEARCH(violent,C195)))&gt;0)</f>
        <v>0</v>
      </c>
      <c r="P195" s="14" cm="1">
        <f t="array" ref="P195">INT(SUMPRODUCT(--ISNUMBER(SEARCH(foreign,C195)))&gt;0)</f>
        <v>0</v>
      </c>
      <c r="Q195" s="14" cm="1">
        <f t="array" ref="Q195">INT(SUMPRODUCT(--ISNUMBER(SEARCH(gun,C195)))&gt;0)</f>
        <v>0</v>
      </c>
      <c r="R195" s="14" cm="1">
        <f t="array" ref="R195">INT(SUMPRODUCT(--ISNUMBER(SEARCH(race,C195)))&gt;0)</f>
        <v>0</v>
      </c>
      <c r="S195" s="14" cm="1">
        <f t="array" ref="S195">INT(SUMPRODUCT(--ISNUMBER(SEARCH(immigration,C195)))&gt;0)</f>
        <v>0</v>
      </c>
      <c r="T195" s="14" cm="1">
        <f t="array" ref="T195">INT(SUMPRODUCT(--ISNUMBER(SEARCH(econineq,C196)))&gt;0)</f>
        <v>0</v>
      </c>
      <c r="U195" s="14" cm="1">
        <f t="array" ref="U195">INT(SUMPRODUCT(--ISNUMBER(SEARCH(climate,C195)))&gt;0)</f>
        <v>0</v>
      </c>
      <c r="V195" s="14" cm="1">
        <f t="array" ref="V195">INT(SUMPRODUCT(--ISNUMBER(SEARCH(abortion,C195)))&gt;0)</f>
        <v>0</v>
      </c>
      <c r="W195" s="14" cm="1">
        <f t="array" ref="W195">INT(SUMPRODUCT(--ISNUMBER(SEARCH(trump,C195)))&gt;0)</f>
        <v>1</v>
      </c>
      <c r="X195" s="14" cm="1">
        <f t="array" ref="X195">INT(SUMPRODUCT(--ISNUMBER(SEARCH(voting,C195)))&gt;0)</f>
        <v>1</v>
      </c>
      <c r="Y195" s="14" cm="1">
        <f t="array" ref="Y195">INT(SUMPRODUCT(--ISNUMBER(SEARCH(republicantrigger,C195)))&gt;0)</f>
        <v>0</v>
      </c>
      <c r="Z195" s="14" cm="1">
        <f t="array" ref="Z195">INT(SUMPRODUCT(--ISNUMBER(SEARCH(bipartisan,C195)))&gt;0)</f>
        <v>0</v>
      </c>
      <c r="AA195" s="14">
        <f t="shared" ref="AA195:AA221" si="3">INT(IF(COUNTIF(K195:Z195,1)=0,"1","0"))</f>
        <v>0</v>
      </c>
      <c r="AB195" s="14"/>
      <c r="AC195" s="30">
        <v>0</v>
      </c>
      <c r="AD195" s="37">
        <v>1</v>
      </c>
    </row>
    <row r="196" spans="1:30" x14ac:dyDescent="0.25">
      <c r="A196" s="36">
        <v>961</v>
      </c>
      <c r="B196" s="14" t="s">
        <v>1949</v>
      </c>
      <c r="C196" s="14" t="s">
        <v>1950</v>
      </c>
      <c r="D196" s="17">
        <v>44108</v>
      </c>
      <c r="E196" s="14" t="s">
        <v>30</v>
      </c>
      <c r="F196" s="14">
        <v>1370</v>
      </c>
      <c r="G196" s="14">
        <v>276</v>
      </c>
      <c r="H196" s="14">
        <v>5</v>
      </c>
      <c r="I196" s="14">
        <v>3</v>
      </c>
      <c r="J196" s="14" t="s">
        <v>31</v>
      </c>
      <c r="K196" s="14" cm="1">
        <f t="array" ref="K196">INT(SUMPRODUCT(--ISNUMBER(SEARCH(economy,C196)))&gt;0)</f>
        <v>0</v>
      </c>
      <c r="L196" s="14" cm="1">
        <f t="array" ref="L196">INT(SUMPRODUCT(--ISNUMBER(SEARCH(healthcare,C196)))&gt;0)</f>
        <v>0</v>
      </c>
      <c r="M196" s="14" cm="1">
        <f t="array" ref="M196">INT(SUMPRODUCT(--ISNUMBER(SEARCH(supreme,C196)))&gt;0)</f>
        <v>0</v>
      </c>
      <c r="N196" s="14" cm="1">
        <f t="array" ref="N196">INT(SUMPRODUCT(--ISNUMBER(SEARCH(covid,C196)))&gt;0)</f>
        <v>0</v>
      </c>
      <c r="O196" s="14" cm="1">
        <f t="array" ref="O196">INT(SUMPRODUCT(--ISNUMBER(SEARCH(violent,C196)))&gt;0)</f>
        <v>0</v>
      </c>
      <c r="P196" s="14" cm="1">
        <f t="array" ref="P196">INT(SUMPRODUCT(--ISNUMBER(SEARCH(foreign,C196)))&gt;0)</f>
        <v>0</v>
      </c>
      <c r="Q196" s="14" cm="1">
        <f t="array" ref="Q196">INT(SUMPRODUCT(--ISNUMBER(SEARCH(gun,C196)))&gt;0)</f>
        <v>0</v>
      </c>
      <c r="R196" s="14" cm="1">
        <f t="array" ref="R196">INT(SUMPRODUCT(--ISNUMBER(SEARCH(race,C196)))&gt;0)</f>
        <v>0</v>
      </c>
      <c r="S196" s="14" cm="1">
        <f t="array" ref="S196">INT(SUMPRODUCT(--ISNUMBER(SEARCH(immigration,C196)))&gt;0)</f>
        <v>0</v>
      </c>
      <c r="T196" s="14" cm="1">
        <f t="array" ref="T196">INT(SUMPRODUCT(--ISNUMBER(SEARCH(econineq,C197)))&gt;0)</f>
        <v>0</v>
      </c>
      <c r="U196" s="14" cm="1">
        <f t="array" ref="U196">INT(SUMPRODUCT(--ISNUMBER(SEARCH(climate,C196)))&gt;0)</f>
        <v>0</v>
      </c>
      <c r="V196" s="14" cm="1">
        <f t="array" ref="V196">INT(SUMPRODUCT(--ISNUMBER(SEARCH(abortion,C196)))&gt;0)</f>
        <v>0</v>
      </c>
      <c r="W196" s="14" cm="1">
        <f t="array" ref="W196">INT(SUMPRODUCT(--ISNUMBER(SEARCH(trump,C196)))&gt;0)</f>
        <v>0</v>
      </c>
      <c r="X196" s="14" cm="1">
        <f t="array" ref="X196">INT(SUMPRODUCT(--ISNUMBER(SEARCH(voting,C196)))&gt;0)</f>
        <v>0</v>
      </c>
      <c r="Y196" s="14" cm="1">
        <f t="array" ref="Y196">INT(SUMPRODUCT(--ISNUMBER(SEARCH(republicantrigger,C196)))&gt;0)</f>
        <v>0</v>
      </c>
      <c r="Z196" s="14" cm="1">
        <f t="array" ref="Z196">INT(SUMPRODUCT(--ISNUMBER(SEARCH(bipartisan,C196)))&gt;0)</f>
        <v>0</v>
      </c>
      <c r="AA196" s="14">
        <f t="shared" si="3"/>
        <v>1</v>
      </c>
      <c r="AB196" s="14"/>
      <c r="AC196" s="30" t="s">
        <v>223</v>
      </c>
      <c r="AD196" s="37" t="s">
        <v>223</v>
      </c>
    </row>
    <row r="197" spans="1:30" x14ac:dyDescent="0.25">
      <c r="A197" s="36">
        <v>962</v>
      </c>
      <c r="B197" s="14" t="s">
        <v>1951</v>
      </c>
      <c r="C197" s="14" t="s">
        <v>1952</v>
      </c>
      <c r="D197" s="17">
        <v>44108</v>
      </c>
      <c r="E197" s="14" t="s">
        <v>30</v>
      </c>
      <c r="F197" s="14">
        <v>145</v>
      </c>
      <c r="G197" s="14">
        <v>40</v>
      </c>
      <c r="H197" s="14">
        <v>5</v>
      </c>
      <c r="I197" s="14">
        <v>3</v>
      </c>
      <c r="J197" s="14" t="s">
        <v>31</v>
      </c>
      <c r="K197" s="14" cm="1">
        <f t="array" ref="K197">INT(SUMPRODUCT(--ISNUMBER(SEARCH(economy,C197)))&gt;0)</f>
        <v>0</v>
      </c>
      <c r="L197" s="14" cm="1">
        <f t="array" ref="L197">INT(SUMPRODUCT(--ISNUMBER(SEARCH(healthcare,C197)))&gt;0)</f>
        <v>0</v>
      </c>
      <c r="M197" s="14" cm="1">
        <f t="array" ref="M197">INT(SUMPRODUCT(--ISNUMBER(SEARCH(supreme,C197)))&gt;0)</f>
        <v>0</v>
      </c>
      <c r="N197" s="14" cm="1">
        <f t="array" ref="N197">INT(SUMPRODUCT(--ISNUMBER(SEARCH(covid,C197)))&gt;0)</f>
        <v>0</v>
      </c>
      <c r="O197" s="14" cm="1">
        <f t="array" ref="O197">INT(SUMPRODUCT(--ISNUMBER(SEARCH(violent,C197)))&gt;0)</f>
        <v>0</v>
      </c>
      <c r="P197" s="14" cm="1">
        <f t="array" ref="P197">INT(SUMPRODUCT(--ISNUMBER(SEARCH(foreign,C197)))&gt;0)</f>
        <v>0</v>
      </c>
      <c r="Q197" s="14" cm="1">
        <f t="array" ref="Q197">INT(SUMPRODUCT(--ISNUMBER(SEARCH(gun,C197)))&gt;0)</f>
        <v>0</v>
      </c>
      <c r="R197" s="14" cm="1">
        <f t="array" ref="R197">INT(SUMPRODUCT(--ISNUMBER(SEARCH(race,C197)))&gt;0)</f>
        <v>0</v>
      </c>
      <c r="S197" s="14" cm="1">
        <f t="array" ref="S197">INT(SUMPRODUCT(--ISNUMBER(SEARCH(immigration,C197)))&gt;0)</f>
        <v>0</v>
      </c>
      <c r="T197" s="14" cm="1">
        <f t="array" ref="T197">INT(SUMPRODUCT(--ISNUMBER(SEARCH(econineq,C198)))&gt;0)</f>
        <v>0</v>
      </c>
      <c r="U197" s="14" cm="1">
        <f t="array" ref="U197">INT(SUMPRODUCT(--ISNUMBER(SEARCH(climate,C197)))&gt;0)</f>
        <v>0</v>
      </c>
      <c r="V197" s="14" cm="1">
        <f t="array" ref="V197">INT(SUMPRODUCT(--ISNUMBER(SEARCH(abortion,C197)))&gt;0)</f>
        <v>0</v>
      </c>
      <c r="W197" s="14" cm="1">
        <f t="array" ref="W197">INT(SUMPRODUCT(--ISNUMBER(SEARCH(trump,C197)))&gt;0)</f>
        <v>1</v>
      </c>
      <c r="X197" s="14" cm="1">
        <f t="array" ref="X197">INT(SUMPRODUCT(--ISNUMBER(SEARCH(voting,C197)))&gt;0)</f>
        <v>0</v>
      </c>
      <c r="Y197" s="14" cm="1">
        <f t="array" ref="Y197">INT(SUMPRODUCT(--ISNUMBER(SEARCH(republicantrigger,C197)))&gt;0)</f>
        <v>0</v>
      </c>
      <c r="Z197" s="14" cm="1">
        <f t="array" ref="Z197">INT(SUMPRODUCT(--ISNUMBER(SEARCH(bipartisan,C197)))&gt;0)</f>
        <v>0</v>
      </c>
      <c r="AA197" s="14">
        <f t="shared" si="3"/>
        <v>0</v>
      </c>
      <c r="AB197" s="14"/>
      <c r="AC197" s="30">
        <v>1</v>
      </c>
      <c r="AD197" s="37">
        <v>0</v>
      </c>
    </row>
    <row r="198" spans="1:30" x14ac:dyDescent="0.25">
      <c r="A198" s="36">
        <v>963</v>
      </c>
      <c r="B198" s="14" t="s">
        <v>1953</v>
      </c>
      <c r="C198" s="14" t="s">
        <v>1954</v>
      </c>
      <c r="D198" s="17">
        <v>44108</v>
      </c>
      <c r="E198" s="14" t="s">
        <v>30</v>
      </c>
      <c r="F198" s="14">
        <v>353</v>
      </c>
      <c r="G198" s="14">
        <v>123</v>
      </c>
      <c r="H198" s="14">
        <v>5</v>
      </c>
      <c r="I198" s="14">
        <v>3</v>
      </c>
      <c r="J198" s="14" t="s">
        <v>31</v>
      </c>
      <c r="K198" s="14" cm="1">
        <f t="array" ref="K198">INT(SUMPRODUCT(--ISNUMBER(SEARCH(economy,C198)))&gt;0)</f>
        <v>1</v>
      </c>
      <c r="L198" s="14" cm="1">
        <f t="array" ref="L198">INT(SUMPRODUCT(--ISNUMBER(SEARCH(healthcare,C198)))&gt;0)</f>
        <v>0</v>
      </c>
      <c r="M198" s="14" cm="1">
        <f t="array" ref="M198">INT(SUMPRODUCT(--ISNUMBER(SEARCH(supreme,C198)))&gt;0)</f>
        <v>0</v>
      </c>
      <c r="N198" s="14" cm="1">
        <f t="array" ref="N198">INT(SUMPRODUCT(--ISNUMBER(SEARCH(covid,C198)))&gt;0)</f>
        <v>0</v>
      </c>
      <c r="O198" s="14" cm="1">
        <f t="array" ref="O198">INT(SUMPRODUCT(--ISNUMBER(SEARCH(violent,C198)))&gt;0)</f>
        <v>0</v>
      </c>
      <c r="P198" s="14" cm="1">
        <f t="array" ref="P198">INT(SUMPRODUCT(--ISNUMBER(SEARCH(foreign,C198)))&gt;0)</f>
        <v>0</v>
      </c>
      <c r="Q198" s="14" cm="1">
        <f t="array" ref="Q198">INT(SUMPRODUCT(--ISNUMBER(SEARCH(gun,C198)))&gt;0)</f>
        <v>0</v>
      </c>
      <c r="R198" s="14" cm="1">
        <f t="array" ref="R198">INT(SUMPRODUCT(--ISNUMBER(SEARCH(race,C198)))&gt;0)</f>
        <v>0</v>
      </c>
      <c r="S198" s="14" cm="1">
        <f t="array" ref="S198">INT(SUMPRODUCT(--ISNUMBER(SEARCH(immigration,C198)))&gt;0)</f>
        <v>0</v>
      </c>
      <c r="T198" s="14" cm="1">
        <f t="array" ref="T198">INT(SUMPRODUCT(--ISNUMBER(SEARCH(econineq,C199)))&gt;0)</f>
        <v>0</v>
      </c>
      <c r="U198" s="14" cm="1">
        <f t="array" ref="U198">INT(SUMPRODUCT(--ISNUMBER(SEARCH(climate,C198)))&gt;0)</f>
        <v>0</v>
      </c>
      <c r="V198" s="14" cm="1">
        <f t="array" ref="V198">INT(SUMPRODUCT(--ISNUMBER(SEARCH(abortion,C198)))&gt;0)</f>
        <v>0</v>
      </c>
      <c r="W198" s="14" cm="1">
        <f t="array" ref="W198">INT(SUMPRODUCT(--ISNUMBER(SEARCH(trump,C198)))&gt;0)</f>
        <v>0</v>
      </c>
      <c r="X198" s="14" cm="1">
        <f t="array" ref="X198">INT(SUMPRODUCT(--ISNUMBER(SEARCH(voting,C198)))&gt;0)</f>
        <v>0</v>
      </c>
      <c r="Y198" s="14" cm="1">
        <f t="array" ref="Y198">INT(SUMPRODUCT(--ISNUMBER(SEARCH(republicantrigger,C198)))&gt;0)</f>
        <v>1</v>
      </c>
      <c r="Z198" s="14" cm="1">
        <f t="array" ref="Z198">INT(SUMPRODUCT(--ISNUMBER(SEARCH(bipartisan,C198)))&gt;0)</f>
        <v>0</v>
      </c>
      <c r="AA198" s="14">
        <f t="shared" si="3"/>
        <v>0</v>
      </c>
      <c r="AB198" s="14"/>
      <c r="AC198" s="30">
        <v>0</v>
      </c>
      <c r="AD198" s="37">
        <v>1</v>
      </c>
    </row>
    <row r="199" spans="1:30" x14ac:dyDescent="0.25">
      <c r="A199" s="36">
        <v>964</v>
      </c>
      <c r="B199" s="14" t="s">
        <v>1955</v>
      </c>
      <c r="C199" s="14" t="s">
        <v>1956</v>
      </c>
      <c r="D199" s="17">
        <v>44108</v>
      </c>
      <c r="E199" s="14" t="s">
        <v>30</v>
      </c>
      <c r="F199" s="14">
        <v>308</v>
      </c>
      <c r="G199" s="14">
        <v>38</v>
      </c>
      <c r="H199" s="14">
        <v>5</v>
      </c>
      <c r="I199" s="14">
        <v>3</v>
      </c>
      <c r="J199" s="14" t="s">
        <v>31</v>
      </c>
      <c r="K199" s="14" cm="1">
        <f t="array" ref="K199">INT(SUMPRODUCT(--ISNUMBER(SEARCH(economy,C199)))&gt;0)</f>
        <v>0</v>
      </c>
      <c r="L199" s="14" cm="1">
        <f t="array" ref="L199">INT(SUMPRODUCT(--ISNUMBER(SEARCH(healthcare,C199)))&gt;0)</f>
        <v>0</v>
      </c>
      <c r="M199" s="14" cm="1">
        <f t="array" ref="M199">INT(SUMPRODUCT(--ISNUMBER(SEARCH(supreme,C199)))&gt;0)</f>
        <v>0</v>
      </c>
      <c r="N199" s="14" cm="1">
        <f t="array" ref="N199">INT(SUMPRODUCT(--ISNUMBER(SEARCH(covid,C199)))&gt;0)</f>
        <v>0</v>
      </c>
      <c r="O199" s="14" cm="1">
        <f t="array" ref="O199">INT(SUMPRODUCT(--ISNUMBER(SEARCH(violent,C199)))&gt;0)</f>
        <v>0</v>
      </c>
      <c r="P199" s="14" cm="1">
        <f t="array" ref="P199">INT(SUMPRODUCT(--ISNUMBER(SEARCH(foreign,C199)))&gt;0)</f>
        <v>0</v>
      </c>
      <c r="Q199" s="14" cm="1">
        <f t="array" ref="Q199">INT(SUMPRODUCT(--ISNUMBER(SEARCH(gun,C199)))&gt;0)</f>
        <v>0</v>
      </c>
      <c r="R199" s="14" cm="1">
        <f t="array" ref="R199">INT(SUMPRODUCT(--ISNUMBER(SEARCH(race,C199)))&gt;0)</f>
        <v>0</v>
      </c>
      <c r="S199" s="14" cm="1">
        <f t="array" ref="S199">INT(SUMPRODUCT(--ISNUMBER(SEARCH(immigration,C199)))&gt;0)</f>
        <v>0</v>
      </c>
      <c r="T199" s="14" cm="1">
        <f t="array" ref="T199">INT(SUMPRODUCT(--ISNUMBER(SEARCH(econineq,C200)))&gt;0)</f>
        <v>0</v>
      </c>
      <c r="U199" s="14" cm="1">
        <f t="array" ref="U199">INT(SUMPRODUCT(--ISNUMBER(SEARCH(climate,C199)))&gt;0)</f>
        <v>0</v>
      </c>
      <c r="V199" s="14" cm="1">
        <f t="array" ref="V199">INT(SUMPRODUCT(--ISNUMBER(SEARCH(abortion,C199)))&gt;0)</f>
        <v>0</v>
      </c>
      <c r="W199" s="14" cm="1">
        <f t="array" ref="W199">INT(SUMPRODUCT(--ISNUMBER(SEARCH(trump,C199)))&gt;0)</f>
        <v>0</v>
      </c>
      <c r="X199" s="14" cm="1">
        <f t="array" ref="X199">INT(SUMPRODUCT(--ISNUMBER(SEARCH(voting,C199)))&gt;0)</f>
        <v>0</v>
      </c>
      <c r="Y199" s="14" cm="1">
        <f t="array" ref="Y199">INT(SUMPRODUCT(--ISNUMBER(SEARCH(republicantrigger,C199)))&gt;0)</f>
        <v>0</v>
      </c>
      <c r="Z199" s="14" cm="1">
        <f t="array" ref="Z199">INT(SUMPRODUCT(--ISNUMBER(SEARCH(bipartisan,C199)))&gt;0)</f>
        <v>0</v>
      </c>
      <c r="AA199" s="14">
        <f t="shared" si="3"/>
        <v>1</v>
      </c>
      <c r="AB199" s="14"/>
      <c r="AC199" s="30" t="s">
        <v>223</v>
      </c>
      <c r="AD199" s="37" t="s">
        <v>223</v>
      </c>
    </row>
    <row r="200" spans="1:30" x14ac:dyDescent="0.25">
      <c r="A200" s="36">
        <v>965</v>
      </c>
      <c r="B200" s="14" t="s">
        <v>1957</v>
      </c>
      <c r="C200" s="14" t="s">
        <v>1958</v>
      </c>
      <c r="D200" s="17">
        <v>44108</v>
      </c>
      <c r="E200" s="14" t="s">
        <v>30</v>
      </c>
      <c r="F200" s="14">
        <v>387</v>
      </c>
      <c r="G200" s="14">
        <v>188</v>
      </c>
      <c r="H200" s="14">
        <v>5</v>
      </c>
      <c r="I200" s="14">
        <v>3</v>
      </c>
      <c r="J200" s="14" t="s">
        <v>31</v>
      </c>
      <c r="K200" s="14" cm="1">
        <f t="array" ref="K200">INT(SUMPRODUCT(--ISNUMBER(SEARCH(economy,C200)))&gt;0)</f>
        <v>1</v>
      </c>
      <c r="L200" s="14" cm="1">
        <f t="array" ref="L200">INT(SUMPRODUCT(--ISNUMBER(SEARCH(healthcare,C200)))&gt;0)</f>
        <v>0</v>
      </c>
      <c r="M200" s="14" cm="1">
        <f t="array" ref="M200">INT(SUMPRODUCT(--ISNUMBER(SEARCH(supreme,C200)))&gt;0)</f>
        <v>0</v>
      </c>
      <c r="N200" s="14" cm="1">
        <f t="array" ref="N200">INT(SUMPRODUCT(--ISNUMBER(SEARCH(covid,C200)))&gt;0)</f>
        <v>0</v>
      </c>
      <c r="O200" s="14" cm="1">
        <f t="array" ref="O200">INT(SUMPRODUCT(--ISNUMBER(SEARCH(violent,C200)))&gt;0)</f>
        <v>0</v>
      </c>
      <c r="P200" s="14" cm="1">
        <f t="array" ref="P200">INT(SUMPRODUCT(--ISNUMBER(SEARCH(foreign,C200)))&gt;0)</f>
        <v>0</v>
      </c>
      <c r="Q200" s="14" cm="1">
        <f t="array" ref="Q200">INT(SUMPRODUCT(--ISNUMBER(SEARCH(gun,C200)))&gt;0)</f>
        <v>0</v>
      </c>
      <c r="R200" s="14" cm="1">
        <f t="array" ref="R200">INT(SUMPRODUCT(--ISNUMBER(SEARCH(race,C200)))&gt;0)</f>
        <v>0</v>
      </c>
      <c r="S200" s="14" cm="1">
        <f t="array" ref="S200">INT(SUMPRODUCT(--ISNUMBER(SEARCH(immigration,C200)))&gt;0)</f>
        <v>0</v>
      </c>
      <c r="T200" s="14" cm="1">
        <f t="array" ref="T200">INT(SUMPRODUCT(--ISNUMBER(SEARCH(econineq,C201)))&gt;0)</f>
        <v>0</v>
      </c>
      <c r="U200" s="14" cm="1">
        <f t="array" ref="U200">INT(SUMPRODUCT(--ISNUMBER(SEARCH(climate,C200)))&gt;0)</f>
        <v>0</v>
      </c>
      <c r="V200" s="14" cm="1">
        <f t="array" ref="V200">INT(SUMPRODUCT(--ISNUMBER(SEARCH(abortion,C200)))&gt;0)</f>
        <v>0</v>
      </c>
      <c r="W200" s="14" cm="1">
        <f t="array" ref="W200">INT(SUMPRODUCT(--ISNUMBER(SEARCH(trump,C200)))&gt;0)</f>
        <v>0</v>
      </c>
      <c r="X200" s="14" cm="1">
        <f t="array" ref="X200">INT(SUMPRODUCT(--ISNUMBER(SEARCH(voting,C200)))&gt;0)</f>
        <v>0</v>
      </c>
      <c r="Y200" s="14" cm="1">
        <f t="array" ref="Y200">INT(SUMPRODUCT(--ISNUMBER(SEARCH(republicantrigger,C200)))&gt;0)</f>
        <v>1</v>
      </c>
      <c r="Z200" s="14" cm="1">
        <f t="array" ref="Z200">INT(SUMPRODUCT(--ISNUMBER(SEARCH(bipartisan,C200)))&gt;0)</f>
        <v>0</v>
      </c>
      <c r="AA200" s="14">
        <f t="shared" si="3"/>
        <v>0</v>
      </c>
      <c r="AB200" s="14"/>
      <c r="AC200" s="30">
        <v>0</v>
      </c>
      <c r="AD200" s="37">
        <v>1</v>
      </c>
    </row>
    <row r="201" spans="1:30" x14ac:dyDescent="0.25">
      <c r="A201" s="36">
        <v>966</v>
      </c>
      <c r="B201" s="14" t="s">
        <v>1959</v>
      </c>
      <c r="C201" s="14" t="s">
        <v>1960</v>
      </c>
      <c r="D201" s="17">
        <v>44108</v>
      </c>
      <c r="E201" s="14" t="s">
        <v>30</v>
      </c>
      <c r="F201" s="14">
        <v>268</v>
      </c>
      <c r="G201" s="14">
        <v>56</v>
      </c>
      <c r="H201" s="14">
        <v>5</v>
      </c>
      <c r="I201" s="14">
        <v>3</v>
      </c>
      <c r="J201" s="14" t="s">
        <v>31</v>
      </c>
      <c r="K201" s="14" cm="1">
        <f t="array" ref="K201">INT(SUMPRODUCT(--ISNUMBER(SEARCH(economy,C201)))&gt;0)</f>
        <v>0</v>
      </c>
      <c r="L201" s="14" cm="1">
        <f t="array" ref="L201">INT(SUMPRODUCT(--ISNUMBER(SEARCH(healthcare,C201)))&gt;0)</f>
        <v>0</v>
      </c>
      <c r="M201" s="14" cm="1">
        <f t="array" ref="M201">INT(SUMPRODUCT(--ISNUMBER(SEARCH(supreme,C201)))&gt;0)</f>
        <v>0</v>
      </c>
      <c r="N201" s="14" cm="1">
        <f t="array" ref="N201">INT(SUMPRODUCT(--ISNUMBER(SEARCH(covid,C201)))&gt;0)</f>
        <v>0</v>
      </c>
      <c r="O201" s="14" cm="1">
        <f t="array" ref="O201">INT(SUMPRODUCT(--ISNUMBER(SEARCH(violent,C201)))&gt;0)</f>
        <v>0</v>
      </c>
      <c r="P201" s="14" cm="1">
        <f t="array" ref="P201">INT(SUMPRODUCT(--ISNUMBER(SEARCH(foreign,C201)))&gt;0)</f>
        <v>0</v>
      </c>
      <c r="Q201" s="14" cm="1">
        <f t="array" ref="Q201">INT(SUMPRODUCT(--ISNUMBER(SEARCH(gun,C201)))&gt;0)</f>
        <v>0</v>
      </c>
      <c r="R201" s="14" cm="1">
        <f t="array" ref="R201">INT(SUMPRODUCT(--ISNUMBER(SEARCH(race,C201)))&gt;0)</f>
        <v>0</v>
      </c>
      <c r="S201" s="14" cm="1">
        <f t="array" ref="S201">INT(SUMPRODUCT(--ISNUMBER(SEARCH(immigration,C201)))&gt;0)</f>
        <v>0</v>
      </c>
      <c r="T201" s="14" cm="1">
        <f t="array" ref="T201">INT(SUMPRODUCT(--ISNUMBER(SEARCH(econineq,C202)))&gt;0)</f>
        <v>0</v>
      </c>
      <c r="U201" s="14" cm="1">
        <f t="array" ref="U201">INT(SUMPRODUCT(--ISNUMBER(SEARCH(climate,C201)))&gt;0)</f>
        <v>0</v>
      </c>
      <c r="V201" s="14" cm="1">
        <f t="array" ref="V201">INT(SUMPRODUCT(--ISNUMBER(SEARCH(abortion,C201)))&gt;0)</f>
        <v>0</v>
      </c>
      <c r="W201" s="14" cm="1">
        <f t="array" ref="W201">INT(SUMPRODUCT(--ISNUMBER(SEARCH(trump,C201)))&gt;0)</f>
        <v>0</v>
      </c>
      <c r="X201" s="14" cm="1">
        <f t="array" ref="X201">INT(SUMPRODUCT(--ISNUMBER(SEARCH(voting,C201)))&gt;0)</f>
        <v>0</v>
      </c>
      <c r="Y201" s="14" cm="1">
        <f t="array" ref="Y201">INT(SUMPRODUCT(--ISNUMBER(SEARCH(republicantrigger,C201)))&gt;0)</f>
        <v>0</v>
      </c>
      <c r="Z201" s="14" cm="1">
        <f t="array" ref="Z201">INT(SUMPRODUCT(--ISNUMBER(SEARCH(bipartisan,C201)))&gt;0)</f>
        <v>0</v>
      </c>
      <c r="AA201" s="14">
        <f t="shared" si="3"/>
        <v>1</v>
      </c>
      <c r="AB201" s="14"/>
      <c r="AC201" s="30" t="s">
        <v>223</v>
      </c>
      <c r="AD201" s="37" t="s">
        <v>223</v>
      </c>
    </row>
    <row r="202" spans="1:30" x14ac:dyDescent="0.25">
      <c r="A202" s="36">
        <v>967</v>
      </c>
      <c r="B202" s="14" t="s">
        <v>1961</v>
      </c>
      <c r="C202" s="14" t="s">
        <v>1962</v>
      </c>
      <c r="D202" s="17">
        <v>44108</v>
      </c>
      <c r="E202" s="14" t="s">
        <v>30</v>
      </c>
      <c r="F202" s="14">
        <v>90</v>
      </c>
      <c r="G202" s="14">
        <v>38</v>
      </c>
      <c r="H202" s="14">
        <v>5</v>
      </c>
      <c r="I202" s="14">
        <v>3</v>
      </c>
      <c r="J202" s="14" t="s">
        <v>31</v>
      </c>
      <c r="K202" s="14" cm="1">
        <f t="array" ref="K202">INT(SUMPRODUCT(--ISNUMBER(SEARCH(economy,C202)))&gt;0)</f>
        <v>1</v>
      </c>
      <c r="L202" s="14" cm="1">
        <f t="array" ref="L202">INT(SUMPRODUCT(--ISNUMBER(SEARCH(healthcare,C202)))&gt;0)</f>
        <v>0</v>
      </c>
      <c r="M202" s="14" cm="1">
        <f t="array" ref="M202">INT(SUMPRODUCT(--ISNUMBER(SEARCH(supreme,C202)))&gt;0)</f>
        <v>0</v>
      </c>
      <c r="N202" s="14" cm="1">
        <f t="array" ref="N202">INT(SUMPRODUCT(--ISNUMBER(SEARCH(covid,C202)))&gt;0)</f>
        <v>0</v>
      </c>
      <c r="O202" s="14" cm="1">
        <f t="array" ref="O202">INT(SUMPRODUCT(--ISNUMBER(SEARCH(violent,C202)))&gt;0)</f>
        <v>0</v>
      </c>
      <c r="P202" s="14" cm="1">
        <f t="array" ref="P202">INT(SUMPRODUCT(--ISNUMBER(SEARCH(foreign,C202)))&gt;0)</f>
        <v>0</v>
      </c>
      <c r="Q202" s="14" cm="1">
        <f t="array" ref="Q202">INT(SUMPRODUCT(--ISNUMBER(SEARCH(gun,C202)))&gt;0)</f>
        <v>0</v>
      </c>
      <c r="R202" s="14" cm="1">
        <f t="array" ref="R202">INT(SUMPRODUCT(--ISNUMBER(SEARCH(race,C202)))&gt;0)</f>
        <v>0</v>
      </c>
      <c r="S202" s="14" cm="1">
        <f t="array" ref="S202">INT(SUMPRODUCT(--ISNUMBER(SEARCH(immigration,C202)))&gt;0)</f>
        <v>0</v>
      </c>
      <c r="T202" s="14" cm="1">
        <f t="array" ref="T202">INT(SUMPRODUCT(--ISNUMBER(SEARCH(econineq,C203)))&gt;0)</f>
        <v>0</v>
      </c>
      <c r="U202" s="14" cm="1">
        <f t="array" ref="U202">INT(SUMPRODUCT(--ISNUMBER(SEARCH(climate,C202)))&gt;0)</f>
        <v>0</v>
      </c>
      <c r="V202" s="14" cm="1">
        <f t="array" ref="V202">INT(SUMPRODUCT(--ISNUMBER(SEARCH(abortion,C202)))&gt;0)</f>
        <v>0</v>
      </c>
      <c r="W202" s="14" cm="1">
        <f t="array" ref="W202">INT(SUMPRODUCT(--ISNUMBER(SEARCH(trump,C202)))&gt;0)</f>
        <v>0</v>
      </c>
      <c r="X202" s="14" cm="1">
        <f t="array" ref="X202">INT(SUMPRODUCT(--ISNUMBER(SEARCH(voting,C202)))&gt;0)</f>
        <v>1</v>
      </c>
      <c r="Y202" s="14" cm="1">
        <f t="array" ref="Y202">INT(SUMPRODUCT(--ISNUMBER(SEARCH(republicantrigger,C202)))&gt;0)</f>
        <v>1</v>
      </c>
      <c r="Z202" s="14" cm="1">
        <f t="array" ref="Z202">INT(SUMPRODUCT(--ISNUMBER(SEARCH(bipartisan,C202)))&gt;0)</f>
        <v>0</v>
      </c>
      <c r="AA202" s="14">
        <f t="shared" si="3"/>
        <v>0</v>
      </c>
      <c r="AB202" s="14"/>
      <c r="AC202" s="30" t="s">
        <v>223</v>
      </c>
      <c r="AD202" s="37" t="s">
        <v>223</v>
      </c>
    </row>
    <row r="203" spans="1:30" x14ac:dyDescent="0.25">
      <c r="A203" s="36">
        <v>968</v>
      </c>
      <c r="B203" s="14" t="s">
        <v>1963</v>
      </c>
      <c r="C203" s="14" t="s">
        <v>1964</v>
      </c>
      <c r="D203" s="17">
        <v>44108</v>
      </c>
      <c r="E203" s="14" t="s">
        <v>30</v>
      </c>
      <c r="F203" s="14">
        <v>72</v>
      </c>
      <c r="G203" s="14">
        <v>36</v>
      </c>
      <c r="H203" s="14">
        <v>5</v>
      </c>
      <c r="I203" s="14">
        <v>3</v>
      </c>
      <c r="J203" s="14" t="s">
        <v>31</v>
      </c>
      <c r="K203" s="14" cm="1">
        <f t="array" ref="K203">INT(SUMPRODUCT(--ISNUMBER(SEARCH(economy,C203)))&gt;0)</f>
        <v>1</v>
      </c>
      <c r="L203" s="14" cm="1">
        <f t="array" ref="L203">INT(SUMPRODUCT(--ISNUMBER(SEARCH(healthcare,C203)))&gt;0)</f>
        <v>0</v>
      </c>
      <c r="M203" s="14" cm="1">
        <f t="array" ref="M203">INT(SUMPRODUCT(--ISNUMBER(SEARCH(supreme,C203)))&gt;0)</f>
        <v>0</v>
      </c>
      <c r="N203" s="14" cm="1">
        <f t="array" ref="N203">INT(SUMPRODUCT(--ISNUMBER(SEARCH(covid,C203)))&gt;0)</f>
        <v>0</v>
      </c>
      <c r="O203" s="14" cm="1">
        <f t="array" ref="O203">INT(SUMPRODUCT(--ISNUMBER(SEARCH(violent,C203)))&gt;0)</f>
        <v>0</v>
      </c>
      <c r="P203" s="14" cm="1">
        <f t="array" ref="P203">INT(SUMPRODUCT(--ISNUMBER(SEARCH(foreign,C203)))&gt;0)</f>
        <v>0</v>
      </c>
      <c r="Q203" s="14" cm="1">
        <f t="array" ref="Q203">INT(SUMPRODUCT(--ISNUMBER(SEARCH(gun,C203)))&gt;0)</f>
        <v>0</v>
      </c>
      <c r="R203" s="14" cm="1">
        <f t="array" ref="R203">INT(SUMPRODUCT(--ISNUMBER(SEARCH(race,C203)))&gt;0)</f>
        <v>0</v>
      </c>
      <c r="S203" s="14" cm="1">
        <f t="array" ref="S203">INT(SUMPRODUCT(--ISNUMBER(SEARCH(immigration,C203)))&gt;0)</f>
        <v>0</v>
      </c>
      <c r="T203" s="14" cm="1">
        <f t="array" ref="T203">INT(SUMPRODUCT(--ISNUMBER(SEARCH(econineq,C204)))&gt;0)</f>
        <v>0</v>
      </c>
      <c r="U203" s="14" cm="1">
        <f t="array" ref="U203">INT(SUMPRODUCT(--ISNUMBER(SEARCH(climate,C203)))&gt;0)</f>
        <v>0</v>
      </c>
      <c r="V203" s="14" cm="1">
        <f t="array" ref="V203">INT(SUMPRODUCT(--ISNUMBER(SEARCH(abortion,C203)))&gt;0)</f>
        <v>0</v>
      </c>
      <c r="W203" s="14" cm="1">
        <f t="array" ref="W203">INT(SUMPRODUCT(--ISNUMBER(SEARCH(trump,C203)))&gt;0)</f>
        <v>1</v>
      </c>
      <c r="X203" s="14" cm="1">
        <f t="array" ref="X203">INT(SUMPRODUCT(--ISNUMBER(SEARCH(voting,C203)))&gt;0)</f>
        <v>0</v>
      </c>
      <c r="Y203" s="14" cm="1">
        <f t="array" ref="Y203">INT(SUMPRODUCT(--ISNUMBER(SEARCH(republicantrigger,C203)))&gt;0)</f>
        <v>1</v>
      </c>
      <c r="Z203" s="14" cm="1">
        <f t="array" ref="Z203">INT(SUMPRODUCT(--ISNUMBER(SEARCH(bipartisan,C203)))&gt;0)</f>
        <v>0</v>
      </c>
      <c r="AA203" s="14">
        <f t="shared" si="3"/>
        <v>0</v>
      </c>
      <c r="AB203" s="14"/>
      <c r="AC203" s="30">
        <v>1</v>
      </c>
      <c r="AD203" s="37">
        <v>0</v>
      </c>
    </row>
    <row r="204" spans="1:30" x14ac:dyDescent="0.25">
      <c r="A204" s="36">
        <v>969</v>
      </c>
      <c r="B204" s="14" t="s">
        <v>1965</v>
      </c>
      <c r="C204" s="14" t="s">
        <v>1966</v>
      </c>
      <c r="D204" s="17">
        <v>44108</v>
      </c>
      <c r="E204" s="14" t="s">
        <v>30</v>
      </c>
      <c r="F204" s="14">
        <v>61</v>
      </c>
      <c r="G204" s="14">
        <v>27</v>
      </c>
      <c r="H204" s="14">
        <v>5</v>
      </c>
      <c r="I204" s="14">
        <v>3</v>
      </c>
      <c r="J204" s="14" t="s">
        <v>31</v>
      </c>
      <c r="K204" s="14" cm="1">
        <f t="array" ref="K204">INT(SUMPRODUCT(--ISNUMBER(SEARCH(economy,C204)))&gt;0)</f>
        <v>0</v>
      </c>
      <c r="L204" s="14" cm="1">
        <f t="array" ref="L204">INT(SUMPRODUCT(--ISNUMBER(SEARCH(healthcare,C204)))&gt;0)</f>
        <v>0</v>
      </c>
      <c r="M204" s="14" cm="1">
        <f t="array" ref="M204">INT(SUMPRODUCT(--ISNUMBER(SEARCH(supreme,C204)))&gt;0)</f>
        <v>0</v>
      </c>
      <c r="N204" s="14" cm="1">
        <f t="array" ref="N204">INT(SUMPRODUCT(--ISNUMBER(SEARCH(covid,C204)))&gt;0)</f>
        <v>0</v>
      </c>
      <c r="O204" s="14" cm="1">
        <f t="array" ref="O204">INT(SUMPRODUCT(--ISNUMBER(SEARCH(violent,C204)))&gt;0)</f>
        <v>0</v>
      </c>
      <c r="P204" s="14" cm="1">
        <f t="array" ref="P204">INT(SUMPRODUCT(--ISNUMBER(SEARCH(foreign,C204)))&gt;0)</f>
        <v>0</v>
      </c>
      <c r="Q204" s="14" cm="1">
        <f t="array" ref="Q204">INT(SUMPRODUCT(--ISNUMBER(SEARCH(gun,C204)))&gt;0)</f>
        <v>0</v>
      </c>
      <c r="R204" s="14" cm="1">
        <f t="array" ref="R204">INT(SUMPRODUCT(--ISNUMBER(SEARCH(race,C204)))&gt;0)</f>
        <v>1</v>
      </c>
      <c r="S204" s="14" cm="1">
        <f t="array" ref="S204">INT(SUMPRODUCT(--ISNUMBER(SEARCH(immigration,C204)))&gt;0)</f>
        <v>0</v>
      </c>
      <c r="T204" s="14" cm="1">
        <f t="array" ref="T204">INT(SUMPRODUCT(--ISNUMBER(SEARCH(econineq,C205)))&gt;0)</f>
        <v>0</v>
      </c>
      <c r="U204" s="14" cm="1">
        <f t="array" ref="U204">INT(SUMPRODUCT(--ISNUMBER(SEARCH(climate,C204)))&gt;0)</f>
        <v>0</v>
      </c>
      <c r="V204" s="14" cm="1">
        <f t="array" ref="V204">INT(SUMPRODUCT(--ISNUMBER(SEARCH(abortion,C204)))&gt;0)</f>
        <v>0</v>
      </c>
      <c r="W204" s="14" cm="1">
        <f t="array" ref="W204">INT(SUMPRODUCT(--ISNUMBER(SEARCH(trump,C204)))&gt;0)</f>
        <v>0</v>
      </c>
      <c r="X204" s="14" cm="1">
        <f t="array" ref="X204">INT(SUMPRODUCT(--ISNUMBER(SEARCH(voting,C204)))&gt;0)</f>
        <v>0</v>
      </c>
      <c r="Y204" s="14" cm="1">
        <f t="array" ref="Y204">INT(SUMPRODUCT(--ISNUMBER(SEARCH(republicantrigger,C204)))&gt;0)</f>
        <v>1</v>
      </c>
      <c r="Z204" s="14" cm="1">
        <f t="array" ref="Z204">INT(SUMPRODUCT(--ISNUMBER(SEARCH(bipartisan,C204)))&gt;0)</f>
        <v>0</v>
      </c>
      <c r="AA204" s="14">
        <f t="shared" si="3"/>
        <v>0</v>
      </c>
      <c r="AB204" s="14"/>
      <c r="AC204" s="30">
        <v>1</v>
      </c>
      <c r="AD204" s="37">
        <v>0</v>
      </c>
    </row>
    <row r="205" spans="1:30" x14ac:dyDescent="0.25">
      <c r="A205" s="36">
        <v>970</v>
      </c>
      <c r="B205" s="14" t="s">
        <v>1967</v>
      </c>
      <c r="C205" s="14" t="s">
        <v>1968</v>
      </c>
      <c r="D205" s="17">
        <v>44108</v>
      </c>
      <c r="E205" s="14" t="s">
        <v>30</v>
      </c>
      <c r="F205" s="14">
        <v>64</v>
      </c>
      <c r="G205" s="14">
        <v>28</v>
      </c>
      <c r="H205" s="14">
        <v>5</v>
      </c>
      <c r="I205" s="14">
        <v>3</v>
      </c>
      <c r="J205" s="14" t="s">
        <v>31</v>
      </c>
      <c r="K205" s="14" cm="1">
        <f t="array" ref="K205">INT(SUMPRODUCT(--ISNUMBER(SEARCH(economy,C205)))&gt;0)</f>
        <v>0</v>
      </c>
      <c r="L205" s="14" cm="1">
        <f t="array" ref="L205">INT(SUMPRODUCT(--ISNUMBER(SEARCH(healthcare,C205)))&gt;0)</f>
        <v>0</v>
      </c>
      <c r="M205" s="14" cm="1">
        <f t="array" ref="M205">INT(SUMPRODUCT(--ISNUMBER(SEARCH(supreme,C205)))&gt;0)</f>
        <v>0</v>
      </c>
      <c r="N205" s="14" cm="1">
        <f t="array" ref="N205">INT(SUMPRODUCT(--ISNUMBER(SEARCH(covid,C205)))&gt;0)</f>
        <v>0</v>
      </c>
      <c r="O205" s="14" cm="1">
        <f t="array" ref="O205">INT(SUMPRODUCT(--ISNUMBER(SEARCH(violent,C205)))&gt;0)</f>
        <v>0</v>
      </c>
      <c r="P205" s="14" cm="1">
        <f t="array" ref="P205">INT(SUMPRODUCT(--ISNUMBER(SEARCH(foreign,C205)))&gt;0)</f>
        <v>0</v>
      </c>
      <c r="Q205" s="14" cm="1">
        <f t="array" ref="Q205">INT(SUMPRODUCT(--ISNUMBER(SEARCH(gun,C205)))&gt;0)</f>
        <v>0</v>
      </c>
      <c r="R205" s="14" cm="1">
        <f t="array" ref="R205">INT(SUMPRODUCT(--ISNUMBER(SEARCH(race,C205)))&gt;0)</f>
        <v>0</v>
      </c>
      <c r="S205" s="14" cm="1">
        <f t="array" ref="S205">INT(SUMPRODUCT(--ISNUMBER(SEARCH(immigration,C205)))&gt;0)</f>
        <v>0</v>
      </c>
      <c r="T205" s="14" cm="1">
        <f t="array" ref="T205">INT(SUMPRODUCT(--ISNUMBER(SEARCH(econineq,C206)))&gt;0)</f>
        <v>0</v>
      </c>
      <c r="U205" s="14" cm="1">
        <f t="array" ref="U205">INT(SUMPRODUCT(--ISNUMBER(SEARCH(climate,C205)))&gt;0)</f>
        <v>0</v>
      </c>
      <c r="V205" s="14" cm="1">
        <f t="array" ref="V205">INT(SUMPRODUCT(--ISNUMBER(SEARCH(abortion,C205)))&gt;0)</f>
        <v>0</v>
      </c>
      <c r="W205" s="14" cm="1">
        <f t="array" ref="W205">INT(SUMPRODUCT(--ISNUMBER(SEARCH(trump,C205)))&gt;0)</f>
        <v>0</v>
      </c>
      <c r="X205" s="14" cm="1">
        <f t="array" ref="X205">INT(SUMPRODUCT(--ISNUMBER(SEARCH(voting,C205)))&gt;0)</f>
        <v>0</v>
      </c>
      <c r="Y205" s="14" cm="1">
        <f t="array" ref="Y205">INT(SUMPRODUCT(--ISNUMBER(SEARCH(republicantrigger,C205)))&gt;0)</f>
        <v>0</v>
      </c>
      <c r="Z205" s="14" cm="1">
        <f t="array" ref="Z205">INT(SUMPRODUCT(--ISNUMBER(SEARCH(bipartisan,C205)))&gt;0)</f>
        <v>0</v>
      </c>
      <c r="AA205" s="14">
        <f t="shared" si="3"/>
        <v>1</v>
      </c>
      <c r="AB205" s="14"/>
      <c r="AC205" s="30">
        <v>1</v>
      </c>
      <c r="AD205" s="37">
        <v>0</v>
      </c>
    </row>
    <row r="206" spans="1:30" x14ac:dyDescent="0.25">
      <c r="A206" s="36">
        <v>971</v>
      </c>
      <c r="B206" s="14" t="s">
        <v>1969</v>
      </c>
      <c r="C206" s="14" t="s">
        <v>1970</v>
      </c>
      <c r="D206" s="17">
        <v>44108</v>
      </c>
      <c r="E206" s="14" t="s">
        <v>30</v>
      </c>
      <c r="F206" s="14">
        <v>42</v>
      </c>
      <c r="G206" s="14">
        <v>22</v>
      </c>
      <c r="H206" s="14">
        <v>5</v>
      </c>
      <c r="I206" s="14">
        <v>3</v>
      </c>
      <c r="J206" s="14" t="s">
        <v>31</v>
      </c>
      <c r="K206" s="14" cm="1">
        <f t="array" ref="K206">INT(SUMPRODUCT(--ISNUMBER(SEARCH(economy,C206)))&gt;0)</f>
        <v>0</v>
      </c>
      <c r="L206" s="14" cm="1">
        <f t="array" ref="L206">INT(SUMPRODUCT(--ISNUMBER(SEARCH(healthcare,C206)))&gt;0)</f>
        <v>0</v>
      </c>
      <c r="M206" s="14" cm="1">
        <f t="array" ref="M206">INT(SUMPRODUCT(--ISNUMBER(SEARCH(supreme,C206)))&gt;0)</f>
        <v>0</v>
      </c>
      <c r="N206" s="14" cm="1">
        <f t="array" ref="N206">INT(SUMPRODUCT(--ISNUMBER(SEARCH(covid,C206)))&gt;0)</f>
        <v>0</v>
      </c>
      <c r="O206" s="14" cm="1">
        <f t="array" ref="O206">INT(SUMPRODUCT(--ISNUMBER(SEARCH(violent,C206)))&gt;0)</f>
        <v>0</v>
      </c>
      <c r="P206" s="14" cm="1">
        <f t="array" ref="P206">INT(SUMPRODUCT(--ISNUMBER(SEARCH(foreign,C206)))&gt;0)</f>
        <v>0</v>
      </c>
      <c r="Q206" s="14" cm="1">
        <f t="array" ref="Q206">INT(SUMPRODUCT(--ISNUMBER(SEARCH(gun,C206)))&gt;0)</f>
        <v>0</v>
      </c>
      <c r="R206" s="14" cm="1">
        <f t="array" ref="R206">INT(SUMPRODUCT(--ISNUMBER(SEARCH(race,C206)))&gt;0)</f>
        <v>0</v>
      </c>
      <c r="S206" s="14" cm="1">
        <f t="array" ref="S206">INT(SUMPRODUCT(--ISNUMBER(SEARCH(immigration,C206)))&gt;0)</f>
        <v>0</v>
      </c>
      <c r="T206" s="14" cm="1">
        <f t="array" ref="T206">INT(SUMPRODUCT(--ISNUMBER(SEARCH(econineq,C207)))&gt;0)</f>
        <v>0</v>
      </c>
      <c r="U206" s="14" cm="1">
        <f t="array" ref="U206">INT(SUMPRODUCT(--ISNUMBER(SEARCH(climate,C206)))&gt;0)</f>
        <v>0</v>
      </c>
      <c r="V206" s="14" cm="1">
        <f t="array" ref="V206">INT(SUMPRODUCT(--ISNUMBER(SEARCH(abortion,C206)))&gt;0)</f>
        <v>0</v>
      </c>
      <c r="W206" s="14" cm="1">
        <f t="array" ref="W206">INT(SUMPRODUCT(--ISNUMBER(SEARCH(trump,C206)))&gt;0)</f>
        <v>0</v>
      </c>
      <c r="X206" s="14" cm="1">
        <f t="array" ref="X206">INT(SUMPRODUCT(--ISNUMBER(SEARCH(voting,C206)))&gt;0)</f>
        <v>0</v>
      </c>
      <c r="Y206" s="14" cm="1">
        <f t="array" ref="Y206">INT(SUMPRODUCT(--ISNUMBER(SEARCH(republicantrigger,C206)))&gt;0)</f>
        <v>0</v>
      </c>
      <c r="Z206" s="14" cm="1">
        <f t="array" ref="Z206">INT(SUMPRODUCT(--ISNUMBER(SEARCH(bipartisan,C206)))&gt;0)</f>
        <v>0</v>
      </c>
      <c r="AA206" s="14">
        <f t="shared" si="3"/>
        <v>1</v>
      </c>
      <c r="AB206" s="14"/>
      <c r="AC206" s="30">
        <v>0</v>
      </c>
      <c r="AD206" s="37">
        <v>1</v>
      </c>
    </row>
    <row r="207" spans="1:30" x14ac:dyDescent="0.25">
      <c r="A207" s="36">
        <v>972</v>
      </c>
      <c r="B207" s="14" t="s">
        <v>1971</v>
      </c>
      <c r="C207" s="14" t="s">
        <v>1972</v>
      </c>
      <c r="D207" s="17">
        <v>44108</v>
      </c>
      <c r="E207" s="14" t="s">
        <v>30</v>
      </c>
      <c r="F207" s="14">
        <v>78</v>
      </c>
      <c r="G207" s="14">
        <v>44</v>
      </c>
      <c r="H207" s="14">
        <v>5</v>
      </c>
      <c r="I207" s="14">
        <v>3</v>
      </c>
      <c r="J207" s="14" t="s">
        <v>31</v>
      </c>
      <c r="K207" s="14" cm="1">
        <f t="array" ref="K207">INT(SUMPRODUCT(--ISNUMBER(SEARCH(economy,C207)))&gt;0)</f>
        <v>0</v>
      </c>
      <c r="L207" s="14" cm="1">
        <f t="array" ref="L207">INT(SUMPRODUCT(--ISNUMBER(SEARCH(healthcare,C207)))&gt;0)</f>
        <v>1</v>
      </c>
      <c r="M207" s="14" cm="1">
        <f t="array" ref="M207">INT(SUMPRODUCT(--ISNUMBER(SEARCH(supreme,C207)))&gt;0)</f>
        <v>0</v>
      </c>
      <c r="N207" s="14" cm="1">
        <f t="array" ref="N207">INT(SUMPRODUCT(--ISNUMBER(SEARCH(covid,C207)))&gt;0)</f>
        <v>0</v>
      </c>
      <c r="O207" s="14" cm="1">
        <f t="array" ref="O207">INT(SUMPRODUCT(--ISNUMBER(SEARCH(violent,C207)))&gt;0)</f>
        <v>0</v>
      </c>
      <c r="P207" s="14" cm="1">
        <f t="array" ref="P207">INT(SUMPRODUCT(--ISNUMBER(SEARCH(foreign,C207)))&gt;0)</f>
        <v>0</v>
      </c>
      <c r="Q207" s="14" cm="1">
        <f t="array" ref="Q207">INT(SUMPRODUCT(--ISNUMBER(SEARCH(gun,C207)))&gt;0)</f>
        <v>0</v>
      </c>
      <c r="R207" s="14" cm="1">
        <f t="array" ref="R207">INT(SUMPRODUCT(--ISNUMBER(SEARCH(race,C207)))&gt;0)</f>
        <v>0</v>
      </c>
      <c r="S207" s="14" cm="1">
        <f t="array" ref="S207">INT(SUMPRODUCT(--ISNUMBER(SEARCH(immigration,C207)))&gt;0)</f>
        <v>0</v>
      </c>
      <c r="T207" s="14" cm="1">
        <f t="array" ref="T207">INT(SUMPRODUCT(--ISNUMBER(SEARCH(econineq,C208)))&gt;0)</f>
        <v>0</v>
      </c>
      <c r="U207" s="14" cm="1">
        <f t="array" ref="U207">INT(SUMPRODUCT(--ISNUMBER(SEARCH(climate,C207)))&gt;0)</f>
        <v>0</v>
      </c>
      <c r="V207" s="14" cm="1">
        <f t="array" ref="V207">INT(SUMPRODUCT(--ISNUMBER(SEARCH(abortion,C207)))&gt;0)</f>
        <v>0</v>
      </c>
      <c r="W207" s="14" cm="1">
        <f t="array" ref="W207">INT(SUMPRODUCT(--ISNUMBER(SEARCH(trump,C207)))&gt;0)</f>
        <v>0</v>
      </c>
      <c r="X207" s="14" cm="1">
        <f t="array" ref="X207">INT(SUMPRODUCT(--ISNUMBER(SEARCH(voting,C207)))&gt;0)</f>
        <v>0</v>
      </c>
      <c r="Y207" s="14" cm="1">
        <f t="array" ref="Y207">INT(SUMPRODUCT(--ISNUMBER(SEARCH(republicantrigger,C207)))&gt;0)</f>
        <v>1</v>
      </c>
      <c r="Z207" s="14" cm="1">
        <f t="array" ref="Z207">INT(SUMPRODUCT(--ISNUMBER(SEARCH(bipartisan,C207)))&gt;0)</f>
        <v>0</v>
      </c>
      <c r="AA207" s="14">
        <f t="shared" si="3"/>
        <v>0</v>
      </c>
      <c r="AB207" s="14"/>
      <c r="AC207" s="30">
        <v>1</v>
      </c>
      <c r="AD207" s="37">
        <v>0</v>
      </c>
    </row>
    <row r="208" spans="1:30" x14ac:dyDescent="0.25">
      <c r="A208" s="36">
        <v>973</v>
      </c>
      <c r="B208" s="14" t="s">
        <v>1973</v>
      </c>
      <c r="C208" s="14" t="s">
        <v>1974</v>
      </c>
      <c r="D208" s="17">
        <v>44108</v>
      </c>
      <c r="E208" s="14" t="s">
        <v>30</v>
      </c>
      <c r="F208" s="14">
        <v>100</v>
      </c>
      <c r="G208" s="14">
        <v>42</v>
      </c>
      <c r="H208" s="14">
        <v>5</v>
      </c>
      <c r="I208" s="14">
        <v>3</v>
      </c>
      <c r="J208" s="14" t="s">
        <v>31</v>
      </c>
      <c r="K208" s="14" cm="1">
        <f t="array" ref="K208">INT(SUMPRODUCT(--ISNUMBER(SEARCH(economy,C208)))&gt;0)</f>
        <v>0</v>
      </c>
      <c r="L208" s="14" cm="1">
        <f t="array" ref="L208">INT(SUMPRODUCT(--ISNUMBER(SEARCH(healthcare,C208)))&gt;0)</f>
        <v>0</v>
      </c>
      <c r="M208" s="14" cm="1">
        <f t="array" ref="M208">INT(SUMPRODUCT(--ISNUMBER(SEARCH(supreme,C208)))&gt;0)</f>
        <v>0</v>
      </c>
      <c r="N208" s="14" cm="1">
        <f t="array" ref="N208">INT(SUMPRODUCT(--ISNUMBER(SEARCH(covid,C208)))&gt;0)</f>
        <v>0</v>
      </c>
      <c r="O208" s="14" cm="1">
        <f t="array" ref="O208">INT(SUMPRODUCT(--ISNUMBER(SEARCH(violent,C208)))&gt;0)</f>
        <v>0</v>
      </c>
      <c r="P208" s="14" cm="1">
        <f t="array" ref="P208">INT(SUMPRODUCT(--ISNUMBER(SEARCH(foreign,C208)))&gt;0)</f>
        <v>0</v>
      </c>
      <c r="Q208" s="14" cm="1">
        <f t="array" ref="Q208">INT(SUMPRODUCT(--ISNUMBER(SEARCH(gun,C208)))&gt;0)</f>
        <v>0</v>
      </c>
      <c r="R208" s="14" cm="1">
        <f t="array" ref="R208">INT(SUMPRODUCT(--ISNUMBER(SEARCH(race,C208)))&gt;0)</f>
        <v>0</v>
      </c>
      <c r="S208" s="14" cm="1">
        <f t="array" ref="S208">INT(SUMPRODUCT(--ISNUMBER(SEARCH(immigration,C208)))&gt;0)</f>
        <v>0</v>
      </c>
      <c r="T208" s="14" cm="1">
        <f t="array" ref="T208">INT(SUMPRODUCT(--ISNUMBER(SEARCH(econineq,C209)))&gt;0)</f>
        <v>0</v>
      </c>
      <c r="U208" s="14" cm="1">
        <f t="array" ref="U208">INT(SUMPRODUCT(--ISNUMBER(SEARCH(climate,C208)))&gt;0)</f>
        <v>0</v>
      </c>
      <c r="V208" s="14" cm="1">
        <f t="array" ref="V208">INT(SUMPRODUCT(--ISNUMBER(SEARCH(abortion,C208)))&gt;0)</f>
        <v>0</v>
      </c>
      <c r="W208" s="14" cm="1">
        <f t="array" ref="W208">INT(SUMPRODUCT(--ISNUMBER(SEARCH(trump,C208)))&gt;0)</f>
        <v>0</v>
      </c>
      <c r="X208" s="14" cm="1">
        <f t="array" ref="X208">INT(SUMPRODUCT(--ISNUMBER(SEARCH(voting,C208)))&gt;0)</f>
        <v>1</v>
      </c>
      <c r="Y208" s="14" cm="1">
        <f t="array" ref="Y208">INT(SUMPRODUCT(--ISNUMBER(SEARCH(republicantrigger,C208)))&gt;0)</f>
        <v>1</v>
      </c>
      <c r="Z208" s="14" cm="1">
        <f t="array" ref="Z208">INT(SUMPRODUCT(--ISNUMBER(SEARCH(bipartisan,C208)))&gt;0)</f>
        <v>0</v>
      </c>
      <c r="AA208" s="14">
        <f t="shared" si="3"/>
        <v>0</v>
      </c>
      <c r="AB208" s="14"/>
      <c r="AC208" s="30" t="s">
        <v>223</v>
      </c>
      <c r="AD208" s="37" t="s">
        <v>223</v>
      </c>
    </row>
    <row r="209" spans="1:30" x14ac:dyDescent="0.25">
      <c r="A209" s="36">
        <v>974</v>
      </c>
      <c r="B209" s="14" t="s">
        <v>1975</v>
      </c>
      <c r="C209" s="14" t="s">
        <v>1976</v>
      </c>
      <c r="D209" s="17">
        <v>44108</v>
      </c>
      <c r="E209" s="14" t="s">
        <v>30</v>
      </c>
      <c r="F209" s="14">
        <v>72</v>
      </c>
      <c r="G209" s="14">
        <v>41</v>
      </c>
      <c r="H209" s="14">
        <v>5</v>
      </c>
      <c r="I209" s="14">
        <v>3</v>
      </c>
      <c r="J209" s="14" t="s">
        <v>31</v>
      </c>
      <c r="K209" s="14" cm="1">
        <f t="array" ref="K209">INT(SUMPRODUCT(--ISNUMBER(SEARCH(economy,C209)))&gt;0)</f>
        <v>0</v>
      </c>
      <c r="L209" s="14" cm="1">
        <f t="array" ref="L209">INT(SUMPRODUCT(--ISNUMBER(SEARCH(healthcare,C209)))&gt;0)</f>
        <v>0</v>
      </c>
      <c r="M209" s="14" cm="1">
        <f t="array" ref="M209">INT(SUMPRODUCT(--ISNUMBER(SEARCH(supreme,C209)))&gt;0)</f>
        <v>0</v>
      </c>
      <c r="N209" s="14" cm="1">
        <f t="array" ref="N209">INT(SUMPRODUCT(--ISNUMBER(SEARCH(covid,C209)))&gt;0)</f>
        <v>0</v>
      </c>
      <c r="O209" s="14" cm="1">
        <f t="array" ref="O209">INT(SUMPRODUCT(--ISNUMBER(SEARCH(violent,C209)))&gt;0)</f>
        <v>0</v>
      </c>
      <c r="P209" s="14" cm="1">
        <f t="array" ref="P209">INT(SUMPRODUCT(--ISNUMBER(SEARCH(foreign,C209)))&gt;0)</f>
        <v>0</v>
      </c>
      <c r="Q209" s="14" cm="1">
        <f t="array" ref="Q209">INT(SUMPRODUCT(--ISNUMBER(SEARCH(gun,C209)))&gt;0)</f>
        <v>0</v>
      </c>
      <c r="R209" s="14" cm="1">
        <f t="array" ref="R209">INT(SUMPRODUCT(--ISNUMBER(SEARCH(race,C209)))&gt;0)</f>
        <v>0</v>
      </c>
      <c r="S209" s="14" cm="1">
        <f t="array" ref="S209">INT(SUMPRODUCT(--ISNUMBER(SEARCH(immigration,C209)))&gt;0)</f>
        <v>0</v>
      </c>
      <c r="T209" s="14" cm="1">
        <f t="array" ref="T209">INT(SUMPRODUCT(--ISNUMBER(SEARCH(econineq,C210)))&gt;0)</f>
        <v>0</v>
      </c>
      <c r="U209" s="14" cm="1">
        <f t="array" ref="U209">INT(SUMPRODUCT(--ISNUMBER(SEARCH(climate,C209)))&gt;0)</f>
        <v>0</v>
      </c>
      <c r="V209" s="14" cm="1">
        <f t="array" ref="V209">INT(SUMPRODUCT(--ISNUMBER(SEARCH(abortion,C209)))&gt;0)</f>
        <v>0</v>
      </c>
      <c r="W209" s="14" cm="1">
        <f t="array" ref="W209">INT(SUMPRODUCT(--ISNUMBER(SEARCH(trump,C209)))&gt;0)</f>
        <v>0</v>
      </c>
      <c r="X209" s="14" cm="1">
        <f t="array" ref="X209">INT(SUMPRODUCT(--ISNUMBER(SEARCH(voting,C209)))&gt;0)</f>
        <v>1</v>
      </c>
      <c r="Y209" s="14" cm="1">
        <f t="array" ref="Y209">INT(SUMPRODUCT(--ISNUMBER(SEARCH(republicantrigger,C209)))&gt;0)</f>
        <v>1</v>
      </c>
      <c r="Z209" s="14" cm="1">
        <f t="array" ref="Z209">INT(SUMPRODUCT(--ISNUMBER(SEARCH(bipartisan,C209)))&gt;0)</f>
        <v>0</v>
      </c>
      <c r="AA209" s="14">
        <f t="shared" si="3"/>
        <v>0</v>
      </c>
      <c r="AB209" s="14"/>
      <c r="AC209" s="30">
        <v>1</v>
      </c>
      <c r="AD209" s="37">
        <v>0</v>
      </c>
    </row>
    <row r="210" spans="1:30" x14ac:dyDescent="0.25">
      <c r="A210" s="36">
        <v>975</v>
      </c>
      <c r="B210" s="14" t="s">
        <v>1977</v>
      </c>
      <c r="C210" s="14" t="s">
        <v>1978</v>
      </c>
      <c r="D210" s="17">
        <v>44108</v>
      </c>
      <c r="E210" s="14" t="s">
        <v>30</v>
      </c>
      <c r="F210" s="14">
        <v>56</v>
      </c>
      <c r="G210" s="14">
        <v>22</v>
      </c>
      <c r="H210" s="14">
        <v>5</v>
      </c>
      <c r="I210" s="14">
        <v>3</v>
      </c>
      <c r="J210" s="14" t="s">
        <v>31</v>
      </c>
      <c r="K210" s="14" cm="1">
        <f t="array" ref="K210">INT(SUMPRODUCT(--ISNUMBER(SEARCH(economy,C210)))&gt;0)</f>
        <v>1</v>
      </c>
      <c r="L210" s="14" cm="1">
        <f t="array" ref="L210">INT(SUMPRODUCT(--ISNUMBER(SEARCH(healthcare,C210)))&gt;0)</f>
        <v>0</v>
      </c>
      <c r="M210" s="14" cm="1">
        <f t="array" ref="M210">INT(SUMPRODUCT(--ISNUMBER(SEARCH(supreme,C210)))&gt;0)</f>
        <v>0</v>
      </c>
      <c r="N210" s="14" cm="1">
        <f t="array" ref="N210">INT(SUMPRODUCT(--ISNUMBER(SEARCH(covid,C210)))&gt;0)</f>
        <v>0</v>
      </c>
      <c r="O210" s="14" cm="1">
        <f t="array" ref="O210">INT(SUMPRODUCT(--ISNUMBER(SEARCH(violent,C210)))&gt;0)</f>
        <v>0</v>
      </c>
      <c r="P210" s="14" cm="1">
        <f t="array" ref="P210">INT(SUMPRODUCT(--ISNUMBER(SEARCH(foreign,C210)))&gt;0)</f>
        <v>0</v>
      </c>
      <c r="Q210" s="14" cm="1">
        <f t="array" ref="Q210">INT(SUMPRODUCT(--ISNUMBER(SEARCH(gun,C210)))&gt;0)</f>
        <v>0</v>
      </c>
      <c r="R210" s="14" cm="1">
        <f t="array" ref="R210">INT(SUMPRODUCT(--ISNUMBER(SEARCH(race,C210)))&gt;0)</f>
        <v>0</v>
      </c>
      <c r="S210" s="14" cm="1">
        <f t="array" ref="S210">INT(SUMPRODUCT(--ISNUMBER(SEARCH(immigration,C210)))&gt;0)</f>
        <v>0</v>
      </c>
      <c r="T210" s="14" cm="1">
        <f t="array" ref="T210">INT(SUMPRODUCT(--ISNUMBER(SEARCH(econineq,C211)))&gt;0)</f>
        <v>1</v>
      </c>
      <c r="U210" s="14" cm="1">
        <f t="array" ref="U210">INT(SUMPRODUCT(--ISNUMBER(SEARCH(climate,C210)))&gt;0)</f>
        <v>0</v>
      </c>
      <c r="V210" s="14" cm="1">
        <f t="array" ref="V210">INT(SUMPRODUCT(--ISNUMBER(SEARCH(abortion,C210)))&gt;0)</f>
        <v>0</v>
      </c>
      <c r="W210" s="14" cm="1">
        <f t="array" ref="W210">INT(SUMPRODUCT(--ISNUMBER(SEARCH(trump,C210)))&gt;0)</f>
        <v>0</v>
      </c>
      <c r="X210" s="14" cm="1">
        <f t="array" ref="X210">INT(SUMPRODUCT(--ISNUMBER(SEARCH(voting,C210)))&gt;0)</f>
        <v>0</v>
      </c>
      <c r="Y210" s="14" cm="1">
        <f t="array" ref="Y210">INT(SUMPRODUCT(--ISNUMBER(SEARCH(republicantrigger,C210)))&gt;0)</f>
        <v>1</v>
      </c>
      <c r="Z210" s="14" cm="1">
        <f t="array" ref="Z210">INT(SUMPRODUCT(--ISNUMBER(SEARCH(bipartisan,C210)))&gt;0)</f>
        <v>0</v>
      </c>
      <c r="AA210" s="14">
        <f t="shared" si="3"/>
        <v>0</v>
      </c>
      <c r="AB210" s="14"/>
      <c r="AC210" s="30">
        <v>1</v>
      </c>
      <c r="AD210" s="37">
        <v>0</v>
      </c>
    </row>
    <row r="211" spans="1:30" x14ac:dyDescent="0.25">
      <c r="A211" s="36">
        <v>976</v>
      </c>
      <c r="B211" s="14" t="s">
        <v>1979</v>
      </c>
      <c r="C211" s="14" t="s">
        <v>1980</v>
      </c>
      <c r="D211" s="17">
        <v>44108</v>
      </c>
      <c r="E211" s="14" t="s">
        <v>30</v>
      </c>
      <c r="F211" s="14">
        <v>107</v>
      </c>
      <c r="G211" s="14">
        <v>28</v>
      </c>
      <c r="H211" s="14">
        <v>5</v>
      </c>
      <c r="I211" s="14">
        <v>3</v>
      </c>
      <c r="J211" s="14" t="s">
        <v>31</v>
      </c>
      <c r="K211" s="14" cm="1">
        <f t="array" ref="K211">INT(SUMPRODUCT(--ISNUMBER(SEARCH(economy,C211)))&gt;0)</f>
        <v>1</v>
      </c>
      <c r="L211" s="14" cm="1">
        <f t="array" ref="L211">INT(SUMPRODUCT(--ISNUMBER(SEARCH(healthcare,C211)))&gt;0)</f>
        <v>0</v>
      </c>
      <c r="M211" s="14" cm="1">
        <f t="array" ref="M211">INT(SUMPRODUCT(--ISNUMBER(SEARCH(supreme,C211)))&gt;0)</f>
        <v>0</v>
      </c>
      <c r="N211" s="14" cm="1">
        <f t="array" ref="N211">INT(SUMPRODUCT(--ISNUMBER(SEARCH(covid,C211)))&gt;0)</f>
        <v>0</v>
      </c>
      <c r="O211" s="14" cm="1">
        <f t="array" ref="O211">INT(SUMPRODUCT(--ISNUMBER(SEARCH(violent,C211)))&gt;0)</f>
        <v>0</v>
      </c>
      <c r="P211" s="14" cm="1">
        <f t="array" ref="P211">INT(SUMPRODUCT(--ISNUMBER(SEARCH(foreign,C211)))&gt;0)</f>
        <v>0</v>
      </c>
      <c r="Q211" s="14" cm="1">
        <f t="array" ref="Q211">INT(SUMPRODUCT(--ISNUMBER(SEARCH(gun,C211)))&gt;0)</f>
        <v>0</v>
      </c>
      <c r="R211" s="14" cm="1">
        <f t="array" ref="R211">INT(SUMPRODUCT(--ISNUMBER(SEARCH(race,C211)))&gt;0)</f>
        <v>0</v>
      </c>
      <c r="S211" s="14" cm="1">
        <f t="array" ref="S211">INT(SUMPRODUCT(--ISNUMBER(SEARCH(immigration,C211)))&gt;0)</f>
        <v>0</v>
      </c>
      <c r="T211" s="14" cm="1">
        <f t="array" ref="T211">INT(SUMPRODUCT(--ISNUMBER(SEARCH(econineq,C212)))&gt;0)</f>
        <v>0</v>
      </c>
      <c r="U211" s="14" cm="1">
        <f t="array" ref="U211">INT(SUMPRODUCT(--ISNUMBER(SEARCH(climate,C211)))&gt;0)</f>
        <v>0</v>
      </c>
      <c r="V211" s="14" cm="1">
        <f t="array" ref="V211">INT(SUMPRODUCT(--ISNUMBER(SEARCH(abortion,C211)))&gt;0)</f>
        <v>0</v>
      </c>
      <c r="W211" s="14" cm="1">
        <f t="array" ref="W211">INT(SUMPRODUCT(--ISNUMBER(SEARCH(trump,C211)))&gt;0)</f>
        <v>0</v>
      </c>
      <c r="X211" s="14" cm="1">
        <f t="array" ref="X211">INT(SUMPRODUCT(--ISNUMBER(SEARCH(voting,C211)))&gt;0)</f>
        <v>0</v>
      </c>
      <c r="Y211" s="14" cm="1">
        <f t="array" ref="Y211">INT(SUMPRODUCT(--ISNUMBER(SEARCH(republicantrigger,C211)))&gt;0)</f>
        <v>0</v>
      </c>
      <c r="Z211" s="14" cm="1">
        <f t="array" ref="Z211">INT(SUMPRODUCT(--ISNUMBER(SEARCH(bipartisan,C211)))&gt;0)</f>
        <v>0</v>
      </c>
      <c r="AA211" s="14">
        <f t="shared" si="3"/>
        <v>0</v>
      </c>
      <c r="AB211" s="14"/>
      <c r="AC211" s="30" t="s">
        <v>223</v>
      </c>
      <c r="AD211" s="37" t="s">
        <v>223</v>
      </c>
    </row>
    <row r="212" spans="1:30" x14ac:dyDescent="0.25">
      <c r="A212" s="36">
        <v>977</v>
      </c>
      <c r="B212" s="14" t="s">
        <v>1981</v>
      </c>
      <c r="C212" s="14" t="s">
        <v>1982</v>
      </c>
      <c r="D212" s="17">
        <v>44108</v>
      </c>
      <c r="E212" s="14" t="s">
        <v>30</v>
      </c>
      <c r="F212" s="14">
        <v>67</v>
      </c>
      <c r="G212" s="14">
        <v>31</v>
      </c>
      <c r="H212" s="14">
        <v>5</v>
      </c>
      <c r="I212" s="14">
        <v>3</v>
      </c>
      <c r="J212" s="14" t="s">
        <v>31</v>
      </c>
      <c r="K212" s="14" cm="1">
        <f t="array" ref="K212">INT(SUMPRODUCT(--ISNUMBER(SEARCH(economy,C212)))&gt;0)</f>
        <v>0</v>
      </c>
      <c r="L212" s="14" cm="1">
        <f t="array" ref="L212">INT(SUMPRODUCT(--ISNUMBER(SEARCH(healthcare,C212)))&gt;0)</f>
        <v>0</v>
      </c>
      <c r="M212" s="14" cm="1">
        <f t="array" ref="M212">INT(SUMPRODUCT(--ISNUMBER(SEARCH(supreme,C212)))&gt;0)</f>
        <v>0</v>
      </c>
      <c r="N212" s="14" cm="1">
        <f t="array" ref="N212">INT(SUMPRODUCT(--ISNUMBER(SEARCH(covid,C212)))&gt;0)</f>
        <v>0</v>
      </c>
      <c r="O212" s="14" cm="1">
        <f t="array" ref="O212">INT(SUMPRODUCT(--ISNUMBER(SEARCH(violent,C212)))&gt;0)</f>
        <v>0</v>
      </c>
      <c r="P212" s="14" cm="1">
        <f t="array" ref="P212">INT(SUMPRODUCT(--ISNUMBER(SEARCH(foreign,C212)))&gt;0)</f>
        <v>0</v>
      </c>
      <c r="Q212" s="14" cm="1">
        <f t="array" ref="Q212">INT(SUMPRODUCT(--ISNUMBER(SEARCH(gun,C212)))&gt;0)</f>
        <v>0</v>
      </c>
      <c r="R212" s="14" cm="1">
        <f t="array" ref="R212">INT(SUMPRODUCT(--ISNUMBER(SEARCH(race,C212)))&gt;0)</f>
        <v>0</v>
      </c>
      <c r="S212" s="14" cm="1">
        <f t="array" ref="S212">INT(SUMPRODUCT(--ISNUMBER(SEARCH(immigration,C212)))&gt;0)</f>
        <v>0</v>
      </c>
      <c r="T212" s="14" cm="1">
        <f t="array" ref="T212">INT(SUMPRODUCT(--ISNUMBER(SEARCH(econineq,C213)))&gt;0)</f>
        <v>0</v>
      </c>
      <c r="U212" s="14" cm="1">
        <f t="array" ref="U212">INT(SUMPRODUCT(--ISNUMBER(SEARCH(climate,C212)))&gt;0)</f>
        <v>0</v>
      </c>
      <c r="V212" s="14" cm="1">
        <f t="array" ref="V212">INT(SUMPRODUCT(--ISNUMBER(SEARCH(abortion,C212)))&gt;0)</f>
        <v>0</v>
      </c>
      <c r="W212" s="14" cm="1">
        <f t="array" ref="W212">INT(SUMPRODUCT(--ISNUMBER(SEARCH(trump,C212)))&gt;0)</f>
        <v>0</v>
      </c>
      <c r="X212" s="14" cm="1">
        <f t="array" ref="X212">INT(SUMPRODUCT(--ISNUMBER(SEARCH(voting,C212)))&gt;0)</f>
        <v>1</v>
      </c>
      <c r="Y212" s="14" cm="1">
        <f t="array" ref="Y212">INT(SUMPRODUCT(--ISNUMBER(SEARCH(republicantrigger,C212)))&gt;0)</f>
        <v>1</v>
      </c>
      <c r="Z212" s="14" cm="1">
        <f t="array" ref="Z212">INT(SUMPRODUCT(--ISNUMBER(SEARCH(bipartisan,C212)))&gt;0)</f>
        <v>0</v>
      </c>
      <c r="AA212" s="14">
        <f t="shared" si="3"/>
        <v>0</v>
      </c>
      <c r="AB212" s="14"/>
      <c r="AC212" s="30">
        <v>1</v>
      </c>
      <c r="AD212" s="37">
        <v>0</v>
      </c>
    </row>
    <row r="213" spans="1:30" x14ac:dyDescent="0.25">
      <c r="A213" s="36">
        <v>978</v>
      </c>
      <c r="B213" s="14" t="s">
        <v>1983</v>
      </c>
      <c r="C213" s="14" t="s">
        <v>1984</v>
      </c>
      <c r="D213" s="17">
        <v>44108</v>
      </c>
      <c r="E213" s="14" t="s">
        <v>30</v>
      </c>
      <c r="F213" s="14">
        <v>41</v>
      </c>
      <c r="G213" s="14">
        <v>15</v>
      </c>
      <c r="H213" s="14">
        <v>5</v>
      </c>
      <c r="I213" s="14">
        <v>3</v>
      </c>
      <c r="J213" s="14" t="s">
        <v>31</v>
      </c>
      <c r="K213" s="14" cm="1">
        <f t="array" ref="K213">INT(SUMPRODUCT(--ISNUMBER(SEARCH(economy,C213)))&gt;0)</f>
        <v>0</v>
      </c>
      <c r="L213" s="14" cm="1">
        <f t="array" ref="L213">INT(SUMPRODUCT(--ISNUMBER(SEARCH(healthcare,C213)))&gt;0)</f>
        <v>0</v>
      </c>
      <c r="M213" s="14" cm="1">
        <f t="array" ref="M213">INT(SUMPRODUCT(--ISNUMBER(SEARCH(supreme,C213)))&gt;0)</f>
        <v>0</v>
      </c>
      <c r="N213" s="14" cm="1">
        <f t="array" ref="N213">INT(SUMPRODUCT(--ISNUMBER(SEARCH(covid,C213)))&gt;0)</f>
        <v>0</v>
      </c>
      <c r="O213" s="14" cm="1">
        <f t="array" ref="O213">INT(SUMPRODUCT(--ISNUMBER(SEARCH(violent,C213)))&gt;0)</f>
        <v>0</v>
      </c>
      <c r="P213" s="14" cm="1">
        <f t="array" ref="P213">INT(SUMPRODUCT(--ISNUMBER(SEARCH(foreign,C213)))&gt;0)</f>
        <v>0</v>
      </c>
      <c r="Q213" s="14" cm="1">
        <f t="array" ref="Q213">INT(SUMPRODUCT(--ISNUMBER(SEARCH(gun,C213)))&gt;0)</f>
        <v>0</v>
      </c>
      <c r="R213" s="14" cm="1">
        <f t="array" ref="R213">INT(SUMPRODUCT(--ISNUMBER(SEARCH(race,C213)))&gt;0)</f>
        <v>0</v>
      </c>
      <c r="S213" s="14" cm="1">
        <f t="array" ref="S213">INT(SUMPRODUCT(--ISNUMBER(SEARCH(immigration,C213)))&gt;0)</f>
        <v>0</v>
      </c>
      <c r="T213" s="14" cm="1">
        <f t="array" ref="T213">INT(SUMPRODUCT(--ISNUMBER(SEARCH(econineq,C214)))&gt;0)</f>
        <v>0</v>
      </c>
      <c r="U213" s="14" cm="1">
        <f t="array" ref="U213">INT(SUMPRODUCT(--ISNUMBER(SEARCH(climate,C213)))&gt;0)</f>
        <v>0</v>
      </c>
      <c r="V213" s="14" cm="1">
        <f t="array" ref="V213">INT(SUMPRODUCT(--ISNUMBER(SEARCH(abortion,C213)))&gt;0)</f>
        <v>0</v>
      </c>
      <c r="W213" s="14" cm="1">
        <f t="array" ref="W213">INT(SUMPRODUCT(--ISNUMBER(SEARCH(trump,C213)))&gt;0)</f>
        <v>0</v>
      </c>
      <c r="X213" s="14" cm="1">
        <f t="array" ref="X213">INT(SUMPRODUCT(--ISNUMBER(SEARCH(voting,C213)))&gt;0)</f>
        <v>0</v>
      </c>
      <c r="Y213" s="14" cm="1">
        <f t="array" ref="Y213">INT(SUMPRODUCT(--ISNUMBER(SEARCH(republicantrigger,C213)))&gt;0)</f>
        <v>1</v>
      </c>
      <c r="Z213" s="14" cm="1">
        <f t="array" ref="Z213">INT(SUMPRODUCT(--ISNUMBER(SEARCH(bipartisan,C213)))&gt;0)</f>
        <v>1</v>
      </c>
      <c r="AA213" s="14">
        <f t="shared" si="3"/>
        <v>0</v>
      </c>
      <c r="AB213" s="14"/>
      <c r="AC213" s="30" t="s">
        <v>223</v>
      </c>
      <c r="AD213" s="37" t="s">
        <v>223</v>
      </c>
    </row>
    <row r="214" spans="1:30" x14ac:dyDescent="0.25">
      <c r="A214" s="36">
        <v>979</v>
      </c>
      <c r="B214" s="14" t="s">
        <v>1985</v>
      </c>
      <c r="C214" s="14" t="s">
        <v>1986</v>
      </c>
      <c r="D214" s="17">
        <v>44108</v>
      </c>
      <c r="E214" s="14" t="s">
        <v>30</v>
      </c>
      <c r="F214" s="14">
        <v>86</v>
      </c>
      <c r="G214" s="14">
        <v>35</v>
      </c>
      <c r="H214" s="14">
        <v>5</v>
      </c>
      <c r="I214" s="14">
        <v>3</v>
      </c>
      <c r="J214" s="14" t="s">
        <v>31</v>
      </c>
      <c r="K214" s="14" cm="1">
        <f t="array" ref="K214">INT(SUMPRODUCT(--ISNUMBER(SEARCH(economy,C214)))&gt;0)</f>
        <v>0</v>
      </c>
      <c r="L214" s="14" cm="1">
        <f t="array" ref="L214">INT(SUMPRODUCT(--ISNUMBER(SEARCH(healthcare,C214)))&gt;0)</f>
        <v>0</v>
      </c>
      <c r="M214" s="14" cm="1">
        <f t="array" ref="M214">INT(SUMPRODUCT(--ISNUMBER(SEARCH(supreme,C214)))&gt;0)</f>
        <v>0</v>
      </c>
      <c r="N214" s="14" cm="1">
        <f t="array" ref="N214">INT(SUMPRODUCT(--ISNUMBER(SEARCH(covid,C214)))&gt;0)</f>
        <v>0</v>
      </c>
      <c r="O214" s="14" cm="1">
        <f t="array" ref="O214">INT(SUMPRODUCT(--ISNUMBER(SEARCH(violent,C214)))&gt;0)</f>
        <v>0</v>
      </c>
      <c r="P214" s="14" cm="1">
        <f t="array" ref="P214">INT(SUMPRODUCT(--ISNUMBER(SEARCH(foreign,C214)))&gt;0)</f>
        <v>0</v>
      </c>
      <c r="Q214" s="14" cm="1">
        <f t="array" ref="Q214">INT(SUMPRODUCT(--ISNUMBER(SEARCH(gun,C214)))&gt;0)</f>
        <v>0</v>
      </c>
      <c r="R214" s="14" cm="1">
        <f t="array" ref="R214">INT(SUMPRODUCT(--ISNUMBER(SEARCH(race,C214)))&gt;0)</f>
        <v>0</v>
      </c>
      <c r="S214" s="14" cm="1">
        <f t="array" ref="S214">INT(SUMPRODUCT(--ISNUMBER(SEARCH(immigration,C214)))&gt;0)</f>
        <v>0</v>
      </c>
      <c r="T214" s="14" cm="1">
        <f t="array" ref="T214">INT(SUMPRODUCT(--ISNUMBER(SEARCH(econineq,C215)))&gt;0)</f>
        <v>0</v>
      </c>
      <c r="U214" s="14" cm="1">
        <f t="array" ref="U214">INT(SUMPRODUCT(--ISNUMBER(SEARCH(climate,C214)))&gt;0)</f>
        <v>0</v>
      </c>
      <c r="V214" s="14" cm="1">
        <f t="array" ref="V214">INT(SUMPRODUCT(--ISNUMBER(SEARCH(abortion,C214)))&gt;0)</f>
        <v>0</v>
      </c>
      <c r="W214" s="14" cm="1">
        <f t="array" ref="W214">INT(SUMPRODUCT(--ISNUMBER(SEARCH(trump,C214)))&gt;0)</f>
        <v>0</v>
      </c>
      <c r="X214" s="14" cm="1">
        <f t="array" ref="X214">INT(SUMPRODUCT(--ISNUMBER(SEARCH(voting,C214)))&gt;0)</f>
        <v>0</v>
      </c>
      <c r="Y214" s="14" cm="1">
        <f t="array" ref="Y214">INT(SUMPRODUCT(--ISNUMBER(SEARCH(republicantrigger,C214)))&gt;0)</f>
        <v>0</v>
      </c>
      <c r="Z214" s="14" cm="1">
        <f t="array" ref="Z214">INT(SUMPRODUCT(--ISNUMBER(SEARCH(bipartisan,C214)))&gt;0)</f>
        <v>0</v>
      </c>
      <c r="AA214" s="14">
        <f t="shared" si="3"/>
        <v>1</v>
      </c>
      <c r="AB214" s="14"/>
      <c r="AC214" s="30">
        <v>1</v>
      </c>
      <c r="AD214" s="37">
        <v>0</v>
      </c>
    </row>
    <row r="215" spans="1:30" x14ac:dyDescent="0.25">
      <c r="A215" s="36">
        <v>980</v>
      </c>
      <c r="B215" s="14" t="s">
        <v>1987</v>
      </c>
      <c r="C215" s="14" t="s">
        <v>1988</v>
      </c>
      <c r="D215" s="17">
        <v>44108</v>
      </c>
      <c r="E215" s="14" t="s">
        <v>30</v>
      </c>
      <c r="F215" s="14">
        <v>33</v>
      </c>
      <c r="G215" s="14">
        <v>20</v>
      </c>
      <c r="H215" s="14">
        <v>5</v>
      </c>
      <c r="I215" s="14">
        <v>3</v>
      </c>
      <c r="J215" s="14" t="s">
        <v>31</v>
      </c>
      <c r="K215" s="14" cm="1">
        <f t="array" ref="K215">INT(SUMPRODUCT(--ISNUMBER(SEARCH(economy,C215)))&gt;0)</f>
        <v>0</v>
      </c>
      <c r="L215" s="14" cm="1">
        <f t="array" ref="L215">INT(SUMPRODUCT(--ISNUMBER(SEARCH(healthcare,C215)))&gt;0)</f>
        <v>1</v>
      </c>
      <c r="M215" s="14" cm="1">
        <f t="array" ref="M215">INT(SUMPRODUCT(--ISNUMBER(SEARCH(supreme,C215)))&gt;0)</f>
        <v>0</v>
      </c>
      <c r="N215" s="14" cm="1">
        <f t="array" ref="N215">INT(SUMPRODUCT(--ISNUMBER(SEARCH(covid,C215)))&gt;0)</f>
        <v>0</v>
      </c>
      <c r="O215" s="14" cm="1">
        <f t="array" ref="O215">INT(SUMPRODUCT(--ISNUMBER(SEARCH(violent,C215)))&gt;0)</f>
        <v>0</v>
      </c>
      <c r="P215" s="14" cm="1">
        <f t="array" ref="P215">INT(SUMPRODUCT(--ISNUMBER(SEARCH(foreign,C215)))&gt;0)</f>
        <v>0</v>
      </c>
      <c r="Q215" s="14" cm="1">
        <f t="array" ref="Q215">INT(SUMPRODUCT(--ISNUMBER(SEARCH(gun,C215)))&gt;0)</f>
        <v>0</v>
      </c>
      <c r="R215" s="14" cm="1">
        <f t="array" ref="R215">INT(SUMPRODUCT(--ISNUMBER(SEARCH(race,C215)))&gt;0)</f>
        <v>0</v>
      </c>
      <c r="S215" s="14" cm="1">
        <f t="array" ref="S215">INT(SUMPRODUCT(--ISNUMBER(SEARCH(immigration,C215)))&gt;0)</f>
        <v>0</v>
      </c>
      <c r="T215" s="14" cm="1">
        <f t="array" ref="T215">INT(SUMPRODUCT(--ISNUMBER(SEARCH(econineq,C216)))&gt;0)</f>
        <v>0</v>
      </c>
      <c r="U215" s="14" cm="1">
        <f t="array" ref="U215">INT(SUMPRODUCT(--ISNUMBER(SEARCH(climate,C215)))&gt;0)</f>
        <v>0</v>
      </c>
      <c r="V215" s="14" cm="1">
        <f t="array" ref="V215">INT(SUMPRODUCT(--ISNUMBER(SEARCH(abortion,C215)))&gt;0)</f>
        <v>0</v>
      </c>
      <c r="W215" s="14" cm="1">
        <f t="array" ref="W215">INT(SUMPRODUCT(--ISNUMBER(SEARCH(trump,C215)))&gt;0)</f>
        <v>0</v>
      </c>
      <c r="X215" s="14" cm="1">
        <f t="array" ref="X215">INT(SUMPRODUCT(--ISNUMBER(SEARCH(voting,C215)))&gt;0)</f>
        <v>0</v>
      </c>
      <c r="Y215" s="14" cm="1">
        <f t="array" ref="Y215">INT(SUMPRODUCT(--ISNUMBER(SEARCH(republicantrigger,C215)))&gt;0)</f>
        <v>1</v>
      </c>
      <c r="Z215" s="14" cm="1">
        <f t="array" ref="Z215">INT(SUMPRODUCT(--ISNUMBER(SEARCH(bipartisan,C215)))&gt;0)</f>
        <v>0</v>
      </c>
      <c r="AA215" s="14">
        <f t="shared" si="3"/>
        <v>0</v>
      </c>
      <c r="AB215" s="14"/>
      <c r="AC215" s="30" t="s">
        <v>223</v>
      </c>
      <c r="AD215" s="37" t="s">
        <v>223</v>
      </c>
    </row>
    <row r="216" spans="1:30" x14ac:dyDescent="0.25">
      <c r="A216" s="36">
        <v>981</v>
      </c>
      <c r="B216" s="14" t="s">
        <v>1989</v>
      </c>
      <c r="C216" s="14" t="s">
        <v>1990</v>
      </c>
      <c r="D216" s="17">
        <v>44108</v>
      </c>
      <c r="E216" s="14" t="s">
        <v>30</v>
      </c>
      <c r="F216" s="14">
        <v>257</v>
      </c>
      <c r="G216" s="14">
        <v>56</v>
      </c>
      <c r="H216" s="14">
        <v>5</v>
      </c>
      <c r="I216" s="14">
        <v>3</v>
      </c>
      <c r="J216" s="14" t="s">
        <v>31</v>
      </c>
      <c r="K216" s="14" cm="1">
        <f t="array" ref="K216">INT(SUMPRODUCT(--ISNUMBER(SEARCH(economy,C216)))&gt;0)</f>
        <v>0</v>
      </c>
      <c r="L216" s="14" cm="1">
        <f t="array" ref="L216">INT(SUMPRODUCT(--ISNUMBER(SEARCH(healthcare,C216)))&gt;0)</f>
        <v>1</v>
      </c>
      <c r="M216" s="14" cm="1">
        <f t="array" ref="M216">INT(SUMPRODUCT(--ISNUMBER(SEARCH(supreme,C216)))&gt;0)</f>
        <v>0</v>
      </c>
      <c r="N216" s="14" cm="1">
        <f t="array" ref="N216">INT(SUMPRODUCT(--ISNUMBER(SEARCH(covid,C216)))&gt;0)</f>
        <v>0</v>
      </c>
      <c r="O216" s="14" cm="1">
        <f t="array" ref="O216">INT(SUMPRODUCT(--ISNUMBER(SEARCH(violent,C216)))&gt;0)</f>
        <v>0</v>
      </c>
      <c r="P216" s="14" cm="1">
        <f t="array" ref="P216">INT(SUMPRODUCT(--ISNUMBER(SEARCH(foreign,C216)))&gt;0)</f>
        <v>0</v>
      </c>
      <c r="Q216" s="14" cm="1">
        <f t="array" ref="Q216">INT(SUMPRODUCT(--ISNUMBER(SEARCH(gun,C216)))&gt;0)</f>
        <v>0</v>
      </c>
      <c r="R216" s="14" cm="1">
        <f t="array" ref="R216">INT(SUMPRODUCT(--ISNUMBER(SEARCH(race,C216)))&gt;0)</f>
        <v>0</v>
      </c>
      <c r="S216" s="14" cm="1">
        <f t="array" ref="S216">INT(SUMPRODUCT(--ISNUMBER(SEARCH(immigration,C216)))&gt;0)</f>
        <v>0</v>
      </c>
      <c r="T216" s="14" cm="1">
        <f t="array" ref="T216">INT(SUMPRODUCT(--ISNUMBER(SEARCH(econineq,C217)))&gt;0)</f>
        <v>0</v>
      </c>
      <c r="U216" s="14" cm="1">
        <f t="array" ref="U216">INT(SUMPRODUCT(--ISNUMBER(SEARCH(climate,C216)))&gt;0)</f>
        <v>0</v>
      </c>
      <c r="V216" s="14" cm="1">
        <f t="array" ref="V216">INT(SUMPRODUCT(--ISNUMBER(SEARCH(abortion,C216)))&gt;0)</f>
        <v>0</v>
      </c>
      <c r="W216" s="14" cm="1">
        <f t="array" ref="W216">INT(SUMPRODUCT(--ISNUMBER(SEARCH(trump,C216)))&gt;0)</f>
        <v>0</v>
      </c>
      <c r="X216" s="14" cm="1">
        <f t="array" ref="X216">INT(SUMPRODUCT(--ISNUMBER(SEARCH(voting,C216)))&gt;0)</f>
        <v>0</v>
      </c>
      <c r="Y216" s="14" cm="1">
        <f t="array" ref="Y216">INT(SUMPRODUCT(--ISNUMBER(SEARCH(republicantrigger,C216)))&gt;0)</f>
        <v>0</v>
      </c>
      <c r="Z216" s="14" cm="1">
        <f t="array" ref="Z216">INT(SUMPRODUCT(--ISNUMBER(SEARCH(bipartisan,C216)))&gt;0)</f>
        <v>0</v>
      </c>
      <c r="AA216" s="14">
        <f t="shared" si="3"/>
        <v>0</v>
      </c>
      <c r="AB216" s="14"/>
      <c r="AC216" s="30" t="s">
        <v>223</v>
      </c>
      <c r="AD216" s="37" t="s">
        <v>223</v>
      </c>
    </row>
    <row r="217" spans="1:30" x14ac:dyDescent="0.25">
      <c r="A217" s="36">
        <v>982</v>
      </c>
      <c r="B217" s="14" t="s">
        <v>1991</v>
      </c>
      <c r="C217" s="14" t="s">
        <v>1992</v>
      </c>
      <c r="D217" s="17">
        <v>44108</v>
      </c>
      <c r="E217" s="14" t="s">
        <v>30</v>
      </c>
      <c r="F217" s="14">
        <v>103</v>
      </c>
      <c r="G217" s="14">
        <v>37</v>
      </c>
      <c r="H217" s="14">
        <v>5</v>
      </c>
      <c r="I217" s="14">
        <v>3</v>
      </c>
      <c r="J217" s="14" t="s">
        <v>31</v>
      </c>
      <c r="K217" s="14" cm="1">
        <f t="array" ref="K217">INT(SUMPRODUCT(--ISNUMBER(SEARCH(economy,C217)))&gt;0)</f>
        <v>0</v>
      </c>
      <c r="L217" s="14" cm="1">
        <f t="array" ref="L217">INT(SUMPRODUCT(--ISNUMBER(SEARCH(healthcare,C217)))&gt;0)</f>
        <v>0</v>
      </c>
      <c r="M217" s="14" cm="1">
        <f t="array" ref="M217">INT(SUMPRODUCT(--ISNUMBER(SEARCH(supreme,C217)))&gt;0)</f>
        <v>0</v>
      </c>
      <c r="N217" s="14" cm="1">
        <f t="array" ref="N217">INT(SUMPRODUCT(--ISNUMBER(SEARCH(covid,C217)))&gt;0)</f>
        <v>0</v>
      </c>
      <c r="O217" s="14" cm="1">
        <f t="array" ref="O217">INT(SUMPRODUCT(--ISNUMBER(SEARCH(violent,C217)))&gt;0)</f>
        <v>0</v>
      </c>
      <c r="P217" s="14" cm="1">
        <f t="array" ref="P217">INT(SUMPRODUCT(--ISNUMBER(SEARCH(foreign,C217)))&gt;0)</f>
        <v>0</v>
      </c>
      <c r="Q217" s="14" cm="1">
        <f t="array" ref="Q217">INT(SUMPRODUCT(--ISNUMBER(SEARCH(gun,C217)))&gt;0)</f>
        <v>0</v>
      </c>
      <c r="R217" s="14" cm="1">
        <f t="array" ref="R217">INT(SUMPRODUCT(--ISNUMBER(SEARCH(race,C217)))&gt;0)</f>
        <v>0</v>
      </c>
      <c r="S217" s="14" cm="1">
        <f t="array" ref="S217">INT(SUMPRODUCT(--ISNUMBER(SEARCH(immigration,C217)))&gt;0)</f>
        <v>0</v>
      </c>
      <c r="T217" s="14" cm="1">
        <f t="array" ref="T217">INT(SUMPRODUCT(--ISNUMBER(SEARCH(econineq,C218)))&gt;0)</f>
        <v>0</v>
      </c>
      <c r="U217" s="14" cm="1">
        <f t="array" ref="U217">INT(SUMPRODUCT(--ISNUMBER(SEARCH(climate,C217)))&gt;0)</f>
        <v>0</v>
      </c>
      <c r="V217" s="14" cm="1">
        <f t="array" ref="V217">INT(SUMPRODUCT(--ISNUMBER(SEARCH(abortion,C217)))&gt;0)</f>
        <v>0</v>
      </c>
      <c r="W217" s="14" cm="1">
        <f t="array" ref="W217">INT(SUMPRODUCT(--ISNUMBER(SEARCH(trump,C217)))&gt;0)</f>
        <v>0</v>
      </c>
      <c r="X217" s="14" cm="1">
        <f t="array" ref="X217">INT(SUMPRODUCT(--ISNUMBER(SEARCH(voting,C217)))&gt;0)</f>
        <v>0</v>
      </c>
      <c r="Y217" s="14" cm="1">
        <f t="array" ref="Y217">INT(SUMPRODUCT(--ISNUMBER(SEARCH(republicantrigger,C217)))&gt;0)</f>
        <v>1</v>
      </c>
      <c r="Z217" s="14" cm="1">
        <f t="array" ref="Z217">INT(SUMPRODUCT(--ISNUMBER(SEARCH(bipartisan,C217)))&gt;0)</f>
        <v>0</v>
      </c>
      <c r="AA217" s="14">
        <f t="shared" si="3"/>
        <v>0</v>
      </c>
      <c r="AB217" s="14"/>
      <c r="AC217" s="30" t="s">
        <v>223</v>
      </c>
      <c r="AD217" s="37" t="s">
        <v>223</v>
      </c>
    </row>
    <row r="218" spans="1:30" x14ac:dyDescent="0.25">
      <c r="A218" s="36">
        <v>983</v>
      </c>
      <c r="B218" s="14" t="s">
        <v>1993</v>
      </c>
      <c r="C218" s="14" t="s">
        <v>1994</v>
      </c>
      <c r="D218" s="17">
        <v>44108</v>
      </c>
      <c r="E218" s="14" t="s">
        <v>30</v>
      </c>
      <c r="F218" s="14">
        <v>106</v>
      </c>
      <c r="G218" s="14">
        <v>35</v>
      </c>
      <c r="H218" s="14">
        <v>5</v>
      </c>
      <c r="I218" s="14">
        <v>3</v>
      </c>
      <c r="J218" s="14" t="s">
        <v>31</v>
      </c>
      <c r="K218" s="14" cm="1">
        <f t="array" ref="K218">INT(SUMPRODUCT(--ISNUMBER(SEARCH(economy,C218)))&gt;0)</f>
        <v>0</v>
      </c>
      <c r="L218" s="14" cm="1">
        <f t="array" ref="L218">INT(SUMPRODUCT(--ISNUMBER(SEARCH(healthcare,C218)))&gt;0)</f>
        <v>0</v>
      </c>
      <c r="M218" s="14" cm="1">
        <f t="array" ref="M218">INT(SUMPRODUCT(--ISNUMBER(SEARCH(supreme,C218)))&gt;0)</f>
        <v>0</v>
      </c>
      <c r="N218" s="14" cm="1">
        <f t="array" ref="N218">INT(SUMPRODUCT(--ISNUMBER(SEARCH(covid,C218)))&gt;0)</f>
        <v>0</v>
      </c>
      <c r="O218" s="14" cm="1">
        <f t="array" ref="O218">INT(SUMPRODUCT(--ISNUMBER(SEARCH(violent,C218)))&gt;0)</f>
        <v>0</v>
      </c>
      <c r="P218" s="14" cm="1">
        <f t="array" ref="P218">INT(SUMPRODUCT(--ISNUMBER(SEARCH(foreign,C218)))&gt;0)</f>
        <v>0</v>
      </c>
      <c r="Q218" s="14" cm="1">
        <f t="array" ref="Q218">INT(SUMPRODUCT(--ISNUMBER(SEARCH(gun,C218)))&gt;0)</f>
        <v>0</v>
      </c>
      <c r="R218" s="14" cm="1">
        <f t="array" ref="R218">INT(SUMPRODUCT(--ISNUMBER(SEARCH(race,C218)))&gt;0)</f>
        <v>0</v>
      </c>
      <c r="S218" s="14" cm="1">
        <f t="array" ref="S218">INT(SUMPRODUCT(--ISNUMBER(SEARCH(immigration,C218)))&gt;0)</f>
        <v>0</v>
      </c>
      <c r="T218" s="14" cm="1">
        <f t="array" ref="T218">INT(SUMPRODUCT(--ISNUMBER(SEARCH(econineq,C219)))&gt;0)</f>
        <v>0</v>
      </c>
      <c r="U218" s="14" cm="1">
        <f t="array" ref="U218">INT(SUMPRODUCT(--ISNUMBER(SEARCH(climate,C218)))&gt;0)</f>
        <v>0</v>
      </c>
      <c r="V218" s="14" cm="1">
        <f t="array" ref="V218">INT(SUMPRODUCT(--ISNUMBER(SEARCH(abortion,C218)))&gt;0)</f>
        <v>0</v>
      </c>
      <c r="W218" s="14" cm="1">
        <f t="array" ref="W218">INT(SUMPRODUCT(--ISNUMBER(SEARCH(trump,C218)))&gt;0)</f>
        <v>0</v>
      </c>
      <c r="X218" s="14" cm="1">
        <f t="array" ref="X218">INT(SUMPRODUCT(--ISNUMBER(SEARCH(voting,C218)))&gt;0)</f>
        <v>1</v>
      </c>
      <c r="Y218" s="14" cm="1">
        <f t="array" ref="Y218">INT(SUMPRODUCT(--ISNUMBER(SEARCH(republicantrigger,C218)))&gt;0)</f>
        <v>1</v>
      </c>
      <c r="Z218" s="14" cm="1">
        <f t="array" ref="Z218">INT(SUMPRODUCT(--ISNUMBER(SEARCH(bipartisan,C218)))&gt;0)</f>
        <v>0</v>
      </c>
      <c r="AA218" s="14">
        <f t="shared" si="3"/>
        <v>0</v>
      </c>
      <c r="AB218" s="14"/>
      <c r="AC218" s="30" t="s">
        <v>223</v>
      </c>
      <c r="AD218" s="37" t="s">
        <v>223</v>
      </c>
    </row>
    <row r="219" spans="1:30" x14ac:dyDescent="0.25">
      <c r="A219" s="36">
        <v>984</v>
      </c>
      <c r="B219" s="14" t="s">
        <v>1995</v>
      </c>
      <c r="C219" s="14" t="s">
        <v>1996</v>
      </c>
      <c r="D219" s="17">
        <v>44108</v>
      </c>
      <c r="E219" s="14" t="s">
        <v>30</v>
      </c>
      <c r="F219" s="14">
        <v>178</v>
      </c>
      <c r="G219" s="14">
        <v>48</v>
      </c>
      <c r="H219" s="14">
        <v>5</v>
      </c>
      <c r="I219" s="14">
        <v>3</v>
      </c>
      <c r="J219" s="14" t="s">
        <v>31</v>
      </c>
      <c r="K219" s="14" cm="1">
        <f t="array" ref="K219">INT(SUMPRODUCT(--ISNUMBER(SEARCH(economy,C219)))&gt;0)</f>
        <v>0</v>
      </c>
      <c r="L219" s="14" cm="1">
        <f t="array" ref="L219">INT(SUMPRODUCT(--ISNUMBER(SEARCH(healthcare,C219)))&gt;0)</f>
        <v>0</v>
      </c>
      <c r="M219" s="14" cm="1">
        <f t="array" ref="M219">INT(SUMPRODUCT(--ISNUMBER(SEARCH(supreme,C219)))&gt;0)</f>
        <v>0</v>
      </c>
      <c r="N219" s="14" cm="1">
        <f t="array" ref="N219">INT(SUMPRODUCT(--ISNUMBER(SEARCH(covid,C219)))&gt;0)</f>
        <v>0</v>
      </c>
      <c r="O219" s="14" cm="1">
        <f t="array" ref="O219">INT(SUMPRODUCT(--ISNUMBER(SEARCH(violent,C219)))&gt;0)</f>
        <v>1</v>
      </c>
      <c r="P219" s="14" cm="1">
        <f t="array" ref="P219">INT(SUMPRODUCT(--ISNUMBER(SEARCH(foreign,C219)))&gt;0)</f>
        <v>0</v>
      </c>
      <c r="Q219" s="14" cm="1">
        <f t="array" ref="Q219">INT(SUMPRODUCT(--ISNUMBER(SEARCH(gun,C219)))&gt;0)</f>
        <v>0</v>
      </c>
      <c r="R219" s="14" cm="1">
        <f t="array" ref="R219">INT(SUMPRODUCT(--ISNUMBER(SEARCH(race,C219)))&gt;0)</f>
        <v>0</v>
      </c>
      <c r="S219" s="14" cm="1">
        <f t="array" ref="S219">INT(SUMPRODUCT(--ISNUMBER(SEARCH(immigration,C219)))&gt;0)</f>
        <v>0</v>
      </c>
      <c r="T219" s="14" cm="1">
        <f t="array" ref="T219">INT(SUMPRODUCT(--ISNUMBER(SEARCH(econineq,C220)))&gt;0)</f>
        <v>0</v>
      </c>
      <c r="U219" s="14" cm="1">
        <f t="array" ref="U219">INT(SUMPRODUCT(--ISNUMBER(SEARCH(climate,C219)))&gt;0)</f>
        <v>0</v>
      </c>
      <c r="V219" s="14" cm="1">
        <f t="array" ref="V219">INT(SUMPRODUCT(--ISNUMBER(SEARCH(abortion,C219)))&gt;0)</f>
        <v>0</v>
      </c>
      <c r="W219" s="14" cm="1">
        <f t="array" ref="W219">INT(SUMPRODUCT(--ISNUMBER(SEARCH(trump,C219)))&gt;0)</f>
        <v>0</v>
      </c>
      <c r="X219" s="14" cm="1">
        <f t="array" ref="X219">INT(SUMPRODUCT(--ISNUMBER(SEARCH(voting,C219)))&gt;0)</f>
        <v>0</v>
      </c>
      <c r="Y219" s="14" cm="1">
        <f t="array" ref="Y219">INT(SUMPRODUCT(--ISNUMBER(SEARCH(republicantrigger,C219)))&gt;0)</f>
        <v>0</v>
      </c>
      <c r="Z219" s="14" cm="1">
        <f t="array" ref="Z219">INT(SUMPRODUCT(--ISNUMBER(SEARCH(bipartisan,C219)))&gt;0)</f>
        <v>0</v>
      </c>
      <c r="AA219" s="14">
        <f t="shared" si="3"/>
        <v>0</v>
      </c>
      <c r="AB219" s="14"/>
      <c r="AC219" s="30" t="s">
        <v>223</v>
      </c>
      <c r="AD219" s="37" t="s">
        <v>223</v>
      </c>
    </row>
    <row r="220" spans="1:30" x14ac:dyDescent="0.25">
      <c r="A220" s="36">
        <v>985</v>
      </c>
      <c r="B220" s="14" t="s">
        <v>1997</v>
      </c>
      <c r="C220" s="14" t="s">
        <v>1998</v>
      </c>
      <c r="D220" s="17">
        <v>44107</v>
      </c>
      <c r="E220" s="14" t="s">
        <v>30</v>
      </c>
      <c r="F220" s="14">
        <v>107</v>
      </c>
      <c r="G220" s="14">
        <v>33</v>
      </c>
      <c r="H220" s="14">
        <v>5</v>
      </c>
      <c r="I220" s="14">
        <v>3</v>
      </c>
      <c r="J220" s="14" t="s">
        <v>31</v>
      </c>
      <c r="K220" s="14" cm="1">
        <f t="array" ref="K220">INT(SUMPRODUCT(--ISNUMBER(SEARCH(economy,C220)))&gt;0)</f>
        <v>0</v>
      </c>
      <c r="L220" s="14" cm="1">
        <f t="array" ref="L220">INT(SUMPRODUCT(--ISNUMBER(SEARCH(healthcare,C220)))&gt;0)</f>
        <v>0</v>
      </c>
      <c r="M220" s="14" cm="1">
        <f t="array" ref="M220">INT(SUMPRODUCT(--ISNUMBER(SEARCH(supreme,C220)))&gt;0)</f>
        <v>0</v>
      </c>
      <c r="N220" s="14" cm="1">
        <f t="array" ref="N220">INT(SUMPRODUCT(--ISNUMBER(SEARCH(covid,C220)))&gt;0)</f>
        <v>0</v>
      </c>
      <c r="O220" s="14" cm="1">
        <f t="array" ref="O220">INT(SUMPRODUCT(--ISNUMBER(SEARCH(violent,C220)))&gt;0)</f>
        <v>0</v>
      </c>
      <c r="P220" s="14" cm="1">
        <f t="array" ref="P220">INT(SUMPRODUCT(--ISNUMBER(SEARCH(foreign,C220)))&gt;0)</f>
        <v>0</v>
      </c>
      <c r="Q220" s="14" cm="1">
        <f t="array" ref="Q220">INT(SUMPRODUCT(--ISNUMBER(SEARCH(gun,C220)))&gt;0)</f>
        <v>0</v>
      </c>
      <c r="R220" s="14" cm="1">
        <f t="array" ref="R220">INT(SUMPRODUCT(--ISNUMBER(SEARCH(race,C220)))&gt;0)</f>
        <v>0</v>
      </c>
      <c r="S220" s="14" cm="1">
        <f t="array" ref="S220">INT(SUMPRODUCT(--ISNUMBER(SEARCH(immigration,C220)))&gt;0)</f>
        <v>0</v>
      </c>
      <c r="T220" s="14" cm="1">
        <f t="array" ref="T220">INT(SUMPRODUCT(--ISNUMBER(SEARCH(econineq,C221)))&gt;0)</f>
        <v>0</v>
      </c>
      <c r="U220" s="14" cm="1">
        <f t="array" ref="U220">INT(SUMPRODUCT(--ISNUMBER(SEARCH(climate,C220)))&gt;0)</f>
        <v>0</v>
      </c>
      <c r="V220" s="14" cm="1">
        <f t="array" ref="V220">INT(SUMPRODUCT(--ISNUMBER(SEARCH(abortion,C220)))&gt;0)</f>
        <v>0</v>
      </c>
      <c r="W220" s="14" cm="1">
        <f t="array" ref="W220">INT(SUMPRODUCT(--ISNUMBER(SEARCH(trump,C220)))&gt;0)</f>
        <v>0</v>
      </c>
      <c r="X220" s="14" cm="1">
        <f t="array" ref="X220">INT(SUMPRODUCT(--ISNUMBER(SEARCH(voting,C220)))&gt;0)</f>
        <v>0</v>
      </c>
      <c r="Y220" s="14" cm="1">
        <f t="array" ref="Y220">INT(SUMPRODUCT(--ISNUMBER(SEARCH(republicantrigger,C220)))&gt;0)</f>
        <v>1</v>
      </c>
      <c r="Z220" s="14" cm="1">
        <f t="array" ref="Z220">INT(SUMPRODUCT(--ISNUMBER(SEARCH(bipartisan,C220)))&gt;0)</f>
        <v>0</v>
      </c>
      <c r="AA220" s="14">
        <f t="shared" si="3"/>
        <v>0</v>
      </c>
      <c r="AB220" s="14"/>
      <c r="AC220" s="30" t="s">
        <v>223</v>
      </c>
      <c r="AD220" s="37" t="s">
        <v>223</v>
      </c>
    </row>
    <row r="221" spans="1:30" x14ac:dyDescent="0.25">
      <c r="A221" s="38">
        <v>986</v>
      </c>
      <c r="B221" s="39" t="s">
        <v>1999</v>
      </c>
      <c r="C221" s="39" t="s">
        <v>2000</v>
      </c>
      <c r="D221" s="41">
        <v>44107</v>
      </c>
      <c r="E221" s="39" t="s">
        <v>30</v>
      </c>
      <c r="F221" s="39">
        <v>139</v>
      </c>
      <c r="G221" s="39">
        <v>37</v>
      </c>
      <c r="H221" s="39">
        <v>5</v>
      </c>
      <c r="I221" s="39">
        <v>3</v>
      </c>
      <c r="J221" s="39" t="s">
        <v>31</v>
      </c>
      <c r="K221" s="39" cm="1">
        <f t="array" ref="K221">INT(SUMPRODUCT(--ISNUMBER(SEARCH(economy,C221)))&gt;0)</f>
        <v>0</v>
      </c>
      <c r="L221" s="39" cm="1">
        <f t="array" ref="L221">INT(SUMPRODUCT(--ISNUMBER(SEARCH(healthcare,C221)))&gt;0)</f>
        <v>0</v>
      </c>
      <c r="M221" s="39" cm="1">
        <f t="array" ref="M221">INT(SUMPRODUCT(--ISNUMBER(SEARCH(supreme,C221)))&gt;0)</f>
        <v>0</v>
      </c>
      <c r="N221" s="39" cm="1">
        <f t="array" ref="N221">INT(SUMPRODUCT(--ISNUMBER(SEARCH(covid,C221)))&gt;0)</f>
        <v>0</v>
      </c>
      <c r="O221" s="39" cm="1">
        <f t="array" ref="O221">INT(SUMPRODUCT(--ISNUMBER(SEARCH(violent,C221)))&gt;0)</f>
        <v>0</v>
      </c>
      <c r="P221" s="39" cm="1">
        <f t="array" ref="P221">INT(SUMPRODUCT(--ISNUMBER(SEARCH(foreign,C221)))&gt;0)</f>
        <v>0</v>
      </c>
      <c r="Q221" s="39" cm="1">
        <f t="array" ref="Q221">INT(SUMPRODUCT(--ISNUMBER(SEARCH(gun,C221)))&gt;0)</f>
        <v>0</v>
      </c>
      <c r="R221" s="39" cm="1">
        <f t="array" ref="R221">INT(SUMPRODUCT(--ISNUMBER(SEARCH(race,C221)))&gt;0)</f>
        <v>0</v>
      </c>
      <c r="S221" s="39" cm="1">
        <f t="array" ref="S221">INT(SUMPRODUCT(--ISNUMBER(SEARCH(immigration,C221)))&gt;0)</f>
        <v>0</v>
      </c>
      <c r="T221" s="39" cm="1">
        <f t="array" ref="T221">INT(SUMPRODUCT(--ISNUMBER(SEARCH(econineq,C222)))&gt;0)</f>
        <v>0</v>
      </c>
      <c r="U221" s="39" cm="1">
        <f t="array" ref="U221">INT(SUMPRODUCT(--ISNUMBER(SEARCH(climate,C221)))&gt;0)</f>
        <v>0</v>
      </c>
      <c r="V221" s="39" cm="1">
        <f t="array" ref="V221">INT(SUMPRODUCT(--ISNUMBER(SEARCH(abortion,C221)))&gt;0)</f>
        <v>0</v>
      </c>
      <c r="W221" s="39" cm="1">
        <f t="array" ref="W221">INT(SUMPRODUCT(--ISNUMBER(SEARCH(trump,C221)))&gt;0)</f>
        <v>0</v>
      </c>
      <c r="X221" s="39" cm="1">
        <f t="array" ref="X221">INT(SUMPRODUCT(--ISNUMBER(SEARCH(voting,C221)))&gt;0)</f>
        <v>0</v>
      </c>
      <c r="Y221" s="39" cm="1">
        <f t="array" ref="Y221">INT(SUMPRODUCT(--ISNUMBER(SEARCH(republicantrigger,C221)))&gt;0)</f>
        <v>1</v>
      </c>
      <c r="Z221" s="39" cm="1">
        <f t="array" ref="Z221">INT(SUMPRODUCT(--ISNUMBER(SEARCH(bipartisan,C221)))&gt;0)</f>
        <v>0</v>
      </c>
      <c r="AA221" s="39">
        <f t="shared" si="3"/>
        <v>0</v>
      </c>
      <c r="AB221" s="39"/>
      <c r="AC221" s="44" t="s">
        <v>223</v>
      </c>
      <c r="AD221" s="45" t="s">
        <v>223</v>
      </c>
    </row>
    <row r="222" spans="1:30" x14ac:dyDescent="0.25">
      <c r="A222" s="16"/>
      <c r="B222" s="16"/>
      <c r="C222" s="16"/>
      <c r="D222" s="19"/>
      <c r="E222" s="16"/>
      <c r="F222" s="21">
        <f>SUM(Table5[Likes])</f>
        <v>47879</v>
      </c>
      <c r="G222" s="21">
        <f>SUM(Table5[Retweets])</f>
        <v>10616</v>
      </c>
      <c r="H222" s="16"/>
      <c r="I222" s="16"/>
      <c r="J222" s="16"/>
      <c r="K222" s="21">
        <f t="shared" ref="K222:AD222" si="4">SUM(K2:K221)</f>
        <v>25</v>
      </c>
      <c r="L222" s="21">
        <f t="shared" si="4"/>
        <v>13</v>
      </c>
      <c r="M222" s="21">
        <f t="shared" si="4"/>
        <v>16</v>
      </c>
      <c r="N222" s="21">
        <f t="shared" si="4"/>
        <v>7</v>
      </c>
      <c r="O222" s="21">
        <f t="shared" si="4"/>
        <v>3</v>
      </c>
      <c r="P222" s="21">
        <f t="shared" si="4"/>
        <v>6</v>
      </c>
      <c r="Q222" s="21">
        <f t="shared" si="4"/>
        <v>4</v>
      </c>
      <c r="R222" s="21">
        <f t="shared" si="4"/>
        <v>2</v>
      </c>
      <c r="S222" s="21">
        <f t="shared" si="4"/>
        <v>2</v>
      </c>
      <c r="T222" s="21">
        <f t="shared" si="4"/>
        <v>1</v>
      </c>
      <c r="U222" s="21">
        <f t="shared" si="4"/>
        <v>10</v>
      </c>
      <c r="V222" s="21">
        <f t="shared" si="4"/>
        <v>0</v>
      </c>
      <c r="W222" s="21">
        <f t="shared" si="4"/>
        <v>11</v>
      </c>
      <c r="X222" s="21">
        <f t="shared" si="4"/>
        <v>53</v>
      </c>
      <c r="Y222" s="21">
        <f t="shared" si="4"/>
        <v>70</v>
      </c>
      <c r="Z222" s="21">
        <f t="shared" si="4"/>
        <v>7</v>
      </c>
      <c r="AA222" s="21">
        <f t="shared" si="4"/>
        <v>79</v>
      </c>
      <c r="AB222" s="21">
        <f t="shared" si="4"/>
        <v>0</v>
      </c>
      <c r="AC222" s="21">
        <f t="shared" si="4"/>
        <v>101</v>
      </c>
      <c r="AD222" s="21">
        <f t="shared" si="4"/>
        <v>51</v>
      </c>
    </row>
    <row r="223" spans="1:30" x14ac:dyDescent="0.25">
      <c r="A223" s="16"/>
      <c r="B223" s="16"/>
      <c r="C223" s="16"/>
      <c r="D223" s="19"/>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x14ac:dyDescent="0.25">
      <c r="A224" s="16"/>
      <c r="B224" s="16"/>
      <c r="C224" s="16"/>
      <c r="D224" s="19"/>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x14ac:dyDescent="0.25">
      <c r="A225" s="16"/>
      <c r="B225" s="16"/>
      <c r="C225" s="16"/>
      <c r="D225" s="19"/>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x14ac:dyDescent="0.25">
      <c r="A226" s="16"/>
      <c r="B226" s="16"/>
      <c r="C226" s="16"/>
      <c r="D226" s="19"/>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x14ac:dyDescent="0.25">
      <c r="A227" s="16"/>
      <c r="B227" s="16"/>
      <c r="C227" s="16"/>
      <c r="D227" s="19"/>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x14ac:dyDescent="0.25">
      <c r="A228" s="16"/>
      <c r="B228" s="16"/>
      <c r="C228" s="16"/>
      <c r="D228" s="19"/>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x14ac:dyDescent="0.25">
      <c r="A229" s="16"/>
      <c r="B229" s="16"/>
      <c r="C229" s="16"/>
      <c r="D229" s="19"/>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x14ac:dyDescent="0.25">
      <c r="A230" s="16"/>
      <c r="B230" s="16"/>
      <c r="C230" s="16"/>
      <c r="D230" s="19"/>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x14ac:dyDescent="0.25">
      <c r="A231" s="16"/>
      <c r="B231" s="16"/>
      <c r="C231" s="16"/>
      <c r="D231" s="19"/>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x14ac:dyDescent="0.25">
      <c r="A232" s="16"/>
      <c r="B232" s="16"/>
      <c r="C232" s="16"/>
      <c r="D232" s="19"/>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x14ac:dyDescent="0.25">
      <c r="A233" s="16"/>
      <c r="B233" s="16"/>
      <c r="C233" s="16"/>
      <c r="D233" s="19"/>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x14ac:dyDescent="0.25">
      <c r="A234" s="16"/>
      <c r="B234" s="16"/>
      <c r="C234" s="16"/>
      <c r="D234" s="19"/>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x14ac:dyDescent="0.25">
      <c r="A235" s="16"/>
      <c r="B235" s="16"/>
      <c r="C235" s="16"/>
      <c r="D235" s="19"/>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x14ac:dyDescent="0.25">
      <c r="A236" s="16"/>
      <c r="B236" s="16"/>
      <c r="C236" s="16"/>
      <c r="D236" s="19"/>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x14ac:dyDescent="0.25">
      <c r="A237" s="16"/>
      <c r="B237" s="16"/>
      <c r="C237" s="16"/>
      <c r="D237" s="19"/>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x14ac:dyDescent="0.25">
      <c r="A238" s="16"/>
      <c r="B238" s="16"/>
      <c r="C238" s="16"/>
      <c r="D238" s="19"/>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x14ac:dyDescent="0.25">
      <c r="A239" s="16"/>
      <c r="B239" s="16"/>
      <c r="C239" s="16"/>
      <c r="D239" s="19"/>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x14ac:dyDescent="0.25">
      <c r="A240" s="16"/>
      <c r="B240" s="16"/>
      <c r="C240" s="16"/>
      <c r="D240" s="19"/>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x14ac:dyDescent="0.25">
      <c r="A241" s="16"/>
      <c r="B241" s="16"/>
      <c r="C241" s="16"/>
      <c r="D241" s="19"/>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x14ac:dyDescent="0.25">
      <c r="A242" s="16"/>
      <c r="B242" s="16"/>
      <c r="C242" s="16"/>
      <c r="D242" s="19"/>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x14ac:dyDescent="0.25">
      <c r="A243" s="16"/>
      <c r="B243" s="16"/>
      <c r="C243" s="16"/>
      <c r="D243" s="19"/>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x14ac:dyDescent="0.25">
      <c r="A244" s="16"/>
      <c r="B244" s="16"/>
      <c r="C244" s="16"/>
      <c r="D244" s="19"/>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x14ac:dyDescent="0.25">
      <c r="A245" s="16"/>
      <c r="B245" s="16"/>
      <c r="C245" s="16"/>
      <c r="D245" s="19"/>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x14ac:dyDescent="0.25">
      <c r="A246" s="16"/>
      <c r="B246" s="16"/>
      <c r="C246" s="16"/>
      <c r="D246" s="19"/>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x14ac:dyDescent="0.25">
      <c r="A247" s="16"/>
      <c r="B247" s="16"/>
      <c r="C247" s="16"/>
      <c r="D247" s="19"/>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x14ac:dyDescent="0.25">
      <c r="A248" s="16"/>
      <c r="B248" s="16"/>
      <c r="C248" s="16"/>
      <c r="D248" s="19"/>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x14ac:dyDescent="0.25">
      <c r="A249" s="16"/>
      <c r="B249" s="16"/>
      <c r="C249" s="16"/>
      <c r="D249" s="19"/>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x14ac:dyDescent="0.25">
      <c r="A250" s="16"/>
      <c r="B250" s="16"/>
      <c r="C250" s="16"/>
      <c r="D250" s="19"/>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x14ac:dyDescent="0.25">
      <c r="A251" s="16"/>
      <c r="B251" s="16"/>
      <c r="C251" s="16"/>
      <c r="D251" s="19"/>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x14ac:dyDescent="0.25">
      <c r="A252" s="16"/>
      <c r="B252" s="16"/>
      <c r="C252" s="16"/>
      <c r="D252" s="20"/>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x14ac:dyDescent="0.25">
      <c r="A253" s="16"/>
      <c r="B253" s="16"/>
      <c r="C253" s="16"/>
      <c r="D253" s="20"/>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x14ac:dyDescent="0.25">
      <c r="A254" s="16"/>
      <c r="B254" s="16"/>
      <c r="C254" s="16"/>
      <c r="D254" s="20"/>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x14ac:dyDescent="0.25">
      <c r="A255" s="16"/>
      <c r="B255" s="16"/>
      <c r="C255" s="16"/>
      <c r="D255" s="20"/>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x14ac:dyDescent="0.25">
      <c r="A256" s="16"/>
      <c r="B256" s="16"/>
      <c r="C256" s="16"/>
      <c r="D256" s="20"/>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x14ac:dyDescent="0.25">
      <c r="A257" s="16"/>
      <c r="B257" s="16"/>
      <c r="C257" s="16"/>
      <c r="D257" s="20"/>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x14ac:dyDescent="0.25">
      <c r="A258" s="16"/>
      <c r="B258" s="16"/>
      <c r="C258" s="16"/>
      <c r="D258" s="20"/>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x14ac:dyDescent="0.25">
      <c r="A259" s="16"/>
      <c r="B259" s="16"/>
      <c r="C259" s="16"/>
      <c r="D259" s="20"/>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x14ac:dyDescent="0.25">
      <c r="A260" s="16"/>
      <c r="B260" s="16"/>
      <c r="C260" s="16"/>
      <c r="D260" s="20"/>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x14ac:dyDescent="0.25">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x14ac:dyDescent="0.25">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x14ac:dyDescent="0.25">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x14ac:dyDescent="0.25">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x14ac:dyDescent="0.2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x14ac:dyDescent="0.25">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x14ac:dyDescent="0.25">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x14ac:dyDescent="0.25">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x14ac:dyDescent="0.25">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x14ac:dyDescent="0.25">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x14ac:dyDescent="0.25">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x14ac:dyDescent="0.25">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x14ac:dyDescent="0.25">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x14ac:dyDescent="0.25">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x14ac:dyDescent="0.2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x14ac:dyDescent="0.25">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x14ac:dyDescent="0.25">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x14ac:dyDescent="0.25">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x14ac:dyDescent="0.25">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x14ac:dyDescent="0.25">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x14ac:dyDescent="0.25">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x14ac:dyDescent="0.25">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x14ac:dyDescent="0.25">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x14ac:dyDescent="0.25">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x14ac:dyDescent="0.2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x14ac:dyDescent="0.25">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x14ac:dyDescent="0.25">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x14ac:dyDescent="0.25">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x14ac:dyDescent="0.25">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x14ac:dyDescent="0.25">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x14ac:dyDescent="0.25">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x14ac:dyDescent="0.25">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x14ac:dyDescent="0.25">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x14ac:dyDescent="0.25">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x14ac:dyDescent="0.2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x14ac:dyDescent="0.25">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x14ac:dyDescent="0.25">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x14ac:dyDescent="0.25">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x14ac:dyDescent="0.25">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x14ac:dyDescent="0.25">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x14ac:dyDescent="0.25">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x14ac:dyDescent="0.25">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x14ac:dyDescent="0.2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x14ac:dyDescent="0.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x14ac:dyDescent="0.2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x14ac:dyDescent="0.2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x14ac:dyDescent="0.2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66" spans="31:31" x14ac:dyDescent="0.25">
      <c r="AE366" s="16"/>
    </row>
    <row r="367" spans="31:31" x14ac:dyDescent="0.25">
      <c r="AE367" s="16"/>
    </row>
    <row r="368" spans="31:31" x14ac:dyDescent="0.25">
      <c r="AE368" s="16"/>
    </row>
    <row r="369" spans="31:31" x14ac:dyDescent="0.25">
      <c r="AE369" s="16"/>
    </row>
    <row r="370" spans="31:31" x14ac:dyDescent="0.25">
      <c r="AE370" s="16"/>
    </row>
    <row r="371" spans="31:31" x14ac:dyDescent="0.25">
      <c r="AE371" s="16"/>
    </row>
    <row r="372" spans="31:31" x14ac:dyDescent="0.25">
      <c r="AE372" s="16"/>
    </row>
    <row r="373" spans="31:31" x14ac:dyDescent="0.25">
      <c r="AE373" s="16"/>
    </row>
    <row r="374" spans="31:31" x14ac:dyDescent="0.25">
      <c r="AE374" s="16"/>
    </row>
    <row r="375" spans="31:31" x14ac:dyDescent="0.25">
      <c r="AE375" s="16"/>
    </row>
    <row r="376" spans="31:31" x14ac:dyDescent="0.25">
      <c r="AE376" s="16"/>
    </row>
    <row r="377" spans="31:31" x14ac:dyDescent="0.25">
      <c r="AE377" s="16"/>
    </row>
    <row r="378" spans="31:31" x14ac:dyDescent="0.25">
      <c r="AE378" s="16"/>
    </row>
    <row r="379" spans="31:31" x14ac:dyDescent="0.25">
      <c r="AE379" s="16"/>
    </row>
    <row r="380" spans="31:31" x14ac:dyDescent="0.25">
      <c r="AE380" s="16"/>
    </row>
    <row r="381" spans="31:31" x14ac:dyDescent="0.25">
      <c r="AE381" s="16"/>
    </row>
    <row r="382" spans="31:31" x14ac:dyDescent="0.25">
      <c r="AE382" s="16"/>
    </row>
    <row r="383" spans="31:31" x14ac:dyDescent="0.25">
      <c r="AE383" s="16"/>
    </row>
    <row r="384" spans="31:31" x14ac:dyDescent="0.25">
      <c r="AE384" s="16"/>
    </row>
    <row r="385" spans="31:31" x14ac:dyDescent="0.25">
      <c r="AE385" s="16"/>
    </row>
    <row r="386" spans="31:31" x14ac:dyDescent="0.25">
      <c r="AE386" s="16"/>
    </row>
    <row r="387" spans="31:31" x14ac:dyDescent="0.25">
      <c r="AE387" s="16"/>
    </row>
    <row r="388" spans="31:31" x14ac:dyDescent="0.25">
      <c r="AE388" s="16"/>
    </row>
    <row r="389" spans="31:31" x14ac:dyDescent="0.25">
      <c r="AE389" s="16"/>
    </row>
    <row r="390" spans="31:31" x14ac:dyDescent="0.25">
      <c r="AE390" s="16"/>
    </row>
    <row r="391" spans="31:31" x14ac:dyDescent="0.25">
      <c r="AE391" s="16"/>
    </row>
    <row r="392" spans="31:31" x14ac:dyDescent="0.25">
      <c r="AE392" s="16"/>
    </row>
    <row r="393" spans="31:31" x14ac:dyDescent="0.25">
      <c r="AE393" s="16"/>
    </row>
    <row r="394" spans="31:31" x14ac:dyDescent="0.25">
      <c r="AE394" s="16"/>
    </row>
    <row r="395" spans="31:31" x14ac:dyDescent="0.25">
      <c r="AE395" s="16"/>
    </row>
    <row r="396" spans="31:31" x14ac:dyDescent="0.25">
      <c r="AE396" s="16"/>
    </row>
    <row r="397" spans="31:31" x14ac:dyDescent="0.25">
      <c r="AE397" s="16"/>
    </row>
    <row r="398" spans="31:31" x14ac:dyDescent="0.25">
      <c r="AE398" s="16"/>
    </row>
    <row r="399" spans="31:31" x14ac:dyDescent="0.25">
      <c r="AE399" s="16"/>
    </row>
    <row r="400" spans="31:31" x14ac:dyDescent="0.25">
      <c r="AE400" s="16"/>
    </row>
    <row r="401" spans="31:31" x14ac:dyDescent="0.25">
      <c r="AE401" s="16"/>
    </row>
    <row r="402" spans="31:31" x14ac:dyDescent="0.25">
      <c r="AE402" s="16"/>
    </row>
    <row r="403" spans="31:31" x14ac:dyDescent="0.25">
      <c r="AE403" s="16"/>
    </row>
    <row r="404" spans="31:31" x14ac:dyDescent="0.25">
      <c r="AE404" s="16"/>
    </row>
    <row r="405" spans="31:31" x14ac:dyDescent="0.25">
      <c r="AE405" s="16"/>
    </row>
    <row r="406" spans="31:31" x14ac:dyDescent="0.25">
      <c r="AE406" s="16"/>
    </row>
    <row r="407" spans="31:31" x14ac:dyDescent="0.25">
      <c r="AE407" s="16"/>
    </row>
    <row r="408" spans="31:31" x14ac:dyDescent="0.25">
      <c r="AE408" s="16"/>
    </row>
    <row r="409" spans="31:31" x14ac:dyDescent="0.25">
      <c r="AE409" s="16"/>
    </row>
    <row r="410" spans="31:31" x14ac:dyDescent="0.25">
      <c r="AE410" s="16"/>
    </row>
    <row r="411" spans="31:31" x14ac:dyDescent="0.25">
      <c r="AE411" s="16"/>
    </row>
    <row r="412" spans="31:31" x14ac:dyDescent="0.25">
      <c r="AE412" s="16"/>
    </row>
    <row r="413" spans="31:31" x14ac:dyDescent="0.25">
      <c r="AE413" s="16"/>
    </row>
    <row r="414" spans="31:31" x14ac:dyDescent="0.25">
      <c r="AE414" s="16"/>
    </row>
    <row r="415" spans="31:31" x14ac:dyDescent="0.25">
      <c r="AE415" s="16"/>
    </row>
    <row r="416" spans="31:31" x14ac:dyDescent="0.25">
      <c r="AE416" s="16"/>
    </row>
    <row r="417" spans="31:31" x14ac:dyDescent="0.25">
      <c r="AE417" s="16"/>
    </row>
    <row r="418" spans="31:31" x14ac:dyDescent="0.25">
      <c r="AE418" s="16"/>
    </row>
    <row r="419" spans="31:31" x14ac:dyDescent="0.25">
      <c r="AE419" s="16"/>
    </row>
    <row r="420" spans="31:31" x14ac:dyDescent="0.25">
      <c r="AE420" s="16"/>
    </row>
    <row r="421" spans="31:31" x14ac:dyDescent="0.25">
      <c r="AE421" s="16"/>
    </row>
    <row r="422" spans="31:31" x14ac:dyDescent="0.25">
      <c r="AE422" s="16"/>
    </row>
    <row r="423" spans="31:31" x14ac:dyDescent="0.25">
      <c r="AE423" s="16"/>
    </row>
    <row r="424" spans="31:31" x14ac:dyDescent="0.25">
      <c r="AE424" s="16"/>
    </row>
    <row r="425" spans="31:31" x14ac:dyDescent="0.25">
      <c r="AE425" s="16"/>
    </row>
    <row r="426" spans="31:31" x14ac:dyDescent="0.25">
      <c r="AE426" s="16"/>
    </row>
    <row r="427" spans="31:31" x14ac:dyDescent="0.25">
      <c r="AE427" s="16"/>
    </row>
    <row r="428" spans="31:31" x14ac:dyDescent="0.25">
      <c r="AE428" s="16"/>
    </row>
    <row r="429" spans="31:31" x14ac:dyDescent="0.25">
      <c r="AE429" s="16"/>
    </row>
    <row r="430" spans="31:31" x14ac:dyDescent="0.25">
      <c r="AE430" s="16"/>
    </row>
    <row r="431" spans="31:31" x14ac:dyDescent="0.25">
      <c r="AE431" s="16"/>
    </row>
    <row r="432" spans="31:31" x14ac:dyDescent="0.25">
      <c r="AE432" s="16"/>
    </row>
    <row r="433" spans="31:31" x14ac:dyDescent="0.25">
      <c r="AE433" s="16"/>
    </row>
    <row r="434" spans="31:31" x14ac:dyDescent="0.25">
      <c r="AE434" s="16"/>
    </row>
    <row r="435" spans="31:31" x14ac:dyDescent="0.25">
      <c r="AE435" s="16"/>
    </row>
    <row r="436" spans="31:31" x14ac:dyDescent="0.25">
      <c r="AE436" s="16"/>
    </row>
    <row r="437" spans="31:31" x14ac:dyDescent="0.25">
      <c r="AE437" s="16"/>
    </row>
  </sheetData>
  <conditionalFormatting sqref="J2:J221">
    <cfRule type="cellIs" dxfId="19" priority="1" operator="equal">
      <formula>"R"</formula>
    </cfRule>
  </conditionalFormatting>
  <hyperlinks>
    <hyperlink ref="B2" r:id="rId1" xr:uid="{667A82D1-219F-4C4C-A05C-EAAB4B06BB1D}"/>
    <hyperlink ref="B3" r:id="rId2" xr:uid="{094FF3DC-732F-454E-B37C-B385EC9086CB}"/>
    <hyperlink ref="B4" r:id="rId3" xr:uid="{D1D845BB-CE6B-4C2E-AAB4-20B6A8221A94}"/>
    <hyperlink ref="B5" r:id="rId4" xr:uid="{9082E1D5-8DC9-4BF8-8FA4-5FA26FD99A39}"/>
    <hyperlink ref="B6" r:id="rId5" xr:uid="{F7A49700-BF10-4C49-B539-07F5F38F8E55}"/>
    <hyperlink ref="B7" r:id="rId6" xr:uid="{FDE15925-44B4-42E0-9DD8-DC6E75A351C8}"/>
    <hyperlink ref="B8" r:id="rId7" xr:uid="{AC0CF9DB-C761-4738-958B-ACE1746DF33E}"/>
    <hyperlink ref="B9" r:id="rId8" xr:uid="{6AB5DBDC-2CB3-4364-825B-7032375B2C99}"/>
    <hyperlink ref="B10" r:id="rId9" xr:uid="{D8C022A7-5EBE-4DDD-B86A-3EAA4E5518DE}"/>
    <hyperlink ref="B11" r:id="rId10" xr:uid="{A4C37FA7-1873-4A8B-B857-66A7C80BEB9B}"/>
    <hyperlink ref="B12" r:id="rId11" xr:uid="{C9B7312F-E14C-4BF6-A431-0667AD0A18AC}"/>
    <hyperlink ref="B13" r:id="rId12" xr:uid="{E509F0AB-A1A8-45F2-B052-3B2F48E83982}"/>
    <hyperlink ref="B14" r:id="rId13" xr:uid="{5FE9B911-E8AB-44B1-AB8F-50D3AA594644}"/>
    <hyperlink ref="B15" r:id="rId14" xr:uid="{92579BD3-E0EE-44DB-B39D-C49365DFEA07}"/>
    <hyperlink ref="B16" r:id="rId15" xr:uid="{50661716-982E-4654-87D5-F3334CF3AB03}"/>
    <hyperlink ref="B17" r:id="rId16" xr:uid="{F8F2A969-2ABC-4D19-8E8E-C52212C03D33}"/>
    <hyperlink ref="B18" r:id="rId17" xr:uid="{9FF9321C-B9BD-45C7-9380-2DB851919F49}"/>
    <hyperlink ref="B19" r:id="rId18" xr:uid="{6B739522-92A7-4464-B3A9-523B00CEB135}"/>
    <hyperlink ref="B20" r:id="rId19" xr:uid="{5CCE4E24-FAEF-4B2A-9099-A7974F519427}"/>
    <hyperlink ref="B21" r:id="rId20" xr:uid="{18DC2A71-7545-4809-830E-57180CF71393}"/>
    <hyperlink ref="B22" r:id="rId21" xr:uid="{A034F5F0-CB02-47D9-A4B5-F17D8E070E1E}"/>
    <hyperlink ref="B23" r:id="rId22" xr:uid="{7A79FEE7-3F17-4167-BEC1-0A314945EFD9}"/>
    <hyperlink ref="B24" r:id="rId23" xr:uid="{1049565A-ACA1-4CB4-B0AE-44DC5436EE80}"/>
    <hyperlink ref="B25" r:id="rId24" xr:uid="{C7BE1F10-F800-4DAB-93F8-4C2F2AC8D78D}"/>
    <hyperlink ref="B26" r:id="rId25" xr:uid="{90E56D22-7555-4B3C-B9AD-AF00AE447360}"/>
    <hyperlink ref="B27" r:id="rId26" xr:uid="{A21CD07F-941E-4E55-B918-26E659AA8555}"/>
    <hyperlink ref="B28" r:id="rId27" xr:uid="{DF604027-73A5-4B6B-A182-6695F540B9AF}"/>
    <hyperlink ref="B29" r:id="rId28" xr:uid="{EAF66EF9-9DF9-45DA-9005-659933BF0DA4}"/>
    <hyperlink ref="B30" r:id="rId29" xr:uid="{96DCB6BC-780F-4843-A871-CC55F4560336}"/>
    <hyperlink ref="B31" r:id="rId30" xr:uid="{AD67F901-2804-4C14-9093-81AB04E301DF}"/>
    <hyperlink ref="B32" r:id="rId31" xr:uid="{B74360CA-9B0C-4079-8E80-DC6FF3553EF6}"/>
    <hyperlink ref="B33" r:id="rId32" xr:uid="{0D5D47D8-2879-4E4C-9DAB-C1AD9078438B}"/>
    <hyperlink ref="B34" r:id="rId33" xr:uid="{B1E4B013-D9A2-4F1F-8344-0086478A2647}"/>
    <hyperlink ref="B35" r:id="rId34" xr:uid="{D0BF2612-A510-4A14-8E2E-CD28FCA0960C}"/>
    <hyperlink ref="B36" r:id="rId35" xr:uid="{CCF27EB7-195C-4511-83B2-D62FD3EB359D}"/>
    <hyperlink ref="B37" r:id="rId36" xr:uid="{AE0F30AE-EAD5-4722-85C4-14C4157B7756}"/>
    <hyperlink ref="B38" r:id="rId37" xr:uid="{F56C895C-18D6-4BD7-873E-3A2FC1394F22}"/>
    <hyperlink ref="B39" r:id="rId38" xr:uid="{03CFB586-D391-4C48-B174-1035AF068380}"/>
    <hyperlink ref="B40" r:id="rId39" xr:uid="{C55067DC-CE59-4E26-8B5A-CFBEEC0CCE1C}"/>
    <hyperlink ref="B41" r:id="rId40" xr:uid="{4E4D9AD2-8622-4E82-8D95-4D21839AD47D}"/>
    <hyperlink ref="B42" r:id="rId41" xr:uid="{9D458C01-81E2-4EC7-B2B0-9490F5D748B1}"/>
    <hyperlink ref="B43" r:id="rId42" xr:uid="{45A2C4B0-30B9-4283-8816-E36DAEE734BF}"/>
    <hyperlink ref="B44" r:id="rId43" xr:uid="{C2B9554B-F2E7-47A9-BE32-004465E35AA3}"/>
    <hyperlink ref="B45" r:id="rId44" xr:uid="{B969CBAC-06D1-40FC-8614-E3E7B95EBF15}"/>
    <hyperlink ref="B46" r:id="rId45" xr:uid="{5B52298A-7C0F-426E-BA86-EAD94ECF68FC}"/>
    <hyperlink ref="B47" r:id="rId46" xr:uid="{4E90D97A-C3D2-4D03-A945-4D5934C294F7}"/>
    <hyperlink ref="B48" r:id="rId47" xr:uid="{D074B9D9-AD09-496C-BAEC-EADACE9F8698}"/>
    <hyperlink ref="B49" r:id="rId48" xr:uid="{2F2A5E68-827D-40FB-8DC2-963F47CB1494}"/>
    <hyperlink ref="B50" r:id="rId49" xr:uid="{AB3387A5-E58B-4326-A439-D43A86B62CA8}"/>
    <hyperlink ref="B51" r:id="rId50" xr:uid="{805F7453-FAFA-4AE1-BAE2-081517AC6ADE}"/>
    <hyperlink ref="B52" r:id="rId51" xr:uid="{CA54E570-C90E-4015-912A-41C8C81E9D25}"/>
    <hyperlink ref="B53" r:id="rId52" xr:uid="{A3ADFB21-0249-40FE-970C-DAD6CC43EF57}"/>
    <hyperlink ref="B54" r:id="rId53" xr:uid="{0111ED2B-C23D-4CEC-9355-D136056FDC9F}"/>
    <hyperlink ref="B55" r:id="rId54" xr:uid="{50094389-3735-4C51-B501-4D566DBCD748}"/>
    <hyperlink ref="B56" r:id="rId55" xr:uid="{FB4C8476-8A3C-43F1-9D08-789C376C0D0A}"/>
    <hyperlink ref="B57" r:id="rId56" xr:uid="{6BE6D15A-F227-4CF1-98B4-43A43D676908}"/>
    <hyperlink ref="B58" r:id="rId57" xr:uid="{411AC39B-3990-4A6D-A89D-B7C1E259D1AA}"/>
    <hyperlink ref="B59" r:id="rId58" xr:uid="{3FE1C088-0C5E-47D6-AD77-A6B33531E3C5}"/>
    <hyperlink ref="B60" r:id="rId59" xr:uid="{ABE98E56-1EA2-440C-B376-FA9C83638316}"/>
    <hyperlink ref="B61" r:id="rId60" xr:uid="{9E112B1E-1368-44AB-9A2A-D6F3B74D957A}"/>
    <hyperlink ref="B62" r:id="rId61" xr:uid="{E60089E0-8E3B-467A-9C02-39D31EC4BD66}"/>
    <hyperlink ref="B63" r:id="rId62" xr:uid="{5878BE2D-22C6-4495-BB5C-0FD280CE22A3}"/>
    <hyperlink ref="B64" r:id="rId63" xr:uid="{7A03C455-2A39-49D7-9FD7-18517D8A8247}"/>
    <hyperlink ref="B65" r:id="rId64" xr:uid="{AE6C910C-47B6-44F5-9652-F6CF38B3CA1B}"/>
    <hyperlink ref="B66" r:id="rId65" xr:uid="{69B53CF5-AE33-47CF-89B4-1C74DA3AF666}"/>
    <hyperlink ref="B67" r:id="rId66" xr:uid="{FA05C108-E757-4573-BA12-E845D72EC7B8}"/>
    <hyperlink ref="B68" r:id="rId67" xr:uid="{22C2B930-E3FF-4517-813D-6AB181FED56A}"/>
    <hyperlink ref="B69" r:id="rId68" xr:uid="{B84E95EE-5929-49EF-8888-A386F1E5C5A1}"/>
    <hyperlink ref="B70" r:id="rId69" xr:uid="{1EE3966F-DA38-4166-98E8-A3738D6D32BA}"/>
    <hyperlink ref="B71" r:id="rId70" xr:uid="{30DEF7AA-7C89-4D52-8D86-4F160F3061F2}"/>
    <hyperlink ref="B72" r:id="rId71" xr:uid="{02EEA9CD-B304-4DEB-9A0B-5DF844EF0FCD}"/>
    <hyperlink ref="B73" r:id="rId72" xr:uid="{E879190A-F6DB-4CF7-9CF4-093DE86B882A}"/>
    <hyperlink ref="B74" r:id="rId73" xr:uid="{B1AE8ACA-7AF2-41C4-87BF-7330E1E1C5D4}"/>
    <hyperlink ref="B75" r:id="rId74" xr:uid="{D2DCCCE8-5BDE-454A-B4C7-BE08633E1510}"/>
    <hyperlink ref="B76" r:id="rId75" xr:uid="{5B6861DE-47BB-4E30-9CC8-7ECC505DD144}"/>
    <hyperlink ref="B77" r:id="rId76" xr:uid="{A850FCAA-0273-42C8-8C9F-3379C3233F34}"/>
    <hyperlink ref="B78" r:id="rId77" xr:uid="{26D7CE0E-7B32-4BE8-BFE9-8247251EB311}"/>
    <hyperlink ref="B79" r:id="rId78" xr:uid="{F85FCA4D-98A9-427A-8B30-9EE1CB77033E}"/>
    <hyperlink ref="B80" r:id="rId79" xr:uid="{FB32CB0D-8451-4895-9E6C-E7EDC1976836}"/>
    <hyperlink ref="B81" r:id="rId80" xr:uid="{48787293-9537-4304-A98C-947B0DD7AFE6}"/>
    <hyperlink ref="B82" r:id="rId81" xr:uid="{C26F7891-0DE8-43FF-87BF-37AAB03621DF}"/>
    <hyperlink ref="B83" r:id="rId82" xr:uid="{C5F38577-B05D-4D90-BFC3-63409BB03DCB}"/>
    <hyperlink ref="B84" r:id="rId83" xr:uid="{FD811F93-6DF0-48BF-B0E3-13853643C776}"/>
    <hyperlink ref="B85" r:id="rId84" xr:uid="{0CCFF1BF-C727-4E47-823B-FFCCB44CF931}"/>
    <hyperlink ref="B86" r:id="rId85" xr:uid="{A9D66B95-7DEB-4F79-9E0D-3DDC83260251}"/>
    <hyperlink ref="B87" r:id="rId86" xr:uid="{812FC292-3E7C-462B-81B2-532958A8E672}"/>
    <hyperlink ref="B88" r:id="rId87" xr:uid="{11606F77-A0FC-4B33-B0D1-8F59126557D4}"/>
    <hyperlink ref="B89" r:id="rId88" xr:uid="{80331B98-12DE-4B98-97DF-72E70E841CED}"/>
    <hyperlink ref="B90" r:id="rId89" xr:uid="{CA9E544D-9350-4E3B-B676-B7BC0CFF4E27}"/>
    <hyperlink ref="B91" r:id="rId90" xr:uid="{FCE621E5-9B38-40BD-B78D-19A18EC78780}"/>
    <hyperlink ref="B92" r:id="rId91" xr:uid="{E6CEB4DB-C27D-4BBF-BD0E-AA48DBE24B37}"/>
    <hyperlink ref="B93" r:id="rId92" xr:uid="{6FF1AD4D-00C2-4734-BCE9-206ED8E0E087}"/>
    <hyperlink ref="B94" r:id="rId93" xr:uid="{5828DA2F-2F45-4838-9C60-441C90E64D12}"/>
    <hyperlink ref="B95" r:id="rId94" xr:uid="{EB099AFC-F007-4824-862E-815CF13CCB8C}"/>
    <hyperlink ref="B96" r:id="rId95" xr:uid="{EA9F248C-BE4E-4F01-813C-DC18168BE20A}"/>
    <hyperlink ref="B97" r:id="rId96" xr:uid="{32239929-2C80-4326-AE68-06E6745464B1}"/>
    <hyperlink ref="B98" r:id="rId97" xr:uid="{6B06B80A-1D40-401E-B0F7-B74FDB8B699B}"/>
    <hyperlink ref="B99" r:id="rId98" xr:uid="{22D20230-376C-45AD-AF1C-593E3838F9CF}"/>
    <hyperlink ref="B100" r:id="rId99" xr:uid="{292F4AEE-7BFA-4C18-9D27-CDBF5F624F7D}"/>
    <hyperlink ref="B101" r:id="rId100" xr:uid="{5F2D6D5A-B14A-4C53-A7EB-5A77A0321BCC}"/>
    <hyperlink ref="B102" r:id="rId101" xr:uid="{049CDEDE-A151-4C23-9505-2688E80494DB}"/>
    <hyperlink ref="B103" r:id="rId102" xr:uid="{AD51C22A-AFC9-433C-BDF5-32CD7F12487D}"/>
    <hyperlink ref="B104" r:id="rId103" xr:uid="{8DC0937D-D6B3-42E2-9C45-20CCABF82A9E}"/>
    <hyperlink ref="B105" r:id="rId104" xr:uid="{3069E3F5-3339-4129-9DD7-460C764FE5C2}"/>
    <hyperlink ref="B106" r:id="rId105" xr:uid="{DA05F6E9-D8A9-437A-8030-2010C50D6476}"/>
    <hyperlink ref="B107" r:id="rId106" xr:uid="{D0DBFDE9-AEEC-4949-910E-995B886DDD6C}"/>
    <hyperlink ref="B108" r:id="rId107" xr:uid="{5371A5B5-FCCE-471A-BD82-913E07FE2A17}"/>
    <hyperlink ref="B109" r:id="rId108" xr:uid="{B4489D48-0488-4867-848A-34A1EF3BAC45}"/>
    <hyperlink ref="B110" r:id="rId109" xr:uid="{A85B6FE7-8709-46E0-AA8D-23EF5B9D3727}"/>
    <hyperlink ref="B111" r:id="rId110" xr:uid="{21ED4158-373B-4E82-ABC0-7076014AD4D3}"/>
    <hyperlink ref="B112" r:id="rId111" xr:uid="{9F77D19C-71E4-434E-BFDA-1122BCBE9A00}"/>
    <hyperlink ref="B113" r:id="rId112" xr:uid="{5A70826E-B8D8-4BAB-B52D-F59A0521EDFE}"/>
    <hyperlink ref="B114" r:id="rId113" xr:uid="{4D3E17CD-297D-48C2-9772-5FCF052E3B2E}"/>
    <hyperlink ref="B115" r:id="rId114" xr:uid="{22562B34-2A91-4DCE-8315-FA37460ED9DF}"/>
    <hyperlink ref="B116" r:id="rId115" xr:uid="{CBC20F67-8673-441A-B43D-5ED8905C3CF8}"/>
    <hyperlink ref="B117" r:id="rId116" xr:uid="{BF61BF9D-F1D5-42FC-8E97-56FD165C6966}"/>
    <hyperlink ref="B118" r:id="rId117" xr:uid="{8161B105-1668-47E8-BCD7-4E8719FE311F}"/>
    <hyperlink ref="B119" r:id="rId118" xr:uid="{9E970B7B-E4FF-4857-8EC7-D7A0692640EB}"/>
    <hyperlink ref="B120" r:id="rId119" xr:uid="{BD7FFE71-CC64-47A4-BE07-CF9221F2DF78}"/>
    <hyperlink ref="B121" r:id="rId120" xr:uid="{DA9102EE-665A-4099-B4D9-4F9EFC401564}"/>
    <hyperlink ref="B122" r:id="rId121" xr:uid="{CAD01A88-A55A-4BF6-9DA5-086D6234C9F1}"/>
    <hyperlink ref="B123" r:id="rId122" xr:uid="{66493917-05DB-4827-B7F4-6687502DA4B1}"/>
    <hyperlink ref="B124" r:id="rId123" xr:uid="{51E2801A-FBE2-49BE-B3C5-B99450E9AB87}"/>
    <hyperlink ref="B125" r:id="rId124" xr:uid="{E3147316-5B8C-41FE-8C3D-C0BDCD5839BD}"/>
    <hyperlink ref="B126" r:id="rId125" xr:uid="{50642B71-9C96-4507-9552-6AAACAF8DE9D}"/>
    <hyperlink ref="B127" r:id="rId126" xr:uid="{941A6110-BA86-4521-B50C-A002CFA31009}"/>
    <hyperlink ref="B128" r:id="rId127" xr:uid="{F259B50F-260E-4766-A952-CE2497E06199}"/>
    <hyperlink ref="B129" r:id="rId128" xr:uid="{AFADC573-B4A0-473E-8980-500F22E098BA}"/>
    <hyperlink ref="B130" r:id="rId129" xr:uid="{2B39ABC9-ED45-4E05-9317-484FC77834DF}"/>
    <hyperlink ref="B131" r:id="rId130" xr:uid="{56F863FC-6BD1-400F-A798-DF074031AFBC}"/>
    <hyperlink ref="B132" r:id="rId131" xr:uid="{ABC37EB9-CF90-4B77-BE9A-84198E77ECDC}"/>
    <hyperlink ref="B133" r:id="rId132" xr:uid="{6F41FE25-396D-44D0-8D8F-9503DBEBC43B}"/>
    <hyperlink ref="B134" r:id="rId133" xr:uid="{B53ED3DF-4B35-4E3A-AE7D-044CB9A65FA4}"/>
    <hyperlink ref="B135" r:id="rId134" xr:uid="{CCB9BACC-ACE8-43B1-A264-0156423B5718}"/>
    <hyperlink ref="B136" r:id="rId135" xr:uid="{19227E8D-9ED2-464A-9D5E-6C41841596D2}"/>
    <hyperlink ref="B137" r:id="rId136" xr:uid="{8A60C877-4897-4A8D-A755-B5A331D2C665}"/>
    <hyperlink ref="B138" r:id="rId137" xr:uid="{E8F95189-99CD-497E-94AB-3D42158BD9AD}"/>
    <hyperlink ref="B139" r:id="rId138" xr:uid="{9798C775-62D5-4B54-8042-9CB44305338D}"/>
    <hyperlink ref="B140" r:id="rId139" xr:uid="{6A9398D1-38B7-4D45-ACDB-43E5D4553930}"/>
    <hyperlink ref="B141" r:id="rId140" xr:uid="{609C7ED9-02E3-44D3-BF2D-D16BABC63152}"/>
    <hyperlink ref="B142" r:id="rId141" xr:uid="{5377912F-2B7B-4C78-97D1-75656E884727}"/>
    <hyperlink ref="B143" r:id="rId142" xr:uid="{B4E26831-042A-4E9F-B760-35676816E23B}"/>
    <hyperlink ref="B144" r:id="rId143" xr:uid="{49D24040-ECE3-4BF4-BE69-9E53A0831DA7}"/>
    <hyperlink ref="B145" r:id="rId144" xr:uid="{7F6055F3-1BF0-4DF7-81BD-83210D482D11}"/>
    <hyperlink ref="B146" r:id="rId145" xr:uid="{4D603F97-43C5-4F90-AE8A-550627A948C5}"/>
    <hyperlink ref="B147" r:id="rId146" xr:uid="{147C749D-C24A-45BF-B3BD-5C8A61484064}"/>
    <hyperlink ref="B148" r:id="rId147" xr:uid="{C17C7E8B-4987-4852-85B9-5B678E23BCC1}"/>
    <hyperlink ref="B149" r:id="rId148" xr:uid="{4C4C74D6-C231-4A05-91DA-D63352C4BE6C}"/>
    <hyperlink ref="B150" r:id="rId149" xr:uid="{6C10B9F6-7283-461E-BDF2-DBF51EE504A0}"/>
    <hyperlink ref="B151" r:id="rId150" xr:uid="{DA9BAA13-FBF3-4783-ADCD-4EEA1152A912}"/>
    <hyperlink ref="B152" r:id="rId151" xr:uid="{7DF52CD6-4627-41FE-AFEA-7E223FB31C71}"/>
    <hyperlink ref="B153" r:id="rId152" xr:uid="{D85D8684-097C-417F-9557-AC7391C7DD85}"/>
    <hyperlink ref="B154" r:id="rId153" xr:uid="{2BEB76A0-E080-4736-AF0C-82FF63D3BF14}"/>
    <hyperlink ref="B155" r:id="rId154" xr:uid="{A95B95BA-638A-4AAA-9F63-299C0C7C3985}"/>
    <hyperlink ref="B156" r:id="rId155" xr:uid="{125F8CE1-EA5A-4B71-892D-DF4872628C0B}"/>
    <hyperlink ref="B157" r:id="rId156" xr:uid="{490BDF95-19BA-492C-9E34-1FC3D40C9E59}"/>
    <hyperlink ref="B158" r:id="rId157" xr:uid="{F592CC0F-5C91-49CE-B620-F9F436F4590F}"/>
    <hyperlink ref="B159" r:id="rId158" xr:uid="{8AD3CF5B-69AE-4C1F-BABE-FBC3FDC47A44}"/>
    <hyperlink ref="B160" r:id="rId159" xr:uid="{F0ADB1CE-D6EB-4EA9-9D3F-DC77860DE534}"/>
    <hyperlink ref="B161" r:id="rId160" xr:uid="{4736551E-387E-4D21-9592-0CA8A54FEF1B}"/>
    <hyperlink ref="B162" r:id="rId161" xr:uid="{6AADB9D2-DE57-44A4-ADF4-819D570AFF70}"/>
    <hyperlink ref="B163" r:id="rId162" xr:uid="{7E6CCDBE-852E-42FE-808A-78B6441E2379}"/>
    <hyperlink ref="B164" r:id="rId163" xr:uid="{AF460400-B7A5-4EEB-9480-8B2618456E35}"/>
    <hyperlink ref="B165" r:id="rId164" xr:uid="{975DE3D6-0FBA-4744-8056-DCEB1A1C9EB4}"/>
    <hyperlink ref="B166" r:id="rId165" xr:uid="{0F3DF2CC-9CDF-4C6D-81CB-09B2F4147DB1}"/>
    <hyperlink ref="B167" r:id="rId166" xr:uid="{4657BB95-A124-4247-B127-96CEF28F22E5}"/>
    <hyperlink ref="B168" r:id="rId167" xr:uid="{D9404C30-26CF-4733-9FCF-31F9D8773388}"/>
    <hyperlink ref="B169" r:id="rId168" xr:uid="{213D834B-E701-4A3F-AF37-94F35D7A84C2}"/>
    <hyperlink ref="B170" r:id="rId169" xr:uid="{E4A1714E-EC17-4E15-A63B-779DAE0DBE62}"/>
    <hyperlink ref="B171" r:id="rId170" xr:uid="{FAE175BE-EF84-40CC-B88B-5896CBC397B9}"/>
    <hyperlink ref="B172" r:id="rId171" xr:uid="{A04F0A47-70EA-44BC-845E-EBD8DAB86233}"/>
    <hyperlink ref="B173" r:id="rId172" xr:uid="{E7610E4F-12A4-40E6-AD7A-2956124C22CF}"/>
    <hyperlink ref="B174" r:id="rId173" xr:uid="{7B240BAF-C45E-4D81-BE28-CEC754AFC2CC}"/>
    <hyperlink ref="B175" r:id="rId174" xr:uid="{DA201697-9C88-45E0-89D5-1BED2C0A5467}"/>
    <hyperlink ref="B176" r:id="rId175" xr:uid="{ECFAA27C-909C-496E-87A6-3DB88F1DF7D0}"/>
    <hyperlink ref="B177" r:id="rId176" xr:uid="{C5D8734B-39E8-4E68-A504-099D9EF15ED5}"/>
    <hyperlink ref="B178" r:id="rId177" xr:uid="{0CFDA387-0CFF-4C37-976C-B87072573C26}"/>
    <hyperlink ref="B179" r:id="rId178" xr:uid="{69002F9D-CD6D-4C96-9430-D5D94F04584D}"/>
    <hyperlink ref="B180" r:id="rId179" xr:uid="{9BE01AE0-76C8-47CC-AA2B-F52C8701A4A8}"/>
    <hyperlink ref="B181" r:id="rId180" xr:uid="{386140F3-AD7A-41D7-8116-73977DA3FB34}"/>
    <hyperlink ref="B182" r:id="rId181" xr:uid="{3A86D3C9-EFBF-488E-8772-D36AEACA9D36}"/>
    <hyperlink ref="B183" r:id="rId182" xr:uid="{43A51A26-FAC5-4E37-810D-3EDDF588BE83}"/>
    <hyperlink ref="B184" r:id="rId183" xr:uid="{1EB5ACDD-3757-4737-9174-1BB6093EA099}"/>
    <hyperlink ref="B185" r:id="rId184" xr:uid="{12E54567-94B3-4029-ACC9-9E580FDBCEF3}"/>
    <hyperlink ref="B186" r:id="rId185" xr:uid="{9F0CB97E-677B-4977-BD92-B22AF68F57E8}"/>
    <hyperlink ref="B187" r:id="rId186" xr:uid="{D9E1D62F-5EAA-4937-84D3-CC0C709D3E07}"/>
    <hyperlink ref="B188" r:id="rId187" xr:uid="{76DF7B16-DA01-47C1-9C5A-4E8635D293E4}"/>
    <hyperlink ref="B189" r:id="rId188" xr:uid="{82A7950F-582C-4113-9350-A6350ADE4EF2}"/>
    <hyperlink ref="B190" r:id="rId189" xr:uid="{1D4569A3-9CC3-4C10-884C-561582951568}"/>
    <hyperlink ref="B191" r:id="rId190" xr:uid="{324E50BE-E041-4A58-A14D-E5E069FF782A}"/>
    <hyperlink ref="B192" r:id="rId191" xr:uid="{ABC11CBE-3DFE-47A3-B5AE-089E415BFDE3}"/>
    <hyperlink ref="B193" r:id="rId192" xr:uid="{32A7BBC9-2AAA-4A82-B58F-A018BE0A6765}"/>
    <hyperlink ref="B194" r:id="rId193" xr:uid="{B4D2D7F4-61A7-4902-9270-A2C47D3CD5B4}"/>
    <hyperlink ref="B195" r:id="rId194" xr:uid="{CF537F2A-DD7E-4491-AAFF-F9D728D5C935}"/>
    <hyperlink ref="B196" r:id="rId195" xr:uid="{71470EB6-A511-4B41-B023-D297B017108C}"/>
    <hyperlink ref="B197" r:id="rId196" xr:uid="{C88345EF-53B9-4317-82EA-4335471B9FFE}"/>
    <hyperlink ref="B198" r:id="rId197" xr:uid="{1E1E37A5-B206-40E4-9474-5672D0F7F9C3}"/>
    <hyperlink ref="B199" r:id="rId198" xr:uid="{D18B071E-3684-4254-AD3D-6EAFBCE5CA05}"/>
    <hyperlink ref="B200" r:id="rId199" xr:uid="{4A2D6FEF-1AB0-4E7F-81F6-2CE5F404AA28}"/>
    <hyperlink ref="B201" r:id="rId200" xr:uid="{D2FD9ADD-01B8-45D3-A7E3-6EB66DD64F60}"/>
    <hyperlink ref="B202" r:id="rId201" xr:uid="{C36680E9-BA27-4466-9867-CF2591536659}"/>
    <hyperlink ref="B203" r:id="rId202" xr:uid="{A1DB8AFF-AA4D-41DD-AC52-3931F188768F}"/>
    <hyperlink ref="B204" r:id="rId203" xr:uid="{1D652BA5-A72A-4EAC-9B77-72F38E66A05D}"/>
    <hyperlink ref="B205" r:id="rId204" xr:uid="{DCC22544-9ABB-4AB5-AC17-F74DA80D0A10}"/>
    <hyperlink ref="B206" r:id="rId205" xr:uid="{FD646DA3-7B50-4133-AC8E-0B6F67B059F4}"/>
    <hyperlink ref="B207" r:id="rId206" xr:uid="{33D6C7FD-8F3E-47E3-94C7-83448B2F20C3}"/>
    <hyperlink ref="B208" r:id="rId207" xr:uid="{43429EA3-8276-42D6-8A41-8949756EE30A}"/>
    <hyperlink ref="B209" r:id="rId208" xr:uid="{ADE22C9A-2ED2-4E8F-84CB-573A164DFE91}"/>
    <hyperlink ref="B210" r:id="rId209" xr:uid="{F5542FF9-8722-4AAC-9CAD-D56425DBD842}"/>
    <hyperlink ref="B211" r:id="rId210" xr:uid="{E41CF764-9D30-4596-BC12-5ECBB8CF82A6}"/>
    <hyperlink ref="B212" r:id="rId211" xr:uid="{58DEDEA1-FD81-4BB5-8390-7B462871A18F}"/>
    <hyperlink ref="B213" r:id="rId212" xr:uid="{716B5D1F-7DB8-4DD9-A687-B4234E9DB062}"/>
    <hyperlink ref="B214" r:id="rId213" xr:uid="{7AC56B23-238E-450A-98CB-D8A2038FDC92}"/>
    <hyperlink ref="B215" r:id="rId214" xr:uid="{FA3E6261-B0D4-405F-B296-FDFAB8AFBD42}"/>
    <hyperlink ref="B216" r:id="rId215" xr:uid="{0C470317-F01F-4DBA-AE62-B31EE3BD3A35}"/>
    <hyperlink ref="B217" r:id="rId216" xr:uid="{62122E10-9EF9-46DE-969D-A4A177067EDB}"/>
    <hyperlink ref="B218" r:id="rId217" xr:uid="{77FB5386-CFD8-4591-B0FA-025AF4846B5B}"/>
    <hyperlink ref="B219" r:id="rId218" xr:uid="{11153A13-8B33-4EFD-8ABB-C97822C293B7}"/>
    <hyperlink ref="B220" r:id="rId219" xr:uid="{21BCEC68-7201-42C5-9631-03AC258191A6}"/>
    <hyperlink ref="B221" r:id="rId220" xr:uid="{4F3D1C94-D093-44A9-87C0-0E1F32CBE1D4}"/>
  </hyperlinks>
  <pageMargins left="0.7" right="0.7" top="0.75" bottom="0.75" header="0.3" footer="0.3"/>
  <tableParts count="1">
    <tablePart r:id="rId22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36D82-FCAB-46FB-90A9-7EC8A22B03F2}">
  <dimension ref="A1:AD270"/>
  <sheetViews>
    <sheetView topLeftCell="E191" workbookViewId="0">
      <selection activeCell="G224" sqref="G224"/>
    </sheetView>
  </sheetViews>
  <sheetFormatPr defaultColWidth="11.42578125" defaultRowHeight="15" x14ac:dyDescent="0.25"/>
  <cols>
    <col min="2" max="2" width="22.28515625" customWidth="1"/>
    <col min="3" max="3" width="32.85546875" customWidth="1"/>
    <col min="4" max="4" width="15.28515625" customWidth="1"/>
    <col min="5" max="5" width="31.85546875" customWidth="1"/>
    <col min="6" max="7" width="21.85546875" customWidth="1"/>
    <col min="8" max="8" width="12.140625" customWidth="1"/>
    <col min="12" max="12" width="12.7109375" customWidth="1"/>
    <col min="13" max="13" width="29.28515625" customWidth="1"/>
    <col min="14" max="14" width="20" customWidth="1"/>
    <col min="15" max="16" width="15.42578125" customWidth="1"/>
    <col min="17" max="17" width="12.42578125" customWidth="1"/>
    <col min="18" max="20" width="26.42578125" customWidth="1"/>
    <col min="21" max="21" width="16.7109375" customWidth="1"/>
    <col min="23" max="23" width="15.42578125" customWidth="1"/>
    <col min="25" max="25" width="19.85546875" customWidth="1"/>
    <col min="26" max="26" width="15.7109375" customWidth="1"/>
    <col min="28" max="28" width="16" customWidth="1"/>
  </cols>
  <sheetData>
    <row r="1" spans="1:30" ht="46.5" customHeight="1" x14ac:dyDescent="0.25">
      <c r="A1" s="53" t="s">
        <v>0</v>
      </c>
      <c r="B1" s="52" t="s">
        <v>1</v>
      </c>
      <c r="C1" s="49" t="s">
        <v>2</v>
      </c>
      <c r="D1" s="52" t="s">
        <v>3</v>
      </c>
      <c r="E1" s="50" t="s">
        <v>4</v>
      </c>
      <c r="F1" s="52" t="s">
        <v>5</v>
      </c>
      <c r="G1" s="52" t="s">
        <v>6</v>
      </c>
      <c r="H1" s="52" t="s">
        <v>7</v>
      </c>
      <c r="I1" s="52" t="s">
        <v>8</v>
      </c>
      <c r="J1" s="52" t="s">
        <v>9</v>
      </c>
      <c r="K1" s="48" t="s">
        <v>10</v>
      </c>
      <c r="L1" s="48" t="s">
        <v>11</v>
      </c>
      <c r="M1" s="48" t="s">
        <v>12</v>
      </c>
      <c r="N1" s="48" t="s">
        <v>13</v>
      </c>
      <c r="O1" s="48" t="s">
        <v>14</v>
      </c>
      <c r="P1" s="48" t="s">
        <v>15</v>
      </c>
      <c r="Q1" s="48" t="s">
        <v>16</v>
      </c>
      <c r="R1" s="48" t="s">
        <v>17</v>
      </c>
      <c r="S1" s="48" t="s">
        <v>9149</v>
      </c>
      <c r="T1" s="48" t="s">
        <v>9150</v>
      </c>
      <c r="U1" s="48" t="s">
        <v>18</v>
      </c>
      <c r="V1" s="48" t="s">
        <v>19</v>
      </c>
      <c r="W1" s="48" t="s">
        <v>20</v>
      </c>
      <c r="X1" s="48" t="s">
        <v>21</v>
      </c>
      <c r="Y1" s="48" t="s">
        <v>22</v>
      </c>
      <c r="Z1" s="48" t="s">
        <v>23</v>
      </c>
      <c r="AA1" s="48" t="s">
        <v>24</v>
      </c>
      <c r="AB1" s="48" t="s">
        <v>25</v>
      </c>
      <c r="AC1" s="48" t="s">
        <v>201</v>
      </c>
      <c r="AD1" s="51" t="s">
        <v>27</v>
      </c>
    </row>
    <row r="2" spans="1:30" x14ac:dyDescent="0.25">
      <c r="A2" s="36">
        <v>987</v>
      </c>
      <c r="B2" s="14" t="s">
        <v>2001</v>
      </c>
      <c r="C2" s="14" t="s">
        <v>2002</v>
      </c>
      <c r="D2" s="17">
        <v>44138</v>
      </c>
      <c r="E2" s="14" t="s">
        <v>30</v>
      </c>
      <c r="F2" s="14">
        <v>1551</v>
      </c>
      <c r="G2" s="14">
        <v>210</v>
      </c>
      <c r="H2" s="14">
        <v>6</v>
      </c>
      <c r="I2" s="14">
        <v>3</v>
      </c>
      <c r="J2" s="14" t="s">
        <v>204</v>
      </c>
      <c r="K2" s="14" cm="1">
        <f t="array" ref="K2">INT(SUMPRODUCT(--ISNUMBER(SEARCH(economy,C2)))&gt;0)</f>
        <v>0</v>
      </c>
      <c r="L2" s="14" cm="1">
        <f t="array" ref="L2">INT(SUMPRODUCT(--ISNUMBER(SEARCH(healthcare,C2)))&gt;0)</f>
        <v>0</v>
      </c>
      <c r="M2" s="14" cm="1">
        <f t="array" ref="M2">INT(SUMPRODUCT(--ISNUMBER(SEARCH(supreme,C2)))&gt;0)</f>
        <v>0</v>
      </c>
      <c r="N2" s="14" cm="1">
        <f t="array" ref="N2">INT(SUMPRODUCT(--ISNUMBER(SEARCH(covid,C2)))&gt;0)</f>
        <v>0</v>
      </c>
      <c r="O2" s="14" cm="1">
        <f t="array" ref="O2">INT(SUMPRODUCT(--ISNUMBER(SEARCH(violent,C2)))&gt;0)</f>
        <v>0</v>
      </c>
      <c r="P2" s="14" cm="1">
        <f t="array" ref="P2">INT(SUMPRODUCT(--ISNUMBER(SEARCH(foreign,C2)))&gt;0)</f>
        <v>0</v>
      </c>
      <c r="Q2" s="14" cm="1">
        <f t="array" ref="Q2">INT(SUMPRODUCT(--ISNUMBER(SEARCH(gun,C2)))&gt;0)</f>
        <v>0</v>
      </c>
      <c r="R2" s="14" cm="1">
        <f t="array" ref="R2">INT(SUMPRODUCT(--ISNUMBER(SEARCH(race,C2)))&gt;0)</f>
        <v>0</v>
      </c>
      <c r="S2" s="14" cm="1">
        <f t="array" ref="S2">INT(SUMPRODUCT(--ISNUMBER(SEARCH(immigration,C2)))&gt;0)</f>
        <v>0</v>
      </c>
      <c r="T2" s="14" cm="1">
        <f t="array" ref="T2">INT(SUMPRODUCT(--ISNUMBER(SEARCH(econineq,C3)))&gt;0)</f>
        <v>0</v>
      </c>
      <c r="U2" s="14" cm="1">
        <f t="array" ref="U2">INT(SUMPRODUCT(--ISNUMBER(SEARCH(climate,C2)))&gt;0)</f>
        <v>0</v>
      </c>
      <c r="V2" s="14" cm="1">
        <f t="array" ref="V2">INT(SUMPRODUCT(--ISNUMBER(SEARCH(abortion,C2)))&gt;0)</f>
        <v>0</v>
      </c>
      <c r="W2" s="14" cm="1">
        <f t="array" ref="W2">INT(SUMPRODUCT(--ISNUMBER(SEARCH(trump,C2)))&gt;0)</f>
        <v>0</v>
      </c>
      <c r="X2" s="14" cm="1">
        <f t="array" ref="X2">INT(SUMPRODUCT(--ISNUMBER(SEARCH(voting,C2)))&gt;0)</f>
        <v>1</v>
      </c>
      <c r="Y2" s="14" cm="1">
        <f t="array" ref="Y2">INT(SUMPRODUCT(--ISNUMBER(SEARCH(democrattrigger,C2)))&gt;0)</f>
        <v>0</v>
      </c>
      <c r="Z2" s="14" cm="1">
        <f t="array" ref="Z2">INT(SUMPRODUCT(--ISNUMBER(SEARCH(bipartisan,C2)))&gt;0)</f>
        <v>0</v>
      </c>
      <c r="AA2" s="14">
        <f>INT(IF(COUNTIF(K2:Z2,1)=0,"1","0"))</f>
        <v>0</v>
      </c>
      <c r="AB2" s="14"/>
      <c r="AC2" s="30" t="s">
        <v>223</v>
      </c>
      <c r="AD2" s="37" t="s">
        <v>223</v>
      </c>
    </row>
    <row r="3" spans="1:30" x14ac:dyDescent="0.25">
      <c r="A3" s="36">
        <v>988</v>
      </c>
      <c r="B3" s="14" t="s">
        <v>2003</v>
      </c>
      <c r="C3" s="14" t="s">
        <v>2004</v>
      </c>
      <c r="D3" s="17">
        <v>44138</v>
      </c>
      <c r="E3" s="14" t="s">
        <v>30</v>
      </c>
      <c r="F3" s="14">
        <v>513</v>
      </c>
      <c r="G3" s="14">
        <v>90</v>
      </c>
      <c r="H3" s="14">
        <v>6</v>
      </c>
      <c r="I3" s="14">
        <v>3</v>
      </c>
      <c r="J3" s="14" t="s">
        <v>204</v>
      </c>
      <c r="K3" s="14" cm="1">
        <f t="array" ref="K3">INT(SUMPRODUCT(--ISNUMBER(SEARCH(economy,C3)))&gt;0)</f>
        <v>0</v>
      </c>
      <c r="L3" s="14" cm="1">
        <f t="array" ref="L3">INT(SUMPRODUCT(--ISNUMBER(SEARCH(healthcare,C3)))&gt;0)</f>
        <v>0</v>
      </c>
      <c r="M3" s="14" cm="1">
        <f t="array" ref="M3">INT(SUMPRODUCT(--ISNUMBER(SEARCH(supreme,C3)))&gt;0)</f>
        <v>0</v>
      </c>
      <c r="N3" s="14" cm="1">
        <f t="array" ref="N3">INT(SUMPRODUCT(--ISNUMBER(SEARCH(covid,C3)))&gt;0)</f>
        <v>0</v>
      </c>
      <c r="O3" s="14" cm="1">
        <f t="array" ref="O3">INT(SUMPRODUCT(--ISNUMBER(SEARCH(violent,C3)))&gt;0)</f>
        <v>0</v>
      </c>
      <c r="P3" s="14" cm="1">
        <f t="array" ref="P3">INT(SUMPRODUCT(--ISNUMBER(SEARCH(foreign,C3)))&gt;0)</f>
        <v>0</v>
      </c>
      <c r="Q3" s="14" cm="1">
        <f t="array" ref="Q3">INT(SUMPRODUCT(--ISNUMBER(SEARCH(gun,C3)))&gt;0)</f>
        <v>0</v>
      </c>
      <c r="R3" s="14" cm="1">
        <f t="array" ref="R3">INT(SUMPRODUCT(--ISNUMBER(SEARCH(race,C3)))&gt;0)</f>
        <v>0</v>
      </c>
      <c r="S3" s="14" cm="1">
        <f t="array" ref="S3">INT(SUMPRODUCT(--ISNUMBER(SEARCH(immigration,C3)))&gt;0)</f>
        <v>0</v>
      </c>
      <c r="T3" s="14" cm="1">
        <f t="array" ref="T3">INT(SUMPRODUCT(--ISNUMBER(SEARCH(econineq,C4)))&gt;0)</f>
        <v>0</v>
      </c>
      <c r="U3" s="14" cm="1">
        <f t="array" ref="U3">INT(SUMPRODUCT(--ISNUMBER(SEARCH(climate,C3)))&gt;0)</f>
        <v>0</v>
      </c>
      <c r="V3" s="14" cm="1">
        <f t="array" ref="V3">INT(SUMPRODUCT(--ISNUMBER(SEARCH(abortion,C3)))&gt;0)</f>
        <v>0</v>
      </c>
      <c r="W3" s="14" cm="1">
        <f t="array" ref="W3">INT(SUMPRODUCT(--ISNUMBER(SEARCH(trump,C3)))&gt;0)</f>
        <v>0</v>
      </c>
      <c r="X3" s="14" cm="1">
        <f t="array" ref="X3">INT(SUMPRODUCT(--ISNUMBER(SEARCH(voting,C3)))&gt;0)</f>
        <v>1</v>
      </c>
      <c r="Y3" s="14" cm="1">
        <f t="array" ref="Y3">INT(SUMPRODUCT(--ISNUMBER(SEARCH(democrattrigger,C3)))&gt;0)</f>
        <v>0</v>
      </c>
      <c r="Z3" s="14" cm="1">
        <f t="array" ref="Z3">INT(SUMPRODUCT(--ISNUMBER(SEARCH(bipartisan,C3)))&gt;0)</f>
        <v>0</v>
      </c>
      <c r="AA3" s="14">
        <f t="shared" ref="AA3:AA66" si="0">INT(IF(COUNTIF(K3:Z3,1)=0,"1","0"))</f>
        <v>0</v>
      </c>
      <c r="AB3" s="14"/>
      <c r="AC3" s="30">
        <v>0</v>
      </c>
      <c r="AD3" s="37">
        <v>1</v>
      </c>
    </row>
    <row r="4" spans="1:30" x14ac:dyDescent="0.25">
      <c r="A4" s="36">
        <v>989</v>
      </c>
      <c r="B4" s="14" t="s">
        <v>2005</v>
      </c>
      <c r="C4" s="14" t="s">
        <v>2006</v>
      </c>
      <c r="D4" s="17">
        <v>44138</v>
      </c>
      <c r="E4" s="14" t="s">
        <v>30</v>
      </c>
      <c r="F4" s="14">
        <v>343</v>
      </c>
      <c r="G4" s="14">
        <v>107</v>
      </c>
      <c r="H4" s="14">
        <v>6</v>
      </c>
      <c r="I4" s="14">
        <v>3</v>
      </c>
      <c r="J4" s="14" t="s">
        <v>204</v>
      </c>
      <c r="K4" s="14" cm="1">
        <f t="array" ref="K4">INT(SUMPRODUCT(--ISNUMBER(SEARCH(economy,C4)))&gt;0)</f>
        <v>0</v>
      </c>
      <c r="L4" s="14" cm="1">
        <f t="array" ref="L4">INT(SUMPRODUCT(--ISNUMBER(SEARCH(healthcare,C4)))&gt;0)</f>
        <v>0</v>
      </c>
      <c r="M4" s="14" cm="1">
        <f t="array" ref="M4">INT(SUMPRODUCT(--ISNUMBER(SEARCH(supreme,C4)))&gt;0)</f>
        <v>0</v>
      </c>
      <c r="N4" s="14" cm="1">
        <f t="array" ref="N4">INT(SUMPRODUCT(--ISNUMBER(SEARCH(covid,C4)))&gt;0)</f>
        <v>0</v>
      </c>
      <c r="O4" s="14" cm="1">
        <f t="array" ref="O4">INT(SUMPRODUCT(--ISNUMBER(SEARCH(violent,C4)))&gt;0)</f>
        <v>0</v>
      </c>
      <c r="P4" s="14" cm="1">
        <f t="array" ref="P4">INT(SUMPRODUCT(--ISNUMBER(SEARCH(foreign,C4)))&gt;0)</f>
        <v>0</v>
      </c>
      <c r="Q4" s="14" cm="1">
        <f t="array" ref="Q4">INT(SUMPRODUCT(--ISNUMBER(SEARCH(gun,C4)))&gt;0)</f>
        <v>0</v>
      </c>
      <c r="R4" s="14" cm="1">
        <f t="array" ref="R4">INT(SUMPRODUCT(--ISNUMBER(SEARCH(race,C4)))&gt;0)</f>
        <v>0</v>
      </c>
      <c r="S4" s="14" cm="1">
        <f t="array" ref="S4">INT(SUMPRODUCT(--ISNUMBER(SEARCH(immigration,C4)))&gt;0)</f>
        <v>0</v>
      </c>
      <c r="T4" s="14" cm="1">
        <f t="array" ref="T4">INT(SUMPRODUCT(--ISNUMBER(SEARCH(econineq,C5)))&gt;0)</f>
        <v>0</v>
      </c>
      <c r="U4" s="14" cm="1">
        <f t="array" ref="U4">INT(SUMPRODUCT(--ISNUMBER(SEARCH(climate,C4)))&gt;0)</f>
        <v>0</v>
      </c>
      <c r="V4" s="14" cm="1">
        <f t="array" ref="V4">INT(SUMPRODUCT(--ISNUMBER(SEARCH(abortion,C4)))&gt;0)</f>
        <v>0</v>
      </c>
      <c r="W4" s="14" cm="1">
        <f t="array" ref="W4">INT(SUMPRODUCT(--ISNUMBER(SEARCH(trump,C4)))&gt;0)</f>
        <v>0</v>
      </c>
      <c r="X4" s="14" cm="1">
        <f t="array" ref="X4">INT(SUMPRODUCT(--ISNUMBER(SEARCH(voting,C4)))&gt;0)</f>
        <v>1</v>
      </c>
      <c r="Y4" s="14" cm="1">
        <f t="array" ref="Y4">INT(SUMPRODUCT(--ISNUMBER(SEARCH(democrattrigger,C4)))&gt;0)</f>
        <v>0</v>
      </c>
      <c r="Z4" s="14" cm="1">
        <f t="array" ref="Z4">INT(SUMPRODUCT(--ISNUMBER(SEARCH(bipartisan,C4)))&gt;0)</f>
        <v>0</v>
      </c>
      <c r="AA4" s="14">
        <f t="shared" si="0"/>
        <v>0</v>
      </c>
      <c r="AB4" s="14"/>
      <c r="AC4" s="30">
        <v>0</v>
      </c>
      <c r="AD4" s="37">
        <v>1</v>
      </c>
    </row>
    <row r="5" spans="1:30" x14ac:dyDescent="0.25">
      <c r="A5" s="36">
        <v>990</v>
      </c>
      <c r="B5" s="14" t="s">
        <v>2007</v>
      </c>
      <c r="C5" s="14" t="s">
        <v>2008</v>
      </c>
      <c r="D5" s="17">
        <v>44138</v>
      </c>
      <c r="E5" s="14" t="s">
        <v>30</v>
      </c>
      <c r="F5" s="14">
        <v>1232</v>
      </c>
      <c r="G5" s="14">
        <v>238</v>
      </c>
      <c r="H5" s="14">
        <v>6</v>
      </c>
      <c r="I5" s="14">
        <v>3</v>
      </c>
      <c r="J5" s="14" t="s">
        <v>204</v>
      </c>
      <c r="K5" s="14" cm="1">
        <f t="array" ref="K5">INT(SUMPRODUCT(--ISNUMBER(SEARCH(economy,C5)))&gt;0)</f>
        <v>0</v>
      </c>
      <c r="L5" s="14" cm="1">
        <f t="array" ref="L5">INT(SUMPRODUCT(--ISNUMBER(SEARCH(healthcare,C5)))&gt;0)</f>
        <v>0</v>
      </c>
      <c r="M5" s="14" cm="1">
        <f t="array" ref="M5">INT(SUMPRODUCT(--ISNUMBER(SEARCH(supreme,C5)))&gt;0)</f>
        <v>0</v>
      </c>
      <c r="N5" s="14" cm="1">
        <f t="array" ref="N5">INT(SUMPRODUCT(--ISNUMBER(SEARCH(covid,C5)))&gt;0)</f>
        <v>0</v>
      </c>
      <c r="O5" s="14" cm="1">
        <f t="array" ref="O5">INT(SUMPRODUCT(--ISNUMBER(SEARCH(violent,C5)))&gt;0)</f>
        <v>0</v>
      </c>
      <c r="P5" s="14" cm="1">
        <f t="array" ref="P5">INT(SUMPRODUCT(--ISNUMBER(SEARCH(foreign,C5)))&gt;0)</f>
        <v>0</v>
      </c>
      <c r="Q5" s="14" cm="1">
        <f t="array" ref="Q5">INT(SUMPRODUCT(--ISNUMBER(SEARCH(gun,C5)))&gt;0)</f>
        <v>0</v>
      </c>
      <c r="R5" s="14" cm="1">
        <f t="array" ref="R5">INT(SUMPRODUCT(--ISNUMBER(SEARCH(race,C5)))&gt;0)</f>
        <v>0</v>
      </c>
      <c r="S5" s="14" cm="1">
        <f t="array" ref="S5">INT(SUMPRODUCT(--ISNUMBER(SEARCH(immigration,C5)))&gt;0)</f>
        <v>0</v>
      </c>
      <c r="T5" s="14" cm="1">
        <f t="array" ref="T5">INT(SUMPRODUCT(--ISNUMBER(SEARCH(econineq,C6)))&gt;0)</f>
        <v>0</v>
      </c>
      <c r="U5" s="14" cm="1">
        <f t="array" ref="U5">INT(SUMPRODUCT(--ISNUMBER(SEARCH(climate,C5)))&gt;0)</f>
        <v>0</v>
      </c>
      <c r="V5" s="14" cm="1">
        <f t="array" ref="V5">INT(SUMPRODUCT(--ISNUMBER(SEARCH(abortion,C5)))&gt;0)</f>
        <v>0</v>
      </c>
      <c r="W5" s="14" cm="1">
        <f t="array" ref="W5">INT(SUMPRODUCT(--ISNUMBER(SEARCH(trump,C5)))&gt;0)</f>
        <v>0</v>
      </c>
      <c r="X5" s="14" cm="1">
        <f t="array" ref="X5">INT(SUMPRODUCT(--ISNUMBER(SEARCH(voting,C5)))&gt;0)</f>
        <v>1</v>
      </c>
      <c r="Y5" s="14" cm="1">
        <f t="array" ref="Y5">INT(SUMPRODUCT(--ISNUMBER(SEARCH(democrattrigger,C5)))&gt;0)</f>
        <v>0</v>
      </c>
      <c r="Z5" s="14" cm="1">
        <f t="array" ref="Z5">INT(SUMPRODUCT(--ISNUMBER(SEARCH(bipartisan,C5)))&gt;0)</f>
        <v>0</v>
      </c>
      <c r="AA5" s="14">
        <f t="shared" si="0"/>
        <v>0</v>
      </c>
      <c r="AB5" s="14"/>
      <c r="AC5" s="30">
        <v>1</v>
      </c>
      <c r="AD5" s="37">
        <v>0</v>
      </c>
    </row>
    <row r="6" spans="1:30" x14ac:dyDescent="0.25">
      <c r="A6" s="36">
        <v>991</v>
      </c>
      <c r="B6" s="14" t="s">
        <v>2009</v>
      </c>
      <c r="C6" s="14" t="s">
        <v>2010</v>
      </c>
      <c r="D6" s="17">
        <v>44138</v>
      </c>
      <c r="E6" s="14" t="s">
        <v>30</v>
      </c>
      <c r="F6" s="14">
        <v>7649</v>
      </c>
      <c r="G6" s="14">
        <v>1561</v>
      </c>
      <c r="H6" s="14">
        <v>6</v>
      </c>
      <c r="I6" s="14">
        <v>3</v>
      </c>
      <c r="J6" s="14" t="s">
        <v>204</v>
      </c>
      <c r="K6" s="14" cm="1">
        <f t="array" ref="K6">INT(SUMPRODUCT(--ISNUMBER(SEARCH(economy,C6)))&gt;0)</f>
        <v>0</v>
      </c>
      <c r="L6" s="14" cm="1">
        <f t="array" ref="L6">INT(SUMPRODUCT(--ISNUMBER(SEARCH(healthcare,C6)))&gt;0)</f>
        <v>0</v>
      </c>
      <c r="M6" s="14" cm="1">
        <f t="array" ref="M6">INT(SUMPRODUCT(--ISNUMBER(SEARCH(supreme,C6)))&gt;0)</f>
        <v>0</v>
      </c>
      <c r="N6" s="14" cm="1">
        <f t="array" ref="N6">INT(SUMPRODUCT(--ISNUMBER(SEARCH(covid,C6)))&gt;0)</f>
        <v>1</v>
      </c>
      <c r="O6" s="14" cm="1">
        <f t="array" ref="O6">INT(SUMPRODUCT(--ISNUMBER(SEARCH(violent,C6)))&gt;0)</f>
        <v>0</v>
      </c>
      <c r="P6" s="14" cm="1">
        <f t="array" ref="P6">INT(SUMPRODUCT(--ISNUMBER(SEARCH(foreign,C6)))&gt;0)</f>
        <v>0</v>
      </c>
      <c r="Q6" s="14" cm="1">
        <f t="array" ref="Q6">INT(SUMPRODUCT(--ISNUMBER(SEARCH(gun,C6)))&gt;0)</f>
        <v>0</v>
      </c>
      <c r="R6" s="14" cm="1">
        <f t="array" ref="R6">INT(SUMPRODUCT(--ISNUMBER(SEARCH(race,C6)))&gt;0)</f>
        <v>0</v>
      </c>
      <c r="S6" s="14" cm="1">
        <f t="array" ref="S6">INT(SUMPRODUCT(--ISNUMBER(SEARCH(immigration,C6)))&gt;0)</f>
        <v>0</v>
      </c>
      <c r="T6" s="14" cm="1">
        <f t="array" ref="T6">INT(SUMPRODUCT(--ISNUMBER(SEARCH(econineq,C7)))&gt;0)</f>
        <v>0</v>
      </c>
      <c r="U6" s="14" cm="1">
        <f t="array" ref="U6">INT(SUMPRODUCT(--ISNUMBER(SEARCH(climate,C6)))&gt;0)</f>
        <v>0</v>
      </c>
      <c r="V6" s="14" cm="1">
        <f t="array" ref="V6">INT(SUMPRODUCT(--ISNUMBER(SEARCH(abortion,C6)))&gt;0)</f>
        <v>0</v>
      </c>
      <c r="W6" s="14" cm="1">
        <f t="array" ref="W6">INT(SUMPRODUCT(--ISNUMBER(SEARCH(trump,C6)))&gt;0)</f>
        <v>0</v>
      </c>
      <c r="X6" s="14" cm="1">
        <f t="array" ref="X6">INT(SUMPRODUCT(--ISNUMBER(SEARCH(voting,C6)))&gt;0)</f>
        <v>1</v>
      </c>
      <c r="Y6" s="14" cm="1">
        <f t="array" ref="Y6">INT(SUMPRODUCT(--ISNUMBER(SEARCH(democrattrigger,C6)))&gt;0)</f>
        <v>0</v>
      </c>
      <c r="Z6" s="14" cm="1">
        <f t="array" ref="Z6">INT(SUMPRODUCT(--ISNUMBER(SEARCH(bipartisan,C6)))&gt;0)</f>
        <v>0</v>
      </c>
      <c r="AA6" s="14">
        <f t="shared" si="0"/>
        <v>0</v>
      </c>
      <c r="AB6" s="14"/>
      <c r="AC6" s="30">
        <v>0</v>
      </c>
      <c r="AD6" s="37">
        <v>1</v>
      </c>
    </row>
    <row r="7" spans="1:30" x14ac:dyDescent="0.25">
      <c r="A7" s="36">
        <v>992</v>
      </c>
      <c r="B7" s="14" t="s">
        <v>2011</v>
      </c>
      <c r="C7" s="14" t="s">
        <v>2012</v>
      </c>
      <c r="D7" s="17">
        <v>44138</v>
      </c>
      <c r="E7" s="14" t="s">
        <v>30</v>
      </c>
      <c r="F7" s="14">
        <v>3346</v>
      </c>
      <c r="G7" s="14">
        <v>487</v>
      </c>
      <c r="H7" s="14">
        <v>6</v>
      </c>
      <c r="I7" s="14">
        <v>3</v>
      </c>
      <c r="J7" s="14" t="s">
        <v>204</v>
      </c>
      <c r="K7" s="14" cm="1">
        <f t="array" ref="K7">INT(SUMPRODUCT(--ISNUMBER(SEARCH(economy,C7)))&gt;0)</f>
        <v>0</v>
      </c>
      <c r="L7" s="14" cm="1">
        <f t="array" ref="L7">INT(SUMPRODUCT(--ISNUMBER(SEARCH(healthcare,C7)))&gt;0)</f>
        <v>0</v>
      </c>
      <c r="M7" s="14" cm="1">
        <f t="array" ref="M7">INT(SUMPRODUCT(--ISNUMBER(SEARCH(supreme,C7)))&gt;0)</f>
        <v>0</v>
      </c>
      <c r="N7" s="14" cm="1">
        <f t="array" ref="N7">INT(SUMPRODUCT(--ISNUMBER(SEARCH(covid,C7)))&gt;0)</f>
        <v>0</v>
      </c>
      <c r="O7" s="14" cm="1">
        <f t="array" ref="O7">INT(SUMPRODUCT(--ISNUMBER(SEARCH(violent,C7)))&gt;0)</f>
        <v>0</v>
      </c>
      <c r="P7" s="14" cm="1">
        <f t="array" ref="P7">INT(SUMPRODUCT(--ISNUMBER(SEARCH(foreign,C7)))&gt;0)</f>
        <v>0</v>
      </c>
      <c r="Q7" s="14" cm="1">
        <f t="array" ref="Q7">INT(SUMPRODUCT(--ISNUMBER(SEARCH(gun,C7)))&gt;0)</f>
        <v>0</v>
      </c>
      <c r="R7" s="14" cm="1">
        <f t="array" ref="R7">INT(SUMPRODUCT(--ISNUMBER(SEARCH(race,C7)))&gt;0)</f>
        <v>0</v>
      </c>
      <c r="S7" s="14" cm="1">
        <f t="array" ref="S7">INT(SUMPRODUCT(--ISNUMBER(SEARCH(immigration,C7)))&gt;0)</f>
        <v>0</v>
      </c>
      <c r="T7" s="14" cm="1">
        <f t="array" ref="T7">INT(SUMPRODUCT(--ISNUMBER(SEARCH(econineq,C8)))&gt;0)</f>
        <v>0</v>
      </c>
      <c r="U7" s="14" cm="1">
        <f t="array" ref="U7">INT(SUMPRODUCT(--ISNUMBER(SEARCH(climate,C7)))&gt;0)</f>
        <v>0</v>
      </c>
      <c r="V7" s="14" cm="1">
        <f t="array" ref="V7">INT(SUMPRODUCT(--ISNUMBER(SEARCH(abortion,C7)))&gt;0)</f>
        <v>0</v>
      </c>
      <c r="W7" s="14" cm="1">
        <f t="array" ref="W7">INT(SUMPRODUCT(--ISNUMBER(SEARCH(trump,C7)))&gt;0)</f>
        <v>0</v>
      </c>
      <c r="X7" s="14" cm="1">
        <f t="array" ref="X7">INT(SUMPRODUCT(--ISNUMBER(SEARCH(voting,C7)))&gt;0)</f>
        <v>0</v>
      </c>
      <c r="Y7" s="14" cm="1">
        <f t="array" ref="Y7">INT(SUMPRODUCT(--ISNUMBER(SEARCH(democrattrigger,C7)))&gt;0)</f>
        <v>0</v>
      </c>
      <c r="Z7" s="14" cm="1">
        <f t="array" ref="Z7">INT(SUMPRODUCT(--ISNUMBER(SEARCH(bipartisan,C7)))&gt;0)</f>
        <v>0</v>
      </c>
      <c r="AA7" s="14">
        <f t="shared" si="0"/>
        <v>1</v>
      </c>
      <c r="AB7" s="14"/>
      <c r="AC7" s="30" t="s">
        <v>223</v>
      </c>
      <c r="AD7" s="37" t="s">
        <v>223</v>
      </c>
    </row>
    <row r="8" spans="1:30" x14ac:dyDescent="0.25">
      <c r="A8" s="36">
        <v>993</v>
      </c>
      <c r="B8" s="14" t="s">
        <v>2013</v>
      </c>
      <c r="C8" s="14" t="s">
        <v>2014</v>
      </c>
      <c r="D8" s="17">
        <v>44138</v>
      </c>
      <c r="E8" s="14" t="s">
        <v>30</v>
      </c>
      <c r="F8" s="14">
        <v>4846</v>
      </c>
      <c r="G8" s="14">
        <v>593</v>
      </c>
      <c r="H8" s="14">
        <v>6</v>
      </c>
      <c r="I8" s="14">
        <v>3</v>
      </c>
      <c r="J8" s="14" t="s">
        <v>204</v>
      </c>
      <c r="K8" s="14" cm="1">
        <f t="array" ref="K8">INT(SUMPRODUCT(--ISNUMBER(SEARCH(economy,C8)))&gt;0)</f>
        <v>0</v>
      </c>
      <c r="L8" s="14" cm="1">
        <f t="array" ref="L8">INT(SUMPRODUCT(--ISNUMBER(SEARCH(healthcare,C8)))&gt;0)</f>
        <v>0</v>
      </c>
      <c r="M8" s="14" cm="1">
        <f t="array" ref="M8">INT(SUMPRODUCT(--ISNUMBER(SEARCH(supreme,C8)))&gt;0)</f>
        <v>0</v>
      </c>
      <c r="N8" s="14" cm="1">
        <f t="array" ref="N8">INT(SUMPRODUCT(--ISNUMBER(SEARCH(covid,C8)))&gt;0)</f>
        <v>0</v>
      </c>
      <c r="O8" s="14" cm="1">
        <f t="array" ref="O8">INT(SUMPRODUCT(--ISNUMBER(SEARCH(violent,C8)))&gt;0)</f>
        <v>0</v>
      </c>
      <c r="P8" s="14" cm="1">
        <f t="array" ref="P8">INT(SUMPRODUCT(--ISNUMBER(SEARCH(foreign,C8)))&gt;0)</f>
        <v>0</v>
      </c>
      <c r="Q8" s="14" cm="1">
        <f t="array" ref="Q8">INT(SUMPRODUCT(--ISNUMBER(SEARCH(gun,C8)))&gt;0)</f>
        <v>0</v>
      </c>
      <c r="R8" s="14" cm="1">
        <f t="array" ref="R8">INT(SUMPRODUCT(--ISNUMBER(SEARCH(race,C8)))&gt;0)</f>
        <v>0</v>
      </c>
      <c r="S8" s="14" cm="1">
        <f t="array" ref="S8">INT(SUMPRODUCT(--ISNUMBER(SEARCH(immigration,C8)))&gt;0)</f>
        <v>0</v>
      </c>
      <c r="T8" s="14" cm="1">
        <f t="array" ref="T8">INT(SUMPRODUCT(--ISNUMBER(SEARCH(econineq,C9)))&gt;0)</f>
        <v>1</v>
      </c>
      <c r="U8" s="14" cm="1">
        <f t="array" ref="U8">INT(SUMPRODUCT(--ISNUMBER(SEARCH(climate,C8)))&gt;0)</f>
        <v>0</v>
      </c>
      <c r="V8" s="14" cm="1">
        <f t="array" ref="V8">INT(SUMPRODUCT(--ISNUMBER(SEARCH(abortion,C8)))&gt;0)</f>
        <v>0</v>
      </c>
      <c r="W8" s="14" cm="1">
        <f t="array" ref="W8">INT(SUMPRODUCT(--ISNUMBER(SEARCH(trump,C8)))&gt;0)</f>
        <v>0</v>
      </c>
      <c r="X8" s="14" cm="1">
        <f t="array" ref="X8">INT(SUMPRODUCT(--ISNUMBER(SEARCH(voting,C8)))&gt;0)</f>
        <v>0</v>
      </c>
      <c r="Y8" s="14" cm="1">
        <f t="array" ref="Y8">INT(SUMPRODUCT(--ISNUMBER(SEARCH(democrattrigger,C8)))&gt;0)</f>
        <v>0</v>
      </c>
      <c r="Z8" s="14" cm="1">
        <f t="array" ref="Z8">INT(SUMPRODUCT(--ISNUMBER(SEARCH(bipartisan,C8)))&gt;0)</f>
        <v>0</v>
      </c>
      <c r="AA8" s="14">
        <f t="shared" si="0"/>
        <v>0</v>
      </c>
      <c r="AB8" s="14"/>
      <c r="AC8" s="30">
        <v>1</v>
      </c>
      <c r="AD8" s="37">
        <v>0</v>
      </c>
    </row>
    <row r="9" spans="1:30" x14ac:dyDescent="0.25">
      <c r="A9" s="36">
        <v>994</v>
      </c>
      <c r="B9" s="14" t="s">
        <v>2015</v>
      </c>
      <c r="C9" s="14" t="s">
        <v>2016</v>
      </c>
      <c r="D9" s="17">
        <v>44137</v>
      </c>
      <c r="E9" s="14" t="s">
        <v>30</v>
      </c>
      <c r="F9" s="14">
        <v>1522</v>
      </c>
      <c r="G9" s="14">
        <v>313</v>
      </c>
      <c r="H9" s="14">
        <v>6</v>
      </c>
      <c r="I9" s="14">
        <v>3</v>
      </c>
      <c r="J9" s="14" t="s">
        <v>204</v>
      </c>
      <c r="K9" s="14" cm="1">
        <f t="array" ref="K9">INT(SUMPRODUCT(--ISNUMBER(SEARCH(economy,C9)))&gt;0)</f>
        <v>0</v>
      </c>
      <c r="L9" s="14" cm="1">
        <f t="array" ref="L9">INT(SUMPRODUCT(--ISNUMBER(SEARCH(healthcare,C9)))&gt;0)</f>
        <v>0</v>
      </c>
      <c r="M9" s="14" cm="1">
        <f t="array" ref="M9">INT(SUMPRODUCT(--ISNUMBER(SEARCH(supreme,C9)))&gt;0)</f>
        <v>0</v>
      </c>
      <c r="N9" s="14" cm="1">
        <f t="array" ref="N9">INT(SUMPRODUCT(--ISNUMBER(SEARCH(covid,C9)))&gt;0)</f>
        <v>0</v>
      </c>
      <c r="O9" s="14" cm="1">
        <f t="array" ref="O9">INT(SUMPRODUCT(--ISNUMBER(SEARCH(violent,C9)))&gt;0)</f>
        <v>0</v>
      </c>
      <c r="P9" s="14" cm="1">
        <f t="array" ref="P9">INT(SUMPRODUCT(--ISNUMBER(SEARCH(foreign,C9)))&gt;0)</f>
        <v>0</v>
      </c>
      <c r="Q9" s="14" cm="1">
        <f t="array" ref="Q9">INT(SUMPRODUCT(--ISNUMBER(SEARCH(gun,C9)))&gt;0)</f>
        <v>0</v>
      </c>
      <c r="R9" s="14" cm="1">
        <f t="array" ref="R9">INT(SUMPRODUCT(--ISNUMBER(SEARCH(race,C9)))&gt;0)</f>
        <v>0</v>
      </c>
      <c r="S9" s="14" cm="1">
        <f t="array" ref="S9">INT(SUMPRODUCT(--ISNUMBER(SEARCH(immigration,C9)))&gt;0)</f>
        <v>0</v>
      </c>
      <c r="T9" s="14" cm="1">
        <f t="array" ref="T9">INT(SUMPRODUCT(--ISNUMBER(SEARCH(econineq,C10)))&gt;0)</f>
        <v>0</v>
      </c>
      <c r="U9" s="14" cm="1">
        <f t="array" ref="U9">INT(SUMPRODUCT(--ISNUMBER(SEARCH(climate,C9)))&gt;0)</f>
        <v>0</v>
      </c>
      <c r="V9" s="14" cm="1">
        <f t="array" ref="V9">INT(SUMPRODUCT(--ISNUMBER(SEARCH(abortion,C9)))&gt;0)</f>
        <v>0</v>
      </c>
      <c r="W9" s="14" cm="1">
        <f t="array" ref="W9">INT(SUMPRODUCT(--ISNUMBER(SEARCH(trump,C9)))&gt;0)</f>
        <v>0</v>
      </c>
      <c r="X9" s="14" cm="1">
        <f t="array" ref="X9">INT(SUMPRODUCT(--ISNUMBER(SEARCH(voting,C9)))&gt;0)</f>
        <v>0</v>
      </c>
      <c r="Y9" s="14" cm="1">
        <f t="array" ref="Y9">INT(SUMPRODUCT(--ISNUMBER(SEARCH(democrattrigger,C9)))&gt;0)</f>
        <v>0</v>
      </c>
      <c r="Z9" s="14" cm="1">
        <f t="array" ref="Z9">INT(SUMPRODUCT(--ISNUMBER(SEARCH(bipartisan,C9)))&gt;0)</f>
        <v>0</v>
      </c>
      <c r="AA9" s="14">
        <f t="shared" si="0"/>
        <v>1</v>
      </c>
      <c r="AB9" s="14"/>
      <c r="AC9" s="30">
        <v>1</v>
      </c>
      <c r="AD9" s="37">
        <v>0</v>
      </c>
    </row>
    <row r="10" spans="1:30" x14ac:dyDescent="0.25">
      <c r="A10" s="36">
        <v>995</v>
      </c>
      <c r="B10" s="14" t="s">
        <v>2017</v>
      </c>
      <c r="C10" s="14" t="s">
        <v>2018</v>
      </c>
      <c r="D10" s="17">
        <v>44137</v>
      </c>
      <c r="E10" s="14" t="s">
        <v>30</v>
      </c>
      <c r="F10" s="14">
        <v>708</v>
      </c>
      <c r="G10" s="14">
        <v>172</v>
      </c>
      <c r="H10" s="14">
        <v>6</v>
      </c>
      <c r="I10" s="14">
        <v>3</v>
      </c>
      <c r="J10" s="14" t="s">
        <v>204</v>
      </c>
      <c r="K10" s="14" cm="1">
        <f t="array" ref="K10">INT(SUMPRODUCT(--ISNUMBER(SEARCH(economy,C10)))&gt;0)</f>
        <v>0</v>
      </c>
      <c r="L10" s="14" cm="1">
        <f t="array" ref="L10">INT(SUMPRODUCT(--ISNUMBER(SEARCH(healthcare,C10)))&gt;0)</f>
        <v>0</v>
      </c>
      <c r="M10" s="14" cm="1">
        <f t="array" ref="M10">INT(SUMPRODUCT(--ISNUMBER(SEARCH(supreme,C10)))&gt;0)</f>
        <v>0</v>
      </c>
      <c r="N10" s="14" cm="1">
        <f t="array" ref="N10">INT(SUMPRODUCT(--ISNUMBER(SEARCH(covid,C10)))&gt;0)</f>
        <v>0</v>
      </c>
      <c r="O10" s="14" cm="1">
        <f t="array" ref="O10">INT(SUMPRODUCT(--ISNUMBER(SEARCH(violent,C10)))&gt;0)</f>
        <v>0</v>
      </c>
      <c r="P10" s="14" cm="1">
        <f t="array" ref="P10">INT(SUMPRODUCT(--ISNUMBER(SEARCH(foreign,C10)))&gt;0)</f>
        <v>0</v>
      </c>
      <c r="Q10" s="14" cm="1">
        <f t="array" ref="Q10">INT(SUMPRODUCT(--ISNUMBER(SEARCH(gun,C10)))&gt;0)</f>
        <v>0</v>
      </c>
      <c r="R10" s="14" cm="1">
        <f t="array" ref="R10">INT(SUMPRODUCT(--ISNUMBER(SEARCH(race,C10)))&gt;0)</f>
        <v>0</v>
      </c>
      <c r="S10" s="14" cm="1">
        <f t="array" ref="S10">INT(SUMPRODUCT(--ISNUMBER(SEARCH(immigration,C10)))&gt;0)</f>
        <v>0</v>
      </c>
      <c r="T10" s="14" cm="1">
        <f t="array" ref="T10">INT(SUMPRODUCT(--ISNUMBER(SEARCH(econineq,C11)))&gt;0)</f>
        <v>0</v>
      </c>
      <c r="U10" s="14" cm="1">
        <f t="array" ref="U10">INT(SUMPRODUCT(--ISNUMBER(SEARCH(climate,C10)))&gt;0)</f>
        <v>0</v>
      </c>
      <c r="V10" s="14" cm="1">
        <f t="array" ref="V10">INT(SUMPRODUCT(--ISNUMBER(SEARCH(abortion,C10)))&gt;0)</f>
        <v>0</v>
      </c>
      <c r="W10" s="14" cm="1">
        <f t="array" ref="W10">INT(SUMPRODUCT(--ISNUMBER(SEARCH(trump,C10)))&gt;0)</f>
        <v>0</v>
      </c>
      <c r="X10" s="14" cm="1">
        <f t="array" ref="X10">INT(SUMPRODUCT(--ISNUMBER(SEARCH(voting,C10)))&gt;0)</f>
        <v>0</v>
      </c>
      <c r="Y10" s="14" cm="1">
        <f t="array" ref="Y10">INT(SUMPRODUCT(--ISNUMBER(SEARCH(democrattrigger,C10)))&gt;0)</f>
        <v>0</v>
      </c>
      <c r="Z10" s="14" cm="1">
        <f t="array" ref="Z10">INT(SUMPRODUCT(--ISNUMBER(SEARCH(bipartisan,C10)))&gt;0)</f>
        <v>0</v>
      </c>
      <c r="AA10" s="14">
        <f t="shared" si="0"/>
        <v>1</v>
      </c>
      <c r="AB10" s="14"/>
      <c r="AC10" s="30">
        <v>1</v>
      </c>
      <c r="AD10" s="37">
        <v>0</v>
      </c>
    </row>
    <row r="11" spans="1:30" x14ac:dyDescent="0.25">
      <c r="A11" s="36">
        <v>996</v>
      </c>
      <c r="B11" s="14" t="s">
        <v>2019</v>
      </c>
      <c r="C11" s="14" t="s">
        <v>2020</v>
      </c>
      <c r="D11" s="17">
        <v>44137</v>
      </c>
      <c r="E11" s="14" t="s">
        <v>30</v>
      </c>
      <c r="F11" s="14">
        <v>480</v>
      </c>
      <c r="G11" s="14">
        <v>177</v>
      </c>
      <c r="H11" s="14">
        <v>6</v>
      </c>
      <c r="I11" s="14">
        <v>3</v>
      </c>
      <c r="J11" s="14" t="s">
        <v>204</v>
      </c>
      <c r="K11" s="14" cm="1">
        <f t="array" ref="K11">INT(SUMPRODUCT(--ISNUMBER(SEARCH(economy,C11)))&gt;0)</f>
        <v>0</v>
      </c>
      <c r="L11" s="14" cm="1">
        <f t="array" ref="L11">INT(SUMPRODUCT(--ISNUMBER(SEARCH(healthcare,C11)))&gt;0)</f>
        <v>0</v>
      </c>
      <c r="M11" s="14" cm="1">
        <f t="array" ref="M11">INT(SUMPRODUCT(--ISNUMBER(SEARCH(supreme,C11)))&gt;0)</f>
        <v>0</v>
      </c>
      <c r="N11" s="14" cm="1">
        <f t="array" ref="N11">INT(SUMPRODUCT(--ISNUMBER(SEARCH(covid,C11)))&gt;0)</f>
        <v>0</v>
      </c>
      <c r="O11" s="14" cm="1">
        <f t="array" ref="O11">INT(SUMPRODUCT(--ISNUMBER(SEARCH(violent,C11)))&gt;0)</f>
        <v>0</v>
      </c>
      <c r="P11" s="14" cm="1">
        <f t="array" ref="P11">INT(SUMPRODUCT(--ISNUMBER(SEARCH(foreign,C11)))&gt;0)</f>
        <v>0</v>
      </c>
      <c r="Q11" s="14" cm="1">
        <f t="array" ref="Q11">INT(SUMPRODUCT(--ISNUMBER(SEARCH(gun,C11)))&gt;0)</f>
        <v>0</v>
      </c>
      <c r="R11" s="14" cm="1">
        <f t="array" ref="R11">INT(SUMPRODUCT(--ISNUMBER(SEARCH(race,C11)))&gt;0)</f>
        <v>0</v>
      </c>
      <c r="S11" s="14" cm="1">
        <f t="array" ref="S11">INT(SUMPRODUCT(--ISNUMBER(SEARCH(immigration,C11)))&gt;0)</f>
        <v>0</v>
      </c>
      <c r="T11" s="14" cm="1">
        <f t="array" ref="T11">INT(SUMPRODUCT(--ISNUMBER(SEARCH(econineq,C12)))&gt;0)</f>
        <v>0</v>
      </c>
      <c r="U11" s="14" cm="1">
        <f t="array" ref="U11">INT(SUMPRODUCT(--ISNUMBER(SEARCH(climate,C11)))&gt;0)</f>
        <v>0</v>
      </c>
      <c r="V11" s="14" cm="1">
        <f t="array" ref="V11">INT(SUMPRODUCT(--ISNUMBER(SEARCH(abortion,C11)))&gt;0)</f>
        <v>0</v>
      </c>
      <c r="W11" s="14" cm="1">
        <f t="array" ref="W11">INT(SUMPRODUCT(--ISNUMBER(SEARCH(trump,C11)))&gt;0)</f>
        <v>0</v>
      </c>
      <c r="X11" s="14" cm="1">
        <f t="array" ref="X11">INT(SUMPRODUCT(--ISNUMBER(SEARCH(voting,C11)))&gt;0)</f>
        <v>1</v>
      </c>
      <c r="Y11" s="14" cm="1">
        <f t="array" ref="Y11">INT(SUMPRODUCT(--ISNUMBER(SEARCH(democrattrigger,C11)))&gt;0)</f>
        <v>0</v>
      </c>
      <c r="Z11" s="14" cm="1">
        <f t="array" ref="Z11">INT(SUMPRODUCT(--ISNUMBER(SEARCH(bipartisan,C11)))&gt;0)</f>
        <v>0</v>
      </c>
      <c r="AA11" s="14">
        <f t="shared" si="0"/>
        <v>0</v>
      </c>
      <c r="AB11" s="14"/>
      <c r="AC11" s="30">
        <v>1</v>
      </c>
      <c r="AD11" s="37">
        <v>1</v>
      </c>
    </row>
    <row r="12" spans="1:30" x14ac:dyDescent="0.25">
      <c r="A12" s="36">
        <v>997</v>
      </c>
      <c r="B12" s="14" t="s">
        <v>2021</v>
      </c>
      <c r="C12" s="14" t="s">
        <v>2022</v>
      </c>
      <c r="D12" s="17">
        <v>44137</v>
      </c>
      <c r="E12" s="14" t="s">
        <v>30</v>
      </c>
      <c r="F12" s="14">
        <v>1495</v>
      </c>
      <c r="G12" s="14">
        <v>333</v>
      </c>
      <c r="H12" s="14">
        <v>6</v>
      </c>
      <c r="I12" s="14">
        <v>3</v>
      </c>
      <c r="J12" s="14" t="s">
        <v>204</v>
      </c>
      <c r="K12" s="14" cm="1">
        <f t="array" ref="K12">INT(SUMPRODUCT(--ISNUMBER(SEARCH(economy,C12)))&gt;0)</f>
        <v>0</v>
      </c>
      <c r="L12" s="14" cm="1">
        <f t="array" ref="L12">INT(SUMPRODUCT(--ISNUMBER(SEARCH(healthcare,C12)))&gt;0)</f>
        <v>0</v>
      </c>
      <c r="M12" s="14" cm="1">
        <f t="array" ref="M12">INT(SUMPRODUCT(--ISNUMBER(SEARCH(supreme,C12)))&gt;0)</f>
        <v>0</v>
      </c>
      <c r="N12" s="14" cm="1">
        <f t="array" ref="N12">INT(SUMPRODUCT(--ISNUMBER(SEARCH(covid,C12)))&gt;0)</f>
        <v>0</v>
      </c>
      <c r="O12" s="14" cm="1">
        <f t="array" ref="O12">INT(SUMPRODUCT(--ISNUMBER(SEARCH(violent,C12)))&gt;0)</f>
        <v>0</v>
      </c>
      <c r="P12" s="14" cm="1">
        <f t="array" ref="P12">INT(SUMPRODUCT(--ISNUMBER(SEARCH(foreign,C12)))&gt;0)</f>
        <v>0</v>
      </c>
      <c r="Q12" s="14" cm="1">
        <f t="array" ref="Q12">INT(SUMPRODUCT(--ISNUMBER(SEARCH(gun,C12)))&gt;0)</f>
        <v>0</v>
      </c>
      <c r="R12" s="14" cm="1">
        <f t="array" ref="R12">INT(SUMPRODUCT(--ISNUMBER(SEARCH(race,C12)))&gt;0)</f>
        <v>0</v>
      </c>
      <c r="S12" s="14" cm="1">
        <f t="array" ref="S12">INT(SUMPRODUCT(--ISNUMBER(SEARCH(immigration,C12)))&gt;0)</f>
        <v>0</v>
      </c>
      <c r="T12" s="14" cm="1">
        <f t="array" ref="T12">INT(SUMPRODUCT(--ISNUMBER(SEARCH(econineq,C13)))&gt;0)</f>
        <v>0</v>
      </c>
      <c r="U12" s="14" cm="1">
        <f t="array" ref="U12">INT(SUMPRODUCT(--ISNUMBER(SEARCH(climate,C12)))&gt;0)</f>
        <v>0</v>
      </c>
      <c r="V12" s="14" cm="1">
        <f t="array" ref="V12">INT(SUMPRODUCT(--ISNUMBER(SEARCH(abortion,C12)))&gt;0)</f>
        <v>0</v>
      </c>
      <c r="W12" s="14" cm="1">
        <f t="array" ref="W12">INT(SUMPRODUCT(--ISNUMBER(SEARCH(trump,C12)))&gt;0)</f>
        <v>0</v>
      </c>
      <c r="X12" s="14" cm="1">
        <f t="array" ref="X12">INT(SUMPRODUCT(--ISNUMBER(SEARCH(voting,C12)))&gt;0)</f>
        <v>0</v>
      </c>
      <c r="Y12" s="14" cm="1">
        <f t="array" ref="Y12">INT(SUMPRODUCT(--ISNUMBER(SEARCH(democrattrigger,C12)))&gt;0)</f>
        <v>0</v>
      </c>
      <c r="Z12" s="14" cm="1">
        <f t="array" ref="Z12">INT(SUMPRODUCT(--ISNUMBER(SEARCH(bipartisan,C12)))&gt;0)</f>
        <v>0</v>
      </c>
      <c r="AA12" s="14">
        <f t="shared" si="0"/>
        <v>1</v>
      </c>
      <c r="AB12" s="14"/>
      <c r="AC12" s="30">
        <v>0</v>
      </c>
      <c r="AD12" s="37">
        <v>1</v>
      </c>
    </row>
    <row r="13" spans="1:30" x14ac:dyDescent="0.25">
      <c r="A13" s="36">
        <v>998</v>
      </c>
      <c r="B13" s="14" t="s">
        <v>2023</v>
      </c>
      <c r="C13" s="14" t="s">
        <v>2024</v>
      </c>
      <c r="D13" s="17">
        <v>44137</v>
      </c>
      <c r="E13" s="14" t="s">
        <v>30</v>
      </c>
      <c r="F13" s="14">
        <v>1823</v>
      </c>
      <c r="G13" s="14">
        <v>456</v>
      </c>
      <c r="H13" s="14">
        <v>6</v>
      </c>
      <c r="I13" s="14">
        <v>3</v>
      </c>
      <c r="J13" s="14" t="s">
        <v>204</v>
      </c>
      <c r="K13" s="14" cm="1">
        <f t="array" ref="K13">INT(SUMPRODUCT(--ISNUMBER(SEARCH(economy,C13)))&gt;0)</f>
        <v>0</v>
      </c>
      <c r="L13" s="14" cm="1">
        <f t="array" ref="L13">INT(SUMPRODUCT(--ISNUMBER(SEARCH(healthcare,C13)))&gt;0)</f>
        <v>0</v>
      </c>
      <c r="M13" s="14" cm="1">
        <f t="array" ref="M13">INT(SUMPRODUCT(--ISNUMBER(SEARCH(supreme,C13)))&gt;0)</f>
        <v>0</v>
      </c>
      <c r="N13" s="14" cm="1">
        <f t="array" ref="N13">INT(SUMPRODUCT(--ISNUMBER(SEARCH(covid,C13)))&gt;0)</f>
        <v>0</v>
      </c>
      <c r="O13" s="14" cm="1">
        <f t="array" ref="O13">INT(SUMPRODUCT(--ISNUMBER(SEARCH(violent,C13)))&gt;0)</f>
        <v>0</v>
      </c>
      <c r="P13" s="14" cm="1">
        <f t="array" ref="P13">INT(SUMPRODUCT(--ISNUMBER(SEARCH(foreign,C13)))&gt;0)</f>
        <v>0</v>
      </c>
      <c r="Q13" s="14" cm="1">
        <f t="array" ref="Q13">INT(SUMPRODUCT(--ISNUMBER(SEARCH(gun,C13)))&gt;0)</f>
        <v>0</v>
      </c>
      <c r="R13" s="14" cm="1">
        <f t="array" ref="R13">INT(SUMPRODUCT(--ISNUMBER(SEARCH(race,C13)))&gt;0)</f>
        <v>0</v>
      </c>
      <c r="S13" s="14" cm="1">
        <f t="array" ref="S13">INT(SUMPRODUCT(--ISNUMBER(SEARCH(immigration,C13)))&gt;0)</f>
        <v>0</v>
      </c>
      <c r="T13" s="14" cm="1">
        <f t="array" ref="T13">INT(SUMPRODUCT(--ISNUMBER(SEARCH(econineq,C14)))&gt;0)</f>
        <v>0</v>
      </c>
      <c r="U13" s="14" cm="1">
        <f t="array" ref="U13">INT(SUMPRODUCT(--ISNUMBER(SEARCH(climate,C13)))&gt;0)</f>
        <v>0</v>
      </c>
      <c r="V13" s="14" cm="1">
        <f t="array" ref="V13">INT(SUMPRODUCT(--ISNUMBER(SEARCH(abortion,C13)))&gt;0)</f>
        <v>0</v>
      </c>
      <c r="W13" s="14" cm="1">
        <f t="array" ref="W13">INT(SUMPRODUCT(--ISNUMBER(SEARCH(trump,C13)))&gt;0)</f>
        <v>0</v>
      </c>
      <c r="X13" s="14" cm="1">
        <f t="array" ref="X13">INT(SUMPRODUCT(--ISNUMBER(SEARCH(voting,C13)))&gt;0)</f>
        <v>0</v>
      </c>
      <c r="Y13" s="14" cm="1">
        <f t="array" ref="Y13">INT(SUMPRODUCT(--ISNUMBER(SEARCH(democrattrigger,C13)))&gt;0)</f>
        <v>0</v>
      </c>
      <c r="Z13" s="14" cm="1">
        <f t="array" ref="Z13">INT(SUMPRODUCT(--ISNUMBER(SEARCH(bipartisan,C13)))&gt;0)</f>
        <v>0</v>
      </c>
      <c r="AA13" s="14">
        <f t="shared" si="0"/>
        <v>1</v>
      </c>
      <c r="AB13" s="14"/>
      <c r="AC13" s="30">
        <v>1</v>
      </c>
      <c r="AD13" s="37">
        <v>0</v>
      </c>
    </row>
    <row r="14" spans="1:30" x14ac:dyDescent="0.25">
      <c r="A14" s="36">
        <v>999</v>
      </c>
      <c r="B14" s="14" t="s">
        <v>2025</v>
      </c>
      <c r="C14" s="14" t="s">
        <v>2026</v>
      </c>
      <c r="D14" s="17">
        <v>44137</v>
      </c>
      <c r="E14" s="14" t="s">
        <v>30</v>
      </c>
      <c r="F14" s="14">
        <v>912</v>
      </c>
      <c r="G14" s="14">
        <v>161</v>
      </c>
      <c r="H14" s="14">
        <v>6</v>
      </c>
      <c r="I14" s="14">
        <v>3</v>
      </c>
      <c r="J14" s="14" t="s">
        <v>204</v>
      </c>
      <c r="K14" s="14" cm="1">
        <f t="array" ref="K14">INT(SUMPRODUCT(--ISNUMBER(SEARCH(economy,C14)))&gt;0)</f>
        <v>1</v>
      </c>
      <c r="L14" s="14" cm="1">
        <f t="array" ref="L14">INT(SUMPRODUCT(--ISNUMBER(SEARCH(healthcare,C14)))&gt;0)</f>
        <v>0</v>
      </c>
      <c r="M14" s="14" cm="1">
        <f t="array" ref="M14">INT(SUMPRODUCT(--ISNUMBER(SEARCH(supreme,C14)))&gt;0)</f>
        <v>0</v>
      </c>
      <c r="N14" s="14" cm="1">
        <f t="array" ref="N14">INT(SUMPRODUCT(--ISNUMBER(SEARCH(covid,C14)))&gt;0)</f>
        <v>0</v>
      </c>
      <c r="O14" s="14" cm="1">
        <f t="array" ref="O14">INT(SUMPRODUCT(--ISNUMBER(SEARCH(violent,C14)))&gt;0)</f>
        <v>0</v>
      </c>
      <c r="P14" s="14" cm="1">
        <f t="array" ref="P14">INT(SUMPRODUCT(--ISNUMBER(SEARCH(foreign,C14)))&gt;0)</f>
        <v>0</v>
      </c>
      <c r="Q14" s="14" cm="1">
        <f t="array" ref="Q14">INT(SUMPRODUCT(--ISNUMBER(SEARCH(gun,C14)))&gt;0)</f>
        <v>0</v>
      </c>
      <c r="R14" s="14" cm="1">
        <f t="array" ref="R14">INT(SUMPRODUCT(--ISNUMBER(SEARCH(race,C14)))&gt;0)</f>
        <v>0</v>
      </c>
      <c r="S14" s="14" cm="1">
        <f t="array" ref="S14">INT(SUMPRODUCT(--ISNUMBER(SEARCH(immigration,C14)))&gt;0)</f>
        <v>0</v>
      </c>
      <c r="T14" s="14" cm="1">
        <f t="array" ref="T14">INT(SUMPRODUCT(--ISNUMBER(SEARCH(econineq,C15)))&gt;0)</f>
        <v>0</v>
      </c>
      <c r="U14" s="14" cm="1">
        <f t="array" ref="U14">INT(SUMPRODUCT(--ISNUMBER(SEARCH(climate,C14)))&gt;0)</f>
        <v>0</v>
      </c>
      <c r="V14" s="14" cm="1">
        <f t="array" ref="V14">INT(SUMPRODUCT(--ISNUMBER(SEARCH(abortion,C14)))&gt;0)</f>
        <v>0</v>
      </c>
      <c r="W14" s="14" cm="1">
        <f t="array" ref="W14">INT(SUMPRODUCT(--ISNUMBER(SEARCH(trump,C14)))&gt;0)</f>
        <v>0</v>
      </c>
      <c r="X14" s="14" cm="1">
        <f t="array" ref="X14">INT(SUMPRODUCT(--ISNUMBER(SEARCH(voting,C14)))&gt;0)</f>
        <v>0</v>
      </c>
      <c r="Y14" s="14" cm="1">
        <f t="array" ref="Y14">INT(SUMPRODUCT(--ISNUMBER(SEARCH(democrattrigger,C14)))&gt;0)</f>
        <v>0</v>
      </c>
      <c r="Z14" s="14" cm="1">
        <f t="array" ref="Z14">INT(SUMPRODUCT(--ISNUMBER(SEARCH(bipartisan,C14)))&gt;0)</f>
        <v>0</v>
      </c>
      <c r="AA14" s="14">
        <f t="shared" si="0"/>
        <v>0</v>
      </c>
      <c r="AB14" s="14"/>
      <c r="AC14" s="30">
        <v>1</v>
      </c>
      <c r="AD14" s="37">
        <v>0</v>
      </c>
    </row>
    <row r="15" spans="1:30" x14ac:dyDescent="0.25">
      <c r="A15" s="36">
        <v>1000</v>
      </c>
      <c r="B15" s="14" t="s">
        <v>2027</v>
      </c>
      <c r="C15" s="14" t="s">
        <v>2028</v>
      </c>
      <c r="D15" s="17">
        <v>44136</v>
      </c>
      <c r="E15" s="14" t="s">
        <v>30</v>
      </c>
      <c r="F15" s="14">
        <v>985</v>
      </c>
      <c r="G15" s="14">
        <v>202</v>
      </c>
      <c r="H15" s="14">
        <v>6</v>
      </c>
      <c r="I15" s="14">
        <v>3</v>
      </c>
      <c r="J15" s="14" t="s">
        <v>204</v>
      </c>
      <c r="K15" s="14" cm="1">
        <f t="array" ref="K15">INT(SUMPRODUCT(--ISNUMBER(SEARCH(economy,C15)))&gt;0)</f>
        <v>1</v>
      </c>
      <c r="L15" s="14" cm="1">
        <f t="array" ref="L15">INT(SUMPRODUCT(--ISNUMBER(SEARCH(healthcare,C15)))&gt;0)</f>
        <v>0</v>
      </c>
      <c r="M15" s="14" cm="1">
        <f t="array" ref="M15">INT(SUMPRODUCT(--ISNUMBER(SEARCH(supreme,C15)))&gt;0)</f>
        <v>0</v>
      </c>
      <c r="N15" s="14" cm="1">
        <f t="array" ref="N15">INT(SUMPRODUCT(--ISNUMBER(SEARCH(covid,C15)))&gt;0)</f>
        <v>0</v>
      </c>
      <c r="O15" s="14" cm="1">
        <f t="array" ref="O15">INT(SUMPRODUCT(--ISNUMBER(SEARCH(violent,C15)))&gt;0)</f>
        <v>0</v>
      </c>
      <c r="P15" s="14" cm="1">
        <f t="array" ref="P15">INT(SUMPRODUCT(--ISNUMBER(SEARCH(foreign,C15)))&gt;0)</f>
        <v>0</v>
      </c>
      <c r="Q15" s="14" cm="1">
        <f t="array" ref="Q15">INT(SUMPRODUCT(--ISNUMBER(SEARCH(gun,C15)))&gt;0)</f>
        <v>0</v>
      </c>
      <c r="R15" s="14" cm="1">
        <f t="array" ref="R15">INT(SUMPRODUCT(--ISNUMBER(SEARCH(race,C15)))&gt;0)</f>
        <v>0</v>
      </c>
      <c r="S15" s="14" cm="1">
        <f t="array" ref="S15">INT(SUMPRODUCT(--ISNUMBER(SEARCH(immigration,C15)))&gt;0)</f>
        <v>0</v>
      </c>
      <c r="T15" s="14" cm="1">
        <f t="array" ref="T15">INT(SUMPRODUCT(--ISNUMBER(SEARCH(econineq,C16)))&gt;0)</f>
        <v>0</v>
      </c>
      <c r="U15" s="14" cm="1">
        <f t="array" ref="U15">INT(SUMPRODUCT(--ISNUMBER(SEARCH(climate,C15)))&gt;0)</f>
        <v>0</v>
      </c>
      <c r="V15" s="14" cm="1">
        <f t="array" ref="V15">INT(SUMPRODUCT(--ISNUMBER(SEARCH(abortion,C15)))&gt;0)</f>
        <v>0</v>
      </c>
      <c r="W15" s="14" cm="1">
        <f t="array" ref="W15">INT(SUMPRODUCT(--ISNUMBER(SEARCH(trump,C15)))&gt;0)</f>
        <v>0</v>
      </c>
      <c r="X15" s="14" cm="1">
        <f t="array" ref="X15">INT(SUMPRODUCT(--ISNUMBER(SEARCH(voting,C15)))&gt;0)</f>
        <v>0</v>
      </c>
      <c r="Y15" s="14" cm="1">
        <f t="array" ref="Y15">INT(SUMPRODUCT(--ISNUMBER(SEARCH(democrattrigger,C15)))&gt;0)</f>
        <v>0</v>
      </c>
      <c r="Z15" s="14" cm="1">
        <f t="array" ref="Z15">INT(SUMPRODUCT(--ISNUMBER(SEARCH(bipartisan,C15)))&gt;0)</f>
        <v>0</v>
      </c>
      <c r="AA15" s="14">
        <f t="shared" si="0"/>
        <v>0</v>
      </c>
      <c r="AB15" s="14"/>
      <c r="AC15" s="30">
        <v>1</v>
      </c>
      <c r="AD15" s="37">
        <v>0</v>
      </c>
    </row>
    <row r="16" spans="1:30" x14ac:dyDescent="0.25">
      <c r="A16" s="36">
        <v>1001</v>
      </c>
      <c r="B16" s="14" t="s">
        <v>2029</v>
      </c>
      <c r="C16" s="14" t="s">
        <v>2030</v>
      </c>
      <c r="D16" s="17">
        <v>44136</v>
      </c>
      <c r="E16" s="14" t="s">
        <v>30</v>
      </c>
      <c r="F16" s="14">
        <v>514</v>
      </c>
      <c r="G16" s="14">
        <v>149</v>
      </c>
      <c r="H16" s="14">
        <v>6</v>
      </c>
      <c r="I16" s="14">
        <v>3</v>
      </c>
      <c r="J16" s="14" t="s">
        <v>204</v>
      </c>
      <c r="K16" s="14" cm="1">
        <f t="array" ref="K16">INT(SUMPRODUCT(--ISNUMBER(SEARCH(economy,C16)))&gt;0)</f>
        <v>0</v>
      </c>
      <c r="L16" s="14" cm="1">
        <f t="array" ref="L16">INT(SUMPRODUCT(--ISNUMBER(SEARCH(healthcare,C16)))&gt;0)</f>
        <v>0</v>
      </c>
      <c r="M16" s="14" cm="1">
        <f t="array" ref="M16">INT(SUMPRODUCT(--ISNUMBER(SEARCH(supreme,C16)))&gt;0)</f>
        <v>0</v>
      </c>
      <c r="N16" s="14" cm="1">
        <f t="array" ref="N16">INT(SUMPRODUCT(--ISNUMBER(SEARCH(covid,C16)))&gt;0)</f>
        <v>1</v>
      </c>
      <c r="O16" s="14" cm="1">
        <f t="array" ref="O16">INT(SUMPRODUCT(--ISNUMBER(SEARCH(violent,C16)))&gt;0)</f>
        <v>0</v>
      </c>
      <c r="P16" s="14" cm="1">
        <f t="array" ref="P16">INT(SUMPRODUCT(--ISNUMBER(SEARCH(foreign,C16)))&gt;0)</f>
        <v>0</v>
      </c>
      <c r="Q16" s="14" cm="1">
        <f t="array" ref="Q16">INT(SUMPRODUCT(--ISNUMBER(SEARCH(gun,C16)))&gt;0)</f>
        <v>0</v>
      </c>
      <c r="R16" s="14" cm="1">
        <f t="array" ref="R16">INT(SUMPRODUCT(--ISNUMBER(SEARCH(race,C16)))&gt;0)</f>
        <v>0</v>
      </c>
      <c r="S16" s="14" cm="1">
        <f t="array" ref="S16">INT(SUMPRODUCT(--ISNUMBER(SEARCH(immigration,C16)))&gt;0)</f>
        <v>0</v>
      </c>
      <c r="T16" s="14" cm="1">
        <f t="array" ref="T16">INT(SUMPRODUCT(--ISNUMBER(SEARCH(econineq,C17)))&gt;0)</f>
        <v>0</v>
      </c>
      <c r="U16" s="14" cm="1">
        <f t="array" ref="U16">INT(SUMPRODUCT(--ISNUMBER(SEARCH(climate,C16)))&gt;0)</f>
        <v>0</v>
      </c>
      <c r="V16" s="14" cm="1">
        <f t="array" ref="V16">INT(SUMPRODUCT(--ISNUMBER(SEARCH(abortion,C16)))&gt;0)</f>
        <v>0</v>
      </c>
      <c r="W16" s="14" cm="1">
        <f t="array" ref="W16">INT(SUMPRODUCT(--ISNUMBER(SEARCH(trump,C16)))&gt;0)</f>
        <v>0</v>
      </c>
      <c r="X16" s="14" cm="1">
        <f t="array" ref="X16">INT(SUMPRODUCT(--ISNUMBER(SEARCH(voting,C16)))&gt;0)</f>
        <v>0</v>
      </c>
      <c r="Y16" s="14" cm="1">
        <f t="array" ref="Y16">INT(SUMPRODUCT(--ISNUMBER(SEARCH(democrattrigger,C16)))&gt;0)</f>
        <v>0</v>
      </c>
      <c r="Z16" s="14" cm="1">
        <f t="array" ref="Z16">INT(SUMPRODUCT(--ISNUMBER(SEARCH(bipartisan,C16)))&gt;0)</f>
        <v>0</v>
      </c>
      <c r="AA16" s="14">
        <f t="shared" si="0"/>
        <v>0</v>
      </c>
      <c r="AB16" s="14"/>
      <c r="AC16" s="30" t="s">
        <v>223</v>
      </c>
      <c r="AD16" s="37" t="s">
        <v>223</v>
      </c>
    </row>
    <row r="17" spans="1:30" x14ac:dyDescent="0.25">
      <c r="A17" s="36">
        <v>1002</v>
      </c>
      <c r="B17" s="14" t="s">
        <v>2031</v>
      </c>
      <c r="C17" s="14" t="s">
        <v>2032</v>
      </c>
      <c r="D17" s="17">
        <v>44136</v>
      </c>
      <c r="E17" s="14" t="s">
        <v>30</v>
      </c>
      <c r="F17" s="14">
        <v>676</v>
      </c>
      <c r="G17" s="14">
        <v>146</v>
      </c>
      <c r="H17" s="14">
        <v>6</v>
      </c>
      <c r="I17" s="14">
        <v>3</v>
      </c>
      <c r="J17" s="14" t="s">
        <v>204</v>
      </c>
      <c r="K17" s="14" cm="1">
        <f t="array" ref="K17">INT(SUMPRODUCT(--ISNUMBER(SEARCH(economy,C17)))&gt;0)</f>
        <v>0</v>
      </c>
      <c r="L17" s="14" cm="1">
        <f t="array" ref="L17">INT(SUMPRODUCT(--ISNUMBER(SEARCH(healthcare,C17)))&gt;0)</f>
        <v>0</v>
      </c>
      <c r="M17" s="14" cm="1">
        <f t="array" ref="M17">INT(SUMPRODUCT(--ISNUMBER(SEARCH(supreme,C17)))&gt;0)</f>
        <v>0</v>
      </c>
      <c r="N17" s="14" cm="1">
        <f t="array" ref="N17">INT(SUMPRODUCT(--ISNUMBER(SEARCH(covid,C17)))&gt;0)</f>
        <v>0</v>
      </c>
      <c r="O17" s="14" cm="1">
        <f t="array" ref="O17">INT(SUMPRODUCT(--ISNUMBER(SEARCH(violent,C17)))&gt;0)</f>
        <v>0</v>
      </c>
      <c r="P17" s="14" cm="1">
        <f t="array" ref="P17">INT(SUMPRODUCT(--ISNUMBER(SEARCH(foreign,C17)))&gt;0)</f>
        <v>0</v>
      </c>
      <c r="Q17" s="14" cm="1">
        <f t="array" ref="Q17">INT(SUMPRODUCT(--ISNUMBER(SEARCH(gun,C17)))&gt;0)</f>
        <v>0</v>
      </c>
      <c r="R17" s="14" cm="1">
        <f t="array" ref="R17">INT(SUMPRODUCT(--ISNUMBER(SEARCH(race,C17)))&gt;0)</f>
        <v>0</v>
      </c>
      <c r="S17" s="14" cm="1">
        <f t="array" ref="S17">INT(SUMPRODUCT(--ISNUMBER(SEARCH(immigration,C17)))&gt;0)</f>
        <v>0</v>
      </c>
      <c r="T17" s="14" cm="1">
        <f t="array" ref="T17">INT(SUMPRODUCT(--ISNUMBER(SEARCH(econineq,C18)))&gt;0)</f>
        <v>0</v>
      </c>
      <c r="U17" s="14" cm="1">
        <f t="array" ref="U17">INT(SUMPRODUCT(--ISNUMBER(SEARCH(climate,C17)))&gt;0)</f>
        <v>0</v>
      </c>
      <c r="V17" s="14" cm="1">
        <f t="array" ref="V17">INT(SUMPRODUCT(--ISNUMBER(SEARCH(abortion,C17)))&gt;0)</f>
        <v>0</v>
      </c>
      <c r="W17" s="14" cm="1">
        <f t="array" ref="W17">INT(SUMPRODUCT(--ISNUMBER(SEARCH(trump,C17)))&gt;0)</f>
        <v>0</v>
      </c>
      <c r="X17" s="14" cm="1">
        <f t="array" ref="X17">INT(SUMPRODUCT(--ISNUMBER(SEARCH(voting,C17)))&gt;0)</f>
        <v>0</v>
      </c>
      <c r="Y17" s="14" cm="1">
        <f t="array" ref="Y17">INT(SUMPRODUCT(--ISNUMBER(SEARCH(democrattrigger,C17)))&gt;0)</f>
        <v>0</v>
      </c>
      <c r="Z17" s="14" cm="1">
        <f t="array" ref="Z17">INT(SUMPRODUCT(--ISNUMBER(SEARCH(bipartisan,C17)))&gt;0)</f>
        <v>0</v>
      </c>
      <c r="AA17" s="14">
        <f t="shared" si="0"/>
        <v>1</v>
      </c>
      <c r="AB17" s="14"/>
      <c r="AC17" s="30">
        <v>0</v>
      </c>
      <c r="AD17" s="37">
        <v>1</v>
      </c>
    </row>
    <row r="18" spans="1:30" x14ac:dyDescent="0.25">
      <c r="A18" s="36">
        <v>1003</v>
      </c>
      <c r="B18" s="14" t="s">
        <v>2033</v>
      </c>
      <c r="C18" s="14" t="s">
        <v>2034</v>
      </c>
      <c r="D18" s="17">
        <v>44136</v>
      </c>
      <c r="E18" s="14" t="s">
        <v>30</v>
      </c>
      <c r="F18" s="14">
        <v>22291</v>
      </c>
      <c r="G18" s="14">
        <v>4198</v>
      </c>
      <c r="H18" s="14">
        <v>6</v>
      </c>
      <c r="I18" s="14">
        <v>3</v>
      </c>
      <c r="J18" s="14" t="s">
        <v>204</v>
      </c>
      <c r="K18" s="14" cm="1">
        <f t="array" ref="K18">INT(SUMPRODUCT(--ISNUMBER(SEARCH(economy,C18)))&gt;0)</f>
        <v>0</v>
      </c>
      <c r="L18" s="14" cm="1">
        <f t="array" ref="L18">INT(SUMPRODUCT(--ISNUMBER(SEARCH(healthcare,C18)))&gt;0)</f>
        <v>0</v>
      </c>
      <c r="M18" s="14" cm="1">
        <f t="array" ref="M18">INT(SUMPRODUCT(--ISNUMBER(SEARCH(supreme,C18)))&gt;0)</f>
        <v>0</v>
      </c>
      <c r="N18" s="14" cm="1">
        <f t="array" ref="N18">INT(SUMPRODUCT(--ISNUMBER(SEARCH(covid,C18)))&gt;0)</f>
        <v>0</v>
      </c>
      <c r="O18" s="14" cm="1">
        <f t="array" ref="O18">INT(SUMPRODUCT(--ISNUMBER(SEARCH(violent,C18)))&gt;0)</f>
        <v>0</v>
      </c>
      <c r="P18" s="14" cm="1">
        <f t="array" ref="P18">INT(SUMPRODUCT(--ISNUMBER(SEARCH(foreign,C18)))&gt;0)</f>
        <v>0</v>
      </c>
      <c r="Q18" s="14" cm="1">
        <f t="array" ref="Q18">INT(SUMPRODUCT(--ISNUMBER(SEARCH(gun,C18)))&gt;0)</f>
        <v>0</v>
      </c>
      <c r="R18" s="14" cm="1">
        <f t="array" ref="R18">INT(SUMPRODUCT(--ISNUMBER(SEARCH(race,C18)))&gt;0)</f>
        <v>0</v>
      </c>
      <c r="S18" s="14" cm="1">
        <f t="array" ref="S18">INT(SUMPRODUCT(--ISNUMBER(SEARCH(immigration,C18)))&gt;0)</f>
        <v>0</v>
      </c>
      <c r="T18" s="14" cm="1">
        <f t="array" ref="T18">INT(SUMPRODUCT(--ISNUMBER(SEARCH(econineq,C19)))&gt;0)</f>
        <v>0</v>
      </c>
      <c r="U18" s="14" cm="1">
        <f t="array" ref="U18">INT(SUMPRODUCT(--ISNUMBER(SEARCH(climate,C18)))&gt;0)</f>
        <v>0</v>
      </c>
      <c r="V18" s="14" cm="1">
        <f t="array" ref="V18">INT(SUMPRODUCT(--ISNUMBER(SEARCH(abortion,C18)))&gt;0)</f>
        <v>0</v>
      </c>
      <c r="W18" s="14" cm="1">
        <f t="array" ref="W18">INT(SUMPRODUCT(--ISNUMBER(SEARCH(trump,C18)))&gt;0)</f>
        <v>0</v>
      </c>
      <c r="X18" s="14" cm="1">
        <f t="array" ref="X18">INT(SUMPRODUCT(--ISNUMBER(SEARCH(voting,C18)))&gt;0)</f>
        <v>0</v>
      </c>
      <c r="Y18" s="14" cm="1">
        <f t="array" ref="Y18">INT(SUMPRODUCT(--ISNUMBER(SEARCH(democrattrigger,C18)))&gt;0)</f>
        <v>1</v>
      </c>
      <c r="Z18" s="14" cm="1">
        <f t="array" ref="Z18">INT(SUMPRODUCT(--ISNUMBER(SEARCH(bipartisan,C18)))&gt;0)</f>
        <v>0</v>
      </c>
      <c r="AA18" s="14">
        <f t="shared" si="0"/>
        <v>0</v>
      </c>
      <c r="AB18" s="14"/>
      <c r="AC18" s="30" t="s">
        <v>223</v>
      </c>
      <c r="AD18" s="37" t="s">
        <v>223</v>
      </c>
    </row>
    <row r="19" spans="1:30" x14ac:dyDescent="0.25">
      <c r="A19" s="36">
        <v>1004</v>
      </c>
      <c r="B19" s="14" t="s">
        <v>2035</v>
      </c>
      <c r="C19" s="14" t="s">
        <v>2036</v>
      </c>
      <c r="D19" s="17">
        <v>44135</v>
      </c>
      <c r="E19" s="14" t="s">
        <v>30</v>
      </c>
      <c r="F19" s="14">
        <v>4230</v>
      </c>
      <c r="G19" s="14">
        <v>1704</v>
      </c>
      <c r="H19" s="14">
        <v>6</v>
      </c>
      <c r="I19" s="14">
        <v>3</v>
      </c>
      <c r="J19" s="14" t="s">
        <v>204</v>
      </c>
      <c r="K19" s="14" cm="1">
        <f t="array" ref="K19">INT(SUMPRODUCT(--ISNUMBER(SEARCH(economy,C19)))&gt;0)</f>
        <v>0</v>
      </c>
      <c r="L19" s="14" cm="1">
        <f t="array" ref="L19">INT(SUMPRODUCT(--ISNUMBER(SEARCH(healthcare,C19)))&gt;0)</f>
        <v>0</v>
      </c>
      <c r="M19" s="14" cm="1">
        <f t="array" ref="M19">INT(SUMPRODUCT(--ISNUMBER(SEARCH(supreme,C19)))&gt;0)</f>
        <v>0</v>
      </c>
      <c r="N19" s="14" cm="1">
        <f t="array" ref="N19">INT(SUMPRODUCT(--ISNUMBER(SEARCH(covid,C19)))&gt;0)</f>
        <v>0</v>
      </c>
      <c r="O19" s="14" cm="1">
        <f t="array" ref="O19">INT(SUMPRODUCT(--ISNUMBER(SEARCH(violent,C19)))&gt;0)</f>
        <v>0</v>
      </c>
      <c r="P19" s="14" cm="1">
        <f t="array" ref="P19">INT(SUMPRODUCT(--ISNUMBER(SEARCH(foreign,C19)))&gt;0)</f>
        <v>0</v>
      </c>
      <c r="Q19" s="14" cm="1">
        <f t="array" ref="Q19">INT(SUMPRODUCT(--ISNUMBER(SEARCH(gun,C19)))&gt;0)</f>
        <v>0</v>
      </c>
      <c r="R19" s="14" cm="1">
        <f t="array" ref="R19">INT(SUMPRODUCT(--ISNUMBER(SEARCH(race,C19)))&gt;0)</f>
        <v>0</v>
      </c>
      <c r="S19" s="14" cm="1">
        <f t="array" ref="S19">INT(SUMPRODUCT(--ISNUMBER(SEARCH(immigration,C19)))&gt;0)</f>
        <v>0</v>
      </c>
      <c r="T19" s="14" cm="1">
        <f t="array" ref="T19">INT(SUMPRODUCT(--ISNUMBER(SEARCH(econineq,C20)))&gt;0)</f>
        <v>0</v>
      </c>
      <c r="U19" s="14" cm="1">
        <f t="array" ref="U19">INT(SUMPRODUCT(--ISNUMBER(SEARCH(climate,C19)))&gt;0)</f>
        <v>0</v>
      </c>
      <c r="V19" s="14" cm="1">
        <f t="array" ref="V19">INT(SUMPRODUCT(--ISNUMBER(SEARCH(abortion,C19)))&gt;0)</f>
        <v>0</v>
      </c>
      <c r="W19" s="14" cm="1">
        <f t="array" ref="W19">INT(SUMPRODUCT(--ISNUMBER(SEARCH(trump,C19)))&gt;0)</f>
        <v>0</v>
      </c>
      <c r="X19" s="14" cm="1">
        <f t="array" ref="X19">INT(SUMPRODUCT(--ISNUMBER(SEARCH(voting,C19)))&gt;0)</f>
        <v>1</v>
      </c>
      <c r="Y19" s="14" cm="1">
        <f t="array" ref="Y19">INT(SUMPRODUCT(--ISNUMBER(SEARCH(democrattrigger,C19)))&gt;0)</f>
        <v>0</v>
      </c>
      <c r="Z19" s="14" cm="1">
        <f t="array" ref="Z19">INT(SUMPRODUCT(--ISNUMBER(SEARCH(bipartisan,C19)))&gt;0)</f>
        <v>0</v>
      </c>
      <c r="AA19" s="14">
        <f t="shared" si="0"/>
        <v>0</v>
      </c>
      <c r="AB19" s="14"/>
      <c r="AC19" s="30" t="s">
        <v>223</v>
      </c>
      <c r="AD19" s="37" t="s">
        <v>223</v>
      </c>
    </row>
    <row r="20" spans="1:30" x14ac:dyDescent="0.25">
      <c r="A20" s="36">
        <v>1005</v>
      </c>
      <c r="B20" s="14" t="s">
        <v>2037</v>
      </c>
      <c r="C20" s="14" t="s">
        <v>2038</v>
      </c>
      <c r="D20" s="17">
        <v>44135</v>
      </c>
      <c r="E20" s="14" t="s">
        <v>30</v>
      </c>
      <c r="F20" s="14">
        <v>931</v>
      </c>
      <c r="G20" s="14">
        <v>188</v>
      </c>
      <c r="H20" s="14">
        <v>6</v>
      </c>
      <c r="I20" s="14">
        <v>3</v>
      </c>
      <c r="J20" s="14" t="s">
        <v>204</v>
      </c>
      <c r="K20" s="14" cm="1">
        <f t="array" ref="K20">INT(SUMPRODUCT(--ISNUMBER(SEARCH(economy,C20)))&gt;0)</f>
        <v>0</v>
      </c>
      <c r="L20" s="14" cm="1">
        <f t="array" ref="L20">INT(SUMPRODUCT(--ISNUMBER(SEARCH(healthcare,C20)))&gt;0)</f>
        <v>0</v>
      </c>
      <c r="M20" s="14" cm="1">
        <f t="array" ref="M20">INT(SUMPRODUCT(--ISNUMBER(SEARCH(supreme,C20)))&gt;0)</f>
        <v>0</v>
      </c>
      <c r="N20" s="14" cm="1">
        <f t="array" ref="N20">INT(SUMPRODUCT(--ISNUMBER(SEARCH(covid,C20)))&gt;0)</f>
        <v>0</v>
      </c>
      <c r="O20" s="14" cm="1">
        <f t="array" ref="O20">INT(SUMPRODUCT(--ISNUMBER(SEARCH(violent,C20)))&gt;0)</f>
        <v>0</v>
      </c>
      <c r="P20" s="14" cm="1">
        <f t="array" ref="P20">INT(SUMPRODUCT(--ISNUMBER(SEARCH(foreign,C20)))&gt;0)</f>
        <v>0</v>
      </c>
      <c r="Q20" s="14" cm="1">
        <f t="array" ref="Q20">INT(SUMPRODUCT(--ISNUMBER(SEARCH(gun,C20)))&gt;0)</f>
        <v>0</v>
      </c>
      <c r="R20" s="14" cm="1">
        <f t="array" ref="R20">INT(SUMPRODUCT(--ISNUMBER(SEARCH(race,C20)))&gt;0)</f>
        <v>0</v>
      </c>
      <c r="S20" s="14" cm="1">
        <f t="array" ref="S20">INT(SUMPRODUCT(--ISNUMBER(SEARCH(immigration,C20)))&gt;0)</f>
        <v>0</v>
      </c>
      <c r="T20" s="14" cm="1">
        <f t="array" ref="T20">INT(SUMPRODUCT(--ISNUMBER(SEARCH(econineq,C21)))&gt;0)</f>
        <v>0</v>
      </c>
      <c r="U20" s="14" cm="1">
        <f t="array" ref="U20">INT(SUMPRODUCT(--ISNUMBER(SEARCH(climate,C20)))&gt;0)</f>
        <v>0</v>
      </c>
      <c r="V20" s="14" cm="1">
        <f t="array" ref="V20">INT(SUMPRODUCT(--ISNUMBER(SEARCH(abortion,C20)))&gt;0)</f>
        <v>0</v>
      </c>
      <c r="W20" s="14" cm="1">
        <f t="array" ref="W20">INT(SUMPRODUCT(--ISNUMBER(SEARCH(trump,C20)))&gt;0)</f>
        <v>0</v>
      </c>
      <c r="X20" s="14" cm="1">
        <f t="array" ref="X20">INT(SUMPRODUCT(--ISNUMBER(SEARCH(voting,C20)))&gt;0)</f>
        <v>1</v>
      </c>
      <c r="Y20" s="14" cm="1">
        <f t="array" ref="Y20">INT(SUMPRODUCT(--ISNUMBER(SEARCH(democrattrigger,C20)))&gt;0)</f>
        <v>0</v>
      </c>
      <c r="Z20" s="14" cm="1">
        <f t="array" ref="Z20">INT(SUMPRODUCT(--ISNUMBER(SEARCH(bipartisan,C20)))&gt;0)</f>
        <v>0</v>
      </c>
      <c r="AA20" s="14">
        <f t="shared" si="0"/>
        <v>0</v>
      </c>
      <c r="AB20" s="14"/>
      <c r="AC20" s="30">
        <v>0</v>
      </c>
      <c r="AD20" s="37">
        <v>1</v>
      </c>
    </row>
    <row r="21" spans="1:30" x14ac:dyDescent="0.25">
      <c r="A21" s="36">
        <v>1006</v>
      </c>
      <c r="B21" s="14" t="s">
        <v>2039</v>
      </c>
      <c r="C21" s="14" t="s">
        <v>2040</v>
      </c>
      <c r="D21" s="17">
        <v>44135</v>
      </c>
      <c r="E21" s="14" t="s">
        <v>30</v>
      </c>
      <c r="F21" s="14">
        <v>1083</v>
      </c>
      <c r="G21" s="14">
        <v>288</v>
      </c>
      <c r="H21" s="14">
        <v>6</v>
      </c>
      <c r="I21" s="14">
        <v>3</v>
      </c>
      <c r="J21" s="14" t="s">
        <v>204</v>
      </c>
      <c r="K21" s="14" cm="1">
        <f t="array" ref="K21">INT(SUMPRODUCT(--ISNUMBER(SEARCH(economy,C21)))&gt;0)</f>
        <v>0</v>
      </c>
      <c r="L21" s="14" cm="1">
        <f t="array" ref="L21">INT(SUMPRODUCT(--ISNUMBER(SEARCH(healthcare,C21)))&gt;0)</f>
        <v>0</v>
      </c>
      <c r="M21" s="14" cm="1">
        <f t="array" ref="M21">INT(SUMPRODUCT(--ISNUMBER(SEARCH(supreme,C21)))&gt;0)</f>
        <v>0</v>
      </c>
      <c r="N21" s="14" cm="1">
        <f t="array" ref="N21">INT(SUMPRODUCT(--ISNUMBER(SEARCH(covid,C21)))&gt;0)</f>
        <v>0</v>
      </c>
      <c r="O21" s="14" cm="1">
        <f t="array" ref="O21">INT(SUMPRODUCT(--ISNUMBER(SEARCH(violent,C21)))&gt;0)</f>
        <v>0</v>
      </c>
      <c r="P21" s="14" cm="1">
        <f t="array" ref="P21">INT(SUMPRODUCT(--ISNUMBER(SEARCH(foreign,C21)))&gt;0)</f>
        <v>0</v>
      </c>
      <c r="Q21" s="14" cm="1">
        <f t="array" ref="Q21">INT(SUMPRODUCT(--ISNUMBER(SEARCH(gun,C21)))&gt;0)</f>
        <v>0</v>
      </c>
      <c r="R21" s="14" cm="1">
        <f t="array" ref="R21">INT(SUMPRODUCT(--ISNUMBER(SEARCH(race,C21)))&gt;0)</f>
        <v>0</v>
      </c>
      <c r="S21" s="14" cm="1">
        <f t="array" ref="S21">INT(SUMPRODUCT(--ISNUMBER(SEARCH(immigration,C21)))&gt;0)</f>
        <v>0</v>
      </c>
      <c r="T21" s="14" cm="1">
        <f t="array" ref="T21">INT(SUMPRODUCT(--ISNUMBER(SEARCH(econineq,C22)))&gt;0)</f>
        <v>0</v>
      </c>
      <c r="U21" s="14" cm="1">
        <f t="array" ref="U21">INT(SUMPRODUCT(--ISNUMBER(SEARCH(climate,C21)))&gt;0)</f>
        <v>0</v>
      </c>
      <c r="V21" s="14" cm="1">
        <f t="array" ref="V21">INT(SUMPRODUCT(--ISNUMBER(SEARCH(abortion,C21)))&gt;0)</f>
        <v>0</v>
      </c>
      <c r="W21" s="14" cm="1">
        <f t="array" ref="W21">INT(SUMPRODUCT(--ISNUMBER(SEARCH(trump,C21)))&gt;0)</f>
        <v>0</v>
      </c>
      <c r="X21" s="14" cm="1">
        <f t="array" ref="X21">INT(SUMPRODUCT(--ISNUMBER(SEARCH(voting,C21)))&gt;0)</f>
        <v>1</v>
      </c>
      <c r="Y21" s="14" cm="1">
        <f t="array" ref="Y21">INT(SUMPRODUCT(--ISNUMBER(SEARCH(democrattrigger,C21)))&gt;0)</f>
        <v>0</v>
      </c>
      <c r="Z21" s="14" cm="1">
        <f t="array" ref="Z21">INT(SUMPRODUCT(--ISNUMBER(SEARCH(bipartisan,C21)))&gt;0)</f>
        <v>0</v>
      </c>
      <c r="AA21" s="14">
        <f t="shared" si="0"/>
        <v>0</v>
      </c>
      <c r="AB21" s="14"/>
      <c r="AC21" s="30">
        <v>1</v>
      </c>
      <c r="AD21" s="37">
        <v>0</v>
      </c>
    </row>
    <row r="22" spans="1:30" x14ac:dyDescent="0.25">
      <c r="A22" s="36">
        <v>1007</v>
      </c>
      <c r="B22" s="14" t="s">
        <v>2041</v>
      </c>
      <c r="C22" s="14" t="s">
        <v>2042</v>
      </c>
      <c r="D22" s="17">
        <v>44135</v>
      </c>
      <c r="E22" s="14" t="s">
        <v>30</v>
      </c>
      <c r="F22" s="14">
        <v>798</v>
      </c>
      <c r="G22" s="14">
        <v>217</v>
      </c>
      <c r="H22" s="14">
        <v>6</v>
      </c>
      <c r="I22" s="14">
        <v>3</v>
      </c>
      <c r="J22" s="14" t="s">
        <v>204</v>
      </c>
      <c r="K22" s="14" cm="1">
        <f t="array" ref="K22">INT(SUMPRODUCT(--ISNUMBER(SEARCH(economy,C22)))&gt;0)</f>
        <v>0</v>
      </c>
      <c r="L22" s="14" cm="1">
        <f t="array" ref="L22">INT(SUMPRODUCT(--ISNUMBER(SEARCH(healthcare,C22)))&gt;0)</f>
        <v>0</v>
      </c>
      <c r="M22" s="14" cm="1">
        <f t="array" ref="M22">INT(SUMPRODUCT(--ISNUMBER(SEARCH(supreme,C22)))&gt;0)</f>
        <v>0</v>
      </c>
      <c r="N22" s="14" cm="1">
        <f t="array" ref="N22">INT(SUMPRODUCT(--ISNUMBER(SEARCH(covid,C22)))&gt;0)</f>
        <v>0</v>
      </c>
      <c r="O22" s="14" cm="1">
        <f t="array" ref="O22">INT(SUMPRODUCT(--ISNUMBER(SEARCH(violent,C22)))&gt;0)</f>
        <v>0</v>
      </c>
      <c r="P22" s="14" cm="1">
        <f t="array" ref="P22">INT(SUMPRODUCT(--ISNUMBER(SEARCH(foreign,C22)))&gt;0)</f>
        <v>0</v>
      </c>
      <c r="Q22" s="14" cm="1">
        <f t="array" ref="Q22">INT(SUMPRODUCT(--ISNUMBER(SEARCH(gun,C22)))&gt;0)</f>
        <v>0</v>
      </c>
      <c r="R22" s="14" cm="1">
        <f t="array" ref="R22">INT(SUMPRODUCT(--ISNUMBER(SEARCH(race,C22)))&gt;0)</f>
        <v>0</v>
      </c>
      <c r="S22" s="14" cm="1">
        <f t="array" ref="S22">INT(SUMPRODUCT(--ISNUMBER(SEARCH(immigration,C22)))&gt;0)</f>
        <v>0</v>
      </c>
      <c r="T22" s="14" cm="1">
        <f t="array" ref="T22">INT(SUMPRODUCT(--ISNUMBER(SEARCH(econineq,C23)))&gt;0)</f>
        <v>0</v>
      </c>
      <c r="U22" s="14" cm="1">
        <f t="array" ref="U22">INT(SUMPRODUCT(--ISNUMBER(SEARCH(climate,C22)))&gt;0)</f>
        <v>0</v>
      </c>
      <c r="V22" s="14" cm="1">
        <f t="array" ref="V22">INT(SUMPRODUCT(--ISNUMBER(SEARCH(abortion,C22)))&gt;0)</f>
        <v>0</v>
      </c>
      <c r="W22" s="14" cm="1">
        <f t="array" ref="W22">INT(SUMPRODUCT(--ISNUMBER(SEARCH(trump,C22)))&gt;0)</f>
        <v>0</v>
      </c>
      <c r="X22" s="14" cm="1">
        <f t="array" ref="X22">INT(SUMPRODUCT(--ISNUMBER(SEARCH(voting,C22)))&gt;0)</f>
        <v>0</v>
      </c>
      <c r="Y22" s="14" cm="1">
        <f t="array" ref="Y22">INT(SUMPRODUCT(--ISNUMBER(SEARCH(democrattrigger,C22)))&gt;0)</f>
        <v>0</v>
      </c>
      <c r="Z22" s="14" cm="1">
        <f t="array" ref="Z22">INT(SUMPRODUCT(--ISNUMBER(SEARCH(bipartisan,C22)))&gt;0)</f>
        <v>0</v>
      </c>
      <c r="AA22" s="14">
        <f t="shared" si="0"/>
        <v>1</v>
      </c>
      <c r="AB22" s="14"/>
      <c r="AC22" s="30">
        <v>1</v>
      </c>
      <c r="AD22" s="37">
        <v>0</v>
      </c>
    </row>
    <row r="23" spans="1:30" x14ac:dyDescent="0.25">
      <c r="A23" s="36">
        <v>1008</v>
      </c>
      <c r="B23" s="14" t="s">
        <v>2043</v>
      </c>
      <c r="C23" s="14" t="s">
        <v>2044</v>
      </c>
      <c r="D23" s="17">
        <v>44135</v>
      </c>
      <c r="E23" s="14" t="s">
        <v>30</v>
      </c>
      <c r="F23" s="14">
        <v>292</v>
      </c>
      <c r="G23" s="14">
        <v>97</v>
      </c>
      <c r="H23" s="14">
        <v>6</v>
      </c>
      <c r="I23" s="14">
        <v>3</v>
      </c>
      <c r="J23" s="14" t="s">
        <v>204</v>
      </c>
      <c r="K23" s="14" cm="1">
        <f t="array" ref="K23">INT(SUMPRODUCT(--ISNUMBER(SEARCH(economy,C23)))&gt;0)</f>
        <v>0</v>
      </c>
      <c r="L23" s="14" cm="1">
        <f t="array" ref="L23">INT(SUMPRODUCT(--ISNUMBER(SEARCH(healthcare,C23)))&gt;0)</f>
        <v>0</v>
      </c>
      <c r="M23" s="14" cm="1">
        <f t="array" ref="M23">INT(SUMPRODUCT(--ISNUMBER(SEARCH(supreme,C23)))&gt;0)</f>
        <v>0</v>
      </c>
      <c r="N23" s="14" cm="1">
        <f t="array" ref="N23">INT(SUMPRODUCT(--ISNUMBER(SEARCH(covid,C23)))&gt;0)</f>
        <v>0</v>
      </c>
      <c r="O23" s="14" cm="1">
        <f t="array" ref="O23">INT(SUMPRODUCT(--ISNUMBER(SEARCH(violent,C23)))&gt;0)</f>
        <v>0</v>
      </c>
      <c r="P23" s="14" cm="1">
        <f t="array" ref="P23">INT(SUMPRODUCT(--ISNUMBER(SEARCH(foreign,C23)))&gt;0)</f>
        <v>0</v>
      </c>
      <c r="Q23" s="14" cm="1">
        <f t="array" ref="Q23">INT(SUMPRODUCT(--ISNUMBER(SEARCH(gun,C23)))&gt;0)</f>
        <v>1</v>
      </c>
      <c r="R23" s="14" cm="1">
        <f t="array" ref="R23">INT(SUMPRODUCT(--ISNUMBER(SEARCH(race,C23)))&gt;0)</f>
        <v>0</v>
      </c>
      <c r="S23" s="14" cm="1">
        <f t="array" ref="S23">INT(SUMPRODUCT(--ISNUMBER(SEARCH(immigration,C23)))&gt;0)</f>
        <v>0</v>
      </c>
      <c r="T23" s="14" cm="1">
        <f t="array" ref="T23">INT(SUMPRODUCT(--ISNUMBER(SEARCH(econineq,C24)))&gt;0)</f>
        <v>0</v>
      </c>
      <c r="U23" s="14" cm="1">
        <f t="array" ref="U23">INT(SUMPRODUCT(--ISNUMBER(SEARCH(climate,C23)))&gt;0)</f>
        <v>0</v>
      </c>
      <c r="V23" s="14" cm="1">
        <f t="array" ref="V23">INT(SUMPRODUCT(--ISNUMBER(SEARCH(abortion,C23)))&gt;0)</f>
        <v>0</v>
      </c>
      <c r="W23" s="14" cm="1">
        <f t="array" ref="W23">INT(SUMPRODUCT(--ISNUMBER(SEARCH(trump,C23)))&gt;0)</f>
        <v>0</v>
      </c>
      <c r="X23" s="14" cm="1">
        <f t="array" ref="X23">INT(SUMPRODUCT(--ISNUMBER(SEARCH(voting,C23)))&gt;0)</f>
        <v>1</v>
      </c>
      <c r="Y23" s="14" cm="1">
        <f t="array" ref="Y23">INT(SUMPRODUCT(--ISNUMBER(SEARCH(democrattrigger,C23)))&gt;0)</f>
        <v>0</v>
      </c>
      <c r="Z23" s="14" cm="1">
        <f t="array" ref="Z23">INT(SUMPRODUCT(--ISNUMBER(SEARCH(bipartisan,C23)))&gt;0)</f>
        <v>0</v>
      </c>
      <c r="AA23" s="14">
        <f t="shared" si="0"/>
        <v>0</v>
      </c>
      <c r="AB23" s="14"/>
      <c r="AC23" s="30" t="s">
        <v>223</v>
      </c>
      <c r="AD23" s="37" t="s">
        <v>223</v>
      </c>
    </row>
    <row r="24" spans="1:30" x14ac:dyDescent="0.25">
      <c r="A24" s="36">
        <v>1009</v>
      </c>
      <c r="B24" s="14" t="s">
        <v>2045</v>
      </c>
      <c r="C24" s="14" t="s">
        <v>2046</v>
      </c>
      <c r="D24" s="18">
        <v>44135</v>
      </c>
      <c r="E24" s="14" t="s">
        <v>30</v>
      </c>
      <c r="F24" s="14">
        <v>1167</v>
      </c>
      <c r="G24" s="14">
        <v>207</v>
      </c>
      <c r="H24" s="14">
        <v>6</v>
      </c>
      <c r="I24" s="14">
        <v>3</v>
      </c>
      <c r="J24" s="14" t="s">
        <v>204</v>
      </c>
      <c r="K24" s="14" cm="1">
        <f t="array" ref="K24">INT(SUMPRODUCT(--ISNUMBER(SEARCH(economy,C24)))&gt;0)</f>
        <v>0</v>
      </c>
      <c r="L24" s="14" cm="1">
        <f t="array" ref="L24">INT(SUMPRODUCT(--ISNUMBER(SEARCH(healthcare,C24)))&gt;0)</f>
        <v>0</v>
      </c>
      <c r="M24" s="14" cm="1">
        <f t="array" ref="M24">INT(SUMPRODUCT(--ISNUMBER(SEARCH(supreme,C24)))&gt;0)</f>
        <v>1</v>
      </c>
      <c r="N24" s="14" cm="1">
        <f t="array" ref="N24">INT(SUMPRODUCT(--ISNUMBER(SEARCH(covid,C24)))&gt;0)</f>
        <v>0</v>
      </c>
      <c r="O24" s="14" cm="1">
        <f t="array" ref="O24">INT(SUMPRODUCT(--ISNUMBER(SEARCH(violent,C24)))&gt;0)</f>
        <v>0</v>
      </c>
      <c r="P24" s="14" cm="1">
        <f t="array" ref="P24">INT(SUMPRODUCT(--ISNUMBER(SEARCH(foreign,C24)))&gt;0)</f>
        <v>0</v>
      </c>
      <c r="Q24" s="14" cm="1">
        <f t="array" ref="Q24">INT(SUMPRODUCT(--ISNUMBER(SEARCH(gun,C24)))&gt;0)</f>
        <v>0</v>
      </c>
      <c r="R24" s="14" cm="1">
        <f t="array" ref="R24">INT(SUMPRODUCT(--ISNUMBER(SEARCH(race,C24)))&gt;0)</f>
        <v>0</v>
      </c>
      <c r="S24" s="14" cm="1">
        <f t="array" ref="S24">INT(SUMPRODUCT(--ISNUMBER(SEARCH(immigration,C24)))&gt;0)</f>
        <v>0</v>
      </c>
      <c r="T24" s="14" cm="1">
        <f t="array" ref="T24">INT(SUMPRODUCT(--ISNUMBER(SEARCH(econineq,C25)))&gt;0)</f>
        <v>0</v>
      </c>
      <c r="U24" s="14" cm="1">
        <f t="array" ref="U24">INT(SUMPRODUCT(--ISNUMBER(SEARCH(climate,C24)))&gt;0)</f>
        <v>0</v>
      </c>
      <c r="V24" s="14" cm="1">
        <f t="array" ref="V24">INT(SUMPRODUCT(--ISNUMBER(SEARCH(abortion,C24)))&gt;0)</f>
        <v>0</v>
      </c>
      <c r="W24" s="14" cm="1">
        <f t="array" ref="W24">INT(SUMPRODUCT(--ISNUMBER(SEARCH(trump,C24)))&gt;0)</f>
        <v>0</v>
      </c>
      <c r="X24" s="14" cm="1">
        <f t="array" ref="X24">INT(SUMPRODUCT(--ISNUMBER(SEARCH(voting,C24)))&gt;0)</f>
        <v>1</v>
      </c>
      <c r="Y24" s="14" cm="1">
        <f t="array" ref="Y24">INT(SUMPRODUCT(--ISNUMBER(SEARCH(democrattrigger,C24)))&gt;0)</f>
        <v>0</v>
      </c>
      <c r="Z24" s="14" cm="1">
        <f t="array" ref="Z24">INT(SUMPRODUCT(--ISNUMBER(SEARCH(bipartisan,C24)))&gt;0)</f>
        <v>0</v>
      </c>
      <c r="AA24" s="14">
        <f t="shared" si="0"/>
        <v>0</v>
      </c>
      <c r="AB24" s="14"/>
      <c r="AC24" s="30">
        <v>1</v>
      </c>
      <c r="AD24" s="37">
        <v>0</v>
      </c>
    </row>
    <row r="25" spans="1:30" x14ac:dyDescent="0.25">
      <c r="A25" s="36">
        <v>1010</v>
      </c>
      <c r="B25" s="14" t="s">
        <v>2047</v>
      </c>
      <c r="C25" s="14" t="s">
        <v>2048</v>
      </c>
      <c r="D25" s="18">
        <v>44135</v>
      </c>
      <c r="E25" s="14" t="s">
        <v>30</v>
      </c>
      <c r="F25" s="14">
        <v>1268</v>
      </c>
      <c r="G25" s="14">
        <v>312</v>
      </c>
      <c r="H25" s="14">
        <v>6</v>
      </c>
      <c r="I25" s="14">
        <v>3</v>
      </c>
      <c r="J25" s="14" t="s">
        <v>204</v>
      </c>
      <c r="K25" s="14" cm="1">
        <f t="array" ref="K25">INT(SUMPRODUCT(--ISNUMBER(SEARCH(economy,C25)))&gt;0)</f>
        <v>0</v>
      </c>
      <c r="L25" s="14" cm="1">
        <f t="array" ref="L25">INT(SUMPRODUCT(--ISNUMBER(SEARCH(healthcare,C25)))&gt;0)</f>
        <v>0</v>
      </c>
      <c r="M25" s="14" cm="1">
        <f t="array" ref="M25">INT(SUMPRODUCT(--ISNUMBER(SEARCH(supreme,C25)))&gt;0)</f>
        <v>0</v>
      </c>
      <c r="N25" s="14" cm="1">
        <f t="array" ref="N25">INT(SUMPRODUCT(--ISNUMBER(SEARCH(covid,C25)))&gt;0)</f>
        <v>0</v>
      </c>
      <c r="O25" s="14" cm="1">
        <f t="array" ref="O25">INT(SUMPRODUCT(--ISNUMBER(SEARCH(violent,C25)))&gt;0)</f>
        <v>0</v>
      </c>
      <c r="P25" s="14" cm="1">
        <f t="array" ref="P25">INT(SUMPRODUCT(--ISNUMBER(SEARCH(foreign,C25)))&gt;0)</f>
        <v>0</v>
      </c>
      <c r="Q25" s="14" cm="1">
        <f t="array" ref="Q25">INT(SUMPRODUCT(--ISNUMBER(SEARCH(gun,C25)))&gt;0)</f>
        <v>0</v>
      </c>
      <c r="R25" s="14" cm="1">
        <f t="array" ref="R25">INT(SUMPRODUCT(--ISNUMBER(SEARCH(race,C25)))&gt;0)</f>
        <v>0</v>
      </c>
      <c r="S25" s="14" cm="1">
        <f t="array" ref="S25">INT(SUMPRODUCT(--ISNUMBER(SEARCH(immigration,C25)))&gt;0)</f>
        <v>0</v>
      </c>
      <c r="T25" s="14" cm="1">
        <f t="array" ref="T25">INT(SUMPRODUCT(--ISNUMBER(SEARCH(econineq,C26)))&gt;0)</f>
        <v>0</v>
      </c>
      <c r="U25" s="14" cm="1">
        <f t="array" ref="U25">INT(SUMPRODUCT(--ISNUMBER(SEARCH(climate,C25)))&gt;0)</f>
        <v>0</v>
      </c>
      <c r="V25" s="14" cm="1">
        <f t="array" ref="V25">INT(SUMPRODUCT(--ISNUMBER(SEARCH(abortion,C25)))&gt;0)</f>
        <v>0</v>
      </c>
      <c r="W25" s="14" cm="1">
        <f t="array" ref="W25">INT(SUMPRODUCT(--ISNUMBER(SEARCH(trump,C25)))&gt;0)</f>
        <v>0</v>
      </c>
      <c r="X25" s="14" cm="1">
        <f t="array" ref="X25">INT(SUMPRODUCT(--ISNUMBER(SEARCH(voting,C25)))&gt;0)</f>
        <v>0</v>
      </c>
      <c r="Y25" s="14" cm="1">
        <f t="array" ref="Y25">INT(SUMPRODUCT(--ISNUMBER(SEARCH(democrattrigger,C25)))&gt;0)</f>
        <v>0</v>
      </c>
      <c r="Z25" s="14" cm="1">
        <f t="array" ref="Z25">INT(SUMPRODUCT(--ISNUMBER(SEARCH(bipartisan,C25)))&gt;0)</f>
        <v>0</v>
      </c>
      <c r="AA25" s="14">
        <f t="shared" si="0"/>
        <v>1</v>
      </c>
      <c r="AB25" s="14"/>
      <c r="AC25" s="30" t="s">
        <v>223</v>
      </c>
      <c r="AD25" s="37" t="s">
        <v>223</v>
      </c>
    </row>
    <row r="26" spans="1:30" x14ac:dyDescent="0.25">
      <c r="A26" s="36">
        <v>1011</v>
      </c>
      <c r="B26" s="14" t="s">
        <v>2049</v>
      </c>
      <c r="C26" s="14" t="s">
        <v>2050</v>
      </c>
      <c r="D26" s="18">
        <v>44135</v>
      </c>
      <c r="E26" s="14" t="s">
        <v>30</v>
      </c>
      <c r="F26" s="14">
        <v>818</v>
      </c>
      <c r="G26" s="14">
        <v>257</v>
      </c>
      <c r="H26" s="14">
        <v>6</v>
      </c>
      <c r="I26" s="14">
        <v>3</v>
      </c>
      <c r="J26" s="14" t="s">
        <v>204</v>
      </c>
      <c r="K26" s="14" cm="1">
        <f t="array" ref="K26">INT(SUMPRODUCT(--ISNUMBER(SEARCH(economy,C26)))&gt;0)</f>
        <v>0</v>
      </c>
      <c r="L26" s="14" cm="1">
        <f t="array" ref="L26">INT(SUMPRODUCT(--ISNUMBER(SEARCH(healthcare,C26)))&gt;0)</f>
        <v>0</v>
      </c>
      <c r="M26" s="14" cm="1">
        <f t="array" ref="M26">INT(SUMPRODUCT(--ISNUMBER(SEARCH(supreme,C26)))&gt;0)</f>
        <v>0</v>
      </c>
      <c r="N26" s="14" cm="1">
        <f t="array" ref="N26">INT(SUMPRODUCT(--ISNUMBER(SEARCH(covid,C26)))&gt;0)</f>
        <v>0</v>
      </c>
      <c r="O26" s="14" cm="1">
        <f t="array" ref="O26">INT(SUMPRODUCT(--ISNUMBER(SEARCH(violent,C26)))&gt;0)</f>
        <v>0</v>
      </c>
      <c r="P26" s="14" cm="1">
        <f t="array" ref="P26">INT(SUMPRODUCT(--ISNUMBER(SEARCH(foreign,C26)))&gt;0)</f>
        <v>0</v>
      </c>
      <c r="Q26" s="14" cm="1">
        <f t="array" ref="Q26">INT(SUMPRODUCT(--ISNUMBER(SEARCH(gun,C26)))&gt;0)</f>
        <v>0</v>
      </c>
      <c r="R26" s="14" cm="1">
        <f t="array" ref="R26">INT(SUMPRODUCT(--ISNUMBER(SEARCH(race,C26)))&gt;0)</f>
        <v>0</v>
      </c>
      <c r="S26" s="14" cm="1">
        <f t="array" ref="S26">INT(SUMPRODUCT(--ISNUMBER(SEARCH(immigration,C26)))&gt;0)</f>
        <v>0</v>
      </c>
      <c r="T26" s="14" cm="1">
        <f t="array" ref="T26">INT(SUMPRODUCT(--ISNUMBER(SEARCH(econineq,C27)))&gt;0)</f>
        <v>0</v>
      </c>
      <c r="U26" s="14" cm="1">
        <f t="array" ref="U26">INT(SUMPRODUCT(--ISNUMBER(SEARCH(climate,C26)))&gt;0)</f>
        <v>0</v>
      </c>
      <c r="V26" s="14" cm="1">
        <f t="array" ref="V26">INT(SUMPRODUCT(--ISNUMBER(SEARCH(abortion,C26)))&gt;0)</f>
        <v>0</v>
      </c>
      <c r="W26" s="14" cm="1">
        <f t="array" ref="W26">INT(SUMPRODUCT(--ISNUMBER(SEARCH(trump,C26)))&gt;0)</f>
        <v>0</v>
      </c>
      <c r="X26" s="14" cm="1">
        <f t="array" ref="X26">INT(SUMPRODUCT(--ISNUMBER(SEARCH(voting,C26)))&gt;0)</f>
        <v>0</v>
      </c>
      <c r="Y26" s="14" cm="1">
        <f t="array" ref="Y26">INT(SUMPRODUCT(--ISNUMBER(SEARCH(democrattrigger,C26)))&gt;0)</f>
        <v>0</v>
      </c>
      <c r="Z26" s="14" cm="1">
        <f t="array" ref="Z26">INT(SUMPRODUCT(--ISNUMBER(SEARCH(bipartisan,C26)))&gt;0)</f>
        <v>0</v>
      </c>
      <c r="AA26" s="14">
        <f t="shared" si="0"/>
        <v>1</v>
      </c>
      <c r="AB26" s="14"/>
      <c r="AC26" s="30" t="s">
        <v>223</v>
      </c>
      <c r="AD26" s="37" t="s">
        <v>223</v>
      </c>
    </row>
    <row r="27" spans="1:30" x14ac:dyDescent="0.25">
      <c r="A27" s="36">
        <v>1012</v>
      </c>
      <c r="B27" s="14" t="s">
        <v>2051</v>
      </c>
      <c r="C27" s="14" t="s">
        <v>2052</v>
      </c>
      <c r="D27" s="18">
        <v>44134</v>
      </c>
      <c r="E27" s="14" t="s">
        <v>30</v>
      </c>
      <c r="F27" s="14">
        <v>685</v>
      </c>
      <c r="G27" s="14">
        <v>191</v>
      </c>
      <c r="H27" s="14">
        <v>6</v>
      </c>
      <c r="I27" s="14">
        <v>3</v>
      </c>
      <c r="J27" s="14" t="s">
        <v>204</v>
      </c>
      <c r="K27" s="14" cm="1">
        <f t="array" ref="K27">INT(SUMPRODUCT(--ISNUMBER(SEARCH(economy,C27)))&gt;0)</f>
        <v>0</v>
      </c>
      <c r="L27" s="14" cm="1">
        <f t="array" ref="L27">INT(SUMPRODUCT(--ISNUMBER(SEARCH(healthcare,C27)))&gt;0)</f>
        <v>0</v>
      </c>
      <c r="M27" s="14" cm="1">
        <f t="array" ref="M27">INT(SUMPRODUCT(--ISNUMBER(SEARCH(supreme,C27)))&gt;0)</f>
        <v>0</v>
      </c>
      <c r="N27" s="14" cm="1">
        <f t="array" ref="N27">INT(SUMPRODUCT(--ISNUMBER(SEARCH(covid,C27)))&gt;0)</f>
        <v>0</v>
      </c>
      <c r="O27" s="14" cm="1">
        <f t="array" ref="O27">INT(SUMPRODUCT(--ISNUMBER(SEARCH(violent,C27)))&gt;0)</f>
        <v>0</v>
      </c>
      <c r="P27" s="14" cm="1">
        <f t="array" ref="P27">INT(SUMPRODUCT(--ISNUMBER(SEARCH(foreign,C27)))&gt;0)</f>
        <v>0</v>
      </c>
      <c r="Q27" s="14" cm="1">
        <f t="array" ref="Q27">INT(SUMPRODUCT(--ISNUMBER(SEARCH(gun,C27)))&gt;0)</f>
        <v>0</v>
      </c>
      <c r="R27" s="14" cm="1">
        <f t="array" ref="R27">INT(SUMPRODUCT(--ISNUMBER(SEARCH(race,C27)))&gt;0)</f>
        <v>0</v>
      </c>
      <c r="S27" s="14" cm="1">
        <f t="array" ref="S27">INT(SUMPRODUCT(--ISNUMBER(SEARCH(immigration,C27)))&gt;0)</f>
        <v>0</v>
      </c>
      <c r="T27" s="14" cm="1">
        <f t="array" ref="T27">INT(SUMPRODUCT(--ISNUMBER(SEARCH(econineq,C28)))&gt;0)</f>
        <v>0</v>
      </c>
      <c r="U27" s="14" cm="1">
        <f t="array" ref="U27">INT(SUMPRODUCT(--ISNUMBER(SEARCH(climate,C27)))&gt;0)</f>
        <v>0</v>
      </c>
      <c r="V27" s="14" cm="1">
        <f t="array" ref="V27">INT(SUMPRODUCT(--ISNUMBER(SEARCH(abortion,C27)))&gt;0)</f>
        <v>0</v>
      </c>
      <c r="W27" s="14" cm="1">
        <f t="array" ref="W27">INT(SUMPRODUCT(--ISNUMBER(SEARCH(trump,C27)))&gt;0)</f>
        <v>0</v>
      </c>
      <c r="X27" s="14" cm="1">
        <f t="array" ref="X27">INT(SUMPRODUCT(--ISNUMBER(SEARCH(voting,C27)))&gt;0)</f>
        <v>0</v>
      </c>
      <c r="Y27" s="14" cm="1">
        <f t="array" ref="Y27">INT(SUMPRODUCT(--ISNUMBER(SEARCH(democrattrigger,C27)))&gt;0)</f>
        <v>0</v>
      </c>
      <c r="Z27" s="14" cm="1">
        <f t="array" ref="Z27">INT(SUMPRODUCT(--ISNUMBER(SEARCH(bipartisan,C27)))&gt;0)</f>
        <v>0</v>
      </c>
      <c r="AA27" s="14">
        <f t="shared" si="0"/>
        <v>1</v>
      </c>
      <c r="AB27" s="14"/>
      <c r="AC27" s="30">
        <v>1</v>
      </c>
      <c r="AD27" s="37">
        <v>0</v>
      </c>
    </row>
    <row r="28" spans="1:30" x14ac:dyDescent="0.25">
      <c r="A28" s="36">
        <v>1013</v>
      </c>
      <c r="B28" s="14" t="s">
        <v>2053</v>
      </c>
      <c r="C28" s="14" t="s">
        <v>2054</v>
      </c>
      <c r="D28" s="18">
        <v>44134</v>
      </c>
      <c r="E28" s="14" t="s">
        <v>30</v>
      </c>
      <c r="F28" s="14">
        <v>522</v>
      </c>
      <c r="G28" s="14">
        <v>219</v>
      </c>
      <c r="H28" s="14">
        <v>6</v>
      </c>
      <c r="I28" s="14">
        <v>3</v>
      </c>
      <c r="J28" s="14" t="s">
        <v>204</v>
      </c>
      <c r="K28" s="14" cm="1">
        <f t="array" ref="K28">INT(SUMPRODUCT(--ISNUMBER(SEARCH(economy,C28)))&gt;0)</f>
        <v>0</v>
      </c>
      <c r="L28" s="14" cm="1">
        <f t="array" ref="L28">INT(SUMPRODUCT(--ISNUMBER(SEARCH(healthcare,C28)))&gt;0)</f>
        <v>1</v>
      </c>
      <c r="M28" s="14" cm="1">
        <f t="array" ref="M28">INT(SUMPRODUCT(--ISNUMBER(SEARCH(supreme,C28)))&gt;0)</f>
        <v>0</v>
      </c>
      <c r="N28" s="14" cm="1">
        <f t="array" ref="N28">INT(SUMPRODUCT(--ISNUMBER(SEARCH(covid,C28)))&gt;0)</f>
        <v>0</v>
      </c>
      <c r="O28" s="14" cm="1">
        <f t="array" ref="O28">INT(SUMPRODUCT(--ISNUMBER(SEARCH(violent,C28)))&gt;0)</f>
        <v>0</v>
      </c>
      <c r="P28" s="14" cm="1">
        <f t="array" ref="P28">INT(SUMPRODUCT(--ISNUMBER(SEARCH(foreign,C28)))&gt;0)</f>
        <v>0</v>
      </c>
      <c r="Q28" s="14" cm="1">
        <f t="array" ref="Q28">INT(SUMPRODUCT(--ISNUMBER(SEARCH(gun,C28)))&gt;0)</f>
        <v>0</v>
      </c>
      <c r="R28" s="14" cm="1">
        <f t="array" ref="R28">INT(SUMPRODUCT(--ISNUMBER(SEARCH(race,C28)))&gt;0)</f>
        <v>0</v>
      </c>
      <c r="S28" s="14" cm="1">
        <f t="array" ref="S28">INT(SUMPRODUCT(--ISNUMBER(SEARCH(immigration,C28)))&gt;0)</f>
        <v>0</v>
      </c>
      <c r="T28" s="14" cm="1">
        <f t="array" ref="T28">INT(SUMPRODUCT(--ISNUMBER(SEARCH(econineq,C29)))&gt;0)</f>
        <v>0</v>
      </c>
      <c r="U28" s="14" cm="1">
        <f t="array" ref="U28">INT(SUMPRODUCT(--ISNUMBER(SEARCH(climate,C28)))&gt;0)</f>
        <v>0</v>
      </c>
      <c r="V28" s="14" cm="1">
        <f t="array" ref="V28">INT(SUMPRODUCT(--ISNUMBER(SEARCH(abortion,C28)))&gt;0)</f>
        <v>0</v>
      </c>
      <c r="W28" s="14" cm="1">
        <f t="array" ref="W28">INT(SUMPRODUCT(--ISNUMBER(SEARCH(trump,C28)))&gt;0)</f>
        <v>0</v>
      </c>
      <c r="X28" s="14" cm="1">
        <f t="array" ref="X28">INT(SUMPRODUCT(--ISNUMBER(SEARCH(voting,C28)))&gt;0)</f>
        <v>0</v>
      </c>
      <c r="Y28" s="14" cm="1">
        <f t="array" ref="Y28">INT(SUMPRODUCT(--ISNUMBER(SEARCH(democrattrigger,C28)))&gt;0)</f>
        <v>1</v>
      </c>
      <c r="Z28" s="14" cm="1">
        <f t="array" ref="Z28">INT(SUMPRODUCT(--ISNUMBER(SEARCH(bipartisan,C28)))&gt;0)</f>
        <v>0</v>
      </c>
      <c r="AA28" s="14">
        <f t="shared" si="0"/>
        <v>0</v>
      </c>
      <c r="AB28" s="14"/>
      <c r="AC28" s="30">
        <v>0</v>
      </c>
      <c r="AD28" s="37">
        <v>1</v>
      </c>
    </row>
    <row r="29" spans="1:30" x14ac:dyDescent="0.25">
      <c r="A29" s="36">
        <v>1014</v>
      </c>
      <c r="B29" s="14" t="s">
        <v>2055</v>
      </c>
      <c r="C29" s="14" t="s">
        <v>2056</v>
      </c>
      <c r="D29" s="18">
        <v>44134</v>
      </c>
      <c r="E29" s="14" t="s">
        <v>30</v>
      </c>
      <c r="F29" s="14">
        <v>1765</v>
      </c>
      <c r="G29" s="14">
        <v>498</v>
      </c>
      <c r="H29" s="14">
        <v>6</v>
      </c>
      <c r="I29" s="14">
        <v>3</v>
      </c>
      <c r="J29" s="14" t="s">
        <v>204</v>
      </c>
      <c r="K29" s="14" cm="1">
        <f t="array" ref="K29">INT(SUMPRODUCT(--ISNUMBER(SEARCH(economy,C29)))&gt;0)</f>
        <v>0</v>
      </c>
      <c r="L29" s="14" cm="1">
        <f t="array" ref="L29">INT(SUMPRODUCT(--ISNUMBER(SEARCH(healthcare,C29)))&gt;0)</f>
        <v>0</v>
      </c>
      <c r="M29" s="14" cm="1">
        <f t="array" ref="M29">INT(SUMPRODUCT(--ISNUMBER(SEARCH(supreme,C29)))&gt;0)</f>
        <v>0</v>
      </c>
      <c r="N29" s="14" cm="1">
        <f t="array" ref="N29">INT(SUMPRODUCT(--ISNUMBER(SEARCH(covid,C29)))&gt;0)</f>
        <v>0</v>
      </c>
      <c r="O29" s="14" cm="1">
        <f t="array" ref="O29">INT(SUMPRODUCT(--ISNUMBER(SEARCH(violent,C29)))&gt;0)</f>
        <v>0</v>
      </c>
      <c r="P29" s="14" cm="1">
        <f t="array" ref="P29">INT(SUMPRODUCT(--ISNUMBER(SEARCH(foreign,C29)))&gt;0)</f>
        <v>0</v>
      </c>
      <c r="Q29" s="14" cm="1">
        <f t="array" ref="Q29">INT(SUMPRODUCT(--ISNUMBER(SEARCH(gun,C29)))&gt;0)</f>
        <v>0</v>
      </c>
      <c r="R29" s="14" cm="1">
        <f t="array" ref="R29">INT(SUMPRODUCT(--ISNUMBER(SEARCH(race,C29)))&gt;0)</f>
        <v>0</v>
      </c>
      <c r="S29" s="14" cm="1">
        <f t="array" ref="S29">INT(SUMPRODUCT(--ISNUMBER(SEARCH(immigration,C29)))&gt;0)</f>
        <v>0</v>
      </c>
      <c r="T29" s="14" cm="1">
        <f t="array" ref="T29">INT(SUMPRODUCT(--ISNUMBER(SEARCH(econineq,C30)))&gt;0)</f>
        <v>0</v>
      </c>
      <c r="U29" s="14" cm="1">
        <f t="array" ref="U29">INT(SUMPRODUCT(--ISNUMBER(SEARCH(climate,C29)))&gt;0)</f>
        <v>0</v>
      </c>
      <c r="V29" s="14" cm="1">
        <f t="array" ref="V29">INT(SUMPRODUCT(--ISNUMBER(SEARCH(abortion,C29)))&gt;0)</f>
        <v>0</v>
      </c>
      <c r="W29" s="14" cm="1">
        <f t="array" ref="W29">INT(SUMPRODUCT(--ISNUMBER(SEARCH(trump,C29)))&gt;0)</f>
        <v>0</v>
      </c>
      <c r="X29" s="14" cm="1">
        <f t="array" ref="X29">INT(SUMPRODUCT(--ISNUMBER(SEARCH(voting,C29)))&gt;0)</f>
        <v>1</v>
      </c>
      <c r="Y29" s="14" cm="1">
        <f t="array" ref="Y29">INT(SUMPRODUCT(--ISNUMBER(SEARCH(democrattrigger,C29)))&gt;0)</f>
        <v>1</v>
      </c>
      <c r="Z29" s="14" cm="1">
        <f t="array" ref="Z29">INT(SUMPRODUCT(--ISNUMBER(SEARCH(bipartisan,C29)))&gt;0)</f>
        <v>0</v>
      </c>
      <c r="AA29" s="14">
        <f t="shared" si="0"/>
        <v>0</v>
      </c>
      <c r="AB29" s="14"/>
      <c r="AC29" s="30" t="s">
        <v>223</v>
      </c>
      <c r="AD29" s="37" t="s">
        <v>223</v>
      </c>
    </row>
    <row r="30" spans="1:30" x14ac:dyDescent="0.25">
      <c r="A30" s="36">
        <v>1015</v>
      </c>
      <c r="B30" s="14" t="s">
        <v>2057</v>
      </c>
      <c r="C30" s="14" t="s">
        <v>2058</v>
      </c>
      <c r="D30" s="18">
        <v>44134</v>
      </c>
      <c r="E30" s="14" t="s">
        <v>30</v>
      </c>
      <c r="F30" s="14">
        <v>2201</v>
      </c>
      <c r="G30" s="14">
        <v>477</v>
      </c>
      <c r="H30" s="14">
        <v>6</v>
      </c>
      <c r="I30" s="14">
        <v>3</v>
      </c>
      <c r="J30" s="14" t="s">
        <v>204</v>
      </c>
      <c r="K30" s="14" cm="1">
        <f t="array" ref="K30">INT(SUMPRODUCT(--ISNUMBER(SEARCH(economy,C30)))&gt;0)</f>
        <v>0</v>
      </c>
      <c r="L30" s="14" cm="1">
        <f t="array" ref="L30">INT(SUMPRODUCT(--ISNUMBER(SEARCH(healthcare,C30)))&gt;0)</f>
        <v>0</v>
      </c>
      <c r="M30" s="14" cm="1">
        <f t="array" ref="M30">INT(SUMPRODUCT(--ISNUMBER(SEARCH(supreme,C30)))&gt;0)</f>
        <v>0</v>
      </c>
      <c r="N30" s="14" cm="1">
        <f t="array" ref="N30">INT(SUMPRODUCT(--ISNUMBER(SEARCH(covid,C30)))&gt;0)</f>
        <v>0</v>
      </c>
      <c r="O30" s="14" cm="1">
        <f t="array" ref="O30">INT(SUMPRODUCT(--ISNUMBER(SEARCH(violent,C30)))&gt;0)</f>
        <v>0</v>
      </c>
      <c r="P30" s="14" cm="1">
        <f t="array" ref="P30">INT(SUMPRODUCT(--ISNUMBER(SEARCH(foreign,C30)))&gt;0)</f>
        <v>0</v>
      </c>
      <c r="Q30" s="14" cm="1">
        <f t="array" ref="Q30">INT(SUMPRODUCT(--ISNUMBER(SEARCH(gun,C30)))&gt;0)</f>
        <v>0</v>
      </c>
      <c r="R30" s="14" cm="1">
        <f t="array" ref="R30">INT(SUMPRODUCT(--ISNUMBER(SEARCH(race,C30)))&gt;0)</f>
        <v>0</v>
      </c>
      <c r="S30" s="14" cm="1">
        <f t="array" ref="S30">INT(SUMPRODUCT(--ISNUMBER(SEARCH(immigration,C30)))&gt;0)</f>
        <v>0</v>
      </c>
      <c r="T30" s="14" cm="1">
        <f t="array" ref="T30">INT(SUMPRODUCT(--ISNUMBER(SEARCH(econineq,C31)))&gt;0)</f>
        <v>0</v>
      </c>
      <c r="U30" s="14" cm="1">
        <f t="array" ref="U30">INT(SUMPRODUCT(--ISNUMBER(SEARCH(climate,C30)))&gt;0)</f>
        <v>0</v>
      </c>
      <c r="V30" s="14" cm="1">
        <f t="array" ref="V30">INT(SUMPRODUCT(--ISNUMBER(SEARCH(abortion,C30)))&gt;0)</f>
        <v>0</v>
      </c>
      <c r="W30" s="14" cm="1">
        <f t="array" ref="W30">INT(SUMPRODUCT(--ISNUMBER(SEARCH(trump,C30)))&gt;0)</f>
        <v>0</v>
      </c>
      <c r="X30" s="14" cm="1">
        <f t="array" ref="X30">INT(SUMPRODUCT(--ISNUMBER(SEARCH(voting,C30)))&gt;0)</f>
        <v>1</v>
      </c>
      <c r="Y30" s="14" cm="1">
        <f t="array" ref="Y30">INT(SUMPRODUCT(--ISNUMBER(SEARCH(democrattrigger,C30)))&gt;0)</f>
        <v>0</v>
      </c>
      <c r="Z30" s="14" cm="1">
        <f t="array" ref="Z30">INT(SUMPRODUCT(--ISNUMBER(SEARCH(bipartisan,C30)))&gt;0)</f>
        <v>0</v>
      </c>
      <c r="AA30" s="14">
        <f t="shared" si="0"/>
        <v>0</v>
      </c>
      <c r="AB30" s="14"/>
      <c r="AC30" s="30">
        <v>1</v>
      </c>
      <c r="AD30" s="37">
        <v>0</v>
      </c>
    </row>
    <row r="31" spans="1:30" x14ac:dyDescent="0.25">
      <c r="A31" s="36">
        <v>1016</v>
      </c>
      <c r="B31" s="14" t="s">
        <v>2059</v>
      </c>
      <c r="C31" s="14" t="s">
        <v>2060</v>
      </c>
      <c r="D31" s="18">
        <v>44134</v>
      </c>
      <c r="E31" s="14" t="s">
        <v>30</v>
      </c>
      <c r="F31" s="14">
        <v>966</v>
      </c>
      <c r="G31" s="14">
        <v>260</v>
      </c>
      <c r="H31" s="14">
        <v>6</v>
      </c>
      <c r="I31" s="14">
        <v>3</v>
      </c>
      <c r="J31" s="14" t="s">
        <v>204</v>
      </c>
      <c r="K31" s="14" cm="1">
        <f t="array" ref="K31">INT(SUMPRODUCT(--ISNUMBER(SEARCH(economy,C31)))&gt;0)</f>
        <v>0</v>
      </c>
      <c r="L31" s="14" cm="1">
        <f t="array" ref="L31">INT(SUMPRODUCT(--ISNUMBER(SEARCH(healthcare,C31)))&gt;0)</f>
        <v>0</v>
      </c>
      <c r="M31" s="14" cm="1">
        <f t="array" ref="M31">INT(SUMPRODUCT(--ISNUMBER(SEARCH(supreme,C31)))&gt;0)</f>
        <v>0</v>
      </c>
      <c r="N31" s="14" cm="1">
        <f t="array" ref="N31">INT(SUMPRODUCT(--ISNUMBER(SEARCH(covid,C31)))&gt;0)</f>
        <v>0</v>
      </c>
      <c r="O31" s="14" cm="1">
        <f t="array" ref="O31">INT(SUMPRODUCT(--ISNUMBER(SEARCH(violent,C31)))&gt;0)</f>
        <v>0</v>
      </c>
      <c r="P31" s="14" cm="1">
        <f t="array" ref="P31">INT(SUMPRODUCT(--ISNUMBER(SEARCH(foreign,C31)))&gt;0)</f>
        <v>0</v>
      </c>
      <c r="Q31" s="14" cm="1">
        <f t="array" ref="Q31">INT(SUMPRODUCT(--ISNUMBER(SEARCH(gun,C31)))&gt;0)</f>
        <v>0</v>
      </c>
      <c r="R31" s="14" cm="1">
        <f t="array" ref="R31">INT(SUMPRODUCT(--ISNUMBER(SEARCH(race,C31)))&gt;0)</f>
        <v>0</v>
      </c>
      <c r="S31" s="14" cm="1">
        <f t="array" ref="S31">INT(SUMPRODUCT(--ISNUMBER(SEARCH(immigration,C31)))&gt;0)</f>
        <v>0</v>
      </c>
      <c r="T31" s="14" cm="1">
        <f t="array" ref="T31">INT(SUMPRODUCT(--ISNUMBER(SEARCH(econineq,C32)))&gt;0)</f>
        <v>0</v>
      </c>
      <c r="U31" s="14" cm="1">
        <f t="array" ref="U31">INT(SUMPRODUCT(--ISNUMBER(SEARCH(climate,C31)))&gt;0)</f>
        <v>0</v>
      </c>
      <c r="V31" s="14" cm="1">
        <f t="array" ref="V31">INT(SUMPRODUCT(--ISNUMBER(SEARCH(abortion,C31)))&gt;0)</f>
        <v>0</v>
      </c>
      <c r="W31" s="14" cm="1">
        <f t="array" ref="W31">INT(SUMPRODUCT(--ISNUMBER(SEARCH(trump,C31)))&gt;0)</f>
        <v>0</v>
      </c>
      <c r="X31" s="14" cm="1">
        <f t="array" ref="X31">INT(SUMPRODUCT(--ISNUMBER(SEARCH(voting,C31)))&gt;0)</f>
        <v>0</v>
      </c>
      <c r="Y31" s="14" cm="1">
        <f t="array" ref="Y31">INT(SUMPRODUCT(--ISNUMBER(SEARCH(democrattrigger,C31)))&gt;0)</f>
        <v>1</v>
      </c>
      <c r="Z31" s="14" cm="1">
        <f t="array" ref="Z31">INT(SUMPRODUCT(--ISNUMBER(SEARCH(bipartisan,C31)))&gt;0)</f>
        <v>0</v>
      </c>
      <c r="AA31" s="14">
        <f t="shared" si="0"/>
        <v>0</v>
      </c>
      <c r="AB31" s="14"/>
      <c r="AC31" s="30" t="s">
        <v>223</v>
      </c>
      <c r="AD31" s="37" t="s">
        <v>223</v>
      </c>
    </row>
    <row r="32" spans="1:30" x14ac:dyDescent="0.25">
      <c r="A32" s="36">
        <v>1017</v>
      </c>
      <c r="B32" s="14" t="s">
        <v>2061</v>
      </c>
      <c r="C32" s="14" t="s">
        <v>2062</v>
      </c>
      <c r="D32" s="18">
        <v>44134</v>
      </c>
      <c r="E32" s="14" t="s">
        <v>30</v>
      </c>
      <c r="F32" s="14">
        <v>2178</v>
      </c>
      <c r="G32" s="14">
        <v>666</v>
      </c>
      <c r="H32" s="14">
        <v>6</v>
      </c>
      <c r="I32" s="14">
        <v>3</v>
      </c>
      <c r="J32" s="14" t="s">
        <v>204</v>
      </c>
      <c r="K32" s="14" cm="1">
        <f t="array" ref="K32">INT(SUMPRODUCT(--ISNUMBER(SEARCH(economy,C32)))&gt;0)</f>
        <v>0</v>
      </c>
      <c r="L32" s="14" cm="1">
        <f t="array" ref="L32">INT(SUMPRODUCT(--ISNUMBER(SEARCH(healthcare,C32)))&gt;0)</f>
        <v>0</v>
      </c>
      <c r="M32" s="14" cm="1">
        <f t="array" ref="M32">INT(SUMPRODUCT(--ISNUMBER(SEARCH(supreme,C32)))&gt;0)</f>
        <v>0</v>
      </c>
      <c r="N32" s="14" cm="1">
        <f t="array" ref="N32">INT(SUMPRODUCT(--ISNUMBER(SEARCH(covid,C32)))&gt;0)</f>
        <v>0</v>
      </c>
      <c r="O32" s="14" cm="1">
        <f t="array" ref="O32">INT(SUMPRODUCT(--ISNUMBER(SEARCH(violent,C32)))&gt;0)</f>
        <v>0</v>
      </c>
      <c r="P32" s="14" cm="1">
        <f t="array" ref="P32">INT(SUMPRODUCT(--ISNUMBER(SEARCH(foreign,C32)))&gt;0)</f>
        <v>0</v>
      </c>
      <c r="Q32" s="14" cm="1">
        <f t="array" ref="Q32">INT(SUMPRODUCT(--ISNUMBER(SEARCH(gun,C32)))&gt;0)</f>
        <v>0</v>
      </c>
      <c r="R32" s="14" cm="1">
        <f t="array" ref="R32">INT(SUMPRODUCT(--ISNUMBER(SEARCH(race,C32)))&gt;0)</f>
        <v>0</v>
      </c>
      <c r="S32" s="14" cm="1">
        <f t="array" ref="S32">INT(SUMPRODUCT(--ISNUMBER(SEARCH(immigration,C32)))&gt;0)</f>
        <v>0</v>
      </c>
      <c r="T32" s="14" cm="1">
        <f t="array" ref="T32">INT(SUMPRODUCT(--ISNUMBER(SEARCH(econineq,C33)))&gt;0)</f>
        <v>0</v>
      </c>
      <c r="U32" s="14" cm="1">
        <f t="array" ref="U32">INT(SUMPRODUCT(--ISNUMBER(SEARCH(climate,C32)))&gt;0)</f>
        <v>0</v>
      </c>
      <c r="V32" s="14" cm="1">
        <f t="array" ref="V32">INT(SUMPRODUCT(--ISNUMBER(SEARCH(abortion,C32)))&gt;0)</f>
        <v>0</v>
      </c>
      <c r="W32" s="14" cm="1">
        <f t="array" ref="W32">INT(SUMPRODUCT(--ISNUMBER(SEARCH(trump,C32)))&gt;0)</f>
        <v>0</v>
      </c>
      <c r="X32" s="14" cm="1">
        <f t="array" ref="X32">INT(SUMPRODUCT(--ISNUMBER(SEARCH(voting,C32)))&gt;0)</f>
        <v>1</v>
      </c>
      <c r="Y32" s="14" cm="1">
        <f t="array" ref="Y32">INT(SUMPRODUCT(--ISNUMBER(SEARCH(democrattrigger,C32)))&gt;0)</f>
        <v>1</v>
      </c>
      <c r="Z32" s="14" cm="1">
        <f t="array" ref="Z32">INT(SUMPRODUCT(--ISNUMBER(SEARCH(bipartisan,C32)))&gt;0)</f>
        <v>0</v>
      </c>
      <c r="AA32" s="14">
        <f t="shared" si="0"/>
        <v>0</v>
      </c>
      <c r="AB32" s="14"/>
      <c r="AC32" s="30">
        <v>1</v>
      </c>
      <c r="AD32" s="37">
        <v>0</v>
      </c>
    </row>
    <row r="33" spans="1:30" x14ac:dyDescent="0.25">
      <c r="A33" s="36">
        <v>1018</v>
      </c>
      <c r="B33" s="14" t="s">
        <v>2063</v>
      </c>
      <c r="C33" s="14" t="s">
        <v>2064</v>
      </c>
      <c r="D33" s="18">
        <v>44134</v>
      </c>
      <c r="E33" s="14" t="s">
        <v>30</v>
      </c>
      <c r="F33" s="14">
        <v>1291</v>
      </c>
      <c r="G33" s="14">
        <v>289</v>
      </c>
      <c r="H33" s="14">
        <v>6</v>
      </c>
      <c r="I33" s="14">
        <v>3</v>
      </c>
      <c r="J33" s="14" t="s">
        <v>204</v>
      </c>
      <c r="K33" s="14" cm="1">
        <f t="array" ref="K33">INT(SUMPRODUCT(--ISNUMBER(SEARCH(economy,C33)))&gt;0)</f>
        <v>0</v>
      </c>
      <c r="L33" s="14" cm="1">
        <f t="array" ref="L33">INT(SUMPRODUCT(--ISNUMBER(SEARCH(healthcare,C33)))&gt;0)</f>
        <v>0</v>
      </c>
      <c r="M33" s="14" cm="1">
        <f t="array" ref="M33">INT(SUMPRODUCT(--ISNUMBER(SEARCH(supreme,C33)))&gt;0)</f>
        <v>0</v>
      </c>
      <c r="N33" s="14" cm="1">
        <f t="array" ref="N33">INT(SUMPRODUCT(--ISNUMBER(SEARCH(covid,C33)))&gt;0)</f>
        <v>0</v>
      </c>
      <c r="O33" s="14" cm="1">
        <f t="array" ref="O33">INT(SUMPRODUCT(--ISNUMBER(SEARCH(violent,C33)))&gt;0)</f>
        <v>0</v>
      </c>
      <c r="P33" s="14" cm="1">
        <f t="array" ref="P33">INT(SUMPRODUCT(--ISNUMBER(SEARCH(foreign,C33)))&gt;0)</f>
        <v>0</v>
      </c>
      <c r="Q33" s="14" cm="1">
        <f t="array" ref="Q33">INT(SUMPRODUCT(--ISNUMBER(SEARCH(gun,C33)))&gt;0)</f>
        <v>0</v>
      </c>
      <c r="R33" s="14" cm="1">
        <f t="array" ref="R33">INT(SUMPRODUCT(--ISNUMBER(SEARCH(race,C33)))&gt;0)</f>
        <v>0</v>
      </c>
      <c r="S33" s="14" cm="1">
        <f t="array" ref="S33">INT(SUMPRODUCT(--ISNUMBER(SEARCH(immigration,C33)))&gt;0)</f>
        <v>0</v>
      </c>
      <c r="T33" s="14" cm="1">
        <f t="array" ref="T33">INT(SUMPRODUCT(--ISNUMBER(SEARCH(econineq,C34)))&gt;0)</f>
        <v>0</v>
      </c>
      <c r="U33" s="14" cm="1">
        <f t="array" ref="U33">INT(SUMPRODUCT(--ISNUMBER(SEARCH(climate,C33)))&gt;0)</f>
        <v>0</v>
      </c>
      <c r="V33" s="14" cm="1">
        <f t="array" ref="V33">INT(SUMPRODUCT(--ISNUMBER(SEARCH(abortion,C33)))&gt;0)</f>
        <v>0</v>
      </c>
      <c r="W33" s="14" cm="1">
        <f t="array" ref="W33">INT(SUMPRODUCT(--ISNUMBER(SEARCH(trump,C33)))&gt;0)</f>
        <v>0</v>
      </c>
      <c r="X33" s="14" cm="1">
        <f t="array" ref="X33">INT(SUMPRODUCT(--ISNUMBER(SEARCH(voting,C33)))&gt;0)</f>
        <v>0</v>
      </c>
      <c r="Y33" s="14" cm="1">
        <f t="array" ref="Y33">INT(SUMPRODUCT(--ISNUMBER(SEARCH(democrattrigger,C33)))&gt;0)</f>
        <v>0</v>
      </c>
      <c r="Z33" s="14" cm="1">
        <f t="array" ref="Z33">INT(SUMPRODUCT(--ISNUMBER(SEARCH(bipartisan,C33)))&gt;0)</f>
        <v>0</v>
      </c>
      <c r="AA33" s="14">
        <f t="shared" si="0"/>
        <v>1</v>
      </c>
      <c r="AB33" s="14"/>
      <c r="AC33" s="30">
        <v>0</v>
      </c>
      <c r="AD33" s="37">
        <v>1</v>
      </c>
    </row>
    <row r="34" spans="1:30" x14ac:dyDescent="0.25">
      <c r="A34" s="36">
        <v>1019</v>
      </c>
      <c r="B34" s="14" t="s">
        <v>2065</v>
      </c>
      <c r="C34" s="14" t="s">
        <v>2066</v>
      </c>
      <c r="D34" s="18">
        <v>44133</v>
      </c>
      <c r="E34" s="14" t="s">
        <v>30</v>
      </c>
      <c r="F34" s="14">
        <v>5272</v>
      </c>
      <c r="G34" s="14">
        <v>1812</v>
      </c>
      <c r="H34" s="14">
        <v>6</v>
      </c>
      <c r="I34" s="14">
        <v>3</v>
      </c>
      <c r="J34" s="14" t="s">
        <v>204</v>
      </c>
      <c r="K34" s="14" cm="1">
        <f t="array" ref="K34">INT(SUMPRODUCT(--ISNUMBER(SEARCH(economy,C34)))&gt;0)</f>
        <v>0</v>
      </c>
      <c r="L34" s="14" cm="1">
        <f t="array" ref="L34">INT(SUMPRODUCT(--ISNUMBER(SEARCH(healthcare,C34)))&gt;0)</f>
        <v>1</v>
      </c>
      <c r="M34" s="14" cm="1">
        <f t="array" ref="M34">INT(SUMPRODUCT(--ISNUMBER(SEARCH(supreme,C34)))&gt;0)</f>
        <v>0</v>
      </c>
      <c r="N34" s="14" cm="1">
        <f t="array" ref="N34">INT(SUMPRODUCT(--ISNUMBER(SEARCH(covid,C34)))&gt;0)</f>
        <v>0</v>
      </c>
      <c r="O34" s="14" cm="1">
        <f t="array" ref="O34">INT(SUMPRODUCT(--ISNUMBER(SEARCH(violent,C34)))&gt;0)</f>
        <v>0</v>
      </c>
      <c r="P34" s="14" cm="1">
        <f t="array" ref="P34">INT(SUMPRODUCT(--ISNUMBER(SEARCH(foreign,C34)))&gt;0)</f>
        <v>0</v>
      </c>
      <c r="Q34" s="14" cm="1">
        <f t="array" ref="Q34">INT(SUMPRODUCT(--ISNUMBER(SEARCH(gun,C34)))&gt;0)</f>
        <v>0</v>
      </c>
      <c r="R34" s="14" cm="1">
        <f t="array" ref="R34">INT(SUMPRODUCT(--ISNUMBER(SEARCH(race,C34)))&gt;0)</f>
        <v>0</v>
      </c>
      <c r="S34" s="14" cm="1">
        <f t="array" ref="S34">INT(SUMPRODUCT(--ISNUMBER(SEARCH(immigration,C34)))&gt;0)</f>
        <v>0</v>
      </c>
      <c r="T34" s="14" cm="1">
        <f t="array" ref="T34">INT(SUMPRODUCT(--ISNUMBER(SEARCH(econineq,C35)))&gt;0)</f>
        <v>0</v>
      </c>
      <c r="U34" s="14" cm="1">
        <f t="array" ref="U34">INT(SUMPRODUCT(--ISNUMBER(SEARCH(climate,C34)))&gt;0)</f>
        <v>0</v>
      </c>
      <c r="V34" s="14" cm="1">
        <f t="array" ref="V34">INT(SUMPRODUCT(--ISNUMBER(SEARCH(abortion,C34)))&gt;0)</f>
        <v>0</v>
      </c>
      <c r="W34" s="14" cm="1">
        <f t="array" ref="W34">INT(SUMPRODUCT(--ISNUMBER(SEARCH(trump,C34)))&gt;0)</f>
        <v>0</v>
      </c>
      <c r="X34" s="14" cm="1">
        <f t="array" ref="X34">INT(SUMPRODUCT(--ISNUMBER(SEARCH(voting,C34)))&gt;0)</f>
        <v>1</v>
      </c>
      <c r="Y34" s="14" cm="1">
        <f t="array" ref="Y34">INT(SUMPRODUCT(--ISNUMBER(SEARCH(democrattrigger,C34)))&gt;0)</f>
        <v>0</v>
      </c>
      <c r="Z34" s="14" cm="1">
        <f t="array" ref="Z34">INT(SUMPRODUCT(--ISNUMBER(SEARCH(bipartisan,C34)))&gt;0)</f>
        <v>0</v>
      </c>
      <c r="AA34" s="14">
        <f t="shared" si="0"/>
        <v>0</v>
      </c>
      <c r="AB34" s="14"/>
      <c r="AC34" s="30" t="s">
        <v>223</v>
      </c>
      <c r="AD34" s="37" t="s">
        <v>223</v>
      </c>
    </row>
    <row r="35" spans="1:30" x14ac:dyDescent="0.25">
      <c r="A35" s="36">
        <v>1020</v>
      </c>
      <c r="B35" s="14" t="s">
        <v>2067</v>
      </c>
      <c r="C35" s="14" t="s">
        <v>2068</v>
      </c>
      <c r="D35" s="18">
        <v>44133</v>
      </c>
      <c r="E35" s="14" t="s">
        <v>30</v>
      </c>
      <c r="F35" s="14">
        <v>738</v>
      </c>
      <c r="G35" s="14">
        <v>149</v>
      </c>
      <c r="H35" s="14">
        <v>6</v>
      </c>
      <c r="I35" s="14">
        <v>3</v>
      </c>
      <c r="J35" s="14" t="s">
        <v>204</v>
      </c>
      <c r="K35" s="14" cm="1">
        <f t="array" ref="K35">INT(SUMPRODUCT(--ISNUMBER(SEARCH(economy,C35)))&gt;0)</f>
        <v>1</v>
      </c>
      <c r="L35" s="14" cm="1">
        <f t="array" ref="L35">INT(SUMPRODUCT(--ISNUMBER(SEARCH(healthcare,C35)))&gt;0)</f>
        <v>0</v>
      </c>
      <c r="M35" s="14" cm="1">
        <f t="array" ref="M35">INT(SUMPRODUCT(--ISNUMBER(SEARCH(supreme,C35)))&gt;0)</f>
        <v>0</v>
      </c>
      <c r="N35" s="14" cm="1">
        <f t="array" ref="N35">INT(SUMPRODUCT(--ISNUMBER(SEARCH(covid,C35)))&gt;0)</f>
        <v>0</v>
      </c>
      <c r="O35" s="14" cm="1">
        <f t="array" ref="O35">INT(SUMPRODUCT(--ISNUMBER(SEARCH(violent,C35)))&gt;0)</f>
        <v>0</v>
      </c>
      <c r="P35" s="14" cm="1">
        <f t="array" ref="P35">INT(SUMPRODUCT(--ISNUMBER(SEARCH(foreign,C35)))&gt;0)</f>
        <v>0</v>
      </c>
      <c r="Q35" s="14" cm="1">
        <f t="array" ref="Q35">INT(SUMPRODUCT(--ISNUMBER(SEARCH(gun,C35)))&gt;0)</f>
        <v>1</v>
      </c>
      <c r="R35" s="14" cm="1">
        <f t="array" ref="R35">INT(SUMPRODUCT(--ISNUMBER(SEARCH(race,C35)))&gt;0)</f>
        <v>0</v>
      </c>
      <c r="S35" s="14" cm="1">
        <f t="array" ref="S35">INT(SUMPRODUCT(--ISNUMBER(SEARCH(immigration,C35)))&gt;0)</f>
        <v>0</v>
      </c>
      <c r="T35" s="14" cm="1">
        <f t="array" ref="T35">INT(SUMPRODUCT(--ISNUMBER(SEARCH(econineq,C36)))&gt;0)</f>
        <v>0</v>
      </c>
      <c r="U35" s="14" cm="1">
        <f t="array" ref="U35">INT(SUMPRODUCT(--ISNUMBER(SEARCH(climate,C35)))&gt;0)</f>
        <v>0</v>
      </c>
      <c r="V35" s="14" cm="1">
        <f t="array" ref="V35">INT(SUMPRODUCT(--ISNUMBER(SEARCH(abortion,C35)))&gt;0)</f>
        <v>0</v>
      </c>
      <c r="W35" s="14" cm="1">
        <f t="array" ref="W35">INT(SUMPRODUCT(--ISNUMBER(SEARCH(trump,C35)))&gt;0)</f>
        <v>0</v>
      </c>
      <c r="X35" s="14" cm="1">
        <f t="array" ref="X35">INT(SUMPRODUCT(--ISNUMBER(SEARCH(voting,C35)))&gt;0)</f>
        <v>1</v>
      </c>
      <c r="Y35" s="14" cm="1">
        <f t="array" ref="Y35">INT(SUMPRODUCT(--ISNUMBER(SEARCH(democrattrigger,C35)))&gt;0)</f>
        <v>0</v>
      </c>
      <c r="Z35" s="14" cm="1">
        <f t="array" ref="Z35">INT(SUMPRODUCT(--ISNUMBER(SEARCH(bipartisan,C35)))&gt;0)</f>
        <v>0</v>
      </c>
      <c r="AA35" s="14">
        <f t="shared" si="0"/>
        <v>0</v>
      </c>
      <c r="AB35" s="14"/>
      <c r="AC35" s="30">
        <v>1</v>
      </c>
      <c r="AD35" s="37">
        <v>0</v>
      </c>
    </row>
    <row r="36" spans="1:30" x14ac:dyDescent="0.25">
      <c r="A36" s="36">
        <v>1021</v>
      </c>
      <c r="B36" s="14" t="s">
        <v>2069</v>
      </c>
      <c r="C36" s="14" t="s">
        <v>2070</v>
      </c>
      <c r="D36" s="18">
        <v>44133</v>
      </c>
      <c r="E36" s="14" t="s">
        <v>30</v>
      </c>
      <c r="F36" s="14">
        <v>1224</v>
      </c>
      <c r="G36" s="14">
        <v>309</v>
      </c>
      <c r="H36" s="14">
        <v>6</v>
      </c>
      <c r="I36" s="14">
        <v>3</v>
      </c>
      <c r="J36" s="14" t="s">
        <v>204</v>
      </c>
      <c r="K36" s="14" cm="1">
        <f t="array" ref="K36">INT(SUMPRODUCT(--ISNUMBER(SEARCH(economy,C36)))&gt;0)</f>
        <v>0</v>
      </c>
      <c r="L36" s="14" cm="1">
        <f t="array" ref="L36">INT(SUMPRODUCT(--ISNUMBER(SEARCH(healthcare,C36)))&gt;0)</f>
        <v>0</v>
      </c>
      <c r="M36" s="14" cm="1">
        <f t="array" ref="M36">INT(SUMPRODUCT(--ISNUMBER(SEARCH(supreme,C36)))&gt;0)</f>
        <v>0</v>
      </c>
      <c r="N36" s="14" cm="1">
        <f t="array" ref="N36">INT(SUMPRODUCT(--ISNUMBER(SEARCH(covid,C36)))&gt;0)</f>
        <v>0</v>
      </c>
      <c r="O36" s="14" cm="1">
        <f t="array" ref="O36">INT(SUMPRODUCT(--ISNUMBER(SEARCH(violent,C36)))&gt;0)</f>
        <v>0</v>
      </c>
      <c r="P36" s="14" cm="1">
        <f t="array" ref="P36">INT(SUMPRODUCT(--ISNUMBER(SEARCH(foreign,C36)))&gt;0)</f>
        <v>0</v>
      </c>
      <c r="Q36" s="14" cm="1">
        <f t="array" ref="Q36">INT(SUMPRODUCT(--ISNUMBER(SEARCH(gun,C36)))&gt;0)</f>
        <v>0</v>
      </c>
      <c r="R36" s="14" cm="1">
        <f t="array" ref="R36">INT(SUMPRODUCT(--ISNUMBER(SEARCH(race,C36)))&gt;0)</f>
        <v>0</v>
      </c>
      <c r="S36" s="14" cm="1">
        <f t="array" ref="S36">INT(SUMPRODUCT(--ISNUMBER(SEARCH(immigration,C36)))&gt;0)</f>
        <v>0</v>
      </c>
      <c r="T36" s="14" cm="1">
        <f t="array" ref="T36">INT(SUMPRODUCT(--ISNUMBER(SEARCH(econineq,C37)))&gt;0)</f>
        <v>0</v>
      </c>
      <c r="U36" s="14" cm="1">
        <f t="array" ref="U36">INT(SUMPRODUCT(--ISNUMBER(SEARCH(climate,C36)))&gt;0)</f>
        <v>0</v>
      </c>
      <c r="V36" s="14" cm="1">
        <f t="array" ref="V36">INT(SUMPRODUCT(--ISNUMBER(SEARCH(abortion,C36)))&gt;0)</f>
        <v>0</v>
      </c>
      <c r="W36" s="14" cm="1">
        <f t="array" ref="W36">INT(SUMPRODUCT(--ISNUMBER(SEARCH(trump,C36)))&gt;0)</f>
        <v>0</v>
      </c>
      <c r="X36" s="14" cm="1">
        <f t="array" ref="X36">INT(SUMPRODUCT(--ISNUMBER(SEARCH(voting,C36)))&gt;0)</f>
        <v>1</v>
      </c>
      <c r="Y36" s="14" cm="1">
        <f t="array" ref="Y36">INT(SUMPRODUCT(--ISNUMBER(SEARCH(democrattrigger,C36)))&gt;0)</f>
        <v>0</v>
      </c>
      <c r="Z36" s="14" cm="1">
        <f t="array" ref="Z36">INT(SUMPRODUCT(--ISNUMBER(SEARCH(bipartisan,C36)))&gt;0)</f>
        <v>0</v>
      </c>
      <c r="AA36" s="14">
        <f t="shared" si="0"/>
        <v>0</v>
      </c>
      <c r="AB36" s="14"/>
      <c r="AC36" s="30">
        <v>0</v>
      </c>
      <c r="AD36" s="37">
        <v>0</v>
      </c>
    </row>
    <row r="37" spans="1:30" x14ac:dyDescent="0.25">
      <c r="A37" s="36">
        <v>1022</v>
      </c>
      <c r="B37" s="14" t="s">
        <v>2071</v>
      </c>
      <c r="C37" s="14" t="s">
        <v>2072</v>
      </c>
      <c r="D37" s="18">
        <v>44133</v>
      </c>
      <c r="E37" s="14" t="s">
        <v>30</v>
      </c>
      <c r="F37" s="14">
        <v>543</v>
      </c>
      <c r="G37" s="14">
        <v>190</v>
      </c>
      <c r="H37" s="14">
        <v>6</v>
      </c>
      <c r="I37" s="14">
        <v>3</v>
      </c>
      <c r="J37" s="14" t="s">
        <v>204</v>
      </c>
      <c r="K37" s="14" cm="1">
        <f t="array" ref="K37">INT(SUMPRODUCT(--ISNUMBER(SEARCH(economy,C37)))&gt;0)</f>
        <v>0</v>
      </c>
      <c r="L37" s="14" cm="1">
        <f t="array" ref="L37">INT(SUMPRODUCT(--ISNUMBER(SEARCH(healthcare,C37)))&gt;0)</f>
        <v>0</v>
      </c>
      <c r="M37" s="14" cm="1">
        <f t="array" ref="M37">INT(SUMPRODUCT(--ISNUMBER(SEARCH(supreme,C37)))&gt;0)</f>
        <v>0</v>
      </c>
      <c r="N37" s="14" cm="1">
        <f t="array" ref="N37">INT(SUMPRODUCT(--ISNUMBER(SEARCH(covid,C37)))&gt;0)</f>
        <v>0</v>
      </c>
      <c r="O37" s="14" cm="1">
        <f t="array" ref="O37">INT(SUMPRODUCT(--ISNUMBER(SEARCH(violent,C37)))&gt;0)</f>
        <v>0</v>
      </c>
      <c r="P37" s="14" cm="1">
        <f t="array" ref="P37">INT(SUMPRODUCT(--ISNUMBER(SEARCH(foreign,C37)))&gt;0)</f>
        <v>0</v>
      </c>
      <c r="Q37" s="14" cm="1">
        <f t="array" ref="Q37">INT(SUMPRODUCT(--ISNUMBER(SEARCH(gun,C37)))&gt;0)</f>
        <v>0</v>
      </c>
      <c r="R37" s="14" cm="1">
        <f t="array" ref="R37">INT(SUMPRODUCT(--ISNUMBER(SEARCH(race,C37)))&gt;0)</f>
        <v>0</v>
      </c>
      <c r="S37" s="14" cm="1">
        <f t="array" ref="S37">INT(SUMPRODUCT(--ISNUMBER(SEARCH(immigration,C37)))&gt;0)</f>
        <v>0</v>
      </c>
      <c r="T37" s="14" cm="1">
        <f t="array" ref="T37">INT(SUMPRODUCT(--ISNUMBER(SEARCH(econineq,C38)))&gt;0)</f>
        <v>0</v>
      </c>
      <c r="U37" s="14" cm="1">
        <f t="array" ref="U37">INT(SUMPRODUCT(--ISNUMBER(SEARCH(climate,C37)))&gt;0)</f>
        <v>1</v>
      </c>
      <c r="V37" s="14" cm="1">
        <f t="array" ref="V37">INT(SUMPRODUCT(--ISNUMBER(SEARCH(abortion,C37)))&gt;0)</f>
        <v>0</v>
      </c>
      <c r="W37" s="14" cm="1">
        <f t="array" ref="W37">INT(SUMPRODUCT(--ISNUMBER(SEARCH(trump,C37)))&gt;0)</f>
        <v>0</v>
      </c>
      <c r="X37" s="14" cm="1">
        <f t="array" ref="X37">INT(SUMPRODUCT(--ISNUMBER(SEARCH(voting,C37)))&gt;0)</f>
        <v>1</v>
      </c>
      <c r="Y37" s="14" cm="1">
        <f t="array" ref="Y37">INT(SUMPRODUCT(--ISNUMBER(SEARCH(democrattrigger,C37)))&gt;0)</f>
        <v>1</v>
      </c>
      <c r="Z37" s="14" cm="1">
        <f t="array" ref="Z37">INT(SUMPRODUCT(--ISNUMBER(SEARCH(bipartisan,C37)))&gt;0)</f>
        <v>0</v>
      </c>
      <c r="AA37" s="14">
        <f t="shared" si="0"/>
        <v>0</v>
      </c>
      <c r="AB37" s="14"/>
      <c r="AC37" s="30">
        <v>0</v>
      </c>
      <c r="AD37" s="37">
        <v>0</v>
      </c>
    </row>
    <row r="38" spans="1:30" x14ac:dyDescent="0.25">
      <c r="A38" s="36">
        <v>1023</v>
      </c>
      <c r="B38" s="14" t="s">
        <v>2073</v>
      </c>
      <c r="C38" s="14" t="s">
        <v>2074</v>
      </c>
      <c r="D38" s="18">
        <v>44133</v>
      </c>
      <c r="E38" s="14" t="s">
        <v>30</v>
      </c>
      <c r="F38" s="14">
        <v>518</v>
      </c>
      <c r="G38" s="14">
        <v>88</v>
      </c>
      <c r="H38" s="14">
        <v>6</v>
      </c>
      <c r="I38" s="14">
        <v>3</v>
      </c>
      <c r="J38" s="14" t="s">
        <v>204</v>
      </c>
      <c r="K38" s="14" cm="1">
        <f t="array" ref="K38">INT(SUMPRODUCT(--ISNUMBER(SEARCH(economy,C38)))&gt;0)</f>
        <v>0</v>
      </c>
      <c r="L38" s="14" cm="1">
        <f t="array" ref="L38">INT(SUMPRODUCT(--ISNUMBER(SEARCH(healthcare,C38)))&gt;0)</f>
        <v>0</v>
      </c>
      <c r="M38" s="14" cm="1">
        <f t="array" ref="M38">INT(SUMPRODUCT(--ISNUMBER(SEARCH(supreme,C38)))&gt;0)</f>
        <v>0</v>
      </c>
      <c r="N38" s="14" cm="1">
        <f t="array" ref="N38">INT(SUMPRODUCT(--ISNUMBER(SEARCH(covid,C38)))&gt;0)</f>
        <v>0</v>
      </c>
      <c r="O38" s="14" cm="1">
        <f t="array" ref="O38">INT(SUMPRODUCT(--ISNUMBER(SEARCH(violent,C38)))&gt;0)</f>
        <v>0</v>
      </c>
      <c r="P38" s="14" cm="1">
        <f t="array" ref="P38">INT(SUMPRODUCT(--ISNUMBER(SEARCH(foreign,C38)))&gt;0)</f>
        <v>0</v>
      </c>
      <c r="Q38" s="14" cm="1">
        <f t="array" ref="Q38">INT(SUMPRODUCT(--ISNUMBER(SEARCH(gun,C38)))&gt;0)</f>
        <v>0</v>
      </c>
      <c r="R38" s="14" cm="1">
        <f t="array" ref="R38">INT(SUMPRODUCT(--ISNUMBER(SEARCH(race,C38)))&gt;0)</f>
        <v>0</v>
      </c>
      <c r="S38" s="14" cm="1">
        <f t="array" ref="S38">INT(SUMPRODUCT(--ISNUMBER(SEARCH(immigration,C38)))&gt;0)</f>
        <v>0</v>
      </c>
      <c r="T38" s="14" cm="1">
        <f t="array" ref="T38">INT(SUMPRODUCT(--ISNUMBER(SEARCH(econineq,C39)))&gt;0)</f>
        <v>0</v>
      </c>
      <c r="U38" s="14" cm="1">
        <f t="array" ref="U38">INT(SUMPRODUCT(--ISNUMBER(SEARCH(climate,C38)))&gt;0)</f>
        <v>0</v>
      </c>
      <c r="V38" s="14" cm="1">
        <f t="array" ref="V38">INT(SUMPRODUCT(--ISNUMBER(SEARCH(abortion,C38)))&gt;0)</f>
        <v>0</v>
      </c>
      <c r="W38" s="14" cm="1">
        <f t="array" ref="W38">INT(SUMPRODUCT(--ISNUMBER(SEARCH(trump,C38)))&gt;0)</f>
        <v>0</v>
      </c>
      <c r="X38" s="14" cm="1">
        <f t="array" ref="X38">INT(SUMPRODUCT(--ISNUMBER(SEARCH(voting,C38)))&gt;0)</f>
        <v>1</v>
      </c>
      <c r="Y38" s="14" cm="1">
        <f t="array" ref="Y38">INT(SUMPRODUCT(--ISNUMBER(SEARCH(democrattrigger,C38)))&gt;0)</f>
        <v>0</v>
      </c>
      <c r="Z38" s="14" cm="1">
        <f t="array" ref="Z38">INT(SUMPRODUCT(--ISNUMBER(SEARCH(bipartisan,C38)))&gt;0)</f>
        <v>0</v>
      </c>
      <c r="AA38" s="14">
        <f t="shared" si="0"/>
        <v>0</v>
      </c>
      <c r="AB38" s="14"/>
      <c r="AC38" s="30">
        <v>0</v>
      </c>
      <c r="AD38" s="37">
        <v>0</v>
      </c>
    </row>
    <row r="39" spans="1:30" x14ac:dyDescent="0.25">
      <c r="A39" s="36">
        <v>1024</v>
      </c>
      <c r="B39" s="14" t="s">
        <v>2075</v>
      </c>
      <c r="C39" s="14" t="s">
        <v>2076</v>
      </c>
      <c r="D39" s="18">
        <v>44133</v>
      </c>
      <c r="E39" s="14" t="s">
        <v>30</v>
      </c>
      <c r="F39" s="14">
        <v>895</v>
      </c>
      <c r="G39" s="14">
        <v>304</v>
      </c>
      <c r="H39" s="14">
        <v>6</v>
      </c>
      <c r="I39" s="14">
        <v>3</v>
      </c>
      <c r="J39" s="14" t="s">
        <v>204</v>
      </c>
      <c r="K39" s="14" cm="1">
        <f t="array" ref="K39">INT(SUMPRODUCT(--ISNUMBER(SEARCH(economy,C39)))&gt;0)</f>
        <v>0</v>
      </c>
      <c r="L39" s="14" cm="1">
        <f t="array" ref="L39">INT(SUMPRODUCT(--ISNUMBER(SEARCH(healthcare,C39)))&gt;0)</f>
        <v>0</v>
      </c>
      <c r="M39" s="14" cm="1">
        <f t="array" ref="M39">INT(SUMPRODUCT(--ISNUMBER(SEARCH(supreme,C39)))&gt;0)</f>
        <v>0</v>
      </c>
      <c r="N39" s="14" cm="1">
        <f t="array" ref="N39">INT(SUMPRODUCT(--ISNUMBER(SEARCH(covid,C39)))&gt;0)</f>
        <v>0</v>
      </c>
      <c r="O39" s="14" cm="1">
        <f t="array" ref="O39">INT(SUMPRODUCT(--ISNUMBER(SEARCH(violent,C39)))&gt;0)</f>
        <v>0</v>
      </c>
      <c r="P39" s="14" cm="1">
        <f t="array" ref="P39">INT(SUMPRODUCT(--ISNUMBER(SEARCH(foreign,C39)))&gt;0)</f>
        <v>0</v>
      </c>
      <c r="Q39" s="14" cm="1">
        <f t="array" ref="Q39">INT(SUMPRODUCT(--ISNUMBER(SEARCH(gun,C39)))&gt;0)</f>
        <v>0</v>
      </c>
      <c r="R39" s="14" cm="1">
        <f t="array" ref="R39">INT(SUMPRODUCT(--ISNUMBER(SEARCH(race,C39)))&gt;0)</f>
        <v>0</v>
      </c>
      <c r="S39" s="14" cm="1">
        <f t="array" ref="S39">INT(SUMPRODUCT(--ISNUMBER(SEARCH(immigration,C39)))&gt;0)</f>
        <v>0</v>
      </c>
      <c r="T39" s="14" cm="1">
        <f t="array" ref="T39">INT(SUMPRODUCT(--ISNUMBER(SEARCH(econineq,C40)))&gt;0)</f>
        <v>0</v>
      </c>
      <c r="U39" s="14" cm="1">
        <f t="array" ref="U39">INT(SUMPRODUCT(--ISNUMBER(SEARCH(climate,C39)))&gt;0)</f>
        <v>0</v>
      </c>
      <c r="V39" s="14" cm="1">
        <f t="array" ref="V39">INT(SUMPRODUCT(--ISNUMBER(SEARCH(abortion,C39)))&gt;0)</f>
        <v>0</v>
      </c>
      <c r="W39" s="14" cm="1">
        <f t="array" ref="W39">INT(SUMPRODUCT(--ISNUMBER(SEARCH(trump,C39)))&gt;0)</f>
        <v>1</v>
      </c>
      <c r="X39" s="14" cm="1">
        <f t="array" ref="X39">INT(SUMPRODUCT(--ISNUMBER(SEARCH(voting,C39)))&gt;0)</f>
        <v>1</v>
      </c>
      <c r="Y39" s="14" cm="1">
        <f t="array" ref="Y39">INT(SUMPRODUCT(--ISNUMBER(SEARCH(democrattrigger,C39)))&gt;0)</f>
        <v>1</v>
      </c>
      <c r="Z39" s="14" cm="1">
        <f t="array" ref="Z39">INT(SUMPRODUCT(--ISNUMBER(SEARCH(bipartisan,C39)))&gt;0)</f>
        <v>0</v>
      </c>
      <c r="AA39" s="14">
        <f t="shared" si="0"/>
        <v>0</v>
      </c>
      <c r="AB39" s="14"/>
      <c r="AC39" s="30">
        <v>0</v>
      </c>
      <c r="AD39" s="37">
        <v>0</v>
      </c>
    </row>
    <row r="40" spans="1:30" x14ac:dyDescent="0.25">
      <c r="A40" s="36">
        <v>1025</v>
      </c>
      <c r="B40" s="14" t="s">
        <v>2077</v>
      </c>
      <c r="C40" s="14" t="s">
        <v>2078</v>
      </c>
      <c r="D40" s="18">
        <v>44132</v>
      </c>
      <c r="E40" s="14" t="s">
        <v>30</v>
      </c>
      <c r="F40" s="14">
        <v>21070</v>
      </c>
      <c r="G40" s="14">
        <v>3890</v>
      </c>
      <c r="H40" s="14">
        <v>6</v>
      </c>
      <c r="I40" s="14">
        <v>3</v>
      </c>
      <c r="J40" s="14" t="s">
        <v>204</v>
      </c>
      <c r="K40" s="14" cm="1">
        <f t="array" ref="K40">INT(SUMPRODUCT(--ISNUMBER(SEARCH(economy,C40)))&gt;0)</f>
        <v>1</v>
      </c>
      <c r="L40" s="14" cm="1">
        <f t="array" ref="L40">INT(SUMPRODUCT(--ISNUMBER(SEARCH(healthcare,C40)))&gt;0)</f>
        <v>0</v>
      </c>
      <c r="M40" s="14" cm="1">
        <f t="array" ref="M40">INT(SUMPRODUCT(--ISNUMBER(SEARCH(supreme,C40)))&gt;0)</f>
        <v>0</v>
      </c>
      <c r="N40" s="14" cm="1">
        <f t="array" ref="N40">INT(SUMPRODUCT(--ISNUMBER(SEARCH(covid,C40)))&gt;0)</f>
        <v>0</v>
      </c>
      <c r="O40" s="14" cm="1">
        <f t="array" ref="O40">INT(SUMPRODUCT(--ISNUMBER(SEARCH(violent,C40)))&gt;0)</f>
        <v>0</v>
      </c>
      <c r="P40" s="14" cm="1">
        <f t="array" ref="P40">INT(SUMPRODUCT(--ISNUMBER(SEARCH(foreign,C40)))&gt;0)</f>
        <v>0</v>
      </c>
      <c r="Q40" s="14" cm="1">
        <f t="array" ref="Q40">INT(SUMPRODUCT(--ISNUMBER(SEARCH(gun,C40)))&gt;0)</f>
        <v>0</v>
      </c>
      <c r="R40" s="14" cm="1">
        <f t="array" ref="R40">INT(SUMPRODUCT(--ISNUMBER(SEARCH(race,C40)))&gt;0)</f>
        <v>0</v>
      </c>
      <c r="S40" s="14" cm="1">
        <f t="array" ref="S40">INT(SUMPRODUCT(--ISNUMBER(SEARCH(immigration,C40)))&gt;0)</f>
        <v>0</v>
      </c>
      <c r="T40" s="14" cm="1">
        <f t="array" ref="T40">INT(SUMPRODUCT(--ISNUMBER(SEARCH(econineq,C41)))&gt;0)</f>
        <v>0</v>
      </c>
      <c r="U40" s="14" cm="1">
        <f t="array" ref="U40">INT(SUMPRODUCT(--ISNUMBER(SEARCH(climate,C40)))&gt;0)</f>
        <v>0</v>
      </c>
      <c r="V40" s="14" cm="1">
        <f t="array" ref="V40">INT(SUMPRODUCT(--ISNUMBER(SEARCH(abortion,C40)))&gt;0)</f>
        <v>0</v>
      </c>
      <c r="W40" s="14" cm="1">
        <f t="array" ref="W40">INT(SUMPRODUCT(--ISNUMBER(SEARCH(trump,C40)))&gt;0)</f>
        <v>0</v>
      </c>
      <c r="X40" s="14" cm="1">
        <f t="array" ref="X40">INT(SUMPRODUCT(--ISNUMBER(SEARCH(voting,C40)))&gt;0)</f>
        <v>0</v>
      </c>
      <c r="Y40" s="14" cm="1">
        <f t="array" ref="Y40">INT(SUMPRODUCT(--ISNUMBER(SEARCH(democrattrigger,C40)))&gt;0)</f>
        <v>0</v>
      </c>
      <c r="Z40" s="14" cm="1">
        <f t="array" ref="Z40">INT(SUMPRODUCT(--ISNUMBER(SEARCH(bipartisan,C40)))&gt;0)</f>
        <v>0</v>
      </c>
      <c r="AA40" s="14">
        <f t="shared" si="0"/>
        <v>0</v>
      </c>
      <c r="AB40" s="14"/>
      <c r="AC40" s="30">
        <v>0</v>
      </c>
      <c r="AD40" s="37">
        <v>0</v>
      </c>
    </row>
    <row r="41" spans="1:30" x14ac:dyDescent="0.25">
      <c r="A41" s="36">
        <v>1026</v>
      </c>
      <c r="B41" s="14" t="s">
        <v>2079</v>
      </c>
      <c r="C41" s="14" t="s">
        <v>2080</v>
      </c>
      <c r="D41" s="18">
        <v>44132</v>
      </c>
      <c r="E41" s="14" t="s">
        <v>30</v>
      </c>
      <c r="F41" s="14">
        <v>1232</v>
      </c>
      <c r="G41" s="14">
        <v>297</v>
      </c>
      <c r="H41" s="14">
        <v>6</v>
      </c>
      <c r="I41" s="14">
        <v>3</v>
      </c>
      <c r="J41" s="14" t="s">
        <v>204</v>
      </c>
      <c r="K41" s="14" cm="1">
        <f t="array" ref="K41">INT(SUMPRODUCT(--ISNUMBER(SEARCH(economy,C41)))&gt;0)</f>
        <v>0</v>
      </c>
      <c r="L41" s="14" cm="1">
        <f t="array" ref="L41">INT(SUMPRODUCT(--ISNUMBER(SEARCH(healthcare,C41)))&gt;0)</f>
        <v>1</v>
      </c>
      <c r="M41" s="14" cm="1">
        <f t="array" ref="M41">INT(SUMPRODUCT(--ISNUMBER(SEARCH(supreme,C41)))&gt;0)</f>
        <v>0</v>
      </c>
      <c r="N41" s="14" cm="1">
        <f t="array" ref="N41">INT(SUMPRODUCT(--ISNUMBER(SEARCH(covid,C41)))&gt;0)</f>
        <v>0</v>
      </c>
      <c r="O41" s="14" cm="1">
        <f t="array" ref="O41">INT(SUMPRODUCT(--ISNUMBER(SEARCH(violent,C41)))&gt;0)</f>
        <v>0</v>
      </c>
      <c r="P41" s="14" cm="1">
        <f t="array" ref="P41">INT(SUMPRODUCT(--ISNUMBER(SEARCH(foreign,C41)))&gt;0)</f>
        <v>0</v>
      </c>
      <c r="Q41" s="14" cm="1">
        <f t="array" ref="Q41">INT(SUMPRODUCT(--ISNUMBER(SEARCH(gun,C41)))&gt;0)</f>
        <v>0</v>
      </c>
      <c r="R41" s="14" cm="1">
        <f t="array" ref="R41">INT(SUMPRODUCT(--ISNUMBER(SEARCH(race,C41)))&gt;0)</f>
        <v>0</v>
      </c>
      <c r="S41" s="14" cm="1">
        <f t="array" ref="S41">INT(SUMPRODUCT(--ISNUMBER(SEARCH(immigration,C41)))&gt;0)</f>
        <v>0</v>
      </c>
      <c r="T41" s="14" cm="1">
        <f t="array" ref="T41">INT(SUMPRODUCT(--ISNUMBER(SEARCH(econineq,C42)))&gt;0)</f>
        <v>0</v>
      </c>
      <c r="U41" s="14" cm="1">
        <f t="array" ref="U41">INT(SUMPRODUCT(--ISNUMBER(SEARCH(climate,C41)))&gt;0)</f>
        <v>0</v>
      </c>
      <c r="V41" s="14" cm="1">
        <f t="array" ref="V41">INT(SUMPRODUCT(--ISNUMBER(SEARCH(abortion,C41)))&gt;0)</f>
        <v>0</v>
      </c>
      <c r="W41" s="14" cm="1">
        <f t="array" ref="W41">INT(SUMPRODUCT(--ISNUMBER(SEARCH(trump,C41)))&gt;0)</f>
        <v>0</v>
      </c>
      <c r="X41" s="14" cm="1">
        <f t="array" ref="X41">INT(SUMPRODUCT(--ISNUMBER(SEARCH(voting,C41)))&gt;0)</f>
        <v>0</v>
      </c>
      <c r="Y41" s="14" cm="1">
        <f t="array" ref="Y41">INT(SUMPRODUCT(--ISNUMBER(SEARCH(democrattrigger,C41)))&gt;0)</f>
        <v>0</v>
      </c>
      <c r="Z41" s="14" cm="1">
        <f t="array" ref="Z41">INT(SUMPRODUCT(--ISNUMBER(SEARCH(bipartisan,C41)))&gt;0)</f>
        <v>0</v>
      </c>
      <c r="AA41" s="14">
        <f t="shared" si="0"/>
        <v>0</v>
      </c>
      <c r="AB41" s="14"/>
      <c r="AC41" s="30">
        <v>0</v>
      </c>
      <c r="AD41" s="37">
        <v>0</v>
      </c>
    </row>
    <row r="42" spans="1:30" x14ac:dyDescent="0.25">
      <c r="A42" s="36">
        <v>1027</v>
      </c>
      <c r="B42" s="14" t="s">
        <v>2081</v>
      </c>
      <c r="C42" s="14" t="s">
        <v>2082</v>
      </c>
      <c r="D42" s="18">
        <v>44132</v>
      </c>
      <c r="E42" s="14" t="s">
        <v>30</v>
      </c>
      <c r="F42" s="14">
        <v>1270</v>
      </c>
      <c r="G42" s="14">
        <v>518</v>
      </c>
      <c r="H42" s="14">
        <v>6</v>
      </c>
      <c r="I42" s="14">
        <v>3</v>
      </c>
      <c r="J42" s="14" t="s">
        <v>204</v>
      </c>
      <c r="K42" s="14" cm="1">
        <f t="array" ref="K42">INT(SUMPRODUCT(--ISNUMBER(SEARCH(economy,C42)))&gt;0)</f>
        <v>0</v>
      </c>
      <c r="L42" s="14" cm="1">
        <f t="array" ref="L42">INT(SUMPRODUCT(--ISNUMBER(SEARCH(healthcare,C42)))&gt;0)</f>
        <v>0</v>
      </c>
      <c r="M42" s="14" cm="1">
        <f t="array" ref="M42">INT(SUMPRODUCT(--ISNUMBER(SEARCH(supreme,C42)))&gt;0)</f>
        <v>0</v>
      </c>
      <c r="N42" s="14" cm="1">
        <f t="array" ref="N42">INT(SUMPRODUCT(--ISNUMBER(SEARCH(covid,C42)))&gt;0)</f>
        <v>0</v>
      </c>
      <c r="O42" s="14" cm="1">
        <f t="array" ref="O42">INT(SUMPRODUCT(--ISNUMBER(SEARCH(violent,C42)))&gt;0)</f>
        <v>0</v>
      </c>
      <c r="P42" s="14" cm="1">
        <f t="array" ref="P42">INT(SUMPRODUCT(--ISNUMBER(SEARCH(foreign,C42)))&gt;0)</f>
        <v>0</v>
      </c>
      <c r="Q42" s="14" cm="1">
        <f t="array" ref="Q42">INT(SUMPRODUCT(--ISNUMBER(SEARCH(gun,C42)))&gt;0)</f>
        <v>0</v>
      </c>
      <c r="R42" s="14" cm="1">
        <f t="array" ref="R42">INT(SUMPRODUCT(--ISNUMBER(SEARCH(race,C42)))&gt;0)</f>
        <v>0</v>
      </c>
      <c r="S42" s="14" cm="1">
        <f t="array" ref="S42">INT(SUMPRODUCT(--ISNUMBER(SEARCH(immigration,C42)))&gt;0)</f>
        <v>0</v>
      </c>
      <c r="T42" s="14" cm="1">
        <f t="array" ref="T42">INT(SUMPRODUCT(--ISNUMBER(SEARCH(econineq,C43)))&gt;0)</f>
        <v>0</v>
      </c>
      <c r="U42" s="14" cm="1">
        <f t="array" ref="U42">INT(SUMPRODUCT(--ISNUMBER(SEARCH(climate,C42)))&gt;0)</f>
        <v>0</v>
      </c>
      <c r="V42" s="14" cm="1">
        <f t="array" ref="V42">INT(SUMPRODUCT(--ISNUMBER(SEARCH(abortion,C42)))&gt;0)</f>
        <v>0</v>
      </c>
      <c r="W42" s="14" cm="1">
        <f t="array" ref="W42">INT(SUMPRODUCT(--ISNUMBER(SEARCH(trump,C42)))&gt;0)</f>
        <v>0</v>
      </c>
      <c r="X42" s="14" cm="1">
        <f t="array" ref="X42">INT(SUMPRODUCT(--ISNUMBER(SEARCH(voting,C42)))&gt;0)</f>
        <v>0</v>
      </c>
      <c r="Y42" s="14" cm="1">
        <f t="array" ref="Y42">INT(SUMPRODUCT(--ISNUMBER(SEARCH(democrattrigger,C42)))&gt;0)</f>
        <v>1</v>
      </c>
      <c r="Z42" s="14" cm="1">
        <f t="array" ref="Z42">INT(SUMPRODUCT(--ISNUMBER(SEARCH(bipartisan,C42)))&gt;0)</f>
        <v>0</v>
      </c>
      <c r="AA42" s="14">
        <f t="shared" si="0"/>
        <v>0</v>
      </c>
      <c r="AB42" s="14"/>
      <c r="AC42" s="30">
        <v>0</v>
      </c>
      <c r="AD42" s="37">
        <v>1</v>
      </c>
    </row>
    <row r="43" spans="1:30" x14ac:dyDescent="0.25">
      <c r="A43" s="36">
        <v>1028</v>
      </c>
      <c r="B43" s="14" t="s">
        <v>2083</v>
      </c>
      <c r="C43" s="14" t="s">
        <v>2084</v>
      </c>
      <c r="D43" s="18">
        <v>44132</v>
      </c>
      <c r="E43" s="14" t="s">
        <v>30</v>
      </c>
      <c r="F43" s="14">
        <v>700</v>
      </c>
      <c r="G43" s="14">
        <v>175</v>
      </c>
      <c r="H43" s="14">
        <v>6</v>
      </c>
      <c r="I43" s="14">
        <v>3</v>
      </c>
      <c r="J43" s="14" t="s">
        <v>204</v>
      </c>
      <c r="K43" s="14" cm="1">
        <f t="array" ref="K43">INT(SUMPRODUCT(--ISNUMBER(SEARCH(economy,C43)))&gt;0)</f>
        <v>0</v>
      </c>
      <c r="L43" s="14" cm="1">
        <f t="array" ref="L43">INT(SUMPRODUCT(--ISNUMBER(SEARCH(healthcare,C43)))&gt;0)</f>
        <v>0</v>
      </c>
      <c r="M43" s="14" cm="1">
        <f t="array" ref="M43">INT(SUMPRODUCT(--ISNUMBER(SEARCH(supreme,C43)))&gt;0)</f>
        <v>0</v>
      </c>
      <c r="N43" s="14" cm="1">
        <f t="array" ref="N43">INT(SUMPRODUCT(--ISNUMBER(SEARCH(covid,C43)))&gt;0)</f>
        <v>0</v>
      </c>
      <c r="O43" s="14" cm="1">
        <f t="array" ref="O43">INT(SUMPRODUCT(--ISNUMBER(SEARCH(violent,C43)))&gt;0)</f>
        <v>0</v>
      </c>
      <c r="P43" s="14" cm="1">
        <f t="array" ref="P43">INT(SUMPRODUCT(--ISNUMBER(SEARCH(foreign,C43)))&gt;0)</f>
        <v>0</v>
      </c>
      <c r="Q43" s="14" cm="1">
        <f t="array" ref="Q43">INT(SUMPRODUCT(--ISNUMBER(SEARCH(gun,C43)))&gt;0)</f>
        <v>0</v>
      </c>
      <c r="R43" s="14" cm="1">
        <f t="array" ref="R43">INT(SUMPRODUCT(--ISNUMBER(SEARCH(race,C43)))&gt;0)</f>
        <v>0</v>
      </c>
      <c r="S43" s="14" cm="1">
        <f t="array" ref="S43">INT(SUMPRODUCT(--ISNUMBER(SEARCH(immigration,C43)))&gt;0)</f>
        <v>0</v>
      </c>
      <c r="T43" s="14" cm="1">
        <f t="array" ref="T43">INT(SUMPRODUCT(--ISNUMBER(SEARCH(econineq,C44)))&gt;0)</f>
        <v>0</v>
      </c>
      <c r="U43" s="14" cm="1">
        <f t="array" ref="U43">INT(SUMPRODUCT(--ISNUMBER(SEARCH(climate,C43)))&gt;0)</f>
        <v>0</v>
      </c>
      <c r="V43" s="14" cm="1">
        <f t="array" ref="V43">INT(SUMPRODUCT(--ISNUMBER(SEARCH(abortion,C43)))&gt;0)</f>
        <v>0</v>
      </c>
      <c r="W43" s="14" cm="1">
        <f t="array" ref="W43">INT(SUMPRODUCT(--ISNUMBER(SEARCH(trump,C43)))&gt;0)</f>
        <v>0</v>
      </c>
      <c r="X43" s="14" cm="1">
        <f t="array" ref="X43">INT(SUMPRODUCT(--ISNUMBER(SEARCH(voting,C43)))&gt;0)</f>
        <v>1</v>
      </c>
      <c r="Y43" s="14" cm="1">
        <f t="array" ref="Y43">INT(SUMPRODUCT(--ISNUMBER(SEARCH(democrattrigger,C43)))&gt;0)</f>
        <v>0</v>
      </c>
      <c r="Z43" s="14" cm="1">
        <f t="array" ref="Z43">INT(SUMPRODUCT(--ISNUMBER(SEARCH(bipartisan,C43)))&gt;0)</f>
        <v>0</v>
      </c>
      <c r="AA43" s="14">
        <f t="shared" si="0"/>
        <v>0</v>
      </c>
      <c r="AB43" s="14"/>
      <c r="AC43" s="30">
        <v>0</v>
      </c>
      <c r="AD43" s="37">
        <v>1</v>
      </c>
    </row>
    <row r="44" spans="1:30" x14ac:dyDescent="0.25">
      <c r="A44" s="36">
        <v>1029</v>
      </c>
      <c r="B44" s="14" t="s">
        <v>2085</v>
      </c>
      <c r="C44" s="14" t="s">
        <v>2086</v>
      </c>
      <c r="D44" s="18">
        <v>44132</v>
      </c>
      <c r="E44" s="14" t="s">
        <v>30</v>
      </c>
      <c r="F44" s="14">
        <v>6896</v>
      </c>
      <c r="G44" s="14">
        <v>1957</v>
      </c>
      <c r="H44" s="14">
        <v>6</v>
      </c>
      <c r="I44" s="14">
        <v>3</v>
      </c>
      <c r="J44" s="14" t="s">
        <v>204</v>
      </c>
      <c r="K44" s="14" cm="1">
        <f t="array" ref="K44">INT(SUMPRODUCT(--ISNUMBER(SEARCH(economy,C44)))&gt;0)</f>
        <v>0</v>
      </c>
      <c r="L44" s="14" cm="1">
        <f t="array" ref="L44">INT(SUMPRODUCT(--ISNUMBER(SEARCH(healthcare,C44)))&gt;0)</f>
        <v>0</v>
      </c>
      <c r="M44" s="14" cm="1">
        <f t="array" ref="M44">INT(SUMPRODUCT(--ISNUMBER(SEARCH(supreme,C44)))&gt;0)</f>
        <v>0</v>
      </c>
      <c r="N44" s="14" cm="1">
        <f t="array" ref="N44">INT(SUMPRODUCT(--ISNUMBER(SEARCH(covid,C44)))&gt;0)</f>
        <v>0</v>
      </c>
      <c r="O44" s="14" cm="1">
        <f t="array" ref="O44">INT(SUMPRODUCT(--ISNUMBER(SEARCH(violent,C44)))&gt;0)</f>
        <v>0</v>
      </c>
      <c r="P44" s="14" cm="1">
        <f t="array" ref="P44">INT(SUMPRODUCT(--ISNUMBER(SEARCH(foreign,C44)))&gt;0)</f>
        <v>0</v>
      </c>
      <c r="Q44" s="14" cm="1">
        <f t="array" ref="Q44">INT(SUMPRODUCT(--ISNUMBER(SEARCH(gun,C44)))&gt;0)</f>
        <v>0</v>
      </c>
      <c r="R44" s="14" cm="1">
        <f t="array" ref="R44">INT(SUMPRODUCT(--ISNUMBER(SEARCH(race,C44)))&gt;0)</f>
        <v>0</v>
      </c>
      <c r="S44" s="14" cm="1">
        <f t="array" ref="S44">INT(SUMPRODUCT(--ISNUMBER(SEARCH(immigration,C44)))&gt;0)</f>
        <v>0</v>
      </c>
      <c r="T44" s="14" cm="1">
        <f t="array" ref="T44">INT(SUMPRODUCT(--ISNUMBER(SEARCH(econineq,C45)))&gt;0)</f>
        <v>0</v>
      </c>
      <c r="U44" s="14" cm="1">
        <f t="array" ref="U44">INT(SUMPRODUCT(--ISNUMBER(SEARCH(climate,C44)))&gt;0)</f>
        <v>0</v>
      </c>
      <c r="V44" s="14" cm="1">
        <f t="array" ref="V44">INT(SUMPRODUCT(--ISNUMBER(SEARCH(abortion,C44)))&gt;0)</f>
        <v>0</v>
      </c>
      <c r="W44" s="14" cm="1">
        <f t="array" ref="W44">INT(SUMPRODUCT(--ISNUMBER(SEARCH(trump,C44)))&gt;0)</f>
        <v>0</v>
      </c>
      <c r="X44" s="14" cm="1">
        <f t="array" ref="X44">INT(SUMPRODUCT(--ISNUMBER(SEARCH(voting,C44)))&gt;0)</f>
        <v>0</v>
      </c>
      <c r="Y44" s="14" cm="1">
        <f t="array" ref="Y44">INT(SUMPRODUCT(--ISNUMBER(SEARCH(democrattrigger,C44)))&gt;0)</f>
        <v>1</v>
      </c>
      <c r="Z44" s="14" cm="1">
        <f t="array" ref="Z44">INT(SUMPRODUCT(--ISNUMBER(SEARCH(bipartisan,C44)))&gt;0)</f>
        <v>0</v>
      </c>
      <c r="AA44" s="14">
        <f t="shared" si="0"/>
        <v>0</v>
      </c>
      <c r="AB44" s="14"/>
      <c r="AC44" s="30">
        <v>0</v>
      </c>
      <c r="AD44" s="37">
        <v>0</v>
      </c>
    </row>
    <row r="45" spans="1:30" x14ac:dyDescent="0.25">
      <c r="A45" s="36">
        <v>1030</v>
      </c>
      <c r="B45" s="14" t="s">
        <v>2087</v>
      </c>
      <c r="C45" s="14" t="s">
        <v>2088</v>
      </c>
      <c r="D45" s="18">
        <v>44132</v>
      </c>
      <c r="E45" s="14" t="s">
        <v>30</v>
      </c>
      <c r="F45" s="14">
        <v>373</v>
      </c>
      <c r="G45" s="14">
        <v>109</v>
      </c>
      <c r="H45" s="14">
        <v>6</v>
      </c>
      <c r="I45" s="14">
        <v>3</v>
      </c>
      <c r="J45" s="14" t="s">
        <v>204</v>
      </c>
      <c r="K45" s="14" cm="1">
        <f t="array" ref="K45">INT(SUMPRODUCT(--ISNUMBER(SEARCH(economy,C45)))&gt;0)</f>
        <v>0</v>
      </c>
      <c r="L45" s="14" cm="1">
        <f t="array" ref="L45">INT(SUMPRODUCT(--ISNUMBER(SEARCH(healthcare,C45)))&gt;0)</f>
        <v>0</v>
      </c>
      <c r="M45" s="14" cm="1">
        <f t="array" ref="M45">INT(SUMPRODUCT(--ISNUMBER(SEARCH(supreme,C45)))&gt;0)</f>
        <v>0</v>
      </c>
      <c r="N45" s="14" cm="1">
        <f t="array" ref="N45">INT(SUMPRODUCT(--ISNUMBER(SEARCH(covid,C45)))&gt;0)</f>
        <v>0</v>
      </c>
      <c r="O45" s="14" cm="1">
        <f t="array" ref="O45">INT(SUMPRODUCT(--ISNUMBER(SEARCH(violent,C45)))&gt;0)</f>
        <v>0</v>
      </c>
      <c r="P45" s="14" cm="1">
        <f t="array" ref="P45">INT(SUMPRODUCT(--ISNUMBER(SEARCH(foreign,C45)))&gt;0)</f>
        <v>0</v>
      </c>
      <c r="Q45" s="14" cm="1">
        <f t="array" ref="Q45">INT(SUMPRODUCT(--ISNUMBER(SEARCH(gun,C45)))&gt;0)</f>
        <v>0</v>
      </c>
      <c r="R45" s="14" cm="1">
        <f t="array" ref="R45">INT(SUMPRODUCT(--ISNUMBER(SEARCH(race,C45)))&gt;0)</f>
        <v>0</v>
      </c>
      <c r="S45" s="14" cm="1">
        <f t="array" ref="S45">INT(SUMPRODUCT(--ISNUMBER(SEARCH(immigration,C45)))&gt;0)</f>
        <v>0</v>
      </c>
      <c r="T45" s="14" cm="1">
        <f t="array" ref="T45">INT(SUMPRODUCT(--ISNUMBER(SEARCH(econineq,C46)))&gt;0)</f>
        <v>0</v>
      </c>
      <c r="U45" s="14" cm="1">
        <f t="array" ref="U45">INT(SUMPRODUCT(--ISNUMBER(SEARCH(climate,C45)))&gt;0)</f>
        <v>0</v>
      </c>
      <c r="V45" s="14" cm="1">
        <f t="array" ref="V45">INT(SUMPRODUCT(--ISNUMBER(SEARCH(abortion,C45)))&gt;0)</f>
        <v>0</v>
      </c>
      <c r="W45" s="14" cm="1">
        <f t="array" ref="W45">INT(SUMPRODUCT(--ISNUMBER(SEARCH(trump,C45)))&gt;0)</f>
        <v>0</v>
      </c>
      <c r="X45" s="14" cm="1">
        <f t="array" ref="X45">INT(SUMPRODUCT(--ISNUMBER(SEARCH(voting,C45)))&gt;0)</f>
        <v>0</v>
      </c>
      <c r="Y45" s="14" cm="1">
        <f t="array" ref="Y45">INT(SUMPRODUCT(--ISNUMBER(SEARCH(democrattrigger,C45)))&gt;0)</f>
        <v>0</v>
      </c>
      <c r="Z45" s="14" cm="1">
        <f t="array" ref="Z45">INT(SUMPRODUCT(--ISNUMBER(SEARCH(bipartisan,C45)))&gt;0)</f>
        <v>0</v>
      </c>
      <c r="AA45" s="14">
        <f t="shared" si="0"/>
        <v>1</v>
      </c>
      <c r="AB45" s="14"/>
      <c r="AC45" s="30">
        <v>1</v>
      </c>
      <c r="AD45" s="37">
        <v>1</v>
      </c>
    </row>
    <row r="46" spans="1:30" x14ac:dyDescent="0.25">
      <c r="A46" s="36">
        <v>1031</v>
      </c>
      <c r="B46" s="14" t="s">
        <v>2089</v>
      </c>
      <c r="C46" s="14" t="s">
        <v>2090</v>
      </c>
      <c r="D46" s="18">
        <v>44131</v>
      </c>
      <c r="E46" s="14" t="s">
        <v>30</v>
      </c>
      <c r="F46" s="14">
        <v>2004</v>
      </c>
      <c r="G46" s="14">
        <v>387</v>
      </c>
      <c r="H46" s="14">
        <v>6</v>
      </c>
      <c r="I46" s="14">
        <v>3</v>
      </c>
      <c r="J46" s="14" t="s">
        <v>204</v>
      </c>
      <c r="K46" s="14" cm="1">
        <f t="array" ref="K46">INT(SUMPRODUCT(--ISNUMBER(SEARCH(economy,C46)))&gt;0)</f>
        <v>0</v>
      </c>
      <c r="L46" s="14" cm="1">
        <f t="array" ref="L46">INT(SUMPRODUCT(--ISNUMBER(SEARCH(healthcare,C46)))&gt;0)</f>
        <v>0</v>
      </c>
      <c r="M46" s="14" cm="1">
        <f t="array" ref="M46">INT(SUMPRODUCT(--ISNUMBER(SEARCH(supreme,C46)))&gt;0)</f>
        <v>0</v>
      </c>
      <c r="N46" s="14" cm="1">
        <f t="array" ref="N46">INT(SUMPRODUCT(--ISNUMBER(SEARCH(covid,C46)))&gt;0)</f>
        <v>0</v>
      </c>
      <c r="O46" s="14" cm="1">
        <f t="array" ref="O46">INT(SUMPRODUCT(--ISNUMBER(SEARCH(violent,C46)))&gt;0)</f>
        <v>0</v>
      </c>
      <c r="P46" s="14" cm="1">
        <f t="array" ref="P46">INT(SUMPRODUCT(--ISNUMBER(SEARCH(foreign,C46)))&gt;0)</f>
        <v>0</v>
      </c>
      <c r="Q46" s="14" cm="1">
        <f t="array" ref="Q46">INT(SUMPRODUCT(--ISNUMBER(SEARCH(gun,C46)))&gt;0)</f>
        <v>0</v>
      </c>
      <c r="R46" s="14" cm="1">
        <f t="array" ref="R46">INT(SUMPRODUCT(--ISNUMBER(SEARCH(race,C46)))&gt;0)</f>
        <v>0</v>
      </c>
      <c r="S46" s="14" cm="1">
        <f t="array" ref="S46">INT(SUMPRODUCT(--ISNUMBER(SEARCH(immigration,C46)))&gt;0)</f>
        <v>0</v>
      </c>
      <c r="T46" s="14" cm="1">
        <f t="array" ref="T46">INT(SUMPRODUCT(--ISNUMBER(SEARCH(econineq,C47)))&gt;0)</f>
        <v>0</v>
      </c>
      <c r="U46" s="14" cm="1">
        <f t="array" ref="U46">INT(SUMPRODUCT(--ISNUMBER(SEARCH(climate,C46)))&gt;0)</f>
        <v>0</v>
      </c>
      <c r="V46" s="14" cm="1">
        <f t="array" ref="V46">INT(SUMPRODUCT(--ISNUMBER(SEARCH(abortion,C46)))&gt;0)</f>
        <v>0</v>
      </c>
      <c r="W46" s="14" cm="1">
        <f t="array" ref="W46">INT(SUMPRODUCT(--ISNUMBER(SEARCH(trump,C46)))&gt;0)</f>
        <v>0</v>
      </c>
      <c r="X46" s="14" cm="1">
        <f t="array" ref="X46">INT(SUMPRODUCT(--ISNUMBER(SEARCH(voting,C46)))&gt;0)</f>
        <v>1</v>
      </c>
      <c r="Y46" s="14" cm="1">
        <f t="array" ref="Y46">INT(SUMPRODUCT(--ISNUMBER(SEARCH(democrattrigger,C46)))&gt;0)</f>
        <v>0</v>
      </c>
      <c r="Z46" s="14" cm="1">
        <f t="array" ref="Z46">INT(SUMPRODUCT(--ISNUMBER(SEARCH(bipartisan,C46)))&gt;0)</f>
        <v>0</v>
      </c>
      <c r="AA46" s="14">
        <f t="shared" si="0"/>
        <v>0</v>
      </c>
      <c r="AB46" s="14"/>
      <c r="AC46" s="30">
        <v>0</v>
      </c>
      <c r="AD46" s="37">
        <v>1</v>
      </c>
    </row>
    <row r="47" spans="1:30" x14ac:dyDescent="0.25">
      <c r="A47" s="36">
        <v>1032</v>
      </c>
      <c r="B47" s="14" t="s">
        <v>2091</v>
      </c>
      <c r="C47" s="14" t="s">
        <v>2092</v>
      </c>
      <c r="D47" s="18">
        <v>44131</v>
      </c>
      <c r="E47" s="14" t="s">
        <v>30</v>
      </c>
      <c r="F47" s="14">
        <v>432</v>
      </c>
      <c r="G47" s="14">
        <v>119</v>
      </c>
      <c r="H47" s="14">
        <v>6</v>
      </c>
      <c r="I47" s="14">
        <v>3</v>
      </c>
      <c r="J47" s="14" t="s">
        <v>204</v>
      </c>
      <c r="K47" s="14" cm="1">
        <f t="array" ref="K47">INT(SUMPRODUCT(--ISNUMBER(SEARCH(economy,C47)))&gt;0)</f>
        <v>1</v>
      </c>
      <c r="L47" s="14" cm="1">
        <f t="array" ref="L47">INT(SUMPRODUCT(--ISNUMBER(SEARCH(healthcare,C47)))&gt;0)</f>
        <v>0</v>
      </c>
      <c r="M47" s="14" cm="1">
        <f t="array" ref="M47">INT(SUMPRODUCT(--ISNUMBER(SEARCH(supreme,C47)))&gt;0)</f>
        <v>0</v>
      </c>
      <c r="N47" s="14" cm="1">
        <f t="array" ref="N47">INT(SUMPRODUCT(--ISNUMBER(SEARCH(covid,C47)))&gt;0)</f>
        <v>0</v>
      </c>
      <c r="O47" s="14" cm="1">
        <f t="array" ref="O47">INT(SUMPRODUCT(--ISNUMBER(SEARCH(violent,C47)))&gt;0)</f>
        <v>0</v>
      </c>
      <c r="P47" s="14" cm="1">
        <f t="array" ref="P47">INT(SUMPRODUCT(--ISNUMBER(SEARCH(foreign,C47)))&gt;0)</f>
        <v>0</v>
      </c>
      <c r="Q47" s="14" cm="1">
        <f t="array" ref="Q47">INT(SUMPRODUCT(--ISNUMBER(SEARCH(gun,C47)))&gt;0)</f>
        <v>0</v>
      </c>
      <c r="R47" s="14" cm="1">
        <f t="array" ref="R47">INT(SUMPRODUCT(--ISNUMBER(SEARCH(race,C47)))&gt;0)</f>
        <v>0</v>
      </c>
      <c r="S47" s="14" cm="1">
        <f t="array" ref="S47">INT(SUMPRODUCT(--ISNUMBER(SEARCH(immigration,C47)))&gt;0)</f>
        <v>0</v>
      </c>
      <c r="T47" s="14" cm="1">
        <f t="array" ref="T47">INT(SUMPRODUCT(--ISNUMBER(SEARCH(econineq,C48)))&gt;0)</f>
        <v>0</v>
      </c>
      <c r="U47" s="14" cm="1">
        <f t="array" ref="U47">INT(SUMPRODUCT(--ISNUMBER(SEARCH(climate,C47)))&gt;0)</f>
        <v>0</v>
      </c>
      <c r="V47" s="14" cm="1">
        <f t="array" ref="V47">INT(SUMPRODUCT(--ISNUMBER(SEARCH(abortion,C47)))&gt;0)</f>
        <v>0</v>
      </c>
      <c r="W47" s="14" cm="1">
        <f t="array" ref="W47">INT(SUMPRODUCT(--ISNUMBER(SEARCH(trump,C47)))&gt;0)</f>
        <v>0</v>
      </c>
      <c r="X47" s="14" cm="1">
        <f t="array" ref="X47">INT(SUMPRODUCT(--ISNUMBER(SEARCH(voting,C47)))&gt;0)</f>
        <v>1</v>
      </c>
      <c r="Y47" s="14" cm="1">
        <f t="array" ref="Y47">INT(SUMPRODUCT(--ISNUMBER(SEARCH(democrattrigger,C47)))&gt;0)</f>
        <v>0</v>
      </c>
      <c r="Z47" s="14" cm="1">
        <f t="array" ref="Z47">INT(SUMPRODUCT(--ISNUMBER(SEARCH(bipartisan,C47)))&gt;0)</f>
        <v>0</v>
      </c>
      <c r="AA47" s="14">
        <f t="shared" si="0"/>
        <v>0</v>
      </c>
      <c r="AB47" s="14"/>
      <c r="AC47" s="30">
        <v>1</v>
      </c>
      <c r="AD47" s="37">
        <v>0</v>
      </c>
    </row>
    <row r="48" spans="1:30" x14ac:dyDescent="0.25">
      <c r="A48" s="36">
        <v>1033</v>
      </c>
      <c r="B48" s="14" t="s">
        <v>2093</v>
      </c>
      <c r="C48" s="14" t="s">
        <v>2094</v>
      </c>
      <c r="D48" s="18">
        <v>44131</v>
      </c>
      <c r="E48" s="14" t="s">
        <v>30</v>
      </c>
      <c r="F48" s="14">
        <v>372</v>
      </c>
      <c r="G48" s="14">
        <v>108</v>
      </c>
      <c r="H48" s="14">
        <v>6</v>
      </c>
      <c r="I48" s="14">
        <v>3</v>
      </c>
      <c r="J48" s="14" t="s">
        <v>204</v>
      </c>
      <c r="K48" s="14" cm="1">
        <f t="array" ref="K48">INT(SUMPRODUCT(--ISNUMBER(SEARCH(economy,C48)))&gt;0)</f>
        <v>0</v>
      </c>
      <c r="L48" s="14" cm="1">
        <f t="array" ref="L48">INT(SUMPRODUCT(--ISNUMBER(SEARCH(healthcare,C48)))&gt;0)</f>
        <v>0</v>
      </c>
      <c r="M48" s="14" cm="1">
        <f t="array" ref="M48">INT(SUMPRODUCT(--ISNUMBER(SEARCH(supreme,C48)))&gt;0)</f>
        <v>0</v>
      </c>
      <c r="N48" s="14" cm="1">
        <f t="array" ref="N48">INT(SUMPRODUCT(--ISNUMBER(SEARCH(covid,C48)))&gt;0)</f>
        <v>0</v>
      </c>
      <c r="O48" s="14" cm="1">
        <f t="array" ref="O48">INT(SUMPRODUCT(--ISNUMBER(SEARCH(violent,C48)))&gt;0)</f>
        <v>0</v>
      </c>
      <c r="P48" s="14" cm="1">
        <f t="array" ref="P48">INT(SUMPRODUCT(--ISNUMBER(SEARCH(foreign,C48)))&gt;0)</f>
        <v>0</v>
      </c>
      <c r="Q48" s="14" cm="1">
        <f t="array" ref="Q48">INT(SUMPRODUCT(--ISNUMBER(SEARCH(gun,C48)))&gt;0)</f>
        <v>0</v>
      </c>
      <c r="R48" s="14" cm="1">
        <f t="array" ref="R48">INT(SUMPRODUCT(--ISNUMBER(SEARCH(race,C48)))&gt;0)</f>
        <v>0</v>
      </c>
      <c r="S48" s="14" cm="1">
        <f t="array" ref="S48">INT(SUMPRODUCT(--ISNUMBER(SEARCH(immigration,C48)))&gt;0)</f>
        <v>0</v>
      </c>
      <c r="T48" s="14" cm="1">
        <f t="array" ref="T48">INT(SUMPRODUCT(--ISNUMBER(SEARCH(econineq,C49)))&gt;0)</f>
        <v>0</v>
      </c>
      <c r="U48" s="14" cm="1">
        <f t="array" ref="U48">INT(SUMPRODUCT(--ISNUMBER(SEARCH(climate,C48)))&gt;0)</f>
        <v>0</v>
      </c>
      <c r="V48" s="14" cm="1">
        <f t="array" ref="V48">INT(SUMPRODUCT(--ISNUMBER(SEARCH(abortion,C48)))&gt;0)</f>
        <v>0</v>
      </c>
      <c r="W48" s="14" cm="1">
        <f t="array" ref="W48">INT(SUMPRODUCT(--ISNUMBER(SEARCH(trump,C48)))&gt;0)</f>
        <v>0</v>
      </c>
      <c r="X48" s="14" cm="1">
        <f t="array" ref="X48">INT(SUMPRODUCT(--ISNUMBER(SEARCH(voting,C48)))&gt;0)</f>
        <v>1</v>
      </c>
      <c r="Y48" s="14" cm="1">
        <f t="array" ref="Y48">INT(SUMPRODUCT(--ISNUMBER(SEARCH(democrattrigger,C48)))&gt;0)</f>
        <v>0</v>
      </c>
      <c r="Z48" s="14" cm="1">
        <f t="array" ref="Z48">INT(SUMPRODUCT(--ISNUMBER(SEARCH(bipartisan,C48)))&gt;0)</f>
        <v>0</v>
      </c>
      <c r="AA48" s="14">
        <f t="shared" si="0"/>
        <v>0</v>
      </c>
      <c r="AB48" s="14"/>
      <c r="AC48" s="30">
        <v>1</v>
      </c>
      <c r="AD48" s="37">
        <v>0</v>
      </c>
    </row>
    <row r="49" spans="1:30" x14ac:dyDescent="0.25">
      <c r="A49" s="36">
        <v>1034</v>
      </c>
      <c r="B49" s="14" t="s">
        <v>2095</v>
      </c>
      <c r="C49" s="14" t="s">
        <v>2096</v>
      </c>
      <c r="D49" s="18">
        <v>44131</v>
      </c>
      <c r="E49" s="14" t="s">
        <v>30</v>
      </c>
      <c r="F49" s="14">
        <v>2365</v>
      </c>
      <c r="G49" s="14">
        <v>680</v>
      </c>
      <c r="H49" s="14">
        <v>6</v>
      </c>
      <c r="I49" s="14">
        <v>3</v>
      </c>
      <c r="J49" s="14" t="s">
        <v>204</v>
      </c>
      <c r="K49" s="14" cm="1">
        <f t="array" ref="K49">INT(SUMPRODUCT(--ISNUMBER(SEARCH(economy,C49)))&gt;0)</f>
        <v>1</v>
      </c>
      <c r="L49" s="14" cm="1">
        <f t="array" ref="L49">INT(SUMPRODUCT(--ISNUMBER(SEARCH(healthcare,C49)))&gt;0)</f>
        <v>0</v>
      </c>
      <c r="M49" s="14" cm="1">
        <f t="array" ref="M49">INT(SUMPRODUCT(--ISNUMBER(SEARCH(supreme,C49)))&gt;0)</f>
        <v>0</v>
      </c>
      <c r="N49" s="14" cm="1">
        <f t="array" ref="N49">INT(SUMPRODUCT(--ISNUMBER(SEARCH(covid,C49)))&gt;0)</f>
        <v>0</v>
      </c>
      <c r="O49" s="14" cm="1">
        <f t="array" ref="O49">INT(SUMPRODUCT(--ISNUMBER(SEARCH(violent,C49)))&gt;0)</f>
        <v>0</v>
      </c>
      <c r="P49" s="14" cm="1">
        <f t="array" ref="P49">INT(SUMPRODUCT(--ISNUMBER(SEARCH(foreign,C49)))&gt;0)</f>
        <v>0</v>
      </c>
      <c r="Q49" s="14" cm="1">
        <f t="array" ref="Q49">INT(SUMPRODUCT(--ISNUMBER(SEARCH(gun,C49)))&gt;0)</f>
        <v>0</v>
      </c>
      <c r="R49" s="14" cm="1">
        <f t="array" ref="R49">INT(SUMPRODUCT(--ISNUMBER(SEARCH(race,C49)))&gt;0)</f>
        <v>0</v>
      </c>
      <c r="S49" s="14" cm="1">
        <f t="array" ref="S49">INT(SUMPRODUCT(--ISNUMBER(SEARCH(immigration,C49)))&gt;0)</f>
        <v>0</v>
      </c>
      <c r="T49" s="14" cm="1">
        <f t="array" ref="T49">INT(SUMPRODUCT(--ISNUMBER(SEARCH(econineq,C50)))&gt;0)</f>
        <v>0</v>
      </c>
      <c r="U49" s="14" cm="1">
        <f t="array" ref="U49">INT(SUMPRODUCT(--ISNUMBER(SEARCH(climate,C49)))&gt;0)</f>
        <v>0</v>
      </c>
      <c r="V49" s="14" cm="1">
        <f t="array" ref="V49">INT(SUMPRODUCT(--ISNUMBER(SEARCH(abortion,C49)))&gt;0)</f>
        <v>0</v>
      </c>
      <c r="W49" s="14" cm="1">
        <f t="array" ref="W49">INT(SUMPRODUCT(--ISNUMBER(SEARCH(trump,C49)))&gt;0)</f>
        <v>0</v>
      </c>
      <c r="X49" s="14" cm="1">
        <f t="array" ref="X49">INT(SUMPRODUCT(--ISNUMBER(SEARCH(voting,C49)))&gt;0)</f>
        <v>0</v>
      </c>
      <c r="Y49" s="14" cm="1">
        <f t="array" ref="Y49">INT(SUMPRODUCT(--ISNUMBER(SEARCH(democrattrigger,C49)))&gt;0)</f>
        <v>0</v>
      </c>
      <c r="Z49" s="14" cm="1">
        <f t="array" ref="Z49">INT(SUMPRODUCT(--ISNUMBER(SEARCH(bipartisan,C49)))&gt;0)</f>
        <v>0</v>
      </c>
      <c r="AA49" s="14">
        <f t="shared" si="0"/>
        <v>0</v>
      </c>
      <c r="AB49" s="14"/>
      <c r="AC49" s="30">
        <v>0</v>
      </c>
      <c r="AD49" s="37">
        <v>1</v>
      </c>
    </row>
    <row r="50" spans="1:30" x14ac:dyDescent="0.25">
      <c r="A50" s="36">
        <v>1035</v>
      </c>
      <c r="B50" s="14" t="s">
        <v>2097</v>
      </c>
      <c r="C50" s="14" t="s">
        <v>2098</v>
      </c>
      <c r="D50" s="18">
        <v>44131</v>
      </c>
      <c r="E50" s="14" t="s">
        <v>30</v>
      </c>
      <c r="F50" s="14">
        <v>367</v>
      </c>
      <c r="G50" s="14">
        <v>112</v>
      </c>
      <c r="H50" s="14">
        <v>6</v>
      </c>
      <c r="I50" s="14">
        <v>3</v>
      </c>
      <c r="J50" s="14" t="s">
        <v>204</v>
      </c>
      <c r="K50" s="14" cm="1">
        <f t="array" ref="K50">INT(SUMPRODUCT(--ISNUMBER(SEARCH(economy,C50)))&gt;0)</f>
        <v>1</v>
      </c>
      <c r="L50" s="14" cm="1">
        <f t="array" ref="L50">INT(SUMPRODUCT(--ISNUMBER(SEARCH(healthcare,C50)))&gt;0)</f>
        <v>0</v>
      </c>
      <c r="M50" s="14" cm="1">
        <f t="array" ref="M50">INT(SUMPRODUCT(--ISNUMBER(SEARCH(supreme,C50)))&gt;0)</f>
        <v>0</v>
      </c>
      <c r="N50" s="14" cm="1">
        <f t="array" ref="N50">INT(SUMPRODUCT(--ISNUMBER(SEARCH(covid,C50)))&gt;0)</f>
        <v>0</v>
      </c>
      <c r="O50" s="14" cm="1">
        <f t="array" ref="O50">INT(SUMPRODUCT(--ISNUMBER(SEARCH(violent,C50)))&gt;0)</f>
        <v>0</v>
      </c>
      <c r="P50" s="14" cm="1">
        <f t="array" ref="P50">INT(SUMPRODUCT(--ISNUMBER(SEARCH(foreign,C50)))&gt;0)</f>
        <v>0</v>
      </c>
      <c r="Q50" s="14" cm="1">
        <f t="array" ref="Q50">INT(SUMPRODUCT(--ISNUMBER(SEARCH(gun,C50)))&gt;0)</f>
        <v>0</v>
      </c>
      <c r="R50" s="14" cm="1">
        <f t="array" ref="R50">INT(SUMPRODUCT(--ISNUMBER(SEARCH(race,C50)))&gt;0)</f>
        <v>0</v>
      </c>
      <c r="S50" s="14" cm="1">
        <f t="array" ref="S50">INT(SUMPRODUCT(--ISNUMBER(SEARCH(immigration,C50)))&gt;0)</f>
        <v>0</v>
      </c>
      <c r="T50" s="14" cm="1">
        <f t="array" ref="T50">INT(SUMPRODUCT(--ISNUMBER(SEARCH(econineq,C51)))&gt;0)</f>
        <v>0</v>
      </c>
      <c r="U50" s="14" cm="1">
        <f t="array" ref="U50">INT(SUMPRODUCT(--ISNUMBER(SEARCH(climate,C50)))&gt;0)</f>
        <v>0</v>
      </c>
      <c r="V50" s="14" cm="1">
        <f t="array" ref="V50">INT(SUMPRODUCT(--ISNUMBER(SEARCH(abortion,C50)))&gt;0)</f>
        <v>0</v>
      </c>
      <c r="W50" s="14" cm="1">
        <f t="array" ref="W50">INT(SUMPRODUCT(--ISNUMBER(SEARCH(trump,C50)))&gt;0)</f>
        <v>0</v>
      </c>
      <c r="X50" s="14" cm="1">
        <f t="array" ref="X50">INT(SUMPRODUCT(--ISNUMBER(SEARCH(voting,C50)))&gt;0)</f>
        <v>0</v>
      </c>
      <c r="Y50" s="14" cm="1">
        <f t="array" ref="Y50">INT(SUMPRODUCT(--ISNUMBER(SEARCH(democrattrigger,C50)))&gt;0)</f>
        <v>0</v>
      </c>
      <c r="Z50" s="14" cm="1">
        <f t="array" ref="Z50">INT(SUMPRODUCT(--ISNUMBER(SEARCH(bipartisan,C50)))&gt;0)</f>
        <v>0</v>
      </c>
      <c r="AA50" s="14">
        <f t="shared" si="0"/>
        <v>0</v>
      </c>
      <c r="AB50" s="14"/>
      <c r="AC50" s="30">
        <v>1</v>
      </c>
      <c r="AD50" s="37">
        <v>0</v>
      </c>
    </row>
    <row r="51" spans="1:30" x14ac:dyDescent="0.25">
      <c r="A51" s="36">
        <v>1036</v>
      </c>
      <c r="B51" s="14" t="s">
        <v>2099</v>
      </c>
      <c r="C51" s="14" t="s">
        <v>2100</v>
      </c>
      <c r="D51" s="18">
        <v>44131</v>
      </c>
      <c r="E51" s="14" t="s">
        <v>30</v>
      </c>
      <c r="F51" s="14">
        <v>2540</v>
      </c>
      <c r="G51" s="14">
        <v>483</v>
      </c>
      <c r="H51" s="14">
        <v>6</v>
      </c>
      <c r="I51" s="14">
        <v>3</v>
      </c>
      <c r="J51" s="14" t="s">
        <v>204</v>
      </c>
      <c r="K51" s="14" cm="1">
        <f t="array" ref="K51">INT(SUMPRODUCT(--ISNUMBER(SEARCH(economy,C51)))&gt;0)</f>
        <v>0</v>
      </c>
      <c r="L51" s="14" cm="1">
        <f t="array" ref="L51">INT(SUMPRODUCT(--ISNUMBER(SEARCH(healthcare,C51)))&gt;0)</f>
        <v>0</v>
      </c>
      <c r="M51" s="14" cm="1">
        <f t="array" ref="M51">INT(SUMPRODUCT(--ISNUMBER(SEARCH(supreme,C51)))&gt;0)</f>
        <v>0</v>
      </c>
      <c r="N51" s="14" cm="1">
        <f t="array" ref="N51">INT(SUMPRODUCT(--ISNUMBER(SEARCH(covid,C51)))&gt;0)</f>
        <v>0</v>
      </c>
      <c r="O51" s="14" cm="1">
        <f t="array" ref="O51">INT(SUMPRODUCT(--ISNUMBER(SEARCH(violent,C51)))&gt;0)</f>
        <v>0</v>
      </c>
      <c r="P51" s="14" cm="1">
        <f t="array" ref="P51">INT(SUMPRODUCT(--ISNUMBER(SEARCH(foreign,C51)))&gt;0)</f>
        <v>0</v>
      </c>
      <c r="Q51" s="14" cm="1">
        <f t="array" ref="Q51">INT(SUMPRODUCT(--ISNUMBER(SEARCH(gun,C51)))&gt;0)</f>
        <v>0</v>
      </c>
      <c r="R51" s="14" cm="1">
        <f t="array" ref="R51">INT(SUMPRODUCT(--ISNUMBER(SEARCH(race,C51)))&gt;0)</f>
        <v>0</v>
      </c>
      <c r="S51" s="14" cm="1">
        <f t="array" ref="S51">INT(SUMPRODUCT(--ISNUMBER(SEARCH(immigration,C51)))&gt;0)</f>
        <v>0</v>
      </c>
      <c r="T51" s="14" cm="1">
        <f t="array" ref="T51">INT(SUMPRODUCT(--ISNUMBER(SEARCH(econineq,C52)))&gt;0)</f>
        <v>1</v>
      </c>
      <c r="U51" s="14" cm="1">
        <f t="array" ref="U51">INT(SUMPRODUCT(--ISNUMBER(SEARCH(climate,C51)))&gt;0)</f>
        <v>0</v>
      </c>
      <c r="V51" s="14" cm="1">
        <f t="array" ref="V51">INT(SUMPRODUCT(--ISNUMBER(SEARCH(abortion,C51)))&gt;0)</f>
        <v>0</v>
      </c>
      <c r="W51" s="14" cm="1">
        <f t="array" ref="W51">INT(SUMPRODUCT(--ISNUMBER(SEARCH(trump,C51)))&gt;0)</f>
        <v>0</v>
      </c>
      <c r="X51" s="14" cm="1">
        <f t="array" ref="X51">INT(SUMPRODUCT(--ISNUMBER(SEARCH(voting,C51)))&gt;0)</f>
        <v>0</v>
      </c>
      <c r="Y51" s="14" cm="1">
        <f t="array" ref="Y51">INT(SUMPRODUCT(--ISNUMBER(SEARCH(democrattrigger,C51)))&gt;0)</f>
        <v>0</v>
      </c>
      <c r="Z51" s="14" cm="1">
        <f t="array" ref="Z51">INT(SUMPRODUCT(--ISNUMBER(SEARCH(bipartisan,C51)))&gt;0)</f>
        <v>0</v>
      </c>
      <c r="AA51" s="14">
        <f t="shared" si="0"/>
        <v>0</v>
      </c>
      <c r="AB51" s="14"/>
      <c r="AC51" s="30">
        <v>1</v>
      </c>
      <c r="AD51" s="37">
        <v>1</v>
      </c>
    </row>
    <row r="52" spans="1:30" x14ac:dyDescent="0.25">
      <c r="A52" s="36">
        <v>1037</v>
      </c>
      <c r="B52" s="14" t="s">
        <v>2101</v>
      </c>
      <c r="C52" s="14" t="s">
        <v>2102</v>
      </c>
      <c r="D52" s="18">
        <v>44130</v>
      </c>
      <c r="E52" s="14" t="s">
        <v>30</v>
      </c>
      <c r="F52" s="14">
        <v>761</v>
      </c>
      <c r="G52" s="14">
        <v>209</v>
      </c>
      <c r="H52" s="14">
        <v>6</v>
      </c>
      <c r="I52" s="14">
        <v>3</v>
      </c>
      <c r="J52" s="14" t="s">
        <v>204</v>
      </c>
      <c r="K52" s="14" cm="1">
        <f t="array" ref="K52">INT(SUMPRODUCT(--ISNUMBER(SEARCH(economy,C52)))&gt;0)</f>
        <v>1</v>
      </c>
      <c r="L52" s="14" cm="1">
        <f t="array" ref="L52">INT(SUMPRODUCT(--ISNUMBER(SEARCH(healthcare,C52)))&gt;0)</f>
        <v>1</v>
      </c>
      <c r="M52" s="14" cm="1">
        <f t="array" ref="M52">INT(SUMPRODUCT(--ISNUMBER(SEARCH(supreme,C52)))&gt;0)</f>
        <v>0</v>
      </c>
      <c r="N52" s="14" cm="1">
        <f t="array" ref="N52">INT(SUMPRODUCT(--ISNUMBER(SEARCH(covid,C52)))&gt;0)</f>
        <v>0</v>
      </c>
      <c r="O52" s="14" cm="1">
        <f t="array" ref="O52">INT(SUMPRODUCT(--ISNUMBER(SEARCH(violent,C52)))&gt;0)</f>
        <v>0</v>
      </c>
      <c r="P52" s="14" cm="1">
        <f t="array" ref="P52">INT(SUMPRODUCT(--ISNUMBER(SEARCH(foreign,C52)))&gt;0)</f>
        <v>0</v>
      </c>
      <c r="Q52" s="14" cm="1">
        <f t="array" ref="Q52">INT(SUMPRODUCT(--ISNUMBER(SEARCH(gun,C52)))&gt;0)</f>
        <v>0</v>
      </c>
      <c r="R52" s="14" cm="1">
        <f t="array" ref="R52">INT(SUMPRODUCT(--ISNUMBER(SEARCH(race,C52)))&gt;0)</f>
        <v>0</v>
      </c>
      <c r="S52" s="14" cm="1">
        <f t="array" ref="S52">INT(SUMPRODUCT(--ISNUMBER(SEARCH(immigration,C52)))&gt;0)</f>
        <v>0</v>
      </c>
      <c r="T52" s="14" cm="1">
        <f t="array" ref="T52">INT(SUMPRODUCT(--ISNUMBER(SEARCH(econineq,C53)))&gt;0)</f>
        <v>0</v>
      </c>
      <c r="U52" s="14" cm="1">
        <f t="array" ref="U52">INT(SUMPRODUCT(--ISNUMBER(SEARCH(climate,C52)))&gt;0)</f>
        <v>0</v>
      </c>
      <c r="V52" s="14" cm="1">
        <f t="array" ref="V52">INT(SUMPRODUCT(--ISNUMBER(SEARCH(abortion,C52)))&gt;0)</f>
        <v>0</v>
      </c>
      <c r="W52" s="14" cm="1">
        <f t="array" ref="W52">INT(SUMPRODUCT(--ISNUMBER(SEARCH(trump,C52)))&gt;0)</f>
        <v>0</v>
      </c>
      <c r="X52" s="14" cm="1">
        <f t="array" ref="X52">INT(SUMPRODUCT(--ISNUMBER(SEARCH(voting,C52)))&gt;0)</f>
        <v>1</v>
      </c>
      <c r="Y52" s="14" cm="1">
        <f t="array" ref="Y52">INT(SUMPRODUCT(--ISNUMBER(SEARCH(democrattrigger,C52)))&gt;0)</f>
        <v>0</v>
      </c>
      <c r="Z52" s="14" cm="1">
        <f t="array" ref="Z52">INT(SUMPRODUCT(--ISNUMBER(SEARCH(bipartisan,C52)))&gt;0)</f>
        <v>0</v>
      </c>
      <c r="AA52" s="14">
        <f t="shared" si="0"/>
        <v>0</v>
      </c>
      <c r="AB52" s="14"/>
      <c r="AC52" s="30">
        <v>1</v>
      </c>
      <c r="AD52" s="37">
        <v>0</v>
      </c>
    </row>
    <row r="53" spans="1:30" x14ac:dyDescent="0.25">
      <c r="A53" s="36">
        <v>1038</v>
      </c>
      <c r="B53" s="14" t="s">
        <v>2103</v>
      </c>
      <c r="C53" s="14" t="s">
        <v>2104</v>
      </c>
      <c r="D53" s="18">
        <v>44130</v>
      </c>
      <c r="E53" s="14" t="s">
        <v>30</v>
      </c>
      <c r="F53" s="14">
        <v>1179</v>
      </c>
      <c r="G53" s="14">
        <v>389</v>
      </c>
      <c r="H53" s="14">
        <v>6</v>
      </c>
      <c r="I53" s="14">
        <v>3</v>
      </c>
      <c r="J53" s="14" t="s">
        <v>204</v>
      </c>
      <c r="K53" s="14" cm="1">
        <f t="array" ref="K53">INT(SUMPRODUCT(--ISNUMBER(SEARCH(economy,C53)))&gt;0)</f>
        <v>0</v>
      </c>
      <c r="L53" s="14" cm="1">
        <f t="array" ref="L53">INT(SUMPRODUCT(--ISNUMBER(SEARCH(healthcare,C53)))&gt;0)</f>
        <v>1</v>
      </c>
      <c r="M53" s="14" cm="1">
        <f t="array" ref="M53">INT(SUMPRODUCT(--ISNUMBER(SEARCH(supreme,C53)))&gt;0)</f>
        <v>0</v>
      </c>
      <c r="N53" s="14" cm="1">
        <f t="array" ref="N53">INT(SUMPRODUCT(--ISNUMBER(SEARCH(covid,C53)))&gt;0)</f>
        <v>0</v>
      </c>
      <c r="O53" s="14" cm="1">
        <f t="array" ref="O53">INT(SUMPRODUCT(--ISNUMBER(SEARCH(violent,C53)))&gt;0)</f>
        <v>0</v>
      </c>
      <c r="P53" s="14" cm="1">
        <f t="array" ref="P53">INT(SUMPRODUCT(--ISNUMBER(SEARCH(foreign,C53)))&gt;0)</f>
        <v>0</v>
      </c>
      <c r="Q53" s="14" cm="1">
        <f t="array" ref="Q53">INT(SUMPRODUCT(--ISNUMBER(SEARCH(gun,C53)))&gt;0)</f>
        <v>0</v>
      </c>
      <c r="R53" s="14" cm="1">
        <f t="array" ref="R53">INT(SUMPRODUCT(--ISNUMBER(SEARCH(race,C53)))&gt;0)</f>
        <v>0</v>
      </c>
      <c r="S53" s="14" cm="1">
        <f t="array" ref="S53">INT(SUMPRODUCT(--ISNUMBER(SEARCH(immigration,C53)))&gt;0)</f>
        <v>0</v>
      </c>
      <c r="T53" s="14" cm="1">
        <f t="array" ref="T53">INT(SUMPRODUCT(--ISNUMBER(SEARCH(econineq,C54)))&gt;0)</f>
        <v>0</v>
      </c>
      <c r="U53" s="14" cm="1">
        <f t="array" ref="U53">INT(SUMPRODUCT(--ISNUMBER(SEARCH(climate,C53)))&gt;0)</f>
        <v>0</v>
      </c>
      <c r="V53" s="14" cm="1">
        <f t="array" ref="V53">INT(SUMPRODUCT(--ISNUMBER(SEARCH(abortion,C53)))&gt;0)</f>
        <v>0</v>
      </c>
      <c r="W53" s="14" cm="1">
        <f t="array" ref="W53">INT(SUMPRODUCT(--ISNUMBER(SEARCH(trump,C53)))&gt;0)</f>
        <v>0</v>
      </c>
      <c r="X53" s="14" cm="1">
        <f t="array" ref="X53">INT(SUMPRODUCT(--ISNUMBER(SEARCH(voting,C53)))&gt;0)</f>
        <v>1</v>
      </c>
      <c r="Y53" s="14" cm="1">
        <f t="array" ref="Y53">INT(SUMPRODUCT(--ISNUMBER(SEARCH(democrattrigger,C53)))&gt;0)</f>
        <v>1</v>
      </c>
      <c r="Z53" s="14" cm="1">
        <f t="array" ref="Z53">INT(SUMPRODUCT(--ISNUMBER(SEARCH(bipartisan,C53)))&gt;0)</f>
        <v>0</v>
      </c>
      <c r="AA53" s="14">
        <f t="shared" si="0"/>
        <v>0</v>
      </c>
      <c r="AB53" s="14"/>
      <c r="AC53" s="30" t="s">
        <v>223</v>
      </c>
      <c r="AD53" s="37" t="s">
        <v>223</v>
      </c>
    </row>
    <row r="54" spans="1:30" x14ac:dyDescent="0.25">
      <c r="A54" s="36">
        <v>1039</v>
      </c>
      <c r="B54" s="14" t="s">
        <v>2105</v>
      </c>
      <c r="C54" s="14" t="s">
        <v>2106</v>
      </c>
      <c r="D54" s="18">
        <v>44130</v>
      </c>
      <c r="E54" s="14" t="s">
        <v>30</v>
      </c>
      <c r="F54" s="14">
        <v>673</v>
      </c>
      <c r="G54" s="14">
        <v>233</v>
      </c>
      <c r="H54" s="14">
        <v>6</v>
      </c>
      <c r="I54" s="14">
        <v>3</v>
      </c>
      <c r="J54" s="14" t="s">
        <v>204</v>
      </c>
      <c r="K54" s="14" cm="1">
        <f t="array" ref="K54">INT(SUMPRODUCT(--ISNUMBER(SEARCH(economy,C54)))&gt;0)</f>
        <v>0</v>
      </c>
      <c r="L54" s="14" cm="1">
        <f t="array" ref="L54">INT(SUMPRODUCT(--ISNUMBER(SEARCH(healthcare,C54)))&gt;0)</f>
        <v>0</v>
      </c>
      <c r="M54" s="14" cm="1">
        <f t="array" ref="M54">INT(SUMPRODUCT(--ISNUMBER(SEARCH(supreme,C54)))&gt;0)</f>
        <v>0</v>
      </c>
      <c r="N54" s="14" cm="1">
        <f t="array" ref="N54">INT(SUMPRODUCT(--ISNUMBER(SEARCH(covid,C54)))&gt;0)</f>
        <v>0</v>
      </c>
      <c r="O54" s="14" cm="1">
        <f t="array" ref="O54">INT(SUMPRODUCT(--ISNUMBER(SEARCH(violent,C54)))&gt;0)</f>
        <v>0</v>
      </c>
      <c r="P54" s="14" cm="1">
        <f t="array" ref="P54">INT(SUMPRODUCT(--ISNUMBER(SEARCH(foreign,C54)))&gt;0)</f>
        <v>0</v>
      </c>
      <c r="Q54" s="14" cm="1">
        <f t="array" ref="Q54">INT(SUMPRODUCT(--ISNUMBER(SEARCH(gun,C54)))&gt;0)</f>
        <v>0</v>
      </c>
      <c r="R54" s="14" cm="1">
        <f t="array" ref="R54">INT(SUMPRODUCT(--ISNUMBER(SEARCH(race,C54)))&gt;0)</f>
        <v>0</v>
      </c>
      <c r="S54" s="14" cm="1">
        <f t="array" ref="S54">INT(SUMPRODUCT(--ISNUMBER(SEARCH(immigration,C54)))&gt;0)</f>
        <v>0</v>
      </c>
      <c r="T54" s="14" cm="1">
        <f t="array" ref="T54">INT(SUMPRODUCT(--ISNUMBER(SEARCH(econineq,C55)))&gt;0)</f>
        <v>0</v>
      </c>
      <c r="U54" s="14" cm="1">
        <f t="array" ref="U54">INT(SUMPRODUCT(--ISNUMBER(SEARCH(climate,C54)))&gt;0)</f>
        <v>0</v>
      </c>
      <c r="V54" s="14" cm="1">
        <f t="array" ref="V54">INT(SUMPRODUCT(--ISNUMBER(SEARCH(abortion,C54)))&gt;0)</f>
        <v>0</v>
      </c>
      <c r="W54" s="14" cm="1">
        <f t="array" ref="W54">INT(SUMPRODUCT(--ISNUMBER(SEARCH(trump,C54)))&gt;0)</f>
        <v>0</v>
      </c>
      <c r="X54" s="14" cm="1">
        <f t="array" ref="X54">INT(SUMPRODUCT(--ISNUMBER(SEARCH(voting,C54)))&gt;0)</f>
        <v>0</v>
      </c>
      <c r="Y54" s="14" cm="1">
        <f t="array" ref="Y54">INT(SUMPRODUCT(--ISNUMBER(SEARCH(democrattrigger,C54)))&gt;0)</f>
        <v>0</v>
      </c>
      <c r="Z54" s="14" cm="1">
        <f t="array" ref="Z54">INT(SUMPRODUCT(--ISNUMBER(SEARCH(bipartisan,C54)))&gt;0)</f>
        <v>0</v>
      </c>
      <c r="AA54" s="14">
        <f t="shared" si="0"/>
        <v>1</v>
      </c>
      <c r="AB54" s="14"/>
      <c r="AC54" s="30" t="s">
        <v>223</v>
      </c>
      <c r="AD54" s="37" t="s">
        <v>223</v>
      </c>
    </row>
    <row r="55" spans="1:30" x14ac:dyDescent="0.25">
      <c r="A55" s="36">
        <v>1040</v>
      </c>
      <c r="B55" s="14" t="s">
        <v>2107</v>
      </c>
      <c r="C55" s="14" t="s">
        <v>2108</v>
      </c>
      <c r="D55" s="18">
        <v>44130</v>
      </c>
      <c r="E55" s="14" t="s">
        <v>30</v>
      </c>
      <c r="F55" s="14">
        <v>10814</v>
      </c>
      <c r="G55" s="14">
        <v>3067</v>
      </c>
      <c r="H55" s="14">
        <v>6</v>
      </c>
      <c r="I55" s="14">
        <v>3</v>
      </c>
      <c r="J55" s="14" t="s">
        <v>204</v>
      </c>
      <c r="K55" s="14" cm="1">
        <f t="array" ref="K55">INT(SUMPRODUCT(--ISNUMBER(SEARCH(economy,C55)))&gt;0)</f>
        <v>0</v>
      </c>
      <c r="L55" s="14" cm="1">
        <f t="array" ref="L55">INT(SUMPRODUCT(--ISNUMBER(SEARCH(healthcare,C55)))&gt;0)</f>
        <v>0</v>
      </c>
      <c r="M55" s="14" cm="1">
        <f t="array" ref="M55">INT(SUMPRODUCT(--ISNUMBER(SEARCH(supreme,C55)))&gt;0)</f>
        <v>0</v>
      </c>
      <c r="N55" s="14" cm="1">
        <f t="array" ref="N55">INT(SUMPRODUCT(--ISNUMBER(SEARCH(covid,C55)))&gt;0)</f>
        <v>0</v>
      </c>
      <c r="O55" s="14" cm="1">
        <f t="array" ref="O55">INT(SUMPRODUCT(--ISNUMBER(SEARCH(violent,C55)))&gt;0)</f>
        <v>0</v>
      </c>
      <c r="P55" s="14" cm="1">
        <f t="array" ref="P55">INT(SUMPRODUCT(--ISNUMBER(SEARCH(foreign,C55)))&gt;0)</f>
        <v>0</v>
      </c>
      <c r="Q55" s="14" cm="1">
        <f t="array" ref="Q55">INT(SUMPRODUCT(--ISNUMBER(SEARCH(gun,C55)))&gt;0)</f>
        <v>0</v>
      </c>
      <c r="R55" s="14" cm="1">
        <f t="array" ref="R55">INT(SUMPRODUCT(--ISNUMBER(SEARCH(race,C55)))&gt;0)</f>
        <v>0</v>
      </c>
      <c r="S55" s="14" cm="1">
        <f t="array" ref="S55">INT(SUMPRODUCT(--ISNUMBER(SEARCH(immigration,C55)))&gt;0)</f>
        <v>0</v>
      </c>
      <c r="T55" s="14" cm="1">
        <f t="array" ref="T55">INT(SUMPRODUCT(--ISNUMBER(SEARCH(econineq,C56)))&gt;0)</f>
        <v>0</v>
      </c>
      <c r="U55" s="14" cm="1">
        <f t="array" ref="U55">INT(SUMPRODUCT(--ISNUMBER(SEARCH(climate,C55)))&gt;0)</f>
        <v>0</v>
      </c>
      <c r="V55" s="14" cm="1">
        <f t="array" ref="V55">INT(SUMPRODUCT(--ISNUMBER(SEARCH(abortion,C55)))&gt;0)</f>
        <v>0</v>
      </c>
      <c r="W55" s="14" cm="1">
        <f t="array" ref="W55">INT(SUMPRODUCT(--ISNUMBER(SEARCH(trump,C55)))&gt;0)</f>
        <v>0</v>
      </c>
      <c r="X55" s="14" cm="1">
        <f t="array" ref="X55">INT(SUMPRODUCT(--ISNUMBER(SEARCH(voting,C55)))&gt;0)</f>
        <v>0</v>
      </c>
      <c r="Y55" s="14" cm="1">
        <f t="array" ref="Y55">INT(SUMPRODUCT(--ISNUMBER(SEARCH(democrattrigger,C55)))&gt;0)</f>
        <v>1</v>
      </c>
      <c r="Z55" s="14" cm="1">
        <f t="array" ref="Z55">INT(SUMPRODUCT(--ISNUMBER(SEARCH(bipartisan,C55)))&gt;0)</f>
        <v>0</v>
      </c>
      <c r="AA55" s="14">
        <f t="shared" si="0"/>
        <v>0</v>
      </c>
      <c r="AB55" s="14"/>
      <c r="AC55" s="30">
        <v>0</v>
      </c>
      <c r="AD55" s="37">
        <v>1</v>
      </c>
    </row>
    <row r="56" spans="1:30" x14ac:dyDescent="0.25">
      <c r="A56" s="36">
        <v>1041</v>
      </c>
      <c r="B56" s="14" t="s">
        <v>2109</v>
      </c>
      <c r="C56" s="14" t="s">
        <v>2110</v>
      </c>
      <c r="D56" s="18">
        <v>44130</v>
      </c>
      <c r="E56" s="14" t="s">
        <v>30</v>
      </c>
      <c r="F56" s="14">
        <v>802</v>
      </c>
      <c r="G56" s="14">
        <v>140</v>
      </c>
      <c r="H56" s="14">
        <v>6</v>
      </c>
      <c r="I56" s="14">
        <v>3</v>
      </c>
      <c r="J56" s="14" t="s">
        <v>204</v>
      </c>
      <c r="K56" s="14" cm="1">
        <f t="array" ref="K56">INT(SUMPRODUCT(--ISNUMBER(SEARCH(economy,C56)))&gt;0)</f>
        <v>0</v>
      </c>
      <c r="L56" s="14" cm="1">
        <f t="array" ref="L56">INT(SUMPRODUCT(--ISNUMBER(SEARCH(healthcare,C56)))&gt;0)</f>
        <v>0</v>
      </c>
      <c r="M56" s="14" cm="1">
        <f t="array" ref="M56">INT(SUMPRODUCT(--ISNUMBER(SEARCH(supreme,C56)))&gt;0)</f>
        <v>0</v>
      </c>
      <c r="N56" s="14" cm="1">
        <f t="array" ref="N56">INT(SUMPRODUCT(--ISNUMBER(SEARCH(covid,C56)))&gt;0)</f>
        <v>0</v>
      </c>
      <c r="O56" s="14" cm="1">
        <f t="array" ref="O56">INT(SUMPRODUCT(--ISNUMBER(SEARCH(violent,C56)))&gt;0)</f>
        <v>0</v>
      </c>
      <c r="P56" s="14" cm="1">
        <f t="array" ref="P56">INT(SUMPRODUCT(--ISNUMBER(SEARCH(foreign,C56)))&gt;0)</f>
        <v>0</v>
      </c>
      <c r="Q56" s="14" cm="1">
        <f t="array" ref="Q56">INT(SUMPRODUCT(--ISNUMBER(SEARCH(gun,C56)))&gt;0)</f>
        <v>0</v>
      </c>
      <c r="R56" s="14" cm="1">
        <f t="array" ref="R56">INT(SUMPRODUCT(--ISNUMBER(SEARCH(race,C56)))&gt;0)</f>
        <v>0</v>
      </c>
      <c r="S56" s="14" cm="1">
        <f t="array" ref="S56">INT(SUMPRODUCT(--ISNUMBER(SEARCH(immigration,C56)))&gt;0)</f>
        <v>0</v>
      </c>
      <c r="T56" s="14" cm="1">
        <f t="array" ref="T56">INT(SUMPRODUCT(--ISNUMBER(SEARCH(econineq,C57)))&gt;0)</f>
        <v>0</v>
      </c>
      <c r="U56" s="14" cm="1">
        <f t="array" ref="U56">INT(SUMPRODUCT(--ISNUMBER(SEARCH(climate,C56)))&gt;0)</f>
        <v>0</v>
      </c>
      <c r="V56" s="14" cm="1">
        <f t="array" ref="V56">INT(SUMPRODUCT(--ISNUMBER(SEARCH(abortion,C56)))&gt;0)</f>
        <v>0</v>
      </c>
      <c r="W56" s="14" cm="1">
        <f t="array" ref="W56">INT(SUMPRODUCT(--ISNUMBER(SEARCH(trump,C56)))&gt;0)</f>
        <v>0</v>
      </c>
      <c r="X56" s="14" cm="1">
        <f t="array" ref="X56">INT(SUMPRODUCT(--ISNUMBER(SEARCH(voting,C56)))&gt;0)</f>
        <v>0</v>
      </c>
      <c r="Y56" s="14" cm="1">
        <f t="array" ref="Y56">INT(SUMPRODUCT(--ISNUMBER(SEARCH(democrattrigger,C56)))&gt;0)</f>
        <v>0</v>
      </c>
      <c r="Z56" s="14" cm="1">
        <f t="array" ref="Z56">INT(SUMPRODUCT(--ISNUMBER(SEARCH(bipartisan,C56)))&gt;0)</f>
        <v>0</v>
      </c>
      <c r="AA56" s="14">
        <f t="shared" si="0"/>
        <v>1</v>
      </c>
      <c r="AB56" s="14"/>
      <c r="AC56" s="30">
        <v>1</v>
      </c>
      <c r="AD56" s="37">
        <v>0</v>
      </c>
    </row>
    <row r="57" spans="1:30" x14ac:dyDescent="0.25">
      <c r="A57" s="36">
        <v>1042</v>
      </c>
      <c r="B57" s="14" t="s">
        <v>2111</v>
      </c>
      <c r="C57" s="14" t="s">
        <v>2112</v>
      </c>
      <c r="D57" s="18">
        <v>44129</v>
      </c>
      <c r="E57" s="14" t="s">
        <v>30</v>
      </c>
      <c r="F57" s="14">
        <v>9386</v>
      </c>
      <c r="G57" s="14">
        <v>2238</v>
      </c>
      <c r="H57" s="14">
        <v>6</v>
      </c>
      <c r="I57" s="14">
        <v>3</v>
      </c>
      <c r="J57" s="14" t="s">
        <v>204</v>
      </c>
      <c r="K57" s="14" cm="1">
        <f t="array" ref="K57">INT(SUMPRODUCT(--ISNUMBER(SEARCH(economy,C57)))&gt;0)</f>
        <v>0</v>
      </c>
      <c r="L57" s="14" cm="1">
        <f t="array" ref="L57">INT(SUMPRODUCT(--ISNUMBER(SEARCH(healthcare,C57)))&gt;0)</f>
        <v>0</v>
      </c>
      <c r="M57" s="14" cm="1">
        <f t="array" ref="M57">INT(SUMPRODUCT(--ISNUMBER(SEARCH(supreme,C57)))&gt;0)</f>
        <v>0</v>
      </c>
      <c r="N57" s="14" cm="1">
        <f t="array" ref="N57">INT(SUMPRODUCT(--ISNUMBER(SEARCH(covid,C57)))&gt;0)</f>
        <v>0</v>
      </c>
      <c r="O57" s="14" cm="1">
        <f t="array" ref="O57">INT(SUMPRODUCT(--ISNUMBER(SEARCH(violent,C57)))&gt;0)</f>
        <v>0</v>
      </c>
      <c r="P57" s="14" cm="1">
        <f t="array" ref="P57">INT(SUMPRODUCT(--ISNUMBER(SEARCH(foreign,C57)))&gt;0)</f>
        <v>0</v>
      </c>
      <c r="Q57" s="14" cm="1">
        <f t="array" ref="Q57">INT(SUMPRODUCT(--ISNUMBER(SEARCH(gun,C57)))&gt;0)</f>
        <v>0</v>
      </c>
      <c r="R57" s="14" cm="1">
        <f t="array" ref="R57">INT(SUMPRODUCT(--ISNUMBER(SEARCH(race,C57)))&gt;0)</f>
        <v>0</v>
      </c>
      <c r="S57" s="14" cm="1">
        <f t="array" ref="S57">INT(SUMPRODUCT(--ISNUMBER(SEARCH(immigration,C57)))&gt;0)</f>
        <v>0</v>
      </c>
      <c r="T57" s="14" cm="1">
        <f t="array" ref="T57">INT(SUMPRODUCT(--ISNUMBER(SEARCH(econineq,C58)))&gt;0)</f>
        <v>0</v>
      </c>
      <c r="U57" s="14" cm="1">
        <f t="array" ref="U57">INT(SUMPRODUCT(--ISNUMBER(SEARCH(climate,C57)))&gt;0)</f>
        <v>0</v>
      </c>
      <c r="V57" s="14" cm="1">
        <f t="array" ref="V57">INT(SUMPRODUCT(--ISNUMBER(SEARCH(abortion,C57)))&gt;0)</f>
        <v>0</v>
      </c>
      <c r="W57" s="14" cm="1">
        <f t="array" ref="W57">INT(SUMPRODUCT(--ISNUMBER(SEARCH(trump,C57)))&gt;0)</f>
        <v>0</v>
      </c>
      <c r="X57" s="14" cm="1">
        <f t="array" ref="X57">INT(SUMPRODUCT(--ISNUMBER(SEARCH(voting,C57)))&gt;0)</f>
        <v>0</v>
      </c>
      <c r="Y57" s="14" cm="1">
        <f t="array" ref="Y57">INT(SUMPRODUCT(--ISNUMBER(SEARCH(democrattrigger,C57)))&gt;0)</f>
        <v>0</v>
      </c>
      <c r="Z57" s="14" cm="1">
        <f t="array" ref="Z57">INT(SUMPRODUCT(--ISNUMBER(SEARCH(bipartisan,C57)))&gt;0)</f>
        <v>0</v>
      </c>
      <c r="AA57" s="14">
        <f t="shared" si="0"/>
        <v>1</v>
      </c>
      <c r="AB57" s="14"/>
      <c r="AC57" s="30" t="s">
        <v>223</v>
      </c>
      <c r="AD57" s="37" t="s">
        <v>223</v>
      </c>
    </row>
    <row r="58" spans="1:30" x14ac:dyDescent="0.25">
      <c r="A58" s="36">
        <v>1043</v>
      </c>
      <c r="B58" s="14" t="s">
        <v>2113</v>
      </c>
      <c r="C58" s="14" t="s">
        <v>2114</v>
      </c>
      <c r="D58" s="18">
        <v>44129</v>
      </c>
      <c r="E58" s="14" t="s">
        <v>30</v>
      </c>
      <c r="F58" s="14">
        <v>586</v>
      </c>
      <c r="G58" s="14">
        <v>133</v>
      </c>
      <c r="H58" s="14">
        <v>6</v>
      </c>
      <c r="I58" s="14">
        <v>3</v>
      </c>
      <c r="J58" s="14" t="s">
        <v>204</v>
      </c>
      <c r="K58" s="14" cm="1">
        <f t="array" ref="K58">INT(SUMPRODUCT(--ISNUMBER(SEARCH(economy,C58)))&gt;0)</f>
        <v>0</v>
      </c>
      <c r="L58" s="14" cm="1">
        <f t="array" ref="L58">INT(SUMPRODUCT(--ISNUMBER(SEARCH(healthcare,C58)))&gt;0)</f>
        <v>0</v>
      </c>
      <c r="M58" s="14" cm="1">
        <f t="array" ref="M58">INT(SUMPRODUCT(--ISNUMBER(SEARCH(supreme,C58)))&gt;0)</f>
        <v>0</v>
      </c>
      <c r="N58" s="14" cm="1">
        <f t="array" ref="N58">INT(SUMPRODUCT(--ISNUMBER(SEARCH(covid,C58)))&gt;0)</f>
        <v>0</v>
      </c>
      <c r="O58" s="14" cm="1">
        <f t="array" ref="O58">INT(SUMPRODUCT(--ISNUMBER(SEARCH(violent,C58)))&gt;0)</f>
        <v>0</v>
      </c>
      <c r="P58" s="14" cm="1">
        <f t="array" ref="P58">INT(SUMPRODUCT(--ISNUMBER(SEARCH(foreign,C58)))&gt;0)</f>
        <v>0</v>
      </c>
      <c r="Q58" s="14" cm="1">
        <f t="array" ref="Q58">INT(SUMPRODUCT(--ISNUMBER(SEARCH(gun,C58)))&gt;0)</f>
        <v>0</v>
      </c>
      <c r="R58" s="14" cm="1">
        <f t="array" ref="R58">INT(SUMPRODUCT(--ISNUMBER(SEARCH(race,C58)))&gt;0)</f>
        <v>0</v>
      </c>
      <c r="S58" s="14" cm="1">
        <f t="array" ref="S58">INT(SUMPRODUCT(--ISNUMBER(SEARCH(immigration,C58)))&gt;0)</f>
        <v>0</v>
      </c>
      <c r="T58" s="14" cm="1">
        <f t="array" ref="T58">INT(SUMPRODUCT(--ISNUMBER(SEARCH(econineq,C59)))&gt;0)</f>
        <v>0</v>
      </c>
      <c r="U58" s="14" cm="1">
        <f t="array" ref="U58">INT(SUMPRODUCT(--ISNUMBER(SEARCH(climate,C58)))&gt;0)</f>
        <v>0</v>
      </c>
      <c r="V58" s="14" cm="1">
        <f t="array" ref="V58">INT(SUMPRODUCT(--ISNUMBER(SEARCH(abortion,C58)))&gt;0)</f>
        <v>0</v>
      </c>
      <c r="W58" s="14" cm="1">
        <f t="array" ref="W58">INT(SUMPRODUCT(--ISNUMBER(SEARCH(trump,C58)))&gt;0)</f>
        <v>0</v>
      </c>
      <c r="X58" s="14" cm="1">
        <f t="array" ref="X58">INT(SUMPRODUCT(--ISNUMBER(SEARCH(voting,C58)))&gt;0)</f>
        <v>0</v>
      </c>
      <c r="Y58" s="14" cm="1">
        <f t="array" ref="Y58">INT(SUMPRODUCT(--ISNUMBER(SEARCH(democrattrigger,C58)))&gt;0)</f>
        <v>0</v>
      </c>
      <c r="Z58" s="14" cm="1">
        <f t="array" ref="Z58">INT(SUMPRODUCT(--ISNUMBER(SEARCH(bipartisan,C58)))&gt;0)</f>
        <v>0</v>
      </c>
      <c r="AA58" s="14">
        <f t="shared" si="0"/>
        <v>1</v>
      </c>
      <c r="AB58" s="14"/>
      <c r="AC58" s="30">
        <v>1</v>
      </c>
      <c r="AD58" s="37">
        <v>0</v>
      </c>
    </row>
    <row r="59" spans="1:30" x14ac:dyDescent="0.25">
      <c r="A59" s="36">
        <v>1044</v>
      </c>
      <c r="B59" s="14" t="s">
        <v>2115</v>
      </c>
      <c r="C59" s="14" t="s">
        <v>2116</v>
      </c>
      <c r="D59" s="18">
        <v>44129</v>
      </c>
      <c r="E59" s="14" t="s">
        <v>30</v>
      </c>
      <c r="F59" s="14">
        <v>2223</v>
      </c>
      <c r="G59" s="14">
        <v>341</v>
      </c>
      <c r="H59" s="14">
        <v>6</v>
      </c>
      <c r="I59" s="14">
        <v>3</v>
      </c>
      <c r="J59" s="14" t="s">
        <v>204</v>
      </c>
      <c r="K59" s="14" cm="1">
        <f t="array" ref="K59">INT(SUMPRODUCT(--ISNUMBER(SEARCH(economy,C59)))&gt;0)</f>
        <v>0</v>
      </c>
      <c r="L59" s="14" cm="1">
        <f t="array" ref="L59">INT(SUMPRODUCT(--ISNUMBER(SEARCH(healthcare,C59)))&gt;0)</f>
        <v>0</v>
      </c>
      <c r="M59" s="14" cm="1">
        <f t="array" ref="M59">INT(SUMPRODUCT(--ISNUMBER(SEARCH(supreme,C59)))&gt;0)</f>
        <v>0</v>
      </c>
      <c r="N59" s="14" cm="1">
        <f t="array" ref="N59">INT(SUMPRODUCT(--ISNUMBER(SEARCH(covid,C59)))&gt;0)</f>
        <v>0</v>
      </c>
      <c r="O59" s="14" cm="1">
        <f t="array" ref="O59">INT(SUMPRODUCT(--ISNUMBER(SEARCH(violent,C59)))&gt;0)</f>
        <v>0</v>
      </c>
      <c r="P59" s="14" cm="1">
        <f t="array" ref="P59">INT(SUMPRODUCT(--ISNUMBER(SEARCH(foreign,C59)))&gt;0)</f>
        <v>0</v>
      </c>
      <c r="Q59" s="14" cm="1">
        <f t="array" ref="Q59">INT(SUMPRODUCT(--ISNUMBER(SEARCH(gun,C59)))&gt;0)</f>
        <v>0</v>
      </c>
      <c r="R59" s="14" cm="1">
        <f t="array" ref="R59">INT(SUMPRODUCT(--ISNUMBER(SEARCH(race,C59)))&gt;0)</f>
        <v>0</v>
      </c>
      <c r="S59" s="14" cm="1">
        <f t="array" ref="S59">INT(SUMPRODUCT(--ISNUMBER(SEARCH(immigration,C59)))&gt;0)</f>
        <v>0</v>
      </c>
      <c r="T59" s="14" cm="1">
        <f t="array" ref="T59">INT(SUMPRODUCT(--ISNUMBER(SEARCH(econineq,C60)))&gt;0)</f>
        <v>0</v>
      </c>
      <c r="U59" s="14" cm="1">
        <f t="array" ref="U59">INT(SUMPRODUCT(--ISNUMBER(SEARCH(climate,C59)))&gt;0)</f>
        <v>0</v>
      </c>
      <c r="V59" s="14" cm="1">
        <f t="array" ref="V59">INT(SUMPRODUCT(--ISNUMBER(SEARCH(abortion,C59)))&gt;0)</f>
        <v>0</v>
      </c>
      <c r="W59" s="14" cm="1">
        <f t="array" ref="W59">INT(SUMPRODUCT(--ISNUMBER(SEARCH(trump,C59)))&gt;0)</f>
        <v>0</v>
      </c>
      <c r="X59" s="14" cm="1">
        <f t="array" ref="X59">INT(SUMPRODUCT(--ISNUMBER(SEARCH(voting,C59)))&gt;0)</f>
        <v>1</v>
      </c>
      <c r="Y59" s="14" cm="1">
        <f t="array" ref="Y59">INT(SUMPRODUCT(--ISNUMBER(SEARCH(democrattrigger,C59)))&gt;0)</f>
        <v>0</v>
      </c>
      <c r="Z59" s="14" cm="1">
        <f t="array" ref="Z59">INT(SUMPRODUCT(--ISNUMBER(SEARCH(bipartisan,C59)))&gt;0)</f>
        <v>0</v>
      </c>
      <c r="AA59" s="14">
        <f t="shared" si="0"/>
        <v>0</v>
      </c>
      <c r="AB59" s="14"/>
      <c r="AC59" s="30">
        <v>1</v>
      </c>
      <c r="AD59" s="37">
        <v>0</v>
      </c>
    </row>
    <row r="60" spans="1:30" x14ac:dyDescent="0.25">
      <c r="A60" s="36">
        <v>1045</v>
      </c>
      <c r="B60" s="14" t="s">
        <v>2117</v>
      </c>
      <c r="C60" s="14" t="s">
        <v>2118</v>
      </c>
      <c r="D60" s="18">
        <v>44129</v>
      </c>
      <c r="E60" s="14" t="s">
        <v>30</v>
      </c>
      <c r="F60" s="14">
        <v>2844</v>
      </c>
      <c r="G60" s="14">
        <v>732</v>
      </c>
      <c r="H60" s="14">
        <v>6</v>
      </c>
      <c r="I60" s="14">
        <v>3</v>
      </c>
      <c r="J60" s="14" t="s">
        <v>204</v>
      </c>
      <c r="K60" s="14" cm="1">
        <f t="array" ref="K60">INT(SUMPRODUCT(--ISNUMBER(SEARCH(economy,C60)))&gt;0)</f>
        <v>0</v>
      </c>
      <c r="L60" s="14" cm="1">
        <f t="array" ref="L60">INT(SUMPRODUCT(--ISNUMBER(SEARCH(healthcare,C60)))&gt;0)</f>
        <v>0</v>
      </c>
      <c r="M60" s="14" cm="1">
        <f t="array" ref="M60">INT(SUMPRODUCT(--ISNUMBER(SEARCH(supreme,C60)))&gt;0)</f>
        <v>0</v>
      </c>
      <c r="N60" s="14" cm="1">
        <f t="array" ref="N60">INT(SUMPRODUCT(--ISNUMBER(SEARCH(covid,C60)))&gt;0)</f>
        <v>0</v>
      </c>
      <c r="O60" s="14" cm="1">
        <f t="array" ref="O60">INT(SUMPRODUCT(--ISNUMBER(SEARCH(violent,C60)))&gt;0)</f>
        <v>0</v>
      </c>
      <c r="P60" s="14" cm="1">
        <f t="array" ref="P60">INT(SUMPRODUCT(--ISNUMBER(SEARCH(foreign,C60)))&gt;0)</f>
        <v>0</v>
      </c>
      <c r="Q60" s="14" cm="1">
        <f t="array" ref="Q60">INT(SUMPRODUCT(--ISNUMBER(SEARCH(gun,C60)))&gt;0)</f>
        <v>0</v>
      </c>
      <c r="R60" s="14" cm="1">
        <f t="array" ref="R60">INT(SUMPRODUCT(--ISNUMBER(SEARCH(race,C60)))&gt;0)</f>
        <v>0</v>
      </c>
      <c r="S60" s="14" cm="1">
        <f t="array" ref="S60">INT(SUMPRODUCT(--ISNUMBER(SEARCH(immigration,C60)))&gt;0)</f>
        <v>0</v>
      </c>
      <c r="T60" s="14" cm="1">
        <f t="array" ref="T60">INT(SUMPRODUCT(--ISNUMBER(SEARCH(econineq,C61)))&gt;0)</f>
        <v>0</v>
      </c>
      <c r="U60" s="14" cm="1">
        <f t="array" ref="U60">INT(SUMPRODUCT(--ISNUMBER(SEARCH(climate,C60)))&gt;0)</f>
        <v>0</v>
      </c>
      <c r="V60" s="14" cm="1">
        <f t="array" ref="V60">INT(SUMPRODUCT(--ISNUMBER(SEARCH(abortion,C60)))&gt;0)</f>
        <v>0</v>
      </c>
      <c r="W60" s="14" cm="1">
        <f t="array" ref="W60">INT(SUMPRODUCT(--ISNUMBER(SEARCH(trump,C60)))&gt;0)</f>
        <v>0</v>
      </c>
      <c r="X60" s="14" cm="1">
        <f t="array" ref="X60">INT(SUMPRODUCT(--ISNUMBER(SEARCH(voting,C60)))&gt;0)</f>
        <v>0</v>
      </c>
      <c r="Y60" s="14" cm="1">
        <f t="array" ref="Y60">INT(SUMPRODUCT(--ISNUMBER(SEARCH(democrattrigger,C60)))&gt;0)</f>
        <v>0</v>
      </c>
      <c r="Z60" s="14" cm="1">
        <f t="array" ref="Z60">INT(SUMPRODUCT(--ISNUMBER(SEARCH(bipartisan,C60)))&gt;0)</f>
        <v>0</v>
      </c>
      <c r="AA60" s="14">
        <f t="shared" si="0"/>
        <v>1</v>
      </c>
      <c r="AB60" s="14"/>
      <c r="AC60" s="30" t="s">
        <v>223</v>
      </c>
      <c r="AD60" s="37" t="s">
        <v>223</v>
      </c>
    </row>
    <row r="61" spans="1:30" x14ac:dyDescent="0.25">
      <c r="A61" s="36">
        <v>1046</v>
      </c>
      <c r="B61" s="14" t="s">
        <v>2119</v>
      </c>
      <c r="C61" s="14" t="s">
        <v>2120</v>
      </c>
      <c r="D61" s="18">
        <v>44129</v>
      </c>
      <c r="E61" s="14" t="s">
        <v>30</v>
      </c>
      <c r="F61" s="14">
        <v>3078</v>
      </c>
      <c r="G61" s="14">
        <v>869</v>
      </c>
      <c r="H61" s="14">
        <v>6</v>
      </c>
      <c r="I61" s="14">
        <v>3</v>
      </c>
      <c r="J61" s="14" t="s">
        <v>204</v>
      </c>
      <c r="K61" s="14" cm="1">
        <f t="array" ref="K61">INT(SUMPRODUCT(--ISNUMBER(SEARCH(economy,C61)))&gt;0)</f>
        <v>0</v>
      </c>
      <c r="L61" s="14" cm="1">
        <f t="array" ref="L61">INT(SUMPRODUCT(--ISNUMBER(SEARCH(healthcare,C61)))&gt;0)</f>
        <v>0</v>
      </c>
      <c r="M61" s="14" cm="1">
        <f t="array" ref="M61">INT(SUMPRODUCT(--ISNUMBER(SEARCH(supreme,C61)))&gt;0)</f>
        <v>0</v>
      </c>
      <c r="N61" s="14" cm="1">
        <f t="array" ref="N61">INT(SUMPRODUCT(--ISNUMBER(SEARCH(covid,C61)))&gt;0)</f>
        <v>0</v>
      </c>
      <c r="O61" s="14" cm="1">
        <f t="array" ref="O61">INT(SUMPRODUCT(--ISNUMBER(SEARCH(violent,C61)))&gt;0)</f>
        <v>0</v>
      </c>
      <c r="P61" s="14" cm="1">
        <f t="array" ref="P61">INT(SUMPRODUCT(--ISNUMBER(SEARCH(foreign,C61)))&gt;0)</f>
        <v>0</v>
      </c>
      <c r="Q61" s="14" cm="1">
        <f t="array" ref="Q61">INT(SUMPRODUCT(--ISNUMBER(SEARCH(gun,C61)))&gt;0)</f>
        <v>0</v>
      </c>
      <c r="R61" s="14" cm="1">
        <f t="array" ref="R61">INT(SUMPRODUCT(--ISNUMBER(SEARCH(race,C61)))&gt;0)</f>
        <v>0</v>
      </c>
      <c r="S61" s="14" cm="1">
        <f t="array" ref="S61">INT(SUMPRODUCT(--ISNUMBER(SEARCH(immigration,C61)))&gt;0)</f>
        <v>0</v>
      </c>
      <c r="T61" s="14" cm="1">
        <f t="array" ref="T61">INT(SUMPRODUCT(--ISNUMBER(SEARCH(econineq,C62)))&gt;0)</f>
        <v>0</v>
      </c>
      <c r="U61" s="14" cm="1">
        <f t="array" ref="U61">INT(SUMPRODUCT(--ISNUMBER(SEARCH(climate,C61)))&gt;0)</f>
        <v>1</v>
      </c>
      <c r="V61" s="14" cm="1">
        <f t="array" ref="V61">INT(SUMPRODUCT(--ISNUMBER(SEARCH(abortion,C61)))&gt;0)</f>
        <v>0</v>
      </c>
      <c r="W61" s="14" cm="1">
        <f t="array" ref="W61">INT(SUMPRODUCT(--ISNUMBER(SEARCH(trump,C61)))&gt;0)</f>
        <v>0</v>
      </c>
      <c r="X61" s="14" cm="1">
        <f t="array" ref="X61">INT(SUMPRODUCT(--ISNUMBER(SEARCH(voting,C61)))&gt;0)</f>
        <v>1</v>
      </c>
      <c r="Y61" s="14" cm="1">
        <f t="array" ref="Y61">INT(SUMPRODUCT(--ISNUMBER(SEARCH(democrattrigger,C61)))&gt;0)</f>
        <v>1</v>
      </c>
      <c r="Z61" s="14" cm="1">
        <f t="array" ref="Z61">INT(SUMPRODUCT(--ISNUMBER(SEARCH(bipartisan,C61)))&gt;0)</f>
        <v>0</v>
      </c>
      <c r="AA61" s="14">
        <f t="shared" si="0"/>
        <v>0</v>
      </c>
      <c r="AB61" s="14"/>
      <c r="AC61" s="30" t="s">
        <v>223</v>
      </c>
      <c r="AD61" s="37" t="s">
        <v>223</v>
      </c>
    </row>
    <row r="62" spans="1:30" x14ac:dyDescent="0.25">
      <c r="A62" s="36">
        <v>1047</v>
      </c>
      <c r="B62" s="14" t="s">
        <v>2121</v>
      </c>
      <c r="C62" s="14" t="s">
        <v>2122</v>
      </c>
      <c r="D62" s="18">
        <v>44128</v>
      </c>
      <c r="E62" s="14" t="s">
        <v>30</v>
      </c>
      <c r="F62" s="14">
        <v>648</v>
      </c>
      <c r="G62" s="14">
        <v>178</v>
      </c>
      <c r="H62" s="14">
        <v>6</v>
      </c>
      <c r="I62" s="14">
        <v>3</v>
      </c>
      <c r="J62" s="14" t="s">
        <v>204</v>
      </c>
      <c r="K62" s="14" cm="1">
        <f t="array" ref="K62">INT(SUMPRODUCT(--ISNUMBER(SEARCH(economy,C62)))&gt;0)</f>
        <v>0</v>
      </c>
      <c r="L62" s="14" cm="1">
        <f t="array" ref="L62">INT(SUMPRODUCT(--ISNUMBER(SEARCH(healthcare,C62)))&gt;0)</f>
        <v>0</v>
      </c>
      <c r="M62" s="14" cm="1">
        <f t="array" ref="M62">INT(SUMPRODUCT(--ISNUMBER(SEARCH(supreme,C62)))&gt;0)</f>
        <v>0</v>
      </c>
      <c r="N62" s="14" cm="1">
        <f t="array" ref="N62">INT(SUMPRODUCT(--ISNUMBER(SEARCH(covid,C62)))&gt;0)</f>
        <v>0</v>
      </c>
      <c r="O62" s="14" cm="1">
        <f t="array" ref="O62">INT(SUMPRODUCT(--ISNUMBER(SEARCH(violent,C62)))&gt;0)</f>
        <v>0</v>
      </c>
      <c r="P62" s="14" cm="1">
        <f t="array" ref="P62">INT(SUMPRODUCT(--ISNUMBER(SEARCH(foreign,C62)))&gt;0)</f>
        <v>0</v>
      </c>
      <c r="Q62" s="14" cm="1">
        <f t="array" ref="Q62">INT(SUMPRODUCT(--ISNUMBER(SEARCH(gun,C62)))&gt;0)</f>
        <v>0</v>
      </c>
      <c r="R62" s="14" cm="1">
        <f t="array" ref="R62">INT(SUMPRODUCT(--ISNUMBER(SEARCH(race,C62)))&gt;0)</f>
        <v>0</v>
      </c>
      <c r="S62" s="14" cm="1">
        <f t="array" ref="S62">INT(SUMPRODUCT(--ISNUMBER(SEARCH(immigration,C62)))&gt;0)</f>
        <v>0</v>
      </c>
      <c r="T62" s="14" cm="1">
        <f t="array" ref="T62">INT(SUMPRODUCT(--ISNUMBER(SEARCH(econineq,C63)))&gt;0)</f>
        <v>0</v>
      </c>
      <c r="U62" s="14" cm="1">
        <f t="array" ref="U62">INT(SUMPRODUCT(--ISNUMBER(SEARCH(climate,C62)))&gt;0)</f>
        <v>0</v>
      </c>
      <c r="V62" s="14" cm="1">
        <f t="array" ref="V62">INT(SUMPRODUCT(--ISNUMBER(SEARCH(abortion,C62)))&gt;0)</f>
        <v>0</v>
      </c>
      <c r="W62" s="14" cm="1">
        <f t="array" ref="W62">INT(SUMPRODUCT(--ISNUMBER(SEARCH(trump,C62)))&gt;0)</f>
        <v>0</v>
      </c>
      <c r="X62" s="14" cm="1">
        <f t="array" ref="X62">INT(SUMPRODUCT(--ISNUMBER(SEARCH(voting,C62)))&gt;0)</f>
        <v>1</v>
      </c>
      <c r="Y62" s="14" cm="1">
        <f t="array" ref="Y62">INT(SUMPRODUCT(--ISNUMBER(SEARCH(democrattrigger,C62)))&gt;0)</f>
        <v>0</v>
      </c>
      <c r="Z62" s="14" cm="1">
        <f t="array" ref="Z62">INT(SUMPRODUCT(--ISNUMBER(SEARCH(bipartisan,C62)))&gt;0)</f>
        <v>0</v>
      </c>
      <c r="AA62" s="14">
        <f t="shared" si="0"/>
        <v>0</v>
      </c>
      <c r="AB62" s="14"/>
      <c r="AC62" s="30">
        <v>1</v>
      </c>
      <c r="AD62" s="37">
        <v>0</v>
      </c>
    </row>
    <row r="63" spans="1:30" x14ac:dyDescent="0.25">
      <c r="A63" s="36">
        <v>1048</v>
      </c>
      <c r="B63" s="14" t="s">
        <v>2123</v>
      </c>
      <c r="C63" s="14" t="s">
        <v>2124</v>
      </c>
      <c r="D63" s="18">
        <v>44128</v>
      </c>
      <c r="E63" s="14" t="s">
        <v>30</v>
      </c>
      <c r="F63" s="14">
        <v>648</v>
      </c>
      <c r="G63" s="14">
        <v>158</v>
      </c>
      <c r="H63" s="14">
        <v>6</v>
      </c>
      <c r="I63" s="14">
        <v>3</v>
      </c>
      <c r="J63" s="14" t="s">
        <v>204</v>
      </c>
      <c r="K63" s="14" cm="1">
        <f t="array" ref="K63">INT(SUMPRODUCT(--ISNUMBER(SEARCH(economy,C63)))&gt;0)</f>
        <v>1</v>
      </c>
      <c r="L63" s="14" cm="1">
        <f t="array" ref="L63">INT(SUMPRODUCT(--ISNUMBER(SEARCH(healthcare,C63)))&gt;0)</f>
        <v>0</v>
      </c>
      <c r="M63" s="14" cm="1">
        <f t="array" ref="M63">INT(SUMPRODUCT(--ISNUMBER(SEARCH(supreme,C63)))&gt;0)</f>
        <v>0</v>
      </c>
      <c r="N63" s="14" cm="1">
        <f t="array" ref="N63">INT(SUMPRODUCT(--ISNUMBER(SEARCH(covid,C63)))&gt;0)</f>
        <v>0</v>
      </c>
      <c r="O63" s="14" cm="1">
        <f t="array" ref="O63">INT(SUMPRODUCT(--ISNUMBER(SEARCH(violent,C63)))&gt;0)</f>
        <v>0</v>
      </c>
      <c r="P63" s="14" cm="1">
        <f t="array" ref="P63">INT(SUMPRODUCT(--ISNUMBER(SEARCH(foreign,C63)))&gt;0)</f>
        <v>0</v>
      </c>
      <c r="Q63" s="14" cm="1">
        <f t="array" ref="Q63">INT(SUMPRODUCT(--ISNUMBER(SEARCH(gun,C63)))&gt;0)</f>
        <v>0</v>
      </c>
      <c r="R63" s="14" cm="1">
        <f t="array" ref="R63">INT(SUMPRODUCT(--ISNUMBER(SEARCH(race,C63)))&gt;0)</f>
        <v>0</v>
      </c>
      <c r="S63" s="14" cm="1">
        <f t="array" ref="S63">INT(SUMPRODUCT(--ISNUMBER(SEARCH(immigration,C63)))&gt;0)</f>
        <v>0</v>
      </c>
      <c r="T63" s="14" cm="1">
        <f t="array" ref="T63">INT(SUMPRODUCT(--ISNUMBER(SEARCH(econineq,C64)))&gt;0)</f>
        <v>0</v>
      </c>
      <c r="U63" s="14" cm="1">
        <f t="array" ref="U63">INT(SUMPRODUCT(--ISNUMBER(SEARCH(climate,C63)))&gt;0)</f>
        <v>0</v>
      </c>
      <c r="V63" s="14" cm="1">
        <f t="array" ref="V63">INT(SUMPRODUCT(--ISNUMBER(SEARCH(abortion,C63)))&gt;0)</f>
        <v>0</v>
      </c>
      <c r="W63" s="14" cm="1">
        <f t="array" ref="W63">INT(SUMPRODUCT(--ISNUMBER(SEARCH(trump,C63)))&gt;0)</f>
        <v>0</v>
      </c>
      <c r="X63" s="14" cm="1">
        <f t="array" ref="X63">INT(SUMPRODUCT(--ISNUMBER(SEARCH(voting,C63)))&gt;0)</f>
        <v>0</v>
      </c>
      <c r="Y63" s="14" cm="1">
        <f t="array" ref="Y63">INT(SUMPRODUCT(--ISNUMBER(SEARCH(democrattrigger,C63)))&gt;0)</f>
        <v>0</v>
      </c>
      <c r="Z63" s="14" cm="1">
        <f t="array" ref="Z63">INT(SUMPRODUCT(--ISNUMBER(SEARCH(bipartisan,C63)))&gt;0)</f>
        <v>0</v>
      </c>
      <c r="AA63" s="14">
        <f t="shared" si="0"/>
        <v>0</v>
      </c>
      <c r="AB63" s="14"/>
      <c r="AC63" s="30">
        <v>1</v>
      </c>
      <c r="AD63" s="37">
        <v>0</v>
      </c>
    </row>
    <row r="64" spans="1:30" x14ac:dyDescent="0.25">
      <c r="A64" s="36">
        <v>1049</v>
      </c>
      <c r="B64" s="14" t="s">
        <v>2125</v>
      </c>
      <c r="C64" s="14" t="s">
        <v>2126</v>
      </c>
      <c r="D64" s="18">
        <v>44128</v>
      </c>
      <c r="E64" s="14" t="s">
        <v>30</v>
      </c>
      <c r="F64" s="14">
        <v>1695</v>
      </c>
      <c r="G64" s="14">
        <v>459</v>
      </c>
      <c r="H64" s="14">
        <v>6</v>
      </c>
      <c r="I64" s="14">
        <v>3</v>
      </c>
      <c r="J64" s="14" t="s">
        <v>204</v>
      </c>
      <c r="K64" s="14" cm="1">
        <f t="array" ref="K64">INT(SUMPRODUCT(--ISNUMBER(SEARCH(economy,C64)))&gt;0)</f>
        <v>0</v>
      </c>
      <c r="L64" s="14" cm="1">
        <f t="array" ref="L64">INT(SUMPRODUCT(--ISNUMBER(SEARCH(healthcare,C64)))&gt;0)</f>
        <v>1</v>
      </c>
      <c r="M64" s="14" cm="1">
        <f t="array" ref="M64">INT(SUMPRODUCT(--ISNUMBER(SEARCH(supreme,C64)))&gt;0)</f>
        <v>0</v>
      </c>
      <c r="N64" s="14" cm="1">
        <f t="array" ref="N64">INT(SUMPRODUCT(--ISNUMBER(SEARCH(covid,C64)))&gt;0)</f>
        <v>1</v>
      </c>
      <c r="O64" s="14" cm="1">
        <f t="array" ref="O64">INT(SUMPRODUCT(--ISNUMBER(SEARCH(violent,C64)))&gt;0)</f>
        <v>0</v>
      </c>
      <c r="P64" s="14" cm="1">
        <f t="array" ref="P64">INT(SUMPRODUCT(--ISNUMBER(SEARCH(foreign,C64)))&gt;0)</f>
        <v>0</v>
      </c>
      <c r="Q64" s="14" cm="1">
        <f t="array" ref="Q64">INT(SUMPRODUCT(--ISNUMBER(SEARCH(gun,C64)))&gt;0)</f>
        <v>0</v>
      </c>
      <c r="R64" s="14" cm="1">
        <f t="array" ref="R64">INT(SUMPRODUCT(--ISNUMBER(SEARCH(race,C64)))&gt;0)</f>
        <v>0</v>
      </c>
      <c r="S64" s="14" cm="1">
        <f t="array" ref="S64">INT(SUMPRODUCT(--ISNUMBER(SEARCH(immigration,C64)))&gt;0)</f>
        <v>0</v>
      </c>
      <c r="T64" s="14" cm="1">
        <f t="array" ref="T64">INT(SUMPRODUCT(--ISNUMBER(SEARCH(econineq,C65)))&gt;0)</f>
        <v>0</v>
      </c>
      <c r="U64" s="14" cm="1">
        <f t="array" ref="U64">INT(SUMPRODUCT(--ISNUMBER(SEARCH(climate,C64)))&gt;0)</f>
        <v>0</v>
      </c>
      <c r="V64" s="14" cm="1">
        <f t="array" ref="V64">INT(SUMPRODUCT(--ISNUMBER(SEARCH(abortion,C64)))&gt;0)</f>
        <v>0</v>
      </c>
      <c r="W64" s="14" cm="1">
        <f t="array" ref="W64">INT(SUMPRODUCT(--ISNUMBER(SEARCH(trump,C64)))&gt;0)</f>
        <v>0</v>
      </c>
      <c r="X64" s="14" cm="1">
        <f t="array" ref="X64">INT(SUMPRODUCT(--ISNUMBER(SEARCH(voting,C64)))&gt;0)</f>
        <v>1</v>
      </c>
      <c r="Y64" s="14" cm="1">
        <f t="array" ref="Y64">INT(SUMPRODUCT(--ISNUMBER(SEARCH(democrattrigger,C64)))&gt;0)</f>
        <v>0</v>
      </c>
      <c r="Z64" s="14" cm="1">
        <f t="array" ref="Z64">INT(SUMPRODUCT(--ISNUMBER(SEARCH(bipartisan,C64)))&gt;0)</f>
        <v>0</v>
      </c>
      <c r="AA64" s="14">
        <f t="shared" si="0"/>
        <v>0</v>
      </c>
      <c r="AB64" s="14"/>
      <c r="AC64" s="30" t="s">
        <v>223</v>
      </c>
      <c r="AD64" s="37" t="s">
        <v>223</v>
      </c>
    </row>
    <row r="65" spans="1:30" x14ac:dyDescent="0.25">
      <c r="A65" s="36">
        <v>1050</v>
      </c>
      <c r="B65" s="14" t="s">
        <v>2127</v>
      </c>
      <c r="C65" s="14" t="s">
        <v>2128</v>
      </c>
      <c r="D65" s="18">
        <v>44128</v>
      </c>
      <c r="E65" s="14" t="s">
        <v>30</v>
      </c>
      <c r="F65" s="14">
        <v>659</v>
      </c>
      <c r="G65" s="14">
        <v>134</v>
      </c>
      <c r="H65" s="14">
        <v>6</v>
      </c>
      <c r="I65" s="14">
        <v>3</v>
      </c>
      <c r="J65" s="14" t="s">
        <v>204</v>
      </c>
      <c r="K65" s="14" cm="1">
        <f t="array" ref="K65">INT(SUMPRODUCT(--ISNUMBER(SEARCH(economy,C65)))&gt;0)</f>
        <v>1</v>
      </c>
      <c r="L65" s="14" cm="1">
        <f t="array" ref="L65">INT(SUMPRODUCT(--ISNUMBER(SEARCH(healthcare,C65)))&gt;0)</f>
        <v>0</v>
      </c>
      <c r="M65" s="14" cm="1">
        <f t="array" ref="M65">INT(SUMPRODUCT(--ISNUMBER(SEARCH(supreme,C65)))&gt;0)</f>
        <v>0</v>
      </c>
      <c r="N65" s="14" cm="1">
        <f t="array" ref="N65">INT(SUMPRODUCT(--ISNUMBER(SEARCH(covid,C65)))&gt;0)</f>
        <v>0</v>
      </c>
      <c r="O65" s="14" cm="1">
        <f t="array" ref="O65">INT(SUMPRODUCT(--ISNUMBER(SEARCH(violent,C65)))&gt;0)</f>
        <v>0</v>
      </c>
      <c r="P65" s="14" cm="1">
        <f t="array" ref="P65">INT(SUMPRODUCT(--ISNUMBER(SEARCH(foreign,C65)))&gt;0)</f>
        <v>0</v>
      </c>
      <c r="Q65" s="14" cm="1">
        <f t="array" ref="Q65">INT(SUMPRODUCT(--ISNUMBER(SEARCH(gun,C65)))&gt;0)</f>
        <v>0</v>
      </c>
      <c r="R65" s="14" cm="1">
        <f t="array" ref="R65">INT(SUMPRODUCT(--ISNUMBER(SEARCH(race,C65)))&gt;0)</f>
        <v>0</v>
      </c>
      <c r="S65" s="14" cm="1">
        <f t="array" ref="S65">INT(SUMPRODUCT(--ISNUMBER(SEARCH(immigration,C65)))&gt;0)</f>
        <v>0</v>
      </c>
      <c r="T65" s="14" cm="1">
        <f t="array" ref="T65">INT(SUMPRODUCT(--ISNUMBER(SEARCH(econineq,C66)))&gt;0)</f>
        <v>0</v>
      </c>
      <c r="U65" s="14" cm="1">
        <f t="array" ref="U65">INT(SUMPRODUCT(--ISNUMBER(SEARCH(climate,C65)))&gt;0)</f>
        <v>0</v>
      </c>
      <c r="V65" s="14" cm="1">
        <f t="array" ref="V65">INT(SUMPRODUCT(--ISNUMBER(SEARCH(abortion,C65)))&gt;0)</f>
        <v>0</v>
      </c>
      <c r="W65" s="14" cm="1">
        <f t="array" ref="W65">INT(SUMPRODUCT(--ISNUMBER(SEARCH(trump,C65)))&gt;0)</f>
        <v>0</v>
      </c>
      <c r="X65" s="14" cm="1">
        <f t="array" ref="X65">INT(SUMPRODUCT(--ISNUMBER(SEARCH(voting,C65)))&gt;0)</f>
        <v>0</v>
      </c>
      <c r="Y65" s="14" cm="1">
        <f t="array" ref="Y65">INT(SUMPRODUCT(--ISNUMBER(SEARCH(democrattrigger,C65)))&gt;0)</f>
        <v>0</v>
      </c>
      <c r="Z65" s="14" cm="1">
        <f t="array" ref="Z65">INT(SUMPRODUCT(--ISNUMBER(SEARCH(bipartisan,C65)))&gt;0)</f>
        <v>0</v>
      </c>
      <c r="AA65" s="14">
        <f t="shared" si="0"/>
        <v>0</v>
      </c>
      <c r="AB65" s="14"/>
      <c r="AC65" s="30">
        <v>1</v>
      </c>
      <c r="AD65" s="37">
        <v>0</v>
      </c>
    </row>
    <row r="66" spans="1:30" x14ac:dyDescent="0.25">
      <c r="A66" s="36">
        <v>1051</v>
      </c>
      <c r="B66" s="14" t="s">
        <v>2129</v>
      </c>
      <c r="C66" s="14" t="s">
        <v>2130</v>
      </c>
      <c r="D66" s="18">
        <v>44128</v>
      </c>
      <c r="E66" s="14" t="s">
        <v>30</v>
      </c>
      <c r="F66" s="14">
        <v>744</v>
      </c>
      <c r="G66" s="14">
        <v>303</v>
      </c>
      <c r="H66" s="14">
        <v>6</v>
      </c>
      <c r="I66" s="14">
        <v>3</v>
      </c>
      <c r="J66" s="14" t="s">
        <v>204</v>
      </c>
      <c r="K66" s="14" cm="1">
        <f t="array" ref="K66">INT(SUMPRODUCT(--ISNUMBER(SEARCH(economy,C66)))&gt;0)</f>
        <v>0</v>
      </c>
      <c r="L66" s="14" cm="1">
        <f t="array" ref="L66">INT(SUMPRODUCT(--ISNUMBER(SEARCH(healthcare,C66)))&gt;0)</f>
        <v>0</v>
      </c>
      <c r="M66" s="14" cm="1">
        <f t="array" ref="M66">INT(SUMPRODUCT(--ISNUMBER(SEARCH(supreme,C66)))&gt;0)</f>
        <v>0</v>
      </c>
      <c r="N66" s="14" cm="1">
        <f t="array" ref="N66">INT(SUMPRODUCT(--ISNUMBER(SEARCH(covid,C66)))&gt;0)</f>
        <v>0</v>
      </c>
      <c r="O66" s="14" cm="1">
        <f t="array" ref="O66">INT(SUMPRODUCT(--ISNUMBER(SEARCH(violent,C66)))&gt;0)</f>
        <v>0</v>
      </c>
      <c r="P66" s="14" cm="1">
        <f t="array" ref="P66">INT(SUMPRODUCT(--ISNUMBER(SEARCH(foreign,C66)))&gt;0)</f>
        <v>0</v>
      </c>
      <c r="Q66" s="14" cm="1">
        <f t="array" ref="Q66">INT(SUMPRODUCT(--ISNUMBER(SEARCH(gun,C66)))&gt;0)</f>
        <v>0</v>
      </c>
      <c r="R66" s="14" cm="1">
        <f t="array" ref="R66">INT(SUMPRODUCT(--ISNUMBER(SEARCH(race,C66)))&gt;0)</f>
        <v>0</v>
      </c>
      <c r="S66" s="14" cm="1">
        <f t="array" ref="S66">INT(SUMPRODUCT(--ISNUMBER(SEARCH(immigration,C66)))&gt;0)</f>
        <v>0</v>
      </c>
      <c r="T66" s="14" cm="1">
        <f t="array" ref="T66">INT(SUMPRODUCT(--ISNUMBER(SEARCH(econineq,C67)))&gt;0)</f>
        <v>0</v>
      </c>
      <c r="U66" s="14" cm="1">
        <f t="array" ref="U66">INT(SUMPRODUCT(--ISNUMBER(SEARCH(climate,C66)))&gt;0)</f>
        <v>0</v>
      </c>
      <c r="V66" s="14" cm="1">
        <f t="array" ref="V66">INT(SUMPRODUCT(--ISNUMBER(SEARCH(abortion,C66)))&gt;0)</f>
        <v>0</v>
      </c>
      <c r="W66" s="14" cm="1">
        <f t="array" ref="W66">INT(SUMPRODUCT(--ISNUMBER(SEARCH(trump,C66)))&gt;0)</f>
        <v>0</v>
      </c>
      <c r="X66" s="14" cm="1">
        <f t="array" ref="X66">INT(SUMPRODUCT(--ISNUMBER(SEARCH(voting,C66)))&gt;0)</f>
        <v>1</v>
      </c>
      <c r="Y66" s="14" cm="1">
        <f t="array" ref="Y66">INT(SUMPRODUCT(--ISNUMBER(SEARCH(democrattrigger,C66)))&gt;0)</f>
        <v>1</v>
      </c>
      <c r="Z66" s="14" cm="1">
        <f t="array" ref="Z66">INT(SUMPRODUCT(--ISNUMBER(SEARCH(bipartisan,C66)))&gt;0)</f>
        <v>0</v>
      </c>
      <c r="AA66" s="14">
        <f t="shared" si="0"/>
        <v>0</v>
      </c>
      <c r="AB66" s="14"/>
      <c r="AC66" s="30" t="s">
        <v>223</v>
      </c>
      <c r="AD66" s="37" t="s">
        <v>223</v>
      </c>
    </row>
    <row r="67" spans="1:30" x14ac:dyDescent="0.25">
      <c r="A67" s="36">
        <v>1052</v>
      </c>
      <c r="B67" s="14" t="s">
        <v>2131</v>
      </c>
      <c r="C67" s="14" t="s">
        <v>2132</v>
      </c>
      <c r="D67" s="18">
        <v>44127</v>
      </c>
      <c r="E67" s="14" t="s">
        <v>30</v>
      </c>
      <c r="F67" s="14">
        <v>586</v>
      </c>
      <c r="G67" s="14">
        <v>152</v>
      </c>
      <c r="H67" s="14">
        <v>6</v>
      </c>
      <c r="I67" s="14">
        <v>3</v>
      </c>
      <c r="J67" s="14" t="s">
        <v>204</v>
      </c>
      <c r="K67" s="14" cm="1">
        <f t="array" ref="K67">INT(SUMPRODUCT(--ISNUMBER(SEARCH(economy,C67)))&gt;0)</f>
        <v>0</v>
      </c>
      <c r="L67" s="14" cm="1">
        <f t="array" ref="L67">INT(SUMPRODUCT(--ISNUMBER(SEARCH(healthcare,C67)))&gt;0)</f>
        <v>0</v>
      </c>
      <c r="M67" s="14" cm="1">
        <f t="array" ref="M67">INT(SUMPRODUCT(--ISNUMBER(SEARCH(supreme,C67)))&gt;0)</f>
        <v>0</v>
      </c>
      <c r="N67" s="14" cm="1">
        <f t="array" ref="N67">INT(SUMPRODUCT(--ISNUMBER(SEARCH(covid,C67)))&gt;0)</f>
        <v>0</v>
      </c>
      <c r="O67" s="14" cm="1">
        <f t="array" ref="O67">INT(SUMPRODUCT(--ISNUMBER(SEARCH(violent,C67)))&gt;0)</f>
        <v>0</v>
      </c>
      <c r="P67" s="14" cm="1">
        <f t="array" ref="P67">INT(SUMPRODUCT(--ISNUMBER(SEARCH(foreign,C67)))&gt;0)</f>
        <v>0</v>
      </c>
      <c r="Q67" s="14" cm="1">
        <f t="array" ref="Q67">INT(SUMPRODUCT(--ISNUMBER(SEARCH(gun,C67)))&gt;0)</f>
        <v>0</v>
      </c>
      <c r="R67" s="14" cm="1">
        <f t="array" ref="R67">INT(SUMPRODUCT(--ISNUMBER(SEARCH(race,C67)))&gt;0)</f>
        <v>0</v>
      </c>
      <c r="S67" s="14" cm="1">
        <f t="array" ref="S67">INT(SUMPRODUCT(--ISNUMBER(SEARCH(immigration,C67)))&gt;0)</f>
        <v>0</v>
      </c>
      <c r="T67" s="14" cm="1">
        <f t="array" ref="T67">INT(SUMPRODUCT(--ISNUMBER(SEARCH(econineq,C68)))&gt;0)</f>
        <v>0</v>
      </c>
      <c r="U67" s="14" cm="1">
        <f t="array" ref="U67">INT(SUMPRODUCT(--ISNUMBER(SEARCH(climate,C67)))&gt;0)</f>
        <v>0</v>
      </c>
      <c r="V67" s="14" cm="1">
        <f t="array" ref="V67">INT(SUMPRODUCT(--ISNUMBER(SEARCH(abortion,C67)))&gt;0)</f>
        <v>0</v>
      </c>
      <c r="W67" s="14" cm="1">
        <f t="array" ref="W67">INT(SUMPRODUCT(--ISNUMBER(SEARCH(trump,C67)))&gt;0)</f>
        <v>0</v>
      </c>
      <c r="X67" s="14" cm="1">
        <f t="array" ref="X67">INT(SUMPRODUCT(--ISNUMBER(SEARCH(voting,C67)))&gt;0)</f>
        <v>1</v>
      </c>
      <c r="Y67" s="14" cm="1">
        <f t="array" ref="Y67">INT(SUMPRODUCT(--ISNUMBER(SEARCH(democrattrigger,C67)))&gt;0)</f>
        <v>0</v>
      </c>
      <c r="Z67" s="14" cm="1">
        <f t="array" ref="Z67">INT(SUMPRODUCT(--ISNUMBER(SEARCH(bipartisan,C67)))&gt;0)</f>
        <v>0</v>
      </c>
      <c r="AA67" s="14">
        <f t="shared" ref="AA67:AA130" si="1">INT(IF(COUNTIF(K67:Z67,1)=0,"1","0"))</f>
        <v>0</v>
      </c>
      <c r="AB67" s="14"/>
      <c r="AC67" s="30" t="s">
        <v>223</v>
      </c>
      <c r="AD67" s="37" t="s">
        <v>223</v>
      </c>
    </row>
    <row r="68" spans="1:30" x14ac:dyDescent="0.25">
      <c r="A68" s="36">
        <v>1053</v>
      </c>
      <c r="B68" s="14" t="s">
        <v>2133</v>
      </c>
      <c r="C68" s="14" t="s">
        <v>2134</v>
      </c>
      <c r="D68" s="18">
        <v>44127</v>
      </c>
      <c r="E68" s="14" t="s">
        <v>30</v>
      </c>
      <c r="F68" s="14">
        <v>2124</v>
      </c>
      <c r="G68" s="14">
        <v>595</v>
      </c>
      <c r="H68" s="14">
        <v>6</v>
      </c>
      <c r="I68" s="14">
        <v>3</v>
      </c>
      <c r="J68" s="14" t="s">
        <v>204</v>
      </c>
      <c r="K68" s="14" cm="1">
        <f t="array" ref="K68">INT(SUMPRODUCT(--ISNUMBER(SEARCH(economy,C68)))&gt;0)</f>
        <v>0</v>
      </c>
      <c r="L68" s="14" cm="1">
        <f t="array" ref="L68">INT(SUMPRODUCT(--ISNUMBER(SEARCH(healthcare,C68)))&gt;0)</f>
        <v>0</v>
      </c>
      <c r="M68" s="14" cm="1">
        <f t="array" ref="M68">INT(SUMPRODUCT(--ISNUMBER(SEARCH(supreme,C68)))&gt;0)</f>
        <v>0</v>
      </c>
      <c r="N68" s="14" cm="1">
        <f t="array" ref="N68">INT(SUMPRODUCT(--ISNUMBER(SEARCH(covid,C68)))&gt;0)</f>
        <v>0</v>
      </c>
      <c r="O68" s="14" cm="1">
        <f t="array" ref="O68">INT(SUMPRODUCT(--ISNUMBER(SEARCH(violent,C68)))&gt;0)</f>
        <v>0</v>
      </c>
      <c r="P68" s="14" cm="1">
        <f t="array" ref="P68">INT(SUMPRODUCT(--ISNUMBER(SEARCH(foreign,C68)))&gt;0)</f>
        <v>0</v>
      </c>
      <c r="Q68" s="14" cm="1">
        <f t="array" ref="Q68">INT(SUMPRODUCT(--ISNUMBER(SEARCH(gun,C68)))&gt;0)</f>
        <v>0</v>
      </c>
      <c r="R68" s="14" cm="1">
        <f t="array" ref="R68">INT(SUMPRODUCT(--ISNUMBER(SEARCH(race,C68)))&gt;0)</f>
        <v>0</v>
      </c>
      <c r="S68" s="14" cm="1">
        <f t="array" ref="S68">INT(SUMPRODUCT(--ISNUMBER(SEARCH(immigration,C68)))&gt;0)</f>
        <v>0</v>
      </c>
      <c r="T68" s="14" cm="1">
        <f t="array" ref="T68">INT(SUMPRODUCT(--ISNUMBER(SEARCH(econineq,C69)))&gt;0)</f>
        <v>0</v>
      </c>
      <c r="U68" s="14" cm="1">
        <f t="array" ref="U68">INT(SUMPRODUCT(--ISNUMBER(SEARCH(climate,C68)))&gt;0)</f>
        <v>1</v>
      </c>
      <c r="V68" s="14" cm="1">
        <f t="array" ref="V68">INT(SUMPRODUCT(--ISNUMBER(SEARCH(abortion,C68)))&gt;0)</f>
        <v>0</v>
      </c>
      <c r="W68" s="14" cm="1">
        <f t="array" ref="W68">INT(SUMPRODUCT(--ISNUMBER(SEARCH(trump,C68)))&gt;0)</f>
        <v>0</v>
      </c>
      <c r="X68" s="14" cm="1">
        <f t="array" ref="X68">INT(SUMPRODUCT(--ISNUMBER(SEARCH(voting,C68)))&gt;0)</f>
        <v>1</v>
      </c>
      <c r="Y68" s="14" cm="1">
        <f t="array" ref="Y68">INT(SUMPRODUCT(--ISNUMBER(SEARCH(democrattrigger,C68)))&gt;0)</f>
        <v>1</v>
      </c>
      <c r="Z68" s="14" cm="1">
        <f t="array" ref="Z68">INT(SUMPRODUCT(--ISNUMBER(SEARCH(bipartisan,C68)))&gt;0)</f>
        <v>0</v>
      </c>
      <c r="AA68" s="14">
        <f t="shared" si="1"/>
        <v>0</v>
      </c>
      <c r="AB68" s="14"/>
      <c r="AC68" s="30" t="s">
        <v>223</v>
      </c>
      <c r="AD68" s="37" t="s">
        <v>223</v>
      </c>
    </row>
    <row r="69" spans="1:30" x14ac:dyDescent="0.25">
      <c r="A69" s="36">
        <v>1054</v>
      </c>
      <c r="B69" s="14" t="s">
        <v>2135</v>
      </c>
      <c r="C69" s="14" t="s">
        <v>2136</v>
      </c>
      <c r="D69" s="18">
        <v>44127</v>
      </c>
      <c r="E69" s="14" t="s">
        <v>30</v>
      </c>
      <c r="F69" s="14">
        <v>2874</v>
      </c>
      <c r="G69" s="14">
        <v>781</v>
      </c>
      <c r="H69" s="14">
        <v>6</v>
      </c>
      <c r="I69" s="14">
        <v>3</v>
      </c>
      <c r="J69" s="14" t="s">
        <v>204</v>
      </c>
      <c r="K69" s="14" cm="1">
        <f t="array" ref="K69">INT(SUMPRODUCT(--ISNUMBER(SEARCH(economy,C69)))&gt;0)</f>
        <v>0</v>
      </c>
      <c r="L69" s="14" cm="1">
        <f t="array" ref="L69">INT(SUMPRODUCT(--ISNUMBER(SEARCH(healthcare,C69)))&gt;0)</f>
        <v>0</v>
      </c>
      <c r="M69" s="14" cm="1">
        <f t="array" ref="M69">INT(SUMPRODUCT(--ISNUMBER(SEARCH(supreme,C69)))&gt;0)</f>
        <v>0</v>
      </c>
      <c r="N69" s="14" cm="1">
        <f t="array" ref="N69">INT(SUMPRODUCT(--ISNUMBER(SEARCH(covid,C69)))&gt;0)</f>
        <v>0</v>
      </c>
      <c r="O69" s="14" cm="1">
        <f t="array" ref="O69">INT(SUMPRODUCT(--ISNUMBER(SEARCH(violent,C69)))&gt;0)</f>
        <v>0</v>
      </c>
      <c r="P69" s="14" cm="1">
        <f t="array" ref="P69">INT(SUMPRODUCT(--ISNUMBER(SEARCH(foreign,C69)))&gt;0)</f>
        <v>0</v>
      </c>
      <c r="Q69" s="14" cm="1">
        <f t="array" ref="Q69">INT(SUMPRODUCT(--ISNUMBER(SEARCH(gun,C69)))&gt;0)</f>
        <v>0</v>
      </c>
      <c r="R69" s="14" cm="1">
        <f t="array" ref="R69">INT(SUMPRODUCT(--ISNUMBER(SEARCH(race,C69)))&gt;0)</f>
        <v>0</v>
      </c>
      <c r="S69" s="14" cm="1">
        <f t="array" ref="S69">INT(SUMPRODUCT(--ISNUMBER(SEARCH(immigration,C69)))&gt;0)</f>
        <v>0</v>
      </c>
      <c r="T69" s="14" cm="1">
        <f t="array" ref="T69">INT(SUMPRODUCT(--ISNUMBER(SEARCH(econineq,C70)))&gt;0)</f>
        <v>0</v>
      </c>
      <c r="U69" s="14" cm="1">
        <f t="array" ref="U69">INT(SUMPRODUCT(--ISNUMBER(SEARCH(climate,C69)))&gt;0)</f>
        <v>1</v>
      </c>
      <c r="V69" s="14" cm="1">
        <f t="array" ref="V69">INT(SUMPRODUCT(--ISNUMBER(SEARCH(abortion,C69)))&gt;0)</f>
        <v>0</v>
      </c>
      <c r="W69" s="14" cm="1">
        <f t="array" ref="W69">INT(SUMPRODUCT(--ISNUMBER(SEARCH(trump,C69)))&gt;0)</f>
        <v>0</v>
      </c>
      <c r="X69" s="14" cm="1">
        <f t="array" ref="X69">INT(SUMPRODUCT(--ISNUMBER(SEARCH(voting,C69)))&gt;0)</f>
        <v>0</v>
      </c>
      <c r="Y69" s="14" cm="1">
        <f t="array" ref="Y69">INT(SUMPRODUCT(--ISNUMBER(SEARCH(democrattrigger,C69)))&gt;0)</f>
        <v>1</v>
      </c>
      <c r="Z69" s="14" cm="1">
        <f t="array" ref="Z69">INT(SUMPRODUCT(--ISNUMBER(SEARCH(bipartisan,C69)))&gt;0)</f>
        <v>0</v>
      </c>
      <c r="AA69" s="14">
        <f t="shared" si="1"/>
        <v>0</v>
      </c>
      <c r="AB69" s="14"/>
      <c r="AC69" s="30" t="s">
        <v>223</v>
      </c>
      <c r="AD69" s="37" t="s">
        <v>223</v>
      </c>
    </row>
    <row r="70" spans="1:30" x14ac:dyDescent="0.25">
      <c r="A70" s="36">
        <v>1055</v>
      </c>
      <c r="B70" s="14" t="s">
        <v>2137</v>
      </c>
      <c r="C70" s="14" t="s">
        <v>2138</v>
      </c>
      <c r="D70" s="18">
        <v>44127</v>
      </c>
      <c r="E70" s="14" t="s">
        <v>30</v>
      </c>
      <c r="F70" s="14">
        <v>744</v>
      </c>
      <c r="G70" s="14">
        <v>150</v>
      </c>
      <c r="H70" s="14">
        <v>6</v>
      </c>
      <c r="I70" s="14">
        <v>3</v>
      </c>
      <c r="J70" s="14" t="s">
        <v>204</v>
      </c>
      <c r="K70" s="14" cm="1">
        <f t="array" ref="K70">INT(SUMPRODUCT(--ISNUMBER(SEARCH(economy,C70)))&gt;0)</f>
        <v>0</v>
      </c>
      <c r="L70" s="14" cm="1">
        <f t="array" ref="L70">INT(SUMPRODUCT(--ISNUMBER(SEARCH(healthcare,C70)))&gt;0)</f>
        <v>0</v>
      </c>
      <c r="M70" s="14" cm="1">
        <f t="array" ref="M70">INT(SUMPRODUCT(--ISNUMBER(SEARCH(supreme,C70)))&gt;0)</f>
        <v>0</v>
      </c>
      <c r="N70" s="14" cm="1">
        <f t="array" ref="N70">INT(SUMPRODUCT(--ISNUMBER(SEARCH(covid,C70)))&gt;0)</f>
        <v>0</v>
      </c>
      <c r="O70" s="14" cm="1">
        <f t="array" ref="O70">INT(SUMPRODUCT(--ISNUMBER(SEARCH(violent,C70)))&gt;0)</f>
        <v>0</v>
      </c>
      <c r="P70" s="14" cm="1">
        <f t="array" ref="P70">INT(SUMPRODUCT(--ISNUMBER(SEARCH(foreign,C70)))&gt;0)</f>
        <v>0</v>
      </c>
      <c r="Q70" s="14" cm="1">
        <f t="array" ref="Q70">INT(SUMPRODUCT(--ISNUMBER(SEARCH(gun,C70)))&gt;0)</f>
        <v>0</v>
      </c>
      <c r="R70" s="14" cm="1">
        <f t="array" ref="R70">INT(SUMPRODUCT(--ISNUMBER(SEARCH(race,C70)))&gt;0)</f>
        <v>0</v>
      </c>
      <c r="S70" s="14" cm="1">
        <f t="array" ref="S70">INT(SUMPRODUCT(--ISNUMBER(SEARCH(immigration,C70)))&gt;0)</f>
        <v>0</v>
      </c>
      <c r="T70" s="14" cm="1">
        <f t="array" ref="T70">INT(SUMPRODUCT(--ISNUMBER(SEARCH(econineq,C71)))&gt;0)</f>
        <v>0</v>
      </c>
      <c r="U70" s="14" cm="1">
        <f t="array" ref="U70">INT(SUMPRODUCT(--ISNUMBER(SEARCH(climate,C70)))&gt;0)</f>
        <v>0</v>
      </c>
      <c r="V70" s="14" cm="1">
        <f t="array" ref="V70">INT(SUMPRODUCT(--ISNUMBER(SEARCH(abortion,C70)))&gt;0)</f>
        <v>0</v>
      </c>
      <c r="W70" s="14" cm="1">
        <f t="array" ref="W70">INT(SUMPRODUCT(--ISNUMBER(SEARCH(trump,C70)))&gt;0)</f>
        <v>0</v>
      </c>
      <c r="X70" s="14" cm="1">
        <f t="array" ref="X70">INT(SUMPRODUCT(--ISNUMBER(SEARCH(voting,C70)))&gt;0)</f>
        <v>1</v>
      </c>
      <c r="Y70" s="14" cm="1">
        <f t="array" ref="Y70">INT(SUMPRODUCT(--ISNUMBER(SEARCH(democrattrigger,C70)))&gt;0)</f>
        <v>0</v>
      </c>
      <c r="Z70" s="14" cm="1">
        <f t="array" ref="Z70">INT(SUMPRODUCT(--ISNUMBER(SEARCH(bipartisan,C70)))&gt;0)</f>
        <v>0</v>
      </c>
      <c r="AA70" s="14">
        <f t="shared" si="1"/>
        <v>0</v>
      </c>
      <c r="AB70" s="14"/>
      <c r="AC70" s="30" t="s">
        <v>223</v>
      </c>
      <c r="AD70" s="37" t="s">
        <v>223</v>
      </c>
    </row>
    <row r="71" spans="1:30" x14ac:dyDescent="0.25">
      <c r="A71" s="36">
        <v>1056</v>
      </c>
      <c r="B71" s="14" t="s">
        <v>2139</v>
      </c>
      <c r="C71" s="14" t="s">
        <v>2140</v>
      </c>
      <c r="D71" s="18">
        <v>44127</v>
      </c>
      <c r="E71" s="14" t="s">
        <v>30</v>
      </c>
      <c r="F71" s="14">
        <v>266</v>
      </c>
      <c r="G71" s="14">
        <v>73</v>
      </c>
      <c r="H71" s="14">
        <v>6</v>
      </c>
      <c r="I71" s="14">
        <v>3</v>
      </c>
      <c r="J71" s="14" t="s">
        <v>204</v>
      </c>
      <c r="K71" s="14" cm="1">
        <f t="array" ref="K71">INT(SUMPRODUCT(--ISNUMBER(SEARCH(economy,C71)))&gt;0)</f>
        <v>0</v>
      </c>
      <c r="L71" s="14" cm="1">
        <f t="array" ref="L71">INT(SUMPRODUCT(--ISNUMBER(SEARCH(healthcare,C71)))&gt;0)</f>
        <v>0</v>
      </c>
      <c r="M71" s="14" cm="1">
        <f t="array" ref="M71">INT(SUMPRODUCT(--ISNUMBER(SEARCH(supreme,C71)))&gt;0)</f>
        <v>0</v>
      </c>
      <c r="N71" s="14" cm="1">
        <f t="array" ref="N71">INT(SUMPRODUCT(--ISNUMBER(SEARCH(covid,C71)))&gt;0)</f>
        <v>0</v>
      </c>
      <c r="O71" s="14" cm="1">
        <f t="array" ref="O71">INT(SUMPRODUCT(--ISNUMBER(SEARCH(violent,C71)))&gt;0)</f>
        <v>0</v>
      </c>
      <c r="P71" s="14" cm="1">
        <f t="array" ref="P71">INT(SUMPRODUCT(--ISNUMBER(SEARCH(foreign,C71)))&gt;0)</f>
        <v>0</v>
      </c>
      <c r="Q71" s="14" cm="1">
        <f t="array" ref="Q71">INT(SUMPRODUCT(--ISNUMBER(SEARCH(gun,C71)))&gt;0)</f>
        <v>0</v>
      </c>
      <c r="R71" s="14" cm="1">
        <f t="array" ref="R71">INT(SUMPRODUCT(--ISNUMBER(SEARCH(race,C71)))&gt;0)</f>
        <v>0</v>
      </c>
      <c r="S71" s="14" cm="1">
        <f t="array" ref="S71">INT(SUMPRODUCT(--ISNUMBER(SEARCH(immigration,C71)))&gt;0)</f>
        <v>0</v>
      </c>
      <c r="T71" s="14" cm="1">
        <f t="array" ref="T71">INT(SUMPRODUCT(--ISNUMBER(SEARCH(econineq,C72)))&gt;0)</f>
        <v>0</v>
      </c>
      <c r="U71" s="14" cm="1">
        <f t="array" ref="U71">INT(SUMPRODUCT(--ISNUMBER(SEARCH(climate,C71)))&gt;0)</f>
        <v>0</v>
      </c>
      <c r="V71" s="14" cm="1">
        <f t="array" ref="V71">INT(SUMPRODUCT(--ISNUMBER(SEARCH(abortion,C71)))&gt;0)</f>
        <v>0</v>
      </c>
      <c r="W71" s="14" cm="1">
        <f t="array" ref="W71">INT(SUMPRODUCT(--ISNUMBER(SEARCH(trump,C71)))&gt;0)</f>
        <v>0</v>
      </c>
      <c r="X71" s="14" cm="1">
        <f t="array" ref="X71">INT(SUMPRODUCT(--ISNUMBER(SEARCH(voting,C71)))&gt;0)</f>
        <v>0</v>
      </c>
      <c r="Y71" s="14" cm="1">
        <f t="array" ref="Y71">INT(SUMPRODUCT(--ISNUMBER(SEARCH(democrattrigger,C71)))&gt;0)</f>
        <v>0</v>
      </c>
      <c r="Z71" s="14" cm="1">
        <f t="array" ref="Z71">INT(SUMPRODUCT(--ISNUMBER(SEARCH(bipartisan,C71)))&gt;0)</f>
        <v>0</v>
      </c>
      <c r="AA71" s="14">
        <f t="shared" si="1"/>
        <v>1</v>
      </c>
      <c r="AB71" s="14"/>
      <c r="AC71" s="30" t="s">
        <v>223</v>
      </c>
      <c r="AD71" s="37" t="s">
        <v>223</v>
      </c>
    </row>
    <row r="72" spans="1:30" x14ac:dyDescent="0.25">
      <c r="A72" s="36">
        <v>1057</v>
      </c>
      <c r="B72" s="14" t="s">
        <v>2141</v>
      </c>
      <c r="C72" s="14" t="s">
        <v>2142</v>
      </c>
      <c r="D72" s="18">
        <v>44126</v>
      </c>
      <c r="E72" s="14" t="s">
        <v>30</v>
      </c>
      <c r="F72" s="14">
        <v>608</v>
      </c>
      <c r="G72" s="14">
        <v>127</v>
      </c>
      <c r="H72" s="14">
        <v>6</v>
      </c>
      <c r="I72" s="14">
        <v>3</v>
      </c>
      <c r="J72" s="14" t="s">
        <v>204</v>
      </c>
      <c r="K72" s="14" cm="1">
        <f t="array" ref="K72">INT(SUMPRODUCT(--ISNUMBER(SEARCH(economy,C72)))&gt;0)</f>
        <v>1</v>
      </c>
      <c r="L72" s="14" cm="1">
        <f t="array" ref="L72">INT(SUMPRODUCT(--ISNUMBER(SEARCH(healthcare,C72)))&gt;0)</f>
        <v>0</v>
      </c>
      <c r="M72" s="14" cm="1">
        <f t="array" ref="M72">INT(SUMPRODUCT(--ISNUMBER(SEARCH(supreme,C72)))&gt;0)</f>
        <v>0</v>
      </c>
      <c r="N72" s="14" cm="1">
        <f t="array" ref="N72">INT(SUMPRODUCT(--ISNUMBER(SEARCH(covid,C72)))&gt;0)</f>
        <v>0</v>
      </c>
      <c r="O72" s="14" cm="1">
        <f t="array" ref="O72">INT(SUMPRODUCT(--ISNUMBER(SEARCH(violent,C72)))&gt;0)</f>
        <v>0</v>
      </c>
      <c r="P72" s="14" cm="1">
        <f t="array" ref="P72">INT(SUMPRODUCT(--ISNUMBER(SEARCH(foreign,C72)))&gt;0)</f>
        <v>0</v>
      </c>
      <c r="Q72" s="14" cm="1">
        <f t="array" ref="Q72">INT(SUMPRODUCT(--ISNUMBER(SEARCH(gun,C72)))&gt;0)</f>
        <v>1</v>
      </c>
      <c r="R72" s="14" cm="1">
        <f t="array" ref="R72">INT(SUMPRODUCT(--ISNUMBER(SEARCH(race,C72)))&gt;0)</f>
        <v>0</v>
      </c>
      <c r="S72" s="14" cm="1">
        <f t="array" ref="S72">INT(SUMPRODUCT(--ISNUMBER(SEARCH(immigration,C72)))&gt;0)</f>
        <v>0</v>
      </c>
      <c r="T72" s="14" cm="1">
        <f t="array" ref="T72">INT(SUMPRODUCT(--ISNUMBER(SEARCH(econineq,C73)))&gt;0)</f>
        <v>0</v>
      </c>
      <c r="U72" s="14" cm="1">
        <f t="array" ref="U72">INT(SUMPRODUCT(--ISNUMBER(SEARCH(climate,C72)))&gt;0)</f>
        <v>0</v>
      </c>
      <c r="V72" s="14" cm="1">
        <f t="array" ref="V72">INT(SUMPRODUCT(--ISNUMBER(SEARCH(abortion,C72)))&gt;0)</f>
        <v>0</v>
      </c>
      <c r="W72" s="14" cm="1">
        <f t="array" ref="W72">INT(SUMPRODUCT(--ISNUMBER(SEARCH(trump,C72)))&gt;0)</f>
        <v>0</v>
      </c>
      <c r="X72" s="14" cm="1">
        <f t="array" ref="X72">INT(SUMPRODUCT(--ISNUMBER(SEARCH(voting,C72)))&gt;0)</f>
        <v>0</v>
      </c>
      <c r="Y72" s="14" cm="1">
        <f t="array" ref="Y72">INT(SUMPRODUCT(--ISNUMBER(SEARCH(democrattrigger,C72)))&gt;0)</f>
        <v>0</v>
      </c>
      <c r="Z72" s="14" cm="1">
        <f t="array" ref="Z72">INT(SUMPRODUCT(--ISNUMBER(SEARCH(bipartisan,C72)))&gt;0)</f>
        <v>0</v>
      </c>
      <c r="AA72" s="14">
        <f t="shared" si="1"/>
        <v>0</v>
      </c>
      <c r="AB72" s="14"/>
      <c r="AC72" s="30">
        <v>1</v>
      </c>
      <c r="AD72" s="37">
        <v>0</v>
      </c>
    </row>
    <row r="73" spans="1:30" x14ac:dyDescent="0.25">
      <c r="A73" s="36">
        <v>1058</v>
      </c>
      <c r="B73" s="14" t="s">
        <v>2143</v>
      </c>
      <c r="C73" s="14" t="s">
        <v>2144</v>
      </c>
      <c r="D73" s="18">
        <v>44126</v>
      </c>
      <c r="E73" s="14" t="s">
        <v>30</v>
      </c>
      <c r="F73" s="14">
        <v>1049</v>
      </c>
      <c r="G73" s="14">
        <v>331</v>
      </c>
      <c r="H73" s="14">
        <v>6</v>
      </c>
      <c r="I73" s="14">
        <v>3</v>
      </c>
      <c r="J73" s="14" t="s">
        <v>204</v>
      </c>
      <c r="K73" s="14" cm="1">
        <f t="array" ref="K73">INT(SUMPRODUCT(--ISNUMBER(SEARCH(economy,C73)))&gt;0)</f>
        <v>0</v>
      </c>
      <c r="L73" s="14" cm="1">
        <f t="array" ref="L73">INT(SUMPRODUCT(--ISNUMBER(SEARCH(healthcare,C73)))&gt;0)</f>
        <v>1</v>
      </c>
      <c r="M73" s="14" cm="1">
        <f t="array" ref="M73">INT(SUMPRODUCT(--ISNUMBER(SEARCH(supreme,C73)))&gt;0)</f>
        <v>1</v>
      </c>
      <c r="N73" s="14" cm="1">
        <f t="array" ref="N73">INT(SUMPRODUCT(--ISNUMBER(SEARCH(covid,C73)))&gt;0)</f>
        <v>0</v>
      </c>
      <c r="O73" s="14" cm="1">
        <f t="array" ref="O73">INT(SUMPRODUCT(--ISNUMBER(SEARCH(violent,C73)))&gt;0)</f>
        <v>0</v>
      </c>
      <c r="P73" s="14" cm="1">
        <f t="array" ref="P73">INT(SUMPRODUCT(--ISNUMBER(SEARCH(foreign,C73)))&gt;0)</f>
        <v>0</v>
      </c>
      <c r="Q73" s="14" cm="1">
        <f t="array" ref="Q73">INT(SUMPRODUCT(--ISNUMBER(SEARCH(gun,C73)))&gt;0)</f>
        <v>0</v>
      </c>
      <c r="R73" s="14" cm="1">
        <f t="array" ref="R73">INT(SUMPRODUCT(--ISNUMBER(SEARCH(race,C73)))&gt;0)</f>
        <v>0</v>
      </c>
      <c r="S73" s="14" cm="1">
        <f t="array" ref="S73">INT(SUMPRODUCT(--ISNUMBER(SEARCH(immigration,C73)))&gt;0)</f>
        <v>0</v>
      </c>
      <c r="T73" s="14" cm="1">
        <f t="array" ref="T73">INT(SUMPRODUCT(--ISNUMBER(SEARCH(econineq,C74)))&gt;0)</f>
        <v>0</v>
      </c>
      <c r="U73" s="14" cm="1">
        <f t="array" ref="U73">INT(SUMPRODUCT(--ISNUMBER(SEARCH(climate,C73)))&gt;0)</f>
        <v>0</v>
      </c>
      <c r="V73" s="14" cm="1">
        <f t="array" ref="V73">INT(SUMPRODUCT(--ISNUMBER(SEARCH(abortion,C73)))&gt;0)</f>
        <v>0</v>
      </c>
      <c r="W73" s="14" cm="1">
        <f t="array" ref="W73">INT(SUMPRODUCT(--ISNUMBER(SEARCH(trump,C73)))&gt;0)</f>
        <v>0</v>
      </c>
      <c r="X73" s="14" cm="1">
        <f t="array" ref="X73">INT(SUMPRODUCT(--ISNUMBER(SEARCH(voting,C73)))&gt;0)</f>
        <v>1</v>
      </c>
      <c r="Y73" s="14" cm="1">
        <f t="array" ref="Y73">INT(SUMPRODUCT(--ISNUMBER(SEARCH(democrattrigger,C73)))&gt;0)</f>
        <v>1</v>
      </c>
      <c r="Z73" s="14" cm="1">
        <f t="array" ref="Z73">INT(SUMPRODUCT(--ISNUMBER(SEARCH(bipartisan,C73)))&gt;0)</f>
        <v>0</v>
      </c>
      <c r="AA73" s="14">
        <f t="shared" si="1"/>
        <v>0</v>
      </c>
      <c r="AB73" s="14"/>
      <c r="AC73" s="30" t="s">
        <v>223</v>
      </c>
      <c r="AD73" s="37" t="s">
        <v>223</v>
      </c>
    </row>
    <row r="74" spans="1:30" x14ac:dyDescent="0.25">
      <c r="A74" s="36">
        <v>1059</v>
      </c>
      <c r="B74" s="14" t="s">
        <v>2145</v>
      </c>
      <c r="C74" s="14" t="s">
        <v>2146</v>
      </c>
      <c r="D74" s="18">
        <v>44126</v>
      </c>
      <c r="E74" s="14" t="s">
        <v>30</v>
      </c>
      <c r="F74" s="14">
        <v>1201</v>
      </c>
      <c r="G74" s="14">
        <v>275</v>
      </c>
      <c r="H74" s="14">
        <v>6</v>
      </c>
      <c r="I74" s="14">
        <v>3</v>
      </c>
      <c r="J74" s="14" t="s">
        <v>204</v>
      </c>
      <c r="K74" s="14" cm="1">
        <f t="array" ref="K74">INT(SUMPRODUCT(--ISNUMBER(SEARCH(economy,C74)))&gt;0)</f>
        <v>1</v>
      </c>
      <c r="L74" s="14" cm="1">
        <f t="array" ref="L74">INT(SUMPRODUCT(--ISNUMBER(SEARCH(healthcare,C74)))&gt;0)</f>
        <v>0</v>
      </c>
      <c r="M74" s="14" cm="1">
        <f t="array" ref="M74">INT(SUMPRODUCT(--ISNUMBER(SEARCH(supreme,C74)))&gt;0)</f>
        <v>0</v>
      </c>
      <c r="N74" s="14" cm="1">
        <f t="array" ref="N74">INT(SUMPRODUCT(--ISNUMBER(SEARCH(covid,C74)))&gt;0)</f>
        <v>0</v>
      </c>
      <c r="O74" s="14" cm="1">
        <f t="array" ref="O74">INT(SUMPRODUCT(--ISNUMBER(SEARCH(violent,C74)))&gt;0)</f>
        <v>0</v>
      </c>
      <c r="P74" s="14" cm="1">
        <f t="array" ref="P74">INT(SUMPRODUCT(--ISNUMBER(SEARCH(foreign,C74)))&gt;0)</f>
        <v>0</v>
      </c>
      <c r="Q74" s="14" cm="1">
        <f t="array" ref="Q74">INT(SUMPRODUCT(--ISNUMBER(SEARCH(gun,C74)))&gt;0)</f>
        <v>1</v>
      </c>
      <c r="R74" s="14" cm="1">
        <f t="array" ref="R74">INT(SUMPRODUCT(--ISNUMBER(SEARCH(race,C74)))&gt;0)</f>
        <v>0</v>
      </c>
      <c r="S74" s="14" cm="1">
        <f t="array" ref="S74">INT(SUMPRODUCT(--ISNUMBER(SEARCH(immigration,C74)))&gt;0)</f>
        <v>0</v>
      </c>
      <c r="T74" s="14" cm="1">
        <f t="array" ref="T74">INT(SUMPRODUCT(--ISNUMBER(SEARCH(econineq,C75)))&gt;0)</f>
        <v>0</v>
      </c>
      <c r="U74" s="14" cm="1">
        <f t="array" ref="U74">INT(SUMPRODUCT(--ISNUMBER(SEARCH(climate,C74)))&gt;0)</f>
        <v>0</v>
      </c>
      <c r="V74" s="14" cm="1">
        <f t="array" ref="V74">INT(SUMPRODUCT(--ISNUMBER(SEARCH(abortion,C74)))&gt;0)</f>
        <v>0</v>
      </c>
      <c r="W74" s="14" cm="1">
        <f t="array" ref="W74">INT(SUMPRODUCT(--ISNUMBER(SEARCH(trump,C74)))&gt;0)</f>
        <v>0</v>
      </c>
      <c r="X74" s="14" cm="1">
        <f t="array" ref="X74">INT(SUMPRODUCT(--ISNUMBER(SEARCH(voting,C74)))&gt;0)</f>
        <v>0</v>
      </c>
      <c r="Y74" s="14" cm="1">
        <f t="array" ref="Y74">INT(SUMPRODUCT(--ISNUMBER(SEARCH(democrattrigger,C74)))&gt;0)</f>
        <v>0</v>
      </c>
      <c r="Z74" s="14" cm="1">
        <f t="array" ref="Z74">INT(SUMPRODUCT(--ISNUMBER(SEARCH(bipartisan,C74)))&gt;0)</f>
        <v>0</v>
      </c>
      <c r="AA74" s="14">
        <f t="shared" si="1"/>
        <v>0</v>
      </c>
      <c r="AB74" s="14"/>
      <c r="AC74" s="30">
        <v>1</v>
      </c>
      <c r="AD74" s="37">
        <v>0</v>
      </c>
    </row>
    <row r="75" spans="1:30" x14ac:dyDescent="0.25">
      <c r="A75" s="36">
        <v>1060</v>
      </c>
      <c r="B75" s="14" t="s">
        <v>2147</v>
      </c>
      <c r="C75" s="14" t="s">
        <v>2148</v>
      </c>
      <c r="D75" s="18">
        <v>44126</v>
      </c>
      <c r="E75" s="14" t="s">
        <v>30</v>
      </c>
      <c r="F75" s="14">
        <v>704</v>
      </c>
      <c r="G75" s="14">
        <v>170</v>
      </c>
      <c r="H75" s="14">
        <v>6</v>
      </c>
      <c r="I75" s="14">
        <v>3</v>
      </c>
      <c r="J75" s="14" t="s">
        <v>204</v>
      </c>
      <c r="K75" s="14" cm="1">
        <f t="array" ref="K75">INT(SUMPRODUCT(--ISNUMBER(SEARCH(economy,C75)))&gt;0)</f>
        <v>0</v>
      </c>
      <c r="L75" s="14" cm="1">
        <f t="array" ref="L75">INT(SUMPRODUCT(--ISNUMBER(SEARCH(healthcare,C75)))&gt;0)</f>
        <v>0</v>
      </c>
      <c r="M75" s="14" cm="1">
        <f t="array" ref="M75">INT(SUMPRODUCT(--ISNUMBER(SEARCH(supreme,C75)))&gt;0)</f>
        <v>0</v>
      </c>
      <c r="N75" s="14" cm="1">
        <f t="array" ref="N75">INT(SUMPRODUCT(--ISNUMBER(SEARCH(covid,C75)))&gt;0)</f>
        <v>0</v>
      </c>
      <c r="O75" s="14" cm="1">
        <f t="array" ref="O75">INT(SUMPRODUCT(--ISNUMBER(SEARCH(violent,C75)))&gt;0)</f>
        <v>0</v>
      </c>
      <c r="P75" s="14" cm="1">
        <f t="array" ref="P75">INT(SUMPRODUCT(--ISNUMBER(SEARCH(foreign,C75)))&gt;0)</f>
        <v>0</v>
      </c>
      <c r="Q75" s="14" cm="1">
        <f t="array" ref="Q75">INT(SUMPRODUCT(--ISNUMBER(SEARCH(gun,C75)))&gt;0)</f>
        <v>0</v>
      </c>
      <c r="R75" s="14" cm="1">
        <f t="array" ref="R75">INT(SUMPRODUCT(--ISNUMBER(SEARCH(race,C75)))&gt;0)</f>
        <v>0</v>
      </c>
      <c r="S75" s="14" cm="1">
        <f t="array" ref="S75">INT(SUMPRODUCT(--ISNUMBER(SEARCH(immigration,C75)))&gt;0)</f>
        <v>0</v>
      </c>
      <c r="T75" s="14" cm="1">
        <f t="array" ref="T75">INT(SUMPRODUCT(--ISNUMBER(SEARCH(econineq,C76)))&gt;0)</f>
        <v>0</v>
      </c>
      <c r="U75" s="14" cm="1">
        <f t="array" ref="U75">INT(SUMPRODUCT(--ISNUMBER(SEARCH(climate,C75)))&gt;0)</f>
        <v>0</v>
      </c>
      <c r="V75" s="14" cm="1">
        <f t="array" ref="V75">INT(SUMPRODUCT(--ISNUMBER(SEARCH(abortion,C75)))&gt;0)</f>
        <v>0</v>
      </c>
      <c r="W75" s="14" cm="1">
        <f t="array" ref="W75">INT(SUMPRODUCT(--ISNUMBER(SEARCH(trump,C75)))&gt;0)</f>
        <v>0</v>
      </c>
      <c r="X75" s="14" cm="1">
        <f t="array" ref="X75">INT(SUMPRODUCT(--ISNUMBER(SEARCH(voting,C75)))&gt;0)</f>
        <v>0</v>
      </c>
      <c r="Y75" s="14" cm="1">
        <f t="array" ref="Y75">INT(SUMPRODUCT(--ISNUMBER(SEARCH(democrattrigger,C75)))&gt;0)</f>
        <v>0</v>
      </c>
      <c r="Z75" s="14" cm="1">
        <f t="array" ref="Z75">INT(SUMPRODUCT(--ISNUMBER(SEARCH(bipartisan,C75)))&gt;0)</f>
        <v>0</v>
      </c>
      <c r="AA75" s="14">
        <f t="shared" si="1"/>
        <v>1</v>
      </c>
      <c r="AB75" s="14"/>
      <c r="AC75" s="30">
        <v>1</v>
      </c>
      <c r="AD75" s="37">
        <v>0</v>
      </c>
    </row>
    <row r="76" spans="1:30" x14ac:dyDescent="0.25">
      <c r="A76" s="36">
        <v>1061</v>
      </c>
      <c r="B76" s="14" t="s">
        <v>2149</v>
      </c>
      <c r="C76" s="14" t="s">
        <v>2150</v>
      </c>
      <c r="D76" s="18">
        <v>44126</v>
      </c>
      <c r="E76" s="14" t="s">
        <v>30</v>
      </c>
      <c r="F76" s="14">
        <v>443</v>
      </c>
      <c r="G76" s="14">
        <v>121</v>
      </c>
      <c r="H76" s="14">
        <v>6</v>
      </c>
      <c r="I76" s="14">
        <v>3</v>
      </c>
      <c r="J76" s="14" t="s">
        <v>204</v>
      </c>
      <c r="K76" s="14" cm="1">
        <f t="array" ref="K76">INT(SUMPRODUCT(--ISNUMBER(SEARCH(economy,C76)))&gt;0)</f>
        <v>0</v>
      </c>
      <c r="L76" s="14" cm="1">
        <f t="array" ref="L76">INT(SUMPRODUCT(--ISNUMBER(SEARCH(healthcare,C76)))&gt;0)</f>
        <v>0</v>
      </c>
      <c r="M76" s="14" cm="1">
        <f t="array" ref="M76">INT(SUMPRODUCT(--ISNUMBER(SEARCH(supreme,C76)))&gt;0)</f>
        <v>0</v>
      </c>
      <c r="N76" s="14" cm="1">
        <f t="array" ref="N76">INT(SUMPRODUCT(--ISNUMBER(SEARCH(covid,C76)))&gt;0)</f>
        <v>0</v>
      </c>
      <c r="O76" s="14" cm="1">
        <f t="array" ref="O76">INT(SUMPRODUCT(--ISNUMBER(SEARCH(violent,C76)))&gt;0)</f>
        <v>0</v>
      </c>
      <c r="P76" s="14" cm="1">
        <f t="array" ref="P76">INT(SUMPRODUCT(--ISNUMBER(SEARCH(foreign,C76)))&gt;0)</f>
        <v>0</v>
      </c>
      <c r="Q76" s="14" cm="1">
        <f t="array" ref="Q76">INT(SUMPRODUCT(--ISNUMBER(SEARCH(gun,C76)))&gt;0)</f>
        <v>0</v>
      </c>
      <c r="R76" s="14" cm="1">
        <f t="array" ref="R76">INT(SUMPRODUCT(--ISNUMBER(SEARCH(race,C76)))&gt;0)</f>
        <v>0</v>
      </c>
      <c r="S76" s="14" cm="1">
        <f t="array" ref="S76">INT(SUMPRODUCT(--ISNUMBER(SEARCH(immigration,C76)))&gt;0)</f>
        <v>0</v>
      </c>
      <c r="T76" s="14" cm="1">
        <f t="array" ref="T76">INT(SUMPRODUCT(--ISNUMBER(SEARCH(econineq,C77)))&gt;0)</f>
        <v>0</v>
      </c>
      <c r="U76" s="14" cm="1">
        <f t="array" ref="U76">INT(SUMPRODUCT(--ISNUMBER(SEARCH(climate,C76)))&gt;0)</f>
        <v>0</v>
      </c>
      <c r="V76" s="14" cm="1">
        <f t="array" ref="V76">INT(SUMPRODUCT(--ISNUMBER(SEARCH(abortion,C76)))&gt;0)</f>
        <v>0</v>
      </c>
      <c r="W76" s="14" cm="1">
        <f t="array" ref="W76">INT(SUMPRODUCT(--ISNUMBER(SEARCH(trump,C76)))&gt;0)</f>
        <v>0</v>
      </c>
      <c r="X76" s="14" cm="1">
        <f t="array" ref="X76">INT(SUMPRODUCT(--ISNUMBER(SEARCH(voting,C76)))&gt;0)</f>
        <v>1</v>
      </c>
      <c r="Y76" s="14" cm="1">
        <f t="array" ref="Y76">INT(SUMPRODUCT(--ISNUMBER(SEARCH(democrattrigger,C76)))&gt;0)</f>
        <v>0</v>
      </c>
      <c r="Z76" s="14" cm="1">
        <f t="array" ref="Z76">INT(SUMPRODUCT(--ISNUMBER(SEARCH(bipartisan,C76)))&gt;0)</f>
        <v>0</v>
      </c>
      <c r="AA76" s="14">
        <f t="shared" si="1"/>
        <v>0</v>
      </c>
      <c r="AB76" s="14"/>
      <c r="AC76" s="30">
        <v>0</v>
      </c>
      <c r="AD76" s="37">
        <v>1</v>
      </c>
    </row>
    <row r="77" spans="1:30" x14ac:dyDescent="0.25">
      <c r="A77" s="36">
        <v>1062</v>
      </c>
      <c r="B77" s="14" t="s">
        <v>2151</v>
      </c>
      <c r="C77" s="14" t="s">
        <v>2152</v>
      </c>
      <c r="D77" s="18">
        <v>44126</v>
      </c>
      <c r="E77" s="14" t="s">
        <v>30</v>
      </c>
      <c r="F77" s="14">
        <v>1355</v>
      </c>
      <c r="G77" s="14">
        <v>262</v>
      </c>
      <c r="H77" s="14">
        <v>6</v>
      </c>
      <c r="I77" s="14">
        <v>3</v>
      </c>
      <c r="J77" s="14" t="s">
        <v>204</v>
      </c>
      <c r="K77" s="14" cm="1">
        <f t="array" ref="K77">INT(SUMPRODUCT(--ISNUMBER(SEARCH(economy,C77)))&gt;0)</f>
        <v>0</v>
      </c>
      <c r="L77" s="14" cm="1">
        <f t="array" ref="L77">INT(SUMPRODUCT(--ISNUMBER(SEARCH(healthcare,C77)))&gt;0)</f>
        <v>0</v>
      </c>
      <c r="M77" s="14" cm="1">
        <f t="array" ref="M77">INT(SUMPRODUCT(--ISNUMBER(SEARCH(supreme,C77)))&gt;0)</f>
        <v>0</v>
      </c>
      <c r="N77" s="14" cm="1">
        <f t="array" ref="N77">INT(SUMPRODUCT(--ISNUMBER(SEARCH(covid,C77)))&gt;0)</f>
        <v>0</v>
      </c>
      <c r="O77" s="14" cm="1">
        <f t="array" ref="O77">INT(SUMPRODUCT(--ISNUMBER(SEARCH(violent,C77)))&gt;0)</f>
        <v>0</v>
      </c>
      <c r="P77" s="14" cm="1">
        <f t="array" ref="P77">INT(SUMPRODUCT(--ISNUMBER(SEARCH(foreign,C77)))&gt;0)</f>
        <v>1</v>
      </c>
      <c r="Q77" s="14" cm="1">
        <f t="array" ref="Q77">INT(SUMPRODUCT(--ISNUMBER(SEARCH(gun,C77)))&gt;0)</f>
        <v>0</v>
      </c>
      <c r="R77" s="14" cm="1">
        <f t="array" ref="R77">INT(SUMPRODUCT(--ISNUMBER(SEARCH(race,C77)))&gt;0)</f>
        <v>0</v>
      </c>
      <c r="S77" s="14" cm="1">
        <f t="array" ref="S77">INT(SUMPRODUCT(--ISNUMBER(SEARCH(immigration,C77)))&gt;0)</f>
        <v>0</v>
      </c>
      <c r="T77" s="14" cm="1">
        <f t="array" ref="T77">INT(SUMPRODUCT(--ISNUMBER(SEARCH(econineq,C78)))&gt;0)</f>
        <v>0</v>
      </c>
      <c r="U77" s="14" cm="1">
        <f t="array" ref="U77">INT(SUMPRODUCT(--ISNUMBER(SEARCH(climate,C77)))&gt;0)</f>
        <v>0</v>
      </c>
      <c r="V77" s="14" cm="1">
        <f t="array" ref="V77">INT(SUMPRODUCT(--ISNUMBER(SEARCH(abortion,C77)))&gt;0)</f>
        <v>0</v>
      </c>
      <c r="W77" s="14" cm="1">
        <f t="array" ref="W77">INT(SUMPRODUCT(--ISNUMBER(SEARCH(trump,C77)))&gt;0)</f>
        <v>0</v>
      </c>
      <c r="X77" s="14" cm="1">
        <f t="array" ref="X77">INT(SUMPRODUCT(--ISNUMBER(SEARCH(voting,C77)))&gt;0)</f>
        <v>1</v>
      </c>
      <c r="Y77" s="14" cm="1">
        <f t="array" ref="Y77">INT(SUMPRODUCT(--ISNUMBER(SEARCH(democrattrigger,C77)))&gt;0)</f>
        <v>0</v>
      </c>
      <c r="Z77" s="14" cm="1">
        <f t="array" ref="Z77">INT(SUMPRODUCT(--ISNUMBER(SEARCH(bipartisan,C77)))&gt;0)</f>
        <v>0</v>
      </c>
      <c r="AA77" s="14">
        <f t="shared" si="1"/>
        <v>0</v>
      </c>
      <c r="AB77" s="14"/>
      <c r="AC77" s="30">
        <v>1</v>
      </c>
      <c r="AD77" s="37">
        <v>0</v>
      </c>
    </row>
    <row r="78" spans="1:30" x14ac:dyDescent="0.25">
      <c r="A78" s="36">
        <v>1063</v>
      </c>
      <c r="B78" s="14" t="s">
        <v>2153</v>
      </c>
      <c r="C78" s="14" t="s">
        <v>2154</v>
      </c>
      <c r="D78" s="18">
        <v>44125</v>
      </c>
      <c r="E78" s="14" t="s">
        <v>30</v>
      </c>
      <c r="F78" s="14">
        <v>1171</v>
      </c>
      <c r="G78" s="14">
        <v>369</v>
      </c>
      <c r="H78" s="14">
        <v>6</v>
      </c>
      <c r="I78" s="14">
        <v>3</v>
      </c>
      <c r="J78" s="14" t="s">
        <v>204</v>
      </c>
      <c r="K78" s="14" cm="1">
        <f t="array" ref="K78">INT(SUMPRODUCT(--ISNUMBER(SEARCH(economy,C78)))&gt;0)</f>
        <v>0</v>
      </c>
      <c r="L78" s="14" cm="1">
        <f t="array" ref="L78">INT(SUMPRODUCT(--ISNUMBER(SEARCH(healthcare,C78)))&gt;0)</f>
        <v>0</v>
      </c>
      <c r="M78" s="14" cm="1">
        <f t="array" ref="M78">INT(SUMPRODUCT(--ISNUMBER(SEARCH(supreme,C78)))&gt;0)</f>
        <v>0</v>
      </c>
      <c r="N78" s="14" cm="1">
        <f t="array" ref="N78">INT(SUMPRODUCT(--ISNUMBER(SEARCH(covid,C78)))&gt;0)</f>
        <v>0</v>
      </c>
      <c r="O78" s="14" cm="1">
        <f t="array" ref="O78">INT(SUMPRODUCT(--ISNUMBER(SEARCH(violent,C78)))&gt;0)</f>
        <v>0</v>
      </c>
      <c r="P78" s="14" cm="1">
        <f t="array" ref="P78">INT(SUMPRODUCT(--ISNUMBER(SEARCH(foreign,C78)))&gt;0)</f>
        <v>0</v>
      </c>
      <c r="Q78" s="14" cm="1">
        <f t="array" ref="Q78">INT(SUMPRODUCT(--ISNUMBER(SEARCH(gun,C78)))&gt;0)</f>
        <v>0</v>
      </c>
      <c r="R78" s="14" cm="1">
        <f t="array" ref="R78">INT(SUMPRODUCT(--ISNUMBER(SEARCH(race,C78)))&gt;0)</f>
        <v>0</v>
      </c>
      <c r="S78" s="14" cm="1">
        <f t="array" ref="S78">INT(SUMPRODUCT(--ISNUMBER(SEARCH(immigration,C78)))&gt;0)</f>
        <v>0</v>
      </c>
      <c r="T78" s="14" cm="1">
        <f t="array" ref="T78">INT(SUMPRODUCT(--ISNUMBER(SEARCH(econineq,C79)))&gt;0)</f>
        <v>0</v>
      </c>
      <c r="U78" s="14" cm="1">
        <f t="array" ref="U78">INT(SUMPRODUCT(--ISNUMBER(SEARCH(climate,C78)))&gt;0)</f>
        <v>0</v>
      </c>
      <c r="V78" s="14" cm="1">
        <f t="array" ref="V78">INT(SUMPRODUCT(--ISNUMBER(SEARCH(abortion,C78)))&gt;0)</f>
        <v>0</v>
      </c>
      <c r="W78" s="14" cm="1">
        <f t="array" ref="W78">INT(SUMPRODUCT(--ISNUMBER(SEARCH(trump,C78)))&gt;0)</f>
        <v>0</v>
      </c>
      <c r="X78" s="14" cm="1">
        <f t="array" ref="X78">INT(SUMPRODUCT(--ISNUMBER(SEARCH(voting,C78)))&gt;0)</f>
        <v>0</v>
      </c>
      <c r="Y78" s="14" cm="1">
        <f t="array" ref="Y78">INT(SUMPRODUCT(--ISNUMBER(SEARCH(democrattrigger,C78)))&gt;0)</f>
        <v>0</v>
      </c>
      <c r="Z78" s="14" cm="1">
        <f t="array" ref="Z78">INT(SUMPRODUCT(--ISNUMBER(SEARCH(bipartisan,C78)))&gt;0)</f>
        <v>0</v>
      </c>
      <c r="AA78" s="14">
        <f t="shared" si="1"/>
        <v>1</v>
      </c>
      <c r="AB78" s="14"/>
      <c r="AC78" s="30">
        <v>0</v>
      </c>
      <c r="AD78" s="37">
        <v>1</v>
      </c>
    </row>
    <row r="79" spans="1:30" x14ac:dyDescent="0.25">
      <c r="A79" s="36">
        <v>1064</v>
      </c>
      <c r="B79" s="14" t="s">
        <v>2155</v>
      </c>
      <c r="C79" s="14" t="s">
        <v>2156</v>
      </c>
      <c r="D79" s="18">
        <v>44125</v>
      </c>
      <c r="E79" s="14" t="s">
        <v>30</v>
      </c>
      <c r="F79" s="14">
        <v>436</v>
      </c>
      <c r="G79" s="14">
        <v>130</v>
      </c>
      <c r="H79" s="14">
        <v>6</v>
      </c>
      <c r="I79" s="14">
        <v>3</v>
      </c>
      <c r="J79" s="14" t="s">
        <v>204</v>
      </c>
      <c r="K79" s="14" cm="1">
        <f t="array" ref="K79">INT(SUMPRODUCT(--ISNUMBER(SEARCH(economy,C79)))&gt;0)</f>
        <v>0</v>
      </c>
      <c r="L79" s="14" cm="1">
        <f t="array" ref="L79">INT(SUMPRODUCT(--ISNUMBER(SEARCH(healthcare,C79)))&gt;0)</f>
        <v>0</v>
      </c>
      <c r="M79" s="14" cm="1">
        <f t="array" ref="M79">INT(SUMPRODUCT(--ISNUMBER(SEARCH(supreme,C79)))&gt;0)</f>
        <v>0</v>
      </c>
      <c r="N79" s="14" cm="1">
        <f t="array" ref="N79">INT(SUMPRODUCT(--ISNUMBER(SEARCH(covid,C79)))&gt;0)</f>
        <v>0</v>
      </c>
      <c r="O79" s="14" cm="1">
        <f t="array" ref="O79">INT(SUMPRODUCT(--ISNUMBER(SEARCH(violent,C79)))&gt;0)</f>
        <v>0</v>
      </c>
      <c r="P79" s="14" cm="1">
        <f t="array" ref="P79">INT(SUMPRODUCT(--ISNUMBER(SEARCH(foreign,C79)))&gt;0)</f>
        <v>0</v>
      </c>
      <c r="Q79" s="14" cm="1">
        <f t="array" ref="Q79">INT(SUMPRODUCT(--ISNUMBER(SEARCH(gun,C79)))&gt;0)</f>
        <v>0</v>
      </c>
      <c r="R79" s="14" cm="1">
        <f t="array" ref="R79">INT(SUMPRODUCT(--ISNUMBER(SEARCH(race,C79)))&gt;0)</f>
        <v>0</v>
      </c>
      <c r="S79" s="14" cm="1">
        <f t="array" ref="S79">INT(SUMPRODUCT(--ISNUMBER(SEARCH(immigration,C79)))&gt;0)</f>
        <v>0</v>
      </c>
      <c r="T79" s="14" cm="1">
        <f t="array" ref="T79">INT(SUMPRODUCT(--ISNUMBER(SEARCH(econineq,C80)))&gt;0)</f>
        <v>0</v>
      </c>
      <c r="U79" s="14" cm="1">
        <f t="array" ref="U79">INT(SUMPRODUCT(--ISNUMBER(SEARCH(climate,C79)))&gt;0)</f>
        <v>1</v>
      </c>
      <c r="V79" s="14" cm="1">
        <f t="array" ref="V79">INT(SUMPRODUCT(--ISNUMBER(SEARCH(abortion,C79)))&gt;0)</f>
        <v>0</v>
      </c>
      <c r="W79" s="14" cm="1">
        <f t="array" ref="W79">INT(SUMPRODUCT(--ISNUMBER(SEARCH(trump,C79)))&gt;0)</f>
        <v>0</v>
      </c>
      <c r="X79" s="14" cm="1">
        <f t="array" ref="X79">INT(SUMPRODUCT(--ISNUMBER(SEARCH(voting,C79)))&gt;0)</f>
        <v>0</v>
      </c>
      <c r="Y79" s="14" cm="1">
        <f t="array" ref="Y79">INT(SUMPRODUCT(--ISNUMBER(SEARCH(democrattrigger,C79)))&gt;0)</f>
        <v>0</v>
      </c>
      <c r="Z79" s="14" cm="1">
        <f t="array" ref="Z79">INT(SUMPRODUCT(--ISNUMBER(SEARCH(bipartisan,C79)))&gt;0)</f>
        <v>0</v>
      </c>
      <c r="AA79" s="14">
        <f t="shared" si="1"/>
        <v>0</v>
      </c>
      <c r="AB79" s="14"/>
      <c r="AC79" s="30" t="s">
        <v>223</v>
      </c>
      <c r="AD79" s="37" t="s">
        <v>223</v>
      </c>
    </row>
    <row r="80" spans="1:30" x14ac:dyDescent="0.25">
      <c r="A80" s="36">
        <v>1065</v>
      </c>
      <c r="B80" s="14" t="s">
        <v>2157</v>
      </c>
      <c r="C80" s="14" t="s">
        <v>2158</v>
      </c>
      <c r="D80" s="18">
        <v>44125</v>
      </c>
      <c r="E80" s="14" t="s">
        <v>30</v>
      </c>
      <c r="F80" s="14">
        <v>1463</v>
      </c>
      <c r="G80" s="14">
        <v>467</v>
      </c>
      <c r="H80" s="14">
        <v>6</v>
      </c>
      <c r="I80" s="14">
        <v>3</v>
      </c>
      <c r="J80" s="14" t="s">
        <v>204</v>
      </c>
      <c r="K80" s="14" cm="1">
        <f t="array" ref="K80">INT(SUMPRODUCT(--ISNUMBER(SEARCH(economy,C80)))&gt;0)</f>
        <v>0</v>
      </c>
      <c r="L80" s="14" cm="1">
        <f t="array" ref="L80">INT(SUMPRODUCT(--ISNUMBER(SEARCH(healthcare,C80)))&gt;0)</f>
        <v>0</v>
      </c>
      <c r="M80" s="14" cm="1">
        <f t="array" ref="M80">INT(SUMPRODUCT(--ISNUMBER(SEARCH(supreme,C80)))&gt;0)</f>
        <v>0</v>
      </c>
      <c r="N80" s="14" cm="1">
        <f t="array" ref="N80">INT(SUMPRODUCT(--ISNUMBER(SEARCH(covid,C80)))&gt;0)</f>
        <v>0</v>
      </c>
      <c r="O80" s="14" cm="1">
        <f t="array" ref="O80">INT(SUMPRODUCT(--ISNUMBER(SEARCH(violent,C80)))&gt;0)</f>
        <v>0</v>
      </c>
      <c r="P80" s="14" cm="1">
        <f t="array" ref="P80">INT(SUMPRODUCT(--ISNUMBER(SEARCH(foreign,C80)))&gt;0)</f>
        <v>0</v>
      </c>
      <c r="Q80" s="14" cm="1">
        <f t="array" ref="Q80">INT(SUMPRODUCT(--ISNUMBER(SEARCH(gun,C80)))&gt;0)</f>
        <v>0</v>
      </c>
      <c r="R80" s="14" cm="1">
        <f t="array" ref="R80">INT(SUMPRODUCT(--ISNUMBER(SEARCH(race,C80)))&gt;0)</f>
        <v>0</v>
      </c>
      <c r="S80" s="14" cm="1">
        <f t="array" ref="S80">INT(SUMPRODUCT(--ISNUMBER(SEARCH(immigration,C80)))&gt;0)</f>
        <v>0</v>
      </c>
      <c r="T80" s="14" cm="1">
        <f t="array" ref="T80">INT(SUMPRODUCT(--ISNUMBER(SEARCH(econineq,C81)))&gt;0)</f>
        <v>0</v>
      </c>
      <c r="U80" s="14" cm="1">
        <f t="array" ref="U80">INT(SUMPRODUCT(--ISNUMBER(SEARCH(climate,C80)))&gt;0)</f>
        <v>1</v>
      </c>
      <c r="V80" s="14" cm="1">
        <f t="array" ref="V80">INT(SUMPRODUCT(--ISNUMBER(SEARCH(abortion,C80)))&gt;0)</f>
        <v>0</v>
      </c>
      <c r="W80" s="14" cm="1">
        <f t="array" ref="W80">INT(SUMPRODUCT(--ISNUMBER(SEARCH(trump,C80)))&gt;0)</f>
        <v>0</v>
      </c>
      <c r="X80" s="14" cm="1">
        <f t="array" ref="X80">INT(SUMPRODUCT(--ISNUMBER(SEARCH(voting,C80)))&gt;0)</f>
        <v>1</v>
      </c>
      <c r="Y80" s="14" cm="1">
        <f t="array" ref="Y80">INT(SUMPRODUCT(--ISNUMBER(SEARCH(democrattrigger,C80)))&gt;0)</f>
        <v>1</v>
      </c>
      <c r="Z80" s="14" cm="1">
        <f t="array" ref="Z80">INT(SUMPRODUCT(--ISNUMBER(SEARCH(bipartisan,C80)))&gt;0)</f>
        <v>0</v>
      </c>
      <c r="AA80" s="14">
        <f t="shared" si="1"/>
        <v>0</v>
      </c>
      <c r="AB80" s="14"/>
      <c r="AC80" s="30">
        <v>0</v>
      </c>
      <c r="AD80" s="37">
        <v>1</v>
      </c>
    </row>
    <row r="81" spans="1:30" x14ac:dyDescent="0.25">
      <c r="A81" s="36">
        <v>1066</v>
      </c>
      <c r="B81" s="14" t="s">
        <v>2159</v>
      </c>
      <c r="C81" s="14" t="s">
        <v>2160</v>
      </c>
      <c r="D81" s="18">
        <v>44125</v>
      </c>
      <c r="E81" s="14" t="s">
        <v>30</v>
      </c>
      <c r="F81" s="14">
        <v>2507</v>
      </c>
      <c r="G81" s="14">
        <v>984</v>
      </c>
      <c r="H81" s="14">
        <v>6</v>
      </c>
      <c r="I81" s="14">
        <v>3</v>
      </c>
      <c r="J81" s="14" t="s">
        <v>204</v>
      </c>
      <c r="K81" s="14" cm="1">
        <f t="array" ref="K81">INT(SUMPRODUCT(--ISNUMBER(SEARCH(economy,C81)))&gt;0)</f>
        <v>0</v>
      </c>
      <c r="L81" s="14" cm="1">
        <f t="array" ref="L81">INT(SUMPRODUCT(--ISNUMBER(SEARCH(healthcare,C81)))&gt;0)</f>
        <v>0</v>
      </c>
      <c r="M81" s="14" cm="1">
        <f t="array" ref="M81">INT(SUMPRODUCT(--ISNUMBER(SEARCH(supreme,C81)))&gt;0)</f>
        <v>0</v>
      </c>
      <c r="N81" s="14" cm="1">
        <f t="array" ref="N81">INT(SUMPRODUCT(--ISNUMBER(SEARCH(covid,C81)))&gt;0)</f>
        <v>0</v>
      </c>
      <c r="O81" s="14" cm="1">
        <f t="array" ref="O81">INT(SUMPRODUCT(--ISNUMBER(SEARCH(violent,C81)))&gt;0)</f>
        <v>0</v>
      </c>
      <c r="P81" s="14" cm="1">
        <f t="array" ref="P81">INT(SUMPRODUCT(--ISNUMBER(SEARCH(foreign,C81)))&gt;0)</f>
        <v>0</v>
      </c>
      <c r="Q81" s="14" cm="1">
        <f t="array" ref="Q81">INT(SUMPRODUCT(--ISNUMBER(SEARCH(gun,C81)))&gt;0)</f>
        <v>0</v>
      </c>
      <c r="R81" s="14" cm="1">
        <f t="array" ref="R81">INT(SUMPRODUCT(--ISNUMBER(SEARCH(race,C81)))&gt;0)</f>
        <v>0</v>
      </c>
      <c r="S81" s="14" cm="1">
        <f t="array" ref="S81">INT(SUMPRODUCT(--ISNUMBER(SEARCH(immigration,C81)))&gt;0)</f>
        <v>0</v>
      </c>
      <c r="T81" s="14" cm="1">
        <f t="array" ref="T81">INT(SUMPRODUCT(--ISNUMBER(SEARCH(econineq,C82)))&gt;0)</f>
        <v>0</v>
      </c>
      <c r="U81" s="14" cm="1">
        <f t="array" ref="U81">INT(SUMPRODUCT(--ISNUMBER(SEARCH(climate,C81)))&gt;0)</f>
        <v>0</v>
      </c>
      <c r="V81" s="14" cm="1">
        <f t="array" ref="V81">INT(SUMPRODUCT(--ISNUMBER(SEARCH(abortion,C81)))&gt;0)</f>
        <v>0</v>
      </c>
      <c r="W81" s="14" cm="1">
        <f t="array" ref="W81">INT(SUMPRODUCT(--ISNUMBER(SEARCH(trump,C81)))&gt;0)</f>
        <v>0</v>
      </c>
      <c r="X81" s="14" cm="1">
        <f t="array" ref="X81">INT(SUMPRODUCT(--ISNUMBER(SEARCH(voting,C81)))&gt;0)</f>
        <v>0</v>
      </c>
      <c r="Y81" s="14" cm="1">
        <f t="array" ref="Y81">INT(SUMPRODUCT(--ISNUMBER(SEARCH(democrattrigger,C81)))&gt;0)</f>
        <v>0</v>
      </c>
      <c r="Z81" s="14" cm="1">
        <f t="array" ref="Z81">INT(SUMPRODUCT(--ISNUMBER(SEARCH(bipartisan,C81)))&gt;0)</f>
        <v>0</v>
      </c>
      <c r="AA81" s="14">
        <f t="shared" si="1"/>
        <v>1</v>
      </c>
      <c r="AB81" s="14"/>
      <c r="AC81" s="30">
        <v>1</v>
      </c>
      <c r="AD81" s="37">
        <v>0</v>
      </c>
    </row>
    <row r="82" spans="1:30" x14ac:dyDescent="0.25">
      <c r="A82" s="36">
        <v>1067</v>
      </c>
      <c r="B82" s="14" t="s">
        <v>2161</v>
      </c>
      <c r="C82" s="14" t="s">
        <v>2162</v>
      </c>
      <c r="D82" s="18">
        <v>44125</v>
      </c>
      <c r="E82" s="14" t="s">
        <v>30</v>
      </c>
      <c r="F82" s="14">
        <v>595</v>
      </c>
      <c r="G82" s="14">
        <v>191</v>
      </c>
      <c r="H82" s="14">
        <v>6</v>
      </c>
      <c r="I82" s="14">
        <v>3</v>
      </c>
      <c r="J82" s="14" t="s">
        <v>204</v>
      </c>
      <c r="K82" s="14" cm="1">
        <f t="array" ref="K82">INT(SUMPRODUCT(--ISNUMBER(SEARCH(economy,C82)))&gt;0)</f>
        <v>0</v>
      </c>
      <c r="L82" s="14" cm="1">
        <f t="array" ref="L82">INT(SUMPRODUCT(--ISNUMBER(SEARCH(healthcare,C82)))&gt;0)</f>
        <v>0</v>
      </c>
      <c r="M82" s="14" cm="1">
        <f t="array" ref="M82">INT(SUMPRODUCT(--ISNUMBER(SEARCH(supreme,C82)))&gt;0)</f>
        <v>0</v>
      </c>
      <c r="N82" s="14" cm="1">
        <f t="array" ref="N82">INT(SUMPRODUCT(--ISNUMBER(SEARCH(covid,C82)))&gt;0)</f>
        <v>0</v>
      </c>
      <c r="O82" s="14" cm="1">
        <f t="array" ref="O82">INT(SUMPRODUCT(--ISNUMBER(SEARCH(violent,C82)))&gt;0)</f>
        <v>0</v>
      </c>
      <c r="P82" s="14" cm="1">
        <f t="array" ref="P82">INT(SUMPRODUCT(--ISNUMBER(SEARCH(foreign,C82)))&gt;0)</f>
        <v>0</v>
      </c>
      <c r="Q82" s="14" cm="1">
        <f t="array" ref="Q82">INT(SUMPRODUCT(--ISNUMBER(SEARCH(gun,C82)))&gt;0)</f>
        <v>1</v>
      </c>
      <c r="R82" s="14" cm="1">
        <f t="array" ref="R82">INT(SUMPRODUCT(--ISNUMBER(SEARCH(race,C82)))&gt;0)</f>
        <v>0</v>
      </c>
      <c r="S82" s="14" cm="1">
        <f t="array" ref="S82">INT(SUMPRODUCT(--ISNUMBER(SEARCH(immigration,C82)))&gt;0)</f>
        <v>0</v>
      </c>
      <c r="T82" s="14" cm="1">
        <f t="array" ref="T82">INT(SUMPRODUCT(--ISNUMBER(SEARCH(econineq,C83)))&gt;0)</f>
        <v>0</v>
      </c>
      <c r="U82" s="14" cm="1">
        <f t="array" ref="U82">INT(SUMPRODUCT(--ISNUMBER(SEARCH(climate,C82)))&gt;0)</f>
        <v>0</v>
      </c>
      <c r="V82" s="14" cm="1">
        <f t="array" ref="V82">INT(SUMPRODUCT(--ISNUMBER(SEARCH(abortion,C82)))&gt;0)</f>
        <v>0</v>
      </c>
      <c r="W82" s="14" cm="1">
        <f t="array" ref="W82">INT(SUMPRODUCT(--ISNUMBER(SEARCH(trump,C82)))&gt;0)</f>
        <v>0</v>
      </c>
      <c r="X82" s="14" cm="1">
        <f t="array" ref="X82">INT(SUMPRODUCT(--ISNUMBER(SEARCH(voting,C82)))&gt;0)</f>
        <v>0</v>
      </c>
      <c r="Y82" s="14" cm="1">
        <f t="array" ref="Y82">INT(SUMPRODUCT(--ISNUMBER(SEARCH(democrattrigger,C82)))&gt;0)</f>
        <v>0</v>
      </c>
      <c r="Z82" s="14" cm="1">
        <f t="array" ref="Z82">INT(SUMPRODUCT(--ISNUMBER(SEARCH(bipartisan,C82)))&gt;0)</f>
        <v>0</v>
      </c>
      <c r="AA82" s="14">
        <f t="shared" si="1"/>
        <v>0</v>
      </c>
      <c r="AB82" s="14"/>
      <c r="AC82" s="30">
        <v>1</v>
      </c>
      <c r="AD82" s="37">
        <v>0</v>
      </c>
    </row>
    <row r="83" spans="1:30" x14ac:dyDescent="0.25">
      <c r="A83" s="36">
        <v>1068</v>
      </c>
      <c r="B83" s="14" t="s">
        <v>2163</v>
      </c>
      <c r="C83" s="14" t="s">
        <v>2164</v>
      </c>
      <c r="D83" s="18">
        <v>44125</v>
      </c>
      <c r="E83" s="14" t="s">
        <v>30</v>
      </c>
      <c r="F83" s="14">
        <v>6637</v>
      </c>
      <c r="G83" s="14">
        <v>1496</v>
      </c>
      <c r="H83" s="14">
        <v>6</v>
      </c>
      <c r="I83" s="14">
        <v>3</v>
      </c>
      <c r="J83" s="14" t="s">
        <v>204</v>
      </c>
      <c r="K83" s="14" cm="1">
        <f t="array" ref="K83">INT(SUMPRODUCT(--ISNUMBER(SEARCH(economy,C83)))&gt;0)</f>
        <v>0</v>
      </c>
      <c r="L83" s="14" cm="1">
        <f t="array" ref="L83">INT(SUMPRODUCT(--ISNUMBER(SEARCH(healthcare,C83)))&gt;0)</f>
        <v>1</v>
      </c>
      <c r="M83" s="14" cm="1">
        <f t="array" ref="M83">INT(SUMPRODUCT(--ISNUMBER(SEARCH(supreme,C83)))&gt;0)</f>
        <v>0</v>
      </c>
      <c r="N83" s="14" cm="1">
        <f t="array" ref="N83">INT(SUMPRODUCT(--ISNUMBER(SEARCH(covid,C83)))&gt;0)</f>
        <v>0</v>
      </c>
      <c r="O83" s="14" cm="1">
        <f t="array" ref="O83">INT(SUMPRODUCT(--ISNUMBER(SEARCH(violent,C83)))&gt;0)</f>
        <v>0</v>
      </c>
      <c r="P83" s="14" cm="1">
        <f t="array" ref="P83">INT(SUMPRODUCT(--ISNUMBER(SEARCH(foreign,C83)))&gt;0)</f>
        <v>0</v>
      </c>
      <c r="Q83" s="14" cm="1">
        <f t="array" ref="Q83">INT(SUMPRODUCT(--ISNUMBER(SEARCH(gun,C83)))&gt;0)</f>
        <v>0</v>
      </c>
      <c r="R83" s="14" cm="1">
        <f t="array" ref="R83">INT(SUMPRODUCT(--ISNUMBER(SEARCH(race,C83)))&gt;0)</f>
        <v>0</v>
      </c>
      <c r="S83" s="14" cm="1">
        <f t="array" ref="S83">INT(SUMPRODUCT(--ISNUMBER(SEARCH(immigration,C83)))&gt;0)</f>
        <v>0</v>
      </c>
      <c r="T83" s="14" cm="1">
        <f t="array" ref="T83">INT(SUMPRODUCT(--ISNUMBER(SEARCH(econineq,C84)))&gt;0)</f>
        <v>0</v>
      </c>
      <c r="U83" s="14" cm="1">
        <f t="array" ref="U83">INT(SUMPRODUCT(--ISNUMBER(SEARCH(climate,C83)))&gt;0)</f>
        <v>0</v>
      </c>
      <c r="V83" s="14" cm="1">
        <f t="array" ref="V83">INT(SUMPRODUCT(--ISNUMBER(SEARCH(abortion,C83)))&gt;0)</f>
        <v>0</v>
      </c>
      <c r="W83" s="14" cm="1">
        <f t="array" ref="W83">INT(SUMPRODUCT(--ISNUMBER(SEARCH(trump,C83)))&gt;0)</f>
        <v>0</v>
      </c>
      <c r="X83" s="14" cm="1">
        <f t="array" ref="X83">INT(SUMPRODUCT(--ISNUMBER(SEARCH(voting,C83)))&gt;0)</f>
        <v>0</v>
      </c>
      <c r="Y83" s="14" cm="1">
        <f t="array" ref="Y83">INT(SUMPRODUCT(--ISNUMBER(SEARCH(democrattrigger,C83)))&gt;0)</f>
        <v>1</v>
      </c>
      <c r="Z83" s="14" cm="1">
        <f t="array" ref="Z83">INT(SUMPRODUCT(--ISNUMBER(SEARCH(bipartisan,C83)))&gt;0)</f>
        <v>0</v>
      </c>
      <c r="AA83" s="14">
        <f t="shared" si="1"/>
        <v>0</v>
      </c>
      <c r="AB83" s="14"/>
      <c r="AC83" s="30" t="s">
        <v>223</v>
      </c>
      <c r="AD83" s="37" t="s">
        <v>223</v>
      </c>
    </row>
    <row r="84" spans="1:30" x14ac:dyDescent="0.25">
      <c r="A84" s="36">
        <v>1069</v>
      </c>
      <c r="B84" s="14" t="s">
        <v>2165</v>
      </c>
      <c r="C84" s="14" t="s">
        <v>2166</v>
      </c>
      <c r="D84" s="18">
        <v>44125</v>
      </c>
      <c r="E84" s="14" t="s">
        <v>30</v>
      </c>
      <c r="F84" s="14">
        <v>1249</v>
      </c>
      <c r="G84" s="14">
        <v>166</v>
      </c>
      <c r="H84" s="14">
        <v>6</v>
      </c>
      <c r="I84" s="14">
        <v>3</v>
      </c>
      <c r="J84" s="14" t="s">
        <v>204</v>
      </c>
      <c r="K84" s="14" cm="1">
        <f t="array" ref="K84">INT(SUMPRODUCT(--ISNUMBER(SEARCH(economy,C84)))&gt;0)</f>
        <v>0</v>
      </c>
      <c r="L84" s="14" cm="1">
        <f t="array" ref="L84">INT(SUMPRODUCT(--ISNUMBER(SEARCH(healthcare,C84)))&gt;0)</f>
        <v>0</v>
      </c>
      <c r="M84" s="14" cm="1">
        <f t="array" ref="M84">INT(SUMPRODUCT(--ISNUMBER(SEARCH(supreme,C84)))&gt;0)</f>
        <v>0</v>
      </c>
      <c r="N84" s="14" cm="1">
        <f t="array" ref="N84">INT(SUMPRODUCT(--ISNUMBER(SEARCH(covid,C84)))&gt;0)</f>
        <v>0</v>
      </c>
      <c r="O84" s="14" cm="1">
        <f t="array" ref="O84">INT(SUMPRODUCT(--ISNUMBER(SEARCH(violent,C84)))&gt;0)</f>
        <v>0</v>
      </c>
      <c r="P84" s="14" cm="1">
        <f t="array" ref="P84">INT(SUMPRODUCT(--ISNUMBER(SEARCH(foreign,C84)))&gt;0)</f>
        <v>0</v>
      </c>
      <c r="Q84" s="14" cm="1">
        <f t="array" ref="Q84">INT(SUMPRODUCT(--ISNUMBER(SEARCH(gun,C84)))&gt;0)</f>
        <v>0</v>
      </c>
      <c r="R84" s="14" cm="1">
        <f t="array" ref="R84">INT(SUMPRODUCT(--ISNUMBER(SEARCH(race,C84)))&gt;0)</f>
        <v>0</v>
      </c>
      <c r="S84" s="14" cm="1">
        <f t="array" ref="S84">INT(SUMPRODUCT(--ISNUMBER(SEARCH(immigration,C84)))&gt;0)</f>
        <v>0</v>
      </c>
      <c r="T84" s="14" cm="1">
        <f t="array" ref="T84">INT(SUMPRODUCT(--ISNUMBER(SEARCH(econineq,C85)))&gt;0)</f>
        <v>0</v>
      </c>
      <c r="U84" s="14" cm="1">
        <f t="array" ref="U84">INT(SUMPRODUCT(--ISNUMBER(SEARCH(climate,C84)))&gt;0)</f>
        <v>0</v>
      </c>
      <c r="V84" s="14" cm="1">
        <f t="array" ref="V84">INT(SUMPRODUCT(--ISNUMBER(SEARCH(abortion,C84)))&gt;0)</f>
        <v>0</v>
      </c>
      <c r="W84" s="14" cm="1">
        <f t="array" ref="W84">INT(SUMPRODUCT(--ISNUMBER(SEARCH(trump,C84)))&gt;0)</f>
        <v>0</v>
      </c>
      <c r="X84" s="14" cm="1">
        <f t="array" ref="X84">INT(SUMPRODUCT(--ISNUMBER(SEARCH(voting,C84)))&gt;0)</f>
        <v>0</v>
      </c>
      <c r="Y84" s="14" cm="1">
        <f t="array" ref="Y84">INT(SUMPRODUCT(--ISNUMBER(SEARCH(democrattrigger,C84)))&gt;0)</f>
        <v>0</v>
      </c>
      <c r="Z84" s="14" cm="1">
        <f t="array" ref="Z84">INT(SUMPRODUCT(--ISNUMBER(SEARCH(bipartisan,C84)))&gt;0)</f>
        <v>0</v>
      </c>
      <c r="AA84" s="14">
        <f t="shared" si="1"/>
        <v>1</v>
      </c>
      <c r="AB84" s="14"/>
      <c r="AC84" s="30">
        <v>1</v>
      </c>
      <c r="AD84" s="37">
        <v>0</v>
      </c>
    </row>
    <row r="85" spans="1:30" x14ac:dyDescent="0.25">
      <c r="A85" s="36">
        <v>1070</v>
      </c>
      <c r="B85" s="14" t="s">
        <v>2167</v>
      </c>
      <c r="C85" s="14" t="s">
        <v>2168</v>
      </c>
      <c r="D85" s="18">
        <v>44124</v>
      </c>
      <c r="E85" s="14" t="s">
        <v>30</v>
      </c>
      <c r="F85" s="14">
        <v>1422</v>
      </c>
      <c r="G85" s="14">
        <v>300</v>
      </c>
      <c r="H85" s="14">
        <v>6</v>
      </c>
      <c r="I85" s="14">
        <v>3</v>
      </c>
      <c r="J85" s="14" t="s">
        <v>204</v>
      </c>
      <c r="K85" s="14" cm="1">
        <f t="array" ref="K85">INT(SUMPRODUCT(--ISNUMBER(SEARCH(economy,C85)))&gt;0)</f>
        <v>0</v>
      </c>
      <c r="L85" s="14" cm="1">
        <f t="array" ref="L85">INT(SUMPRODUCT(--ISNUMBER(SEARCH(healthcare,C85)))&gt;0)</f>
        <v>0</v>
      </c>
      <c r="M85" s="14" cm="1">
        <f t="array" ref="M85">INT(SUMPRODUCT(--ISNUMBER(SEARCH(supreme,C85)))&gt;0)</f>
        <v>0</v>
      </c>
      <c r="N85" s="14" cm="1">
        <f t="array" ref="N85">INT(SUMPRODUCT(--ISNUMBER(SEARCH(covid,C85)))&gt;0)</f>
        <v>0</v>
      </c>
      <c r="O85" s="14" cm="1">
        <f t="array" ref="O85">INT(SUMPRODUCT(--ISNUMBER(SEARCH(violent,C85)))&gt;0)</f>
        <v>0</v>
      </c>
      <c r="P85" s="14" cm="1">
        <f t="array" ref="P85">INT(SUMPRODUCT(--ISNUMBER(SEARCH(foreign,C85)))&gt;0)</f>
        <v>0</v>
      </c>
      <c r="Q85" s="14" cm="1">
        <f t="array" ref="Q85">INT(SUMPRODUCT(--ISNUMBER(SEARCH(gun,C85)))&gt;0)</f>
        <v>0</v>
      </c>
      <c r="R85" s="14" cm="1">
        <f t="array" ref="R85">INT(SUMPRODUCT(--ISNUMBER(SEARCH(race,C85)))&gt;0)</f>
        <v>0</v>
      </c>
      <c r="S85" s="14" cm="1">
        <f t="array" ref="S85">INT(SUMPRODUCT(--ISNUMBER(SEARCH(immigration,C85)))&gt;0)</f>
        <v>0</v>
      </c>
      <c r="T85" s="14" cm="1">
        <f t="array" ref="T85">INT(SUMPRODUCT(--ISNUMBER(SEARCH(econineq,C86)))&gt;0)</f>
        <v>0</v>
      </c>
      <c r="U85" s="14" cm="1">
        <f t="array" ref="U85">INT(SUMPRODUCT(--ISNUMBER(SEARCH(climate,C85)))&gt;0)</f>
        <v>0</v>
      </c>
      <c r="V85" s="14" cm="1">
        <f t="array" ref="V85">INT(SUMPRODUCT(--ISNUMBER(SEARCH(abortion,C85)))&gt;0)</f>
        <v>0</v>
      </c>
      <c r="W85" s="14" cm="1">
        <f t="array" ref="W85">INT(SUMPRODUCT(--ISNUMBER(SEARCH(trump,C85)))&gt;0)</f>
        <v>0</v>
      </c>
      <c r="X85" s="14" cm="1">
        <f t="array" ref="X85">INT(SUMPRODUCT(--ISNUMBER(SEARCH(voting,C85)))&gt;0)</f>
        <v>1</v>
      </c>
      <c r="Y85" s="14" cm="1">
        <f t="array" ref="Y85">INT(SUMPRODUCT(--ISNUMBER(SEARCH(democrattrigger,C85)))&gt;0)</f>
        <v>0</v>
      </c>
      <c r="Z85" s="14" cm="1">
        <f t="array" ref="Z85">INT(SUMPRODUCT(--ISNUMBER(SEARCH(bipartisan,C85)))&gt;0)</f>
        <v>0</v>
      </c>
      <c r="AA85" s="14">
        <f t="shared" si="1"/>
        <v>0</v>
      </c>
      <c r="AB85" s="14"/>
      <c r="AC85" s="30">
        <v>1</v>
      </c>
      <c r="AD85" s="37">
        <v>0</v>
      </c>
    </row>
    <row r="86" spans="1:30" x14ac:dyDescent="0.25">
      <c r="A86" s="36">
        <v>1071</v>
      </c>
      <c r="B86" s="14" t="s">
        <v>2169</v>
      </c>
      <c r="C86" s="14" t="s">
        <v>2170</v>
      </c>
      <c r="D86" s="18">
        <v>44124</v>
      </c>
      <c r="E86" s="14" t="s">
        <v>30</v>
      </c>
      <c r="F86" s="14">
        <v>1330</v>
      </c>
      <c r="G86" s="14">
        <v>456</v>
      </c>
      <c r="H86" s="14">
        <v>6</v>
      </c>
      <c r="I86" s="14">
        <v>3</v>
      </c>
      <c r="J86" s="14" t="s">
        <v>204</v>
      </c>
      <c r="K86" s="14" cm="1">
        <f t="array" ref="K86">INT(SUMPRODUCT(--ISNUMBER(SEARCH(economy,C86)))&gt;0)</f>
        <v>0</v>
      </c>
      <c r="L86" s="14" cm="1">
        <f t="array" ref="L86">INT(SUMPRODUCT(--ISNUMBER(SEARCH(healthcare,C86)))&gt;0)</f>
        <v>1</v>
      </c>
      <c r="M86" s="14" cm="1">
        <f t="array" ref="M86">INT(SUMPRODUCT(--ISNUMBER(SEARCH(supreme,C86)))&gt;0)</f>
        <v>0</v>
      </c>
      <c r="N86" s="14" cm="1">
        <f t="array" ref="N86">INT(SUMPRODUCT(--ISNUMBER(SEARCH(covid,C86)))&gt;0)</f>
        <v>1</v>
      </c>
      <c r="O86" s="14" cm="1">
        <f t="array" ref="O86">INT(SUMPRODUCT(--ISNUMBER(SEARCH(violent,C86)))&gt;0)</f>
        <v>0</v>
      </c>
      <c r="P86" s="14" cm="1">
        <f t="array" ref="P86">INT(SUMPRODUCT(--ISNUMBER(SEARCH(foreign,C86)))&gt;0)</f>
        <v>1</v>
      </c>
      <c r="Q86" s="14" cm="1">
        <f t="array" ref="Q86">INT(SUMPRODUCT(--ISNUMBER(SEARCH(gun,C86)))&gt;0)</f>
        <v>0</v>
      </c>
      <c r="R86" s="14" cm="1">
        <f t="array" ref="R86">INT(SUMPRODUCT(--ISNUMBER(SEARCH(race,C86)))&gt;0)</f>
        <v>0</v>
      </c>
      <c r="S86" s="14" cm="1">
        <f t="array" ref="S86">INT(SUMPRODUCT(--ISNUMBER(SEARCH(immigration,C86)))&gt;0)</f>
        <v>0</v>
      </c>
      <c r="T86" s="14" cm="1">
        <f t="array" ref="T86">INT(SUMPRODUCT(--ISNUMBER(SEARCH(econineq,C87)))&gt;0)</f>
        <v>0</v>
      </c>
      <c r="U86" s="14" cm="1">
        <f t="array" ref="U86">INT(SUMPRODUCT(--ISNUMBER(SEARCH(climate,C86)))&gt;0)</f>
        <v>0</v>
      </c>
      <c r="V86" s="14" cm="1">
        <f t="array" ref="V86">INT(SUMPRODUCT(--ISNUMBER(SEARCH(abortion,C86)))&gt;0)</f>
        <v>0</v>
      </c>
      <c r="W86" s="14" cm="1">
        <f t="array" ref="W86">INT(SUMPRODUCT(--ISNUMBER(SEARCH(trump,C86)))&gt;0)</f>
        <v>0</v>
      </c>
      <c r="X86" s="14" cm="1">
        <f t="array" ref="X86">INT(SUMPRODUCT(--ISNUMBER(SEARCH(voting,C86)))&gt;0)</f>
        <v>0</v>
      </c>
      <c r="Y86" s="14" cm="1">
        <f t="array" ref="Y86">INT(SUMPRODUCT(--ISNUMBER(SEARCH(democrattrigger,C86)))&gt;0)</f>
        <v>1</v>
      </c>
      <c r="Z86" s="14" cm="1">
        <f t="array" ref="Z86">INT(SUMPRODUCT(--ISNUMBER(SEARCH(bipartisan,C86)))&gt;0)</f>
        <v>0</v>
      </c>
      <c r="AA86" s="14">
        <f t="shared" si="1"/>
        <v>0</v>
      </c>
      <c r="AB86" s="14"/>
      <c r="AC86" s="30" t="s">
        <v>223</v>
      </c>
      <c r="AD86" s="37" t="s">
        <v>223</v>
      </c>
    </row>
    <row r="87" spans="1:30" x14ac:dyDescent="0.25">
      <c r="A87" s="36">
        <v>1072</v>
      </c>
      <c r="B87" s="14" t="s">
        <v>2171</v>
      </c>
      <c r="C87" s="14" t="s">
        <v>2172</v>
      </c>
      <c r="D87" s="18">
        <v>44124</v>
      </c>
      <c r="E87" s="14" t="s">
        <v>30</v>
      </c>
      <c r="F87" s="14">
        <v>295</v>
      </c>
      <c r="G87" s="14">
        <v>87</v>
      </c>
      <c r="H87" s="14">
        <v>6</v>
      </c>
      <c r="I87" s="14">
        <v>3</v>
      </c>
      <c r="J87" s="14" t="s">
        <v>204</v>
      </c>
      <c r="K87" s="14" cm="1">
        <f t="array" ref="K87">INT(SUMPRODUCT(--ISNUMBER(SEARCH(economy,C87)))&gt;0)</f>
        <v>1</v>
      </c>
      <c r="L87" s="14" cm="1">
        <f t="array" ref="L87">INT(SUMPRODUCT(--ISNUMBER(SEARCH(healthcare,C87)))&gt;0)</f>
        <v>0</v>
      </c>
      <c r="M87" s="14" cm="1">
        <f t="array" ref="M87">INT(SUMPRODUCT(--ISNUMBER(SEARCH(supreme,C87)))&gt;0)</f>
        <v>0</v>
      </c>
      <c r="N87" s="14" cm="1">
        <f t="array" ref="N87">INT(SUMPRODUCT(--ISNUMBER(SEARCH(covid,C87)))&gt;0)</f>
        <v>0</v>
      </c>
      <c r="O87" s="14" cm="1">
        <f t="array" ref="O87">INT(SUMPRODUCT(--ISNUMBER(SEARCH(violent,C87)))&gt;0)</f>
        <v>0</v>
      </c>
      <c r="P87" s="14" cm="1">
        <f t="array" ref="P87">INT(SUMPRODUCT(--ISNUMBER(SEARCH(foreign,C87)))&gt;0)</f>
        <v>0</v>
      </c>
      <c r="Q87" s="14" cm="1">
        <f t="array" ref="Q87">INT(SUMPRODUCT(--ISNUMBER(SEARCH(gun,C87)))&gt;0)</f>
        <v>0</v>
      </c>
      <c r="R87" s="14" cm="1">
        <f t="array" ref="R87">INT(SUMPRODUCT(--ISNUMBER(SEARCH(race,C87)))&gt;0)</f>
        <v>0</v>
      </c>
      <c r="S87" s="14" cm="1">
        <f t="array" ref="S87">INT(SUMPRODUCT(--ISNUMBER(SEARCH(immigration,C87)))&gt;0)</f>
        <v>0</v>
      </c>
      <c r="T87" s="14" cm="1">
        <f t="array" ref="T87">INT(SUMPRODUCT(--ISNUMBER(SEARCH(econineq,C88)))&gt;0)</f>
        <v>0</v>
      </c>
      <c r="U87" s="14" cm="1">
        <f t="array" ref="U87">INT(SUMPRODUCT(--ISNUMBER(SEARCH(climate,C87)))&gt;0)</f>
        <v>0</v>
      </c>
      <c r="V87" s="14" cm="1">
        <f t="array" ref="V87">INT(SUMPRODUCT(--ISNUMBER(SEARCH(abortion,C87)))&gt;0)</f>
        <v>0</v>
      </c>
      <c r="W87" s="14" cm="1">
        <f t="array" ref="W87">INT(SUMPRODUCT(--ISNUMBER(SEARCH(trump,C87)))&gt;0)</f>
        <v>0</v>
      </c>
      <c r="X87" s="14" cm="1">
        <f t="array" ref="X87">INT(SUMPRODUCT(--ISNUMBER(SEARCH(voting,C87)))&gt;0)</f>
        <v>0</v>
      </c>
      <c r="Y87" s="14" cm="1">
        <f t="array" ref="Y87">INT(SUMPRODUCT(--ISNUMBER(SEARCH(democrattrigger,C87)))&gt;0)</f>
        <v>0</v>
      </c>
      <c r="Z87" s="14" cm="1">
        <f t="array" ref="Z87">INT(SUMPRODUCT(--ISNUMBER(SEARCH(bipartisan,C87)))&gt;0)</f>
        <v>0</v>
      </c>
      <c r="AA87" s="14">
        <f t="shared" si="1"/>
        <v>0</v>
      </c>
      <c r="AB87" s="14"/>
      <c r="AC87" s="30">
        <v>1</v>
      </c>
      <c r="AD87" s="37">
        <v>0</v>
      </c>
    </row>
    <row r="88" spans="1:30" x14ac:dyDescent="0.25">
      <c r="A88" s="36">
        <v>1073</v>
      </c>
      <c r="B88" s="14" t="s">
        <v>2173</v>
      </c>
      <c r="C88" s="14" t="s">
        <v>2174</v>
      </c>
      <c r="D88" s="18">
        <v>44124</v>
      </c>
      <c r="E88" s="14" t="s">
        <v>30</v>
      </c>
      <c r="F88" s="14">
        <v>763</v>
      </c>
      <c r="G88" s="14">
        <v>176</v>
      </c>
      <c r="H88" s="14">
        <v>6</v>
      </c>
      <c r="I88" s="14">
        <v>3</v>
      </c>
      <c r="J88" s="14" t="s">
        <v>204</v>
      </c>
      <c r="K88" s="14" cm="1">
        <f t="array" ref="K88">INT(SUMPRODUCT(--ISNUMBER(SEARCH(economy,C88)))&gt;0)</f>
        <v>0</v>
      </c>
      <c r="L88" s="14" cm="1">
        <f t="array" ref="L88">INT(SUMPRODUCT(--ISNUMBER(SEARCH(healthcare,C88)))&gt;0)</f>
        <v>0</v>
      </c>
      <c r="M88" s="14" cm="1">
        <f t="array" ref="M88">INT(SUMPRODUCT(--ISNUMBER(SEARCH(supreme,C88)))&gt;0)</f>
        <v>0</v>
      </c>
      <c r="N88" s="14" cm="1">
        <f t="array" ref="N88">INT(SUMPRODUCT(--ISNUMBER(SEARCH(covid,C88)))&gt;0)</f>
        <v>0</v>
      </c>
      <c r="O88" s="14" cm="1">
        <f t="array" ref="O88">INT(SUMPRODUCT(--ISNUMBER(SEARCH(violent,C88)))&gt;0)</f>
        <v>0</v>
      </c>
      <c r="P88" s="14" cm="1">
        <f t="array" ref="P88">INT(SUMPRODUCT(--ISNUMBER(SEARCH(foreign,C88)))&gt;0)</f>
        <v>0</v>
      </c>
      <c r="Q88" s="14" cm="1">
        <f t="array" ref="Q88">INT(SUMPRODUCT(--ISNUMBER(SEARCH(gun,C88)))&gt;0)</f>
        <v>0</v>
      </c>
      <c r="R88" s="14" cm="1">
        <f t="array" ref="R88">INT(SUMPRODUCT(--ISNUMBER(SEARCH(race,C88)))&gt;0)</f>
        <v>0</v>
      </c>
      <c r="S88" s="14" cm="1">
        <f t="array" ref="S88">INT(SUMPRODUCT(--ISNUMBER(SEARCH(immigration,C88)))&gt;0)</f>
        <v>0</v>
      </c>
      <c r="T88" s="14" cm="1">
        <f t="array" ref="T88">INT(SUMPRODUCT(--ISNUMBER(SEARCH(econineq,C89)))&gt;0)</f>
        <v>0</v>
      </c>
      <c r="U88" s="14" cm="1">
        <f t="array" ref="U88">INT(SUMPRODUCT(--ISNUMBER(SEARCH(climate,C88)))&gt;0)</f>
        <v>0</v>
      </c>
      <c r="V88" s="14" cm="1">
        <f t="array" ref="V88">INT(SUMPRODUCT(--ISNUMBER(SEARCH(abortion,C88)))&gt;0)</f>
        <v>0</v>
      </c>
      <c r="W88" s="14" cm="1">
        <f t="array" ref="W88">INT(SUMPRODUCT(--ISNUMBER(SEARCH(trump,C88)))&gt;0)</f>
        <v>0</v>
      </c>
      <c r="X88" s="14" cm="1">
        <f t="array" ref="X88">INT(SUMPRODUCT(--ISNUMBER(SEARCH(voting,C88)))&gt;0)</f>
        <v>0</v>
      </c>
      <c r="Y88" s="14" cm="1">
        <f t="array" ref="Y88">INT(SUMPRODUCT(--ISNUMBER(SEARCH(democrattrigger,C88)))&gt;0)</f>
        <v>0</v>
      </c>
      <c r="Z88" s="14" cm="1">
        <f t="array" ref="Z88">INT(SUMPRODUCT(--ISNUMBER(SEARCH(bipartisan,C88)))&gt;0)</f>
        <v>0</v>
      </c>
      <c r="AA88" s="14">
        <f t="shared" si="1"/>
        <v>1</v>
      </c>
      <c r="AB88" s="14"/>
      <c r="AC88" s="30">
        <v>1</v>
      </c>
      <c r="AD88" s="37">
        <v>0</v>
      </c>
    </row>
    <row r="89" spans="1:30" x14ac:dyDescent="0.25">
      <c r="A89" s="36">
        <v>1074</v>
      </c>
      <c r="B89" s="14" t="s">
        <v>2175</v>
      </c>
      <c r="C89" s="14" t="s">
        <v>2176</v>
      </c>
      <c r="D89" s="18">
        <v>44124</v>
      </c>
      <c r="E89" s="14" t="s">
        <v>30</v>
      </c>
      <c r="F89" s="14">
        <v>355</v>
      </c>
      <c r="G89" s="14">
        <v>90</v>
      </c>
      <c r="H89" s="14">
        <v>6</v>
      </c>
      <c r="I89" s="14">
        <v>3</v>
      </c>
      <c r="J89" s="14" t="s">
        <v>204</v>
      </c>
      <c r="K89" s="14" cm="1">
        <f t="array" ref="K89">INT(SUMPRODUCT(--ISNUMBER(SEARCH(economy,C89)))&gt;0)</f>
        <v>1</v>
      </c>
      <c r="L89" s="14" cm="1">
        <f t="array" ref="L89">INT(SUMPRODUCT(--ISNUMBER(SEARCH(healthcare,C89)))&gt;0)</f>
        <v>0</v>
      </c>
      <c r="M89" s="14" cm="1">
        <f t="array" ref="M89">INT(SUMPRODUCT(--ISNUMBER(SEARCH(supreme,C89)))&gt;0)</f>
        <v>0</v>
      </c>
      <c r="N89" s="14" cm="1">
        <f t="array" ref="N89">INT(SUMPRODUCT(--ISNUMBER(SEARCH(covid,C89)))&gt;0)</f>
        <v>1</v>
      </c>
      <c r="O89" s="14" cm="1">
        <f t="array" ref="O89">INT(SUMPRODUCT(--ISNUMBER(SEARCH(violent,C89)))&gt;0)</f>
        <v>0</v>
      </c>
      <c r="P89" s="14" cm="1">
        <f t="array" ref="P89">INT(SUMPRODUCT(--ISNUMBER(SEARCH(foreign,C89)))&gt;0)</f>
        <v>0</v>
      </c>
      <c r="Q89" s="14" cm="1">
        <f t="array" ref="Q89">INT(SUMPRODUCT(--ISNUMBER(SEARCH(gun,C89)))&gt;0)</f>
        <v>0</v>
      </c>
      <c r="R89" s="14" cm="1">
        <f t="array" ref="R89">INT(SUMPRODUCT(--ISNUMBER(SEARCH(race,C89)))&gt;0)</f>
        <v>0</v>
      </c>
      <c r="S89" s="14" cm="1">
        <f t="array" ref="S89">INT(SUMPRODUCT(--ISNUMBER(SEARCH(immigration,C89)))&gt;0)</f>
        <v>0</v>
      </c>
      <c r="T89" s="14" cm="1">
        <f t="array" ref="T89">INT(SUMPRODUCT(--ISNUMBER(SEARCH(econineq,C90)))&gt;0)</f>
        <v>0</v>
      </c>
      <c r="U89" s="14" cm="1">
        <f t="array" ref="U89">INT(SUMPRODUCT(--ISNUMBER(SEARCH(climate,C89)))&gt;0)</f>
        <v>0</v>
      </c>
      <c r="V89" s="14" cm="1">
        <f t="array" ref="V89">INT(SUMPRODUCT(--ISNUMBER(SEARCH(abortion,C89)))&gt;0)</f>
        <v>0</v>
      </c>
      <c r="W89" s="14" cm="1">
        <f t="array" ref="W89">INT(SUMPRODUCT(--ISNUMBER(SEARCH(trump,C89)))&gt;0)</f>
        <v>0</v>
      </c>
      <c r="X89" s="14" cm="1">
        <f t="array" ref="X89">INT(SUMPRODUCT(--ISNUMBER(SEARCH(voting,C89)))&gt;0)</f>
        <v>0</v>
      </c>
      <c r="Y89" s="14" cm="1">
        <f t="array" ref="Y89">INT(SUMPRODUCT(--ISNUMBER(SEARCH(democrattrigger,C89)))&gt;0)</f>
        <v>0</v>
      </c>
      <c r="Z89" s="14" cm="1">
        <f t="array" ref="Z89">INT(SUMPRODUCT(--ISNUMBER(SEARCH(bipartisan,C89)))&gt;0)</f>
        <v>0</v>
      </c>
      <c r="AA89" s="14">
        <f t="shared" si="1"/>
        <v>0</v>
      </c>
      <c r="AB89" s="14"/>
      <c r="AC89" s="30">
        <v>1</v>
      </c>
      <c r="AD89" s="37">
        <v>0</v>
      </c>
    </row>
    <row r="90" spans="1:30" x14ac:dyDescent="0.25">
      <c r="A90" s="36">
        <v>1075</v>
      </c>
      <c r="B90" s="14" t="s">
        <v>2177</v>
      </c>
      <c r="C90" s="14" t="s">
        <v>2178</v>
      </c>
      <c r="D90" s="18">
        <v>44124</v>
      </c>
      <c r="E90" s="14" t="s">
        <v>30</v>
      </c>
      <c r="F90" s="14">
        <v>1248</v>
      </c>
      <c r="G90" s="14">
        <v>291</v>
      </c>
      <c r="H90" s="14">
        <v>6</v>
      </c>
      <c r="I90" s="14">
        <v>3</v>
      </c>
      <c r="J90" s="14" t="s">
        <v>204</v>
      </c>
      <c r="K90" s="14" cm="1">
        <f t="array" ref="K90">INT(SUMPRODUCT(--ISNUMBER(SEARCH(economy,C90)))&gt;0)</f>
        <v>0</v>
      </c>
      <c r="L90" s="14" cm="1">
        <f t="array" ref="L90">INT(SUMPRODUCT(--ISNUMBER(SEARCH(healthcare,C90)))&gt;0)</f>
        <v>0</v>
      </c>
      <c r="M90" s="14" cm="1">
        <f t="array" ref="M90">INT(SUMPRODUCT(--ISNUMBER(SEARCH(supreme,C90)))&gt;0)</f>
        <v>0</v>
      </c>
      <c r="N90" s="14" cm="1">
        <f t="array" ref="N90">INT(SUMPRODUCT(--ISNUMBER(SEARCH(covid,C90)))&gt;0)</f>
        <v>0</v>
      </c>
      <c r="O90" s="14" cm="1">
        <f t="array" ref="O90">INT(SUMPRODUCT(--ISNUMBER(SEARCH(violent,C90)))&gt;0)</f>
        <v>0</v>
      </c>
      <c r="P90" s="14" cm="1">
        <f t="array" ref="P90">INT(SUMPRODUCT(--ISNUMBER(SEARCH(foreign,C90)))&gt;0)</f>
        <v>0</v>
      </c>
      <c r="Q90" s="14" cm="1">
        <f t="array" ref="Q90">INT(SUMPRODUCT(--ISNUMBER(SEARCH(gun,C90)))&gt;0)</f>
        <v>0</v>
      </c>
      <c r="R90" s="14" cm="1">
        <f t="array" ref="R90">INT(SUMPRODUCT(--ISNUMBER(SEARCH(race,C90)))&gt;0)</f>
        <v>0</v>
      </c>
      <c r="S90" s="14" cm="1">
        <f t="array" ref="S90">INT(SUMPRODUCT(--ISNUMBER(SEARCH(immigration,C90)))&gt;0)</f>
        <v>0</v>
      </c>
      <c r="T90" s="14" cm="1">
        <f t="array" ref="T90">INT(SUMPRODUCT(--ISNUMBER(SEARCH(econineq,C91)))&gt;0)</f>
        <v>0</v>
      </c>
      <c r="U90" s="14" cm="1">
        <f t="array" ref="U90">INT(SUMPRODUCT(--ISNUMBER(SEARCH(climate,C90)))&gt;0)</f>
        <v>0</v>
      </c>
      <c r="V90" s="14" cm="1">
        <f t="array" ref="V90">INT(SUMPRODUCT(--ISNUMBER(SEARCH(abortion,C90)))&gt;0)</f>
        <v>0</v>
      </c>
      <c r="W90" s="14" cm="1">
        <f t="array" ref="W90">INT(SUMPRODUCT(--ISNUMBER(SEARCH(trump,C90)))&gt;0)</f>
        <v>0</v>
      </c>
      <c r="X90" s="14" cm="1">
        <f t="array" ref="X90">INT(SUMPRODUCT(--ISNUMBER(SEARCH(voting,C90)))&gt;0)</f>
        <v>1</v>
      </c>
      <c r="Y90" s="14" cm="1">
        <f t="array" ref="Y90">INT(SUMPRODUCT(--ISNUMBER(SEARCH(democrattrigger,C90)))&gt;0)</f>
        <v>0</v>
      </c>
      <c r="Z90" s="14" cm="1">
        <f t="array" ref="Z90">INT(SUMPRODUCT(--ISNUMBER(SEARCH(bipartisan,C90)))&gt;0)</f>
        <v>0</v>
      </c>
      <c r="AA90" s="14">
        <f t="shared" si="1"/>
        <v>0</v>
      </c>
      <c r="AB90" s="14"/>
      <c r="AC90" s="30">
        <v>0</v>
      </c>
      <c r="AD90" s="37">
        <v>1</v>
      </c>
    </row>
    <row r="91" spans="1:30" x14ac:dyDescent="0.25">
      <c r="A91" s="36">
        <v>1076</v>
      </c>
      <c r="B91" s="14" t="s">
        <v>2179</v>
      </c>
      <c r="C91" s="14" t="s">
        <v>2180</v>
      </c>
      <c r="D91" s="18">
        <v>44124</v>
      </c>
      <c r="E91" s="14" t="s">
        <v>30</v>
      </c>
      <c r="F91" s="14">
        <v>5632</v>
      </c>
      <c r="G91" s="14">
        <v>1774</v>
      </c>
      <c r="H91" s="14">
        <v>6</v>
      </c>
      <c r="I91" s="14">
        <v>3</v>
      </c>
      <c r="J91" s="14" t="s">
        <v>204</v>
      </c>
      <c r="K91" s="14" cm="1">
        <f t="array" ref="K91">INT(SUMPRODUCT(--ISNUMBER(SEARCH(economy,C91)))&gt;0)</f>
        <v>0</v>
      </c>
      <c r="L91" s="14" cm="1">
        <f t="array" ref="L91">INT(SUMPRODUCT(--ISNUMBER(SEARCH(healthcare,C91)))&gt;0)</f>
        <v>0</v>
      </c>
      <c r="M91" s="14" cm="1">
        <f t="array" ref="M91">INT(SUMPRODUCT(--ISNUMBER(SEARCH(supreme,C91)))&gt;0)</f>
        <v>0</v>
      </c>
      <c r="N91" s="14" cm="1">
        <f t="array" ref="N91">INT(SUMPRODUCT(--ISNUMBER(SEARCH(covid,C91)))&gt;0)</f>
        <v>0</v>
      </c>
      <c r="O91" s="14" cm="1">
        <f t="array" ref="O91">INT(SUMPRODUCT(--ISNUMBER(SEARCH(violent,C91)))&gt;0)</f>
        <v>0</v>
      </c>
      <c r="P91" s="14" cm="1">
        <f t="array" ref="P91">INT(SUMPRODUCT(--ISNUMBER(SEARCH(foreign,C91)))&gt;0)</f>
        <v>0</v>
      </c>
      <c r="Q91" s="14" cm="1">
        <f t="array" ref="Q91">INT(SUMPRODUCT(--ISNUMBER(SEARCH(gun,C91)))&gt;0)</f>
        <v>0</v>
      </c>
      <c r="R91" s="14" cm="1">
        <f t="array" ref="R91">INT(SUMPRODUCT(--ISNUMBER(SEARCH(race,C91)))&gt;0)</f>
        <v>0</v>
      </c>
      <c r="S91" s="14" cm="1">
        <f t="array" ref="S91">INT(SUMPRODUCT(--ISNUMBER(SEARCH(immigration,C91)))&gt;0)</f>
        <v>0</v>
      </c>
      <c r="T91" s="14" cm="1">
        <f t="array" ref="T91">INT(SUMPRODUCT(--ISNUMBER(SEARCH(econineq,C92)))&gt;0)</f>
        <v>0</v>
      </c>
      <c r="U91" s="14" cm="1">
        <f t="array" ref="U91">INT(SUMPRODUCT(--ISNUMBER(SEARCH(climate,C91)))&gt;0)</f>
        <v>0</v>
      </c>
      <c r="V91" s="14" cm="1">
        <f t="array" ref="V91">INT(SUMPRODUCT(--ISNUMBER(SEARCH(abortion,C91)))&gt;0)</f>
        <v>0</v>
      </c>
      <c r="W91" s="14" cm="1">
        <f t="array" ref="W91">INT(SUMPRODUCT(--ISNUMBER(SEARCH(trump,C91)))&gt;0)</f>
        <v>0</v>
      </c>
      <c r="X91" s="14" cm="1">
        <f t="array" ref="X91">INT(SUMPRODUCT(--ISNUMBER(SEARCH(voting,C91)))&gt;0)</f>
        <v>0</v>
      </c>
      <c r="Y91" s="14" cm="1">
        <f t="array" ref="Y91">INT(SUMPRODUCT(--ISNUMBER(SEARCH(democrattrigger,C91)))&gt;0)</f>
        <v>1</v>
      </c>
      <c r="Z91" s="14" cm="1">
        <f t="array" ref="Z91">INT(SUMPRODUCT(--ISNUMBER(SEARCH(bipartisan,C91)))&gt;0)</f>
        <v>0</v>
      </c>
      <c r="AA91" s="14">
        <f t="shared" si="1"/>
        <v>0</v>
      </c>
      <c r="AB91" s="14"/>
      <c r="AC91" s="30">
        <v>0</v>
      </c>
      <c r="AD91" s="37">
        <v>1</v>
      </c>
    </row>
    <row r="92" spans="1:30" x14ac:dyDescent="0.25">
      <c r="A92" s="36">
        <v>1077</v>
      </c>
      <c r="B92" s="14" t="s">
        <v>2181</v>
      </c>
      <c r="C92" s="14" t="s">
        <v>2182</v>
      </c>
      <c r="D92" s="18">
        <v>44123</v>
      </c>
      <c r="E92" s="14" t="s">
        <v>30</v>
      </c>
      <c r="F92" s="14">
        <v>845</v>
      </c>
      <c r="G92" s="14">
        <v>149</v>
      </c>
      <c r="H92" s="14">
        <v>6</v>
      </c>
      <c r="I92" s="14">
        <v>3</v>
      </c>
      <c r="J92" s="14" t="s">
        <v>204</v>
      </c>
      <c r="K92" s="14" cm="1">
        <f t="array" ref="K92">INT(SUMPRODUCT(--ISNUMBER(SEARCH(economy,C92)))&gt;0)</f>
        <v>1</v>
      </c>
      <c r="L92" s="14" cm="1">
        <f t="array" ref="L92">INT(SUMPRODUCT(--ISNUMBER(SEARCH(healthcare,C92)))&gt;0)</f>
        <v>1</v>
      </c>
      <c r="M92" s="14" cm="1">
        <f t="array" ref="M92">INT(SUMPRODUCT(--ISNUMBER(SEARCH(supreme,C92)))&gt;0)</f>
        <v>0</v>
      </c>
      <c r="N92" s="14" cm="1">
        <f t="array" ref="N92">INT(SUMPRODUCT(--ISNUMBER(SEARCH(covid,C92)))&gt;0)</f>
        <v>0</v>
      </c>
      <c r="O92" s="14" cm="1">
        <f t="array" ref="O92">INT(SUMPRODUCT(--ISNUMBER(SEARCH(violent,C92)))&gt;0)</f>
        <v>0</v>
      </c>
      <c r="P92" s="14" cm="1">
        <f t="array" ref="P92">INT(SUMPRODUCT(--ISNUMBER(SEARCH(foreign,C92)))&gt;0)</f>
        <v>0</v>
      </c>
      <c r="Q92" s="14" cm="1">
        <f t="array" ref="Q92">INT(SUMPRODUCT(--ISNUMBER(SEARCH(gun,C92)))&gt;0)</f>
        <v>0</v>
      </c>
      <c r="R92" s="14" cm="1">
        <f t="array" ref="R92">INT(SUMPRODUCT(--ISNUMBER(SEARCH(race,C92)))&gt;0)</f>
        <v>0</v>
      </c>
      <c r="S92" s="14" cm="1">
        <f t="array" ref="S92">INT(SUMPRODUCT(--ISNUMBER(SEARCH(immigration,C92)))&gt;0)</f>
        <v>0</v>
      </c>
      <c r="T92" s="14" cm="1">
        <f t="array" ref="T92">INT(SUMPRODUCT(--ISNUMBER(SEARCH(econineq,C93)))&gt;0)</f>
        <v>0</v>
      </c>
      <c r="U92" s="14" cm="1">
        <f t="array" ref="U92">INT(SUMPRODUCT(--ISNUMBER(SEARCH(climate,C92)))&gt;0)</f>
        <v>0</v>
      </c>
      <c r="V92" s="14" cm="1">
        <f t="array" ref="V92">INT(SUMPRODUCT(--ISNUMBER(SEARCH(abortion,C92)))&gt;0)</f>
        <v>0</v>
      </c>
      <c r="W92" s="14" cm="1">
        <f t="array" ref="W92">INT(SUMPRODUCT(--ISNUMBER(SEARCH(trump,C92)))&gt;0)</f>
        <v>0</v>
      </c>
      <c r="X92" s="14" cm="1">
        <f t="array" ref="X92">INT(SUMPRODUCT(--ISNUMBER(SEARCH(voting,C92)))&gt;0)</f>
        <v>0</v>
      </c>
      <c r="Y92" s="14" cm="1">
        <f t="array" ref="Y92">INT(SUMPRODUCT(--ISNUMBER(SEARCH(democrattrigger,C92)))&gt;0)</f>
        <v>0</v>
      </c>
      <c r="Z92" s="14" cm="1">
        <f t="array" ref="Z92">INT(SUMPRODUCT(--ISNUMBER(SEARCH(bipartisan,C92)))&gt;0)</f>
        <v>0</v>
      </c>
      <c r="AA92" s="14">
        <f t="shared" si="1"/>
        <v>0</v>
      </c>
      <c r="AB92" s="14"/>
      <c r="AC92" s="30">
        <v>1</v>
      </c>
      <c r="AD92" s="37">
        <v>0</v>
      </c>
    </row>
    <row r="93" spans="1:30" x14ac:dyDescent="0.25">
      <c r="A93" s="36">
        <v>1078</v>
      </c>
      <c r="B93" s="14" t="s">
        <v>2183</v>
      </c>
      <c r="C93" s="14" t="s">
        <v>2184</v>
      </c>
      <c r="D93" s="18">
        <v>44123</v>
      </c>
      <c r="E93" s="14" t="s">
        <v>30</v>
      </c>
      <c r="F93" s="14">
        <v>726</v>
      </c>
      <c r="G93" s="14">
        <v>392</v>
      </c>
      <c r="H93" s="14">
        <v>6</v>
      </c>
      <c r="I93" s="14">
        <v>3</v>
      </c>
      <c r="J93" s="14" t="s">
        <v>204</v>
      </c>
      <c r="K93" s="14" cm="1">
        <f t="array" ref="K93">INT(SUMPRODUCT(--ISNUMBER(SEARCH(economy,C93)))&gt;0)</f>
        <v>0</v>
      </c>
      <c r="L93" s="14" cm="1">
        <f t="array" ref="L93">INT(SUMPRODUCT(--ISNUMBER(SEARCH(healthcare,C93)))&gt;0)</f>
        <v>0</v>
      </c>
      <c r="M93" s="14" cm="1">
        <f t="array" ref="M93">INT(SUMPRODUCT(--ISNUMBER(SEARCH(supreme,C93)))&gt;0)</f>
        <v>0</v>
      </c>
      <c r="N93" s="14" cm="1">
        <f t="array" ref="N93">INT(SUMPRODUCT(--ISNUMBER(SEARCH(covid,C93)))&gt;0)</f>
        <v>0</v>
      </c>
      <c r="O93" s="14" cm="1">
        <f t="array" ref="O93">INT(SUMPRODUCT(--ISNUMBER(SEARCH(violent,C93)))&gt;0)</f>
        <v>0</v>
      </c>
      <c r="P93" s="14" cm="1">
        <f t="array" ref="P93">INT(SUMPRODUCT(--ISNUMBER(SEARCH(foreign,C93)))&gt;0)</f>
        <v>0</v>
      </c>
      <c r="Q93" s="14" cm="1">
        <f t="array" ref="Q93">INT(SUMPRODUCT(--ISNUMBER(SEARCH(gun,C93)))&gt;0)</f>
        <v>0</v>
      </c>
      <c r="R93" s="14" cm="1">
        <f t="array" ref="R93">INT(SUMPRODUCT(--ISNUMBER(SEARCH(race,C93)))&gt;0)</f>
        <v>0</v>
      </c>
      <c r="S93" s="14" cm="1">
        <f t="array" ref="S93">INT(SUMPRODUCT(--ISNUMBER(SEARCH(immigration,C93)))&gt;0)</f>
        <v>0</v>
      </c>
      <c r="T93" s="14" cm="1">
        <f t="array" ref="T93">INT(SUMPRODUCT(--ISNUMBER(SEARCH(econineq,C94)))&gt;0)</f>
        <v>0</v>
      </c>
      <c r="U93" s="14" cm="1">
        <f t="array" ref="U93">INT(SUMPRODUCT(--ISNUMBER(SEARCH(climate,C93)))&gt;0)</f>
        <v>0</v>
      </c>
      <c r="V93" s="14" cm="1">
        <f t="array" ref="V93">INT(SUMPRODUCT(--ISNUMBER(SEARCH(abortion,C93)))&gt;0)</f>
        <v>0</v>
      </c>
      <c r="W93" s="14" cm="1">
        <f t="array" ref="W93">INT(SUMPRODUCT(--ISNUMBER(SEARCH(trump,C93)))&gt;0)</f>
        <v>0</v>
      </c>
      <c r="X93" s="14" cm="1">
        <f t="array" ref="X93">INT(SUMPRODUCT(--ISNUMBER(SEARCH(voting,C93)))&gt;0)</f>
        <v>0</v>
      </c>
      <c r="Y93" s="14" cm="1">
        <f t="array" ref="Y93">INT(SUMPRODUCT(--ISNUMBER(SEARCH(democrattrigger,C93)))&gt;0)</f>
        <v>1</v>
      </c>
      <c r="Z93" s="14" cm="1">
        <f t="array" ref="Z93">INT(SUMPRODUCT(--ISNUMBER(SEARCH(bipartisan,C93)))&gt;0)</f>
        <v>0</v>
      </c>
      <c r="AA93" s="14">
        <f t="shared" si="1"/>
        <v>0</v>
      </c>
      <c r="AB93" s="14"/>
      <c r="AC93" s="30" t="s">
        <v>223</v>
      </c>
      <c r="AD93" s="37" t="s">
        <v>223</v>
      </c>
    </row>
    <row r="94" spans="1:30" x14ac:dyDescent="0.25">
      <c r="A94" s="36">
        <v>1079</v>
      </c>
      <c r="B94" s="14" t="s">
        <v>2185</v>
      </c>
      <c r="C94" s="14" t="s">
        <v>2186</v>
      </c>
      <c r="D94" s="18">
        <v>44123</v>
      </c>
      <c r="E94" s="14" t="s">
        <v>30</v>
      </c>
      <c r="F94" s="14">
        <v>379</v>
      </c>
      <c r="G94" s="14">
        <v>161</v>
      </c>
      <c r="H94" s="14">
        <v>6</v>
      </c>
      <c r="I94" s="14">
        <v>3</v>
      </c>
      <c r="J94" s="14" t="s">
        <v>204</v>
      </c>
      <c r="K94" s="14" cm="1">
        <f t="array" ref="K94">INT(SUMPRODUCT(--ISNUMBER(SEARCH(economy,C94)))&gt;0)</f>
        <v>0</v>
      </c>
      <c r="L94" s="14" cm="1">
        <f t="array" ref="L94">INT(SUMPRODUCT(--ISNUMBER(SEARCH(healthcare,C94)))&gt;0)</f>
        <v>1</v>
      </c>
      <c r="M94" s="14" cm="1">
        <f t="array" ref="M94">INT(SUMPRODUCT(--ISNUMBER(SEARCH(supreme,C94)))&gt;0)</f>
        <v>0</v>
      </c>
      <c r="N94" s="14" cm="1">
        <f t="array" ref="N94">INT(SUMPRODUCT(--ISNUMBER(SEARCH(covid,C94)))&gt;0)</f>
        <v>1</v>
      </c>
      <c r="O94" s="14" cm="1">
        <f t="array" ref="O94">INT(SUMPRODUCT(--ISNUMBER(SEARCH(violent,C94)))&gt;0)</f>
        <v>0</v>
      </c>
      <c r="P94" s="14" cm="1">
        <f t="array" ref="P94">INT(SUMPRODUCT(--ISNUMBER(SEARCH(foreign,C94)))&gt;0)</f>
        <v>0</v>
      </c>
      <c r="Q94" s="14" cm="1">
        <f t="array" ref="Q94">INT(SUMPRODUCT(--ISNUMBER(SEARCH(gun,C94)))&gt;0)</f>
        <v>0</v>
      </c>
      <c r="R94" s="14" cm="1">
        <f t="array" ref="R94">INT(SUMPRODUCT(--ISNUMBER(SEARCH(race,C94)))&gt;0)</f>
        <v>0</v>
      </c>
      <c r="S94" s="14" cm="1">
        <f t="array" ref="S94">INT(SUMPRODUCT(--ISNUMBER(SEARCH(immigration,C94)))&gt;0)</f>
        <v>0</v>
      </c>
      <c r="T94" s="14" cm="1">
        <f t="array" ref="T94">INT(SUMPRODUCT(--ISNUMBER(SEARCH(econineq,C95)))&gt;0)</f>
        <v>0</v>
      </c>
      <c r="U94" s="14" cm="1">
        <f t="array" ref="U94">INT(SUMPRODUCT(--ISNUMBER(SEARCH(climate,C94)))&gt;0)</f>
        <v>0</v>
      </c>
      <c r="V94" s="14" cm="1">
        <f t="array" ref="V94">INT(SUMPRODUCT(--ISNUMBER(SEARCH(abortion,C94)))&gt;0)</f>
        <v>0</v>
      </c>
      <c r="W94" s="14" cm="1">
        <f t="array" ref="W94">INT(SUMPRODUCT(--ISNUMBER(SEARCH(trump,C94)))&gt;0)</f>
        <v>0</v>
      </c>
      <c r="X94" s="14" cm="1">
        <f t="array" ref="X94">INT(SUMPRODUCT(--ISNUMBER(SEARCH(voting,C94)))&gt;0)</f>
        <v>0</v>
      </c>
      <c r="Y94" s="14" cm="1">
        <f t="array" ref="Y94">INT(SUMPRODUCT(--ISNUMBER(SEARCH(democrattrigger,C94)))&gt;0)</f>
        <v>0</v>
      </c>
      <c r="Z94" s="14" cm="1">
        <f t="array" ref="Z94">INT(SUMPRODUCT(--ISNUMBER(SEARCH(bipartisan,C94)))&gt;0)</f>
        <v>0</v>
      </c>
      <c r="AA94" s="14">
        <f t="shared" si="1"/>
        <v>0</v>
      </c>
      <c r="AB94" s="14"/>
      <c r="AC94" s="30" t="s">
        <v>223</v>
      </c>
      <c r="AD94" s="37" t="s">
        <v>223</v>
      </c>
    </row>
    <row r="95" spans="1:30" x14ac:dyDescent="0.25">
      <c r="A95" s="36">
        <v>1080</v>
      </c>
      <c r="B95" s="14" t="s">
        <v>2187</v>
      </c>
      <c r="C95" s="14" t="s">
        <v>2188</v>
      </c>
      <c r="D95" s="18">
        <v>44123</v>
      </c>
      <c r="E95" s="14" t="s">
        <v>30</v>
      </c>
      <c r="F95" s="14">
        <v>722</v>
      </c>
      <c r="G95" s="14">
        <v>213</v>
      </c>
      <c r="H95" s="14">
        <v>6</v>
      </c>
      <c r="I95" s="14">
        <v>3</v>
      </c>
      <c r="J95" s="14" t="s">
        <v>204</v>
      </c>
      <c r="K95" s="14" cm="1">
        <f t="array" ref="K95">INT(SUMPRODUCT(--ISNUMBER(SEARCH(economy,C95)))&gt;0)</f>
        <v>0</v>
      </c>
      <c r="L95" s="14" cm="1">
        <f t="array" ref="L95">INT(SUMPRODUCT(--ISNUMBER(SEARCH(healthcare,C95)))&gt;0)</f>
        <v>0</v>
      </c>
      <c r="M95" s="14" cm="1">
        <f t="array" ref="M95">INT(SUMPRODUCT(--ISNUMBER(SEARCH(supreme,C95)))&gt;0)</f>
        <v>0</v>
      </c>
      <c r="N95" s="14" cm="1">
        <f t="array" ref="N95">INT(SUMPRODUCT(--ISNUMBER(SEARCH(covid,C95)))&gt;0)</f>
        <v>0</v>
      </c>
      <c r="O95" s="14" cm="1">
        <f t="array" ref="O95">INT(SUMPRODUCT(--ISNUMBER(SEARCH(violent,C95)))&gt;0)</f>
        <v>0</v>
      </c>
      <c r="P95" s="14" cm="1">
        <f t="array" ref="P95">INT(SUMPRODUCT(--ISNUMBER(SEARCH(foreign,C95)))&gt;0)</f>
        <v>0</v>
      </c>
      <c r="Q95" s="14" cm="1">
        <f t="array" ref="Q95">INT(SUMPRODUCT(--ISNUMBER(SEARCH(gun,C95)))&gt;0)</f>
        <v>0</v>
      </c>
      <c r="R95" s="14" cm="1">
        <f t="array" ref="R95">INT(SUMPRODUCT(--ISNUMBER(SEARCH(race,C95)))&gt;0)</f>
        <v>0</v>
      </c>
      <c r="S95" s="14" cm="1">
        <f t="array" ref="S95">INT(SUMPRODUCT(--ISNUMBER(SEARCH(immigration,C95)))&gt;0)</f>
        <v>0</v>
      </c>
      <c r="T95" s="14" cm="1">
        <f t="array" ref="T95">INT(SUMPRODUCT(--ISNUMBER(SEARCH(econineq,C96)))&gt;0)</f>
        <v>0</v>
      </c>
      <c r="U95" s="14" cm="1">
        <f t="array" ref="U95">INT(SUMPRODUCT(--ISNUMBER(SEARCH(climate,C95)))&gt;0)</f>
        <v>0</v>
      </c>
      <c r="V95" s="14" cm="1">
        <f t="array" ref="V95">INT(SUMPRODUCT(--ISNUMBER(SEARCH(abortion,C95)))&gt;0)</f>
        <v>0</v>
      </c>
      <c r="W95" s="14" cm="1">
        <f t="array" ref="W95">INT(SUMPRODUCT(--ISNUMBER(SEARCH(trump,C95)))&gt;0)</f>
        <v>0</v>
      </c>
      <c r="X95" s="14" cm="1">
        <f t="array" ref="X95">INT(SUMPRODUCT(--ISNUMBER(SEARCH(voting,C95)))&gt;0)</f>
        <v>1</v>
      </c>
      <c r="Y95" s="14" cm="1">
        <f t="array" ref="Y95">INT(SUMPRODUCT(--ISNUMBER(SEARCH(democrattrigger,C95)))&gt;0)</f>
        <v>0</v>
      </c>
      <c r="Z95" s="14" cm="1">
        <f t="array" ref="Z95">INT(SUMPRODUCT(--ISNUMBER(SEARCH(bipartisan,C95)))&gt;0)</f>
        <v>0</v>
      </c>
      <c r="AA95" s="14">
        <f t="shared" si="1"/>
        <v>0</v>
      </c>
      <c r="AB95" s="14"/>
      <c r="AC95" s="30">
        <v>1</v>
      </c>
      <c r="AD95" s="37">
        <v>0</v>
      </c>
    </row>
    <row r="96" spans="1:30" x14ac:dyDescent="0.25">
      <c r="A96" s="36">
        <v>1081</v>
      </c>
      <c r="B96" s="14" t="s">
        <v>2189</v>
      </c>
      <c r="C96" s="14" t="s">
        <v>2190</v>
      </c>
      <c r="D96" s="18">
        <v>44123</v>
      </c>
      <c r="E96" s="14" t="s">
        <v>30</v>
      </c>
      <c r="F96" s="14">
        <v>434</v>
      </c>
      <c r="G96" s="14">
        <v>157</v>
      </c>
      <c r="H96" s="14">
        <v>6</v>
      </c>
      <c r="I96" s="14">
        <v>3</v>
      </c>
      <c r="J96" s="14" t="s">
        <v>204</v>
      </c>
      <c r="K96" s="14" cm="1">
        <f t="array" ref="K96">INT(SUMPRODUCT(--ISNUMBER(SEARCH(economy,C96)))&gt;0)</f>
        <v>0</v>
      </c>
      <c r="L96" s="14" cm="1">
        <f t="array" ref="L96">INT(SUMPRODUCT(--ISNUMBER(SEARCH(healthcare,C96)))&gt;0)</f>
        <v>0</v>
      </c>
      <c r="M96" s="14" cm="1">
        <f t="array" ref="M96">INT(SUMPRODUCT(--ISNUMBER(SEARCH(supreme,C96)))&gt;0)</f>
        <v>0</v>
      </c>
      <c r="N96" s="14" cm="1">
        <f t="array" ref="N96">INT(SUMPRODUCT(--ISNUMBER(SEARCH(covid,C96)))&gt;0)</f>
        <v>0</v>
      </c>
      <c r="O96" s="14" cm="1">
        <f t="array" ref="O96">INT(SUMPRODUCT(--ISNUMBER(SEARCH(violent,C96)))&gt;0)</f>
        <v>0</v>
      </c>
      <c r="P96" s="14" cm="1">
        <f t="array" ref="P96">INT(SUMPRODUCT(--ISNUMBER(SEARCH(foreign,C96)))&gt;0)</f>
        <v>0</v>
      </c>
      <c r="Q96" s="14" cm="1">
        <f t="array" ref="Q96">INT(SUMPRODUCT(--ISNUMBER(SEARCH(gun,C96)))&gt;0)</f>
        <v>0</v>
      </c>
      <c r="R96" s="14" cm="1">
        <f t="array" ref="R96">INT(SUMPRODUCT(--ISNUMBER(SEARCH(race,C96)))&gt;0)</f>
        <v>0</v>
      </c>
      <c r="S96" s="14" cm="1">
        <f t="array" ref="S96">INT(SUMPRODUCT(--ISNUMBER(SEARCH(immigration,C96)))&gt;0)</f>
        <v>0</v>
      </c>
      <c r="T96" s="14" cm="1">
        <f t="array" ref="T96">INT(SUMPRODUCT(--ISNUMBER(SEARCH(econineq,C97)))&gt;0)</f>
        <v>0</v>
      </c>
      <c r="U96" s="14" cm="1">
        <f t="array" ref="U96">INT(SUMPRODUCT(--ISNUMBER(SEARCH(climate,C96)))&gt;0)</f>
        <v>0</v>
      </c>
      <c r="V96" s="14" cm="1">
        <f t="array" ref="V96">INT(SUMPRODUCT(--ISNUMBER(SEARCH(abortion,C96)))&gt;0)</f>
        <v>0</v>
      </c>
      <c r="W96" s="14" cm="1">
        <f t="array" ref="W96">INT(SUMPRODUCT(--ISNUMBER(SEARCH(trump,C96)))&gt;0)</f>
        <v>0</v>
      </c>
      <c r="X96" s="14" cm="1">
        <f t="array" ref="X96">INT(SUMPRODUCT(--ISNUMBER(SEARCH(voting,C96)))&gt;0)</f>
        <v>1</v>
      </c>
      <c r="Y96" s="14" cm="1">
        <f t="array" ref="Y96">INT(SUMPRODUCT(--ISNUMBER(SEARCH(democrattrigger,C96)))&gt;0)</f>
        <v>0</v>
      </c>
      <c r="Z96" s="14" cm="1">
        <f t="array" ref="Z96">INT(SUMPRODUCT(--ISNUMBER(SEARCH(bipartisan,C96)))&gt;0)</f>
        <v>0</v>
      </c>
      <c r="AA96" s="14">
        <f t="shared" si="1"/>
        <v>0</v>
      </c>
      <c r="AB96" s="14"/>
      <c r="AC96" s="30" t="s">
        <v>223</v>
      </c>
      <c r="AD96" s="37" t="s">
        <v>223</v>
      </c>
    </row>
    <row r="97" spans="1:30" x14ac:dyDescent="0.25">
      <c r="A97" s="36">
        <v>1082</v>
      </c>
      <c r="B97" s="14" t="s">
        <v>2191</v>
      </c>
      <c r="C97" s="14" t="s">
        <v>2192</v>
      </c>
      <c r="D97" s="18">
        <v>44123</v>
      </c>
      <c r="E97" s="14" t="s">
        <v>30</v>
      </c>
      <c r="F97" s="14">
        <v>15156</v>
      </c>
      <c r="G97" s="14">
        <v>4341</v>
      </c>
      <c r="H97" s="14">
        <v>6</v>
      </c>
      <c r="I97" s="14">
        <v>3</v>
      </c>
      <c r="J97" s="14" t="s">
        <v>204</v>
      </c>
      <c r="K97" s="14" cm="1">
        <f t="array" ref="K97">INT(SUMPRODUCT(--ISNUMBER(SEARCH(economy,C97)))&gt;0)</f>
        <v>0</v>
      </c>
      <c r="L97" s="14" cm="1">
        <f t="array" ref="L97">INT(SUMPRODUCT(--ISNUMBER(SEARCH(healthcare,C97)))&gt;0)</f>
        <v>0</v>
      </c>
      <c r="M97" s="14" cm="1">
        <f t="array" ref="M97">INT(SUMPRODUCT(--ISNUMBER(SEARCH(supreme,C97)))&gt;0)</f>
        <v>0</v>
      </c>
      <c r="N97" s="14" cm="1">
        <f t="array" ref="N97">INT(SUMPRODUCT(--ISNUMBER(SEARCH(covid,C97)))&gt;0)</f>
        <v>0</v>
      </c>
      <c r="O97" s="14" cm="1">
        <f t="array" ref="O97">INT(SUMPRODUCT(--ISNUMBER(SEARCH(violent,C97)))&gt;0)</f>
        <v>0</v>
      </c>
      <c r="P97" s="14" cm="1">
        <f t="array" ref="P97">INT(SUMPRODUCT(--ISNUMBER(SEARCH(foreign,C97)))&gt;0)</f>
        <v>0</v>
      </c>
      <c r="Q97" s="14" cm="1">
        <f t="array" ref="Q97">INT(SUMPRODUCT(--ISNUMBER(SEARCH(gun,C97)))&gt;0)</f>
        <v>0</v>
      </c>
      <c r="R97" s="14" cm="1">
        <f t="array" ref="R97">INT(SUMPRODUCT(--ISNUMBER(SEARCH(race,C97)))&gt;0)</f>
        <v>0</v>
      </c>
      <c r="S97" s="14" cm="1">
        <f t="array" ref="S97">INT(SUMPRODUCT(--ISNUMBER(SEARCH(immigration,C97)))&gt;0)</f>
        <v>0</v>
      </c>
      <c r="T97" s="14" cm="1">
        <f t="array" ref="T97">INT(SUMPRODUCT(--ISNUMBER(SEARCH(econineq,C98)))&gt;0)</f>
        <v>0</v>
      </c>
      <c r="U97" s="14" cm="1">
        <f t="array" ref="U97">INT(SUMPRODUCT(--ISNUMBER(SEARCH(climate,C97)))&gt;0)</f>
        <v>0</v>
      </c>
      <c r="V97" s="14" cm="1">
        <f t="array" ref="V97">INT(SUMPRODUCT(--ISNUMBER(SEARCH(abortion,C97)))&gt;0)</f>
        <v>0</v>
      </c>
      <c r="W97" s="14" cm="1">
        <f t="array" ref="W97">INT(SUMPRODUCT(--ISNUMBER(SEARCH(trump,C97)))&gt;0)</f>
        <v>0</v>
      </c>
      <c r="X97" s="14" cm="1">
        <f t="array" ref="X97">INT(SUMPRODUCT(--ISNUMBER(SEARCH(voting,C97)))&gt;0)</f>
        <v>1</v>
      </c>
      <c r="Y97" s="14" cm="1">
        <f t="array" ref="Y97">INT(SUMPRODUCT(--ISNUMBER(SEARCH(democrattrigger,C97)))&gt;0)</f>
        <v>1</v>
      </c>
      <c r="Z97" s="14" cm="1">
        <f t="array" ref="Z97">INT(SUMPRODUCT(--ISNUMBER(SEARCH(bipartisan,C97)))&gt;0)</f>
        <v>0</v>
      </c>
      <c r="AA97" s="14">
        <f t="shared" si="1"/>
        <v>0</v>
      </c>
      <c r="AB97" s="14"/>
      <c r="AC97" s="30" t="s">
        <v>223</v>
      </c>
      <c r="AD97" s="37" t="s">
        <v>223</v>
      </c>
    </row>
    <row r="98" spans="1:30" x14ac:dyDescent="0.25">
      <c r="A98" s="36">
        <v>1083</v>
      </c>
      <c r="B98" s="14" t="s">
        <v>2193</v>
      </c>
      <c r="C98" s="14" t="s">
        <v>2194</v>
      </c>
      <c r="D98" s="18">
        <v>44122</v>
      </c>
      <c r="E98" s="14" t="s">
        <v>30</v>
      </c>
      <c r="F98" s="14">
        <v>912</v>
      </c>
      <c r="G98" s="14">
        <v>380</v>
      </c>
      <c r="H98" s="14">
        <v>6</v>
      </c>
      <c r="I98" s="14">
        <v>3</v>
      </c>
      <c r="J98" s="14" t="s">
        <v>204</v>
      </c>
      <c r="K98" s="14" cm="1">
        <f t="array" ref="K98">INT(SUMPRODUCT(--ISNUMBER(SEARCH(economy,C98)))&gt;0)</f>
        <v>0</v>
      </c>
      <c r="L98" s="14" cm="1">
        <f t="array" ref="L98">INT(SUMPRODUCT(--ISNUMBER(SEARCH(healthcare,C98)))&gt;0)</f>
        <v>0</v>
      </c>
      <c r="M98" s="14" cm="1">
        <f t="array" ref="M98">INT(SUMPRODUCT(--ISNUMBER(SEARCH(supreme,C98)))&gt;0)</f>
        <v>0</v>
      </c>
      <c r="N98" s="14" cm="1">
        <f t="array" ref="N98">INT(SUMPRODUCT(--ISNUMBER(SEARCH(covid,C98)))&gt;0)</f>
        <v>1</v>
      </c>
      <c r="O98" s="14" cm="1">
        <f t="array" ref="O98">INT(SUMPRODUCT(--ISNUMBER(SEARCH(violent,C98)))&gt;0)</f>
        <v>0</v>
      </c>
      <c r="P98" s="14" cm="1">
        <f t="array" ref="P98">INT(SUMPRODUCT(--ISNUMBER(SEARCH(foreign,C98)))&gt;0)</f>
        <v>0</v>
      </c>
      <c r="Q98" s="14" cm="1">
        <f t="array" ref="Q98">INT(SUMPRODUCT(--ISNUMBER(SEARCH(gun,C98)))&gt;0)</f>
        <v>0</v>
      </c>
      <c r="R98" s="14" cm="1">
        <f t="array" ref="R98">INT(SUMPRODUCT(--ISNUMBER(SEARCH(race,C98)))&gt;0)</f>
        <v>0</v>
      </c>
      <c r="S98" s="14" cm="1">
        <f t="array" ref="S98">INT(SUMPRODUCT(--ISNUMBER(SEARCH(immigration,C98)))&gt;0)</f>
        <v>0</v>
      </c>
      <c r="T98" s="14" cm="1">
        <f t="array" ref="T98">INT(SUMPRODUCT(--ISNUMBER(SEARCH(econineq,C99)))&gt;0)</f>
        <v>0</v>
      </c>
      <c r="U98" s="14" cm="1">
        <f t="array" ref="U98">INT(SUMPRODUCT(--ISNUMBER(SEARCH(climate,C98)))&gt;0)</f>
        <v>0</v>
      </c>
      <c r="V98" s="14" cm="1">
        <f t="array" ref="V98">INT(SUMPRODUCT(--ISNUMBER(SEARCH(abortion,C98)))&gt;0)</f>
        <v>0</v>
      </c>
      <c r="W98" s="14" cm="1">
        <f t="array" ref="W98">INT(SUMPRODUCT(--ISNUMBER(SEARCH(trump,C98)))&gt;0)</f>
        <v>0</v>
      </c>
      <c r="X98" s="14" cm="1">
        <f t="array" ref="X98">INT(SUMPRODUCT(--ISNUMBER(SEARCH(voting,C98)))&gt;0)</f>
        <v>0</v>
      </c>
      <c r="Y98" s="14" cm="1">
        <f t="array" ref="Y98">INT(SUMPRODUCT(--ISNUMBER(SEARCH(democrattrigger,C98)))&gt;0)</f>
        <v>0</v>
      </c>
      <c r="Z98" s="14" cm="1">
        <f t="array" ref="Z98">INT(SUMPRODUCT(--ISNUMBER(SEARCH(bipartisan,C98)))&gt;0)</f>
        <v>0</v>
      </c>
      <c r="AA98" s="14">
        <f t="shared" si="1"/>
        <v>0</v>
      </c>
      <c r="AB98" s="14"/>
      <c r="AC98" s="30" t="s">
        <v>223</v>
      </c>
      <c r="AD98" s="37" t="s">
        <v>223</v>
      </c>
    </row>
    <row r="99" spans="1:30" x14ac:dyDescent="0.25">
      <c r="A99" s="36">
        <v>1084</v>
      </c>
      <c r="B99" s="14" t="s">
        <v>2195</v>
      </c>
      <c r="C99" s="14" t="s">
        <v>2196</v>
      </c>
      <c r="D99" s="18">
        <v>44122</v>
      </c>
      <c r="E99" s="14" t="s">
        <v>30</v>
      </c>
      <c r="F99" s="14">
        <v>80</v>
      </c>
      <c r="G99" s="14">
        <v>44</v>
      </c>
      <c r="H99" s="14">
        <v>6</v>
      </c>
      <c r="I99" s="14">
        <v>3</v>
      </c>
      <c r="J99" s="14" t="s">
        <v>204</v>
      </c>
      <c r="K99" s="14" cm="1">
        <f t="array" ref="K99">INT(SUMPRODUCT(--ISNUMBER(SEARCH(economy,C99)))&gt;0)</f>
        <v>0</v>
      </c>
      <c r="L99" s="14" cm="1">
        <f t="array" ref="L99">INT(SUMPRODUCT(--ISNUMBER(SEARCH(healthcare,C99)))&gt;0)</f>
        <v>0</v>
      </c>
      <c r="M99" s="14" cm="1">
        <f t="array" ref="M99">INT(SUMPRODUCT(--ISNUMBER(SEARCH(supreme,C99)))&gt;0)</f>
        <v>0</v>
      </c>
      <c r="N99" s="14" cm="1">
        <f t="array" ref="N99">INT(SUMPRODUCT(--ISNUMBER(SEARCH(covid,C99)))&gt;0)</f>
        <v>0</v>
      </c>
      <c r="O99" s="14" cm="1">
        <f t="array" ref="O99">INT(SUMPRODUCT(--ISNUMBER(SEARCH(violent,C99)))&gt;0)</f>
        <v>0</v>
      </c>
      <c r="P99" s="14" cm="1">
        <f t="array" ref="P99">INT(SUMPRODUCT(--ISNUMBER(SEARCH(foreign,C99)))&gt;0)</f>
        <v>0</v>
      </c>
      <c r="Q99" s="14" cm="1">
        <f t="array" ref="Q99">INT(SUMPRODUCT(--ISNUMBER(SEARCH(gun,C99)))&gt;0)</f>
        <v>0</v>
      </c>
      <c r="R99" s="14" cm="1">
        <f t="array" ref="R99">INT(SUMPRODUCT(--ISNUMBER(SEARCH(race,C99)))&gt;0)</f>
        <v>0</v>
      </c>
      <c r="S99" s="14" cm="1">
        <f t="array" ref="S99">INT(SUMPRODUCT(--ISNUMBER(SEARCH(immigration,C99)))&gt;0)</f>
        <v>0</v>
      </c>
      <c r="T99" s="14" cm="1">
        <f t="array" ref="T99">INT(SUMPRODUCT(--ISNUMBER(SEARCH(econineq,C100)))&gt;0)</f>
        <v>0</v>
      </c>
      <c r="U99" s="14" cm="1">
        <f t="array" ref="U99">INT(SUMPRODUCT(--ISNUMBER(SEARCH(climate,C99)))&gt;0)</f>
        <v>0</v>
      </c>
      <c r="V99" s="14" cm="1">
        <f t="array" ref="V99">INT(SUMPRODUCT(--ISNUMBER(SEARCH(abortion,C99)))&gt;0)</f>
        <v>0</v>
      </c>
      <c r="W99" s="14" cm="1">
        <f t="array" ref="W99">INT(SUMPRODUCT(--ISNUMBER(SEARCH(trump,C99)))&gt;0)</f>
        <v>0</v>
      </c>
      <c r="X99" s="14" cm="1">
        <f t="array" ref="X99">INT(SUMPRODUCT(--ISNUMBER(SEARCH(voting,C99)))&gt;0)</f>
        <v>1</v>
      </c>
      <c r="Y99" s="14" cm="1">
        <f t="array" ref="Y99">INT(SUMPRODUCT(--ISNUMBER(SEARCH(democrattrigger,C99)))&gt;0)</f>
        <v>0</v>
      </c>
      <c r="Z99" s="14" cm="1">
        <f t="array" ref="Z99">INT(SUMPRODUCT(--ISNUMBER(SEARCH(bipartisan,C99)))&gt;0)</f>
        <v>0</v>
      </c>
      <c r="AA99" s="14">
        <f t="shared" si="1"/>
        <v>0</v>
      </c>
      <c r="AB99" s="14"/>
      <c r="AC99" s="30" t="s">
        <v>223</v>
      </c>
      <c r="AD99" s="37" t="s">
        <v>223</v>
      </c>
    </row>
    <row r="100" spans="1:30" x14ac:dyDescent="0.25">
      <c r="A100" s="36">
        <v>1085</v>
      </c>
      <c r="B100" s="14" t="s">
        <v>2197</v>
      </c>
      <c r="C100" s="14" t="s">
        <v>2198</v>
      </c>
      <c r="D100" s="18">
        <v>44122</v>
      </c>
      <c r="E100" s="14" t="s">
        <v>30</v>
      </c>
      <c r="F100" s="14">
        <v>3149</v>
      </c>
      <c r="G100" s="14">
        <v>662</v>
      </c>
      <c r="H100" s="14">
        <v>6</v>
      </c>
      <c r="I100" s="14">
        <v>3</v>
      </c>
      <c r="J100" s="14" t="s">
        <v>204</v>
      </c>
      <c r="K100" s="14" cm="1">
        <f t="array" ref="K100">INT(SUMPRODUCT(--ISNUMBER(SEARCH(economy,C100)))&gt;0)</f>
        <v>1</v>
      </c>
      <c r="L100" s="14" cm="1">
        <f t="array" ref="L100">INT(SUMPRODUCT(--ISNUMBER(SEARCH(healthcare,C100)))&gt;0)</f>
        <v>0</v>
      </c>
      <c r="M100" s="14" cm="1">
        <f t="array" ref="M100">INT(SUMPRODUCT(--ISNUMBER(SEARCH(supreme,C100)))&gt;0)</f>
        <v>0</v>
      </c>
      <c r="N100" s="14" cm="1">
        <f t="array" ref="N100">INT(SUMPRODUCT(--ISNUMBER(SEARCH(covid,C100)))&gt;0)</f>
        <v>0</v>
      </c>
      <c r="O100" s="14" cm="1">
        <f t="array" ref="O100">INT(SUMPRODUCT(--ISNUMBER(SEARCH(violent,C100)))&gt;0)</f>
        <v>0</v>
      </c>
      <c r="P100" s="14" cm="1">
        <f t="array" ref="P100">INT(SUMPRODUCT(--ISNUMBER(SEARCH(foreign,C100)))&gt;0)</f>
        <v>0</v>
      </c>
      <c r="Q100" s="14" cm="1">
        <f t="array" ref="Q100">INT(SUMPRODUCT(--ISNUMBER(SEARCH(gun,C100)))&gt;0)</f>
        <v>1</v>
      </c>
      <c r="R100" s="14" cm="1">
        <f t="array" ref="R100">INT(SUMPRODUCT(--ISNUMBER(SEARCH(race,C100)))&gt;0)</f>
        <v>0</v>
      </c>
      <c r="S100" s="14" cm="1">
        <f t="array" ref="S100">INT(SUMPRODUCT(--ISNUMBER(SEARCH(immigration,C100)))&gt;0)</f>
        <v>0</v>
      </c>
      <c r="T100" s="14" cm="1">
        <f t="array" ref="T100">INT(SUMPRODUCT(--ISNUMBER(SEARCH(econineq,C101)))&gt;0)</f>
        <v>0</v>
      </c>
      <c r="U100" s="14" cm="1">
        <f t="array" ref="U100">INT(SUMPRODUCT(--ISNUMBER(SEARCH(climate,C100)))&gt;0)</f>
        <v>0</v>
      </c>
      <c r="V100" s="14" cm="1">
        <f t="array" ref="V100">INT(SUMPRODUCT(--ISNUMBER(SEARCH(abortion,C100)))&gt;0)</f>
        <v>0</v>
      </c>
      <c r="W100" s="14" cm="1">
        <f t="array" ref="W100">INT(SUMPRODUCT(--ISNUMBER(SEARCH(trump,C100)))&gt;0)</f>
        <v>0</v>
      </c>
      <c r="X100" s="14" cm="1">
        <f t="array" ref="X100">INT(SUMPRODUCT(--ISNUMBER(SEARCH(voting,C100)))&gt;0)</f>
        <v>0</v>
      </c>
      <c r="Y100" s="14" cm="1">
        <f t="array" ref="Y100">INT(SUMPRODUCT(--ISNUMBER(SEARCH(democrattrigger,C100)))&gt;0)</f>
        <v>0</v>
      </c>
      <c r="Z100" s="14" cm="1">
        <f t="array" ref="Z100">INT(SUMPRODUCT(--ISNUMBER(SEARCH(bipartisan,C100)))&gt;0)</f>
        <v>0</v>
      </c>
      <c r="AA100" s="14">
        <f t="shared" si="1"/>
        <v>0</v>
      </c>
      <c r="AB100" s="14"/>
      <c r="AC100" s="30">
        <v>1</v>
      </c>
      <c r="AD100" s="37">
        <v>0</v>
      </c>
    </row>
    <row r="101" spans="1:30" x14ac:dyDescent="0.25">
      <c r="A101" s="36">
        <v>1086</v>
      </c>
      <c r="B101" s="14" t="s">
        <v>2199</v>
      </c>
      <c r="C101" s="14" t="s">
        <v>2200</v>
      </c>
      <c r="D101" s="18">
        <v>44121</v>
      </c>
      <c r="E101" s="14" t="s">
        <v>30</v>
      </c>
      <c r="F101" s="14">
        <v>1003</v>
      </c>
      <c r="G101" s="14">
        <v>390</v>
      </c>
      <c r="H101" s="14">
        <v>6</v>
      </c>
      <c r="I101" s="14">
        <v>3</v>
      </c>
      <c r="J101" s="14" t="s">
        <v>204</v>
      </c>
      <c r="K101" s="14" cm="1">
        <f t="array" ref="K101">INT(SUMPRODUCT(--ISNUMBER(SEARCH(economy,C101)))&gt;0)</f>
        <v>0</v>
      </c>
      <c r="L101" s="14" cm="1">
        <f t="array" ref="L101">INT(SUMPRODUCT(--ISNUMBER(SEARCH(healthcare,C101)))&gt;0)</f>
        <v>0</v>
      </c>
      <c r="M101" s="14" cm="1">
        <f t="array" ref="M101">INT(SUMPRODUCT(--ISNUMBER(SEARCH(supreme,C101)))&gt;0)</f>
        <v>0</v>
      </c>
      <c r="N101" s="14" cm="1">
        <f t="array" ref="N101">INT(SUMPRODUCT(--ISNUMBER(SEARCH(covid,C101)))&gt;0)</f>
        <v>0</v>
      </c>
      <c r="O101" s="14" cm="1">
        <f t="array" ref="O101">INT(SUMPRODUCT(--ISNUMBER(SEARCH(violent,C101)))&gt;0)</f>
        <v>0</v>
      </c>
      <c r="P101" s="14" cm="1">
        <f t="array" ref="P101">INT(SUMPRODUCT(--ISNUMBER(SEARCH(foreign,C101)))&gt;0)</f>
        <v>0</v>
      </c>
      <c r="Q101" s="14" cm="1">
        <f t="array" ref="Q101">INT(SUMPRODUCT(--ISNUMBER(SEARCH(gun,C101)))&gt;0)</f>
        <v>0</v>
      </c>
      <c r="R101" s="14" cm="1">
        <f t="array" ref="R101">INT(SUMPRODUCT(--ISNUMBER(SEARCH(race,C101)))&gt;0)</f>
        <v>0</v>
      </c>
      <c r="S101" s="14" cm="1">
        <f t="array" ref="S101">INT(SUMPRODUCT(--ISNUMBER(SEARCH(immigration,C101)))&gt;0)</f>
        <v>0</v>
      </c>
      <c r="T101" s="14" cm="1">
        <f t="array" ref="T101">INT(SUMPRODUCT(--ISNUMBER(SEARCH(econineq,C102)))&gt;0)</f>
        <v>0</v>
      </c>
      <c r="U101" s="14" cm="1">
        <f t="array" ref="U101">INT(SUMPRODUCT(--ISNUMBER(SEARCH(climate,C101)))&gt;0)</f>
        <v>0</v>
      </c>
      <c r="V101" s="14" cm="1">
        <f t="array" ref="V101">INT(SUMPRODUCT(--ISNUMBER(SEARCH(abortion,C101)))&gt;0)</f>
        <v>0</v>
      </c>
      <c r="W101" s="14" cm="1">
        <f t="array" ref="W101">INT(SUMPRODUCT(--ISNUMBER(SEARCH(trump,C101)))&gt;0)</f>
        <v>0</v>
      </c>
      <c r="X101" s="14" cm="1">
        <f t="array" ref="X101">INT(SUMPRODUCT(--ISNUMBER(SEARCH(voting,C101)))&gt;0)</f>
        <v>1</v>
      </c>
      <c r="Y101" s="14" cm="1">
        <f t="array" ref="Y101">INT(SUMPRODUCT(--ISNUMBER(SEARCH(democrattrigger,C101)))&gt;0)</f>
        <v>0</v>
      </c>
      <c r="Z101" s="14" cm="1">
        <f t="array" ref="Z101">INT(SUMPRODUCT(--ISNUMBER(SEARCH(bipartisan,C101)))&gt;0)</f>
        <v>0</v>
      </c>
      <c r="AA101" s="14">
        <f t="shared" si="1"/>
        <v>0</v>
      </c>
      <c r="AB101" s="14"/>
      <c r="AC101" s="30" t="s">
        <v>223</v>
      </c>
      <c r="AD101" s="37" t="s">
        <v>223</v>
      </c>
    </row>
    <row r="102" spans="1:30" x14ac:dyDescent="0.25">
      <c r="A102" s="36">
        <v>1087</v>
      </c>
      <c r="B102" s="14" t="s">
        <v>2201</v>
      </c>
      <c r="C102" s="14" t="s">
        <v>2202</v>
      </c>
      <c r="D102" s="18">
        <v>44121</v>
      </c>
      <c r="E102" s="14" t="s">
        <v>30</v>
      </c>
      <c r="F102" s="14">
        <v>126709</v>
      </c>
      <c r="G102" s="14">
        <v>18528</v>
      </c>
      <c r="H102" s="14">
        <v>6</v>
      </c>
      <c r="I102" s="14">
        <v>3</v>
      </c>
      <c r="J102" s="14" t="s">
        <v>204</v>
      </c>
      <c r="K102" s="14" cm="1">
        <f t="array" ref="K102">INT(SUMPRODUCT(--ISNUMBER(SEARCH(economy,C102)))&gt;0)</f>
        <v>0</v>
      </c>
      <c r="L102" s="14" cm="1">
        <f t="array" ref="L102">INT(SUMPRODUCT(--ISNUMBER(SEARCH(healthcare,C102)))&gt;0)</f>
        <v>0</v>
      </c>
      <c r="M102" s="14" cm="1">
        <f t="array" ref="M102">INT(SUMPRODUCT(--ISNUMBER(SEARCH(supreme,C102)))&gt;0)</f>
        <v>0</v>
      </c>
      <c r="N102" s="14" cm="1">
        <f t="array" ref="N102">INT(SUMPRODUCT(--ISNUMBER(SEARCH(covid,C102)))&gt;0)</f>
        <v>0</v>
      </c>
      <c r="O102" s="14" cm="1">
        <f t="array" ref="O102">INT(SUMPRODUCT(--ISNUMBER(SEARCH(violent,C102)))&gt;0)</f>
        <v>0</v>
      </c>
      <c r="P102" s="14" cm="1">
        <f t="array" ref="P102">INT(SUMPRODUCT(--ISNUMBER(SEARCH(foreign,C102)))&gt;0)</f>
        <v>0</v>
      </c>
      <c r="Q102" s="14" cm="1">
        <f t="array" ref="Q102">INT(SUMPRODUCT(--ISNUMBER(SEARCH(gun,C102)))&gt;0)</f>
        <v>0</v>
      </c>
      <c r="R102" s="14" cm="1">
        <f t="array" ref="R102">INT(SUMPRODUCT(--ISNUMBER(SEARCH(race,C102)))&gt;0)</f>
        <v>0</v>
      </c>
      <c r="S102" s="14" cm="1">
        <f t="array" ref="S102">INT(SUMPRODUCT(--ISNUMBER(SEARCH(immigration,C102)))&gt;0)</f>
        <v>0</v>
      </c>
      <c r="T102" s="14" cm="1">
        <f t="array" ref="T102">INT(SUMPRODUCT(--ISNUMBER(SEARCH(econineq,C103)))&gt;0)</f>
        <v>0</v>
      </c>
      <c r="U102" s="14" cm="1">
        <f t="array" ref="U102">INT(SUMPRODUCT(--ISNUMBER(SEARCH(climate,C102)))&gt;0)</f>
        <v>0</v>
      </c>
      <c r="V102" s="14" cm="1">
        <f t="array" ref="V102">INT(SUMPRODUCT(--ISNUMBER(SEARCH(abortion,C102)))&gt;0)</f>
        <v>0</v>
      </c>
      <c r="W102" s="14" cm="1">
        <f t="array" ref="W102">INT(SUMPRODUCT(--ISNUMBER(SEARCH(trump,C102)))&gt;0)</f>
        <v>0</v>
      </c>
      <c r="X102" s="14" cm="1">
        <f t="array" ref="X102">INT(SUMPRODUCT(--ISNUMBER(SEARCH(voting,C102)))&gt;0)</f>
        <v>0</v>
      </c>
      <c r="Y102" s="14" cm="1">
        <f t="array" ref="Y102">INT(SUMPRODUCT(--ISNUMBER(SEARCH(democrattrigger,C102)))&gt;0)</f>
        <v>0</v>
      </c>
      <c r="Z102" s="14" cm="1">
        <f t="array" ref="Z102">INT(SUMPRODUCT(--ISNUMBER(SEARCH(bipartisan,C102)))&gt;0)</f>
        <v>0</v>
      </c>
      <c r="AA102" s="14">
        <f t="shared" si="1"/>
        <v>1</v>
      </c>
      <c r="AB102" s="14"/>
      <c r="AC102" s="30" t="s">
        <v>223</v>
      </c>
      <c r="AD102" s="37" t="s">
        <v>223</v>
      </c>
    </row>
    <row r="103" spans="1:30" x14ac:dyDescent="0.25">
      <c r="A103" s="36">
        <v>1088</v>
      </c>
      <c r="B103" s="14" t="s">
        <v>2203</v>
      </c>
      <c r="C103" s="14" t="s">
        <v>2204</v>
      </c>
      <c r="D103" s="18">
        <v>44121</v>
      </c>
      <c r="E103" s="14" t="s">
        <v>30</v>
      </c>
      <c r="F103" s="14">
        <v>2830</v>
      </c>
      <c r="G103" s="14">
        <v>835</v>
      </c>
      <c r="H103" s="14">
        <v>6</v>
      </c>
      <c r="I103" s="14">
        <v>3</v>
      </c>
      <c r="J103" s="14" t="s">
        <v>204</v>
      </c>
      <c r="K103" s="14" cm="1">
        <f t="array" ref="K103">INT(SUMPRODUCT(--ISNUMBER(SEARCH(economy,C103)))&gt;0)</f>
        <v>0</v>
      </c>
      <c r="L103" s="14" cm="1">
        <f t="array" ref="L103">INT(SUMPRODUCT(--ISNUMBER(SEARCH(healthcare,C103)))&gt;0)</f>
        <v>1</v>
      </c>
      <c r="M103" s="14" cm="1">
        <f t="array" ref="M103">INT(SUMPRODUCT(--ISNUMBER(SEARCH(supreme,C103)))&gt;0)</f>
        <v>0</v>
      </c>
      <c r="N103" s="14" cm="1">
        <f t="array" ref="N103">INT(SUMPRODUCT(--ISNUMBER(SEARCH(covid,C103)))&gt;0)</f>
        <v>0</v>
      </c>
      <c r="O103" s="14" cm="1">
        <f t="array" ref="O103">INT(SUMPRODUCT(--ISNUMBER(SEARCH(violent,C103)))&gt;0)</f>
        <v>0</v>
      </c>
      <c r="P103" s="14" cm="1">
        <f t="array" ref="P103">INT(SUMPRODUCT(--ISNUMBER(SEARCH(foreign,C103)))&gt;0)</f>
        <v>0</v>
      </c>
      <c r="Q103" s="14" cm="1">
        <f t="array" ref="Q103">INT(SUMPRODUCT(--ISNUMBER(SEARCH(gun,C103)))&gt;0)</f>
        <v>0</v>
      </c>
      <c r="R103" s="14" cm="1">
        <f t="array" ref="R103">INT(SUMPRODUCT(--ISNUMBER(SEARCH(race,C103)))&gt;0)</f>
        <v>1</v>
      </c>
      <c r="S103" s="14" cm="1">
        <f t="array" ref="S103">INT(SUMPRODUCT(--ISNUMBER(SEARCH(immigration,C103)))&gt;0)</f>
        <v>0</v>
      </c>
      <c r="T103" s="14" cm="1">
        <f t="array" ref="T103">INT(SUMPRODUCT(--ISNUMBER(SEARCH(econineq,C104)))&gt;0)</f>
        <v>0</v>
      </c>
      <c r="U103" s="14" cm="1">
        <f t="array" ref="U103">INT(SUMPRODUCT(--ISNUMBER(SEARCH(climate,C103)))&gt;0)</f>
        <v>0</v>
      </c>
      <c r="V103" s="14" cm="1">
        <f t="array" ref="V103">INT(SUMPRODUCT(--ISNUMBER(SEARCH(abortion,C103)))&gt;0)</f>
        <v>0</v>
      </c>
      <c r="W103" s="14" cm="1">
        <f t="array" ref="W103">INT(SUMPRODUCT(--ISNUMBER(SEARCH(trump,C103)))&gt;0)</f>
        <v>0</v>
      </c>
      <c r="X103" s="14" cm="1">
        <f t="array" ref="X103">INT(SUMPRODUCT(--ISNUMBER(SEARCH(voting,C103)))&gt;0)</f>
        <v>0</v>
      </c>
      <c r="Y103" s="14" cm="1">
        <f t="array" ref="Y103">INT(SUMPRODUCT(--ISNUMBER(SEARCH(democrattrigger,C103)))&gt;0)</f>
        <v>0</v>
      </c>
      <c r="Z103" s="14" cm="1">
        <f t="array" ref="Z103">INT(SUMPRODUCT(--ISNUMBER(SEARCH(bipartisan,C103)))&gt;0)</f>
        <v>0</v>
      </c>
      <c r="AA103" s="14">
        <f t="shared" si="1"/>
        <v>0</v>
      </c>
      <c r="AB103" s="14"/>
      <c r="AC103" s="30" t="s">
        <v>223</v>
      </c>
      <c r="AD103" s="37" t="s">
        <v>223</v>
      </c>
    </row>
    <row r="104" spans="1:30" x14ac:dyDescent="0.25">
      <c r="A104" s="36">
        <v>1089</v>
      </c>
      <c r="B104" s="14" t="s">
        <v>2205</v>
      </c>
      <c r="C104" s="14" t="s">
        <v>2206</v>
      </c>
      <c r="D104" s="18">
        <v>44121</v>
      </c>
      <c r="E104" s="14" t="s">
        <v>30</v>
      </c>
      <c r="F104" s="14">
        <v>519</v>
      </c>
      <c r="G104" s="14">
        <v>160</v>
      </c>
      <c r="H104" s="14">
        <v>6</v>
      </c>
      <c r="I104" s="14">
        <v>3</v>
      </c>
      <c r="J104" s="14" t="s">
        <v>204</v>
      </c>
      <c r="K104" s="14" cm="1">
        <f t="array" ref="K104">INT(SUMPRODUCT(--ISNUMBER(SEARCH(economy,C104)))&gt;0)</f>
        <v>1</v>
      </c>
      <c r="L104" s="14" cm="1">
        <f t="array" ref="L104">INT(SUMPRODUCT(--ISNUMBER(SEARCH(healthcare,C104)))&gt;0)</f>
        <v>1</v>
      </c>
      <c r="M104" s="14" cm="1">
        <f t="array" ref="M104">INT(SUMPRODUCT(--ISNUMBER(SEARCH(supreme,C104)))&gt;0)</f>
        <v>0</v>
      </c>
      <c r="N104" s="14" cm="1">
        <f t="array" ref="N104">INT(SUMPRODUCT(--ISNUMBER(SEARCH(covid,C104)))&gt;0)</f>
        <v>0</v>
      </c>
      <c r="O104" s="14" cm="1">
        <f t="array" ref="O104">INT(SUMPRODUCT(--ISNUMBER(SEARCH(violent,C104)))&gt;0)</f>
        <v>0</v>
      </c>
      <c r="P104" s="14" cm="1">
        <f t="array" ref="P104">INT(SUMPRODUCT(--ISNUMBER(SEARCH(foreign,C104)))&gt;0)</f>
        <v>0</v>
      </c>
      <c r="Q104" s="14" cm="1">
        <f t="array" ref="Q104">INT(SUMPRODUCT(--ISNUMBER(SEARCH(gun,C104)))&gt;0)</f>
        <v>0</v>
      </c>
      <c r="R104" s="14" cm="1">
        <f t="array" ref="R104">INT(SUMPRODUCT(--ISNUMBER(SEARCH(race,C104)))&gt;0)</f>
        <v>1</v>
      </c>
      <c r="S104" s="14" cm="1">
        <f t="array" ref="S104">INT(SUMPRODUCT(--ISNUMBER(SEARCH(immigration,C104)))&gt;0)</f>
        <v>0</v>
      </c>
      <c r="T104" s="14" cm="1">
        <f t="array" ref="T104">INT(SUMPRODUCT(--ISNUMBER(SEARCH(econineq,C105)))&gt;0)</f>
        <v>0</v>
      </c>
      <c r="U104" s="14" cm="1">
        <f t="array" ref="U104">INT(SUMPRODUCT(--ISNUMBER(SEARCH(climate,C104)))&gt;0)</f>
        <v>0</v>
      </c>
      <c r="V104" s="14" cm="1">
        <f t="array" ref="V104">INT(SUMPRODUCT(--ISNUMBER(SEARCH(abortion,C104)))&gt;0)</f>
        <v>0</v>
      </c>
      <c r="W104" s="14" cm="1">
        <f t="array" ref="W104">INT(SUMPRODUCT(--ISNUMBER(SEARCH(trump,C104)))&gt;0)</f>
        <v>0</v>
      </c>
      <c r="X104" s="14" cm="1">
        <f t="array" ref="X104">INT(SUMPRODUCT(--ISNUMBER(SEARCH(voting,C104)))&gt;0)</f>
        <v>0</v>
      </c>
      <c r="Y104" s="14" cm="1">
        <f t="array" ref="Y104">INT(SUMPRODUCT(--ISNUMBER(SEARCH(democrattrigger,C104)))&gt;0)</f>
        <v>0</v>
      </c>
      <c r="Z104" s="14" cm="1">
        <f t="array" ref="Z104">INT(SUMPRODUCT(--ISNUMBER(SEARCH(bipartisan,C104)))&gt;0)</f>
        <v>0</v>
      </c>
      <c r="AA104" s="14">
        <f t="shared" si="1"/>
        <v>0</v>
      </c>
      <c r="AB104" s="14"/>
      <c r="AC104" s="30">
        <v>1</v>
      </c>
      <c r="AD104" s="37">
        <v>0</v>
      </c>
    </row>
    <row r="105" spans="1:30" x14ac:dyDescent="0.25">
      <c r="A105" s="36">
        <v>1090</v>
      </c>
      <c r="B105" s="14" t="s">
        <v>2207</v>
      </c>
      <c r="C105" s="14" t="s">
        <v>2208</v>
      </c>
      <c r="D105" s="18">
        <v>44121</v>
      </c>
      <c r="E105" s="14" t="s">
        <v>30</v>
      </c>
      <c r="F105" s="14">
        <v>2860</v>
      </c>
      <c r="G105" s="14">
        <v>916</v>
      </c>
      <c r="H105" s="14">
        <v>6</v>
      </c>
      <c r="I105" s="14">
        <v>3</v>
      </c>
      <c r="J105" s="14" t="s">
        <v>204</v>
      </c>
      <c r="K105" s="14" cm="1">
        <f t="array" ref="K105">INT(SUMPRODUCT(--ISNUMBER(SEARCH(economy,C105)))&gt;0)</f>
        <v>0</v>
      </c>
      <c r="L105" s="14" cm="1">
        <f t="array" ref="L105">INT(SUMPRODUCT(--ISNUMBER(SEARCH(healthcare,C105)))&gt;0)</f>
        <v>0</v>
      </c>
      <c r="M105" s="14" cm="1">
        <f t="array" ref="M105">INT(SUMPRODUCT(--ISNUMBER(SEARCH(supreme,C105)))&gt;0)</f>
        <v>0</v>
      </c>
      <c r="N105" s="14" cm="1">
        <f t="array" ref="N105">INT(SUMPRODUCT(--ISNUMBER(SEARCH(covid,C105)))&gt;0)</f>
        <v>0</v>
      </c>
      <c r="O105" s="14" cm="1">
        <f t="array" ref="O105">INT(SUMPRODUCT(--ISNUMBER(SEARCH(violent,C105)))&gt;0)</f>
        <v>0</v>
      </c>
      <c r="P105" s="14" cm="1">
        <f t="array" ref="P105">INT(SUMPRODUCT(--ISNUMBER(SEARCH(foreign,C105)))&gt;0)</f>
        <v>0</v>
      </c>
      <c r="Q105" s="14" cm="1">
        <f t="array" ref="Q105">INT(SUMPRODUCT(--ISNUMBER(SEARCH(gun,C105)))&gt;0)</f>
        <v>0</v>
      </c>
      <c r="R105" s="14" cm="1">
        <f t="array" ref="R105">INT(SUMPRODUCT(--ISNUMBER(SEARCH(race,C105)))&gt;0)</f>
        <v>0</v>
      </c>
      <c r="S105" s="14" cm="1">
        <f t="array" ref="S105">INT(SUMPRODUCT(--ISNUMBER(SEARCH(immigration,C105)))&gt;0)</f>
        <v>0</v>
      </c>
      <c r="T105" s="14" cm="1">
        <f t="array" ref="T105">INT(SUMPRODUCT(--ISNUMBER(SEARCH(econineq,C106)))&gt;0)</f>
        <v>0</v>
      </c>
      <c r="U105" s="14" cm="1">
        <f t="array" ref="U105">INT(SUMPRODUCT(--ISNUMBER(SEARCH(climate,C105)))&gt;0)</f>
        <v>1</v>
      </c>
      <c r="V105" s="14" cm="1">
        <f t="array" ref="V105">INT(SUMPRODUCT(--ISNUMBER(SEARCH(abortion,C105)))&gt;0)</f>
        <v>0</v>
      </c>
      <c r="W105" s="14" cm="1">
        <f t="array" ref="W105">INT(SUMPRODUCT(--ISNUMBER(SEARCH(trump,C105)))&gt;0)</f>
        <v>0</v>
      </c>
      <c r="X105" s="14" cm="1">
        <f t="array" ref="X105">INT(SUMPRODUCT(--ISNUMBER(SEARCH(voting,C105)))&gt;0)</f>
        <v>0</v>
      </c>
      <c r="Y105" s="14" cm="1">
        <f t="array" ref="Y105">INT(SUMPRODUCT(--ISNUMBER(SEARCH(democrattrigger,C105)))&gt;0)</f>
        <v>1</v>
      </c>
      <c r="Z105" s="14" cm="1">
        <f t="array" ref="Z105">INT(SUMPRODUCT(--ISNUMBER(SEARCH(bipartisan,C105)))&gt;0)</f>
        <v>0</v>
      </c>
      <c r="AA105" s="14">
        <f t="shared" si="1"/>
        <v>0</v>
      </c>
      <c r="AB105" s="14"/>
      <c r="AC105" s="30">
        <v>0</v>
      </c>
      <c r="AD105" s="37">
        <v>1</v>
      </c>
    </row>
    <row r="106" spans="1:30" x14ac:dyDescent="0.25">
      <c r="A106" s="36">
        <v>1091</v>
      </c>
      <c r="B106" s="14" t="s">
        <v>2209</v>
      </c>
      <c r="C106" s="14" t="s">
        <v>2210</v>
      </c>
      <c r="D106" s="18">
        <v>44120</v>
      </c>
      <c r="E106" s="14" t="s">
        <v>30</v>
      </c>
      <c r="F106" s="14">
        <v>60091</v>
      </c>
      <c r="G106" s="14">
        <v>11312</v>
      </c>
      <c r="H106" s="14">
        <v>6</v>
      </c>
      <c r="I106" s="14">
        <v>3</v>
      </c>
      <c r="J106" s="14" t="s">
        <v>204</v>
      </c>
      <c r="K106" s="14" cm="1">
        <f t="array" ref="K106">INT(SUMPRODUCT(--ISNUMBER(SEARCH(economy,C106)))&gt;0)</f>
        <v>0</v>
      </c>
      <c r="L106" s="14" cm="1">
        <f t="array" ref="L106">INT(SUMPRODUCT(--ISNUMBER(SEARCH(healthcare,C106)))&gt;0)</f>
        <v>0</v>
      </c>
      <c r="M106" s="14" cm="1">
        <f t="array" ref="M106">INT(SUMPRODUCT(--ISNUMBER(SEARCH(supreme,C106)))&gt;0)</f>
        <v>0</v>
      </c>
      <c r="N106" s="14" cm="1">
        <f t="array" ref="N106">INT(SUMPRODUCT(--ISNUMBER(SEARCH(covid,C106)))&gt;0)</f>
        <v>0</v>
      </c>
      <c r="O106" s="14" cm="1">
        <f t="array" ref="O106">INT(SUMPRODUCT(--ISNUMBER(SEARCH(violent,C106)))&gt;0)</f>
        <v>0</v>
      </c>
      <c r="P106" s="14" cm="1">
        <f t="array" ref="P106">INT(SUMPRODUCT(--ISNUMBER(SEARCH(foreign,C106)))&gt;0)</f>
        <v>0</v>
      </c>
      <c r="Q106" s="14" cm="1">
        <f t="array" ref="Q106">INT(SUMPRODUCT(--ISNUMBER(SEARCH(gun,C106)))&gt;0)</f>
        <v>0</v>
      </c>
      <c r="R106" s="14" cm="1">
        <f t="array" ref="R106">INT(SUMPRODUCT(--ISNUMBER(SEARCH(race,C106)))&gt;0)</f>
        <v>0</v>
      </c>
      <c r="S106" s="14" cm="1">
        <f t="array" ref="S106">INT(SUMPRODUCT(--ISNUMBER(SEARCH(immigration,C106)))&gt;0)</f>
        <v>0</v>
      </c>
      <c r="T106" s="14" cm="1">
        <f t="array" ref="T106">INT(SUMPRODUCT(--ISNUMBER(SEARCH(econineq,C107)))&gt;0)</f>
        <v>0</v>
      </c>
      <c r="U106" s="14" cm="1">
        <f t="array" ref="U106">INT(SUMPRODUCT(--ISNUMBER(SEARCH(climate,C106)))&gt;0)</f>
        <v>0</v>
      </c>
      <c r="V106" s="14" cm="1">
        <f t="array" ref="V106">INT(SUMPRODUCT(--ISNUMBER(SEARCH(abortion,C106)))&gt;0)</f>
        <v>0</v>
      </c>
      <c r="W106" s="14" cm="1">
        <f t="array" ref="W106">INT(SUMPRODUCT(--ISNUMBER(SEARCH(trump,C106)))&gt;0)</f>
        <v>0</v>
      </c>
      <c r="X106" s="14" cm="1">
        <f t="array" ref="X106">INT(SUMPRODUCT(--ISNUMBER(SEARCH(voting,C106)))&gt;0)</f>
        <v>0</v>
      </c>
      <c r="Y106" s="14" cm="1">
        <f t="array" ref="Y106">INT(SUMPRODUCT(--ISNUMBER(SEARCH(democrattrigger,C106)))&gt;0)</f>
        <v>1</v>
      </c>
      <c r="Z106" s="14" cm="1">
        <f t="array" ref="Z106">INT(SUMPRODUCT(--ISNUMBER(SEARCH(bipartisan,C106)))&gt;0)</f>
        <v>0</v>
      </c>
      <c r="AA106" s="14">
        <f t="shared" si="1"/>
        <v>0</v>
      </c>
      <c r="AB106" s="14"/>
      <c r="AC106" s="30" t="s">
        <v>223</v>
      </c>
      <c r="AD106" s="37" t="s">
        <v>223</v>
      </c>
    </row>
    <row r="107" spans="1:30" x14ac:dyDescent="0.25">
      <c r="A107" s="36">
        <v>1092</v>
      </c>
      <c r="B107" s="14" t="s">
        <v>2211</v>
      </c>
      <c r="C107" s="14" t="s">
        <v>2212</v>
      </c>
      <c r="D107" s="18">
        <v>44120</v>
      </c>
      <c r="E107" s="14" t="s">
        <v>30</v>
      </c>
      <c r="F107" s="14">
        <v>688</v>
      </c>
      <c r="G107" s="14">
        <v>242</v>
      </c>
      <c r="H107" s="14">
        <v>6</v>
      </c>
      <c r="I107" s="14">
        <v>3</v>
      </c>
      <c r="J107" s="14" t="s">
        <v>204</v>
      </c>
      <c r="K107" s="14" cm="1">
        <f t="array" ref="K107">INT(SUMPRODUCT(--ISNUMBER(SEARCH(economy,C107)))&gt;0)</f>
        <v>0</v>
      </c>
      <c r="L107" s="14" cm="1">
        <f t="array" ref="L107">INT(SUMPRODUCT(--ISNUMBER(SEARCH(healthcare,C107)))&gt;0)</f>
        <v>0</v>
      </c>
      <c r="M107" s="14" cm="1">
        <f t="array" ref="M107">INT(SUMPRODUCT(--ISNUMBER(SEARCH(supreme,C107)))&gt;0)</f>
        <v>0</v>
      </c>
      <c r="N107" s="14" cm="1">
        <f t="array" ref="N107">INT(SUMPRODUCT(--ISNUMBER(SEARCH(covid,C107)))&gt;0)</f>
        <v>0</v>
      </c>
      <c r="O107" s="14" cm="1">
        <f t="array" ref="O107">INT(SUMPRODUCT(--ISNUMBER(SEARCH(violent,C107)))&gt;0)</f>
        <v>0</v>
      </c>
      <c r="P107" s="14" cm="1">
        <f t="array" ref="P107">INT(SUMPRODUCT(--ISNUMBER(SEARCH(foreign,C107)))&gt;0)</f>
        <v>0</v>
      </c>
      <c r="Q107" s="14" cm="1">
        <f t="array" ref="Q107">INT(SUMPRODUCT(--ISNUMBER(SEARCH(gun,C107)))&gt;0)</f>
        <v>0</v>
      </c>
      <c r="R107" s="14" cm="1">
        <f t="array" ref="R107">INT(SUMPRODUCT(--ISNUMBER(SEARCH(race,C107)))&gt;0)</f>
        <v>0</v>
      </c>
      <c r="S107" s="14" cm="1">
        <f t="array" ref="S107">INT(SUMPRODUCT(--ISNUMBER(SEARCH(immigration,C107)))&gt;0)</f>
        <v>0</v>
      </c>
      <c r="T107" s="14" cm="1">
        <f t="array" ref="T107">INT(SUMPRODUCT(--ISNUMBER(SEARCH(econineq,C108)))&gt;0)</f>
        <v>0</v>
      </c>
      <c r="U107" s="14" cm="1">
        <f t="array" ref="U107">INT(SUMPRODUCT(--ISNUMBER(SEARCH(climate,C107)))&gt;0)</f>
        <v>0</v>
      </c>
      <c r="V107" s="14" cm="1">
        <f t="array" ref="V107">INT(SUMPRODUCT(--ISNUMBER(SEARCH(abortion,C107)))&gt;0)</f>
        <v>0</v>
      </c>
      <c r="W107" s="14" cm="1">
        <f t="array" ref="W107">INT(SUMPRODUCT(--ISNUMBER(SEARCH(trump,C107)))&gt;0)</f>
        <v>0</v>
      </c>
      <c r="X107" s="14" cm="1">
        <f t="array" ref="X107">INT(SUMPRODUCT(--ISNUMBER(SEARCH(voting,C107)))&gt;0)</f>
        <v>0</v>
      </c>
      <c r="Y107" s="14" cm="1">
        <f t="array" ref="Y107">INT(SUMPRODUCT(--ISNUMBER(SEARCH(democrattrigger,C107)))&gt;0)</f>
        <v>1</v>
      </c>
      <c r="Z107" s="14" cm="1">
        <f t="array" ref="Z107">INT(SUMPRODUCT(--ISNUMBER(SEARCH(bipartisan,C107)))&gt;0)</f>
        <v>0</v>
      </c>
      <c r="AA107" s="14">
        <f t="shared" si="1"/>
        <v>0</v>
      </c>
      <c r="AB107" s="14"/>
      <c r="AC107" s="30">
        <v>0</v>
      </c>
      <c r="AD107" s="37">
        <v>1</v>
      </c>
    </row>
    <row r="108" spans="1:30" x14ac:dyDescent="0.25">
      <c r="A108" s="36">
        <v>1093</v>
      </c>
      <c r="B108" s="14" t="s">
        <v>2213</v>
      </c>
      <c r="C108" s="14" t="s">
        <v>2214</v>
      </c>
      <c r="D108" s="18">
        <v>44120</v>
      </c>
      <c r="E108" s="14" t="s">
        <v>30</v>
      </c>
      <c r="F108" s="14">
        <v>520</v>
      </c>
      <c r="G108" s="14">
        <v>141</v>
      </c>
      <c r="H108" s="14">
        <v>6</v>
      </c>
      <c r="I108" s="14">
        <v>3</v>
      </c>
      <c r="J108" s="14" t="s">
        <v>204</v>
      </c>
      <c r="K108" s="14" cm="1">
        <f t="array" ref="K108">INT(SUMPRODUCT(--ISNUMBER(SEARCH(economy,C108)))&gt;0)</f>
        <v>1</v>
      </c>
      <c r="L108" s="14" cm="1">
        <f t="array" ref="L108">INT(SUMPRODUCT(--ISNUMBER(SEARCH(healthcare,C108)))&gt;0)</f>
        <v>0</v>
      </c>
      <c r="M108" s="14" cm="1">
        <f t="array" ref="M108">INT(SUMPRODUCT(--ISNUMBER(SEARCH(supreme,C108)))&gt;0)</f>
        <v>0</v>
      </c>
      <c r="N108" s="14" cm="1">
        <f t="array" ref="N108">INT(SUMPRODUCT(--ISNUMBER(SEARCH(covid,C108)))&gt;0)</f>
        <v>0</v>
      </c>
      <c r="O108" s="14" cm="1">
        <f t="array" ref="O108">INT(SUMPRODUCT(--ISNUMBER(SEARCH(violent,C108)))&gt;0)</f>
        <v>0</v>
      </c>
      <c r="P108" s="14" cm="1">
        <f t="array" ref="P108">INT(SUMPRODUCT(--ISNUMBER(SEARCH(foreign,C108)))&gt;0)</f>
        <v>0</v>
      </c>
      <c r="Q108" s="14" cm="1">
        <f t="array" ref="Q108">INT(SUMPRODUCT(--ISNUMBER(SEARCH(gun,C108)))&gt;0)</f>
        <v>0</v>
      </c>
      <c r="R108" s="14" cm="1">
        <f t="array" ref="R108">INT(SUMPRODUCT(--ISNUMBER(SEARCH(race,C108)))&gt;0)</f>
        <v>0</v>
      </c>
      <c r="S108" s="14" cm="1">
        <f t="array" ref="S108">INT(SUMPRODUCT(--ISNUMBER(SEARCH(immigration,C108)))&gt;0)</f>
        <v>0</v>
      </c>
      <c r="T108" s="14" cm="1">
        <f t="array" ref="T108">INT(SUMPRODUCT(--ISNUMBER(SEARCH(econineq,C109)))&gt;0)</f>
        <v>0</v>
      </c>
      <c r="U108" s="14" cm="1">
        <f t="array" ref="U108">INT(SUMPRODUCT(--ISNUMBER(SEARCH(climate,C108)))&gt;0)</f>
        <v>0</v>
      </c>
      <c r="V108" s="14" cm="1">
        <f t="array" ref="V108">INT(SUMPRODUCT(--ISNUMBER(SEARCH(abortion,C108)))&gt;0)</f>
        <v>0</v>
      </c>
      <c r="W108" s="14" cm="1">
        <f t="array" ref="W108">INT(SUMPRODUCT(--ISNUMBER(SEARCH(trump,C108)))&gt;0)</f>
        <v>0</v>
      </c>
      <c r="X108" s="14" cm="1">
        <f t="array" ref="X108">INT(SUMPRODUCT(--ISNUMBER(SEARCH(voting,C108)))&gt;0)</f>
        <v>0</v>
      </c>
      <c r="Y108" s="14" cm="1">
        <f t="array" ref="Y108">INT(SUMPRODUCT(--ISNUMBER(SEARCH(democrattrigger,C108)))&gt;0)</f>
        <v>0</v>
      </c>
      <c r="Z108" s="14" cm="1">
        <f t="array" ref="Z108">INT(SUMPRODUCT(--ISNUMBER(SEARCH(bipartisan,C108)))&gt;0)</f>
        <v>0</v>
      </c>
      <c r="AA108" s="14">
        <f t="shared" si="1"/>
        <v>0</v>
      </c>
      <c r="AB108" s="14"/>
      <c r="AC108" s="30">
        <v>1</v>
      </c>
      <c r="AD108" s="37">
        <v>0</v>
      </c>
    </row>
    <row r="109" spans="1:30" x14ac:dyDescent="0.25">
      <c r="A109" s="36">
        <v>1094</v>
      </c>
      <c r="B109" s="14" t="s">
        <v>2215</v>
      </c>
      <c r="C109" s="14" t="s">
        <v>2216</v>
      </c>
      <c r="D109" s="18">
        <v>44120</v>
      </c>
      <c r="E109" s="14" t="s">
        <v>30</v>
      </c>
      <c r="F109" s="14">
        <v>1666</v>
      </c>
      <c r="G109" s="14">
        <v>576</v>
      </c>
      <c r="H109" s="14">
        <v>6</v>
      </c>
      <c r="I109" s="14">
        <v>3</v>
      </c>
      <c r="J109" s="14" t="s">
        <v>204</v>
      </c>
      <c r="K109" s="14" cm="1">
        <f t="array" ref="K109">INT(SUMPRODUCT(--ISNUMBER(SEARCH(economy,C109)))&gt;0)</f>
        <v>0</v>
      </c>
      <c r="L109" s="14" cm="1">
        <f t="array" ref="L109">INT(SUMPRODUCT(--ISNUMBER(SEARCH(healthcare,C109)))&gt;0)</f>
        <v>0</v>
      </c>
      <c r="M109" s="14" cm="1">
        <f t="array" ref="M109">INT(SUMPRODUCT(--ISNUMBER(SEARCH(supreme,C109)))&gt;0)</f>
        <v>0</v>
      </c>
      <c r="N109" s="14" cm="1">
        <f t="array" ref="N109">INT(SUMPRODUCT(--ISNUMBER(SEARCH(covid,C109)))&gt;0)</f>
        <v>0</v>
      </c>
      <c r="O109" s="14" cm="1">
        <f t="array" ref="O109">INT(SUMPRODUCT(--ISNUMBER(SEARCH(violent,C109)))&gt;0)</f>
        <v>0</v>
      </c>
      <c r="P109" s="14" cm="1">
        <f t="array" ref="P109">INT(SUMPRODUCT(--ISNUMBER(SEARCH(foreign,C109)))&gt;0)</f>
        <v>0</v>
      </c>
      <c r="Q109" s="14" cm="1">
        <f t="array" ref="Q109">INT(SUMPRODUCT(--ISNUMBER(SEARCH(gun,C109)))&gt;0)</f>
        <v>0</v>
      </c>
      <c r="R109" s="14" cm="1">
        <f t="array" ref="R109">INT(SUMPRODUCT(--ISNUMBER(SEARCH(race,C109)))&gt;0)</f>
        <v>0</v>
      </c>
      <c r="S109" s="14" cm="1">
        <f t="array" ref="S109">INT(SUMPRODUCT(--ISNUMBER(SEARCH(immigration,C109)))&gt;0)</f>
        <v>0</v>
      </c>
      <c r="T109" s="14" cm="1">
        <f t="array" ref="T109">INT(SUMPRODUCT(--ISNUMBER(SEARCH(econineq,C110)))&gt;0)</f>
        <v>0</v>
      </c>
      <c r="U109" s="14" cm="1">
        <f t="array" ref="U109">INT(SUMPRODUCT(--ISNUMBER(SEARCH(climate,C109)))&gt;0)</f>
        <v>0</v>
      </c>
      <c r="V109" s="14" cm="1">
        <f t="array" ref="V109">INT(SUMPRODUCT(--ISNUMBER(SEARCH(abortion,C109)))&gt;0)</f>
        <v>0</v>
      </c>
      <c r="W109" s="14" cm="1">
        <f t="array" ref="W109">INT(SUMPRODUCT(--ISNUMBER(SEARCH(trump,C109)))&gt;0)</f>
        <v>0</v>
      </c>
      <c r="X109" s="14" cm="1">
        <f t="array" ref="X109">INT(SUMPRODUCT(--ISNUMBER(SEARCH(voting,C109)))&gt;0)</f>
        <v>0</v>
      </c>
      <c r="Y109" s="14" cm="1">
        <f t="array" ref="Y109">INT(SUMPRODUCT(--ISNUMBER(SEARCH(democrattrigger,C109)))&gt;0)</f>
        <v>1</v>
      </c>
      <c r="Z109" s="14" cm="1">
        <f t="array" ref="Z109">INT(SUMPRODUCT(--ISNUMBER(SEARCH(bipartisan,C109)))&gt;0)</f>
        <v>0</v>
      </c>
      <c r="AA109" s="14">
        <f t="shared" si="1"/>
        <v>0</v>
      </c>
      <c r="AB109" s="14"/>
      <c r="AC109" s="30" t="s">
        <v>223</v>
      </c>
      <c r="AD109" s="37" t="s">
        <v>223</v>
      </c>
    </row>
    <row r="110" spans="1:30" x14ac:dyDescent="0.25">
      <c r="A110" s="36">
        <v>1095</v>
      </c>
      <c r="B110" s="14" t="s">
        <v>2217</v>
      </c>
      <c r="C110" s="14" t="s">
        <v>2218</v>
      </c>
      <c r="D110" s="18">
        <v>44120</v>
      </c>
      <c r="E110" s="14" t="s">
        <v>30</v>
      </c>
      <c r="F110" s="14">
        <v>10458</v>
      </c>
      <c r="G110" s="14">
        <v>2472</v>
      </c>
      <c r="H110" s="14">
        <v>6</v>
      </c>
      <c r="I110" s="14">
        <v>3</v>
      </c>
      <c r="J110" s="14" t="s">
        <v>204</v>
      </c>
      <c r="K110" s="14" cm="1">
        <f t="array" ref="K110">INT(SUMPRODUCT(--ISNUMBER(SEARCH(economy,C110)))&gt;0)</f>
        <v>0</v>
      </c>
      <c r="L110" s="14" cm="1">
        <f t="array" ref="L110">INT(SUMPRODUCT(--ISNUMBER(SEARCH(healthcare,C110)))&gt;0)</f>
        <v>0</v>
      </c>
      <c r="M110" s="14" cm="1">
        <f t="array" ref="M110">INT(SUMPRODUCT(--ISNUMBER(SEARCH(supreme,C110)))&gt;0)</f>
        <v>0</v>
      </c>
      <c r="N110" s="14" cm="1">
        <f t="array" ref="N110">INT(SUMPRODUCT(--ISNUMBER(SEARCH(covid,C110)))&gt;0)</f>
        <v>0</v>
      </c>
      <c r="O110" s="14" cm="1">
        <f t="array" ref="O110">INT(SUMPRODUCT(--ISNUMBER(SEARCH(violent,C110)))&gt;0)</f>
        <v>0</v>
      </c>
      <c r="P110" s="14" cm="1">
        <f t="array" ref="P110">INT(SUMPRODUCT(--ISNUMBER(SEARCH(foreign,C110)))&gt;0)</f>
        <v>0</v>
      </c>
      <c r="Q110" s="14" cm="1">
        <f t="array" ref="Q110">INT(SUMPRODUCT(--ISNUMBER(SEARCH(gun,C110)))&gt;0)</f>
        <v>0</v>
      </c>
      <c r="R110" s="14" cm="1">
        <f t="array" ref="R110">INT(SUMPRODUCT(--ISNUMBER(SEARCH(race,C110)))&gt;0)</f>
        <v>0</v>
      </c>
      <c r="S110" s="14" cm="1">
        <f t="array" ref="S110">INT(SUMPRODUCT(--ISNUMBER(SEARCH(immigration,C110)))&gt;0)</f>
        <v>0</v>
      </c>
      <c r="T110" s="14" cm="1">
        <f t="array" ref="T110">INT(SUMPRODUCT(--ISNUMBER(SEARCH(econineq,C111)))&gt;0)</f>
        <v>0</v>
      </c>
      <c r="U110" s="14" cm="1">
        <f t="array" ref="U110">INT(SUMPRODUCT(--ISNUMBER(SEARCH(climate,C110)))&gt;0)</f>
        <v>0</v>
      </c>
      <c r="V110" s="14" cm="1">
        <f t="array" ref="V110">INT(SUMPRODUCT(--ISNUMBER(SEARCH(abortion,C110)))&gt;0)</f>
        <v>0</v>
      </c>
      <c r="W110" s="14" cm="1">
        <f t="array" ref="W110">INT(SUMPRODUCT(--ISNUMBER(SEARCH(trump,C110)))&gt;0)</f>
        <v>0</v>
      </c>
      <c r="X110" s="14" cm="1">
        <f t="array" ref="X110">INT(SUMPRODUCT(--ISNUMBER(SEARCH(voting,C110)))&gt;0)</f>
        <v>0</v>
      </c>
      <c r="Y110" s="14" cm="1">
        <f t="array" ref="Y110">INT(SUMPRODUCT(--ISNUMBER(SEARCH(democrattrigger,C110)))&gt;0)</f>
        <v>0</v>
      </c>
      <c r="Z110" s="14" cm="1">
        <f t="array" ref="Z110">INT(SUMPRODUCT(--ISNUMBER(SEARCH(bipartisan,C110)))&gt;0)</f>
        <v>0</v>
      </c>
      <c r="AA110" s="14">
        <f t="shared" si="1"/>
        <v>1</v>
      </c>
      <c r="AB110" s="14"/>
      <c r="AC110" s="30">
        <v>0</v>
      </c>
      <c r="AD110" s="37">
        <v>1</v>
      </c>
    </row>
    <row r="111" spans="1:30" x14ac:dyDescent="0.25">
      <c r="A111" s="36">
        <v>1096</v>
      </c>
      <c r="B111" s="14" t="s">
        <v>2219</v>
      </c>
      <c r="C111" s="14" t="s">
        <v>2220</v>
      </c>
      <c r="D111" s="18">
        <v>44120</v>
      </c>
      <c r="E111" s="14" t="s">
        <v>30</v>
      </c>
      <c r="F111" s="14">
        <v>23872</v>
      </c>
      <c r="G111" s="14">
        <v>6906</v>
      </c>
      <c r="H111" s="14">
        <v>6</v>
      </c>
      <c r="I111" s="14">
        <v>3</v>
      </c>
      <c r="J111" s="14" t="s">
        <v>204</v>
      </c>
      <c r="K111" s="14" cm="1">
        <f t="array" ref="K111">INT(SUMPRODUCT(--ISNUMBER(SEARCH(economy,C111)))&gt;0)</f>
        <v>0</v>
      </c>
      <c r="L111" s="14" cm="1">
        <f t="array" ref="L111">INT(SUMPRODUCT(--ISNUMBER(SEARCH(healthcare,C111)))&gt;0)</f>
        <v>0</v>
      </c>
      <c r="M111" s="14" cm="1">
        <f t="array" ref="M111">INT(SUMPRODUCT(--ISNUMBER(SEARCH(supreme,C111)))&gt;0)</f>
        <v>0</v>
      </c>
      <c r="N111" s="14" cm="1">
        <f t="array" ref="N111">INT(SUMPRODUCT(--ISNUMBER(SEARCH(covid,C111)))&gt;0)</f>
        <v>0</v>
      </c>
      <c r="O111" s="14" cm="1">
        <f t="array" ref="O111">INT(SUMPRODUCT(--ISNUMBER(SEARCH(violent,C111)))&gt;0)</f>
        <v>0</v>
      </c>
      <c r="P111" s="14" cm="1">
        <f t="array" ref="P111">INT(SUMPRODUCT(--ISNUMBER(SEARCH(foreign,C111)))&gt;0)</f>
        <v>0</v>
      </c>
      <c r="Q111" s="14" cm="1">
        <f t="array" ref="Q111">INT(SUMPRODUCT(--ISNUMBER(SEARCH(gun,C111)))&gt;0)</f>
        <v>0</v>
      </c>
      <c r="R111" s="14" cm="1">
        <f t="array" ref="R111">INT(SUMPRODUCT(--ISNUMBER(SEARCH(race,C111)))&gt;0)</f>
        <v>0</v>
      </c>
      <c r="S111" s="14" cm="1">
        <f t="array" ref="S111">INT(SUMPRODUCT(--ISNUMBER(SEARCH(immigration,C111)))&gt;0)</f>
        <v>0</v>
      </c>
      <c r="T111" s="14" cm="1">
        <f t="array" ref="T111">INT(SUMPRODUCT(--ISNUMBER(SEARCH(econineq,C112)))&gt;0)</f>
        <v>0</v>
      </c>
      <c r="U111" s="14" cm="1">
        <f t="array" ref="U111">INT(SUMPRODUCT(--ISNUMBER(SEARCH(climate,C111)))&gt;0)</f>
        <v>1</v>
      </c>
      <c r="V111" s="14" cm="1">
        <f t="array" ref="V111">INT(SUMPRODUCT(--ISNUMBER(SEARCH(abortion,C111)))&gt;0)</f>
        <v>0</v>
      </c>
      <c r="W111" s="14" cm="1">
        <f t="array" ref="W111">INT(SUMPRODUCT(--ISNUMBER(SEARCH(trump,C111)))&gt;0)</f>
        <v>0</v>
      </c>
      <c r="X111" s="14" cm="1">
        <f t="array" ref="X111">INT(SUMPRODUCT(--ISNUMBER(SEARCH(voting,C111)))&gt;0)</f>
        <v>1</v>
      </c>
      <c r="Y111" s="14" cm="1">
        <f t="array" ref="Y111">INT(SUMPRODUCT(--ISNUMBER(SEARCH(democrattrigger,C111)))&gt;0)</f>
        <v>1</v>
      </c>
      <c r="Z111" s="14" cm="1">
        <f t="array" ref="Z111">INT(SUMPRODUCT(--ISNUMBER(SEARCH(bipartisan,C111)))&gt;0)</f>
        <v>0</v>
      </c>
      <c r="AA111" s="14">
        <f t="shared" si="1"/>
        <v>0</v>
      </c>
      <c r="AB111" s="14"/>
      <c r="AC111" s="30" t="s">
        <v>223</v>
      </c>
      <c r="AD111" s="37" t="s">
        <v>223</v>
      </c>
    </row>
    <row r="112" spans="1:30" x14ac:dyDescent="0.25">
      <c r="A112" s="36">
        <v>1097</v>
      </c>
      <c r="B112" s="14" t="s">
        <v>2221</v>
      </c>
      <c r="C112" s="14" t="s">
        <v>2222</v>
      </c>
      <c r="D112" s="18">
        <v>44120</v>
      </c>
      <c r="E112" s="14" t="s">
        <v>70</v>
      </c>
      <c r="F112" s="14">
        <v>7562</v>
      </c>
      <c r="G112" s="14">
        <v>1426</v>
      </c>
      <c r="H112" s="14">
        <v>6</v>
      </c>
      <c r="I112" s="14">
        <v>3</v>
      </c>
      <c r="J112" s="14" t="s">
        <v>204</v>
      </c>
      <c r="K112" s="14" cm="1">
        <f t="array" ref="K112">INT(SUMPRODUCT(--ISNUMBER(SEARCH(economy,C112)))&gt;0)</f>
        <v>0</v>
      </c>
      <c r="L112" s="14" cm="1">
        <f t="array" ref="L112">INT(SUMPRODUCT(--ISNUMBER(SEARCH(healthcare,C112)))&gt;0)</f>
        <v>0</v>
      </c>
      <c r="M112" s="14" cm="1">
        <f t="array" ref="M112">INT(SUMPRODUCT(--ISNUMBER(SEARCH(supreme,C112)))&gt;0)</f>
        <v>0</v>
      </c>
      <c r="N112" s="14" cm="1">
        <f t="array" ref="N112">INT(SUMPRODUCT(--ISNUMBER(SEARCH(covid,C112)))&gt;0)</f>
        <v>0</v>
      </c>
      <c r="O112" s="14" cm="1">
        <f t="array" ref="O112">INT(SUMPRODUCT(--ISNUMBER(SEARCH(violent,C112)))&gt;0)</f>
        <v>0</v>
      </c>
      <c r="P112" s="14" cm="1">
        <f t="array" ref="P112">INT(SUMPRODUCT(--ISNUMBER(SEARCH(foreign,C112)))&gt;0)</f>
        <v>0</v>
      </c>
      <c r="Q112" s="14" cm="1">
        <f t="array" ref="Q112">INT(SUMPRODUCT(--ISNUMBER(SEARCH(gun,C112)))&gt;0)</f>
        <v>0</v>
      </c>
      <c r="R112" s="14" cm="1">
        <f t="array" ref="R112">INT(SUMPRODUCT(--ISNUMBER(SEARCH(race,C112)))&gt;0)</f>
        <v>0</v>
      </c>
      <c r="S112" s="14" cm="1">
        <f t="array" ref="S112">INT(SUMPRODUCT(--ISNUMBER(SEARCH(immigration,C112)))&gt;0)</f>
        <v>0</v>
      </c>
      <c r="T112" s="14" cm="1">
        <f t="array" ref="T112">INT(SUMPRODUCT(--ISNUMBER(SEARCH(econineq,C113)))&gt;0)</f>
        <v>0</v>
      </c>
      <c r="U112" s="14" cm="1">
        <f t="array" ref="U112">INT(SUMPRODUCT(--ISNUMBER(SEARCH(climate,C112)))&gt;0)</f>
        <v>0</v>
      </c>
      <c r="V112" s="14" cm="1">
        <f t="array" ref="V112">INT(SUMPRODUCT(--ISNUMBER(SEARCH(abortion,C112)))&gt;0)</f>
        <v>0</v>
      </c>
      <c r="W112" s="14" cm="1">
        <f t="array" ref="W112">INT(SUMPRODUCT(--ISNUMBER(SEARCH(trump,C112)))&gt;0)</f>
        <v>0</v>
      </c>
      <c r="X112" s="14" cm="1">
        <f t="array" ref="X112">INT(SUMPRODUCT(--ISNUMBER(SEARCH(voting,C112)))&gt;0)</f>
        <v>0</v>
      </c>
      <c r="Y112" s="14" cm="1">
        <f t="array" ref="Y112">INT(SUMPRODUCT(--ISNUMBER(SEARCH(democrattrigger,C112)))&gt;0)</f>
        <v>1</v>
      </c>
      <c r="Z112" s="14" cm="1">
        <f t="array" ref="Z112">INT(SUMPRODUCT(--ISNUMBER(SEARCH(bipartisan,C112)))&gt;0)</f>
        <v>0</v>
      </c>
      <c r="AA112" s="14">
        <f t="shared" si="1"/>
        <v>0</v>
      </c>
      <c r="AB112" s="14"/>
      <c r="AC112" s="30">
        <v>0</v>
      </c>
      <c r="AD112" s="37">
        <v>1</v>
      </c>
    </row>
    <row r="113" spans="1:30" x14ac:dyDescent="0.25">
      <c r="A113" s="36">
        <v>1098</v>
      </c>
      <c r="B113" s="14" t="s">
        <v>2223</v>
      </c>
      <c r="C113" s="14" t="s">
        <v>2224</v>
      </c>
      <c r="D113" s="18">
        <v>44120</v>
      </c>
      <c r="E113" s="14" t="s">
        <v>30</v>
      </c>
      <c r="F113" s="14">
        <v>24788</v>
      </c>
      <c r="G113" s="14">
        <v>6289</v>
      </c>
      <c r="H113" s="14">
        <v>6</v>
      </c>
      <c r="I113" s="14">
        <v>3</v>
      </c>
      <c r="J113" s="14" t="s">
        <v>204</v>
      </c>
      <c r="K113" s="14" cm="1">
        <f t="array" ref="K113">INT(SUMPRODUCT(--ISNUMBER(SEARCH(economy,C113)))&gt;0)</f>
        <v>0</v>
      </c>
      <c r="L113" s="14" cm="1">
        <f t="array" ref="L113">INT(SUMPRODUCT(--ISNUMBER(SEARCH(healthcare,C113)))&gt;0)</f>
        <v>0</v>
      </c>
      <c r="M113" s="14" cm="1">
        <f t="array" ref="M113">INT(SUMPRODUCT(--ISNUMBER(SEARCH(supreme,C113)))&gt;0)</f>
        <v>0</v>
      </c>
      <c r="N113" s="14" cm="1">
        <f t="array" ref="N113">INT(SUMPRODUCT(--ISNUMBER(SEARCH(covid,C113)))&gt;0)</f>
        <v>0</v>
      </c>
      <c r="O113" s="14" cm="1">
        <f t="array" ref="O113">INT(SUMPRODUCT(--ISNUMBER(SEARCH(violent,C113)))&gt;0)</f>
        <v>0</v>
      </c>
      <c r="P113" s="14" cm="1">
        <f t="array" ref="P113">INT(SUMPRODUCT(--ISNUMBER(SEARCH(foreign,C113)))&gt;0)</f>
        <v>0</v>
      </c>
      <c r="Q113" s="14" cm="1">
        <f t="array" ref="Q113">INT(SUMPRODUCT(--ISNUMBER(SEARCH(gun,C113)))&gt;0)</f>
        <v>0</v>
      </c>
      <c r="R113" s="14" cm="1">
        <f t="array" ref="R113">INT(SUMPRODUCT(--ISNUMBER(SEARCH(race,C113)))&gt;0)</f>
        <v>0</v>
      </c>
      <c r="S113" s="14" cm="1">
        <f t="array" ref="S113">INT(SUMPRODUCT(--ISNUMBER(SEARCH(immigration,C113)))&gt;0)</f>
        <v>0</v>
      </c>
      <c r="T113" s="14" cm="1">
        <f t="array" ref="T113">INT(SUMPRODUCT(--ISNUMBER(SEARCH(econineq,C114)))&gt;0)</f>
        <v>1</v>
      </c>
      <c r="U113" s="14" cm="1">
        <f t="array" ref="U113">INT(SUMPRODUCT(--ISNUMBER(SEARCH(climate,C113)))&gt;0)</f>
        <v>0</v>
      </c>
      <c r="V113" s="14" cm="1">
        <f t="array" ref="V113">INT(SUMPRODUCT(--ISNUMBER(SEARCH(abortion,C113)))&gt;0)</f>
        <v>0</v>
      </c>
      <c r="W113" s="14" cm="1">
        <f t="array" ref="W113">INT(SUMPRODUCT(--ISNUMBER(SEARCH(trump,C113)))&gt;0)</f>
        <v>0</v>
      </c>
      <c r="X113" s="14" cm="1">
        <f t="array" ref="X113">INT(SUMPRODUCT(--ISNUMBER(SEARCH(voting,C113)))&gt;0)</f>
        <v>0</v>
      </c>
      <c r="Y113" s="14" cm="1">
        <f t="array" ref="Y113">INT(SUMPRODUCT(--ISNUMBER(SEARCH(democrattrigger,C113)))&gt;0)</f>
        <v>1</v>
      </c>
      <c r="Z113" s="14" cm="1">
        <f t="array" ref="Z113">INT(SUMPRODUCT(--ISNUMBER(SEARCH(bipartisan,C113)))&gt;0)</f>
        <v>0</v>
      </c>
      <c r="AA113" s="14">
        <f t="shared" si="1"/>
        <v>0</v>
      </c>
      <c r="AB113" s="14"/>
      <c r="AC113" s="30">
        <v>0</v>
      </c>
      <c r="AD113" s="37">
        <v>1</v>
      </c>
    </row>
    <row r="114" spans="1:30" x14ac:dyDescent="0.25">
      <c r="A114" s="36">
        <v>1099</v>
      </c>
      <c r="B114" s="14" t="s">
        <v>2225</v>
      </c>
      <c r="C114" s="14" t="s">
        <v>2226</v>
      </c>
      <c r="D114" s="18">
        <v>44120</v>
      </c>
      <c r="E114" s="14" t="s">
        <v>30</v>
      </c>
      <c r="F114" s="14">
        <v>7951</v>
      </c>
      <c r="G114" s="14">
        <v>2011</v>
      </c>
      <c r="H114" s="14">
        <v>6</v>
      </c>
      <c r="I114" s="14">
        <v>3</v>
      </c>
      <c r="J114" s="14" t="s">
        <v>204</v>
      </c>
      <c r="K114" s="14" cm="1">
        <f t="array" ref="K114">INT(SUMPRODUCT(--ISNUMBER(SEARCH(economy,C114)))&gt;0)</f>
        <v>0</v>
      </c>
      <c r="L114" s="14" cm="1">
        <f t="array" ref="L114">INT(SUMPRODUCT(--ISNUMBER(SEARCH(healthcare,C114)))&gt;0)</f>
        <v>1</v>
      </c>
      <c r="M114" s="14" cm="1">
        <f t="array" ref="M114">INT(SUMPRODUCT(--ISNUMBER(SEARCH(supreme,C114)))&gt;0)</f>
        <v>0</v>
      </c>
      <c r="N114" s="14" cm="1">
        <f t="array" ref="N114">INT(SUMPRODUCT(--ISNUMBER(SEARCH(covid,C114)))&gt;0)</f>
        <v>0</v>
      </c>
      <c r="O114" s="14" cm="1">
        <f t="array" ref="O114">INT(SUMPRODUCT(--ISNUMBER(SEARCH(violent,C114)))&gt;0)</f>
        <v>0</v>
      </c>
      <c r="P114" s="14" cm="1">
        <f t="array" ref="P114">INT(SUMPRODUCT(--ISNUMBER(SEARCH(foreign,C114)))&gt;0)</f>
        <v>0</v>
      </c>
      <c r="Q114" s="14" cm="1">
        <f t="array" ref="Q114">INT(SUMPRODUCT(--ISNUMBER(SEARCH(gun,C114)))&gt;0)</f>
        <v>0</v>
      </c>
      <c r="R114" s="14" cm="1">
        <f t="array" ref="R114">INT(SUMPRODUCT(--ISNUMBER(SEARCH(race,C114)))&gt;0)</f>
        <v>0</v>
      </c>
      <c r="S114" s="14" cm="1">
        <f t="array" ref="S114">INT(SUMPRODUCT(--ISNUMBER(SEARCH(immigration,C114)))&gt;0)</f>
        <v>0</v>
      </c>
      <c r="T114" s="14" cm="1">
        <f t="array" ref="T114">INT(SUMPRODUCT(--ISNUMBER(SEARCH(econineq,C115)))&gt;0)</f>
        <v>0</v>
      </c>
      <c r="U114" s="14" cm="1">
        <f t="array" ref="U114">INT(SUMPRODUCT(--ISNUMBER(SEARCH(climate,C114)))&gt;0)</f>
        <v>0</v>
      </c>
      <c r="V114" s="14" cm="1">
        <f t="array" ref="V114">INT(SUMPRODUCT(--ISNUMBER(SEARCH(abortion,C114)))&gt;0)</f>
        <v>0</v>
      </c>
      <c r="W114" s="14" cm="1">
        <f t="array" ref="W114">INT(SUMPRODUCT(--ISNUMBER(SEARCH(trump,C114)))&gt;0)</f>
        <v>0</v>
      </c>
      <c r="X114" s="14" cm="1">
        <f t="array" ref="X114">INT(SUMPRODUCT(--ISNUMBER(SEARCH(voting,C114)))&gt;0)</f>
        <v>0</v>
      </c>
      <c r="Y114" s="14" cm="1">
        <f t="array" ref="Y114">INT(SUMPRODUCT(--ISNUMBER(SEARCH(democrattrigger,C114)))&gt;0)</f>
        <v>0</v>
      </c>
      <c r="Z114" s="14" cm="1">
        <f t="array" ref="Z114">INT(SUMPRODUCT(--ISNUMBER(SEARCH(bipartisan,C114)))&gt;0)</f>
        <v>0</v>
      </c>
      <c r="AA114" s="14">
        <f t="shared" si="1"/>
        <v>0</v>
      </c>
      <c r="AB114" s="14"/>
      <c r="AC114" s="30" t="s">
        <v>223</v>
      </c>
      <c r="AD114" s="37" t="s">
        <v>223</v>
      </c>
    </row>
    <row r="115" spans="1:30" x14ac:dyDescent="0.25">
      <c r="A115" s="36">
        <v>1100</v>
      </c>
      <c r="B115" s="14" t="s">
        <v>2227</v>
      </c>
      <c r="C115" s="14" t="s">
        <v>2228</v>
      </c>
      <c r="D115" s="18">
        <v>44120</v>
      </c>
      <c r="E115" s="14" t="s">
        <v>30</v>
      </c>
      <c r="F115" s="14">
        <v>643</v>
      </c>
      <c r="G115" s="14">
        <v>168</v>
      </c>
      <c r="H115" s="14">
        <v>6</v>
      </c>
      <c r="I115" s="14">
        <v>3</v>
      </c>
      <c r="J115" s="14" t="s">
        <v>204</v>
      </c>
      <c r="K115" s="14" cm="1">
        <f t="array" ref="K115">INT(SUMPRODUCT(--ISNUMBER(SEARCH(economy,C115)))&gt;0)</f>
        <v>1</v>
      </c>
      <c r="L115" s="14" cm="1">
        <f t="array" ref="L115">INT(SUMPRODUCT(--ISNUMBER(SEARCH(healthcare,C115)))&gt;0)</f>
        <v>0</v>
      </c>
      <c r="M115" s="14" cm="1">
        <f t="array" ref="M115">INT(SUMPRODUCT(--ISNUMBER(SEARCH(supreme,C115)))&gt;0)</f>
        <v>0</v>
      </c>
      <c r="N115" s="14" cm="1">
        <f t="array" ref="N115">INT(SUMPRODUCT(--ISNUMBER(SEARCH(covid,C115)))&gt;0)</f>
        <v>0</v>
      </c>
      <c r="O115" s="14" cm="1">
        <f t="array" ref="O115">INT(SUMPRODUCT(--ISNUMBER(SEARCH(violent,C115)))&gt;0)</f>
        <v>0</v>
      </c>
      <c r="P115" s="14" cm="1">
        <f t="array" ref="P115">INT(SUMPRODUCT(--ISNUMBER(SEARCH(foreign,C115)))&gt;0)</f>
        <v>1</v>
      </c>
      <c r="Q115" s="14" cm="1">
        <f t="array" ref="Q115">INT(SUMPRODUCT(--ISNUMBER(SEARCH(gun,C115)))&gt;0)</f>
        <v>0</v>
      </c>
      <c r="R115" s="14" cm="1">
        <f t="array" ref="R115">INT(SUMPRODUCT(--ISNUMBER(SEARCH(race,C115)))&gt;0)</f>
        <v>0</v>
      </c>
      <c r="S115" s="14" cm="1">
        <f t="array" ref="S115">INT(SUMPRODUCT(--ISNUMBER(SEARCH(immigration,C115)))&gt;0)</f>
        <v>0</v>
      </c>
      <c r="T115" s="14" cm="1">
        <f t="array" ref="T115">INT(SUMPRODUCT(--ISNUMBER(SEARCH(econineq,C116)))&gt;0)</f>
        <v>0</v>
      </c>
      <c r="U115" s="14" cm="1">
        <f t="array" ref="U115">INT(SUMPRODUCT(--ISNUMBER(SEARCH(climate,C115)))&gt;0)</f>
        <v>0</v>
      </c>
      <c r="V115" s="14" cm="1">
        <f t="array" ref="V115">INT(SUMPRODUCT(--ISNUMBER(SEARCH(abortion,C115)))&gt;0)</f>
        <v>0</v>
      </c>
      <c r="W115" s="14" cm="1">
        <f t="array" ref="W115">INT(SUMPRODUCT(--ISNUMBER(SEARCH(trump,C115)))&gt;0)</f>
        <v>0</v>
      </c>
      <c r="X115" s="14" cm="1">
        <f t="array" ref="X115">INT(SUMPRODUCT(--ISNUMBER(SEARCH(voting,C115)))&gt;0)</f>
        <v>1</v>
      </c>
      <c r="Y115" s="14" cm="1">
        <f t="array" ref="Y115">INT(SUMPRODUCT(--ISNUMBER(SEARCH(democrattrigger,C115)))&gt;0)</f>
        <v>1</v>
      </c>
      <c r="Z115" s="14" cm="1">
        <f t="array" ref="Z115">INT(SUMPRODUCT(--ISNUMBER(SEARCH(bipartisan,C115)))&gt;0)</f>
        <v>0</v>
      </c>
      <c r="AA115" s="14">
        <f t="shared" si="1"/>
        <v>0</v>
      </c>
      <c r="AB115" s="14"/>
      <c r="AC115" s="30" t="s">
        <v>223</v>
      </c>
      <c r="AD115" s="37" t="s">
        <v>223</v>
      </c>
    </row>
    <row r="116" spans="1:30" x14ac:dyDescent="0.25">
      <c r="A116" s="36">
        <v>1101</v>
      </c>
      <c r="B116" s="14" t="s">
        <v>2229</v>
      </c>
      <c r="C116" s="14" t="s">
        <v>2230</v>
      </c>
      <c r="D116" s="18">
        <v>44120</v>
      </c>
      <c r="E116" s="14" t="s">
        <v>30</v>
      </c>
      <c r="F116" s="14">
        <v>396</v>
      </c>
      <c r="G116" s="14">
        <v>136</v>
      </c>
      <c r="H116" s="14">
        <v>6</v>
      </c>
      <c r="I116" s="14">
        <v>3</v>
      </c>
      <c r="J116" s="14" t="s">
        <v>204</v>
      </c>
      <c r="K116" s="14" cm="1">
        <f t="array" ref="K116">INT(SUMPRODUCT(--ISNUMBER(SEARCH(economy,C116)))&gt;0)</f>
        <v>1</v>
      </c>
      <c r="L116" s="14" cm="1">
        <f t="array" ref="L116">INT(SUMPRODUCT(--ISNUMBER(SEARCH(healthcare,C116)))&gt;0)</f>
        <v>0</v>
      </c>
      <c r="M116" s="14" cm="1">
        <f t="array" ref="M116">INT(SUMPRODUCT(--ISNUMBER(SEARCH(supreme,C116)))&gt;0)</f>
        <v>0</v>
      </c>
      <c r="N116" s="14" cm="1">
        <f t="array" ref="N116">INT(SUMPRODUCT(--ISNUMBER(SEARCH(covid,C116)))&gt;0)</f>
        <v>0</v>
      </c>
      <c r="O116" s="14" cm="1">
        <f t="array" ref="O116">INT(SUMPRODUCT(--ISNUMBER(SEARCH(violent,C116)))&gt;0)</f>
        <v>0</v>
      </c>
      <c r="P116" s="14" cm="1">
        <f t="array" ref="P116">INT(SUMPRODUCT(--ISNUMBER(SEARCH(foreign,C116)))&gt;0)</f>
        <v>0</v>
      </c>
      <c r="Q116" s="14" cm="1">
        <f t="array" ref="Q116">INT(SUMPRODUCT(--ISNUMBER(SEARCH(gun,C116)))&gt;0)</f>
        <v>0</v>
      </c>
      <c r="R116" s="14" cm="1">
        <f t="array" ref="R116">INT(SUMPRODUCT(--ISNUMBER(SEARCH(race,C116)))&gt;0)</f>
        <v>0</v>
      </c>
      <c r="S116" s="14" cm="1">
        <f t="array" ref="S116">INT(SUMPRODUCT(--ISNUMBER(SEARCH(immigration,C116)))&gt;0)</f>
        <v>0</v>
      </c>
      <c r="T116" s="14" cm="1">
        <f t="array" ref="T116">INT(SUMPRODUCT(--ISNUMBER(SEARCH(econineq,C117)))&gt;0)</f>
        <v>0</v>
      </c>
      <c r="U116" s="14" cm="1">
        <f t="array" ref="U116">INT(SUMPRODUCT(--ISNUMBER(SEARCH(climate,C116)))&gt;0)</f>
        <v>1</v>
      </c>
      <c r="V116" s="14" cm="1">
        <f t="array" ref="V116">INT(SUMPRODUCT(--ISNUMBER(SEARCH(abortion,C116)))&gt;0)</f>
        <v>0</v>
      </c>
      <c r="W116" s="14" cm="1">
        <f t="array" ref="W116">INT(SUMPRODUCT(--ISNUMBER(SEARCH(trump,C116)))&gt;0)</f>
        <v>0</v>
      </c>
      <c r="X116" s="14" cm="1">
        <f t="array" ref="X116">INT(SUMPRODUCT(--ISNUMBER(SEARCH(voting,C116)))&gt;0)</f>
        <v>0</v>
      </c>
      <c r="Y116" s="14" cm="1">
        <f t="array" ref="Y116">INT(SUMPRODUCT(--ISNUMBER(SEARCH(democrattrigger,C116)))&gt;0)</f>
        <v>0</v>
      </c>
      <c r="Z116" s="14" cm="1">
        <f t="array" ref="Z116">INT(SUMPRODUCT(--ISNUMBER(SEARCH(bipartisan,C116)))&gt;0)</f>
        <v>0</v>
      </c>
      <c r="AA116" s="14">
        <f t="shared" si="1"/>
        <v>0</v>
      </c>
      <c r="AB116" s="14"/>
      <c r="AC116" s="30" t="s">
        <v>223</v>
      </c>
      <c r="AD116" s="37" t="s">
        <v>223</v>
      </c>
    </row>
    <row r="117" spans="1:30" x14ac:dyDescent="0.25">
      <c r="A117" s="36">
        <v>1102</v>
      </c>
      <c r="B117" s="14" t="s">
        <v>2231</v>
      </c>
      <c r="C117" s="14" t="s">
        <v>2232</v>
      </c>
      <c r="D117" s="18">
        <v>44120</v>
      </c>
      <c r="E117" s="14" t="s">
        <v>30</v>
      </c>
      <c r="F117" s="14">
        <v>557</v>
      </c>
      <c r="G117" s="14">
        <v>165</v>
      </c>
      <c r="H117" s="14">
        <v>6</v>
      </c>
      <c r="I117" s="14">
        <v>3</v>
      </c>
      <c r="J117" s="14" t="s">
        <v>204</v>
      </c>
      <c r="K117" s="14" cm="1">
        <f t="array" ref="K117">INT(SUMPRODUCT(--ISNUMBER(SEARCH(economy,C117)))&gt;0)</f>
        <v>0</v>
      </c>
      <c r="L117" s="14" cm="1">
        <f t="array" ref="L117">INT(SUMPRODUCT(--ISNUMBER(SEARCH(healthcare,C117)))&gt;0)</f>
        <v>0</v>
      </c>
      <c r="M117" s="14" cm="1">
        <f t="array" ref="M117">INT(SUMPRODUCT(--ISNUMBER(SEARCH(supreme,C117)))&gt;0)</f>
        <v>0</v>
      </c>
      <c r="N117" s="14" cm="1">
        <f t="array" ref="N117">INT(SUMPRODUCT(--ISNUMBER(SEARCH(covid,C117)))&gt;0)</f>
        <v>0</v>
      </c>
      <c r="O117" s="14" cm="1">
        <f t="array" ref="O117">INT(SUMPRODUCT(--ISNUMBER(SEARCH(violent,C117)))&gt;0)</f>
        <v>0</v>
      </c>
      <c r="P117" s="14" cm="1">
        <f t="array" ref="P117">INT(SUMPRODUCT(--ISNUMBER(SEARCH(foreign,C117)))&gt;0)</f>
        <v>0</v>
      </c>
      <c r="Q117" s="14" cm="1">
        <f t="array" ref="Q117">INT(SUMPRODUCT(--ISNUMBER(SEARCH(gun,C117)))&gt;0)</f>
        <v>0</v>
      </c>
      <c r="R117" s="14" cm="1">
        <f t="array" ref="R117">INT(SUMPRODUCT(--ISNUMBER(SEARCH(race,C117)))&gt;0)</f>
        <v>0</v>
      </c>
      <c r="S117" s="14" cm="1">
        <f t="array" ref="S117">INT(SUMPRODUCT(--ISNUMBER(SEARCH(immigration,C117)))&gt;0)</f>
        <v>0</v>
      </c>
      <c r="T117" s="14" cm="1">
        <f t="array" ref="T117">INT(SUMPRODUCT(--ISNUMBER(SEARCH(econineq,C118)))&gt;0)</f>
        <v>0</v>
      </c>
      <c r="U117" s="14" cm="1">
        <f t="array" ref="U117">INT(SUMPRODUCT(--ISNUMBER(SEARCH(climate,C117)))&gt;0)</f>
        <v>0</v>
      </c>
      <c r="V117" s="14" cm="1">
        <f t="array" ref="V117">INT(SUMPRODUCT(--ISNUMBER(SEARCH(abortion,C117)))&gt;0)</f>
        <v>0</v>
      </c>
      <c r="W117" s="14" cm="1">
        <f t="array" ref="W117">INT(SUMPRODUCT(--ISNUMBER(SEARCH(trump,C117)))&gt;0)</f>
        <v>0</v>
      </c>
      <c r="X117" s="14" cm="1">
        <f t="array" ref="X117">INT(SUMPRODUCT(--ISNUMBER(SEARCH(voting,C117)))&gt;0)</f>
        <v>0</v>
      </c>
      <c r="Y117" s="14" cm="1">
        <f t="array" ref="Y117">INT(SUMPRODUCT(--ISNUMBER(SEARCH(democrattrigger,C117)))&gt;0)</f>
        <v>1</v>
      </c>
      <c r="Z117" s="14" cm="1">
        <f t="array" ref="Z117">INT(SUMPRODUCT(--ISNUMBER(SEARCH(bipartisan,C117)))&gt;0)</f>
        <v>0</v>
      </c>
      <c r="AA117" s="14">
        <f t="shared" si="1"/>
        <v>0</v>
      </c>
      <c r="AB117" s="14"/>
      <c r="AC117" s="30" t="s">
        <v>223</v>
      </c>
      <c r="AD117" s="37" t="s">
        <v>223</v>
      </c>
    </row>
    <row r="118" spans="1:30" x14ac:dyDescent="0.25">
      <c r="A118" s="36">
        <v>1103</v>
      </c>
      <c r="B118" s="14" t="s">
        <v>2233</v>
      </c>
      <c r="C118" s="14" t="s">
        <v>2234</v>
      </c>
      <c r="D118" s="18">
        <v>44120</v>
      </c>
      <c r="E118" s="14" t="s">
        <v>30</v>
      </c>
      <c r="F118" s="14">
        <v>1631</v>
      </c>
      <c r="G118" s="14">
        <v>452</v>
      </c>
      <c r="H118" s="14">
        <v>6</v>
      </c>
      <c r="I118" s="14">
        <v>3</v>
      </c>
      <c r="J118" s="14" t="s">
        <v>204</v>
      </c>
      <c r="K118" s="14" cm="1">
        <f t="array" ref="K118">INT(SUMPRODUCT(--ISNUMBER(SEARCH(economy,C118)))&gt;0)</f>
        <v>0</v>
      </c>
      <c r="L118" s="14" cm="1">
        <f t="array" ref="L118">INT(SUMPRODUCT(--ISNUMBER(SEARCH(healthcare,C118)))&gt;0)</f>
        <v>0</v>
      </c>
      <c r="M118" s="14" cm="1">
        <f t="array" ref="M118">INT(SUMPRODUCT(--ISNUMBER(SEARCH(supreme,C118)))&gt;0)</f>
        <v>0</v>
      </c>
      <c r="N118" s="14" cm="1">
        <f t="array" ref="N118">INT(SUMPRODUCT(--ISNUMBER(SEARCH(covid,C118)))&gt;0)</f>
        <v>0</v>
      </c>
      <c r="O118" s="14" cm="1">
        <f t="array" ref="O118">INT(SUMPRODUCT(--ISNUMBER(SEARCH(violent,C118)))&gt;0)</f>
        <v>0</v>
      </c>
      <c r="P118" s="14" cm="1">
        <f t="array" ref="P118">INT(SUMPRODUCT(--ISNUMBER(SEARCH(foreign,C118)))&gt;0)</f>
        <v>0</v>
      </c>
      <c r="Q118" s="14" cm="1">
        <f t="array" ref="Q118">INT(SUMPRODUCT(--ISNUMBER(SEARCH(gun,C118)))&gt;0)</f>
        <v>0</v>
      </c>
      <c r="R118" s="14" cm="1">
        <f t="array" ref="R118">INT(SUMPRODUCT(--ISNUMBER(SEARCH(race,C118)))&gt;0)</f>
        <v>0</v>
      </c>
      <c r="S118" s="14" cm="1">
        <f t="array" ref="S118">INT(SUMPRODUCT(--ISNUMBER(SEARCH(immigration,C118)))&gt;0)</f>
        <v>0</v>
      </c>
      <c r="T118" s="14" cm="1">
        <f t="array" ref="T118">INT(SUMPRODUCT(--ISNUMBER(SEARCH(econineq,C119)))&gt;0)</f>
        <v>0</v>
      </c>
      <c r="U118" s="14" cm="1">
        <f t="array" ref="U118">INT(SUMPRODUCT(--ISNUMBER(SEARCH(climate,C118)))&gt;0)</f>
        <v>0</v>
      </c>
      <c r="V118" s="14" cm="1">
        <f t="array" ref="V118">INT(SUMPRODUCT(--ISNUMBER(SEARCH(abortion,C118)))&gt;0)</f>
        <v>0</v>
      </c>
      <c r="W118" s="14" cm="1">
        <f t="array" ref="W118">INT(SUMPRODUCT(--ISNUMBER(SEARCH(trump,C118)))&gt;0)</f>
        <v>0</v>
      </c>
      <c r="X118" s="14" cm="1">
        <f t="array" ref="X118">INT(SUMPRODUCT(--ISNUMBER(SEARCH(voting,C118)))&gt;0)</f>
        <v>0</v>
      </c>
      <c r="Y118" s="14" cm="1">
        <f t="array" ref="Y118">INT(SUMPRODUCT(--ISNUMBER(SEARCH(democrattrigger,C118)))&gt;0)</f>
        <v>1</v>
      </c>
      <c r="Z118" s="14" cm="1">
        <f t="array" ref="Z118">INT(SUMPRODUCT(--ISNUMBER(SEARCH(bipartisan,C118)))&gt;0)</f>
        <v>0</v>
      </c>
      <c r="AA118" s="14">
        <f t="shared" si="1"/>
        <v>0</v>
      </c>
      <c r="AB118" s="14"/>
      <c r="AC118" s="30" t="s">
        <v>223</v>
      </c>
      <c r="AD118" s="37" t="s">
        <v>223</v>
      </c>
    </row>
    <row r="119" spans="1:30" x14ac:dyDescent="0.25">
      <c r="A119" s="36">
        <v>1104</v>
      </c>
      <c r="B119" s="14" t="s">
        <v>2235</v>
      </c>
      <c r="C119" s="14" t="s">
        <v>2236</v>
      </c>
      <c r="D119" s="18">
        <v>44120</v>
      </c>
      <c r="E119" s="14" t="s">
        <v>30</v>
      </c>
      <c r="F119" s="14">
        <v>217</v>
      </c>
      <c r="G119" s="14">
        <v>93</v>
      </c>
      <c r="H119" s="14">
        <v>6</v>
      </c>
      <c r="I119" s="14">
        <v>3</v>
      </c>
      <c r="J119" s="14" t="s">
        <v>204</v>
      </c>
      <c r="K119" s="14" cm="1">
        <f t="array" ref="K119">INT(SUMPRODUCT(--ISNUMBER(SEARCH(economy,C119)))&gt;0)</f>
        <v>0</v>
      </c>
      <c r="L119" s="14" cm="1">
        <f t="array" ref="L119">INT(SUMPRODUCT(--ISNUMBER(SEARCH(healthcare,C119)))&gt;0)</f>
        <v>0</v>
      </c>
      <c r="M119" s="14" cm="1">
        <f t="array" ref="M119">INT(SUMPRODUCT(--ISNUMBER(SEARCH(supreme,C119)))&gt;0)</f>
        <v>0</v>
      </c>
      <c r="N119" s="14" cm="1">
        <f t="array" ref="N119">INT(SUMPRODUCT(--ISNUMBER(SEARCH(covid,C119)))&gt;0)</f>
        <v>1</v>
      </c>
      <c r="O119" s="14" cm="1">
        <f t="array" ref="O119">INT(SUMPRODUCT(--ISNUMBER(SEARCH(violent,C119)))&gt;0)</f>
        <v>0</v>
      </c>
      <c r="P119" s="14" cm="1">
        <f t="array" ref="P119">INT(SUMPRODUCT(--ISNUMBER(SEARCH(foreign,C119)))&gt;0)</f>
        <v>0</v>
      </c>
      <c r="Q119" s="14" cm="1">
        <f t="array" ref="Q119">INT(SUMPRODUCT(--ISNUMBER(SEARCH(gun,C119)))&gt;0)</f>
        <v>0</v>
      </c>
      <c r="R119" s="14" cm="1">
        <f t="array" ref="R119">INT(SUMPRODUCT(--ISNUMBER(SEARCH(race,C119)))&gt;0)</f>
        <v>0</v>
      </c>
      <c r="S119" s="14" cm="1">
        <f t="array" ref="S119">INT(SUMPRODUCT(--ISNUMBER(SEARCH(immigration,C119)))&gt;0)</f>
        <v>0</v>
      </c>
      <c r="T119" s="14" cm="1">
        <f t="array" ref="T119">INT(SUMPRODUCT(--ISNUMBER(SEARCH(econineq,C120)))&gt;0)</f>
        <v>0</v>
      </c>
      <c r="U119" s="14" cm="1">
        <f t="array" ref="U119">INT(SUMPRODUCT(--ISNUMBER(SEARCH(climate,C119)))&gt;0)</f>
        <v>0</v>
      </c>
      <c r="V119" s="14" cm="1">
        <f t="array" ref="V119">INT(SUMPRODUCT(--ISNUMBER(SEARCH(abortion,C119)))&gt;0)</f>
        <v>0</v>
      </c>
      <c r="W119" s="14" cm="1">
        <f t="array" ref="W119">INT(SUMPRODUCT(--ISNUMBER(SEARCH(trump,C119)))&gt;0)</f>
        <v>0</v>
      </c>
      <c r="X119" s="14" cm="1">
        <f t="array" ref="X119">INT(SUMPRODUCT(--ISNUMBER(SEARCH(voting,C119)))&gt;0)</f>
        <v>0</v>
      </c>
      <c r="Y119" s="14" cm="1">
        <f t="array" ref="Y119">INT(SUMPRODUCT(--ISNUMBER(SEARCH(democrattrigger,C119)))&gt;0)</f>
        <v>0</v>
      </c>
      <c r="Z119" s="14" cm="1">
        <f t="array" ref="Z119">INT(SUMPRODUCT(--ISNUMBER(SEARCH(bipartisan,C119)))&gt;0)</f>
        <v>0</v>
      </c>
      <c r="AA119" s="14">
        <f t="shared" si="1"/>
        <v>0</v>
      </c>
      <c r="AB119" s="14"/>
      <c r="AC119" s="30" t="s">
        <v>223</v>
      </c>
      <c r="AD119" s="37" t="s">
        <v>223</v>
      </c>
    </row>
    <row r="120" spans="1:30" x14ac:dyDescent="0.25">
      <c r="A120" s="36">
        <v>1105</v>
      </c>
      <c r="B120" s="14" t="s">
        <v>2237</v>
      </c>
      <c r="C120" s="14" t="s">
        <v>2238</v>
      </c>
      <c r="D120" s="18">
        <v>44120</v>
      </c>
      <c r="E120" s="14" t="s">
        <v>30</v>
      </c>
      <c r="F120" s="14">
        <v>362</v>
      </c>
      <c r="G120" s="14">
        <v>101</v>
      </c>
      <c r="H120" s="14">
        <v>6</v>
      </c>
      <c r="I120" s="14">
        <v>3</v>
      </c>
      <c r="J120" s="14" t="s">
        <v>204</v>
      </c>
      <c r="K120" s="14" cm="1">
        <f t="array" ref="K120">INT(SUMPRODUCT(--ISNUMBER(SEARCH(economy,C120)))&gt;0)</f>
        <v>0</v>
      </c>
      <c r="L120" s="14" cm="1">
        <f t="array" ref="L120">INT(SUMPRODUCT(--ISNUMBER(SEARCH(healthcare,C120)))&gt;0)</f>
        <v>0</v>
      </c>
      <c r="M120" s="14" cm="1">
        <f t="array" ref="M120">INT(SUMPRODUCT(--ISNUMBER(SEARCH(supreme,C120)))&gt;0)</f>
        <v>0</v>
      </c>
      <c r="N120" s="14" cm="1">
        <f t="array" ref="N120">INT(SUMPRODUCT(--ISNUMBER(SEARCH(covid,C120)))&gt;0)</f>
        <v>0</v>
      </c>
      <c r="O120" s="14" cm="1">
        <f t="array" ref="O120">INT(SUMPRODUCT(--ISNUMBER(SEARCH(violent,C120)))&gt;0)</f>
        <v>0</v>
      </c>
      <c r="P120" s="14" cm="1">
        <f t="array" ref="P120">INT(SUMPRODUCT(--ISNUMBER(SEARCH(foreign,C120)))&gt;0)</f>
        <v>0</v>
      </c>
      <c r="Q120" s="14" cm="1">
        <f t="array" ref="Q120">INT(SUMPRODUCT(--ISNUMBER(SEARCH(gun,C120)))&gt;0)</f>
        <v>1</v>
      </c>
      <c r="R120" s="14" cm="1">
        <f t="array" ref="R120">INT(SUMPRODUCT(--ISNUMBER(SEARCH(race,C120)))&gt;0)</f>
        <v>0</v>
      </c>
      <c r="S120" s="14" cm="1">
        <f t="array" ref="S120">INT(SUMPRODUCT(--ISNUMBER(SEARCH(immigration,C120)))&gt;0)</f>
        <v>0</v>
      </c>
      <c r="T120" s="14" cm="1">
        <f t="array" ref="T120">INT(SUMPRODUCT(--ISNUMBER(SEARCH(econineq,C121)))&gt;0)</f>
        <v>1</v>
      </c>
      <c r="U120" s="14" cm="1">
        <f t="array" ref="U120">INT(SUMPRODUCT(--ISNUMBER(SEARCH(climate,C120)))&gt;0)</f>
        <v>0</v>
      </c>
      <c r="V120" s="14" cm="1">
        <f t="array" ref="V120">INT(SUMPRODUCT(--ISNUMBER(SEARCH(abortion,C120)))&gt;0)</f>
        <v>0</v>
      </c>
      <c r="W120" s="14" cm="1">
        <f t="array" ref="W120">INT(SUMPRODUCT(--ISNUMBER(SEARCH(trump,C120)))&gt;0)</f>
        <v>0</v>
      </c>
      <c r="X120" s="14" cm="1">
        <f t="array" ref="X120">INT(SUMPRODUCT(--ISNUMBER(SEARCH(voting,C120)))&gt;0)</f>
        <v>0</v>
      </c>
      <c r="Y120" s="14" cm="1">
        <f t="array" ref="Y120">INT(SUMPRODUCT(--ISNUMBER(SEARCH(democrattrigger,C120)))&gt;0)</f>
        <v>0</v>
      </c>
      <c r="Z120" s="14" cm="1">
        <f t="array" ref="Z120">INT(SUMPRODUCT(--ISNUMBER(SEARCH(bipartisan,C120)))&gt;0)</f>
        <v>0</v>
      </c>
      <c r="AA120" s="14">
        <f t="shared" si="1"/>
        <v>0</v>
      </c>
      <c r="AB120" s="14"/>
      <c r="AC120" s="30" t="s">
        <v>223</v>
      </c>
      <c r="AD120" s="37" t="s">
        <v>223</v>
      </c>
    </row>
    <row r="121" spans="1:30" x14ac:dyDescent="0.25">
      <c r="A121" s="36">
        <v>1106</v>
      </c>
      <c r="B121" s="14" t="s">
        <v>2239</v>
      </c>
      <c r="C121" s="14" t="s">
        <v>2240</v>
      </c>
      <c r="D121" s="18">
        <v>44120</v>
      </c>
      <c r="E121" s="14" t="s">
        <v>30</v>
      </c>
      <c r="F121" s="14">
        <v>539</v>
      </c>
      <c r="G121" s="14">
        <v>131</v>
      </c>
      <c r="H121" s="14">
        <v>6</v>
      </c>
      <c r="I121" s="14">
        <v>3</v>
      </c>
      <c r="J121" s="14" t="s">
        <v>204</v>
      </c>
      <c r="K121" s="14" cm="1">
        <f t="array" ref="K121">INT(SUMPRODUCT(--ISNUMBER(SEARCH(economy,C121)))&gt;0)</f>
        <v>0</v>
      </c>
      <c r="L121" s="14" cm="1">
        <f t="array" ref="L121">INT(SUMPRODUCT(--ISNUMBER(SEARCH(healthcare,C121)))&gt;0)</f>
        <v>0</v>
      </c>
      <c r="M121" s="14" cm="1">
        <f t="array" ref="M121">INT(SUMPRODUCT(--ISNUMBER(SEARCH(supreme,C121)))&gt;0)</f>
        <v>0</v>
      </c>
      <c r="N121" s="14" cm="1">
        <f t="array" ref="N121">INT(SUMPRODUCT(--ISNUMBER(SEARCH(covid,C121)))&gt;0)</f>
        <v>0</v>
      </c>
      <c r="O121" s="14" cm="1">
        <f t="array" ref="O121">INT(SUMPRODUCT(--ISNUMBER(SEARCH(violent,C121)))&gt;0)</f>
        <v>0</v>
      </c>
      <c r="P121" s="14" cm="1">
        <f t="array" ref="P121">INT(SUMPRODUCT(--ISNUMBER(SEARCH(foreign,C121)))&gt;0)</f>
        <v>0</v>
      </c>
      <c r="Q121" s="14" cm="1">
        <f t="array" ref="Q121">INT(SUMPRODUCT(--ISNUMBER(SEARCH(gun,C121)))&gt;0)</f>
        <v>0</v>
      </c>
      <c r="R121" s="14" cm="1">
        <f t="array" ref="R121">INT(SUMPRODUCT(--ISNUMBER(SEARCH(race,C121)))&gt;0)</f>
        <v>1</v>
      </c>
      <c r="S121" s="14" cm="1">
        <f t="array" ref="S121">INT(SUMPRODUCT(--ISNUMBER(SEARCH(immigration,C121)))&gt;0)</f>
        <v>0</v>
      </c>
      <c r="T121" s="14" cm="1">
        <f t="array" ref="T121">INT(SUMPRODUCT(--ISNUMBER(SEARCH(econineq,C122)))&gt;0)</f>
        <v>0</v>
      </c>
      <c r="U121" s="14" cm="1">
        <f t="array" ref="U121">INT(SUMPRODUCT(--ISNUMBER(SEARCH(climate,C121)))&gt;0)</f>
        <v>0</v>
      </c>
      <c r="V121" s="14" cm="1">
        <f t="array" ref="V121">INT(SUMPRODUCT(--ISNUMBER(SEARCH(abortion,C121)))&gt;0)</f>
        <v>0</v>
      </c>
      <c r="W121" s="14" cm="1">
        <f t="array" ref="W121">INT(SUMPRODUCT(--ISNUMBER(SEARCH(trump,C121)))&gt;0)</f>
        <v>0</v>
      </c>
      <c r="X121" s="14" cm="1">
        <f t="array" ref="X121">INT(SUMPRODUCT(--ISNUMBER(SEARCH(voting,C121)))&gt;0)</f>
        <v>0</v>
      </c>
      <c r="Y121" s="14" cm="1">
        <f t="array" ref="Y121">INT(SUMPRODUCT(--ISNUMBER(SEARCH(democrattrigger,C121)))&gt;0)</f>
        <v>0</v>
      </c>
      <c r="Z121" s="14" cm="1">
        <f t="array" ref="Z121">INT(SUMPRODUCT(--ISNUMBER(SEARCH(bipartisan,C121)))&gt;0)</f>
        <v>0</v>
      </c>
      <c r="AA121" s="14">
        <f t="shared" si="1"/>
        <v>0</v>
      </c>
      <c r="AB121" s="14"/>
      <c r="AC121" s="30" t="s">
        <v>223</v>
      </c>
      <c r="AD121" s="37" t="s">
        <v>223</v>
      </c>
    </row>
    <row r="122" spans="1:30" x14ac:dyDescent="0.25">
      <c r="A122" s="36">
        <v>1107</v>
      </c>
      <c r="B122" s="14" t="s">
        <v>2241</v>
      </c>
      <c r="C122" s="14" t="s">
        <v>2242</v>
      </c>
      <c r="D122" s="18">
        <v>44120</v>
      </c>
      <c r="E122" s="14" t="s">
        <v>30</v>
      </c>
      <c r="F122" s="14">
        <v>228</v>
      </c>
      <c r="G122" s="14">
        <v>81</v>
      </c>
      <c r="H122" s="14">
        <v>6</v>
      </c>
      <c r="I122" s="14">
        <v>3</v>
      </c>
      <c r="J122" s="14" t="s">
        <v>204</v>
      </c>
      <c r="K122" s="14" cm="1">
        <f t="array" ref="K122">INT(SUMPRODUCT(--ISNUMBER(SEARCH(economy,C122)))&gt;0)</f>
        <v>0</v>
      </c>
      <c r="L122" s="14" cm="1">
        <f t="array" ref="L122">INT(SUMPRODUCT(--ISNUMBER(SEARCH(healthcare,C122)))&gt;0)</f>
        <v>0</v>
      </c>
      <c r="M122" s="14" cm="1">
        <f t="array" ref="M122">INT(SUMPRODUCT(--ISNUMBER(SEARCH(supreme,C122)))&gt;0)</f>
        <v>0</v>
      </c>
      <c r="N122" s="14" cm="1">
        <f t="array" ref="N122">INT(SUMPRODUCT(--ISNUMBER(SEARCH(covid,C122)))&gt;0)</f>
        <v>0</v>
      </c>
      <c r="O122" s="14" cm="1">
        <f t="array" ref="O122">INT(SUMPRODUCT(--ISNUMBER(SEARCH(violent,C122)))&gt;0)</f>
        <v>0</v>
      </c>
      <c r="P122" s="14" cm="1">
        <f t="array" ref="P122">INT(SUMPRODUCT(--ISNUMBER(SEARCH(foreign,C122)))&gt;0)</f>
        <v>0</v>
      </c>
      <c r="Q122" s="14" cm="1">
        <f t="array" ref="Q122">INT(SUMPRODUCT(--ISNUMBER(SEARCH(gun,C122)))&gt;0)</f>
        <v>0</v>
      </c>
      <c r="R122" s="14" cm="1">
        <f t="array" ref="R122">INT(SUMPRODUCT(--ISNUMBER(SEARCH(race,C122)))&gt;0)</f>
        <v>1</v>
      </c>
      <c r="S122" s="14" cm="1">
        <f t="array" ref="S122">INT(SUMPRODUCT(--ISNUMBER(SEARCH(immigration,C122)))&gt;0)</f>
        <v>0</v>
      </c>
      <c r="T122" s="14" cm="1">
        <f t="array" ref="T122">INT(SUMPRODUCT(--ISNUMBER(SEARCH(econineq,C123)))&gt;0)</f>
        <v>0</v>
      </c>
      <c r="U122" s="14" cm="1">
        <f t="array" ref="U122">INT(SUMPRODUCT(--ISNUMBER(SEARCH(climate,C122)))&gt;0)</f>
        <v>0</v>
      </c>
      <c r="V122" s="14" cm="1">
        <f t="array" ref="V122">INT(SUMPRODUCT(--ISNUMBER(SEARCH(abortion,C122)))&gt;0)</f>
        <v>0</v>
      </c>
      <c r="W122" s="14" cm="1">
        <f t="array" ref="W122">INT(SUMPRODUCT(--ISNUMBER(SEARCH(trump,C122)))&gt;0)</f>
        <v>0</v>
      </c>
      <c r="X122" s="14" cm="1">
        <f t="array" ref="X122">INT(SUMPRODUCT(--ISNUMBER(SEARCH(voting,C122)))&gt;0)</f>
        <v>0</v>
      </c>
      <c r="Y122" s="14" cm="1">
        <f t="array" ref="Y122">INT(SUMPRODUCT(--ISNUMBER(SEARCH(democrattrigger,C122)))&gt;0)</f>
        <v>0</v>
      </c>
      <c r="Z122" s="14" cm="1">
        <f t="array" ref="Z122">INT(SUMPRODUCT(--ISNUMBER(SEARCH(bipartisan,C122)))&gt;0)</f>
        <v>1</v>
      </c>
      <c r="AA122" s="14">
        <f t="shared" si="1"/>
        <v>0</v>
      </c>
      <c r="AB122" s="14"/>
      <c r="AC122" s="30" t="s">
        <v>223</v>
      </c>
      <c r="AD122" s="37" t="s">
        <v>223</v>
      </c>
    </row>
    <row r="123" spans="1:30" x14ac:dyDescent="0.25">
      <c r="A123" s="36">
        <v>1108</v>
      </c>
      <c r="B123" s="14" t="s">
        <v>2243</v>
      </c>
      <c r="C123" s="14" t="s">
        <v>2244</v>
      </c>
      <c r="D123" s="18">
        <v>44120</v>
      </c>
      <c r="E123" s="14" t="s">
        <v>30</v>
      </c>
      <c r="F123" s="14">
        <v>300</v>
      </c>
      <c r="G123" s="14">
        <v>112</v>
      </c>
      <c r="H123" s="14">
        <v>6</v>
      </c>
      <c r="I123" s="14">
        <v>3</v>
      </c>
      <c r="J123" s="14" t="s">
        <v>204</v>
      </c>
      <c r="K123" s="14" cm="1">
        <f t="array" ref="K123">INT(SUMPRODUCT(--ISNUMBER(SEARCH(economy,C123)))&gt;0)</f>
        <v>0</v>
      </c>
      <c r="L123" s="14" cm="1">
        <f t="array" ref="L123">INT(SUMPRODUCT(--ISNUMBER(SEARCH(healthcare,C123)))&gt;0)</f>
        <v>0</v>
      </c>
      <c r="M123" s="14" cm="1">
        <f t="array" ref="M123">INT(SUMPRODUCT(--ISNUMBER(SEARCH(supreme,C123)))&gt;0)</f>
        <v>0</v>
      </c>
      <c r="N123" s="14" cm="1">
        <f t="array" ref="N123">INT(SUMPRODUCT(--ISNUMBER(SEARCH(covid,C123)))&gt;0)</f>
        <v>0</v>
      </c>
      <c r="O123" s="14" cm="1">
        <f t="array" ref="O123">INT(SUMPRODUCT(--ISNUMBER(SEARCH(violent,C123)))&gt;0)</f>
        <v>0</v>
      </c>
      <c r="P123" s="14" cm="1">
        <f t="array" ref="P123">INT(SUMPRODUCT(--ISNUMBER(SEARCH(foreign,C123)))&gt;0)</f>
        <v>0</v>
      </c>
      <c r="Q123" s="14" cm="1">
        <f t="array" ref="Q123">INT(SUMPRODUCT(--ISNUMBER(SEARCH(gun,C123)))&gt;0)</f>
        <v>0</v>
      </c>
      <c r="R123" s="14" cm="1">
        <f t="array" ref="R123">INT(SUMPRODUCT(--ISNUMBER(SEARCH(race,C123)))&gt;0)</f>
        <v>0</v>
      </c>
      <c r="S123" s="14" cm="1">
        <f t="array" ref="S123">INT(SUMPRODUCT(--ISNUMBER(SEARCH(immigration,C123)))&gt;0)</f>
        <v>0</v>
      </c>
      <c r="T123" s="14" cm="1">
        <f t="array" ref="T123">INT(SUMPRODUCT(--ISNUMBER(SEARCH(econineq,C124)))&gt;0)</f>
        <v>0</v>
      </c>
      <c r="U123" s="14" cm="1">
        <f t="array" ref="U123">INT(SUMPRODUCT(--ISNUMBER(SEARCH(climate,C123)))&gt;0)</f>
        <v>0</v>
      </c>
      <c r="V123" s="14" cm="1">
        <f t="array" ref="V123">INT(SUMPRODUCT(--ISNUMBER(SEARCH(abortion,C123)))&gt;0)</f>
        <v>0</v>
      </c>
      <c r="W123" s="14" cm="1">
        <f t="array" ref="W123">INT(SUMPRODUCT(--ISNUMBER(SEARCH(trump,C123)))&gt;0)</f>
        <v>0</v>
      </c>
      <c r="X123" s="14" cm="1">
        <f t="array" ref="X123">INT(SUMPRODUCT(--ISNUMBER(SEARCH(voting,C123)))&gt;0)</f>
        <v>0</v>
      </c>
      <c r="Y123" s="14" cm="1">
        <f t="array" ref="Y123">INT(SUMPRODUCT(--ISNUMBER(SEARCH(democrattrigger,C123)))&gt;0)</f>
        <v>1</v>
      </c>
      <c r="Z123" s="14" cm="1">
        <f t="array" ref="Z123">INT(SUMPRODUCT(--ISNUMBER(SEARCH(bipartisan,C123)))&gt;0)</f>
        <v>0</v>
      </c>
      <c r="AA123" s="14">
        <f t="shared" si="1"/>
        <v>0</v>
      </c>
      <c r="AB123" s="14"/>
      <c r="AC123" s="30" t="s">
        <v>223</v>
      </c>
      <c r="AD123" s="37" t="s">
        <v>223</v>
      </c>
    </row>
    <row r="124" spans="1:30" x14ac:dyDescent="0.25">
      <c r="A124" s="36">
        <v>1109</v>
      </c>
      <c r="B124" s="14" t="s">
        <v>2245</v>
      </c>
      <c r="C124" s="14" t="s">
        <v>2246</v>
      </c>
      <c r="D124" s="18">
        <v>44120</v>
      </c>
      <c r="E124" s="14" t="s">
        <v>30</v>
      </c>
      <c r="F124" s="14">
        <v>214</v>
      </c>
      <c r="G124" s="14">
        <v>87</v>
      </c>
      <c r="H124" s="14">
        <v>6</v>
      </c>
      <c r="I124" s="14">
        <v>3</v>
      </c>
      <c r="J124" s="14" t="s">
        <v>204</v>
      </c>
      <c r="K124" s="14" cm="1">
        <f t="array" ref="K124">INT(SUMPRODUCT(--ISNUMBER(SEARCH(economy,C124)))&gt;0)</f>
        <v>1</v>
      </c>
      <c r="L124" s="14" cm="1">
        <f t="array" ref="L124">INT(SUMPRODUCT(--ISNUMBER(SEARCH(healthcare,C124)))&gt;0)</f>
        <v>0</v>
      </c>
      <c r="M124" s="14" cm="1">
        <f t="array" ref="M124">INT(SUMPRODUCT(--ISNUMBER(SEARCH(supreme,C124)))&gt;0)</f>
        <v>0</v>
      </c>
      <c r="N124" s="14" cm="1">
        <f t="array" ref="N124">INT(SUMPRODUCT(--ISNUMBER(SEARCH(covid,C124)))&gt;0)</f>
        <v>1</v>
      </c>
      <c r="O124" s="14" cm="1">
        <f t="array" ref="O124">INT(SUMPRODUCT(--ISNUMBER(SEARCH(violent,C124)))&gt;0)</f>
        <v>0</v>
      </c>
      <c r="P124" s="14" cm="1">
        <f t="array" ref="P124">INT(SUMPRODUCT(--ISNUMBER(SEARCH(foreign,C124)))&gt;0)</f>
        <v>0</v>
      </c>
      <c r="Q124" s="14" cm="1">
        <f t="array" ref="Q124">INT(SUMPRODUCT(--ISNUMBER(SEARCH(gun,C124)))&gt;0)</f>
        <v>0</v>
      </c>
      <c r="R124" s="14" cm="1">
        <f t="array" ref="R124">INT(SUMPRODUCT(--ISNUMBER(SEARCH(race,C124)))&gt;0)</f>
        <v>0</v>
      </c>
      <c r="S124" s="14" cm="1">
        <f t="array" ref="S124">INT(SUMPRODUCT(--ISNUMBER(SEARCH(immigration,C124)))&gt;0)</f>
        <v>0</v>
      </c>
      <c r="T124" s="14" cm="1">
        <f t="array" ref="T124">INT(SUMPRODUCT(--ISNUMBER(SEARCH(econineq,C125)))&gt;0)</f>
        <v>0</v>
      </c>
      <c r="U124" s="14" cm="1">
        <f t="array" ref="U124">INT(SUMPRODUCT(--ISNUMBER(SEARCH(climate,C124)))&gt;0)</f>
        <v>0</v>
      </c>
      <c r="V124" s="14" cm="1">
        <f t="array" ref="V124">INT(SUMPRODUCT(--ISNUMBER(SEARCH(abortion,C124)))&gt;0)</f>
        <v>0</v>
      </c>
      <c r="W124" s="14" cm="1">
        <f t="array" ref="W124">INT(SUMPRODUCT(--ISNUMBER(SEARCH(trump,C124)))&gt;0)</f>
        <v>0</v>
      </c>
      <c r="X124" s="14" cm="1">
        <f t="array" ref="X124">INT(SUMPRODUCT(--ISNUMBER(SEARCH(voting,C124)))&gt;0)</f>
        <v>0</v>
      </c>
      <c r="Y124" s="14" cm="1">
        <f t="array" ref="Y124">INT(SUMPRODUCT(--ISNUMBER(SEARCH(democrattrigger,C124)))&gt;0)</f>
        <v>1</v>
      </c>
      <c r="Z124" s="14" cm="1">
        <f t="array" ref="Z124">INT(SUMPRODUCT(--ISNUMBER(SEARCH(bipartisan,C124)))&gt;0)</f>
        <v>0</v>
      </c>
      <c r="AA124" s="14">
        <f t="shared" si="1"/>
        <v>0</v>
      </c>
      <c r="AB124" s="14"/>
      <c r="AC124" s="30" t="s">
        <v>223</v>
      </c>
      <c r="AD124" s="37" t="s">
        <v>223</v>
      </c>
    </row>
    <row r="125" spans="1:30" x14ac:dyDescent="0.25">
      <c r="A125" s="36">
        <v>1110</v>
      </c>
      <c r="B125" s="14" t="s">
        <v>2247</v>
      </c>
      <c r="C125" s="14" t="s">
        <v>2248</v>
      </c>
      <c r="D125" s="18">
        <v>44120</v>
      </c>
      <c r="E125" s="14" t="s">
        <v>30</v>
      </c>
      <c r="F125" s="14">
        <v>183</v>
      </c>
      <c r="G125" s="14">
        <v>82</v>
      </c>
      <c r="H125" s="14">
        <v>6</v>
      </c>
      <c r="I125" s="14">
        <v>3</v>
      </c>
      <c r="J125" s="14" t="s">
        <v>204</v>
      </c>
      <c r="K125" s="14" cm="1">
        <f t="array" ref="K125">INT(SUMPRODUCT(--ISNUMBER(SEARCH(economy,C125)))&gt;0)</f>
        <v>1</v>
      </c>
      <c r="L125" s="14" cm="1">
        <f t="array" ref="L125">INT(SUMPRODUCT(--ISNUMBER(SEARCH(healthcare,C125)))&gt;0)</f>
        <v>1</v>
      </c>
      <c r="M125" s="14" cm="1">
        <f t="array" ref="M125">INT(SUMPRODUCT(--ISNUMBER(SEARCH(supreme,C125)))&gt;0)</f>
        <v>0</v>
      </c>
      <c r="N125" s="14" cm="1">
        <f t="array" ref="N125">INT(SUMPRODUCT(--ISNUMBER(SEARCH(covid,C125)))&gt;0)</f>
        <v>1</v>
      </c>
      <c r="O125" s="14" cm="1">
        <f t="array" ref="O125">INT(SUMPRODUCT(--ISNUMBER(SEARCH(violent,C125)))&gt;0)</f>
        <v>0</v>
      </c>
      <c r="P125" s="14" cm="1">
        <f t="array" ref="P125">INT(SUMPRODUCT(--ISNUMBER(SEARCH(foreign,C125)))&gt;0)</f>
        <v>0</v>
      </c>
      <c r="Q125" s="14" cm="1">
        <f t="array" ref="Q125">INT(SUMPRODUCT(--ISNUMBER(SEARCH(gun,C125)))&gt;0)</f>
        <v>0</v>
      </c>
      <c r="R125" s="14" cm="1">
        <f t="array" ref="R125">INT(SUMPRODUCT(--ISNUMBER(SEARCH(race,C125)))&gt;0)</f>
        <v>0</v>
      </c>
      <c r="S125" s="14" cm="1">
        <f t="array" ref="S125">INT(SUMPRODUCT(--ISNUMBER(SEARCH(immigration,C125)))&gt;0)</f>
        <v>0</v>
      </c>
      <c r="T125" s="14" cm="1">
        <f t="array" ref="T125">INT(SUMPRODUCT(--ISNUMBER(SEARCH(econineq,C126)))&gt;0)</f>
        <v>1</v>
      </c>
      <c r="U125" s="14" cm="1">
        <f t="array" ref="U125">INT(SUMPRODUCT(--ISNUMBER(SEARCH(climate,C125)))&gt;0)</f>
        <v>0</v>
      </c>
      <c r="V125" s="14" cm="1">
        <f t="array" ref="V125">INT(SUMPRODUCT(--ISNUMBER(SEARCH(abortion,C125)))&gt;0)</f>
        <v>0</v>
      </c>
      <c r="W125" s="14" cm="1">
        <f t="array" ref="W125">INT(SUMPRODUCT(--ISNUMBER(SEARCH(trump,C125)))&gt;0)</f>
        <v>0</v>
      </c>
      <c r="X125" s="14" cm="1">
        <f t="array" ref="X125">INT(SUMPRODUCT(--ISNUMBER(SEARCH(voting,C125)))&gt;0)</f>
        <v>0</v>
      </c>
      <c r="Y125" s="14" cm="1">
        <f t="array" ref="Y125">INT(SUMPRODUCT(--ISNUMBER(SEARCH(democrattrigger,C125)))&gt;0)</f>
        <v>0</v>
      </c>
      <c r="Z125" s="14" cm="1">
        <f t="array" ref="Z125">INT(SUMPRODUCT(--ISNUMBER(SEARCH(bipartisan,C125)))&gt;0)</f>
        <v>0</v>
      </c>
      <c r="AA125" s="14">
        <f t="shared" si="1"/>
        <v>0</v>
      </c>
      <c r="AB125" s="14"/>
      <c r="AC125" s="30" t="s">
        <v>223</v>
      </c>
      <c r="AD125" s="37" t="s">
        <v>223</v>
      </c>
    </row>
    <row r="126" spans="1:30" x14ac:dyDescent="0.25">
      <c r="A126" s="36">
        <v>1111</v>
      </c>
      <c r="B126" s="14" t="s">
        <v>2249</v>
      </c>
      <c r="C126" s="14" t="s">
        <v>2250</v>
      </c>
      <c r="D126" s="18">
        <v>44119</v>
      </c>
      <c r="E126" s="14" t="s">
        <v>30</v>
      </c>
      <c r="F126" s="14">
        <v>493</v>
      </c>
      <c r="G126" s="14">
        <v>119</v>
      </c>
      <c r="H126" s="14">
        <v>6</v>
      </c>
      <c r="I126" s="14">
        <v>3</v>
      </c>
      <c r="J126" s="14" t="s">
        <v>204</v>
      </c>
      <c r="K126" s="14" cm="1">
        <f t="array" ref="K126">INT(SUMPRODUCT(--ISNUMBER(SEARCH(economy,C126)))&gt;0)</f>
        <v>0</v>
      </c>
      <c r="L126" s="14" cm="1">
        <f t="array" ref="L126">INT(SUMPRODUCT(--ISNUMBER(SEARCH(healthcare,C126)))&gt;0)</f>
        <v>0</v>
      </c>
      <c r="M126" s="14" cm="1">
        <f t="array" ref="M126">INT(SUMPRODUCT(--ISNUMBER(SEARCH(supreme,C126)))&gt;0)</f>
        <v>0</v>
      </c>
      <c r="N126" s="14" cm="1">
        <f t="array" ref="N126">INT(SUMPRODUCT(--ISNUMBER(SEARCH(covid,C126)))&gt;0)</f>
        <v>0</v>
      </c>
      <c r="O126" s="14" cm="1">
        <f t="array" ref="O126">INT(SUMPRODUCT(--ISNUMBER(SEARCH(violent,C126)))&gt;0)</f>
        <v>0</v>
      </c>
      <c r="P126" s="14" cm="1">
        <f t="array" ref="P126">INT(SUMPRODUCT(--ISNUMBER(SEARCH(foreign,C126)))&gt;0)</f>
        <v>0</v>
      </c>
      <c r="Q126" s="14" cm="1">
        <f t="array" ref="Q126">INT(SUMPRODUCT(--ISNUMBER(SEARCH(gun,C126)))&gt;0)</f>
        <v>0</v>
      </c>
      <c r="R126" s="14" cm="1">
        <f t="array" ref="R126">INT(SUMPRODUCT(--ISNUMBER(SEARCH(race,C126)))&gt;0)</f>
        <v>0</v>
      </c>
      <c r="S126" s="14" cm="1">
        <f t="array" ref="S126">INT(SUMPRODUCT(--ISNUMBER(SEARCH(immigration,C126)))&gt;0)</f>
        <v>0</v>
      </c>
      <c r="T126" s="14" cm="1">
        <f t="array" ref="T126">INT(SUMPRODUCT(--ISNUMBER(SEARCH(econineq,C127)))&gt;0)</f>
        <v>0</v>
      </c>
      <c r="U126" s="14" cm="1">
        <f t="array" ref="U126">INT(SUMPRODUCT(--ISNUMBER(SEARCH(climate,C126)))&gt;0)</f>
        <v>0</v>
      </c>
      <c r="V126" s="14" cm="1">
        <f t="array" ref="V126">INT(SUMPRODUCT(--ISNUMBER(SEARCH(abortion,C126)))&gt;0)</f>
        <v>0</v>
      </c>
      <c r="W126" s="14" cm="1">
        <f t="array" ref="W126">INT(SUMPRODUCT(--ISNUMBER(SEARCH(trump,C126)))&gt;0)</f>
        <v>0</v>
      </c>
      <c r="X126" s="14" cm="1">
        <f t="array" ref="X126">INT(SUMPRODUCT(--ISNUMBER(SEARCH(voting,C126)))&gt;0)</f>
        <v>0</v>
      </c>
      <c r="Y126" s="14" cm="1">
        <f t="array" ref="Y126">INT(SUMPRODUCT(--ISNUMBER(SEARCH(democrattrigger,C126)))&gt;0)</f>
        <v>0</v>
      </c>
      <c r="Z126" s="14" cm="1">
        <f t="array" ref="Z126">INT(SUMPRODUCT(--ISNUMBER(SEARCH(bipartisan,C126)))&gt;0)</f>
        <v>0</v>
      </c>
      <c r="AA126" s="14">
        <f t="shared" si="1"/>
        <v>1</v>
      </c>
      <c r="AB126" s="14"/>
      <c r="AC126" s="30" t="s">
        <v>223</v>
      </c>
      <c r="AD126" s="37" t="s">
        <v>223</v>
      </c>
    </row>
    <row r="127" spans="1:30" x14ac:dyDescent="0.25">
      <c r="A127" s="36">
        <v>1112</v>
      </c>
      <c r="B127" s="14" t="s">
        <v>2251</v>
      </c>
      <c r="C127" s="14" t="s">
        <v>2252</v>
      </c>
      <c r="D127" s="18">
        <v>44119</v>
      </c>
      <c r="E127" s="14" t="s">
        <v>30</v>
      </c>
      <c r="F127" s="14">
        <v>253</v>
      </c>
      <c r="G127" s="14">
        <v>85</v>
      </c>
      <c r="H127" s="14">
        <v>6</v>
      </c>
      <c r="I127" s="14">
        <v>3</v>
      </c>
      <c r="J127" s="14" t="s">
        <v>204</v>
      </c>
      <c r="K127" s="14" cm="1">
        <f t="array" ref="K127">INT(SUMPRODUCT(--ISNUMBER(SEARCH(economy,C127)))&gt;0)</f>
        <v>0</v>
      </c>
      <c r="L127" s="14" cm="1">
        <f t="array" ref="L127">INT(SUMPRODUCT(--ISNUMBER(SEARCH(healthcare,C127)))&gt;0)</f>
        <v>1</v>
      </c>
      <c r="M127" s="14" cm="1">
        <f t="array" ref="M127">INT(SUMPRODUCT(--ISNUMBER(SEARCH(supreme,C127)))&gt;0)</f>
        <v>0</v>
      </c>
      <c r="N127" s="14" cm="1">
        <f t="array" ref="N127">INT(SUMPRODUCT(--ISNUMBER(SEARCH(covid,C127)))&gt;0)</f>
        <v>1</v>
      </c>
      <c r="O127" s="14" cm="1">
        <f t="array" ref="O127">INT(SUMPRODUCT(--ISNUMBER(SEARCH(violent,C127)))&gt;0)</f>
        <v>0</v>
      </c>
      <c r="P127" s="14" cm="1">
        <f t="array" ref="P127">INT(SUMPRODUCT(--ISNUMBER(SEARCH(foreign,C127)))&gt;0)</f>
        <v>0</v>
      </c>
      <c r="Q127" s="14" cm="1">
        <f t="array" ref="Q127">INT(SUMPRODUCT(--ISNUMBER(SEARCH(gun,C127)))&gt;0)</f>
        <v>0</v>
      </c>
      <c r="R127" s="14" cm="1">
        <f t="array" ref="R127">INT(SUMPRODUCT(--ISNUMBER(SEARCH(race,C127)))&gt;0)</f>
        <v>0</v>
      </c>
      <c r="S127" s="14" cm="1">
        <f t="array" ref="S127">INT(SUMPRODUCT(--ISNUMBER(SEARCH(immigration,C127)))&gt;0)</f>
        <v>0</v>
      </c>
      <c r="T127" s="14" cm="1">
        <f t="array" ref="T127">INT(SUMPRODUCT(--ISNUMBER(SEARCH(econineq,C128)))&gt;0)</f>
        <v>0</v>
      </c>
      <c r="U127" s="14" cm="1">
        <f t="array" ref="U127">INT(SUMPRODUCT(--ISNUMBER(SEARCH(climate,C127)))&gt;0)</f>
        <v>0</v>
      </c>
      <c r="V127" s="14" cm="1">
        <f t="array" ref="V127">INT(SUMPRODUCT(--ISNUMBER(SEARCH(abortion,C127)))&gt;0)</f>
        <v>0</v>
      </c>
      <c r="W127" s="14" cm="1">
        <f t="array" ref="W127">INT(SUMPRODUCT(--ISNUMBER(SEARCH(trump,C127)))&gt;0)</f>
        <v>0</v>
      </c>
      <c r="X127" s="14" cm="1">
        <f t="array" ref="X127">INT(SUMPRODUCT(--ISNUMBER(SEARCH(voting,C127)))&gt;0)</f>
        <v>0</v>
      </c>
      <c r="Y127" s="14" cm="1">
        <f t="array" ref="Y127">INT(SUMPRODUCT(--ISNUMBER(SEARCH(democrattrigger,C127)))&gt;0)</f>
        <v>0</v>
      </c>
      <c r="Z127" s="14" cm="1">
        <f t="array" ref="Z127">INT(SUMPRODUCT(--ISNUMBER(SEARCH(bipartisan,C127)))&gt;0)</f>
        <v>0</v>
      </c>
      <c r="AA127" s="14">
        <f t="shared" si="1"/>
        <v>0</v>
      </c>
      <c r="AB127" s="14"/>
      <c r="AC127" s="30" t="s">
        <v>223</v>
      </c>
      <c r="AD127" s="37" t="s">
        <v>223</v>
      </c>
    </row>
    <row r="128" spans="1:30" x14ac:dyDescent="0.25">
      <c r="A128" s="36">
        <v>1113</v>
      </c>
      <c r="B128" s="14" t="s">
        <v>2253</v>
      </c>
      <c r="C128" s="14" t="s">
        <v>2254</v>
      </c>
      <c r="D128" s="18">
        <v>44119</v>
      </c>
      <c r="E128" s="14" t="s">
        <v>30</v>
      </c>
      <c r="F128" s="14">
        <v>414</v>
      </c>
      <c r="G128" s="14">
        <v>156</v>
      </c>
      <c r="H128" s="14">
        <v>6</v>
      </c>
      <c r="I128" s="14">
        <v>3</v>
      </c>
      <c r="J128" s="14" t="s">
        <v>204</v>
      </c>
      <c r="K128" s="14" cm="1">
        <f t="array" ref="K128">INT(SUMPRODUCT(--ISNUMBER(SEARCH(economy,C128)))&gt;0)</f>
        <v>0</v>
      </c>
      <c r="L128" s="14" cm="1">
        <f t="array" ref="L128">INT(SUMPRODUCT(--ISNUMBER(SEARCH(healthcare,C128)))&gt;0)</f>
        <v>1</v>
      </c>
      <c r="M128" s="14" cm="1">
        <f t="array" ref="M128">INT(SUMPRODUCT(--ISNUMBER(SEARCH(supreme,C128)))&gt;0)</f>
        <v>0</v>
      </c>
      <c r="N128" s="14" cm="1">
        <f t="array" ref="N128">INT(SUMPRODUCT(--ISNUMBER(SEARCH(covid,C128)))&gt;0)</f>
        <v>0</v>
      </c>
      <c r="O128" s="14" cm="1">
        <f t="array" ref="O128">INT(SUMPRODUCT(--ISNUMBER(SEARCH(violent,C128)))&gt;0)</f>
        <v>0</v>
      </c>
      <c r="P128" s="14" cm="1">
        <f t="array" ref="P128">INT(SUMPRODUCT(--ISNUMBER(SEARCH(foreign,C128)))&gt;0)</f>
        <v>0</v>
      </c>
      <c r="Q128" s="14" cm="1">
        <f t="array" ref="Q128">INT(SUMPRODUCT(--ISNUMBER(SEARCH(gun,C128)))&gt;0)</f>
        <v>0</v>
      </c>
      <c r="R128" s="14" cm="1">
        <f t="array" ref="R128">INT(SUMPRODUCT(--ISNUMBER(SEARCH(race,C128)))&gt;0)</f>
        <v>0</v>
      </c>
      <c r="S128" s="14" cm="1">
        <f t="array" ref="S128">INT(SUMPRODUCT(--ISNUMBER(SEARCH(immigration,C128)))&gt;0)</f>
        <v>0</v>
      </c>
      <c r="T128" s="14" cm="1">
        <f t="array" ref="T128">INT(SUMPRODUCT(--ISNUMBER(SEARCH(econineq,C129)))&gt;0)</f>
        <v>0</v>
      </c>
      <c r="U128" s="14" cm="1">
        <f t="array" ref="U128">INT(SUMPRODUCT(--ISNUMBER(SEARCH(climate,C128)))&gt;0)</f>
        <v>0</v>
      </c>
      <c r="V128" s="14" cm="1">
        <f t="array" ref="V128">INT(SUMPRODUCT(--ISNUMBER(SEARCH(abortion,C128)))&gt;0)</f>
        <v>0</v>
      </c>
      <c r="W128" s="14" cm="1">
        <f t="array" ref="W128">INT(SUMPRODUCT(--ISNUMBER(SEARCH(trump,C128)))&gt;0)</f>
        <v>0</v>
      </c>
      <c r="X128" s="14" cm="1">
        <f t="array" ref="X128">INT(SUMPRODUCT(--ISNUMBER(SEARCH(voting,C128)))&gt;0)</f>
        <v>1</v>
      </c>
      <c r="Y128" s="14" cm="1">
        <f t="array" ref="Y128">INT(SUMPRODUCT(--ISNUMBER(SEARCH(democrattrigger,C128)))&gt;0)</f>
        <v>1</v>
      </c>
      <c r="Z128" s="14" cm="1">
        <f t="array" ref="Z128">INT(SUMPRODUCT(--ISNUMBER(SEARCH(bipartisan,C128)))&gt;0)</f>
        <v>0</v>
      </c>
      <c r="AA128" s="14">
        <f t="shared" si="1"/>
        <v>0</v>
      </c>
      <c r="AB128" s="14"/>
      <c r="AC128" s="30" t="s">
        <v>223</v>
      </c>
      <c r="AD128" s="37" t="s">
        <v>223</v>
      </c>
    </row>
    <row r="129" spans="1:30" x14ac:dyDescent="0.25">
      <c r="A129" s="36">
        <v>1114</v>
      </c>
      <c r="B129" s="14" t="s">
        <v>2255</v>
      </c>
      <c r="C129" s="14" t="s">
        <v>2256</v>
      </c>
      <c r="D129" s="18">
        <v>44119</v>
      </c>
      <c r="E129" s="14" t="s">
        <v>30</v>
      </c>
      <c r="F129" s="14">
        <v>284</v>
      </c>
      <c r="G129" s="14">
        <v>100</v>
      </c>
      <c r="H129" s="14">
        <v>6</v>
      </c>
      <c r="I129" s="14">
        <v>3</v>
      </c>
      <c r="J129" s="14" t="s">
        <v>204</v>
      </c>
      <c r="K129" s="14" cm="1">
        <f t="array" ref="K129">INT(SUMPRODUCT(--ISNUMBER(SEARCH(economy,C129)))&gt;0)</f>
        <v>0</v>
      </c>
      <c r="L129" s="14" cm="1">
        <f t="array" ref="L129">INT(SUMPRODUCT(--ISNUMBER(SEARCH(healthcare,C129)))&gt;0)</f>
        <v>1</v>
      </c>
      <c r="M129" s="14" cm="1">
        <f t="array" ref="M129">INT(SUMPRODUCT(--ISNUMBER(SEARCH(supreme,C129)))&gt;0)</f>
        <v>0</v>
      </c>
      <c r="N129" s="14" cm="1">
        <f t="array" ref="N129">INT(SUMPRODUCT(--ISNUMBER(SEARCH(covid,C129)))&gt;0)</f>
        <v>0</v>
      </c>
      <c r="O129" s="14" cm="1">
        <f t="array" ref="O129">INT(SUMPRODUCT(--ISNUMBER(SEARCH(violent,C129)))&gt;0)</f>
        <v>0</v>
      </c>
      <c r="P129" s="14" cm="1">
        <f t="array" ref="P129">INT(SUMPRODUCT(--ISNUMBER(SEARCH(foreign,C129)))&gt;0)</f>
        <v>0</v>
      </c>
      <c r="Q129" s="14" cm="1">
        <f t="array" ref="Q129">INT(SUMPRODUCT(--ISNUMBER(SEARCH(gun,C129)))&gt;0)</f>
        <v>0</v>
      </c>
      <c r="R129" s="14" cm="1">
        <f t="array" ref="R129">INT(SUMPRODUCT(--ISNUMBER(SEARCH(race,C129)))&gt;0)</f>
        <v>0</v>
      </c>
      <c r="S129" s="14" cm="1">
        <f t="array" ref="S129">INT(SUMPRODUCT(--ISNUMBER(SEARCH(immigration,C129)))&gt;0)</f>
        <v>0</v>
      </c>
      <c r="T129" s="14" cm="1">
        <f t="array" ref="T129">INT(SUMPRODUCT(--ISNUMBER(SEARCH(econineq,C130)))&gt;0)</f>
        <v>0</v>
      </c>
      <c r="U129" s="14" cm="1">
        <f t="array" ref="U129">INT(SUMPRODUCT(--ISNUMBER(SEARCH(climate,C129)))&gt;0)</f>
        <v>0</v>
      </c>
      <c r="V129" s="14" cm="1">
        <f t="array" ref="V129">INT(SUMPRODUCT(--ISNUMBER(SEARCH(abortion,C129)))&gt;0)</f>
        <v>0</v>
      </c>
      <c r="W129" s="14" cm="1">
        <f t="array" ref="W129">INT(SUMPRODUCT(--ISNUMBER(SEARCH(trump,C129)))&gt;0)</f>
        <v>0</v>
      </c>
      <c r="X129" s="14" cm="1">
        <f t="array" ref="X129">INT(SUMPRODUCT(--ISNUMBER(SEARCH(voting,C129)))&gt;0)</f>
        <v>0</v>
      </c>
      <c r="Y129" s="14" cm="1">
        <f t="array" ref="Y129">INT(SUMPRODUCT(--ISNUMBER(SEARCH(democrattrigger,C129)))&gt;0)</f>
        <v>0</v>
      </c>
      <c r="Z129" s="14" cm="1">
        <f t="array" ref="Z129">INT(SUMPRODUCT(--ISNUMBER(SEARCH(bipartisan,C129)))&gt;0)</f>
        <v>0</v>
      </c>
      <c r="AA129" s="14">
        <f t="shared" si="1"/>
        <v>0</v>
      </c>
      <c r="AB129" s="14"/>
      <c r="AC129" s="30" t="s">
        <v>223</v>
      </c>
      <c r="AD129" s="37" t="s">
        <v>223</v>
      </c>
    </row>
    <row r="130" spans="1:30" x14ac:dyDescent="0.25">
      <c r="A130" s="36">
        <v>1115</v>
      </c>
      <c r="B130" s="14" t="s">
        <v>2257</v>
      </c>
      <c r="C130" s="14" t="s">
        <v>2258</v>
      </c>
      <c r="D130" s="18">
        <v>44119</v>
      </c>
      <c r="E130" s="14" t="s">
        <v>30</v>
      </c>
      <c r="F130" s="14">
        <v>775</v>
      </c>
      <c r="G130" s="14">
        <v>274</v>
      </c>
      <c r="H130" s="14">
        <v>6</v>
      </c>
      <c r="I130" s="14">
        <v>3</v>
      </c>
      <c r="J130" s="14" t="s">
        <v>204</v>
      </c>
      <c r="K130" s="14" cm="1">
        <f t="array" ref="K130">INT(SUMPRODUCT(--ISNUMBER(SEARCH(economy,C130)))&gt;0)</f>
        <v>0</v>
      </c>
      <c r="L130" s="14" cm="1">
        <f t="array" ref="L130">INT(SUMPRODUCT(--ISNUMBER(SEARCH(healthcare,C130)))&gt;0)</f>
        <v>1</v>
      </c>
      <c r="M130" s="14" cm="1">
        <f t="array" ref="M130">INT(SUMPRODUCT(--ISNUMBER(SEARCH(supreme,C130)))&gt;0)</f>
        <v>0</v>
      </c>
      <c r="N130" s="14" cm="1">
        <f t="array" ref="N130">INT(SUMPRODUCT(--ISNUMBER(SEARCH(covid,C130)))&gt;0)</f>
        <v>0</v>
      </c>
      <c r="O130" s="14" cm="1">
        <f t="array" ref="O130">INT(SUMPRODUCT(--ISNUMBER(SEARCH(violent,C130)))&gt;0)</f>
        <v>0</v>
      </c>
      <c r="P130" s="14" cm="1">
        <f t="array" ref="P130">INT(SUMPRODUCT(--ISNUMBER(SEARCH(foreign,C130)))&gt;0)</f>
        <v>0</v>
      </c>
      <c r="Q130" s="14" cm="1">
        <f t="array" ref="Q130">INT(SUMPRODUCT(--ISNUMBER(SEARCH(gun,C130)))&gt;0)</f>
        <v>0</v>
      </c>
      <c r="R130" s="14" cm="1">
        <f t="array" ref="R130">INT(SUMPRODUCT(--ISNUMBER(SEARCH(race,C130)))&gt;0)</f>
        <v>0</v>
      </c>
      <c r="S130" s="14" cm="1">
        <f t="array" ref="S130">INT(SUMPRODUCT(--ISNUMBER(SEARCH(immigration,C130)))&gt;0)</f>
        <v>0</v>
      </c>
      <c r="T130" s="14" cm="1">
        <f t="array" ref="T130">INT(SUMPRODUCT(--ISNUMBER(SEARCH(econineq,C131)))&gt;0)</f>
        <v>0</v>
      </c>
      <c r="U130" s="14" cm="1">
        <f t="array" ref="U130">INT(SUMPRODUCT(--ISNUMBER(SEARCH(climate,C130)))&gt;0)</f>
        <v>0</v>
      </c>
      <c r="V130" s="14" cm="1">
        <f t="array" ref="V130">INT(SUMPRODUCT(--ISNUMBER(SEARCH(abortion,C130)))&gt;0)</f>
        <v>0</v>
      </c>
      <c r="W130" s="14" cm="1">
        <f t="array" ref="W130">INT(SUMPRODUCT(--ISNUMBER(SEARCH(trump,C130)))&gt;0)</f>
        <v>0</v>
      </c>
      <c r="X130" s="14" cm="1">
        <f t="array" ref="X130">INT(SUMPRODUCT(--ISNUMBER(SEARCH(voting,C130)))&gt;0)</f>
        <v>1</v>
      </c>
      <c r="Y130" s="14" cm="1">
        <f t="array" ref="Y130">INT(SUMPRODUCT(--ISNUMBER(SEARCH(democrattrigger,C130)))&gt;0)</f>
        <v>1</v>
      </c>
      <c r="Z130" s="14" cm="1">
        <f t="array" ref="Z130">INT(SUMPRODUCT(--ISNUMBER(SEARCH(bipartisan,C130)))&gt;0)</f>
        <v>0</v>
      </c>
      <c r="AA130" s="14">
        <f t="shared" si="1"/>
        <v>0</v>
      </c>
      <c r="AB130" s="14"/>
      <c r="AC130" s="30">
        <v>1</v>
      </c>
      <c r="AD130" s="37">
        <v>0</v>
      </c>
    </row>
    <row r="131" spans="1:30" x14ac:dyDescent="0.25">
      <c r="A131" s="36">
        <v>1116</v>
      </c>
      <c r="B131" s="14" t="s">
        <v>2259</v>
      </c>
      <c r="C131" s="14" t="s">
        <v>2260</v>
      </c>
      <c r="D131" s="18">
        <v>44119</v>
      </c>
      <c r="E131" s="14" t="s">
        <v>30</v>
      </c>
      <c r="F131" s="14">
        <v>223</v>
      </c>
      <c r="G131" s="14">
        <v>97</v>
      </c>
      <c r="H131" s="14">
        <v>6</v>
      </c>
      <c r="I131" s="14">
        <v>3</v>
      </c>
      <c r="J131" s="14" t="s">
        <v>204</v>
      </c>
      <c r="K131" s="14" cm="1">
        <f t="array" ref="K131">INT(SUMPRODUCT(--ISNUMBER(SEARCH(economy,C131)))&gt;0)</f>
        <v>1</v>
      </c>
      <c r="L131" s="14" cm="1">
        <f t="array" ref="L131">INT(SUMPRODUCT(--ISNUMBER(SEARCH(healthcare,C131)))&gt;0)</f>
        <v>0</v>
      </c>
      <c r="M131" s="14" cm="1">
        <f t="array" ref="M131">INT(SUMPRODUCT(--ISNUMBER(SEARCH(supreme,C131)))&gt;0)</f>
        <v>0</v>
      </c>
      <c r="N131" s="14" cm="1">
        <f t="array" ref="N131">INT(SUMPRODUCT(--ISNUMBER(SEARCH(covid,C131)))&gt;0)</f>
        <v>1</v>
      </c>
      <c r="O131" s="14" cm="1">
        <f t="array" ref="O131">INT(SUMPRODUCT(--ISNUMBER(SEARCH(violent,C131)))&gt;0)</f>
        <v>0</v>
      </c>
      <c r="P131" s="14" cm="1">
        <f t="array" ref="P131">INT(SUMPRODUCT(--ISNUMBER(SEARCH(foreign,C131)))&gt;0)</f>
        <v>0</v>
      </c>
      <c r="Q131" s="14" cm="1">
        <f t="array" ref="Q131">INT(SUMPRODUCT(--ISNUMBER(SEARCH(gun,C131)))&gt;0)</f>
        <v>0</v>
      </c>
      <c r="R131" s="14" cm="1">
        <f t="array" ref="R131">INT(SUMPRODUCT(--ISNUMBER(SEARCH(race,C131)))&gt;0)</f>
        <v>0</v>
      </c>
      <c r="S131" s="14" cm="1">
        <f t="array" ref="S131">INT(SUMPRODUCT(--ISNUMBER(SEARCH(immigration,C131)))&gt;0)</f>
        <v>0</v>
      </c>
      <c r="T131" s="14" cm="1">
        <f t="array" ref="T131">INT(SUMPRODUCT(--ISNUMBER(SEARCH(econineq,C132)))&gt;0)</f>
        <v>0</v>
      </c>
      <c r="U131" s="14" cm="1">
        <f t="array" ref="U131">INT(SUMPRODUCT(--ISNUMBER(SEARCH(climate,C131)))&gt;0)</f>
        <v>0</v>
      </c>
      <c r="V131" s="14" cm="1">
        <f t="array" ref="V131">INT(SUMPRODUCT(--ISNUMBER(SEARCH(abortion,C131)))&gt;0)</f>
        <v>0</v>
      </c>
      <c r="W131" s="14" cm="1">
        <f t="array" ref="W131">INT(SUMPRODUCT(--ISNUMBER(SEARCH(trump,C131)))&gt;0)</f>
        <v>0</v>
      </c>
      <c r="X131" s="14" cm="1">
        <f t="array" ref="X131">INT(SUMPRODUCT(--ISNUMBER(SEARCH(voting,C131)))&gt;0)</f>
        <v>0</v>
      </c>
      <c r="Y131" s="14" cm="1">
        <f t="array" ref="Y131">INT(SUMPRODUCT(--ISNUMBER(SEARCH(democrattrigger,C131)))&gt;0)</f>
        <v>1</v>
      </c>
      <c r="Z131" s="14" cm="1">
        <f t="array" ref="Z131">INT(SUMPRODUCT(--ISNUMBER(SEARCH(bipartisan,C131)))&gt;0)</f>
        <v>0</v>
      </c>
      <c r="AA131" s="14">
        <f t="shared" ref="AA131:AA194" si="2">INT(IF(COUNTIF(K131:Z131,1)=0,"1","0"))</f>
        <v>0</v>
      </c>
      <c r="AB131" s="14"/>
      <c r="AC131" s="30" t="s">
        <v>223</v>
      </c>
      <c r="AD131" s="37" t="s">
        <v>223</v>
      </c>
    </row>
    <row r="132" spans="1:30" x14ac:dyDescent="0.25">
      <c r="A132" s="36">
        <v>1117</v>
      </c>
      <c r="B132" s="14" t="s">
        <v>2261</v>
      </c>
      <c r="C132" s="14" t="s">
        <v>2262</v>
      </c>
      <c r="D132" s="18">
        <v>44119</v>
      </c>
      <c r="E132" s="14" t="s">
        <v>30</v>
      </c>
      <c r="F132" s="14">
        <v>332</v>
      </c>
      <c r="G132" s="14">
        <v>108</v>
      </c>
      <c r="H132" s="14">
        <v>6</v>
      </c>
      <c r="I132" s="14">
        <v>3</v>
      </c>
      <c r="J132" s="14" t="s">
        <v>204</v>
      </c>
      <c r="K132" s="14" cm="1">
        <f t="array" ref="K132">INT(SUMPRODUCT(--ISNUMBER(SEARCH(economy,C132)))&gt;0)</f>
        <v>1</v>
      </c>
      <c r="L132" s="14" cm="1">
        <f t="array" ref="L132">INT(SUMPRODUCT(--ISNUMBER(SEARCH(healthcare,C132)))&gt;0)</f>
        <v>0</v>
      </c>
      <c r="M132" s="14" cm="1">
        <f t="array" ref="M132">INT(SUMPRODUCT(--ISNUMBER(SEARCH(supreme,C132)))&gt;0)</f>
        <v>0</v>
      </c>
      <c r="N132" s="14" cm="1">
        <f t="array" ref="N132">INT(SUMPRODUCT(--ISNUMBER(SEARCH(covid,C132)))&gt;0)</f>
        <v>0</v>
      </c>
      <c r="O132" s="14" cm="1">
        <f t="array" ref="O132">INT(SUMPRODUCT(--ISNUMBER(SEARCH(violent,C132)))&gt;0)</f>
        <v>0</v>
      </c>
      <c r="P132" s="14" cm="1">
        <f t="array" ref="P132">INT(SUMPRODUCT(--ISNUMBER(SEARCH(foreign,C132)))&gt;0)</f>
        <v>0</v>
      </c>
      <c r="Q132" s="14" cm="1">
        <f t="array" ref="Q132">INT(SUMPRODUCT(--ISNUMBER(SEARCH(gun,C132)))&gt;0)</f>
        <v>0</v>
      </c>
      <c r="R132" s="14" cm="1">
        <f t="array" ref="R132">INT(SUMPRODUCT(--ISNUMBER(SEARCH(race,C132)))&gt;0)</f>
        <v>0</v>
      </c>
      <c r="S132" s="14" cm="1">
        <f t="array" ref="S132">INT(SUMPRODUCT(--ISNUMBER(SEARCH(immigration,C132)))&gt;0)</f>
        <v>0</v>
      </c>
      <c r="T132" s="14" cm="1">
        <f t="array" ref="T132">INT(SUMPRODUCT(--ISNUMBER(SEARCH(econineq,C133)))&gt;0)</f>
        <v>0</v>
      </c>
      <c r="U132" s="14" cm="1">
        <f t="array" ref="U132">INT(SUMPRODUCT(--ISNUMBER(SEARCH(climate,C132)))&gt;0)</f>
        <v>0</v>
      </c>
      <c r="V132" s="14" cm="1">
        <f t="array" ref="V132">INT(SUMPRODUCT(--ISNUMBER(SEARCH(abortion,C132)))&gt;0)</f>
        <v>0</v>
      </c>
      <c r="W132" s="14" cm="1">
        <f t="array" ref="W132">INT(SUMPRODUCT(--ISNUMBER(SEARCH(trump,C132)))&gt;0)</f>
        <v>0</v>
      </c>
      <c r="X132" s="14" cm="1">
        <f t="array" ref="X132">INT(SUMPRODUCT(--ISNUMBER(SEARCH(voting,C132)))&gt;0)</f>
        <v>0</v>
      </c>
      <c r="Y132" s="14" cm="1">
        <f t="array" ref="Y132">INT(SUMPRODUCT(--ISNUMBER(SEARCH(democrattrigger,C132)))&gt;0)</f>
        <v>0</v>
      </c>
      <c r="Z132" s="14" cm="1">
        <f t="array" ref="Z132">INT(SUMPRODUCT(--ISNUMBER(SEARCH(bipartisan,C132)))&gt;0)</f>
        <v>0</v>
      </c>
      <c r="AA132" s="14">
        <f t="shared" si="2"/>
        <v>0</v>
      </c>
      <c r="AB132" s="14"/>
      <c r="AC132" s="30" t="s">
        <v>223</v>
      </c>
      <c r="AD132" s="37" t="s">
        <v>223</v>
      </c>
    </row>
    <row r="133" spans="1:30" x14ac:dyDescent="0.25">
      <c r="A133" s="36">
        <v>1118</v>
      </c>
      <c r="B133" s="14" t="s">
        <v>2263</v>
      </c>
      <c r="C133" s="14" t="s">
        <v>2264</v>
      </c>
      <c r="D133" s="18">
        <v>44119</v>
      </c>
      <c r="E133" s="14" t="s">
        <v>30</v>
      </c>
      <c r="F133" s="14">
        <v>1068</v>
      </c>
      <c r="G133" s="14">
        <v>326</v>
      </c>
      <c r="H133" s="14">
        <v>6</v>
      </c>
      <c r="I133" s="14">
        <v>3</v>
      </c>
      <c r="J133" s="14" t="s">
        <v>204</v>
      </c>
      <c r="K133" s="14" cm="1">
        <f t="array" ref="K133">INT(SUMPRODUCT(--ISNUMBER(SEARCH(economy,C133)))&gt;0)</f>
        <v>0</v>
      </c>
      <c r="L133" s="14" cm="1">
        <f t="array" ref="L133">INT(SUMPRODUCT(--ISNUMBER(SEARCH(healthcare,C133)))&gt;0)</f>
        <v>0</v>
      </c>
      <c r="M133" s="14" cm="1">
        <f t="array" ref="M133">INT(SUMPRODUCT(--ISNUMBER(SEARCH(supreme,C133)))&gt;0)</f>
        <v>0</v>
      </c>
      <c r="N133" s="14" cm="1">
        <f t="array" ref="N133">INT(SUMPRODUCT(--ISNUMBER(SEARCH(covid,C133)))&gt;0)</f>
        <v>0</v>
      </c>
      <c r="O133" s="14" cm="1">
        <f t="array" ref="O133">INT(SUMPRODUCT(--ISNUMBER(SEARCH(violent,C133)))&gt;0)</f>
        <v>0</v>
      </c>
      <c r="P133" s="14" cm="1">
        <f t="array" ref="P133">INT(SUMPRODUCT(--ISNUMBER(SEARCH(foreign,C133)))&gt;0)</f>
        <v>0</v>
      </c>
      <c r="Q133" s="14" cm="1">
        <f t="array" ref="Q133">INT(SUMPRODUCT(--ISNUMBER(SEARCH(gun,C133)))&gt;0)</f>
        <v>0</v>
      </c>
      <c r="R133" s="14" cm="1">
        <f t="array" ref="R133">INT(SUMPRODUCT(--ISNUMBER(SEARCH(race,C133)))&gt;0)</f>
        <v>0</v>
      </c>
      <c r="S133" s="14" cm="1">
        <f t="array" ref="S133">INT(SUMPRODUCT(--ISNUMBER(SEARCH(immigration,C133)))&gt;0)</f>
        <v>0</v>
      </c>
      <c r="T133" s="14" cm="1">
        <f t="array" ref="T133">INT(SUMPRODUCT(--ISNUMBER(SEARCH(econineq,C134)))&gt;0)</f>
        <v>0</v>
      </c>
      <c r="U133" s="14" cm="1">
        <f t="array" ref="U133">INT(SUMPRODUCT(--ISNUMBER(SEARCH(climate,C133)))&gt;0)</f>
        <v>0</v>
      </c>
      <c r="V133" s="14" cm="1">
        <f t="array" ref="V133">INT(SUMPRODUCT(--ISNUMBER(SEARCH(abortion,C133)))&gt;0)</f>
        <v>0</v>
      </c>
      <c r="W133" s="14" cm="1">
        <f t="array" ref="W133">INT(SUMPRODUCT(--ISNUMBER(SEARCH(trump,C133)))&gt;0)</f>
        <v>0</v>
      </c>
      <c r="X133" s="14" cm="1">
        <f t="array" ref="X133">INT(SUMPRODUCT(--ISNUMBER(SEARCH(voting,C133)))&gt;0)</f>
        <v>0</v>
      </c>
      <c r="Y133" s="14" cm="1">
        <f t="array" ref="Y133">INT(SUMPRODUCT(--ISNUMBER(SEARCH(democrattrigger,C133)))&gt;0)</f>
        <v>1</v>
      </c>
      <c r="Z133" s="14" cm="1">
        <f t="array" ref="Z133">INT(SUMPRODUCT(--ISNUMBER(SEARCH(bipartisan,C133)))&gt;0)</f>
        <v>0</v>
      </c>
      <c r="AA133" s="14">
        <f t="shared" si="2"/>
        <v>0</v>
      </c>
      <c r="AB133" s="14"/>
      <c r="AC133" s="30" t="s">
        <v>223</v>
      </c>
      <c r="AD133" s="37" t="s">
        <v>223</v>
      </c>
    </row>
    <row r="134" spans="1:30" x14ac:dyDescent="0.25">
      <c r="A134" s="36">
        <v>1119</v>
      </c>
      <c r="B134" s="14" t="s">
        <v>2265</v>
      </c>
      <c r="C134" s="14" t="s">
        <v>2266</v>
      </c>
      <c r="D134" s="18">
        <v>44119</v>
      </c>
      <c r="E134" s="14" t="s">
        <v>30</v>
      </c>
      <c r="F134" s="14">
        <v>265</v>
      </c>
      <c r="G134" s="14">
        <v>126</v>
      </c>
      <c r="H134" s="14">
        <v>6</v>
      </c>
      <c r="I134" s="14">
        <v>3</v>
      </c>
      <c r="J134" s="14" t="s">
        <v>204</v>
      </c>
      <c r="K134" s="14" cm="1">
        <f t="array" ref="K134">INT(SUMPRODUCT(--ISNUMBER(SEARCH(economy,C134)))&gt;0)</f>
        <v>0</v>
      </c>
      <c r="L134" s="14" cm="1">
        <f t="array" ref="L134">INT(SUMPRODUCT(--ISNUMBER(SEARCH(healthcare,C134)))&gt;0)</f>
        <v>0</v>
      </c>
      <c r="M134" s="14" cm="1">
        <f t="array" ref="M134">INT(SUMPRODUCT(--ISNUMBER(SEARCH(supreme,C134)))&gt;0)</f>
        <v>0</v>
      </c>
      <c r="N134" s="14" cm="1">
        <f t="array" ref="N134">INT(SUMPRODUCT(--ISNUMBER(SEARCH(covid,C134)))&gt;0)</f>
        <v>0</v>
      </c>
      <c r="O134" s="14" cm="1">
        <f t="array" ref="O134">INT(SUMPRODUCT(--ISNUMBER(SEARCH(violent,C134)))&gt;0)</f>
        <v>0</v>
      </c>
      <c r="P134" s="14" cm="1">
        <f t="array" ref="P134">INT(SUMPRODUCT(--ISNUMBER(SEARCH(foreign,C134)))&gt;0)</f>
        <v>0</v>
      </c>
      <c r="Q134" s="14" cm="1">
        <f t="array" ref="Q134">INT(SUMPRODUCT(--ISNUMBER(SEARCH(gun,C134)))&gt;0)</f>
        <v>0</v>
      </c>
      <c r="R134" s="14" cm="1">
        <f t="array" ref="R134">INT(SUMPRODUCT(--ISNUMBER(SEARCH(race,C134)))&gt;0)</f>
        <v>0</v>
      </c>
      <c r="S134" s="14" cm="1">
        <f t="array" ref="S134">INT(SUMPRODUCT(--ISNUMBER(SEARCH(immigration,C134)))&gt;0)</f>
        <v>0</v>
      </c>
      <c r="T134" s="14" cm="1">
        <f t="array" ref="T134">INT(SUMPRODUCT(--ISNUMBER(SEARCH(econineq,C135)))&gt;0)</f>
        <v>0</v>
      </c>
      <c r="U134" s="14" cm="1">
        <f t="array" ref="U134">INT(SUMPRODUCT(--ISNUMBER(SEARCH(climate,C134)))&gt;0)</f>
        <v>0</v>
      </c>
      <c r="V134" s="14" cm="1">
        <f t="array" ref="V134">INT(SUMPRODUCT(--ISNUMBER(SEARCH(abortion,C134)))&gt;0)</f>
        <v>0</v>
      </c>
      <c r="W134" s="14" cm="1">
        <f t="array" ref="W134">INT(SUMPRODUCT(--ISNUMBER(SEARCH(trump,C134)))&gt;0)</f>
        <v>0</v>
      </c>
      <c r="X134" s="14" cm="1">
        <f t="array" ref="X134">INT(SUMPRODUCT(--ISNUMBER(SEARCH(voting,C134)))&gt;0)</f>
        <v>1</v>
      </c>
      <c r="Y134" s="14" cm="1">
        <f t="array" ref="Y134">INT(SUMPRODUCT(--ISNUMBER(SEARCH(democrattrigger,C134)))&gt;0)</f>
        <v>1</v>
      </c>
      <c r="Z134" s="14" cm="1">
        <f t="array" ref="Z134">INT(SUMPRODUCT(--ISNUMBER(SEARCH(bipartisan,C134)))&gt;0)</f>
        <v>0</v>
      </c>
      <c r="AA134" s="14">
        <f t="shared" si="2"/>
        <v>0</v>
      </c>
      <c r="AB134" s="14"/>
      <c r="AC134" s="30" t="s">
        <v>223</v>
      </c>
      <c r="AD134" s="37" t="s">
        <v>223</v>
      </c>
    </row>
    <row r="135" spans="1:30" x14ac:dyDescent="0.25">
      <c r="A135" s="36">
        <v>1120</v>
      </c>
      <c r="B135" s="14" t="s">
        <v>2267</v>
      </c>
      <c r="C135" s="14" t="s">
        <v>2268</v>
      </c>
      <c r="D135" s="18">
        <v>44119</v>
      </c>
      <c r="E135" s="14" t="s">
        <v>30</v>
      </c>
      <c r="F135" s="14">
        <v>353</v>
      </c>
      <c r="G135" s="14">
        <v>59</v>
      </c>
      <c r="H135" s="14">
        <v>6</v>
      </c>
      <c r="I135" s="14">
        <v>3</v>
      </c>
      <c r="J135" s="14" t="s">
        <v>204</v>
      </c>
      <c r="K135" s="14" cm="1">
        <f t="array" ref="K135">INT(SUMPRODUCT(--ISNUMBER(SEARCH(economy,C135)))&gt;0)</f>
        <v>0</v>
      </c>
      <c r="L135" s="14" cm="1">
        <f t="array" ref="L135">INT(SUMPRODUCT(--ISNUMBER(SEARCH(healthcare,C135)))&gt;0)</f>
        <v>0</v>
      </c>
      <c r="M135" s="14" cm="1">
        <f t="array" ref="M135">INT(SUMPRODUCT(--ISNUMBER(SEARCH(supreme,C135)))&gt;0)</f>
        <v>0</v>
      </c>
      <c r="N135" s="14" cm="1">
        <f t="array" ref="N135">INT(SUMPRODUCT(--ISNUMBER(SEARCH(covid,C135)))&gt;0)</f>
        <v>0</v>
      </c>
      <c r="O135" s="14" cm="1">
        <f t="array" ref="O135">INT(SUMPRODUCT(--ISNUMBER(SEARCH(violent,C135)))&gt;0)</f>
        <v>0</v>
      </c>
      <c r="P135" s="14" cm="1">
        <f t="array" ref="P135">INT(SUMPRODUCT(--ISNUMBER(SEARCH(foreign,C135)))&gt;0)</f>
        <v>0</v>
      </c>
      <c r="Q135" s="14" cm="1">
        <f t="array" ref="Q135">INT(SUMPRODUCT(--ISNUMBER(SEARCH(gun,C135)))&gt;0)</f>
        <v>0</v>
      </c>
      <c r="R135" s="14" cm="1">
        <f t="array" ref="R135">INT(SUMPRODUCT(--ISNUMBER(SEARCH(race,C135)))&gt;0)</f>
        <v>0</v>
      </c>
      <c r="S135" s="14" cm="1">
        <f t="array" ref="S135">INT(SUMPRODUCT(--ISNUMBER(SEARCH(immigration,C135)))&gt;0)</f>
        <v>0</v>
      </c>
      <c r="T135" s="14" cm="1">
        <f t="array" ref="T135">INT(SUMPRODUCT(--ISNUMBER(SEARCH(econineq,C136)))&gt;0)</f>
        <v>0</v>
      </c>
      <c r="U135" s="14" cm="1">
        <f t="array" ref="U135">INT(SUMPRODUCT(--ISNUMBER(SEARCH(climate,C135)))&gt;0)</f>
        <v>0</v>
      </c>
      <c r="V135" s="14" cm="1">
        <f t="array" ref="V135">INT(SUMPRODUCT(--ISNUMBER(SEARCH(abortion,C135)))&gt;0)</f>
        <v>0</v>
      </c>
      <c r="W135" s="14" cm="1">
        <f t="array" ref="W135">INT(SUMPRODUCT(--ISNUMBER(SEARCH(trump,C135)))&gt;0)</f>
        <v>0</v>
      </c>
      <c r="X135" s="14" cm="1">
        <f t="array" ref="X135">INT(SUMPRODUCT(--ISNUMBER(SEARCH(voting,C135)))&gt;0)</f>
        <v>1</v>
      </c>
      <c r="Y135" s="14" cm="1">
        <f t="array" ref="Y135">INT(SUMPRODUCT(--ISNUMBER(SEARCH(democrattrigger,C135)))&gt;0)</f>
        <v>0</v>
      </c>
      <c r="Z135" s="14" cm="1">
        <f t="array" ref="Z135">INT(SUMPRODUCT(--ISNUMBER(SEARCH(bipartisan,C135)))&gt;0)</f>
        <v>0</v>
      </c>
      <c r="AA135" s="14">
        <f t="shared" si="2"/>
        <v>0</v>
      </c>
      <c r="AB135" s="14"/>
      <c r="AC135" s="30">
        <v>1</v>
      </c>
      <c r="AD135" s="37">
        <v>0</v>
      </c>
    </row>
    <row r="136" spans="1:30" x14ac:dyDescent="0.25">
      <c r="A136" s="36">
        <v>1121</v>
      </c>
      <c r="B136" s="14" t="s">
        <v>2269</v>
      </c>
      <c r="C136" s="14" t="s">
        <v>2270</v>
      </c>
      <c r="D136" s="18">
        <v>44119</v>
      </c>
      <c r="E136" s="14" t="s">
        <v>30</v>
      </c>
      <c r="F136" s="14">
        <v>2248</v>
      </c>
      <c r="G136" s="14">
        <v>849</v>
      </c>
      <c r="H136" s="14">
        <v>6</v>
      </c>
      <c r="I136" s="14">
        <v>3</v>
      </c>
      <c r="J136" s="14" t="s">
        <v>204</v>
      </c>
      <c r="K136" s="14" cm="1">
        <f t="array" ref="K136">INT(SUMPRODUCT(--ISNUMBER(SEARCH(economy,C136)))&gt;0)</f>
        <v>0</v>
      </c>
      <c r="L136" s="14" cm="1">
        <f t="array" ref="L136">INT(SUMPRODUCT(--ISNUMBER(SEARCH(healthcare,C136)))&gt;0)</f>
        <v>0</v>
      </c>
      <c r="M136" s="14" cm="1">
        <f t="array" ref="M136">INT(SUMPRODUCT(--ISNUMBER(SEARCH(supreme,C136)))&gt;0)</f>
        <v>0</v>
      </c>
      <c r="N136" s="14" cm="1">
        <f t="array" ref="N136">INT(SUMPRODUCT(--ISNUMBER(SEARCH(covid,C136)))&gt;0)</f>
        <v>0</v>
      </c>
      <c r="O136" s="14" cm="1">
        <f t="array" ref="O136">INT(SUMPRODUCT(--ISNUMBER(SEARCH(violent,C136)))&gt;0)</f>
        <v>0</v>
      </c>
      <c r="P136" s="14" cm="1">
        <f t="array" ref="P136">INT(SUMPRODUCT(--ISNUMBER(SEARCH(foreign,C136)))&gt;0)</f>
        <v>0</v>
      </c>
      <c r="Q136" s="14" cm="1">
        <f t="array" ref="Q136">INT(SUMPRODUCT(--ISNUMBER(SEARCH(gun,C136)))&gt;0)</f>
        <v>0</v>
      </c>
      <c r="R136" s="14" cm="1">
        <f t="array" ref="R136">INT(SUMPRODUCT(--ISNUMBER(SEARCH(race,C136)))&gt;0)</f>
        <v>0</v>
      </c>
      <c r="S136" s="14" cm="1">
        <f t="array" ref="S136">INT(SUMPRODUCT(--ISNUMBER(SEARCH(immigration,C136)))&gt;0)</f>
        <v>0</v>
      </c>
      <c r="T136" s="14" cm="1">
        <f t="array" ref="T136">INT(SUMPRODUCT(--ISNUMBER(SEARCH(econineq,C137)))&gt;0)</f>
        <v>0</v>
      </c>
      <c r="U136" s="14" cm="1">
        <f t="array" ref="U136">INT(SUMPRODUCT(--ISNUMBER(SEARCH(climate,C136)))&gt;0)</f>
        <v>0</v>
      </c>
      <c r="V136" s="14" cm="1">
        <f t="array" ref="V136">INT(SUMPRODUCT(--ISNUMBER(SEARCH(abortion,C136)))&gt;0)</f>
        <v>0</v>
      </c>
      <c r="W136" s="14" cm="1">
        <f t="array" ref="W136">INT(SUMPRODUCT(--ISNUMBER(SEARCH(trump,C136)))&gt;0)</f>
        <v>0</v>
      </c>
      <c r="X136" s="14" cm="1">
        <f t="array" ref="X136">INT(SUMPRODUCT(--ISNUMBER(SEARCH(voting,C136)))&gt;0)</f>
        <v>1</v>
      </c>
      <c r="Y136" s="14" cm="1">
        <f t="array" ref="Y136">INT(SUMPRODUCT(--ISNUMBER(SEARCH(democrattrigger,C136)))&gt;0)</f>
        <v>1</v>
      </c>
      <c r="Z136" s="14" cm="1">
        <f t="array" ref="Z136">INT(SUMPRODUCT(--ISNUMBER(SEARCH(bipartisan,C136)))&gt;0)</f>
        <v>0</v>
      </c>
      <c r="AA136" s="14">
        <f t="shared" si="2"/>
        <v>0</v>
      </c>
      <c r="AB136" s="14"/>
      <c r="AC136" s="30" t="s">
        <v>223</v>
      </c>
      <c r="AD136" s="37" t="s">
        <v>223</v>
      </c>
    </row>
    <row r="137" spans="1:30" x14ac:dyDescent="0.25">
      <c r="A137" s="36">
        <v>1122</v>
      </c>
      <c r="B137" s="14" t="s">
        <v>2271</v>
      </c>
      <c r="C137" s="14" t="s">
        <v>2272</v>
      </c>
      <c r="D137" s="18">
        <v>44119</v>
      </c>
      <c r="E137" s="14" t="s">
        <v>30</v>
      </c>
      <c r="F137" s="14">
        <v>338</v>
      </c>
      <c r="G137" s="14">
        <v>140</v>
      </c>
      <c r="H137" s="14">
        <v>6</v>
      </c>
      <c r="I137" s="14">
        <v>3</v>
      </c>
      <c r="J137" s="14" t="s">
        <v>204</v>
      </c>
      <c r="K137" s="14" cm="1">
        <f t="array" ref="K137">INT(SUMPRODUCT(--ISNUMBER(SEARCH(economy,C137)))&gt;0)</f>
        <v>0</v>
      </c>
      <c r="L137" s="14" cm="1">
        <f t="array" ref="L137">INT(SUMPRODUCT(--ISNUMBER(SEARCH(healthcare,C137)))&gt;0)</f>
        <v>0</v>
      </c>
      <c r="M137" s="14" cm="1">
        <f t="array" ref="M137">INT(SUMPRODUCT(--ISNUMBER(SEARCH(supreme,C137)))&gt;0)</f>
        <v>0</v>
      </c>
      <c r="N137" s="14" cm="1">
        <f t="array" ref="N137">INT(SUMPRODUCT(--ISNUMBER(SEARCH(covid,C137)))&gt;0)</f>
        <v>0</v>
      </c>
      <c r="O137" s="14" cm="1">
        <f t="array" ref="O137">INT(SUMPRODUCT(--ISNUMBER(SEARCH(violent,C137)))&gt;0)</f>
        <v>0</v>
      </c>
      <c r="P137" s="14" cm="1">
        <f t="array" ref="P137">INT(SUMPRODUCT(--ISNUMBER(SEARCH(foreign,C137)))&gt;0)</f>
        <v>0</v>
      </c>
      <c r="Q137" s="14" cm="1">
        <f t="array" ref="Q137">INT(SUMPRODUCT(--ISNUMBER(SEARCH(gun,C137)))&gt;0)</f>
        <v>0</v>
      </c>
      <c r="R137" s="14" cm="1">
        <f t="array" ref="R137">INT(SUMPRODUCT(--ISNUMBER(SEARCH(race,C137)))&gt;0)</f>
        <v>0</v>
      </c>
      <c r="S137" s="14" cm="1">
        <f t="array" ref="S137">INT(SUMPRODUCT(--ISNUMBER(SEARCH(immigration,C137)))&gt;0)</f>
        <v>0</v>
      </c>
      <c r="T137" s="14" cm="1">
        <f t="array" ref="T137">INT(SUMPRODUCT(--ISNUMBER(SEARCH(econineq,C138)))&gt;0)</f>
        <v>0</v>
      </c>
      <c r="U137" s="14" cm="1">
        <f t="array" ref="U137">INT(SUMPRODUCT(--ISNUMBER(SEARCH(climate,C137)))&gt;0)</f>
        <v>0</v>
      </c>
      <c r="V137" s="14" cm="1">
        <f t="array" ref="V137">INT(SUMPRODUCT(--ISNUMBER(SEARCH(abortion,C137)))&gt;0)</f>
        <v>0</v>
      </c>
      <c r="W137" s="14" cm="1">
        <f t="array" ref="W137">INT(SUMPRODUCT(--ISNUMBER(SEARCH(trump,C137)))&gt;0)</f>
        <v>1</v>
      </c>
      <c r="X137" s="14" cm="1">
        <f t="array" ref="X137">INT(SUMPRODUCT(--ISNUMBER(SEARCH(voting,C137)))&gt;0)</f>
        <v>0</v>
      </c>
      <c r="Y137" s="14" cm="1">
        <f t="array" ref="Y137">INT(SUMPRODUCT(--ISNUMBER(SEARCH(democrattrigger,C137)))&gt;0)</f>
        <v>0</v>
      </c>
      <c r="Z137" s="14" cm="1">
        <f t="array" ref="Z137">INT(SUMPRODUCT(--ISNUMBER(SEARCH(bipartisan,C137)))&gt;0)</f>
        <v>0</v>
      </c>
      <c r="AA137" s="14">
        <f t="shared" si="2"/>
        <v>0</v>
      </c>
      <c r="AB137" s="14"/>
      <c r="AC137" s="30" t="s">
        <v>223</v>
      </c>
      <c r="AD137" s="37" t="s">
        <v>223</v>
      </c>
    </row>
    <row r="138" spans="1:30" x14ac:dyDescent="0.25">
      <c r="A138" s="36">
        <v>1123</v>
      </c>
      <c r="B138" s="14" t="s">
        <v>2273</v>
      </c>
      <c r="C138" s="14" t="s">
        <v>2274</v>
      </c>
      <c r="D138" s="18">
        <v>44119</v>
      </c>
      <c r="E138" s="14" t="s">
        <v>30</v>
      </c>
      <c r="F138" s="14">
        <v>706</v>
      </c>
      <c r="G138" s="14">
        <v>213</v>
      </c>
      <c r="H138" s="14">
        <v>6</v>
      </c>
      <c r="I138" s="14">
        <v>3</v>
      </c>
      <c r="J138" s="14" t="s">
        <v>204</v>
      </c>
      <c r="K138" s="14" cm="1">
        <f t="array" ref="K138">INT(SUMPRODUCT(--ISNUMBER(SEARCH(economy,C138)))&gt;0)</f>
        <v>0</v>
      </c>
      <c r="L138" s="14" cm="1">
        <f t="array" ref="L138">INT(SUMPRODUCT(--ISNUMBER(SEARCH(healthcare,C138)))&gt;0)</f>
        <v>1</v>
      </c>
      <c r="M138" s="14" cm="1">
        <f t="array" ref="M138">INT(SUMPRODUCT(--ISNUMBER(SEARCH(supreme,C138)))&gt;0)</f>
        <v>0</v>
      </c>
      <c r="N138" s="14" cm="1">
        <f t="array" ref="N138">INT(SUMPRODUCT(--ISNUMBER(SEARCH(covid,C138)))&gt;0)</f>
        <v>0</v>
      </c>
      <c r="O138" s="14" cm="1">
        <f t="array" ref="O138">INT(SUMPRODUCT(--ISNUMBER(SEARCH(violent,C138)))&gt;0)</f>
        <v>0</v>
      </c>
      <c r="P138" s="14" cm="1">
        <f t="array" ref="P138">INT(SUMPRODUCT(--ISNUMBER(SEARCH(foreign,C138)))&gt;0)</f>
        <v>0</v>
      </c>
      <c r="Q138" s="14" cm="1">
        <f t="array" ref="Q138">INT(SUMPRODUCT(--ISNUMBER(SEARCH(gun,C138)))&gt;0)</f>
        <v>0</v>
      </c>
      <c r="R138" s="14" cm="1">
        <f t="array" ref="R138">INT(SUMPRODUCT(--ISNUMBER(SEARCH(race,C138)))&gt;0)</f>
        <v>0</v>
      </c>
      <c r="S138" s="14" cm="1">
        <f t="array" ref="S138">INT(SUMPRODUCT(--ISNUMBER(SEARCH(immigration,C138)))&gt;0)</f>
        <v>0</v>
      </c>
      <c r="T138" s="14" cm="1">
        <f t="array" ref="T138">INT(SUMPRODUCT(--ISNUMBER(SEARCH(econineq,C139)))&gt;0)</f>
        <v>0</v>
      </c>
      <c r="U138" s="14" cm="1">
        <f t="array" ref="U138">INT(SUMPRODUCT(--ISNUMBER(SEARCH(climate,C138)))&gt;0)</f>
        <v>0</v>
      </c>
      <c r="V138" s="14" cm="1">
        <f t="array" ref="V138">INT(SUMPRODUCT(--ISNUMBER(SEARCH(abortion,C138)))&gt;0)</f>
        <v>0</v>
      </c>
      <c r="W138" s="14" cm="1">
        <f t="array" ref="W138">INT(SUMPRODUCT(--ISNUMBER(SEARCH(trump,C138)))&gt;0)</f>
        <v>0</v>
      </c>
      <c r="X138" s="14" cm="1">
        <f t="array" ref="X138">INT(SUMPRODUCT(--ISNUMBER(SEARCH(voting,C138)))&gt;0)</f>
        <v>1</v>
      </c>
      <c r="Y138" s="14" cm="1">
        <f t="array" ref="Y138">INT(SUMPRODUCT(--ISNUMBER(SEARCH(democrattrigger,C138)))&gt;0)</f>
        <v>0</v>
      </c>
      <c r="Z138" s="14" cm="1">
        <f t="array" ref="Z138">INT(SUMPRODUCT(--ISNUMBER(SEARCH(bipartisan,C138)))&gt;0)</f>
        <v>0</v>
      </c>
      <c r="AA138" s="14">
        <f t="shared" si="2"/>
        <v>0</v>
      </c>
      <c r="AB138" s="14"/>
      <c r="AC138" s="30" t="s">
        <v>223</v>
      </c>
      <c r="AD138" s="37" t="s">
        <v>223</v>
      </c>
    </row>
    <row r="139" spans="1:30" x14ac:dyDescent="0.25">
      <c r="A139" s="36">
        <v>1124</v>
      </c>
      <c r="B139" s="14" t="s">
        <v>2275</v>
      </c>
      <c r="C139" s="14" t="s">
        <v>2276</v>
      </c>
      <c r="D139" s="18">
        <v>44119</v>
      </c>
      <c r="E139" s="14" t="s">
        <v>30</v>
      </c>
      <c r="F139" s="14">
        <v>1216</v>
      </c>
      <c r="G139" s="14">
        <v>524</v>
      </c>
      <c r="H139" s="14">
        <v>6</v>
      </c>
      <c r="I139" s="14">
        <v>3</v>
      </c>
      <c r="J139" s="14" t="s">
        <v>204</v>
      </c>
      <c r="K139" s="14" cm="1">
        <f t="array" ref="K139">INT(SUMPRODUCT(--ISNUMBER(SEARCH(economy,C139)))&gt;0)</f>
        <v>0</v>
      </c>
      <c r="L139" s="14" cm="1">
        <f t="array" ref="L139">INT(SUMPRODUCT(--ISNUMBER(SEARCH(healthcare,C139)))&gt;0)</f>
        <v>0</v>
      </c>
      <c r="M139" s="14" cm="1">
        <f t="array" ref="M139">INT(SUMPRODUCT(--ISNUMBER(SEARCH(supreme,C139)))&gt;0)</f>
        <v>0</v>
      </c>
      <c r="N139" s="14" cm="1">
        <f t="array" ref="N139">INT(SUMPRODUCT(--ISNUMBER(SEARCH(covid,C139)))&gt;0)</f>
        <v>0</v>
      </c>
      <c r="O139" s="14" cm="1">
        <f t="array" ref="O139">INT(SUMPRODUCT(--ISNUMBER(SEARCH(violent,C139)))&gt;0)</f>
        <v>0</v>
      </c>
      <c r="P139" s="14" cm="1">
        <f t="array" ref="P139">INT(SUMPRODUCT(--ISNUMBER(SEARCH(foreign,C139)))&gt;0)</f>
        <v>0</v>
      </c>
      <c r="Q139" s="14" cm="1">
        <f t="array" ref="Q139">INT(SUMPRODUCT(--ISNUMBER(SEARCH(gun,C139)))&gt;0)</f>
        <v>0</v>
      </c>
      <c r="R139" s="14" cm="1">
        <f t="array" ref="R139">INT(SUMPRODUCT(--ISNUMBER(SEARCH(race,C139)))&gt;0)</f>
        <v>0</v>
      </c>
      <c r="S139" s="14" cm="1">
        <f t="array" ref="S139">INT(SUMPRODUCT(--ISNUMBER(SEARCH(immigration,C139)))&gt;0)</f>
        <v>0</v>
      </c>
      <c r="T139" s="14" cm="1">
        <f t="array" ref="T139">INT(SUMPRODUCT(--ISNUMBER(SEARCH(econineq,C140)))&gt;0)</f>
        <v>0</v>
      </c>
      <c r="U139" s="14" cm="1">
        <f t="array" ref="U139">INT(SUMPRODUCT(--ISNUMBER(SEARCH(climate,C139)))&gt;0)</f>
        <v>0</v>
      </c>
      <c r="V139" s="14" cm="1">
        <f t="array" ref="V139">INT(SUMPRODUCT(--ISNUMBER(SEARCH(abortion,C139)))&gt;0)</f>
        <v>0</v>
      </c>
      <c r="W139" s="14" cm="1">
        <f t="array" ref="W139">INT(SUMPRODUCT(--ISNUMBER(SEARCH(trump,C139)))&gt;0)</f>
        <v>0</v>
      </c>
      <c r="X139" s="14" cm="1">
        <f t="array" ref="X139">INT(SUMPRODUCT(--ISNUMBER(SEARCH(voting,C139)))&gt;0)</f>
        <v>0</v>
      </c>
      <c r="Y139" s="14" cm="1">
        <f t="array" ref="Y139">INT(SUMPRODUCT(--ISNUMBER(SEARCH(democrattrigger,C139)))&gt;0)</f>
        <v>1</v>
      </c>
      <c r="Z139" s="14" cm="1">
        <f t="array" ref="Z139">INT(SUMPRODUCT(--ISNUMBER(SEARCH(bipartisan,C139)))&gt;0)</f>
        <v>0</v>
      </c>
      <c r="AA139" s="14">
        <f t="shared" si="2"/>
        <v>0</v>
      </c>
      <c r="AB139" s="14"/>
      <c r="AC139" s="30" t="s">
        <v>223</v>
      </c>
      <c r="AD139" s="37" t="s">
        <v>223</v>
      </c>
    </row>
    <row r="140" spans="1:30" x14ac:dyDescent="0.25">
      <c r="A140" s="36">
        <v>1125</v>
      </c>
      <c r="B140" s="14" t="s">
        <v>2277</v>
      </c>
      <c r="C140" s="14" t="s">
        <v>2278</v>
      </c>
      <c r="D140" s="18">
        <v>44118</v>
      </c>
      <c r="E140" s="14" t="s">
        <v>30</v>
      </c>
      <c r="F140" s="14">
        <v>3842</v>
      </c>
      <c r="G140" s="14">
        <v>1457</v>
      </c>
      <c r="H140" s="14">
        <v>6</v>
      </c>
      <c r="I140" s="14">
        <v>3</v>
      </c>
      <c r="J140" s="14" t="s">
        <v>204</v>
      </c>
      <c r="K140" s="14" cm="1">
        <f t="array" ref="K140">INT(SUMPRODUCT(--ISNUMBER(SEARCH(economy,C140)))&gt;0)</f>
        <v>0</v>
      </c>
      <c r="L140" s="14" cm="1">
        <f t="array" ref="L140">INT(SUMPRODUCT(--ISNUMBER(SEARCH(healthcare,C140)))&gt;0)</f>
        <v>0</v>
      </c>
      <c r="M140" s="14" cm="1">
        <f t="array" ref="M140">INT(SUMPRODUCT(--ISNUMBER(SEARCH(supreme,C140)))&gt;0)</f>
        <v>0</v>
      </c>
      <c r="N140" s="14" cm="1">
        <f t="array" ref="N140">INT(SUMPRODUCT(--ISNUMBER(SEARCH(covid,C140)))&gt;0)</f>
        <v>0</v>
      </c>
      <c r="O140" s="14" cm="1">
        <f t="array" ref="O140">INT(SUMPRODUCT(--ISNUMBER(SEARCH(violent,C140)))&gt;0)</f>
        <v>0</v>
      </c>
      <c r="P140" s="14" cm="1">
        <f t="array" ref="P140">INT(SUMPRODUCT(--ISNUMBER(SEARCH(foreign,C140)))&gt;0)</f>
        <v>0</v>
      </c>
      <c r="Q140" s="14" cm="1">
        <f t="array" ref="Q140">INT(SUMPRODUCT(--ISNUMBER(SEARCH(gun,C140)))&gt;0)</f>
        <v>0</v>
      </c>
      <c r="R140" s="14" cm="1">
        <f t="array" ref="R140">INT(SUMPRODUCT(--ISNUMBER(SEARCH(race,C140)))&gt;0)</f>
        <v>0</v>
      </c>
      <c r="S140" s="14" cm="1">
        <f t="array" ref="S140">INT(SUMPRODUCT(--ISNUMBER(SEARCH(immigration,C140)))&gt;0)</f>
        <v>0</v>
      </c>
      <c r="T140" s="14" cm="1">
        <f t="array" ref="T140">INT(SUMPRODUCT(--ISNUMBER(SEARCH(econineq,C141)))&gt;0)</f>
        <v>0</v>
      </c>
      <c r="U140" s="14" cm="1">
        <f t="array" ref="U140">INT(SUMPRODUCT(--ISNUMBER(SEARCH(climate,C140)))&gt;0)</f>
        <v>0</v>
      </c>
      <c r="V140" s="14" cm="1">
        <f t="array" ref="V140">INT(SUMPRODUCT(--ISNUMBER(SEARCH(abortion,C140)))&gt;0)</f>
        <v>0</v>
      </c>
      <c r="W140" s="14" cm="1">
        <f t="array" ref="W140">INT(SUMPRODUCT(--ISNUMBER(SEARCH(trump,C140)))&gt;0)</f>
        <v>0</v>
      </c>
      <c r="X140" s="14" cm="1">
        <f t="array" ref="X140">INT(SUMPRODUCT(--ISNUMBER(SEARCH(voting,C140)))&gt;0)</f>
        <v>0</v>
      </c>
      <c r="Y140" s="14" cm="1">
        <f t="array" ref="Y140">INT(SUMPRODUCT(--ISNUMBER(SEARCH(democrattrigger,C140)))&gt;0)</f>
        <v>1</v>
      </c>
      <c r="Z140" s="14" cm="1">
        <f t="array" ref="Z140">INT(SUMPRODUCT(--ISNUMBER(SEARCH(bipartisan,C140)))&gt;0)</f>
        <v>0</v>
      </c>
      <c r="AA140" s="14">
        <f t="shared" si="2"/>
        <v>0</v>
      </c>
      <c r="AB140" s="14"/>
      <c r="AC140" s="30" t="s">
        <v>223</v>
      </c>
      <c r="AD140" s="37" t="s">
        <v>223</v>
      </c>
    </row>
    <row r="141" spans="1:30" x14ac:dyDescent="0.25">
      <c r="A141" s="36">
        <v>1126</v>
      </c>
      <c r="B141" s="14" t="s">
        <v>2279</v>
      </c>
      <c r="C141" s="14" t="s">
        <v>2280</v>
      </c>
      <c r="D141" s="18">
        <v>44118</v>
      </c>
      <c r="E141" s="14" t="s">
        <v>30</v>
      </c>
      <c r="F141" s="14">
        <v>1988</v>
      </c>
      <c r="G141" s="14">
        <v>1010</v>
      </c>
      <c r="H141" s="14">
        <v>6</v>
      </c>
      <c r="I141" s="14">
        <v>3</v>
      </c>
      <c r="J141" s="14" t="s">
        <v>204</v>
      </c>
      <c r="K141" s="14" cm="1">
        <f t="array" ref="K141">INT(SUMPRODUCT(--ISNUMBER(SEARCH(economy,C141)))&gt;0)</f>
        <v>0</v>
      </c>
      <c r="L141" s="14" cm="1">
        <f t="array" ref="L141">INT(SUMPRODUCT(--ISNUMBER(SEARCH(healthcare,C141)))&gt;0)</f>
        <v>0</v>
      </c>
      <c r="M141" s="14" cm="1">
        <f t="array" ref="M141">INT(SUMPRODUCT(--ISNUMBER(SEARCH(supreme,C141)))&gt;0)</f>
        <v>0</v>
      </c>
      <c r="N141" s="14" cm="1">
        <f t="array" ref="N141">INT(SUMPRODUCT(--ISNUMBER(SEARCH(covid,C141)))&gt;0)</f>
        <v>0</v>
      </c>
      <c r="O141" s="14" cm="1">
        <f t="array" ref="O141">INT(SUMPRODUCT(--ISNUMBER(SEARCH(violent,C141)))&gt;0)</f>
        <v>0</v>
      </c>
      <c r="P141" s="14" cm="1">
        <f t="array" ref="P141">INT(SUMPRODUCT(--ISNUMBER(SEARCH(foreign,C141)))&gt;0)</f>
        <v>0</v>
      </c>
      <c r="Q141" s="14" cm="1">
        <f t="array" ref="Q141">INT(SUMPRODUCT(--ISNUMBER(SEARCH(gun,C141)))&gt;0)</f>
        <v>0</v>
      </c>
      <c r="R141" s="14" cm="1">
        <f t="array" ref="R141">INT(SUMPRODUCT(--ISNUMBER(SEARCH(race,C141)))&gt;0)</f>
        <v>0</v>
      </c>
      <c r="S141" s="14" cm="1">
        <f t="array" ref="S141">INT(SUMPRODUCT(--ISNUMBER(SEARCH(immigration,C141)))&gt;0)</f>
        <v>0</v>
      </c>
      <c r="T141" s="14" cm="1">
        <f t="array" ref="T141">INT(SUMPRODUCT(--ISNUMBER(SEARCH(econineq,C142)))&gt;0)</f>
        <v>0</v>
      </c>
      <c r="U141" s="14" cm="1">
        <f t="array" ref="U141">INT(SUMPRODUCT(--ISNUMBER(SEARCH(climate,C141)))&gt;0)</f>
        <v>0</v>
      </c>
      <c r="V141" s="14" cm="1">
        <f t="array" ref="V141">INT(SUMPRODUCT(--ISNUMBER(SEARCH(abortion,C141)))&gt;0)</f>
        <v>0</v>
      </c>
      <c r="W141" s="14" cm="1">
        <f t="array" ref="W141">INT(SUMPRODUCT(--ISNUMBER(SEARCH(trump,C141)))&gt;0)</f>
        <v>0</v>
      </c>
      <c r="X141" s="14" cm="1">
        <f t="array" ref="X141">INT(SUMPRODUCT(--ISNUMBER(SEARCH(voting,C141)))&gt;0)</f>
        <v>0</v>
      </c>
      <c r="Y141" s="14" cm="1">
        <f t="array" ref="Y141">INT(SUMPRODUCT(--ISNUMBER(SEARCH(democrattrigger,C141)))&gt;0)</f>
        <v>1</v>
      </c>
      <c r="Z141" s="14" cm="1">
        <f t="array" ref="Z141">INT(SUMPRODUCT(--ISNUMBER(SEARCH(bipartisan,C141)))&gt;0)</f>
        <v>0</v>
      </c>
      <c r="AA141" s="14">
        <f t="shared" si="2"/>
        <v>0</v>
      </c>
      <c r="AB141" s="14"/>
      <c r="AC141" s="30" t="s">
        <v>223</v>
      </c>
      <c r="AD141" s="37" t="s">
        <v>223</v>
      </c>
    </row>
    <row r="142" spans="1:30" x14ac:dyDescent="0.25">
      <c r="A142" s="36">
        <v>1127</v>
      </c>
      <c r="B142" s="14" t="s">
        <v>2281</v>
      </c>
      <c r="C142" s="14" t="s">
        <v>2282</v>
      </c>
      <c r="D142" s="18">
        <v>44118</v>
      </c>
      <c r="E142" s="14" t="s">
        <v>30</v>
      </c>
      <c r="F142" s="14">
        <v>342</v>
      </c>
      <c r="G142" s="14">
        <v>170</v>
      </c>
      <c r="H142" s="14">
        <v>6</v>
      </c>
      <c r="I142" s="14">
        <v>3</v>
      </c>
      <c r="J142" s="14" t="s">
        <v>204</v>
      </c>
      <c r="K142" s="14" cm="1">
        <f t="array" ref="K142">INT(SUMPRODUCT(--ISNUMBER(SEARCH(economy,C142)))&gt;0)</f>
        <v>0</v>
      </c>
      <c r="L142" s="14" cm="1">
        <f t="array" ref="L142">INT(SUMPRODUCT(--ISNUMBER(SEARCH(healthcare,C142)))&gt;0)</f>
        <v>1</v>
      </c>
      <c r="M142" s="14" cm="1">
        <f t="array" ref="M142">INT(SUMPRODUCT(--ISNUMBER(SEARCH(supreme,C142)))&gt;0)</f>
        <v>0</v>
      </c>
      <c r="N142" s="14" cm="1">
        <f t="array" ref="N142">INT(SUMPRODUCT(--ISNUMBER(SEARCH(covid,C142)))&gt;0)</f>
        <v>1</v>
      </c>
      <c r="O142" s="14" cm="1">
        <f t="array" ref="O142">INT(SUMPRODUCT(--ISNUMBER(SEARCH(violent,C142)))&gt;0)</f>
        <v>0</v>
      </c>
      <c r="P142" s="14" cm="1">
        <f t="array" ref="P142">INT(SUMPRODUCT(--ISNUMBER(SEARCH(foreign,C142)))&gt;0)</f>
        <v>0</v>
      </c>
      <c r="Q142" s="14" cm="1">
        <f t="array" ref="Q142">INT(SUMPRODUCT(--ISNUMBER(SEARCH(gun,C142)))&gt;0)</f>
        <v>0</v>
      </c>
      <c r="R142" s="14" cm="1">
        <f t="array" ref="R142">INT(SUMPRODUCT(--ISNUMBER(SEARCH(race,C142)))&gt;0)</f>
        <v>0</v>
      </c>
      <c r="S142" s="14" cm="1">
        <f t="array" ref="S142">INT(SUMPRODUCT(--ISNUMBER(SEARCH(immigration,C142)))&gt;0)</f>
        <v>0</v>
      </c>
      <c r="T142" s="14" cm="1">
        <f t="array" ref="T142">INT(SUMPRODUCT(--ISNUMBER(SEARCH(econineq,C143)))&gt;0)</f>
        <v>0</v>
      </c>
      <c r="U142" s="14" cm="1">
        <f t="array" ref="U142">INT(SUMPRODUCT(--ISNUMBER(SEARCH(climate,C142)))&gt;0)</f>
        <v>0</v>
      </c>
      <c r="V142" s="14" cm="1">
        <f t="array" ref="V142">INT(SUMPRODUCT(--ISNUMBER(SEARCH(abortion,C142)))&gt;0)</f>
        <v>0</v>
      </c>
      <c r="W142" s="14" cm="1">
        <f t="array" ref="W142">INT(SUMPRODUCT(--ISNUMBER(SEARCH(trump,C142)))&gt;0)</f>
        <v>0</v>
      </c>
      <c r="X142" s="14" cm="1">
        <f t="array" ref="X142">INT(SUMPRODUCT(--ISNUMBER(SEARCH(voting,C142)))&gt;0)</f>
        <v>0</v>
      </c>
      <c r="Y142" s="14" cm="1">
        <f t="array" ref="Y142">INT(SUMPRODUCT(--ISNUMBER(SEARCH(democrattrigger,C142)))&gt;0)</f>
        <v>1</v>
      </c>
      <c r="Z142" s="14" cm="1">
        <f t="array" ref="Z142">INT(SUMPRODUCT(--ISNUMBER(SEARCH(bipartisan,C142)))&gt;0)</f>
        <v>0</v>
      </c>
      <c r="AA142" s="14">
        <f t="shared" si="2"/>
        <v>0</v>
      </c>
      <c r="AB142" s="14"/>
      <c r="AC142" s="30" t="s">
        <v>223</v>
      </c>
      <c r="AD142" s="37" t="s">
        <v>223</v>
      </c>
    </row>
    <row r="143" spans="1:30" x14ac:dyDescent="0.25">
      <c r="A143" s="36">
        <v>1128</v>
      </c>
      <c r="B143" s="14" t="s">
        <v>2283</v>
      </c>
      <c r="C143" s="14" t="s">
        <v>2284</v>
      </c>
      <c r="D143" s="18">
        <v>44118</v>
      </c>
      <c r="E143" s="14" t="s">
        <v>30</v>
      </c>
      <c r="F143" s="14">
        <v>349</v>
      </c>
      <c r="G143" s="14">
        <v>104</v>
      </c>
      <c r="H143" s="14">
        <v>6</v>
      </c>
      <c r="I143" s="14">
        <v>3</v>
      </c>
      <c r="J143" s="14" t="s">
        <v>204</v>
      </c>
      <c r="K143" s="14" cm="1">
        <f t="array" ref="K143">INT(SUMPRODUCT(--ISNUMBER(SEARCH(economy,C143)))&gt;0)</f>
        <v>1</v>
      </c>
      <c r="L143" s="14" cm="1">
        <f t="array" ref="L143">INT(SUMPRODUCT(--ISNUMBER(SEARCH(healthcare,C143)))&gt;0)</f>
        <v>0</v>
      </c>
      <c r="M143" s="14" cm="1">
        <f t="array" ref="M143">INT(SUMPRODUCT(--ISNUMBER(SEARCH(supreme,C143)))&gt;0)</f>
        <v>0</v>
      </c>
      <c r="N143" s="14" cm="1">
        <f t="array" ref="N143">INT(SUMPRODUCT(--ISNUMBER(SEARCH(covid,C143)))&gt;0)</f>
        <v>0</v>
      </c>
      <c r="O143" s="14" cm="1">
        <f t="array" ref="O143">INT(SUMPRODUCT(--ISNUMBER(SEARCH(violent,C143)))&gt;0)</f>
        <v>0</v>
      </c>
      <c r="P143" s="14" cm="1">
        <f t="array" ref="P143">INT(SUMPRODUCT(--ISNUMBER(SEARCH(foreign,C143)))&gt;0)</f>
        <v>0</v>
      </c>
      <c r="Q143" s="14" cm="1">
        <f t="array" ref="Q143">INT(SUMPRODUCT(--ISNUMBER(SEARCH(gun,C143)))&gt;0)</f>
        <v>0</v>
      </c>
      <c r="R143" s="14" cm="1">
        <f t="array" ref="R143">INT(SUMPRODUCT(--ISNUMBER(SEARCH(race,C143)))&gt;0)</f>
        <v>0</v>
      </c>
      <c r="S143" s="14" cm="1">
        <f t="array" ref="S143">INT(SUMPRODUCT(--ISNUMBER(SEARCH(immigration,C143)))&gt;0)</f>
        <v>0</v>
      </c>
      <c r="T143" s="14" cm="1">
        <f t="array" ref="T143">INT(SUMPRODUCT(--ISNUMBER(SEARCH(econineq,C144)))&gt;0)</f>
        <v>0</v>
      </c>
      <c r="U143" s="14" cm="1">
        <f t="array" ref="U143">INT(SUMPRODUCT(--ISNUMBER(SEARCH(climate,C143)))&gt;0)</f>
        <v>0</v>
      </c>
      <c r="V143" s="14" cm="1">
        <f t="array" ref="V143">INT(SUMPRODUCT(--ISNUMBER(SEARCH(abortion,C143)))&gt;0)</f>
        <v>0</v>
      </c>
      <c r="W143" s="14" cm="1">
        <f t="array" ref="W143">INT(SUMPRODUCT(--ISNUMBER(SEARCH(trump,C143)))&gt;0)</f>
        <v>0</v>
      </c>
      <c r="X143" s="14" cm="1">
        <f t="array" ref="X143">INT(SUMPRODUCT(--ISNUMBER(SEARCH(voting,C143)))&gt;0)</f>
        <v>0</v>
      </c>
      <c r="Y143" s="14" cm="1">
        <f t="array" ref="Y143">INT(SUMPRODUCT(--ISNUMBER(SEARCH(democrattrigger,C143)))&gt;0)</f>
        <v>0</v>
      </c>
      <c r="Z143" s="14" cm="1">
        <f t="array" ref="Z143">INT(SUMPRODUCT(--ISNUMBER(SEARCH(bipartisan,C143)))&gt;0)</f>
        <v>0</v>
      </c>
      <c r="AA143" s="14">
        <f t="shared" si="2"/>
        <v>0</v>
      </c>
      <c r="AB143" s="14"/>
      <c r="AC143" s="30">
        <v>1</v>
      </c>
      <c r="AD143" s="37">
        <v>0</v>
      </c>
    </row>
    <row r="144" spans="1:30" x14ac:dyDescent="0.25">
      <c r="A144" s="36">
        <v>1129</v>
      </c>
      <c r="B144" s="14" t="s">
        <v>2285</v>
      </c>
      <c r="C144" s="14" t="s">
        <v>2286</v>
      </c>
      <c r="D144" s="18">
        <v>44118</v>
      </c>
      <c r="E144" s="14" t="s">
        <v>30</v>
      </c>
      <c r="F144" s="14">
        <v>1326</v>
      </c>
      <c r="G144" s="14">
        <v>367</v>
      </c>
      <c r="H144" s="14">
        <v>6</v>
      </c>
      <c r="I144" s="14">
        <v>3</v>
      </c>
      <c r="J144" s="14" t="s">
        <v>204</v>
      </c>
      <c r="K144" s="14" cm="1">
        <f t="array" ref="K144">INT(SUMPRODUCT(--ISNUMBER(SEARCH(economy,C144)))&gt;0)</f>
        <v>0</v>
      </c>
      <c r="L144" s="14" cm="1">
        <f t="array" ref="L144">INT(SUMPRODUCT(--ISNUMBER(SEARCH(healthcare,C144)))&gt;0)</f>
        <v>0</v>
      </c>
      <c r="M144" s="14" cm="1">
        <f t="array" ref="M144">INT(SUMPRODUCT(--ISNUMBER(SEARCH(supreme,C144)))&gt;0)</f>
        <v>0</v>
      </c>
      <c r="N144" s="14" cm="1">
        <f t="array" ref="N144">INT(SUMPRODUCT(--ISNUMBER(SEARCH(covid,C144)))&gt;0)</f>
        <v>0</v>
      </c>
      <c r="O144" s="14" cm="1">
        <f t="array" ref="O144">INT(SUMPRODUCT(--ISNUMBER(SEARCH(violent,C144)))&gt;0)</f>
        <v>0</v>
      </c>
      <c r="P144" s="14" cm="1">
        <f t="array" ref="P144">INT(SUMPRODUCT(--ISNUMBER(SEARCH(foreign,C144)))&gt;0)</f>
        <v>0</v>
      </c>
      <c r="Q144" s="14" cm="1">
        <f t="array" ref="Q144">INT(SUMPRODUCT(--ISNUMBER(SEARCH(gun,C144)))&gt;0)</f>
        <v>0</v>
      </c>
      <c r="R144" s="14" cm="1">
        <f t="array" ref="R144">INT(SUMPRODUCT(--ISNUMBER(SEARCH(race,C144)))&gt;0)</f>
        <v>0</v>
      </c>
      <c r="S144" s="14" cm="1">
        <f t="array" ref="S144">INT(SUMPRODUCT(--ISNUMBER(SEARCH(immigration,C144)))&gt;0)</f>
        <v>0</v>
      </c>
      <c r="T144" s="14" cm="1">
        <f t="array" ref="T144">INT(SUMPRODUCT(--ISNUMBER(SEARCH(econineq,C145)))&gt;0)</f>
        <v>0</v>
      </c>
      <c r="U144" s="14" cm="1">
        <f t="array" ref="U144">INT(SUMPRODUCT(--ISNUMBER(SEARCH(climate,C144)))&gt;0)</f>
        <v>0</v>
      </c>
      <c r="V144" s="14" cm="1">
        <f t="array" ref="V144">INT(SUMPRODUCT(--ISNUMBER(SEARCH(abortion,C144)))&gt;0)</f>
        <v>0</v>
      </c>
      <c r="W144" s="14" cm="1">
        <f t="array" ref="W144">INT(SUMPRODUCT(--ISNUMBER(SEARCH(trump,C144)))&gt;0)</f>
        <v>0</v>
      </c>
      <c r="X144" s="14" cm="1">
        <f t="array" ref="X144">INT(SUMPRODUCT(--ISNUMBER(SEARCH(voting,C144)))&gt;0)</f>
        <v>1</v>
      </c>
      <c r="Y144" s="14" cm="1">
        <f t="array" ref="Y144">INT(SUMPRODUCT(--ISNUMBER(SEARCH(democrattrigger,C144)))&gt;0)</f>
        <v>0</v>
      </c>
      <c r="Z144" s="14" cm="1">
        <f t="array" ref="Z144">INT(SUMPRODUCT(--ISNUMBER(SEARCH(bipartisan,C144)))&gt;0)</f>
        <v>0</v>
      </c>
      <c r="AA144" s="14">
        <f t="shared" si="2"/>
        <v>0</v>
      </c>
      <c r="AB144" s="14"/>
      <c r="AC144" s="30">
        <v>0</v>
      </c>
      <c r="AD144" s="37">
        <v>1</v>
      </c>
    </row>
    <row r="145" spans="1:30" x14ac:dyDescent="0.25">
      <c r="A145" s="36">
        <v>1130</v>
      </c>
      <c r="B145" s="14" t="s">
        <v>2287</v>
      </c>
      <c r="C145" s="14" t="s">
        <v>2288</v>
      </c>
      <c r="D145" s="18">
        <v>44118</v>
      </c>
      <c r="E145" s="14" t="s">
        <v>30</v>
      </c>
      <c r="F145" s="14">
        <v>4219</v>
      </c>
      <c r="G145" s="14">
        <v>1441</v>
      </c>
      <c r="H145" s="14">
        <v>6</v>
      </c>
      <c r="I145" s="14">
        <v>3</v>
      </c>
      <c r="J145" s="14" t="s">
        <v>204</v>
      </c>
      <c r="K145" s="14" cm="1">
        <f t="array" ref="K145">INT(SUMPRODUCT(--ISNUMBER(SEARCH(economy,C145)))&gt;0)</f>
        <v>0</v>
      </c>
      <c r="L145" s="14" cm="1">
        <f t="array" ref="L145">INT(SUMPRODUCT(--ISNUMBER(SEARCH(healthcare,C145)))&gt;0)</f>
        <v>0</v>
      </c>
      <c r="M145" s="14" cm="1">
        <f t="array" ref="M145">INT(SUMPRODUCT(--ISNUMBER(SEARCH(supreme,C145)))&gt;0)</f>
        <v>0</v>
      </c>
      <c r="N145" s="14" cm="1">
        <f t="array" ref="N145">INT(SUMPRODUCT(--ISNUMBER(SEARCH(covid,C145)))&gt;0)</f>
        <v>0</v>
      </c>
      <c r="O145" s="14" cm="1">
        <f t="array" ref="O145">INT(SUMPRODUCT(--ISNUMBER(SEARCH(violent,C145)))&gt;0)</f>
        <v>0</v>
      </c>
      <c r="P145" s="14" cm="1">
        <f t="array" ref="P145">INT(SUMPRODUCT(--ISNUMBER(SEARCH(foreign,C145)))&gt;0)</f>
        <v>0</v>
      </c>
      <c r="Q145" s="14" cm="1">
        <f t="array" ref="Q145">INT(SUMPRODUCT(--ISNUMBER(SEARCH(gun,C145)))&gt;0)</f>
        <v>0</v>
      </c>
      <c r="R145" s="14" cm="1">
        <f t="array" ref="R145">INT(SUMPRODUCT(--ISNUMBER(SEARCH(race,C145)))&gt;0)</f>
        <v>0</v>
      </c>
      <c r="S145" s="14" cm="1">
        <f t="array" ref="S145">INT(SUMPRODUCT(--ISNUMBER(SEARCH(immigration,C145)))&gt;0)</f>
        <v>0</v>
      </c>
      <c r="T145" s="14" cm="1">
        <f t="array" ref="T145">INT(SUMPRODUCT(--ISNUMBER(SEARCH(econineq,C146)))&gt;0)</f>
        <v>0</v>
      </c>
      <c r="U145" s="14" cm="1">
        <f t="array" ref="U145">INT(SUMPRODUCT(--ISNUMBER(SEARCH(climate,C145)))&gt;0)</f>
        <v>0</v>
      </c>
      <c r="V145" s="14" cm="1">
        <f t="array" ref="V145">INT(SUMPRODUCT(--ISNUMBER(SEARCH(abortion,C145)))&gt;0)</f>
        <v>0</v>
      </c>
      <c r="W145" s="14" cm="1">
        <f t="array" ref="W145">INT(SUMPRODUCT(--ISNUMBER(SEARCH(trump,C145)))&gt;0)</f>
        <v>0</v>
      </c>
      <c r="X145" s="14" cm="1">
        <f t="array" ref="X145">INT(SUMPRODUCT(--ISNUMBER(SEARCH(voting,C145)))&gt;0)</f>
        <v>1</v>
      </c>
      <c r="Y145" s="14" cm="1">
        <f t="array" ref="Y145">INT(SUMPRODUCT(--ISNUMBER(SEARCH(democrattrigger,C145)))&gt;0)</f>
        <v>1</v>
      </c>
      <c r="Z145" s="14" cm="1">
        <f t="array" ref="Z145">INT(SUMPRODUCT(--ISNUMBER(SEARCH(bipartisan,C145)))&gt;0)</f>
        <v>0</v>
      </c>
      <c r="AA145" s="14">
        <f t="shared" si="2"/>
        <v>0</v>
      </c>
      <c r="AB145" s="14"/>
      <c r="AC145" s="30" t="s">
        <v>223</v>
      </c>
      <c r="AD145" s="37" t="s">
        <v>223</v>
      </c>
    </row>
    <row r="146" spans="1:30" x14ac:dyDescent="0.25">
      <c r="A146" s="36">
        <v>1131</v>
      </c>
      <c r="B146" s="14" t="s">
        <v>2289</v>
      </c>
      <c r="C146" s="14" t="s">
        <v>2290</v>
      </c>
      <c r="D146" s="18">
        <v>44117</v>
      </c>
      <c r="E146" s="14" t="s">
        <v>30</v>
      </c>
      <c r="F146" s="14">
        <v>521</v>
      </c>
      <c r="G146" s="14">
        <v>161</v>
      </c>
      <c r="H146" s="14">
        <v>6</v>
      </c>
      <c r="I146" s="14">
        <v>3</v>
      </c>
      <c r="J146" s="14" t="s">
        <v>204</v>
      </c>
      <c r="K146" s="14" cm="1">
        <f t="array" ref="K146">INT(SUMPRODUCT(--ISNUMBER(SEARCH(economy,C146)))&gt;0)</f>
        <v>0</v>
      </c>
      <c r="L146" s="14" cm="1">
        <f t="array" ref="L146">INT(SUMPRODUCT(--ISNUMBER(SEARCH(healthcare,C146)))&gt;0)</f>
        <v>0</v>
      </c>
      <c r="M146" s="14" cm="1">
        <f t="array" ref="M146">INT(SUMPRODUCT(--ISNUMBER(SEARCH(supreme,C146)))&gt;0)</f>
        <v>0</v>
      </c>
      <c r="N146" s="14" cm="1">
        <f t="array" ref="N146">INT(SUMPRODUCT(--ISNUMBER(SEARCH(covid,C146)))&gt;0)</f>
        <v>0</v>
      </c>
      <c r="O146" s="14" cm="1">
        <f t="array" ref="O146">INT(SUMPRODUCT(--ISNUMBER(SEARCH(violent,C146)))&gt;0)</f>
        <v>0</v>
      </c>
      <c r="P146" s="14" cm="1">
        <f t="array" ref="P146">INT(SUMPRODUCT(--ISNUMBER(SEARCH(foreign,C146)))&gt;0)</f>
        <v>0</v>
      </c>
      <c r="Q146" s="14" cm="1">
        <f t="array" ref="Q146">INT(SUMPRODUCT(--ISNUMBER(SEARCH(gun,C146)))&gt;0)</f>
        <v>0</v>
      </c>
      <c r="R146" s="14" cm="1">
        <f t="array" ref="R146">INT(SUMPRODUCT(--ISNUMBER(SEARCH(race,C146)))&gt;0)</f>
        <v>0</v>
      </c>
      <c r="S146" s="14" cm="1">
        <f t="array" ref="S146">INT(SUMPRODUCT(--ISNUMBER(SEARCH(immigration,C146)))&gt;0)</f>
        <v>0</v>
      </c>
      <c r="T146" s="14" cm="1">
        <f t="array" ref="T146">INT(SUMPRODUCT(--ISNUMBER(SEARCH(econineq,C147)))&gt;0)</f>
        <v>0</v>
      </c>
      <c r="U146" s="14" cm="1">
        <f t="array" ref="U146">INT(SUMPRODUCT(--ISNUMBER(SEARCH(climate,C146)))&gt;0)</f>
        <v>0</v>
      </c>
      <c r="V146" s="14" cm="1">
        <f t="array" ref="V146">INT(SUMPRODUCT(--ISNUMBER(SEARCH(abortion,C146)))&gt;0)</f>
        <v>0</v>
      </c>
      <c r="W146" s="14" cm="1">
        <f t="array" ref="W146">INT(SUMPRODUCT(--ISNUMBER(SEARCH(trump,C146)))&gt;0)</f>
        <v>0</v>
      </c>
      <c r="X146" s="14" cm="1">
        <f t="array" ref="X146">INT(SUMPRODUCT(--ISNUMBER(SEARCH(voting,C146)))&gt;0)</f>
        <v>1</v>
      </c>
      <c r="Y146" s="14" cm="1">
        <f t="array" ref="Y146">INT(SUMPRODUCT(--ISNUMBER(SEARCH(democrattrigger,C146)))&gt;0)</f>
        <v>0</v>
      </c>
      <c r="Z146" s="14" cm="1">
        <f t="array" ref="Z146">INT(SUMPRODUCT(--ISNUMBER(SEARCH(bipartisan,C146)))&gt;0)</f>
        <v>0</v>
      </c>
      <c r="AA146" s="14">
        <f t="shared" si="2"/>
        <v>0</v>
      </c>
      <c r="AB146" s="14"/>
      <c r="AC146" s="30" t="s">
        <v>223</v>
      </c>
      <c r="AD146" s="37" t="s">
        <v>223</v>
      </c>
    </row>
    <row r="147" spans="1:30" x14ac:dyDescent="0.25">
      <c r="A147" s="36">
        <v>1132</v>
      </c>
      <c r="B147" s="14" t="s">
        <v>2291</v>
      </c>
      <c r="C147" s="14" t="s">
        <v>2292</v>
      </c>
      <c r="D147" s="18">
        <v>44117</v>
      </c>
      <c r="E147" s="14" t="s">
        <v>30</v>
      </c>
      <c r="F147" s="14">
        <v>5500</v>
      </c>
      <c r="G147" s="14">
        <v>1160</v>
      </c>
      <c r="H147" s="14">
        <v>6</v>
      </c>
      <c r="I147" s="14">
        <v>3</v>
      </c>
      <c r="J147" s="14" t="s">
        <v>204</v>
      </c>
      <c r="K147" s="14" cm="1">
        <f t="array" ref="K147">INT(SUMPRODUCT(--ISNUMBER(SEARCH(economy,C147)))&gt;0)</f>
        <v>0</v>
      </c>
      <c r="L147" s="14" cm="1">
        <f t="array" ref="L147">INT(SUMPRODUCT(--ISNUMBER(SEARCH(healthcare,C147)))&gt;0)</f>
        <v>0</v>
      </c>
      <c r="M147" s="14" cm="1">
        <f t="array" ref="M147">INT(SUMPRODUCT(--ISNUMBER(SEARCH(supreme,C147)))&gt;0)</f>
        <v>0</v>
      </c>
      <c r="N147" s="14" cm="1">
        <f t="array" ref="N147">INT(SUMPRODUCT(--ISNUMBER(SEARCH(covid,C147)))&gt;0)</f>
        <v>0</v>
      </c>
      <c r="O147" s="14" cm="1">
        <f t="array" ref="O147">INT(SUMPRODUCT(--ISNUMBER(SEARCH(violent,C147)))&gt;0)</f>
        <v>0</v>
      </c>
      <c r="P147" s="14" cm="1">
        <f t="array" ref="P147">INT(SUMPRODUCT(--ISNUMBER(SEARCH(foreign,C147)))&gt;0)</f>
        <v>0</v>
      </c>
      <c r="Q147" s="14" cm="1">
        <f t="array" ref="Q147">INT(SUMPRODUCT(--ISNUMBER(SEARCH(gun,C147)))&gt;0)</f>
        <v>0</v>
      </c>
      <c r="R147" s="14" cm="1">
        <f t="array" ref="R147">INT(SUMPRODUCT(--ISNUMBER(SEARCH(race,C147)))&gt;0)</f>
        <v>0</v>
      </c>
      <c r="S147" s="14" cm="1">
        <f t="array" ref="S147">INT(SUMPRODUCT(--ISNUMBER(SEARCH(immigration,C147)))&gt;0)</f>
        <v>0</v>
      </c>
      <c r="T147" s="14" cm="1">
        <f t="array" ref="T147">INT(SUMPRODUCT(--ISNUMBER(SEARCH(econineq,C148)))&gt;0)</f>
        <v>0</v>
      </c>
      <c r="U147" s="14" cm="1">
        <f t="array" ref="U147">INT(SUMPRODUCT(--ISNUMBER(SEARCH(climate,C147)))&gt;0)</f>
        <v>0</v>
      </c>
      <c r="V147" s="14" cm="1">
        <f t="array" ref="V147">INT(SUMPRODUCT(--ISNUMBER(SEARCH(abortion,C147)))&gt;0)</f>
        <v>0</v>
      </c>
      <c r="W147" s="14" cm="1">
        <f t="array" ref="W147">INT(SUMPRODUCT(--ISNUMBER(SEARCH(trump,C147)))&gt;0)</f>
        <v>0</v>
      </c>
      <c r="X147" s="14" cm="1">
        <f t="array" ref="X147">INT(SUMPRODUCT(--ISNUMBER(SEARCH(voting,C147)))&gt;0)</f>
        <v>1</v>
      </c>
      <c r="Y147" s="14" cm="1">
        <f t="array" ref="Y147">INT(SUMPRODUCT(--ISNUMBER(SEARCH(democrattrigger,C147)))&gt;0)</f>
        <v>0</v>
      </c>
      <c r="Z147" s="14" cm="1">
        <f t="array" ref="Z147">INT(SUMPRODUCT(--ISNUMBER(SEARCH(bipartisan,C147)))&gt;0)</f>
        <v>0</v>
      </c>
      <c r="AA147" s="14">
        <f t="shared" si="2"/>
        <v>0</v>
      </c>
      <c r="AB147" s="14"/>
      <c r="AC147" s="30">
        <v>1</v>
      </c>
      <c r="AD147" s="37">
        <v>0</v>
      </c>
    </row>
    <row r="148" spans="1:30" x14ac:dyDescent="0.25">
      <c r="A148" s="36">
        <v>1133</v>
      </c>
      <c r="B148" s="14" t="s">
        <v>2293</v>
      </c>
      <c r="C148" s="14" t="s">
        <v>2294</v>
      </c>
      <c r="D148" s="18">
        <v>44117</v>
      </c>
      <c r="E148" s="14" t="s">
        <v>30</v>
      </c>
      <c r="F148" s="14">
        <v>289</v>
      </c>
      <c r="G148" s="14">
        <v>130</v>
      </c>
      <c r="H148" s="14">
        <v>6</v>
      </c>
      <c r="I148" s="14">
        <v>3</v>
      </c>
      <c r="J148" s="14" t="s">
        <v>204</v>
      </c>
      <c r="K148" s="14" cm="1">
        <f t="array" ref="K148">INT(SUMPRODUCT(--ISNUMBER(SEARCH(economy,C148)))&gt;0)</f>
        <v>0</v>
      </c>
      <c r="L148" s="14" cm="1">
        <f t="array" ref="L148">INT(SUMPRODUCT(--ISNUMBER(SEARCH(healthcare,C148)))&gt;0)</f>
        <v>0</v>
      </c>
      <c r="M148" s="14" cm="1">
        <f t="array" ref="M148">INT(SUMPRODUCT(--ISNUMBER(SEARCH(supreme,C148)))&gt;0)</f>
        <v>0</v>
      </c>
      <c r="N148" s="14" cm="1">
        <f t="array" ref="N148">INT(SUMPRODUCT(--ISNUMBER(SEARCH(covid,C148)))&gt;0)</f>
        <v>0</v>
      </c>
      <c r="O148" s="14" cm="1">
        <f t="array" ref="O148">INT(SUMPRODUCT(--ISNUMBER(SEARCH(violent,C148)))&gt;0)</f>
        <v>0</v>
      </c>
      <c r="P148" s="14" cm="1">
        <f t="array" ref="P148">INT(SUMPRODUCT(--ISNUMBER(SEARCH(foreign,C148)))&gt;0)</f>
        <v>0</v>
      </c>
      <c r="Q148" s="14" cm="1">
        <f t="array" ref="Q148">INT(SUMPRODUCT(--ISNUMBER(SEARCH(gun,C148)))&gt;0)</f>
        <v>0</v>
      </c>
      <c r="R148" s="14" cm="1">
        <f t="array" ref="R148">INT(SUMPRODUCT(--ISNUMBER(SEARCH(race,C148)))&gt;0)</f>
        <v>0</v>
      </c>
      <c r="S148" s="14" cm="1">
        <f t="array" ref="S148">INT(SUMPRODUCT(--ISNUMBER(SEARCH(immigration,C148)))&gt;0)</f>
        <v>0</v>
      </c>
      <c r="T148" s="14" cm="1">
        <f t="array" ref="T148">INT(SUMPRODUCT(--ISNUMBER(SEARCH(econineq,C149)))&gt;0)</f>
        <v>0</v>
      </c>
      <c r="U148" s="14" cm="1">
        <f t="array" ref="U148">INT(SUMPRODUCT(--ISNUMBER(SEARCH(climate,C148)))&gt;0)</f>
        <v>0</v>
      </c>
      <c r="V148" s="14" cm="1">
        <f t="array" ref="V148">INT(SUMPRODUCT(--ISNUMBER(SEARCH(abortion,C148)))&gt;0)</f>
        <v>0</v>
      </c>
      <c r="W148" s="14" cm="1">
        <f t="array" ref="W148">INT(SUMPRODUCT(--ISNUMBER(SEARCH(trump,C148)))&gt;0)</f>
        <v>0</v>
      </c>
      <c r="X148" s="14" cm="1">
        <f t="array" ref="X148">INT(SUMPRODUCT(--ISNUMBER(SEARCH(voting,C148)))&gt;0)</f>
        <v>0</v>
      </c>
      <c r="Y148" s="14" cm="1">
        <f t="array" ref="Y148">INT(SUMPRODUCT(--ISNUMBER(SEARCH(democrattrigger,C148)))&gt;0)</f>
        <v>0</v>
      </c>
      <c r="Z148" s="14" cm="1">
        <f t="array" ref="Z148">INT(SUMPRODUCT(--ISNUMBER(SEARCH(bipartisan,C148)))&gt;0)</f>
        <v>0</v>
      </c>
      <c r="AA148" s="14">
        <f t="shared" si="2"/>
        <v>1</v>
      </c>
      <c r="AB148" s="14"/>
      <c r="AC148" s="30" t="s">
        <v>223</v>
      </c>
      <c r="AD148" s="37" t="s">
        <v>223</v>
      </c>
    </row>
    <row r="149" spans="1:30" x14ac:dyDescent="0.25">
      <c r="A149" s="36">
        <v>1134</v>
      </c>
      <c r="B149" s="14" t="s">
        <v>2295</v>
      </c>
      <c r="C149" s="14" t="s">
        <v>2296</v>
      </c>
      <c r="D149" s="18">
        <v>44117</v>
      </c>
      <c r="E149" s="14" t="s">
        <v>30</v>
      </c>
      <c r="F149" s="14">
        <v>822</v>
      </c>
      <c r="G149" s="14">
        <v>193</v>
      </c>
      <c r="H149" s="14">
        <v>6</v>
      </c>
      <c r="I149" s="14">
        <v>3</v>
      </c>
      <c r="J149" s="14" t="s">
        <v>204</v>
      </c>
      <c r="K149" s="14" cm="1">
        <f t="array" ref="K149">INT(SUMPRODUCT(--ISNUMBER(SEARCH(economy,C149)))&gt;0)</f>
        <v>0</v>
      </c>
      <c r="L149" s="14" cm="1">
        <f t="array" ref="L149">INT(SUMPRODUCT(--ISNUMBER(SEARCH(healthcare,C149)))&gt;0)</f>
        <v>0</v>
      </c>
      <c r="M149" s="14" cm="1">
        <f t="array" ref="M149">INT(SUMPRODUCT(--ISNUMBER(SEARCH(supreme,C149)))&gt;0)</f>
        <v>0</v>
      </c>
      <c r="N149" s="14" cm="1">
        <f t="array" ref="N149">INT(SUMPRODUCT(--ISNUMBER(SEARCH(covid,C149)))&gt;0)</f>
        <v>0</v>
      </c>
      <c r="O149" s="14" cm="1">
        <f t="array" ref="O149">INT(SUMPRODUCT(--ISNUMBER(SEARCH(violent,C149)))&gt;0)</f>
        <v>0</v>
      </c>
      <c r="P149" s="14" cm="1">
        <f t="array" ref="P149">INT(SUMPRODUCT(--ISNUMBER(SEARCH(foreign,C149)))&gt;0)</f>
        <v>0</v>
      </c>
      <c r="Q149" s="14" cm="1">
        <f t="array" ref="Q149">INT(SUMPRODUCT(--ISNUMBER(SEARCH(gun,C149)))&gt;0)</f>
        <v>0</v>
      </c>
      <c r="R149" s="14" cm="1">
        <f t="array" ref="R149">INT(SUMPRODUCT(--ISNUMBER(SEARCH(race,C149)))&gt;0)</f>
        <v>0</v>
      </c>
      <c r="S149" s="14" cm="1">
        <f t="array" ref="S149">INT(SUMPRODUCT(--ISNUMBER(SEARCH(immigration,C149)))&gt;0)</f>
        <v>0</v>
      </c>
      <c r="T149" s="14" cm="1">
        <f t="array" ref="T149">INT(SUMPRODUCT(--ISNUMBER(SEARCH(econineq,C150)))&gt;0)</f>
        <v>0</v>
      </c>
      <c r="U149" s="14" cm="1">
        <f t="array" ref="U149">INT(SUMPRODUCT(--ISNUMBER(SEARCH(climate,C149)))&gt;0)</f>
        <v>0</v>
      </c>
      <c r="V149" s="14" cm="1">
        <f t="array" ref="V149">INT(SUMPRODUCT(--ISNUMBER(SEARCH(abortion,C149)))&gt;0)</f>
        <v>0</v>
      </c>
      <c r="W149" s="14" cm="1">
        <f t="array" ref="W149">INT(SUMPRODUCT(--ISNUMBER(SEARCH(trump,C149)))&gt;0)</f>
        <v>0</v>
      </c>
      <c r="X149" s="14" cm="1">
        <f t="array" ref="X149">INT(SUMPRODUCT(--ISNUMBER(SEARCH(voting,C149)))&gt;0)</f>
        <v>0</v>
      </c>
      <c r="Y149" s="14" cm="1">
        <f t="array" ref="Y149">INT(SUMPRODUCT(--ISNUMBER(SEARCH(democrattrigger,C149)))&gt;0)</f>
        <v>0</v>
      </c>
      <c r="Z149" s="14" cm="1">
        <f t="array" ref="Z149">INT(SUMPRODUCT(--ISNUMBER(SEARCH(bipartisan,C149)))&gt;0)</f>
        <v>0</v>
      </c>
      <c r="AA149" s="14">
        <f t="shared" si="2"/>
        <v>1</v>
      </c>
      <c r="AB149" s="14"/>
      <c r="AC149" s="30">
        <v>1</v>
      </c>
      <c r="AD149" s="37">
        <v>0</v>
      </c>
    </row>
    <row r="150" spans="1:30" x14ac:dyDescent="0.25">
      <c r="A150" s="36">
        <v>1135</v>
      </c>
      <c r="B150" s="14" t="s">
        <v>2297</v>
      </c>
      <c r="C150" s="14" t="s">
        <v>2298</v>
      </c>
      <c r="D150" s="18">
        <v>44116</v>
      </c>
      <c r="E150" s="14" t="s">
        <v>30</v>
      </c>
      <c r="F150" s="14">
        <v>348</v>
      </c>
      <c r="G150" s="14">
        <v>118</v>
      </c>
      <c r="H150" s="14">
        <v>6</v>
      </c>
      <c r="I150" s="14">
        <v>3</v>
      </c>
      <c r="J150" s="14" t="s">
        <v>204</v>
      </c>
      <c r="K150" s="14" cm="1">
        <f t="array" ref="K150">INT(SUMPRODUCT(--ISNUMBER(SEARCH(economy,C150)))&gt;0)</f>
        <v>1</v>
      </c>
      <c r="L150" s="14" cm="1">
        <f t="array" ref="L150">INT(SUMPRODUCT(--ISNUMBER(SEARCH(healthcare,C150)))&gt;0)</f>
        <v>0</v>
      </c>
      <c r="M150" s="14" cm="1">
        <f t="array" ref="M150">INT(SUMPRODUCT(--ISNUMBER(SEARCH(supreme,C150)))&gt;0)</f>
        <v>0</v>
      </c>
      <c r="N150" s="14" cm="1">
        <f t="array" ref="N150">INT(SUMPRODUCT(--ISNUMBER(SEARCH(covid,C150)))&gt;0)</f>
        <v>0</v>
      </c>
      <c r="O150" s="14" cm="1">
        <f t="array" ref="O150">INT(SUMPRODUCT(--ISNUMBER(SEARCH(violent,C150)))&gt;0)</f>
        <v>0</v>
      </c>
      <c r="P150" s="14" cm="1">
        <f t="array" ref="P150">INT(SUMPRODUCT(--ISNUMBER(SEARCH(foreign,C150)))&gt;0)</f>
        <v>0</v>
      </c>
      <c r="Q150" s="14" cm="1">
        <f t="array" ref="Q150">INT(SUMPRODUCT(--ISNUMBER(SEARCH(gun,C150)))&gt;0)</f>
        <v>1</v>
      </c>
      <c r="R150" s="14" cm="1">
        <f t="array" ref="R150">INT(SUMPRODUCT(--ISNUMBER(SEARCH(race,C150)))&gt;0)</f>
        <v>0</v>
      </c>
      <c r="S150" s="14" cm="1">
        <f t="array" ref="S150">INT(SUMPRODUCT(--ISNUMBER(SEARCH(immigration,C150)))&gt;0)</f>
        <v>0</v>
      </c>
      <c r="T150" s="14" cm="1">
        <f t="array" ref="T150">INT(SUMPRODUCT(--ISNUMBER(SEARCH(econineq,C151)))&gt;0)</f>
        <v>0</v>
      </c>
      <c r="U150" s="14" cm="1">
        <f t="array" ref="U150">INT(SUMPRODUCT(--ISNUMBER(SEARCH(climate,C150)))&gt;0)</f>
        <v>0</v>
      </c>
      <c r="V150" s="14" cm="1">
        <f t="array" ref="V150">INT(SUMPRODUCT(--ISNUMBER(SEARCH(abortion,C150)))&gt;0)</f>
        <v>0</v>
      </c>
      <c r="W150" s="14" cm="1">
        <f t="array" ref="W150">INT(SUMPRODUCT(--ISNUMBER(SEARCH(trump,C150)))&gt;0)</f>
        <v>0</v>
      </c>
      <c r="X150" s="14" cm="1">
        <f t="array" ref="X150">INT(SUMPRODUCT(--ISNUMBER(SEARCH(voting,C150)))&gt;0)</f>
        <v>0</v>
      </c>
      <c r="Y150" s="14" cm="1">
        <f t="array" ref="Y150">INT(SUMPRODUCT(--ISNUMBER(SEARCH(democrattrigger,C150)))&gt;0)</f>
        <v>0</v>
      </c>
      <c r="Z150" s="14" cm="1">
        <f t="array" ref="Z150">INT(SUMPRODUCT(--ISNUMBER(SEARCH(bipartisan,C150)))&gt;0)</f>
        <v>0</v>
      </c>
      <c r="AA150" s="14">
        <f t="shared" si="2"/>
        <v>0</v>
      </c>
      <c r="AB150" s="14"/>
      <c r="AC150" s="30">
        <v>1</v>
      </c>
      <c r="AD150" s="37">
        <v>0</v>
      </c>
    </row>
    <row r="151" spans="1:30" x14ac:dyDescent="0.25">
      <c r="A151" s="36">
        <v>1136</v>
      </c>
      <c r="B151" s="14" t="s">
        <v>2299</v>
      </c>
      <c r="C151" s="14" t="s">
        <v>2300</v>
      </c>
      <c r="D151" s="18">
        <v>44116</v>
      </c>
      <c r="E151" s="14" t="s">
        <v>30</v>
      </c>
      <c r="F151" s="14">
        <v>427</v>
      </c>
      <c r="G151" s="14">
        <v>159</v>
      </c>
      <c r="H151" s="14">
        <v>6</v>
      </c>
      <c r="I151" s="14">
        <v>3</v>
      </c>
      <c r="J151" s="14" t="s">
        <v>204</v>
      </c>
      <c r="K151" s="14" cm="1">
        <f t="array" ref="K151">INT(SUMPRODUCT(--ISNUMBER(SEARCH(economy,C151)))&gt;0)</f>
        <v>0</v>
      </c>
      <c r="L151" s="14" cm="1">
        <f t="array" ref="L151">INT(SUMPRODUCT(--ISNUMBER(SEARCH(healthcare,C151)))&gt;0)</f>
        <v>0</v>
      </c>
      <c r="M151" s="14" cm="1">
        <f t="array" ref="M151">INT(SUMPRODUCT(--ISNUMBER(SEARCH(supreme,C151)))&gt;0)</f>
        <v>0</v>
      </c>
      <c r="N151" s="14" cm="1">
        <f t="array" ref="N151">INT(SUMPRODUCT(--ISNUMBER(SEARCH(covid,C151)))&gt;0)</f>
        <v>0</v>
      </c>
      <c r="O151" s="14" cm="1">
        <f t="array" ref="O151">INT(SUMPRODUCT(--ISNUMBER(SEARCH(violent,C151)))&gt;0)</f>
        <v>0</v>
      </c>
      <c r="P151" s="14" cm="1">
        <f t="array" ref="P151">INT(SUMPRODUCT(--ISNUMBER(SEARCH(foreign,C151)))&gt;0)</f>
        <v>0</v>
      </c>
      <c r="Q151" s="14" cm="1">
        <f t="array" ref="Q151">INT(SUMPRODUCT(--ISNUMBER(SEARCH(gun,C151)))&gt;0)</f>
        <v>0</v>
      </c>
      <c r="R151" s="14" cm="1">
        <f t="array" ref="R151">INT(SUMPRODUCT(--ISNUMBER(SEARCH(race,C151)))&gt;0)</f>
        <v>0</v>
      </c>
      <c r="S151" s="14" cm="1">
        <f t="array" ref="S151">INT(SUMPRODUCT(--ISNUMBER(SEARCH(immigration,C151)))&gt;0)</f>
        <v>0</v>
      </c>
      <c r="T151" s="14" cm="1">
        <f t="array" ref="T151">INT(SUMPRODUCT(--ISNUMBER(SEARCH(econineq,C152)))&gt;0)</f>
        <v>0</v>
      </c>
      <c r="U151" s="14" cm="1">
        <f t="array" ref="U151">INT(SUMPRODUCT(--ISNUMBER(SEARCH(climate,C151)))&gt;0)</f>
        <v>0</v>
      </c>
      <c r="V151" s="14" cm="1">
        <f t="array" ref="V151">INT(SUMPRODUCT(--ISNUMBER(SEARCH(abortion,C151)))&gt;0)</f>
        <v>0</v>
      </c>
      <c r="W151" s="14" cm="1">
        <f t="array" ref="W151">INT(SUMPRODUCT(--ISNUMBER(SEARCH(trump,C151)))&gt;0)</f>
        <v>0</v>
      </c>
      <c r="X151" s="14" cm="1">
        <f t="array" ref="X151">INT(SUMPRODUCT(--ISNUMBER(SEARCH(voting,C151)))&gt;0)</f>
        <v>0</v>
      </c>
      <c r="Y151" s="14" cm="1">
        <f t="array" ref="Y151">INT(SUMPRODUCT(--ISNUMBER(SEARCH(democrattrigger,C151)))&gt;0)</f>
        <v>0</v>
      </c>
      <c r="Z151" s="14" cm="1">
        <f t="array" ref="Z151">INT(SUMPRODUCT(--ISNUMBER(SEARCH(bipartisan,C151)))&gt;0)</f>
        <v>0</v>
      </c>
      <c r="AA151" s="14">
        <f t="shared" si="2"/>
        <v>1</v>
      </c>
      <c r="AB151" s="14"/>
      <c r="AC151" s="30">
        <v>1</v>
      </c>
      <c r="AD151" s="37">
        <v>0</v>
      </c>
    </row>
    <row r="152" spans="1:30" x14ac:dyDescent="0.25">
      <c r="A152" s="36">
        <v>1137</v>
      </c>
      <c r="B152" s="14" t="s">
        <v>2301</v>
      </c>
      <c r="C152" s="14" t="s">
        <v>2302</v>
      </c>
      <c r="D152" s="18">
        <v>44116</v>
      </c>
      <c r="E152" s="14" t="s">
        <v>30</v>
      </c>
      <c r="F152" s="14">
        <v>344</v>
      </c>
      <c r="G152" s="14">
        <v>153</v>
      </c>
      <c r="H152" s="14">
        <v>6</v>
      </c>
      <c r="I152" s="14">
        <v>3</v>
      </c>
      <c r="J152" s="14" t="s">
        <v>204</v>
      </c>
      <c r="K152" s="14" cm="1">
        <f t="array" ref="K152">INT(SUMPRODUCT(--ISNUMBER(SEARCH(economy,C152)))&gt;0)</f>
        <v>0</v>
      </c>
      <c r="L152" s="14" cm="1">
        <f t="array" ref="L152">INT(SUMPRODUCT(--ISNUMBER(SEARCH(healthcare,C152)))&gt;0)</f>
        <v>1</v>
      </c>
      <c r="M152" s="14" cm="1">
        <f t="array" ref="M152">INT(SUMPRODUCT(--ISNUMBER(SEARCH(supreme,C152)))&gt;0)</f>
        <v>0</v>
      </c>
      <c r="N152" s="14" cm="1">
        <f t="array" ref="N152">INT(SUMPRODUCT(--ISNUMBER(SEARCH(covid,C152)))&gt;0)</f>
        <v>0</v>
      </c>
      <c r="O152" s="14" cm="1">
        <f t="array" ref="O152">INT(SUMPRODUCT(--ISNUMBER(SEARCH(violent,C152)))&gt;0)</f>
        <v>0</v>
      </c>
      <c r="P152" s="14" cm="1">
        <f t="array" ref="P152">INT(SUMPRODUCT(--ISNUMBER(SEARCH(foreign,C152)))&gt;0)</f>
        <v>0</v>
      </c>
      <c r="Q152" s="14" cm="1">
        <f t="array" ref="Q152">INT(SUMPRODUCT(--ISNUMBER(SEARCH(gun,C152)))&gt;0)</f>
        <v>0</v>
      </c>
      <c r="R152" s="14" cm="1">
        <f t="array" ref="R152">INT(SUMPRODUCT(--ISNUMBER(SEARCH(race,C152)))&gt;0)</f>
        <v>0</v>
      </c>
      <c r="S152" s="14" cm="1">
        <f t="array" ref="S152">INT(SUMPRODUCT(--ISNUMBER(SEARCH(immigration,C152)))&gt;0)</f>
        <v>0</v>
      </c>
      <c r="T152" s="14" cm="1">
        <f t="array" ref="T152">INT(SUMPRODUCT(--ISNUMBER(SEARCH(econineq,C153)))&gt;0)</f>
        <v>0</v>
      </c>
      <c r="U152" s="14" cm="1">
        <f t="array" ref="U152">INT(SUMPRODUCT(--ISNUMBER(SEARCH(climate,C152)))&gt;0)</f>
        <v>0</v>
      </c>
      <c r="V152" s="14" cm="1">
        <f t="array" ref="V152">INT(SUMPRODUCT(--ISNUMBER(SEARCH(abortion,C152)))&gt;0)</f>
        <v>0</v>
      </c>
      <c r="W152" s="14" cm="1">
        <f t="array" ref="W152">INT(SUMPRODUCT(--ISNUMBER(SEARCH(trump,C152)))&gt;0)</f>
        <v>0</v>
      </c>
      <c r="X152" s="14" cm="1">
        <f t="array" ref="X152">INT(SUMPRODUCT(--ISNUMBER(SEARCH(voting,C152)))&gt;0)</f>
        <v>0</v>
      </c>
      <c r="Y152" s="14" cm="1">
        <f t="array" ref="Y152">INT(SUMPRODUCT(--ISNUMBER(SEARCH(democrattrigger,C152)))&gt;0)</f>
        <v>0</v>
      </c>
      <c r="Z152" s="14" cm="1">
        <f t="array" ref="Z152">INT(SUMPRODUCT(--ISNUMBER(SEARCH(bipartisan,C152)))&gt;0)</f>
        <v>0</v>
      </c>
      <c r="AA152" s="14">
        <f t="shared" si="2"/>
        <v>0</v>
      </c>
      <c r="AB152" s="14"/>
      <c r="AC152" s="30">
        <v>1</v>
      </c>
      <c r="AD152" s="37">
        <v>0</v>
      </c>
    </row>
    <row r="153" spans="1:30" x14ac:dyDescent="0.25">
      <c r="A153" s="36">
        <v>1138</v>
      </c>
      <c r="B153" s="14" t="s">
        <v>2303</v>
      </c>
      <c r="C153" s="14" t="s">
        <v>2304</v>
      </c>
      <c r="D153" s="18">
        <v>44116</v>
      </c>
      <c r="E153" s="14" t="s">
        <v>30</v>
      </c>
      <c r="F153" s="14">
        <v>2079</v>
      </c>
      <c r="G153" s="14">
        <v>504</v>
      </c>
      <c r="H153" s="14">
        <v>6</v>
      </c>
      <c r="I153" s="14">
        <v>3</v>
      </c>
      <c r="J153" s="14" t="s">
        <v>204</v>
      </c>
      <c r="K153" s="14" cm="1">
        <f t="array" ref="K153">INT(SUMPRODUCT(--ISNUMBER(SEARCH(economy,C153)))&gt;0)</f>
        <v>0</v>
      </c>
      <c r="L153" s="14" cm="1">
        <f t="array" ref="L153">INT(SUMPRODUCT(--ISNUMBER(SEARCH(healthcare,C153)))&gt;0)</f>
        <v>0</v>
      </c>
      <c r="M153" s="14" cm="1">
        <f t="array" ref="M153">INT(SUMPRODUCT(--ISNUMBER(SEARCH(supreme,C153)))&gt;0)</f>
        <v>0</v>
      </c>
      <c r="N153" s="14" cm="1">
        <f t="array" ref="N153">INT(SUMPRODUCT(--ISNUMBER(SEARCH(covid,C153)))&gt;0)</f>
        <v>0</v>
      </c>
      <c r="O153" s="14" cm="1">
        <f t="array" ref="O153">INT(SUMPRODUCT(--ISNUMBER(SEARCH(violent,C153)))&gt;0)</f>
        <v>0</v>
      </c>
      <c r="P153" s="14" cm="1">
        <f t="array" ref="P153">INT(SUMPRODUCT(--ISNUMBER(SEARCH(foreign,C153)))&gt;0)</f>
        <v>0</v>
      </c>
      <c r="Q153" s="14" cm="1">
        <f t="array" ref="Q153">INT(SUMPRODUCT(--ISNUMBER(SEARCH(gun,C153)))&gt;0)</f>
        <v>0</v>
      </c>
      <c r="R153" s="14" cm="1">
        <f t="array" ref="R153">INT(SUMPRODUCT(--ISNUMBER(SEARCH(race,C153)))&gt;0)</f>
        <v>0</v>
      </c>
      <c r="S153" s="14" cm="1">
        <f t="array" ref="S153">INT(SUMPRODUCT(--ISNUMBER(SEARCH(immigration,C153)))&gt;0)</f>
        <v>0</v>
      </c>
      <c r="T153" s="14" cm="1">
        <f t="array" ref="T153">INT(SUMPRODUCT(--ISNUMBER(SEARCH(econineq,C154)))&gt;0)</f>
        <v>0</v>
      </c>
      <c r="U153" s="14" cm="1">
        <f t="array" ref="U153">INT(SUMPRODUCT(--ISNUMBER(SEARCH(climate,C153)))&gt;0)</f>
        <v>0</v>
      </c>
      <c r="V153" s="14" cm="1">
        <f t="array" ref="V153">INT(SUMPRODUCT(--ISNUMBER(SEARCH(abortion,C153)))&gt;0)</f>
        <v>0</v>
      </c>
      <c r="W153" s="14" cm="1">
        <f t="array" ref="W153">INT(SUMPRODUCT(--ISNUMBER(SEARCH(trump,C153)))&gt;0)</f>
        <v>0</v>
      </c>
      <c r="X153" s="14" cm="1">
        <f t="array" ref="X153">INT(SUMPRODUCT(--ISNUMBER(SEARCH(voting,C153)))&gt;0)</f>
        <v>0</v>
      </c>
      <c r="Y153" s="14" cm="1">
        <f t="array" ref="Y153">INT(SUMPRODUCT(--ISNUMBER(SEARCH(democrattrigger,C153)))&gt;0)</f>
        <v>0</v>
      </c>
      <c r="Z153" s="14" cm="1">
        <f t="array" ref="Z153">INT(SUMPRODUCT(--ISNUMBER(SEARCH(bipartisan,C153)))&gt;0)</f>
        <v>0</v>
      </c>
      <c r="AA153" s="14">
        <f t="shared" si="2"/>
        <v>1</v>
      </c>
      <c r="AB153" s="14"/>
      <c r="AC153" s="30" t="s">
        <v>223</v>
      </c>
      <c r="AD153" s="37" t="s">
        <v>223</v>
      </c>
    </row>
    <row r="154" spans="1:30" x14ac:dyDescent="0.25">
      <c r="A154" s="36">
        <v>1139</v>
      </c>
      <c r="B154" s="14" t="s">
        <v>2305</v>
      </c>
      <c r="C154" s="14" t="s">
        <v>2306</v>
      </c>
      <c r="D154" s="18">
        <v>44116</v>
      </c>
      <c r="E154" s="14" t="s">
        <v>30</v>
      </c>
      <c r="F154" s="14">
        <v>760</v>
      </c>
      <c r="G154" s="14">
        <v>195</v>
      </c>
      <c r="H154" s="14">
        <v>6</v>
      </c>
      <c r="I154" s="14">
        <v>3</v>
      </c>
      <c r="J154" s="14" t="s">
        <v>204</v>
      </c>
      <c r="K154" s="14" cm="1">
        <f t="array" ref="K154">INT(SUMPRODUCT(--ISNUMBER(SEARCH(economy,C154)))&gt;0)</f>
        <v>1</v>
      </c>
      <c r="L154" s="14" cm="1">
        <f t="array" ref="L154">INT(SUMPRODUCT(--ISNUMBER(SEARCH(healthcare,C154)))&gt;0)</f>
        <v>0</v>
      </c>
      <c r="M154" s="14" cm="1">
        <f t="array" ref="M154">INT(SUMPRODUCT(--ISNUMBER(SEARCH(supreme,C154)))&gt;0)</f>
        <v>0</v>
      </c>
      <c r="N154" s="14" cm="1">
        <f t="array" ref="N154">INT(SUMPRODUCT(--ISNUMBER(SEARCH(covid,C154)))&gt;0)</f>
        <v>0</v>
      </c>
      <c r="O154" s="14" cm="1">
        <f t="array" ref="O154">INT(SUMPRODUCT(--ISNUMBER(SEARCH(violent,C154)))&gt;0)</f>
        <v>0</v>
      </c>
      <c r="P154" s="14" cm="1">
        <f t="array" ref="P154">INT(SUMPRODUCT(--ISNUMBER(SEARCH(foreign,C154)))&gt;0)</f>
        <v>0</v>
      </c>
      <c r="Q154" s="14" cm="1">
        <f t="array" ref="Q154">INT(SUMPRODUCT(--ISNUMBER(SEARCH(gun,C154)))&gt;0)</f>
        <v>0</v>
      </c>
      <c r="R154" s="14" cm="1">
        <f t="array" ref="R154">INT(SUMPRODUCT(--ISNUMBER(SEARCH(race,C154)))&gt;0)</f>
        <v>0</v>
      </c>
      <c r="S154" s="14" cm="1">
        <f t="array" ref="S154">INT(SUMPRODUCT(--ISNUMBER(SEARCH(immigration,C154)))&gt;0)</f>
        <v>0</v>
      </c>
      <c r="T154" s="14" cm="1">
        <f t="array" ref="T154">INT(SUMPRODUCT(--ISNUMBER(SEARCH(econineq,C155)))&gt;0)</f>
        <v>0</v>
      </c>
      <c r="U154" s="14" cm="1">
        <f t="array" ref="U154">INT(SUMPRODUCT(--ISNUMBER(SEARCH(climate,C154)))&gt;0)</f>
        <v>0</v>
      </c>
      <c r="V154" s="14" cm="1">
        <f t="array" ref="V154">INT(SUMPRODUCT(--ISNUMBER(SEARCH(abortion,C154)))&gt;0)</f>
        <v>0</v>
      </c>
      <c r="W154" s="14" cm="1">
        <f t="array" ref="W154">INT(SUMPRODUCT(--ISNUMBER(SEARCH(trump,C154)))&gt;0)</f>
        <v>0</v>
      </c>
      <c r="X154" s="14" cm="1">
        <f t="array" ref="X154">INT(SUMPRODUCT(--ISNUMBER(SEARCH(voting,C154)))&gt;0)</f>
        <v>0</v>
      </c>
      <c r="Y154" s="14" cm="1">
        <f t="array" ref="Y154">INT(SUMPRODUCT(--ISNUMBER(SEARCH(democrattrigger,C154)))&gt;0)</f>
        <v>0</v>
      </c>
      <c r="Z154" s="14" cm="1">
        <f t="array" ref="Z154">INT(SUMPRODUCT(--ISNUMBER(SEARCH(bipartisan,C154)))&gt;0)</f>
        <v>0</v>
      </c>
      <c r="AA154" s="14">
        <f t="shared" si="2"/>
        <v>0</v>
      </c>
      <c r="AB154" s="14"/>
      <c r="AC154" s="30">
        <v>1</v>
      </c>
      <c r="AD154" s="37">
        <v>0</v>
      </c>
    </row>
    <row r="155" spans="1:30" x14ac:dyDescent="0.25">
      <c r="A155" s="36">
        <v>1140</v>
      </c>
      <c r="B155" s="14" t="s">
        <v>2307</v>
      </c>
      <c r="C155" s="14" t="s">
        <v>2308</v>
      </c>
      <c r="D155" s="18">
        <v>44116</v>
      </c>
      <c r="E155" s="14" t="s">
        <v>30</v>
      </c>
      <c r="F155" s="14">
        <v>412</v>
      </c>
      <c r="G155" s="14">
        <v>171</v>
      </c>
      <c r="H155" s="14">
        <v>6</v>
      </c>
      <c r="I155" s="14">
        <v>3</v>
      </c>
      <c r="J155" s="14" t="s">
        <v>204</v>
      </c>
      <c r="K155" s="14" cm="1">
        <f t="array" ref="K155">INT(SUMPRODUCT(--ISNUMBER(SEARCH(economy,C155)))&gt;0)</f>
        <v>0</v>
      </c>
      <c r="L155" s="14" cm="1">
        <f t="array" ref="L155">INT(SUMPRODUCT(--ISNUMBER(SEARCH(healthcare,C155)))&gt;0)</f>
        <v>0</v>
      </c>
      <c r="M155" s="14" cm="1">
        <f t="array" ref="M155">INT(SUMPRODUCT(--ISNUMBER(SEARCH(supreme,C155)))&gt;0)</f>
        <v>0</v>
      </c>
      <c r="N155" s="14" cm="1">
        <f t="array" ref="N155">INT(SUMPRODUCT(--ISNUMBER(SEARCH(covid,C155)))&gt;0)</f>
        <v>0</v>
      </c>
      <c r="O155" s="14" cm="1">
        <f t="array" ref="O155">INT(SUMPRODUCT(--ISNUMBER(SEARCH(violent,C155)))&gt;0)</f>
        <v>0</v>
      </c>
      <c r="P155" s="14" cm="1">
        <f t="array" ref="P155">INT(SUMPRODUCT(--ISNUMBER(SEARCH(foreign,C155)))&gt;0)</f>
        <v>0</v>
      </c>
      <c r="Q155" s="14" cm="1">
        <f t="array" ref="Q155">INT(SUMPRODUCT(--ISNUMBER(SEARCH(gun,C155)))&gt;0)</f>
        <v>0</v>
      </c>
      <c r="R155" s="14" cm="1">
        <f t="array" ref="R155">INT(SUMPRODUCT(--ISNUMBER(SEARCH(race,C155)))&gt;0)</f>
        <v>0</v>
      </c>
      <c r="S155" s="14" cm="1">
        <f t="array" ref="S155">INT(SUMPRODUCT(--ISNUMBER(SEARCH(immigration,C155)))&gt;0)</f>
        <v>0</v>
      </c>
      <c r="T155" s="14" cm="1">
        <f t="array" ref="T155">INT(SUMPRODUCT(--ISNUMBER(SEARCH(econineq,C156)))&gt;0)</f>
        <v>1</v>
      </c>
      <c r="U155" s="14" cm="1">
        <f t="array" ref="U155">INT(SUMPRODUCT(--ISNUMBER(SEARCH(climate,C155)))&gt;0)</f>
        <v>0</v>
      </c>
      <c r="V155" s="14" cm="1">
        <f t="array" ref="V155">INT(SUMPRODUCT(--ISNUMBER(SEARCH(abortion,C155)))&gt;0)</f>
        <v>0</v>
      </c>
      <c r="W155" s="14" cm="1">
        <f t="array" ref="W155">INT(SUMPRODUCT(--ISNUMBER(SEARCH(trump,C155)))&gt;0)</f>
        <v>0</v>
      </c>
      <c r="X155" s="14" cm="1">
        <f t="array" ref="X155">INT(SUMPRODUCT(--ISNUMBER(SEARCH(voting,C155)))&gt;0)</f>
        <v>1</v>
      </c>
      <c r="Y155" s="14" cm="1">
        <f t="array" ref="Y155">INT(SUMPRODUCT(--ISNUMBER(SEARCH(democrattrigger,C155)))&gt;0)</f>
        <v>0</v>
      </c>
      <c r="Z155" s="14" cm="1">
        <f t="array" ref="Z155">INT(SUMPRODUCT(--ISNUMBER(SEARCH(bipartisan,C155)))&gt;0)</f>
        <v>0</v>
      </c>
      <c r="AA155" s="14">
        <f t="shared" si="2"/>
        <v>0</v>
      </c>
      <c r="AB155" s="14"/>
      <c r="AC155" s="30" t="s">
        <v>223</v>
      </c>
      <c r="AD155" s="37" t="s">
        <v>223</v>
      </c>
    </row>
    <row r="156" spans="1:30" x14ac:dyDescent="0.25">
      <c r="A156" s="36">
        <v>1141</v>
      </c>
      <c r="B156" s="14" t="s">
        <v>2309</v>
      </c>
      <c r="C156" s="14" t="s">
        <v>2310</v>
      </c>
      <c r="D156" s="18">
        <v>44116</v>
      </c>
      <c r="E156" s="14" t="s">
        <v>30</v>
      </c>
      <c r="F156" s="14">
        <v>2593</v>
      </c>
      <c r="G156" s="14">
        <v>828</v>
      </c>
      <c r="H156" s="14">
        <v>6</v>
      </c>
      <c r="I156" s="14">
        <v>3</v>
      </c>
      <c r="J156" s="14" t="s">
        <v>204</v>
      </c>
      <c r="K156" s="14" cm="1">
        <f t="array" ref="K156">INT(SUMPRODUCT(--ISNUMBER(SEARCH(economy,C156)))&gt;0)</f>
        <v>1</v>
      </c>
      <c r="L156" s="14" cm="1">
        <f t="array" ref="L156">INT(SUMPRODUCT(--ISNUMBER(SEARCH(healthcare,C156)))&gt;0)</f>
        <v>1</v>
      </c>
      <c r="M156" s="14" cm="1">
        <f t="array" ref="M156">INT(SUMPRODUCT(--ISNUMBER(SEARCH(supreme,C156)))&gt;0)</f>
        <v>0</v>
      </c>
      <c r="N156" s="14" cm="1">
        <f t="array" ref="N156">INT(SUMPRODUCT(--ISNUMBER(SEARCH(covid,C156)))&gt;0)</f>
        <v>0</v>
      </c>
      <c r="O156" s="14" cm="1">
        <f t="array" ref="O156">INT(SUMPRODUCT(--ISNUMBER(SEARCH(violent,C156)))&gt;0)</f>
        <v>0</v>
      </c>
      <c r="P156" s="14" cm="1">
        <f t="array" ref="P156">INT(SUMPRODUCT(--ISNUMBER(SEARCH(foreign,C156)))&gt;0)</f>
        <v>0</v>
      </c>
      <c r="Q156" s="14" cm="1">
        <f t="array" ref="Q156">INT(SUMPRODUCT(--ISNUMBER(SEARCH(gun,C156)))&gt;0)</f>
        <v>0</v>
      </c>
      <c r="R156" s="14" cm="1">
        <f t="array" ref="R156">INT(SUMPRODUCT(--ISNUMBER(SEARCH(race,C156)))&gt;0)</f>
        <v>0</v>
      </c>
      <c r="S156" s="14" cm="1">
        <f t="array" ref="S156">INT(SUMPRODUCT(--ISNUMBER(SEARCH(immigration,C156)))&gt;0)</f>
        <v>0</v>
      </c>
      <c r="T156" s="14" cm="1">
        <f t="array" ref="T156">INT(SUMPRODUCT(--ISNUMBER(SEARCH(econineq,C157)))&gt;0)</f>
        <v>0</v>
      </c>
      <c r="U156" s="14" cm="1">
        <f t="array" ref="U156">INT(SUMPRODUCT(--ISNUMBER(SEARCH(climate,C156)))&gt;0)</f>
        <v>0</v>
      </c>
      <c r="V156" s="14" cm="1">
        <f t="array" ref="V156">INT(SUMPRODUCT(--ISNUMBER(SEARCH(abortion,C156)))&gt;0)</f>
        <v>0</v>
      </c>
      <c r="W156" s="14" cm="1">
        <f t="array" ref="W156">INT(SUMPRODUCT(--ISNUMBER(SEARCH(trump,C156)))&gt;0)</f>
        <v>0</v>
      </c>
      <c r="X156" s="14" cm="1">
        <f t="array" ref="X156">INT(SUMPRODUCT(--ISNUMBER(SEARCH(voting,C156)))&gt;0)</f>
        <v>0</v>
      </c>
      <c r="Y156" s="14" cm="1">
        <f t="array" ref="Y156">INT(SUMPRODUCT(--ISNUMBER(SEARCH(democrattrigger,C156)))&gt;0)</f>
        <v>0</v>
      </c>
      <c r="Z156" s="14" cm="1">
        <f t="array" ref="Z156">INT(SUMPRODUCT(--ISNUMBER(SEARCH(bipartisan,C156)))&gt;0)</f>
        <v>0</v>
      </c>
      <c r="AA156" s="14">
        <f t="shared" si="2"/>
        <v>0</v>
      </c>
      <c r="AB156" s="14"/>
      <c r="AC156" s="30">
        <v>0</v>
      </c>
      <c r="AD156" s="37">
        <v>1</v>
      </c>
    </row>
    <row r="157" spans="1:30" x14ac:dyDescent="0.25">
      <c r="A157" s="36">
        <v>1142</v>
      </c>
      <c r="B157" s="14" t="s">
        <v>2311</v>
      </c>
      <c r="C157" s="14" t="s">
        <v>2312</v>
      </c>
      <c r="D157" s="18">
        <v>44116</v>
      </c>
      <c r="E157" s="14" t="s">
        <v>30</v>
      </c>
      <c r="F157" s="14">
        <v>3141</v>
      </c>
      <c r="G157" s="14">
        <v>1350</v>
      </c>
      <c r="H157" s="14">
        <v>6</v>
      </c>
      <c r="I157" s="14">
        <v>3</v>
      </c>
      <c r="J157" s="14" t="s">
        <v>204</v>
      </c>
      <c r="K157" s="14" cm="1">
        <f t="array" ref="K157">INT(SUMPRODUCT(--ISNUMBER(SEARCH(economy,C157)))&gt;0)</f>
        <v>0</v>
      </c>
      <c r="L157" s="14" cm="1">
        <f t="array" ref="L157">INT(SUMPRODUCT(--ISNUMBER(SEARCH(healthcare,C157)))&gt;0)</f>
        <v>1</v>
      </c>
      <c r="M157" s="14" cm="1">
        <f t="array" ref="M157">INT(SUMPRODUCT(--ISNUMBER(SEARCH(supreme,C157)))&gt;0)</f>
        <v>0</v>
      </c>
      <c r="N157" s="14" cm="1">
        <f t="array" ref="N157">INT(SUMPRODUCT(--ISNUMBER(SEARCH(covid,C157)))&gt;0)</f>
        <v>1</v>
      </c>
      <c r="O157" s="14" cm="1">
        <f t="array" ref="O157">INT(SUMPRODUCT(--ISNUMBER(SEARCH(violent,C157)))&gt;0)</f>
        <v>0</v>
      </c>
      <c r="P157" s="14" cm="1">
        <f t="array" ref="P157">INT(SUMPRODUCT(--ISNUMBER(SEARCH(foreign,C157)))&gt;0)</f>
        <v>0</v>
      </c>
      <c r="Q157" s="14" cm="1">
        <f t="array" ref="Q157">INT(SUMPRODUCT(--ISNUMBER(SEARCH(gun,C157)))&gt;0)</f>
        <v>0</v>
      </c>
      <c r="R157" s="14" cm="1">
        <f t="array" ref="R157">INT(SUMPRODUCT(--ISNUMBER(SEARCH(race,C157)))&gt;0)</f>
        <v>0</v>
      </c>
      <c r="S157" s="14" cm="1">
        <f t="array" ref="S157">INT(SUMPRODUCT(--ISNUMBER(SEARCH(immigration,C157)))&gt;0)</f>
        <v>0</v>
      </c>
      <c r="T157" s="14" cm="1">
        <f t="array" ref="T157">INT(SUMPRODUCT(--ISNUMBER(SEARCH(econineq,C158)))&gt;0)</f>
        <v>0</v>
      </c>
      <c r="U157" s="14" cm="1">
        <f t="array" ref="U157">INT(SUMPRODUCT(--ISNUMBER(SEARCH(climate,C157)))&gt;0)</f>
        <v>0</v>
      </c>
      <c r="V157" s="14" cm="1">
        <f t="array" ref="V157">INT(SUMPRODUCT(--ISNUMBER(SEARCH(abortion,C157)))&gt;0)</f>
        <v>0</v>
      </c>
      <c r="W157" s="14" cm="1">
        <f t="array" ref="W157">INT(SUMPRODUCT(--ISNUMBER(SEARCH(trump,C157)))&gt;0)</f>
        <v>0</v>
      </c>
      <c r="X157" s="14" cm="1">
        <f t="array" ref="X157">INT(SUMPRODUCT(--ISNUMBER(SEARCH(voting,C157)))&gt;0)</f>
        <v>1</v>
      </c>
      <c r="Y157" s="14" cm="1">
        <f t="array" ref="Y157">INT(SUMPRODUCT(--ISNUMBER(SEARCH(democrattrigger,C157)))&gt;0)</f>
        <v>1</v>
      </c>
      <c r="Z157" s="14" cm="1">
        <f t="array" ref="Z157">INT(SUMPRODUCT(--ISNUMBER(SEARCH(bipartisan,C157)))&gt;0)</f>
        <v>0</v>
      </c>
      <c r="AA157" s="14">
        <f t="shared" si="2"/>
        <v>0</v>
      </c>
      <c r="AB157" s="14"/>
      <c r="AC157" s="30" t="s">
        <v>223</v>
      </c>
      <c r="AD157" s="37" t="s">
        <v>223</v>
      </c>
    </row>
    <row r="158" spans="1:30" x14ac:dyDescent="0.25">
      <c r="A158" s="36">
        <v>1143</v>
      </c>
      <c r="B158" s="14" t="s">
        <v>2313</v>
      </c>
      <c r="C158" s="14" t="s">
        <v>2314</v>
      </c>
      <c r="D158" s="18">
        <v>44116</v>
      </c>
      <c r="E158" s="14" t="s">
        <v>30</v>
      </c>
      <c r="F158" s="14">
        <v>535</v>
      </c>
      <c r="G158" s="14">
        <v>252</v>
      </c>
      <c r="H158" s="14">
        <v>6</v>
      </c>
      <c r="I158" s="14">
        <v>3</v>
      </c>
      <c r="J158" s="14" t="s">
        <v>204</v>
      </c>
      <c r="K158" s="14" cm="1">
        <f t="array" ref="K158">INT(SUMPRODUCT(--ISNUMBER(SEARCH(economy,C158)))&gt;0)</f>
        <v>0</v>
      </c>
      <c r="L158" s="14" cm="1">
        <f t="array" ref="L158">INT(SUMPRODUCT(--ISNUMBER(SEARCH(healthcare,C158)))&gt;0)</f>
        <v>0</v>
      </c>
      <c r="M158" s="14" cm="1">
        <f t="array" ref="M158">INT(SUMPRODUCT(--ISNUMBER(SEARCH(supreme,C158)))&gt;0)</f>
        <v>0</v>
      </c>
      <c r="N158" s="14" cm="1">
        <f t="array" ref="N158">INT(SUMPRODUCT(--ISNUMBER(SEARCH(covid,C158)))&gt;0)</f>
        <v>0</v>
      </c>
      <c r="O158" s="14" cm="1">
        <f t="array" ref="O158">INT(SUMPRODUCT(--ISNUMBER(SEARCH(violent,C158)))&gt;0)</f>
        <v>0</v>
      </c>
      <c r="P158" s="14" cm="1">
        <f t="array" ref="P158">INT(SUMPRODUCT(--ISNUMBER(SEARCH(foreign,C158)))&gt;0)</f>
        <v>1</v>
      </c>
      <c r="Q158" s="14" cm="1">
        <f t="array" ref="Q158">INT(SUMPRODUCT(--ISNUMBER(SEARCH(gun,C158)))&gt;0)</f>
        <v>0</v>
      </c>
      <c r="R158" s="14" cm="1">
        <f t="array" ref="R158">INT(SUMPRODUCT(--ISNUMBER(SEARCH(race,C158)))&gt;0)</f>
        <v>0</v>
      </c>
      <c r="S158" s="14" cm="1">
        <f t="array" ref="S158">INT(SUMPRODUCT(--ISNUMBER(SEARCH(immigration,C158)))&gt;0)</f>
        <v>0</v>
      </c>
      <c r="T158" s="14" cm="1">
        <f t="array" ref="T158">INT(SUMPRODUCT(--ISNUMBER(SEARCH(econineq,C159)))&gt;0)</f>
        <v>0</v>
      </c>
      <c r="U158" s="14" cm="1">
        <f t="array" ref="U158">INT(SUMPRODUCT(--ISNUMBER(SEARCH(climate,C158)))&gt;0)</f>
        <v>0</v>
      </c>
      <c r="V158" s="14" cm="1">
        <f t="array" ref="V158">INT(SUMPRODUCT(--ISNUMBER(SEARCH(abortion,C158)))&gt;0)</f>
        <v>0</v>
      </c>
      <c r="W158" s="14" cm="1">
        <f t="array" ref="W158">INT(SUMPRODUCT(--ISNUMBER(SEARCH(trump,C158)))&gt;0)</f>
        <v>0</v>
      </c>
      <c r="X158" s="14" cm="1">
        <f t="array" ref="X158">INT(SUMPRODUCT(--ISNUMBER(SEARCH(voting,C158)))&gt;0)</f>
        <v>0</v>
      </c>
      <c r="Y158" s="14" cm="1">
        <f t="array" ref="Y158">INT(SUMPRODUCT(--ISNUMBER(SEARCH(democrattrigger,C158)))&gt;0)</f>
        <v>1</v>
      </c>
      <c r="Z158" s="14" cm="1">
        <f t="array" ref="Z158">INT(SUMPRODUCT(--ISNUMBER(SEARCH(bipartisan,C158)))&gt;0)</f>
        <v>0</v>
      </c>
      <c r="AA158" s="14">
        <f t="shared" si="2"/>
        <v>0</v>
      </c>
      <c r="AB158" s="14"/>
      <c r="AC158" s="30" t="s">
        <v>223</v>
      </c>
      <c r="AD158" s="37" t="s">
        <v>223</v>
      </c>
    </row>
    <row r="159" spans="1:30" x14ac:dyDescent="0.25">
      <c r="A159" s="36">
        <v>1144</v>
      </c>
      <c r="B159" s="14" t="s">
        <v>2315</v>
      </c>
      <c r="C159" s="14" t="s">
        <v>2316</v>
      </c>
      <c r="D159" s="18">
        <v>44115</v>
      </c>
      <c r="E159" s="14" t="s">
        <v>30</v>
      </c>
      <c r="F159" s="14">
        <v>11985</v>
      </c>
      <c r="G159" s="14">
        <v>4006</v>
      </c>
      <c r="H159" s="14">
        <v>6</v>
      </c>
      <c r="I159" s="14">
        <v>3</v>
      </c>
      <c r="J159" s="14" t="s">
        <v>204</v>
      </c>
      <c r="K159" s="14" cm="1">
        <f t="array" ref="K159">INT(SUMPRODUCT(--ISNUMBER(SEARCH(economy,C159)))&gt;0)</f>
        <v>0</v>
      </c>
      <c r="L159" s="14" cm="1">
        <f t="array" ref="L159">INT(SUMPRODUCT(--ISNUMBER(SEARCH(healthcare,C159)))&gt;0)</f>
        <v>1</v>
      </c>
      <c r="M159" s="14" cm="1">
        <f t="array" ref="M159">INT(SUMPRODUCT(--ISNUMBER(SEARCH(supreme,C159)))&gt;0)</f>
        <v>0</v>
      </c>
      <c r="N159" s="14" cm="1">
        <f t="array" ref="N159">INT(SUMPRODUCT(--ISNUMBER(SEARCH(covid,C159)))&gt;0)</f>
        <v>0</v>
      </c>
      <c r="O159" s="14" cm="1">
        <f t="array" ref="O159">INT(SUMPRODUCT(--ISNUMBER(SEARCH(violent,C159)))&gt;0)</f>
        <v>0</v>
      </c>
      <c r="P159" s="14" cm="1">
        <f t="array" ref="P159">INT(SUMPRODUCT(--ISNUMBER(SEARCH(foreign,C159)))&gt;0)</f>
        <v>0</v>
      </c>
      <c r="Q159" s="14" cm="1">
        <f t="array" ref="Q159">INT(SUMPRODUCT(--ISNUMBER(SEARCH(gun,C159)))&gt;0)</f>
        <v>0</v>
      </c>
      <c r="R159" s="14" cm="1">
        <f t="array" ref="R159">INT(SUMPRODUCT(--ISNUMBER(SEARCH(race,C159)))&gt;0)</f>
        <v>0</v>
      </c>
      <c r="S159" s="14" cm="1">
        <f t="array" ref="S159">INT(SUMPRODUCT(--ISNUMBER(SEARCH(immigration,C159)))&gt;0)</f>
        <v>0</v>
      </c>
      <c r="T159" s="14" cm="1">
        <f t="array" ref="T159">INT(SUMPRODUCT(--ISNUMBER(SEARCH(econineq,C160)))&gt;0)</f>
        <v>0</v>
      </c>
      <c r="U159" s="14" cm="1">
        <f t="array" ref="U159">INT(SUMPRODUCT(--ISNUMBER(SEARCH(climate,C159)))&gt;0)</f>
        <v>0</v>
      </c>
      <c r="V159" s="14" cm="1">
        <f t="array" ref="V159">INT(SUMPRODUCT(--ISNUMBER(SEARCH(abortion,C159)))&gt;0)</f>
        <v>0</v>
      </c>
      <c r="W159" s="14" cm="1">
        <f t="array" ref="W159">INT(SUMPRODUCT(--ISNUMBER(SEARCH(trump,C159)))&gt;0)</f>
        <v>0</v>
      </c>
      <c r="X159" s="14" cm="1">
        <f t="array" ref="X159">INT(SUMPRODUCT(--ISNUMBER(SEARCH(voting,C159)))&gt;0)</f>
        <v>0</v>
      </c>
      <c r="Y159" s="14" cm="1">
        <f t="array" ref="Y159">INT(SUMPRODUCT(--ISNUMBER(SEARCH(democrattrigger,C159)))&gt;0)</f>
        <v>1</v>
      </c>
      <c r="Z159" s="14" cm="1">
        <f t="array" ref="Z159">INT(SUMPRODUCT(--ISNUMBER(SEARCH(bipartisan,C159)))&gt;0)</f>
        <v>0</v>
      </c>
      <c r="AA159" s="14">
        <f t="shared" si="2"/>
        <v>0</v>
      </c>
      <c r="AB159" s="14"/>
      <c r="AC159" s="30" t="s">
        <v>223</v>
      </c>
      <c r="AD159" s="37" t="s">
        <v>223</v>
      </c>
    </row>
    <row r="160" spans="1:30" x14ac:dyDescent="0.25">
      <c r="A160" s="36">
        <v>1145</v>
      </c>
      <c r="B160" s="14" t="s">
        <v>2317</v>
      </c>
      <c r="C160" s="14" t="s">
        <v>2318</v>
      </c>
      <c r="D160" s="18">
        <v>44115</v>
      </c>
      <c r="E160" s="14" t="s">
        <v>30</v>
      </c>
      <c r="F160" s="14">
        <v>5059</v>
      </c>
      <c r="G160" s="14">
        <v>1376</v>
      </c>
      <c r="H160" s="14">
        <v>6</v>
      </c>
      <c r="I160" s="14">
        <v>3</v>
      </c>
      <c r="J160" s="14" t="s">
        <v>204</v>
      </c>
      <c r="K160" s="14" cm="1">
        <f t="array" ref="K160">INT(SUMPRODUCT(--ISNUMBER(SEARCH(economy,C160)))&gt;0)</f>
        <v>0</v>
      </c>
      <c r="L160" s="14" cm="1">
        <f t="array" ref="L160">INT(SUMPRODUCT(--ISNUMBER(SEARCH(healthcare,C160)))&gt;0)</f>
        <v>1</v>
      </c>
      <c r="M160" s="14" cm="1">
        <f t="array" ref="M160">INT(SUMPRODUCT(--ISNUMBER(SEARCH(supreme,C160)))&gt;0)</f>
        <v>0</v>
      </c>
      <c r="N160" s="14" cm="1">
        <f t="array" ref="N160">INT(SUMPRODUCT(--ISNUMBER(SEARCH(covid,C160)))&gt;0)</f>
        <v>0</v>
      </c>
      <c r="O160" s="14" cm="1">
        <f t="array" ref="O160">INT(SUMPRODUCT(--ISNUMBER(SEARCH(violent,C160)))&gt;0)</f>
        <v>0</v>
      </c>
      <c r="P160" s="14" cm="1">
        <f t="array" ref="P160">INT(SUMPRODUCT(--ISNUMBER(SEARCH(foreign,C160)))&gt;0)</f>
        <v>0</v>
      </c>
      <c r="Q160" s="14" cm="1">
        <f t="array" ref="Q160">INT(SUMPRODUCT(--ISNUMBER(SEARCH(gun,C160)))&gt;0)</f>
        <v>0</v>
      </c>
      <c r="R160" s="14" cm="1">
        <f t="array" ref="R160">INT(SUMPRODUCT(--ISNUMBER(SEARCH(race,C160)))&gt;0)</f>
        <v>0</v>
      </c>
      <c r="S160" s="14" cm="1">
        <f t="array" ref="S160">INT(SUMPRODUCT(--ISNUMBER(SEARCH(immigration,C160)))&gt;0)</f>
        <v>0</v>
      </c>
      <c r="T160" s="14" cm="1">
        <f t="array" ref="T160">INT(SUMPRODUCT(--ISNUMBER(SEARCH(econineq,C161)))&gt;0)</f>
        <v>0</v>
      </c>
      <c r="U160" s="14" cm="1">
        <f t="array" ref="U160">INT(SUMPRODUCT(--ISNUMBER(SEARCH(climate,C160)))&gt;0)</f>
        <v>0</v>
      </c>
      <c r="V160" s="14" cm="1">
        <f t="array" ref="V160">INT(SUMPRODUCT(--ISNUMBER(SEARCH(abortion,C160)))&gt;0)</f>
        <v>0</v>
      </c>
      <c r="W160" s="14" cm="1">
        <f t="array" ref="W160">INT(SUMPRODUCT(--ISNUMBER(SEARCH(trump,C160)))&gt;0)</f>
        <v>0</v>
      </c>
      <c r="X160" s="14" cm="1">
        <f t="array" ref="X160">INT(SUMPRODUCT(--ISNUMBER(SEARCH(voting,C160)))&gt;0)</f>
        <v>0</v>
      </c>
      <c r="Y160" s="14" cm="1">
        <f t="array" ref="Y160">INT(SUMPRODUCT(--ISNUMBER(SEARCH(democrattrigger,C160)))&gt;0)</f>
        <v>0</v>
      </c>
      <c r="Z160" s="14" cm="1">
        <f t="array" ref="Z160">INT(SUMPRODUCT(--ISNUMBER(SEARCH(bipartisan,C160)))&gt;0)</f>
        <v>0</v>
      </c>
      <c r="AA160" s="14">
        <f t="shared" si="2"/>
        <v>0</v>
      </c>
      <c r="AB160" s="14"/>
      <c r="AC160" s="30" t="s">
        <v>223</v>
      </c>
      <c r="AD160" s="37" t="s">
        <v>223</v>
      </c>
    </row>
    <row r="161" spans="1:30" x14ac:dyDescent="0.25">
      <c r="A161" s="36">
        <v>1146</v>
      </c>
      <c r="B161" s="14" t="s">
        <v>2319</v>
      </c>
      <c r="C161" s="14" t="s">
        <v>2320</v>
      </c>
      <c r="D161" s="18">
        <v>44115</v>
      </c>
      <c r="E161" s="14" t="s">
        <v>30</v>
      </c>
      <c r="F161" s="14">
        <v>384</v>
      </c>
      <c r="G161" s="14">
        <v>167</v>
      </c>
      <c r="H161" s="14">
        <v>6</v>
      </c>
      <c r="I161" s="14">
        <v>3</v>
      </c>
      <c r="J161" s="14" t="s">
        <v>204</v>
      </c>
      <c r="K161" s="14" cm="1">
        <f t="array" ref="K161">INT(SUMPRODUCT(--ISNUMBER(SEARCH(economy,C161)))&gt;0)</f>
        <v>0</v>
      </c>
      <c r="L161" s="14" cm="1">
        <f t="array" ref="L161">INT(SUMPRODUCT(--ISNUMBER(SEARCH(healthcare,C161)))&gt;0)</f>
        <v>0</v>
      </c>
      <c r="M161" s="14" cm="1">
        <f t="array" ref="M161">INT(SUMPRODUCT(--ISNUMBER(SEARCH(supreme,C161)))&gt;0)</f>
        <v>0</v>
      </c>
      <c r="N161" s="14" cm="1">
        <f t="array" ref="N161">INT(SUMPRODUCT(--ISNUMBER(SEARCH(covid,C161)))&gt;0)</f>
        <v>0</v>
      </c>
      <c r="O161" s="14" cm="1">
        <f t="array" ref="O161">INT(SUMPRODUCT(--ISNUMBER(SEARCH(violent,C161)))&gt;0)</f>
        <v>0</v>
      </c>
      <c r="P161" s="14" cm="1">
        <f t="array" ref="P161">INT(SUMPRODUCT(--ISNUMBER(SEARCH(foreign,C161)))&gt;0)</f>
        <v>0</v>
      </c>
      <c r="Q161" s="14" cm="1">
        <f t="array" ref="Q161">INT(SUMPRODUCT(--ISNUMBER(SEARCH(gun,C161)))&gt;0)</f>
        <v>0</v>
      </c>
      <c r="R161" s="14" cm="1">
        <f t="array" ref="R161">INT(SUMPRODUCT(--ISNUMBER(SEARCH(race,C161)))&gt;0)</f>
        <v>0</v>
      </c>
      <c r="S161" s="14" cm="1">
        <f t="array" ref="S161">INT(SUMPRODUCT(--ISNUMBER(SEARCH(immigration,C161)))&gt;0)</f>
        <v>0</v>
      </c>
      <c r="T161" s="14" cm="1">
        <f t="array" ref="T161">INT(SUMPRODUCT(--ISNUMBER(SEARCH(econineq,C162)))&gt;0)</f>
        <v>0</v>
      </c>
      <c r="U161" s="14" cm="1">
        <f t="array" ref="U161">INT(SUMPRODUCT(--ISNUMBER(SEARCH(climate,C161)))&gt;0)</f>
        <v>0</v>
      </c>
      <c r="V161" s="14" cm="1">
        <f t="array" ref="V161">INT(SUMPRODUCT(--ISNUMBER(SEARCH(abortion,C161)))&gt;0)</f>
        <v>0</v>
      </c>
      <c r="W161" s="14" cm="1">
        <f t="array" ref="W161">INT(SUMPRODUCT(--ISNUMBER(SEARCH(trump,C161)))&gt;0)</f>
        <v>0</v>
      </c>
      <c r="X161" s="14" cm="1">
        <f t="array" ref="X161">INT(SUMPRODUCT(--ISNUMBER(SEARCH(voting,C161)))&gt;0)</f>
        <v>1</v>
      </c>
      <c r="Y161" s="14" cm="1">
        <f t="array" ref="Y161">INT(SUMPRODUCT(--ISNUMBER(SEARCH(democrattrigger,C161)))&gt;0)</f>
        <v>0</v>
      </c>
      <c r="Z161" s="14" cm="1">
        <f t="array" ref="Z161">INT(SUMPRODUCT(--ISNUMBER(SEARCH(bipartisan,C161)))&gt;0)</f>
        <v>0</v>
      </c>
      <c r="AA161" s="14">
        <f t="shared" si="2"/>
        <v>0</v>
      </c>
      <c r="AB161" s="14"/>
      <c r="AC161" s="30" t="s">
        <v>223</v>
      </c>
      <c r="AD161" s="37" t="s">
        <v>223</v>
      </c>
    </row>
    <row r="162" spans="1:30" x14ac:dyDescent="0.25">
      <c r="A162" s="36">
        <v>1147</v>
      </c>
      <c r="B162" s="14" t="s">
        <v>2321</v>
      </c>
      <c r="C162" s="14" t="s">
        <v>2322</v>
      </c>
      <c r="D162" s="18">
        <v>44115</v>
      </c>
      <c r="E162" s="14" t="s">
        <v>30</v>
      </c>
      <c r="F162" s="14">
        <v>639</v>
      </c>
      <c r="G162" s="14">
        <v>190</v>
      </c>
      <c r="H162" s="14">
        <v>6</v>
      </c>
      <c r="I162" s="14">
        <v>3</v>
      </c>
      <c r="J162" s="14" t="s">
        <v>204</v>
      </c>
      <c r="K162" s="14" cm="1">
        <f t="array" ref="K162">INT(SUMPRODUCT(--ISNUMBER(SEARCH(economy,C162)))&gt;0)</f>
        <v>1</v>
      </c>
      <c r="L162" s="14" cm="1">
        <f t="array" ref="L162">INT(SUMPRODUCT(--ISNUMBER(SEARCH(healthcare,C162)))&gt;0)</f>
        <v>1</v>
      </c>
      <c r="M162" s="14" cm="1">
        <f t="array" ref="M162">INT(SUMPRODUCT(--ISNUMBER(SEARCH(supreme,C162)))&gt;0)</f>
        <v>0</v>
      </c>
      <c r="N162" s="14" cm="1">
        <f t="array" ref="N162">INT(SUMPRODUCT(--ISNUMBER(SEARCH(covid,C162)))&gt;0)</f>
        <v>0</v>
      </c>
      <c r="O162" s="14" cm="1">
        <f t="array" ref="O162">INT(SUMPRODUCT(--ISNUMBER(SEARCH(violent,C162)))&gt;0)</f>
        <v>0</v>
      </c>
      <c r="P162" s="14" cm="1">
        <f t="array" ref="P162">INT(SUMPRODUCT(--ISNUMBER(SEARCH(foreign,C162)))&gt;0)</f>
        <v>0</v>
      </c>
      <c r="Q162" s="14" cm="1">
        <f t="array" ref="Q162">INT(SUMPRODUCT(--ISNUMBER(SEARCH(gun,C162)))&gt;0)</f>
        <v>0</v>
      </c>
      <c r="R162" s="14" cm="1">
        <f t="array" ref="R162">INT(SUMPRODUCT(--ISNUMBER(SEARCH(race,C162)))&gt;0)</f>
        <v>0</v>
      </c>
      <c r="S162" s="14" cm="1">
        <f t="array" ref="S162">INT(SUMPRODUCT(--ISNUMBER(SEARCH(immigration,C162)))&gt;0)</f>
        <v>0</v>
      </c>
      <c r="T162" s="14" cm="1">
        <f t="array" ref="T162">INT(SUMPRODUCT(--ISNUMBER(SEARCH(econineq,C163)))&gt;0)</f>
        <v>0</v>
      </c>
      <c r="U162" s="14" cm="1">
        <f t="array" ref="U162">INT(SUMPRODUCT(--ISNUMBER(SEARCH(climate,C162)))&gt;0)</f>
        <v>1</v>
      </c>
      <c r="V162" s="14" cm="1">
        <f t="array" ref="V162">INT(SUMPRODUCT(--ISNUMBER(SEARCH(abortion,C162)))&gt;0)</f>
        <v>0</v>
      </c>
      <c r="W162" s="14" cm="1">
        <f t="array" ref="W162">INT(SUMPRODUCT(--ISNUMBER(SEARCH(trump,C162)))&gt;0)</f>
        <v>0</v>
      </c>
      <c r="X162" s="14" cm="1">
        <f t="array" ref="X162">INT(SUMPRODUCT(--ISNUMBER(SEARCH(voting,C162)))&gt;0)</f>
        <v>0</v>
      </c>
      <c r="Y162" s="14" cm="1">
        <f t="array" ref="Y162">INT(SUMPRODUCT(--ISNUMBER(SEARCH(democrattrigger,C162)))&gt;0)</f>
        <v>0</v>
      </c>
      <c r="Z162" s="14" cm="1">
        <f t="array" ref="Z162">INT(SUMPRODUCT(--ISNUMBER(SEARCH(bipartisan,C162)))&gt;0)</f>
        <v>0</v>
      </c>
      <c r="AA162" s="14">
        <f t="shared" si="2"/>
        <v>0</v>
      </c>
      <c r="AB162" s="14"/>
      <c r="AC162" s="30">
        <v>1</v>
      </c>
      <c r="AD162" s="37">
        <v>0</v>
      </c>
    </row>
    <row r="163" spans="1:30" x14ac:dyDescent="0.25">
      <c r="A163" s="36">
        <v>1148</v>
      </c>
      <c r="B163" s="14" t="s">
        <v>2323</v>
      </c>
      <c r="C163" s="14" t="s">
        <v>2324</v>
      </c>
      <c r="D163" s="18">
        <v>44114</v>
      </c>
      <c r="E163" s="14" t="s">
        <v>30</v>
      </c>
      <c r="F163" s="14">
        <v>13174</v>
      </c>
      <c r="G163" s="14">
        <v>4764</v>
      </c>
      <c r="H163" s="14">
        <v>6</v>
      </c>
      <c r="I163" s="14">
        <v>3</v>
      </c>
      <c r="J163" s="14" t="s">
        <v>204</v>
      </c>
      <c r="K163" s="14" cm="1">
        <f t="array" ref="K163">INT(SUMPRODUCT(--ISNUMBER(SEARCH(economy,C163)))&gt;0)</f>
        <v>0</v>
      </c>
      <c r="L163" s="14" cm="1">
        <f t="array" ref="L163">INT(SUMPRODUCT(--ISNUMBER(SEARCH(healthcare,C163)))&gt;0)</f>
        <v>0</v>
      </c>
      <c r="M163" s="14" cm="1">
        <f t="array" ref="M163">INT(SUMPRODUCT(--ISNUMBER(SEARCH(supreme,C163)))&gt;0)</f>
        <v>0</v>
      </c>
      <c r="N163" s="14" cm="1">
        <f t="array" ref="N163">INT(SUMPRODUCT(--ISNUMBER(SEARCH(covid,C163)))&gt;0)</f>
        <v>0</v>
      </c>
      <c r="O163" s="14" cm="1">
        <f t="array" ref="O163">INT(SUMPRODUCT(--ISNUMBER(SEARCH(violent,C163)))&gt;0)</f>
        <v>0</v>
      </c>
      <c r="P163" s="14" cm="1">
        <f t="array" ref="P163">INT(SUMPRODUCT(--ISNUMBER(SEARCH(foreign,C163)))&gt;0)</f>
        <v>1</v>
      </c>
      <c r="Q163" s="14" cm="1">
        <f t="array" ref="Q163">INT(SUMPRODUCT(--ISNUMBER(SEARCH(gun,C163)))&gt;0)</f>
        <v>0</v>
      </c>
      <c r="R163" s="14" cm="1">
        <f t="array" ref="R163">INT(SUMPRODUCT(--ISNUMBER(SEARCH(race,C163)))&gt;0)</f>
        <v>0</v>
      </c>
      <c r="S163" s="14" cm="1">
        <f t="array" ref="S163">INT(SUMPRODUCT(--ISNUMBER(SEARCH(immigration,C163)))&gt;0)</f>
        <v>0</v>
      </c>
      <c r="T163" s="14" cm="1">
        <f t="array" ref="T163">INT(SUMPRODUCT(--ISNUMBER(SEARCH(econineq,C164)))&gt;0)</f>
        <v>0</v>
      </c>
      <c r="U163" s="14" cm="1">
        <f t="array" ref="U163">INT(SUMPRODUCT(--ISNUMBER(SEARCH(climate,C163)))&gt;0)</f>
        <v>1</v>
      </c>
      <c r="V163" s="14" cm="1">
        <f t="array" ref="V163">INT(SUMPRODUCT(--ISNUMBER(SEARCH(abortion,C163)))&gt;0)</f>
        <v>0</v>
      </c>
      <c r="W163" s="14" cm="1">
        <f t="array" ref="W163">INT(SUMPRODUCT(--ISNUMBER(SEARCH(trump,C163)))&gt;0)</f>
        <v>0</v>
      </c>
      <c r="X163" s="14" cm="1">
        <f t="array" ref="X163">INT(SUMPRODUCT(--ISNUMBER(SEARCH(voting,C163)))&gt;0)</f>
        <v>0</v>
      </c>
      <c r="Y163" s="14" cm="1">
        <f t="array" ref="Y163">INT(SUMPRODUCT(--ISNUMBER(SEARCH(democrattrigger,C163)))&gt;0)</f>
        <v>1</v>
      </c>
      <c r="Z163" s="14" cm="1">
        <f t="array" ref="Z163">INT(SUMPRODUCT(--ISNUMBER(SEARCH(bipartisan,C163)))&gt;0)</f>
        <v>0</v>
      </c>
      <c r="AA163" s="14">
        <f t="shared" si="2"/>
        <v>0</v>
      </c>
      <c r="AB163" s="14"/>
      <c r="AC163" s="30">
        <v>0</v>
      </c>
      <c r="AD163" s="37">
        <v>1</v>
      </c>
    </row>
    <row r="164" spans="1:30" x14ac:dyDescent="0.25">
      <c r="A164" s="36">
        <v>1149</v>
      </c>
      <c r="B164" s="14" t="s">
        <v>2325</v>
      </c>
      <c r="C164" s="14" t="s">
        <v>2326</v>
      </c>
      <c r="D164" s="18">
        <v>44114</v>
      </c>
      <c r="E164" s="14" t="s">
        <v>30</v>
      </c>
      <c r="F164" s="14">
        <v>834</v>
      </c>
      <c r="G164" s="14">
        <v>254</v>
      </c>
      <c r="H164" s="14">
        <v>6</v>
      </c>
      <c r="I164" s="14">
        <v>3</v>
      </c>
      <c r="J164" s="14" t="s">
        <v>204</v>
      </c>
      <c r="K164" s="14" cm="1">
        <f t="array" ref="K164">INT(SUMPRODUCT(--ISNUMBER(SEARCH(economy,C164)))&gt;0)</f>
        <v>1</v>
      </c>
      <c r="L164" s="14" cm="1">
        <f t="array" ref="L164">INT(SUMPRODUCT(--ISNUMBER(SEARCH(healthcare,C164)))&gt;0)</f>
        <v>0</v>
      </c>
      <c r="M164" s="14" cm="1">
        <f t="array" ref="M164">INT(SUMPRODUCT(--ISNUMBER(SEARCH(supreme,C164)))&gt;0)</f>
        <v>0</v>
      </c>
      <c r="N164" s="14" cm="1">
        <f t="array" ref="N164">INT(SUMPRODUCT(--ISNUMBER(SEARCH(covid,C164)))&gt;0)</f>
        <v>0</v>
      </c>
      <c r="O164" s="14" cm="1">
        <f t="array" ref="O164">INT(SUMPRODUCT(--ISNUMBER(SEARCH(violent,C164)))&gt;0)</f>
        <v>0</v>
      </c>
      <c r="P164" s="14" cm="1">
        <f t="array" ref="P164">INT(SUMPRODUCT(--ISNUMBER(SEARCH(foreign,C164)))&gt;0)</f>
        <v>0</v>
      </c>
      <c r="Q164" s="14" cm="1">
        <f t="array" ref="Q164">INT(SUMPRODUCT(--ISNUMBER(SEARCH(gun,C164)))&gt;0)</f>
        <v>0</v>
      </c>
      <c r="R164" s="14" cm="1">
        <f t="array" ref="R164">INT(SUMPRODUCT(--ISNUMBER(SEARCH(race,C164)))&gt;0)</f>
        <v>0</v>
      </c>
      <c r="S164" s="14" cm="1">
        <f t="array" ref="S164">INT(SUMPRODUCT(--ISNUMBER(SEARCH(immigration,C164)))&gt;0)</f>
        <v>0</v>
      </c>
      <c r="T164" s="14" cm="1">
        <f t="array" ref="T164">INT(SUMPRODUCT(--ISNUMBER(SEARCH(econineq,C165)))&gt;0)</f>
        <v>0</v>
      </c>
      <c r="U164" s="14" cm="1">
        <f t="array" ref="U164">INT(SUMPRODUCT(--ISNUMBER(SEARCH(climate,C164)))&gt;0)</f>
        <v>0</v>
      </c>
      <c r="V164" s="14" cm="1">
        <f t="array" ref="V164">INT(SUMPRODUCT(--ISNUMBER(SEARCH(abortion,C164)))&gt;0)</f>
        <v>0</v>
      </c>
      <c r="W164" s="14" cm="1">
        <f t="array" ref="W164">INT(SUMPRODUCT(--ISNUMBER(SEARCH(trump,C164)))&gt;0)</f>
        <v>0</v>
      </c>
      <c r="X164" s="14" cm="1">
        <f t="array" ref="X164">INT(SUMPRODUCT(--ISNUMBER(SEARCH(voting,C164)))&gt;0)</f>
        <v>0</v>
      </c>
      <c r="Y164" s="14" cm="1">
        <f t="array" ref="Y164">INT(SUMPRODUCT(--ISNUMBER(SEARCH(democrattrigger,C164)))&gt;0)</f>
        <v>0</v>
      </c>
      <c r="Z164" s="14" cm="1">
        <f t="array" ref="Z164">INT(SUMPRODUCT(--ISNUMBER(SEARCH(bipartisan,C164)))&gt;0)</f>
        <v>0</v>
      </c>
      <c r="AA164" s="14">
        <f t="shared" si="2"/>
        <v>0</v>
      </c>
      <c r="AB164" s="14"/>
      <c r="AC164" s="30">
        <v>1</v>
      </c>
      <c r="AD164" s="37">
        <v>0</v>
      </c>
    </row>
    <row r="165" spans="1:30" x14ac:dyDescent="0.25">
      <c r="A165" s="36">
        <v>1150</v>
      </c>
      <c r="B165" s="14" t="s">
        <v>2327</v>
      </c>
      <c r="C165" s="14" t="s">
        <v>2328</v>
      </c>
      <c r="D165" s="18">
        <v>44114</v>
      </c>
      <c r="E165" s="14" t="s">
        <v>30</v>
      </c>
      <c r="F165" s="14">
        <v>444</v>
      </c>
      <c r="G165" s="14">
        <v>185</v>
      </c>
      <c r="H165" s="14">
        <v>6</v>
      </c>
      <c r="I165" s="14">
        <v>3</v>
      </c>
      <c r="J165" s="14" t="s">
        <v>204</v>
      </c>
      <c r="K165" s="14" cm="1">
        <f t="array" ref="K165">INT(SUMPRODUCT(--ISNUMBER(SEARCH(economy,C165)))&gt;0)</f>
        <v>1</v>
      </c>
      <c r="L165" s="14" cm="1">
        <f t="array" ref="L165">INT(SUMPRODUCT(--ISNUMBER(SEARCH(healthcare,C165)))&gt;0)</f>
        <v>1</v>
      </c>
      <c r="M165" s="14" cm="1">
        <f t="array" ref="M165">INT(SUMPRODUCT(--ISNUMBER(SEARCH(supreme,C165)))&gt;0)</f>
        <v>0</v>
      </c>
      <c r="N165" s="14" cm="1">
        <f t="array" ref="N165">INT(SUMPRODUCT(--ISNUMBER(SEARCH(covid,C165)))&gt;0)</f>
        <v>1</v>
      </c>
      <c r="O165" s="14" cm="1">
        <f t="array" ref="O165">INT(SUMPRODUCT(--ISNUMBER(SEARCH(violent,C165)))&gt;0)</f>
        <v>0</v>
      </c>
      <c r="P165" s="14" cm="1">
        <f t="array" ref="P165">INT(SUMPRODUCT(--ISNUMBER(SEARCH(foreign,C165)))&gt;0)</f>
        <v>0</v>
      </c>
      <c r="Q165" s="14" cm="1">
        <f t="array" ref="Q165">INT(SUMPRODUCT(--ISNUMBER(SEARCH(gun,C165)))&gt;0)</f>
        <v>0</v>
      </c>
      <c r="R165" s="14" cm="1">
        <f t="array" ref="R165">INT(SUMPRODUCT(--ISNUMBER(SEARCH(race,C165)))&gt;0)</f>
        <v>0</v>
      </c>
      <c r="S165" s="14" cm="1">
        <f t="array" ref="S165">INT(SUMPRODUCT(--ISNUMBER(SEARCH(immigration,C165)))&gt;0)</f>
        <v>0</v>
      </c>
      <c r="T165" s="14" cm="1">
        <f t="array" ref="T165">INT(SUMPRODUCT(--ISNUMBER(SEARCH(econineq,C166)))&gt;0)</f>
        <v>0</v>
      </c>
      <c r="U165" s="14" cm="1">
        <f t="array" ref="U165">INT(SUMPRODUCT(--ISNUMBER(SEARCH(climate,C165)))&gt;0)</f>
        <v>0</v>
      </c>
      <c r="V165" s="14" cm="1">
        <f t="array" ref="V165">INT(SUMPRODUCT(--ISNUMBER(SEARCH(abortion,C165)))&gt;0)</f>
        <v>0</v>
      </c>
      <c r="W165" s="14" cm="1">
        <f t="array" ref="W165">INT(SUMPRODUCT(--ISNUMBER(SEARCH(trump,C165)))&gt;0)</f>
        <v>0</v>
      </c>
      <c r="X165" s="14" cm="1">
        <f t="array" ref="X165">INT(SUMPRODUCT(--ISNUMBER(SEARCH(voting,C165)))&gt;0)</f>
        <v>0</v>
      </c>
      <c r="Y165" s="14" cm="1">
        <f t="array" ref="Y165">INT(SUMPRODUCT(--ISNUMBER(SEARCH(democrattrigger,C165)))&gt;0)</f>
        <v>0</v>
      </c>
      <c r="Z165" s="14" cm="1">
        <f t="array" ref="Z165">INT(SUMPRODUCT(--ISNUMBER(SEARCH(bipartisan,C165)))&gt;0)</f>
        <v>0</v>
      </c>
      <c r="AA165" s="14">
        <f t="shared" si="2"/>
        <v>0</v>
      </c>
      <c r="AB165" s="14"/>
      <c r="AC165" s="30" t="s">
        <v>223</v>
      </c>
      <c r="AD165" s="37" t="s">
        <v>223</v>
      </c>
    </row>
    <row r="166" spans="1:30" x14ac:dyDescent="0.25">
      <c r="A166" s="36">
        <v>1151</v>
      </c>
      <c r="B166" s="14" t="s">
        <v>2329</v>
      </c>
      <c r="C166" s="14" t="s">
        <v>2330</v>
      </c>
      <c r="D166" s="18">
        <v>44114</v>
      </c>
      <c r="E166" s="14" t="s">
        <v>30</v>
      </c>
      <c r="F166" s="14">
        <v>338</v>
      </c>
      <c r="G166" s="14">
        <v>103</v>
      </c>
      <c r="H166" s="14">
        <v>6</v>
      </c>
      <c r="I166" s="14">
        <v>3</v>
      </c>
      <c r="J166" s="14" t="s">
        <v>204</v>
      </c>
      <c r="K166" s="14" cm="1">
        <f t="array" ref="K166">INT(SUMPRODUCT(--ISNUMBER(SEARCH(economy,C166)))&gt;0)</f>
        <v>0</v>
      </c>
      <c r="L166" s="14" cm="1">
        <f t="array" ref="L166">INT(SUMPRODUCT(--ISNUMBER(SEARCH(healthcare,C166)))&gt;0)</f>
        <v>0</v>
      </c>
      <c r="M166" s="14" cm="1">
        <f t="array" ref="M166">INT(SUMPRODUCT(--ISNUMBER(SEARCH(supreme,C166)))&gt;0)</f>
        <v>0</v>
      </c>
      <c r="N166" s="14" cm="1">
        <f t="array" ref="N166">INT(SUMPRODUCT(--ISNUMBER(SEARCH(covid,C166)))&gt;0)</f>
        <v>0</v>
      </c>
      <c r="O166" s="14" cm="1">
        <f t="array" ref="O166">INT(SUMPRODUCT(--ISNUMBER(SEARCH(violent,C166)))&gt;0)</f>
        <v>0</v>
      </c>
      <c r="P166" s="14" cm="1">
        <f t="array" ref="P166">INT(SUMPRODUCT(--ISNUMBER(SEARCH(foreign,C166)))&gt;0)</f>
        <v>0</v>
      </c>
      <c r="Q166" s="14" cm="1">
        <f t="array" ref="Q166">INT(SUMPRODUCT(--ISNUMBER(SEARCH(gun,C166)))&gt;0)</f>
        <v>0</v>
      </c>
      <c r="R166" s="14" cm="1">
        <f t="array" ref="R166">INT(SUMPRODUCT(--ISNUMBER(SEARCH(race,C166)))&gt;0)</f>
        <v>0</v>
      </c>
      <c r="S166" s="14" cm="1">
        <f t="array" ref="S166">INT(SUMPRODUCT(--ISNUMBER(SEARCH(immigration,C166)))&gt;0)</f>
        <v>0</v>
      </c>
      <c r="T166" s="14" cm="1">
        <f t="array" ref="T166">INT(SUMPRODUCT(--ISNUMBER(SEARCH(econineq,C167)))&gt;0)</f>
        <v>0</v>
      </c>
      <c r="U166" s="14" cm="1">
        <f t="array" ref="U166">INT(SUMPRODUCT(--ISNUMBER(SEARCH(climate,C166)))&gt;0)</f>
        <v>0</v>
      </c>
      <c r="V166" s="14" cm="1">
        <f t="array" ref="V166">INT(SUMPRODUCT(--ISNUMBER(SEARCH(abortion,C166)))&gt;0)</f>
        <v>0</v>
      </c>
      <c r="W166" s="14" cm="1">
        <f t="array" ref="W166">INT(SUMPRODUCT(--ISNUMBER(SEARCH(trump,C166)))&gt;0)</f>
        <v>0</v>
      </c>
      <c r="X166" s="14" cm="1">
        <f t="array" ref="X166">INT(SUMPRODUCT(--ISNUMBER(SEARCH(voting,C166)))&gt;0)</f>
        <v>0</v>
      </c>
      <c r="Y166" s="14" cm="1">
        <f t="array" ref="Y166">INT(SUMPRODUCT(--ISNUMBER(SEARCH(democrattrigger,C166)))&gt;0)</f>
        <v>0</v>
      </c>
      <c r="Z166" s="14" cm="1">
        <f t="array" ref="Z166">INT(SUMPRODUCT(--ISNUMBER(SEARCH(bipartisan,C166)))&gt;0)</f>
        <v>0</v>
      </c>
      <c r="AA166" s="14">
        <f t="shared" si="2"/>
        <v>1</v>
      </c>
      <c r="AB166" s="14"/>
      <c r="AC166" s="30">
        <v>1</v>
      </c>
      <c r="AD166" s="37">
        <v>0</v>
      </c>
    </row>
    <row r="167" spans="1:30" x14ac:dyDescent="0.25">
      <c r="A167" s="36">
        <v>1152</v>
      </c>
      <c r="B167" s="14" t="s">
        <v>2331</v>
      </c>
      <c r="C167" s="14" t="s">
        <v>2332</v>
      </c>
      <c r="D167" s="18">
        <v>44114</v>
      </c>
      <c r="E167" s="14" t="s">
        <v>30</v>
      </c>
      <c r="F167" s="14">
        <v>721</v>
      </c>
      <c r="G167" s="14">
        <v>213</v>
      </c>
      <c r="H167" s="14">
        <v>6</v>
      </c>
      <c r="I167" s="14">
        <v>3</v>
      </c>
      <c r="J167" s="14" t="s">
        <v>204</v>
      </c>
      <c r="K167" s="14" cm="1">
        <f t="array" ref="K167">INT(SUMPRODUCT(--ISNUMBER(SEARCH(economy,C167)))&gt;0)</f>
        <v>0</v>
      </c>
      <c r="L167" s="14" cm="1">
        <f t="array" ref="L167">INT(SUMPRODUCT(--ISNUMBER(SEARCH(healthcare,C167)))&gt;0)</f>
        <v>0</v>
      </c>
      <c r="M167" s="14" cm="1">
        <f t="array" ref="M167">INT(SUMPRODUCT(--ISNUMBER(SEARCH(supreme,C167)))&gt;0)</f>
        <v>0</v>
      </c>
      <c r="N167" s="14" cm="1">
        <f t="array" ref="N167">INT(SUMPRODUCT(--ISNUMBER(SEARCH(covid,C167)))&gt;0)</f>
        <v>0</v>
      </c>
      <c r="O167" s="14" cm="1">
        <f t="array" ref="O167">INT(SUMPRODUCT(--ISNUMBER(SEARCH(violent,C167)))&gt;0)</f>
        <v>0</v>
      </c>
      <c r="P167" s="14" cm="1">
        <f t="array" ref="P167">INT(SUMPRODUCT(--ISNUMBER(SEARCH(foreign,C167)))&gt;0)</f>
        <v>0</v>
      </c>
      <c r="Q167" s="14" cm="1">
        <f t="array" ref="Q167">INT(SUMPRODUCT(--ISNUMBER(SEARCH(gun,C167)))&gt;0)</f>
        <v>0</v>
      </c>
      <c r="R167" s="14" cm="1">
        <f t="array" ref="R167">INT(SUMPRODUCT(--ISNUMBER(SEARCH(race,C167)))&gt;0)</f>
        <v>0</v>
      </c>
      <c r="S167" s="14" cm="1">
        <f t="array" ref="S167">INT(SUMPRODUCT(--ISNUMBER(SEARCH(immigration,C167)))&gt;0)</f>
        <v>0</v>
      </c>
      <c r="T167" s="14" cm="1">
        <f t="array" ref="T167">INT(SUMPRODUCT(--ISNUMBER(SEARCH(econineq,C168)))&gt;0)</f>
        <v>0</v>
      </c>
      <c r="U167" s="14" cm="1">
        <f t="array" ref="U167">INT(SUMPRODUCT(--ISNUMBER(SEARCH(climate,C167)))&gt;0)</f>
        <v>0</v>
      </c>
      <c r="V167" s="14" cm="1">
        <f t="array" ref="V167">INT(SUMPRODUCT(--ISNUMBER(SEARCH(abortion,C167)))&gt;0)</f>
        <v>0</v>
      </c>
      <c r="W167" s="14" cm="1">
        <f t="array" ref="W167">INT(SUMPRODUCT(--ISNUMBER(SEARCH(trump,C167)))&gt;0)</f>
        <v>0</v>
      </c>
      <c r="X167" s="14" cm="1">
        <f t="array" ref="X167">INT(SUMPRODUCT(--ISNUMBER(SEARCH(voting,C167)))&gt;0)</f>
        <v>0</v>
      </c>
      <c r="Y167" s="14" cm="1">
        <f t="array" ref="Y167">INT(SUMPRODUCT(--ISNUMBER(SEARCH(democrattrigger,C167)))&gt;0)</f>
        <v>0</v>
      </c>
      <c r="Z167" s="14" cm="1">
        <f t="array" ref="Z167">INT(SUMPRODUCT(--ISNUMBER(SEARCH(bipartisan,C167)))&gt;0)</f>
        <v>0</v>
      </c>
      <c r="AA167" s="14">
        <f t="shared" si="2"/>
        <v>1</v>
      </c>
      <c r="AB167" s="14"/>
      <c r="AC167" s="30">
        <v>0</v>
      </c>
      <c r="AD167" s="37">
        <v>1</v>
      </c>
    </row>
    <row r="168" spans="1:30" x14ac:dyDescent="0.25">
      <c r="A168" s="36">
        <v>1153</v>
      </c>
      <c r="B168" s="14" t="s">
        <v>2333</v>
      </c>
      <c r="C168" s="14" t="s">
        <v>2334</v>
      </c>
      <c r="D168" s="18">
        <v>44114</v>
      </c>
      <c r="E168" s="14" t="s">
        <v>30</v>
      </c>
      <c r="F168" s="14">
        <v>1014</v>
      </c>
      <c r="G168" s="14">
        <v>390</v>
      </c>
      <c r="H168" s="14">
        <v>6</v>
      </c>
      <c r="I168" s="14">
        <v>3</v>
      </c>
      <c r="J168" s="14" t="s">
        <v>204</v>
      </c>
      <c r="K168" s="14" cm="1">
        <f t="array" ref="K168">INT(SUMPRODUCT(--ISNUMBER(SEARCH(economy,C168)))&gt;0)</f>
        <v>0</v>
      </c>
      <c r="L168" s="14" cm="1">
        <f t="array" ref="L168">INT(SUMPRODUCT(--ISNUMBER(SEARCH(healthcare,C168)))&gt;0)</f>
        <v>1</v>
      </c>
      <c r="M168" s="14" cm="1">
        <f t="array" ref="M168">INT(SUMPRODUCT(--ISNUMBER(SEARCH(supreme,C168)))&gt;0)</f>
        <v>0</v>
      </c>
      <c r="N168" s="14" cm="1">
        <f t="array" ref="N168">INT(SUMPRODUCT(--ISNUMBER(SEARCH(covid,C168)))&gt;0)</f>
        <v>0</v>
      </c>
      <c r="O168" s="14" cm="1">
        <f t="array" ref="O168">INT(SUMPRODUCT(--ISNUMBER(SEARCH(violent,C168)))&gt;0)</f>
        <v>0</v>
      </c>
      <c r="P168" s="14" cm="1">
        <f t="array" ref="P168">INT(SUMPRODUCT(--ISNUMBER(SEARCH(foreign,C168)))&gt;0)</f>
        <v>0</v>
      </c>
      <c r="Q168" s="14" cm="1">
        <f t="array" ref="Q168">INT(SUMPRODUCT(--ISNUMBER(SEARCH(gun,C168)))&gt;0)</f>
        <v>0</v>
      </c>
      <c r="R168" s="14" cm="1">
        <f t="array" ref="R168">INT(SUMPRODUCT(--ISNUMBER(SEARCH(race,C168)))&gt;0)</f>
        <v>0</v>
      </c>
      <c r="S168" s="14" cm="1">
        <f t="array" ref="S168">INT(SUMPRODUCT(--ISNUMBER(SEARCH(immigration,C168)))&gt;0)</f>
        <v>0</v>
      </c>
      <c r="T168" s="14" cm="1">
        <f t="array" ref="T168">INT(SUMPRODUCT(--ISNUMBER(SEARCH(econineq,C169)))&gt;0)</f>
        <v>0</v>
      </c>
      <c r="U168" s="14" cm="1">
        <f t="array" ref="U168">INT(SUMPRODUCT(--ISNUMBER(SEARCH(climate,C168)))&gt;0)</f>
        <v>0</v>
      </c>
      <c r="V168" s="14" cm="1">
        <f t="array" ref="V168">INT(SUMPRODUCT(--ISNUMBER(SEARCH(abortion,C168)))&gt;0)</f>
        <v>0</v>
      </c>
      <c r="W168" s="14" cm="1">
        <f t="array" ref="W168">INT(SUMPRODUCT(--ISNUMBER(SEARCH(trump,C168)))&gt;0)</f>
        <v>0</v>
      </c>
      <c r="X168" s="14" cm="1">
        <f t="array" ref="X168">INT(SUMPRODUCT(--ISNUMBER(SEARCH(voting,C168)))&gt;0)</f>
        <v>1</v>
      </c>
      <c r="Y168" s="14" cm="1">
        <f t="array" ref="Y168">INT(SUMPRODUCT(--ISNUMBER(SEARCH(democrattrigger,C168)))&gt;0)</f>
        <v>1</v>
      </c>
      <c r="Z168" s="14" cm="1">
        <f t="array" ref="Z168">INT(SUMPRODUCT(--ISNUMBER(SEARCH(bipartisan,C168)))&gt;0)</f>
        <v>0</v>
      </c>
      <c r="AA168" s="14">
        <f t="shared" si="2"/>
        <v>0</v>
      </c>
      <c r="AB168" s="14"/>
      <c r="AC168" s="30" t="s">
        <v>223</v>
      </c>
      <c r="AD168" s="37" t="s">
        <v>223</v>
      </c>
    </row>
    <row r="169" spans="1:30" x14ac:dyDescent="0.25">
      <c r="A169" s="36">
        <v>1154</v>
      </c>
      <c r="B169" s="14" t="s">
        <v>2335</v>
      </c>
      <c r="C169" s="14" t="s">
        <v>2336</v>
      </c>
      <c r="D169" s="18">
        <v>44113</v>
      </c>
      <c r="E169" s="14" t="s">
        <v>30</v>
      </c>
      <c r="F169" s="14">
        <v>481</v>
      </c>
      <c r="G169" s="14">
        <v>130</v>
      </c>
      <c r="H169" s="14">
        <v>6</v>
      </c>
      <c r="I169" s="14">
        <v>3</v>
      </c>
      <c r="J169" s="14" t="s">
        <v>204</v>
      </c>
      <c r="K169" s="14" cm="1">
        <f t="array" ref="K169">INT(SUMPRODUCT(--ISNUMBER(SEARCH(economy,C169)))&gt;0)</f>
        <v>0</v>
      </c>
      <c r="L169" s="14" cm="1">
        <f t="array" ref="L169">INT(SUMPRODUCT(--ISNUMBER(SEARCH(healthcare,C169)))&gt;0)</f>
        <v>0</v>
      </c>
      <c r="M169" s="14" cm="1">
        <f t="array" ref="M169">INT(SUMPRODUCT(--ISNUMBER(SEARCH(supreme,C169)))&gt;0)</f>
        <v>0</v>
      </c>
      <c r="N169" s="14" cm="1">
        <f t="array" ref="N169">INT(SUMPRODUCT(--ISNUMBER(SEARCH(covid,C169)))&gt;0)</f>
        <v>0</v>
      </c>
      <c r="O169" s="14" cm="1">
        <f t="array" ref="O169">INT(SUMPRODUCT(--ISNUMBER(SEARCH(violent,C169)))&gt;0)</f>
        <v>0</v>
      </c>
      <c r="P169" s="14" cm="1">
        <f t="array" ref="P169">INT(SUMPRODUCT(--ISNUMBER(SEARCH(foreign,C169)))&gt;0)</f>
        <v>0</v>
      </c>
      <c r="Q169" s="14" cm="1">
        <f t="array" ref="Q169">INT(SUMPRODUCT(--ISNUMBER(SEARCH(gun,C169)))&gt;0)</f>
        <v>0</v>
      </c>
      <c r="R169" s="14" cm="1">
        <f t="array" ref="R169">INT(SUMPRODUCT(--ISNUMBER(SEARCH(race,C169)))&gt;0)</f>
        <v>0</v>
      </c>
      <c r="S169" s="14" cm="1">
        <f t="array" ref="S169">INT(SUMPRODUCT(--ISNUMBER(SEARCH(immigration,C169)))&gt;0)</f>
        <v>0</v>
      </c>
      <c r="T169" s="14" cm="1">
        <f t="array" ref="T169">INT(SUMPRODUCT(--ISNUMBER(SEARCH(econineq,C170)))&gt;0)</f>
        <v>0</v>
      </c>
      <c r="U169" s="14" cm="1">
        <f t="array" ref="U169">INT(SUMPRODUCT(--ISNUMBER(SEARCH(climate,C169)))&gt;0)</f>
        <v>0</v>
      </c>
      <c r="V169" s="14" cm="1">
        <f t="array" ref="V169">INT(SUMPRODUCT(--ISNUMBER(SEARCH(abortion,C169)))&gt;0)</f>
        <v>0</v>
      </c>
      <c r="W169" s="14" cm="1">
        <f t="array" ref="W169">INT(SUMPRODUCT(--ISNUMBER(SEARCH(trump,C169)))&gt;0)</f>
        <v>0</v>
      </c>
      <c r="X169" s="14" cm="1">
        <f t="array" ref="X169">INT(SUMPRODUCT(--ISNUMBER(SEARCH(voting,C169)))&gt;0)</f>
        <v>0</v>
      </c>
      <c r="Y169" s="14" cm="1">
        <f t="array" ref="Y169">INT(SUMPRODUCT(--ISNUMBER(SEARCH(democrattrigger,C169)))&gt;0)</f>
        <v>0</v>
      </c>
      <c r="Z169" s="14" cm="1">
        <f t="array" ref="Z169">INT(SUMPRODUCT(--ISNUMBER(SEARCH(bipartisan,C169)))&gt;0)</f>
        <v>0</v>
      </c>
      <c r="AA169" s="14">
        <f t="shared" si="2"/>
        <v>1</v>
      </c>
      <c r="AB169" s="14"/>
      <c r="AC169" s="30">
        <v>1</v>
      </c>
      <c r="AD169" s="37">
        <v>0</v>
      </c>
    </row>
    <row r="170" spans="1:30" x14ac:dyDescent="0.25">
      <c r="A170" s="36">
        <v>1155</v>
      </c>
      <c r="B170" s="14" t="s">
        <v>2337</v>
      </c>
      <c r="C170" s="14" t="s">
        <v>2338</v>
      </c>
      <c r="D170" s="18">
        <v>44113</v>
      </c>
      <c r="E170" s="14" t="s">
        <v>30</v>
      </c>
      <c r="F170" s="14">
        <v>2706</v>
      </c>
      <c r="G170" s="14">
        <v>349</v>
      </c>
      <c r="H170" s="14">
        <v>6</v>
      </c>
      <c r="I170" s="14">
        <v>3</v>
      </c>
      <c r="J170" s="14" t="s">
        <v>204</v>
      </c>
      <c r="K170" s="14" cm="1">
        <f t="array" ref="K170">INT(SUMPRODUCT(--ISNUMBER(SEARCH(economy,C170)))&gt;0)</f>
        <v>0</v>
      </c>
      <c r="L170" s="14" cm="1">
        <f t="array" ref="L170">INT(SUMPRODUCT(--ISNUMBER(SEARCH(healthcare,C170)))&gt;0)</f>
        <v>0</v>
      </c>
      <c r="M170" s="14" cm="1">
        <f t="array" ref="M170">INT(SUMPRODUCT(--ISNUMBER(SEARCH(supreme,C170)))&gt;0)</f>
        <v>0</v>
      </c>
      <c r="N170" s="14" cm="1">
        <f t="array" ref="N170">INT(SUMPRODUCT(--ISNUMBER(SEARCH(covid,C170)))&gt;0)</f>
        <v>0</v>
      </c>
      <c r="O170" s="14" cm="1">
        <f t="array" ref="O170">INT(SUMPRODUCT(--ISNUMBER(SEARCH(violent,C170)))&gt;0)</f>
        <v>0</v>
      </c>
      <c r="P170" s="14" cm="1">
        <f t="array" ref="P170">INT(SUMPRODUCT(--ISNUMBER(SEARCH(foreign,C170)))&gt;0)</f>
        <v>0</v>
      </c>
      <c r="Q170" s="14" cm="1">
        <f t="array" ref="Q170">INT(SUMPRODUCT(--ISNUMBER(SEARCH(gun,C170)))&gt;0)</f>
        <v>0</v>
      </c>
      <c r="R170" s="14" cm="1">
        <f t="array" ref="R170">INT(SUMPRODUCT(--ISNUMBER(SEARCH(race,C170)))&gt;0)</f>
        <v>0</v>
      </c>
      <c r="S170" s="14" cm="1">
        <f t="array" ref="S170">INT(SUMPRODUCT(--ISNUMBER(SEARCH(immigration,C170)))&gt;0)</f>
        <v>0</v>
      </c>
      <c r="T170" s="14" cm="1">
        <f t="array" ref="T170">INT(SUMPRODUCT(--ISNUMBER(SEARCH(econineq,C171)))&gt;0)</f>
        <v>0</v>
      </c>
      <c r="U170" s="14" cm="1">
        <f t="array" ref="U170">INT(SUMPRODUCT(--ISNUMBER(SEARCH(climate,C170)))&gt;0)</f>
        <v>0</v>
      </c>
      <c r="V170" s="14" cm="1">
        <f t="array" ref="V170">INT(SUMPRODUCT(--ISNUMBER(SEARCH(abortion,C170)))&gt;0)</f>
        <v>0</v>
      </c>
      <c r="W170" s="14" cm="1">
        <f t="array" ref="W170">INT(SUMPRODUCT(--ISNUMBER(SEARCH(trump,C170)))&gt;0)</f>
        <v>0</v>
      </c>
      <c r="X170" s="14" cm="1">
        <f t="array" ref="X170">INT(SUMPRODUCT(--ISNUMBER(SEARCH(voting,C170)))&gt;0)</f>
        <v>0</v>
      </c>
      <c r="Y170" s="14" cm="1">
        <f t="array" ref="Y170">INT(SUMPRODUCT(--ISNUMBER(SEARCH(democrattrigger,C170)))&gt;0)</f>
        <v>0</v>
      </c>
      <c r="Z170" s="14" cm="1">
        <f t="array" ref="Z170">INT(SUMPRODUCT(--ISNUMBER(SEARCH(bipartisan,C170)))&gt;0)</f>
        <v>0</v>
      </c>
      <c r="AA170" s="14">
        <f t="shared" si="2"/>
        <v>1</v>
      </c>
      <c r="AB170" s="14"/>
      <c r="AC170" s="30">
        <v>1</v>
      </c>
      <c r="AD170" s="37">
        <v>0</v>
      </c>
    </row>
    <row r="171" spans="1:30" x14ac:dyDescent="0.25">
      <c r="A171" s="36">
        <v>1156</v>
      </c>
      <c r="B171" s="14" t="s">
        <v>2339</v>
      </c>
      <c r="C171" s="14" t="s">
        <v>2340</v>
      </c>
      <c r="D171" s="18">
        <v>44113</v>
      </c>
      <c r="E171" s="14" t="s">
        <v>30</v>
      </c>
      <c r="F171" s="14">
        <v>319</v>
      </c>
      <c r="G171" s="14">
        <v>113</v>
      </c>
      <c r="H171" s="14">
        <v>6</v>
      </c>
      <c r="I171" s="14">
        <v>3</v>
      </c>
      <c r="J171" s="14" t="s">
        <v>204</v>
      </c>
      <c r="K171" s="14" cm="1">
        <f t="array" ref="K171">INT(SUMPRODUCT(--ISNUMBER(SEARCH(economy,C171)))&gt;0)</f>
        <v>0</v>
      </c>
      <c r="L171" s="14" cm="1">
        <f t="array" ref="L171">INT(SUMPRODUCT(--ISNUMBER(SEARCH(healthcare,C171)))&gt;0)</f>
        <v>0</v>
      </c>
      <c r="M171" s="14" cm="1">
        <f t="array" ref="M171">INT(SUMPRODUCT(--ISNUMBER(SEARCH(supreme,C171)))&gt;0)</f>
        <v>0</v>
      </c>
      <c r="N171" s="14" cm="1">
        <f t="array" ref="N171">INT(SUMPRODUCT(--ISNUMBER(SEARCH(covid,C171)))&gt;0)</f>
        <v>0</v>
      </c>
      <c r="O171" s="14" cm="1">
        <f t="array" ref="O171">INT(SUMPRODUCT(--ISNUMBER(SEARCH(violent,C171)))&gt;0)</f>
        <v>0</v>
      </c>
      <c r="P171" s="14" cm="1">
        <f t="array" ref="P171">INT(SUMPRODUCT(--ISNUMBER(SEARCH(foreign,C171)))&gt;0)</f>
        <v>0</v>
      </c>
      <c r="Q171" s="14" cm="1">
        <f t="array" ref="Q171">INT(SUMPRODUCT(--ISNUMBER(SEARCH(gun,C171)))&gt;0)</f>
        <v>0</v>
      </c>
      <c r="R171" s="14" cm="1">
        <f t="array" ref="R171">INT(SUMPRODUCT(--ISNUMBER(SEARCH(race,C171)))&gt;0)</f>
        <v>0</v>
      </c>
      <c r="S171" s="14" cm="1">
        <f t="array" ref="S171">INT(SUMPRODUCT(--ISNUMBER(SEARCH(immigration,C171)))&gt;0)</f>
        <v>0</v>
      </c>
      <c r="T171" s="14" cm="1">
        <f t="array" ref="T171">INT(SUMPRODUCT(--ISNUMBER(SEARCH(econineq,C172)))&gt;0)</f>
        <v>0</v>
      </c>
      <c r="U171" s="14" cm="1">
        <f t="array" ref="U171">INT(SUMPRODUCT(--ISNUMBER(SEARCH(climate,C171)))&gt;0)</f>
        <v>0</v>
      </c>
      <c r="V171" s="14" cm="1">
        <f t="array" ref="V171">INT(SUMPRODUCT(--ISNUMBER(SEARCH(abortion,C171)))&gt;0)</f>
        <v>0</v>
      </c>
      <c r="W171" s="14" cm="1">
        <f t="array" ref="W171">INT(SUMPRODUCT(--ISNUMBER(SEARCH(trump,C171)))&gt;0)</f>
        <v>0</v>
      </c>
      <c r="X171" s="14" cm="1">
        <f t="array" ref="X171">INT(SUMPRODUCT(--ISNUMBER(SEARCH(voting,C171)))&gt;0)</f>
        <v>1</v>
      </c>
      <c r="Y171" s="14" cm="1">
        <f t="array" ref="Y171">INT(SUMPRODUCT(--ISNUMBER(SEARCH(democrattrigger,C171)))&gt;0)</f>
        <v>0</v>
      </c>
      <c r="Z171" s="14" cm="1">
        <f t="array" ref="Z171">INT(SUMPRODUCT(--ISNUMBER(SEARCH(bipartisan,C171)))&gt;0)</f>
        <v>0</v>
      </c>
      <c r="AA171" s="14">
        <f t="shared" si="2"/>
        <v>0</v>
      </c>
      <c r="AB171" s="14"/>
      <c r="AC171" s="30">
        <v>1</v>
      </c>
      <c r="AD171" s="37">
        <v>0</v>
      </c>
    </row>
    <row r="172" spans="1:30" x14ac:dyDescent="0.25">
      <c r="A172" s="36">
        <v>1157</v>
      </c>
      <c r="B172" s="14" t="s">
        <v>2341</v>
      </c>
      <c r="C172" s="14" t="s">
        <v>2342</v>
      </c>
      <c r="D172" s="18">
        <v>44113</v>
      </c>
      <c r="E172" s="14" t="s">
        <v>30</v>
      </c>
      <c r="F172" s="14">
        <v>406</v>
      </c>
      <c r="G172" s="14">
        <v>141</v>
      </c>
      <c r="H172" s="14">
        <v>6</v>
      </c>
      <c r="I172" s="14">
        <v>3</v>
      </c>
      <c r="J172" s="14" t="s">
        <v>204</v>
      </c>
      <c r="K172" s="14" cm="1">
        <f t="array" ref="K172">INT(SUMPRODUCT(--ISNUMBER(SEARCH(economy,C172)))&gt;0)</f>
        <v>0</v>
      </c>
      <c r="L172" s="14" cm="1">
        <f t="array" ref="L172">INT(SUMPRODUCT(--ISNUMBER(SEARCH(healthcare,C172)))&gt;0)</f>
        <v>0</v>
      </c>
      <c r="M172" s="14" cm="1">
        <f t="array" ref="M172">INT(SUMPRODUCT(--ISNUMBER(SEARCH(supreme,C172)))&gt;0)</f>
        <v>0</v>
      </c>
      <c r="N172" s="14" cm="1">
        <f t="array" ref="N172">INT(SUMPRODUCT(--ISNUMBER(SEARCH(covid,C172)))&gt;0)</f>
        <v>0</v>
      </c>
      <c r="O172" s="14" cm="1">
        <f t="array" ref="O172">INT(SUMPRODUCT(--ISNUMBER(SEARCH(violent,C172)))&gt;0)</f>
        <v>0</v>
      </c>
      <c r="P172" s="14" cm="1">
        <f t="array" ref="P172">INT(SUMPRODUCT(--ISNUMBER(SEARCH(foreign,C172)))&gt;0)</f>
        <v>0</v>
      </c>
      <c r="Q172" s="14" cm="1">
        <f t="array" ref="Q172">INT(SUMPRODUCT(--ISNUMBER(SEARCH(gun,C172)))&gt;0)</f>
        <v>0</v>
      </c>
      <c r="R172" s="14" cm="1">
        <f t="array" ref="R172">INT(SUMPRODUCT(--ISNUMBER(SEARCH(race,C172)))&gt;0)</f>
        <v>0</v>
      </c>
      <c r="S172" s="14" cm="1">
        <f t="array" ref="S172">INT(SUMPRODUCT(--ISNUMBER(SEARCH(immigration,C172)))&gt;0)</f>
        <v>0</v>
      </c>
      <c r="T172" s="14" cm="1">
        <f t="array" ref="T172">INT(SUMPRODUCT(--ISNUMBER(SEARCH(econineq,C173)))&gt;0)</f>
        <v>1</v>
      </c>
      <c r="U172" s="14" cm="1">
        <f t="array" ref="U172">INT(SUMPRODUCT(--ISNUMBER(SEARCH(climate,C172)))&gt;0)</f>
        <v>0</v>
      </c>
      <c r="V172" s="14" cm="1">
        <f t="array" ref="V172">INT(SUMPRODUCT(--ISNUMBER(SEARCH(abortion,C172)))&gt;0)</f>
        <v>0</v>
      </c>
      <c r="W172" s="14" cm="1">
        <f t="array" ref="W172">INT(SUMPRODUCT(--ISNUMBER(SEARCH(trump,C172)))&gt;0)</f>
        <v>0</v>
      </c>
      <c r="X172" s="14" cm="1">
        <f t="array" ref="X172">INT(SUMPRODUCT(--ISNUMBER(SEARCH(voting,C172)))&gt;0)</f>
        <v>0</v>
      </c>
      <c r="Y172" s="14" cm="1">
        <f t="array" ref="Y172">INT(SUMPRODUCT(--ISNUMBER(SEARCH(democrattrigger,C172)))&gt;0)</f>
        <v>0</v>
      </c>
      <c r="Z172" s="14" cm="1">
        <f t="array" ref="Z172">INT(SUMPRODUCT(--ISNUMBER(SEARCH(bipartisan,C172)))&gt;0)</f>
        <v>0</v>
      </c>
      <c r="AA172" s="14">
        <f t="shared" si="2"/>
        <v>0</v>
      </c>
      <c r="AB172" s="14"/>
      <c r="AC172" s="30" t="s">
        <v>223</v>
      </c>
      <c r="AD172" s="37" t="s">
        <v>223</v>
      </c>
    </row>
    <row r="173" spans="1:30" x14ac:dyDescent="0.25">
      <c r="A173" s="36">
        <v>1158</v>
      </c>
      <c r="B173" s="14" t="s">
        <v>2343</v>
      </c>
      <c r="C173" s="14" t="s">
        <v>2344</v>
      </c>
      <c r="D173" s="18">
        <v>44113</v>
      </c>
      <c r="E173" s="14" t="s">
        <v>30</v>
      </c>
      <c r="F173" s="14">
        <v>200</v>
      </c>
      <c r="G173" s="14">
        <v>70</v>
      </c>
      <c r="H173" s="14">
        <v>6</v>
      </c>
      <c r="I173" s="14">
        <v>3</v>
      </c>
      <c r="J173" s="14" t="s">
        <v>204</v>
      </c>
      <c r="K173" s="14" cm="1">
        <f t="array" ref="K173">INT(SUMPRODUCT(--ISNUMBER(SEARCH(economy,C173)))&gt;0)</f>
        <v>0</v>
      </c>
      <c r="L173" s="14" cm="1">
        <f t="array" ref="L173">INT(SUMPRODUCT(--ISNUMBER(SEARCH(healthcare,C173)))&gt;0)</f>
        <v>0</v>
      </c>
      <c r="M173" s="14" cm="1">
        <f t="array" ref="M173">INT(SUMPRODUCT(--ISNUMBER(SEARCH(supreme,C173)))&gt;0)</f>
        <v>0</v>
      </c>
      <c r="N173" s="14" cm="1">
        <f t="array" ref="N173">INT(SUMPRODUCT(--ISNUMBER(SEARCH(covid,C173)))&gt;0)</f>
        <v>0</v>
      </c>
      <c r="O173" s="14" cm="1">
        <f t="array" ref="O173">INT(SUMPRODUCT(--ISNUMBER(SEARCH(violent,C173)))&gt;0)</f>
        <v>0</v>
      </c>
      <c r="P173" s="14" cm="1">
        <f t="array" ref="P173">INT(SUMPRODUCT(--ISNUMBER(SEARCH(foreign,C173)))&gt;0)</f>
        <v>0</v>
      </c>
      <c r="Q173" s="14" cm="1">
        <f t="array" ref="Q173">INT(SUMPRODUCT(--ISNUMBER(SEARCH(gun,C173)))&gt;0)</f>
        <v>0</v>
      </c>
      <c r="R173" s="14" cm="1">
        <f t="array" ref="R173">INT(SUMPRODUCT(--ISNUMBER(SEARCH(race,C173)))&gt;0)</f>
        <v>0</v>
      </c>
      <c r="S173" s="14" cm="1">
        <f t="array" ref="S173">INT(SUMPRODUCT(--ISNUMBER(SEARCH(immigration,C173)))&gt;0)</f>
        <v>0</v>
      </c>
      <c r="T173" s="14" cm="1">
        <f t="array" ref="T173">INT(SUMPRODUCT(--ISNUMBER(SEARCH(econineq,C174)))&gt;0)</f>
        <v>0</v>
      </c>
      <c r="U173" s="14" cm="1">
        <f t="array" ref="U173">INT(SUMPRODUCT(--ISNUMBER(SEARCH(climate,C173)))&gt;0)</f>
        <v>0</v>
      </c>
      <c r="V173" s="14" cm="1">
        <f t="array" ref="V173">INT(SUMPRODUCT(--ISNUMBER(SEARCH(abortion,C173)))&gt;0)</f>
        <v>0</v>
      </c>
      <c r="W173" s="14" cm="1">
        <f t="array" ref="W173">INT(SUMPRODUCT(--ISNUMBER(SEARCH(trump,C173)))&gt;0)</f>
        <v>0</v>
      </c>
      <c r="X173" s="14" cm="1">
        <f t="array" ref="X173">INT(SUMPRODUCT(--ISNUMBER(SEARCH(voting,C173)))&gt;0)</f>
        <v>1</v>
      </c>
      <c r="Y173" s="14" cm="1">
        <f t="array" ref="Y173">INT(SUMPRODUCT(--ISNUMBER(SEARCH(democrattrigger,C173)))&gt;0)</f>
        <v>0</v>
      </c>
      <c r="Z173" s="14" cm="1">
        <f t="array" ref="Z173">INT(SUMPRODUCT(--ISNUMBER(SEARCH(bipartisan,C173)))&gt;0)</f>
        <v>0</v>
      </c>
      <c r="AA173" s="14">
        <f t="shared" si="2"/>
        <v>0</v>
      </c>
      <c r="AB173" s="14"/>
      <c r="AC173" s="30" t="s">
        <v>223</v>
      </c>
      <c r="AD173" s="37" t="s">
        <v>223</v>
      </c>
    </row>
    <row r="174" spans="1:30" x14ac:dyDescent="0.25">
      <c r="A174" s="36">
        <v>1159</v>
      </c>
      <c r="B174" s="14" t="s">
        <v>2345</v>
      </c>
      <c r="C174" s="14" t="s">
        <v>2346</v>
      </c>
      <c r="D174" s="18">
        <v>44113</v>
      </c>
      <c r="E174" s="14" t="s">
        <v>30</v>
      </c>
      <c r="F174" s="14">
        <v>1345</v>
      </c>
      <c r="G174" s="14">
        <v>513</v>
      </c>
      <c r="H174" s="14">
        <v>6</v>
      </c>
      <c r="I174" s="14">
        <v>3</v>
      </c>
      <c r="J174" s="14" t="s">
        <v>204</v>
      </c>
      <c r="K174" s="14" cm="1">
        <f t="array" ref="K174">INT(SUMPRODUCT(--ISNUMBER(SEARCH(economy,C174)))&gt;0)</f>
        <v>0</v>
      </c>
      <c r="L174" s="14" cm="1">
        <f t="array" ref="L174">INT(SUMPRODUCT(--ISNUMBER(SEARCH(healthcare,C174)))&gt;0)</f>
        <v>0</v>
      </c>
      <c r="M174" s="14" cm="1">
        <f t="array" ref="M174">INT(SUMPRODUCT(--ISNUMBER(SEARCH(supreme,C174)))&gt;0)</f>
        <v>0</v>
      </c>
      <c r="N174" s="14" cm="1">
        <f t="array" ref="N174">INT(SUMPRODUCT(--ISNUMBER(SEARCH(covid,C174)))&gt;0)</f>
        <v>1</v>
      </c>
      <c r="O174" s="14" cm="1">
        <f t="array" ref="O174">INT(SUMPRODUCT(--ISNUMBER(SEARCH(violent,C174)))&gt;0)</f>
        <v>0</v>
      </c>
      <c r="P174" s="14" cm="1">
        <f t="array" ref="P174">INT(SUMPRODUCT(--ISNUMBER(SEARCH(foreign,C174)))&gt;0)</f>
        <v>0</v>
      </c>
      <c r="Q174" s="14" cm="1">
        <f t="array" ref="Q174">INT(SUMPRODUCT(--ISNUMBER(SEARCH(gun,C174)))&gt;0)</f>
        <v>0</v>
      </c>
      <c r="R174" s="14" cm="1">
        <f t="array" ref="R174">INT(SUMPRODUCT(--ISNUMBER(SEARCH(race,C174)))&gt;0)</f>
        <v>0</v>
      </c>
      <c r="S174" s="14" cm="1">
        <f t="array" ref="S174">INT(SUMPRODUCT(--ISNUMBER(SEARCH(immigration,C174)))&gt;0)</f>
        <v>0</v>
      </c>
      <c r="T174" s="14" cm="1">
        <f t="array" ref="T174">INT(SUMPRODUCT(--ISNUMBER(SEARCH(econineq,C175)))&gt;0)</f>
        <v>0</v>
      </c>
      <c r="U174" s="14" cm="1">
        <f t="array" ref="U174">INT(SUMPRODUCT(--ISNUMBER(SEARCH(climate,C174)))&gt;0)</f>
        <v>0</v>
      </c>
      <c r="V174" s="14" cm="1">
        <f t="array" ref="V174">INT(SUMPRODUCT(--ISNUMBER(SEARCH(abortion,C174)))&gt;0)</f>
        <v>0</v>
      </c>
      <c r="W174" s="14" cm="1">
        <f t="array" ref="W174">INT(SUMPRODUCT(--ISNUMBER(SEARCH(trump,C174)))&gt;0)</f>
        <v>0</v>
      </c>
      <c r="X174" s="14" cm="1">
        <f t="array" ref="X174">INT(SUMPRODUCT(--ISNUMBER(SEARCH(voting,C174)))&gt;0)</f>
        <v>0</v>
      </c>
      <c r="Y174" s="14" cm="1">
        <f t="array" ref="Y174">INT(SUMPRODUCT(--ISNUMBER(SEARCH(democrattrigger,C174)))&gt;0)</f>
        <v>0</v>
      </c>
      <c r="Z174" s="14" cm="1">
        <f t="array" ref="Z174">INT(SUMPRODUCT(--ISNUMBER(SEARCH(bipartisan,C174)))&gt;0)</f>
        <v>0</v>
      </c>
      <c r="AA174" s="14">
        <f t="shared" si="2"/>
        <v>0</v>
      </c>
      <c r="AB174" s="14"/>
      <c r="AC174" s="30" t="s">
        <v>223</v>
      </c>
      <c r="AD174" s="37" t="s">
        <v>223</v>
      </c>
    </row>
    <row r="175" spans="1:30" x14ac:dyDescent="0.25">
      <c r="A175" s="36">
        <v>1160</v>
      </c>
      <c r="B175" s="14" t="s">
        <v>2347</v>
      </c>
      <c r="C175" s="14" t="s">
        <v>2348</v>
      </c>
      <c r="D175" s="18">
        <v>44113</v>
      </c>
      <c r="E175" s="14" t="s">
        <v>30</v>
      </c>
      <c r="F175" s="14">
        <v>492</v>
      </c>
      <c r="G175" s="14">
        <v>232</v>
      </c>
      <c r="H175" s="14">
        <v>6</v>
      </c>
      <c r="I175" s="14">
        <v>3</v>
      </c>
      <c r="J175" s="14" t="s">
        <v>204</v>
      </c>
      <c r="K175" s="14" cm="1">
        <f t="array" ref="K175">INT(SUMPRODUCT(--ISNUMBER(SEARCH(economy,C175)))&gt;0)</f>
        <v>0</v>
      </c>
      <c r="L175" s="14" cm="1">
        <f t="array" ref="L175">INT(SUMPRODUCT(--ISNUMBER(SEARCH(healthcare,C175)))&gt;0)</f>
        <v>1</v>
      </c>
      <c r="M175" s="14" cm="1">
        <f t="array" ref="M175">INT(SUMPRODUCT(--ISNUMBER(SEARCH(supreme,C175)))&gt;0)</f>
        <v>0</v>
      </c>
      <c r="N175" s="14" cm="1">
        <f t="array" ref="N175">INT(SUMPRODUCT(--ISNUMBER(SEARCH(covid,C175)))&gt;0)</f>
        <v>1</v>
      </c>
      <c r="O175" s="14" cm="1">
        <f t="array" ref="O175">INT(SUMPRODUCT(--ISNUMBER(SEARCH(violent,C175)))&gt;0)</f>
        <v>0</v>
      </c>
      <c r="P175" s="14" cm="1">
        <f t="array" ref="P175">INT(SUMPRODUCT(--ISNUMBER(SEARCH(foreign,C175)))&gt;0)</f>
        <v>0</v>
      </c>
      <c r="Q175" s="14" cm="1">
        <f t="array" ref="Q175">INT(SUMPRODUCT(--ISNUMBER(SEARCH(gun,C175)))&gt;0)</f>
        <v>0</v>
      </c>
      <c r="R175" s="14" cm="1">
        <f t="array" ref="R175">INT(SUMPRODUCT(--ISNUMBER(SEARCH(race,C175)))&gt;0)</f>
        <v>0</v>
      </c>
      <c r="S175" s="14" cm="1">
        <f t="array" ref="S175">INT(SUMPRODUCT(--ISNUMBER(SEARCH(immigration,C175)))&gt;0)</f>
        <v>0</v>
      </c>
      <c r="T175" s="14" cm="1">
        <f t="array" ref="T175">INT(SUMPRODUCT(--ISNUMBER(SEARCH(econineq,C176)))&gt;0)</f>
        <v>0</v>
      </c>
      <c r="U175" s="14" cm="1">
        <f t="array" ref="U175">INT(SUMPRODUCT(--ISNUMBER(SEARCH(climate,C175)))&gt;0)</f>
        <v>0</v>
      </c>
      <c r="V175" s="14" cm="1">
        <f t="array" ref="V175">INT(SUMPRODUCT(--ISNUMBER(SEARCH(abortion,C175)))&gt;0)</f>
        <v>0</v>
      </c>
      <c r="W175" s="14" cm="1">
        <f t="array" ref="W175">INT(SUMPRODUCT(--ISNUMBER(SEARCH(trump,C175)))&gt;0)</f>
        <v>0</v>
      </c>
      <c r="X175" s="14" cm="1">
        <f t="array" ref="X175">INT(SUMPRODUCT(--ISNUMBER(SEARCH(voting,C175)))&gt;0)</f>
        <v>0</v>
      </c>
      <c r="Y175" s="14" cm="1">
        <f t="array" ref="Y175">INT(SUMPRODUCT(--ISNUMBER(SEARCH(democrattrigger,C175)))&gt;0)</f>
        <v>0</v>
      </c>
      <c r="Z175" s="14" cm="1">
        <f t="array" ref="Z175">INT(SUMPRODUCT(--ISNUMBER(SEARCH(bipartisan,C175)))&gt;0)</f>
        <v>0</v>
      </c>
      <c r="AA175" s="14">
        <f t="shared" si="2"/>
        <v>0</v>
      </c>
      <c r="AB175" s="14"/>
      <c r="AC175" s="30" t="s">
        <v>223</v>
      </c>
      <c r="AD175" s="37" t="s">
        <v>223</v>
      </c>
    </row>
    <row r="176" spans="1:30" x14ac:dyDescent="0.25">
      <c r="A176" s="36">
        <v>1161</v>
      </c>
      <c r="B176" s="14" t="s">
        <v>2349</v>
      </c>
      <c r="C176" s="14" t="s">
        <v>2350</v>
      </c>
      <c r="D176" s="18">
        <v>44112</v>
      </c>
      <c r="E176" s="14" t="s">
        <v>30</v>
      </c>
      <c r="F176" s="14">
        <v>679</v>
      </c>
      <c r="G176" s="14">
        <v>223</v>
      </c>
      <c r="H176" s="14">
        <v>6</v>
      </c>
      <c r="I176" s="14">
        <v>3</v>
      </c>
      <c r="J176" s="14" t="s">
        <v>204</v>
      </c>
      <c r="K176" s="14" cm="1">
        <f t="array" ref="K176">INT(SUMPRODUCT(--ISNUMBER(SEARCH(economy,C176)))&gt;0)</f>
        <v>0</v>
      </c>
      <c r="L176" s="14" cm="1">
        <f t="array" ref="L176">INT(SUMPRODUCT(--ISNUMBER(SEARCH(healthcare,C176)))&gt;0)</f>
        <v>0</v>
      </c>
      <c r="M176" s="14" cm="1">
        <f t="array" ref="M176">INT(SUMPRODUCT(--ISNUMBER(SEARCH(supreme,C176)))&gt;0)</f>
        <v>0</v>
      </c>
      <c r="N176" s="14" cm="1">
        <f t="array" ref="N176">INT(SUMPRODUCT(--ISNUMBER(SEARCH(covid,C176)))&gt;0)</f>
        <v>0</v>
      </c>
      <c r="O176" s="14" cm="1">
        <f t="array" ref="O176">INT(SUMPRODUCT(--ISNUMBER(SEARCH(violent,C176)))&gt;0)</f>
        <v>0</v>
      </c>
      <c r="P176" s="14" cm="1">
        <f t="array" ref="P176">INT(SUMPRODUCT(--ISNUMBER(SEARCH(foreign,C176)))&gt;0)</f>
        <v>0</v>
      </c>
      <c r="Q176" s="14" cm="1">
        <f t="array" ref="Q176">INT(SUMPRODUCT(--ISNUMBER(SEARCH(gun,C176)))&gt;0)</f>
        <v>0</v>
      </c>
      <c r="R176" s="14" cm="1">
        <f t="array" ref="R176">INT(SUMPRODUCT(--ISNUMBER(SEARCH(race,C176)))&gt;0)</f>
        <v>0</v>
      </c>
      <c r="S176" s="14" cm="1">
        <f t="array" ref="S176">INT(SUMPRODUCT(--ISNUMBER(SEARCH(immigration,C176)))&gt;0)</f>
        <v>0</v>
      </c>
      <c r="T176" s="14" cm="1">
        <f t="array" ref="T176">INT(SUMPRODUCT(--ISNUMBER(SEARCH(econineq,C177)))&gt;0)</f>
        <v>0</v>
      </c>
      <c r="U176" s="14" cm="1">
        <f t="array" ref="U176">INT(SUMPRODUCT(--ISNUMBER(SEARCH(climate,C176)))&gt;0)</f>
        <v>0</v>
      </c>
      <c r="V176" s="14" cm="1">
        <f t="array" ref="V176">INT(SUMPRODUCT(--ISNUMBER(SEARCH(abortion,C176)))&gt;0)</f>
        <v>0</v>
      </c>
      <c r="W176" s="14" cm="1">
        <f t="array" ref="W176">INT(SUMPRODUCT(--ISNUMBER(SEARCH(trump,C176)))&gt;0)</f>
        <v>0</v>
      </c>
      <c r="X176" s="14" cm="1">
        <f t="array" ref="X176">INT(SUMPRODUCT(--ISNUMBER(SEARCH(voting,C176)))&gt;0)</f>
        <v>1</v>
      </c>
      <c r="Y176" s="14" cm="1">
        <f t="array" ref="Y176">INT(SUMPRODUCT(--ISNUMBER(SEARCH(democrattrigger,C176)))&gt;0)</f>
        <v>0</v>
      </c>
      <c r="Z176" s="14" cm="1">
        <f t="array" ref="Z176">INT(SUMPRODUCT(--ISNUMBER(SEARCH(bipartisan,C176)))&gt;0)</f>
        <v>0</v>
      </c>
      <c r="AA176" s="14">
        <f t="shared" si="2"/>
        <v>0</v>
      </c>
      <c r="AB176" s="14"/>
      <c r="AC176" s="30">
        <v>0</v>
      </c>
      <c r="AD176" s="37">
        <v>1</v>
      </c>
    </row>
    <row r="177" spans="1:30" x14ac:dyDescent="0.25">
      <c r="A177" s="36">
        <v>1162</v>
      </c>
      <c r="B177" s="14" t="s">
        <v>2351</v>
      </c>
      <c r="C177" s="14" t="s">
        <v>2352</v>
      </c>
      <c r="D177" s="18">
        <v>44112</v>
      </c>
      <c r="E177" s="14" t="s">
        <v>30</v>
      </c>
      <c r="F177" s="14">
        <v>279</v>
      </c>
      <c r="G177" s="14">
        <v>100</v>
      </c>
      <c r="H177" s="14">
        <v>6</v>
      </c>
      <c r="I177" s="14">
        <v>3</v>
      </c>
      <c r="J177" s="14" t="s">
        <v>204</v>
      </c>
      <c r="K177" s="14" cm="1">
        <f t="array" ref="K177">INT(SUMPRODUCT(--ISNUMBER(SEARCH(economy,C177)))&gt;0)</f>
        <v>1</v>
      </c>
      <c r="L177" s="14" cm="1">
        <f t="array" ref="L177">INT(SUMPRODUCT(--ISNUMBER(SEARCH(healthcare,C177)))&gt;0)</f>
        <v>0</v>
      </c>
      <c r="M177" s="14" cm="1">
        <f t="array" ref="M177">INT(SUMPRODUCT(--ISNUMBER(SEARCH(supreme,C177)))&gt;0)</f>
        <v>0</v>
      </c>
      <c r="N177" s="14" cm="1">
        <f t="array" ref="N177">INT(SUMPRODUCT(--ISNUMBER(SEARCH(covid,C177)))&gt;0)</f>
        <v>0</v>
      </c>
      <c r="O177" s="14" cm="1">
        <f t="array" ref="O177">INT(SUMPRODUCT(--ISNUMBER(SEARCH(violent,C177)))&gt;0)</f>
        <v>0</v>
      </c>
      <c r="P177" s="14" cm="1">
        <f t="array" ref="P177">INT(SUMPRODUCT(--ISNUMBER(SEARCH(foreign,C177)))&gt;0)</f>
        <v>0</v>
      </c>
      <c r="Q177" s="14" cm="1">
        <f t="array" ref="Q177">INT(SUMPRODUCT(--ISNUMBER(SEARCH(gun,C177)))&gt;0)</f>
        <v>0</v>
      </c>
      <c r="R177" s="14" cm="1">
        <f t="array" ref="R177">INT(SUMPRODUCT(--ISNUMBER(SEARCH(race,C177)))&gt;0)</f>
        <v>0</v>
      </c>
      <c r="S177" s="14" cm="1">
        <f t="array" ref="S177">INT(SUMPRODUCT(--ISNUMBER(SEARCH(immigration,C177)))&gt;0)</f>
        <v>0</v>
      </c>
      <c r="T177" s="14" cm="1">
        <f t="array" ref="T177">INT(SUMPRODUCT(--ISNUMBER(SEARCH(econineq,C178)))&gt;0)</f>
        <v>1</v>
      </c>
      <c r="U177" s="14" cm="1">
        <f t="array" ref="U177">INT(SUMPRODUCT(--ISNUMBER(SEARCH(climate,C177)))&gt;0)</f>
        <v>1</v>
      </c>
      <c r="V177" s="14" cm="1">
        <f t="array" ref="V177">INT(SUMPRODUCT(--ISNUMBER(SEARCH(abortion,C177)))&gt;0)</f>
        <v>0</v>
      </c>
      <c r="W177" s="14" cm="1">
        <f t="array" ref="W177">INT(SUMPRODUCT(--ISNUMBER(SEARCH(trump,C177)))&gt;0)</f>
        <v>0</v>
      </c>
      <c r="X177" s="14" cm="1">
        <f t="array" ref="X177">INT(SUMPRODUCT(--ISNUMBER(SEARCH(voting,C177)))&gt;0)</f>
        <v>1</v>
      </c>
      <c r="Y177" s="14" cm="1">
        <f t="array" ref="Y177">INT(SUMPRODUCT(--ISNUMBER(SEARCH(democrattrigger,C177)))&gt;0)</f>
        <v>0</v>
      </c>
      <c r="Z177" s="14" cm="1">
        <f t="array" ref="Z177">INT(SUMPRODUCT(--ISNUMBER(SEARCH(bipartisan,C177)))&gt;0)</f>
        <v>0</v>
      </c>
      <c r="AA177" s="14">
        <f t="shared" si="2"/>
        <v>0</v>
      </c>
      <c r="AB177" s="14"/>
      <c r="AC177" s="30">
        <v>1</v>
      </c>
      <c r="AD177" s="37">
        <v>0</v>
      </c>
    </row>
    <row r="178" spans="1:30" x14ac:dyDescent="0.25">
      <c r="A178" s="36">
        <v>1163</v>
      </c>
      <c r="B178" s="14" t="s">
        <v>2353</v>
      </c>
      <c r="C178" s="14" t="s">
        <v>2354</v>
      </c>
      <c r="D178" s="18">
        <v>44112</v>
      </c>
      <c r="E178" s="14" t="s">
        <v>30</v>
      </c>
      <c r="F178" s="14">
        <v>945</v>
      </c>
      <c r="G178" s="14">
        <v>279</v>
      </c>
      <c r="H178" s="14">
        <v>6</v>
      </c>
      <c r="I178" s="14">
        <v>3</v>
      </c>
      <c r="J178" s="14" t="s">
        <v>204</v>
      </c>
      <c r="K178" s="14" cm="1">
        <f t="array" ref="K178">INT(SUMPRODUCT(--ISNUMBER(SEARCH(economy,C178)))&gt;0)</f>
        <v>1</v>
      </c>
      <c r="L178" s="14" cm="1">
        <f t="array" ref="L178">INT(SUMPRODUCT(--ISNUMBER(SEARCH(healthcare,C178)))&gt;0)</f>
        <v>1</v>
      </c>
      <c r="M178" s="14" cm="1">
        <f t="array" ref="M178">INT(SUMPRODUCT(--ISNUMBER(SEARCH(supreme,C178)))&gt;0)</f>
        <v>0</v>
      </c>
      <c r="N178" s="14" cm="1">
        <f t="array" ref="N178">INT(SUMPRODUCT(--ISNUMBER(SEARCH(covid,C178)))&gt;0)</f>
        <v>0</v>
      </c>
      <c r="O178" s="14" cm="1">
        <f t="array" ref="O178">INT(SUMPRODUCT(--ISNUMBER(SEARCH(violent,C178)))&gt;0)</f>
        <v>0</v>
      </c>
      <c r="P178" s="14" cm="1">
        <f t="array" ref="P178">INT(SUMPRODUCT(--ISNUMBER(SEARCH(foreign,C178)))&gt;0)</f>
        <v>0</v>
      </c>
      <c r="Q178" s="14" cm="1">
        <f t="array" ref="Q178">INT(SUMPRODUCT(--ISNUMBER(SEARCH(gun,C178)))&gt;0)</f>
        <v>0</v>
      </c>
      <c r="R178" s="14" cm="1">
        <f t="array" ref="R178">INT(SUMPRODUCT(--ISNUMBER(SEARCH(race,C178)))&gt;0)</f>
        <v>0</v>
      </c>
      <c r="S178" s="14" cm="1">
        <f t="array" ref="S178">INT(SUMPRODUCT(--ISNUMBER(SEARCH(immigration,C178)))&gt;0)</f>
        <v>0</v>
      </c>
      <c r="T178" s="14" cm="1">
        <f t="array" ref="T178">INT(SUMPRODUCT(--ISNUMBER(SEARCH(econineq,C179)))&gt;0)</f>
        <v>0</v>
      </c>
      <c r="U178" s="14" cm="1">
        <f t="array" ref="U178">INT(SUMPRODUCT(--ISNUMBER(SEARCH(climate,C178)))&gt;0)</f>
        <v>0</v>
      </c>
      <c r="V178" s="14" cm="1">
        <f t="array" ref="V178">INT(SUMPRODUCT(--ISNUMBER(SEARCH(abortion,C178)))&gt;0)</f>
        <v>0</v>
      </c>
      <c r="W178" s="14" cm="1">
        <f t="array" ref="W178">INT(SUMPRODUCT(--ISNUMBER(SEARCH(trump,C178)))&gt;0)</f>
        <v>0</v>
      </c>
      <c r="X178" s="14" cm="1">
        <f t="array" ref="X178">INT(SUMPRODUCT(--ISNUMBER(SEARCH(voting,C178)))&gt;0)</f>
        <v>0</v>
      </c>
      <c r="Y178" s="14" cm="1">
        <f t="array" ref="Y178">INT(SUMPRODUCT(--ISNUMBER(SEARCH(democrattrigger,C178)))&gt;0)</f>
        <v>0</v>
      </c>
      <c r="Z178" s="14" cm="1">
        <f t="array" ref="Z178">INT(SUMPRODUCT(--ISNUMBER(SEARCH(bipartisan,C178)))&gt;0)</f>
        <v>0</v>
      </c>
      <c r="AA178" s="14">
        <f t="shared" si="2"/>
        <v>0</v>
      </c>
      <c r="AB178" s="14"/>
      <c r="AC178" s="30">
        <v>1</v>
      </c>
      <c r="AD178" s="37">
        <v>0</v>
      </c>
    </row>
    <row r="179" spans="1:30" x14ac:dyDescent="0.25">
      <c r="A179" s="36">
        <v>1164</v>
      </c>
      <c r="B179" s="14" t="s">
        <v>2355</v>
      </c>
      <c r="C179" s="14" t="s">
        <v>2356</v>
      </c>
      <c r="D179" s="18">
        <v>44112</v>
      </c>
      <c r="E179" s="14" t="s">
        <v>30</v>
      </c>
      <c r="F179" s="14">
        <v>314</v>
      </c>
      <c r="G179" s="14">
        <v>108</v>
      </c>
      <c r="H179" s="14">
        <v>6</v>
      </c>
      <c r="I179" s="14">
        <v>3</v>
      </c>
      <c r="J179" s="14" t="s">
        <v>204</v>
      </c>
      <c r="K179" s="14" cm="1">
        <f t="array" ref="K179">INT(SUMPRODUCT(--ISNUMBER(SEARCH(economy,C179)))&gt;0)</f>
        <v>1</v>
      </c>
      <c r="L179" s="14" cm="1">
        <f t="array" ref="L179">INT(SUMPRODUCT(--ISNUMBER(SEARCH(healthcare,C179)))&gt;0)</f>
        <v>0</v>
      </c>
      <c r="M179" s="14" cm="1">
        <f t="array" ref="M179">INT(SUMPRODUCT(--ISNUMBER(SEARCH(supreme,C179)))&gt;0)</f>
        <v>0</v>
      </c>
      <c r="N179" s="14" cm="1">
        <f t="array" ref="N179">INT(SUMPRODUCT(--ISNUMBER(SEARCH(covid,C179)))&gt;0)</f>
        <v>0</v>
      </c>
      <c r="O179" s="14" cm="1">
        <f t="array" ref="O179">INT(SUMPRODUCT(--ISNUMBER(SEARCH(violent,C179)))&gt;0)</f>
        <v>0</v>
      </c>
      <c r="P179" s="14" cm="1">
        <f t="array" ref="P179">INT(SUMPRODUCT(--ISNUMBER(SEARCH(foreign,C179)))&gt;0)</f>
        <v>0</v>
      </c>
      <c r="Q179" s="14" cm="1">
        <f t="array" ref="Q179">INT(SUMPRODUCT(--ISNUMBER(SEARCH(gun,C179)))&gt;0)</f>
        <v>0</v>
      </c>
      <c r="R179" s="14" cm="1">
        <f t="array" ref="R179">INT(SUMPRODUCT(--ISNUMBER(SEARCH(race,C179)))&gt;0)</f>
        <v>0</v>
      </c>
      <c r="S179" s="14" cm="1">
        <f t="array" ref="S179">INT(SUMPRODUCT(--ISNUMBER(SEARCH(immigration,C179)))&gt;0)</f>
        <v>0</v>
      </c>
      <c r="T179" s="14" cm="1">
        <f t="array" ref="T179">INT(SUMPRODUCT(--ISNUMBER(SEARCH(econineq,C180)))&gt;0)</f>
        <v>0</v>
      </c>
      <c r="U179" s="14" cm="1">
        <f t="array" ref="U179">INT(SUMPRODUCT(--ISNUMBER(SEARCH(climate,C179)))&gt;0)</f>
        <v>0</v>
      </c>
      <c r="V179" s="14" cm="1">
        <f t="array" ref="V179">INT(SUMPRODUCT(--ISNUMBER(SEARCH(abortion,C179)))&gt;0)</f>
        <v>0</v>
      </c>
      <c r="W179" s="14" cm="1">
        <f t="array" ref="W179">INT(SUMPRODUCT(--ISNUMBER(SEARCH(trump,C179)))&gt;0)</f>
        <v>0</v>
      </c>
      <c r="X179" s="14" cm="1">
        <f t="array" ref="X179">INT(SUMPRODUCT(--ISNUMBER(SEARCH(voting,C179)))&gt;0)</f>
        <v>0</v>
      </c>
      <c r="Y179" s="14" cm="1">
        <f t="array" ref="Y179">INT(SUMPRODUCT(--ISNUMBER(SEARCH(democrattrigger,C179)))&gt;0)</f>
        <v>0</v>
      </c>
      <c r="Z179" s="14" cm="1">
        <f t="array" ref="Z179">INT(SUMPRODUCT(--ISNUMBER(SEARCH(bipartisan,C179)))&gt;0)</f>
        <v>0</v>
      </c>
      <c r="AA179" s="14">
        <f t="shared" si="2"/>
        <v>0</v>
      </c>
      <c r="AB179" s="14"/>
      <c r="AC179" s="30">
        <v>1</v>
      </c>
      <c r="AD179" s="37">
        <v>0</v>
      </c>
    </row>
    <row r="180" spans="1:30" x14ac:dyDescent="0.25">
      <c r="A180" s="36">
        <v>1165</v>
      </c>
      <c r="B180" s="14" t="s">
        <v>2357</v>
      </c>
      <c r="C180" s="14" t="s">
        <v>2358</v>
      </c>
      <c r="D180" s="18">
        <v>44112</v>
      </c>
      <c r="E180" s="14" t="s">
        <v>30</v>
      </c>
      <c r="F180" s="14">
        <v>521</v>
      </c>
      <c r="G180" s="14">
        <v>194</v>
      </c>
      <c r="H180" s="14">
        <v>6</v>
      </c>
      <c r="I180" s="14">
        <v>3</v>
      </c>
      <c r="J180" s="14" t="s">
        <v>204</v>
      </c>
      <c r="K180" s="14" cm="1">
        <f t="array" ref="K180">INT(SUMPRODUCT(--ISNUMBER(SEARCH(economy,C180)))&gt;0)</f>
        <v>0</v>
      </c>
      <c r="L180" s="14" cm="1">
        <f t="array" ref="L180">INT(SUMPRODUCT(--ISNUMBER(SEARCH(healthcare,C180)))&gt;0)</f>
        <v>0</v>
      </c>
      <c r="M180" s="14" cm="1">
        <f t="array" ref="M180">INT(SUMPRODUCT(--ISNUMBER(SEARCH(supreme,C180)))&gt;0)</f>
        <v>0</v>
      </c>
      <c r="N180" s="14" cm="1">
        <f t="array" ref="N180">INT(SUMPRODUCT(--ISNUMBER(SEARCH(covid,C180)))&gt;0)</f>
        <v>0</v>
      </c>
      <c r="O180" s="14" cm="1">
        <f t="array" ref="O180">INT(SUMPRODUCT(--ISNUMBER(SEARCH(violent,C180)))&gt;0)</f>
        <v>0</v>
      </c>
      <c r="P180" s="14" cm="1">
        <f t="array" ref="P180">INT(SUMPRODUCT(--ISNUMBER(SEARCH(foreign,C180)))&gt;0)</f>
        <v>0</v>
      </c>
      <c r="Q180" s="14" cm="1">
        <f t="array" ref="Q180">INT(SUMPRODUCT(--ISNUMBER(SEARCH(gun,C180)))&gt;0)</f>
        <v>0</v>
      </c>
      <c r="R180" s="14" cm="1">
        <f t="array" ref="R180">INT(SUMPRODUCT(--ISNUMBER(SEARCH(race,C180)))&gt;0)</f>
        <v>0</v>
      </c>
      <c r="S180" s="14" cm="1">
        <f t="array" ref="S180">INT(SUMPRODUCT(--ISNUMBER(SEARCH(immigration,C180)))&gt;0)</f>
        <v>0</v>
      </c>
      <c r="T180" s="14" cm="1">
        <f t="array" ref="T180">INT(SUMPRODUCT(--ISNUMBER(SEARCH(econineq,C181)))&gt;0)</f>
        <v>0</v>
      </c>
      <c r="U180" s="14" cm="1">
        <f t="array" ref="U180">INT(SUMPRODUCT(--ISNUMBER(SEARCH(climate,C180)))&gt;0)</f>
        <v>0</v>
      </c>
      <c r="V180" s="14" cm="1">
        <f t="array" ref="V180">INT(SUMPRODUCT(--ISNUMBER(SEARCH(abortion,C180)))&gt;0)</f>
        <v>0</v>
      </c>
      <c r="W180" s="14" cm="1">
        <f t="array" ref="W180">INT(SUMPRODUCT(--ISNUMBER(SEARCH(trump,C180)))&gt;0)</f>
        <v>0</v>
      </c>
      <c r="X180" s="14" cm="1">
        <f t="array" ref="X180">INT(SUMPRODUCT(--ISNUMBER(SEARCH(voting,C180)))&gt;0)</f>
        <v>0</v>
      </c>
      <c r="Y180" s="14" cm="1">
        <f t="array" ref="Y180">INT(SUMPRODUCT(--ISNUMBER(SEARCH(democrattrigger,C180)))&gt;0)</f>
        <v>0</v>
      </c>
      <c r="Z180" s="14" cm="1">
        <f t="array" ref="Z180">INT(SUMPRODUCT(--ISNUMBER(SEARCH(bipartisan,C180)))&gt;0)</f>
        <v>0</v>
      </c>
      <c r="AA180" s="14">
        <f t="shared" si="2"/>
        <v>1</v>
      </c>
      <c r="AB180" s="14"/>
      <c r="AC180" s="30" t="s">
        <v>223</v>
      </c>
      <c r="AD180" s="37" t="s">
        <v>223</v>
      </c>
    </row>
    <row r="181" spans="1:30" x14ac:dyDescent="0.25">
      <c r="A181" s="36">
        <v>1166</v>
      </c>
      <c r="B181" s="14" t="s">
        <v>2359</v>
      </c>
      <c r="C181" s="14" t="s">
        <v>2360</v>
      </c>
      <c r="D181" s="18">
        <v>44112</v>
      </c>
      <c r="E181" s="14" t="s">
        <v>30</v>
      </c>
      <c r="F181" s="14">
        <v>1100</v>
      </c>
      <c r="G181" s="14">
        <v>256</v>
      </c>
      <c r="H181" s="14">
        <v>6</v>
      </c>
      <c r="I181" s="14">
        <v>3</v>
      </c>
      <c r="J181" s="14" t="s">
        <v>204</v>
      </c>
      <c r="K181" s="14" cm="1">
        <f t="array" ref="K181">INT(SUMPRODUCT(--ISNUMBER(SEARCH(economy,C181)))&gt;0)</f>
        <v>1</v>
      </c>
      <c r="L181" s="14" cm="1">
        <f t="array" ref="L181">INT(SUMPRODUCT(--ISNUMBER(SEARCH(healthcare,C181)))&gt;0)</f>
        <v>0</v>
      </c>
      <c r="M181" s="14" cm="1">
        <f t="array" ref="M181">INT(SUMPRODUCT(--ISNUMBER(SEARCH(supreme,C181)))&gt;0)</f>
        <v>0</v>
      </c>
      <c r="N181" s="14" cm="1">
        <f t="array" ref="N181">INT(SUMPRODUCT(--ISNUMBER(SEARCH(covid,C181)))&gt;0)</f>
        <v>0</v>
      </c>
      <c r="O181" s="14" cm="1">
        <f t="array" ref="O181">INT(SUMPRODUCT(--ISNUMBER(SEARCH(violent,C181)))&gt;0)</f>
        <v>0</v>
      </c>
      <c r="P181" s="14" cm="1">
        <f t="array" ref="P181">INT(SUMPRODUCT(--ISNUMBER(SEARCH(foreign,C181)))&gt;0)</f>
        <v>0</v>
      </c>
      <c r="Q181" s="14" cm="1">
        <f t="array" ref="Q181">INT(SUMPRODUCT(--ISNUMBER(SEARCH(gun,C181)))&gt;0)</f>
        <v>0</v>
      </c>
      <c r="R181" s="14" cm="1">
        <f t="array" ref="R181">INT(SUMPRODUCT(--ISNUMBER(SEARCH(race,C181)))&gt;0)</f>
        <v>0</v>
      </c>
      <c r="S181" s="14" cm="1">
        <f t="array" ref="S181">INT(SUMPRODUCT(--ISNUMBER(SEARCH(immigration,C181)))&gt;0)</f>
        <v>0</v>
      </c>
      <c r="T181" s="14" cm="1">
        <f t="array" ref="T181">INT(SUMPRODUCT(--ISNUMBER(SEARCH(econineq,C182)))&gt;0)</f>
        <v>0</v>
      </c>
      <c r="U181" s="14" cm="1">
        <f t="array" ref="U181">INT(SUMPRODUCT(--ISNUMBER(SEARCH(climate,C181)))&gt;0)</f>
        <v>0</v>
      </c>
      <c r="V181" s="14" cm="1">
        <f t="array" ref="V181">INT(SUMPRODUCT(--ISNUMBER(SEARCH(abortion,C181)))&gt;0)</f>
        <v>0</v>
      </c>
      <c r="W181" s="14" cm="1">
        <f t="array" ref="W181">INT(SUMPRODUCT(--ISNUMBER(SEARCH(trump,C181)))&gt;0)</f>
        <v>0</v>
      </c>
      <c r="X181" s="14" cm="1">
        <f t="array" ref="X181">INT(SUMPRODUCT(--ISNUMBER(SEARCH(voting,C181)))&gt;0)</f>
        <v>0</v>
      </c>
      <c r="Y181" s="14" cm="1">
        <f t="array" ref="Y181">INT(SUMPRODUCT(--ISNUMBER(SEARCH(democrattrigger,C181)))&gt;0)</f>
        <v>0</v>
      </c>
      <c r="Z181" s="14" cm="1">
        <f t="array" ref="Z181">INT(SUMPRODUCT(--ISNUMBER(SEARCH(bipartisan,C181)))&gt;0)</f>
        <v>0</v>
      </c>
      <c r="AA181" s="14">
        <f t="shared" si="2"/>
        <v>0</v>
      </c>
      <c r="AB181" s="14"/>
      <c r="AC181" s="30" t="s">
        <v>223</v>
      </c>
      <c r="AD181" s="37" t="s">
        <v>223</v>
      </c>
    </row>
    <row r="182" spans="1:30" x14ac:dyDescent="0.25">
      <c r="A182" s="36">
        <v>1167</v>
      </c>
      <c r="B182" s="14" t="s">
        <v>2361</v>
      </c>
      <c r="C182" s="14" t="s">
        <v>2362</v>
      </c>
      <c r="D182" s="18">
        <v>44112</v>
      </c>
      <c r="E182" s="14" t="s">
        <v>30</v>
      </c>
      <c r="F182" s="14">
        <v>242</v>
      </c>
      <c r="G182" s="14">
        <v>67</v>
      </c>
      <c r="H182" s="14">
        <v>6</v>
      </c>
      <c r="I182" s="14">
        <v>3</v>
      </c>
      <c r="J182" s="14" t="s">
        <v>204</v>
      </c>
      <c r="K182" s="14" cm="1">
        <f t="array" ref="K182">INT(SUMPRODUCT(--ISNUMBER(SEARCH(economy,C182)))&gt;0)</f>
        <v>1</v>
      </c>
      <c r="L182" s="14" cm="1">
        <f t="array" ref="L182">INT(SUMPRODUCT(--ISNUMBER(SEARCH(healthcare,C182)))&gt;0)</f>
        <v>0</v>
      </c>
      <c r="M182" s="14" cm="1">
        <f t="array" ref="M182">INT(SUMPRODUCT(--ISNUMBER(SEARCH(supreme,C182)))&gt;0)</f>
        <v>0</v>
      </c>
      <c r="N182" s="14" cm="1">
        <f t="array" ref="N182">INT(SUMPRODUCT(--ISNUMBER(SEARCH(covid,C182)))&gt;0)</f>
        <v>0</v>
      </c>
      <c r="O182" s="14" cm="1">
        <f t="array" ref="O182">INT(SUMPRODUCT(--ISNUMBER(SEARCH(violent,C182)))&gt;0)</f>
        <v>0</v>
      </c>
      <c r="P182" s="14" cm="1">
        <f t="array" ref="P182">INT(SUMPRODUCT(--ISNUMBER(SEARCH(foreign,C182)))&gt;0)</f>
        <v>0</v>
      </c>
      <c r="Q182" s="14" cm="1">
        <f t="array" ref="Q182">INT(SUMPRODUCT(--ISNUMBER(SEARCH(gun,C182)))&gt;0)</f>
        <v>0</v>
      </c>
      <c r="R182" s="14" cm="1">
        <f t="array" ref="R182">INT(SUMPRODUCT(--ISNUMBER(SEARCH(race,C182)))&gt;0)</f>
        <v>0</v>
      </c>
      <c r="S182" s="14" cm="1">
        <f t="array" ref="S182">INT(SUMPRODUCT(--ISNUMBER(SEARCH(immigration,C182)))&gt;0)</f>
        <v>0</v>
      </c>
      <c r="T182" s="14" cm="1">
        <f t="array" ref="T182">INT(SUMPRODUCT(--ISNUMBER(SEARCH(econineq,C183)))&gt;0)</f>
        <v>0</v>
      </c>
      <c r="U182" s="14" cm="1">
        <f t="array" ref="U182">INT(SUMPRODUCT(--ISNUMBER(SEARCH(climate,C182)))&gt;0)</f>
        <v>0</v>
      </c>
      <c r="V182" s="14" cm="1">
        <f t="array" ref="V182">INT(SUMPRODUCT(--ISNUMBER(SEARCH(abortion,C182)))&gt;0)</f>
        <v>0</v>
      </c>
      <c r="W182" s="14" cm="1">
        <f t="array" ref="W182">INT(SUMPRODUCT(--ISNUMBER(SEARCH(trump,C182)))&gt;0)</f>
        <v>0</v>
      </c>
      <c r="X182" s="14" cm="1">
        <f t="array" ref="X182">INT(SUMPRODUCT(--ISNUMBER(SEARCH(voting,C182)))&gt;0)</f>
        <v>0</v>
      </c>
      <c r="Y182" s="14" cm="1">
        <f t="array" ref="Y182">INT(SUMPRODUCT(--ISNUMBER(SEARCH(democrattrigger,C182)))&gt;0)</f>
        <v>0</v>
      </c>
      <c r="Z182" s="14" cm="1">
        <f t="array" ref="Z182">INT(SUMPRODUCT(--ISNUMBER(SEARCH(bipartisan,C182)))&gt;0)</f>
        <v>0</v>
      </c>
      <c r="AA182" s="14">
        <f t="shared" si="2"/>
        <v>0</v>
      </c>
      <c r="AB182" s="14"/>
      <c r="AC182" s="30">
        <v>1</v>
      </c>
      <c r="AD182" s="37">
        <v>0</v>
      </c>
    </row>
    <row r="183" spans="1:30" x14ac:dyDescent="0.25">
      <c r="A183" s="36">
        <v>1168</v>
      </c>
      <c r="B183" s="14" t="s">
        <v>2363</v>
      </c>
      <c r="C183" s="14" t="s">
        <v>2364</v>
      </c>
      <c r="D183" s="18">
        <v>44111</v>
      </c>
      <c r="E183" s="14" t="s">
        <v>30</v>
      </c>
      <c r="F183" s="14">
        <v>211</v>
      </c>
      <c r="G183" s="14">
        <v>101</v>
      </c>
      <c r="H183" s="14">
        <v>6</v>
      </c>
      <c r="I183" s="14">
        <v>3</v>
      </c>
      <c r="J183" s="14" t="s">
        <v>204</v>
      </c>
      <c r="K183" s="14" cm="1">
        <f t="array" ref="K183">INT(SUMPRODUCT(--ISNUMBER(SEARCH(economy,C183)))&gt;0)</f>
        <v>0</v>
      </c>
      <c r="L183" s="14" cm="1">
        <f t="array" ref="L183">INT(SUMPRODUCT(--ISNUMBER(SEARCH(healthcare,C183)))&gt;0)</f>
        <v>0</v>
      </c>
      <c r="M183" s="14" cm="1">
        <f t="array" ref="M183">INT(SUMPRODUCT(--ISNUMBER(SEARCH(supreme,C183)))&gt;0)</f>
        <v>0</v>
      </c>
      <c r="N183" s="14" cm="1">
        <f t="array" ref="N183">INT(SUMPRODUCT(--ISNUMBER(SEARCH(covid,C183)))&gt;0)</f>
        <v>1</v>
      </c>
      <c r="O183" s="14" cm="1">
        <f t="array" ref="O183">INT(SUMPRODUCT(--ISNUMBER(SEARCH(violent,C183)))&gt;0)</f>
        <v>0</v>
      </c>
      <c r="P183" s="14" cm="1">
        <f t="array" ref="P183">INT(SUMPRODUCT(--ISNUMBER(SEARCH(foreign,C183)))&gt;0)</f>
        <v>0</v>
      </c>
      <c r="Q183" s="14" cm="1">
        <f t="array" ref="Q183">INT(SUMPRODUCT(--ISNUMBER(SEARCH(gun,C183)))&gt;0)</f>
        <v>0</v>
      </c>
      <c r="R183" s="14" cm="1">
        <f t="array" ref="R183">INT(SUMPRODUCT(--ISNUMBER(SEARCH(race,C183)))&gt;0)</f>
        <v>0</v>
      </c>
      <c r="S183" s="14" cm="1">
        <f t="array" ref="S183">INT(SUMPRODUCT(--ISNUMBER(SEARCH(immigration,C183)))&gt;0)</f>
        <v>0</v>
      </c>
      <c r="T183" s="14" cm="1">
        <f t="array" ref="T183">INT(SUMPRODUCT(--ISNUMBER(SEARCH(econineq,C184)))&gt;0)</f>
        <v>0</v>
      </c>
      <c r="U183" s="14" cm="1">
        <f t="array" ref="U183">INT(SUMPRODUCT(--ISNUMBER(SEARCH(climate,C183)))&gt;0)</f>
        <v>0</v>
      </c>
      <c r="V183" s="14" cm="1">
        <f t="array" ref="V183">INT(SUMPRODUCT(--ISNUMBER(SEARCH(abortion,C183)))&gt;0)</f>
        <v>0</v>
      </c>
      <c r="W183" s="14" cm="1">
        <f t="array" ref="W183">INT(SUMPRODUCT(--ISNUMBER(SEARCH(trump,C183)))&gt;0)</f>
        <v>0</v>
      </c>
      <c r="X183" s="14" cm="1">
        <f t="array" ref="X183">INT(SUMPRODUCT(--ISNUMBER(SEARCH(voting,C183)))&gt;0)</f>
        <v>0</v>
      </c>
      <c r="Y183" s="14" cm="1">
        <f t="array" ref="Y183">INT(SUMPRODUCT(--ISNUMBER(SEARCH(democrattrigger,C183)))&gt;0)</f>
        <v>0</v>
      </c>
      <c r="Z183" s="14" cm="1">
        <f t="array" ref="Z183">INT(SUMPRODUCT(--ISNUMBER(SEARCH(bipartisan,C183)))&gt;0)</f>
        <v>0</v>
      </c>
      <c r="AA183" s="14">
        <f t="shared" si="2"/>
        <v>0</v>
      </c>
      <c r="AB183" s="14"/>
      <c r="AC183" s="30" t="s">
        <v>223</v>
      </c>
      <c r="AD183" s="37" t="s">
        <v>223</v>
      </c>
    </row>
    <row r="184" spans="1:30" x14ac:dyDescent="0.25">
      <c r="A184" s="36">
        <v>1169</v>
      </c>
      <c r="B184" s="14" t="s">
        <v>2365</v>
      </c>
      <c r="C184" s="14" t="s">
        <v>2366</v>
      </c>
      <c r="D184" s="18">
        <v>44111</v>
      </c>
      <c r="E184" s="14" t="s">
        <v>30</v>
      </c>
      <c r="F184" s="14">
        <v>6001</v>
      </c>
      <c r="G184" s="14">
        <v>1699</v>
      </c>
      <c r="H184" s="14">
        <v>6</v>
      </c>
      <c r="I184" s="14">
        <v>3</v>
      </c>
      <c r="J184" s="14" t="s">
        <v>204</v>
      </c>
      <c r="K184" s="14" cm="1">
        <f t="array" ref="K184">INT(SUMPRODUCT(--ISNUMBER(SEARCH(economy,C184)))&gt;0)</f>
        <v>0</v>
      </c>
      <c r="L184" s="14" cm="1">
        <f t="array" ref="L184">INT(SUMPRODUCT(--ISNUMBER(SEARCH(healthcare,C184)))&gt;0)</f>
        <v>0</v>
      </c>
      <c r="M184" s="14" cm="1">
        <f t="array" ref="M184">INT(SUMPRODUCT(--ISNUMBER(SEARCH(supreme,C184)))&gt;0)</f>
        <v>0</v>
      </c>
      <c r="N184" s="14" cm="1">
        <f t="array" ref="N184">INT(SUMPRODUCT(--ISNUMBER(SEARCH(covid,C184)))&gt;0)</f>
        <v>0</v>
      </c>
      <c r="O184" s="14" cm="1">
        <f t="array" ref="O184">INT(SUMPRODUCT(--ISNUMBER(SEARCH(violent,C184)))&gt;0)</f>
        <v>0</v>
      </c>
      <c r="P184" s="14" cm="1">
        <f t="array" ref="P184">INT(SUMPRODUCT(--ISNUMBER(SEARCH(foreign,C184)))&gt;0)</f>
        <v>0</v>
      </c>
      <c r="Q184" s="14" cm="1">
        <f t="array" ref="Q184">INT(SUMPRODUCT(--ISNUMBER(SEARCH(gun,C184)))&gt;0)</f>
        <v>0</v>
      </c>
      <c r="R184" s="14" cm="1">
        <f t="array" ref="R184">INT(SUMPRODUCT(--ISNUMBER(SEARCH(race,C184)))&gt;0)</f>
        <v>0</v>
      </c>
      <c r="S184" s="14" cm="1">
        <f t="array" ref="S184">INT(SUMPRODUCT(--ISNUMBER(SEARCH(immigration,C184)))&gt;0)</f>
        <v>0</v>
      </c>
      <c r="T184" s="14" cm="1">
        <f t="array" ref="T184">INT(SUMPRODUCT(--ISNUMBER(SEARCH(econineq,C185)))&gt;0)</f>
        <v>0</v>
      </c>
      <c r="U184" s="14" cm="1">
        <f t="array" ref="U184">INT(SUMPRODUCT(--ISNUMBER(SEARCH(climate,C184)))&gt;0)</f>
        <v>0</v>
      </c>
      <c r="V184" s="14" cm="1">
        <f t="array" ref="V184">INT(SUMPRODUCT(--ISNUMBER(SEARCH(abortion,C184)))&gt;0)</f>
        <v>0</v>
      </c>
      <c r="W184" s="14" cm="1">
        <f t="array" ref="W184">INT(SUMPRODUCT(--ISNUMBER(SEARCH(trump,C184)))&gt;0)</f>
        <v>0</v>
      </c>
      <c r="X184" s="14" cm="1">
        <f t="array" ref="X184">INT(SUMPRODUCT(--ISNUMBER(SEARCH(voting,C184)))&gt;0)</f>
        <v>1</v>
      </c>
      <c r="Y184" s="14" cm="1">
        <f t="array" ref="Y184">INT(SUMPRODUCT(--ISNUMBER(SEARCH(democrattrigger,C184)))&gt;0)</f>
        <v>0</v>
      </c>
      <c r="Z184" s="14" cm="1">
        <f t="array" ref="Z184">INT(SUMPRODUCT(--ISNUMBER(SEARCH(bipartisan,C184)))&gt;0)</f>
        <v>0</v>
      </c>
      <c r="AA184" s="14">
        <f t="shared" si="2"/>
        <v>0</v>
      </c>
      <c r="AB184" s="14"/>
      <c r="AC184" s="30">
        <v>0</v>
      </c>
      <c r="AD184" s="37">
        <v>1</v>
      </c>
    </row>
    <row r="185" spans="1:30" x14ac:dyDescent="0.25">
      <c r="A185" s="36">
        <v>1170</v>
      </c>
      <c r="B185" s="14" t="s">
        <v>2367</v>
      </c>
      <c r="C185" s="14" t="s">
        <v>2368</v>
      </c>
      <c r="D185" s="18">
        <v>44111</v>
      </c>
      <c r="E185" s="14" t="s">
        <v>30</v>
      </c>
      <c r="F185" s="14">
        <v>4265</v>
      </c>
      <c r="G185" s="14">
        <v>1275</v>
      </c>
      <c r="H185" s="14">
        <v>6</v>
      </c>
      <c r="I185" s="14">
        <v>3</v>
      </c>
      <c r="J185" s="14" t="s">
        <v>204</v>
      </c>
      <c r="K185" s="14" cm="1">
        <f t="array" ref="K185">INT(SUMPRODUCT(--ISNUMBER(SEARCH(economy,C185)))&gt;0)</f>
        <v>0</v>
      </c>
      <c r="L185" s="14" cm="1">
        <f t="array" ref="L185">INT(SUMPRODUCT(--ISNUMBER(SEARCH(healthcare,C185)))&gt;0)</f>
        <v>0</v>
      </c>
      <c r="M185" s="14" cm="1">
        <f t="array" ref="M185">INT(SUMPRODUCT(--ISNUMBER(SEARCH(supreme,C185)))&gt;0)</f>
        <v>0</v>
      </c>
      <c r="N185" s="14" cm="1">
        <f t="array" ref="N185">INT(SUMPRODUCT(--ISNUMBER(SEARCH(covid,C185)))&gt;0)</f>
        <v>0</v>
      </c>
      <c r="O185" s="14" cm="1">
        <f t="array" ref="O185">INT(SUMPRODUCT(--ISNUMBER(SEARCH(violent,C185)))&gt;0)</f>
        <v>0</v>
      </c>
      <c r="P185" s="14" cm="1">
        <f t="array" ref="P185">INT(SUMPRODUCT(--ISNUMBER(SEARCH(foreign,C185)))&gt;0)</f>
        <v>0</v>
      </c>
      <c r="Q185" s="14" cm="1">
        <f t="array" ref="Q185">INT(SUMPRODUCT(--ISNUMBER(SEARCH(gun,C185)))&gt;0)</f>
        <v>0</v>
      </c>
      <c r="R185" s="14" cm="1">
        <f t="array" ref="R185">INT(SUMPRODUCT(--ISNUMBER(SEARCH(race,C185)))&gt;0)</f>
        <v>0</v>
      </c>
      <c r="S185" s="14" cm="1">
        <f t="array" ref="S185">INT(SUMPRODUCT(--ISNUMBER(SEARCH(immigration,C185)))&gt;0)</f>
        <v>0</v>
      </c>
      <c r="T185" s="14" cm="1">
        <f t="array" ref="T185">INT(SUMPRODUCT(--ISNUMBER(SEARCH(econineq,C186)))&gt;0)</f>
        <v>0</v>
      </c>
      <c r="U185" s="14" cm="1">
        <f t="array" ref="U185">INT(SUMPRODUCT(--ISNUMBER(SEARCH(climate,C185)))&gt;0)</f>
        <v>0</v>
      </c>
      <c r="V185" s="14" cm="1">
        <f t="array" ref="V185">INT(SUMPRODUCT(--ISNUMBER(SEARCH(abortion,C185)))&gt;0)</f>
        <v>0</v>
      </c>
      <c r="W185" s="14" cm="1">
        <f t="array" ref="W185">INT(SUMPRODUCT(--ISNUMBER(SEARCH(trump,C185)))&gt;0)</f>
        <v>0</v>
      </c>
      <c r="X185" s="14" cm="1">
        <f t="array" ref="X185">INT(SUMPRODUCT(--ISNUMBER(SEARCH(voting,C185)))&gt;0)</f>
        <v>0</v>
      </c>
      <c r="Y185" s="14" cm="1">
        <f t="array" ref="Y185">INT(SUMPRODUCT(--ISNUMBER(SEARCH(democrattrigger,C185)))&gt;0)</f>
        <v>0</v>
      </c>
      <c r="Z185" s="14" cm="1">
        <f t="array" ref="Z185">INT(SUMPRODUCT(--ISNUMBER(SEARCH(bipartisan,C185)))&gt;0)</f>
        <v>0</v>
      </c>
      <c r="AA185" s="14">
        <f t="shared" si="2"/>
        <v>1</v>
      </c>
      <c r="AB185" s="14"/>
      <c r="AC185" s="30" t="s">
        <v>223</v>
      </c>
      <c r="AD185" s="37" t="s">
        <v>223</v>
      </c>
    </row>
    <row r="186" spans="1:30" x14ac:dyDescent="0.25">
      <c r="A186" s="36">
        <v>1171</v>
      </c>
      <c r="B186" s="14" t="s">
        <v>2369</v>
      </c>
      <c r="C186" s="14" t="s">
        <v>2370</v>
      </c>
      <c r="D186" s="18">
        <v>44111</v>
      </c>
      <c r="E186" s="14" t="s">
        <v>30</v>
      </c>
      <c r="F186" s="14">
        <v>691</v>
      </c>
      <c r="G186" s="14">
        <v>271</v>
      </c>
      <c r="H186" s="14">
        <v>6</v>
      </c>
      <c r="I186" s="14">
        <v>3</v>
      </c>
      <c r="J186" s="14" t="s">
        <v>204</v>
      </c>
      <c r="K186" s="14" cm="1">
        <f t="array" ref="K186">INT(SUMPRODUCT(--ISNUMBER(SEARCH(economy,C186)))&gt;0)</f>
        <v>1</v>
      </c>
      <c r="L186" s="14" cm="1">
        <f t="array" ref="L186">INT(SUMPRODUCT(--ISNUMBER(SEARCH(healthcare,C186)))&gt;0)</f>
        <v>0</v>
      </c>
      <c r="M186" s="14" cm="1">
        <f t="array" ref="M186">INT(SUMPRODUCT(--ISNUMBER(SEARCH(supreme,C186)))&gt;0)</f>
        <v>0</v>
      </c>
      <c r="N186" s="14" cm="1">
        <f t="array" ref="N186">INT(SUMPRODUCT(--ISNUMBER(SEARCH(covid,C186)))&gt;0)</f>
        <v>1</v>
      </c>
      <c r="O186" s="14" cm="1">
        <f t="array" ref="O186">INT(SUMPRODUCT(--ISNUMBER(SEARCH(violent,C186)))&gt;0)</f>
        <v>0</v>
      </c>
      <c r="P186" s="14" cm="1">
        <f t="array" ref="P186">INT(SUMPRODUCT(--ISNUMBER(SEARCH(foreign,C186)))&gt;0)</f>
        <v>0</v>
      </c>
      <c r="Q186" s="14" cm="1">
        <f t="array" ref="Q186">INT(SUMPRODUCT(--ISNUMBER(SEARCH(gun,C186)))&gt;0)</f>
        <v>0</v>
      </c>
      <c r="R186" s="14" cm="1">
        <f t="array" ref="R186">INT(SUMPRODUCT(--ISNUMBER(SEARCH(race,C186)))&gt;0)</f>
        <v>0</v>
      </c>
      <c r="S186" s="14" cm="1">
        <f t="array" ref="S186">INT(SUMPRODUCT(--ISNUMBER(SEARCH(immigration,C186)))&gt;0)</f>
        <v>0</v>
      </c>
      <c r="T186" s="14" cm="1">
        <f t="array" ref="T186">INT(SUMPRODUCT(--ISNUMBER(SEARCH(econineq,C187)))&gt;0)</f>
        <v>0</v>
      </c>
      <c r="U186" s="14" cm="1">
        <f t="array" ref="U186">INT(SUMPRODUCT(--ISNUMBER(SEARCH(climate,C186)))&gt;0)</f>
        <v>0</v>
      </c>
      <c r="V186" s="14" cm="1">
        <f t="array" ref="V186">INT(SUMPRODUCT(--ISNUMBER(SEARCH(abortion,C186)))&gt;0)</f>
        <v>0</v>
      </c>
      <c r="W186" s="14" cm="1">
        <f t="array" ref="W186">INT(SUMPRODUCT(--ISNUMBER(SEARCH(trump,C186)))&gt;0)</f>
        <v>0</v>
      </c>
      <c r="X186" s="14" cm="1">
        <f t="array" ref="X186">INT(SUMPRODUCT(--ISNUMBER(SEARCH(voting,C186)))&gt;0)</f>
        <v>0</v>
      </c>
      <c r="Y186" s="14" cm="1">
        <f t="array" ref="Y186">INT(SUMPRODUCT(--ISNUMBER(SEARCH(democrattrigger,C186)))&gt;0)</f>
        <v>0</v>
      </c>
      <c r="Z186" s="14" cm="1">
        <f t="array" ref="Z186">INT(SUMPRODUCT(--ISNUMBER(SEARCH(bipartisan,C186)))&gt;0)</f>
        <v>0</v>
      </c>
      <c r="AA186" s="14">
        <f t="shared" si="2"/>
        <v>0</v>
      </c>
      <c r="AB186" s="14"/>
      <c r="AC186" s="30" t="s">
        <v>223</v>
      </c>
      <c r="AD186" s="37" t="s">
        <v>223</v>
      </c>
    </row>
    <row r="187" spans="1:30" x14ac:dyDescent="0.25">
      <c r="A187" s="36">
        <v>1172</v>
      </c>
      <c r="B187" s="14" t="s">
        <v>2371</v>
      </c>
      <c r="C187" s="14" t="s">
        <v>2372</v>
      </c>
      <c r="D187" s="18">
        <v>44111</v>
      </c>
      <c r="E187" s="14" t="s">
        <v>30</v>
      </c>
      <c r="F187" s="14">
        <v>762</v>
      </c>
      <c r="G187" s="14">
        <v>261</v>
      </c>
      <c r="H187" s="14">
        <v>6</v>
      </c>
      <c r="I187" s="14">
        <v>3</v>
      </c>
      <c r="J187" s="14" t="s">
        <v>204</v>
      </c>
      <c r="K187" s="14" cm="1">
        <f t="array" ref="K187">INT(SUMPRODUCT(--ISNUMBER(SEARCH(economy,C187)))&gt;0)</f>
        <v>0</v>
      </c>
      <c r="L187" s="14" cm="1">
        <f t="array" ref="L187">INT(SUMPRODUCT(--ISNUMBER(SEARCH(healthcare,C187)))&gt;0)</f>
        <v>0</v>
      </c>
      <c r="M187" s="14" cm="1">
        <f t="array" ref="M187">INT(SUMPRODUCT(--ISNUMBER(SEARCH(supreme,C187)))&gt;0)</f>
        <v>0</v>
      </c>
      <c r="N187" s="14" cm="1">
        <f t="array" ref="N187">INT(SUMPRODUCT(--ISNUMBER(SEARCH(covid,C187)))&gt;0)</f>
        <v>0</v>
      </c>
      <c r="O187" s="14" cm="1">
        <f t="array" ref="O187">INT(SUMPRODUCT(--ISNUMBER(SEARCH(violent,C187)))&gt;0)</f>
        <v>0</v>
      </c>
      <c r="P187" s="14" cm="1">
        <f t="array" ref="P187">INT(SUMPRODUCT(--ISNUMBER(SEARCH(foreign,C187)))&gt;0)</f>
        <v>0</v>
      </c>
      <c r="Q187" s="14" cm="1">
        <f t="array" ref="Q187">INT(SUMPRODUCT(--ISNUMBER(SEARCH(gun,C187)))&gt;0)</f>
        <v>0</v>
      </c>
      <c r="R187" s="14" cm="1">
        <f t="array" ref="R187">INT(SUMPRODUCT(--ISNUMBER(SEARCH(race,C187)))&gt;0)</f>
        <v>0</v>
      </c>
      <c r="S187" s="14" cm="1">
        <f t="array" ref="S187">INT(SUMPRODUCT(--ISNUMBER(SEARCH(immigration,C187)))&gt;0)</f>
        <v>0</v>
      </c>
      <c r="T187" s="14" cm="1">
        <f t="array" ref="T187">INT(SUMPRODUCT(--ISNUMBER(SEARCH(econineq,C188)))&gt;0)</f>
        <v>0</v>
      </c>
      <c r="U187" s="14" cm="1">
        <f t="array" ref="U187">INT(SUMPRODUCT(--ISNUMBER(SEARCH(climate,C187)))&gt;0)</f>
        <v>0</v>
      </c>
      <c r="V187" s="14" cm="1">
        <f t="array" ref="V187">INT(SUMPRODUCT(--ISNUMBER(SEARCH(abortion,C187)))&gt;0)</f>
        <v>0</v>
      </c>
      <c r="W187" s="14" cm="1">
        <f t="array" ref="W187">INT(SUMPRODUCT(--ISNUMBER(SEARCH(trump,C187)))&gt;0)</f>
        <v>0</v>
      </c>
      <c r="X187" s="14" cm="1">
        <f t="array" ref="X187">INT(SUMPRODUCT(--ISNUMBER(SEARCH(voting,C187)))&gt;0)</f>
        <v>1</v>
      </c>
      <c r="Y187" s="14" cm="1">
        <f t="array" ref="Y187">INT(SUMPRODUCT(--ISNUMBER(SEARCH(democrattrigger,C187)))&gt;0)</f>
        <v>1</v>
      </c>
      <c r="Z187" s="14" cm="1">
        <f t="array" ref="Z187">INT(SUMPRODUCT(--ISNUMBER(SEARCH(bipartisan,C187)))&gt;0)</f>
        <v>0</v>
      </c>
      <c r="AA187" s="14">
        <f t="shared" si="2"/>
        <v>0</v>
      </c>
      <c r="AB187" s="14"/>
      <c r="AC187" s="30" t="s">
        <v>223</v>
      </c>
      <c r="AD187" s="37" t="s">
        <v>223</v>
      </c>
    </row>
    <row r="188" spans="1:30" x14ac:dyDescent="0.25">
      <c r="A188" s="36">
        <v>1173</v>
      </c>
      <c r="B188" s="14" t="s">
        <v>2373</v>
      </c>
      <c r="C188" s="14" t="s">
        <v>2374</v>
      </c>
      <c r="D188" s="18">
        <v>44111</v>
      </c>
      <c r="E188" s="14" t="s">
        <v>30</v>
      </c>
      <c r="F188" s="14">
        <v>788</v>
      </c>
      <c r="G188" s="14">
        <v>343</v>
      </c>
      <c r="H188" s="14">
        <v>6</v>
      </c>
      <c r="I188" s="14">
        <v>3</v>
      </c>
      <c r="J188" s="14" t="s">
        <v>204</v>
      </c>
      <c r="K188" s="14" cm="1">
        <f t="array" ref="K188">INT(SUMPRODUCT(--ISNUMBER(SEARCH(economy,C188)))&gt;0)</f>
        <v>0</v>
      </c>
      <c r="L188" s="14" cm="1">
        <f t="array" ref="L188">INT(SUMPRODUCT(--ISNUMBER(SEARCH(healthcare,C188)))&gt;0)</f>
        <v>1</v>
      </c>
      <c r="M188" s="14" cm="1">
        <f t="array" ref="M188">INT(SUMPRODUCT(--ISNUMBER(SEARCH(supreme,C188)))&gt;0)</f>
        <v>0</v>
      </c>
      <c r="N188" s="14" cm="1">
        <f t="array" ref="N188">INT(SUMPRODUCT(--ISNUMBER(SEARCH(covid,C188)))&gt;0)</f>
        <v>0</v>
      </c>
      <c r="O188" s="14" cm="1">
        <f t="array" ref="O188">INT(SUMPRODUCT(--ISNUMBER(SEARCH(violent,C188)))&gt;0)</f>
        <v>0</v>
      </c>
      <c r="P188" s="14" cm="1">
        <f t="array" ref="P188">INT(SUMPRODUCT(--ISNUMBER(SEARCH(foreign,C188)))&gt;0)</f>
        <v>0</v>
      </c>
      <c r="Q188" s="14" cm="1">
        <f t="array" ref="Q188">INT(SUMPRODUCT(--ISNUMBER(SEARCH(gun,C188)))&gt;0)</f>
        <v>0</v>
      </c>
      <c r="R188" s="14" cm="1">
        <f t="array" ref="R188">INT(SUMPRODUCT(--ISNUMBER(SEARCH(race,C188)))&gt;0)</f>
        <v>0</v>
      </c>
      <c r="S188" s="14" cm="1">
        <f t="array" ref="S188">INT(SUMPRODUCT(--ISNUMBER(SEARCH(immigration,C188)))&gt;0)</f>
        <v>0</v>
      </c>
      <c r="T188" s="14" cm="1">
        <f t="array" ref="T188">INT(SUMPRODUCT(--ISNUMBER(SEARCH(econineq,C189)))&gt;0)</f>
        <v>0</v>
      </c>
      <c r="U188" s="14" cm="1">
        <f t="array" ref="U188">INT(SUMPRODUCT(--ISNUMBER(SEARCH(climate,C188)))&gt;0)</f>
        <v>0</v>
      </c>
      <c r="V188" s="14" cm="1">
        <f t="array" ref="V188">INT(SUMPRODUCT(--ISNUMBER(SEARCH(abortion,C188)))&gt;0)</f>
        <v>0</v>
      </c>
      <c r="W188" s="14" cm="1">
        <f t="array" ref="W188">INT(SUMPRODUCT(--ISNUMBER(SEARCH(trump,C188)))&gt;0)</f>
        <v>0</v>
      </c>
      <c r="X188" s="14" cm="1">
        <f t="array" ref="X188">INT(SUMPRODUCT(--ISNUMBER(SEARCH(voting,C188)))&gt;0)</f>
        <v>1</v>
      </c>
      <c r="Y188" s="14" cm="1">
        <f t="array" ref="Y188">INT(SUMPRODUCT(--ISNUMBER(SEARCH(democrattrigger,C188)))&gt;0)</f>
        <v>1</v>
      </c>
      <c r="Z188" s="14" cm="1">
        <f t="array" ref="Z188">INT(SUMPRODUCT(--ISNUMBER(SEARCH(bipartisan,C188)))&gt;0)</f>
        <v>0</v>
      </c>
      <c r="AA188" s="14">
        <f t="shared" si="2"/>
        <v>0</v>
      </c>
      <c r="AB188" s="14"/>
      <c r="AC188" s="30" t="s">
        <v>223</v>
      </c>
      <c r="AD188" s="37" t="s">
        <v>223</v>
      </c>
    </row>
    <row r="189" spans="1:30" x14ac:dyDescent="0.25">
      <c r="A189" s="36">
        <v>1174</v>
      </c>
      <c r="B189" s="14" t="s">
        <v>2375</v>
      </c>
      <c r="C189" s="14" t="s">
        <v>2376</v>
      </c>
      <c r="D189" s="18">
        <v>44110</v>
      </c>
      <c r="E189" s="14" t="s">
        <v>30</v>
      </c>
      <c r="F189" s="14">
        <v>339</v>
      </c>
      <c r="G189" s="14">
        <v>147</v>
      </c>
      <c r="H189" s="14">
        <v>6</v>
      </c>
      <c r="I189" s="14">
        <v>3</v>
      </c>
      <c r="J189" s="14" t="s">
        <v>204</v>
      </c>
      <c r="K189" s="14" cm="1">
        <f t="array" ref="K189">INT(SUMPRODUCT(--ISNUMBER(SEARCH(economy,C189)))&gt;0)</f>
        <v>1</v>
      </c>
      <c r="L189" s="14" cm="1">
        <f t="array" ref="L189">INT(SUMPRODUCT(--ISNUMBER(SEARCH(healthcare,C189)))&gt;0)</f>
        <v>0</v>
      </c>
      <c r="M189" s="14" cm="1">
        <f t="array" ref="M189">INT(SUMPRODUCT(--ISNUMBER(SEARCH(supreme,C189)))&gt;0)</f>
        <v>0</v>
      </c>
      <c r="N189" s="14" cm="1">
        <f t="array" ref="N189">INT(SUMPRODUCT(--ISNUMBER(SEARCH(covid,C189)))&gt;0)</f>
        <v>0</v>
      </c>
      <c r="O189" s="14" cm="1">
        <f t="array" ref="O189">INT(SUMPRODUCT(--ISNUMBER(SEARCH(violent,C189)))&gt;0)</f>
        <v>0</v>
      </c>
      <c r="P189" s="14" cm="1">
        <f t="array" ref="P189">INT(SUMPRODUCT(--ISNUMBER(SEARCH(foreign,C189)))&gt;0)</f>
        <v>0</v>
      </c>
      <c r="Q189" s="14" cm="1">
        <f t="array" ref="Q189">INT(SUMPRODUCT(--ISNUMBER(SEARCH(gun,C189)))&gt;0)</f>
        <v>0</v>
      </c>
      <c r="R189" s="14" cm="1">
        <f t="array" ref="R189">INT(SUMPRODUCT(--ISNUMBER(SEARCH(race,C189)))&gt;0)</f>
        <v>0</v>
      </c>
      <c r="S189" s="14" cm="1">
        <f t="array" ref="S189">INT(SUMPRODUCT(--ISNUMBER(SEARCH(immigration,C189)))&gt;0)</f>
        <v>0</v>
      </c>
      <c r="T189" s="14" cm="1">
        <f t="array" ref="T189">INT(SUMPRODUCT(--ISNUMBER(SEARCH(econineq,C190)))&gt;0)</f>
        <v>0</v>
      </c>
      <c r="U189" s="14" cm="1">
        <f t="array" ref="U189">INT(SUMPRODUCT(--ISNUMBER(SEARCH(climate,C189)))&gt;0)</f>
        <v>0</v>
      </c>
      <c r="V189" s="14" cm="1">
        <f t="array" ref="V189">INT(SUMPRODUCT(--ISNUMBER(SEARCH(abortion,C189)))&gt;0)</f>
        <v>0</v>
      </c>
      <c r="W189" s="14" cm="1">
        <f t="array" ref="W189">INT(SUMPRODUCT(--ISNUMBER(SEARCH(trump,C189)))&gt;0)</f>
        <v>0</v>
      </c>
      <c r="X189" s="14" cm="1">
        <f t="array" ref="X189">INT(SUMPRODUCT(--ISNUMBER(SEARCH(voting,C189)))&gt;0)</f>
        <v>1</v>
      </c>
      <c r="Y189" s="14" cm="1">
        <f t="array" ref="Y189">INT(SUMPRODUCT(--ISNUMBER(SEARCH(democrattrigger,C189)))&gt;0)</f>
        <v>0</v>
      </c>
      <c r="Z189" s="14" cm="1">
        <f t="array" ref="Z189">INT(SUMPRODUCT(--ISNUMBER(SEARCH(bipartisan,C189)))&gt;0)</f>
        <v>0</v>
      </c>
      <c r="AA189" s="14">
        <f t="shared" si="2"/>
        <v>0</v>
      </c>
      <c r="AB189" s="14"/>
      <c r="AC189" s="30" t="s">
        <v>223</v>
      </c>
      <c r="AD189" s="37" t="s">
        <v>223</v>
      </c>
    </row>
    <row r="190" spans="1:30" x14ac:dyDescent="0.25">
      <c r="A190" s="36">
        <v>1175</v>
      </c>
      <c r="B190" s="14" t="s">
        <v>2377</v>
      </c>
      <c r="C190" s="14" t="s">
        <v>2378</v>
      </c>
      <c r="D190" s="18">
        <v>44110</v>
      </c>
      <c r="E190" s="14" t="s">
        <v>30</v>
      </c>
      <c r="F190" s="14">
        <v>583</v>
      </c>
      <c r="G190" s="14">
        <v>199</v>
      </c>
      <c r="H190" s="14">
        <v>6</v>
      </c>
      <c r="I190" s="14">
        <v>3</v>
      </c>
      <c r="J190" s="14" t="s">
        <v>204</v>
      </c>
      <c r="K190" s="14" cm="1">
        <f t="array" ref="K190">INT(SUMPRODUCT(--ISNUMBER(SEARCH(economy,C190)))&gt;0)</f>
        <v>0</v>
      </c>
      <c r="L190" s="14" cm="1">
        <f t="array" ref="L190">INT(SUMPRODUCT(--ISNUMBER(SEARCH(healthcare,C190)))&gt;0)</f>
        <v>0</v>
      </c>
      <c r="M190" s="14" cm="1">
        <f t="array" ref="M190">INT(SUMPRODUCT(--ISNUMBER(SEARCH(supreme,C190)))&gt;0)</f>
        <v>0</v>
      </c>
      <c r="N190" s="14" cm="1">
        <f t="array" ref="N190">INT(SUMPRODUCT(--ISNUMBER(SEARCH(covid,C190)))&gt;0)</f>
        <v>1</v>
      </c>
      <c r="O190" s="14" cm="1">
        <f t="array" ref="O190">INT(SUMPRODUCT(--ISNUMBER(SEARCH(violent,C190)))&gt;0)</f>
        <v>0</v>
      </c>
      <c r="P190" s="14" cm="1">
        <f t="array" ref="P190">INT(SUMPRODUCT(--ISNUMBER(SEARCH(foreign,C190)))&gt;0)</f>
        <v>0</v>
      </c>
      <c r="Q190" s="14" cm="1">
        <f t="array" ref="Q190">INT(SUMPRODUCT(--ISNUMBER(SEARCH(gun,C190)))&gt;0)</f>
        <v>0</v>
      </c>
      <c r="R190" s="14" cm="1">
        <f t="array" ref="R190">INT(SUMPRODUCT(--ISNUMBER(SEARCH(race,C190)))&gt;0)</f>
        <v>0</v>
      </c>
      <c r="S190" s="14" cm="1">
        <f t="array" ref="S190">INT(SUMPRODUCT(--ISNUMBER(SEARCH(immigration,C190)))&gt;0)</f>
        <v>0</v>
      </c>
      <c r="T190" s="14" cm="1">
        <f t="array" ref="T190">INT(SUMPRODUCT(--ISNUMBER(SEARCH(econineq,C191)))&gt;0)</f>
        <v>0</v>
      </c>
      <c r="U190" s="14" cm="1">
        <f t="array" ref="U190">INT(SUMPRODUCT(--ISNUMBER(SEARCH(climate,C190)))&gt;0)</f>
        <v>0</v>
      </c>
      <c r="V190" s="14" cm="1">
        <f t="array" ref="V190">INT(SUMPRODUCT(--ISNUMBER(SEARCH(abortion,C190)))&gt;0)</f>
        <v>0</v>
      </c>
      <c r="W190" s="14" cm="1">
        <f t="array" ref="W190">INT(SUMPRODUCT(--ISNUMBER(SEARCH(trump,C190)))&gt;0)</f>
        <v>0</v>
      </c>
      <c r="X190" s="14" cm="1">
        <f t="array" ref="X190">INT(SUMPRODUCT(--ISNUMBER(SEARCH(voting,C190)))&gt;0)</f>
        <v>0</v>
      </c>
      <c r="Y190" s="14" cm="1">
        <f t="array" ref="Y190">INT(SUMPRODUCT(--ISNUMBER(SEARCH(democrattrigger,C190)))&gt;0)</f>
        <v>0</v>
      </c>
      <c r="Z190" s="14" cm="1">
        <f t="array" ref="Z190">INT(SUMPRODUCT(--ISNUMBER(SEARCH(bipartisan,C190)))&gt;0)</f>
        <v>1</v>
      </c>
      <c r="AA190" s="14">
        <f t="shared" si="2"/>
        <v>0</v>
      </c>
      <c r="AB190" s="14"/>
      <c r="AC190" s="30" t="s">
        <v>223</v>
      </c>
      <c r="AD190" s="37" t="s">
        <v>223</v>
      </c>
    </row>
    <row r="191" spans="1:30" x14ac:dyDescent="0.25">
      <c r="A191" s="36">
        <v>1176</v>
      </c>
      <c r="B191" s="14" t="s">
        <v>2379</v>
      </c>
      <c r="C191" s="14" t="s">
        <v>2380</v>
      </c>
      <c r="D191" s="18">
        <v>44110</v>
      </c>
      <c r="E191" s="14" t="s">
        <v>30</v>
      </c>
      <c r="F191" s="14">
        <v>315</v>
      </c>
      <c r="G191" s="14">
        <v>95</v>
      </c>
      <c r="H191" s="14">
        <v>6</v>
      </c>
      <c r="I191" s="14">
        <v>3</v>
      </c>
      <c r="J191" s="14" t="s">
        <v>204</v>
      </c>
      <c r="K191" s="14" cm="1">
        <f t="array" ref="K191">INT(SUMPRODUCT(--ISNUMBER(SEARCH(economy,C191)))&gt;0)</f>
        <v>0</v>
      </c>
      <c r="L191" s="14" cm="1">
        <f t="array" ref="L191">INT(SUMPRODUCT(--ISNUMBER(SEARCH(healthcare,C191)))&gt;0)</f>
        <v>0</v>
      </c>
      <c r="M191" s="14" cm="1">
        <f t="array" ref="M191">INT(SUMPRODUCT(--ISNUMBER(SEARCH(supreme,C191)))&gt;0)</f>
        <v>0</v>
      </c>
      <c r="N191" s="14" cm="1">
        <f t="array" ref="N191">INT(SUMPRODUCT(--ISNUMBER(SEARCH(covid,C191)))&gt;0)</f>
        <v>0</v>
      </c>
      <c r="O191" s="14" cm="1">
        <f t="array" ref="O191">INT(SUMPRODUCT(--ISNUMBER(SEARCH(violent,C191)))&gt;0)</f>
        <v>0</v>
      </c>
      <c r="P191" s="14" cm="1">
        <f t="array" ref="P191">INT(SUMPRODUCT(--ISNUMBER(SEARCH(foreign,C191)))&gt;0)</f>
        <v>0</v>
      </c>
      <c r="Q191" s="14" cm="1">
        <f t="array" ref="Q191">INT(SUMPRODUCT(--ISNUMBER(SEARCH(gun,C191)))&gt;0)</f>
        <v>0</v>
      </c>
      <c r="R191" s="14" cm="1">
        <f t="array" ref="R191">INT(SUMPRODUCT(--ISNUMBER(SEARCH(race,C191)))&gt;0)</f>
        <v>0</v>
      </c>
      <c r="S191" s="14" cm="1">
        <f t="array" ref="S191">INT(SUMPRODUCT(--ISNUMBER(SEARCH(immigration,C191)))&gt;0)</f>
        <v>0</v>
      </c>
      <c r="T191" s="14" cm="1">
        <f t="array" ref="T191">INT(SUMPRODUCT(--ISNUMBER(SEARCH(econineq,C192)))&gt;0)</f>
        <v>0</v>
      </c>
      <c r="U191" s="14" cm="1">
        <f t="array" ref="U191">INT(SUMPRODUCT(--ISNUMBER(SEARCH(climate,C191)))&gt;0)</f>
        <v>0</v>
      </c>
      <c r="V191" s="14" cm="1">
        <f t="array" ref="V191">INT(SUMPRODUCT(--ISNUMBER(SEARCH(abortion,C191)))&gt;0)</f>
        <v>0</v>
      </c>
      <c r="W191" s="14" cm="1">
        <f t="array" ref="W191">INT(SUMPRODUCT(--ISNUMBER(SEARCH(trump,C191)))&gt;0)</f>
        <v>0</v>
      </c>
      <c r="X191" s="14" cm="1">
        <f t="array" ref="X191">INT(SUMPRODUCT(--ISNUMBER(SEARCH(voting,C191)))&gt;0)</f>
        <v>0</v>
      </c>
      <c r="Y191" s="14" cm="1">
        <f t="array" ref="Y191">INT(SUMPRODUCT(--ISNUMBER(SEARCH(democrattrigger,C191)))&gt;0)</f>
        <v>0</v>
      </c>
      <c r="Z191" s="14" cm="1">
        <f t="array" ref="Z191">INT(SUMPRODUCT(--ISNUMBER(SEARCH(bipartisan,C191)))&gt;0)</f>
        <v>0</v>
      </c>
      <c r="AA191" s="14">
        <f t="shared" si="2"/>
        <v>1</v>
      </c>
      <c r="AB191" s="14"/>
      <c r="AC191" s="30" t="s">
        <v>223</v>
      </c>
      <c r="AD191" s="37" t="s">
        <v>223</v>
      </c>
    </row>
    <row r="192" spans="1:30" x14ac:dyDescent="0.25">
      <c r="A192" s="36">
        <v>1177</v>
      </c>
      <c r="B192" s="14" t="s">
        <v>2381</v>
      </c>
      <c r="C192" s="14" t="s">
        <v>2382</v>
      </c>
      <c r="D192" s="18">
        <v>44110</v>
      </c>
      <c r="E192" s="14" t="s">
        <v>30</v>
      </c>
      <c r="F192" s="14">
        <v>313</v>
      </c>
      <c r="G192" s="14">
        <v>121</v>
      </c>
      <c r="H192" s="14">
        <v>6</v>
      </c>
      <c r="I192" s="14">
        <v>3</v>
      </c>
      <c r="J192" s="14" t="s">
        <v>204</v>
      </c>
      <c r="K192" s="14" cm="1">
        <f t="array" ref="K192">INT(SUMPRODUCT(--ISNUMBER(SEARCH(economy,C192)))&gt;0)</f>
        <v>0</v>
      </c>
      <c r="L192" s="14" cm="1">
        <f t="array" ref="L192">INT(SUMPRODUCT(--ISNUMBER(SEARCH(healthcare,C192)))&gt;0)</f>
        <v>0</v>
      </c>
      <c r="M192" s="14" cm="1">
        <f t="array" ref="M192">INT(SUMPRODUCT(--ISNUMBER(SEARCH(supreme,C192)))&gt;0)</f>
        <v>0</v>
      </c>
      <c r="N192" s="14" cm="1">
        <f t="array" ref="N192">INT(SUMPRODUCT(--ISNUMBER(SEARCH(covid,C192)))&gt;0)</f>
        <v>0</v>
      </c>
      <c r="O192" s="14" cm="1">
        <f t="array" ref="O192">INT(SUMPRODUCT(--ISNUMBER(SEARCH(violent,C192)))&gt;0)</f>
        <v>0</v>
      </c>
      <c r="P192" s="14" cm="1">
        <f t="array" ref="P192">INT(SUMPRODUCT(--ISNUMBER(SEARCH(foreign,C192)))&gt;0)</f>
        <v>0</v>
      </c>
      <c r="Q192" s="14" cm="1">
        <f t="array" ref="Q192">INT(SUMPRODUCT(--ISNUMBER(SEARCH(gun,C192)))&gt;0)</f>
        <v>0</v>
      </c>
      <c r="R192" s="14" cm="1">
        <f t="array" ref="R192">INT(SUMPRODUCT(--ISNUMBER(SEARCH(race,C192)))&gt;0)</f>
        <v>0</v>
      </c>
      <c r="S192" s="14" cm="1">
        <f t="array" ref="S192">INT(SUMPRODUCT(--ISNUMBER(SEARCH(immigration,C192)))&gt;0)</f>
        <v>0</v>
      </c>
      <c r="T192" s="14" cm="1">
        <f t="array" ref="T192">INT(SUMPRODUCT(--ISNUMBER(SEARCH(econineq,C193)))&gt;0)</f>
        <v>0</v>
      </c>
      <c r="U192" s="14" cm="1">
        <f t="array" ref="U192">INT(SUMPRODUCT(--ISNUMBER(SEARCH(climate,C192)))&gt;0)</f>
        <v>0</v>
      </c>
      <c r="V192" s="14" cm="1">
        <f t="array" ref="V192">INT(SUMPRODUCT(--ISNUMBER(SEARCH(abortion,C192)))&gt;0)</f>
        <v>0</v>
      </c>
      <c r="W192" s="14" cm="1">
        <f t="array" ref="W192">INT(SUMPRODUCT(--ISNUMBER(SEARCH(trump,C192)))&gt;0)</f>
        <v>0</v>
      </c>
      <c r="X192" s="14" cm="1">
        <f t="array" ref="X192">INT(SUMPRODUCT(--ISNUMBER(SEARCH(voting,C192)))&gt;0)</f>
        <v>0</v>
      </c>
      <c r="Y192" s="14" cm="1">
        <f t="array" ref="Y192">INT(SUMPRODUCT(--ISNUMBER(SEARCH(democrattrigger,C192)))&gt;0)</f>
        <v>0</v>
      </c>
      <c r="Z192" s="14" cm="1">
        <f t="array" ref="Z192">INT(SUMPRODUCT(--ISNUMBER(SEARCH(bipartisan,C192)))&gt;0)</f>
        <v>0</v>
      </c>
      <c r="AA192" s="14">
        <f t="shared" si="2"/>
        <v>1</v>
      </c>
      <c r="AB192" s="14"/>
      <c r="AC192" s="30">
        <v>1</v>
      </c>
      <c r="AD192" s="37">
        <v>0</v>
      </c>
    </row>
    <row r="193" spans="1:30" x14ac:dyDescent="0.25">
      <c r="A193" s="36">
        <v>1178</v>
      </c>
      <c r="B193" s="14" t="s">
        <v>2383</v>
      </c>
      <c r="C193" s="14" t="s">
        <v>2384</v>
      </c>
      <c r="D193" s="18">
        <v>44110</v>
      </c>
      <c r="E193" s="14" t="s">
        <v>30</v>
      </c>
      <c r="F193" s="14">
        <v>443</v>
      </c>
      <c r="G193" s="14">
        <v>198</v>
      </c>
      <c r="H193" s="14">
        <v>6</v>
      </c>
      <c r="I193" s="14">
        <v>3</v>
      </c>
      <c r="J193" s="14" t="s">
        <v>204</v>
      </c>
      <c r="K193" s="14" cm="1">
        <f t="array" ref="K193">INT(SUMPRODUCT(--ISNUMBER(SEARCH(economy,C193)))&gt;0)</f>
        <v>1</v>
      </c>
      <c r="L193" s="14" cm="1">
        <f t="array" ref="L193">INT(SUMPRODUCT(--ISNUMBER(SEARCH(healthcare,C193)))&gt;0)</f>
        <v>0</v>
      </c>
      <c r="M193" s="14" cm="1">
        <f t="array" ref="M193">INT(SUMPRODUCT(--ISNUMBER(SEARCH(supreme,C193)))&gt;0)</f>
        <v>0</v>
      </c>
      <c r="N193" s="14" cm="1">
        <f t="array" ref="N193">INT(SUMPRODUCT(--ISNUMBER(SEARCH(covid,C193)))&gt;0)</f>
        <v>0</v>
      </c>
      <c r="O193" s="14" cm="1">
        <f t="array" ref="O193">INT(SUMPRODUCT(--ISNUMBER(SEARCH(violent,C193)))&gt;0)</f>
        <v>0</v>
      </c>
      <c r="P193" s="14" cm="1">
        <f t="array" ref="P193">INT(SUMPRODUCT(--ISNUMBER(SEARCH(foreign,C193)))&gt;0)</f>
        <v>0</v>
      </c>
      <c r="Q193" s="14" cm="1">
        <f t="array" ref="Q193">INT(SUMPRODUCT(--ISNUMBER(SEARCH(gun,C193)))&gt;0)</f>
        <v>0</v>
      </c>
      <c r="R193" s="14" cm="1">
        <f t="array" ref="R193">INT(SUMPRODUCT(--ISNUMBER(SEARCH(race,C193)))&gt;0)</f>
        <v>0</v>
      </c>
      <c r="S193" s="14" cm="1">
        <f t="array" ref="S193">INT(SUMPRODUCT(--ISNUMBER(SEARCH(immigration,C193)))&gt;0)</f>
        <v>0</v>
      </c>
      <c r="T193" s="14" cm="1">
        <f t="array" ref="T193">INT(SUMPRODUCT(--ISNUMBER(SEARCH(econineq,C194)))&gt;0)</f>
        <v>0</v>
      </c>
      <c r="U193" s="14" cm="1">
        <f t="array" ref="U193">INT(SUMPRODUCT(--ISNUMBER(SEARCH(climate,C193)))&gt;0)</f>
        <v>0</v>
      </c>
      <c r="V193" s="14" cm="1">
        <f t="array" ref="V193">INT(SUMPRODUCT(--ISNUMBER(SEARCH(abortion,C193)))&gt;0)</f>
        <v>0</v>
      </c>
      <c r="W193" s="14" cm="1">
        <f t="array" ref="W193">INT(SUMPRODUCT(--ISNUMBER(SEARCH(trump,C193)))&gt;0)</f>
        <v>0</v>
      </c>
      <c r="X193" s="14" cm="1">
        <f t="array" ref="X193">INT(SUMPRODUCT(--ISNUMBER(SEARCH(voting,C193)))&gt;0)</f>
        <v>0</v>
      </c>
      <c r="Y193" s="14" cm="1">
        <f t="array" ref="Y193">INT(SUMPRODUCT(--ISNUMBER(SEARCH(democrattrigger,C193)))&gt;0)</f>
        <v>1</v>
      </c>
      <c r="Z193" s="14" cm="1">
        <f t="array" ref="Z193">INT(SUMPRODUCT(--ISNUMBER(SEARCH(bipartisan,C193)))&gt;0)</f>
        <v>1</v>
      </c>
      <c r="AA193" s="14">
        <f t="shared" si="2"/>
        <v>0</v>
      </c>
      <c r="AB193" s="14"/>
      <c r="AC193" s="30">
        <v>0</v>
      </c>
      <c r="AD193" s="37">
        <v>1</v>
      </c>
    </row>
    <row r="194" spans="1:30" x14ac:dyDescent="0.25">
      <c r="A194" s="36">
        <v>1179</v>
      </c>
      <c r="B194" s="14" t="s">
        <v>2385</v>
      </c>
      <c r="C194" s="14" t="s">
        <v>2386</v>
      </c>
      <c r="D194" s="18">
        <v>44110</v>
      </c>
      <c r="E194" s="14" t="s">
        <v>30</v>
      </c>
      <c r="F194" s="14">
        <v>484</v>
      </c>
      <c r="G194" s="14">
        <v>147</v>
      </c>
      <c r="H194" s="14">
        <v>6</v>
      </c>
      <c r="I194" s="14">
        <v>3</v>
      </c>
      <c r="J194" s="14" t="s">
        <v>204</v>
      </c>
      <c r="K194" s="14" cm="1">
        <f t="array" ref="K194">INT(SUMPRODUCT(--ISNUMBER(SEARCH(economy,C194)))&gt;0)</f>
        <v>0</v>
      </c>
      <c r="L194" s="14" cm="1">
        <f t="array" ref="L194">INT(SUMPRODUCT(--ISNUMBER(SEARCH(healthcare,C194)))&gt;0)</f>
        <v>0</v>
      </c>
      <c r="M194" s="14" cm="1">
        <f t="array" ref="M194">INT(SUMPRODUCT(--ISNUMBER(SEARCH(supreme,C194)))&gt;0)</f>
        <v>0</v>
      </c>
      <c r="N194" s="14" cm="1">
        <f t="array" ref="N194">INT(SUMPRODUCT(--ISNUMBER(SEARCH(covid,C194)))&gt;0)</f>
        <v>0</v>
      </c>
      <c r="O194" s="14" cm="1">
        <f t="array" ref="O194">INT(SUMPRODUCT(--ISNUMBER(SEARCH(violent,C194)))&gt;0)</f>
        <v>0</v>
      </c>
      <c r="P194" s="14" cm="1">
        <f t="array" ref="P194">INT(SUMPRODUCT(--ISNUMBER(SEARCH(foreign,C194)))&gt;0)</f>
        <v>0</v>
      </c>
      <c r="Q194" s="14" cm="1">
        <f t="array" ref="Q194">INT(SUMPRODUCT(--ISNUMBER(SEARCH(gun,C194)))&gt;0)</f>
        <v>1</v>
      </c>
      <c r="R194" s="14" cm="1">
        <f t="array" ref="R194">INT(SUMPRODUCT(--ISNUMBER(SEARCH(race,C194)))&gt;0)</f>
        <v>0</v>
      </c>
      <c r="S194" s="14" cm="1">
        <f t="array" ref="S194">INT(SUMPRODUCT(--ISNUMBER(SEARCH(immigration,C194)))&gt;0)</f>
        <v>0</v>
      </c>
      <c r="T194" s="14" cm="1">
        <f t="array" ref="T194">INT(SUMPRODUCT(--ISNUMBER(SEARCH(econineq,C195)))&gt;0)</f>
        <v>0</v>
      </c>
      <c r="U194" s="14" cm="1">
        <f t="array" ref="U194">INT(SUMPRODUCT(--ISNUMBER(SEARCH(climate,C194)))&gt;0)</f>
        <v>0</v>
      </c>
      <c r="V194" s="14" cm="1">
        <f t="array" ref="V194">INT(SUMPRODUCT(--ISNUMBER(SEARCH(abortion,C194)))&gt;0)</f>
        <v>0</v>
      </c>
      <c r="W194" s="14" cm="1">
        <f t="array" ref="W194">INT(SUMPRODUCT(--ISNUMBER(SEARCH(trump,C194)))&gt;0)</f>
        <v>0</v>
      </c>
      <c r="X194" s="14" cm="1">
        <f t="array" ref="X194">INT(SUMPRODUCT(--ISNUMBER(SEARCH(voting,C194)))&gt;0)</f>
        <v>0</v>
      </c>
      <c r="Y194" s="14" cm="1">
        <f t="array" ref="Y194">INT(SUMPRODUCT(--ISNUMBER(SEARCH(democrattrigger,C194)))&gt;0)</f>
        <v>0</v>
      </c>
      <c r="Z194" s="14" cm="1">
        <f t="array" ref="Z194">INT(SUMPRODUCT(--ISNUMBER(SEARCH(bipartisan,C194)))&gt;0)</f>
        <v>0</v>
      </c>
      <c r="AA194" s="14">
        <f t="shared" si="2"/>
        <v>0</v>
      </c>
      <c r="AB194" s="14"/>
      <c r="AC194" s="30">
        <v>1</v>
      </c>
      <c r="AD194" s="37">
        <v>0</v>
      </c>
    </row>
    <row r="195" spans="1:30" x14ac:dyDescent="0.25">
      <c r="A195" s="36">
        <v>1180</v>
      </c>
      <c r="B195" s="14" t="s">
        <v>2387</v>
      </c>
      <c r="C195" s="14" t="s">
        <v>2388</v>
      </c>
      <c r="D195" s="18">
        <v>44109</v>
      </c>
      <c r="E195" s="14" t="s">
        <v>30</v>
      </c>
      <c r="F195" s="14">
        <v>235</v>
      </c>
      <c r="G195" s="14">
        <v>74</v>
      </c>
      <c r="H195" s="14">
        <v>6</v>
      </c>
      <c r="I195" s="14">
        <v>3</v>
      </c>
      <c r="J195" s="14" t="s">
        <v>204</v>
      </c>
      <c r="K195" s="14" cm="1">
        <f t="array" ref="K195">INT(SUMPRODUCT(--ISNUMBER(SEARCH(economy,C195)))&gt;0)</f>
        <v>1</v>
      </c>
      <c r="L195" s="14" cm="1">
        <f t="array" ref="L195">INT(SUMPRODUCT(--ISNUMBER(SEARCH(healthcare,C195)))&gt;0)</f>
        <v>0</v>
      </c>
      <c r="M195" s="14" cm="1">
        <f t="array" ref="M195">INT(SUMPRODUCT(--ISNUMBER(SEARCH(supreme,C195)))&gt;0)</f>
        <v>0</v>
      </c>
      <c r="N195" s="14" cm="1">
        <f t="array" ref="N195">INT(SUMPRODUCT(--ISNUMBER(SEARCH(covid,C195)))&gt;0)</f>
        <v>0</v>
      </c>
      <c r="O195" s="14" cm="1">
        <f t="array" ref="O195">INT(SUMPRODUCT(--ISNUMBER(SEARCH(violent,C195)))&gt;0)</f>
        <v>0</v>
      </c>
      <c r="P195" s="14" cm="1">
        <f t="array" ref="P195">INT(SUMPRODUCT(--ISNUMBER(SEARCH(foreign,C195)))&gt;0)</f>
        <v>0</v>
      </c>
      <c r="Q195" s="14" cm="1">
        <f t="array" ref="Q195">INT(SUMPRODUCT(--ISNUMBER(SEARCH(gun,C195)))&gt;0)</f>
        <v>0</v>
      </c>
      <c r="R195" s="14" cm="1">
        <f t="array" ref="R195">INT(SUMPRODUCT(--ISNUMBER(SEARCH(race,C195)))&gt;0)</f>
        <v>0</v>
      </c>
      <c r="S195" s="14" cm="1">
        <f t="array" ref="S195">INT(SUMPRODUCT(--ISNUMBER(SEARCH(immigration,C195)))&gt;0)</f>
        <v>0</v>
      </c>
      <c r="T195" s="14" cm="1">
        <f t="array" ref="T195">INT(SUMPRODUCT(--ISNUMBER(SEARCH(econineq,C196)))&gt;0)</f>
        <v>0</v>
      </c>
      <c r="U195" s="14" cm="1">
        <f t="array" ref="U195">INT(SUMPRODUCT(--ISNUMBER(SEARCH(climate,C195)))&gt;0)</f>
        <v>0</v>
      </c>
      <c r="V195" s="14" cm="1">
        <f t="array" ref="V195">INT(SUMPRODUCT(--ISNUMBER(SEARCH(abortion,C195)))&gt;0)</f>
        <v>0</v>
      </c>
      <c r="W195" s="14" cm="1">
        <f t="array" ref="W195">INT(SUMPRODUCT(--ISNUMBER(SEARCH(trump,C195)))&gt;0)</f>
        <v>0</v>
      </c>
      <c r="X195" s="14" cm="1">
        <f t="array" ref="X195">INT(SUMPRODUCT(--ISNUMBER(SEARCH(voting,C195)))&gt;0)</f>
        <v>1</v>
      </c>
      <c r="Y195" s="14" cm="1">
        <f t="array" ref="Y195">INT(SUMPRODUCT(--ISNUMBER(SEARCH(democrattrigger,C195)))&gt;0)</f>
        <v>0</v>
      </c>
      <c r="Z195" s="14" cm="1">
        <f t="array" ref="Z195">INT(SUMPRODUCT(--ISNUMBER(SEARCH(bipartisan,C195)))&gt;0)</f>
        <v>0</v>
      </c>
      <c r="AA195" s="14">
        <f t="shared" ref="AA195:AA223" si="3">INT(IF(COUNTIF(K195:Z195,1)=0,"1","0"))</f>
        <v>0</v>
      </c>
      <c r="AB195" s="14"/>
      <c r="AC195" s="30">
        <v>1</v>
      </c>
      <c r="AD195" s="37">
        <v>0</v>
      </c>
    </row>
    <row r="196" spans="1:30" x14ac:dyDescent="0.25">
      <c r="A196" s="36">
        <v>1181</v>
      </c>
      <c r="B196" s="14" t="s">
        <v>2389</v>
      </c>
      <c r="C196" s="14" t="s">
        <v>2390</v>
      </c>
      <c r="D196" s="18">
        <v>44109</v>
      </c>
      <c r="E196" s="14" t="s">
        <v>30</v>
      </c>
      <c r="F196" s="14">
        <v>174</v>
      </c>
      <c r="G196" s="14">
        <v>69</v>
      </c>
      <c r="H196" s="14">
        <v>6</v>
      </c>
      <c r="I196" s="14">
        <v>3</v>
      </c>
      <c r="J196" s="14" t="s">
        <v>204</v>
      </c>
      <c r="K196" s="14" cm="1">
        <f t="array" ref="K196">INT(SUMPRODUCT(--ISNUMBER(SEARCH(economy,C196)))&gt;0)</f>
        <v>0</v>
      </c>
      <c r="L196" s="14" cm="1">
        <f t="array" ref="L196">INT(SUMPRODUCT(--ISNUMBER(SEARCH(healthcare,C196)))&gt;0)</f>
        <v>1</v>
      </c>
      <c r="M196" s="14" cm="1">
        <f t="array" ref="M196">INT(SUMPRODUCT(--ISNUMBER(SEARCH(supreme,C196)))&gt;0)</f>
        <v>0</v>
      </c>
      <c r="N196" s="14" cm="1">
        <f t="array" ref="N196">INT(SUMPRODUCT(--ISNUMBER(SEARCH(covid,C196)))&gt;0)</f>
        <v>1</v>
      </c>
      <c r="O196" s="14" cm="1">
        <f t="array" ref="O196">INT(SUMPRODUCT(--ISNUMBER(SEARCH(violent,C196)))&gt;0)</f>
        <v>0</v>
      </c>
      <c r="P196" s="14" cm="1">
        <f t="array" ref="P196">INT(SUMPRODUCT(--ISNUMBER(SEARCH(foreign,C196)))&gt;0)</f>
        <v>0</v>
      </c>
      <c r="Q196" s="14" cm="1">
        <f t="array" ref="Q196">INT(SUMPRODUCT(--ISNUMBER(SEARCH(gun,C196)))&gt;0)</f>
        <v>0</v>
      </c>
      <c r="R196" s="14" cm="1">
        <f t="array" ref="R196">INT(SUMPRODUCT(--ISNUMBER(SEARCH(race,C196)))&gt;0)</f>
        <v>0</v>
      </c>
      <c r="S196" s="14" cm="1">
        <f t="array" ref="S196">INT(SUMPRODUCT(--ISNUMBER(SEARCH(immigration,C196)))&gt;0)</f>
        <v>0</v>
      </c>
      <c r="T196" s="14" cm="1">
        <f t="array" ref="T196">INT(SUMPRODUCT(--ISNUMBER(SEARCH(econineq,C197)))&gt;0)</f>
        <v>0</v>
      </c>
      <c r="U196" s="14" cm="1">
        <f t="array" ref="U196">INT(SUMPRODUCT(--ISNUMBER(SEARCH(climate,C196)))&gt;0)</f>
        <v>0</v>
      </c>
      <c r="V196" s="14" cm="1">
        <f t="array" ref="V196">INT(SUMPRODUCT(--ISNUMBER(SEARCH(abortion,C196)))&gt;0)</f>
        <v>0</v>
      </c>
      <c r="W196" s="14" cm="1">
        <f t="array" ref="W196">INT(SUMPRODUCT(--ISNUMBER(SEARCH(trump,C196)))&gt;0)</f>
        <v>0</v>
      </c>
      <c r="X196" s="14" cm="1">
        <f t="array" ref="X196">INT(SUMPRODUCT(--ISNUMBER(SEARCH(voting,C196)))&gt;0)</f>
        <v>0</v>
      </c>
      <c r="Y196" s="14" cm="1">
        <f t="array" ref="Y196">INT(SUMPRODUCT(--ISNUMBER(SEARCH(democrattrigger,C196)))&gt;0)</f>
        <v>0</v>
      </c>
      <c r="Z196" s="14" cm="1">
        <f t="array" ref="Z196">INT(SUMPRODUCT(--ISNUMBER(SEARCH(bipartisan,C196)))&gt;0)</f>
        <v>0</v>
      </c>
      <c r="AA196" s="14">
        <f t="shared" si="3"/>
        <v>0</v>
      </c>
      <c r="AB196" s="14"/>
      <c r="AC196" s="30">
        <v>1</v>
      </c>
      <c r="AD196" s="37">
        <v>0</v>
      </c>
    </row>
    <row r="197" spans="1:30" x14ac:dyDescent="0.25">
      <c r="A197" s="36">
        <v>1182</v>
      </c>
      <c r="B197" s="14" t="s">
        <v>2391</v>
      </c>
      <c r="C197" s="14" t="s">
        <v>2392</v>
      </c>
      <c r="D197" s="18">
        <v>44109</v>
      </c>
      <c r="E197" s="14" t="s">
        <v>30</v>
      </c>
      <c r="F197" s="14">
        <v>261</v>
      </c>
      <c r="G197" s="14">
        <v>86</v>
      </c>
      <c r="H197" s="14">
        <v>6</v>
      </c>
      <c r="I197" s="14">
        <v>3</v>
      </c>
      <c r="J197" s="14" t="s">
        <v>204</v>
      </c>
      <c r="K197" s="14" cm="1">
        <f t="array" ref="K197">INT(SUMPRODUCT(--ISNUMBER(SEARCH(economy,C197)))&gt;0)</f>
        <v>1</v>
      </c>
      <c r="L197" s="14" cm="1">
        <f t="array" ref="L197">INT(SUMPRODUCT(--ISNUMBER(SEARCH(healthcare,C197)))&gt;0)</f>
        <v>0</v>
      </c>
      <c r="M197" s="14" cm="1">
        <f t="array" ref="M197">INT(SUMPRODUCT(--ISNUMBER(SEARCH(supreme,C197)))&gt;0)</f>
        <v>0</v>
      </c>
      <c r="N197" s="14" cm="1">
        <f t="array" ref="N197">INT(SUMPRODUCT(--ISNUMBER(SEARCH(covid,C197)))&gt;0)</f>
        <v>0</v>
      </c>
      <c r="O197" s="14" cm="1">
        <f t="array" ref="O197">INT(SUMPRODUCT(--ISNUMBER(SEARCH(violent,C197)))&gt;0)</f>
        <v>0</v>
      </c>
      <c r="P197" s="14" cm="1">
        <f t="array" ref="P197">INT(SUMPRODUCT(--ISNUMBER(SEARCH(foreign,C197)))&gt;0)</f>
        <v>0</v>
      </c>
      <c r="Q197" s="14" cm="1">
        <f t="array" ref="Q197">INT(SUMPRODUCT(--ISNUMBER(SEARCH(gun,C197)))&gt;0)</f>
        <v>0</v>
      </c>
      <c r="R197" s="14" cm="1">
        <f t="array" ref="R197">INT(SUMPRODUCT(--ISNUMBER(SEARCH(race,C197)))&gt;0)</f>
        <v>0</v>
      </c>
      <c r="S197" s="14" cm="1">
        <f t="array" ref="S197">INT(SUMPRODUCT(--ISNUMBER(SEARCH(immigration,C197)))&gt;0)</f>
        <v>0</v>
      </c>
      <c r="T197" s="14" cm="1">
        <f t="array" ref="T197">INT(SUMPRODUCT(--ISNUMBER(SEARCH(econineq,C198)))&gt;0)</f>
        <v>0</v>
      </c>
      <c r="U197" s="14" cm="1">
        <f t="array" ref="U197">INT(SUMPRODUCT(--ISNUMBER(SEARCH(climate,C197)))&gt;0)</f>
        <v>0</v>
      </c>
      <c r="V197" s="14" cm="1">
        <f t="array" ref="V197">INT(SUMPRODUCT(--ISNUMBER(SEARCH(abortion,C197)))&gt;0)</f>
        <v>0</v>
      </c>
      <c r="W197" s="14" cm="1">
        <f t="array" ref="W197">INT(SUMPRODUCT(--ISNUMBER(SEARCH(trump,C197)))&gt;0)</f>
        <v>0</v>
      </c>
      <c r="X197" s="14" cm="1">
        <f t="array" ref="X197">INT(SUMPRODUCT(--ISNUMBER(SEARCH(voting,C197)))&gt;0)</f>
        <v>0</v>
      </c>
      <c r="Y197" s="14" cm="1">
        <f t="array" ref="Y197">INT(SUMPRODUCT(--ISNUMBER(SEARCH(democrattrigger,C197)))&gt;0)</f>
        <v>0</v>
      </c>
      <c r="Z197" s="14" cm="1">
        <f t="array" ref="Z197">INT(SUMPRODUCT(--ISNUMBER(SEARCH(bipartisan,C197)))&gt;0)</f>
        <v>0</v>
      </c>
      <c r="AA197" s="14">
        <f t="shared" si="3"/>
        <v>0</v>
      </c>
      <c r="AB197" s="14"/>
      <c r="AC197" s="30">
        <v>1</v>
      </c>
      <c r="AD197" s="37">
        <v>0</v>
      </c>
    </row>
    <row r="198" spans="1:30" x14ac:dyDescent="0.25">
      <c r="A198" s="36">
        <v>1183</v>
      </c>
      <c r="B198" s="14" t="s">
        <v>2393</v>
      </c>
      <c r="C198" s="14" t="s">
        <v>2394</v>
      </c>
      <c r="D198" s="18">
        <v>44109</v>
      </c>
      <c r="E198" s="14" t="s">
        <v>30</v>
      </c>
      <c r="F198" s="14">
        <v>845</v>
      </c>
      <c r="G198" s="14">
        <v>367</v>
      </c>
      <c r="H198" s="14">
        <v>6</v>
      </c>
      <c r="I198" s="14">
        <v>3</v>
      </c>
      <c r="J198" s="14" t="s">
        <v>204</v>
      </c>
      <c r="K198" s="14" cm="1">
        <f t="array" ref="K198">INT(SUMPRODUCT(--ISNUMBER(SEARCH(economy,C198)))&gt;0)</f>
        <v>0</v>
      </c>
      <c r="L198" s="14" cm="1">
        <f t="array" ref="L198">INT(SUMPRODUCT(--ISNUMBER(SEARCH(healthcare,C198)))&gt;0)</f>
        <v>0</v>
      </c>
      <c r="M198" s="14" cm="1">
        <f t="array" ref="M198">INT(SUMPRODUCT(--ISNUMBER(SEARCH(supreme,C198)))&gt;0)</f>
        <v>0</v>
      </c>
      <c r="N198" s="14" cm="1">
        <f t="array" ref="N198">INT(SUMPRODUCT(--ISNUMBER(SEARCH(covid,C198)))&gt;0)</f>
        <v>0</v>
      </c>
      <c r="O198" s="14" cm="1">
        <f t="array" ref="O198">INT(SUMPRODUCT(--ISNUMBER(SEARCH(violent,C198)))&gt;0)</f>
        <v>0</v>
      </c>
      <c r="P198" s="14" cm="1">
        <f t="array" ref="P198">INT(SUMPRODUCT(--ISNUMBER(SEARCH(foreign,C198)))&gt;0)</f>
        <v>0</v>
      </c>
      <c r="Q198" s="14" cm="1">
        <f t="array" ref="Q198">INT(SUMPRODUCT(--ISNUMBER(SEARCH(gun,C198)))&gt;0)</f>
        <v>0</v>
      </c>
      <c r="R198" s="14" cm="1">
        <f t="array" ref="R198">INT(SUMPRODUCT(--ISNUMBER(SEARCH(race,C198)))&gt;0)</f>
        <v>0</v>
      </c>
      <c r="S198" s="14" cm="1">
        <f t="array" ref="S198">INT(SUMPRODUCT(--ISNUMBER(SEARCH(immigration,C198)))&gt;0)</f>
        <v>0</v>
      </c>
      <c r="T198" s="14" cm="1">
        <f t="array" ref="T198">INT(SUMPRODUCT(--ISNUMBER(SEARCH(econineq,C199)))&gt;0)</f>
        <v>0</v>
      </c>
      <c r="U198" s="14" cm="1">
        <f t="array" ref="U198">INT(SUMPRODUCT(--ISNUMBER(SEARCH(climate,C198)))&gt;0)</f>
        <v>0</v>
      </c>
      <c r="V198" s="14" cm="1">
        <f t="array" ref="V198">INT(SUMPRODUCT(--ISNUMBER(SEARCH(abortion,C198)))&gt;0)</f>
        <v>0</v>
      </c>
      <c r="W198" s="14" cm="1">
        <f t="array" ref="W198">INT(SUMPRODUCT(--ISNUMBER(SEARCH(trump,C198)))&gt;0)</f>
        <v>0</v>
      </c>
      <c r="X198" s="14" cm="1">
        <f t="array" ref="X198">INT(SUMPRODUCT(--ISNUMBER(SEARCH(voting,C198)))&gt;0)</f>
        <v>1</v>
      </c>
      <c r="Y198" s="14" cm="1">
        <f t="array" ref="Y198">INT(SUMPRODUCT(--ISNUMBER(SEARCH(democrattrigger,C198)))&gt;0)</f>
        <v>0</v>
      </c>
      <c r="Z198" s="14" cm="1">
        <f t="array" ref="Z198">INT(SUMPRODUCT(--ISNUMBER(SEARCH(bipartisan,C198)))&gt;0)</f>
        <v>0</v>
      </c>
      <c r="AA198" s="14">
        <f t="shared" si="3"/>
        <v>0</v>
      </c>
      <c r="AB198" s="14"/>
      <c r="AC198" s="30">
        <v>0</v>
      </c>
      <c r="AD198" s="37">
        <v>1</v>
      </c>
    </row>
    <row r="199" spans="1:30" x14ac:dyDescent="0.25">
      <c r="A199" s="36">
        <v>1184</v>
      </c>
      <c r="B199" s="14" t="s">
        <v>2395</v>
      </c>
      <c r="C199" s="14" t="s">
        <v>2396</v>
      </c>
      <c r="D199" s="18">
        <v>44109</v>
      </c>
      <c r="E199" s="14" t="s">
        <v>30</v>
      </c>
      <c r="F199" s="14">
        <v>67513</v>
      </c>
      <c r="G199" s="14">
        <v>9941</v>
      </c>
      <c r="H199" s="14">
        <v>6</v>
      </c>
      <c r="I199" s="14">
        <v>3</v>
      </c>
      <c r="J199" s="14" t="s">
        <v>204</v>
      </c>
      <c r="K199" s="14" cm="1">
        <f t="array" ref="K199">INT(SUMPRODUCT(--ISNUMBER(SEARCH(economy,C199)))&gt;0)</f>
        <v>0</v>
      </c>
      <c r="L199" s="14" cm="1">
        <f t="array" ref="L199">INT(SUMPRODUCT(--ISNUMBER(SEARCH(healthcare,C199)))&gt;0)</f>
        <v>0</v>
      </c>
      <c r="M199" s="14" cm="1">
        <f t="array" ref="M199">INT(SUMPRODUCT(--ISNUMBER(SEARCH(supreme,C199)))&gt;0)</f>
        <v>0</v>
      </c>
      <c r="N199" s="14" cm="1">
        <f t="array" ref="N199">INT(SUMPRODUCT(--ISNUMBER(SEARCH(covid,C199)))&gt;0)</f>
        <v>0</v>
      </c>
      <c r="O199" s="14" cm="1">
        <f t="array" ref="O199">INT(SUMPRODUCT(--ISNUMBER(SEARCH(violent,C199)))&gt;0)</f>
        <v>0</v>
      </c>
      <c r="P199" s="14" cm="1">
        <f t="array" ref="P199">INT(SUMPRODUCT(--ISNUMBER(SEARCH(foreign,C199)))&gt;0)</f>
        <v>0</v>
      </c>
      <c r="Q199" s="14" cm="1">
        <f t="array" ref="Q199">INT(SUMPRODUCT(--ISNUMBER(SEARCH(gun,C199)))&gt;0)</f>
        <v>0</v>
      </c>
      <c r="R199" s="14" cm="1">
        <f t="array" ref="R199">INT(SUMPRODUCT(--ISNUMBER(SEARCH(race,C199)))&gt;0)</f>
        <v>0</v>
      </c>
      <c r="S199" s="14" cm="1">
        <f t="array" ref="S199">INT(SUMPRODUCT(--ISNUMBER(SEARCH(immigration,C199)))&gt;0)</f>
        <v>0</v>
      </c>
      <c r="T199" s="14" cm="1">
        <f t="array" ref="T199">INT(SUMPRODUCT(--ISNUMBER(SEARCH(econineq,C200)))&gt;0)</f>
        <v>0</v>
      </c>
      <c r="U199" s="14" cm="1">
        <f t="array" ref="U199">INT(SUMPRODUCT(--ISNUMBER(SEARCH(climate,C199)))&gt;0)</f>
        <v>0</v>
      </c>
      <c r="V199" s="14" cm="1">
        <f t="array" ref="V199">INT(SUMPRODUCT(--ISNUMBER(SEARCH(abortion,C199)))&gt;0)</f>
        <v>0</v>
      </c>
      <c r="W199" s="14" cm="1">
        <f t="array" ref="W199">INT(SUMPRODUCT(--ISNUMBER(SEARCH(trump,C199)))&gt;0)</f>
        <v>0</v>
      </c>
      <c r="X199" s="14" cm="1">
        <f t="array" ref="X199">INT(SUMPRODUCT(--ISNUMBER(SEARCH(voting,C199)))&gt;0)</f>
        <v>0</v>
      </c>
      <c r="Y199" s="14" cm="1">
        <f t="array" ref="Y199">INT(SUMPRODUCT(--ISNUMBER(SEARCH(democrattrigger,C199)))&gt;0)</f>
        <v>0</v>
      </c>
      <c r="Z199" s="14" cm="1">
        <f t="array" ref="Z199">INT(SUMPRODUCT(--ISNUMBER(SEARCH(bipartisan,C199)))&gt;0)</f>
        <v>0</v>
      </c>
      <c r="AA199" s="14">
        <f t="shared" si="3"/>
        <v>1</v>
      </c>
      <c r="AB199" s="14"/>
      <c r="AC199" s="30" t="s">
        <v>223</v>
      </c>
      <c r="AD199" s="37" t="s">
        <v>223</v>
      </c>
    </row>
    <row r="200" spans="1:30" x14ac:dyDescent="0.25">
      <c r="A200" s="36">
        <v>1185</v>
      </c>
      <c r="B200" s="14" t="s">
        <v>2397</v>
      </c>
      <c r="C200" s="14" t="s">
        <v>2398</v>
      </c>
      <c r="D200" s="18">
        <v>44108</v>
      </c>
      <c r="E200" s="14" t="s">
        <v>30</v>
      </c>
      <c r="F200" s="14">
        <v>2640</v>
      </c>
      <c r="G200" s="14">
        <v>612</v>
      </c>
      <c r="H200" s="14">
        <v>6</v>
      </c>
      <c r="I200" s="14">
        <v>3</v>
      </c>
      <c r="J200" s="14" t="s">
        <v>204</v>
      </c>
      <c r="K200" s="14" cm="1">
        <f t="array" ref="K200">INT(SUMPRODUCT(--ISNUMBER(SEARCH(economy,C200)))&gt;0)</f>
        <v>0</v>
      </c>
      <c r="L200" s="14" cm="1">
        <f t="array" ref="L200">INT(SUMPRODUCT(--ISNUMBER(SEARCH(healthcare,C200)))&gt;0)</f>
        <v>0</v>
      </c>
      <c r="M200" s="14" cm="1">
        <f t="array" ref="M200">INT(SUMPRODUCT(--ISNUMBER(SEARCH(supreme,C200)))&gt;0)</f>
        <v>0</v>
      </c>
      <c r="N200" s="14" cm="1">
        <f t="array" ref="N200">INT(SUMPRODUCT(--ISNUMBER(SEARCH(covid,C200)))&gt;0)</f>
        <v>1</v>
      </c>
      <c r="O200" s="14" cm="1">
        <f t="array" ref="O200">INT(SUMPRODUCT(--ISNUMBER(SEARCH(violent,C200)))&gt;0)</f>
        <v>0</v>
      </c>
      <c r="P200" s="14" cm="1">
        <f t="array" ref="P200">INT(SUMPRODUCT(--ISNUMBER(SEARCH(foreign,C200)))&gt;0)</f>
        <v>0</v>
      </c>
      <c r="Q200" s="14" cm="1">
        <f t="array" ref="Q200">INT(SUMPRODUCT(--ISNUMBER(SEARCH(gun,C200)))&gt;0)</f>
        <v>0</v>
      </c>
      <c r="R200" s="14" cm="1">
        <f t="array" ref="R200">INT(SUMPRODUCT(--ISNUMBER(SEARCH(race,C200)))&gt;0)</f>
        <v>0</v>
      </c>
      <c r="S200" s="14" cm="1">
        <f t="array" ref="S200">INT(SUMPRODUCT(--ISNUMBER(SEARCH(immigration,C200)))&gt;0)</f>
        <v>0</v>
      </c>
      <c r="T200" s="14" cm="1">
        <f t="array" ref="T200">INT(SUMPRODUCT(--ISNUMBER(SEARCH(econineq,C201)))&gt;0)</f>
        <v>0</v>
      </c>
      <c r="U200" s="14" cm="1">
        <f t="array" ref="U200">INT(SUMPRODUCT(--ISNUMBER(SEARCH(climate,C200)))&gt;0)</f>
        <v>0</v>
      </c>
      <c r="V200" s="14" cm="1">
        <f t="array" ref="V200">INT(SUMPRODUCT(--ISNUMBER(SEARCH(abortion,C200)))&gt;0)</f>
        <v>0</v>
      </c>
      <c r="W200" s="14" cm="1">
        <f t="array" ref="W200">INT(SUMPRODUCT(--ISNUMBER(SEARCH(trump,C200)))&gt;0)</f>
        <v>0</v>
      </c>
      <c r="X200" s="14" cm="1">
        <f t="array" ref="X200">INT(SUMPRODUCT(--ISNUMBER(SEARCH(voting,C200)))&gt;0)</f>
        <v>1</v>
      </c>
      <c r="Y200" s="14" cm="1">
        <f t="array" ref="Y200">INT(SUMPRODUCT(--ISNUMBER(SEARCH(democrattrigger,C200)))&gt;0)</f>
        <v>0</v>
      </c>
      <c r="Z200" s="14" cm="1">
        <f t="array" ref="Z200">INT(SUMPRODUCT(--ISNUMBER(SEARCH(bipartisan,C200)))&gt;0)</f>
        <v>0</v>
      </c>
      <c r="AA200" s="14">
        <f t="shared" si="3"/>
        <v>0</v>
      </c>
      <c r="AB200" s="14"/>
      <c r="AC200" s="30">
        <v>1</v>
      </c>
      <c r="AD200" s="37">
        <v>0</v>
      </c>
    </row>
    <row r="201" spans="1:30" x14ac:dyDescent="0.25">
      <c r="A201" s="36">
        <v>1186</v>
      </c>
      <c r="B201" s="14" t="s">
        <v>2399</v>
      </c>
      <c r="C201" s="14" t="s">
        <v>2400</v>
      </c>
      <c r="D201" s="18">
        <v>44108</v>
      </c>
      <c r="E201" s="14" t="s">
        <v>30</v>
      </c>
      <c r="F201" s="14">
        <v>1503</v>
      </c>
      <c r="G201" s="14">
        <v>495</v>
      </c>
      <c r="H201" s="14">
        <v>6</v>
      </c>
      <c r="I201" s="14">
        <v>3</v>
      </c>
      <c r="J201" s="14" t="s">
        <v>204</v>
      </c>
      <c r="K201" s="14" cm="1">
        <f t="array" ref="K201">INT(SUMPRODUCT(--ISNUMBER(SEARCH(economy,C201)))&gt;0)</f>
        <v>0</v>
      </c>
      <c r="L201" s="14" cm="1">
        <f t="array" ref="L201">INT(SUMPRODUCT(--ISNUMBER(SEARCH(healthcare,C201)))&gt;0)</f>
        <v>0</v>
      </c>
      <c r="M201" s="14" cm="1">
        <f t="array" ref="M201">INT(SUMPRODUCT(--ISNUMBER(SEARCH(supreme,C201)))&gt;0)</f>
        <v>0</v>
      </c>
      <c r="N201" s="14" cm="1">
        <f t="array" ref="N201">INT(SUMPRODUCT(--ISNUMBER(SEARCH(covid,C201)))&gt;0)</f>
        <v>0</v>
      </c>
      <c r="O201" s="14" cm="1">
        <f t="array" ref="O201">INT(SUMPRODUCT(--ISNUMBER(SEARCH(violent,C201)))&gt;0)</f>
        <v>0</v>
      </c>
      <c r="P201" s="14" cm="1">
        <f t="array" ref="P201">INT(SUMPRODUCT(--ISNUMBER(SEARCH(foreign,C201)))&gt;0)</f>
        <v>0</v>
      </c>
      <c r="Q201" s="14" cm="1">
        <f t="array" ref="Q201">INT(SUMPRODUCT(--ISNUMBER(SEARCH(gun,C201)))&gt;0)</f>
        <v>0</v>
      </c>
      <c r="R201" s="14" cm="1">
        <f t="array" ref="R201">INT(SUMPRODUCT(--ISNUMBER(SEARCH(race,C201)))&gt;0)</f>
        <v>0</v>
      </c>
      <c r="S201" s="14" cm="1">
        <f t="array" ref="S201">INT(SUMPRODUCT(--ISNUMBER(SEARCH(immigration,C201)))&gt;0)</f>
        <v>0</v>
      </c>
      <c r="T201" s="14" cm="1">
        <f t="array" ref="T201">INT(SUMPRODUCT(--ISNUMBER(SEARCH(econineq,C202)))&gt;0)</f>
        <v>0</v>
      </c>
      <c r="U201" s="14" cm="1">
        <f t="array" ref="U201">INT(SUMPRODUCT(--ISNUMBER(SEARCH(climate,C201)))&gt;0)</f>
        <v>0</v>
      </c>
      <c r="V201" s="14" cm="1">
        <f t="array" ref="V201">INT(SUMPRODUCT(--ISNUMBER(SEARCH(abortion,C201)))&gt;0)</f>
        <v>0</v>
      </c>
      <c r="W201" s="14" cm="1">
        <f t="array" ref="W201">INT(SUMPRODUCT(--ISNUMBER(SEARCH(trump,C201)))&gt;0)</f>
        <v>0</v>
      </c>
      <c r="X201" s="14" cm="1">
        <f t="array" ref="X201">INT(SUMPRODUCT(--ISNUMBER(SEARCH(voting,C201)))&gt;0)</f>
        <v>0</v>
      </c>
      <c r="Y201" s="14" cm="1">
        <f t="array" ref="Y201">INT(SUMPRODUCT(--ISNUMBER(SEARCH(democrattrigger,C201)))&gt;0)</f>
        <v>1</v>
      </c>
      <c r="Z201" s="14" cm="1">
        <f t="array" ref="Z201">INT(SUMPRODUCT(--ISNUMBER(SEARCH(bipartisan,C201)))&gt;0)</f>
        <v>0</v>
      </c>
      <c r="AA201" s="14">
        <f t="shared" si="3"/>
        <v>0</v>
      </c>
      <c r="AB201" s="14"/>
      <c r="AC201" s="30">
        <v>0</v>
      </c>
      <c r="AD201" s="37">
        <v>1</v>
      </c>
    </row>
    <row r="202" spans="1:30" x14ac:dyDescent="0.25">
      <c r="A202" s="36">
        <v>1187</v>
      </c>
      <c r="B202" s="14" t="s">
        <v>2401</v>
      </c>
      <c r="C202" s="14" t="s">
        <v>2402</v>
      </c>
      <c r="D202" s="18">
        <v>44108</v>
      </c>
      <c r="E202" s="14" t="s">
        <v>30</v>
      </c>
      <c r="F202" s="14">
        <v>18213</v>
      </c>
      <c r="G202" s="14">
        <v>6079</v>
      </c>
      <c r="H202" s="14">
        <v>6</v>
      </c>
      <c r="I202" s="14">
        <v>3</v>
      </c>
      <c r="J202" s="14" t="s">
        <v>204</v>
      </c>
      <c r="K202" s="14" cm="1">
        <f t="array" ref="K202">INT(SUMPRODUCT(--ISNUMBER(SEARCH(economy,C202)))&gt;0)</f>
        <v>0</v>
      </c>
      <c r="L202" s="14" cm="1">
        <f t="array" ref="L202">INT(SUMPRODUCT(--ISNUMBER(SEARCH(healthcare,C202)))&gt;0)</f>
        <v>0</v>
      </c>
      <c r="M202" s="14" cm="1">
        <f t="array" ref="M202">INT(SUMPRODUCT(--ISNUMBER(SEARCH(supreme,C202)))&gt;0)</f>
        <v>0</v>
      </c>
      <c r="N202" s="14" cm="1">
        <f t="array" ref="N202">INT(SUMPRODUCT(--ISNUMBER(SEARCH(covid,C202)))&gt;0)</f>
        <v>0</v>
      </c>
      <c r="O202" s="14" cm="1">
        <f t="array" ref="O202">INT(SUMPRODUCT(--ISNUMBER(SEARCH(violent,C202)))&gt;0)</f>
        <v>0</v>
      </c>
      <c r="P202" s="14" cm="1">
        <f t="array" ref="P202">INT(SUMPRODUCT(--ISNUMBER(SEARCH(foreign,C202)))&gt;0)</f>
        <v>0</v>
      </c>
      <c r="Q202" s="14" cm="1">
        <f t="array" ref="Q202">INT(SUMPRODUCT(--ISNUMBER(SEARCH(gun,C202)))&gt;0)</f>
        <v>0</v>
      </c>
      <c r="R202" s="14" cm="1">
        <f t="array" ref="R202">INT(SUMPRODUCT(--ISNUMBER(SEARCH(race,C202)))&gt;0)</f>
        <v>0</v>
      </c>
      <c r="S202" s="14" cm="1">
        <f t="array" ref="S202">INT(SUMPRODUCT(--ISNUMBER(SEARCH(immigration,C202)))&gt;0)</f>
        <v>0</v>
      </c>
      <c r="T202" s="14" cm="1">
        <f t="array" ref="T202">INT(SUMPRODUCT(--ISNUMBER(SEARCH(econineq,C203)))&gt;0)</f>
        <v>0</v>
      </c>
      <c r="U202" s="14" cm="1">
        <f t="array" ref="U202">INT(SUMPRODUCT(--ISNUMBER(SEARCH(climate,C202)))&gt;0)</f>
        <v>0</v>
      </c>
      <c r="V202" s="14" cm="1">
        <f t="array" ref="V202">INT(SUMPRODUCT(--ISNUMBER(SEARCH(abortion,C202)))&gt;0)</f>
        <v>0</v>
      </c>
      <c r="W202" s="14" cm="1">
        <f t="array" ref="W202">INT(SUMPRODUCT(--ISNUMBER(SEARCH(trump,C202)))&gt;0)</f>
        <v>0</v>
      </c>
      <c r="X202" s="14" cm="1">
        <f t="array" ref="X202">INT(SUMPRODUCT(--ISNUMBER(SEARCH(voting,C202)))&gt;0)</f>
        <v>0</v>
      </c>
      <c r="Y202" s="14" cm="1">
        <f t="array" ref="Y202">INT(SUMPRODUCT(--ISNUMBER(SEARCH(democrattrigger,C202)))&gt;0)</f>
        <v>1</v>
      </c>
      <c r="Z202" s="14" cm="1">
        <f t="array" ref="Z202">INT(SUMPRODUCT(--ISNUMBER(SEARCH(bipartisan,C202)))&gt;0)</f>
        <v>0</v>
      </c>
      <c r="AA202" s="14">
        <f t="shared" si="3"/>
        <v>0</v>
      </c>
      <c r="AB202" s="14"/>
      <c r="AC202" s="30">
        <v>0</v>
      </c>
      <c r="AD202" s="37">
        <v>1</v>
      </c>
    </row>
    <row r="203" spans="1:30" x14ac:dyDescent="0.25">
      <c r="A203" s="36">
        <v>1188</v>
      </c>
      <c r="B203" s="14" t="s">
        <v>2403</v>
      </c>
      <c r="C203" s="14" t="s">
        <v>2404</v>
      </c>
      <c r="D203" s="18">
        <v>44108</v>
      </c>
      <c r="E203" s="14" t="s">
        <v>30</v>
      </c>
      <c r="F203" s="14">
        <v>604</v>
      </c>
      <c r="G203" s="14">
        <v>313</v>
      </c>
      <c r="H203" s="14">
        <v>6</v>
      </c>
      <c r="I203" s="14">
        <v>3</v>
      </c>
      <c r="J203" s="14" t="s">
        <v>204</v>
      </c>
      <c r="K203" s="14" cm="1">
        <f t="array" ref="K203">INT(SUMPRODUCT(--ISNUMBER(SEARCH(economy,C203)))&gt;0)</f>
        <v>0</v>
      </c>
      <c r="L203" s="14" cm="1">
        <f t="array" ref="L203">INT(SUMPRODUCT(--ISNUMBER(SEARCH(healthcare,C203)))&gt;0)</f>
        <v>0</v>
      </c>
      <c r="M203" s="14" cm="1">
        <f t="array" ref="M203">INT(SUMPRODUCT(--ISNUMBER(SEARCH(supreme,C203)))&gt;0)</f>
        <v>0</v>
      </c>
      <c r="N203" s="14" cm="1">
        <f t="array" ref="N203">INT(SUMPRODUCT(--ISNUMBER(SEARCH(covid,C203)))&gt;0)</f>
        <v>0</v>
      </c>
      <c r="O203" s="14" cm="1">
        <f t="array" ref="O203">INT(SUMPRODUCT(--ISNUMBER(SEARCH(violent,C203)))&gt;0)</f>
        <v>0</v>
      </c>
      <c r="P203" s="14" cm="1">
        <f t="array" ref="P203">INT(SUMPRODUCT(--ISNUMBER(SEARCH(foreign,C203)))&gt;0)</f>
        <v>0</v>
      </c>
      <c r="Q203" s="14" cm="1">
        <f t="array" ref="Q203">INT(SUMPRODUCT(--ISNUMBER(SEARCH(gun,C203)))&gt;0)</f>
        <v>0</v>
      </c>
      <c r="R203" s="14" cm="1">
        <f t="array" ref="R203">INT(SUMPRODUCT(--ISNUMBER(SEARCH(race,C203)))&gt;0)</f>
        <v>0</v>
      </c>
      <c r="S203" s="14" cm="1">
        <f t="array" ref="S203">INT(SUMPRODUCT(--ISNUMBER(SEARCH(immigration,C203)))&gt;0)</f>
        <v>0</v>
      </c>
      <c r="T203" s="14" cm="1">
        <f t="array" ref="T203">INT(SUMPRODUCT(--ISNUMBER(SEARCH(econineq,C204)))&gt;0)</f>
        <v>0</v>
      </c>
      <c r="U203" s="14" cm="1">
        <f t="array" ref="U203">INT(SUMPRODUCT(--ISNUMBER(SEARCH(climate,C203)))&gt;0)</f>
        <v>0</v>
      </c>
      <c r="V203" s="14" cm="1">
        <f t="array" ref="V203">INT(SUMPRODUCT(--ISNUMBER(SEARCH(abortion,C203)))&gt;0)</f>
        <v>0</v>
      </c>
      <c r="W203" s="14" cm="1">
        <f t="array" ref="W203">INT(SUMPRODUCT(--ISNUMBER(SEARCH(trump,C203)))&gt;0)</f>
        <v>0</v>
      </c>
      <c r="X203" s="14" cm="1">
        <f t="array" ref="X203">INT(SUMPRODUCT(--ISNUMBER(SEARCH(voting,C203)))&gt;0)</f>
        <v>0</v>
      </c>
      <c r="Y203" s="14" cm="1">
        <f t="array" ref="Y203">INT(SUMPRODUCT(--ISNUMBER(SEARCH(democrattrigger,C203)))&gt;0)</f>
        <v>1</v>
      </c>
      <c r="Z203" s="14" cm="1">
        <f t="array" ref="Z203">INT(SUMPRODUCT(--ISNUMBER(SEARCH(bipartisan,C203)))&gt;0)</f>
        <v>0</v>
      </c>
      <c r="AA203" s="14">
        <f t="shared" si="3"/>
        <v>0</v>
      </c>
      <c r="AB203" s="14"/>
      <c r="AC203" s="30" t="s">
        <v>223</v>
      </c>
      <c r="AD203" s="37" t="s">
        <v>223</v>
      </c>
    </row>
    <row r="204" spans="1:30" x14ac:dyDescent="0.25">
      <c r="A204" s="36">
        <v>1189</v>
      </c>
      <c r="B204" s="14" t="s">
        <v>2405</v>
      </c>
      <c r="C204" s="14" t="s">
        <v>2406</v>
      </c>
      <c r="D204" s="18">
        <v>44108</v>
      </c>
      <c r="E204" s="14" t="s">
        <v>30</v>
      </c>
      <c r="F204" s="14">
        <v>326</v>
      </c>
      <c r="G204" s="14">
        <v>158</v>
      </c>
      <c r="H204" s="14">
        <v>6</v>
      </c>
      <c r="I204" s="14">
        <v>3</v>
      </c>
      <c r="J204" s="14" t="s">
        <v>204</v>
      </c>
      <c r="K204" s="14" cm="1">
        <f t="array" ref="K204">INT(SUMPRODUCT(--ISNUMBER(SEARCH(economy,C204)))&gt;0)</f>
        <v>1</v>
      </c>
      <c r="L204" s="14" cm="1">
        <f t="array" ref="L204">INT(SUMPRODUCT(--ISNUMBER(SEARCH(healthcare,C204)))&gt;0)</f>
        <v>0</v>
      </c>
      <c r="M204" s="14" cm="1">
        <f t="array" ref="M204">INT(SUMPRODUCT(--ISNUMBER(SEARCH(supreme,C204)))&gt;0)</f>
        <v>0</v>
      </c>
      <c r="N204" s="14" cm="1">
        <f t="array" ref="N204">INT(SUMPRODUCT(--ISNUMBER(SEARCH(covid,C204)))&gt;0)</f>
        <v>0</v>
      </c>
      <c r="O204" s="14" cm="1">
        <f t="array" ref="O204">INT(SUMPRODUCT(--ISNUMBER(SEARCH(violent,C204)))&gt;0)</f>
        <v>0</v>
      </c>
      <c r="P204" s="14" cm="1">
        <f t="array" ref="P204">INT(SUMPRODUCT(--ISNUMBER(SEARCH(foreign,C204)))&gt;0)</f>
        <v>0</v>
      </c>
      <c r="Q204" s="14" cm="1">
        <f t="array" ref="Q204">INT(SUMPRODUCT(--ISNUMBER(SEARCH(gun,C204)))&gt;0)</f>
        <v>0</v>
      </c>
      <c r="R204" s="14" cm="1">
        <f t="array" ref="R204">INT(SUMPRODUCT(--ISNUMBER(SEARCH(race,C204)))&gt;0)</f>
        <v>0</v>
      </c>
      <c r="S204" s="14" cm="1">
        <f t="array" ref="S204">INT(SUMPRODUCT(--ISNUMBER(SEARCH(immigration,C204)))&gt;0)</f>
        <v>0</v>
      </c>
      <c r="T204" s="14" cm="1">
        <f t="array" ref="T204">INT(SUMPRODUCT(--ISNUMBER(SEARCH(econineq,C205)))&gt;0)</f>
        <v>0</v>
      </c>
      <c r="U204" s="14" cm="1">
        <f t="array" ref="U204">INT(SUMPRODUCT(--ISNUMBER(SEARCH(climate,C204)))&gt;0)</f>
        <v>0</v>
      </c>
      <c r="V204" s="14" cm="1">
        <f t="array" ref="V204">INT(SUMPRODUCT(--ISNUMBER(SEARCH(abortion,C204)))&gt;0)</f>
        <v>0</v>
      </c>
      <c r="W204" s="14" cm="1">
        <f t="array" ref="W204">INT(SUMPRODUCT(--ISNUMBER(SEARCH(trump,C204)))&gt;0)</f>
        <v>0</v>
      </c>
      <c r="X204" s="14" cm="1">
        <f t="array" ref="X204">INT(SUMPRODUCT(--ISNUMBER(SEARCH(voting,C204)))&gt;0)</f>
        <v>0</v>
      </c>
      <c r="Y204" s="14" cm="1">
        <f t="array" ref="Y204">INT(SUMPRODUCT(--ISNUMBER(SEARCH(democrattrigger,C204)))&gt;0)</f>
        <v>0</v>
      </c>
      <c r="Z204" s="14" cm="1">
        <f t="array" ref="Z204">INT(SUMPRODUCT(--ISNUMBER(SEARCH(bipartisan,C204)))&gt;0)</f>
        <v>0</v>
      </c>
      <c r="AA204" s="14">
        <f t="shared" si="3"/>
        <v>0</v>
      </c>
      <c r="AB204" s="14"/>
      <c r="AC204" s="30">
        <v>1</v>
      </c>
      <c r="AD204" s="37">
        <v>0</v>
      </c>
    </row>
    <row r="205" spans="1:30" x14ac:dyDescent="0.25">
      <c r="A205" s="36">
        <v>1190</v>
      </c>
      <c r="B205" s="14" t="s">
        <v>2407</v>
      </c>
      <c r="C205" s="14" t="s">
        <v>2408</v>
      </c>
      <c r="D205" s="18">
        <v>44108</v>
      </c>
      <c r="E205" s="14" t="s">
        <v>30</v>
      </c>
      <c r="F205" s="14">
        <v>6839</v>
      </c>
      <c r="G205" s="14">
        <v>2516</v>
      </c>
      <c r="H205" s="14">
        <v>6</v>
      </c>
      <c r="I205" s="14">
        <v>3</v>
      </c>
      <c r="J205" s="14" t="s">
        <v>204</v>
      </c>
      <c r="K205" s="14" cm="1">
        <f t="array" ref="K205">INT(SUMPRODUCT(--ISNUMBER(SEARCH(economy,C205)))&gt;0)</f>
        <v>0</v>
      </c>
      <c r="L205" s="14" cm="1">
        <f t="array" ref="L205">INT(SUMPRODUCT(--ISNUMBER(SEARCH(healthcare,C205)))&gt;0)</f>
        <v>1</v>
      </c>
      <c r="M205" s="14" cm="1">
        <f t="array" ref="M205">INT(SUMPRODUCT(--ISNUMBER(SEARCH(supreme,C205)))&gt;0)</f>
        <v>0</v>
      </c>
      <c r="N205" s="14" cm="1">
        <f t="array" ref="N205">INT(SUMPRODUCT(--ISNUMBER(SEARCH(covid,C205)))&gt;0)</f>
        <v>0</v>
      </c>
      <c r="O205" s="14" cm="1">
        <f t="array" ref="O205">INT(SUMPRODUCT(--ISNUMBER(SEARCH(violent,C205)))&gt;0)</f>
        <v>0</v>
      </c>
      <c r="P205" s="14" cm="1">
        <f t="array" ref="P205">INT(SUMPRODUCT(--ISNUMBER(SEARCH(foreign,C205)))&gt;0)</f>
        <v>0</v>
      </c>
      <c r="Q205" s="14" cm="1">
        <f t="array" ref="Q205">INT(SUMPRODUCT(--ISNUMBER(SEARCH(gun,C205)))&gt;0)</f>
        <v>0</v>
      </c>
      <c r="R205" s="14" cm="1">
        <f t="array" ref="R205">INT(SUMPRODUCT(--ISNUMBER(SEARCH(race,C205)))&gt;0)</f>
        <v>0</v>
      </c>
      <c r="S205" s="14" cm="1">
        <f t="array" ref="S205">INT(SUMPRODUCT(--ISNUMBER(SEARCH(immigration,C205)))&gt;0)</f>
        <v>0</v>
      </c>
      <c r="T205" s="14" cm="1">
        <f t="array" ref="T205">INT(SUMPRODUCT(--ISNUMBER(SEARCH(econineq,C206)))&gt;0)</f>
        <v>0</v>
      </c>
      <c r="U205" s="14" cm="1">
        <f t="array" ref="U205">INT(SUMPRODUCT(--ISNUMBER(SEARCH(climate,C205)))&gt;0)</f>
        <v>0</v>
      </c>
      <c r="V205" s="14" cm="1">
        <f t="array" ref="V205">INT(SUMPRODUCT(--ISNUMBER(SEARCH(abortion,C205)))&gt;0)</f>
        <v>0</v>
      </c>
      <c r="W205" s="14" cm="1">
        <f t="array" ref="W205">INT(SUMPRODUCT(--ISNUMBER(SEARCH(trump,C205)))&gt;0)</f>
        <v>0</v>
      </c>
      <c r="X205" s="14" cm="1">
        <f t="array" ref="X205">INT(SUMPRODUCT(--ISNUMBER(SEARCH(voting,C205)))&gt;0)</f>
        <v>0</v>
      </c>
      <c r="Y205" s="14" cm="1">
        <f t="array" ref="Y205">INT(SUMPRODUCT(--ISNUMBER(SEARCH(democrattrigger,C205)))&gt;0)</f>
        <v>1</v>
      </c>
      <c r="Z205" s="14" cm="1">
        <f t="array" ref="Z205">INT(SUMPRODUCT(--ISNUMBER(SEARCH(bipartisan,C205)))&gt;0)</f>
        <v>0</v>
      </c>
      <c r="AA205" s="14">
        <f t="shared" si="3"/>
        <v>0</v>
      </c>
      <c r="AB205" s="14"/>
      <c r="AC205" s="30" t="s">
        <v>223</v>
      </c>
      <c r="AD205" s="37" t="s">
        <v>223</v>
      </c>
    </row>
    <row r="206" spans="1:30" x14ac:dyDescent="0.25">
      <c r="A206" s="36">
        <v>1191</v>
      </c>
      <c r="B206" s="14" t="s">
        <v>2409</v>
      </c>
      <c r="C206" s="14" t="s">
        <v>2410</v>
      </c>
      <c r="D206" s="18">
        <v>44108</v>
      </c>
      <c r="E206" s="14" t="s">
        <v>30</v>
      </c>
      <c r="F206" s="14">
        <v>745</v>
      </c>
      <c r="G206" s="14">
        <v>322</v>
      </c>
      <c r="H206" s="14">
        <v>6</v>
      </c>
      <c r="I206" s="14">
        <v>3</v>
      </c>
      <c r="J206" s="14" t="s">
        <v>204</v>
      </c>
      <c r="K206" s="14" cm="1">
        <f t="array" ref="K206">INT(SUMPRODUCT(--ISNUMBER(SEARCH(economy,C206)))&gt;0)</f>
        <v>0</v>
      </c>
      <c r="L206" s="14" cm="1">
        <f t="array" ref="L206">INT(SUMPRODUCT(--ISNUMBER(SEARCH(healthcare,C206)))&gt;0)</f>
        <v>0</v>
      </c>
      <c r="M206" s="14" cm="1">
        <f t="array" ref="M206">INT(SUMPRODUCT(--ISNUMBER(SEARCH(supreme,C206)))&gt;0)</f>
        <v>0</v>
      </c>
      <c r="N206" s="14" cm="1">
        <f t="array" ref="N206">INT(SUMPRODUCT(--ISNUMBER(SEARCH(covid,C206)))&gt;0)</f>
        <v>0</v>
      </c>
      <c r="O206" s="14" cm="1">
        <f t="array" ref="O206">INT(SUMPRODUCT(--ISNUMBER(SEARCH(violent,C206)))&gt;0)</f>
        <v>0</v>
      </c>
      <c r="P206" s="14" cm="1">
        <f t="array" ref="P206">INT(SUMPRODUCT(--ISNUMBER(SEARCH(foreign,C206)))&gt;0)</f>
        <v>0</v>
      </c>
      <c r="Q206" s="14" cm="1">
        <f t="array" ref="Q206">INT(SUMPRODUCT(--ISNUMBER(SEARCH(gun,C206)))&gt;0)</f>
        <v>0</v>
      </c>
      <c r="R206" s="14" cm="1">
        <f t="array" ref="R206">INT(SUMPRODUCT(--ISNUMBER(SEARCH(race,C206)))&gt;0)</f>
        <v>0</v>
      </c>
      <c r="S206" s="14" cm="1">
        <f t="array" ref="S206">INT(SUMPRODUCT(--ISNUMBER(SEARCH(immigration,C206)))&gt;0)</f>
        <v>0</v>
      </c>
      <c r="T206" s="14" cm="1">
        <f t="array" ref="T206">INT(SUMPRODUCT(--ISNUMBER(SEARCH(econineq,C207)))&gt;0)</f>
        <v>0</v>
      </c>
      <c r="U206" s="14" cm="1">
        <f t="array" ref="U206">INT(SUMPRODUCT(--ISNUMBER(SEARCH(climate,C206)))&gt;0)</f>
        <v>1</v>
      </c>
      <c r="V206" s="14" cm="1">
        <f t="array" ref="V206">INT(SUMPRODUCT(--ISNUMBER(SEARCH(abortion,C206)))&gt;0)</f>
        <v>0</v>
      </c>
      <c r="W206" s="14" cm="1">
        <f t="array" ref="W206">INT(SUMPRODUCT(--ISNUMBER(SEARCH(trump,C206)))&gt;0)</f>
        <v>0</v>
      </c>
      <c r="X206" s="14" cm="1">
        <f t="array" ref="X206">INT(SUMPRODUCT(--ISNUMBER(SEARCH(voting,C206)))&gt;0)</f>
        <v>1</v>
      </c>
      <c r="Y206" s="14" cm="1">
        <f t="array" ref="Y206">INT(SUMPRODUCT(--ISNUMBER(SEARCH(democrattrigger,C206)))&gt;0)</f>
        <v>1</v>
      </c>
      <c r="Z206" s="14" cm="1">
        <f t="array" ref="Z206">INT(SUMPRODUCT(--ISNUMBER(SEARCH(bipartisan,C206)))&gt;0)</f>
        <v>0</v>
      </c>
      <c r="AA206" s="14">
        <f t="shared" si="3"/>
        <v>0</v>
      </c>
      <c r="AB206" s="14"/>
      <c r="AC206" s="30" t="s">
        <v>223</v>
      </c>
      <c r="AD206" s="37" t="s">
        <v>223</v>
      </c>
    </row>
    <row r="207" spans="1:30" x14ac:dyDescent="0.25">
      <c r="A207" s="36">
        <v>1192</v>
      </c>
      <c r="B207" s="14" t="s">
        <v>2411</v>
      </c>
      <c r="C207" s="14" t="s">
        <v>2412</v>
      </c>
      <c r="D207" s="18">
        <v>44108</v>
      </c>
      <c r="E207" s="14" t="s">
        <v>30</v>
      </c>
      <c r="F207" s="14">
        <v>1005</v>
      </c>
      <c r="G207" s="14">
        <v>702</v>
      </c>
      <c r="H207" s="14">
        <v>6</v>
      </c>
      <c r="I207" s="14">
        <v>3</v>
      </c>
      <c r="J207" s="14" t="s">
        <v>204</v>
      </c>
      <c r="K207" s="14" cm="1">
        <f t="array" ref="K207">INT(SUMPRODUCT(--ISNUMBER(SEARCH(economy,C207)))&gt;0)</f>
        <v>0</v>
      </c>
      <c r="L207" s="14" cm="1">
        <f t="array" ref="L207">INT(SUMPRODUCT(--ISNUMBER(SEARCH(healthcare,C207)))&gt;0)</f>
        <v>1</v>
      </c>
      <c r="M207" s="14" cm="1">
        <f t="array" ref="M207">INT(SUMPRODUCT(--ISNUMBER(SEARCH(supreme,C207)))&gt;0)</f>
        <v>0</v>
      </c>
      <c r="N207" s="14" cm="1">
        <f t="array" ref="N207">INT(SUMPRODUCT(--ISNUMBER(SEARCH(covid,C207)))&gt;0)</f>
        <v>0</v>
      </c>
      <c r="O207" s="14" cm="1">
        <f t="array" ref="O207">INT(SUMPRODUCT(--ISNUMBER(SEARCH(violent,C207)))&gt;0)</f>
        <v>0</v>
      </c>
      <c r="P207" s="14" cm="1">
        <f t="array" ref="P207">INT(SUMPRODUCT(--ISNUMBER(SEARCH(foreign,C207)))&gt;0)</f>
        <v>0</v>
      </c>
      <c r="Q207" s="14" cm="1">
        <f t="array" ref="Q207">INT(SUMPRODUCT(--ISNUMBER(SEARCH(gun,C207)))&gt;0)</f>
        <v>0</v>
      </c>
      <c r="R207" s="14" cm="1">
        <f t="array" ref="R207">INT(SUMPRODUCT(--ISNUMBER(SEARCH(race,C207)))&gt;0)</f>
        <v>0</v>
      </c>
      <c r="S207" s="14" cm="1">
        <f t="array" ref="S207">INT(SUMPRODUCT(--ISNUMBER(SEARCH(immigration,C207)))&gt;0)</f>
        <v>0</v>
      </c>
      <c r="T207" s="14" cm="1">
        <f t="array" ref="T207">INT(SUMPRODUCT(--ISNUMBER(SEARCH(econineq,C208)))&gt;0)</f>
        <v>1</v>
      </c>
      <c r="U207" s="14" cm="1">
        <f t="array" ref="U207">INT(SUMPRODUCT(--ISNUMBER(SEARCH(climate,C207)))&gt;0)</f>
        <v>0</v>
      </c>
      <c r="V207" s="14" cm="1">
        <f t="array" ref="V207">INT(SUMPRODUCT(--ISNUMBER(SEARCH(abortion,C207)))&gt;0)</f>
        <v>0</v>
      </c>
      <c r="W207" s="14" cm="1">
        <f t="array" ref="W207">INT(SUMPRODUCT(--ISNUMBER(SEARCH(trump,C207)))&gt;0)</f>
        <v>0</v>
      </c>
      <c r="X207" s="14" cm="1">
        <f t="array" ref="X207">INT(SUMPRODUCT(--ISNUMBER(SEARCH(voting,C207)))&gt;0)</f>
        <v>0</v>
      </c>
      <c r="Y207" s="14" cm="1">
        <f t="array" ref="Y207">INT(SUMPRODUCT(--ISNUMBER(SEARCH(democrattrigger,C207)))&gt;0)</f>
        <v>1</v>
      </c>
      <c r="Z207" s="14" cm="1">
        <f t="array" ref="Z207">INT(SUMPRODUCT(--ISNUMBER(SEARCH(bipartisan,C207)))&gt;0)</f>
        <v>0</v>
      </c>
      <c r="AA207" s="14">
        <f t="shared" si="3"/>
        <v>0</v>
      </c>
      <c r="AB207" s="14"/>
      <c r="AC207" s="30" t="s">
        <v>223</v>
      </c>
      <c r="AD207" s="37" t="s">
        <v>223</v>
      </c>
    </row>
    <row r="208" spans="1:30" x14ac:dyDescent="0.25">
      <c r="A208" s="36">
        <v>1193</v>
      </c>
      <c r="B208" s="14" t="s">
        <v>2413</v>
      </c>
      <c r="C208" s="14" t="s">
        <v>2414</v>
      </c>
      <c r="D208" s="18">
        <v>44108</v>
      </c>
      <c r="E208" s="14" t="s">
        <v>30</v>
      </c>
      <c r="F208" s="14">
        <v>471</v>
      </c>
      <c r="G208" s="14">
        <v>240</v>
      </c>
      <c r="H208" s="14">
        <v>6</v>
      </c>
      <c r="I208" s="14">
        <v>3</v>
      </c>
      <c r="J208" s="14" t="s">
        <v>204</v>
      </c>
      <c r="K208" s="14" cm="1">
        <f t="array" ref="K208">INT(SUMPRODUCT(--ISNUMBER(SEARCH(economy,C208)))&gt;0)</f>
        <v>0</v>
      </c>
      <c r="L208" s="14" cm="1">
        <f t="array" ref="L208">INT(SUMPRODUCT(--ISNUMBER(SEARCH(healthcare,C208)))&gt;0)</f>
        <v>1</v>
      </c>
      <c r="M208" s="14" cm="1">
        <f t="array" ref="M208">INT(SUMPRODUCT(--ISNUMBER(SEARCH(supreme,C208)))&gt;0)</f>
        <v>0</v>
      </c>
      <c r="N208" s="14" cm="1">
        <f t="array" ref="N208">INT(SUMPRODUCT(--ISNUMBER(SEARCH(covid,C208)))&gt;0)</f>
        <v>0</v>
      </c>
      <c r="O208" s="14" cm="1">
        <f t="array" ref="O208">INT(SUMPRODUCT(--ISNUMBER(SEARCH(violent,C208)))&gt;0)</f>
        <v>0</v>
      </c>
      <c r="P208" s="14" cm="1">
        <f t="array" ref="P208">INT(SUMPRODUCT(--ISNUMBER(SEARCH(foreign,C208)))&gt;0)</f>
        <v>0</v>
      </c>
      <c r="Q208" s="14" cm="1">
        <f t="array" ref="Q208">INT(SUMPRODUCT(--ISNUMBER(SEARCH(gun,C208)))&gt;0)</f>
        <v>0</v>
      </c>
      <c r="R208" s="14" cm="1">
        <f t="array" ref="R208">INT(SUMPRODUCT(--ISNUMBER(SEARCH(race,C208)))&gt;0)</f>
        <v>0</v>
      </c>
      <c r="S208" s="14" cm="1">
        <f t="array" ref="S208">INT(SUMPRODUCT(--ISNUMBER(SEARCH(immigration,C208)))&gt;0)</f>
        <v>0</v>
      </c>
      <c r="T208" s="14" cm="1">
        <f t="array" ref="T208">INT(SUMPRODUCT(--ISNUMBER(SEARCH(econineq,C209)))&gt;0)</f>
        <v>0</v>
      </c>
      <c r="U208" s="14" cm="1">
        <f t="array" ref="U208">INT(SUMPRODUCT(--ISNUMBER(SEARCH(climate,C208)))&gt;0)</f>
        <v>0</v>
      </c>
      <c r="V208" s="14" cm="1">
        <f t="array" ref="V208">INT(SUMPRODUCT(--ISNUMBER(SEARCH(abortion,C208)))&gt;0)</f>
        <v>0</v>
      </c>
      <c r="W208" s="14" cm="1">
        <f t="array" ref="W208">INT(SUMPRODUCT(--ISNUMBER(SEARCH(trump,C208)))&gt;0)</f>
        <v>0</v>
      </c>
      <c r="X208" s="14" cm="1">
        <f t="array" ref="X208">INT(SUMPRODUCT(--ISNUMBER(SEARCH(voting,C208)))&gt;0)</f>
        <v>0</v>
      </c>
      <c r="Y208" s="14" cm="1">
        <f t="array" ref="Y208">INT(SUMPRODUCT(--ISNUMBER(SEARCH(democrattrigger,C208)))&gt;0)</f>
        <v>1</v>
      </c>
      <c r="Z208" s="14" cm="1">
        <f t="array" ref="Z208">INT(SUMPRODUCT(--ISNUMBER(SEARCH(bipartisan,C208)))&gt;0)</f>
        <v>0</v>
      </c>
      <c r="AA208" s="14">
        <f t="shared" si="3"/>
        <v>0</v>
      </c>
      <c r="AB208" s="14"/>
      <c r="AC208" s="30">
        <v>1</v>
      </c>
      <c r="AD208" s="37">
        <v>0</v>
      </c>
    </row>
    <row r="209" spans="1:30" x14ac:dyDescent="0.25">
      <c r="A209" s="36">
        <v>1194</v>
      </c>
      <c r="B209" s="14" t="s">
        <v>2415</v>
      </c>
      <c r="C209" s="14" t="s">
        <v>2416</v>
      </c>
      <c r="D209" s="18">
        <v>44108</v>
      </c>
      <c r="E209" s="14" t="s">
        <v>30</v>
      </c>
      <c r="F209" s="14">
        <v>467</v>
      </c>
      <c r="G209" s="14">
        <v>237</v>
      </c>
      <c r="H209" s="14">
        <v>6</v>
      </c>
      <c r="I209" s="14">
        <v>3</v>
      </c>
      <c r="J209" s="14" t="s">
        <v>204</v>
      </c>
      <c r="K209" s="14" cm="1">
        <f t="array" ref="K209">INT(SUMPRODUCT(--ISNUMBER(SEARCH(economy,C209)))&gt;0)</f>
        <v>0</v>
      </c>
      <c r="L209" s="14" cm="1">
        <f t="array" ref="L209">INT(SUMPRODUCT(--ISNUMBER(SEARCH(healthcare,C209)))&gt;0)</f>
        <v>0</v>
      </c>
      <c r="M209" s="14" cm="1">
        <f t="array" ref="M209">INT(SUMPRODUCT(--ISNUMBER(SEARCH(supreme,C209)))&gt;0)</f>
        <v>0</v>
      </c>
      <c r="N209" s="14" cm="1">
        <f t="array" ref="N209">INT(SUMPRODUCT(--ISNUMBER(SEARCH(covid,C209)))&gt;0)</f>
        <v>0</v>
      </c>
      <c r="O209" s="14" cm="1">
        <f t="array" ref="O209">INT(SUMPRODUCT(--ISNUMBER(SEARCH(violent,C209)))&gt;0)</f>
        <v>0</v>
      </c>
      <c r="P209" s="14" cm="1">
        <f t="array" ref="P209">INT(SUMPRODUCT(--ISNUMBER(SEARCH(foreign,C209)))&gt;0)</f>
        <v>0</v>
      </c>
      <c r="Q209" s="14" cm="1">
        <f t="array" ref="Q209">INT(SUMPRODUCT(--ISNUMBER(SEARCH(gun,C209)))&gt;0)</f>
        <v>0</v>
      </c>
      <c r="R209" s="14" cm="1">
        <f t="array" ref="R209">INT(SUMPRODUCT(--ISNUMBER(SEARCH(race,C209)))&gt;0)</f>
        <v>0</v>
      </c>
      <c r="S209" s="14" cm="1">
        <f t="array" ref="S209">INT(SUMPRODUCT(--ISNUMBER(SEARCH(immigration,C209)))&gt;0)</f>
        <v>0</v>
      </c>
      <c r="T209" s="14" cm="1">
        <f t="array" ref="T209">INT(SUMPRODUCT(--ISNUMBER(SEARCH(econineq,C210)))&gt;0)</f>
        <v>0</v>
      </c>
      <c r="U209" s="14" cm="1">
        <f t="array" ref="U209">INT(SUMPRODUCT(--ISNUMBER(SEARCH(climate,C209)))&gt;0)</f>
        <v>0</v>
      </c>
      <c r="V209" s="14" cm="1">
        <f t="array" ref="V209">INT(SUMPRODUCT(--ISNUMBER(SEARCH(abortion,C209)))&gt;0)</f>
        <v>0</v>
      </c>
      <c r="W209" s="14" cm="1">
        <f t="array" ref="W209">INT(SUMPRODUCT(--ISNUMBER(SEARCH(trump,C209)))&gt;0)</f>
        <v>0</v>
      </c>
      <c r="X209" s="14" cm="1">
        <f t="array" ref="X209">INT(SUMPRODUCT(--ISNUMBER(SEARCH(voting,C209)))&gt;0)</f>
        <v>0</v>
      </c>
      <c r="Y209" s="14" cm="1">
        <f t="array" ref="Y209">INT(SUMPRODUCT(--ISNUMBER(SEARCH(democrattrigger,C209)))&gt;0)</f>
        <v>1</v>
      </c>
      <c r="Z209" s="14" cm="1">
        <f t="array" ref="Z209">INT(SUMPRODUCT(--ISNUMBER(SEARCH(bipartisan,C209)))&gt;0)</f>
        <v>0</v>
      </c>
      <c r="AA209" s="14">
        <f t="shared" si="3"/>
        <v>0</v>
      </c>
      <c r="AB209" s="14"/>
      <c r="AC209" s="30">
        <v>1</v>
      </c>
      <c r="AD209" s="37">
        <v>0</v>
      </c>
    </row>
    <row r="210" spans="1:30" x14ac:dyDescent="0.25">
      <c r="A210" s="36">
        <v>1195</v>
      </c>
      <c r="B210" s="14" t="s">
        <v>2417</v>
      </c>
      <c r="C210" s="14" t="s">
        <v>2418</v>
      </c>
      <c r="D210" s="18">
        <v>44108</v>
      </c>
      <c r="E210" s="14" t="s">
        <v>30</v>
      </c>
      <c r="F210" s="14">
        <v>583</v>
      </c>
      <c r="G210" s="14">
        <v>261</v>
      </c>
      <c r="H210" s="14">
        <v>6</v>
      </c>
      <c r="I210" s="14">
        <v>3</v>
      </c>
      <c r="J210" s="14" t="s">
        <v>204</v>
      </c>
      <c r="K210" s="14" cm="1">
        <f t="array" ref="K210">INT(SUMPRODUCT(--ISNUMBER(SEARCH(economy,C210)))&gt;0)</f>
        <v>0</v>
      </c>
      <c r="L210" s="14" cm="1">
        <f t="array" ref="L210">INT(SUMPRODUCT(--ISNUMBER(SEARCH(healthcare,C210)))&gt;0)</f>
        <v>0</v>
      </c>
      <c r="M210" s="14" cm="1">
        <f t="array" ref="M210">INT(SUMPRODUCT(--ISNUMBER(SEARCH(supreme,C210)))&gt;0)</f>
        <v>0</v>
      </c>
      <c r="N210" s="14" cm="1">
        <f t="array" ref="N210">INT(SUMPRODUCT(--ISNUMBER(SEARCH(covid,C210)))&gt;0)</f>
        <v>0</v>
      </c>
      <c r="O210" s="14" cm="1">
        <f t="array" ref="O210">INT(SUMPRODUCT(--ISNUMBER(SEARCH(violent,C210)))&gt;0)</f>
        <v>0</v>
      </c>
      <c r="P210" s="14" cm="1">
        <f t="array" ref="P210">INT(SUMPRODUCT(--ISNUMBER(SEARCH(foreign,C210)))&gt;0)</f>
        <v>0</v>
      </c>
      <c r="Q210" s="14" cm="1">
        <f t="array" ref="Q210">INT(SUMPRODUCT(--ISNUMBER(SEARCH(gun,C210)))&gt;0)</f>
        <v>0</v>
      </c>
      <c r="R210" s="14" cm="1">
        <f t="array" ref="R210">INT(SUMPRODUCT(--ISNUMBER(SEARCH(race,C210)))&gt;0)</f>
        <v>0</v>
      </c>
      <c r="S210" s="14" cm="1">
        <f t="array" ref="S210">INT(SUMPRODUCT(--ISNUMBER(SEARCH(immigration,C210)))&gt;0)</f>
        <v>0</v>
      </c>
      <c r="T210" s="14" cm="1">
        <f t="array" ref="T210">INT(SUMPRODUCT(--ISNUMBER(SEARCH(econineq,C211)))&gt;0)</f>
        <v>0</v>
      </c>
      <c r="U210" s="14" cm="1">
        <f t="array" ref="U210">INT(SUMPRODUCT(--ISNUMBER(SEARCH(climate,C210)))&gt;0)</f>
        <v>0</v>
      </c>
      <c r="V210" s="14" cm="1">
        <f t="array" ref="V210">INT(SUMPRODUCT(--ISNUMBER(SEARCH(abortion,C210)))&gt;0)</f>
        <v>0</v>
      </c>
      <c r="W210" s="14" cm="1">
        <f t="array" ref="W210">INT(SUMPRODUCT(--ISNUMBER(SEARCH(trump,C210)))&gt;0)</f>
        <v>0</v>
      </c>
      <c r="X210" s="14" cm="1">
        <f t="array" ref="X210">INT(SUMPRODUCT(--ISNUMBER(SEARCH(voting,C210)))&gt;0)</f>
        <v>0</v>
      </c>
      <c r="Y210" s="14" cm="1">
        <f t="array" ref="Y210">INT(SUMPRODUCT(--ISNUMBER(SEARCH(democrattrigger,C210)))&gt;0)</f>
        <v>1</v>
      </c>
      <c r="Z210" s="14" cm="1">
        <f t="array" ref="Z210">INT(SUMPRODUCT(--ISNUMBER(SEARCH(bipartisan,C210)))&gt;0)</f>
        <v>0</v>
      </c>
      <c r="AA210" s="14">
        <f t="shared" si="3"/>
        <v>0</v>
      </c>
      <c r="AB210" s="14"/>
      <c r="AC210" s="30" t="s">
        <v>223</v>
      </c>
      <c r="AD210" s="37" t="s">
        <v>223</v>
      </c>
    </row>
    <row r="211" spans="1:30" x14ac:dyDescent="0.25">
      <c r="A211" s="36">
        <v>1196</v>
      </c>
      <c r="B211" s="14" t="s">
        <v>2419</v>
      </c>
      <c r="C211" s="14" t="s">
        <v>2420</v>
      </c>
      <c r="D211" s="18">
        <v>44108</v>
      </c>
      <c r="E211" s="14" t="s">
        <v>30</v>
      </c>
      <c r="F211" s="14">
        <v>1053</v>
      </c>
      <c r="G211" s="14">
        <v>359</v>
      </c>
      <c r="H211" s="14">
        <v>6</v>
      </c>
      <c r="I211" s="14">
        <v>3</v>
      </c>
      <c r="J211" s="14" t="s">
        <v>204</v>
      </c>
      <c r="K211" s="14" cm="1">
        <f t="array" ref="K211">INT(SUMPRODUCT(--ISNUMBER(SEARCH(economy,C211)))&gt;0)</f>
        <v>0</v>
      </c>
      <c r="L211" s="14" cm="1">
        <f t="array" ref="L211">INT(SUMPRODUCT(--ISNUMBER(SEARCH(healthcare,C211)))&gt;0)</f>
        <v>0</v>
      </c>
      <c r="M211" s="14" cm="1">
        <f t="array" ref="M211">INT(SUMPRODUCT(--ISNUMBER(SEARCH(supreme,C211)))&gt;0)</f>
        <v>0</v>
      </c>
      <c r="N211" s="14" cm="1">
        <f t="array" ref="N211">INT(SUMPRODUCT(--ISNUMBER(SEARCH(covid,C211)))&gt;0)</f>
        <v>0</v>
      </c>
      <c r="O211" s="14" cm="1">
        <f t="array" ref="O211">INT(SUMPRODUCT(--ISNUMBER(SEARCH(violent,C211)))&gt;0)</f>
        <v>0</v>
      </c>
      <c r="P211" s="14" cm="1">
        <f t="array" ref="P211">INT(SUMPRODUCT(--ISNUMBER(SEARCH(foreign,C211)))&gt;0)</f>
        <v>0</v>
      </c>
      <c r="Q211" s="14" cm="1">
        <f t="array" ref="Q211">INT(SUMPRODUCT(--ISNUMBER(SEARCH(gun,C211)))&gt;0)</f>
        <v>0</v>
      </c>
      <c r="R211" s="14" cm="1">
        <f t="array" ref="R211">INT(SUMPRODUCT(--ISNUMBER(SEARCH(race,C211)))&gt;0)</f>
        <v>0</v>
      </c>
      <c r="S211" s="14" cm="1">
        <f t="array" ref="S211">INT(SUMPRODUCT(--ISNUMBER(SEARCH(immigration,C211)))&gt;0)</f>
        <v>0</v>
      </c>
      <c r="T211" s="14" cm="1">
        <f t="array" ref="T211">INT(SUMPRODUCT(--ISNUMBER(SEARCH(econineq,C212)))&gt;0)</f>
        <v>0</v>
      </c>
      <c r="U211" s="14" cm="1">
        <f t="array" ref="U211">INT(SUMPRODUCT(--ISNUMBER(SEARCH(climate,C211)))&gt;0)</f>
        <v>0</v>
      </c>
      <c r="V211" s="14" cm="1">
        <f t="array" ref="V211">INT(SUMPRODUCT(--ISNUMBER(SEARCH(abortion,C211)))&gt;0)</f>
        <v>0</v>
      </c>
      <c r="W211" s="14" cm="1">
        <f t="array" ref="W211">INT(SUMPRODUCT(--ISNUMBER(SEARCH(trump,C211)))&gt;0)</f>
        <v>0</v>
      </c>
      <c r="X211" s="14" cm="1">
        <f t="array" ref="X211">INT(SUMPRODUCT(--ISNUMBER(SEARCH(voting,C211)))&gt;0)</f>
        <v>0</v>
      </c>
      <c r="Y211" s="14" cm="1">
        <f t="array" ref="Y211">INT(SUMPRODUCT(--ISNUMBER(SEARCH(democrattrigger,C211)))&gt;0)</f>
        <v>1</v>
      </c>
      <c r="Z211" s="14" cm="1">
        <f t="array" ref="Z211">INT(SUMPRODUCT(--ISNUMBER(SEARCH(bipartisan,C211)))&gt;0)</f>
        <v>0</v>
      </c>
      <c r="AA211" s="14">
        <f t="shared" si="3"/>
        <v>0</v>
      </c>
      <c r="AB211" s="14"/>
      <c r="AC211" s="30" t="s">
        <v>223</v>
      </c>
      <c r="AD211" s="37" t="s">
        <v>223</v>
      </c>
    </row>
    <row r="212" spans="1:30" x14ac:dyDescent="0.25">
      <c r="A212" s="36">
        <v>1197</v>
      </c>
      <c r="B212" s="14" t="s">
        <v>2421</v>
      </c>
      <c r="C212" s="14" t="s">
        <v>2422</v>
      </c>
      <c r="D212" s="18">
        <v>44108</v>
      </c>
      <c r="E212" s="14" t="s">
        <v>30</v>
      </c>
      <c r="F212" s="14">
        <v>560</v>
      </c>
      <c r="G212" s="14">
        <v>181</v>
      </c>
      <c r="H212" s="14">
        <v>6</v>
      </c>
      <c r="I212" s="14">
        <v>3</v>
      </c>
      <c r="J212" s="14" t="s">
        <v>204</v>
      </c>
      <c r="K212" s="14" cm="1">
        <f t="array" ref="K212">INT(SUMPRODUCT(--ISNUMBER(SEARCH(economy,C212)))&gt;0)</f>
        <v>0</v>
      </c>
      <c r="L212" s="14" cm="1">
        <f t="array" ref="L212">INT(SUMPRODUCT(--ISNUMBER(SEARCH(healthcare,C212)))&gt;0)</f>
        <v>0</v>
      </c>
      <c r="M212" s="14" cm="1">
        <f t="array" ref="M212">INT(SUMPRODUCT(--ISNUMBER(SEARCH(supreme,C212)))&gt;0)</f>
        <v>0</v>
      </c>
      <c r="N212" s="14" cm="1">
        <f t="array" ref="N212">INT(SUMPRODUCT(--ISNUMBER(SEARCH(covid,C212)))&gt;0)</f>
        <v>0</v>
      </c>
      <c r="O212" s="14" cm="1">
        <f t="array" ref="O212">INT(SUMPRODUCT(--ISNUMBER(SEARCH(violent,C212)))&gt;0)</f>
        <v>0</v>
      </c>
      <c r="P212" s="14" cm="1">
        <f t="array" ref="P212">INT(SUMPRODUCT(--ISNUMBER(SEARCH(foreign,C212)))&gt;0)</f>
        <v>0</v>
      </c>
      <c r="Q212" s="14" cm="1">
        <f t="array" ref="Q212">INT(SUMPRODUCT(--ISNUMBER(SEARCH(gun,C212)))&gt;0)</f>
        <v>0</v>
      </c>
      <c r="R212" s="14" cm="1">
        <f t="array" ref="R212">INT(SUMPRODUCT(--ISNUMBER(SEARCH(race,C212)))&gt;0)</f>
        <v>0</v>
      </c>
      <c r="S212" s="14" cm="1">
        <f t="array" ref="S212">INT(SUMPRODUCT(--ISNUMBER(SEARCH(immigration,C212)))&gt;0)</f>
        <v>0</v>
      </c>
      <c r="T212" s="14" cm="1">
        <f t="array" ref="T212">INT(SUMPRODUCT(--ISNUMBER(SEARCH(econineq,C213)))&gt;0)</f>
        <v>0</v>
      </c>
      <c r="U212" s="14" cm="1">
        <f t="array" ref="U212">INT(SUMPRODUCT(--ISNUMBER(SEARCH(climate,C212)))&gt;0)</f>
        <v>0</v>
      </c>
      <c r="V212" s="14" cm="1">
        <f t="array" ref="V212">INT(SUMPRODUCT(--ISNUMBER(SEARCH(abortion,C212)))&gt;0)</f>
        <v>0</v>
      </c>
      <c r="W212" s="14" cm="1">
        <f t="array" ref="W212">INT(SUMPRODUCT(--ISNUMBER(SEARCH(trump,C212)))&gt;0)</f>
        <v>0</v>
      </c>
      <c r="X212" s="14" cm="1">
        <f t="array" ref="X212">INT(SUMPRODUCT(--ISNUMBER(SEARCH(voting,C212)))&gt;0)</f>
        <v>0</v>
      </c>
      <c r="Y212" s="14" cm="1">
        <f t="array" ref="Y212">INT(SUMPRODUCT(--ISNUMBER(SEARCH(democrattrigger,C212)))&gt;0)</f>
        <v>1</v>
      </c>
      <c r="Z212" s="14" cm="1">
        <f t="array" ref="Z212">INT(SUMPRODUCT(--ISNUMBER(SEARCH(bipartisan,C212)))&gt;0)</f>
        <v>1</v>
      </c>
      <c r="AA212" s="14">
        <f t="shared" si="3"/>
        <v>0</v>
      </c>
      <c r="AB212" s="14"/>
      <c r="AC212" s="30" t="s">
        <v>223</v>
      </c>
      <c r="AD212" s="37" t="s">
        <v>223</v>
      </c>
    </row>
    <row r="213" spans="1:30" x14ac:dyDescent="0.25">
      <c r="A213" s="36">
        <v>1198</v>
      </c>
      <c r="B213" s="14" t="s">
        <v>2423</v>
      </c>
      <c r="C213" s="14" t="s">
        <v>2424</v>
      </c>
      <c r="D213" s="18">
        <v>44108</v>
      </c>
      <c r="E213" s="14" t="s">
        <v>30</v>
      </c>
      <c r="F213" s="14">
        <v>816</v>
      </c>
      <c r="G213" s="14">
        <v>355</v>
      </c>
      <c r="H213" s="14">
        <v>6</v>
      </c>
      <c r="I213" s="14">
        <v>3</v>
      </c>
      <c r="J213" s="14" t="s">
        <v>204</v>
      </c>
      <c r="K213" s="14" cm="1">
        <f t="array" ref="K213">INT(SUMPRODUCT(--ISNUMBER(SEARCH(economy,C213)))&gt;0)</f>
        <v>0</v>
      </c>
      <c r="L213" s="14" cm="1">
        <f t="array" ref="L213">INT(SUMPRODUCT(--ISNUMBER(SEARCH(healthcare,C213)))&gt;0)</f>
        <v>1</v>
      </c>
      <c r="M213" s="14" cm="1">
        <f t="array" ref="M213">INT(SUMPRODUCT(--ISNUMBER(SEARCH(supreme,C213)))&gt;0)</f>
        <v>0</v>
      </c>
      <c r="N213" s="14" cm="1">
        <f t="array" ref="N213">INT(SUMPRODUCT(--ISNUMBER(SEARCH(covid,C213)))&gt;0)</f>
        <v>0</v>
      </c>
      <c r="O213" s="14" cm="1">
        <f t="array" ref="O213">INT(SUMPRODUCT(--ISNUMBER(SEARCH(violent,C213)))&gt;0)</f>
        <v>0</v>
      </c>
      <c r="P213" s="14" cm="1">
        <f t="array" ref="P213">INT(SUMPRODUCT(--ISNUMBER(SEARCH(foreign,C213)))&gt;0)</f>
        <v>0</v>
      </c>
      <c r="Q213" s="14" cm="1">
        <f t="array" ref="Q213">INT(SUMPRODUCT(--ISNUMBER(SEARCH(gun,C213)))&gt;0)</f>
        <v>0</v>
      </c>
      <c r="R213" s="14" cm="1">
        <f t="array" ref="R213">INT(SUMPRODUCT(--ISNUMBER(SEARCH(race,C213)))&gt;0)</f>
        <v>0</v>
      </c>
      <c r="S213" s="14" cm="1">
        <f t="array" ref="S213">INT(SUMPRODUCT(--ISNUMBER(SEARCH(immigration,C213)))&gt;0)</f>
        <v>0</v>
      </c>
      <c r="T213" s="14" cm="1">
        <f t="array" ref="T213">INT(SUMPRODUCT(--ISNUMBER(SEARCH(econineq,C214)))&gt;0)</f>
        <v>0</v>
      </c>
      <c r="U213" s="14" cm="1">
        <f t="array" ref="U213">INT(SUMPRODUCT(--ISNUMBER(SEARCH(climate,C213)))&gt;0)</f>
        <v>0</v>
      </c>
      <c r="V213" s="14" cm="1">
        <f t="array" ref="V213">INT(SUMPRODUCT(--ISNUMBER(SEARCH(abortion,C213)))&gt;0)</f>
        <v>0</v>
      </c>
      <c r="W213" s="14" cm="1">
        <f t="array" ref="W213">INT(SUMPRODUCT(--ISNUMBER(SEARCH(trump,C213)))&gt;0)</f>
        <v>0</v>
      </c>
      <c r="X213" s="14" cm="1">
        <f t="array" ref="X213">INT(SUMPRODUCT(--ISNUMBER(SEARCH(voting,C213)))&gt;0)</f>
        <v>1</v>
      </c>
      <c r="Y213" s="14" cm="1">
        <f t="array" ref="Y213">INT(SUMPRODUCT(--ISNUMBER(SEARCH(democrattrigger,C213)))&gt;0)</f>
        <v>1</v>
      </c>
      <c r="Z213" s="14" cm="1">
        <f t="array" ref="Z213">INT(SUMPRODUCT(--ISNUMBER(SEARCH(bipartisan,C213)))&gt;0)</f>
        <v>0</v>
      </c>
      <c r="AA213" s="14">
        <f t="shared" si="3"/>
        <v>0</v>
      </c>
      <c r="AB213" s="14"/>
      <c r="AC213" s="30">
        <v>1</v>
      </c>
      <c r="AD213" s="37">
        <v>0</v>
      </c>
    </row>
    <row r="214" spans="1:30" x14ac:dyDescent="0.25">
      <c r="A214" s="36">
        <v>1199</v>
      </c>
      <c r="B214" s="14" t="s">
        <v>2425</v>
      </c>
      <c r="C214" s="14" t="s">
        <v>2426</v>
      </c>
      <c r="D214" s="18">
        <v>44108</v>
      </c>
      <c r="E214" s="14" t="s">
        <v>30</v>
      </c>
      <c r="F214" s="14">
        <v>417</v>
      </c>
      <c r="G214" s="14">
        <v>161</v>
      </c>
      <c r="H214" s="14">
        <v>6</v>
      </c>
      <c r="I214" s="14">
        <v>3</v>
      </c>
      <c r="J214" s="14" t="s">
        <v>204</v>
      </c>
      <c r="K214" s="14" cm="1">
        <f t="array" ref="K214">INT(SUMPRODUCT(--ISNUMBER(SEARCH(economy,C214)))&gt;0)</f>
        <v>0</v>
      </c>
      <c r="L214" s="14" cm="1">
        <f t="array" ref="L214">INT(SUMPRODUCT(--ISNUMBER(SEARCH(healthcare,C214)))&gt;0)</f>
        <v>1</v>
      </c>
      <c r="M214" s="14" cm="1">
        <f t="array" ref="M214">INT(SUMPRODUCT(--ISNUMBER(SEARCH(supreme,C214)))&gt;0)</f>
        <v>0</v>
      </c>
      <c r="N214" s="14" cm="1">
        <f t="array" ref="N214">INT(SUMPRODUCT(--ISNUMBER(SEARCH(covid,C214)))&gt;0)</f>
        <v>0</v>
      </c>
      <c r="O214" s="14" cm="1">
        <f t="array" ref="O214">INT(SUMPRODUCT(--ISNUMBER(SEARCH(violent,C214)))&gt;0)</f>
        <v>0</v>
      </c>
      <c r="P214" s="14" cm="1">
        <f t="array" ref="P214">INT(SUMPRODUCT(--ISNUMBER(SEARCH(foreign,C214)))&gt;0)</f>
        <v>0</v>
      </c>
      <c r="Q214" s="14" cm="1">
        <f t="array" ref="Q214">INT(SUMPRODUCT(--ISNUMBER(SEARCH(gun,C214)))&gt;0)</f>
        <v>0</v>
      </c>
      <c r="R214" s="14" cm="1">
        <f t="array" ref="R214">INT(SUMPRODUCT(--ISNUMBER(SEARCH(race,C214)))&gt;0)</f>
        <v>0</v>
      </c>
      <c r="S214" s="14" cm="1">
        <f t="array" ref="S214">INT(SUMPRODUCT(--ISNUMBER(SEARCH(immigration,C214)))&gt;0)</f>
        <v>0</v>
      </c>
      <c r="T214" s="14" cm="1">
        <f t="array" ref="T214">INT(SUMPRODUCT(--ISNUMBER(SEARCH(econineq,C215)))&gt;0)</f>
        <v>0</v>
      </c>
      <c r="U214" s="14" cm="1">
        <f t="array" ref="U214">INT(SUMPRODUCT(--ISNUMBER(SEARCH(climate,C214)))&gt;0)</f>
        <v>0</v>
      </c>
      <c r="V214" s="14" cm="1">
        <f t="array" ref="V214">INT(SUMPRODUCT(--ISNUMBER(SEARCH(abortion,C214)))&gt;0)</f>
        <v>0</v>
      </c>
      <c r="W214" s="14" cm="1">
        <f t="array" ref="W214">INT(SUMPRODUCT(--ISNUMBER(SEARCH(trump,C214)))&gt;0)</f>
        <v>0</v>
      </c>
      <c r="X214" s="14" cm="1">
        <f t="array" ref="X214">INT(SUMPRODUCT(--ISNUMBER(SEARCH(voting,C214)))&gt;0)</f>
        <v>0</v>
      </c>
      <c r="Y214" s="14" cm="1">
        <f t="array" ref="Y214">INT(SUMPRODUCT(--ISNUMBER(SEARCH(democrattrigger,C214)))&gt;0)</f>
        <v>0</v>
      </c>
      <c r="Z214" s="14" cm="1">
        <f t="array" ref="Z214">INT(SUMPRODUCT(--ISNUMBER(SEARCH(bipartisan,C214)))&gt;0)</f>
        <v>0</v>
      </c>
      <c r="AA214" s="14">
        <f t="shared" si="3"/>
        <v>0</v>
      </c>
      <c r="AB214" s="14"/>
      <c r="AC214" s="30" t="s">
        <v>223</v>
      </c>
      <c r="AD214" s="37" t="s">
        <v>223</v>
      </c>
    </row>
    <row r="215" spans="1:30" x14ac:dyDescent="0.25">
      <c r="A215" s="36">
        <v>1200</v>
      </c>
      <c r="B215" s="14" t="s">
        <v>2427</v>
      </c>
      <c r="C215" s="14" t="s">
        <v>2428</v>
      </c>
      <c r="D215" s="18">
        <v>44108</v>
      </c>
      <c r="E215" s="14" t="s">
        <v>30</v>
      </c>
      <c r="F215" s="14">
        <v>2030</v>
      </c>
      <c r="G215" s="14">
        <v>528</v>
      </c>
      <c r="H215" s="14">
        <v>6</v>
      </c>
      <c r="I215" s="14">
        <v>3</v>
      </c>
      <c r="J215" s="14" t="s">
        <v>204</v>
      </c>
      <c r="K215" s="14" cm="1">
        <f t="array" ref="K215">INT(SUMPRODUCT(--ISNUMBER(SEARCH(economy,C215)))&gt;0)</f>
        <v>0</v>
      </c>
      <c r="L215" s="14" cm="1">
        <f t="array" ref="L215">INT(SUMPRODUCT(--ISNUMBER(SEARCH(healthcare,C215)))&gt;0)</f>
        <v>0</v>
      </c>
      <c r="M215" s="14" cm="1">
        <f t="array" ref="M215">INT(SUMPRODUCT(--ISNUMBER(SEARCH(supreme,C215)))&gt;0)</f>
        <v>0</v>
      </c>
      <c r="N215" s="14" cm="1">
        <f t="array" ref="N215">INT(SUMPRODUCT(--ISNUMBER(SEARCH(covid,C215)))&gt;0)</f>
        <v>0</v>
      </c>
      <c r="O215" s="14" cm="1">
        <f t="array" ref="O215">INT(SUMPRODUCT(--ISNUMBER(SEARCH(violent,C215)))&gt;0)</f>
        <v>0</v>
      </c>
      <c r="P215" s="14" cm="1">
        <f t="array" ref="P215">INT(SUMPRODUCT(--ISNUMBER(SEARCH(foreign,C215)))&gt;0)</f>
        <v>0</v>
      </c>
      <c r="Q215" s="14" cm="1">
        <f t="array" ref="Q215">INT(SUMPRODUCT(--ISNUMBER(SEARCH(gun,C215)))&gt;0)</f>
        <v>0</v>
      </c>
      <c r="R215" s="14" cm="1">
        <f t="array" ref="R215">INT(SUMPRODUCT(--ISNUMBER(SEARCH(race,C215)))&gt;0)</f>
        <v>0</v>
      </c>
      <c r="S215" s="14" cm="1">
        <f t="array" ref="S215">INT(SUMPRODUCT(--ISNUMBER(SEARCH(immigration,C215)))&gt;0)</f>
        <v>0</v>
      </c>
      <c r="T215" s="14" cm="1">
        <f t="array" ref="T215">INT(SUMPRODUCT(--ISNUMBER(SEARCH(econineq,C216)))&gt;0)</f>
        <v>0</v>
      </c>
      <c r="U215" s="14" cm="1">
        <f t="array" ref="U215">INT(SUMPRODUCT(--ISNUMBER(SEARCH(climate,C215)))&gt;0)</f>
        <v>0</v>
      </c>
      <c r="V215" s="14" cm="1">
        <f t="array" ref="V215">INT(SUMPRODUCT(--ISNUMBER(SEARCH(abortion,C215)))&gt;0)</f>
        <v>0</v>
      </c>
      <c r="W215" s="14" cm="1">
        <f t="array" ref="W215">INT(SUMPRODUCT(--ISNUMBER(SEARCH(trump,C215)))&gt;0)</f>
        <v>0</v>
      </c>
      <c r="X215" s="14" cm="1">
        <f t="array" ref="X215">INT(SUMPRODUCT(--ISNUMBER(SEARCH(voting,C215)))&gt;0)</f>
        <v>0</v>
      </c>
      <c r="Y215" s="14" cm="1">
        <f t="array" ref="Y215">INT(SUMPRODUCT(--ISNUMBER(SEARCH(democrattrigger,C215)))&gt;0)</f>
        <v>1</v>
      </c>
      <c r="Z215" s="14" cm="1">
        <f t="array" ref="Z215">INT(SUMPRODUCT(--ISNUMBER(SEARCH(bipartisan,C215)))&gt;0)</f>
        <v>0</v>
      </c>
      <c r="AA215" s="14">
        <f t="shared" si="3"/>
        <v>0</v>
      </c>
      <c r="AB215" s="14"/>
      <c r="AC215" s="30" t="s">
        <v>223</v>
      </c>
      <c r="AD215" s="37" t="s">
        <v>223</v>
      </c>
    </row>
    <row r="216" spans="1:30" x14ac:dyDescent="0.25">
      <c r="A216" s="36">
        <v>1201</v>
      </c>
      <c r="B216" s="14" t="s">
        <v>2429</v>
      </c>
      <c r="C216" s="14" t="s">
        <v>2430</v>
      </c>
      <c r="D216" s="18">
        <v>44108</v>
      </c>
      <c r="E216" s="14" t="s">
        <v>30</v>
      </c>
      <c r="F216" s="14">
        <v>364</v>
      </c>
      <c r="G216" s="14">
        <v>153</v>
      </c>
      <c r="H216" s="14">
        <v>6</v>
      </c>
      <c r="I216" s="14">
        <v>3</v>
      </c>
      <c r="J216" s="14" t="s">
        <v>204</v>
      </c>
      <c r="K216" s="14" cm="1">
        <f t="array" ref="K216">INT(SUMPRODUCT(--ISNUMBER(SEARCH(economy,C216)))&gt;0)</f>
        <v>0</v>
      </c>
      <c r="L216" s="14" cm="1">
        <f t="array" ref="L216">INT(SUMPRODUCT(--ISNUMBER(SEARCH(healthcare,C216)))&gt;0)</f>
        <v>1</v>
      </c>
      <c r="M216" s="14" cm="1">
        <f t="array" ref="M216">INT(SUMPRODUCT(--ISNUMBER(SEARCH(supreme,C216)))&gt;0)</f>
        <v>0</v>
      </c>
      <c r="N216" s="14" cm="1">
        <f t="array" ref="N216">INT(SUMPRODUCT(--ISNUMBER(SEARCH(covid,C216)))&gt;0)</f>
        <v>0</v>
      </c>
      <c r="O216" s="14" cm="1">
        <f t="array" ref="O216">INT(SUMPRODUCT(--ISNUMBER(SEARCH(violent,C216)))&gt;0)</f>
        <v>0</v>
      </c>
      <c r="P216" s="14" cm="1">
        <f t="array" ref="P216">INT(SUMPRODUCT(--ISNUMBER(SEARCH(foreign,C216)))&gt;0)</f>
        <v>0</v>
      </c>
      <c r="Q216" s="14" cm="1">
        <f t="array" ref="Q216">INT(SUMPRODUCT(--ISNUMBER(SEARCH(gun,C216)))&gt;0)</f>
        <v>0</v>
      </c>
      <c r="R216" s="14" cm="1">
        <f t="array" ref="R216">INT(SUMPRODUCT(--ISNUMBER(SEARCH(race,C216)))&gt;0)</f>
        <v>0</v>
      </c>
      <c r="S216" s="14" cm="1">
        <f t="array" ref="S216">INT(SUMPRODUCT(--ISNUMBER(SEARCH(immigration,C216)))&gt;0)</f>
        <v>0</v>
      </c>
      <c r="T216" s="14" cm="1">
        <f t="array" ref="T216">INT(SUMPRODUCT(--ISNUMBER(SEARCH(econineq,C217)))&gt;0)</f>
        <v>0</v>
      </c>
      <c r="U216" s="14" cm="1">
        <f t="array" ref="U216">INT(SUMPRODUCT(--ISNUMBER(SEARCH(climate,C216)))&gt;0)</f>
        <v>0</v>
      </c>
      <c r="V216" s="14" cm="1">
        <f t="array" ref="V216">INT(SUMPRODUCT(--ISNUMBER(SEARCH(abortion,C216)))&gt;0)</f>
        <v>0</v>
      </c>
      <c r="W216" s="14" cm="1">
        <f t="array" ref="W216">INT(SUMPRODUCT(--ISNUMBER(SEARCH(trump,C216)))&gt;0)</f>
        <v>0</v>
      </c>
      <c r="X216" s="14" cm="1">
        <f t="array" ref="X216">INT(SUMPRODUCT(--ISNUMBER(SEARCH(voting,C216)))&gt;0)</f>
        <v>1</v>
      </c>
      <c r="Y216" s="14" cm="1">
        <f t="array" ref="Y216">INT(SUMPRODUCT(--ISNUMBER(SEARCH(democrattrigger,C216)))&gt;0)</f>
        <v>1</v>
      </c>
      <c r="Z216" s="14" cm="1">
        <f t="array" ref="Z216">INT(SUMPRODUCT(--ISNUMBER(SEARCH(bipartisan,C216)))&gt;0)</f>
        <v>0</v>
      </c>
      <c r="AA216" s="14">
        <f t="shared" si="3"/>
        <v>0</v>
      </c>
      <c r="AB216" s="14"/>
      <c r="AC216" s="30">
        <v>0</v>
      </c>
      <c r="AD216" s="37">
        <v>1</v>
      </c>
    </row>
    <row r="217" spans="1:30" x14ac:dyDescent="0.25">
      <c r="A217" s="36">
        <v>1202</v>
      </c>
      <c r="B217" s="14" t="s">
        <v>2431</v>
      </c>
      <c r="C217" s="14" t="s">
        <v>2432</v>
      </c>
      <c r="D217" s="18">
        <v>44108</v>
      </c>
      <c r="E217" s="14" t="s">
        <v>30</v>
      </c>
      <c r="F217" s="14">
        <v>458</v>
      </c>
      <c r="G217" s="14">
        <v>116</v>
      </c>
      <c r="H217" s="14">
        <v>6</v>
      </c>
      <c r="I217" s="14">
        <v>3</v>
      </c>
      <c r="J217" s="14" t="s">
        <v>204</v>
      </c>
      <c r="K217" s="14" cm="1">
        <f t="array" ref="K217">INT(SUMPRODUCT(--ISNUMBER(SEARCH(economy,C217)))&gt;0)</f>
        <v>0</v>
      </c>
      <c r="L217" s="14" cm="1">
        <f t="array" ref="L217">INT(SUMPRODUCT(--ISNUMBER(SEARCH(healthcare,C217)))&gt;0)</f>
        <v>0</v>
      </c>
      <c r="M217" s="14" cm="1">
        <f t="array" ref="M217">INT(SUMPRODUCT(--ISNUMBER(SEARCH(supreme,C217)))&gt;0)</f>
        <v>0</v>
      </c>
      <c r="N217" s="14" cm="1">
        <f t="array" ref="N217">INT(SUMPRODUCT(--ISNUMBER(SEARCH(covid,C217)))&gt;0)</f>
        <v>1</v>
      </c>
      <c r="O217" s="14" cm="1">
        <f t="array" ref="O217">INT(SUMPRODUCT(--ISNUMBER(SEARCH(violent,C217)))&gt;0)</f>
        <v>0</v>
      </c>
      <c r="P217" s="14" cm="1">
        <f t="array" ref="P217">INT(SUMPRODUCT(--ISNUMBER(SEARCH(foreign,C217)))&gt;0)</f>
        <v>0</v>
      </c>
      <c r="Q217" s="14" cm="1">
        <f t="array" ref="Q217">INT(SUMPRODUCT(--ISNUMBER(SEARCH(gun,C217)))&gt;0)</f>
        <v>0</v>
      </c>
      <c r="R217" s="14" cm="1">
        <f t="array" ref="R217">INT(SUMPRODUCT(--ISNUMBER(SEARCH(race,C217)))&gt;0)</f>
        <v>0</v>
      </c>
      <c r="S217" s="14" cm="1">
        <f t="array" ref="S217">INT(SUMPRODUCT(--ISNUMBER(SEARCH(immigration,C217)))&gt;0)</f>
        <v>0</v>
      </c>
      <c r="T217" s="14" cm="1">
        <f t="array" ref="T217">INT(SUMPRODUCT(--ISNUMBER(SEARCH(econineq,C218)))&gt;0)</f>
        <v>0</v>
      </c>
      <c r="U217" s="14" cm="1">
        <f t="array" ref="U217">INT(SUMPRODUCT(--ISNUMBER(SEARCH(climate,C217)))&gt;0)</f>
        <v>0</v>
      </c>
      <c r="V217" s="14" cm="1">
        <f t="array" ref="V217">INT(SUMPRODUCT(--ISNUMBER(SEARCH(abortion,C217)))&gt;0)</f>
        <v>0</v>
      </c>
      <c r="W217" s="14" cm="1">
        <f t="array" ref="W217">INT(SUMPRODUCT(--ISNUMBER(SEARCH(trump,C217)))&gt;0)</f>
        <v>0</v>
      </c>
      <c r="X217" s="14" cm="1">
        <f t="array" ref="X217">INT(SUMPRODUCT(--ISNUMBER(SEARCH(voting,C217)))&gt;0)</f>
        <v>0</v>
      </c>
      <c r="Y217" s="14" cm="1">
        <f t="array" ref="Y217">INT(SUMPRODUCT(--ISNUMBER(SEARCH(democrattrigger,C217)))&gt;0)</f>
        <v>0</v>
      </c>
      <c r="Z217" s="14" cm="1">
        <f t="array" ref="Z217">INT(SUMPRODUCT(--ISNUMBER(SEARCH(bipartisan,C217)))&gt;0)</f>
        <v>0</v>
      </c>
      <c r="AA217" s="14">
        <f t="shared" si="3"/>
        <v>0</v>
      </c>
      <c r="AB217" s="14"/>
      <c r="AC217" s="30" t="s">
        <v>223</v>
      </c>
      <c r="AD217" s="37" t="s">
        <v>223</v>
      </c>
    </row>
    <row r="218" spans="1:30" x14ac:dyDescent="0.25">
      <c r="A218" s="36">
        <v>1203</v>
      </c>
      <c r="B218" s="14" t="s">
        <v>2433</v>
      </c>
      <c r="C218" s="14" t="s">
        <v>2434</v>
      </c>
      <c r="D218" s="18">
        <v>44108</v>
      </c>
      <c r="E218" s="14" t="s">
        <v>30</v>
      </c>
      <c r="F218" s="14">
        <v>249</v>
      </c>
      <c r="G218" s="14">
        <v>80</v>
      </c>
      <c r="H218" s="14">
        <v>6</v>
      </c>
      <c r="I218" s="14">
        <v>3</v>
      </c>
      <c r="J218" s="14" t="s">
        <v>204</v>
      </c>
      <c r="K218" s="14" cm="1">
        <f t="array" ref="K218">INT(SUMPRODUCT(--ISNUMBER(SEARCH(economy,C218)))&gt;0)</f>
        <v>0</v>
      </c>
      <c r="L218" s="14" cm="1">
        <f t="array" ref="L218">INT(SUMPRODUCT(--ISNUMBER(SEARCH(healthcare,C218)))&gt;0)</f>
        <v>1</v>
      </c>
      <c r="M218" s="14" cm="1">
        <f t="array" ref="M218">INT(SUMPRODUCT(--ISNUMBER(SEARCH(supreme,C218)))&gt;0)</f>
        <v>0</v>
      </c>
      <c r="N218" s="14" cm="1">
        <f t="array" ref="N218">INT(SUMPRODUCT(--ISNUMBER(SEARCH(covid,C218)))&gt;0)</f>
        <v>1</v>
      </c>
      <c r="O218" s="14" cm="1">
        <f t="array" ref="O218">INT(SUMPRODUCT(--ISNUMBER(SEARCH(violent,C218)))&gt;0)</f>
        <v>0</v>
      </c>
      <c r="P218" s="14" cm="1">
        <f t="array" ref="P218">INT(SUMPRODUCT(--ISNUMBER(SEARCH(foreign,C218)))&gt;0)</f>
        <v>0</v>
      </c>
      <c r="Q218" s="14" cm="1">
        <f t="array" ref="Q218">INT(SUMPRODUCT(--ISNUMBER(SEARCH(gun,C218)))&gt;0)</f>
        <v>0</v>
      </c>
      <c r="R218" s="14" cm="1">
        <f t="array" ref="R218">INT(SUMPRODUCT(--ISNUMBER(SEARCH(race,C218)))&gt;0)</f>
        <v>0</v>
      </c>
      <c r="S218" s="14" cm="1">
        <f t="array" ref="S218">INT(SUMPRODUCT(--ISNUMBER(SEARCH(immigration,C218)))&gt;0)</f>
        <v>0</v>
      </c>
      <c r="T218" s="14" cm="1">
        <f t="array" ref="T218">INT(SUMPRODUCT(--ISNUMBER(SEARCH(econineq,C219)))&gt;0)</f>
        <v>0</v>
      </c>
      <c r="U218" s="14" cm="1">
        <f t="array" ref="U218">INT(SUMPRODUCT(--ISNUMBER(SEARCH(climate,C218)))&gt;0)</f>
        <v>0</v>
      </c>
      <c r="V218" s="14" cm="1">
        <f t="array" ref="V218">INT(SUMPRODUCT(--ISNUMBER(SEARCH(abortion,C218)))&gt;0)</f>
        <v>0</v>
      </c>
      <c r="W218" s="14" cm="1">
        <f t="array" ref="W218">INT(SUMPRODUCT(--ISNUMBER(SEARCH(trump,C218)))&gt;0)</f>
        <v>0</v>
      </c>
      <c r="X218" s="14" cm="1">
        <f t="array" ref="X218">INT(SUMPRODUCT(--ISNUMBER(SEARCH(voting,C218)))&gt;0)</f>
        <v>0</v>
      </c>
      <c r="Y218" s="14" cm="1">
        <f t="array" ref="Y218">INT(SUMPRODUCT(--ISNUMBER(SEARCH(democrattrigger,C218)))&gt;0)</f>
        <v>0</v>
      </c>
      <c r="Z218" s="14" cm="1">
        <f t="array" ref="Z218">INT(SUMPRODUCT(--ISNUMBER(SEARCH(bipartisan,C218)))&gt;0)</f>
        <v>0</v>
      </c>
      <c r="AA218" s="14">
        <f t="shared" si="3"/>
        <v>0</v>
      </c>
      <c r="AB218" s="14"/>
      <c r="AC218" s="30" t="s">
        <v>223</v>
      </c>
      <c r="AD218" s="37" t="s">
        <v>223</v>
      </c>
    </row>
    <row r="219" spans="1:30" x14ac:dyDescent="0.25">
      <c r="A219" s="36">
        <v>1204</v>
      </c>
      <c r="B219" s="14" t="s">
        <v>2435</v>
      </c>
      <c r="C219" s="14" t="s">
        <v>2436</v>
      </c>
      <c r="D219" s="18">
        <v>44108</v>
      </c>
      <c r="E219" s="14" t="s">
        <v>30</v>
      </c>
      <c r="F219" s="14">
        <v>645</v>
      </c>
      <c r="G219" s="14">
        <v>206</v>
      </c>
      <c r="H219" s="14">
        <v>6</v>
      </c>
      <c r="I219" s="14">
        <v>3</v>
      </c>
      <c r="J219" s="14" t="s">
        <v>204</v>
      </c>
      <c r="K219" s="14" cm="1">
        <f t="array" ref="K219">INT(SUMPRODUCT(--ISNUMBER(SEARCH(economy,C219)))&gt;0)</f>
        <v>1</v>
      </c>
      <c r="L219" s="14" cm="1">
        <f t="array" ref="L219">INT(SUMPRODUCT(--ISNUMBER(SEARCH(healthcare,C219)))&gt;0)</f>
        <v>0</v>
      </c>
      <c r="M219" s="14" cm="1">
        <f t="array" ref="M219">INT(SUMPRODUCT(--ISNUMBER(SEARCH(supreme,C219)))&gt;0)</f>
        <v>0</v>
      </c>
      <c r="N219" s="14" cm="1">
        <f t="array" ref="N219">INT(SUMPRODUCT(--ISNUMBER(SEARCH(covid,C219)))&gt;0)</f>
        <v>0</v>
      </c>
      <c r="O219" s="14" cm="1">
        <f t="array" ref="O219">INT(SUMPRODUCT(--ISNUMBER(SEARCH(violent,C219)))&gt;0)</f>
        <v>0</v>
      </c>
      <c r="P219" s="14" cm="1">
        <f t="array" ref="P219">INT(SUMPRODUCT(--ISNUMBER(SEARCH(foreign,C219)))&gt;0)</f>
        <v>0</v>
      </c>
      <c r="Q219" s="14" cm="1">
        <f t="array" ref="Q219">INT(SUMPRODUCT(--ISNUMBER(SEARCH(gun,C219)))&gt;0)</f>
        <v>0</v>
      </c>
      <c r="R219" s="14" cm="1">
        <f t="array" ref="R219">INT(SUMPRODUCT(--ISNUMBER(SEARCH(race,C219)))&gt;0)</f>
        <v>0</v>
      </c>
      <c r="S219" s="14" cm="1">
        <f t="array" ref="S219">INT(SUMPRODUCT(--ISNUMBER(SEARCH(immigration,C219)))&gt;0)</f>
        <v>0</v>
      </c>
      <c r="T219" s="14" cm="1">
        <f t="array" ref="T219">INT(SUMPRODUCT(--ISNUMBER(SEARCH(econineq,C220)))&gt;0)</f>
        <v>0</v>
      </c>
      <c r="U219" s="14" cm="1">
        <f t="array" ref="U219">INT(SUMPRODUCT(--ISNUMBER(SEARCH(climate,C219)))&gt;0)</f>
        <v>0</v>
      </c>
      <c r="V219" s="14" cm="1">
        <f t="array" ref="V219">INT(SUMPRODUCT(--ISNUMBER(SEARCH(abortion,C219)))&gt;0)</f>
        <v>0</v>
      </c>
      <c r="W219" s="14" cm="1">
        <f t="array" ref="W219">INT(SUMPRODUCT(--ISNUMBER(SEARCH(trump,C219)))&gt;0)</f>
        <v>0</v>
      </c>
      <c r="X219" s="14" cm="1">
        <f t="array" ref="X219">INT(SUMPRODUCT(--ISNUMBER(SEARCH(voting,C219)))&gt;0)</f>
        <v>0</v>
      </c>
      <c r="Y219" s="14" cm="1">
        <f t="array" ref="Y219">INT(SUMPRODUCT(--ISNUMBER(SEARCH(democrattrigger,C219)))&gt;0)</f>
        <v>0</v>
      </c>
      <c r="Z219" s="14" cm="1">
        <f t="array" ref="Z219">INT(SUMPRODUCT(--ISNUMBER(SEARCH(bipartisan,C219)))&gt;0)</f>
        <v>0</v>
      </c>
      <c r="AA219" s="14">
        <f t="shared" si="3"/>
        <v>0</v>
      </c>
      <c r="AB219" s="14"/>
      <c r="AC219" s="30">
        <v>1</v>
      </c>
      <c r="AD219" s="37">
        <v>0</v>
      </c>
    </row>
    <row r="220" spans="1:30" x14ac:dyDescent="0.25">
      <c r="A220" s="36">
        <v>1205</v>
      </c>
      <c r="B220" s="14" t="s">
        <v>2437</v>
      </c>
      <c r="C220" s="14" t="s">
        <v>2438</v>
      </c>
      <c r="D220" s="18">
        <v>44107</v>
      </c>
      <c r="E220" s="14" t="s">
        <v>30</v>
      </c>
      <c r="F220" s="14">
        <v>311</v>
      </c>
      <c r="G220" s="14">
        <v>166</v>
      </c>
      <c r="H220" s="14">
        <v>6</v>
      </c>
      <c r="I220" s="14">
        <v>3</v>
      </c>
      <c r="J220" s="14" t="s">
        <v>204</v>
      </c>
      <c r="K220" s="14" cm="1">
        <f t="array" ref="K220">INT(SUMPRODUCT(--ISNUMBER(SEARCH(economy,C220)))&gt;0)</f>
        <v>0</v>
      </c>
      <c r="L220" s="14" cm="1">
        <f t="array" ref="L220">INT(SUMPRODUCT(--ISNUMBER(SEARCH(healthcare,C220)))&gt;0)</f>
        <v>0</v>
      </c>
      <c r="M220" s="14" cm="1">
        <f t="array" ref="M220">INT(SUMPRODUCT(--ISNUMBER(SEARCH(supreme,C220)))&gt;0)</f>
        <v>0</v>
      </c>
      <c r="N220" s="14" cm="1">
        <f t="array" ref="N220">INT(SUMPRODUCT(--ISNUMBER(SEARCH(covid,C220)))&gt;0)</f>
        <v>0</v>
      </c>
      <c r="O220" s="14" cm="1">
        <f t="array" ref="O220">INT(SUMPRODUCT(--ISNUMBER(SEARCH(violent,C220)))&gt;0)</f>
        <v>0</v>
      </c>
      <c r="P220" s="14" cm="1">
        <f t="array" ref="P220">INT(SUMPRODUCT(--ISNUMBER(SEARCH(foreign,C220)))&gt;0)</f>
        <v>0</v>
      </c>
      <c r="Q220" s="14" cm="1">
        <f t="array" ref="Q220">INT(SUMPRODUCT(--ISNUMBER(SEARCH(gun,C220)))&gt;0)</f>
        <v>0</v>
      </c>
      <c r="R220" s="14" cm="1">
        <f t="array" ref="R220">INT(SUMPRODUCT(--ISNUMBER(SEARCH(race,C220)))&gt;0)</f>
        <v>0</v>
      </c>
      <c r="S220" s="14" cm="1">
        <f t="array" ref="S220">INT(SUMPRODUCT(--ISNUMBER(SEARCH(immigration,C220)))&gt;0)</f>
        <v>0</v>
      </c>
      <c r="T220" s="14" cm="1">
        <f t="array" ref="T220">INT(SUMPRODUCT(--ISNUMBER(SEARCH(econineq,C221)))&gt;0)</f>
        <v>0</v>
      </c>
      <c r="U220" s="14" cm="1">
        <f t="array" ref="U220">INT(SUMPRODUCT(--ISNUMBER(SEARCH(climate,C220)))&gt;0)</f>
        <v>0</v>
      </c>
      <c r="V220" s="14" cm="1">
        <f t="array" ref="V220">INT(SUMPRODUCT(--ISNUMBER(SEARCH(abortion,C220)))&gt;0)</f>
        <v>0</v>
      </c>
      <c r="W220" s="14" cm="1">
        <f t="array" ref="W220">INT(SUMPRODUCT(--ISNUMBER(SEARCH(trump,C220)))&gt;0)</f>
        <v>0</v>
      </c>
      <c r="X220" s="14" cm="1">
        <f t="array" ref="X220">INT(SUMPRODUCT(--ISNUMBER(SEARCH(voting,C220)))&gt;0)</f>
        <v>1</v>
      </c>
      <c r="Y220" s="14" cm="1">
        <f t="array" ref="Y220">INT(SUMPRODUCT(--ISNUMBER(SEARCH(democrattrigger,C220)))&gt;0)</f>
        <v>1</v>
      </c>
      <c r="Z220" s="14" cm="1">
        <f t="array" ref="Z220">INT(SUMPRODUCT(--ISNUMBER(SEARCH(bipartisan,C220)))&gt;0)</f>
        <v>0</v>
      </c>
      <c r="AA220" s="14">
        <f t="shared" si="3"/>
        <v>0</v>
      </c>
      <c r="AB220" s="14"/>
      <c r="AC220" s="30" t="s">
        <v>223</v>
      </c>
      <c r="AD220" s="37" t="s">
        <v>223</v>
      </c>
    </row>
    <row r="221" spans="1:30" x14ac:dyDescent="0.25">
      <c r="A221" s="36">
        <v>1206</v>
      </c>
      <c r="B221" s="14" t="s">
        <v>2439</v>
      </c>
      <c r="C221" s="14" t="s">
        <v>2440</v>
      </c>
      <c r="D221" s="18">
        <v>44107</v>
      </c>
      <c r="E221" s="14" t="s">
        <v>30</v>
      </c>
      <c r="F221" s="14">
        <v>610</v>
      </c>
      <c r="G221" s="14">
        <v>166</v>
      </c>
      <c r="H221" s="14">
        <v>6</v>
      </c>
      <c r="I221" s="14">
        <v>3</v>
      </c>
      <c r="J221" s="14" t="s">
        <v>204</v>
      </c>
      <c r="K221" s="14" cm="1">
        <f t="array" ref="K221">INT(SUMPRODUCT(--ISNUMBER(SEARCH(economy,C221)))&gt;0)</f>
        <v>0</v>
      </c>
      <c r="L221" s="14" cm="1">
        <f t="array" ref="L221">INT(SUMPRODUCT(--ISNUMBER(SEARCH(healthcare,C221)))&gt;0)</f>
        <v>0</v>
      </c>
      <c r="M221" s="14" cm="1">
        <f t="array" ref="M221">INT(SUMPRODUCT(--ISNUMBER(SEARCH(supreme,C221)))&gt;0)</f>
        <v>0</v>
      </c>
      <c r="N221" s="14" cm="1">
        <f t="array" ref="N221">INT(SUMPRODUCT(--ISNUMBER(SEARCH(covid,C221)))&gt;0)</f>
        <v>0</v>
      </c>
      <c r="O221" s="14" cm="1">
        <f t="array" ref="O221">INT(SUMPRODUCT(--ISNUMBER(SEARCH(violent,C221)))&gt;0)</f>
        <v>0</v>
      </c>
      <c r="P221" s="14" cm="1">
        <f t="array" ref="P221">INT(SUMPRODUCT(--ISNUMBER(SEARCH(foreign,C221)))&gt;0)</f>
        <v>0</v>
      </c>
      <c r="Q221" s="14" cm="1">
        <f t="array" ref="Q221">INT(SUMPRODUCT(--ISNUMBER(SEARCH(gun,C221)))&gt;0)</f>
        <v>0</v>
      </c>
      <c r="R221" s="14" cm="1">
        <f t="array" ref="R221">INT(SUMPRODUCT(--ISNUMBER(SEARCH(race,C221)))&gt;0)</f>
        <v>0</v>
      </c>
      <c r="S221" s="14" cm="1">
        <f t="array" ref="S221">INT(SUMPRODUCT(--ISNUMBER(SEARCH(immigration,C221)))&gt;0)</f>
        <v>0</v>
      </c>
      <c r="T221" s="14" cm="1">
        <f t="array" ref="T221">INT(SUMPRODUCT(--ISNUMBER(SEARCH(econineq,C222)))&gt;0)</f>
        <v>0</v>
      </c>
      <c r="U221" s="14" cm="1">
        <f t="array" ref="U221">INT(SUMPRODUCT(--ISNUMBER(SEARCH(climate,C221)))&gt;0)</f>
        <v>0</v>
      </c>
      <c r="V221" s="14" cm="1">
        <f t="array" ref="V221">INT(SUMPRODUCT(--ISNUMBER(SEARCH(abortion,C221)))&gt;0)</f>
        <v>0</v>
      </c>
      <c r="W221" s="14" cm="1">
        <f t="array" ref="W221">INT(SUMPRODUCT(--ISNUMBER(SEARCH(trump,C221)))&gt;0)</f>
        <v>0</v>
      </c>
      <c r="X221" s="14" cm="1">
        <f t="array" ref="X221">INT(SUMPRODUCT(--ISNUMBER(SEARCH(voting,C221)))&gt;0)</f>
        <v>0</v>
      </c>
      <c r="Y221" s="14" cm="1">
        <f t="array" ref="Y221">INT(SUMPRODUCT(--ISNUMBER(SEARCH(democrattrigger,C221)))&gt;0)</f>
        <v>0</v>
      </c>
      <c r="Z221" s="14" cm="1">
        <f t="array" ref="Z221">INT(SUMPRODUCT(--ISNUMBER(SEARCH(bipartisan,C221)))&gt;0)</f>
        <v>0</v>
      </c>
      <c r="AA221" s="14">
        <f t="shared" si="3"/>
        <v>1</v>
      </c>
      <c r="AB221" s="14"/>
      <c r="AC221" s="30">
        <v>0</v>
      </c>
      <c r="AD221" s="37">
        <v>1</v>
      </c>
    </row>
    <row r="222" spans="1:30" x14ac:dyDescent="0.25">
      <c r="A222" s="36">
        <v>1207</v>
      </c>
      <c r="B222" s="14" t="s">
        <v>2441</v>
      </c>
      <c r="C222" s="14" t="s">
        <v>2442</v>
      </c>
      <c r="D222" s="18">
        <v>44107</v>
      </c>
      <c r="E222" s="14" t="s">
        <v>30</v>
      </c>
      <c r="F222" s="14">
        <v>14811</v>
      </c>
      <c r="G222" s="14">
        <v>7518</v>
      </c>
      <c r="H222" s="14">
        <v>6</v>
      </c>
      <c r="I222" s="14">
        <v>3</v>
      </c>
      <c r="J222" s="14" t="s">
        <v>204</v>
      </c>
      <c r="K222" s="14" cm="1">
        <f t="array" ref="K222">INT(SUMPRODUCT(--ISNUMBER(SEARCH(economy,C222)))&gt;0)</f>
        <v>0</v>
      </c>
      <c r="L222" s="14" cm="1">
        <f t="array" ref="L222">INT(SUMPRODUCT(--ISNUMBER(SEARCH(healthcare,C222)))&gt;0)</f>
        <v>0</v>
      </c>
      <c r="M222" s="14" cm="1">
        <f t="array" ref="M222">INT(SUMPRODUCT(--ISNUMBER(SEARCH(supreme,C222)))&gt;0)</f>
        <v>0</v>
      </c>
      <c r="N222" s="14" cm="1">
        <f t="array" ref="N222">INT(SUMPRODUCT(--ISNUMBER(SEARCH(covid,C222)))&gt;0)</f>
        <v>0</v>
      </c>
      <c r="O222" s="14" cm="1">
        <f t="array" ref="O222">INT(SUMPRODUCT(--ISNUMBER(SEARCH(violent,C222)))&gt;0)</f>
        <v>0</v>
      </c>
      <c r="P222" s="14" cm="1">
        <f t="array" ref="P222">INT(SUMPRODUCT(--ISNUMBER(SEARCH(foreign,C222)))&gt;0)</f>
        <v>0</v>
      </c>
      <c r="Q222" s="14" cm="1">
        <f t="array" ref="Q222">INT(SUMPRODUCT(--ISNUMBER(SEARCH(gun,C222)))&gt;0)</f>
        <v>0</v>
      </c>
      <c r="R222" s="14" cm="1">
        <f t="array" ref="R222">INT(SUMPRODUCT(--ISNUMBER(SEARCH(race,C222)))&gt;0)</f>
        <v>0</v>
      </c>
      <c r="S222" s="14" cm="1">
        <f t="array" ref="S222">INT(SUMPRODUCT(--ISNUMBER(SEARCH(immigration,C222)))&gt;0)</f>
        <v>0</v>
      </c>
      <c r="T222" s="14" cm="1">
        <f t="array" ref="T222">INT(SUMPRODUCT(--ISNUMBER(SEARCH(econineq,C223)))&gt;0)</f>
        <v>0</v>
      </c>
      <c r="U222" s="14" cm="1">
        <f t="array" ref="U222">INT(SUMPRODUCT(--ISNUMBER(SEARCH(climate,C222)))&gt;0)</f>
        <v>0</v>
      </c>
      <c r="V222" s="14" cm="1">
        <f t="array" ref="V222">INT(SUMPRODUCT(--ISNUMBER(SEARCH(abortion,C222)))&gt;0)</f>
        <v>0</v>
      </c>
      <c r="W222" s="14" cm="1">
        <f t="array" ref="W222">INT(SUMPRODUCT(--ISNUMBER(SEARCH(trump,C222)))&gt;0)</f>
        <v>0</v>
      </c>
      <c r="X222" s="14" cm="1">
        <f t="array" ref="X222">INT(SUMPRODUCT(--ISNUMBER(SEARCH(voting,C222)))&gt;0)</f>
        <v>0</v>
      </c>
      <c r="Y222" s="14" cm="1">
        <f t="array" ref="Y222">INT(SUMPRODUCT(--ISNUMBER(SEARCH(democrattrigger,C222)))&gt;0)</f>
        <v>0</v>
      </c>
      <c r="Z222" s="14" cm="1">
        <f t="array" ref="Z222">INT(SUMPRODUCT(--ISNUMBER(SEARCH(bipartisan,C222)))&gt;0)</f>
        <v>0</v>
      </c>
      <c r="AA222" s="14">
        <f t="shared" si="3"/>
        <v>1</v>
      </c>
      <c r="AB222" s="14"/>
      <c r="AC222" s="30" t="s">
        <v>223</v>
      </c>
      <c r="AD222" s="37" t="s">
        <v>223</v>
      </c>
    </row>
    <row r="223" spans="1:30" x14ac:dyDescent="0.25">
      <c r="A223" s="38">
        <v>1208</v>
      </c>
      <c r="B223" s="39" t="s">
        <v>2443</v>
      </c>
      <c r="C223" s="39" t="s">
        <v>2444</v>
      </c>
      <c r="D223" s="55">
        <v>44107</v>
      </c>
      <c r="E223" s="39" t="s">
        <v>30</v>
      </c>
      <c r="F223" s="39">
        <v>1260</v>
      </c>
      <c r="G223" s="39">
        <v>404</v>
      </c>
      <c r="H223" s="39">
        <v>6</v>
      </c>
      <c r="I223" s="39">
        <v>3</v>
      </c>
      <c r="J223" s="39" t="s">
        <v>204</v>
      </c>
      <c r="K223" s="39" cm="1">
        <f t="array" ref="K223">INT(SUMPRODUCT(--ISNUMBER(SEARCH(economy,C223)))&gt;0)</f>
        <v>0</v>
      </c>
      <c r="L223" s="39" cm="1">
        <f t="array" ref="L223">INT(SUMPRODUCT(--ISNUMBER(SEARCH(healthcare,C223)))&gt;0)</f>
        <v>0</v>
      </c>
      <c r="M223" s="39" cm="1">
        <f t="array" ref="M223">INT(SUMPRODUCT(--ISNUMBER(SEARCH(supreme,C223)))&gt;0)</f>
        <v>0</v>
      </c>
      <c r="N223" s="39" cm="1">
        <f t="array" ref="N223">INT(SUMPRODUCT(--ISNUMBER(SEARCH(covid,C223)))&gt;0)</f>
        <v>0</v>
      </c>
      <c r="O223" s="39" cm="1">
        <f t="array" ref="O223">INT(SUMPRODUCT(--ISNUMBER(SEARCH(violent,C223)))&gt;0)</f>
        <v>0</v>
      </c>
      <c r="P223" s="39" cm="1">
        <f t="array" ref="P223">INT(SUMPRODUCT(--ISNUMBER(SEARCH(foreign,C223)))&gt;0)</f>
        <v>0</v>
      </c>
      <c r="Q223" s="39" cm="1">
        <f t="array" ref="Q223">INT(SUMPRODUCT(--ISNUMBER(SEARCH(gun,C223)))&gt;0)</f>
        <v>0</v>
      </c>
      <c r="R223" s="39" cm="1">
        <f t="array" ref="R223">INT(SUMPRODUCT(--ISNUMBER(SEARCH(race,C223)))&gt;0)</f>
        <v>0</v>
      </c>
      <c r="S223" s="39" cm="1">
        <f t="array" ref="S223">INT(SUMPRODUCT(--ISNUMBER(SEARCH(immigration,C223)))&gt;0)</f>
        <v>0</v>
      </c>
      <c r="T223" s="39" cm="1">
        <f t="array" ref="T223">INT(SUMPRODUCT(--ISNUMBER(SEARCH(econineq,C224)))&gt;0)</f>
        <v>0</v>
      </c>
      <c r="U223" s="39" cm="1">
        <f t="array" ref="U223">INT(SUMPRODUCT(--ISNUMBER(SEARCH(climate,C223)))&gt;0)</f>
        <v>0</v>
      </c>
      <c r="V223" s="39" cm="1">
        <f t="array" ref="V223">INT(SUMPRODUCT(--ISNUMBER(SEARCH(abortion,C223)))&gt;0)</f>
        <v>0</v>
      </c>
      <c r="W223" s="39" cm="1">
        <f t="array" ref="W223">INT(SUMPRODUCT(--ISNUMBER(SEARCH(trump,C223)))&gt;0)</f>
        <v>0</v>
      </c>
      <c r="X223" s="39" cm="1">
        <f t="array" ref="X223">INT(SUMPRODUCT(--ISNUMBER(SEARCH(voting,C223)))&gt;0)</f>
        <v>0</v>
      </c>
      <c r="Y223" s="39" cm="1">
        <f t="array" ref="Y223">INT(SUMPRODUCT(--ISNUMBER(SEARCH(democrattrigger,C223)))&gt;0)</f>
        <v>0</v>
      </c>
      <c r="Z223" s="39" cm="1">
        <f t="array" ref="Z223">INT(SUMPRODUCT(--ISNUMBER(SEARCH(bipartisan,C223)))&gt;0)</f>
        <v>0</v>
      </c>
      <c r="AA223" s="39">
        <f t="shared" si="3"/>
        <v>1</v>
      </c>
      <c r="AB223" s="39"/>
      <c r="AC223" s="44" t="s">
        <v>223</v>
      </c>
      <c r="AD223" s="45" t="s">
        <v>223</v>
      </c>
    </row>
    <row r="224" spans="1:30" x14ac:dyDescent="0.25">
      <c r="A224" s="16"/>
      <c r="B224" s="16"/>
      <c r="C224" s="16"/>
      <c r="D224" s="16"/>
      <c r="E224" s="16"/>
      <c r="F224" s="21">
        <f>SUM(Table6[Likes])</f>
        <v>717508</v>
      </c>
      <c r="G224" s="21">
        <f>SUM(Table6[Retweets])</f>
        <v>172302</v>
      </c>
      <c r="H224" s="16"/>
      <c r="I224" s="16"/>
      <c r="J224" s="16"/>
      <c r="K224" s="21">
        <f t="shared" ref="K224:AD224" si="4">SUM(K2:K223)</f>
        <v>43</v>
      </c>
      <c r="L224" s="21">
        <f t="shared" si="4"/>
        <v>40</v>
      </c>
      <c r="M224" s="21">
        <f t="shared" si="4"/>
        <v>2</v>
      </c>
      <c r="N224" s="21">
        <f t="shared" si="4"/>
        <v>24</v>
      </c>
      <c r="O224" s="21">
        <f t="shared" si="4"/>
        <v>0</v>
      </c>
      <c r="P224" s="21">
        <f t="shared" si="4"/>
        <v>5</v>
      </c>
      <c r="Q224" s="21">
        <f t="shared" si="4"/>
        <v>9</v>
      </c>
      <c r="R224" s="21">
        <f t="shared" si="4"/>
        <v>4</v>
      </c>
      <c r="S224" s="21">
        <f t="shared" si="4"/>
        <v>0</v>
      </c>
      <c r="T224" s="21">
        <f t="shared" si="4"/>
        <v>9</v>
      </c>
      <c r="U224" s="21">
        <f t="shared" si="4"/>
        <v>13</v>
      </c>
      <c r="V224" s="21">
        <f t="shared" si="4"/>
        <v>0</v>
      </c>
      <c r="W224" s="21">
        <f t="shared" si="4"/>
        <v>2</v>
      </c>
      <c r="X224" s="21">
        <f t="shared" si="4"/>
        <v>76</v>
      </c>
      <c r="Y224" s="21">
        <f t="shared" si="4"/>
        <v>68</v>
      </c>
      <c r="Z224" s="21">
        <f t="shared" si="4"/>
        <v>4</v>
      </c>
      <c r="AA224" s="21">
        <f t="shared" si="4"/>
        <v>42</v>
      </c>
      <c r="AB224" s="21">
        <f t="shared" si="4"/>
        <v>0</v>
      </c>
      <c r="AC224" s="21">
        <f t="shared" si="4"/>
        <v>73</v>
      </c>
      <c r="AD224" s="21">
        <f t="shared" si="4"/>
        <v>38</v>
      </c>
    </row>
    <row r="225" spans="1:30" x14ac:dyDescent="0.2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x14ac:dyDescent="0.25">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x14ac:dyDescent="0.25">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x14ac:dyDescent="0.25">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x14ac:dyDescent="0.25">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x14ac:dyDescent="0.25">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x14ac:dyDescent="0.25">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x14ac:dyDescent="0.25">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x14ac:dyDescent="0.25">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x14ac:dyDescent="0.25">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x14ac:dyDescent="0.2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x14ac:dyDescent="0.25">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x14ac:dyDescent="0.25">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x14ac:dyDescent="0.25">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x14ac:dyDescent="0.25">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x14ac:dyDescent="0.25">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x14ac:dyDescent="0.25">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x14ac:dyDescent="0.25">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x14ac:dyDescent="0.25">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x14ac:dyDescent="0.25">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x14ac:dyDescent="0.2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x14ac:dyDescent="0.25">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x14ac:dyDescent="0.25">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x14ac:dyDescent="0.25">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x14ac:dyDescent="0.25">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x14ac:dyDescent="0.25">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x14ac:dyDescent="0.25">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x14ac:dyDescent="0.25">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x14ac:dyDescent="0.25">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x14ac:dyDescent="0.25">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x14ac:dyDescent="0.2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x14ac:dyDescent="0.25">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x14ac:dyDescent="0.25">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x14ac:dyDescent="0.25">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x14ac:dyDescent="0.25">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x14ac:dyDescent="0.25">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x14ac:dyDescent="0.25">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x14ac:dyDescent="0.25">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x14ac:dyDescent="0.25">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x14ac:dyDescent="0.25">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x14ac:dyDescent="0.2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x14ac:dyDescent="0.25">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x14ac:dyDescent="0.25">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x14ac:dyDescent="0.25">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x14ac:dyDescent="0.25">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x14ac:dyDescent="0.25">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sheetData>
  <conditionalFormatting sqref="J2:J223">
    <cfRule type="cellIs" dxfId="18" priority="1" operator="equal">
      <formula>"D"</formula>
    </cfRule>
  </conditionalFormatting>
  <hyperlinks>
    <hyperlink ref="B2" r:id="rId1" xr:uid="{57E23203-5694-49AA-B7CA-8A77D0E9E939}"/>
    <hyperlink ref="B3" r:id="rId2" xr:uid="{F35EE19A-E846-45CC-9397-12E8BA65D0C6}"/>
    <hyperlink ref="B4" r:id="rId3" xr:uid="{8D3188D3-C491-4A09-AC8C-34D3C76FD890}"/>
    <hyperlink ref="B5" r:id="rId4" xr:uid="{846BD1CB-6FDD-43F1-B121-4D9E24CFDF07}"/>
    <hyperlink ref="B6" r:id="rId5" xr:uid="{5E03EEDA-B8F9-4F3A-9F93-488D2C730589}"/>
    <hyperlink ref="B7" r:id="rId6" xr:uid="{59B840AC-979A-49A3-9E77-A47EC85B9DC6}"/>
    <hyperlink ref="B8" r:id="rId7" xr:uid="{8297248B-70CA-4D0E-A830-47ECC4C7DA1A}"/>
    <hyperlink ref="B9" r:id="rId8" xr:uid="{7E82BA2A-5A7B-4FCA-9974-663978015D81}"/>
    <hyperlink ref="B10" r:id="rId9" xr:uid="{3DC4910B-0DDB-4DC6-94EA-DBFD59965604}"/>
    <hyperlink ref="B11" r:id="rId10" xr:uid="{BB704653-BA1E-434A-B1CC-91D430EF05A8}"/>
    <hyperlink ref="B12" r:id="rId11" xr:uid="{E8DE863C-A305-4E10-9B84-405C4E0D2D4C}"/>
    <hyperlink ref="B13" r:id="rId12" xr:uid="{C103E449-6C79-467E-934A-54404D055B8B}"/>
    <hyperlink ref="B14" r:id="rId13" xr:uid="{E72F5E5C-A95C-4392-84F5-D48D5EEF3E84}"/>
    <hyperlink ref="B15" r:id="rId14" xr:uid="{CCF242AC-CE7D-4C22-9335-FC29A90D42CB}"/>
    <hyperlink ref="B16" r:id="rId15" xr:uid="{44165459-1653-4D25-A481-3E0B3CCAD686}"/>
    <hyperlink ref="B17" r:id="rId16" xr:uid="{4B47BCB8-0744-42DB-98F6-A9178328E3D2}"/>
    <hyperlink ref="B18" r:id="rId17" xr:uid="{A77A83AC-D3CF-41BF-8883-1EBCE83B4F0B}"/>
    <hyperlink ref="B19" r:id="rId18" xr:uid="{2847FEE1-0D88-42BD-A249-D85F37F0CF78}"/>
    <hyperlink ref="B20" r:id="rId19" xr:uid="{24C1FD24-6460-4E9F-94BB-C81469E03520}"/>
    <hyperlink ref="B21" r:id="rId20" xr:uid="{FB1E1243-7CF4-4618-863F-E91C9E28FB8A}"/>
    <hyperlink ref="B22" r:id="rId21" xr:uid="{8DF3B975-E8AB-4093-B54F-607D6BE37972}"/>
    <hyperlink ref="B23" r:id="rId22" xr:uid="{B35136C1-F72A-482A-A7CC-15A7142E64B6}"/>
    <hyperlink ref="B24" r:id="rId23" xr:uid="{0CF69C0D-0691-41C6-84D7-1C146F365379}"/>
    <hyperlink ref="B25" r:id="rId24" xr:uid="{D4F90E48-BCF6-460C-A2C5-A41ACE83997B}"/>
    <hyperlink ref="B26" r:id="rId25" xr:uid="{64C243C2-A690-41DD-8C12-4DAA8192FAD0}"/>
    <hyperlink ref="B27" r:id="rId26" xr:uid="{B438FFA5-5DCD-496C-BC3C-971E5D38EC6A}"/>
    <hyperlink ref="B28" r:id="rId27" xr:uid="{98055E58-AFDF-4DFB-8BF5-90EE727F9BAB}"/>
    <hyperlink ref="B29" r:id="rId28" xr:uid="{111CDBEA-A17D-42FD-A03F-92C894DCA838}"/>
    <hyperlink ref="B30" r:id="rId29" xr:uid="{EEBF84E7-0EBF-4CF2-8A9E-3E1D715BB8C4}"/>
    <hyperlink ref="B31" r:id="rId30" xr:uid="{CB782EEE-84DC-4A6C-A752-7707C4CC29B5}"/>
    <hyperlink ref="B32" r:id="rId31" xr:uid="{86C4C4AE-0A0B-483B-9E25-F28D9FEB2B00}"/>
    <hyperlink ref="B33" r:id="rId32" xr:uid="{0D217E69-5904-4FCC-B1A3-396672D3ABDC}"/>
    <hyperlink ref="B34" r:id="rId33" xr:uid="{1987AAC6-5940-4CA9-BBCA-E1C39A672EDB}"/>
    <hyperlink ref="B35" r:id="rId34" xr:uid="{2CA3044E-63A2-4CC6-A58E-C8D1D785D2AC}"/>
    <hyperlink ref="B36" r:id="rId35" xr:uid="{912B4AEF-3E2D-4D22-A638-D255CFDE90BF}"/>
    <hyperlink ref="B37" r:id="rId36" xr:uid="{0F3CCF8A-34A1-4308-962C-B1E3BDB71176}"/>
    <hyperlink ref="B38" r:id="rId37" xr:uid="{1D98EBF4-9D48-4D5B-91AE-FA2840EAA1C0}"/>
    <hyperlink ref="B39" r:id="rId38" xr:uid="{5F4701EB-5DB7-4D75-BDD2-714558A1B095}"/>
    <hyperlink ref="B40" r:id="rId39" xr:uid="{B1714D4D-B553-41E6-B39C-807E365DBCC7}"/>
    <hyperlink ref="B41" r:id="rId40" xr:uid="{BD3A5C21-ABA8-465B-9168-4B98E453657E}"/>
    <hyperlink ref="B42" r:id="rId41" xr:uid="{CE63C94F-6574-49CC-99EB-EEB2B147DF2B}"/>
    <hyperlink ref="B43" r:id="rId42" xr:uid="{EE923311-2434-4E89-B3BE-D6E5001FB4F2}"/>
    <hyperlink ref="B44" r:id="rId43" xr:uid="{4EF189E1-54FC-4A00-8861-BA60D35D35BF}"/>
    <hyperlink ref="B45" r:id="rId44" xr:uid="{35B1644E-B5FE-4366-82A7-935D03043F88}"/>
    <hyperlink ref="B46" r:id="rId45" xr:uid="{8910DDD4-8F88-45F7-AF48-B33D6BA84651}"/>
    <hyperlink ref="B47" r:id="rId46" xr:uid="{6CCD2236-D531-4CC1-93CF-EA08FDABAAB9}"/>
    <hyperlink ref="B48" r:id="rId47" xr:uid="{2B875C38-58E7-4386-B705-7FC05B497510}"/>
    <hyperlink ref="B49" r:id="rId48" xr:uid="{F007638E-51D8-406D-8E9B-209D2EFCA3B7}"/>
    <hyperlink ref="B50" r:id="rId49" xr:uid="{7B504264-CCCC-4BAC-B9BB-A590967E732C}"/>
    <hyperlink ref="B51" r:id="rId50" xr:uid="{13072628-C29F-4926-B087-34564F81AF34}"/>
    <hyperlink ref="B52" r:id="rId51" xr:uid="{25560A66-4D7F-4671-BF49-DF9FD5A6D8F8}"/>
    <hyperlink ref="B53" r:id="rId52" xr:uid="{DBE52512-9E51-4906-B638-B66350A6BCAF}"/>
    <hyperlink ref="B54" r:id="rId53" xr:uid="{DC9474FB-5CDA-4CB4-8740-75DA43B29DB8}"/>
    <hyperlink ref="B55" r:id="rId54" xr:uid="{1FDCAB67-4445-41CF-93E1-9D29FC09D960}"/>
    <hyperlink ref="B56" r:id="rId55" xr:uid="{A06B9426-1D49-4ED3-804B-6BCF662CE136}"/>
    <hyperlink ref="B57" r:id="rId56" xr:uid="{98FDF34A-CD16-4608-86EB-43F4AD90B672}"/>
    <hyperlink ref="B58" r:id="rId57" xr:uid="{A8EDF861-92A8-4DB4-A2AB-43962EE4479D}"/>
    <hyperlink ref="B59" r:id="rId58" xr:uid="{22D0C747-B338-4FAC-9C72-EA36652D3C46}"/>
    <hyperlink ref="B60" r:id="rId59" xr:uid="{E6CB0A76-9132-4C24-8DD5-E1DFB9649200}"/>
    <hyperlink ref="B61" r:id="rId60" xr:uid="{0613013E-7346-4A9F-97B3-6435642FF19F}"/>
    <hyperlink ref="B62" r:id="rId61" xr:uid="{140F8295-6367-487D-A83B-B4CC2115029D}"/>
    <hyperlink ref="B63" r:id="rId62" xr:uid="{75C4C128-35B5-4C4D-AEAF-5B5581B07684}"/>
    <hyperlink ref="B64" r:id="rId63" xr:uid="{58079CF7-FDCD-4A87-97A1-2E78F3EE81C5}"/>
    <hyperlink ref="B65" r:id="rId64" xr:uid="{5EC7BABA-ECBF-44F0-96B3-1815E6C4D9A1}"/>
    <hyperlink ref="B66" r:id="rId65" xr:uid="{13A8B193-61D1-43BF-AF43-9A7F930D39E4}"/>
    <hyperlink ref="B67" r:id="rId66" xr:uid="{1BA9F122-DCC8-42D6-9002-4A8C94539F05}"/>
    <hyperlink ref="B68" r:id="rId67" xr:uid="{331DE1EA-D844-4E48-8877-D481A4B43A89}"/>
    <hyperlink ref="B69" r:id="rId68" xr:uid="{B87E8CBB-3F86-472B-A17F-40489B806FC7}"/>
    <hyperlink ref="B70" r:id="rId69" xr:uid="{302A8D84-A5EB-4A6D-8813-952333762E22}"/>
    <hyperlink ref="B71" r:id="rId70" xr:uid="{E24875E4-EA83-4A65-A5D8-700A6545A52D}"/>
    <hyperlink ref="B72" r:id="rId71" xr:uid="{AEFC3204-CF0D-4B56-A389-3BA96C4AC964}"/>
    <hyperlink ref="B73" r:id="rId72" xr:uid="{FE5D3FC5-495F-4616-AE8B-3BAF7856F4F3}"/>
    <hyperlink ref="B74" r:id="rId73" xr:uid="{C1BB864D-AA73-4E08-AC8C-23BC46B9CD7B}"/>
    <hyperlink ref="B75" r:id="rId74" xr:uid="{F40C63E8-40DD-440C-B218-4BBA8083B816}"/>
    <hyperlink ref="B76" r:id="rId75" xr:uid="{2FBDE86D-6C56-4F14-BF3C-476A158BD34D}"/>
    <hyperlink ref="B77" r:id="rId76" xr:uid="{2072B8CE-1D73-4763-B1E6-2B32F5CB025F}"/>
    <hyperlink ref="B78" r:id="rId77" xr:uid="{4AF1D6BD-BBAE-408B-A018-138DD3C0698B}"/>
    <hyperlink ref="B79" r:id="rId78" xr:uid="{2206160B-4BC1-4918-B413-DE445FA4F488}"/>
    <hyperlink ref="B80" r:id="rId79" xr:uid="{0C45B806-5931-4BAD-8E3B-9CC916D5503C}"/>
    <hyperlink ref="B81" r:id="rId80" xr:uid="{82868E0B-495E-4A7B-88BA-BB9C15F87062}"/>
    <hyperlink ref="B82" r:id="rId81" xr:uid="{5C9033C7-37E5-4486-B64F-4E508AC1DE52}"/>
    <hyperlink ref="B83" r:id="rId82" xr:uid="{0CD47996-B890-487E-9724-6BBE719D5517}"/>
    <hyperlink ref="B84" r:id="rId83" xr:uid="{1CA1E10D-4809-4BE2-912B-DDC7B00BC8AC}"/>
    <hyperlink ref="B85" r:id="rId84" xr:uid="{FF8BE075-98B7-42C8-9DF3-FD2BBBB3322D}"/>
    <hyperlink ref="B86" r:id="rId85" xr:uid="{5B6437BA-D4BB-4601-982B-78B4C3E54914}"/>
    <hyperlink ref="B87" r:id="rId86" xr:uid="{FFB578C0-CE1F-4E6F-B010-CD5727AB5537}"/>
    <hyperlink ref="B88" r:id="rId87" xr:uid="{AC58C4EE-88CB-4CA9-B7EC-D84F150EFEED}"/>
    <hyperlink ref="B89" r:id="rId88" xr:uid="{2A188135-8D1C-448F-AD77-1806C4D4EE2D}"/>
    <hyperlink ref="B90" r:id="rId89" xr:uid="{DDF6C99C-F37F-4348-AE7B-62B0818E2AA6}"/>
    <hyperlink ref="B91" r:id="rId90" xr:uid="{D03D3DBA-9C0A-461B-B9F8-0709924DF48D}"/>
    <hyperlink ref="B92" r:id="rId91" xr:uid="{5F608831-A55A-4AD5-834D-E802CF7F5BED}"/>
    <hyperlink ref="B93" r:id="rId92" xr:uid="{537473AB-3C76-4721-91C7-EB73A64B4D58}"/>
    <hyperlink ref="B94" r:id="rId93" xr:uid="{644B52E1-13E5-4E0F-B91B-0173206D50DD}"/>
    <hyperlink ref="B95" r:id="rId94" xr:uid="{D4A73EAA-A86E-475C-AE4C-FDF6E0BB327E}"/>
    <hyperlink ref="B96" r:id="rId95" xr:uid="{A2059A90-8FEC-4A91-BCEF-9C37748BFA96}"/>
    <hyperlink ref="B97" r:id="rId96" xr:uid="{F8A799EF-12F5-428F-8148-5AEEACEB5E0A}"/>
    <hyperlink ref="B98" r:id="rId97" xr:uid="{A2D65A62-69FA-4C06-9827-0FFF9FA61953}"/>
    <hyperlink ref="B99" r:id="rId98" xr:uid="{8FB7892D-4085-490D-95FF-28E30CAE6202}"/>
    <hyperlink ref="B100" r:id="rId99" xr:uid="{18729A3C-3654-40DE-810A-C2CCF9D7E250}"/>
    <hyperlink ref="B101" r:id="rId100" xr:uid="{FA317734-5130-4A1F-8B81-EB359DE3B7EA}"/>
    <hyperlink ref="B102" r:id="rId101" xr:uid="{1EA194A8-A734-46E9-8BA5-4043C5F6ED6A}"/>
    <hyperlink ref="B103" r:id="rId102" xr:uid="{A62ED50D-04D4-4CA0-8082-6843DE97782D}"/>
    <hyperlink ref="B104" r:id="rId103" xr:uid="{8AC1A199-26DA-454D-AD79-2E68FE9FBA32}"/>
    <hyperlink ref="B105" r:id="rId104" xr:uid="{2C215FF9-5138-447C-A171-A1DE3CD20999}"/>
    <hyperlink ref="B106" r:id="rId105" xr:uid="{36A6FF75-AFE7-4293-88FB-5087BECF2BB9}"/>
    <hyperlink ref="B107" r:id="rId106" xr:uid="{FB05E377-D5C9-4C7F-A79B-4D1EC5B0176E}"/>
    <hyperlink ref="B108" r:id="rId107" xr:uid="{A1B33BF7-386F-48BE-9102-3A63E541A029}"/>
    <hyperlink ref="B109" r:id="rId108" xr:uid="{FB1B2894-8379-4246-A190-0F615759FD18}"/>
    <hyperlink ref="B110" r:id="rId109" xr:uid="{A5939F96-854F-4618-B6DE-A996ECD547FB}"/>
    <hyperlink ref="B111" r:id="rId110" xr:uid="{BA16E353-532F-460C-8EA4-A22A95059A78}"/>
    <hyperlink ref="B112" r:id="rId111" xr:uid="{D9A41EA1-D459-4591-97FF-B276E2767451}"/>
    <hyperlink ref="B113" r:id="rId112" xr:uid="{1339F3DB-EC75-452D-BAD5-8CAA7959AFCF}"/>
    <hyperlink ref="B114" r:id="rId113" xr:uid="{8DDBD45F-FE76-4369-805D-57C2816DF12A}"/>
    <hyperlink ref="B115" r:id="rId114" xr:uid="{CB3C8E92-4E8F-482D-81BE-25FFEF574779}"/>
    <hyperlink ref="B116" r:id="rId115" xr:uid="{062F549C-79C5-4B69-8DA7-F2ED8BDDD4FB}"/>
    <hyperlink ref="B117" r:id="rId116" xr:uid="{82E54F15-0F84-40C3-90D9-87C7B30D12F0}"/>
    <hyperlink ref="B118" r:id="rId117" xr:uid="{8B67B813-19FE-4C13-8458-8FF49F63D549}"/>
    <hyperlink ref="B119" r:id="rId118" xr:uid="{8E4FA559-56A1-4E7D-98A7-E5F805F7DB93}"/>
    <hyperlink ref="B120" r:id="rId119" xr:uid="{DB908B46-8C3A-4F91-A40B-11D5B9318EC1}"/>
    <hyperlink ref="B121" r:id="rId120" xr:uid="{C20E56ED-1AC6-4BF1-8168-92E34853BFD8}"/>
    <hyperlink ref="B122" r:id="rId121" xr:uid="{AE080667-F588-4B8E-A37F-293A55877479}"/>
    <hyperlink ref="B123" r:id="rId122" xr:uid="{F14369C5-60EE-4014-B8FE-78FEED1B3103}"/>
    <hyperlink ref="B124" r:id="rId123" xr:uid="{42796992-5828-48FA-9EEF-F77A99E027FE}"/>
    <hyperlink ref="B125" r:id="rId124" xr:uid="{E04F2D6F-E33E-4DDF-B300-E639F792053E}"/>
    <hyperlink ref="B126" r:id="rId125" xr:uid="{5785FF63-CC98-4F32-B987-4E7C0857363C}"/>
    <hyperlink ref="B127" r:id="rId126" xr:uid="{B4CB2792-EE71-40DD-BB71-BEC113250937}"/>
    <hyperlink ref="B128" r:id="rId127" xr:uid="{AB732726-60FA-4EA1-997C-65FD363788FC}"/>
    <hyperlink ref="B129" r:id="rId128" xr:uid="{71163328-B6DE-4C66-9534-7264C0B51420}"/>
    <hyperlink ref="B130" r:id="rId129" xr:uid="{E01B71B7-4C27-4EAC-A2EB-FAD972EB2328}"/>
    <hyperlink ref="B131" r:id="rId130" xr:uid="{00D6093D-7A0A-41FF-94F9-92C03CAD6210}"/>
    <hyperlink ref="B132" r:id="rId131" xr:uid="{527A7AAF-F033-4FCA-A568-4F8AF78E8EDD}"/>
    <hyperlink ref="B133" r:id="rId132" xr:uid="{1ADC038D-C91F-45DE-AE02-F9B550657F41}"/>
    <hyperlink ref="B134" r:id="rId133" xr:uid="{65DE5B14-60F4-4F50-96CF-A214115CB33F}"/>
    <hyperlink ref="B135" r:id="rId134" xr:uid="{01AFD0D3-A8A1-4011-B5D5-A649CF6560A2}"/>
    <hyperlink ref="B136" r:id="rId135" xr:uid="{75956CB6-8B3B-4C09-8EDC-807D34EAB671}"/>
    <hyperlink ref="B137" r:id="rId136" xr:uid="{38FC68D8-AC26-4FA5-A26D-B22EA7AA0D82}"/>
    <hyperlink ref="B138" r:id="rId137" xr:uid="{14FA7E22-61CC-4C5E-A5F9-81B2481D2C21}"/>
    <hyperlink ref="B139" r:id="rId138" xr:uid="{91236080-FF71-4726-98AC-F4D2885264CA}"/>
    <hyperlink ref="B140" r:id="rId139" xr:uid="{E2C89769-5C24-4E63-A6EB-1127E3346C62}"/>
    <hyperlink ref="B141" r:id="rId140" xr:uid="{04DFC99C-1E7D-41CB-8780-22205633C90B}"/>
    <hyperlink ref="B142" r:id="rId141" xr:uid="{F9C42A4C-75B2-4425-8C2C-0A001DAC5FCB}"/>
    <hyperlink ref="B143" r:id="rId142" xr:uid="{AAD65311-6350-4C40-8004-768CD274D7C6}"/>
    <hyperlink ref="B144" r:id="rId143" xr:uid="{BF408800-F22F-4590-8ECB-382070223EBA}"/>
    <hyperlink ref="B145" r:id="rId144" xr:uid="{FB13F160-BE99-4AE1-9CD0-D8EF772F7175}"/>
    <hyperlink ref="B146" r:id="rId145" xr:uid="{DAE2D02A-F18F-42C8-BA6E-32C8AC38FC63}"/>
    <hyperlink ref="B147" r:id="rId146" xr:uid="{8D1B9F82-813B-45A6-AD11-10339220F6B4}"/>
    <hyperlink ref="B148" r:id="rId147" xr:uid="{75AEA943-22A1-4224-8976-0154D9EB5C1A}"/>
    <hyperlink ref="B149" r:id="rId148" xr:uid="{1195F1B4-F9F7-4CD3-A6E5-9A0CB54C844A}"/>
    <hyperlink ref="B150" r:id="rId149" xr:uid="{C7E6AD6E-F372-4374-8413-A8ECE4368165}"/>
    <hyperlink ref="B151" r:id="rId150" xr:uid="{159D45C5-54C5-474D-9E27-BA0F590FD682}"/>
    <hyperlink ref="B152" r:id="rId151" xr:uid="{BEECED72-949C-4F1E-89DE-9772448B6DD0}"/>
    <hyperlink ref="B153" r:id="rId152" xr:uid="{691A57E5-D34C-419D-BB2E-17C4EB235CD7}"/>
    <hyperlink ref="B154" r:id="rId153" xr:uid="{B1424B83-6304-4C15-9660-663D0A1A014B}"/>
    <hyperlink ref="B155" r:id="rId154" xr:uid="{E29FB0FE-9DBF-45A5-A27A-94C78190004B}"/>
    <hyperlink ref="B156" r:id="rId155" xr:uid="{3B1AC3D4-2575-4177-BE3F-DDB3842B0C5F}"/>
    <hyperlink ref="B157" r:id="rId156" xr:uid="{823E833D-75D6-44C4-9FF9-E9EBF37BBADD}"/>
    <hyperlink ref="B158" r:id="rId157" xr:uid="{16DD6EFA-DF6D-48EB-9B45-8D5013CB4174}"/>
    <hyperlink ref="B159" r:id="rId158" xr:uid="{11F047F5-5AC7-4ABD-ABE1-1407100579ED}"/>
    <hyperlink ref="B160" r:id="rId159" xr:uid="{31CBAF85-2C76-472B-9DD4-4189A7FD2F95}"/>
    <hyperlink ref="B161" r:id="rId160" xr:uid="{54DB680A-2F09-433A-B905-D099804BDCFC}"/>
    <hyperlink ref="B162" r:id="rId161" xr:uid="{D8752F6A-354D-47A8-9CC4-48D9102D4E45}"/>
    <hyperlink ref="B163" r:id="rId162" xr:uid="{E086E7FA-2D74-4F4C-ADEB-3E6B68BAC269}"/>
    <hyperlink ref="B164" r:id="rId163" xr:uid="{B6FA53F5-831C-481E-95CF-346B69463954}"/>
    <hyperlink ref="B165" r:id="rId164" xr:uid="{64D615F5-CCB6-484E-B0FC-D984A964218B}"/>
    <hyperlink ref="B166" r:id="rId165" xr:uid="{D34AC1D9-1A7C-48E8-B288-B323C50580A4}"/>
    <hyperlink ref="B167" r:id="rId166" xr:uid="{06DE73A3-18DA-46B8-BDB7-CCD1C270B51E}"/>
    <hyperlink ref="B168" r:id="rId167" xr:uid="{C6165B47-30E3-49CB-8A7A-294D86419ACC}"/>
    <hyperlink ref="B169" r:id="rId168" xr:uid="{57825940-511B-42DC-82B9-423A06E78FE4}"/>
    <hyperlink ref="B170" r:id="rId169" xr:uid="{EF8D84C1-E75E-479F-9552-0ECC719916B5}"/>
    <hyperlink ref="B171" r:id="rId170" xr:uid="{8BB555B5-5297-4316-BDBE-4660F2C7AE78}"/>
    <hyperlink ref="B172" r:id="rId171" xr:uid="{13FA8F7D-7221-4559-89FB-82163A05DF24}"/>
    <hyperlink ref="B173" r:id="rId172" xr:uid="{5DC9501C-F9AF-4353-97E4-3B938E70CF90}"/>
    <hyperlink ref="B174" r:id="rId173" xr:uid="{6201CA33-4F40-46AD-AB33-43E79D889A3C}"/>
    <hyperlink ref="B175" r:id="rId174" xr:uid="{44F7DE90-78CD-438C-A48D-9BB7B422A0DA}"/>
    <hyperlink ref="B176" r:id="rId175" xr:uid="{516E6BFD-CCD5-4068-AC92-E0BF5E02CEA7}"/>
    <hyperlink ref="B177" r:id="rId176" xr:uid="{694BB7A6-BB50-4AA9-821F-FDB51A2BB1D4}"/>
    <hyperlink ref="B178" r:id="rId177" xr:uid="{C98089FA-00CC-4E2A-809B-4B98FD1528BD}"/>
    <hyperlink ref="B179" r:id="rId178" xr:uid="{C84EB5FD-08C9-4EF4-B57E-DB0D1E91E9E9}"/>
    <hyperlink ref="B180" r:id="rId179" xr:uid="{FFCF6665-C468-4E09-BB1C-3C2E2B2EC3AB}"/>
    <hyperlink ref="B181" r:id="rId180" xr:uid="{76315A54-0A25-4B1C-BDF9-09D203A14ADA}"/>
    <hyperlink ref="B182" r:id="rId181" xr:uid="{FCA97DBD-1B60-472E-851B-5ED61B699D0D}"/>
    <hyperlink ref="B183" r:id="rId182" xr:uid="{916B54ED-BA42-4995-9528-1709A01F35E4}"/>
    <hyperlink ref="B184" r:id="rId183" xr:uid="{DF4EF03F-A341-4377-AA34-B2C8C4025C95}"/>
    <hyperlink ref="B185" r:id="rId184" xr:uid="{A197956E-5F37-4108-B2F7-C67BF3B54527}"/>
    <hyperlink ref="B186" r:id="rId185" xr:uid="{8CAE7782-B148-43CA-8F89-0AFC96C3FBF4}"/>
    <hyperlink ref="B187" r:id="rId186" xr:uid="{5F2784C4-27F0-45D9-8ECA-5F5596B5CFED}"/>
    <hyperlink ref="B188" r:id="rId187" xr:uid="{61D8D168-38B9-4FDA-9DEF-73B2A71ABA16}"/>
    <hyperlink ref="B189" r:id="rId188" xr:uid="{4496A273-12EF-4D5B-9499-5E77BC753380}"/>
    <hyperlink ref="B190" r:id="rId189" xr:uid="{B8DF5757-9229-4DF0-B2FC-47048DE0669A}"/>
    <hyperlink ref="B191" r:id="rId190" xr:uid="{DE664259-9EEC-40AD-B04C-16F99FA98218}"/>
    <hyperlink ref="B192" r:id="rId191" xr:uid="{431E2EC2-E59F-4CFF-B5E0-AD8E635FE928}"/>
    <hyperlink ref="B193" r:id="rId192" xr:uid="{E865DF7D-14DF-4428-B75B-973BB27F9BDD}"/>
    <hyperlink ref="B194" r:id="rId193" xr:uid="{E5E1B561-26D7-4800-AE03-B969D832053A}"/>
    <hyperlink ref="B195" r:id="rId194" xr:uid="{0C494495-B8C6-45D2-A8B0-723681E0E1C8}"/>
    <hyperlink ref="B196" r:id="rId195" xr:uid="{11B2966B-AE54-4382-85DD-1CB4F10FBC40}"/>
    <hyperlink ref="B197" r:id="rId196" xr:uid="{7A97A1CB-FB5F-4968-867D-79FBDBD587A8}"/>
    <hyperlink ref="B198" r:id="rId197" xr:uid="{3FB743A0-2D1E-4BFD-977B-A96D18854C2B}"/>
    <hyperlink ref="B199" r:id="rId198" xr:uid="{93BE2C12-6CBD-4997-A4BB-486C9C6D5D28}"/>
    <hyperlink ref="B200" r:id="rId199" xr:uid="{844A2FA5-54A4-43BA-B14C-B9FBB6A44805}"/>
    <hyperlink ref="B201" r:id="rId200" xr:uid="{FF00F077-0005-4308-BFC3-4704CB00A968}"/>
    <hyperlink ref="B202" r:id="rId201" xr:uid="{212D5D14-7B0D-4DEE-8BF0-031CACDDB79A}"/>
    <hyperlink ref="B203" r:id="rId202" xr:uid="{617BB35C-643C-4C28-A61D-F623D75682B9}"/>
    <hyperlink ref="B204" r:id="rId203" xr:uid="{209FB4B3-6D99-477C-A625-14ADE36E71DB}"/>
    <hyperlink ref="B205" r:id="rId204" xr:uid="{5BD1679F-E250-4DAE-81D9-54A84002AD37}"/>
    <hyperlink ref="B206" r:id="rId205" xr:uid="{B0A280D9-533A-4985-B710-6ACD1B2006BC}"/>
    <hyperlink ref="B207" r:id="rId206" xr:uid="{7BEEFB3E-1DBD-458D-95A8-20665EDCACDF}"/>
    <hyperlink ref="B208" r:id="rId207" xr:uid="{47E304BA-8C8B-48BC-B48F-A213FC50A8C6}"/>
    <hyperlink ref="B209" r:id="rId208" xr:uid="{64359D8E-4043-468D-AA86-57467B8152D7}"/>
    <hyperlink ref="B210" r:id="rId209" xr:uid="{994FA09B-DB82-4561-815F-6833D1D6066D}"/>
    <hyperlink ref="B211" r:id="rId210" xr:uid="{CA246D16-F398-4B81-B397-99453A14D6BF}"/>
    <hyperlink ref="B212" r:id="rId211" xr:uid="{121E3526-D4E9-4C65-8459-B70C68D0121B}"/>
    <hyperlink ref="B213" r:id="rId212" xr:uid="{4606B49A-3394-4F22-A43C-F9AC03CDD33F}"/>
    <hyperlink ref="B214" r:id="rId213" xr:uid="{88EBFFDE-28CF-4BBD-B9EF-BEDD7B3F88BE}"/>
    <hyperlink ref="B215" r:id="rId214" xr:uid="{5ABD35C2-A0B3-4522-B504-C2814879BB7B}"/>
    <hyperlink ref="B216" r:id="rId215" xr:uid="{D976BA87-B6CA-4FA4-BC4E-9B8F74E0EE9C}"/>
    <hyperlink ref="B217" r:id="rId216" xr:uid="{8A19D119-D4EA-4E8D-B06D-9AD8D0FBE0E5}"/>
    <hyperlink ref="B218" r:id="rId217" xr:uid="{A8234B95-769F-4C1B-BA91-4D6A457B31BA}"/>
    <hyperlink ref="B219" r:id="rId218" xr:uid="{3F77BB23-EBD5-444F-99EC-E72E1F6645CF}"/>
    <hyperlink ref="B220" r:id="rId219" xr:uid="{11739776-0BBD-4402-A629-9D0C824CD1F7}"/>
    <hyperlink ref="B221" r:id="rId220" xr:uid="{1D77FD80-DF5C-4BB7-94AF-B92DACB5724F}"/>
    <hyperlink ref="B222" r:id="rId221" xr:uid="{419B09F4-F14C-4AAB-B45E-0255FE10F76A}"/>
    <hyperlink ref="B223" r:id="rId222" xr:uid="{7E3647FF-E635-4B59-B218-43546362E06A}"/>
  </hyperlinks>
  <pageMargins left="0.7" right="0.7" top="0.75" bottom="0.75" header="0.3" footer="0.3"/>
  <tableParts count="1">
    <tablePart r:id="rId22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51241-2B1D-4709-8AAB-0C09624E07EC}">
  <dimension ref="A1:AD327"/>
  <sheetViews>
    <sheetView topLeftCell="D243" workbookViewId="0">
      <selection activeCell="G258" sqref="G258"/>
    </sheetView>
  </sheetViews>
  <sheetFormatPr defaultColWidth="11.42578125" defaultRowHeight="15" x14ac:dyDescent="0.25"/>
  <cols>
    <col min="2" max="3" width="37.85546875" customWidth="1"/>
    <col min="4" max="4" width="14.42578125" customWidth="1"/>
    <col min="5" max="5" width="31.85546875" customWidth="1"/>
    <col min="6" max="7" width="21.85546875" customWidth="1"/>
    <col min="8" max="8" width="12.140625" customWidth="1"/>
    <col min="12" max="12" width="12.7109375" customWidth="1"/>
    <col min="13" max="13" width="29.28515625" customWidth="1"/>
    <col min="14" max="14" width="20" customWidth="1"/>
    <col min="15" max="16" width="15.42578125" customWidth="1"/>
    <col min="17" max="17" width="12.42578125" customWidth="1"/>
    <col min="18" max="20" width="26.42578125" customWidth="1"/>
    <col min="21" max="21" width="16.7109375" customWidth="1"/>
    <col min="23" max="23" width="15.42578125" customWidth="1"/>
    <col min="25" max="25" width="19.85546875" customWidth="1"/>
    <col min="26" max="26" width="15.7109375" customWidth="1"/>
    <col min="28" max="28" width="16" customWidth="1"/>
  </cols>
  <sheetData>
    <row r="1" spans="1:30" ht="60" customHeight="1" x14ac:dyDescent="0.25">
      <c r="A1" s="53" t="s">
        <v>0</v>
      </c>
      <c r="B1" s="52" t="s">
        <v>1</v>
      </c>
      <c r="C1" s="49" t="s">
        <v>2</v>
      </c>
      <c r="D1" s="52" t="s">
        <v>3</v>
      </c>
      <c r="E1" s="50" t="s">
        <v>4</v>
      </c>
      <c r="F1" s="52" t="s">
        <v>5</v>
      </c>
      <c r="G1" s="52" t="s">
        <v>6</v>
      </c>
      <c r="H1" s="52" t="s">
        <v>7</v>
      </c>
      <c r="I1" s="52" t="s">
        <v>8</v>
      </c>
      <c r="J1" s="52" t="s">
        <v>9</v>
      </c>
      <c r="K1" s="48" t="s">
        <v>10</v>
      </c>
      <c r="L1" s="48" t="s">
        <v>11</v>
      </c>
      <c r="M1" s="48" t="s">
        <v>12</v>
      </c>
      <c r="N1" s="48" t="s">
        <v>13</v>
      </c>
      <c r="O1" s="48" t="s">
        <v>14</v>
      </c>
      <c r="P1" s="48" t="s">
        <v>15</v>
      </c>
      <c r="Q1" s="48" t="s">
        <v>16</v>
      </c>
      <c r="R1" s="48" t="s">
        <v>17</v>
      </c>
      <c r="S1" s="48" t="s">
        <v>9149</v>
      </c>
      <c r="T1" s="48" t="s">
        <v>9150</v>
      </c>
      <c r="U1" s="48" t="s">
        <v>18</v>
      </c>
      <c r="V1" s="48" t="s">
        <v>19</v>
      </c>
      <c r="W1" s="48" t="s">
        <v>20</v>
      </c>
      <c r="X1" s="48" t="s">
        <v>21</v>
      </c>
      <c r="Y1" s="48" t="s">
        <v>22</v>
      </c>
      <c r="Z1" s="48" t="s">
        <v>23</v>
      </c>
      <c r="AA1" s="48" t="s">
        <v>24</v>
      </c>
      <c r="AB1" s="48" t="s">
        <v>25</v>
      </c>
      <c r="AC1" s="48" t="s">
        <v>201</v>
      </c>
      <c r="AD1" s="51" t="s">
        <v>27</v>
      </c>
    </row>
    <row r="2" spans="1:30" x14ac:dyDescent="0.25">
      <c r="A2" s="36">
        <v>1209</v>
      </c>
      <c r="B2" s="14" t="s">
        <v>2445</v>
      </c>
      <c r="C2" s="14" t="s">
        <v>2446</v>
      </c>
      <c r="D2" s="17">
        <v>44138</v>
      </c>
      <c r="E2" s="14" t="s">
        <v>30</v>
      </c>
      <c r="F2" s="14">
        <v>56</v>
      </c>
      <c r="G2" s="14">
        <v>6</v>
      </c>
      <c r="H2" s="14">
        <v>7</v>
      </c>
      <c r="I2" s="14">
        <v>4</v>
      </c>
      <c r="J2" s="14" t="s">
        <v>31</v>
      </c>
      <c r="K2" s="14" cm="1">
        <f t="array" ref="K2">INT(SUMPRODUCT(--ISNUMBER(SEARCH(economy,C2)))&gt;0)</f>
        <v>0</v>
      </c>
      <c r="L2" s="14" cm="1">
        <f t="array" ref="L2">INT(SUMPRODUCT(--ISNUMBER(SEARCH(healthcare,C2)))&gt;0)</f>
        <v>0</v>
      </c>
      <c r="M2" s="14" cm="1">
        <f t="array" ref="M2">INT(SUMPRODUCT(--ISNUMBER(SEARCH(supreme,C2)))&gt;0)</f>
        <v>0</v>
      </c>
      <c r="N2" s="14" cm="1">
        <f t="array" ref="N2">INT(SUMPRODUCT(--ISNUMBER(SEARCH(covid,C2)))&gt;0)</f>
        <v>0</v>
      </c>
      <c r="O2" s="14" cm="1">
        <f t="array" ref="O2">INT(SUMPRODUCT(--ISNUMBER(SEARCH(violent,C2)))&gt;0)</f>
        <v>0</v>
      </c>
      <c r="P2" s="14" cm="1">
        <f t="array" ref="P2">INT(SUMPRODUCT(--ISNUMBER(SEARCH(foreign,C2)))&gt;0)</f>
        <v>0</v>
      </c>
      <c r="Q2" s="14" cm="1">
        <f t="array" ref="Q2">INT(SUMPRODUCT(--ISNUMBER(SEARCH(gun,C2)))&gt;0)</f>
        <v>0</v>
      </c>
      <c r="R2" s="14" cm="1">
        <f t="array" ref="R2">INT(SUMPRODUCT(--ISNUMBER(SEARCH(race,C2)))&gt;0)</f>
        <v>0</v>
      </c>
      <c r="S2" s="14" cm="1">
        <f t="array" ref="S2">INT(SUMPRODUCT(--ISNUMBER(SEARCH(immigration,C2)))&gt;0)</f>
        <v>0</v>
      </c>
      <c r="T2" s="14" cm="1">
        <f t="array" ref="T2">INT(SUMPRODUCT(--ISNUMBER(SEARCH(econineq,C3)))&gt;0)</f>
        <v>0</v>
      </c>
      <c r="U2" s="14" cm="1">
        <f t="array" ref="U2">INT(SUMPRODUCT(--ISNUMBER(SEARCH(climate,C2)))&gt;0)</f>
        <v>0</v>
      </c>
      <c r="V2" s="14" cm="1">
        <f t="array" ref="V2">INT(SUMPRODUCT(--ISNUMBER(SEARCH(abortion,C2)))&gt;0)</f>
        <v>0</v>
      </c>
      <c r="W2" s="14" cm="1">
        <f t="array" ref="W2">INT(SUMPRODUCT(--ISNUMBER(SEARCH(trump,C2)))&gt;0)</f>
        <v>0</v>
      </c>
      <c r="X2" s="14" cm="1">
        <f t="array" ref="X2">INT(SUMPRODUCT(--ISNUMBER(SEARCH(voting,C2)))&gt;0)</f>
        <v>1</v>
      </c>
      <c r="Y2" s="14" cm="1">
        <f t="array" ref="Y2">INT(SUMPRODUCT(--ISNUMBER(SEARCH(republicantrigger,C2)))&gt;0)</f>
        <v>0</v>
      </c>
      <c r="Z2" s="14" cm="1">
        <f t="array" ref="Z2">INT(SUMPRODUCT(--ISNUMBER(SEARCH(bipartisan,C2)))&gt;0)</f>
        <v>0</v>
      </c>
      <c r="AA2" s="14">
        <f>INT(IF(COUNTIF(K2:Z2,1)=0,"1","0"))</f>
        <v>0</v>
      </c>
      <c r="AB2" s="14"/>
      <c r="AC2" s="30">
        <v>1</v>
      </c>
      <c r="AD2" s="37">
        <v>0</v>
      </c>
    </row>
    <row r="3" spans="1:30" x14ac:dyDescent="0.25">
      <c r="A3" s="36">
        <v>1210</v>
      </c>
      <c r="B3" s="14" t="s">
        <v>2447</v>
      </c>
      <c r="C3" s="14" t="s">
        <v>2448</v>
      </c>
      <c r="D3" s="17">
        <v>44138</v>
      </c>
      <c r="E3" s="14" t="s">
        <v>30</v>
      </c>
      <c r="F3" s="14">
        <v>74</v>
      </c>
      <c r="G3" s="14">
        <v>8</v>
      </c>
      <c r="H3" s="14">
        <v>7</v>
      </c>
      <c r="I3" s="14">
        <v>4</v>
      </c>
      <c r="J3" s="14" t="s">
        <v>31</v>
      </c>
      <c r="K3" s="14" cm="1">
        <f t="array" ref="K3">INT(SUMPRODUCT(--ISNUMBER(SEARCH(economy,C3)))&gt;0)</f>
        <v>0</v>
      </c>
      <c r="L3" s="14" cm="1">
        <f t="array" ref="L3">INT(SUMPRODUCT(--ISNUMBER(SEARCH(healthcare,C3)))&gt;0)</f>
        <v>0</v>
      </c>
      <c r="M3" s="14" cm="1">
        <f t="array" ref="M3">INT(SUMPRODUCT(--ISNUMBER(SEARCH(supreme,C3)))&gt;0)</f>
        <v>0</v>
      </c>
      <c r="N3" s="14" cm="1">
        <f t="array" ref="N3">INT(SUMPRODUCT(--ISNUMBER(SEARCH(covid,C3)))&gt;0)</f>
        <v>0</v>
      </c>
      <c r="O3" s="14" cm="1">
        <f t="array" ref="O3">INT(SUMPRODUCT(--ISNUMBER(SEARCH(violent,C3)))&gt;0)</f>
        <v>0</v>
      </c>
      <c r="P3" s="14" cm="1">
        <f t="array" ref="P3">INT(SUMPRODUCT(--ISNUMBER(SEARCH(foreign,C3)))&gt;0)</f>
        <v>0</v>
      </c>
      <c r="Q3" s="14" cm="1">
        <f t="array" ref="Q3">INT(SUMPRODUCT(--ISNUMBER(SEARCH(gun,C3)))&gt;0)</f>
        <v>0</v>
      </c>
      <c r="R3" s="14" cm="1">
        <f t="array" ref="R3">INT(SUMPRODUCT(--ISNUMBER(SEARCH(race,C3)))&gt;0)</f>
        <v>0</v>
      </c>
      <c r="S3" s="14" cm="1">
        <f t="array" ref="S3">INT(SUMPRODUCT(--ISNUMBER(SEARCH(immigration,C3)))&gt;0)</f>
        <v>0</v>
      </c>
      <c r="T3" s="14" cm="1">
        <f t="array" ref="T3">INT(SUMPRODUCT(--ISNUMBER(SEARCH(econineq,C4)))&gt;0)</f>
        <v>0</v>
      </c>
      <c r="U3" s="14" cm="1">
        <f t="array" ref="U3">INT(SUMPRODUCT(--ISNUMBER(SEARCH(climate,C3)))&gt;0)</f>
        <v>0</v>
      </c>
      <c r="V3" s="14" cm="1">
        <f t="array" ref="V3">INT(SUMPRODUCT(--ISNUMBER(SEARCH(abortion,C3)))&gt;0)</f>
        <v>0</v>
      </c>
      <c r="W3" s="14" cm="1">
        <f t="array" ref="W3">INT(SUMPRODUCT(--ISNUMBER(SEARCH(trump,C3)))&gt;0)</f>
        <v>0</v>
      </c>
      <c r="X3" s="14" cm="1">
        <f t="array" ref="X3">INT(SUMPRODUCT(--ISNUMBER(SEARCH(voting,C3)))&gt;0)</f>
        <v>1</v>
      </c>
      <c r="Y3" s="14" cm="1">
        <f t="array" ref="Y3">INT(SUMPRODUCT(--ISNUMBER(SEARCH(republicantrigger,C3)))&gt;0)</f>
        <v>0</v>
      </c>
      <c r="Z3" s="14" cm="1">
        <f t="array" ref="Z3">INT(SUMPRODUCT(--ISNUMBER(SEARCH(bipartisan,C3)))&gt;0)</f>
        <v>0</v>
      </c>
      <c r="AA3" s="14">
        <f t="shared" ref="AA3:AA66" si="0">INT(IF(COUNTIF(K3:Z3,1)=0,"1","0"))</f>
        <v>0</v>
      </c>
      <c r="AB3" s="14"/>
      <c r="AC3" s="30">
        <v>0</v>
      </c>
      <c r="AD3" s="37">
        <v>1</v>
      </c>
    </row>
    <row r="4" spans="1:30" x14ac:dyDescent="0.25">
      <c r="A4" s="36">
        <v>1211</v>
      </c>
      <c r="B4" s="14" t="s">
        <v>2449</v>
      </c>
      <c r="C4" s="14" t="s">
        <v>2450</v>
      </c>
      <c r="D4" s="17">
        <v>44138</v>
      </c>
      <c r="E4" s="14" t="s">
        <v>30</v>
      </c>
      <c r="F4" s="14">
        <v>119</v>
      </c>
      <c r="G4" s="14">
        <v>20</v>
      </c>
      <c r="H4" s="14">
        <v>7</v>
      </c>
      <c r="I4" s="14">
        <v>4</v>
      </c>
      <c r="J4" s="14" t="s">
        <v>31</v>
      </c>
      <c r="K4" s="14" cm="1">
        <f t="array" ref="K4">INT(SUMPRODUCT(--ISNUMBER(SEARCH(economy,C4)))&gt;0)</f>
        <v>0</v>
      </c>
      <c r="L4" s="14" cm="1">
        <f t="array" ref="L4">INT(SUMPRODUCT(--ISNUMBER(SEARCH(healthcare,C4)))&gt;0)</f>
        <v>0</v>
      </c>
      <c r="M4" s="14" cm="1">
        <f t="array" ref="M4">INT(SUMPRODUCT(--ISNUMBER(SEARCH(supreme,C4)))&gt;0)</f>
        <v>0</v>
      </c>
      <c r="N4" s="14" cm="1">
        <f t="array" ref="N4">INT(SUMPRODUCT(--ISNUMBER(SEARCH(covid,C4)))&gt;0)</f>
        <v>0</v>
      </c>
      <c r="O4" s="14" cm="1">
        <f t="array" ref="O4">INT(SUMPRODUCT(--ISNUMBER(SEARCH(violent,C4)))&gt;0)</f>
        <v>0</v>
      </c>
      <c r="P4" s="14" cm="1">
        <f t="array" ref="P4">INT(SUMPRODUCT(--ISNUMBER(SEARCH(foreign,C4)))&gt;0)</f>
        <v>0</v>
      </c>
      <c r="Q4" s="14" cm="1">
        <f t="array" ref="Q4">INT(SUMPRODUCT(--ISNUMBER(SEARCH(gun,C4)))&gt;0)</f>
        <v>0</v>
      </c>
      <c r="R4" s="14" cm="1">
        <f t="array" ref="R4">INT(SUMPRODUCT(--ISNUMBER(SEARCH(race,C4)))&gt;0)</f>
        <v>0</v>
      </c>
      <c r="S4" s="14" cm="1">
        <f t="array" ref="S4">INT(SUMPRODUCT(--ISNUMBER(SEARCH(immigration,C4)))&gt;0)</f>
        <v>0</v>
      </c>
      <c r="T4" s="14" cm="1">
        <f t="array" ref="T4">INT(SUMPRODUCT(--ISNUMBER(SEARCH(econineq,C5)))&gt;0)</f>
        <v>0</v>
      </c>
      <c r="U4" s="14" cm="1">
        <f t="array" ref="U4">INT(SUMPRODUCT(--ISNUMBER(SEARCH(climate,C4)))&gt;0)</f>
        <v>0</v>
      </c>
      <c r="V4" s="14" cm="1">
        <f t="array" ref="V4">INT(SUMPRODUCT(--ISNUMBER(SEARCH(abortion,C4)))&gt;0)</f>
        <v>0</v>
      </c>
      <c r="W4" s="14" cm="1">
        <f t="array" ref="W4">INT(SUMPRODUCT(--ISNUMBER(SEARCH(trump,C4)))&gt;0)</f>
        <v>0</v>
      </c>
      <c r="X4" s="14" cm="1">
        <f t="array" ref="X4">INT(SUMPRODUCT(--ISNUMBER(SEARCH(voting,C4)))&gt;0)</f>
        <v>0</v>
      </c>
      <c r="Y4" s="14" cm="1">
        <f t="array" ref="Y4">INT(SUMPRODUCT(--ISNUMBER(SEARCH(republicantrigger,C4)))&gt;0)</f>
        <v>0</v>
      </c>
      <c r="Z4" s="14" cm="1">
        <f t="array" ref="Z4">INT(SUMPRODUCT(--ISNUMBER(SEARCH(bipartisan,C4)))&gt;0)</f>
        <v>0</v>
      </c>
      <c r="AA4" s="14">
        <f t="shared" si="0"/>
        <v>1</v>
      </c>
      <c r="AB4" s="14"/>
      <c r="AC4" s="30">
        <v>0</v>
      </c>
      <c r="AD4" s="37">
        <v>1</v>
      </c>
    </row>
    <row r="5" spans="1:30" x14ac:dyDescent="0.25">
      <c r="A5" s="36">
        <v>1212</v>
      </c>
      <c r="B5" s="14" t="s">
        <v>2451</v>
      </c>
      <c r="C5" s="14" t="s">
        <v>2452</v>
      </c>
      <c r="D5" s="17">
        <v>44138</v>
      </c>
      <c r="E5" s="14" t="s">
        <v>30</v>
      </c>
      <c r="F5" s="14">
        <v>38</v>
      </c>
      <c r="G5" s="14">
        <v>7</v>
      </c>
      <c r="H5" s="14">
        <v>7</v>
      </c>
      <c r="I5" s="14">
        <v>4</v>
      </c>
      <c r="J5" s="14" t="s">
        <v>31</v>
      </c>
      <c r="K5" s="14" cm="1">
        <f t="array" ref="K5">INT(SUMPRODUCT(--ISNUMBER(SEARCH(economy,C5)))&gt;0)</f>
        <v>1</v>
      </c>
      <c r="L5" s="14" cm="1">
        <f t="array" ref="L5">INT(SUMPRODUCT(--ISNUMBER(SEARCH(healthcare,C5)))&gt;0)</f>
        <v>0</v>
      </c>
      <c r="M5" s="14" cm="1">
        <f t="array" ref="M5">INT(SUMPRODUCT(--ISNUMBER(SEARCH(supreme,C5)))&gt;0)</f>
        <v>0</v>
      </c>
      <c r="N5" s="14" cm="1">
        <f t="array" ref="N5">INT(SUMPRODUCT(--ISNUMBER(SEARCH(covid,C5)))&gt;0)</f>
        <v>0</v>
      </c>
      <c r="O5" s="14" cm="1">
        <f t="array" ref="O5">INT(SUMPRODUCT(--ISNUMBER(SEARCH(violent,C5)))&gt;0)</f>
        <v>0</v>
      </c>
      <c r="P5" s="14" cm="1">
        <f t="array" ref="P5">INT(SUMPRODUCT(--ISNUMBER(SEARCH(foreign,C5)))&gt;0)</f>
        <v>0</v>
      </c>
      <c r="Q5" s="14" cm="1">
        <f t="array" ref="Q5">INT(SUMPRODUCT(--ISNUMBER(SEARCH(gun,C5)))&gt;0)</f>
        <v>0</v>
      </c>
      <c r="R5" s="14" cm="1">
        <f t="array" ref="R5">INT(SUMPRODUCT(--ISNUMBER(SEARCH(race,C5)))&gt;0)</f>
        <v>0</v>
      </c>
      <c r="S5" s="14" cm="1">
        <f t="array" ref="S5">INT(SUMPRODUCT(--ISNUMBER(SEARCH(immigration,C5)))&gt;0)</f>
        <v>0</v>
      </c>
      <c r="T5" s="14" cm="1">
        <f t="array" ref="T5">INT(SUMPRODUCT(--ISNUMBER(SEARCH(econineq,C6)))&gt;0)</f>
        <v>0</v>
      </c>
      <c r="U5" s="14" cm="1">
        <f t="array" ref="U5">INT(SUMPRODUCT(--ISNUMBER(SEARCH(climate,C5)))&gt;0)</f>
        <v>0</v>
      </c>
      <c r="V5" s="14" cm="1">
        <f t="array" ref="V5">INT(SUMPRODUCT(--ISNUMBER(SEARCH(abortion,C5)))&gt;0)</f>
        <v>0</v>
      </c>
      <c r="W5" s="14" cm="1">
        <f t="array" ref="W5">INT(SUMPRODUCT(--ISNUMBER(SEARCH(trump,C5)))&gt;0)</f>
        <v>0</v>
      </c>
      <c r="X5" s="14" cm="1">
        <f t="array" ref="X5">INT(SUMPRODUCT(--ISNUMBER(SEARCH(voting,C5)))&gt;0)</f>
        <v>0</v>
      </c>
      <c r="Y5" s="14" cm="1">
        <f t="array" ref="Y5">INT(SUMPRODUCT(--ISNUMBER(SEARCH(republicantrigger,C5)))&gt;0)</f>
        <v>0</v>
      </c>
      <c r="Z5" s="14" cm="1">
        <f t="array" ref="Z5">INT(SUMPRODUCT(--ISNUMBER(SEARCH(bipartisan,C5)))&gt;0)</f>
        <v>0</v>
      </c>
      <c r="AA5" s="14">
        <f t="shared" si="0"/>
        <v>0</v>
      </c>
      <c r="AB5" s="14"/>
      <c r="AC5" s="30">
        <v>1</v>
      </c>
      <c r="AD5" s="37">
        <v>0</v>
      </c>
    </row>
    <row r="6" spans="1:30" x14ac:dyDescent="0.25">
      <c r="A6" s="36">
        <v>1213</v>
      </c>
      <c r="B6" s="14" t="s">
        <v>2453</v>
      </c>
      <c r="C6" s="14" t="s">
        <v>2454</v>
      </c>
      <c r="D6" s="17">
        <v>44138</v>
      </c>
      <c r="E6" s="14" t="s">
        <v>30</v>
      </c>
      <c r="F6" s="14">
        <v>41</v>
      </c>
      <c r="G6" s="14">
        <v>7</v>
      </c>
      <c r="H6" s="14">
        <v>7</v>
      </c>
      <c r="I6" s="14">
        <v>4</v>
      </c>
      <c r="J6" s="14" t="s">
        <v>31</v>
      </c>
      <c r="K6" s="14" cm="1">
        <f t="array" ref="K6">INT(SUMPRODUCT(--ISNUMBER(SEARCH(economy,C6)))&gt;0)</f>
        <v>0</v>
      </c>
      <c r="L6" s="14" cm="1">
        <f t="array" ref="L6">INT(SUMPRODUCT(--ISNUMBER(SEARCH(healthcare,C6)))&gt;0)</f>
        <v>0</v>
      </c>
      <c r="M6" s="14" cm="1">
        <f t="array" ref="M6">INT(SUMPRODUCT(--ISNUMBER(SEARCH(supreme,C6)))&gt;0)</f>
        <v>0</v>
      </c>
      <c r="N6" s="14" cm="1">
        <f t="array" ref="N6">INT(SUMPRODUCT(--ISNUMBER(SEARCH(covid,C6)))&gt;0)</f>
        <v>0</v>
      </c>
      <c r="O6" s="14" cm="1">
        <f t="array" ref="O6">INT(SUMPRODUCT(--ISNUMBER(SEARCH(violent,C6)))&gt;0)</f>
        <v>0</v>
      </c>
      <c r="P6" s="14" cm="1">
        <f t="array" ref="P6">INT(SUMPRODUCT(--ISNUMBER(SEARCH(foreign,C6)))&gt;0)</f>
        <v>0</v>
      </c>
      <c r="Q6" s="14" cm="1">
        <f t="array" ref="Q6">INT(SUMPRODUCT(--ISNUMBER(SEARCH(gun,C6)))&gt;0)</f>
        <v>0</v>
      </c>
      <c r="R6" s="14" cm="1">
        <f t="array" ref="R6">INT(SUMPRODUCT(--ISNUMBER(SEARCH(race,C6)))&gt;0)</f>
        <v>0</v>
      </c>
      <c r="S6" s="14" cm="1">
        <f t="array" ref="S6">INT(SUMPRODUCT(--ISNUMBER(SEARCH(immigration,C6)))&gt;0)</f>
        <v>0</v>
      </c>
      <c r="T6" s="14" cm="1">
        <f t="array" ref="T6">INT(SUMPRODUCT(--ISNUMBER(SEARCH(econineq,C7)))&gt;0)</f>
        <v>0</v>
      </c>
      <c r="U6" s="14" cm="1">
        <f t="array" ref="U6">INT(SUMPRODUCT(--ISNUMBER(SEARCH(climate,C6)))&gt;0)</f>
        <v>0</v>
      </c>
      <c r="V6" s="14" cm="1">
        <f t="array" ref="V6">INT(SUMPRODUCT(--ISNUMBER(SEARCH(abortion,C6)))&gt;0)</f>
        <v>0</v>
      </c>
      <c r="W6" s="14" cm="1">
        <f t="array" ref="W6">INT(SUMPRODUCT(--ISNUMBER(SEARCH(trump,C6)))&gt;0)</f>
        <v>0</v>
      </c>
      <c r="X6" s="14" cm="1">
        <f t="array" ref="X6">INT(SUMPRODUCT(--ISNUMBER(SEARCH(voting,C6)))&gt;0)</f>
        <v>1</v>
      </c>
      <c r="Y6" s="14" cm="1">
        <f t="array" ref="Y6">INT(SUMPRODUCT(--ISNUMBER(SEARCH(republicantrigger,C6)))&gt;0)</f>
        <v>0</v>
      </c>
      <c r="Z6" s="14" cm="1">
        <f t="array" ref="Z6">INT(SUMPRODUCT(--ISNUMBER(SEARCH(bipartisan,C6)))&gt;0)</f>
        <v>0</v>
      </c>
      <c r="AA6" s="14">
        <f t="shared" si="0"/>
        <v>0</v>
      </c>
      <c r="AB6" s="14"/>
      <c r="AC6" s="30">
        <v>1</v>
      </c>
      <c r="AD6" s="37">
        <v>0</v>
      </c>
    </row>
    <row r="7" spans="1:30" x14ac:dyDescent="0.25">
      <c r="A7" s="36">
        <v>1214</v>
      </c>
      <c r="B7" s="14" t="s">
        <v>2455</v>
      </c>
      <c r="C7" s="14" t="s">
        <v>2456</v>
      </c>
      <c r="D7" s="17">
        <v>44138</v>
      </c>
      <c r="E7" s="14" t="s">
        <v>30</v>
      </c>
      <c r="F7" s="14">
        <v>95</v>
      </c>
      <c r="G7" s="14">
        <v>25</v>
      </c>
      <c r="H7" s="14">
        <v>7</v>
      </c>
      <c r="I7" s="14">
        <v>4</v>
      </c>
      <c r="J7" s="14" t="s">
        <v>31</v>
      </c>
      <c r="K7" s="14" cm="1">
        <f t="array" ref="K7">INT(SUMPRODUCT(--ISNUMBER(SEARCH(economy,C7)))&gt;0)</f>
        <v>0</v>
      </c>
      <c r="L7" s="14" cm="1">
        <f t="array" ref="L7">INT(SUMPRODUCT(--ISNUMBER(SEARCH(healthcare,C7)))&gt;0)</f>
        <v>0</v>
      </c>
      <c r="M7" s="14" cm="1">
        <f t="array" ref="M7">INT(SUMPRODUCT(--ISNUMBER(SEARCH(supreme,C7)))&gt;0)</f>
        <v>0</v>
      </c>
      <c r="N7" s="14" cm="1">
        <f t="array" ref="N7">INT(SUMPRODUCT(--ISNUMBER(SEARCH(covid,C7)))&gt;0)</f>
        <v>0</v>
      </c>
      <c r="O7" s="14" cm="1">
        <f t="array" ref="O7">INT(SUMPRODUCT(--ISNUMBER(SEARCH(violent,C7)))&gt;0)</f>
        <v>0</v>
      </c>
      <c r="P7" s="14" cm="1">
        <f t="array" ref="P7">INT(SUMPRODUCT(--ISNUMBER(SEARCH(foreign,C7)))&gt;0)</f>
        <v>0</v>
      </c>
      <c r="Q7" s="14" cm="1">
        <f t="array" ref="Q7">INT(SUMPRODUCT(--ISNUMBER(SEARCH(gun,C7)))&gt;0)</f>
        <v>0</v>
      </c>
      <c r="R7" s="14" cm="1">
        <f t="array" ref="R7">INT(SUMPRODUCT(--ISNUMBER(SEARCH(race,C7)))&gt;0)</f>
        <v>0</v>
      </c>
      <c r="S7" s="14" cm="1">
        <f t="array" ref="S7">INT(SUMPRODUCT(--ISNUMBER(SEARCH(immigration,C7)))&gt;0)</f>
        <v>0</v>
      </c>
      <c r="T7" s="14" cm="1">
        <f t="array" ref="T7">INT(SUMPRODUCT(--ISNUMBER(SEARCH(econineq,C8)))&gt;0)</f>
        <v>0</v>
      </c>
      <c r="U7" s="14" cm="1">
        <f t="array" ref="U7">INT(SUMPRODUCT(--ISNUMBER(SEARCH(climate,C7)))&gt;0)</f>
        <v>0</v>
      </c>
      <c r="V7" s="14" cm="1">
        <f t="array" ref="V7">INT(SUMPRODUCT(--ISNUMBER(SEARCH(abortion,C7)))&gt;0)</f>
        <v>0</v>
      </c>
      <c r="W7" s="14" cm="1">
        <f t="array" ref="W7">INT(SUMPRODUCT(--ISNUMBER(SEARCH(trump,C7)))&gt;0)</f>
        <v>0</v>
      </c>
      <c r="X7" s="14" cm="1">
        <f t="array" ref="X7">INT(SUMPRODUCT(--ISNUMBER(SEARCH(voting,C7)))&gt;0)</f>
        <v>1</v>
      </c>
      <c r="Y7" s="14" cm="1">
        <f t="array" ref="Y7">INT(SUMPRODUCT(--ISNUMBER(SEARCH(republicantrigger,C7)))&gt;0)</f>
        <v>0</v>
      </c>
      <c r="Z7" s="14" cm="1">
        <f t="array" ref="Z7">INT(SUMPRODUCT(--ISNUMBER(SEARCH(bipartisan,C7)))&gt;0)</f>
        <v>0</v>
      </c>
      <c r="AA7" s="14">
        <f t="shared" si="0"/>
        <v>0</v>
      </c>
      <c r="AB7" s="14"/>
      <c r="AC7" s="30">
        <v>0</v>
      </c>
      <c r="AD7" s="37">
        <v>1</v>
      </c>
    </row>
    <row r="8" spans="1:30" x14ac:dyDescent="0.25">
      <c r="A8" s="36">
        <v>1215</v>
      </c>
      <c r="B8" s="14" t="s">
        <v>2457</v>
      </c>
      <c r="C8" s="14" t="s">
        <v>2458</v>
      </c>
      <c r="D8" s="17">
        <v>44138</v>
      </c>
      <c r="E8" s="14" t="s">
        <v>30</v>
      </c>
      <c r="F8" s="14">
        <v>33</v>
      </c>
      <c r="G8" s="14">
        <v>3</v>
      </c>
      <c r="H8" s="14">
        <v>7</v>
      </c>
      <c r="I8" s="14">
        <v>4</v>
      </c>
      <c r="J8" s="14" t="s">
        <v>31</v>
      </c>
      <c r="K8" s="14" cm="1">
        <f t="array" ref="K8">INT(SUMPRODUCT(--ISNUMBER(SEARCH(economy,C8)))&gt;0)</f>
        <v>0</v>
      </c>
      <c r="L8" s="14" cm="1">
        <f t="array" ref="L8">INT(SUMPRODUCT(--ISNUMBER(SEARCH(healthcare,C8)))&gt;0)</f>
        <v>0</v>
      </c>
      <c r="M8" s="14" cm="1">
        <f t="array" ref="M8">INT(SUMPRODUCT(--ISNUMBER(SEARCH(supreme,C8)))&gt;0)</f>
        <v>0</v>
      </c>
      <c r="N8" s="14" cm="1">
        <f t="array" ref="N8">INT(SUMPRODUCT(--ISNUMBER(SEARCH(covid,C8)))&gt;0)</f>
        <v>0</v>
      </c>
      <c r="O8" s="14" cm="1">
        <f t="array" ref="O8">INT(SUMPRODUCT(--ISNUMBER(SEARCH(violent,C8)))&gt;0)</f>
        <v>0</v>
      </c>
      <c r="P8" s="14" cm="1">
        <f t="array" ref="P8">INT(SUMPRODUCT(--ISNUMBER(SEARCH(foreign,C8)))&gt;0)</f>
        <v>0</v>
      </c>
      <c r="Q8" s="14" cm="1">
        <f t="array" ref="Q8">INT(SUMPRODUCT(--ISNUMBER(SEARCH(gun,C8)))&gt;0)</f>
        <v>0</v>
      </c>
      <c r="R8" s="14" cm="1">
        <f t="array" ref="R8">INT(SUMPRODUCT(--ISNUMBER(SEARCH(race,C8)))&gt;0)</f>
        <v>0</v>
      </c>
      <c r="S8" s="14" cm="1">
        <f t="array" ref="S8">INT(SUMPRODUCT(--ISNUMBER(SEARCH(immigration,C8)))&gt;0)</f>
        <v>0</v>
      </c>
      <c r="T8" s="14" cm="1">
        <f t="array" ref="T8">INT(SUMPRODUCT(--ISNUMBER(SEARCH(econineq,C9)))&gt;0)</f>
        <v>0</v>
      </c>
      <c r="U8" s="14" cm="1">
        <f t="array" ref="U8">INT(SUMPRODUCT(--ISNUMBER(SEARCH(climate,C8)))&gt;0)</f>
        <v>0</v>
      </c>
      <c r="V8" s="14" cm="1">
        <f t="array" ref="V8">INT(SUMPRODUCT(--ISNUMBER(SEARCH(abortion,C8)))&gt;0)</f>
        <v>0</v>
      </c>
      <c r="W8" s="14" cm="1">
        <f t="array" ref="W8">INT(SUMPRODUCT(--ISNUMBER(SEARCH(trump,C8)))&gt;0)</f>
        <v>0</v>
      </c>
      <c r="X8" s="14" cm="1">
        <f t="array" ref="X8">INT(SUMPRODUCT(--ISNUMBER(SEARCH(voting,C8)))&gt;0)</f>
        <v>1</v>
      </c>
      <c r="Y8" s="14" cm="1">
        <f t="array" ref="Y8">INT(SUMPRODUCT(--ISNUMBER(SEARCH(republicantrigger,C8)))&gt;0)</f>
        <v>0</v>
      </c>
      <c r="Z8" s="14" cm="1">
        <f t="array" ref="Z8">INT(SUMPRODUCT(--ISNUMBER(SEARCH(bipartisan,C8)))&gt;0)</f>
        <v>0</v>
      </c>
      <c r="AA8" s="14">
        <f t="shared" si="0"/>
        <v>0</v>
      </c>
      <c r="AB8" s="14"/>
      <c r="AC8" s="30">
        <v>0</v>
      </c>
      <c r="AD8" s="37">
        <v>1</v>
      </c>
    </row>
    <row r="9" spans="1:30" x14ac:dyDescent="0.25">
      <c r="A9" s="36">
        <v>1216</v>
      </c>
      <c r="B9" s="14" t="s">
        <v>2459</v>
      </c>
      <c r="C9" s="14" t="s">
        <v>2460</v>
      </c>
      <c r="D9" s="17">
        <v>44138</v>
      </c>
      <c r="E9" s="14" t="s">
        <v>30</v>
      </c>
      <c r="F9" s="14">
        <v>41</v>
      </c>
      <c r="G9" s="14">
        <v>7</v>
      </c>
      <c r="H9" s="14">
        <v>7</v>
      </c>
      <c r="I9" s="14">
        <v>4</v>
      </c>
      <c r="J9" s="14" t="s">
        <v>31</v>
      </c>
      <c r="K9" s="14" cm="1">
        <f t="array" ref="K9">INT(SUMPRODUCT(--ISNUMBER(SEARCH(economy,C9)))&gt;0)</f>
        <v>0</v>
      </c>
      <c r="L9" s="14" cm="1">
        <f t="array" ref="L9">INT(SUMPRODUCT(--ISNUMBER(SEARCH(healthcare,C9)))&gt;0)</f>
        <v>0</v>
      </c>
      <c r="M9" s="14" cm="1">
        <f t="array" ref="M9">INT(SUMPRODUCT(--ISNUMBER(SEARCH(supreme,C9)))&gt;0)</f>
        <v>0</v>
      </c>
      <c r="N9" s="14" cm="1">
        <f t="array" ref="N9">INT(SUMPRODUCT(--ISNUMBER(SEARCH(covid,C9)))&gt;0)</f>
        <v>0</v>
      </c>
      <c r="O9" s="14" cm="1">
        <f t="array" ref="O9">INT(SUMPRODUCT(--ISNUMBER(SEARCH(violent,C9)))&gt;0)</f>
        <v>0</v>
      </c>
      <c r="P9" s="14" cm="1">
        <f t="array" ref="P9">INT(SUMPRODUCT(--ISNUMBER(SEARCH(foreign,C9)))&gt;0)</f>
        <v>0</v>
      </c>
      <c r="Q9" s="14" cm="1">
        <f t="array" ref="Q9">INT(SUMPRODUCT(--ISNUMBER(SEARCH(gun,C9)))&gt;0)</f>
        <v>0</v>
      </c>
      <c r="R9" s="14" cm="1">
        <f t="array" ref="R9">INT(SUMPRODUCT(--ISNUMBER(SEARCH(race,C9)))&gt;0)</f>
        <v>0</v>
      </c>
      <c r="S9" s="14" cm="1">
        <f t="array" ref="S9">INT(SUMPRODUCT(--ISNUMBER(SEARCH(immigration,C9)))&gt;0)</f>
        <v>0</v>
      </c>
      <c r="T9" s="14" cm="1">
        <f t="array" ref="T9">INT(SUMPRODUCT(--ISNUMBER(SEARCH(econineq,C10)))&gt;0)</f>
        <v>0</v>
      </c>
      <c r="U9" s="14" cm="1">
        <f t="array" ref="U9">INT(SUMPRODUCT(--ISNUMBER(SEARCH(climate,C9)))&gt;0)</f>
        <v>0</v>
      </c>
      <c r="V9" s="14" cm="1">
        <f t="array" ref="V9">INT(SUMPRODUCT(--ISNUMBER(SEARCH(abortion,C9)))&gt;0)</f>
        <v>0</v>
      </c>
      <c r="W9" s="14" cm="1">
        <f t="array" ref="W9">INT(SUMPRODUCT(--ISNUMBER(SEARCH(trump,C9)))&gt;0)</f>
        <v>0</v>
      </c>
      <c r="X9" s="14" cm="1">
        <f t="array" ref="X9">INT(SUMPRODUCT(--ISNUMBER(SEARCH(voting,C9)))&gt;0)</f>
        <v>0</v>
      </c>
      <c r="Y9" s="14" cm="1">
        <f t="array" ref="Y9">INT(SUMPRODUCT(--ISNUMBER(SEARCH(republicantrigger,C9)))&gt;0)</f>
        <v>0</v>
      </c>
      <c r="Z9" s="14" cm="1">
        <f t="array" ref="Z9">INT(SUMPRODUCT(--ISNUMBER(SEARCH(bipartisan,C9)))&gt;0)</f>
        <v>0</v>
      </c>
      <c r="AA9" s="14">
        <f t="shared" si="0"/>
        <v>1</v>
      </c>
      <c r="AB9" s="14"/>
      <c r="AC9" s="30">
        <v>1</v>
      </c>
      <c r="AD9" s="37">
        <v>0</v>
      </c>
    </row>
    <row r="10" spans="1:30" x14ac:dyDescent="0.25">
      <c r="A10" s="36">
        <v>1217</v>
      </c>
      <c r="B10" s="14" t="s">
        <v>2461</v>
      </c>
      <c r="C10" s="14" t="s">
        <v>2462</v>
      </c>
      <c r="D10" s="17">
        <v>44138</v>
      </c>
      <c r="E10" s="14" t="s">
        <v>30</v>
      </c>
      <c r="F10" s="14">
        <v>48</v>
      </c>
      <c r="G10" s="14">
        <v>8</v>
      </c>
      <c r="H10" s="14">
        <v>7</v>
      </c>
      <c r="I10" s="14">
        <v>4</v>
      </c>
      <c r="J10" s="14" t="s">
        <v>31</v>
      </c>
      <c r="K10" s="14" cm="1">
        <f t="array" ref="K10">INT(SUMPRODUCT(--ISNUMBER(SEARCH(economy,C10)))&gt;0)</f>
        <v>0</v>
      </c>
      <c r="L10" s="14" cm="1">
        <f t="array" ref="L10">INT(SUMPRODUCT(--ISNUMBER(SEARCH(healthcare,C10)))&gt;0)</f>
        <v>0</v>
      </c>
      <c r="M10" s="14" cm="1">
        <f t="array" ref="M10">INT(SUMPRODUCT(--ISNUMBER(SEARCH(supreme,C10)))&gt;0)</f>
        <v>0</v>
      </c>
      <c r="N10" s="14" cm="1">
        <f t="array" ref="N10">INT(SUMPRODUCT(--ISNUMBER(SEARCH(covid,C10)))&gt;0)</f>
        <v>0</v>
      </c>
      <c r="O10" s="14" cm="1">
        <f t="array" ref="O10">INT(SUMPRODUCT(--ISNUMBER(SEARCH(violent,C10)))&gt;0)</f>
        <v>0</v>
      </c>
      <c r="P10" s="14" cm="1">
        <f t="array" ref="P10">INT(SUMPRODUCT(--ISNUMBER(SEARCH(foreign,C10)))&gt;0)</f>
        <v>0</v>
      </c>
      <c r="Q10" s="14" cm="1">
        <f t="array" ref="Q10">INT(SUMPRODUCT(--ISNUMBER(SEARCH(gun,C10)))&gt;0)</f>
        <v>0</v>
      </c>
      <c r="R10" s="14" cm="1">
        <f t="array" ref="R10">INT(SUMPRODUCT(--ISNUMBER(SEARCH(race,C10)))&gt;0)</f>
        <v>0</v>
      </c>
      <c r="S10" s="14" cm="1">
        <f t="array" ref="S10">INT(SUMPRODUCT(--ISNUMBER(SEARCH(immigration,C10)))&gt;0)</f>
        <v>0</v>
      </c>
      <c r="T10" s="14" cm="1">
        <f t="array" ref="T10">INT(SUMPRODUCT(--ISNUMBER(SEARCH(econineq,C11)))&gt;0)</f>
        <v>0</v>
      </c>
      <c r="U10" s="14" cm="1">
        <f t="array" ref="U10">INT(SUMPRODUCT(--ISNUMBER(SEARCH(climate,C10)))&gt;0)</f>
        <v>0</v>
      </c>
      <c r="V10" s="14" cm="1">
        <f t="array" ref="V10">INT(SUMPRODUCT(--ISNUMBER(SEARCH(abortion,C10)))&gt;0)</f>
        <v>0</v>
      </c>
      <c r="W10" s="14" cm="1">
        <f t="array" ref="W10">INT(SUMPRODUCT(--ISNUMBER(SEARCH(trump,C10)))&gt;0)</f>
        <v>0</v>
      </c>
      <c r="X10" s="14" cm="1">
        <f t="array" ref="X10">INT(SUMPRODUCT(--ISNUMBER(SEARCH(voting,C10)))&gt;0)</f>
        <v>0</v>
      </c>
      <c r="Y10" s="14" cm="1">
        <f t="array" ref="Y10">INT(SUMPRODUCT(--ISNUMBER(SEARCH(republicantrigger,C10)))&gt;0)</f>
        <v>0</v>
      </c>
      <c r="Z10" s="14" cm="1">
        <f t="array" ref="Z10">INT(SUMPRODUCT(--ISNUMBER(SEARCH(bipartisan,C10)))&gt;0)</f>
        <v>0</v>
      </c>
      <c r="AA10" s="14">
        <f t="shared" si="0"/>
        <v>1</v>
      </c>
      <c r="AB10" s="14"/>
      <c r="AC10" s="30">
        <v>1</v>
      </c>
      <c r="AD10" s="37">
        <v>0</v>
      </c>
    </row>
    <row r="11" spans="1:30" x14ac:dyDescent="0.25">
      <c r="A11" s="36">
        <v>1218</v>
      </c>
      <c r="B11" s="14" t="s">
        <v>2463</v>
      </c>
      <c r="C11" s="14" t="s">
        <v>2464</v>
      </c>
      <c r="D11" s="17">
        <v>44138</v>
      </c>
      <c r="E11" s="14" t="s">
        <v>30</v>
      </c>
      <c r="F11" s="14">
        <v>67</v>
      </c>
      <c r="G11" s="14">
        <v>6</v>
      </c>
      <c r="H11" s="14">
        <v>7</v>
      </c>
      <c r="I11" s="14">
        <v>4</v>
      </c>
      <c r="J11" s="14" t="s">
        <v>31</v>
      </c>
      <c r="K11" s="14" cm="1">
        <f t="array" ref="K11">INT(SUMPRODUCT(--ISNUMBER(SEARCH(economy,C11)))&gt;0)</f>
        <v>0</v>
      </c>
      <c r="L11" s="14" cm="1">
        <f t="array" ref="L11">INT(SUMPRODUCT(--ISNUMBER(SEARCH(healthcare,C11)))&gt;0)</f>
        <v>0</v>
      </c>
      <c r="M11" s="14" cm="1">
        <f t="array" ref="M11">INT(SUMPRODUCT(--ISNUMBER(SEARCH(supreme,C11)))&gt;0)</f>
        <v>0</v>
      </c>
      <c r="N11" s="14" cm="1">
        <f t="array" ref="N11">INT(SUMPRODUCT(--ISNUMBER(SEARCH(covid,C11)))&gt;0)</f>
        <v>0</v>
      </c>
      <c r="O11" s="14" cm="1">
        <f t="array" ref="O11">INT(SUMPRODUCT(--ISNUMBER(SEARCH(violent,C11)))&gt;0)</f>
        <v>0</v>
      </c>
      <c r="P11" s="14" cm="1">
        <f t="array" ref="P11">INT(SUMPRODUCT(--ISNUMBER(SEARCH(foreign,C11)))&gt;0)</f>
        <v>0</v>
      </c>
      <c r="Q11" s="14" cm="1">
        <f t="array" ref="Q11">INT(SUMPRODUCT(--ISNUMBER(SEARCH(gun,C11)))&gt;0)</f>
        <v>0</v>
      </c>
      <c r="R11" s="14" cm="1">
        <f t="array" ref="R11">INT(SUMPRODUCT(--ISNUMBER(SEARCH(race,C11)))&gt;0)</f>
        <v>0</v>
      </c>
      <c r="S11" s="14" cm="1">
        <f t="array" ref="S11">INT(SUMPRODUCT(--ISNUMBER(SEARCH(immigration,C11)))&gt;0)</f>
        <v>0</v>
      </c>
      <c r="T11" s="14" cm="1">
        <f t="array" ref="T11">INT(SUMPRODUCT(--ISNUMBER(SEARCH(econineq,C12)))&gt;0)</f>
        <v>0</v>
      </c>
      <c r="U11" s="14" cm="1">
        <f t="array" ref="U11">INT(SUMPRODUCT(--ISNUMBER(SEARCH(climate,C11)))&gt;0)</f>
        <v>0</v>
      </c>
      <c r="V11" s="14" cm="1">
        <f t="array" ref="V11">INT(SUMPRODUCT(--ISNUMBER(SEARCH(abortion,C11)))&gt;0)</f>
        <v>0</v>
      </c>
      <c r="W11" s="14" cm="1">
        <f t="array" ref="W11">INT(SUMPRODUCT(--ISNUMBER(SEARCH(trump,C11)))&gt;0)</f>
        <v>0</v>
      </c>
      <c r="X11" s="14" cm="1">
        <f t="array" ref="X11">INT(SUMPRODUCT(--ISNUMBER(SEARCH(voting,C11)))&gt;0)</f>
        <v>0</v>
      </c>
      <c r="Y11" s="14" cm="1">
        <f t="array" ref="Y11">INT(SUMPRODUCT(--ISNUMBER(SEARCH(republicantrigger,C11)))&gt;0)</f>
        <v>0</v>
      </c>
      <c r="Z11" s="14" cm="1">
        <f t="array" ref="Z11">INT(SUMPRODUCT(--ISNUMBER(SEARCH(bipartisan,C11)))&gt;0)</f>
        <v>0</v>
      </c>
      <c r="AA11" s="14">
        <f t="shared" si="0"/>
        <v>1</v>
      </c>
      <c r="AB11" s="14"/>
      <c r="AC11" s="30">
        <v>1</v>
      </c>
      <c r="AD11" s="37">
        <v>0</v>
      </c>
    </row>
    <row r="12" spans="1:30" x14ac:dyDescent="0.25">
      <c r="A12" s="36">
        <v>1219</v>
      </c>
      <c r="B12" s="14" t="s">
        <v>2465</v>
      </c>
      <c r="C12" s="14" t="s">
        <v>2466</v>
      </c>
      <c r="D12" s="17">
        <v>44138</v>
      </c>
      <c r="E12" s="14" t="s">
        <v>30</v>
      </c>
      <c r="F12" s="14">
        <v>64</v>
      </c>
      <c r="G12" s="14">
        <v>10</v>
      </c>
      <c r="H12" s="14">
        <v>7</v>
      </c>
      <c r="I12" s="14">
        <v>4</v>
      </c>
      <c r="J12" s="14" t="s">
        <v>31</v>
      </c>
      <c r="K12" s="14" cm="1">
        <f t="array" ref="K12">INT(SUMPRODUCT(--ISNUMBER(SEARCH(economy,C12)))&gt;0)</f>
        <v>0</v>
      </c>
      <c r="L12" s="14" cm="1">
        <f t="array" ref="L12">INT(SUMPRODUCT(--ISNUMBER(SEARCH(healthcare,C12)))&gt;0)</f>
        <v>0</v>
      </c>
      <c r="M12" s="14" cm="1">
        <f t="array" ref="M12">INT(SUMPRODUCT(--ISNUMBER(SEARCH(supreme,C12)))&gt;0)</f>
        <v>0</v>
      </c>
      <c r="N12" s="14" cm="1">
        <f t="array" ref="N12">INT(SUMPRODUCT(--ISNUMBER(SEARCH(covid,C12)))&gt;0)</f>
        <v>0</v>
      </c>
      <c r="O12" s="14" cm="1">
        <f t="array" ref="O12">INT(SUMPRODUCT(--ISNUMBER(SEARCH(violent,C12)))&gt;0)</f>
        <v>0</v>
      </c>
      <c r="P12" s="14" cm="1">
        <f t="array" ref="P12">INT(SUMPRODUCT(--ISNUMBER(SEARCH(foreign,C12)))&gt;0)</f>
        <v>0</v>
      </c>
      <c r="Q12" s="14" cm="1">
        <f t="array" ref="Q12">INT(SUMPRODUCT(--ISNUMBER(SEARCH(gun,C12)))&gt;0)</f>
        <v>0</v>
      </c>
      <c r="R12" s="14" cm="1">
        <f t="array" ref="R12">INT(SUMPRODUCT(--ISNUMBER(SEARCH(race,C12)))&gt;0)</f>
        <v>0</v>
      </c>
      <c r="S12" s="14" cm="1">
        <f t="array" ref="S12">INT(SUMPRODUCT(--ISNUMBER(SEARCH(immigration,C12)))&gt;0)</f>
        <v>0</v>
      </c>
      <c r="T12" s="14" cm="1">
        <f t="array" ref="T12">INT(SUMPRODUCT(--ISNUMBER(SEARCH(econineq,C13)))&gt;0)</f>
        <v>0</v>
      </c>
      <c r="U12" s="14" cm="1">
        <f t="array" ref="U12">INT(SUMPRODUCT(--ISNUMBER(SEARCH(climate,C12)))&gt;0)</f>
        <v>0</v>
      </c>
      <c r="V12" s="14" cm="1">
        <f t="array" ref="V12">INT(SUMPRODUCT(--ISNUMBER(SEARCH(abortion,C12)))&gt;0)</f>
        <v>0</v>
      </c>
      <c r="W12" s="14" cm="1">
        <f t="array" ref="W12">INT(SUMPRODUCT(--ISNUMBER(SEARCH(trump,C12)))&gt;0)</f>
        <v>0</v>
      </c>
      <c r="X12" s="14" cm="1">
        <f t="array" ref="X12">INT(SUMPRODUCT(--ISNUMBER(SEARCH(voting,C12)))&gt;0)</f>
        <v>1</v>
      </c>
      <c r="Y12" s="14" cm="1">
        <f t="array" ref="Y12">INT(SUMPRODUCT(--ISNUMBER(SEARCH(republicantrigger,C12)))&gt;0)</f>
        <v>0</v>
      </c>
      <c r="Z12" s="14" cm="1">
        <f t="array" ref="Z12">INT(SUMPRODUCT(--ISNUMBER(SEARCH(bipartisan,C12)))&gt;0)</f>
        <v>0</v>
      </c>
      <c r="AA12" s="14">
        <f t="shared" si="0"/>
        <v>0</v>
      </c>
      <c r="AB12" s="14"/>
      <c r="AC12" s="30">
        <v>0</v>
      </c>
      <c r="AD12" s="37">
        <v>1</v>
      </c>
    </row>
    <row r="13" spans="1:30" x14ac:dyDescent="0.25">
      <c r="A13" s="36">
        <v>1220</v>
      </c>
      <c r="B13" s="14" t="s">
        <v>2467</v>
      </c>
      <c r="C13" s="14" t="s">
        <v>2468</v>
      </c>
      <c r="D13" s="17">
        <v>44138</v>
      </c>
      <c r="E13" s="14" t="s">
        <v>30</v>
      </c>
      <c r="F13" s="14">
        <v>67</v>
      </c>
      <c r="G13" s="14">
        <v>10</v>
      </c>
      <c r="H13" s="14">
        <v>7</v>
      </c>
      <c r="I13" s="14">
        <v>4</v>
      </c>
      <c r="J13" s="14" t="s">
        <v>31</v>
      </c>
      <c r="K13" s="14" cm="1">
        <f t="array" ref="K13">INT(SUMPRODUCT(--ISNUMBER(SEARCH(economy,C13)))&gt;0)</f>
        <v>0</v>
      </c>
      <c r="L13" s="14" cm="1">
        <f t="array" ref="L13">INT(SUMPRODUCT(--ISNUMBER(SEARCH(healthcare,C13)))&gt;0)</f>
        <v>0</v>
      </c>
      <c r="M13" s="14" cm="1">
        <f t="array" ref="M13">INT(SUMPRODUCT(--ISNUMBER(SEARCH(supreme,C13)))&gt;0)</f>
        <v>0</v>
      </c>
      <c r="N13" s="14" cm="1">
        <f t="array" ref="N13">INT(SUMPRODUCT(--ISNUMBER(SEARCH(covid,C13)))&gt;0)</f>
        <v>0</v>
      </c>
      <c r="O13" s="14" cm="1">
        <f t="array" ref="O13">INT(SUMPRODUCT(--ISNUMBER(SEARCH(violent,C13)))&gt;0)</f>
        <v>0</v>
      </c>
      <c r="P13" s="14" cm="1">
        <f t="array" ref="P13">INT(SUMPRODUCT(--ISNUMBER(SEARCH(foreign,C13)))&gt;0)</f>
        <v>0</v>
      </c>
      <c r="Q13" s="14" cm="1">
        <f t="array" ref="Q13">INT(SUMPRODUCT(--ISNUMBER(SEARCH(gun,C13)))&gt;0)</f>
        <v>0</v>
      </c>
      <c r="R13" s="14" cm="1">
        <f t="array" ref="R13">INT(SUMPRODUCT(--ISNUMBER(SEARCH(race,C13)))&gt;0)</f>
        <v>0</v>
      </c>
      <c r="S13" s="14" cm="1">
        <f t="array" ref="S13">INT(SUMPRODUCT(--ISNUMBER(SEARCH(immigration,C13)))&gt;0)</f>
        <v>0</v>
      </c>
      <c r="T13" s="14" cm="1">
        <f t="array" ref="T13">INT(SUMPRODUCT(--ISNUMBER(SEARCH(econineq,C14)))&gt;0)</f>
        <v>0</v>
      </c>
      <c r="U13" s="14" cm="1">
        <f t="array" ref="U13">INT(SUMPRODUCT(--ISNUMBER(SEARCH(climate,C13)))&gt;0)</f>
        <v>0</v>
      </c>
      <c r="V13" s="14" cm="1">
        <f t="array" ref="V13">INT(SUMPRODUCT(--ISNUMBER(SEARCH(abortion,C13)))&gt;0)</f>
        <v>0</v>
      </c>
      <c r="W13" s="14" cm="1">
        <f t="array" ref="W13">INT(SUMPRODUCT(--ISNUMBER(SEARCH(trump,C13)))&gt;0)</f>
        <v>0</v>
      </c>
      <c r="X13" s="14" cm="1">
        <f t="array" ref="X13">INT(SUMPRODUCT(--ISNUMBER(SEARCH(voting,C13)))&gt;0)</f>
        <v>0</v>
      </c>
      <c r="Y13" s="14" cm="1">
        <f t="array" ref="Y13">INT(SUMPRODUCT(--ISNUMBER(SEARCH(republicantrigger,C13)))&gt;0)</f>
        <v>0</v>
      </c>
      <c r="Z13" s="14" cm="1">
        <f t="array" ref="Z13">INT(SUMPRODUCT(--ISNUMBER(SEARCH(bipartisan,C13)))&gt;0)</f>
        <v>0</v>
      </c>
      <c r="AA13" s="14">
        <f t="shared" si="0"/>
        <v>1</v>
      </c>
      <c r="AB13" s="14"/>
      <c r="AC13" s="30">
        <v>0</v>
      </c>
      <c r="AD13" s="37">
        <v>1</v>
      </c>
    </row>
    <row r="14" spans="1:30" x14ac:dyDescent="0.25">
      <c r="A14" s="36">
        <v>1221</v>
      </c>
      <c r="B14" s="14" t="s">
        <v>2469</v>
      </c>
      <c r="C14" s="14" t="s">
        <v>2470</v>
      </c>
      <c r="D14" s="17">
        <v>44138</v>
      </c>
      <c r="E14" s="14" t="s">
        <v>30</v>
      </c>
      <c r="F14" s="14">
        <v>56</v>
      </c>
      <c r="G14" s="14">
        <v>19</v>
      </c>
      <c r="H14" s="14">
        <v>7</v>
      </c>
      <c r="I14" s="14">
        <v>4</v>
      </c>
      <c r="J14" s="14" t="s">
        <v>31</v>
      </c>
      <c r="K14" s="14" cm="1">
        <f t="array" ref="K14">INT(SUMPRODUCT(--ISNUMBER(SEARCH(economy,C14)))&gt;0)</f>
        <v>0</v>
      </c>
      <c r="L14" s="14" cm="1">
        <f t="array" ref="L14">INT(SUMPRODUCT(--ISNUMBER(SEARCH(healthcare,C14)))&gt;0)</f>
        <v>0</v>
      </c>
      <c r="M14" s="14" cm="1">
        <f t="array" ref="M14">INT(SUMPRODUCT(--ISNUMBER(SEARCH(supreme,C14)))&gt;0)</f>
        <v>0</v>
      </c>
      <c r="N14" s="14" cm="1">
        <f t="array" ref="N14">INT(SUMPRODUCT(--ISNUMBER(SEARCH(covid,C14)))&gt;0)</f>
        <v>0</v>
      </c>
      <c r="O14" s="14" cm="1">
        <f t="array" ref="O14">INT(SUMPRODUCT(--ISNUMBER(SEARCH(violent,C14)))&gt;0)</f>
        <v>0</v>
      </c>
      <c r="P14" s="14" cm="1">
        <f t="array" ref="P14">INT(SUMPRODUCT(--ISNUMBER(SEARCH(foreign,C14)))&gt;0)</f>
        <v>0</v>
      </c>
      <c r="Q14" s="14" cm="1">
        <f t="array" ref="Q14">INT(SUMPRODUCT(--ISNUMBER(SEARCH(gun,C14)))&gt;0)</f>
        <v>0</v>
      </c>
      <c r="R14" s="14" cm="1">
        <f t="array" ref="R14">INT(SUMPRODUCT(--ISNUMBER(SEARCH(race,C14)))&gt;0)</f>
        <v>0</v>
      </c>
      <c r="S14" s="14" cm="1">
        <f t="array" ref="S14">INT(SUMPRODUCT(--ISNUMBER(SEARCH(immigration,C14)))&gt;0)</f>
        <v>0</v>
      </c>
      <c r="T14" s="14" cm="1">
        <f t="array" ref="T14">INT(SUMPRODUCT(--ISNUMBER(SEARCH(econineq,C15)))&gt;0)</f>
        <v>0</v>
      </c>
      <c r="U14" s="14" cm="1">
        <f t="array" ref="U14">INT(SUMPRODUCT(--ISNUMBER(SEARCH(climate,C14)))&gt;0)</f>
        <v>0</v>
      </c>
      <c r="V14" s="14" cm="1">
        <f t="array" ref="V14">INT(SUMPRODUCT(--ISNUMBER(SEARCH(abortion,C14)))&gt;0)</f>
        <v>0</v>
      </c>
      <c r="W14" s="14" cm="1">
        <f t="array" ref="W14">INT(SUMPRODUCT(--ISNUMBER(SEARCH(trump,C14)))&gt;0)</f>
        <v>0</v>
      </c>
      <c r="X14" s="14" cm="1">
        <f t="array" ref="X14">INT(SUMPRODUCT(--ISNUMBER(SEARCH(voting,C14)))&gt;0)</f>
        <v>1</v>
      </c>
      <c r="Y14" s="14" cm="1">
        <f t="array" ref="Y14">INT(SUMPRODUCT(--ISNUMBER(SEARCH(republicantrigger,C14)))&gt;0)</f>
        <v>0</v>
      </c>
      <c r="Z14" s="14" cm="1">
        <f t="array" ref="Z14">INT(SUMPRODUCT(--ISNUMBER(SEARCH(bipartisan,C14)))&gt;0)</f>
        <v>0</v>
      </c>
      <c r="AA14" s="14">
        <f t="shared" si="0"/>
        <v>0</v>
      </c>
      <c r="AB14" s="14"/>
      <c r="AC14" s="30">
        <v>0</v>
      </c>
      <c r="AD14" s="37">
        <v>1</v>
      </c>
    </row>
    <row r="15" spans="1:30" x14ac:dyDescent="0.25">
      <c r="A15" s="36">
        <v>1222</v>
      </c>
      <c r="B15" s="14" t="s">
        <v>2471</v>
      </c>
      <c r="C15" s="14" t="s">
        <v>2472</v>
      </c>
      <c r="D15" s="17">
        <v>44138</v>
      </c>
      <c r="E15" s="14" t="s">
        <v>30</v>
      </c>
      <c r="F15" s="14">
        <v>58</v>
      </c>
      <c r="G15" s="14">
        <v>5</v>
      </c>
      <c r="H15" s="14">
        <v>7</v>
      </c>
      <c r="I15" s="14">
        <v>4</v>
      </c>
      <c r="J15" s="14" t="s">
        <v>31</v>
      </c>
      <c r="K15" s="14" cm="1">
        <f t="array" ref="K15">INT(SUMPRODUCT(--ISNUMBER(SEARCH(economy,C15)))&gt;0)</f>
        <v>0</v>
      </c>
      <c r="L15" s="14" cm="1">
        <f t="array" ref="L15">INT(SUMPRODUCT(--ISNUMBER(SEARCH(healthcare,C15)))&gt;0)</f>
        <v>0</v>
      </c>
      <c r="M15" s="14" cm="1">
        <f t="array" ref="M15">INT(SUMPRODUCT(--ISNUMBER(SEARCH(supreme,C15)))&gt;0)</f>
        <v>0</v>
      </c>
      <c r="N15" s="14" cm="1">
        <f t="array" ref="N15">INT(SUMPRODUCT(--ISNUMBER(SEARCH(covid,C15)))&gt;0)</f>
        <v>0</v>
      </c>
      <c r="O15" s="14" cm="1">
        <f t="array" ref="O15">INT(SUMPRODUCT(--ISNUMBER(SEARCH(violent,C15)))&gt;0)</f>
        <v>0</v>
      </c>
      <c r="P15" s="14" cm="1">
        <f t="array" ref="P15">INT(SUMPRODUCT(--ISNUMBER(SEARCH(foreign,C15)))&gt;0)</f>
        <v>1</v>
      </c>
      <c r="Q15" s="14" cm="1">
        <f t="array" ref="Q15">INT(SUMPRODUCT(--ISNUMBER(SEARCH(gun,C15)))&gt;0)</f>
        <v>0</v>
      </c>
      <c r="R15" s="14" cm="1">
        <f t="array" ref="R15">INT(SUMPRODUCT(--ISNUMBER(SEARCH(race,C15)))&gt;0)</f>
        <v>0</v>
      </c>
      <c r="S15" s="14" cm="1">
        <f t="array" ref="S15">INT(SUMPRODUCT(--ISNUMBER(SEARCH(immigration,C15)))&gt;0)</f>
        <v>0</v>
      </c>
      <c r="T15" s="14" cm="1">
        <f t="array" ref="T15">INT(SUMPRODUCT(--ISNUMBER(SEARCH(econineq,C16)))&gt;0)</f>
        <v>0</v>
      </c>
      <c r="U15" s="14" cm="1">
        <f t="array" ref="U15">INT(SUMPRODUCT(--ISNUMBER(SEARCH(climate,C15)))&gt;0)</f>
        <v>0</v>
      </c>
      <c r="V15" s="14" cm="1">
        <f t="array" ref="V15">INT(SUMPRODUCT(--ISNUMBER(SEARCH(abortion,C15)))&gt;0)</f>
        <v>0</v>
      </c>
      <c r="W15" s="14" cm="1">
        <f t="array" ref="W15">INT(SUMPRODUCT(--ISNUMBER(SEARCH(trump,C15)))&gt;0)</f>
        <v>0</v>
      </c>
      <c r="X15" s="14" cm="1">
        <f t="array" ref="X15">INT(SUMPRODUCT(--ISNUMBER(SEARCH(voting,C15)))&gt;0)</f>
        <v>0</v>
      </c>
      <c r="Y15" s="14" cm="1">
        <f t="array" ref="Y15">INT(SUMPRODUCT(--ISNUMBER(SEARCH(republicantrigger,C15)))&gt;0)</f>
        <v>0</v>
      </c>
      <c r="Z15" s="14" cm="1">
        <f t="array" ref="Z15">INT(SUMPRODUCT(--ISNUMBER(SEARCH(bipartisan,C15)))&gt;0)</f>
        <v>0</v>
      </c>
      <c r="AA15" s="14">
        <f t="shared" si="0"/>
        <v>0</v>
      </c>
      <c r="AB15" s="14"/>
      <c r="AC15" s="30">
        <v>1</v>
      </c>
      <c r="AD15" s="37">
        <v>0</v>
      </c>
    </row>
    <row r="16" spans="1:30" x14ac:dyDescent="0.25">
      <c r="A16" s="36">
        <v>1223</v>
      </c>
      <c r="B16" s="14" t="s">
        <v>2473</v>
      </c>
      <c r="C16" s="14" t="s">
        <v>2474</v>
      </c>
      <c r="D16" s="17">
        <v>44137</v>
      </c>
      <c r="E16" s="14" t="s">
        <v>30</v>
      </c>
      <c r="F16" s="14">
        <v>32</v>
      </c>
      <c r="G16" s="14">
        <v>3</v>
      </c>
      <c r="H16" s="14">
        <v>7</v>
      </c>
      <c r="I16" s="14">
        <v>4</v>
      </c>
      <c r="J16" s="14" t="s">
        <v>31</v>
      </c>
      <c r="K16" s="14" cm="1">
        <f t="array" ref="K16">INT(SUMPRODUCT(--ISNUMBER(SEARCH(economy,C16)))&gt;0)</f>
        <v>0</v>
      </c>
      <c r="L16" s="14" cm="1">
        <f t="array" ref="L16">INT(SUMPRODUCT(--ISNUMBER(SEARCH(healthcare,C16)))&gt;0)</f>
        <v>0</v>
      </c>
      <c r="M16" s="14" cm="1">
        <f t="array" ref="M16">INT(SUMPRODUCT(--ISNUMBER(SEARCH(supreme,C16)))&gt;0)</f>
        <v>0</v>
      </c>
      <c r="N16" s="14" cm="1">
        <f t="array" ref="N16">INT(SUMPRODUCT(--ISNUMBER(SEARCH(covid,C16)))&gt;0)</f>
        <v>0</v>
      </c>
      <c r="O16" s="14" cm="1">
        <f t="array" ref="O16">INT(SUMPRODUCT(--ISNUMBER(SEARCH(violent,C16)))&gt;0)</f>
        <v>0</v>
      </c>
      <c r="P16" s="14" cm="1">
        <f t="array" ref="P16">INT(SUMPRODUCT(--ISNUMBER(SEARCH(foreign,C16)))&gt;0)</f>
        <v>0</v>
      </c>
      <c r="Q16" s="14" cm="1">
        <f t="array" ref="Q16">INT(SUMPRODUCT(--ISNUMBER(SEARCH(gun,C16)))&gt;0)</f>
        <v>0</v>
      </c>
      <c r="R16" s="14" cm="1">
        <f t="array" ref="R16">INT(SUMPRODUCT(--ISNUMBER(SEARCH(race,C16)))&gt;0)</f>
        <v>0</v>
      </c>
      <c r="S16" s="14" cm="1">
        <f t="array" ref="S16">INT(SUMPRODUCT(--ISNUMBER(SEARCH(immigration,C16)))&gt;0)</f>
        <v>0</v>
      </c>
      <c r="T16" s="14" cm="1">
        <f t="array" ref="T16">INT(SUMPRODUCT(--ISNUMBER(SEARCH(econineq,C17)))&gt;0)</f>
        <v>0</v>
      </c>
      <c r="U16" s="14" cm="1">
        <f t="array" ref="U16">INT(SUMPRODUCT(--ISNUMBER(SEARCH(climate,C16)))&gt;0)</f>
        <v>0</v>
      </c>
      <c r="V16" s="14" cm="1">
        <f t="array" ref="V16">INT(SUMPRODUCT(--ISNUMBER(SEARCH(abortion,C16)))&gt;0)</f>
        <v>0</v>
      </c>
      <c r="W16" s="14" cm="1">
        <f t="array" ref="W16">INT(SUMPRODUCT(--ISNUMBER(SEARCH(trump,C16)))&gt;0)</f>
        <v>0</v>
      </c>
      <c r="X16" s="14" cm="1">
        <f t="array" ref="X16">INT(SUMPRODUCT(--ISNUMBER(SEARCH(voting,C16)))&gt;0)</f>
        <v>0</v>
      </c>
      <c r="Y16" s="14" cm="1">
        <f t="array" ref="Y16">INT(SUMPRODUCT(--ISNUMBER(SEARCH(republicantrigger,C16)))&gt;0)</f>
        <v>0</v>
      </c>
      <c r="Z16" s="14" cm="1">
        <f t="array" ref="Z16">INT(SUMPRODUCT(--ISNUMBER(SEARCH(bipartisan,C16)))&gt;0)</f>
        <v>0</v>
      </c>
      <c r="AA16" s="14">
        <f t="shared" si="0"/>
        <v>1</v>
      </c>
      <c r="AB16" s="14"/>
      <c r="AC16" s="30">
        <v>1</v>
      </c>
      <c r="AD16" s="37">
        <v>0</v>
      </c>
    </row>
    <row r="17" spans="1:30" x14ac:dyDescent="0.25">
      <c r="A17" s="36">
        <v>1224</v>
      </c>
      <c r="B17" s="14" t="s">
        <v>2475</v>
      </c>
      <c r="C17" s="14" t="s">
        <v>2476</v>
      </c>
      <c r="D17" s="17">
        <v>44137</v>
      </c>
      <c r="E17" s="14" t="s">
        <v>30</v>
      </c>
      <c r="F17" s="14">
        <v>73</v>
      </c>
      <c r="G17" s="14">
        <v>8</v>
      </c>
      <c r="H17" s="14">
        <v>7</v>
      </c>
      <c r="I17" s="14">
        <v>4</v>
      </c>
      <c r="J17" s="14" t="s">
        <v>31</v>
      </c>
      <c r="K17" s="14" cm="1">
        <f t="array" ref="K17">INT(SUMPRODUCT(--ISNUMBER(SEARCH(economy,C17)))&gt;0)</f>
        <v>0</v>
      </c>
      <c r="L17" s="14" cm="1">
        <f t="array" ref="L17">INT(SUMPRODUCT(--ISNUMBER(SEARCH(healthcare,C17)))&gt;0)</f>
        <v>0</v>
      </c>
      <c r="M17" s="14" cm="1">
        <f t="array" ref="M17">INT(SUMPRODUCT(--ISNUMBER(SEARCH(supreme,C17)))&gt;0)</f>
        <v>0</v>
      </c>
      <c r="N17" s="14" cm="1">
        <f t="array" ref="N17">INT(SUMPRODUCT(--ISNUMBER(SEARCH(covid,C17)))&gt;0)</f>
        <v>0</v>
      </c>
      <c r="O17" s="14" cm="1">
        <f t="array" ref="O17">INT(SUMPRODUCT(--ISNUMBER(SEARCH(violent,C17)))&gt;0)</f>
        <v>0</v>
      </c>
      <c r="P17" s="14" cm="1">
        <f t="array" ref="P17">INT(SUMPRODUCT(--ISNUMBER(SEARCH(foreign,C17)))&gt;0)</f>
        <v>0</v>
      </c>
      <c r="Q17" s="14" cm="1">
        <f t="array" ref="Q17">INT(SUMPRODUCT(--ISNUMBER(SEARCH(gun,C17)))&gt;0)</f>
        <v>0</v>
      </c>
      <c r="R17" s="14" cm="1">
        <f t="array" ref="R17">INT(SUMPRODUCT(--ISNUMBER(SEARCH(race,C17)))&gt;0)</f>
        <v>0</v>
      </c>
      <c r="S17" s="14" cm="1">
        <f t="array" ref="S17">INT(SUMPRODUCT(--ISNUMBER(SEARCH(immigration,C17)))&gt;0)</f>
        <v>0</v>
      </c>
      <c r="T17" s="14" cm="1">
        <f t="array" ref="T17">INT(SUMPRODUCT(--ISNUMBER(SEARCH(econineq,C18)))&gt;0)</f>
        <v>0</v>
      </c>
      <c r="U17" s="14" cm="1">
        <f t="array" ref="U17">INT(SUMPRODUCT(--ISNUMBER(SEARCH(climate,C17)))&gt;0)</f>
        <v>0</v>
      </c>
      <c r="V17" s="14" cm="1">
        <f t="array" ref="V17">INT(SUMPRODUCT(--ISNUMBER(SEARCH(abortion,C17)))&gt;0)</f>
        <v>0</v>
      </c>
      <c r="W17" s="14" cm="1">
        <f t="array" ref="W17">INT(SUMPRODUCT(--ISNUMBER(SEARCH(trump,C17)))&gt;0)</f>
        <v>0</v>
      </c>
      <c r="X17" s="14" cm="1">
        <f t="array" ref="X17">INT(SUMPRODUCT(--ISNUMBER(SEARCH(voting,C17)))&gt;0)</f>
        <v>1</v>
      </c>
      <c r="Y17" s="14" cm="1">
        <f t="array" ref="Y17">INT(SUMPRODUCT(--ISNUMBER(SEARCH(republicantrigger,C17)))&gt;0)</f>
        <v>0</v>
      </c>
      <c r="Z17" s="14" cm="1">
        <f t="array" ref="Z17">INT(SUMPRODUCT(--ISNUMBER(SEARCH(bipartisan,C17)))&gt;0)</f>
        <v>0</v>
      </c>
      <c r="AA17" s="14">
        <f t="shared" si="0"/>
        <v>0</v>
      </c>
      <c r="AB17" s="14"/>
      <c r="AC17" s="30">
        <v>0</v>
      </c>
      <c r="AD17" s="37">
        <v>1</v>
      </c>
    </row>
    <row r="18" spans="1:30" x14ac:dyDescent="0.25">
      <c r="A18" s="36">
        <v>1225</v>
      </c>
      <c r="B18" s="14" t="s">
        <v>2477</v>
      </c>
      <c r="C18" s="14" t="s">
        <v>2478</v>
      </c>
      <c r="D18" s="17">
        <v>44137</v>
      </c>
      <c r="E18" s="14" t="s">
        <v>30</v>
      </c>
      <c r="F18" s="14">
        <v>45</v>
      </c>
      <c r="G18" s="14">
        <v>4</v>
      </c>
      <c r="H18" s="14">
        <v>7</v>
      </c>
      <c r="I18" s="14">
        <v>4</v>
      </c>
      <c r="J18" s="14" t="s">
        <v>31</v>
      </c>
      <c r="K18" s="14" cm="1">
        <f t="array" ref="K18">INT(SUMPRODUCT(--ISNUMBER(SEARCH(economy,C18)))&gt;0)</f>
        <v>0</v>
      </c>
      <c r="L18" s="14" cm="1">
        <f t="array" ref="L18">INT(SUMPRODUCT(--ISNUMBER(SEARCH(healthcare,C18)))&gt;0)</f>
        <v>0</v>
      </c>
      <c r="M18" s="14" cm="1">
        <f t="array" ref="M18">INT(SUMPRODUCT(--ISNUMBER(SEARCH(supreme,C18)))&gt;0)</f>
        <v>0</v>
      </c>
      <c r="N18" s="14" cm="1">
        <f t="array" ref="N18">INT(SUMPRODUCT(--ISNUMBER(SEARCH(covid,C18)))&gt;0)</f>
        <v>0</v>
      </c>
      <c r="O18" s="14" cm="1">
        <f t="array" ref="O18">INT(SUMPRODUCT(--ISNUMBER(SEARCH(violent,C18)))&gt;0)</f>
        <v>0</v>
      </c>
      <c r="P18" s="14" cm="1">
        <f t="array" ref="P18">INT(SUMPRODUCT(--ISNUMBER(SEARCH(foreign,C18)))&gt;0)</f>
        <v>0</v>
      </c>
      <c r="Q18" s="14" cm="1">
        <f t="array" ref="Q18">INT(SUMPRODUCT(--ISNUMBER(SEARCH(gun,C18)))&gt;0)</f>
        <v>0</v>
      </c>
      <c r="R18" s="14" cm="1">
        <f t="array" ref="R18">INT(SUMPRODUCT(--ISNUMBER(SEARCH(race,C18)))&gt;0)</f>
        <v>0</v>
      </c>
      <c r="S18" s="14" cm="1">
        <f t="array" ref="S18">INT(SUMPRODUCT(--ISNUMBER(SEARCH(immigration,C18)))&gt;0)</f>
        <v>0</v>
      </c>
      <c r="T18" s="14" cm="1">
        <f t="array" ref="T18">INT(SUMPRODUCT(--ISNUMBER(SEARCH(econineq,C19)))&gt;0)</f>
        <v>0</v>
      </c>
      <c r="U18" s="14" cm="1">
        <f t="array" ref="U18">INT(SUMPRODUCT(--ISNUMBER(SEARCH(climate,C18)))&gt;0)</f>
        <v>0</v>
      </c>
      <c r="V18" s="14" cm="1">
        <f t="array" ref="V18">INT(SUMPRODUCT(--ISNUMBER(SEARCH(abortion,C18)))&gt;0)</f>
        <v>0</v>
      </c>
      <c r="W18" s="14" cm="1">
        <f t="array" ref="W18">INT(SUMPRODUCT(--ISNUMBER(SEARCH(trump,C18)))&gt;0)</f>
        <v>0</v>
      </c>
      <c r="X18" s="14" cm="1">
        <f t="array" ref="X18">INT(SUMPRODUCT(--ISNUMBER(SEARCH(voting,C18)))&gt;0)</f>
        <v>0</v>
      </c>
      <c r="Y18" s="14" cm="1">
        <f t="array" ref="Y18">INT(SUMPRODUCT(--ISNUMBER(SEARCH(republicantrigger,C18)))&gt;0)</f>
        <v>0</v>
      </c>
      <c r="Z18" s="14" cm="1">
        <f t="array" ref="Z18">INT(SUMPRODUCT(--ISNUMBER(SEARCH(bipartisan,C18)))&gt;0)</f>
        <v>0</v>
      </c>
      <c r="AA18" s="14">
        <f t="shared" si="0"/>
        <v>1</v>
      </c>
      <c r="AB18" s="14"/>
      <c r="AC18" s="30">
        <v>1</v>
      </c>
      <c r="AD18" s="37">
        <v>0</v>
      </c>
    </row>
    <row r="19" spans="1:30" x14ac:dyDescent="0.25">
      <c r="A19" s="36">
        <v>1226</v>
      </c>
      <c r="B19" s="14" t="s">
        <v>2479</v>
      </c>
      <c r="C19" s="14" t="s">
        <v>2480</v>
      </c>
      <c r="D19" s="17">
        <v>44137</v>
      </c>
      <c r="E19" s="14" t="s">
        <v>30</v>
      </c>
      <c r="F19" s="14">
        <v>32</v>
      </c>
      <c r="G19" s="14">
        <v>9</v>
      </c>
      <c r="H19" s="14">
        <v>7</v>
      </c>
      <c r="I19" s="14">
        <v>4</v>
      </c>
      <c r="J19" s="14" t="s">
        <v>31</v>
      </c>
      <c r="K19" s="14" cm="1">
        <f t="array" ref="K19">INT(SUMPRODUCT(--ISNUMBER(SEARCH(economy,C19)))&gt;0)</f>
        <v>0</v>
      </c>
      <c r="L19" s="14" cm="1">
        <f t="array" ref="L19">INT(SUMPRODUCT(--ISNUMBER(SEARCH(healthcare,C19)))&gt;0)</f>
        <v>0</v>
      </c>
      <c r="M19" s="14" cm="1">
        <f t="array" ref="M19">INT(SUMPRODUCT(--ISNUMBER(SEARCH(supreme,C19)))&gt;0)</f>
        <v>0</v>
      </c>
      <c r="N19" s="14" cm="1">
        <f t="array" ref="N19">INT(SUMPRODUCT(--ISNUMBER(SEARCH(covid,C19)))&gt;0)</f>
        <v>0</v>
      </c>
      <c r="O19" s="14" cm="1">
        <f t="array" ref="O19">INT(SUMPRODUCT(--ISNUMBER(SEARCH(violent,C19)))&gt;0)</f>
        <v>0</v>
      </c>
      <c r="P19" s="14" cm="1">
        <f t="array" ref="P19">INT(SUMPRODUCT(--ISNUMBER(SEARCH(foreign,C19)))&gt;0)</f>
        <v>0</v>
      </c>
      <c r="Q19" s="14" cm="1">
        <f t="array" ref="Q19">INT(SUMPRODUCT(--ISNUMBER(SEARCH(gun,C19)))&gt;0)</f>
        <v>0</v>
      </c>
      <c r="R19" s="14" cm="1">
        <f t="array" ref="R19">INT(SUMPRODUCT(--ISNUMBER(SEARCH(race,C19)))&gt;0)</f>
        <v>0</v>
      </c>
      <c r="S19" s="14" cm="1">
        <f t="array" ref="S19">INT(SUMPRODUCT(--ISNUMBER(SEARCH(immigration,C19)))&gt;0)</f>
        <v>0</v>
      </c>
      <c r="T19" s="14" cm="1">
        <f t="array" ref="T19">INT(SUMPRODUCT(--ISNUMBER(SEARCH(econineq,C20)))&gt;0)</f>
        <v>0</v>
      </c>
      <c r="U19" s="14" cm="1">
        <f t="array" ref="U19">INT(SUMPRODUCT(--ISNUMBER(SEARCH(climate,C19)))&gt;0)</f>
        <v>0</v>
      </c>
      <c r="V19" s="14" cm="1">
        <f t="array" ref="V19">INT(SUMPRODUCT(--ISNUMBER(SEARCH(abortion,C19)))&gt;0)</f>
        <v>0</v>
      </c>
      <c r="W19" s="14" cm="1">
        <f t="array" ref="W19">INT(SUMPRODUCT(--ISNUMBER(SEARCH(trump,C19)))&gt;0)</f>
        <v>0</v>
      </c>
      <c r="X19" s="14" cm="1">
        <f t="array" ref="X19">INT(SUMPRODUCT(--ISNUMBER(SEARCH(voting,C19)))&gt;0)</f>
        <v>0</v>
      </c>
      <c r="Y19" s="14" cm="1">
        <f t="array" ref="Y19">INT(SUMPRODUCT(--ISNUMBER(SEARCH(republicantrigger,C19)))&gt;0)</f>
        <v>0</v>
      </c>
      <c r="Z19" s="14" cm="1">
        <f t="array" ref="Z19">INT(SUMPRODUCT(--ISNUMBER(SEARCH(bipartisan,C19)))&gt;0)</f>
        <v>0</v>
      </c>
      <c r="AA19" s="14">
        <f t="shared" si="0"/>
        <v>1</v>
      </c>
      <c r="AB19" s="14"/>
      <c r="AC19" s="30">
        <v>1</v>
      </c>
      <c r="AD19" s="37">
        <v>0</v>
      </c>
    </row>
    <row r="20" spans="1:30" x14ac:dyDescent="0.25">
      <c r="A20" s="36">
        <v>1227</v>
      </c>
      <c r="B20" s="14" t="s">
        <v>2481</v>
      </c>
      <c r="C20" s="14" t="s">
        <v>2482</v>
      </c>
      <c r="D20" s="17">
        <v>44137</v>
      </c>
      <c r="E20" s="14" t="s">
        <v>30</v>
      </c>
      <c r="F20" s="14">
        <v>55</v>
      </c>
      <c r="G20" s="14">
        <v>6</v>
      </c>
      <c r="H20" s="14">
        <v>7</v>
      </c>
      <c r="I20" s="14">
        <v>4</v>
      </c>
      <c r="J20" s="14" t="s">
        <v>31</v>
      </c>
      <c r="K20" s="14" cm="1">
        <f t="array" ref="K20">INT(SUMPRODUCT(--ISNUMBER(SEARCH(economy,C20)))&gt;0)</f>
        <v>0</v>
      </c>
      <c r="L20" s="14" cm="1">
        <f t="array" ref="L20">INT(SUMPRODUCT(--ISNUMBER(SEARCH(healthcare,C20)))&gt;0)</f>
        <v>0</v>
      </c>
      <c r="M20" s="14" cm="1">
        <f t="array" ref="M20">INT(SUMPRODUCT(--ISNUMBER(SEARCH(supreme,C20)))&gt;0)</f>
        <v>0</v>
      </c>
      <c r="N20" s="14" cm="1">
        <f t="array" ref="N20">INT(SUMPRODUCT(--ISNUMBER(SEARCH(covid,C20)))&gt;0)</f>
        <v>0</v>
      </c>
      <c r="O20" s="14" cm="1">
        <f t="array" ref="O20">INT(SUMPRODUCT(--ISNUMBER(SEARCH(violent,C20)))&gt;0)</f>
        <v>0</v>
      </c>
      <c r="P20" s="14" cm="1">
        <f t="array" ref="P20">INT(SUMPRODUCT(--ISNUMBER(SEARCH(foreign,C20)))&gt;0)</f>
        <v>0</v>
      </c>
      <c r="Q20" s="14" cm="1">
        <f t="array" ref="Q20">INT(SUMPRODUCT(--ISNUMBER(SEARCH(gun,C20)))&gt;0)</f>
        <v>0</v>
      </c>
      <c r="R20" s="14" cm="1">
        <f t="array" ref="R20">INT(SUMPRODUCT(--ISNUMBER(SEARCH(race,C20)))&gt;0)</f>
        <v>0</v>
      </c>
      <c r="S20" s="14" cm="1">
        <f t="array" ref="S20">INT(SUMPRODUCT(--ISNUMBER(SEARCH(immigration,C20)))&gt;0)</f>
        <v>0</v>
      </c>
      <c r="T20" s="14" cm="1">
        <f t="array" ref="T20">INT(SUMPRODUCT(--ISNUMBER(SEARCH(econineq,C21)))&gt;0)</f>
        <v>0</v>
      </c>
      <c r="U20" s="14" cm="1">
        <f t="array" ref="U20">INT(SUMPRODUCT(--ISNUMBER(SEARCH(climate,C20)))&gt;0)</f>
        <v>0</v>
      </c>
      <c r="V20" s="14" cm="1">
        <f t="array" ref="V20">INT(SUMPRODUCT(--ISNUMBER(SEARCH(abortion,C20)))&gt;0)</f>
        <v>0</v>
      </c>
      <c r="W20" s="14" cm="1">
        <f t="array" ref="W20">INT(SUMPRODUCT(--ISNUMBER(SEARCH(trump,C20)))&gt;0)</f>
        <v>0</v>
      </c>
      <c r="X20" s="14" cm="1">
        <f t="array" ref="X20">INT(SUMPRODUCT(--ISNUMBER(SEARCH(voting,C20)))&gt;0)</f>
        <v>0</v>
      </c>
      <c r="Y20" s="14" cm="1">
        <f t="array" ref="Y20">INT(SUMPRODUCT(--ISNUMBER(SEARCH(republicantrigger,C20)))&gt;0)</f>
        <v>0</v>
      </c>
      <c r="Z20" s="14" cm="1">
        <f t="array" ref="Z20">INT(SUMPRODUCT(--ISNUMBER(SEARCH(bipartisan,C20)))&gt;0)</f>
        <v>0</v>
      </c>
      <c r="AA20" s="14">
        <f t="shared" si="0"/>
        <v>1</v>
      </c>
      <c r="AB20" s="14"/>
      <c r="AC20" s="30">
        <v>1</v>
      </c>
      <c r="AD20" s="37">
        <v>0</v>
      </c>
    </row>
    <row r="21" spans="1:30" x14ac:dyDescent="0.25">
      <c r="A21" s="36">
        <v>1228</v>
      </c>
      <c r="B21" s="14" t="s">
        <v>2483</v>
      </c>
      <c r="C21" s="14" t="s">
        <v>2484</v>
      </c>
      <c r="D21" s="17">
        <v>44137</v>
      </c>
      <c r="E21" s="14" t="s">
        <v>30</v>
      </c>
      <c r="F21" s="14">
        <v>33</v>
      </c>
      <c r="G21" s="14">
        <v>2</v>
      </c>
      <c r="H21" s="14">
        <v>7</v>
      </c>
      <c r="I21" s="14">
        <v>4</v>
      </c>
      <c r="J21" s="14" t="s">
        <v>31</v>
      </c>
      <c r="K21" s="14" cm="1">
        <f t="array" ref="K21">INT(SUMPRODUCT(--ISNUMBER(SEARCH(economy,C21)))&gt;0)</f>
        <v>0</v>
      </c>
      <c r="L21" s="14" cm="1">
        <f t="array" ref="L21">INT(SUMPRODUCT(--ISNUMBER(SEARCH(healthcare,C21)))&gt;0)</f>
        <v>0</v>
      </c>
      <c r="M21" s="14" cm="1">
        <f t="array" ref="M21">INT(SUMPRODUCT(--ISNUMBER(SEARCH(supreme,C21)))&gt;0)</f>
        <v>0</v>
      </c>
      <c r="N21" s="14" cm="1">
        <f t="array" ref="N21">INT(SUMPRODUCT(--ISNUMBER(SEARCH(covid,C21)))&gt;0)</f>
        <v>0</v>
      </c>
      <c r="O21" s="14" cm="1">
        <f t="array" ref="O21">INT(SUMPRODUCT(--ISNUMBER(SEARCH(violent,C21)))&gt;0)</f>
        <v>0</v>
      </c>
      <c r="P21" s="14" cm="1">
        <f t="array" ref="P21">INT(SUMPRODUCT(--ISNUMBER(SEARCH(foreign,C21)))&gt;0)</f>
        <v>0</v>
      </c>
      <c r="Q21" s="14" cm="1">
        <f t="array" ref="Q21">INT(SUMPRODUCT(--ISNUMBER(SEARCH(gun,C21)))&gt;0)</f>
        <v>0</v>
      </c>
      <c r="R21" s="14" cm="1">
        <f t="array" ref="R21">INT(SUMPRODUCT(--ISNUMBER(SEARCH(race,C21)))&gt;0)</f>
        <v>0</v>
      </c>
      <c r="S21" s="14" cm="1">
        <f t="array" ref="S21">INT(SUMPRODUCT(--ISNUMBER(SEARCH(immigration,C21)))&gt;0)</f>
        <v>0</v>
      </c>
      <c r="T21" s="14" cm="1">
        <f t="array" ref="T21">INT(SUMPRODUCT(--ISNUMBER(SEARCH(econineq,C22)))&gt;0)</f>
        <v>0</v>
      </c>
      <c r="U21" s="14" cm="1">
        <f t="array" ref="U21">INT(SUMPRODUCT(--ISNUMBER(SEARCH(climate,C21)))&gt;0)</f>
        <v>0</v>
      </c>
      <c r="V21" s="14" cm="1">
        <f t="array" ref="V21">INT(SUMPRODUCT(--ISNUMBER(SEARCH(abortion,C21)))&gt;0)</f>
        <v>0</v>
      </c>
      <c r="W21" s="14" cm="1">
        <f t="array" ref="W21">INT(SUMPRODUCT(--ISNUMBER(SEARCH(trump,C21)))&gt;0)</f>
        <v>0</v>
      </c>
      <c r="X21" s="14" cm="1">
        <f t="array" ref="X21">INT(SUMPRODUCT(--ISNUMBER(SEARCH(voting,C21)))&gt;0)</f>
        <v>0</v>
      </c>
      <c r="Y21" s="14" cm="1">
        <f t="array" ref="Y21">INT(SUMPRODUCT(--ISNUMBER(SEARCH(republicantrigger,C21)))&gt;0)</f>
        <v>0</v>
      </c>
      <c r="Z21" s="14" cm="1">
        <f t="array" ref="Z21">INT(SUMPRODUCT(--ISNUMBER(SEARCH(bipartisan,C21)))&gt;0)</f>
        <v>0</v>
      </c>
      <c r="AA21" s="14">
        <f t="shared" si="0"/>
        <v>1</v>
      </c>
      <c r="AB21" s="14"/>
      <c r="AC21" s="30">
        <v>1</v>
      </c>
      <c r="AD21" s="37">
        <v>0</v>
      </c>
    </row>
    <row r="22" spans="1:30" x14ac:dyDescent="0.25">
      <c r="A22" s="36">
        <v>1229</v>
      </c>
      <c r="B22" s="14" t="s">
        <v>2485</v>
      </c>
      <c r="C22" s="14" t="s">
        <v>2486</v>
      </c>
      <c r="D22" s="17">
        <v>44137</v>
      </c>
      <c r="E22" s="14" t="s">
        <v>30</v>
      </c>
      <c r="F22" s="14">
        <v>24</v>
      </c>
      <c r="G22" s="14">
        <v>4</v>
      </c>
      <c r="H22" s="14">
        <v>7</v>
      </c>
      <c r="I22" s="14">
        <v>4</v>
      </c>
      <c r="J22" s="14" t="s">
        <v>31</v>
      </c>
      <c r="K22" s="14" cm="1">
        <f t="array" ref="K22">INT(SUMPRODUCT(--ISNUMBER(SEARCH(economy,C22)))&gt;0)</f>
        <v>1</v>
      </c>
      <c r="L22" s="14" cm="1">
        <f t="array" ref="L22">INT(SUMPRODUCT(--ISNUMBER(SEARCH(healthcare,C22)))&gt;0)</f>
        <v>0</v>
      </c>
      <c r="M22" s="14" cm="1">
        <f t="array" ref="M22">INT(SUMPRODUCT(--ISNUMBER(SEARCH(supreme,C22)))&gt;0)</f>
        <v>0</v>
      </c>
      <c r="N22" s="14" cm="1">
        <f t="array" ref="N22">INT(SUMPRODUCT(--ISNUMBER(SEARCH(covid,C22)))&gt;0)</f>
        <v>0</v>
      </c>
      <c r="O22" s="14" cm="1">
        <f t="array" ref="O22">INT(SUMPRODUCT(--ISNUMBER(SEARCH(violent,C22)))&gt;0)</f>
        <v>0</v>
      </c>
      <c r="P22" s="14" cm="1">
        <f t="array" ref="P22">INT(SUMPRODUCT(--ISNUMBER(SEARCH(foreign,C22)))&gt;0)</f>
        <v>0</v>
      </c>
      <c r="Q22" s="14" cm="1">
        <f t="array" ref="Q22">INT(SUMPRODUCT(--ISNUMBER(SEARCH(gun,C22)))&gt;0)</f>
        <v>0</v>
      </c>
      <c r="R22" s="14" cm="1">
        <f t="array" ref="R22">INT(SUMPRODUCT(--ISNUMBER(SEARCH(race,C22)))&gt;0)</f>
        <v>0</v>
      </c>
      <c r="S22" s="14" cm="1">
        <f t="array" ref="S22">INT(SUMPRODUCT(--ISNUMBER(SEARCH(immigration,C22)))&gt;0)</f>
        <v>0</v>
      </c>
      <c r="T22" s="14" cm="1">
        <f t="array" ref="T22">INT(SUMPRODUCT(--ISNUMBER(SEARCH(econineq,C23)))&gt;0)</f>
        <v>0</v>
      </c>
      <c r="U22" s="14" cm="1">
        <f t="array" ref="U22">INT(SUMPRODUCT(--ISNUMBER(SEARCH(climate,C22)))&gt;0)</f>
        <v>0</v>
      </c>
      <c r="V22" s="14" cm="1">
        <f t="array" ref="V22">INT(SUMPRODUCT(--ISNUMBER(SEARCH(abortion,C22)))&gt;0)</f>
        <v>0</v>
      </c>
      <c r="W22" s="14" cm="1">
        <f t="array" ref="W22">INT(SUMPRODUCT(--ISNUMBER(SEARCH(trump,C22)))&gt;0)</f>
        <v>0</v>
      </c>
      <c r="X22" s="14" cm="1">
        <f t="array" ref="X22">INT(SUMPRODUCT(--ISNUMBER(SEARCH(voting,C22)))&gt;0)</f>
        <v>0</v>
      </c>
      <c r="Y22" s="14" cm="1">
        <f t="array" ref="Y22">INT(SUMPRODUCT(--ISNUMBER(SEARCH(republicantrigger,C22)))&gt;0)</f>
        <v>0</v>
      </c>
      <c r="Z22" s="14" cm="1">
        <f t="array" ref="Z22">INT(SUMPRODUCT(--ISNUMBER(SEARCH(bipartisan,C22)))&gt;0)</f>
        <v>0</v>
      </c>
      <c r="AA22" s="14">
        <f t="shared" si="0"/>
        <v>0</v>
      </c>
      <c r="AB22" s="14"/>
      <c r="AC22" s="30">
        <v>1</v>
      </c>
      <c r="AD22" s="37">
        <v>0</v>
      </c>
    </row>
    <row r="23" spans="1:30" x14ac:dyDescent="0.25">
      <c r="A23" s="36">
        <v>1230</v>
      </c>
      <c r="B23" s="14" t="s">
        <v>2487</v>
      </c>
      <c r="C23" s="14" t="s">
        <v>2488</v>
      </c>
      <c r="D23" s="17">
        <v>44137</v>
      </c>
      <c r="E23" s="14" t="s">
        <v>30</v>
      </c>
      <c r="F23" s="14">
        <v>30</v>
      </c>
      <c r="G23" s="14">
        <v>8</v>
      </c>
      <c r="H23" s="14">
        <v>7</v>
      </c>
      <c r="I23" s="14">
        <v>4</v>
      </c>
      <c r="J23" s="14" t="s">
        <v>31</v>
      </c>
      <c r="K23" s="14" cm="1">
        <f t="array" ref="K23">INT(SUMPRODUCT(--ISNUMBER(SEARCH(economy,C23)))&gt;0)</f>
        <v>0</v>
      </c>
      <c r="L23" s="14" cm="1">
        <f t="array" ref="L23">INT(SUMPRODUCT(--ISNUMBER(SEARCH(healthcare,C23)))&gt;0)</f>
        <v>0</v>
      </c>
      <c r="M23" s="14" cm="1">
        <f t="array" ref="M23">INT(SUMPRODUCT(--ISNUMBER(SEARCH(supreme,C23)))&gt;0)</f>
        <v>0</v>
      </c>
      <c r="N23" s="14" cm="1">
        <f t="array" ref="N23">INT(SUMPRODUCT(--ISNUMBER(SEARCH(covid,C23)))&gt;0)</f>
        <v>0</v>
      </c>
      <c r="O23" s="14" cm="1">
        <f t="array" ref="O23">INT(SUMPRODUCT(--ISNUMBER(SEARCH(violent,C23)))&gt;0)</f>
        <v>0</v>
      </c>
      <c r="P23" s="14" cm="1">
        <f t="array" ref="P23">INT(SUMPRODUCT(--ISNUMBER(SEARCH(foreign,C23)))&gt;0)</f>
        <v>0</v>
      </c>
      <c r="Q23" s="14" cm="1">
        <f t="array" ref="Q23">INT(SUMPRODUCT(--ISNUMBER(SEARCH(gun,C23)))&gt;0)</f>
        <v>0</v>
      </c>
      <c r="R23" s="14" cm="1">
        <f t="array" ref="R23">INT(SUMPRODUCT(--ISNUMBER(SEARCH(race,C23)))&gt;0)</f>
        <v>0</v>
      </c>
      <c r="S23" s="14" cm="1">
        <f t="array" ref="S23">INT(SUMPRODUCT(--ISNUMBER(SEARCH(immigration,C23)))&gt;0)</f>
        <v>0</v>
      </c>
      <c r="T23" s="14" cm="1">
        <f t="array" ref="T23">INT(SUMPRODUCT(--ISNUMBER(SEARCH(econineq,C24)))&gt;0)</f>
        <v>0</v>
      </c>
      <c r="U23" s="14" cm="1">
        <f t="array" ref="U23">INT(SUMPRODUCT(--ISNUMBER(SEARCH(climate,C23)))&gt;0)</f>
        <v>0</v>
      </c>
      <c r="V23" s="14" cm="1">
        <f t="array" ref="V23">INT(SUMPRODUCT(--ISNUMBER(SEARCH(abortion,C23)))&gt;0)</f>
        <v>0</v>
      </c>
      <c r="W23" s="14" cm="1">
        <f t="array" ref="W23">INT(SUMPRODUCT(--ISNUMBER(SEARCH(trump,C23)))&gt;0)</f>
        <v>0</v>
      </c>
      <c r="X23" s="14" cm="1">
        <f t="array" ref="X23">INT(SUMPRODUCT(--ISNUMBER(SEARCH(voting,C23)))&gt;0)</f>
        <v>1</v>
      </c>
      <c r="Y23" s="14" cm="1">
        <f t="array" ref="Y23">INT(SUMPRODUCT(--ISNUMBER(SEARCH(republicantrigger,C23)))&gt;0)</f>
        <v>0</v>
      </c>
      <c r="Z23" s="14" cm="1">
        <f t="array" ref="Z23">INT(SUMPRODUCT(--ISNUMBER(SEARCH(bipartisan,C23)))&gt;0)</f>
        <v>0</v>
      </c>
      <c r="AA23" s="14">
        <f t="shared" si="0"/>
        <v>0</v>
      </c>
      <c r="AB23" s="14"/>
      <c r="AC23" s="30">
        <v>0</v>
      </c>
      <c r="AD23" s="37">
        <v>1</v>
      </c>
    </row>
    <row r="24" spans="1:30" x14ac:dyDescent="0.25">
      <c r="A24" s="36">
        <v>1231</v>
      </c>
      <c r="B24" s="14" t="s">
        <v>2489</v>
      </c>
      <c r="C24" s="14" t="s">
        <v>2490</v>
      </c>
      <c r="D24" s="17">
        <v>44137</v>
      </c>
      <c r="E24" s="14" t="s">
        <v>30</v>
      </c>
      <c r="F24" s="14">
        <v>51</v>
      </c>
      <c r="G24" s="14">
        <v>11</v>
      </c>
      <c r="H24" s="14">
        <v>7</v>
      </c>
      <c r="I24" s="14">
        <v>4</v>
      </c>
      <c r="J24" s="14" t="s">
        <v>31</v>
      </c>
      <c r="K24" s="14" cm="1">
        <f t="array" ref="K24">INT(SUMPRODUCT(--ISNUMBER(SEARCH(economy,C24)))&gt;0)</f>
        <v>0</v>
      </c>
      <c r="L24" s="14" cm="1">
        <f t="array" ref="L24">INT(SUMPRODUCT(--ISNUMBER(SEARCH(healthcare,C24)))&gt;0)</f>
        <v>0</v>
      </c>
      <c r="M24" s="14" cm="1">
        <f t="array" ref="M24">INT(SUMPRODUCT(--ISNUMBER(SEARCH(supreme,C24)))&gt;0)</f>
        <v>0</v>
      </c>
      <c r="N24" s="14" cm="1">
        <f t="array" ref="N24">INT(SUMPRODUCT(--ISNUMBER(SEARCH(covid,C24)))&gt;0)</f>
        <v>0</v>
      </c>
      <c r="O24" s="14" cm="1">
        <f t="array" ref="O24">INT(SUMPRODUCT(--ISNUMBER(SEARCH(violent,C24)))&gt;0)</f>
        <v>0</v>
      </c>
      <c r="P24" s="14" cm="1">
        <f t="array" ref="P24">INT(SUMPRODUCT(--ISNUMBER(SEARCH(foreign,C24)))&gt;0)</f>
        <v>0</v>
      </c>
      <c r="Q24" s="14" cm="1">
        <f t="array" ref="Q24">INT(SUMPRODUCT(--ISNUMBER(SEARCH(gun,C24)))&gt;0)</f>
        <v>0</v>
      </c>
      <c r="R24" s="14" cm="1">
        <f t="array" ref="R24">INT(SUMPRODUCT(--ISNUMBER(SEARCH(race,C24)))&gt;0)</f>
        <v>0</v>
      </c>
      <c r="S24" s="14" cm="1">
        <f t="array" ref="S24">INT(SUMPRODUCT(--ISNUMBER(SEARCH(immigration,C24)))&gt;0)</f>
        <v>0</v>
      </c>
      <c r="T24" s="14" cm="1">
        <f t="array" ref="T24">INT(SUMPRODUCT(--ISNUMBER(SEARCH(econineq,C25)))&gt;0)</f>
        <v>0</v>
      </c>
      <c r="U24" s="14" cm="1">
        <f t="array" ref="U24">INT(SUMPRODUCT(--ISNUMBER(SEARCH(climate,C24)))&gt;0)</f>
        <v>0</v>
      </c>
      <c r="V24" s="14" cm="1">
        <f t="array" ref="V24">INT(SUMPRODUCT(--ISNUMBER(SEARCH(abortion,C24)))&gt;0)</f>
        <v>0</v>
      </c>
      <c r="W24" s="14" cm="1">
        <f t="array" ref="W24">INT(SUMPRODUCT(--ISNUMBER(SEARCH(trump,C24)))&gt;0)</f>
        <v>0</v>
      </c>
      <c r="X24" s="14" cm="1">
        <f t="array" ref="X24">INT(SUMPRODUCT(--ISNUMBER(SEARCH(voting,C24)))&gt;0)</f>
        <v>1</v>
      </c>
      <c r="Y24" s="14" cm="1">
        <f t="array" ref="Y24">INT(SUMPRODUCT(--ISNUMBER(SEARCH(republicantrigger,C24)))&gt;0)</f>
        <v>0</v>
      </c>
      <c r="Z24" s="14" cm="1">
        <f t="array" ref="Z24">INT(SUMPRODUCT(--ISNUMBER(SEARCH(bipartisan,C24)))&gt;0)</f>
        <v>0</v>
      </c>
      <c r="AA24" s="14">
        <f t="shared" si="0"/>
        <v>0</v>
      </c>
      <c r="AB24" s="14"/>
      <c r="AC24" s="30">
        <v>0</v>
      </c>
      <c r="AD24" s="37">
        <v>1</v>
      </c>
    </row>
    <row r="25" spans="1:30" x14ac:dyDescent="0.25">
      <c r="A25" s="36">
        <v>1232</v>
      </c>
      <c r="B25" s="14" t="s">
        <v>2491</v>
      </c>
      <c r="C25" s="14" t="s">
        <v>2492</v>
      </c>
      <c r="D25" s="17">
        <v>44137</v>
      </c>
      <c r="E25" s="14" t="s">
        <v>30</v>
      </c>
      <c r="F25" s="14">
        <v>22</v>
      </c>
      <c r="G25" s="14">
        <v>1</v>
      </c>
      <c r="H25" s="14">
        <v>7</v>
      </c>
      <c r="I25" s="14">
        <v>4</v>
      </c>
      <c r="J25" s="14" t="s">
        <v>31</v>
      </c>
      <c r="K25" s="14" cm="1">
        <f t="array" ref="K25">INT(SUMPRODUCT(--ISNUMBER(SEARCH(economy,C25)))&gt;0)</f>
        <v>0</v>
      </c>
      <c r="L25" s="14" cm="1">
        <f t="array" ref="L25">INT(SUMPRODUCT(--ISNUMBER(SEARCH(healthcare,C25)))&gt;0)</f>
        <v>0</v>
      </c>
      <c r="M25" s="14" cm="1">
        <f t="array" ref="M25">INT(SUMPRODUCT(--ISNUMBER(SEARCH(supreme,C25)))&gt;0)</f>
        <v>0</v>
      </c>
      <c r="N25" s="14" cm="1">
        <f t="array" ref="N25">INT(SUMPRODUCT(--ISNUMBER(SEARCH(covid,C25)))&gt;0)</f>
        <v>0</v>
      </c>
      <c r="O25" s="14" cm="1">
        <f t="array" ref="O25">INT(SUMPRODUCT(--ISNUMBER(SEARCH(violent,C25)))&gt;0)</f>
        <v>0</v>
      </c>
      <c r="P25" s="14" cm="1">
        <f t="array" ref="P25">INT(SUMPRODUCT(--ISNUMBER(SEARCH(foreign,C25)))&gt;0)</f>
        <v>0</v>
      </c>
      <c r="Q25" s="14" cm="1">
        <f t="array" ref="Q25">INT(SUMPRODUCT(--ISNUMBER(SEARCH(gun,C25)))&gt;0)</f>
        <v>0</v>
      </c>
      <c r="R25" s="14" cm="1">
        <f t="array" ref="R25">INT(SUMPRODUCT(--ISNUMBER(SEARCH(race,C25)))&gt;0)</f>
        <v>0</v>
      </c>
      <c r="S25" s="14" cm="1">
        <f t="array" ref="S25">INT(SUMPRODUCT(--ISNUMBER(SEARCH(immigration,C25)))&gt;0)</f>
        <v>0</v>
      </c>
      <c r="T25" s="14" cm="1">
        <f t="array" ref="T25">INT(SUMPRODUCT(--ISNUMBER(SEARCH(econineq,C26)))&gt;0)</f>
        <v>0</v>
      </c>
      <c r="U25" s="14" cm="1">
        <f t="array" ref="U25">INT(SUMPRODUCT(--ISNUMBER(SEARCH(climate,C25)))&gt;0)</f>
        <v>0</v>
      </c>
      <c r="V25" s="14" cm="1">
        <f t="array" ref="V25">INT(SUMPRODUCT(--ISNUMBER(SEARCH(abortion,C25)))&gt;0)</f>
        <v>0</v>
      </c>
      <c r="W25" s="14" cm="1">
        <f t="array" ref="W25">INT(SUMPRODUCT(--ISNUMBER(SEARCH(trump,C25)))&gt;0)</f>
        <v>0</v>
      </c>
      <c r="X25" s="14" cm="1">
        <f t="array" ref="X25">INT(SUMPRODUCT(--ISNUMBER(SEARCH(voting,C25)))&gt;0)</f>
        <v>0</v>
      </c>
      <c r="Y25" s="14" cm="1">
        <f t="array" ref="Y25">INT(SUMPRODUCT(--ISNUMBER(SEARCH(republicantrigger,C25)))&gt;0)</f>
        <v>0</v>
      </c>
      <c r="Z25" s="14" cm="1">
        <f t="array" ref="Z25">INT(SUMPRODUCT(--ISNUMBER(SEARCH(bipartisan,C25)))&gt;0)</f>
        <v>0</v>
      </c>
      <c r="AA25" s="14">
        <f t="shared" si="0"/>
        <v>1</v>
      </c>
      <c r="AB25" s="14"/>
      <c r="AC25" s="30" t="s">
        <v>223</v>
      </c>
      <c r="AD25" s="37" t="s">
        <v>223</v>
      </c>
    </row>
    <row r="26" spans="1:30" x14ac:dyDescent="0.25">
      <c r="A26" s="36">
        <v>1233</v>
      </c>
      <c r="B26" s="14" t="s">
        <v>2493</v>
      </c>
      <c r="C26" s="14" t="s">
        <v>2494</v>
      </c>
      <c r="D26" s="17">
        <v>44137</v>
      </c>
      <c r="E26" s="14" t="s">
        <v>30</v>
      </c>
      <c r="F26" s="14">
        <v>480</v>
      </c>
      <c r="G26" s="14">
        <v>92</v>
      </c>
      <c r="H26" s="14">
        <v>7</v>
      </c>
      <c r="I26" s="14">
        <v>4</v>
      </c>
      <c r="J26" s="14" t="s">
        <v>31</v>
      </c>
      <c r="K26" s="14" cm="1">
        <f t="array" ref="K26">INT(SUMPRODUCT(--ISNUMBER(SEARCH(economy,C26)))&gt;0)</f>
        <v>0</v>
      </c>
      <c r="L26" s="14" cm="1">
        <f t="array" ref="L26">INT(SUMPRODUCT(--ISNUMBER(SEARCH(healthcare,C26)))&gt;0)</f>
        <v>0</v>
      </c>
      <c r="M26" s="14" cm="1">
        <f t="array" ref="M26">INT(SUMPRODUCT(--ISNUMBER(SEARCH(supreme,C26)))&gt;0)</f>
        <v>0</v>
      </c>
      <c r="N26" s="14" cm="1">
        <f t="array" ref="N26">INT(SUMPRODUCT(--ISNUMBER(SEARCH(covid,C26)))&gt;0)</f>
        <v>0</v>
      </c>
      <c r="O26" s="14" cm="1">
        <f t="array" ref="O26">INT(SUMPRODUCT(--ISNUMBER(SEARCH(violent,C26)))&gt;0)</f>
        <v>0</v>
      </c>
      <c r="P26" s="14" cm="1">
        <f t="array" ref="P26">INT(SUMPRODUCT(--ISNUMBER(SEARCH(foreign,C26)))&gt;0)</f>
        <v>0</v>
      </c>
      <c r="Q26" s="14" cm="1">
        <f t="array" ref="Q26">INT(SUMPRODUCT(--ISNUMBER(SEARCH(gun,C26)))&gt;0)</f>
        <v>0</v>
      </c>
      <c r="R26" s="14" cm="1">
        <f t="array" ref="R26">INT(SUMPRODUCT(--ISNUMBER(SEARCH(race,C26)))&gt;0)</f>
        <v>0</v>
      </c>
      <c r="S26" s="14" cm="1">
        <f t="array" ref="S26">INT(SUMPRODUCT(--ISNUMBER(SEARCH(immigration,C26)))&gt;0)</f>
        <v>0</v>
      </c>
      <c r="T26" s="14" cm="1">
        <f t="array" ref="T26">INT(SUMPRODUCT(--ISNUMBER(SEARCH(econineq,C27)))&gt;0)</f>
        <v>0</v>
      </c>
      <c r="U26" s="14" cm="1">
        <f t="array" ref="U26">INT(SUMPRODUCT(--ISNUMBER(SEARCH(climate,C26)))&gt;0)</f>
        <v>0</v>
      </c>
      <c r="V26" s="14" cm="1">
        <f t="array" ref="V26">INT(SUMPRODUCT(--ISNUMBER(SEARCH(abortion,C26)))&gt;0)</f>
        <v>0</v>
      </c>
      <c r="W26" s="14" cm="1">
        <f t="array" ref="W26">INT(SUMPRODUCT(--ISNUMBER(SEARCH(trump,C26)))&gt;0)</f>
        <v>0</v>
      </c>
      <c r="X26" s="14" cm="1">
        <f t="array" ref="X26">INT(SUMPRODUCT(--ISNUMBER(SEARCH(voting,C26)))&gt;0)</f>
        <v>1</v>
      </c>
      <c r="Y26" s="14" cm="1">
        <f t="array" ref="Y26">INT(SUMPRODUCT(--ISNUMBER(SEARCH(republicantrigger,C26)))&gt;0)</f>
        <v>0</v>
      </c>
      <c r="Z26" s="14" cm="1">
        <f t="array" ref="Z26">INT(SUMPRODUCT(--ISNUMBER(SEARCH(bipartisan,C26)))&gt;0)</f>
        <v>0</v>
      </c>
      <c r="AA26" s="14">
        <f t="shared" si="0"/>
        <v>0</v>
      </c>
      <c r="AB26" s="14"/>
      <c r="AC26" s="30">
        <v>0</v>
      </c>
      <c r="AD26" s="37">
        <v>1</v>
      </c>
    </row>
    <row r="27" spans="1:30" x14ac:dyDescent="0.25">
      <c r="A27" s="36">
        <v>1234</v>
      </c>
      <c r="B27" s="14" t="s">
        <v>2495</v>
      </c>
      <c r="C27" s="14" t="s">
        <v>2496</v>
      </c>
      <c r="D27" s="17">
        <v>44137</v>
      </c>
      <c r="E27" s="14" t="s">
        <v>30</v>
      </c>
      <c r="F27" s="14">
        <v>73</v>
      </c>
      <c r="G27" s="14">
        <v>11</v>
      </c>
      <c r="H27" s="14">
        <v>7</v>
      </c>
      <c r="I27" s="14">
        <v>4</v>
      </c>
      <c r="J27" s="14" t="s">
        <v>31</v>
      </c>
      <c r="K27" s="14" cm="1">
        <f t="array" ref="K27">INT(SUMPRODUCT(--ISNUMBER(SEARCH(economy,C27)))&gt;0)</f>
        <v>0</v>
      </c>
      <c r="L27" s="14" cm="1">
        <f t="array" ref="L27">INT(SUMPRODUCT(--ISNUMBER(SEARCH(healthcare,C27)))&gt;0)</f>
        <v>0</v>
      </c>
      <c r="M27" s="14" cm="1">
        <f t="array" ref="M27">INT(SUMPRODUCT(--ISNUMBER(SEARCH(supreme,C27)))&gt;0)</f>
        <v>0</v>
      </c>
      <c r="N27" s="14" cm="1">
        <f t="array" ref="N27">INT(SUMPRODUCT(--ISNUMBER(SEARCH(covid,C27)))&gt;0)</f>
        <v>0</v>
      </c>
      <c r="O27" s="14" cm="1">
        <f t="array" ref="O27">INT(SUMPRODUCT(--ISNUMBER(SEARCH(violent,C27)))&gt;0)</f>
        <v>0</v>
      </c>
      <c r="P27" s="14" cm="1">
        <f t="array" ref="P27">INT(SUMPRODUCT(--ISNUMBER(SEARCH(foreign,C27)))&gt;0)</f>
        <v>0</v>
      </c>
      <c r="Q27" s="14" cm="1">
        <f t="array" ref="Q27">INT(SUMPRODUCT(--ISNUMBER(SEARCH(gun,C27)))&gt;0)</f>
        <v>0</v>
      </c>
      <c r="R27" s="14" cm="1">
        <f t="array" ref="R27">INT(SUMPRODUCT(--ISNUMBER(SEARCH(race,C27)))&gt;0)</f>
        <v>0</v>
      </c>
      <c r="S27" s="14" cm="1">
        <f t="array" ref="S27">INT(SUMPRODUCT(--ISNUMBER(SEARCH(immigration,C27)))&gt;0)</f>
        <v>0</v>
      </c>
      <c r="T27" s="14" cm="1">
        <f t="array" ref="T27">INT(SUMPRODUCT(--ISNUMBER(SEARCH(econineq,C28)))&gt;0)</f>
        <v>0</v>
      </c>
      <c r="U27" s="14" cm="1">
        <f t="array" ref="U27">INT(SUMPRODUCT(--ISNUMBER(SEARCH(climate,C27)))&gt;0)</f>
        <v>0</v>
      </c>
      <c r="V27" s="14" cm="1">
        <f t="array" ref="V27">INT(SUMPRODUCT(--ISNUMBER(SEARCH(abortion,C27)))&gt;0)</f>
        <v>0</v>
      </c>
      <c r="W27" s="14" cm="1">
        <f t="array" ref="W27">INT(SUMPRODUCT(--ISNUMBER(SEARCH(trump,C27)))&gt;0)</f>
        <v>0</v>
      </c>
      <c r="X27" s="14" cm="1">
        <f t="array" ref="X27">INT(SUMPRODUCT(--ISNUMBER(SEARCH(voting,C27)))&gt;0)</f>
        <v>0</v>
      </c>
      <c r="Y27" s="14" cm="1">
        <f t="array" ref="Y27">INT(SUMPRODUCT(--ISNUMBER(SEARCH(republicantrigger,C27)))&gt;0)</f>
        <v>0</v>
      </c>
      <c r="Z27" s="14" cm="1">
        <f t="array" ref="Z27">INT(SUMPRODUCT(--ISNUMBER(SEARCH(bipartisan,C27)))&gt;0)</f>
        <v>0</v>
      </c>
      <c r="AA27" s="14">
        <f t="shared" si="0"/>
        <v>1</v>
      </c>
      <c r="AB27" s="14"/>
      <c r="AC27" s="30">
        <v>1</v>
      </c>
      <c r="AD27" s="37">
        <v>0</v>
      </c>
    </row>
    <row r="28" spans="1:30" x14ac:dyDescent="0.25">
      <c r="A28" s="36">
        <v>1235</v>
      </c>
      <c r="B28" s="14" t="s">
        <v>2497</v>
      </c>
      <c r="C28" s="14" t="s">
        <v>2498</v>
      </c>
      <c r="D28" s="17">
        <v>44137</v>
      </c>
      <c r="E28" s="14" t="s">
        <v>30</v>
      </c>
      <c r="F28" s="14">
        <v>14</v>
      </c>
      <c r="G28" s="14">
        <v>1</v>
      </c>
      <c r="H28" s="14">
        <v>7</v>
      </c>
      <c r="I28" s="14">
        <v>4</v>
      </c>
      <c r="J28" s="14" t="s">
        <v>31</v>
      </c>
      <c r="K28" s="14" cm="1">
        <f t="array" ref="K28">INT(SUMPRODUCT(--ISNUMBER(SEARCH(economy,C28)))&gt;0)</f>
        <v>0</v>
      </c>
      <c r="L28" s="14" cm="1">
        <f t="array" ref="L28">INT(SUMPRODUCT(--ISNUMBER(SEARCH(healthcare,C28)))&gt;0)</f>
        <v>0</v>
      </c>
      <c r="M28" s="14" cm="1">
        <f t="array" ref="M28">INT(SUMPRODUCT(--ISNUMBER(SEARCH(supreme,C28)))&gt;0)</f>
        <v>0</v>
      </c>
      <c r="N28" s="14" cm="1">
        <f t="array" ref="N28">INT(SUMPRODUCT(--ISNUMBER(SEARCH(covid,C28)))&gt;0)</f>
        <v>1</v>
      </c>
      <c r="O28" s="14" cm="1">
        <f t="array" ref="O28">INT(SUMPRODUCT(--ISNUMBER(SEARCH(violent,C28)))&gt;0)</f>
        <v>0</v>
      </c>
      <c r="P28" s="14" cm="1">
        <f t="array" ref="P28">INT(SUMPRODUCT(--ISNUMBER(SEARCH(foreign,C28)))&gt;0)</f>
        <v>1</v>
      </c>
      <c r="Q28" s="14" cm="1">
        <f t="array" ref="Q28">INT(SUMPRODUCT(--ISNUMBER(SEARCH(gun,C28)))&gt;0)</f>
        <v>0</v>
      </c>
      <c r="R28" s="14" cm="1">
        <f t="array" ref="R28">INT(SUMPRODUCT(--ISNUMBER(SEARCH(race,C28)))&gt;0)</f>
        <v>0</v>
      </c>
      <c r="S28" s="14" cm="1">
        <f t="array" ref="S28">INT(SUMPRODUCT(--ISNUMBER(SEARCH(immigration,C28)))&gt;0)</f>
        <v>0</v>
      </c>
      <c r="T28" s="14" cm="1">
        <f t="array" ref="T28">INT(SUMPRODUCT(--ISNUMBER(SEARCH(econineq,C29)))&gt;0)</f>
        <v>0</v>
      </c>
      <c r="U28" s="14" cm="1">
        <f t="array" ref="U28">INT(SUMPRODUCT(--ISNUMBER(SEARCH(climate,C28)))&gt;0)</f>
        <v>0</v>
      </c>
      <c r="V28" s="14" cm="1">
        <f t="array" ref="V28">INT(SUMPRODUCT(--ISNUMBER(SEARCH(abortion,C28)))&gt;0)</f>
        <v>0</v>
      </c>
      <c r="W28" s="14" cm="1">
        <f t="array" ref="W28">INT(SUMPRODUCT(--ISNUMBER(SEARCH(trump,C28)))&gt;0)</f>
        <v>0</v>
      </c>
      <c r="X28" s="14" cm="1">
        <f t="array" ref="X28">INT(SUMPRODUCT(--ISNUMBER(SEARCH(voting,C28)))&gt;0)</f>
        <v>0</v>
      </c>
      <c r="Y28" s="14" cm="1">
        <f t="array" ref="Y28">INT(SUMPRODUCT(--ISNUMBER(SEARCH(republicantrigger,C28)))&gt;0)</f>
        <v>0</v>
      </c>
      <c r="Z28" s="14" cm="1">
        <f t="array" ref="Z28">INT(SUMPRODUCT(--ISNUMBER(SEARCH(bipartisan,C28)))&gt;0)</f>
        <v>0</v>
      </c>
      <c r="AA28" s="14">
        <f t="shared" si="0"/>
        <v>0</v>
      </c>
      <c r="AB28" s="14"/>
      <c r="AC28" s="30">
        <v>1</v>
      </c>
      <c r="AD28" s="37">
        <v>0</v>
      </c>
    </row>
    <row r="29" spans="1:30" x14ac:dyDescent="0.25">
      <c r="A29" s="36">
        <v>1236</v>
      </c>
      <c r="B29" s="14" t="s">
        <v>2499</v>
      </c>
      <c r="C29" s="14" t="s">
        <v>2500</v>
      </c>
      <c r="D29" s="17">
        <v>44137</v>
      </c>
      <c r="E29" s="14" t="s">
        <v>30</v>
      </c>
      <c r="F29" s="14">
        <v>74</v>
      </c>
      <c r="G29" s="14">
        <v>21</v>
      </c>
      <c r="H29" s="14">
        <v>7</v>
      </c>
      <c r="I29" s="14">
        <v>4</v>
      </c>
      <c r="J29" s="14" t="s">
        <v>31</v>
      </c>
      <c r="K29" s="14" cm="1">
        <f t="array" ref="K29">INT(SUMPRODUCT(--ISNUMBER(SEARCH(economy,C29)))&gt;0)</f>
        <v>0</v>
      </c>
      <c r="L29" s="14" cm="1">
        <f t="array" ref="L29">INT(SUMPRODUCT(--ISNUMBER(SEARCH(healthcare,C29)))&gt;0)</f>
        <v>0</v>
      </c>
      <c r="M29" s="14" cm="1">
        <f t="array" ref="M29">INT(SUMPRODUCT(--ISNUMBER(SEARCH(supreme,C29)))&gt;0)</f>
        <v>0</v>
      </c>
      <c r="N29" s="14" cm="1">
        <f t="array" ref="N29">INT(SUMPRODUCT(--ISNUMBER(SEARCH(covid,C29)))&gt;0)</f>
        <v>0</v>
      </c>
      <c r="O29" s="14" cm="1">
        <f t="array" ref="O29">INT(SUMPRODUCT(--ISNUMBER(SEARCH(violent,C29)))&gt;0)</f>
        <v>0</v>
      </c>
      <c r="P29" s="14" cm="1">
        <f t="array" ref="P29">INT(SUMPRODUCT(--ISNUMBER(SEARCH(foreign,C29)))&gt;0)</f>
        <v>0</v>
      </c>
      <c r="Q29" s="14" cm="1">
        <f t="array" ref="Q29">INT(SUMPRODUCT(--ISNUMBER(SEARCH(gun,C29)))&gt;0)</f>
        <v>0</v>
      </c>
      <c r="R29" s="14" cm="1">
        <f t="array" ref="R29">INT(SUMPRODUCT(--ISNUMBER(SEARCH(race,C29)))&gt;0)</f>
        <v>0</v>
      </c>
      <c r="S29" s="14" cm="1">
        <f t="array" ref="S29">INT(SUMPRODUCT(--ISNUMBER(SEARCH(immigration,C29)))&gt;0)</f>
        <v>0</v>
      </c>
      <c r="T29" s="14" cm="1">
        <f t="array" ref="T29">INT(SUMPRODUCT(--ISNUMBER(SEARCH(econineq,C30)))&gt;0)</f>
        <v>0</v>
      </c>
      <c r="U29" s="14" cm="1">
        <f t="array" ref="U29">INT(SUMPRODUCT(--ISNUMBER(SEARCH(climate,C29)))&gt;0)</f>
        <v>0</v>
      </c>
      <c r="V29" s="14" cm="1">
        <f t="array" ref="V29">INT(SUMPRODUCT(--ISNUMBER(SEARCH(abortion,C29)))&gt;0)</f>
        <v>0</v>
      </c>
      <c r="W29" s="14" cm="1">
        <f t="array" ref="W29">INT(SUMPRODUCT(--ISNUMBER(SEARCH(trump,C29)))&gt;0)</f>
        <v>0</v>
      </c>
      <c r="X29" s="14" cm="1">
        <f t="array" ref="X29">INT(SUMPRODUCT(--ISNUMBER(SEARCH(voting,C29)))&gt;0)</f>
        <v>0</v>
      </c>
      <c r="Y29" s="14" cm="1">
        <f t="array" ref="Y29">INT(SUMPRODUCT(--ISNUMBER(SEARCH(republicantrigger,C29)))&gt;0)</f>
        <v>0</v>
      </c>
      <c r="Z29" s="14" cm="1">
        <f t="array" ref="Z29">INT(SUMPRODUCT(--ISNUMBER(SEARCH(bipartisan,C29)))&gt;0)</f>
        <v>0</v>
      </c>
      <c r="AA29" s="14">
        <f t="shared" si="0"/>
        <v>1</v>
      </c>
      <c r="AB29" s="14"/>
      <c r="AC29" s="30">
        <v>0</v>
      </c>
      <c r="AD29" s="37">
        <v>1</v>
      </c>
    </row>
    <row r="30" spans="1:30" x14ac:dyDescent="0.25">
      <c r="A30" s="36">
        <v>1237</v>
      </c>
      <c r="B30" s="14" t="s">
        <v>2501</v>
      </c>
      <c r="C30" s="14" t="s">
        <v>2502</v>
      </c>
      <c r="D30" s="17">
        <v>44137</v>
      </c>
      <c r="E30" s="14" t="s">
        <v>30</v>
      </c>
      <c r="F30" s="14">
        <v>34</v>
      </c>
      <c r="G30" s="14">
        <v>8</v>
      </c>
      <c r="H30" s="14">
        <v>7</v>
      </c>
      <c r="I30" s="14">
        <v>4</v>
      </c>
      <c r="J30" s="14" t="s">
        <v>31</v>
      </c>
      <c r="K30" s="14" cm="1">
        <f t="array" ref="K30">INT(SUMPRODUCT(--ISNUMBER(SEARCH(economy,C30)))&gt;0)</f>
        <v>0</v>
      </c>
      <c r="L30" s="14" cm="1">
        <f t="array" ref="L30">INT(SUMPRODUCT(--ISNUMBER(SEARCH(healthcare,C30)))&gt;0)</f>
        <v>0</v>
      </c>
      <c r="M30" s="14" cm="1">
        <f t="array" ref="M30">INT(SUMPRODUCT(--ISNUMBER(SEARCH(supreme,C30)))&gt;0)</f>
        <v>0</v>
      </c>
      <c r="N30" s="14" cm="1">
        <f t="array" ref="N30">INT(SUMPRODUCT(--ISNUMBER(SEARCH(covid,C30)))&gt;0)</f>
        <v>1</v>
      </c>
      <c r="O30" s="14" cm="1">
        <f t="array" ref="O30">INT(SUMPRODUCT(--ISNUMBER(SEARCH(violent,C30)))&gt;0)</f>
        <v>0</v>
      </c>
      <c r="P30" s="14" cm="1">
        <f t="array" ref="P30">INT(SUMPRODUCT(--ISNUMBER(SEARCH(foreign,C30)))&gt;0)</f>
        <v>0</v>
      </c>
      <c r="Q30" s="14" cm="1">
        <f t="array" ref="Q30">INT(SUMPRODUCT(--ISNUMBER(SEARCH(gun,C30)))&gt;0)</f>
        <v>0</v>
      </c>
      <c r="R30" s="14" cm="1">
        <f t="array" ref="R30">INT(SUMPRODUCT(--ISNUMBER(SEARCH(race,C30)))&gt;0)</f>
        <v>0</v>
      </c>
      <c r="S30" s="14" cm="1">
        <f t="array" ref="S30">INT(SUMPRODUCT(--ISNUMBER(SEARCH(immigration,C30)))&gt;0)</f>
        <v>0</v>
      </c>
      <c r="T30" s="14" cm="1">
        <f t="array" ref="T30">INT(SUMPRODUCT(--ISNUMBER(SEARCH(econineq,C31)))&gt;0)</f>
        <v>0</v>
      </c>
      <c r="U30" s="14" cm="1">
        <f t="array" ref="U30">INT(SUMPRODUCT(--ISNUMBER(SEARCH(climate,C30)))&gt;0)</f>
        <v>0</v>
      </c>
      <c r="V30" s="14" cm="1">
        <f t="array" ref="V30">INT(SUMPRODUCT(--ISNUMBER(SEARCH(abortion,C30)))&gt;0)</f>
        <v>0</v>
      </c>
      <c r="W30" s="14" cm="1">
        <f t="array" ref="W30">INT(SUMPRODUCT(--ISNUMBER(SEARCH(trump,C30)))&gt;0)</f>
        <v>0</v>
      </c>
      <c r="X30" s="14" cm="1">
        <f t="array" ref="X30">INT(SUMPRODUCT(--ISNUMBER(SEARCH(voting,C30)))&gt;0)</f>
        <v>0</v>
      </c>
      <c r="Y30" s="14" cm="1">
        <f t="array" ref="Y30">INT(SUMPRODUCT(--ISNUMBER(SEARCH(republicantrigger,C30)))&gt;0)</f>
        <v>1</v>
      </c>
      <c r="Z30" s="14" cm="1">
        <f t="array" ref="Z30">INT(SUMPRODUCT(--ISNUMBER(SEARCH(bipartisan,C30)))&gt;0)</f>
        <v>0</v>
      </c>
      <c r="AA30" s="14">
        <f t="shared" si="0"/>
        <v>0</v>
      </c>
      <c r="AB30" s="14"/>
      <c r="AC30" s="30">
        <v>0</v>
      </c>
      <c r="AD30" s="37">
        <v>1</v>
      </c>
    </row>
    <row r="31" spans="1:30" x14ac:dyDescent="0.25">
      <c r="A31" s="36">
        <v>1238</v>
      </c>
      <c r="B31" s="14" t="s">
        <v>2503</v>
      </c>
      <c r="C31" s="14" t="s">
        <v>2504</v>
      </c>
      <c r="D31" s="17">
        <v>44137</v>
      </c>
      <c r="E31" s="14" t="s">
        <v>30</v>
      </c>
      <c r="F31" s="14">
        <v>48</v>
      </c>
      <c r="G31" s="14">
        <v>1</v>
      </c>
      <c r="H31" s="14">
        <v>7</v>
      </c>
      <c r="I31" s="14">
        <v>4</v>
      </c>
      <c r="J31" s="14" t="s">
        <v>31</v>
      </c>
      <c r="K31" s="14" cm="1">
        <f t="array" ref="K31">INT(SUMPRODUCT(--ISNUMBER(SEARCH(economy,C31)))&gt;0)</f>
        <v>0</v>
      </c>
      <c r="L31" s="14" cm="1">
        <f t="array" ref="L31">INT(SUMPRODUCT(--ISNUMBER(SEARCH(healthcare,C31)))&gt;0)</f>
        <v>0</v>
      </c>
      <c r="M31" s="14" cm="1">
        <f t="array" ref="M31">INT(SUMPRODUCT(--ISNUMBER(SEARCH(supreme,C31)))&gt;0)</f>
        <v>0</v>
      </c>
      <c r="N31" s="14" cm="1">
        <f t="array" ref="N31">INT(SUMPRODUCT(--ISNUMBER(SEARCH(covid,C31)))&gt;0)</f>
        <v>0</v>
      </c>
      <c r="O31" s="14" cm="1">
        <f t="array" ref="O31">INT(SUMPRODUCT(--ISNUMBER(SEARCH(violent,C31)))&gt;0)</f>
        <v>0</v>
      </c>
      <c r="P31" s="14" cm="1">
        <f t="array" ref="P31">INT(SUMPRODUCT(--ISNUMBER(SEARCH(foreign,C31)))&gt;0)</f>
        <v>0</v>
      </c>
      <c r="Q31" s="14" cm="1">
        <f t="array" ref="Q31">INT(SUMPRODUCT(--ISNUMBER(SEARCH(gun,C31)))&gt;0)</f>
        <v>0</v>
      </c>
      <c r="R31" s="14" cm="1">
        <f t="array" ref="R31">INT(SUMPRODUCT(--ISNUMBER(SEARCH(race,C31)))&gt;0)</f>
        <v>0</v>
      </c>
      <c r="S31" s="14" cm="1">
        <f t="array" ref="S31">INT(SUMPRODUCT(--ISNUMBER(SEARCH(immigration,C31)))&gt;0)</f>
        <v>0</v>
      </c>
      <c r="T31" s="14" cm="1">
        <f t="array" ref="T31">INT(SUMPRODUCT(--ISNUMBER(SEARCH(econineq,C32)))&gt;0)</f>
        <v>0</v>
      </c>
      <c r="U31" s="14" cm="1">
        <f t="array" ref="U31">INT(SUMPRODUCT(--ISNUMBER(SEARCH(climate,C31)))&gt;0)</f>
        <v>0</v>
      </c>
      <c r="V31" s="14" cm="1">
        <f t="array" ref="V31">INT(SUMPRODUCT(--ISNUMBER(SEARCH(abortion,C31)))&gt;0)</f>
        <v>0</v>
      </c>
      <c r="W31" s="14" cm="1">
        <f t="array" ref="W31">INT(SUMPRODUCT(--ISNUMBER(SEARCH(trump,C31)))&gt;0)</f>
        <v>0</v>
      </c>
      <c r="X31" s="14" cm="1">
        <f t="array" ref="X31">INT(SUMPRODUCT(--ISNUMBER(SEARCH(voting,C31)))&gt;0)</f>
        <v>0</v>
      </c>
      <c r="Y31" s="14" cm="1">
        <f t="array" ref="Y31">INT(SUMPRODUCT(--ISNUMBER(SEARCH(republicantrigger,C31)))&gt;0)</f>
        <v>0</v>
      </c>
      <c r="Z31" s="14" cm="1">
        <f t="array" ref="Z31">INT(SUMPRODUCT(--ISNUMBER(SEARCH(bipartisan,C31)))&gt;0)</f>
        <v>0</v>
      </c>
      <c r="AA31" s="14">
        <f t="shared" si="0"/>
        <v>1</v>
      </c>
      <c r="AB31" s="14"/>
      <c r="AC31" s="30">
        <v>1</v>
      </c>
      <c r="AD31" s="37">
        <v>0</v>
      </c>
    </row>
    <row r="32" spans="1:30" x14ac:dyDescent="0.25">
      <c r="A32" s="36">
        <v>1239</v>
      </c>
      <c r="B32" s="14" t="s">
        <v>2505</v>
      </c>
      <c r="C32" s="14" t="s">
        <v>2506</v>
      </c>
      <c r="D32" s="17">
        <v>44136</v>
      </c>
      <c r="E32" s="14" t="s">
        <v>30</v>
      </c>
      <c r="F32" s="14">
        <v>50</v>
      </c>
      <c r="G32" s="14">
        <v>4</v>
      </c>
      <c r="H32" s="14">
        <v>7</v>
      </c>
      <c r="I32" s="14">
        <v>4</v>
      </c>
      <c r="J32" s="14" t="s">
        <v>31</v>
      </c>
      <c r="K32" s="14" cm="1">
        <f t="array" ref="K32">INT(SUMPRODUCT(--ISNUMBER(SEARCH(economy,C32)))&gt;0)</f>
        <v>0</v>
      </c>
      <c r="L32" s="14" cm="1">
        <f t="array" ref="L32">INT(SUMPRODUCT(--ISNUMBER(SEARCH(healthcare,C32)))&gt;0)</f>
        <v>0</v>
      </c>
      <c r="M32" s="14" cm="1">
        <f t="array" ref="M32">INT(SUMPRODUCT(--ISNUMBER(SEARCH(supreme,C32)))&gt;0)</f>
        <v>0</v>
      </c>
      <c r="N32" s="14" cm="1">
        <f t="array" ref="N32">INT(SUMPRODUCT(--ISNUMBER(SEARCH(covid,C32)))&gt;0)</f>
        <v>0</v>
      </c>
      <c r="O32" s="14" cm="1">
        <f t="array" ref="O32">INT(SUMPRODUCT(--ISNUMBER(SEARCH(violent,C32)))&gt;0)</f>
        <v>0</v>
      </c>
      <c r="P32" s="14" cm="1">
        <f t="array" ref="P32">INT(SUMPRODUCT(--ISNUMBER(SEARCH(foreign,C32)))&gt;0)</f>
        <v>0</v>
      </c>
      <c r="Q32" s="14" cm="1">
        <f t="array" ref="Q32">INT(SUMPRODUCT(--ISNUMBER(SEARCH(gun,C32)))&gt;0)</f>
        <v>0</v>
      </c>
      <c r="R32" s="14" cm="1">
        <f t="array" ref="R32">INT(SUMPRODUCT(--ISNUMBER(SEARCH(race,C32)))&gt;0)</f>
        <v>0</v>
      </c>
      <c r="S32" s="14" cm="1">
        <f t="array" ref="S32">INT(SUMPRODUCT(--ISNUMBER(SEARCH(immigration,C32)))&gt;0)</f>
        <v>0</v>
      </c>
      <c r="T32" s="14" cm="1">
        <f t="array" ref="T32">INT(SUMPRODUCT(--ISNUMBER(SEARCH(econineq,C33)))&gt;0)</f>
        <v>0</v>
      </c>
      <c r="U32" s="14" cm="1">
        <f t="array" ref="U32">INT(SUMPRODUCT(--ISNUMBER(SEARCH(climate,C32)))&gt;0)</f>
        <v>0</v>
      </c>
      <c r="V32" s="14" cm="1">
        <f t="array" ref="V32">INT(SUMPRODUCT(--ISNUMBER(SEARCH(abortion,C32)))&gt;0)</f>
        <v>0</v>
      </c>
      <c r="W32" s="14" cm="1">
        <f t="array" ref="W32">INT(SUMPRODUCT(--ISNUMBER(SEARCH(trump,C32)))&gt;0)</f>
        <v>0</v>
      </c>
      <c r="X32" s="14" cm="1">
        <f t="array" ref="X32">INT(SUMPRODUCT(--ISNUMBER(SEARCH(voting,C32)))&gt;0)</f>
        <v>0</v>
      </c>
      <c r="Y32" s="14" cm="1">
        <f t="array" ref="Y32">INT(SUMPRODUCT(--ISNUMBER(SEARCH(republicantrigger,C32)))&gt;0)</f>
        <v>0</v>
      </c>
      <c r="Z32" s="14" cm="1">
        <f t="array" ref="Z32">INT(SUMPRODUCT(--ISNUMBER(SEARCH(bipartisan,C32)))&gt;0)</f>
        <v>0</v>
      </c>
      <c r="AA32" s="14">
        <f t="shared" si="0"/>
        <v>1</v>
      </c>
      <c r="AB32" s="14"/>
      <c r="AC32" s="30">
        <v>1</v>
      </c>
      <c r="AD32" s="37">
        <v>0</v>
      </c>
    </row>
    <row r="33" spans="1:30" x14ac:dyDescent="0.25">
      <c r="A33" s="36">
        <v>1240</v>
      </c>
      <c r="B33" s="14" t="s">
        <v>2507</v>
      </c>
      <c r="C33" s="14" t="s">
        <v>2508</v>
      </c>
      <c r="D33" s="17">
        <v>44136</v>
      </c>
      <c r="E33" s="14" t="s">
        <v>30</v>
      </c>
      <c r="F33" s="14">
        <v>30</v>
      </c>
      <c r="G33" s="14">
        <v>4</v>
      </c>
      <c r="H33" s="14">
        <v>7</v>
      </c>
      <c r="I33" s="14">
        <v>4</v>
      </c>
      <c r="J33" s="14" t="s">
        <v>31</v>
      </c>
      <c r="K33" s="14" cm="1">
        <f t="array" ref="K33">INT(SUMPRODUCT(--ISNUMBER(SEARCH(economy,C33)))&gt;0)</f>
        <v>0</v>
      </c>
      <c r="L33" s="14" cm="1">
        <f t="array" ref="L33">INT(SUMPRODUCT(--ISNUMBER(SEARCH(healthcare,C33)))&gt;0)</f>
        <v>0</v>
      </c>
      <c r="M33" s="14" cm="1">
        <f t="array" ref="M33">INT(SUMPRODUCT(--ISNUMBER(SEARCH(supreme,C33)))&gt;0)</f>
        <v>0</v>
      </c>
      <c r="N33" s="14" cm="1">
        <f t="array" ref="N33">INT(SUMPRODUCT(--ISNUMBER(SEARCH(covid,C33)))&gt;0)</f>
        <v>0</v>
      </c>
      <c r="O33" s="14" cm="1">
        <f t="array" ref="O33">INT(SUMPRODUCT(--ISNUMBER(SEARCH(violent,C33)))&gt;0)</f>
        <v>0</v>
      </c>
      <c r="P33" s="14" cm="1">
        <f t="array" ref="P33">INT(SUMPRODUCT(--ISNUMBER(SEARCH(foreign,C33)))&gt;0)</f>
        <v>0</v>
      </c>
      <c r="Q33" s="14" cm="1">
        <f t="array" ref="Q33">INT(SUMPRODUCT(--ISNUMBER(SEARCH(gun,C33)))&gt;0)</f>
        <v>0</v>
      </c>
      <c r="R33" s="14" cm="1">
        <f t="array" ref="R33">INT(SUMPRODUCT(--ISNUMBER(SEARCH(race,C33)))&gt;0)</f>
        <v>0</v>
      </c>
      <c r="S33" s="14" cm="1">
        <f t="array" ref="S33">INT(SUMPRODUCT(--ISNUMBER(SEARCH(immigration,C33)))&gt;0)</f>
        <v>0</v>
      </c>
      <c r="T33" s="14" cm="1">
        <f t="array" ref="T33">INT(SUMPRODUCT(--ISNUMBER(SEARCH(econineq,C34)))&gt;0)</f>
        <v>0</v>
      </c>
      <c r="U33" s="14" cm="1">
        <f t="array" ref="U33">INT(SUMPRODUCT(--ISNUMBER(SEARCH(climate,C33)))&gt;0)</f>
        <v>0</v>
      </c>
      <c r="V33" s="14" cm="1">
        <f t="array" ref="V33">INT(SUMPRODUCT(--ISNUMBER(SEARCH(abortion,C33)))&gt;0)</f>
        <v>0</v>
      </c>
      <c r="W33" s="14" cm="1">
        <f t="array" ref="W33">INT(SUMPRODUCT(--ISNUMBER(SEARCH(trump,C33)))&gt;0)</f>
        <v>0</v>
      </c>
      <c r="X33" s="14" cm="1">
        <f t="array" ref="X33">INT(SUMPRODUCT(--ISNUMBER(SEARCH(voting,C33)))&gt;0)</f>
        <v>1</v>
      </c>
      <c r="Y33" s="14" cm="1">
        <f t="array" ref="Y33">INT(SUMPRODUCT(--ISNUMBER(SEARCH(republicantrigger,C33)))&gt;0)</f>
        <v>0</v>
      </c>
      <c r="Z33" s="14" cm="1">
        <f t="array" ref="Z33">INT(SUMPRODUCT(--ISNUMBER(SEARCH(bipartisan,C33)))&gt;0)</f>
        <v>0</v>
      </c>
      <c r="AA33" s="14">
        <f t="shared" si="0"/>
        <v>0</v>
      </c>
      <c r="AB33" s="14"/>
      <c r="AC33" s="30">
        <v>1</v>
      </c>
      <c r="AD33" s="37">
        <v>0</v>
      </c>
    </row>
    <row r="34" spans="1:30" x14ac:dyDescent="0.25">
      <c r="A34" s="36">
        <v>1241</v>
      </c>
      <c r="B34" s="14" t="s">
        <v>2509</v>
      </c>
      <c r="C34" s="14" t="s">
        <v>2510</v>
      </c>
      <c r="D34" s="17">
        <v>44136</v>
      </c>
      <c r="E34" s="14" t="s">
        <v>30</v>
      </c>
      <c r="F34" s="14">
        <v>33</v>
      </c>
      <c r="G34" s="14">
        <v>1</v>
      </c>
      <c r="H34" s="14">
        <v>7</v>
      </c>
      <c r="I34" s="14">
        <v>4</v>
      </c>
      <c r="J34" s="14" t="s">
        <v>31</v>
      </c>
      <c r="K34" s="14" cm="1">
        <f t="array" ref="K34">INT(SUMPRODUCT(--ISNUMBER(SEARCH(economy,C34)))&gt;0)</f>
        <v>0</v>
      </c>
      <c r="L34" s="14" cm="1">
        <f t="array" ref="L34">INT(SUMPRODUCT(--ISNUMBER(SEARCH(healthcare,C34)))&gt;0)</f>
        <v>0</v>
      </c>
      <c r="M34" s="14" cm="1">
        <f t="array" ref="M34">INT(SUMPRODUCT(--ISNUMBER(SEARCH(supreme,C34)))&gt;0)</f>
        <v>0</v>
      </c>
      <c r="N34" s="14" cm="1">
        <f t="array" ref="N34">INT(SUMPRODUCT(--ISNUMBER(SEARCH(covid,C34)))&gt;0)</f>
        <v>0</v>
      </c>
      <c r="O34" s="14" cm="1">
        <f t="array" ref="O34">INT(SUMPRODUCT(--ISNUMBER(SEARCH(violent,C34)))&gt;0)</f>
        <v>0</v>
      </c>
      <c r="P34" s="14" cm="1">
        <f t="array" ref="P34">INT(SUMPRODUCT(--ISNUMBER(SEARCH(foreign,C34)))&gt;0)</f>
        <v>0</v>
      </c>
      <c r="Q34" s="14" cm="1">
        <f t="array" ref="Q34">INT(SUMPRODUCT(--ISNUMBER(SEARCH(gun,C34)))&gt;0)</f>
        <v>0</v>
      </c>
      <c r="R34" s="14" cm="1">
        <f t="array" ref="R34">INT(SUMPRODUCT(--ISNUMBER(SEARCH(race,C34)))&gt;0)</f>
        <v>0</v>
      </c>
      <c r="S34" s="14" cm="1">
        <f t="array" ref="S34">INT(SUMPRODUCT(--ISNUMBER(SEARCH(immigration,C34)))&gt;0)</f>
        <v>0</v>
      </c>
      <c r="T34" s="14" cm="1">
        <f t="array" ref="T34">INT(SUMPRODUCT(--ISNUMBER(SEARCH(econineq,C35)))&gt;0)</f>
        <v>0</v>
      </c>
      <c r="U34" s="14" cm="1">
        <f t="array" ref="U34">INT(SUMPRODUCT(--ISNUMBER(SEARCH(climate,C34)))&gt;0)</f>
        <v>0</v>
      </c>
      <c r="V34" s="14" cm="1">
        <f t="array" ref="V34">INT(SUMPRODUCT(--ISNUMBER(SEARCH(abortion,C34)))&gt;0)</f>
        <v>0</v>
      </c>
      <c r="W34" s="14" cm="1">
        <f t="array" ref="W34">INT(SUMPRODUCT(--ISNUMBER(SEARCH(trump,C34)))&gt;0)</f>
        <v>0</v>
      </c>
      <c r="X34" s="14" cm="1">
        <f t="array" ref="X34">INT(SUMPRODUCT(--ISNUMBER(SEARCH(voting,C34)))&gt;0)</f>
        <v>0</v>
      </c>
      <c r="Y34" s="14" cm="1">
        <f t="array" ref="Y34">INT(SUMPRODUCT(--ISNUMBER(SEARCH(republicantrigger,C34)))&gt;0)</f>
        <v>0</v>
      </c>
      <c r="Z34" s="14" cm="1">
        <f t="array" ref="Z34">INT(SUMPRODUCT(--ISNUMBER(SEARCH(bipartisan,C34)))&gt;0)</f>
        <v>0</v>
      </c>
      <c r="AA34" s="14">
        <f t="shared" si="0"/>
        <v>1</v>
      </c>
      <c r="AB34" s="14"/>
      <c r="AC34" s="30">
        <v>1</v>
      </c>
      <c r="AD34" s="37">
        <v>0</v>
      </c>
    </row>
    <row r="35" spans="1:30" x14ac:dyDescent="0.25">
      <c r="A35" s="36">
        <v>1242</v>
      </c>
      <c r="B35" s="14" t="s">
        <v>2511</v>
      </c>
      <c r="C35" s="14" t="s">
        <v>2512</v>
      </c>
      <c r="D35" s="17">
        <v>44136</v>
      </c>
      <c r="E35" s="14" t="s">
        <v>30</v>
      </c>
      <c r="F35" s="14">
        <v>35</v>
      </c>
      <c r="G35" s="14">
        <v>1</v>
      </c>
      <c r="H35" s="14">
        <v>7</v>
      </c>
      <c r="I35" s="14">
        <v>4</v>
      </c>
      <c r="J35" s="14" t="s">
        <v>31</v>
      </c>
      <c r="K35" s="14" cm="1">
        <f t="array" ref="K35">INT(SUMPRODUCT(--ISNUMBER(SEARCH(economy,C35)))&gt;0)</f>
        <v>0</v>
      </c>
      <c r="L35" s="14" cm="1">
        <f t="array" ref="L35">INT(SUMPRODUCT(--ISNUMBER(SEARCH(healthcare,C35)))&gt;0)</f>
        <v>0</v>
      </c>
      <c r="M35" s="14" cm="1">
        <f t="array" ref="M35">INT(SUMPRODUCT(--ISNUMBER(SEARCH(supreme,C35)))&gt;0)</f>
        <v>0</v>
      </c>
      <c r="N35" s="14" cm="1">
        <f t="array" ref="N35">INT(SUMPRODUCT(--ISNUMBER(SEARCH(covid,C35)))&gt;0)</f>
        <v>0</v>
      </c>
      <c r="O35" s="14" cm="1">
        <f t="array" ref="O35">INT(SUMPRODUCT(--ISNUMBER(SEARCH(violent,C35)))&gt;0)</f>
        <v>0</v>
      </c>
      <c r="P35" s="14" cm="1">
        <f t="array" ref="P35">INT(SUMPRODUCT(--ISNUMBER(SEARCH(foreign,C35)))&gt;0)</f>
        <v>0</v>
      </c>
      <c r="Q35" s="14" cm="1">
        <f t="array" ref="Q35">INT(SUMPRODUCT(--ISNUMBER(SEARCH(gun,C35)))&gt;0)</f>
        <v>0</v>
      </c>
      <c r="R35" s="14" cm="1">
        <f t="array" ref="R35">INT(SUMPRODUCT(--ISNUMBER(SEARCH(race,C35)))&gt;0)</f>
        <v>0</v>
      </c>
      <c r="S35" s="14" cm="1">
        <f t="array" ref="S35">INT(SUMPRODUCT(--ISNUMBER(SEARCH(immigration,C35)))&gt;0)</f>
        <v>0</v>
      </c>
      <c r="T35" s="14" cm="1">
        <f t="array" ref="T35">INT(SUMPRODUCT(--ISNUMBER(SEARCH(econineq,C36)))&gt;0)</f>
        <v>0</v>
      </c>
      <c r="U35" s="14" cm="1">
        <f t="array" ref="U35">INT(SUMPRODUCT(--ISNUMBER(SEARCH(climate,C35)))&gt;0)</f>
        <v>0</v>
      </c>
      <c r="V35" s="14" cm="1">
        <f t="array" ref="V35">INT(SUMPRODUCT(--ISNUMBER(SEARCH(abortion,C35)))&gt;0)</f>
        <v>0</v>
      </c>
      <c r="W35" s="14" cm="1">
        <f t="array" ref="W35">INT(SUMPRODUCT(--ISNUMBER(SEARCH(trump,C35)))&gt;0)</f>
        <v>0</v>
      </c>
      <c r="X35" s="14" cm="1">
        <f t="array" ref="X35">INT(SUMPRODUCT(--ISNUMBER(SEARCH(voting,C35)))&gt;0)</f>
        <v>0</v>
      </c>
      <c r="Y35" s="14" cm="1">
        <f t="array" ref="Y35">INT(SUMPRODUCT(--ISNUMBER(SEARCH(republicantrigger,C35)))&gt;0)</f>
        <v>0</v>
      </c>
      <c r="Z35" s="14" cm="1">
        <f t="array" ref="Z35">INT(SUMPRODUCT(--ISNUMBER(SEARCH(bipartisan,C35)))&gt;0)</f>
        <v>0</v>
      </c>
      <c r="AA35" s="14">
        <f t="shared" si="0"/>
        <v>1</v>
      </c>
      <c r="AB35" s="14"/>
      <c r="AC35" s="30">
        <v>1</v>
      </c>
      <c r="AD35" s="37">
        <v>0</v>
      </c>
    </row>
    <row r="36" spans="1:30" x14ac:dyDescent="0.25">
      <c r="A36" s="36">
        <v>1243</v>
      </c>
      <c r="B36" s="14" t="s">
        <v>2513</v>
      </c>
      <c r="C36" s="14" t="s">
        <v>2514</v>
      </c>
      <c r="D36" s="17">
        <v>44136</v>
      </c>
      <c r="E36" s="14" t="s">
        <v>30</v>
      </c>
      <c r="F36" s="14">
        <v>60</v>
      </c>
      <c r="G36" s="14">
        <v>8</v>
      </c>
      <c r="H36" s="14">
        <v>7</v>
      </c>
      <c r="I36" s="14">
        <v>4</v>
      </c>
      <c r="J36" s="14" t="s">
        <v>31</v>
      </c>
      <c r="K36" s="14" cm="1">
        <f t="array" ref="K36">INT(SUMPRODUCT(--ISNUMBER(SEARCH(economy,C36)))&gt;0)</f>
        <v>0</v>
      </c>
      <c r="L36" s="14" cm="1">
        <f t="array" ref="L36">INT(SUMPRODUCT(--ISNUMBER(SEARCH(healthcare,C36)))&gt;0)</f>
        <v>0</v>
      </c>
      <c r="M36" s="14" cm="1">
        <f t="array" ref="M36">INT(SUMPRODUCT(--ISNUMBER(SEARCH(supreme,C36)))&gt;0)</f>
        <v>0</v>
      </c>
      <c r="N36" s="14" cm="1">
        <f t="array" ref="N36">INT(SUMPRODUCT(--ISNUMBER(SEARCH(covid,C36)))&gt;0)</f>
        <v>0</v>
      </c>
      <c r="O36" s="14" cm="1">
        <f t="array" ref="O36">INT(SUMPRODUCT(--ISNUMBER(SEARCH(violent,C36)))&gt;0)</f>
        <v>0</v>
      </c>
      <c r="P36" s="14" cm="1">
        <f t="array" ref="P36">INT(SUMPRODUCT(--ISNUMBER(SEARCH(foreign,C36)))&gt;0)</f>
        <v>0</v>
      </c>
      <c r="Q36" s="14" cm="1">
        <f t="array" ref="Q36">INT(SUMPRODUCT(--ISNUMBER(SEARCH(gun,C36)))&gt;0)</f>
        <v>0</v>
      </c>
      <c r="R36" s="14" cm="1">
        <f t="array" ref="R36">INT(SUMPRODUCT(--ISNUMBER(SEARCH(race,C36)))&gt;0)</f>
        <v>0</v>
      </c>
      <c r="S36" s="14" cm="1">
        <f t="array" ref="S36">INT(SUMPRODUCT(--ISNUMBER(SEARCH(immigration,C36)))&gt;0)</f>
        <v>0</v>
      </c>
      <c r="T36" s="14" cm="1">
        <f t="array" ref="T36">INT(SUMPRODUCT(--ISNUMBER(SEARCH(econineq,C37)))&gt;0)</f>
        <v>0</v>
      </c>
      <c r="U36" s="14" cm="1">
        <f t="array" ref="U36">INT(SUMPRODUCT(--ISNUMBER(SEARCH(climate,C36)))&gt;0)</f>
        <v>0</v>
      </c>
      <c r="V36" s="14" cm="1">
        <f t="array" ref="V36">INT(SUMPRODUCT(--ISNUMBER(SEARCH(abortion,C36)))&gt;0)</f>
        <v>0</v>
      </c>
      <c r="W36" s="14" cm="1">
        <f t="array" ref="W36">INT(SUMPRODUCT(--ISNUMBER(SEARCH(trump,C36)))&gt;0)</f>
        <v>0</v>
      </c>
      <c r="X36" s="14" cm="1">
        <f t="array" ref="X36">INT(SUMPRODUCT(--ISNUMBER(SEARCH(voting,C36)))&gt;0)</f>
        <v>0</v>
      </c>
      <c r="Y36" s="14" cm="1">
        <f t="array" ref="Y36">INT(SUMPRODUCT(--ISNUMBER(SEARCH(republicantrigger,C36)))&gt;0)</f>
        <v>0</v>
      </c>
      <c r="Z36" s="14" cm="1">
        <f t="array" ref="Z36">INT(SUMPRODUCT(--ISNUMBER(SEARCH(bipartisan,C36)))&gt;0)</f>
        <v>0</v>
      </c>
      <c r="AA36" s="14">
        <f t="shared" si="0"/>
        <v>1</v>
      </c>
      <c r="AB36" s="14"/>
      <c r="AC36" s="30">
        <v>0</v>
      </c>
      <c r="AD36" s="37">
        <v>1</v>
      </c>
    </row>
    <row r="37" spans="1:30" x14ac:dyDescent="0.25">
      <c r="A37" s="36">
        <v>1244</v>
      </c>
      <c r="B37" s="14" t="s">
        <v>2515</v>
      </c>
      <c r="C37" s="14" t="s">
        <v>2516</v>
      </c>
      <c r="D37" s="17">
        <v>44136</v>
      </c>
      <c r="E37" s="14" t="s">
        <v>30</v>
      </c>
      <c r="F37" s="14">
        <v>29</v>
      </c>
      <c r="G37" s="14">
        <v>2</v>
      </c>
      <c r="H37" s="14">
        <v>7</v>
      </c>
      <c r="I37" s="14">
        <v>4</v>
      </c>
      <c r="J37" s="14" t="s">
        <v>31</v>
      </c>
      <c r="K37" s="14" cm="1">
        <f t="array" ref="K37">INT(SUMPRODUCT(--ISNUMBER(SEARCH(economy,C37)))&gt;0)</f>
        <v>1</v>
      </c>
      <c r="L37" s="14" cm="1">
        <f t="array" ref="L37">INT(SUMPRODUCT(--ISNUMBER(SEARCH(healthcare,C37)))&gt;0)</f>
        <v>0</v>
      </c>
      <c r="M37" s="14" cm="1">
        <f t="array" ref="M37">INT(SUMPRODUCT(--ISNUMBER(SEARCH(supreme,C37)))&gt;0)</f>
        <v>0</v>
      </c>
      <c r="N37" s="14" cm="1">
        <f t="array" ref="N37">INT(SUMPRODUCT(--ISNUMBER(SEARCH(covid,C37)))&gt;0)</f>
        <v>0</v>
      </c>
      <c r="O37" s="14" cm="1">
        <f t="array" ref="O37">INT(SUMPRODUCT(--ISNUMBER(SEARCH(violent,C37)))&gt;0)</f>
        <v>0</v>
      </c>
      <c r="P37" s="14" cm="1">
        <f t="array" ref="P37">INT(SUMPRODUCT(--ISNUMBER(SEARCH(foreign,C37)))&gt;0)</f>
        <v>0</v>
      </c>
      <c r="Q37" s="14" cm="1">
        <f t="array" ref="Q37">INT(SUMPRODUCT(--ISNUMBER(SEARCH(gun,C37)))&gt;0)</f>
        <v>0</v>
      </c>
      <c r="R37" s="14" cm="1">
        <f t="array" ref="R37">INT(SUMPRODUCT(--ISNUMBER(SEARCH(race,C37)))&gt;0)</f>
        <v>0</v>
      </c>
      <c r="S37" s="14" cm="1">
        <f t="array" ref="S37">INT(SUMPRODUCT(--ISNUMBER(SEARCH(immigration,C37)))&gt;0)</f>
        <v>0</v>
      </c>
      <c r="T37" s="14" cm="1">
        <f t="array" ref="T37">INT(SUMPRODUCT(--ISNUMBER(SEARCH(econineq,C38)))&gt;0)</f>
        <v>0</v>
      </c>
      <c r="U37" s="14" cm="1">
        <f t="array" ref="U37">INT(SUMPRODUCT(--ISNUMBER(SEARCH(climate,C37)))&gt;0)</f>
        <v>0</v>
      </c>
      <c r="V37" s="14" cm="1">
        <f t="array" ref="V37">INT(SUMPRODUCT(--ISNUMBER(SEARCH(abortion,C37)))&gt;0)</f>
        <v>0</v>
      </c>
      <c r="W37" s="14" cm="1">
        <f t="array" ref="W37">INT(SUMPRODUCT(--ISNUMBER(SEARCH(trump,C37)))&gt;0)</f>
        <v>0</v>
      </c>
      <c r="X37" s="14" cm="1">
        <f t="array" ref="X37">INT(SUMPRODUCT(--ISNUMBER(SEARCH(voting,C37)))&gt;0)</f>
        <v>0</v>
      </c>
      <c r="Y37" s="14" cm="1">
        <f t="array" ref="Y37">INT(SUMPRODUCT(--ISNUMBER(SEARCH(republicantrigger,C37)))&gt;0)</f>
        <v>0</v>
      </c>
      <c r="Z37" s="14" cm="1">
        <f t="array" ref="Z37">INT(SUMPRODUCT(--ISNUMBER(SEARCH(bipartisan,C37)))&gt;0)</f>
        <v>0</v>
      </c>
      <c r="AA37" s="14">
        <f t="shared" si="0"/>
        <v>0</v>
      </c>
      <c r="AB37" s="14"/>
      <c r="AC37" s="30">
        <v>1</v>
      </c>
      <c r="AD37" s="37">
        <v>0</v>
      </c>
    </row>
    <row r="38" spans="1:30" x14ac:dyDescent="0.25">
      <c r="A38" s="36">
        <v>1245</v>
      </c>
      <c r="B38" s="14" t="s">
        <v>2517</v>
      </c>
      <c r="C38" s="14" t="s">
        <v>2518</v>
      </c>
      <c r="D38" s="17">
        <v>44136</v>
      </c>
      <c r="E38" s="14" t="s">
        <v>30</v>
      </c>
      <c r="F38" s="14">
        <v>32</v>
      </c>
      <c r="G38" s="14">
        <v>5</v>
      </c>
      <c r="H38" s="14">
        <v>7</v>
      </c>
      <c r="I38" s="14">
        <v>4</v>
      </c>
      <c r="J38" s="14" t="s">
        <v>31</v>
      </c>
      <c r="K38" s="14" cm="1">
        <f t="array" ref="K38">INT(SUMPRODUCT(--ISNUMBER(SEARCH(economy,C38)))&gt;0)</f>
        <v>0</v>
      </c>
      <c r="L38" s="14" cm="1">
        <f t="array" ref="L38">INT(SUMPRODUCT(--ISNUMBER(SEARCH(healthcare,C38)))&gt;0)</f>
        <v>0</v>
      </c>
      <c r="M38" s="14" cm="1">
        <f t="array" ref="M38">INT(SUMPRODUCT(--ISNUMBER(SEARCH(supreme,C38)))&gt;0)</f>
        <v>0</v>
      </c>
      <c r="N38" s="14" cm="1">
        <f t="array" ref="N38">INT(SUMPRODUCT(--ISNUMBER(SEARCH(covid,C38)))&gt;0)</f>
        <v>1</v>
      </c>
      <c r="O38" s="14" cm="1">
        <f t="array" ref="O38">INT(SUMPRODUCT(--ISNUMBER(SEARCH(violent,C38)))&gt;0)</f>
        <v>0</v>
      </c>
      <c r="P38" s="14" cm="1">
        <f t="array" ref="P38">INT(SUMPRODUCT(--ISNUMBER(SEARCH(foreign,C38)))&gt;0)</f>
        <v>0</v>
      </c>
      <c r="Q38" s="14" cm="1">
        <f t="array" ref="Q38">INT(SUMPRODUCT(--ISNUMBER(SEARCH(gun,C38)))&gt;0)</f>
        <v>0</v>
      </c>
      <c r="R38" s="14" cm="1">
        <f t="array" ref="R38">INT(SUMPRODUCT(--ISNUMBER(SEARCH(race,C38)))&gt;0)</f>
        <v>0</v>
      </c>
      <c r="S38" s="14" cm="1">
        <f t="array" ref="S38">INT(SUMPRODUCT(--ISNUMBER(SEARCH(immigration,C38)))&gt;0)</f>
        <v>0</v>
      </c>
      <c r="T38" s="14" cm="1">
        <f t="array" ref="T38">INT(SUMPRODUCT(--ISNUMBER(SEARCH(econineq,C39)))&gt;0)</f>
        <v>0</v>
      </c>
      <c r="U38" s="14" cm="1">
        <f t="array" ref="U38">INT(SUMPRODUCT(--ISNUMBER(SEARCH(climate,C38)))&gt;0)</f>
        <v>0</v>
      </c>
      <c r="V38" s="14" cm="1">
        <f t="array" ref="V38">INT(SUMPRODUCT(--ISNUMBER(SEARCH(abortion,C38)))&gt;0)</f>
        <v>0</v>
      </c>
      <c r="W38" s="14" cm="1">
        <f t="array" ref="W38">INT(SUMPRODUCT(--ISNUMBER(SEARCH(trump,C38)))&gt;0)</f>
        <v>0</v>
      </c>
      <c r="X38" s="14" cm="1">
        <f t="array" ref="X38">INT(SUMPRODUCT(--ISNUMBER(SEARCH(voting,C38)))&gt;0)</f>
        <v>0</v>
      </c>
      <c r="Y38" s="14" cm="1">
        <f t="array" ref="Y38">INT(SUMPRODUCT(--ISNUMBER(SEARCH(republicantrigger,C38)))&gt;0)</f>
        <v>0</v>
      </c>
      <c r="Z38" s="14" cm="1">
        <f t="array" ref="Z38">INT(SUMPRODUCT(--ISNUMBER(SEARCH(bipartisan,C38)))&gt;0)</f>
        <v>0</v>
      </c>
      <c r="AA38" s="14">
        <f t="shared" si="0"/>
        <v>0</v>
      </c>
      <c r="AB38" s="14"/>
      <c r="AC38" s="30">
        <v>0</v>
      </c>
      <c r="AD38" s="37">
        <v>1</v>
      </c>
    </row>
    <row r="39" spans="1:30" x14ac:dyDescent="0.25">
      <c r="A39" s="36">
        <v>1246</v>
      </c>
      <c r="B39" s="14" t="s">
        <v>2519</v>
      </c>
      <c r="C39" s="14" t="s">
        <v>2520</v>
      </c>
      <c r="D39" s="17">
        <v>44136</v>
      </c>
      <c r="E39" s="14" t="s">
        <v>30</v>
      </c>
      <c r="F39" s="14">
        <v>19</v>
      </c>
      <c r="G39" s="14">
        <v>7</v>
      </c>
      <c r="H39" s="14">
        <v>7</v>
      </c>
      <c r="I39" s="14">
        <v>4</v>
      </c>
      <c r="J39" s="14" t="s">
        <v>31</v>
      </c>
      <c r="K39" s="14" cm="1">
        <f t="array" ref="K39">INT(SUMPRODUCT(--ISNUMBER(SEARCH(economy,C39)))&gt;0)</f>
        <v>0</v>
      </c>
      <c r="L39" s="14" cm="1">
        <f t="array" ref="L39">INT(SUMPRODUCT(--ISNUMBER(SEARCH(healthcare,C39)))&gt;0)</f>
        <v>0</v>
      </c>
      <c r="M39" s="14" cm="1">
        <f t="array" ref="M39">INT(SUMPRODUCT(--ISNUMBER(SEARCH(supreme,C39)))&gt;0)</f>
        <v>0</v>
      </c>
      <c r="N39" s="14" cm="1">
        <f t="array" ref="N39">INT(SUMPRODUCT(--ISNUMBER(SEARCH(covid,C39)))&gt;0)</f>
        <v>0</v>
      </c>
      <c r="O39" s="14" cm="1">
        <f t="array" ref="O39">INT(SUMPRODUCT(--ISNUMBER(SEARCH(violent,C39)))&gt;0)</f>
        <v>0</v>
      </c>
      <c r="P39" s="14" cm="1">
        <f t="array" ref="P39">INT(SUMPRODUCT(--ISNUMBER(SEARCH(foreign,C39)))&gt;0)</f>
        <v>0</v>
      </c>
      <c r="Q39" s="14" cm="1">
        <f t="array" ref="Q39">INT(SUMPRODUCT(--ISNUMBER(SEARCH(gun,C39)))&gt;0)</f>
        <v>0</v>
      </c>
      <c r="R39" s="14" cm="1">
        <f t="array" ref="R39">INT(SUMPRODUCT(--ISNUMBER(SEARCH(race,C39)))&gt;0)</f>
        <v>0</v>
      </c>
      <c r="S39" s="14" cm="1">
        <f t="array" ref="S39">INT(SUMPRODUCT(--ISNUMBER(SEARCH(immigration,C39)))&gt;0)</f>
        <v>0</v>
      </c>
      <c r="T39" s="14" cm="1">
        <f t="array" ref="T39">INT(SUMPRODUCT(--ISNUMBER(SEARCH(econineq,C40)))&gt;0)</f>
        <v>0</v>
      </c>
      <c r="U39" s="14" cm="1">
        <f t="array" ref="U39">INT(SUMPRODUCT(--ISNUMBER(SEARCH(climate,C39)))&gt;0)</f>
        <v>0</v>
      </c>
      <c r="V39" s="14" cm="1">
        <f t="array" ref="V39">INT(SUMPRODUCT(--ISNUMBER(SEARCH(abortion,C39)))&gt;0)</f>
        <v>0</v>
      </c>
      <c r="W39" s="14" cm="1">
        <f t="array" ref="W39">INT(SUMPRODUCT(--ISNUMBER(SEARCH(trump,C39)))&gt;0)</f>
        <v>0</v>
      </c>
      <c r="X39" s="14" cm="1">
        <f t="array" ref="X39">INT(SUMPRODUCT(--ISNUMBER(SEARCH(voting,C39)))&gt;0)</f>
        <v>0</v>
      </c>
      <c r="Y39" s="14" cm="1">
        <f t="array" ref="Y39">INT(SUMPRODUCT(--ISNUMBER(SEARCH(republicantrigger,C39)))&gt;0)</f>
        <v>0</v>
      </c>
      <c r="Z39" s="14" cm="1">
        <f t="array" ref="Z39">INT(SUMPRODUCT(--ISNUMBER(SEARCH(bipartisan,C39)))&gt;0)</f>
        <v>0</v>
      </c>
      <c r="AA39" s="14">
        <f t="shared" si="0"/>
        <v>1</v>
      </c>
      <c r="AB39" s="14"/>
      <c r="AC39" s="30">
        <v>1</v>
      </c>
      <c r="AD39" s="37">
        <v>0</v>
      </c>
    </row>
    <row r="40" spans="1:30" x14ac:dyDescent="0.25">
      <c r="A40" s="36">
        <v>1247</v>
      </c>
      <c r="B40" s="14" t="s">
        <v>2521</v>
      </c>
      <c r="C40" s="14" t="s">
        <v>2522</v>
      </c>
      <c r="D40" s="17">
        <v>44136</v>
      </c>
      <c r="E40" s="14" t="s">
        <v>30</v>
      </c>
      <c r="F40" s="14">
        <v>51</v>
      </c>
      <c r="G40" s="14">
        <v>8</v>
      </c>
      <c r="H40" s="14">
        <v>7</v>
      </c>
      <c r="I40" s="14">
        <v>4</v>
      </c>
      <c r="J40" s="14" t="s">
        <v>31</v>
      </c>
      <c r="K40" s="14" cm="1">
        <f t="array" ref="K40">INT(SUMPRODUCT(--ISNUMBER(SEARCH(economy,C40)))&gt;0)</f>
        <v>0</v>
      </c>
      <c r="L40" s="14" cm="1">
        <f t="array" ref="L40">INT(SUMPRODUCT(--ISNUMBER(SEARCH(healthcare,C40)))&gt;0)</f>
        <v>0</v>
      </c>
      <c r="M40" s="14" cm="1">
        <f t="array" ref="M40">INT(SUMPRODUCT(--ISNUMBER(SEARCH(supreme,C40)))&gt;0)</f>
        <v>0</v>
      </c>
      <c r="N40" s="14" cm="1">
        <f t="array" ref="N40">INT(SUMPRODUCT(--ISNUMBER(SEARCH(covid,C40)))&gt;0)</f>
        <v>0</v>
      </c>
      <c r="O40" s="14" cm="1">
        <f t="array" ref="O40">INT(SUMPRODUCT(--ISNUMBER(SEARCH(violent,C40)))&gt;0)</f>
        <v>0</v>
      </c>
      <c r="P40" s="14" cm="1">
        <f t="array" ref="P40">INT(SUMPRODUCT(--ISNUMBER(SEARCH(foreign,C40)))&gt;0)</f>
        <v>0</v>
      </c>
      <c r="Q40" s="14" cm="1">
        <f t="array" ref="Q40">INT(SUMPRODUCT(--ISNUMBER(SEARCH(gun,C40)))&gt;0)</f>
        <v>1</v>
      </c>
      <c r="R40" s="14" cm="1">
        <f t="array" ref="R40">INT(SUMPRODUCT(--ISNUMBER(SEARCH(race,C40)))&gt;0)</f>
        <v>1</v>
      </c>
      <c r="S40" s="14" cm="1">
        <f t="array" ref="S40">INT(SUMPRODUCT(--ISNUMBER(SEARCH(immigration,C40)))&gt;0)</f>
        <v>0</v>
      </c>
      <c r="T40" s="14" cm="1">
        <f t="array" ref="T40">INT(SUMPRODUCT(--ISNUMBER(SEARCH(econineq,C41)))&gt;0)</f>
        <v>0</v>
      </c>
      <c r="U40" s="14" cm="1">
        <f t="array" ref="U40">INT(SUMPRODUCT(--ISNUMBER(SEARCH(climate,C40)))&gt;0)</f>
        <v>0</v>
      </c>
      <c r="V40" s="14" cm="1">
        <f t="array" ref="V40">INT(SUMPRODUCT(--ISNUMBER(SEARCH(abortion,C40)))&gt;0)</f>
        <v>0</v>
      </c>
      <c r="W40" s="14" cm="1">
        <f t="array" ref="W40">INT(SUMPRODUCT(--ISNUMBER(SEARCH(trump,C40)))&gt;0)</f>
        <v>0</v>
      </c>
      <c r="X40" s="14" cm="1">
        <f t="array" ref="X40">INT(SUMPRODUCT(--ISNUMBER(SEARCH(voting,C40)))&gt;0)</f>
        <v>0</v>
      </c>
      <c r="Y40" s="14" cm="1">
        <f t="array" ref="Y40">INT(SUMPRODUCT(--ISNUMBER(SEARCH(republicantrigger,C40)))&gt;0)</f>
        <v>0</v>
      </c>
      <c r="Z40" s="14" cm="1">
        <f t="array" ref="Z40">INT(SUMPRODUCT(--ISNUMBER(SEARCH(bipartisan,C40)))&gt;0)</f>
        <v>0</v>
      </c>
      <c r="AA40" s="14">
        <f t="shared" si="0"/>
        <v>0</v>
      </c>
      <c r="AB40" s="14"/>
      <c r="AC40" s="30">
        <v>0</v>
      </c>
      <c r="AD40" s="37">
        <v>1</v>
      </c>
    </row>
    <row r="41" spans="1:30" x14ac:dyDescent="0.25">
      <c r="A41" s="36">
        <v>1248</v>
      </c>
      <c r="B41" s="14" t="s">
        <v>2523</v>
      </c>
      <c r="C41" s="14" t="s">
        <v>2524</v>
      </c>
      <c r="D41" s="17">
        <v>44136</v>
      </c>
      <c r="E41" s="14" t="s">
        <v>30</v>
      </c>
      <c r="F41" s="14">
        <v>56</v>
      </c>
      <c r="G41" s="14">
        <v>13</v>
      </c>
      <c r="H41" s="14">
        <v>7</v>
      </c>
      <c r="I41" s="14">
        <v>4</v>
      </c>
      <c r="J41" s="14" t="s">
        <v>31</v>
      </c>
      <c r="K41" s="14" cm="1">
        <f t="array" ref="K41">INT(SUMPRODUCT(--ISNUMBER(SEARCH(economy,C41)))&gt;0)</f>
        <v>0</v>
      </c>
      <c r="L41" s="14" cm="1">
        <f t="array" ref="L41">INT(SUMPRODUCT(--ISNUMBER(SEARCH(healthcare,C41)))&gt;0)</f>
        <v>0</v>
      </c>
      <c r="M41" s="14" cm="1">
        <f t="array" ref="M41">INT(SUMPRODUCT(--ISNUMBER(SEARCH(supreme,C41)))&gt;0)</f>
        <v>0</v>
      </c>
      <c r="N41" s="14" cm="1">
        <f t="array" ref="N41">INT(SUMPRODUCT(--ISNUMBER(SEARCH(covid,C41)))&gt;0)</f>
        <v>0</v>
      </c>
      <c r="O41" s="14" cm="1">
        <f t="array" ref="O41">INT(SUMPRODUCT(--ISNUMBER(SEARCH(violent,C41)))&gt;0)</f>
        <v>0</v>
      </c>
      <c r="P41" s="14" cm="1">
        <f t="array" ref="P41">INT(SUMPRODUCT(--ISNUMBER(SEARCH(foreign,C41)))&gt;0)</f>
        <v>0</v>
      </c>
      <c r="Q41" s="14" cm="1">
        <f t="array" ref="Q41">INT(SUMPRODUCT(--ISNUMBER(SEARCH(gun,C41)))&gt;0)</f>
        <v>0</v>
      </c>
      <c r="R41" s="14" cm="1">
        <f t="array" ref="R41">INT(SUMPRODUCT(--ISNUMBER(SEARCH(race,C41)))&gt;0)</f>
        <v>0</v>
      </c>
      <c r="S41" s="14" cm="1">
        <f t="array" ref="S41">INT(SUMPRODUCT(--ISNUMBER(SEARCH(immigration,C41)))&gt;0)</f>
        <v>0</v>
      </c>
      <c r="T41" s="14" cm="1">
        <f t="array" ref="T41">INT(SUMPRODUCT(--ISNUMBER(SEARCH(econineq,C42)))&gt;0)</f>
        <v>0</v>
      </c>
      <c r="U41" s="14" cm="1">
        <f t="array" ref="U41">INT(SUMPRODUCT(--ISNUMBER(SEARCH(climate,C41)))&gt;0)</f>
        <v>0</v>
      </c>
      <c r="V41" s="14" cm="1">
        <f t="array" ref="V41">INT(SUMPRODUCT(--ISNUMBER(SEARCH(abortion,C41)))&gt;0)</f>
        <v>0</v>
      </c>
      <c r="W41" s="14" cm="1">
        <f t="array" ref="W41">INT(SUMPRODUCT(--ISNUMBER(SEARCH(trump,C41)))&gt;0)</f>
        <v>0</v>
      </c>
      <c r="X41" s="14" cm="1">
        <f t="array" ref="X41">INT(SUMPRODUCT(--ISNUMBER(SEARCH(voting,C41)))&gt;0)</f>
        <v>0</v>
      </c>
      <c r="Y41" s="14" cm="1">
        <f t="array" ref="Y41">INT(SUMPRODUCT(--ISNUMBER(SEARCH(republicantrigger,C41)))&gt;0)</f>
        <v>0</v>
      </c>
      <c r="Z41" s="14" cm="1">
        <f t="array" ref="Z41">INT(SUMPRODUCT(--ISNUMBER(SEARCH(bipartisan,C41)))&gt;0)</f>
        <v>0</v>
      </c>
      <c r="AA41" s="14">
        <f t="shared" si="0"/>
        <v>1</v>
      </c>
      <c r="AB41" s="14"/>
      <c r="AC41" s="30">
        <v>0</v>
      </c>
      <c r="AD41" s="37">
        <v>1</v>
      </c>
    </row>
    <row r="42" spans="1:30" x14ac:dyDescent="0.25">
      <c r="A42" s="36">
        <v>1249</v>
      </c>
      <c r="B42" s="14" t="s">
        <v>2525</v>
      </c>
      <c r="C42" s="14" t="s">
        <v>2526</v>
      </c>
      <c r="D42" s="17">
        <v>44136</v>
      </c>
      <c r="E42" s="14" t="s">
        <v>30</v>
      </c>
      <c r="F42" s="14">
        <v>42</v>
      </c>
      <c r="G42" s="14">
        <v>7</v>
      </c>
      <c r="H42" s="14">
        <v>7</v>
      </c>
      <c r="I42" s="14">
        <v>4</v>
      </c>
      <c r="J42" s="14" t="s">
        <v>31</v>
      </c>
      <c r="K42" s="14" cm="1">
        <f t="array" ref="K42">INT(SUMPRODUCT(--ISNUMBER(SEARCH(economy,C42)))&gt;0)</f>
        <v>1</v>
      </c>
      <c r="L42" s="14" cm="1">
        <f t="array" ref="L42">INT(SUMPRODUCT(--ISNUMBER(SEARCH(healthcare,C42)))&gt;0)</f>
        <v>0</v>
      </c>
      <c r="M42" s="14" cm="1">
        <f t="array" ref="M42">INT(SUMPRODUCT(--ISNUMBER(SEARCH(supreme,C42)))&gt;0)</f>
        <v>0</v>
      </c>
      <c r="N42" s="14" cm="1">
        <f t="array" ref="N42">INT(SUMPRODUCT(--ISNUMBER(SEARCH(covid,C42)))&gt;0)</f>
        <v>0</v>
      </c>
      <c r="O42" s="14" cm="1">
        <f t="array" ref="O42">INT(SUMPRODUCT(--ISNUMBER(SEARCH(violent,C42)))&gt;0)</f>
        <v>0</v>
      </c>
      <c r="P42" s="14" cm="1">
        <f t="array" ref="P42">INT(SUMPRODUCT(--ISNUMBER(SEARCH(foreign,C42)))&gt;0)</f>
        <v>0</v>
      </c>
      <c r="Q42" s="14" cm="1">
        <f t="array" ref="Q42">INT(SUMPRODUCT(--ISNUMBER(SEARCH(gun,C42)))&gt;0)</f>
        <v>0</v>
      </c>
      <c r="R42" s="14" cm="1">
        <f t="array" ref="R42">INT(SUMPRODUCT(--ISNUMBER(SEARCH(race,C42)))&gt;0)</f>
        <v>0</v>
      </c>
      <c r="S42" s="14" cm="1">
        <f t="array" ref="S42">INT(SUMPRODUCT(--ISNUMBER(SEARCH(immigration,C42)))&gt;0)</f>
        <v>0</v>
      </c>
      <c r="T42" s="14" cm="1">
        <f t="array" ref="T42">INT(SUMPRODUCT(--ISNUMBER(SEARCH(econineq,C43)))&gt;0)</f>
        <v>0</v>
      </c>
      <c r="U42" s="14" cm="1">
        <f t="array" ref="U42">INT(SUMPRODUCT(--ISNUMBER(SEARCH(climate,C42)))&gt;0)</f>
        <v>0</v>
      </c>
      <c r="V42" s="14" cm="1">
        <f t="array" ref="V42">INT(SUMPRODUCT(--ISNUMBER(SEARCH(abortion,C42)))&gt;0)</f>
        <v>0</v>
      </c>
      <c r="W42" s="14" cm="1">
        <f t="array" ref="W42">INT(SUMPRODUCT(--ISNUMBER(SEARCH(trump,C42)))&gt;0)</f>
        <v>0</v>
      </c>
      <c r="X42" s="14" cm="1">
        <f t="array" ref="X42">INT(SUMPRODUCT(--ISNUMBER(SEARCH(voting,C42)))&gt;0)</f>
        <v>0</v>
      </c>
      <c r="Y42" s="14" cm="1">
        <f t="array" ref="Y42">INT(SUMPRODUCT(--ISNUMBER(SEARCH(republicantrigger,C42)))&gt;0)</f>
        <v>0</v>
      </c>
      <c r="Z42" s="14" cm="1">
        <f t="array" ref="Z42">INT(SUMPRODUCT(--ISNUMBER(SEARCH(bipartisan,C42)))&gt;0)</f>
        <v>0</v>
      </c>
      <c r="AA42" s="14">
        <f t="shared" si="0"/>
        <v>0</v>
      </c>
      <c r="AB42" s="14"/>
      <c r="AC42" s="30">
        <v>1</v>
      </c>
      <c r="AD42" s="37">
        <v>0</v>
      </c>
    </row>
    <row r="43" spans="1:30" x14ac:dyDescent="0.25">
      <c r="A43" s="36">
        <v>1250</v>
      </c>
      <c r="B43" s="14" t="s">
        <v>2527</v>
      </c>
      <c r="C43" s="14" t="s">
        <v>2528</v>
      </c>
      <c r="D43" s="17">
        <v>44135</v>
      </c>
      <c r="E43" s="14" t="s">
        <v>30</v>
      </c>
      <c r="F43" s="14">
        <v>25</v>
      </c>
      <c r="G43" s="14">
        <v>5</v>
      </c>
      <c r="H43" s="14">
        <v>7</v>
      </c>
      <c r="I43" s="14">
        <v>4</v>
      </c>
      <c r="J43" s="14" t="s">
        <v>31</v>
      </c>
      <c r="K43" s="14" cm="1">
        <f t="array" ref="K43">INT(SUMPRODUCT(--ISNUMBER(SEARCH(economy,C43)))&gt;0)</f>
        <v>1</v>
      </c>
      <c r="L43" s="14" cm="1">
        <f t="array" ref="L43">INT(SUMPRODUCT(--ISNUMBER(SEARCH(healthcare,C43)))&gt;0)</f>
        <v>0</v>
      </c>
      <c r="M43" s="14" cm="1">
        <f t="array" ref="M43">INT(SUMPRODUCT(--ISNUMBER(SEARCH(supreme,C43)))&gt;0)</f>
        <v>0</v>
      </c>
      <c r="N43" s="14" cm="1">
        <f t="array" ref="N43">INT(SUMPRODUCT(--ISNUMBER(SEARCH(covid,C43)))&gt;0)</f>
        <v>0</v>
      </c>
      <c r="O43" s="14" cm="1">
        <f t="array" ref="O43">INT(SUMPRODUCT(--ISNUMBER(SEARCH(violent,C43)))&gt;0)</f>
        <v>0</v>
      </c>
      <c r="P43" s="14" cm="1">
        <f t="array" ref="P43">INT(SUMPRODUCT(--ISNUMBER(SEARCH(foreign,C43)))&gt;0)</f>
        <v>0</v>
      </c>
      <c r="Q43" s="14" cm="1">
        <f t="array" ref="Q43">INT(SUMPRODUCT(--ISNUMBER(SEARCH(gun,C43)))&gt;0)</f>
        <v>0</v>
      </c>
      <c r="R43" s="14" cm="1">
        <f t="array" ref="R43">INT(SUMPRODUCT(--ISNUMBER(SEARCH(race,C43)))&gt;0)</f>
        <v>0</v>
      </c>
      <c r="S43" s="14" cm="1">
        <f t="array" ref="S43">INT(SUMPRODUCT(--ISNUMBER(SEARCH(immigration,C43)))&gt;0)</f>
        <v>0</v>
      </c>
      <c r="T43" s="14" cm="1">
        <f t="array" ref="T43">INT(SUMPRODUCT(--ISNUMBER(SEARCH(econineq,C44)))&gt;0)</f>
        <v>0</v>
      </c>
      <c r="U43" s="14" cm="1">
        <f t="array" ref="U43">INT(SUMPRODUCT(--ISNUMBER(SEARCH(climate,C43)))&gt;0)</f>
        <v>0</v>
      </c>
      <c r="V43" s="14" cm="1">
        <f t="array" ref="V43">INT(SUMPRODUCT(--ISNUMBER(SEARCH(abortion,C43)))&gt;0)</f>
        <v>0</v>
      </c>
      <c r="W43" s="14" cm="1">
        <f t="array" ref="W43">INT(SUMPRODUCT(--ISNUMBER(SEARCH(trump,C43)))&gt;0)</f>
        <v>0</v>
      </c>
      <c r="X43" s="14" cm="1">
        <f t="array" ref="X43">INT(SUMPRODUCT(--ISNUMBER(SEARCH(voting,C43)))&gt;0)</f>
        <v>1</v>
      </c>
      <c r="Y43" s="14" cm="1">
        <f t="array" ref="Y43">INT(SUMPRODUCT(--ISNUMBER(SEARCH(republicantrigger,C43)))&gt;0)</f>
        <v>0</v>
      </c>
      <c r="Z43" s="14" cm="1">
        <f t="array" ref="Z43">INT(SUMPRODUCT(--ISNUMBER(SEARCH(bipartisan,C43)))&gt;0)</f>
        <v>0</v>
      </c>
      <c r="AA43" s="14">
        <f t="shared" si="0"/>
        <v>0</v>
      </c>
      <c r="AB43" s="14"/>
      <c r="AC43" s="30">
        <v>1</v>
      </c>
      <c r="AD43" s="37">
        <v>0</v>
      </c>
    </row>
    <row r="44" spans="1:30" x14ac:dyDescent="0.25">
      <c r="A44" s="36">
        <v>1251</v>
      </c>
      <c r="B44" s="14" t="s">
        <v>2529</v>
      </c>
      <c r="C44" s="14" t="s">
        <v>2530</v>
      </c>
      <c r="D44" s="17">
        <v>44135</v>
      </c>
      <c r="E44" s="14" t="s">
        <v>30</v>
      </c>
      <c r="F44" s="14">
        <v>21</v>
      </c>
      <c r="G44" s="14">
        <v>4</v>
      </c>
      <c r="H44" s="14">
        <v>7</v>
      </c>
      <c r="I44" s="14">
        <v>4</v>
      </c>
      <c r="J44" s="14" t="s">
        <v>31</v>
      </c>
      <c r="K44" s="14" cm="1">
        <f t="array" ref="K44">INT(SUMPRODUCT(--ISNUMBER(SEARCH(economy,C44)))&gt;0)</f>
        <v>0</v>
      </c>
      <c r="L44" s="14" cm="1">
        <f t="array" ref="L44">INT(SUMPRODUCT(--ISNUMBER(SEARCH(healthcare,C44)))&gt;0)</f>
        <v>0</v>
      </c>
      <c r="M44" s="14" cm="1">
        <f t="array" ref="M44">INT(SUMPRODUCT(--ISNUMBER(SEARCH(supreme,C44)))&gt;0)</f>
        <v>0</v>
      </c>
      <c r="N44" s="14" cm="1">
        <f t="array" ref="N44">INT(SUMPRODUCT(--ISNUMBER(SEARCH(covid,C44)))&gt;0)</f>
        <v>0</v>
      </c>
      <c r="O44" s="14" cm="1">
        <f t="array" ref="O44">INT(SUMPRODUCT(--ISNUMBER(SEARCH(violent,C44)))&gt;0)</f>
        <v>0</v>
      </c>
      <c r="P44" s="14" cm="1">
        <f t="array" ref="P44">INT(SUMPRODUCT(--ISNUMBER(SEARCH(foreign,C44)))&gt;0)</f>
        <v>0</v>
      </c>
      <c r="Q44" s="14" cm="1">
        <f t="array" ref="Q44">INT(SUMPRODUCT(--ISNUMBER(SEARCH(gun,C44)))&gt;0)</f>
        <v>0</v>
      </c>
      <c r="R44" s="14" cm="1">
        <f t="array" ref="R44">INT(SUMPRODUCT(--ISNUMBER(SEARCH(race,C44)))&gt;0)</f>
        <v>0</v>
      </c>
      <c r="S44" s="14" cm="1">
        <f t="array" ref="S44">INT(SUMPRODUCT(--ISNUMBER(SEARCH(immigration,C44)))&gt;0)</f>
        <v>0</v>
      </c>
      <c r="T44" s="14" cm="1">
        <f t="array" ref="T44">INT(SUMPRODUCT(--ISNUMBER(SEARCH(econineq,C45)))&gt;0)</f>
        <v>0</v>
      </c>
      <c r="U44" s="14" cm="1">
        <f t="array" ref="U44">INT(SUMPRODUCT(--ISNUMBER(SEARCH(climate,C44)))&gt;0)</f>
        <v>0</v>
      </c>
      <c r="V44" s="14" cm="1">
        <f t="array" ref="V44">INT(SUMPRODUCT(--ISNUMBER(SEARCH(abortion,C44)))&gt;0)</f>
        <v>0</v>
      </c>
      <c r="W44" s="14" cm="1">
        <f t="array" ref="W44">INT(SUMPRODUCT(--ISNUMBER(SEARCH(trump,C44)))&gt;0)</f>
        <v>0</v>
      </c>
      <c r="X44" s="14" cm="1">
        <f t="array" ref="X44">INT(SUMPRODUCT(--ISNUMBER(SEARCH(voting,C44)))&gt;0)</f>
        <v>1</v>
      </c>
      <c r="Y44" s="14" cm="1">
        <f t="array" ref="Y44">INT(SUMPRODUCT(--ISNUMBER(SEARCH(republicantrigger,C44)))&gt;0)</f>
        <v>0</v>
      </c>
      <c r="Z44" s="14" cm="1">
        <f t="array" ref="Z44">INT(SUMPRODUCT(--ISNUMBER(SEARCH(bipartisan,C44)))&gt;0)</f>
        <v>0</v>
      </c>
      <c r="AA44" s="14">
        <f t="shared" si="0"/>
        <v>0</v>
      </c>
      <c r="AB44" s="14"/>
      <c r="AC44" s="30">
        <v>1</v>
      </c>
      <c r="AD44" s="37">
        <v>0</v>
      </c>
    </row>
    <row r="45" spans="1:30" x14ac:dyDescent="0.25">
      <c r="A45" s="36">
        <v>1252</v>
      </c>
      <c r="B45" s="14" t="s">
        <v>2531</v>
      </c>
      <c r="C45" s="14" t="s">
        <v>2532</v>
      </c>
      <c r="D45" s="17">
        <v>44135</v>
      </c>
      <c r="E45" s="14" t="s">
        <v>30</v>
      </c>
      <c r="F45" s="14">
        <v>24</v>
      </c>
      <c r="G45" s="14">
        <v>6</v>
      </c>
      <c r="H45" s="14">
        <v>7</v>
      </c>
      <c r="I45" s="14">
        <v>4</v>
      </c>
      <c r="J45" s="14" t="s">
        <v>31</v>
      </c>
      <c r="K45" s="14" cm="1">
        <f t="array" ref="K45">INT(SUMPRODUCT(--ISNUMBER(SEARCH(economy,C45)))&gt;0)</f>
        <v>0</v>
      </c>
      <c r="L45" s="14" cm="1">
        <f t="array" ref="L45">INT(SUMPRODUCT(--ISNUMBER(SEARCH(healthcare,C45)))&gt;0)</f>
        <v>0</v>
      </c>
      <c r="M45" s="14" cm="1">
        <f t="array" ref="M45">INT(SUMPRODUCT(--ISNUMBER(SEARCH(supreme,C45)))&gt;0)</f>
        <v>0</v>
      </c>
      <c r="N45" s="14" cm="1">
        <f t="array" ref="N45">INT(SUMPRODUCT(--ISNUMBER(SEARCH(covid,C45)))&gt;0)</f>
        <v>0</v>
      </c>
      <c r="O45" s="14" cm="1">
        <f t="array" ref="O45">INT(SUMPRODUCT(--ISNUMBER(SEARCH(violent,C45)))&gt;0)</f>
        <v>0</v>
      </c>
      <c r="P45" s="14" cm="1">
        <f t="array" ref="P45">INT(SUMPRODUCT(--ISNUMBER(SEARCH(foreign,C45)))&gt;0)</f>
        <v>0</v>
      </c>
      <c r="Q45" s="14" cm="1">
        <f t="array" ref="Q45">INT(SUMPRODUCT(--ISNUMBER(SEARCH(gun,C45)))&gt;0)</f>
        <v>0</v>
      </c>
      <c r="R45" s="14" cm="1">
        <f t="array" ref="R45">INT(SUMPRODUCT(--ISNUMBER(SEARCH(race,C45)))&gt;0)</f>
        <v>0</v>
      </c>
      <c r="S45" s="14" cm="1">
        <f t="array" ref="S45">INT(SUMPRODUCT(--ISNUMBER(SEARCH(immigration,C45)))&gt;0)</f>
        <v>0</v>
      </c>
      <c r="T45" s="14" cm="1">
        <f t="array" ref="T45">INT(SUMPRODUCT(--ISNUMBER(SEARCH(econineq,C46)))&gt;0)</f>
        <v>0</v>
      </c>
      <c r="U45" s="14" cm="1">
        <f t="array" ref="U45">INT(SUMPRODUCT(--ISNUMBER(SEARCH(climate,C45)))&gt;0)</f>
        <v>0</v>
      </c>
      <c r="V45" s="14" cm="1">
        <f t="array" ref="V45">INT(SUMPRODUCT(--ISNUMBER(SEARCH(abortion,C45)))&gt;0)</f>
        <v>0</v>
      </c>
      <c r="W45" s="14" cm="1">
        <f t="array" ref="W45">INT(SUMPRODUCT(--ISNUMBER(SEARCH(trump,C45)))&gt;0)</f>
        <v>0</v>
      </c>
      <c r="X45" s="14" cm="1">
        <f t="array" ref="X45">INT(SUMPRODUCT(--ISNUMBER(SEARCH(voting,C45)))&gt;0)</f>
        <v>0</v>
      </c>
      <c r="Y45" s="14" cm="1">
        <f t="array" ref="Y45">INT(SUMPRODUCT(--ISNUMBER(SEARCH(republicantrigger,C45)))&gt;0)</f>
        <v>0</v>
      </c>
      <c r="Z45" s="14" cm="1">
        <f t="array" ref="Z45">INT(SUMPRODUCT(--ISNUMBER(SEARCH(bipartisan,C45)))&gt;0)</f>
        <v>0</v>
      </c>
      <c r="AA45" s="14">
        <f t="shared" si="0"/>
        <v>1</v>
      </c>
      <c r="AB45" s="14"/>
      <c r="AC45" s="30">
        <v>1</v>
      </c>
      <c r="AD45" s="37">
        <v>0</v>
      </c>
    </row>
    <row r="46" spans="1:30" x14ac:dyDescent="0.25">
      <c r="A46" s="36">
        <v>1253</v>
      </c>
      <c r="B46" s="14" t="s">
        <v>2533</v>
      </c>
      <c r="C46" s="14" t="s">
        <v>2534</v>
      </c>
      <c r="D46" s="17">
        <v>44135</v>
      </c>
      <c r="E46" s="14" t="s">
        <v>30</v>
      </c>
      <c r="F46" s="14">
        <v>32</v>
      </c>
      <c r="G46" s="14">
        <v>7</v>
      </c>
      <c r="H46" s="14">
        <v>7</v>
      </c>
      <c r="I46" s="14">
        <v>4</v>
      </c>
      <c r="J46" s="14" t="s">
        <v>31</v>
      </c>
      <c r="K46" s="14" cm="1">
        <f t="array" ref="K46">INT(SUMPRODUCT(--ISNUMBER(SEARCH(economy,C46)))&gt;0)</f>
        <v>0</v>
      </c>
      <c r="L46" s="14" cm="1">
        <f t="array" ref="L46">INT(SUMPRODUCT(--ISNUMBER(SEARCH(healthcare,C46)))&gt;0)</f>
        <v>0</v>
      </c>
      <c r="M46" s="14" cm="1">
        <f t="array" ref="M46">INT(SUMPRODUCT(--ISNUMBER(SEARCH(supreme,C46)))&gt;0)</f>
        <v>0</v>
      </c>
      <c r="N46" s="14" cm="1">
        <f t="array" ref="N46">INT(SUMPRODUCT(--ISNUMBER(SEARCH(covid,C46)))&gt;0)</f>
        <v>0</v>
      </c>
      <c r="O46" s="14" cm="1">
        <f t="array" ref="O46">INT(SUMPRODUCT(--ISNUMBER(SEARCH(violent,C46)))&gt;0)</f>
        <v>0</v>
      </c>
      <c r="P46" s="14" cm="1">
        <f t="array" ref="P46">INT(SUMPRODUCT(--ISNUMBER(SEARCH(foreign,C46)))&gt;0)</f>
        <v>0</v>
      </c>
      <c r="Q46" s="14" cm="1">
        <f t="array" ref="Q46">INT(SUMPRODUCT(--ISNUMBER(SEARCH(gun,C46)))&gt;0)</f>
        <v>0</v>
      </c>
      <c r="R46" s="14" cm="1">
        <f t="array" ref="R46">INT(SUMPRODUCT(--ISNUMBER(SEARCH(race,C46)))&gt;0)</f>
        <v>0</v>
      </c>
      <c r="S46" s="14" cm="1">
        <f t="array" ref="S46">INT(SUMPRODUCT(--ISNUMBER(SEARCH(immigration,C46)))&gt;0)</f>
        <v>0</v>
      </c>
      <c r="T46" s="14" cm="1">
        <f t="array" ref="T46">INT(SUMPRODUCT(--ISNUMBER(SEARCH(econineq,C47)))&gt;0)</f>
        <v>0</v>
      </c>
      <c r="U46" s="14" cm="1">
        <f t="array" ref="U46">INT(SUMPRODUCT(--ISNUMBER(SEARCH(climate,C46)))&gt;0)</f>
        <v>0</v>
      </c>
      <c r="V46" s="14" cm="1">
        <f t="array" ref="V46">INT(SUMPRODUCT(--ISNUMBER(SEARCH(abortion,C46)))&gt;0)</f>
        <v>0</v>
      </c>
      <c r="W46" s="14" cm="1">
        <f t="array" ref="W46">INT(SUMPRODUCT(--ISNUMBER(SEARCH(trump,C46)))&gt;0)</f>
        <v>0</v>
      </c>
      <c r="X46" s="14" cm="1">
        <f t="array" ref="X46">INT(SUMPRODUCT(--ISNUMBER(SEARCH(voting,C46)))&gt;0)</f>
        <v>0</v>
      </c>
      <c r="Y46" s="14" cm="1">
        <f t="array" ref="Y46">INT(SUMPRODUCT(--ISNUMBER(SEARCH(republicantrigger,C46)))&gt;0)</f>
        <v>0</v>
      </c>
      <c r="Z46" s="14" cm="1">
        <f t="array" ref="Z46">INT(SUMPRODUCT(--ISNUMBER(SEARCH(bipartisan,C46)))&gt;0)</f>
        <v>0</v>
      </c>
      <c r="AA46" s="14">
        <f t="shared" si="0"/>
        <v>1</v>
      </c>
      <c r="AB46" s="14"/>
      <c r="AC46" s="30">
        <v>1</v>
      </c>
      <c r="AD46" s="37">
        <v>0</v>
      </c>
    </row>
    <row r="47" spans="1:30" x14ac:dyDescent="0.25">
      <c r="A47" s="36">
        <v>1254</v>
      </c>
      <c r="B47" s="14" t="s">
        <v>2535</v>
      </c>
      <c r="C47" s="14" t="s">
        <v>2536</v>
      </c>
      <c r="D47" s="17">
        <v>44135</v>
      </c>
      <c r="E47" s="14" t="s">
        <v>30</v>
      </c>
      <c r="F47" s="14">
        <v>34</v>
      </c>
      <c r="G47" s="14">
        <v>11</v>
      </c>
      <c r="H47" s="14">
        <v>7</v>
      </c>
      <c r="I47" s="14">
        <v>4</v>
      </c>
      <c r="J47" s="14" t="s">
        <v>31</v>
      </c>
      <c r="K47" s="14" cm="1">
        <f t="array" ref="K47">INT(SUMPRODUCT(--ISNUMBER(SEARCH(economy,C47)))&gt;0)</f>
        <v>1</v>
      </c>
      <c r="L47" s="14" cm="1">
        <f t="array" ref="L47">INT(SUMPRODUCT(--ISNUMBER(SEARCH(healthcare,C47)))&gt;0)</f>
        <v>0</v>
      </c>
      <c r="M47" s="14" cm="1">
        <f t="array" ref="M47">INT(SUMPRODUCT(--ISNUMBER(SEARCH(supreme,C47)))&gt;0)</f>
        <v>0</v>
      </c>
      <c r="N47" s="14" cm="1">
        <f t="array" ref="N47">INT(SUMPRODUCT(--ISNUMBER(SEARCH(covid,C47)))&gt;0)</f>
        <v>0</v>
      </c>
      <c r="O47" s="14" cm="1">
        <f t="array" ref="O47">INT(SUMPRODUCT(--ISNUMBER(SEARCH(violent,C47)))&gt;0)</f>
        <v>0</v>
      </c>
      <c r="P47" s="14" cm="1">
        <f t="array" ref="P47">INT(SUMPRODUCT(--ISNUMBER(SEARCH(foreign,C47)))&gt;0)</f>
        <v>0</v>
      </c>
      <c r="Q47" s="14" cm="1">
        <f t="array" ref="Q47">INT(SUMPRODUCT(--ISNUMBER(SEARCH(gun,C47)))&gt;0)</f>
        <v>0</v>
      </c>
      <c r="R47" s="14" cm="1">
        <f t="array" ref="R47">INT(SUMPRODUCT(--ISNUMBER(SEARCH(race,C47)))&gt;0)</f>
        <v>0</v>
      </c>
      <c r="S47" s="14" cm="1">
        <f t="array" ref="S47">INT(SUMPRODUCT(--ISNUMBER(SEARCH(immigration,C47)))&gt;0)</f>
        <v>0</v>
      </c>
      <c r="T47" s="14" cm="1">
        <f t="array" ref="T47">INT(SUMPRODUCT(--ISNUMBER(SEARCH(econineq,C48)))&gt;0)</f>
        <v>0</v>
      </c>
      <c r="U47" s="14" cm="1">
        <f t="array" ref="U47">INT(SUMPRODUCT(--ISNUMBER(SEARCH(climate,C47)))&gt;0)</f>
        <v>0</v>
      </c>
      <c r="V47" s="14" cm="1">
        <f t="array" ref="V47">INT(SUMPRODUCT(--ISNUMBER(SEARCH(abortion,C47)))&gt;0)</f>
        <v>0</v>
      </c>
      <c r="W47" s="14" cm="1">
        <f t="array" ref="W47">INT(SUMPRODUCT(--ISNUMBER(SEARCH(trump,C47)))&gt;0)</f>
        <v>0</v>
      </c>
      <c r="X47" s="14" cm="1">
        <f t="array" ref="X47">INT(SUMPRODUCT(--ISNUMBER(SEARCH(voting,C47)))&gt;0)</f>
        <v>0</v>
      </c>
      <c r="Y47" s="14" cm="1">
        <f t="array" ref="Y47">INT(SUMPRODUCT(--ISNUMBER(SEARCH(republicantrigger,C47)))&gt;0)</f>
        <v>1</v>
      </c>
      <c r="Z47" s="14" cm="1">
        <f t="array" ref="Z47">INT(SUMPRODUCT(--ISNUMBER(SEARCH(bipartisan,C47)))&gt;0)</f>
        <v>0</v>
      </c>
      <c r="AA47" s="14">
        <f t="shared" si="0"/>
        <v>0</v>
      </c>
      <c r="AB47" s="14"/>
      <c r="AC47" s="30">
        <v>1</v>
      </c>
      <c r="AD47" s="37">
        <v>0</v>
      </c>
    </row>
    <row r="48" spans="1:30" x14ac:dyDescent="0.25">
      <c r="A48" s="36">
        <v>1255</v>
      </c>
      <c r="B48" s="14" t="s">
        <v>2537</v>
      </c>
      <c r="C48" s="14" t="s">
        <v>2538</v>
      </c>
      <c r="D48" s="17">
        <v>44135</v>
      </c>
      <c r="E48" s="14" t="s">
        <v>30</v>
      </c>
      <c r="F48" s="14">
        <v>36</v>
      </c>
      <c r="G48" s="14">
        <v>6</v>
      </c>
      <c r="H48" s="14">
        <v>7</v>
      </c>
      <c r="I48" s="14">
        <v>4</v>
      </c>
      <c r="J48" s="14" t="s">
        <v>31</v>
      </c>
      <c r="K48" s="14" cm="1">
        <f t="array" ref="K48">INT(SUMPRODUCT(--ISNUMBER(SEARCH(economy,C48)))&gt;0)</f>
        <v>1</v>
      </c>
      <c r="L48" s="14" cm="1">
        <f t="array" ref="L48">INT(SUMPRODUCT(--ISNUMBER(SEARCH(healthcare,C48)))&gt;0)</f>
        <v>0</v>
      </c>
      <c r="M48" s="14" cm="1">
        <f t="array" ref="M48">INT(SUMPRODUCT(--ISNUMBER(SEARCH(supreme,C48)))&gt;0)</f>
        <v>0</v>
      </c>
      <c r="N48" s="14" cm="1">
        <f t="array" ref="N48">INT(SUMPRODUCT(--ISNUMBER(SEARCH(covid,C48)))&gt;0)</f>
        <v>0</v>
      </c>
      <c r="O48" s="14" cm="1">
        <f t="array" ref="O48">INT(SUMPRODUCT(--ISNUMBER(SEARCH(violent,C48)))&gt;0)</f>
        <v>0</v>
      </c>
      <c r="P48" s="14" cm="1">
        <f t="array" ref="P48">INT(SUMPRODUCT(--ISNUMBER(SEARCH(foreign,C48)))&gt;0)</f>
        <v>0</v>
      </c>
      <c r="Q48" s="14" cm="1">
        <f t="array" ref="Q48">INT(SUMPRODUCT(--ISNUMBER(SEARCH(gun,C48)))&gt;0)</f>
        <v>0</v>
      </c>
      <c r="R48" s="14" cm="1">
        <f t="array" ref="R48">INT(SUMPRODUCT(--ISNUMBER(SEARCH(race,C48)))&gt;0)</f>
        <v>0</v>
      </c>
      <c r="S48" s="14" cm="1">
        <f t="array" ref="S48">INT(SUMPRODUCT(--ISNUMBER(SEARCH(immigration,C48)))&gt;0)</f>
        <v>0</v>
      </c>
      <c r="T48" s="14" cm="1">
        <f t="array" ref="T48">INT(SUMPRODUCT(--ISNUMBER(SEARCH(econineq,C49)))&gt;0)</f>
        <v>0</v>
      </c>
      <c r="U48" s="14" cm="1">
        <f t="array" ref="U48">INT(SUMPRODUCT(--ISNUMBER(SEARCH(climate,C48)))&gt;0)</f>
        <v>0</v>
      </c>
      <c r="V48" s="14" cm="1">
        <f t="array" ref="V48">INT(SUMPRODUCT(--ISNUMBER(SEARCH(abortion,C48)))&gt;0)</f>
        <v>0</v>
      </c>
      <c r="W48" s="14" cm="1">
        <f t="array" ref="W48">INT(SUMPRODUCT(--ISNUMBER(SEARCH(trump,C48)))&gt;0)</f>
        <v>0</v>
      </c>
      <c r="X48" s="14" cm="1">
        <f t="array" ref="X48">INT(SUMPRODUCT(--ISNUMBER(SEARCH(voting,C48)))&gt;0)</f>
        <v>0</v>
      </c>
      <c r="Y48" s="14" cm="1">
        <f t="array" ref="Y48">INT(SUMPRODUCT(--ISNUMBER(SEARCH(republicantrigger,C48)))&gt;0)</f>
        <v>0</v>
      </c>
      <c r="Z48" s="14" cm="1">
        <f t="array" ref="Z48">INT(SUMPRODUCT(--ISNUMBER(SEARCH(bipartisan,C48)))&gt;0)</f>
        <v>0</v>
      </c>
      <c r="AA48" s="14">
        <f t="shared" si="0"/>
        <v>0</v>
      </c>
      <c r="AB48" s="14"/>
      <c r="AC48" s="30">
        <v>1</v>
      </c>
      <c r="AD48" s="37">
        <v>0</v>
      </c>
    </row>
    <row r="49" spans="1:30" x14ac:dyDescent="0.25">
      <c r="A49" s="36">
        <v>1256</v>
      </c>
      <c r="B49" s="14" t="s">
        <v>2539</v>
      </c>
      <c r="C49" s="14" t="s">
        <v>2540</v>
      </c>
      <c r="D49" s="17">
        <v>44135</v>
      </c>
      <c r="E49" s="14" t="s">
        <v>30</v>
      </c>
      <c r="F49" s="14">
        <v>21</v>
      </c>
      <c r="G49" s="14">
        <v>3</v>
      </c>
      <c r="H49" s="14">
        <v>7</v>
      </c>
      <c r="I49" s="14">
        <v>4</v>
      </c>
      <c r="J49" s="14" t="s">
        <v>31</v>
      </c>
      <c r="K49" s="14" cm="1">
        <f t="array" ref="K49">INT(SUMPRODUCT(--ISNUMBER(SEARCH(economy,C49)))&gt;0)</f>
        <v>0</v>
      </c>
      <c r="L49" s="14" cm="1">
        <f t="array" ref="L49">INT(SUMPRODUCT(--ISNUMBER(SEARCH(healthcare,C49)))&gt;0)</f>
        <v>0</v>
      </c>
      <c r="M49" s="14" cm="1">
        <f t="array" ref="M49">INT(SUMPRODUCT(--ISNUMBER(SEARCH(supreme,C49)))&gt;0)</f>
        <v>0</v>
      </c>
      <c r="N49" s="14" cm="1">
        <f t="array" ref="N49">INT(SUMPRODUCT(--ISNUMBER(SEARCH(covid,C49)))&gt;0)</f>
        <v>0</v>
      </c>
      <c r="O49" s="14" cm="1">
        <f t="array" ref="O49">INT(SUMPRODUCT(--ISNUMBER(SEARCH(violent,C49)))&gt;0)</f>
        <v>0</v>
      </c>
      <c r="P49" s="14" cm="1">
        <f t="array" ref="P49">INT(SUMPRODUCT(--ISNUMBER(SEARCH(foreign,C49)))&gt;0)</f>
        <v>0</v>
      </c>
      <c r="Q49" s="14" cm="1">
        <f t="array" ref="Q49">INT(SUMPRODUCT(--ISNUMBER(SEARCH(gun,C49)))&gt;0)</f>
        <v>0</v>
      </c>
      <c r="R49" s="14" cm="1">
        <f t="array" ref="R49">INT(SUMPRODUCT(--ISNUMBER(SEARCH(race,C49)))&gt;0)</f>
        <v>0</v>
      </c>
      <c r="S49" s="14" cm="1">
        <f t="array" ref="S49">INT(SUMPRODUCT(--ISNUMBER(SEARCH(immigration,C49)))&gt;0)</f>
        <v>0</v>
      </c>
      <c r="T49" s="14" cm="1">
        <f t="array" ref="T49">INT(SUMPRODUCT(--ISNUMBER(SEARCH(econineq,C50)))&gt;0)</f>
        <v>0</v>
      </c>
      <c r="U49" s="14" cm="1">
        <f t="array" ref="U49">INT(SUMPRODUCT(--ISNUMBER(SEARCH(climate,C49)))&gt;0)</f>
        <v>0</v>
      </c>
      <c r="V49" s="14" cm="1">
        <f t="array" ref="V49">INT(SUMPRODUCT(--ISNUMBER(SEARCH(abortion,C49)))&gt;0)</f>
        <v>0</v>
      </c>
      <c r="W49" s="14" cm="1">
        <f t="array" ref="W49">INT(SUMPRODUCT(--ISNUMBER(SEARCH(trump,C49)))&gt;0)</f>
        <v>0</v>
      </c>
      <c r="X49" s="14" cm="1">
        <f t="array" ref="X49">INT(SUMPRODUCT(--ISNUMBER(SEARCH(voting,C49)))&gt;0)</f>
        <v>0</v>
      </c>
      <c r="Y49" s="14" cm="1">
        <f t="array" ref="Y49">INT(SUMPRODUCT(--ISNUMBER(SEARCH(republicantrigger,C49)))&gt;0)</f>
        <v>0</v>
      </c>
      <c r="Z49" s="14" cm="1">
        <f t="array" ref="Z49">INT(SUMPRODUCT(--ISNUMBER(SEARCH(bipartisan,C49)))&gt;0)</f>
        <v>0</v>
      </c>
      <c r="AA49" s="14">
        <f t="shared" si="0"/>
        <v>1</v>
      </c>
      <c r="AB49" s="14"/>
      <c r="AC49" s="30">
        <v>1</v>
      </c>
      <c r="AD49" s="37">
        <v>0</v>
      </c>
    </row>
    <row r="50" spans="1:30" x14ac:dyDescent="0.25">
      <c r="A50" s="36">
        <v>1257</v>
      </c>
      <c r="B50" s="14" t="s">
        <v>2541</v>
      </c>
      <c r="C50" s="14" t="s">
        <v>2542</v>
      </c>
      <c r="D50" s="17">
        <v>44135</v>
      </c>
      <c r="E50" s="14" t="s">
        <v>30</v>
      </c>
      <c r="F50" s="14">
        <v>41</v>
      </c>
      <c r="G50" s="14">
        <v>11</v>
      </c>
      <c r="H50" s="14">
        <v>7</v>
      </c>
      <c r="I50" s="14">
        <v>4</v>
      </c>
      <c r="J50" s="14" t="s">
        <v>31</v>
      </c>
      <c r="K50" s="14" cm="1">
        <f t="array" ref="K50">INT(SUMPRODUCT(--ISNUMBER(SEARCH(economy,C50)))&gt;0)</f>
        <v>0</v>
      </c>
      <c r="L50" s="14" cm="1">
        <f t="array" ref="L50">INT(SUMPRODUCT(--ISNUMBER(SEARCH(healthcare,C50)))&gt;0)</f>
        <v>0</v>
      </c>
      <c r="M50" s="14" cm="1">
        <f t="array" ref="M50">INT(SUMPRODUCT(--ISNUMBER(SEARCH(supreme,C50)))&gt;0)</f>
        <v>0</v>
      </c>
      <c r="N50" s="14" cm="1">
        <f t="array" ref="N50">INT(SUMPRODUCT(--ISNUMBER(SEARCH(covid,C50)))&gt;0)</f>
        <v>0</v>
      </c>
      <c r="O50" s="14" cm="1">
        <f t="array" ref="O50">INT(SUMPRODUCT(--ISNUMBER(SEARCH(violent,C50)))&gt;0)</f>
        <v>0</v>
      </c>
      <c r="P50" s="14" cm="1">
        <f t="array" ref="P50">INT(SUMPRODUCT(--ISNUMBER(SEARCH(foreign,C50)))&gt;0)</f>
        <v>0</v>
      </c>
      <c r="Q50" s="14" cm="1">
        <f t="array" ref="Q50">INT(SUMPRODUCT(--ISNUMBER(SEARCH(gun,C50)))&gt;0)</f>
        <v>0</v>
      </c>
      <c r="R50" s="14" cm="1">
        <f t="array" ref="R50">INT(SUMPRODUCT(--ISNUMBER(SEARCH(race,C50)))&gt;0)</f>
        <v>0</v>
      </c>
      <c r="S50" s="14" cm="1">
        <f t="array" ref="S50">INT(SUMPRODUCT(--ISNUMBER(SEARCH(immigration,C50)))&gt;0)</f>
        <v>0</v>
      </c>
      <c r="T50" s="14" cm="1">
        <f t="array" ref="T50">INT(SUMPRODUCT(--ISNUMBER(SEARCH(econineq,C51)))&gt;0)</f>
        <v>0</v>
      </c>
      <c r="U50" s="14" cm="1">
        <f t="array" ref="U50">INT(SUMPRODUCT(--ISNUMBER(SEARCH(climate,C50)))&gt;0)</f>
        <v>0</v>
      </c>
      <c r="V50" s="14" cm="1">
        <f t="array" ref="V50">INT(SUMPRODUCT(--ISNUMBER(SEARCH(abortion,C50)))&gt;0)</f>
        <v>0</v>
      </c>
      <c r="W50" s="14" cm="1">
        <f t="array" ref="W50">INT(SUMPRODUCT(--ISNUMBER(SEARCH(trump,C50)))&gt;0)</f>
        <v>0</v>
      </c>
      <c r="X50" s="14" cm="1">
        <f t="array" ref="X50">INT(SUMPRODUCT(--ISNUMBER(SEARCH(voting,C50)))&gt;0)</f>
        <v>0</v>
      </c>
      <c r="Y50" s="14" cm="1">
        <f t="array" ref="Y50">INT(SUMPRODUCT(--ISNUMBER(SEARCH(republicantrigger,C50)))&gt;0)</f>
        <v>0</v>
      </c>
      <c r="Z50" s="14" cm="1">
        <f t="array" ref="Z50">INT(SUMPRODUCT(--ISNUMBER(SEARCH(bipartisan,C50)))&gt;0)</f>
        <v>0</v>
      </c>
      <c r="AA50" s="14">
        <f t="shared" si="0"/>
        <v>1</v>
      </c>
      <c r="AB50" s="14"/>
      <c r="AC50" s="30">
        <v>0</v>
      </c>
      <c r="AD50" s="37">
        <v>1</v>
      </c>
    </row>
    <row r="51" spans="1:30" x14ac:dyDescent="0.25">
      <c r="A51" s="36">
        <v>1258</v>
      </c>
      <c r="B51" s="14" t="s">
        <v>2543</v>
      </c>
      <c r="C51" s="14" t="s">
        <v>2544</v>
      </c>
      <c r="D51" s="17">
        <v>44135</v>
      </c>
      <c r="E51" s="14" t="s">
        <v>30</v>
      </c>
      <c r="F51" s="14">
        <v>31</v>
      </c>
      <c r="G51" s="14">
        <v>6</v>
      </c>
      <c r="H51" s="14">
        <v>7</v>
      </c>
      <c r="I51" s="14">
        <v>4</v>
      </c>
      <c r="J51" s="14" t="s">
        <v>31</v>
      </c>
      <c r="K51" s="14" cm="1">
        <f t="array" ref="K51">INT(SUMPRODUCT(--ISNUMBER(SEARCH(economy,C51)))&gt;0)</f>
        <v>0</v>
      </c>
      <c r="L51" s="14" cm="1">
        <f t="array" ref="L51">INT(SUMPRODUCT(--ISNUMBER(SEARCH(healthcare,C51)))&gt;0)</f>
        <v>0</v>
      </c>
      <c r="M51" s="14" cm="1">
        <f t="array" ref="M51">INT(SUMPRODUCT(--ISNUMBER(SEARCH(supreme,C51)))&gt;0)</f>
        <v>0</v>
      </c>
      <c r="N51" s="14" cm="1">
        <f t="array" ref="N51">INT(SUMPRODUCT(--ISNUMBER(SEARCH(covid,C51)))&gt;0)</f>
        <v>0</v>
      </c>
      <c r="O51" s="14" cm="1">
        <f t="array" ref="O51">INT(SUMPRODUCT(--ISNUMBER(SEARCH(violent,C51)))&gt;0)</f>
        <v>0</v>
      </c>
      <c r="P51" s="14" cm="1">
        <f t="array" ref="P51">INT(SUMPRODUCT(--ISNUMBER(SEARCH(foreign,C51)))&gt;0)</f>
        <v>0</v>
      </c>
      <c r="Q51" s="14" cm="1">
        <f t="array" ref="Q51">INT(SUMPRODUCT(--ISNUMBER(SEARCH(gun,C51)))&gt;0)</f>
        <v>0</v>
      </c>
      <c r="R51" s="14" cm="1">
        <f t="array" ref="R51">INT(SUMPRODUCT(--ISNUMBER(SEARCH(race,C51)))&gt;0)</f>
        <v>0</v>
      </c>
      <c r="S51" s="14" cm="1">
        <f t="array" ref="S51">INT(SUMPRODUCT(--ISNUMBER(SEARCH(immigration,C51)))&gt;0)</f>
        <v>0</v>
      </c>
      <c r="T51" s="14" cm="1">
        <f t="array" ref="T51">INT(SUMPRODUCT(--ISNUMBER(SEARCH(econineq,C52)))&gt;0)</f>
        <v>0</v>
      </c>
      <c r="U51" s="14" cm="1">
        <f t="array" ref="U51">INT(SUMPRODUCT(--ISNUMBER(SEARCH(climate,C51)))&gt;0)</f>
        <v>0</v>
      </c>
      <c r="V51" s="14" cm="1">
        <f t="array" ref="V51">INT(SUMPRODUCT(--ISNUMBER(SEARCH(abortion,C51)))&gt;0)</f>
        <v>0</v>
      </c>
      <c r="W51" s="14" cm="1">
        <f t="array" ref="W51">INT(SUMPRODUCT(--ISNUMBER(SEARCH(trump,C51)))&gt;0)</f>
        <v>0</v>
      </c>
      <c r="X51" s="14" cm="1">
        <f t="array" ref="X51">INT(SUMPRODUCT(--ISNUMBER(SEARCH(voting,C51)))&gt;0)</f>
        <v>0</v>
      </c>
      <c r="Y51" s="14" cm="1">
        <f t="array" ref="Y51">INT(SUMPRODUCT(--ISNUMBER(SEARCH(republicantrigger,C51)))&gt;0)</f>
        <v>1</v>
      </c>
      <c r="Z51" s="14" cm="1">
        <f t="array" ref="Z51">INT(SUMPRODUCT(--ISNUMBER(SEARCH(bipartisan,C51)))&gt;0)</f>
        <v>0</v>
      </c>
      <c r="AA51" s="14">
        <f t="shared" si="0"/>
        <v>0</v>
      </c>
      <c r="AB51" s="14"/>
      <c r="AC51" s="30">
        <v>1</v>
      </c>
      <c r="AD51" s="37">
        <v>0</v>
      </c>
    </row>
    <row r="52" spans="1:30" x14ac:dyDescent="0.25">
      <c r="A52" s="36">
        <v>1259</v>
      </c>
      <c r="B52" s="14" t="s">
        <v>2545</v>
      </c>
      <c r="C52" s="14" t="s">
        <v>2546</v>
      </c>
      <c r="D52" s="17">
        <v>44135</v>
      </c>
      <c r="E52" s="14" t="s">
        <v>30</v>
      </c>
      <c r="F52" s="14">
        <v>53</v>
      </c>
      <c r="G52" s="14">
        <v>8</v>
      </c>
      <c r="H52" s="14">
        <v>7</v>
      </c>
      <c r="I52" s="14">
        <v>4</v>
      </c>
      <c r="J52" s="14" t="s">
        <v>31</v>
      </c>
      <c r="K52" s="14" cm="1">
        <f t="array" ref="K52">INT(SUMPRODUCT(--ISNUMBER(SEARCH(economy,C52)))&gt;0)</f>
        <v>0</v>
      </c>
      <c r="L52" s="14" cm="1">
        <f t="array" ref="L52">INT(SUMPRODUCT(--ISNUMBER(SEARCH(healthcare,C52)))&gt;0)</f>
        <v>0</v>
      </c>
      <c r="M52" s="14" cm="1">
        <f t="array" ref="M52">INT(SUMPRODUCT(--ISNUMBER(SEARCH(supreme,C52)))&gt;0)</f>
        <v>0</v>
      </c>
      <c r="N52" s="14" cm="1">
        <f t="array" ref="N52">INT(SUMPRODUCT(--ISNUMBER(SEARCH(covid,C52)))&gt;0)</f>
        <v>0</v>
      </c>
      <c r="O52" s="14" cm="1">
        <f t="array" ref="O52">INT(SUMPRODUCT(--ISNUMBER(SEARCH(violent,C52)))&gt;0)</f>
        <v>0</v>
      </c>
      <c r="P52" s="14" cm="1">
        <f t="array" ref="P52">INT(SUMPRODUCT(--ISNUMBER(SEARCH(foreign,C52)))&gt;0)</f>
        <v>0</v>
      </c>
      <c r="Q52" s="14" cm="1">
        <f t="array" ref="Q52">INT(SUMPRODUCT(--ISNUMBER(SEARCH(gun,C52)))&gt;0)</f>
        <v>0</v>
      </c>
      <c r="R52" s="14" cm="1">
        <f t="array" ref="R52">INT(SUMPRODUCT(--ISNUMBER(SEARCH(race,C52)))&gt;0)</f>
        <v>0</v>
      </c>
      <c r="S52" s="14" cm="1">
        <f t="array" ref="S52">INT(SUMPRODUCT(--ISNUMBER(SEARCH(immigration,C52)))&gt;0)</f>
        <v>0</v>
      </c>
      <c r="T52" s="14" cm="1">
        <f t="array" ref="T52">INT(SUMPRODUCT(--ISNUMBER(SEARCH(econineq,C53)))&gt;0)</f>
        <v>0</v>
      </c>
      <c r="U52" s="14" cm="1">
        <f t="array" ref="U52">INT(SUMPRODUCT(--ISNUMBER(SEARCH(climate,C52)))&gt;0)</f>
        <v>0</v>
      </c>
      <c r="V52" s="14" cm="1">
        <f t="array" ref="V52">INT(SUMPRODUCT(--ISNUMBER(SEARCH(abortion,C52)))&gt;0)</f>
        <v>0</v>
      </c>
      <c r="W52" s="14" cm="1">
        <f t="array" ref="W52">INT(SUMPRODUCT(--ISNUMBER(SEARCH(trump,C52)))&gt;0)</f>
        <v>0</v>
      </c>
      <c r="X52" s="14" cm="1">
        <f t="array" ref="X52">INT(SUMPRODUCT(--ISNUMBER(SEARCH(voting,C52)))&gt;0)</f>
        <v>0</v>
      </c>
      <c r="Y52" s="14" cm="1">
        <f t="array" ref="Y52">INT(SUMPRODUCT(--ISNUMBER(SEARCH(republicantrigger,C52)))&gt;0)</f>
        <v>0</v>
      </c>
      <c r="Z52" s="14" cm="1">
        <f t="array" ref="Z52">INT(SUMPRODUCT(--ISNUMBER(SEARCH(bipartisan,C52)))&gt;0)</f>
        <v>0</v>
      </c>
      <c r="AA52" s="14">
        <f t="shared" si="0"/>
        <v>1</v>
      </c>
      <c r="AB52" s="14"/>
      <c r="AC52" s="30">
        <v>0</v>
      </c>
      <c r="AD52" s="37">
        <v>1</v>
      </c>
    </row>
    <row r="53" spans="1:30" x14ac:dyDescent="0.25">
      <c r="A53" s="36">
        <v>1260</v>
      </c>
      <c r="B53" s="14" t="s">
        <v>2547</v>
      </c>
      <c r="C53" s="14" t="s">
        <v>2548</v>
      </c>
      <c r="D53" s="17">
        <v>44134</v>
      </c>
      <c r="E53" s="14" t="s">
        <v>30</v>
      </c>
      <c r="F53" s="14">
        <v>25</v>
      </c>
      <c r="G53" s="14">
        <v>5</v>
      </c>
      <c r="H53" s="14">
        <v>7</v>
      </c>
      <c r="I53" s="14">
        <v>4</v>
      </c>
      <c r="J53" s="14" t="s">
        <v>31</v>
      </c>
      <c r="K53" s="14" cm="1">
        <f t="array" ref="K53">INT(SUMPRODUCT(--ISNUMBER(SEARCH(economy,C53)))&gt;0)</f>
        <v>1</v>
      </c>
      <c r="L53" s="14" cm="1">
        <f t="array" ref="L53">INT(SUMPRODUCT(--ISNUMBER(SEARCH(healthcare,C53)))&gt;0)</f>
        <v>0</v>
      </c>
      <c r="M53" s="14" cm="1">
        <f t="array" ref="M53">INT(SUMPRODUCT(--ISNUMBER(SEARCH(supreme,C53)))&gt;0)</f>
        <v>0</v>
      </c>
      <c r="N53" s="14" cm="1">
        <f t="array" ref="N53">INT(SUMPRODUCT(--ISNUMBER(SEARCH(covid,C53)))&gt;0)</f>
        <v>0</v>
      </c>
      <c r="O53" s="14" cm="1">
        <f t="array" ref="O53">INT(SUMPRODUCT(--ISNUMBER(SEARCH(violent,C53)))&gt;0)</f>
        <v>0</v>
      </c>
      <c r="P53" s="14" cm="1">
        <f t="array" ref="P53">INT(SUMPRODUCT(--ISNUMBER(SEARCH(foreign,C53)))&gt;0)</f>
        <v>0</v>
      </c>
      <c r="Q53" s="14" cm="1">
        <f t="array" ref="Q53">INT(SUMPRODUCT(--ISNUMBER(SEARCH(gun,C53)))&gt;0)</f>
        <v>0</v>
      </c>
      <c r="R53" s="14" cm="1">
        <f t="array" ref="R53">INT(SUMPRODUCT(--ISNUMBER(SEARCH(race,C53)))&gt;0)</f>
        <v>0</v>
      </c>
      <c r="S53" s="14" cm="1">
        <f t="array" ref="S53">INT(SUMPRODUCT(--ISNUMBER(SEARCH(immigration,C53)))&gt;0)</f>
        <v>0</v>
      </c>
      <c r="T53" s="14" cm="1">
        <f t="array" ref="T53">INT(SUMPRODUCT(--ISNUMBER(SEARCH(econineq,C54)))&gt;0)</f>
        <v>0</v>
      </c>
      <c r="U53" s="14" cm="1">
        <f t="array" ref="U53">INT(SUMPRODUCT(--ISNUMBER(SEARCH(climate,C53)))&gt;0)</f>
        <v>0</v>
      </c>
      <c r="V53" s="14" cm="1">
        <f t="array" ref="V53">INT(SUMPRODUCT(--ISNUMBER(SEARCH(abortion,C53)))&gt;0)</f>
        <v>0</v>
      </c>
      <c r="W53" s="14" cm="1">
        <f t="array" ref="W53">INT(SUMPRODUCT(--ISNUMBER(SEARCH(trump,C53)))&gt;0)</f>
        <v>0</v>
      </c>
      <c r="X53" s="14" cm="1">
        <f t="array" ref="X53">INT(SUMPRODUCT(--ISNUMBER(SEARCH(voting,C53)))&gt;0)</f>
        <v>0</v>
      </c>
      <c r="Y53" s="14" cm="1">
        <f t="array" ref="Y53">INT(SUMPRODUCT(--ISNUMBER(SEARCH(republicantrigger,C53)))&gt;0)</f>
        <v>0</v>
      </c>
      <c r="Z53" s="14" cm="1">
        <f t="array" ref="Z53">INT(SUMPRODUCT(--ISNUMBER(SEARCH(bipartisan,C53)))&gt;0)</f>
        <v>0</v>
      </c>
      <c r="AA53" s="14">
        <f t="shared" si="0"/>
        <v>0</v>
      </c>
      <c r="AB53" s="14"/>
      <c r="AC53" s="30">
        <v>1</v>
      </c>
      <c r="AD53" s="37">
        <v>0</v>
      </c>
    </row>
    <row r="54" spans="1:30" x14ac:dyDescent="0.25">
      <c r="A54" s="36">
        <v>1261</v>
      </c>
      <c r="B54" s="14" t="s">
        <v>2549</v>
      </c>
      <c r="C54" s="14" t="s">
        <v>2550</v>
      </c>
      <c r="D54" s="17">
        <v>44134</v>
      </c>
      <c r="E54" s="14" t="s">
        <v>30</v>
      </c>
      <c r="F54" s="14">
        <v>32</v>
      </c>
      <c r="G54" s="14">
        <v>4</v>
      </c>
      <c r="H54" s="14">
        <v>7</v>
      </c>
      <c r="I54" s="14">
        <v>4</v>
      </c>
      <c r="J54" s="14" t="s">
        <v>31</v>
      </c>
      <c r="K54" s="14" cm="1">
        <f t="array" ref="K54">INT(SUMPRODUCT(--ISNUMBER(SEARCH(economy,C54)))&gt;0)</f>
        <v>1</v>
      </c>
      <c r="L54" s="14" cm="1">
        <f t="array" ref="L54">INT(SUMPRODUCT(--ISNUMBER(SEARCH(healthcare,C54)))&gt;0)</f>
        <v>0</v>
      </c>
      <c r="M54" s="14" cm="1">
        <f t="array" ref="M54">INT(SUMPRODUCT(--ISNUMBER(SEARCH(supreme,C54)))&gt;0)</f>
        <v>0</v>
      </c>
      <c r="N54" s="14" cm="1">
        <f t="array" ref="N54">INT(SUMPRODUCT(--ISNUMBER(SEARCH(covid,C54)))&gt;0)</f>
        <v>0</v>
      </c>
      <c r="O54" s="14" cm="1">
        <f t="array" ref="O54">INT(SUMPRODUCT(--ISNUMBER(SEARCH(violent,C54)))&gt;0)</f>
        <v>0</v>
      </c>
      <c r="P54" s="14" cm="1">
        <f t="array" ref="P54">INT(SUMPRODUCT(--ISNUMBER(SEARCH(foreign,C54)))&gt;0)</f>
        <v>0</v>
      </c>
      <c r="Q54" s="14" cm="1">
        <f t="array" ref="Q54">INT(SUMPRODUCT(--ISNUMBER(SEARCH(gun,C54)))&gt;0)</f>
        <v>0</v>
      </c>
      <c r="R54" s="14" cm="1">
        <f t="array" ref="R54">INT(SUMPRODUCT(--ISNUMBER(SEARCH(race,C54)))&gt;0)</f>
        <v>0</v>
      </c>
      <c r="S54" s="14" cm="1">
        <f t="array" ref="S54">INT(SUMPRODUCT(--ISNUMBER(SEARCH(immigration,C54)))&gt;0)</f>
        <v>0</v>
      </c>
      <c r="T54" s="14" cm="1">
        <f t="array" ref="T54">INT(SUMPRODUCT(--ISNUMBER(SEARCH(econineq,C55)))&gt;0)</f>
        <v>0</v>
      </c>
      <c r="U54" s="14" cm="1">
        <f t="array" ref="U54">INT(SUMPRODUCT(--ISNUMBER(SEARCH(climate,C54)))&gt;0)</f>
        <v>0</v>
      </c>
      <c r="V54" s="14" cm="1">
        <f t="array" ref="V54">INT(SUMPRODUCT(--ISNUMBER(SEARCH(abortion,C54)))&gt;0)</f>
        <v>0</v>
      </c>
      <c r="W54" s="14" cm="1">
        <f t="array" ref="W54">INT(SUMPRODUCT(--ISNUMBER(SEARCH(trump,C54)))&gt;0)</f>
        <v>0</v>
      </c>
      <c r="X54" s="14" cm="1">
        <f t="array" ref="X54">INT(SUMPRODUCT(--ISNUMBER(SEARCH(voting,C54)))&gt;0)</f>
        <v>0</v>
      </c>
      <c r="Y54" s="14" cm="1">
        <f t="array" ref="Y54">INT(SUMPRODUCT(--ISNUMBER(SEARCH(republicantrigger,C54)))&gt;0)</f>
        <v>0</v>
      </c>
      <c r="Z54" s="14" cm="1">
        <f t="array" ref="Z54">INT(SUMPRODUCT(--ISNUMBER(SEARCH(bipartisan,C54)))&gt;0)</f>
        <v>0</v>
      </c>
      <c r="AA54" s="14">
        <f t="shared" si="0"/>
        <v>0</v>
      </c>
      <c r="AB54" s="14"/>
      <c r="AC54" s="30">
        <v>1</v>
      </c>
      <c r="AD54" s="37">
        <v>0</v>
      </c>
    </row>
    <row r="55" spans="1:30" x14ac:dyDescent="0.25">
      <c r="A55" s="36">
        <v>1262</v>
      </c>
      <c r="B55" s="14" t="s">
        <v>2551</v>
      </c>
      <c r="C55" s="14" t="s">
        <v>2552</v>
      </c>
      <c r="D55" s="17">
        <v>44134</v>
      </c>
      <c r="E55" s="14" t="s">
        <v>30</v>
      </c>
      <c r="F55" s="14">
        <v>33</v>
      </c>
      <c r="G55" s="14">
        <v>3</v>
      </c>
      <c r="H55" s="14">
        <v>7</v>
      </c>
      <c r="I55" s="14">
        <v>4</v>
      </c>
      <c r="J55" s="14" t="s">
        <v>31</v>
      </c>
      <c r="K55" s="14" cm="1">
        <f t="array" ref="K55">INT(SUMPRODUCT(--ISNUMBER(SEARCH(economy,C55)))&gt;0)</f>
        <v>0</v>
      </c>
      <c r="L55" s="14" cm="1">
        <f t="array" ref="L55">INT(SUMPRODUCT(--ISNUMBER(SEARCH(healthcare,C55)))&gt;0)</f>
        <v>0</v>
      </c>
      <c r="M55" s="14" cm="1">
        <f t="array" ref="M55">INT(SUMPRODUCT(--ISNUMBER(SEARCH(supreme,C55)))&gt;0)</f>
        <v>0</v>
      </c>
      <c r="N55" s="14" cm="1">
        <f t="array" ref="N55">INT(SUMPRODUCT(--ISNUMBER(SEARCH(covid,C55)))&gt;0)</f>
        <v>0</v>
      </c>
      <c r="O55" s="14" cm="1">
        <f t="array" ref="O55">INT(SUMPRODUCT(--ISNUMBER(SEARCH(violent,C55)))&gt;0)</f>
        <v>0</v>
      </c>
      <c r="P55" s="14" cm="1">
        <f t="array" ref="P55">INT(SUMPRODUCT(--ISNUMBER(SEARCH(foreign,C55)))&gt;0)</f>
        <v>0</v>
      </c>
      <c r="Q55" s="14" cm="1">
        <f t="array" ref="Q55">INT(SUMPRODUCT(--ISNUMBER(SEARCH(gun,C55)))&gt;0)</f>
        <v>0</v>
      </c>
      <c r="R55" s="14" cm="1">
        <f t="array" ref="R55">INT(SUMPRODUCT(--ISNUMBER(SEARCH(race,C55)))&gt;0)</f>
        <v>0</v>
      </c>
      <c r="S55" s="14" cm="1">
        <f t="array" ref="S55">INT(SUMPRODUCT(--ISNUMBER(SEARCH(immigration,C55)))&gt;0)</f>
        <v>0</v>
      </c>
      <c r="T55" s="14" cm="1">
        <f t="array" ref="T55">INT(SUMPRODUCT(--ISNUMBER(SEARCH(econineq,C56)))&gt;0)</f>
        <v>0</v>
      </c>
      <c r="U55" s="14" cm="1">
        <f t="array" ref="U55">INT(SUMPRODUCT(--ISNUMBER(SEARCH(climate,C55)))&gt;0)</f>
        <v>0</v>
      </c>
      <c r="V55" s="14" cm="1">
        <f t="array" ref="V55">INT(SUMPRODUCT(--ISNUMBER(SEARCH(abortion,C55)))&gt;0)</f>
        <v>0</v>
      </c>
      <c r="W55" s="14" cm="1">
        <f t="array" ref="W55">INT(SUMPRODUCT(--ISNUMBER(SEARCH(trump,C55)))&gt;0)</f>
        <v>0</v>
      </c>
      <c r="X55" s="14" cm="1">
        <f t="array" ref="X55">INT(SUMPRODUCT(--ISNUMBER(SEARCH(voting,C55)))&gt;0)</f>
        <v>0</v>
      </c>
      <c r="Y55" s="14" cm="1">
        <f t="array" ref="Y55">INT(SUMPRODUCT(--ISNUMBER(SEARCH(republicantrigger,C55)))&gt;0)</f>
        <v>0</v>
      </c>
      <c r="Z55" s="14" cm="1">
        <f t="array" ref="Z55">INT(SUMPRODUCT(--ISNUMBER(SEARCH(bipartisan,C55)))&gt;0)</f>
        <v>0</v>
      </c>
      <c r="AA55" s="14">
        <f t="shared" si="0"/>
        <v>1</v>
      </c>
      <c r="AB55" s="14"/>
      <c r="AC55" s="30">
        <v>1</v>
      </c>
      <c r="AD55" s="37">
        <v>0</v>
      </c>
    </row>
    <row r="56" spans="1:30" x14ac:dyDescent="0.25">
      <c r="A56" s="36">
        <v>1263</v>
      </c>
      <c r="B56" s="14" t="s">
        <v>2553</v>
      </c>
      <c r="C56" s="14" t="s">
        <v>2554</v>
      </c>
      <c r="D56" s="17">
        <v>44134</v>
      </c>
      <c r="E56" s="14" t="s">
        <v>30</v>
      </c>
      <c r="F56" s="14">
        <v>26</v>
      </c>
      <c r="G56" s="14">
        <v>3</v>
      </c>
      <c r="H56" s="14">
        <v>7</v>
      </c>
      <c r="I56" s="14">
        <v>4</v>
      </c>
      <c r="J56" s="14" t="s">
        <v>31</v>
      </c>
      <c r="K56" s="14" cm="1">
        <f t="array" ref="K56">INT(SUMPRODUCT(--ISNUMBER(SEARCH(economy,C56)))&gt;0)</f>
        <v>0</v>
      </c>
      <c r="L56" s="14" cm="1">
        <f t="array" ref="L56">INT(SUMPRODUCT(--ISNUMBER(SEARCH(healthcare,C56)))&gt;0)</f>
        <v>0</v>
      </c>
      <c r="M56" s="14" cm="1">
        <f t="array" ref="M56">INT(SUMPRODUCT(--ISNUMBER(SEARCH(supreme,C56)))&gt;0)</f>
        <v>0</v>
      </c>
      <c r="N56" s="14" cm="1">
        <f t="array" ref="N56">INT(SUMPRODUCT(--ISNUMBER(SEARCH(covid,C56)))&gt;0)</f>
        <v>0</v>
      </c>
      <c r="O56" s="14" cm="1">
        <f t="array" ref="O56">INT(SUMPRODUCT(--ISNUMBER(SEARCH(violent,C56)))&gt;0)</f>
        <v>0</v>
      </c>
      <c r="P56" s="14" cm="1">
        <f t="array" ref="P56">INT(SUMPRODUCT(--ISNUMBER(SEARCH(foreign,C56)))&gt;0)</f>
        <v>0</v>
      </c>
      <c r="Q56" s="14" cm="1">
        <f t="array" ref="Q56">INT(SUMPRODUCT(--ISNUMBER(SEARCH(gun,C56)))&gt;0)</f>
        <v>0</v>
      </c>
      <c r="R56" s="14" cm="1">
        <f t="array" ref="R56">INT(SUMPRODUCT(--ISNUMBER(SEARCH(race,C56)))&gt;0)</f>
        <v>0</v>
      </c>
      <c r="S56" s="14" cm="1">
        <f t="array" ref="S56">INT(SUMPRODUCT(--ISNUMBER(SEARCH(immigration,C56)))&gt;0)</f>
        <v>0</v>
      </c>
      <c r="T56" s="14" cm="1">
        <f t="array" ref="T56">INT(SUMPRODUCT(--ISNUMBER(SEARCH(econineq,C57)))&gt;0)</f>
        <v>0</v>
      </c>
      <c r="U56" s="14" cm="1">
        <f t="array" ref="U56">INT(SUMPRODUCT(--ISNUMBER(SEARCH(climate,C56)))&gt;0)</f>
        <v>0</v>
      </c>
      <c r="V56" s="14" cm="1">
        <f t="array" ref="V56">INT(SUMPRODUCT(--ISNUMBER(SEARCH(abortion,C56)))&gt;0)</f>
        <v>0</v>
      </c>
      <c r="W56" s="14" cm="1">
        <f t="array" ref="W56">INT(SUMPRODUCT(--ISNUMBER(SEARCH(trump,C56)))&gt;0)</f>
        <v>0</v>
      </c>
      <c r="X56" s="14" cm="1">
        <f t="array" ref="X56">INT(SUMPRODUCT(--ISNUMBER(SEARCH(voting,C56)))&gt;0)</f>
        <v>0</v>
      </c>
      <c r="Y56" s="14" cm="1">
        <f t="array" ref="Y56">INT(SUMPRODUCT(--ISNUMBER(SEARCH(republicantrigger,C56)))&gt;0)</f>
        <v>0</v>
      </c>
      <c r="Z56" s="14" cm="1">
        <f t="array" ref="Z56">INT(SUMPRODUCT(--ISNUMBER(SEARCH(bipartisan,C56)))&gt;0)</f>
        <v>0</v>
      </c>
      <c r="AA56" s="14">
        <f t="shared" si="0"/>
        <v>1</v>
      </c>
      <c r="AB56" s="14"/>
      <c r="AC56" s="30">
        <v>0</v>
      </c>
      <c r="AD56" s="37">
        <v>1</v>
      </c>
    </row>
    <row r="57" spans="1:30" x14ac:dyDescent="0.25">
      <c r="A57" s="36">
        <v>1264</v>
      </c>
      <c r="B57" s="14" t="s">
        <v>2555</v>
      </c>
      <c r="C57" s="14" t="s">
        <v>2556</v>
      </c>
      <c r="D57" s="17">
        <v>44134</v>
      </c>
      <c r="E57" s="14" t="s">
        <v>30</v>
      </c>
      <c r="F57" s="14">
        <v>33</v>
      </c>
      <c r="G57" s="14">
        <v>3</v>
      </c>
      <c r="H57" s="14">
        <v>7</v>
      </c>
      <c r="I57" s="14">
        <v>4</v>
      </c>
      <c r="J57" s="14" t="s">
        <v>31</v>
      </c>
      <c r="K57" s="14" cm="1">
        <f t="array" ref="K57">INT(SUMPRODUCT(--ISNUMBER(SEARCH(economy,C57)))&gt;0)</f>
        <v>1</v>
      </c>
      <c r="L57" s="14" cm="1">
        <f t="array" ref="L57">INT(SUMPRODUCT(--ISNUMBER(SEARCH(healthcare,C57)))&gt;0)</f>
        <v>0</v>
      </c>
      <c r="M57" s="14" cm="1">
        <f t="array" ref="M57">INT(SUMPRODUCT(--ISNUMBER(SEARCH(supreme,C57)))&gt;0)</f>
        <v>0</v>
      </c>
      <c r="N57" s="14" cm="1">
        <f t="array" ref="N57">INT(SUMPRODUCT(--ISNUMBER(SEARCH(covid,C57)))&gt;0)</f>
        <v>0</v>
      </c>
      <c r="O57" s="14" cm="1">
        <f t="array" ref="O57">INT(SUMPRODUCT(--ISNUMBER(SEARCH(violent,C57)))&gt;0)</f>
        <v>0</v>
      </c>
      <c r="P57" s="14" cm="1">
        <f t="array" ref="P57">INT(SUMPRODUCT(--ISNUMBER(SEARCH(foreign,C57)))&gt;0)</f>
        <v>0</v>
      </c>
      <c r="Q57" s="14" cm="1">
        <f t="array" ref="Q57">INT(SUMPRODUCT(--ISNUMBER(SEARCH(gun,C57)))&gt;0)</f>
        <v>0</v>
      </c>
      <c r="R57" s="14" cm="1">
        <f t="array" ref="R57">INT(SUMPRODUCT(--ISNUMBER(SEARCH(race,C57)))&gt;0)</f>
        <v>0</v>
      </c>
      <c r="S57" s="14" cm="1">
        <f t="array" ref="S57">INT(SUMPRODUCT(--ISNUMBER(SEARCH(immigration,C57)))&gt;0)</f>
        <v>0</v>
      </c>
      <c r="T57" s="14" cm="1">
        <f t="array" ref="T57">INT(SUMPRODUCT(--ISNUMBER(SEARCH(econineq,C58)))&gt;0)</f>
        <v>0</v>
      </c>
      <c r="U57" s="14" cm="1">
        <f t="array" ref="U57">INT(SUMPRODUCT(--ISNUMBER(SEARCH(climate,C57)))&gt;0)</f>
        <v>0</v>
      </c>
      <c r="V57" s="14" cm="1">
        <f t="array" ref="V57">INT(SUMPRODUCT(--ISNUMBER(SEARCH(abortion,C57)))&gt;0)</f>
        <v>0</v>
      </c>
      <c r="W57" s="14" cm="1">
        <f t="array" ref="W57">INT(SUMPRODUCT(--ISNUMBER(SEARCH(trump,C57)))&gt;0)</f>
        <v>0</v>
      </c>
      <c r="X57" s="14" cm="1">
        <f t="array" ref="X57">INT(SUMPRODUCT(--ISNUMBER(SEARCH(voting,C57)))&gt;0)</f>
        <v>0</v>
      </c>
      <c r="Y57" s="14" cm="1">
        <f t="array" ref="Y57">INT(SUMPRODUCT(--ISNUMBER(SEARCH(republicantrigger,C57)))&gt;0)</f>
        <v>0</v>
      </c>
      <c r="Z57" s="14" cm="1">
        <f t="array" ref="Z57">INT(SUMPRODUCT(--ISNUMBER(SEARCH(bipartisan,C57)))&gt;0)</f>
        <v>0</v>
      </c>
      <c r="AA57" s="14">
        <f t="shared" si="0"/>
        <v>0</v>
      </c>
      <c r="AB57" s="14"/>
      <c r="AC57" s="30">
        <v>1</v>
      </c>
      <c r="AD57" s="37">
        <v>0</v>
      </c>
    </row>
    <row r="58" spans="1:30" x14ac:dyDescent="0.25">
      <c r="A58" s="36">
        <v>1265</v>
      </c>
      <c r="B58" s="14" t="s">
        <v>2557</v>
      </c>
      <c r="C58" s="14" t="s">
        <v>2558</v>
      </c>
      <c r="D58" s="17">
        <v>44134</v>
      </c>
      <c r="E58" s="14" t="s">
        <v>30</v>
      </c>
      <c r="F58" s="14">
        <v>22</v>
      </c>
      <c r="G58" s="14">
        <v>1</v>
      </c>
      <c r="H58" s="14">
        <v>7</v>
      </c>
      <c r="I58" s="14">
        <v>4</v>
      </c>
      <c r="J58" s="14" t="s">
        <v>31</v>
      </c>
      <c r="K58" s="14" cm="1">
        <f t="array" ref="K58">INT(SUMPRODUCT(--ISNUMBER(SEARCH(economy,C58)))&gt;0)</f>
        <v>0</v>
      </c>
      <c r="L58" s="14" cm="1">
        <f t="array" ref="L58">INT(SUMPRODUCT(--ISNUMBER(SEARCH(healthcare,C58)))&gt;0)</f>
        <v>0</v>
      </c>
      <c r="M58" s="14" cm="1">
        <f t="array" ref="M58">INT(SUMPRODUCT(--ISNUMBER(SEARCH(supreme,C58)))&gt;0)</f>
        <v>0</v>
      </c>
      <c r="N58" s="14" cm="1">
        <f t="array" ref="N58">INT(SUMPRODUCT(--ISNUMBER(SEARCH(covid,C58)))&gt;0)</f>
        <v>0</v>
      </c>
      <c r="O58" s="14" cm="1">
        <f t="array" ref="O58">INT(SUMPRODUCT(--ISNUMBER(SEARCH(violent,C58)))&gt;0)</f>
        <v>0</v>
      </c>
      <c r="P58" s="14" cm="1">
        <f t="array" ref="P58">INT(SUMPRODUCT(--ISNUMBER(SEARCH(foreign,C58)))&gt;0)</f>
        <v>0</v>
      </c>
      <c r="Q58" s="14" cm="1">
        <f t="array" ref="Q58">INT(SUMPRODUCT(--ISNUMBER(SEARCH(gun,C58)))&gt;0)</f>
        <v>0</v>
      </c>
      <c r="R58" s="14" cm="1">
        <f t="array" ref="R58">INT(SUMPRODUCT(--ISNUMBER(SEARCH(race,C58)))&gt;0)</f>
        <v>0</v>
      </c>
      <c r="S58" s="14" cm="1">
        <f t="array" ref="S58">INT(SUMPRODUCT(--ISNUMBER(SEARCH(immigration,C58)))&gt;0)</f>
        <v>0</v>
      </c>
      <c r="T58" s="14" cm="1">
        <f t="array" ref="T58">INT(SUMPRODUCT(--ISNUMBER(SEARCH(econineq,C59)))&gt;0)</f>
        <v>0</v>
      </c>
      <c r="U58" s="14" cm="1">
        <f t="array" ref="U58">INT(SUMPRODUCT(--ISNUMBER(SEARCH(climate,C58)))&gt;0)</f>
        <v>0</v>
      </c>
      <c r="V58" s="14" cm="1">
        <f t="array" ref="V58">INT(SUMPRODUCT(--ISNUMBER(SEARCH(abortion,C58)))&gt;0)</f>
        <v>0</v>
      </c>
      <c r="W58" s="14" cm="1">
        <f t="array" ref="W58">INT(SUMPRODUCT(--ISNUMBER(SEARCH(trump,C58)))&gt;0)</f>
        <v>0</v>
      </c>
      <c r="X58" s="14" cm="1">
        <f t="array" ref="X58">INT(SUMPRODUCT(--ISNUMBER(SEARCH(voting,C58)))&gt;0)</f>
        <v>0</v>
      </c>
      <c r="Y58" s="14" cm="1">
        <f t="array" ref="Y58">INT(SUMPRODUCT(--ISNUMBER(SEARCH(republicantrigger,C58)))&gt;0)</f>
        <v>0</v>
      </c>
      <c r="Z58" s="14" cm="1">
        <f t="array" ref="Z58">INT(SUMPRODUCT(--ISNUMBER(SEARCH(bipartisan,C58)))&gt;0)</f>
        <v>0</v>
      </c>
      <c r="AA58" s="14">
        <f t="shared" si="0"/>
        <v>1</v>
      </c>
      <c r="AB58" s="14"/>
      <c r="AC58" s="30">
        <v>1</v>
      </c>
      <c r="AD58" s="37">
        <v>0</v>
      </c>
    </row>
    <row r="59" spans="1:30" x14ac:dyDescent="0.25">
      <c r="A59" s="36">
        <v>1266</v>
      </c>
      <c r="B59" s="14" t="s">
        <v>2559</v>
      </c>
      <c r="C59" s="14" t="s">
        <v>2560</v>
      </c>
      <c r="D59" s="17">
        <v>44134</v>
      </c>
      <c r="E59" s="14" t="s">
        <v>30</v>
      </c>
      <c r="F59" s="14">
        <v>27</v>
      </c>
      <c r="G59" s="14">
        <v>7</v>
      </c>
      <c r="H59" s="14">
        <v>7</v>
      </c>
      <c r="I59" s="14">
        <v>4</v>
      </c>
      <c r="J59" s="14" t="s">
        <v>31</v>
      </c>
      <c r="K59" s="14" cm="1">
        <f t="array" ref="K59">INT(SUMPRODUCT(--ISNUMBER(SEARCH(economy,C59)))&gt;0)</f>
        <v>0</v>
      </c>
      <c r="L59" s="14" cm="1">
        <f t="array" ref="L59">INT(SUMPRODUCT(--ISNUMBER(SEARCH(healthcare,C59)))&gt;0)</f>
        <v>0</v>
      </c>
      <c r="M59" s="14" cm="1">
        <f t="array" ref="M59">INT(SUMPRODUCT(--ISNUMBER(SEARCH(supreme,C59)))&gt;0)</f>
        <v>0</v>
      </c>
      <c r="N59" s="14" cm="1">
        <f t="array" ref="N59">INT(SUMPRODUCT(--ISNUMBER(SEARCH(covid,C59)))&gt;0)</f>
        <v>0</v>
      </c>
      <c r="O59" s="14" cm="1">
        <f t="array" ref="O59">INT(SUMPRODUCT(--ISNUMBER(SEARCH(violent,C59)))&gt;0)</f>
        <v>0</v>
      </c>
      <c r="P59" s="14" cm="1">
        <f t="array" ref="P59">INT(SUMPRODUCT(--ISNUMBER(SEARCH(foreign,C59)))&gt;0)</f>
        <v>0</v>
      </c>
      <c r="Q59" s="14" cm="1">
        <f t="array" ref="Q59">INT(SUMPRODUCT(--ISNUMBER(SEARCH(gun,C59)))&gt;0)</f>
        <v>0</v>
      </c>
      <c r="R59" s="14" cm="1">
        <f t="array" ref="R59">INT(SUMPRODUCT(--ISNUMBER(SEARCH(race,C59)))&gt;0)</f>
        <v>0</v>
      </c>
      <c r="S59" s="14" cm="1">
        <f t="array" ref="S59">INT(SUMPRODUCT(--ISNUMBER(SEARCH(immigration,C59)))&gt;0)</f>
        <v>0</v>
      </c>
      <c r="T59" s="14" cm="1">
        <f t="array" ref="T59">INT(SUMPRODUCT(--ISNUMBER(SEARCH(econineq,C60)))&gt;0)</f>
        <v>0</v>
      </c>
      <c r="U59" s="14" cm="1">
        <f t="array" ref="U59">INT(SUMPRODUCT(--ISNUMBER(SEARCH(climate,C59)))&gt;0)</f>
        <v>0</v>
      </c>
      <c r="V59" s="14" cm="1">
        <f t="array" ref="V59">INT(SUMPRODUCT(--ISNUMBER(SEARCH(abortion,C59)))&gt;0)</f>
        <v>0</v>
      </c>
      <c r="W59" s="14" cm="1">
        <f t="array" ref="W59">INT(SUMPRODUCT(--ISNUMBER(SEARCH(trump,C59)))&gt;0)</f>
        <v>0</v>
      </c>
      <c r="X59" s="14" cm="1">
        <f t="array" ref="X59">INT(SUMPRODUCT(--ISNUMBER(SEARCH(voting,C59)))&gt;0)</f>
        <v>1</v>
      </c>
      <c r="Y59" s="14" cm="1">
        <f t="array" ref="Y59">INT(SUMPRODUCT(--ISNUMBER(SEARCH(republicantrigger,C59)))&gt;0)</f>
        <v>0</v>
      </c>
      <c r="Z59" s="14" cm="1">
        <f t="array" ref="Z59">INT(SUMPRODUCT(--ISNUMBER(SEARCH(bipartisan,C59)))&gt;0)</f>
        <v>0</v>
      </c>
      <c r="AA59" s="14">
        <f t="shared" si="0"/>
        <v>0</v>
      </c>
      <c r="AB59" s="14"/>
      <c r="AC59" s="30">
        <v>1</v>
      </c>
      <c r="AD59" s="37">
        <v>0</v>
      </c>
    </row>
    <row r="60" spans="1:30" x14ac:dyDescent="0.25">
      <c r="A60" s="36">
        <v>1267</v>
      </c>
      <c r="B60" s="14" t="s">
        <v>2561</v>
      </c>
      <c r="C60" s="14" t="s">
        <v>2562</v>
      </c>
      <c r="D60" s="17">
        <v>44134</v>
      </c>
      <c r="E60" s="14" t="s">
        <v>30</v>
      </c>
      <c r="F60" s="14">
        <v>20</v>
      </c>
      <c r="G60" s="14">
        <v>6</v>
      </c>
      <c r="H60" s="14">
        <v>7</v>
      </c>
      <c r="I60" s="14">
        <v>4</v>
      </c>
      <c r="J60" s="14" t="s">
        <v>31</v>
      </c>
      <c r="K60" s="14" cm="1">
        <f t="array" ref="K60">INT(SUMPRODUCT(--ISNUMBER(SEARCH(economy,C60)))&gt;0)</f>
        <v>1</v>
      </c>
      <c r="L60" s="14" cm="1">
        <f t="array" ref="L60">INT(SUMPRODUCT(--ISNUMBER(SEARCH(healthcare,C60)))&gt;0)</f>
        <v>0</v>
      </c>
      <c r="M60" s="14" cm="1">
        <f t="array" ref="M60">INT(SUMPRODUCT(--ISNUMBER(SEARCH(supreme,C60)))&gt;0)</f>
        <v>0</v>
      </c>
      <c r="N60" s="14" cm="1">
        <f t="array" ref="N60">INT(SUMPRODUCT(--ISNUMBER(SEARCH(covid,C60)))&gt;0)</f>
        <v>0</v>
      </c>
      <c r="O60" s="14" cm="1">
        <f t="array" ref="O60">INT(SUMPRODUCT(--ISNUMBER(SEARCH(violent,C60)))&gt;0)</f>
        <v>0</v>
      </c>
      <c r="P60" s="14" cm="1">
        <f t="array" ref="P60">INT(SUMPRODUCT(--ISNUMBER(SEARCH(foreign,C60)))&gt;0)</f>
        <v>0</v>
      </c>
      <c r="Q60" s="14" cm="1">
        <f t="array" ref="Q60">INT(SUMPRODUCT(--ISNUMBER(SEARCH(gun,C60)))&gt;0)</f>
        <v>0</v>
      </c>
      <c r="R60" s="14" cm="1">
        <f t="array" ref="R60">INT(SUMPRODUCT(--ISNUMBER(SEARCH(race,C60)))&gt;0)</f>
        <v>0</v>
      </c>
      <c r="S60" s="14" cm="1">
        <f t="array" ref="S60">INT(SUMPRODUCT(--ISNUMBER(SEARCH(immigration,C60)))&gt;0)</f>
        <v>0</v>
      </c>
      <c r="T60" s="14" cm="1">
        <f t="array" ref="T60">INT(SUMPRODUCT(--ISNUMBER(SEARCH(econineq,C61)))&gt;0)</f>
        <v>0</v>
      </c>
      <c r="U60" s="14" cm="1">
        <f t="array" ref="U60">INT(SUMPRODUCT(--ISNUMBER(SEARCH(climate,C60)))&gt;0)</f>
        <v>0</v>
      </c>
      <c r="V60" s="14" cm="1">
        <f t="array" ref="V60">INT(SUMPRODUCT(--ISNUMBER(SEARCH(abortion,C60)))&gt;0)</f>
        <v>0</v>
      </c>
      <c r="W60" s="14" cm="1">
        <f t="array" ref="W60">INT(SUMPRODUCT(--ISNUMBER(SEARCH(trump,C60)))&gt;0)</f>
        <v>0</v>
      </c>
      <c r="X60" s="14" cm="1">
        <f t="array" ref="X60">INT(SUMPRODUCT(--ISNUMBER(SEARCH(voting,C60)))&gt;0)</f>
        <v>0</v>
      </c>
      <c r="Y60" s="14" cm="1">
        <f t="array" ref="Y60">INT(SUMPRODUCT(--ISNUMBER(SEARCH(republicantrigger,C60)))&gt;0)</f>
        <v>0</v>
      </c>
      <c r="Z60" s="14" cm="1">
        <f t="array" ref="Z60">INT(SUMPRODUCT(--ISNUMBER(SEARCH(bipartisan,C60)))&gt;0)</f>
        <v>0</v>
      </c>
      <c r="AA60" s="14">
        <f t="shared" si="0"/>
        <v>0</v>
      </c>
      <c r="AB60" s="14"/>
      <c r="AC60" s="30">
        <v>1</v>
      </c>
      <c r="AD60" s="37">
        <v>0</v>
      </c>
    </row>
    <row r="61" spans="1:30" x14ac:dyDescent="0.25">
      <c r="A61" s="36">
        <v>1268</v>
      </c>
      <c r="B61" s="14" t="s">
        <v>2563</v>
      </c>
      <c r="C61" s="14" t="s">
        <v>2564</v>
      </c>
      <c r="D61" s="17">
        <v>44134</v>
      </c>
      <c r="E61" s="14" t="s">
        <v>30</v>
      </c>
      <c r="F61" s="14">
        <v>34</v>
      </c>
      <c r="G61" s="14">
        <v>6</v>
      </c>
      <c r="H61" s="14">
        <v>7</v>
      </c>
      <c r="I61" s="14">
        <v>4</v>
      </c>
      <c r="J61" s="14" t="s">
        <v>31</v>
      </c>
      <c r="K61" s="14" cm="1">
        <f t="array" ref="K61">INT(SUMPRODUCT(--ISNUMBER(SEARCH(economy,C61)))&gt;0)</f>
        <v>1</v>
      </c>
      <c r="L61" s="14" cm="1">
        <f t="array" ref="L61">INT(SUMPRODUCT(--ISNUMBER(SEARCH(healthcare,C61)))&gt;0)</f>
        <v>0</v>
      </c>
      <c r="M61" s="14" cm="1">
        <f t="array" ref="M61">INT(SUMPRODUCT(--ISNUMBER(SEARCH(supreme,C61)))&gt;0)</f>
        <v>0</v>
      </c>
      <c r="N61" s="14" cm="1">
        <f t="array" ref="N61">INT(SUMPRODUCT(--ISNUMBER(SEARCH(covid,C61)))&gt;0)</f>
        <v>0</v>
      </c>
      <c r="O61" s="14" cm="1">
        <f t="array" ref="O61">INT(SUMPRODUCT(--ISNUMBER(SEARCH(violent,C61)))&gt;0)</f>
        <v>0</v>
      </c>
      <c r="P61" s="14" cm="1">
        <f t="array" ref="P61">INT(SUMPRODUCT(--ISNUMBER(SEARCH(foreign,C61)))&gt;0)</f>
        <v>0</v>
      </c>
      <c r="Q61" s="14" cm="1">
        <f t="array" ref="Q61">INT(SUMPRODUCT(--ISNUMBER(SEARCH(gun,C61)))&gt;0)</f>
        <v>0</v>
      </c>
      <c r="R61" s="14" cm="1">
        <f t="array" ref="R61">INT(SUMPRODUCT(--ISNUMBER(SEARCH(race,C61)))&gt;0)</f>
        <v>0</v>
      </c>
      <c r="S61" s="14" cm="1">
        <f t="array" ref="S61">INT(SUMPRODUCT(--ISNUMBER(SEARCH(immigration,C61)))&gt;0)</f>
        <v>0</v>
      </c>
      <c r="T61" s="14" cm="1">
        <f t="array" ref="T61">INT(SUMPRODUCT(--ISNUMBER(SEARCH(econineq,C62)))&gt;0)</f>
        <v>0</v>
      </c>
      <c r="U61" s="14" cm="1">
        <f t="array" ref="U61">INT(SUMPRODUCT(--ISNUMBER(SEARCH(climate,C61)))&gt;0)</f>
        <v>0</v>
      </c>
      <c r="V61" s="14" cm="1">
        <f t="array" ref="V61">INT(SUMPRODUCT(--ISNUMBER(SEARCH(abortion,C61)))&gt;0)</f>
        <v>0</v>
      </c>
      <c r="W61" s="14" cm="1">
        <f t="array" ref="W61">INT(SUMPRODUCT(--ISNUMBER(SEARCH(trump,C61)))&gt;0)</f>
        <v>0</v>
      </c>
      <c r="X61" s="14" cm="1">
        <f t="array" ref="X61">INT(SUMPRODUCT(--ISNUMBER(SEARCH(voting,C61)))&gt;0)</f>
        <v>0</v>
      </c>
      <c r="Y61" s="14" cm="1">
        <f t="array" ref="Y61">INT(SUMPRODUCT(--ISNUMBER(SEARCH(republicantrigger,C61)))&gt;0)</f>
        <v>0</v>
      </c>
      <c r="Z61" s="14" cm="1">
        <f t="array" ref="Z61">INT(SUMPRODUCT(--ISNUMBER(SEARCH(bipartisan,C61)))&gt;0)</f>
        <v>0</v>
      </c>
      <c r="AA61" s="14">
        <f t="shared" si="0"/>
        <v>0</v>
      </c>
      <c r="AB61" s="14"/>
      <c r="AC61" s="30">
        <v>1</v>
      </c>
      <c r="AD61" s="37">
        <v>0</v>
      </c>
    </row>
    <row r="62" spans="1:30" x14ac:dyDescent="0.25">
      <c r="A62" s="36">
        <v>1269</v>
      </c>
      <c r="B62" s="14" t="s">
        <v>2565</v>
      </c>
      <c r="C62" s="14" t="s">
        <v>2566</v>
      </c>
      <c r="D62" s="17">
        <v>44134</v>
      </c>
      <c r="E62" s="14" t="s">
        <v>30</v>
      </c>
      <c r="F62" s="14">
        <v>24</v>
      </c>
      <c r="G62" s="14">
        <v>4</v>
      </c>
      <c r="H62" s="14">
        <v>7</v>
      </c>
      <c r="I62" s="14">
        <v>4</v>
      </c>
      <c r="J62" s="14" t="s">
        <v>31</v>
      </c>
      <c r="K62" s="14" cm="1">
        <f t="array" ref="K62">INT(SUMPRODUCT(--ISNUMBER(SEARCH(economy,C62)))&gt;0)</f>
        <v>1</v>
      </c>
      <c r="L62" s="14" cm="1">
        <f t="array" ref="L62">INT(SUMPRODUCT(--ISNUMBER(SEARCH(healthcare,C62)))&gt;0)</f>
        <v>0</v>
      </c>
      <c r="M62" s="14" cm="1">
        <f t="array" ref="M62">INT(SUMPRODUCT(--ISNUMBER(SEARCH(supreme,C62)))&gt;0)</f>
        <v>0</v>
      </c>
      <c r="N62" s="14" cm="1">
        <f t="array" ref="N62">INT(SUMPRODUCT(--ISNUMBER(SEARCH(covid,C62)))&gt;0)</f>
        <v>0</v>
      </c>
      <c r="O62" s="14" cm="1">
        <f t="array" ref="O62">INT(SUMPRODUCT(--ISNUMBER(SEARCH(violent,C62)))&gt;0)</f>
        <v>0</v>
      </c>
      <c r="P62" s="14" cm="1">
        <f t="array" ref="P62">INT(SUMPRODUCT(--ISNUMBER(SEARCH(foreign,C62)))&gt;0)</f>
        <v>0</v>
      </c>
      <c r="Q62" s="14" cm="1">
        <f t="array" ref="Q62">INT(SUMPRODUCT(--ISNUMBER(SEARCH(gun,C62)))&gt;0)</f>
        <v>0</v>
      </c>
      <c r="R62" s="14" cm="1">
        <f t="array" ref="R62">INT(SUMPRODUCT(--ISNUMBER(SEARCH(race,C62)))&gt;0)</f>
        <v>0</v>
      </c>
      <c r="S62" s="14" cm="1">
        <f t="array" ref="S62">INT(SUMPRODUCT(--ISNUMBER(SEARCH(immigration,C62)))&gt;0)</f>
        <v>0</v>
      </c>
      <c r="T62" s="14" cm="1">
        <f t="array" ref="T62">INT(SUMPRODUCT(--ISNUMBER(SEARCH(econineq,C63)))&gt;0)</f>
        <v>0</v>
      </c>
      <c r="U62" s="14" cm="1">
        <f t="array" ref="U62">INT(SUMPRODUCT(--ISNUMBER(SEARCH(climate,C62)))&gt;0)</f>
        <v>1</v>
      </c>
      <c r="V62" s="14" cm="1">
        <f t="array" ref="V62">INT(SUMPRODUCT(--ISNUMBER(SEARCH(abortion,C62)))&gt;0)</f>
        <v>0</v>
      </c>
      <c r="W62" s="14" cm="1">
        <f t="array" ref="W62">INT(SUMPRODUCT(--ISNUMBER(SEARCH(trump,C62)))&gt;0)</f>
        <v>0</v>
      </c>
      <c r="X62" s="14" cm="1">
        <f t="array" ref="X62">INT(SUMPRODUCT(--ISNUMBER(SEARCH(voting,C62)))&gt;0)</f>
        <v>0</v>
      </c>
      <c r="Y62" s="14" cm="1">
        <f t="array" ref="Y62">INT(SUMPRODUCT(--ISNUMBER(SEARCH(republicantrigger,C62)))&gt;0)</f>
        <v>1</v>
      </c>
      <c r="Z62" s="14" cm="1">
        <f t="array" ref="Z62">INT(SUMPRODUCT(--ISNUMBER(SEARCH(bipartisan,C62)))&gt;0)</f>
        <v>0</v>
      </c>
      <c r="AA62" s="14">
        <f t="shared" si="0"/>
        <v>0</v>
      </c>
      <c r="AB62" s="14"/>
      <c r="AC62" s="30">
        <v>1</v>
      </c>
      <c r="AD62" s="37">
        <v>0</v>
      </c>
    </row>
    <row r="63" spans="1:30" x14ac:dyDescent="0.25">
      <c r="A63" s="36">
        <v>1270</v>
      </c>
      <c r="B63" s="14" t="s">
        <v>2567</v>
      </c>
      <c r="C63" s="14" t="s">
        <v>2568</v>
      </c>
      <c r="D63" s="17">
        <v>44134</v>
      </c>
      <c r="E63" s="14" t="s">
        <v>30</v>
      </c>
      <c r="F63" s="14">
        <v>15</v>
      </c>
      <c r="G63" s="14">
        <v>1</v>
      </c>
      <c r="H63" s="14">
        <v>7</v>
      </c>
      <c r="I63" s="14">
        <v>4</v>
      </c>
      <c r="J63" s="14" t="s">
        <v>31</v>
      </c>
      <c r="K63" s="14" cm="1">
        <f t="array" ref="K63">INT(SUMPRODUCT(--ISNUMBER(SEARCH(economy,C63)))&gt;0)</f>
        <v>0</v>
      </c>
      <c r="L63" s="14" cm="1">
        <f t="array" ref="L63">INT(SUMPRODUCT(--ISNUMBER(SEARCH(healthcare,C63)))&gt;0)</f>
        <v>1</v>
      </c>
      <c r="M63" s="14" cm="1">
        <f t="array" ref="M63">INT(SUMPRODUCT(--ISNUMBER(SEARCH(supreme,C63)))&gt;0)</f>
        <v>0</v>
      </c>
      <c r="N63" s="14" cm="1">
        <f t="array" ref="N63">INT(SUMPRODUCT(--ISNUMBER(SEARCH(covid,C63)))&gt;0)</f>
        <v>1</v>
      </c>
      <c r="O63" s="14" cm="1">
        <f t="array" ref="O63">INT(SUMPRODUCT(--ISNUMBER(SEARCH(violent,C63)))&gt;0)</f>
        <v>0</v>
      </c>
      <c r="P63" s="14" cm="1">
        <f t="array" ref="P63">INT(SUMPRODUCT(--ISNUMBER(SEARCH(foreign,C63)))&gt;0)</f>
        <v>0</v>
      </c>
      <c r="Q63" s="14" cm="1">
        <f t="array" ref="Q63">INT(SUMPRODUCT(--ISNUMBER(SEARCH(gun,C63)))&gt;0)</f>
        <v>0</v>
      </c>
      <c r="R63" s="14" cm="1">
        <f t="array" ref="R63">INT(SUMPRODUCT(--ISNUMBER(SEARCH(race,C63)))&gt;0)</f>
        <v>0</v>
      </c>
      <c r="S63" s="14" cm="1">
        <f t="array" ref="S63">INT(SUMPRODUCT(--ISNUMBER(SEARCH(immigration,C63)))&gt;0)</f>
        <v>0</v>
      </c>
      <c r="T63" s="14" cm="1">
        <f t="array" ref="T63">INT(SUMPRODUCT(--ISNUMBER(SEARCH(econineq,C64)))&gt;0)</f>
        <v>1</v>
      </c>
      <c r="U63" s="14" cm="1">
        <f t="array" ref="U63">INT(SUMPRODUCT(--ISNUMBER(SEARCH(climate,C63)))&gt;0)</f>
        <v>0</v>
      </c>
      <c r="V63" s="14" cm="1">
        <f t="array" ref="V63">INT(SUMPRODUCT(--ISNUMBER(SEARCH(abortion,C63)))&gt;0)</f>
        <v>0</v>
      </c>
      <c r="W63" s="14" cm="1">
        <f t="array" ref="W63">INT(SUMPRODUCT(--ISNUMBER(SEARCH(trump,C63)))&gt;0)</f>
        <v>0</v>
      </c>
      <c r="X63" s="14" cm="1">
        <f t="array" ref="X63">INT(SUMPRODUCT(--ISNUMBER(SEARCH(voting,C63)))&gt;0)</f>
        <v>0</v>
      </c>
      <c r="Y63" s="14" cm="1">
        <f t="array" ref="Y63">INT(SUMPRODUCT(--ISNUMBER(SEARCH(republicantrigger,C63)))&gt;0)</f>
        <v>0</v>
      </c>
      <c r="Z63" s="14" cm="1">
        <f t="array" ref="Z63">INT(SUMPRODUCT(--ISNUMBER(SEARCH(bipartisan,C63)))&gt;0)</f>
        <v>0</v>
      </c>
      <c r="AA63" s="14">
        <f t="shared" si="0"/>
        <v>0</v>
      </c>
      <c r="AB63" s="14"/>
      <c r="AC63" s="30">
        <v>1</v>
      </c>
      <c r="AD63" s="37">
        <v>0</v>
      </c>
    </row>
    <row r="64" spans="1:30" x14ac:dyDescent="0.25">
      <c r="A64" s="36">
        <v>1271</v>
      </c>
      <c r="B64" s="14" t="s">
        <v>2569</v>
      </c>
      <c r="C64" s="14" t="s">
        <v>2570</v>
      </c>
      <c r="D64" s="17">
        <v>44134</v>
      </c>
      <c r="E64" s="14" t="s">
        <v>30</v>
      </c>
      <c r="F64" s="14">
        <v>33</v>
      </c>
      <c r="G64" s="14">
        <v>6</v>
      </c>
      <c r="H64" s="14">
        <v>7</v>
      </c>
      <c r="I64" s="14">
        <v>4</v>
      </c>
      <c r="J64" s="14" t="s">
        <v>31</v>
      </c>
      <c r="K64" s="14" cm="1">
        <f t="array" ref="K64">INT(SUMPRODUCT(--ISNUMBER(SEARCH(economy,C64)))&gt;0)</f>
        <v>1</v>
      </c>
      <c r="L64" s="14" cm="1">
        <f t="array" ref="L64">INT(SUMPRODUCT(--ISNUMBER(SEARCH(healthcare,C64)))&gt;0)</f>
        <v>0</v>
      </c>
      <c r="M64" s="14" cm="1">
        <f t="array" ref="M64">INT(SUMPRODUCT(--ISNUMBER(SEARCH(supreme,C64)))&gt;0)</f>
        <v>0</v>
      </c>
      <c r="N64" s="14" cm="1">
        <f t="array" ref="N64">INT(SUMPRODUCT(--ISNUMBER(SEARCH(covid,C64)))&gt;0)</f>
        <v>0</v>
      </c>
      <c r="O64" s="14" cm="1">
        <f t="array" ref="O64">INT(SUMPRODUCT(--ISNUMBER(SEARCH(violent,C64)))&gt;0)</f>
        <v>0</v>
      </c>
      <c r="P64" s="14" cm="1">
        <f t="array" ref="P64">INT(SUMPRODUCT(--ISNUMBER(SEARCH(foreign,C64)))&gt;0)</f>
        <v>0</v>
      </c>
      <c r="Q64" s="14" cm="1">
        <f t="array" ref="Q64">INT(SUMPRODUCT(--ISNUMBER(SEARCH(gun,C64)))&gt;0)</f>
        <v>0</v>
      </c>
      <c r="R64" s="14" cm="1">
        <f t="array" ref="R64">INT(SUMPRODUCT(--ISNUMBER(SEARCH(race,C64)))&gt;0)</f>
        <v>0</v>
      </c>
      <c r="S64" s="14" cm="1">
        <f t="array" ref="S64">INT(SUMPRODUCT(--ISNUMBER(SEARCH(immigration,C64)))&gt;0)</f>
        <v>0</v>
      </c>
      <c r="T64" s="14" cm="1">
        <f t="array" ref="T64">INT(SUMPRODUCT(--ISNUMBER(SEARCH(econineq,C65)))&gt;0)</f>
        <v>0</v>
      </c>
      <c r="U64" s="14" cm="1">
        <f t="array" ref="U64">INT(SUMPRODUCT(--ISNUMBER(SEARCH(climate,C64)))&gt;0)</f>
        <v>0</v>
      </c>
      <c r="V64" s="14" cm="1">
        <f t="array" ref="V64">INT(SUMPRODUCT(--ISNUMBER(SEARCH(abortion,C64)))&gt;0)</f>
        <v>0</v>
      </c>
      <c r="W64" s="14" cm="1">
        <f t="array" ref="W64">INT(SUMPRODUCT(--ISNUMBER(SEARCH(trump,C64)))&gt;0)</f>
        <v>0</v>
      </c>
      <c r="X64" s="14" cm="1">
        <f t="array" ref="X64">INT(SUMPRODUCT(--ISNUMBER(SEARCH(voting,C64)))&gt;0)</f>
        <v>0</v>
      </c>
      <c r="Y64" s="14" cm="1">
        <f t="array" ref="Y64">INT(SUMPRODUCT(--ISNUMBER(SEARCH(republicantrigger,C64)))&gt;0)</f>
        <v>0</v>
      </c>
      <c r="Z64" s="14" cm="1">
        <f t="array" ref="Z64">INT(SUMPRODUCT(--ISNUMBER(SEARCH(bipartisan,C64)))&gt;0)</f>
        <v>0</v>
      </c>
      <c r="AA64" s="14">
        <f t="shared" si="0"/>
        <v>0</v>
      </c>
      <c r="AB64" s="14"/>
      <c r="AC64" s="30">
        <v>1</v>
      </c>
      <c r="AD64" s="37">
        <v>0</v>
      </c>
    </row>
    <row r="65" spans="1:30" x14ac:dyDescent="0.25">
      <c r="A65" s="36">
        <v>1272</v>
      </c>
      <c r="B65" s="14" t="s">
        <v>2571</v>
      </c>
      <c r="C65" s="14" t="s">
        <v>2572</v>
      </c>
      <c r="D65" s="17">
        <v>44134</v>
      </c>
      <c r="E65" s="14" t="s">
        <v>30</v>
      </c>
      <c r="F65" s="14">
        <v>33</v>
      </c>
      <c r="G65" s="14">
        <v>6</v>
      </c>
      <c r="H65" s="14">
        <v>7</v>
      </c>
      <c r="I65" s="14">
        <v>4</v>
      </c>
      <c r="J65" s="14" t="s">
        <v>31</v>
      </c>
      <c r="K65" s="14" cm="1">
        <f t="array" ref="K65">INT(SUMPRODUCT(--ISNUMBER(SEARCH(economy,C65)))&gt;0)</f>
        <v>1</v>
      </c>
      <c r="L65" s="14" cm="1">
        <f t="array" ref="L65">INT(SUMPRODUCT(--ISNUMBER(SEARCH(healthcare,C65)))&gt;0)</f>
        <v>0</v>
      </c>
      <c r="M65" s="14" cm="1">
        <f t="array" ref="M65">INT(SUMPRODUCT(--ISNUMBER(SEARCH(supreme,C65)))&gt;0)</f>
        <v>0</v>
      </c>
      <c r="N65" s="14" cm="1">
        <f t="array" ref="N65">INT(SUMPRODUCT(--ISNUMBER(SEARCH(covid,C65)))&gt;0)</f>
        <v>0</v>
      </c>
      <c r="O65" s="14" cm="1">
        <f t="array" ref="O65">INT(SUMPRODUCT(--ISNUMBER(SEARCH(violent,C65)))&gt;0)</f>
        <v>0</v>
      </c>
      <c r="P65" s="14" cm="1">
        <f t="array" ref="P65">INT(SUMPRODUCT(--ISNUMBER(SEARCH(foreign,C65)))&gt;0)</f>
        <v>0</v>
      </c>
      <c r="Q65" s="14" cm="1">
        <f t="array" ref="Q65">INT(SUMPRODUCT(--ISNUMBER(SEARCH(gun,C65)))&gt;0)</f>
        <v>0</v>
      </c>
      <c r="R65" s="14" cm="1">
        <f t="array" ref="R65">INT(SUMPRODUCT(--ISNUMBER(SEARCH(race,C65)))&gt;0)</f>
        <v>0</v>
      </c>
      <c r="S65" s="14" cm="1">
        <f t="array" ref="S65">INT(SUMPRODUCT(--ISNUMBER(SEARCH(immigration,C65)))&gt;0)</f>
        <v>0</v>
      </c>
      <c r="T65" s="14" cm="1">
        <f t="array" ref="T65">INT(SUMPRODUCT(--ISNUMBER(SEARCH(econineq,C66)))&gt;0)</f>
        <v>0</v>
      </c>
      <c r="U65" s="14" cm="1">
        <f t="array" ref="U65">INT(SUMPRODUCT(--ISNUMBER(SEARCH(climate,C65)))&gt;0)</f>
        <v>0</v>
      </c>
      <c r="V65" s="14" cm="1">
        <f t="array" ref="V65">INT(SUMPRODUCT(--ISNUMBER(SEARCH(abortion,C65)))&gt;0)</f>
        <v>0</v>
      </c>
      <c r="W65" s="14" cm="1">
        <f t="array" ref="W65">INT(SUMPRODUCT(--ISNUMBER(SEARCH(trump,C65)))&gt;0)</f>
        <v>0</v>
      </c>
      <c r="X65" s="14" cm="1">
        <f t="array" ref="X65">INT(SUMPRODUCT(--ISNUMBER(SEARCH(voting,C65)))&gt;0)</f>
        <v>0</v>
      </c>
      <c r="Y65" s="14" cm="1">
        <f t="array" ref="Y65">INT(SUMPRODUCT(--ISNUMBER(SEARCH(republicantrigger,C65)))&gt;0)</f>
        <v>0</v>
      </c>
      <c r="Z65" s="14" cm="1">
        <f t="array" ref="Z65">INT(SUMPRODUCT(--ISNUMBER(SEARCH(bipartisan,C65)))&gt;0)</f>
        <v>0</v>
      </c>
      <c r="AA65" s="14">
        <f t="shared" si="0"/>
        <v>0</v>
      </c>
      <c r="AB65" s="14"/>
      <c r="AC65" s="30">
        <v>1</v>
      </c>
      <c r="AD65" s="37">
        <v>0</v>
      </c>
    </row>
    <row r="66" spans="1:30" x14ac:dyDescent="0.25">
      <c r="A66" s="36">
        <v>1273</v>
      </c>
      <c r="B66" s="14" t="s">
        <v>2573</v>
      </c>
      <c r="C66" s="14" t="s">
        <v>2574</v>
      </c>
      <c r="D66" s="17">
        <v>44134</v>
      </c>
      <c r="E66" s="14" t="s">
        <v>30</v>
      </c>
      <c r="F66" s="14">
        <v>19</v>
      </c>
      <c r="G66" s="14">
        <v>2</v>
      </c>
      <c r="H66" s="14">
        <v>7</v>
      </c>
      <c r="I66" s="14">
        <v>4</v>
      </c>
      <c r="J66" s="14" t="s">
        <v>31</v>
      </c>
      <c r="K66" s="14" cm="1">
        <f t="array" ref="K66">INT(SUMPRODUCT(--ISNUMBER(SEARCH(economy,C66)))&gt;0)</f>
        <v>0</v>
      </c>
      <c r="L66" s="14" cm="1">
        <f t="array" ref="L66">INT(SUMPRODUCT(--ISNUMBER(SEARCH(healthcare,C66)))&gt;0)</f>
        <v>0</v>
      </c>
      <c r="M66" s="14" cm="1">
        <f t="array" ref="M66">INT(SUMPRODUCT(--ISNUMBER(SEARCH(supreme,C66)))&gt;0)</f>
        <v>0</v>
      </c>
      <c r="N66" s="14" cm="1">
        <f t="array" ref="N66">INT(SUMPRODUCT(--ISNUMBER(SEARCH(covid,C66)))&gt;0)</f>
        <v>1</v>
      </c>
      <c r="O66" s="14" cm="1">
        <f t="array" ref="O66">INT(SUMPRODUCT(--ISNUMBER(SEARCH(violent,C66)))&gt;0)</f>
        <v>0</v>
      </c>
      <c r="P66" s="14" cm="1">
        <f t="array" ref="P66">INT(SUMPRODUCT(--ISNUMBER(SEARCH(foreign,C66)))&gt;0)</f>
        <v>0</v>
      </c>
      <c r="Q66" s="14" cm="1">
        <f t="array" ref="Q66">INT(SUMPRODUCT(--ISNUMBER(SEARCH(gun,C66)))&gt;0)</f>
        <v>0</v>
      </c>
      <c r="R66" s="14" cm="1">
        <f t="array" ref="R66">INT(SUMPRODUCT(--ISNUMBER(SEARCH(race,C66)))&gt;0)</f>
        <v>0</v>
      </c>
      <c r="S66" s="14" cm="1">
        <f t="array" ref="S66">INT(SUMPRODUCT(--ISNUMBER(SEARCH(immigration,C66)))&gt;0)</f>
        <v>0</v>
      </c>
      <c r="T66" s="14" cm="1">
        <f t="array" ref="T66">INT(SUMPRODUCT(--ISNUMBER(SEARCH(econineq,C67)))&gt;0)</f>
        <v>0</v>
      </c>
      <c r="U66" s="14" cm="1">
        <f t="array" ref="U66">INT(SUMPRODUCT(--ISNUMBER(SEARCH(climate,C66)))&gt;0)</f>
        <v>0</v>
      </c>
      <c r="V66" s="14" cm="1">
        <f t="array" ref="V66">INT(SUMPRODUCT(--ISNUMBER(SEARCH(abortion,C66)))&gt;0)</f>
        <v>0</v>
      </c>
      <c r="W66" s="14" cm="1">
        <f t="array" ref="W66">INT(SUMPRODUCT(--ISNUMBER(SEARCH(trump,C66)))&gt;0)</f>
        <v>0</v>
      </c>
      <c r="X66" s="14" cm="1">
        <f t="array" ref="X66">INT(SUMPRODUCT(--ISNUMBER(SEARCH(voting,C66)))&gt;0)</f>
        <v>0</v>
      </c>
      <c r="Y66" s="14" cm="1">
        <f t="array" ref="Y66">INT(SUMPRODUCT(--ISNUMBER(SEARCH(republicantrigger,C66)))&gt;0)</f>
        <v>0</v>
      </c>
      <c r="Z66" s="14" cm="1">
        <f t="array" ref="Z66">INT(SUMPRODUCT(--ISNUMBER(SEARCH(bipartisan,C66)))&gt;0)</f>
        <v>0</v>
      </c>
      <c r="AA66" s="14">
        <f t="shared" si="0"/>
        <v>0</v>
      </c>
      <c r="AB66" s="14"/>
      <c r="AC66" s="30">
        <v>1</v>
      </c>
      <c r="AD66" s="37">
        <v>0</v>
      </c>
    </row>
    <row r="67" spans="1:30" x14ac:dyDescent="0.25">
      <c r="A67" s="36">
        <v>1274</v>
      </c>
      <c r="B67" s="14" t="s">
        <v>2575</v>
      </c>
      <c r="C67" s="14" t="s">
        <v>2576</v>
      </c>
      <c r="D67" s="17">
        <v>44133</v>
      </c>
      <c r="E67" s="14" t="s">
        <v>30</v>
      </c>
      <c r="F67" s="14">
        <v>32</v>
      </c>
      <c r="G67" s="14">
        <v>4</v>
      </c>
      <c r="H67" s="14">
        <v>7</v>
      </c>
      <c r="I67" s="14">
        <v>4</v>
      </c>
      <c r="J67" s="14" t="s">
        <v>31</v>
      </c>
      <c r="K67" s="14" cm="1">
        <f t="array" ref="K67">INT(SUMPRODUCT(--ISNUMBER(SEARCH(economy,C67)))&gt;0)</f>
        <v>0</v>
      </c>
      <c r="L67" s="14" cm="1">
        <f t="array" ref="L67">INT(SUMPRODUCT(--ISNUMBER(SEARCH(healthcare,C67)))&gt;0)</f>
        <v>0</v>
      </c>
      <c r="M67" s="14" cm="1">
        <f t="array" ref="M67">INT(SUMPRODUCT(--ISNUMBER(SEARCH(supreme,C67)))&gt;0)</f>
        <v>0</v>
      </c>
      <c r="N67" s="14" cm="1">
        <f t="array" ref="N67">INT(SUMPRODUCT(--ISNUMBER(SEARCH(covid,C67)))&gt;0)</f>
        <v>0</v>
      </c>
      <c r="O67" s="14" cm="1">
        <f t="array" ref="O67">INT(SUMPRODUCT(--ISNUMBER(SEARCH(violent,C67)))&gt;0)</f>
        <v>0</v>
      </c>
      <c r="P67" s="14" cm="1">
        <f t="array" ref="P67">INT(SUMPRODUCT(--ISNUMBER(SEARCH(foreign,C67)))&gt;0)</f>
        <v>1</v>
      </c>
      <c r="Q67" s="14" cm="1">
        <f t="array" ref="Q67">INT(SUMPRODUCT(--ISNUMBER(SEARCH(gun,C67)))&gt;0)</f>
        <v>0</v>
      </c>
      <c r="R67" s="14" cm="1">
        <f t="array" ref="R67">INT(SUMPRODUCT(--ISNUMBER(SEARCH(race,C67)))&gt;0)</f>
        <v>0</v>
      </c>
      <c r="S67" s="14" cm="1">
        <f t="array" ref="S67">INT(SUMPRODUCT(--ISNUMBER(SEARCH(immigration,C67)))&gt;0)</f>
        <v>0</v>
      </c>
      <c r="T67" s="14" cm="1">
        <f t="array" ref="T67">INT(SUMPRODUCT(--ISNUMBER(SEARCH(econineq,C68)))&gt;0)</f>
        <v>0</v>
      </c>
      <c r="U67" s="14" cm="1">
        <f t="array" ref="U67">INT(SUMPRODUCT(--ISNUMBER(SEARCH(climate,C67)))&gt;0)</f>
        <v>0</v>
      </c>
      <c r="V67" s="14" cm="1">
        <f t="array" ref="V67">INT(SUMPRODUCT(--ISNUMBER(SEARCH(abortion,C67)))&gt;0)</f>
        <v>0</v>
      </c>
      <c r="W67" s="14" cm="1">
        <f t="array" ref="W67">INT(SUMPRODUCT(--ISNUMBER(SEARCH(trump,C67)))&gt;0)</f>
        <v>0</v>
      </c>
      <c r="X67" s="14" cm="1">
        <f t="array" ref="X67">INT(SUMPRODUCT(--ISNUMBER(SEARCH(voting,C67)))&gt;0)</f>
        <v>0</v>
      </c>
      <c r="Y67" s="14" cm="1">
        <f t="array" ref="Y67">INT(SUMPRODUCT(--ISNUMBER(SEARCH(republicantrigger,C67)))&gt;0)</f>
        <v>0</v>
      </c>
      <c r="Z67" s="14" cm="1">
        <f t="array" ref="Z67">INT(SUMPRODUCT(--ISNUMBER(SEARCH(bipartisan,C67)))&gt;0)</f>
        <v>0</v>
      </c>
      <c r="AA67" s="14">
        <f t="shared" ref="AA67:AA130" si="1">INT(IF(COUNTIF(K67:Z67,1)=0,"1","0"))</f>
        <v>0</v>
      </c>
      <c r="AB67" s="14"/>
      <c r="AC67" s="30">
        <v>1</v>
      </c>
      <c r="AD67" s="37">
        <v>0</v>
      </c>
    </row>
    <row r="68" spans="1:30" x14ac:dyDescent="0.25">
      <c r="A68" s="36">
        <v>1275</v>
      </c>
      <c r="B68" s="14" t="s">
        <v>2577</v>
      </c>
      <c r="C68" s="14" t="s">
        <v>2578</v>
      </c>
      <c r="D68" s="17">
        <v>44133</v>
      </c>
      <c r="E68" s="14" t="s">
        <v>30</v>
      </c>
      <c r="F68" s="14">
        <v>28</v>
      </c>
      <c r="G68" s="14">
        <v>1</v>
      </c>
      <c r="H68" s="14">
        <v>7</v>
      </c>
      <c r="I68" s="14">
        <v>4</v>
      </c>
      <c r="J68" s="14" t="s">
        <v>31</v>
      </c>
      <c r="K68" s="14" cm="1">
        <f t="array" ref="K68">INT(SUMPRODUCT(--ISNUMBER(SEARCH(economy,C68)))&gt;0)</f>
        <v>0</v>
      </c>
      <c r="L68" s="14" cm="1">
        <f t="array" ref="L68">INT(SUMPRODUCT(--ISNUMBER(SEARCH(healthcare,C68)))&gt;0)</f>
        <v>0</v>
      </c>
      <c r="M68" s="14" cm="1">
        <f t="array" ref="M68">INT(SUMPRODUCT(--ISNUMBER(SEARCH(supreme,C68)))&gt;0)</f>
        <v>0</v>
      </c>
      <c r="N68" s="14" cm="1">
        <f t="array" ref="N68">INT(SUMPRODUCT(--ISNUMBER(SEARCH(covid,C68)))&gt;0)</f>
        <v>0</v>
      </c>
      <c r="O68" s="14" cm="1">
        <f t="array" ref="O68">INT(SUMPRODUCT(--ISNUMBER(SEARCH(violent,C68)))&gt;0)</f>
        <v>0</v>
      </c>
      <c r="P68" s="14" cm="1">
        <f t="array" ref="P68">INT(SUMPRODUCT(--ISNUMBER(SEARCH(foreign,C68)))&gt;0)</f>
        <v>0</v>
      </c>
      <c r="Q68" s="14" cm="1">
        <f t="array" ref="Q68">INT(SUMPRODUCT(--ISNUMBER(SEARCH(gun,C68)))&gt;0)</f>
        <v>0</v>
      </c>
      <c r="R68" s="14" cm="1">
        <f t="array" ref="R68">INT(SUMPRODUCT(--ISNUMBER(SEARCH(race,C68)))&gt;0)</f>
        <v>0</v>
      </c>
      <c r="S68" s="14" cm="1">
        <f t="array" ref="S68">INT(SUMPRODUCT(--ISNUMBER(SEARCH(immigration,C68)))&gt;0)</f>
        <v>0</v>
      </c>
      <c r="T68" s="14" cm="1">
        <f t="array" ref="T68">INT(SUMPRODUCT(--ISNUMBER(SEARCH(econineq,C69)))&gt;0)</f>
        <v>0</v>
      </c>
      <c r="U68" s="14" cm="1">
        <f t="array" ref="U68">INT(SUMPRODUCT(--ISNUMBER(SEARCH(climate,C68)))&gt;0)</f>
        <v>0</v>
      </c>
      <c r="V68" s="14" cm="1">
        <f t="array" ref="V68">INT(SUMPRODUCT(--ISNUMBER(SEARCH(abortion,C68)))&gt;0)</f>
        <v>0</v>
      </c>
      <c r="W68" s="14" cm="1">
        <f t="array" ref="W68">INT(SUMPRODUCT(--ISNUMBER(SEARCH(trump,C68)))&gt;0)</f>
        <v>0</v>
      </c>
      <c r="X68" s="14" cm="1">
        <f t="array" ref="X68">INT(SUMPRODUCT(--ISNUMBER(SEARCH(voting,C68)))&gt;0)</f>
        <v>0</v>
      </c>
      <c r="Y68" s="14" cm="1">
        <f t="array" ref="Y68">INT(SUMPRODUCT(--ISNUMBER(SEARCH(republicantrigger,C68)))&gt;0)</f>
        <v>0</v>
      </c>
      <c r="Z68" s="14" cm="1">
        <f t="array" ref="Z68">INT(SUMPRODUCT(--ISNUMBER(SEARCH(bipartisan,C68)))&gt;0)</f>
        <v>0</v>
      </c>
      <c r="AA68" s="14">
        <f t="shared" si="1"/>
        <v>1</v>
      </c>
      <c r="AB68" s="14"/>
      <c r="AC68" s="30">
        <v>1</v>
      </c>
      <c r="AD68" s="37">
        <v>0</v>
      </c>
    </row>
    <row r="69" spans="1:30" x14ac:dyDescent="0.25">
      <c r="A69" s="36">
        <v>1276</v>
      </c>
      <c r="B69" s="14" t="s">
        <v>2579</v>
      </c>
      <c r="C69" s="14" t="s">
        <v>2580</v>
      </c>
      <c r="D69" s="17">
        <v>44133</v>
      </c>
      <c r="E69" s="14" t="s">
        <v>30</v>
      </c>
      <c r="F69" s="14">
        <v>18</v>
      </c>
      <c r="G69" s="14">
        <v>1</v>
      </c>
      <c r="H69" s="14">
        <v>7</v>
      </c>
      <c r="I69" s="14">
        <v>4</v>
      </c>
      <c r="J69" s="14" t="s">
        <v>31</v>
      </c>
      <c r="K69" s="14" cm="1">
        <f t="array" ref="K69">INT(SUMPRODUCT(--ISNUMBER(SEARCH(economy,C69)))&gt;0)</f>
        <v>0</v>
      </c>
      <c r="L69" s="14" cm="1">
        <f t="array" ref="L69">INT(SUMPRODUCT(--ISNUMBER(SEARCH(healthcare,C69)))&gt;0)</f>
        <v>0</v>
      </c>
      <c r="M69" s="14" cm="1">
        <f t="array" ref="M69">INT(SUMPRODUCT(--ISNUMBER(SEARCH(supreme,C69)))&gt;0)</f>
        <v>0</v>
      </c>
      <c r="N69" s="14" cm="1">
        <f t="array" ref="N69">INT(SUMPRODUCT(--ISNUMBER(SEARCH(covid,C69)))&gt;0)</f>
        <v>0</v>
      </c>
      <c r="O69" s="14" cm="1">
        <f t="array" ref="O69">INT(SUMPRODUCT(--ISNUMBER(SEARCH(violent,C69)))&gt;0)</f>
        <v>0</v>
      </c>
      <c r="P69" s="14" cm="1">
        <f t="array" ref="P69">INT(SUMPRODUCT(--ISNUMBER(SEARCH(foreign,C69)))&gt;0)</f>
        <v>0</v>
      </c>
      <c r="Q69" s="14" cm="1">
        <f t="array" ref="Q69">INT(SUMPRODUCT(--ISNUMBER(SEARCH(gun,C69)))&gt;0)</f>
        <v>0</v>
      </c>
      <c r="R69" s="14" cm="1">
        <f t="array" ref="R69">INT(SUMPRODUCT(--ISNUMBER(SEARCH(race,C69)))&gt;0)</f>
        <v>0</v>
      </c>
      <c r="S69" s="14" cm="1">
        <f t="array" ref="S69">INT(SUMPRODUCT(--ISNUMBER(SEARCH(immigration,C69)))&gt;0)</f>
        <v>0</v>
      </c>
      <c r="T69" s="14" cm="1">
        <f t="array" ref="T69">INT(SUMPRODUCT(--ISNUMBER(SEARCH(econineq,C70)))&gt;0)</f>
        <v>0</v>
      </c>
      <c r="U69" s="14" cm="1">
        <f t="array" ref="U69">INT(SUMPRODUCT(--ISNUMBER(SEARCH(climate,C69)))&gt;0)</f>
        <v>1</v>
      </c>
      <c r="V69" s="14" cm="1">
        <f t="array" ref="V69">INT(SUMPRODUCT(--ISNUMBER(SEARCH(abortion,C69)))&gt;0)</f>
        <v>0</v>
      </c>
      <c r="W69" s="14" cm="1">
        <f t="array" ref="W69">INT(SUMPRODUCT(--ISNUMBER(SEARCH(trump,C69)))&gt;0)</f>
        <v>0</v>
      </c>
      <c r="X69" s="14" cm="1">
        <f t="array" ref="X69">INT(SUMPRODUCT(--ISNUMBER(SEARCH(voting,C69)))&gt;0)</f>
        <v>0</v>
      </c>
      <c r="Y69" s="14" cm="1">
        <f t="array" ref="Y69">INT(SUMPRODUCT(--ISNUMBER(SEARCH(republicantrigger,C69)))&gt;0)</f>
        <v>0</v>
      </c>
      <c r="Z69" s="14" cm="1">
        <f t="array" ref="Z69">INT(SUMPRODUCT(--ISNUMBER(SEARCH(bipartisan,C69)))&gt;0)</f>
        <v>0</v>
      </c>
      <c r="AA69" s="14">
        <f t="shared" si="1"/>
        <v>0</v>
      </c>
      <c r="AB69" s="14"/>
      <c r="AC69" s="30">
        <v>1</v>
      </c>
      <c r="AD69" s="37">
        <v>0</v>
      </c>
    </row>
    <row r="70" spans="1:30" x14ac:dyDescent="0.25">
      <c r="A70" s="36">
        <v>1277</v>
      </c>
      <c r="B70" s="14" t="s">
        <v>2581</v>
      </c>
      <c r="C70" s="14" t="s">
        <v>2582</v>
      </c>
      <c r="D70" s="17">
        <v>44133</v>
      </c>
      <c r="E70" s="14" t="s">
        <v>30</v>
      </c>
      <c r="F70" s="14">
        <v>33</v>
      </c>
      <c r="G70" s="14">
        <v>2</v>
      </c>
      <c r="H70" s="14">
        <v>7</v>
      </c>
      <c r="I70" s="14">
        <v>4</v>
      </c>
      <c r="J70" s="14" t="s">
        <v>31</v>
      </c>
      <c r="K70" s="14" cm="1">
        <f t="array" ref="K70">INT(SUMPRODUCT(--ISNUMBER(SEARCH(economy,C70)))&gt;0)</f>
        <v>1</v>
      </c>
      <c r="L70" s="14" cm="1">
        <f t="array" ref="L70">INT(SUMPRODUCT(--ISNUMBER(SEARCH(healthcare,C70)))&gt;0)</f>
        <v>1</v>
      </c>
      <c r="M70" s="14" cm="1">
        <f t="array" ref="M70">INT(SUMPRODUCT(--ISNUMBER(SEARCH(supreme,C70)))&gt;0)</f>
        <v>0</v>
      </c>
      <c r="N70" s="14" cm="1">
        <f t="array" ref="N70">INT(SUMPRODUCT(--ISNUMBER(SEARCH(covid,C70)))&gt;0)</f>
        <v>0</v>
      </c>
      <c r="O70" s="14" cm="1">
        <f t="array" ref="O70">INT(SUMPRODUCT(--ISNUMBER(SEARCH(violent,C70)))&gt;0)</f>
        <v>0</v>
      </c>
      <c r="P70" s="14" cm="1">
        <f t="array" ref="P70">INT(SUMPRODUCT(--ISNUMBER(SEARCH(foreign,C70)))&gt;0)</f>
        <v>0</v>
      </c>
      <c r="Q70" s="14" cm="1">
        <f t="array" ref="Q70">INT(SUMPRODUCT(--ISNUMBER(SEARCH(gun,C70)))&gt;0)</f>
        <v>0</v>
      </c>
      <c r="R70" s="14" cm="1">
        <f t="array" ref="R70">INT(SUMPRODUCT(--ISNUMBER(SEARCH(race,C70)))&gt;0)</f>
        <v>0</v>
      </c>
      <c r="S70" s="14" cm="1">
        <f t="array" ref="S70">INT(SUMPRODUCT(--ISNUMBER(SEARCH(immigration,C70)))&gt;0)</f>
        <v>0</v>
      </c>
      <c r="T70" s="14" cm="1">
        <f t="array" ref="T70">INT(SUMPRODUCT(--ISNUMBER(SEARCH(econineq,C71)))&gt;0)</f>
        <v>0</v>
      </c>
      <c r="U70" s="14" cm="1">
        <f t="array" ref="U70">INT(SUMPRODUCT(--ISNUMBER(SEARCH(climate,C70)))&gt;0)</f>
        <v>0</v>
      </c>
      <c r="V70" s="14" cm="1">
        <f t="array" ref="V70">INT(SUMPRODUCT(--ISNUMBER(SEARCH(abortion,C70)))&gt;0)</f>
        <v>0</v>
      </c>
      <c r="W70" s="14" cm="1">
        <f t="array" ref="W70">INT(SUMPRODUCT(--ISNUMBER(SEARCH(trump,C70)))&gt;0)</f>
        <v>0</v>
      </c>
      <c r="X70" s="14" cm="1">
        <f t="array" ref="X70">INT(SUMPRODUCT(--ISNUMBER(SEARCH(voting,C70)))&gt;0)</f>
        <v>0</v>
      </c>
      <c r="Y70" s="14" cm="1">
        <f t="array" ref="Y70">INT(SUMPRODUCT(--ISNUMBER(SEARCH(republicantrigger,C70)))&gt;0)</f>
        <v>0</v>
      </c>
      <c r="Z70" s="14" cm="1">
        <f t="array" ref="Z70">INT(SUMPRODUCT(--ISNUMBER(SEARCH(bipartisan,C70)))&gt;0)</f>
        <v>0</v>
      </c>
      <c r="AA70" s="14">
        <f t="shared" si="1"/>
        <v>0</v>
      </c>
      <c r="AB70" s="14"/>
      <c r="AC70" s="30">
        <v>1</v>
      </c>
      <c r="AD70" s="37">
        <v>0</v>
      </c>
    </row>
    <row r="71" spans="1:30" x14ac:dyDescent="0.25">
      <c r="A71" s="36">
        <v>1278</v>
      </c>
      <c r="B71" s="14" t="s">
        <v>2583</v>
      </c>
      <c r="C71" s="14" t="s">
        <v>2584</v>
      </c>
      <c r="D71" s="17">
        <v>44133</v>
      </c>
      <c r="E71" s="14" t="s">
        <v>30</v>
      </c>
      <c r="F71" s="14">
        <v>35</v>
      </c>
      <c r="G71" s="14">
        <v>5</v>
      </c>
      <c r="H71" s="14">
        <v>7</v>
      </c>
      <c r="I71" s="14">
        <v>4</v>
      </c>
      <c r="J71" s="14" t="s">
        <v>31</v>
      </c>
      <c r="K71" s="14" cm="1">
        <f t="array" ref="K71">INT(SUMPRODUCT(--ISNUMBER(SEARCH(economy,C71)))&gt;0)</f>
        <v>1</v>
      </c>
      <c r="L71" s="14" cm="1">
        <f t="array" ref="L71">INT(SUMPRODUCT(--ISNUMBER(SEARCH(healthcare,C71)))&gt;0)</f>
        <v>0</v>
      </c>
      <c r="M71" s="14" cm="1">
        <f t="array" ref="M71">INT(SUMPRODUCT(--ISNUMBER(SEARCH(supreme,C71)))&gt;0)</f>
        <v>0</v>
      </c>
      <c r="N71" s="14" cm="1">
        <f t="array" ref="N71">INT(SUMPRODUCT(--ISNUMBER(SEARCH(covid,C71)))&gt;0)</f>
        <v>0</v>
      </c>
      <c r="O71" s="14" cm="1">
        <f t="array" ref="O71">INT(SUMPRODUCT(--ISNUMBER(SEARCH(violent,C71)))&gt;0)</f>
        <v>0</v>
      </c>
      <c r="P71" s="14" cm="1">
        <f t="array" ref="P71">INT(SUMPRODUCT(--ISNUMBER(SEARCH(foreign,C71)))&gt;0)</f>
        <v>0</v>
      </c>
      <c r="Q71" s="14" cm="1">
        <f t="array" ref="Q71">INT(SUMPRODUCT(--ISNUMBER(SEARCH(gun,C71)))&gt;0)</f>
        <v>0</v>
      </c>
      <c r="R71" s="14" cm="1">
        <f t="array" ref="R71">INT(SUMPRODUCT(--ISNUMBER(SEARCH(race,C71)))&gt;0)</f>
        <v>0</v>
      </c>
      <c r="S71" s="14" cm="1">
        <f t="array" ref="S71">INT(SUMPRODUCT(--ISNUMBER(SEARCH(immigration,C71)))&gt;0)</f>
        <v>0</v>
      </c>
      <c r="T71" s="14" cm="1">
        <f t="array" ref="T71">INT(SUMPRODUCT(--ISNUMBER(SEARCH(econineq,C72)))&gt;0)</f>
        <v>0</v>
      </c>
      <c r="U71" s="14" cm="1">
        <f t="array" ref="U71">INT(SUMPRODUCT(--ISNUMBER(SEARCH(climate,C71)))&gt;0)</f>
        <v>0</v>
      </c>
      <c r="V71" s="14" cm="1">
        <f t="array" ref="V71">INT(SUMPRODUCT(--ISNUMBER(SEARCH(abortion,C71)))&gt;0)</f>
        <v>0</v>
      </c>
      <c r="W71" s="14" cm="1">
        <f t="array" ref="W71">INT(SUMPRODUCT(--ISNUMBER(SEARCH(trump,C71)))&gt;0)</f>
        <v>0</v>
      </c>
      <c r="X71" s="14" cm="1">
        <f t="array" ref="X71">INT(SUMPRODUCT(--ISNUMBER(SEARCH(voting,C71)))&gt;0)</f>
        <v>0</v>
      </c>
      <c r="Y71" s="14" cm="1">
        <f t="array" ref="Y71">INT(SUMPRODUCT(--ISNUMBER(SEARCH(republicantrigger,C71)))&gt;0)</f>
        <v>0</v>
      </c>
      <c r="Z71" s="14" cm="1">
        <f t="array" ref="Z71">INT(SUMPRODUCT(--ISNUMBER(SEARCH(bipartisan,C71)))&gt;0)</f>
        <v>0</v>
      </c>
      <c r="AA71" s="14">
        <f t="shared" si="1"/>
        <v>0</v>
      </c>
      <c r="AB71" s="14"/>
      <c r="AC71" s="30">
        <v>1</v>
      </c>
      <c r="AD71" s="37">
        <v>0</v>
      </c>
    </row>
    <row r="72" spans="1:30" x14ac:dyDescent="0.25">
      <c r="A72" s="36">
        <v>1279</v>
      </c>
      <c r="B72" s="14" t="s">
        <v>2585</v>
      </c>
      <c r="C72" s="14" t="s">
        <v>2586</v>
      </c>
      <c r="D72" s="17">
        <v>44133</v>
      </c>
      <c r="E72" s="14" t="s">
        <v>30</v>
      </c>
      <c r="F72" s="14">
        <v>44</v>
      </c>
      <c r="G72" s="14">
        <v>6</v>
      </c>
      <c r="H72" s="14">
        <v>7</v>
      </c>
      <c r="I72" s="14">
        <v>4</v>
      </c>
      <c r="J72" s="14" t="s">
        <v>31</v>
      </c>
      <c r="K72" s="14" cm="1">
        <f t="array" ref="K72">INT(SUMPRODUCT(--ISNUMBER(SEARCH(economy,C72)))&gt;0)</f>
        <v>0</v>
      </c>
      <c r="L72" s="14" cm="1">
        <f t="array" ref="L72">INT(SUMPRODUCT(--ISNUMBER(SEARCH(healthcare,C72)))&gt;0)</f>
        <v>0</v>
      </c>
      <c r="M72" s="14" cm="1">
        <f t="array" ref="M72">INT(SUMPRODUCT(--ISNUMBER(SEARCH(supreme,C72)))&gt;0)</f>
        <v>0</v>
      </c>
      <c r="N72" s="14" cm="1">
        <f t="array" ref="N72">INT(SUMPRODUCT(--ISNUMBER(SEARCH(covid,C72)))&gt;0)</f>
        <v>0</v>
      </c>
      <c r="O72" s="14" cm="1">
        <f t="array" ref="O72">INT(SUMPRODUCT(--ISNUMBER(SEARCH(violent,C72)))&gt;0)</f>
        <v>0</v>
      </c>
      <c r="P72" s="14" cm="1">
        <f t="array" ref="P72">INT(SUMPRODUCT(--ISNUMBER(SEARCH(foreign,C72)))&gt;0)</f>
        <v>0</v>
      </c>
      <c r="Q72" s="14" cm="1">
        <f t="array" ref="Q72">INT(SUMPRODUCT(--ISNUMBER(SEARCH(gun,C72)))&gt;0)</f>
        <v>0</v>
      </c>
      <c r="R72" s="14" cm="1">
        <f t="array" ref="R72">INT(SUMPRODUCT(--ISNUMBER(SEARCH(race,C72)))&gt;0)</f>
        <v>0</v>
      </c>
      <c r="S72" s="14" cm="1">
        <f t="array" ref="S72">INT(SUMPRODUCT(--ISNUMBER(SEARCH(immigration,C72)))&gt;0)</f>
        <v>0</v>
      </c>
      <c r="T72" s="14" cm="1">
        <f t="array" ref="T72">INT(SUMPRODUCT(--ISNUMBER(SEARCH(econineq,C73)))&gt;0)</f>
        <v>0</v>
      </c>
      <c r="U72" s="14" cm="1">
        <f t="array" ref="U72">INT(SUMPRODUCT(--ISNUMBER(SEARCH(climate,C72)))&gt;0)</f>
        <v>0</v>
      </c>
      <c r="V72" s="14" cm="1">
        <f t="array" ref="V72">INT(SUMPRODUCT(--ISNUMBER(SEARCH(abortion,C72)))&gt;0)</f>
        <v>0</v>
      </c>
      <c r="W72" s="14" cm="1">
        <f t="array" ref="W72">INT(SUMPRODUCT(--ISNUMBER(SEARCH(trump,C72)))&gt;0)</f>
        <v>0</v>
      </c>
      <c r="X72" s="14" cm="1">
        <f t="array" ref="X72">INT(SUMPRODUCT(--ISNUMBER(SEARCH(voting,C72)))&gt;0)</f>
        <v>0</v>
      </c>
      <c r="Y72" s="14" cm="1">
        <f t="array" ref="Y72">INT(SUMPRODUCT(--ISNUMBER(SEARCH(republicantrigger,C72)))&gt;0)</f>
        <v>0</v>
      </c>
      <c r="Z72" s="14" cm="1">
        <f t="array" ref="Z72">INT(SUMPRODUCT(--ISNUMBER(SEARCH(bipartisan,C72)))&gt;0)</f>
        <v>0</v>
      </c>
      <c r="AA72" s="14">
        <f t="shared" si="1"/>
        <v>1</v>
      </c>
      <c r="AB72" s="14"/>
      <c r="AC72" s="30">
        <v>0</v>
      </c>
      <c r="AD72" s="37">
        <v>1</v>
      </c>
    </row>
    <row r="73" spans="1:30" x14ac:dyDescent="0.25">
      <c r="A73" s="36">
        <v>1280</v>
      </c>
      <c r="B73" s="14" t="s">
        <v>2587</v>
      </c>
      <c r="C73" s="14" t="s">
        <v>2588</v>
      </c>
      <c r="D73" s="17">
        <v>44133</v>
      </c>
      <c r="E73" s="14" t="s">
        <v>30</v>
      </c>
      <c r="F73" s="14">
        <v>26</v>
      </c>
      <c r="G73" s="14">
        <v>1</v>
      </c>
      <c r="H73" s="14">
        <v>7</v>
      </c>
      <c r="I73" s="14">
        <v>4</v>
      </c>
      <c r="J73" s="14" t="s">
        <v>31</v>
      </c>
      <c r="K73" s="14" cm="1">
        <f t="array" ref="K73">INT(SUMPRODUCT(--ISNUMBER(SEARCH(economy,C73)))&gt;0)</f>
        <v>0</v>
      </c>
      <c r="L73" s="14" cm="1">
        <f t="array" ref="L73">INT(SUMPRODUCT(--ISNUMBER(SEARCH(healthcare,C73)))&gt;0)</f>
        <v>0</v>
      </c>
      <c r="M73" s="14" cm="1">
        <f t="array" ref="M73">INT(SUMPRODUCT(--ISNUMBER(SEARCH(supreme,C73)))&gt;0)</f>
        <v>0</v>
      </c>
      <c r="N73" s="14" cm="1">
        <f t="array" ref="N73">INT(SUMPRODUCT(--ISNUMBER(SEARCH(covid,C73)))&gt;0)</f>
        <v>0</v>
      </c>
      <c r="O73" s="14" cm="1">
        <f t="array" ref="O73">INT(SUMPRODUCT(--ISNUMBER(SEARCH(violent,C73)))&gt;0)</f>
        <v>0</v>
      </c>
      <c r="P73" s="14" cm="1">
        <f t="array" ref="P73">INT(SUMPRODUCT(--ISNUMBER(SEARCH(foreign,C73)))&gt;0)</f>
        <v>0</v>
      </c>
      <c r="Q73" s="14" cm="1">
        <f t="array" ref="Q73">INT(SUMPRODUCT(--ISNUMBER(SEARCH(gun,C73)))&gt;0)</f>
        <v>0</v>
      </c>
      <c r="R73" s="14" cm="1">
        <f t="array" ref="R73">INT(SUMPRODUCT(--ISNUMBER(SEARCH(race,C73)))&gt;0)</f>
        <v>0</v>
      </c>
      <c r="S73" s="14" cm="1">
        <f t="array" ref="S73">INT(SUMPRODUCT(--ISNUMBER(SEARCH(immigration,C73)))&gt;0)</f>
        <v>0</v>
      </c>
      <c r="T73" s="14" cm="1">
        <f t="array" ref="T73">INT(SUMPRODUCT(--ISNUMBER(SEARCH(econineq,C74)))&gt;0)</f>
        <v>0</v>
      </c>
      <c r="U73" s="14" cm="1">
        <f t="array" ref="U73">INT(SUMPRODUCT(--ISNUMBER(SEARCH(climate,C73)))&gt;0)</f>
        <v>0</v>
      </c>
      <c r="V73" s="14" cm="1">
        <f t="array" ref="V73">INT(SUMPRODUCT(--ISNUMBER(SEARCH(abortion,C73)))&gt;0)</f>
        <v>0</v>
      </c>
      <c r="W73" s="14" cm="1">
        <f t="array" ref="W73">INT(SUMPRODUCT(--ISNUMBER(SEARCH(trump,C73)))&gt;0)</f>
        <v>0</v>
      </c>
      <c r="X73" s="14" cm="1">
        <f t="array" ref="X73">INT(SUMPRODUCT(--ISNUMBER(SEARCH(voting,C73)))&gt;0)</f>
        <v>0</v>
      </c>
      <c r="Y73" s="14" cm="1">
        <f t="array" ref="Y73">INT(SUMPRODUCT(--ISNUMBER(SEARCH(republicantrigger,C73)))&gt;0)</f>
        <v>0</v>
      </c>
      <c r="Z73" s="14" cm="1">
        <f t="array" ref="Z73">INT(SUMPRODUCT(--ISNUMBER(SEARCH(bipartisan,C73)))&gt;0)</f>
        <v>0</v>
      </c>
      <c r="AA73" s="14">
        <f t="shared" si="1"/>
        <v>1</v>
      </c>
      <c r="AB73" s="14"/>
      <c r="AC73" s="30">
        <v>1</v>
      </c>
      <c r="AD73" s="37">
        <v>0</v>
      </c>
    </row>
    <row r="74" spans="1:30" x14ac:dyDescent="0.25">
      <c r="A74" s="36">
        <v>1281</v>
      </c>
      <c r="B74" s="14" t="s">
        <v>2589</v>
      </c>
      <c r="C74" s="14" t="s">
        <v>2590</v>
      </c>
      <c r="D74" s="17">
        <v>44133</v>
      </c>
      <c r="E74" s="14" t="s">
        <v>30</v>
      </c>
      <c r="F74" s="14">
        <v>35</v>
      </c>
      <c r="G74" s="14">
        <v>5</v>
      </c>
      <c r="H74" s="14">
        <v>7</v>
      </c>
      <c r="I74" s="14">
        <v>4</v>
      </c>
      <c r="J74" s="14" t="s">
        <v>31</v>
      </c>
      <c r="K74" s="14" cm="1">
        <f t="array" ref="K74">INT(SUMPRODUCT(--ISNUMBER(SEARCH(economy,C74)))&gt;0)</f>
        <v>1</v>
      </c>
      <c r="L74" s="14" cm="1">
        <f t="array" ref="L74">INT(SUMPRODUCT(--ISNUMBER(SEARCH(healthcare,C74)))&gt;0)</f>
        <v>0</v>
      </c>
      <c r="M74" s="14" cm="1">
        <f t="array" ref="M74">INT(SUMPRODUCT(--ISNUMBER(SEARCH(supreme,C74)))&gt;0)</f>
        <v>0</v>
      </c>
      <c r="N74" s="14" cm="1">
        <f t="array" ref="N74">INT(SUMPRODUCT(--ISNUMBER(SEARCH(covid,C74)))&gt;0)</f>
        <v>0</v>
      </c>
      <c r="O74" s="14" cm="1">
        <f t="array" ref="O74">INT(SUMPRODUCT(--ISNUMBER(SEARCH(violent,C74)))&gt;0)</f>
        <v>0</v>
      </c>
      <c r="P74" s="14" cm="1">
        <f t="array" ref="P74">INT(SUMPRODUCT(--ISNUMBER(SEARCH(foreign,C74)))&gt;0)</f>
        <v>0</v>
      </c>
      <c r="Q74" s="14" cm="1">
        <f t="array" ref="Q74">INT(SUMPRODUCT(--ISNUMBER(SEARCH(gun,C74)))&gt;0)</f>
        <v>0</v>
      </c>
      <c r="R74" s="14" cm="1">
        <f t="array" ref="R74">INT(SUMPRODUCT(--ISNUMBER(SEARCH(race,C74)))&gt;0)</f>
        <v>0</v>
      </c>
      <c r="S74" s="14" cm="1">
        <f t="array" ref="S74">INT(SUMPRODUCT(--ISNUMBER(SEARCH(immigration,C74)))&gt;0)</f>
        <v>0</v>
      </c>
      <c r="T74" s="14" cm="1">
        <f t="array" ref="T74">INT(SUMPRODUCT(--ISNUMBER(SEARCH(econineq,C75)))&gt;0)</f>
        <v>0</v>
      </c>
      <c r="U74" s="14" cm="1">
        <f t="array" ref="U74">INT(SUMPRODUCT(--ISNUMBER(SEARCH(climate,C74)))&gt;0)</f>
        <v>0</v>
      </c>
      <c r="V74" s="14" cm="1">
        <f t="array" ref="V74">INT(SUMPRODUCT(--ISNUMBER(SEARCH(abortion,C74)))&gt;0)</f>
        <v>0</v>
      </c>
      <c r="W74" s="14" cm="1">
        <f t="array" ref="W74">INT(SUMPRODUCT(--ISNUMBER(SEARCH(trump,C74)))&gt;0)</f>
        <v>0</v>
      </c>
      <c r="X74" s="14" cm="1">
        <f t="array" ref="X74">INT(SUMPRODUCT(--ISNUMBER(SEARCH(voting,C74)))&gt;0)</f>
        <v>0</v>
      </c>
      <c r="Y74" s="14" cm="1">
        <f t="array" ref="Y74">INT(SUMPRODUCT(--ISNUMBER(SEARCH(republicantrigger,C74)))&gt;0)</f>
        <v>0</v>
      </c>
      <c r="Z74" s="14" cm="1">
        <f t="array" ref="Z74">INT(SUMPRODUCT(--ISNUMBER(SEARCH(bipartisan,C74)))&gt;0)</f>
        <v>0</v>
      </c>
      <c r="AA74" s="14">
        <f t="shared" si="1"/>
        <v>0</v>
      </c>
      <c r="AB74" s="14"/>
      <c r="AC74" s="30">
        <v>1</v>
      </c>
      <c r="AD74" s="37">
        <v>0</v>
      </c>
    </row>
    <row r="75" spans="1:30" x14ac:dyDescent="0.25">
      <c r="A75" s="36">
        <v>1282</v>
      </c>
      <c r="B75" s="14" t="s">
        <v>2591</v>
      </c>
      <c r="C75" s="14" t="s">
        <v>2592</v>
      </c>
      <c r="D75" s="17">
        <v>44133</v>
      </c>
      <c r="E75" s="14" t="s">
        <v>30</v>
      </c>
      <c r="F75" s="14">
        <v>10</v>
      </c>
      <c r="G75" s="14">
        <v>2</v>
      </c>
      <c r="H75" s="14">
        <v>7</v>
      </c>
      <c r="I75" s="14">
        <v>4</v>
      </c>
      <c r="J75" s="14" t="s">
        <v>31</v>
      </c>
      <c r="K75" s="14" cm="1">
        <f t="array" ref="K75">INT(SUMPRODUCT(--ISNUMBER(SEARCH(economy,C75)))&gt;0)</f>
        <v>0</v>
      </c>
      <c r="L75" s="14" cm="1">
        <f t="array" ref="L75">INT(SUMPRODUCT(--ISNUMBER(SEARCH(healthcare,C75)))&gt;0)</f>
        <v>0</v>
      </c>
      <c r="M75" s="14" cm="1">
        <f t="array" ref="M75">INT(SUMPRODUCT(--ISNUMBER(SEARCH(supreme,C75)))&gt;0)</f>
        <v>0</v>
      </c>
      <c r="N75" s="14" cm="1">
        <f t="array" ref="N75">INT(SUMPRODUCT(--ISNUMBER(SEARCH(covid,C75)))&gt;0)</f>
        <v>0</v>
      </c>
      <c r="O75" s="14" cm="1">
        <f t="array" ref="O75">INT(SUMPRODUCT(--ISNUMBER(SEARCH(violent,C75)))&gt;0)</f>
        <v>0</v>
      </c>
      <c r="P75" s="14" cm="1">
        <f t="array" ref="P75">INT(SUMPRODUCT(--ISNUMBER(SEARCH(foreign,C75)))&gt;0)</f>
        <v>0</v>
      </c>
      <c r="Q75" s="14" cm="1">
        <f t="array" ref="Q75">INT(SUMPRODUCT(--ISNUMBER(SEARCH(gun,C75)))&gt;0)</f>
        <v>0</v>
      </c>
      <c r="R75" s="14" cm="1">
        <f t="array" ref="R75">INT(SUMPRODUCT(--ISNUMBER(SEARCH(race,C75)))&gt;0)</f>
        <v>0</v>
      </c>
      <c r="S75" s="14" cm="1">
        <f t="array" ref="S75">INT(SUMPRODUCT(--ISNUMBER(SEARCH(immigration,C75)))&gt;0)</f>
        <v>0</v>
      </c>
      <c r="T75" s="14" cm="1">
        <f t="array" ref="T75">INT(SUMPRODUCT(--ISNUMBER(SEARCH(econineq,C76)))&gt;0)</f>
        <v>0</v>
      </c>
      <c r="U75" s="14" cm="1">
        <f t="array" ref="U75">INT(SUMPRODUCT(--ISNUMBER(SEARCH(climate,C75)))&gt;0)</f>
        <v>0</v>
      </c>
      <c r="V75" s="14" cm="1">
        <f t="array" ref="V75">INT(SUMPRODUCT(--ISNUMBER(SEARCH(abortion,C75)))&gt;0)</f>
        <v>0</v>
      </c>
      <c r="W75" s="14" cm="1">
        <f t="array" ref="W75">INT(SUMPRODUCT(--ISNUMBER(SEARCH(trump,C75)))&gt;0)</f>
        <v>0</v>
      </c>
      <c r="X75" s="14" cm="1">
        <f t="array" ref="X75">INT(SUMPRODUCT(--ISNUMBER(SEARCH(voting,C75)))&gt;0)</f>
        <v>0</v>
      </c>
      <c r="Y75" s="14" cm="1">
        <f t="array" ref="Y75">INT(SUMPRODUCT(--ISNUMBER(SEARCH(republicantrigger,C75)))&gt;0)</f>
        <v>1</v>
      </c>
      <c r="Z75" s="14" cm="1">
        <f t="array" ref="Z75">INT(SUMPRODUCT(--ISNUMBER(SEARCH(bipartisan,C75)))&gt;0)</f>
        <v>0</v>
      </c>
      <c r="AA75" s="14">
        <f t="shared" si="1"/>
        <v>0</v>
      </c>
      <c r="AB75" s="14"/>
      <c r="AC75" s="30" t="s">
        <v>223</v>
      </c>
      <c r="AD75" s="37" t="s">
        <v>223</v>
      </c>
    </row>
    <row r="76" spans="1:30" x14ac:dyDescent="0.25">
      <c r="A76" s="36">
        <v>1283</v>
      </c>
      <c r="B76" s="14" t="s">
        <v>2593</v>
      </c>
      <c r="C76" s="14" t="s">
        <v>2594</v>
      </c>
      <c r="D76" s="17">
        <v>44133</v>
      </c>
      <c r="E76" s="14" t="s">
        <v>30</v>
      </c>
      <c r="F76" s="14">
        <v>31</v>
      </c>
      <c r="G76" s="14">
        <v>6</v>
      </c>
      <c r="H76" s="14">
        <v>7</v>
      </c>
      <c r="I76" s="14">
        <v>4</v>
      </c>
      <c r="J76" s="14" t="s">
        <v>31</v>
      </c>
      <c r="K76" s="14" cm="1">
        <f t="array" ref="K76">INT(SUMPRODUCT(--ISNUMBER(SEARCH(economy,C76)))&gt;0)</f>
        <v>0</v>
      </c>
      <c r="L76" s="14" cm="1">
        <f t="array" ref="L76">INT(SUMPRODUCT(--ISNUMBER(SEARCH(healthcare,C76)))&gt;0)</f>
        <v>0</v>
      </c>
      <c r="M76" s="14" cm="1">
        <f t="array" ref="M76">INT(SUMPRODUCT(--ISNUMBER(SEARCH(supreme,C76)))&gt;0)</f>
        <v>0</v>
      </c>
      <c r="N76" s="14" cm="1">
        <f t="array" ref="N76">INT(SUMPRODUCT(--ISNUMBER(SEARCH(covid,C76)))&gt;0)</f>
        <v>0</v>
      </c>
      <c r="O76" s="14" cm="1">
        <f t="array" ref="O76">INT(SUMPRODUCT(--ISNUMBER(SEARCH(violent,C76)))&gt;0)</f>
        <v>0</v>
      </c>
      <c r="P76" s="14" cm="1">
        <f t="array" ref="P76">INT(SUMPRODUCT(--ISNUMBER(SEARCH(foreign,C76)))&gt;0)</f>
        <v>0</v>
      </c>
      <c r="Q76" s="14" cm="1">
        <f t="array" ref="Q76">INT(SUMPRODUCT(--ISNUMBER(SEARCH(gun,C76)))&gt;0)</f>
        <v>0</v>
      </c>
      <c r="R76" s="14" cm="1">
        <f t="array" ref="R76">INT(SUMPRODUCT(--ISNUMBER(SEARCH(race,C76)))&gt;0)</f>
        <v>0</v>
      </c>
      <c r="S76" s="14" cm="1">
        <f t="array" ref="S76">INT(SUMPRODUCT(--ISNUMBER(SEARCH(immigration,C76)))&gt;0)</f>
        <v>0</v>
      </c>
      <c r="T76" s="14" cm="1">
        <f t="array" ref="T76">INT(SUMPRODUCT(--ISNUMBER(SEARCH(econineq,C77)))&gt;0)</f>
        <v>0</v>
      </c>
      <c r="U76" s="14" cm="1">
        <f t="array" ref="U76">INT(SUMPRODUCT(--ISNUMBER(SEARCH(climate,C76)))&gt;0)</f>
        <v>0</v>
      </c>
      <c r="V76" s="14" cm="1">
        <f t="array" ref="V76">INT(SUMPRODUCT(--ISNUMBER(SEARCH(abortion,C76)))&gt;0)</f>
        <v>0</v>
      </c>
      <c r="W76" s="14" cm="1">
        <f t="array" ref="W76">INT(SUMPRODUCT(--ISNUMBER(SEARCH(trump,C76)))&gt;0)</f>
        <v>0</v>
      </c>
      <c r="X76" s="14" cm="1">
        <f t="array" ref="X76">INT(SUMPRODUCT(--ISNUMBER(SEARCH(voting,C76)))&gt;0)</f>
        <v>0</v>
      </c>
      <c r="Y76" s="14" cm="1">
        <f t="array" ref="Y76">INT(SUMPRODUCT(--ISNUMBER(SEARCH(republicantrigger,C76)))&gt;0)</f>
        <v>0</v>
      </c>
      <c r="Z76" s="14" cm="1">
        <f t="array" ref="Z76">INT(SUMPRODUCT(--ISNUMBER(SEARCH(bipartisan,C76)))&gt;0)</f>
        <v>0</v>
      </c>
      <c r="AA76" s="14">
        <f t="shared" si="1"/>
        <v>1</v>
      </c>
      <c r="AB76" s="14"/>
      <c r="AC76" s="30">
        <v>1</v>
      </c>
      <c r="AD76" s="37">
        <v>0</v>
      </c>
    </row>
    <row r="77" spans="1:30" x14ac:dyDescent="0.25">
      <c r="A77" s="36">
        <v>1284</v>
      </c>
      <c r="B77" s="14" t="s">
        <v>2595</v>
      </c>
      <c r="C77" s="14" t="s">
        <v>2596</v>
      </c>
      <c r="D77" s="17">
        <v>44133</v>
      </c>
      <c r="E77" s="14" t="s">
        <v>30</v>
      </c>
      <c r="F77" s="14">
        <v>65</v>
      </c>
      <c r="G77" s="14">
        <v>21</v>
      </c>
      <c r="H77" s="14">
        <v>7</v>
      </c>
      <c r="I77" s="14">
        <v>4</v>
      </c>
      <c r="J77" s="14" t="s">
        <v>31</v>
      </c>
      <c r="K77" s="14" cm="1">
        <f t="array" ref="K77">INT(SUMPRODUCT(--ISNUMBER(SEARCH(economy,C77)))&gt;0)</f>
        <v>0</v>
      </c>
      <c r="L77" s="14" cm="1">
        <f t="array" ref="L77">INT(SUMPRODUCT(--ISNUMBER(SEARCH(healthcare,C77)))&gt;0)</f>
        <v>0</v>
      </c>
      <c r="M77" s="14" cm="1">
        <f t="array" ref="M77">INT(SUMPRODUCT(--ISNUMBER(SEARCH(supreme,C77)))&gt;0)</f>
        <v>0</v>
      </c>
      <c r="N77" s="14" cm="1">
        <f t="array" ref="N77">INT(SUMPRODUCT(--ISNUMBER(SEARCH(covid,C77)))&gt;0)</f>
        <v>0</v>
      </c>
      <c r="O77" s="14" cm="1">
        <f t="array" ref="O77">INT(SUMPRODUCT(--ISNUMBER(SEARCH(violent,C77)))&gt;0)</f>
        <v>0</v>
      </c>
      <c r="P77" s="14" cm="1">
        <f t="array" ref="P77">INT(SUMPRODUCT(--ISNUMBER(SEARCH(foreign,C77)))&gt;0)</f>
        <v>0</v>
      </c>
      <c r="Q77" s="14" cm="1">
        <f t="array" ref="Q77">INT(SUMPRODUCT(--ISNUMBER(SEARCH(gun,C77)))&gt;0)</f>
        <v>0</v>
      </c>
      <c r="R77" s="14" cm="1">
        <f t="array" ref="R77">INT(SUMPRODUCT(--ISNUMBER(SEARCH(race,C77)))&gt;0)</f>
        <v>0</v>
      </c>
      <c r="S77" s="14" cm="1">
        <f t="array" ref="S77">INT(SUMPRODUCT(--ISNUMBER(SEARCH(immigration,C77)))&gt;0)</f>
        <v>0</v>
      </c>
      <c r="T77" s="14" cm="1">
        <f t="array" ref="T77">INT(SUMPRODUCT(--ISNUMBER(SEARCH(econineq,C78)))&gt;0)</f>
        <v>0</v>
      </c>
      <c r="U77" s="14" cm="1">
        <f t="array" ref="U77">INT(SUMPRODUCT(--ISNUMBER(SEARCH(climate,C77)))&gt;0)</f>
        <v>0</v>
      </c>
      <c r="V77" s="14" cm="1">
        <f t="array" ref="V77">INT(SUMPRODUCT(--ISNUMBER(SEARCH(abortion,C77)))&gt;0)</f>
        <v>0</v>
      </c>
      <c r="W77" s="14" cm="1">
        <f t="array" ref="W77">INT(SUMPRODUCT(--ISNUMBER(SEARCH(trump,C77)))&gt;0)</f>
        <v>0</v>
      </c>
      <c r="X77" s="14" cm="1">
        <f t="array" ref="X77">INT(SUMPRODUCT(--ISNUMBER(SEARCH(voting,C77)))&gt;0)</f>
        <v>0</v>
      </c>
      <c r="Y77" s="14" cm="1">
        <f t="array" ref="Y77">INT(SUMPRODUCT(--ISNUMBER(SEARCH(republicantrigger,C77)))&gt;0)</f>
        <v>0</v>
      </c>
      <c r="Z77" s="14" cm="1">
        <f t="array" ref="Z77">INT(SUMPRODUCT(--ISNUMBER(SEARCH(bipartisan,C77)))&gt;0)</f>
        <v>0</v>
      </c>
      <c r="AA77" s="14">
        <f t="shared" si="1"/>
        <v>1</v>
      </c>
      <c r="AB77" s="14"/>
      <c r="AC77" s="30">
        <v>0</v>
      </c>
      <c r="AD77" s="37">
        <v>1</v>
      </c>
    </row>
    <row r="78" spans="1:30" x14ac:dyDescent="0.25">
      <c r="A78" s="36">
        <v>1285</v>
      </c>
      <c r="B78" s="14" t="s">
        <v>2597</v>
      </c>
      <c r="C78" s="14" t="s">
        <v>2598</v>
      </c>
      <c r="D78" s="17">
        <v>44133</v>
      </c>
      <c r="E78" s="14" t="s">
        <v>30</v>
      </c>
      <c r="F78" s="14">
        <v>61</v>
      </c>
      <c r="G78" s="14">
        <v>21</v>
      </c>
      <c r="H78" s="14">
        <v>7</v>
      </c>
      <c r="I78" s="14">
        <v>4</v>
      </c>
      <c r="J78" s="14" t="s">
        <v>31</v>
      </c>
      <c r="K78" s="14" cm="1">
        <f t="array" ref="K78">INT(SUMPRODUCT(--ISNUMBER(SEARCH(economy,C78)))&gt;0)</f>
        <v>0</v>
      </c>
      <c r="L78" s="14" cm="1">
        <f t="array" ref="L78">INT(SUMPRODUCT(--ISNUMBER(SEARCH(healthcare,C78)))&gt;0)</f>
        <v>0</v>
      </c>
      <c r="M78" s="14" cm="1">
        <f t="array" ref="M78">INT(SUMPRODUCT(--ISNUMBER(SEARCH(supreme,C78)))&gt;0)</f>
        <v>0</v>
      </c>
      <c r="N78" s="14" cm="1">
        <f t="array" ref="N78">INT(SUMPRODUCT(--ISNUMBER(SEARCH(covid,C78)))&gt;0)</f>
        <v>0</v>
      </c>
      <c r="O78" s="14" cm="1">
        <f t="array" ref="O78">INT(SUMPRODUCT(--ISNUMBER(SEARCH(violent,C78)))&gt;0)</f>
        <v>0</v>
      </c>
      <c r="P78" s="14" cm="1">
        <f t="array" ref="P78">INT(SUMPRODUCT(--ISNUMBER(SEARCH(foreign,C78)))&gt;0)</f>
        <v>0</v>
      </c>
      <c r="Q78" s="14" cm="1">
        <f t="array" ref="Q78">INT(SUMPRODUCT(--ISNUMBER(SEARCH(gun,C78)))&gt;0)</f>
        <v>0</v>
      </c>
      <c r="R78" s="14" cm="1">
        <f t="array" ref="R78">INT(SUMPRODUCT(--ISNUMBER(SEARCH(race,C78)))&gt;0)</f>
        <v>0</v>
      </c>
      <c r="S78" s="14" cm="1">
        <f t="array" ref="S78">INT(SUMPRODUCT(--ISNUMBER(SEARCH(immigration,C78)))&gt;0)</f>
        <v>0</v>
      </c>
      <c r="T78" s="14" cm="1">
        <f t="array" ref="T78">INT(SUMPRODUCT(--ISNUMBER(SEARCH(econineq,C79)))&gt;0)</f>
        <v>0</v>
      </c>
      <c r="U78" s="14" cm="1">
        <f t="array" ref="U78">INT(SUMPRODUCT(--ISNUMBER(SEARCH(climate,C78)))&gt;0)</f>
        <v>0</v>
      </c>
      <c r="V78" s="14" cm="1">
        <f t="array" ref="V78">INT(SUMPRODUCT(--ISNUMBER(SEARCH(abortion,C78)))&gt;0)</f>
        <v>0</v>
      </c>
      <c r="W78" s="14" cm="1">
        <f t="array" ref="W78">INT(SUMPRODUCT(--ISNUMBER(SEARCH(trump,C78)))&gt;0)</f>
        <v>0</v>
      </c>
      <c r="X78" s="14" cm="1">
        <f t="array" ref="X78">INT(SUMPRODUCT(--ISNUMBER(SEARCH(voting,C78)))&gt;0)</f>
        <v>0</v>
      </c>
      <c r="Y78" s="14" cm="1">
        <f t="array" ref="Y78">INT(SUMPRODUCT(--ISNUMBER(SEARCH(republicantrigger,C78)))&gt;0)</f>
        <v>1</v>
      </c>
      <c r="Z78" s="14" cm="1">
        <f t="array" ref="Z78">INT(SUMPRODUCT(--ISNUMBER(SEARCH(bipartisan,C78)))&gt;0)</f>
        <v>0</v>
      </c>
      <c r="AA78" s="14">
        <f t="shared" si="1"/>
        <v>0</v>
      </c>
      <c r="AB78" s="14"/>
      <c r="AC78" s="30">
        <v>1</v>
      </c>
      <c r="AD78" s="37">
        <v>0</v>
      </c>
    </row>
    <row r="79" spans="1:30" x14ac:dyDescent="0.25">
      <c r="A79" s="36">
        <v>1286</v>
      </c>
      <c r="B79" s="14" t="s">
        <v>2599</v>
      </c>
      <c r="C79" s="14" t="s">
        <v>2600</v>
      </c>
      <c r="D79" s="17">
        <v>44133</v>
      </c>
      <c r="E79" s="14" t="s">
        <v>30</v>
      </c>
      <c r="F79" s="14">
        <v>27</v>
      </c>
      <c r="G79" s="14">
        <v>3</v>
      </c>
      <c r="H79" s="14">
        <v>7</v>
      </c>
      <c r="I79" s="14">
        <v>4</v>
      </c>
      <c r="J79" s="14" t="s">
        <v>31</v>
      </c>
      <c r="K79" s="14" cm="1">
        <f t="array" ref="K79">INT(SUMPRODUCT(--ISNUMBER(SEARCH(economy,C79)))&gt;0)</f>
        <v>0</v>
      </c>
      <c r="L79" s="14" cm="1">
        <f t="array" ref="L79">INT(SUMPRODUCT(--ISNUMBER(SEARCH(healthcare,C79)))&gt;0)</f>
        <v>0</v>
      </c>
      <c r="M79" s="14" cm="1">
        <f t="array" ref="M79">INT(SUMPRODUCT(--ISNUMBER(SEARCH(supreme,C79)))&gt;0)</f>
        <v>0</v>
      </c>
      <c r="N79" s="14" cm="1">
        <f t="array" ref="N79">INT(SUMPRODUCT(--ISNUMBER(SEARCH(covid,C79)))&gt;0)</f>
        <v>0</v>
      </c>
      <c r="O79" s="14" cm="1">
        <f t="array" ref="O79">INT(SUMPRODUCT(--ISNUMBER(SEARCH(violent,C79)))&gt;0)</f>
        <v>0</v>
      </c>
      <c r="P79" s="14" cm="1">
        <f t="array" ref="P79">INT(SUMPRODUCT(--ISNUMBER(SEARCH(foreign,C79)))&gt;0)</f>
        <v>0</v>
      </c>
      <c r="Q79" s="14" cm="1">
        <f t="array" ref="Q79">INT(SUMPRODUCT(--ISNUMBER(SEARCH(gun,C79)))&gt;0)</f>
        <v>0</v>
      </c>
      <c r="R79" s="14" cm="1">
        <f t="array" ref="R79">INT(SUMPRODUCT(--ISNUMBER(SEARCH(race,C79)))&gt;0)</f>
        <v>0</v>
      </c>
      <c r="S79" s="14" cm="1">
        <f t="array" ref="S79">INT(SUMPRODUCT(--ISNUMBER(SEARCH(immigration,C79)))&gt;0)</f>
        <v>0</v>
      </c>
      <c r="T79" s="14" cm="1">
        <f t="array" ref="T79">INT(SUMPRODUCT(--ISNUMBER(SEARCH(econineq,C80)))&gt;0)</f>
        <v>0</v>
      </c>
      <c r="U79" s="14" cm="1">
        <f t="array" ref="U79">INT(SUMPRODUCT(--ISNUMBER(SEARCH(climate,C79)))&gt;0)</f>
        <v>0</v>
      </c>
      <c r="V79" s="14" cm="1">
        <f t="array" ref="V79">INT(SUMPRODUCT(--ISNUMBER(SEARCH(abortion,C79)))&gt;0)</f>
        <v>0</v>
      </c>
      <c r="W79" s="14" cm="1">
        <f t="array" ref="W79">INT(SUMPRODUCT(--ISNUMBER(SEARCH(trump,C79)))&gt;0)</f>
        <v>0</v>
      </c>
      <c r="X79" s="14" cm="1">
        <f t="array" ref="X79">INT(SUMPRODUCT(--ISNUMBER(SEARCH(voting,C79)))&gt;0)</f>
        <v>0</v>
      </c>
      <c r="Y79" s="14" cm="1">
        <f t="array" ref="Y79">INT(SUMPRODUCT(--ISNUMBER(SEARCH(republicantrigger,C79)))&gt;0)</f>
        <v>0</v>
      </c>
      <c r="Z79" s="14" cm="1">
        <f t="array" ref="Z79">INT(SUMPRODUCT(--ISNUMBER(SEARCH(bipartisan,C79)))&gt;0)</f>
        <v>0</v>
      </c>
      <c r="AA79" s="14">
        <f t="shared" si="1"/>
        <v>1</v>
      </c>
      <c r="AB79" s="14"/>
      <c r="AC79" s="30" t="s">
        <v>223</v>
      </c>
      <c r="AD79" s="37" t="s">
        <v>223</v>
      </c>
    </row>
    <row r="80" spans="1:30" x14ac:dyDescent="0.25">
      <c r="A80" s="36">
        <v>1287</v>
      </c>
      <c r="B80" s="14" t="s">
        <v>2601</v>
      </c>
      <c r="C80" s="14" t="s">
        <v>2602</v>
      </c>
      <c r="D80" s="17">
        <v>44133</v>
      </c>
      <c r="E80" s="14" t="s">
        <v>30</v>
      </c>
      <c r="F80" s="14">
        <v>33</v>
      </c>
      <c r="G80" s="14">
        <v>6</v>
      </c>
      <c r="H80" s="14">
        <v>7</v>
      </c>
      <c r="I80" s="14">
        <v>4</v>
      </c>
      <c r="J80" s="14" t="s">
        <v>31</v>
      </c>
      <c r="K80" s="14" cm="1">
        <f t="array" ref="K80">INT(SUMPRODUCT(--ISNUMBER(SEARCH(economy,C80)))&gt;0)</f>
        <v>1</v>
      </c>
      <c r="L80" s="14" cm="1">
        <f t="array" ref="L80">INT(SUMPRODUCT(--ISNUMBER(SEARCH(healthcare,C80)))&gt;0)</f>
        <v>0</v>
      </c>
      <c r="M80" s="14" cm="1">
        <f t="array" ref="M80">INT(SUMPRODUCT(--ISNUMBER(SEARCH(supreme,C80)))&gt;0)</f>
        <v>0</v>
      </c>
      <c r="N80" s="14" cm="1">
        <f t="array" ref="N80">INT(SUMPRODUCT(--ISNUMBER(SEARCH(covid,C80)))&gt;0)</f>
        <v>1</v>
      </c>
      <c r="O80" s="14" cm="1">
        <f t="array" ref="O80">INT(SUMPRODUCT(--ISNUMBER(SEARCH(violent,C80)))&gt;0)</f>
        <v>0</v>
      </c>
      <c r="P80" s="14" cm="1">
        <f t="array" ref="P80">INT(SUMPRODUCT(--ISNUMBER(SEARCH(foreign,C80)))&gt;0)</f>
        <v>0</v>
      </c>
      <c r="Q80" s="14" cm="1">
        <f t="array" ref="Q80">INT(SUMPRODUCT(--ISNUMBER(SEARCH(gun,C80)))&gt;0)</f>
        <v>0</v>
      </c>
      <c r="R80" s="14" cm="1">
        <f t="array" ref="R80">INT(SUMPRODUCT(--ISNUMBER(SEARCH(race,C80)))&gt;0)</f>
        <v>0</v>
      </c>
      <c r="S80" s="14" cm="1">
        <f t="array" ref="S80">INT(SUMPRODUCT(--ISNUMBER(SEARCH(immigration,C80)))&gt;0)</f>
        <v>0</v>
      </c>
      <c r="T80" s="14" cm="1">
        <f t="array" ref="T80">INT(SUMPRODUCT(--ISNUMBER(SEARCH(econineq,C81)))&gt;0)</f>
        <v>0</v>
      </c>
      <c r="U80" s="14" cm="1">
        <f t="array" ref="U80">INT(SUMPRODUCT(--ISNUMBER(SEARCH(climate,C80)))&gt;0)</f>
        <v>0</v>
      </c>
      <c r="V80" s="14" cm="1">
        <f t="array" ref="V80">INT(SUMPRODUCT(--ISNUMBER(SEARCH(abortion,C80)))&gt;0)</f>
        <v>0</v>
      </c>
      <c r="W80" s="14" cm="1">
        <f t="array" ref="W80">INT(SUMPRODUCT(--ISNUMBER(SEARCH(trump,C80)))&gt;0)</f>
        <v>0</v>
      </c>
      <c r="X80" s="14" cm="1">
        <f t="array" ref="X80">INT(SUMPRODUCT(--ISNUMBER(SEARCH(voting,C80)))&gt;0)</f>
        <v>0</v>
      </c>
      <c r="Y80" s="14" cm="1">
        <f t="array" ref="Y80">INT(SUMPRODUCT(--ISNUMBER(SEARCH(republicantrigger,C80)))&gt;0)</f>
        <v>1</v>
      </c>
      <c r="Z80" s="14" cm="1">
        <f t="array" ref="Z80">INT(SUMPRODUCT(--ISNUMBER(SEARCH(bipartisan,C80)))&gt;0)</f>
        <v>0</v>
      </c>
      <c r="AA80" s="14">
        <f t="shared" si="1"/>
        <v>0</v>
      </c>
      <c r="AB80" s="14"/>
      <c r="AC80" s="30">
        <v>0</v>
      </c>
      <c r="AD80" s="37">
        <v>1</v>
      </c>
    </row>
    <row r="81" spans="1:30" x14ac:dyDescent="0.25">
      <c r="A81" s="36">
        <v>1288</v>
      </c>
      <c r="B81" s="14" t="s">
        <v>2603</v>
      </c>
      <c r="C81" s="14" t="s">
        <v>2604</v>
      </c>
      <c r="D81" s="17">
        <v>44133</v>
      </c>
      <c r="E81" s="14" t="s">
        <v>30</v>
      </c>
      <c r="F81" s="14">
        <v>17</v>
      </c>
      <c r="G81" s="14">
        <v>2</v>
      </c>
      <c r="H81" s="14">
        <v>7</v>
      </c>
      <c r="I81" s="14">
        <v>4</v>
      </c>
      <c r="J81" s="14" t="s">
        <v>31</v>
      </c>
      <c r="K81" s="14" cm="1">
        <f t="array" ref="K81">INT(SUMPRODUCT(--ISNUMBER(SEARCH(economy,C81)))&gt;0)</f>
        <v>0</v>
      </c>
      <c r="L81" s="14" cm="1">
        <f t="array" ref="L81">INT(SUMPRODUCT(--ISNUMBER(SEARCH(healthcare,C81)))&gt;0)</f>
        <v>0</v>
      </c>
      <c r="M81" s="14" cm="1">
        <f t="array" ref="M81">INT(SUMPRODUCT(--ISNUMBER(SEARCH(supreme,C81)))&gt;0)</f>
        <v>0</v>
      </c>
      <c r="N81" s="14" cm="1">
        <f t="array" ref="N81">INT(SUMPRODUCT(--ISNUMBER(SEARCH(covid,C81)))&gt;0)</f>
        <v>0</v>
      </c>
      <c r="O81" s="14" cm="1">
        <f t="array" ref="O81">INT(SUMPRODUCT(--ISNUMBER(SEARCH(violent,C81)))&gt;0)</f>
        <v>0</v>
      </c>
      <c r="P81" s="14" cm="1">
        <f t="array" ref="P81">INT(SUMPRODUCT(--ISNUMBER(SEARCH(foreign,C81)))&gt;0)</f>
        <v>0</v>
      </c>
      <c r="Q81" s="14" cm="1">
        <f t="array" ref="Q81">INT(SUMPRODUCT(--ISNUMBER(SEARCH(gun,C81)))&gt;0)</f>
        <v>0</v>
      </c>
      <c r="R81" s="14" cm="1">
        <f t="array" ref="R81">INT(SUMPRODUCT(--ISNUMBER(SEARCH(race,C81)))&gt;0)</f>
        <v>0</v>
      </c>
      <c r="S81" s="14" cm="1">
        <f t="array" ref="S81">INT(SUMPRODUCT(--ISNUMBER(SEARCH(immigration,C81)))&gt;0)</f>
        <v>0</v>
      </c>
      <c r="T81" s="14" cm="1">
        <f t="array" ref="T81">INT(SUMPRODUCT(--ISNUMBER(SEARCH(econineq,C82)))&gt;0)</f>
        <v>0</v>
      </c>
      <c r="U81" s="14" cm="1">
        <f t="array" ref="U81">INT(SUMPRODUCT(--ISNUMBER(SEARCH(climate,C81)))&gt;0)</f>
        <v>0</v>
      </c>
      <c r="V81" s="14" cm="1">
        <f t="array" ref="V81">INT(SUMPRODUCT(--ISNUMBER(SEARCH(abortion,C81)))&gt;0)</f>
        <v>0</v>
      </c>
      <c r="W81" s="14" cm="1">
        <f t="array" ref="W81">INT(SUMPRODUCT(--ISNUMBER(SEARCH(trump,C81)))&gt;0)</f>
        <v>0</v>
      </c>
      <c r="X81" s="14" cm="1">
        <f t="array" ref="X81">INT(SUMPRODUCT(--ISNUMBER(SEARCH(voting,C81)))&gt;0)</f>
        <v>0</v>
      </c>
      <c r="Y81" s="14" cm="1">
        <f t="array" ref="Y81">INT(SUMPRODUCT(--ISNUMBER(SEARCH(republicantrigger,C81)))&gt;0)</f>
        <v>0</v>
      </c>
      <c r="Z81" s="14" cm="1">
        <f t="array" ref="Z81">INT(SUMPRODUCT(--ISNUMBER(SEARCH(bipartisan,C81)))&gt;0)</f>
        <v>0</v>
      </c>
      <c r="AA81" s="14">
        <f t="shared" si="1"/>
        <v>1</v>
      </c>
      <c r="AB81" s="14"/>
      <c r="AC81" s="30" t="s">
        <v>223</v>
      </c>
      <c r="AD81" s="37" t="s">
        <v>223</v>
      </c>
    </row>
    <row r="82" spans="1:30" x14ac:dyDescent="0.25">
      <c r="A82" s="36">
        <v>1289</v>
      </c>
      <c r="B82" s="14" t="s">
        <v>2605</v>
      </c>
      <c r="C82" s="14" t="s">
        <v>2606</v>
      </c>
      <c r="D82" s="17">
        <v>44133</v>
      </c>
      <c r="E82" s="14" t="s">
        <v>30</v>
      </c>
      <c r="F82" s="14">
        <v>17</v>
      </c>
      <c r="G82" s="14">
        <v>0</v>
      </c>
      <c r="H82" s="14">
        <v>7</v>
      </c>
      <c r="I82" s="14">
        <v>4</v>
      </c>
      <c r="J82" s="14" t="s">
        <v>31</v>
      </c>
      <c r="K82" s="14" cm="1">
        <f t="array" ref="K82">INT(SUMPRODUCT(--ISNUMBER(SEARCH(economy,C82)))&gt;0)</f>
        <v>0</v>
      </c>
      <c r="L82" s="14" cm="1">
        <f t="array" ref="L82">INT(SUMPRODUCT(--ISNUMBER(SEARCH(healthcare,C82)))&gt;0)</f>
        <v>0</v>
      </c>
      <c r="M82" s="14" cm="1">
        <f t="array" ref="M82">INT(SUMPRODUCT(--ISNUMBER(SEARCH(supreme,C82)))&gt;0)</f>
        <v>0</v>
      </c>
      <c r="N82" s="14" cm="1">
        <f t="array" ref="N82">INT(SUMPRODUCT(--ISNUMBER(SEARCH(covid,C82)))&gt;0)</f>
        <v>1</v>
      </c>
      <c r="O82" s="14" cm="1">
        <f t="array" ref="O82">INT(SUMPRODUCT(--ISNUMBER(SEARCH(violent,C82)))&gt;0)</f>
        <v>0</v>
      </c>
      <c r="P82" s="14" cm="1">
        <f t="array" ref="P82">INT(SUMPRODUCT(--ISNUMBER(SEARCH(foreign,C82)))&gt;0)</f>
        <v>0</v>
      </c>
      <c r="Q82" s="14" cm="1">
        <f t="array" ref="Q82">INT(SUMPRODUCT(--ISNUMBER(SEARCH(gun,C82)))&gt;0)</f>
        <v>0</v>
      </c>
      <c r="R82" s="14" cm="1">
        <f t="array" ref="R82">INT(SUMPRODUCT(--ISNUMBER(SEARCH(race,C82)))&gt;0)</f>
        <v>0</v>
      </c>
      <c r="S82" s="14" cm="1">
        <f t="array" ref="S82">INT(SUMPRODUCT(--ISNUMBER(SEARCH(immigration,C82)))&gt;0)</f>
        <v>0</v>
      </c>
      <c r="T82" s="14" cm="1">
        <f t="array" ref="T82">INT(SUMPRODUCT(--ISNUMBER(SEARCH(econineq,C83)))&gt;0)</f>
        <v>0</v>
      </c>
      <c r="U82" s="14" cm="1">
        <f t="array" ref="U82">INT(SUMPRODUCT(--ISNUMBER(SEARCH(climate,C82)))&gt;0)</f>
        <v>0</v>
      </c>
      <c r="V82" s="14" cm="1">
        <f t="array" ref="V82">INT(SUMPRODUCT(--ISNUMBER(SEARCH(abortion,C82)))&gt;0)</f>
        <v>0</v>
      </c>
      <c r="W82" s="14" cm="1">
        <f t="array" ref="W82">INT(SUMPRODUCT(--ISNUMBER(SEARCH(trump,C82)))&gt;0)</f>
        <v>0</v>
      </c>
      <c r="X82" s="14" cm="1">
        <f t="array" ref="X82">INT(SUMPRODUCT(--ISNUMBER(SEARCH(voting,C82)))&gt;0)</f>
        <v>0</v>
      </c>
      <c r="Y82" s="14" cm="1">
        <f t="array" ref="Y82">INT(SUMPRODUCT(--ISNUMBER(SEARCH(republicantrigger,C82)))&gt;0)</f>
        <v>1</v>
      </c>
      <c r="Z82" s="14" cm="1">
        <f t="array" ref="Z82">INT(SUMPRODUCT(--ISNUMBER(SEARCH(bipartisan,C82)))&gt;0)</f>
        <v>0</v>
      </c>
      <c r="AA82" s="14">
        <f t="shared" si="1"/>
        <v>0</v>
      </c>
      <c r="AB82" s="14"/>
      <c r="AC82" s="30" t="s">
        <v>223</v>
      </c>
      <c r="AD82" s="37" t="s">
        <v>223</v>
      </c>
    </row>
    <row r="83" spans="1:30" x14ac:dyDescent="0.25">
      <c r="A83" s="36">
        <v>1290</v>
      </c>
      <c r="B83" s="14" t="s">
        <v>2607</v>
      </c>
      <c r="C83" s="14" t="s">
        <v>2608</v>
      </c>
      <c r="D83" s="17">
        <v>44133</v>
      </c>
      <c r="E83" s="14" t="s">
        <v>30</v>
      </c>
      <c r="F83" s="14">
        <v>10</v>
      </c>
      <c r="G83" s="14">
        <v>2</v>
      </c>
      <c r="H83" s="14">
        <v>7</v>
      </c>
      <c r="I83" s="14">
        <v>4</v>
      </c>
      <c r="J83" s="14" t="s">
        <v>31</v>
      </c>
      <c r="K83" s="14" cm="1">
        <f t="array" ref="K83">INT(SUMPRODUCT(--ISNUMBER(SEARCH(economy,C83)))&gt;0)</f>
        <v>1</v>
      </c>
      <c r="L83" s="14" cm="1">
        <f t="array" ref="L83">INT(SUMPRODUCT(--ISNUMBER(SEARCH(healthcare,C83)))&gt;0)</f>
        <v>0</v>
      </c>
      <c r="M83" s="14" cm="1">
        <f t="array" ref="M83">INT(SUMPRODUCT(--ISNUMBER(SEARCH(supreme,C83)))&gt;0)</f>
        <v>0</v>
      </c>
      <c r="N83" s="14" cm="1">
        <f t="array" ref="N83">INT(SUMPRODUCT(--ISNUMBER(SEARCH(covid,C83)))&gt;0)</f>
        <v>1</v>
      </c>
      <c r="O83" s="14" cm="1">
        <f t="array" ref="O83">INT(SUMPRODUCT(--ISNUMBER(SEARCH(violent,C83)))&gt;0)</f>
        <v>0</v>
      </c>
      <c r="P83" s="14" cm="1">
        <f t="array" ref="P83">INT(SUMPRODUCT(--ISNUMBER(SEARCH(foreign,C83)))&gt;0)</f>
        <v>0</v>
      </c>
      <c r="Q83" s="14" cm="1">
        <f t="array" ref="Q83">INT(SUMPRODUCT(--ISNUMBER(SEARCH(gun,C83)))&gt;0)</f>
        <v>0</v>
      </c>
      <c r="R83" s="14" cm="1">
        <f t="array" ref="R83">INT(SUMPRODUCT(--ISNUMBER(SEARCH(race,C83)))&gt;0)</f>
        <v>0</v>
      </c>
      <c r="S83" s="14" cm="1">
        <f t="array" ref="S83">INT(SUMPRODUCT(--ISNUMBER(SEARCH(immigration,C83)))&gt;0)</f>
        <v>0</v>
      </c>
      <c r="T83" s="14" cm="1">
        <f t="array" ref="T83">INT(SUMPRODUCT(--ISNUMBER(SEARCH(econineq,C84)))&gt;0)</f>
        <v>0</v>
      </c>
      <c r="U83" s="14" cm="1">
        <f t="array" ref="U83">INT(SUMPRODUCT(--ISNUMBER(SEARCH(climate,C83)))&gt;0)</f>
        <v>0</v>
      </c>
      <c r="V83" s="14" cm="1">
        <f t="array" ref="V83">INT(SUMPRODUCT(--ISNUMBER(SEARCH(abortion,C83)))&gt;0)</f>
        <v>0</v>
      </c>
      <c r="W83" s="14" cm="1">
        <f t="array" ref="W83">INT(SUMPRODUCT(--ISNUMBER(SEARCH(trump,C83)))&gt;0)</f>
        <v>0</v>
      </c>
      <c r="X83" s="14" cm="1">
        <f t="array" ref="X83">INT(SUMPRODUCT(--ISNUMBER(SEARCH(voting,C83)))&gt;0)</f>
        <v>0</v>
      </c>
      <c r="Y83" s="14" cm="1">
        <f t="array" ref="Y83">INT(SUMPRODUCT(--ISNUMBER(SEARCH(republicantrigger,C83)))&gt;0)</f>
        <v>0</v>
      </c>
      <c r="Z83" s="14" cm="1">
        <f t="array" ref="Z83">INT(SUMPRODUCT(--ISNUMBER(SEARCH(bipartisan,C83)))&gt;0)</f>
        <v>0</v>
      </c>
      <c r="AA83" s="14">
        <f t="shared" si="1"/>
        <v>0</v>
      </c>
      <c r="AB83" s="14"/>
      <c r="AC83" s="30">
        <v>1</v>
      </c>
      <c r="AD83" s="37">
        <v>0</v>
      </c>
    </row>
    <row r="84" spans="1:30" x14ac:dyDescent="0.25">
      <c r="A84" s="36">
        <v>1291</v>
      </c>
      <c r="B84" s="14" t="s">
        <v>2609</v>
      </c>
      <c r="C84" s="14" t="s">
        <v>2610</v>
      </c>
      <c r="D84" s="17">
        <v>44133</v>
      </c>
      <c r="E84" s="14" t="s">
        <v>30</v>
      </c>
      <c r="F84" s="14">
        <v>30</v>
      </c>
      <c r="G84" s="14">
        <v>7</v>
      </c>
      <c r="H84" s="14">
        <v>7</v>
      </c>
      <c r="I84" s="14">
        <v>4</v>
      </c>
      <c r="J84" s="14" t="s">
        <v>31</v>
      </c>
      <c r="K84" s="14" cm="1">
        <f t="array" ref="K84">INT(SUMPRODUCT(--ISNUMBER(SEARCH(economy,C84)))&gt;0)</f>
        <v>1</v>
      </c>
      <c r="L84" s="14" cm="1">
        <f t="array" ref="L84">INT(SUMPRODUCT(--ISNUMBER(SEARCH(healthcare,C84)))&gt;0)</f>
        <v>1</v>
      </c>
      <c r="M84" s="14" cm="1">
        <f t="array" ref="M84">INT(SUMPRODUCT(--ISNUMBER(SEARCH(supreme,C84)))&gt;0)</f>
        <v>0</v>
      </c>
      <c r="N84" s="14" cm="1">
        <f t="array" ref="N84">INT(SUMPRODUCT(--ISNUMBER(SEARCH(covid,C84)))&gt;0)</f>
        <v>1</v>
      </c>
      <c r="O84" s="14" cm="1">
        <f t="array" ref="O84">INT(SUMPRODUCT(--ISNUMBER(SEARCH(violent,C84)))&gt;0)</f>
        <v>0</v>
      </c>
      <c r="P84" s="14" cm="1">
        <f t="array" ref="P84">INT(SUMPRODUCT(--ISNUMBER(SEARCH(foreign,C84)))&gt;0)</f>
        <v>0</v>
      </c>
      <c r="Q84" s="14" cm="1">
        <f t="array" ref="Q84">INT(SUMPRODUCT(--ISNUMBER(SEARCH(gun,C84)))&gt;0)</f>
        <v>0</v>
      </c>
      <c r="R84" s="14" cm="1">
        <f t="array" ref="R84">INT(SUMPRODUCT(--ISNUMBER(SEARCH(race,C84)))&gt;0)</f>
        <v>0</v>
      </c>
      <c r="S84" s="14" cm="1">
        <f t="array" ref="S84">INT(SUMPRODUCT(--ISNUMBER(SEARCH(immigration,C84)))&gt;0)</f>
        <v>0</v>
      </c>
      <c r="T84" s="14" cm="1">
        <f t="array" ref="T84">INT(SUMPRODUCT(--ISNUMBER(SEARCH(econineq,C85)))&gt;0)</f>
        <v>0</v>
      </c>
      <c r="U84" s="14" cm="1">
        <f t="array" ref="U84">INT(SUMPRODUCT(--ISNUMBER(SEARCH(climate,C84)))&gt;0)</f>
        <v>0</v>
      </c>
      <c r="V84" s="14" cm="1">
        <f t="array" ref="V84">INT(SUMPRODUCT(--ISNUMBER(SEARCH(abortion,C84)))&gt;0)</f>
        <v>0</v>
      </c>
      <c r="W84" s="14" cm="1">
        <f t="array" ref="W84">INT(SUMPRODUCT(--ISNUMBER(SEARCH(trump,C84)))&gt;0)</f>
        <v>0</v>
      </c>
      <c r="X84" s="14" cm="1">
        <f t="array" ref="X84">INT(SUMPRODUCT(--ISNUMBER(SEARCH(voting,C84)))&gt;0)</f>
        <v>0</v>
      </c>
      <c r="Y84" s="14" cm="1">
        <f t="array" ref="Y84">INT(SUMPRODUCT(--ISNUMBER(SEARCH(republicantrigger,C84)))&gt;0)</f>
        <v>0</v>
      </c>
      <c r="Z84" s="14" cm="1">
        <f t="array" ref="Z84">INT(SUMPRODUCT(--ISNUMBER(SEARCH(bipartisan,C84)))&gt;0)</f>
        <v>0</v>
      </c>
      <c r="AA84" s="14">
        <f t="shared" si="1"/>
        <v>0</v>
      </c>
      <c r="AB84" s="14"/>
      <c r="AC84" s="30">
        <v>1</v>
      </c>
      <c r="AD84" s="37">
        <v>0</v>
      </c>
    </row>
    <row r="85" spans="1:30" x14ac:dyDescent="0.25">
      <c r="A85" s="36">
        <v>1292</v>
      </c>
      <c r="B85" s="14" t="s">
        <v>2611</v>
      </c>
      <c r="C85" s="14" t="s">
        <v>2612</v>
      </c>
      <c r="D85" s="17">
        <v>44133</v>
      </c>
      <c r="E85" s="14" t="s">
        <v>30</v>
      </c>
      <c r="F85" s="14">
        <v>40</v>
      </c>
      <c r="G85" s="14">
        <v>10</v>
      </c>
      <c r="H85" s="14">
        <v>7</v>
      </c>
      <c r="I85" s="14">
        <v>4</v>
      </c>
      <c r="J85" s="14" t="s">
        <v>31</v>
      </c>
      <c r="K85" s="14" cm="1">
        <f t="array" ref="K85">INT(SUMPRODUCT(--ISNUMBER(SEARCH(economy,C85)))&gt;0)</f>
        <v>0</v>
      </c>
      <c r="L85" s="14" cm="1">
        <f t="array" ref="L85">INT(SUMPRODUCT(--ISNUMBER(SEARCH(healthcare,C85)))&gt;0)</f>
        <v>0</v>
      </c>
      <c r="M85" s="14" cm="1">
        <f t="array" ref="M85">INT(SUMPRODUCT(--ISNUMBER(SEARCH(supreme,C85)))&gt;0)</f>
        <v>0</v>
      </c>
      <c r="N85" s="14" cm="1">
        <f t="array" ref="N85">INT(SUMPRODUCT(--ISNUMBER(SEARCH(covid,C85)))&gt;0)</f>
        <v>0</v>
      </c>
      <c r="O85" s="14" cm="1">
        <f t="array" ref="O85">INT(SUMPRODUCT(--ISNUMBER(SEARCH(violent,C85)))&gt;0)</f>
        <v>0</v>
      </c>
      <c r="P85" s="14" cm="1">
        <f t="array" ref="P85">INT(SUMPRODUCT(--ISNUMBER(SEARCH(foreign,C85)))&gt;0)</f>
        <v>0</v>
      </c>
      <c r="Q85" s="14" cm="1">
        <f t="array" ref="Q85">INT(SUMPRODUCT(--ISNUMBER(SEARCH(gun,C85)))&gt;0)</f>
        <v>0</v>
      </c>
      <c r="R85" s="14" cm="1">
        <f t="array" ref="R85">INT(SUMPRODUCT(--ISNUMBER(SEARCH(race,C85)))&gt;0)</f>
        <v>0</v>
      </c>
      <c r="S85" s="14" cm="1">
        <f t="array" ref="S85">INT(SUMPRODUCT(--ISNUMBER(SEARCH(immigration,C85)))&gt;0)</f>
        <v>0</v>
      </c>
      <c r="T85" s="14" cm="1">
        <f t="array" ref="T85">INT(SUMPRODUCT(--ISNUMBER(SEARCH(econineq,C86)))&gt;0)</f>
        <v>0</v>
      </c>
      <c r="U85" s="14" cm="1">
        <f t="array" ref="U85">INT(SUMPRODUCT(--ISNUMBER(SEARCH(climate,C85)))&gt;0)</f>
        <v>0</v>
      </c>
      <c r="V85" s="14" cm="1">
        <f t="array" ref="V85">INT(SUMPRODUCT(--ISNUMBER(SEARCH(abortion,C85)))&gt;0)</f>
        <v>0</v>
      </c>
      <c r="W85" s="14" cm="1">
        <f t="array" ref="W85">INT(SUMPRODUCT(--ISNUMBER(SEARCH(trump,C85)))&gt;0)</f>
        <v>0</v>
      </c>
      <c r="X85" s="14" cm="1">
        <f t="array" ref="X85">INT(SUMPRODUCT(--ISNUMBER(SEARCH(voting,C85)))&gt;0)</f>
        <v>0</v>
      </c>
      <c r="Y85" s="14" cm="1">
        <f t="array" ref="Y85">INT(SUMPRODUCT(--ISNUMBER(SEARCH(republicantrigger,C85)))&gt;0)</f>
        <v>1</v>
      </c>
      <c r="Z85" s="14" cm="1">
        <f t="array" ref="Z85">INT(SUMPRODUCT(--ISNUMBER(SEARCH(bipartisan,C85)))&gt;0)</f>
        <v>0</v>
      </c>
      <c r="AA85" s="14">
        <f t="shared" si="1"/>
        <v>0</v>
      </c>
      <c r="AB85" s="14"/>
      <c r="AC85" s="30">
        <v>1</v>
      </c>
      <c r="AD85" s="37">
        <v>0</v>
      </c>
    </row>
    <row r="86" spans="1:30" x14ac:dyDescent="0.25">
      <c r="A86" s="36">
        <v>1293</v>
      </c>
      <c r="B86" s="14" t="s">
        <v>2613</v>
      </c>
      <c r="C86" s="14" t="s">
        <v>2614</v>
      </c>
      <c r="D86" s="17">
        <v>44133</v>
      </c>
      <c r="E86" s="14" t="s">
        <v>30</v>
      </c>
      <c r="F86" s="14">
        <v>62</v>
      </c>
      <c r="G86" s="14">
        <v>13</v>
      </c>
      <c r="H86" s="14">
        <v>7</v>
      </c>
      <c r="I86" s="14">
        <v>4</v>
      </c>
      <c r="J86" s="14" t="s">
        <v>31</v>
      </c>
      <c r="K86" s="14" cm="1">
        <f t="array" ref="K86">INT(SUMPRODUCT(--ISNUMBER(SEARCH(economy,C86)))&gt;0)</f>
        <v>0</v>
      </c>
      <c r="L86" s="14" cm="1">
        <f t="array" ref="L86">INT(SUMPRODUCT(--ISNUMBER(SEARCH(healthcare,C86)))&gt;0)</f>
        <v>0</v>
      </c>
      <c r="M86" s="14" cm="1">
        <f t="array" ref="M86">INT(SUMPRODUCT(--ISNUMBER(SEARCH(supreme,C86)))&gt;0)</f>
        <v>0</v>
      </c>
      <c r="N86" s="14" cm="1">
        <f t="array" ref="N86">INT(SUMPRODUCT(--ISNUMBER(SEARCH(covid,C86)))&gt;0)</f>
        <v>0</v>
      </c>
      <c r="O86" s="14" cm="1">
        <f t="array" ref="O86">INT(SUMPRODUCT(--ISNUMBER(SEARCH(violent,C86)))&gt;0)</f>
        <v>0</v>
      </c>
      <c r="P86" s="14" cm="1">
        <f t="array" ref="P86">INT(SUMPRODUCT(--ISNUMBER(SEARCH(foreign,C86)))&gt;0)</f>
        <v>0</v>
      </c>
      <c r="Q86" s="14" cm="1">
        <f t="array" ref="Q86">INT(SUMPRODUCT(--ISNUMBER(SEARCH(gun,C86)))&gt;0)</f>
        <v>0</v>
      </c>
      <c r="R86" s="14" cm="1">
        <f t="array" ref="R86">INT(SUMPRODUCT(--ISNUMBER(SEARCH(race,C86)))&gt;0)</f>
        <v>0</v>
      </c>
      <c r="S86" s="14" cm="1">
        <f t="array" ref="S86">INT(SUMPRODUCT(--ISNUMBER(SEARCH(immigration,C86)))&gt;0)</f>
        <v>0</v>
      </c>
      <c r="T86" s="14" cm="1">
        <f t="array" ref="T86">INT(SUMPRODUCT(--ISNUMBER(SEARCH(econineq,C87)))&gt;0)</f>
        <v>0</v>
      </c>
      <c r="U86" s="14" cm="1">
        <f t="array" ref="U86">INT(SUMPRODUCT(--ISNUMBER(SEARCH(climate,C86)))&gt;0)</f>
        <v>0</v>
      </c>
      <c r="V86" s="14" cm="1">
        <f t="array" ref="V86">INT(SUMPRODUCT(--ISNUMBER(SEARCH(abortion,C86)))&gt;0)</f>
        <v>0</v>
      </c>
      <c r="W86" s="14" cm="1">
        <f t="array" ref="W86">INT(SUMPRODUCT(--ISNUMBER(SEARCH(trump,C86)))&gt;0)</f>
        <v>0</v>
      </c>
      <c r="X86" s="14" cm="1">
        <f t="array" ref="X86">INT(SUMPRODUCT(--ISNUMBER(SEARCH(voting,C86)))&gt;0)</f>
        <v>0</v>
      </c>
      <c r="Y86" s="14" cm="1">
        <f t="array" ref="Y86">INT(SUMPRODUCT(--ISNUMBER(SEARCH(republicantrigger,C86)))&gt;0)</f>
        <v>0</v>
      </c>
      <c r="Z86" s="14" cm="1">
        <f t="array" ref="Z86">INT(SUMPRODUCT(--ISNUMBER(SEARCH(bipartisan,C86)))&gt;0)</f>
        <v>0</v>
      </c>
      <c r="AA86" s="14">
        <f t="shared" si="1"/>
        <v>1</v>
      </c>
      <c r="AB86" s="14"/>
      <c r="AC86" s="30">
        <v>1</v>
      </c>
      <c r="AD86" s="37">
        <v>0</v>
      </c>
    </row>
    <row r="87" spans="1:30" x14ac:dyDescent="0.25">
      <c r="A87" s="36">
        <v>1294</v>
      </c>
      <c r="B87" s="14" t="s">
        <v>2615</v>
      </c>
      <c r="C87" s="14" t="s">
        <v>2616</v>
      </c>
      <c r="D87" s="17">
        <v>44133</v>
      </c>
      <c r="E87" s="14" t="s">
        <v>30</v>
      </c>
      <c r="F87" s="14">
        <v>57</v>
      </c>
      <c r="G87" s="14">
        <v>10</v>
      </c>
      <c r="H87" s="14">
        <v>7</v>
      </c>
      <c r="I87" s="14">
        <v>4</v>
      </c>
      <c r="J87" s="14" t="s">
        <v>31</v>
      </c>
      <c r="K87" s="14" cm="1">
        <f t="array" ref="K87">INT(SUMPRODUCT(--ISNUMBER(SEARCH(economy,C87)))&gt;0)</f>
        <v>0</v>
      </c>
      <c r="L87" s="14" cm="1">
        <f t="array" ref="L87">INT(SUMPRODUCT(--ISNUMBER(SEARCH(healthcare,C87)))&gt;0)</f>
        <v>0</v>
      </c>
      <c r="M87" s="14" cm="1">
        <f t="array" ref="M87">INT(SUMPRODUCT(--ISNUMBER(SEARCH(supreme,C87)))&gt;0)</f>
        <v>0</v>
      </c>
      <c r="N87" s="14" cm="1">
        <f t="array" ref="N87">INT(SUMPRODUCT(--ISNUMBER(SEARCH(covid,C87)))&gt;0)</f>
        <v>0</v>
      </c>
      <c r="O87" s="14" cm="1">
        <f t="array" ref="O87">INT(SUMPRODUCT(--ISNUMBER(SEARCH(violent,C87)))&gt;0)</f>
        <v>0</v>
      </c>
      <c r="P87" s="14" cm="1">
        <f t="array" ref="P87">INT(SUMPRODUCT(--ISNUMBER(SEARCH(foreign,C87)))&gt;0)</f>
        <v>0</v>
      </c>
      <c r="Q87" s="14" cm="1">
        <f t="array" ref="Q87">INT(SUMPRODUCT(--ISNUMBER(SEARCH(gun,C87)))&gt;0)</f>
        <v>0</v>
      </c>
      <c r="R87" s="14" cm="1">
        <f t="array" ref="R87">INT(SUMPRODUCT(--ISNUMBER(SEARCH(race,C87)))&gt;0)</f>
        <v>0</v>
      </c>
      <c r="S87" s="14" cm="1">
        <f t="array" ref="S87">INT(SUMPRODUCT(--ISNUMBER(SEARCH(immigration,C87)))&gt;0)</f>
        <v>0</v>
      </c>
      <c r="T87" s="14" cm="1">
        <f t="array" ref="T87">INT(SUMPRODUCT(--ISNUMBER(SEARCH(econineq,C88)))&gt;0)</f>
        <v>0</v>
      </c>
      <c r="U87" s="14" cm="1">
        <f t="array" ref="U87">INT(SUMPRODUCT(--ISNUMBER(SEARCH(climate,C87)))&gt;0)</f>
        <v>0</v>
      </c>
      <c r="V87" s="14" cm="1">
        <f t="array" ref="V87">INT(SUMPRODUCT(--ISNUMBER(SEARCH(abortion,C87)))&gt;0)</f>
        <v>0</v>
      </c>
      <c r="W87" s="14" cm="1">
        <f t="array" ref="W87">INT(SUMPRODUCT(--ISNUMBER(SEARCH(trump,C87)))&gt;0)</f>
        <v>0</v>
      </c>
      <c r="X87" s="14" cm="1">
        <f t="array" ref="X87">INT(SUMPRODUCT(--ISNUMBER(SEARCH(voting,C87)))&gt;0)</f>
        <v>0</v>
      </c>
      <c r="Y87" s="14" cm="1">
        <f t="array" ref="Y87">INT(SUMPRODUCT(--ISNUMBER(SEARCH(republicantrigger,C87)))&gt;0)</f>
        <v>0</v>
      </c>
      <c r="Z87" s="14" cm="1">
        <f t="array" ref="Z87">INT(SUMPRODUCT(--ISNUMBER(SEARCH(bipartisan,C87)))&gt;0)</f>
        <v>1</v>
      </c>
      <c r="AA87" s="14">
        <f t="shared" si="1"/>
        <v>0</v>
      </c>
      <c r="AB87" s="14"/>
      <c r="AC87" s="30">
        <v>1</v>
      </c>
      <c r="AD87" s="37">
        <v>0</v>
      </c>
    </row>
    <row r="88" spans="1:30" x14ac:dyDescent="0.25">
      <c r="A88" s="36">
        <v>1295</v>
      </c>
      <c r="B88" s="14" t="s">
        <v>2617</v>
      </c>
      <c r="C88" s="14" t="s">
        <v>2618</v>
      </c>
      <c r="D88" s="17">
        <v>44133</v>
      </c>
      <c r="E88" s="14" t="s">
        <v>30</v>
      </c>
      <c r="F88" s="14">
        <v>23</v>
      </c>
      <c r="G88" s="14">
        <v>1</v>
      </c>
      <c r="H88" s="14">
        <v>7</v>
      </c>
      <c r="I88" s="14">
        <v>4</v>
      </c>
      <c r="J88" s="14" t="s">
        <v>31</v>
      </c>
      <c r="K88" s="14" cm="1">
        <f t="array" ref="K88">INT(SUMPRODUCT(--ISNUMBER(SEARCH(economy,C88)))&gt;0)</f>
        <v>0</v>
      </c>
      <c r="L88" s="14" cm="1">
        <f t="array" ref="L88">INT(SUMPRODUCT(--ISNUMBER(SEARCH(healthcare,C88)))&gt;0)</f>
        <v>0</v>
      </c>
      <c r="M88" s="14" cm="1">
        <f t="array" ref="M88">INT(SUMPRODUCT(--ISNUMBER(SEARCH(supreme,C88)))&gt;0)</f>
        <v>0</v>
      </c>
      <c r="N88" s="14" cm="1">
        <f t="array" ref="N88">INT(SUMPRODUCT(--ISNUMBER(SEARCH(covid,C88)))&gt;0)</f>
        <v>0</v>
      </c>
      <c r="O88" s="14" cm="1">
        <f t="array" ref="O88">INT(SUMPRODUCT(--ISNUMBER(SEARCH(violent,C88)))&gt;0)</f>
        <v>0</v>
      </c>
      <c r="P88" s="14" cm="1">
        <f t="array" ref="P88">INT(SUMPRODUCT(--ISNUMBER(SEARCH(foreign,C88)))&gt;0)</f>
        <v>0</v>
      </c>
      <c r="Q88" s="14" cm="1">
        <f t="array" ref="Q88">INT(SUMPRODUCT(--ISNUMBER(SEARCH(gun,C88)))&gt;0)</f>
        <v>0</v>
      </c>
      <c r="R88" s="14" cm="1">
        <f t="array" ref="R88">INT(SUMPRODUCT(--ISNUMBER(SEARCH(race,C88)))&gt;0)</f>
        <v>0</v>
      </c>
      <c r="S88" s="14" cm="1">
        <f t="array" ref="S88">INT(SUMPRODUCT(--ISNUMBER(SEARCH(immigration,C88)))&gt;0)</f>
        <v>0</v>
      </c>
      <c r="T88" s="14" cm="1">
        <f t="array" ref="T88">INT(SUMPRODUCT(--ISNUMBER(SEARCH(econineq,C89)))&gt;0)</f>
        <v>0</v>
      </c>
      <c r="U88" s="14" cm="1">
        <f t="array" ref="U88">INT(SUMPRODUCT(--ISNUMBER(SEARCH(climate,C88)))&gt;0)</f>
        <v>0</v>
      </c>
      <c r="V88" s="14" cm="1">
        <f t="array" ref="V88">INT(SUMPRODUCT(--ISNUMBER(SEARCH(abortion,C88)))&gt;0)</f>
        <v>0</v>
      </c>
      <c r="W88" s="14" cm="1">
        <f t="array" ref="W88">INT(SUMPRODUCT(--ISNUMBER(SEARCH(trump,C88)))&gt;0)</f>
        <v>0</v>
      </c>
      <c r="X88" s="14" cm="1">
        <f t="array" ref="X88">INT(SUMPRODUCT(--ISNUMBER(SEARCH(voting,C88)))&gt;0)</f>
        <v>0</v>
      </c>
      <c r="Y88" s="14" cm="1">
        <f t="array" ref="Y88">INT(SUMPRODUCT(--ISNUMBER(SEARCH(republicantrigger,C88)))&gt;0)</f>
        <v>0</v>
      </c>
      <c r="Z88" s="14" cm="1">
        <f t="array" ref="Z88">INT(SUMPRODUCT(--ISNUMBER(SEARCH(bipartisan,C88)))&gt;0)</f>
        <v>0</v>
      </c>
      <c r="AA88" s="14">
        <f t="shared" si="1"/>
        <v>1</v>
      </c>
      <c r="AB88" s="14"/>
      <c r="AC88" s="30">
        <v>0</v>
      </c>
      <c r="AD88" s="37">
        <v>1</v>
      </c>
    </row>
    <row r="89" spans="1:30" x14ac:dyDescent="0.25">
      <c r="A89" s="36">
        <v>1296</v>
      </c>
      <c r="B89" s="14" t="s">
        <v>2619</v>
      </c>
      <c r="C89" s="14" t="s">
        <v>2620</v>
      </c>
      <c r="D89" s="17">
        <v>44133</v>
      </c>
      <c r="E89" s="14" t="s">
        <v>30</v>
      </c>
      <c r="F89" s="14">
        <v>17</v>
      </c>
      <c r="G89" s="14">
        <v>4</v>
      </c>
      <c r="H89" s="14">
        <v>7</v>
      </c>
      <c r="I89" s="14">
        <v>4</v>
      </c>
      <c r="J89" s="14" t="s">
        <v>31</v>
      </c>
      <c r="K89" s="14" cm="1">
        <f t="array" ref="K89">INT(SUMPRODUCT(--ISNUMBER(SEARCH(economy,C89)))&gt;0)</f>
        <v>0</v>
      </c>
      <c r="L89" s="14" cm="1">
        <f t="array" ref="L89">INT(SUMPRODUCT(--ISNUMBER(SEARCH(healthcare,C89)))&gt;0)</f>
        <v>0</v>
      </c>
      <c r="M89" s="14" cm="1">
        <f t="array" ref="M89">INT(SUMPRODUCT(--ISNUMBER(SEARCH(supreme,C89)))&gt;0)</f>
        <v>0</v>
      </c>
      <c r="N89" s="14" cm="1">
        <f t="array" ref="N89">INT(SUMPRODUCT(--ISNUMBER(SEARCH(covid,C89)))&gt;0)</f>
        <v>0</v>
      </c>
      <c r="O89" s="14" cm="1">
        <f t="array" ref="O89">INT(SUMPRODUCT(--ISNUMBER(SEARCH(violent,C89)))&gt;0)</f>
        <v>0</v>
      </c>
      <c r="P89" s="14" cm="1">
        <f t="array" ref="P89">INT(SUMPRODUCT(--ISNUMBER(SEARCH(foreign,C89)))&gt;0)</f>
        <v>0</v>
      </c>
      <c r="Q89" s="14" cm="1">
        <f t="array" ref="Q89">INT(SUMPRODUCT(--ISNUMBER(SEARCH(gun,C89)))&gt;0)</f>
        <v>0</v>
      </c>
      <c r="R89" s="14" cm="1">
        <f t="array" ref="R89">INT(SUMPRODUCT(--ISNUMBER(SEARCH(race,C89)))&gt;0)</f>
        <v>0</v>
      </c>
      <c r="S89" s="14" cm="1">
        <f t="array" ref="S89">INT(SUMPRODUCT(--ISNUMBER(SEARCH(immigration,C89)))&gt;0)</f>
        <v>0</v>
      </c>
      <c r="T89" s="14" cm="1">
        <f t="array" ref="T89">INT(SUMPRODUCT(--ISNUMBER(SEARCH(econineq,C90)))&gt;0)</f>
        <v>0</v>
      </c>
      <c r="U89" s="14" cm="1">
        <f t="array" ref="U89">INT(SUMPRODUCT(--ISNUMBER(SEARCH(climate,C89)))&gt;0)</f>
        <v>0</v>
      </c>
      <c r="V89" s="14" cm="1">
        <f t="array" ref="V89">INT(SUMPRODUCT(--ISNUMBER(SEARCH(abortion,C89)))&gt;0)</f>
        <v>0</v>
      </c>
      <c r="W89" s="14" cm="1">
        <f t="array" ref="W89">INT(SUMPRODUCT(--ISNUMBER(SEARCH(trump,C89)))&gt;0)</f>
        <v>0</v>
      </c>
      <c r="X89" s="14" cm="1">
        <f t="array" ref="X89">INT(SUMPRODUCT(--ISNUMBER(SEARCH(voting,C89)))&gt;0)</f>
        <v>0</v>
      </c>
      <c r="Y89" s="14" cm="1">
        <f t="array" ref="Y89">INT(SUMPRODUCT(--ISNUMBER(SEARCH(republicantrigger,C89)))&gt;0)</f>
        <v>1</v>
      </c>
      <c r="Z89" s="14" cm="1">
        <f t="array" ref="Z89">INT(SUMPRODUCT(--ISNUMBER(SEARCH(bipartisan,C89)))&gt;0)</f>
        <v>0</v>
      </c>
      <c r="AA89" s="14">
        <f t="shared" si="1"/>
        <v>0</v>
      </c>
      <c r="AB89" s="14"/>
      <c r="AC89" s="30" t="s">
        <v>223</v>
      </c>
      <c r="AD89" s="37" t="s">
        <v>223</v>
      </c>
    </row>
    <row r="90" spans="1:30" x14ac:dyDescent="0.25">
      <c r="A90" s="36">
        <v>1297</v>
      </c>
      <c r="B90" s="14" t="s">
        <v>2621</v>
      </c>
      <c r="C90" s="14" t="s">
        <v>2622</v>
      </c>
      <c r="D90" s="17">
        <v>44133</v>
      </c>
      <c r="E90" s="14" t="s">
        <v>30</v>
      </c>
      <c r="F90" s="14">
        <v>26</v>
      </c>
      <c r="G90" s="14">
        <v>4</v>
      </c>
      <c r="H90" s="14">
        <v>7</v>
      </c>
      <c r="I90" s="14">
        <v>4</v>
      </c>
      <c r="J90" s="14" t="s">
        <v>31</v>
      </c>
      <c r="K90" s="14" cm="1">
        <f t="array" ref="K90">INT(SUMPRODUCT(--ISNUMBER(SEARCH(economy,C90)))&gt;0)</f>
        <v>0</v>
      </c>
      <c r="L90" s="14" cm="1">
        <f t="array" ref="L90">INT(SUMPRODUCT(--ISNUMBER(SEARCH(healthcare,C90)))&gt;0)</f>
        <v>0</v>
      </c>
      <c r="M90" s="14" cm="1">
        <f t="array" ref="M90">INT(SUMPRODUCT(--ISNUMBER(SEARCH(supreme,C90)))&gt;0)</f>
        <v>0</v>
      </c>
      <c r="N90" s="14" cm="1">
        <f t="array" ref="N90">INT(SUMPRODUCT(--ISNUMBER(SEARCH(covid,C90)))&gt;0)</f>
        <v>0</v>
      </c>
      <c r="O90" s="14" cm="1">
        <f t="array" ref="O90">INT(SUMPRODUCT(--ISNUMBER(SEARCH(violent,C90)))&gt;0)</f>
        <v>0</v>
      </c>
      <c r="P90" s="14" cm="1">
        <f t="array" ref="P90">INT(SUMPRODUCT(--ISNUMBER(SEARCH(foreign,C90)))&gt;0)</f>
        <v>0</v>
      </c>
      <c r="Q90" s="14" cm="1">
        <f t="array" ref="Q90">INT(SUMPRODUCT(--ISNUMBER(SEARCH(gun,C90)))&gt;0)</f>
        <v>0</v>
      </c>
      <c r="R90" s="14" cm="1">
        <f t="array" ref="R90">INT(SUMPRODUCT(--ISNUMBER(SEARCH(race,C90)))&gt;0)</f>
        <v>0</v>
      </c>
      <c r="S90" s="14" cm="1">
        <f t="array" ref="S90">INT(SUMPRODUCT(--ISNUMBER(SEARCH(immigration,C90)))&gt;0)</f>
        <v>0</v>
      </c>
      <c r="T90" s="14" cm="1">
        <f t="array" ref="T90">INT(SUMPRODUCT(--ISNUMBER(SEARCH(econineq,C91)))&gt;0)</f>
        <v>0</v>
      </c>
      <c r="U90" s="14" cm="1">
        <f t="array" ref="U90">INT(SUMPRODUCT(--ISNUMBER(SEARCH(climate,C90)))&gt;0)</f>
        <v>0</v>
      </c>
      <c r="V90" s="14" cm="1">
        <f t="array" ref="V90">INT(SUMPRODUCT(--ISNUMBER(SEARCH(abortion,C90)))&gt;0)</f>
        <v>0</v>
      </c>
      <c r="W90" s="14" cm="1">
        <f t="array" ref="W90">INT(SUMPRODUCT(--ISNUMBER(SEARCH(trump,C90)))&gt;0)</f>
        <v>0</v>
      </c>
      <c r="X90" s="14" cm="1">
        <f t="array" ref="X90">INT(SUMPRODUCT(--ISNUMBER(SEARCH(voting,C90)))&gt;0)</f>
        <v>0</v>
      </c>
      <c r="Y90" s="14" cm="1">
        <f t="array" ref="Y90">INT(SUMPRODUCT(--ISNUMBER(SEARCH(republicantrigger,C90)))&gt;0)</f>
        <v>0</v>
      </c>
      <c r="Z90" s="14" cm="1">
        <f t="array" ref="Z90">INT(SUMPRODUCT(--ISNUMBER(SEARCH(bipartisan,C90)))&gt;0)</f>
        <v>0</v>
      </c>
      <c r="AA90" s="14">
        <f t="shared" si="1"/>
        <v>1</v>
      </c>
      <c r="AB90" s="14"/>
      <c r="AC90" s="30">
        <v>0</v>
      </c>
      <c r="AD90" s="37">
        <v>1</v>
      </c>
    </row>
    <row r="91" spans="1:30" x14ac:dyDescent="0.25">
      <c r="A91" s="36">
        <v>1298</v>
      </c>
      <c r="B91" s="14" t="s">
        <v>2623</v>
      </c>
      <c r="C91" s="14" t="s">
        <v>2624</v>
      </c>
      <c r="D91" s="17">
        <v>44133</v>
      </c>
      <c r="E91" s="14" t="s">
        <v>30</v>
      </c>
      <c r="F91" s="14">
        <v>18</v>
      </c>
      <c r="G91" s="14">
        <v>4</v>
      </c>
      <c r="H91" s="14">
        <v>7</v>
      </c>
      <c r="I91" s="14">
        <v>4</v>
      </c>
      <c r="J91" s="14" t="s">
        <v>31</v>
      </c>
      <c r="K91" s="14" cm="1">
        <f t="array" ref="K91">INT(SUMPRODUCT(--ISNUMBER(SEARCH(economy,C91)))&gt;0)</f>
        <v>0</v>
      </c>
      <c r="L91" s="14" cm="1">
        <f t="array" ref="L91">INT(SUMPRODUCT(--ISNUMBER(SEARCH(healthcare,C91)))&gt;0)</f>
        <v>0</v>
      </c>
      <c r="M91" s="14" cm="1">
        <f t="array" ref="M91">INT(SUMPRODUCT(--ISNUMBER(SEARCH(supreme,C91)))&gt;0)</f>
        <v>0</v>
      </c>
      <c r="N91" s="14" cm="1">
        <f t="array" ref="N91">INT(SUMPRODUCT(--ISNUMBER(SEARCH(covid,C91)))&gt;0)</f>
        <v>0</v>
      </c>
      <c r="O91" s="14" cm="1">
        <f t="array" ref="O91">INT(SUMPRODUCT(--ISNUMBER(SEARCH(violent,C91)))&gt;0)</f>
        <v>0</v>
      </c>
      <c r="P91" s="14" cm="1">
        <f t="array" ref="P91">INT(SUMPRODUCT(--ISNUMBER(SEARCH(foreign,C91)))&gt;0)</f>
        <v>0</v>
      </c>
      <c r="Q91" s="14" cm="1">
        <f t="array" ref="Q91">INT(SUMPRODUCT(--ISNUMBER(SEARCH(gun,C91)))&gt;0)</f>
        <v>0</v>
      </c>
      <c r="R91" s="14" cm="1">
        <f t="array" ref="R91">INT(SUMPRODUCT(--ISNUMBER(SEARCH(race,C91)))&gt;0)</f>
        <v>0</v>
      </c>
      <c r="S91" s="14" cm="1">
        <f t="array" ref="S91">INT(SUMPRODUCT(--ISNUMBER(SEARCH(immigration,C91)))&gt;0)</f>
        <v>0</v>
      </c>
      <c r="T91" s="14" cm="1">
        <f t="array" ref="T91">INT(SUMPRODUCT(--ISNUMBER(SEARCH(econineq,C92)))&gt;0)</f>
        <v>0</v>
      </c>
      <c r="U91" s="14" cm="1">
        <f t="array" ref="U91">INT(SUMPRODUCT(--ISNUMBER(SEARCH(climate,C91)))&gt;0)</f>
        <v>0</v>
      </c>
      <c r="V91" s="14" cm="1">
        <f t="array" ref="V91">INT(SUMPRODUCT(--ISNUMBER(SEARCH(abortion,C91)))&gt;0)</f>
        <v>0</v>
      </c>
      <c r="W91" s="14" cm="1">
        <f t="array" ref="W91">INT(SUMPRODUCT(--ISNUMBER(SEARCH(trump,C91)))&gt;0)</f>
        <v>0</v>
      </c>
      <c r="X91" s="14" cm="1">
        <f t="array" ref="X91">INT(SUMPRODUCT(--ISNUMBER(SEARCH(voting,C91)))&gt;0)</f>
        <v>0</v>
      </c>
      <c r="Y91" s="14" cm="1">
        <f t="array" ref="Y91">INT(SUMPRODUCT(--ISNUMBER(SEARCH(republicantrigger,C91)))&gt;0)</f>
        <v>0</v>
      </c>
      <c r="Z91" s="14" cm="1">
        <f t="array" ref="Z91">INT(SUMPRODUCT(--ISNUMBER(SEARCH(bipartisan,C91)))&gt;0)</f>
        <v>0</v>
      </c>
      <c r="AA91" s="14">
        <f t="shared" si="1"/>
        <v>1</v>
      </c>
      <c r="AB91" s="14"/>
      <c r="AC91" s="30" t="s">
        <v>223</v>
      </c>
      <c r="AD91" s="37" t="s">
        <v>223</v>
      </c>
    </row>
    <row r="92" spans="1:30" x14ac:dyDescent="0.25">
      <c r="A92" s="36">
        <v>1299</v>
      </c>
      <c r="B92" s="14" t="s">
        <v>2625</v>
      </c>
      <c r="C92" s="14" t="s">
        <v>2626</v>
      </c>
      <c r="D92" s="17">
        <v>44133</v>
      </c>
      <c r="E92" s="14" t="s">
        <v>30</v>
      </c>
      <c r="F92" s="14">
        <v>23</v>
      </c>
      <c r="G92" s="14">
        <v>1</v>
      </c>
      <c r="H92" s="14">
        <v>7</v>
      </c>
      <c r="I92" s="14">
        <v>4</v>
      </c>
      <c r="J92" s="14" t="s">
        <v>31</v>
      </c>
      <c r="K92" s="14" cm="1">
        <f t="array" ref="K92">INT(SUMPRODUCT(--ISNUMBER(SEARCH(economy,C92)))&gt;0)</f>
        <v>0</v>
      </c>
      <c r="L92" s="14" cm="1">
        <f t="array" ref="L92">INT(SUMPRODUCT(--ISNUMBER(SEARCH(healthcare,C92)))&gt;0)</f>
        <v>1</v>
      </c>
      <c r="M92" s="14" cm="1">
        <f t="array" ref="M92">INT(SUMPRODUCT(--ISNUMBER(SEARCH(supreme,C92)))&gt;0)</f>
        <v>0</v>
      </c>
      <c r="N92" s="14" cm="1">
        <f t="array" ref="N92">INT(SUMPRODUCT(--ISNUMBER(SEARCH(covid,C92)))&gt;0)</f>
        <v>0</v>
      </c>
      <c r="O92" s="14" cm="1">
        <f t="array" ref="O92">INT(SUMPRODUCT(--ISNUMBER(SEARCH(violent,C92)))&gt;0)</f>
        <v>0</v>
      </c>
      <c r="P92" s="14" cm="1">
        <f t="array" ref="P92">INT(SUMPRODUCT(--ISNUMBER(SEARCH(foreign,C92)))&gt;0)</f>
        <v>0</v>
      </c>
      <c r="Q92" s="14" cm="1">
        <f t="array" ref="Q92">INT(SUMPRODUCT(--ISNUMBER(SEARCH(gun,C92)))&gt;0)</f>
        <v>0</v>
      </c>
      <c r="R92" s="14" cm="1">
        <f t="array" ref="R92">INT(SUMPRODUCT(--ISNUMBER(SEARCH(race,C92)))&gt;0)</f>
        <v>0</v>
      </c>
      <c r="S92" s="14" cm="1">
        <f t="array" ref="S92">INT(SUMPRODUCT(--ISNUMBER(SEARCH(immigration,C92)))&gt;0)</f>
        <v>0</v>
      </c>
      <c r="T92" s="14" cm="1">
        <f t="array" ref="T92">INT(SUMPRODUCT(--ISNUMBER(SEARCH(econineq,C93)))&gt;0)</f>
        <v>0</v>
      </c>
      <c r="U92" s="14" cm="1">
        <f t="array" ref="U92">INT(SUMPRODUCT(--ISNUMBER(SEARCH(climate,C92)))&gt;0)</f>
        <v>0</v>
      </c>
      <c r="V92" s="14" cm="1">
        <f t="array" ref="V92">INT(SUMPRODUCT(--ISNUMBER(SEARCH(abortion,C92)))&gt;0)</f>
        <v>0</v>
      </c>
      <c r="W92" s="14" cm="1">
        <f t="array" ref="W92">INT(SUMPRODUCT(--ISNUMBER(SEARCH(trump,C92)))&gt;0)</f>
        <v>0</v>
      </c>
      <c r="X92" s="14" cm="1">
        <f t="array" ref="X92">INT(SUMPRODUCT(--ISNUMBER(SEARCH(voting,C92)))&gt;0)</f>
        <v>1</v>
      </c>
      <c r="Y92" s="14" cm="1">
        <f t="array" ref="Y92">INT(SUMPRODUCT(--ISNUMBER(SEARCH(republicantrigger,C92)))&gt;0)</f>
        <v>0</v>
      </c>
      <c r="Z92" s="14" cm="1">
        <f t="array" ref="Z92">INT(SUMPRODUCT(--ISNUMBER(SEARCH(bipartisan,C92)))&gt;0)</f>
        <v>0</v>
      </c>
      <c r="AA92" s="14">
        <f t="shared" si="1"/>
        <v>0</v>
      </c>
      <c r="AB92" s="14"/>
      <c r="AC92" s="30">
        <v>1</v>
      </c>
      <c r="AD92" s="37">
        <v>0</v>
      </c>
    </row>
    <row r="93" spans="1:30" x14ac:dyDescent="0.25">
      <c r="A93" s="36">
        <v>1300</v>
      </c>
      <c r="B93" s="14" t="s">
        <v>2627</v>
      </c>
      <c r="C93" s="14" t="s">
        <v>2628</v>
      </c>
      <c r="D93" s="17">
        <v>44133</v>
      </c>
      <c r="E93" s="14" t="s">
        <v>30</v>
      </c>
      <c r="F93" s="14">
        <v>26</v>
      </c>
      <c r="G93" s="14">
        <v>4</v>
      </c>
      <c r="H93" s="14">
        <v>7</v>
      </c>
      <c r="I93" s="14">
        <v>4</v>
      </c>
      <c r="J93" s="14" t="s">
        <v>31</v>
      </c>
      <c r="K93" s="14" cm="1">
        <f t="array" ref="K93">INT(SUMPRODUCT(--ISNUMBER(SEARCH(economy,C93)))&gt;0)</f>
        <v>0</v>
      </c>
      <c r="L93" s="14" cm="1">
        <f t="array" ref="L93">INT(SUMPRODUCT(--ISNUMBER(SEARCH(healthcare,C93)))&gt;0)</f>
        <v>0</v>
      </c>
      <c r="M93" s="14" cm="1">
        <f t="array" ref="M93">INT(SUMPRODUCT(--ISNUMBER(SEARCH(supreme,C93)))&gt;0)</f>
        <v>0</v>
      </c>
      <c r="N93" s="14" cm="1">
        <f t="array" ref="N93">INT(SUMPRODUCT(--ISNUMBER(SEARCH(covid,C93)))&gt;0)</f>
        <v>0</v>
      </c>
      <c r="O93" s="14" cm="1">
        <f t="array" ref="O93">INT(SUMPRODUCT(--ISNUMBER(SEARCH(violent,C93)))&gt;0)</f>
        <v>0</v>
      </c>
      <c r="P93" s="14" cm="1">
        <f t="array" ref="P93">INT(SUMPRODUCT(--ISNUMBER(SEARCH(foreign,C93)))&gt;0)</f>
        <v>0</v>
      </c>
      <c r="Q93" s="14" cm="1">
        <f t="array" ref="Q93">INT(SUMPRODUCT(--ISNUMBER(SEARCH(gun,C93)))&gt;0)</f>
        <v>0</v>
      </c>
      <c r="R93" s="14" cm="1">
        <f t="array" ref="R93">INT(SUMPRODUCT(--ISNUMBER(SEARCH(race,C93)))&gt;0)</f>
        <v>0</v>
      </c>
      <c r="S93" s="14" cm="1">
        <f t="array" ref="S93">INT(SUMPRODUCT(--ISNUMBER(SEARCH(immigration,C93)))&gt;0)</f>
        <v>0</v>
      </c>
      <c r="T93" s="14" cm="1">
        <f t="array" ref="T93">INT(SUMPRODUCT(--ISNUMBER(SEARCH(econineq,C94)))&gt;0)</f>
        <v>0</v>
      </c>
      <c r="U93" s="14" cm="1">
        <f t="array" ref="U93">INT(SUMPRODUCT(--ISNUMBER(SEARCH(climate,C93)))&gt;0)</f>
        <v>0</v>
      </c>
      <c r="V93" s="14" cm="1">
        <f t="array" ref="V93">INT(SUMPRODUCT(--ISNUMBER(SEARCH(abortion,C93)))&gt;0)</f>
        <v>0</v>
      </c>
      <c r="W93" s="14" cm="1">
        <f t="array" ref="W93">INT(SUMPRODUCT(--ISNUMBER(SEARCH(trump,C93)))&gt;0)</f>
        <v>0</v>
      </c>
      <c r="X93" s="14" cm="1">
        <f t="array" ref="X93">INT(SUMPRODUCT(--ISNUMBER(SEARCH(voting,C93)))&gt;0)</f>
        <v>0</v>
      </c>
      <c r="Y93" s="14" cm="1">
        <f t="array" ref="Y93">INT(SUMPRODUCT(--ISNUMBER(SEARCH(republicantrigger,C93)))&gt;0)</f>
        <v>0</v>
      </c>
      <c r="Z93" s="14" cm="1">
        <f t="array" ref="Z93">INT(SUMPRODUCT(--ISNUMBER(SEARCH(bipartisan,C93)))&gt;0)</f>
        <v>0</v>
      </c>
      <c r="AA93" s="14">
        <f t="shared" si="1"/>
        <v>1</v>
      </c>
      <c r="AB93" s="14"/>
      <c r="AC93" s="30">
        <v>0</v>
      </c>
      <c r="AD93" s="37">
        <v>1</v>
      </c>
    </row>
    <row r="94" spans="1:30" x14ac:dyDescent="0.25">
      <c r="A94" s="36">
        <v>1301</v>
      </c>
      <c r="B94" s="14" t="s">
        <v>2629</v>
      </c>
      <c r="C94" s="14" t="s">
        <v>2630</v>
      </c>
      <c r="D94" s="17">
        <v>44133</v>
      </c>
      <c r="E94" s="14" t="s">
        <v>30</v>
      </c>
      <c r="F94" s="14">
        <v>17</v>
      </c>
      <c r="G94" s="14">
        <v>1</v>
      </c>
      <c r="H94" s="14">
        <v>7</v>
      </c>
      <c r="I94" s="14">
        <v>4</v>
      </c>
      <c r="J94" s="14" t="s">
        <v>31</v>
      </c>
      <c r="K94" s="14" cm="1">
        <f t="array" ref="K94">INT(SUMPRODUCT(--ISNUMBER(SEARCH(economy,C94)))&gt;0)</f>
        <v>0</v>
      </c>
      <c r="L94" s="14" cm="1">
        <f t="array" ref="L94">INT(SUMPRODUCT(--ISNUMBER(SEARCH(healthcare,C94)))&gt;0)</f>
        <v>1</v>
      </c>
      <c r="M94" s="14" cm="1">
        <f t="array" ref="M94">INT(SUMPRODUCT(--ISNUMBER(SEARCH(supreme,C94)))&gt;0)</f>
        <v>0</v>
      </c>
      <c r="N94" s="14" cm="1">
        <f t="array" ref="N94">INT(SUMPRODUCT(--ISNUMBER(SEARCH(covid,C94)))&gt;0)</f>
        <v>0</v>
      </c>
      <c r="O94" s="14" cm="1">
        <f t="array" ref="O94">INT(SUMPRODUCT(--ISNUMBER(SEARCH(violent,C94)))&gt;0)</f>
        <v>0</v>
      </c>
      <c r="P94" s="14" cm="1">
        <f t="array" ref="P94">INT(SUMPRODUCT(--ISNUMBER(SEARCH(foreign,C94)))&gt;0)</f>
        <v>0</v>
      </c>
      <c r="Q94" s="14" cm="1">
        <f t="array" ref="Q94">INT(SUMPRODUCT(--ISNUMBER(SEARCH(gun,C94)))&gt;0)</f>
        <v>0</v>
      </c>
      <c r="R94" s="14" cm="1">
        <f t="array" ref="R94">INT(SUMPRODUCT(--ISNUMBER(SEARCH(race,C94)))&gt;0)</f>
        <v>0</v>
      </c>
      <c r="S94" s="14" cm="1">
        <f t="array" ref="S94">INT(SUMPRODUCT(--ISNUMBER(SEARCH(immigration,C94)))&gt;0)</f>
        <v>0</v>
      </c>
      <c r="T94" s="14" cm="1">
        <f t="array" ref="T94">INT(SUMPRODUCT(--ISNUMBER(SEARCH(econineq,C95)))&gt;0)</f>
        <v>0</v>
      </c>
      <c r="U94" s="14" cm="1">
        <f t="array" ref="U94">INT(SUMPRODUCT(--ISNUMBER(SEARCH(climate,C94)))&gt;0)</f>
        <v>0</v>
      </c>
      <c r="V94" s="14" cm="1">
        <f t="array" ref="V94">INT(SUMPRODUCT(--ISNUMBER(SEARCH(abortion,C94)))&gt;0)</f>
        <v>0</v>
      </c>
      <c r="W94" s="14" cm="1">
        <f t="array" ref="W94">INT(SUMPRODUCT(--ISNUMBER(SEARCH(trump,C94)))&gt;0)</f>
        <v>0</v>
      </c>
      <c r="X94" s="14" cm="1">
        <f t="array" ref="X94">INT(SUMPRODUCT(--ISNUMBER(SEARCH(voting,C94)))&gt;0)</f>
        <v>1</v>
      </c>
      <c r="Y94" s="14" cm="1">
        <f t="array" ref="Y94">INT(SUMPRODUCT(--ISNUMBER(SEARCH(republicantrigger,C94)))&gt;0)</f>
        <v>0</v>
      </c>
      <c r="Z94" s="14" cm="1">
        <f t="array" ref="Z94">INT(SUMPRODUCT(--ISNUMBER(SEARCH(bipartisan,C94)))&gt;0)</f>
        <v>0</v>
      </c>
      <c r="AA94" s="14">
        <f t="shared" si="1"/>
        <v>0</v>
      </c>
      <c r="AB94" s="14"/>
      <c r="AC94" s="30">
        <v>0</v>
      </c>
      <c r="AD94" s="37">
        <v>1</v>
      </c>
    </row>
    <row r="95" spans="1:30" x14ac:dyDescent="0.25">
      <c r="A95" s="36">
        <v>1302</v>
      </c>
      <c r="B95" s="14" t="s">
        <v>2631</v>
      </c>
      <c r="C95" s="14" t="s">
        <v>2632</v>
      </c>
      <c r="D95" s="17">
        <v>44133</v>
      </c>
      <c r="E95" s="14" t="s">
        <v>30</v>
      </c>
      <c r="F95" s="14">
        <v>13</v>
      </c>
      <c r="G95" s="14">
        <v>2</v>
      </c>
      <c r="H95" s="14">
        <v>7</v>
      </c>
      <c r="I95" s="14">
        <v>4</v>
      </c>
      <c r="J95" s="14" t="s">
        <v>31</v>
      </c>
      <c r="K95" s="14" cm="1">
        <f t="array" ref="K95">INT(SUMPRODUCT(--ISNUMBER(SEARCH(economy,C95)))&gt;0)</f>
        <v>0</v>
      </c>
      <c r="L95" s="14" cm="1">
        <f t="array" ref="L95">INT(SUMPRODUCT(--ISNUMBER(SEARCH(healthcare,C95)))&gt;0)</f>
        <v>0</v>
      </c>
      <c r="M95" s="14" cm="1">
        <f t="array" ref="M95">INT(SUMPRODUCT(--ISNUMBER(SEARCH(supreme,C95)))&gt;0)</f>
        <v>0</v>
      </c>
      <c r="N95" s="14" cm="1">
        <f t="array" ref="N95">INT(SUMPRODUCT(--ISNUMBER(SEARCH(covid,C95)))&gt;0)</f>
        <v>0</v>
      </c>
      <c r="O95" s="14" cm="1">
        <f t="array" ref="O95">INT(SUMPRODUCT(--ISNUMBER(SEARCH(violent,C95)))&gt;0)</f>
        <v>0</v>
      </c>
      <c r="P95" s="14" cm="1">
        <f t="array" ref="P95">INT(SUMPRODUCT(--ISNUMBER(SEARCH(foreign,C95)))&gt;0)</f>
        <v>0</v>
      </c>
      <c r="Q95" s="14" cm="1">
        <f t="array" ref="Q95">INT(SUMPRODUCT(--ISNUMBER(SEARCH(gun,C95)))&gt;0)</f>
        <v>0</v>
      </c>
      <c r="R95" s="14" cm="1">
        <f t="array" ref="R95">INT(SUMPRODUCT(--ISNUMBER(SEARCH(race,C95)))&gt;0)</f>
        <v>0</v>
      </c>
      <c r="S95" s="14" cm="1">
        <f t="array" ref="S95">INT(SUMPRODUCT(--ISNUMBER(SEARCH(immigration,C95)))&gt;0)</f>
        <v>0</v>
      </c>
      <c r="T95" s="14" cm="1">
        <f t="array" ref="T95">INT(SUMPRODUCT(--ISNUMBER(SEARCH(econineq,C96)))&gt;0)</f>
        <v>0</v>
      </c>
      <c r="U95" s="14" cm="1">
        <f t="array" ref="U95">INT(SUMPRODUCT(--ISNUMBER(SEARCH(climate,C95)))&gt;0)</f>
        <v>0</v>
      </c>
      <c r="V95" s="14" cm="1">
        <f t="array" ref="V95">INT(SUMPRODUCT(--ISNUMBER(SEARCH(abortion,C95)))&gt;0)</f>
        <v>0</v>
      </c>
      <c r="W95" s="14" cm="1">
        <f t="array" ref="W95">INT(SUMPRODUCT(--ISNUMBER(SEARCH(trump,C95)))&gt;0)</f>
        <v>0</v>
      </c>
      <c r="X95" s="14" cm="1">
        <f t="array" ref="X95">INT(SUMPRODUCT(--ISNUMBER(SEARCH(voting,C95)))&gt;0)</f>
        <v>0</v>
      </c>
      <c r="Y95" s="14" cm="1">
        <f t="array" ref="Y95">INT(SUMPRODUCT(--ISNUMBER(SEARCH(republicantrigger,C95)))&gt;0)</f>
        <v>1</v>
      </c>
      <c r="Z95" s="14" cm="1">
        <f t="array" ref="Z95">INT(SUMPRODUCT(--ISNUMBER(SEARCH(bipartisan,C95)))&gt;0)</f>
        <v>0</v>
      </c>
      <c r="AA95" s="14">
        <f t="shared" si="1"/>
        <v>0</v>
      </c>
      <c r="AB95" s="14"/>
      <c r="AC95" s="30">
        <v>1</v>
      </c>
      <c r="AD95" s="37">
        <v>0</v>
      </c>
    </row>
    <row r="96" spans="1:30" x14ac:dyDescent="0.25">
      <c r="A96" s="36">
        <v>1303</v>
      </c>
      <c r="B96" s="14" t="s">
        <v>2633</v>
      </c>
      <c r="C96" s="14" t="s">
        <v>2634</v>
      </c>
      <c r="D96" s="17">
        <v>44133</v>
      </c>
      <c r="E96" s="14" t="s">
        <v>30</v>
      </c>
      <c r="F96" s="14">
        <v>17</v>
      </c>
      <c r="G96" s="14">
        <v>3</v>
      </c>
      <c r="H96" s="14">
        <v>7</v>
      </c>
      <c r="I96" s="14">
        <v>4</v>
      </c>
      <c r="J96" s="14" t="s">
        <v>31</v>
      </c>
      <c r="K96" s="14" cm="1">
        <f t="array" ref="K96">INT(SUMPRODUCT(--ISNUMBER(SEARCH(economy,C96)))&gt;0)</f>
        <v>0</v>
      </c>
      <c r="L96" s="14" cm="1">
        <f t="array" ref="L96">INT(SUMPRODUCT(--ISNUMBER(SEARCH(healthcare,C96)))&gt;0)</f>
        <v>0</v>
      </c>
      <c r="M96" s="14" cm="1">
        <f t="array" ref="M96">INT(SUMPRODUCT(--ISNUMBER(SEARCH(supreme,C96)))&gt;0)</f>
        <v>0</v>
      </c>
      <c r="N96" s="14" cm="1">
        <f t="array" ref="N96">INT(SUMPRODUCT(--ISNUMBER(SEARCH(covid,C96)))&gt;0)</f>
        <v>0</v>
      </c>
      <c r="O96" s="14" cm="1">
        <f t="array" ref="O96">INT(SUMPRODUCT(--ISNUMBER(SEARCH(violent,C96)))&gt;0)</f>
        <v>0</v>
      </c>
      <c r="P96" s="14" cm="1">
        <f t="array" ref="P96">INT(SUMPRODUCT(--ISNUMBER(SEARCH(foreign,C96)))&gt;0)</f>
        <v>0</v>
      </c>
      <c r="Q96" s="14" cm="1">
        <f t="array" ref="Q96">INT(SUMPRODUCT(--ISNUMBER(SEARCH(gun,C96)))&gt;0)</f>
        <v>0</v>
      </c>
      <c r="R96" s="14" cm="1">
        <f t="array" ref="R96">INT(SUMPRODUCT(--ISNUMBER(SEARCH(race,C96)))&gt;0)</f>
        <v>0</v>
      </c>
      <c r="S96" s="14" cm="1">
        <f t="array" ref="S96">INT(SUMPRODUCT(--ISNUMBER(SEARCH(immigration,C96)))&gt;0)</f>
        <v>0</v>
      </c>
      <c r="T96" s="14" cm="1">
        <f t="array" ref="T96">INT(SUMPRODUCT(--ISNUMBER(SEARCH(econineq,C97)))&gt;0)</f>
        <v>0</v>
      </c>
      <c r="U96" s="14" cm="1">
        <f t="array" ref="U96">INT(SUMPRODUCT(--ISNUMBER(SEARCH(climate,C96)))&gt;0)</f>
        <v>0</v>
      </c>
      <c r="V96" s="14" cm="1">
        <f t="array" ref="V96">INT(SUMPRODUCT(--ISNUMBER(SEARCH(abortion,C96)))&gt;0)</f>
        <v>0</v>
      </c>
      <c r="W96" s="14" cm="1">
        <f t="array" ref="W96">INT(SUMPRODUCT(--ISNUMBER(SEARCH(trump,C96)))&gt;0)</f>
        <v>0</v>
      </c>
      <c r="X96" s="14" cm="1">
        <f t="array" ref="X96">INT(SUMPRODUCT(--ISNUMBER(SEARCH(voting,C96)))&gt;0)</f>
        <v>0</v>
      </c>
      <c r="Y96" s="14" cm="1">
        <f t="array" ref="Y96">INT(SUMPRODUCT(--ISNUMBER(SEARCH(republicantrigger,C96)))&gt;0)</f>
        <v>1</v>
      </c>
      <c r="Z96" s="14" cm="1">
        <f t="array" ref="Z96">INT(SUMPRODUCT(--ISNUMBER(SEARCH(bipartisan,C96)))&gt;0)</f>
        <v>0</v>
      </c>
      <c r="AA96" s="14">
        <f t="shared" si="1"/>
        <v>0</v>
      </c>
      <c r="AB96" s="14"/>
      <c r="AC96" s="30">
        <v>1</v>
      </c>
      <c r="AD96" s="37">
        <v>0</v>
      </c>
    </row>
    <row r="97" spans="1:30" x14ac:dyDescent="0.25">
      <c r="A97" s="36">
        <v>1304</v>
      </c>
      <c r="B97" s="14" t="s">
        <v>2635</v>
      </c>
      <c r="C97" s="14" t="s">
        <v>2636</v>
      </c>
      <c r="D97" s="17">
        <v>44133</v>
      </c>
      <c r="E97" s="14" t="s">
        <v>30</v>
      </c>
      <c r="F97" s="14">
        <v>17</v>
      </c>
      <c r="G97" s="14">
        <v>1</v>
      </c>
      <c r="H97" s="14">
        <v>7</v>
      </c>
      <c r="I97" s="14">
        <v>4</v>
      </c>
      <c r="J97" s="14" t="s">
        <v>31</v>
      </c>
      <c r="K97" s="14" cm="1">
        <f t="array" ref="K97">INT(SUMPRODUCT(--ISNUMBER(SEARCH(economy,C97)))&gt;0)</f>
        <v>0</v>
      </c>
      <c r="L97" s="14" cm="1">
        <f t="array" ref="L97">INT(SUMPRODUCT(--ISNUMBER(SEARCH(healthcare,C97)))&gt;0)</f>
        <v>0</v>
      </c>
      <c r="M97" s="14" cm="1">
        <f t="array" ref="M97">INT(SUMPRODUCT(--ISNUMBER(SEARCH(supreme,C97)))&gt;0)</f>
        <v>0</v>
      </c>
      <c r="N97" s="14" cm="1">
        <f t="array" ref="N97">INT(SUMPRODUCT(--ISNUMBER(SEARCH(covid,C97)))&gt;0)</f>
        <v>0</v>
      </c>
      <c r="O97" s="14" cm="1">
        <f t="array" ref="O97">INT(SUMPRODUCT(--ISNUMBER(SEARCH(violent,C97)))&gt;0)</f>
        <v>0</v>
      </c>
      <c r="P97" s="14" cm="1">
        <f t="array" ref="P97">INT(SUMPRODUCT(--ISNUMBER(SEARCH(foreign,C97)))&gt;0)</f>
        <v>0</v>
      </c>
      <c r="Q97" s="14" cm="1">
        <f t="array" ref="Q97">INT(SUMPRODUCT(--ISNUMBER(SEARCH(gun,C97)))&gt;0)</f>
        <v>0</v>
      </c>
      <c r="R97" s="14" cm="1">
        <f t="array" ref="R97">INT(SUMPRODUCT(--ISNUMBER(SEARCH(race,C97)))&gt;0)</f>
        <v>0</v>
      </c>
      <c r="S97" s="14" cm="1">
        <f t="array" ref="S97">INT(SUMPRODUCT(--ISNUMBER(SEARCH(immigration,C97)))&gt;0)</f>
        <v>0</v>
      </c>
      <c r="T97" s="14" cm="1">
        <f t="array" ref="T97">INT(SUMPRODUCT(--ISNUMBER(SEARCH(econineq,C98)))&gt;0)</f>
        <v>0</v>
      </c>
      <c r="U97" s="14" cm="1">
        <f t="array" ref="U97">INT(SUMPRODUCT(--ISNUMBER(SEARCH(climate,C97)))&gt;0)</f>
        <v>0</v>
      </c>
      <c r="V97" s="14" cm="1">
        <f t="array" ref="V97">INT(SUMPRODUCT(--ISNUMBER(SEARCH(abortion,C97)))&gt;0)</f>
        <v>0</v>
      </c>
      <c r="W97" s="14" cm="1">
        <f t="array" ref="W97">INT(SUMPRODUCT(--ISNUMBER(SEARCH(trump,C97)))&gt;0)</f>
        <v>0</v>
      </c>
      <c r="X97" s="14" cm="1">
        <f t="array" ref="X97">INT(SUMPRODUCT(--ISNUMBER(SEARCH(voting,C97)))&gt;0)</f>
        <v>0</v>
      </c>
      <c r="Y97" s="14" cm="1">
        <f t="array" ref="Y97">INT(SUMPRODUCT(--ISNUMBER(SEARCH(republicantrigger,C97)))&gt;0)</f>
        <v>1</v>
      </c>
      <c r="Z97" s="14" cm="1">
        <f t="array" ref="Z97">INT(SUMPRODUCT(--ISNUMBER(SEARCH(bipartisan,C97)))&gt;0)</f>
        <v>0</v>
      </c>
      <c r="AA97" s="14">
        <f t="shared" si="1"/>
        <v>0</v>
      </c>
      <c r="AB97" s="14"/>
      <c r="AC97" s="30">
        <v>1</v>
      </c>
      <c r="AD97" s="37">
        <v>0</v>
      </c>
    </row>
    <row r="98" spans="1:30" x14ac:dyDescent="0.25">
      <c r="A98" s="36">
        <v>1305</v>
      </c>
      <c r="B98" s="14" t="s">
        <v>2637</v>
      </c>
      <c r="C98" s="14" t="s">
        <v>2638</v>
      </c>
      <c r="D98" s="17">
        <v>44133</v>
      </c>
      <c r="E98" s="14" t="s">
        <v>30</v>
      </c>
      <c r="F98" s="14">
        <v>20</v>
      </c>
      <c r="G98" s="14">
        <v>1</v>
      </c>
      <c r="H98" s="14">
        <v>7</v>
      </c>
      <c r="I98" s="14">
        <v>4</v>
      </c>
      <c r="J98" s="14" t="s">
        <v>31</v>
      </c>
      <c r="K98" s="14" cm="1">
        <f t="array" ref="K98">INT(SUMPRODUCT(--ISNUMBER(SEARCH(economy,C98)))&gt;0)</f>
        <v>0</v>
      </c>
      <c r="L98" s="14" cm="1">
        <f t="array" ref="L98">INT(SUMPRODUCT(--ISNUMBER(SEARCH(healthcare,C98)))&gt;0)</f>
        <v>0</v>
      </c>
      <c r="M98" s="14" cm="1">
        <f t="array" ref="M98">INT(SUMPRODUCT(--ISNUMBER(SEARCH(supreme,C98)))&gt;0)</f>
        <v>0</v>
      </c>
      <c r="N98" s="14" cm="1">
        <f t="array" ref="N98">INT(SUMPRODUCT(--ISNUMBER(SEARCH(covid,C98)))&gt;0)</f>
        <v>0</v>
      </c>
      <c r="O98" s="14" cm="1">
        <f t="array" ref="O98">INT(SUMPRODUCT(--ISNUMBER(SEARCH(violent,C98)))&gt;0)</f>
        <v>0</v>
      </c>
      <c r="P98" s="14" cm="1">
        <f t="array" ref="P98">INT(SUMPRODUCT(--ISNUMBER(SEARCH(foreign,C98)))&gt;0)</f>
        <v>0</v>
      </c>
      <c r="Q98" s="14" cm="1">
        <f t="array" ref="Q98">INT(SUMPRODUCT(--ISNUMBER(SEARCH(gun,C98)))&gt;0)</f>
        <v>0</v>
      </c>
      <c r="R98" s="14" cm="1">
        <f t="array" ref="R98">INT(SUMPRODUCT(--ISNUMBER(SEARCH(race,C98)))&gt;0)</f>
        <v>0</v>
      </c>
      <c r="S98" s="14" cm="1">
        <f t="array" ref="S98">INT(SUMPRODUCT(--ISNUMBER(SEARCH(immigration,C98)))&gt;0)</f>
        <v>0</v>
      </c>
      <c r="T98" s="14" cm="1">
        <f t="array" ref="T98">INT(SUMPRODUCT(--ISNUMBER(SEARCH(econineq,C99)))&gt;0)</f>
        <v>0</v>
      </c>
      <c r="U98" s="14" cm="1">
        <f t="array" ref="U98">INT(SUMPRODUCT(--ISNUMBER(SEARCH(climate,C98)))&gt;0)</f>
        <v>0</v>
      </c>
      <c r="V98" s="14" cm="1">
        <f t="array" ref="V98">INT(SUMPRODUCT(--ISNUMBER(SEARCH(abortion,C98)))&gt;0)</f>
        <v>0</v>
      </c>
      <c r="W98" s="14" cm="1">
        <f t="array" ref="W98">INT(SUMPRODUCT(--ISNUMBER(SEARCH(trump,C98)))&gt;0)</f>
        <v>0</v>
      </c>
      <c r="X98" s="14" cm="1">
        <f t="array" ref="X98">INT(SUMPRODUCT(--ISNUMBER(SEARCH(voting,C98)))&gt;0)</f>
        <v>0</v>
      </c>
      <c r="Y98" s="14" cm="1">
        <f t="array" ref="Y98">INT(SUMPRODUCT(--ISNUMBER(SEARCH(republicantrigger,C98)))&gt;0)</f>
        <v>1</v>
      </c>
      <c r="Z98" s="14" cm="1">
        <f t="array" ref="Z98">INT(SUMPRODUCT(--ISNUMBER(SEARCH(bipartisan,C98)))&gt;0)</f>
        <v>0</v>
      </c>
      <c r="AA98" s="14">
        <f t="shared" si="1"/>
        <v>0</v>
      </c>
      <c r="AB98" s="14"/>
      <c r="AC98" s="30">
        <v>1</v>
      </c>
      <c r="AD98" s="37">
        <v>0</v>
      </c>
    </row>
    <row r="99" spans="1:30" x14ac:dyDescent="0.25">
      <c r="A99" s="36">
        <v>1306</v>
      </c>
      <c r="B99" s="14" t="s">
        <v>2639</v>
      </c>
      <c r="C99" s="14" t="s">
        <v>2640</v>
      </c>
      <c r="D99" s="17">
        <v>44133</v>
      </c>
      <c r="E99" s="14" t="s">
        <v>30</v>
      </c>
      <c r="F99" s="14">
        <v>17</v>
      </c>
      <c r="G99" s="14">
        <v>3</v>
      </c>
      <c r="H99" s="14">
        <v>7</v>
      </c>
      <c r="I99" s="14">
        <v>4</v>
      </c>
      <c r="J99" s="14" t="s">
        <v>31</v>
      </c>
      <c r="K99" s="14" cm="1">
        <f t="array" ref="K99">INT(SUMPRODUCT(--ISNUMBER(SEARCH(economy,C99)))&gt;0)</f>
        <v>0</v>
      </c>
      <c r="L99" s="14" cm="1">
        <f t="array" ref="L99">INT(SUMPRODUCT(--ISNUMBER(SEARCH(healthcare,C99)))&gt;0)</f>
        <v>1</v>
      </c>
      <c r="M99" s="14" cm="1">
        <f t="array" ref="M99">INT(SUMPRODUCT(--ISNUMBER(SEARCH(supreme,C99)))&gt;0)</f>
        <v>0</v>
      </c>
      <c r="N99" s="14" cm="1">
        <f t="array" ref="N99">INT(SUMPRODUCT(--ISNUMBER(SEARCH(covid,C99)))&gt;0)</f>
        <v>0</v>
      </c>
      <c r="O99" s="14" cm="1">
        <f t="array" ref="O99">INT(SUMPRODUCT(--ISNUMBER(SEARCH(violent,C99)))&gt;0)</f>
        <v>0</v>
      </c>
      <c r="P99" s="14" cm="1">
        <f t="array" ref="P99">INT(SUMPRODUCT(--ISNUMBER(SEARCH(foreign,C99)))&gt;0)</f>
        <v>0</v>
      </c>
      <c r="Q99" s="14" cm="1">
        <f t="array" ref="Q99">INT(SUMPRODUCT(--ISNUMBER(SEARCH(gun,C99)))&gt;0)</f>
        <v>0</v>
      </c>
      <c r="R99" s="14" cm="1">
        <f t="array" ref="R99">INT(SUMPRODUCT(--ISNUMBER(SEARCH(race,C99)))&gt;0)</f>
        <v>0</v>
      </c>
      <c r="S99" s="14" cm="1">
        <f t="array" ref="S99">INT(SUMPRODUCT(--ISNUMBER(SEARCH(immigration,C99)))&gt;0)</f>
        <v>0</v>
      </c>
      <c r="T99" s="14" cm="1">
        <f t="array" ref="T99">INT(SUMPRODUCT(--ISNUMBER(SEARCH(econineq,C100)))&gt;0)</f>
        <v>0</v>
      </c>
      <c r="U99" s="14" cm="1">
        <f t="array" ref="U99">INT(SUMPRODUCT(--ISNUMBER(SEARCH(climate,C99)))&gt;0)</f>
        <v>0</v>
      </c>
      <c r="V99" s="14" cm="1">
        <f t="array" ref="V99">INT(SUMPRODUCT(--ISNUMBER(SEARCH(abortion,C99)))&gt;0)</f>
        <v>0</v>
      </c>
      <c r="W99" s="14" cm="1">
        <f t="array" ref="W99">INT(SUMPRODUCT(--ISNUMBER(SEARCH(trump,C99)))&gt;0)</f>
        <v>0</v>
      </c>
      <c r="X99" s="14" cm="1">
        <f t="array" ref="X99">INT(SUMPRODUCT(--ISNUMBER(SEARCH(voting,C99)))&gt;0)</f>
        <v>1</v>
      </c>
      <c r="Y99" s="14" cm="1">
        <f t="array" ref="Y99">INT(SUMPRODUCT(--ISNUMBER(SEARCH(republicantrigger,C99)))&gt;0)</f>
        <v>1</v>
      </c>
      <c r="Z99" s="14" cm="1">
        <f t="array" ref="Z99">INT(SUMPRODUCT(--ISNUMBER(SEARCH(bipartisan,C99)))&gt;0)</f>
        <v>0</v>
      </c>
      <c r="AA99" s="14">
        <f t="shared" si="1"/>
        <v>0</v>
      </c>
      <c r="AB99" s="14"/>
      <c r="AC99" s="30">
        <v>1</v>
      </c>
      <c r="AD99" s="37">
        <v>0</v>
      </c>
    </row>
    <row r="100" spans="1:30" x14ac:dyDescent="0.25">
      <c r="A100" s="36">
        <v>1307</v>
      </c>
      <c r="B100" s="14" t="s">
        <v>2641</v>
      </c>
      <c r="C100" s="14" t="s">
        <v>2642</v>
      </c>
      <c r="D100" s="17">
        <v>44132</v>
      </c>
      <c r="E100" s="14" t="s">
        <v>30</v>
      </c>
      <c r="F100" s="14">
        <v>32</v>
      </c>
      <c r="G100" s="14">
        <v>6</v>
      </c>
      <c r="H100" s="14">
        <v>7</v>
      </c>
      <c r="I100" s="14">
        <v>4</v>
      </c>
      <c r="J100" s="14" t="s">
        <v>31</v>
      </c>
      <c r="K100" s="14" cm="1">
        <f t="array" ref="K100">INT(SUMPRODUCT(--ISNUMBER(SEARCH(economy,C100)))&gt;0)</f>
        <v>0</v>
      </c>
      <c r="L100" s="14" cm="1">
        <f t="array" ref="L100">INT(SUMPRODUCT(--ISNUMBER(SEARCH(healthcare,C100)))&gt;0)</f>
        <v>0</v>
      </c>
      <c r="M100" s="14" cm="1">
        <f t="array" ref="M100">INT(SUMPRODUCT(--ISNUMBER(SEARCH(supreme,C100)))&gt;0)</f>
        <v>0</v>
      </c>
      <c r="N100" s="14" cm="1">
        <f t="array" ref="N100">INT(SUMPRODUCT(--ISNUMBER(SEARCH(covid,C100)))&gt;0)</f>
        <v>0</v>
      </c>
      <c r="O100" s="14" cm="1">
        <f t="array" ref="O100">INT(SUMPRODUCT(--ISNUMBER(SEARCH(violent,C100)))&gt;0)</f>
        <v>0</v>
      </c>
      <c r="P100" s="14" cm="1">
        <f t="array" ref="P100">INT(SUMPRODUCT(--ISNUMBER(SEARCH(foreign,C100)))&gt;0)</f>
        <v>0</v>
      </c>
      <c r="Q100" s="14" cm="1">
        <f t="array" ref="Q100">INT(SUMPRODUCT(--ISNUMBER(SEARCH(gun,C100)))&gt;0)</f>
        <v>0</v>
      </c>
      <c r="R100" s="14" cm="1">
        <f t="array" ref="R100">INT(SUMPRODUCT(--ISNUMBER(SEARCH(race,C100)))&gt;0)</f>
        <v>0</v>
      </c>
      <c r="S100" s="14" cm="1">
        <f t="array" ref="S100">INT(SUMPRODUCT(--ISNUMBER(SEARCH(immigration,C100)))&gt;0)</f>
        <v>0</v>
      </c>
      <c r="T100" s="14" cm="1">
        <f t="array" ref="T100">INT(SUMPRODUCT(--ISNUMBER(SEARCH(econineq,C101)))&gt;0)</f>
        <v>0</v>
      </c>
      <c r="U100" s="14" cm="1">
        <f t="array" ref="U100">INT(SUMPRODUCT(--ISNUMBER(SEARCH(climate,C100)))&gt;0)</f>
        <v>0</v>
      </c>
      <c r="V100" s="14" cm="1">
        <f t="array" ref="V100">INT(SUMPRODUCT(--ISNUMBER(SEARCH(abortion,C100)))&gt;0)</f>
        <v>0</v>
      </c>
      <c r="W100" s="14" cm="1">
        <f t="array" ref="W100">INT(SUMPRODUCT(--ISNUMBER(SEARCH(trump,C100)))&gt;0)</f>
        <v>0</v>
      </c>
      <c r="X100" s="14" cm="1">
        <f t="array" ref="X100">INT(SUMPRODUCT(--ISNUMBER(SEARCH(voting,C100)))&gt;0)</f>
        <v>0</v>
      </c>
      <c r="Y100" s="14" cm="1">
        <f t="array" ref="Y100">INT(SUMPRODUCT(--ISNUMBER(SEARCH(republicantrigger,C100)))&gt;0)</f>
        <v>0</v>
      </c>
      <c r="Z100" s="14" cm="1">
        <f t="array" ref="Z100">INT(SUMPRODUCT(--ISNUMBER(SEARCH(bipartisan,C100)))&gt;0)</f>
        <v>0</v>
      </c>
      <c r="AA100" s="14">
        <f t="shared" si="1"/>
        <v>1</v>
      </c>
      <c r="AB100" s="14"/>
      <c r="AC100" s="30">
        <v>0</v>
      </c>
      <c r="AD100" s="37">
        <v>1</v>
      </c>
    </row>
    <row r="101" spans="1:30" x14ac:dyDescent="0.25">
      <c r="A101" s="36">
        <v>1308</v>
      </c>
      <c r="B101" s="14" t="s">
        <v>2643</v>
      </c>
      <c r="C101" s="14" t="s">
        <v>2644</v>
      </c>
      <c r="D101" s="17">
        <v>44132</v>
      </c>
      <c r="E101" s="14" t="s">
        <v>30</v>
      </c>
      <c r="F101" s="14">
        <v>19</v>
      </c>
      <c r="G101" s="14">
        <v>1</v>
      </c>
      <c r="H101" s="14">
        <v>7</v>
      </c>
      <c r="I101" s="14">
        <v>4</v>
      </c>
      <c r="J101" s="14" t="s">
        <v>31</v>
      </c>
      <c r="K101" s="14" cm="1">
        <f t="array" ref="K101">INT(SUMPRODUCT(--ISNUMBER(SEARCH(economy,C101)))&gt;0)</f>
        <v>0</v>
      </c>
      <c r="L101" s="14" cm="1">
        <f t="array" ref="L101">INT(SUMPRODUCT(--ISNUMBER(SEARCH(healthcare,C101)))&gt;0)</f>
        <v>0</v>
      </c>
      <c r="M101" s="14" cm="1">
        <f t="array" ref="M101">INT(SUMPRODUCT(--ISNUMBER(SEARCH(supreme,C101)))&gt;0)</f>
        <v>0</v>
      </c>
      <c r="N101" s="14" cm="1">
        <f t="array" ref="N101">INT(SUMPRODUCT(--ISNUMBER(SEARCH(covid,C101)))&gt;0)</f>
        <v>0</v>
      </c>
      <c r="O101" s="14" cm="1">
        <f t="array" ref="O101">INT(SUMPRODUCT(--ISNUMBER(SEARCH(violent,C101)))&gt;0)</f>
        <v>0</v>
      </c>
      <c r="P101" s="14" cm="1">
        <f t="array" ref="P101">INT(SUMPRODUCT(--ISNUMBER(SEARCH(foreign,C101)))&gt;0)</f>
        <v>0</v>
      </c>
      <c r="Q101" s="14" cm="1">
        <f t="array" ref="Q101">INT(SUMPRODUCT(--ISNUMBER(SEARCH(gun,C101)))&gt;0)</f>
        <v>0</v>
      </c>
      <c r="R101" s="14" cm="1">
        <f t="array" ref="R101">INT(SUMPRODUCT(--ISNUMBER(SEARCH(race,C101)))&gt;0)</f>
        <v>0</v>
      </c>
      <c r="S101" s="14" cm="1">
        <f t="array" ref="S101">INT(SUMPRODUCT(--ISNUMBER(SEARCH(immigration,C101)))&gt;0)</f>
        <v>0</v>
      </c>
      <c r="T101" s="14" cm="1">
        <f t="array" ref="T101">INT(SUMPRODUCT(--ISNUMBER(SEARCH(econineq,C102)))&gt;0)</f>
        <v>0</v>
      </c>
      <c r="U101" s="14" cm="1">
        <f t="array" ref="U101">INT(SUMPRODUCT(--ISNUMBER(SEARCH(climate,C101)))&gt;0)</f>
        <v>0</v>
      </c>
      <c r="V101" s="14" cm="1">
        <f t="array" ref="V101">INT(SUMPRODUCT(--ISNUMBER(SEARCH(abortion,C101)))&gt;0)</f>
        <v>0</v>
      </c>
      <c r="W101" s="14" cm="1">
        <f t="array" ref="W101">INT(SUMPRODUCT(--ISNUMBER(SEARCH(trump,C101)))&gt;0)</f>
        <v>0</v>
      </c>
      <c r="X101" s="14" cm="1">
        <f t="array" ref="X101">INT(SUMPRODUCT(--ISNUMBER(SEARCH(voting,C101)))&gt;0)</f>
        <v>0</v>
      </c>
      <c r="Y101" s="14" cm="1">
        <f t="array" ref="Y101">INT(SUMPRODUCT(--ISNUMBER(SEARCH(republicantrigger,C101)))&gt;0)</f>
        <v>0</v>
      </c>
      <c r="Z101" s="14" cm="1">
        <f t="array" ref="Z101">INT(SUMPRODUCT(--ISNUMBER(SEARCH(bipartisan,C101)))&gt;0)</f>
        <v>0</v>
      </c>
      <c r="AA101" s="14">
        <f t="shared" si="1"/>
        <v>1</v>
      </c>
      <c r="AB101" s="14"/>
      <c r="AC101" s="30">
        <v>0</v>
      </c>
      <c r="AD101" s="37">
        <v>1</v>
      </c>
    </row>
    <row r="102" spans="1:30" x14ac:dyDescent="0.25">
      <c r="A102" s="36">
        <v>1309</v>
      </c>
      <c r="B102" s="14" t="s">
        <v>2645</v>
      </c>
      <c r="C102" s="14" t="s">
        <v>2646</v>
      </c>
      <c r="D102" s="17">
        <v>44132</v>
      </c>
      <c r="E102" s="14" t="s">
        <v>30</v>
      </c>
      <c r="F102" s="14">
        <v>32</v>
      </c>
      <c r="G102" s="14">
        <v>3</v>
      </c>
      <c r="H102" s="14">
        <v>7</v>
      </c>
      <c r="I102" s="14">
        <v>4</v>
      </c>
      <c r="J102" s="14" t="s">
        <v>31</v>
      </c>
      <c r="K102" s="14" cm="1">
        <f t="array" ref="K102">INT(SUMPRODUCT(--ISNUMBER(SEARCH(economy,C102)))&gt;0)</f>
        <v>0</v>
      </c>
      <c r="L102" s="14" cm="1">
        <f t="array" ref="L102">INT(SUMPRODUCT(--ISNUMBER(SEARCH(healthcare,C102)))&gt;0)</f>
        <v>0</v>
      </c>
      <c r="M102" s="14" cm="1">
        <f t="array" ref="M102">INT(SUMPRODUCT(--ISNUMBER(SEARCH(supreme,C102)))&gt;0)</f>
        <v>0</v>
      </c>
      <c r="N102" s="14" cm="1">
        <f t="array" ref="N102">INT(SUMPRODUCT(--ISNUMBER(SEARCH(covid,C102)))&gt;0)</f>
        <v>0</v>
      </c>
      <c r="O102" s="14" cm="1">
        <f t="array" ref="O102">INT(SUMPRODUCT(--ISNUMBER(SEARCH(violent,C102)))&gt;0)</f>
        <v>0</v>
      </c>
      <c r="P102" s="14" cm="1">
        <f t="array" ref="P102">INT(SUMPRODUCT(--ISNUMBER(SEARCH(foreign,C102)))&gt;0)</f>
        <v>0</v>
      </c>
      <c r="Q102" s="14" cm="1">
        <f t="array" ref="Q102">INT(SUMPRODUCT(--ISNUMBER(SEARCH(gun,C102)))&gt;0)</f>
        <v>0</v>
      </c>
      <c r="R102" s="14" cm="1">
        <f t="array" ref="R102">INT(SUMPRODUCT(--ISNUMBER(SEARCH(race,C102)))&gt;0)</f>
        <v>0</v>
      </c>
      <c r="S102" s="14" cm="1">
        <f t="array" ref="S102">INT(SUMPRODUCT(--ISNUMBER(SEARCH(immigration,C102)))&gt;0)</f>
        <v>0</v>
      </c>
      <c r="T102" s="14" cm="1">
        <f t="array" ref="T102">INT(SUMPRODUCT(--ISNUMBER(SEARCH(econineq,C103)))&gt;0)</f>
        <v>0</v>
      </c>
      <c r="U102" s="14" cm="1">
        <f t="array" ref="U102">INT(SUMPRODUCT(--ISNUMBER(SEARCH(climate,C102)))&gt;0)</f>
        <v>0</v>
      </c>
      <c r="V102" s="14" cm="1">
        <f t="array" ref="V102">INT(SUMPRODUCT(--ISNUMBER(SEARCH(abortion,C102)))&gt;0)</f>
        <v>0</v>
      </c>
      <c r="W102" s="14" cm="1">
        <f t="array" ref="W102">INT(SUMPRODUCT(--ISNUMBER(SEARCH(trump,C102)))&gt;0)</f>
        <v>0</v>
      </c>
      <c r="X102" s="14" cm="1">
        <f t="array" ref="X102">INT(SUMPRODUCT(--ISNUMBER(SEARCH(voting,C102)))&gt;0)</f>
        <v>0</v>
      </c>
      <c r="Y102" s="14" cm="1">
        <f t="array" ref="Y102">INT(SUMPRODUCT(--ISNUMBER(SEARCH(republicantrigger,C102)))&gt;0)</f>
        <v>0</v>
      </c>
      <c r="Z102" s="14" cm="1">
        <f t="array" ref="Z102">INT(SUMPRODUCT(--ISNUMBER(SEARCH(bipartisan,C102)))&gt;0)</f>
        <v>0</v>
      </c>
      <c r="AA102" s="14">
        <f t="shared" si="1"/>
        <v>1</v>
      </c>
      <c r="AB102" s="14"/>
      <c r="AC102" s="30">
        <v>0</v>
      </c>
      <c r="AD102" s="37">
        <v>1</v>
      </c>
    </row>
    <row r="103" spans="1:30" x14ac:dyDescent="0.25">
      <c r="A103" s="36">
        <v>1310</v>
      </c>
      <c r="B103" s="14" t="s">
        <v>2647</v>
      </c>
      <c r="C103" s="14" t="s">
        <v>2648</v>
      </c>
      <c r="D103" s="17">
        <v>44132</v>
      </c>
      <c r="E103" s="14" t="s">
        <v>30</v>
      </c>
      <c r="F103" s="14">
        <v>47</v>
      </c>
      <c r="G103" s="14">
        <v>5</v>
      </c>
      <c r="H103" s="14">
        <v>7</v>
      </c>
      <c r="I103" s="14">
        <v>4</v>
      </c>
      <c r="J103" s="14" t="s">
        <v>31</v>
      </c>
      <c r="K103" s="14" cm="1">
        <f t="array" ref="K103">INT(SUMPRODUCT(--ISNUMBER(SEARCH(economy,C103)))&gt;0)</f>
        <v>0</v>
      </c>
      <c r="L103" s="14" cm="1">
        <f t="array" ref="L103">INT(SUMPRODUCT(--ISNUMBER(SEARCH(healthcare,C103)))&gt;0)</f>
        <v>0</v>
      </c>
      <c r="M103" s="14" cm="1">
        <f t="array" ref="M103">INT(SUMPRODUCT(--ISNUMBER(SEARCH(supreme,C103)))&gt;0)</f>
        <v>0</v>
      </c>
      <c r="N103" s="14" cm="1">
        <f t="array" ref="N103">INT(SUMPRODUCT(--ISNUMBER(SEARCH(covid,C103)))&gt;0)</f>
        <v>0</v>
      </c>
      <c r="O103" s="14" cm="1">
        <f t="array" ref="O103">INT(SUMPRODUCT(--ISNUMBER(SEARCH(violent,C103)))&gt;0)</f>
        <v>0</v>
      </c>
      <c r="P103" s="14" cm="1">
        <f t="array" ref="P103">INT(SUMPRODUCT(--ISNUMBER(SEARCH(foreign,C103)))&gt;0)</f>
        <v>0</v>
      </c>
      <c r="Q103" s="14" cm="1">
        <f t="array" ref="Q103">INT(SUMPRODUCT(--ISNUMBER(SEARCH(gun,C103)))&gt;0)</f>
        <v>0</v>
      </c>
      <c r="R103" s="14" cm="1">
        <f t="array" ref="R103">INT(SUMPRODUCT(--ISNUMBER(SEARCH(race,C103)))&gt;0)</f>
        <v>0</v>
      </c>
      <c r="S103" s="14" cm="1">
        <f t="array" ref="S103">INT(SUMPRODUCT(--ISNUMBER(SEARCH(immigration,C103)))&gt;0)</f>
        <v>0</v>
      </c>
      <c r="T103" s="14" cm="1">
        <f t="array" ref="T103">INT(SUMPRODUCT(--ISNUMBER(SEARCH(econineq,C104)))&gt;0)</f>
        <v>0</v>
      </c>
      <c r="U103" s="14" cm="1">
        <f t="array" ref="U103">INT(SUMPRODUCT(--ISNUMBER(SEARCH(climate,C103)))&gt;0)</f>
        <v>0</v>
      </c>
      <c r="V103" s="14" cm="1">
        <f t="array" ref="V103">INT(SUMPRODUCT(--ISNUMBER(SEARCH(abortion,C103)))&gt;0)</f>
        <v>0</v>
      </c>
      <c r="W103" s="14" cm="1">
        <f t="array" ref="W103">INT(SUMPRODUCT(--ISNUMBER(SEARCH(trump,C103)))&gt;0)</f>
        <v>0</v>
      </c>
      <c r="X103" s="14" cm="1">
        <f t="array" ref="X103">INT(SUMPRODUCT(--ISNUMBER(SEARCH(voting,C103)))&gt;0)</f>
        <v>1</v>
      </c>
      <c r="Y103" s="14" cm="1">
        <f t="array" ref="Y103">INT(SUMPRODUCT(--ISNUMBER(SEARCH(republicantrigger,C103)))&gt;0)</f>
        <v>0</v>
      </c>
      <c r="Z103" s="14" cm="1">
        <f t="array" ref="Z103">INT(SUMPRODUCT(--ISNUMBER(SEARCH(bipartisan,C103)))&gt;0)</f>
        <v>0</v>
      </c>
      <c r="AA103" s="14">
        <f t="shared" si="1"/>
        <v>0</v>
      </c>
      <c r="AB103" s="14"/>
      <c r="AC103" s="30">
        <v>1</v>
      </c>
      <c r="AD103" s="37">
        <v>0</v>
      </c>
    </row>
    <row r="104" spans="1:30" x14ac:dyDescent="0.25">
      <c r="A104" s="36">
        <v>1311</v>
      </c>
      <c r="B104" s="14" t="s">
        <v>2649</v>
      </c>
      <c r="C104" s="14" t="s">
        <v>2650</v>
      </c>
      <c r="D104" s="17">
        <v>44132</v>
      </c>
      <c r="E104" s="14" t="s">
        <v>30</v>
      </c>
      <c r="F104" s="14">
        <v>33</v>
      </c>
      <c r="G104" s="14">
        <v>5</v>
      </c>
      <c r="H104" s="14">
        <v>7</v>
      </c>
      <c r="I104" s="14">
        <v>4</v>
      </c>
      <c r="J104" s="14" t="s">
        <v>31</v>
      </c>
      <c r="K104" s="14" cm="1">
        <f t="array" ref="K104">INT(SUMPRODUCT(--ISNUMBER(SEARCH(economy,C104)))&gt;0)</f>
        <v>0</v>
      </c>
      <c r="L104" s="14" cm="1">
        <f t="array" ref="L104">INT(SUMPRODUCT(--ISNUMBER(SEARCH(healthcare,C104)))&gt;0)</f>
        <v>0</v>
      </c>
      <c r="M104" s="14" cm="1">
        <f t="array" ref="M104">INT(SUMPRODUCT(--ISNUMBER(SEARCH(supreme,C104)))&gt;0)</f>
        <v>0</v>
      </c>
      <c r="N104" s="14" cm="1">
        <f t="array" ref="N104">INT(SUMPRODUCT(--ISNUMBER(SEARCH(covid,C104)))&gt;0)</f>
        <v>0</v>
      </c>
      <c r="O104" s="14" cm="1">
        <f t="array" ref="O104">INT(SUMPRODUCT(--ISNUMBER(SEARCH(violent,C104)))&gt;0)</f>
        <v>0</v>
      </c>
      <c r="P104" s="14" cm="1">
        <f t="array" ref="P104">INT(SUMPRODUCT(--ISNUMBER(SEARCH(foreign,C104)))&gt;0)</f>
        <v>0</v>
      </c>
      <c r="Q104" s="14" cm="1">
        <f t="array" ref="Q104">INT(SUMPRODUCT(--ISNUMBER(SEARCH(gun,C104)))&gt;0)</f>
        <v>0</v>
      </c>
      <c r="R104" s="14" cm="1">
        <f t="array" ref="R104">INT(SUMPRODUCT(--ISNUMBER(SEARCH(race,C104)))&gt;0)</f>
        <v>0</v>
      </c>
      <c r="S104" s="14" cm="1">
        <f t="array" ref="S104">INT(SUMPRODUCT(--ISNUMBER(SEARCH(immigration,C104)))&gt;0)</f>
        <v>0</v>
      </c>
      <c r="T104" s="14" cm="1">
        <f t="array" ref="T104">INT(SUMPRODUCT(--ISNUMBER(SEARCH(econineq,C105)))&gt;0)</f>
        <v>0</v>
      </c>
      <c r="U104" s="14" cm="1">
        <f t="array" ref="U104">INT(SUMPRODUCT(--ISNUMBER(SEARCH(climate,C104)))&gt;0)</f>
        <v>0</v>
      </c>
      <c r="V104" s="14" cm="1">
        <f t="array" ref="V104">INT(SUMPRODUCT(--ISNUMBER(SEARCH(abortion,C104)))&gt;0)</f>
        <v>0</v>
      </c>
      <c r="W104" s="14" cm="1">
        <f t="array" ref="W104">INT(SUMPRODUCT(--ISNUMBER(SEARCH(trump,C104)))&gt;0)</f>
        <v>0</v>
      </c>
      <c r="X104" s="14" cm="1">
        <f t="array" ref="X104">INT(SUMPRODUCT(--ISNUMBER(SEARCH(voting,C104)))&gt;0)</f>
        <v>0</v>
      </c>
      <c r="Y104" s="14" cm="1">
        <f t="array" ref="Y104">INT(SUMPRODUCT(--ISNUMBER(SEARCH(republicantrigger,C104)))&gt;0)</f>
        <v>0</v>
      </c>
      <c r="Z104" s="14" cm="1">
        <f t="array" ref="Z104">INT(SUMPRODUCT(--ISNUMBER(SEARCH(bipartisan,C104)))&gt;0)</f>
        <v>0</v>
      </c>
      <c r="AA104" s="14">
        <f t="shared" si="1"/>
        <v>1</v>
      </c>
      <c r="AB104" s="14"/>
      <c r="AC104" s="30">
        <v>1</v>
      </c>
      <c r="AD104" s="37">
        <v>0</v>
      </c>
    </row>
    <row r="105" spans="1:30" x14ac:dyDescent="0.25">
      <c r="A105" s="36">
        <v>1312</v>
      </c>
      <c r="B105" s="14" t="s">
        <v>2651</v>
      </c>
      <c r="C105" s="14" t="s">
        <v>2652</v>
      </c>
      <c r="D105" s="17">
        <v>44132</v>
      </c>
      <c r="E105" s="14" t="s">
        <v>30</v>
      </c>
      <c r="F105" s="14">
        <v>50</v>
      </c>
      <c r="G105" s="14">
        <v>6</v>
      </c>
      <c r="H105" s="14">
        <v>7</v>
      </c>
      <c r="I105" s="14">
        <v>4</v>
      </c>
      <c r="J105" s="14" t="s">
        <v>31</v>
      </c>
      <c r="K105" s="14" cm="1">
        <f t="array" ref="K105">INT(SUMPRODUCT(--ISNUMBER(SEARCH(economy,C105)))&gt;0)</f>
        <v>0</v>
      </c>
      <c r="L105" s="14" cm="1">
        <f t="array" ref="L105">INT(SUMPRODUCT(--ISNUMBER(SEARCH(healthcare,C105)))&gt;0)</f>
        <v>0</v>
      </c>
      <c r="M105" s="14" cm="1">
        <f t="array" ref="M105">INT(SUMPRODUCT(--ISNUMBER(SEARCH(supreme,C105)))&gt;0)</f>
        <v>0</v>
      </c>
      <c r="N105" s="14" cm="1">
        <f t="array" ref="N105">INT(SUMPRODUCT(--ISNUMBER(SEARCH(covid,C105)))&gt;0)</f>
        <v>0</v>
      </c>
      <c r="O105" s="14" cm="1">
        <f t="array" ref="O105">INT(SUMPRODUCT(--ISNUMBER(SEARCH(violent,C105)))&gt;0)</f>
        <v>0</v>
      </c>
      <c r="P105" s="14" cm="1">
        <f t="array" ref="P105">INT(SUMPRODUCT(--ISNUMBER(SEARCH(foreign,C105)))&gt;0)</f>
        <v>0</v>
      </c>
      <c r="Q105" s="14" cm="1">
        <f t="array" ref="Q105">INT(SUMPRODUCT(--ISNUMBER(SEARCH(gun,C105)))&gt;0)</f>
        <v>0</v>
      </c>
      <c r="R105" s="14" cm="1">
        <f t="array" ref="R105">INT(SUMPRODUCT(--ISNUMBER(SEARCH(race,C105)))&gt;0)</f>
        <v>0</v>
      </c>
      <c r="S105" s="14" cm="1">
        <f t="array" ref="S105">INT(SUMPRODUCT(--ISNUMBER(SEARCH(immigration,C105)))&gt;0)</f>
        <v>0</v>
      </c>
      <c r="T105" s="14" cm="1">
        <f t="array" ref="T105">INT(SUMPRODUCT(--ISNUMBER(SEARCH(econineq,C106)))&gt;0)</f>
        <v>0</v>
      </c>
      <c r="U105" s="14" cm="1">
        <f t="array" ref="U105">INT(SUMPRODUCT(--ISNUMBER(SEARCH(climate,C105)))&gt;0)</f>
        <v>0</v>
      </c>
      <c r="V105" s="14" cm="1">
        <f t="array" ref="V105">INT(SUMPRODUCT(--ISNUMBER(SEARCH(abortion,C105)))&gt;0)</f>
        <v>0</v>
      </c>
      <c r="W105" s="14" cm="1">
        <f t="array" ref="W105">INT(SUMPRODUCT(--ISNUMBER(SEARCH(trump,C105)))&gt;0)</f>
        <v>0</v>
      </c>
      <c r="X105" s="14" cm="1">
        <f t="array" ref="X105">INT(SUMPRODUCT(--ISNUMBER(SEARCH(voting,C105)))&gt;0)</f>
        <v>0</v>
      </c>
      <c r="Y105" s="14" cm="1">
        <f t="array" ref="Y105">INT(SUMPRODUCT(--ISNUMBER(SEARCH(republicantrigger,C105)))&gt;0)</f>
        <v>1</v>
      </c>
      <c r="Z105" s="14" cm="1">
        <f t="array" ref="Z105">INT(SUMPRODUCT(--ISNUMBER(SEARCH(bipartisan,C105)))&gt;0)</f>
        <v>0</v>
      </c>
      <c r="AA105" s="14">
        <f t="shared" si="1"/>
        <v>0</v>
      </c>
      <c r="AB105" s="14"/>
      <c r="AC105" s="30" t="s">
        <v>223</v>
      </c>
      <c r="AD105" s="37" t="s">
        <v>223</v>
      </c>
    </row>
    <row r="106" spans="1:30" x14ac:dyDescent="0.25">
      <c r="A106" s="36">
        <v>1313</v>
      </c>
      <c r="B106" s="14" t="s">
        <v>2653</v>
      </c>
      <c r="C106" s="14" t="s">
        <v>2654</v>
      </c>
      <c r="D106" s="17">
        <v>44132</v>
      </c>
      <c r="E106" s="14" t="s">
        <v>30</v>
      </c>
      <c r="F106" s="14">
        <v>19</v>
      </c>
      <c r="G106" s="14">
        <v>2</v>
      </c>
      <c r="H106" s="14">
        <v>7</v>
      </c>
      <c r="I106" s="14">
        <v>4</v>
      </c>
      <c r="J106" s="14" t="s">
        <v>31</v>
      </c>
      <c r="K106" s="14" cm="1">
        <f t="array" ref="K106">INT(SUMPRODUCT(--ISNUMBER(SEARCH(economy,C106)))&gt;0)</f>
        <v>0</v>
      </c>
      <c r="L106" s="14" cm="1">
        <f t="array" ref="L106">INT(SUMPRODUCT(--ISNUMBER(SEARCH(healthcare,C106)))&gt;0)</f>
        <v>0</v>
      </c>
      <c r="M106" s="14" cm="1">
        <f t="array" ref="M106">INT(SUMPRODUCT(--ISNUMBER(SEARCH(supreme,C106)))&gt;0)</f>
        <v>0</v>
      </c>
      <c r="N106" s="14" cm="1">
        <f t="array" ref="N106">INT(SUMPRODUCT(--ISNUMBER(SEARCH(covid,C106)))&gt;0)</f>
        <v>0</v>
      </c>
      <c r="O106" s="14" cm="1">
        <f t="array" ref="O106">INT(SUMPRODUCT(--ISNUMBER(SEARCH(violent,C106)))&gt;0)</f>
        <v>0</v>
      </c>
      <c r="P106" s="14" cm="1">
        <f t="array" ref="P106">INT(SUMPRODUCT(--ISNUMBER(SEARCH(foreign,C106)))&gt;0)</f>
        <v>0</v>
      </c>
      <c r="Q106" s="14" cm="1">
        <f t="array" ref="Q106">INT(SUMPRODUCT(--ISNUMBER(SEARCH(gun,C106)))&gt;0)</f>
        <v>0</v>
      </c>
      <c r="R106" s="14" cm="1">
        <f t="array" ref="R106">INT(SUMPRODUCT(--ISNUMBER(SEARCH(race,C106)))&gt;0)</f>
        <v>0</v>
      </c>
      <c r="S106" s="14" cm="1">
        <f t="array" ref="S106">INT(SUMPRODUCT(--ISNUMBER(SEARCH(immigration,C106)))&gt;0)</f>
        <v>0</v>
      </c>
      <c r="T106" s="14" cm="1">
        <f t="array" ref="T106">INT(SUMPRODUCT(--ISNUMBER(SEARCH(econineq,C107)))&gt;0)</f>
        <v>0</v>
      </c>
      <c r="U106" s="14" cm="1">
        <f t="array" ref="U106">INT(SUMPRODUCT(--ISNUMBER(SEARCH(climate,C106)))&gt;0)</f>
        <v>0</v>
      </c>
      <c r="V106" s="14" cm="1">
        <f t="array" ref="V106">INT(SUMPRODUCT(--ISNUMBER(SEARCH(abortion,C106)))&gt;0)</f>
        <v>0</v>
      </c>
      <c r="W106" s="14" cm="1">
        <f t="array" ref="W106">INT(SUMPRODUCT(--ISNUMBER(SEARCH(trump,C106)))&gt;0)</f>
        <v>0</v>
      </c>
      <c r="X106" s="14" cm="1">
        <f t="array" ref="X106">INT(SUMPRODUCT(--ISNUMBER(SEARCH(voting,C106)))&gt;0)</f>
        <v>0</v>
      </c>
      <c r="Y106" s="14" cm="1">
        <f t="array" ref="Y106">INT(SUMPRODUCT(--ISNUMBER(SEARCH(republicantrigger,C106)))&gt;0)</f>
        <v>0</v>
      </c>
      <c r="Z106" s="14" cm="1">
        <f t="array" ref="Z106">INT(SUMPRODUCT(--ISNUMBER(SEARCH(bipartisan,C106)))&gt;0)</f>
        <v>0</v>
      </c>
      <c r="AA106" s="14">
        <f t="shared" si="1"/>
        <v>1</v>
      </c>
      <c r="AB106" s="14"/>
      <c r="AC106" s="30">
        <v>1</v>
      </c>
      <c r="AD106" s="37">
        <v>0</v>
      </c>
    </row>
    <row r="107" spans="1:30" x14ac:dyDescent="0.25">
      <c r="A107" s="36">
        <v>1314</v>
      </c>
      <c r="B107" s="14" t="s">
        <v>2655</v>
      </c>
      <c r="C107" s="14" t="s">
        <v>2656</v>
      </c>
      <c r="D107" s="17">
        <v>44132</v>
      </c>
      <c r="E107" s="14" t="s">
        <v>30</v>
      </c>
      <c r="F107" s="14">
        <v>50</v>
      </c>
      <c r="G107" s="14">
        <v>1</v>
      </c>
      <c r="H107" s="14">
        <v>7</v>
      </c>
      <c r="I107" s="14">
        <v>4</v>
      </c>
      <c r="J107" s="14" t="s">
        <v>31</v>
      </c>
      <c r="K107" s="14" cm="1">
        <f t="array" ref="K107">INT(SUMPRODUCT(--ISNUMBER(SEARCH(economy,C107)))&gt;0)</f>
        <v>0</v>
      </c>
      <c r="L107" s="14" cm="1">
        <f t="array" ref="L107">INT(SUMPRODUCT(--ISNUMBER(SEARCH(healthcare,C107)))&gt;0)</f>
        <v>0</v>
      </c>
      <c r="M107" s="14" cm="1">
        <f t="array" ref="M107">INT(SUMPRODUCT(--ISNUMBER(SEARCH(supreme,C107)))&gt;0)</f>
        <v>0</v>
      </c>
      <c r="N107" s="14" cm="1">
        <f t="array" ref="N107">INT(SUMPRODUCT(--ISNUMBER(SEARCH(covid,C107)))&gt;0)</f>
        <v>0</v>
      </c>
      <c r="O107" s="14" cm="1">
        <f t="array" ref="O107">INT(SUMPRODUCT(--ISNUMBER(SEARCH(violent,C107)))&gt;0)</f>
        <v>0</v>
      </c>
      <c r="P107" s="14" cm="1">
        <f t="array" ref="P107">INT(SUMPRODUCT(--ISNUMBER(SEARCH(foreign,C107)))&gt;0)</f>
        <v>0</v>
      </c>
      <c r="Q107" s="14" cm="1">
        <f t="array" ref="Q107">INT(SUMPRODUCT(--ISNUMBER(SEARCH(gun,C107)))&gt;0)</f>
        <v>0</v>
      </c>
      <c r="R107" s="14" cm="1">
        <f t="array" ref="R107">INT(SUMPRODUCT(--ISNUMBER(SEARCH(race,C107)))&gt;0)</f>
        <v>0</v>
      </c>
      <c r="S107" s="14" cm="1">
        <f t="array" ref="S107">INT(SUMPRODUCT(--ISNUMBER(SEARCH(immigration,C107)))&gt;0)</f>
        <v>0</v>
      </c>
      <c r="T107" s="14" cm="1">
        <f t="array" ref="T107">INT(SUMPRODUCT(--ISNUMBER(SEARCH(econineq,C108)))&gt;0)</f>
        <v>0</v>
      </c>
      <c r="U107" s="14" cm="1">
        <f t="array" ref="U107">INT(SUMPRODUCT(--ISNUMBER(SEARCH(climate,C107)))&gt;0)</f>
        <v>0</v>
      </c>
      <c r="V107" s="14" cm="1">
        <f t="array" ref="V107">INT(SUMPRODUCT(--ISNUMBER(SEARCH(abortion,C107)))&gt;0)</f>
        <v>0</v>
      </c>
      <c r="W107" s="14" cm="1">
        <f t="array" ref="W107">INT(SUMPRODUCT(--ISNUMBER(SEARCH(trump,C107)))&gt;0)</f>
        <v>0</v>
      </c>
      <c r="X107" s="14" cm="1">
        <f t="array" ref="X107">INT(SUMPRODUCT(--ISNUMBER(SEARCH(voting,C107)))&gt;0)</f>
        <v>0</v>
      </c>
      <c r="Y107" s="14" cm="1">
        <f t="array" ref="Y107">INT(SUMPRODUCT(--ISNUMBER(SEARCH(republicantrigger,C107)))&gt;0)</f>
        <v>0</v>
      </c>
      <c r="Z107" s="14" cm="1">
        <f t="array" ref="Z107">INT(SUMPRODUCT(--ISNUMBER(SEARCH(bipartisan,C107)))&gt;0)</f>
        <v>0</v>
      </c>
      <c r="AA107" s="14">
        <f t="shared" si="1"/>
        <v>1</v>
      </c>
      <c r="AB107" s="14"/>
      <c r="AC107" s="30">
        <v>0</v>
      </c>
      <c r="AD107" s="37">
        <v>1</v>
      </c>
    </row>
    <row r="108" spans="1:30" x14ac:dyDescent="0.25">
      <c r="A108" s="36">
        <v>1315</v>
      </c>
      <c r="B108" s="14" t="s">
        <v>2657</v>
      </c>
      <c r="C108" s="14" t="s">
        <v>2658</v>
      </c>
      <c r="D108" s="17">
        <v>44132</v>
      </c>
      <c r="E108" s="14" t="s">
        <v>30</v>
      </c>
      <c r="F108" s="14">
        <v>29</v>
      </c>
      <c r="G108" s="14">
        <v>5</v>
      </c>
      <c r="H108" s="14">
        <v>7</v>
      </c>
      <c r="I108" s="14">
        <v>4</v>
      </c>
      <c r="J108" s="14" t="s">
        <v>31</v>
      </c>
      <c r="K108" s="14" cm="1">
        <f t="array" ref="K108">INT(SUMPRODUCT(--ISNUMBER(SEARCH(economy,C108)))&gt;0)</f>
        <v>0</v>
      </c>
      <c r="L108" s="14" cm="1">
        <f t="array" ref="L108">INT(SUMPRODUCT(--ISNUMBER(SEARCH(healthcare,C108)))&gt;0)</f>
        <v>0</v>
      </c>
      <c r="M108" s="14" cm="1">
        <f t="array" ref="M108">INT(SUMPRODUCT(--ISNUMBER(SEARCH(supreme,C108)))&gt;0)</f>
        <v>0</v>
      </c>
      <c r="N108" s="14" cm="1">
        <f t="array" ref="N108">INT(SUMPRODUCT(--ISNUMBER(SEARCH(covid,C108)))&gt;0)</f>
        <v>0</v>
      </c>
      <c r="O108" s="14" cm="1">
        <f t="array" ref="O108">INT(SUMPRODUCT(--ISNUMBER(SEARCH(violent,C108)))&gt;0)</f>
        <v>0</v>
      </c>
      <c r="P108" s="14" cm="1">
        <f t="array" ref="P108">INT(SUMPRODUCT(--ISNUMBER(SEARCH(foreign,C108)))&gt;0)</f>
        <v>0</v>
      </c>
      <c r="Q108" s="14" cm="1">
        <f t="array" ref="Q108">INT(SUMPRODUCT(--ISNUMBER(SEARCH(gun,C108)))&gt;0)</f>
        <v>0</v>
      </c>
      <c r="R108" s="14" cm="1">
        <f t="array" ref="R108">INT(SUMPRODUCT(--ISNUMBER(SEARCH(race,C108)))&gt;0)</f>
        <v>0</v>
      </c>
      <c r="S108" s="14" cm="1">
        <f t="array" ref="S108">INT(SUMPRODUCT(--ISNUMBER(SEARCH(immigration,C108)))&gt;0)</f>
        <v>0</v>
      </c>
      <c r="T108" s="14" cm="1">
        <f t="array" ref="T108">INT(SUMPRODUCT(--ISNUMBER(SEARCH(econineq,C109)))&gt;0)</f>
        <v>0</v>
      </c>
      <c r="U108" s="14" cm="1">
        <f t="array" ref="U108">INT(SUMPRODUCT(--ISNUMBER(SEARCH(climate,C108)))&gt;0)</f>
        <v>0</v>
      </c>
      <c r="V108" s="14" cm="1">
        <f t="array" ref="V108">INT(SUMPRODUCT(--ISNUMBER(SEARCH(abortion,C108)))&gt;0)</f>
        <v>0</v>
      </c>
      <c r="W108" s="14" cm="1">
        <f t="array" ref="W108">INT(SUMPRODUCT(--ISNUMBER(SEARCH(trump,C108)))&gt;0)</f>
        <v>0</v>
      </c>
      <c r="X108" s="14" cm="1">
        <f t="array" ref="X108">INT(SUMPRODUCT(--ISNUMBER(SEARCH(voting,C108)))&gt;0)</f>
        <v>1</v>
      </c>
      <c r="Y108" s="14" cm="1">
        <f t="array" ref="Y108">INT(SUMPRODUCT(--ISNUMBER(SEARCH(republicantrigger,C108)))&gt;0)</f>
        <v>0</v>
      </c>
      <c r="Z108" s="14" cm="1">
        <f t="array" ref="Z108">INT(SUMPRODUCT(--ISNUMBER(SEARCH(bipartisan,C108)))&gt;0)</f>
        <v>0</v>
      </c>
      <c r="AA108" s="14">
        <f t="shared" si="1"/>
        <v>0</v>
      </c>
      <c r="AB108" s="14"/>
      <c r="AC108" s="30">
        <v>0</v>
      </c>
      <c r="AD108" s="37">
        <v>1</v>
      </c>
    </row>
    <row r="109" spans="1:30" x14ac:dyDescent="0.25">
      <c r="A109" s="36">
        <v>1316</v>
      </c>
      <c r="B109" s="14" t="s">
        <v>2659</v>
      </c>
      <c r="C109" s="14" t="s">
        <v>2660</v>
      </c>
      <c r="D109" s="17">
        <v>44132</v>
      </c>
      <c r="E109" s="14" t="s">
        <v>30</v>
      </c>
      <c r="F109" s="14">
        <v>19</v>
      </c>
      <c r="G109" s="14">
        <v>2</v>
      </c>
      <c r="H109" s="14">
        <v>7</v>
      </c>
      <c r="I109" s="14">
        <v>4</v>
      </c>
      <c r="J109" s="14" t="s">
        <v>31</v>
      </c>
      <c r="K109" s="14" cm="1">
        <f t="array" ref="K109">INT(SUMPRODUCT(--ISNUMBER(SEARCH(economy,C109)))&gt;0)</f>
        <v>0</v>
      </c>
      <c r="L109" s="14" cm="1">
        <f t="array" ref="L109">INT(SUMPRODUCT(--ISNUMBER(SEARCH(healthcare,C109)))&gt;0)</f>
        <v>0</v>
      </c>
      <c r="M109" s="14" cm="1">
        <f t="array" ref="M109">INT(SUMPRODUCT(--ISNUMBER(SEARCH(supreme,C109)))&gt;0)</f>
        <v>0</v>
      </c>
      <c r="N109" s="14" cm="1">
        <f t="array" ref="N109">INT(SUMPRODUCT(--ISNUMBER(SEARCH(covid,C109)))&gt;0)</f>
        <v>1</v>
      </c>
      <c r="O109" s="14" cm="1">
        <f t="array" ref="O109">INT(SUMPRODUCT(--ISNUMBER(SEARCH(violent,C109)))&gt;0)</f>
        <v>0</v>
      </c>
      <c r="P109" s="14" cm="1">
        <f t="array" ref="P109">INT(SUMPRODUCT(--ISNUMBER(SEARCH(foreign,C109)))&gt;0)</f>
        <v>0</v>
      </c>
      <c r="Q109" s="14" cm="1">
        <f t="array" ref="Q109">INT(SUMPRODUCT(--ISNUMBER(SEARCH(gun,C109)))&gt;0)</f>
        <v>0</v>
      </c>
      <c r="R109" s="14" cm="1">
        <f t="array" ref="R109">INT(SUMPRODUCT(--ISNUMBER(SEARCH(race,C109)))&gt;0)</f>
        <v>0</v>
      </c>
      <c r="S109" s="14" cm="1">
        <f t="array" ref="S109">INT(SUMPRODUCT(--ISNUMBER(SEARCH(immigration,C109)))&gt;0)</f>
        <v>0</v>
      </c>
      <c r="T109" s="14" cm="1">
        <f t="array" ref="T109">INT(SUMPRODUCT(--ISNUMBER(SEARCH(econineq,C110)))&gt;0)</f>
        <v>0</v>
      </c>
      <c r="U109" s="14" cm="1">
        <f t="array" ref="U109">INT(SUMPRODUCT(--ISNUMBER(SEARCH(climate,C109)))&gt;0)</f>
        <v>0</v>
      </c>
      <c r="V109" s="14" cm="1">
        <f t="array" ref="V109">INT(SUMPRODUCT(--ISNUMBER(SEARCH(abortion,C109)))&gt;0)</f>
        <v>0</v>
      </c>
      <c r="W109" s="14" cm="1">
        <f t="array" ref="W109">INT(SUMPRODUCT(--ISNUMBER(SEARCH(trump,C109)))&gt;0)</f>
        <v>0</v>
      </c>
      <c r="X109" s="14" cm="1">
        <f t="array" ref="X109">INT(SUMPRODUCT(--ISNUMBER(SEARCH(voting,C109)))&gt;0)</f>
        <v>0</v>
      </c>
      <c r="Y109" s="14" cm="1">
        <f t="array" ref="Y109">INT(SUMPRODUCT(--ISNUMBER(SEARCH(republicantrigger,C109)))&gt;0)</f>
        <v>0</v>
      </c>
      <c r="Z109" s="14" cm="1">
        <f t="array" ref="Z109">INT(SUMPRODUCT(--ISNUMBER(SEARCH(bipartisan,C109)))&gt;0)</f>
        <v>0</v>
      </c>
      <c r="AA109" s="14">
        <f t="shared" si="1"/>
        <v>0</v>
      </c>
      <c r="AB109" s="14"/>
      <c r="AC109" s="30">
        <v>1</v>
      </c>
      <c r="AD109" s="37">
        <v>0</v>
      </c>
    </row>
    <row r="110" spans="1:30" x14ac:dyDescent="0.25">
      <c r="A110" s="36">
        <v>1317</v>
      </c>
      <c r="B110" s="14" t="s">
        <v>2661</v>
      </c>
      <c r="C110" s="14" t="s">
        <v>2662</v>
      </c>
      <c r="D110" s="17">
        <v>44131</v>
      </c>
      <c r="E110" s="14" t="s">
        <v>70</v>
      </c>
      <c r="F110" s="14">
        <v>21</v>
      </c>
      <c r="G110" s="14">
        <v>3</v>
      </c>
      <c r="H110" s="14">
        <v>7</v>
      </c>
      <c r="I110" s="14">
        <v>4</v>
      </c>
      <c r="J110" s="14" t="s">
        <v>31</v>
      </c>
      <c r="K110" s="14" cm="1">
        <f t="array" ref="K110">INT(SUMPRODUCT(--ISNUMBER(SEARCH(economy,C110)))&gt;0)</f>
        <v>0</v>
      </c>
      <c r="L110" s="14" cm="1">
        <f t="array" ref="L110">INT(SUMPRODUCT(--ISNUMBER(SEARCH(healthcare,C110)))&gt;0)</f>
        <v>0</v>
      </c>
      <c r="M110" s="14" cm="1">
        <f t="array" ref="M110">INT(SUMPRODUCT(--ISNUMBER(SEARCH(supreme,C110)))&gt;0)</f>
        <v>0</v>
      </c>
      <c r="N110" s="14" cm="1">
        <f t="array" ref="N110">INT(SUMPRODUCT(--ISNUMBER(SEARCH(covid,C110)))&gt;0)</f>
        <v>0</v>
      </c>
      <c r="O110" s="14" cm="1">
        <f t="array" ref="O110">INT(SUMPRODUCT(--ISNUMBER(SEARCH(violent,C110)))&gt;0)</f>
        <v>0</v>
      </c>
      <c r="P110" s="14" cm="1">
        <f t="array" ref="P110">INT(SUMPRODUCT(--ISNUMBER(SEARCH(foreign,C110)))&gt;0)</f>
        <v>0</v>
      </c>
      <c r="Q110" s="14" cm="1">
        <f t="array" ref="Q110">INT(SUMPRODUCT(--ISNUMBER(SEARCH(gun,C110)))&gt;0)</f>
        <v>0</v>
      </c>
      <c r="R110" s="14" cm="1">
        <f t="array" ref="R110">INT(SUMPRODUCT(--ISNUMBER(SEARCH(race,C110)))&gt;0)</f>
        <v>0</v>
      </c>
      <c r="S110" s="14" cm="1">
        <f t="array" ref="S110">INT(SUMPRODUCT(--ISNUMBER(SEARCH(immigration,C110)))&gt;0)</f>
        <v>0</v>
      </c>
      <c r="T110" s="14" cm="1">
        <f t="array" ref="T110">INT(SUMPRODUCT(--ISNUMBER(SEARCH(econineq,C111)))&gt;0)</f>
        <v>0</v>
      </c>
      <c r="U110" s="14" cm="1">
        <f t="array" ref="U110">INT(SUMPRODUCT(--ISNUMBER(SEARCH(climate,C110)))&gt;0)</f>
        <v>0</v>
      </c>
      <c r="V110" s="14" cm="1">
        <f t="array" ref="V110">INT(SUMPRODUCT(--ISNUMBER(SEARCH(abortion,C110)))&gt;0)</f>
        <v>0</v>
      </c>
      <c r="W110" s="14" cm="1">
        <f t="array" ref="W110">INT(SUMPRODUCT(--ISNUMBER(SEARCH(trump,C110)))&gt;0)</f>
        <v>0</v>
      </c>
      <c r="X110" s="14" cm="1">
        <f t="array" ref="X110">INT(SUMPRODUCT(--ISNUMBER(SEARCH(voting,C110)))&gt;0)</f>
        <v>0</v>
      </c>
      <c r="Y110" s="14" cm="1">
        <f t="array" ref="Y110">INT(SUMPRODUCT(--ISNUMBER(SEARCH(republicantrigger,C110)))&gt;0)</f>
        <v>1</v>
      </c>
      <c r="Z110" s="14" cm="1">
        <f t="array" ref="Z110">INT(SUMPRODUCT(--ISNUMBER(SEARCH(bipartisan,C110)))&gt;0)</f>
        <v>0</v>
      </c>
      <c r="AA110" s="14">
        <f t="shared" si="1"/>
        <v>0</v>
      </c>
      <c r="AB110" s="14"/>
      <c r="AC110" s="30" t="s">
        <v>223</v>
      </c>
      <c r="AD110" s="37" t="s">
        <v>223</v>
      </c>
    </row>
    <row r="111" spans="1:30" x14ac:dyDescent="0.25">
      <c r="A111" s="36">
        <v>1318</v>
      </c>
      <c r="B111" s="14" t="s">
        <v>2663</v>
      </c>
      <c r="C111" s="14" t="s">
        <v>2664</v>
      </c>
      <c r="D111" s="17">
        <v>44131</v>
      </c>
      <c r="E111" s="14" t="s">
        <v>30</v>
      </c>
      <c r="F111" s="14">
        <v>30</v>
      </c>
      <c r="G111" s="14">
        <v>3</v>
      </c>
      <c r="H111" s="14">
        <v>7</v>
      </c>
      <c r="I111" s="14">
        <v>4</v>
      </c>
      <c r="J111" s="14" t="s">
        <v>31</v>
      </c>
      <c r="K111" s="14" cm="1">
        <f t="array" ref="K111">INT(SUMPRODUCT(--ISNUMBER(SEARCH(economy,C111)))&gt;0)</f>
        <v>0</v>
      </c>
      <c r="L111" s="14" cm="1">
        <f t="array" ref="L111">INT(SUMPRODUCT(--ISNUMBER(SEARCH(healthcare,C111)))&gt;0)</f>
        <v>0</v>
      </c>
      <c r="M111" s="14" cm="1">
        <f t="array" ref="M111">INT(SUMPRODUCT(--ISNUMBER(SEARCH(supreme,C111)))&gt;0)</f>
        <v>0</v>
      </c>
      <c r="N111" s="14" cm="1">
        <f t="array" ref="N111">INT(SUMPRODUCT(--ISNUMBER(SEARCH(covid,C111)))&gt;0)</f>
        <v>0</v>
      </c>
      <c r="O111" s="14" cm="1">
        <f t="array" ref="O111">INT(SUMPRODUCT(--ISNUMBER(SEARCH(violent,C111)))&gt;0)</f>
        <v>0</v>
      </c>
      <c r="P111" s="14" cm="1">
        <f t="array" ref="P111">INT(SUMPRODUCT(--ISNUMBER(SEARCH(foreign,C111)))&gt;0)</f>
        <v>0</v>
      </c>
      <c r="Q111" s="14" cm="1">
        <f t="array" ref="Q111">INT(SUMPRODUCT(--ISNUMBER(SEARCH(gun,C111)))&gt;0)</f>
        <v>0</v>
      </c>
      <c r="R111" s="14" cm="1">
        <f t="array" ref="R111">INT(SUMPRODUCT(--ISNUMBER(SEARCH(race,C111)))&gt;0)</f>
        <v>0</v>
      </c>
      <c r="S111" s="14" cm="1">
        <f t="array" ref="S111">INT(SUMPRODUCT(--ISNUMBER(SEARCH(immigration,C111)))&gt;0)</f>
        <v>0</v>
      </c>
      <c r="T111" s="14" cm="1">
        <f t="array" ref="T111">INT(SUMPRODUCT(--ISNUMBER(SEARCH(econineq,C112)))&gt;0)</f>
        <v>0</v>
      </c>
      <c r="U111" s="14" cm="1">
        <f t="array" ref="U111">INT(SUMPRODUCT(--ISNUMBER(SEARCH(climate,C111)))&gt;0)</f>
        <v>0</v>
      </c>
      <c r="V111" s="14" cm="1">
        <f t="array" ref="V111">INT(SUMPRODUCT(--ISNUMBER(SEARCH(abortion,C111)))&gt;0)</f>
        <v>0</v>
      </c>
      <c r="W111" s="14" cm="1">
        <f t="array" ref="W111">INT(SUMPRODUCT(--ISNUMBER(SEARCH(trump,C111)))&gt;0)</f>
        <v>0</v>
      </c>
      <c r="X111" s="14" cm="1">
        <f t="array" ref="X111">INT(SUMPRODUCT(--ISNUMBER(SEARCH(voting,C111)))&gt;0)</f>
        <v>0</v>
      </c>
      <c r="Y111" s="14" cm="1">
        <f t="array" ref="Y111">INT(SUMPRODUCT(--ISNUMBER(SEARCH(republicantrigger,C111)))&gt;0)</f>
        <v>0</v>
      </c>
      <c r="Z111" s="14" cm="1">
        <f t="array" ref="Z111">INT(SUMPRODUCT(--ISNUMBER(SEARCH(bipartisan,C111)))&gt;0)</f>
        <v>0</v>
      </c>
      <c r="AA111" s="14">
        <f t="shared" si="1"/>
        <v>1</v>
      </c>
      <c r="AB111" s="14"/>
      <c r="AC111" s="30">
        <v>1</v>
      </c>
      <c r="AD111" s="37">
        <v>0</v>
      </c>
    </row>
    <row r="112" spans="1:30" x14ac:dyDescent="0.25">
      <c r="A112" s="36">
        <v>1319</v>
      </c>
      <c r="B112" s="14" t="s">
        <v>2665</v>
      </c>
      <c r="C112" s="14" t="s">
        <v>2666</v>
      </c>
      <c r="D112" s="17">
        <v>44131</v>
      </c>
      <c r="E112" s="14" t="s">
        <v>70</v>
      </c>
      <c r="F112" s="14">
        <v>23</v>
      </c>
      <c r="G112" s="14">
        <v>3</v>
      </c>
      <c r="H112" s="14">
        <v>7</v>
      </c>
      <c r="I112" s="14">
        <v>4</v>
      </c>
      <c r="J112" s="14" t="s">
        <v>31</v>
      </c>
      <c r="K112" s="14" cm="1">
        <f t="array" ref="K112">INT(SUMPRODUCT(--ISNUMBER(SEARCH(economy,C112)))&gt;0)</f>
        <v>0</v>
      </c>
      <c r="L112" s="14" cm="1">
        <f t="array" ref="L112">INT(SUMPRODUCT(--ISNUMBER(SEARCH(healthcare,C112)))&gt;0)</f>
        <v>0</v>
      </c>
      <c r="M112" s="14" cm="1">
        <f t="array" ref="M112">INT(SUMPRODUCT(--ISNUMBER(SEARCH(supreme,C112)))&gt;0)</f>
        <v>0</v>
      </c>
      <c r="N112" s="14" cm="1">
        <f t="array" ref="N112">INT(SUMPRODUCT(--ISNUMBER(SEARCH(covid,C112)))&gt;0)</f>
        <v>0</v>
      </c>
      <c r="O112" s="14" cm="1">
        <f t="array" ref="O112">INT(SUMPRODUCT(--ISNUMBER(SEARCH(violent,C112)))&gt;0)</f>
        <v>1</v>
      </c>
      <c r="P112" s="14" cm="1">
        <f t="array" ref="P112">INT(SUMPRODUCT(--ISNUMBER(SEARCH(foreign,C112)))&gt;0)</f>
        <v>0</v>
      </c>
      <c r="Q112" s="14" cm="1">
        <f t="array" ref="Q112">INT(SUMPRODUCT(--ISNUMBER(SEARCH(gun,C112)))&gt;0)</f>
        <v>0</v>
      </c>
      <c r="R112" s="14" cm="1">
        <f t="array" ref="R112">INT(SUMPRODUCT(--ISNUMBER(SEARCH(race,C112)))&gt;0)</f>
        <v>0</v>
      </c>
      <c r="S112" s="14" cm="1">
        <f t="array" ref="S112">INT(SUMPRODUCT(--ISNUMBER(SEARCH(immigration,C112)))&gt;0)</f>
        <v>0</v>
      </c>
      <c r="T112" s="14" cm="1">
        <f t="array" ref="T112">INT(SUMPRODUCT(--ISNUMBER(SEARCH(econineq,C113)))&gt;0)</f>
        <v>0</v>
      </c>
      <c r="U112" s="14" cm="1">
        <f t="array" ref="U112">INT(SUMPRODUCT(--ISNUMBER(SEARCH(climate,C112)))&gt;0)</f>
        <v>0</v>
      </c>
      <c r="V112" s="14" cm="1">
        <f t="array" ref="V112">INT(SUMPRODUCT(--ISNUMBER(SEARCH(abortion,C112)))&gt;0)</f>
        <v>0</v>
      </c>
      <c r="W112" s="14" cm="1">
        <f t="array" ref="W112">INT(SUMPRODUCT(--ISNUMBER(SEARCH(trump,C112)))&gt;0)</f>
        <v>0</v>
      </c>
      <c r="X112" s="14" cm="1">
        <f t="array" ref="X112">INT(SUMPRODUCT(--ISNUMBER(SEARCH(voting,C112)))&gt;0)</f>
        <v>0</v>
      </c>
      <c r="Y112" s="14" cm="1">
        <f t="array" ref="Y112">INT(SUMPRODUCT(--ISNUMBER(SEARCH(republicantrigger,C112)))&gt;0)</f>
        <v>0</v>
      </c>
      <c r="Z112" s="14" cm="1">
        <f t="array" ref="Z112">INT(SUMPRODUCT(--ISNUMBER(SEARCH(bipartisan,C112)))&gt;0)</f>
        <v>0</v>
      </c>
      <c r="AA112" s="14">
        <f t="shared" si="1"/>
        <v>0</v>
      </c>
      <c r="AB112" s="14"/>
      <c r="AC112" s="30" t="s">
        <v>223</v>
      </c>
      <c r="AD112" s="37" t="s">
        <v>223</v>
      </c>
    </row>
    <row r="113" spans="1:30" x14ac:dyDescent="0.25">
      <c r="A113" s="36">
        <v>1320</v>
      </c>
      <c r="B113" s="14" t="s">
        <v>2667</v>
      </c>
      <c r="C113" s="14" t="s">
        <v>2668</v>
      </c>
      <c r="D113" s="17">
        <v>44131</v>
      </c>
      <c r="E113" s="14" t="s">
        <v>30</v>
      </c>
      <c r="F113" s="14">
        <v>22</v>
      </c>
      <c r="G113" s="14">
        <v>3</v>
      </c>
      <c r="H113" s="14">
        <v>7</v>
      </c>
      <c r="I113" s="14">
        <v>4</v>
      </c>
      <c r="J113" s="14" t="s">
        <v>31</v>
      </c>
      <c r="K113" s="14" cm="1">
        <f t="array" ref="K113">INT(SUMPRODUCT(--ISNUMBER(SEARCH(economy,C113)))&gt;0)</f>
        <v>0</v>
      </c>
      <c r="L113" s="14" cm="1">
        <f t="array" ref="L113">INT(SUMPRODUCT(--ISNUMBER(SEARCH(healthcare,C113)))&gt;0)</f>
        <v>0</v>
      </c>
      <c r="M113" s="14" cm="1">
        <f t="array" ref="M113">INT(SUMPRODUCT(--ISNUMBER(SEARCH(supreme,C113)))&gt;0)</f>
        <v>0</v>
      </c>
      <c r="N113" s="14" cm="1">
        <f t="array" ref="N113">INT(SUMPRODUCT(--ISNUMBER(SEARCH(covid,C113)))&gt;0)</f>
        <v>1</v>
      </c>
      <c r="O113" s="14" cm="1">
        <f t="array" ref="O113">INT(SUMPRODUCT(--ISNUMBER(SEARCH(violent,C113)))&gt;0)</f>
        <v>0</v>
      </c>
      <c r="P113" s="14" cm="1">
        <f t="array" ref="P113">INT(SUMPRODUCT(--ISNUMBER(SEARCH(foreign,C113)))&gt;0)</f>
        <v>0</v>
      </c>
      <c r="Q113" s="14" cm="1">
        <f t="array" ref="Q113">INT(SUMPRODUCT(--ISNUMBER(SEARCH(gun,C113)))&gt;0)</f>
        <v>0</v>
      </c>
      <c r="R113" s="14" cm="1">
        <f t="array" ref="R113">INT(SUMPRODUCT(--ISNUMBER(SEARCH(race,C113)))&gt;0)</f>
        <v>0</v>
      </c>
      <c r="S113" s="14" cm="1">
        <f t="array" ref="S113">INT(SUMPRODUCT(--ISNUMBER(SEARCH(immigration,C113)))&gt;0)</f>
        <v>0</v>
      </c>
      <c r="T113" s="14" cm="1">
        <f t="array" ref="T113">INT(SUMPRODUCT(--ISNUMBER(SEARCH(econineq,C114)))&gt;0)</f>
        <v>0</v>
      </c>
      <c r="U113" s="14" cm="1">
        <f t="array" ref="U113">INT(SUMPRODUCT(--ISNUMBER(SEARCH(climate,C113)))&gt;0)</f>
        <v>0</v>
      </c>
      <c r="V113" s="14" cm="1">
        <f t="array" ref="V113">INT(SUMPRODUCT(--ISNUMBER(SEARCH(abortion,C113)))&gt;0)</f>
        <v>0</v>
      </c>
      <c r="W113" s="14" cm="1">
        <f t="array" ref="W113">INT(SUMPRODUCT(--ISNUMBER(SEARCH(trump,C113)))&gt;0)</f>
        <v>0</v>
      </c>
      <c r="X113" s="14" cm="1">
        <f t="array" ref="X113">INT(SUMPRODUCT(--ISNUMBER(SEARCH(voting,C113)))&gt;0)</f>
        <v>0</v>
      </c>
      <c r="Y113" s="14" cm="1">
        <f t="array" ref="Y113">INT(SUMPRODUCT(--ISNUMBER(SEARCH(republicantrigger,C113)))&gt;0)</f>
        <v>0</v>
      </c>
      <c r="Z113" s="14" cm="1">
        <f t="array" ref="Z113">INT(SUMPRODUCT(--ISNUMBER(SEARCH(bipartisan,C113)))&gt;0)</f>
        <v>0</v>
      </c>
      <c r="AA113" s="14">
        <f t="shared" si="1"/>
        <v>0</v>
      </c>
      <c r="AB113" s="14"/>
      <c r="AC113" s="30">
        <v>1</v>
      </c>
      <c r="AD113" s="37">
        <v>0</v>
      </c>
    </row>
    <row r="114" spans="1:30" x14ac:dyDescent="0.25">
      <c r="A114" s="36">
        <v>1321</v>
      </c>
      <c r="B114" s="14" t="s">
        <v>2669</v>
      </c>
      <c r="C114" s="14" t="s">
        <v>2670</v>
      </c>
      <c r="D114" s="17">
        <v>44131</v>
      </c>
      <c r="E114" s="14" t="s">
        <v>30</v>
      </c>
      <c r="F114" s="14">
        <v>39</v>
      </c>
      <c r="G114" s="14">
        <v>5</v>
      </c>
      <c r="H114" s="14">
        <v>7</v>
      </c>
      <c r="I114" s="14">
        <v>4</v>
      </c>
      <c r="J114" s="14" t="s">
        <v>31</v>
      </c>
      <c r="K114" s="14" cm="1">
        <f t="array" ref="K114">INT(SUMPRODUCT(--ISNUMBER(SEARCH(economy,C114)))&gt;0)</f>
        <v>0</v>
      </c>
      <c r="L114" s="14" cm="1">
        <f t="array" ref="L114">INT(SUMPRODUCT(--ISNUMBER(SEARCH(healthcare,C114)))&gt;0)</f>
        <v>0</v>
      </c>
      <c r="M114" s="14" cm="1">
        <f t="array" ref="M114">INT(SUMPRODUCT(--ISNUMBER(SEARCH(supreme,C114)))&gt;0)</f>
        <v>0</v>
      </c>
      <c r="N114" s="14" cm="1">
        <f t="array" ref="N114">INT(SUMPRODUCT(--ISNUMBER(SEARCH(covid,C114)))&gt;0)</f>
        <v>0</v>
      </c>
      <c r="O114" s="14" cm="1">
        <f t="array" ref="O114">INT(SUMPRODUCT(--ISNUMBER(SEARCH(violent,C114)))&gt;0)</f>
        <v>0</v>
      </c>
      <c r="P114" s="14" cm="1">
        <f t="array" ref="P114">INT(SUMPRODUCT(--ISNUMBER(SEARCH(foreign,C114)))&gt;0)</f>
        <v>0</v>
      </c>
      <c r="Q114" s="14" cm="1">
        <f t="array" ref="Q114">INT(SUMPRODUCT(--ISNUMBER(SEARCH(gun,C114)))&gt;0)</f>
        <v>0</v>
      </c>
      <c r="R114" s="14" cm="1">
        <f t="array" ref="R114">INT(SUMPRODUCT(--ISNUMBER(SEARCH(race,C114)))&gt;0)</f>
        <v>0</v>
      </c>
      <c r="S114" s="14" cm="1">
        <f t="array" ref="S114">INT(SUMPRODUCT(--ISNUMBER(SEARCH(immigration,C114)))&gt;0)</f>
        <v>0</v>
      </c>
      <c r="T114" s="14" cm="1">
        <f t="array" ref="T114">INT(SUMPRODUCT(--ISNUMBER(SEARCH(econineq,C115)))&gt;0)</f>
        <v>0</v>
      </c>
      <c r="U114" s="14" cm="1">
        <f t="array" ref="U114">INT(SUMPRODUCT(--ISNUMBER(SEARCH(climate,C114)))&gt;0)</f>
        <v>0</v>
      </c>
      <c r="V114" s="14" cm="1">
        <f t="array" ref="V114">INT(SUMPRODUCT(--ISNUMBER(SEARCH(abortion,C114)))&gt;0)</f>
        <v>0</v>
      </c>
      <c r="W114" s="14" cm="1">
        <f t="array" ref="W114">INT(SUMPRODUCT(--ISNUMBER(SEARCH(trump,C114)))&gt;0)</f>
        <v>0</v>
      </c>
      <c r="X114" s="14" cm="1">
        <f t="array" ref="X114">INT(SUMPRODUCT(--ISNUMBER(SEARCH(voting,C114)))&gt;0)</f>
        <v>0</v>
      </c>
      <c r="Y114" s="14" cm="1">
        <f t="array" ref="Y114">INT(SUMPRODUCT(--ISNUMBER(SEARCH(republicantrigger,C114)))&gt;0)</f>
        <v>0</v>
      </c>
      <c r="Z114" s="14" cm="1">
        <f t="array" ref="Z114">INT(SUMPRODUCT(--ISNUMBER(SEARCH(bipartisan,C114)))&gt;0)</f>
        <v>0</v>
      </c>
      <c r="AA114" s="14">
        <f t="shared" si="1"/>
        <v>1</v>
      </c>
      <c r="AB114" s="14"/>
      <c r="AC114" s="30">
        <v>1</v>
      </c>
      <c r="AD114" s="37">
        <v>0</v>
      </c>
    </row>
    <row r="115" spans="1:30" x14ac:dyDescent="0.25">
      <c r="A115" s="36">
        <v>1322</v>
      </c>
      <c r="B115" s="14" t="s">
        <v>2671</v>
      </c>
      <c r="C115" s="14" t="s">
        <v>2672</v>
      </c>
      <c r="D115" s="17">
        <v>44131</v>
      </c>
      <c r="E115" s="14" t="s">
        <v>30</v>
      </c>
      <c r="F115" s="14">
        <v>39</v>
      </c>
      <c r="G115" s="14">
        <v>2</v>
      </c>
      <c r="H115" s="14">
        <v>7</v>
      </c>
      <c r="I115" s="14">
        <v>4</v>
      </c>
      <c r="J115" s="14" t="s">
        <v>31</v>
      </c>
      <c r="K115" s="14" cm="1">
        <f t="array" ref="K115">INT(SUMPRODUCT(--ISNUMBER(SEARCH(economy,C115)))&gt;0)</f>
        <v>1</v>
      </c>
      <c r="L115" s="14" cm="1">
        <f t="array" ref="L115">INT(SUMPRODUCT(--ISNUMBER(SEARCH(healthcare,C115)))&gt;0)</f>
        <v>0</v>
      </c>
      <c r="M115" s="14" cm="1">
        <f t="array" ref="M115">INT(SUMPRODUCT(--ISNUMBER(SEARCH(supreme,C115)))&gt;0)</f>
        <v>0</v>
      </c>
      <c r="N115" s="14" cm="1">
        <f t="array" ref="N115">INT(SUMPRODUCT(--ISNUMBER(SEARCH(covid,C115)))&gt;0)</f>
        <v>0</v>
      </c>
      <c r="O115" s="14" cm="1">
        <f t="array" ref="O115">INT(SUMPRODUCT(--ISNUMBER(SEARCH(violent,C115)))&gt;0)</f>
        <v>0</v>
      </c>
      <c r="P115" s="14" cm="1">
        <f t="array" ref="P115">INT(SUMPRODUCT(--ISNUMBER(SEARCH(foreign,C115)))&gt;0)</f>
        <v>0</v>
      </c>
      <c r="Q115" s="14" cm="1">
        <f t="array" ref="Q115">INT(SUMPRODUCT(--ISNUMBER(SEARCH(gun,C115)))&gt;0)</f>
        <v>0</v>
      </c>
      <c r="R115" s="14" cm="1">
        <f t="array" ref="R115">INT(SUMPRODUCT(--ISNUMBER(SEARCH(race,C115)))&gt;0)</f>
        <v>0</v>
      </c>
      <c r="S115" s="14" cm="1">
        <f t="array" ref="S115">INT(SUMPRODUCT(--ISNUMBER(SEARCH(immigration,C115)))&gt;0)</f>
        <v>0</v>
      </c>
      <c r="T115" s="14" cm="1">
        <f t="array" ref="T115">INT(SUMPRODUCT(--ISNUMBER(SEARCH(econineq,C116)))&gt;0)</f>
        <v>0</v>
      </c>
      <c r="U115" s="14" cm="1">
        <f t="array" ref="U115">INT(SUMPRODUCT(--ISNUMBER(SEARCH(climate,C115)))&gt;0)</f>
        <v>0</v>
      </c>
      <c r="V115" s="14" cm="1">
        <f t="array" ref="V115">INT(SUMPRODUCT(--ISNUMBER(SEARCH(abortion,C115)))&gt;0)</f>
        <v>0</v>
      </c>
      <c r="W115" s="14" cm="1">
        <f t="array" ref="W115">INT(SUMPRODUCT(--ISNUMBER(SEARCH(trump,C115)))&gt;0)</f>
        <v>0</v>
      </c>
      <c r="X115" s="14" cm="1">
        <f t="array" ref="X115">INT(SUMPRODUCT(--ISNUMBER(SEARCH(voting,C115)))&gt;0)</f>
        <v>0</v>
      </c>
      <c r="Y115" s="14" cm="1">
        <f t="array" ref="Y115">INT(SUMPRODUCT(--ISNUMBER(SEARCH(republicantrigger,C115)))&gt;0)</f>
        <v>0</v>
      </c>
      <c r="Z115" s="14" cm="1">
        <f t="array" ref="Z115">INT(SUMPRODUCT(--ISNUMBER(SEARCH(bipartisan,C115)))&gt;0)</f>
        <v>0</v>
      </c>
      <c r="AA115" s="14">
        <f t="shared" si="1"/>
        <v>0</v>
      </c>
      <c r="AB115" s="14"/>
      <c r="AC115" s="30">
        <v>1</v>
      </c>
      <c r="AD115" s="37">
        <v>0</v>
      </c>
    </row>
    <row r="116" spans="1:30" x14ac:dyDescent="0.25">
      <c r="A116" s="36">
        <v>1323</v>
      </c>
      <c r="B116" s="14" t="s">
        <v>2673</v>
      </c>
      <c r="C116" s="14" t="s">
        <v>2674</v>
      </c>
      <c r="D116" s="17">
        <v>44131</v>
      </c>
      <c r="E116" s="14" t="s">
        <v>30</v>
      </c>
      <c r="F116" s="14">
        <v>34</v>
      </c>
      <c r="G116" s="14">
        <v>6</v>
      </c>
      <c r="H116" s="14">
        <v>7</v>
      </c>
      <c r="I116" s="14">
        <v>4</v>
      </c>
      <c r="J116" s="14" t="s">
        <v>31</v>
      </c>
      <c r="K116" s="14" cm="1">
        <f t="array" ref="K116">INT(SUMPRODUCT(--ISNUMBER(SEARCH(economy,C116)))&gt;0)</f>
        <v>0</v>
      </c>
      <c r="L116" s="14" cm="1">
        <f t="array" ref="L116">INT(SUMPRODUCT(--ISNUMBER(SEARCH(healthcare,C116)))&gt;0)</f>
        <v>0</v>
      </c>
      <c r="M116" s="14" cm="1">
        <f t="array" ref="M116">INT(SUMPRODUCT(--ISNUMBER(SEARCH(supreme,C116)))&gt;0)</f>
        <v>0</v>
      </c>
      <c r="N116" s="14" cm="1">
        <f t="array" ref="N116">INT(SUMPRODUCT(--ISNUMBER(SEARCH(covid,C116)))&gt;0)</f>
        <v>0</v>
      </c>
      <c r="O116" s="14" cm="1">
        <f t="array" ref="O116">INT(SUMPRODUCT(--ISNUMBER(SEARCH(violent,C116)))&gt;0)</f>
        <v>0</v>
      </c>
      <c r="P116" s="14" cm="1">
        <f t="array" ref="P116">INT(SUMPRODUCT(--ISNUMBER(SEARCH(foreign,C116)))&gt;0)</f>
        <v>0</v>
      </c>
      <c r="Q116" s="14" cm="1">
        <f t="array" ref="Q116">INT(SUMPRODUCT(--ISNUMBER(SEARCH(gun,C116)))&gt;0)</f>
        <v>0</v>
      </c>
      <c r="R116" s="14" cm="1">
        <f t="array" ref="R116">INT(SUMPRODUCT(--ISNUMBER(SEARCH(race,C116)))&gt;0)</f>
        <v>0</v>
      </c>
      <c r="S116" s="14" cm="1">
        <f t="array" ref="S116">INT(SUMPRODUCT(--ISNUMBER(SEARCH(immigration,C116)))&gt;0)</f>
        <v>0</v>
      </c>
      <c r="T116" s="14" cm="1">
        <f t="array" ref="T116">INT(SUMPRODUCT(--ISNUMBER(SEARCH(econineq,C117)))&gt;0)</f>
        <v>0</v>
      </c>
      <c r="U116" s="14" cm="1">
        <f t="array" ref="U116">INT(SUMPRODUCT(--ISNUMBER(SEARCH(climate,C116)))&gt;0)</f>
        <v>0</v>
      </c>
      <c r="V116" s="14" cm="1">
        <f t="array" ref="V116">INT(SUMPRODUCT(--ISNUMBER(SEARCH(abortion,C116)))&gt;0)</f>
        <v>0</v>
      </c>
      <c r="W116" s="14" cm="1">
        <f t="array" ref="W116">INT(SUMPRODUCT(--ISNUMBER(SEARCH(trump,C116)))&gt;0)</f>
        <v>0</v>
      </c>
      <c r="X116" s="14" cm="1">
        <f t="array" ref="X116">INT(SUMPRODUCT(--ISNUMBER(SEARCH(voting,C116)))&gt;0)</f>
        <v>0</v>
      </c>
      <c r="Y116" s="14" cm="1">
        <f t="array" ref="Y116">INT(SUMPRODUCT(--ISNUMBER(SEARCH(republicantrigger,C116)))&gt;0)</f>
        <v>0</v>
      </c>
      <c r="Z116" s="14" cm="1">
        <f t="array" ref="Z116">INT(SUMPRODUCT(--ISNUMBER(SEARCH(bipartisan,C116)))&gt;0)</f>
        <v>0</v>
      </c>
      <c r="AA116" s="14">
        <f t="shared" si="1"/>
        <v>1</v>
      </c>
      <c r="AB116" s="14"/>
      <c r="AC116" s="30">
        <v>1</v>
      </c>
      <c r="AD116" s="37">
        <v>0</v>
      </c>
    </row>
    <row r="117" spans="1:30" x14ac:dyDescent="0.25">
      <c r="A117" s="36">
        <v>1324</v>
      </c>
      <c r="B117" s="14" t="s">
        <v>2675</v>
      </c>
      <c r="C117" s="14" t="s">
        <v>2676</v>
      </c>
      <c r="D117" s="17">
        <v>44131</v>
      </c>
      <c r="E117" s="14" t="s">
        <v>30</v>
      </c>
      <c r="F117" s="14">
        <v>39</v>
      </c>
      <c r="G117" s="14">
        <v>6</v>
      </c>
      <c r="H117" s="14">
        <v>7</v>
      </c>
      <c r="I117" s="14">
        <v>4</v>
      </c>
      <c r="J117" s="14" t="s">
        <v>31</v>
      </c>
      <c r="K117" s="14" cm="1">
        <f t="array" ref="K117">INT(SUMPRODUCT(--ISNUMBER(SEARCH(economy,C117)))&gt;0)</f>
        <v>0</v>
      </c>
      <c r="L117" s="14" cm="1">
        <f t="array" ref="L117">INT(SUMPRODUCT(--ISNUMBER(SEARCH(healthcare,C117)))&gt;0)</f>
        <v>0</v>
      </c>
      <c r="M117" s="14" cm="1">
        <f t="array" ref="M117">INT(SUMPRODUCT(--ISNUMBER(SEARCH(supreme,C117)))&gt;0)</f>
        <v>0</v>
      </c>
      <c r="N117" s="14" cm="1">
        <f t="array" ref="N117">INT(SUMPRODUCT(--ISNUMBER(SEARCH(covid,C117)))&gt;0)</f>
        <v>0</v>
      </c>
      <c r="O117" s="14" cm="1">
        <f t="array" ref="O117">INT(SUMPRODUCT(--ISNUMBER(SEARCH(violent,C117)))&gt;0)</f>
        <v>0</v>
      </c>
      <c r="P117" s="14" cm="1">
        <f t="array" ref="P117">INT(SUMPRODUCT(--ISNUMBER(SEARCH(foreign,C117)))&gt;0)</f>
        <v>0</v>
      </c>
      <c r="Q117" s="14" cm="1">
        <f t="array" ref="Q117">INT(SUMPRODUCT(--ISNUMBER(SEARCH(gun,C117)))&gt;0)</f>
        <v>0</v>
      </c>
      <c r="R117" s="14" cm="1">
        <f t="array" ref="R117">INT(SUMPRODUCT(--ISNUMBER(SEARCH(race,C117)))&gt;0)</f>
        <v>0</v>
      </c>
      <c r="S117" s="14" cm="1">
        <f t="array" ref="S117">INT(SUMPRODUCT(--ISNUMBER(SEARCH(immigration,C117)))&gt;0)</f>
        <v>0</v>
      </c>
      <c r="T117" s="14" cm="1">
        <f t="array" ref="T117">INT(SUMPRODUCT(--ISNUMBER(SEARCH(econineq,C118)))&gt;0)</f>
        <v>0</v>
      </c>
      <c r="U117" s="14" cm="1">
        <f t="array" ref="U117">INT(SUMPRODUCT(--ISNUMBER(SEARCH(climate,C117)))&gt;0)</f>
        <v>0</v>
      </c>
      <c r="V117" s="14" cm="1">
        <f t="array" ref="V117">INT(SUMPRODUCT(--ISNUMBER(SEARCH(abortion,C117)))&gt;0)</f>
        <v>0</v>
      </c>
      <c r="W117" s="14" cm="1">
        <f t="array" ref="W117">INT(SUMPRODUCT(--ISNUMBER(SEARCH(trump,C117)))&gt;0)</f>
        <v>0</v>
      </c>
      <c r="X117" s="14" cm="1">
        <f t="array" ref="X117">INT(SUMPRODUCT(--ISNUMBER(SEARCH(voting,C117)))&gt;0)</f>
        <v>1</v>
      </c>
      <c r="Y117" s="14" cm="1">
        <f t="array" ref="Y117">INT(SUMPRODUCT(--ISNUMBER(SEARCH(republicantrigger,C117)))&gt;0)</f>
        <v>0</v>
      </c>
      <c r="Z117" s="14" cm="1">
        <f t="array" ref="Z117">INT(SUMPRODUCT(--ISNUMBER(SEARCH(bipartisan,C117)))&gt;0)</f>
        <v>0</v>
      </c>
      <c r="AA117" s="14">
        <f t="shared" si="1"/>
        <v>0</v>
      </c>
      <c r="AB117" s="14"/>
      <c r="AC117" s="30">
        <v>0</v>
      </c>
      <c r="AD117" s="37">
        <v>0</v>
      </c>
    </row>
    <row r="118" spans="1:30" x14ac:dyDescent="0.25">
      <c r="A118" s="36">
        <v>1325</v>
      </c>
      <c r="B118" s="14" t="s">
        <v>2677</v>
      </c>
      <c r="C118" s="14" t="s">
        <v>2678</v>
      </c>
      <c r="D118" s="17">
        <v>44131</v>
      </c>
      <c r="E118" s="14" t="s">
        <v>30</v>
      </c>
      <c r="F118" s="14">
        <v>59</v>
      </c>
      <c r="G118" s="14">
        <v>11</v>
      </c>
      <c r="H118" s="14">
        <v>7</v>
      </c>
      <c r="I118" s="14">
        <v>4</v>
      </c>
      <c r="J118" s="14" t="s">
        <v>31</v>
      </c>
      <c r="K118" s="14" cm="1">
        <f t="array" ref="K118">INT(SUMPRODUCT(--ISNUMBER(SEARCH(economy,C118)))&gt;0)</f>
        <v>0</v>
      </c>
      <c r="L118" s="14" cm="1">
        <f t="array" ref="L118">INT(SUMPRODUCT(--ISNUMBER(SEARCH(healthcare,C118)))&gt;0)</f>
        <v>0</v>
      </c>
      <c r="M118" s="14" cm="1">
        <f t="array" ref="M118">INT(SUMPRODUCT(--ISNUMBER(SEARCH(supreme,C118)))&gt;0)</f>
        <v>0</v>
      </c>
      <c r="N118" s="14" cm="1">
        <f t="array" ref="N118">INT(SUMPRODUCT(--ISNUMBER(SEARCH(covid,C118)))&gt;0)</f>
        <v>0</v>
      </c>
      <c r="O118" s="14" cm="1">
        <f t="array" ref="O118">INT(SUMPRODUCT(--ISNUMBER(SEARCH(violent,C118)))&gt;0)</f>
        <v>0</v>
      </c>
      <c r="P118" s="14" cm="1">
        <f t="array" ref="P118">INT(SUMPRODUCT(--ISNUMBER(SEARCH(foreign,C118)))&gt;0)</f>
        <v>0</v>
      </c>
      <c r="Q118" s="14" cm="1">
        <f t="array" ref="Q118">INT(SUMPRODUCT(--ISNUMBER(SEARCH(gun,C118)))&gt;0)</f>
        <v>0</v>
      </c>
      <c r="R118" s="14" cm="1">
        <f t="array" ref="R118">INT(SUMPRODUCT(--ISNUMBER(SEARCH(race,C118)))&gt;0)</f>
        <v>0</v>
      </c>
      <c r="S118" s="14" cm="1">
        <f t="array" ref="S118">INT(SUMPRODUCT(--ISNUMBER(SEARCH(immigration,C118)))&gt;0)</f>
        <v>0</v>
      </c>
      <c r="T118" s="14" cm="1">
        <f t="array" ref="T118">INT(SUMPRODUCT(--ISNUMBER(SEARCH(econineq,C119)))&gt;0)</f>
        <v>0</v>
      </c>
      <c r="U118" s="14" cm="1">
        <f t="array" ref="U118">INT(SUMPRODUCT(--ISNUMBER(SEARCH(climate,C118)))&gt;0)</f>
        <v>0</v>
      </c>
      <c r="V118" s="14" cm="1">
        <f t="array" ref="V118">INT(SUMPRODUCT(--ISNUMBER(SEARCH(abortion,C118)))&gt;0)</f>
        <v>0</v>
      </c>
      <c r="W118" s="14" cm="1">
        <f t="array" ref="W118">INT(SUMPRODUCT(--ISNUMBER(SEARCH(trump,C118)))&gt;0)</f>
        <v>0</v>
      </c>
      <c r="X118" s="14" cm="1">
        <f t="array" ref="X118">INT(SUMPRODUCT(--ISNUMBER(SEARCH(voting,C118)))&gt;0)</f>
        <v>0</v>
      </c>
      <c r="Y118" s="14" cm="1">
        <f t="array" ref="Y118">INT(SUMPRODUCT(--ISNUMBER(SEARCH(republicantrigger,C118)))&gt;0)</f>
        <v>0</v>
      </c>
      <c r="Z118" s="14" cm="1">
        <f t="array" ref="Z118">INT(SUMPRODUCT(--ISNUMBER(SEARCH(bipartisan,C118)))&gt;0)</f>
        <v>0</v>
      </c>
      <c r="AA118" s="14">
        <f t="shared" si="1"/>
        <v>1</v>
      </c>
      <c r="AB118" s="14"/>
      <c r="AC118" s="30">
        <v>0</v>
      </c>
      <c r="AD118" s="37">
        <v>1</v>
      </c>
    </row>
    <row r="119" spans="1:30" x14ac:dyDescent="0.25">
      <c r="A119" s="36">
        <v>1326</v>
      </c>
      <c r="B119" s="14" t="s">
        <v>2679</v>
      </c>
      <c r="C119" s="14" t="s">
        <v>2680</v>
      </c>
      <c r="D119" s="17">
        <v>44130</v>
      </c>
      <c r="E119" s="14" t="s">
        <v>70</v>
      </c>
      <c r="F119" s="14">
        <v>18</v>
      </c>
      <c r="G119" s="14">
        <v>2</v>
      </c>
      <c r="H119" s="14">
        <v>7</v>
      </c>
      <c r="I119" s="14">
        <v>4</v>
      </c>
      <c r="J119" s="14" t="s">
        <v>31</v>
      </c>
      <c r="K119" s="14" cm="1">
        <f t="array" ref="K119">INT(SUMPRODUCT(--ISNUMBER(SEARCH(economy,C119)))&gt;0)</f>
        <v>0</v>
      </c>
      <c r="L119" s="14" cm="1">
        <f t="array" ref="L119">INT(SUMPRODUCT(--ISNUMBER(SEARCH(healthcare,C119)))&gt;0)</f>
        <v>1</v>
      </c>
      <c r="M119" s="14" cm="1">
        <f t="array" ref="M119">INT(SUMPRODUCT(--ISNUMBER(SEARCH(supreme,C119)))&gt;0)</f>
        <v>0</v>
      </c>
      <c r="N119" s="14" cm="1">
        <f t="array" ref="N119">INT(SUMPRODUCT(--ISNUMBER(SEARCH(covid,C119)))&gt;0)</f>
        <v>0</v>
      </c>
      <c r="O119" s="14" cm="1">
        <f t="array" ref="O119">INT(SUMPRODUCT(--ISNUMBER(SEARCH(violent,C119)))&gt;0)</f>
        <v>0</v>
      </c>
      <c r="P119" s="14" cm="1">
        <f t="array" ref="P119">INT(SUMPRODUCT(--ISNUMBER(SEARCH(foreign,C119)))&gt;0)</f>
        <v>0</v>
      </c>
      <c r="Q119" s="14" cm="1">
        <f t="array" ref="Q119">INT(SUMPRODUCT(--ISNUMBER(SEARCH(gun,C119)))&gt;0)</f>
        <v>0</v>
      </c>
      <c r="R119" s="14" cm="1">
        <f t="array" ref="R119">INT(SUMPRODUCT(--ISNUMBER(SEARCH(race,C119)))&gt;0)</f>
        <v>0</v>
      </c>
      <c r="S119" s="14" cm="1">
        <f t="array" ref="S119">INT(SUMPRODUCT(--ISNUMBER(SEARCH(immigration,C119)))&gt;0)</f>
        <v>0</v>
      </c>
      <c r="T119" s="14" cm="1">
        <f t="array" ref="T119">INT(SUMPRODUCT(--ISNUMBER(SEARCH(econineq,C120)))&gt;0)</f>
        <v>0</v>
      </c>
      <c r="U119" s="14" cm="1">
        <f t="array" ref="U119">INT(SUMPRODUCT(--ISNUMBER(SEARCH(climate,C119)))&gt;0)</f>
        <v>1</v>
      </c>
      <c r="V119" s="14" cm="1">
        <f t="array" ref="V119">INT(SUMPRODUCT(--ISNUMBER(SEARCH(abortion,C119)))&gt;0)</f>
        <v>0</v>
      </c>
      <c r="W119" s="14" cm="1">
        <f t="array" ref="W119">INT(SUMPRODUCT(--ISNUMBER(SEARCH(trump,C119)))&gt;0)</f>
        <v>0</v>
      </c>
      <c r="X119" s="14" cm="1">
        <f t="array" ref="X119">INT(SUMPRODUCT(--ISNUMBER(SEARCH(voting,C119)))&gt;0)</f>
        <v>0</v>
      </c>
      <c r="Y119" s="14" cm="1">
        <f t="array" ref="Y119">INT(SUMPRODUCT(--ISNUMBER(SEARCH(republicantrigger,C119)))&gt;0)</f>
        <v>0</v>
      </c>
      <c r="Z119" s="14" cm="1">
        <f t="array" ref="Z119">INT(SUMPRODUCT(--ISNUMBER(SEARCH(bipartisan,C119)))&gt;0)</f>
        <v>0</v>
      </c>
      <c r="AA119" s="14">
        <f t="shared" si="1"/>
        <v>0</v>
      </c>
      <c r="AB119" s="14"/>
      <c r="AC119" s="30">
        <v>0</v>
      </c>
      <c r="AD119" s="37">
        <v>0</v>
      </c>
    </row>
    <row r="120" spans="1:30" x14ac:dyDescent="0.25">
      <c r="A120" s="36">
        <v>1327</v>
      </c>
      <c r="B120" s="14" t="s">
        <v>2681</v>
      </c>
      <c r="C120" s="14" t="s">
        <v>2682</v>
      </c>
      <c r="D120" s="17">
        <v>44130</v>
      </c>
      <c r="E120" s="14" t="s">
        <v>70</v>
      </c>
      <c r="F120" s="14">
        <v>19</v>
      </c>
      <c r="G120" s="14">
        <v>1</v>
      </c>
      <c r="H120" s="14">
        <v>7</v>
      </c>
      <c r="I120" s="14">
        <v>4</v>
      </c>
      <c r="J120" s="14" t="s">
        <v>31</v>
      </c>
      <c r="K120" s="14" cm="1">
        <f t="array" ref="K120">INT(SUMPRODUCT(--ISNUMBER(SEARCH(economy,C120)))&gt;0)</f>
        <v>1</v>
      </c>
      <c r="L120" s="14" cm="1">
        <f t="array" ref="L120">INT(SUMPRODUCT(--ISNUMBER(SEARCH(healthcare,C120)))&gt;0)</f>
        <v>0</v>
      </c>
      <c r="M120" s="14" cm="1">
        <f t="array" ref="M120">INT(SUMPRODUCT(--ISNUMBER(SEARCH(supreme,C120)))&gt;0)</f>
        <v>0</v>
      </c>
      <c r="N120" s="14" cm="1">
        <f t="array" ref="N120">INT(SUMPRODUCT(--ISNUMBER(SEARCH(covid,C120)))&gt;0)</f>
        <v>0</v>
      </c>
      <c r="O120" s="14" cm="1">
        <f t="array" ref="O120">INT(SUMPRODUCT(--ISNUMBER(SEARCH(violent,C120)))&gt;0)</f>
        <v>0</v>
      </c>
      <c r="P120" s="14" cm="1">
        <f t="array" ref="P120">INT(SUMPRODUCT(--ISNUMBER(SEARCH(foreign,C120)))&gt;0)</f>
        <v>0</v>
      </c>
      <c r="Q120" s="14" cm="1">
        <f t="array" ref="Q120">INT(SUMPRODUCT(--ISNUMBER(SEARCH(gun,C120)))&gt;0)</f>
        <v>0</v>
      </c>
      <c r="R120" s="14" cm="1">
        <f t="array" ref="R120">INT(SUMPRODUCT(--ISNUMBER(SEARCH(race,C120)))&gt;0)</f>
        <v>0</v>
      </c>
      <c r="S120" s="14" cm="1">
        <f t="array" ref="S120">INT(SUMPRODUCT(--ISNUMBER(SEARCH(immigration,C120)))&gt;0)</f>
        <v>0</v>
      </c>
      <c r="T120" s="14" cm="1">
        <f t="array" ref="T120">INT(SUMPRODUCT(--ISNUMBER(SEARCH(econineq,C121)))&gt;0)</f>
        <v>0</v>
      </c>
      <c r="U120" s="14" cm="1">
        <f t="array" ref="U120">INT(SUMPRODUCT(--ISNUMBER(SEARCH(climate,C120)))&gt;0)</f>
        <v>0</v>
      </c>
      <c r="V120" s="14" cm="1">
        <f t="array" ref="V120">INT(SUMPRODUCT(--ISNUMBER(SEARCH(abortion,C120)))&gt;0)</f>
        <v>0</v>
      </c>
      <c r="W120" s="14" cm="1">
        <f t="array" ref="W120">INT(SUMPRODUCT(--ISNUMBER(SEARCH(trump,C120)))&gt;0)</f>
        <v>0</v>
      </c>
      <c r="X120" s="14" cm="1">
        <f t="array" ref="X120">INT(SUMPRODUCT(--ISNUMBER(SEARCH(voting,C120)))&gt;0)</f>
        <v>0</v>
      </c>
      <c r="Y120" s="14" cm="1">
        <f t="array" ref="Y120">INT(SUMPRODUCT(--ISNUMBER(SEARCH(republicantrigger,C120)))&gt;0)</f>
        <v>0</v>
      </c>
      <c r="Z120" s="14" cm="1">
        <f t="array" ref="Z120">INT(SUMPRODUCT(--ISNUMBER(SEARCH(bipartisan,C120)))&gt;0)</f>
        <v>0</v>
      </c>
      <c r="AA120" s="14">
        <f t="shared" si="1"/>
        <v>0</v>
      </c>
      <c r="AB120" s="14"/>
      <c r="AC120" s="30">
        <v>0</v>
      </c>
      <c r="AD120" s="37">
        <v>0</v>
      </c>
    </row>
    <row r="121" spans="1:30" x14ac:dyDescent="0.25">
      <c r="A121" s="36">
        <v>1328</v>
      </c>
      <c r="B121" s="14" t="s">
        <v>2683</v>
      </c>
      <c r="C121" s="14" t="s">
        <v>2684</v>
      </c>
      <c r="D121" s="17">
        <v>44130</v>
      </c>
      <c r="E121" s="14" t="s">
        <v>30</v>
      </c>
      <c r="F121" s="14">
        <v>58</v>
      </c>
      <c r="G121" s="14">
        <v>11</v>
      </c>
      <c r="H121" s="14">
        <v>7</v>
      </c>
      <c r="I121" s="14">
        <v>4</v>
      </c>
      <c r="J121" s="14" t="s">
        <v>31</v>
      </c>
      <c r="K121" s="14" cm="1">
        <f t="array" ref="K121">INT(SUMPRODUCT(--ISNUMBER(SEARCH(economy,C121)))&gt;0)</f>
        <v>1</v>
      </c>
      <c r="L121" s="14" cm="1">
        <f t="array" ref="L121">INT(SUMPRODUCT(--ISNUMBER(SEARCH(healthcare,C121)))&gt;0)</f>
        <v>1</v>
      </c>
      <c r="M121" s="14" cm="1">
        <f t="array" ref="M121">INT(SUMPRODUCT(--ISNUMBER(SEARCH(supreme,C121)))&gt;0)</f>
        <v>0</v>
      </c>
      <c r="N121" s="14" cm="1">
        <f t="array" ref="N121">INT(SUMPRODUCT(--ISNUMBER(SEARCH(covid,C121)))&gt;0)</f>
        <v>1</v>
      </c>
      <c r="O121" s="14" cm="1">
        <f t="array" ref="O121">INT(SUMPRODUCT(--ISNUMBER(SEARCH(violent,C121)))&gt;0)</f>
        <v>0</v>
      </c>
      <c r="P121" s="14" cm="1">
        <f t="array" ref="P121">INT(SUMPRODUCT(--ISNUMBER(SEARCH(foreign,C121)))&gt;0)</f>
        <v>0</v>
      </c>
      <c r="Q121" s="14" cm="1">
        <f t="array" ref="Q121">INT(SUMPRODUCT(--ISNUMBER(SEARCH(gun,C121)))&gt;0)</f>
        <v>0</v>
      </c>
      <c r="R121" s="14" cm="1">
        <f t="array" ref="R121">INT(SUMPRODUCT(--ISNUMBER(SEARCH(race,C121)))&gt;0)</f>
        <v>0</v>
      </c>
      <c r="S121" s="14" cm="1">
        <f t="array" ref="S121">INT(SUMPRODUCT(--ISNUMBER(SEARCH(immigration,C121)))&gt;0)</f>
        <v>0</v>
      </c>
      <c r="T121" s="14" cm="1">
        <f t="array" ref="T121">INT(SUMPRODUCT(--ISNUMBER(SEARCH(econineq,C122)))&gt;0)</f>
        <v>0</v>
      </c>
      <c r="U121" s="14" cm="1">
        <f t="array" ref="U121">INT(SUMPRODUCT(--ISNUMBER(SEARCH(climate,C121)))&gt;0)</f>
        <v>0</v>
      </c>
      <c r="V121" s="14" cm="1">
        <f t="array" ref="V121">INT(SUMPRODUCT(--ISNUMBER(SEARCH(abortion,C121)))&gt;0)</f>
        <v>0</v>
      </c>
      <c r="W121" s="14" cm="1">
        <f t="array" ref="W121">INT(SUMPRODUCT(--ISNUMBER(SEARCH(trump,C121)))&gt;0)</f>
        <v>0</v>
      </c>
      <c r="X121" s="14" cm="1">
        <f t="array" ref="X121">INT(SUMPRODUCT(--ISNUMBER(SEARCH(voting,C121)))&gt;0)</f>
        <v>0</v>
      </c>
      <c r="Y121" s="14" cm="1">
        <f t="array" ref="Y121">INT(SUMPRODUCT(--ISNUMBER(SEARCH(republicantrigger,C121)))&gt;0)</f>
        <v>1</v>
      </c>
      <c r="Z121" s="14" cm="1">
        <f t="array" ref="Z121">INT(SUMPRODUCT(--ISNUMBER(SEARCH(bipartisan,C121)))&gt;0)</f>
        <v>0</v>
      </c>
      <c r="AA121" s="14">
        <f t="shared" si="1"/>
        <v>0</v>
      </c>
      <c r="AB121" s="14"/>
      <c r="AC121" s="30">
        <v>1</v>
      </c>
      <c r="AD121" s="37">
        <v>0</v>
      </c>
    </row>
    <row r="122" spans="1:30" x14ac:dyDescent="0.25">
      <c r="A122" s="36">
        <v>1329</v>
      </c>
      <c r="B122" s="14" t="s">
        <v>2685</v>
      </c>
      <c r="C122" s="14" t="s">
        <v>2686</v>
      </c>
      <c r="D122" s="17">
        <v>44130</v>
      </c>
      <c r="E122" s="14" t="s">
        <v>70</v>
      </c>
      <c r="F122" s="14">
        <v>23</v>
      </c>
      <c r="G122" s="14">
        <v>3</v>
      </c>
      <c r="H122" s="14">
        <v>7</v>
      </c>
      <c r="I122" s="14">
        <v>4</v>
      </c>
      <c r="J122" s="14" t="s">
        <v>31</v>
      </c>
      <c r="K122" s="14" cm="1">
        <f t="array" ref="K122">INT(SUMPRODUCT(--ISNUMBER(SEARCH(economy,C122)))&gt;0)</f>
        <v>0</v>
      </c>
      <c r="L122" s="14" cm="1">
        <f t="array" ref="L122">INT(SUMPRODUCT(--ISNUMBER(SEARCH(healthcare,C122)))&gt;0)</f>
        <v>1</v>
      </c>
      <c r="M122" s="14" cm="1">
        <f t="array" ref="M122">INT(SUMPRODUCT(--ISNUMBER(SEARCH(supreme,C122)))&gt;0)</f>
        <v>0</v>
      </c>
      <c r="N122" s="14" cm="1">
        <f t="array" ref="N122">INT(SUMPRODUCT(--ISNUMBER(SEARCH(covid,C122)))&gt;0)</f>
        <v>0</v>
      </c>
      <c r="O122" s="14" cm="1">
        <f t="array" ref="O122">INT(SUMPRODUCT(--ISNUMBER(SEARCH(violent,C122)))&gt;0)</f>
        <v>0</v>
      </c>
      <c r="P122" s="14" cm="1">
        <f t="array" ref="P122">INT(SUMPRODUCT(--ISNUMBER(SEARCH(foreign,C122)))&gt;0)</f>
        <v>0</v>
      </c>
      <c r="Q122" s="14" cm="1">
        <f t="array" ref="Q122">INT(SUMPRODUCT(--ISNUMBER(SEARCH(gun,C122)))&gt;0)</f>
        <v>0</v>
      </c>
      <c r="R122" s="14" cm="1">
        <f t="array" ref="R122">INT(SUMPRODUCT(--ISNUMBER(SEARCH(race,C122)))&gt;0)</f>
        <v>0</v>
      </c>
      <c r="S122" s="14" cm="1">
        <f t="array" ref="S122">INT(SUMPRODUCT(--ISNUMBER(SEARCH(immigration,C122)))&gt;0)</f>
        <v>0</v>
      </c>
      <c r="T122" s="14" cm="1">
        <f t="array" ref="T122">INT(SUMPRODUCT(--ISNUMBER(SEARCH(econineq,C123)))&gt;0)</f>
        <v>0</v>
      </c>
      <c r="U122" s="14" cm="1">
        <f t="array" ref="U122">INT(SUMPRODUCT(--ISNUMBER(SEARCH(climate,C122)))&gt;0)</f>
        <v>0</v>
      </c>
      <c r="V122" s="14" cm="1">
        <f t="array" ref="V122">INT(SUMPRODUCT(--ISNUMBER(SEARCH(abortion,C122)))&gt;0)</f>
        <v>0</v>
      </c>
      <c r="W122" s="14" cm="1">
        <f t="array" ref="W122">INT(SUMPRODUCT(--ISNUMBER(SEARCH(trump,C122)))&gt;0)</f>
        <v>0</v>
      </c>
      <c r="X122" s="14" cm="1">
        <f t="array" ref="X122">INT(SUMPRODUCT(--ISNUMBER(SEARCH(voting,C122)))&gt;0)</f>
        <v>0</v>
      </c>
      <c r="Y122" s="14" cm="1">
        <f t="array" ref="Y122">INT(SUMPRODUCT(--ISNUMBER(SEARCH(republicantrigger,C122)))&gt;0)</f>
        <v>0</v>
      </c>
      <c r="Z122" s="14" cm="1">
        <f t="array" ref="Z122">INT(SUMPRODUCT(--ISNUMBER(SEARCH(bipartisan,C122)))&gt;0)</f>
        <v>0</v>
      </c>
      <c r="AA122" s="14">
        <f t="shared" si="1"/>
        <v>0</v>
      </c>
      <c r="AB122" s="14"/>
      <c r="AC122" s="30">
        <v>0</v>
      </c>
      <c r="AD122" s="37">
        <v>1</v>
      </c>
    </row>
    <row r="123" spans="1:30" x14ac:dyDescent="0.25">
      <c r="A123" s="36">
        <v>1330</v>
      </c>
      <c r="B123" s="14" t="s">
        <v>2687</v>
      </c>
      <c r="C123" s="14" t="s">
        <v>2688</v>
      </c>
      <c r="D123" s="17">
        <v>44130</v>
      </c>
      <c r="E123" s="14" t="s">
        <v>30</v>
      </c>
      <c r="F123" s="14">
        <v>67</v>
      </c>
      <c r="G123" s="14">
        <v>15</v>
      </c>
      <c r="H123" s="14">
        <v>7</v>
      </c>
      <c r="I123" s="14">
        <v>4</v>
      </c>
      <c r="J123" s="14" t="s">
        <v>31</v>
      </c>
      <c r="K123" s="14" cm="1">
        <f t="array" ref="K123">INT(SUMPRODUCT(--ISNUMBER(SEARCH(economy,C123)))&gt;0)</f>
        <v>0</v>
      </c>
      <c r="L123" s="14" cm="1">
        <f t="array" ref="L123">INT(SUMPRODUCT(--ISNUMBER(SEARCH(healthcare,C123)))&gt;0)</f>
        <v>1</v>
      </c>
      <c r="M123" s="14" cm="1">
        <f t="array" ref="M123">INT(SUMPRODUCT(--ISNUMBER(SEARCH(supreme,C123)))&gt;0)</f>
        <v>0</v>
      </c>
      <c r="N123" s="14" cm="1">
        <f t="array" ref="N123">INT(SUMPRODUCT(--ISNUMBER(SEARCH(covid,C123)))&gt;0)</f>
        <v>0</v>
      </c>
      <c r="O123" s="14" cm="1">
        <f t="array" ref="O123">INT(SUMPRODUCT(--ISNUMBER(SEARCH(violent,C123)))&gt;0)</f>
        <v>0</v>
      </c>
      <c r="P123" s="14" cm="1">
        <f t="array" ref="P123">INT(SUMPRODUCT(--ISNUMBER(SEARCH(foreign,C123)))&gt;0)</f>
        <v>0</v>
      </c>
      <c r="Q123" s="14" cm="1">
        <f t="array" ref="Q123">INT(SUMPRODUCT(--ISNUMBER(SEARCH(gun,C123)))&gt;0)</f>
        <v>0</v>
      </c>
      <c r="R123" s="14" cm="1">
        <f t="array" ref="R123">INT(SUMPRODUCT(--ISNUMBER(SEARCH(race,C123)))&gt;0)</f>
        <v>0</v>
      </c>
      <c r="S123" s="14" cm="1">
        <f t="array" ref="S123">INT(SUMPRODUCT(--ISNUMBER(SEARCH(immigration,C123)))&gt;0)</f>
        <v>0</v>
      </c>
      <c r="T123" s="14" cm="1">
        <f t="array" ref="T123">INT(SUMPRODUCT(--ISNUMBER(SEARCH(econineq,C124)))&gt;0)</f>
        <v>0</v>
      </c>
      <c r="U123" s="14" cm="1">
        <f t="array" ref="U123">INT(SUMPRODUCT(--ISNUMBER(SEARCH(climate,C123)))&gt;0)</f>
        <v>0</v>
      </c>
      <c r="V123" s="14" cm="1">
        <f t="array" ref="V123">INT(SUMPRODUCT(--ISNUMBER(SEARCH(abortion,C123)))&gt;0)</f>
        <v>0</v>
      </c>
      <c r="W123" s="14" cm="1">
        <f t="array" ref="W123">INT(SUMPRODUCT(--ISNUMBER(SEARCH(trump,C123)))&gt;0)</f>
        <v>0</v>
      </c>
      <c r="X123" s="14" cm="1">
        <f t="array" ref="X123">INT(SUMPRODUCT(--ISNUMBER(SEARCH(voting,C123)))&gt;0)</f>
        <v>0</v>
      </c>
      <c r="Y123" s="14" cm="1">
        <f t="array" ref="Y123">INT(SUMPRODUCT(--ISNUMBER(SEARCH(republicantrigger,C123)))&gt;0)</f>
        <v>0</v>
      </c>
      <c r="Z123" s="14" cm="1">
        <f t="array" ref="Z123">INT(SUMPRODUCT(--ISNUMBER(SEARCH(bipartisan,C123)))&gt;0)</f>
        <v>0</v>
      </c>
      <c r="AA123" s="14">
        <f t="shared" si="1"/>
        <v>0</v>
      </c>
      <c r="AB123" s="14"/>
      <c r="AC123" s="30">
        <v>0</v>
      </c>
      <c r="AD123" s="37">
        <v>1</v>
      </c>
    </row>
    <row r="124" spans="1:30" x14ac:dyDescent="0.25">
      <c r="A124" s="36">
        <v>1331</v>
      </c>
      <c r="B124" s="14" t="s">
        <v>2689</v>
      </c>
      <c r="C124" s="14" t="s">
        <v>2690</v>
      </c>
      <c r="D124" s="17">
        <v>44130</v>
      </c>
      <c r="E124" s="14" t="s">
        <v>30</v>
      </c>
      <c r="F124" s="14">
        <v>28</v>
      </c>
      <c r="G124" s="14">
        <v>4</v>
      </c>
      <c r="H124" s="14">
        <v>7</v>
      </c>
      <c r="I124" s="14">
        <v>4</v>
      </c>
      <c r="J124" s="14" t="s">
        <v>31</v>
      </c>
      <c r="K124" s="14" cm="1">
        <f t="array" ref="K124">INT(SUMPRODUCT(--ISNUMBER(SEARCH(economy,C124)))&gt;0)</f>
        <v>0</v>
      </c>
      <c r="L124" s="14" cm="1">
        <f t="array" ref="L124">INT(SUMPRODUCT(--ISNUMBER(SEARCH(healthcare,C124)))&gt;0)</f>
        <v>0</v>
      </c>
      <c r="M124" s="14" cm="1">
        <f t="array" ref="M124">INT(SUMPRODUCT(--ISNUMBER(SEARCH(supreme,C124)))&gt;0)</f>
        <v>0</v>
      </c>
      <c r="N124" s="14" cm="1">
        <f t="array" ref="N124">INT(SUMPRODUCT(--ISNUMBER(SEARCH(covid,C124)))&gt;0)</f>
        <v>0</v>
      </c>
      <c r="O124" s="14" cm="1">
        <f t="array" ref="O124">INT(SUMPRODUCT(--ISNUMBER(SEARCH(violent,C124)))&gt;0)</f>
        <v>0</v>
      </c>
      <c r="P124" s="14" cm="1">
        <f t="array" ref="P124">INT(SUMPRODUCT(--ISNUMBER(SEARCH(foreign,C124)))&gt;0)</f>
        <v>0</v>
      </c>
      <c r="Q124" s="14" cm="1">
        <f t="array" ref="Q124">INT(SUMPRODUCT(--ISNUMBER(SEARCH(gun,C124)))&gt;0)</f>
        <v>0</v>
      </c>
      <c r="R124" s="14" cm="1">
        <f t="array" ref="R124">INT(SUMPRODUCT(--ISNUMBER(SEARCH(race,C124)))&gt;0)</f>
        <v>0</v>
      </c>
      <c r="S124" s="14" cm="1">
        <f t="array" ref="S124">INT(SUMPRODUCT(--ISNUMBER(SEARCH(immigration,C124)))&gt;0)</f>
        <v>0</v>
      </c>
      <c r="T124" s="14" cm="1">
        <f t="array" ref="T124">INT(SUMPRODUCT(--ISNUMBER(SEARCH(econineq,C125)))&gt;0)</f>
        <v>0</v>
      </c>
      <c r="U124" s="14" cm="1">
        <f t="array" ref="U124">INT(SUMPRODUCT(--ISNUMBER(SEARCH(climate,C124)))&gt;0)</f>
        <v>0</v>
      </c>
      <c r="V124" s="14" cm="1">
        <f t="array" ref="V124">INT(SUMPRODUCT(--ISNUMBER(SEARCH(abortion,C124)))&gt;0)</f>
        <v>0</v>
      </c>
      <c r="W124" s="14" cm="1">
        <f t="array" ref="W124">INT(SUMPRODUCT(--ISNUMBER(SEARCH(trump,C124)))&gt;0)</f>
        <v>0</v>
      </c>
      <c r="X124" s="14" cm="1">
        <f t="array" ref="X124">INT(SUMPRODUCT(--ISNUMBER(SEARCH(voting,C124)))&gt;0)</f>
        <v>0</v>
      </c>
      <c r="Y124" s="14" cm="1">
        <f t="array" ref="Y124">INT(SUMPRODUCT(--ISNUMBER(SEARCH(republicantrigger,C124)))&gt;0)</f>
        <v>1</v>
      </c>
      <c r="Z124" s="14" cm="1">
        <f t="array" ref="Z124">INT(SUMPRODUCT(--ISNUMBER(SEARCH(bipartisan,C124)))&gt;0)</f>
        <v>0</v>
      </c>
      <c r="AA124" s="14">
        <f t="shared" si="1"/>
        <v>0</v>
      </c>
      <c r="AB124" s="14"/>
      <c r="AC124" s="30">
        <v>1</v>
      </c>
      <c r="AD124" s="37">
        <v>0</v>
      </c>
    </row>
    <row r="125" spans="1:30" x14ac:dyDescent="0.25">
      <c r="A125" s="36">
        <v>1332</v>
      </c>
      <c r="B125" s="14" t="s">
        <v>2691</v>
      </c>
      <c r="C125" s="14" t="s">
        <v>2692</v>
      </c>
      <c r="D125" s="17">
        <v>44130</v>
      </c>
      <c r="E125" s="14" t="s">
        <v>70</v>
      </c>
      <c r="F125" s="14">
        <v>22</v>
      </c>
      <c r="G125" s="14">
        <v>4</v>
      </c>
      <c r="H125" s="14">
        <v>7</v>
      </c>
      <c r="I125" s="14">
        <v>4</v>
      </c>
      <c r="J125" s="14" t="s">
        <v>31</v>
      </c>
      <c r="K125" s="14" cm="1">
        <f t="array" ref="K125">INT(SUMPRODUCT(--ISNUMBER(SEARCH(economy,C125)))&gt;0)</f>
        <v>0</v>
      </c>
      <c r="L125" s="14" cm="1">
        <f t="array" ref="L125">INT(SUMPRODUCT(--ISNUMBER(SEARCH(healthcare,C125)))&gt;0)</f>
        <v>0</v>
      </c>
      <c r="M125" s="14" cm="1">
        <f t="array" ref="M125">INT(SUMPRODUCT(--ISNUMBER(SEARCH(supreme,C125)))&gt;0)</f>
        <v>0</v>
      </c>
      <c r="N125" s="14" cm="1">
        <f t="array" ref="N125">INT(SUMPRODUCT(--ISNUMBER(SEARCH(covid,C125)))&gt;0)</f>
        <v>0</v>
      </c>
      <c r="O125" s="14" cm="1">
        <f t="array" ref="O125">INT(SUMPRODUCT(--ISNUMBER(SEARCH(violent,C125)))&gt;0)</f>
        <v>0</v>
      </c>
      <c r="P125" s="14" cm="1">
        <f t="array" ref="P125">INT(SUMPRODUCT(--ISNUMBER(SEARCH(foreign,C125)))&gt;0)</f>
        <v>0</v>
      </c>
      <c r="Q125" s="14" cm="1">
        <f t="array" ref="Q125">INT(SUMPRODUCT(--ISNUMBER(SEARCH(gun,C125)))&gt;0)</f>
        <v>0</v>
      </c>
      <c r="R125" s="14" cm="1">
        <f t="array" ref="R125">INT(SUMPRODUCT(--ISNUMBER(SEARCH(race,C125)))&gt;0)</f>
        <v>0</v>
      </c>
      <c r="S125" s="14" cm="1">
        <f t="array" ref="S125">INT(SUMPRODUCT(--ISNUMBER(SEARCH(immigration,C125)))&gt;0)</f>
        <v>0</v>
      </c>
      <c r="T125" s="14" cm="1">
        <f t="array" ref="T125">INT(SUMPRODUCT(--ISNUMBER(SEARCH(econineq,C126)))&gt;0)</f>
        <v>0</v>
      </c>
      <c r="U125" s="14" cm="1">
        <f t="array" ref="U125">INT(SUMPRODUCT(--ISNUMBER(SEARCH(climate,C125)))&gt;0)</f>
        <v>0</v>
      </c>
      <c r="V125" s="14" cm="1">
        <f t="array" ref="V125">INT(SUMPRODUCT(--ISNUMBER(SEARCH(abortion,C125)))&gt;0)</f>
        <v>0</v>
      </c>
      <c r="W125" s="14" cm="1">
        <f t="array" ref="W125">INT(SUMPRODUCT(--ISNUMBER(SEARCH(trump,C125)))&gt;0)</f>
        <v>0</v>
      </c>
      <c r="X125" s="14" cm="1">
        <f t="array" ref="X125">INT(SUMPRODUCT(--ISNUMBER(SEARCH(voting,C125)))&gt;0)</f>
        <v>0</v>
      </c>
      <c r="Y125" s="14" cm="1">
        <f t="array" ref="Y125">INT(SUMPRODUCT(--ISNUMBER(SEARCH(republicantrigger,C125)))&gt;0)</f>
        <v>0</v>
      </c>
      <c r="Z125" s="14" cm="1">
        <f t="array" ref="Z125">INT(SUMPRODUCT(--ISNUMBER(SEARCH(bipartisan,C125)))&gt;0)</f>
        <v>0</v>
      </c>
      <c r="AA125" s="14">
        <f t="shared" si="1"/>
        <v>1</v>
      </c>
      <c r="AB125" s="14"/>
      <c r="AC125" s="30">
        <v>0</v>
      </c>
      <c r="AD125" s="37">
        <v>0</v>
      </c>
    </row>
    <row r="126" spans="1:30" x14ac:dyDescent="0.25">
      <c r="A126" s="36">
        <v>1333</v>
      </c>
      <c r="B126" s="14" t="s">
        <v>2693</v>
      </c>
      <c r="C126" s="14" t="s">
        <v>2694</v>
      </c>
      <c r="D126" s="17">
        <v>44130</v>
      </c>
      <c r="E126" s="14" t="s">
        <v>70</v>
      </c>
      <c r="F126" s="14">
        <v>25</v>
      </c>
      <c r="G126" s="14">
        <v>4</v>
      </c>
      <c r="H126" s="14">
        <v>7</v>
      </c>
      <c r="I126" s="14">
        <v>4</v>
      </c>
      <c r="J126" s="14" t="s">
        <v>31</v>
      </c>
      <c r="K126" s="14" cm="1">
        <f t="array" ref="K126">INT(SUMPRODUCT(--ISNUMBER(SEARCH(economy,C126)))&gt;0)</f>
        <v>0</v>
      </c>
      <c r="L126" s="14" cm="1">
        <f t="array" ref="L126">INT(SUMPRODUCT(--ISNUMBER(SEARCH(healthcare,C126)))&gt;0)</f>
        <v>0</v>
      </c>
      <c r="M126" s="14" cm="1">
        <f t="array" ref="M126">INT(SUMPRODUCT(--ISNUMBER(SEARCH(supreme,C126)))&gt;0)</f>
        <v>0</v>
      </c>
      <c r="N126" s="14" cm="1">
        <f t="array" ref="N126">INT(SUMPRODUCT(--ISNUMBER(SEARCH(covid,C126)))&gt;0)</f>
        <v>0</v>
      </c>
      <c r="O126" s="14" cm="1">
        <f t="array" ref="O126">INT(SUMPRODUCT(--ISNUMBER(SEARCH(violent,C126)))&gt;0)</f>
        <v>0</v>
      </c>
      <c r="P126" s="14" cm="1">
        <f t="array" ref="P126">INT(SUMPRODUCT(--ISNUMBER(SEARCH(foreign,C126)))&gt;0)</f>
        <v>0</v>
      </c>
      <c r="Q126" s="14" cm="1">
        <f t="array" ref="Q126">INT(SUMPRODUCT(--ISNUMBER(SEARCH(gun,C126)))&gt;0)</f>
        <v>0</v>
      </c>
      <c r="R126" s="14" cm="1">
        <f t="array" ref="R126">INT(SUMPRODUCT(--ISNUMBER(SEARCH(race,C126)))&gt;0)</f>
        <v>0</v>
      </c>
      <c r="S126" s="14" cm="1">
        <f t="array" ref="S126">INT(SUMPRODUCT(--ISNUMBER(SEARCH(immigration,C126)))&gt;0)</f>
        <v>0</v>
      </c>
      <c r="T126" s="14" cm="1">
        <f t="array" ref="T126">INT(SUMPRODUCT(--ISNUMBER(SEARCH(econineq,C127)))&gt;0)</f>
        <v>0</v>
      </c>
      <c r="U126" s="14" cm="1">
        <f t="array" ref="U126">INT(SUMPRODUCT(--ISNUMBER(SEARCH(climate,C126)))&gt;0)</f>
        <v>0</v>
      </c>
      <c r="V126" s="14" cm="1">
        <f t="array" ref="V126">INT(SUMPRODUCT(--ISNUMBER(SEARCH(abortion,C126)))&gt;0)</f>
        <v>0</v>
      </c>
      <c r="W126" s="14" cm="1">
        <f t="array" ref="W126">INT(SUMPRODUCT(--ISNUMBER(SEARCH(trump,C126)))&gt;0)</f>
        <v>0</v>
      </c>
      <c r="X126" s="14" cm="1">
        <f t="array" ref="X126">INT(SUMPRODUCT(--ISNUMBER(SEARCH(voting,C126)))&gt;0)</f>
        <v>0</v>
      </c>
      <c r="Y126" s="14" cm="1">
        <f t="array" ref="Y126">INT(SUMPRODUCT(--ISNUMBER(SEARCH(republicantrigger,C126)))&gt;0)</f>
        <v>0</v>
      </c>
      <c r="Z126" s="14" cm="1">
        <f t="array" ref="Z126">INT(SUMPRODUCT(--ISNUMBER(SEARCH(bipartisan,C126)))&gt;0)</f>
        <v>0</v>
      </c>
      <c r="AA126" s="14">
        <f t="shared" si="1"/>
        <v>1</v>
      </c>
      <c r="AB126" s="14"/>
      <c r="AC126" s="30">
        <v>0</v>
      </c>
      <c r="AD126" s="37">
        <v>1</v>
      </c>
    </row>
    <row r="127" spans="1:30" x14ac:dyDescent="0.25">
      <c r="A127" s="36">
        <v>1334</v>
      </c>
      <c r="B127" s="14" t="s">
        <v>2695</v>
      </c>
      <c r="C127" s="14" t="s">
        <v>2696</v>
      </c>
      <c r="D127" s="17">
        <v>44129</v>
      </c>
      <c r="E127" s="14" t="s">
        <v>30</v>
      </c>
      <c r="F127" s="14">
        <v>40</v>
      </c>
      <c r="G127" s="14">
        <v>8</v>
      </c>
      <c r="H127" s="14">
        <v>7</v>
      </c>
      <c r="I127" s="14">
        <v>4</v>
      </c>
      <c r="J127" s="14" t="s">
        <v>31</v>
      </c>
      <c r="K127" s="14" cm="1">
        <f t="array" ref="K127">INT(SUMPRODUCT(--ISNUMBER(SEARCH(economy,C127)))&gt;0)</f>
        <v>0</v>
      </c>
      <c r="L127" s="14" cm="1">
        <f t="array" ref="L127">INT(SUMPRODUCT(--ISNUMBER(SEARCH(healthcare,C127)))&gt;0)</f>
        <v>0</v>
      </c>
      <c r="M127" s="14" cm="1">
        <f t="array" ref="M127">INT(SUMPRODUCT(--ISNUMBER(SEARCH(supreme,C127)))&gt;0)</f>
        <v>0</v>
      </c>
      <c r="N127" s="14" cm="1">
        <f t="array" ref="N127">INT(SUMPRODUCT(--ISNUMBER(SEARCH(covid,C127)))&gt;0)</f>
        <v>0</v>
      </c>
      <c r="O127" s="14" cm="1">
        <f t="array" ref="O127">INT(SUMPRODUCT(--ISNUMBER(SEARCH(violent,C127)))&gt;0)</f>
        <v>0</v>
      </c>
      <c r="P127" s="14" cm="1">
        <f t="array" ref="P127">INT(SUMPRODUCT(--ISNUMBER(SEARCH(foreign,C127)))&gt;0)</f>
        <v>0</v>
      </c>
      <c r="Q127" s="14" cm="1">
        <f t="array" ref="Q127">INT(SUMPRODUCT(--ISNUMBER(SEARCH(gun,C127)))&gt;0)</f>
        <v>0</v>
      </c>
      <c r="R127" s="14" cm="1">
        <f t="array" ref="R127">INT(SUMPRODUCT(--ISNUMBER(SEARCH(race,C127)))&gt;0)</f>
        <v>0</v>
      </c>
      <c r="S127" s="14" cm="1">
        <f t="array" ref="S127">INT(SUMPRODUCT(--ISNUMBER(SEARCH(immigration,C127)))&gt;0)</f>
        <v>1</v>
      </c>
      <c r="T127" s="14" cm="1">
        <f t="array" ref="T127">INT(SUMPRODUCT(--ISNUMBER(SEARCH(econineq,C128)))&gt;0)</f>
        <v>0</v>
      </c>
      <c r="U127" s="14" cm="1">
        <f t="array" ref="U127">INT(SUMPRODUCT(--ISNUMBER(SEARCH(climate,C127)))&gt;0)</f>
        <v>0</v>
      </c>
      <c r="V127" s="14" cm="1">
        <f t="array" ref="V127">INT(SUMPRODUCT(--ISNUMBER(SEARCH(abortion,C127)))&gt;0)</f>
        <v>0</v>
      </c>
      <c r="W127" s="14" cm="1">
        <f t="array" ref="W127">INT(SUMPRODUCT(--ISNUMBER(SEARCH(trump,C127)))&gt;0)</f>
        <v>0</v>
      </c>
      <c r="X127" s="14" cm="1">
        <f t="array" ref="X127">INT(SUMPRODUCT(--ISNUMBER(SEARCH(voting,C127)))&gt;0)</f>
        <v>0</v>
      </c>
      <c r="Y127" s="14" cm="1">
        <f t="array" ref="Y127">INT(SUMPRODUCT(--ISNUMBER(SEARCH(republicantrigger,C127)))&gt;0)</f>
        <v>0</v>
      </c>
      <c r="Z127" s="14" cm="1">
        <f t="array" ref="Z127">INT(SUMPRODUCT(--ISNUMBER(SEARCH(bipartisan,C127)))&gt;0)</f>
        <v>0</v>
      </c>
      <c r="AA127" s="14">
        <f t="shared" si="1"/>
        <v>0</v>
      </c>
      <c r="AB127" s="14"/>
      <c r="AC127" s="30">
        <v>1</v>
      </c>
      <c r="AD127" s="37">
        <v>0</v>
      </c>
    </row>
    <row r="128" spans="1:30" x14ac:dyDescent="0.25">
      <c r="A128" s="36">
        <v>1335</v>
      </c>
      <c r="B128" s="14" t="s">
        <v>2697</v>
      </c>
      <c r="C128" s="14" t="s">
        <v>2698</v>
      </c>
      <c r="D128" s="17">
        <v>44129</v>
      </c>
      <c r="E128" s="14" t="s">
        <v>70</v>
      </c>
      <c r="F128" s="14">
        <v>17</v>
      </c>
      <c r="G128" s="14">
        <v>4</v>
      </c>
      <c r="H128" s="14">
        <v>7</v>
      </c>
      <c r="I128" s="14">
        <v>4</v>
      </c>
      <c r="J128" s="14" t="s">
        <v>31</v>
      </c>
      <c r="K128" s="14" cm="1">
        <f t="array" ref="K128">INT(SUMPRODUCT(--ISNUMBER(SEARCH(economy,C128)))&gt;0)</f>
        <v>0</v>
      </c>
      <c r="L128" s="14" cm="1">
        <f t="array" ref="L128">INT(SUMPRODUCT(--ISNUMBER(SEARCH(healthcare,C128)))&gt;0)</f>
        <v>0</v>
      </c>
      <c r="M128" s="14" cm="1">
        <f t="array" ref="M128">INT(SUMPRODUCT(--ISNUMBER(SEARCH(supreme,C128)))&gt;0)</f>
        <v>0</v>
      </c>
      <c r="N128" s="14" cm="1">
        <f t="array" ref="N128">INT(SUMPRODUCT(--ISNUMBER(SEARCH(covid,C128)))&gt;0)</f>
        <v>0</v>
      </c>
      <c r="O128" s="14" cm="1">
        <f t="array" ref="O128">INT(SUMPRODUCT(--ISNUMBER(SEARCH(violent,C128)))&gt;0)</f>
        <v>0</v>
      </c>
      <c r="P128" s="14" cm="1">
        <f t="array" ref="P128">INT(SUMPRODUCT(--ISNUMBER(SEARCH(foreign,C128)))&gt;0)</f>
        <v>0</v>
      </c>
      <c r="Q128" s="14" cm="1">
        <f t="array" ref="Q128">INT(SUMPRODUCT(--ISNUMBER(SEARCH(gun,C128)))&gt;0)</f>
        <v>0</v>
      </c>
      <c r="R128" s="14" cm="1">
        <f t="array" ref="R128">INT(SUMPRODUCT(--ISNUMBER(SEARCH(race,C128)))&gt;0)</f>
        <v>0</v>
      </c>
      <c r="S128" s="14" cm="1">
        <f t="array" ref="S128">INT(SUMPRODUCT(--ISNUMBER(SEARCH(immigration,C128)))&gt;0)</f>
        <v>0</v>
      </c>
      <c r="T128" s="14" cm="1">
        <f t="array" ref="T128">INT(SUMPRODUCT(--ISNUMBER(SEARCH(econineq,C129)))&gt;0)</f>
        <v>0</v>
      </c>
      <c r="U128" s="14" cm="1">
        <f t="array" ref="U128">INT(SUMPRODUCT(--ISNUMBER(SEARCH(climate,C128)))&gt;0)</f>
        <v>0</v>
      </c>
      <c r="V128" s="14" cm="1">
        <f t="array" ref="V128">INT(SUMPRODUCT(--ISNUMBER(SEARCH(abortion,C128)))&gt;0)</f>
        <v>0</v>
      </c>
      <c r="W128" s="14" cm="1">
        <f t="array" ref="W128">INT(SUMPRODUCT(--ISNUMBER(SEARCH(trump,C128)))&gt;0)</f>
        <v>0</v>
      </c>
      <c r="X128" s="14" cm="1">
        <f t="array" ref="X128">INT(SUMPRODUCT(--ISNUMBER(SEARCH(voting,C128)))&gt;0)</f>
        <v>0</v>
      </c>
      <c r="Y128" s="14" cm="1">
        <f t="array" ref="Y128">INT(SUMPRODUCT(--ISNUMBER(SEARCH(republicantrigger,C128)))&gt;0)</f>
        <v>1</v>
      </c>
      <c r="Z128" s="14" cm="1">
        <f t="array" ref="Z128">INT(SUMPRODUCT(--ISNUMBER(SEARCH(bipartisan,C128)))&gt;0)</f>
        <v>0</v>
      </c>
      <c r="AA128" s="14">
        <f t="shared" si="1"/>
        <v>0</v>
      </c>
      <c r="AB128" s="14"/>
      <c r="AC128" s="30">
        <v>0</v>
      </c>
      <c r="AD128" s="37">
        <v>0</v>
      </c>
    </row>
    <row r="129" spans="1:30" x14ac:dyDescent="0.25">
      <c r="A129" s="36">
        <v>1336</v>
      </c>
      <c r="B129" s="14" t="s">
        <v>2699</v>
      </c>
      <c r="C129" s="14" t="s">
        <v>2700</v>
      </c>
      <c r="D129" s="17">
        <v>44129</v>
      </c>
      <c r="E129" s="14" t="s">
        <v>30</v>
      </c>
      <c r="F129" s="14">
        <v>26</v>
      </c>
      <c r="G129" s="14">
        <v>5</v>
      </c>
      <c r="H129" s="14">
        <v>7</v>
      </c>
      <c r="I129" s="14">
        <v>4</v>
      </c>
      <c r="J129" s="14" t="s">
        <v>31</v>
      </c>
      <c r="K129" s="14" cm="1">
        <f t="array" ref="K129">INT(SUMPRODUCT(--ISNUMBER(SEARCH(economy,C129)))&gt;0)</f>
        <v>0</v>
      </c>
      <c r="L129" s="14" cm="1">
        <f t="array" ref="L129">INT(SUMPRODUCT(--ISNUMBER(SEARCH(healthcare,C129)))&gt;0)</f>
        <v>0</v>
      </c>
      <c r="M129" s="14" cm="1">
        <f t="array" ref="M129">INT(SUMPRODUCT(--ISNUMBER(SEARCH(supreme,C129)))&gt;0)</f>
        <v>0</v>
      </c>
      <c r="N129" s="14" cm="1">
        <f t="array" ref="N129">INT(SUMPRODUCT(--ISNUMBER(SEARCH(covid,C129)))&gt;0)</f>
        <v>0</v>
      </c>
      <c r="O129" s="14" cm="1">
        <f t="array" ref="O129">INT(SUMPRODUCT(--ISNUMBER(SEARCH(violent,C129)))&gt;0)</f>
        <v>0</v>
      </c>
      <c r="P129" s="14" cm="1">
        <f t="array" ref="P129">INT(SUMPRODUCT(--ISNUMBER(SEARCH(foreign,C129)))&gt;0)</f>
        <v>0</v>
      </c>
      <c r="Q129" s="14" cm="1">
        <f t="array" ref="Q129">INT(SUMPRODUCT(--ISNUMBER(SEARCH(gun,C129)))&gt;0)</f>
        <v>0</v>
      </c>
      <c r="R129" s="14" cm="1">
        <f t="array" ref="R129">INT(SUMPRODUCT(--ISNUMBER(SEARCH(race,C129)))&gt;0)</f>
        <v>0</v>
      </c>
      <c r="S129" s="14" cm="1">
        <f t="array" ref="S129">INT(SUMPRODUCT(--ISNUMBER(SEARCH(immigration,C129)))&gt;0)</f>
        <v>0</v>
      </c>
      <c r="T129" s="14" cm="1">
        <f t="array" ref="T129">INT(SUMPRODUCT(--ISNUMBER(SEARCH(econineq,C130)))&gt;0)</f>
        <v>0</v>
      </c>
      <c r="U129" s="14" cm="1">
        <f t="array" ref="U129">INT(SUMPRODUCT(--ISNUMBER(SEARCH(climate,C129)))&gt;0)</f>
        <v>0</v>
      </c>
      <c r="V129" s="14" cm="1">
        <f t="array" ref="V129">INT(SUMPRODUCT(--ISNUMBER(SEARCH(abortion,C129)))&gt;0)</f>
        <v>0</v>
      </c>
      <c r="W129" s="14" cm="1">
        <f t="array" ref="W129">INT(SUMPRODUCT(--ISNUMBER(SEARCH(trump,C129)))&gt;0)</f>
        <v>0</v>
      </c>
      <c r="X129" s="14" cm="1">
        <f t="array" ref="X129">INT(SUMPRODUCT(--ISNUMBER(SEARCH(voting,C129)))&gt;0)</f>
        <v>0</v>
      </c>
      <c r="Y129" s="14" cm="1">
        <f t="array" ref="Y129">INT(SUMPRODUCT(--ISNUMBER(SEARCH(republicantrigger,C129)))&gt;0)</f>
        <v>1</v>
      </c>
      <c r="Z129" s="14" cm="1">
        <f t="array" ref="Z129">INT(SUMPRODUCT(--ISNUMBER(SEARCH(bipartisan,C129)))&gt;0)</f>
        <v>0</v>
      </c>
      <c r="AA129" s="14">
        <f t="shared" si="1"/>
        <v>0</v>
      </c>
      <c r="AB129" s="14"/>
      <c r="AC129" s="30">
        <v>1</v>
      </c>
      <c r="AD129" s="37">
        <v>0</v>
      </c>
    </row>
    <row r="130" spans="1:30" x14ac:dyDescent="0.25">
      <c r="A130" s="36">
        <v>1337</v>
      </c>
      <c r="B130" s="14" t="s">
        <v>2701</v>
      </c>
      <c r="C130" s="14" t="s">
        <v>2702</v>
      </c>
      <c r="D130" s="17">
        <v>44129</v>
      </c>
      <c r="E130" s="14" t="s">
        <v>30</v>
      </c>
      <c r="F130" s="14">
        <v>60</v>
      </c>
      <c r="G130" s="14">
        <v>12</v>
      </c>
      <c r="H130" s="14">
        <v>7</v>
      </c>
      <c r="I130" s="14">
        <v>4</v>
      </c>
      <c r="J130" s="14" t="s">
        <v>31</v>
      </c>
      <c r="K130" s="14" cm="1">
        <f t="array" ref="K130">INT(SUMPRODUCT(--ISNUMBER(SEARCH(economy,C130)))&gt;0)</f>
        <v>0</v>
      </c>
      <c r="L130" s="14" cm="1">
        <f t="array" ref="L130">INT(SUMPRODUCT(--ISNUMBER(SEARCH(healthcare,C130)))&gt;0)</f>
        <v>0</v>
      </c>
      <c r="M130" s="14" cm="1">
        <f t="array" ref="M130">INT(SUMPRODUCT(--ISNUMBER(SEARCH(supreme,C130)))&gt;0)</f>
        <v>0</v>
      </c>
      <c r="N130" s="14" cm="1">
        <f t="array" ref="N130">INT(SUMPRODUCT(--ISNUMBER(SEARCH(covid,C130)))&gt;0)</f>
        <v>0</v>
      </c>
      <c r="O130" s="14" cm="1">
        <f t="array" ref="O130">INT(SUMPRODUCT(--ISNUMBER(SEARCH(violent,C130)))&gt;0)</f>
        <v>0</v>
      </c>
      <c r="P130" s="14" cm="1">
        <f t="array" ref="P130">INT(SUMPRODUCT(--ISNUMBER(SEARCH(foreign,C130)))&gt;0)</f>
        <v>0</v>
      </c>
      <c r="Q130" s="14" cm="1">
        <f t="array" ref="Q130">INT(SUMPRODUCT(--ISNUMBER(SEARCH(gun,C130)))&gt;0)</f>
        <v>0</v>
      </c>
      <c r="R130" s="14" cm="1">
        <f t="array" ref="R130">INT(SUMPRODUCT(--ISNUMBER(SEARCH(race,C130)))&gt;0)</f>
        <v>0</v>
      </c>
      <c r="S130" s="14" cm="1">
        <f t="array" ref="S130">INT(SUMPRODUCT(--ISNUMBER(SEARCH(immigration,C130)))&gt;0)</f>
        <v>0</v>
      </c>
      <c r="T130" s="14" cm="1">
        <f t="array" ref="T130">INT(SUMPRODUCT(--ISNUMBER(SEARCH(econineq,C131)))&gt;0)</f>
        <v>0</v>
      </c>
      <c r="U130" s="14" cm="1">
        <f t="array" ref="U130">INT(SUMPRODUCT(--ISNUMBER(SEARCH(climate,C130)))&gt;0)</f>
        <v>0</v>
      </c>
      <c r="V130" s="14" cm="1">
        <f t="array" ref="V130">INT(SUMPRODUCT(--ISNUMBER(SEARCH(abortion,C130)))&gt;0)</f>
        <v>0</v>
      </c>
      <c r="W130" s="14" cm="1">
        <f t="array" ref="W130">INT(SUMPRODUCT(--ISNUMBER(SEARCH(trump,C130)))&gt;0)</f>
        <v>0</v>
      </c>
      <c r="X130" s="14" cm="1">
        <f t="array" ref="X130">INT(SUMPRODUCT(--ISNUMBER(SEARCH(voting,C130)))&gt;0)</f>
        <v>0</v>
      </c>
      <c r="Y130" s="14" cm="1">
        <f t="array" ref="Y130">INT(SUMPRODUCT(--ISNUMBER(SEARCH(republicantrigger,C130)))&gt;0)</f>
        <v>0</v>
      </c>
      <c r="Z130" s="14" cm="1">
        <f t="array" ref="Z130">INT(SUMPRODUCT(--ISNUMBER(SEARCH(bipartisan,C130)))&gt;0)</f>
        <v>0</v>
      </c>
      <c r="AA130" s="14">
        <f t="shared" si="1"/>
        <v>1</v>
      </c>
      <c r="AB130" s="14"/>
      <c r="AC130" s="30">
        <v>1</v>
      </c>
      <c r="AD130" s="37">
        <v>0</v>
      </c>
    </row>
    <row r="131" spans="1:30" x14ac:dyDescent="0.25">
      <c r="A131" s="36">
        <v>1338</v>
      </c>
      <c r="B131" s="14" t="s">
        <v>2703</v>
      </c>
      <c r="C131" s="14" t="s">
        <v>2704</v>
      </c>
      <c r="D131" s="17">
        <v>44129</v>
      </c>
      <c r="E131" s="14" t="s">
        <v>70</v>
      </c>
      <c r="F131" s="14">
        <v>19</v>
      </c>
      <c r="G131" s="14">
        <v>5</v>
      </c>
      <c r="H131" s="14">
        <v>7</v>
      </c>
      <c r="I131" s="14">
        <v>4</v>
      </c>
      <c r="J131" s="14" t="s">
        <v>31</v>
      </c>
      <c r="K131" s="14" cm="1">
        <f t="array" ref="K131">INT(SUMPRODUCT(--ISNUMBER(SEARCH(economy,C131)))&gt;0)</f>
        <v>1</v>
      </c>
      <c r="L131" s="14" cm="1">
        <f t="array" ref="L131">INT(SUMPRODUCT(--ISNUMBER(SEARCH(healthcare,C131)))&gt;0)</f>
        <v>0</v>
      </c>
      <c r="M131" s="14" cm="1">
        <f t="array" ref="M131">INT(SUMPRODUCT(--ISNUMBER(SEARCH(supreme,C131)))&gt;0)</f>
        <v>0</v>
      </c>
      <c r="N131" s="14" cm="1">
        <f t="array" ref="N131">INT(SUMPRODUCT(--ISNUMBER(SEARCH(covid,C131)))&gt;0)</f>
        <v>0</v>
      </c>
      <c r="O131" s="14" cm="1">
        <f t="array" ref="O131">INT(SUMPRODUCT(--ISNUMBER(SEARCH(violent,C131)))&gt;0)</f>
        <v>0</v>
      </c>
      <c r="P131" s="14" cm="1">
        <f t="array" ref="P131">INT(SUMPRODUCT(--ISNUMBER(SEARCH(foreign,C131)))&gt;0)</f>
        <v>0</v>
      </c>
      <c r="Q131" s="14" cm="1">
        <f t="array" ref="Q131">INT(SUMPRODUCT(--ISNUMBER(SEARCH(gun,C131)))&gt;0)</f>
        <v>0</v>
      </c>
      <c r="R131" s="14" cm="1">
        <f t="array" ref="R131">INT(SUMPRODUCT(--ISNUMBER(SEARCH(race,C131)))&gt;0)</f>
        <v>0</v>
      </c>
      <c r="S131" s="14" cm="1">
        <f t="array" ref="S131">INT(SUMPRODUCT(--ISNUMBER(SEARCH(immigration,C131)))&gt;0)</f>
        <v>0</v>
      </c>
      <c r="T131" s="14" cm="1">
        <f t="array" ref="T131">INT(SUMPRODUCT(--ISNUMBER(SEARCH(econineq,C132)))&gt;0)</f>
        <v>0</v>
      </c>
      <c r="U131" s="14" cm="1">
        <f t="array" ref="U131">INT(SUMPRODUCT(--ISNUMBER(SEARCH(climate,C131)))&gt;0)</f>
        <v>0</v>
      </c>
      <c r="V131" s="14" cm="1">
        <f t="array" ref="V131">INT(SUMPRODUCT(--ISNUMBER(SEARCH(abortion,C131)))&gt;0)</f>
        <v>0</v>
      </c>
      <c r="W131" s="14" cm="1">
        <f t="array" ref="W131">INT(SUMPRODUCT(--ISNUMBER(SEARCH(trump,C131)))&gt;0)</f>
        <v>1</v>
      </c>
      <c r="X131" s="14" cm="1">
        <f t="array" ref="X131">INT(SUMPRODUCT(--ISNUMBER(SEARCH(voting,C131)))&gt;0)</f>
        <v>0</v>
      </c>
      <c r="Y131" s="14" cm="1">
        <f t="array" ref="Y131">INT(SUMPRODUCT(--ISNUMBER(SEARCH(republicantrigger,C131)))&gt;0)</f>
        <v>1</v>
      </c>
      <c r="Z131" s="14" cm="1">
        <f t="array" ref="Z131">INT(SUMPRODUCT(--ISNUMBER(SEARCH(bipartisan,C131)))&gt;0)</f>
        <v>0</v>
      </c>
      <c r="AA131" s="14">
        <f t="shared" ref="AA131:AA194" si="2">INT(IF(COUNTIF(K131:Z131,1)=0,"1","0"))</f>
        <v>0</v>
      </c>
      <c r="AB131" s="14"/>
      <c r="AC131" s="30">
        <v>0</v>
      </c>
      <c r="AD131" s="37">
        <v>1</v>
      </c>
    </row>
    <row r="132" spans="1:30" x14ac:dyDescent="0.25">
      <c r="A132" s="36">
        <v>1339</v>
      </c>
      <c r="B132" s="14" t="s">
        <v>2705</v>
      </c>
      <c r="C132" s="14" t="s">
        <v>2706</v>
      </c>
      <c r="D132" s="17">
        <v>44129</v>
      </c>
      <c r="E132" s="14" t="s">
        <v>30</v>
      </c>
      <c r="F132" s="14">
        <v>64</v>
      </c>
      <c r="G132" s="14">
        <v>7</v>
      </c>
      <c r="H132" s="14">
        <v>7</v>
      </c>
      <c r="I132" s="14">
        <v>4</v>
      </c>
      <c r="J132" s="14" t="s">
        <v>31</v>
      </c>
      <c r="K132" s="14" cm="1">
        <f t="array" ref="K132">INT(SUMPRODUCT(--ISNUMBER(SEARCH(economy,C132)))&gt;0)</f>
        <v>0</v>
      </c>
      <c r="L132" s="14" cm="1">
        <f t="array" ref="L132">INT(SUMPRODUCT(--ISNUMBER(SEARCH(healthcare,C132)))&gt;0)</f>
        <v>0</v>
      </c>
      <c r="M132" s="14" cm="1">
        <f t="array" ref="M132">INT(SUMPRODUCT(--ISNUMBER(SEARCH(supreme,C132)))&gt;0)</f>
        <v>0</v>
      </c>
      <c r="N132" s="14" cm="1">
        <f t="array" ref="N132">INT(SUMPRODUCT(--ISNUMBER(SEARCH(covid,C132)))&gt;0)</f>
        <v>0</v>
      </c>
      <c r="O132" s="14" cm="1">
        <f t="array" ref="O132">INT(SUMPRODUCT(--ISNUMBER(SEARCH(violent,C132)))&gt;0)</f>
        <v>0</v>
      </c>
      <c r="P132" s="14" cm="1">
        <f t="array" ref="P132">INT(SUMPRODUCT(--ISNUMBER(SEARCH(foreign,C132)))&gt;0)</f>
        <v>0</v>
      </c>
      <c r="Q132" s="14" cm="1">
        <f t="array" ref="Q132">INT(SUMPRODUCT(--ISNUMBER(SEARCH(gun,C132)))&gt;0)</f>
        <v>0</v>
      </c>
      <c r="R132" s="14" cm="1">
        <f t="array" ref="R132">INT(SUMPRODUCT(--ISNUMBER(SEARCH(race,C132)))&gt;0)</f>
        <v>0</v>
      </c>
      <c r="S132" s="14" cm="1">
        <f t="array" ref="S132">INT(SUMPRODUCT(--ISNUMBER(SEARCH(immigration,C132)))&gt;0)</f>
        <v>0</v>
      </c>
      <c r="T132" s="14" cm="1">
        <f t="array" ref="T132">INT(SUMPRODUCT(--ISNUMBER(SEARCH(econineq,C133)))&gt;0)</f>
        <v>0</v>
      </c>
      <c r="U132" s="14" cm="1">
        <f t="array" ref="U132">INT(SUMPRODUCT(--ISNUMBER(SEARCH(climate,C132)))&gt;0)</f>
        <v>0</v>
      </c>
      <c r="V132" s="14" cm="1">
        <f t="array" ref="V132">INT(SUMPRODUCT(--ISNUMBER(SEARCH(abortion,C132)))&gt;0)</f>
        <v>0</v>
      </c>
      <c r="W132" s="14" cm="1">
        <f t="array" ref="W132">INT(SUMPRODUCT(--ISNUMBER(SEARCH(trump,C132)))&gt;0)</f>
        <v>0</v>
      </c>
      <c r="X132" s="14" cm="1">
        <f t="array" ref="X132">INT(SUMPRODUCT(--ISNUMBER(SEARCH(voting,C132)))&gt;0)</f>
        <v>1</v>
      </c>
      <c r="Y132" s="14" cm="1">
        <f t="array" ref="Y132">INT(SUMPRODUCT(--ISNUMBER(SEARCH(republicantrigger,C132)))&gt;0)</f>
        <v>0</v>
      </c>
      <c r="Z132" s="14" cm="1">
        <f t="array" ref="Z132">INT(SUMPRODUCT(--ISNUMBER(SEARCH(bipartisan,C132)))&gt;0)</f>
        <v>0</v>
      </c>
      <c r="AA132" s="14">
        <f t="shared" si="2"/>
        <v>0</v>
      </c>
      <c r="AB132" s="14"/>
      <c r="AC132" s="30">
        <v>1</v>
      </c>
      <c r="AD132" s="37">
        <v>0</v>
      </c>
    </row>
    <row r="133" spans="1:30" x14ac:dyDescent="0.25">
      <c r="A133" s="36">
        <v>1340</v>
      </c>
      <c r="B133" s="14" t="s">
        <v>2707</v>
      </c>
      <c r="C133" s="14" t="s">
        <v>2708</v>
      </c>
      <c r="D133" s="17">
        <v>44129</v>
      </c>
      <c r="E133" s="14" t="s">
        <v>30</v>
      </c>
      <c r="F133" s="14">
        <v>39</v>
      </c>
      <c r="G133" s="14">
        <v>4</v>
      </c>
      <c r="H133" s="14">
        <v>7</v>
      </c>
      <c r="I133" s="14">
        <v>4</v>
      </c>
      <c r="J133" s="14" t="s">
        <v>31</v>
      </c>
      <c r="K133" s="14" cm="1">
        <f t="array" ref="K133">INT(SUMPRODUCT(--ISNUMBER(SEARCH(economy,C133)))&gt;0)</f>
        <v>0</v>
      </c>
      <c r="L133" s="14" cm="1">
        <f t="array" ref="L133">INT(SUMPRODUCT(--ISNUMBER(SEARCH(healthcare,C133)))&gt;0)</f>
        <v>0</v>
      </c>
      <c r="M133" s="14" cm="1">
        <f t="array" ref="M133">INT(SUMPRODUCT(--ISNUMBER(SEARCH(supreme,C133)))&gt;0)</f>
        <v>0</v>
      </c>
      <c r="N133" s="14" cm="1">
        <f t="array" ref="N133">INT(SUMPRODUCT(--ISNUMBER(SEARCH(covid,C133)))&gt;0)</f>
        <v>0</v>
      </c>
      <c r="O133" s="14" cm="1">
        <f t="array" ref="O133">INT(SUMPRODUCT(--ISNUMBER(SEARCH(violent,C133)))&gt;0)</f>
        <v>0</v>
      </c>
      <c r="P133" s="14" cm="1">
        <f t="array" ref="P133">INT(SUMPRODUCT(--ISNUMBER(SEARCH(foreign,C133)))&gt;0)</f>
        <v>0</v>
      </c>
      <c r="Q133" s="14" cm="1">
        <f t="array" ref="Q133">INT(SUMPRODUCT(--ISNUMBER(SEARCH(gun,C133)))&gt;0)</f>
        <v>0</v>
      </c>
      <c r="R133" s="14" cm="1">
        <f t="array" ref="R133">INT(SUMPRODUCT(--ISNUMBER(SEARCH(race,C133)))&gt;0)</f>
        <v>0</v>
      </c>
      <c r="S133" s="14" cm="1">
        <f t="array" ref="S133">INT(SUMPRODUCT(--ISNUMBER(SEARCH(immigration,C133)))&gt;0)</f>
        <v>0</v>
      </c>
      <c r="T133" s="14" cm="1">
        <f t="array" ref="T133">INT(SUMPRODUCT(--ISNUMBER(SEARCH(econineq,C134)))&gt;0)</f>
        <v>0</v>
      </c>
      <c r="U133" s="14" cm="1">
        <f t="array" ref="U133">INT(SUMPRODUCT(--ISNUMBER(SEARCH(climate,C133)))&gt;0)</f>
        <v>0</v>
      </c>
      <c r="V133" s="14" cm="1">
        <f t="array" ref="V133">INT(SUMPRODUCT(--ISNUMBER(SEARCH(abortion,C133)))&gt;0)</f>
        <v>0</v>
      </c>
      <c r="W133" s="14" cm="1">
        <f t="array" ref="W133">INT(SUMPRODUCT(--ISNUMBER(SEARCH(trump,C133)))&gt;0)</f>
        <v>0</v>
      </c>
      <c r="X133" s="14" cm="1">
        <f t="array" ref="X133">INT(SUMPRODUCT(--ISNUMBER(SEARCH(voting,C133)))&gt;0)</f>
        <v>0</v>
      </c>
      <c r="Y133" s="14" cm="1">
        <f t="array" ref="Y133">INT(SUMPRODUCT(--ISNUMBER(SEARCH(republicantrigger,C133)))&gt;0)</f>
        <v>0</v>
      </c>
      <c r="Z133" s="14" cm="1">
        <f t="array" ref="Z133">INT(SUMPRODUCT(--ISNUMBER(SEARCH(bipartisan,C133)))&gt;0)</f>
        <v>0</v>
      </c>
      <c r="AA133" s="14">
        <f t="shared" si="2"/>
        <v>1</v>
      </c>
      <c r="AB133" s="14"/>
      <c r="AC133" s="30">
        <v>1</v>
      </c>
      <c r="AD133" s="37">
        <v>0</v>
      </c>
    </row>
    <row r="134" spans="1:30" x14ac:dyDescent="0.25">
      <c r="A134" s="36">
        <v>1341</v>
      </c>
      <c r="B134" s="14" t="s">
        <v>2709</v>
      </c>
      <c r="C134" s="14" t="s">
        <v>2710</v>
      </c>
      <c r="D134" s="17">
        <v>44129</v>
      </c>
      <c r="E134" s="14" t="s">
        <v>70</v>
      </c>
      <c r="F134" s="14">
        <v>21</v>
      </c>
      <c r="G134" s="14">
        <v>3</v>
      </c>
      <c r="H134" s="14">
        <v>7</v>
      </c>
      <c r="I134" s="14">
        <v>4</v>
      </c>
      <c r="J134" s="14" t="s">
        <v>31</v>
      </c>
      <c r="K134" s="14" cm="1">
        <f t="array" ref="K134">INT(SUMPRODUCT(--ISNUMBER(SEARCH(economy,C134)))&gt;0)</f>
        <v>1</v>
      </c>
      <c r="L134" s="14" cm="1">
        <f t="array" ref="L134">INT(SUMPRODUCT(--ISNUMBER(SEARCH(healthcare,C134)))&gt;0)</f>
        <v>0</v>
      </c>
      <c r="M134" s="14" cm="1">
        <f t="array" ref="M134">INT(SUMPRODUCT(--ISNUMBER(SEARCH(supreme,C134)))&gt;0)</f>
        <v>0</v>
      </c>
      <c r="N134" s="14" cm="1">
        <f t="array" ref="N134">INT(SUMPRODUCT(--ISNUMBER(SEARCH(covid,C134)))&gt;0)</f>
        <v>0</v>
      </c>
      <c r="O134" s="14" cm="1">
        <f t="array" ref="O134">INT(SUMPRODUCT(--ISNUMBER(SEARCH(violent,C134)))&gt;0)</f>
        <v>0</v>
      </c>
      <c r="P134" s="14" cm="1">
        <f t="array" ref="P134">INT(SUMPRODUCT(--ISNUMBER(SEARCH(foreign,C134)))&gt;0)</f>
        <v>0</v>
      </c>
      <c r="Q134" s="14" cm="1">
        <f t="array" ref="Q134">INT(SUMPRODUCT(--ISNUMBER(SEARCH(gun,C134)))&gt;0)</f>
        <v>0</v>
      </c>
      <c r="R134" s="14" cm="1">
        <f t="array" ref="R134">INT(SUMPRODUCT(--ISNUMBER(SEARCH(race,C134)))&gt;0)</f>
        <v>0</v>
      </c>
      <c r="S134" s="14" cm="1">
        <f t="array" ref="S134">INT(SUMPRODUCT(--ISNUMBER(SEARCH(immigration,C134)))&gt;0)</f>
        <v>0</v>
      </c>
      <c r="T134" s="14" cm="1">
        <f t="array" ref="T134">INT(SUMPRODUCT(--ISNUMBER(SEARCH(econineq,C135)))&gt;0)</f>
        <v>0</v>
      </c>
      <c r="U134" s="14" cm="1">
        <f t="array" ref="U134">INT(SUMPRODUCT(--ISNUMBER(SEARCH(climate,C134)))&gt;0)</f>
        <v>0</v>
      </c>
      <c r="V134" s="14" cm="1">
        <f t="array" ref="V134">INT(SUMPRODUCT(--ISNUMBER(SEARCH(abortion,C134)))&gt;0)</f>
        <v>0</v>
      </c>
      <c r="W134" s="14" cm="1">
        <f t="array" ref="W134">INT(SUMPRODUCT(--ISNUMBER(SEARCH(trump,C134)))&gt;0)</f>
        <v>0</v>
      </c>
      <c r="X134" s="14" cm="1">
        <f t="array" ref="X134">INT(SUMPRODUCT(--ISNUMBER(SEARCH(voting,C134)))&gt;0)</f>
        <v>0</v>
      </c>
      <c r="Y134" s="14" cm="1">
        <f t="array" ref="Y134">INT(SUMPRODUCT(--ISNUMBER(SEARCH(republicantrigger,C134)))&gt;0)</f>
        <v>1</v>
      </c>
      <c r="Z134" s="14" cm="1">
        <f t="array" ref="Z134">INT(SUMPRODUCT(--ISNUMBER(SEARCH(bipartisan,C134)))&gt;0)</f>
        <v>0</v>
      </c>
      <c r="AA134" s="14">
        <f t="shared" si="2"/>
        <v>0</v>
      </c>
      <c r="AB134" s="14"/>
      <c r="AC134" s="30">
        <v>1</v>
      </c>
      <c r="AD134" s="37">
        <v>0</v>
      </c>
    </row>
    <row r="135" spans="1:30" x14ac:dyDescent="0.25">
      <c r="A135" s="36">
        <v>1342</v>
      </c>
      <c r="B135" s="14" t="s">
        <v>2711</v>
      </c>
      <c r="C135" s="14" t="s">
        <v>2712</v>
      </c>
      <c r="D135" s="17">
        <v>44128</v>
      </c>
      <c r="E135" s="14" t="s">
        <v>70</v>
      </c>
      <c r="F135" s="14">
        <v>35</v>
      </c>
      <c r="G135" s="14">
        <v>3</v>
      </c>
      <c r="H135" s="14">
        <v>7</v>
      </c>
      <c r="I135" s="14">
        <v>4</v>
      </c>
      <c r="J135" s="14" t="s">
        <v>31</v>
      </c>
      <c r="K135" s="14" cm="1">
        <f t="array" ref="K135">INT(SUMPRODUCT(--ISNUMBER(SEARCH(economy,C135)))&gt;0)</f>
        <v>1</v>
      </c>
      <c r="L135" s="14" cm="1">
        <f t="array" ref="L135">INT(SUMPRODUCT(--ISNUMBER(SEARCH(healthcare,C135)))&gt;0)</f>
        <v>0</v>
      </c>
      <c r="M135" s="14" cm="1">
        <f t="array" ref="M135">INT(SUMPRODUCT(--ISNUMBER(SEARCH(supreme,C135)))&gt;0)</f>
        <v>0</v>
      </c>
      <c r="N135" s="14" cm="1">
        <f t="array" ref="N135">INT(SUMPRODUCT(--ISNUMBER(SEARCH(covid,C135)))&gt;0)</f>
        <v>0</v>
      </c>
      <c r="O135" s="14" cm="1">
        <f t="array" ref="O135">INT(SUMPRODUCT(--ISNUMBER(SEARCH(violent,C135)))&gt;0)</f>
        <v>0</v>
      </c>
      <c r="P135" s="14" cm="1">
        <f t="array" ref="P135">INT(SUMPRODUCT(--ISNUMBER(SEARCH(foreign,C135)))&gt;0)</f>
        <v>0</v>
      </c>
      <c r="Q135" s="14" cm="1">
        <f t="array" ref="Q135">INT(SUMPRODUCT(--ISNUMBER(SEARCH(gun,C135)))&gt;0)</f>
        <v>0</v>
      </c>
      <c r="R135" s="14" cm="1">
        <f t="array" ref="R135">INT(SUMPRODUCT(--ISNUMBER(SEARCH(race,C135)))&gt;0)</f>
        <v>0</v>
      </c>
      <c r="S135" s="14" cm="1">
        <f t="array" ref="S135">INT(SUMPRODUCT(--ISNUMBER(SEARCH(immigration,C135)))&gt;0)</f>
        <v>0</v>
      </c>
      <c r="T135" s="14" cm="1">
        <f t="array" ref="T135">INT(SUMPRODUCT(--ISNUMBER(SEARCH(econineq,C136)))&gt;0)</f>
        <v>0</v>
      </c>
      <c r="U135" s="14" cm="1">
        <f t="array" ref="U135">INT(SUMPRODUCT(--ISNUMBER(SEARCH(climate,C135)))&gt;0)</f>
        <v>0</v>
      </c>
      <c r="V135" s="14" cm="1">
        <f t="array" ref="V135">INT(SUMPRODUCT(--ISNUMBER(SEARCH(abortion,C135)))&gt;0)</f>
        <v>0</v>
      </c>
      <c r="W135" s="14" cm="1">
        <f t="array" ref="W135">INT(SUMPRODUCT(--ISNUMBER(SEARCH(trump,C135)))&gt;0)</f>
        <v>0</v>
      </c>
      <c r="X135" s="14" cm="1">
        <f t="array" ref="X135">INT(SUMPRODUCT(--ISNUMBER(SEARCH(voting,C135)))&gt;0)</f>
        <v>0</v>
      </c>
      <c r="Y135" s="14" cm="1">
        <f t="array" ref="Y135">INT(SUMPRODUCT(--ISNUMBER(SEARCH(republicantrigger,C135)))&gt;0)</f>
        <v>1</v>
      </c>
      <c r="Z135" s="14" cm="1">
        <f t="array" ref="Z135">INT(SUMPRODUCT(--ISNUMBER(SEARCH(bipartisan,C135)))&gt;0)</f>
        <v>1</v>
      </c>
      <c r="AA135" s="14">
        <f t="shared" si="2"/>
        <v>0</v>
      </c>
      <c r="AB135" s="14"/>
      <c r="AC135" s="30">
        <v>1</v>
      </c>
      <c r="AD135" s="37">
        <v>0</v>
      </c>
    </row>
    <row r="136" spans="1:30" x14ac:dyDescent="0.25">
      <c r="A136" s="36">
        <v>1343</v>
      </c>
      <c r="B136" s="14" t="s">
        <v>2713</v>
      </c>
      <c r="C136" s="14" t="s">
        <v>2714</v>
      </c>
      <c r="D136" s="17">
        <v>44128</v>
      </c>
      <c r="E136" s="14" t="s">
        <v>30</v>
      </c>
      <c r="F136" s="14">
        <v>76</v>
      </c>
      <c r="G136" s="14">
        <v>14</v>
      </c>
      <c r="H136" s="14">
        <v>7</v>
      </c>
      <c r="I136" s="14">
        <v>4</v>
      </c>
      <c r="J136" s="14" t="s">
        <v>31</v>
      </c>
      <c r="K136" s="14" cm="1">
        <f t="array" ref="K136">INT(SUMPRODUCT(--ISNUMBER(SEARCH(economy,C136)))&gt;0)</f>
        <v>0</v>
      </c>
      <c r="L136" s="14" cm="1">
        <f t="array" ref="L136">INT(SUMPRODUCT(--ISNUMBER(SEARCH(healthcare,C136)))&gt;0)</f>
        <v>0</v>
      </c>
      <c r="M136" s="14" cm="1">
        <f t="array" ref="M136">INT(SUMPRODUCT(--ISNUMBER(SEARCH(supreme,C136)))&gt;0)</f>
        <v>0</v>
      </c>
      <c r="N136" s="14" cm="1">
        <f t="array" ref="N136">INT(SUMPRODUCT(--ISNUMBER(SEARCH(covid,C136)))&gt;0)</f>
        <v>0</v>
      </c>
      <c r="O136" s="14" cm="1">
        <f t="array" ref="O136">INT(SUMPRODUCT(--ISNUMBER(SEARCH(violent,C136)))&gt;0)</f>
        <v>0</v>
      </c>
      <c r="P136" s="14" cm="1">
        <f t="array" ref="P136">INT(SUMPRODUCT(--ISNUMBER(SEARCH(foreign,C136)))&gt;0)</f>
        <v>0</v>
      </c>
      <c r="Q136" s="14" cm="1">
        <f t="array" ref="Q136">INT(SUMPRODUCT(--ISNUMBER(SEARCH(gun,C136)))&gt;0)</f>
        <v>0</v>
      </c>
      <c r="R136" s="14" cm="1">
        <f t="array" ref="R136">INT(SUMPRODUCT(--ISNUMBER(SEARCH(race,C136)))&gt;0)</f>
        <v>0</v>
      </c>
      <c r="S136" s="14" cm="1">
        <f t="array" ref="S136">INT(SUMPRODUCT(--ISNUMBER(SEARCH(immigration,C136)))&gt;0)</f>
        <v>0</v>
      </c>
      <c r="T136" s="14" cm="1">
        <f t="array" ref="T136">INT(SUMPRODUCT(--ISNUMBER(SEARCH(econineq,C137)))&gt;0)</f>
        <v>0</v>
      </c>
      <c r="U136" s="14" cm="1">
        <f t="array" ref="U136">INT(SUMPRODUCT(--ISNUMBER(SEARCH(climate,C136)))&gt;0)</f>
        <v>0</v>
      </c>
      <c r="V136" s="14" cm="1">
        <f t="array" ref="V136">INT(SUMPRODUCT(--ISNUMBER(SEARCH(abortion,C136)))&gt;0)</f>
        <v>0</v>
      </c>
      <c r="W136" s="14" cm="1">
        <f t="array" ref="W136">INT(SUMPRODUCT(--ISNUMBER(SEARCH(trump,C136)))&gt;0)</f>
        <v>0</v>
      </c>
      <c r="X136" s="14" cm="1">
        <f t="array" ref="X136">INT(SUMPRODUCT(--ISNUMBER(SEARCH(voting,C136)))&gt;0)</f>
        <v>0</v>
      </c>
      <c r="Y136" s="14" cm="1">
        <f t="array" ref="Y136">INT(SUMPRODUCT(--ISNUMBER(SEARCH(republicantrigger,C136)))&gt;0)</f>
        <v>1</v>
      </c>
      <c r="Z136" s="14" cm="1">
        <f t="array" ref="Z136">INT(SUMPRODUCT(--ISNUMBER(SEARCH(bipartisan,C136)))&gt;0)</f>
        <v>0</v>
      </c>
      <c r="AA136" s="14">
        <f t="shared" si="2"/>
        <v>0</v>
      </c>
      <c r="AB136" s="14"/>
      <c r="AC136" s="30">
        <v>0</v>
      </c>
      <c r="AD136" s="37">
        <v>0</v>
      </c>
    </row>
    <row r="137" spans="1:30" x14ac:dyDescent="0.25">
      <c r="A137" s="36">
        <v>1344</v>
      </c>
      <c r="B137" s="14" t="s">
        <v>2715</v>
      </c>
      <c r="C137" s="14" t="s">
        <v>2716</v>
      </c>
      <c r="D137" s="17">
        <v>44128</v>
      </c>
      <c r="E137" s="14" t="s">
        <v>30</v>
      </c>
      <c r="F137" s="14">
        <v>30</v>
      </c>
      <c r="G137" s="14">
        <v>5</v>
      </c>
      <c r="H137" s="14">
        <v>7</v>
      </c>
      <c r="I137" s="14">
        <v>4</v>
      </c>
      <c r="J137" s="14" t="s">
        <v>31</v>
      </c>
      <c r="K137" s="14" cm="1">
        <f t="array" ref="K137">INT(SUMPRODUCT(--ISNUMBER(SEARCH(economy,C137)))&gt;0)</f>
        <v>0</v>
      </c>
      <c r="L137" s="14" cm="1">
        <f t="array" ref="L137">INT(SUMPRODUCT(--ISNUMBER(SEARCH(healthcare,C137)))&gt;0)</f>
        <v>0</v>
      </c>
      <c r="M137" s="14" cm="1">
        <f t="array" ref="M137">INT(SUMPRODUCT(--ISNUMBER(SEARCH(supreme,C137)))&gt;0)</f>
        <v>0</v>
      </c>
      <c r="N137" s="14" cm="1">
        <f t="array" ref="N137">INT(SUMPRODUCT(--ISNUMBER(SEARCH(covid,C137)))&gt;0)</f>
        <v>0</v>
      </c>
      <c r="O137" s="14" cm="1">
        <f t="array" ref="O137">INT(SUMPRODUCT(--ISNUMBER(SEARCH(violent,C137)))&gt;0)</f>
        <v>0</v>
      </c>
      <c r="P137" s="14" cm="1">
        <f t="array" ref="P137">INT(SUMPRODUCT(--ISNUMBER(SEARCH(foreign,C137)))&gt;0)</f>
        <v>0</v>
      </c>
      <c r="Q137" s="14" cm="1">
        <f t="array" ref="Q137">INT(SUMPRODUCT(--ISNUMBER(SEARCH(gun,C137)))&gt;0)</f>
        <v>0</v>
      </c>
      <c r="R137" s="14" cm="1">
        <f t="array" ref="R137">INT(SUMPRODUCT(--ISNUMBER(SEARCH(race,C137)))&gt;0)</f>
        <v>0</v>
      </c>
      <c r="S137" s="14" cm="1">
        <f t="array" ref="S137">INT(SUMPRODUCT(--ISNUMBER(SEARCH(immigration,C137)))&gt;0)</f>
        <v>0</v>
      </c>
      <c r="T137" s="14" cm="1">
        <f t="array" ref="T137">INT(SUMPRODUCT(--ISNUMBER(SEARCH(econineq,C138)))&gt;0)</f>
        <v>0</v>
      </c>
      <c r="U137" s="14" cm="1">
        <f t="array" ref="U137">INT(SUMPRODUCT(--ISNUMBER(SEARCH(climate,C137)))&gt;0)</f>
        <v>0</v>
      </c>
      <c r="V137" s="14" cm="1">
        <f t="array" ref="V137">INT(SUMPRODUCT(--ISNUMBER(SEARCH(abortion,C137)))&gt;0)</f>
        <v>0</v>
      </c>
      <c r="W137" s="14" cm="1">
        <f t="array" ref="W137">INT(SUMPRODUCT(--ISNUMBER(SEARCH(trump,C137)))&gt;0)</f>
        <v>0</v>
      </c>
      <c r="X137" s="14" cm="1">
        <f t="array" ref="X137">INT(SUMPRODUCT(--ISNUMBER(SEARCH(voting,C137)))&gt;0)</f>
        <v>0</v>
      </c>
      <c r="Y137" s="14" cm="1">
        <f t="array" ref="Y137">INT(SUMPRODUCT(--ISNUMBER(SEARCH(republicantrigger,C137)))&gt;0)</f>
        <v>0</v>
      </c>
      <c r="Z137" s="14" cm="1">
        <f t="array" ref="Z137">INT(SUMPRODUCT(--ISNUMBER(SEARCH(bipartisan,C137)))&gt;0)</f>
        <v>0</v>
      </c>
      <c r="AA137" s="14">
        <f t="shared" si="2"/>
        <v>1</v>
      </c>
      <c r="AB137" s="14"/>
      <c r="AC137" s="30">
        <v>1</v>
      </c>
      <c r="AD137" s="37">
        <v>0</v>
      </c>
    </row>
    <row r="138" spans="1:30" x14ac:dyDescent="0.25">
      <c r="A138" s="36">
        <v>1345</v>
      </c>
      <c r="B138" s="14" t="s">
        <v>2717</v>
      </c>
      <c r="C138" s="14" t="s">
        <v>2718</v>
      </c>
      <c r="D138" s="17">
        <v>44128</v>
      </c>
      <c r="E138" s="14" t="s">
        <v>30</v>
      </c>
      <c r="F138" s="14">
        <v>37</v>
      </c>
      <c r="G138" s="14">
        <v>5</v>
      </c>
      <c r="H138" s="14">
        <v>7</v>
      </c>
      <c r="I138" s="14">
        <v>4</v>
      </c>
      <c r="J138" s="14" t="s">
        <v>31</v>
      </c>
      <c r="K138" s="14" cm="1">
        <f t="array" ref="K138">INT(SUMPRODUCT(--ISNUMBER(SEARCH(economy,C138)))&gt;0)</f>
        <v>1</v>
      </c>
      <c r="L138" s="14" cm="1">
        <f t="array" ref="L138">INT(SUMPRODUCT(--ISNUMBER(SEARCH(healthcare,C138)))&gt;0)</f>
        <v>0</v>
      </c>
      <c r="M138" s="14" cm="1">
        <f t="array" ref="M138">INT(SUMPRODUCT(--ISNUMBER(SEARCH(supreme,C138)))&gt;0)</f>
        <v>0</v>
      </c>
      <c r="N138" s="14" cm="1">
        <f t="array" ref="N138">INT(SUMPRODUCT(--ISNUMBER(SEARCH(covid,C138)))&gt;0)</f>
        <v>0</v>
      </c>
      <c r="O138" s="14" cm="1">
        <f t="array" ref="O138">INT(SUMPRODUCT(--ISNUMBER(SEARCH(violent,C138)))&gt;0)</f>
        <v>0</v>
      </c>
      <c r="P138" s="14" cm="1">
        <f t="array" ref="P138">INT(SUMPRODUCT(--ISNUMBER(SEARCH(foreign,C138)))&gt;0)</f>
        <v>0</v>
      </c>
      <c r="Q138" s="14" cm="1">
        <f t="array" ref="Q138">INT(SUMPRODUCT(--ISNUMBER(SEARCH(gun,C138)))&gt;0)</f>
        <v>0</v>
      </c>
      <c r="R138" s="14" cm="1">
        <f t="array" ref="R138">INT(SUMPRODUCT(--ISNUMBER(SEARCH(race,C138)))&gt;0)</f>
        <v>1</v>
      </c>
      <c r="S138" s="14" cm="1">
        <f t="array" ref="S138">INT(SUMPRODUCT(--ISNUMBER(SEARCH(immigration,C138)))&gt;0)</f>
        <v>0</v>
      </c>
      <c r="T138" s="14" cm="1">
        <f t="array" ref="T138">INT(SUMPRODUCT(--ISNUMBER(SEARCH(econineq,C139)))&gt;0)</f>
        <v>0</v>
      </c>
      <c r="U138" s="14" cm="1">
        <f t="array" ref="U138">INT(SUMPRODUCT(--ISNUMBER(SEARCH(climate,C138)))&gt;0)</f>
        <v>0</v>
      </c>
      <c r="V138" s="14" cm="1">
        <f t="array" ref="V138">INT(SUMPRODUCT(--ISNUMBER(SEARCH(abortion,C138)))&gt;0)</f>
        <v>0</v>
      </c>
      <c r="W138" s="14" cm="1">
        <f t="array" ref="W138">INT(SUMPRODUCT(--ISNUMBER(SEARCH(trump,C138)))&gt;0)</f>
        <v>0</v>
      </c>
      <c r="X138" s="14" cm="1">
        <f t="array" ref="X138">INT(SUMPRODUCT(--ISNUMBER(SEARCH(voting,C138)))&gt;0)</f>
        <v>0</v>
      </c>
      <c r="Y138" s="14" cm="1">
        <f t="array" ref="Y138">INT(SUMPRODUCT(--ISNUMBER(SEARCH(republicantrigger,C138)))&gt;0)</f>
        <v>0</v>
      </c>
      <c r="Z138" s="14" cm="1">
        <f t="array" ref="Z138">INT(SUMPRODUCT(--ISNUMBER(SEARCH(bipartisan,C138)))&gt;0)</f>
        <v>0</v>
      </c>
      <c r="AA138" s="14">
        <f t="shared" si="2"/>
        <v>0</v>
      </c>
      <c r="AB138" s="14"/>
      <c r="AC138" s="30">
        <v>1</v>
      </c>
      <c r="AD138" s="37">
        <v>0</v>
      </c>
    </row>
    <row r="139" spans="1:30" x14ac:dyDescent="0.25">
      <c r="A139" s="36">
        <v>1346</v>
      </c>
      <c r="B139" s="14" t="s">
        <v>2719</v>
      </c>
      <c r="C139" s="14" t="s">
        <v>2720</v>
      </c>
      <c r="D139" s="17">
        <v>44128</v>
      </c>
      <c r="E139" s="14" t="s">
        <v>30</v>
      </c>
      <c r="F139" s="14">
        <v>34</v>
      </c>
      <c r="G139" s="14">
        <v>3</v>
      </c>
      <c r="H139" s="14">
        <v>7</v>
      </c>
      <c r="I139" s="14">
        <v>4</v>
      </c>
      <c r="J139" s="14" t="s">
        <v>31</v>
      </c>
      <c r="K139" s="14" cm="1">
        <f t="array" ref="K139">INT(SUMPRODUCT(--ISNUMBER(SEARCH(economy,C139)))&gt;0)</f>
        <v>0</v>
      </c>
      <c r="L139" s="14" cm="1">
        <f t="array" ref="L139">INT(SUMPRODUCT(--ISNUMBER(SEARCH(healthcare,C139)))&gt;0)</f>
        <v>0</v>
      </c>
      <c r="M139" s="14" cm="1">
        <f t="array" ref="M139">INT(SUMPRODUCT(--ISNUMBER(SEARCH(supreme,C139)))&gt;0)</f>
        <v>0</v>
      </c>
      <c r="N139" s="14" cm="1">
        <f t="array" ref="N139">INT(SUMPRODUCT(--ISNUMBER(SEARCH(covid,C139)))&gt;0)</f>
        <v>0</v>
      </c>
      <c r="O139" s="14" cm="1">
        <f t="array" ref="O139">INT(SUMPRODUCT(--ISNUMBER(SEARCH(violent,C139)))&gt;0)</f>
        <v>0</v>
      </c>
      <c r="P139" s="14" cm="1">
        <f t="array" ref="P139">INT(SUMPRODUCT(--ISNUMBER(SEARCH(foreign,C139)))&gt;0)</f>
        <v>0</v>
      </c>
      <c r="Q139" s="14" cm="1">
        <f t="array" ref="Q139">INT(SUMPRODUCT(--ISNUMBER(SEARCH(gun,C139)))&gt;0)</f>
        <v>0</v>
      </c>
      <c r="R139" s="14" cm="1">
        <f t="array" ref="R139">INT(SUMPRODUCT(--ISNUMBER(SEARCH(race,C139)))&gt;0)</f>
        <v>0</v>
      </c>
      <c r="S139" s="14" cm="1">
        <f t="array" ref="S139">INT(SUMPRODUCT(--ISNUMBER(SEARCH(immigration,C139)))&gt;0)</f>
        <v>0</v>
      </c>
      <c r="T139" s="14" cm="1">
        <f t="array" ref="T139">INT(SUMPRODUCT(--ISNUMBER(SEARCH(econineq,C140)))&gt;0)</f>
        <v>0</v>
      </c>
      <c r="U139" s="14" cm="1">
        <f t="array" ref="U139">INT(SUMPRODUCT(--ISNUMBER(SEARCH(climate,C139)))&gt;0)</f>
        <v>0</v>
      </c>
      <c r="V139" s="14" cm="1">
        <f t="array" ref="V139">INT(SUMPRODUCT(--ISNUMBER(SEARCH(abortion,C139)))&gt;0)</f>
        <v>0</v>
      </c>
      <c r="W139" s="14" cm="1">
        <f t="array" ref="W139">INT(SUMPRODUCT(--ISNUMBER(SEARCH(trump,C139)))&gt;0)</f>
        <v>0</v>
      </c>
      <c r="X139" s="14" cm="1">
        <f t="array" ref="X139">INT(SUMPRODUCT(--ISNUMBER(SEARCH(voting,C139)))&gt;0)</f>
        <v>0</v>
      </c>
      <c r="Y139" s="14" cm="1">
        <f t="array" ref="Y139">INT(SUMPRODUCT(--ISNUMBER(SEARCH(republicantrigger,C139)))&gt;0)</f>
        <v>0</v>
      </c>
      <c r="Z139" s="14" cm="1">
        <f t="array" ref="Z139">INT(SUMPRODUCT(--ISNUMBER(SEARCH(bipartisan,C139)))&gt;0)</f>
        <v>0</v>
      </c>
      <c r="AA139" s="14">
        <f t="shared" si="2"/>
        <v>1</v>
      </c>
      <c r="AB139" s="14"/>
      <c r="AC139" s="30">
        <v>0</v>
      </c>
      <c r="AD139" s="37">
        <v>1</v>
      </c>
    </row>
    <row r="140" spans="1:30" x14ac:dyDescent="0.25">
      <c r="A140" s="36">
        <v>1347</v>
      </c>
      <c r="B140" s="14" t="s">
        <v>2721</v>
      </c>
      <c r="C140" s="14" t="s">
        <v>2722</v>
      </c>
      <c r="D140" s="17">
        <v>44128</v>
      </c>
      <c r="E140" s="14" t="s">
        <v>30</v>
      </c>
      <c r="F140" s="14">
        <v>52</v>
      </c>
      <c r="G140" s="14">
        <v>5</v>
      </c>
      <c r="H140" s="14">
        <v>7</v>
      </c>
      <c r="I140" s="14">
        <v>4</v>
      </c>
      <c r="J140" s="14" t="s">
        <v>31</v>
      </c>
      <c r="K140" s="14" cm="1">
        <f t="array" ref="K140">INT(SUMPRODUCT(--ISNUMBER(SEARCH(economy,C140)))&gt;0)</f>
        <v>0</v>
      </c>
      <c r="L140" s="14" cm="1">
        <f t="array" ref="L140">INT(SUMPRODUCT(--ISNUMBER(SEARCH(healthcare,C140)))&gt;0)</f>
        <v>0</v>
      </c>
      <c r="M140" s="14" cm="1">
        <f t="array" ref="M140">INT(SUMPRODUCT(--ISNUMBER(SEARCH(supreme,C140)))&gt;0)</f>
        <v>0</v>
      </c>
      <c r="N140" s="14" cm="1">
        <f t="array" ref="N140">INT(SUMPRODUCT(--ISNUMBER(SEARCH(covid,C140)))&gt;0)</f>
        <v>0</v>
      </c>
      <c r="O140" s="14" cm="1">
        <f t="array" ref="O140">INT(SUMPRODUCT(--ISNUMBER(SEARCH(violent,C140)))&gt;0)</f>
        <v>0</v>
      </c>
      <c r="P140" s="14" cm="1">
        <f t="array" ref="P140">INT(SUMPRODUCT(--ISNUMBER(SEARCH(foreign,C140)))&gt;0)</f>
        <v>0</v>
      </c>
      <c r="Q140" s="14" cm="1">
        <f t="array" ref="Q140">INT(SUMPRODUCT(--ISNUMBER(SEARCH(gun,C140)))&gt;0)</f>
        <v>0</v>
      </c>
      <c r="R140" s="14" cm="1">
        <f t="array" ref="R140">INT(SUMPRODUCT(--ISNUMBER(SEARCH(race,C140)))&gt;0)</f>
        <v>0</v>
      </c>
      <c r="S140" s="14" cm="1">
        <f t="array" ref="S140">INT(SUMPRODUCT(--ISNUMBER(SEARCH(immigration,C140)))&gt;0)</f>
        <v>0</v>
      </c>
      <c r="T140" s="14" cm="1">
        <f t="array" ref="T140">INT(SUMPRODUCT(--ISNUMBER(SEARCH(econineq,C141)))&gt;0)</f>
        <v>0</v>
      </c>
      <c r="U140" s="14" cm="1">
        <f t="array" ref="U140">INT(SUMPRODUCT(--ISNUMBER(SEARCH(climate,C140)))&gt;0)</f>
        <v>0</v>
      </c>
      <c r="V140" s="14" cm="1">
        <f t="array" ref="V140">INT(SUMPRODUCT(--ISNUMBER(SEARCH(abortion,C140)))&gt;0)</f>
        <v>0</v>
      </c>
      <c r="W140" s="14" cm="1">
        <f t="array" ref="W140">INT(SUMPRODUCT(--ISNUMBER(SEARCH(trump,C140)))&gt;0)</f>
        <v>0</v>
      </c>
      <c r="X140" s="14" cm="1">
        <f t="array" ref="X140">INT(SUMPRODUCT(--ISNUMBER(SEARCH(voting,C140)))&gt;0)</f>
        <v>0</v>
      </c>
      <c r="Y140" s="14" cm="1">
        <f t="array" ref="Y140">INT(SUMPRODUCT(--ISNUMBER(SEARCH(republicantrigger,C140)))&gt;0)</f>
        <v>0</v>
      </c>
      <c r="Z140" s="14" cm="1">
        <f t="array" ref="Z140">INT(SUMPRODUCT(--ISNUMBER(SEARCH(bipartisan,C140)))&gt;0)</f>
        <v>0</v>
      </c>
      <c r="AA140" s="14">
        <f t="shared" si="2"/>
        <v>1</v>
      </c>
      <c r="AB140" s="14"/>
      <c r="AC140" s="30">
        <v>1</v>
      </c>
      <c r="AD140" s="37">
        <v>0</v>
      </c>
    </row>
    <row r="141" spans="1:30" x14ac:dyDescent="0.25">
      <c r="A141" s="36">
        <v>1348</v>
      </c>
      <c r="B141" s="14" t="s">
        <v>2723</v>
      </c>
      <c r="C141" s="14" t="s">
        <v>2724</v>
      </c>
      <c r="D141" s="17">
        <v>44128</v>
      </c>
      <c r="E141" s="14" t="s">
        <v>30</v>
      </c>
      <c r="F141" s="14">
        <v>24</v>
      </c>
      <c r="G141" s="14">
        <v>3</v>
      </c>
      <c r="H141" s="14">
        <v>7</v>
      </c>
      <c r="I141" s="14">
        <v>4</v>
      </c>
      <c r="J141" s="14" t="s">
        <v>31</v>
      </c>
      <c r="K141" s="14" cm="1">
        <f t="array" ref="K141">INT(SUMPRODUCT(--ISNUMBER(SEARCH(economy,C141)))&gt;0)</f>
        <v>0</v>
      </c>
      <c r="L141" s="14" cm="1">
        <f t="array" ref="L141">INT(SUMPRODUCT(--ISNUMBER(SEARCH(healthcare,C141)))&gt;0)</f>
        <v>0</v>
      </c>
      <c r="M141" s="14" cm="1">
        <f t="array" ref="M141">INT(SUMPRODUCT(--ISNUMBER(SEARCH(supreme,C141)))&gt;0)</f>
        <v>0</v>
      </c>
      <c r="N141" s="14" cm="1">
        <f t="array" ref="N141">INT(SUMPRODUCT(--ISNUMBER(SEARCH(covid,C141)))&gt;0)</f>
        <v>0</v>
      </c>
      <c r="O141" s="14" cm="1">
        <f t="array" ref="O141">INT(SUMPRODUCT(--ISNUMBER(SEARCH(violent,C141)))&gt;0)</f>
        <v>0</v>
      </c>
      <c r="P141" s="14" cm="1">
        <f t="array" ref="P141">INT(SUMPRODUCT(--ISNUMBER(SEARCH(foreign,C141)))&gt;0)</f>
        <v>0</v>
      </c>
      <c r="Q141" s="14" cm="1">
        <f t="array" ref="Q141">INT(SUMPRODUCT(--ISNUMBER(SEARCH(gun,C141)))&gt;0)</f>
        <v>0</v>
      </c>
      <c r="R141" s="14" cm="1">
        <f t="array" ref="R141">INT(SUMPRODUCT(--ISNUMBER(SEARCH(race,C141)))&gt;0)</f>
        <v>0</v>
      </c>
      <c r="S141" s="14" cm="1">
        <f t="array" ref="S141">INT(SUMPRODUCT(--ISNUMBER(SEARCH(immigration,C141)))&gt;0)</f>
        <v>0</v>
      </c>
      <c r="T141" s="14" cm="1">
        <f t="array" ref="T141">INT(SUMPRODUCT(--ISNUMBER(SEARCH(econineq,C142)))&gt;0)</f>
        <v>0</v>
      </c>
      <c r="U141" s="14" cm="1">
        <f t="array" ref="U141">INT(SUMPRODUCT(--ISNUMBER(SEARCH(climate,C141)))&gt;0)</f>
        <v>0</v>
      </c>
      <c r="V141" s="14" cm="1">
        <f t="array" ref="V141">INT(SUMPRODUCT(--ISNUMBER(SEARCH(abortion,C141)))&gt;0)</f>
        <v>0</v>
      </c>
      <c r="W141" s="14" cm="1">
        <f t="array" ref="W141">INT(SUMPRODUCT(--ISNUMBER(SEARCH(trump,C141)))&gt;0)</f>
        <v>0</v>
      </c>
      <c r="X141" s="14" cm="1">
        <f t="array" ref="X141">INT(SUMPRODUCT(--ISNUMBER(SEARCH(voting,C141)))&gt;0)</f>
        <v>0</v>
      </c>
      <c r="Y141" s="14" cm="1">
        <f t="array" ref="Y141">INT(SUMPRODUCT(--ISNUMBER(SEARCH(republicantrigger,C141)))&gt;0)</f>
        <v>0</v>
      </c>
      <c r="Z141" s="14" cm="1">
        <f t="array" ref="Z141">INT(SUMPRODUCT(--ISNUMBER(SEARCH(bipartisan,C141)))&gt;0)</f>
        <v>0</v>
      </c>
      <c r="AA141" s="14">
        <f t="shared" si="2"/>
        <v>1</v>
      </c>
      <c r="AB141" s="14"/>
      <c r="AC141" s="30">
        <v>1</v>
      </c>
      <c r="AD141" s="37">
        <v>0</v>
      </c>
    </row>
    <row r="142" spans="1:30" x14ac:dyDescent="0.25">
      <c r="A142" s="36">
        <v>1349</v>
      </c>
      <c r="B142" s="14" t="s">
        <v>2725</v>
      </c>
      <c r="C142" s="14" t="s">
        <v>2726</v>
      </c>
      <c r="D142" s="17">
        <v>44128</v>
      </c>
      <c r="E142" s="14" t="s">
        <v>30</v>
      </c>
      <c r="F142" s="14">
        <v>27</v>
      </c>
      <c r="G142" s="14">
        <v>6</v>
      </c>
      <c r="H142" s="14">
        <v>7</v>
      </c>
      <c r="I142" s="14">
        <v>4</v>
      </c>
      <c r="J142" s="14" t="s">
        <v>31</v>
      </c>
      <c r="K142" s="14" cm="1">
        <f t="array" ref="K142">INT(SUMPRODUCT(--ISNUMBER(SEARCH(economy,C142)))&gt;0)</f>
        <v>0</v>
      </c>
      <c r="L142" s="14" cm="1">
        <f t="array" ref="L142">INT(SUMPRODUCT(--ISNUMBER(SEARCH(healthcare,C142)))&gt;0)</f>
        <v>0</v>
      </c>
      <c r="M142" s="14" cm="1">
        <f t="array" ref="M142">INT(SUMPRODUCT(--ISNUMBER(SEARCH(supreme,C142)))&gt;0)</f>
        <v>0</v>
      </c>
      <c r="N142" s="14" cm="1">
        <f t="array" ref="N142">INT(SUMPRODUCT(--ISNUMBER(SEARCH(covid,C142)))&gt;0)</f>
        <v>0</v>
      </c>
      <c r="O142" s="14" cm="1">
        <f t="array" ref="O142">INT(SUMPRODUCT(--ISNUMBER(SEARCH(violent,C142)))&gt;0)</f>
        <v>0</v>
      </c>
      <c r="P142" s="14" cm="1">
        <f t="array" ref="P142">INT(SUMPRODUCT(--ISNUMBER(SEARCH(foreign,C142)))&gt;0)</f>
        <v>0</v>
      </c>
      <c r="Q142" s="14" cm="1">
        <f t="array" ref="Q142">INT(SUMPRODUCT(--ISNUMBER(SEARCH(gun,C142)))&gt;0)</f>
        <v>0</v>
      </c>
      <c r="R142" s="14" cm="1">
        <f t="array" ref="R142">INT(SUMPRODUCT(--ISNUMBER(SEARCH(race,C142)))&gt;0)</f>
        <v>0</v>
      </c>
      <c r="S142" s="14" cm="1">
        <f t="array" ref="S142">INT(SUMPRODUCT(--ISNUMBER(SEARCH(immigration,C142)))&gt;0)</f>
        <v>0</v>
      </c>
      <c r="T142" s="14" cm="1">
        <f t="array" ref="T142">INT(SUMPRODUCT(--ISNUMBER(SEARCH(econineq,C143)))&gt;0)</f>
        <v>0</v>
      </c>
      <c r="U142" s="14" cm="1">
        <f t="array" ref="U142">INT(SUMPRODUCT(--ISNUMBER(SEARCH(climate,C142)))&gt;0)</f>
        <v>0</v>
      </c>
      <c r="V142" s="14" cm="1">
        <f t="array" ref="V142">INT(SUMPRODUCT(--ISNUMBER(SEARCH(abortion,C142)))&gt;0)</f>
        <v>0</v>
      </c>
      <c r="W142" s="14" cm="1">
        <f t="array" ref="W142">INT(SUMPRODUCT(--ISNUMBER(SEARCH(trump,C142)))&gt;0)</f>
        <v>0</v>
      </c>
      <c r="X142" s="14" cm="1">
        <f t="array" ref="X142">INT(SUMPRODUCT(--ISNUMBER(SEARCH(voting,C142)))&gt;0)</f>
        <v>0</v>
      </c>
      <c r="Y142" s="14" cm="1">
        <f t="array" ref="Y142">INT(SUMPRODUCT(--ISNUMBER(SEARCH(republicantrigger,C142)))&gt;0)</f>
        <v>0</v>
      </c>
      <c r="Z142" s="14" cm="1">
        <f t="array" ref="Z142">INT(SUMPRODUCT(--ISNUMBER(SEARCH(bipartisan,C142)))&gt;0)</f>
        <v>0</v>
      </c>
      <c r="AA142" s="14">
        <f t="shared" si="2"/>
        <v>1</v>
      </c>
      <c r="AB142" s="14"/>
      <c r="AC142" s="30">
        <v>1</v>
      </c>
      <c r="AD142" s="37">
        <v>0</v>
      </c>
    </row>
    <row r="143" spans="1:30" x14ac:dyDescent="0.25">
      <c r="A143" s="36">
        <v>1350</v>
      </c>
      <c r="B143" s="14" t="s">
        <v>2727</v>
      </c>
      <c r="C143" s="14" t="s">
        <v>2728</v>
      </c>
      <c r="D143" s="17">
        <v>44128</v>
      </c>
      <c r="E143" s="14" t="s">
        <v>30</v>
      </c>
      <c r="F143" s="14">
        <v>33</v>
      </c>
      <c r="G143" s="14">
        <v>5</v>
      </c>
      <c r="H143" s="14">
        <v>7</v>
      </c>
      <c r="I143" s="14">
        <v>4</v>
      </c>
      <c r="J143" s="14" t="s">
        <v>31</v>
      </c>
      <c r="K143" s="14" cm="1">
        <f t="array" ref="K143">INT(SUMPRODUCT(--ISNUMBER(SEARCH(economy,C143)))&gt;0)</f>
        <v>0</v>
      </c>
      <c r="L143" s="14" cm="1">
        <f t="array" ref="L143">INT(SUMPRODUCT(--ISNUMBER(SEARCH(healthcare,C143)))&gt;0)</f>
        <v>0</v>
      </c>
      <c r="M143" s="14" cm="1">
        <f t="array" ref="M143">INT(SUMPRODUCT(--ISNUMBER(SEARCH(supreme,C143)))&gt;0)</f>
        <v>0</v>
      </c>
      <c r="N143" s="14" cm="1">
        <f t="array" ref="N143">INT(SUMPRODUCT(--ISNUMBER(SEARCH(covid,C143)))&gt;0)</f>
        <v>0</v>
      </c>
      <c r="O143" s="14" cm="1">
        <f t="array" ref="O143">INT(SUMPRODUCT(--ISNUMBER(SEARCH(violent,C143)))&gt;0)</f>
        <v>0</v>
      </c>
      <c r="P143" s="14" cm="1">
        <f t="array" ref="P143">INT(SUMPRODUCT(--ISNUMBER(SEARCH(foreign,C143)))&gt;0)</f>
        <v>0</v>
      </c>
      <c r="Q143" s="14" cm="1">
        <f t="array" ref="Q143">INT(SUMPRODUCT(--ISNUMBER(SEARCH(gun,C143)))&gt;0)</f>
        <v>0</v>
      </c>
      <c r="R143" s="14" cm="1">
        <f t="array" ref="R143">INT(SUMPRODUCT(--ISNUMBER(SEARCH(race,C143)))&gt;0)</f>
        <v>0</v>
      </c>
      <c r="S143" s="14" cm="1">
        <f t="array" ref="S143">INT(SUMPRODUCT(--ISNUMBER(SEARCH(immigration,C143)))&gt;0)</f>
        <v>0</v>
      </c>
      <c r="T143" s="14" cm="1">
        <f t="array" ref="T143">INT(SUMPRODUCT(--ISNUMBER(SEARCH(econineq,C144)))&gt;0)</f>
        <v>0</v>
      </c>
      <c r="U143" s="14" cm="1">
        <f t="array" ref="U143">INT(SUMPRODUCT(--ISNUMBER(SEARCH(climate,C143)))&gt;0)</f>
        <v>0</v>
      </c>
      <c r="V143" s="14" cm="1">
        <f t="array" ref="V143">INT(SUMPRODUCT(--ISNUMBER(SEARCH(abortion,C143)))&gt;0)</f>
        <v>0</v>
      </c>
      <c r="W143" s="14" cm="1">
        <f t="array" ref="W143">INT(SUMPRODUCT(--ISNUMBER(SEARCH(trump,C143)))&gt;0)</f>
        <v>0</v>
      </c>
      <c r="X143" s="14" cm="1">
        <f t="array" ref="X143">INT(SUMPRODUCT(--ISNUMBER(SEARCH(voting,C143)))&gt;0)</f>
        <v>1</v>
      </c>
      <c r="Y143" s="14" cm="1">
        <f t="array" ref="Y143">INT(SUMPRODUCT(--ISNUMBER(SEARCH(republicantrigger,C143)))&gt;0)</f>
        <v>0</v>
      </c>
      <c r="Z143" s="14" cm="1">
        <f t="array" ref="Z143">INT(SUMPRODUCT(--ISNUMBER(SEARCH(bipartisan,C143)))&gt;0)</f>
        <v>0</v>
      </c>
      <c r="AA143" s="14">
        <f t="shared" si="2"/>
        <v>0</v>
      </c>
      <c r="AB143" s="14"/>
      <c r="AC143" s="30">
        <v>1</v>
      </c>
      <c r="AD143" s="37">
        <v>0</v>
      </c>
    </row>
    <row r="144" spans="1:30" x14ac:dyDescent="0.25">
      <c r="A144" s="36">
        <v>1351</v>
      </c>
      <c r="B144" s="14" t="s">
        <v>2729</v>
      </c>
      <c r="C144" s="14" t="s">
        <v>2730</v>
      </c>
      <c r="D144" s="17">
        <v>44127</v>
      </c>
      <c r="E144" s="14" t="s">
        <v>30</v>
      </c>
      <c r="F144" s="14">
        <v>33</v>
      </c>
      <c r="G144" s="14">
        <v>6</v>
      </c>
      <c r="H144" s="14">
        <v>7</v>
      </c>
      <c r="I144" s="14">
        <v>4</v>
      </c>
      <c r="J144" s="14" t="s">
        <v>31</v>
      </c>
      <c r="K144" s="14" cm="1">
        <f t="array" ref="K144">INT(SUMPRODUCT(--ISNUMBER(SEARCH(economy,C144)))&gt;0)</f>
        <v>0</v>
      </c>
      <c r="L144" s="14" cm="1">
        <f t="array" ref="L144">INT(SUMPRODUCT(--ISNUMBER(SEARCH(healthcare,C144)))&gt;0)</f>
        <v>0</v>
      </c>
      <c r="M144" s="14" cm="1">
        <f t="array" ref="M144">INT(SUMPRODUCT(--ISNUMBER(SEARCH(supreme,C144)))&gt;0)</f>
        <v>0</v>
      </c>
      <c r="N144" s="14" cm="1">
        <f t="array" ref="N144">INT(SUMPRODUCT(--ISNUMBER(SEARCH(covid,C144)))&gt;0)</f>
        <v>0</v>
      </c>
      <c r="O144" s="14" cm="1">
        <f t="array" ref="O144">INT(SUMPRODUCT(--ISNUMBER(SEARCH(violent,C144)))&gt;0)</f>
        <v>0</v>
      </c>
      <c r="P144" s="14" cm="1">
        <f t="array" ref="P144">INT(SUMPRODUCT(--ISNUMBER(SEARCH(foreign,C144)))&gt;0)</f>
        <v>0</v>
      </c>
      <c r="Q144" s="14" cm="1">
        <f t="array" ref="Q144">INT(SUMPRODUCT(--ISNUMBER(SEARCH(gun,C144)))&gt;0)</f>
        <v>0</v>
      </c>
      <c r="R144" s="14" cm="1">
        <f t="array" ref="R144">INT(SUMPRODUCT(--ISNUMBER(SEARCH(race,C144)))&gt;0)</f>
        <v>0</v>
      </c>
      <c r="S144" s="14" cm="1">
        <f t="array" ref="S144">INT(SUMPRODUCT(--ISNUMBER(SEARCH(immigration,C144)))&gt;0)</f>
        <v>0</v>
      </c>
      <c r="T144" s="14" cm="1">
        <f t="array" ref="T144">INT(SUMPRODUCT(--ISNUMBER(SEARCH(econineq,C145)))&gt;0)</f>
        <v>0</v>
      </c>
      <c r="U144" s="14" cm="1">
        <f t="array" ref="U144">INT(SUMPRODUCT(--ISNUMBER(SEARCH(climate,C144)))&gt;0)</f>
        <v>0</v>
      </c>
      <c r="V144" s="14" cm="1">
        <f t="array" ref="V144">INT(SUMPRODUCT(--ISNUMBER(SEARCH(abortion,C144)))&gt;0)</f>
        <v>0</v>
      </c>
      <c r="W144" s="14" cm="1">
        <f t="array" ref="W144">INT(SUMPRODUCT(--ISNUMBER(SEARCH(trump,C144)))&gt;0)</f>
        <v>0</v>
      </c>
      <c r="X144" s="14" cm="1">
        <f t="array" ref="X144">INT(SUMPRODUCT(--ISNUMBER(SEARCH(voting,C144)))&gt;0)</f>
        <v>0</v>
      </c>
      <c r="Y144" s="14" cm="1">
        <f t="array" ref="Y144">INT(SUMPRODUCT(--ISNUMBER(SEARCH(republicantrigger,C144)))&gt;0)</f>
        <v>0</v>
      </c>
      <c r="Z144" s="14" cm="1">
        <f t="array" ref="Z144">INT(SUMPRODUCT(--ISNUMBER(SEARCH(bipartisan,C144)))&gt;0)</f>
        <v>1</v>
      </c>
      <c r="AA144" s="14">
        <f t="shared" si="2"/>
        <v>0</v>
      </c>
      <c r="AB144" s="14"/>
      <c r="AC144" s="30">
        <v>0</v>
      </c>
      <c r="AD144" s="37">
        <v>0</v>
      </c>
    </row>
    <row r="145" spans="1:30" x14ac:dyDescent="0.25">
      <c r="A145" s="36">
        <v>1352</v>
      </c>
      <c r="B145" s="14" t="s">
        <v>2731</v>
      </c>
      <c r="C145" s="14" t="s">
        <v>2732</v>
      </c>
      <c r="D145" s="17">
        <v>44127</v>
      </c>
      <c r="E145" s="14" t="s">
        <v>30</v>
      </c>
      <c r="F145" s="14">
        <v>23</v>
      </c>
      <c r="G145" s="14">
        <v>6</v>
      </c>
      <c r="H145" s="14">
        <v>7</v>
      </c>
      <c r="I145" s="14">
        <v>4</v>
      </c>
      <c r="J145" s="14" t="s">
        <v>31</v>
      </c>
      <c r="K145" s="14" cm="1">
        <f t="array" ref="K145">INT(SUMPRODUCT(--ISNUMBER(SEARCH(economy,C145)))&gt;0)</f>
        <v>0</v>
      </c>
      <c r="L145" s="14" cm="1">
        <f t="array" ref="L145">INT(SUMPRODUCT(--ISNUMBER(SEARCH(healthcare,C145)))&gt;0)</f>
        <v>0</v>
      </c>
      <c r="M145" s="14" cm="1">
        <f t="array" ref="M145">INT(SUMPRODUCT(--ISNUMBER(SEARCH(supreme,C145)))&gt;0)</f>
        <v>0</v>
      </c>
      <c r="N145" s="14" cm="1">
        <f t="array" ref="N145">INT(SUMPRODUCT(--ISNUMBER(SEARCH(covid,C145)))&gt;0)</f>
        <v>0</v>
      </c>
      <c r="O145" s="14" cm="1">
        <f t="array" ref="O145">INT(SUMPRODUCT(--ISNUMBER(SEARCH(violent,C145)))&gt;0)</f>
        <v>0</v>
      </c>
      <c r="P145" s="14" cm="1">
        <f t="array" ref="P145">INT(SUMPRODUCT(--ISNUMBER(SEARCH(foreign,C145)))&gt;0)</f>
        <v>0</v>
      </c>
      <c r="Q145" s="14" cm="1">
        <f t="array" ref="Q145">INT(SUMPRODUCT(--ISNUMBER(SEARCH(gun,C145)))&gt;0)</f>
        <v>0</v>
      </c>
      <c r="R145" s="14" cm="1">
        <f t="array" ref="R145">INT(SUMPRODUCT(--ISNUMBER(SEARCH(race,C145)))&gt;0)</f>
        <v>0</v>
      </c>
      <c r="S145" s="14" cm="1">
        <f t="array" ref="S145">INT(SUMPRODUCT(--ISNUMBER(SEARCH(immigration,C145)))&gt;0)</f>
        <v>0</v>
      </c>
      <c r="T145" s="14" cm="1">
        <f t="array" ref="T145">INT(SUMPRODUCT(--ISNUMBER(SEARCH(econineq,C146)))&gt;0)</f>
        <v>0</v>
      </c>
      <c r="U145" s="14" cm="1">
        <f t="array" ref="U145">INT(SUMPRODUCT(--ISNUMBER(SEARCH(climate,C145)))&gt;0)</f>
        <v>0</v>
      </c>
      <c r="V145" s="14" cm="1">
        <f t="array" ref="V145">INT(SUMPRODUCT(--ISNUMBER(SEARCH(abortion,C145)))&gt;0)</f>
        <v>0</v>
      </c>
      <c r="W145" s="14" cm="1">
        <f t="array" ref="W145">INT(SUMPRODUCT(--ISNUMBER(SEARCH(trump,C145)))&gt;0)</f>
        <v>0</v>
      </c>
      <c r="X145" s="14" cm="1">
        <f t="array" ref="X145">INT(SUMPRODUCT(--ISNUMBER(SEARCH(voting,C145)))&gt;0)</f>
        <v>1</v>
      </c>
      <c r="Y145" s="14" cm="1">
        <f t="array" ref="Y145">INT(SUMPRODUCT(--ISNUMBER(SEARCH(republicantrigger,C145)))&gt;0)</f>
        <v>0</v>
      </c>
      <c r="Z145" s="14" cm="1">
        <f t="array" ref="Z145">INT(SUMPRODUCT(--ISNUMBER(SEARCH(bipartisan,C145)))&gt;0)</f>
        <v>1</v>
      </c>
      <c r="AA145" s="14">
        <f t="shared" si="2"/>
        <v>0</v>
      </c>
      <c r="AB145" s="14"/>
      <c r="AC145" s="30">
        <v>0</v>
      </c>
      <c r="AD145" s="37">
        <v>0</v>
      </c>
    </row>
    <row r="146" spans="1:30" x14ac:dyDescent="0.25">
      <c r="A146" s="36">
        <v>1353</v>
      </c>
      <c r="B146" s="14" t="s">
        <v>2733</v>
      </c>
      <c r="C146" s="14" t="s">
        <v>2734</v>
      </c>
      <c r="D146" s="17">
        <v>44127</v>
      </c>
      <c r="E146" s="14" t="s">
        <v>30</v>
      </c>
      <c r="F146" s="14">
        <v>31</v>
      </c>
      <c r="G146" s="14">
        <v>4</v>
      </c>
      <c r="H146" s="14">
        <v>7</v>
      </c>
      <c r="I146" s="14">
        <v>4</v>
      </c>
      <c r="J146" s="14" t="s">
        <v>31</v>
      </c>
      <c r="K146" s="14" cm="1">
        <f t="array" ref="K146">INT(SUMPRODUCT(--ISNUMBER(SEARCH(economy,C146)))&gt;0)</f>
        <v>1</v>
      </c>
      <c r="L146" s="14" cm="1">
        <f t="array" ref="L146">INT(SUMPRODUCT(--ISNUMBER(SEARCH(healthcare,C146)))&gt;0)</f>
        <v>0</v>
      </c>
      <c r="M146" s="14" cm="1">
        <f t="array" ref="M146">INT(SUMPRODUCT(--ISNUMBER(SEARCH(supreme,C146)))&gt;0)</f>
        <v>0</v>
      </c>
      <c r="N146" s="14" cm="1">
        <f t="array" ref="N146">INT(SUMPRODUCT(--ISNUMBER(SEARCH(covid,C146)))&gt;0)</f>
        <v>0</v>
      </c>
      <c r="O146" s="14" cm="1">
        <f t="array" ref="O146">INT(SUMPRODUCT(--ISNUMBER(SEARCH(violent,C146)))&gt;0)</f>
        <v>0</v>
      </c>
      <c r="P146" s="14" cm="1">
        <f t="array" ref="P146">INT(SUMPRODUCT(--ISNUMBER(SEARCH(foreign,C146)))&gt;0)</f>
        <v>0</v>
      </c>
      <c r="Q146" s="14" cm="1">
        <f t="array" ref="Q146">INT(SUMPRODUCT(--ISNUMBER(SEARCH(gun,C146)))&gt;0)</f>
        <v>0</v>
      </c>
      <c r="R146" s="14" cm="1">
        <f t="array" ref="R146">INT(SUMPRODUCT(--ISNUMBER(SEARCH(race,C146)))&gt;0)</f>
        <v>0</v>
      </c>
      <c r="S146" s="14" cm="1">
        <f t="array" ref="S146">INT(SUMPRODUCT(--ISNUMBER(SEARCH(immigration,C146)))&gt;0)</f>
        <v>0</v>
      </c>
      <c r="T146" s="14" cm="1">
        <f t="array" ref="T146">INT(SUMPRODUCT(--ISNUMBER(SEARCH(econineq,C147)))&gt;0)</f>
        <v>0</v>
      </c>
      <c r="U146" s="14" cm="1">
        <f t="array" ref="U146">INT(SUMPRODUCT(--ISNUMBER(SEARCH(climate,C146)))&gt;0)</f>
        <v>0</v>
      </c>
      <c r="V146" s="14" cm="1">
        <f t="array" ref="V146">INT(SUMPRODUCT(--ISNUMBER(SEARCH(abortion,C146)))&gt;0)</f>
        <v>0</v>
      </c>
      <c r="W146" s="14" cm="1">
        <f t="array" ref="W146">INT(SUMPRODUCT(--ISNUMBER(SEARCH(trump,C146)))&gt;0)</f>
        <v>0</v>
      </c>
      <c r="X146" s="14" cm="1">
        <f t="array" ref="X146">INT(SUMPRODUCT(--ISNUMBER(SEARCH(voting,C146)))&gt;0)</f>
        <v>0</v>
      </c>
      <c r="Y146" s="14" cm="1">
        <f t="array" ref="Y146">INT(SUMPRODUCT(--ISNUMBER(SEARCH(republicantrigger,C146)))&gt;0)</f>
        <v>0</v>
      </c>
      <c r="Z146" s="14" cm="1">
        <f t="array" ref="Z146">INT(SUMPRODUCT(--ISNUMBER(SEARCH(bipartisan,C146)))&gt;0)</f>
        <v>0</v>
      </c>
      <c r="AA146" s="14">
        <f t="shared" si="2"/>
        <v>0</v>
      </c>
      <c r="AB146" s="14"/>
      <c r="AC146" s="30">
        <v>1</v>
      </c>
      <c r="AD146" s="37">
        <v>0</v>
      </c>
    </row>
    <row r="147" spans="1:30" x14ac:dyDescent="0.25">
      <c r="A147" s="36">
        <v>1354</v>
      </c>
      <c r="B147" s="14" t="s">
        <v>2735</v>
      </c>
      <c r="C147" s="14" t="s">
        <v>2736</v>
      </c>
      <c r="D147" s="17">
        <v>44127</v>
      </c>
      <c r="E147" s="14" t="s">
        <v>30</v>
      </c>
      <c r="F147" s="14">
        <v>44</v>
      </c>
      <c r="G147" s="14">
        <v>6</v>
      </c>
      <c r="H147" s="14">
        <v>7</v>
      </c>
      <c r="I147" s="14">
        <v>4</v>
      </c>
      <c r="J147" s="14" t="s">
        <v>31</v>
      </c>
      <c r="K147" s="14" cm="1">
        <f t="array" ref="K147">INT(SUMPRODUCT(--ISNUMBER(SEARCH(economy,C147)))&gt;0)</f>
        <v>0</v>
      </c>
      <c r="L147" s="14" cm="1">
        <f t="array" ref="L147">INT(SUMPRODUCT(--ISNUMBER(SEARCH(healthcare,C147)))&gt;0)</f>
        <v>0</v>
      </c>
      <c r="M147" s="14" cm="1">
        <f t="array" ref="M147">INT(SUMPRODUCT(--ISNUMBER(SEARCH(supreme,C147)))&gt;0)</f>
        <v>0</v>
      </c>
      <c r="N147" s="14" cm="1">
        <f t="array" ref="N147">INT(SUMPRODUCT(--ISNUMBER(SEARCH(covid,C147)))&gt;0)</f>
        <v>0</v>
      </c>
      <c r="O147" s="14" cm="1">
        <f t="array" ref="O147">INT(SUMPRODUCT(--ISNUMBER(SEARCH(violent,C147)))&gt;0)</f>
        <v>0</v>
      </c>
      <c r="P147" s="14" cm="1">
        <f t="array" ref="P147">INT(SUMPRODUCT(--ISNUMBER(SEARCH(foreign,C147)))&gt;0)</f>
        <v>0</v>
      </c>
      <c r="Q147" s="14" cm="1">
        <f t="array" ref="Q147">INT(SUMPRODUCT(--ISNUMBER(SEARCH(gun,C147)))&gt;0)</f>
        <v>0</v>
      </c>
      <c r="R147" s="14" cm="1">
        <f t="array" ref="R147">INT(SUMPRODUCT(--ISNUMBER(SEARCH(race,C147)))&gt;0)</f>
        <v>0</v>
      </c>
      <c r="S147" s="14" cm="1">
        <f t="array" ref="S147">INT(SUMPRODUCT(--ISNUMBER(SEARCH(immigration,C147)))&gt;0)</f>
        <v>0</v>
      </c>
      <c r="T147" s="14" cm="1">
        <f t="array" ref="T147">INT(SUMPRODUCT(--ISNUMBER(SEARCH(econineq,C148)))&gt;0)</f>
        <v>0</v>
      </c>
      <c r="U147" s="14" cm="1">
        <f t="array" ref="U147">INT(SUMPRODUCT(--ISNUMBER(SEARCH(climate,C147)))&gt;0)</f>
        <v>0</v>
      </c>
      <c r="V147" s="14" cm="1">
        <f t="array" ref="V147">INT(SUMPRODUCT(--ISNUMBER(SEARCH(abortion,C147)))&gt;0)</f>
        <v>0</v>
      </c>
      <c r="W147" s="14" cm="1">
        <f t="array" ref="W147">INT(SUMPRODUCT(--ISNUMBER(SEARCH(trump,C147)))&gt;0)</f>
        <v>0</v>
      </c>
      <c r="X147" s="14" cm="1">
        <f t="array" ref="X147">INT(SUMPRODUCT(--ISNUMBER(SEARCH(voting,C147)))&gt;0)</f>
        <v>0</v>
      </c>
      <c r="Y147" s="14" cm="1">
        <f t="array" ref="Y147">INT(SUMPRODUCT(--ISNUMBER(SEARCH(republicantrigger,C147)))&gt;0)</f>
        <v>0</v>
      </c>
      <c r="Z147" s="14" cm="1">
        <f t="array" ref="Z147">INT(SUMPRODUCT(--ISNUMBER(SEARCH(bipartisan,C147)))&gt;0)</f>
        <v>0</v>
      </c>
      <c r="AA147" s="14">
        <f t="shared" si="2"/>
        <v>1</v>
      </c>
      <c r="AB147" s="14"/>
      <c r="AC147" s="30">
        <v>0</v>
      </c>
      <c r="AD147" s="37">
        <v>1</v>
      </c>
    </row>
    <row r="148" spans="1:30" x14ac:dyDescent="0.25">
      <c r="A148" s="36">
        <v>1355</v>
      </c>
      <c r="B148" s="14" t="s">
        <v>2737</v>
      </c>
      <c r="C148" s="14" t="s">
        <v>2738</v>
      </c>
      <c r="D148" s="17">
        <v>44127</v>
      </c>
      <c r="E148" s="14" t="s">
        <v>70</v>
      </c>
      <c r="F148" s="14">
        <v>21</v>
      </c>
      <c r="G148" s="14">
        <v>3</v>
      </c>
      <c r="H148" s="14">
        <v>7</v>
      </c>
      <c r="I148" s="14">
        <v>4</v>
      </c>
      <c r="J148" s="14" t="s">
        <v>31</v>
      </c>
      <c r="K148" s="14" cm="1">
        <f t="array" ref="K148">INT(SUMPRODUCT(--ISNUMBER(SEARCH(economy,C148)))&gt;0)</f>
        <v>0</v>
      </c>
      <c r="L148" s="14" cm="1">
        <f t="array" ref="L148">INT(SUMPRODUCT(--ISNUMBER(SEARCH(healthcare,C148)))&gt;0)</f>
        <v>0</v>
      </c>
      <c r="M148" s="14" cm="1">
        <f t="array" ref="M148">INT(SUMPRODUCT(--ISNUMBER(SEARCH(supreme,C148)))&gt;0)</f>
        <v>0</v>
      </c>
      <c r="N148" s="14" cm="1">
        <f t="array" ref="N148">INT(SUMPRODUCT(--ISNUMBER(SEARCH(covid,C148)))&gt;0)</f>
        <v>0</v>
      </c>
      <c r="O148" s="14" cm="1">
        <f t="array" ref="O148">INT(SUMPRODUCT(--ISNUMBER(SEARCH(violent,C148)))&gt;0)</f>
        <v>0</v>
      </c>
      <c r="P148" s="14" cm="1">
        <f t="array" ref="P148">INT(SUMPRODUCT(--ISNUMBER(SEARCH(foreign,C148)))&gt;0)</f>
        <v>0</v>
      </c>
      <c r="Q148" s="14" cm="1">
        <f t="array" ref="Q148">INT(SUMPRODUCT(--ISNUMBER(SEARCH(gun,C148)))&gt;0)</f>
        <v>0</v>
      </c>
      <c r="R148" s="14" cm="1">
        <f t="array" ref="R148">INT(SUMPRODUCT(--ISNUMBER(SEARCH(race,C148)))&gt;0)</f>
        <v>0</v>
      </c>
      <c r="S148" s="14" cm="1">
        <f t="array" ref="S148">INT(SUMPRODUCT(--ISNUMBER(SEARCH(immigration,C148)))&gt;0)</f>
        <v>0</v>
      </c>
      <c r="T148" s="14" cm="1">
        <f t="array" ref="T148">INT(SUMPRODUCT(--ISNUMBER(SEARCH(econineq,C149)))&gt;0)</f>
        <v>0</v>
      </c>
      <c r="U148" s="14" cm="1">
        <f t="array" ref="U148">INT(SUMPRODUCT(--ISNUMBER(SEARCH(climate,C148)))&gt;0)</f>
        <v>0</v>
      </c>
      <c r="V148" s="14" cm="1">
        <f t="array" ref="V148">INT(SUMPRODUCT(--ISNUMBER(SEARCH(abortion,C148)))&gt;0)</f>
        <v>0</v>
      </c>
      <c r="W148" s="14" cm="1">
        <f t="array" ref="W148">INT(SUMPRODUCT(--ISNUMBER(SEARCH(trump,C148)))&gt;0)</f>
        <v>0</v>
      </c>
      <c r="X148" s="14" cm="1">
        <f t="array" ref="X148">INT(SUMPRODUCT(--ISNUMBER(SEARCH(voting,C148)))&gt;0)</f>
        <v>0</v>
      </c>
      <c r="Y148" s="14" cm="1">
        <f t="array" ref="Y148">INT(SUMPRODUCT(--ISNUMBER(SEARCH(republicantrigger,C148)))&gt;0)</f>
        <v>0</v>
      </c>
      <c r="Z148" s="14" cm="1">
        <f t="array" ref="Z148">INT(SUMPRODUCT(--ISNUMBER(SEARCH(bipartisan,C148)))&gt;0)</f>
        <v>0</v>
      </c>
      <c r="AA148" s="14">
        <f t="shared" si="2"/>
        <v>1</v>
      </c>
      <c r="AB148" s="14"/>
      <c r="AC148" s="30">
        <v>0</v>
      </c>
      <c r="AD148" s="37">
        <v>1</v>
      </c>
    </row>
    <row r="149" spans="1:30" x14ac:dyDescent="0.25">
      <c r="A149" s="36">
        <v>1356</v>
      </c>
      <c r="B149" s="14" t="s">
        <v>2739</v>
      </c>
      <c r="C149" s="14" t="s">
        <v>2740</v>
      </c>
      <c r="D149" s="17">
        <v>44127</v>
      </c>
      <c r="E149" s="14" t="s">
        <v>30</v>
      </c>
      <c r="F149" s="14">
        <v>24</v>
      </c>
      <c r="G149" s="14">
        <v>4</v>
      </c>
      <c r="H149" s="14">
        <v>7</v>
      </c>
      <c r="I149" s="14">
        <v>4</v>
      </c>
      <c r="J149" s="14" t="s">
        <v>31</v>
      </c>
      <c r="K149" s="14" cm="1">
        <f t="array" ref="K149">INT(SUMPRODUCT(--ISNUMBER(SEARCH(economy,C149)))&gt;0)</f>
        <v>0</v>
      </c>
      <c r="L149" s="14" cm="1">
        <f t="array" ref="L149">INT(SUMPRODUCT(--ISNUMBER(SEARCH(healthcare,C149)))&gt;0)</f>
        <v>0</v>
      </c>
      <c r="M149" s="14" cm="1">
        <f t="array" ref="M149">INT(SUMPRODUCT(--ISNUMBER(SEARCH(supreme,C149)))&gt;0)</f>
        <v>0</v>
      </c>
      <c r="N149" s="14" cm="1">
        <f t="array" ref="N149">INT(SUMPRODUCT(--ISNUMBER(SEARCH(covid,C149)))&gt;0)</f>
        <v>0</v>
      </c>
      <c r="O149" s="14" cm="1">
        <f t="array" ref="O149">INT(SUMPRODUCT(--ISNUMBER(SEARCH(violent,C149)))&gt;0)</f>
        <v>0</v>
      </c>
      <c r="P149" s="14" cm="1">
        <f t="array" ref="P149">INT(SUMPRODUCT(--ISNUMBER(SEARCH(foreign,C149)))&gt;0)</f>
        <v>0</v>
      </c>
      <c r="Q149" s="14" cm="1">
        <f t="array" ref="Q149">INT(SUMPRODUCT(--ISNUMBER(SEARCH(gun,C149)))&gt;0)</f>
        <v>0</v>
      </c>
      <c r="R149" s="14" cm="1">
        <f t="array" ref="R149">INT(SUMPRODUCT(--ISNUMBER(SEARCH(race,C149)))&gt;0)</f>
        <v>0</v>
      </c>
      <c r="S149" s="14" cm="1">
        <f t="array" ref="S149">INT(SUMPRODUCT(--ISNUMBER(SEARCH(immigration,C149)))&gt;0)</f>
        <v>0</v>
      </c>
      <c r="T149" s="14" cm="1">
        <f t="array" ref="T149">INT(SUMPRODUCT(--ISNUMBER(SEARCH(econineq,C150)))&gt;0)</f>
        <v>0</v>
      </c>
      <c r="U149" s="14" cm="1">
        <f t="array" ref="U149">INT(SUMPRODUCT(--ISNUMBER(SEARCH(climate,C149)))&gt;0)</f>
        <v>0</v>
      </c>
      <c r="V149" s="14" cm="1">
        <f t="array" ref="V149">INT(SUMPRODUCT(--ISNUMBER(SEARCH(abortion,C149)))&gt;0)</f>
        <v>0</v>
      </c>
      <c r="W149" s="14" cm="1">
        <f t="array" ref="W149">INT(SUMPRODUCT(--ISNUMBER(SEARCH(trump,C149)))&gt;0)</f>
        <v>0</v>
      </c>
      <c r="X149" s="14" cm="1">
        <f t="array" ref="X149">INT(SUMPRODUCT(--ISNUMBER(SEARCH(voting,C149)))&gt;0)</f>
        <v>0</v>
      </c>
      <c r="Y149" s="14" cm="1">
        <f t="array" ref="Y149">INT(SUMPRODUCT(--ISNUMBER(SEARCH(republicantrigger,C149)))&gt;0)</f>
        <v>0</v>
      </c>
      <c r="Z149" s="14" cm="1">
        <f t="array" ref="Z149">INT(SUMPRODUCT(--ISNUMBER(SEARCH(bipartisan,C149)))&gt;0)</f>
        <v>0</v>
      </c>
      <c r="AA149" s="14">
        <f t="shared" si="2"/>
        <v>1</v>
      </c>
      <c r="AB149" s="14"/>
      <c r="AC149" s="30">
        <v>0</v>
      </c>
      <c r="AD149" s="37">
        <v>0</v>
      </c>
    </row>
    <row r="150" spans="1:30" x14ac:dyDescent="0.25">
      <c r="A150" s="36">
        <v>1357</v>
      </c>
      <c r="B150" s="14" t="s">
        <v>2741</v>
      </c>
      <c r="C150" s="14" t="s">
        <v>2742</v>
      </c>
      <c r="D150" s="17">
        <v>44126</v>
      </c>
      <c r="E150" s="14" t="s">
        <v>30</v>
      </c>
      <c r="F150" s="14">
        <v>21</v>
      </c>
      <c r="G150" s="14">
        <v>6</v>
      </c>
      <c r="H150" s="14">
        <v>7</v>
      </c>
      <c r="I150" s="14">
        <v>4</v>
      </c>
      <c r="J150" s="14" t="s">
        <v>31</v>
      </c>
      <c r="K150" s="14" cm="1">
        <f t="array" ref="K150">INT(SUMPRODUCT(--ISNUMBER(SEARCH(economy,C150)))&gt;0)</f>
        <v>0</v>
      </c>
      <c r="L150" s="14" cm="1">
        <f t="array" ref="L150">INT(SUMPRODUCT(--ISNUMBER(SEARCH(healthcare,C150)))&gt;0)</f>
        <v>0</v>
      </c>
      <c r="M150" s="14" cm="1">
        <f t="array" ref="M150">INT(SUMPRODUCT(--ISNUMBER(SEARCH(supreme,C150)))&gt;0)</f>
        <v>0</v>
      </c>
      <c r="N150" s="14" cm="1">
        <f t="array" ref="N150">INT(SUMPRODUCT(--ISNUMBER(SEARCH(covid,C150)))&gt;0)</f>
        <v>0</v>
      </c>
      <c r="O150" s="14" cm="1">
        <f t="array" ref="O150">INT(SUMPRODUCT(--ISNUMBER(SEARCH(violent,C150)))&gt;0)</f>
        <v>0</v>
      </c>
      <c r="P150" s="14" cm="1">
        <f t="array" ref="P150">INT(SUMPRODUCT(--ISNUMBER(SEARCH(foreign,C150)))&gt;0)</f>
        <v>0</v>
      </c>
      <c r="Q150" s="14" cm="1">
        <f t="array" ref="Q150">INT(SUMPRODUCT(--ISNUMBER(SEARCH(gun,C150)))&gt;0)</f>
        <v>0</v>
      </c>
      <c r="R150" s="14" cm="1">
        <f t="array" ref="R150">INT(SUMPRODUCT(--ISNUMBER(SEARCH(race,C150)))&gt;0)</f>
        <v>0</v>
      </c>
      <c r="S150" s="14" cm="1">
        <f t="array" ref="S150">INT(SUMPRODUCT(--ISNUMBER(SEARCH(immigration,C150)))&gt;0)</f>
        <v>0</v>
      </c>
      <c r="T150" s="14" cm="1">
        <f t="array" ref="T150">INT(SUMPRODUCT(--ISNUMBER(SEARCH(econineq,C151)))&gt;0)</f>
        <v>0</v>
      </c>
      <c r="U150" s="14" cm="1">
        <f t="array" ref="U150">INT(SUMPRODUCT(--ISNUMBER(SEARCH(climate,C150)))&gt;0)</f>
        <v>0</v>
      </c>
      <c r="V150" s="14" cm="1">
        <f t="array" ref="V150">INT(SUMPRODUCT(--ISNUMBER(SEARCH(abortion,C150)))&gt;0)</f>
        <v>0</v>
      </c>
      <c r="W150" s="14" cm="1">
        <f t="array" ref="W150">INT(SUMPRODUCT(--ISNUMBER(SEARCH(trump,C150)))&gt;0)</f>
        <v>0</v>
      </c>
      <c r="X150" s="14" cm="1">
        <f t="array" ref="X150">INT(SUMPRODUCT(--ISNUMBER(SEARCH(voting,C150)))&gt;0)</f>
        <v>0</v>
      </c>
      <c r="Y150" s="14" cm="1">
        <f t="array" ref="Y150">INT(SUMPRODUCT(--ISNUMBER(SEARCH(republicantrigger,C150)))&gt;0)</f>
        <v>1</v>
      </c>
      <c r="Z150" s="14" cm="1">
        <f t="array" ref="Z150">INT(SUMPRODUCT(--ISNUMBER(SEARCH(bipartisan,C150)))&gt;0)</f>
        <v>0</v>
      </c>
      <c r="AA150" s="14">
        <f t="shared" si="2"/>
        <v>0</v>
      </c>
      <c r="AB150" s="14"/>
      <c r="AC150" s="30">
        <v>0</v>
      </c>
      <c r="AD150" s="37">
        <v>0</v>
      </c>
    </row>
    <row r="151" spans="1:30" x14ac:dyDescent="0.25">
      <c r="A151" s="36">
        <v>1358</v>
      </c>
      <c r="B151" s="14" t="s">
        <v>2743</v>
      </c>
      <c r="C151" s="14" t="s">
        <v>2744</v>
      </c>
      <c r="D151" s="17">
        <v>44126</v>
      </c>
      <c r="E151" s="14" t="s">
        <v>30</v>
      </c>
      <c r="F151" s="14">
        <v>113</v>
      </c>
      <c r="G151" s="14">
        <v>20</v>
      </c>
      <c r="H151" s="14">
        <v>7</v>
      </c>
      <c r="I151" s="14">
        <v>4</v>
      </c>
      <c r="J151" s="14" t="s">
        <v>31</v>
      </c>
      <c r="K151" s="14" cm="1">
        <f t="array" ref="K151">INT(SUMPRODUCT(--ISNUMBER(SEARCH(economy,C151)))&gt;0)</f>
        <v>0</v>
      </c>
      <c r="L151" s="14" cm="1">
        <f t="array" ref="L151">INT(SUMPRODUCT(--ISNUMBER(SEARCH(healthcare,C151)))&gt;0)</f>
        <v>0</v>
      </c>
      <c r="M151" s="14" cm="1">
        <f t="array" ref="M151">INT(SUMPRODUCT(--ISNUMBER(SEARCH(supreme,C151)))&gt;0)</f>
        <v>0</v>
      </c>
      <c r="N151" s="14" cm="1">
        <f t="array" ref="N151">INT(SUMPRODUCT(--ISNUMBER(SEARCH(covid,C151)))&gt;0)</f>
        <v>0</v>
      </c>
      <c r="O151" s="14" cm="1">
        <f t="array" ref="O151">INT(SUMPRODUCT(--ISNUMBER(SEARCH(violent,C151)))&gt;0)</f>
        <v>0</v>
      </c>
      <c r="P151" s="14" cm="1">
        <f t="array" ref="P151">INT(SUMPRODUCT(--ISNUMBER(SEARCH(foreign,C151)))&gt;0)</f>
        <v>0</v>
      </c>
      <c r="Q151" s="14" cm="1">
        <f t="array" ref="Q151">INT(SUMPRODUCT(--ISNUMBER(SEARCH(gun,C151)))&gt;0)</f>
        <v>0</v>
      </c>
      <c r="R151" s="14" cm="1">
        <f t="array" ref="R151">INT(SUMPRODUCT(--ISNUMBER(SEARCH(race,C151)))&gt;0)</f>
        <v>0</v>
      </c>
      <c r="S151" s="14" cm="1">
        <f t="array" ref="S151">INT(SUMPRODUCT(--ISNUMBER(SEARCH(immigration,C151)))&gt;0)</f>
        <v>0</v>
      </c>
      <c r="T151" s="14" cm="1">
        <f t="array" ref="T151">INT(SUMPRODUCT(--ISNUMBER(SEARCH(econineq,C152)))&gt;0)</f>
        <v>0</v>
      </c>
      <c r="U151" s="14" cm="1">
        <f t="array" ref="U151">INT(SUMPRODUCT(--ISNUMBER(SEARCH(climate,C151)))&gt;0)</f>
        <v>0</v>
      </c>
      <c r="V151" s="14" cm="1">
        <f t="array" ref="V151">INT(SUMPRODUCT(--ISNUMBER(SEARCH(abortion,C151)))&gt;0)</f>
        <v>0</v>
      </c>
      <c r="W151" s="14" cm="1">
        <f t="array" ref="W151">INT(SUMPRODUCT(--ISNUMBER(SEARCH(trump,C151)))&gt;0)</f>
        <v>0</v>
      </c>
      <c r="X151" s="14" cm="1">
        <f t="array" ref="X151">INT(SUMPRODUCT(--ISNUMBER(SEARCH(voting,C151)))&gt;0)</f>
        <v>0</v>
      </c>
      <c r="Y151" s="14" cm="1">
        <f t="array" ref="Y151">INT(SUMPRODUCT(--ISNUMBER(SEARCH(republicantrigger,C151)))&gt;0)</f>
        <v>0</v>
      </c>
      <c r="Z151" s="14" cm="1">
        <f t="array" ref="Z151">INT(SUMPRODUCT(--ISNUMBER(SEARCH(bipartisan,C151)))&gt;0)</f>
        <v>1</v>
      </c>
      <c r="AA151" s="14">
        <f t="shared" si="2"/>
        <v>0</v>
      </c>
      <c r="AB151" s="14"/>
      <c r="AC151" s="30">
        <v>1</v>
      </c>
      <c r="AD151" s="37">
        <v>0</v>
      </c>
    </row>
    <row r="152" spans="1:30" x14ac:dyDescent="0.25">
      <c r="A152" s="36">
        <v>1359</v>
      </c>
      <c r="B152" s="14" t="s">
        <v>2745</v>
      </c>
      <c r="C152" s="14" t="s">
        <v>2746</v>
      </c>
      <c r="D152" s="17">
        <v>44126</v>
      </c>
      <c r="E152" s="14" t="s">
        <v>30</v>
      </c>
      <c r="F152" s="14">
        <v>22</v>
      </c>
      <c r="G152" s="14">
        <v>4</v>
      </c>
      <c r="H152" s="14">
        <v>7</v>
      </c>
      <c r="I152" s="14">
        <v>4</v>
      </c>
      <c r="J152" s="14" t="s">
        <v>31</v>
      </c>
      <c r="K152" s="14" cm="1">
        <f t="array" ref="K152">INT(SUMPRODUCT(--ISNUMBER(SEARCH(economy,C152)))&gt;0)</f>
        <v>0</v>
      </c>
      <c r="L152" s="14" cm="1">
        <f t="array" ref="L152">INT(SUMPRODUCT(--ISNUMBER(SEARCH(healthcare,C152)))&gt;0)</f>
        <v>1</v>
      </c>
      <c r="M152" s="14" cm="1">
        <f t="array" ref="M152">INT(SUMPRODUCT(--ISNUMBER(SEARCH(supreme,C152)))&gt;0)</f>
        <v>0</v>
      </c>
      <c r="N152" s="14" cm="1">
        <f t="array" ref="N152">INT(SUMPRODUCT(--ISNUMBER(SEARCH(covid,C152)))&gt;0)</f>
        <v>0</v>
      </c>
      <c r="O152" s="14" cm="1">
        <f t="array" ref="O152">INT(SUMPRODUCT(--ISNUMBER(SEARCH(violent,C152)))&gt;0)</f>
        <v>0</v>
      </c>
      <c r="P152" s="14" cm="1">
        <f t="array" ref="P152">INT(SUMPRODUCT(--ISNUMBER(SEARCH(foreign,C152)))&gt;0)</f>
        <v>0</v>
      </c>
      <c r="Q152" s="14" cm="1">
        <f t="array" ref="Q152">INT(SUMPRODUCT(--ISNUMBER(SEARCH(gun,C152)))&gt;0)</f>
        <v>0</v>
      </c>
      <c r="R152" s="14" cm="1">
        <f t="array" ref="R152">INT(SUMPRODUCT(--ISNUMBER(SEARCH(race,C152)))&gt;0)</f>
        <v>0</v>
      </c>
      <c r="S152" s="14" cm="1">
        <f t="array" ref="S152">INT(SUMPRODUCT(--ISNUMBER(SEARCH(immigration,C152)))&gt;0)</f>
        <v>0</v>
      </c>
      <c r="T152" s="14" cm="1">
        <f t="array" ref="T152">INT(SUMPRODUCT(--ISNUMBER(SEARCH(econineq,C153)))&gt;0)</f>
        <v>0</v>
      </c>
      <c r="U152" s="14" cm="1">
        <f t="array" ref="U152">INT(SUMPRODUCT(--ISNUMBER(SEARCH(climate,C152)))&gt;0)</f>
        <v>0</v>
      </c>
      <c r="V152" s="14" cm="1">
        <f t="array" ref="V152">INT(SUMPRODUCT(--ISNUMBER(SEARCH(abortion,C152)))&gt;0)</f>
        <v>0</v>
      </c>
      <c r="W152" s="14" cm="1">
        <f t="array" ref="W152">INT(SUMPRODUCT(--ISNUMBER(SEARCH(trump,C152)))&gt;0)</f>
        <v>0</v>
      </c>
      <c r="X152" s="14" cm="1">
        <f t="array" ref="X152">INT(SUMPRODUCT(--ISNUMBER(SEARCH(voting,C152)))&gt;0)</f>
        <v>1</v>
      </c>
      <c r="Y152" s="14" cm="1">
        <f t="array" ref="Y152">INT(SUMPRODUCT(--ISNUMBER(SEARCH(republicantrigger,C152)))&gt;0)</f>
        <v>0</v>
      </c>
      <c r="Z152" s="14" cm="1">
        <f t="array" ref="Z152">INT(SUMPRODUCT(--ISNUMBER(SEARCH(bipartisan,C152)))&gt;0)</f>
        <v>0</v>
      </c>
      <c r="AA152" s="14">
        <f t="shared" si="2"/>
        <v>0</v>
      </c>
      <c r="AB152" s="14"/>
      <c r="AC152" s="30">
        <v>0</v>
      </c>
      <c r="AD152" s="37">
        <v>1</v>
      </c>
    </row>
    <row r="153" spans="1:30" x14ac:dyDescent="0.25">
      <c r="A153" s="36">
        <v>1360</v>
      </c>
      <c r="B153" s="14" t="s">
        <v>2747</v>
      </c>
      <c r="C153" s="14" t="s">
        <v>2748</v>
      </c>
      <c r="D153" s="17">
        <v>44126</v>
      </c>
      <c r="E153" s="14" t="s">
        <v>30</v>
      </c>
      <c r="F153" s="14">
        <v>21</v>
      </c>
      <c r="G153" s="14">
        <v>5</v>
      </c>
      <c r="H153" s="14">
        <v>7</v>
      </c>
      <c r="I153" s="14">
        <v>4</v>
      </c>
      <c r="J153" s="14" t="s">
        <v>31</v>
      </c>
      <c r="K153" s="14" cm="1">
        <f t="array" ref="K153">INT(SUMPRODUCT(--ISNUMBER(SEARCH(economy,C153)))&gt;0)</f>
        <v>0</v>
      </c>
      <c r="L153" s="14" cm="1">
        <f t="array" ref="L153">INT(SUMPRODUCT(--ISNUMBER(SEARCH(healthcare,C153)))&gt;0)</f>
        <v>0</v>
      </c>
      <c r="M153" s="14" cm="1">
        <f t="array" ref="M153">INT(SUMPRODUCT(--ISNUMBER(SEARCH(supreme,C153)))&gt;0)</f>
        <v>0</v>
      </c>
      <c r="N153" s="14" cm="1">
        <f t="array" ref="N153">INT(SUMPRODUCT(--ISNUMBER(SEARCH(covid,C153)))&gt;0)</f>
        <v>0</v>
      </c>
      <c r="O153" s="14" cm="1">
        <f t="array" ref="O153">INT(SUMPRODUCT(--ISNUMBER(SEARCH(violent,C153)))&gt;0)</f>
        <v>0</v>
      </c>
      <c r="P153" s="14" cm="1">
        <f t="array" ref="P153">INT(SUMPRODUCT(--ISNUMBER(SEARCH(foreign,C153)))&gt;0)</f>
        <v>0</v>
      </c>
      <c r="Q153" s="14" cm="1">
        <f t="array" ref="Q153">INT(SUMPRODUCT(--ISNUMBER(SEARCH(gun,C153)))&gt;0)</f>
        <v>0</v>
      </c>
      <c r="R153" s="14" cm="1">
        <f t="array" ref="R153">INT(SUMPRODUCT(--ISNUMBER(SEARCH(race,C153)))&gt;0)</f>
        <v>0</v>
      </c>
      <c r="S153" s="14" cm="1">
        <f t="array" ref="S153">INT(SUMPRODUCT(--ISNUMBER(SEARCH(immigration,C153)))&gt;0)</f>
        <v>0</v>
      </c>
      <c r="T153" s="14" cm="1">
        <f t="array" ref="T153">INT(SUMPRODUCT(--ISNUMBER(SEARCH(econineq,C154)))&gt;0)</f>
        <v>0</v>
      </c>
      <c r="U153" s="14" cm="1">
        <f t="array" ref="U153">INT(SUMPRODUCT(--ISNUMBER(SEARCH(climate,C153)))&gt;0)</f>
        <v>0</v>
      </c>
      <c r="V153" s="14" cm="1">
        <f t="array" ref="V153">INT(SUMPRODUCT(--ISNUMBER(SEARCH(abortion,C153)))&gt;0)</f>
        <v>0</v>
      </c>
      <c r="W153" s="14" cm="1">
        <f t="array" ref="W153">INT(SUMPRODUCT(--ISNUMBER(SEARCH(trump,C153)))&gt;0)</f>
        <v>0</v>
      </c>
      <c r="X153" s="14" cm="1">
        <f t="array" ref="X153">INT(SUMPRODUCT(--ISNUMBER(SEARCH(voting,C153)))&gt;0)</f>
        <v>0</v>
      </c>
      <c r="Y153" s="14" cm="1">
        <f t="array" ref="Y153">INT(SUMPRODUCT(--ISNUMBER(SEARCH(republicantrigger,C153)))&gt;0)</f>
        <v>0</v>
      </c>
      <c r="Z153" s="14" cm="1">
        <f t="array" ref="Z153">INT(SUMPRODUCT(--ISNUMBER(SEARCH(bipartisan,C153)))&gt;0)</f>
        <v>0</v>
      </c>
      <c r="AA153" s="14">
        <f t="shared" si="2"/>
        <v>1</v>
      </c>
      <c r="AB153" s="14"/>
      <c r="AC153" s="30">
        <v>1</v>
      </c>
      <c r="AD153" s="37">
        <v>0</v>
      </c>
    </row>
    <row r="154" spans="1:30" x14ac:dyDescent="0.25">
      <c r="A154" s="36">
        <v>1361</v>
      </c>
      <c r="B154" s="14" t="s">
        <v>2749</v>
      </c>
      <c r="C154" s="14" t="s">
        <v>2750</v>
      </c>
      <c r="D154" s="17">
        <v>44126</v>
      </c>
      <c r="E154" s="14" t="s">
        <v>30</v>
      </c>
      <c r="F154" s="14">
        <v>26</v>
      </c>
      <c r="G154" s="14">
        <v>6</v>
      </c>
      <c r="H154" s="14">
        <v>7</v>
      </c>
      <c r="I154" s="14">
        <v>4</v>
      </c>
      <c r="J154" s="14" t="s">
        <v>31</v>
      </c>
      <c r="K154" s="14" cm="1">
        <f t="array" ref="K154">INT(SUMPRODUCT(--ISNUMBER(SEARCH(economy,C154)))&gt;0)</f>
        <v>0</v>
      </c>
      <c r="L154" s="14" cm="1">
        <f t="array" ref="L154">INT(SUMPRODUCT(--ISNUMBER(SEARCH(healthcare,C154)))&gt;0)</f>
        <v>0</v>
      </c>
      <c r="M154" s="14" cm="1">
        <f t="array" ref="M154">INT(SUMPRODUCT(--ISNUMBER(SEARCH(supreme,C154)))&gt;0)</f>
        <v>0</v>
      </c>
      <c r="N154" s="14" cm="1">
        <f t="array" ref="N154">INT(SUMPRODUCT(--ISNUMBER(SEARCH(covid,C154)))&gt;0)</f>
        <v>1</v>
      </c>
      <c r="O154" s="14" cm="1">
        <f t="array" ref="O154">INT(SUMPRODUCT(--ISNUMBER(SEARCH(violent,C154)))&gt;0)</f>
        <v>0</v>
      </c>
      <c r="P154" s="14" cm="1">
        <f t="array" ref="P154">INT(SUMPRODUCT(--ISNUMBER(SEARCH(foreign,C154)))&gt;0)</f>
        <v>0</v>
      </c>
      <c r="Q154" s="14" cm="1">
        <f t="array" ref="Q154">INT(SUMPRODUCT(--ISNUMBER(SEARCH(gun,C154)))&gt;0)</f>
        <v>0</v>
      </c>
      <c r="R154" s="14" cm="1">
        <f t="array" ref="R154">INT(SUMPRODUCT(--ISNUMBER(SEARCH(race,C154)))&gt;0)</f>
        <v>0</v>
      </c>
      <c r="S154" s="14" cm="1">
        <f t="array" ref="S154">INT(SUMPRODUCT(--ISNUMBER(SEARCH(immigration,C154)))&gt;0)</f>
        <v>0</v>
      </c>
      <c r="T154" s="14" cm="1">
        <f t="array" ref="T154">INT(SUMPRODUCT(--ISNUMBER(SEARCH(econineq,C155)))&gt;0)</f>
        <v>0</v>
      </c>
      <c r="U154" s="14" cm="1">
        <f t="array" ref="U154">INT(SUMPRODUCT(--ISNUMBER(SEARCH(climate,C154)))&gt;0)</f>
        <v>0</v>
      </c>
      <c r="V154" s="14" cm="1">
        <f t="array" ref="V154">INT(SUMPRODUCT(--ISNUMBER(SEARCH(abortion,C154)))&gt;0)</f>
        <v>0</v>
      </c>
      <c r="W154" s="14" cm="1">
        <f t="array" ref="W154">INT(SUMPRODUCT(--ISNUMBER(SEARCH(trump,C154)))&gt;0)</f>
        <v>0</v>
      </c>
      <c r="X154" s="14" cm="1">
        <f t="array" ref="X154">INT(SUMPRODUCT(--ISNUMBER(SEARCH(voting,C154)))&gt;0)</f>
        <v>0</v>
      </c>
      <c r="Y154" s="14" cm="1">
        <f t="array" ref="Y154">INT(SUMPRODUCT(--ISNUMBER(SEARCH(republicantrigger,C154)))&gt;0)</f>
        <v>0</v>
      </c>
      <c r="Z154" s="14" cm="1">
        <f t="array" ref="Z154">INT(SUMPRODUCT(--ISNUMBER(SEARCH(bipartisan,C154)))&gt;0)</f>
        <v>0</v>
      </c>
      <c r="AA154" s="14">
        <f t="shared" si="2"/>
        <v>0</v>
      </c>
      <c r="AB154" s="14"/>
      <c r="AC154" s="30">
        <v>1</v>
      </c>
      <c r="AD154" s="37">
        <v>0</v>
      </c>
    </row>
    <row r="155" spans="1:30" x14ac:dyDescent="0.25">
      <c r="A155" s="36">
        <v>1362</v>
      </c>
      <c r="B155" s="14" t="s">
        <v>2751</v>
      </c>
      <c r="C155" s="14" t="s">
        <v>2752</v>
      </c>
      <c r="D155" s="17">
        <v>44126</v>
      </c>
      <c r="E155" s="14" t="s">
        <v>30</v>
      </c>
      <c r="F155" s="14">
        <v>135</v>
      </c>
      <c r="G155" s="14">
        <v>27</v>
      </c>
      <c r="H155" s="14">
        <v>7</v>
      </c>
      <c r="I155" s="14">
        <v>4</v>
      </c>
      <c r="J155" s="14" t="s">
        <v>31</v>
      </c>
      <c r="K155" s="14" cm="1">
        <f t="array" ref="K155">INT(SUMPRODUCT(--ISNUMBER(SEARCH(economy,C155)))&gt;0)</f>
        <v>0</v>
      </c>
      <c r="L155" s="14" cm="1">
        <f t="array" ref="L155">INT(SUMPRODUCT(--ISNUMBER(SEARCH(healthcare,C155)))&gt;0)</f>
        <v>0</v>
      </c>
      <c r="M155" s="14" cm="1">
        <f t="array" ref="M155">INT(SUMPRODUCT(--ISNUMBER(SEARCH(supreme,C155)))&gt;0)</f>
        <v>0</v>
      </c>
      <c r="N155" s="14" cm="1">
        <f t="array" ref="N155">INT(SUMPRODUCT(--ISNUMBER(SEARCH(covid,C155)))&gt;0)</f>
        <v>0</v>
      </c>
      <c r="O155" s="14" cm="1">
        <f t="array" ref="O155">INT(SUMPRODUCT(--ISNUMBER(SEARCH(violent,C155)))&gt;0)</f>
        <v>0</v>
      </c>
      <c r="P155" s="14" cm="1">
        <f t="array" ref="P155">INT(SUMPRODUCT(--ISNUMBER(SEARCH(foreign,C155)))&gt;0)</f>
        <v>0</v>
      </c>
      <c r="Q155" s="14" cm="1">
        <f t="array" ref="Q155">INT(SUMPRODUCT(--ISNUMBER(SEARCH(gun,C155)))&gt;0)</f>
        <v>0</v>
      </c>
      <c r="R155" s="14" cm="1">
        <f t="array" ref="R155">INT(SUMPRODUCT(--ISNUMBER(SEARCH(race,C155)))&gt;0)</f>
        <v>0</v>
      </c>
      <c r="S155" s="14" cm="1">
        <f t="array" ref="S155">INT(SUMPRODUCT(--ISNUMBER(SEARCH(immigration,C155)))&gt;0)</f>
        <v>0</v>
      </c>
      <c r="T155" s="14" cm="1">
        <f t="array" ref="T155">INT(SUMPRODUCT(--ISNUMBER(SEARCH(econineq,C156)))&gt;0)</f>
        <v>0</v>
      </c>
      <c r="U155" s="14" cm="1">
        <f t="array" ref="U155">INT(SUMPRODUCT(--ISNUMBER(SEARCH(climate,C155)))&gt;0)</f>
        <v>0</v>
      </c>
      <c r="V155" s="14" cm="1">
        <f t="array" ref="V155">INT(SUMPRODUCT(--ISNUMBER(SEARCH(abortion,C155)))&gt;0)</f>
        <v>0</v>
      </c>
      <c r="W155" s="14" cm="1">
        <f t="array" ref="W155">INT(SUMPRODUCT(--ISNUMBER(SEARCH(trump,C155)))&gt;0)</f>
        <v>0</v>
      </c>
      <c r="X155" s="14" cm="1">
        <f t="array" ref="X155">INT(SUMPRODUCT(--ISNUMBER(SEARCH(voting,C155)))&gt;0)</f>
        <v>0</v>
      </c>
      <c r="Y155" s="14" cm="1">
        <f t="array" ref="Y155">INT(SUMPRODUCT(--ISNUMBER(SEARCH(republicantrigger,C155)))&gt;0)</f>
        <v>0</v>
      </c>
      <c r="Z155" s="14" cm="1">
        <f t="array" ref="Z155">INT(SUMPRODUCT(--ISNUMBER(SEARCH(bipartisan,C155)))&gt;0)</f>
        <v>0</v>
      </c>
      <c r="AA155" s="14">
        <f t="shared" si="2"/>
        <v>1</v>
      </c>
      <c r="AB155" s="14"/>
      <c r="AC155" s="30">
        <v>1</v>
      </c>
      <c r="AD155" s="37">
        <v>0</v>
      </c>
    </row>
    <row r="156" spans="1:30" x14ac:dyDescent="0.25">
      <c r="A156" s="36">
        <v>1363</v>
      </c>
      <c r="B156" s="14" t="s">
        <v>2753</v>
      </c>
      <c r="C156" s="14" t="s">
        <v>2754</v>
      </c>
      <c r="D156" s="17">
        <v>44126</v>
      </c>
      <c r="E156" s="14" t="s">
        <v>30</v>
      </c>
      <c r="F156" s="14">
        <v>12</v>
      </c>
      <c r="G156" s="14">
        <v>1</v>
      </c>
      <c r="H156" s="14">
        <v>7</v>
      </c>
      <c r="I156" s="14">
        <v>4</v>
      </c>
      <c r="J156" s="14" t="s">
        <v>31</v>
      </c>
      <c r="K156" s="14" cm="1">
        <f t="array" ref="K156">INT(SUMPRODUCT(--ISNUMBER(SEARCH(economy,C156)))&gt;0)</f>
        <v>1</v>
      </c>
      <c r="L156" s="14" cm="1">
        <f t="array" ref="L156">INT(SUMPRODUCT(--ISNUMBER(SEARCH(healthcare,C156)))&gt;0)</f>
        <v>0</v>
      </c>
      <c r="M156" s="14" cm="1">
        <f t="array" ref="M156">INT(SUMPRODUCT(--ISNUMBER(SEARCH(supreme,C156)))&gt;0)</f>
        <v>0</v>
      </c>
      <c r="N156" s="14" cm="1">
        <f t="array" ref="N156">INT(SUMPRODUCT(--ISNUMBER(SEARCH(covid,C156)))&gt;0)</f>
        <v>0</v>
      </c>
      <c r="O156" s="14" cm="1">
        <f t="array" ref="O156">INT(SUMPRODUCT(--ISNUMBER(SEARCH(violent,C156)))&gt;0)</f>
        <v>0</v>
      </c>
      <c r="P156" s="14" cm="1">
        <f t="array" ref="P156">INT(SUMPRODUCT(--ISNUMBER(SEARCH(foreign,C156)))&gt;0)</f>
        <v>0</v>
      </c>
      <c r="Q156" s="14" cm="1">
        <f t="array" ref="Q156">INT(SUMPRODUCT(--ISNUMBER(SEARCH(gun,C156)))&gt;0)</f>
        <v>0</v>
      </c>
      <c r="R156" s="14" cm="1">
        <f t="array" ref="R156">INT(SUMPRODUCT(--ISNUMBER(SEARCH(race,C156)))&gt;0)</f>
        <v>0</v>
      </c>
      <c r="S156" s="14" cm="1">
        <f t="array" ref="S156">INT(SUMPRODUCT(--ISNUMBER(SEARCH(immigration,C156)))&gt;0)</f>
        <v>0</v>
      </c>
      <c r="T156" s="14" cm="1">
        <f t="array" ref="T156">INT(SUMPRODUCT(--ISNUMBER(SEARCH(econineq,C157)))&gt;0)</f>
        <v>0</v>
      </c>
      <c r="U156" s="14" cm="1">
        <f t="array" ref="U156">INT(SUMPRODUCT(--ISNUMBER(SEARCH(climate,C156)))&gt;0)</f>
        <v>0</v>
      </c>
      <c r="V156" s="14" cm="1">
        <f t="array" ref="V156">INT(SUMPRODUCT(--ISNUMBER(SEARCH(abortion,C156)))&gt;0)</f>
        <v>0</v>
      </c>
      <c r="W156" s="14" cm="1">
        <f t="array" ref="W156">INT(SUMPRODUCT(--ISNUMBER(SEARCH(trump,C156)))&gt;0)</f>
        <v>0</v>
      </c>
      <c r="X156" s="14" cm="1">
        <f t="array" ref="X156">INT(SUMPRODUCT(--ISNUMBER(SEARCH(voting,C156)))&gt;0)</f>
        <v>0</v>
      </c>
      <c r="Y156" s="14" cm="1">
        <f t="array" ref="Y156">INT(SUMPRODUCT(--ISNUMBER(SEARCH(republicantrigger,C156)))&gt;0)</f>
        <v>0</v>
      </c>
      <c r="Z156" s="14" cm="1">
        <f t="array" ref="Z156">INT(SUMPRODUCT(--ISNUMBER(SEARCH(bipartisan,C156)))&gt;0)</f>
        <v>0</v>
      </c>
      <c r="AA156" s="14">
        <f t="shared" si="2"/>
        <v>0</v>
      </c>
      <c r="AB156" s="14"/>
      <c r="AC156" s="30">
        <v>0</v>
      </c>
      <c r="AD156" s="37">
        <v>1</v>
      </c>
    </row>
    <row r="157" spans="1:30" x14ac:dyDescent="0.25">
      <c r="A157" s="36">
        <v>1364</v>
      </c>
      <c r="B157" s="14" t="s">
        <v>2755</v>
      </c>
      <c r="C157" s="14" t="s">
        <v>2756</v>
      </c>
      <c r="D157" s="17">
        <v>44126</v>
      </c>
      <c r="E157" s="14" t="s">
        <v>30</v>
      </c>
      <c r="F157" s="14">
        <v>18</v>
      </c>
      <c r="G157" s="14">
        <v>4</v>
      </c>
      <c r="H157" s="14">
        <v>7</v>
      </c>
      <c r="I157" s="14">
        <v>4</v>
      </c>
      <c r="J157" s="14" t="s">
        <v>31</v>
      </c>
      <c r="K157" s="14" cm="1">
        <f t="array" ref="K157">INT(SUMPRODUCT(--ISNUMBER(SEARCH(economy,C157)))&gt;0)</f>
        <v>1</v>
      </c>
      <c r="L157" s="14" cm="1">
        <f t="array" ref="L157">INT(SUMPRODUCT(--ISNUMBER(SEARCH(healthcare,C157)))&gt;0)</f>
        <v>0</v>
      </c>
      <c r="M157" s="14" cm="1">
        <f t="array" ref="M157">INT(SUMPRODUCT(--ISNUMBER(SEARCH(supreme,C157)))&gt;0)</f>
        <v>0</v>
      </c>
      <c r="N157" s="14" cm="1">
        <f t="array" ref="N157">INT(SUMPRODUCT(--ISNUMBER(SEARCH(covid,C157)))&gt;0)</f>
        <v>0</v>
      </c>
      <c r="O157" s="14" cm="1">
        <f t="array" ref="O157">INT(SUMPRODUCT(--ISNUMBER(SEARCH(violent,C157)))&gt;0)</f>
        <v>0</v>
      </c>
      <c r="P157" s="14" cm="1">
        <f t="array" ref="P157">INT(SUMPRODUCT(--ISNUMBER(SEARCH(foreign,C157)))&gt;0)</f>
        <v>0</v>
      </c>
      <c r="Q157" s="14" cm="1">
        <f t="array" ref="Q157">INT(SUMPRODUCT(--ISNUMBER(SEARCH(gun,C157)))&gt;0)</f>
        <v>0</v>
      </c>
      <c r="R157" s="14" cm="1">
        <f t="array" ref="R157">INT(SUMPRODUCT(--ISNUMBER(SEARCH(race,C157)))&gt;0)</f>
        <v>0</v>
      </c>
      <c r="S157" s="14" cm="1">
        <f t="array" ref="S157">INT(SUMPRODUCT(--ISNUMBER(SEARCH(immigration,C157)))&gt;0)</f>
        <v>0</v>
      </c>
      <c r="T157" s="14" cm="1">
        <f t="array" ref="T157">INT(SUMPRODUCT(--ISNUMBER(SEARCH(econineq,C158)))&gt;0)</f>
        <v>0</v>
      </c>
      <c r="U157" s="14" cm="1">
        <f t="array" ref="U157">INT(SUMPRODUCT(--ISNUMBER(SEARCH(climate,C157)))&gt;0)</f>
        <v>0</v>
      </c>
      <c r="V157" s="14" cm="1">
        <f t="array" ref="V157">INT(SUMPRODUCT(--ISNUMBER(SEARCH(abortion,C157)))&gt;0)</f>
        <v>0</v>
      </c>
      <c r="W157" s="14" cm="1">
        <f t="array" ref="W157">INT(SUMPRODUCT(--ISNUMBER(SEARCH(trump,C157)))&gt;0)</f>
        <v>0</v>
      </c>
      <c r="X157" s="14" cm="1">
        <f t="array" ref="X157">INT(SUMPRODUCT(--ISNUMBER(SEARCH(voting,C157)))&gt;0)</f>
        <v>0</v>
      </c>
      <c r="Y157" s="14" cm="1">
        <f t="array" ref="Y157">INT(SUMPRODUCT(--ISNUMBER(SEARCH(republicantrigger,C157)))&gt;0)</f>
        <v>0</v>
      </c>
      <c r="Z157" s="14" cm="1">
        <f t="array" ref="Z157">INT(SUMPRODUCT(--ISNUMBER(SEARCH(bipartisan,C157)))&gt;0)</f>
        <v>0</v>
      </c>
      <c r="AA157" s="14">
        <f t="shared" si="2"/>
        <v>0</v>
      </c>
      <c r="AB157" s="14"/>
      <c r="AC157" s="30">
        <v>0</v>
      </c>
      <c r="AD157" s="37">
        <v>0</v>
      </c>
    </row>
    <row r="158" spans="1:30" x14ac:dyDescent="0.25">
      <c r="A158" s="36">
        <v>1365</v>
      </c>
      <c r="B158" s="14" t="s">
        <v>2757</v>
      </c>
      <c r="C158" s="14" t="s">
        <v>2758</v>
      </c>
      <c r="D158" s="17">
        <v>44126</v>
      </c>
      <c r="E158" s="14" t="s">
        <v>30</v>
      </c>
      <c r="F158" s="14">
        <v>20</v>
      </c>
      <c r="G158" s="14">
        <v>4</v>
      </c>
      <c r="H158" s="14">
        <v>7</v>
      </c>
      <c r="I158" s="14">
        <v>4</v>
      </c>
      <c r="J158" s="14" t="s">
        <v>31</v>
      </c>
      <c r="K158" s="14" cm="1">
        <f t="array" ref="K158">INT(SUMPRODUCT(--ISNUMBER(SEARCH(economy,C158)))&gt;0)</f>
        <v>0</v>
      </c>
      <c r="L158" s="14" cm="1">
        <f t="array" ref="L158">INT(SUMPRODUCT(--ISNUMBER(SEARCH(healthcare,C158)))&gt;0)</f>
        <v>0</v>
      </c>
      <c r="M158" s="14" cm="1">
        <f t="array" ref="M158">INT(SUMPRODUCT(--ISNUMBER(SEARCH(supreme,C158)))&gt;0)</f>
        <v>0</v>
      </c>
      <c r="N158" s="14" cm="1">
        <f t="array" ref="N158">INT(SUMPRODUCT(--ISNUMBER(SEARCH(covid,C158)))&gt;0)</f>
        <v>0</v>
      </c>
      <c r="O158" s="14" cm="1">
        <f t="array" ref="O158">INT(SUMPRODUCT(--ISNUMBER(SEARCH(violent,C158)))&gt;0)</f>
        <v>0</v>
      </c>
      <c r="P158" s="14" cm="1">
        <f t="array" ref="P158">INT(SUMPRODUCT(--ISNUMBER(SEARCH(foreign,C158)))&gt;0)</f>
        <v>0</v>
      </c>
      <c r="Q158" s="14" cm="1">
        <f t="array" ref="Q158">INT(SUMPRODUCT(--ISNUMBER(SEARCH(gun,C158)))&gt;0)</f>
        <v>0</v>
      </c>
      <c r="R158" s="14" cm="1">
        <f t="array" ref="R158">INT(SUMPRODUCT(--ISNUMBER(SEARCH(race,C158)))&gt;0)</f>
        <v>0</v>
      </c>
      <c r="S158" s="14" cm="1">
        <f t="array" ref="S158">INT(SUMPRODUCT(--ISNUMBER(SEARCH(immigration,C158)))&gt;0)</f>
        <v>0</v>
      </c>
      <c r="T158" s="14" cm="1">
        <f t="array" ref="T158">INT(SUMPRODUCT(--ISNUMBER(SEARCH(econineq,C159)))&gt;0)</f>
        <v>0</v>
      </c>
      <c r="U158" s="14" cm="1">
        <f t="array" ref="U158">INT(SUMPRODUCT(--ISNUMBER(SEARCH(climate,C158)))&gt;0)</f>
        <v>0</v>
      </c>
      <c r="V158" s="14" cm="1">
        <f t="array" ref="V158">INT(SUMPRODUCT(--ISNUMBER(SEARCH(abortion,C158)))&gt;0)</f>
        <v>0</v>
      </c>
      <c r="W158" s="14" cm="1">
        <f t="array" ref="W158">INT(SUMPRODUCT(--ISNUMBER(SEARCH(trump,C158)))&gt;0)</f>
        <v>0</v>
      </c>
      <c r="X158" s="14" cm="1">
        <f t="array" ref="X158">INT(SUMPRODUCT(--ISNUMBER(SEARCH(voting,C158)))&gt;0)</f>
        <v>0</v>
      </c>
      <c r="Y158" s="14" cm="1">
        <f t="array" ref="Y158">INT(SUMPRODUCT(--ISNUMBER(SEARCH(republicantrigger,C158)))&gt;0)</f>
        <v>0</v>
      </c>
      <c r="Z158" s="14" cm="1">
        <f t="array" ref="Z158">INT(SUMPRODUCT(--ISNUMBER(SEARCH(bipartisan,C158)))&gt;0)</f>
        <v>0</v>
      </c>
      <c r="AA158" s="14">
        <f t="shared" si="2"/>
        <v>1</v>
      </c>
      <c r="AB158" s="14"/>
      <c r="AC158" s="30">
        <v>0</v>
      </c>
      <c r="AD158" s="37">
        <v>0</v>
      </c>
    </row>
    <row r="159" spans="1:30" x14ac:dyDescent="0.25">
      <c r="A159" s="36">
        <v>1366</v>
      </c>
      <c r="B159" s="14" t="s">
        <v>2759</v>
      </c>
      <c r="C159" s="14" t="s">
        <v>2760</v>
      </c>
      <c r="D159" s="17">
        <v>44126</v>
      </c>
      <c r="E159" s="14" t="s">
        <v>30</v>
      </c>
      <c r="F159" s="14">
        <v>25</v>
      </c>
      <c r="G159" s="14">
        <v>6</v>
      </c>
      <c r="H159" s="14">
        <v>7</v>
      </c>
      <c r="I159" s="14">
        <v>4</v>
      </c>
      <c r="J159" s="14" t="s">
        <v>31</v>
      </c>
      <c r="K159" s="14" cm="1">
        <f t="array" ref="K159">INT(SUMPRODUCT(--ISNUMBER(SEARCH(economy,C159)))&gt;0)</f>
        <v>0</v>
      </c>
      <c r="L159" s="14" cm="1">
        <f t="array" ref="L159">INT(SUMPRODUCT(--ISNUMBER(SEARCH(healthcare,C159)))&gt;0)</f>
        <v>0</v>
      </c>
      <c r="M159" s="14" cm="1">
        <f t="array" ref="M159">INT(SUMPRODUCT(--ISNUMBER(SEARCH(supreme,C159)))&gt;0)</f>
        <v>0</v>
      </c>
      <c r="N159" s="14" cm="1">
        <f t="array" ref="N159">INT(SUMPRODUCT(--ISNUMBER(SEARCH(covid,C159)))&gt;0)</f>
        <v>0</v>
      </c>
      <c r="O159" s="14" cm="1">
        <f t="array" ref="O159">INT(SUMPRODUCT(--ISNUMBER(SEARCH(violent,C159)))&gt;0)</f>
        <v>0</v>
      </c>
      <c r="P159" s="14" cm="1">
        <f t="array" ref="P159">INT(SUMPRODUCT(--ISNUMBER(SEARCH(foreign,C159)))&gt;0)</f>
        <v>1</v>
      </c>
      <c r="Q159" s="14" cm="1">
        <f t="array" ref="Q159">INT(SUMPRODUCT(--ISNUMBER(SEARCH(gun,C159)))&gt;0)</f>
        <v>0</v>
      </c>
      <c r="R159" s="14" cm="1">
        <f t="array" ref="R159">INT(SUMPRODUCT(--ISNUMBER(SEARCH(race,C159)))&gt;0)</f>
        <v>0</v>
      </c>
      <c r="S159" s="14" cm="1">
        <f t="array" ref="S159">INT(SUMPRODUCT(--ISNUMBER(SEARCH(immigration,C159)))&gt;0)</f>
        <v>0</v>
      </c>
      <c r="T159" s="14" cm="1">
        <f t="array" ref="T159">INT(SUMPRODUCT(--ISNUMBER(SEARCH(econineq,C160)))&gt;0)</f>
        <v>0</v>
      </c>
      <c r="U159" s="14" cm="1">
        <f t="array" ref="U159">INT(SUMPRODUCT(--ISNUMBER(SEARCH(climate,C159)))&gt;0)</f>
        <v>0</v>
      </c>
      <c r="V159" s="14" cm="1">
        <f t="array" ref="V159">INT(SUMPRODUCT(--ISNUMBER(SEARCH(abortion,C159)))&gt;0)</f>
        <v>0</v>
      </c>
      <c r="W159" s="14" cm="1">
        <f t="array" ref="W159">INT(SUMPRODUCT(--ISNUMBER(SEARCH(trump,C159)))&gt;0)</f>
        <v>0</v>
      </c>
      <c r="X159" s="14" cm="1">
        <f t="array" ref="X159">INT(SUMPRODUCT(--ISNUMBER(SEARCH(voting,C159)))&gt;0)</f>
        <v>0</v>
      </c>
      <c r="Y159" s="14" cm="1">
        <f t="array" ref="Y159">INT(SUMPRODUCT(--ISNUMBER(SEARCH(republicantrigger,C159)))&gt;0)</f>
        <v>0</v>
      </c>
      <c r="Z159" s="14" cm="1">
        <f t="array" ref="Z159">INT(SUMPRODUCT(--ISNUMBER(SEARCH(bipartisan,C159)))&gt;0)</f>
        <v>0</v>
      </c>
      <c r="AA159" s="14">
        <f t="shared" si="2"/>
        <v>0</v>
      </c>
      <c r="AB159" s="14"/>
      <c r="AC159" s="30">
        <v>1</v>
      </c>
      <c r="AD159" s="37">
        <v>0</v>
      </c>
    </row>
    <row r="160" spans="1:30" x14ac:dyDescent="0.25">
      <c r="A160" s="36">
        <v>1367</v>
      </c>
      <c r="B160" s="14" t="s">
        <v>2761</v>
      </c>
      <c r="C160" s="14" t="s">
        <v>2762</v>
      </c>
      <c r="D160" s="17">
        <v>44126</v>
      </c>
      <c r="E160" s="14" t="s">
        <v>30</v>
      </c>
      <c r="F160" s="14">
        <v>16</v>
      </c>
      <c r="G160" s="14">
        <v>1</v>
      </c>
      <c r="H160" s="14">
        <v>7</v>
      </c>
      <c r="I160" s="14">
        <v>4</v>
      </c>
      <c r="J160" s="14" t="s">
        <v>31</v>
      </c>
      <c r="K160" s="14" cm="1">
        <f t="array" ref="K160">INT(SUMPRODUCT(--ISNUMBER(SEARCH(economy,C160)))&gt;0)</f>
        <v>1</v>
      </c>
      <c r="L160" s="14" cm="1">
        <f t="array" ref="L160">INT(SUMPRODUCT(--ISNUMBER(SEARCH(healthcare,C160)))&gt;0)</f>
        <v>0</v>
      </c>
      <c r="M160" s="14" cm="1">
        <f t="array" ref="M160">INT(SUMPRODUCT(--ISNUMBER(SEARCH(supreme,C160)))&gt;0)</f>
        <v>0</v>
      </c>
      <c r="N160" s="14" cm="1">
        <f t="array" ref="N160">INT(SUMPRODUCT(--ISNUMBER(SEARCH(covid,C160)))&gt;0)</f>
        <v>1</v>
      </c>
      <c r="O160" s="14" cm="1">
        <f t="array" ref="O160">INT(SUMPRODUCT(--ISNUMBER(SEARCH(violent,C160)))&gt;0)</f>
        <v>0</v>
      </c>
      <c r="P160" s="14" cm="1">
        <f t="array" ref="P160">INT(SUMPRODUCT(--ISNUMBER(SEARCH(foreign,C160)))&gt;0)</f>
        <v>0</v>
      </c>
      <c r="Q160" s="14" cm="1">
        <f t="array" ref="Q160">INT(SUMPRODUCT(--ISNUMBER(SEARCH(gun,C160)))&gt;0)</f>
        <v>0</v>
      </c>
      <c r="R160" s="14" cm="1">
        <f t="array" ref="R160">INT(SUMPRODUCT(--ISNUMBER(SEARCH(race,C160)))&gt;0)</f>
        <v>0</v>
      </c>
      <c r="S160" s="14" cm="1">
        <f t="array" ref="S160">INT(SUMPRODUCT(--ISNUMBER(SEARCH(immigration,C160)))&gt;0)</f>
        <v>0</v>
      </c>
      <c r="T160" s="14" cm="1">
        <f t="array" ref="T160">INT(SUMPRODUCT(--ISNUMBER(SEARCH(econineq,C161)))&gt;0)</f>
        <v>0</v>
      </c>
      <c r="U160" s="14" cm="1">
        <f t="array" ref="U160">INT(SUMPRODUCT(--ISNUMBER(SEARCH(climate,C160)))&gt;0)</f>
        <v>0</v>
      </c>
      <c r="V160" s="14" cm="1">
        <f t="array" ref="V160">INT(SUMPRODUCT(--ISNUMBER(SEARCH(abortion,C160)))&gt;0)</f>
        <v>0</v>
      </c>
      <c r="W160" s="14" cm="1">
        <f t="array" ref="W160">INT(SUMPRODUCT(--ISNUMBER(SEARCH(trump,C160)))&gt;0)</f>
        <v>0</v>
      </c>
      <c r="X160" s="14" cm="1">
        <f t="array" ref="X160">INT(SUMPRODUCT(--ISNUMBER(SEARCH(voting,C160)))&gt;0)</f>
        <v>0</v>
      </c>
      <c r="Y160" s="14" cm="1">
        <f t="array" ref="Y160">INT(SUMPRODUCT(--ISNUMBER(SEARCH(republicantrigger,C160)))&gt;0)</f>
        <v>0</v>
      </c>
      <c r="Z160" s="14" cm="1">
        <f t="array" ref="Z160">INT(SUMPRODUCT(--ISNUMBER(SEARCH(bipartisan,C160)))&gt;0)</f>
        <v>1</v>
      </c>
      <c r="AA160" s="14">
        <f t="shared" si="2"/>
        <v>0</v>
      </c>
      <c r="AB160" s="14"/>
      <c r="AC160" s="30">
        <v>1</v>
      </c>
      <c r="AD160" s="37">
        <v>0</v>
      </c>
    </row>
    <row r="161" spans="1:30" x14ac:dyDescent="0.25">
      <c r="A161" s="36">
        <v>1368</v>
      </c>
      <c r="B161" s="14" t="s">
        <v>2763</v>
      </c>
      <c r="C161" s="14" t="s">
        <v>2764</v>
      </c>
      <c r="D161" s="17">
        <v>44126</v>
      </c>
      <c r="E161" s="14" t="s">
        <v>30</v>
      </c>
      <c r="F161" s="14">
        <v>51</v>
      </c>
      <c r="G161" s="14">
        <v>9</v>
      </c>
      <c r="H161" s="14">
        <v>7</v>
      </c>
      <c r="I161" s="14">
        <v>4</v>
      </c>
      <c r="J161" s="14" t="s">
        <v>31</v>
      </c>
      <c r="K161" s="14" cm="1">
        <f t="array" ref="K161">INT(SUMPRODUCT(--ISNUMBER(SEARCH(economy,C161)))&gt;0)</f>
        <v>0</v>
      </c>
      <c r="L161" s="14" cm="1">
        <f t="array" ref="L161">INT(SUMPRODUCT(--ISNUMBER(SEARCH(healthcare,C161)))&gt;0)</f>
        <v>0</v>
      </c>
      <c r="M161" s="14" cm="1">
        <f t="array" ref="M161">INT(SUMPRODUCT(--ISNUMBER(SEARCH(supreme,C161)))&gt;0)</f>
        <v>0</v>
      </c>
      <c r="N161" s="14" cm="1">
        <f t="array" ref="N161">INT(SUMPRODUCT(--ISNUMBER(SEARCH(covid,C161)))&gt;0)</f>
        <v>0</v>
      </c>
      <c r="O161" s="14" cm="1">
        <f t="array" ref="O161">INT(SUMPRODUCT(--ISNUMBER(SEARCH(violent,C161)))&gt;0)</f>
        <v>0</v>
      </c>
      <c r="P161" s="14" cm="1">
        <f t="array" ref="P161">INT(SUMPRODUCT(--ISNUMBER(SEARCH(foreign,C161)))&gt;0)</f>
        <v>1</v>
      </c>
      <c r="Q161" s="14" cm="1">
        <f t="array" ref="Q161">INT(SUMPRODUCT(--ISNUMBER(SEARCH(gun,C161)))&gt;0)</f>
        <v>0</v>
      </c>
      <c r="R161" s="14" cm="1">
        <f t="array" ref="R161">INT(SUMPRODUCT(--ISNUMBER(SEARCH(race,C161)))&gt;0)</f>
        <v>0</v>
      </c>
      <c r="S161" s="14" cm="1">
        <f t="array" ref="S161">INT(SUMPRODUCT(--ISNUMBER(SEARCH(immigration,C161)))&gt;0)</f>
        <v>0</v>
      </c>
      <c r="T161" s="14" cm="1">
        <f t="array" ref="T161">INT(SUMPRODUCT(--ISNUMBER(SEARCH(econineq,C162)))&gt;0)</f>
        <v>0</v>
      </c>
      <c r="U161" s="14" cm="1">
        <f t="array" ref="U161">INT(SUMPRODUCT(--ISNUMBER(SEARCH(climate,C161)))&gt;0)</f>
        <v>0</v>
      </c>
      <c r="V161" s="14" cm="1">
        <f t="array" ref="V161">INT(SUMPRODUCT(--ISNUMBER(SEARCH(abortion,C161)))&gt;0)</f>
        <v>0</v>
      </c>
      <c r="W161" s="14" cm="1">
        <f t="array" ref="W161">INT(SUMPRODUCT(--ISNUMBER(SEARCH(trump,C161)))&gt;0)</f>
        <v>0</v>
      </c>
      <c r="X161" s="14" cm="1">
        <f t="array" ref="X161">INT(SUMPRODUCT(--ISNUMBER(SEARCH(voting,C161)))&gt;0)</f>
        <v>0</v>
      </c>
      <c r="Y161" s="14" cm="1">
        <f t="array" ref="Y161">INT(SUMPRODUCT(--ISNUMBER(SEARCH(republicantrigger,C161)))&gt;0)</f>
        <v>0</v>
      </c>
      <c r="Z161" s="14" cm="1">
        <f t="array" ref="Z161">INT(SUMPRODUCT(--ISNUMBER(SEARCH(bipartisan,C161)))&gt;0)</f>
        <v>0</v>
      </c>
      <c r="AA161" s="14">
        <f t="shared" si="2"/>
        <v>0</v>
      </c>
      <c r="AB161" s="14"/>
      <c r="AC161" s="30">
        <v>1</v>
      </c>
      <c r="AD161" s="37">
        <v>0</v>
      </c>
    </row>
    <row r="162" spans="1:30" x14ac:dyDescent="0.25">
      <c r="A162" s="36">
        <v>1369</v>
      </c>
      <c r="B162" s="14" t="s">
        <v>2765</v>
      </c>
      <c r="C162" s="14" t="s">
        <v>2766</v>
      </c>
      <c r="D162" s="17">
        <v>44126</v>
      </c>
      <c r="E162" s="14" t="s">
        <v>30</v>
      </c>
      <c r="F162" s="14">
        <v>31</v>
      </c>
      <c r="G162" s="14">
        <v>3</v>
      </c>
      <c r="H162" s="14">
        <v>7</v>
      </c>
      <c r="I162" s="14">
        <v>4</v>
      </c>
      <c r="J162" s="14" t="s">
        <v>31</v>
      </c>
      <c r="K162" s="14" cm="1">
        <f t="array" ref="K162">INT(SUMPRODUCT(--ISNUMBER(SEARCH(economy,C162)))&gt;0)</f>
        <v>0</v>
      </c>
      <c r="L162" s="14" cm="1">
        <f t="array" ref="L162">INT(SUMPRODUCT(--ISNUMBER(SEARCH(healthcare,C162)))&gt;0)</f>
        <v>0</v>
      </c>
      <c r="M162" s="14" cm="1">
        <f t="array" ref="M162">INT(SUMPRODUCT(--ISNUMBER(SEARCH(supreme,C162)))&gt;0)</f>
        <v>0</v>
      </c>
      <c r="N162" s="14" cm="1">
        <f t="array" ref="N162">INT(SUMPRODUCT(--ISNUMBER(SEARCH(covid,C162)))&gt;0)</f>
        <v>0</v>
      </c>
      <c r="O162" s="14" cm="1">
        <f t="array" ref="O162">INT(SUMPRODUCT(--ISNUMBER(SEARCH(violent,C162)))&gt;0)</f>
        <v>0</v>
      </c>
      <c r="P162" s="14" cm="1">
        <f t="array" ref="P162">INT(SUMPRODUCT(--ISNUMBER(SEARCH(foreign,C162)))&gt;0)</f>
        <v>0</v>
      </c>
      <c r="Q162" s="14" cm="1">
        <f t="array" ref="Q162">INT(SUMPRODUCT(--ISNUMBER(SEARCH(gun,C162)))&gt;0)</f>
        <v>0</v>
      </c>
      <c r="R162" s="14" cm="1">
        <f t="array" ref="R162">INT(SUMPRODUCT(--ISNUMBER(SEARCH(race,C162)))&gt;0)</f>
        <v>0</v>
      </c>
      <c r="S162" s="14" cm="1">
        <f t="array" ref="S162">INT(SUMPRODUCT(--ISNUMBER(SEARCH(immigration,C162)))&gt;0)</f>
        <v>0</v>
      </c>
      <c r="T162" s="14" cm="1">
        <f t="array" ref="T162">INT(SUMPRODUCT(--ISNUMBER(SEARCH(econineq,C163)))&gt;0)</f>
        <v>0</v>
      </c>
      <c r="U162" s="14" cm="1">
        <f t="array" ref="U162">INT(SUMPRODUCT(--ISNUMBER(SEARCH(climate,C162)))&gt;0)</f>
        <v>0</v>
      </c>
      <c r="V162" s="14" cm="1">
        <f t="array" ref="V162">INT(SUMPRODUCT(--ISNUMBER(SEARCH(abortion,C162)))&gt;0)</f>
        <v>0</v>
      </c>
      <c r="W162" s="14" cm="1">
        <f t="array" ref="W162">INT(SUMPRODUCT(--ISNUMBER(SEARCH(trump,C162)))&gt;0)</f>
        <v>0</v>
      </c>
      <c r="X162" s="14" cm="1">
        <f t="array" ref="X162">INT(SUMPRODUCT(--ISNUMBER(SEARCH(voting,C162)))&gt;0)</f>
        <v>0</v>
      </c>
      <c r="Y162" s="14" cm="1">
        <f t="array" ref="Y162">INT(SUMPRODUCT(--ISNUMBER(SEARCH(republicantrigger,C162)))&gt;0)</f>
        <v>0</v>
      </c>
      <c r="Z162" s="14" cm="1">
        <f t="array" ref="Z162">INT(SUMPRODUCT(--ISNUMBER(SEARCH(bipartisan,C162)))&gt;0)</f>
        <v>0</v>
      </c>
      <c r="AA162" s="14">
        <f t="shared" si="2"/>
        <v>1</v>
      </c>
      <c r="AB162" s="14"/>
      <c r="AC162" s="30">
        <v>1</v>
      </c>
      <c r="AD162" s="37">
        <v>0</v>
      </c>
    </row>
    <row r="163" spans="1:30" x14ac:dyDescent="0.25">
      <c r="A163" s="36">
        <v>1370</v>
      </c>
      <c r="B163" s="14" t="s">
        <v>2767</v>
      </c>
      <c r="C163" s="14" t="s">
        <v>2768</v>
      </c>
      <c r="D163" s="17">
        <v>44126</v>
      </c>
      <c r="E163" s="14" t="s">
        <v>30</v>
      </c>
      <c r="F163" s="14">
        <v>41</v>
      </c>
      <c r="G163" s="14">
        <v>6</v>
      </c>
      <c r="H163" s="14">
        <v>7</v>
      </c>
      <c r="I163" s="14">
        <v>4</v>
      </c>
      <c r="J163" s="14" t="s">
        <v>31</v>
      </c>
      <c r="K163" s="14" cm="1">
        <f t="array" ref="K163">INT(SUMPRODUCT(--ISNUMBER(SEARCH(economy,C163)))&gt;0)</f>
        <v>0</v>
      </c>
      <c r="L163" s="14" cm="1">
        <f t="array" ref="L163">INT(SUMPRODUCT(--ISNUMBER(SEARCH(healthcare,C163)))&gt;0)</f>
        <v>0</v>
      </c>
      <c r="M163" s="14" cm="1">
        <f t="array" ref="M163">INT(SUMPRODUCT(--ISNUMBER(SEARCH(supreme,C163)))&gt;0)</f>
        <v>0</v>
      </c>
      <c r="N163" s="14" cm="1">
        <f t="array" ref="N163">INT(SUMPRODUCT(--ISNUMBER(SEARCH(covid,C163)))&gt;0)</f>
        <v>0</v>
      </c>
      <c r="O163" s="14" cm="1">
        <f t="array" ref="O163">INT(SUMPRODUCT(--ISNUMBER(SEARCH(violent,C163)))&gt;0)</f>
        <v>0</v>
      </c>
      <c r="P163" s="14" cm="1">
        <f t="array" ref="P163">INT(SUMPRODUCT(--ISNUMBER(SEARCH(foreign,C163)))&gt;0)</f>
        <v>0</v>
      </c>
      <c r="Q163" s="14" cm="1">
        <f t="array" ref="Q163">INT(SUMPRODUCT(--ISNUMBER(SEARCH(gun,C163)))&gt;0)</f>
        <v>0</v>
      </c>
      <c r="R163" s="14" cm="1">
        <f t="array" ref="R163">INT(SUMPRODUCT(--ISNUMBER(SEARCH(race,C163)))&gt;0)</f>
        <v>0</v>
      </c>
      <c r="S163" s="14" cm="1">
        <f t="array" ref="S163">INT(SUMPRODUCT(--ISNUMBER(SEARCH(immigration,C163)))&gt;0)</f>
        <v>0</v>
      </c>
      <c r="T163" s="14" cm="1">
        <f t="array" ref="T163">INT(SUMPRODUCT(--ISNUMBER(SEARCH(econineq,C164)))&gt;0)</f>
        <v>0</v>
      </c>
      <c r="U163" s="14" cm="1">
        <f t="array" ref="U163">INT(SUMPRODUCT(--ISNUMBER(SEARCH(climate,C163)))&gt;0)</f>
        <v>0</v>
      </c>
      <c r="V163" s="14" cm="1">
        <f t="array" ref="V163">INT(SUMPRODUCT(--ISNUMBER(SEARCH(abortion,C163)))&gt;0)</f>
        <v>0</v>
      </c>
      <c r="W163" s="14" cm="1">
        <f t="array" ref="W163">INT(SUMPRODUCT(--ISNUMBER(SEARCH(trump,C163)))&gt;0)</f>
        <v>0</v>
      </c>
      <c r="X163" s="14" cm="1">
        <f t="array" ref="X163">INT(SUMPRODUCT(--ISNUMBER(SEARCH(voting,C163)))&gt;0)</f>
        <v>0</v>
      </c>
      <c r="Y163" s="14" cm="1">
        <f t="array" ref="Y163">INT(SUMPRODUCT(--ISNUMBER(SEARCH(republicantrigger,C163)))&gt;0)</f>
        <v>0</v>
      </c>
      <c r="Z163" s="14" cm="1">
        <f t="array" ref="Z163">INT(SUMPRODUCT(--ISNUMBER(SEARCH(bipartisan,C163)))&gt;0)</f>
        <v>0</v>
      </c>
      <c r="AA163" s="14">
        <f t="shared" si="2"/>
        <v>1</v>
      </c>
      <c r="AB163" s="14"/>
      <c r="AC163" s="30">
        <v>1</v>
      </c>
      <c r="AD163" s="37">
        <v>0</v>
      </c>
    </row>
    <row r="164" spans="1:30" x14ac:dyDescent="0.25">
      <c r="A164" s="36">
        <v>1371</v>
      </c>
      <c r="B164" s="14" t="s">
        <v>2769</v>
      </c>
      <c r="C164" s="14" t="s">
        <v>2770</v>
      </c>
      <c r="D164" s="17">
        <v>44126</v>
      </c>
      <c r="E164" s="14" t="s">
        <v>30</v>
      </c>
      <c r="F164" s="14">
        <v>33</v>
      </c>
      <c r="G164" s="14">
        <v>7</v>
      </c>
      <c r="H164" s="14">
        <v>7</v>
      </c>
      <c r="I164" s="14">
        <v>4</v>
      </c>
      <c r="J164" s="14" t="s">
        <v>31</v>
      </c>
      <c r="K164" s="14" cm="1">
        <f t="array" ref="K164">INT(SUMPRODUCT(--ISNUMBER(SEARCH(economy,C164)))&gt;0)</f>
        <v>0</v>
      </c>
      <c r="L164" s="14" cm="1">
        <f t="array" ref="L164">INT(SUMPRODUCT(--ISNUMBER(SEARCH(healthcare,C164)))&gt;0)</f>
        <v>0</v>
      </c>
      <c r="M164" s="14" cm="1">
        <f t="array" ref="M164">INT(SUMPRODUCT(--ISNUMBER(SEARCH(supreme,C164)))&gt;0)</f>
        <v>0</v>
      </c>
      <c r="N164" s="14" cm="1">
        <f t="array" ref="N164">INT(SUMPRODUCT(--ISNUMBER(SEARCH(covid,C164)))&gt;0)</f>
        <v>0</v>
      </c>
      <c r="O164" s="14" cm="1">
        <f t="array" ref="O164">INT(SUMPRODUCT(--ISNUMBER(SEARCH(violent,C164)))&gt;0)</f>
        <v>0</v>
      </c>
      <c r="P164" s="14" cm="1">
        <f t="array" ref="P164">INT(SUMPRODUCT(--ISNUMBER(SEARCH(foreign,C164)))&gt;0)</f>
        <v>0</v>
      </c>
      <c r="Q164" s="14" cm="1">
        <f t="array" ref="Q164">INT(SUMPRODUCT(--ISNUMBER(SEARCH(gun,C164)))&gt;0)</f>
        <v>0</v>
      </c>
      <c r="R164" s="14" cm="1">
        <f t="array" ref="R164">INT(SUMPRODUCT(--ISNUMBER(SEARCH(race,C164)))&gt;0)</f>
        <v>0</v>
      </c>
      <c r="S164" s="14" cm="1">
        <f t="array" ref="S164">INT(SUMPRODUCT(--ISNUMBER(SEARCH(immigration,C164)))&gt;0)</f>
        <v>0</v>
      </c>
      <c r="T164" s="14" cm="1">
        <f t="array" ref="T164">INT(SUMPRODUCT(--ISNUMBER(SEARCH(econineq,C165)))&gt;0)</f>
        <v>0</v>
      </c>
      <c r="U164" s="14" cm="1">
        <f t="array" ref="U164">INT(SUMPRODUCT(--ISNUMBER(SEARCH(climate,C164)))&gt;0)</f>
        <v>0</v>
      </c>
      <c r="V164" s="14" cm="1">
        <f t="array" ref="V164">INT(SUMPRODUCT(--ISNUMBER(SEARCH(abortion,C164)))&gt;0)</f>
        <v>0</v>
      </c>
      <c r="W164" s="14" cm="1">
        <f t="array" ref="W164">INT(SUMPRODUCT(--ISNUMBER(SEARCH(trump,C164)))&gt;0)</f>
        <v>0</v>
      </c>
      <c r="X164" s="14" cm="1">
        <f t="array" ref="X164">INT(SUMPRODUCT(--ISNUMBER(SEARCH(voting,C164)))&gt;0)</f>
        <v>0</v>
      </c>
      <c r="Y164" s="14" cm="1">
        <f t="array" ref="Y164">INT(SUMPRODUCT(--ISNUMBER(SEARCH(republicantrigger,C164)))&gt;0)</f>
        <v>0</v>
      </c>
      <c r="Z164" s="14" cm="1">
        <f t="array" ref="Z164">INT(SUMPRODUCT(--ISNUMBER(SEARCH(bipartisan,C164)))&gt;0)</f>
        <v>0</v>
      </c>
      <c r="AA164" s="14">
        <f t="shared" si="2"/>
        <v>1</v>
      </c>
      <c r="AB164" s="14"/>
      <c r="AC164" s="30">
        <v>0</v>
      </c>
      <c r="AD164" s="37">
        <v>1</v>
      </c>
    </row>
    <row r="165" spans="1:30" x14ac:dyDescent="0.25">
      <c r="A165" s="36">
        <v>1372</v>
      </c>
      <c r="B165" s="14" t="s">
        <v>2771</v>
      </c>
      <c r="C165" s="14" t="s">
        <v>2772</v>
      </c>
      <c r="D165" s="17">
        <v>44126</v>
      </c>
      <c r="E165" s="14" t="s">
        <v>30</v>
      </c>
      <c r="F165" s="14">
        <v>37</v>
      </c>
      <c r="G165" s="14">
        <v>3</v>
      </c>
      <c r="H165" s="14">
        <v>7</v>
      </c>
      <c r="I165" s="14">
        <v>4</v>
      </c>
      <c r="J165" s="14" t="s">
        <v>31</v>
      </c>
      <c r="K165" s="14" cm="1">
        <f t="array" ref="K165">INT(SUMPRODUCT(--ISNUMBER(SEARCH(economy,C165)))&gt;0)</f>
        <v>0</v>
      </c>
      <c r="L165" s="14" cm="1">
        <f t="array" ref="L165">INT(SUMPRODUCT(--ISNUMBER(SEARCH(healthcare,C165)))&gt;0)</f>
        <v>0</v>
      </c>
      <c r="M165" s="14" cm="1">
        <f t="array" ref="M165">INT(SUMPRODUCT(--ISNUMBER(SEARCH(supreme,C165)))&gt;0)</f>
        <v>0</v>
      </c>
      <c r="N165" s="14" cm="1">
        <f t="array" ref="N165">INT(SUMPRODUCT(--ISNUMBER(SEARCH(covid,C165)))&gt;0)</f>
        <v>0</v>
      </c>
      <c r="O165" s="14" cm="1">
        <f t="array" ref="O165">INT(SUMPRODUCT(--ISNUMBER(SEARCH(violent,C165)))&gt;0)</f>
        <v>0</v>
      </c>
      <c r="P165" s="14" cm="1">
        <f t="array" ref="P165">INT(SUMPRODUCT(--ISNUMBER(SEARCH(foreign,C165)))&gt;0)</f>
        <v>0</v>
      </c>
      <c r="Q165" s="14" cm="1">
        <f t="array" ref="Q165">INT(SUMPRODUCT(--ISNUMBER(SEARCH(gun,C165)))&gt;0)</f>
        <v>0</v>
      </c>
      <c r="R165" s="14" cm="1">
        <f t="array" ref="R165">INT(SUMPRODUCT(--ISNUMBER(SEARCH(race,C165)))&gt;0)</f>
        <v>0</v>
      </c>
      <c r="S165" s="14" cm="1">
        <f t="array" ref="S165">INT(SUMPRODUCT(--ISNUMBER(SEARCH(immigration,C165)))&gt;0)</f>
        <v>0</v>
      </c>
      <c r="T165" s="14" cm="1">
        <f t="array" ref="T165">INT(SUMPRODUCT(--ISNUMBER(SEARCH(econineq,C166)))&gt;0)</f>
        <v>0</v>
      </c>
      <c r="U165" s="14" cm="1">
        <f t="array" ref="U165">INT(SUMPRODUCT(--ISNUMBER(SEARCH(climate,C165)))&gt;0)</f>
        <v>0</v>
      </c>
      <c r="V165" s="14" cm="1">
        <f t="array" ref="V165">INT(SUMPRODUCT(--ISNUMBER(SEARCH(abortion,C165)))&gt;0)</f>
        <v>0</v>
      </c>
      <c r="W165" s="14" cm="1">
        <f t="array" ref="W165">INT(SUMPRODUCT(--ISNUMBER(SEARCH(trump,C165)))&gt;0)</f>
        <v>0</v>
      </c>
      <c r="X165" s="14" cm="1">
        <f t="array" ref="X165">INT(SUMPRODUCT(--ISNUMBER(SEARCH(voting,C165)))&gt;0)</f>
        <v>0</v>
      </c>
      <c r="Y165" s="14" cm="1">
        <f t="array" ref="Y165">INT(SUMPRODUCT(--ISNUMBER(SEARCH(republicantrigger,C165)))&gt;0)</f>
        <v>0</v>
      </c>
      <c r="Z165" s="14" cm="1">
        <f t="array" ref="Z165">INT(SUMPRODUCT(--ISNUMBER(SEARCH(bipartisan,C165)))&gt;0)</f>
        <v>0</v>
      </c>
      <c r="AA165" s="14">
        <f t="shared" si="2"/>
        <v>1</v>
      </c>
      <c r="AB165" s="14"/>
      <c r="AC165" s="30">
        <v>1</v>
      </c>
      <c r="AD165" s="37">
        <v>0</v>
      </c>
    </row>
    <row r="166" spans="1:30" x14ac:dyDescent="0.25">
      <c r="A166" s="36">
        <v>1373</v>
      </c>
      <c r="B166" s="14" t="s">
        <v>2773</v>
      </c>
      <c r="C166" s="14" t="s">
        <v>2774</v>
      </c>
      <c r="D166" s="17">
        <v>44126</v>
      </c>
      <c r="E166" s="14" t="s">
        <v>30</v>
      </c>
      <c r="F166" s="14">
        <v>65</v>
      </c>
      <c r="G166" s="14">
        <v>15</v>
      </c>
      <c r="H166" s="14">
        <v>7</v>
      </c>
      <c r="I166" s="14">
        <v>4</v>
      </c>
      <c r="J166" s="14" t="s">
        <v>31</v>
      </c>
      <c r="K166" s="14" cm="1">
        <f t="array" ref="K166">INT(SUMPRODUCT(--ISNUMBER(SEARCH(economy,C166)))&gt;0)</f>
        <v>0</v>
      </c>
      <c r="L166" s="14" cm="1">
        <f t="array" ref="L166">INT(SUMPRODUCT(--ISNUMBER(SEARCH(healthcare,C166)))&gt;0)</f>
        <v>0</v>
      </c>
      <c r="M166" s="14" cm="1">
        <f t="array" ref="M166">INT(SUMPRODUCT(--ISNUMBER(SEARCH(supreme,C166)))&gt;0)</f>
        <v>0</v>
      </c>
      <c r="N166" s="14" cm="1">
        <f t="array" ref="N166">INT(SUMPRODUCT(--ISNUMBER(SEARCH(covid,C166)))&gt;0)</f>
        <v>0</v>
      </c>
      <c r="O166" s="14" cm="1">
        <f t="array" ref="O166">INT(SUMPRODUCT(--ISNUMBER(SEARCH(violent,C166)))&gt;0)</f>
        <v>0</v>
      </c>
      <c r="P166" s="14" cm="1">
        <f t="array" ref="P166">INT(SUMPRODUCT(--ISNUMBER(SEARCH(foreign,C166)))&gt;0)</f>
        <v>0</v>
      </c>
      <c r="Q166" s="14" cm="1">
        <f t="array" ref="Q166">INT(SUMPRODUCT(--ISNUMBER(SEARCH(gun,C166)))&gt;0)</f>
        <v>0</v>
      </c>
      <c r="R166" s="14" cm="1">
        <f t="array" ref="R166">INT(SUMPRODUCT(--ISNUMBER(SEARCH(race,C166)))&gt;0)</f>
        <v>0</v>
      </c>
      <c r="S166" s="14" cm="1">
        <f t="array" ref="S166">INT(SUMPRODUCT(--ISNUMBER(SEARCH(immigration,C166)))&gt;0)</f>
        <v>0</v>
      </c>
      <c r="T166" s="14" cm="1">
        <f t="array" ref="T166">INT(SUMPRODUCT(--ISNUMBER(SEARCH(econineq,C167)))&gt;0)</f>
        <v>0</v>
      </c>
      <c r="U166" s="14" cm="1">
        <f t="array" ref="U166">INT(SUMPRODUCT(--ISNUMBER(SEARCH(climate,C166)))&gt;0)</f>
        <v>0</v>
      </c>
      <c r="V166" s="14" cm="1">
        <f t="array" ref="V166">INT(SUMPRODUCT(--ISNUMBER(SEARCH(abortion,C166)))&gt;0)</f>
        <v>0</v>
      </c>
      <c r="W166" s="14" cm="1">
        <f t="array" ref="W166">INT(SUMPRODUCT(--ISNUMBER(SEARCH(trump,C166)))&gt;0)</f>
        <v>0</v>
      </c>
      <c r="X166" s="14" cm="1">
        <f t="array" ref="X166">INT(SUMPRODUCT(--ISNUMBER(SEARCH(voting,C166)))&gt;0)</f>
        <v>0</v>
      </c>
      <c r="Y166" s="14" cm="1">
        <f t="array" ref="Y166">INT(SUMPRODUCT(--ISNUMBER(SEARCH(republicantrigger,C166)))&gt;0)</f>
        <v>0</v>
      </c>
      <c r="Z166" s="14" cm="1">
        <f t="array" ref="Z166">INT(SUMPRODUCT(--ISNUMBER(SEARCH(bipartisan,C166)))&gt;0)</f>
        <v>0</v>
      </c>
      <c r="AA166" s="14">
        <f t="shared" si="2"/>
        <v>1</v>
      </c>
      <c r="AB166" s="14"/>
      <c r="AC166" s="30">
        <v>0</v>
      </c>
      <c r="AD166" s="37">
        <v>0</v>
      </c>
    </row>
    <row r="167" spans="1:30" x14ac:dyDescent="0.25">
      <c r="A167" s="36">
        <v>1374</v>
      </c>
      <c r="B167" s="14" t="s">
        <v>2775</v>
      </c>
      <c r="C167" s="14" t="s">
        <v>2776</v>
      </c>
      <c r="D167" s="17">
        <v>44126</v>
      </c>
      <c r="E167" s="14" t="s">
        <v>30</v>
      </c>
      <c r="F167" s="14">
        <v>34</v>
      </c>
      <c r="G167" s="14">
        <v>2</v>
      </c>
      <c r="H167" s="14">
        <v>7</v>
      </c>
      <c r="I167" s="14">
        <v>4</v>
      </c>
      <c r="J167" s="14" t="s">
        <v>31</v>
      </c>
      <c r="K167" s="14" cm="1">
        <f t="array" ref="K167">INT(SUMPRODUCT(--ISNUMBER(SEARCH(economy,C167)))&gt;0)</f>
        <v>0</v>
      </c>
      <c r="L167" s="14" cm="1">
        <f t="array" ref="L167">INT(SUMPRODUCT(--ISNUMBER(SEARCH(healthcare,C167)))&gt;0)</f>
        <v>0</v>
      </c>
      <c r="M167" s="14" cm="1">
        <f t="array" ref="M167">INT(SUMPRODUCT(--ISNUMBER(SEARCH(supreme,C167)))&gt;0)</f>
        <v>0</v>
      </c>
      <c r="N167" s="14" cm="1">
        <f t="array" ref="N167">INT(SUMPRODUCT(--ISNUMBER(SEARCH(covid,C167)))&gt;0)</f>
        <v>0</v>
      </c>
      <c r="O167" s="14" cm="1">
        <f t="array" ref="O167">INT(SUMPRODUCT(--ISNUMBER(SEARCH(violent,C167)))&gt;0)</f>
        <v>0</v>
      </c>
      <c r="P167" s="14" cm="1">
        <f t="array" ref="P167">INT(SUMPRODUCT(--ISNUMBER(SEARCH(foreign,C167)))&gt;0)</f>
        <v>0</v>
      </c>
      <c r="Q167" s="14" cm="1">
        <f t="array" ref="Q167">INT(SUMPRODUCT(--ISNUMBER(SEARCH(gun,C167)))&gt;0)</f>
        <v>0</v>
      </c>
      <c r="R167" s="14" cm="1">
        <f t="array" ref="R167">INT(SUMPRODUCT(--ISNUMBER(SEARCH(race,C167)))&gt;0)</f>
        <v>0</v>
      </c>
      <c r="S167" s="14" cm="1">
        <f t="array" ref="S167">INT(SUMPRODUCT(--ISNUMBER(SEARCH(immigration,C167)))&gt;0)</f>
        <v>0</v>
      </c>
      <c r="T167" s="14" cm="1">
        <f t="array" ref="T167">INT(SUMPRODUCT(--ISNUMBER(SEARCH(econineq,C168)))&gt;0)</f>
        <v>0</v>
      </c>
      <c r="U167" s="14" cm="1">
        <f t="array" ref="U167">INT(SUMPRODUCT(--ISNUMBER(SEARCH(climate,C167)))&gt;0)</f>
        <v>0</v>
      </c>
      <c r="V167" s="14" cm="1">
        <f t="array" ref="V167">INT(SUMPRODUCT(--ISNUMBER(SEARCH(abortion,C167)))&gt;0)</f>
        <v>0</v>
      </c>
      <c r="W167" s="14" cm="1">
        <f t="array" ref="W167">INT(SUMPRODUCT(--ISNUMBER(SEARCH(trump,C167)))&gt;0)</f>
        <v>0</v>
      </c>
      <c r="X167" s="14" cm="1">
        <f t="array" ref="X167">INT(SUMPRODUCT(--ISNUMBER(SEARCH(voting,C167)))&gt;0)</f>
        <v>0</v>
      </c>
      <c r="Y167" s="14" cm="1">
        <f t="array" ref="Y167">INT(SUMPRODUCT(--ISNUMBER(SEARCH(republicantrigger,C167)))&gt;0)</f>
        <v>0</v>
      </c>
      <c r="Z167" s="14" cm="1">
        <f t="array" ref="Z167">INT(SUMPRODUCT(--ISNUMBER(SEARCH(bipartisan,C167)))&gt;0)</f>
        <v>0</v>
      </c>
      <c r="AA167" s="14">
        <f t="shared" si="2"/>
        <v>1</v>
      </c>
      <c r="AB167" s="14"/>
      <c r="AC167" s="30">
        <v>0</v>
      </c>
      <c r="AD167" s="37">
        <v>1</v>
      </c>
    </row>
    <row r="168" spans="1:30" x14ac:dyDescent="0.25">
      <c r="A168" s="36">
        <v>1375</v>
      </c>
      <c r="B168" s="14" t="s">
        <v>2777</v>
      </c>
      <c r="C168" s="14" t="s">
        <v>2778</v>
      </c>
      <c r="D168" s="17">
        <v>44126</v>
      </c>
      <c r="E168" s="14" t="s">
        <v>30</v>
      </c>
      <c r="F168" s="14">
        <v>38</v>
      </c>
      <c r="G168" s="14">
        <v>6</v>
      </c>
      <c r="H168" s="14">
        <v>7</v>
      </c>
      <c r="I168" s="14">
        <v>4</v>
      </c>
      <c r="J168" s="14" t="s">
        <v>31</v>
      </c>
      <c r="K168" s="14" cm="1">
        <f t="array" ref="K168">INT(SUMPRODUCT(--ISNUMBER(SEARCH(economy,C168)))&gt;0)</f>
        <v>0</v>
      </c>
      <c r="L168" s="14" cm="1">
        <f t="array" ref="L168">INT(SUMPRODUCT(--ISNUMBER(SEARCH(healthcare,C168)))&gt;0)</f>
        <v>0</v>
      </c>
      <c r="M168" s="14" cm="1">
        <f t="array" ref="M168">INT(SUMPRODUCT(--ISNUMBER(SEARCH(supreme,C168)))&gt;0)</f>
        <v>0</v>
      </c>
      <c r="N168" s="14" cm="1">
        <f t="array" ref="N168">INT(SUMPRODUCT(--ISNUMBER(SEARCH(covid,C168)))&gt;0)</f>
        <v>0</v>
      </c>
      <c r="O168" s="14" cm="1">
        <f t="array" ref="O168">INT(SUMPRODUCT(--ISNUMBER(SEARCH(violent,C168)))&gt;0)</f>
        <v>0</v>
      </c>
      <c r="P168" s="14" cm="1">
        <f t="array" ref="P168">INT(SUMPRODUCT(--ISNUMBER(SEARCH(foreign,C168)))&gt;0)</f>
        <v>0</v>
      </c>
      <c r="Q168" s="14" cm="1">
        <f t="array" ref="Q168">INT(SUMPRODUCT(--ISNUMBER(SEARCH(gun,C168)))&gt;0)</f>
        <v>0</v>
      </c>
      <c r="R168" s="14" cm="1">
        <f t="array" ref="R168">INT(SUMPRODUCT(--ISNUMBER(SEARCH(race,C168)))&gt;0)</f>
        <v>0</v>
      </c>
      <c r="S168" s="14" cm="1">
        <f t="array" ref="S168">INT(SUMPRODUCT(--ISNUMBER(SEARCH(immigration,C168)))&gt;0)</f>
        <v>0</v>
      </c>
      <c r="T168" s="14" cm="1">
        <f t="array" ref="T168">INT(SUMPRODUCT(--ISNUMBER(SEARCH(econineq,C169)))&gt;0)</f>
        <v>0</v>
      </c>
      <c r="U168" s="14" cm="1">
        <f t="array" ref="U168">INT(SUMPRODUCT(--ISNUMBER(SEARCH(climate,C168)))&gt;0)</f>
        <v>0</v>
      </c>
      <c r="V168" s="14" cm="1">
        <f t="array" ref="V168">INT(SUMPRODUCT(--ISNUMBER(SEARCH(abortion,C168)))&gt;0)</f>
        <v>0</v>
      </c>
      <c r="W168" s="14" cm="1">
        <f t="array" ref="W168">INT(SUMPRODUCT(--ISNUMBER(SEARCH(trump,C168)))&gt;0)</f>
        <v>0</v>
      </c>
      <c r="X168" s="14" cm="1">
        <f t="array" ref="X168">INT(SUMPRODUCT(--ISNUMBER(SEARCH(voting,C168)))&gt;0)</f>
        <v>0</v>
      </c>
      <c r="Y168" s="14" cm="1">
        <f t="array" ref="Y168">INT(SUMPRODUCT(--ISNUMBER(SEARCH(republicantrigger,C168)))&gt;0)</f>
        <v>0</v>
      </c>
      <c r="Z168" s="14" cm="1">
        <f t="array" ref="Z168">INT(SUMPRODUCT(--ISNUMBER(SEARCH(bipartisan,C168)))&gt;0)</f>
        <v>0</v>
      </c>
      <c r="AA168" s="14">
        <f t="shared" si="2"/>
        <v>1</v>
      </c>
      <c r="AB168" s="14"/>
      <c r="AC168" s="30">
        <v>1</v>
      </c>
      <c r="AD168" s="37">
        <v>0</v>
      </c>
    </row>
    <row r="169" spans="1:30" x14ac:dyDescent="0.25">
      <c r="A169" s="36">
        <v>1376</v>
      </c>
      <c r="B169" s="14" t="s">
        <v>2779</v>
      </c>
      <c r="C169" s="14" t="s">
        <v>2780</v>
      </c>
      <c r="D169" s="17">
        <v>44126</v>
      </c>
      <c r="E169" s="14" t="s">
        <v>30</v>
      </c>
      <c r="F169" s="14">
        <v>17</v>
      </c>
      <c r="G169" s="14">
        <v>5</v>
      </c>
      <c r="H169" s="14">
        <v>7</v>
      </c>
      <c r="I169" s="14">
        <v>4</v>
      </c>
      <c r="J169" s="14" t="s">
        <v>31</v>
      </c>
      <c r="K169" s="14" cm="1">
        <f t="array" ref="K169">INT(SUMPRODUCT(--ISNUMBER(SEARCH(economy,C169)))&gt;0)</f>
        <v>0</v>
      </c>
      <c r="L169" s="14" cm="1">
        <f t="array" ref="L169">INT(SUMPRODUCT(--ISNUMBER(SEARCH(healthcare,C169)))&gt;0)</f>
        <v>0</v>
      </c>
      <c r="M169" s="14" cm="1">
        <f t="array" ref="M169">INT(SUMPRODUCT(--ISNUMBER(SEARCH(supreme,C169)))&gt;0)</f>
        <v>0</v>
      </c>
      <c r="N169" s="14" cm="1">
        <f t="array" ref="N169">INT(SUMPRODUCT(--ISNUMBER(SEARCH(covid,C169)))&gt;0)</f>
        <v>0</v>
      </c>
      <c r="O169" s="14" cm="1">
        <f t="array" ref="O169">INT(SUMPRODUCT(--ISNUMBER(SEARCH(violent,C169)))&gt;0)</f>
        <v>0</v>
      </c>
      <c r="P169" s="14" cm="1">
        <f t="array" ref="P169">INT(SUMPRODUCT(--ISNUMBER(SEARCH(foreign,C169)))&gt;0)</f>
        <v>0</v>
      </c>
      <c r="Q169" s="14" cm="1">
        <f t="array" ref="Q169">INT(SUMPRODUCT(--ISNUMBER(SEARCH(gun,C169)))&gt;0)</f>
        <v>0</v>
      </c>
      <c r="R169" s="14" cm="1">
        <f t="array" ref="R169">INT(SUMPRODUCT(--ISNUMBER(SEARCH(race,C169)))&gt;0)</f>
        <v>0</v>
      </c>
      <c r="S169" s="14" cm="1">
        <f t="array" ref="S169">INT(SUMPRODUCT(--ISNUMBER(SEARCH(immigration,C169)))&gt;0)</f>
        <v>0</v>
      </c>
      <c r="T169" s="14" cm="1">
        <f t="array" ref="T169">INT(SUMPRODUCT(--ISNUMBER(SEARCH(econineq,C170)))&gt;0)</f>
        <v>0</v>
      </c>
      <c r="U169" s="14" cm="1">
        <f t="array" ref="U169">INT(SUMPRODUCT(--ISNUMBER(SEARCH(climate,C169)))&gt;0)</f>
        <v>0</v>
      </c>
      <c r="V169" s="14" cm="1">
        <f t="array" ref="V169">INT(SUMPRODUCT(--ISNUMBER(SEARCH(abortion,C169)))&gt;0)</f>
        <v>0</v>
      </c>
      <c r="W169" s="14" cm="1">
        <f t="array" ref="W169">INT(SUMPRODUCT(--ISNUMBER(SEARCH(trump,C169)))&gt;0)</f>
        <v>0</v>
      </c>
      <c r="X169" s="14" cm="1">
        <f t="array" ref="X169">INT(SUMPRODUCT(--ISNUMBER(SEARCH(voting,C169)))&gt;0)</f>
        <v>0</v>
      </c>
      <c r="Y169" s="14" cm="1">
        <f t="array" ref="Y169">INT(SUMPRODUCT(--ISNUMBER(SEARCH(republicantrigger,C169)))&gt;0)</f>
        <v>0</v>
      </c>
      <c r="Z169" s="14" cm="1">
        <f t="array" ref="Z169">INT(SUMPRODUCT(--ISNUMBER(SEARCH(bipartisan,C169)))&gt;0)</f>
        <v>0</v>
      </c>
      <c r="AA169" s="14">
        <f t="shared" si="2"/>
        <v>1</v>
      </c>
      <c r="AB169" s="14"/>
      <c r="AC169" s="30">
        <v>1</v>
      </c>
      <c r="AD169" s="37">
        <v>0</v>
      </c>
    </row>
    <row r="170" spans="1:30" x14ac:dyDescent="0.25">
      <c r="A170" s="36">
        <v>1377</v>
      </c>
      <c r="B170" s="14" t="s">
        <v>2781</v>
      </c>
      <c r="C170" s="14" t="s">
        <v>2782</v>
      </c>
      <c r="D170" s="17">
        <v>44126</v>
      </c>
      <c r="E170" s="14" t="s">
        <v>30</v>
      </c>
      <c r="F170" s="14">
        <v>20</v>
      </c>
      <c r="G170" s="14">
        <v>5</v>
      </c>
      <c r="H170" s="14">
        <v>7</v>
      </c>
      <c r="I170" s="14">
        <v>4</v>
      </c>
      <c r="J170" s="14" t="s">
        <v>31</v>
      </c>
      <c r="K170" s="14" cm="1">
        <f t="array" ref="K170">INT(SUMPRODUCT(--ISNUMBER(SEARCH(economy,C170)))&gt;0)</f>
        <v>1</v>
      </c>
      <c r="L170" s="14" cm="1">
        <f t="array" ref="L170">INT(SUMPRODUCT(--ISNUMBER(SEARCH(healthcare,C170)))&gt;0)</f>
        <v>0</v>
      </c>
      <c r="M170" s="14" cm="1">
        <f t="array" ref="M170">INT(SUMPRODUCT(--ISNUMBER(SEARCH(supreme,C170)))&gt;0)</f>
        <v>0</v>
      </c>
      <c r="N170" s="14" cm="1">
        <f t="array" ref="N170">INT(SUMPRODUCT(--ISNUMBER(SEARCH(covid,C170)))&gt;0)</f>
        <v>0</v>
      </c>
      <c r="O170" s="14" cm="1">
        <f t="array" ref="O170">INT(SUMPRODUCT(--ISNUMBER(SEARCH(violent,C170)))&gt;0)</f>
        <v>0</v>
      </c>
      <c r="P170" s="14" cm="1">
        <f t="array" ref="P170">INT(SUMPRODUCT(--ISNUMBER(SEARCH(foreign,C170)))&gt;0)</f>
        <v>0</v>
      </c>
      <c r="Q170" s="14" cm="1">
        <f t="array" ref="Q170">INT(SUMPRODUCT(--ISNUMBER(SEARCH(gun,C170)))&gt;0)</f>
        <v>0</v>
      </c>
      <c r="R170" s="14" cm="1">
        <f t="array" ref="R170">INT(SUMPRODUCT(--ISNUMBER(SEARCH(race,C170)))&gt;0)</f>
        <v>0</v>
      </c>
      <c r="S170" s="14" cm="1">
        <f t="array" ref="S170">INT(SUMPRODUCT(--ISNUMBER(SEARCH(immigration,C170)))&gt;0)</f>
        <v>0</v>
      </c>
      <c r="T170" s="14" cm="1">
        <f t="array" ref="T170">INT(SUMPRODUCT(--ISNUMBER(SEARCH(econineq,C171)))&gt;0)</f>
        <v>0</v>
      </c>
      <c r="U170" s="14" cm="1">
        <f t="array" ref="U170">INT(SUMPRODUCT(--ISNUMBER(SEARCH(climate,C170)))&gt;0)</f>
        <v>0</v>
      </c>
      <c r="V170" s="14" cm="1">
        <f t="array" ref="V170">INT(SUMPRODUCT(--ISNUMBER(SEARCH(abortion,C170)))&gt;0)</f>
        <v>0</v>
      </c>
      <c r="W170" s="14" cm="1">
        <f t="array" ref="W170">INT(SUMPRODUCT(--ISNUMBER(SEARCH(trump,C170)))&gt;0)</f>
        <v>0</v>
      </c>
      <c r="X170" s="14" cm="1">
        <f t="array" ref="X170">INT(SUMPRODUCT(--ISNUMBER(SEARCH(voting,C170)))&gt;0)</f>
        <v>0</v>
      </c>
      <c r="Y170" s="14" cm="1">
        <f t="array" ref="Y170">INT(SUMPRODUCT(--ISNUMBER(SEARCH(republicantrigger,C170)))&gt;0)</f>
        <v>1</v>
      </c>
      <c r="Z170" s="14" cm="1">
        <f t="array" ref="Z170">INT(SUMPRODUCT(--ISNUMBER(SEARCH(bipartisan,C170)))&gt;0)</f>
        <v>0</v>
      </c>
      <c r="AA170" s="14">
        <f t="shared" si="2"/>
        <v>0</v>
      </c>
      <c r="AB170" s="14"/>
      <c r="AC170" s="30">
        <v>0</v>
      </c>
      <c r="AD170" s="37">
        <v>1</v>
      </c>
    </row>
    <row r="171" spans="1:30" x14ac:dyDescent="0.25">
      <c r="A171" s="36">
        <v>1378</v>
      </c>
      <c r="B171" s="14" t="s">
        <v>2783</v>
      </c>
      <c r="C171" s="14" t="s">
        <v>2784</v>
      </c>
      <c r="D171" s="17">
        <v>44126</v>
      </c>
      <c r="E171" s="14" t="s">
        <v>30</v>
      </c>
      <c r="F171" s="14">
        <v>33</v>
      </c>
      <c r="G171" s="14">
        <v>10</v>
      </c>
      <c r="H171" s="14">
        <v>7</v>
      </c>
      <c r="I171" s="14">
        <v>4</v>
      </c>
      <c r="J171" s="14" t="s">
        <v>31</v>
      </c>
      <c r="K171" s="14" cm="1">
        <f t="array" ref="K171">INT(SUMPRODUCT(--ISNUMBER(SEARCH(economy,C171)))&gt;0)</f>
        <v>1</v>
      </c>
      <c r="L171" s="14" cm="1">
        <f t="array" ref="L171">INT(SUMPRODUCT(--ISNUMBER(SEARCH(healthcare,C171)))&gt;0)</f>
        <v>0</v>
      </c>
      <c r="M171" s="14" cm="1">
        <f t="array" ref="M171">INT(SUMPRODUCT(--ISNUMBER(SEARCH(supreme,C171)))&gt;0)</f>
        <v>0</v>
      </c>
      <c r="N171" s="14" cm="1">
        <f t="array" ref="N171">INT(SUMPRODUCT(--ISNUMBER(SEARCH(covid,C171)))&gt;0)</f>
        <v>1</v>
      </c>
      <c r="O171" s="14" cm="1">
        <f t="array" ref="O171">INT(SUMPRODUCT(--ISNUMBER(SEARCH(violent,C171)))&gt;0)</f>
        <v>0</v>
      </c>
      <c r="P171" s="14" cm="1">
        <f t="array" ref="P171">INT(SUMPRODUCT(--ISNUMBER(SEARCH(foreign,C171)))&gt;0)</f>
        <v>0</v>
      </c>
      <c r="Q171" s="14" cm="1">
        <f t="array" ref="Q171">INT(SUMPRODUCT(--ISNUMBER(SEARCH(gun,C171)))&gt;0)</f>
        <v>0</v>
      </c>
      <c r="R171" s="14" cm="1">
        <f t="array" ref="R171">INT(SUMPRODUCT(--ISNUMBER(SEARCH(race,C171)))&gt;0)</f>
        <v>0</v>
      </c>
      <c r="S171" s="14" cm="1">
        <f t="array" ref="S171">INT(SUMPRODUCT(--ISNUMBER(SEARCH(immigration,C171)))&gt;0)</f>
        <v>0</v>
      </c>
      <c r="T171" s="14" cm="1">
        <f t="array" ref="T171">INT(SUMPRODUCT(--ISNUMBER(SEARCH(econineq,C172)))&gt;0)</f>
        <v>0</v>
      </c>
      <c r="U171" s="14" cm="1">
        <f t="array" ref="U171">INT(SUMPRODUCT(--ISNUMBER(SEARCH(climate,C171)))&gt;0)</f>
        <v>0</v>
      </c>
      <c r="V171" s="14" cm="1">
        <f t="array" ref="V171">INT(SUMPRODUCT(--ISNUMBER(SEARCH(abortion,C171)))&gt;0)</f>
        <v>0</v>
      </c>
      <c r="W171" s="14" cm="1">
        <f t="array" ref="W171">INT(SUMPRODUCT(--ISNUMBER(SEARCH(trump,C171)))&gt;0)</f>
        <v>0</v>
      </c>
      <c r="X171" s="14" cm="1">
        <f t="array" ref="X171">INT(SUMPRODUCT(--ISNUMBER(SEARCH(voting,C171)))&gt;0)</f>
        <v>0</v>
      </c>
      <c r="Y171" s="14" cm="1">
        <f t="array" ref="Y171">INT(SUMPRODUCT(--ISNUMBER(SEARCH(republicantrigger,C171)))&gt;0)</f>
        <v>0</v>
      </c>
      <c r="Z171" s="14" cm="1">
        <f t="array" ref="Z171">INT(SUMPRODUCT(--ISNUMBER(SEARCH(bipartisan,C171)))&gt;0)</f>
        <v>0</v>
      </c>
      <c r="AA171" s="14">
        <f t="shared" si="2"/>
        <v>0</v>
      </c>
      <c r="AB171" s="14"/>
      <c r="AC171" s="30">
        <v>0</v>
      </c>
      <c r="AD171" s="37">
        <v>1</v>
      </c>
    </row>
    <row r="172" spans="1:30" x14ac:dyDescent="0.25">
      <c r="A172" s="36">
        <v>1379</v>
      </c>
      <c r="B172" s="14" t="s">
        <v>2785</v>
      </c>
      <c r="C172" s="14" t="s">
        <v>2786</v>
      </c>
      <c r="D172" s="17">
        <v>44126</v>
      </c>
      <c r="E172" s="14" t="s">
        <v>30</v>
      </c>
      <c r="F172" s="14">
        <v>16</v>
      </c>
      <c r="G172" s="14">
        <v>0</v>
      </c>
      <c r="H172" s="14">
        <v>7</v>
      </c>
      <c r="I172" s="14">
        <v>4</v>
      </c>
      <c r="J172" s="14" t="s">
        <v>31</v>
      </c>
      <c r="K172" s="14" cm="1">
        <f t="array" ref="K172">INT(SUMPRODUCT(--ISNUMBER(SEARCH(economy,C172)))&gt;0)</f>
        <v>0</v>
      </c>
      <c r="L172" s="14" cm="1">
        <f t="array" ref="L172">INT(SUMPRODUCT(--ISNUMBER(SEARCH(healthcare,C172)))&gt;0)</f>
        <v>0</v>
      </c>
      <c r="M172" s="14" cm="1">
        <f t="array" ref="M172">INT(SUMPRODUCT(--ISNUMBER(SEARCH(supreme,C172)))&gt;0)</f>
        <v>0</v>
      </c>
      <c r="N172" s="14" cm="1">
        <f t="array" ref="N172">INT(SUMPRODUCT(--ISNUMBER(SEARCH(covid,C172)))&gt;0)</f>
        <v>0</v>
      </c>
      <c r="O172" s="14" cm="1">
        <f t="array" ref="O172">INT(SUMPRODUCT(--ISNUMBER(SEARCH(violent,C172)))&gt;0)</f>
        <v>0</v>
      </c>
      <c r="P172" s="14" cm="1">
        <f t="array" ref="P172">INT(SUMPRODUCT(--ISNUMBER(SEARCH(foreign,C172)))&gt;0)</f>
        <v>0</v>
      </c>
      <c r="Q172" s="14" cm="1">
        <f t="array" ref="Q172">INT(SUMPRODUCT(--ISNUMBER(SEARCH(gun,C172)))&gt;0)</f>
        <v>0</v>
      </c>
      <c r="R172" s="14" cm="1">
        <f t="array" ref="R172">INT(SUMPRODUCT(--ISNUMBER(SEARCH(race,C172)))&gt;0)</f>
        <v>0</v>
      </c>
      <c r="S172" s="14" cm="1">
        <f t="array" ref="S172">INT(SUMPRODUCT(--ISNUMBER(SEARCH(immigration,C172)))&gt;0)</f>
        <v>0</v>
      </c>
      <c r="T172" s="14" cm="1">
        <f t="array" ref="T172">INT(SUMPRODUCT(--ISNUMBER(SEARCH(econineq,C173)))&gt;0)</f>
        <v>0</v>
      </c>
      <c r="U172" s="14" cm="1">
        <f t="array" ref="U172">INT(SUMPRODUCT(--ISNUMBER(SEARCH(climate,C172)))&gt;0)</f>
        <v>0</v>
      </c>
      <c r="V172" s="14" cm="1">
        <f t="array" ref="V172">INT(SUMPRODUCT(--ISNUMBER(SEARCH(abortion,C172)))&gt;0)</f>
        <v>0</v>
      </c>
      <c r="W172" s="14" cm="1">
        <f t="array" ref="W172">INT(SUMPRODUCT(--ISNUMBER(SEARCH(trump,C172)))&gt;0)</f>
        <v>0</v>
      </c>
      <c r="X172" s="14" cm="1">
        <f t="array" ref="X172">INT(SUMPRODUCT(--ISNUMBER(SEARCH(voting,C172)))&gt;0)</f>
        <v>0</v>
      </c>
      <c r="Y172" s="14" cm="1">
        <f t="array" ref="Y172">INT(SUMPRODUCT(--ISNUMBER(SEARCH(republicantrigger,C172)))&gt;0)</f>
        <v>0</v>
      </c>
      <c r="Z172" s="14" cm="1">
        <f t="array" ref="Z172">INT(SUMPRODUCT(--ISNUMBER(SEARCH(bipartisan,C172)))&gt;0)</f>
        <v>0</v>
      </c>
      <c r="AA172" s="14">
        <f t="shared" si="2"/>
        <v>1</v>
      </c>
      <c r="AB172" s="14"/>
      <c r="AC172" s="30">
        <v>1</v>
      </c>
      <c r="AD172" s="37">
        <v>0</v>
      </c>
    </row>
    <row r="173" spans="1:30" x14ac:dyDescent="0.25">
      <c r="A173" s="36">
        <v>1380</v>
      </c>
      <c r="B173" s="14" t="s">
        <v>2787</v>
      </c>
      <c r="C173" s="14" t="s">
        <v>2788</v>
      </c>
      <c r="D173" s="17">
        <v>44125</v>
      </c>
      <c r="E173" s="14" t="s">
        <v>30</v>
      </c>
      <c r="F173" s="14">
        <v>51</v>
      </c>
      <c r="G173" s="14">
        <v>8</v>
      </c>
      <c r="H173" s="14">
        <v>7</v>
      </c>
      <c r="I173" s="14">
        <v>4</v>
      </c>
      <c r="J173" s="14" t="s">
        <v>31</v>
      </c>
      <c r="K173" s="14" cm="1">
        <f t="array" ref="K173">INT(SUMPRODUCT(--ISNUMBER(SEARCH(economy,C173)))&gt;0)</f>
        <v>0</v>
      </c>
      <c r="L173" s="14" cm="1">
        <f t="array" ref="L173">INT(SUMPRODUCT(--ISNUMBER(SEARCH(healthcare,C173)))&gt;0)</f>
        <v>0</v>
      </c>
      <c r="M173" s="14" cm="1">
        <f t="array" ref="M173">INT(SUMPRODUCT(--ISNUMBER(SEARCH(supreme,C173)))&gt;0)</f>
        <v>0</v>
      </c>
      <c r="N173" s="14" cm="1">
        <f t="array" ref="N173">INT(SUMPRODUCT(--ISNUMBER(SEARCH(covid,C173)))&gt;0)</f>
        <v>0</v>
      </c>
      <c r="O173" s="14" cm="1">
        <f t="array" ref="O173">INT(SUMPRODUCT(--ISNUMBER(SEARCH(violent,C173)))&gt;0)</f>
        <v>0</v>
      </c>
      <c r="P173" s="14" cm="1">
        <f t="array" ref="P173">INT(SUMPRODUCT(--ISNUMBER(SEARCH(foreign,C173)))&gt;0)</f>
        <v>0</v>
      </c>
      <c r="Q173" s="14" cm="1">
        <f t="array" ref="Q173">INT(SUMPRODUCT(--ISNUMBER(SEARCH(gun,C173)))&gt;0)</f>
        <v>0</v>
      </c>
      <c r="R173" s="14" cm="1">
        <f t="array" ref="R173">INT(SUMPRODUCT(--ISNUMBER(SEARCH(race,C173)))&gt;0)</f>
        <v>0</v>
      </c>
      <c r="S173" s="14" cm="1">
        <f t="array" ref="S173">INT(SUMPRODUCT(--ISNUMBER(SEARCH(immigration,C173)))&gt;0)</f>
        <v>0</v>
      </c>
      <c r="T173" s="14" cm="1">
        <f t="array" ref="T173">INT(SUMPRODUCT(--ISNUMBER(SEARCH(econineq,C174)))&gt;0)</f>
        <v>0</v>
      </c>
      <c r="U173" s="14" cm="1">
        <f t="array" ref="U173">INT(SUMPRODUCT(--ISNUMBER(SEARCH(climate,C173)))&gt;0)</f>
        <v>0</v>
      </c>
      <c r="V173" s="14" cm="1">
        <f t="array" ref="V173">INT(SUMPRODUCT(--ISNUMBER(SEARCH(abortion,C173)))&gt;0)</f>
        <v>0</v>
      </c>
      <c r="W173" s="14" cm="1">
        <f t="array" ref="W173">INT(SUMPRODUCT(--ISNUMBER(SEARCH(trump,C173)))&gt;0)</f>
        <v>0</v>
      </c>
      <c r="X173" s="14" cm="1">
        <f t="array" ref="X173">INT(SUMPRODUCT(--ISNUMBER(SEARCH(voting,C173)))&gt;0)</f>
        <v>0</v>
      </c>
      <c r="Y173" s="14" cm="1">
        <f t="array" ref="Y173">INT(SUMPRODUCT(--ISNUMBER(SEARCH(republicantrigger,C173)))&gt;0)</f>
        <v>0</v>
      </c>
      <c r="Z173" s="14" cm="1">
        <f t="array" ref="Z173">INT(SUMPRODUCT(--ISNUMBER(SEARCH(bipartisan,C173)))&gt;0)</f>
        <v>0</v>
      </c>
      <c r="AA173" s="14">
        <f t="shared" si="2"/>
        <v>1</v>
      </c>
      <c r="AB173" s="14"/>
      <c r="AC173" s="30">
        <v>1</v>
      </c>
      <c r="AD173" s="37">
        <v>0</v>
      </c>
    </row>
    <row r="174" spans="1:30" x14ac:dyDescent="0.25">
      <c r="A174" s="36">
        <v>1381</v>
      </c>
      <c r="B174" s="14" t="s">
        <v>2789</v>
      </c>
      <c r="C174" s="14" t="s">
        <v>2790</v>
      </c>
      <c r="D174" s="17">
        <v>44125</v>
      </c>
      <c r="E174" s="14" t="s">
        <v>30</v>
      </c>
      <c r="F174" s="14">
        <v>29</v>
      </c>
      <c r="G174" s="14">
        <v>6</v>
      </c>
      <c r="H174" s="14">
        <v>7</v>
      </c>
      <c r="I174" s="14">
        <v>4</v>
      </c>
      <c r="J174" s="14" t="s">
        <v>31</v>
      </c>
      <c r="K174" s="14" cm="1">
        <f t="array" ref="K174">INT(SUMPRODUCT(--ISNUMBER(SEARCH(economy,C174)))&gt;0)</f>
        <v>1</v>
      </c>
      <c r="L174" s="14" cm="1">
        <f t="array" ref="L174">INT(SUMPRODUCT(--ISNUMBER(SEARCH(healthcare,C174)))&gt;0)</f>
        <v>0</v>
      </c>
      <c r="M174" s="14" cm="1">
        <f t="array" ref="M174">INT(SUMPRODUCT(--ISNUMBER(SEARCH(supreme,C174)))&gt;0)</f>
        <v>0</v>
      </c>
      <c r="N174" s="14" cm="1">
        <f t="array" ref="N174">INT(SUMPRODUCT(--ISNUMBER(SEARCH(covid,C174)))&gt;0)</f>
        <v>0</v>
      </c>
      <c r="O174" s="14" cm="1">
        <f t="array" ref="O174">INT(SUMPRODUCT(--ISNUMBER(SEARCH(violent,C174)))&gt;0)</f>
        <v>0</v>
      </c>
      <c r="P174" s="14" cm="1">
        <f t="array" ref="P174">INT(SUMPRODUCT(--ISNUMBER(SEARCH(foreign,C174)))&gt;0)</f>
        <v>0</v>
      </c>
      <c r="Q174" s="14" cm="1">
        <f t="array" ref="Q174">INT(SUMPRODUCT(--ISNUMBER(SEARCH(gun,C174)))&gt;0)</f>
        <v>0</v>
      </c>
      <c r="R174" s="14" cm="1">
        <f t="array" ref="R174">INT(SUMPRODUCT(--ISNUMBER(SEARCH(race,C174)))&gt;0)</f>
        <v>0</v>
      </c>
      <c r="S174" s="14" cm="1">
        <f t="array" ref="S174">INT(SUMPRODUCT(--ISNUMBER(SEARCH(immigration,C174)))&gt;0)</f>
        <v>0</v>
      </c>
      <c r="T174" s="14" cm="1">
        <f t="array" ref="T174">INT(SUMPRODUCT(--ISNUMBER(SEARCH(econineq,C175)))&gt;0)</f>
        <v>0</v>
      </c>
      <c r="U174" s="14" cm="1">
        <f t="array" ref="U174">INT(SUMPRODUCT(--ISNUMBER(SEARCH(climate,C174)))&gt;0)</f>
        <v>0</v>
      </c>
      <c r="V174" s="14" cm="1">
        <f t="array" ref="V174">INT(SUMPRODUCT(--ISNUMBER(SEARCH(abortion,C174)))&gt;0)</f>
        <v>0</v>
      </c>
      <c r="W174" s="14" cm="1">
        <f t="array" ref="W174">INT(SUMPRODUCT(--ISNUMBER(SEARCH(trump,C174)))&gt;0)</f>
        <v>0</v>
      </c>
      <c r="X174" s="14" cm="1">
        <f t="array" ref="X174">INT(SUMPRODUCT(--ISNUMBER(SEARCH(voting,C174)))&gt;0)</f>
        <v>0</v>
      </c>
      <c r="Y174" s="14" cm="1">
        <f t="array" ref="Y174">INT(SUMPRODUCT(--ISNUMBER(SEARCH(republicantrigger,C174)))&gt;0)</f>
        <v>0</v>
      </c>
      <c r="Z174" s="14" cm="1">
        <f t="array" ref="Z174">INT(SUMPRODUCT(--ISNUMBER(SEARCH(bipartisan,C174)))&gt;0)</f>
        <v>0</v>
      </c>
      <c r="AA174" s="14">
        <f t="shared" si="2"/>
        <v>0</v>
      </c>
      <c r="AB174" s="14"/>
      <c r="AC174" s="30">
        <v>1</v>
      </c>
      <c r="AD174" s="37">
        <v>0</v>
      </c>
    </row>
    <row r="175" spans="1:30" x14ac:dyDescent="0.25">
      <c r="A175" s="36">
        <v>1382</v>
      </c>
      <c r="B175" s="14" t="s">
        <v>2791</v>
      </c>
      <c r="C175" s="14" t="s">
        <v>2792</v>
      </c>
      <c r="D175" s="17">
        <v>44125</v>
      </c>
      <c r="E175" s="14" t="s">
        <v>30</v>
      </c>
      <c r="F175" s="14">
        <v>22</v>
      </c>
      <c r="G175" s="14">
        <v>3</v>
      </c>
      <c r="H175" s="14">
        <v>7</v>
      </c>
      <c r="I175" s="14">
        <v>4</v>
      </c>
      <c r="J175" s="14" t="s">
        <v>31</v>
      </c>
      <c r="K175" s="14" cm="1">
        <f t="array" ref="K175">INT(SUMPRODUCT(--ISNUMBER(SEARCH(economy,C175)))&gt;0)</f>
        <v>0</v>
      </c>
      <c r="L175" s="14" cm="1">
        <f t="array" ref="L175">INT(SUMPRODUCT(--ISNUMBER(SEARCH(healthcare,C175)))&gt;0)</f>
        <v>0</v>
      </c>
      <c r="M175" s="14" cm="1">
        <f t="array" ref="M175">INT(SUMPRODUCT(--ISNUMBER(SEARCH(supreme,C175)))&gt;0)</f>
        <v>0</v>
      </c>
      <c r="N175" s="14" cm="1">
        <f t="array" ref="N175">INT(SUMPRODUCT(--ISNUMBER(SEARCH(covid,C175)))&gt;0)</f>
        <v>0</v>
      </c>
      <c r="O175" s="14" cm="1">
        <f t="array" ref="O175">INT(SUMPRODUCT(--ISNUMBER(SEARCH(violent,C175)))&gt;0)</f>
        <v>0</v>
      </c>
      <c r="P175" s="14" cm="1">
        <f t="array" ref="P175">INT(SUMPRODUCT(--ISNUMBER(SEARCH(foreign,C175)))&gt;0)</f>
        <v>0</v>
      </c>
      <c r="Q175" s="14" cm="1">
        <f t="array" ref="Q175">INT(SUMPRODUCT(--ISNUMBER(SEARCH(gun,C175)))&gt;0)</f>
        <v>0</v>
      </c>
      <c r="R175" s="14" cm="1">
        <f t="array" ref="R175">INT(SUMPRODUCT(--ISNUMBER(SEARCH(race,C175)))&gt;0)</f>
        <v>0</v>
      </c>
      <c r="S175" s="14" cm="1">
        <f t="array" ref="S175">INT(SUMPRODUCT(--ISNUMBER(SEARCH(immigration,C175)))&gt;0)</f>
        <v>0</v>
      </c>
      <c r="T175" s="14" cm="1">
        <f t="array" ref="T175">INT(SUMPRODUCT(--ISNUMBER(SEARCH(econineq,C176)))&gt;0)</f>
        <v>0</v>
      </c>
      <c r="U175" s="14" cm="1">
        <f t="array" ref="U175">INT(SUMPRODUCT(--ISNUMBER(SEARCH(climate,C175)))&gt;0)</f>
        <v>0</v>
      </c>
      <c r="V175" s="14" cm="1">
        <f t="array" ref="V175">INT(SUMPRODUCT(--ISNUMBER(SEARCH(abortion,C175)))&gt;0)</f>
        <v>0</v>
      </c>
      <c r="W175" s="14" cm="1">
        <f t="array" ref="W175">INT(SUMPRODUCT(--ISNUMBER(SEARCH(trump,C175)))&gt;0)</f>
        <v>0</v>
      </c>
      <c r="X175" s="14" cm="1">
        <f t="array" ref="X175">INT(SUMPRODUCT(--ISNUMBER(SEARCH(voting,C175)))&gt;0)</f>
        <v>0</v>
      </c>
      <c r="Y175" s="14" cm="1">
        <f t="array" ref="Y175">INT(SUMPRODUCT(--ISNUMBER(SEARCH(republicantrigger,C175)))&gt;0)</f>
        <v>0</v>
      </c>
      <c r="Z175" s="14" cm="1">
        <f t="array" ref="Z175">INT(SUMPRODUCT(--ISNUMBER(SEARCH(bipartisan,C175)))&gt;0)</f>
        <v>0</v>
      </c>
      <c r="AA175" s="14">
        <f t="shared" si="2"/>
        <v>1</v>
      </c>
      <c r="AB175" s="14"/>
      <c r="AC175" s="30">
        <v>1</v>
      </c>
      <c r="AD175" s="37">
        <v>0</v>
      </c>
    </row>
    <row r="176" spans="1:30" x14ac:dyDescent="0.25">
      <c r="A176" s="36">
        <v>1383</v>
      </c>
      <c r="B176" s="14" t="s">
        <v>2793</v>
      </c>
      <c r="C176" s="14" t="s">
        <v>2794</v>
      </c>
      <c r="D176" s="17">
        <v>44124</v>
      </c>
      <c r="E176" s="14" t="s">
        <v>30</v>
      </c>
      <c r="F176" s="14">
        <v>19</v>
      </c>
      <c r="G176" s="14">
        <v>6</v>
      </c>
      <c r="H176" s="14">
        <v>7</v>
      </c>
      <c r="I176" s="14">
        <v>4</v>
      </c>
      <c r="J176" s="14" t="s">
        <v>31</v>
      </c>
      <c r="K176" s="14" cm="1">
        <f t="array" ref="K176">INT(SUMPRODUCT(--ISNUMBER(SEARCH(economy,C176)))&gt;0)</f>
        <v>0</v>
      </c>
      <c r="L176" s="14" cm="1">
        <f t="array" ref="L176">INT(SUMPRODUCT(--ISNUMBER(SEARCH(healthcare,C176)))&gt;0)</f>
        <v>0</v>
      </c>
      <c r="M176" s="14" cm="1">
        <f t="array" ref="M176">INT(SUMPRODUCT(--ISNUMBER(SEARCH(supreme,C176)))&gt;0)</f>
        <v>0</v>
      </c>
      <c r="N176" s="14" cm="1">
        <f t="array" ref="N176">INT(SUMPRODUCT(--ISNUMBER(SEARCH(covid,C176)))&gt;0)</f>
        <v>0</v>
      </c>
      <c r="O176" s="14" cm="1">
        <f t="array" ref="O176">INT(SUMPRODUCT(--ISNUMBER(SEARCH(violent,C176)))&gt;0)</f>
        <v>0</v>
      </c>
      <c r="P176" s="14" cm="1">
        <f t="array" ref="P176">INT(SUMPRODUCT(--ISNUMBER(SEARCH(foreign,C176)))&gt;0)</f>
        <v>0</v>
      </c>
      <c r="Q176" s="14" cm="1">
        <f t="array" ref="Q176">INT(SUMPRODUCT(--ISNUMBER(SEARCH(gun,C176)))&gt;0)</f>
        <v>0</v>
      </c>
      <c r="R176" s="14" cm="1">
        <f t="array" ref="R176">INT(SUMPRODUCT(--ISNUMBER(SEARCH(race,C176)))&gt;0)</f>
        <v>0</v>
      </c>
      <c r="S176" s="14" cm="1">
        <f t="array" ref="S176">INT(SUMPRODUCT(--ISNUMBER(SEARCH(immigration,C176)))&gt;0)</f>
        <v>0</v>
      </c>
      <c r="T176" s="14" cm="1">
        <f t="array" ref="T176">INT(SUMPRODUCT(--ISNUMBER(SEARCH(econineq,C177)))&gt;0)</f>
        <v>0</v>
      </c>
      <c r="U176" s="14" cm="1">
        <f t="array" ref="U176">INT(SUMPRODUCT(--ISNUMBER(SEARCH(climate,C176)))&gt;0)</f>
        <v>0</v>
      </c>
      <c r="V176" s="14" cm="1">
        <f t="array" ref="V176">INT(SUMPRODUCT(--ISNUMBER(SEARCH(abortion,C176)))&gt;0)</f>
        <v>0</v>
      </c>
      <c r="W176" s="14" cm="1">
        <f t="array" ref="W176">INT(SUMPRODUCT(--ISNUMBER(SEARCH(trump,C176)))&gt;0)</f>
        <v>0</v>
      </c>
      <c r="X176" s="14" cm="1">
        <f t="array" ref="X176">INT(SUMPRODUCT(--ISNUMBER(SEARCH(voting,C176)))&gt;0)</f>
        <v>1</v>
      </c>
      <c r="Y176" s="14" cm="1">
        <f t="array" ref="Y176">INT(SUMPRODUCT(--ISNUMBER(SEARCH(republicantrigger,C176)))&gt;0)</f>
        <v>0</v>
      </c>
      <c r="Z176" s="14" cm="1">
        <f t="array" ref="Z176">INT(SUMPRODUCT(--ISNUMBER(SEARCH(bipartisan,C176)))&gt;0)</f>
        <v>0</v>
      </c>
      <c r="AA176" s="14">
        <f t="shared" si="2"/>
        <v>0</v>
      </c>
      <c r="AB176" s="14"/>
      <c r="AC176" s="30">
        <v>0</v>
      </c>
      <c r="AD176" s="37">
        <v>0</v>
      </c>
    </row>
    <row r="177" spans="1:30" x14ac:dyDescent="0.25">
      <c r="A177" s="36">
        <v>1384</v>
      </c>
      <c r="B177" s="14" t="s">
        <v>2795</v>
      </c>
      <c r="C177" s="14" t="s">
        <v>2796</v>
      </c>
      <c r="D177" s="17">
        <v>44124</v>
      </c>
      <c r="E177" s="14" t="s">
        <v>30</v>
      </c>
      <c r="F177" s="14">
        <v>51</v>
      </c>
      <c r="G177" s="14">
        <v>15</v>
      </c>
      <c r="H177" s="14">
        <v>7</v>
      </c>
      <c r="I177" s="14">
        <v>4</v>
      </c>
      <c r="J177" s="14" t="s">
        <v>31</v>
      </c>
      <c r="K177" s="14" cm="1">
        <f t="array" ref="K177">INT(SUMPRODUCT(--ISNUMBER(SEARCH(economy,C177)))&gt;0)</f>
        <v>0</v>
      </c>
      <c r="L177" s="14" cm="1">
        <f t="array" ref="L177">INT(SUMPRODUCT(--ISNUMBER(SEARCH(healthcare,C177)))&gt;0)</f>
        <v>0</v>
      </c>
      <c r="M177" s="14" cm="1">
        <f t="array" ref="M177">INT(SUMPRODUCT(--ISNUMBER(SEARCH(supreme,C177)))&gt;0)</f>
        <v>0</v>
      </c>
      <c r="N177" s="14" cm="1">
        <f t="array" ref="N177">INT(SUMPRODUCT(--ISNUMBER(SEARCH(covid,C177)))&gt;0)</f>
        <v>0</v>
      </c>
      <c r="O177" s="14" cm="1">
        <f t="array" ref="O177">INT(SUMPRODUCT(--ISNUMBER(SEARCH(violent,C177)))&gt;0)</f>
        <v>0</v>
      </c>
      <c r="P177" s="14" cm="1">
        <f t="array" ref="P177">INT(SUMPRODUCT(--ISNUMBER(SEARCH(foreign,C177)))&gt;0)</f>
        <v>0</v>
      </c>
      <c r="Q177" s="14" cm="1">
        <f t="array" ref="Q177">INT(SUMPRODUCT(--ISNUMBER(SEARCH(gun,C177)))&gt;0)</f>
        <v>0</v>
      </c>
      <c r="R177" s="14" cm="1">
        <f t="array" ref="R177">INT(SUMPRODUCT(--ISNUMBER(SEARCH(race,C177)))&gt;0)</f>
        <v>0</v>
      </c>
      <c r="S177" s="14" cm="1">
        <f t="array" ref="S177">INT(SUMPRODUCT(--ISNUMBER(SEARCH(immigration,C177)))&gt;0)</f>
        <v>0</v>
      </c>
      <c r="T177" s="14" cm="1">
        <f t="array" ref="T177">INT(SUMPRODUCT(--ISNUMBER(SEARCH(econineq,C178)))&gt;0)</f>
        <v>0</v>
      </c>
      <c r="U177" s="14" cm="1">
        <f t="array" ref="U177">INT(SUMPRODUCT(--ISNUMBER(SEARCH(climate,C177)))&gt;0)</f>
        <v>0</v>
      </c>
      <c r="V177" s="14" cm="1">
        <f t="array" ref="V177">INT(SUMPRODUCT(--ISNUMBER(SEARCH(abortion,C177)))&gt;0)</f>
        <v>0</v>
      </c>
      <c r="W177" s="14" cm="1">
        <f t="array" ref="W177">INT(SUMPRODUCT(--ISNUMBER(SEARCH(trump,C177)))&gt;0)</f>
        <v>0</v>
      </c>
      <c r="X177" s="14" cm="1">
        <f t="array" ref="X177">INT(SUMPRODUCT(--ISNUMBER(SEARCH(voting,C177)))&gt;0)</f>
        <v>1</v>
      </c>
      <c r="Y177" s="14" cm="1">
        <f t="array" ref="Y177">INT(SUMPRODUCT(--ISNUMBER(SEARCH(republicantrigger,C177)))&gt;0)</f>
        <v>0</v>
      </c>
      <c r="Z177" s="14" cm="1">
        <f t="array" ref="Z177">INT(SUMPRODUCT(--ISNUMBER(SEARCH(bipartisan,C177)))&gt;0)</f>
        <v>0</v>
      </c>
      <c r="AA177" s="14">
        <f t="shared" si="2"/>
        <v>0</v>
      </c>
      <c r="AB177" s="14"/>
      <c r="AC177" s="30">
        <v>0</v>
      </c>
      <c r="AD177" s="37">
        <v>1</v>
      </c>
    </row>
    <row r="178" spans="1:30" x14ac:dyDescent="0.25">
      <c r="A178" s="36">
        <v>1385</v>
      </c>
      <c r="B178" s="14" t="s">
        <v>2797</v>
      </c>
      <c r="C178" s="14" t="s">
        <v>2798</v>
      </c>
      <c r="D178" s="17">
        <v>44124</v>
      </c>
      <c r="E178" s="14" t="s">
        <v>30</v>
      </c>
      <c r="F178" s="14">
        <v>16</v>
      </c>
      <c r="G178" s="14">
        <v>4</v>
      </c>
      <c r="H178" s="14">
        <v>7</v>
      </c>
      <c r="I178" s="14">
        <v>4</v>
      </c>
      <c r="J178" s="14" t="s">
        <v>31</v>
      </c>
      <c r="K178" s="14" cm="1">
        <f t="array" ref="K178">INT(SUMPRODUCT(--ISNUMBER(SEARCH(economy,C178)))&gt;0)</f>
        <v>0</v>
      </c>
      <c r="L178" s="14" cm="1">
        <f t="array" ref="L178">INT(SUMPRODUCT(--ISNUMBER(SEARCH(healthcare,C178)))&gt;0)</f>
        <v>0</v>
      </c>
      <c r="M178" s="14" cm="1">
        <f t="array" ref="M178">INT(SUMPRODUCT(--ISNUMBER(SEARCH(supreme,C178)))&gt;0)</f>
        <v>0</v>
      </c>
      <c r="N178" s="14" cm="1">
        <f t="array" ref="N178">INT(SUMPRODUCT(--ISNUMBER(SEARCH(covid,C178)))&gt;0)</f>
        <v>0</v>
      </c>
      <c r="O178" s="14" cm="1">
        <f t="array" ref="O178">INT(SUMPRODUCT(--ISNUMBER(SEARCH(violent,C178)))&gt;0)</f>
        <v>0</v>
      </c>
      <c r="P178" s="14" cm="1">
        <f t="array" ref="P178">INT(SUMPRODUCT(--ISNUMBER(SEARCH(foreign,C178)))&gt;0)</f>
        <v>0</v>
      </c>
      <c r="Q178" s="14" cm="1">
        <f t="array" ref="Q178">INT(SUMPRODUCT(--ISNUMBER(SEARCH(gun,C178)))&gt;0)</f>
        <v>0</v>
      </c>
      <c r="R178" s="14" cm="1">
        <f t="array" ref="R178">INT(SUMPRODUCT(--ISNUMBER(SEARCH(race,C178)))&gt;0)</f>
        <v>0</v>
      </c>
      <c r="S178" s="14" cm="1">
        <f t="array" ref="S178">INT(SUMPRODUCT(--ISNUMBER(SEARCH(immigration,C178)))&gt;0)</f>
        <v>0</v>
      </c>
      <c r="T178" s="14" cm="1">
        <f t="array" ref="T178">INT(SUMPRODUCT(--ISNUMBER(SEARCH(econineq,C179)))&gt;0)</f>
        <v>0</v>
      </c>
      <c r="U178" s="14" cm="1">
        <f t="array" ref="U178">INT(SUMPRODUCT(--ISNUMBER(SEARCH(climate,C178)))&gt;0)</f>
        <v>0</v>
      </c>
      <c r="V178" s="14" cm="1">
        <f t="array" ref="V178">INT(SUMPRODUCT(--ISNUMBER(SEARCH(abortion,C178)))&gt;0)</f>
        <v>0</v>
      </c>
      <c r="W178" s="14" cm="1">
        <f t="array" ref="W178">INT(SUMPRODUCT(--ISNUMBER(SEARCH(trump,C178)))&gt;0)</f>
        <v>0</v>
      </c>
      <c r="X178" s="14" cm="1">
        <f t="array" ref="X178">INT(SUMPRODUCT(--ISNUMBER(SEARCH(voting,C178)))&gt;0)</f>
        <v>0</v>
      </c>
      <c r="Y178" s="14" cm="1">
        <f t="array" ref="Y178">INT(SUMPRODUCT(--ISNUMBER(SEARCH(republicantrigger,C178)))&gt;0)</f>
        <v>0</v>
      </c>
      <c r="Z178" s="14" cm="1">
        <f t="array" ref="Z178">INT(SUMPRODUCT(--ISNUMBER(SEARCH(bipartisan,C178)))&gt;0)</f>
        <v>0</v>
      </c>
      <c r="AA178" s="14">
        <f t="shared" si="2"/>
        <v>1</v>
      </c>
      <c r="AB178" s="14"/>
      <c r="AC178" s="30">
        <v>1</v>
      </c>
      <c r="AD178" s="37">
        <v>0</v>
      </c>
    </row>
    <row r="179" spans="1:30" x14ac:dyDescent="0.25">
      <c r="A179" s="36">
        <v>1386</v>
      </c>
      <c r="B179" s="14" t="s">
        <v>2799</v>
      </c>
      <c r="C179" s="14" t="s">
        <v>2800</v>
      </c>
      <c r="D179" s="17">
        <v>44123</v>
      </c>
      <c r="E179" s="14" t="s">
        <v>30</v>
      </c>
      <c r="F179" s="14">
        <v>40</v>
      </c>
      <c r="G179" s="14">
        <v>15</v>
      </c>
      <c r="H179" s="14">
        <v>7</v>
      </c>
      <c r="I179" s="14">
        <v>4</v>
      </c>
      <c r="J179" s="14" t="s">
        <v>31</v>
      </c>
      <c r="K179" s="14" cm="1">
        <f t="array" ref="K179">INT(SUMPRODUCT(--ISNUMBER(SEARCH(economy,C179)))&gt;0)</f>
        <v>1</v>
      </c>
      <c r="L179" s="14" cm="1">
        <f t="array" ref="L179">INT(SUMPRODUCT(--ISNUMBER(SEARCH(healthcare,C179)))&gt;0)</f>
        <v>0</v>
      </c>
      <c r="M179" s="14" cm="1">
        <f t="array" ref="M179">INT(SUMPRODUCT(--ISNUMBER(SEARCH(supreme,C179)))&gt;0)</f>
        <v>0</v>
      </c>
      <c r="N179" s="14" cm="1">
        <f t="array" ref="N179">INT(SUMPRODUCT(--ISNUMBER(SEARCH(covid,C179)))&gt;0)</f>
        <v>1</v>
      </c>
      <c r="O179" s="14" cm="1">
        <f t="array" ref="O179">INT(SUMPRODUCT(--ISNUMBER(SEARCH(violent,C179)))&gt;0)</f>
        <v>0</v>
      </c>
      <c r="P179" s="14" cm="1">
        <f t="array" ref="P179">INT(SUMPRODUCT(--ISNUMBER(SEARCH(foreign,C179)))&gt;0)</f>
        <v>0</v>
      </c>
      <c r="Q179" s="14" cm="1">
        <f t="array" ref="Q179">INT(SUMPRODUCT(--ISNUMBER(SEARCH(gun,C179)))&gt;0)</f>
        <v>0</v>
      </c>
      <c r="R179" s="14" cm="1">
        <f t="array" ref="R179">INT(SUMPRODUCT(--ISNUMBER(SEARCH(race,C179)))&gt;0)</f>
        <v>0</v>
      </c>
      <c r="S179" s="14" cm="1">
        <f t="array" ref="S179">INT(SUMPRODUCT(--ISNUMBER(SEARCH(immigration,C179)))&gt;0)</f>
        <v>0</v>
      </c>
      <c r="T179" s="14" cm="1">
        <f t="array" ref="T179">INT(SUMPRODUCT(--ISNUMBER(SEARCH(econineq,C180)))&gt;0)</f>
        <v>0</v>
      </c>
      <c r="U179" s="14" cm="1">
        <f t="array" ref="U179">INT(SUMPRODUCT(--ISNUMBER(SEARCH(climate,C179)))&gt;0)</f>
        <v>0</v>
      </c>
      <c r="V179" s="14" cm="1">
        <f t="array" ref="V179">INT(SUMPRODUCT(--ISNUMBER(SEARCH(abortion,C179)))&gt;0)</f>
        <v>0</v>
      </c>
      <c r="W179" s="14" cm="1">
        <f t="array" ref="W179">INT(SUMPRODUCT(--ISNUMBER(SEARCH(trump,C179)))&gt;0)</f>
        <v>0</v>
      </c>
      <c r="X179" s="14" cm="1">
        <f t="array" ref="X179">INT(SUMPRODUCT(--ISNUMBER(SEARCH(voting,C179)))&gt;0)</f>
        <v>0</v>
      </c>
      <c r="Y179" s="14" cm="1">
        <f t="array" ref="Y179">INT(SUMPRODUCT(--ISNUMBER(SEARCH(republicantrigger,C179)))&gt;0)</f>
        <v>0</v>
      </c>
      <c r="Z179" s="14" cm="1">
        <f t="array" ref="Z179">INT(SUMPRODUCT(--ISNUMBER(SEARCH(bipartisan,C179)))&gt;0)</f>
        <v>1</v>
      </c>
      <c r="AA179" s="14">
        <f t="shared" si="2"/>
        <v>0</v>
      </c>
      <c r="AB179" s="14"/>
      <c r="AC179" s="30">
        <v>0</v>
      </c>
      <c r="AD179" s="37">
        <v>1</v>
      </c>
    </row>
    <row r="180" spans="1:30" x14ac:dyDescent="0.25">
      <c r="A180" s="36">
        <v>1387</v>
      </c>
      <c r="B180" s="14" t="s">
        <v>2801</v>
      </c>
      <c r="C180" s="14" t="s">
        <v>2802</v>
      </c>
      <c r="D180" s="17">
        <v>44123</v>
      </c>
      <c r="E180" s="14" t="s">
        <v>30</v>
      </c>
      <c r="F180" s="14">
        <v>40</v>
      </c>
      <c r="G180" s="14">
        <v>8</v>
      </c>
      <c r="H180" s="14">
        <v>7</v>
      </c>
      <c r="I180" s="14">
        <v>4</v>
      </c>
      <c r="J180" s="14" t="s">
        <v>31</v>
      </c>
      <c r="K180" s="14" cm="1">
        <f t="array" ref="K180">INT(SUMPRODUCT(--ISNUMBER(SEARCH(economy,C180)))&gt;0)</f>
        <v>0</v>
      </c>
      <c r="L180" s="14" cm="1">
        <f t="array" ref="L180">INT(SUMPRODUCT(--ISNUMBER(SEARCH(healthcare,C180)))&gt;0)</f>
        <v>0</v>
      </c>
      <c r="M180" s="14" cm="1">
        <f t="array" ref="M180">INT(SUMPRODUCT(--ISNUMBER(SEARCH(supreme,C180)))&gt;0)</f>
        <v>0</v>
      </c>
      <c r="N180" s="14" cm="1">
        <f t="array" ref="N180">INT(SUMPRODUCT(--ISNUMBER(SEARCH(covid,C180)))&gt;0)</f>
        <v>0</v>
      </c>
      <c r="O180" s="14" cm="1">
        <f t="array" ref="O180">INT(SUMPRODUCT(--ISNUMBER(SEARCH(violent,C180)))&gt;0)</f>
        <v>0</v>
      </c>
      <c r="P180" s="14" cm="1">
        <f t="array" ref="P180">INT(SUMPRODUCT(--ISNUMBER(SEARCH(foreign,C180)))&gt;0)</f>
        <v>0</v>
      </c>
      <c r="Q180" s="14" cm="1">
        <f t="array" ref="Q180">INT(SUMPRODUCT(--ISNUMBER(SEARCH(gun,C180)))&gt;0)</f>
        <v>0</v>
      </c>
      <c r="R180" s="14" cm="1">
        <f t="array" ref="R180">INT(SUMPRODUCT(--ISNUMBER(SEARCH(race,C180)))&gt;0)</f>
        <v>0</v>
      </c>
      <c r="S180" s="14" cm="1">
        <f t="array" ref="S180">INT(SUMPRODUCT(--ISNUMBER(SEARCH(immigration,C180)))&gt;0)</f>
        <v>0</v>
      </c>
      <c r="T180" s="14" cm="1">
        <f t="array" ref="T180">INT(SUMPRODUCT(--ISNUMBER(SEARCH(econineq,C181)))&gt;0)</f>
        <v>0</v>
      </c>
      <c r="U180" s="14" cm="1">
        <f t="array" ref="U180">INT(SUMPRODUCT(--ISNUMBER(SEARCH(climate,C180)))&gt;0)</f>
        <v>0</v>
      </c>
      <c r="V180" s="14" cm="1">
        <f t="array" ref="V180">INT(SUMPRODUCT(--ISNUMBER(SEARCH(abortion,C180)))&gt;0)</f>
        <v>0</v>
      </c>
      <c r="W180" s="14" cm="1">
        <f t="array" ref="W180">INT(SUMPRODUCT(--ISNUMBER(SEARCH(trump,C180)))&gt;0)</f>
        <v>0</v>
      </c>
      <c r="X180" s="14" cm="1">
        <f t="array" ref="X180">INT(SUMPRODUCT(--ISNUMBER(SEARCH(voting,C180)))&gt;0)</f>
        <v>0</v>
      </c>
      <c r="Y180" s="14" cm="1">
        <f t="array" ref="Y180">INT(SUMPRODUCT(--ISNUMBER(SEARCH(republicantrigger,C180)))&gt;0)</f>
        <v>0</v>
      </c>
      <c r="Z180" s="14" cm="1">
        <f t="array" ref="Z180">INT(SUMPRODUCT(--ISNUMBER(SEARCH(bipartisan,C180)))&gt;0)</f>
        <v>0</v>
      </c>
      <c r="AA180" s="14">
        <f t="shared" si="2"/>
        <v>1</v>
      </c>
      <c r="AB180" s="14"/>
      <c r="AC180" s="30">
        <v>0</v>
      </c>
      <c r="AD180" s="37">
        <v>1</v>
      </c>
    </row>
    <row r="181" spans="1:30" x14ac:dyDescent="0.25">
      <c r="A181" s="36">
        <v>1388</v>
      </c>
      <c r="B181" s="14" t="s">
        <v>2803</v>
      </c>
      <c r="C181" s="14" t="s">
        <v>2804</v>
      </c>
      <c r="D181" s="17">
        <v>44123</v>
      </c>
      <c r="E181" s="14" t="s">
        <v>30</v>
      </c>
      <c r="F181" s="14">
        <v>29</v>
      </c>
      <c r="G181" s="14">
        <v>6</v>
      </c>
      <c r="H181" s="14">
        <v>7</v>
      </c>
      <c r="I181" s="14">
        <v>4</v>
      </c>
      <c r="J181" s="14" t="s">
        <v>31</v>
      </c>
      <c r="K181" s="14" cm="1">
        <f t="array" ref="K181">INT(SUMPRODUCT(--ISNUMBER(SEARCH(economy,C181)))&gt;0)</f>
        <v>1</v>
      </c>
      <c r="L181" s="14" cm="1">
        <f t="array" ref="L181">INT(SUMPRODUCT(--ISNUMBER(SEARCH(healthcare,C181)))&gt;0)</f>
        <v>0</v>
      </c>
      <c r="M181" s="14" cm="1">
        <f t="array" ref="M181">INT(SUMPRODUCT(--ISNUMBER(SEARCH(supreme,C181)))&gt;0)</f>
        <v>0</v>
      </c>
      <c r="N181" s="14" cm="1">
        <f t="array" ref="N181">INT(SUMPRODUCT(--ISNUMBER(SEARCH(covid,C181)))&gt;0)</f>
        <v>1</v>
      </c>
      <c r="O181" s="14" cm="1">
        <f t="array" ref="O181">INT(SUMPRODUCT(--ISNUMBER(SEARCH(violent,C181)))&gt;0)</f>
        <v>0</v>
      </c>
      <c r="P181" s="14" cm="1">
        <f t="array" ref="P181">INT(SUMPRODUCT(--ISNUMBER(SEARCH(foreign,C181)))&gt;0)</f>
        <v>1</v>
      </c>
      <c r="Q181" s="14" cm="1">
        <f t="array" ref="Q181">INT(SUMPRODUCT(--ISNUMBER(SEARCH(gun,C181)))&gt;0)</f>
        <v>0</v>
      </c>
      <c r="R181" s="14" cm="1">
        <f t="array" ref="R181">INT(SUMPRODUCT(--ISNUMBER(SEARCH(race,C181)))&gt;0)</f>
        <v>0</v>
      </c>
      <c r="S181" s="14" cm="1">
        <f t="array" ref="S181">INT(SUMPRODUCT(--ISNUMBER(SEARCH(immigration,C181)))&gt;0)</f>
        <v>0</v>
      </c>
      <c r="T181" s="14" cm="1">
        <f t="array" ref="T181">INT(SUMPRODUCT(--ISNUMBER(SEARCH(econineq,C182)))&gt;0)</f>
        <v>0</v>
      </c>
      <c r="U181" s="14" cm="1">
        <f t="array" ref="U181">INT(SUMPRODUCT(--ISNUMBER(SEARCH(climate,C181)))&gt;0)</f>
        <v>0</v>
      </c>
      <c r="V181" s="14" cm="1">
        <f t="array" ref="V181">INT(SUMPRODUCT(--ISNUMBER(SEARCH(abortion,C181)))&gt;0)</f>
        <v>0</v>
      </c>
      <c r="W181" s="14" cm="1">
        <f t="array" ref="W181">INT(SUMPRODUCT(--ISNUMBER(SEARCH(trump,C181)))&gt;0)</f>
        <v>0</v>
      </c>
      <c r="X181" s="14" cm="1">
        <f t="array" ref="X181">INT(SUMPRODUCT(--ISNUMBER(SEARCH(voting,C181)))&gt;0)</f>
        <v>0</v>
      </c>
      <c r="Y181" s="14" cm="1">
        <f t="array" ref="Y181">INT(SUMPRODUCT(--ISNUMBER(SEARCH(republicantrigger,C181)))&gt;0)</f>
        <v>0</v>
      </c>
      <c r="Z181" s="14" cm="1">
        <f t="array" ref="Z181">INT(SUMPRODUCT(--ISNUMBER(SEARCH(bipartisan,C181)))&gt;0)</f>
        <v>0</v>
      </c>
      <c r="AA181" s="14">
        <f t="shared" si="2"/>
        <v>0</v>
      </c>
      <c r="AB181" s="14"/>
      <c r="AC181" s="30">
        <v>1</v>
      </c>
      <c r="AD181" s="37">
        <v>0</v>
      </c>
    </row>
    <row r="182" spans="1:30" x14ac:dyDescent="0.25">
      <c r="A182" s="36">
        <v>1389</v>
      </c>
      <c r="B182" s="14" t="s">
        <v>2805</v>
      </c>
      <c r="C182" s="14" t="s">
        <v>2806</v>
      </c>
      <c r="D182" s="17">
        <v>44122</v>
      </c>
      <c r="E182" s="14" t="s">
        <v>30</v>
      </c>
      <c r="F182" s="14">
        <v>32</v>
      </c>
      <c r="G182" s="14">
        <v>10</v>
      </c>
      <c r="H182" s="14">
        <v>7</v>
      </c>
      <c r="I182" s="14">
        <v>4</v>
      </c>
      <c r="J182" s="14" t="s">
        <v>31</v>
      </c>
      <c r="K182" s="14" cm="1">
        <f t="array" ref="K182">INT(SUMPRODUCT(--ISNUMBER(SEARCH(economy,C182)))&gt;0)</f>
        <v>0</v>
      </c>
      <c r="L182" s="14" cm="1">
        <f t="array" ref="L182">INT(SUMPRODUCT(--ISNUMBER(SEARCH(healthcare,C182)))&gt;0)</f>
        <v>1</v>
      </c>
      <c r="M182" s="14" cm="1">
        <f t="array" ref="M182">INT(SUMPRODUCT(--ISNUMBER(SEARCH(supreme,C182)))&gt;0)</f>
        <v>0</v>
      </c>
      <c r="N182" s="14" cm="1">
        <f t="array" ref="N182">INT(SUMPRODUCT(--ISNUMBER(SEARCH(covid,C182)))&gt;0)</f>
        <v>0</v>
      </c>
      <c r="O182" s="14" cm="1">
        <f t="array" ref="O182">INT(SUMPRODUCT(--ISNUMBER(SEARCH(violent,C182)))&gt;0)</f>
        <v>0</v>
      </c>
      <c r="P182" s="14" cm="1">
        <f t="array" ref="P182">INT(SUMPRODUCT(--ISNUMBER(SEARCH(foreign,C182)))&gt;0)</f>
        <v>0</v>
      </c>
      <c r="Q182" s="14" cm="1">
        <f t="array" ref="Q182">INT(SUMPRODUCT(--ISNUMBER(SEARCH(gun,C182)))&gt;0)</f>
        <v>0</v>
      </c>
      <c r="R182" s="14" cm="1">
        <f t="array" ref="R182">INT(SUMPRODUCT(--ISNUMBER(SEARCH(race,C182)))&gt;0)</f>
        <v>0</v>
      </c>
      <c r="S182" s="14" cm="1">
        <f t="array" ref="S182">INT(SUMPRODUCT(--ISNUMBER(SEARCH(immigration,C182)))&gt;0)</f>
        <v>0</v>
      </c>
      <c r="T182" s="14" cm="1">
        <f t="array" ref="T182">INT(SUMPRODUCT(--ISNUMBER(SEARCH(econineq,C183)))&gt;0)</f>
        <v>0</v>
      </c>
      <c r="U182" s="14" cm="1">
        <f t="array" ref="U182">INT(SUMPRODUCT(--ISNUMBER(SEARCH(climate,C182)))&gt;0)</f>
        <v>0</v>
      </c>
      <c r="V182" s="14" cm="1">
        <f t="array" ref="V182">INT(SUMPRODUCT(--ISNUMBER(SEARCH(abortion,C182)))&gt;0)</f>
        <v>0</v>
      </c>
      <c r="W182" s="14" cm="1">
        <f t="array" ref="W182">INT(SUMPRODUCT(--ISNUMBER(SEARCH(trump,C182)))&gt;0)</f>
        <v>0</v>
      </c>
      <c r="X182" s="14" cm="1">
        <f t="array" ref="X182">INT(SUMPRODUCT(--ISNUMBER(SEARCH(voting,C182)))&gt;0)</f>
        <v>0</v>
      </c>
      <c r="Y182" s="14" cm="1">
        <f t="array" ref="Y182">INT(SUMPRODUCT(--ISNUMBER(SEARCH(republicantrigger,C182)))&gt;0)</f>
        <v>0</v>
      </c>
      <c r="Z182" s="14" cm="1">
        <f t="array" ref="Z182">INT(SUMPRODUCT(--ISNUMBER(SEARCH(bipartisan,C182)))&gt;0)</f>
        <v>0</v>
      </c>
      <c r="AA182" s="14">
        <f t="shared" si="2"/>
        <v>0</v>
      </c>
      <c r="AB182" s="14"/>
      <c r="AC182" s="30">
        <v>1</v>
      </c>
      <c r="AD182" s="37">
        <v>0</v>
      </c>
    </row>
    <row r="183" spans="1:30" x14ac:dyDescent="0.25">
      <c r="A183" s="36">
        <v>1390</v>
      </c>
      <c r="B183" s="14" t="s">
        <v>2807</v>
      </c>
      <c r="C183" s="14" t="s">
        <v>2808</v>
      </c>
      <c r="D183" s="17">
        <v>44122</v>
      </c>
      <c r="E183" s="14" t="s">
        <v>30</v>
      </c>
      <c r="F183" s="14">
        <v>44</v>
      </c>
      <c r="G183" s="14">
        <v>8</v>
      </c>
      <c r="H183" s="14">
        <v>7</v>
      </c>
      <c r="I183" s="14">
        <v>4</v>
      </c>
      <c r="J183" s="14" t="s">
        <v>31</v>
      </c>
      <c r="K183" s="14" cm="1">
        <f t="array" ref="K183">INT(SUMPRODUCT(--ISNUMBER(SEARCH(economy,C183)))&gt;0)</f>
        <v>0</v>
      </c>
      <c r="L183" s="14" cm="1">
        <f t="array" ref="L183">INT(SUMPRODUCT(--ISNUMBER(SEARCH(healthcare,C183)))&gt;0)</f>
        <v>0</v>
      </c>
      <c r="M183" s="14" cm="1">
        <f t="array" ref="M183">INT(SUMPRODUCT(--ISNUMBER(SEARCH(supreme,C183)))&gt;0)</f>
        <v>0</v>
      </c>
      <c r="N183" s="14" cm="1">
        <f t="array" ref="N183">INT(SUMPRODUCT(--ISNUMBER(SEARCH(covid,C183)))&gt;0)</f>
        <v>0</v>
      </c>
      <c r="O183" s="14" cm="1">
        <f t="array" ref="O183">INT(SUMPRODUCT(--ISNUMBER(SEARCH(violent,C183)))&gt;0)</f>
        <v>0</v>
      </c>
      <c r="P183" s="14" cm="1">
        <f t="array" ref="P183">INT(SUMPRODUCT(--ISNUMBER(SEARCH(foreign,C183)))&gt;0)</f>
        <v>0</v>
      </c>
      <c r="Q183" s="14" cm="1">
        <f t="array" ref="Q183">INT(SUMPRODUCT(--ISNUMBER(SEARCH(gun,C183)))&gt;0)</f>
        <v>0</v>
      </c>
      <c r="R183" s="14" cm="1">
        <f t="array" ref="R183">INT(SUMPRODUCT(--ISNUMBER(SEARCH(race,C183)))&gt;0)</f>
        <v>0</v>
      </c>
      <c r="S183" s="14" cm="1">
        <f t="array" ref="S183">INT(SUMPRODUCT(--ISNUMBER(SEARCH(immigration,C183)))&gt;0)</f>
        <v>0</v>
      </c>
      <c r="T183" s="14" cm="1">
        <f t="array" ref="T183">INT(SUMPRODUCT(--ISNUMBER(SEARCH(econineq,C184)))&gt;0)</f>
        <v>1</v>
      </c>
      <c r="U183" s="14" cm="1">
        <f t="array" ref="U183">INT(SUMPRODUCT(--ISNUMBER(SEARCH(climate,C183)))&gt;0)</f>
        <v>0</v>
      </c>
      <c r="V183" s="14" cm="1">
        <f t="array" ref="V183">INT(SUMPRODUCT(--ISNUMBER(SEARCH(abortion,C183)))&gt;0)</f>
        <v>0</v>
      </c>
      <c r="W183" s="14" cm="1">
        <f t="array" ref="W183">INT(SUMPRODUCT(--ISNUMBER(SEARCH(trump,C183)))&gt;0)</f>
        <v>0</v>
      </c>
      <c r="X183" s="14" cm="1">
        <f t="array" ref="X183">INT(SUMPRODUCT(--ISNUMBER(SEARCH(voting,C183)))&gt;0)</f>
        <v>1</v>
      </c>
      <c r="Y183" s="14" cm="1">
        <f t="array" ref="Y183">INT(SUMPRODUCT(--ISNUMBER(SEARCH(republicantrigger,C183)))&gt;0)</f>
        <v>0</v>
      </c>
      <c r="Z183" s="14" cm="1">
        <f t="array" ref="Z183">INT(SUMPRODUCT(--ISNUMBER(SEARCH(bipartisan,C183)))&gt;0)</f>
        <v>0</v>
      </c>
      <c r="AA183" s="14">
        <f t="shared" si="2"/>
        <v>0</v>
      </c>
      <c r="AB183" s="14"/>
      <c r="AC183" s="30">
        <v>1</v>
      </c>
      <c r="AD183" s="37">
        <v>0</v>
      </c>
    </row>
    <row r="184" spans="1:30" x14ac:dyDescent="0.25">
      <c r="A184" s="36">
        <v>1391</v>
      </c>
      <c r="B184" s="14" t="s">
        <v>2809</v>
      </c>
      <c r="C184" s="14" t="s">
        <v>2810</v>
      </c>
      <c r="D184" s="17">
        <v>44122</v>
      </c>
      <c r="E184" s="14" t="s">
        <v>30</v>
      </c>
      <c r="F184" s="14">
        <v>21</v>
      </c>
      <c r="G184" s="14">
        <v>4</v>
      </c>
      <c r="H184" s="14">
        <v>7</v>
      </c>
      <c r="I184" s="14">
        <v>4</v>
      </c>
      <c r="J184" s="14" t="s">
        <v>31</v>
      </c>
      <c r="K184" s="14" cm="1">
        <f t="array" ref="K184">INT(SUMPRODUCT(--ISNUMBER(SEARCH(economy,C184)))&gt;0)</f>
        <v>1</v>
      </c>
      <c r="L184" s="14" cm="1">
        <f t="array" ref="L184">INT(SUMPRODUCT(--ISNUMBER(SEARCH(healthcare,C184)))&gt;0)</f>
        <v>0</v>
      </c>
      <c r="M184" s="14" cm="1">
        <f t="array" ref="M184">INT(SUMPRODUCT(--ISNUMBER(SEARCH(supreme,C184)))&gt;0)</f>
        <v>0</v>
      </c>
      <c r="N184" s="14" cm="1">
        <f t="array" ref="N184">INT(SUMPRODUCT(--ISNUMBER(SEARCH(covid,C184)))&gt;0)</f>
        <v>0</v>
      </c>
      <c r="O184" s="14" cm="1">
        <f t="array" ref="O184">INT(SUMPRODUCT(--ISNUMBER(SEARCH(violent,C184)))&gt;0)</f>
        <v>0</v>
      </c>
      <c r="P184" s="14" cm="1">
        <f t="array" ref="P184">INT(SUMPRODUCT(--ISNUMBER(SEARCH(foreign,C184)))&gt;0)</f>
        <v>0</v>
      </c>
      <c r="Q184" s="14" cm="1">
        <f t="array" ref="Q184">INT(SUMPRODUCT(--ISNUMBER(SEARCH(gun,C184)))&gt;0)</f>
        <v>0</v>
      </c>
      <c r="R184" s="14" cm="1">
        <f t="array" ref="R184">INT(SUMPRODUCT(--ISNUMBER(SEARCH(race,C184)))&gt;0)</f>
        <v>0</v>
      </c>
      <c r="S184" s="14" cm="1">
        <f t="array" ref="S184">INT(SUMPRODUCT(--ISNUMBER(SEARCH(immigration,C184)))&gt;0)</f>
        <v>0</v>
      </c>
      <c r="T184" s="14" cm="1">
        <f t="array" ref="T184">INT(SUMPRODUCT(--ISNUMBER(SEARCH(econineq,C185)))&gt;0)</f>
        <v>0</v>
      </c>
      <c r="U184" s="14" cm="1">
        <f t="array" ref="U184">INT(SUMPRODUCT(--ISNUMBER(SEARCH(climate,C184)))&gt;0)</f>
        <v>1</v>
      </c>
      <c r="V184" s="14" cm="1">
        <f t="array" ref="V184">INT(SUMPRODUCT(--ISNUMBER(SEARCH(abortion,C184)))&gt;0)</f>
        <v>0</v>
      </c>
      <c r="W184" s="14" cm="1">
        <f t="array" ref="W184">INT(SUMPRODUCT(--ISNUMBER(SEARCH(trump,C184)))&gt;0)</f>
        <v>0</v>
      </c>
      <c r="X184" s="14" cm="1">
        <f t="array" ref="X184">INT(SUMPRODUCT(--ISNUMBER(SEARCH(voting,C184)))&gt;0)</f>
        <v>0</v>
      </c>
      <c r="Y184" s="14" cm="1">
        <f t="array" ref="Y184">INT(SUMPRODUCT(--ISNUMBER(SEARCH(republicantrigger,C184)))&gt;0)</f>
        <v>0</v>
      </c>
      <c r="Z184" s="14" cm="1">
        <f t="array" ref="Z184">INT(SUMPRODUCT(--ISNUMBER(SEARCH(bipartisan,C184)))&gt;0)</f>
        <v>0</v>
      </c>
      <c r="AA184" s="14">
        <f t="shared" si="2"/>
        <v>0</v>
      </c>
      <c r="AB184" s="14"/>
      <c r="AC184" s="30">
        <v>0</v>
      </c>
      <c r="AD184" s="37">
        <v>0</v>
      </c>
    </row>
    <row r="185" spans="1:30" x14ac:dyDescent="0.25">
      <c r="A185" s="36">
        <v>1392</v>
      </c>
      <c r="B185" s="14" t="s">
        <v>2811</v>
      </c>
      <c r="C185" s="14" t="s">
        <v>2812</v>
      </c>
      <c r="D185" s="17">
        <v>44121</v>
      </c>
      <c r="E185" s="14" t="s">
        <v>30</v>
      </c>
      <c r="F185" s="14">
        <v>28</v>
      </c>
      <c r="G185" s="14">
        <v>3</v>
      </c>
      <c r="H185" s="14">
        <v>7</v>
      </c>
      <c r="I185" s="14">
        <v>4</v>
      </c>
      <c r="J185" s="14" t="s">
        <v>31</v>
      </c>
      <c r="K185" s="14" cm="1">
        <f t="array" ref="K185">INT(SUMPRODUCT(--ISNUMBER(SEARCH(economy,C185)))&gt;0)</f>
        <v>0</v>
      </c>
      <c r="L185" s="14" cm="1">
        <f t="array" ref="L185">INT(SUMPRODUCT(--ISNUMBER(SEARCH(healthcare,C185)))&gt;0)</f>
        <v>0</v>
      </c>
      <c r="M185" s="14" cm="1">
        <f t="array" ref="M185">INT(SUMPRODUCT(--ISNUMBER(SEARCH(supreme,C185)))&gt;0)</f>
        <v>0</v>
      </c>
      <c r="N185" s="14" cm="1">
        <f t="array" ref="N185">INT(SUMPRODUCT(--ISNUMBER(SEARCH(covid,C185)))&gt;0)</f>
        <v>0</v>
      </c>
      <c r="O185" s="14" cm="1">
        <f t="array" ref="O185">INT(SUMPRODUCT(--ISNUMBER(SEARCH(violent,C185)))&gt;0)</f>
        <v>0</v>
      </c>
      <c r="P185" s="14" cm="1">
        <f t="array" ref="P185">INT(SUMPRODUCT(--ISNUMBER(SEARCH(foreign,C185)))&gt;0)</f>
        <v>0</v>
      </c>
      <c r="Q185" s="14" cm="1">
        <f t="array" ref="Q185">INT(SUMPRODUCT(--ISNUMBER(SEARCH(gun,C185)))&gt;0)</f>
        <v>0</v>
      </c>
      <c r="R185" s="14" cm="1">
        <f t="array" ref="R185">INT(SUMPRODUCT(--ISNUMBER(SEARCH(race,C185)))&gt;0)</f>
        <v>0</v>
      </c>
      <c r="S185" s="14" cm="1">
        <f t="array" ref="S185">INT(SUMPRODUCT(--ISNUMBER(SEARCH(immigration,C185)))&gt;0)</f>
        <v>0</v>
      </c>
      <c r="T185" s="14" cm="1">
        <f t="array" ref="T185">INT(SUMPRODUCT(--ISNUMBER(SEARCH(econineq,C186)))&gt;0)</f>
        <v>0</v>
      </c>
      <c r="U185" s="14" cm="1">
        <f t="array" ref="U185">INT(SUMPRODUCT(--ISNUMBER(SEARCH(climate,C185)))&gt;0)</f>
        <v>0</v>
      </c>
      <c r="V185" s="14" cm="1">
        <f t="array" ref="V185">INT(SUMPRODUCT(--ISNUMBER(SEARCH(abortion,C185)))&gt;0)</f>
        <v>0</v>
      </c>
      <c r="W185" s="14" cm="1">
        <f t="array" ref="W185">INT(SUMPRODUCT(--ISNUMBER(SEARCH(trump,C185)))&gt;0)</f>
        <v>0</v>
      </c>
      <c r="X185" s="14" cm="1">
        <f t="array" ref="X185">INT(SUMPRODUCT(--ISNUMBER(SEARCH(voting,C185)))&gt;0)</f>
        <v>0</v>
      </c>
      <c r="Y185" s="14" cm="1">
        <f t="array" ref="Y185">INT(SUMPRODUCT(--ISNUMBER(SEARCH(republicantrigger,C185)))&gt;0)</f>
        <v>0</v>
      </c>
      <c r="Z185" s="14" cm="1">
        <f t="array" ref="Z185">INT(SUMPRODUCT(--ISNUMBER(SEARCH(bipartisan,C185)))&gt;0)</f>
        <v>0</v>
      </c>
      <c r="AA185" s="14">
        <f t="shared" si="2"/>
        <v>1</v>
      </c>
      <c r="AB185" s="14"/>
      <c r="AC185" s="30">
        <v>1</v>
      </c>
      <c r="AD185" s="37">
        <v>0</v>
      </c>
    </row>
    <row r="186" spans="1:30" x14ac:dyDescent="0.25">
      <c r="A186" s="36">
        <v>1393</v>
      </c>
      <c r="B186" s="14" t="s">
        <v>2813</v>
      </c>
      <c r="C186" s="14" t="s">
        <v>2814</v>
      </c>
      <c r="D186" s="17">
        <v>44121</v>
      </c>
      <c r="E186" s="14" t="s">
        <v>30</v>
      </c>
      <c r="F186" s="14">
        <v>29</v>
      </c>
      <c r="G186" s="14">
        <v>7</v>
      </c>
      <c r="H186" s="14">
        <v>7</v>
      </c>
      <c r="I186" s="14">
        <v>4</v>
      </c>
      <c r="J186" s="14" t="s">
        <v>31</v>
      </c>
      <c r="K186" s="14" cm="1">
        <f t="array" ref="K186">INT(SUMPRODUCT(--ISNUMBER(SEARCH(economy,C186)))&gt;0)</f>
        <v>0</v>
      </c>
      <c r="L186" s="14" cm="1">
        <f t="array" ref="L186">INT(SUMPRODUCT(--ISNUMBER(SEARCH(healthcare,C186)))&gt;0)</f>
        <v>0</v>
      </c>
      <c r="M186" s="14" cm="1">
        <f t="array" ref="M186">INT(SUMPRODUCT(--ISNUMBER(SEARCH(supreme,C186)))&gt;0)</f>
        <v>0</v>
      </c>
      <c r="N186" s="14" cm="1">
        <f t="array" ref="N186">INT(SUMPRODUCT(--ISNUMBER(SEARCH(covid,C186)))&gt;0)</f>
        <v>0</v>
      </c>
      <c r="O186" s="14" cm="1">
        <f t="array" ref="O186">INT(SUMPRODUCT(--ISNUMBER(SEARCH(violent,C186)))&gt;0)</f>
        <v>0</v>
      </c>
      <c r="P186" s="14" cm="1">
        <f t="array" ref="P186">INT(SUMPRODUCT(--ISNUMBER(SEARCH(foreign,C186)))&gt;0)</f>
        <v>0</v>
      </c>
      <c r="Q186" s="14" cm="1">
        <f t="array" ref="Q186">INT(SUMPRODUCT(--ISNUMBER(SEARCH(gun,C186)))&gt;0)</f>
        <v>0</v>
      </c>
      <c r="R186" s="14" cm="1">
        <f t="array" ref="R186">INT(SUMPRODUCT(--ISNUMBER(SEARCH(race,C186)))&gt;0)</f>
        <v>0</v>
      </c>
      <c r="S186" s="14" cm="1">
        <f t="array" ref="S186">INT(SUMPRODUCT(--ISNUMBER(SEARCH(immigration,C186)))&gt;0)</f>
        <v>0</v>
      </c>
      <c r="T186" s="14" cm="1">
        <f t="array" ref="T186">INT(SUMPRODUCT(--ISNUMBER(SEARCH(econineq,C187)))&gt;0)</f>
        <v>0</v>
      </c>
      <c r="U186" s="14" cm="1">
        <f t="array" ref="U186">INT(SUMPRODUCT(--ISNUMBER(SEARCH(climate,C186)))&gt;0)</f>
        <v>0</v>
      </c>
      <c r="V186" s="14" cm="1">
        <f t="array" ref="V186">INT(SUMPRODUCT(--ISNUMBER(SEARCH(abortion,C186)))&gt;0)</f>
        <v>0</v>
      </c>
      <c r="W186" s="14" cm="1">
        <f t="array" ref="W186">INT(SUMPRODUCT(--ISNUMBER(SEARCH(trump,C186)))&gt;0)</f>
        <v>0</v>
      </c>
      <c r="X186" s="14" cm="1">
        <f t="array" ref="X186">INT(SUMPRODUCT(--ISNUMBER(SEARCH(voting,C186)))&gt;0)</f>
        <v>0</v>
      </c>
      <c r="Y186" s="14" cm="1">
        <f t="array" ref="Y186">INT(SUMPRODUCT(--ISNUMBER(SEARCH(republicantrigger,C186)))&gt;0)</f>
        <v>0</v>
      </c>
      <c r="Z186" s="14" cm="1">
        <f t="array" ref="Z186">INT(SUMPRODUCT(--ISNUMBER(SEARCH(bipartisan,C186)))&gt;0)</f>
        <v>0</v>
      </c>
      <c r="AA186" s="14">
        <f t="shared" si="2"/>
        <v>1</v>
      </c>
      <c r="AB186" s="14"/>
      <c r="AC186" s="30">
        <v>1</v>
      </c>
      <c r="AD186" s="37">
        <v>0</v>
      </c>
    </row>
    <row r="187" spans="1:30" x14ac:dyDescent="0.25">
      <c r="A187" s="36">
        <v>1394</v>
      </c>
      <c r="B187" s="14" t="s">
        <v>2815</v>
      </c>
      <c r="C187" s="14" t="s">
        <v>2816</v>
      </c>
      <c r="D187" s="17">
        <v>44121</v>
      </c>
      <c r="E187" s="14" t="s">
        <v>30</v>
      </c>
      <c r="F187" s="14">
        <v>29</v>
      </c>
      <c r="G187" s="14">
        <v>7</v>
      </c>
      <c r="H187" s="14">
        <v>7</v>
      </c>
      <c r="I187" s="14">
        <v>4</v>
      </c>
      <c r="J187" s="14" t="s">
        <v>31</v>
      </c>
      <c r="K187" s="14" cm="1">
        <f t="array" ref="K187">INT(SUMPRODUCT(--ISNUMBER(SEARCH(economy,C187)))&gt;0)</f>
        <v>0</v>
      </c>
      <c r="L187" s="14" cm="1">
        <f t="array" ref="L187">INT(SUMPRODUCT(--ISNUMBER(SEARCH(healthcare,C187)))&gt;0)</f>
        <v>0</v>
      </c>
      <c r="M187" s="14" cm="1">
        <f t="array" ref="M187">INT(SUMPRODUCT(--ISNUMBER(SEARCH(supreme,C187)))&gt;0)</f>
        <v>0</v>
      </c>
      <c r="N187" s="14" cm="1">
        <f t="array" ref="N187">INT(SUMPRODUCT(--ISNUMBER(SEARCH(covid,C187)))&gt;0)</f>
        <v>0</v>
      </c>
      <c r="O187" s="14" cm="1">
        <f t="array" ref="O187">INT(SUMPRODUCT(--ISNUMBER(SEARCH(violent,C187)))&gt;0)</f>
        <v>0</v>
      </c>
      <c r="P187" s="14" cm="1">
        <f t="array" ref="P187">INT(SUMPRODUCT(--ISNUMBER(SEARCH(foreign,C187)))&gt;0)</f>
        <v>0</v>
      </c>
      <c r="Q187" s="14" cm="1">
        <f t="array" ref="Q187">INT(SUMPRODUCT(--ISNUMBER(SEARCH(gun,C187)))&gt;0)</f>
        <v>0</v>
      </c>
      <c r="R187" s="14" cm="1">
        <f t="array" ref="R187">INT(SUMPRODUCT(--ISNUMBER(SEARCH(race,C187)))&gt;0)</f>
        <v>0</v>
      </c>
      <c r="S187" s="14" cm="1">
        <f t="array" ref="S187">INT(SUMPRODUCT(--ISNUMBER(SEARCH(immigration,C187)))&gt;0)</f>
        <v>0</v>
      </c>
      <c r="T187" s="14" cm="1">
        <f t="array" ref="T187">INT(SUMPRODUCT(--ISNUMBER(SEARCH(econineq,C188)))&gt;0)</f>
        <v>0</v>
      </c>
      <c r="U187" s="14" cm="1">
        <f t="array" ref="U187">INT(SUMPRODUCT(--ISNUMBER(SEARCH(climate,C187)))&gt;0)</f>
        <v>0</v>
      </c>
      <c r="V187" s="14" cm="1">
        <f t="array" ref="V187">INT(SUMPRODUCT(--ISNUMBER(SEARCH(abortion,C187)))&gt;0)</f>
        <v>0</v>
      </c>
      <c r="W187" s="14" cm="1">
        <f t="array" ref="W187">INT(SUMPRODUCT(--ISNUMBER(SEARCH(trump,C187)))&gt;0)</f>
        <v>0</v>
      </c>
      <c r="X187" s="14" cm="1">
        <f t="array" ref="X187">INT(SUMPRODUCT(--ISNUMBER(SEARCH(voting,C187)))&gt;0)</f>
        <v>0</v>
      </c>
      <c r="Y187" s="14" cm="1">
        <f t="array" ref="Y187">INT(SUMPRODUCT(--ISNUMBER(SEARCH(republicantrigger,C187)))&gt;0)</f>
        <v>0</v>
      </c>
      <c r="Z187" s="14" cm="1">
        <f t="array" ref="Z187">INT(SUMPRODUCT(--ISNUMBER(SEARCH(bipartisan,C187)))&gt;0)</f>
        <v>0</v>
      </c>
      <c r="AA187" s="14">
        <f t="shared" si="2"/>
        <v>1</v>
      </c>
      <c r="AB187" s="14"/>
      <c r="AC187" s="30">
        <v>1</v>
      </c>
      <c r="AD187" s="37">
        <v>0</v>
      </c>
    </row>
    <row r="188" spans="1:30" x14ac:dyDescent="0.25">
      <c r="A188" s="36">
        <v>1395</v>
      </c>
      <c r="B188" s="14" t="s">
        <v>2817</v>
      </c>
      <c r="C188" s="14" t="s">
        <v>2818</v>
      </c>
      <c r="D188" s="17">
        <v>44121</v>
      </c>
      <c r="E188" s="14" t="s">
        <v>30</v>
      </c>
      <c r="F188" s="14">
        <v>33</v>
      </c>
      <c r="G188" s="14">
        <v>7</v>
      </c>
      <c r="H188" s="14">
        <v>7</v>
      </c>
      <c r="I188" s="14">
        <v>4</v>
      </c>
      <c r="J188" s="14" t="s">
        <v>31</v>
      </c>
      <c r="K188" s="14" cm="1">
        <f t="array" ref="K188">INT(SUMPRODUCT(--ISNUMBER(SEARCH(economy,C188)))&gt;0)</f>
        <v>0</v>
      </c>
      <c r="L188" s="14" cm="1">
        <f t="array" ref="L188">INT(SUMPRODUCT(--ISNUMBER(SEARCH(healthcare,C188)))&gt;0)</f>
        <v>0</v>
      </c>
      <c r="M188" s="14" cm="1">
        <f t="array" ref="M188">INT(SUMPRODUCT(--ISNUMBER(SEARCH(supreme,C188)))&gt;0)</f>
        <v>0</v>
      </c>
      <c r="N188" s="14" cm="1">
        <f t="array" ref="N188">INT(SUMPRODUCT(--ISNUMBER(SEARCH(covid,C188)))&gt;0)</f>
        <v>0</v>
      </c>
      <c r="O188" s="14" cm="1">
        <f t="array" ref="O188">INT(SUMPRODUCT(--ISNUMBER(SEARCH(violent,C188)))&gt;0)</f>
        <v>0</v>
      </c>
      <c r="P188" s="14" cm="1">
        <f t="array" ref="P188">INT(SUMPRODUCT(--ISNUMBER(SEARCH(foreign,C188)))&gt;0)</f>
        <v>0</v>
      </c>
      <c r="Q188" s="14" cm="1">
        <f t="array" ref="Q188">INT(SUMPRODUCT(--ISNUMBER(SEARCH(gun,C188)))&gt;0)</f>
        <v>0</v>
      </c>
      <c r="R188" s="14" cm="1">
        <f t="array" ref="R188">INT(SUMPRODUCT(--ISNUMBER(SEARCH(race,C188)))&gt;0)</f>
        <v>0</v>
      </c>
      <c r="S188" s="14" cm="1">
        <f t="array" ref="S188">INT(SUMPRODUCT(--ISNUMBER(SEARCH(immigration,C188)))&gt;0)</f>
        <v>0</v>
      </c>
      <c r="T188" s="14" cm="1">
        <f t="array" ref="T188">INT(SUMPRODUCT(--ISNUMBER(SEARCH(econineq,C189)))&gt;0)</f>
        <v>0</v>
      </c>
      <c r="U188" s="14" cm="1">
        <f t="array" ref="U188">INT(SUMPRODUCT(--ISNUMBER(SEARCH(climate,C188)))&gt;0)</f>
        <v>0</v>
      </c>
      <c r="V188" s="14" cm="1">
        <f t="array" ref="V188">INT(SUMPRODUCT(--ISNUMBER(SEARCH(abortion,C188)))&gt;0)</f>
        <v>0</v>
      </c>
      <c r="W188" s="14" cm="1">
        <f t="array" ref="W188">INT(SUMPRODUCT(--ISNUMBER(SEARCH(trump,C188)))&gt;0)</f>
        <v>0</v>
      </c>
      <c r="X188" s="14" cm="1">
        <f t="array" ref="X188">INT(SUMPRODUCT(--ISNUMBER(SEARCH(voting,C188)))&gt;0)</f>
        <v>0</v>
      </c>
      <c r="Y188" s="14" cm="1">
        <f t="array" ref="Y188">INT(SUMPRODUCT(--ISNUMBER(SEARCH(republicantrigger,C188)))&gt;0)</f>
        <v>0</v>
      </c>
      <c r="Z188" s="14" cm="1">
        <f t="array" ref="Z188">INT(SUMPRODUCT(--ISNUMBER(SEARCH(bipartisan,C188)))&gt;0)</f>
        <v>0</v>
      </c>
      <c r="AA188" s="14">
        <f t="shared" si="2"/>
        <v>1</v>
      </c>
      <c r="AB188" s="14"/>
      <c r="AC188" s="30">
        <v>1</v>
      </c>
      <c r="AD188" s="37">
        <v>0</v>
      </c>
    </row>
    <row r="189" spans="1:30" x14ac:dyDescent="0.25">
      <c r="A189" s="36">
        <v>1396</v>
      </c>
      <c r="B189" s="14" t="s">
        <v>2819</v>
      </c>
      <c r="C189" s="14" t="s">
        <v>2820</v>
      </c>
      <c r="D189" s="17">
        <v>44121</v>
      </c>
      <c r="E189" s="14" t="s">
        <v>30</v>
      </c>
      <c r="F189" s="14">
        <v>27</v>
      </c>
      <c r="G189" s="14">
        <v>6</v>
      </c>
      <c r="H189" s="14">
        <v>7</v>
      </c>
      <c r="I189" s="14">
        <v>4</v>
      </c>
      <c r="J189" s="14" t="s">
        <v>31</v>
      </c>
      <c r="K189" s="14" cm="1">
        <f t="array" ref="K189">INT(SUMPRODUCT(--ISNUMBER(SEARCH(economy,C189)))&gt;0)</f>
        <v>1</v>
      </c>
      <c r="L189" s="14" cm="1">
        <f t="array" ref="L189">INT(SUMPRODUCT(--ISNUMBER(SEARCH(healthcare,C189)))&gt;0)</f>
        <v>1</v>
      </c>
      <c r="M189" s="14" cm="1">
        <f t="array" ref="M189">INT(SUMPRODUCT(--ISNUMBER(SEARCH(supreme,C189)))&gt;0)</f>
        <v>0</v>
      </c>
      <c r="N189" s="14" cm="1">
        <f t="array" ref="N189">INT(SUMPRODUCT(--ISNUMBER(SEARCH(covid,C189)))&gt;0)</f>
        <v>0</v>
      </c>
      <c r="O189" s="14" cm="1">
        <f t="array" ref="O189">INT(SUMPRODUCT(--ISNUMBER(SEARCH(violent,C189)))&gt;0)</f>
        <v>0</v>
      </c>
      <c r="P189" s="14" cm="1">
        <f t="array" ref="P189">INT(SUMPRODUCT(--ISNUMBER(SEARCH(foreign,C189)))&gt;0)</f>
        <v>0</v>
      </c>
      <c r="Q189" s="14" cm="1">
        <f t="array" ref="Q189">INT(SUMPRODUCT(--ISNUMBER(SEARCH(gun,C189)))&gt;0)</f>
        <v>0</v>
      </c>
      <c r="R189" s="14" cm="1">
        <f t="array" ref="R189">INT(SUMPRODUCT(--ISNUMBER(SEARCH(race,C189)))&gt;0)</f>
        <v>0</v>
      </c>
      <c r="S189" s="14" cm="1">
        <f t="array" ref="S189">INT(SUMPRODUCT(--ISNUMBER(SEARCH(immigration,C189)))&gt;0)</f>
        <v>0</v>
      </c>
      <c r="T189" s="14" cm="1">
        <f t="array" ref="T189">INT(SUMPRODUCT(--ISNUMBER(SEARCH(econineq,C190)))&gt;0)</f>
        <v>0</v>
      </c>
      <c r="U189" s="14" cm="1">
        <f t="array" ref="U189">INT(SUMPRODUCT(--ISNUMBER(SEARCH(climate,C189)))&gt;0)</f>
        <v>0</v>
      </c>
      <c r="V189" s="14" cm="1">
        <f t="array" ref="V189">INT(SUMPRODUCT(--ISNUMBER(SEARCH(abortion,C189)))&gt;0)</f>
        <v>0</v>
      </c>
      <c r="W189" s="14" cm="1">
        <f t="array" ref="W189">INT(SUMPRODUCT(--ISNUMBER(SEARCH(trump,C189)))&gt;0)</f>
        <v>0</v>
      </c>
      <c r="X189" s="14" cm="1">
        <f t="array" ref="X189">INT(SUMPRODUCT(--ISNUMBER(SEARCH(voting,C189)))&gt;0)</f>
        <v>0</v>
      </c>
      <c r="Y189" s="14" cm="1">
        <f t="array" ref="Y189">INT(SUMPRODUCT(--ISNUMBER(SEARCH(republicantrigger,C189)))&gt;0)</f>
        <v>0</v>
      </c>
      <c r="Z189" s="14" cm="1">
        <f t="array" ref="Z189">INT(SUMPRODUCT(--ISNUMBER(SEARCH(bipartisan,C189)))&gt;0)</f>
        <v>0</v>
      </c>
      <c r="AA189" s="14">
        <f t="shared" si="2"/>
        <v>0</v>
      </c>
      <c r="AB189" s="14"/>
      <c r="AC189" s="30">
        <v>1</v>
      </c>
      <c r="AD189" s="37">
        <v>0</v>
      </c>
    </row>
    <row r="190" spans="1:30" x14ac:dyDescent="0.25">
      <c r="A190" s="36">
        <v>1397</v>
      </c>
      <c r="B190" s="14" t="s">
        <v>2821</v>
      </c>
      <c r="C190" s="14" t="s">
        <v>2822</v>
      </c>
      <c r="D190" s="17">
        <v>44121</v>
      </c>
      <c r="E190" s="14" t="s">
        <v>30</v>
      </c>
      <c r="F190" s="14">
        <v>22</v>
      </c>
      <c r="G190" s="14">
        <v>3</v>
      </c>
      <c r="H190" s="14">
        <v>7</v>
      </c>
      <c r="I190" s="14">
        <v>4</v>
      </c>
      <c r="J190" s="14" t="s">
        <v>31</v>
      </c>
      <c r="K190" s="14" cm="1">
        <f t="array" ref="K190">INT(SUMPRODUCT(--ISNUMBER(SEARCH(economy,C190)))&gt;0)</f>
        <v>0</v>
      </c>
      <c r="L190" s="14" cm="1">
        <f t="array" ref="L190">INT(SUMPRODUCT(--ISNUMBER(SEARCH(healthcare,C190)))&gt;0)</f>
        <v>0</v>
      </c>
      <c r="M190" s="14" cm="1">
        <f t="array" ref="M190">INT(SUMPRODUCT(--ISNUMBER(SEARCH(supreme,C190)))&gt;0)</f>
        <v>0</v>
      </c>
      <c r="N190" s="14" cm="1">
        <f t="array" ref="N190">INT(SUMPRODUCT(--ISNUMBER(SEARCH(covid,C190)))&gt;0)</f>
        <v>0</v>
      </c>
      <c r="O190" s="14" cm="1">
        <f t="array" ref="O190">INT(SUMPRODUCT(--ISNUMBER(SEARCH(violent,C190)))&gt;0)</f>
        <v>0</v>
      </c>
      <c r="P190" s="14" cm="1">
        <f t="array" ref="P190">INT(SUMPRODUCT(--ISNUMBER(SEARCH(foreign,C190)))&gt;0)</f>
        <v>0</v>
      </c>
      <c r="Q190" s="14" cm="1">
        <f t="array" ref="Q190">INT(SUMPRODUCT(--ISNUMBER(SEARCH(gun,C190)))&gt;0)</f>
        <v>0</v>
      </c>
      <c r="R190" s="14" cm="1">
        <f t="array" ref="R190">INT(SUMPRODUCT(--ISNUMBER(SEARCH(race,C190)))&gt;0)</f>
        <v>0</v>
      </c>
      <c r="S190" s="14" cm="1">
        <f t="array" ref="S190">INT(SUMPRODUCT(--ISNUMBER(SEARCH(immigration,C190)))&gt;0)</f>
        <v>0</v>
      </c>
      <c r="T190" s="14" cm="1">
        <f t="array" ref="T190">INT(SUMPRODUCT(--ISNUMBER(SEARCH(econineq,C191)))&gt;0)</f>
        <v>0</v>
      </c>
      <c r="U190" s="14" cm="1">
        <f t="array" ref="U190">INT(SUMPRODUCT(--ISNUMBER(SEARCH(climate,C190)))&gt;0)</f>
        <v>0</v>
      </c>
      <c r="V190" s="14" cm="1">
        <f t="array" ref="V190">INT(SUMPRODUCT(--ISNUMBER(SEARCH(abortion,C190)))&gt;0)</f>
        <v>0</v>
      </c>
      <c r="W190" s="14" cm="1">
        <f t="array" ref="W190">INT(SUMPRODUCT(--ISNUMBER(SEARCH(trump,C190)))&gt;0)</f>
        <v>0</v>
      </c>
      <c r="X190" s="14" cm="1">
        <f t="array" ref="X190">INT(SUMPRODUCT(--ISNUMBER(SEARCH(voting,C190)))&gt;0)</f>
        <v>0</v>
      </c>
      <c r="Y190" s="14" cm="1">
        <f t="array" ref="Y190">INT(SUMPRODUCT(--ISNUMBER(SEARCH(republicantrigger,C190)))&gt;0)</f>
        <v>0</v>
      </c>
      <c r="Z190" s="14" cm="1">
        <f t="array" ref="Z190">INT(SUMPRODUCT(--ISNUMBER(SEARCH(bipartisan,C190)))&gt;0)</f>
        <v>0</v>
      </c>
      <c r="AA190" s="14">
        <f t="shared" si="2"/>
        <v>1</v>
      </c>
      <c r="AB190" s="14"/>
      <c r="AC190" s="30">
        <v>1</v>
      </c>
      <c r="AD190" s="37">
        <v>0</v>
      </c>
    </row>
    <row r="191" spans="1:30" x14ac:dyDescent="0.25">
      <c r="A191" s="36">
        <v>1398</v>
      </c>
      <c r="B191" s="14" t="s">
        <v>2823</v>
      </c>
      <c r="C191" s="14" t="s">
        <v>2824</v>
      </c>
      <c r="D191" s="17">
        <v>44121</v>
      </c>
      <c r="E191" s="14" t="s">
        <v>30</v>
      </c>
      <c r="F191" s="14">
        <v>26</v>
      </c>
      <c r="G191" s="14">
        <v>8</v>
      </c>
      <c r="H191" s="14">
        <v>7</v>
      </c>
      <c r="I191" s="14">
        <v>4</v>
      </c>
      <c r="J191" s="14" t="s">
        <v>31</v>
      </c>
      <c r="K191" s="14" cm="1">
        <f t="array" ref="K191">INT(SUMPRODUCT(--ISNUMBER(SEARCH(economy,C191)))&gt;0)</f>
        <v>0</v>
      </c>
      <c r="L191" s="14" cm="1">
        <f t="array" ref="L191">INT(SUMPRODUCT(--ISNUMBER(SEARCH(healthcare,C191)))&gt;0)</f>
        <v>0</v>
      </c>
      <c r="M191" s="14" cm="1">
        <f t="array" ref="M191">INT(SUMPRODUCT(--ISNUMBER(SEARCH(supreme,C191)))&gt;0)</f>
        <v>0</v>
      </c>
      <c r="N191" s="14" cm="1">
        <f t="array" ref="N191">INT(SUMPRODUCT(--ISNUMBER(SEARCH(covid,C191)))&gt;0)</f>
        <v>0</v>
      </c>
      <c r="O191" s="14" cm="1">
        <f t="array" ref="O191">INT(SUMPRODUCT(--ISNUMBER(SEARCH(violent,C191)))&gt;0)</f>
        <v>0</v>
      </c>
      <c r="P191" s="14" cm="1">
        <f t="array" ref="P191">INT(SUMPRODUCT(--ISNUMBER(SEARCH(foreign,C191)))&gt;0)</f>
        <v>0</v>
      </c>
      <c r="Q191" s="14" cm="1">
        <f t="array" ref="Q191">INT(SUMPRODUCT(--ISNUMBER(SEARCH(gun,C191)))&gt;0)</f>
        <v>0</v>
      </c>
      <c r="R191" s="14" cm="1">
        <f t="array" ref="R191">INT(SUMPRODUCT(--ISNUMBER(SEARCH(race,C191)))&gt;0)</f>
        <v>0</v>
      </c>
      <c r="S191" s="14" cm="1">
        <f t="array" ref="S191">INT(SUMPRODUCT(--ISNUMBER(SEARCH(immigration,C191)))&gt;0)</f>
        <v>0</v>
      </c>
      <c r="T191" s="14" cm="1">
        <f t="array" ref="T191">INT(SUMPRODUCT(--ISNUMBER(SEARCH(econineq,C192)))&gt;0)</f>
        <v>0</v>
      </c>
      <c r="U191" s="14" cm="1">
        <f t="array" ref="U191">INT(SUMPRODUCT(--ISNUMBER(SEARCH(climate,C191)))&gt;0)</f>
        <v>0</v>
      </c>
      <c r="V191" s="14" cm="1">
        <f t="array" ref="V191">INT(SUMPRODUCT(--ISNUMBER(SEARCH(abortion,C191)))&gt;0)</f>
        <v>0</v>
      </c>
      <c r="W191" s="14" cm="1">
        <f t="array" ref="W191">INT(SUMPRODUCT(--ISNUMBER(SEARCH(trump,C191)))&gt;0)</f>
        <v>0</v>
      </c>
      <c r="X191" s="14" cm="1">
        <f t="array" ref="X191">INT(SUMPRODUCT(--ISNUMBER(SEARCH(voting,C191)))&gt;0)</f>
        <v>0</v>
      </c>
      <c r="Y191" s="14" cm="1">
        <f t="array" ref="Y191">INT(SUMPRODUCT(--ISNUMBER(SEARCH(republicantrigger,C191)))&gt;0)</f>
        <v>0</v>
      </c>
      <c r="Z191" s="14" cm="1">
        <f t="array" ref="Z191">INT(SUMPRODUCT(--ISNUMBER(SEARCH(bipartisan,C191)))&gt;0)</f>
        <v>0</v>
      </c>
      <c r="AA191" s="14">
        <f t="shared" si="2"/>
        <v>1</v>
      </c>
      <c r="AB191" s="14"/>
      <c r="AC191" s="30">
        <v>0</v>
      </c>
      <c r="AD191" s="37">
        <v>1</v>
      </c>
    </row>
    <row r="192" spans="1:30" x14ac:dyDescent="0.25">
      <c r="A192" s="36">
        <v>1399</v>
      </c>
      <c r="B192" s="14" t="s">
        <v>2825</v>
      </c>
      <c r="C192" s="14" t="s">
        <v>2826</v>
      </c>
      <c r="D192" s="17">
        <v>44121</v>
      </c>
      <c r="E192" s="14" t="s">
        <v>30</v>
      </c>
      <c r="F192" s="14">
        <v>29</v>
      </c>
      <c r="G192" s="14">
        <v>3</v>
      </c>
      <c r="H192" s="14">
        <v>7</v>
      </c>
      <c r="I192" s="14">
        <v>4</v>
      </c>
      <c r="J192" s="14" t="s">
        <v>31</v>
      </c>
      <c r="K192" s="14" cm="1">
        <f t="array" ref="K192">INT(SUMPRODUCT(--ISNUMBER(SEARCH(economy,C192)))&gt;0)</f>
        <v>0</v>
      </c>
      <c r="L192" s="14" cm="1">
        <f t="array" ref="L192">INT(SUMPRODUCT(--ISNUMBER(SEARCH(healthcare,C192)))&gt;0)</f>
        <v>0</v>
      </c>
      <c r="M192" s="14" cm="1">
        <f t="array" ref="M192">INT(SUMPRODUCT(--ISNUMBER(SEARCH(supreme,C192)))&gt;0)</f>
        <v>0</v>
      </c>
      <c r="N192" s="14" cm="1">
        <f t="array" ref="N192">INT(SUMPRODUCT(--ISNUMBER(SEARCH(covid,C192)))&gt;0)</f>
        <v>0</v>
      </c>
      <c r="O192" s="14" cm="1">
        <f t="array" ref="O192">INT(SUMPRODUCT(--ISNUMBER(SEARCH(violent,C192)))&gt;0)</f>
        <v>0</v>
      </c>
      <c r="P192" s="14" cm="1">
        <f t="array" ref="P192">INT(SUMPRODUCT(--ISNUMBER(SEARCH(foreign,C192)))&gt;0)</f>
        <v>0</v>
      </c>
      <c r="Q192" s="14" cm="1">
        <f t="array" ref="Q192">INT(SUMPRODUCT(--ISNUMBER(SEARCH(gun,C192)))&gt;0)</f>
        <v>0</v>
      </c>
      <c r="R192" s="14" cm="1">
        <f t="array" ref="R192">INT(SUMPRODUCT(--ISNUMBER(SEARCH(race,C192)))&gt;0)</f>
        <v>0</v>
      </c>
      <c r="S192" s="14" cm="1">
        <f t="array" ref="S192">INT(SUMPRODUCT(--ISNUMBER(SEARCH(immigration,C192)))&gt;0)</f>
        <v>0</v>
      </c>
      <c r="T192" s="14" cm="1">
        <f t="array" ref="T192">INT(SUMPRODUCT(--ISNUMBER(SEARCH(econineq,C193)))&gt;0)</f>
        <v>0</v>
      </c>
      <c r="U192" s="14" cm="1">
        <f t="array" ref="U192">INT(SUMPRODUCT(--ISNUMBER(SEARCH(climate,C192)))&gt;0)</f>
        <v>0</v>
      </c>
      <c r="V192" s="14" cm="1">
        <f t="array" ref="V192">INT(SUMPRODUCT(--ISNUMBER(SEARCH(abortion,C192)))&gt;0)</f>
        <v>0</v>
      </c>
      <c r="W192" s="14" cm="1">
        <f t="array" ref="W192">INT(SUMPRODUCT(--ISNUMBER(SEARCH(trump,C192)))&gt;0)</f>
        <v>0</v>
      </c>
      <c r="X192" s="14" cm="1">
        <f t="array" ref="X192">INT(SUMPRODUCT(--ISNUMBER(SEARCH(voting,C192)))&gt;0)</f>
        <v>0</v>
      </c>
      <c r="Y192" s="14" cm="1">
        <f t="array" ref="Y192">INT(SUMPRODUCT(--ISNUMBER(SEARCH(republicantrigger,C192)))&gt;0)</f>
        <v>1</v>
      </c>
      <c r="Z192" s="14" cm="1">
        <f t="array" ref="Z192">INT(SUMPRODUCT(--ISNUMBER(SEARCH(bipartisan,C192)))&gt;0)</f>
        <v>0</v>
      </c>
      <c r="AA192" s="14">
        <f t="shared" si="2"/>
        <v>0</v>
      </c>
      <c r="AB192" s="14"/>
      <c r="AC192" s="30">
        <v>1</v>
      </c>
      <c r="AD192" s="37">
        <v>0</v>
      </c>
    </row>
    <row r="193" spans="1:30" x14ac:dyDescent="0.25">
      <c r="A193" s="36">
        <v>1400</v>
      </c>
      <c r="B193" s="14" t="s">
        <v>2827</v>
      </c>
      <c r="C193" s="14" t="s">
        <v>2828</v>
      </c>
      <c r="D193" s="17">
        <v>44121</v>
      </c>
      <c r="E193" s="14" t="s">
        <v>30</v>
      </c>
      <c r="F193" s="14">
        <v>33</v>
      </c>
      <c r="G193" s="14">
        <v>7</v>
      </c>
      <c r="H193" s="14">
        <v>7</v>
      </c>
      <c r="I193" s="14">
        <v>4</v>
      </c>
      <c r="J193" s="14" t="s">
        <v>31</v>
      </c>
      <c r="K193" s="14" cm="1">
        <f t="array" ref="K193">INT(SUMPRODUCT(--ISNUMBER(SEARCH(economy,C193)))&gt;0)</f>
        <v>0</v>
      </c>
      <c r="L193" s="14" cm="1">
        <f t="array" ref="L193">INT(SUMPRODUCT(--ISNUMBER(SEARCH(healthcare,C193)))&gt;0)</f>
        <v>0</v>
      </c>
      <c r="M193" s="14" cm="1">
        <f t="array" ref="M193">INT(SUMPRODUCT(--ISNUMBER(SEARCH(supreme,C193)))&gt;0)</f>
        <v>0</v>
      </c>
      <c r="N193" s="14" cm="1">
        <f t="array" ref="N193">INT(SUMPRODUCT(--ISNUMBER(SEARCH(covid,C193)))&gt;0)</f>
        <v>0</v>
      </c>
      <c r="O193" s="14" cm="1">
        <f t="array" ref="O193">INT(SUMPRODUCT(--ISNUMBER(SEARCH(violent,C193)))&gt;0)</f>
        <v>0</v>
      </c>
      <c r="P193" s="14" cm="1">
        <f t="array" ref="P193">INT(SUMPRODUCT(--ISNUMBER(SEARCH(foreign,C193)))&gt;0)</f>
        <v>0</v>
      </c>
      <c r="Q193" s="14" cm="1">
        <f t="array" ref="Q193">INT(SUMPRODUCT(--ISNUMBER(SEARCH(gun,C193)))&gt;0)</f>
        <v>0</v>
      </c>
      <c r="R193" s="14" cm="1">
        <f t="array" ref="R193">INT(SUMPRODUCT(--ISNUMBER(SEARCH(race,C193)))&gt;0)</f>
        <v>0</v>
      </c>
      <c r="S193" s="14" cm="1">
        <f t="array" ref="S193">INT(SUMPRODUCT(--ISNUMBER(SEARCH(immigration,C193)))&gt;0)</f>
        <v>0</v>
      </c>
      <c r="T193" s="14" cm="1">
        <f t="array" ref="T193">INT(SUMPRODUCT(--ISNUMBER(SEARCH(econineq,C194)))&gt;0)</f>
        <v>0</v>
      </c>
      <c r="U193" s="14" cm="1">
        <f t="array" ref="U193">INT(SUMPRODUCT(--ISNUMBER(SEARCH(climate,C193)))&gt;0)</f>
        <v>0</v>
      </c>
      <c r="V193" s="14" cm="1">
        <f t="array" ref="V193">INT(SUMPRODUCT(--ISNUMBER(SEARCH(abortion,C193)))&gt;0)</f>
        <v>0</v>
      </c>
      <c r="W193" s="14" cm="1">
        <f t="array" ref="W193">INT(SUMPRODUCT(--ISNUMBER(SEARCH(trump,C193)))&gt;0)</f>
        <v>0</v>
      </c>
      <c r="X193" s="14" cm="1">
        <f t="array" ref="X193">INT(SUMPRODUCT(--ISNUMBER(SEARCH(voting,C193)))&gt;0)</f>
        <v>0</v>
      </c>
      <c r="Y193" s="14" cm="1">
        <f t="array" ref="Y193">INT(SUMPRODUCT(--ISNUMBER(SEARCH(republicantrigger,C193)))&gt;0)</f>
        <v>0</v>
      </c>
      <c r="Z193" s="14" cm="1">
        <f t="array" ref="Z193">INT(SUMPRODUCT(--ISNUMBER(SEARCH(bipartisan,C193)))&gt;0)</f>
        <v>0</v>
      </c>
      <c r="AA193" s="14">
        <f t="shared" si="2"/>
        <v>1</v>
      </c>
      <c r="AB193" s="14"/>
      <c r="AC193" s="30">
        <v>1</v>
      </c>
      <c r="AD193" s="37">
        <v>1</v>
      </c>
    </row>
    <row r="194" spans="1:30" x14ac:dyDescent="0.25">
      <c r="A194" s="36">
        <v>1401</v>
      </c>
      <c r="B194" s="14" t="s">
        <v>2829</v>
      </c>
      <c r="C194" s="14" t="s">
        <v>2830</v>
      </c>
      <c r="D194" s="17">
        <v>44120</v>
      </c>
      <c r="E194" s="14" t="s">
        <v>30</v>
      </c>
      <c r="F194" s="14">
        <v>27</v>
      </c>
      <c r="G194" s="14">
        <v>7</v>
      </c>
      <c r="H194" s="14">
        <v>7</v>
      </c>
      <c r="I194" s="14">
        <v>4</v>
      </c>
      <c r="J194" s="14" t="s">
        <v>31</v>
      </c>
      <c r="K194" s="14" cm="1">
        <f t="array" ref="K194">INT(SUMPRODUCT(--ISNUMBER(SEARCH(economy,C194)))&gt;0)</f>
        <v>0</v>
      </c>
      <c r="L194" s="14" cm="1">
        <f t="array" ref="L194">INT(SUMPRODUCT(--ISNUMBER(SEARCH(healthcare,C194)))&gt;0)</f>
        <v>0</v>
      </c>
      <c r="M194" s="14" cm="1">
        <f t="array" ref="M194">INT(SUMPRODUCT(--ISNUMBER(SEARCH(supreme,C194)))&gt;0)</f>
        <v>0</v>
      </c>
      <c r="N194" s="14" cm="1">
        <f t="array" ref="N194">INT(SUMPRODUCT(--ISNUMBER(SEARCH(covid,C194)))&gt;0)</f>
        <v>0</v>
      </c>
      <c r="O194" s="14" cm="1">
        <f t="array" ref="O194">INT(SUMPRODUCT(--ISNUMBER(SEARCH(violent,C194)))&gt;0)</f>
        <v>0</v>
      </c>
      <c r="P194" s="14" cm="1">
        <f t="array" ref="P194">INT(SUMPRODUCT(--ISNUMBER(SEARCH(foreign,C194)))&gt;0)</f>
        <v>0</v>
      </c>
      <c r="Q194" s="14" cm="1">
        <f t="array" ref="Q194">INT(SUMPRODUCT(--ISNUMBER(SEARCH(gun,C194)))&gt;0)</f>
        <v>0</v>
      </c>
      <c r="R194" s="14" cm="1">
        <f t="array" ref="R194">INT(SUMPRODUCT(--ISNUMBER(SEARCH(race,C194)))&gt;0)</f>
        <v>0</v>
      </c>
      <c r="S194" s="14" cm="1">
        <f t="array" ref="S194">INT(SUMPRODUCT(--ISNUMBER(SEARCH(immigration,C194)))&gt;0)</f>
        <v>0</v>
      </c>
      <c r="T194" s="14" cm="1">
        <f t="array" ref="T194">INT(SUMPRODUCT(--ISNUMBER(SEARCH(econineq,C195)))&gt;0)</f>
        <v>0</v>
      </c>
      <c r="U194" s="14" cm="1">
        <f t="array" ref="U194">INT(SUMPRODUCT(--ISNUMBER(SEARCH(climate,C194)))&gt;0)</f>
        <v>0</v>
      </c>
      <c r="V194" s="14" cm="1">
        <f t="array" ref="V194">INT(SUMPRODUCT(--ISNUMBER(SEARCH(abortion,C194)))&gt;0)</f>
        <v>0</v>
      </c>
      <c r="W194" s="14" cm="1">
        <f t="array" ref="W194">INT(SUMPRODUCT(--ISNUMBER(SEARCH(trump,C194)))&gt;0)</f>
        <v>0</v>
      </c>
      <c r="X194" s="14" cm="1">
        <f t="array" ref="X194">INT(SUMPRODUCT(--ISNUMBER(SEARCH(voting,C194)))&gt;0)</f>
        <v>0</v>
      </c>
      <c r="Y194" s="14" cm="1">
        <f t="array" ref="Y194">INT(SUMPRODUCT(--ISNUMBER(SEARCH(republicantrigger,C194)))&gt;0)</f>
        <v>0</v>
      </c>
      <c r="Z194" s="14" cm="1">
        <f t="array" ref="Z194">INT(SUMPRODUCT(--ISNUMBER(SEARCH(bipartisan,C194)))&gt;0)</f>
        <v>0</v>
      </c>
      <c r="AA194" s="14">
        <f t="shared" si="2"/>
        <v>1</v>
      </c>
      <c r="AB194" s="14"/>
      <c r="AC194" s="30">
        <v>1</v>
      </c>
      <c r="AD194" s="37">
        <v>0</v>
      </c>
    </row>
    <row r="195" spans="1:30" x14ac:dyDescent="0.25">
      <c r="A195" s="36">
        <v>1402</v>
      </c>
      <c r="B195" s="14" t="s">
        <v>2831</v>
      </c>
      <c r="C195" s="14" t="s">
        <v>2832</v>
      </c>
      <c r="D195" s="17">
        <v>44120</v>
      </c>
      <c r="E195" s="14" t="s">
        <v>30</v>
      </c>
      <c r="F195" s="14">
        <v>44</v>
      </c>
      <c r="G195" s="14">
        <v>7</v>
      </c>
      <c r="H195" s="14">
        <v>7</v>
      </c>
      <c r="I195" s="14">
        <v>4</v>
      </c>
      <c r="J195" s="14" t="s">
        <v>31</v>
      </c>
      <c r="K195" s="14" cm="1">
        <f t="array" ref="K195">INT(SUMPRODUCT(--ISNUMBER(SEARCH(economy,C195)))&gt;0)</f>
        <v>0</v>
      </c>
      <c r="L195" s="14" cm="1">
        <f t="array" ref="L195">INT(SUMPRODUCT(--ISNUMBER(SEARCH(healthcare,C195)))&gt;0)</f>
        <v>0</v>
      </c>
      <c r="M195" s="14" cm="1">
        <f t="array" ref="M195">INT(SUMPRODUCT(--ISNUMBER(SEARCH(supreme,C195)))&gt;0)</f>
        <v>0</v>
      </c>
      <c r="N195" s="14" cm="1">
        <f t="array" ref="N195">INT(SUMPRODUCT(--ISNUMBER(SEARCH(covid,C195)))&gt;0)</f>
        <v>0</v>
      </c>
      <c r="O195" s="14" cm="1">
        <f t="array" ref="O195">INT(SUMPRODUCT(--ISNUMBER(SEARCH(violent,C195)))&gt;0)</f>
        <v>0</v>
      </c>
      <c r="P195" s="14" cm="1">
        <f t="array" ref="P195">INT(SUMPRODUCT(--ISNUMBER(SEARCH(foreign,C195)))&gt;0)</f>
        <v>0</v>
      </c>
      <c r="Q195" s="14" cm="1">
        <f t="array" ref="Q195">INT(SUMPRODUCT(--ISNUMBER(SEARCH(gun,C195)))&gt;0)</f>
        <v>0</v>
      </c>
      <c r="R195" s="14" cm="1">
        <f t="array" ref="R195">INT(SUMPRODUCT(--ISNUMBER(SEARCH(race,C195)))&gt;0)</f>
        <v>0</v>
      </c>
      <c r="S195" s="14" cm="1">
        <f t="array" ref="S195">INT(SUMPRODUCT(--ISNUMBER(SEARCH(immigration,C195)))&gt;0)</f>
        <v>0</v>
      </c>
      <c r="T195" s="14" cm="1">
        <f t="array" ref="T195">INT(SUMPRODUCT(--ISNUMBER(SEARCH(econineq,C196)))&gt;0)</f>
        <v>0</v>
      </c>
      <c r="U195" s="14" cm="1">
        <f t="array" ref="U195">INT(SUMPRODUCT(--ISNUMBER(SEARCH(climate,C195)))&gt;0)</f>
        <v>0</v>
      </c>
      <c r="V195" s="14" cm="1">
        <f t="array" ref="V195">INT(SUMPRODUCT(--ISNUMBER(SEARCH(abortion,C195)))&gt;0)</f>
        <v>0</v>
      </c>
      <c r="W195" s="14" cm="1">
        <f t="array" ref="W195">INT(SUMPRODUCT(--ISNUMBER(SEARCH(trump,C195)))&gt;0)</f>
        <v>0</v>
      </c>
      <c r="X195" s="14" cm="1">
        <f t="array" ref="X195">INT(SUMPRODUCT(--ISNUMBER(SEARCH(voting,C195)))&gt;0)</f>
        <v>0</v>
      </c>
      <c r="Y195" s="14" cm="1">
        <f t="array" ref="Y195">INT(SUMPRODUCT(--ISNUMBER(SEARCH(republicantrigger,C195)))&gt;0)</f>
        <v>0</v>
      </c>
      <c r="Z195" s="14" cm="1">
        <f t="array" ref="Z195">INT(SUMPRODUCT(--ISNUMBER(SEARCH(bipartisan,C195)))&gt;0)</f>
        <v>0</v>
      </c>
      <c r="AA195" s="14">
        <f t="shared" ref="AA195:AA257" si="3">INT(IF(COUNTIF(K195:Z195,1)=0,"1","0"))</f>
        <v>1</v>
      </c>
      <c r="AB195" s="14"/>
      <c r="AC195" s="30">
        <v>1</v>
      </c>
      <c r="AD195" s="37">
        <v>0</v>
      </c>
    </row>
    <row r="196" spans="1:30" x14ac:dyDescent="0.25">
      <c r="A196" s="36">
        <v>1403</v>
      </c>
      <c r="B196" s="14" t="s">
        <v>2833</v>
      </c>
      <c r="C196" s="14" t="s">
        <v>2834</v>
      </c>
      <c r="D196" s="17">
        <v>44120</v>
      </c>
      <c r="E196" s="14" t="s">
        <v>30</v>
      </c>
      <c r="F196" s="14">
        <v>66</v>
      </c>
      <c r="G196" s="14">
        <v>18</v>
      </c>
      <c r="H196" s="14">
        <v>7</v>
      </c>
      <c r="I196" s="14">
        <v>4</v>
      </c>
      <c r="J196" s="14" t="s">
        <v>31</v>
      </c>
      <c r="K196" s="14" cm="1">
        <f t="array" ref="K196">INT(SUMPRODUCT(--ISNUMBER(SEARCH(economy,C196)))&gt;0)</f>
        <v>0</v>
      </c>
      <c r="L196" s="14" cm="1">
        <f t="array" ref="L196">INT(SUMPRODUCT(--ISNUMBER(SEARCH(healthcare,C196)))&gt;0)</f>
        <v>0</v>
      </c>
      <c r="M196" s="14" cm="1">
        <f t="array" ref="M196">INT(SUMPRODUCT(--ISNUMBER(SEARCH(supreme,C196)))&gt;0)</f>
        <v>0</v>
      </c>
      <c r="N196" s="14" cm="1">
        <f t="array" ref="N196">INT(SUMPRODUCT(--ISNUMBER(SEARCH(covid,C196)))&gt;0)</f>
        <v>0</v>
      </c>
      <c r="O196" s="14" cm="1">
        <f t="array" ref="O196">INT(SUMPRODUCT(--ISNUMBER(SEARCH(violent,C196)))&gt;0)</f>
        <v>0</v>
      </c>
      <c r="P196" s="14" cm="1">
        <f t="array" ref="P196">INT(SUMPRODUCT(--ISNUMBER(SEARCH(foreign,C196)))&gt;0)</f>
        <v>0</v>
      </c>
      <c r="Q196" s="14" cm="1">
        <f t="array" ref="Q196">INT(SUMPRODUCT(--ISNUMBER(SEARCH(gun,C196)))&gt;0)</f>
        <v>0</v>
      </c>
      <c r="R196" s="14" cm="1">
        <f t="array" ref="R196">INT(SUMPRODUCT(--ISNUMBER(SEARCH(race,C196)))&gt;0)</f>
        <v>0</v>
      </c>
      <c r="S196" s="14" cm="1">
        <f t="array" ref="S196">INT(SUMPRODUCT(--ISNUMBER(SEARCH(immigration,C196)))&gt;0)</f>
        <v>0</v>
      </c>
      <c r="T196" s="14" cm="1">
        <f t="array" ref="T196">INT(SUMPRODUCT(--ISNUMBER(SEARCH(econineq,C197)))&gt;0)</f>
        <v>0</v>
      </c>
      <c r="U196" s="14" cm="1">
        <f t="array" ref="U196">INT(SUMPRODUCT(--ISNUMBER(SEARCH(climate,C196)))&gt;0)</f>
        <v>1</v>
      </c>
      <c r="V196" s="14" cm="1">
        <f t="array" ref="V196">INT(SUMPRODUCT(--ISNUMBER(SEARCH(abortion,C196)))&gt;0)</f>
        <v>0</v>
      </c>
      <c r="W196" s="14" cm="1">
        <f t="array" ref="W196">INT(SUMPRODUCT(--ISNUMBER(SEARCH(trump,C196)))&gt;0)</f>
        <v>0</v>
      </c>
      <c r="X196" s="14" cm="1">
        <f t="array" ref="X196">INT(SUMPRODUCT(--ISNUMBER(SEARCH(voting,C196)))&gt;0)</f>
        <v>0</v>
      </c>
      <c r="Y196" s="14" cm="1">
        <f t="array" ref="Y196">INT(SUMPRODUCT(--ISNUMBER(SEARCH(republicantrigger,C196)))&gt;0)</f>
        <v>1</v>
      </c>
      <c r="Z196" s="14" cm="1">
        <f t="array" ref="Z196">INT(SUMPRODUCT(--ISNUMBER(SEARCH(bipartisan,C196)))&gt;0)</f>
        <v>0</v>
      </c>
      <c r="AA196" s="14">
        <f t="shared" si="3"/>
        <v>0</v>
      </c>
      <c r="AB196" s="14"/>
      <c r="AC196" s="30">
        <v>0</v>
      </c>
      <c r="AD196" s="37">
        <v>1</v>
      </c>
    </row>
    <row r="197" spans="1:30" x14ac:dyDescent="0.25">
      <c r="A197" s="36">
        <v>1404</v>
      </c>
      <c r="B197" s="14" t="s">
        <v>2835</v>
      </c>
      <c r="C197" s="14" t="s">
        <v>2836</v>
      </c>
      <c r="D197" s="17">
        <v>44120</v>
      </c>
      <c r="E197" s="14" t="s">
        <v>30</v>
      </c>
      <c r="F197" s="14">
        <v>40</v>
      </c>
      <c r="G197" s="14">
        <v>16</v>
      </c>
      <c r="H197" s="14">
        <v>7</v>
      </c>
      <c r="I197" s="14">
        <v>4</v>
      </c>
      <c r="J197" s="14" t="s">
        <v>31</v>
      </c>
      <c r="K197" s="14" cm="1">
        <f t="array" ref="K197">INT(SUMPRODUCT(--ISNUMBER(SEARCH(economy,C197)))&gt;0)</f>
        <v>0</v>
      </c>
      <c r="L197" s="14" cm="1">
        <f t="array" ref="L197">INT(SUMPRODUCT(--ISNUMBER(SEARCH(healthcare,C197)))&gt;0)</f>
        <v>0</v>
      </c>
      <c r="M197" s="14" cm="1">
        <f t="array" ref="M197">INT(SUMPRODUCT(--ISNUMBER(SEARCH(supreme,C197)))&gt;0)</f>
        <v>0</v>
      </c>
      <c r="N197" s="14" cm="1">
        <f t="array" ref="N197">INT(SUMPRODUCT(--ISNUMBER(SEARCH(covid,C197)))&gt;0)</f>
        <v>0</v>
      </c>
      <c r="O197" s="14" cm="1">
        <f t="array" ref="O197">INT(SUMPRODUCT(--ISNUMBER(SEARCH(violent,C197)))&gt;0)</f>
        <v>0</v>
      </c>
      <c r="P197" s="14" cm="1">
        <f t="array" ref="P197">INT(SUMPRODUCT(--ISNUMBER(SEARCH(foreign,C197)))&gt;0)</f>
        <v>0</v>
      </c>
      <c r="Q197" s="14" cm="1">
        <f t="array" ref="Q197">INT(SUMPRODUCT(--ISNUMBER(SEARCH(gun,C197)))&gt;0)</f>
        <v>0</v>
      </c>
      <c r="R197" s="14" cm="1">
        <f t="array" ref="R197">INT(SUMPRODUCT(--ISNUMBER(SEARCH(race,C197)))&gt;0)</f>
        <v>0</v>
      </c>
      <c r="S197" s="14" cm="1">
        <f t="array" ref="S197">INT(SUMPRODUCT(--ISNUMBER(SEARCH(immigration,C197)))&gt;0)</f>
        <v>0</v>
      </c>
      <c r="T197" s="14" cm="1">
        <f t="array" ref="T197">INT(SUMPRODUCT(--ISNUMBER(SEARCH(econineq,C198)))&gt;0)</f>
        <v>0</v>
      </c>
      <c r="U197" s="14" cm="1">
        <f t="array" ref="U197">INT(SUMPRODUCT(--ISNUMBER(SEARCH(climate,C197)))&gt;0)</f>
        <v>0</v>
      </c>
      <c r="V197" s="14" cm="1">
        <f t="array" ref="V197">INT(SUMPRODUCT(--ISNUMBER(SEARCH(abortion,C197)))&gt;0)</f>
        <v>0</v>
      </c>
      <c r="W197" s="14" cm="1">
        <f t="array" ref="W197">INT(SUMPRODUCT(--ISNUMBER(SEARCH(trump,C197)))&gt;0)</f>
        <v>0</v>
      </c>
      <c r="X197" s="14" cm="1">
        <f t="array" ref="X197">INT(SUMPRODUCT(--ISNUMBER(SEARCH(voting,C197)))&gt;0)</f>
        <v>0</v>
      </c>
      <c r="Y197" s="14" cm="1">
        <f t="array" ref="Y197">INT(SUMPRODUCT(--ISNUMBER(SEARCH(republicantrigger,C197)))&gt;0)</f>
        <v>0</v>
      </c>
      <c r="Z197" s="14" cm="1">
        <f t="array" ref="Z197">INT(SUMPRODUCT(--ISNUMBER(SEARCH(bipartisan,C197)))&gt;0)</f>
        <v>0</v>
      </c>
      <c r="AA197" s="14">
        <f t="shared" si="3"/>
        <v>1</v>
      </c>
      <c r="AB197" s="14"/>
      <c r="AC197" s="30">
        <v>0</v>
      </c>
      <c r="AD197" s="37">
        <v>1</v>
      </c>
    </row>
    <row r="198" spans="1:30" x14ac:dyDescent="0.25">
      <c r="A198" s="36">
        <v>1405</v>
      </c>
      <c r="B198" s="14" t="s">
        <v>2837</v>
      </c>
      <c r="C198" s="14" t="s">
        <v>2838</v>
      </c>
      <c r="D198" s="17">
        <v>44120</v>
      </c>
      <c r="E198" s="14" t="s">
        <v>30</v>
      </c>
      <c r="F198" s="14">
        <v>136</v>
      </c>
      <c r="G198" s="14">
        <v>34</v>
      </c>
      <c r="H198" s="14">
        <v>7</v>
      </c>
      <c r="I198" s="14">
        <v>4</v>
      </c>
      <c r="J198" s="14" t="s">
        <v>31</v>
      </c>
      <c r="K198" s="14" cm="1">
        <f t="array" ref="K198">INT(SUMPRODUCT(--ISNUMBER(SEARCH(economy,C198)))&gt;0)</f>
        <v>1</v>
      </c>
      <c r="L198" s="14" cm="1">
        <f t="array" ref="L198">INT(SUMPRODUCT(--ISNUMBER(SEARCH(healthcare,C198)))&gt;0)</f>
        <v>0</v>
      </c>
      <c r="M198" s="14" cm="1">
        <f t="array" ref="M198">INT(SUMPRODUCT(--ISNUMBER(SEARCH(supreme,C198)))&gt;0)</f>
        <v>0</v>
      </c>
      <c r="N198" s="14" cm="1">
        <f t="array" ref="N198">INT(SUMPRODUCT(--ISNUMBER(SEARCH(covid,C198)))&gt;0)</f>
        <v>1</v>
      </c>
      <c r="O198" s="14" cm="1">
        <f t="array" ref="O198">INT(SUMPRODUCT(--ISNUMBER(SEARCH(violent,C198)))&gt;0)</f>
        <v>0</v>
      </c>
      <c r="P198" s="14" cm="1">
        <f t="array" ref="P198">INT(SUMPRODUCT(--ISNUMBER(SEARCH(foreign,C198)))&gt;0)</f>
        <v>0</v>
      </c>
      <c r="Q198" s="14" cm="1">
        <f t="array" ref="Q198">INT(SUMPRODUCT(--ISNUMBER(SEARCH(gun,C198)))&gt;0)</f>
        <v>0</v>
      </c>
      <c r="R198" s="14" cm="1">
        <f t="array" ref="R198">INT(SUMPRODUCT(--ISNUMBER(SEARCH(race,C198)))&gt;0)</f>
        <v>0</v>
      </c>
      <c r="S198" s="14" cm="1">
        <f t="array" ref="S198">INT(SUMPRODUCT(--ISNUMBER(SEARCH(immigration,C198)))&gt;0)</f>
        <v>0</v>
      </c>
      <c r="T198" s="14" cm="1">
        <f t="array" ref="T198">INT(SUMPRODUCT(--ISNUMBER(SEARCH(econineq,C199)))&gt;0)</f>
        <v>0</v>
      </c>
      <c r="U198" s="14" cm="1">
        <f t="array" ref="U198">INT(SUMPRODUCT(--ISNUMBER(SEARCH(climate,C198)))&gt;0)</f>
        <v>0</v>
      </c>
      <c r="V198" s="14" cm="1">
        <f t="array" ref="V198">INT(SUMPRODUCT(--ISNUMBER(SEARCH(abortion,C198)))&gt;0)</f>
        <v>0</v>
      </c>
      <c r="W198" s="14" cm="1">
        <f t="array" ref="W198">INT(SUMPRODUCT(--ISNUMBER(SEARCH(trump,C198)))&gt;0)</f>
        <v>0</v>
      </c>
      <c r="X198" s="14" cm="1">
        <f t="array" ref="X198">INT(SUMPRODUCT(--ISNUMBER(SEARCH(voting,C198)))&gt;0)</f>
        <v>0</v>
      </c>
      <c r="Y198" s="14" cm="1">
        <f t="array" ref="Y198">INT(SUMPRODUCT(--ISNUMBER(SEARCH(republicantrigger,C198)))&gt;0)</f>
        <v>0</v>
      </c>
      <c r="Z198" s="14" cm="1">
        <f t="array" ref="Z198">INT(SUMPRODUCT(--ISNUMBER(SEARCH(bipartisan,C198)))&gt;0)</f>
        <v>0</v>
      </c>
      <c r="AA198" s="14">
        <f t="shared" si="3"/>
        <v>0</v>
      </c>
      <c r="AB198" s="14"/>
      <c r="AC198" s="30">
        <v>0</v>
      </c>
      <c r="AD198" s="37">
        <v>1</v>
      </c>
    </row>
    <row r="199" spans="1:30" x14ac:dyDescent="0.25">
      <c r="A199" s="36">
        <v>1406</v>
      </c>
      <c r="B199" s="14" t="s">
        <v>2839</v>
      </c>
      <c r="C199" s="14" t="s">
        <v>2840</v>
      </c>
      <c r="D199" s="17">
        <v>44120</v>
      </c>
      <c r="E199" s="14" t="s">
        <v>30</v>
      </c>
      <c r="F199" s="14">
        <v>57</v>
      </c>
      <c r="G199" s="14">
        <v>16</v>
      </c>
      <c r="H199" s="14">
        <v>7</v>
      </c>
      <c r="I199" s="14">
        <v>4</v>
      </c>
      <c r="J199" s="14" t="s">
        <v>31</v>
      </c>
      <c r="K199" s="14" cm="1">
        <f t="array" ref="K199">INT(SUMPRODUCT(--ISNUMBER(SEARCH(economy,C199)))&gt;0)</f>
        <v>0</v>
      </c>
      <c r="L199" s="14" cm="1">
        <f t="array" ref="L199">INT(SUMPRODUCT(--ISNUMBER(SEARCH(healthcare,C199)))&gt;0)</f>
        <v>0</v>
      </c>
      <c r="M199" s="14" cm="1">
        <f t="array" ref="M199">INT(SUMPRODUCT(--ISNUMBER(SEARCH(supreme,C199)))&gt;0)</f>
        <v>0</v>
      </c>
      <c r="N199" s="14" cm="1">
        <f t="array" ref="N199">INT(SUMPRODUCT(--ISNUMBER(SEARCH(covid,C199)))&gt;0)</f>
        <v>0</v>
      </c>
      <c r="O199" s="14" cm="1">
        <f t="array" ref="O199">INT(SUMPRODUCT(--ISNUMBER(SEARCH(violent,C199)))&gt;0)</f>
        <v>0</v>
      </c>
      <c r="P199" s="14" cm="1">
        <f t="array" ref="P199">INT(SUMPRODUCT(--ISNUMBER(SEARCH(foreign,C199)))&gt;0)</f>
        <v>0</v>
      </c>
      <c r="Q199" s="14" cm="1">
        <f t="array" ref="Q199">INT(SUMPRODUCT(--ISNUMBER(SEARCH(gun,C199)))&gt;0)</f>
        <v>0</v>
      </c>
      <c r="R199" s="14" cm="1">
        <f t="array" ref="R199">INT(SUMPRODUCT(--ISNUMBER(SEARCH(race,C199)))&gt;0)</f>
        <v>0</v>
      </c>
      <c r="S199" s="14" cm="1">
        <f t="array" ref="S199">INT(SUMPRODUCT(--ISNUMBER(SEARCH(immigration,C199)))&gt;0)</f>
        <v>0</v>
      </c>
      <c r="T199" s="14" cm="1">
        <f t="array" ref="T199">INT(SUMPRODUCT(--ISNUMBER(SEARCH(econineq,C200)))&gt;0)</f>
        <v>0</v>
      </c>
      <c r="U199" s="14" cm="1">
        <f t="array" ref="U199">INT(SUMPRODUCT(--ISNUMBER(SEARCH(climate,C199)))&gt;0)</f>
        <v>0</v>
      </c>
      <c r="V199" s="14" cm="1">
        <f t="array" ref="V199">INT(SUMPRODUCT(--ISNUMBER(SEARCH(abortion,C199)))&gt;0)</f>
        <v>0</v>
      </c>
      <c r="W199" s="14" cm="1">
        <f t="array" ref="W199">INT(SUMPRODUCT(--ISNUMBER(SEARCH(trump,C199)))&gt;0)</f>
        <v>0</v>
      </c>
      <c r="X199" s="14" cm="1">
        <f t="array" ref="X199">INT(SUMPRODUCT(--ISNUMBER(SEARCH(voting,C199)))&gt;0)</f>
        <v>0</v>
      </c>
      <c r="Y199" s="14" cm="1">
        <f t="array" ref="Y199">INT(SUMPRODUCT(--ISNUMBER(SEARCH(republicantrigger,C199)))&gt;0)</f>
        <v>0</v>
      </c>
      <c r="Z199" s="14" cm="1">
        <f t="array" ref="Z199">INT(SUMPRODUCT(--ISNUMBER(SEARCH(bipartisan,C199)))&gt;0)</f>
        <v>0</v>
      </c>
      <c r="AA199" s="14">
        <f t="shared" si="3"/>
        <v>1</v>
      </c>
      <c r="AB199" s="14"/>
      <c r="AC199" s="30">
        <v>0</v>
      </c>
      <c r="AD199" s="37">
        <v>1</v>
      </c>
    </row>
    <row r="200" spans="1:30" x14ac:dyDescent="0.25">
      <c r="A200" s="36">
        <v>1407</v>
      </c>
      <c r="B200" s="14" t="s">
        <v>2841</v>
      </c>
      <c r="C200" s="14" t="s">
        <v>2842</v>
      </c>
      <c r="D200" s="17">
        <v>44120</v>
      </c>
      <c r="E200" s="14" t="s">
        <v>30</v>
      </c>
      <c r="F200" s="14">
        <v>40</v>
      </c>
      <c r="G200" s="14">
        <v>7</v>
      </c>
      <c r="H200" s="14">
        <v>7</v>
      </c>
      <c r="I200" s="14">
        <v>4</v>
      </c>
      <c r="J200" s="14" t="s">
        <v>31</v>
      </c>
      <c r="K200" s="14" cm="1">
        <f t="array" ref="K200">INT(SUMPRODUCT(--ISNUMBER(SEARCH(economy,C200)))&gt;0)</f>
        <v>0</v>
      </c>
      <c r="L200" s="14" cm="1">
        <f t="array" ref="L200">INT(SUMPRODUCT(--ISNUMBER(SEARCH(healthcare,C200)))&gt;0)</f>
        <v>0</v>
      </c>
      <c r="M200" s="14" cm="1">
        <f t="array" ref="M200">INT(SUMPRODUCT(--ISNUMBER(SEARCH(supreme,C200)))&gt;0)</f>
        <v>0</v>
      </c>
      <c r="N200" s="14" cm="1">
        <f t="array" ref="N200">INT(SUMPRODUCT(--ISNUMBER(SEARCH(covid,C200)))&gt;0)</f>
        <v>0</v>
      </c>
      <c r="O200" s="14" cm="1">
        <f t="array" ref="O200">INT(SUMPRODUCT(--ISNUMBER(SEARCH(violent,C200)))&gt;0)</f>
        <v>0</v>
      </c>
      <c r="P200" s="14" cm="1">
        <f t="array" ref="P200">INT(SUMPRODUCT(--ISNUMBER(SEARCH(foreign,C200)))&gt;0)</f>
        <v>0</v>
      </c>
      <c r="Q200" s="14" cm="1">
        <f t="array" ref="Q200">INT(SUMPRODUCT(--ISNUMBER(SEARCH(gun,C200)))&gt;0)</f>
        <v>0</v>
      </c>
      <c r="R200" s="14" cm="1">
        <f t="array" ref="R200">INT(SUMPRODUCT(--ISNUMBER(SEARCH(race,C200)))&gt;0)</f>
        <v>0</v>
      </c>
      <c r="S200" s="14" cm="1">
        <f t="array" ref="S200">INT(SUMPRODUCT(--ISNUMBER(SEARCH(immigration,C200)))&gt;0)</f>
        <v>0</v>
      </c>
      <c r="T200" s="14" cm="1">
        <f t="array" ref="T200">INT(SUMPRODUCT(--ISNUMBER(SEARCH(econineq,C201)))&gt;0)</f>
        <v>0</v>
      </c>
      <c r="U200" s="14" cm="1">
        <f t="array" ref="U200">INT(SUMPRODUCT(--ISNUMBER(SEARCH(climate,C200)))&gt;0)</f>
        <v>0</v>
      </c>
      <c r="V200" s="14" cm="1">
        <f t="array" ref="V200">INT(SUMPRODUCT(--ISNUMBER(SEARCH(abortion,C200)))&gt;0)</f>
        <v>0</v>
      </c>
      <c r="W200" s="14" cm="1">
        <f t="array" ref="W200">INT(SUMPRODUCT(--ISNUMBER(SEARCH(trump,C200)))&gt;0)</f>
        <v>0</v>
      </c>
      <c r="X200" s="14" cm="1">
        <f t="array" ref="X200">INT(SUMPRODUCT(--ISNUMBER(SEARCH(voting,C200)))&gt;0)</f>
        <v>0</v>
      </c>
      <c r="Y200" s="14" cm="1">
        <f t="array" ref="Y200">INT(SUMPRODUCT(--ISNUMBER(SEARCH(republicantrigger,C200)))&gt;0)</f>
        <v>1</v>
      </c>
      <c r="Z200" s="14" cm="1">
        <f t="array" ref="Z200">INT(SUMPRODUCT(--ISNUMBER(SEARCH(bipartisan,C200)))&gt;0)</f>
        <v>0</v>
      </c>
      <c r="AA200" s="14">
        <f t="shared" si="3"/>
        <v>0</v>
      </c>
      <c r="AB200" s="14"/>
      <c r="AC200" s="30">
        <v>1</v>
      </c>
      <c r="AD200" s="37">
        <v>0</v>
      </c>
    </row>
    <row r="201" spans="1:30" x14ac:dyDescent="0.25">
      <c r="A201" s="36">
        <v>1408</v>
      </c>
      <c r="B201" s="14" t="s">
        <v>2843</v>
      </c>
      <c r="C201" s="14" t="s">
        <v>2844</v>
      </c>
      <c r="D201" s="17">
        <v>44120</v>
      </c>
      <c r="E201" s="14" t="s">
        <v>30</v>
      </c>
      <c r="F201" s="14">
        <v>18</v>
      </c>
      <c r="G201" s="14">
        <v>2</v>
      </c>
      <c r="H201" s="14">
        <v>7</v>
      </c>
      <c r="I201" s="14">
        <v>4</v>
      </c>
      <c r="J201" s="14" t="s">
        <v>31</v>
      </c>
      <c r="K201" s="14" cm="1">
        <f t="array" ref="K201">INT(SUMPRODUCT(--ISNUMBER(SEARCH(economy,C201)))&gt;0)</f>
        <v>1</v>
      </c>
      <c r="L201" s="14" cm="1">
        <f t="array" ref="L201">INT(SUMPRODUCT(--ISNUMBER(SEARCH(healthcare,C201)))&gt;0)</f>
        <v>0</v>
      </c>
      <c r="M201" s="14" cm="1">
        <f t="array" ref="M201">INT(SUMPRODUCT(--ISNUMBER(SEARCH(supreme,C201)))&gt;0)</f>
        <v>0</v>
      </c>
      <c r="N201" s="14" cm="1">
        <f t="array" ref="N201">INT(SUMPRODUCT(--ISNUMBER(SEARCH(covid,C201)))&gt;0)</f>
        <v>0</v>
      </c>
      <c r="O201" s="14" cm="1">
        <f t="array" ref="O201">INT(SUMPRODUCT(--ISNUMBER(SEARCH(violent,C201)))&gt;0)</f>
        <v>0</v>
      </c>
      <c r="P201" s="14" cm="1">
        <f t="array" ref="P201">INT(SUMPRODUCT(--ISNUMBER(SEARCH(foreign,C201)))&gt;0)</f>
        <v>0</v>
      </c>
      <c r="Q201" s="14" cm="1">
        <f t="array" ref="Q201">INT(SUMPRODUCT(--ISNUMBER(SEARCH(gun,C201)))&gt;0)</f>
        <v>0</v>
      </c>
      <c r="R201" s="14" cm="1">
        <f t="array" ref="R201">INT(SUMPRODUCT(--ISNUMBER(SEARCH(race,C201)))&gt;0)</f>
        <v>0</v>
      </c>
      <c r="S201" s="14" cm="1">
        <f t="array" ref="S201">INT(SUMPRODUCT(--ISNUMBER(SEARCH(immigration,C201)))&gt;0)</f>
        <v>0</v>
      </c>
      <c r="T201" s="14" cm="1">
        <f t="array" ref="T201">INT(SUMPRODUCT(--ISNUMBER(SEARCH(econineq,C202)))&gt;0)</f>
        <v>0</v>
      </c>
      <c r="U201" s="14" cm="1">
        <f t="array" ref="U201">INT(SUMPRODUCT(--ISNUMBER(SEARCH(climate,C201)))&gt;0)</f>
        <v>1</v>
      </c>
      <c r="V201" s="14" cm="1">
        <f t="array" ref="V201">INT(SUMPRODUCT(--ISNUMBER(SEARCH(abortion,C201)))&gt;0)</f>
        <v>0</v>
      </c>
      <c r="W201" s="14" cm="1">
        <f t="array" ref="W201">INT(SUMPRODUCT(--ISNUMBER(SEARCH(trump,C201)))&gt;0)</f>
        <v>0</v>
      </c>
      <c r="X201" s="14" cm="1">
        <f t="array" ref="X201">INT(SUMPRODUCT(--ISNUMBER(SEARCH(voting,C201)))&gt;0)</f>
        <v>0</v>
      </c>
      <c r="Y201" s="14" cm="1">
        <f t="array" ref="Y201">INT(SUMPRODUCT(--ISNUMBER(SEARCH(republicantrigger,C201)))&gt;0)</f>
        <v>0</v>
      </c>
      <c r="Z201" s="14" cm="1">
        <f t="array" ref="Z201">INT(SUMPRODUCT(--ISNUMBER(SEARCH(bipartisan,C201)))&gt;0)</f>
        <v>0</v>
      </c>
      <c r="AA201" s="14">
        <f t="shared" si="3"/>
        <v>0</v>
      </c>
      <c r="AB201" s="14"/>
      <c r="AC201" s="30">
        <v>0</v>
      </c>
      <c r="AD201" s="37">
        <v>0</v>
      </c>
    </row>
    <row r="202" spans="1:30" x14ac:dyDescent="0.25">
      <c r="A202" s="36">
        <v>1409</v>
      </c>
      <c r="B202" s="14" t="s">
        <v>2845</v>
      </c>
      <c r="C202" s="14" t="s">
        <v>2846</v>
      </c>
      <c r="D202" s="17">
        <v>44120</v>
      </c>
      <c r="E202" s="14" t="s">
        <v>30</v>
      </c>
      <c r="F202" s="14">
        <v>38</v>
      </c>
      <c r="G202" s="14">
        <v>23</v>
      </c>
      <c r="H202" s="14">
        <v>7</v>
      </c>
      <c r="I202" s="14">
        <v>4</v>
      </c>
      <c r="J202" s="14" t="s">
        <v>31</v>
      </c>
      <c r="K202" s="14" cm="1">
        <f t="array" ref="K202">INT(SUMPRODUCT(--ISNUMBER(SEARCH(economy,C202)))&gt;0)</f>
        <v>0</v>
      </c>
      <c r="L202" s="14" cm="1">
        <f t="array" ref="L202">INT(SUMPRODUCT(--ISNUMBER(SEARCH(healthcare,C202)))&gt;0)</f>
        <v>0</v>
      </c>
      <c r="M202" s="14" cm="1">
        <f t="array" ref="M202">INT(SUMPRODUCT(--ISNUMBER(SEARCH(supreme,C202)))&gt;0)</f>
        <v>0</v>
      </c>
      <c r="N202" s="14" cm="1">
        <f t="array" ref="N202">INT(SUMPRODUCT(--ISNUMBER(SEARCH(covid,C202)))&gt;0)</f>
        <v>0</v>
      </c>
      <c r="O202" s="14" cm="1">
        <f t="array" ref="O202">INT(SUMPRODUCT(--ISNUMBER(SEARCH(violent,C202)))&gt;0)</f>
        <v>0</v>
      </c>
      <c r="P202" s="14" cm="1">
        <f t="array" ref="P202">INT(SUMPRODUCT(--ISNUMBER(SEARCH(foreign,C202)))&gt;0)</f>
        <v>0</v>
      </c>
      <c r="Q202" s="14" cm="1">
        <f t="array" ref="Q202">INT(SUMPRODUCT(--ISNUMBER(SEARCH(gun,C202)))&gt;0)</f>
        <v>0</v>
      </c>
      <c r="R202" s="14" cm="1">
        <f t="array" ref="R202">INT(SUMPRODUCT(--ISNUMBER(SEARCH(race,C202)))&gt;0)</f>
        <v>0</v>
      </c>
      <c r="S202" s="14" cm="1">
        <f t="array" ref="S202">INT(SUMPRODUCT(--ISNUMBER(SEARCH(immigration,C202)))&gt;0)</f>
        <v>0</v>
      </c>
      <c r="T202" s="14" cm="1">
        <f t="array" ref="T202">INT(SUMPRODUCT(--ISNUMBER(SEARCH(econineq,C203)))&gt;0)</f>
        <v>0</v>
      </c>
      <c r="U202" s="14" cm="1">
        <f t="array" ref="U202">INT(SUMPRODUCT(--ISNUMBER(SEARCH(climate,C202)))&gt;0)</f>
        <v>1</v>
      </c>
      <c r="V202" s="14" cm="1">
        <f t="array" ref="V202">INT(SUMPRODUCT(--ISNUMBER(SEARCH(abortion,C202)))&gt;0)</f>
        <v>0</v>
      </c>
      <c r="W202" s="14" cm="1">
        <f t="array" ref="W202">INT(SUMPRODUCT(--ISNUMBER(SEARCH(trump,C202)))&gt;0)</f>
        <v>0</v>
      </c>
      <c r="X202" s="14" cm="1">
        <f t="array" ref="X202">INT(SUMPRODUCT(--ISNUMBER(SEARCH(voting,C202)))&gt;0)</f>
        <v>0</v>
      </c>
      <c r="Y202" s="14" cm="1">
        <f t="array" ref="Y202">INT(SUMPRODUCT(--ISNUMBER(SEARCH(republicantrigger,C202)))&gt;0)</f>
        <v>1</v>
      </c>
      <c r="Z202" s="14" cm="1">
        <f t="array" ref="Z202">INT(SUMPRODUCT(--ISNUMBER(SEARCH(bipartisan,C202)))&gt;0)</f>
        <v>0</v>
      </c>
      <c r="AA202" s="14">
        <f t="shared" si="3"/>
        <v>0</v>
      </c>
      <c r="AB202" s="14"/>
      <c r="AC202" s="30">
        <v>0</v>
      </c>
      <c r="AD202" s="37">
        <v>1</v>
      </c>
    </row>
    <row r="203" spans="1:30" x14ac:dyDescent="0.25">
      <c r="A203" s="36">
        <v>1410</v>
      </c>
      <c r="B203" s="14" t="s">
        <v>2847</v>
      </c>
      <c r="C203" s="14" t="s">
        <v>2848</v>
      </c>
      <c r="D203" s="17">
        <v>44120</v>
      </c>
      <c r="E203" s="14" t="s">
        <v>30</v>
      </c>
      <c r="F203" s="14">
        <v>18</v>
      </c>
      <c r="G203" s="14">
        <v>2</v>
      </c>
      <c r="H203" s="14">
        <v>7</v>
      </c>
      <c r="I203" s="14">
        <v>4</v>
      </c>
      <c r="J203" s="14" t="s">
        <v>31</v>
      </c>
      <c r="K203" s="14" cm="1">
        <f t="array" ref="K203">INT(SUMPRODUCT(--ISNUMBER(SEARCH(economy,C203)))&gt;0)</f>
        <v>0</v>
      </c>
      <c r="L203" s="14" cm="1">
        <f t="array" ref="L203">INT(SUMPRODUCT(--ISNUMBER(SEARCH(healthcare,C203)))&gt;0)</f>
        <v>0</v>
      </c>
      <c r="M203" s="14" cm="1">
        <f t="array" ref="M203">INT(SUMPRODUCT(--ISNUMBER(SEARCH(supreme,C203)))&gt;0)</f>
        <v>0</v>
      </c>
      <c r="N203" s="14" cm="1">
        <f t="array" ref="N203">INT(SUMPRODUCT(--ISNUMBER(SEARCH(covid,C203)))&gt;0)</f>
        <v>0</v>
      </c>
      <c r="O203" s="14" cm="1">
        <f t="array" ref="O203">INT(SUMPRODUCT(--ISNUMBER(SEARCH(violent,C203)))&gt;0)</f>
        <v>0</v>
      </c>
      <c r="P203" s="14" cm="1">
        <f t="array" ref="P203">INT(SUMPRODUCT(--ISNUMBER(SEARCH(foreign,C203)))&gt;0)</f>
        <v>0</v>
      </c>
      <c r="Q203" s="14" cm="1">
        <f t="array" ref="Q203">INT(SUMPRODUCT(--ISNUMBER(SEARCH(gun,C203)))&gt;0)</f>
        <v>0</v>
      </c>
      <c r="R203" s="14" cm="1">
        <f t="array" ref="R203">INT(SUMPRODUCT(--ISNUMBER(SEARCH(race,C203)))&gt;0)</f>
        <v>0</v>
      </c>
      <c r="S203" s="14" cm="1">
        <f t="array" ref="S203">INT(SUMPRODUCT(--ISNUMBER(SEARCH(immigration,C203)))&gt;0)</f>
        <v>0</v>
      </c>
      <c r="T203" s="14" cm="1">
        <f t="array" ref="T203">INT(SUMPRODUCT(--ISNUMBER(SEARCH(econineq,C204)))&gt;0)</f>
        <v>0</v>
      </c>
      <c r="U203" s="14" cm="1">
        <f t="array" ref="U203">INT(SUMPRODUCT(--ISNUMBER(SEARCH(climate,C203)))&gt;0)</f>
        <v>0</v>
      </c>
      <c r="V203" s="14" cm="1">
        <f t="array" ref="V203">INT(SUMPRODUCT(--ISNUMBER(SEARCH(abortion,C203)))&gt;0)</f>
        <v>0</v>
      </c>
      <c r="W203" s="14" cm="1">
        <f t="array" ref="W203">INT(SUMPRODUCT(--ISNUMBER(SEARCH(trump,C203)))&gt;0)</f>
        <v>0</v>
      </c>
      <c r="X203" s="14" cm="1">
        <f t="array" ref="X203">INT(SUMPRODUCT(--ISNUMBER(SEARCH(voting,C203)))&gt;0)</f>
        <v>0</v>
      </c>
      <c r="Y203" s="14" cm="1">
        <f t="array" ref="Y203">INT(SUMPRODUCT(--ISNUMBER(SEARCH(republicantrigger,C203)))&gt;0)</f>
        <v>0</v>
      </c>
      <c r="Z203" s="14" cm="1">
        <f t="array" ref="Z203">INT(SUMPRODUCT(--ISNUMBER(SEARCH(bipartisan,C203)))&gt;0)</f>
        <v>1</v>
      </c>
      <c r="AA203" s="14">
        <f t="shared" si="3"/>
        <v>0</v>
      </c>
      <c r="AB203" s="14"/>
      <c r="AC203" s="30">
        <v>1</v>
      </c>
      <c r="AD203" s="37">
        <v>0</v>
      </c>
    </row>
    <row r="204" spans="1:30" x14ac:dyDescent="0.25">
      <c r="A204" s="36">
        <v>1411</v>
      </c>
      <c r="B204" s="14" t="s">
        <v>2849</v>
      </c>
      <c r="C204" s="14" t="s">
        <v>2850</v>
      </c>
      <c r="D204" s="17">
        <v>44120</v>
      </c>
      <c r="E204" s="14" t="s">
        <v>30</v>
      </c>
      <c r="F204" s="14">
        <v>16</v>
      </c>
      <c r="G204" s="14">
        <v>2</v>
      </c>
      <c r="H204" s="14">
        <v>7</v>
      </c>
      <c r="I204" s="14">
        <v>4</v>
      </c>
      <c r="J204" s="14" t="s">
        <v>31</v>
      </c>
      <c r="K204" s="14" cm="1">
        <f t="array" ref="K204">INT(SUMPRODUCT(--ISNUMBER(SEARCH(economy,C204)))&gt;0)</f>
        <v>0</v>
      </c>
      <c r="L204" s="14" cm="1">
        <f t="array" ref="L204">INT(SUMPRODUCT(--ISNUMBER(SEARCH(healthcare,C204)))&gt;0)</f>
        <v>1</v>
      </c>
      <c r="M204" s="14" cm="1">
        <f t="array" ref="M204">INT(SUMPRODUCT(--ISNUMBER(SEARCH(supreme,C204)))&gt;0)</f>
        <v>0</v>
      </c>
      <c r="N204" s="14" cm="1">
        <f t="array" ref="N204">INT(SUMPRODUCT(--ISNUMBER(SEARCH(covid,C204)))&gt;0)</f>
        <v>0</v>
      </c>
      <c r="O204" s="14" cm="1">
        <f t="array" ref="O204">INT(SUMPRODUCT(--ISNUMBER(SEARCH(violent,C204)))&gt;0)</f>
        <v>0</v>
      </c>
      <c r="P204" s="14" cm="1">
        <f t="array" ref="P204">INT(SUMPRODUCT(--ISNUMBER(SEARCH(foreign,C204)))&gt;0)</f>
        <v>0</v>
      </c>
      <c r="Q204" s="14" cm="1">
        <f t="array" ref="Q204">INT(SUMPRODUCT(--ISNUMBER(SEARCH(gun,C204)))&gt;0)</f>
        <v>0</v>
      </c>
      <c r="R204" s="14" cm="1">
        <f t="array" ref="R204">INT(SUMPRODUCT(--ISNUMBER(SEARCH(race,C204)))&gt;0)</f>
        <v>0</v>
      </c>
      <c r="S204" s="14" cm="1">
        <f t="array" ref="S204">INT(SUMPRODUCT(--ISNUMBER(SEARCH(immigration,C204)))&gt;0)</f>
        <v>0</v>
      </c>
      <c r="T204" s="14" cm="1">
        <f t="array" ref="T204">INT(SUMPRODUCT(--ISNUMBER(SEARCH(econineq,C205)))&gt;0)</f>
        <v>0</v>
      </c>
      <c r="U204" s="14" cm="1">
        <f t="array" ref="U204">INT(SUMPRODUCT(--ISNUMBER(SEARCH(climate,C204)))&gt;0)</f>
        <v>0</v>
      </c>
      <c r="V204" s="14" cm="1">
        <f t="array" ref="V204">INT(SUMPRODUCT(--ISNUMBER(SEARCH(abortion,C204)))&gt;0)</f>
        <v>0</v>
      </c>
      <c r="W204" s="14" cm="1">
        <f t="array" ref="W204">INT(SUMPRODUCT(--ISNUMBER(SEARCH(trump,C204)))&gt;0)</f>
        <v>0</v>
      </c>
      <c r="X204" s="14" cm="1">
        <f t="array" ref="X204">INT(SUMPRODUCT(--ISNUMBER(SEARCH(voting,C204)))&gt;0)</f>
        <v>0</v>
      </c>
      <c r="Y204" s="14" cm="1">
        <f t="array" ref="Y204">INT(SUMPRODUCT(--ISNUMBER(SEARCH(republicantrigger,C204)))&gt;0)</f>
        <v>0</v>
      </c>
      <c r="Z204" s="14" cm="1">
        <f t="array" ref="Z204">INT(SUMPRODUCT(--ISNUMBER(SEARCH(bipartisan,C204)))&gt;0)</f>
        <v>0</v>
      </c>
      <c r="AA204" s="14">
        <f t="shared" si="3"/>
        <v>0</v>
      </c>
      <c r="AB204" s="14"/>
      <c r="AC204" s="30">
        <v>0</v>
      </c>
      <c r="AD204" s="37">
        <v>1</v>
      </c>
    </row>
    <row r="205" spans="1:30" x14ac:dyDescent="0.25">
      <c r="A205" s="36">
        <v>1412</v>
      </c>
      <c r="B205" s="14" t="s">
        <v>2851</v>
      </c>
      <c r="C205" s="14" t="s">
        <v>2852</v>
      </c>
      <c r="D205" s="17">
        <v>44120</v>
      </c>
      <c r="E205" s="14" t="s">
        <v>30</v>
      </c>
      <c r="F205" s="14">
        <v>79</v>
      </c>
      <c r="G205" s="14">
        <v>24</v>
      </c>
      <c r="H205" s="14">
        <v>7</v>
      </c>
      <c r="I205" s="14">
        <v>4</v>
      </c>
      <c r="J205" s="14" t="s">
        <v>31</v>
      </c>
      <c r="K205" s="14" cm="1">
        <f t="array" ref="K205">INT(SUMPRODUCT(--ISNUMBER(SEARCH(economy,C205)))&gt;0)</f>
        <v>0</v>
      </c>
      <c r="L205" s="14" cm="1">
        <f t="array" ref="L205">INT(SUMPRODUCT(--ISNUMBER(SEARCH(healthcare,C205)))&gt;0)</f>
        <v>1</v>
      </c>
      <c r="M205" s="14" cm="1">
        <f t="array" ref="M205">INT(SUMPRODUCT(--ISNUMBER(SEARCH(supreme,C205)))&gt;0)</f>
        <v>0</v>
      </c>
      <c r="N205" s="14" cm="1">
        <f t="array" ref="N205">INT(SUMPRODUCT(--ISNUMBER(SEARCH(covid,C205)))&gt;0)</f>
        <v>0</v>
      </c>
      <c r="O205" s="14" cm="1">
        <f t="array" ref="O205">INT(SUMPRODUCT(--ISNUMBER(SEARCH(violent,C205)))&gt;0)</f>
        <v>0</v>
      </c>
      <c r="P205" s="14" cm="1">
        <f t="array" ref="P205">INT(SUMPRODUCT(--ISNUMBER(SEARCH(foreign,C205)))&gt;0)</f>
        <v>0</v>
      </c>
      <c r="Q205" s="14" cm="1">
        <f t="array" ref="Q205">INT(SUMPRODUCT(--ISNUMBER(SEARCH(gun,C205)))&gt;0)</f>
        <v>0</v>
      </c>
      <c r="R205" s="14" cm="1">
        <f t="array" ref="R205">INT(SUMPRODUCT(--ISNUMBER(SEARCH(race,C205)))&gt;0)</f>
        <v>0</v>
      </c>
      <c r="S205" s="14" cm="1">
        <f t="array" ref="S205">INT(SUMPRODUCT(--ISNUMBER(SEARCH(immigration,C205)))&gt;0)</f>
        <v>0</v>
      </c>
      <c r="T205" s="14" cm="1">
        <f t="array" ref="T205">INT(SUMPRODUCT(--ISNUMBER(SEARCH(econineq,C206)))&gt;0)</f>
        <v>0</v>
      </c>
      <c r="U205" s="14" cm="1">
        <f t="array" ref="U205">INT(SUMPRODUCT(--ISNUMBER(SEARCH(climate,C205)))&gt;0)</f>
        <v>0</v>
      </c>
      <c r="V205" s="14" cm="1">
        <f t="array" ref="V205">INT(SUMPRODUCT(--ISNUMBER(SEARCH(abortion,C205)))&gt;0)</f>
        <v>0</v>
      </c>
      <c r="W205" s="14" cm="1">
        <f t="array" ref="W205">INT(SUMPRODUCT(--ISNUMBER(SEARCH(trump,C205)))&gt;0)</f>
        <v>0</v>
      </c>
      <c r="X205" s="14" cm="1">
        <f t="array" ref="X205">INT(SUMPRODUCT(--ISNUMBER(SEARCH(voting,C205)))&gt;0)</f>
        <v>0</v>
      </c>
      <c r="Y205" s="14" cm="1">
        <f t="array" ref="Y205">INT(SUMPRODUCT(--ISNUMBER(SEARCH(republicantrigger,C205)))&gt;0)</f>
        <v>1</v>
      </c>
      <c r="Z205" s="14" cm="1">
        <f t="array" ref="Z205">INT(SUMPRODUCT(--ISNUMBER(SEARCH(bipartisan,C205)))&gt;0)</f>
        <v>0</v>
      </c>
      <c r="AA205" s="14">
        <f t="shared" si="3"/>
        <v>0</v>
      </c>
      <c r="AB205" s="14"/>
      <c r="AC205" s="30">
        <v>0</v>
      </c>
      <c r="AD205" s="37">
        <v>0</v>
      </c>
    </row>
    <row r="206" spans="1:30" x14ac:dyDescent="0.25">
      <c r="A206" s="36">
        <v>1413</v>
      </c>
      <c r="B206" s="14" t="s">
        <v>2853</v>
      </c>
      <c r="C206" s="14" t="s">
        <v>2854</v>
      </c>
      <c r="D206" s="17">
        <v>44120</v>
      </c>
      <c r="E206" s="14" t="s">
        <v>30</v>
      </c>
      <c r="F206" s="14">
        <v>11</v>
      </c>
      <c r="G206" s="14">
        <v>1</v>
      </c>
      <c r="H206" s="14">
        <v>7</v>
      </c>
      <c r="I206" s="14">
        <v>4</v>
      </c>
      <c r="J206" s="14" t="s">
        <v>31</v>
      </c>
      <c r="K206" s="14" cm="1">
        <f t="array" ref="K206">INT(SUMPRODUCT(--ISNUMBER(SEARCH(economy,C206)))&gt;0)</f>
        <v>0</v>
      </c>
      <c r="L206" s="14" cm="1">
        <f t="array" ref="L206">INT(SUMPRODUCT(--ISNUMBER(SEARCH(healthcare,C206)))&gt;0)</f>
        <v>1</v>
      </c>
      <c r="M206" s="14" cm="1">
        <f t="array" ref="M206">INT(SUMPRODUCT(--ISNUMBER(SEARCH(supreme,C206)))&gt;0)</f>
        <v>0</v>
      </c>
      <c r="N206" s="14" cm="1">
        <f t="array" ref="N206">INT(SUMPRODUCT(--ISNUMBER(SEARCH(covid,C206)))&gt;0)</f>
        <v>0</v>
      </c>
      <c r="O206" s="14" cm="1">
        <f t="array" ref="O206">INT(SUMPRODUCT(--ISNUMBER(SEARCH(violent,C206)))&gt;0)</f>
        <v>0</v>
      </c>
      <c r="P206" s="14" cm="1">
        <f t="array" ref="P206">INT(SUMPRODUCT(--ISNUMBER(SEARCH(foreign,C206)))&gt;0)</f>
        <v>0</v>
      </c>
      <c r="Q206" s="14" cm="1">
        <f t="array" ref="Q206">INT(SUMPRODUCT(--ISNUMBER(SEARCH(gun,C206)))&gt;0)</f>
        <v>0</v>
      </c>
      <c r="R206" s="14" cm="1">
        <f t="array" ref="R206">INT(SUMPRODUCT(--ISNUMBER(SEARCH(race,C206)))&gt;0)</f>
        <v>0</v>
      </c>
      <c r="S206" s="14" cm="1">
        <f t="array" ref="S206">INT(SUMPRODUCT(--ISNUMBER(SEARCH(immigration,C206)))&gt;0)</f>
        <v>0</v>
      </c>
      <c r="T206" s="14" cm="1">
        <f t="array" ref="T206">INT(SUMPRODUCT(--ISNUMBER(SEARCH(econineq,C207)))&gt;0)</f>
        <v>0</v>
      </c>
      <c r="U206" s="14" cm="1">
        <f t="array" ref="U206">INT(SUMPRODUCT(--ISNUMBER(SEARCH(climate,C206)))&gt;0)</f>
        <v>0</v>
      </c>
      <c r="V206" s="14" cm="1">
        <f t="array" ref="V206">INT(SUMPRODUCT(--ISNUMBER(SEARCH(abortion,C206)))&gt;0)</f>
        <v>0</v>
      </c>
      <c r="W206" s="14" cm="1">
        <f t="array" ref="W206">INT(SUMPRODUCT(--ISNUMBER(SEARCH(trump,C206)))&gt;0)</f>
        <v>0</v>
      </c>
      <c r="X206" s="14" cm="1">
        <f t="array" ref="X206">INT(SUMPRODUCT(--ISNUMBER(SEARCH(voting,C206)))&gt;0)</f>
        <v>1</v>
      </c>
      <c r="Y206" s="14" cm="1">
        <f t="array" ref="Y206">INT(SUMPRODUCT(--ISNUMBER(SEARCH(republicantrigger,C206)))&gt;0)</f>
        <v>0</v>
      </c>
      <c r="Z206" s="14" cm="1">
        <f t="array" ref="Z206">INT(SUMPRODUCT(--ISNUMBER(SEARCH(bipartisan,C206)))&gt;0)</f>
        <v>0</v>
      </c>
      <c r="AA206" s="14">
        <f t="shared" si="3"/>
        <v>0</v>
      </c>
      <c r="AB206" s="14"/>
      <c r="AC206" s="30">
        <v>1</v>
      </c>
      <c r="AD206" s="37">
        <v>0</v>
      </c>
    </row>
    <row r="207" spans="1:30" x14ac:dyDescent="0.25">
      <c r="A207" s="36">
        <v>1414</v>
      </c>
      <c r="B207" s="14" t="s">
        <v>2855</v>
      </c>
      <c r="C207" s="14" t="s">
        <v>2856</v>
      </c>
      <c r="D207" s="17">
        <v>44120</v>
      </c>
      <c r="E207" s="14" t="s">
        <v>30</v>
      </c>
      <c r="F207" s="14">
        <v>42</v>
      </c>
      <c r="G207" s="14">
        <v>12</v>
      </c>
      <c r="H207" s="14">
        <v>7</v>
      </c>
      <c r="I207" s="14">
        <v>4</v>
      </c>
      <c r="J207" s="14" t="s">
        <v>31</v>
      </c>
      <c r="K207" s="14" cm="1">
        <f t="array" ref="K207">INT(SUMPRODUCT(--ISNUMBER(SEARCH(economy,C207)))&gt;0)</f>
        <v>1</v>
      </c>
      <c r="L207" s="14" cm="1">
        <f t="array" ref="L207">INT(SUMPRODUCT(--ISNUMBER(SEARCH(healthcare,C207)))&gt;0)</f>
        <v>0</v>
      </c>
      <c r="M207" s="14" cm="1">
        <f t="array" ref="M207">INT(SUMPRODUCT(--ISNUMBER(SEARCH(supreme,C207)))&gt;0)</f>
        <v>0</v>
      </c>
      <c r="N207" s="14" cm="1">
        <f t="array" ref="N207">INT(SUMPRODUCT(--ISNUMBER(SEARCH(covid,C207)))&gt;0)</f>
        <v>1</v>
      </c>
      <c r="O207" s="14" cm="1">
        <f t="array" ref="O207">INT(SUMPRODUCT(--ISNUMBER(SEARCH(violent,C207)))&gt;0)</f>
        <v>0</v>
      </c>
      <c r="P207" s="14" cm="1">
        <f t="array" ref="P207">INT(SUMPRODUCT(--ISNUMBER(SEARCH(foreign,C207)))&gt;0)</f>
        <v>0</v>
      </c>
      <c r="Q207" s="14" cm="1">
        <f t="array" ref="Q207">INT(SUMPRODUCT(--ISNUMBER(SEARCH(gun,C207)))&gt;0)</f>
        <v>0</v>
      </c>
      <c r="R207" s="14" cm="1">
        <f t="array" ref="R207">INT(SUMPRODUCT(--ISNUMBER(SEARCH(race,C207)))&gt;0)</f>
        <v>0</v>
      </c>
      <c r="S207" s="14" cm="1">
        <f t="array" ref="S207">INT(SUMPRODUCT(--ISNUMBER(SEARCH(immigration,C207)))&gt;0)</f>
        <v>0</v>
      </c>
      <c r="T207" s="14" cm="1">
        <f t="array" ref="T207">INT(SUMPRODUCT(--ISNUMBER(SEARCH(econineq,C208)))&gt;0)</f>
        <v>0</v>
      </c>
      <c r="U207" s="14" cm="1">
        <f t="array" ref="U207">INT(SUMPRODUCT(--ISNUMBER(SEARCH(climate,C207)))&gt;0)</f>
        <v>0</v>
      </c>
      <c r="V207" s="14" cm="1">
        <f t="array" ref="V207">INT(SUMPRODUCT(--ISNUMBER(SEARCH(abortion,C207)))&gt;0)</f>
        <v>0</v>
      </c>
      <c r="W207" s="14" cm="1">
        <f t="array" ref="W207">INT(SUMPRODUCT(--ISNUMBER(SEARCH(trump,C207)))&gt;0)</f>
        <v>0</v>
      </c>
      <c r="X207" s="14" cm="1">
        <f t="array" ref="X207">INT(SUMPRODUCT(--ISNUMBER(SEARCH(voting,C207)))&gt;0)</f>
        <v>0</v>
      </c>
      <c r="Y207" s="14" cm="1">
        <f t="array" ref="Y207">INT(SUMPRODUCT(--ISNUMBER(SEARCH(republicantrigger,C207)))&gt;0)</f>
        <v>0</v>
      </c>
      <c r="Z207" s="14" cm="1">
        <f t="array" ref="Z207">INT(SUMPRODUCT(--ISNUMBER(SEARCH(bipartisan,C207)))&gt;0)</f>
        <v>0</v>
      </c>
      <c r="AA207" s="14">
        <f t="shared" si="3"/>
        <v>0</v>
      </c>
      <c r="AB207" s="14"/>
      <c r="AC207" s="30">
        <v>1</v>
      </c>
      <c r="AD207" s="37">
        <v>0</v>
      </c>
    </row>
    <row r="208" spans="1:30" x14ac:dyDescent="0.25">
      <c r="A208" s="36">
        <v>1415</v>
      </c>
      <c r="B208" s="14" t="s">
        <v>2857</v>
      </c>
      <c r="C208" s="14" t="s">
        <v>2858</v>
      </c>
      <c r="D208" s="17">
        <v>44120</v>
      </c>
      <c r="E208" s="14" t="s">
        <v>30</v>
      </c>
      <c r="F208" s="14">
        <v>15</v>
      </c>
      <c r="G208" s="14">
        <v>2</v>
      </c>
      <c r="H208" s="14">
        <v>7</v>
      </c>
      <c r="I208" s="14">
        <v>4</v>
      </c>
      <c r="J208" s="14" t="s">
        <v>31</v>
      </c>
      <c r="K208" s="14" cm="1">
        <f t="array" ref="K208">INT(SUMPRODUCT(--ISNUMBER(SEARCH(economy,C208)))&gt;0)</f>
        <v>1</v>
      </c>
      <c r="L208" s="14" cm="1">
        <f t="array" ref="L208">INT(SUMPRODUCT(--ISNUMBER(SEARCH(healthcare,C208)))&gt;0)</f>
        <v>0</v>
      </c>
      <c r="M208" s="14" cm="1">
        <f t="array" ref="M208">INT(SUMPRODUCT(--ISNUMBER(SEARCH(supreme,C208)))&gt;0)</f>
        <v>0</v>
      </c>
      <c r="N208" s="14" cm="1">
        <f t="array" ref="N208">INT(SUMPRODUCT(--ISNUMBER(SEARCH(covid,C208)))&gt;0)</f>
        <v>1</v>
      </c>
      <c r="O208" s="14" cm="1">
        <f t="array" ref="O208">INT(SUMPRODUCT(--ISNUMBER(SEARCH(violent,C208)))&gt;0)</f>
        <v>0</v>
      </c>
      <c r="P208" s="14" cm="1">
        <f t="array" ref="P208">INT(SUMPRODUCT(--ISNUMBER(SEARCH(foreign,C208)))&gt;0)</f>
        <v>0</v>
      </c>
      <c r="Q208" s="14" cm="1">
        <f t="array" ref="Q208">INT(SUMPRODUCT(--ISNUMBER(SEARCH(gun,C208)))&gt;0)</f>
        <v>0</v>
      </c>
      <c r="R208" s="14" cm="1">
        <f t="array" ref="R208">INT(SUMPRODUCT(--ISNUMBER(SEARCH(race,C208)))&gt;0)</f>
        <v>0</v>
      </c>
      <c r="S208" s="14" cm="1">
        <f t="array" ref="S208">INT(SUMPRODUCT(--ISNUMBER(SEARCH(immigration,C208)))&gt;0)</f>
        <v>0</v>
      </c>
      <c r="T208" s="14" cm="1">
        <f t="array" ref="T208">INT(SUMPRODUCT(--ISNUMBER(SEARCH(econineq,C209)))&gt;0)</f>
        <v>0</v>
      </c>
      <c r="U208" s="14" cm="1">
        <f t="array" ref="U208">INT(SUMPRODUCT(--ISNUMBER(SEARCH(climate,C208)))&gt;0)</f>
        <v>0</v>
      </c>
      <c r="V208" s="14" cm="1">
        <f t="array" ref="V208">INT(SUMPRODUCT(--ISNUMBER(SEARCH(abortion,C208)))&gt;0)</f>
        <v>0</v>
      </c>
      <c r="W208" s="14" cm="1">
        <f t="array" ref="W208">INT(SUMPRODUCT(--ISNUMBER(SEARCH(trump,C208)))&gt;0)</f>
        <v>0</v>
      </c>
      <c r="X208" s="14" cm="1">
        <f t="array" ref="X208">INT(SUMPRODUCT(--ISNUMBER(SEARCH(voting,C208)))&gt;0)</f>
        <v>0</v>
      </c>
      <c r="Y208" s="14" cm="1">
        <f t="array" ref="Y208">INT(SUMPRODUCT(--ISNUMBER(SEARCH(republicantrigger,C208)))&gt;0)</f>
        <v>1</v>
      </c>
      <c r="Z208" s="14" cm="1">
        <f t="array" ref="Z208">INT(SUMPRODUCT(--ISNUMBER(SEARCH(bipartisan,C208)))&gt;0)</f>
        <v>0</v>
      </c>
      <c r="AA208" s="14">
        <f t="shared" si="3"/>
        <v>0</v>
      </c>
      <c r="AB208" s="14"/>
      <c r="AC208" s="30">
        <v>1</v>
      </c>
      <c r="AD208" s="37">
        <v>0</v>
      </c>
    </row>
    <row r="209" spans="1:30" x14ac:dyDescent="0.25">
      <c r="A209" s="36">
        <v>1416</v>
      </c>
      <c r="B209" s="14" t="s">
        <v>2859</v>
      </c>
      <c r="C209" s="14" t="s">
        <v>2860</v>
      </c>
      <c r="D209" s="17">
        <v>44120</v>
      </c>
      <c r="E209" s="14" t="s">
        <v>30</v>
      </c>
      <c r="F209" s="14">
        <v>25</v>
      </c>
      <c r="G209" s="14">
        <v>4</v>
      </c>
      <c r="H209" s="14">
        <v>7</v>
      </c>
      <c r="I209" s="14">
        <v>4</v>
      </c>
      <c r="J209" s="14" t="s">
        <v>31</v>
      </c>
      <c r="K209" s="14" cm="1">
        <f t="array" ref="K209">INT(SUMPRODUCT(--ISNUMBER(SEARCH(economy,C209)))&gt;0)</f>
        <v>0</v>
      </c>
      <c r="L209" s="14" cm="1">
        <f t="array" ref="L209">INT(SUMPRODUCT(--ISNUMBER(SEARCH(healthcare,C209)))&gt;0)</f>
        <v>0</v>
      </c>
      <c r="M209" s="14" cm="1">
        <f t="array" ref="M209">INT(SUMPRODUCT(--ISNUMBER(SEARCH(supreme,C209)))&gt;0)</f>
        <v>0</v>
      </c>
      <c r="N209" s="14" cm="1">
        <f t="array" ref="N209">INT(SUMPRODUCT(--ISNUMBER(SEARCH(covid,C209)))&gt;0)</f>
        <v>0</v>
      </c>
      <c r="O209" s="14" cm="1">
        <f t="array" ref="O209">INT(SUMPRODUCT(--ISNUMBER(SEARCH(violent,C209)))&gt;0)</f>
        <v>0</v>
      </c>
      <c r="P209" s="14" cm="1">
        <f t="array" ref="P209">INT(SUMPRODUCT(--ISNUMBER(SEARCH(foreign,C209)))&gt;0)</f>
        <v>1</v>
      </c>
      <c r="Q209" s="14" cm="1">
        <f t="array" ref="Q209">INT(SUMPRODUCT(--ISNUMBER(SEARCH(gun,C209)))&gt;0)</f>
        <v>0</v>
      </c>
      <c r="R209" s="14" cm="1">
        <f t="array" ref="R209">INT(SUMPRODUCT(--ISNUMBER(SEARCH(race,C209)))&gt;0)</f>
        <v>0</v>
      </c>
      <c r="S209" s="14" cm="1">
        <f t="array" ref="S209">INT(SUMPRODUCT(--ISNUMBER(SEARCH(immigration,C209)))&gt;0)</f>
        <v>0</v>
      </c>
      <c r="T209" s="14" cm="1">
        <f t="array" ref="T209">INT(SUMPRODUCT(--ISNUMBER(SEARCH(econineq,C210)))&gt;0)</f>
        <v>0</v>
      </c>
      <c r="U209" s="14" cm="1">
        <f t="array" ref="U209">INT(SUMPRODUCT(--ISNUMBER(SEARCH(climate,C209)))&gt;0)</f>
        <v>0</v>
      </c>
      <c r="V209" s="14" cm="1">
        <f t="array" ref="V209">INT(SUMPRODUCT(--ISNUMBER(SEARCH(abortion,C209)))&gt;0)</f>
        <v>0</v>
      </c>
      <c r="W209" s="14" cm="1">
        <f t="array" ref="W209">INT(SUMPRODUCT(--ISNUMBER(SEARCH(trump,C209)))&gt;0)</f>
        <v>0</v>
      </c>
      <c r="X209" s="14" cm="1">
        <f t="array" ref="X209">INT(SUMPRODUCT(--ISNUMBER(SEARCH(voting,C209)))&gt;0)</f>
        <v>0</v>
      </c>
      <c r="Y209" s="14" cm="1">
        <f t="array" ref="Y209">INT(SUMPRODUCT(--ISNUMBER(SEARCH(republicantrigger,C209)))&gt;0)</f>
        <v>0</v>
      </c>
      <c r="Z209" s="14" cm="1">
        <f t="array" ref="Z209">INT(SUMPRODUCT(--ISNUMBER(SEARCH(bipartisan,C209)))&gt;0)</f>
        <v>0</v>
      </c>
      <c r="AA209" s="14">
        <f t="shared" si="3"/>
        <v>0</v>
      </c>
      <c r="AB209" s="14"/>
      <c r="AC209" s="30">
        <v>1</v>
      </c>
      <c r="AD209" s="37">
        <v>0</v>
      </c>
    </row>
    <row r="210" spans="1:30" x14ac:dyDescent="0.25">
      <c r="A210" s="36">
        <v>1417</v>
      </c>
      <c r="B210" s="14" t="s">
        <v>2861</v>
      </c>
      <c r="C210" s="14" t="s">
        <v>2862</v>
      </c>
      <c r="D210" s="17">
        <v>44119</v>
      </c>
      <c r="E210" s="14" t="s">
        <v>30</v>
      </c>
      <c r="F210" s="14">
        <v>31</v>
      </c>
      <c r="G210" s="14">
        <v>3</v>
      </c>
      <c r="H210" s="14">
        <v>7</v>
      </c>
      <c r="I210" s="14">
        <v>4</v>
      </c>
      <c r="J210" s="14" t="s">
        <v>31</v>
      </c>
      <c r="K210" s="14" cm="1">
        <f t="array" ref="K210">INT(SUMPRODUCT(--ISNUMBER(SEARCH(economy,C210)))&gt;0)</f>
        <v>0</v>
      </c>
      <c r="L210" s="14" cm="1">
        <f t="array" ref="L210">INT(SUMPRODUCT(--ISNUMBER(SEARCH(healthcare,C210)))&gt;0)</f>
        <v>0</v>
      </c>
      <c r="M210" s="14" cm="1">
        <f t="array" ref="M210">INT(SUMPRODUCT(--ISNUMBER(SEARCH(supreme,C210)))&gt;0)</f>
        <v>0</v>
      </c>
      <c r="N210" s="14" cm="1">
        <f t="array" ref="N210">INT(SUMPRODUCT(--ISNUMBER(SEARCH(covid,C210)))&gt;0)</f>
        <v>0</v>
      </c>
      <c r="O210" s="14" cm="1">
        <f t="array" ref="O210">INT(SUMPRODUCT(--ISNUMBER(SEARCH(violent,C210)))&gt;0)</f>
        <v>0</v>
      </c>
      <c r="P210" s="14" cm="1">
        <f t="array" ref="P210">INT(SUMPRODUCT(--ISNUMBER(SEARCH(foreign,C210)))&gt;0)</f>
        <v>0</v>
      </c>
      <c r="Q210" s="14" cm="1">
        <f t="array" ref="Q210">INT(SUMPRODUCT(--ISNUMBER(SEARCH(gun,C210)))&gt;0)</f>
        <v>0</v>
      </c>
      <c r="R210" s="14" cm="1">
        <f t="array" ref="R210">INT(SUMPRODUCT(--ISNUMBER(SEARCH(race,C210)))&gt;0)</f>
        <v>0</v>
      </c>
      <c r="S210" s="14" cm="1">
        <f t="array" ref="S210">INT(SUMPRODUCT(--ISNUMBER(SEARCH(immigration,C210)))&gt;0)</f>
        <v>0</v>
      </c>
      <c r="T210" s="14" cm="1">
        <f t="array" ref="T210">INT(SUMPRODUCT(--ISNUMBER(SEARCH(econineq,C211)))&gt;0)</f>
        <v>0</v>
      </c>
      <c r="U210" s="14" cm="1">
        <f t="array" ref="U210">INT(SUMPRODUCT(--ISNUMBER(SEARCH(climate,C210)))&gt;0)</f>
        <v>0</v>
      </c>
      <c r="V210" s="14" cm="1">
        <f t="array" ref="V210">INT(SUMPRODUCT(--ISNUMBER(SEARCH(abortion,C210)))&gt;0)</f>
        <v>0</v>
      </c>
      <c r="W210" s="14" cm="1">
        <f t="array" ref="W210">INT(SUMPRODUCT(--ISNUMBER(SEARCH(trump,C210)))&gt;0)</f>
        <v>0</v>
      </c>
      <c r="X210" s="14" cm="1">
        <f t="array" ref="X210">INT(SUMPRODUCT(--ISNUMBER(SEARCH(voting,C210)))&gt;0)</f>
        <v>0</v>
      </c>
      <c r="Y210" s="14" cm="1">
        <f t="array" ref="Y210">INT(SUMPRODUCT(--ISNUMBER(SEARCH(republicantrigger,C210)))&gt;0)</f>
        <v>0</v>
      </c>
      <c r="Z210" s="14" cm="1">
        <f t="array" ref="Z210">INT(SUMPRODUCT(--ISNUMBER(SEARCH(bipartisan,C210)))&gt;0)</f>
        <v>0</v>
      </c>
      <c r="AA210" s="14">
        <f t="shared" si="3"/>
        <v>1</v>
      </c>
      <c r="AB210" s="14"/>
      <c r="AC210" s="30">
        <v>0</v>
      </c>
      <c r="AD210" s="37">
        <v>1</v>
      </c>
    </row>
    <row r="211" spans="1:30" x14ac:dyDescent="0.25">
      <c r="A211" s="36">
        <v>1418</v>
      </c>
      <c r="B211" s="14" t="s">
        <v>2863</v>
      </c>
      <c r="C211" s="14" t="s">
        <v>2864</v>
      </c>
      <c r="D211" s="17">
        <v>44119</v>
      </c>
      <c r="E211" s="14" t="s">
        <v>30</v>
      </c>
      <c r="F211" s="14">
        <v>30</v>
      </c>
      <c r="G211" s="14">
        <v>3</v>
      </c>
      <c r="H211" s="14">
        <v>7</v>
      </c>
      <c r="I211" s="14">
        <v>4</v>
      </c>
      <c r="J211" s="14" t="s">
        <v>31</v>
      </c>
      <c r="K211" s="14" cm="1">
        <f t="array" ref="K211">INT(SUMPRODUCT(--ISNUMBER(SEARCH(economy,C211)))&gt;0)</f>
        <v>0</v>
      </c>
      <c r="L211" s="14" cm="1">
        <f t="array" ref="L211">INT(SUMPRODUCT(--ISNUMBER(SEARCH(healthcare,C211)))&gt;0)</f>
        <v>0</v>
      </c>
      <c r="M211" s="14" cm="1">
        <f t="array" ref="M211">INT(SUMPRODUCT(--ISNUMBER(SEARCH(supreme,C211)))&gt;0)</f>
        <v>0</v>
      </c>
      <c r="N211" s="14" cm="1">
        <f t="array" ref="N211">INT(SUMPRODUCT(--ISNUMBER(SEARCH(covid,C211)))&gt;0)</f>
        <v>0</v>
      </c>
      <c r="O211" s="14" cm="1">
        <f t="array" ref="O211">INT(SUMPRODUCT(--ISNUMBER(SEARCH(violent,C211)))&gt;0)</f>
        <v>0</v>
      </c>
      <c r="P211" s="14" cm="1">
        <f t="array" ref="P211">INT(SUMPRODUCT(--ISNUMBER(SEARCH(foreign,C211)))&gt;0)</f>
        <v>0</v>
      </c>
      <c r="Q211" s="14" cm="1">
        <f t="array" ref="Q211">INT(SUMPRODUCT(--ISNUMBER(SEARCH(gun,C211)))&gt;0)</f>
        <v>0</v>
      </c>
      <c r="R211" s="14" cm="1">
        <f t="array" ref="R211">INT(SUMPRODUCT(--ISNUMBER(SEARCH(race,C211)))&gt;0)</f>
        <v>0</v>
      </c>
      <c r="S211" s="14" cm="1">
        <f t="array" ref="S211">INT(SUMPRODUCT(--ISNUMBER(SEARCH(immigration,C211)))&gt;0)</f>
        <v>0</v>
      </c>
      <c r="T211" s="14" cm="1">
        <f t="array" ref="T211">INT(SUMPRODUCT(--ISNUMBER(SEARCH(econineq,C212)))&gt;0)</f>
        <v>0</v>
      </c>
      <c r="U211" s="14" cm="1">
        <f t="array" ref="U211">INT(SUMPRODUCT(--ISNUMBER(SEARCH(climate,C211)))&gt;0)</f>
        <v>0</v>
      </c>
      <c r="V211" s="14" cm="1">
        <f t="array" ref="V211">INT(SUMPRODUCT(--ISNUMBER(SEARCH(abortion,C211)))&gt;0)</f>
        <v>0</v>
      </c>
      <c r="W211" s="14" cm="1">
        <f t="array" ref="W211">INT(SUMPRODUCT(--ISNUMBER(SEARCH(trump,C211)))&gt;0)</f>
        <v>0</v>
      </c>
      <c r="X211" s="14" cm="1">
        <f t="array" ref="X211">INT(SUMPRODUCT(--ISNUMBER(SEARCH(voting,C211)))&gt;0)</f>
        <v>0</v>
      </c>
      <c r="Y211" s="14" cm="1">
        <f t="array" ref="Y211">INT(SUMPRODUCT(--ISNUMBER(SEARCH(republicantrigger,C211)))&gt;0)</f>
        <v>0</v>
      </c>
      <c r="Z211" s="14" cm="1">
        <f t="array" ref="Z211">INT(SUMPRODUCT(--ISNUMBER(SEARCH(bipartisan,C211)))&gt;0)</f>
        <v>0</v>
      </c>
      <c r="AA211" s="14">
        <f t="shared" si="3"/>
        <v>1</v>
      </c>
      <c r="AB211" s="14"/>
      <c r="AC211" s="30">
        <v>1</v>
      </c>
      <c r="AD211" s="37">
        <v>0</v>
      </c>
    </row>
    <row r="212" spans="1:30" x14ac:dyDescent="0.25">
      <c r="A212" s="36">
        <v>1419</v>
      </c>
      <c r="B212" s="14" t="s">
        <v>2865</v>
      </c>
      <c r="C212" s="14" t="s">
        <v>2866</v>
      </c>
      <c r="D212" s="17">
        <v>44119</v>
      </c>
      <c r="E212" s="14" t="s">
        <v>30</v>
      </c>
      <c r="F212" s="14">
        <v>17</v>
      </c>
      <c r="G212" s="14">
        <v>3</v>
      </c>
      <c r="H212" s="14">
        <v>7</v>
      </c>
      <c r="I212" s="14">
        <v>4</v>
      </c>
      <c r="J212" s="14" t="s">
        <v>31</v>
      </c>
      <c r="K212" s="14" cm="1">
        <f t="array" ref="K212">INT(SUMPRODUCT(--ISNUMBER(SEARCH(economy,C212)))&gt;0)</f>
        <v>0</v>
      </c>
      <c r="L212" s="14" cm="1">
        <f t="array" ref="L212">INT(SUMPRODUCT(--ISNUMBER(SEARCH(healthcare,C212)))&gt;0)</f>
        <v>0</v>
      </c>
      <c r="M212" s="14" cm="1">
        <f t="array" ref="M212">INT(SUMPRODUCT(--ISNUMBER(SEARCH(supreme,C212)))&gt;0)</f>
        <v>0</v>
      </c>
      <c r="N212" s="14" cm="1">
        <f t="array" ref="N212">INT(SUMPRODUCT(--ISNUMBER(SEARCH(covid,C212)))&gt;0)</f>
        <v>0</v>
      </c>
      <c r="O212" s="14" cm="1">
        <f t="array" ref="O212">INT(SUMPRODUCT(--ISNUMBER(SEARCH(violent,C212)))&gt;0)</f>
        <v>0</v>
      </c>
      <c r="P212" s="14" cm="1">
        <f t="array" ref="P212">INT(SUMPRODUCT(--ISNUMBER(SEARCH(foreign,C212)))&gt;0)</f>
        <v>0</v>
      </c>
      <c r="Q212" s="14" cm="1">
        <f t="array" ref="Q212">INT(SUMPRODUCT(--ISNUMBER(SEARCH(gun,C212)))&gt;0)</f>
        <v>0</v>
      </c>
      <c r="R212" s="14" cm="1">
        <f t="array" ref="R212">INT(SUMPRODUCT(--ISNUMBER(SEARCH(race,C212)))&gt;0)</f>
        <v>0</v>
      </c>
      <c r="S212" s="14" cm="1">
        <f t="array" ref="S212">INT(SUMPRODUCT(--ISNUMBER(SEARCH(immigration,C212)))&gt;0)</f>
        <v>0</v>
      </c>
      <c r="T212" s="14" cm="1">
        <f t="array" ref="T212">INT(SUMPRODUCT(--ISNUMBER(SEARCH(econineq,C213)))&gt;0)</f>
        <v>0</v>
      </c>
      <c r="U212" s="14" cm="1">
        <f t="array" ref="U212">INT(SUMPRODUCT(--ISNUMBER(SEARCH(climate,C212)))&gt;0)</f>
        <v>0</v>
      </c>
      <c r="V212" s="14" cm="1">
        <f t="array" ref="V212">INT(SUMPRODUCT(--ISNUMBER(SEARCH(abortion,C212)))&gt;0)</f>
        <v>0</v>
      </c>
      <c r="W212" s="14" cm="1">
        <f t="array" ref="W212">INT(SUMPRODUCT(--ISNUMBER(SEARCH(trump,C212)))&gt;0)</f>
        <v>0</v>
      </c>
      <c r="X212" s="14" cm="1">
        <f t="array" ref="X212">INT(SUMPRODUCT(--ISNUMBER(SEARCH(voting,C212)))&gt;0)</f>
        <v>0</v>
      </c>
      <c r="Y212" s="14" cm="1">
        <f t="array" ref="Y212">INT(SUMPRODUCT(--ISNUMBER(SEARCH(republicantrigger,C212)))&gt;0)</f>
        <v>0</v>
      </c>
      <c r="Z212" s="14" cm="1">
        <f t="array" ref="Z212">INT(SUMPRODUCT(--ISNUMBER(SEARCH(bipartisan,C212)))&gt;0)</f>
        <v>0</v>
      </c>
      <c r="AA212" s="14">
        <f t="shared" si="3"/>
        <v>1</v>
      </c>
      <c r="AB212" s="14"/>
      <c r="AC212" s="30">
        <v>1</v>
      </c>
      <c r="AD212" s="37">
        <v>0</v>
      </c>
    </row>
    <row r="213" spans="1:30" x14ac:dyDescent="0.25">
      <c r="A213" s="36">
        <v>1420</v>
      </c>
      <c r="B213" s="14" t="s">
        <v>2867</v>
      </c>
      <c r="C213" s="14" t="s">
        <v>2868</v>
      </c>
      <c r="D213" s="17">
        <v>44119</v>
      </c>
      <c r="E213" s="14" t="s">
        <v>30</v>
      </c>
      <c r="F213" s="14">
        <v>35</v>
      </c>
      <c r="G213" s="14">
        <v>4</v>
      </c>
      <c r="H213" s="14">
        <v>7</v>
      </c>
      <c r="I213" s="14">
        <v>4</v>
      </c>
      <c r="J213" s="14" t="s">
        <v>31</v>
      </c>
      <c r="K213" s="14" cm="1">
        <f t="array" ref="K213">INT(SUMPRODUCT(--ISNUMBER(SEARCH(economy,C213)))&gt;0)</f>
        <v>0</v>
      </c>
      <c r="L213" s="14" cm="1">
        <f t="array" ref="L213">INT(SUMPRODUCT(--ISNUMBER(SEARCH(healthcare,C213)))&gt;0)</f>
        <v>0</v>
      </c>
      <c r="M213" s="14" cm="1">
        <f t="array" ref="M213">INT(SUMPRODUCT(--ISNUMBER(SEARCH(supreme,C213)))&gt;0)</f>
        <v>0</v>
      </c>
      <c r="N213" s="14" cm="1">
        <f t="array" ref="N213">INT(SUMPRODUCT(--ISNUMBER(SEARCH(covid,C213)))&gt;0)</f>
        <v>0</v>
      </c>
      <c r="O213" s="14" cm="1">
        <f t="array" ref="O213">INT(SUMPRODUCT(--ISNUMBER(SEARCH(violent,C213)))&gt;0)</f>
        <v>0</v>
      </c>
      <c r="P213" s="14" cm="1">
        <f t="array" ref="P213">INT(SUMPRODUCT(--ISNUMBER(SEARCH(foreign,C213)))&gt;0)</f>
        <v>0</v>
      </c>
      <c r="Q213" s="14" cm="1">
        <f t="array" ref="Q213">INT(SUMPRODUCT(--ISNUMBER(SEARCH(gun,C213)))&gt;0)</f>
        <v>0</v>
      </c>
      <c r="R213" s="14" cm="1">
        <f t="array" ref="R213">INT(SUMPRODUCT(--ISNUMBER(SEARCH(race,C213)))&gt;0)</f>
        <v>0</v>
      </c>
      <c r="S213" s="14" cm="1">
        <f t="array" ref="S213">INT(SUMPRODUCT(--ISNUMBER(SEARCH(immigration,C213)))&gt;0)</f>
        <v>0</v>
      </c>
      <c r="T213" s="14" cm="1">
        <f t="array" ref="T213">INT(SUMPRODUCT(--ISNUMBER(SEARCH(econineq,C214)))&gt;0)</f>
        <v>0</v>
      </c>
      <c r="U213" s="14" cm="1">
        <f t="array" ref="U213">INT(SUMPRODUCT(--ISNUMBER(SEARCH(climate,C213)))&gt;0)</f>
        <v>0</v>
      </c>
      <c r="V213" s="14" cm="1">
        <f t="array" ref="V213">INT(SUMPRODUCT(--ISNUMBER(SEARCH(abortion,C213)))&gt;0)</f>
        <v>0</v>
      </c>
      <c r="W213" s="14" cm="1">
        <f t="array" ref="W213">INT(SUMPRODUCT(--ISNUMBER(SEARCH(trump,C213)))&gt;0)</f>
        <v>0</v>
      </c>
      <c r="X213" s="14" cm="1">
        <f t="array" ref="X213">INT(SUMPRODUCT(--ISNUMBER(SEARCH(voting,C213)))&gt;0)</f>
        <v>0</v>
      </c>
      <c r="Y213" s="14" cm="1">
        <f t="array" ref="Y213">INT(SUMPRODUCT(--ISNUMBER(SEARCH(republicantrigger,C213)))&gt;0)</f>
        <v>0</v>
      </c>
      <c r="Z213" s="14" cm="1">
        <f t="array" ref="Z213">INT(SUMPRODUCT(--ISNUMBER(SEARCH(bipartisan,C213)))&gt;0)</f>
        <v>0</v>
      </c>
      <c r="AA213" s="14">
        <f t="shared" si="3"/>
        <v>1</v>
      </c>
      <c r="AB213" s="14"/>
      <c r="AC213" s="30">
        <v>0</v>
      </c>
      <c r="AD213" s="37">
        <v>1</v>
      </c>
    </row>
    <row r="214" spans="1:30" x14ac:dyDescent="0.25">
      <c r="A214" s="36">
        <v>1421</v>
      </c>
      <c r="B214" s="14" t="s">
        <v>2869</v>
      </c>
      <c r="C214" s="14" t="s">
        <v>2870</v>
      </c>
      <c r="D214" s="17">
        <v>44119</v>
      </c>
      <c r="E214" s="14" t="s">
        <v>30</v>
      </c>
      <c r="F214" s="14">
        <v>16</v>
      </c>
      <c r="G214" s="14">
        <v>1</v>
      </c>
      <c r="H214" s="14">
        <v>7</v>
      </c>
      <c r="I214" s="14">
        <v>4</v>
      </c>
      <c r="J214" s="14" t="s">
        <v>31</v>
      </c>
      <c r="K214" s="14" cm="1">
        <f t="array" ref="K214">INT(SUMPRODUCT(--ISNUMBER(SEARCH(economy,C214)))&gt;0)</f>
        <v>0</v>
      </c>
      <c r="L214" s="14" cm="1">
        <f t="array" ref="L214">INT(SUMPRODUCT(--ISNUMBER(SEARCH(healthcare,C214)))&gt;0)</f>
        <v>0</v>
      </c>
      <c r="M214" s="14" cm="1">
        <f t="array" ref="M214">INT(SUMPRODUCT(--ISNUMBER(SEARCH(supreme,C214)))&gt;0)</f>
        <v>0</v>
      </c>
      <c r="N214" s="14" cm="1">
        <f t="array" ref="N214">INT(SUMPRODUCT(--ISNUMBER(SEARCH(covid,C214)))&gt;0)</f>
        <v>0</v>
      </c>
      <c r="O214" s="14" cm="1">
        <f t="array" ref="O214">INT(SUMPRODUCT(--ISNUMBER(SEARCH(violent,C214)))&gt;0)</f>
        <v>0</v>
      </c>
      <c r="P214" s="14" cm="1">
        <f t="array" ref="P214">INT(SUMPRODUCT(--ISNUMBER(SEARCH(foreign,C214)))&gt;0)</f>
        <v>0</v>
      </c>
      <c r="Q214" s="14" cm="1">
        <f t="array" ref="Q214">INT(SUMPRODUCT(--ISNUMBER(SEARCH(gun,C214)))&gt;0)</f>
        <v>0</v>
      </c>
      <c r="R214" s="14" cm="1">
        <f t="array" ref="R214">INT(SUMPRODUCT(--ISNUMBER(SEARCH(race,C214)))&gt;0)</f>
        <v>0</v>
      </c>
      <c r="S214" s="14" cm="1">
        <f t="array" ref="S214">INT(SUMPRODUCT(--ISNUMBER(SEARCH(immigration,C214)))&gt;0)</f>
        <v>0</v>
      </c>
      <c r="T214" s="14" cm="1">
        <f t="array" ref="T214">INT(SUMPRODUCT(--ISNUMBER(SEARCH(econineq,C215)))&gt;0)</f>
        <v>0</v>
      </c>
      <c r="U214" s="14" cm="1">
        <f t="array" ref="U214">INT(SUMPRODUCT(--ISNUMBER(SEARCH(climate,C214)))&gt;0)</f>
        <v>0</v>
      </c>
      <c r="V214" s="14" cm="1">
        <f t="array" ref="V214">INT(SUMPRODUCT(--ISNUMBER(SEARCH(abortion,C214)))&gt;0)</f>
        <v>0</v>
      </c>
      <c r="W214" s="14" cm="1">
        <f t="array" ref="W214">INT(SUMPRODUCT(--ISNUMBER(SEARCH(trump,C214)))&gt;0)</f>
        <v>0</v>
      </c>
      <c r="X214" s="14" cm="1">
        <f t="array" ref="X214">INT(SUMPRODUCT(--ISNUMBER(SEARCH(voting,C214)))&gt;0)</f>
        <v>0</v>
      </c>
      <c r="Y214" s="14" cm="1">
        <f t="array" ref="Y214">INT(SUMPRODUCT(--ISNUMBER(SEARCH(republicantrigger,C214)))&gt;0)</f>
        <v>0</v>
      </c>
      <c r="Z214" s="14" cm="1">
        <f t="array" ref="Z214">INT(SUMPRODUCT(--ISNUMBER(SEARCH(bipartisan,C214)))&gt;0)</f>
        <v>0</v>
      </c>
      <c r="AA214" s="14">
        <f t="shared" si="3"/>
        <v>1</v>
      </c>
      <c r="AB214" s="14"/>
      <c r="AC214" s="30">
        <v>1</v>
      </c>
      <c r="AD214" s="37">
        <v>0</v>
      </c>
    </row>
    <row r="215" spans="1:30" x14ac:dyDescent="0.25">
      <c r="A215" s="36">
        <v>1422</v>
      </c>
      <c r="B215" s="14" t="s">
        <v>2871</v>
      </c>
      <c r="C215" s="14" t="s">
        <v>2872</v>
      </c>
      <c r="D215" s="17">
        <v>44119</v>
      </c>
      <c r="E215" s="14" t="s">
        <v>30</v>
      </c>
      <c r="F215" s="14">
        <v>38</v>
      </c>
      <c r="G215" s="14">
        <v>6</v>
      </c>
      <c r="H215" s="14">
        <v>7</v>
      </c>
      <c r="I215" s="14">
        <v>4</v>
      </c>
      <c r="J215" s="14" t="s">
        <v>31</v>
      </c>
      <c r="K215" s="14" cm="1">
        <f t="array" ref="K215">INT(SUMPRODUCT(--ISNUMBER(SEARCH(economy,C215)))&gt;0)</f>
        <v>1</v>
      </c>
      <c r="L215" s="14" cm="1">
        <f t="array" ref="L215">INT(SUMPRODUCT(--ISNUMBER(SEARCH(healthcare,C215)))&gt;0)</f>
        <v>0</v>
      </c>
      <c r="M215" s="14" cm="1">
        <f t="array" ref="M215">INT(SUMPRODUCT(--ISNUMBER(SEARCH(supreme,C215)))&gt;0)</f>
        <v>0</v>
      </c>
      <c r="N215" s="14" cm="1">
        <f t="array" ref="N215">INT(SUMPRODUCT(--ISNUMBER(SEARCH(covid,C215)))&gt;0)</f>
        <v>0</v>
      </c>
      <c r="O215" s="14" cm="1">
        <f t="array" ref="O215">INT(SUMPRODUCT(--ISNUMBER(SEARCH(violent,C215)))&gt;0)</f>
        <v>0</v>
      </c>
      <c r="P215" s="14" cm="1">
        <f t="array" ref="P215">INT(SUMPRODUCT(--ISNUMBER(SEARCH(foreign,C215)))&gt;0)</f>
        <v>0</v>
      </c>
      <c r="Q215" s="14" cm="1">
        <f t="array" ref="Q215">INT(SUMPRODUCT(--ISNUMBER(SEARCH(gun,C215)))&gt;0)</f>
        <v>0</v>
      </c>
      <c r="R215" s="14" cm="1">
        <f t="array" ref="R215">INT(SUMPRODUCT(--ISNUMBER(SEARCH(race,C215)))&gt;0)</f>
        <v>0</v>
      </c>
      <c r="S215" s="14" cm="1">
        <f t="array" ref="S215">INT(SUMPRODUCT(--ISNUMBER(SEARCH(immigration,C215)))&gt;0)</f>
        <v>0</v>
      </c>
      <c r="T215" s="14" cm="1">
        <f t="array" ref="T215">INT(SUMPRODUCT(--ISNUMBER(SEARCH(econineq,C216)))&gt;0)</f>
        <v>0</v>
      </c>
      <c r="U215" s="14" cm="1">
        <f t="array" ref="U215">INT(SUMPRODUCT(--ISNUMBER(SEARCH(climate,C215)))&gt;0)</f>
        <v>0</v>
      </c>
      <c r="V215" s="14" cm="1">
        <f t="array" ref="V215">INT(SUMPRODUCT(--ISNUMBER(SEARCH(abortion,C215)))&gt;0)</f>
        <v>0</v>
      </c>
      <c r="W215" s="14" cm="1">
        <f t="array" ref="W215">INT(SUMPRODUCT(--ISNUMBER(SEARCH(trump,C215)))&gt;0)</f>
        <v>0</v>
      </c>
      <c r="X215" s="14" cm="1">
        <f t="array" ref="X215">INT(SUMPRODUCT(--ISNUMBER(SEARCH(voting,C215)))&gt;0)</f>
        <v>0</v>
      </c>
      <c r="Y215" s="14" cm="1">
        <f t="array" ref="Y215">INT(SUMPRODUCT(--ISNUMBER(SEARCH(republicantrigger,C215)))&gt;0)</f>
        <v>0</v>
      </c>
      <c r="Z215" s="14" cm="1">
        <f t="array" ref="Z215">INT(SUMPRODUCT(--ISNUMBER(SEARCH(bipartisan,C215)))&gt;0)</f>
        <v>0</v>
      </c>
      <c r="AA215" s="14">
        <f t="shared" si="3"/>
        <v>0</v>
      </c>
      <c r="AB215" s="14"/>
      <c r="AC215" s="30">
        <v>0</v>
      </c>
      <c r="AD215" s="37">
        <v>1</v>
      </c>
    </row>
    <row r="216" spans="1:30" x14ac:dyDescent="0.25">
      <c r="A216" s="36">
        <v>1423</v>
      </c>
      <c r="B216" s="14" t="s">
        <v>2873</v>
      </c>
      <c r="C216" s="14" t="s">
        <v>2874</v>
      </c>
      <c r="D216" s="17">
        <v>44119</v>
      </c>
      <c r="E216" s="14" t="s">
        <v>30</v>
      </c>
      <c r="F216" s="14">
        <v>45</v>
      </c>
      <c r="G216" s="14">
        <v>3</v>
      </c>
      <c r="H216" s="14">
        <v>7</v>
      </c>
      <c r="I216" s="14">
        <v>4</v>
      </c>
      <c r="J216" s="14" t="s">
        <v>31</v>
      </c>
      <c r="K216" s="14" cm="1">
        <f t="array" ref="K216">INT(SUMPRODUCT(--ISNUMBER(SEARCH(economy,C216)))&gt;0)</f>
        <v>0</v>
      </c>
      <c r="L216" s="14" cm="1">
        <f t="array" ref="L216">INT(SUMPRODUCT(--ISNUMBER(SEARCH(healthcare,C216)))&gt;0)</f>
        <v>0</v>
      </c>
      <c r="M216" s="14" cm="1">
        <f t="array" ref="M216">INT(SUMPRODUCT(--ISNUMBER(SEARCH(supreme,C216)))&gt;0)</f>
        <v>0</v>
      </c>
      <c r="N216" s="14" cm="1">
        <f t="array" ref="N216">INT(SUMPRODUCT(--ISNUMBER(SEARCH(covid,C216)))&gt;0)</f>
        <v>0</v>
      </c>
      <c r="O216" s="14" cm="1">
        <f t="array" ref="O216">INT(SUMPRODUCT(--ISNUMBER(SEARCH(violent,C216)))&gt;0)</f>
        <v>0</v>
      </c>
      <c r="P216" s="14" cm="1">
        <f t="array" ref="P216">INT(SUMPRODUCT(--ISNUMBER(SEARCH(foreign,C216)))&gt;0)</f>
        <v>0</v>
      </c>
      <c r="Q216" s="14" cm="1">
        <f t="array" ref="Q216">INT(SUMPRODUCT(--ISNUMBER(SEARCH(gun,C216)))&gt;0)</f>
        <v>0</v>
      </c>
      <c r="R216" s="14" cm="1">
        <f t="array" ref="R216">INT(SUMPRODUCT(--ISNUMBER(SEARCH(race,C216)))&gt;0)</f>
        <v>0</v>
      </c>
      <c r="S216" s="14" cm="1">
        <f t="array" ref="S216">INT(SUMPRODUCT(--ISNUMBER(SEARCH(immigration,C216)))&gt;0)</f>
        <v>0</v>
      </c>
      <c r="T216" s="14" cm="1">
        <f t="array" ref="T216">INT(SUMPRODUCT(--ISNUMBER(SEARCH(econineq,C217)))&gt;0)</f>
        <v>0</v>
      </c>
      <c r="U216" s="14" cm="1">
        <f t="array" ref="U216">INT(SUMPRODUCT(--ISNUMBER(SEARCH(climate,C216)))&gt;0)</f>
        <v>0</v>
      </c>
      <c r="V216" s="14" cm="1">
        <f t="array" ref="V216">INT(SUMPRODUCT(--ISNUMBER(SEARCH(abortion,C216)))&gt;0)</f>
        <v>0</v>
      </c>
      <c r="W216" s="14" cm="1">
        <f t="array" ref="W216">INT(SUMPRODUCT(--ISNUMBER(SEARCH(trump,C216)))&gt;0)</f>
        <v>0</v>
      </c>
      <c r="X216" s="14" cm="1">
        <f t="array" ref="X216">INT(SUMPRODUCT(--ISNUMBER(SEARCH(voting,C216)))&gt;0)</f>
        <v>0</v>
      </c>
      <c r="Y216" s="14" cm="1">
        <f t="array" ref="Y216">INT(SUMPRODUCT(--ISNUMBER(SEARCH(republicantrigger,C216)))&gt;0)</f>
        <v>0</v>
      </c>
      <c r="Z216" s="14" cm="1">
        <f t="array" ref="Z216">INT(SUMPRODUCT(--ISNUMBER(SEARCH(bipartisan,C216)))&gt;0)</f>
        <v>0</v>
      </c>
      <c r="AA216" s="14">
        <f t="shared" si="3"/>
        <v>1</v>
      </c>
      <c r="AB216" s="14"/>
      <c r="AC216" s="30">
        <v>0</v>
      </c>
      <c r="AD216" s="37">
        <v>1</v>
      </c>
    </row>
    <row r="217" spans="1:30" x14ac:dyDescent="0.25">
      <c r="A217" s="36">
        <v>1424</v>
      </c>
      <c r="B217" s="14" t="s">
        <v>2875</v>
      </c>
      <c r="C217" s="14" t="s">
        <v>2876</v>
      </c>
      <c r="D217" s="17">
        <v>44119</v>
      </c>
      <c r="E217" s="14" t="s">
        <v>30</v>
      </c>
      <c r="F217" s="14">
        <v>36</v>
      </c>
      <c r="G217" s="14">
        <v>11</v>
      </c>
      <c r="H217" s="14">
        <v>7</v>
      </c>
      <c r="I217" s="14">
        <v>4</v>
      </c>
      <c r="J217" s="14" t="s">
        <v>31</v>
      </c>
      <c r="K217" s="14" cm="1">
        <f t="array" ref="K217">INT(SUMPRODUCT(--ISNUMBER(SEARCH(economy,C217)))&gt;0)</f>
        <v>0</v>
      </c>
      <c r="L217" s="14" cm="1">
        <f t="array" ref="L217">INT(SUMPRODUCT(--ISNUMBER(SEARCH(healthcare,C217)))&gt;0)</f>
        <v>0</v>
      </c>
      <c r="M217" s="14" cm="1">
        <f t="array" ref="M217">INT(SUMPRODUCT(--ISNUMBER(SEARCH(supreme,C217)))&gt;0)</f>
        <v>0</v>
      </c>
      <c r="N217" s="14" cm="1">
        <f t="array" ref="N217">INT(SUMPRODUCT(--ISNUMBER(SEARCH(covid,C217)))&gt;0)</f>
        <v>0</v>
      </c>
      <c r="O217" s="14" cm="1">
        <f t="array" ref="O217">INT(SUMPRODUCT(--ISNUMBER(SEARCH(violent,C217)))&gt;0)</f>
        <v>0</v>
      </c>
      <c r="P217" s="14" cm="1">
        <f t="array" ref="P217">INT(SUMPRODUCT(--ISNUMBER(SEARCH(foreign,C217)))&gt;0)</f>
        <v>0</v>
      </c>
      <c r="Q217" s="14" cm="1">
        <f t="array" ref="Q217">INT(SUMPRODUCT(--ISNUMBER(SEARCH(gun,C217)))&gt;0)</f>
        <v>0</v>
      </c>
      <c r="R217" s="14" cm="1">
        <f t="array" ref="R217">INT(SUMPRODUCT(--ISNUMBER(SEARCH(race,C217)))&gt;0)</f>
        <v>0</v>
      </c>
      <c r="S217" s="14" cm="1">
        <f t="array" ref="S217">INT(SUMPRODUCT(--ISNUMBER(SEARCH(immigration,C217)))&gt;0)</f>
        <v>0</v>
      </c>
      <c r="T217" s="14" cm="1">
        <f t="array" ref="T217">INT(SUMPRODUCT(--ISNUMBER(SEARCH(econineq,C218)))&gt;0)</f>
        <v>1</v>
      </c>
      <c r="U217" s="14" cm="1">
        <f t="array" ref="U217">INT(SUMPRODUCT(--ISNUMBER(SEARCH(climate,C217)))&gt;0)</f>
        <v>0</v>
      </c>
      <c r="V217" s="14" cm="1">
        <f t="array" ref="V217">INT(SUMPRODUCT(--ISNUMBER(SEARCH(abortion,C217)))&gt;0)</f>
        <v>0</v>
      </c>
      <c r="W217" s="14" cm="1">
        <f t="array" ref="W217">INT(SUMPRODUCT(--ISNUMBER(SEARCH(trump,C217)))&gt;0)</f>
        <v>0</v>
      </c>
      <c r="X217" s="14" cm="1">
        <f t="array" ref="X217">INT(SUMPRODUCT(--ISNUMBER(SEARCH(voting,C217)))&gt;0)</f>
        <v>0</v>
      </c>
      <c r="Y217" s="14" cm="1">
        <f t="array" ref="Y217">INT(SUMPRODUCT(--ISNUMBER(SEARCH(republicantrigger,C217)))&gt;0)</f>
        <v>0</v>
      </c>
      <c r="Z217" s="14" cm="1">
        <f t="array" ref="Z217">INT(SUMPRODUCT(--ISNUMBER(SEARCH(bipartisan,C217)))&gt;0)</f>
        <v>0</v>
      </c>
      <c r="AA217" s="14">
        <f t="shared" si="3"/>
        <v>0</v>
      </c>
      <c r="AB217" s="14"/>
      <c r="AC217" s="30">
        <v>1</v>
      </c>
      <c r="AD217" s="37">
        <v>0</v>
      </c>
    </row>
    <row r="218" spans="1:30" x14ac:dyDescent="0.25">
      <c r="A218" s="36">
        <v>1425</v>
      </c>
      <c r="B218" s="14" t="s">
        <v>2877</v>
      </c>
      <c r="C218" s="14" t="s">
        <v>2878</v>
      </c>
      <c r="D218" s="17">
        <v>44119</v>
      </c>
      <c r="E218" s="14" t="s">
        <v>30</v>
      </c>
      <c r="F218" s="14">
        <v>20</v>
      </c>
      <c r="G218" s="14">
        <v>7</v>
      </c>
      <c r="H218" s="14">
        <v>7</v>
      </c>
      <c r="I218" s="14">
        <v>4</v>
      </c>
      <c r="J218" s="14" t="s">
        <v>31</v>
      </c>
      <c r="K218" s="14" cm="1">
        <f t="array" ref="K218">INT(SUMPRODUCT(--ISNUMBER(SEARCH(economy,C218)))&gt;0)</f>
        <v>0</v>
      </c>
      <c r="L218" s="14" cm="1">
        <f t="array" ref="L218">INT(SUMPRODUCT(--ISNUMBER(SEARCH(healthcare,C218)))&gt;0)</f>
        <v>0</v>
      </c>
      <c r="M218" s="14" cm="1">
        <f t="array" ref="M218">INT(SUMPRODUCT(--ISNUMBER(SEARCH(supreme,C218)))&gt;0)</f>
        <v>0</v>
      </c>
      <c r="N218" s="14" cm="1">
        <f t="array" ref="N218">INT(SUMPRODUCT(--ISNUMBER(SEARCH(covid,C218)))&gt;0)</f>
        <v>0</v>
      </c>
      <c r="O218" s="14" cm="1">
        <f t="array" ref="O218">INT(SUMPRODUCT(--ISNUMBER(SEARCH(violent,C218)))&gt;0)</f>
        <v>0</v>
      </c>
      <c r="P218" s="14" cm="1">
        <f t="array" ref="P218">INT(SUMPRODUCT(--ISNUMBER(SEARCH(foreign,C218)))&gt;0)</f>
        <v>0</v>
      </c>
      <c r="Q218" s="14" cm="1">
        <f t="array" ref="Q218">INT(SUMPRODUCT(--ISNUMBER(SEARCH(gun,C218)))&gt;0)</f>
        <v>0</v>
      </c>
      <c r="R218" s="14" cm="1">
        <f t="array" ref="R218">INT(SUMPRODUCT(--ISNUMBER(SEARCH(race,C218)))&gt;0)</f>
        <v>0</v>
      </c>
      <c r="S218" s="14" cm="1">
        <f t="array" ref="S218">INT(SUMPRODUCT(--ISNUMBER(SEARCH(immigration,C218)))&gt;0)</f>
        <v>0</v>
      </c>
      <c r="T218" s="14" cm="1">
        <f t="array" ref="T218">INT(SUMPRODUCT(--ISNUMBER(SEARCH(econineq,C219)))&gt;0)</f>
        <v>0</v>
      </c>
      <c r="U218" s="14" cm="1">
        <f t="array" ref="U218">INT(SUMPRODUCT(--ISNUMBER(SEARCH(climate,C218)))&gt;0)</f>
        <v>1</v>
      </c>
      <c r="V218" s="14" cm="1">
        <f t="array" ref="V218">INT(SUMPRODUCT(--ISNUMBER(SEARCH(abortion,C218)))&gt;0)</f>
        <v>0</v>
      </c>
      <c r="W218" s="14" cm="1">
        <f t="array" ref="W218">INT(SUMPRODUCT(--ISNUMBER(SEARCH(trump,C218)))&gt;0)</f>
        <v>0</v>
      </c>
      <c r="X218" s="14" cm="1">
        <f t="array" ref="X218">INT(SUMPRODUCT(--ISNUMBER(SEARCH(voting,C218)))&gt;0)</f>
        <v>0</v>
      </c>
      <c r="Y218" s="14" cm="1">
        <f t="array" ref="Y218">INT(SUMPRODUCT(--ISNUMBER(SEARCH(republicantrigger,C218)))&gt;0)</f>
        <v>1</v>
      </c>
      <c r="Z218" s="14" cm="1">
        <f t="array" ref="Z218">INT(SUMPRODUCT(--ISNUMBER(SEARCH(bipartisan,C218)))&gt;0)</f>
        <v>0</v>
      </c>
      <c r="AA218" s="14">
        <f t="shared" si="3"/>
        <v>0</v>
      </c>
      <c r="AB218" s="14"/>
      <c r="AC218" s="30">
        <v>1</v>
      </c>
      <c r="AD218" s="37">
        <v>0</v>
      </c>
    </row>
    <row r="219" spans="1:30" x14ac:dyDescent="0.25">
      <c r="A219" s="36">
        <v>1426</v>
      </c>
      <c r="B219" s="14" t="s">
        <v>2879</v>
      </c>
      <c r="C219" s="14" t="s">
        <v>2880</v>
      </c>
      <c r="D219" s="17">
        <v>44118</v>
      </c>
      <c r="E219" s="14" t="s">
        <v>30</v>
      </c>
      <c r="F219" s="14">
        <v>41</v>
      </c>
      <c r="G219" s="14">
        <v>10</v>
      </c>
      <c r="H219" s="14">
        <v>7</v>
      </c>
      <c r="I219" s="14">
        <v>4</v>
      </c>
      <c r="J219" s="14" t="s">
        <v>31</v>
      </c>
      <c r="K219" s="14" cm="1">
        <f t="array" ref="K219">INT(SUMPRODUCT(--ISNUMBER(SEARCH(economy,C219)))&gt;0)</f>
        <v>0</v>
      </c>
      <c r="L219" s="14" cm="1">
        <f t="array" ref="L219">INT(SUMPRODUCT(--ISNUMBER(SEARCH(healthcare,C219)))&gt;0)</f>
        <v>0</v>
      </c>
      <c r="M219" s="14" cm="1">
        <f t="array" ref="M219">INT(SUMPRODUCT(--ISNUMBER(SEARCH(supreme,C219)))&gt;0)</f>
        <v>0</v>
      </c>
      <c r="N219" s="14" cm="1">
        <f t="array" ref="N219">INT(SUMPRODUCT(--ISNUMBER(SEARCH(covid,C219)))&gt;0)</f>
        <v>0</v>
      </c>
      <c r="O219" s="14" cm="1">
        <f t="array" ref="O219">INT(SUMPRODUCT(--ISNUMBER(SEARCH(violent,C219)))&gt;0)</f>
        <v>0</v>
      </c>
      <c r="P219" s="14" cm="1">
        <f t="array" ref="P219">INT(SUMPRODUCT(--ISNUMBER(SEARCH(foreign,C219)))&gt;0)</f>
        <v>0</v>
      </c>
      <c r="Q219" s="14" cm="1">
        <f t="array" ref="Q219">INT(SUMPRODUCT(--ISNUMBER(SEARCH(gun,C219)))&gt;0)</f>
        <v>0</v>
      </c>
      <c r="R219" s="14" cm="1">
        <f t="array" ref="R219">INT(SUMPRODUCT(--ISNUMBER(SEARCH(race,C219)))&gt;0)</f>
        <v>0</v>
      </c>
      <c r="S219" s="14" cm="1">
        <f t="array" ref="S219">INT(SUMPRODUCT(--ISNUMBER(SEARCH(immigration,C219)))&gt;0)</f>
        <v>0</v>
      </c>
      <c r="T219" s="14" cm="1">
        <f t="array" ref="T219">INT(SUMPRODUCT(--ISNUMBER(SEARCH(econineq,C220)))&gt;0)</f>
        <v>0</v>
      </c>
      <c r="U219" s="14" cm="1">
        <f t="array" ref="U219">INT(SUMPRODUCT(--ISNUMBER(SEARCH(climate,C219)))&gt;0)</f>
        <v>0</v>
      </c>
      <c r="V219" s="14" cm="1">
        <f t="array" ref="V219">INT(SUMPRODUCT(--ISNUMBER(SEARCH(abortion,C219)))&gt;0)</f>
        <v>0</v>
      </c>
      <c r="W219" s="14" cm="1">
        <f t="array" ref="W219">INT(SUMPRODUCT(--ISNUMBER(SEARCH(trump,C219)))&gt;0)</f>
        <v>0</v>
      </c>
      <c r="X219" s="14" cm="1">
        <f t="array" ref="X219">INT(SUMPRODUCT(--ISNUMBER(SEARCH(voting,C219)))&gt;0)</f>
        <v>1</v>
      </c>
      <c r="Y219" s="14" cm="1">
        <f t="array" ref="Y219">INT(SUMPRODUCT(--ISNUMBER(SEARCH(republicantrigger,C219)))&gt;0)</f>
        <v>0</v>
      </c>
      <c r="Z219" s="14" cm="1">
        <f t="array" ref="Z219">INT(SUMPRODUCT(--ISNUMBER(SEARCH(bipartisan,C219)))&gt;0)</f>
        <v>0</v>
      </c>
      <c r="AA219" s="14">
        <f t="shared" si="3"/>
        <v>0</v>
      </c>
      <c r="AB219" s="14"/>
      <c r="AC219" s="30">
        <v>0</v>
      </c>
      <c r="AD219" s="37">
        <v>0</v>
      </c>
    </row>
    <row r="220" spans="1:30" x14ac:dyDescent="0.25">
      <c r="A220" s="36">
        <v>1427</v>
      </c>
      <c r="B220" s="14" t="s">
        <v>2881</v>
      </c>
      <c r="C220" s="14" t="s">
        <v>2882</v>
      </c>
      <c r="D220" s="17">
        <v>44118</v>
      </c>
      <c r="E220" s="14" t="s">
        <v>30</v>
      </c>
      <c r="F220" s="14">
        <v>34</v>
      </c>
      <c r="G220" s="14">
        <v>23</v>
      </c>
      <c r="H220" s="14">
        <v>7</v>
      </c>
      <c r="I220" s="14">
        <v>4</v>
      </c>
      <c r="J220" s="14" t="s">
        <v>31</v>
      </c>
      <c r="K220" s="14" cm="1">
        <f t="array" ref="K220">INT(SUMPRODUCT(--ISNUMBER(SEARCH(economy,C220)))&gt;0)</f>
        <v>1</v>
      </c>
      <c r="L220" s="14" cm="1">
        <f t="array" ref="L220">INT(SUMPRODUCT(--ISNUMBER(SEARCH(healthcare,C220)))&gt;0)</f>
        <v>0</v>
      </c>
      <c r="M220" s="14" cm="1">
        <f t="array" ref="M220">INT(SUMPRODUCT(--ISNUMBER(SEARCH(supreme,C220)))&gt;0)</f>
        <v>0</v>
      </c>
      <c r="N220" s="14" cm="1">
        <f t="array" ref="N220">INT(SUMPRODUCT(--ISNUMBER(SEARCH(covid,C220)))&gt;0)</f>
        <v>0</v>
      </c>
      <c r="O220" s="14" cm="1">
        <f t="array" ref="O220">INT(SUMPRODUCT(--ISNUMBER(SEARCH(violent,C220)))&gt;0)</f>
        <v>0</v>
      </c>
      <c r="P220" s="14" cm="1">
        <f t="array" ref="P220">INT(SUMPRODUCT(--ISNUMBER(SEARCH(foreign,C220)))&gt;0)</f>
        <v>0</v>
      </c>
      <c r="Q220" s="14" cm="1">
        <f t="array" ref="Q220">INT(SUMPRODUCT(--ISNUMBER(SEARCH(gun,C220)))&gt;0)</f>
        <v>0</v>
      </c>
      <c r="R220" s="14" cm="1">
        <f t="array" ref="R220">INT(SUMPRODUCT(--ISNUMBER(SEARCH(race,C220)))&gt;0)</f>
        <v>0</v>
      </c>
      <c r="S220" s="14" cm="1">
        <f t="array" ref="S220">INT(SUMPRODUCT(--ISNUMBER(SEARCH(immigration,C220)))&gt;0)</f>
        <v>0</v>
      </c>
      <c r="T220" s="14" cm="1">
        <f t="array" ref="T220">INT(SUMPRODUCT(--ISNUMBER(SEARCH(econineq,C221)))&gt;0)</f>
        <v>0</v>
      </c>
      <c r="U220" s="14" cm="1">
        <f t="array" ref="U220">INT(SUMPRODUCT(--ISNUMBER(SEARCH(climate,C220)))&gt;0)</f>
        <v>0</v>
      </c>
      <c r="V220" s="14" cm="1">
        <f t="array" ref="V220">INT(SUMPRODUCT(--ISNUMBER(SEARCH(abortion,C220)))&gt;0)</f>
        <v>0</v>
      </c>
      <c r="W220" s="14" cm="1">
        <f t="array" ref="W220">INT(SUMPRODUCT(--ISNUMBER(SEARCH(trump,C220)))&gt;0)</f>
        <v>0</v>
      </c>
      <c r="X220" s="14" cm="1">
        <f t="array" ref="X220">INT(SUMPRODUCT(--ISNUMBER(SEARCH(voting,C220)))&gt;0)</f>
        <v>0</v>
      </c>
      <c r="Y220" s="14" cm="1">
        <f t="array" ref="Y220">INT(SUMPRODUCT(--ISNUMBER(SEARCH(republicantrigger,C220)))&gt;0)</f>
        <v>0</v>
      </c>
      <c r="Z220" s="14" cm="1">
        <f t="array" ref="Z220">INT(SUMPRODUCT(--ISNUMBER(SEARCH(bipartisan,C220)))&gt;0)</f>
        <v>0</v>
      </c>
      <c r="AA220" s="14">
        <f t="shared" si="3"/>
        <v>0</v>
      </c>
      <c r="AB220" s="14"/>
      <c r="AC220" s="30">
        <v>0</v>
      </c>
      <c r="AD220" s="37">
        <v>1</v>
      </c>
    </row>
    <row r="221" spans="1:30" x14ac:dyDescent="0.25">
      <c r="A221" s="36">
        <v>1428</v>
      </c>
      <c r="B221" s="14" t="s">
        <v>2883</v>
      </c>
      <c r="C221" s="14" t="s">
        <v>2884</v>
      </c>
      <c r="D221" s="17">
        <v>44118</v>
      </c>
      <c r="E221" s="14" t="s">
        <v>30</v>
      </c>
      <c r="F221" s="14">
        <v>28</v>
      </c>
      <c r="G221" s="14">
        <v>18</v>
      </c>
      <c r="H221" s="14">
        <v>7</v>
      </c>
      <c r="I221" s="14">
        <v>4</v>
      </c>
      <c r="J221" s="14" t="s">
        <v>31</v>
      </c>
      <c r="K221" s="14" cm="1">
        <f t="array" ref="K221">INT(SUMPRODUCT(--ISNUMBER(SEARCH(economy,C221)))&gt;0)</f>
        <v>1</v>
      </c>
      <c r="L221" s="14" cm="1">
        <f t="array" ref="L221">INT(SUMPRODUCT(--ISNUMBER(SEARCH(healthcare,C221)))&gt;0)</f>
        <v>0</v>
      </c>
      <c r="M221" s="14" cm="1">
        <f t="array" ref="M221">INT(SUMPRODUCT(--ISNUMBER(SEARCH(supreme,C221)))&gt;0)</f>
        <v>0</v>
      </c>
      <c r="N221" s="14" cm="1">
        <f t="array" ref="N221">INT(SUMPRODUCT(--ISNUMBER(SEARCH(covid,C221)))&gt;0)</f>
        <v>0</v>
      </c>
      <c r="O221" s="14" cm="1">
        <f t="array" ref="O221">INT(SUMPRODUCT(--ISNUMBER(SEARCH(violent,C221)))&gt;0)</f>
        <v>0</v>
      </c>
      <c r="P221" s="14" cm="1">
        <f t="array" ref="P221">INT(SUMPRODUCT(--ISNUMBER(SEARCH(foreign,C221)))&gt;0)</f>
        <v>0</v>
      </c>
      <c r="Q221" s="14" cm="1">
        <f t="array" ref="Q221">INT(SUMPRODUCT(--ISNUMBER(SEARCH(gun,C221)))&gt;0)</f>
        <v>0</v>
      </c>
      <c r="R221" s="14" cm="1">
        <f t="array" ref="R221">INT(SUMPRODUCT(--ISNUMBER(SEARCH(race,C221)))&gt;0)</f>
        <v>0</v>
      </c>
      <c r="S221" s="14" cm="1">
        <f t="array" ref="S221">INT(SUMPRODUCT(--ISNUMBER(SEARCH(immigration,C221)))&gt;0)</f>
        <v>0</v>
      </c>
      <c r="T221" s="14" cm="1">
        <f t="array" ref="T221">INT(SUMPRODUCT(--ISNUMBER(SEARCH(econineq,C222)))&gt;0)</f>
        <v>0</v>
      </c>
      <c r="U221" s="14" cm="1">
        <f t="array" ref="U221">INT(SUMPRODUCT(--ISNUMBER(SEARCH(climate,C221)))&gt;0)</f>
        <v>0</v>
      </c>
      <c r="V221" s="14" cm="1">
        <f t="array" ref="V221">INT(SUMPRODUCT(--ISNUMBER(SEARCH(abortion,C221)))&gt;0)</f>
        <v>0</v>
      </c>
      <c r="W221" s="14" cm="1">
        <f t="array" ref="W221">INT(SUMPRODUCT(--ISNUMBER(SEARCH(trump,C221)))&gt;0)</f>
        <v>1</v>
      </c>
      <c r="X221" s="14" cm="1">
        <f t="array" ref="X221">INT(SUMPRODUCT(--ISNUMBER(SEARCH(voting,C221)))&gt;0)</f>
        <v>0</v>
      </c>
      <c r="Y221" s="14" cm="1">
        <f t="array" ref="Y221">INT(SUMPRODUCT(--ISNUMBER(SEARCH(republicantrigger,C221)))&gt;0)</f>
        <v>0</v>
      </c>
      <c r="Z221" s="14" cm="1">
        <f t="array" ref="Z221">INT(SUMPRODUCT(--ISNUMBER(SEARCH(bipartisan,C221)))&gt;0)</f>
        <v>0</v>
      </c>
      <c r="AA221" s="14">
        <f t="shared" si="3"/>
        <v>0</v>
      </c>
      <c r="AB221" s="14"/>
      <c r="AC221" s="30">
        <v>0</v>
      </c>
      <c r="AD221" s="37">
        <v>0</v>
      </c>
    </row>
    <row r="222" spans="1:30" x14ac:dyDescent="0.25">
      <c r="A222" s="36">
        <v>1429</v>
      </c>
      <c r="B222" s="14" t="s">
        <v>2885</v>
      </c>
      <c r="C222" s="14" t="s">
        <v>2886</v>
      </c>
      <c r="D222" s="17">
        <v>44118</v>
      </c>
      <c r="E222" s="14" t="s">
        <v>30</v>
      </c>
      <c r="F222" s="14">
        <v>46</v>
      </c>
      <c r="G222" s="14">
        <v>13</v>
      </c>
      <c r="H222" s="14">
        <v>7</v>
      </c>
      <c r="I222" s="14">
        <v>4</v>
      </c>
      <c r="J222" s="14" t="s">
        <v>31</v>
      </c>
      <c r="K222" s="14" cm="1">
        <f t="array" ref="K222">INT(SUMPRODUCT(--ISNUMBER(SEARCH(economy,C222)))&gt;0)</f>
        <v>0</v>
      </c>
      <c r="L222" s="14" cm="1">
        <f t="array" ref="L222">INT(SUMPRODUCT(--ISNUMBER(SEARCH(healthcare,C222)))&gt;0)</f>
        <v>0</v>
      </c>
      <c r="M222" s="14" cm="1">
        <f t="array" ref="M222">INT(SUMPRODUCT(--ISNUMBER(SEARCH(supreme,C222)))&gt;0)</f>
        <v>0</v>
      </c>
      <c r="N222" s="14" cm="1">
        <f t="array" ref="N222">INT(SUMPRODUCT(--ISNUMBER(SEARCH(covid,C222)))&gt;0)</f>
        <v>0</v>
      </c>
      <c r="O222" s="14" cm="1">
        <f t="array" ref="O222">INT(SUMPRODUCT(--ISNUMBER(SEARCH(violent,C222)))&gt;0)</f>
        <v>0</v>
      </c>
      <c r="P222" s="14" cm="1">
        <f t="array" ref="P222">INT(SUMPRODUCT(--ISNUMBER(SEARCH(foreign,C222)))&gt;0)</f>
        <v>0</v>
      </c>
      <c r="Q222" s="14" cm="1">
        <f t="array" ref="Q222">INT(SUMPRODUCT(--ISNUMBER(SEARCH(gun,C222)))&gt;0)</f>
        <v>0</v>
      </c>
      <c r="R222" s="14" cm="1">
        <f t="array" ref="R222">INT(SUMPRODUCT(--ISNUMBER(SEARCH(race,C222)))&gt;0)</f>
        <v>0</v>
      </c>
      <c r="S222" s="14" cm="1">
        <f t="array" ref="S222">INT(SUMPRODUCT(--ISNUMBER(SEARCH(immigration,C222)))&gt;0)</f>
        <v>0</v>
      </c>
      <c r="T222" s="14" cm="1">
        <f t="array" ref="T222">INT(SUMPRODUCT(--ISNUMBER(SEARCH(econineq,C223)))&gt;0)</f>
        <v>0</v>
      </c>
      <c r="U222" s="14" cm="1">
        <f t="array" ref="U222">INT(SUMPRODUCT(--ISNUMBER(SEARCH(climate,C222)))&gt;0)</f>
        <v>0</v>
      </c>
      <c r="V222" s="14" cm="1">
        <f t="array" ref="V222">INT(SUMPRODUCT(--ISNUMBER(SEARCH(abortion,C222)))&gt;0)</f>
        <v>0</v>
      </c>
      <c r="W222" s="14" cm="1">
        <f t="array" ref="W222">INT(SUMPRODUCT(--ISNUMBER(SEARCH(trump,C222)))&gt;0)</f>
        <v>0</v>
      </c>
      <c r="X222" s="14" cm="1">
        <f t="array" ref="X222">INT(SUMPRODUCT(--ISNUMBER(SEARCH(voting,C222)))&gt;0)</f>
        <v>0</v>
      </c>
      <c r="Y222" s="14" cm="1">
        <f t="array" ref="Y222">INT(SUMPRODUCT(--ISNUMBER(SEARCH(republicantrigger,C222)))&gt;0)</f>
        <v>0</v>
      </c>
      <c r="Z222" s="14" cm="1">
        <f t="array" ref="Z222">INT(SUMPRODUCT(--ISNUMBER(SEARCH(bipartisan,C222)))&gt;0)</f>
        <v>1</v>
      </c>
      <c r="AA222" s="14">
        <f t="shared" si="3"/>
        <v>0</v>
      </c>
      <c r="AB222" s="14"/>
      <c r="AC222" s="30">
        <v>0</v>
      </c>
      <c r="AD222" s="37">
        <v>0</v>
      </c>
    </row>
    <row r="223" spans="1:30" x14ac:dyDescent="0.25">
      <c r="A223" s="36">
        <v>1430</v>
      </c>
      <c r="B223" s="14" t="s">
        <v>2887</v>
      </c>
      <c r="C223" s="14" t="s">
        <v>2888</v>
      </c>
      <c r="D223" s="17">
        <v>44118</v>
      </c>
      <c r="E223" s="14" t="s">
        <v>30</v>
      </c>
      <c r="F223" s="14">
        <v>27</v>
      </c>
      <c r="G223" s="14">
        <v>3</v>
      </c>
      <c r="H223" s="14">
        <v>7</v>
      </c>
      <c r="I223" s="14">
        <v>4</v>
      </c>
      <c r="J223" s="14" t="s">
        <v>31</v>
      </c>
      <c r="K223" s="14" cm="1">
        <f t="array" ref="K223">INT(SUMPRODUCT(--ISNUMBER(SEARCH(economy,C223)))&gt;0)</f>
        <v>0</v>
      </c>
      <c r="L223" s="14" cm="1">
        <f t="array" ref="L223">INT(SUMPRODUCT(--ISNUMBER(SEARCH(healthcare,C223)))&gt;0)</f>
        <v>0</v>
      </c>
      <c r="M223" s="14" cm="1">
        <f t="array" ref="M223">INT(SUMPRODUCT(--ISNUMBER(SEARCH(supreme,C223)))&gt;0)</f>
        <v>0</v>
      </c>
      <c r="N223" s="14" cm="1">
        <f t="array" ref="N223">INT(SUMPRODUCT(--ISNUMBER(SEARCH(covid,C223)))&gt;0)</f>
        <v>0</v>
      </c>
      <c r="O223" s="14" cm="1">
        <f t="array" ref="O223">INT(SUMPRODUCT(--ISNUMBER(SEARCH(violent,C223)))&gt;0)</f>
        <v>0</v>
      </c>
      <c r="P223" s="14" cm="1">
        <f t="array" ref="P223">INT(SUMPRODUCT(--ISNUMBER(SEARCH(foreign,C223)))&gt;0)</f>
        <v>0</v>
      </c>
      <c r="Q223" s="14" cm="1">
        <f t="array" ref="Q223">INT(SUMPRODUCT(--ISNUMBER(SEARCH(gun,C223)))&gt;0)</f>
        <v>0</v>
      </c>
      <c r="R223" s="14" cm="1">
        <f t="array" ref="R223">INT(SUMPRODUCT(--ISNUMBER(SEARCH(race,C223)))&gt;0)</f>
        <v>0</v>
      </c>
      <c r="S223" s="14" cm="1">
        <f t="array" ref="S223">INT(SUMPRODUCT(--ISNUMBER(SEARCH(immigration,C223)))&gt;0)</f>
        <v>0</v>
      </c>
      <c r="T223" s="14" cm="1">
        <f t="array" ref="T223">INT(SUMPRODUCT(--ISNUMBER(SEARCH(econineq,C224)))&gt;0)</f>
        <v>0</v>
      </c>
      <c r="U223" s="14" cm="1">
        <f t="array" ref="U223">INT(SUMPRODUCT(--ISNUMBER(SEARCH(climate,C223)))&gt;0)</f>
        <v>0</v>
      </c>
      <c r="V223" s="14" cm="1">
        <f t="array" ref="V223">INT(SUMPRODUCT(--ISNUMBER(SEARCH(abortion,C223)))&gt;0)</f>
        <v>0</v>
      </c>
      <c r="W223" s="14" cm="1">
        <f t="array" ref="W223">INT(SUMPRODUCT(--ISNUMBER(SEARCH(trump,C223)))&gt;0)</f>
        <v>0</v>
      </c>
      <c r="X223" s="14" cm="1">
        <f t="array" ref="X223">INT(SUMPRODUCT(--ISNUMBER(SEARCH(voting,C223)))&gt;0)</f>
        <v>0</v>
      </c>
      <c r="Y223" s="14" cm="1">
        <f t="array" ref="Y223">INT(SUMPRODUCT(--ISNUMBER(SEARCH(republicantrigger,C223)))&gt;0)</f>
        <v>0</v>
      </c>
      <c r="Z223" s="14" cm="1">
        <f t="array" ref="Z223">INT(SUMPRODUCT(--ISNUMBER(SEARCH(bipartisan,C223)))&gt;0)</f>
        <v>0</v>
      </c>
      <c r="AA223" s="14">
        <f t="shared" si="3"/>
        <v>1</v>
      </c>
      <c r="AB223" s="14"/>
      <c r="AC223" s="30">
        <v>1</v>
      </c>
      <c r="AD223" s="37">
        <v>0</v>
      </c>
    </row>
    <row r="224" spans="1:30" x14ac:dyDescent="0.25">
      <c r="A224" s="36">
        <v>1431</v>
      </c>
      <c r="B224" s="14" t="s">
        <v>2889</v>
      </c>
      <c r="C224" s="14" t="s">
        <v>2890</v>
      </c>
      <c r="D224" s="17">
        <v>44117</v>
      </c>
      <c r="E224" s="14" t="s">
        <v>30</v>
      </c>
      <c r="F224" s="14">
        <v>31</v>
      </c>
      <c r="G224" s="14">
        <v>5</v>
      </c>
      <c r="H224" s="14">
        <v>7</v>
      </c>
      <c r="I224" s="14">
        <v>4</v>
      </c>
      <c r="J224" s="14" t="s">
        <v>31</v>
      </c>
      <c r="K224" s="14" cm="1">
        <f t="array" ref="K224">INT(SUMPRODUCT(--ISNUMBER(SEARCH(economy,C224)))&gt;0)</f>
        <v>0</v>
      </c>
      <c r="L224" s="14" cm="1">
        <f t="array" ref="L224">INT(SUMPRODUCT(--ISNUMBER(SEARCH(healthcare,C224)))&gt;0)</f>
        <v>0</v>
      </c>
      <c r="M224" s="14" cm="1">
        <f t="array" ref="M224">INT(SUMPRODUCT(--ISNUMBER(SEARCH(supreme,C224)))&gt;0)</f>
        <v>0</v>
      </c>
      <c r="N224" s="14" cm="1">
        <f t="array" ref="N224">INT(SUMPRODUCT(--ISNUMBER(SEARCH(covid,C224)))&gt;0)</f>
        <v>0</v>
      </c>
      <c r="O224" s="14" cm="1">
        <f t="array" ref="O224">INT(SUMPRODUCT(--ISNUMBER(SEARCH(violent,C224)))&gt;0)</f>
        <v>0</v>
      </c>
      <c r="P224" s="14" cm="1">
        <f t="array" ref="P224">INT(SUMPRODUCT(--ISNUMBER(SEARCH(foreign,C224)))&gt;0)</f>
        <v>0</v>
      </c>
      <c r="Q224" s="14" cm="1">
        <f t="array" ref="Q224">INT(SUMPRODUCT(--ISNUMBER(SEARCH(gun,C224)))&gt;0)</f>
        <v>0</v>
      </c>
      <c r="R224" s="14" cm="1">
        <f t="array" ref="R224">INT(SUMPRODUCT(--ISNUMBER(SEARCH(race,C224)))&gt;0)</f>
        <v>0</v>
      </c>
      <c r="S224" s="14" cm="1">
        <f t="array" ref="S224">INT(SUMPRODUCT(--ISNUMBER(SEARCH(immigration,C224)))&gt;0)</f>
        <v>0</v>
      </c>
      <c r="T224" s="14" cm="1">
        <f t="array" ref="T224">INT(SUMPRODUCT(--ISNUMBER(SEARCH(econineq,C225)))&gt;0)</f>
        <v>0</v>
      </c>
      <c r="U224" s="14" cm="1">
        <f t="array" ref="U224">INT(SUMPRODUCT(--ISNUMBER(SEARCH(climate,C224)))&gt;0)</f>
        <v>0</v>
      </c>
      <c r="V224" s="14" cm="1">
        <f t="array" ref="V224">INT(SUMPRODUCT(--ISNUMBER(SEARCH(abortion,C224)))&gt;0)</f>
        <v>0</v>
      </c>
      <c r="W224" s="14" cm="1">
        <f t="array" ref="W224">INT(SUMPRODUCT(--ISNUMBER(SEARCH(trump,C224)))&gt;0)</f>
        <v>0</v>
      </c>
      <c r="X224" s="14" cm="1">
        <f t="array" ref="X224">INT(SUMPRODUCT(--ISNUMBER(SEARCH(voting,C224)))&gt;0)</f>
        <v>0</v>
      </c>
      <c r="Y224" s="14" cm="1">
        <f t="array" ref="Y224">INT(SUMPRODUCT(--ISNUMBER(SEARCH(republicantrigger,C224)))&gt;0)</f>
        <v>0</v>
      </c>
      <c r="Z224" s="14" cm="1">
        <f t="array" ref="Z224">INT(SUMPRODUCT(--ISNUMBER(SEARCH(bipartisan,C224)))&gt;0)</f>
        <v>0</v>
      </c>
      <c r="AA224" s="14">
        <f t="shared" si="3"/>
        <v>1</v>
      </c>
      <c r="AB224" s="14"/>
      <c r="AC224" s="30">
        <v>0</v>
      </c>
      <c r="AD224" s="37">
        <v>0</v>
      </c>
    </row>
    <row r="225" spans="1:30" x14ac:dyDescent="0.25">
      <c r="A225" s="36">
        <v>1432</v>
      </c>
      <c r="B225" s="14" t="s">
        <v>2891</v>
      </c>
      <c r="C225" s="14" t="s">
        <v>2892</v>
      </c>
      <c r="D225" s="17">
        <v>44117</v>
      </c>
      <c r="E225" s="14" t="s">
        <v>30</v>
      </c>
      <c r="F225" s="14">
        <v>32</v>
      </c>
      <c r="G225" s="14">
        <v>8</v>
      </c>
      <c r="H225" s="14">
        <v>7</v>
      </c>
      <c r="I225" s="14">
        <v>4</v>
      </c>
      <c r="J225" s="14" t="s">
        <v>31</v>
      </c>
      <c r="K225" s="14" cm="1">
        <f t="array" ref="K225">INT(SUMPRODUCT(--ISNUMBER(SEARCH(economy,C225)))&gt;0)</f>
        <v>1</v>
      </c>
      <c r="L225" s="14" cm="1">
        <f t="array" ref="L225">INT(SUMPRODUCT(--ISNUMBER(SEARCH(healthcare,C225)))&gt;0)</f>
        <v>0</v>
      </c>
      <c r="M225" s="14" cm="1">
        <f t="array" ref="M225">INT(SUMPRODUCT(--ISNUMBER(SEARCH(supreme,C225)))&gt;0)</f>
        <v>0</v>
      </c>
      <c r="N225" s="14" cm="1">
        <f t="array" ref="N225">INT(SUMPRODUCT(--ISNUMBER(SEARCH(covid,C225)))&gt;0)</f>
        <v>0</v>
      </c>
      <c r="O225" s="14" cm="1">
        <f t="array" ref="O225">INT(SUMPRODUCT(--ISNUMBER(SEARCH(violent,C225)))&gt;0)</f>
        <v>0</v>
      </c>
      <c r="P225" s="14" cm="1">
        <f t="array" ref="P225">INT(SUMPRODUCT(--ISNUMBER(SEARCH(foreign,C225)))&gt;0)</f>
        <v>0</v>
      </c>
      <c r="Q225" s="14" cm="1">
        <f t="array" ref="Q225">INT(SUMPRODUCT(--ISNUMBER(SEARCH(gun,C225)))&gt;0)</f>
        <v>0</v>
      </c>
      <c r="R225" s="14" cm="1">
        <f t="array" ref="R225">INT(SUMPRODUCT(--ISNUMBER(SEARCH(race,C225)))&gt;0)</f>
        <v>0</v>
      </c>
      <c r="S225" s="14" cm="1">
        <f t="array" ref="S225">INT(SUMPRODUCT(--ISNUMBER(SEARCH(immigration,C225)))&gt;0)</f>
        <v>0</v>
      </c>
      <c r="T225" s="14" cm="1">
        <f t="array" ref="T225">INT(SUMPRODUCT(--ISNUMBER(SEARCH(econineq,C226)))&gt;0)</f>
        <v>0</v>
      </c>
      <c r="U225" s="14" cm="1">
        <f t="array" ref="U225">INT(SUMPRODUCT(--ISNUMBER(SEARCH(climate,C225)))&gt;0)</f>
        <v>0</v>
      </c>
      <c r="V225" s="14" cm="1">
        <f t="array" ref="V225">INT(SUMPRODUCT(--ISNUMBER(SEARCH(abortion,C225)))&gt;0)</f>
        <v>0</v>
      </c>
      <c r="W225" s="14" cm="1">
        <f t="array" ref="W225">INT(SUMPRODUCT(--ISNUMBER(SEARCH(trump,C225)))&gt;0)</f>
        <v>0</v>
      </c>
      <c r="X225" s="14" cm="1">
        <f t="array" ref="X225">INT(SUMPRODUCT(--ISNUMBER(SEARCH(voting,C225)))&gt;0)</f>
        <v>0</v>
      </c>
      <c r="Y225" s="14" cm="1">
        <f t="array" ref="Y225">INT(SUMPRODUCT(--ISNUMBER(SEARCH(republicantrigger,C225)))&gt;0)</f>
        <v>0</v>
      </c>
      <c r="Z225" s="14" cm="1">
        <f t="array" ref="Z225">INT(SUMPRODUCT(--ISNUMBER(SEARCH(bipartisan,C225)))&gt;0)</f>
        <v>0</v>
      </c>
      <c r="AA225" s="14">
        <f t="shared" si="3"/>
        <v>0</v>
      </c>
      <c r="AB225" s="14"/>
      <c r="AC225" s="30">
        <v>1</v>
      </c>
      <c r="AD225" s="37">
        <v>0</v>
      </c>
    </row>
    <row r="226" spans="1:30" x14ac:dyDescent="0.25">
      <c r="A226" s="36">
        <v>1433</v>
      </c>
      <c r="B226" s="14" t="s">
        <v>2893</v>
      </c>
      <c r="C226" s="14" t="s">
        <v>2894</v>
      </c>
      <c r="D226" s="17">
        <v>44117</v>
      </c>
      <c r="E226" s="14" t="s">
        <v>30</v>
      </c>
      <c r="F226" s="14">
        <v>34</v>
      </c>
      <c r="G226" s="14">
        <v>9</v>
      </c>
      <c r="H226" s="14">
        <v>7</v>
      </c>
      <c r="I226" s="14">
        <v>4</v>
      </c>
      <c r="J226" s="14" t="s">
        <v>31</v>
      </c>
      <c r="K226" s="14" cm="1">
        <f t="array" ref="K226">INT(SUMPRODUCT(--ISNUMBER(SEARCH(economy,C226)))&gt;0)</f>
        <v>0</v>
      </c>
      <c r="L226" s="14" cm="1">
        <f t="array" ref="L226">INT(SUMPRODUCT(--ISNUMBER(SEARCH(healthcare,C226)))&gt;0)</f>
        <v>0</v>
      </c>
      <c r="M226" s="14" cm="1">
        <f t="array" ref="M226">INT(SUMPRODUCT(--ISNUMBER(SEARCH(supreme,C226)))&gt;0)</f>
        <v>0</v>
      </c>
      <c r="N226" s="14" cm="1">
        <f t="array" ref="N226">INT(SUMPRODUCT(--ISNUMBER(SEARCH(covid,C226)))&gt;0)</f>
        <v>0</v>
      </c>
      <c r="O226" s="14" cm="1">
        <f t="array" ref="O226">INT(SUMPRODUCT(--ISNUMBER(SEARCH(violent,C226)))&gt;0)</f>
        <v>0</v>
      </c>
      <c r="P226" s="14" cm="1">
        <f t="array" ref="P226">INT(SUMPRODUCT(--ISNUMBER(SEARCH(foreign,C226)))&gt;0)</f>
        <v>0</v>
      </c>
      <c r="Q226" s="14" cm="1">
        <f t="array" ref="Q226">INT(SUMPRODUCT(--ISNUMBER(SEARCH(gun,C226)))&gt;0)</f>
        <v>0</v>
      </c>
      <c r="R226" s="14" cm="1">
        <f t="array" ref="R226">INT(SUMPRODUCT(--ISNUMBER(SEARCH(race,C226)))&gt;0)</f>
        <v>0</v>
      </c>
      <c r="S226" s="14" cm="1">
        <f t="array" ref="S226">INT(SUMPRODUCT(--ISNUMBER(SEARCH(immigration,C226)))&gt;0)</f>
        <v>0</v>
      </c>
      <c r="T226" s="14" cm="1">
        <f t="array" ref="T226">INT(SUMPRODUCT(--ISNUMBER(SEARCH(econineq,C227)))&gt;0)</f>
        <v>0</v>
      </c>
      <c r="U226" s="14" cm="1">
        <f t="array" ref="U226">INT(SUMPRODUCT(--ISNUMBER(SEARCH(climate,C226)))&gt;0)</f>
        <v>0</v>
      </c>
      <c r="V226" s="14" cm="1">
        <f t="array" ref="V226">INT(SUMPRODUCT(--ISNUMBER(SEARCH(abortion,C226)))&gt;0)</f>
        <v>0</v>
      </c>
      <c r="W226" s="14" cm="1">
        <f t="array" ref="W226">INT(SUMPRODUCT(--ISNUMBER(SEARCH(trump,C226)))&gt;0)</f>
        <v>0</v>
      </c>
      <c r="X226" s="14" cm="1">
        <f t="array" ref="X226">INT(SUMPRODUCT(--ISNUMBER(SEARCH(voting,C226)))&gt;0)</f>
        <v>0</v>
      </c>
      <c r="Y226" s="14" cm="1">
        <f t="array" ref="Y226">INT(SUMPRODUCT(--ISNUMBER(SEARCH(republicantrigger,C226)))&gt;0)</f>
        <v>0</v>
      </c>
      <c r="Z226" s="14" cm="1">
        <f t="array" ref="Z226">INT(SUMPRODUCT(--ISNUMBER(SEARCH(bipartisan,C226)))&gt;0)</f>
        <v>0</v>
      </c>
      <c r="AA226" s="14">
        <f t="shared" si="3"/>
        <v>1</v>
      </c>
      <c r="AB226" s="14"/>
      <c r="AC226" s="30">
        <v>1</v>
      </c>
      <c r="AD226" s="37">
        <v>0</v>
      </c>
    </row>
    <row r="227" spans="1:30" x14ac:dyDescent="0.25">
      <c r="A227" s="36">
        <v>1434</v>
      </c>
      <c r="B227" s="14" t="s">
        <v>2895</v>
      </c>
      <c r="C227" s="14" t="s">
        <v>2896</v>
      </c>
      <c r="D227" s="17">
        <v>44117</v>
      </c>
      <c r="E227" s="14" t="s">
        <v>30</v>
      </c>
      <c r="F227" s="14">
        <v>25</v>
      </c>
      <c r="G227" s="14">
        <v>5</v>
      </c>
      <c r="H227" s="14">
        <v>7</v>
      </c>
      <c r="I227" s="14">
        <v>4</v>
      </c>
      <c r="J227" s="14" t="s">
        <v>31</v>
      </c>
      <c r="K227" s="14" cm="1">
        <f t="array" ref="K227">INT(SUMPRODUCT(--ISNUMBER(SEARCH(economy,C227)))&gt;0)</f>
        <v>0</v>
      </c>
      <c r="L227" s="14" cm="1">
        <f t="array" ref="L227">INT(SUMPRODUCT(--ISNUMBER(SEARCH(healthcare,C227)))&gt;0)</f>
        <v>0</v>
      </c>
      <c r="M227" s="14" cm="1">
        <f t="array" ref="M227">INT(SUMPRODUCT(--ISNUMBER(SEARCH(supreme,C227)))&gt;0)</f>
        <v>0</v>
      </c>
      <c r="N227" s="14" cm="1">
        <f t="array" ref="N227">INT(SUMPRODUCT(--ISNUMBER(SEARCH(covid,C227)))&gt;0)</f>
        <v>0</v>
      </c>
      <c r="O227" s="14" cm="1">
        <f t="array" ref="O227">INT(SUMPRODUCT(--ISNUMBER(SEARCH(violent,C227)))&gt;0)</f>
        <v>0</v>
      </c>
      <c r="P227" s="14" cm="1">
        <f t="array" ref="P227">INT(SUMPRODUCT(--ISNUMBER(SEARCH(foreign,C227)))&gt;0)</f>
        <v>0</v>
      </c>
      <c r="Q227" s="14" cm="1">
        <f t="array" ref="Q227">INT(SUMPRODUCT(--ISNUMBER(SEARCH(gun,C227)))&gt;0)</f>
        <v>0</v>
      </c>
      <c r="R227" s="14" cm="1">
        <f t="array" ref="R227">INT(SUMPRODUCT(--ISNUMBER(SEARCH(race,C227)))&gt;0)</f>
        <v>0</v>
      </c>
      <c r="S227" s="14" cm="1">
        <f t="array" ref="S227">INT(SUMPRODUCT(--ISNUMBER(SEARCH(immigration,C227)))&gt;0)</f>
        <v>0</v>
      </c>
      <c r="T227" s="14" cm="1">
        <f t="array" ref="T227">INT(SUMPRODUCT(--ISNUMBER(SEARCH(econineq,C228)))&gt;0)</f>
        <v>0</v>
      </c>
      <c r="U227" s="14" cm="1">
        <f t="array" ref="U227">INT(SUMPRODUCT(--ISNUMBER(SEARCH(climate,C227)))&gt;0)</f>
        <v>0</v>
      </c>
      <c r="V227" s="14" cm="1">
        <f t="array" ref="V227">INT(SUMPRODUCT(--ISNUMBER(SEARCH(abortion,C227)))&gt;0)</f>
        <v>0</v>
      </c>
      <c r="W227" s="14" cm="1">
        <f t="array" ref="W227">INT(SUMPRODUCT(--ISNUMBER(SEARCH(trump,C227)))&gt;0)</f>
        <v>0</v>
      </c>
      <c r="X227" s="14" cm="1">
        <f t="array" ref="X227">INT(SUMPRODUCT(--ISNUMBER(SEARCH(voting,C227)))&gt;0)</f>
        <v>0</v>
      </c>
      <c r="Y227" s="14" cm="1">
        <f t="array" ref="Y227">INT(SUMPRODUCT(--ISNUMBER(SEARCH(republicantrigger,C227)))&gt;0)</f>
        <v>0</v>
      </c>
      <c r="Z227" s="14" cm="1">
        <f t="array" ref="Z227">INT(SUMPRODUCT(--ISNUMBER(SEARCH(bipartisan,C227)))&gt;0)</f>
        <v>0</v>
      </c>
      <c r="AA227" s="14">
        <f t="shared" si="3"/>
        <v>1</v>
      </c>
      <c r="AB227" s="14"/>
      <c r="AC227" s="30">
        <v>1</v>
      </c>
      <c r="AD227" s="37">
        <v>1</v>
      </c>
    </row>
    <row r="228" spans="1:30" x14ac:dyDescent="0.25">
      <c r="A228" s="36">
        <v>1435</v>
      </c>
      <c r="B228" s="14" t="s">
        <v>2897</v>
      </c>
      <c r="C228" s="14" t="s">
        <v>2898</v>
      </c>
      <c r="D228" s="17">
        <v>44116</v>
      </c>
      <c r="E228" s="14" t="s">
        <v>30</v>
      </c>
      <c r="F228" s="14">
        <v>55</v>
      </c>
      <c r="G228" s="14">
        <v>22</v>
      </c>
      <c r="H228" s="14">
        <v>7</v>
      </c>
      <c r="I228" s="14">
        <v>4</v>
      </c>
      <c r="J228" s="14" t="s">
        <v>31</v>
      </c>
      <c r="K228" s="14" cm="1">
        <f t="array" ref="K228">INT(SUMPRODUCT(--ISNUMBER(SEARCH(economy,C228)))&gt;0)</f>
        <v>1</v>
      </c>
      <c r="L228" s="14" cm="1">
        <f t="array" ref="L228">INT(SUMPRODUCT(--ISNUMBER(SEARCH(healthcare,C228)))&gt;0)</f>
        <v>0</v>
      </c>
      <c r="M228" s="14" cm="1">
        <f t="array" ref="M228">INT(SUMPRODUCT(--ISNUMBER(SEARCH(supreme,C228)))&gt;0)</f>
        <v>0</v>
      </c>
      <c r="N228" s="14" cm="1">
        <f t="array" ref="N228">INT(SUMPRODUCT(--ISNUMBER(SEARCH(covid,C228)))&gt;0)</f>
        <v>0</v>
      </c>
      <c r="O228" s="14" cm="1">
        <f t="array" ref="O228">INT(SUMPRODUCT(--ISNUMBER(SEARCH(violent,C228)))&gt;0)</f>
        <v>0</v>
      </c>
      <c r="P228" s="14" cm="1">
        <f t="array" ref="P228">INT(SUMPRODUCT(--ISNUMBER(SEARCH(foreign,C228)))&gt;0)</f>
        <v>1</v>
      </c>
      <c r="Q228" s="14" cm="1">
        <f t="array" ref="Q228">INT(SUMPRODUCT(--ISNUMBER(SEARCH(gun,C228)))&gt;0)</f>
        <v>0</v>
      </c>
      <c r="R228" s="14" cm="1">
        <f t="array" ref="R228">INT(SUMPRODUCT(--ISNUMBER(SEARCH(race,C228)))&gt;0)</f>
        <v>1</v>
      </c>
      <c r="S228" s="14" cm="1">
        <f t="array" ref="S228">INT(SUMPRODUCT(--ISNUMBER(SEARCH(immigration,C228)))&gt;0)</f>
        <v>0</v>
      </c>
      <c r="T228" s="14" cm="1">
        <f t="array" ref="T228">INT(SUMPRODUCT(--ISNUMBER(SEARCH(econineq,C229)))&gt;0)</f>
        <v>0</v>
      </c>
      <c r="U228" s="14" cm="1">
        <f t="array" ref="U228">INT(SUMPRODUCT(--ISNUMBER(SEARCH(climate,C228)))&gt;0)</f>
        <v>0</v>
      </c>
      <c r="V228" s="14" cm="1">
        <f t="array" ref="V228">INT(SUMPRODUCT(--ISNUMBER(SEARCH(abortion,C228)))&gt;0)</f>
        <v>0</v>
      </c>
      <c r="W228" s="14" cm="1">
        <f t="array" ref="W228">INT(SUMPRODUCT(--ISNUMBER(SEARCH(trump,C228)))&gt;0)</f>
        <v>0</v>
      </c>
      <c r="X228" s="14" cm="1">
        <f t="array" ref="X228">INT(SUMPRODUCT(--ISNUMBER(SEARCH(voting,C228)))&gt;0)</f>
        <v>0</v>
      </c>
      <c r="Y228" s="14" cm="1">
        <f t="array" ref="Y228">INT(SUMPRODUCT(--ISNUMBER(SEARCH(republicantrigger,C228)))&gt;0)</f>
        <v>0</v>
      </c>
      <c r="Z228" s="14" cm="1">
        <f t="array" ref="Z228">INT(SUMPRODUCT(--ISNUMBER(SEARCH(bipartisan,C228)))&gt;0)</f>
        <v>0</v>
      </c>
      <c r="AA228" s="14">
        <f t="shared" si="3"/>
        <v>0</v>
      </c>
      <c r="AB228" s="14"/>
      <c r="AC228" s="30">
        <v>0</v>
      </c>
      <c r="AD228" s="37">
        <v>0</v>
      </c>
    </row>
    <row r="229" spans="1:30" x14ac:dyDescent="0.25">
      <c r="A229" s="36">
        <v>1436</v>
      </c>
      <c r="B229" s="14" t="s">
        <v>2899</v>
      </c>
      <c r="C229" s="14" t="s">
        <v>2900</v>
      </c>
      <c r="D229" s="17">
        <v>44116</v>
      </c>
      <c r="E229" s="14" t="s">
        <v>30</v>
      </c>
      <c r="F229" s="14">
        <v>103</v>
      </c>
      <c r="G229" s="14">
        <v>38</v>
      </c>
      <c r="H229" s="14">
        <v>7</v>
      </c>
      <c r="I229" s="14">
        <v>4</v>
      </c>
      <c r="J229" s="14" t="s">
        <v>31</v>
      </c>
      <c r="K229" s="14" cm="1">
        <f t="array" ref="K229">INT(SUMPRODUCT(--ISNUMBER(SEARCH(economy,C229)))&gt;0)</f>
        <v>0</v>
      </c>
      <c r="L229" s="14" cm="1">
        <f t="array" ref="L229">INT(SUMPRODUCT(--ISNUMBER(SEARCH(healthcare,C229)))&gt;0)</f>
        <v>0</v>
      </c>
      <c r="M229" s="14" cm="1">
        <f t="array" ref="M229">INT(SUMPRODUCT(--ISNUMBER(SEARCH(supreme,C229)))&gt;0)</f>
        <v>0</v>
      </c>
      <c r="N229" s="14" cm="1">
        <f t="array" ref="N229">INT(SUMPRODUCT(--ISNUMBER(SEARCH(covid,C229)))&gt;0)</f>
        <v>0</v>
      </c>
      <c r="O229" s="14" cm="1">
        <f t="array" ref="O229">INT(SUMPRODUCT(--ISNUMBER(SEARCH(violent,C229)))&gt;0)</f>
        <v>0</v>
      </c>
      <c r="P229" s="14" cm="1">
        <f t="array" ref="P229">INT(SUMPRODUCT(--ISNUMBER(SEARCH(foreign,C229)))&gt;0)</f>
        <v>0</v>
      </c>
      <c r="Q229" s="14" cm="1">
        <f t="array" ref="Q229">INT(SUMPRODUCT(--ISNUMBER(SEARCH(gun,C229)))&gt;0)</f>
        <v>0</v>
      </c>
      <c r="R229" s="14" cm="1">
        <f t="array" ref="R229">INT(SUMPRODUCT(--ISNUMBER(SEARCH(race,C229)))&gt;0)</f>
        <v>0</v>
      </c>
      <c r="S229" s="14" cm="1">
        <f t="array" ref="S229">INT(SUMPRODUCT(--ISNUMBER(SEARCH(immigration,C229)))&gt;0)</f>
        <v>0</v>
      </c>
      <c r="T229" s="14" cm="1">
        <f t="array" ref="T229">INT(SUMPRODUCT(--ISNUMBER(SEARCH(econineq,C230)))&gt;0)</f>
        <v>0</v>
      </c>
      <c r="U229" s="14" cm="1">
        <f t="array" ref="U229">INT(SUMPRODUCT(--ISNUMBER(SEARCH(climate,C229)))&gt;0)</f>
        <v>0</v>
      </c>
      <c r="V229" s="14" cm="1">
        <f t="array" ref="V229">INT(SUMPRODUCT(--ISNUMBER(SEARCH(abortion,C229)))&gt;0)</f>
        <v>0</v>
      </c>
      <c r="W229" s="14" cm="1">
        <f t="array" ref="W229">INT(SUMPRODUCT(--ISNUMBER(SEARCH(trump,C229)))&gt;0)</f>
        <v>0</v>
      </c>
      <c r="X229" s="14" cm="1">
        <f t="array" ref="X229">INT(SUMPRODUCT(--ISNUMBER(SEARCH(voting,C229)))&gt;0)</f>
        <v>0</v>
      </c>
      <c r="Y229" s="14" cm="1">
        <f t="array" ref="Y229">INT(SUMPRODUCT(--ISNUMBER(SEARCH(republicantrigger,C229)))&gt;0)</f>
        <v>0</v>
      </c>
      <c r="Z229" s="14" cm="1">
        <f t="array" ref="Z229">INT(SUMPRODUCT(--ISNUMBER(SEARCH(bipartisan,C229)))&gt;0)</f>
        <v>0</v>
      </c>
      <c r="AA229" s="14">
        <f t="shared" si="3"/>
        <v>1</v>
      </c>
      <c r="AB229" s="14"/>
      <c r="AC229" s="30">
        <v>0</v>
      </c>
      <c r="AD229" s="37">
        <v>1</v>
      </c>
    </row>
    <row r="230" spans="1:30" x14ac:dyDescent="0.25">
      <c r="A230" s="36">
        <v>1437</v>
      </c>
      <c r="B230" s="14" t="s">
        <v>2901</v>
      </c>
      <c r="C230" s="14" t="s">
        <v>2902</v>
      </c>
      <c r="D230" s="17">
        <v>44115</v>
      </c>
      <c r="E230" s="14" t="s">
        <v>30</v>
      </c>
      <c r="F230" s="14">
        <v>30</v>
      </c>
      <c r="G230" s="14">
        <v>12</v>
      </c>
      <c r="H230" s="14">
        <v>7</v>
      </c>
      <c r="I230" s="14">
        <v>4</v>
      </c>
      <c r="J230" s="14" t="s">
        <v>31</v>
      </c>
      <c r="K230" s="14" cm="1">
        <f t="array" ref="K230">INT(SUMPRODUCT(--ISNUMBER(SEARCH(economy,C230)))&gt;0)</f>
        <v>0</v>
      </c>
      <c r="L230" s="14" cm="1">
        <f t="array" ref="L230">INT(SUMPRODUCT(--ISNUMBER(SEARCH(healthcare,C230)))&gt;0)</f>
        <v>0</v>
      </c>
      <c r="M230" s="14" cm="1">
        <f t="array" ref="M230">INT(SUMPRODUCT(--ISNUMBER(SEARCH(supreme,C230)))&gt;0)</f>
        <v>0</v>
      </c>
      <c r="N230" s="14" cm="1">
        <f t="array" ref="N230">INT(SUMPRODUCT(--ISNUMBER(SEARCH(covid,C230)))&gt;0)</f>
        <v>0</v>
      </c>
      <c r="O230" s="14" cm="1">
        <f t="array" ref="O230">INT(SUMPRODUCT(--ISNUMBER(SEARCH(violent,C230)))&gt;0)</f>
        <v>0</v>
      </c>
      <c r="P230" s="14" cm="1">
        <f t="array" ref="P230">INT(SUMPRODUCT(--ISNUMBER(SEARCH(foreign,C230)))&gt;0)</f>
        <v>0</v>
      </c>
      <c r="Q230" s="14" cm="1">
        <f t="array" ref="Q230">INT(SUMPRODUCT(--ISNUMBER(SEARCH(gun,C230)))&gt;0)</f>
        <v>0</v>
      </c>
      <c r="R230" s="14" cm="1">
        <f t="array" ref="R230">INT(SUMPRODUCT(--ISNUMBER(SEARCH(race,C230)))&gt;0)</f>
        <v>0</v>
      </c>
      <c r="S230" s="14" cm="1">
        <f t="array" ref="S230">INT(SUMPRODUCT(--ISNUMBER(SEARCH(immigration,C230)))&gt;0)</f>
        <v>0</v>
      </c>
      <c r="T230" s="14" cm="1">
        <f t="array" ref="T230">INT(SUMPRODUCT(--ISNUMBER(SEARCH(econineq,C231)))&gt;0)</f>
        <v>0</v>
      </c>
      <c r="U230" s="14" cm="1">
        <f t="array" ref="U230">INT(SUMPRODUCT(--ISNUMBER(SEARCH(climate,C230)))&gt;0)</f>
        <v>0</v>
      </c>
      <c r="V230" s="14" cm="1">
        <f t="array" ref="V230">INT(SUMPRODUCT(--ISNUMBER(SEARCH(abortion,C230)))&gt;0)</f>
        <v>0</v>
      </c>
      <c r="W230" s="14" cm="1">
        <f t="array" ref="W230">INT(SUMPRODUCT(--ISNUMBER(SEARCH(trump,C230)))&gt;0)</f>
        <v>0</v>
      </c>
      <c r="X230" s="14" cm="1">
        <f t="array" ref="X230">INT(SUMPRODUCT(--ISNUMBER(SEARCH(voting,C230)))&gt;0)</f>
        <v>0</v>
      </c>
      <c r="Y230" s="14" cm="1">
        <f t="array" ref="Y230">INT(SUMPRODUCT(--ISNUMBER(SEARCH(republicantrigger,C230)))&gt;0)</f>
        <v>0</v>
      </c>
      <c r="Z230" s="14" cm="1">
        <f t="array" ref="Z230">INT(SUMPRODUCT(--ISNUMBER(SEARCH(bipartisan,C230)))&gt;0)</f>
        <v>0</v>
      </c>
      <c r="AA230" s="14">
        <f t="shared" si="3"/>
        <v>1</v>
      </c>
      <c r="AB230" s="14"/>
      <c r="AC230" s="30">
        <v>0</v>
      </c>
      <c r="AD230" s="37">
        <v>0</v>
      </c>
    </row>
    <row r="231" spans="1:30" x14ac:dyDescent="0.25">
      <c r="A231" s="36">
        <v>1438</v>
      </c>
      <c r="B231" s="14" t="s">
        <v>2903</v>
      </c>
      <c r="C231" s="14" t="s">
        <v>2904</v>
      </c>
      <c r="D231" s="17">
        <v>44114</v>
      </c>
      <c r="E231" s="14" t="s">
        <v>30</v>
      </c>
      <c r="F231" s="14">
        <v>27</v>
      </c>
      <c r="G231" s="14">
        <v>4</v>
      </c>
      <c r="H231" s="14">
        <v>7</v>
      </c>
      <c r="I231" s="14">
        <v>4</v>
      </c>
      <c r="J231" s="14" t="s">
        <v>31</v>
      </c>
      <c r="K231" s="14" cm="1">
        <f t="array" ref="K231">INT(SUMPRODUCT(--ISNUMBER(SEARCH(economy,C231)))&gt;0)</f>
        <v>1</v>
      </c>
      <c r="L231" s="14" cm="1">
        <f t="array" ref="L231">INT(SUMPRODUCT(--ISNUMBER(SEARCH(healthcare,C231)))&gt;0)</f>
        <v>0</v>
      </c>
      <c r="M231" s="14" cm="1">
        <f t="array" ref="M231">INT(SUMPRODUCT(--ISNUMBER(SEARCH(supreme,C231)))&gt;0)</f>
        <v>0</v>
      </c>
      <c r="N231" s="14" cm="1">
        <f t="array" ref="N231">INT(SUMPRODUCT(--ISNUMBER(SEARCH(covid,C231)))&gt;0)</f>
        <v>0</v>
      </c>
      <c r="O231" s="14" cm="1">
        <f t="array" ref="O231">INT(SUMPRODUCT(--ISNUMBER(SEARCH(violent,C231)))&gt;0)</f>
        <v>0</v>
      </c>
      <c r="P231" s="14" cm="1">
        <f t="array" ref="P231">INT(SUMPRODUCT(--ISNUMBER(SEARCH(foreign,C231)))&gt;0)</f>
        <v>0</v>
      </c>
      <c r="Q231" s="14" cm="1">
        <f t="array" ref="Q231">INT(SUMPRODUCT(--ISNUMBER(SEARCH(gun,C231)))&gt;0)</f>
        <v>0</v>
      </c>
      <c r="R231" s="14" cm="1">
        <f t="array" ref="R231">INT(SUMPRODUCT(--ISNUMBER(SEARCH(race,C231)))&gt;0)</f>
        <v>0</v>
      </c>
      <c r="S231" s="14" cm="1">
        <f t="array" ref="S231">INT(SUMPRODUCT(--ISNUMBER(SEARCH(immigration,C231)))&gt;0)</f>
        <v>0</v>
      </c>
      <c r="T231" s="14" cm="1">
        <f t="array" ref="T231">INT(SUMPRODUCT(--ISNUMBER(SEARCH(econineq,C232)))&gt;0)</f>
        <v>0</v>
      </c>
      <c r="U231" s="14" cm="1">
        <f t="array" ref="U231">INT(SUMPRODUCT(--ISNUMBER(SEARCH(climate,C231)))&gt;0)</f>
        <v>0</v>
      </c>
      <c r="V231" s="14" cm="1">
        <f t="array" ref="V231">INT(SUMPRODUCT(--ISNUMBER(SEARCH(abortion,C231)))&gt;0)</f>
        <v>0</v>
      </c>
      <c r="W231" s="14" cm="1">
        <f t="array" ref="W231">INT(SUMPRODUCT(--ISNUMBER(SEARCH(trump,C231)))&gt;0)</f>
        <v>0</v>
      </c>
      <c r="X231" s="14" cm="1">
        <f t="array" ref="X231">INT(SUMPRODUCT(--ISNUMBER(SEARCH(voting,C231)))&gt;0)</f>
        <v>0</v>
      </c>
      <c r="Y231" s="14" cm="1">
        <f t="array" ref="Y231">INT(SUMPRODUCT(--ISNUMBER(SEARCH(republicantrigger,C231)))&gt;0)</f>
        <v>0</v>
      </c>
      <c r="Z231" s="14" cm="1">
        <f t="array" ref="Z231">INT(SUMPRODUCT(--ISNUMBER(SEARCH(bipartisan,C231)))&gt;0)</f>
        <v>0</v>
      </c>
      <c r="AA231" s="14">
        <f t="shared" si="3"/>
        <v>0</v>
      </c>
      <c r="AB231" s="14"/>
      <c r="AC231" s="30">
        <v>1</v>
      </c>
      <c r="AD231" s="37">
        <v>0</v>
      </c>
    </row>
    <row r="232" spans="1:30" x14ac:dyDescent="0.25">
      <c r="A232" s="36">
        <v>1439</v>
      </c>
      <c r="B232" s="14" t="s">
        <v>2905</v>
      </c>
      <c r="C232" s="14" t="s">
        <v>2906</v>
      </c>
      <c r="D232" s="17">
        <v>44114</v>
      </c>
      <c r="E232" s="14" t="s">
        <v>30</v>
      </c>
      <c r="F232" s="14">
        <v>74</v>
      </c>
      <c r="G232" s="14">
        <v>13</v>
      </c>
      <c r="H232" s="14">
        <v>7</v>
      </c>
      <c r="I232" s="14">
        <v>4</v>
      </c>
      <c r="J232" s="14" t="s">
        <v>31</v>
      </c>
      <c r="K232" s="14" cm="1">
        <f t="array" ref="K232">INT(SUMPRODUCT(--ISNUMBER(SEARCH(economy,C232)))&gt;0)</f>
        <v>0</v>
      </c>
      <c r="L232" s="14" cm="1">
        <f t="array" ref="L232">INT(SUMPRODUCT(--ISNUMBER(SEARCH(healthcare,C232)))&gt;0)</f>
        <v>0</v>
      </c>
      <c r="M232" s="14" cm="1">
        <f t="array" ref="M232">INT(SUMPRODUCT(--ISNUMBER(SEARCH(supreme,C232)))&gt;0)</f>
        <v>0</v>
      </c>
      <c r="N232" s="14" cm="1">
        <f t="array" ref="N232">INT(SUMPRODUCT(--ISNUMBER(SEARCH(covid,C232)))&gt;0)</f>
        <v>0</v>
      </c>
      <c r="O232" s="14" cm="1">
        <f t="array" ref="O232">INT(SUMPRODUCT(--ISNUMBER(SEARCH(violent,C232)))&gt;0)</f>
        <v>0</v>
      </c>
      <c r="P232" s="14" cm="1">
        <f t="array" ref="P232">INT(SUMPRODUCT(--ISNUMBER(SEARCH(foreign,C232)))&gt;0)</f>
        <v>0</v>
      </c>
      <c r="Q232" s="14" cm="1">
        <f t="array" ref="Q232">INT(SUMPRODUCT(--ISNUMBER(SEARCH(gun,C232)))&gt;0)</f>
        <v>0</v>
      </c>
      <c r="R232" s="14" cm="1">
        <f t="array" ref="R232">INT(SUMPRODUCT(--ISNUMBER(SEARCH(race,C232)))&gt;0)</f>
        <v>0</v>
      </c>
      <c r="S232" s="14" cm="1">
        <f t="array" ref="S232">INT(SUMPRODUCT(--ISNUMBER(SEARCH(immigration,C232)))&gt;0)</f>
        <v>0</v>
      </c>
      <c r="T232" s="14" cm="1">
        <f t="array" ref="T232">INT(SUMPRODUCT(--ISNUMBER(SEARCH(econineq,C233)))&gt;0)</f>
        <v>0</v>
      </c>
      <c r="U232" s="14" cm="1">
        <f t="array" ref="U232">INT(SUMPRODUCT(--ISNUMBER(SEARCH(climate,C232)))&gt;0)</f>
        <v>0</v>
      </c>
      <c r="V232" s="14" cm="1">
        <f t="array" ref="V232">INT(SUMPRODUCT(--ISNUMBER(SEARCH(abortion,C232)))&gt;0)</f>
        <v>0</v>
      </c>
      <c r="W232" s="14" cm="1">
        <f t="array" ref="W232">INT(SUMPRODUCT(--ISNUMBER(SEARCH(trump,C232)))&gt;0)</f>
        <v>0</v>
      </c>
      <c r="X232" s="14" cm="1">
        <f t="array" ref="X232">INT(SUMPRODUCT(--ISNUMBER(SEARCH(voting,C232)))&gt;0)</f>
        <v>0</v>
      </c>
      <c r="Y232" s="14" cm="1">
        <f t="array" ref="Y232">INT(SUMPRODUCT(--ISNUMBER(SEARCH(republicantrigger,C232)))&gt;0)</f>
        <v>0</v>
      </c>
      <c r="Z232" s="14" cm="1">
        <f t="array" ref="Z232">INT(SUMPRODUCT(--ISNUMBER(SEARCH(bipartisan,C232)))&gt;0)</f>
        <v>0</v>
      </c>
      <c r="AA232" s="14">
        <f t="shared" si="3"/>
        <v>1</v>
      </c>
      <c r="AB232" s="14"/>
      <c r="AC232" s="30">
        <v>1</v>
      </c>
      <c r="AD232" s="37">
        <v>0</v>
      </c>
    </row>
    <row r="233" spans="1:30" x14ac:dyDescent="0.25">
      <c r="A233" s="36">
        <v>1440</v>
      </c>
      <c r="B233" s="14" t="s">
        <v>2907</v>
      </c>
      <c r="C233" s="14" t="s">
        <v>2908</v>
      </c>
      <c r="D233" s="17">
        <v>44114</v>
      </c>
      <c r="E233" s="14" t="s">
        <v>30</v>
      </c>
      <c r="F233" s="14">
        <v>24</v>
      </c>
      <c r="G233" s="14">
        <v>7</v>
      </c>
      <c r="H233" s="14">
        <v>7</v>
      </c>
      <c r="I233" s="14">
        <v>4</v>
      </c>
      <c r="J233" s="14" t="s">
        <v>31</v>
      </c>
      <c r="K233" s="14" cm="1">
        <f t="array" ref="K233">INT(SUMPRODUCT(--ISNUMBER(SEARCH(economy,C233)))&gt;0)</f>
        <v>0</v>
      </c>
      <c r="L233" s="14" cm="1">
        <f t="array" ref="L233">INT(SUMPRODUCT(--ISNUMBER(SEARCH(healthcare,C233)))&gt;0)</f>
        <v>0</v>
      </c>
      <c r="M233" s="14" cm="1">
        <f t="array" ref="M233">INT(SUMPRODUCT(--ISNUMBER(SEARCH(supreme,C233)))&gt;0)</f>
        <v>0</v>
      </c>
      <c r="N233" s="14" cm="1">
        <f t="array" ref="N233">INT(SUMPRODUCT(--ISNUMBER(SEARCH(covid,C233)))&gt;0)</f>
        <v>1</v>
      </c>
      <c r="O233" s="14" cm="1">
        <f t="array" ref="O233">INT(SUMPRODUCT(--ISNUMBER(SEARCH(violent,C233)))&gt;0)</f>
        <v>0</v>
      </c>
      <c r="P233" s="14" cm="1">
        <f t="array" ref="P233">INT(SUMPRODUCT(--ISNUMBER(SEARCH(foreign,C233)))&gt;0)</f>
        <v>0</v>
      </c>
      <c r="Q233" s="14" cm="1">
        <f t="array" ref="Q233">INT(SUMPRODUCT(--ISNUMBER(SEARCH(gun,C233)))&gt;0)</f>
        <v>0</v>
      </c>
      <c r="R233" s="14" cm="1">
        <f t="array" ref="R233">INT(SUMPRODUCT(--ISNUMBER(SEARCH(race,C233)))&gt;0)</f>
        <v>0</v>
      </c>
      <c r="S233" s="14" cm="1">
        <f t="array" ref="S233">INT(SUMPRODUCT(--ISNUMBER(SEARCH(immigration,C233)))&gt;0)</f>
        <v>0</v>
      </c>
      <c r="T233" s="14" cm="1">
        <f t="array" ref="T233">INT(SUMPRODUCT(--ISNUMBER(SEARCH(econineq,C234)))&gt;0)</f>
        <v>0</v>
      </c>
      <c r="U233" s="14" cm="1">
        <f t="array" ref="U233">INT(SUMPRODUCT(--ISNUMBER(SEARCH(climate,C233)))&gt;0)</f>
        <v>0</v>
      </c>
      <c r="V233" s="14" cm="1">
        <f t="array" ref="V233">INT(SUMPRODUCT(--ISNUMBER(SEARCH(abortion,C233)))&gt;0)</f>
        <v>0</v>
      </c>
      <c r="W233" s="14" cm="1">
        <f t="array" ref="W233">INT(SUMPRODUCT(--ISNUMBER(SEARCH(trump,C233)))&gt;0)</f>
        <v>0</v>
      </c>
      <c r="X233" s="14" cm="1">
        <f t="array" ref="X233">INT(SUMPRODUCT(--ISNUMBER(SEARCH(voting,C233)))&gt;0)</f>
        <v>0</v>
      </c>
      <c r="Y233" s="14" cm="1">
        <f t="array" ref="Y233">INT(SUMPRODUCT(--ISNUMBER(SEARCH(republicantrigger,C233)))&gt;0)</f>
        <v>0</v>
      </c>
      <c r="Z233" s="14" cm="1">
        <f t="array" ref="Z233">INT(SUMPRODUCT(--ISNUMBER(SEARCH(bipartisan,C233)))&gt;0)</f>
        <v>0</v>
      </c>
      <c r="AA233" s="14">
        <f t="shared" si="3"/>
        <v>0</v>
      </c>
      <c r="AB233" s="14"/>
      <c r="AC233" s="30">
        <v>1</v>
      </c>
      <c r="AD233" s="37">
        <v>0</v>
      </c>
    </row>
    <row r="234" spans="1:30" x14ac:dyDescent="0.25">
      <c r="A234" s="36">
        <v>1441</v>
      </c>
      <c r="B234" s="14" t="s">
        <v>2909</v>
      </c>
      <c r="C234" s="14" t="s">
        <v>2910</v>
      </c>
      <c r="D234" s="17">
        <v>44113</v>
      </c>
      <c r="E234" s="14" t="s">
        <v>30</v>
      </c>
      <c r="F234" s="14">
        <v>52</v>
      </c>
      <c r="G234" s="14">
        <v>11</v>
      </c>
      <c r="H234" s="14">
        <v>7</v>
      </c>
      <c r="I234" s="14">
        <v>4</v>
      </c>
      <c r="J234" s="14" t="s">
        <v>31</v>
      </c>
      <c r="K234" s="14" cm="1">
        <f t="array" ref="K234">INT(SUMPRODUCT(--ISNUMBER(SEARCH(economy,C234)))&gt;0)</f>
        <v>1</v>
      </c>
      <c r="L234" s="14" cm="1">
        <f t="array" ref="L234">INT(SUMPRODUCT(--ISNUMBER(SEARCH(healthcare,C234)))&gt;0)</f>
        <v>0</v>
      </c>
      <c r="M234" s="14" cm="1">
        <f t="array" ref="M234">INT(SUMPRODUCT(--ISNUMBER(SEARCH(supreme,C234)))&gt;0)</f>
        <v>0</v>
      </c>
      <c r="N234" s="14" cm="1">
        <f t="array" ref="N234">INT(SUMPRODUCT(--ISNUMBER(SEARCH(covid,C234)))&gt;0)</f>
        <v>0</v>
      </c>
      <c r="O234" s="14" cm="1">
        <f t="array" ref="O234">INT(SUMPRODUCT(--ISNUMBER(SEARCH(violent,C234)))&gt;0)</f>
        <v>0</v>
      </c>
      <c r="P234" s="14" cm="1">
        <f t="array" ref="P234">INT(SUMPRODUCT(--ISNUMBER(SEARCH(foreign,C234)))&gt;0)</f>
        <v>0</v>
      </c>
      <c r="Q234" s="14" cm="1">
        <f t="array" ref="Q234">INT(SUMPRODUCT(--ISNUMBER(SEARCH(gun,C234)))&gt;0)</f>
        <v>0</v>
      </c>
      <c r="R234" s="14" cm="1">
        <f t="array" ref="R234">INT(SUMPRODUCT(--ISNUMBER(SEARCH(race,C234)))&gt;0)</f>
        <v>0</v>
      </c>
      <c r="S234" s="14" cm="1">
        <f t="array" ref="S234">INT(SUMPRODUCT(--ISNUMBER(SEARCH(immigration,C234)))&gt;0)</f>
        <v>0</v>
      </c>
      <c r="T234" s="14" cm="1">
        <f t="array" ref="T234">INT(SUMPRODUCT(--ISNUMBER(SEARCH(econineq,C235)))&gt;0)</f>
        <v>0</v>
      </c>
      <c r="U234" s="14" cm="1">
        <f t="array" ref="U234">INT(SUMPRODUCT(--ISNUMBER(SEARCH(climate,C234)))&gt;0)</f>
        <v>0</v>
      </c>
      <c r="V234" s="14" cm="1">
        <f t="array" ref="V234">INT(SUMPRODUCT(--ISNUMBER(SEARCH(abortion,C234)))&gt;0)</f>
        <v>0</v>
      </c>
      <c r="W234" s="14" cm="1">
        <f t="array" ref="W234">INT(SUMPRODUCT(--ISNUMBER(SEARCH(trump,C234)))&gt;0)</f>
        <v>0</v>
      </c>
      <c r="X234" s="14" cm="1">
        <f t="array" ref="X234">INT(SUMPRODUCT(--ISNUMBER(SEARCH(voting,C234)))&gt;0)</f>
        <v>0</v>
      </c>
      <c r="Y234" s="14" cm="1">
        <f t="array" ref="Y234">INT(SUMPRODUCT(--ISNUMBER(SEARCH(republicantrigger,C234)))&gt;0)</f>
        <v>0</v>
      </c>
      <c r="Z234" s="14" cm="1">
        <f t="array" ref="Z234">INT(SUMPRODUCT(--ISNUMBER(SEARCH(bipartisan,C234)))&gt;0)</f>
        <v>0</v>
      </c>
      <c r="AA234" s="14">
        <f t="shared" si="3"/>
        <v>0</v>
      </c>
      <c r="AB234" s="14"/>
      <c r="AC234" s="30">
        <v>1</v>
      </c>
      <c r="AD234" s="37">
        <v>0</v>
      </c>
    </row>
    <row r="235" spans="1:30" x14ac:dyDescent="0.25">
      <c r="A235" s="36">
        <v>1442</v>
      </c>
      <c r="B235" s="14" t="s">
        <v>2911</v>
      </c>
      <c r="C235" s="14" t="s">
        <v>2912</v>
      </c>
      <c r="D235" s="17">
        <v>44113</v>
      </c>
      <c r="E235" s="14" t="s">
        <v>30</v>
      </c>
      <c r="F235" s="14">
        <v>25</v>
      </c>
      <c r="G235" s="14">
        <v>7</v>
      </c>
      <c r="H235" s="14">
        <v>7</v>
      </c>
      <c r="I235" s="14">
        <v>4</v>
      </c>
      <c r="J235" s="14" t="s">
        <v>31</v>
      </c>
      <c r="K235" s="14" cm="1">
        <f t="array" ref="K235">INT(SUMPRODUCT(--ISNUMBER(SEARCH(economy,C235)))&gt;0)</f>
        <v>0</v>
      </c>
      <c r="L235" s="14" cm="1">
        <f t="array" ref="L235">INT(SUMPRODUCT(--ISNUMBER(SEARCH(healthcare,C235)))&gt;0)</f>
        <v>0</v>
      </c>
      <c r="M235" s="14" cm="1">
        <f t="array" ref="M235">INT(SUMPRODUCT(--ISNUMBER(SEARCH(supreme,C235)))&gt;0)</f>
        <v>0</v>
      </c>
      <c r="N235" s="14" cm="1">
        <f t="array" ref="N235">INT(SUMPRODUCT(--ISNUMBER(SEARCH(covid,C235)))&gt;0)</f>
        <v>0</v>
      </c>
      <c r="O235" s="14" cm="1">
        <f t="array" ref="O235">INT(SUMPRODUCT(--ISNUMBER(SEARCH(violent,C235)))&gt;0)</f>
        <v>0</v>
      </c>
      <c r="P235" s="14" cm="1">
        <f t="array" ref="P235">INT(SUMPRODUCT(--ISNUMBER(SEARCH(foreign,C235)))&gt;0)</f>
        <v>0</v>
      </c>
      <c r="Q235" s="14" cm="1">
        <f t="array" ref="Q235">INT(SUMPRODUCT(--ISNUMBER(SEARCH(gun,C235)))&gt;0)</f>
        <v>0</v>
      </c>
      <c r="R235" s="14" cm="1">
        <f t="array" ref="R235">INT(SUMPRODUCT(--ISNUMBER(SEARCH(race,C235)))&gt;0)</f>
        <v>0</v>
      </c>
      <c r="S235" s="14" cm="1">
        <f t="array" ref="S235">INT(SUMPRODUCT(--ISNUMBER(SEARCH(immigration,C235)))&gt;0)</f>
        <v>0</v>
      </c>
      <c r="T235" s="14" cm="1">
        <f t="array" ref="T235">INT(SUMPRODUCT(--ISNUMBER(SEARCH(econineq,C236)))&gt;0)</f>
        <v>0</v>
      </c>
      <c r="U235" s="14" cm="1">
        <f t="array" ref="U235">INT(SUMPRODUCT(--ISNUMBER(SEARCH(climate,C235)))&gt;0)</f>
        <v>0</v>
      </c>
      <c r="V235" s="14" cm="1">
        <f t="array" ref="V235">INT(SUMPRODUCT(--ISNUMBER(SEARCH(abortion,C235)))&gt;0)</f>
        <v>0</v>
      </c>
      <c r="W235" s="14" cm="1">
        <f t="array" ref="W235">INT(SUMPRODUCT(--ISNUMBER(SEARCH(trump,C235)))&gt;0)</f>
        <v>0</v>
      </c>
      <c r="X235" s="14" cm="1">
        <f t="array" ref="X235">INT(SUMPRODUCT(--ISNUMBER(SEARCH(voting,C235)))&gt;0)</f>
        <v>0</v>
      </c>
      <c r="Y235" s="14" cm="1">
        <f t="array" ref="Y235">INT(SUMPRODUCT(--ISNUMBER(SEARCH(republicantrigger,C235)))&gt;0)</f>
        <v>0</v>
      </c>
      <c r="Z235" s="14" cm="1">
        <f t="array" ref="Z235">INT(SUMPRODUCT(--ISNUMBER(SEARCH(bipartisan,C235)))&gt;0)</f>
        <v>0</v>
      </c>
      <c r="AA235" s="14">
        <f t="shared" si="3"/>
        <v>1</v>
      </c>
      <c r="AB235" s="14"/>
      <c r="AC235" s="30">
        <v>1</v>
      </c>
      <c r="AD235" s="37">
        <v>0</v>
      </c>
    </row>
    <row r="236" spans="1:30" x14ac:dyDescent="0.25">
      <c r="A236" s="36">
        <v>1443</v>
      </c>
      <c r="B236" s="14" t="s">
        <v>2913</v>
      </c>
      <c r="C236" s="14" t="s">
        <v>2914</v>
      </c>
      <c r="D236" s="17">
        <v>44113</v>
      </c>
      <c r="E236" s="14" t="s">
        <v>30</v>
      </c>
      <c r="F236" s="14">
        <v>21</v>
      </c>
      <c r="G236" s="14">
        <v>7</v>
      </c>
      <c r="H236" s="14">
        <v>7</v>
      </c>
      <c r="I236" s="14">
        <v>4</v>
      </c>
      <c r="J236" s="14" t="s">
        <v>31</v>
      </c>
      <c r="K236" s="14" cm="1">
        <f t="array" ref="K236">INT(SUMPRODUCT(--ISNUMBER(SEARCH(economy,C236)))&gt;0)</f>
        <v>1</v>
      </c>
      <c r="L236" s="14" cm="1">
        <f t="array" ref="L236">INT(SUMPRODUCT(--ISNUMBER(SEARCH(healthcare,C236)))&gt;0)</f>
        <v>0</v>
      </c>
      <c r="M236" s="14" cm="1">
        <f t="array" ref="M236">INT(SUMPRODUCT(--ISNUMBER(SEARCH(supreme,C236)))&gt;0)</f>
        <v>0</v>
      </c>
      <c r="N236" s="14" cm="1">
        <f t="array" ref="N236">INT(SUMPRODUCT(--ISNUMBER(SEARCH(covid,C236)))&gt;0)</f>
        <v>1</v>
      </c>
      <c r="O236" s="14" cm="1">
        <f t="array" ref="O236">INT(SUMPRODUCT(--ISNUMBER(SEARCH(violent,C236)))&gt;0)</f>
        <v>0</v>
      </c>
      <c r="P236" s="14" cm="1">
        <f t="array" ref="P236">INT(SUMPRODUCT(--ISNUMBER(SEARCH(foreign,C236)))&gt;0)</f>
        <v>0</v>
      </c>
      <c r="Q236" s="14" cm="1">
        <f t="array" ref="Q236">INT(SUMPRODUCT(--ISNUMBER(SEARCH(gun,C236)))&gt;0)</f>
        <v>0</v>
      </c>
      <c r="R236" s="14" cm="1">
        <f t="array" ref="R236">INT(SUMPRODUCT(--ISNUMBER(SEARCH(race,C236)))&gt;0)</f>
        <v>0</v>
      </c>
      <c r="S236" s="14" cm="1">
        <f t="array" ref="S236">INT(SUMPRODUCT(--ISNUMBER(SEARCH(immigration,C236)))&gt;0)</f>
        <v>0</v>
      </c>
      <c r="T236" s="14" cm="1">
        <f t="array" ref="T236">INT(SUMPRODUCT(--ISNUMBER(SEARCH(econineq,C237)))&gt;0)</f>
        <v>0</v>
      </c>
      <c r="U236" s="14" cm="1">
        <f t="array" ref="U236">INT(SUMPRODUCT(--ISNUMBER(SEARCH(climate,C236)))&gt;0)</f>
        <v>0</v>
      </c>
      <c r="V236" s="14" cm="1">
        <f t="array" ref="V236">INT(SUMPRODUCT(--ISNUMBER(SEARCH(abortion,C236)))&gt;0)</f>
        <v>0</v>
      </c>
      <c r="W236" s="14" cm="1">
        <f t="array" ref="W236">INT(SUMPRODUCT(--ISNUMBER(SEARCH(trump,C236)))&gt;0)</f>
        <v>0</v>
      </c>
      <c r="X236" s="14" cm="1">
        <f t="array" ref="X236">INT(SUMPRODUCT(--ISNUMBER(SEARCH(voting,C236)))&gt;0)</f>
        <v>0</v>
      </c>
      <c r="Y236" s="14" cm="1">
        <f t="array" ref="Y236">INT(SUMPRODUCT(--ISNUMBER(SEARCH(republicantrigger,C236)))&gt;0)</f>
        <v>0</v>
      </c>
      <c r="Z236" s="14" cm="1">
        <f t="array" ref="Z236">INT(SUMPRODUCT(--ISNUMBER(SEARCH(bipartisan,C236)))&gt;0)</f>
        <v>0</v>
      </c>
      <c r="AA236" s="14">
        <f t="shared" si="3"/>
        <v>0</v>
      </c>
      <c r="AB236" s="14"/>
      <c r="AC236" s="30">
        <v>1</v>
      </c>
      <c r="AD236" s="37">
        <v>0</v>
      </c>
    </row>
    <row r="237" spans="1:30" x14ac:dyDescent="0.25">
      <c r="A237" s="36">
        <v>1444</v>
      </c>
      <c r="B237" s="14" t="s">
        <v>2915</v>
      </c>
      <c r="C237" s="14" t="s">
        <v>2916</v>
      </c>
      <c r="D237" s="17">
        <v>44113</v>
      </c>
      <c r="E237" s="14" t="s">
        <v>30</v>
      </c>
      <c r="F237" s="14">
        <v>22</v>
      </c>
      <c r="G237" s="14">
        <v>6</v>
      </c>
      <c r="H237" s="14">
        <v>7</v>
      </c>
      <c r="I237" s="14">
        <v>4</v>
      </c>
      <c r="J237" s="14" t="s">
        <v>31</v>
      </c>
      <c r="K237" s="14" cm="1">
        <f t="array" ref="K237">INT(SUMPRODUCT(--ISNUMBER(SEARCH(economy,C237)))&gt;0)</f>
        <v>1</v>
      </c>
      <c r="L237" s="14" cm="1">
        <f t="array" ref="L237">INT(SUMPRODUCT(--ISNUMBER(SEARCH(healthcare,C237)))&gt;0)</f>
        <v>1</v>
      </c>
      <c r="M237" s="14" cm="1">
        <f t="array" ref="M237">INT(SUMPRODUCT(--ISNUMBER(SEARCH(supreme,C237)))&gt;0)</f>
        <v>0</v>
      </c>
      <c r="N237" s="14" cm="1">
        <f t="array" ref="N237">INT(SUMPRODUCT(--ISNUMBER(SEARCH(covid,C237)))&gt;0)</f>
        <v>0</v>
      </c>
      <c r="O237" s="14" cm="1">
        <f t="array" ref="O237">INT(SUMPRODUCT(--ISNUMBER(SEARCH(violent,C237)))&gt;0)</f>
        <v>0</v>
      </c>
      <c r="P237" s="14" cm="1">
        <f t="array" ref="P237">INT(SUMPRODUCT(--ISNUMBER(SEARCH(foreign,C237)))&gt;0)</f>
        <v>0</v>
      </c>
      <c r="Q237" s="14" cm="1">
        <f t="array" ref="Q237">INT(SUMPRODUCT(--ISNUMBER(SEARCH(gun,C237)))&gt;0)</f>
        <v>0</v>
      </c>
      <c r="R237" s="14" cm="1">
        <f t="array" ref="R237">INT(SUMPRODUCT(--ISNUMBER(SEARCH(race,C237)))&gt;0)</f>
        <v>0</v>
      </c>
      <c r="S237" s="14" cm="1">
        <f t="array" ref="S237">INT(SUMPRODUCT(--ISNUMBER(SEARCH(immigration,C237)))&gt;0)</f>
        <v>0</v>
      </c>
      <c r="T237" s="14" cm="1">
        <f t="array" ref="T237">INT(SUMPRODUCT(--ISNUMBER(SEARCH(econineq,C238)))&gt;0)</f>
        <v>0</v>
      </c>
      <c r="U237" s="14" cm="1">
        <f t="array" ref="U237">INT(SUMPRODUCT(--ISNUMBER(SEARCH(climate,C237)))&gt;0)</f>
        <v>0</v>
      </c>
      <c r="V237" s="14" cm="1">
        <f t="array" ref="V237">INT(SUMPRODUCT(--ISNUMBER(SEARCH(abortion,C237)))&gt;0)</f>
        <v>0</v>
      </c>
      <c r="W237" s="14" cm="1">
        <f t="array" ref="W237">INT(SUMPRODUCT(--ISNUMBER(SEARCH(trump,C237)))&gt;0)</f>
        <v>0</v>
      </c>
      <c r="X237" s="14" cm="1">
        <f t="array" ref="X237">INT(SUMPRODUCT(--ISNUMBER(SEARCH(voting,C237)))&gt;0)</f>
        <v>0</v>
      </c>
      <c r="Y237" s="14" cm="1">
        <f t="array" ref="Y237">INT(SUMPRODUCT(--ISNUMBER(SEARCH(republicantrigger,C237)))&gt;0)</f>
        <v>0</v>
      </c>
      <c r="Z237" s="14" cm="1">
        <f t="array" ref="Z237">INT(SUMPRODUCT(--ISNUMBER(SEARCH(bipartisan,C237)))&gt;0)</f>
        <v>0</v>
      </c>
      <c r="AA237" s="14">
        <f t="shared" si="3"/>
        <v>0</v>
      </c>
      <c r="AB237" s="14"/>
      <c r="AC237" s="30">
        <v>1</v>
      </c>
      <c r="AD237" s="37">
        <v>0</v>
      </c>
    </row>
    <row r="238" spans="1:30" x14ac:dyDescent="0.25">
      <c r="A238" s="36">
        <v>1445</v>
      </c>
      <c r="B238" s="14" t="s">
        <v>2917</v>
      </c>
      <c r="C238" s="14" t="s">
        <v>2918</v>
      </c>
      <c r="D238" s="17">
        <v>44113</v>
      </c>
      <c r="E238" s="14" t="s">
        <v>30</v>
      </c>
      <c r="F238" s="14">
        <v>37</v>
      </c>
      <c r="G238" s="14">
        <v>8</v>
      </c>
      <c r="H238" s="14">
        <v>7</v>
      </c>
      <c r="I238" s="14">
        <v>4</v>
      </c>
      <c r="J238" s="14" t="s">
        <v>31</v>
      </c>
      <c r="K238" s="14" cm="1">
        <f t="array" ref="K238">INT(SUMPRODUCT(--ISNUMBER(SEARCH(economy,C238)))&gt;0)</f>
        <v>0</v>
      </c>
      <c r="L238" s="14" cm="1">
        <f t="array" ref="L238">INT(SUMPRODUCT(--ISNUMBER(SEARCH(healthcare,C238)))&gt;0)</f>
        <v>0</v>
      </c>
      <c r="M238" s="14" cm="1">
        <f t="array" ref="M238">INT(SUMPRODUCT(--ISNUMBER(SEARCH(supreme,C238)))&gt;0)</f>
        <v>0</v>
      </c>
      <c r="N238" s="14" cm="1">
        <f t="array" ref="N238">INT(SUMPRODUCT(--ISNUMBER(SEARCH(covid,C238)))&gt;0)</f>
        <v>0</v>
      </c>
      <c r="O238" s="14" cm="1">
        <f t="array" ref="O238">INT(SUMPRODUCT(--ISNUMBER(SEARCH(violent,C238)))&gt;0)</f>
        <v>0</v>
      </c>
      <c r="P238" s="14" cm="1">
        <f t="array" ref="P238">INT(SUMPRODUCT(--ISNUMBER(SEARCH(foreign,C238)))&gt;0)</f>
        <v>0</v>
      </c>
      <c r="Q238" s="14" cm="1">
        <f t="array" ref="Q238">INT(SUMPRODUCT(--ISNUMBER(SEARCH(gun,C238)))&gt;0)</f>
        <v>0</v>
      </c>
      <c r="R238" s="14" cm="1">
        <f t="array" ref="R238">INT(SUMPRODUCT(--ISNUMBER(SEARCH(race,C238)))&gt;0)</f>
        <v>0</v>
      </c>
      <c r="S238" s="14" cm="1">
        <f t="array" ref="S238">INT(SUMPRODUCT(--ISNUMBER(SEARCH(immigration,C238)))&gt;0)</f>
        <v>0</v>
      </c>
      <c r="T238" s="14" cm="1">
        <f t="array" ref="T238">INT(SUMPRODUCT(--ISNUMBER(SEARCH(econineq,C239)))&gt;0)</f>
        <v>0</v>
      </c>
      <c r="U238" s="14" cm="1">
        <f t="array" ref="U238">INT(SUMPRODUCT(--ISNUMBER(SEARCH(climate,C238)))&gt;0)</f>
        <v>0</v>
      </c>
      <c r="V238" s="14" cm="1">
        <f t="array" ref="V238">INT(SUMPRODUCT(--ISNUMBER(SEARCH(abortion,C238)))&gt;0)</f>
        <v>0</v>
      </c>
      <c r="W238" s="14" cm="1">
        <f t="array" ref="W238">INT(SUMPRODUCT(--ISNUMBER(SEARCH(trump,C238)))&gt;0)</f>
        <v>0</v>
      </c>
      <c r="X238" s="14" cm="1">
        <f t="array" ref="X238">INT(SUMPRODUCT(--ISNUMBER(SEARCH(voting,C238)))&gt;0)</f>
        <v>0</v>
      </c>
      <c r="Y238" s="14" cm="1">
        <f t="array" ref="Y238">INT(SUMPRODUCT(--ISNUMBER(SEARCH(republicantrigger,C238)))&gt;0)</f>
        <v>0</v>
      </c>
      <c r="Z238" s="14" cm="1">
        <f t="array" ref="Z238">INT(SUMPRODUCT(--ISNUMBER(SEARCH(bipartisan,C238)))&gt;0)</f>
        <v>0</v>
      </c>
      <c r="AA238" s="14">
        <f t="shared" si="3"/>
        <v>1</v>
      </c>
      <c r="AB238" s="14"/>
      <c r="AC238" s="30">
        <v>1</v>
      </c>
      <c r="AD238" s="37">
        <v>0</v>
      </c>
    </row>
    <row r="239" spans="1:30" x14ac:dyDescent="0.25">
      <c r="A239" s="36">
        <v>1446</v>
      </c>
      <c r="B239" s="14" t="s">
        <v>2919</v>
      </c>
      <c r="C239" s="14" t="s">
        <v>2920</v>
      </c>
      <c r="D239" s="17">
        <v>44112</v>
      </c>
      <c r="E239" s="14" t="s">
        <v>30</v>
      </c>
      <c r="F239" s="14">
        <v>38</v>
      </c>
      <c r="G239" s="14">
        <v>7</v>
      </c>
      <c r="H239" s="14">
        <v>7</v>
      </c>
      <c r="I239" s="14">
        <v>4</v>
      </c>
      <c r="J239" s="14" t="s">
        <v>31</v>
      </c>
      <c r="K239" s="14" cm="1">
        <f t="array" ref="K239">INT(SUMPRODUCT(--ISNUMBER(SEARCH(economy,C239)))&gt;0)</f>
        <v>1</v>
      </c>
      <c r="L239" s="14" cm="1">
        <f t="array" ref="L239">INT(SUMPRODUCT(--ISNUMBER(SEARCH(healthcare,C239)))&gt;0)</f>
        <v>0</v>
      </c>
      <c r="M239" s="14" cm="1">
        <f t="array" ref="M239">INT(SUMPRODUCT(--ISNUMBER(SEARCH(supreme,C239)))&gt;0)</f>
        <v>0</v>
      </c>
      <c r="N239" s="14" cm="1">
        <f t="array" ref="N239">INT(SUMPRODUCT(--ISNUMBER(SEARCH(covid,C239)))&gt;0)</f>
        <v>0</v>
      </c>
      <c r="O239" s="14" cm="1">
        <f t="array" ref="O239">INT(SUMPRODUCT(--ISNUMBER(SEARCH(violent,C239)))&gt;0)</f>
        <v>0</v>
      </c>
      <c r="P239" s="14" cm="1">
        <f t="array" ref="P239">INT(SUMPRODUCT(--ISNUMBER(SEARCH(foreign,C239)))&gt;0)</f>
        <v>0</v>
      </c>
      <c r="Q239" s="14" cm="1">
        <f t="array" ref="Q239">INT(SUMPRODUCT(--ISNUMBER(SEARCH(gun,C239)))&gt;0)</f>
        <v>0</v>
      </c>
      <c r="R239" s="14" cm="1">
        <f t="array" ref="R239">INT(SUMPRODUCT(--ISNUMBER(SEARCH(race,C239)))&gt;0)</f>
        <v>0</v>
      </c>
      <c r="S239" s="14" cm="1">
        <f t="array" ref="S239">INT(SUMPRODUCT(--ISNUMBER(SEARCH(immigration,C239)))&gt;0)</f>
        <v>0</v>
      </c>
      <c r="T239" s="14" cm="1">
        <f t="array" ref="T239">INT(SUMPRODUCT(--ISNUMBER(SEARCH(econineq,C240)))&gt;0)</f>
        <v>0</v>
      </c>
      <c r="U239" s="14" cm="1">
        <f t="array" ref="U239">INT(SUMPRODUCT(--ISNUMBER(SEARCH(climate,C239)))&gt;0)</f>
        <v>0</v>
      </c>
      <c r="V239" s="14" cm="1">
        <f t="array" ref="V239">INT(SUMPRODUCT(--ISNUMBER(SEARCH(abortion,C239)))&gt;0)</f>
        <v>0</v>
      </c>
      <c r="W239" s="14" cm="1">
        <f t="array" ref="W239">INT(SUMPRODUCT(--ISNUMBER(SEARCH(trump,C239)))&gt;0)</f>
        <v>0</v>
      </c>
      <c r="X239" s="14" cm="1">
        <f t="array" ref="X239">INT(SUMPRODUCT(--ISNUMBER(SEARCH(voting,C239)))&gt;0)</f>
        <v>0</v>
      </c>
      <c r="Y239" s="14" cm="1">
        <f t="array" ref="Y239">INT(SUMPRODUCT(--ISNUMBER(SEARCH(republicantrigger,C239)))&gt;0)</f>
        <v>0</v>
      </c>
      <c r="Z239" s="14" cm="1">
        <f t="array" ref="Z239">INT(SUMPRODUCT(--ISNUMBER(SEARCH(bipartisan,C239)))&gt;0)</f>
        <v>0</v>
      </c>
      <c r="AA239" s="14">
        <f t="shared" si="3"/>
        <v>0</v>
      </c>
      <c r="AB239" s="14"/>
      <c r="AC239" s="30">
        <v>1</v>
      </c>
      <c r="AD239" s="37">
        <v>0</v>
      </c>
    </row>
    <row r="240" spans="1:30" x14ac:dyDescent="0.25">
      <c r="A240" s="36">
        <v>1447</v>
      </c>
      <c r="B240" s="14" t="s">
        <v>2921</v>
      </c>
      <c r="C240" s="14" t="s">
        <v>2922</v>
      </c>
      <c r="D240" s="17">
        <v>44112</v>
      </c>
      <c r="E240" s="14" t="s">
        <v>30</v>
      </c>
      <c r="F240" s="14">
        <v>29</v>
      </c>
      <c r="G240" s="14">
        <v>7</v>
      </c>
      <c r="H240" s="14">
        <v>7</v>
      </c>
      <c r="I240" s="14">
        <v>4</v>
      </c>
      <c r="J240" s="14" t="s">
        <v>31</v>
      </c>
      <c r="K240" s="14" cm="1">
        <f t="array" ref="K240">INT(SUMPRODUCT(--ISNUMBER(SEARCH(economy,C240)))&gt;0)</f>
        <v>0</v>
      </c>
      <c r="L240" s="14" cm="1">
        <f t="array" ref="L240">INT(SUMPRODUCT(--ISNUMBER(SEARCH(healthcare,C240)))&gt;0)</f>
        <v>0</v>
      </c>
      <c r="M240" s="14" cm="1">
        <f t="array" ref="M240">INT(SUMPRODUCT(--ISNUMBER(SEARCH(supreme,C240)))&gt;0)</f>
        <v>0</v>
      </c>
      <c r="N240" s="14" cm="1">
        <f t="array" ref="N240">INT(SUMPRODUCT(--ISNUMBER(SEARCH(covid,C240)))&gt;0)</f>
        <v>0</v>
      </c>
      <c r="O240" s="14" cm="1">
        <f t="array" ref="O240">INT(SUMPRODUCT(--ISNUMBER(SEARCH(violent,C240)))&gt;0)</f>
        <v>0</v>
      </c>
      <c r="P240" s="14" cm="1">
        <f t="array" ref="P240">INT(SUMPRODUCT(--ISNUMBER(SEARCH(foreign,C240)))&gt;0)</f>
        <v>0</v>
      </c>
      <c r="Q240" s="14" cm="1">
        <f t="array" ref="Q240">INT(SUMPRODUCT(--ISNUMBER(SEARCH(gun,C240)))&gt;0)</f>
        <v>0</v>
      </c>
      <c r="R240" s="14" cm="1">
        <f t="array" ref="R240">INT(SUMPRODUCT(--ISNUMBER(SEARCH(race,C240)))&gt;0)</f>
        <v>0</v>
      </c>
      <c r="S240" s="14" cm="1">
        <f t="array" ref="S240">INT(SUMPRODUCT(--ISNUMBER(SEARCH(immigration,C240)))&gt;0)</f>
        <v>0</v>
      </c>
      <c r="T240" s="14" cm="1">
        <f t="array" ref="T240">INT(SUMPRODUCT(--ISNUMBER(SEARCH(econineq,C241)))&gt;0)</f>
        <v>0</v>
      </c>
      <c r="U240" s="14" cm="1">
        <f t="array" ref="U240">INT(SUMPRODUCT(--ISNUMBER(SEARCH(climate,C240)))&gt;0)</f>
        <v>0</v>
      </c>
      <c r="V240" s="14" cm="1">
        <f t="array" ref="V240">INT(SUMPRODUCT(--ISNUMBER(SEARCH(abortion,C240)))&gt;0)</f>
        <v>0</v>
      </c>
      <c r="W240" s="14" cm="1">
        <f t="array" ref="W240">INT(SUMPRODUCT(--ISNUMBER(SEARCH(trump,C240)))&gt;0)</f>
        <v>0</v>
      </c>
      <c r="X240" s="14" cm="1">
        <f t="array" ref="X240">INT(SUMPRODUCT(--ISNUMBER(SEARCH(voting,C240)))&gt;0)</f>
        <v>0</v>
      </c>
      <c r="Y240" s="14" cm="1">
        <f t="array" ref="Y240">INT(SUMPRODUCT(--ISNUMBER(SEARCH(republicantrigger,C240)))&gt;0)</f>
        <v>0</v>
      </c>
      <c r="Z240" s="14" cm="1">
        <f t="array" ref="Z240">INT(SUMPRODUCT(--ISNUMBER(SEARCH(bipartisan,C240)))&gt;0)</f>
        <v>0</v>
      </c>
      <c r="AA240" s="14">
        <f t="shared" si="3"/>
        <v>1</v>
      </c>
      <c r="AB240" s="14"/>
      <c r="AC240" s="30">
        <v>1</v>
      </c>
      <c r="AD240" s="37">
        <v>0</v>
      </c>
    </row>
    <row r="241" spans="1:30" x14ac:dyDescent="0.25">
      <c r="A241" s="36">
        <v>1448</v>
      </c>
      <c r="B241" s="14" t="s">
        <v>2923</v>
      </c>
      <c r="C241" s="14" t="s">
        <v>2924</v>
      </c>
      <c r="D241" s="17">
        <v>44112</v>
      </c>
      <c r="E241" s="14" t="s">
        <v>30</v>
      </c>
      <c r="F241" s="14">
        <v>28</v>
      </c>
      <c r="G241" s="14">
        <v>7</v>
      </c>
      <c r="H241" s="14">
        <v>7</v>
      </c>
      <c r="I241" s="14">
        <v>4</v>
      </c>
      <c r="J241" s="14" t="s">
        <v>31</v>
      </c>
      <c r="K241" s="14" cm="1">
        <f t="array" ref="K241">INT(SUMPRODUCT(--ISNUMBER(SEARCH(economy,C241)))&gt;0)</f>
        <v>1</v>
      </c>
      <c r="L241" s="14" cm="1">
        <f t="array" ref="L241">INT(SUMPRODUCT(--ISNUMBER(SEARCH(healthcare,C241)))&gt;0)</f>
        <v>1</v>
      </c>
      <c r="M241" s="14" cm="1">
        <f t="array" ref="M241">INT(SUMPRODUCT(--ISNUMBER(SEARCH(supreme,C241)))&gt;0)</f>
        <v>0</v>
      </c>
      <c r="N241" s="14" cm="1">
        <f t="array" ref="N241">INT(SUMPRODUCT(--ISNUMBER(SEARCH(covid,C241)))&gt;0)</f>
        <v>0</v>
      </c>
      <c r="O241" s="14" cm="1">
        <f t="array" ref="O241">INT(SUMPRODUCT(--ISNUMBER(SEARCH(violent,C241)))&gt;0)</f>
        <v>0</v>
      </c>
      <c r="P241" s="14" cm="1">
        <f t="array" ref="P241">INT(SUMPRODUCT(--ISNUMBER(SEARCH(foreign,C241)))&gt;0)</f>
        <v>0</v>
      </c>
      <c r="Q241" s="14" cm="1">
        <f t="array" ref="Q241">INT(SUMPRODUCT(--ISNUMBER(SEARCH(gun,C241)))&gt;0)</f>
        <v>0</v>
      </c>
      <c r="R241" s="14" cm="1">
        <f t="array" ref="R241">INT(SUMPRODUCT(--ISNUMBER(SEARCH(race,C241)))&gt;0)</f>
        <v>0</v>
      </c>
      <c r="S241" s="14" cm="1">
        <f t="array" ref="S241">INT(SUMPRODUCT(--ISNUMBER(SEARCH(immigration,C241)))&gt;0)</f>
        <v>0</v>
      </c>
      <c r="T241" s="14" cm="1">
        <f t="array" ref="T241">INT(SUMPRODUCT(--ISNUMBER(SEARCH(econineq,C242)))&gt;0)</f>
        <v>0</v>
      </c>
      <c r="U241" s="14" cm="1">
        <f t="array" ref="U241">INT(SUMPRODUCT(--ISNUMBER(SEARCH(climate,C241)))&gt;0)</f>
        <v>0</v>
      </c>
      <c r="V241" s="14" cm="1">
        <f t="array" ref="V241">INT(SUMPRODUCT(--ISNUMBER(SEARCH(abortion,C241)))&gt;0)</f>
        <v>0</v>
      </c>
      <c r="W241" s="14" cm="1">
        <f t="array" ref="W241">INT(SUMPRODUCT(--ISNUMBER(SEARCH(trump,C241)))&gt;0)</f>
        <v>0</v>
      </c>
      <c r="X241" s="14" cm="1">
        <f t="array" ref="X241">INT(SUMPRODUCT(--ISNUMBER(SEARCH(voting,C241)))&gt;0)</f>
        <v>0</v>
      </c>
      <c r="Y241" s="14" cm="1">
        <f t="array" ref="Y241">INT(SUMPRODUCT(--ISNUMBER(SEARCH(republicantrigger,C241)))&gt;0)</f>
        <v>0</v>
      </c>
      <c r="Z241" s="14" cm="1">
        <f t="array" ref="Z241">INT(SUMPRODUCT(--ISNUMBER(SEARCH(bipartisan,C241)))&gt;0)</f>
        <v>0</v>
      </c>
      <c r="AA241" s="14">
        <f t="shared" si="3"/>
        <v>0</v>
      </c>
      <c r="AB241" s="14"/>
      <c r="AC241" s="30">
        <v>1</v>
      </c>
      <c r="AD241" s="37">
        <v>0</v>
      </c>
    </row>
    <row r="242" spans="1:30" x14ac:dyDescent="0.25">
      <c r="A242" s="36">
        <v>1449</v>
      </c>
      <c r="B242" s="14" t="s">
        <v>2925</v>
      </c>
      <c r="C242" s="14" t="s">
        <v>2926</v>
      </c>
      <c r="D242" s="17">
        <v>44112</v>
      </c>
      <c r="E242" s="14" t="s">
        <v>30</v>
      </c>
      <c r="F242" s="14">
        <v>24</v>
      </c>
      <c r="G242" s="14">
        <v>4</v>
      </c>
      <c r="H242" s="14">
        <v>7</v>
      </c>
      <c r="I242" s="14">
        <v>4</v>
      </c>
      <c r="J242" s="14" t="s">
        <v>31</v>
      </c>
      <c r="K242" s="14" cm="1">
        <f t="array" ref="K242">INT(SUMPRODUCT(--ISNUMBER(SEARCH(economy,C242)))&gt;0)</f>
        <v>1</v>
      </c>
      <c r="L242" s="14" cm="1">
        <f t="array" ref="L242">INT(SUMPRODUCT(--ISNUMBER(SEARCH(healthcare,C242)))&gt;0)</f>
        <v>1</v>
      </c>
      <c r="M242" s="14" cm="1">
        <f t="array" ref="M242">INT(SUMPRODUCT(--ISNUMBER(SEARCH(supreme,C242)))&gt;0)</f>
        <v>0</v>
      </c>
      <c r="N242" s="14" cm="1">
        <f t="array" ref="N242">INT(SUMPRODUCT(--ISNUMBER(SEARCH(covid,C242)))&gt;0)</f>
        <v>0</v>
      </c>
      <c r="O242" s="14" cm="1">
        <f t="array" ref="O242">INT(SUMPRODUCT(--ISNUMBER(SEARCH(violent,C242)))&gt;0)</f>
        <v>0</v>
      </c>
      <c r="P242" s="14" cm="1">
        <f t="array" ref="P242">INT(SUMPRODUCT(--ISNUMBER(SEARCH(foreign,C242)))&gt;0)</f>
        <v>0</v>
      </c>
      <c r="Q242" s="14" cm="1">
        <f t="array" ref="Q242">INT(SUMPRODUCT(--ISNUMBER(SEARCH(gun,C242)))&gt;0)</f>
        <v>1</v>
      </c>
      <c r="R242" s="14" cm="1">
        <f t="array" ref="R242">INT(SUMPRODUCT(--ISNUMBER(SEARCH(race,C242)))&gt;0)</f>
        <v>0</v>
      </c>
      <c r="S242" s="14" cm="1">
        <f t="array" ref="S242">INT(SUMPRODUCT(--ISNUMBER(SEARCH(immigration,C242)))&gt;0)</f>
        <v>0</v>
      </c>
      <c r="T242" s="14" cm="1">
        <f t="array" ref="T242">INT(SUMPRODUCT(--ISNUMBER(SEARCH(econineq,C243)))&gt;0)</f>
        <v>0</v>
      </c>
      <c r="U242" s="14" cm="1">
        <f t="array" ref="U242">INT(SUMPRODUCT(--ISNUMBER(SEARCH(climate,C242)))&gt;0)</f>
        <v>0</v>
      </c>
      <c r="V242" s="14" cm="1">
        <f t="array" ref="V242">INT(SUMPRODUCT(--ISNUMBER(SEARCH(abortion,C242)))&gt;0)</f>
        <v>0</v>
      </c>
      <c r="W242" s="14" cm="1">
        <f t="array" ref="W242">INT(SUMPRODUCT(--ISNUMBER(SEARCH(trump,C242)))&gt;0)</f>
        <v>0</v>
      </c>
      <c r="X242" s="14" cm="1">
        <f t="array" ref="X242">INT(SUMPRODUCT(--ISNUMBER(SEARCH(voting,C242)))&gt;0)</f>
        <v>0</v>
      </c>
      <c r="Y242" s="14" cm="1">
        <f t="array" ref="Y242">INT(SUMPRODUCT(--ISNUMBER(SEARCH(republicantrigger,C242)))&gt;0)</f>
        <v>0</v>
      </c>
      <c r="Z242" s="14" cm="1">
        <f t="array" ref="Z242">INT(SUMPRODUCT(--ISNUMBER(SEARCH(bipartisan,C242)))&gt;0)</f>
        <v>0</v>
      </c>
      <c r="AA242" s="14">
        <f t="shared" si="3"/>
        <v>0</v>
      </c>
      <c r="AB242" s="14"/>
      <c r="AC242" s="30">
        <v>1</v>
      </c>
      <c r="AD242" s="37">
        <v>0</v>
      </c>
    </row>
    <row r="243" spans="1:30" x14ac:dyDescent="0.25">
      <c r="A243" s="36">
        <v>1450</v>
      </c>
      <c r="B243" s="14" t="s">
        <v>2927</v>
      </c>
      <c r="C243" s="14" t="s">
        <v>2928</v>
      </c>
      <c r="D243" s="17">
        <v>44112</v>
      </c>
      <c r="E243" s="14" t="s">
        <v>30</v>
      </c>
      <c r="F243" s="14">
        <v>31</v>
      </c>
      <c r="G243" s="14">
        <v>6</v>
      </c>
      <c r="H243" s="14">
        <v>7</v>
      </c>
      <c r="I243" s="14">
        <v>4</v>
      </c>
      <c r="J243" s="14" t="s">
        <v>31</v>
      </c>
      <c r="K243" s="14" cm="1">
        <f t="array" ref="K243">INT(SUMPRODUCT(--ISNUMBER(SEARCH(economy,C243)))&gt;0)</f>
        <v>0</v>
      </c>
      <c r="L243" s="14" cm="1">
        <f t="array" ref="L243">INT(SUMPRODUCT(--ISNUMBER(SEARCH(healthcare,C243)))&gt;0)</f>
        <v>0</v>
      </c>
      <c r="M243" s="14" cm="1">
        <f t="array" ref="M243">INT(SUMPRODUCT(--ISNUMBER(SEARCH(supreme,C243)))&gt;0)</f>
        <v>0</v>
      </c>
      <c r="N243" s="14" cm="1">
        <f t="array" ref="N243">INT(SUMPRODUCT(--ISNUMBER(SEARCH(covid,C243)))&gt;0)</f>
        <v>0</v>
      </c>
      <c r="O243" s="14" cm="1">
        <f t="array" ref="O243">INT(SUMPRODUCT(--ISNUMBER(SEARCH(violent,C243)))&gt;0)</f>
        <v>0</v>
      </c>
      <c r="P243" s="14" cm="1">
        <f t="array" ref="P243">INT(SUMPRODUCT(--ISNUMBER(SEARCH(foreign,C243)))&gt;0)</f>
        <v>0</v>
      </c>
      <c r="Q243" s="14" cm="1">
        <f t="array" ref="Q243">INT(SUMPRODUCT(--ISNUMBER(SEARCH(gun,C243)))&gt;0)</f>
        <v>0</v>
      </c>
      <c r="R243" s="14" cm="1">
        <f t="array" ref="R243">INT(SUMPRODUCT(--ISNUMBER(SEARCH(race,C243)))&gt;0)</f>
        <v>0</v>
      </c>
      <c r="S243" s="14" cm="1">
        <f t="array" ref="S243">INT(SUMPRODUCT(--ISNUMBER(SEARCH(immigration,C243)))&gt;0)</f>
        <v>0</v>
      </c>
      <c r="T243" s="14" cm="1">
        <f t="array" ref="T243">INT(SUMPRODUCT(--ISNUMBER(SEARCH(econineq,C244)))&gt;0)</f>
        <v>0</v>
      </c>
      <c r="U243" s="14" cm="1">
        <f t="array" ref="U243">INT(SUMPRODUCT(--ISNUMBER(SEARCH(climate,C243)))&gt;0)</f>
        <v>0</v>
      </c>
      <c r="V243" s="14" cm="1">
        <f t="array" ref="V243">INT(SUMPRODUCT(--ISNUMBER(SEARCH(abortion,C243)))&gt;0)</f>
        <v>0</v>
      </c>
      <c r="W243" s="14" cm="1">
        <f t="array" ref="W243">INT(SUMPRODUCT(--ISNUMBER(SEARCH(trump,C243)))&gt;0)</f>
        <v>0</v>
      </c>
      <c r="X243" s="14" cm="1">
        <f t="array" ref="X243">INT(SUMPRODUCT(--ISNUMBER(SEARCH(voting,C243)))&gt;0)</f>
        <v>0</v>
      </c>
      <c r="Y243" s="14" cm="1">
        <f t="array" ref="Y243">INT(SUMPRODUCT(--ISNUMBER(SEARCH(republicantrigger,C243)))&gt;0)</f>
        <v>0</v>
      </c>
      <c r="Z243" s="14" cm="1">
        <f t="array" ref="Z243">INT(SUMPRODUCT(--ISNUMBER(SEARCH(bipartisan,C243)))&gt;0)</f>
        <v>0</v>
      </c>
      <c r="AA243" s="14">
        <f t="shared" si="3"/>
        <v>1</v>
      </c>
      <c r="AB243" s="14"/>
      <c r="AC243" s="30">
        <v>1</v>
      </c>
      <c r="AD243" s="37">
        <v>0</v>
      </c>
    </row>
    <row r="244" spans="1:30" x14ac:dyDescent="0.25">
      <c r="A244" s="36">
        <v>1451</v>
      </c>
      <c r="B244" s="14" t="s">
        <v>2929</v>
      </c>
      <c r="C244" s="14" t="s">
        <v>2930</v>
      </c>
      <c r="D244" s="17">
        <v>44112</v>
      </c>
      <c r="E244" s="14" t="s">
        <v>30</v>
      </c>
      <c r="F244" s="14">
        <v>49</v>
      </c>
      <c r="G244" s="14">
        <v>11</v>
      </c>
      <c r="H244" s="14">
        <v>7</v>
      </c>
      <c r="I244" s="14">
        <v>4</v>
      </c>
      <c r="J244" s="14" t="s">
        <v>31</v>
      </c>
      <c r="K244" s="14" cm="1">
        <f t="array" ref="K244">INT(SUMPRODUCT(--ISNUMBER(SEARCH(economy,C244)))&gt;0)</f>
        <v>0</v>
      </c>
      <c r="L244" s="14" cm="1">
        <f t="array" ref="L244">INT(SUMPRODUCT(--ISNUMBER(SEARCH(healthcare,C244)))&gt;0)</f>
        <v>0</v>
      </c>
      <c r="M244" s="14" cm="1">
        <f t="array" ref="M244">INT(SUMPRODUCT(--ISNUMBER(SEARCH(supreme,C244)))&gt;0)</f>
        <v>0</v>
      </c>
      <c r="N244" s="14" cm="1">
        <f t="array" ref="N244">INT(SUMPRODUCT(--ISNUMBER(SEARCH(covid,C244)))&gt;0)</f>
        <v>0</v>
      </c>
      <c r="O244" s="14" cm="1">
        <f t="array" ref="O244">INT(SUMPRODUCT(--ISNUMBER(SEARCH(violent,C244)))&gt;0)</f>
        <v>0</v>
      </c>
      <c r="P244" s="14" cm="1">
        <f t="array" ref="P244">INT(SUMPRODUCT(--ISNUMBER(SEARCH(foreign,C244)))&gt;0)</f>
        <v>0</v>
      </c>
      <c r="Q244" s="14" cm="1">
        <f t="array" ref="Q244">INT(SUMPRODUCT(--ISNUMBER(SEARCH(gun,C244)))&gt;0)</f>
        <v>0</v>
      </c>
      <c r="R244" s="14" cm="1">
        <f t="array" ref="R244">INT(SUMPRODUCT(--ISNUMBER(SEARCH(race,C244)))&gt;0)</f>
        <v>0</v>
      </c>
      <c r="S244" s="14" cm="1">
        <f t="array" ref="S244">INT(SUMPRODUCT(--ISNUMBER(SEARCH(immigration,C244)))&gt;0)</f>
        <v>0</v>
      </c>
      <c r="T244" s="14" cm="1">
        <f t="array" ref="T244">INT(SUMPRODUCT(--ISNUMBER(SEARCH(econineq,C245)))&gt;0)</f>
        <v>0</v>
      </c>
      <c r="U244" s="14" cm="1">
        <f t="array" ref="U244">INT(SUMPRODUCT(--ISNUMBER(SEARCH(climate,C244)))&gt;0)</f>
        <v>0</v>
      </c>
      <c r="V244" s="14" cm="1">
        <f t="array" ref="V244">INT(SUMPRODUCT(--ISNUMBER(SEARCH(abortion,C244)))&gt;0)</f>
        <v>0</v>
      </c>
      <c r="W244" s="14" cm="1">
        <f t="array" ref="W244">INT(SUMPRODUCT(--ISNUMBER(SEARCH(trump,C244)))&gt;0)</f>
        <v>0</v>
      </c>
      <c r="X244" s="14" cm="1">
        <f t="array" ref="X244">INT(SUMPRODUCT(--ISNUMBER(SEARCH(voting,C244)))&gt;0)</f>
        <v>1</v>
      </c>
      <c r="Y244" s="14" cm="1">
        <f t="array" ref="Y244">INT(SUMPRODUCT(--ISNUMBER(SEARCH(republicantrigger,C244)))&gt;0)</f>
        <v>0</v>
      </c>
      <c r="Z244" s="14" cm="1">
        <f t="array" ref="Z244">INT(SUMPRODUCT(--ISNUMBER(SEARCH(bipartisan,C244)))&gt;0)</f>
        <v>0</v>
      </c>
      <c r="AA244" s="14">
        <f t="shared" si="3"/>
        <v>0</v>
      </c>
      <c r="AB244" s="14"/>
      <c r="AC244" s="30">
        <v>0</v>
      </c>
      <c r="AD244" s="37">
        <v>0</v>
      </c>
    </row>
    <row r="245" spans="1:30" x14ac:dyDescent="0.25">
      <c r="A245" s="36">
        <v>1452</v>
      </c>
      <c r="B245" s="14" t="s">
        <v>2931</v>
      </c>
      <c r="C245" s="14" t="s">
        <v>2932</v>
      </c>
      <c r="D245" s="17">
        <v>44111</v>
      </c>
      <c r="E245" s="14" t="s">
        <v>30</v>
      </c>
      <c r="F245" s="14">
        <v>111</v>
      </c>
      <c r="G245" s="14">
        <v>26</v>
      </c>
      <c r="H245" s="14">
        <v>7</v>
      </c>
      <c r="I245" s="14">
        <v>4</v>
      </c>
      <c r="J245" s="14" t="s">
        <v>31</v>
      </c>
      <c r="K245" s="14" cm="1">
        <f t="array" ref="K245">INT(SUMPRODUCT(--ISNUMBER(SEARCH(economy,C245)))&gt;0)</f>
        <v>0</v>
      </c>
      <c r="L245" s="14" cm="1">
        <f t="array" ref="L245">INT(SUMPRODUCT(--ISNUMBER(SEARCH(healthcare,C245)))&gt;0)</f>
        <v>0</v>
      </c>
      <c r="M245" s="14" cm="1">
        <f t="array" ref="M245">INT(SUMPRODUCT(--ISNUMBER(SEARCH(supreme,C245)))&gt;0)</f>
        <v>0</v>
      </c>
      <c r="N245" s="14" cm="1">
        <f t="array" ref="N245">INT(SUMPRODUCT(--ISNUMBER(SEARCH(covid,C245)))&gt;0)</f>
        <v>0</v>
      </c>
      <c r="O245" s="14" cm="1">
        <f t="array" ref="O245">INT(SUMPRODUCT(--ISNUMBER(SEARCH(violent,C245)))&gt;0)</f>
        <v>0</v>
      </c>
      <c r="P245" s="14" cm="1">
        <f t="array" ref="P245">INT(SUMPRODUCT(--ISNUMBER(SEARCH(foreign,C245)))&gt;0)</f>
        <v>0</v>
      </c>
      <c r="Q245" s="14" cm="1">
        <f t="array" ref="Q245">INT(SUMPRODUCT(--ISNUMBER(SEARCH(gun,C245)))&gt;0)</f>
        <v>0</v>
      </c>
      <c r="R245" s="14" cm="1">
        <f t="array" ref="R245">INT(SUMPRODUCT(--ISNUMBER(SEARCH(race,C245)))&gt;0)</f>
        <v>0</v>
      </c>
      <c r="S245" s="14" cm="1">
        <f t="array" ref="S245">INT(SUMPRODUCT(--ISNUMBER(SEARCH(immigration,C245)))&gt;0)</f>
        <v>0</v>
      </c>
      <c r="T245" s="14" cm="1">
        <f t="array" ref="T245">INT(SUMPRODUCT(--ISNUMBER(SEARCH(econineq,C246)))&gt;0)</f>
        <v>0</v>
      </c>
      <c r="U245" s="14" cm="1">
        <f t="array" ref="U245">INT(SUMPRODUCT(--ISNUMBER(SEARCH(climate,C245)))&gt;0)</f>
        <v>0</v>
      </c>
      <c r="V245" s="14" cm="1">
        <f t="array" ref="V245">INT(SUMPRODUCT(--ISNUMBER(SEARCH(abortion,C245)))&gt;0)</f>
        <v>0</v>
      </c>
      <c r="W245" s="14" cm="1">
        <f t="array" ref="W245">INT(SUMPRODUCT(--ISNUMBER(SEARCH(trump,C245)))&gt;0)</f>
        <v>0</v>
      </c>
      <c r="X245" s="14" cm="1">
        <f t="array" ref="X245">INT(SUMPRODUCT(--ISNUMBER(SEARCH(voting,C245)))&gt;0)</f>
        <v>0</v>
      </c>
      <c r="Y245" s="14" cm="1">
        <f t="array" ref="Y245">INT(SUMPRODUCT(--ISNUMBER(SEARCH(republicantrigger,C245)))&gt;0)</f>
        <v>0</v>
      </c>
      <c r="Z245" s="14" cm="1">
        <f t="array" ref="Z245">INT(SUMPRODUCT(--ISNUMBER(SEARCH(bipartisan,C245)))&gt;0)</f>
        <v>0</v>
      </c>
      <c r="AA245" s="14">
        <f t="shared" si="3"/>
        <v>1</v>
      </c>
      <c r="AB245" s="14"/>
      <c r="AC245" s="30">
        <v>0</v>
      </c>
      <c r="AD245" s="37">
        <v>0</v>
      </c>
    </row>
    <row r="246" spans="1:30" x14ac:dyDescent="0.25">
      <c r="A246" s="36">
        <v>1453</v>
      </c>
      <c r="B246" s="14" t="s">
        <v>2933</v>
      </c>
      <c r="C246" s="14" t="s">
        <v>2934</v>
      </c>
      <c r="D246" s="17">
        <v>44111</v>
      </c>
      <c r="E246" s="14" t="s">
        <v>30</v>
      </c>
      <c r="F246" s="14">
        <v>77</v>
      </c>
      <c r="G246" s="14">
        <v>18</v>
      </c>
      <c r="H246" s="14">
        <v>7</v>
      </c>
      <c r="I246" s="14">
        <v>4</v>
      </c>
      <c r="J246" s="14" t="s">
        <v>31</v>
      </c>
      <c r="K246" s="14" cm="1">
        <f t="array" ref="K246">INT(SUMPRODUCT(--ISNUMBER(SEARCH(economy,C246)))&gt;0)</f>
        <v>0</v>
      </c>
      <c r="L246" s="14" cm="1">
        <f t="array" ref="L246">INT(SUMPRODUCT(--ISNUMBER(SEARCH(healthcare,C246)))&gt;0)</f>
        <v>0</v>
      </c>
      <c r="M246" s="14" cm="1">
        <f t="array" ref="M246">INT(SUMPRODUCT(--ISNUMBER(SEARCH(supreme,C246)))&gt;0)</f>
        <v>0</v>
      </c>
      <c r="N246" s="14" cm="1">
        <f t="array" ref="N246">INT(SUMPRODUCT(--ISNUMBER(SEARCH(covid,C246)))&gt;0)</f>
        <v>0</v>
      </c>
      <c r="O246" s="14" cm="1">
        <f t="array" ref="O246">INT(SUMPRODUCT(--ISNUMBER(SEARCH(violent,C246)))&gt;0)</f>
        <v>0</v>
      </c>
      <c r="P246" s="14" cm="1">
        <f t="array" ref="P246">INT(SUMPRODUCT(--ISNUMBER(SEARCH(foreign,C246)))&gt;0)</f>
        <v>0</v>
      </c>
      <c r="Q246" s="14" cm="1">
        <f t="array" ref="Q246">INT(SUMPRODUCT(--ISNUMBER(SEARCH(gun,C246)))&gt;0)</f>
        <v>0</v>
      </c>
      <c r="R246" s="14" cm="1">
        <f t="array" ref="R246">INT(SUMPRODUCT(--ISNUMBER(SEARCH(race,C246)))&gt;0)</f>
        <v>0</v>
      </c>
      <c r="S246" s="14" cm="1">
        <f t="array" ref="S246">INT(SUMPRODUCT(--ISNUMBER(SEARCH(immigration,C246)))&gt;0)</f>
        <v>0</v>
      </c>
      <c r="T246" s="14" cm="1">
        <f t="array" ref="T246">INT(SUMPRODUCT(--ISNUMBER(SEARCH(econineq,C247)))&gt;0)</f>
        <v>0</v>
      </c>
      <c r="U246" s="14" cm="1">
        <f t="array" ref="U246">INT(SUMPRODUCT(--ISNUMBER(SEARCH(climate,C246)))&gt;0)</f>
        <v>0</v>
      </c>
      <c r="V246" s="14" cm="1">
        <f t="array" ref="V246">INT(SUMPRODUCT(--ISNUMBER(SEARCH(abortion,C246)))&gt;0)</f>
        <v>0</v>
      </c>
      <c r="W246" s="14" cm="1">
        <f t="array" ref="W246">INT(SUMPRODUCT(--ISNUMBER(SEARCH(trump,C246)))&gt;0)</f>
        <v>0</v>
      </c>
      <c r="X246" s="14" cm="1">
        <f t="array" ref="X246">INT(SUMPRODUCT(--ISNUMBER(SEARCH(voting,C246)))&gt;0)</f>
        <v>0</v>
      </c>
      <c r="Y246" s="14" cm="1">
        <f t="array" ref="Y246">INT(SUMPRODUCT(--ISNUMBER(SEARCH(republicantrigger,C246)))&gt;0)</f>
        <v>0</v>
      </c>
      <c r="Z246" s="14" cm="1">
        <f t="array" ref="Z246">INT(SUMPRODUCT(--ISNUMBER(SEARCH(bipartisan,C246)))&gt;0)</f>
        <v>0</v>
      </c>
      <c r="AA246" s="14">
        <f t="shared" si="3"/>
        <v>1</v>
      </c>
      <c r="AB246" s="14"/>
      <c r="AC246" s="30">
        <v>1</v>
      </c>
      <c r="AD246" s="37">
        <v>0</v>
      </c>
    </row>
    <row r="247" spans="1:30" x14ac:dyDescent="0.25">
      <c r="A247" s="36">
        <v>1454</v>
      </c>
      <c r="B247" s="14" t="s">
        <v>2935</v>
      </c>
      <c r="C247" s="14" t="s">
        <v>2936</v>
      </c>
      <c r="D247" s="17">
        <v>44111</v>
      </c>
      <c r="E247" s="14" t="s">
        <v>30</v>
      </c>
      <c r="F247" s="14">
        <v>22</v>
      </c>
      <c r="G247" s="14">
        <v>6</v>
      </c>
      <c r="H247" s="14">
        <v>7</v>
      </c>
      <c r="I247" s="14">
        <v>4</v>
      </c>
      <c r="J247" s="14" t="s">
        <v>31</v>
      </c>
      <c r="K247" s="14" cm="1">
        <f t="array" ref="K247">INT(SUMPRODUCT(--ISNUMBER(SEARCH(economy,C247)))&gt;0)</f>
        <v>0</v>
      </c>
      <c r="L247" s="14" cm="1">
        <f t="array" ref="L247">INT(SUMPRODUCT(--ISNUMBER(SEARCH(healthcare,C247)))&gt;0)</f>
        <v>0</v>
      </c>
      <c r="M247" s="14" cm="1">
        <f t="array" ref="M247">INT(SUMPRODUCT(--ISNUMBER(SEARCH(supreme,C247)))&gt;0)</f>
        <v>0</v>
      </c>
      <c r="N247" s="14" cm="1">
        <f t="array" ref="N247">INT(SUMPRODUCT(--ISNUMBER(SEARCH(covid,C247)))&gt;0)</f>
        <v>0</v>
      </c>
      <c r="O247" s="14" cm="1">
        <f t="array" ref="O247">INT(SUMPRODUCT(--ISNUMBER(SEARCH(violent,C247)))&gt;0)</f>
        <v>0</v>
      </c>
      <c r="P247" s="14" cm="1">
        <f t="array" ref="P247">INT(SUMPRODUCT(--ISNUMBER(SEARCH(foreign,C247)))&gt;0)</f>
        <v>0</v>
      </c>
      <c r="Q247" s="14" cm="1">
        <f t="array" ref="Q247">INT(SUMPRODUCT(--ISNUMBER(SEARCH(gun,C247)))&gt;0)</f>
        <v>0</v>
      </c>
      <c r="R247" s="14" cm="1">
        <f t="array" ref="R247">INT(SUMPRODUCT(--ISNUMBER(SEARCH(race,C247)))&gt;0)</f>
        <v>0</v>
      </c>
      <c r="S247" s="14" cm="1">
        <f t="array" ref="S247">INT(SUMPRODUCT(--ISNUMBER(SEARCH(immigration,C247)))&gt;0)</f>
        <v>0</v>
      </c>
      <c r="T247" s="14" cm="1">
        <f t="array" ref="T247">INT(SUMPRODUCT(--ISNUMBER(SEARCH(econineq,C248)))&gt;0)</f>
        <v>0</v>
      </c>
      <c r="U247" s="14" cm="1">
        <f t="array" ref="U247">INT(SUMPRODUCT(--ISNUMBER(SEARCH(climate,C247)))&gt;0)</f>
        <v>0</v>
      </c>
      <c r="V247" s="14" cm="1">
        <f t="array" ref="V247">INT(SUMPRODUCT(--ISNUMBER(SEARCH(abortion,C247)))&gt;0)</f>
        <v>0</v>
      </c>
      <c r="W247" s="14" cm="1">
        <f t="array" ref="W247">INT(SUMPRODUCT(--ISNUMBER(SEARCH(trump,C247)))&gt;0)</f>
        <v>0</v>
      </c>
      <c r="X247" s="14" cm="1">
        <f t="array" ref="X247">INT(SUMPRODUCT(--ISNUMBER(SEARCH(voting,C247)))&gt;0)</f>
        <v>1</v>
      </c>
      <c r="Y247" s="14" cm="1">
        <f t="array" ref="Y247">INT(SUMPRODUCT(--ISNUMBER(SEARCH(republicantrigger,C247)))&gt;0)</f>
        <v>0</v>
      </c>
      <c r="Z247" s="14" cm="1">
        <f t="array" ref="Z247">INT(SUMPRODUCT(--ISNUMBER(SEARCH(bipartisan,C247)))&gt;0)</f>
        <v>1</v>
      </c>
      <c r="AA247" s="14">
        <f t="shared" si="3"/>
        <v>0</v>
      </c>
      <c r="AB247" s="14"/>
      <c r="AC247" s="30">
        <v>1</v>
      </c>
      <c r="AD247" s="37">
        <v>0</v>
      </c>
    </row>
    <row r="248" spans="1:30" x14ac:dyDescent="0.25">
      <c r="A248" s="36">
        <v>1455</v>
      </c>
      <c r="B248" s="14" t="s">
        <v>2937</v>
      </c>
      <c r="C248" s="14" t="s">
        <v>2938</v>
      </c>
      <c r="D248" s="17">
        <v>44110</v>
      </c>
      <c r="E248" s="14" t="s">
        <v>30</v>
      </c>
      <c r="F248" s="14">
        <v>43</v>
      </c>
      <c r="G248" s="14">
        <v>18</v>
      </c>
      <c r="H248" s="14">
        <v>7</v>
      </c>
      <c r="I248" s="14">
        <v>4</v>
      </c>
      <c r="J248" s="14" t="s">
        <v>31</v>
      </c>
      <c r="K248" s="14" cm="1">
        <f t="array" ref="K248">INT(SUMPRODUCT(--ISNUMBER(SEARCH(economy,C248)))&gt;0)</f>
        <v>0</v>
      </c>
      <c r="L248" s="14" cm="1">
        <f t="array" ref="L248">INT(SUMPRODUCT(--ISNUMBER(SEARCH(healthcare,C248)))&gt;0)</f>
        <v>0</v>
      </c>
      <c r="M248" s="14" cm="1">
        <f t="array" ref="M248">INT(SUMPRODUCT(--ISNUMBER(SEARCH(supreme,C248)))&gt;0)</f>
        <v>0</v>
      </c>
      <c r="N248" s="14" cm="1">
        <f t="array" ref="N248">INT(SUMPRODUCT(--ISNUMBER(SEARCH(covid,C248)))&gt;0)</f>
        <v>0</v>
      </c>
      <c r="O248" s="14" cm="1">
        <f t="array" ref="O248">INT(SUMPRODUCT(--ISNUMBER(SEARCH(violent,C248)))&gt;0)</f>
        <v>0</v>
      </c>
      <c r="P248" s="14" cm="1">
        <f t="array" ref="P248">INT(SUMPRODUCT(--ISNUMBER(SEARCH(foreign,C248)))&gt;0)</f>
        <v>0</v>
      </c>
      <c r="Q248" s="14" cm="1">
        <f t="array" ref="Q248">INT(SUMPRODUCT(--ISNUMBER(SEARCH(gun,C248)))&gt;0)</f>
        <v>0</v>
      </c>
      <c r="R248" s="14" cm="1">
        <f t="array" ref="R248">INT(SUMPRODUCT(--ISNUMBER(SEARCH(race,C248)))&gt;0)</f>
        <v>0</v>
      </c>
      <c r="S248" s="14" cm="1">
        <f t="array" ref="S248">INT(SUMPRODUCT(--ISNUMBER(SEARCH(immigration,C248)))&gt;0)</f>
        <v>0</v>
      </c>
      <c r="T248" s="14" cm="1">
        <f t="array" ref="T248">INT(SUMPRODUCT(--ISNUMBER(SEARCH(econineq,C249)))&gt;0)</f>
        <v>0</v>
      </c>
      <c r="U248" s="14" cm="1">
        <f t="array" ref="U248">INT(SUMPRODUCT(--ISNUMBER(SEARCH(climate,C248)))&gt;0)</f>
        <v>0</v>
      </c>
      <c r="V248" s="14" cm="1">
        <f t="array" ref="V248">INT(SUMPRODUCT(--ISNUMBER(SEARCH(abortion,C248)))&gt;0)</f>
        <v>0</v>
      </c>
      <c r="W248" s="14" cm="1">
        <f t="array" ref="W248">INT(SUMPRODUCT(--ISNUMBER(SEARCH(trump,C248)))&gt;0)</f>
        <v>0</v>
      </c>
      <c r="X248" s="14" cm="1">
        <f t="array" ref="X248">INT(SUMPRODUCT(--ISNUMBER(SEARCH(voting,C248)))&gt;0)</f>
        <v>0</v>
      </c>
      <c r="Y248" s="14" cm="1">
        <f t="array" ref="Y248">INT(SUMPRODUCT(--ISNUMBER(SEARCH(republicantrigger,C248)))&gt;0)</f>
        <v>0</v>
      </c>
      <c r="Z248" s="14" cm="1">
        <f t="array" ref="Z248">INT(SUMPRODUCT(--ISNUMBER(SEARCH(bipartisan,C248)))&gt;0)</f>
        <v>0</v>
      </c>
      <c r="AA248" s="14">
        <f t="shared" si="3"/>
        <v>1</v>
      </c>
      <c r="AB248" s="14"/>
      <c r="AC248" s="30">
        <v>0</v>
      </c>
      <c r="AD248" s="37">
        <v>1</v>
      </c>
    </row>
    <row r="249" spans="1:30" x14ac:dyDescent="0.25">
      <c r="A249" s="36">
        <v>1456</v>
      </c>
      <c r="B249" s="14" t="s">
        <v>2939</v>
      </c>
      <c r="C249" s="14" t="s">
        <v>2940</v>
      </c>
      <c r="D249" s="17">
        <v>44110</v>
      </c>
      <c r="E249" s="14" t="s">
        <v>30</v>
      </c>
      <c r="F249" s="14">
        <v>29</v>
      </c>
      <c r="G249" s="14">
        <v>7</v>
      </c>
      <c r="H249" s="14">
        <v>7</v>
      </c>
      <c r="I249" s="14">
        <v>4</v>
      </c>
      <c r="J249" s="14" t="s">
        <v>31</v>
      </c>
      <c r="K249" s="14" cm="1">
        <f t="array" ref="K249">INT(SUMPRODUCT(--ISNUMBER(SEARCH(economy,C249)))&gt;0)</f>
        <v>0</v>
      </c>
      <c r="L249" s="14" cm="1">
        <f t="array" ref="L249">INT(SUMPRODUCT(--ISNUMBER(SEARCH(healthcare,C249)))&gt;0)</f>
        <v>0</v>
      </c>
      <c r="M249" s="14" cm="1">
        <f t="array" ref="M249">INT(SUMPRODUCT(--ISNUMBER(SEARCH(supreme,C249)))&gt;0)</f>
        <v>0</v>
      </c>
      <c r="N249" s="14" cm="1">
        <f t="array" ref="N249">INT(SUMPRODUCT(--ISNUMBER(SEARCH(covid,C249)))&gt;0)</f>
        <v>0</v>
      </c>
      <c r="O249" s="14" cm="1">
        <f t="array" ref="O249">INT(SUMPRODUCT(--ISNUMBER(SEARCH(violent,C249)))&gt;0)</f>
        <v>0</v>
      </c>
      <c r="P249" s="14" cm="1">
        <f t="array" ref="P249">INT(SUMPRODUCT(--ISNUMBER(SEARCH(foreign,C249)))&gt;0)</f>
        <v>0</v>
      </c>
      <c r="Q249" s="14" cm="1">
        <f t="array" ref="Q249">INT(SUMPRODUCT(--ISNUMBER(SEARCH(gun,C249)))&gt;0)</f>
        <v>0</v>
      </c>
      <c r="R249" s="14" cm="1">
        <f t="array" ref="R249">INT(SUMPRODUCT(--ISNUMBER(SEARCH(race,C249)))&gt;0)</f>
        <v>0</v>
      </c>
      <c r="S249" s="14" cm="1">
        <f t="array" ref="S249">INT(SUMPRODUCT(--ISNUMBER(SEARCH(immigration,C249)))&gt;0)</f>
        <v>0</v>
      </c>
      <c r="T249" s="14" cm="1">
        <f t="array" ref="T249">INT(SUMPRODUCT(--ISNUMBER(SEARCH(econineq,C250)))&gt;0)</f>
        <v>0</v>
      </c>
      <c r="U249" s="14" cm="1">
        <f t="array" ref="U249">INT(SUMPRODUCT(--ISNUMBER(SEARCH(climate,C249)))&gt;0)</f>
        <v>0</v>
      </c>
      <c r="V249" s="14" cm="1">
        <f t="array" ref="V249">INT(SUMPRODUCT(--ISNUMBER(SEARCH(abortion,C249)))&gt;0)</f>
        <v>0</v>
      </c>
      <c r="W249" s="14" cm="1">
        <f t="array" ref="W249">INT(SUMPRODUCT(--ISNUMBER(SEARCH(trump,C249)))&gt;0)</f>
        <v>0</v>
      </c>
      <c r="X249" s="14" cm="1">
        <f t="array" ref="X249">INT(SUMPRODUCT(--ISNUMBER(SEARCH(voting,C249)))&gt;0)</f>
        <v>0</v>
      </c>
      <c r="Y249" s="14" cm="1">
        <f t="array" ref="Y249">INT(SUMPRODUCT(--ISNUMBER(SEARCH(republicantrigger,C249)))&gt;0)</f>
        <v>0</v>
      </c>
      <c r="Z249" s="14" cm="1">
        <f t="array" ref="Z249">INT(SUMPRODUCT(--ISNUMBER(SEARCH(bipartisan,C249)))&gt;0)</f>
        <v>0</v>
      </c>
      <c r="AA249" s="14">
        <f t="shared" si="3"/>
        <v>1</v>
      </c>
      <c r="AB249" s="14"/>
      <c r="AC249" s="30">
        <v>0</v>
      </c>
      <c r="AD249" s="37">
        <v>0</v>
      </c>
    </row>
    <row r="250" spans="1:30" x14ac:dyDescent="0.25">
      <c r="A250" s="36">
        <v>1457</v>
      </c>
      <c r="B250" s="14" t="s">
        <v>2941</v>
      </c>
      <c r="C250" s="14" t="s">
        <v>2942</v>
      </c>
      <c r="D250" s="17">
        <v>44109</v>
      </c>
      <c r="E250" s="14" t="s">
        <v>30</v>
      </c>
      <c r="F250" s="14">
        <v>169</v>
      </c>
      <c r="G250" s="14">
        <v>61</v>
      </c>
      <c r="H250" s="14">
        <v>7</v>
      </c>
      <c r="I250" s="14">
        <v>4</v>
      </c>
      <c r="J250" s="14" t="s">
        <v>31</v>
      </c>
      <c r="K250" s="14" cm="1">
        <f t="array" ref="K250">INT(SUMPRODUCT(--ISNUMBER(SEARCH(economy,C250)))&gt;0)</f>
        <v>0</v>
      </c>
      <c r="L250" s="14" cm="1">
        <f t="array" ref="L250">INT(SUMPRODUCT(--ISNUMBER(SEARCH(healthcare,C250)))&gt;0)</f>
        <v>0</v>
      </c>
      <c r="M250" s="14" cm="1">
        <f t="array" ref="M250">INT(SUMPRODUCT(--ISNUMBER(SEARCH(supreme,C250)))&gt;0)</f>
        <v>0</v>
      </c>
      <c r="N250" s="14" cm="1">
        <f t="array" ref="N250">INT(SUMPRODUCT(--ISNUMBER(SEARCH(covid,C250)))&gt;0)</f>
        <v>0</v>
      </c>
      <c r="O250" s="14" cm="1">
        <f t="array" ref="O250">INT(SUMPRODUCT(--ISNUMBER(SEARCH(violent,C250)))&gt;0)</f>
        <v>0</v>
      </c>
      <c r="P250" s="14" cm="1">
        <f t="array" ref="P250">INT(SUMPRODUCT(--ISNUMBER(SEARCH(foreign,C250)))&gt;0)</f>
        <v>0</v>
      </c>
      <c r="Q250" s="14" cm="1">
        <f t="array" ref="Q250">INT(SUMPRODUCT(--ISNUMBER(SEARCH(gun,C250)))&gt;0)</f>
        <v>0</v>
      </c>
      <c r="R250" s="14" cm="1">
        <f t="array" ref="R250">INT(SUMPRODUCT(--ISNUMBER(SEARCH(race,C250)))&gt;0)</f>
        <v>0</v>
      </c>
      <c r="S250" s="14" cm="1">
        <f t="array" ref="S250">INT(SUMPRODUCT(--ISNUMBER(SEARCH(immigration,C250)))&gt;0)</f>
        <v>0</v>
      </c>
      <c r="T250" s="14" cm="1">
        <f t="array" ref="T250">INT(SUMPRODUCT(--ISNUMBER(SEARCH(econineq,C251)))&gt;0)</f>
        <v>0</v>
      </c>
      <c r="U250" s="14" cm="1">
        <f t="array" ref="U250">INT(SUMPRODUCT(--ISNUMBER(SEARCH(climate,C250)))&gt;0)</f>
        <v>0</v>
      </c>
      <c r="V250" s="14" cm="1">
        <f t="array" ref="V250">INT(SUMPRODUCT(--ISNUMBER(SEARCH(abortion,C250)))&gt;0)</f>
        <v>0</v>
      </c>
      <c r="W250" s="14" cm="1">
        <f t="array" ref="W250">INT(SUMPRODUCT(--ISNUMBER(SEARCH(trump,C250)))&gt;0)</f>
        <v>0</v>
      </c>
      <c r="X250" s="14" cm="1">
        <f t="array" ref="X250">INT(SUMPRODUCT(--ISNUMBER(SEARCH(voting,C250)))&gt;0)</f>
        <v>0</v>
      </c>
      <c r="Y250" s="14" cm="1">
        <f t="array" ref="Y250">INT(SUMPRODUCT(--ISNUMBER(SEARCH(republicantrigger,C250)))&gt;0)</f>
        <v>0</v>
      </c>
      <c r="Z250" s="14" cm="1">
        <f t="array" ref="Z250">INT(SUMPRODUCT(--ISNUMBER(SEARCH(bipartisan,C250)))&gt;0)</f>
        <v>0</v>
      </c>
      <c r="AA250" s="14">
        <f t="shared" si="3"/>
        <v>1</v>
      </c>
      <c r="AB250" s="14"/>
      <c r="AC250" s="30">
        <v>0</v>
      </c>
      <c r="AD250" s="37">
        <v>1</v>
      </c>
    </row>
    <row r="251" spans="1:30" x14ac:dyDescent="0.25">
      <c r="A251" s="36">
        <v>1458</v>
      </c>
      <c r="B251" s="14" t="s">
        <v>2943</v>
      </c>
      <c r="C251" s="14" t="s">
        <v>2944</v>
      </c>
      <c r="D251" s="17">
        <v>44109</v>
      </c>
      <c r="E251" s="14" t="s">
        <v>30</v>
      </c>
      <c r="F251" s="14">
        <v>17</v>
      </c>
      <c r="G251" s="14">
        <v>7</v>
      </c>
      <c r="H251" s="14">
        <v>7</v>
      </c>
      <c r="I251" s="14">
        <v>4</v>
      </c>
      <c r="J251" s="14" t="s">
        <v>31</v>
      </c>
      <c r="K251" s="14" cm="1">
        <f t="array" ref="K251">INT(SUMPRODUCT(--ISNUMBER(SEARCH(economy,C251)))&gt;0)</f>
        <v>0</v>
      </c>
      <c r="L251" s="14" cm="1">
        <f t="array" ref="L251">INT(SUMPRODUCT(--ISNUMBER(SEARCH(healthcare,C251)))&gt;0)</f>
        <v>0</v>
      </c>
      <c r="M251" s="14" cm="1">
        <f t="array" ref="M251">INT(SUMPRODUCT(--ISNUMBER(SEARCH(supreme,C251)))&gt;0)</f>
        <v>0</v>
      </c>
      <c r="N251" s="14" cm="1">
        <f t="array" ref="N251">INT(SUMPRODUCT(--ISNUMBER(SEARCH(covid,C251)))&gt;0)</f>
        <v>0</v>
      </c>
      <c r="O251" s="14" cm="1">
        <f t="array" ref="O251">INT(SUMPRODUCT(--ISNUMBER(SEARCH(violent,C251)))&gt;0)</f>
        <v>0</v>
      </c>
      <c r="P251" s="14" cm="1">
        <f t="array" ref="P251">INT(SUMPRODUCT(--ISNUMBER(SEARCH(foreign,C251)))&gt;0)</f>
        <v>0</v>
      </c>
      <c r="Q251" s="14" cm="1">
        <f t="array" ref="Q251">INT(SUMPRODUCT(--ISNUMBER(SEARCH(gun,C251)))&gt;0)</f>
        <v>0</v>
      </c>
      <c r="R251" s="14" cm="1">
        <f t="array" ref="R251">INT(SUMPRODUCT(--ISNUMBER(SEARCH(race,C251)))&gt;0)</f>
        <v>0</v>
      </c>
      <c r="S251" s="14" cm="1">
        <f t="array" ref="S251">INT(SUMPRODUCT(--ISNUMBER(SEARCH(immigration,C251)))&gt;0)</f>
        <v>0</v>
      </c>
      <c r="T251" s="14" cm="1">
        <f t="array" ref="T251">INT(SUMPRODUCT(--ISNUMBER(SEARCH(econineq,C252)))&gt;0)</f>
        <v>0</v>
      </c>
      <c r="U251" s="14" cm="1">
        <f t="array" ref="U251">INT(SUMPRODUCT(--ISNUMBER(SEARCH(climate,C251)))&gt;0)</f>
        <v>0</v>
      </c>
      <c r="V251" s="14" cm="1">
        <f t="array" ref="V251">INT(SUMPRODUCT(--ISNUMBER(SEARCH(abortion,C251)))&gt;0)</f>
        <v>0</v>
      </c>
      <c r="W251" s="14" cm="1">
        <f t="array" ref="W251">INT(SUMPRODUCT(--ISNUMBER(SEARCH(trump,C251)))&gt;0)</f>
        <v>0</v>
      </c>
      <c r="X251" s="14" cm="1">
        <f t="array" ref="X251">INT(SUMPRODUCT(--ISNUMBER(SEARCH(voting,C251)))&gt;0)</f>
        <v>1</v>
      </c>
      <c r="Y251" s="14" cm="1">
        <f t="array" ref="Y251">INT(SUMPRODUCT(--ISNUMBER(SEARCH(republicantrigger,C251)))&gt;0)</f>
        <v>0</v>
      </c>
      <c r="Z251" s="14" cm="1">
        <f t="array" ref="Z251">INT(SUMPRODUCT(--ISNUMBER(SEARCH(bipartisan,C251)))&gt;0)</f>
        <v>0</v>
      </c>
      <c r="AA251" s="14">
        <f t="shared" si="3"/>
        <v>0</v>
      </c>
      <c r="AB251" s="14"/>
      <c r="AC251" s="30">
        <v>0</v>
      </c>
      <c r="AD251" s="37">
        <v>0</v>
      </c>
    </row>
    <row r="252" spans="1:30" x14ac:dyDescent="0.25">
      <c r="A252" s="36">
        <v>1459</v>
      </c>
      <c r="B252" s="14" t="s">
        <v>2945</v>
      </c>
      <c r="C252" s="14" t="s">
        <v>2946</v>
      </c>
      <c r="D252" s="17">
        <v>44109</v>
      </c>
      <c r="E252" s="14" t="s">
        <v>30</v>
      </c>
      <c r="F252" s="14">
        <v>24</v>
      </c>
      <c r="G252" s="14">
        <v>8</v>
      </c>
      <c r="H252" s="14">
        <v>7</v>
      </c>
      <c r="I252" s="14">
        <v>4</v>
      </c>
      <c r="J252" s="14" t="s">
        <v>31</v>
      </c>
      <c r="K252" s="14" cm="1">
        <f t="array" ref="K252">INT(SUMPRODUCT(--ISNUMBER(SEARCH(economy,C252)))&gt;0)</f>
        <v>0</v>
      </c>
      <c r="L252" s="14" cm="1">
        <f t="array" ref="L252">INT(SUMPRODUCT(--ISNUMBER(SEARCH(healthcare,C252)))&gt;0)</f>
        <v>0</v>
      </c>
      <c r="M252" s="14" cm="1">
        <f t="array" ref="M252">INT(SUMPRODUCT(--ISNUMBER(SEARCH(supreme,C252)))&gt;0)</f>
        <v>0</v>
      </c>
      <c r="N252" s="14" cm="1">
        <f t="array" ref="N252">INT(SUMPRODUCT(--ISNUMBER(SEARCH(covid,C252)))&gt;0)</f>
        <v>0</v>
      </c>
      <c r="O252" s="14" cm="1">
        <f t="array" ref="O252">INT(SUMPRODUCT(--ISNUMBER(SEARCH(violent,C252)))&gt;0)</f>
        <v>0</v>
      </c>
      <c r="P252" s="14" cm="1">
        <f t="array" ref="P252">INT(SUMPRODUCT(--ISNUMBER(SEARCH(foreign,C252)))&gt;0)</f>
        <v>0</v>
      </c>
      <c r="Q252" s="14" cm="1">
        <f t="array" ref="Q252">INT(SUMPRODUCT(--ISNUMBER(SEARCH(gun,C252)))&gt;0)</f>
        <v>0</v>
      </c>
      <c r="R252" s="14" cm="1">
        <f t="array" ref="R252">INT(SUMPRODUCT(--ISNUMBER(SEARCH(race,C252)))&gt;0)</f>
        <v>0</v>
      </c>
      <c r="S252" s="14" cm="1">
        <f t="array" ref="S252">INT(SUMPRODUCT(--ISNUMBER(SEARCH(immigration,C252)))&gt;0)</f>
        <v>0</v>
      </c>
      <c r="T252" s="14" cm="1">
        <f t="array" ref="T252">INT(SUMPRODUCT(--ISNUMBER(SEARCH(econineq,C253)))&gt;0)</f>
        <v>0</v>
      </c>
      <c r="U252" s="14" cm="1">
        <f t="array" ref="U252">INT(SUMPRODUCT(--ISNUMBER(SEARCH(climate,C252)))&gt;0)</f>
        <v>0</v>
      </c>
      <c r="V252" s="14" cm="1">
        <f t="array" ref="V252">INT(SUMPRODUCT(--ISNUMBER(SEARCH(abortion,C252)))&gt;0)</f>
        <v>0</v>
      </c>
      <c r="W252" s="14" cm="1">
        <f t="array" ref="W252">INT(SUMPRODUCT(--ISNUMBER(SEARCH(trump,C252)))&gt;0)</f>
        <v>0</v>
      </c>
      <c r="X252" s="14" cm="1">
        <f t="array" ref="X252">INT(SUMPRODUCT(--ISNUMBER(SEARCH(voting,C252)))&gt;0)</f>
        <v>0</v>
      </c>
      <c r="Y252" s="14" cm="1">
        <f t="array" ref="Y252">INT(SUMPRODUCT(--ISNUMBER(SEARCH(republicantrigger,C252)))&gt;0)</f>
        <v>0</v>
      </c>
      <c r="Z252" s="14" cm="1">
        <f t="array" ref="Z252">INT(SUMPRODUCT(--ISNUMBER(SEARCH(bipartisan,C252)))&gt;0)</f>
        <v>0</v>
      </c>
      <c r="AA252" s="14">
        <f t="shared" si="3"/>
        <v>1</v>
      </c>
      <c r="AB252" s="14"/>
      <c r="AC252" s="30">
        <v>0</v>
      </c>
      <c r="AD252" s="37">
        <v>1</v>
      </c>
    </row>
    <row r="253" spans="1:30" x14ac:dyDescent="0.25">
      <c r="A253" s="36">
        <v>1460</v>
      </c>
      <c r="B253" s="14" t="s">
        <v>2947</v>
      </c>
      <c r="C253" s="14" t="s">
        <v>2948</v>
      </c>
      <c r="D253" s="17">
        <v>44109</v>
      </c>
      <c r="E253" s="14" t="s">
        <v>30</v>
      </c>
      <c r="F253" s="14">
        <v>20</v>
      </c>
      <c r="G253" s="14">
        <v>5</v>
      </c>
      <c r="H253" s="14">
        <v>7</v>
      </c>
      <c r="I253" s="14">
        <v>4</v>
      </c>
      <c r="J253" s="14" t="s">
        <v>31</v>
      </c>
      <c r="K253" s="14" cm="1">
        <f t="array" ref="K253">INT(SUMPRODUCT(--ISNUMBER(SEARCH(economy,C253)))&gt;0)</f>
        <v>0</v>
      </c>
      <c r="L253" s="14" cm="1">
        <f t="array" ref="L253">INT(SUMPRODUCT(--ISNUMBER(SEARCH(healthcare,C253)))&gt;0)</f>
        <v>0</v>
      </c>
      <c r="M253" s="14" cm="1">
        <f t="array" ref="M253">INT(SUMPRODUCT(--ISNUMBER(SEARCH(supreme,C253)))&gt;0)</f>
        <v>0</v>
      </c>
      <c r="N253" s="14" cm="1">
        <f t="array" ref="N253">INT(SUMPRODUCT(--ISNUMBER(SEARCH(covid,C253)))&gt;0)</f>
        <v>0</v>
      </c>
      <c r="O253" s="14" cm="1">
        <f t="array" ref="O253">INT(SUMPRODUCT(--ISNUMBER(SEARCH(violent,C253)))&gt;0)</f>
        <v>0</v>
      </c>
      <c r="P253" s="14" cm="1">
        <f t="array" ref="P253">INT(SUMPRODUCT(--ISNUMBER(SEARCH(foreign,C253)))&gt;0)</f>
        <v>0</v>
      </c>
      <c r="Q253" s="14" cm="1">
        <f t="array" ref="Q253">INT(SUMPRODUCT(--ISNUMBER(SEARCH(gun,C253)))&gt;0)</f>
        <v>0</v>
      </c>
      <c r="R253" s="14" cm="1">
        <f t="array" ref="R253">INT(SUMPRODUCT(--ISNUMBER(SEARCH(race,C253)))&gt;0)</f>
        <v>0</v>
      </c>
      <c r="S253" s="14" cm="1">
        <f t="array" ref="S253">INT(SUMPRODUCT(--ISNUMBER(SEARCH(immigration,C253)))&gt;0)</f>
        <v>0</v>
      </c>
      <c r="T253" s="14" cm="1">
        <f t="array" ref="T253">INT(SUMPRODUCT(--ISNUMBER(SEARCH(econineq,C254)))&gt;0)</f>
        <v>0</v>
      </c>
      <c r="U253" s="14" cm="1">
        <f t="array" ref="U253">INT(SUMPRODUCT(--ISNUMBER(SEARCH(climate,C253)))&gt;0)</f>
        <v>0</v>
      </c>
      <c r="V253" s="14" cm="1">
        <f t="array" ref="V253">INT(SUMPRODUCT(--ISNUMBER(SEARCH(abortion,C253)))&gt;0)</f>
        <v>0</v>
      </c>
      <c r="W253" s="14" cm="1">
        <f t="array" ref="W253">INT(SUMPRODUCT(--ISNUMBER(SEARCH(trump,C253)))&gt;0)</f>
        <v>0</v>
      </c>
      <c r="X253" s="14" cm="1">
        <f t="array" ref="X253">INT(SUMPRODUCT(--ISNUMBER(SEARCH(voting,C253)))&gt;0)</f>
        <v>0</v>
      </c>
      <c r="Y253" s="14" cm="1">
        <f t="array" ref="Y253">INT(SUMPRODUCT(--ISNUMBER(SEARCH(republicantrigger,C253)))&gt;0)</f>
        <v>0</v>
      </c>
      <c r="Z253" s="14" cm="1">
        <f t="array" ref="Z253">INT(SUMPRODUCT(--ISNUMBER(SEARCH(bipartisan,C253)))&gt;0)</f>
        <v>0</v>
      </c>
      <c r="AA253" s="14">
        <f t="shared" si="3"/>
        <v>1</v>
      </c>
      <c r="AB253" s="14"/>
      <c r="AC253" s="30">
        <v>0</v>
      </c>
      <c r="AD253" s="37">
        <v>0</v>
      </c>
    </row>
    <row r="254" spans="1:30" x14ac:dyDescent="0.25">
      <c r="A254" s="36">
        <v>1461</v>
      </c>
      <c r="B254" s="14" t="s">
        <v>2949</v>
      </c>
      <c r="C254" s="14" t="s">
        <v>2950</v>
      </c>
      <c r="D254" s="17">
        <v>44108</v>
      </c>
      <c r="E254" s="14" t="s">
        <v>30</v>
      </c>
      <c r="F254" s="14">
        <v>20</v>
      </c>
      <c r="G254" s="14">
        <v>10</v>
      </c>
      <c r="H254" s="14">
        <v>7</v>
      </c>
      <c r="I254" s="14">
        <v>4</v>
      </c>
      <c r="J254" s="14" t="s">
        <v>31</v>
      </c>
      <c r="K254" s="14" cm="1">
        <f t="array" ref="K254">INT(SUMPRODUCT(--ISNUMBER(SEARCH(economy,C254)))&gt;0)</f>
        <v>0</v>
      </c>
      <c r="L254" s="14" cm="1">
        <f t="array" ref="L254">INT(SUMPRODUCT(--ISNUMBER(SEARCH(healthcare,C254)))&gt;0)</f>
        <v>0</v>
      </c>
      <c r="M254" s="14" cm="1">
        <f t="array" ref="M254">INT(SUMPRODUCT(--ISNUMBER(SEARCH(supreme,C254)))&gt;0)</f>
        <v>0</v>
      </c>
      <c r="N254" s="14" cm="1">
        <f t="array" ref="N254">INT(SUMPRODUCT(--ISNUMBER(SEARCH(covid,C254)))&gt;0)</f>
        <v>0</v>
      </c>
      <c r="O254" s="14" cm="1">
        <f t="array" ref="O254">INT(SUMPRODUCT(--ISNUMBER(SEARCH(violent,C254)))&gt;0)</f>
        <v>0</v>
      </c>
      <c r="P254" s="14" cm="1">
        <f t="array" ref="P254">INT(SUMPRODUCT(--ISNUMBER(SEARCH(foreign,C254)))&gt;0)</f>
        <v>0</v>
      </c>
      <c r="Q254" s="14" cm="1">
        <f t="array" ref="Q254">INT(SUMPRODUCT(--ISNUMBER(SEARCH(gun,C254)))&gt;0)</f>
        <v>0</v>
      </c>
      <c r="R254" s="14" cm="1">
        <f t="array" ref="R254">INT(SUMPRODUCT(--ISNUMBER(SEARCH(race,C254)))&gt;0)</f>
        <v>0</v>
      </c>
      <c r="S254" s="14" cm="1">
        <f t="array" ref="S254">INT(SUMPRODUCT(--ISNUMBER(SEARCH(immigration,C254)))&gt;0)</f>
        <v>0</v>
      </c>
      <c r="T254" s="14" cm="1">
        <f t="array" ref="T254">INT(SUMPRODUCT(--ISNUMBER(SEARCH(econineq,C255)))&gt;0)</f>
        <v>0</v>
      </c>
      <c r="U254" s="14" cm="1">
        <f t="array" ref="U254">INT(SUMPRODUCT(--ISNUMBER(SEARCH(climate,C254)))&gt;0)</f>
        <v>0</v>
      </c>
      <c r="V254" s="14" cm="1">
        <f t="array" ref="V254">INT(SUMPRODUCT(--ISNUMBER(SEARCH(abortion,C254)))&gt;0)</f>
        <v>0</v>
      </c>
      <c r="W254" s="14" cm="1">
        <f t="array" ref="W254">INT(SUMPRODUCT(--ISNUMBER(SEARCH(trump,C254)))&gt;0)</f>
        <v>0</v>
      </c>
      <c r="X254" s="14" cm="1">
        <f t="array" ref="X254">INT(SUMPRODUCT(--ISNUMBER(SEARCH(voting,C254)))&gt;0)</f>
        <v>0</v>
      </c>
      <c r="Y254" s="14" cm="1">
        <f t="array" ref="Y254">INT(SUMPRODUCT(--ISNUMBER(SEARCH(republicantrigger,C254)))&gt;0)</f>
        <v>1</v>
      </c>
      <c r="Z254" s="14" cm="1">
        <f t="array" ref="Z254">INT(SUMPRODUCT(--ISNUMBER(SEARCH(bipartisan,C254)))&gt;0)</f>
        <v>0</v>
      </c>
      <c r="AA254" s="14">
        <f t="shared" si="3"/>
        <v>0</v>
      </c>
      <c r="AB254" s="14"/>
      <c r="AC254" s="30">
        <v>0</v>
      </c>
      <c r="AD254" s="37">
        <v>0</v>
      </c>
    </row>
    <row r="255" spans="1:30" x14ac:dyDescent="0.25">
      <c r="A255" s="36">
        <v>1462</v>
      </c>
      <c r="B255" s="14" t="s">
        <v>2951</v>
      </c>
      <c r="C255" s="14" t="s">
        <v>2952</v>
      </c>
      <c r="D255" s="17">
        <v>44108</v>
      </c>
      <c r="E255" s="14" t="s">
        <v>30</v>
      </c>
      <c r="F255" s="14">
        <v>57</v>
      </c>
      <c r="G255" s="14">
        <v>13</v>
      </c>
      <c r="H255" s="14">
        <v>7</v>
      </c>
      <c r="I255" s="14">
        <v>4</v>
      </c>
      <c r="J255" s="14" t="s">
        <v>31</v>
      </c>
      <c r="K255" s="14" cm="1">
        <f t="array" ref="K255">INT(SUMPRODUCT(--ISNUMBER(SEARCH(economy,C255)))&gt;0)</f>
        <v>0</v>
      </c>
      <c r="L255" s="14" cm="1">
        <f t="array" ref="L255">INT(SUMPRODUCT(--ISNUMBER(SEARCH(healthcare,C255)))&gt;0)</f>
        <v>0</v>
      </c>
      <c r="M255" s="14" cm="1">
        <f t="array" ref="M255">INT(SUMPRODUCT(--ISNUMBER(SEARCH(supreme,C255)))&gt;0)</f>
        <v>0</v>
      </c>
      <c r="N255" s="14" cm="1">
        <f t="array" ref="N255">INT(SUMPRODUCT(--ISNUMBER(SEARCH(covid,C255)))&gt;0)</f>
        <v>0</v>
      </c>
      <c r="O255" s="14" cm="1">
        <f t="array" ref="O255">INT(SUMPRODUCT(--ISNUMBER(SEARCH(violent,C255)))&gt;0)</f>
        <v>0</v>
      </c>
      <c r="P255" s="14" cm="1">
        <f t="array" ref="P255">INT(SUMPRODUCT(--ISNUMBER(SEARCH(foreign,C255)))&gt;0)</f>
        <v>0</v>
      </c>
      <c r="Q255" s="14" cm="1">
        <f t="array" ref="Q255">INT(SUMPRODUCT(--ISNUMBER(SEARCH(gun,C255)))&gt;0)</f>
        <v>0</v>
      </c>
      <c r="R255" s="14" cm="1">
        <f t="array" ref="R255">INT(SUMPRODUCT(--ISNUMBER(SEARCH(race,C255)))&gt;0)</f>
        <v>0</v>
      </c>
      <c r="S255" s="14" cm="1">
        <f t="array" ref="S255">INT(SUMPRODUCT(--ISNUMBER(SEARCH(immigration,C255)))&gt;0)</f>
        <v>0</v>
      </c>
      <c r="T255" s="14" cm="1">
        <f t="array" ref="T255">INT(SUMPRODUCT(--ISNUMBER(SEARCH(econineq,C256)))&gt;0)</f>
        <v>0</v>
      </c>
      <c r="U255" s="14" cm="1">
        <f t="array" ref="U255">INT(SUMPRODUCT(--ISNUMBER(SEARCH(climate,C255)))&gt;0)</f>
        <v>0</v>
      </c>
      <c r="V255" s="14" cm="1">
        <f t="array" ref="V255">INT(SUMPRODUCT(--ISNUMBER(SEARCH(abortion,C255)))&gt;0)</f>
        <v>0</v>
      </c>
      <c r="W255" s="14" cm="1">
        <f t="array" ref="W255">INT(SUMPRODUCT(--ISNUMBER(SEARCH(trump,C255)))&gt;0)</f>
        <v>0</v>
      </c>
      <c r="X255" s="14" cm="1">
        <f t="array" ref="X255">INT(SUMPRODUCT(--ISNUMBER(SEARCH(voting,C255)))&gt;0)</f>
        <v>0</v>
      </c>
      <c r="Y255" s="14" cm="1">
        <f t="array" ref="Y255">INT(SUMPRODUCT(--ISNUMBER(SEARCH(republicantrigger,C255)))&gt;0)</f>
        <v>0</v>
      </c>
      <c r="Z255" s="14" cm="1">
        <f t="array" ref="Z255">INT(SUMPRODUCT(--ISNUMBER(SEARCH(bipartisan,C255)))&gt;0)</f>
        <v>0</v>
      </c>
      <c r="AA255" s="14">
        <f t="shared" si="3"/>
        <v>1</v>
      </c>
      <c r="AB255" s="14"/>
      <c r="AC255" s="30">
        <v>0</v>
      </c>
      <c r="AD255" s="37">
        <v>1</v>
      </c>
    </row>
    <row r="256" spans="1:30" x14ac:dyDescent="0.25">
      <c r="A256" s="36">
        <v>1463</v>
      </c>
      <c r="B256" s="14" t="s">
        <v>2953</v>
      </c>
      <c r="C256" s="14" t="s">
        <v>2954</v>
      </c>
      <c r="D256" s="17">
        <v>44107</v>
      </c>
      <c r="E256" s="14" t="s">
        <v>30</v>
      </c>
      <c r="F256" s="14">
        <v>44</v>
      </c>
      <c r="G256" s="14">
        <v>14</v>
      </c>
      <c r="H256" s="14">
        <v>7</v>
      </c>
      <c r="I256" s="14">
        <v>4</v>
      </c>
      <c r="J256" s="14" t="s">
        <v>31</v>
      </c>
      <c r="K256" s="14" cm="1">
        <f t="array" ref="K256">INT(SUMPRODUCT(--ISNUMBER(SEARCH(economy,C256)))&gt;0)</f>
        <v>0</v>
      </c>
      <c r="L256" s="14" cm="1">
        <f t="array" ref="L256">INT(SUMPRODUCT(--ISNUMBER(SEARCH(healthcare,C256)))&gt;0)</f>
        <v>0</v>
      </c>
      <c r="M256" s="14" cm="1">
        <f t="array" ref="M256">INT(SUMPRODUCT(--ISNUMBER(SEARCH(supreme,C256)))&gt;0)</f>
        <v>0</v>
      </c>
      <c r="N256" s="14" cm="1">
        <f t="array" ref="N256">INT(SUMPRODUCT(--ISNUMBER(SEARCH(covid,C256)))&gt;0)</f>
        <v>0</v>
      </c>
      <c r="O256" s="14" cm="1">
        <f t="array" ref="O256">INT(SUMPRODUCT(--ISNUMBER(SEARCH(violent,C256)))&gt;0)</f>
        <v>0</v>
      </c>
      <c r="P256" s="14" cm="1">
        <f t="array" ref="P256">INT(SUMPRODUCT(--ISNUMBER(SEARCH(foreign,C256)))&gt;0)</f>
        <v>0</v>
      </c>
      <c r="Q256" s="14" cm="1">
        <f t="array" ref="Q256">INT(SUMPRODUCT(--ISNUMBER(SEARCH(gun,C256)))&gt;0)</f>
        <v>0</v>
      </c>
      <c r="R256" s="14" cm="1">
        <f t="array" ref="R256">INT(SUMPRODUCT(--ISNUMBER(SEARCH(race,C256)))&gt;0)</f>
        <v>0</v>
      </c>
      <c r="S256" s="14" cm="1">
        <f t="array" ref="S256">INT(SUMPRODUCT(--ISNUMBER(SEARCH(immigration,C256)))&gt;0)</f>
        <v>0</v>
      </c>
      <c r="T256" s="14" cm="1">
        <f t="array" ref="T256">INT(SUMPRODUCT(--ISNUMBER(SEARCH(econineq,C257)))&gt;0)</f>
        <v>0</v>
      </c>
      <c r="U256" s="14" cm="1">
        <f t="array" ref="U256">INT(SUMPRODUCT(--ISNUMBER(SEARCH(climate,C256)))&gt;0)</f>
        <v>0</v>
      </c>
      <c r="V256" s="14" cm="1">
        <f t="array" ref="V256">INT(SUMPRODUCT(--ISNUMBER(SEARCH(abortion,C256)))&gt;0)</f>
        <v>0</v>
      </c>
      <c r="W256" s="14" cm="1">
        <f t="array" ref="W256">INT(SUMPRODUCT(--ISNUMBER(SEARCH(trump,C256)))&gt;0)</f>
        <v>0</v>
      </c>
      <c r="X256" s="14" cm="1">
        <f t="array" ref="X256">INT(SUMPRODUCT(--ISNUMBER(SEARCH(voting,C256)))&gt;0)</f>
        <v>0</v>
      </c>
      <c r="Y256" s="14" cm="1">
        <f t="array" ref="Y256">INT(SUMPRODUCT(--ISNUMBER(SEARCH(republicantrigger,C256)))&gt;0)</f>
        <v>0</v>
      </c>
      <c r="Z256" s="14" cm="1">
        <f t="array" ref="Z256">INT(SUMPRODUCT(--ISNUMBER(SEARCH(bipartisan,C256)))&gt;0)</f>
        <v>0</v>
      </c>
      <c r="AA256" s="14">
        <f t="shared" si="3"/>
        <v>1</v>
      </c>
      <c r="AB256" s="14"/>
      <c r="AC256" s="30">
        <v>1</v>
      </c>
      <c r="AD256" s="37">
        <v>0</v>
      </c>
    </row>
    <row r="257" spans="1:30" x14ac:dyDescent="0.25">
      <c r="A257" s="38">
        <v>1464</v>
      </c>
      <c r="B257" s="39" t="s">
        <v>2955</v>
      </c>
      <c r="C257" s="39" t="s">
        <v>2956</v>
      </c>
      <c r="D257" s="41">
        <v>44107</v>
      </c>
      <c r="E257" s="39" t="s">
        <v>30</v>
      </c>
      <c r="F257" s="39">
        <v>45</v>
      </c>
      <c r="G257" s="39">
        <v>20</v>
      </c>
      <c r="H257" s="39">
        <v>7</v>
      </c>
      <c r="I257" s="39">
        <v>4</v>
      </c>
      <c r="J257" s="39" t="s">
        <v>31</v>
      </c>
      <c r="K257" s="39" cm="1">
        <f t="array" ref="K257">INT(SUMPRODUCT(--ISNUMBER(SEARCH(economy,C257)))&gt;0)</f>
        <v>1</v>
      </c>
      <c r="L257" s="39" cm="1">
        <f t="array" ref="L257">INT(SUMPRODUCT(--ISNUMBER(SEARCH(healthcare,C257)))&gt;0)</f>
        <v>0</v>
      </c>
      <c r="M257" s="39" cm="1">
        <f t="array" ref="M257">INT(SUMPRODUCT(--ISNUMBER(SEARCH(supreme,C257)))&gt;0)</f>
        <v>0</v>
      </c>
      <c r="N257" s="39" cm="1">
        <f t="array" ref="N257">INT(SUMPRODUCT(--ISNUMBER(SEARCH(covid,C257)))&gt;0)</f>
        <v>0</v>
      </c>
      <c r="O257" s="39" cm="1">
        <f t="array" ref="O257">INT(SUMPRODUCT(--ISNUMBER(SEARCH(violent,C257)))&gt;0)</f>
        <v>0</v>
      </c>
      <c r="P257" s="39" cm="1">
        <f t="array" ref="P257">INT(SUMPRODUCT(--ISNUMBER(SEARCH(foreign,C257)))&gt;0)</f>
        <v>0</v>
      </c>
      <c r="Q257" s="39" cm="1">
        <f t="array" ref="Q257">INT(SUMPRODUCT(--ISNUMBER(SEARCH(gun,C257)))&gt;0)</f>
        <v>0</v>
      </c>
      <c r="R257" s="39" cm="1">
        <f t="array" ref="R257">INT(SUMPRODUCT(--ISNUMBER(SEARCH(race,C257)))&gt;0)</f>
        <v>0</v>
      </c>
      <c r="S257" s="39" cm="1">
        <f t="array" ref="S257">INT(SUMPRODUCT(--ISNUMBER(SEARCH(immigration,C257)))&gt;0)</f>
        <v>0</v>
      </c>
      <c r="T257" s="39" cm="1">
        <f t="array" ref="T257">INT(SUMPRODUCT(--ISNUMBER(SEARCH(econineq,C258)))&gt;0)</f>
        <v>0</v>
      </c>
      <c r="U257" s="39" cm="1">
        <f t="array" ref="U257">INT(SUMPRODUCT(--ISNUMBER(SEARCH(climate,C257)))&gt;0)</f>
        <v>1</v>
      </c>
      <c r="V257" s="39" cm="1">
        <f t="array" ref="V257">INT(SUMPRODUCT(--ISNUMBER(SEARCH(abortion,C257)))&gt;0)</f>
        <v>0</v>
      </c>
      <c r="W257" s="39" cm="1">
        <f t="array" ref="W257">INT(SUMPRODUCT(--ISNUMBER(SEARCH(trump,C257)))&gt;0)</f>
        <v>0</v>
      </c>
      <c r="X257" s="39" cm="1">
        <f t="array" ref="X257">INT(SUMPRODUCT(--ISNUMBER(SEARCH(voting,C257)))&gt;0)</f>
        <v>0</v>
      </c>
      <c r="Y257" s="39" cm="1">
        <f t="array" ref="Y257">INT(SUMPRODUCT(--ISNUMBER(SEARCH(republicantrigger,C257)))&gt;0)</f>
        <v>1</v>
      </c>
      <c r="Z257" s="39" cm="1">
        <f t="array" ref="Z257">INT(SUMPRODUCT(--ISNUMBER(SEARCH(bipartisan,C257)))&gt;0)</f>
        <v>0</v>
      </c>
      <c r="AA257" s="39">
        <f t="shared" si="3"/>
        <v>0</v>
      </c>
      <c r="AB257" s="39"/>
      <c r="AC257" s="44">
        <v>0</v>
      </c>
      <c r="AD257" s="45">
        <v>1</v>
      </c>
    </row>
    <row r="258" spans="1:30" x14ac:dyDescent="0.25">
      <c r="A258" s="16"/>
      <c r="B258" s="16"/>
      <c r="C258" s="16"/>
      <c r="D258" s="19"/>
      <c r="E258" s="16"/>
      <c r="F258" s="21">
        <f>SUM(Table7[Likes])</f>
        <v>9839</v>
      </c>
      <c r="G258" s="21">
        <f>SUM(Table7[Retweets])</f>
        <v>1921</v>
      </c>
      <c r="H258" s="16"/>
      <c r="I258" s="16"/>
      <c r="J258" s="16"/>
      <c r="K258" s="21">
        <f t="shared" ref="K258:AD258" si="4">SUM(K2:K257)</f>
        <v>56</v>
      </c>
      <c r="L258" s="21">
        <f t="shared" si="4"/>
        <v>19</v>
      </c>
      <c r="M258" s="21">
        <f t="shared" si="4"/>
        <v>0</v>
      </c>
      <c r="N258" s="21">
        <f t="shared" si="4"/>
        <v>22</v>
      </c>
      <c r="O258" s="21">
        <f t="shared" si="4"/>
        <v>1</v>
      </c>
      <c r="P258" s="21">
        <f t="shared" si="4"/>
        <v>8</v>
      </c>
      <c r="Q258" s="21">
        <f t="shared" si="4"/>
        <v>2</v>
      </c>
      <c r="R258" s="21">
        <f t="shared" si="4"/>
        <v>3</v>
      </c>
      <c r="S258" s="21">
        <f t="shared" si="4"/>
        <v>1</v>
      </c>
      <c r="T258" s="21">
        <f t="shared" si="4"/>
        <v>3</v>
      </c>
      <c r="U258" s="21">
        <f t="shared" si="4"/>
        <v>9</v>
      </c>
      <c r="V258" s="21">
        <f t="shared" si="4"/>
        <v>0</v>
      </c>
      <c r="W258" s="21">
        <f t="shared" si="4"/>
        <v>2</v>
      </c>
      <c r="X258" s="21">
        <f t="shared" si="4"/>
        <v>33</v>
      </c>
      <c r="Y258" s="21">
        <f t="shared" si="4"/>
        <v>36</v>
      </c>
      <c r="Z258" s="21">
        <f t="shared" si="4"/>
        <v>10</v>
      </c>
      <c r="AA258" s="21">
        <f t="shared" si="4"/>
        <v>115</v>
      </c>
      <c r="AB258" s="21">
        <f t="shared" si="4"/>
        <v>0</v>
      </c>
      <c r="AC258" s="21">
        <f t="shared" si="4"/>
        <v>150</v>
      </c>
      <c r="AD258" s="21">
        <f t="shared" si="4"/>
        <v>69</v>
      </c>
    </row>
    <row r="259" spans="1:30" x14ac:dyDescent="0.25">
      <c r="A259" s="16"/>
      <c r="B259" s="16"/>
      <c r="C259" s="16"/>
      <c r="D259" s="19"/>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x14ac:dyDescent="0.25">
      <c r="A260" s="16"/>
      <c r="B260" s="16"/>
      <c r="C260" s="16"/>
      <c r="D260" s="19"/>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x14ac:dyDescent="0.25">
      <c r="A261" s="16"/>
      <c r="B261" s="16"/>
      <c r="C261" s="16"/>
      <c r="D261" s="19"/>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x14ac:dyDescent="0.25">
      <c r="A262" s="16"/>
      <c r="B262" s="16"/>
      <c r="C262" s="16"/>
      <c r="D262" s="19"/>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x14ac:dyDescent="0.25">
      <c r="A263" s="16"/>
      <c r="B263" s="16"/>
      <c r="C263" s="16"/>
      <c r="D263" s="19"/>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x14ac:dyDescent="0.25">
      <c r="A264" s="16"/>
      <c r="B264" s="16"/>
      <c r="C264" s="16"/>
      <c r="D264" s="19"/>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x14ac:dyDescent="0.25">
      <c r="A265" s="16"/>
      <c r="B265" s="16"/>
      <c r="C265" s="16"/>
      <c r="D265" s="19"/>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x14ac:dyDescent="0.25">
      <c r="A266" s="16"/>
      <c r="B266" s="16"/>
      <c r="C266" s="16"/>
      <c r="D266" s="19"/>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x14ac:dyDescent="0.25">
      <c r="A267" s="16"/>
      <c r="B267" s="16"/>
      <c r="C267" s="16"/>
      <c r="D267" s="19"/>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x14ac:dyDescent="0.25">
      <c r="A268" s="16"/>
      <c r="B268" s="16"/>
      <c r="C268" s="16"/>
      <c r="D268" s="19"/>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x14ac:dyDescent="0.25">
      <c r="A269" s="16"/>
      <c r="B269" s="16"/>
      <c r="C269" s="16"/>
      <c r="D269" s="19"/>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x14ac:dyDescent="0.25">
      <c r="A270" s="16"/>
      <c r="B270" s="16"/>
      <c r="C270" s="16"/>
      <c r="D270" s="19"/>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x14ac:dyDescent="0.25">
      <c r="A271" s="16"/>
      <c r="B271" s="16"/>
      <c r="C271" s="16"/>
      <c r="D271" s="19"/>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x14ac:dyDescent="0.25">
      <c r="A272" s="16"/>
      <c r="B272" s="16"/>
      <c r="C272" s="16"/>
      <c r="D272" s="20"/>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x14ac:dyDescent="0.25">
      <c r="A273" s="16"/>
      <c r="B273" s="16"/>
      <c r="C273" s="16"/>
      <c r="D273" s="20"/>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x14ac:dyDescent="0.25">
      <c r="A274" s="16"/>
      <c r="B274" s="16"/>
      <c r="C274" s="16"/>
      <c r="D274" s="20"/>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x14ac:dyDescent="0.25">
      <c r="A275" s="16"/>
      <c r="B275" s="16"/>
      <c r="C275" s="16"/>
      <c r="D275" s="20"/>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x14ac:dyDescent="0.25">
      <c r="A276" s="16"/>
      <c r="B276" s="16"/>
      <c r="C276" s="16"/>
      <c r="D276" s="20"/>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x14ac:dyDescent="0.25">
      <c r="A277" s="16"/>
      <c r="B277" s="16"/>
      <c r="C277" s="16"/>
      <c r="D277" s="20"/>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x14ac:dyDescent="0.25">
      <c r="A278" s="16"/>
      <c r="B278" s="16"/>
      <c r="C278" s="16"/>
      <c r="D278" s="20"/>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x14ac:dyDescent="0.25">
      <c r="A279" s="16"/>
      <c r="B279" s="16"/>
      <c r="C279" s="16"/>
      <c r="D279" s="20"/>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x14ac:dyDescent="0.25">
      <c r="A280" s="16"/>
      <c r="B280" s="16"/>
      <c r="C280" s="16"/>
      <c r="D280" s="20"/>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x14ac:dyDescent="0.25">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x14ac:dyDescent="0.25">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x14ac:dyDescent="0.25">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x14ac:dyDescent="0.25">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x14ac:dyDescent="0.2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x14ac:dyDescent="0.25">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x14ac:dyDescent="0.25">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x14ac:dyDescent="0.25">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x14ac:dyDescent="0.25">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x14ac:dyDescent="0.25">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x14ac:dyDescent="0.25">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x14ac:dyDescent="0.25">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x14ac:dyDescent="0.25">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x14ac:dyDescent="0.25">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x14ac:dyDescent="0.2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x14ac:dyDescent="0.25">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x14ac:dyDescent="0.25">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x14ac:dyDescent="0.25">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x14ac:dyDescent="0.25">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x14ac:dyDescent="0.25">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x14ac:dyDescent="0.25">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x14ac:dyDescent="0.25">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x14ac:dyDescent="0.2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x14ac:dyDescent="0.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x14ac:dyDescent="0.2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x14ac:dyDescent="0.2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x14ac:dyDescent="0.2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x14ac:dyDescent="0.2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x14ac:dyDescent="0.2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x14ac:dyDescent="0.2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x14ac:dyDescent="0.2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x14ac:dyDescent="0.2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x14ac:dyDescent="0.2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x14ac:dyDescent="0.2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x14ac:dyDescent="0.2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x14ac:dyDescent="0.25">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x14ac:dyDescent="0.25">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x14ac:dyDescent="0.25">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x14ac:dyDescent="0.25">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x14ac:dyDescent="0.25">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x14ac:dyDescent="0.25">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x14ac:dyDescent="0.25">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x14ac:dyDescent="0.25">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x14ac:dyDescent="0.25">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x14ac:dyDescent="0.2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x14ac:dyDescent="0.25">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x14ac:dyDescent="0.25">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sheetData>
  <conditionalFormatting sqref="J2:J257">
    <cfRule type="cellIs" dxfId="17" priority="1" operator="equal">
      <formula>"R"</formula>
    </cfRule>
  </conditionalFormatting>
  <hyperlinks>
    <hyperlink ref="B2" r:id="rId1" xr:uid="{8695563F-5056-4A87-A611-A69E3460B321}"/>
    <hyperlink ref="B3" r:id="rId2" xr:uid="{E85F6C22-E86B-4D04-8E48-93276BBABEA1}"/>
    <hyperlink ref="B4" r:id="rId3" xr:uid="{DEBD7D5F-D49A-4227-A345-5AB388F5A7BE}"/>
    <hyperlink ref="B5" r:id="rId4" xr:uid="{F179C15F-03BF-4461-A952-6C974C338155}"/>
    <hyperlink ref="B6" r:id="rId5" xr:uid="{C6BB92DC-CD02-469A-B49C-174873337105}"/>
    <hyperlink ref="B7" r:id="rId6" xr:uid="{AD25CEAF-CECC-4009-AD4D-3087887AF366}"/>
    <hyperlink ref="B8" r:id="rId7" xr:uid="{A3113515-0E0F-462B-816B-DC41EADB26D8}"/>
    <hyperlink ref="B9" r:id="rId8" xr:uid="{76D4CB0C-14C8-4098-8C6E-4713F3AFA1D0}"/>
    <hyperlink ref="B10" r:id="rId9" xr:uid="{7573B84E-1D40-4CBC-B535-226818E7890B}"/>
    <hyperlink ref="B11" r:id="rId10" xr:uid="{181574C9-099E-47EC-AE4F-4D548CBF038D}"/>
    <hyperlink ref="B12" r:id="rId11" xr:uid="{FACA2ED9-7EE1-4001-836F-1A8C53CB820C}"/>
    <hyperlink ref="B13" r:id="rId12" xr:uid="{BEF85D2D-1722-4B5B-B94F-3ECCFA7DD8F8}"/>
    <hyperlink ref="B14" r:id="rId13" xr:uid="{DC67D71D-834D-430D-8D2B-FC3D07252508}"/>
    <hyperlink ref="B15" r:id="rId14" xr:uid="{BC7177B6-3E45-4020-B89C-31C941B1DAA5}"/>
    <hyperlink ref="B16" r:id="rId15" xr:uid="{8F25D589-1AF8-40EC-87C1-7D868A928392}"/>
    <hyperlink ref="B17" r:id="rId16" xr:uid="{B9E180D1-F3A5-4130-8BE3-0CFBC623BBB5}"/>
    <hyperlink ref="B18" r:id="rId17" xr:uid="{CC4B7963-CBB6-4BB5-88FC-2477CE33AA08}"/>
    <hyperlink ref="B19" r:id="rId18" xr:uid="{BD6C1B5C-ACE4-43DC-BA46-1362AB77B123}"/>
    <hyperlink ref="B20" r:id="rId19" xr:uid="{E557B829-5D13-4D6F-B041-12585B5B0CC9}"/>
    <hyperlink ref="B21" r:id="rId20" xr:uid="{F180B705-03C3-40D1-BFB3-3140F26EFE56}"/>
    <hyperlink ref="B22" r:id="rId21" xr:uid="{D361B8ED-AB8E-4371-B9E6-30BBEFE5D40D}"/>
    <hyperlink ref="B23" r:id="rId22" xr:uid="{3DBDBDF2-FF5B-4A6B-A3D6-28EC5973FDFD}"/>
    <hyperlink ref="B24" r:id="rId23" xr:uid="{74C0E92F-0D31-4C41-9622-9BDD0DB6C220}"/>
    <hyperlink ref="B25" r:id="rId24" xr:uid="{89CCB9B2-B0BE-421C-B6D1-93FC95416B30}"/>
    <hyperlink ref="B26" r:id="rId25" xr:uid="{9BBC6FF9-6B68-4741-A36C-FF055AB81877}"/>
    <hyperlink ref="B27" r:id="rId26" xr:uid="{D3C7C8C5-8622-4D58-AECA-E5F3E4EFA1E4}"/>
    <hyperlink ref="B28" r:id="rId27" xr:uid="{3A90BAC9-2B7F-4E92-B37E-F736F35ED904}"/>
    <hyperlink ref="B29" r:id="rId28" xr:uid="{6CFF0702-8E00-4343-ABD7-2EE5B3DEF8A9}"/>
    <hyperlink ref="B30" r:id="rId29" xr:uid="{BF480997-7AE7-4EE2-9D17-F70F050F9888}"/>
    <hyperlink ref="B31" r:id="rId30" xr:uid="{038326F6-4ECD-4153-96EA-99C938A48DB6}"/>
    <hyperlink ref="B32" r:id="rId31" xr:uid="{73BEFB26-C656-46D8-A254-C256A740C7D3}"/>
    <hyperlink ref="B33" r:id="rId32" xr:uid="{73015437-AC0E-4ECA-9C62-5AA1A2821301}"/>
    <hyperlink ref="B34" r:id="rId33" xr:uid="{F392B838-434C-48BC-A893-9492A8656B8A}"/>
    <hyperlink ref="B35" r:id="rId34" xr:uid="{0B53D9FB-26B8-4CEA-A426-0E69B180CA3A}"/>
    <hyperlink ref="B36" r:id="rId35" xr:uid="{3B833EB5-2D44-45EC-BD0A-0A3D6CC36ED6}"/>
    <hyperlink ref="B37" r:id="rId36" xr:uid="{D6B21489-7AC0-4741-8F6E-9524B0BE7488}"/>
    <hyperlink ref="B38" r:id="rId37" xr:uid="{44F17206-B42B-4A19-B8FD-1531EAB0ACF4}"/>
    <hyperlink ref="B39" r:id="rId38" xr:uid="{6750FA69-FC3B-4EFB-BC1F-053386076080}"/>
    <hyperlink ref="B40" r:id="rId39" xr:uid="{2E441364-DA8D-40B6-B5E1-3FBD6B80EDF2}"/>
    <hyperlink ref="B41" r:id="rId40" xr:uid="{F0058E3F-C42D-4DB9-A51E-F4960F4C2C71}"/>
    <hyperlink ref="B42" r:id="rId41" xr:uid="{A75BCD50-F3ED-4B5B-B926-CAECE494A84D}"/>
    <hyperlink ref="B43" r:id="rId42" xr:uid="{923AD30C-2F75-4576-BB60-CC42D7BD94CB}"/>
    <hyperlink ref="B44" r:id="rId43" xr:uid="{19DF6C0A-2610-4EF0-93C9-5C36330FBC60}"/>
    <hyperlink ref="B45" r:id="rId44" xr:uid="{59DFE2F2-FE16-404C-A817-3843A64CF911}"/>
    <hyperlink ref="B46" r:id="rId45" xr:uid="{F761D9F5-ED0D-41F2-BAC1-FBF2FE3C7AEE}"/>
    <hyperlink ref="B47" r:id="rId46" xr:uid="{0F7DC1CC-B511-426C-A9A7-7FCCD787EB94}"/>
    <hyperlink ref="B48" r:id="rId47" xr:uid="{20402775-406D-4E6F-9C39-FB6D4E5ECD00}"/>
    <hyperlink ref="B49" r:id="rId48" xr:uid="{94F98839-DF5C-4A23-9761-66EF27B8A4C7}"/>
    <hyperlink ref="B50" r:id="rId49" xr:uid="{84E41984-BE17-4ECA-A6FA-A8448772982B}"/>
    <hyperlink ref="B51" r:id="rId50" xr:uid="{0F55DEBB-2330-4E93-91BE-3869413FA209}"/>
    <hyperlink ref="B52" r:id="rId51" xr:uid="{1E258D45-4399-452C-BA50-E8F8344EA6DE}"/>
    <hyperlink ref="B53" r:id="rId52" xr:uid="{2CAFF48F-FA51-4688-9794-DCC3DC4B6C51}"/>
    <hyperlink ref="B54" r:id="rId53" xr:uid="{DAEAABA3-3EE6-40F1-9794-7CDC251F4FC4}"/>
    <hyperlink ref="B55" r:id="rId54" xr:uid="{9AD3D514-B0EF-419F-A483-D78A082A9944}"/>
    <hyperlink ref="B56" r:id="rId55" xr:uid="{67ABB57D-85E9-490E-9B0F-79C1FC6F24BD}"/>
    <hyperlink ref="B57" r:id="rId56" xr:uid="{37C4615C-5361-4B14-BCAC-DFD4FE3DDF82}"/>
    <hyperlink ref="B58" r:id="rId57" xr:uid="{937E8270-4045-4428-85A9-21D41D3C9417}"/>
    <hyperlink ref="B59" r:id="rId58" xr:uid="{8AB32B34-1924-4070-9BD3-9BD29111168D}"/>
    <hyperlink ref="B60" r:id="rId59" xr:uid="{593EE001-BA16-4C9F-B777-AC8A8BC96BC1}"/>
    <hyperlink ref="B61" r:id="rId60" xr:uid="{2B0A9F92-A3B9-466C-BE78-A22871381229}"/>
    <hyperlink ref="B62" r:id="rId61" xr:uid="{E41C969A-2D82-4648-BD09-F9B6CB9AF85A}"/>
    <hyperlink ref="B63" r:id="rId62" xr:uid="{231A242C-BCE7-42F7-847A-692F25D59162}"/>
    <hyperlink ref="B64" r:id="rId63" xr:uid="{365214E8-D81A-4893-81A5-7CA56418502C}"/>
    <hyperlink ref="B65" r:id="rId64" xr:uid="{3C311E9E-0035-4CA1-BEF5-FEA869A2654A}"/>
    <hyperlink ref="B66" r:id="rId65" xr:uid="{9E5E5403-1A99-413A-924A-A0224D9BB618}"/>
    <hyperlink ref="B67" r:id="rId66" xr:uid="{726ECF0E-70F6-42C5-8AE5-8170DB1AA8C6}"/>
    <hyperlink ref="B68" r:id="rId67" xr:uid="{E67BCDBD-0A53-4F09-9CC0-F1F745633F02}"/>
    <hyperlink ref="B69" r:id="rId68" xr:uid="{C73A53B0-6620-40CA-B60B-C1F7844E9712}"/>
    <hyperlink ref="B70" r:id="rId69" xr:uid="{7EE08E39-D4F2-41E7-9992-820354C47521}"/>
    <hyperlink ref="B71" r:id="rId70" xr:uid="{D38822A5-C19B-4EAA-86E9-CBFE677633ED}"/>
    <hyperlink ref="B72" r:id="rId71" xr:uid="{7361D22E-5B74-4554-9469-F4B4107DADFF}"/>
    <hyperlink ref="B73" r:id="rId72" xr:uid="{2612BCA4-98B8-48C7-8519-73BBFC3CC718}"/>
    <hyperlink ref="B74" r:id="rId73" xr:uid="{C6C2625F-9E69-4CFB-B82D-645B9554EF89}"/>
    <hyperlink ref="B75" r:id="rId74" xr:uid="{2B8C1A6F-CC78-4044-8442-31589D016A3F}"/>
    <hyperlink ref="B76" r:id="rId75" xr:uid="{F8AE9D5D-5E47-4D5C-B79C-8AD27F30A475}"/>
    <hyperlink ref="B77" r:id="rId76" xr:uid="{A38B7522-18DB-4267-B129-989C14450FEE}"/>
    <hyperlink ref="B78" r:id="rId77" xr:uid="{C244933B-6272-40FC-BC31-6CE08564C304}"/>
    <hyperlink ref="B79" r:id="rId78" xr:uid="{B0B554CB-4C66-4ECE-B0F5-D71ABDDED9E0}"/>
    <hyperlink ref="B80" r:id="rId79" xr:uid="{E9361904-2CDC-4E5A-9C2F-D7C10334EA88}"/>
    <hyperlink ref="B81" r:id="rId80" xr:uid="{64F1923B-01D5-4C31-892B-FEDE8263B07E}"/>
    <hyperlink ref="B82" r:id="rId81" xr:uid="{DE782480-1E06-466C-8E3D-645EE69681CB}"/>
    <hyperlink ref="B83" r:id="rId82" xr:uid="{B4F75F3C-2C6B-40E6-B1A3-10DCE8191A23}"/>
    <hyperlink ref="B84" r:id="rId83" xr:uid="{7D93ED71-5E19-40C6-9FDC-2A8906FF20A2}"/>
    <hyperlink ref="B85" r:id="rId84" xr:uid="{D8FDB2EE-52DD-4BFA-8F95-31CD099BAE91}"/>
    <hyperlink ref="B86" r:id="rId85" xr:uid="{C0FF505C-8B09-458B-826F-2DA89E1249A7}"/>
    <hyperlink ref="B87" r:id="rId86" xr:uid="{F1186414-F0FF-4EF3-9F9D-88A5A4E13056}"/>
    <hyperlink ref="B88" r:id="rId87" xr:uid="{A13F8A08-3C1E-462E-A82E-049E0D3C92FD}"/>
    <hyperlink ref="B89" r:id="rId88" xr:uid="{6F48CB2D-AFED-4DE2-9112-ECED40D7B3BD}"/>
    <hyperlink ref="B90" r:id="rId89" xr:uid="{907E2E21-BB61-40D9-8F21-FBDCB1BD8F7C}"/>
    <hyperlink ref="B91" r:id="rId90" xr:uid="{32FCFE3D-1673-4111-AA27-9F0DC2767955}"/>
    <hyperlink ref="B92" r:id="rId91" xr:uid="{75439731-EB9F-441A-975A-B5BB203CC596}"/>
    <hyperlink ref="B93" r:id="rId92" xr:uid="{EFCD2847-3321-4875-ADD2-D4E11061A214}"/>
    <hyperlink ref="B94" r:id="rId93" xr:uid="{64AA30B9-3587-4A48-B9D0-9916BAEEEF4C}"/>
    <hyperlink ref="B95" r:id="rId94" xr:uid="{631ABEAB-D169-473F-A5A5-5C820A219FDA}"/>
    <hyperlink ref="B96" r:id="rId95" xr:uid="{5F2C1302-AB4B-47D4-A4FC-E75B98DCC68C}"/>
    <hyperlink ref="B97" r:id="rId96" xr:uid="{CD16BBE1-0CCD-43EC-B26D-63FABE6A76C5}"/>
    <hyperlink ref="B98" r:id="rId97" xr:uid="{2C2059C6-92F7-411A-AE76-A09CC33F9308}"/>
    <hyperlink ref="B99" r:id="rId98" xr:uid="{1DA04519-933D-4620-858C-CF366AAC9BF6}"/>
    <hyperlink ref="B100" r:id="rId99" xr:uid="{EFB7AB88-6252-4896-9FA5-8A6E7E5CED6F}"/>
    <hyperlink ref="B101" r:id="rId100" xr:uid="{E6CB8AD1-D7D8-46D5-B7B0-48EC78AA34E7}"/>
    <hyperlink ref="B102" r:id="rId101" xr:uid="{B3D5B6A9-75B8-43B4-BF17-8763F01E847D}"/>
    <hyperlink ref="B103" r:id="rId102" xr:uid="{D594904C-BF27-45DB-8006-9387A86D4898}"/>
    <hyperlink ref="B104" r:id="rId103" xr:uid="{0CFA9BFF-F817-445B-BAC3-15FB3BA94ED4}"/>
    <hyperlink ref="B105" r:id="rId104" xr:uid="{FE285232-ACEE-4CA8-B113-EA18258A987D}"/>
    <hyperlink ref="B106" r:id="rId105" xr:uid="{E1C02A0C-E72A-47D0-8C1E-5977D69D0B5A}"/>
    <hyperlink ref="B107" r:id="rId106" xr:uid="{0331E33D-89B1-4851-AB8B-E68DE5C5E559}"/>
    <hyperlink ref="B108" r:id="rId107" xr:uid="{B43B03F4-53D0-4566-A683-1E34648A58F0}"/>
    <hyperlink ref="B109" r:id="rId108" xr:uid="{475DB748-1EFF-4136-895A-99F08D8DF8D1}"/>
    <hyperlink ref="B110" r:id="rId109" xr:uid="{7F75EA18-8C9B-4F2F-8B1B-97CD77B44C42}"/>
    <hyperlink ref="B111" r:id="rId110" xr:uid="{55FA5916-368D-4F35-9BFB-A4CAF77E7218}"/>
    <hyperlink ref="B112" r:id="rId111" xr:uid="{46EB7446-F666-471C-9D91-A63CB89F79E5}"/>
    <hyperlink ref="B113" r:id="rId112" xr:uid="{2134E7B3-A00C-4EAA-A2E1-80F9EED38666}"/>
    <hyperlink ref="B114" r:id="rId113" xr:uid="{440B6308-39D4-464F-8231-961DF85512BE}"/>
    <hyperlink ref="B115" r:id="rId114" xr:uid="{56459680-517F-4A0F-9815-658A567D494A}"/>
    <hyperlink ref="B116" r:id="rId115" xr:uid="{DEED09AA-C33F-4202-B361-8E67C76AE1DA}"/>
    <hyperlink ref="B117" r:id="rId116" xr:uid="{B48F8837-8002-4B2F-89F2-6DEEFC0E5EBF}"/>
    <hyperlink ref="B118" r:id="rId117" xr:uid="{EFFD9061-44A7-4AC1-8249-AD640A96C764}"/>
    <hyperlink ref="B119" r:id="rId118" xr:uid="{74CCC01A-CC51-44AE-BC63-D5736B4BEEC9}"/>
    <hyperlink ref="B120" r:id="rId119" xr:uid="{FD23F2DB-2AF8-4AC3-904A-F9F2D2BD44F4}"/>
    <hyperlink ref="B121" r:id="rId120" xr:uid="{43A2097D-06C3-46E6-AA13-B570E1A11FD7}"/>
    <hyperlink ref="B122" r:id="rId121" xr:uid="{FCB79385-4DF4-4EAB-9D73-97EDCE7000A0}"/>
    <hyperlink ref="B123" r:id="rId122" xr:uid="{5F22D2E3-08A8-4D9F-B03B-63388737C48C}"/>
    <hyperlink ref="B124" r:id="rId123" xr:uid="{E745BE44-1594-4601-866D-4E4F0CEE6470}"/>
    <hyperlink ref="B125" r:id="rId124" xr:uid="{A9790CC3-5038-471B-BD7C-9EC14F781188}"/>
    <hyperlink ref="B126" r:id="rId125" xr:uid="{F5780238-95E6-40E8-B1FF-BC8CD1208B98}"/>
    <hyperlink ref="B127" r:id="rId126" xr:uid="{6EA99005-C149-4379-98F5-02A9FAAB22F9}"/>
    <hyperlink ref="B128" r:id="rId127" xr:uid="{978B9BDA-3E1E-4B3C-B4DD-F2DD23444DA1}"/>
    <hyperlink ref="B129" r:id="rId128" xr:uid="{0108C42B-8D6E-4632-85B2-8D3647DF7651}"/>
    <hyperlink ref="B130" r:id="rId129" xr:uid="{6467AB1C-9DC3-4595-8058-EA247ED9984F}"/>
    <hyperlink ref="B131" r:id="rId130" xr:uid="{6E636297-2ADE-406F-8EE9-FD994BE2A59F}"/>
    <hyperlink ref="B132" r:id="rId131" xr:uid="{FC978A38-53D8-44E1-A03A-E4A48D9503C2}"/>
    <hyperlink ref="B133" r:id="rId132" xr:uid="{C40A2E42-9A4D-4062-A893-6A8477A8E2CD}"/>
    <hyperlink ref="B134" r:id="rId133" xr:uid="{EB1C3E20-DAA3-4CAC-892C-25E7C10ADCBD}"/>
    <hyperlink ref="B135" r:id="rId134" xr:uid="{AD31F888-B73A-4242-8306-7ECD851F288B}"/>
    <hyperlink ref="B136" r:id="rId135" xr:uid="{80D9DDD3-8F7A-4CF7-96E3-A6F868B04099}"/>
    <hyperlink ref="B137" r:id="rId136" xr:uid="{6C87EAD5-F5EA-47BA-95D8-493F4AB77FA9}"/>
    <hyperlink ref="B138" r:id="rId137" xr:uid="{816B3F29-F08F-4EDD-AF58-4C0AD438E3BC}"/>
    <hyperlink ref="B139" r:id="rId138" xr:uid="{61CD7E5C-7303-4827-B10E-7C406429B216}"/>
    <hyperlink ref="B140" r:id="rId139" xr:uid="{8948C657-F22A-4388-950E-D59DC59E8896}"/>
    <hyperlink ref="B141" r:id="rId140" xr:uid="{B2C437E6-1F4B-4104-BF85-77E880655484}"/>
    <hyperlink ref="B142" r:id="rId141" xr:uid="{24BE19BB-9254-42E6-A7DC-99C2D7DACD0E}"/>
    <hyperlink ref="B143" r:id="rId142" xr:uid="{9E9AB93A-0629-486F-92D9-0D4189760A28}"/>
    <hyperlink ref="B144" r:id="rId143" xr:uid="{C5889C28-6D25-40B8-8FD7-08A0248A3E31}"/>
    <hyperlink ref="B145" r:id="rId144" xr:uid="{91E45652-677D-4207-9F42-0B2530C4C7B9}"/>
    <hyperlink ref="B146" r:id="rId145" xr:uid="{24A2BADD-7A6D-43C2-ADE8-0054FEBB2BEA}"/>
    <hyperlink ref="B147" r:id="rId146" xr:uid="{F54ABAC4-7FE7-472E-A4B9-FDD9EDFB774D}"/>
    <hyperlink ref="B148" r:id="rId147" xr:uid="{5CAF5AD4-8273-48C8-9A94-5359798E5876}"/>
    <hyperlink ref="B149" r:id="rId148" xr:uid="{81A8F2BE-D9E6-4633-8F8D-C3CC1E98FA90}"/>
    <hyperlink ref="B150" r:id="rId149" xr:uid="{BF617090-6A5E-473F-92B1-054CBC0CF2F6}"/>
    <hyperlink ref="B151" r:id="rId150" xr:uid="{C2D9C288-4DB1-436A-A6BE-868C6D5934F6}"/>
    <hyperlink ref="B152" r:id="rId151" xr:uid="{66E0C125-B1A9-4633-9002-C5DACF03E9AB}"/>
    <hyperlink ref="B153" r:id="rId152" xr:uid="{B3F8708C-CA9F-4C89-9CCC-A52834AE431B}"/>
    <hyperlink ref="B154" r:id="rId153" xr:uid="{943B519D-A06F-4713-B302-B876FAD92FDC}"/>
    <hyperlink ref="B155" r:id="rId154" xr:uid="{38358E3F-F938-4CC9-80D0-7A99B684058C}"/>
    <hyperlink ref="B156" r:id="rId155" xr:uid="{A477D5BE-9C67-4947-B15A-3D4BF91CDFD6}"/>
    <hyperlink ref="B157" r:id="rId156" xr:uid="{AB895711-EE13-492A-B4EB-F52FC807966E}"/>
    <hyperlink ref="B158" r:id="rId157" xr:uid="{74D491C8-E1CB-4996-9B0B-6DBA9E84A534}"/>
    <hyperlink ref="B159" r:id="rId158" xr:uid="{5387B0C8-F355-4A4A-82CC-D9A9125FF2A2}"/>
    <hyperlink ref="B160" r:id="rId159" xr:uid="{9EB47ED5-AAB9-4399-AF1E-77DCC9F6A200}"/>
    <hyperlink ref="B161" r:id="rId160" xr:uid="{2F63C2CE-53C4-483F-B284-A0D7868654A3}"/>
    <hyperlink ref="B162" r:id="rId161" xr:uid="{141C162A-8171-4341-B434-5D4E7B501F4D}"/>
    <hyperlink ref="B163" r:id="rId162" xr:uid="{F8334396-4A2F-4C0D-9EDC-08427FCC0318}"/>
    <hyperlink ref="B164" r:id="rId163" xr:uid="{2F052594-68A2-4B53-8D59-66170BDB62C0}"/>
    <hyperlink ref="B165" r:id="rId164" xr:uid="{81EE262D-F830-4756-B6C0-F899D8C7F817}"/>
    <hyperlink ref="B166" r:id="rId165" xr:uid="{EA032C3A-79A1-4845-9863-32D33C3CB939}"/>
    <hyperlink ref="B167" r:id="rId166" xr:uid="{7C6F3428-FCD2-47E7-AC80-E36B87A1D3E7}"/>
    <hyperlink ref="B168" r:id="rId167" xr:uid="{3A52B320-6817-4E65-B8AB-2DB8B9EDE161}"/>
    <hyperlink ref="B169" r:id="rId168" xr:uid="{C706B300-E8A3-47FE-AEAE-BCD72D5D1AE5}"/>
    <hyperlink ref="B170" r:id="rId169" xr:uid="{24E331CB-5F41-452E-8D8D-AE8B3DC8EDC3}"/>
    <hyperlink ref="B171" r:id="rId170" xr:uid="{F06472FF-E95A-4DB3-B6B6-40B3FDE5F419}"/>
    <hyperlink ref="B172" r:id="rId171" xr:uid="{6EE60041-BFB7-4231-8168-8A04D5548076}"/>
    <hyperlink ref="B173" r:id="rId172" xr:uid="{D7222BE3-A2E5-4BDA-A8C1-83E6D713D238}"/>
    <hyperlink ref="B174" r:id="rId173" xr:uid="{1EB6206F-C0FB-4D24-A17D-7CBDB83CAD8C}"/>
    <hyperlink ref="B175" r:id="rId174" xr:uid="{696F5A59-1314-408C-87A8-6A3B1D1CD2D9}"/>
    <hyperlink ref="B176" r:id="rId175" xr:uid="{16069425-9951-4C67-8157-F29091B20D53}"/>
    <hyperlink ref="B177" r:id="rId176" xr:uid="{46D3DB5B-B6C7-4CE4-8E6E-2A328B2A1999}"/>
    <hyperlink ref="B178" r:id="rId177" xr:uid="{936C42F8-145F-4C57-81FA-74C9086B6724}"/>
    <hyperlink ref="B179" r:id="rId178" xr:uid="{38D3AB3C-C46D-4090-948D-8597EB8C13F9}"/>
    <hyperlink ref="B180" r:id="rId179" xr:uid="{E2DE40D3-04A8-4B54-9A83-594BC3C24475}"/>
    <hyperlink ref="B181" r:id="rId180" xr:uid="{4F63B57A-8DCD-4537-9EBD-5BC86F3175C5}"/>
    <hyperlink ref="B182" r:id="rId181" xr:uid="{C627144B-1F3A-4305-A026-88C2AD331DFB}"/>
    <hyperlink ref="B183" r:id="rId182" xr:uid="{09DCCE2E-B36F-4675-9C1C-588855852587}"/>
    <hyperlink ref="B184" r:id="rId183" xr:uid="{BE3EE468-4CFE-41A3-8AE2-8AAABF3C8806}"/>
    <hyperlink ref="B185" r:id="rId184" xr:uid="{4B4B5072-A3C6-413C-A1E1-0598DD4ED804}"/>
    <hyperlink ref="B186" r:id="rId185" xr:uid="{B1F8A9A8-215F-4754-9B38-C116759996EE}"/>
    <hyperlink ref="B187" r:id="rId186" xr:uid="{AAD95C79-9F99-4F3B-91FC-73E425D52653}"/>
    <hyperlink ref="B188" r:id="rId187" xr:uid="{5E5260CC-010F-4B93-9A94-AA90A5FD27E5}"/>
    <hyperlink ref="B189" r:id="rId188" xr:uid="{FD915E7B-62FE-4537-A635-70FA36BD547A}"/>
    <hyperlink ref="B190" r:id="rId189" xr:uid="{43A97873-48BD-4B60-A678-BB858B65FA00}"/>
    <hyperlink ref="B191" r:id="rId190" xr:uid="{68DFE6D2-C7A2-4E68-9CB3-B61785DA627F}"/>
    <hyperlink ref="B192" r:id="rId191" xr:uid="{233CBD66-6CEF-44C5-9CC6-949BCD9800C6}"/>
    <hyperlink ref="B193" r:id="rId192" xr:uid="{882FC5C6-529E-42DB-A6B0-8D52CD56BA7C}"/>
    <hyperlink ref="B194" r:id="rId193" xr:uid="{1F826D2E-AF0A-40DB-9471-050D05E55CEE}"/>
    <hyperlink ref="B195" r:id="rId194" xr:uid="{17752CD8-B467-4FC5-815B-7BB7792B36BF}"/>
    <hyperlink ref="B196" r:id="rId195" xr:uid="{F0131D0B-9A60-417C-80B5-0D15DFF60741}"/>
    <hyperlink ref="B197" r:id="rId196" xr:uid="{9E3859EC-A5DF-4724-9F21-972A0CBC5E4E}"/>
    <hyperlink ref="B198" r:id="rId197" xr:uid="{23468D6C-90B8-4F6A-84A6-CCD9560479C5}"/>
    <hyperlink ref="B199" r:id="rId198" xr:uid="{0081AFEA-4619-4B6D-95B7-B2830FE69730}"/>
    <hyperlink ref="B200" r:id="rId199" xr:uid="{B5A7836A-0F24-477B-9BA5-415B506963AD}"/>
    <hyperlink ref="B201" r:id="rId200" xr:uid="{F35DAD6A-4BF9-497E-AE32-68D746948604}"/>
    <hyperlink ref="B202" r:id="rId201" xr:uid="{23C6D94E-DAFE-48B6-8B4F-B227DDFD7676}"/>
    <hyperlink ref="B203" r:id="rId202" xr:uid="{A5B55926-E3A6-49BC-AC43-7BAF715F1AAD}"/>
    <hyperlink ref="B204" r:id="rId203" xr:uid="{6EC21688-4AD2-4CBB-9EA4-F670680F4385}"/>
    <hyperlink ref="B205" r:id="rId204" xr:uid="{A881D1FA-C1D6-4ED3-ADC5-DDF1BDB9239E}"/>
    <hyperlink ref="B206" r:id="rId205" xr:uid="{7AD3D7CA-EA14-4286-8D37-E2455C95C899}"/>
    <hyperlink ref="B207" r:id="rId206" xr:uid="{06CBD3E2-C21D-4C5C-BBC8-71389CE4314D}"/>
    <hyperlink ref="B208" r:id="rId207" xr:uid="{457E6088-2A25-4509-80A2-D325F41D2335}"/>
    <hyperlink ref="B209" r:id="rId208" xr:uid="{E0E34712-E59B-4E3F-B28B-D0EA52628913}"/>
    <hyperlink ref="B210" r:id="rId209" xr:uid="{A0880875-4002-47AA-AD68-78448418E8E9}"/>
    <hyperlink ref="B211" r:id="rId210" xr:uid="{D71D5215-1C1C-4CA7-A23F-3ECBD1C16E25}"/>
    <hyperlink ref="B212" r:id="rId211" xr:uid="{956D7D73-7FAD-437B-AD38-7E613985A3BF}"/>
    <hyperlink ref="B213" r:id="rId212" xr:uid="{DC62AF9E-B9AE-46AA-9DAA-A55F428B275F}"/>
    <hyperlink ref="B214" r:id="rId213" xr:uid="{256B7521-58F7-4DBC-9356-7EFBF24D6EA2}"/>
    <hyperlink ref="B215" r:id="rId214" xr:uid="{1ACDAC65-8757-4E24-8DA6-2D9B762C368B}"/>
    <hyperlink ref="B216" r:id="rId215" xr:uid="{DF9C4BAA-4A75-4EC3-9EB5-EAB7D8D97152}"/>
    <hyperlink ref="B217" r:id="rId216" xr:uid="{00C3FA6E-3D2A-4ADA-BA82-73FA267BBE23}"/>
    <hyperlink ref="B218" r:id="rId217" xr:uid="{23515E83-46A3-4FB4-A911-AE85FE8167E1}"/>
    <hyperlink ref="B219" r:id="rId218" xr:uid="{C0BA0231-B702-4F8F-A48C-CAA6B25FFCCE}"/>
    <hyperlink ref="B220" r:id="rId219" xr:uid="{05172B3C-BE08-4C87-96D7-B1B38F7386F5}"/>
    <hyperlink ref="B221" r:id="rId220" xr:uid="{63D89B86-AFE6-4145-8D56-B17B9622AC0C}"/>
    <hyperlink ref="B222" r:id="rId221" xr:uid="{7FD1333F-E65F-465E-BD95-C5F87F0ED303}"/>
    <hyperlink ref="B223" r:id="rId222" xr:uid="{5D8EDD1E-BE5C-4313-AAD2-35DA468BA87E}"/>
    <hyperlink ref="B224" r:id="rId223" xr:uid="{2DFB0D9A-43CC-4473-8D75-3E72319D4D22}"/>
    <hyperlink ref="B225" r:id="rId224" xr:uid="{0BC83702-C73E-40F8-B880-77E3380A241E}"/>
    <hyperlink ref="B226" r:id="rId225" xr:uid="{CA3FF4CA-52FC-436A-8449-66F07C909A73}"/>
    <hyperlink ref="B227" r:id="rId226" xr:uid="{DD811280-71F7-4B85-A6DE-0100B96F276E}"/>
    <hyperlink ref="B228" r:id="rId227" xr:uid="{5CFC2EAF-A785-48B7-B919-E989A0601D2F}"/>
    <hyperlink ref="B229" r:id="rId228" xr:uid="{60C5417F-3F8A-4A40-92A4-9CA0889C51E4}"/>
    <hyperlink ref="B230" r:id="rId229" xr:uid="{A0CA888C-6817-4EC1-B3E7-30A42B2F79C8}"/>
    <hyperlink ref="B231" r:id="rId230" xr:uid="{5E563AA9-AF1C-4789-9FAF-F1DC5E4C29EB}"/>
    <hyperlink ref="B232" r:id="rId231" xr:uid="{52A2663C-433E-49CF-8779-F5042CE1D20D}"/>
    <hyperlink ref="B233" r:id="rId232" xr:uid="{BAE7E2A7-362B-4103-9079-A951E11B0E7D}"/>
    <hyperlink ref="B234" r:id="rId233" xr:uid="{3AB1F8DA-52C2-4D58-8C70-1A3445D1C77F}"/>
    <hyperlink ref="B235" r:id="rId234" xr:uid="{9B9AD35E-FB5E-4F48-B6A9-64C1D027DD86}"/>
    <hyperlink ref="B236" r:id="rId235" xr:uid="{2323E890-3C95-4360-A619-FF1BB71C5B24}"/>
    <hyperlink ref="B237" r:id="rId236" xr:uid="{B5D74919-2C80-4C57-AFE6-654B92A088B9}"/>
    <hyperlink ref="B238" r:id="rId237" xr:uid="{9265226A-E088-4D78-9C13-A491AFE84E87}"/>
    <hyperlink ref="B239" r:id="rId238" xr:uid="{0A33DAF1-EF32-4695-BA80-E892D3E35D0A}"/>
    <hyperlink ref="B240" r:id="rId239" xr:uid="{C70E763E-631A-4B16-B2E4-610763178128}"/>
    <hyperlink ref="B241" r:id="rId240" xr:uid="{E252F3E6-01F8-40BF-B275-483CFF0A60CE}"/>
    <hyperlink ref="B242" r:id="rId241" xr:uid="{1CCA51FF-5BD3-4D6B-8B0F-8E0FAEECDA6E}"/>
    <hyperlink ref="B243" r:id="rId242" xr:uid="{6F162E3B-8675-4122-9E39-0E8D1711C24E}"/>
    <hyperlink ref="B244" r:id="rId243" xr:uid="{8720D320-13F8-4897-8090-FC2CC7CCDCF8}"/>
    <hyperlink ref="B245" r:id="rId244" xr:uid="{E006C912-66D4-49FC-B054-6D9889F65272}"/>
    <hyperlink ref="B246" r:id="rId245" xr:uid="{871998D5-6EA4-42E5-9B9A-E2B6E55CB068}"/>
    <hyperlink ref="B247" r:id="rId246" xr:uid="{49BD74FD-630A-4E8E-891D-677A04713FA0}"/>
    <hyperlink ref="B248" r:id="rId247" xr:uid="{CF50DD5A-FE56-473D-A5CC-F9165FBE2C87}"/>
    <hyperlink ref="B249" r:id="rId248" xr:uid="{B57E9A33-EFA2-406F-9981-E94FE2969344}"/>
    <hyperlink ref="B250" r:id="rId249" xr:uid="{E8592E11-572C-46DB-B965-E2504D98730E}"/>
    <hyperlink ref="B251" r:id="rId250" xr:uid="{513F2CC6-111B-449A-970C-719076CE5199}"/>
    <hyperlink ref="B252" r:id="rId251" xr:uid="{95483837-F3E5-4217-9767-99E6164375CE}"/>
    <hyperlink ref="B253" r:id="rId252" xr:uid="{6524F656-7F9E-4CC7-9954-F742D3093CD4}"/>
    <hyperlink ref="B254" r:id="rId253" xr:uid="{2F962C22-BA18-4B77-B42E-D48560F6A8FF}"/>
    <hyperlink ref="B255" r:id="rId254" xr:uid="{502AE95C-D08D-4C82-90D7-E6A1EAF5BEAF}"/>
    <hyperlink ref="B256" r:id="rId255" xr:uid="{D441D643-D860-4FA5-A7EE-8FF16B404856}"/>
    <hyperlink ref="B257" r:id="rId256" xr:uid="{AD247D91-35FA-403D-BEA1-D187918D8862}"/>
  </hyperlinks>
  <pageMargins left="0.7" right="0.7" top="0.75" bottom="0.75" header="0.3" footer="0.3"/>
  <tableParts count="1">
    <tablePart r:id="rId257"/>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D869B-B42E-4EC1-BEAA-3DDE34B08A6E}">
  <dimension ref="A1:AD395"/>
  <sheetViews>
    <sheetView topLeftCell="Q361" workbookViewId="0">
      <selection activeCell="U395" sqref="U395"/>
    </sheetView>
  </sheetViews>
  <sheetFormatPr defaultColWidth="11.42578125" defaultRowHeight="15" x14ac:dyDescent="0.25"/>
  <cols>
    <col min="2" max="3" width="37.85546875" customWidth="1"/>
    <col min="4" max="4" width="14.140625" customWidth="1"/>
    <col min="5" max="5" width="31.85546875" customWidth="1"/>
    <col min="6" max="7" width="21.85546875" customWidth="1"/>
    <col min="8" max="8" width="12.140625" customWidth="1"/>
    <col min="12" max="12" width="12.7109375" customWidth="1"/>
    <col min="13" max="13" width="29.28515625" customWidth="1"/>
    <col min="14" max="14" width="20" customWidth="1"/>
    <col min="15" max="16" width="15.42578125" customWidth="1"/>
    <col min="17" max="17" width="12.42578125" customWidth="1"/>
    <col min="18" max="20" width="26.42578125" customWidth="1"/>
    <col min="21" max="21" width="16.7109375" customWidth="1"/>
    <col min="23" max="23" width="15.42578125" customWidth="1"/>
    <col min="25" max="25" width="19.85546875" customWidth="1"/>
    <col min="26" max="26" width="15.7109375" customWidth="1"/>
    <col min="28" max="28" width="16" customWidth="1"/>
  </cols>
  <sheetData>
    <row r="1" spans="1:30" ht="60" customHeight="1" x14ac:dyDescent="0.25">
      <c r="A1" s="53" t="s">
        <v>0</v>
      </c>
      <c r="B1" s="52" t="s">
        <v>1</v>
      </c>
      <c r="C1" s="49" t="s">
        <v>2</v>
      </c>
      <c r="D1" s="52" t="s">
        <v>3</v>
      </c>
      <c r="E1" s="50" t="s">
        <v>4</v>
      </c>
      <c r="F1" s="52" t="s">
        <v>5</v>
      </c>
      <c r="G1" s="52" t="s">
        <v>6</v>
      </c>
      <c r="H1" s="52" t="s">
        <v>7</v>
      </c>
      <c r="I1" s="52" t="s">
        <v>8</v>
      </c>
      <c r="J1" s="52" t="s">
        <v>9</v>
      </c>
      <c r="K1" s="48" t="s">
        <v>10</v>
      </c>
      <c r="L1" s="48" t="s">
        <v>11</v>
      </c>
      <c r="M1" s="48" t="s">
        <v>12</v>
      </c>
      <c r="N1" s="48" t="s">
        <v>13</v>
      </c>
      <c r="O1" s="48" t="s">
        <v>14</v>
      </c>
      <c r="P1" s="48" t="s">
        <v>15</v>
      </c>
      <c r="Q1" s="48" t="s">
        <v>16</v>
      </c>
      <c r="R1" s="48" t="s">
        <v>17</v>
      </c>
      <c r="S1" s="48" t="s">
        <v>9149</v>
      </c>
      <c r="T1" s="48" t="s">
        <v>9150</v>
      </c>
      <c r="U1" s="48" t="s">
        <v>18</v>
      </c>
      <c r="V1" s="48" t="s">
        <v>19</v>
      </c>
      <c r="W1" s="48" t="s">
        <v>20</v>
      </c>
      <c r="X1" s="48" t="s">
        <v>21</v>
      </c>
      <c r="Y1" s="48" t="s">
        <v>22</v>
      </c>
      <c r="Z1" s="48" t="s">
        <v>23</v>
      </c>
      <c r="AA1" s="48" t="s">
        <v>24</v>
      </c>
      <c r="AB1" s="48" t="s">
        <v>25</v>
      </c>
      <c r="AC1" s="48" t="s">
        <v>201</v>
      </c>
      <c r="AD1" s="51" t="s">
        <v>27</v>
      </c>
    </row>
    <row r="2" spans="1:30" x14ac:dyDescent="0.25">
      <c r="A2" s="36">
        <v>1465</v>
      </c>
      <c r="B2" s="14" t="s">
        <v>2957</v>
      </c>
      <c r="C2" s="14" t="s">
        <v>2958</v>
      </c>
      <c r="D2" s="17">
        <v>44138</v>
      </c>
      <c r="E2" s="14" t="s">
        <v>30</v>
      </c>
      <c r="F2" s="14">
        <v>805</v>
      </c>
      <c r="G2" s="14">
        <v>157</v>
      </c>
      <c r="H2" s="14">
        <v>8</v>
      </c>
      <c r="I2" s="14">
        <v>4</v>
      </c>
      <c r="J2" s="14" t="s">
        <v>204</v>
      </c>
      <c r="K2" s="14" cm="1">
        <f t="array" ref="K2">INT(SUMPRODUCT(--ISNUMBER(SEARCH(economy,C2)))&gt;0)</f>
        <v>0</v>
      </c>
      <c r="L2" s="14" cm="1">
        <f t="array" ref="L2">INT(SUMPRODUCT(--ISNUMBER(SEARCH(healthcare,C2)))&gt;0)</f>
        <v>0</v>
      </c>
      <c r="M2" s="14" cm="1">
        <f t="array" ref="M2">INT(SUMPRODUCT(--ISNUMBER(SEARCH(supreme,C2)))&gt;0)</f>
        <v>0</v>
      </c>
      <c r="N2" s="14" cm="1">
        <f t="array" ref="N2">INT(SUMPRODUCT(--ISNUMBER(SEARCH(covid,C2)))&gt;0)</f>
        <v>1</v>
      </c>
      <c r="O2" s="14" cm="1">
        <f t="array" ref="O2">INT(SUMPRODUCT(--ISNUMBER(SEARCH(violent,C2)))&gt;0)</f>
        <v>0</v>
      </c>
      <c r="P2" s="14" cm="1">
        <f t="array" ref="P2">INT(SUMPRODUCT(--ISNUMBER(SEARCH(foreign,C2)))&gt;0)</f>
        <v>0</v>
      </c>
      <c r="Q2" s="14" cm="1">
        <f t="array" ref="Q2">INT(SUMPRODUCT(--ISNUMBER(SEARCH(gun,C2)))&gt;0)</f>
        <v>0</v>
      </c>
      <c r="R2" s="14" cm="1">
        <f t="array" ref="R2">INT(SUMPRODUCT(--ISNUMBER(SEARCH(race,C2)))&gt;0)</f>
        <v>0</v>
      </c>
      <c r="S2" s="14" cm="1">
        <f t="array" ref="S2">INT(SUMPRODUCT(--ISNUMBER(SEARCH(immigration,C2)))&gt;0)</f>
        <v>0</v>
      </c>
      <c r="T2" s="14" cm="1">
        <f t="array" ref="T2">INT(SUMPRODUCT(--ISNUMBER(SEARCH(econineq,C3)))&gt;0)</f>
        <v>0</v>
      </c>
      <c r="U2" s="14" cm="1">
        <f t="array" ref="U2">INT(SUMPRODUCT(--ISNUMBER(SEARCH(climate,C2)))&gt;0)</f>
        <v>0</v>
      </c>
      <c r="V2" s="14" cm="1">
        <f t="array" ref="V2">INT(SUMPRODUCT(--ISNUMBER(SEARCH(abortion,C2)))&gt;0)</f>
        <v>0</v>
      </c>
      <c r="W2" s="14" cm="1">
        <f t="array" ref="W2">INT(SUMPRODUCT(--ISNUMBER(SEARCH(trump,C2)))&gt;0)</f>
        <v>0</v>
      </c>
      <c r="X2" s="14" cm="1">
        <f t="array" ref="X2">INT(SUMPRODUCT(--ISNUMBER(SEARCH(voting,C2)))&gt;0)</f>
        <v>1</v>
      </c>
      <c r="Y2" s="14" cm="1">
        <f t="array" ref="Y2">INT(SUMPRODUCT(--ISNUMBER(SEARCH(democrattrigger,C2)))&gt;0)</f>
        <v>0</v>
      </c>
      <c r="Z2" s="14" cm="1">
        <f t="array" ref="Z2">INT(SUMPRODUCT(--ISNUMBER(SEARCH(bipartisan,C2)))&gt;0)</f>
        <v>0</v>
      </c>
      <c r="AA2" s="14">
        <f>INT(IF(COUNTIF(K2:Z2,1)=0,"1","0"))</f>
        <v>0</v>
      </c>
      <c r="AB2" s="14"/>
      <c r="AC2" s="30" t="s">
        <v>223</v>
      </c>
      <c r="AD2" s="37" t="s">
        <v>223</v>
      </c>
    </row>
    <row r="3" spans="1:30" x14ac:dyDescent="0.25">
      <c r="A3" s="36">
        <v>1466</v>
      </c>
      <c r="B3" s="14" t="s">
        <v>2959</v>
      </c>
      <c r="C3" s="14" t="s">
        <v>2960</v>
      </c>
      <c r="D3" s="17">
        <v>44138</v>
      </c>
      <c r="E3" s="14" t="s">
        <v>30</v>
      </c>
      <c r="F3" s="14">
        <v>2632</v>
      </c>
      <c r="G3" s="14">
        <v>198</v>
      </c>
      <c r="H3" s="14">
        <v>8</v>
      </c>
      <c r="I3" s="14">
        <v>4</v>
      </c>
      <c r="J3" s="14" t="s">
        <v>204</v>
      </c>
      <c r="K3" s="14" cm="1">
        <f t="array" ref="K3">INT(SUMPRODUCT(--ISNUMBER(SEARCH(economy,C3)))&gt;0)</f>
        <v>0</v>
      </c>
      <c r="L3" s="14" cm="1">
        <f t="array" ref="L3">INT(SUMPRODUCT(--ISNUMBER(SEARCH(healthcare,C3)))&gt;0)</f>
        <v>0</v>
      </c>
      <c r="M3" s="14" cm="1">
        <f t="array" ref="M3">INT(SUMPRODUCT(--ISNUMBER(SEARCH(supreme,C3)))&gt;0)</f>
        <v>0</v>
      </c>
      <c r="N3" s="14" cm="1">
        <f t="array" ref="N3">INT(SUMPRODUCT(--ISNUMBER(SEARCH(covid,C3)))&gt;0)</f>
        <v>0</v>
      </c>
      <c r="O3" s="14" cm="1">
        <f t="array" ref="O3">INT(SUMPRODUCT(--ISNUMBER(SEARCH(violent,C3)))&gt;0)</f>
        <v>0</v>
      </c>
      <c r="P3" s="14" cm="1">
        <f t="array" ref="P3">INT(SUMPRODUCT(--ISNUMBER(SEARCH(foreign,C3)))&gt;0)</f>
        <v>0</v>
      </c>
      <c r="Q3" s="14" cm="1">
        <f t="array" ref="Q3">INT(SUMPRODUCT(--ISNUMBER(SEARCH(gun,C3)))&gt;0)</f>
        <v>0</v>
      </c>
      <c r="R3" s="14" cm="1">
        <f t="array" ref="R3">INT(SUMPRODUCT(--ISNUMBER(SEARCH(race,C3)))&gt;0)</f>
        <v>1</v>
      </c>
      <c r="S3" s="14" cm="1">
        <f t="array" ref="S3">INT(SUMPRODUCT(--ISNUMBER(SEARCH(immigration,C3)))&gt;0)</f>
        <v>0</v>
      </c>
      <c r="T3" s="14" cm="1">
        <f t="array" ref="T3">INT(SUMPRODUCT(--ISNUMBER(SEARCH(econineq,C4)))&gt;0)</f>
        <v>0</v>
      </c>
      <c r="U3" s="14" cm="1">
        <f t="array" ref="U3">INT(SUMPRODUCT(--ISNUMBER(SEARCH(climate,C3)))&gt;0)</f>
        <v>0</v>
      </c>
      <c r="V3" s="14" cm="1">
        <f t="array" ref="V3">INT(SUMPRODUCT(--ISNUMBER(SEARCH(abortion,C3)))&gt;0)</f>
        <v>0</v>
      </c>
      <c r="W3" s="14" cm="1">
        <f t="array" ref="W3">INT(SUMPRODUCT(--ISNUMBER(SEARCH(trump,C3)))&gt;0)</f>
        <v>0</v>
      </c>
      <c r="X3" s="14" cm="1">
        <f t="array" ref="X3">INT(SUMPRODUCT(--ISNUMBER(SEARCH(voting,C3)))&gt;0)</f>
        <v>1</v>
      </c>
      <c r="Y3" s="14" cm="1">
        <f t="array" ref="Y3">INT(SUMPRODUCT(--ISNUMBER(SEARCH(democrattrigger,C3)))&gt;0)</f>
        <v>0</v>
      </c>
      <c r="Z3" s="14" cm="1">
        <f t="array" ref="Z3">INT(SUMPRODUCT(--ISNUMBER(SEARCH(bipartisan,C3)))&gt;0)</f>
        <v>0</v>
      </c>
      <c r="AA3" s="14">
        <f t="shared" ref="AA3:AA66" si="0">INT(IF(COUNTIF(K3:Z3,1)=0,"1","0"))</f>
        <v>0</v>
      </c>
      <c r="AB3" s="14"/>
      <c r="AC3" s="30">
        <v>1</v>
      </c>
      <c r="AD3" s="37">
        <v>0</v>
      </c>
    </row>
    <row r="4" spans="1:30" x14ac:dyDescent="0.25">
      <c r="A4" s="36">
        <v>1467</v>
      </c>
      <c r="B4" s="14" t="s">
        <v>2961</v>
      </c>
      <c r="C4" s="14" t="s">
        <v>2962</v>
      </c>
      <c r="D4" s="17">
        <v>44138</v>
      </c>
      <c r="E4" s="14" t="s">
        <v>30</v>
      </c>
      <c r="F4" s="14">
        <v>490</v>
      </c>
      <c r="G4" s="14">
        <v>112</v>
      </c>
      <c r="H4" s="14">
        <v>8</v>
      </c>
      <c r="I4" s="14">
        <v>4</v>
      </c>
      <c r="J4" s="14" t="s">
        <v>204</v>
      </c>
      <c r="K4" s="14" cm="1">
        <f t="array" ref="K4">INT(SUMPRODUCT(--ISNUMBER(SEARCH(economy,C4)))&gt;0)</f>
        <v>0</v>
      </c>
      <c r="L4" s="14" cm="1">
        <f t="array" ref="L4">INT(SUMPRODUCT(--ISNUMBER(SEARCH(healthcare,C4)))&gt;0)</f>
        <v>1</v>
      </c>
      <c r="M4" s="14" cm="1">
        <f t="array" ref="M4">INT(SUMPRODUCT(--ISNUMBER(SEARCH(supreme,C4)))&gt;0)</f>
        <v>0</v>
      </c>
      <c r="N4" s="14" cm="1">
        <f t="array" ref="N4">INT(SUMPRODUCT(--ISNUMBER(SEARCH(covid,C4)))&gt;0)</f>
        <v>0</v>
      </c>
      <c r="O4" s="14" cm="1">
        <f t="array" ref="O4">INT(SUMPRODUCT(--ISNUMBER(SEARCH(violent,C4)))&gt;0)</f>
        <v>0</v>
      </c>
      <c r="P4" s="14" cm="1">
        <f t="array" ref="P4">INT(SUMPRODUCT(--ISNUMBER(SEARCH(foreign,C4)))&gt;0)</f>
        <v>0</v>
      </c>
      <c r="Q4" s="14" cm="1">
        <f t="array" ref="Q4">INT(SUMPRODUCT(--ISNUMBER(SEARCH(gun,C4)))&gt;0)</f>
        <v>0</v>
      </c>
      <c r="R4" s="14" cm="1">
        <f t="array" ref="R4">INT(SUMPRODUCT(--ISNUMBER(SEARCH(race,C4)))&gt;0)</f>
        <v>0</v>
      </c>
      <c r="S4" s="14" cm="1">
        <f t="array" ref="S4">INT(SUMPRODUCT(--ISNUMBER(SEARCH(immigration,C4)))&gt;0)</f>
        <v>0</v>
      </c>
      <c r="T4" s="14" cm="1">
        <f t="array" ref="T4">INT(SUMPRODUCT(--ISNUMBER(SEARCH(econineq,C5)))&gt;0)</f>
        <v>0</v>
      </c>
      <c r="U4" s="14" cm="1">
        <f t="array" ref="U4">INT(SUMPRODUCT(--ISNUMBER(SEARCH(climate,C4)))&gt;0)</f>
        <v>0</v>
      </c>
      <c r="V4" s="14" cm="1">
        <f t="array" ref="V4">INT(SUMPRODUCT(--ISNUMBER(SEARCH(abortion,C4)))&gt;0)</f>
        <v>0</v>
      </c>
      <c r="W4" s="14" cm="1">
        <f t="array" ref="W4">INT(SUMPRODUCT(--ISNUMBER(SEARCH(trump,C4)))&gt;0)</f>
        <v>0</v>
      </c>
      <c r="X4" s="14" cm="1">
        <f t="array" ref="X4">INT(SUMPRODUCT(--ISNUMBER(SEARCH(voting,C4)))&gt;0)</f>
        <v>1</v>
      </c>
      <c r="Y4" s="14" cm="1">
        <f t="array" ref="Y4">INT(SUMPRODUCT(--ISNUMBER(SEARCH(democrattrigger,C4)))&gt;0)</f>
        <v>0</v>
      </c>
      <c r="Z4" s="14" cm="1">
        <f t="array" ref="Z4">INT(SUMPRODUCT(--ISNUMBER(SEARCH(bipartisan,C4)))&gt;0)</f>
        <v>0</v>
      </c>
      <c r="AA4" s="14">
        <f t="shared" si="0"/>
        <v>0</v>
      </c>
      <c r="AB4" s="14"/>
      <c r="AC4" s="30" t="s">
        <v>223</v>
      </c>
      <c r="AD4" s="37" t="s">
        <v>223</v>
      </c>
    </row>
    <row r="5" spans="1:30" x14ac:dyDescent="0.25">
      <c r="A5" s="36">
        <v>1468</v>
      </c>
      <c r="B5" s="14" t="s">
        <v>2963</v>
      </c>
      <c r="C5" s="14" t="s">
        <v>2964</v>
      </c>
      <c r="D5" s="17">
        <v>44138</v>
      </c>
      <c r="E5" s="14" t="s">
        <v>30</v>
      </c>
      <c r="F5" s="14">
        <v>1308</v>
      </c>
      <c r="G5" s="14">
        <v>170</v>
      </c>
      <c r="H5" s="14">
        <v>8</v>
      </c>
      <c r="I5" s="14">
        <v>4</v>
      </c>
      <c r="J5" s="14" t="s">
        <v>204</v>
      </c>
      <c r="K5" s="14" cm="1">
        <f t="array" ref="K5">INT(SUMPRODUCT(--ISNUMBER(SEARCH(economy,C5)))&gt;0)</f>
        <v>0</v>
      </c>
      <c r="L5" s="14" cm="1">
        <f t="array" ref="L5">INT(SUMPRODUCT(--ISNUMBER(SEARCH(healthcare,C5)))&gt;0)</f>
        <v>0</v>
      </c>
      <c r="M5" s="14" cm="1">
        <f t="array" ref="M5">INT(SUMPRODUCT(--ISNUMBER(SEARCH(supreme,C5)))&gt;0)</f>
        <v>0</v>
      </c>
      <c r="N5" s="14" cm="1">
        <f t="array" ref="N5">INT(SUMPRODUCT(--ISNUMBER(SEARCH(covid,C5)))&gt;0)</f>
        <v>0</v>
      </c>
      <c r="O5" s="14" cm="1">
        <f t="array" ref="O5">INT(SUMPRODUCT(--ISNUMBER(SEARCH(violent,C5)))&gt;0)</f>
        <v>0</v>
      </c>
      <c r="P5" s="14" cm="1">
        <f t="array" ref="P5">INT(SUMPRODUCT(--ISNUMBER(SEARCH(foreign,C5)))&gt;0)</f>
        <v>0</v>
      </c>
      <c r="Q5" s="14" cm="1">
        <f t="array" ref="Q5">INT(SUMPRODUCT(--ISNUMBER(SEARCH(gun,C5)))&gt;0)</f>
        <v>0</v>
      </c>
      <c r="R5" s="14" cm="1">
        <f t="array" ref="R5">INT(SUMPRODUCT(--ISNUMBER(SEARCH(race,C5)))&gt;0)</f>
        <v>1</v>
      </c>
      <c r="S5" s="14" cm="1">
        <f t="array" ref="S5">INT(SUMPRODUCT(--ISNUMBER(SEARCH(immigration,C5)))&gt;0)</f>
        <v>0</v>
      </c>
      <c r="T5" s="14" cm="1">
        <f t="array" ref="T5">INT(SUMPRODUCT(--ISNUMBER(SEARCH(econineq,C6)))&gt;0)</f>
        <v>0</v>
      </c>
      <c r="U5" s="14" cm="1">
        <f t="array" ref="U5">INT(SUMPRODUCT(--ISNUMBER(SEARCH(climate,C5)))&gt;0)</f>
        <v>0</v>
      </c>
      <c r="V5" s="14" cm="1">
        <f t="array" ref="V5">INT(SUMPRODUCT(--ISNUMBER(SEARCH(abortion,C5)))&gt;0)</f>
        <v>0</v>
      </c>
      <c r="W5" s="14" cm="1">
        <f t="array" ref="W5">INT(SUMPRODUCT(--ISNUMBER(SEARCH(trump,C5)))&gt;0)</f>
        <v>0</v>
      </c>
      <c r="X5" s="14" cm="1">
        <f t="array" ref="X5">INT(SUMPRODUCT(--ISNUMBER(SEARCH(voting,C5)))&gt;0)</f>
        <v>0</v>
      </c>
      <c r="Y5" s="14" cm="1">
        <f t="array" ref="Y5">INT(SUMPRODUCT(--ISNUMBER(SEARCH(democrattrigger,C5)))&gt;0)</f>
        <v>0</v>
      </c>
      <c r="Z5" s="14" cm="1">
        <f t="array" ref="Z5">INT(SUMPRODUCT(--ISNUMBER(SEARCH(bipartisan,C5)))&gt;0)</f>
        <v>0</v>
      </c>
      <c r="AA5" s="14">
        <f t="shared" si="0"/>
        <v>0</v>
      </c>
      <c r="AB5" s="14"/>
      <c r="AC5" s="30">
        <v>1</v>
      </c>
      <c r="AD5" s="37">
        <v>0</v>
      </c>
    </row>
    <row r="6" spans="1:30" x14ac:dyDescent="0.25">
      <c r="A6" s="36">
        <v>1469</v>
      </c>
      <c r="B6" s="14" t="s">
        <v>2965</v>
      </c>
      <c r="C6" s="14" t="s">
        <v>2966</v>
      </c>
      <c r="D6" s="17">
        <v>44138</v>
      </c>
      <c r="E6" s="14" t="s">
        <v>30</v>
      </c>
      <c r="F6" s="14">
        <v>1599</v>
      </c>
      <c r="G6" s="14">
        <v>175</v>
      </c>
      <c r="H6" s="14">
        <v>8</v>
      </c>
      <c r="I6" s="14">
        <v>4</v>
      </c>
      <c r="J6" s="14" t="s">
        <v>204</v>
      </c>
      <c r="K6" s="14" cm="1">
        <f t="array" ref="K6">INT(SUMPRODUCT(--ISNUMBER(SEARCH(economy,C6)))&gt;0)</f>
        <v>0</v>
      </c>
      <c r="L6" s="14" cm="1">
        <f t="array" ref="L6">INT(SUMPRODUCT(--ISNUMBER(SEARCH(healthcare,C6)))&gt;0)</f>
        <v>0</v>
      </c>
      <c r="M6" s="14" cm="1">
        <f t="array" ref="M6">INT(SUMPRODUCT(--ISNUMBER(SEARCH(supreme,C6)))&gt;0)</f>
        <v>0</v>
      </c>
      <c r="N6" s="14" cm="1">
        <f t="array" ref="N6">INT(SUMPRODUCT(--ISNUMBER(SEARCH(covid,C6)))&gt;0)</f>
        <v>0</v>
      </c>
      <c r="O6" s="14" cm="1">
        <f t="array" ref="O6">INT(SUMPRODUCT(--ISNUMBER(SEARCH(violent,C6)))&gt;0)</f>
        <v>0</v>
      </c>
      <c r="P6" s="14" cm="1">
        <f t="array" ref="P6">INT(SUMPRODUCT(--ISNUMBER(SEARCH(foreign,C6)))&gt;0)</f>
        <v>0</v>
      </c>
      <c r="Q6" s="14" cm="1">
        <f t="array" ref="Q6">INT(SUMPRODUCT(--ISNUMBER(SEARCH(gun,C6)))&gt;0)</f>
        <v>0</v>
      </c>
      <c r="R6" s="14" cm="1">
        <f t="array" ref="R6">INT(SUMPRODUCT(--ISNUMBER(SEARCH(race,C6)))&gt;0)</f>
        <v>0</v>
      </c>
      <c r="S6" s="14" cm="1">
        <f t="array" ref="S6">INT(SUMPRODUCT(--ISNUMBER(SEARCH(immigration,C6)))&gt;0)</f>
        <v>0</v>
      </c>
      <c r="T6" s="14" cm="1">
        <f t="array" ref="T6">INT(SUMPRODUCT(--ISNUMBER(SEARCH(econineq,C7)))&gt;0)</f>
        <v>0</v>
      </c>
      <c r="U6" s="14" cm="1">
        <f t="array" ref="U6">INT(SUMPRODUCT(--ISNUMBER(SEARCH(climate,C6)))&gt;0)</f>
        <v>0</v>
      </c>
      <c r="V6" s="14" cm="1">
        <f t="array" ref="V6">INT(SUMPRODUCT(--ISNUMBER(SEARCH(abortion,C6)))&gt;0)</f>
        <v>0</v>
      </c>
      <c r="W6" s="14" cm="1">
        <f t="array" ref="W6">INT(SUMPRODUCT(--ISNUMBER(SEARCH(trump,C6)))&gt;0)</f>
        <v>0</v>
      </c>
      <c r="X6" s="14" cm="1">
        <f t="array" ref="X6">INT(SUMPRODUCT(--ISNUMBER(SEARCH(voting,C6)))&gt;0)</f>
        <v>1</v>
      </c>
      <c r="Y6" s="14" cm="1">
        <f t="array" ref="Y6">INT(SUMPRODUCT(--ISNUMBER(SEARCH(democrattrigger,C6)))&gt;0)</f>
        <v>0</v>
      </c>
      <c r="Z6" s="14" cm="1">
        <f t="array" ref="Z6">INT(SUMPRODUCT(--ISNUMBER(SEARCH(bipartisan,C6)))&gt;0)</f>
        <v>0</v>
      </c>
      <c r="AA6" s="14">
        <f t="shared" si="0"/>
        <v>0</v>
      </c>
      <c r="AB6" s="14"/>
      <c r="AC6" s="30">
        <v>1</v>
      </c>
      <c r="AD6" s="37">
        <v>0</v>
      </c>
    </row>
    <row r="7" spans="1:30" x14ac:dyDescent="0.25">
      <c r="A7" s="36">
        <v>1470</v>
      </c>
      <c r="B7" s="14" t="s">
        <v>2967</v>
      </c>
      <c r="C7" s="14" t="s">
        <v>2968</v>
      </c>
      <c r="D7" s="17">
        <v>44138</v>
      </c>
      <c r="E7" s="14" t="s">
        <v>30</v>
      </c>
      <c r="F7" s="14">
        <v>1882</v>
      </c>
      <c r="G7" s="14">
        <v>235</v>
      </c>
      <c r="H7" s="14">
        <v>8</v>
      </c>
      <c r="I7" s="14">
        <v>4</v>
      </c>
      <c r="J7" s="14" t="s">
        <v>204</v>
      </c>
      <c r="K7" s="14" cm="1">
        <f t="array" ref="K7">INT(SUMPRODUCT(--ISNUMBER(SEARCH(economy,C7)))&gt;0)</f>
        <v>0</v>
      </c>
      <c r="L7" s="14" cm="1">
        <f t="array" ref="L7">INT(SUMPRODUCT(--ISNUMBER(SEARCH(healthcare,C7)))&gt;0)</f>
        <v>0</v>
      </c>
      <c r="M7" s="14" cm="1">
        <f t="array" ref="M7">INT(SUMPRODUCT(--ISNUMBER(SEARCH(supreme,C7)))&gt;0)</f>
        <v>0</v>
      </c>
      <c r="N7" s="14" cm="1">
        <f t="array" ref="N7">INT(SUMPRODUCT(--ISNUMBER(SEARCH(covid,C7)))&gt;0)</f>
        <v>1</v>
      </c>
      <c r="O7" s="14" cm="1">
        <f t="array" ref="O7">INT(SUMPRODUCT(--ISNUMBER(SEARCH(violent,C7)))&gt;0)</f>
        <v>0</v>
      </c>
      <c r="P7" s="14" cm="1">
        <f t="array" ref="P7">INT(SUMPRODUCT(--ISNUMBER(SEARCH(foreign,C7)))&gt;0)</f>
        <v>0</v>
      </c>
      <c r="Q7" s="14" cm="1">
        <f t="array" ref="Q7">INT(SUMPRODUCT(--ISNUMBER(SEARCH(gun,C7)))&gt;0)</f>
        <v>0</v>
      </c>
      <c r="R7" s="14" cm="1">
        <f t="array" ref="R7">INT(SUMPRODUCT(--ISNUMBER(SEARCH(race,C7)))&gt;0)</f>
        <v>0</v>
      </c>
      <c r="S7" s="14" cm="1">
        <f t="array" ref="S7">INT(SUMPRODUCT(--ISNUMBER(SEARCH(immigration,C7)))&gt;0)</f>
        <v>0</v>
      </c>
      <c r="T7" s="14" cm="1">
        <f t="array" ref="T7">INT(SUMPRODUCT(--ISNUMBER(SEARCH(econineq,C8)))&gt;0)</f>
        <v>0</v>
      </c>
      <c r="U7" s="14" cm="1">
        <f t="array" ref="U7">INT(SUMPRODUCT(--ISNUMBER(SEARCH(climate,C7)))&gt;0)</f>
        <v>0</v>
      </c>
      <c r="V7" s="14" cm="1">
        <f t="array" ref="V7">INT(SUMPRODUCT(--ISNUMBER(SEARCH(abortion,C7)))&gt;0)</f>
        <v>0</v>
      </c>
      <c r="W7" s="14" cm="1">
        <f t="array" ref="W7">INT(SUMPRODUCT(--ISNUMBER(SEARCH(trump,C7)))&gt;0)</f>
        <v>0</v>
      </c>
      <c r="X7" s="14" cm="1">
        <f t="array" ref="X7">INT(SUMPRODUCT(--ISNUMBER(SEARCH(voting,C7)))&gt;0)</f>
        <v>1</v>
      </c>
      <c r="Y7" s="14" cm="1">
        <f t="array" ref="Y7">INT(SUMPRODUCT(--ISNUMBER(SEARCH(democrattrigger,C7)))&gt;0)</f>
        <v>0</v>
      </c>
      <c r="Z7" s="14" cm="1">
        <f t="array" ref="Z7">INT(SUMPRODUCT(--ISNUMBER(SEARCH(bipartisan,C7)))&gt;0)</f>
        <v>0</v>
      </c>
      <c r="AA7" s="14">
        <f t="shared" si="0"/>
        <v>0</v>
      </c>
      <c r="AB7" s="14"/>
      <c r="AC7" s="30">
        <v>1</v>
      </c>
      <c r="AD7" s="37">
        <v>0</v>
      </c>
    </row>
    <row r="8" spans="1:30" x14ac:dyDescent="0.25">
      <c r="A8" s="36">
        <v>1471</v>
      </c>
      <c r="B8" s="14" t="s">
        <v>2969</v>
      </c>
      <c r="C8" s="14" t="s">
        <v>2970</v>
      </c>
      <c r="D8" s="17">
        <v>44138</v>
      </c>
      <c r="E8" s="14" t="s">
        <v>30</v>
      </c>
      <c r="F8" s="14">
        <v>528</v>
      </c>
      <c r="G8" s="14">
        <v>105</v>
      </c>
      <c r="H8" s="14">
        <v>8</v>
      </c>
      <c r="I8" s="14">
        <v>4</v>
      </c>
      <c r="J8" s="14" t="s">
        <v>204</v>
      </c>
      <c r="K8" s="14" cm="1">
        <f t="array" ref="K8">INT(SUMPRODUCT(--ISNUMBER(SEARCH(economy,C8)))&gt;0)</f>
        <v>0</v>
      </c>
      <c r="L8" s="14" cm="1">
        <f t="array" ref="L8">INT(SUMPRODUCT(--ISNUMBER(SEARCH(healthcare,C8)))&gt;0)</f>
        <v>0</v>
      </c>
      <c r="M8" s="14" cm="1">
        <f t="array" ref="M8">INT(SUMPRODUCT(--ISNUMBER(SEARCH(supreme,C8)))&gt;0)</f>
        <v>0</v>
      </c>
      <c r="N8" s="14" cm="1">
        <f t="array" ref="N8">INT(SUMPRODUCT(--ISNUMBER(SEARCH(covid,C8)))&gt;0)</f>
        <v>0</v>
      </c>
      <c r="O8" s="14" cm="1">
        <f t="array" ref="O8">INT(SUMPRODUCT(--ISNUMBER(SEARCH(violent,C8)))&gt;0)</f>
        <v>0</v>
      </c>
      <c r="P8" s="14" cm="1">
        <f t="array" ref="P8">INT(SUMPRODUCT(--ISNUMBER(SEARCH(foreign,C8)))&gt;0)</f>
        <v>0</v>
      </c>
      <c r="Q8" s="14" cm="1">
        <f t="array" ref="Q8">INT(SUMPRODUCT(--ISNUMBER(SEARCH(gun,C8)))&gt;0)</f>
        <v>0</v>
      </c>
      <c r="R8" s="14" cm="1">
        <f t="array" ref="R8">INT(SUMPRODUCT(--ISNUMBER(SEARCH(race,C8)))&gt;0)</f>
        <v>0</v>
      </c>
      <c r="S8" s="14" cm="1">
        <f t="array" ref="S8">INT(SUMPRODUCT(--ISNUMBER(SEARCH(immigration,C8)))&gt;0)</f>
        <v>0</v>
      </c>
      <c r="T8" s="14" cm="1">
        <f t="array" ref="T8">INT(SUMPRODUCT(--ISNUMBER(SEARCH(econineq,C9)))&gt;0)</f>
        <v>0</v>
      </c>
      <c r="U8" s="14" cm="1">
        <f t="array" ref="U8">INT(SUMPRODUCT(--ISNUMBER(SEARCH(climate,C8)))&gt;0)</f>
        <v>0</v>
      </c>
      <c r="V8" s="14" cm="1">
        <f t="array" ref="V8">INT(SUMPRODUCT(--ISNUMBER(SEARCH(abortion,C8)))&gt;0)</f>
        <v>0</v>
      </c>
      <c r="W8" s="14" cm="1">
        <f t="array" ref="W8">INT(SUMPRODUCT(--ISNUMBER(SEARCH(trump,C8)))&gt;0)</f>
        <v>0</v>
      </c>
      <c r="X8" s="14" cm="1">
        <f t="array" ref="X8">INT(SUMPRODUCT(--ISNUMBER(SEARCH(voting,C8)))&gt;0)</f>
        <v>1</v>
      </c>
      <c r="Y8" s="14" cm="1">
        <f t="array" ref="Y8">INT(SUMPRODUCT(--ISNUMBER(SEARCH(democrattrigger,C8)))&gt;0)</f>
        <v>0</v>
      </c>
      <c r="Z8" s="14" cm="1">
        <f t="array" ref="Z8">INT(SUMPRODUCT(--ISNUMBER(SEARCH(bipartisan,C8)))&gt;0)</f>
        <v>0</v>
      </c>
      <c r="AA8" s="14">
        <f t="shared" si="0"/>
        <v>0</v>
      </c>
      <c r="AB8" s="14"/>
      <c r="AC8" s="30">
        <v>1</v>
      </c>
      <c r="AD8" s="37">
        <v>0</v>
      </c>
    </row>
    <row r="9" spans="1:30" x14ac:dyDescent="0.25">
      <c r="A9" s="36">
        <v>1472</v>
      </c>
      <c r="B9" s="14" t="s">
        <v>2971</v>
      </c>
      <c r="C9" s="14" t="s">
        <v>2972</v>
      </c>
      <c r="D9" s="17">
        <v>44138</v>
      </c>
      <c r="E9" s="14" t="s">
        <v>30</v>
      </c>
      <c r="F9" s="14">
        <v>1219</v>
      </c>
      <c r="G9" s="14">
        <v>208</v>
      </c>
      <c r="H9" s="14">
        <v>8</v>
      </c>
      <c r="I9" s="14">
        <v>4</v>
      </c>
      <c r="J9" s="14" t="s">
        <v>204</v>
      </c>
      <c r="K9" s="14" cm="1">
        <f t="array" ref="K9">INT(SUMPRODUCT(--ISNUMBER(SEARCH(economy,C9)))&gt;0)</f>
        <v>0</v>
      </c>
      <c r="L9" s="14" cm="1">
        <f t="array" ref="L9">INT(SUMPRODUCT(--ISNUMBER(SEARCH(healthcare,C9)))&gt;0)</f>
        <v>0</v>
      </c>
      <c r="M9" s="14" cm="1">
        <f t="array" ref="M9">INT(SUMPRODUCT(--ISNUMBER(SEARCH(supreme,C9)))&gt;0)</f>
        <v>0</v>
      </c>
      <c r="N9" s="14" cm="1">
        <f t="array" ref="N9">INT(SUMPRODUCT(--ISNUMBER(SEARCH(covid,C9)))&gt;0)</f>
        <v>0</v>
      </c>
      <c r="O9" s="14" cm="1">
        <f t="array" ref="O9">INT(SUMPRODUCT(--ISNUMBER(SEARCH(violent,C9)))&gt;0)</f>
        <v>0</v>
      </c>
      <c r="P9" s="14" cm="1">
        <f t="array" ref="P9">INT(SUMPRODUCT(--ISNUMBER(SEARCH(foreign,C9)))&gt;0)</f>
        <v>0</v>
      </c>
      <c r="Q9" s="14" cm="1">
        <f t="array" ref="Q9">INT(SUMPRODUCT(--ISNUMBER(SEARCH(gun,C9)))&gt;0)</f>
        <v>0</v>
      </c>
      <c r="R9" s="14" cm="1">
        <f t="array" ref="R9">INT(SUMPRODUCT(--ISNUMBER(SEARCH(race,C9)))&gt;0)</f>
        <v>0</v>
      </c>
      <c r="S9" s="14" cm="1">
        <f t="array" ref="S9">INT(SUMPRODUCT(--ISNUMBER(SEARCH(immigration,C9)))&gt;0)</f>
        <v>0</v>
      </c>
      <c r="T9" s="14" cm="1">
        <f t="array" ref="T9">INT(SUMPRODUCT(--ISNUMBER(SEARCH(econineq,C10)))&gt;0)</f>
        <v>0</v>
      </c>
      <c r="U9" s="14" cm="1">
        <f t="array" ref="U9">INT(SUMPRODUCT(--ISNUMBER(SEARCH(climate,C9)))&gt;0)</f>
        <v>0</v>
      </c>
      <c r="V9" s="14" cm="1">
        <f t="array" ref="V9">INT(SUMPRODUCT(--ISNUMBER(SEARCH(abortion,C9)))&gt;0)</f>
        <v>0</v>
      </c>
      <c r="W9" s="14" cm="1">
        <f t="array" ref="W9">INT(SUMPRODUCT(--ISNUMBER(SEARCH(trump,C9)))&gt;0)</f>
        <v>0</v>
      </c>
      <c r="X9" s="14" cm="1">
        <f t="array" ref="X9">INT(SUMPRODUCT(--ISNUMBER(SEARCH(voting,C9)))&gt;0)</f>
        <v>1</v>
      </c>
      <c r="Y9" s="14" cm="1">
        <f t="array" ref="Y9">INT(SUMPRODUCT(--ISNUMBER(SEARCH(democrattrigger,C9)))&gt;0)</f>
        <v>0</v>
      </c>
      <c r="Z9" s="14" cm="1">
        <f t="array" ref="Z9">INT(SUMPRODUCT(--ISNUMBER(SEARCH(bipartisan,C9)))&gt;0)</f>
        <v>0</v>
      </c>
      <c r="AA9" s="14">
        <f t="shared" si="0"/>
        <v>0</v>
      </c>
      <c r="AB9" s="14"/>
      <c r="AC9" s="30">
        <v>1</v>
      </c>
      <c r="AD9" s="37">
        <v>0</v>
      </c>
    </row>
    <row r="10" spans="1:30" x14ac:dyDescent="0.25">
      <c r="A10" s="36">
        <v>1473</v>
      </c>
      <c r="B10" s="14" t="s">
        <v>2973</v>
      </c>
      <c r="C10" s="14" t="s">
        <v>2974</v>
      </c>
      <c r="D10" s="17">
        <v>44138</v>
      </c>
      <c r="E10" s="14" t="s">
        <v>30</v>
      </c>
      <c r="F10" s="14">
        <v>959</v>
      </c>
      <c r="G10" s="14">
        <v>219</v>
      </c>
      <c r="H10" s="14">
        <v>8</v>
      </c>
      <c r="I10" s="14">
        <v>4</v>
      </c>
      <c r="J10" s="14" t="s">
        <v>204</v>
      </c>
      <c r="K10" s="14" cm="1">
        <f t="array" ref="K10">INT(SUMPRODUCT(--ISNUMBER(SEARCH(economy,C10)))&gt;0)</f>
        <v>0</v>
      </c>
      <c r="L10" s="14" cm="1">
        <f t="array" ref="L10">INT(SUMPRODUCT(--ISNUMBER(SEARCH(healthcare,C10)))&gt;0)</f>
        <v>0</v>
      </c>
      <c r="M10" s="14" cm="1">
        <f t="array" ref="M10">INT(SUMPRODUCT(--ISNUMBER(SEARCH(supreme,C10)))&gt;0)</f>
        <v>0</v>
      </c>
      <c r="N10" s="14" cm="1">
        <f t="array" ref="N10">INT(SUMPRODUCT(--ISNUMBER(SEARCH(covid,C10)))&gt;0)</f>
        <v>0</v>
      </c>
      <c r="O10" s="14" cm="1">
        <f t="array" ref="O10">INT(SUMPRODUCT(--ISNUMBER(SEARCH(violent,C10)))&gt;0)</f>
        <v>0</v>
      </c>
      <c r="P10" s="14" cm="1">
        <f t="array" ref="P10">INT(SUMPRODUCT(--ISNUMBER(SEARCH(foreign,C10)))&gt;0)</f>
        <v>0</v>
      </c>
      <c r="Q10" s="14" cm="1">
        <f t="array" ref="Q10">INT(SUMPRODUCT(--ISNUMBER(SEARCH(gun,C10)))&gt;0)</f>
        <v>0</v>
      </c>
      <c r="R10" s="14" cm="1">
        <f t="array" ref="R10">INT(SUMPRODUCT(--ISNUMBER(SEARCH(race,C10)))&gt;0)</f>
        <v>0</v>
      </c>
      <c r="S10" s="14" cm="1">
        <f t="array" ref="S10">INT(SUMPRODUCT(--ISNUMBER(SEARCH(immigration,C10)))&gt;0)</f>
        <v>0</v>
      </c>
      <c r="T10" s="14" cm="1">
        <f t="array" ref="T10">INT(SUMPRODUCT(--ISNUMBER(SEARCH(econineq,C11)))&gt;0)</f>
        <v>0</v>
      </c>
      <c r="U10" s="14" cm="1">
        <f t="array" ref="U10">INT(SUMPRODUCT(--ISNUMBER(SEARCH(climate,C10)))&gt;0)</f>
        <v>0</v>
      </c>
      <c r="V10" s="14" cm="1">
        <f t="array" ref="V10">INT(SUMPRODUCT(--ISNUMBER(SEARCH(abortion,C10)))&gt;0)</f>
        <v>0</v>
      </c>
      <c r="W10" s="14" cm="1">
        <f t="array" ref="W10">INT(SUMPRODUCT(--ISNUMBER(SEARCH(trump,C10)))&gt;0)</f>
        <v>0</v>
      </c>
      <c r="X10" s="14" cm="1">
        <f t="array" ref="X10">INT(SUMPRODUCT(--ISNUMBER(SEARCH(voting,C10)))&gt;0)</f>
        <v>1</v>
      </c>
      <c r="Y10" s="14" cm="1">
        <f t="array" ref="Y10">INT(SUMPRODUCT(--ISNUMBER(SEARCH(democrattrigger,C10)))&gt;0)</f>
        <v>0</v>
      </c>
      <c r="Z10" s="14" cm="1">
        <f t="array" ref="Z10">INT(SUMPRODUCT(--ISNUMBER(SEARCH(bipartisan,C10)))&gt;0)</f>
        <v>0</v>
      </c>
      <c r="AA10" s="14">
        <f t="shared" si="0"/>
        <v>0</v>
      </c>
      <c r="AB10" s="14"/>
      <c r="AC10" s="30">
        <v>1</v>
      </c>
      <c r="AD10" s="37">
        <v>0</v>
      </c>
    </row>
    <row r="11" spans="1:30" x14ac:dyDescent="0.25">
      <c r="A11" s="36">
        <v>1474</v>
      </c>
      <c r="B11" s="14" t="s">
        <v>2975</v>
      </c>
      <c r="C11" s="14" t="s">
        <v>2976</v>
      </c>
      <c r="D11" s="17">
        <v>44138</v>
      </c>
      <c r="E11" s="14" t="s">
        <v>30</v>
      </c>
      <c r="F11" s="14">
        <v>1506</v>
      </c>
      <c r="G11" s="14">
        <v>266</v>
      </c>
      <c r="H11" s="14">
        <v>8</v>
      </c>
      <c r="I11" s="14">
        <v>4</v>
      </c>
      <c r="J11" s="14" t="s">
        <v>204</v>
      </c>
      <c r="K11" s="14" cm="1">
        <f t="array" ref="K11">INT(SUMPRODUCT(--ISNUMBER(SEARCH(economy,C11)))&gt;0)</f>
        <v>0</v>
      </c>
      <c r="L11" s="14" cm="1">
        <f t="array" ref="L11">INT(SUMPRODUCT(--ISNUMBER(SEARCH(healthcare,C11)))&gt;0)</f>
        <v>0</v>
      </c>
      <c r="M11" s="14" cm="1">
        <f t="array" ref="M11">INT(SUMPRODUCT(--ISNUMBER(SEARCH(supreme,C11)))&gt;0)</f>
        <v>0</v>
      </c>
      <c r="N11" s="14" cm="1">
        <f t="array" ref="N11">INT(SUMPRODUCT(--ISNUMBER(SEARCH(covid,C11)))&gt;0)</f>
        <v>0</v>
      </c>
      <c r="O11" s="14" cm="1">
        <f t="array" ref="O11">INT(SUMPRODUCT(--ISNUMBER(SEARCH(violent,C11)))&gt;0)</f>
        <v>0</v>
      </c>
      <c r="P11" s="14" cm="1">
        <f t="array" ref="P11">INT(SUMPRODUCT(--ISNUMBER(SEARCH(foreign,C11)))&gt;0)</f>
        <v>0</v>
      </c>
      <c r="Q11" s="14" cm="1">
        <f t="array" ref="Q11">INT(SUMPRODUCT(--ISNUMBER(SEARCH(gun,C11)))&gt;0)</f>
        <v>0</v>
      </c>
      <c r="R11" s="14" cm="1">
        <f t="array" ref="R11">INT(SUMPRODUCT(--ISNUMBER(SEARCH(race,C11)))&gt;0)</f>
        <v>0</v>
      </c>
      <c r="S11" s="14" cm="1">
        <f t="array" ref="S11">INT(SUMPRODUCT(--ISNUMBER(SEARCH(immigration,C11)))&gt;0)</f>
        <v>0</v>
      </c>
      <c r="T11" s="14" cm="1">
        <f t="array" ref="T11">INT(SUMPRODUCT(--ISNUMBER(SEARCH(econineq,C12)))&gt;0)</f>
        <v>0</v>
      </c>
      <c r="U11" s="14" cm="1">
        <f t="array" ref="U11">INT(SUMPRODUCT(--ISNUMBER(SEARCH(climate,C11)))&gt;0)</f>
        <v>0</v>
      </c>
      <c r="V11" s="14" cm="1">
        <f t="array" ref="V11">INT(SUMPRODUCT(--ISNUMBER(SEARCH(abortion,C11)))&gt;0)</f>
        <v>0</v>
      </c>
      <c r="W11" s="14" cm="1">
        <f t="array" ref="W11">INT(SUMPRODUCT(--ISNUMBER(SEARCH(trump,C11)))&gt;0)</f>
        <v>0</v>
      </c>
      <c r="X11" s="14" cm="1">
        <f t="array" ref="X11">INT(SUMPRODUCT(--ISNUMBER(SEARCH(voting,C11)))&gt;0)</f>
        <v>0</v>
      </c>
      <c r="Y11" s="14" cm="1">
        <f t="array" ref="Y11">INT(SUMPRODUCT(--ISNUMBER(SEARCH(democrattrigger,C11)))&gt;0)</f>
        <v>0</v>
      </c>
      <c r="Z11" s="14" cm="1">
        <f t="array" ref="Z11">INT(SUMPRODUCT(--ISNUMBER(SEARCH(bipartisan,C11)))&gt;0)</f>
        <v>0</v>
      </c>
      <c r="AA11" s="14">
        <f t="shared" si="0"/>
        <v>1</v>
      </c>
      <c r="AB11" s="14"/>
      <c r="AC11" s="30">
        <v>0</v>
      </c>
      <c r="AD11" s="37">
        <v>1</v>
      </c>
    </row>
    <row r="12" spans="1:30" x14ac:dyDescent="0.25">
      <c r="A12" s="36">
        <v>1475</v>
      </c>
      <c r="B12" s="14" t="s">
        <v>2977</v>
      </c>
      <c r="C12" s="14" t="s">
        <v>2978</v>
      </c>
      <c r="D12" s="17">
        <v>44138</v>
      </c>
      <c r="E12" s="14" t="s">
        <v>30</v>
      </c>
      <c r="F12" s="14">
        <v>1461</v>
      </c>
      <c r="G12" s="14">
        <v>485</v>
      </c>
      <c r="H12" s="14">
        <v>8</v>
      </c>
      <c r="I12" s="14">
        <v>4</v>
      </c>
      <c r="J12" s="14" t="s">
        <v>204</v>
      </c>
      <c r="K12" s="14" cm="1">
        <f t="array" ref="K12">INT(SUMPRODUCT(--ISNUMBER(SEARCH(economy,C12)))&gt;0)</f>
        <v>0</v>
      </c>
      <c r="L12" s="14" cm="1">
        <f t="array" ref="L12">INT(SUMPRODUCT(--ISNUMBER(SEARCH(healthcare,C12)))&gt;0)</f>
        <v>0</v>
      </c>
      <c r="M12" s="14" cm="1">
        <f t="array" ref="M12">INT(SUMPRODUCT(--ISNUMBER(SEARCH(supreme,C12)))&gt;0)</f>
        <v>0</v>
      </c>
      <c r="N12" s="14" cm="1">
        <f t="array" ref="N12">INT(SUMPRODUCT(--ISNUMBER(SEARCH(covid,C12)))&gt;0)</f>
        <v>0</v>
      </c>
      <c r="O12" s="14" cm="1">
        <f t="array" ref="O12">INT(SUMPRODUCT(--ISNUMBER(SEARCH(violent,C12)))&gt;0)</f>
        <v>0</v>
      </c>
      <c r="P12" s="14" cm="1">
        <f t="array" ref="P12">INT(SUMPRODUCT(--ISNUMBER(SEARCH(foreign,C12)))&gt;0)</f>
        <v>0</v>
      </c>
      <c r="Q12" s="14" cm="1">
        <f t="array" ref="Q12">INT(SUMPRODUCT(--ISNUMBER(SEARCH(gun,C12)))&gt;0)</f>
        <v>0</v>
      </c>
      <c r="R12" s="14" cm="1">
        <f t="array" ref="R12">INT(SUMPRODUCT(--ISNUMBER(SEARCH(race,C12)))&gt;0)</f>
        <v>0</v>
      </c>
      <c r="S12" s="14" cm="1">
        <f t="array" ref="S12">INT(SUMPRODUCT(--ISNUMBER(SEARCH(immigration,C12)))&gt;0)</f>
        <v>0</v>
      </c>
      <c r="T12" s="14" cm="1">
        <f t="array" ref="T12">INT(SUMPRODUCT(--ISNUMBER(SEARCH(econineq,C13)))&gt;0)</f>
        <v>0</v>
      </c>
      <c r="U12" s="14" cm="1">
        <f t="array" ref="U12">INT(SUMPRODUCT(--ISNUMBER(SEARCH(climate,C12)))&gt;0)</f>
        <v>0</v>
      </c>
      <c r="V12" s="14" cm="1">
        <f t="array" ref="V12">INT(SUMPRODUCT(--ISNUMBER(SEARCH(abortion,C12)))&gt;0)</f>
        <v>0</v>
      </c>
      <c r="W12" s="14" cm="1">
        <f t="array" ref="W12">INT(SUMPRODUCT(--ISNUMBER(SEARCH(trump,C12)))&gt;0)</f>
        <v>0</v>
      </c>
      <c r="X12" s="14" cm="1">
        <f t="array" ref="X12">INT(SUMPRODUCT(--ISNUMBER(SEARCH(voting,C12)))&gt;0)</f>
        <v>1</v>
      </c>
      <c r="Y12" s="14" cm="1">
        <f t="array" ref="Y12">INT(SUMPRODUCT(--ISNUMBER(SEARCH(democrattrigger,C12)))&gt;0)</f>
        <v>0</v>
      </c>
      <c r="Z12" s="14" cm="1">
        <f t="array" ref="Z12">INT(SUMPRODUCT(--ISNUMBER(SEARCH(bipartisan,C12)))&gt;0)</f>
        <v>0</v>
      </c>
      <c r="AA12" s="14">
        <f t="shared" si="0"/>
        <v>0</v>
      </c>
      <c r="AB12" s="14"/>
      <c r="AC12" s="30" t="s">
        <v>223</v>
      </c>
      <c r="AD12" s="37" t="s">
        <v>223</v>
      </c>
    </row>
    <row r="13" spans="1:30" x14ac:dyDescent="0.25">
      <c r="A13" s="36">
        <v>1476</v>
      </c>
      <c r="B13" s="14" t="s">
        <v>2979</v>
      </c>
      <c r="C13" s="14" t="s">
        <v>2980</v>
      </c>
      <c r="D13" s="17">
        <v>44138</v>
      </c>
      <c r="E13" s="14" t="s">
        <v>30</v>
      </c>
      <c r="F13" s="14">
        <v>1716</v>
      </c>
      <c r="G13" s="14">
        <v>340</v>
      </c>
      <c r="H13" s="14">
        <v>8</v>
      </c>
      <c r="I13" s="14">
        <v>4</v>
      </c>
      <c r="J13" s="14" t="s">
        <v>204</v>
      </c>
      <c r="K13" s="14" cm="1">
        <f t="array" ref="K13">INT(SUMPRODUCT(--ISNUMBER(SEARCH(economy,C13)))&gt;0)</f>
        <v>0</v>
      </c>
      <c r="L13" s="14" cm="1">
        <f t="array" ref="L13">INT(SUMPRODUCT(--ISNUMBER(SEARCH(healthcare,C13)))&gt;0)</f>
        <v>0</v>
      </c>
      <c r="M13" s="14" cm="1">
        <f t="array" ref="M13">INT(SUMPRODUCT(--ISNUMBER(SEARCH(supreme,C13)))&gt;0)</f>
        <v>0</v>
      </c>
      <c r="N13" s="14" cm="1">
        <f t="array" ref="N13">INT(SUMPRODUCT(--ISNUMBER(SEARCH(covid,C13)))&gt;0)</f>
        <v>0</v>
      </c>
      <c r="O13" s="14" cm="1">
        <f t="array" ref="O13">INT(SUMPRODUCT(--ISNUMBER(SEARCH(violent,C13)))&gt;0)</f>
        <v>0</v>
      </c>
      <c r="P13" s="14" cm="1">
        <f t="array" ref="P13">INT(SUMPRODUCT(--ISNUMBER(SEARCH(foreign,C13)))&gt;0)</f>
        <v>0</v>
      </c>
      <c r="Q13" s="14" cm="1">
        <f t="array" ref="Q13">INT(SUMPRODUCT(--ISNUMBER(SEARCH(gun,C13)))&gt;0)</f>
        <v>0</v>
      </c>
      <c r="R13" s="14" cm="1">
        <f t="array" ref="R13">INT(SUMPRODUCT(--ISNUMBER(SEARCH(race,C13)))&gt;0)</f>
        <v>0</v>
      </c>
      <c r="S13" s="14" cm="1">
        <f t="array" ref="S13">INT(SUMPRODUCT(--ISNUMBER(SEARCH(immigration,C13)))&gt;0)</f>
        <v>0</v>
      </c>
      <c r="T13" s="14" cm="1">
        <f t="array" ref="T13">INT(SUMPRODUCT(--ISNUMBER(SEARCH(econineq,C14)))&gt;0)</f>
        <v>0</v>
      </c>
      <c r="U13" s="14" cm="1">
        <f t="array" ref="U13">INT(SUMPRODUCT(--ISNUMBER(SEARCH(climate,C13)))&gt;0)</f>
        <v>0</v>
      </c>
      <c r="V13" s="14" cm="1">
        <f t="array" ref="V13">INT(SUMPRODUCT(--ISNUMBER(SEARCH(abortion,C13)))&gt;0)</f>
        <v>0</v>
      </c>
      <c r="W13" s="14" cm="1">
        <f t="array" ref="W13">INT(SUMPRODUCT(--ISNUMBER(SEARCH(trump,C13)))&gt;0)</f>
        <v>0</v>
      </c>
      <c r="X13" s="14" cm="1">
        <f t="array" ref="X13">INT(SUMPRODUCT(--ISNUMBER(SEARCH(voting,C13)))&gt;0)</f>
        <v>1</v>
      </c>
      <c r="Y13" s="14" cm="1">
        <f t="array" ref="Y13">INT(SUMPRODUCT(--ISNUMBER(SEARCH(democrattrigger,C13)))&gt;0)</f>
        <v>0</v>
      </c>
      <c r="Z13" s="14" cm="1">
        <f t="array" ref="Z13">INT(SUMPRODUCT(--ISNUMBER(SEARCH(bipartisan,C13)))&gt;0)</f>
        <v>0</v>
      </c>
      <c r="AA13" s="14">
        <f t="shared" si="0"/>
        <v>0</v>
      </c>
      <c r="AB13" s="14"/>
      <c r="AC13" s="30" t="s">
        <v>223</v>
      </c>
      <c r="AD13" s="37" t="s">
        <v>223</v>
      </c>
    </row>
    <row r="14" spans="1:30" x14ac:dyDescent="0.25">
      <c r="A14" s="36">
        <v>1477</v>
      </c>
      <c r="B14" s="14" t="s">
        <v>2981</v>
      </c>
      <c r="C14" s="14" t="s">
        <v>2982</v>
      </c>
      <c r="D14" s="17">
        <v>44138</v>
      </c>
      <c r="E14" s="14" t="s">
        <v>30</v>
      </c>
      <c r="F14" s="14">
        <v>661</v>
      </c>
      <c r="G14" s="14">
        <v>182</v>
      </c>
      <c r="H14" s="14">
        <v>8</v>
      </c>
      <c r="I14" s="14">
        <v>4</v>
      </c>
      <c r="J14" s="14" t="s">
        <v>204</v>
      </c>
      <c r="K14" s="14" cm="1">
        <f t="array" ref="K14">INT(SUMPRODUCT(--ISNUMBER(SEARCH(economy,C14)))&gt;0)</f>
        <v>0</v>
      </c>
      <c r="L14" s="14" cm="1">
        <f t="array" ref="L14">INT(SUMPRODUCT(--ISNUMBER(SEARCH(healthcare,C14)))&gt;0)</f>
        <v>0</v>
      </c>
      <c r="M14" s="14" cm="1">
        <f t="array" ref="M14">INT(SUMPRODUCT(--ISNUMBER(SEARCH(supreme,C14)))&gt;0)</f>
        <v>0</v>
      </c>
      <c r="N14" s="14" cm="1">
        <f t="array" ref="N14">INT(SUMPRODUCT(--ISNUMBER(SEARCH(covid,C14)))&gt;0)</f>
        <v>0</v>
      </c>
      <c r="O14" s="14" cm="1">
        <f t="array" ref="O14">INT(SUMPRODUCT(--ISNUMBER(SEARCH(violent,C14)))&gt;0)</f>
        <v>0</v>
      </c>
      <c r="P14" s="14" cm="1">
        <f t="array" ref="P14">INT(SUMPRODUCT(--ISNUMBER(SEARCH(foreign,C14)))&gt;0)</f>
        <v>0</v>
      </c>
      <c r="Q14" s="14" cm="1">
        <f t="array" ref="Q14">INT(SUMPRODUCT(--ISNUMBER(SEARCH(gun,C14)))&gt;0)</f>
        <v>0</v>
      </c>
      <c r="R14" s="14" cm="1">
        <f t="array" ref="R14">INT(SUMPRODUCT(--ISNUMBER(SEARCH(race,C14)))&gt;0)</f>
        <v>0</v>
      </c>
      <c r="S14" s="14" cm="1">
        <f t="array" ref="S14">INT(SUMPRODUCT(--ISNUMBER(SEARCH(immigration,C14)))&gt;0)</f>
        <v>0</v>
      </c>
      <c r="T14" s="14" cm="1">
        <f t="array" ref="T14">INT(SUMPRODUCT(--ISNUMBER(SEARCH(econineq,C15)))&gt;0)</f>
        <v>0</v>
      </c>
      <c r="U14" s="14" cm="1">
        <f t="array" ref="U14">INT(SUMPRODUCT(--ISNUMBER(SEARCH(climate,C14)))&gt;0)</f>
        <v>0</v>
      </c>
      <c r="V14" s="14" cm="1">
        <f t="array" ref="V14">INT(SUMPRODUCT(--ISNUMBER(SEARCH(abortion,C14)))&gt;0)</f>
        <v>0</v>
      </c>
      <c r="W14" s="14" cm="1">
        <f t="array" ref="W14">INT(SUMPRODUCT(--ISNUMBER(SEARCH(trump,C14)))&gt;0)</f>
        <v>0</v>
      </c>
      <c r="X14" s="14" cm="1">
        <f t="array" ref="X14">INT(SUMPRODUCT(--ISNUMBER(SEARCH(voting,C14)))&gt;0)</f>
        <v>1</v>
      </c>
      <c r="Y14" s="14" cm="1">
        <f t="array" ref="Y14">INT(SUMPRODUCT(--ISNUMBER(SEARCH(democrattrigger,C14)))&gt;0)</f>
        <v>0</v>
      </c>
      <c r="Z14" s="14" cm="1">
        <f t="array" ref="Z14">INT(SUMPRODUCT(--ISNUMBER(SEARCH(bipartisan,C14)))&gt;0)</f>
        <v>0</v>
      </c>
      <c r="AA14" s="14">
        <f t="shared" si="0"/>
        <v>0</v>
      </c>
      <c r="AB14" s="14"/>
      <c r="AC14" s="30" t="s">
        <v>223</v>
      </c>
      <c r="AD14" s="37" t="s">
        <v>223</v>
      </c>
    </row>
    <row r="15" spans="1:30" x14ac:dyDescent="0.25">
      <c r="A15" s="36">
        <v>1478</v>
      </c>
      <c r="B15" s="14" t="s">
        <v>2983</v>
      </c>
      <c r="C15" s="14" t="s">
        <v>2984</v>
      </c>
      <c r="D15" s="17">
        <v>44138</v>
      </c>
      <c r="E15" s="14" t="s">
        <v>30</v>
      </c>
      <c r="F15" s="14">
        <v>971</v>
      </c>
      <c r="G15" s="14">
        <v>147</v>
      </c>
      <c r="H15" s="14">
        <v>8</v>
      </c>
      <c r="I15" s="14">
        <v>4</v>
      </c>
      <c r="J15" s="14" t="s">
        <v>204</v>
      </c>
      <c r="K15" s="14" cm="1">
        <f t="array" ref="K15">INT(SUMPRODUCT(--ISNUMBER(SEARCH(economy,C15)))&gt;0)</f>
        <v>0</v>
      </c>
      <c r="L15" s="14" cm="1">
        <f t="array" ref="L15">INT(SUMPRODUCT(--ISNUMBER(SEARCH(healthcare,C15)))&gt;0)</f>
        <v>0</v>
      </c>
      <c r="M15" s="14" cm="1">
        <f t="array" ref="M15">INT(SUMPRODUCT(--ISNUMBER(SEARCH(supreme,C15)))&gt;0)</f>
        <v>0</v>
      </c>
      <c r="N15" s="14" cm="1">
        <f t="array" ref="N15">INT(SUMPRODUCT(--ISNUMBER(SEARCH(covid,C15)))&gt;0)</f>
        <v>0</v>
      </c>
      <c r="O15" s="14" cm="1">
        <f t="array" ref="O15">INT(SUMPRODUCT(--ISNUMBER(SEARCH(violent,C15)))&gt;0)</f>
        <v>0</v>
      </c>
      <c r="P15" s="14" cm="1">
        <f t="array" ref="P15">INT(SUMPRODUCT(--ISNUMBER(SEARCH(foreign,C15)))&gt;0)</f>
        <v>0</v>
      </c>
      <c r="Q15" s="14" cm="1">
        <f t="array" ref="Q15">INT(SUMPRODUCT(--ISNUMBER(SEARCH(gun,C15)))&gt;0)</f>
        <v>0</v>
      </c>
      <c r="R15" s="14" cm="1">
        <f t="array" ref="R15">INT(SUMPRODUCT(--ISNUMBER(SEARCH(race,C15)))&gt;0)</f>
        <v>0</v>
      </c>
      <c r="S15" s="14" cm="1">
        <f t="array" ref="S15">INT(SUMPRODUCT(--ISNUMBER(SEARCH(immigration,C15)))&gt;0)</f>
        <v>0</v>
      </c>
      <c r="T15" s="14" cm="1">
        <f t="array" ref="T15">INT(SUMPRODUCT(--ISNUMBER(SEARCH(econineq,C16)))&gt;0)</f>
        <v>0</v>
      </c>
      <c r="U15" s="14" cm="1">
        <f t="array" ref="U15">INT(SUMPRODUCT(--ISNUMBER(SEARCH(climate,C15)))&gt;0)</f>
        <v>0</v>
      </c>
      <c r="V15" s="14" cm="1">
        <f t="array" ref="V15">INT(SUMPRODUCT(--ISNUMBER(SEARCH(abortion,C15)))&gt;0)</f>
        <v>0</v>
      </c>
      <c r="W15" s="14" cm="1">
        <f t="array" ref="W15">INT(SUMPRODUCT(--ISNUMBER(SEARCH(trump,C15)))&gt;0)</f>
        <v>0</v>
      </c>
      <c r="X15" s="14" cm="1">
        <f t="array" ref="X15">INT(SUMPRODUCT(--ISNUMBER(SEARCH(voting,C15)))&gt;0)</f>
        <v>1</v>
      </c>
      <c r="Y15" s="14" cm="1">
        <f t="array" ref="Y15">INT(SUMPRODUCT(--ISNUMBER(SEARCH(democrattrigger,C15)))&gt;0)</f>
        <v>0</v>
      </c>
      <c r="Z15" s="14" cm="1">
        <f t="array" ref="Z15">INT(SUMPRODUCT(--ISNUMBER(SEARCH(bipartisan,C15)))&gt;0)</f>
        <v>0</v>
      </c>
      <c r="AA15" s="14">
        <f t="shared" si="0"/>
        <v>0</v>
      </c>
      <c r="AB15" s="14"/>
      <c r="AC15" s="30">
        <v>1</v>
      </c>
      <c r="AD15" s="37">
        <v>0</v>
      </c>
    </row>
    <row r="16" spans="1:30" x14ac:dyDescent="0.25">
      <c r="A16" s="36">
        <v>1479</v>
      </c>
      <c r="B16" s="14" t="s">
        <v>2985</v>
      </c>
      <c r="C16" s="14" t="s">
        <v>2986</v>
      </c>
      <c r="D16" s="17">
        <v>44138</v>
      </c>
      <c r="E16" s="14" t="s">
        <v>30</v>
      </c>
      <c r="F16" s="14">
        <v>12841</v>
      </c>
      <c r="G16" s="14">
        <v>2309</v>
      </c>
      <c r="H16" s="14">
        <v>8</v>
      </c>
      <c r="I16" s="14">
        <v>4</v>
      </c>
      <c r="J16" s="14" t="s">
        <v>204</v>
      </c>
      <c r="K16" s="14" cm="1">
        <f t="array" ref="K16">INT(SUMPRODUCT(--ISNUMBER(SEARCH(economy,C16)))&gt;0)</f>
        <v>0</v>
      </c>
      <c r="L16" s="14" cm="1">
        <f t="array" ref="L16">INT(SUMPRODUCT(--ISNUMBER(SEARCH(healthcare,C16)))&gt;0)</f>
        <v>0</v>
      </c>
      <c r="M16" s="14" cm="1">
        <f t="array" ref="M16">INT(SUMPRODUCT(--ISNUMBER(SEARCH(supreme,C16)))&gt;0)</f>
        <v>0</v>
      </c>
      <c r="N16" s="14" cm="1">
        <f t="array" ref="N16">INT(SUMPRODUCT(--ISNUMBER(SEARCH(covid,C16)))&gt;0)</f>
        <v>0</v>
      </c>
      <c r="O16" s="14" cm="1">
        <f t="array" ref="O16">INT(SUMPRODUCT(--ISNUMBER(SEARCH(violent,C16)))&gt;0)</f>
        <v>0</v>
      </c>
      <c r="P16" s="14" cm="1">
        <f t="array" ref="P16">INT(SUMPRODUCT(--ISNUMBER(SEARCH(foreign,C16)))&gt;0)</f>
        <v>0</v>
      </c>
      <c r="Q16" s="14" cm="1">
        <f t="array" ref="Q16">INT(SUMPRODUCT(--ISNUMBER(SEARCH(gun,C16)))&gt;0)</f>
        <v>0</v>
      </c>
      <c r="R16" s="14" cm="1">
        <f t="array" ref="R16">INT(SUMPRODUCT(--ISNUMBER(SEARCH(race,C16)))&gt;0)</f>
        <v>0</v>
      </c>
      <c r="S16" s="14" cm="1">
        <f t="array" ref="S16">INT(SUMPRODUCT(--ISNUMBER(SEARCH(immigration,C16)))&gt;0)</f>
        <v>0</v>
      </c>
      <c r="T16" s="14" cm="1">
        <f t="array" ref="T16">INT(SUMPRODUCT(--ISNUMBER(SEARCH(econineq,C17)))&gt;0)</f>
        <v>0</v>
      </c>
      <c r="U16" s="14" cm="1">
        <f t="array" ref="U16">INT(SUMPRODUCT(--ISNUMBER(SEARCH(climate,C16)))&gt;0)</f>
        <v>0</v>
      </c>
      <c r="V16" s="14" cm="1">
        <f t="array" ref="V16">INT(SUMPRODUCT(--ISNUMBER(SEARCH(abortion,C16)))&gt;0)</f>
        <v>0</v>
      </c>
      <c r="W16" s="14" cm="1">
        <f t="array" ref="W16">INT(SUMPRODUCT(--ISNUMBER(SEARCH(trump,C16)))&gt;0)</f>
        <v>0</v>
      </c>
      <c r="X16" s="14" cm="1">
        <f t="array" ref="X16">INT(SUMPRODUCT(--ISNUMBER(SEARCH(voting,C16)))&gt;0)</f>
        <v>1</v>
      </c>
      <c r="Y16" s="14" cm="1">
        <f t="array" ref="Y16">INT(SUMPRODUCT(--ISNUMBER(SEARCH(democrattrigger,C16)))&gt;0)</f>
        <v>0</v>
      </c>
      <c r="Z16" s="14" cm="1">
        <f t="array" ref="Z16">INT(SUMPRODUCT(--ISNUMBER(SEARCH(bipartisan,C16)))&gt;0)</f>
        <v>0</v>
      </c>
      <c r="AA16" s="14">
        <f t="shared" si="0"/>
        <v>0</v>
      </c>
      <c r="AB16" s="14"/>
      <c r="AC16" s="30">
        <v>0</v>
      </c>
      <c r="AD16" s="37">
        <v>1</v>
      </c>
    </row>
    <row r="17" spans="1:30" x14ac:dyDescent="0.25">
      <c r="A17" s="36">
        <v>1480</v>
      </c>
      <c r="B17" s="14" t="s">
        <v>2987</v>
      </c>
      <c r="C17" s="14" t="s">
        <v>2988</v>
      </c>
      <c r="D17" s="17">
        <v>44138</v>
      </c>
      <c r="E17" s="14" t="s">
        <v>30</v>
      </c>
      <c r="F17" s="14">
        <v>725</v>
      </c>
      <c r="G17" s="14">
        <v>202</v>
      </c>
      <c r="H17" s="14">
        <v>8</v>
      </c>
      <c r="I17" s="14">
        <v>4</v>
      </c>
      <c r="J17" s="14" t="s">
        <v>204</v>
      </c>
      <c r="K17" s="14" cm="1">
        <f t="array" ref="K17">INT(SUMPRODUCT(--ISNUMBER(SEARCH(economy,C17)))&gt;0)</f>
        <v>0</v>
      </c>
      <c r="L17" s="14" cm="1">
        <f t="array" ref="L17">INT(SUMPRODUCT(--ISNUMBER(SEARCH(healthcare,C17)))&gt;0)</f>
        <v>0</v>
      </c>
      <c r="M17" s="14" cm="1">
        <f t="array" ref="M17">INT(SUMPRODUCT(--ISNUMBER(SEARCH(supreme,C17)))&gt;0)</f>
        <v>0</v>
      </c>
      <c r="N17" s="14" cm="1">
        <f t="array" ref="N17">INT(SUMPRODUCT(--ISNUMBER(SEARCH(covid,C17)))&gt;0)</f>
        <v>0</v>
      </c>
      <c r="O17" s="14" cm="1">
        <f t="array" ref="O17">INT(SUMPRODUCT(--ISNUMBER(SEARCH(violent,C17)))&gt;0)</f>
        <v>0</v>
      </c>
      <c r="P17" s="14" cm="1">
        <f t="array" ref="P17">INT(SUMPRODUCT(--ISNUMBER(SEARCH(foreign,C17)))&gt;0)</f>
        <v>0</v>
      </c>
      <c r="Q17" s="14" cm="1">
        <f t="array" ref="Q17">INT(SUMPRODUCT(--ISNUMBER(SEARCH(gun,C17)))&gt;0)</f>
        <v>0</v>
      </c>
      <c r="R17" s="14" cm="1">
        <f t="array" ref="R17">INT(SUMPRODUCT(--ISNUMBER(SEARCH(race,C17)))&gt;0)</f>
        <v>0</v>
      </c>
      <c r="S17" s="14" cm="1">
        <f t="array" ref="S17">INT(SUMPRODUCT(--ISNUMBER(SEARCH(immigration,C17)))&gt;0)</f>
        <v>0</v>
      </c>
      <c r="T17" s="14" cm="1">
        <f t="array" ref="T17">INT(SUMPRODUCT(--ISNUMBER(SEARCH(econineq,C18)))&gt;0)</f>
        <v>0</v>
      </c>
      <c r="U17" s="14" cm="1">
        <f t="array" ref="U17">INT(SUMPRODUCT(--ISNUMBER(SEARCH(climate,C17)))&gt;0)</f>
        <v>0</v>
      </c>
      <c r="V17" s="14" cm="1">
        <f t="array" ref="V17">INT(SUMPRODUCT(--ISNUMBER(SEARCH(abortion,C17)))&gt;0)</f>
        <v>0</v>
      </c>
      <c r="W17" s="14" cm="1">
        <f t="array" ref="W17">INT(SUMPRODUCT(--ISNUMBER(SEARCH(trump,C17)))&gt;0)</f>
        <v>0</v>
      </c>
      <c r="X17" s="14" cm="1">
        <f t="array" ref="X17">INT(SUMPRODUCT(--ISNUMBER(SEARCH(voting,C17)))&gt;0)</f>
        <v>1</v>
      </c>
      <c r="Y17" s="14" cm="1">
        <f t="array" ref="Y17">INT(SUMPRODUCT(--ISNUMBER(SEARCH(democrattrigger,C17)))&gt;0)</f>
        <v>0</v>
      </c>
      <c r="Z17" s="14" cm="1">
        <f t="array" ref="Z17">INT(SUMPRODUCT(--ISNUMBER(SEARCH(bipartisan,C17)))&gt;0)</f>
        <v>0</v>
      </c>
      <c r="AA17" s="14">
        <f t="shared" si="0"/>
        <v>0</v>
      </c>
      <c r="AB17" s="14"/>
      <c r="AC17" s="30" t="s">
        <v>223</v>
      </c>
      <c r="AD17" s="37" t="s">
        <v>223</v>
      </c>
    </row>
    <row r="18" spans="1:30" x14ac:dyDescent="0.25">
      <c r="A18" s="36">
        <v>1481</v>
      </c>
      <c r="B18" s="14" t="s">
        <v>2989</v>
      </c>
      <c r="C18" s="14" t="s">
        <v>2990</v>
      </c>
      <c r="D18" s="17">
        <v>44138</v>
      </c>
      <c r="E18" s="14" t="s">
        <v>30</v>
      </c>
      <c r="F18" s="14">
        <v>809</v>
      </c>
      <c r="G18" s="14">
        <v>165</v>
      </c>
      <c r="H18" s="14">
        <v>8</v>
      </c>
      <c r="I18" s="14">
        <v>4</v>
      </c>
      <c r="J18" s="14" t="s">
        <v>204</v>
      </c>
      <c r="K18" s="14" cm="1">
        <f t="array" ref="K18">INT(SUMPRODUCT(--ISNUMBER(SEARCH(economy,C18)))&gt;0)</f>
        <v>0</v>
      </c>
      <c r="L18" s="14" cm="1">
        <f t="array" ref="L18">INT(SUMPRODUCT(--ISNUMBER(SEARCH(healthcare,C18)))&gt;0)</f>
        <v>0</v>
      </c>
      <c r="M18" s="14" cm="1">
        <f t="array" ref="M18">INT(SUMPRODUCT(--ISNUMBER(SEARCH(supreme,C18)))&gt;0)</f>
        <v>0</v>
      </c>
      <c r="N18" s="14" cm="1">
        <f t="array" ref="N18">INT(SUMPRODUCT(--ISNUMBER(SEARCH(covid,C18)))&gt;0)</f>
        <v>0</v>
      </c>
      <c r="O18" s="14" cm="1">
        <f t="array" ref="O18">INT(SUMPRODUCT(--ISNUMBER(SEARCH(violent,C18)))&gt;0)</f>
        <v>0</v>
      </c>
      <c r="P18" s="14" cm="1">
        <f t="array" ref="P18">INT(SUMPRODUCT(--ISNUMBER(SEARCH(foreign,C18)))&gt;0)</f>
        <v>0</v>
      </c>
      <c r="Q18" s="14" cm="1">
        <f t="array" ref="Q18">INT(SUMPRODUCT(--ISNUMBER(SEARCH(gun,C18)))&gt;0)</f>
        <v>0</v>
      </c>
      <c r="R18" s="14" cm="1">
        <f t="array" ref="R18">INT(SUMPRODUCT(--ISNUMBER(SEARCH(race,C18)))&gt;0)</f>
        <v>0</v>
      </c>
      <c r="S18" s="14" cm="1">
        <f t="array" ref="S18">INT(SUMPRODUCT(--ISNUMBER(SEARCH(immigration,C18)))&gt;0)</f>
        <v>0</v>
      </c>
      <c r="T18" s="14" cm="1">
        <f t="array" ref="T18">INT(SUMPRODUCT(--ISNUMBER(SEARCH(econineq,C19)))&gt;0)</f>
        <v>0</v>
      </c>
      <c r="U18" s="14" cm="1">
        <f t="array" ref="U18">INT(SUMPRODUCT(--ISNUMBER(SEARCH(climate,C18)))&gt;0)</f>
        <v>0</v>
      </c>
      <c r="V18" s="14" cm="1">
        <f t="array" ref="V18">INT(SUMPRODUCT(--ISNUMBER(SEARCH(abortion,C18)))&gt;0)</f>
        <v>0</v>
      </c>
      <c r="W18" s="14" cm="1">
        <f t="array" ref="W18">INT(SUMPRODUCT(--ISNUMBER(SEARCH(trump,C18)))&gt;0)</f>
        <v>0</v>
      </c>
      <c r="X18" s="14" cm="1">
        <f t="array" ref="X18">INT(SUMPRODUCT(--ISNUMBER(SEARCH(voting,C18)))&gt;0)</f>
        <v>1</v>
      </c>
      <c r="Y18" s="14" cm="1">
        <f t="array" ref="Y18">INT(SUMPRODUCT(--ISNUMBER(SEARCH(democrattrigger,C18)))&gt;0)</f>
        <v>0</v>
      </c>
      <c r="Z18" s="14" cm="1">
        <f t="array" ref="Z18">INT(SUMPRODUCT(--ISNUMBER(SEARCH(bipartisan,C18)))&gt;0)</f>
        <v>0</v>
      </c>
      <c r="AA18" s="14">
        <f t="shared" si="0"/>
        <v>0</v>
      </c>
      <c r="AB18" s="14"/>
      <c r="AC18" s="30">
        <v>1</v>
      </c>
      <c r="AD18" s="37">
        <v>1</v>
      </c>
    </row>
    <row r="19" spans="1:30" x14ac:dyDescent="0.25">
      <c r="A19" s="36">
        <v>1482</v>
      </c>
      <c r="B19" s="14" t="s">
        <v>2991</v>
      </c>
      <c r="C19" s="14" t="s">
        <v>2992</v>
      </c>
      <c r="D19" s="17">
        <v>44138</v>
      </c>
      <c r="E19" s="14" t="s">
        <v>70</v>
      </c>
      <c r="F19" s="14">
        <v>917</v>
      </c>
      <c r="G19" s="14">
        <v>87</v>
      </c>
      <c r="H19" s="14">
        <v>8</v>
      </c>
      <c r="I19" s="14">
        <v>4</v>
      </c>
      <c r="J19" s="14" t="s">
        <v>204</v>
      </c>
      <c r="K19" s="14" cm="1">
        <f t="array" ref="K19">INT(SUMPRODUCT(--ISNUMBER(SEARCH(economy,C19)))&gt;0)</f>
        <v>0</v>
      </c>
      <c r="L19" s="14" cm="1">
        <f t="array" ref="L19">INT(SUMPRODUCT(--ISNUMBER(SEARCH(healthcare,C19)))&gt;0)</f>
        <v>0</v>
      </c>
      <c r="M19" s="14" cm="1">
        <f t="array" ref="M19">INT(SUMPRODUCT(--ISNUMBER(SEARCH(supreme,C19)))&gt;0)</f>
        <v>0</v>
      </c>
      <c r="N19" s="14" cm="1">
        <f t="array" ref="N19">INT(SUMPRODUCT(--ISNUMBER(SEARCH(covid,C19)))&gt;0)</f>
        <v>0</v>
      </c>
      <c r="O19" s="14" cm="1">
        <f t="array" ref="O19">INT(SUMPRODUCT(--ISNUMBER(SEARCH(violent,C19)))&gt;0)</f>
        <v>0</v>
      </c>
      <c r="P19" s="14" cm="1">
        <f t="array" ref="P19">INT(SUMPRODUCT(--ISNUMBER(SEARCH(foreign,C19)))&gt;0)</f>
        <v>1</v>
      </c>
      <c r="Q19" s="14" cm="1">
        <f t="array" ref="Q19">INT(SUMPRODUCT(--ISNUMBER(SEARCH(gun,C19)))&gt;0)</f>
        <v>0</v>
      </c>
      <c r="R19" s="14" cm="1">
        <f t="array" ref="R19">INT(SUMPRODUCT(--ISNUMBER(SEARCH(race,C19)))&gt;0)</f>
        <v>0</v>
      </c>
      <c r="S19" s="14" cm="1">
        <f t="array" ref="S19">INT(SUMPRODUCT(--ISNUMBER(SEARCH(immigration,C19)))&gt;0)</f>
        <v>0</v>
      </c>
      <c r="T19" s="14" cm="1">
        <f t="array" ref="T19">INT(SUMPRODUCT(--ISNUMBER(SEARCH(econineq,C20)))&gt;0)</f>
        <v>0</v>
      </c>
      <c r="U19" s="14" cm="1">
        <f t="array" ref="U19">INT(SUMPRODUCT(--ISNUMBER(SEARCH(climate,C19)))&gt;0)</f>
        <v>0</v>
      </c>
      <c r="V19" s="14" cm="1">
        <f t="array" ref="V19">INT(SUMPRODUCT(--ISNUMBER(SEARCH(abortion,C19)))&gt;0)</f>
        <v>0</v>
      </c>
      <c r="W19" s="14" cm="1">
        <f t="array" ref="W19">INT(SUMPRODUCT(--ISNUMBER(SEARCH(trump,C19)))&gt;0)</f>
        <v>0</v>
      </c>
      <c r="X19" s="14" cm="1">
        <f t="array" ref="X19">INT(SUMPRODUCT(--ISNUMBER(SEARCH(voting,C19)))&gt;0)</f>
        <v>1</v>
      </c>
      <c r="Y19" s="14" cm="1">
        <f t="array" ref="Y19">INT(SUMPRODUCT(--ISNUMBER(SEARCH(democrattrigger,C19)))&gt;0)</f>
        <v>0</v>
      </c>
      <c r="Z19" s="14" cm="1">
        <f t="array" ref="Z19">INT(SUMPRODUCT(--ISNUMBER(SEARCH(bipartisan,C19)))&gt;0)</f>
        <v>0</v>
      </c>
      <c r="AA19" s="14">
        <f t="shared" si="0"/>
        <v>0</v>
      </c>
      <c r="AB19" s="14"/>
      <c r="AC19" s="30">
        <v>1</v>
      </c>
      <c r="AD19" s="37">
        <v>0</v>
      </c>
    </row>
    <row r="20" spans="1:30" x14ac:dyDescent="0.25">
      <c r="A20" s="36">
        <v>1483</v>
      </c>
      <c r="B20" s="14" t="s">
        <v>2993</v>
      </c>
      <c r="C20" s="14" t="s">
        <v>2994</v>
      </c>
      <c r="D20" s="17">
        <v>44138</v>
      </c>
      <c r="E20" s="14" t="s">
        <v>30</v>
      </c>
      <c r="F20" s="14">
        <v>1381</v>
      </c>
      <c r="G20" s="14">
        <v>171</v>
      </c>
      <c r="H20" s="14">
        <v>8</v>
      </c>
      <c r="I20" s="14">
        <v>4</v>
      </c>
      <c r="J20" s="14" t="s">
        <v>204</v>
      </c>
      <c r="K20" s="14" cm="1">
        <f t="array" ref="K20">INT(SUMPRODUCT(--ISNUMBER(SEARCH(economy,C20)))&gt;0)</f>
        <v>0</v>
      </c>
      <c r="L20" s="14" cm="1">
        <f t="array" ref="L20">INT(SUMPRODUCT(--ISNUMBER(SEARCH(healthcare,C20)))&gt;0)</f>
        <v>0</v>
      </c>
      <c r="M20" s="14" cm="1">
        <f t="array" ref="M20">INT(SUMPRODUCT(--ISNUMBER(SEARCH(supreme,C20)))&gt;0)</f>
        <v>0</v>
      </c>
      <c r="N20" s="14" cm="1">
        <f t="array" ref="N20">INT(SUMPRODUCT(--ISNUMBER(SEARCH(covid,C20)))&gt;0)</f>
        <v>0</v>
      </c>
      <c r="O20" s="14" cm="1">
        <f t="array" ref="O20">INT(SUMPRODUCT(--ISNUMBER(SEARCH(violent,C20)))&gt;0)</f>
        <v>0</v>
      </c>
      <c r="P20" s="14" cm="1">
        <f t="array" ref="P20">INT(SUMPRODUCT(--ISNUMBER(SEARCH(foreign,C20)))&gt;0)</f>
        <v>0</v>
      </c>
      <c r="Q20" s="14" cm="1">
        <f t="array" ref="Q20">INT(SUMPRODUCT(--ISNUMBER(SEARCH(gun,C20)))&gt;0)</f>
        <v>0</v>
      </c>
      <c r="R20" s="14" cm="1">
        <f t="array" ref="R20">INT(SUMPRODUCT(--ISNUMBER(SEARCH(race,C20)))&gt;0)</f>
        <v>0</v>
      </c>
      <c r="S20" s="14" cm="1">
        <f t="array" ref="S20">INT(SUMPRODUCT(--ISNUMBER(SEARCH(immigration,C20)))&gt;0)</f>
        <v>0</v>
      </c>
      <c r="T20" s="14" cm="1">
        <f t="array" ref="T20">INT(SUMPRODUCT(--ISNUMBER(SEARCH(econineq,C21)))&gt;0)</f>
        <v>0</v>
      </c>
      <c r="U20" s="14" cm="1">
        <f t="array" ref="U20">INT(SUMPRODUCT(--ISNUMBER(SEARCH(climate,C20)))&gt;0)</f>
        <v>0</v>
      </c>
      <c r="V20" s="14" cm="1">
        <f t="array" ref="V20">INT(SUMPRODUCT(--ISNUMBER(SEARCH(abortion,C20)))&gt;0)</f>
        <v>0</v>
      </c>
      <c r="W20" s="14" cm="1">
        <f t="array" ref="W20">INT(SUMPRODUCT(--ISNUMBER(SEARCH(trump,C20)))&gt;0)</f>
        <v>0</v>
      </c>
      <c r="X20" s="14" cm="1">
        <f t="array" ref="X20">INT(SUMPRODUCT(--ISNUMBER(SEARCH(voting,C20)))&gt;0)</f>
        <v>1</v>
      </c>
      <c r="Y20" s="14" cm="1">
        <f t="array" ref="Y20">INT(SUMPRODUCT(--ISNUMBER(SEARCH(democrattrigger,C20)))&gt;0)</f>
        <v>0</v>
      </c>
      <c r="Z20" s="14" cm="1">
        <f t="array" ref="Z20">INT(SUMPRODUCT(--ISNUMBER(SEARCH(bipartisan,C20)))&gt;0)</f>
        <v>0</v>
      </c>
      <c r="AA20" s="14">
        <f t="shared" si="0"/>
        <v>0</v>
      </c>
      <c r="AB20" s="14"/>
      <c r="AC20" s="30">
        <v>1</v>
      </c>
      <c r="AD20" s="37">
        <v>0</v>
      </c>
    </row>
    <row r="21" spans="1:30" x14ac:dyDescent="0.25">
      <c r="A21" s="36">
        <v>1484</v>
      </c>
      <c r="B21" s="14" t="s">
        <v>2995</v>
      </c>
      <c r="C21" s="14" t="s">
        <v>2996</v>
      </c>
      <c r="D21" s="17">
        <v>44138</v>
      </c>
      <c r="E21" s="14" t="s">
        <v>30</v>
      </c>
      <c r="F21" s="14">
        <v>1221</v>
      </c>
      <c r="G21" s="14">
        <v>222</v>
      </c>
      <c r="H21" s="14">
        <v>8</v>
      </c>
      <c r="I21" s="14">
        <v>4</v>
      </c>
      <c r="J21" s="14" t="s">
        <v>204</v>
      </c>
      <c r="K21" s="14" cm="1">
        <f t="array" ref="K21">INT(SUMPRODUCT(--ISNUMBER(SEARCH(economy,C21)))&gt;0)</f>
        <v>0</v>
      </c>
      <c r="L21" s="14" cm="1">
        <f t="array" ref="L21">INT(SUMPRODUCT(--ISNUMBER(SEARCH(healthcare,C21)))&gt;0)</f>
        <v>0</v>
      </c>
      <c r="M21" s="14" cm="1">
        <f t="array" ref="M21">INT(SUMPRODUCT(--ISNUMBER(SEARCH(supreme,C21)))&gt;0)</f>
        <v>0</v>
      </c>
      <c r="N21" s="14" cm="1">
        <f t="array" ref="N21">INT(SUMPRODUCT(--ISNUMBER(SEARCH(covid,C21)))&gt;0)</f>
        <v>0</v>
      </c>
      <c r="O21" s="14" cm="1">
        <f t="array" ref="O21">INT(SUMPRODUCT(--ISNUMBER(SEARCH(violent,C21)))&gt;0)</f>
        <v>0</v>
      </c>
      <c r="P21" s="14" cm="1">
        <f t="array" ref="P21">INT(SUMPRODUCT(--ISNUMBER(SEARCH(foreign,C21)))&gt;0)</f>
        <v>0</v>
      </c>
      <c r="Q21" s="14" cm="1">
        <f t="array" ref="Q21">INT(SUMPRODUCT(--ISNUMBER(SEARCH(gun,C21)))&gt;0)</f>
        <v>0</v>
      </c>
      <c r="R21" s="14" cm="1">
        <f t="array" ref="R21">INT(SUMPRODUCT(--ISNUMBER(SEARCH(race,C21)))&gt;0)</f>
        <v>0</v>
      </c>
      <c r="S21" s="14" cm="1">
        <f t="array" ref="S21">INT(SUMPRODUCT(--ISNUMBER(SEARCH(immigration,C21)))&gt;0)</f>
        <v>0</v>
      </c>
      <c r="T21" s="14" cm="1">
        <f t="array" ref="T21">INT(SUMPRODUCT(--ISNUMBER(SEARCH(econineq,C22)))&gt;0)</f>
        <v>0</v>
      </c>
      <c r="U21" s="14" cm="1">
        <f t="array" ref="U21">INT(SUMPRODUCT(--ISNUMBER(SEARCH(climate,C21)))&gt;0)</f>
        <v>0</v>
      </c>
      <c r="V21" s="14" cm="1">
        <f t="array" ref="V21">INT(SUMPRODUCT(--ISNUMBER(SEARCH(abortion,C21)))&gt;0)</f>
        <v>0</v>
      </c>
      <c r="W21" s="14" cm="1">
        <f t="array" ref="W21">INT(SUMPRODUCT(--ISNUMBER(SEARCH(trump,C21)))&gt;0)</f>
        <v>0</v>
      </c>
      <c r="X21" s="14" cm="1">
        <f t="array" ref="X21">INT(SUMPRODUCT(--ISNUMBER(SEARCH(voting,C21)))&gt;0)</f>
        <v>0</v>
      </c>
      <c r="Y21" s="14" cm="1">
        <f t="array" ref="Y21">INT(SUMPRODUCT(--ISNUMBER(SEARCH(democrattrigger,C21)))&gt;0)</f>
        <v>0</v>
      </c>
      <c r="Z21" s="14" cm="1">
        <f t="array" ref="Z21">INT(SUMPRODUCT(--ISNUMBER(SEARCH(bipartisan,C21)))&gt;0)</f>
        <v>0</v>
      </c>
      <c r="AA21" s="14">
        <f t="shared" si="0"/>
        <v>1</v>
      </c>
      <c r="AB21" s="14"/>
      <c r="AC21" s="30">
        <v>0</v>
      </c>
      <c r="AD21" s="37">
        <v>1</v>
      </c>
    </row>
    <row r="22" spans="1:30" x14ac:dyDescent="0.25">
      <c r="A22" s="36">
        <v>1485</v>
      </c>
      <c r="B22" s="14" t="s">
        <v>2997</v>
      </c>
      <c r="C22" s="14" t="s">
        <v>2998</v>
      </c>
      <c r="D22" s="17">
        <v>44137</v>
      </c>
      <c r="E22" s="14" t="s">
        <v>30</v>
      </c>
      <c r="F22" s="14">
        <v>2829</v>
      </c>
      <c r="G22" s="14">
        <v>593</v>
      </c>
      <c r="H22" s="14">
        <v>8</v>
      </c>
      <c r="I22" s="14">
        <v>4</v>
      </c>
      <c r="J22" s="14" t="s">
        <v>204</v>
      </c>
      <c r="K22" s="14" cm="1">
        <f t="array" ref="K22">INT(SUMPRODUCT(--ISNUMBER(SEARCH(economy,C22)))&gt;0)</f>
        <v>0</v>
      </c>
      <c r="L22" s="14" cm="1">
        <f t="array" ref="L22">INT(SUMPRODUCT(--ISNUMBER(SEARCH(healthcare,C22)))&gt;0)</f>
        <v>0</v>
      </c>
      <c r="M22" s="14" cm="1">
        <f t="array" ref="M22">INT(SUMPRODUCT(--ISNUMBER(SEARCH(supreme,C22)))&gt;0)</f>
        <v>0</v>
      </c>
      <c r="N22" s="14" cm="1">
        <f t="array" ref="N22">INT(SUMPRODUCT(--ISNUMBER(SEARCH(covid,C22)))&gt;0)</f>
        <v>0</v>
      </c>
      <c r="O22" s="14" cm="1">
        <f t="array" ref="O22">INT(SUMPRODUCT(--ISNUMBER(SEARCH(violent,C22)))&gt;0)</f>
        <v>0</v>
      </c>
      <c r="P22" s="14" cm="1">
        <f t="array" ref="P22">INT(SUMPRODUCT(--ISNUMBER(SEARCH(foreign,C22)))&gt;0)</f>
        <v>0</v>
      </c>
      <c r="Q22" s="14" cm="1">
        <f t="array" ref="Q22">INT(SUMPRODUCT(--ISNUMBER(SEARCH(gun,C22)))&gt;0)</f>
        <v>0</v>
      </c>
      <c r="R22" s="14" cm="1">
        <f t="array" ref="R22">INT(SUMPRODUCT(--ISNUMBER(SEARCH(race,C22)))&gt;0)</f>
        <v>0</v>
      </c>
      <c r="S22" s="14" cm="1">
        <f t="array" ref="S22">INT(SUMPRODUCT(--ISNUMBER(SEARCH(immigration,C22)))&gt;0)</f>
        <v>0</v>
      </c>
      <c r="T22" s="14" cm="1">
        <f t="array" ref="T22">INT(SUMPRODUCT(--ISNUMBER(SEARCH(econineq,C23)))&gt;0)</f>
        <v>0</v>
      </c>
      <c r="U22" s="14" cm="1">
        <f t="array" ref="U22">INT(SUMPRODUCT(--ISNUMBER(SEARCH(climate,C22)))&gt;0)</f>
        <v>0</v>
      </c>
      <c r="V22" s="14" cm="1">
        <f t="array" ref="V22">INT(SUMPRODUCT(--ISNUMBER(SEARCH(abortion,C22)))&gt;0)</f>
        <v>0</v>
      </c>
      <c r="W22" s="14" cm="1">
        <f t="array" ref="W22">INT(SUMPRODUCT(--ISNUMBER(SEARCH(trump,C22)))&gt;0)</f>
        <v>0</v>
      </c>
      <c r="X22" s="14" cm="1">
        <f t="array" ref="X22">INT(SUMPRODUCT(--ISNUMBER(SEARCH(voting,C22)))&gt;0)</f>
        <v>1</v>
      </c>
      <c r="Y22" s="14" cm="1">
        <f t="array" ref="Y22">INT(SUMPRODUCT(--ISNUMBER(SEARCH(democrattrigger,C22)))&gt;0)</f>
        <v>0</v>
      </c>
      <c r="Z22" s="14" cm="1">
        <f t="array" ref="Z22">INT(SUMPRODUCT(--ISNUMBER(SEARCH(bipartisan,C22)))&gt;0)</f>
        <v>0</v>
      </c>
      <c r="AA22" s="14">
        <f t="shared" si="0"/>
        <v>0</v>
      </c>
      <c r="AB22" s="14"/>
      <c r="AC22" s="30">
        <v>0</v>
      </c>
      <c r="AD22" s="37">
        <v>1</v>
      </c>
    </row>
    <row r="23" spans="1:30" x14ac:dyDescent="0.25">
      <c r="A23" s="36">
        <v>1486</v>
      </c>
      <c r="B23" s="14" t="s">
        <v>2999</v>
      </c>
      <c r="C23" s="14" t="s">
        <v>3000</v>
      </c>
      <c r="D23" s="17">
        <v>44137</v>
      </c>
      <c r="E23" s="14" t="s">
        <v>30</v>
      </c>
      <c r="F23" s="14">
        <v>649</v>
      </c>
      <c r="G23" s="14">
        <v>142</v>
      </c>
      <c r="H23" s="14">
        <v>8</v>
      </c>
      <c r="I23" s="14">
        <v>4</v>
      </c>
      <c r="J23" s="14" t="s">
        <v>204</v>
      </c>
      <c r="K23" s="14" cm="1">
        <f t="array" ref="K23">INT(SUMPRODUCT(--ISNUMBER(SEARCH(economy,C23)))&gt;0)</f>
        <v>0</v>
      </c>
      <c r="L23" s="14" cm="1">
        <f t="array" ref="L23">INT(SUMPRODUCT(--ISNUMBER(SEARCH(healthcare,C23)))&gt;0)</f>
        <v>0</v>
      </c>
      <c r="M23" s="14" cm="1">
        <f t="array" ref="M23">INT(SUMPRODUCT(--ISNUMBER(SEARCH(supreme,C23)))&gt;0)</f>
        <v>0</v>
      </c>
      <c r="N23" s="14" cm="1">
        <f t="array" ref="N23">INT(SUMPRODUCT(--ISNUMBER(SEARCH(covid,C23)))&gt;0)</f>
        <v>0</v>
      </c>
      <c r="O23" s="14" cm="1">
        <f t="array" ref="O23">INT(SUMPRODUCT(--ISNUMBER(SEARCH(violent,C23)))&gt;0)</f>
        <v>0</v>
      </c>
      <c r="P23" s="14" cm="1">
        <f t="array" ref="P23">INT(SUMPRODUCT(--ISNUMBER(SEARCH(foreign,C23)))&gt;0)</f>
        <v>0</v>
      </c>
      <c r="Q23" s="14" cm="1">
        <f t="array" ref="Q23">INT(SUMPRODUCT(--ISNUMBER(SEARCH(gun,C23)))&gt;0)</f>
        <v>0</v>
      </c>
      <c r="R23" s="14" cm="1">
        <f t="array" ref="R23">INT(SUMPRODUCT(--ISNUMBER(SEARCH(race,C23)))&gt;0)</f>
        <v>0</v>
      </c>
      <c r="S23" s="14" cm="1">
        <f t="array" ref="S23">INT(SUMPRODUCT(--ISNUMBER(SEARCH(immigration,C23)))&gt;0)</f>
        <v>0</v>
      </c>
      <c r="T23" s="14" cm="1">
        <f t="array" ref="T23">INT(SUMPRODUCT(--ISNUMBER(SEARCH(econineq,C24)))&gt;0)</f>
        <v>0</v>
      </c>
      <c r="U23" s="14" cm="1">
        <f t="array" ref="U23">INT(SUMPRODUCT(--ISNUMBER(SEARCH(climate,C23)))&gt;0)</f>
        <v>0</v>
      </c>
      <c r="V23" s="14" cm="1">
        <f t="array" ref="V23">INT(SUMPRODUCT(--ISNUMBER(SEARCH(abortion,C23)))&gt;0)</f>
        <v>0</v>
      </c>
      <c r="W23" s="14" cm="1">
        <f t="array" ref="W23">INT(SUMPRODUCT(--ISNUMBER(SEARCH(trump,C23)))&gt;0)</f>
        <v>0</v>
      </c>
      <c r="X23" s="14" cm="1">
        <f t="array" ref="X23">INT(SUMPRODUCT(--ISNUMBER(SEARCH(voting,C23)))&gt;0)</f>
        <v>1</v>
      </c>
      <c r="Y23" s="14" cm="1">
        <f t="array" ref="Y23">INT(SUMPRODUCT(--ISNUMBER(SEARCH(democrattrigger,C23)))&gt;0)</f>
        <v>0</v>
      </c>
      <c r="Z23" s="14" cm="1">
        <f t="array" ref="Z23">INT(SUMPRODUCT(--ISNUMBER(SEARCH(bipartisan,C23)))&gt;0)</f>
        <v>0</v>
      </c>
      <c r="AA23" s="14">
        <f t="shared" si="0"/>
        <v>0</v>
      </c>
      <c r="AB23" s="14"/>
      <c r="AC23" s="30">
        <v>1</v>
      </c>
      <c r="AD23" s="37">
        <v>0</v>
      </c>
    </row>
    <row r="24" spans="1:30" x14ac:dyDescent="0.25">
      <c r="A24" s="36">
        <v>1487</v>
      </c>
      <c r="B24" s="14" t="s">
        <v>3001</v>
      </c>
      <c r="C24" s="14" t="s">
        <v>3002</v>
      </c>
      <c r="D24" s="17">
        <v>44137</v>
      </c>
      <c r="E24" s="14" t="s">
        <v>30</v>
      </c>
      <c r="F24" s="14">
        <v>419</v>
      </c>
      <c r="G24" s="14">
        <v>92</v>
      </c>
      <c r="H24" s="14">
        <v>8</v>
      </c>
      <c r="I24" s="14">
        <v>4</v>
      </c>
      <c r="J24" s="14" t="s">
        <v>204</v>
      </c>
      <c r="K24" s="14" cm="1">
        <f t="array" ref="K24">INT(SUMPRODUCT(--ISNUMBER(SEARCH(economy,C24)))&gt;0)</f>
        <v>0</v>
      </c>
      <c r="L24" s="14" cm="1">
        <f t="array" ref="L24">INT(SUMPRODUCT(--ISNUMBER(SEARCH(healthcare,C24)))&gt;0)</f>
        <v>0</v>
      </c>
      <c r="M24" s="14" cm="1">
        <f t="array" ref="M24">INT(SUMPRODUCT(--ISNUMBER(SEARCH(supreme,C24)))&gt;0)</f>
        <v>0</v>
      </c>
      <c r="N24" s="14" cm="1">
        <f t="array" ref="N24">INT(SUMPRODUCT(--ISNUMBER(SEARCH(covid,C24)))&gt;0)</f>
        <v>0</v>
      </c>
      <c r="O24" s="14" cm="1">
        <f t="array" ref="O24">INT(SUMPRODUCT(--ISNUMBER(SEARCH(violent,C24)))&gt;0)</f>
        <v>0</v>
      </c>
      <c r="P24" s="14" cm="1">
        <f t="array" ref="P24">INT(SUMPRODUCT(--ISNUMBER(SEARCH(foreign,C24)))&gt;0)</f>
        <v>0</v>
      </c>
      <c r="Q24" s="14" cm="1">
        <f t="array" ref="Q24">INT(SUMPRODUCT(--ISNUMBER(SEARCH(gun,C24)))&gt;0)</f>
        <v>0</v>
      </c>
      <c r="R24" s="14" cm="1">
        <f t="array" ref="R24">INT(SUMPRODUCT(--ISNUMBER(SEARCH(race,C24)))&gt;0)</f>
        <v>0</v>
      </c>
      <c r="S24" s="14" cm="1">
        <f t="array" ref="S24">INT(SUMPRODUCT(--ISNUMBER(SEARCH(immigration,C24)))&gt;0)</f>
        <v>0</v>
      </c>
      <c r="T24" s="14" cm="1">
        <f t="array" ref="T24">INT(SUMPRODUCT(--ISNUMBER(SEARCH(econineq,C25)))&gt;0)</f>
        <v>0</v>
      </c>
      <c r="U24" s="14" cm="1">
        <f t="array" ref="U24">INT(SUMPRODUCT(--ISNUMBER(SEARCH(climate,C24)))&gt;0)</f>
        <v>0</v>
      </c>
      <c r="V24" s="14" cm="1">
        <f t="array" ref="V24">INT(SUMPRODUCT(--ISNUMBER(SEARCH(abortion,C24)))&gt;0)</f>
        <v>0</v>
      </c>
      <c r="W24" s="14" cm="1">
        <f t="array" ref="W24">INT(SUMPRODUCT(--ISNUMBER(SEARCH(trump,C24)))&gt;0)</f>
        <v>0</v>
      </c>
      <c r="X24" s="14" cm="1">
        <f t="array" ref="X24">INT(SUMPRODUCT(--ISNUMBER(SEARCH(voting,C24)))&gt;0)</f>
        <v>0</v>
      </c>
      <c r="Y24" s="14" cm="1">
        <f t="array" ref="Y24">INT(SUMPRODUCT(--ISNUMBER(SEARCH(democrattrigger,C24)))&gt;0)</f>
        <v>0</v>
      </c>
      <c r="Z24" s="14" cm="1">
        <f t="array" ref="Z24">INT(SUMPRODUCT(--ISNUMBER(SEARCH(bipartisan,C24)))&gt;0)</f>
        <v>0</v>
      </c>
      <c r="AA24" s="14">
        <f t="shared" si="0"/>
        <v>1</v>
      </c>
      <c r="AB24" s="14"/>
      <c r="AC24" s="30">
        <v>0</v>
      </c>
      <c r="AD24" s="37">
        <v>1</v>
      </c>
    </row>
    <row r="25" spans="1:30" x14ac:dyDescent="0.25">
      <c r="A25" s="36">
        <v>1488</v>
      </c>
      <c r="B25" s="14" t="s">
        <v>3003</v>
      </c>
      <c r="C25" s="14" t="s">
        <v>3004</v>
      </c>
      <c r="D25" s="17">
        <v>44137</v>
      </c>
      <c r="E25" s="14" t="s">
        <v>30</v>
      </c>
      <c r="F25" s="14">
        <v>505</v>
      </c>
      <c r="G25" s="14">
        <v>105</v>
      </c>
      <c r="H25" s="14">
        <v>8</v>
      </c>
      <c r="I25" s="14">
        <v>4</v>
      </c>
      <c r="J25" s="14" t="s">
        <v>204</v>
      </c>
      <c r="K25" s="14" cm="1">
        <f t="array" ref="K25">INT(SUMPRODUCT(--ISNUMBER(SEARCH(economy,C25)))&gt;0)</f>
        <v>1</v>
      </c>
      <c r="L25" s="14" cm="1">
        <f t="array" ref="L25">INT(SUMPRODUCT(--ISNUMBER(SEARCH(healthcare,C25)))&gt;0)</f>
        <v>0</v>
      </c>
      <c r="M25" s="14" cm="1">
        <f t="array" ref="M25">INT(SUMPRODUCT(--ISNUMBER(SEARCH(supreme,C25)))&gt;0)</f>
        <v>0</v>
      </c>
      <c r="N25" s="14" cm="1">
        <f t="array" ref="N25">INT(SUMPRODUCT(--ISNUMBER(SEARCH(covid,C25)))&gt;0)</f>
        <v>0</v>
      </c>
      <c r="O25" s="14" cm="1">
        <f t="array" ref="O25">INT(SUMPRODUCT(--ISNUMBER(SEARCH(violent,C25)))&gt;0)</f>
        <v>0</v>
      </c>
      <c r="P25" s="14" cm="1">
        <f t="array" ref="P25">INT(SUMPRODUCT(--ISNUMBER(SEARCH(foreign,C25)))&gt;0)</f>
        <v>0</v>
      </c>
      <c r="Q25" s="14" cm="1">
        <f t="array" ref="Q25">INT(SUMPRODUCT(--ISNUMBER(SEARCH(gun,C25)))&gt;0)</f>
        <v>0</v>
      </c>
      <c r="R25" s="14" cm="1">
        <f t="array" ref="R25">INT(SUMPRODUCT(--ISNUMBER(SEARCH(race,C25)))&gt;0)</f>
        <v>0</v>
      </c>
      <c r="S25" s="14" cm="1">
        <f t="array" ref="S25">INT(SUMPRODUCT(--ISNUMBER(SEARCH(immigration,C25)))&gt;0)</f>
        <v>0</v>
      </c>
      <c r="T25" s="14" cm="1">
        <f t="array" ref="T25">INT(SUMPRODUCT(--ISNUMBER(SEARCH(econineq,C26)))&gt;0)</f>
        <v>0</v>
      </c>
      <c r="U25" s="14" cm="1">
        <f t="array" ref="U25">INT(SUMPRODUCT(--ISNUMBER(SEARCH(climate,C25)))&gt;0)</f>
        <v>0</v>
      </c>
      <c r="V25" s="14" cm="1">
        <f t="array" ref="V25">INT(SUMPRODUCT(--ISNUMBER(SEARCH(abortion,C25)))&gt;0)</f>
        <v>0</v>
      </c>
      <c r="W25" s="14" cm="1">
        <f t="array" ref="W25">INT(SUMPRODUCT(--ISNUMBER(SEARCH(trump,C25)))&gt;0)</f>
        <v>0</v>
      </c>
      <c r="X25" s="14" cm="1">
        <f t="array" ref="X25">INT(SUMPRODUCT(--ISNUMBER(SEARCH(voting,C25)))&gt;0)</f>
        <v>0</v>
      </c>
      <c r="Y25" s="14" cm="1">
        <f t="array" ref="Y25">INT(SUMPRODUCT(--ISNUMBER(SEARCH(democrattrigger,C25)))&gt;0)</f>
        <v>0</v>
      </c>
      <c r="Z25" s="14" cm="1">
        <f t="array" ref="Z25">INT(SUMPRODUCT(--ISNUMBER(SEARCH(bipartisan,C25)))&gt;0)</f>
        <v>0</v>
      </c>
      <c r="AA25" s="14">
        <f t="shared" si="0"/>
        <v>0</v>
      </c>
      <c r="AB25" s="14"/>
      <c r="AC25" s="30">
        <v>1</v>
      </c>
      <c r="AD25" s="37">
        <v>0</v>
      </c>
    </row>
    <row r="26" spans="1:30" x14ac:dyDescent="0.25">
      <c r="A26" s="36">
        <v>1489</v>
      </c>
      <c r="B26" s="14" t="s">
        <v>3005</v>
      </c>
      <c r="C26" s="14" t="s">
        <v>3006</v>
      </c>
      <c r="D26" s="17">
        <v>44137</v>
      </c>
      <c r="E26" s="14" t="s">
        <v>30</v>
      </c>
      <c r="F26" s="14">
        <v>978</v>
      </c>
      <c r="G26" s="14">
        <v>162</v>
      </c>
      <c r="H26" s="14">
        <v>8</v>
      </c>
      <c r="I26" s="14">
        <v>4</v>
      </c>
      <c r="J26" s="14" t="s">
        <v>204</v>
      </c>
      <c r="K26" s="14" cm="1">
        <f t="array" ref="K26">INT(SUMPRODUCT(--ISNUMBER(SEARCH(economy,C26)))&gt;0)</f>
        <v>0</v>
      </c>
      <c r="L26" s="14" cm="1">
        <f t="array" ref="L26">INT(SUMPRODUCT(--ISNUMBER(SEARCH(healthcare,C26)))&gt;0)</f>
        <v>0</v>
      </c>
      <c r="M26" s="14" cm="1">
        <f t="array" ref="M26">INT(SUMPRODUCT(--ISNUMBER(SEARCH(supreme,C26)))&gt;0)</f>
        <v>0</v>
      </c>
      <c r="N26" s="14" cm="1">
        <f t="array" ref="N26">INT(SUMPRODUCT(--ISNUMBER(SEARCH(covid,C26)))&gt;0)</f>
        <v>0</v>
      </c>
      <c r="O26" s="14" cm="1">
        <f t="array" ref="O26">INT(SUMPRODUCT(--ISNUMBER(SEARCH(violent,C26)))&gt;0)</f>
        <v>0</v>
      </c>
      <c r="P26" s="14" cm="1">
        <f t="array" ref="P26">INT(SUMPRODUCT(--ISNUMBER(SEARCH(foreign,C26)))&gt;0)</f>
        <v>0</v>
      </c>
      <c r="Q26" s="14" cm="1">
        <f t="array" ref="Q26">INT(SUMPRODUCT(--ISNUMBER(SEARCH(gun,C26)))&gt;0)</f>
        <v>0</v>
      </c>
      <c r="R26" s="14" cm="1">
        <f t="array" ref="R26">INT(SUMPRODUCT(--ISNUMBER(SEARCH(race,C26)))&gt;0)</f>
        <v>0</v>
      </c>
      <c r="S26" s="14" cm="1">
        <f t="array" ref="S26">INT(SUMPRODUCT(--ISNUMBER(SEARCH(immigration,C26)))&gt;0)</f>
        <v>0</v>
      </c>
      <c r="T26" s="14" cm="1">
        <f t="array" ref="T26">INT(SUMPRODUCT(--ISNUMBER(SEARCH(econineq,C27)))&gt;0)</f>
        <v>0</v>
      </c>
      <c r="U26" s="14" cm="1">
        <f t="array" ref="U26">INT(SUMPRODUCT(--ISNUMBER(SEARCH(climate,C26)))&gt;0)</f>
        <v>0</v>
      </c>
      <c r="V26" s="14" cm="1">
        <f t="array" ref="V26">INT(SUMPRODUCT(--ISNUMBER(SEARCH(abortion,C26)))&gt;0)</f>
        <v>0</v>
      </c>
      <c r="W26" s="14" cm="1">
        <f t="array" ref="W26">INT(SUMPRODUCT(--ISNUMBER(SEARCH(trump,C26)))&gt;0)</f>
        <v>0</v>
      </c>
      <c r="X26" s="14" cm="1">
        <f t="array" ref="X26">INT(SUMPRODUCT(--ISNUMBER(SEARCH(voting,C26)))&gt;0)</f>
        <v>0</v>
      </c>
      <c r="Y26" s="14" cm="1">
        <f t="array" ref="Y26">INT(SUMPRODUCT(--ISNUMBER(SEARCH(democrattrigger,C26)))&gt;0)</f>
        <v>0</v>
      </c>
      <c r="Z26" s="14" cm="1">
        <f t="array" ref="Z26">INT(SUMPRODUCT(--ISNUMBER(SEARCH(bipartisan,C26)))&gt;0)</f>
        <v>0</v>
      </c>
      <c r="AA26" s="14">
        <f t="shared" si="0"/>
        <v>1</v>
      </c>
      <c r="AB26" s="14"/>
      <c r="AC26" s="30">
        <v>0</v>
      </c>
      <c r="AD26" s="37">
        <v>1</v>
      </c>
    </row>
    <row r="27" spans="1:30" x14ac:dyDescent="0.25">
      <c r="A27" s="36">
        <v>1490</v>
      </c>
      <c r="B27" s="14" t="s">
        <v>3007</v>
      </c>
      <c r="C27" s="14" t="s">
        <v>3008</v>
      </c>
      <c r="D27" s="17">
        <v>44137</v>
      </c>
      <c r="E27" s="14" t="s">
        <v>30</v>
      </c>
      <c r="F27" s="14">
        <v>2170</v>
      </c>
      <c r="G27" s="14">
        <v>397</v>
      </c>
      <c r="H27" s="14">
        <v>8</v>
      </c>
      <c r="I27" s="14">
        <v>4</v>
      </c>
      <c r="J27" s="14" t="s">
        <v>204</v>
      </c>
      <c r="K27" s="14" cm="1">
        <f t="array" ref="K27">INT(SUMPRODUCT(--ISNUMBER(SEARCH(economy,C27)))&gt;0)</f>
        <v>1</v>
      </c>
      <c r="L27" s="14" cm="1">
        <f t="array" ref="L27">INT(SUMPRODUCT(--ISNUMBER(SEARCH(healthcare,C27)))&gt;0)</f>
        <v>1</v>
      </c>
      <c r="M27" s="14" cm="1">
        <f t="array" ref="M27">INT(SUMPRODUCT(--ISNUMBER(SEARCH(supreme,C27)))&gt;0)</f>
        <v>1</v>
      </c>
      <c r="N27" s="14" cm="1">
        <f t="array" ref="N27">INT(SUMPRODUCT(--ISNUMBER(SEARCH(covid,C27)))&gt;0)</f>
        <v>0</v>
      </c>
      <c r="O27" s="14" cm="1">
        <f t="array" ref="O27">INT(SUMPRODUCT(--ISNUMBER(SEARCH(violent,C27)))&gt;0)</f>
        <v>0</v>
      </c>
      <c r="P27" s="14" cm="1">
        <f t="array" ref="P27">INT(SUMPRODUCT(--ISNUMBER(SEARCH(foreign,C27)))&gt;0)</f>
        <v>0</v>
      </c>
      <c r="Q27" s="14" cm="1">
        <f t="array" ref="Q27">INT(SUMPRODUCT(--ISNUMBER(SEARCH(gun,C27)))&gt;0)</f>
        <v>0</v>
      </c>
      <c r="R27" s="14" cm="1">
        <f t="array" ref="R27">INT(SUMPRODUCT(--ISNUMBER(SEARCH(race,C27)))&gt;0)</f>
        <v>0</v>
      </c>
      <c r="S27" s="14" cm="1">
        <f t="array" ref="S27">INT(SUMPRODUCT(--ISNUMBER(SEARCH(immigration,C27)))&gt;0)</f>
        <v>0</v>
      </c>
      <c r="T27" s="14" cm="1">
        <f t="array" ref="T27">INT(SUMPRODUCT(--ISNUMBER(SEARCH(econineq,C28)))&gt;0)</f>
        <v>0</v>
      </c>
      <c r="U27" s="14" cm="1">
        <f t="array" ref="U27">INT(SUMPRODUCT(--ISNUMBER(SEARCH(climate,C27)))&gt;0)</f>
        <v>1</v>
      </c>
      <c r="V27" s="14" cm="1">
        <f t="array" ref="V27">INT(SUMPRODUCT(--ISNUMBER(SEARCH(abortion,C27)))&gt;0)</f>
        <v>0</v>
      </c>
      <c r="W27" s="14" cm="1">
        <f t="array" ref="W27">INT(SUMPRODUCT(--ISNUMBER(SEARCH(trump,C27)))&gt;0)</f>
        <v>0</v>
      </c>
      <c r="X27" s="14" cm="1">
        <f t="array" ref="X27">INT(SUMPRODUCT(--ISNUMBER(SEARCH(voting,C27)))&gt;0)</f>
        <v>1</v>
      </c>
      <c r="Y27" s="14" cm="1">
        <f t="array" ref="Y27">INT(SUMPRODUCT(--ISNUMBER(SEARCH(democrattrigger,C27)))&gt;0)</f>
        <v>0</v>
      </c>
      <c r="Z27" s="14" cm="1">
        <f t="array" ref="Z27">INT(SUMPRODUCT(--ISNUMBER(SEARCH(bipartisan,C27)))&gt;0)</f>
        <v>0</v>
      </c>
      <c r="AA27" s="14">
        <f t="shared" si="0"/>
        <v>0</v>
      </c>
      <c r="AB27" s="14"/>
      <c r="AC27" s="30" t="s">
        <v>223</v>
      </c>
      <c r="AD27" s="37" t="s">
        <v>223</v>
      </c>
    </row>
    <row r="28" spans="1:30" x14ac:dyDescent="0.25">
      <c r="A28" s="36">
        <v>1491</v>
      </c>
      <c r="B28" s="14" t="s">
        <v>3009</v>
      </c>
      <c r="C28" s="14" t="s">
        <v>3010</v>
      </c>
      <c r="D28" s="17">
        <v>44137</v>
      </c>
      <c r="E28" s="14" t="s">
        <v>30</v>
      </c>
      <c r="F28" s="14">
        <v>1535</v>
      </c>
      <c r="G28" s="14">
        <v>419</v>
      </c>
      <c r="H28" s="14">
        <v>8</v>
      </c>
      <c r="I28" s="14">
        <v>4</v>
      </c>
      <c r="J28" s="14" t="s">
        <v>204</v>
      </c>
      <c r="K28" s="14" cm="1">
        <f t="array" ref="K28">INT(SUMPRODUCT(--ISNUMBER(SEARCH(economy,C28)))&gt;0)</f>
        <v>0</v>
      </c>
      <c r="L28" s="14" cm="1">
        <f t="array" ref="L28">INT(SUMPRODUCT(--ISNUMBER(SEARCH(healthcare,C28)))&gt;0)</f>
        <v>1</v>
      </c>
      <c r="M28" s="14" cm="1">
        <f t="array" ref="M28">INT(SUMPRODUCT(--ISNUMBER(SEARCH(supreme,C28)))&gt;0)</f>
        <v>0</v>
      </c>
      <c r="N28" s="14" cm="1">
        <f t="array" ref="N28">INT(SUMPRODUCT(--ISNUMBER(SEARCH(covid,C28)))&gt;0)</f>
        <v>0</v>
      </c>
      <c r="O28" s="14" cm="1">
        <f t="array" ref="O28">INT(SUMPRODUCT(--ISNUMBER(SEARCH(violent,C28)))&gt;0)</f>
        <v>0</v>
      </c>
      <c r="P28" s="14" cm="1">
        <f t="array" ref="P28">INT(SUMPRODUCT(--ISNUMBER(SEARCH(foreign,C28)))&gt;0)</f>
        <v>0</v>
      </c>
      <c r="Q28" s="14" cm="1">
        <f t="array" ref="Q28">INT(SUMPRODUCT(--ISNUMBER(SEARCH(gun,C28)))&gt;0)</f>
        <v>0</v>
      </c>
      <c r="R28" s="14" cm="1">
        <f t="array" ref="R28">INT(SUMPRODUCT(--ISNUMBER(SEARCH(race,C28)))&gt;0)</f>
        <v>0</v>
      </c>
      <c r="S28" s="14" cm="1">
        <f t="array" ref="S28">INT(SUMPRODUCT(--ISNUMBER(SEARCH(immigration,C28)))&gt;0)</f>
        <v>0</v>
      </c>
      <c r="T28" s="14" cm="1">
        <f t="array" ref="T28">INT(SUMPRODUCT(--ISNUMBER(SEARCH(econineq,C29)))&gt;0)</f>
        <v>0</v>
      </c>
      <c r="U28" s="14" cm="1">
        <f t="array" ref="U28">INT(SUMPRODUCT(--ISNUMBER(SEARCH(climate,C28)))&gt;0)</f>
        <v>1</v>
      </c>
      <c r="V28" s="14" cm="1">
        <f t="array" ref="V28">INT(SUMPRODUCT(--ISNUMBER(SEARCH(abortion,C28)))&gt;0)</f>
        <v>0</v>
      </c>
      <c r="W28" s="14" cm="1">
        <f t="array" ref="W28">INT(SUMPRODUCT(--ISNUMBER(SEARCH(trump,C28)))&gt;0)</f>
        <v>0</v>
      </c>
      <c r="X28" s="14" cm="1">
        <f t="array" ref="X28">INT(SUMPRODUCT(--ISNUMBER(SEARCH(voting,C28)))&gt;0)</f>
        <v>1</v>
      </c>
      <c r="Y28" s="14" cm="1">
        <f t="array" ref="Y28">INT(SUMPRODUCT(--ISNUMBER(SEARCH(democrattrigger,C28)))&gt;0)</f>
        <v>0</v>
      </c>
      <c r="Z28" s="14" cm="1">
        <f t="array" ref="Z28">INT(SUMPRODUCT(--ISNUMBER(SEARCH(bipartisan,C28)))&gt;0)</f>
        <v>0</v>
      </c>
      <c r="AA28" s="14">
        <f t="shared" si="0"/>
        <v>0</v>
      </c>
      <c r="AB28" s="14"/>
      <c r="AC28" s="30">
        <v>1</v>
      </c>
      <c r="AD28" s="37">
        <v>0</v>
      </c>
    </row>
    <row r="29" spans="1:30" x14ac:dyDescent="0.25">
      <c r="A29" s="36">
        <v>1492</v>
      </c>
      <c r="B29" s="14" t="s">
        <v>3011</v>
      </c>
      <c r="C29" s="14" t="s">
        <v>3012</v>
      </c>
      <c r="D29" s="17">
        <v>44137</v>
      </c>
      <c r="E29" s="14" t="s">
        <v>30</v>
      </c>
      <c r="F29" s="14">
        <v>1176</v>
      </c>
      <c r="G29" s="14">
        <v>320</v>
      </c>
      <c r="H29" s="14">
        <v>8</v>
      </c>
      <c r="I29" s="14">
        <v>4</v>
      </c>
      <c r="J29" s="14" t="s">
        <v>204</v>
      </c>
      <c r="K29" s="14" cm="1">
        <f t="array" ref="K29">INT(SUMPRODUCT(--ISNUMBER(SEARCH(economy,C29)))&gt;0)</f>
        <v>0</v>
      </c>
      <c r="L29" s="14" cm="1">
        <f t="array" ref="L29">INT(SUMPRODUCT(--ISNUMBER(SEARCH(healthcare,C29)))&gt;0)</f>
        <v>0</v>
      </c>
      <c r="M29" s="14" cm="1">
        <f t="array" ref="M29">INT(SUMPRODUCT(--ISNUMBER(SEARCH(supreme,C29)))&gt;0)</f>
        <v>0</v>
      </c>
      <c r="N29" s="14" cm="1">
        <f t="array" ref="N29">INT(SUMPRODUCT(--ISNUMBER(SEARCH(covid,C29)))&gt;0)</f>
        <v>0</v>
      </c>
      <c r="O29" s="14" cm="1">
        <f t="array" ref="O29">INT(SUMPRODUCT(--ISNUMBER(SEARCH(violent,C29)))&gt;0)</f>
        <v>0</v>
      </c>
      <c r="P29" s="14" cm="1">
        <f t="array" ref="P29">INT(SUMPRODUCT(--ISNUMBER(SEARCH(foreign,C29)))&gt;0)</f>
        <v>0</v>
      </c>
      <c r="Q29" s="14" cm="1">
        <f t="array" ref="Q29">INT(SUMPRODUCT(--ISNUMBER(SEARCH(gun,C29)))&gt;0)</f>
        <v>0</v>
      </c>
      <c r="R29" s="14" cm="1">
        <f t="array" ref="R29">INT(SUMPRODUCT(--ISNUMBER(SEARCH(race,C29)))&gt;0)</f>
        <v>0</v>
      </c>
      <c r="S29" s="14" cm="1">
        <f t="array" ref="S29">INT(SUMPRODUCT(--ISNUMBER(SEARCH(immigration,C29)))&gt;0)</f>
        <v>0</v>
      </c>
      <c r="T29" s="14" cm="1">
        <f t="array" ref="T29">INT(SUMPRODUCT(--ISNUMBER(SEARCH(econineq,C30)))&gt;0)</f>
        <v>0</v>
      </c>
      <c r="U29" s="14" cm="1">
        <f t="array" ref="U29">INT(SUMPRODUCT(--ISNUMBER(SEARCH(climate,C29)))&gt;0)</f>
        <v>0</v>
      </c>
      <c r="V29" s="14" cm="1">
        <f t="array" ref="V29">INT(SUMPRODUCT(--ISNUMBER(SEARCH(abortion,C29)))&gt;0)</f>
        <v>0</v>
      </c>
      <c r="W29" s="14" cm="1">
        <f t="array" ref="W29">INT(SUMPRODUCT(--ISNUMBER(SEARCH(trump,C29)))&gt;0)</f>
        <v>1</v>
      </c>
      <c r="X29" s="14" cm="1">
        <f t="array" ref="X29">INT(SUMPRODUCT(--ISNUMBER(SEARCH(voting,C29)))&gt;0)</f>
        <v>1</v>
      </c>
      <c r="Y29" s="14" cm="1">
        <f t="array" ref="Y29">INT(SUMPRODUCT(--ISNUMBER(SEARCH(democrattrigger,C29)))&gt;0)</f>
        <v>1</v>
      </c>
      <c r="Z29" s="14" cm="1">
        <f t="array" ref="Z29">INT(SUMPRODUCT(--ISNUMBER(SEARCH(bipartisan,C29)))&gt;0)</f>
        <v>0</v>
      </c>
      <c r="AA29" s="14">
        <f t="shared" si="0"/>
        <v>0</v>
      </c>
      <c r="AB29" s="14"/>
      <c r="AC29" s="30" t="s">
        <v>223</v>
      </c>
      <c r="AD29" s="37" t="s">
        <v>223</v>
      </c>
    </row>
    <row r="30" spans="1:30" x14ac:dyDescent="0.25">
      <c r="A30" s="36">
        <v>1493</v>
      </c>
      <c r="B30" s="14" t="s">
        <v>3013</v>
      </c>
      <c r="C30" s="14" t="s">
        <v>3014</v>
      </c>
      <c r="D30" s="17">
        <v>44137</v>
      </c>
      <c r="E30" s="14" t="s">
        <v>30</v>
      </c>
      <c r="F30" s="14">
        <v>434</v>
      </c>
      <c r="G30" s="14">
        <v>87</v>
      </c>
      <c r="H30" s="14">
        <v>8</v>
      </c>
      <c r="I30" s="14">
        <v>4</v>
      </c>
      <c r="J30" s="14" t="s">
        <v>204</v>
      </c>
      <c r="K30" s="14" cm="1">
        <f t="array" ref="K30">INT(SUMPRODUCT(--ISNUMBER(SEARCH(economy,C30)))&gt;0)</f>
        <v>0</v>
      </c>
      <c r="L30" s="14" cm="1">
        <f t="array" ref="L30">INT(SUMPRODUCT(--ISNUMBER(SEARCH(healthcare,C30)))&gt;0)</f>
        <v>1</v>
      </c>
      <c r="M30" s="14" cm="1">
        <f t="array" ref="M30">INT(SUMPRODUCT(--ISNUMBER(SEARCH(supreme,C30)))&gt;0)</f>
        <v>0</v>
      </c>
      <c r="N30" s="14" cm="1">
        <f t="array" ref="N30">INT(SUMPRODUCT(--ISNUMBER(SEARCH(covid,C30)))&gt;0)</f>
        <v>0</v>
      </c>
      <c r="O30" s="14" cm="1">
        <f t="array" ref="O30">INT(SUMPRODUCT(--ISNUMBER(SEARCH(violent,C30)))&gt;0)</f>
        <v>0</v>
      </c>
      <c r="P30" s="14" cm="1">
        <f t="array" ref="P30">INT(SUMPRODUCT(--ISNUMBER(SEARCH(foreign,C30)))&gt;0)</f>
        <v>0</v>
      </c>
      <c r="Q30" s="14" cm="1">
        <f t="array" ref="Q30">INT(SUMPRODUCT(--ISNUMBER(SEARCH(gun,C30)))&gt;0)</f>
        <v>0</v>
      </c>
      <c r="R30" s="14" cm="1">
        <f t="array" ref="R30">INT(SUMPRODUCT(--ISNUMBER(SEARCH(race,C30)))&gt;0)</f>
        <v>0</v>
      </c>
      <c r="S30" s="14" cm="1">
        <f t="array" ref="S30">INT(SUMPRODUCT(--ISNUMBER(SEARCH(immigration,C30)))&gt;0)</f>
        <v>0</v>
      </c>
      <c r="T30" s="14" cm="1">
        <f t="array" ref="T30">INT(SUMPRODUCT(--ISNUMBER(SEARCH(econineq,C31)))&gt;0)</f>
        <v>0</v>
      </c>
      <c r="U30" s="14" cm="1">
        <f t="array" ref="U30">INT(SUMPRODUCT(--ISNUMBER(SEARCH(climate,C30)))&gt;0)</f>
        <v>0</v>
      </c>
      <c r="V30" s="14" cm="1">
        <f t="array" ref="V30">INT(SUMPRODUCT(--ISNUMBER(SEARCH(abortion,C30)))&gt;0)</f>
        <v>0</v>
      </c>
      <c r="W30" s="14" cm="1">
        <f t="array" ref="W30">INT(SUMPRODUCT(--ISNUMBER(SEARCH(trump,C30)))&gt;0)</f>
        <v>0</v>
      </c>
      <c r="X30" s="14" cm="1">
        <f t="array" ref="X30">INT(SUMPRODUCT(--ISNUMBER(SEARCH(voting,C30)))&gt;0)</f>
        <v>1</v>
      </c>
      <c r="Y30" s="14" cm="1">
        <f t="array" ref="Y30">INT(SUMPRODUCT(--ISNUMBER(SEARCH(democrattrigger,C30)))&gt;0)</f>
        <v>0</v>
      </c>
      <c r="Z30" s="14" cm="1">
        <f t="array" ref="Z30">INT(SUMPRODUCT(--ISNUMBER(SEARCH(bipartisan,C30)))&gt;0)</f>
        <v>0</v>
      </c>
      <c r="AA30" s="14">
        <f t="shared" si="0"/>
        <v>0</v>
      </c>
      <c r="AB30" s="14"/>
      <c r="AC30" s="30">
        <v>1</v>
      </c>
      <c r="AD30" s="37">
        <v>0</v>
      </c>
    </row>
    <row r="31" spans="1:30" x14ac:dyDescent="0.25">
      <c r="A31" s="36">
        <v>1494</v>
      </c>
      <c r="B31" s="14" t="s">
        <v>3015</v>
      </c>
      <c r="C31" s="14" t="s">
        <v>3016</v>
      </c>
      <c r="D31" s="17">
        <v>44137</v>
      </c>
      <c r="E31" s="14" t="s">
        <v>30</v>
      </c>
      <c r="F31" s="14">
        <v>443</v>
      </c>
      <c r="G31" s="14">
        <v>139</v>
      </c>
      <c r="H31" s="14">
        <v>8</v>
      </c>
      <c r="I31" s="14">
        <v>4</v>
      </c>
      <c r="J31" s="14" t="s">
        <v>204</v>
      </c>
      <c r="K31" s="14" cm="1">
        <f t="array" ref="K31">INT(SUMPRODUCT(--ISNUMBER(SEARCH(economy,C31)))&gt;0)</f>
        <v>0</v>
      </c>
      <c r="L31" s="14" cm="1">
        <f t="array" ref="L31">INT(SUMPRODUCT(--ISNUMBER(SEARCH(healthcare,C31)))&gt;0)</f>
        <v>0</v>
      </c>
      <c r="M31" s="14" cm="1">
        <f t="array" ref="M31">INT(SUMPRODUCT(--ISNUMBER(SEARCH(supreme,C31)))&gt;0)</f>
        <v>0</v>
      </c>
      <c r="N31" s="14" cm="1">
        <f t="array" ref="N31">INT(SUMPRODUCT(--ISNUMBER(SEARCH(covid,C31)))&gt;0)</f>
        <v>0</v>
      </c>
      <c r="O31" s="14" cm="1">
        <f t="array" ref="O31">INT(SUMPRODUCT(--ISNUMBER(SEARCH(violent,C31)))&gt;0)</f>
        <v>0</v>
      </c>
      <c r="P31" s="14" cm="1">
        <f t="array" ref="P31">INT(SUMPRODUCT(--ISNUMBER(SEARCH(foreign,C31)))&gt;0)</f>
        <v>0</v>
      </c>
      <c r="Q31" s="14" cm="1">
        <f t="array" ref="Q31">INT(SUMPRODUCT(--ISNUMBER(SEARCH(gun,C31)))&gt;0)</f>
        <v>0</v>
      </c>
      <c r="R31" s="14" cm="1">
        <f t="array" ref="R31">INT(SUMPRODUCT(--ISNUMBER(SEARCH(race,C31)))&gt;0)</f>
        <v>0</v>
      </c>
      <c r="S31" s="14" cm="1">
        <f t="array" ref="S31">INT(SUMPRODUCT(--ISNUMBER(SEARCH(immigration,C31)))&gt;0)</f>
        <v>0</v>
      </c>
      <c r="T31" s="14" cm="1">
        <f t="array" ref="T31">INT(SUMPRODUCT(--ISNUMBER(SEARCH(econineq,C32)))&gt;0)</f>
        <v>0</v>
      </c>
      <c r="U31" s="14" cm="1">
        <f t="array" ref="U31">INT(SUMPRODUCT(--ISNUMBER(SEARCH(climate,C31)))&gt;0)</f>
        <v>0</v>
      </c>
      <c r="V31" s="14" cm="1">
        <f t="array" ref="V31">INT(SUMPRODUCT(--ISNUMBER(SEARCH(abortion,C31)))&gt;0)</f>
        <v>0</v>
      </c>
      <c r="W31" s="14" cm="1">
        <f t="array" ref="W31">INT(SUMPRODUCT(--ISNUMBER(SEARCH(trump,C31)))&gt;0)</f>
        <v>0</v>
      </c>
      <c r="X31" s="14" cm="1">
        <f t="array" ref="X31">INT(SUMPRODUCT(--ISNUMBER(SEARCH(voting,C31)))&gt;0)</f>
        <v>1</v>
      </c>
      <c r="Y31" s="14" cm="1">
        <f t="array" ref="Y31">INT(SUMPRODUCT(--ISNUMBER(SEARCH(democrattrigger,C31)))&gt;0)</f>
        <v>0</v>
      </c>
      <c r="Z31" s="14" cm="1">
        <f t="array" ref="Z31">INT(SUMPRODUCT(--ISNUMBER(SEARCH(bipartisan,C31)))&gt;0)</f>
        <v>0</v>
      </c>
      <c r="AA31" s="14">
        <f t="shared" si="0"/>
        <v>0</v>
      </c>
      <c r="AB31" s="14"/>
      <c r="AC31" s="30" t="s">
        <v>223</v>
      </c>
      <c r="AD31" s="37" t="s">
        <v>223</v>
      </c>
    </row>
    <row r="32" spans="1:30" x14ac:dyDescent="0.25">
      <c r="A32" s="36">
        <v>1495</v>
      </c>
      <c r="B32" s="14" t="s">
        <v>3017</v>
      </c>
      <c r="C32" s="14" t="s">
        <v>3018</v>
      </c>
      <c r="D32" s="17">
        <v>44137</v>
      </c>
      <c r="E32" s="14" t="s">
        <v>30</v>
      </c>
      <c r="F32" s="14">
        <v>681</v>
      </c>
      <c r="G32" s="14">
        <v>99</v>
      </c>
      <c r="H32" s="14">
        <v>8</v>
      </c>
      <c r="I32" s="14">
        <v>4</v>
      </c>
      <c r="J32" s="14" t="s">
        <v>204</v>
      </c>
      <c r="K32" s="14" cm="1">
        <f t="array" ref="K32">INT(SUMPRODUCT(--ISNUMBER(SEARCH(economy,C32)))&gt;0)</f>
        <v>0</v>
      </c>
      <c r="L32" s="14" cm="1">
        <f t="array" ref="L32">INT(SUMPRODUCT(--ISNUMBER(SEARCH(healthcare,C32)))&gt;0)</f>
        <v>0</v>
      </c>
      <c r="M32" s="14" cm="1">
        <f t="array" ref="M32">INT(SUMPRODUCT(--ISNUMBER(SEARCH(supreme,C32)))&gt;0)</f>
        <v>0</v>
      </c>
      <c r="N32" s="14" cm="1">
        <f t="array" ref="N32">INT(SUMPRODUCT(--ISNUMBER(SEARCH(covid,C32)))&gt;0)</f>
        <v>0</v>
      </c>
      <c r="O32" s="14" cm="1">
        <f t="array" ref="O32">INT(SUMPRODUCT(--ISNUMBER(SEARCH(violent,C32)))&gt;0)</f>
        <v>0</v>
      </c>
      <c r="P32" s="14" cm="1">
        <f t="array" ref="P32">INT(SUMPRODUCT(--ISNUMBER(SEARCH(foreign,C32)))&gt;0)</f>
        <v>0</v>
      </c>
      <c r="Q32" s="14" cm="1">
        <f t="array" ref="Q32">INT(SUMPRODUCT(--ISNUMBER(SEARCH(gun,C32)))&gt;0)</f>
        <v>0</v>
      </c>
      <c r="R32" s="14" cm="1">
        <f t="array" ref="R32">INT(SUMPRODUCT(--ISNUMBER(SEARCH(race,C32)))&gt;0)</f>
        <v>0</v>
      </c>
      <c r="S32" s="14" cm="1">
        <f t="array" ref="S32">INT(SUMPRODUCT(--ISNUMBER(SEARCH(immigration,C32)))&gt;0)</f>
        <v>0</v>
      </c>
      <c r="T32" s="14" cm="1">
        <f t="array" ref="T32">INT(SUMPRODUCT(--ISNUMBER(SEARCH(econineq,C33)))&gt;0)</f>
        <v>0</v>
      </c>
      <c r="U32" s="14" cm="1">
        <f t="array" ref="U32">INT(SUMPRODUCT(--ISNUMBER(SEARCH(climate,C32)))&gt;0)</f>
        <v>0</v>
      </c>
      <c r="V32" s="14" cm="1">
        <f t="array" ref="V32">INT(SUMPRODUCT(--ISNUMBER(SEARCH(abortion,C32)))&gt;0)</f>
        <v>0</v>
      </c>
      <c r="W32" s="14" cm="1">
        <f t="array" ref="W32">INT(SUMPRODUCT(--ISNUMBER(SEARCH(trump,C32)))&gt;0)</f>
        <v>0</v>
      </c>
      <c r="X32" s="14" cm="1">
        <f t="array" ref="X32">INT(SUMPRODUCT(--ISNUMBER(SEARCH(voting,C32)))&gt;0)</f>
        <v>0</v>
      </c>
      <c r="Y32" s="14" cm="1">
        <f t="array" ref="Y32">INT(SUMPRODUCT(--ISNUMBER(SEARCH(democrattrigger,C32)))&gt;0)</f>
        <v>0</v>
      </c>
      <c r="Z32" s="14" cm="1">
        <f t="array" ref="Z32">INT(SUMPRODUCT(--ISNUMBER(SEARCH(bipartisan,C32)))&gt;0)</f>
        <v>0</v>
      </c>
      <c r="AA32" s="14">
        <f t="shared" si="0"/>
        <v>1</v>
      </c>
      <c r="AB32" s="14"/>
      <c r="AC32" s="30">
        <v>1</v>
      </c>
      <c r="AD32" s="37">
        <v>0</v>
      </c>
    </row>
    <row r="33" spans="1:30" x14ac:dyDescent="0.25">
      <c r="A33" s="36">
        <v>1496</v>
      </c>
      <c r="B33" s="14" t="s">
        <v>3019</v>
      </c>
      <c r="C33" s="14" t="s">
        <v>3020</v>
      </c>
      <c r="D33" s="17">
        <v>44137</v>
      </c>
      <c r="E33" s="14" t="s">
        <v>30</v>
      </c>
      <c r="F33" s="14">
        <v>594</v>
      </c>
      <c r="G33" s="14">
        <v>209</v>
      </c>
      <c r="H33" s="14">
        <v>8</v>
      </c>
      <c r="I33" s="14">
        <v>4</v>
      </c>
      <c r="J33" s="14" t="s">
        <v>204</v>
      </c>
      <c r="K33" s="14" cm="1">
        <f t="array" ref="K33">INT(SUMPRODUCT(--ISNUMBER(SEARCH(economy,C33)))&gt;0)</f>
        <v>1</v>
      </c>
      <c r="L33" s="14" cm="1">
        <f t="array" ref="L33">INT(SUMPRODUCT(--ISNUMBER(SEARCH(healthcare,C33)))&gt;0)</f>
        <v>0</v>
      </c>
      <c r="M33" s="14" cm="1">
        <f t="array" ref="M33">INT(SUMPRODUCT(--ISNUMBER(SEARCH(supreme,C33)))&gt;0)</f>
        <v>0</v>
      </c>
      <c r="N33" s="14" cm="1">
        <f t="array" ref="N33">INT(SUMPRODUCT(--ISNUMBER(SEARCH(covid,C33)))&gt;0)</f>
        <v>0</v>
      </c>
      <c r="O33" s="14" cm="1">
        <f t="array" ref="O33">INT(SUMPRODUCT(--ISNUMBER(SEARCH(violent,C33)))&gt;0)</f>
        <v>0</v>
      </c>
      <c r="P33" s="14" cm="1">
        <f t="array" ref="P33">INT(SUMPRODUCT(--ISNUMBER(SEARCH(foreign,C33)))&gt;0)</f>
        <v>0</v>
      </c>
      <c r="Q33" s="14" cm="1">
        <f t="array" ref="Q33">INT(SUMPRODUCT(--ISNUMBER(SEARCH(gun,C33)))&gt;0)</f>
        <v>0</v>
      </c>
      <c r="R33" s="14" cm="1">
        <f t="array" ref="R33">INT(SUMPRODUCT(--ISNUMBER(SEARCH(race,C33)))&gt;0)</f>
        <v>0</v>
      </c>
      <c r="S33" s="14" cm="1">
        <f t="array" ref="S33">INT(SUMPRODUCT(--ISNUMBER(SEARCH(immigration,C33)))&gt;0)</f>
        <v>0</v>
      </c>
      <c r="T33" s="14" cm="1">
        <f t="array" ref="T33">INT(SUMPRODUCT(--ISNUMBER(SEARCH(econineq,C34)))&gt;0)</f>
        <v>0</v>
      </c>
      <c r="U33" s="14" cm="1">
        <f t="array" ref="U33">INT(SUMPRODUCT(--ISNUMBER(SEARCH(climate,C33)))&gt;0)</f>
        <v>0</v>
      </c>
      <c r="V33" s="14" cm="1">
        <f t="array" ref="V33">INT(SUMPRODUCT(--ISNUMBER(SEARCH(abortion,C33)))&gt;0)</f>
        <v>0</v>
      </c>
      <c r="W33" s="14" cm="1">
        <f t="array" ref="W33">INT(SUMPRODUCT(--ISNUMBER(SEARCH(trump,C33)))&gt;0)</f>
        <v>0</v>
      </c>
      <c r="X33" s="14" cm="1">
        <f t="array" ref="X33">INT(SUMPRODUCT(--ISNUMBER(SEARCH(voting,C33)))&gt;0)</f>
        <v>0</v>
      </c>
      <c r="Y33" s="14" cm="1">
        <f t="array" ref="Y33">INT(SUMPRODUCT(--ISNUMBER(SEARCH(democrattrigger,C33)))&gt;0)</f>
        <v>1</v>
      </c>
      <c r="Z33" s="14" cm="1">
        <f t="array" ref="Z33">INT(SUMPRODUCT(--ISNUMBER(SEARCH(bipartisan,C33)))&gt;0)</f>
        <v>0</v>
      </c>
      <c r="AA33" s="14">
        <f t="shared" si="0"/>
        <v>0</v>
      </c>
      <c r="AB33" s="14"/>
      <c r="AC33" s="30">
        <v>0</v>
      </c>
      <c r="AD33" s="37">
        <v>1</v>
      </c>
    </row>
    <row r="34" spans="1:30" x14ac:dyDescent="0.25">
      <c r="A34" s="36">
        <v>1497</v>
      </c>
      <c r="B34" s="14" t="s">
        <v>3021</v>
      </c>
      <c r="C34" s="14" t="s">
        <v>3022</v>
      </c>
      <c r="D34" s="17">
        <v>44137</v>
      </c>
      <c r="E34" s="14" t="s">
        <v>30</v>
      </c>
      <c r="F34" s="14">
        <v>718</v>
      </c>
      <c r="G34" s="14">
        <v>151</v>
      </c>
      <c r="H34" s="14">
        <v>8</v>
      </c>
      <c r="I34" s="14">
        <v>4</v>
      </c>
      <c r="J34" s="14" t="s">
        <v>204</v>
      </c>
      <c r="K34" s="14" cm="1">
        <f t="array" ref="K34">INT(SUMPRODUCT(--ISNUMBER(SEARCH(economy,C34)))&gt;0)</f>
        <v>1</v>
      </c>
      <c r="L34" s="14" cm="1">
        <f t="array" ref="L34">INT(SUMPRODUCT(--ISNUMBER(SEARCH(healthcare,C34)))&gt;0)</f>
        <v>0</v>
      </c>
      <c r="M34" s="14" cm="1">
        <f t="array" ref="M34">INT(SUMPRODUCT(--ISNUMBER(SEARCH(supreme,C34)))&gt;0)</f>
        <v>0</v>
      </c>
      <c r="N34" s="14" cm="1">
        <f t="array" ref="N34">INT(SUMPRODUCT(--ISNUMBER(SEARCH(covid,C34)))&gt;0)</f>
        <v>0</v>
      </c>
      <c r="O34" s="14" cm="1">
        <f t="array" ref="O34">INT(SUMPRODUCT(--ISNUMBER(SEARCH(violent,C34)))&gt;0)</f>
        <v>0</v>
      </c>
      <c r="P34" s="14" cm="1">
        <f t="array" ref="P34">INT(SUMPRODUCT(--ISNUMBER(SEARCH(foreign,C34)))&gt;0)</f>
        <v>0</v>
      </c>
      <c r="Q34" s="14" cm="1">
        <f t="array" ref="Q34">INT(SUMPRODUCT(--ISNUMBER(SEARCH(gun,C34)))&gt;0)</f>
        <v>0</v>
      </c>
      <c r="R34" s="14" cm="1">
        <f t="array" ref="R34">INT(SUMPRODUCT(--ISNUMBER(SEARCH(race,C34)))&gt;0)</f>
        <v>0</v>
      </c>
      <c r="S34" s="14" cm="1">
        <f t="array" ref="S34">INT(SUMPRODUCT(--ISNUMBER(SEARCH(immigration,C34)))&gt;0)</f>
        <v>0</v>
      </c>
      <c r="T34" s="14" cm="1">
        <f t="array" ref="T34">INT(SUMPRODUCT(--ISNUMBER(SEARCH(econineq,C35)))&gt;0)</f>
        <v>0</v>
      </c>
      <c r="U34" s="14" cm="1">
        <f t="array" ref="U34">INT(SUMPRODUCT(--ISNUMBER(SEARCH(climate,C34)))&gt;0)</f>
        <v>0</v>
      </c>
      <c r="V34" s="14" cm="1">
        <f t="array" ref="V34">INT(SUMPRODUCT(--ISNUMBER(SEARCH(abortion,C34)))&gt;0)</f>
        <v>0</v>
      </c>
      <c r="W34" s="14" cm="1">
        <f t="array" ref="W34">INT(SUMPRODUCT(--ISNUMBER(SEARCH(trump,C34)))&gt;0)</f>
        <v>0</v>
      </c>
      <c r="X34" s="14" cm="1">
        <f t="array" ref="X34">INT(SUMPRODUCT(--ISNUMBER(SEARCH(voting,C34)))&gt;0)</f>
        <v>0</v>
      </c>
      <c r="Y34" s="14" cm="1">
        <f t="array" ref="Y34">INT(SUMPRODUCT(--ISNUMBER(SEARCH(democrattrigger,C34)))&gt;0)</f>
        <v>0</v>
      </c>
      <c r="Z34" s="14" cm="1">
        <f t="array" ref="Z34">INT(SUMPRODUCT(--ISNUMBER(SEARCH(bipartisan,C34)))&gt;0)</f>
        <v>0</v>
      </c>
      <c r="AA34" s="14">
        <f t="shared" si="0"/>
        <v>0</v>
      </c>
      <c r="AB34" s="14"/>
      <c r="AC34" s="30">
        <v>1</v>
      </c>
      <c r="AD34" s="37">
        <v>0</v>
      </c>
    </row>
    <row r="35" spans="1:30" x14ac:dyDescent="0.25">
      <c r="A35" s="36">
        <v>1498</v>
      </c>
      <c r="B35" s="14" t="s">
        <v>3023</v>
      </c>
      <c r="C35" s="14" t="s">
        <v>3024</v>
      </c>
      <c r="D35" s="17">
        <v>44137</v>
      </c>
      <c r="E35" s="14" t="s">
        <v>30</v>
      </c>
      <c r="F35" s="14">
        <v>904</v>
      </c>
      <c r="G35" s="14">
        <v>204</v>
      </c>
      <c r="H35" s="14">
        <v>8</v>
      </c>
      <c r="I35" s="14">
        <v>4</v>
      </c>
      <c r="J35" s="14" t="s">
        <v>204</v>
      </c>
      <c r="K35" s="14" cm="1">
        <f t="array" ref="K35">INT(SUMPRODUCT(--ISNUMBER(SEARCH(economy,C35)))&gt;0)</f>
        <v>0</v>
      </c>
      <c r="L35" s="14" cm="1">
        <f t="array" ref="L35">INT(SUMPRODUCT(--ISNUMBER(SEARCH(healthcare,C35)))&gt;0)</f>
        <v>0</v>
      </c>
      <c r="M35" s="14" cm="1">
        <f t="array" ref="M35">INT(SUMPRODUCT(--ISNUMBER(SEARCH(supreme,C35)))&gt;0)</f>
        <v>0</v>
      </c>
      <c r="N35" s="14" cm="1">
        <f t="array" ref="N35">INT(SUMPRODUCT(--ISNUMBER(SEARCH(covid,C35)))&gt;0)</f>
        <v>0</v>
      </c>
      <c r="O35" s="14" cm="1">
        <f t="array" ref="O35">INT(SUMPRODUCT(--ISNUMBER(SEARCH(violent,C35)))&gt;0)</f>
        <v>0</v>
      </c>
      <c r="P35" s="14" cm="1">
        <f t="array" ref="P35">INT(SUMPRODUCT(--ISNUMBER(SEARCH(foreign,C35)))&gt;0)</f>
        <v>0</v>
      </c>
      <c r="Q35" s="14" cm="1">
        <f t="array" ref="Q35">INT(SUMPRODUCT(--ISNUMBER(SEARCH(gun,C35)))&gt;0)</f>
        <v>0</v>
      </c>
      <c r="R35" s="14" cm="1">
        <f t="array" ref="R35">INT(SUMPRODUCT(--ISNUMBER(SEARCH(race,C35)))&gt;0)</f>
        <v>0</v>
      </c>
      <c r="S35" s="14" cm="1">
        <f t="array" ref="S35">INT(SUMPRODUCT(--ISNUMBER(SEARCH(immigration,C35)))&gt;0)</f>
        <v>0</v>
      </c>
      <c r="T35" s="14" cm="1">
        <f t="array" ref="T35">INT(SUMPRODUCT(--ISNUMBER(SEARCH(econineq,C36)))&gt;0)</f>
        <v>0</v>
      </c>
      <c r="U35" s="14" cm="1">
        <f t="array" ref="U35">INT(SUMPRODUCT(--ISNUMBER(SEARCH(climate,C35)))&gt;0)</f>
        <v>0</v>
      </c>
      <c r="V35" s="14" cm="1">
        <f t="array" ref="V35">INT(SUMPRODUCT(--ISNUMBER(SEARCH(abortion,C35)))&gt;0)</f>
        <v>0</v>
      </c>
      <c r="W35" s="14" cm="1">
        <f t="array" ref="W35">INT(SUMPRODUCT(--ISNUMBER(SEARCH(trump,C35)))&gt;0)</f>
        <v>0</v>
      </c>
      <c r="X35" s="14" cm="1">
        <f t="array" ref="X35">INT(SUMPRODUCT(--ISNUMBER(SEARCH(voting,C35)))&gt;0)</f>
        <v>0</v>
      </c>
      <c r="Y35" s="14" cm="1">
        <f t="array" ref="Y35">INT(SUMPRODUCT(--ISNUMBER(SEARCH(democrattrigger,C35)))&gt;0)</f>
        <v>0</v>
      </c>
      <c r="Z35" s="14" cm="1">
        <f t="array" ref="Z35">INT(SUMPRODUCT(--ISNUMBER(SEARCH(bipartisan,C35)))&gt;0)</f>
        <v>0</v>
      </c>
      <c r="AA35" s="14">
        <f t="shared" si="0"/>
        <v>1</v>
      </c>
      <c r="AB35" s="14"/>
      <c r="AC35" s="30">
        <v>1</v>
      </c>
      <c r="AD35" s="37">
        <v>0</v>
      </c>
    </row>
    <row r="36" spans="1:30" x14ac:dyDescent="0.25">
      <c r="A36" s="36">
        <v>1499</v>
      </c>
      <c r="B36" s="14" t="s">
        <v>3025</v>
      </c>
      <c r="C36" s="14" t="s">
        <v>3026</v>
      </c>
      <c r="D36" s="17">
        <v>44137</v>
      </c>
      <c r="E36" s="14" t="s">
        <v>30</v>
      </c>
      <c r="F36" s="14">
        <v>399</v>
      </c>
      <c r="G36" s="14">
        <v>114</v>
      </c>
      <c r="H36" s="14">
        <v>8</v>
      </c>
      <c r="I36" s="14">
        <v>4</v>
      </c>
      <c r="J36" s="14" t="s">
        <v>204</v>
      </c>
      <c r="K36" s="14" cm="1">
        <f t="array" ref="K36">INT(SUMPRODUCT(--ISNUMBER(SEARCH(economy,C36)))&gt;0)</f>
        <v>1</v>
      </c>
      <c r="L36" s="14" cm="1">
        <f t="array" ref="L36">INT(SUMPRODUCT(--ISNUMBER(SEARCH(healthcare,C36)))&gt;0)</f>
        <v>0</v>
      </c>
      <c r="M36" s="14" cm="1">
        <f t="array" ref="M36">INT(SUMPRODUCT(--ISNUMBER(SEARCH(supreme,C36)))&gt;0)</f>
        <v>0</v>
      </c>
      <c r="N36" s="14" cm="1">
        <f t="array" ref="N36">INT(SUMPRODUCT(--ISNUMBER(SEARCH(covid,C36)))&gt;0)</f>
        <v>0</v>
      </c>
      <c r="O36" s="14" cm="1">
        <f t="array" ref="O36">INT(SUMPRODUCT(--ISNUMBER(SEARCH(violent,C36)))&gt;0)</f>
        <v>0</v>
      </c>
      <c r="P36" s="14" cm="1">
        <f t="array" ref="P36">INT(SUMPRODUCT(--ISNUMBER(SEARCH(foreign,C36)))&gt;0)</f>
        <v>0</v>
      </c>
      <c r="Q36" s="14" cm="1">
        <f t="array" ref="Q36">INT(SUMPRODUCT(--ISNUMBER(SEARCH(gun,C36)))&gt;0)</f>
        <v>0</v>
      </c>
      <c r="R36" s="14" cm="1">
        <f t="array" ref="R36">INT(SUMPRODUCT(--ISNUMBER(SEARCH(race,C36)))&gt;0)</f>
        <v>0</v>
      </c>
      <c r="S36" s="14" cm="1">
        <f t="array" ref="S36">INT(SUMPRODUCT(--ISNUMBER(SEARCH(immigration,C36)))&gt;0)</f>
        <v>0</v>
      </c>
      <c r="T36" s="14" cm="1">
        <f t="array" ref="T36">INT(SUMPRODUCT(--ISNUMBER(SEARCH(econineq,C37)))&gt;0)</f>
        <v>0</v>
      </c>
      <c r="U36" s="14" cm="1">
        <f t="array" ref="U36">INT(SUMPRODUCT(--ISNUMBER(SEARCH(climate,C36)))&gt;0)</f>
        <v>0</v>
      </c>
      <c r="V36" s="14" cm="1">
        <f t="array" ref="V36">INT(SUMPRODUCT(--ISNUMBER(SEARCH(abortion,C36)))&gt;0)</f>
        <v>0</v>
      </c>
      <c r="W36" s="14" cm="1">
        <f t="array" ref="W36">INT(SUMPRODUCT(--ISNUMBER(SEARCH(trump,C36)))&gt;0)</f>
        <v>0</v>
      </c>
      <c r="X36" s="14" cm="1">
        <f t="array" ref="X36">INT(SUMPRODUCT(--ISNUMBER(SEARCH(voting,C36)))&gt;0)</f>
        <v>0</v>
      </c>
      <c r="Y36" s="14" cm="1">
        <f t="array" ref="Y36">INT(SUMPRODUCT(--ISNUMBER(SEARCH(democrattrigger,C36)))&gt;0)</f>
        <v>0</v>
      </c>
      <c r="Z36" s="14" cm="1">
        <f t="array" ref="Z36">INT(SUMPRODUCT(--ISNUMBER(SEARCH(bipartisan,C36)))&gt;0)</f>
        <v>0</v>
      </c>
      <c r="AA36" s="14">
        <f t="shared" si="0"/>
        <v>0</v>
      </c>
      <c r="AB36" s="14"/>
      <c r="AC36" s="30">
        <v>1</v>
      </c>
      <c r="AD36" s="37">
        <v>0</v>
      </c>
    </row>
    <row r="37" spans="1:30" x14ac:dyDescent="0.25">
      <c r="A37" s="36">
        <v>1500</v>
      </c>
      <c r="B37" s="14" t="s">
        <v>3027</v>
      </c>
      <c r="C37" s="14" t="s">
        <v>3028</v>
      </c>
      <c r="D37" s="17">
        <v>44137</v>
      </c>
      <c r="E37" s="14" t="s">
        <v>30</v>
      </c>
      <c r="F37" s="14">
        <v>1362</v>
      </c>
      <c r="G37" s="14">
        <v>354</v>
      </c>
      <c r="H37" s="14">
        <v>8</v>
      </c>
      <c r="I37" s="14">
        <v>4</v>
      </c>
      <c r="J37" s="14" t="s">
        <v>204</v>
      </c>
      <c r="K37" s="14" cm="1">
        <f t="array" ref="K37">INT(SUMPRODUCT(--ISNUMBER(SEARCH(economy,C37)))&gt;0)</f>
        <v>0</v>
      </c>
      <c r="L37" s="14" cm="1">
        <f t="array" ref="L37">INT(SUMPRODUCT(--ISNUMBER(SEARCH(healthcare,C37)))&gt;0)</f>
        <v>0</v>
      </c>
      <c r="M37" s="14" cm="1">
        <f t="array" ref="M37">INT(SUMPRODUCT(--ISNUMBER(SEARCH(supreme,C37)))&gt;0)</f>
        <v>0</v>
      </c>
      <c r="N37" s="14" cm="1">
        <f t="array" ref="N37">INT(SUMPRODUCT(--ISNUMBER(SEARCH(covid,C37)))&gt;0)</f>
        <v>0</v>
      </c>
      <c r="O37" s="14" cm="1">
        <f t="array" ref="O37">INT(SUMPRODUCT(--ISNUMBER(SEARCH(violent,C37)))&gt;0)</f>
        <v>0</v>
      </c>
      <c r="P37" s="14" cm="1">
        <f t="array" ref="P37">INT(SUMPRODUCT(--ISNUMBER(SEARCH(foreign,C37)))&gt;0)</f>
        <v>0</v>
      </c>
      <c r="Q37" s="14" cm="1">
        <f t="array" ref="Q37">INT(SUMPRODUCT(--ISNUMBER(SEARCH(gun,C37)))&gt;0)</f>
        <v>0</v>
      </c>
      <c r="R37" s="14" cm="1">
        <f t="array" ref="R37">INT(SUMPRODUCT(--ISNUMBER(SEARCH(race,C37)))&gt;0)</f>
        <v>0</v>
      </c>
      <c r="S37" s="14" cm="1">
        <f t="array" ref="S37">INT(SUMPRODUCT(--ISNUMBER(SEARCH(immigration,C37)))&gt;0)</f>
        <v>0</v>
      </c>
      <c r="T37" s="14" cm="1">
        <f t="array" ref="T37">INT(SUMPRODUCT(--ISNUMBER(SEARCH(econineq,C38)))&gt;0)</f>
        <v>0</v>
      </c>
      <c r="U37" s="14" cm="1">
        <f t="array" ref="U37">INT(SUMPRODUCT(--ISNUMBER(SEARCH(climate,C37)))&gt;0)</f>
        <v>0</v>
      </c>
      <c r="V37" s="14" cm="1">
        <f t="array" ref="V37">INT(SUMPRODUCT(--ISNUMBER(SEARCH(abortion,C37)))&gt;0)</f>
        <v>0</v>
      </c>
      <c r="W37" s="14" cm="1">
        <f t="array" ref="W37">INT(SUMPRODUCT(--ISNUMBER(SEARCH(trump,C37)))&gt;0)</f>
        <v>0</v>
      </c>
      <c r="X37" s="14" cm="1">
        <f t="array" ref="X37">INT(SUMPRODUCT(--ISNUMBER(SEARCH(voting,C37)))&gt;0)</f>
        <v>0</v>
      </c>
      <c r="Y37" s="14" cm="1">
        <f t="array" ref="Y37">INT(SUMPRODUCT(--ISNUMBER(SEARCH(democrattrigger,C37)))&gt;0)</f>
        <v>1</v>
      </c>
      <c r="Z37" s="14" cm="1">
        <f t="array" ref="Z37">INT(SUMPRODUCT(--ISNUMBER(SEARCH(bipartisan,C37)))&gt;0)</f>
        <v>0</v>
      </c>
      <c r="AA37" s="14">
        <f t="shared" si="0"/>
        <v>0</v>
      </c>
      <c r="AB37" s="14"/>
      <c r="AC37" s="30">
        <v>0</v>
      </c>
      <c r="AD37" s="37">
        <v>1</v>
      </c>
    </row>
    <row r="38" spans="1:30" x14ac:dyDescent="0.25">
      <c r="A38" s="36">
        <v>1501</v>
      </c>
      <c r="B38" s="14" t="s">
        <v>3029</v>
      </c>
      <c r="C38" s="14" t="s">
        <v>3030</v>
      </c>
      <c r="D38" s="17">
        <v>44137</v>
      </c>
      <c r="E38" s="14" t="s">
        <v>30</v>
      </c>
      <c r="F38" s="14">
        <v>2684</v>
      </c>
      <c r="G38" s="14">
        <v>435</v>
      </c>
      <c r="H38" s="14">
        <v>8</v>
      </c>
      <c r="I38" s="14">
        <v>4</v>
      </c>
      <c r="J38" s="14" t="s">
        <v>204</v>
      </c>
      <c r="K38" s="14" cm="1">
        <f t="array" ref="K38">INT(SUMPRODUCT(--ISNUMBER(SEARCH(economy,C38)))&gt;0)</f>
        <v>0</v>
      </c>
      <c r="L38" s="14" cm="1">
        <f t="array" ref="L38">INT(SUMPRODUCT(--ISNUMBER(SEARCH(healthcare,C38)))&gt;0)</f>
        <v>0</v>
      </c>
      <c r="M38" s="14" cm="1">
        <f t="array" ref="M38">INT(SUMPRODUCT(--ISNUMBER(SEARCH(supreme,C38)))&gt;0)</f>
        <v>0</v>
      </c>
      <c r="N38" s="14" cm="1">
        <f t="array" ref="N38">INT(SUMPRODUCT(--ISNUMBER(SEARCH(covid,C38)))&gt;0)</f>
        <v>0</v>
      </c>
      <c r="O38" s="14" cm="1">
        <f t="array" ref="O38">INT(SUMPRODUCT(--ISNUMBER(SEARCH(violent,C38)))&gt;0)</f>
        <v>0</v>
      </c>
      <c r="P38" s="14" cm="1">
        <f t="array" ref="P38">INT(SUMPRODUCT(--ISNUMBER(SEARCH(foreign,C38)))&gt;0)</f>
        <v>0</v>
      </c>
      <c r="Q38" s="14" cm="1">
        <f t="array" ref="Q38">INT(SUMPRODUCT(--ISNUMBER(SEARCH(gun,C38)))&gt;0)</f>
        <v>0</v>
      </c>
      <c r="R38" s="14" cm="1">
        <f t="array" ref="R38">INT(SUMPRODUCT(--ISNUMBER(SEARCH(race,C38)))&gt;0)</f>
        <v>0</v>
      </c>
      <c r="S38" s="14" cm="1">
        <f t="array" ref="S38">INT(SUMPRODUCT(--ISNUMBER(SEARCH(immigration,C38)))&gt;0)</f>
        <v>0</v>
      </c>
      <c r="T38" s="14" cm="1">
        <f t="array" ref="T38">INT(SUMPRODUCT(--ISNUMBER(SEARCH(econineq,C39)))&gt;0)</f>
        <v>0</v>
      </c>
      <c r="U38" s="14" cm="1">
        <f t="array" ref="U38">INT(SUMPRODUCT(--ISNUMBER(SEARCH(climate,C38)))&gt;0)</f>
        <v>0</v>
      </c>
      <c r="V38" s="14" cm="1">
        <f t="array" ref="V38">INT(SUMPRODUCT(--ISNUMBER(SEARCH(abortion,C38)))&gt;0)</f>
        <v>0</v>
      </c>
      <c r="W38" s="14" cm="1">
        <f t="array" ref="W38">INT(SUMPRODUCT(--ISNUMBER(SEARCH(trump,C38)))&gt;0)</f>
        <v>0</v>
      </c>
      <c r="X38" s="14" cm="1">
        <f t="array" ref="X38">INT(SUMPRODUCT(--ISNUMBER(SEARCH(voting,C38)))&gt;0)</f>
        <v>1</v>
      </c>
      <c r="Y38" s="14" cm="1">
        <f t="array" ref="Y38">INT(SUMPRODUCT(--ISNUMBER(SEARCH(democrattrigger,C38)))&gt;0)</f>
        <v>0</v>
      </c>
      <c r="Z38" s="14" cm="1">
        <f t="array" ref="Z38">INT(SUMPRODUCT(--ISNUMBER(SEARCH(bipartisan,C38)))&gt;0)</f>
        <v>0</v>
      </c>
      <c r="AA38" s="14">
        <f t="shared" si="0"/>
        <v>0</v>
      </c>
      <c r="AB38" s="14"/>
      <c r="AC38" s="30">
        <v>1</v>
      </c>
      <c r="AD38" s="37">
        <v>0</v>
      </c>
    </row>
    <row r="39" spans="1:30" x14ac:dyDescent="0.25">
      <c r="A39" s="36">
        <v>1502</v>
      </c>
      <c r="B39" s="14" t="s">
        <v>3031</v>
      </c>
      <c r="C39" s="14" t="s">
        <v>3032</v>
      </c>
      <c r="D39" s="17">
        <v>44137</v>
      </c>
      <c r="E39" s="14" t="s">
        <v>30</v>
      </c>
      <c r="F39" s="14">
        <v>418</v>
      </c>
      <c r="G39" s="14">
        <v>68</v>
      </c>
      <c r="H39" s="14">
        <v>8</v>
      </c>
      <c r="I39" s="14">
        <v>4</v>
      </c>
      <c r="J39" s="14" t="s">
        <v>204</v>
      </c>
      <c r="K39" s="14" cm="1">
        <f t="array" ref="K39">INT(SUMPRODUCT(--ISNUMBER(SEARCH(economy,C39)))&gt;0)</f>
        <v>0</v>
      </c>
      <c r="L39" s="14" cm="1">
        <f t="array" ref="L39">INT(SUMPRODUCT(--ISNUMBER(SEARCH(healthcare,C39)))&gt;0)</f>
        <v>0</v>
      </c>
      <c r="M39" s="14" cm="1">
        <f t="array" ref="M39">INT(SUMPRODUCT(--ISNUMBER(SEARCH(supreme,C39)))&gt;0)</f>
        <v>0</v>
      </c>
      <c r="N39" s="14" cm="1">
        <f t="array" ref="N39">INT(SUMPRODUCT(--ISNUMBER(SEARCH(covid,C39)))&gt;0)</f>
        <v>0</v>
      </c>
      <c r="O39" s="14" cm="1">
        <f t="array" ref="O39">INT(SUMPRODUCT(--ISNUMBER(SEARCH(violent,C39)))&gt;0)</f>
        <v>0</v>
      </c>
      <c r="P39" s="14" cm="1">
        <f t="array" ref="P39">INT(SUMPRODUCT(--ISNUMBER(SEARCH(foreign,C39)))&gt;0)</f>
        <v>0</v>
      </c>
      <c r="Q39" s="14" cm="1">
        <f t="array" ref="Q39">INT(SUMPRODUCT(--ISNUMBER(SEARCH(gun,C39)))&gt;0)</f>
        <v>0</v>
      </c>
      <c r="R39" s="14" cm="1">
        <f t="array" ref="R39">INT(SUMPRODUCT(--ISNUMBER(SEARCH(race,C39)))&gt;0)</f>
        <v>0</v>
      </c>
      <c r="S39" s="14" cm="1">
        <f t="array" ref="S39">INT(SUMPRODUCT(--ISNUMBER(SEARCH(immigration,C39)))&gt;0)</f>
        <v>0</v>
      </c>
      <c r="T39" s="14" cm="1">
        <f t="array" ref="T39">INT(SUMPRODUCT(--ISNUMBER(SEARCH(econineq,C40)))&gt;0)</f>
        <v>0</v>
      </c>
      <c r="U39" s="14" cm="1">
        <f t="array" ref="U39">INT(SUMPRODUCT(--ISNUMBER(SEARCH(climate,C39)))&gt;0)</f>
        <v>0</v>
      </c>
      <c r="V39" s="14" cm="1">
        <f t="array" ref="V39">INT(SUMPRODUCT(--ISNUMBER(SEARCH(abortion,C39)))&gt;0)</f>
        <v>0</v>
      </c>
      <c r="W39" s="14" cm="1">
        <f t="array" ref="W39">INT(SUMPRODUCT(--ISNUMBER(SEARCH(trump,C39)))&gt;0)</f>
        <v>0</v>
      </c>
      <c r="X39" s="14" cm="1">
        <f t="array" ref="X39">INT(SUMPRODUCT(--ISNUMBER(SEARCH(voting,C39)))&gt;0)</f>
        <v>1</v>
      </c>
      <c r="Y39" s="14" cm="1">
        <f t="array" ref="Y39">INT(SUMPRODUCT(--ISNUMBER(SEARCH(democrattrigger,C39)))&gt;0)</f>
        <v>0</v>
      </c>
      <c r="Z39" s="14" cm="1">
        <f t="array" ref="Z39">INT(SUMPRODUCT(--ISNUMBER(SEARCH(bipartisan,C39)))&gt;0)</f>
        <v>0</v>
      </c>
      <c r="AA39" s="14">
        <f t="shared" si="0"/>
        <v>0</v>
      </c>
      <c r="AB39" s="14"/>
      <c r="AC39" s="30">
        <v>1</v>
      </c>
      <c r="AD39" s="37">
        <v>0</v>
      </c>
    </row>
    <row r="40" spans="1:30" x14ac:dyDescent="0.25">
      <c r="A40" s="36">
        <v>1503</v>
      </c>
      <c r="B40" s="14" t="s">
        <v>3033</v>
      </c>
      <c r="C40" s="14" t="s">
        <v>3034</v>
      </c>
      <c r="D40" s="17">
        <v>44137</v>
      </c>
      <c r="E40" s="14" t="s">
        <v>30</v>
      </c>
      <c r="F40" s="14">
        <v>1155</v>
      </c>
      <c r="G40" s="14">
        <v>154</v>
      </c>
      <c r="H40" s="14">
        <v>8</v>
      </c>
      <c r="I40" s="14">
        <v>4</v>
      </c>
      <c r="J40" s="14" t="s">
        <v>204</v>
      </c>
      <c r="K40" s="14" cm="1">
        <f t="array" ref="K40">INT(SUMPRODUCT(--ISNUMBER(SEARCH(economy,C40)))&gt;0)</f>
        <v>0</v>
      </c>
      <c r="L40" s="14" cm="1">
        <f t="array" ref="L40">INT(SUMPRODUCT(--ISNUMBER(SEARCH(healthcare,C40)))&gt;0)</f>
        <v>0</v>
      </c>
      <c r="M40" s="14" cm="1">
        <f t="array" ref="M40">INT(SUMPRODUCT(--ISNUMBER(SEARCH(supreme,C40)))&gt;0)</f>
        <v>0</v>
      </c>
      <c r="N40" s="14" cm="1">
        <f t="array" ref="N40">INT(SUMPRODUCT(--ISNUMBER(SEARCH(covid,C40)))&gt;0)</f>
        <v>0</v>
      </c>
      <c r="O40" s="14" cm="1">
        <f t="array" ref="O40">INT(SUMPRODUCT(--ISNUMBER(SEARCH(violent,C40)))&gt;0)</f>
        <v>0</v>
      </c>
      <c r="P40" s="14" cm="1">
        <f t="array" ref="P40">INT(SUMPRODUCT(--ISNUMBER(SEARCH(foreign,C40)))&gt;0)</f>
        <v>0</v>
      </c>
      <c r="Q40" s="14" cm="1">
        <f t="array" ref="Q40">INT(SUMPRODUCT(--ISNUMBER(SEARCH(gun,C40)))&gt;0)</f>
        <v>0</v>
      </c>
      <c r="R40" s="14" cm="1">
        <f t="array" ref="R40">INT(SUMPRODUCT(--ISNUMBER(SEARCH(race,C40)))&gt;0)</f>
        <v>0</v>
      </c>
      <c r="S40" s="14" cm="1">
        <f t="array" ref="S40">INT(SUMPRODUCT(--ISNUMBER(SEARCH(immigration,C40)))&gt;0)</f>
        <v>0</v>
      </c>
      <c r="T40" s="14" cm="1">
        <f t="array" ref="T40">INT(SUMPRODUCT(--ISNUMBER(SEARCH(econineq,C41)))&gt;0)</f>
        <v>0</v>
      </c>
      <c r="U40" s="14" cm="1">
        <f t="array" ref="U40">INT(SUMPRODUCT(--ISNUMBER(SEARCH(climate,C40)))&gt;0)</f>
        <v>0</v>
      </c>
      <c r="V40" s="14" cm="1">
        <f t="array" ref="V40">INT(SUMPRODUCT(--ISNUMBER(SEARCH(abortion,C40)))&gt;0)</f>
        <v>0</v>
      </c>
      <c r="W40" s="14" cm="1">
        <f t="array" ref="W40">INT(SUMPRODUCT(--ISNUMBER(SEARCH(trump,C40)))&gt;0)</f>
        <v>0</v>
      </c>
      <c r="X40" s="14" cm="1">
        <f t="array" ref="X40">INT(SUMPRODUCT(--ISNUMBER(SEARCH(voting,C40)))&gt;0)</f>
        <v>1</v>
      </c>
      <c r="Y40" s="14" cm="1">
        <f t="array" ref="Y40">INT(SUMPRODUCT(--ISNUMBER(SEARCH(democrattrigger,C40)))&gt;0)</f>
        <v>0</v>
      </c>
      <c r="Z40" s="14" cm="1">
        <f t="array" ref="Z40">INT(SUMPRODUCT(--ISNUMBER(SEARCH(bipartisan,C40)))&gt;0)</f>
        <v>0</v>
      </c>
      <c r="AA40" s="14">
        <f t="shared" si="0"/>
        <v>0</v>
      </c>
      <c r="AB40" s="14"/>
      <c r="AC40" s="30">
        <v>1</v>
      </c>
      <c r="AD40" s="37">
        <v>0</v>
      </c>
    </row>
    <row r="41" spans="1:30" x14ac:dyDescent="0.25">
      <c r="A41" s="36">
        <v>1504</v>
      </c>
      <c r="B41" s="14" t="s">
        <v>3035</v>
      </c>
      <c r="C41" s="14" t="s">
        <v>3036</v>
      </c>
      <c r="D41" s="17">
        <v>44137</v>
      </c>
      <c r="E41" s="14" t="s">
        <v>30</v>
      </c>
      <c r="F41" s="14">
        <v>1812</v>
      </c>
      <c r="G41" s="14">
        <v>353</v>
      </c>
      <c r="H41" s="14">
        <v>8</v>
      </c>
      <c r="I41" s="14">
        <v>4</v>
      </c>
      <c r="J41" s="14" t="s">
        <v>204</v>
      </c>
      <c r="K41" s="14" cm="1">
        <f t="array" ref="K41">INT(SUMPRODUCT(--ISNUMBER(SEARCH(economy,C41)))&gt;0)</f>
        <v>0</v>
      </c>
      <c r="L41" s="14" cm="1">
        <f t="array" ref="L41">INT(SUMPRODUCT(--ISNUMBER(SEARCH(healthcare,C41)))&gt;0)</f>
        <v>0</v>
      </c>
      <c r="M41" s="14" cm="1">
        <f t="array" ref="M41">INT(SUMPRODUCT(--ISNUMBER(SEARCH(supreme,C41)))&gt;0)</f>
        <v>0</v>
      </c>
      <c r="N41" s="14" cm="1">
        <f t="array" ref="N41">INT(SUMPRODUCT(--ISNUMBER(SEARCH(covid,C41)))&gt;0)</f>
        <v>0</v>
      </c>
      <c r="O41" s="14" cm="1">
        <f t="array" ref="O41">INT(SUMPRODUCT(--ISNUMBER(SEARCH(violent,C41)))&gt;0)</f>
        <v>0</v>
      </c>
      <c r="P41" s="14" cm="1">
        <f t="array" ref="P41">INT(SUMPRODUCT(--ISNUMBER(SEARCH(foreign,C41)))&gt;0)</f>
        <v>0</v>
      </c>
      <c r="Q41" s="14" cm="1">
        <f t="array" ref="Q41">INT(SUMPRODUCT(--ISNUMBER(SEARCH(gun,C41)))&gt;0)</f>
        <v>0</v>
      </c>
      <c r="R41" s="14" cm="1">
        <f t="array" ref="R41">INT(SUMPRODUCT(--ISNUMBER(SEARCH(race,C41)))&gt;0)</f>
        <v>0</v>
      </c>
      <c r="S41" s="14" cm="1">
        <f t="array" ref="S41">INT(SUMPRODUCT(--ISNUMBER(SEARCH(immigration,C41)))&gt;0)</f>
        <v>0</v>
      </c>
      <c r="T41" s="14" cm="1">
        <f t="array" ref="T41">INT(SUMPRODUCT(--ISNUMBER(SEARCH(econineq,C42)))&gt;0)</f>
        <v>0</v>
      </c>
      <c r="U41" s="14" cm="1">
        <f t="array" ref="U41">INT(SUMPRODUCT(--ISNUMBER(SEARCH(climate,C41)))&gt;0)</f>
        <v>0</v>
      </c>
      <c r="V41" s="14" cm="1">
        <f t="array" ref="V41">INT(SUMPRODUCT(--ISNUMBER(SEARCH(abortion,C41)))&gt;0)</f>
        <v>0</v>
      </c>
      <c r="W41" s="14" cm="1">
        <f t="array" ref="W41">INT(SUMPRODUCT(--ISNUMBER(SEARCH(trump,C41)))&gt;0)</f>
        <v>0</v>
      </c>
      <c r="X41" s="14" cm="1">
        <f t="array" ref="X41">INT(SUMPRODUCT(--ISNUMBER(SEARCH(voting,C41)))&gt;0)</f>
        <v>1</v>
      </c>
      <c r="Y41" s="14" cm="1">
        <f t="array" ref="Y41">INT(SUMPRODUCT(--ISNUMBER(SEARCH(democrattrigger,C41)))&gt;0)</f>
        <v>0</v>
      </c>
      <c r="Z41" s="14" cm="1">
        <f t="array" ref="Z41">INT(SUMPRODUCT(--ISNUMBER(SEARCH(bipartisan,C41)))&gt;0)</f>
        <v>0</v>
      </c>
      <c r="AA41" s="14">
        <f t="shared" si="0"/>
        <v>0</v>
      </c>
      <c r="AB41" s="14"/>
      <c r="AC41" s="30">
        <v>0</v>
      </c>
      <c r="AD41" s="37">
        <v>1</v>
      </c>
    </row>
    <row r="42" spans="1:30" x14ac:dyDescent="0.25">
      <c r="A42" s="36">
        <v>1505</v>
      </c>
      <c r="B42" s="14" t="s">
        <v>3037</v>
      </c>
      <c r="C42" s="14" t="s">
        <v>3038</v>
      </c>
      <c r="D42" s="17">
        <v>44137</v>
      </c>
      <c r="E42" s="14" t="s">
        <v>30</v>
      </c>
      <c r="F42" s="14">
        <v>870</v>
      </c>
      <c r="G42" s="14">
        <v>173</v>
      </c>
      <c r="H42" s="14">
        <v>8</v>
      </c>
      <c r="I42" s="14">
        <v>4</v>
      </c>
      <c r="J42" s="14" t="s">
        <v>204</v>
      </c>
      <c r="K42" s="14" cm="1">
        <f t="array" ref="K42">INT(SUMPRODUCT(--ISNUMBER(SEARCH(economy,C42)))&gt;0)</f>
        <v>1</v>
      </c>
      <c r="L42" s="14" cm="1">
        <f t="array" ref="L42">INT(SUMPRODUCT(--ISNUMBER(SEARCH(healthcare,C42)))&gt;0)</f>
        <v>0</v>
      </c>
      <c r="M42" s="14" cm="1">
        <f t="array" ref="M42">INT(SUMPRODUCT(--ISNUMBER(SEARCH(supreme,C42)))&gt;0)</f>
        <v>0</v>
      </c>
      <c r="N42" s="14" cm="1">
        <f t="array" ref="N42">INT(SUMPRODUCT(--ISNUMBER(SEARCH(covid,C42)))&gt;0)</f>
        <v>0</v>
      </c>
      <c r="O42" s="14" cm="1">
        <f t="array" ref="O42">INT(SUMPRODUCT(--ISNUMBER(SEARCH(violent,C42)))&gt;0)</f>
        <v>0</v>
      </c>
      <c r="P42" s="14" cm="1">
        <f t="array" ref="P42">INT(SUMPRODUCT(--ISNUMBER(SEARCH(foreign,C42)))&gt;0)</f>
        <v>0</v>
      </c>
      <c r="Q42" s="14" cm="1">
        <f t="array" ref="Q42">INT(SUMPRODUCT(--ISNUMBER(SEARCH(gun,C42)))&gt;0)</f>
        <v>0</v>
      </c>
      <c r="R42" s="14" cm="1">
        <f t="array" ref="R42">INT(SUMPRODUCT(--ISNUMBER(SEARCH(race,C42)))&gt;0)</f>
        <v>0</v>
      </c>
      <c r="S42" s="14" cm="1">
        <f t="array" ref="S42">INT(SUMPRODUCT(--ISNUMBER(SEARCH(immigration,C42)))&gt;0)</f>
        <v>0</v>
      </c>
      <c r="T42" s="14" cm="1">
        <f t="array" ref="T42">INT(SUMPRODUCT(--ISNUMBER(SEARCH(econineq,C43)))&gt;0)</f>
        <v>0</v>
      </c>
      <c r="U42" s="14" cm="1">
        <f t="array" ref="U42">INT(SUMPRODUCT(--ISNUMBER(SEARCH(climate,C42)))&gt;0)</f>
        <v>0</v>
      </c>
      <c r="V42" s="14" cm="1">
        <f t="array" ref="V42">INT(SUMPRODUCT(--ISNUMBER(SEARCH(abortion,C42)))&gt;0)</f>
        <v>0</v>
      </c>
      <c r="W42" s="14" cm="1">
        <f t="array" ref="W42">INT(SUMPRODUCT(--ISNUMBER(SEARCH(trump,C42)))&gt;0)</f>
        <v>0</v>
      </c>
      <c r="X42" s="14" cm="1">
        <f t="array" ref="X42">INT(SUMPRODUCT(--ISNUMBER(SEARCH(voting,C42)))&gt;0)</f>
        <v>0</v>
      </c>
      <c r="Y42" s="14" cm="1">
        <f t="array" ref="Y42">INT(SUMPRODUCT(--ISNUMBER(SEARCH(democrattrigger,C42)))&gt;0)</f>
        <v>0</v>
      </c>
      <c r="Z42" s="14" cm="1">
        <f t="array" ref="Z42">INT(SUMPRODUCT(--ISNUMBER(SEARCH(bipartisan,C42)))&gt;0)</f>
        <v>0</v>
      </c>
      <c r="AA42" s="14">
        <f t="shared" si="0"/>
        <v>0</v>
      </c>
      <c r="AB42" s="14"/>
      <c r="AC42" s="30">
        <v>1</v>
      </c>
      <c r="AD42" s="37">
        <v>0</v>
      </c>
    </row>
    <row r="43" spans="1:30" x14ac:dyDescent="0.25">
      <c r="A43" s="36">
        <v>1506</v>
      </c>
      <c r="B43" s="14" t="s">
        <v>3039</v>
      </c>
      <c r="C43" s="14" t="s">
        <v>3040</v>
      </c>
      <c r="D43" s="17">
        <v>44136</v>
      </c>
      <c r="E43" s="14" t="s">
        <v>30</v>
      </c>
      <c r="F43" s="14">
        <v>639</v>
      </c>
      <c r="G43" s="14">
        <v>152</v>
      </c>
      <c r="H43" s="14">
        <v>8</v>
      </c>
      <c r="I43" s="14">
        <v>4</v>
      </c>
      <c r="J43" s="14" t="s">
        <v>204</v>
      </c>
      <c r="K43" s="14" cm="1">
        <f t="array" ref="K43">INT(SUMPRODUCT(--ISNUMBER(SEARCH(economy,C43)))&gt;0)</f>
        <v>0</v>
      </c>
      <c r="L43" s="14" cm="1">
        <f t="array" ref="L43">INT(SUMPRODUCT(--ISNUMBER(SEARCH(healthcare,C43)))&gt;0)</f>
        <v>1</v>
      </c>
      <c r="M43" s="14" cm="1">
        <f t="array" ref="M43">INT(SUMPRODUCT(--ISNUMBER(SEARCH(supreme,C43)))&gt;0)</f>
        <v>0</v>
      </c>
      <c r="N43" s="14" cm="1">
        <f t="array" ref="N43">INT(SUMPRODUCT(--ISNUMBER(SEARCH(covid,C43)))&gt;0)</f>
        <v>0</v>
      </c>
      <c r="O43" s="14" cm="1">
        <f t="array" ref="O43">INT(SUMPRODUCT(--ISNUMBER(SEARCH(violent,C43)))&gt;0)</f>
        <v>0</v>
      </c>
      <c r="P43" s="14" cm="1">
        <f t="array" ref="P43">INT(SUMPRODUCT(--ISNUMBER(SEARCH(foreign,C43)))&gt;0)</f>
        <v>0</v>
      </c>
      <c r="Q43" s="14" cm="1">
        <f t="array" ref="Q43">INT(SUMPRODUCT(--ISNUMBER(SEARCH(gun,C43)))&gt;0)</f>
        <v>0</v>
      </c>
      <c r="R43" s="14" cm="1">
        <f t="array" ref="R43">INT(SUMPRODUCT(--ISNUMBER(SEARCH(race,C43)))&gt;0)</f>
        <v>0</v>
      </c>
      <c r="S43" s="14" cm="1">
        <f t="array" ref="S43">INT(SUMPRODUCT(--ISNUMBER(SEARCH(immigration,C43)))&gt;0)</f>
        <v>0</v>
      </c>
      <c r="T43" s="14" cm="1">
        <f t="array" ref="T43">INT(SUMPRODUCT(--ISNUMBER(SEARCH(econineq,C44)))&gt;0)</f>
        <v>0</v>
      </c>
      <c r="U43" s="14" cm="1">
        <f t="array" ref="U43">INT(SUMPRODUCT(--ISNUMBER(SEARCH(climate,C43)))&gt;0)</f>
        <v>0</v>
      </c>
      <c r="V43" s="14" cm="1">
        <f t="array" ref="V43">INT(SUMPRODUCT(--ISNUMBER(SEARCH(abortion,C43)))&gt;0)</f>
        <v>0</v>
      </c>
      <c r="W43" s="14" cm="1">
        <f t="array" ref="W43">INT(SUMPRODUCT(--ISNUMBER(SEARCH(trump,C43)))&gt;0)</f>
        <v>0</v>
      </c>
      <c r="X43" s="14" cm="1">
        <f t="array" ref="X43">INT(SUMPRODUCT(--ISNUMBER(SEARCH(voting,C43)))&gt;0)</f>
        <v>0</v>
      </c>
      <c r="Y43" s="14" cm="1">
        <f t="array" ref="Y43">INT(SUMPRODUCT(--ISNUMBER(SEARCH(democrattrigger,C43)))&gt;0)</f>
        <v>0</v>
      </c>
      <c r="Z43" s="14" cm="1">
        <f t="array" ref="Z43">INT(SUMPRODUCT(--ISNUMBER(SEARCH(bipartisan,C43)))&gt;0)</f>
        <v>0</v>
      </c>
      <c r="AA43" s="14">
        <f t="shared" si="0"/>
        <v>0</v>
      </c>
      <c r="AB43" s="14"/>
      <c r="AC43" s="30">
        <v>1</v>
      </c>
      <c r="AD43" s="37">
        <v>0</v>
      </c>
    </row>
    <row r="44" spans="1:30" x14ac:dyDescent="0.25">
      <c r="A44" s="36">
        <v>1507</v>
      </c>
      <c r="B44" s="14" t="s">
        <v>3041</v>
      </c>
      <c r="C44" s="14" t="s">
        <v>3042</v>
      </c>
      <c r="D44" s="17">
        <v>44136</v>
      </c>
      <c r="E44" s="14" t="s">
        <v>30</v>
      </c>
      <c r="F44" s="14">
        <v>890</v>
      </c>
      <c r="G44" s="14">
        <v>201</v>
      </c>
      <c r="H44" s="14">
        <v>8</v>
      </c>
      <c r="I44" s="14">
        <v>4</v>
      </c>
      <c r="J44" s="14" t="s">
        <v>204</v>
      </c>
      <c r="K44" s="14" cm="1">
        <f t="array" ref="K44">INT(SUMPRODUCT(--ISNUMBER(SEARCH(economy,C44)))&gt;0)</f>
        <v>0</v>
      </c>
      <c r="L44" s="14" cm="1">
        <f t="array" ref="L44">INT(SUMPRODUCT(--ISNUMBER(SEARCH(healthcare,C44)))&gt;0)</f>
        <v>0</v>
      </c>
      <c r="M44" s="14" cm="1">
        <f t="array" ref="M44">INT(SUMPRODUCT(--ISNUMBER(SEARCH(supreme,C44)))&gt;0)</f>
        <v>0</v>
      </c>
      <c r="N44" s="14" cm="1">
        <f t="array" ref="N44">INT(SUMPRODUCT(--ISNUMBER(SEARCH(covid,C44)))&gt;0)</f>
        <v>0</v>
      </c>
      <c r="O44" s="14" cm="1">
        <f t="array" ref="O44">INT(SUMPRODUCT(--ISNUMBER(SEARCH(violent,C44)))&gt;0)</f>
        <v>0</v>
      </c>
      <c r="P44" s="14" cm="1">
        <f t="array" ref="P44">INT(SUMPRODUCT(--ISNUMBER(SEARCH(foreign,C44)))&gt;0)</f>
        <v>0</v>
      </c>
      <c r="Q44" s="14" cm="1">
        <f t="array" ref="Q44">INT(SUMPRODUCT(--ISNUMBER(SEARCH(gun,C44)))&gt;0)</f>
        <v>0</v>
      </c>
      <c r="R44" s="14" cm="1">
        <f t="array" ref="R44">INT(SUMPRODUCT(--ISNUMBER(SEARCH(race,C44)))&gt;0)</f>
        <v>0</v>
      </c>
      <c r="S44" s="14" cm="1">
        <f t="array" ref="S44">INT(SUMPRODUCT(--ISNUMBER(SEARCH(immigration,C44)))&gt;0)</f>
        <v>0</v>
      </c>
      <c r="T44" s="14" cm="1">
        <f t="array" ref="T44">INT(SUMPRODUCT(--ISNUMBER(SEARCH(econineq,C45)))&gt;0)</f>
        <v>0</v>
      </c>
      <c r="U44" s="14" cm="1">
        <f t="array" ref="U44">INT(SUMPRODUCT(--ISNUMBER(SEARCH(climate,C44)))&gt;0)</f>
        <v>0</v>
      </c>
      <c r="V44" s="14" cm="1">
        <f t="array" ref="V44">INT(SUMPRODUCT(--ISNUMBER(SEARCH(abortion,C44)))&gt;0)</f>
        <v>0</v>
      </c>
      <c r="W44" s="14" cm="1">
        <f t="array" ref="W44">INT(SUMPRODUCT(--ISNUMBER(SEARCH(trump,C44)))&gt;0)</f>
        <v>0</v>
      </c>
      <c r="X44" s="14" cm="1">
        <f t="array" ref="X44">INT(SUMPRODUCT(--ISNUMBER(SEARCH(voting,C44)))&gt;0)</f>
        <v>0</v>
      </c>
      <c r="Y44" s="14" cm="1">
        <f t="array" ref="Y44">INT(SUMPRODUCT(--ISNUMBER(SEARCH(democrattrigger,C44)))&gt;0)</f>
        <v>0</v>
      </c>
      <c r="Z44" s="14" cm="1">
        <f t="array" ref="Z44">INT(SUMPRODUCT(--ISNUMBER(SEARCH(bipartisan,C44)))&gt;0)</f>
        <v>0</v>
      </c>
      <c r="AA44" s="14">
        <f t="shared" si="0"/>
        <v>1</v>
      </c>
      <c r="AB44" s="14"/>
      <c r="AC44" s="30">
        <v>0</v>
      </c>
      <c r="AD44" s="37">
        <v>1</v>
      </c>
    </row>
    <row r="45" spans="1:30" x14ac:dyDescent="0.25">
      <c r="A45" s="36">
        <v>1508</v>
      </c>
      <c r="B45" s="14" t="s">
        <v>3043</v>
      </c>
      <c r="C45" s="14" t="s">
        <v>3044</v>
      </c>
      <c r="D45" s="17">
        <v>44136</v>
      </c>
      <c r="E45" s="14" t="s">
        <v>30</v>
      </c>
      <c r="F45" s="14">
        <v>730</v>
      </c>
      <c r="G45" s="14">
        <v>124</v>
      </c>
      <c r="H45" s="14">
        <v>8</v>
      </c>
      <c r="I45" s="14">
        <v>4</v>
      </c>
      <c r="J45" s="14" t="s">
        <v>204</v>
      </c>
      <c r="K45" s="14" cm="1">
        <f t="array" ref="K45">INT(SUMPRODUCT(--ISNUMBER(SEARCH(economy,C45)))&gt;0)</f>
        <v>0</v>
      </c>
      <c r="L45" s="14" cm="1">
        <f t="array" ref="L45">INT(SUMPRODUCT(--ISNUMBER(SEARCH(healthcare,C45)))&gt;0)</f>
        <v>0</v>
      </c>
      <c r="M45" s="14" cm="1">
        <f t="array" ref="M45">INT(SUMPRODUCT(--ISNUMBER(SEARCH(supreme,C45)))&gt;0)</f>
        <v>0</v>
      </c>
      <c r="N45" s="14" cm="1">
        <f t="array" ref="N45">INT(SUMPRODUCT(--ISNUMBER(SEARCH(covid,C45)))&gt;0)</f>
        <v>0</v>
      </c>
      <c r="O45" s="14" cm="1">
        <f t="array" ref="O45">INT(SUMPRODUCT(--ISNUMBER(SEARCH(violent,C45)))&gt;0)</f>
        <v>0</v>
      </c>
      <c r="P45" s="14" cm="1">
        <f t="array" ref="P45">INT(SUMPRODUCT(--ISNUMBER(SEARCH(foreign,C45)))&gt;0)</f>
        <v>0</v>
      </c>
      <c r="Q45" s="14" cm="1">
        <f t="array" ref="Q45">INT(SUMPRODUCT(--ISNUMBER(SEARCH(gun,C45)))&gt;0)</f>
        <v>0</v>
      </c>
      <c r="R45" s="14" cm="1">
        <f t="array" ref="R45">INT(SUMPRODUCT(--ISNUMBER(SEARCH(race,C45)))&gt;0)</f>
        <v>0</v>
      </c>
      <c r="S45" s="14" cm="1">
        <f t="array" ref="S45">INT(SUMPRODUCT(--ISNUMBER(SEARCH(immigration,C45)))&gt;0)</f>
        <v>0</v>
      </c>
      <c r="T45" s="14" cm="1">
        <f t="array" ref="T45">INT(SUMPRODUCT(--ISNUMBER(SEARCH(econineq,C46)))&gt;0)</f>
        <v>0</v>
      </c>
      <c r="U45" s="14" cm="1">
        <f t="array" ref="U45">INT(SUMPRODUCT(--ISNUMBER(SEARCH(climate,C45)))&gt;0)</f>
        <v>0</v>
      </c>
      <c r="V45" s="14" cm="1">
        <f t="array" ref="V45">INT(SUMPRODUCT(--ISNUMBER(SEARCH(abortion,C45)))&gt;0)</f>
        <v>0</v>
      </c>
      <c r="W45" s="14" cm="1">
        <f t="array" ref="W45">INT(SUMPRODUCT(--ISNUMBER(SEARCH(trump,C45)))&gt;0)</f>
        <v>0</v>
      </c>
      <c r="X45" s="14" cm="1">
        <f t="array" ref="X45">INT(SUMPRODUCT(--ISNUMBER(SEARCH(voting,C45)))&gt;0)</f>
        <v>0</v>
      </c>
      <c r="Y45" s="14" cm="1">
        <f t="array" ref="Y45">INT(SUMPRODUCT(--ISNUMBER(SEARCH(democrattrigger,C45)))&gt;0)</f>
        <v>0</v>
      </c>
      <c r="Z45" s="14" cm="1">
        <f t="array" ref="Z45">INT(SUMPRODUCT(--ISNUMBER(SEARCH(bipartisan,C45)))&gt;0)</f>
        <v>0</v>
      </c>
      <c r="AA45" s="14">
        <f t="shared" si="0"/>
        <v>1</v>
      </c>
      <c r="AB45" s="14"/>
      <c r="AC45" s="30">
        <v>1</v>
      </c>
      <c r="AD45" s="37">
        <v>0</v>
      </c>
    </row>
    <row r="46" spans="1:30" x14ac:dyDescent="0.25">
      <c r="A46" s="36">
        <v>1509</v>
      </c>
      <c r="B46" s="14" t="s">
        <v>3045</v>
      </c>
      <c r="C46" s="14" t="s">
        <v>3046</v>
      </c>
      <c r="D46" s="17">
        <v>44136</v>
      </c>
      <c r="E46" s="14" t="s">
        <v>30</v>
      </c>
      <c r="F46" s="14">
        <v>947</v>
      </c>
      <c r="G46" s="14">
        <v>250</v>
      </c>
      <c r="H46" s="14">
        <v>8</v>
      </c>
      <c r="I46" s="14">
        <v>4</v>
      </c>
      <c r="J46" s="14" t="s">
        <v>204</v>
      </c>
      <c r="K46" s="14" cm="1">
        <f t="array" ref="K46">INT(SUMPRODUCT(--ISNUMBER(SEARCH(economy,C46)))&gt;0)</f>
        <v>0</v>
      </c>
      <c r="L46" s="14" cm="1">
        <f t="array" ref="L46">INT(SUMPRODUCT(--ISNUMBER(SEARCH(healthcare,C46)))&gt;0)</f>
        <v>0</v>
      </c>
      <c r="M46" s="14" cm="1">
        <f t="array" ref="M46">INT(SUMPRODUCT(--ISNUMBER(SEARCH(supreme,C46)))&gt;0)</f>
        <v>0</v>
      </c>
      <c r="N46" s="14" cm="1">
        <f t="array" ref="N46">INT(SUMPRODUCT(--ISNUMBER(SEARCH(covid,C46)))&gt;0)</f>
        <v>0</v>
      </c>
      <c r="O46" s="14" cm="1">
        <f t="array" ref="O46">INT(SUMPRODUCT(--ISNUMBER(SEARCH(violent,C46)))&gt;0)</f>
        <v>0</v>
      </c>
      <c r="P46" s="14" cm="1">
        <f t="array" ref="P46">INT(SUMPRODUCT(--ISNUMBER(SEARCH(foreign,C46)))&gt;0)</f>
        <v>0</v>
      </c>
      <c r="Q46" s="14" cm="1">
        <f t="array" ref="Q46">INT(SUMPRODUCT(--ISNUMBER(SEARCH(gun,C46)))&gt;0)</f>
        <v>0</v>
      </c>
      <c r="R46" s="14" cm="1">
        <f t="array" ref="R46">INT(SUMPRODUCT(--ISNUMBER(SEARCH(race,C46)))&gt;0)</f>
        <v>0</v>
      </c>
      <c r="S46" s="14" cm="1">
        <f t="array" ref="S46">INT(SUMPRODUCT(--ISNUMBER(SEARCH(immigration,C46)))&gt;0)</f>
        <v>0</v>
      </c>
      <c r="T46" s="14" cm="1">
        <f t="array" ref="T46">INT(SUMPRODUCT(--ISNUMBER(SEARCH(econineq,C47)))&gt;0)</f>
        <v>0</v>
      </c>
      <c r="U46" s="14" cm="1">
        <f t="array" ref="U46">INT(SUMPRODUCT(--ISNUMBER(SEARCH(climate,C46)))&gt;0)</f>
        <v>0</v>
      </c>
      <c r="V46" s="14" cm="1">
        <f t="array" ref="V46">INT(SUMPRODUCT(--ISNUMBER(SEARCH(abortion,C46)))&gt;0)</f>
        <v>0</v>
      </c>
      <c r="W46" s="14" cm="1">
        <f t="array" ref="W46">INT(SUMPRODUCT(--ISNUMBER(SEARCH(trump,C46)))&gt;0)</f>
        <v>0</v>
      </c>
      <c r="X46" s="14" cm="1">
        <f t="array" ref="X46">INT(SUMPRODUCT(--ISNUMBER(SEARCH(voting,C46)))&gt;0)</f>
        <v>0</v>
      </c>
      <c r="Y46" s="14" cm="1">
        <f t="array" ref="Y46">INT(SUMPRODUCT(--ISNUMBER(SEARCH(democrattrigger,C46)))&gt;0)</f>
        <v>0</v>
      </c>
      <c r="Z46" s="14" cm="1">
        <f t="array" ref="Z46">INT(SUMPRODUCT(--ISNUMBER(SEARCH(bipartisan,C46)))&gt;0)</f>
        <v>0</v>
      </c>
      <c r="AA46" s="14">
        <f t="shared" si="0"/>
        <v>1</v>
      </c>
      <c r="AB46" s="14"/>
      <c r="AC46" s="30">
        <v>0</v>
      </c>
      <c r="AD46" s="37">
        <v>1</v>
      </c>
    </row>
    <row r="47" spans="1:30" x14ac:dyDescent="0.25">
      <c r="A47" s="36">
        <v>1510</v>
      </c>
      <c r="B47" s="14" t="s">
        <v>3047</v>
      </c>
      <c r="C47" s="14" t="s">
        <v>3048</v>
      </c>
      <c r="D47" s="17">
        <v>44136</v>
      </c>
      <c r="E47" s="14" t="s">
        <v>30</v>
      </c>
      <c r="F47" s="14">
        <v>585</v>
      </c>
      <c r="G47" s="14">
        <v>176</v>
      </c>
      <c r="H47" s="14">
        <v>8</v>
      </c>
      <c r="I47" s="14">
        <v>4</v>
      </c>
      <c r="J47" s="14" t="s">
        <v>204</v>
      </c>
      <c r="K47" s="14" cm="1">
        <f t="array" ref="K47">INT(SUMPRODUCT(--ISNUMBER(SEARCH(economy,C47)))&gt;0)</f>
        <v>0</v>
      </c>
      <c r="L47" s="14" cm="1">
        <f t="array" ref="L47">INT(SUMPRODUCT(--ISNUMBER(SEARCH(healthcare,C47)))&gt;0)</f>
        <v>0</v>
      </c>
      <c r="M47" s="14" cm="1">
        <f t="array" ref="M47">INT(SUMPRODUCT(--ISNUMBER(SEARCH(supreme,C47)))&gt;0)</f>
        <v>0</v>
      </c>
      <c r="N47" s="14" cm="1">
        <f t="array" ref="N47">INT(SUMPRODUCT(--ISNUMBER(SEARCH(covid,C47)))&gt;0)</f>
        <v>0</v>
      </c>
      <c r="O47" s="14" cm="1">
        <f t="array" ref="O47">INT(SUMPRODUCT(--ISNUMBER(SEARCH(violent,C47)))&gt;0)</f>
        <v>0</v>
      </c>
      <c r="P47" s="14" cm="1">
        <f t="array" ref="P47">INT(SUMPRODUCT(--ISNUMBER(SEARCH(foreign,C47)))&gt;0)</f>
        <v>0</v>
      </c>
      <c r="Q47" s="14" cm="1">
        <f t="array" ref="Q47">INT(SUMPRODUCT(--ISNUMBER(SEARCH(gun,C47)))&gt;0)</f>
        <v>0</v>
      </c>
      <c r="R47" s="14" cm="1">
        <f t="array" ref="R47">INT(SUMPRODUCT(--ISNUMBER(SEARCH(race,C47)))&gt;0)</f>
        <v>0</v>
      </c>
      <c r="S47" s="14" cm="1">
        <f t="array" ref="S47">INT(SUMPRODUCT(--ISNUMBER(SEARCH(immigration,C47)))&gt;0)</f>
        <v>0</v>
      </c>
      <c r="T47" s="14" cm="1">
        <f t="array" ref="T47">INT(SUMPRODUCT(--ISNUMBER(SEARCH(econineq,C48)))&gt;0)</f>
        <v>0</v>
      </c>
      <c r="U47" s="14" cm="1">
        <f t="array" ref="U47">INT(SUMPRODUCT(--ISNUMBER(SEARCH(climate,C47)))&gt;0)</f>
        <v>0</v>
      </c>
      <c r="V47" s="14" cm="1">
        <f t="array" ref="V47">INT(SUMPRODUCT(--ISNUMBER(SEARCH(abortion,C47)))&gt;0)</f>
        <v>0</v>
      </c>
      <c r="W47" s="14" cm="1">
        <f t="array" ref="W47">INT(SUMPRODUCT(--ISNUMBER(SEARCH(trump,C47)))&gt;0)</f>
        <v>0</v>
      </c>
      <c r="X47" s="14" cm="1">
        <f t="array" ref="X47">INT(SUMPRODUCT(--ISNUMBER(SEARCH(voting,C47)))&gt;0)</f>
        <v>1</v>
      </c>
      <c r="Y47" s="14" cm="1">
        <f t="array" ref="Y47">INT(SUMPRODUCT(--ISNUMBER(SEARCH(democrattrigger,C47)))&gt;0)</f>
        <v>0</v>
      </c>
      <c r="Z47" s="14" cm="1">
        <f t="array" ref="Z47">INT(SUMPRODUCT(--ISNUMBER(SEARCH(bipartisan,C47)))&gt;0)</f>
        <v>0</v>
      </c>
      <c r="AA47" s="14">
        <f t="shared" si="0"/>
        <v>0</v>
      </c>
      <c r="AB47" s="14"/>
      <c r="AC47" s="30" t="s">
        <v>223</v>
      </c>
      <c r="AD47" s="37" t="s">
        <v>223</v>
      </c>
    </row>
    <row r="48" spans="1:30" x14ac:dyDescent="0.25">
      <c r="A48" s="36">
        <v>1511</v>
      </c>
      <c r="B48" s="14" t="s">
        <v>3049</v>
      </c>
      <c r="C48" s="14" t="s">
        <v>3050</v>
      </c>
      <c r="D48" s="17">
        <v>44136</v>
      </c>
      <c r="E48" s="14" t="s">
        <v>30</v>
      </c>
      <c r="F48" s="14">
        <v>530</v>
      </c>
      <c r="G48" s="14">
        <v>148</v>
      </c>
      <c r="H48" s="14">
        <v>8</v>
      </c>
      <c r="I48" s="14">
        <v>4</v>
      </c>
      <c r="J48" s="14" t="s">
        <v>204</v>
      </c>
      <c r="K48" s="14" cm="1">
        <f t="array" ref="K48">INT(SUMPRODUCT(--ISNUMBER(SEARCH(economy,C48)))&gt;0)</f>
        <v>0</v>
      </c>
      <c r="L48" s="14" cm="1">
        <f t="array" ref="L48">INT(SUMPRODUCT(--ISNUMBER(SEARCH(healthcare,C48)))&gt;0)</f>
        <v>0</v>
      </c>
      <c r="M48" s="14" cm="1">
        <f t="array" ref="M48">INT(SUMPRODUCT(--ISNUMBER(SEARCH(supreme,C48)))&gt;0)</f>
        <v>0</v>
      </c>
      <c r="N48" s="14" cm="1">
        <f t="array" ref="N48">INT(SUMPRODUCT(--ISNUMBER(SEARCH(covid,C48)))&gt;0)</f>
        <v>0</v>
      </c>
      <c r="O48" s="14" cm="1">
        <f t="array" ref="O48">INT(SUMPRODUCT(--ISNUMBER(SEARCH(violent,C48)))&gt;0)</f>
        <v>0</v>
      </c>
      <c r="P48" s="14" cm="1">
        <f t="array" ref="P48">INT(SUMPRODUCT(--ISNUMBER(SEARCH(foreign,C48)))&gt;0)</f>
        <v>0</v>
      </c>
      <c r="Q48" s="14" cm="1">
        <f t="array" ref="Q48">INT(SUMPRODUCT(--ISNUMBER(SEARCH(gun,C48)))&gt;0)</f>
        <v>0</v>
      </c>
      <c r="R48" s="14" cm="1">
        <f t="array" ref="R48">INT(SUMPRODUCT(--ISNUMBER(SEARCH(race,C48)))&gt;0)</f>
        <v>0</v>
      </c>
      <c r="S48" s="14" cm="1">
        <f t="array" ref="S48">INT(SUMPRODUCT(--ISNUMBER(SEARCH(immigration,C48)))&gt;0)</f>
        <v>0</v>
      </c>
      <c r="T48" s="14" cm="1">
        <f t="array" ref="T48">INT(SUMPRODUCT(--ISNUMBER(SEARCH(econineq,C49)))&gt;0)</f>
        <v>0</v>
      </c>
      <c r="U48" s="14" cm="1">
        <f t="array" ref="U48">INT(SUMPRODUCT(--ISNUMBER(SEARCH(climate,C48)))&gt;0)</f>
        <v>0</v>
      </c>
      <c r="V48" s="14" cm="1">
        <f t="array" ref="V48">INT(SUMPRODUCT(--ISNUMBER(SEARCH(abortion,C48)))&gt;0)</f>
        <v>0</v>
      </c>
      <c r="W48" s="14" cm="1">
        <f t="array" ref="W48">INT(SUMPRODUCT(--ISNUMBER(SEARCH(trump,C48)))&gt;0)</f>
        <v>0</v>
      </c>
      <c r="X48" s="14" cm="1">
        <f t="array" ref="X48">INT(SUMPRODUCT(--ISNUMBER(SEARCH(voting,C48)))&gt;0)</f>
        <v>1</v>
      </c>
      <c r="Y48" s="14" cm="1">
        <f t="array" ref="Y48">INT(SUMPRODUCT(--ISNUMBER(SEARCH(democrattrigger,C48)))&gt;0)</f>
        <v>0</v>
      </c>
      <c r="Z48" s="14" cm="1">
        <f t="array" ref="Z48">INT(SUMPRODUCT(--ISNUMBER(SEARCH(bipartisan,C48)))&gt;0)</f>
        <v>0</v>
      </c>
      <c r="AA48" s="14">
        <f t="shared" si="0"/>
        <v>0</v>
      </c>
      <c r="AB48" s="14"/>
      <c r="AC48" s="30" t="s">
        <v>223</v>
      </c>
      <c r="AD48" s="37" t="s">
        <v>223</v>
      </c>
    </row>
    <row r="49" spans="1:30" x14ac:dyDescent="0.25">
      <c r="A49" s="36">
        <v>1512</v>
      </c>
      <c r="B49" s="14" t="s">
        <v>3051</v>
      </c>
      <c r="C49" s="14" t="s">
        <v>3052</v>
      </c>
      <c r="D49" s="17">
        <v>44135</v>
      </c>
      <c r="E49" s="14" t="s">
        <v>30</v>
      </c>
      <c r="F49" s="14">
        <v>696</v>
      </c>
      <c r="G49" s="14">
        <v>151</v>
      </c>
      <c r="H49" s="14">
        <v>8</v>
      </c>
      <c r="I49" s="14">
        <v>4</v>
      </c>
      <c r="J49" s="14" t="s">
        <v>204</v>
      </c>
      <c r="K49" s="14" cm="1">
        <f t="array" ref="K49">INT(SUMPRODUCT(--ISNUMBER(SEARCH(economy,C49)))&gt;0)</f>
        <v>0</v>
      </c>
      <c r="L49" s="14" cm="1">
        <f t="array" ref="L49">INT(SUMPRODUCT(--ISNUMBER(SEARCH(healthcare,C49)))&gt;0)</f>
        <v>0</v>
      </c>
      <c r="M49" s="14" cm="1">
        <f t="array" ref="M49">INT(SUMPRODUCT(--ISNUMBER(SEARCH(supreme,C49)))&gt;0)</f>
        <v>0</v>
      </c>
      <c r="N49" s="14" cm="1">
        <f t="array" ref="N49">INT(SUMPRODUCT(--ISNUMBER(SEARCH(covid,C49)))&gt;0)</f>
        <v>0</v>
      </c>
      <c r="O49" s="14" cm="1">
        <f t="array" ref="O49">INT(SUMPRODUCT(--ISNUMBER(SEARCH(violent,C49)))&gt;0)</f>
        <v>0</v>
      </c>
      <c r="P49" s="14" cm="1">
        <f t="array" ref="P49">INT(SUMPRODUCT(--ISNUMBER(SEARCH(foreign,C49)))&gt;0)</f>
        <v>0</v>
      </c>
      <c r="Q49" s="14" cm="1">
        <f t="array" ref="Q49">INT(SUMPRODUCT(--ISNUMBER(SEARCH(gun,C49)))&gt;0)</f>
        <v>0</v>
      </c>
      <c r="R49" s="14" cm="1">
        <f t="array" ref="R49">INT(SUMPRODUCT(--ISNUMBER(SEARCH(race,C49)))&gt;0)</f>
        <v>0</v>
      </c>
      <c r="S49" s="14" cm="1">
        <f t="array" ref="S49">INT(SUMPRODUCT(--ISNUMBER(SEARCH(immigration,C49)))&gt;0)</f>
        <v>0</v>
      </c>
      <c r="T49" s="14" cm="1">
        <f t="array" ref="T49">INT(SUMPRODUCT(--ISNUMBER(SEARCH(econineq,C50)))&gt;0)</f>
        <v>0</v>
      </c>
      <c r="U49" s="14" cm="1">
        <f t="array" ref="U49">INT(SUMPRODUCT(--ISNUMBER(SEARCH(climate,C49)))&gt;0)</f>
        <v>0</v>
      </c>
      <c r="V49" s="14" cm="1">
        <f t="array" ref="V49">INT(SUMPRODUCT(--ISNUMBER(SEARCH(abortion,C49)))&gt;0)</f>
        <v>0</v>
      </c>
      <c r="W49" s="14" cm="1">
        <f t="array" ref="W49">INT(SUMPRODUCT(--ISNUMBER(SEARCH(trump,C49)))&gt;0)</f>
        <v>0</v>
      </c>
      <c r="X49" s="14" cm="1">
        <f t="array" ref="X49">INT(SUMPRODUCT(--ISNUMBER(SEARCH(voting,C49)))&gt;0)</f>
        <v>0</v>
      </c>
      <c r="Y49" s="14" cm="1">
        <f t="array" ref="Y49">INT(SUMPRODUCT(--ISNUMBER(SEARCH(democrattrigger,C49)))&gt;0)</f>
        <v>0</v>
      </c>
      <c r="Z49" s="14" cm="1">
        <f t="array" ref="Z49">INT(SUMPRODUCT(--ISNUMBER(SEARCH(bipartisan,C49)))&gt;0)</f>
        <v>0</v>
      </c>
      <c r="AA49" s="14">
        <f t="shared" si="0"/>
        <v>1</v>
      </c>
      <c r="AB49" s="14"/>
      <c r="AC49" s="30">
        <v>0</v>
      </c>
      <c r="AD49" s="37">
        <v>1</v>
      </c>
    </row>
    <row r="50" spans="1:30" x14ac:dyDescent="0.25">
      <c r="A50" s="36">
        <v>1513</v>
      </c>
      <c r="B50" s="14" t="s">
        <v>3053</v>
      </c>
      <c r="C50" s="14" t="s">
        <v>3054</v>
      </c>
      <c r="D50" s="17">
        <v>44135</v>
      </c>
      <c r="E50" s="14" t="s">
        <v>30</v>
      </c>
      <c r="F50" s="14">
        <v>614</v>
      </c>
      <c r="G50" s="14">
        <v>126</v>
      </c>
      <c r="H50" s="14">
        <v>8</v>
      </c>
      <c r="I50" s="14">
        <v>4</v>
      </c>
      <c r="J50" s="14" t="s">
        <v>204</v>
      </c>
      <c r="K50" s="14" cm="1">
        <f t="array" ref="K50">INT(SUMPRODUCT(--ISNUMBER(SEARCH(economy,C50)))&gt;0)</f>
        <v>0</v>
      </c>
      <c r="L50" s="14" cm="1">
        <f t="array" ref="L50">INT(SUMPRODUCT(--ISNUMBER(SEARCH(healthcare,C50)))&gt;0)</f>
        <v>1</v>
      </c>
      <c r="M50" s="14" cm="1">
        <f t="array" ref="M50">INT(SUMPRODUCT(--ISNUMBER(SEARCH(supreme,C50)))&gt;0)</f>
        <v>0</v>
      </c>
      <c r="N50" s="14" cm="1">
        <f t="array" ref="N50">INT(SUMPRODUCT(--ISNUMBER(SEARCH(covid,C50)))&gt;0)</f>
        <v>0</v>
      </c>
      <c r="O50" s="14" cm="1">
        <f t="array" ref="O50">INT(SUMPRODUCT(--ISNUMBER(SEARCH(violent,C50)))&gt;0)</f>
        <v>0</v>
      </c>
      <c r="P50" s="14" cm="1">
        <f t="array" ref="P50">INT(SUMPRODUCT(--ISNUMBER(SEARCH(foreign,C50)))&gt;0)</f>
        <v>0</v>
      </c>
      <c r="Q50" s="14" cm="1">
        <f t="array" ref="Q50">INT(SUMPRODUCT(--ISNUMBER(SEARCH(gun,C50)))&gt;0)</f>
        <v>0</v>
      </c>
      <c r="R50" s="14" cm="1">
        <f t="array" ref="R50">INT(SUMPRODUCT(--ISNUMBER(SEARCH(race,C50)))&gt;0)</f>
        <v>0</v>
      </c>
      <c r="S50" s="14" cm="1">
        <f t="array" ref="S50">INT(SUMPRODUCT(--ISNUMBER(SEARCH(immigration,C50)))&gt;0)</f>
        <v>0</v>
      </c>
      <c r="T50" s="14" cm="1">
        <f t="array" ref="T50">INT(SUMPRODUCT(--ISNUMBER(SEARCH(econineq,C51)))&gt;0)</f>
        <v>0</v>
      </c>
      <c r="U50" s="14" cm="1">
        <f t="array" ref="U50">INT(SUMPRODUCT(--ISNUMBER(SEARCH(climate,C50)))&gt;0)</f>
        <v>0</v>
      </c>
      <c r="V50" s="14" cm="1">
        <f t="array" ref="V50">INT(SUMPRODUCT(--ISNUMBER(SEARCH(abortion,C50)))&gt;0)</f>
        <v>0</v>
      </c>
      <c r="W50" s="14" cm="1">
        <f t="array" ref="W50">INT(SUMPRODUCT(--ISNUMBER(SEARCH(trump,C50)))&gt;0)</f>
        <v>0</v>
      </c>
      <c r="X50" s="14" cm="1">
        <f t="array" ref="X50">INT(SUMPRODUCT(--ISNUMBER(SEARCH(voting,C50)))&gt;0)</f>
        <v>0</v>
      </c>
      <c r="Y50" s="14" cm="1">
        <f t="array" ref="Y50">INT(SUMPRODUCT(--ISNUMBER(SEARCH(democrattrigger,C50)))&gt;0)</f>
        <v>0</v>
      </c>
      <c r="Z50" s="14" cm="1">
        <f t="array" ref="Z50">INT(SUMPRODUCT(--ISNUMBER(SEARCH(bipartisan,C50)))&gt;0)</f>
        <v>0</v>
      </c>
      <c r="AA50" s="14">
        <f t="shared" si="0"/>
        <v>0</v>
      </c>
      <c r="AB50" s="14"/>
      <c r="AC50" s="30">
        <v>1</v>
      </c>
      <c r="AD50" s="37">
        <v>0</v>
      </c>
    </row>
    <row r="51" spans="1:30" x14ac:dyDescent="0.25">
      <c r="A51" s="36">
        <v>1514</v>
      </c>
      <c r="B51" s="14" t="s">
        <v>3055</v>
      </c>
      <c r="C51" s="14" t="s">
        <v>3056</v>
      </c>
      <c r="D51" s="17">
        <v>44135</v>
      </c>
      <c r="E51" s="14" t="s">
        <v>30</v>
      </c>
      <c r="F51" s="14">
        <v>1404</v>
      </c>
      <c r="G51" s="14">
        <v>339</v>
      </c>
      <c r="H51" s="14">
        <v>8</v>
      </c>
      <c r="I51" s="14">
        <v>4</v>
      </c>
      <c r="J51" s="14" t="s">
        <v>204</v>
      </c>
      <c r="K51" s="14" cm="1">
        <f t="array" ref="K51">INT(SUMPRODUCT(--ISNUMBER(SEARCH(economy,C51)))&gt;0)</f>
        <v>0</v>
      </c>
      <c r="L51" s="14" cm="1">
        <f t="array" ref="L51">INT(SUMPRODUCT(--ISNUMBER(SEARCH(healthcare,C51)))&gt;0)</f>
        <v>0</v>
      </c>
      <c r="M51" s="14" cm="1">
        <f t="array" ref="M51">INT(SUMPRODUCT(--ISNUMBER(SEARCH(supreme,C51)))&gt;0)</f>
        <v>0</v>
      </c>
      <c r="N51" s="14" cm="1">
        <f t="array" ref="N51">INT(SUMPRODUCT(--ISNUMBER(SEARCH(covid,C51)))&gt;0)</f>
        <v>0</v>
      </c>
      <c r="O51" s="14" cm="1">
        <f t="array" ref="O51">INT(SUMPRODUCT(--ISNUMBER(SEARCH(violent,C51)))&gt;0)</f>
        <v>0</v>
      </c>
      <c r="P51" s="14" cm="1">
        <f t="array" ref="P51">INT(SUMPRODUCT(--ISNUMBER(SEARCH(foreign,C51)))&gt;0)</f>
        <v>0</v>
      </c>
      <c r="Q51" s="14" cm="1">
        <f t="array" ref="Q51">INT(SUMPRODUCT(--ISNUMBER(SEARCH(gun,C51)))&gt;0)</f>
        <v>0</v>
      </c>
      <c r="R51" s="14" cm="1">
        <f t="array" ref="R51">INT(SUMPRODUCT(--ISNUMBER(SEARCH(race,C51)))&gt;0)</f>
        <v>0</v>
      </c>
      <c r="S51" s="14" cm="1">
        <f t="array" ref="S51">INT(SUMPRODUCT(--ISNUMBER(SEARCH(immigration,C51)))&gt;0)</f>
        <v>0</v>
      </c>
      <c r="T51" s="14" cm="1">
        <f t="array" ref="T51">INT(SUMPRODUCT(--ISNUMBER(SEARCH(econineq,C52)))&gt;0)</f>
        <v>0</v>
      </c>
      <c r="U51" s="14" cm="1">
        <f t="array" ref="U51">INT(SUMPRODUCT(--ISNUMBER(SEARCH(climate,C51)))&gt;0)</f>
        <v>0</v>
      </c>
      <c r="V51" s="14" cm="1">
        <f t="array" ref="V51">INT(SUMPRODUCT(--ISNUMBER(SEARCH(abortion,C51)))&gt;0)</f>
        <v>0</v>
      </c>
      <c r="W51" s="14" cm="1">
        <f t="array" ref="W51">INT(SUMPRODUCT(--ISNUMBER(SEARCH(trump,C51)))&gt;0)</f>
        <v>0</v>
      </c>
      <c r="X51" s="14" cm="1">
        <f t="array" ref="X51">INT(SUMPRODUCT(--ISNUMBER(SEARCH(voting,C51)))&gt;0)</f>
        <v>0</v>
      </c>
      <c r="Y51" s="14" cm="1">
        <f t="array" ref="Y51">INT(SUMPRODUCT(--ISNUMBER(SEARCH(democrattrigger,C51)))&gt;0)</f>
        <v>0</v>
      </c>
      <c r="Z51" s="14" cm="1">
        <f t="array" ref="Z51">INT(SUMPRODUCT(--ISNUMBER(SEARCH(bipartisan,C51)))&gt;0)</f>
        <v>0</v>
      </c>
      <c r="AA51" s="14">
        <f t="shared" si="0"/>
        <v>1</v>
      </c>
      <c r="AB51" s="14"/>
      <c r="AC51" s="30">
        <v>0</v>
      </c>
      <c r="AD51" s="37">
        <v>1</v>
      </c>
    </row>
    <row r="52" spans="1:30" x14ac:dyDescent="0.25">
      <c r="A52" s="36">
        <v>1515</v>
      </c>
      <c r="B52" s="14" t="s">
        <v>3057</v>
      </c>
      <c r="C52" s="14" t="s">
        <v>3058</v>
      </c>
      <c r="D52" s="17">
        <v>44135</v>
      </c>
      <c r="E52" s="14" t="s">
        <v>30</v>
      </c>
      <c r="F52" s="14">
        <v>565</v>
      </c>
      <c r="G52" s="14">
        <v>145</v>
      </c>
      <c r="H52" s="14">
        <v>8</v>
      </c>
      <c r="I52" s="14">
        <v>4</v>
      </c>
      <c r="J52" s="14" t="s">
        <v>204</v>
      </c>
      <c r="K52" s="14" cm="1">
        <f t="array" ref="K52">INT(SUMPRODUCT(--ISNUMBER(SEARCH(economy,C52)))&gt;0)</f>
        <v>0</v>
      </c>
      <c r="L52" s="14" cm="1">
        <f t="array" ref="L52">INT(SUMPRODUCT(--ISNUMBER(SEARCH(healthcare,C52)))&gt;0)</f>
        <v>0</v>
      </c>
      <c r="M52" s="14" cm="1">
        <f t="array" ref="M52">INT(SUMPRODUCT(--ISNUMBER(SEARCH(supreme,C52)))&gt;0)</f>
        <v>0</v>
      </c>
      <c r="N52" s="14" cm="1">
        <f t="array" ref="N52">INT(SUMPRODUCT(--ISNUMBER(SEARCH(covid,C52)))&gt;0)</f>
        <v>0</v>
      </c>
      <c r="O52" s="14" cm="1">
        <f t="array" ref="O52">INT(SUMPRODUCT(--ISNUMBER(SEARCH(violent,C52)))&gt;0)</f>
        <v>0</v>
      </c>
      <c r="P52" s="14" cm="1">
        <f t="array" ref="P52">INT(SUMPRODUCT(--ISNUMBER(SEARCH(foreign,C52)))&gt;0)</f>
        <v>0</v>
      </c>
      <c r="Q52" s="14" cm="1">
        <f t="array" ref="Q52">INT(SUMPRODUCT(--ISNUMBER(SEARCH(gun,C52)))&gt;0)</f>
        <v>0</v>
      </c>
      <c r="R52" s="14" cm="1">
        <f t="array" ref="R52">INT(SUMPRODUCT(--ISNUMBER(SEARCH(race,C52)))&gt;0)</f>
        <v>0</v>
      </c>
      <c r="S52" s="14" cm="1">
        <f t="array" ref="S52">INT(SUMPRODUCT(--ISNUMBER(SEARCH(immigration,C52)))&gt;0)</f>
        <v>0</v>
      </c>
      <c r="T52" s="14" cm="1">
        <f t="array" ref="T52">INT(SUMPRODUCT(--ISNUMBER(SEARCH(econineq,C53)))&gt;0)</f>
        <v>0</v>
      </c>
      <c r="U52" s="14" cm="1">
        <f t="array" ref="U52">INT(SUMPRODUCT(--ISNUMBER(SEARCH(climate,C52)))&gt;0)</f>
        <v>0</v>
      </c>
      <c r="V52" s="14" cm="1">
        <f t="array" ref="V52">INT(SUMPRODUCT(--ISNUMBER(SEARCH(abortion,C52)))&gt;0)</f>
        <v>0</v>
      </c>
      <c r="W52" s="14" cm="1">
        <f t="array" ref="W52">INT(SUMPRODUCT(--ISNUMBER(SEARCH(trump,C52)))&gt;0)</f>
        <v>0</v>
      </c>
      <c r="X52" s="14" cm="1">
        <f t="array" ref="X52">INT(SUMPRODUCT(--ISNUMBER(SEARCH(voting,C52)))&gt;0)</f>
        <v>0</v>
      </c>
      <c r="Y52" s="14" cm="1">
        <f t="array" ref="Y52">INT(SUMPRODUCT(--ISNUMBER(SEARCH(democrattrigger,C52)))&gt;0)</f>
        <v>0</v>
      </c>
      <c r="Z52" s="14" cm="1">
        <f t="array" ref="Z52">INT(SUMPRODUCT(--ISNUMBER(SEARCH(bipartisan,C52)))&gt;0)</f>
        <v>0</v>
      </c>
      <c r="AA52" s="14">
        <f t="shared" si="0"/>
        <v>1</v>
      </c>
      <c r="AB52" s="14"/>
      <c r="AC52" s="30">
        <v>0</v>
      </c>
      <c r="AD52" s="37">
        <v>1</v>
      </c>
    </row>
    <row r="53" spans="1:30" x14ac:dyDescent="0.25">
      <c r="A53" s="36">
        <v>1516</v>
      </c>
      <c r="B53" s="14" t="s">
        <v>3059</v>
      </c>
      <c r="C53" s="14" t="s">
        <v>3060</v>
      </c>
      <c r="D53" s="17">
        <v>44135</v>
      </c>
      <c r="E53" s="14" t="s">
        <v>30</v>
      </c>
      <c r="F53" s="14">
        <v>653</v>
      </c>
      <c r="G53" s="14">
        <v>128</v>
      </c>
      <c r="H53" s="14">
        <v>8</v>
      </c>
      <c r="I53" s="14">
        <v>4</v>
      </c>
      <c r="J53" s="14" t="s">
        <v>204</v>
      </c>
      <c r="K53" s="14" cm="1">
        <f t="array" ref="K53">INT(SUMPRODUCT(--ISNUMBER(SEARCH(economy,C53)))&gt;0)</f>
        <v>1</v>
      </c>
      <c r="L53" s="14" cm="1">
        <f t="array" ref="L53">INT(SUMPRODUCT(--ISNUMBER(SEARCH(healthcare,C53)))&gt;0)</f>
        <v>0</v>
      </c>
      <c r="M53" s="14" cm="1">
        <f t="array" ref="M53">INT(SUMPRODUCT(--ISNUMBER(SEARCH(supreme,C53)))&gt;0)</f>
        <v>0</v>
      </c>
      <c r="N53" s="14" cm="1">
        <f t="array" ref="N53">INT(SUMPRODUCT(--ISNUMBER(SEARCH(covid,C53)))&gt;0)</f>
        <v>0</v>
      </c>
      <c r="O53" s="14" cm="1">
        <f t="array" ref="O53">INT(SUMPRODUCT(--ISNUMBER(SEARCH(violent,C53)))&gt;0)</f>
        <v>0</v>
      </c>
      <c r="P53" s="14" cm="1">
        <f t="array" ref="P53">INT(SUMPRODUCT(--ISNUMBER(SEARCH(foreign,C53)))&gt;0)</f>
        <v>0</v>
      </c>
      <c r="Q53" s="14" cm="1">
        <f t="array" ref="Q53">INT(SUMPRODUCT(--ISNUMBER(SEARCH(gun,C53)))&gt;0)</f>
        <v>0</v>
      </c>
      <c r="R53" s="14" cm="1">
        <f t="array" ref="R53">INT(SUMPRODUCT(--ISNUMBER(SEARCH(race,C53)))&gt;0)</f>
        <v>0</v>
      </c>
      <c r="S53" s="14" cm="1">
        <f t="array" ref="S53">INT(SUMPRODUCT(--ISNUMBER(SEARCH(immigration,C53)))&gt;0)</f>
        <v>0</v>
      </c>
      <c r="T53" s="14" cm="1">
        <f t="array" ref="T53">INT(SUMPRODUCT(--ISNUMBER(SEARCH(econineq,C54)))&gt;0)</f>
        <v>0</v>
      </c>
      <c r="U53" s="14" cm="1">
        <f t="array" ref="U53">INT(SUMPRODUCT(--ISNUMBER(SEARCH(climate,C53)))&gt;0)</f>
        <v>0</v>
      </c>
      <c r="V53" s="14" cm="1">
        <f t="array" ref="V53">INT(SUMPRODUCT(--ISNUMBER(SEARCH(abortion,C53)))&gt;0)</f>
        <v>0</v>
      </c>
      <c r="W53" s="14" cm="1">
        <f t="array" ref="W53">INT(SUMPRODUCT(--ISNUMBER(SEARCH(trump,C53)))&gt;0)</f>
        <v>0</v>
      </c>
      <c r="X53" s="14" cm="1">
        <f t="array" ref="X53">INT(SUMPRODUCT(--ISNUMBER(SEARCH(voting,C53)))&gt;0)</f>
        <v>0</v>
      </c>
      <c r="Y53" s="14" cm="1">
        <f t="array" ref="Y53">INT(SUMPRODUCT(--ISNUMBER(SEARCH(democrattrigger,C53)))&gt;0)</f>
        <v>0</v>
      </c>
      <c r="Z53" s="14" cm="1">
        <f t="array" ref="Z53">INT(SUMPRODUCT(--ISNUMBER(SEARCH(bipartisan,C53)))&gt;0)</f>
        <v>0</v>
      </c>
      <c r="AA53" s="14">
        <f t="shared" si="0"/>
        <v>0</v>
      </c>
      <c r="AB53" s="14"/>
      <c r="AC53" s="30">
        <v>1</v>
      </c>
      <c r="AD53" s="37">
        <v>0</v>
      </c>
    </row>
    <row r="54" spans="1:30" x14ac:dyDescent="0.25">
      <c r="A54" s="36">
        <v>1517</v>
      </c>
      <c r="B54" s="14" t="s">
        <v>3061</v>
      </c>
      <c r="C54" s="14" t="s">
        <v>3062</v>
      </c>
      <c r="D54" s="17">
        <v>44135</v>
      </c>
      <c r="E54" s="14" t="s">
        <v>30</v>
      </c>
      <c r="F54" s="14">
        <v>834</v>
      </c>
      <c r="G54" s="14">
        <v>176</v>
      </c>
      <c r="H54" s="14">
        <v>8</v>
      </c>
      <c r="I54" s="14">
        <v>4</v>
      </c>
      <c r="J54" s="14" t="s">
        <v>204</v>
      </c>
      <c r="K54" s="14" cm="1">
        <f t="array" ref="K54">INT(SUMPRODUCT(--ISNUMBER(SEARCH(economy,C54)))&gt;0)</f>
        <v>0</v>
      </c>
      <c r="L54" s="14" cm="1">
        <f t="array" ref="L54">INT(SUMPRODUCT(--ISNUMBER(SEARCH(healthcare,C54)))&gt;0)</f>
        <v>0</v>
      </c>
      <c r="M54" s="14" cm="1">
        <f t="array" ref="M54">INT(SUMPRODUCT(--ISNUMBER(SEARCH(supreme,C54)))&gt;0)</f>
        <v>0</v>
      </c>
      <c r="N54" s="14" cm="1">
        <f t="array" ref="N54">INT(SUMPRODUCT(--ISNUMBER(SEARCH(covid,C54)))&gt;0)</f>
        <v>0</v>
      </c>
      <c r="O54" s="14" cm="1">
        <f t="array" ref="O54">INT(SUMPRODUCT(--ISNUMBER(SEARCH(violent,C54)))&gt;0)</f>
        <v>0</v>
      </c>
      <c r="P54" s="14" cm="1">
        <f t="array" ref="P54">INT(SUMPRODUCT(--ISNUMBER(SEARCH(foreign,C54)))&gt;0)</f>
        <v>0</v>
      </c>
      <c r="Q54" s="14" cm="1">
        <f t="array" ref="Q54">INT(SUMPRODUCT(--ISNUMBER(SEARCH(gun,C54)))&gt;0)</f>
        <v>0</v>
      </c>
      <c r="R54" s="14" cm="1">
        <f t="array" ref="R54">INT(SUMPRODUCT(--ISNUMBER(SEARCH(race,C54)))&gt;0)</f>
        <v>0</v>
      </c>
      <c r="S54" s="14" cm="1">
        <f t="array" ref="S54">INT(SUMPRODUCT(--ISNUMBER(SEARCH(immigration,C54)))&gt;0)</f>
        <v>0</v>
      </c>
      <c r="T54" s="14" cm="1">
        <f t="array" ref="T54">INT(SUMPRODUCT(--ISNUMBER(SEARCH(econineq,C55)))&gt;0)</f>
        <v>0</v>
      </c>
      <c r="U54" s="14" cm="1">
        <f t="array" ref="U54">INT(SUMPRODUCT(--ISNUMBER(SEARCH(climate,C54)))&gt;0)</f>
        <v>0</v>
      </c>
      <c r="V54" s="14" cm="1">
        <f t="array" ref="V54">INT(SUMPRODUCT(--ISNUMBER(SEARCH(abortion,C54)))&gt;0)</f>
        <v>0</v>
      </c>
      <c r="W54" s="14" cm="1">
        <f t="array" ref="W54">INT(SUMPRODUCT(--ISNUMBER(SEARCH(trump,C54)))&gt;0)</f>
        <v>0</v>
      </c>
      <c r="X54" s="14" cm="1">
        <f t="array" ref="X54">INT(SUMPRODUCT(--ISNUMBER(SEARCH(voting,C54)))&gt;0)</f>
        <v>0</v>
      </c>
      <c r="Y54" s="14" cm="1">
        <f t="array" ref="Y54">INT(SUMPRODUCT(--ISNUMBER(SEARCH(democrattrigger,C54)))&gt;0)</f>
        <v>0</v>
      </c>
      <c r="Z54" s="14" cm="1">
        <f t="array" ref="Z54">INT(SUMPRODUCT(--ISNUMBER(SEARCH(bipartisan,C54)))&gt;0)</f>
        <v>0</v>
      </c>
      <c r="AA54" s="14">
        <f t="shared" si="0"/>
        <v>1</v>
      </c>
      <c r="AB54" s="14"/>
      <c r="AC54" s="30">
        <v>0</v>
      </c>
      <c r="AD54" s="37">
        <v>1</v>
      </c>
    </row>
    <row r="55" spans="1:30" x14ac:dyDescent="0.25">
      <c r="A55" s="36">
        <v>1518</v>
      </c>
      <c r="B55" s="14" t="s">
        <v>3063</v>
      </c>
      <c r="C55" s="14" t="s">
        <v>3064</v>
      </c>
      <c r="D55" s="17">
        <v>44135</v>
      </c>
      <c r="E55" s="14" t="s">
        <v>30</v>
      </c>
      <c r="F55" s="14">
        <v>800</v>
      </c>
      <c r="G55" s="14">
        <v>138</v>
      </c>
      <c r="H55" s="14">
        <v>8</v>
      </c>
      <c r="I55" s="14">
        <v>4</v>
      </c>
      <c r="J55" s="14" t="s">
        <v>204</v>
      </c>
      <c r="K55" s="14" cm="1">
        <f t="array" ref="K55">INT(SUMPRODUCT(--ISNUMBER(SEARCH(economy,C55)))&gt;0)</f>
        <v>1</v>
      </c>
      <c r="L55" s="14" cm="1">
        <f t="array" ref="L55">INT(SUMPRODUCT(--ISNUMBER(SEARCH(healthcare,C55)))&gt;0)</f>
        <v>0</v>
      </c>
      <c r="M55" s="14" cm="1">
        <f t="array" ref="M55">INT(SUMPRODUCT(--ISNUMBER(SEARCH(supreme,C55)))&gt;0)</f>
        <v>0</v>
      </c>
      <c r="N55" s="14" cm="1">
        <f t="array" ref="N55">INT(SUMPRODUCT(--ISNUMBER(SEARCH(covid,C55)))&gt;0)</f>
        <v>0</v>
      </c>
      <c r="O55" s="14" cm="1">
        <f t="array" ref="O55">INT(SUMPRODUCT(--ISNUMBER(SEARCH(violent,C55)))&gt;0)</f>
        <v>0</v>
      </c>
      <c r="P55" s="14" cm="1">
        <f t="array" ref="P55">INT(SUMPRODUCT(--ISNUMBER(SEARCH(foreign,C55)))&gt;0)</f>
        <v>0</v>
      </c>
      <c r="Q55" s="14" cm="1">
        <f t="array" ref="Q55">INT(SUMPRODUCT(--ISNUMBER(SEARCH(gun,C55)))&gt;0)</f>
        <v>0</v>
      </c>
      <c r="R55" s="14" cm="1">
        <f t="array" ref="R55">INT(SUMPRODUCT(--ISNUMBER(SEARCH(race,C55)))&gt;0)</f>
        <v>0</v>
      </c>
      <c r="S55" s="14" cm="1">
        <f t="array" ref="S55">INT(SUMPRODUCT(--ISNUMBER(SEARCH(immigration,C55)))&gt;0)</f>
        <v>0</v>
      </c>
      <c r="T55" s="14" cm="1">
        <f t="array" ref="T55">INT(SUMPRODUCT(--ISNUMBER(SEARCH(econineq,C56)))&gt;0)</f>
        <v>0</v>
      </c>
      <c r="U55" s="14" cm="1">
        <f t="array" ref="U55">INT(SUMPRODUCT(--ISNUMBER(SEARCH(climate,C55)))&gt;0)</f>
        <v>0</v>
      </c>
      <c r="V55" s="14" cm="1">
        <f t="array" ref="V55">INT(SUMPRODUCT(--ISNUMBER(SEARCH(abortion,C55)))&gt;0)</f>
        <v>0</v>
      </c>
      <c r="W55" s="14" cm="1">
        <f t="array" ref="W55">INT(SUMPRODUCT(--ISNUMBER(SEARCH(trump,C55)))&gt;0)</f>
        <v>0</v>
      </c>
      <c r="X55" s="14" cm="1">
        <f t="array" ref="X55">INT(SUMPRODUCT(--ISNUMBER(SEARCH(voting,C55)))&gt;0)</f>
        <v>0</v>
      </c>
      <c r="Y55" s="14" cm="1">
        <f t="array" ref="Y55">INT(SUMPRODUCT(--ISNUMBER(SEARCH(democrattrigger,C55)))&gt;0)</f>
        <v>0</v>
      </c>
      <c r="Z55" s="14" cm="1">
        <f t="array" ref="Z55">INT(SUMPRODUCT(--ISNUMBER(SEARCH(bipartisan,C55)))&gt;0)</f>
        <v>0</v>
      </c>
      <c r="AA55" s="14">
        <f t="shared" si="0"/>
        <v>0</v>
      </c>
      <c r="AB55" s="14"/>
      <c r="AC55" s="30">
        <v>1</v>
      </c>
      <c r="AD55" s="37">
        <v>0</v>
      </c>
    </row>
    <row r="56" spans="1:30" x14ac:dyDescent="0.25">
      <c r="A56" s="36">
        <v>1519</v>
      </c>
      <c r="B56" s="14" t="s">
        <v>3065</v>
      </c>
      <c r="C56" s="14" t="s">
        <v>3066</v>
      </c>
      <c r="D56" s="17">
        <v>44135</v>
      </c>
      <c r="E56" s="14" t="s">
        <v>30</v>
      </c>
      <c r="F56" s="14">
        <v>1398</v>
      </c>
      <c r="G56" s="14">
        <v>165</v>
      </c>
      <c r="H56" s="14">
        <v>8</v>
      </c>
      <c r="I56" s="14">
        <v>4</v>
      </c>
      <c r="J56" s="14" t="s">
        <v>204</v>
      </c>
      <c r="K56" s="14" cm="1">
        <f t="array" ref="K56">INT(SUMPRODUCT(--ISNUMBER(SEARCH(economy,C56)))&gt;0)</f>
        <v>0</v>
      </c>
      <c r="L56" s="14" cm="1">
        <f t="array" ref="L56">INT(SUMPRODUCT(--ISNUMBER(SEARCH(healthcare,C56)))&gt;0)</f>
        <v>0</v>
      </c>
      <c r="M56" s="14" cm="1">
        <f t="array" ref="M56">INT(SUMPRODUCT(--ISNUMBER(SEARCH(supreme,C56)))&gt;0)</f>
        <v>0</v>
      </c>
      <c r="N56" s="14" cm="1">
        <f t="array" ref="N56">INT(SUMPRODUCT(--ISNUMBER(SEARCH(covid,C56)))&gt;0)</f>
        <v>0</v>
      </c>
      <c r="O56" s="14" cm="1">
        <f t="array" ref="O56">INT(SUMPRODUCT(--ISNUMBER(SEARCH(violent,C56)))&gt;0)</f>
        <v>0</v>
      </c>
      <c r="P56" s="14" cm="1">
        <f t="array" ref="P56">INT(SUMPRODUCT(--ISNUMBER(SEARCH(foreign,C56)))&gt;0)</f>
        <v>0</v>
      </c>
      <c r="Q56" s="14" cm="1">
        <f t="array" ref="Q56">INT(SUMPRODUCT(--ISNUMBER(SEARCH(gun,C56)))&gt;0)</f>
        <v>0</v>
      </c>
      <c r="R56" s="14" cm="1">
        <f t="array" ref="R56">INT(SUMPRODUCT(--ISNUMBER(SEARCH(race,C56)))&gt;0)</f>
        <v>0</v>
      </c>
      <c r="S56" s="14" cm="1">
        <f t="array" ref="S56">INT(SUMPRODUCT(--ISNUMBER(SEARCH(immigration,C56)))&gt;0)</f>
        <v>0</v>
      </c>
      <c r="T56" s="14" cm="1">
        <f t="array" ref="T56">INT(SUMPRODUCT(--ISNUMBER(SEARCH(econineq,C57)))&gt;0)</f>
        <v>0</v>
      </c>
      <c r="U56" s="14" cm="1">
        <f t="array" ref="U56">INT(SUMPRODUCT(--ISNUMBER(SEARCH(climate,C56)))&gt;0)</f>
        <v>0</v>
      </c>
      <c r="V56" s="14" cm="1">
        <f t="array" ref="V56">INT(SUMPRODUCT(--ISNUMBER(SEARCH(abortion,C56)))&gt;0)</f>
        <v>0</v>
      </c>
      <c r="W56" s="14" cm="1">
        <f t="array" ref="W56">INT(SUMPRODUCT(--ISNUMBER(SEARCH(trump,C56)))&gt;0)</f>
        <v>0</v>
      </c>
      <c r="X56" s="14" cm="1">
        <f t="array" ref="X56">INT(SUMPRODUCT(--ISNUMBER(SEARCH(voting,C56)))&gt;0)</f>
        <v>0</v>
      </c>
      <c r="Y56" s="14" cm="1">
        <f t="array" ref="Y56">INT(SUMPRODUCT(--ISNUMBER(SEARCH(democrattrigger,C56)))&gt;0)</f>
        <v>0</v>
      </c>
      <c r="Z56" s="14" cm="1">
        <f t="array" ref="Z56">INT(SUMPRODUCT(--ISNUMBER(SEARCH(bipartisan,C56)))&gt;0)</f>
        <v>0</v>
      </c>
      <c r="AA56" s="14">
        <f t="shared" si="0"/>
        <v>1</v>
      </c>
      <c r="AB56" s="14"/>
      <c r="AC56" s="30" t="s">
        <v>223</v>
      </c>
      <c r="AD56" s="37" t="s">
        <v>223</v>
      </c>
    </row>
    <row r="57" spans="1:30" x14ac:dyDescent="0.25">
      <c r="A57" s="36">
        <v>1520</v>
      </c>
      <c r="B57" s="14" t="s">
        <v>3067</v>
      </c>
      <c r="C57" s="14" t="s">
        <v>3068</v>
      </c>
      <c r="D57" s="17">
        <v>44135</v>
      </c>
      <c r="E57" s="14" t="s">
        <v>30</v>
      </c>
      <c r="F57" s="14">
        <v>4384</v>
      </c>
      <c r="G57" s="14">
        <v>742</v>
      </c>
      <c r="H57" s="14">
        <v>8</v>
      </c>
      <c r="I57" s="14">
        <v>4</v>
      </c>
      <c r="J57" s="14" t="s">
        <v>204</v>
      </c>
      <c r="K57" s="14" cm="1">
        <f t="array" ref="K57">INT(SUMPRODUCT(--ISNUMBER(SEARCH(economy,C57)))&gt;0)</f>
        <v>0</v>
      </c>
      <c r="L57" s="14" cm="1">
        <f t="array" ref="L57">INT(SUMPRODUCT(--ISNUMBER(SEARCH(healthcare,C57)))&gt;0)</f>
        <v>0</v>
      </c>
      <c r="M57" s="14" cm="1">
        <f t="array" ref="M57">INT(SUMPRODUCT(--ISNUMBER(SEARCH(supreme,C57)))&gt;0)</f>
        <v>0</v>
      </c>
      <c r="N57" s="14" cm="1">
        <f t="array" ref="N57">INT(SUMPRODUCT(--ISNUMBER(SEARCH(covid,C57)))&gt;0)</f>
        <v>0</v>
      </c>
      <c r="O57" s="14" cm="1">
        <f t="array" ref="O57">INT(SUMPRODUCT(--ISNUMBER(SEARCH(violent,C57)))&gt;0)</f>
        <v>0</v>
      </c>
      <c r="P57" s="14" cm="1">
        <f t="array" ref="P57">INT(SUMPRODUCT(--ISNUMBER(SEARCH(foreign,C57)))&gt;0)</f>
        <v>0</v>
      </c>
      <c r="Q57" s="14" cm="1">
        <f t="array" ref="Q57">INT(SUMPRODUCT(--ISNUMBER(SEARCH(gun,C57)))&gt;0)</f>
        <v>0</v>
      </c>
      <c r="R57" s="14" cm="1">
        <f t="array" ref="R57">INT(SUMPRODUCT(--ISNUMBER(SEARCH(race,C57)))&gt;0)</f>
        <v>0</v>
      </c>
      <c r="S57" s="14" cm="1">
        <f t="array" ref="S57">INT(SUMPRODUCT(--ISNUMBER(SEARCH(immigration,C57)))&gt;0)</f>
        <v>0</v>
      </c>
      <c r="T57" s="14" cm="1">
        <f t="array" ref="T57">INT(SUMPRODUCT(--ISNUMBER(SEARCH(econineq,C58)))&gt;0)</f>
        <v>0</v>
      </c>
      <c r="U57" s="14" cm="1">
        <f t="array" ref="U57">INT(SUMPRODUCT(--ISNUMBER(SEARCH(climate,C57)))&gt;0)</f>
        <v>0</v>
      </c>
      <c r="V57" s="14" cm="1">
        <f t="array" ref="V57">INT(SUMPRODUCT(--ISNUMBER(SEARCH(abortion,C57)))&gt;0)</f>
        <v>0</v>
      </c>
      <c r="W57" s="14" cm="1">
        <f t="array" ref="W57">INT(SUMPRODUCT(--ISNUMBER(SEARCH(trump,C57)))&gt;0)</f>
        <v>0</v>
      </c>
      <c r="X57" s="14" cm="1">
        <f t="array" ref="X57">INT(SUMPRODUCT(--ISNUMBER(SEARCH(voting,C57)))&gt;0)</f>
        <v>1</v>
      </c>
      <c r="Y57" s="14" cm="1">
        <f t="array" ref="Y57">INT(SUMPRODUCT(--ISNUMBER(SEARCH(democrattrigger,C57)))&gt;0)</f>
        <v>0</v>
      </c>
      <c r="Z57" s="14" cm="1">
        <f t="array" ref="Z57">INT(SUMPRODUCT(--ISNUMBER(SEARCH(bipartisan,C57)))&gt;0)</f>
        <v>0</v>
      </c>
      <c r="AA57" s="14">
        <f t="shared" si="0"/>
        <v>0</v>
      </c>
      <c r="AB57" s="14"/>
      <c r="AC57" s="30">
        <v>0</v>
      </c>
      <c r="AD57" s="37">
        <v>1</v>
      </c>
    </row>
    <row r="58" spans="1:30" x14ac:dyDescent="0.25">
      <c r="A58" s="36">
        <v>1521</v>
      </c>
      <c r="B58" s="14" t="s">
        <v>3069</v>
      </c>
      <c r="C58" s="14" t="s">
        <v>3070</v>
      </c>
      <c r="D58" s="17">
        <v>44135</v>
      </c>
      <c r="E58" s="14" t="s">
        <v>30</v>
      </c>
      <c r="F58" s="14">
        <v>392</v>
      </c>
      <c r="G58" s="14">
        <v>56</v>
      </c>
      <c r="H58" s="14">
        <v>8</v>
      </c>
      <c r="I58" s="14">
        <v>4</v>
      </c>
      <c r="J58" s="14" t="s">
        <v>204</v>
      </c>
      <c r="K58" s="14" cm="1">
        <f t="array" ref="K58">INT(SUMPRODUCT(--ISNUMBER(SEARCH(economy,C58)))&gt;0)</f>
        <v>0</v>
      </c>
      <c r="L58" s="14" cm="1">
        <f t="array" ref="L58">INT(SUMPRODUCT(--ISNUMBER(SEARCH(healthcare,C58)))&gt;0)</f>
        <v>0</v>
      </c>
      <c r="M58" s="14" cm="1">
        <f t="array" ref="M58">INT(SUMPRODUCT(--ISNUMBER(SEARCH(supreme,C58)))&gt;0)</f>
        <v>0</v>
      </c>
      <c r="N58" s="14" cm="1">
        <f t="array" ref="N58">INT(SUMPRODUCT(--ISNUMBER(SEARCH(covid,C58)))&gt;0)</f>
        <v>0</v>
      </c>
      <c r="O58" s="14" cm="1">
        <f t="array" ref="O58">INT(SUMPRODUCT(--ISNUMBER(SEARCH(violent,C58)))&gt;0)</f>
        <v>0</v>
      </c>
      <c r="P58" s="14" cm="1">
        <f t="array" ref="P58">INT(SUMPRODUCT(--ISNUMBER(SEARCH(foreign,C58)))&gt;0)</f>
        <v>0</v>
      </c>
      <c r="Q58" s="14" cm="1">
        <f t="array" ref="Q58">INT(SUMPRODUCT(--ISNUMBER(SEARCH(gun,C58)))&gt;0)</f>
        <v>0</v>
      </c>
      <c r="R58" s="14" cm="1">
        <f t="array" ref="R58">INT(SUMPRODUCT(--ISNUMBER(SEARCH(race,C58)))&gt;0)</f>
        <v>0</v>
      </c>
      <c r="S58" s="14" cm="1">
        <f t="array" ref="S58">INT(SUMPRODUCT(--ISNUMBER(SEARCH(immigration,C58)))&gt;0)</f>
        <v>0</v>
      </c>
      <c r="T58" s="14" cm="1">
        <f t="array" ref="T58">INT(SUMPRODUCT(--ISNUMBER(SEARCH(econineq,C59)))&gt;0)</f>
        <v>0</v>
      </c>
      <c r="U58" s="14" cm="1">
        <f t="array" ref="U58">INT(SUMPRODUCT(--ISNUMBER(SEARCH(climate,C58)))&gt;0)</f>
        <v>0</v>
      </c>
      <c r="V58" s="14" cm="1">
        <f t="array" ref="V58">INT(SUMPRODUCT(--ISNUMBER(SEARCH(abortion,C58)))&gt;0)</f>
        <v>0</v>
      </c>
      <c r="W58" s="14" cm="1">
        <f t="array" ref="W58">INT(SUMPRODUCT(--ISNUMBER(SEARCH(trump,C58)))&gt;0)</f>
        <v>0</v>
      </c>
      <c r="X58" s="14" cm="1">
        <f t="array" ref="X58">INT(SUMPRODUCT(--ISNUMBER(SEARCH(voting,C58)))&gt;0)</f>
        <v>0</v>
      </c>
      <c r="Y58" s="14" cm="1">
        <f t="array" ref="Y58">INT(SUMPRODUCT(--ISNUMBER(SEARCH(democrattrigger,C58)))&gt;0)</f>
        <v>0</v>
      </c>
      <c r="Z58" s="14" cm="1">
        <f t="array" ref="Z58">INT(SUMPRODUCT(--ISNUMBER(SEARCH(bipartisan,C58)))&gt;0)</f>
        <v>0</v>
      </c>
      <c r="AA58" s="14">
        <f t="shared" si="0"/>
        <v>1</v>
      </c>
      <c r="AB58" s="14"/>
      <c r="AC58" s="30">
        <v>1</v>
      </c>
      <c r="AD58" s="37">
        <v>0</v>
      </c>
    </row>
    <row r="59" spans="1:30" x14ac:dyDescent="0.25">
      <c r="A59" s="36">
        <v>1522</v>
      </c>
      <c r="B59" s="14" t="s">
        <v>3071</v>
      </c>
      <c r="C59" s="14" t="s">
        <v>3072</v>
      </c>
      <c r="D59" s="17">
        <v>44135</v>
      </c>
      <c r="E59" s="14" t="s">
        <v>30</v>
      </c>
      <c r="F59" s="14">
        <v>1041</v>
      </c>
      <c r="G59" s="14">
        <v>216</v>
      </c>
      <c r="H59" s="14">
        <v>8</v>
      </c>
      <c r="I59" s="14">
        <v>4</v>
      </c>
      <c r="J59" s="14" t="s">
        <v>204</v>
      </c>
      <c r="K59" s="14" cm="1">
        <f t="array" ref="K59">INT(SUMPRODUCT(--ISNUMBER(SEARCH(economy,C59)))&gt;0)</f>
        <v>0</v>
      </c>
      <c r="L59" s="14" cm="1">
        <f t="array" ref="L59">INT(SUMPRODUCT(--ISNUMBER(SEARCH(healthcare,C59)))&gt;0)</f>
        <v>0</v>
      </c>
      <c r="M59" s="14" cm="1">
        <f t="array" ref="M59">INT(SUMPRODUCT(--ISNUMBER(SEARCH(supreme,C59)))&gt;0)</f>
        <v>0</v>
      </c>
      <c r="N59" s="14" cm="1">
        <f t="array" ref="N59">INT(SUMPRODUCT(--ISNUMBER(SEARCH(covid,C59)))&gt;0)</f>
        <v>0</v>
      </c>
      <c r="O59" s="14" cm="1">
        <f t="array" ref="O59">INT(SUMPRODUCT(--ISNUMBER(SEARCH(violent,C59)))&gt;0)</f>
        <v>0</v>
      </c>
      <c r="P59" s="14" cm="1">
        <f t="array" ref="P59">INT(SUMPRODUCT(--ISNUMBER(SEARCH(foreign,C59)))&gt;0)</f>
        <v>0</v>
      </c>
      <c r="Q59" s="14" cm="1">
        <f t="array" ref="Q59">INT(SUMPRODUCT(--ISNUMBER(SEARCH(gun,C59)))&gt;0)</f>
        <v>0</v>
      </c>
      <c r="R59" s="14" cm="1">
        <f t="array" ref="R59">INT(SUMPRODUCT(--ISNUMBER(SEARCH(race,C59)))&gt;0)</f>
        <v>0</v>
      </c>
      <c r="S59" s="14" cm="1">
        <f t="array" ref="S59">INT(SUMPRODUCT(--ISNUMBER(SEARCH(immigration,C59)))&gt;0)</f>
        <v>0</v>
      </c>
      <c r="T59" s="14" cm="1">
        <f t="array" ref="T59">INT(SUMPRODUCT(--ISNUMBER(SEARCH(econineq,C60)))&gt;0)</f>
        <v>0</v>
      </c>
      <c r="U59" s="14" cm="1">
        <f t="array" ref="U59">INT(SUMPRODUCT(--ISNUMBER(SEARCH(climate,C59)))&gt;0)</f>
        <v>0</v>
      </c>
      <c r="V59" s="14" cm="1">
        <f t="array" ref="V59">INT(SUMPRODUCT(--ISNUMBER(SEARCH(abortion,C59)))&gt;0)</f>
        <v>0</v>
      </c>
      <c r="W59" s="14" cm="1">
        <f t="array" ref="W59">INT(SUMPRODUCT(--ISNUMBER(SEARCH(trump,C59)))&gt;0)</f>
        <v>0</v>
      </c>
      <c r="X59" s="14" cm="1">
        <f t="array" ref="X59">INT(SUMPRODUCT(--ISNUMBER(SEARCH(voting,C59)))&gt;0)</f>
        <v>0</v>
      </c>
      <c r="Y59" s="14" cm="1">
        <f t="array" ref="Y59">INT(SUMPRODUCT(--ISNUMBER(SEARCH(democrattrigger,C59)))&gt;0)</f>
        <v>0</v>
      </c>
      <c r="Z59" s="14" cm="1">
        <f t="array" ref="Z59">INT(SUMPRODUCT(--ISNUMBER(SEARCH(bipartisan,C59)))&gt;0)</f>
        <v>0</v>
      </c>
      <c r="AA59" s="14">
        <f t="shared" si="0"/>
        <v>1</v>
      </c>
      <c r="AB59" s="14"/>
      <c r="AC59" s="30">
        <v>1</v>
      </c>
      <c r="AD59" s="37">
        <v>0</v>
      </c>
    </row>
    <row r="60" spans="1:30" x14ac:dyDescent="0.25">
      <c r="A60" s="36">
        <v>1523</v>
      </c>
      <c r="B60" s="14" t="s">
        <v>3073</v>
      </c>
      <c r="C60" s="14" t="s">
        <v>3074</v>
      </c>
      <c r="D60" s="17">
        <v>44135</v>
      </c>
      <c r="E60" s="14" t="s">
        <v>30</v>
      </c>
      <c r="F60" s="14">
        <v>882</v>
      </c>
      <c r="G60" s="14">
        <v>164</v>
      </c>
      <c r="H60" s="14">
        <v>8</v>
      </c>
      <c r="I60" s="14">
        <v>4</v>
      </c>
      <c r="J60" s="14" t="s">
        <v>204</v>
      </c>
      <c r="K60" s="14" cm="1">
        <f t="array" ref="K60">INT(SUMPRODUCT(--ISNUMBER(SEARCH(economy,C60)))&gt;0)</f>
        <v>0</v>
      </c>
      <c r="L60" s="14" cm="1">
        <f t="array" ref="L60">INT(SUMPRODUCT(--ISNUMBER(SEARCH(healthcare,C60)))&gt;0)</f>
        <v>0</v>
      </c>
      <c r="M60" s="14" cm="1">
        <f t="array" ref="M60">INT(SUMPRODUCT(--ISNUMBER(SEARCH(supreme,C60)))&gt;0)</f>
        <v>0</v>
      </c>
      <c r="N60" s="14" cm="1">
        <f t="array" ref="N60">INT(SUMPRODUCT(--ISNUMBER(SEARCH(covid,C60)))&gt;0)</f>
        <v>0</v>
      </c>
      <c r="O60" s="14" cm="1">
        <f t="array" ref="O60">INT(SUMPRODUCT(--ISNUMBER(SEARCH(violent,C60)))&gt;0)</f>
        <v>0</v>
      </c>
      <c r="P60" s="14" cm="1">
        <f t="array" ref="P60">INT(SUMPRODUCT(--ISNUMBER(SEARCH(foreign,C60)))&gt;0)</f>
        <v>0</v>
      </c>
      <c r="Q60" s="14" cm="1">
        <f t="array" ref="Q60">INT(SUMPRODUCT(--ISNUMBER(SEARCH(gun,C60)))&gt;0)</f>
        <v>0</v>
      </c>
      <c r="R60" s="14" cm="1">
        <f t="array" ref="R60">INT(SUMPRODUCT(--ISNUMBER(SEARCH(race,C60)))&gt;0)</f>
        <v>0</v>
      </c>
      <c r="S60" s="14" cm="1">
        <f t="array" ref="S60">INT(SUMPRODUCT(--ISNUMBER(SEARCH(immigration,C60)))&gt;0)</f>
        <v>0</v>
      </c>
      <c r="T60" s="14" cm="1">
        <f t="array" ref="T60">INT(SUMPRODUCT(--ISNUMBER(SEARCH(econineq,C61)))&gt;0)</f>
        <v>0</v>
      </c>
      <c r="U60" s="14" cm="1">
        <f t="array" ref="U60">INT(SUMPRODUCT(--ISNUMBER(SEARCH(climate,C60)))&gt;0)</f>
        <v>0</v>
      </c>
      <c r="V60" s="14" cm="1">
        <f t="array" ref="V60">INT(SUMPRODUCT(--ISNUMBER(SEARCH(abortion,C60)))&gt;0)</f>
        <v>0</v>
      </c>
      <c r="W60" s="14" cm="1">
        <f t="array" ref="W60">INT(SUMPRODUCT(--ISNUMBER(SEARCH(trump,C60)))&gt;0)</f>
        <v>0</v>
      </c>
      <c r="X60" s="14" cm="1">
        <f t="array" ref="X60">INT(SUMPRODUCT(--ISNUMBER(SEARCH(voting,C60)))&gt;0)</f>
        <v>1</v>
      </c>
      <c r="Y60" s="14" cm="1">
        <f t="array" ref="Y60">INT(SUMPRODUCT(--ISNUMBER(SEARCH(democrattrigger,C60)))&gt;0)</f>
        <v>0</v>
      </c>
      <c r="Z60" s="14" cm="1">
        <f t="array" ref="Z60">INT(SUMPRODUCT(--ISNUMBER(SEARCH(bipartisan,C60)))&gt;0)</f>
        <v>0</v>
      </c>
      <c r="AA60" s="14">
        <f t="shared" si="0"/>
        <v>0</v>
      </c>
      <c r="AB60" s="14"/>
      <c r="AC60" s="30">
        <v>1</v>
      </c>
      <c r="AD60" s="37">
        <v>0</v>
      </c>
    </row>
    <row r="61" spans="1:30" x14ac:dyDescent="0.25">
      <c r="A61" s="36">
        <v>1524</v>
      </c>
      <c r="B61" s="14" t="s">
        <v>3075</v>
      </c>
      <c r="C61" s="14" t="s">
        <v>3076</v>
      </c>
      <c r="D61" s="17">
        <v>44134</v>
      </c>
      <c r="E61" s="14" t="s">
        <v>30</v>
      </c>
      <c r="F61" s="14">
        <v>772</v>
      </c>
      <c r="G61" s="14">
        <v>162</v>
      </c>
      <c r="H61" s="14">
        <v>8</v>
      </c>
      <c r="I61" s="14">
        <v>4</v>
      </c>
      <c r="J61" s="14" t="s">
        <v>204</v>
      </c>
      <c r="K61" s="14" cm="1">
        <f t="array" ref="K61">INT(SUMPRODUCT(--ISNUMBER(SEARCH(economy,C61)))&gt;0)</f>
        <v>0</v>
      </c>
      <c r="L61" s="14" cm="1">
        <f t="array" ref="L61">INT(SUMPRODUCT(--ISNUMBER(SEARCH(healthcare,C61)))&gt;0)</f>
        <v>0</v>
      </c>
      <c r="M61" s="14" cm="1">
        <f t="array" ref="M61">INT(SUMPRODUCT(--ISNUMBER(SEARCH(supreme,C61)))&gt;0)</f>
        <v>0</v>
      </c>
      <c r="N61" s="14" cm="1">
        <f t="array" ref="N61">INT(SUMPRODUCT(--ISNUMBER(SEARCH(covid,C61)))&gt;0)</f>
        <v>0</v>
      </c>
      <c r="O61" s="14" cm="1">
        <f t="array" ref="O61">INT(SUMPRODUCT(--ISNUMBER(SEARCH(violent,C61)))&gt;0)</f>
        <v>0</v>
      </c>
      <c r="P61" s="14" cm="1">
        <f t="array" ref="P61">INT(SUMPRODUCT(--ISNUMBER(SEARCH(foreign,C61)))&gt;0)</f>
        <v>0</v>
      </c>
      <c r="Q61" s="14" cm="1">
        <f t="array" ref="Q61">INT(SUMPRODUCT(--ISNUMBER(SEARCH(gun,C61)))&gt;0)</f>
        <v>0</v>
      </c>
      <c r="R61" s="14" cm="1">
        <f t="array" ref="R61">INT(SUMPRODUCT(--ISNUMBER(SEARCH(race,C61)))&gt;0)</f>
        <v>0</v>
      </c>
      <c r="S61" s="14" cm="1">
        <f t="array" ref="S61">INT(SUMPRODUCT(--ISNUMBER(SEARCH(immigration,C61)))&gt;0)</f>
        <v>0</v>
      </c>
      <c r="T61" s="14" cm="1">
        <f t="array" ref="T61">INT(SUMPRODUCT(--ISNUMBER(SEARCH(econineq,C62)))&gt;0)</f>
        <v>0</v>
      </c>
      <c r="U61" s="14" cm="1">
        <f t="array" ref="U61">INT(SUMPRODUCT(--ISNUMBER(SEARCH(climate,C61)))&gt;0)</f>
        <v>0</v>
      </c>
      <c r="V61" s="14" cm="1">
        <f t="array" ref="V61">INT(SUMPRODUCT(--ISNUMBER(SEARCH(abortion,C61)))&gt;0)</f>
        <v>0</v>
      </c>
      <c r="W61" s="14" cm="1">
        <f t="array" ref="W61">INT(SUMPRODUCT(--ISNUMBER(SEARCH(trump,C61)))&gt;0)</f>
        <v>0</v>
      </c>
      <c r="X61" s="14" cm="1">
        <f t="array" ref="X61">INT(SUMPRODUCT(--ISNUMBER(SEARCH(voting,C61)))&gt;0)</f>
        <v>0</v>
      </c>
      <c r="Y61" s="14" cm="1">
        <f t="array" ref="Y61">INT(SUMPRODUCT(--ISNUMBER(SEARCH(democrattrigger,C61)))&gt;0)</f>
        <v>0</v>
      </c>
      <c r="Z61" s="14" cm="1">
        <f t="array" ref="Z61">INT(SUMPRODUCT(--ISNUMBER(SEARCH(bipartisan,C61)))&gt;0)</f>
        <v>0</v>
      </c>
      <c r="AA61" s="14">
        <f t="shared" si="0"/>
        <v>1</v>
      </c>
      <c r="AB61" s="14"/>
      <c r="AC61" s="30">
        <v>0</v>
      </c>
      <c r="AD61" s="37">
        <v>1</v>
      </c>
    </row>
    <row r="62" spans="1:30" x14ac:dyDescent="0.25">
      <c r="A62" s="36">
        <v>1525</v>
      </c>
      <c r="B62" s="14" t="s">
        <v>3077</v>
      </c>
      <c r="C62" s="14" t="s">
        <v>3078</v>
      </c>
      <c r="D62" s="17">
        <v>44134</v>
      </c>
      <c r="E62" s="14" t="s">
        <v>30</v>
      </c>
      <c r="F62" s="14">
        <v>847</v>
      </c>
      <c r="G62" s="14">
        <v>146</v>
      </c>
      <c r="H62" s="14">
        <v>8</v>
      </c>
      <c r="I62" s="14">
        <v>4</v>
      </c>
      <c r="J62" s="14" t="s">
        <v>204</v>
      </c>
      <c r="K62" s="14" cm="1">
        <f t="array" ref="K62">INT(SUMPRODUCT(--ISNUMBER(SEARCH(economy,C62)))&gt;0)</f>
        <v>1</v>
      </c>
      <c r="L62" s="14" cm="1">
        <f t="array" ref="L62">INT(SUMPRODUCT(--ISNUMBER(SEARCH(healthcare,C62)))&gt;0)</f>
        <v>0</v>
      </c>
      <c r="M62" s="14" cm="1">
        <f t="array" ref="M62">INT(SUMPRODUCT(--ISNUMBER(SEARCH(supreme,C62)))&gt;0)</f>
        <v>0</v>
      </c>
      <c r="N62" s="14" cm="1">
        <f t="array" ref="N62">INT(SUMPRODUCT(--ISNUMBER(SEARCH(covid,C62)))&gt;0)</f>
        <v>0</v>
      </c>
      <c r="O62" s="14" cm="1">
        <f t="array" ref="O62">INT(SUMPRODUCT(--ISNUMBER(SEARCH(violent,C62)))&gt;0)</f>
        <v>0</v>
      </c>
      <c r="P62" s="14" cm="1">
        <f t="array" ref="P62">INT(SUMPRODUCT(--ISNUMBER(SEARCH(foreign,C62)))&gt;0)</f>
        <v>0</v>
      </c>
      <c r="Q62" s="14" cm="1">
        <f t="array" ref="Q62">INT(SUMPRODUCT(--ISNUMBER(SEARCH(gun,C62)))&gt;0)</f>
        <v>0</v>
      </c>
      <c r="R62" s="14" cm="1">
        <f t="array" ref="R62">INT(SUMPRODUCT(--ISNUMBER(SEARCH(race,C62)))&gt;0)</f>
        <v>0</v>
      </c>
      <c r="S62" s="14" cm="1">
        <f t="array" ref="S62">INT(SUMPRODUCT(--ISNUMBER(SEARCH(immigration,C62)))&gt;0)</f>
        <v>0</v>
      </c>
      <c r="T62" s="14" cm="1">
        <f t="array" ref="T62">INT(SUMPRODUCT(--ISNUMBER(SEARCH(econineq,C63)))&gt;0)</f>
        <v>0</v>
      </c>
      <c r="U62" s="14" cm="1">
        <f t="array" ref="U62">INT(SUMPRODUCT(--ISNUMBER(SEARCH(climate,C62)))&gt;0)</f>
        <v>0</v>
      </c>
      <c r="V62" s="14" cm="1">
        <f t="array" ref="V62">INT(SUMPRODUCT(--ISNUMBER(SEARCH(abortion,C62)))&gt;0)</f>
        <v>0</v>
      </c>
      <c r="W62" s="14" cm="1">
        <f t="array" ref="W62">INT(SUMPRODUCT(--ISNUMBER(SEARCH(trump,C62)))&gt;0)</f>
        <v>0</v>
      </c>
      <c r="X62" s="14" cm="1">
        <f t="array" ref="X62">INT(SUMPRODUCT(--ISNUMBER(SEARCH(voting,C62)))&gt;0)</f>
        <v>0</v>
      </c>
      <c r="Y62" s="14" cm="1">
        <f t="array" ref="Y62">INT(SUMPRODUCT(--ISNUMBER(SEARCH(democrattrigger,C62)))&gt;0)</f>
        <v>0</v>
      </c>
      <c r="Z62" s="14" cm="1">
        <f t="array" ref="Z62">INT(SUMPRODUCT(--ISNUMBER(SEARCH(bipartisan,C62)))&gt;0)</f>
        <v>0</v>
      </c>
      <c r="AA62" s="14">
        <f t="shared" si="0"/>
        <v>0</v>
      </c>
      <c r="AB62" s="14"/>
      <c r="AC62" s="30">
        <v>1</v>
      </c>
      <c r="AD62" s="37">
        <v>0</v>
      </c>
    </row>
    <row r="63" spans="1:30" x14ac:dyDescent="0.25">
      <c r="A63" s="36">
        <v>1526</v>
      </c>
      <c r="B63" s="14" t="s">
        <v>3079</v>
      </c>
      <c r="C63" s="14" t="s">
        <v>3080</v>
      </c>
      <c r="D63" s="17">
        <v>44134</v>
      </c>
      <c r="E63" s="14" t="s">
        <v>30</v>
      </c>
      <c r="F63" s="14">
        <v>666</v>
      </c>
      <c r="G63" s="14">
        <v>313</v>
      </c>
      <c r="H63" s="14">
        <v>8</v>
      </c>
      <c r="I63" s="14">
        <v>4</v>
      </c>
      <c r="J63" s="14" t="s">
        <v>204</v>
      </c>
      <c r="K63" s="14" cm="1">
        <f t="array" ref="K63">INT(SUMPRODUCT(--ISNUMBER(SEARCH(economy,C63)))&gt;0)</f>
        <v>0</v>
      </c>
      <c r="L63" s="14" cm="1">
        <f t="array" ref="L63">INT(SUMPRODUCT(--ISNUMBER(SEARCH(healthcare,C63)))&gt;0)</f>
        <v>0</v>
      </c>
      <c r="M63" s="14" cm="1">
        <f t="array" ref="M63">INT(SUMPRODUCT(--ISNUMBER(SEARCH(supreme,C63)))&gt;0)</f>
        <v>0</v>
      </c>
      <c r="N63" s="14" cm="1">
        <f t="array" ref="N63">INT(SUMPRODUCT(--ISNUMBER(SEARCH(covid,C63)))&gt;0)</f>
        <v>0</v>
      </c>
      <c r="O63" s="14" cm="1">
        <f t="array" ref="O63">INT(SUMPRODUCT(--ISNUMBER(SEARCH(violent,C63)))&gt;0)</f>
        <v>0</v>
      </c>
      <c r="P63" s="14" cm="1">
        <f t="array" ref="P63">INT(SUMPRODUCT(--ISNUMBER(SEARCH(foreign,C63)))&gt;0)</f>
        <v>0</v>
      </c>
      <c r="Q63" s="14" cm="1">
        <f t="array" ref="Q63">INT(SUMPRODUCT(--ISNUMBER(SEARCH(gun,C63)))&gt;0)</f>
        <v>0</v>
      </c>
      <c r="R63" s="14" cm="1">
        <f t="array" ref="R63">INT(SUMPRODUCT(--ISNUMBER(SEARCH(race,C63)))&gt;0)</f>
        <v>0</v>
      </c>
      <c r="S63" s="14" cm="1">
        <f t="array" ref="S63">INT(SUMPRODUCT(--ISNUMBER(SEARCH(immigration,C63)))&gt;0)</f>
        <v>0</v>
      </c>
      <c r="T63" s="14" cm="1">
        <f t="array" ref="T63">INT(SUMPRODUCT(--ISNUMBER(SEARCH(econineq,C64)))&gt;0)</f>
        <v>0</v>
      </c>
      <c r="U63" s="14" cm="1">
        <f t="array" ref="U63">INT(SUMPRODUCT(--ISNUMBER(SEARCH(climate,C63)))&gt;0)</f>
        <v>0</v>
      </c>
      <c r="V63" s="14" cm="1">
        <f t="array" ref="V63">INT(SUMPRODUCT(--ISNUMBER(SEARCH(abortion,C63)))&gt;0)</f>
        <v>0</v>
      </c>
      <c r="W63" s="14" cm="1">
        <f t="array" ref="W63">INT(SUMPRODUCT(--ISNUMBER(SEARCH(trump,C63)))&gt;0)</f>
        <v>0</v>
      </c>
      <c r="X63" s="14" cm="1">
        <f t="array" ref="X63">INT(SUMPRODUCT(--ISNUMBER(SEARCH(voting,C63)))&gt;0)</f>
        <v>0</v>
      </c>
      <c r="Y63" s="14" cm="1">
        <f t="array" ref="Y63">INT(SUMPRODUCT(--ISNUMBER(SEARCH(democrattrigger,C63)))&gt;0)</f>
        <v>0</v>
      </c>
      <c r="Z63" s="14" cm="1">
        <f t="array" ref="Z63">INT(SUMPRODUCT(--ISNUMBER(SEARCH(bipartisan,C63)))&gt;0)</f>
        <v>0</v>
      </c>
      <c r="AA63" s="14">
        <f t="shared" si="0"/>
        <v>1</v>
      </c>
      <c r="AB63" s="14"/>
      <c r="AC63" s="30">
        <v>0</v>
      </c>
      <c r="AD63" s="37">
        <v>1</v>
      </c>
    </row>
    <row r="64" spans="1:30" x14ac:dyDescent="0.25">
      <c r="A64" s="36">
        <v>1527</v>
      </c>
      <c r="B64" s="14" t="s">
        <v>3081</v>
      </c>
      <c r="C64" s="14" t="s">
        <v>3082</v>
      </c>
      <c r="D64" s="17">
        <v>44134</v>
      </c>
      <c r="E64" s="14" t="s">
        <v>30</v>
      </c>
      <c r="F64" s="14">
        <v>555</v>
      </c>
      <c r="G64" s="14">
        <v>113</v>
      </c>
      <c r="H64" s="14">
        <v>8</v>
      </c>
      <c r="I64" s="14">
        <v>4</v>
      </c>
      <c r="J64" s="14" t="s">
        <v>204</v>
      </c>
      <c r="K64" s="14" cm="1">
        <f t="array" ref="K64">INT(SUMPRODUCT(--ISNUMBER(SEARCH(economy,C64)))&gt;0)</f>
        <v>1</v>
      </c>
      <c r="L64" s="14" cm="1">
        <f t="array" ref="L64">INT(SUMPRODUCT(--ISNUMBER(SEARCH(healthcare,C64)))&gt;0)</f>
        <v>0</v>
      </c>
      <c r="M64" s="14" cm="1">
        <f t="array" ref="M64">INT(SUMPRODUCT(--ISNUMBER(SEARCH(supreme,C64)))&gt;0)</f>
        <v>0</v>
      </c>
      <c r="N64" s="14" cm="1">
        <f t="array" ref="N64">INT(SUMPRODUCT(--ISNUMBER(SEARCH(covid,C64)))&gt;0)</f>
        <v>0</v>
      </c>
      <c r="O64" s="14" cm="1">
        <f t="array" ref="O64">INT(SUMPRODUCT(--ISNUMBER(SEARCH(violent,C64)))&gt;0)</f>
        <v>0</v>
      </c>
      <c r="P64" s="14" cm="1">
        <f t="array" ref="P64">INT(SUMPRODUCT(--ISNUMBER(SEARCH(foreign,C64)))&gt;0)</f>
        <v>0</v>
      </c>
      <c r="Q64" s="14" cm="1">
        <f t="array" ref="Q64">INT(SUMPRODUCT(--ISNUMBER(SEARCH(gun,C64)))&gt;0)</f>
        <v>0</v>
      </c>
      <c r="R64" s="14" cm="1">
        <f t="array" ref="R64">INT(SUMPRODUCT(--ISNUMBER(SEARCH(race,C64)))&gt;0)</f>
        <v>0</v>
      </c>
      <c r="S64" s="14" cm="1">
        <f t="array" ref="S64">INT(SUMPRODUCT(--ISNUMBER(SEARCH(immigration,C64)))&gt;0)</f>
        <v>0</v>
      </c>
      <c r="T64" s="14" cm="1">
        <f t="array" ref="T64">INT(SUMPRODUCT(--ISNUMBER(SEARCH(econineq,C65)))&gt;0)</f>
        <v>0</v>
      </c>
      <c r="U64" s="14" cm="1">
        <f t="array" ref="U64">INT(SUMPRODUCT(--ISNUMBER(SEARCH(climate,C64)))&gt;0)</f>
        <v>0</v>
      </c>
      <c r="V64" s="14" cm="1">
        <f t="array" ref="V64">INT(SUMPRODUCT(--ISNUMBER(SEARCH(abortion,C64)))&gt;0)</f>
        <v>0</v>
      </c>
      <c r="W64" s="14" cm="1">
        <f t="array" ref="W64">INT(SUMPRODUCT(--ISNUMBER(SEARCH(trump,C64)))&gt;0)</f>
        <v>0</v>
      </c>
      <c r="X64" s="14" cm="1">
        <f t="array" ref="X64">INT(SUMPRODUCT(--ISNUMBER(SEARCH(voting,C64)))&gt;0)</f>
        <v>0</v>
      </c>
      <c r="Y64" s="14" cm="1">
        <f t="array" ref="Y64">INT(SUMPRODUCT(--ISNUMBER(SEARCH(democrattrigger,C64)))&gt;0)</f>
        <v>0</v>
      </c>
      <c r="Z64" s="14" cm="1">
        <f t="array" ref="Z64">INT(SUMPRODUCT(--ISNUMBER(SEARCH(bipartisan,C64)))&gt;0)</f>
        <v>0</v>
      </c>
      <c r="AA64" s="14">
        <f t="shared" si="0"/>
        <v>0</v>
      </c>
      <c r="AB64" s="14"/>
      <c r="AC64" s="30">
        <v>1</v>
      </c>
      <c r="AD64" s="37">
        <v>0</v>
      </c>
    </row>
    <row r="65" spans="1:30" x14ac:dyDescent="0.25">
      <c r="A65" s="36">
        <v>1528</v>
      </c>
      <c r="B65" s="14" t="s">
        <v>3083</v>
      </c>
      <c r="C65" s="14" t="s">
        <v>3084</v>
      </c>
      <c r="D65" s="17">
        <v>44134</v>
      </c>
      <c r="E65" s="14" t="s">
        <v>30</v>
      </c>
      <c r="F65" s="14">
        <v>663</v>
      </c>
      <c r="G65" s="14">
        <v>135</v>
      </c>
      <c r="H65" s="14">
        <v>8</v>
      </c>
      <c r="I65" s="14">
        <v>4</v>
      </c>
      <c r="J65" s="14" t="s">
        <v>204</v>
      </c>
      <c r="K65" s="14" cm="1">
        <f t="array" ref="K65">INT(SUMPRODUCT(--ISNUMBER(SEARCH(economy,C65)))&gt;0)</f>
        <v>0</v>
      </c>
      <c r="L65" s="14" cm="1">
        <f t="array" ref="L65">INT(SUMPRODUCT(--ISNUMBER(SEARCH(healthcare,C65)))&gt;0)</f>
        <v>0</v>
      </c>
      <c r="M65" s="14" cm="1">
        <f t="array" ref="M65">INT(SUMPRODUCT(--ISNUMBER(SEARCH(supreme,C65)))&gt;0)</f>
        <v>0</v>
      </c>
      <c r="N65" s="14" cm="1">
        <f t="array" ref="N65">INT(SUMPRODUCT(--ISNUMBER(SEARCH(covid,C65)))&gt;0)</f>
        <v>0</v>
      </c>
      <c r="O65" s="14" cm="1">
        <f t="array" ref="O65">INT(SUMPRODUCT(--ISNUMBER(SEARCH(violent,C65)))&gt;0)</f>
        <v>0</v>
      </c>
      <c r="P65" s="14" cm="1">
        <f t="array" ref="P65">INT(SUMPRODUCT(--ISNUMBER(SEARCH(foreign,C65)))&gt;0)</f>
        <v>0</v>
      </c>
      <c r="Q65" s="14" cm="1">
        <f t="array" ref="Q65">INT(SUMPRODUCT(--ISNUMBER(SEARCH(gun,C65)))&gt;0)</f>
        <v>0</v>
      </c>
      <c r="R65" s="14" cm="1">
        <f t="array" ref="R65">INT(SUMPRODUCT(--ISNUMBER(SEARCH(race,C65)))&gt;0)</f>
        <v>0</v>
      </c>
      <c r="S65" s="14" cm="1">
        <f t="array" ref="S65">INT(SUMPRODUCT(--ISNUMBER(SEARCH(immigration,C65)))&gt;0)</f>
        <v>0</v>
      </c>
      <c r="T65" s="14" cm="1">
        <f t="array" ref="T65">INT(SUMPRODUCT(--ISNUMBER(SEARCH(econineq,C66)))&gt;0)</f>
        <v>0</v>
      </c>
      <c r="U65" s="14" cm="1">
        <f t="array" ref="U65">INT(SUMPRODUCT(--ISNUMBER(SEARCH(climate,C65)))&gt;0)</f>
        <v>0</v>
      </c>
      <c r="V65" s="14" cm="1">
        <f t="array" ref="V65">INT(SUMPRODUCT(--ISNUMBER(SEARCH(abortion,C65)))&gt;0)</f>
        <v>0</v>
      </c>
      <c r="W65" s="14" cm="1">
        <f t="array" ref="W65">INT(SUMPRODUCT(--ISNUMBER(SEARCH(trump,C65)))&gt;0)</f>
        <v>0</v>
      </c>
      <c r="X65" s="14" cm="1">
        <f t="array" ref="X65">INT(SUMPRODUCT(--ISNUMBER(SEARCH(voting,C65)))&gt;0)</f>
        <v>0</v>
      </c>
      <c r="Y65" s="14" cm="1">
        <f t="array" ref="Y65">INT(SUMPRODUCT(--ISNUMBER(SEARCH(democrattrigger,C65)))&gt;0)</f>
        <v>0</v>
      </c>
      <c r="Z65" s="14" cm="1">
        <f t="array" ref="Z65">INT(SUMPRODUCT(--ISNUMBER(SEARCH(bipartisan,C65)))&gt;0)</f>
        <v>0</v>
      </c>
      <c r="AA65" s="14">
        <f t="shared" si="0"/>
        <v>1</v>
      </c>
      <c r="AB65" s="14"/>
      <c r="AC65" s="30">
        <v>0</v>
      </c>
      <c r="AD65" s="37">
        <v>1</v>
      </c>
    </row>
    <row r="66" spans="1:30" x14ac:dyDescent="0.25">
      <c r="A66" s="36">
        <v>1529</v>
      </c>
      <c r="B66" s="14" t="s">
        <v>3085</v>
      </c>
      <c r="C66" s="14" t="s">
        <v>3086</v>
      </c>
      <c r="D66" s="17">
        <v>44134</v>
      </c>
      <c r="E66" s="14" t="s">
        <v>30</v>
      </c>
      <c r="F66" s="14">
        <v>566</v>
      </c>
      <c r="G66" s="14">
        <v>109</v>
      </c>
      <c r="H66" s="14">
        <v>8</v>
      </c>
      <c r="I66" s="14">
        <v>4</v>
      </c>
      <c r="J66" s="14" t="s">
        <v>204</v>
      </c>
      <c r="K66" s="14" cm="1">
        <f t="array" ref="K66">INT(SUMPRODUCT(--ISNUMBER(SEARCH(economy,C66)))&gt;0)</f>
        <v>0</v>
      </c>
      <c r="L66" s="14" cm="1">
        <f t="array" ref="L66">INT(SUMPRODUCT(--ISNUMBER(SEARCH(healthcare,C66)))&gt;0)</f>
        <v>0</v>
      </c>
      <c r="M66" s="14" cm="1">
        <f t="array" ref="M66">INT(SUMPRODUCT(--ISNUMBER(SEARCH(supreme,C66)))&gt;0)</f>
        <v>0</v>
      </c>
      <c r="N66" s="14" cm="1">
        <f t="array" ref="N66">INT(SUMPRODUCT(--ISNUMBER(SEARCH(covid,C66)))&gt;0)</f>
        <v>0</v>
      </c>
      <c r="O66" s="14" cm="1">
        <f t="array" ref="O66">INT(SUMPRODUCT(--ISNUMBER(SEARCH(violent,C66)))&gt;0)</f>
        <v>0</v>
      </c>
      <c r="P66" s="14" cm="1">
        <f t="array" ref="P66">INT(SUMPRODUCT(--ISNUMBER(SEARCH(foreign,C66)))&gt;0)</f>
        <v>0</v>
      </c>
      <c r="Q66" s="14" cm="1">
        <f t="array" ref="Q66">INT(SUMPRODUCT(--ISNUMBER(SEARCH(gun,C66)))&gt;0)</f>
        <v>0</v>
      </c>
      <c r="R66" s="14" cm="1">
        <f t="array" ref="R66">INT(SUMPRODUCT(--ISNUMBER(SEARCH(race,C66)))&gt;0)</f>
        <v>0</v>
      </c>
      <c r="S66" s="14" cm="1">
        <f t="array" ref="S66">INT(SUMPRODUCT(--ISNUMBER(SEARCH(immigration,C66)))&gt;0)</f>
        <v>0</v>
      </c>
      <c r="T66" s="14" cm="1">
        <f t="array" ref="T66">INT(SUMPRODUCT(--ISNUMBER(SEARCH(econineq,C67)))&gt;0)</f>
        <v>0</v>
      </c>
      <c r="U66" s="14" cm="1">
        <f t="array" ref="U66">INT(SUMPRODUCT(--ISNUMBER(SEARCH(climate,C66)))&gt;0)</f>
        <v>0</v>
      </c>
      <c r="V66" s="14" cm="1">
        <f t="array" ref="V66">INT(SUMPRODUCT(--ISNUMBER(SEARCH(abortion,C66)))&gt;0)</f>
        <v>0</v>
      </c>
      <c r="W66" s="14" cm="1">
        <f t="array" ref="W66">INT(SUMPRODUCT(--ISNUMBER(SEARCH(trump,C66)))&gt;0)</f>
        <v>0</v>
      </c>
      <c r="X66" s="14" cm="1">
        <f t="array" ref="X66">INT(SUMPRODUCT(--ISNUMBER(SEARCH(voting,C66)))&gt;0)</f>
        <v>0</v>
      </c>
      <c r="Y66" s="14" cm="1">
        <f t="array" ref="Y66">INT(SUMPRODUCT(--ISNUMBER(SEARCH(democrattrigger,C66)))&gt;0)</f>
        <v>0</v>
      </c>
      <c r="Z66" s="14" cm="1">
        <f t="array" ref="Z66">INT(SUMPRODUCT(--ISNUMBER(SEARCH(bipartisan,C66)))&gt;0)</f>
        <v>0</v>
      </c>
      <c r="AA66" s="14">
        <f t="shared" si="0"/>
        <v>1</v>
      </c>
      <c r="AB66" s="14"/>
      <c r="AC66" s="30">
        <v>1</v>
      </c>
      <c r="AD66" s="37">
        <v>0</v>
      </c>
    </row>
    <row r="67" spans="1:30" x14ac:dyDescent="0.25">
      <c r="A67" s="36">
        <v>1530</v>
      </c>
      <c r="B67" s="14" t="s">
        <v>3087</v>
      </c>
      <c r="C67" s="14" t="s">
        <v>3088</v>
      </c>
      <c r="D67" s="17">
        <v>44134</v>
      </c>
      <c r="E67" s="14" t="s">
        <v>30</v>
      </c>
      <c r="F67" s="14">
        <v>494</v>
      </c>
      <c r="G67" s="14">
        <v>110</v>
      </c>
      <c r="H67" s="14">
        <v>8</v>
      </c>
      <c r="I67" s="14">
        <v>4</v>
      </c>
      <c r="J67" s="14" t="s">
        <v>204</v>
      </c>
      <c r="K67" s="14" cm="1">
        <f t="array" ref="K67">INT(SUMPRODUCT(--ISNUMBER(SEARCH(economy,C67)))&gt;0)</f>
        <v>0</v>
      </c>
      <c r="L67" s="14" cm="1">
        <f t="array" ref="L67">INT(SUMPRODUCT(--ISNUMBER(SEARCH(healthcare,C67)))&gt;0)</f>
        <v>0</v>
      </c>
      <c r="M67" s="14" cm="1">
        <f t="array" ref="M67">INT(SUMPRODUCT(--ISNUMBER(SEARCH(supreme,C67)))&gt;0)</f>
        <v>0</v>
      </c>
      <c r="N67" s="14" cm="1">
        <f t="array" ref="N67">INT(SUMPRODUCT(--ISNUMBER(SEARCH(covid,C67)))&gt;0)</f>
        <v>0</v>
      </c>
      <c r="O67" s="14" cm="1">
        <f t="array" ref="O67">INT(SUMPRODUCT(--ISNUMBER(SEARCH(violent,C67)))&gt;0)</f>
        <v>0</v>
      </c>
      <c r="P67" s="14" cm="1">
        <f t="array" ref="P67">INT(SUMPRODUCT(--ISNUMBER(SEARCH(foreign,C67)))&gt;0)</f>
        <v>0</v>
      </c>
      <c r="Q67" s="14" cm="1">
        <f t="array" ref="Q67">INT(SUMPRODUCT(--ISNUMBER(SEARCH(gun,C67)))&gt;0)</f>
        <v>0</v>
      </c>
      <c r="R67" s="14" cm="1">
        <f t="array" ref="R67">INT(SUMPRODUCT(--ISNUMBER(SEARCH(race,C67)))&gt;0)</f>
        <v>0</v>
      </c>
      <c r="S67" s="14" cm="1">
        <f t="array" ref="S67">INT(SUMPRODUCT(--ISNUMBER(SEARCH(immigration,C67)))&gt;0)</f>
        <v>0</v>
      </c>
      <c r="T67" s="14" cm="1">
        <f t="array" ref="T67">INT(SUMPRODUCT(--ISNUMBER(SEARCH(econineq,C68)))&gt;0)</f>
        <v>0</v>
      </c>
      <c r="U67" s="14" cm="1">
        <f t="array" ref="U67">INT(SUMPRODUCT(--ISNUMBER(SEARCH(climate,C67)))&gt;0)</f>
        <v>0</v>
      </c>
      <c r="V67" s="14" cm="1">
        <f t="array" ref="V67">INT(SUMPRODUCT(--ISNUMBER(SEARCH(abortion,C67)))&gt;0)</f>
        <v>0</v>
      </c>
      <c r="W67" s="14" cm="1">
        <f t="array" ref="W67">INT(SUMPRODUCT(--ISNUMBER(SEARCH(trump,C67)))&gt;0)</f>
        <v>0</v>
      </c>
      <c r="X67" s="14" cm="1">
        <f t="array" ref="X67">INT(SUMPRODUCT(--ISNUMBER(SEARCH(voting,C67)))&gt;0)</f>
        <v>0</v>
      </c>
      <c r="Y67" s="14" cm="1">
        <f t="array" ref="Y67">INT(SUMPRODUCT(--ISNUMBER(SEARCH(democrattrigger,C67)))&gt;0)</f>
        <v>0</v>
      </c>
      <c r="Z67" s="14" cm="1">
        <f t="array" ref="Z67">INT(SUMPRODUCT(--ISNUMBER(SEARCH(bipartisan,C67)))&gt;0)</f>
        <v>0</v>
      </c>
      <c r="AA67" s="14">
        <f t="shared" ref="AA67:AA130" si="1">INT(IF(COUNTIF(K67:Z67,1)=0,"1","0"))</f>
        <v>1</v>
      </c>
      <c r="AB67" s="14"/>
      <c r="AC67" s="30">
        <v>0</v>
      </c>
      <c r="AD67" s="37">
        <v>1</v>
      </c>
    </row>
    <row r="68" spans="1:30" x14ac:dyDescent="0.25">
      <c r="A68" s="36">
        <v>1531</v>
      </c>
      <c r="B68" s="14" t="s">
        <v>3089</v>
      </c>
      <c r="C68" s="14" t="s">
        <v>3090</v>
      </c>
      <c r="D68" s="17">
        <v>44134</v>
      </c>
      <c r="E68" s="14" t="s">
        <v>30</v>
      </c>
      <c r="F68" s="14">
        <v>1380</v>
      </c>
      <c r="G68" s="14">
        <v>259</v>
      </c>
      <c r="H68" s="14">
        <v>8</v>
      </c>
      <c r="I68" s="14">
        <v>4</v>
      </c>
      <c r="J68" s="14" t="s">
        <v>204</v>
      </c>
      <c r="K68" s="14" cm="1">
        <f t="array" ref="K68">INT(SUMPRODUCT(--ISNUMBER(SEARCH(economy,C68)))&gt;0)</f>
        <v>0</v>
      </c>
      <c r="L68" s="14" cm="1">
        <f t="array" ref="L68">INT(SUMPRODUCT(--ISNUMBER(SEARCH(healthcare,C68)))&gt;0)</f>
        <v>1</v>
      </c>
      <c r="M68" s="14" cm="1">
        <f t="array" ref="M68">INT(SUMPRODUCT(--ISNUMBER(SEARCH(supreme,C68)))&gt;0)</f>
        <v>0</v>
      </c>
      <c r="N68" s="14" cm="1">
        <f t="array" ref="N68">INT(SUMPRODUCT(--ISNUMBER(SEARCH(covid,C68)))&gt;0)</f>
        <v>0</v>
      </c>
      <c r="O68" s="14" cm="1">
        <f t="array" ref="O68">INT(SUMPRODUCT(--ISNUMBER(SEARCH(violent,C68)))&gt;0)</f>
        <v>0</v>
      </c>
      <c r="P68" s="14" cm="1">
        <f t="array" ref="P68">INT(SUMPRODUCT(--ISNUMBER(SEARCH(foreign,C68)))&gt;0)</f>
        <v>0</v>
      </c>
      <c r="Q68" s="14" cm="1">
        <f t="array" ref="Q68">INT(SUMPRODUCT(--ISNUMBER(SEARCH(gun,C68)))&gt;0)</f>
        <v>0</v>
      </c>
      <c r="R68" s="14" cm="1">
        <f t="array" ref="R68">INT(SUMPRODUCT(--ISNUMBER(SEARCH(race,C68)))&gt;0)</f>
        <v>0</v>
      </c>
      <c r="S68" s="14" cm="1">
        <f t="array" ref="S68">INT(SUMPRODUCT(--ISNUMBER(SEARCH(immigration,C68)))&gt;0)</f>
        <v>0</v>
      </c>
      <c r="T68" s="14" cm="1">
        <f t="array" ref="T68">INT(SUMPRODUCT(--ISNUMBER(SEARCH(econineq,C69)))&gt;0)</f>
        <v>0</v>
      </c>
      <c r="U68" s="14" cm="1">
        <f t="array" ref="U68">INT(SUMPRODUCT(--ISNUMBER(SEARCH(climate,C68)))&gt;0)</f>
        <v>0</v>
      </c>
      <c r="V68" s="14" cm="1">
        <f t="array" ref="V68">INT(SUMPRODUCT(--ISNUMBER(SEARCH(abortion,C68)))&gt;0)</f>
        <v>0</v>
      </c>
      <c r="W68" s="14" cm="1">
        <f t="array" ref="W68">INT(SUMPRODUCT(--ISNUMBER(SEARCH(trump,C68)))&gt;0)</f>
        <v>0</v>
      </c>
      <c r="X68" s="14" cm="1">
        <f t="array" ref="X68">INT(SUMPRODUCT(--ISNUMBER(SEARCH(voting,C68)))&gt;0)</f>
        <v>1</v>
      </c>
      <c r="Y68" s="14" cm="1">
        <f t="array" ref="Y68">INT(SUMPRODUCT(--ISNUMBER(SEARCH(democrattrigger,C68)))&gt;0)</f>
        <v>0</v>
      </c>
      <c r="Z68" s="14" cm="1">
        <f t="array" ref="Z68">INT(SUMPRODUCT(--ISNUMBER(SEARCH(bipartisan,C68)))&gt;0)</f>
        <v>0</v>
      </c>
      <c r="AA68" s="14">
        <f t="shared" si="1"/>
        <v>0</v>
      </c>
      <c r="AB68" s="14"/>
      <c r="AC68" s="30">
        <v>1</v>
      </c>
      <c r="AD68" s="37">
        <v>0</v>
      </c>
    </row>
    <row r="69" spans="1:30" x14ac:dyDescent="0.25">
      <c r="A69" s="36">
        <v>1532</v>
      </c>
      <c r="B69" s="14" t="s">
        <v>3091</v>
      </c>
      <c r="C69" s="14" t="s">
        <v>3092</v>
      </c>
      <c r="D69" s="17">
        <v>44134</v>
      </c>
      <c r="E69" s="14" t="s">
        <v>70</v>
      </c>
      <c r="F69" s="14">
        <v>155</v>
      </c>
      <c r="G69" s="14">
        <v>32</v>
      </c>
      <c r="H69" s="14">
        <v>8</v>
      </c>
      <c r="I69" s="14">
        <v>4</v>
      </c>
      <c r="J69" s="14" t="s">
        <v>204</v>
      </c>
      <c r="K69" s="14" cm="1">
        <f t="array" ref="K69">INT(SUMPRODUCT(--ISNUMBER(SEARCH(economy,C69)))&gt;0)</f>
        <v>0</v>
      </c>
      <c r="L69" s="14" cm="1">
        <f t="array" ref="L69">INT(SUMPRODUCT(--ISNUMBER(SEARCH(healthcare,C69)))&gt;0)</f>
        <v>0</v>
      </c>
      <c r="M69" s="14" cm="1">
        <f t="array" ref="M69">INT(SUMPRODUCT(--ISNUMBER(SEARCH(supreme,C69)))&gt;0)</f>
        <v>0</v>
      </c>
      <c r="N69" s="14" cm="1">
        <f t="array" ref="N69">INT(SUMPRODUCT(--ISNUMBER(SEARCH(covid,C69)))&gt;0)</f>
        <v>0</v>
      </c>
      <c r="O69" s="14" cm="1">
        <f t="array" ref="O69">INT(SUMPRODUCT(--ISNUMBER(SEARCH(violent,C69)))&gt;0)</f>
        <v>0</v>
      </c>
      <c r="P69" s="14" cm="1">
        <f t="array" ref="P69">INT(SUMPRODUCT(--ISNUMBER(SEARCH(foreign,C69)))&gt;0)</f>
        <v>0</v>
      </c>
      <c r="Q69" s="14" cm="1">
        <f t="array" ref="Q69">INT(SUMPRODUCT(--ISNUMBER(SEARCH(gun,C69)))&gt;0)</f>
        <v>0</v>
      </c>
      <c r="R69" s="14" cm="1">
        <f t="array" ref="R69">INT(SUMPRODUCT(--ISNUMBER(SEARCH(race,C69)))&gt;0)</f>
        <v>0</v>
      </c>
      <c r="S69" s="14" cm="1">
        <f t="array" ref="S69">INT(SUMPRODUCT(--ISNUMBER(SEARCH(immigration,C69)))&gt;0)</f>
        <v>0</v>
      </c>
      <c r="T69" s="14" cm="1">
        <f t="array" ref="T69">INT(SUMPRODUCT(--ISNUMBER(SEARCH(econineq,C70)))&gt;0)</f>
        <v>0</v>
      </c>
      <c r="U69" s="14" cm="1">
        <f t="array" ref="U69">INT(SUMPRODUCT(--ISNUMBER(SEARCH(climate,C69)))&gt;0)</f>
        <v>0</v>
      </c>
      <c r="V69" s="14" cm="1">
        <f t="array" ref="V69">INT(SUMPRODUCT(--ISNUMBER(SEARCH(abortion,C69)))&gt;0)</f>
        <v>0</v>
      </c>
      <c r="W69" s="14" cm="1">
        <f t="array" ref="W69">INT(SUMPRODUCT(--ISNUMBER(SEARCH(trump,C69)))&gt;0)</f>
        <v>0</v>
      </c>
      <c r="X69" s="14" cm="1">
        <f t="array" ref="X69">INT(SUMPRODUCT(--ISNUMBER(SEARCH(voting,C69)))&gt;0)</f>
        <v>0</v>
      </c>
      <c r="Y69" s="14" cm="1">
        <f t="array" ref="Y69">INT(SUMPRODUCT(--ISNUMBER(SEARCH(democrattrigger,C69)))&gt;0)</f>
        <v>0</v>
      </c>
      <c r="Z69" s="14" cm="1">
        <f t="array" ref="Z69">INT(SUMPRODUCT(--ISNUMBER(SEARCH(bipartisan,C69)))&gt;0)</f>
        <v>0</v>
      </c>
      <c r="AA69" s="14">
        <f t="shared" si="1"/>
        <v>1</v>
      </c>
      <c r="AB69" s="14"/>
      <c r="AC69" s="30" t="s">
        <v>223</v>
      </c>
      <c r="AD69" s="37" t="s">
        <v>223</v>
      </c>
    </row>
    <row r="70" spans="1:30" x14ac:dyDescent="0.25">
      <c r="A70" s="36">
        <v>1533</v>
      </c>
      <c r="B70" s="14" t="s">
        <v>3093</v>
      </c>
      <c r="C70" s="14" t="s">
        <v>3094</v>
      </c>
      <c r="D70" s="17">
        <v>44134</v>
      </c>
      <c r="E70" s="14" t="s">
        <v>30</v>
      </c>
      <c r="F70" s="14">
        <v>652</v>
      </c>
      <c r="G70" s="14">
        <v>145</v>
      </c>
      <c r="H70" s="14">
        <v>8</v>
      </c>
      <c r="I70" s="14">
        <v>4</v>
      </c>
      <c r="J70" s="14" t="s">
        <v>204</v>
      </c>
      <c r="K70" s="14" cm="1">
        <f t="array" ref="K70">INT(SUMPRODUCT(--ISNUMBER(SEARCH(economy,C70)))&gt;0)</f>
        <v>0</v>
      </c>
      <c r="L70" s="14" cm="1">
        <f t="array" ref="L70">INT(SUMPRODUCT(--ISNUMBER(SEARCH(healthcare,C70)))&gt;0)</f>
        <v>0</v>
      </c>
      <c r="M70" s="14" cm="1">
        <f t="array" ref="M70">INT(SUMPRODUCT(--ISNUMBER(SEARCH(supreme,C70)))&gt;0)</f>
        <v>0</v>
      </c>
      <c r="N70" s="14" cm="1">
        <f t="array" ref="N70">INT(SUMPRODUCT(--ISNUMBER(SEARCH(covid,C70)))&gt;0)</f>
        <v>0</v>
      </c>
      <c r="O70" s="14" cm="1">
        <f t="array" ref="O70">INT(SUMPRODUCT(--ISNUMBER(SEARCH(violent,C70)))&gt;0)</f>
        <v>0</v>
      </c>
      <c r="P70" s="14" cm="1">
        <f t="array" ref="P70">INT(SUMPRODUCT(--ISNUMBER(SEARCH(foreign,C70)))&gt;0)</f>
        <v>0</v>
      </c>
      <c r="Q70" s="14" cm="1">
        <f t="array" ref="Q70">INT(SUMPRODUCT(--ISNUMBER(SEARCH(gun,C70)))&gt;0)</f>
        <v>0</v>
      </c>
      <c r="R70" s="14" cm="1">
        <f t="array" ref="R70">INT(SUMPRODUCT(--ISNUMBER(SEARCH(race,C70)))&gt;0)</f>
        <v>0</v>
      </c>
      <c r="S70" s="14" cm="1">
        <f t="array" ref="S70">INT(SUMPRODUCT(--ISNUMBER(SEARCH(immigration,C70)))&gt;0)</f>
        <v>0</v>
      </c>
      <c r="T70" s="14" cm="1">
        <f t="array" ref="T70">INT(SUMPRODUCT(--ISNUMBER(SEARCH(econineq,C71)))&gt;0)</f>
        <v>0</v>
      </c>
      <c r="U70" s="14" cm="1">
        <f t="array" ref="U70">INT(SUMPRODUCT(--ISNUMBER(SEARCH(climate,C70)))&gt;0)</f>
        <v>0</v>
      </c>
      <c r="V70" s="14" cm="1">
        <f t="array" ref="V70">INT(SUMPRODUCT(--ISNUMBER(SEARCH(abortion,C70)))&gt;0)</f>
        <v>0</v>
      </c>
      <c r="W70" s="14" cm="1">
        <f t="array" ref="W70">INT(SUMPRODUCT(--ISNUMBER(SEARCH(trump,C70)))&gt;0)</f>
        <v>0</v>
      </c>
      <c r="X70" s="14" cm="1">
        <f t="array" ref="X70">INT(SUMPRODUCT(--ISNUMBER(SEARCH(voting,C70)))&gt;0)</f>
        <v>0</v>
      </c>
      <c r="Y70" s="14" cm="1">
        <f t="array" ref="Y70">INT(SUMPRODUCT(--ISNUMBER(SEARCH(democrattrigger,C70)))&gt;0)</f>
        <v>0</v>
      </c>
      <c r="Z70" s="14" cm="1">
        <f t="array" ref="Z70">INT(SUMPRODUCT(--ISNUMBER(SEARCH(bipartisan,C70)))&gt;0)</f>
        <v>0</v>
      </c>
      <c r="AA70" s="14">
        <f t="shared" si="1"/>
        <v>1</v>
      </c>
      <c r="AB70" s="14"/>
      <c r="AC70" s="30">
        <v>1</v>
      </c>
      <c r="AD70" s="37">
        <v>0</v>
      </c>
    </row>
    <row r="71" spans="1:30" x14ac:dyDescent="0.25">
      <c r="A71" s="36">
        <v>1534</v>
      </c>
      <c r="B71" s="14" t="s">
        <v>3095</v>
      </c>
      <c r="C71" s="14" t="s">
        <v>3096</v>
      </c>
      <c r="D71" s="17">
        <v>44134</v>
      </c>
      <c r="E71" s="14" t="s">
        <v>30</v>
      </c>
      <c r="F71" s="14">
        <v>373</v>
      </c>
      <c r="G71" s="14">
        <v>107</v>
      </c>
      <c r="H71" s="14">
        <v>8</v>
      </c>
      <c r="I71" s="14">
        <v>4</v>
      </c>
      <c r="J71" s="14" t="s">
        <v>204</v>
      </c>
      <c r="K71" s="14" cm="1">
        <f t="array" ref="K71">INT(SUMPRODUCT(--ISNUMBER(SEARCH(economy,C71)))&gt;0)</f>
        <v>0</v>
      </c>
      <c r="L71" s="14" cm="1">
        <f t="array" ref="L71">INT(SUMPRODUCT(--ISNUMBER(SEARCH(healthcare,C71)))&gt;0)</f>
        <v>0</v>
      </c>
      <c r="M71" s="14" cm="1">
        <f t="array" ref="M71">INT(SUMPRODUCT(--ISNUMBER(SEARCH(supreme,C71)))&gt;0)</f>
        <v>0</v>
      </c>
      <c r="N71" s="14" cm="1">
        <f t="array" ref="N71">INT(SUMPRODUCT(--ISNUMBER(SEARCH(covid,C71)))&gt;0)</f>
        <v>0</v>
      </c>
      <c r="O71" s="14" cm="1">
        <f t="array" ref="O71">INT(SUMPRODUCT(--ISNUMBER(SEARCH(violent,C71)))&gt;0)</f>
        <v>0</v>
      </c>
      <c r="P71" s="14" cm="1">
        <f t="array" ref="P71">INT(SUMPRODUCT(--ISNUMBER(SEARCH(foreign,C71)))&gt;0)</f>
        <v>0</v>
      </c>
      <c r="Q71" s="14" cm="1">
        <f t="array" ref="Q71">INT(SUMPRODUCT(--ISNUMBER(SEARCH(gun,C71)))&gt;0)</f>
        <v>0</v>
      </c>
      <c r="R71" s="14" cm="1">
        <f t="array" ref="R71">INT(SUMPRODUCT(--ISNUMBER(SEARCH(race,C71)))&gt;0)</f>
        <v>0</v>
      </c>
      <c r="S71" s="14" cm="1">
        <f t="array" ref="S71">INT(SUMPRODUCT(--ISNUMBER(SEARCH(immigration,C71)))&gt;0)</f>
        <v>0</v>
      </c>
      <c r="T71" s="14" cm="1">
        <f t="array" ref="T71">INT(SUMPRODUCT(--ISNUMBER(SEARCH(econineq,C72)))&gt;0)</f>
        <v>0</v>
      </c>
      <c r="U71" s="14" cm="1">
        <f t="array" ref="U71">INT(SUMPRODUCT(--ISNUMBER(SEARCH(climate,C71)))&gt;0)</f>
        <v>0</v>
      </c>
      <c r="V71" s="14" cm="1">
        <f t="array" ref="V71">INT(SUMPRODUCT(--ISNUMBER(SEARCH(abortion,C71)))&gt;0)</f>
        <v>0</v>
      </c>
      <c r="W71" s="14" cm="1">
        <f t="array" ref="W71">INT(SUMPRODUCT(--ISNUMBER(SEARCH(trump,C71)))&gt;0)</f>
        <v>0</v>
      </c>
      <c r="X71" s="14" cm="1">
        <f t="array" ref="X71">INT(SUMPRODUCT(--ISNUMBER(SEARCH(voting,C71)))&gt;0)</f>
        <v>1</v>
      </c>
      <c r="Y71" s="14" cm="1">
        <f t="array" ref="Y71">INT(SUMPRODUCT(--ISNUMBER(SEARCH(democrattrigger,C71)))&gt;0)</f>
        <v>0</v>
      </c>
      <c r="Z71" s="14" cm="1">
        <f t="array" ref="Z71">INT(SUMPRODUCT(--ISNUMBER(SEARCH(bipartisan,C71)))&gt;0)</f>
        <v>0</v>
      </c>
      <c r="AA71" s="14">
        <f t="shared" si="1"/>
        <v>0</v>
      </c>
      <c r="AB71" s="14"/>
      <c r="AC71" s="30" t="s">
        <v>223</v>
      </c>
      <c r="AD71" s="37" t="s">
        <v>223</v>
      </c>
    </row>
    <row r="72" spans="1:30" x14ac:dyDescent="0.25">
      <c r="A72" s="36">
        <v>1535</v>
      </c>
      <c r="B72" s="14" t="s">
        <v>3097</v>
      </c>
      <c r="C72" s="14" t="s">
        <v>3098</v>
      </c>
      <c r="D72" s="17">
        <v>44134</v>
      </c>
      <c r="E72" s="14" t="s">
        <v>30</v>
      </c>
      <c r="F72" s="14">
        <v>805</v>
      </c>
      <c r="G72" s="14">
        <v>195</v>
      </c>
      <c r="H72" s="14">
        <v>8</v>
      </c>
      <c r="I72" s="14">
        <v>4</v>
      </c>
      <c r="J72" s="14" t="s">
        <v>204</v>
      </c>
      <c r="K72" s="14" cm="1">
        <f t="array" ref="K72">INT(SUMPRODUCT(--ISNUMBER(SEARCH(economy,C72)))&gt;0)</f>
        <v>0</v>
      </c>
      <c r="L72" s="14" cm="1">
        <f t="array" ref="L72">INT(SUMPRODUCT(--ISNUMBER(SEARCH(healthcare,C72)))&gt;0)</f>
        <v>0</v>
      </c>
      <c r="M72" s="14" cm="1">
        <f t="array" ref="M72">INT(SUMPRODUCT(--ISNUMBER(SEARCH(supreme,C72)))&gt;0)</f>
        <v>0</v>
      </c>
      <c r="N72" s="14" cm="1">
        <f t="array" ref="N72">INT(SUMPRODUCT(--ISNUMBER(SEARCH(covid,C72)))&gt;0)</f>
        <v>0</v>
      </c>
      <c r="O72" s="14" cm="1">
        <f t="array" ref="O72">INT(SUMPRODUCT(--ISNUMBER(SEARCH(violent,C72)))&gt;0)</f>
        <v>0</v>
      </c>
      <c r="P72" s="14" cm="1">
        <f t="array" ref="P72">INT(SUMPRODUCT(--ISNUMBER(SEARCH(foreign,C72)))&gt;0)</f>
        <v>0</v>
      </c>
      <c r="Q72" s="14" cm="1">
        <f t="array" ref="Q72">INT(SUMPRODUCT(--ISNUMBER(SEARCH(gun,C72)))&gt;0)</f>
        <v>0</v>
      </c>
      <c r="R72" s="14" cm="1">
        <f t="array" ref="R72">INT(SUMPRODUCT(--ISNUMBER(SEARCH(race,C72)))&gt;0)</f>
        <v>0</v>
      </c>
      <c r="S72" s="14" cm="1">
        <f t="array" ref="S72">INT(SUMPRODUCT(--ISNUMBER(SEARCH(immigration,C72)))&gt;0)</f>
        <v>0</v>
      </c>
      <c r="T72" s="14" cm="1">
        <f t="array" ref="T72">INT(SUMPRODUCT(--ISNUMBER(SEARCH(econineq,C73)))&gt;0)</f>
        <v>0</v>
      </c>
      <c r="U72" s="14" cm="1">
        <f t="array" ref="U72">INT(SUMPRODUCT(--ISNUMBER(SEARCH(climate,C72)))&gt;0)</f>
        <v>0</v>
      </c>
      <c r="V72" s="14" cm="1">
        <f t="array" ref="V72">INT(SUMPRODUCT(--ISNUMBER(SEARCH(abortion,C72)))&gt;0)</f>
        <v>0</v>
      </c>
      <c r="W72" s="14" cm="1">
        <f t="array" ref="W72">INT(SUMPRODUCT(--ISNUMBER(SEARCH(trump,C72)))&gt;0)</f>
        <v>0</v>
      </c>
      <c r="X72" s="14" cm="1">
        <f t="array" ref="X72">INT(SUMPRODUCT(--ISNUMBER(SEARCH(voting,C72)))&gt;0)</f>
        <v>1</v>
      </c>
      <c r="Y72" s="14" cm="1">
        <f t="array" ref="Y72">INT(SUMPRODUCT(--ISNUMBER(SEARCH(democrattrigger,C72)))&gt;0)</f>
        <v>0</v>
      </c>
      <c r="Z72" s="14" cm="1">
        <f t="array" ref="Z72">INT(SUMPRODUCT(--ISNUMBER(SEARCH(bipartisan,C72)))&gt;0)</f>
        <v>0</v>
      </c>
      <c r="AA72" s="14">
        <f t="shared" si="1"/>
        <v>0</v>
      </c>
      <c r="AB72" s="14"/>
      <c r="AC72" s="30">
        <v>0</v>
      </c>
      <c r="AD72" s="37">
        <v>1</v>
      </c>
    </row>
    <row r="73" spans="1:30" x14ac:dyDescent="0.25">
      <c r="A73" s="36">
        <v>1536</v>
      </c>
      <c r="B73" s="14" t="s">
        <v>3099</v>
      </c>
      <c r="C73" s="14" t="s">
        <v>3100</v>
      </c>
      <c r="D73" s="17">
        <v>44134</v>
      </c>
      <c r="E73" s="14" t="s">
        <v>30</v>
      </c>
      <c r="F73" s="14">
        <v>1608</v>
      </c>
      <c r="G73" s="14">
        <v>346</v>
      </c>
      <c r="H73" s="14">
        <v>8</v>
      </c>
      <c r="I73" s="14">
        <v>4</v>
      </c>
      <c r="J73" s="14" t="s">
        <v>204</v>
      </c>
      <c r="K73" s="14" cm="1">
        <f t="array" ref="K73">INT(SUMPRODUCT(--ISNUMBER(SEARCH(economy,C73)))&gt;0)</f>
        <v>0</v>
      </c>
      <c r="L73" s="14" cm="1">
        <f t="array" ref="L73">INT(SUMPRODUCT(--ISNUMBER(SEARCH(healthcare,C73)))&gt;0)</f>
        <v>0</v>
      </c>
      <c r="M73" s="14" cm="1">
        <f t="array" ref="M73">INT(SUMPRODUCT(--ISNUMBER(SEARCH(supreme,C73)))&gt;0)</f>
        <v>0</v>
      </c>
      <c r="N73" s="14" cm="1">
        <f t="array" ref="N73">INT(SUMPRODUCT(--ISNUMBER(SEARCH(covid,C73)))&gt;0)</f>
        <v>0</v>
      </c>
      <c r="O73" s="14" cm="1">
        <f t="array" ref="O73">INT(SUMPRODUCT(--ISNUMBER(SEARCH(violent,C73)))&gt;0)</f>
        <v>0</v>
      </c>
      <c r="P73" s="14" cm="1">
        <f t="array" ref="P73">INT(SUMPRODUCT(--ISNUMBER(SEARCH(foreign,C73)))&gt;0)</f>
        <v>0</v>
      </c>
      <c r="Q73" s="14" cm="1">
        <f t="array" ref="Q73">INT(SUMPRODUCT(--ISNUMBER(SEARCH(gun,C73)))&gt;0)</f>
        <v>0</v>
      </c>
      <c r="R73" s="14" cm="1">
        <f t="array" ref="R73">INT(SUMPRODUCT(--ISNUMBER(SEARCH(race,C73)))&gt;0)</f>
        <v>0</v>
      </c>
      <c r="S73" s="14" cm="1">
        <f t="array" ref="S73">INT(SUMPRODUCT(--ISNUMBER(SEARCH(immigration,C73)))&gt;0)</f>
        <v>0</v>
      </c>
      <c r="T73" s="14" cm="1">
        <f t="array" ref="T73">INT(SUMPRODUCT(--ISNUMBER(SEARCH(econineq,C74)))&gt;0)</f>
        <v>0</v>
      </c>
      <c r="U73" s="14" cm="1">
        <f t="array" ref="U73">INT(SUMPRODUCT(--ISNUMBER(SEARCH(climate,C73)))&gt;0)</f>
        <v>0</v>
      </c>
      <c r="V73" s="14" cm="1">
        <f t="array" ref="V73">INT(SUMPRODUCT(--ISNUMBER(SEARCH(abortion,C73)))&gt;0)</f>
        <v>0</v>
      </c>
      <c r="W73" s="14" cm="1">
        <f t="array" ref="W73">INT(SUMPRODUCT(--ISNUMBER(SEARCH(trump,C73)))&gt;0)</f>
        <v>0</v>
      </c>
      <c r="X73" s="14" cm="1">
        <f t="array" ref="X73">INT(SUMPRODUCT(--ISNUMBER(SEARCH(voting,C73)))&gt;0)</f>
        <v>1</v>
      </c>
      <c r="Y73" s="14" cm="1">
        <f t="array" ref="Y73">INT(SUMPRODUCT(--ISNUMBER(SEARCH(democrattrigger,C73)))&gt;0)</f>
        <v>0</v>
      </c>
      <c r="Z73" s="14" cm="1">
        <f t="array" ref="Z73">INT(SUMPRODUCT(--ISNUMBER(SEARCH(bipartisan,C73)))&gt;0)</f>
        <v>0</v>
      </c>
      <c r="AA73" s="14">
        <f t="shared" si="1"/>
        <v>0</v>
      </c>
      <c r="AB73" s="14"/>
      <c r="AC73" s="30">
        <v>0</v>
      </c>
      <c r="AD73" s="37">
        <v>1</v>
      </c>
    </row>
    <row r="74" spans="1:30" x14ac:dyDescent="0.25">
      <c r="A74" s="36">
        <v>1537</v>
      </c>
      <c r="B74" s="14" t="s">
        <v>3101</v>
      </c>
      <c r="C74" s="14" t="s">
        <v>3102</v>
      </c>
      <c r="D74" s="17">
        <v>44134</v>
      </c>
      <c r="E74" s="14" t="s">
        <v>30</v>
      </c>
      <c r="F74" s="14">
        <v>761</v>
      </c>
      <c r="G74" s="14">
        <v>246</v>
      </c>
      <c r="H74" s="14">
        <v>8</v>
      </c>
      <c r="I74" s="14">
        <v>4</v>
      </c>
      <c r="J74" s="14" t="s">
        <v>204</v>
      </c>
      <c r="K74" s="14" cm="1">
        <f t="array" ref="K74">INT(SUMPRODUCT(--ISNUMBER(SEARCH(economy,C74)))&gt;0)</f>
        <v>0</v>
      </c>
      <c r="L74" s="14" cm="1">
        <f t="array" ref="L74">INT(SUMPRODUCT(--ISNUMBER(SEARCH(healthcare,C74)))&gt;0)</f>
        <v>0</v>
      </c>
      <c r="M74" s="14" cm="1">
        <f t="array" ref="M74">INT(SUMPRODUCT(--ISNUMBER(SEARCH(supreme,C74)))&gt;0)</f>
        <v>0</v>
      </c>
      <c r="N74" s="14" cm="1">
        <f t="array" ref="N74">INT(SUMPRODUCT(--ISNUMBER(SEARCH(covid,C74)))&gt;0)</f>
        <v>0</v>
      </c>
      <c r="O74" s="14" cm="1">
        <f t="array" ref="O74">INT(SUMPRODUCT(--ISNUMBER(SEARCH(violent,C74)))&gt;0)</f>
        <v>0</v>
      </c>
      <c r="P74" s="14" cm="1">
        <f t="array" ref="P74">INT(SUMPRODUCT(--ISNUMBER(SEARCH(foreign,C74)))&gt;0)</f>
        <v>0</v>
      </c>
      <c r="Q74" s="14" cm="1">
        <f t="array" ref="Q74">INT(SUMPRODUCT(--ISNUMBER(SEARCH(gun,C74)))&gt;0)</f>
        <v>0</v>
      </c>
      <c r="R74" s="14" cm="1">
        <f t="array" ref="R74">INT(SUMPRODUCT(--ISNUMBER(SEARCH(race,C74)))&gt;0)</f>
        <v>0</v>
      </c>
      <c r="S74" s="14" cm="1">
        <f t="array" ref="S74">INT(SUMPRODUCT(--ISNUMBER(SEARCH(immigration,C74)))&gt;0)</f>
        <v>0</v>
      </c>
      <c r="T74" s="14" cm="1">
        <f t="array" ref="T74">INT(SUMPRODUCT(--ISNUMBER(SEARCH(econineq,C75)))&gt;0)</f>
        <v>0</v>
      </c>
      <c r="U74" s="14" cm="1">
        <f t="array" ref="U74">INT(SUMPRODUCT(--ISNUMBER(SEARCH(climate,C74)))&gt;0)</f>
        <v>0</v>
      </c>
      <c r="V74" s="14" cm="1">
        <f t="array" ref="V74">INT(SUMPRODUCT(--ISNUMBER(SEARCH(abortion,C74)))&gt;0)</f>
        <v>0</v>
      </c>
      <c r="W74" s="14" cm="1">
        <f t="array" ref="W74">INT(SUMPRODUCT(--ISNUMBER(SEARCH(trump,C74)))&gt;0)</f>
        <v>0</v>
      </c>
      <c r="X74" s="14" cm="1">
        <f t="array" ref="X74">INT(SUMPRODUCT(--ISNUMBER(SEARCH(voting,C74)))&gt;0)</f>
        <v>1</v>
      </c>
      <c r="Y74" s="14" cm="1">
        <f t="array" ref="Y74">INT(SUMPRODUCT(--ISNUMBER(SEARCH(democrattrigger,C74)))&gt;0)</f>
        <v>0</v>
      </c>
      <c r="Z74" s="14" cm="1">
        <f t="array" ref="Z74">INT(SUMPRODUCT(--ISNUMBER(SEARCH(bipartisan,C74)))&gt;0)</f>
        <v>0</v>
      </c>
      <c r="AA74" s="14">
        <f t="shared" si="1"/>
        <v>0</v>
      </c>
      <c r="AB74" s="14"/>
      <c r="AC74" s="30" t="s">
        <v>223</v>
      </c>
      <c r="AD74" s="37" t="s">
        <v>223</v>
      </c>
    </row>
    <row r="75" spans="1:30" x14ac:dyDescent="0.25">
      <c r="A75" s="36">
        <v>1538</v>
      </c>
      <c r="B75" s="14" t="s">
        <v>3103</v>
      </c>
      <c r="C75" s="14" t="s">
        <v>3104</v>
      </c>
      <c r="D75" s="17">
        <v>44134</v>
      </c>
      <c r="E75" s="14" t="s">
        <v>30</v>
      </c>
      <c r="F75" s="14">
        <v>1042</v>
      </c>
      <c r="G75" s="14">
        <v>207</v>
      </c>
      <c r="H75" s="14">
        <v>8</v>
      </c>
      <c r="I75" s="14">
        <v>4</v>
      </c>
      <c r="J75" s="14" t="s">
        <v>204</v>
      </c>
      <c r="K75" s="14" cm="1">
        <f t="array" ref="K75">INT(SUMPRODUCT(--ISNUMBER(SEARCH(economy,C75)))&gt;0)</f>
        <v>1</v>
      </c>
      <c r="L75" s="14" cm="1">
        <f t="array" ref="L75">INT(SUMPRODUCT(--ISNUMBER(SEARCH(healthcare,C75)))&gt;0)</f>
        <v>0</v>
      </c>
      <c r="M75" s="14" cm="1">
        <f t="array" ref="M75">INT(SUMPRODUCT(--ISNUMBER(SEARCH(supreme,C75)))&gt;0)</f>
        <v>0</v>
      </c>
      <c r="N75" s="14" cm="1">
        <f t="array" ref="N75">INT(SUMPRODUCT(--ISNUMBER(SEARCH(covid,C75)))&gt;0)</f>
        <v>1</v>
      </c>
      <c r="O75" s="14" cm="1">
        <f t="array" ref="O75">INT(SUMPRODUCT(--ISNUMBER(SEARCH(violent,C75)))&gt;0)</f>
        <v>0</v>
      </c>
      <c r="P75" s="14" cm="1">
        <f t="array" ref="P75">INT(SUMPRODUCT(--ISNUMBER(SEARCH(foreign,C75)))&gt;0)</f>
        <v>0</v>
      </c>
      <c r="Q75" s="14" cm="1">
        <f t="array" ref="Q75">INT(SUMPRODUCT(--ISNUMBER(SEARCH(gun,C75)))&gt;0)</f>
        <v>0</v>
      </c>
      <c r="R75" s="14" cm="1">
        <f t="array" ref="R75">INT(SUMPRODUCT(--ISNUMBER(SEARCH(race,C75)))&gt;0)</f>
        <v>1</v>
      </c>
      <c r="S75" s="14" cm="1">
        <f t="array" ref="S75">INT(SUMPRODUCT(--ISNUMBER(SEARCH(immigration,C75)))&gt;0)</f>
        <v>0</v>
      </c>
      <c r="T75" s="14" cm="1">
        <f t="array" ref="T75">INT(SUMPRODUCT(--ISNUMBER(SEARCH(econineq,C76)))&gt;0)</f>
        <v>0</v>
      </c>
      <c r="U75" s="14" cm="1">
        <f t="array" ref="U75">INT(SUMPRODUCT(--ISNUMBER(SEARCH(climate,C75)))&gt;0)</f>
        <v>0</v>
      </c>
      <c r="V75" s="14" cm="1">
        <f t="array" ref="V75">INT(SUMPRODUCT(--ISNUMBER(SEARCH(abortion,C75)))&gt;0)</f>
        <v>0</v>
      </c>
      <c r="W75" s="14" cm="1">
        <f t="array" ref="W75">INT(SUMPRODUCT(--ISNUMBER(SEARCH(trump,C75)))&gt;0)</f>
        <v>0</v>
      </c>
      <c r="X75" s="14" cm="1">
        <f t="array" ref="X75">INT(SUMPRODUCT(--ISNUMBER(SEARCH(voting,C75)))&gt;0)</f>
        <v>0</v>
      </c>
      <c r="Y75" s="14" cm="1">
        <f t="array" ref="Y75">INT(SUMPRODUCT(--ISNUMBER(SEARCH(democrattrigger,C75)))&gt;0)</f>
        <v>0</v>
      </c>
      <c r="Z75" s="14" cm="1">
        <f t="array" ref="Z75">INT(SUMPRODUCT(--ISNUMBER(SEARCH(bipartisan,C75)))&gt;0)</f>
        <v>0</v>
      </c>
      <c r="AA75" s="14">
        <f t="shared" si="1"/>
        <v>0</v>
      </c>
      <c r="AB75" s="14"/>
      <c r="AC75" s="30">
        <v>1</v>
      </c>
      <c r="AD75" s="37">
        <v>0</v>
      </c>
    </row>
    <row r="76" spans="1:30" x14ac:dyDescent="0.25">
      <c r="A76" s="36">
        <v>1539</v>
      </c>
      <c r="B76" s="14" t="s">
        <v>3105</v>
      </c>
      <c r="C76" s="14" t="s">
        <v>3106</v>
      </c>
      <c r="D76" s="17">
        <v>44134</v>
      </c>
      <c r="E76" s="14" t="s">
        <v>30</v>
      </c>
      <c r="F76" s="14">
        <v>1603</v>
      </c>
      <c r="G76" s="14">
        <v>262</v>
      </c>
      <c r="H76" s="14">
        <v>8</v>
      </c>
      <c r="I76" s="14">
        <v>4</v>
      </c>
      <c r="J76" s="14" t="s">
        <v>204</v>
      </c>
      <c r="K76" s="14" cm="1">
        <f t="array" ref="K76">INT(SUMPRODUCT(--ISNUMBER(SEARCH(economy,C76)))&gt;0)</f>
        <v>1</v>
      </c>
      <c r="L76" s="14" cm="1">
        <f t="array" ref="L76">INT(SUMPRODUCT(--ISNUMBER(SEARCH(healthcare,C76)))&gt;0)</f>
        <v>0</v>
      </c>
      <c r="M76" s="14" cm="1">
        <f t="array" ref="M76">INT(SUMPRODUCT(--ISNUMBER(SEARCH(supreme,C76)))&gt;0)</f>
        <v>0</v>
      </c>
      <c r="N76" s="14" cm="1">
        <f t="array" ref="N76">INT(SUMPRODUCT(--ISNUMBER(SEARCH(covid,C76)))&gt;0)</f>
        <v>1</v>
      </c>
      <c r="O76" s="14" cm="1">
        <f t="array" ref="O76">INT(SUMPRODUCT(--ISNUMBER(SEARCH(violent,C76)))&gt;0)</f>
        <v>0</v>
      </c>
      <c r="P76" s="14" cm="1">
        <f t="array" ref="P76">INT(SUMPRODUCT(--ISNUMBER(SEARCH(foreign,C76)))&gt;0)</f>
        <v>0</v>
      </c>
      <c r="Q76" s="14" cm="1">
        <f t="array" ref="Q76">INT(SUMPRODUCT(--ISNUMBER(SEARCH(gun,C76)))&gt;0)</f>
        <v>0</v>
      </c>
      <c r="R76" s="14" cm="1">
        <f t="array" ref="R76">INT(SUMPRODUCT(--ISNUMBER(SEARCH(race,C76)))&gt;0)</f>
        <v>0</v>
      </c>
      <c r="S76" s="14" cm="1">
        <f t="array" ref="S76">INT(SUMPRODUCT(--ISNUMBER(SEARCH(immigration,C76)))&gt;0)</f>
        <v>0</v>
      </c>
      <c r="T76" s="14" cm="1">
        <f t="array" ref="T76">INT(SUMPRODUCT(--ISNUMBER(SEARCH(econineq,C77)))&gt;0)</f>
        <v>0</v>
      </c>
      <c r="U76" s="14" cm="1">
        <f t="array" ref="U76">INT(SUMPRODUCT(--ISNUMBER(SEARCH(climate,C76)))&gt;0)</f>
        <v>0</v>
      </c>
      <c r="V76" s="14" cm="1">
        <f t="array" ref="V76">INT(SUMPRODUCT(--ISNUMBER(SEARCH(abortion,C76)))&gt;0)</f>
        <v>0</v>
      </c>
      <c r="W76" s="14" cm="1">
        <f t="array" ref="W76">INT(SUMPRODUCT(--ISNUMBER(SEARCH(trump,C76)))&gt;0)</f>
        <v>0</v>
      </c>
      <c r="X76" s="14" cm="1">
        <f t="array" ref="X76">INT(SUMPRODUCT(--ISNUMBER(SEARCH(voting,C76)))&gt;0)</f>
        <v>0</v>
      </c>
      <c r="Y76" s="14" cm="1">
        <f t="array" ref="Y76">INT(SUMPRODUCT(--ISNUMBER(SEARCH(democrattrigger,C76)))&gt;0)</f>
        <v>0</v>
      </c>
      <c r="Z76" s="14" cm="1">
        <f t="array" ref="Z76">INT(SUMPRODUCT(--ISNUMBER(SEARCH(bipartisan,C76)))&gt;0)</f>
        <v>0</v>
      </c>
      <c r="AA76" s="14">
        <f t="shared" si="1"/>
        <v>0</v>
      </c>
      <c r="AB76" s="14"/>
      <c r="AC76" s="30">
        <v>1</v>
      </c>
      <c r="AD76" s="37">
        <v>0</v>
      </c>
    </row>
    <row r="77" spans="1:30" x14ac:dyDescent="0.25">
      <c r="A77" s="36">
        <v>1540</v>
      </c>
      <c r="B77" s="14" t="s">
        <v>3107</v>
      </c>
      <c r="C77" s="14" t="s">
        <v>3108</v>
      </c>
      <c r="D77" s="17">
        <v>44134</v>
      </c>
      <c r="E77" s="14" t="s">
        <v>30</v>
      </c>
      <c r="F77" s="14">
        <v>24140</v>
      </c>
      <c r="G77" s="14">
        <v>6369</v>
      </c>
      <c r="H77" s="14">
        <v>8</v>
      </c>
      <c r="I77" s="14">
        <v>4</v>
      </c>
      <c r="J77" s="14" t="s">
        <v>204</v>
      </c>
      <c r="K77" s="14" cm="1">
        <f t="array" ref="K77">INT(SUMPRODUCT(--ISNUMBER(SEARCH(economy,C77)))&gt;0)</f>
        <v>0</v>
      </c>
      <c r="L77" s="14" cm="1">
        <f t="array" ref="L77">INT(SUMPRODUCT(--ISNUMBER(SEARCH(healthcare,C77)))&gt;0)</f>
        <v>0</v>
      </c>
      <c r="M77" s="14" cm="1">
        <f t="array" ref="M77">INT(SUMPRODUCT(--ISNUMBER(SEARCH(supreme,C77)))&gt;0)</f>
        <v>0</v>
      </c>
      <c r="N77" s="14" cm="1">
        <f t="array" ref="N77">INT(SUMPRODUCT(--ISNUMBER(SEARCH(covid,C77)))&gt;0)</f>
        <v>0</v>
      </c>
      <c r="O77" s="14" cm="1">
        <f t="array" ref="O77">INT(SUMPRODUCT(--ISNUMBER(SEARCH(violent,C77)))&gt;0)</f>
        <v>0</v>
      </c>
      <c r="P77" s="14" cm="1">
        <f t="array" ref="P77">INT(SUMPRODUCT(--ISNUMBER(SEARCH(foreign,C77)))&gt;0)</f>
        <v>0</v>
      </c>
      <c r="Q77" s="14" cm="1">
        <f t="array" ref="Q77">INT(SUMPRODUCT(--ISNUMBER(SEARCH(gun,C77)))&gt;0)</f>
        <v>0</v>
      </c>
      <c r="R77" s="14" cm="1">
        <f t="array" ref="R77">INT(SUMPRODUCT(--ISNUMBER(SEARCH(race,C77)))&gt;0)</f>
        <v>0</v>
      </c>
      <c r="S77" s="14" cm="1">
        <f t="array" ref="S77">INT(SUMPRODUCT(--ISNUMBER(SEARCH(immigration,C77)))&gt;0)</f>
        <v>0</v>
      </c>
      <c r="T77" s="14" cm="1">
        <f t="array" ref="T77">INT(SUMPRODUCT(--ISNUMBER(SEARCH(econineq,C78)))&gt;0)</f>
        <v>0</v>
      </c>
      <c r="U77" s="14" cm="1">
        <f t="array" ref="U77">INT(SUMPRODUCT(--ISNUMBER(SEARCH(climate,C77)))&gt;0)</f>
        <v>0</v>
      </c>
      <c r="V77" s="14" cm="1">
        <f t="array" ref="V77">INT(SUMPRODUCT(--ISNUMBER(SEARCH(abortion,C77)))&gt;0)</f>
        <v>0</v>
      </c>
      <c r="W77" s="14" cm="1">
        <f t="array" ref="W77">INT(SUMPRODUCT(--ISNUMBER(SEARCH(trump,C77)))&gt;0)</f>
        <v>1</v>
      </c>
      <c r="X77" s="14" cm="1">
        <f t="array" ref="X77">INT(SUMPRODUCT(--ISNUMBER(SEARCH(voting,C77)))&gt;0)</f>
        <v>1</v>
      </c>
      <c r="Y77" s="14" cm="1">
        <f t="array" ref="Y77">INT(SUMPRODUCT(--ISNUMBER(SEARCH(democrattrigger,C77)))&gt;0)</f>
        <v>1</v>
      </c>
      <c r="Z77" s="14" cm="1">
        <f t="array" ref="Z77">INT(SUMPRODUCT(--ISNUMBER(SEARCH(bipartisan,C77)))&gt;0)</f>
        <v>0</v>
      </c>
      <c r="AA77" s="14">
        <f t="shared" si="1"/>
        <v>0</v>
      </c>
      <c r="AB77" s="14"/>
      <c r="AC77" s="30">
        <v>0</v>
      </c>
      <c r="AD77" s="37">
        <v>1</v>
      </c>
    </row>
    <row r="78" spans="1:30" x14ac:dyDescent="0.25">
      <c r="A78" s="36">
        <v>1541</v>
      </c>
      <c r="B78" s="14" t="s">
        <v>3109</v>
      </c>
      <c r="C78" s="14" t="s">
        <v>3110</v>
      </c>
      <c r="D78" s="17">
        <v>44134</v>
      </c>
      <c r="E78" s="14" t="s">
        <v>30</v>
      </c>
      <c r="F78" s="14">
        <v>940</v>
      </c>
      <c r="G78" s="14">
        <v>138</v>
      </c>
      <c r="H78" s="14">
        <v>8</v>
      </c>
      <c r="I78" s="14">
        <v>4</v>
      </c>
      <c r="J78" s="14" t="s">
        <v>204</v>
      </c>
      <c r="K78" s="14" cm="1">
        <f t="array" ref="K78">INT(SUMPRODUCT(--ISNUMBER(SEARCH(economy,C78)))&gt;0)</f>
        <v>0</v>
      </c>
      <c r="L78" s="14" cm="1">
        <f t="array" ref="L78">INT(SUMPRODUCT(--ISNUMBER(SEARCH(healthcare,C78)))&gt;0)</f>
        <v>0</v>
      </c>
      <c r="M78" s="14" cm="1">
        <f t="array" ref="M78">INT(SUMPRODUCT(--ISNUMBER(SEARCH(supreme,C78)))&gt;0)</f>
        <v>0</v>
      </c>
      <c r="N78" s="14" cm="1">
        <f t="array" ref="N78">INT(SUMPRODUCT(--ISNUMBER(SEARCH(covid,C78)))&gt;0)</f>
        <v>0</v>
      </c>
      <c r="O78" s="14" cm="1">
        <f t="array" ref="O78">INT(SUMPRODUCT(--ISNUMBER(SEARCH(violent,C78)))&gt;0)</f>
        <v>0</v>
      </c>
      <c r="P78" s="14" cm="1">
        <f t="array" ref="P78">INT(SUMPRODUCT(--ISNUMBER(SEARCH(foreign,C78)))&gt;0)</f>
        <v>0</v>
      </c>
      <c r="Q78" s="14" cm="1">
        <f t="array" ref="Q78">INT(SUMPRODUCT(--ISNUMBER(SEARCH(gun,C78)))&gt;0)</f>
        <v>0</v>
      </c>
      <c r="R78" s="14" cm="1">
        <f t="array" ref="R78">INT(SUMPRODUCT(--ISNUMBER(SEARCH(race,C78)))&gt;0)</f>
        <v>0</v>
      </c>
      <c r="S78" s="14" cm="1">
        <f t="array" ref="S78">INT(SUMPRODUCT(--ISNUMBER(SEARCH(immigration,C78)))&gt;0)</f>
        <v>0</v>
      </c>
      <c r="T78" s="14" cm="1">
        <f t="array" ref="T78">INT(SUMPRODUCT(--ISNUMBER(SEARCH(econineq,C79)))&gt;0)</f>
        <v>0</v>
      </c>
      <c r="U78" s="14" cm="1">
        <f t="array" ref="U78">INT(SUMPRODUCT(--ISNUMBER(SEARCH(climate,C78)))&gt;0)</f>
        <v>0</v>
      </c>
      <c r="V78" s="14" cm="1">
        <f t="array" ref="V78">INT(SUMPRODUCT(--ISNUMBER(SEARCH(abortion,C78)))&gt;0)</f>
        <v>0</v>
      </c>
      <c r="W78" s="14" cm="1">
        <f t="array" ref="W78">INT(SUMPRODUCT(--ISNUMBER(SEARCH(trump,C78)))&gt;0)</f>
        <v>0</v>
      </c>
      <c r="X78" s="14" cm="1">
        <f t="array" ref="X78">INT(SUMPRODUCT(--ISNUMBER(SEARCH(voting,C78)))&gt;0)</f>
        <v>1</v>
      </c>
      <c r="Y78" s="14" cm="1">
        <f t="array" ref="Y78">INT(SUMPRODUCT(--ISNUMBER(SEARCH(democrattrigger,C78)))&gt;0)</f>
        <v>0</v>
      </c>
      <c r="Z78" s="14" cm="1">
        <f t="array" ref="Z78">INT(SUMPRODUCT(--ISNUMBER(SEARCH(bipartisan,C78)))&gt;0)</f>
        <v>0</v>
      </c>
      <c r="AA78" s="14">
        <f t="shared" si="1"/>
        <v>0</v>
      </c>
      <c r="AB78" s="14"/>
      <c r="AC78" s="30">
        <v>1</v>
      </c>
      <c r="AD78" s="37">
        <v>0</v>
      </c>
    </row>
    <row r="79" spans="1:30" x14ac:dyDescent="0.25">
      <c r="A79" s="36">
        <v>1542</v>
      </c>
      <c r="B79" s="14" t="s">
        <v>3111</v>
      </c>
      <c r="C79" s="14" t="s">
        <v>3112</v>
      </c>
      <c r="D79" s="17">
        <v>44133</v>
      </c>
      <c r="E79" s="14" t="s">
        <v>30</v>
      </c>
      <c r="F79" s="14">
        <v>569</v>
      </c>
      <c r="G79" s="14">
        <v>96</v>
      </c>
      <c r="H79" s="14">
        <v>8</v>
      </c>
      <c r="I79" s="14">
        <v>4</v>
      </c>
      <c r="J79" s="14" t="s">
        <v>204</v>
      </c>
      <c r="K79" s="14" cm="1">
        <f t="array" ref="K79">INT(SUMPRODUCT(--ISNUMBER(SEARCH(economy,C79)))&gt;0)</f>
        <v>0</v>
      </c>
      <c r="L79" s="14" cm="1">
        <f t="array" ref="L79">INT(SUMPRODUCT(--ISNUMBER(SEARCH(healthcare,C79)))&gt;0)</f>
        <v>1</v>
      </c>
      <c r="M79" s="14" cm="1">
        <f t="array" ref="M79">INT(SUMPRODUCT(--ISNUMBER(SEARCH(supreme,C79)))&gt;0)</f>
        <v>0</v>
      </c>
      <c r="N79" s="14" cm="1">
        <f t="array" ref="N79">INT(SUMPRODUCT(--ISNUMBER(SEARCH(covid,C79)))&gt;0)</f>
        <v>0</v>
      </c>
      <c r="O79" s="14" cm="1">
        <f t="array" ref="O79">INT(SUMPRODUCT(--ISNUMBER(SEARCH(violent,C79)))&gt;0)</f>
        <v>0</v>
      </c>
      <c r="P79" s="14" cm="1">
        <f t="array" ref="P79">INT(SUMPRODUCT(--ISNUMBER(SEARCH(foreign,C79)))&gt;0)</f>
        <v>0</v>
      </c>
      <c r="Q79" s="14" cm="1">
        <f t="array" ref="Q79">INT(SUMPRODUCT(--ISNUMBER(SEARCH(gun,C79)))&gt;0)</f>
        <v>0</v>
      </c>
      <c r="R79" s="14" cm="1">
        <f t="array" ref="R79">INT(SUMPRODUCT(--ISNUMBER(SEARCH(race,C79)))&gt;0)</f>
        <v>0</v>
      </c>
      <c r="S79" s="14" cm="1">
        <f t="array" ref="S79">INT(SUMPRODUCT(--ISNUMBER(SEARCH(immigration,C79)))&gt;0)</f>
        <v>0</v>
      </c>
      <c r="T79" s="14" cm="1">
        <f t="array" ref="T79">INT(SUMPRODUCT(--ISNUMBER(SEARCH(econineq,C80)))&gt;0)</f>
        <v>0</v>
      </c>
      <c r="U79" s="14" cm="1">
        <f t="array" ref="U79">INT(SUMPRODUCT(--ISNUMBER(SEARCH(climate,C79)))&gt;0)</f>
        <v>0</v>
      </c>
      <c r="V79" s="14" cm="1">
        <f t="array" ref="V79">INT(SUMPRODUCT(--ISNUMBER(SEARCH(abortion,C79)))&gt;0)</f>
        <v>0</v>
      </c>
      <c r="W79" s="14" cm="1">
        <f t="array" ref="W79">INT(SUMPRODUCT(--ISNUMBER(SEARCH(trump,C79)))&gt;0)</f>
        <v>0</v>
      </c>
      <c r="X79" s="14" cm="1">
        <f t="array" ref="X79">INT(SUMPRODUCT(--ISNUMBER(SEARCH(voting,C79)))&gt;0)</f>
        <v>1</v>
      </c>
      <c r="Y79" s="14" cm="1">
        <f t="array" ref="Y79">INT(SUMPRODUCT(--ISNUMBER(SEARCH(democrattrigger,C79)))&gt;0)</f>
        <v>0</v>
      </c>
      <c r="Z79" s="14" cm="1">
        <f t="array" ref="Z79">INT(SUMPRODUCT(--ISNUMBER(SEARCH(bipartisan,C79)))&gt;0)</f>
        <v>0</v>
      </c>
      <c r="AA79" s="14">
        <f t="shared" si="1"/>
        <v>0</v>
      </c>
      <c r="AB79" s="14"/>
      <c r="AC79" s="30">
        <v>1</v>
      </c>
      <c r="AD79" s="37">
        <v>0</v>
      </c>
    </row>
    <row r="80" spans="1:30" x14ac:dyDescent="0.25">
      <c r="A80" s="36">
        <v>1543</v>
      </c>
      <c r="B80" s="14" t="s">
        <v>3113</v>
      </c>
      <c r="C80" s="14" t="s">
        <v>3114</v>
      </c>
      <c r="D80" s="17">
        <v>44133</v>
      </c>
      <c r="E80" s="14" t="s">
        <v>30</v>
      </c>
      <c r="F80" s="14">
        <v>496</v>
      </c>
      <c r="G80" s="14">
        <v>149</v>
      </c>
      <c r="H80" s="14">
        <v>8</v>
      </c>
      <c r="I80" s="14">
        <v>4</v>
      </c>
      <c r="J80" s="14" t="s">
        <v>204</v>
      </c>
      <c r="K80" s="14" cm="1">
        <f t="array" ref="K80">INT(SUMPRODUCT(--ISNUMBER(SEARCH(economy,C80)))&gt;0)</f>
        <v>0</v>
      </c>
      <c r="L80" s="14" cm="1">
        <f t="array" ref="L80">INT(SUMPRODUCT(--ISNUMBER(SEARCH(healthcare,C80)))&gt;0)</f>
        <v>0</v>
      </c>
      <c r="M80" s="14" cm="1">
        <f t="array" ref="M80">INT(SUMPRODUCT(--ISNUMBER(SEARCH(supreme,C80)))&gt;0)</f>
        <v>0</v>
      </c>
      <c r="N80" s="14" cm="1">
        <f t="array" ref="N80">INT(SUMPRODUCT(--ISNUMBER(SEARCH(covid,C80)))&gt;0)</f>
        <v>0</v>
      </c>
      <c r="O80" s="14" cm="1">
        <f t="array" ref="O80">INT(SUMPRODUCT(--ISNUMBER(SEARCH(violent,C80)))&gt;0)</f>
        <v>0</v>
      </c>
      <c r="P80" s="14" cm="1">
        <f t="array" ref="P80">INT(SUMPRODUCT(--ISNUMBER(SEARCH(foreign,C80)))&gt;0)</f>
        <v>0</v>
      </c>
      <c r="Q80" s="14" cm="1">
        <f t="array" ref="Q80">INT(SUMPRODUCT(--ISNUMBER(SEARCH(gun,C80)))&gt;0)</f>
        <v>0</v>
      </c>
      <c r="R80" s="14" cm="1">
        <f t="array" ref="R80">INT(SUMPRODUCT(--ISNUMBER(SEARCH(race,C80)))&gt;0)</f>
        <v>0</v>
      </c>
      <c r="S80" s="14" cm="1">
        <f t="array" ref="S80">INT(SUMPRODUCT(--ISNUMBER(SEARCH(immigration,C80)))&gt;0)</f>
        <v>0</v>
      </c>
      <c r="T80" s="14" cm="1">
        <f t="array" ref="T80">INT(SUMPRODUCT(--ISNUMBER(SEARCH(econineq,C81)))&gt;0)</f>
        <v>0</v>
      </c>
      <c r="U80" s="14" cm="1">
        <f t="array" ref="U80">INT(SUMPRODUCT(--ISNUMBER(SEARCH(climate,C80)))&gt;0)</f>
        <v>0</v>
      </c>
      <c r="V80" s="14" cm="1">
        <f t="array" ref="V80">INT(SUMPRODUCT(--ISNUMBER(SEARCH(abortion,C80)))&gt;0)</f>
        <v>0</v>
      </c>
      <c r="W80" s="14" cm="1">
        <f t="array" ref="W80">INT(SUMPRODUCT(--ISNUMBER(SEARCH(trump,C80)))&gt;0)</f>
        <v>0</v>
      </c>
      <c r="X80" s="14" cm="1">
        <f t="array" ref="X80">INT(SUMPRODUCT(--ISNUMBER(SEARCH(voting,C80)))&gt;0)</f>
        <v>1</v>
      </c>
      <c r="Y80" s="14" cm="1">
        <f t="array" ref="Y80">INT(SUMPRODUCT(--ISNUMBER(SEARCH(democrattrigger,C80)))&gt;0)</f>
        <v>0</v>
      </c>
      <c r="Z80" s="14" cm="1">
        <f t="array" ref="Z80">INT(SUMPRODUCT(--ISNUMBER(SEARCH(bipartisan,C80)))&gt;0)</f>
        <v>0</v>
      </c>
      <c r="AA80" s="14">
        <f t="shared" si="1"/>
        <v>0</v>
      </c>
      <c r="AB80" s="14"/>
      <c r="AC80" s="30" t="s">
        <v>223</v>
      </c>
      <c r="AD80" s="37" t="s">
        <v>223</v>
      </c>
    </row>
    <row r="81" spans="1:30" x14ac:dyDescent="0.25">
      <c r="A81" s="36">
        <v>1544</v>
      </c>
      <c r="B81" s="14" t="s">
        <v>3115</v>
      </c>
      <c r="C81" s="14" t="s">
        <v>3116</v>
      </c>
      <c r="D81" s="17">
        <v>44133</v>
      </c>
      <c r="E81" s="14" t="s">
        <v>30</v>
      </c>
      <c r="F81" s="14">
        <v>998</v>
      </c>
      <c r="G81" s="14">
        <v>199</v>
      </c>
      <c r="H81" s="14">
        <v>8</v>
      </c>
      <c r="I81" s="14">
        <v>4</v>
      </c>
      <c r="J81" s="14" t="s">
        <v>204</v>
      </c>
      <c r="K81" s="14" cm="1">
        <f t="array" ref="K81">INT(SUMPRODUCT(--ISNUMBER(SEARCH(economy,C81)))&gt;0)</f>
        <v>1</v>
      </c>
      <c r="L81" s="14" cm="1">
        <f t="array" ref="L81">INT(SUMPRODUCT(--ISNUMBER(SEARCH(healthcare,C81)))&gt;0)</f>
        <v>1</v>
      </c>
      <c r="M81" s="14" cm="1">
        <f t="array" ref="M81">INT(SUMPRODUCT(--ISNUMBER(SEARCH(supreme,C81)))&gt;0)</f>
        <v>0</v>
      </c>
      <c r="N81" s="14" cm="1">
        <f t="array" ref="N81">INT(SUMPRODUCT(--ISNUMBER(SEARCH(covid,C81)))&gt;0)</f>
        <v>0</v>
      </c>
      <c r="O81" s="14" cm="1">
        <f t="array" ref="O81">INT(SUMPRODUCT(--ISNUMBER(SEARCH(violent,C81)))&gt;0)</f>
        <v>0</v>
      </c>
      <c r="P81" s="14" cm="1">
        <f t="array" ref="P81">INT(SUMPRODUCT(--ISNUMBER(SEARCH(foreign,C81)))&gt;0)</f>
        <v>0</v>
      </c>
      <c r="Q81" s="14" cm="1">
        <f t="array" ref="Q81">INT(SUMPRODUCT(--ISNUMBER(SEARCH(gun,C81)))&gt;0)</f>
        <v>0</v>
      </c>
      <c r="R81" s="14" cm="1">
        <f t="array" ref="R81">INT(SUMPRODUCT(--ISNUMBER(SEARCH(race,C81)))&gt;0)</f>
        <v>0</v>
      </c>
      <c r="S81" s="14" cm="1">
        <f t="array" ref="S81">INT(SUMPRODUCT(--ISNUMBER(SEARCH(immigration,C81)))&gt;0)</f>
        <v>0</v>
      </c>
      <c r="T81" s="14" cm="1">
        <f t="array" ref="T81">INT(SUMPRODUCT(--ISNUMBER(SEARCH(econineq,C82)))&gt;0)</f>
        <v>0</v>
      </c>
      <c r="U81" s="14" cm="1">
        <f t="array" ref="U81">INT(SUMPRODUCT(--ISNUMBER(SEARCH(climate,C81)))&gt;0)</f>
        <v>0</v>
      </c>
      <c r="V81" s="14" cm="1">
        <f t="array" ref="V81">INT(SUMPRODUCT(--ISNUMBER(SEARCH(abortion,C81)))&gt;0)</f>
        <v>0</v>
      </c>
      <c r="W81" s="14" cm="1">
        <f t="array" ref="W81">INT(SUMPRODUCT(--ISNUMBER(SEARCH(trump,C81)))&gt;0)</f>
        <v>0</v>
      </c>
      <c r="X81" s="14" cm="1">
        <f t="array" ref="X81">INT(SUMPRODUCT(--ISNUMBER(SEARCH(voting,C81)))&gt;0)</f>
        <v>0</v>
      </c>
      <c r="Y81" s="14" cm="1">
        <f t="array" ref="Y81">INT(SUMPRODUCT(--ISNUMBER(SEARCH(democrattrigger,C81)))&gt;0)</f>
        <v>0</v>
      </c>
      <c r="Z81" s="14" cm="1">
        <f t="array" ref="Z81">INT(SUMPRODUCT(--ISNUMBER(SEARCH(bipartisan,C81)))&gt;0)</f>
        <v>0</v>
      </c>
      <c r="AA81" s="14">
        <f t="shared" si="1"/>
        <v>0</v>
      </c>
      <c r="AB81" s="14"/>
      <c r="AC81" s="30" t="s">
        <v>223</v>
      </c>
      <c r="AD81" s="37" t="s">
        <v>223</v>
      </c>
    </row>
    <row r="82" spans="1:30" x14ac:dyDescent="0.25">
      <c r="A82" s="36">
        <v>1545</v>
      </c>
      <c r="B82" s="14" t="s">
        <v>3117</v>
      </c>
      <c r="C82" s="14" t="s">
        <v>3118</v>
      </c>
      <c r="D82" s="17">
        <v>44133</v>
      </c>
      <c r="E82" s="14" t="s">
        <v>30</v>
      </c>
      <c r="F82" s="14">
        <v>547</v>
      </c>
      <c r="G82" s="14">
        <v>111</v>
      </c>
      <c r="H82" s="14">
        <v>8</v>
      </c>
      <c r="I82" s="14">
        <v>4</v>
      </c>
      <c r="J82" s="14" t="s">
        <v>204</v>
      </c>
      <c r="K82" s="14" cm="1">
        <f t="array" ref="K82">INT(SUMPRODUCT(--ISNUMBER(SEARCH(economy,C82)))&gt;0)</f>
        <v>1</v>
      </c>
      <c r="L82" s="14" cm="1">
        <f t="array" ref="L82">INT(SUMPRODUCT(--ISNUMBER(SEARCH(healthcare,C82)))&gt;0)</f>
        <v>1</v>
      </c>
      <c r="M82" s="14" cm="1">
        <f t="array" ref="M82">INT(SUMPRODUCT(--ISNUMBER(SEARCH(supreme,C82)))&gt;0)</f>
        <v>0</v>
      </c>
      <c r="N82" s="14" cm="1">
        <f t="array" ref="N82">INT(SUMPRODUCT(--ISNUMBER(SEARCH(covid,C82)))&gt;0)</f>
        <v>1</v>
      </c>
      <c r="O82" s="14" cm="1">
        <f t="array" ref="O82">INT(SUMPRODUCT(--ISNUMBER(SEARCH(violent,C82)))&gt;0)</f>
        <v>0</v>
      </c>
      <c r="P82" s="14" cm="1">
        <f t="array" ref="P82">INT(SUMPRODUCT(--ISNUMBER(SEARCH(foreign,C82)))&gt;0)</f>
        <v>0</v>
      </c>
      <c r="Q82" s="14" cm="1">
        <f t="array" ref="Q82">INT(SUMPRODUCT(--ISNUMBER(SEARCH(gun,C82)))&gt;0)</f>
        <v>0</v>
      </c>
      <c r="R82" s="14" cm="1">
        <f t="array" ref="R82">INT(SUMPRODUCT(--ISNUMBER(SEARCH(race,C82)))&gt;0)</f>
        <v>0</v>
      </c>
      <c r="S82" s="14" cm="1">
        <f t="array" ref="S82">INT(SUMPRODUCT(--ISNUMBER(SEARCH(immigration,C82)))&gt;0)</f>
        <v>0</v>
      </c>
      <c r="T82" s="14" cm="1">
        <f t="array" ref="T82">INT(SUMPRODUCT(--ISNUMBER(SEARCH(econineq,C83)))&gt;0)</f>
        <v>0</v>
      </c>
      <c r="U82" s="14" cm="1">
        <f t="array" ref="U82">INT(SUMPRODUCT(--ISNUMBER(SEARCH(climate,C82)))&gt;0)</f>
        <v>0</v>
      </c>
      <c r="V82" s="14" cm="1">
        <f t="array" ref="V82">INT(SUMPRODUCT(--ISNUMBER(SEARCH(abortion,C82)))&gt;0)</f>
        <v>0</v>
      </c>
      <c r="W82" s="14" cm="1">
        <f t="array" ref="W82">INT(SUMPRODUCT(--ISNUMBER(SEARCH(trump,C82)))&gt;0)</f>
        <v>0</v>
      </c>
      <c r="X82" s="14" cm="1">
        <f t="array" ref="X82">INT(SUMPRODUCT(--ISNUMBER(SEARCH(voting,C82)))&gt;0)</f>
        <v>0</v>
      </c>
      <c r="Y82" s="14" cm="1">
        <f t="array" ref="Y82">INT(SUMPRODUCT(--ISNUMBER(SEARCH(democrattrigger,C82)))&gt;0)</f>
        <v>0</v>
      </c>
      <c r="Z82" s="14" cm="1">
        <f t="array" ref="Z82">INT(SUMPRODUCT(--ISNUMBER(SEARCH(bipartisan,C82)))&gt;0)</f>
        <v>0</v>
      </c>
      <c r="AA82" s="14">
        <f t="shared" si="1"/>
        <v>0</v>
      </c>
      <c r="AB82" s="14"/>
      <c r="AC82" s="30" t="s">
        <v>223</v>
      </c>
      <c r="AD82" s="37" t="s">
        <v>223</v>
      </c>
    </row>
    <row r="83" spans="1:30" x14ac:dyDescent="0.25">
      <c r="A83" s="36">
        <v>1546</v>
      </c>
      <c r="B83" s="14" t="s">
        <v>3119</v>
      </c>
      <c r="C83" s="14" t="s">
        <v>3120</v>
      </c>
      <c r="D83" s="17">
        <v>44133</v>
      </c>
      <c r="E83" s="14" t="s">
        <v>30</v>
      </c>
      <c r="F83" s="14">
        <v>794</v>
      </c>
      <c r="G83" s="14">
        <v>181</v>
      </c>
      <c r="H83" s="14">
        <v>8</v>
      </c>
      <c r="I83" s="14">
        <v>4</v>
      </c>
      <c r="J83" s="14" t="s">
        <v>204</v>
      </c>
      <c r="K83" s="14" cm="1">
        <f t="array" ref="K83">INT(SUMPRODUCT(--ISNUMBER(SEARCH(economy,C83)))&gt;0)</f>
        <v>0</v>
      </c>
      <c r="L83" s="14" cm="1">
        <f t="array" ref="L83">INT(SUMPRODUCT(--ISNUMBER(SEARCH(healthcare,C83)))&gt;0)</f>
        <v>1</v>
      </c>
      <c r="M83" s="14" cm="1">
        <f t="array" ref="M83">INT(SUMPRODUCT(--ISNUMBER(SEARCH(supreme,C83)))&gt;0)</f>
        <v>0</v>
      </c>
      <c r="N83" s="14" cm="1">
        <f t="array" ref="N83">INT(SUMPRODUCT(--ISNUMBER(SEARCH(covid,C83)))&gt;0)</f>
        <v>0</v>
      </c>
      <c r="O83" s="14" cm="1">
        <f t="array" ref="O83">INT(SUMPRODUCT(--ISNUMBER(SEARCH(violent,C83)))&gt;0)</f>
        <v>0</v>
      </c>
      <c r="P83" s="14" cm="1">
        <f t="array" ref="P83">INT(SUMPRODUCT(--ISNUMBER(SEARCH(foreign,C83)))&gt;0)</f>
        <v>0</v>
      </c>
      <c r="Q83" s="14" cm="1">
        <f t="array" ref="Q83">INT(SUMPRODUCT(--ISNUMBER(SEARCH(gun,C83)))&gt;0)</f>
        <v>0</v>
      </c>
      <c r="R83" s="14" cm="1">
        <f t="array" ref="R83">INT(SUMPRODUCT(--ISNUMBER(SEARCH(race,C83)))&gt;0)</f>
        <v>0</v>
      </c>
      <c r="S83" s="14" cm="1">
        <f t="array" ref="S83">INT(SUMPRODUCT(--ISNUMBER(SEARCH(immigration,C83)))&gt;0)</f>
        <v>0</v>
      </c>
      <c r="T83" s="14" cm="1">
        <f t="array" ref="T83">INT(SUMPRODUCT(--ISNUMBER(SEARCH(econineq,C84)))&gt;0)</f>
        <v>0</v>
      </c>
      <c r="U83" s="14" cm="1">
        <f t="array" ref="U83">INT(SUMPRODUCT(--ISNUMBER(SEARCH(climate,C83)))&gt;0)</f>
        <v>0</v>
      </c>
      <c r="V83" s="14" cm="1">
        <f t="array" ref="V83">INT(SUMPRODUCT(--ISNUMBER(SEARCH(abortion,C83)))&gt;0)</f>
        <v>0</v>
      </c>
      <c r="W83" s="14" cm="1">
        <f t="array" ref="W83">INT(SUMPRODUCT(--ISNUMBER(SEARCH(trump,C83)))&gt;0)</f>
        <v>0</v>
      </c>
      <c r="X83" s="14" cm="1">
        <f t="array" ref="X83">INT(SUMPRODUCT(--ISNUMBER(SEARCH(voting,C83)))&gt;0)</f>
        <v>0</v>
      </c>
      <c r="Y83" s="14" cm="1">
        <f t="array" ref="Y83">INT(SUMPRODUCT(--ISNUMBER(SEARCH(democrattrigger,C83)))&gt;0)</f>
        <v>0</v>
      </c>
      <c r="Z83" s="14" cm="1">
        <f t="array" ref="Z83">INT(SUMPRODUCT(--ISNUMBER(SEARCH(bipartisan,C83)))&gt;0)</f>
        <v>0</v>
      </c>
      <c r="AA83" s="14">
        <f t="shared" si="1"/>
        <v>0</v>
      </c>
      <c r="AB83" s="14"/>
      <c r="AC83" s="30">
        <v>0</v>
      </c>
      <c r="AD83" s="37">
        <v>1</v>
      </c>
    </row>
    <row r="84" spans="1:30" x14ac:dyDescent="0.25">
      <c r="A84" s="36">
        <v>1547</v>
      </c>
      <c r="B84" s="14" t="s">
        <v>3121</v>
      </c>
      <c r="C84" s="14" t="s">
        <v>3122</v>
      </c>
      <c r="D84" s="17">
        <v>44133</v>
      </c>
      <c r="E84" s="14" t="s">
        <v>30</v>
      </c>
      <c r="F84" s="14">
        <v>674</v>
      </c>
      <c r="G84" s="14">
        <v>214</v>
      </c>
      <c r="H84" s="14">
        <v>8</v>
      </c>
      <c r="I84" s="14">
        <v>4</v>
      </c>
      <c r="J84" s="14" t="s">
        <v>204</v>
      </c>
      <c r="K84" s="14" cm="1">
        <f t="array" ref="K84">INT(SUMPRODUCT(--ISNUMBER(SEARCH(economy,C84)))&gt;0)</f>
        <v>0</v>
      </c>
      <c r="L84" s="14" cm="1">
        <f t="array" ref="L84">INT(SUMPRODUCT(--ISNUMBER(SEARCH(healthcare,C84)))&gt;0)</f>
        <v>0</v>
      </c>
      <c r="M84" s="14" cm="1">
        <f t="array" ref="M84">INT(SUMPRODUCT(--ISNUMBER(SEARCH(supreme,C84)))&gt;0)</f>
        <v>0</v>
      </c>
      <c r="N84" s="14" cm="1">
        <f t="array" ref="N84">INT(SUMPRODUCT(--ISNUMBER(SEARCH(covid,C84)))&gt;0)</f>
        <v>0</v>
      </c>
      <c r="O84" s="14" cm="1">
        <f t="array" ref="O84">INT(SUMPRODUCT(--ISNUMBER(SEARCH(violent,C84)))&gt;0)</f>
        <v>0</v>
      </c>
      <c r="P84" s="14" cm="1">
        <f t="array" ref="P84">INT(SUMPRODUCT(--ISNUMBER(SEARCH(foreign,C84)))&gt;0)</f>
        <v>0</v>
      </c>
      <c r="Q84" s="14" cm="1">
        <f t="array" ref="Q84">INT(SUMPRODUCT(--ISNUMBER(SEARCH(gun,C84)))&gt;0)</f>
        <v>0</v>
      </c>
      <c r="R84" s="14" cm="1">
        <f t="array" ref="R84">INT(SUMPRODUCT(--ISNUMBER(SEARCH(race,C84)))&gt;0)</f>
        <v>0</v>
      </c>
      <c r="S84" s="14" cm="1">
        <f t="array" ref="S84">INT(SUMPRODUCT(--ISNUMBER(SEARCH(immigration,C84)))&gt;0)</f>
        <v>0</v>
      </c>
      <c r="T84" s="14" cm="1">
        <f t="array" ref="T84">INT(SUMPRODUCT(--ISNUMBER(SEARCH(econineq,C85)))&gt;0)</f>
        <v>0</v>
      </c>
      <c r="U84" s="14" cm="1">
        <f t="array" ref="U84">INT(SUMPRODUCT(--ISNUMBER(SEARCH(climate,C84)))&gt;0)</f>
        <v>0</v>
      </c>
      <c r="V84" s="14" cm="1">
        <f t="array" ref="V84">INT(SUMPRODUCT(--ISNUMBER(SEARCH(abortion,C84)))&gt;0)</f>
        <v>0</v>
      </c>
      <c r="W84" s="14" cm="1">
        <f t="array" ref="W84">INT(SUMPRODUCT(--ISNUMBER(SEARCH(trump,C84)))&gt;0)</f>
        <v>0</v>
      </c>
      <c r="X84" s="14" cm="1">
        <f t="array" ref="X84">INT(SUMPRODUCT(--ISNUMBER(SEARCH(voting,C84)))&gt;0)</f>
        <v>1</v>
      </c>
      <c r="Y84" s="14" cm="1">
        <f t="array" ref="Y84">INT(SUMPRODUCT(--ISNUMBER(SEARCH(democrattrigger,C84)))&gt;0)</f>
        <v>0</v>
      </c>
      <c r="Z84" s="14" cm="1">
        <f t="array" ref="Z84">INT(SUMPRODUCT(--ISNUMBER(SEARCH(bipartisan,C84)))&gt;0)</f>
        <v>0</v>
      </c>
      <c r="AA84" s="14">
        <f t="shared" si="1"/>
        <v>0</v>
      </c>
      <c r="AB84" s="14"/>
      <c r="AC84" s="30" t="s">
        <v>223</v>
      </c>
      <c r="AD84" s="37" t="s">
        <v>223</v>
      </c>
    </row>
    <row r="85" spans="1:30" x14ac:dyDescent="0.25">
      <c r="A85" s="36">
        <v>1548</v>
      </c>
      <c r="B85" s="14" t="s">
        <v>3123</v>
      </c>
      <c r="C85" s="14" t="s">
        <v>3124</v>
      </c>
      <c r="D85" s="17">
        <v>44133</v>
      </c>
      <c r="E85" s="14" t="s">
        <v>30</v>
      </c>
      <c r="F85" s="14">
        <v>5970</v>
      </c>
      <c r="G85" s="14">
        <v>1671</v>
      </c>
      <c r="H85" s="14">
        <v>8</v>
      </c>
      <c r="I85" s="14">
        <v>4</v>
      </c>
      <c r="J85" s="14" t="s">
        <v>204</v>
      </c>
      <c r="K85" s="14" cm="1">
        <f t="array" ref="K85">INT(SUMPRODUCT(--ISNUMBER(SEARCH(economy,C85)))&gt;0)</f>
        <v>0</v>
      </c>
      <c r="L85" s="14" cm="1">
        <f t="array" ref="L85">INT(SUMPRODUCT(--ISNUMBER(SEARCH(healthcare,C85)))&gt;0)</f>
        <v>0</v>
      </c>
      <c r="M85" s="14" cm="1">
        <f t="array" ref="M85">INT(SUMPRODUCT(--ISNUMBER(SEARCH(supreme,C85)))&gt;0)</f>
        <v>1</v>
      </c>
      <c r="N85" s="14" cm="1">
        <f t="array" ref="N85">INT(SUMPRODUCT(--ISNUMBER(SEARCH(covid,C85)))&gt;0)</f>
        <v>0</v>
      </c>
      <c r="O85" s="14" cm="1">
        <f t="array" ref="O85">INT(SUMPRODUCT(--ISNUMBER(SEARCH(violent,C85)))&gt;0)</f>
        <v>0</v>
      </c>
      <c r="P85" s="14" cm="1">
        <f t="array" ref="P85">INT(SUMPRODUCT(--ISNUMBER(SEARCH(foreign,C85)))&gt;0)</f>
        <v>0</v>
      </c>
      <c r="Q85" s="14" cm="1">
        <f t="array" ref="Q85">INT(SUMPRODUCT(--ISNUMBER(SEARCH(gun,C85)))&gt;0)</f>
        <v>0</v>
      </c>
      <c r="R85" s="14" cm="1">
        <f t="array" ref="R85">INT(SUMPRODUCT(--ISNUMBER(SEARCH(race,C85)))&gt;0)</f>
        <v>0</v>
      </c>
      <c r="S85" s="14" cm="1">
        <f t="array" ref="S85">INT(SUMPRODUCT(--ISNUMBER(SEARCH(immigration,C85)))&gt;0)</f>
        <v>0</v>
      </c>
      <c r="T85" s="14" cm="1">
        <f t="array" ref="T85">INT(SUMPRODUCT(--ISNUMBER(SEARCH(econineq,C86)))&gt;0)</f>
        <v>0</v>
      </c>
      <c r="U85" s="14" cm="1">
        <f t="array" ref="U85">INT(SUMPRODUCT(--ISNUMBER(SEARCH(climate,C85)))&gt;0)</f>
        <v>0</v>
      </c>
      <c r="V85" s="14" cm="1">
        <f t="array" ref="V85">INT(SUMPRODUCT(--ISNUMBER(SEARCH(abortion,C85)))&gt;0)</f>
        <v>0</v>
      </c>
      <c r="W85" s="14" cm="1">
        <f t="array" ref="W85">INT(SUMPRODUCT(--ISNUMBER(SEARCH(trump,C85)))&gt;0)</f>
        <v>1</v>
      </c>
      <c r="X85" s="14" cm="1">
        <f t="array" ref="X85">INT(SUMPRODUCT(--ISNUMBER(SEARCH(voting,C85)))&gt;0)</f>
        <v>1</v>
      </c>
      <c r="Y85" s="14" cm="1">
        <f t="array" ref="Y85">INT(SUMPRODUCT(--ISNUMBER(SEARCH(democrattrigger,C85)))&gt;0)</f>
        <v>1</v>
      </c>
      <c r="Z85" s="14" cm="1">
        <f t="array" ref="Z85">INT(SUMPRODUCT(--ISNUMBER(SEARCH(bipartisan,C85)))&gt;0)</f>
        <v>0</v>
      </c>
      <c r="AA85" s="14">
        <f t="shared" si="1"/>
        <v>0</v>
      </c>
      <c r="AB85" s="14"/>
      <c r="AC85" s="30">
        <v>0</v>
      </c>
      <c r="AD85" s="37">
        <v>1</v>
      </c>
    </row>
    <row r="86" spans="1:30" x14ac:dyDescent="0.25">
      <c r="A86" s="36">
        <v>1549</v>
      </c>
      <c r="B86" s="14" t="s">
        <v>3125</v>
      </c>
      <c r="C86" s="14" t="s">
        <v>3126</v>
      </c>
      <c r="D86" s="17">
        <v>44133</v>
      </c>
      <c r="E86" s="14" t="s">
        <v>30</v>
      </c>
      <c r="F86" s="14">
        <v>1250</v>
      </c>
      <c r="G86" s="14">
        <v>246</v>
      </c>
      <c r="H86" s="14">
        <v>8</v>
      </c>
      <c r="I86" s="14">
        <v>4</v>
      </c>
      <c r="J86" s="14" t="s">
        <v>204</v>
      </c>
      <c r="K86" s="14" cm="1">
        <f t="array" ref="K86">INT(SUMPRODUCT(--ISNUMBER(SEARCH(economy,C86)))&gt;0)</f>
        <v>0</v>
      </c>
      <c r="L86" s="14" cm="1">
        <f t="array" ref="L86">INT(SUMPRODUCT(--ISNUMBER(SEARCH(healthcare,C86)))&gt;0)</f>
        <v>0</v>
      </c>
      <c r="M86" s="14" cm="1">
        <f t="array" ref="M86">INT(SUMPRODUCT(--ISNUMBER(SEARCH(supreme,C86)))&gt;0)</f>
        <v>0</v>
      </c>
      <c r="N86" s="14" cm="1">
        <f t="array" ref="N86">INT(SUMPRODUCT(--ISNUMBER(SEARCH(covid,C86)))&gt;0)</f>
        <v>0</v>
      </c>
      <c r="O86" s="14" cm="1">
        <f t="array" ref="O86">INT(SUMPRODUCT(--ISNUMBER(SEARCH(violent,C86)))&gt;0)</f>
        <v>0</v>
      </c>
      <c r="P86" s="14" cm="1">
        <f t="array" ref="P86">INT(SUMPRODUCT(--ISNUMBER(SEARCH(foreign,C86)))&gt;0)</f>
        <v>0</v>
      </c>
      <c r="Q86" s="14" cm="1">
        <f t="array" ref="Q86">INT(SUMPRODUCT(--ISNUMBER(SEARCH(gun,C86)))&gt;0)</f>
        <v>0</v>
      </c>
      <c r="R86" s="14" cm="1">
        <f t="array" ref="R86">INT(SUMPRODUCT(--ISNUMBER(SEARCH(race,C86)))&gt;0)</f>
        <v>0</v>
      </c>
      <c r="S86" s="14" cm="1">
        <f t="array" ref="S86">INT(SUMPRODUCT(--ISNUMBER(SEARCH(immigration,C86)))&gt;0)</f>
        <v>0</v>
      </c>
      <c r="T86" s="14" cm="1">
        <f t="array" ref="T86">INT(SUMPRODUCT(--ISNUMBER(SEARCH(econineq,C87)))&gt;0)</f>
        <v>0</v>
      </c>
      <c r="U86" s="14" cm="1">
        <f t="array" ref="U86">INT(SUMPRODUCT(--ISNUMBER(SEARCH(climate,C86)))&gt;0)</f>
        <v>0</v>
      </c>
      <c r="V86" s="14" cm="1">
        <f t="array" ref="V86">INT(SUMPRODUCT(--ISNUMBER(SEARCH(abortion,C86)))&gt;0)</f>
        <v>0</v>
      </c>
      <c r="W86" s="14" cm="1">
        <f t="array" ref="W86">INT(SUMPRODUCT(--ISNUMBER(SEARCH(trump,C86)))&gt;0)</f>
        <v>0</v>
      </c>
      <c r="X86" s="14" cm="1">
        <f t="array" ref="X86">INT(SUMPRODUCT(--ISNUMBER(SEARCH(voting,C86)))&gt;0)</f>
        <v>0</v>
      </c>
      <c r="Y86" s="14" cm="1">
        <f t="array" ref="Y86">INT(SUMPRODUCT(--ISNUMBER(SEARCH(democrattrigger,C86)))&gt;0)</f>
        <v>1</v>
      </c>
      <c r="Z86" s="14" cm="1">
        <f t="array" ref="Z86">INT(SUMPRODUCT(--ISNUMBER(SEARCH(bipartisan,C86)))&gt;0)</f>
        <v>0</v>
      </c>
      <c r="AA86" s="14">
        <f t="shared" si="1"/>
        <v>0</v>
      </c>
      <c r="AB86" s="14"/>
      <c r="AC86" s="30" t="s">
        <v>223</v>
      </c>
      <c r="AD86" s="37" t="s">
        <v>223</v>
      </c>
    </row>
    <row r="87" spans="1:30" x14ac:dyDescent="0.25">
      <c r="A87" s="36">
        <v>1550</v>
      </c>
      <c r="B87" s="14" t="s">
        <v>3127</v>
      </c>
      <c r="C87" s="14" t="s">
        <v>3128</v>
      </c>
      <c r="D87" s="17">
        <v>44133</v>
      </c>
      <c r="E87" s="14" t="s">
        <v>30</v>
      </c>
      <c r="F87" s="14">
        <v>3634</v>
      </c>
      <c r="G87" s="14">
        <v>785</v>
      </c>
      <c r="H87" s="14">
        <v>8</v>
      </c>
      <c r="I87" s="14">
        <v>4</v>
      </c>
      <c r="J87" s="14" t="s">
        <v>204</v>
      </c>
      <c r="K87" s="14" cm="1">
        <f t="array" ref="K87">INT(SUMPRODUCT(--ISNUMBER(SEARCH(economy,C87)))&gt;0)</f>
        <v>0</v>
      </c>
      <c r="L87" s="14" cm="1">
        <f t="array" ref="L87">INT(SUMPRODUCT(--ISNUMBER(SEARCH(healthcare,C87)))&gt;0)</f>
        <v>1</v>
      </c>
      <c r="M87" s="14" cm="1">
        <f t="array" ref="M87">INT(SUMPRODUCT(--ISNUMBER(SEARCH(supreme,C87)))&gt;0)</f>
        <v>1</v>
      </c>
      <c r="N87" s="14" cm="1">
        <f t="array" ref="N87">INT(SUMPRODUCT(--ISNUMBER(SEARCH(covid,C87)))&gt;0)</f>
        <v>0</v>
      </c>
      <c r="O87" s="14" cm="1">
        <f t="array" ref="O87">INT(SUMPRODUCT(--ISNUMBER(SEARCH(violent,C87)))&gt;0)</f>
        <v>0</v>
      </c>
      <c r="P87" s="14" cm="1">
        <f t="array" ref="P87">INT(SUMPRODUCT(--ISNUMBER(SEARCH(foreign,C87)))&gt;0)</f>
        <v>0</v>
      </c>
      <c r="Q87" s="14" cm="1">
        <f t="array" ref="Q87">INT(SUMPRODUCT(--ISNUMBER(SEARCH(gun,C87)))&gt;0)</f>
        <v>0</v>
      </c>
      <c r="R87" s="14" cm="1">
        <f t="array" ref="R87">INT(SUMPRODUCT(--ISNUMBER(SEARCH(race,C87)))&gt;0)</f>
        <v>0</v>
      </c>
      <c r="S87" s="14" cm="1">
        <f t="array" ref="S87">INT(SUMPRODUCT(--ISNUMBER(SEARCH(immigration,C87)))&gt;0)</f>
        <v>0</v>
      </c>
      <c r="T87" s="14" cm="1">
        <f t="array" ref="T87">INT(SUMPRODUCT(--ISNUMBER(SEARCH(econineq,C88)))&gt;0)</f>
        <v>0</v>
      </c>
      <c r="U87" s="14" cm="1">
        <f t="array" ref="U87">INT(SUMPRODUCT(--ISNUMBER(SEARCH(climate,C87)))&gt;0)</f>
        <v>0</v>
      </c>
      <c r="V87" s="14" cm="1">
        <f t="array" ref="V87">INT(SUMPRODUCT(--ISNUMBER(SEARCH(abortion,C87)))&gt;0)</f>
        <v>0</v>
      </c>
      <c r="W87" s="14" cm="1">
        <f t="array" ref="W87">INT(SUMPRODUCT(--ISNUMBER(SEARCH(trump,C87)))&gt;0)</f>
        <v>1</v>
      </c>
      <c r="X87" s="14" cm="1">
        <f t="array" ref="X87">INT(SUMPRODUCT(--ISNUMBER(SEARCH(voting,C87)))&gt;0)</f>
        <v>0</v>
      </c>
      <c r="Y87" s="14" cm="1">
        <f t="array" ref="Y87">INT(SUMPRODUCT(--ISNUMBER(SEARCH(democrattrigger,C87)))&gt;0)</f>
        <v>1</v>
      </c>
      <c r="Z87" s="14" cm="1">
        <f t="array" ref="Z87">INT(SUMPRODUCT(--ISNUMBER(SEARCH(bipartisan,C87)))&gt;0)</f>
        <v>0</v>
      </c>
      <c r="AA87" s="14">
        <f t="shared" si="1"/>
        <v>0</v>
      </c>
      <c r="AB87" s="14"/>
      <c r="AC87" s="30" t="s">
        <v>223</v>
      </c>
      <c r="AD87" s="37" t="s">
        <v>223</v>
      </c>
    </row>
    <row r="88" spans="1:30" x14ac:dyDescent="0.25">
      <c r="A88" s="36">
        <v>1551</v>
      </c>
      <c r="B88" s="14" t="s">
        <v>3129</v>
      </c>
      <c r="C88" s="14" t="s">
        <v>3130</v>
      </c>
      <c r="D88" s="17">
        <v>44133</v>
      </c>
      <c r="E88" s="14" t="s">
        <v>30</v>
      </c>
      <c r="F88" s="14">
        <v>1630</v>
      </c>
      <c r="G88" s="14">
        <v>454</v>
      </c>
      <c r="H88" s="14">
        <v>8</v>
      </c>
      <c r="I88" s="14">
        <v>4</v>
      </c>
      <c r="J88" s="14" t="s">
        <v>204</v>
      </c>
      <c r="K88" s="14" cm="1">
        <f t="array" ref="K88">INT(SUMPRODUCT(--ISNUMBER(SEARCH(economy,C88)))&gt;0)</f>
        <v>0</v>
      </c>
      <c r="L88" s="14" cm="1">
        <f t="array" ref="L88">INT(SUMPRODUCT(--ISNUMBER(SEARCH(healthcare,C88)))&gt;0)</f>
        <v>0</v>
      </c>
      <c r="M88" s="14" cm="1">
        <f t="array" ref="M88">INT(SUMPRODUCT(--ISNUMBER(SEARCH(supreme,C88)))&gt;0)</f>
        <v>0</v>
      </c>
      <c r="N88" s="14" cm="1">
        <f t="array" ref="N88">INT(SUMPRODUCT(--ISNUMBER(SEARCH(covid,C88)))&gt;0)</f>
        <v>1</v>
      </c>
      <c r="O88" s="14" cm="1">
        <f t="array" ref="O88">INT(SUMPRODUCT(--ISNUMBER(SEARCH(violent,C88)))&gt;0)</f>
        <v>0</v>
      </c>
      <c r="P88" s="14" cm="1">
        <f t="array" ref="P88">INT(SUMPRODUCT(--ISNUMBER(SEARCH(foreign,C88)))&gt;0)</f>
        <v>0</v>
      </c>
      <c r="Q88" s="14" cm="1">
        <f t="array" ref="Q88">INT(SUMPRODUCT(--ISNUMBER(SEARCH(gun,C88)))&gt;0)</f>
        <v>0</v>
      </c>
      <c r="R88" s="14" cm="1">
        <f t="array" ref="R88">INT(SUMPRODUCT(--ISNUMBER(SEARCH(race,C88)))&gt;0)</f>
        <v>0</v>
      </c>
      <c r="S88" s="14" cm="1">
        <f t="array" ref="S88">INT(SUMPRODUCT(--ISNUMBER(SEARCH(immigration,C88)))&gt;0)</f>
        <v>0</v>
      </c>
      <c r="T88" s="14" cm="1">
        <f t="array" ref="T88">INT(SUMPRODUCT(--ISNUMBER(SEARCH(econineq,C89)))&gt;0)</f>
        <v>0</v>
      </c>
      <c r="U88" s="14" cm="1">
        <f t="array" ref="U88">INT(SUMPRODUCT(--ISNUMBER(SEARCH(climate,C88)))&gt;0)</f>
        <v>0</v>
      </c>
      <c r="V88" s="14" cm="1">
        <f t="array" ref="V88">INT(SUMPRODUCT(--ISNUMBER(SEARCH(abortion,C88)))&gt;0)</f>
        <v>0</v>
      </c>
      <c r="W88" s="14" cm="1">
        <f t="array" ref="W88">INT(SUMPRODUCT(--ISNUMBER(SEARCH(trump,C88)))&gt;0)</f>
        <v>0</v>
      </c>
      <c r="X88" s="14" cm="1">
        <f t="array" ref="X88">INT(SUMPRODUCT(--ISNUMBER(SEARCH(voting,C88)))&gt;0)</f>
        <v>0</v>
      </c>
      <c r="Y88" s="14" cm="1">
        <f t="array" ref="Y88">INT(SUMPRODUCT(--ISNUMBER(SEARCH(democrattrigger,C88)))&gt;0)</f>
        <v>1</v>
      </c>
      <c r="Z88" s="14" cm="1">
        <f t="array" ref="Z88">INT(SUMPRODUCT(--ISNUMBER(SEARCH(bipartisan,C88)))&gt;0)</f>
        <v>0</v>
      </c>
      <c r="AA88" s="14">
        <f t="shared" si="1"/>
        <v>0</v>
      </c>
      <c r="AB88" s="14"/>
      <c r="AC88" s="30">
        <v>0</v>
      </c>
      <c r="AD88" s="37">
        <v>1</v>
      </c>
    </row>
    <row r="89" spans="1:30" x14ac:dyDescent="0.25">
      <c r="A89" s="36">
        <v>1552</v>
      </c>
      <c r="B89" s="14" t="s">
        <v>3131</v>
      </c>
      <c r="C89" s="14" t="s">
        <v>3132</v>
      </c>
      <c r="D89" s="17">
        <v>44133</v>
      </c>
      <c r="E89" s="14" t="s">
        <v>30</v>
      </c>
      <c r="F89" s="14">
        <v>1005</v>
      </c>
      <c r="G89" s="14">
        <v>164</v>
      </c>
      <c r="H89" s="14">
        <v>8</v>
      </c>
      <c r="I89" s="14">
        <v>4</v>
      </c>
      <c r="J89" s="14" t="s">
        <v>204</v>
      </c>
      <c r="K89" s="14" cm="1">
        <f t="array" ref="K89">INT(SUMPRODUCT(--ISNUMBER(SEARCH(economy,C89)))&gt;0)</f>
        <v>0</v>
      </c>
      <c r="L89" s="14" cm="1">
        <f t="array" ref="L89">INT(SUMPRODUCT(--ISNUMBER(SEARCH(healthcare,C89)))&gt;0)</f>
        <v>0</v>
      </c>
      <c r="M89" s="14" cm="1">
        <f t="array" ref="M89">INT(SUMPRODUCT(--ISNUMBER(SEARCH(supreme,C89)))&gt;0)</f>
        <v>0</v>
      </c>
      <c r="N89" s="14" cm="1">
        <f t="array" ref="N89">INT(SUMPRODUCT(--ISNUMBER(SEARCH(covid,C89)))&gt;0)</f>
        <v>0</v>
      </c>
      <c r="O89" s="14" cm="1">
        <f t="array" ref="O89">INT(SUMPRODUCT(--ISNUMBER(SEARCH(violent,C89)))&gt;0)</f>
        <v>0</v>
      </c>
      <c r="P89" s="14" cm="1">
        <f t="array" ref="P89">INT(SUMPRODUCT(--ISNUMBER(SEARCH(foreign,C89)))&gt;0)</f>
        <v>0</v>
      </c>
      <c r="Q89" s="14" cm="1">
        <f t="array" ref="Q89">INT(SUMPRODUCT(--ISNUMBER(SEARCH(gun,C89)))&gt;0)</f>
        <v>0</v>
      </c>
      <c r="R89" s="14" cm="1">
        <f t="array" ref="R89">INT(SUMPRODUCT(--ISNUMBER(SEARCH(race,C89)))&gt;0)</f>
        <v>1</v>
      </c>
      <c r="S89" s="14" cm="1">
        <f t="array" ref="S89">INT(SUMPRODUCT(--ISNUMBER(SEARCH(immigration,C89)))&gt;0)</f>
        <v>0</v>
      </c>
      <c r="T89" s="14" cm="1">
        <f t="array" ref="T89">INT(SUMPRODUCT(--ISNUMBER(SEARCH(econineq,C90)))&gt;0)</f>
        <v>0</v>
      </c>
      <c r="U89" s="14" cm="1">
        <f t="array" ref="U89">INT(SUMPRODUCT(--ISNUMBER(SEARCH(climate,C89)))&gt;0)</f>
        <v>0</v>
      </c>
      <c r="V89" s="14" cm="1">
        <f t="array" ref="V89">INT(SUMPRODUCT(--ISNUMBER(SEARCH(abortion,C89)))&gt;0)</f>
        <v>0</v>
      </c>
      <c r="W89" s="14" cm="1">
        <f t="array" ref="W89">INT(SUMPRODUCT(--ISNUMBER(SEARCH(trump,C89)))&gt;0)</f>
        <v>0</v>
      </c>
      <c r="X89" s="14" cm="1">
        <f t="array" ref="X89">INT(SUMPRODUCT(--ISNUMBER(SEARCH(voting,C89)))&gt;0)</f>
        <v>0</v>
      </c>
      <c r="Y89" s="14" cm="1">
        <f t="array" ref="Y89">INT(SUMPRODUCT(--ISNUMBER(SEARCH(democrattrigger,C89)))&gt;0)</f>
        <v>0</v>
      </c>
      <c r="Z89" s="14" cm="1">
        <f t="array" ref="Z89">INT(SUMPRODUCT(--ISNUMBER(SEARCH(bipartisan,C89)))&gt;0)</f>
        <v>0</v>
      </c>
      <c r="AA89" s="14">
        <f t="shared" si="1"/>
        <v>0</v>
      </c>
      <c r="AB89" s="14"/>
      <c r="AC89" s="30" t="s">
        <v>223</v>
      </c>
      <c r="AD89" s="37" t="s">
        <v>223</v>
      </c>
    </row>
    <row r="90" spans="1:30" x14ac:dyDescent="0.25">
      <c r="A90" s="36">
        <v>1553</v>
      </c>
      <c r="B90" s="14" t="s">
        <v>3133</v>
      </c>
      <c r="C90" s="14" t="s">
        <v>3134</v>
      </c>
      <c r="D90" s="17">
        <v>44133</v>
      </c>
      <c r="E90" s="14" t="s">
        <v>30</v>
      </c>
      <c r="F90" s="14">
        <v>261</v>
      </c>
      <c r="G90" s="14">
        <v>70</v>
      </c>
      <c r="H90" s="14">
        <v>8</v>
      </c>
      <c r="I90" s="14">
        <v>4</v>
      </c>
      <c r="J90" s="14" t="s">
        <v>204</v>
      </c>
      <c r="K90" s="14" cm="1">
        <f t="array" ref="K90">INT(SUMPRODUCT(--ISNUMBER(SEARCH(economy,C90)))&gt;0)</f>
        <v>0</v>
      </c>
      <c r="L90" s="14" cm="1">
        <f t="array" ref="L90">INT(SUMPRODUCT(--ISNUMBER(SEARCH(healthcare,C90)))&gt;0)</f>
        <v>0</v>
      </c>
      <c r="M90" s="14" cm="1">
        <f t="array" ref="M90">INT(SUMPRODUCT(--ISNUMBER(SEARCH(supreme,C90)))&gt;0)</f>
        <v>0</v>
      </c>
      <c r="N90" s="14" cm="1">
        <f t="array" ref="N90">INT(SUMPRODUCT(--ISNUMBER(SEARCH(covid,C90)))&gt;0)</f>
        <v>1</v>
      </c>
      <c r="O90" s="14" cm="1">
        <f t="array" ref="O90">INT(SUMPRODUCT(--ISNUMBER(SEARCH(violent,C90)))&gt;0)</f>
        <v>0</v>
      </c>
      <c r="P90" s="14" cm="1">
        <f t="array" ref="P90">INT(SUMPRODUCT(--ISNUMBER(SEARCH(foreign,C90)))&gt;0)</f>
        <v>0</v>
      </c>
      <c r="Q90" s="14" cm="1">
        <f t="array" ref="Q90">INT(SUMPRODUCT(--ISNUMBER(SEARCH(gun,C90)))&gt;0)</f>
        <v>0</v>
      </c>
      <c r="R90" s="14" cm="1">
        <f t="array" ref="R90">INT(SUMPRODUCT(--ISNUMBER(SEARCH(race,C90)))&gt;0)</f>
        <v>1</v>
      </c>
      <c r="S90" s="14" cm="1">
        <f t="array" ref="S90">INT(SUMPRODUCT(--ISNUMBER(SEARCH(immigration,C90)))&gt;0)</f>
        <v>0</v>
      </c>
      <c r="T90" s="14" cm="1">
        <f t="array" ref="T90">INT(SUMPRODUCT(--ISNUMBER(SEARCH(econineq,C91)))&gt;0)</f>
        <v>0</v>
      </c>
      <c r="U90" s="14" cm="1">
        <f t="array" ref="U90">INT(SUMPRODUCT(--ISNUMBER(SEARCH(climate,C90)))&gt;0)</f>
        <v>0</v>
      </c>
      <c r="V90" s="14" cm="1">
        <f t="array" ref="V90">INT(SUMPRODUCT(--ISNUMBER(SEARCH(abortion,C90)))&gt;0)</f>
        <v>0</v>
      </c>
      <c r="W90" s="14" cm="1">
        <f t="array" ref="W90">INT(SUMPRODUCT(--ISNUMBER(SEARCH(trump,C90)))&gt;0)</f>
        <v>0</v>
      </c>
      <c r="X90" s="14" cm="1">
        <f t="array" ref="X90">INT(SUMPRODUCT(--ISNUMBER(SEARCH(voting,C90)))&gt;0)</f>
        <v>0</v>
      </c>
      <c r="Y90" s="14" cm="1">
        <f t="array" ref="Y90">INT(SUMPRODUCT(--ISNUMBER(SEARCH(democrattrigger,C90)))&gt;0)</f>
        <v>0</v>
      </c>
      <c r="Z90" s="14" cm="1">
        <f t="array" ref="Z90">INT(SUMPRODUCT(--ISNUMBER(SEARCH(bipartisan,C90)))&gt;0)</f>
        <v>0</v>
      </c>
      <c r="AA90" s="14">
        <f t="shared" si="1"/>
        <v>0</v>
      </c>
      <c r="AB90" s="14"/>
      <c r="AC90" s="30" t="s">
        <v>223</v>
      </c>
      <c r="AD90" s="37" t="s">
        <v>223</v>
      </c>
    </row>
    <row r="91" spans="1:30" x14ac:dyDescent="0.25">
      <c r="A91" s="36">
        <v>1554</v>
      </c>
      <c r="B91" s="14" t="s">
        <v>3135</v>
      </c>
      <c r="C91" s="14" t="s">
        <v>3136</v>
      </c>
      <c r="D91" s="17">
        <v>44133</v>
      </c>
      <c r="E91" s="14" t="s">
        <v>30</v>
      </c>
      <c r="F91" s="14">
        <v>546</v>
      </c>
      <c r="G91" s="14">
        <v>129</v>
      </c>
      <c r="H91" s="14">
        <v>8</v>
      </c>
      <c r="I91" s="14">
        <v>4</v>
      </c>
      <c r="J91" s="14" t="s">
        <v>204</v>
      </c>
      <c r="K91" s="14" cm="1">
        <f t="array" ref="K91">INT(SUMPRODUCT(--ISNUMBER(SEARCH(economy,C91)))&gt;0)</f>
        <v>0</v>
      </c>
      <c r="L91" s="14" cm="1">
        <f t="array" ref="L91">INT(SUMPRODUCT(--ISNUMBER(SEARCH(healthcare,C91)))&gt;0)</f>
        <v>0</v>
      </c>
      <c r="M91" s="14" cm="1">
        <f t="array" ref="M91">INT(SUMPRODUCT(--ISNUMBER(SEARCH(supreme,C91)))&gt;0)</f>
        <v>0</v>
      </c>
      <c r="N91" s="14" cm="1">
        <f t="array" ref="N91">INT(SUMPRODUCT(--ISNUMBER(SEARCH(covid,C91)))&gt;0)</f>
        <v>0</v>
      </c>
      <c r="O91" s="14" cm="1">
        <f t="array" ref="O91">INT(SUMPRODUCT(--ISNUMBER(SEARCH(violent,C91)))&gt;0)</f>
        <v>0</v>
      </c>
      <c r="P91" s="14" cm="1">
        <f t="array" ref="P91">INT(SUMPRODUCT(--ISNUMBER(SEARCH(foreign,C91)))&gt;0)</f>
        <v>0</v>
      </c>
      <c r="Q91" s="14" cm="1">
        <f t="array" ref="Q91">INT(SUMPRODUCT(--ISNUMBER(SEARCH(gun,C91)))&gt;0)</f>
        <v>0</v>
      </c>
      <c r="R91" s="14" cm="1">
        <f t="array" ref="R91">INT(SUMPRODUCT(--ISNUMBER(SEARCH(race,C91)))&gt;0)</f>
        <v>0</v>
      </c>
      <c r="S91" s="14" cm="1">
        <f t="array" ref="S91">INT(SUMPRODUCT(--ISNUMBER(SEARCH(immigration,C91)))&gt;0)</f>
        <v>0</v>
      </c>
      <c r="T91" s="14" cm="1">
        <f t="array" ref="T91">INT(SUMPRODUCT(--ISNUMBER(SEARCH(econineq,C92)))&gt;0)</f>
        <v>0</v>
      </c>
      <c r="U91" s="14" cm="1">
        <f t="array" ref="U91">INT(SUMPRODUCT(--ISNUMBER(SEARCH(climate,C91)))&gt;0)</f>
        <v>0</v>
      </c>
      <c r="V91" s="14" cm="1">
        <f t="array" ref="V91">INT(SUMPRODUCT(--ISNUMBER(SEARCH(abortion,C91)))&gt;0)</f>
        <v>0</v>
      </c>
      <c r="W91" s="14" cm="1">
        <f t="array" ref="W91">INT(SUMPRODUCT(--ISNUMBER(SEARCH(trump,C91)))&gt;0)</f>
        <v>0</v>
      </c>
      <c r="X91" s="14" cm="1">
        <f t="array" ref="X91">INT(SUMPRODUCT(--ISNUMBER(SEARCH(voting,C91)))&gt;0)</f>
        <v>0</v>
      </c>
      <c r="Y91" s="14" cm="1">
        <f t="array" ref="Y91">INT(SUMPRODUCT(--ISNUMBER(SEARCH(democrattrigger,C91)))&gt;0)</f>
        <v>0</v>
      </c>
      <c r="Z91" s="14" cm="1">
        <f t="array" ref="Z91">INT(SUMPRODUCT(--ISNUMBER(SEARCH(bipartisan,C91)))&gt;0)</f>
        <v>0</v>
      </c>
      <c r="AA91" s="14">
        <f t="shared" si="1"/>
        <v>1</v>
      </c>
      <c r="AB91" s="14"/>
      <c r="AC91" s="30" t="s">
        <v>223</v>
      </c>
      <c r="AD91" s="37" t="s">
        <v>223</v>
      </c>
    </row>
    <row r="92" spans="1:30" x14ac:dyDescent="0.25">
      <c r="A92" s="36">
        <v>1555</v>
      </c>
      <c r="B92" s="14" t="s">
        <v>3137</v>
      </c>
      <c r="C92" s="14" t="s">
        <v>3138</v>
      </c>
      <c r="D92" s="17">
        <v>44133</v>
      </c>
      <c r="E92" s="14" t="s">
        <v>30</v>
      </c>
      <c r="F92" s="14">
        <v>1611</v>
      </c>
      <c r="G92" s="14">
        <v>295</v>
      </c>
      <c r="H92" s="14">
        <v>8</v>
      </c>
      <c r="I92" s="14">
        <v>4</v>
      </c>
      <c r="J92" s="14" t="s">
        <v>204</v>
      </c>
      <c r="K92" s="14" cm="1">
        <f t="array" ref="K92">INT(SUMPRODUCT(--ISNUMBER(SEARCH(economy,C92)))&gt;0)</f>
        <v>0</v>
      </c>
      <c r="L92" s="14" cm="1">
        <f t="array" ref="L92">INT(SUMPRODUCT(--ISNUMBER(SEARCH(healthcare,C92)))&gt;0)</f>
        <v>0</v>
      </c>
      <c r="M92" s="14" cm="1">
        <f t="array" ref="M92">INT(SUMPRODUCT(--ISNUMBER(SEARCH(supreme,C92)))&gt;0)</f>
        <v>0</v>
      </c>
      <c r="N92" s="14" cm="1">
        <f t="array" ref="N92">INT(SUMPRODUCT(--ISNUMBER(SEARCH(covid,C92)))&gt;0)</f>
        <v>0</v>
      </c>
      <c r="O92" s="14" cm="1">
        <f t="array" ref="O92">INT(SUMPRODUCT(--ISNUMBER(SEARCH(violent,C92)))&gt;0)</f>
        <v>0</v>
      </c>
      <c r="P92" s="14" cm="1">
        <f t="array" ref="P92">INT(SUMPRODUCT(--ISNUMBER(SEARCH(foreign,C92)))&gt;0)</f>
        <v>0</v>
      </c>
      <c r="Q92" s="14" cm="1">
        <f t="array" ref="Q92">INT(SUMPRODUCT(--ISNUMBER(SEARCH(gun,C92)))&gt;0)</f>
        <v>0</v>
      </c>
      <c r="R92" s="14" cm="1">
        <f t="array" ref="R92">INT(SUMPRODUCT(--ISNUMBER(SEARCH(race,C92)))&gt;0)</f>
        <v>0</v>
      </c>
      <c r="S92" s="14" cm="1">
        <f t="array" ref="S92">INT(SUMPRODUCT(--ISNUMBER(SEARCH(immigration,C92)))&gt;0)</f>
        <v>0</v>
      </c>
      <c r="T92" s="14" cm="1">
        <f t="array" ref="T92">INT(SUMPRODUCT(--ISNUMBER(SEARCH(econineq,C93)))&gt;0)</f>
        <v>0</v>
      </c>
      <c r="U92" s="14" cm="1">
        <f t="array" ref="U92">INT(SUMPRODUCT(--ISNUMBER(SEARCH(climate,C92)))&gt;0)</f>
        <v>0</v>
      </c>
      <c r="V92" s="14" cm="1">
        <f t="array" ref="V92">INT(SUMPRODUCT(--ISNUMBER(SEARCH(abortion,C92)))&gt;0)</f>
        <v>0</v>
      </c>
      <c r="W92" s="14" cm="1">
        <f t="array" ref="W92">INT(SUMPRODUCT(--ISNUMBER(SEARCH(trump,C92)))&gt;0)</f>
        <v>0</v>
      </c>
      <c r="X92" s="14" cm="1">
        <f t="array" ref="X92">INT(SUMPRODUCT(--ISNUMBER(SEARCH(voting,C92)))&gt;0)</f>
        <v>0</v>
      </c>
      <c r="Y92" s="14" cm="1">
        <f t="array" ref="Y92">INT(SUMPRODUCT(--ISNUMBER(SEARCH(democrattrigger,C92)))&gt;0)</f>
        <v>1</v>
      </c>
      <c r="Z92" s="14" cm="1">
        <f t="array" ref="Z92">INT(SUMPRODUCT(--ISNUMBER(SEARCH(bipartisan,C92)))&gt;0)</f>
        <v>0</v>
      </c>
      <c r="AA92" s="14">
        <f t="shared" si="1"/>
        <v>0</v>
      </c>
      <c r="AB92" s="14"/>
      <c r="AC92" s="30" t="s">
        <v>223</v>
      </c>
      <c r="AD92" s="37" t="s">
        <v>223</v>
      </c>
    </row>
    <row r="93" spans="1:30" x14ac:dyDescent="0.25">
      <c r="A93" s="36">
        <v>1556</v>
      </c>
      <c r="B93" s="14" t="s">
        <v>3139</v>
      </c>
      <c r="C93" s="14" t="s">
        <v>3140</v>
      </c>
      <c r="D93" s="17">
        <v>44133</v>
      </c>
      <c r="E93" s="14" t="s">
        <v>30</v>
      </c>
      <c r="F93" s="14">
        <v>549</v>
      </c>
      <c r="G93" s="14">
        <v>166</v>
      </c>
      <c r="H93" s="14">
        <v>8</v>
      </c>
      <c r="I93" s="14">
        <v>4</v>
      </c>
      <c r="J93" s="14" t="s">
        <v>204</v>
      </c>
      <c r="K93" s="14" cm="1">
        <f t="array" ref="K93">INT(SUMPRODUCT(--ISNUMBER(SEARCH(economy,C93)))&gt;0)</f>
        <v>0</v>
      </c>
      <c r="L93" s="14" cm="1">
        <f t="array" ref="L93">INT(SUMPRODUCT(--ISNUMBER(SEARCH(healthcare,C93)))&gt;0)</f>
        <v>0</v>
      </c>
      <c r="M93" s="14" cm="1">
        <f t="array" ref="M93">INT(SUMPRODUCT(--ISNUMBER(SEARCH(supreme,C93)))&gt;0)</f>
        <v>1</v>
      </c>
      <c r="N93" s="14" cm="1">
        <f t="array" ref="N93">INT(SUMPRODUCT(--ISNUMBER(SEARCH(covid,C93)))&gt;0)</f>
        <v>1</v>
      </c>
      <c r="O93" s="14" cm="1">
        <f t="array" ref="O93">INT(SUMPRODUCT(--ISNUMBER(SEARCH(violent,C93)))&gt;0)</f>
        <v>0</v>
      </c>
      <c r="P93" s="14" cm="1">
        <f t="array" ref="P93">INT(SUMPRODUCT(--ISNUMBER(SEARCH(foreign,C93)))&gt;0)</f>
        <v>0</v>
      </c>
      <c r="Q93" s="14" cm="1">
        <f t="array" ref="Q93">INT(SUMPRODUCT(--ISNUMBER(SEARCH(gun,C93)))&gt;0)</f>
        <v>0</v>
      </c>
      <c r="R93" s="14" cm="1">
        <f t="array" ref="R93">INT(SUMPRODUCT(--ISNUMBER(SEARCH(race,C93)))&gt;0)</f>
        <v>0</v>
      </c>
      <c r="S93" s="14" cm="1">
        <f t="array" ref="S93">INT(SUMPRODUCT(--ISNUMBER(SEARCH(immigration,C93)))&gt;0)</f>
        <v>0</v>
      </c>
      <c r="T93" s="14" cm="1">
        <f t="array" ref="T93">INT(SUMPRODUCT(--ISNUMBER(SEARCH(econineq,C94)))&gt;0)</f>
        <v>0</v>
      </c>
      <c r="U93" s="14" cm="1">
        <f t="array" ref="U93">INT(SUMPRODUCT(--ISNUMBER(SEARCH(climate,C93)))&gt;0)</f>
        <v>0</v>
      </c>
      <c r="V93" s="14" cm="1">
        <f t="array" ref="V93">INT(SUMPRODUCT(--ISNUMBER(SEARCH(abortion,C93)))&gt;0)</f>
        <v>0</v>
      </c>
      <c r="W93" s="14" cm="1">
        <f t="array" ref="W93">INT(SUMPRODUCT(--ISNUMBER(SEARCH(trump,C93)))&gt;0)</f>
        <v>0</v>
      </c>
      <c r="X93" s="14" cm="1">
        <f t="array" ref="X93">INT(SUMPRODUCT(--ISNUMBER(SEARCH(voting,C93)))&gt;0)</f>
        <v>0</v>
      </c>
      <c r="Y93" s="14" cm="1">
        <f t="array" ref="Y93">INT(SUMPRODUCT(--ISNUMBER(SEARCH(democrattrigger,C93)))&gt;0)</f>
        <v>1</v>
      </c>
      <c r="Z93" s="14" cm="1">
        <f t="array" ref="Z93">INT(SUMPRODUCT(--ISNUMBER(SEARCH(bipartisan,C93)))&gt;0)</f>
        <v>0</v>
      </c>
      <c r="AA93" s="14">
        <f t="shared" si="1"/>
        <v>0</v>
      </c>
      <c r="AB93" s="14"/>
      <c r="AC93" s="30" t="s">
        <v>223</v>
      </c>
      <c r="AD93" s="37" t="s">
        <v>223</v>
      </c>
    </row>
    <row r="94" spans="1:30" x14ac:dyDescent="0.25">
      <c r="A94" s="36">
        <v>1557</v>
      </c>
      <c r="B94" s="14" t="s">
        <v>3141</v>
      </c>
      <c r="C94" s="14" t="s">
        <v>3142</v>
      </c>
      <c r="D94" s="17">
        <v>44133</v>
      </c>
      <c r="E94" s="14" t="s">
        <v>30</v>
      </c>
      <c r="F94" s="14">
        <v>436</v>
      </c>
      <c r="G94" s="14">
        <v>97</v>
      </c>
      <c r="H94" s="14">
        <v>8</v>
      </c>
      <c r="I94" s="14">
        <v>4</v>
      </c>
      <c r="J94" s="14" t="s">
        <v>204</v>
      </c>
      <c r="K94" s="14" cm="1">
        <f t="array" ref="K94">INT(SUMPRODUCT(--ISNUMBER(SEARCH(economy,C94)))&gt;0)</f>
        <v>0</v>
      </c>
      <c r="L94" s="14" cm="1">
        <f t="array" ref="L94">INT(SUMPRODUCT(--ISNUMBER(SEARCH(healthcare,C94)))&gt;0)</f>
        <v>0</v>
      </c>
      <c r="M94" s="14" cm="1">
        <f t="array" ref="M94">INT(SUMPRODUCT(--ISNUMBER(SEARCH(supreme,C94)))&gt;0)</f>
        <v>0</v>
      </c>
      <c r="N94" s="14" cm="1">
        <f t="array" ref="N94">INT(SUMPRODUCT(--ISNUMBER(SEARCH(covid,C94)))&gt;0)</f>
        <v>1</v>
      </c>
      <c r="O94" s="14" cm="1">
        <f t="array" ref="O94">INT(SUMPRODUCT(--ISNUMBER(SEARCH(violent,C94)))&gt;0)</f>
        <v>0</v>
      </c>
      <c r="P94" s="14" cm="1">
        <f t="array" ref="P94">INT(SUMPRODUCT(--ISNUMBER(SEARCH(foreign,C94)))&gt;0)</f>
        <v>0</v>
      </c>
      <c r="Q94" s="14" cm="1">
        <f t="array" ref="Q94">INT(SUMPRODUCT(--ISNUMBER(SEARCH(gun,C94)))&gt;0)</f>
        <v>0</v>
      </c>
      <c r="R94" s="14" cm="1">
        <f t="array" ref="R94">INT(SUMPRODUCT(--ISNUMBER(SEARCH(race,C94)))&gt;0)</f>
        <v>0</v>
      </c>
      <c r="S94" s="14" cm="1">
        <f t="array" ref="S94">INT(SUMPRODUCT(--ISNUMBER(SEARCH(immigration,C94)))&gt;0)</f>
        <v>0</v>
      </c>
      <c r="T94" s="14" cm="1">
        <f t="array" ref="T94">INT(SUMPRODUCT(--ISNUMBER(SEARCH(econineq,C95)))&gt;0)</f>
        <v>0</v>
      </c>
      <c r="U94" s="14" cm="1">
        <f t="array" ref="U94">INT(SUMPRODUCT(--ISNUMBER(SEARCH(climate,C94)))&gt;0)</f>
        <v>0</v>
      </c>
      <c r="V94" s="14" cm="1">
        <f t="array" ref="V94">INT(SUMPRODUCT(--ISNUMBER(SEARCH(abortion,C94)))&gt;0)</f>
        <v>0</v>
      </c>
      <c r="W94" s="14" cm="1">
        <f t="array" ref="W94">INT(SUMPRODUCT(--ISNUMBER(SEARCH(trump,C94)))&gt;0)</f>
        <v>0</v>
      </c>
      <c r="X94" s="14" cm="1">
        <f t="array" ref="X94">INT(SUMPRODUCT(--ISNUMBER(SEARCH(voting,C94)))&gt;0)</f>
        <v>0</v>
      </c>
      <c r="Y94" s="14" cm="1">
        <f t="array" ref="Y94">INT(SUMPRODUCT(--ISNUMBER(SEARCH(democrattrigger,C94)))&gt;0)</f>
        <v>0</v>
      </c>
      <c r="Z94" s="14" cm="1">
        <f t="array" ref="Z94">INT(SUMPRODUCT(--ISNUMBER(SEARCH(bipartisan,C94)))&gt;0)</f>
        <v>0</v>
      </c>
      <c r="AA94" s="14">
        <f t="shared" si="1"/>
        <v>0</v>
      </c>
      <c r="AB94" s="14"/>
      <c r="AC94" s="30" t="s">
        <v>223</v>
      </c>
      <c r="AD94" s="37" t="s">
        <v>223</v>
      </c>
    </row>
    <row r="95" spans="1:30" x14ac:dyDescent="0.25">
      <c r="A95" s="36">
        <v>1558</v>
      </c>
      <c r="B95" s="14" t="s">
        <v>3143</v>
      </c>
      <c r="C95" s="14" t="s">
        <v>3144</v>
      </c>
      <c r="D95" s="17">
        <v>44133</v>
      </c>
      <c r="E95" s="14" t="s">
        <v>30</v>
      </c>
      <c r="F95" s="14">
        <v>684</v>
      </c>
      <c r="G95" s="14">
        <v>138</v>
      </c>
      <c r="H95" s="14">
        <v>8</v>
      </c>
      <c r="I95" s="14">
        <v>4</v>
      </c>
      <c r="J95" s="14" t="s">
        <v>204</v>
      </c>
      <c r="K95" s="14" cm="1">
        <f t="array" ref="K95">INT(SUMPRODUCT(--ISNUMBER(SEARCH(economy,C95)))&gt;0)</f>
        <v>1</v>
      </c>
      <c r="L95" s="14" cm="1">
        <f t="array" ref="L95">INT(SUMPRODUCT(--ISNUMBER(SEARCH(healthcare,C95)))&gt;0)</f>
        <v>1</v>
      </c>
      <c r="M95" s="14" cm="1">
        <f t="array" ref="M95">INT(SUMPRODUCT(--ISNUMBER(SEARCH(supreme,C95)))&gt;0)</f>
        <v>0</v>
      </c>
      <c r="N95" s="14" cm="1">
        <f t="array" ref="N95">INT(SUMPRODUCT(--ISNUMBER(SEARCH(covid,C95)))&gt;0)</f>
        <v>0</v>
      </c>
      <c r="O95" s="14" cm="1">
        <f t="array" ref="O95">INT(SUMPRODUCT(--ISNUMBER(SEARCH(violent,C95)))&gt;0)</f>
        <v>0</v>
      </c>
      <c r="P95" s="14" cm="1">
        <f t="array" ref="P95">INT(SUMPRODUCT(--ISNUMBER(SEARCH(foreign,C95)))&gt;0)</f>
        <v>0</v>
      </c>
      <c r="Q95" s="14" cm="1">
        <f t="array" ref="Q95">INT(SUMPRODUCT(--ISNUMBER(SEARCH(gun,C95)))&gt;0)</f>
        <v>0</v>
      </c>
      <c r="R95" s="14" cm="1">
        <f t="array" ref="R95">INT(SUMPRODUCT(--ISNUMBER(SEARCH(race,C95)))&gt;0)</f>
        <v>0</v>
      </c>
      <c r="S95" s="14" cm="1">
        <f t="array" ref="S95">INT(SUMPRODUCT(--ISNUMBER(SEARCH(immigration,C95)))&gt;0)</f>
        <v>0</v>
      </c>
      <c r="T95" s="14" cm="1">
        <f t="array" ref="T95">INT(SUMPRODUCT(--ISNUMBER(SEARCH(econineq,C96)))&gt;0)</f>
        <v>0</v>
      </c>
      <c r="U95" s="14" cm="1">
        <f t="array" ref="U95">INT(SUMPRODUCT(--ISNUMBER(SEARCH(climate,C95)))&gt;0)</f>
        <v>0</v>
      </c>
      <c r="V95" s="14" cm="1">
        <f t="array" ref="V95">INT(SUMPRODUCT(--ISNUMBER(SEARCH(abortion,C95)))&gt;0)</f>
        <v>0</v>
      </c>
      <c r="W95" s="14" cm="1">
        <f t="array" ref="W95">INT(SUMPRODUCT(--ISNUMBER(SEARCH(trump,C95)))&gt;0)</f>
        <v>0</v>
      </c>
      <c r="X95" s="14" cm="1">
        <f t="array" ref="X95">INT(SUMPRODUCT(--ISNUMBER(SEARCH(voting,C95)))&gt;0)</f>
        <v>1</v>
      </c>
      <c r="Y95" s="14" cm="1">
        <f t="array" ref="Y95">INT(SUMPRODUCT(--ISNUMBER(SEARCH(democrattrigger,C95)))&gt;0)</f>
        <v>0</v>
      </c>
      <c r="Z95" s="14" cm="1">
        <f t="array" ref="Z95">INT(SUMPRODUCT(--ISNUMBER(SEARCH(bipartisan,C95)))&gt;0)</f>
        <v>0</v>
      </c>
      <c r="AA95" s="14">
        <f t="shared" si="1"/>
        <v>0</v>
      </c>
      <c r="AB95" s="14"/>
      <c r="AC95" s="30" t="s">
        <v>223</v>
      </c>
      <c r="AD95" s="37" t="s">
        <v>223</v>
      </c>
    </row>
    <row r="96" spans="1:30" x14ac:dyDescent="0.25">
      <c r="A96" s="36">
        <v>1559</v>
      </c>
      <c r="B96" s="14" t="s">
        <v>3145</v>
      </c>
      <c r="C96" s="14" t="s">
        <v>3146</v>
      </c>
      <c r="D96" s="17">
        <v>44133</v>
      </c>
      <c r="E96" s="14" t="s">
        <v>30</v>
      </c>
      <c r="F96" s="14">
        <v>1303</v>
      </c>
      <c r="G96" s="14">
        <v>254</v>
      </c>
      <c r="H96" s="14">
        <v>8</v>
      </c>
      <c r="I96" s="14">
        <v>4</v>
      </c>
      <c r="J96" s="14" t="s">
        <v>204</v>
      </c>
      <c r="K96" s="14" cm="1">
        <f t="array" ref="K96">INT(SUMPRODUCT(--ISNUMBER(SEARCH(economy,C96)))&gt;0)</f>
        <v>0</v>
      </c>
      <c r="L96" s="14" cm="1">
        <f t="array" ref="L96">INT(SUMPRODUCT(--ISNUMBER(SEARCH(healthcare,C96)))&gt;0)</f>
        <v>0</v>
      </c>
      <c r="M96" s="14" cm="1">
        <f t="array" ref="M96">INT(SUMPRODUCT(--ISNUMBER(SEARCH(supreme,C96)))&gt;0)</f>
        <v>0</v>
      </c>
      <c r="N96" s="14" cm="1">
        <f t="array" ref="N96">INT(SUMPRODUCT(--ISNUMBER(SEARCH(covid,C96)))&gt;0)</f>
        <v>0</v>
      </c>
      <c r="O96" s="14" cm="1">
        <f t="array" ref="O96">INT(SUMPRODUCT(--ISNUMBER(SEARCH(violent,C96)))&gt;0)</f>
        <v>0</v>
      </c>
      <c r="P96" s="14" cm="1">
        <f t="array" ref="P96">INT(SUMPRODUCT(--ISNUMBER(SEARCH(foreign,C96)))&gt;0)</f>
        <v>0</v>
      </c>
      <c r="Q96" s="14" cm="1">
        <f t="array" ref="Q96">INT(SUMPRODUCT(--ISNUMBER(SEARCH(gun,C96)))&gt;0)</f>
        <v>0</v>
      </c>
      <c r="R96" s="14" cm="1">
        <f t="array" ref="R96">INT(SUMPRODUCT(--ISNUMBER(SEARCH(race,C96)))&gt;0)</f>
        <v>0</v>
      </c>
      <c r="S96" s="14" cm="1">
        <f t="array" ref="S96">INT(SUMPRODUCT(--ISNUMBER(SEARCH(immigration,C96)))&gt;0)</f>
        <v>0</v>
      </c>
      <c r="T96" s="14" cm="1">
        <f t="array" ref="T96">INT(SUMPRODUCT(--ISNUMBER(SEARCH(econineq,C97)))&gt;0)</f>
        <v>0</v>
      </c>
      <c r="U96" s="14" cm="1">
        <f t="array" ref="U96">INT(SUMPRODUCT(--ISNUMBER(SEARCH(climate,C96)))&gt;0)</f>
        <v>0</v>
      </c>
      <c r="V96" s="14" cm="1">
        <f t="array" ref="V96">INT(SUMPRODUCT(--ISNUMBER(SEARCH(abortion,C96)))&gt;0)</f>
        <v>0</v>
      </c>
      <c r="W96" s="14" cm="1">
        <f t="array" ref="W96">INT(SUMPRODUCT(--ISNUMBER(SEARCH(trump,C96)))&gt;0)</f>
        <v>0</v>
      </c>
      <c r="X96" s="14" cm="1">
        <f t="array" ref="X96">INT(SUMPRODUCT(--ISNUMBER(SEARCH(voting,C96)))&gt;0)</f>
        <v>0</v>
      </c>
      <c r="Y96" s="14" cm="1">
        <f t="array" ref="Y96">INT(SUMPRODUCT(--ISNUMBER(SEARCH(democrattrigger,C96)))&gt;0)</f>
        <v>1</v>
      </c>
      <c r="Z96" s="14" cm="1">
        <f t="array" ref="Z96">INT(SUMPRODUCT(--ISNUMBER(SEARCH(bipartisan,C96)))&gt;0)</f>
        <v>0</v>
      </c>
      <c r="AA96" s="14">
        <f t="shared" si="1"/>
        <v>0</v>
      </c>
      <c r="AB96" s="14"/>
      <c r="AC96" s="30" t="s">
        <v>223</v>
      </c>
      <c r="AD96" s="37" t="s">
        <v>223</v>
      </c>
    </row>
    <row r="97" spans="1:30" x14ac:dyDescent="0.25">
      <c r="A97" s="36">
        <v>1560</v>
      </c>
      <c r="B97" s="14" t="s">
        <v>3147</v>
      </c>
      <c r="C97" s="14" t="s">
        <v>3148</v>
      </c>
      <c r="D97" s="17">
        <v>44133</v>
      </c>
      <c r="E97" s="14" t="s">
        <v>30</v>
      </c>
      <c r="F97" s="14">
        <v>274</v>
      </c>
      <c r="G97" s="14">
        <v>79</v>
      </c>
      <c r="H97" s="14">
        <v>8</v>
      </c>
      <c r="I97" s="14">
        <v>4</v>
      </c>
      <c r="J97" s="14" t="s">
        <v>204</v>
      </c>
      <c r="K97" s="14" cm="1">
        <f t="array" ref="K97">INT(SUMPRODUCT(--ISNUMBER(SEARCH(economy,C97)))&gt;0)</f>
        <v>1</v>
      </c>
      <c r="L97" s="14" cm="1">
        <f t="array" ref="L97">INT(SUMPRODUCT(--ISNUMBER(SEARCH(healthcare,C97)))&gt;0)</f>
        <v>0</v>
      </c>
      <c r="M97" s="14" cm="1">
        <f t="array" ref="M97">INT(SUMPRODUCT(--ISNUMBER(SEARCH(supreme,C97)))&gt;0)</f>
        <v>0</v>
      </c>
      <c r="N97" s="14" cm="1">
        <f t="array" ref="N97">INT(SUMPRODUCT(--ISNUMBER(SEARCH(covid,C97)))&gt;0)</f>
        <v>1</v>
      </c>
      <c r="O97" s="14" cm="1">
        <f t="array" ref="O97">INT(SUMPRODUCT(--ISNUMBER(SEARCH(violent,C97)))&gt;0)</f>
        <v>0</v>
      </c>
      <c r="P97" s="14" cm="1">
        <f t="array" ref="P97">INT(SUMPRODUCT(--ISNUMBER(SEARCH(foreign,C97)))&gt;0)</f>
        <v>0</v>
      </c>
      <c r="Q97" s="14" cm="1">
        <f t="array" ref="Q97">INT(SUMPRODUCT(--ISNUMBER(SEARCH(gun,C97)))&gt;0)</f>
        <v>0</v>
      </c>
      <c r="R97" s="14" cm="1">
        <f t="array" ref="R97">INT(SUMPRODUCT(--ISNUMBER(SEARCH(race,C97)))&gt;0)</f>
        <v>0</v>
      </c>
      <c r="S97" s="14" cm="1">
        <f t="array" ref="S97">INT(SUMPRODUCT(--ISNUMBER(SEARCH(immigration,C97)))&gt;0)</f>
        <v>0</v>
      </c>
      <c r="T97" s="14" cm="1">
        <f t="array" ref="T97">INT(SUMPRODUCT(--ISNUMBER(SEARCH(econineq,C98)))&gt;0)</f>
        <v>0</v>
      </c>
      <c r="U97" s="14" cm="1">
        <f t="array" ref="U97">INT(SUMPRODUCT(--ISNUMBER(SEARCH(climate,C97)))&gt;0)</f>
        <v>0</v>
      </c>
      <c r="V97" s="14" cm="1">
        <f t="array" ref="V97">INT(SUMPRODUCT(--ISNUMBER(SEARCH(abortion,C97)))&gt;0)</f>
        <v>0</v>
      </c>
      <c r="W97" s="14" cm="1">
        <f t="array" ref="W97">INT(SUMPRODUCT(--ISNUMBER(SEARCH(trump,C97)))&gt;0)</f>
        <v>0</v>
      </c>
      <c r="X97" s="14" cm="1">
        <f t="array" ref="X97">INT(SUMPRODUCT(--ISNUMBER(SEARCH(voting,C97)))&gt;0)</f>
        <v>0</v>
      </c>
      <c r="Y97" s="14" cm="1">
        <f t="array" ref="Y97">INT(SUMPRODUCT(--ISNUMBER(SEARCH(democrattrigger,C97)))&gt;0)</f>
        <v>0</v>
      </c>
      <c r="Z97" s="14" cm="1">
        <f t="array" ref="Z97">INT(SUMPRODUCT(--ISNUMBER(SEARCH(bipartisan,C97)))&gt;0)</f>
        <v>0</v>
      </c>
      <c r="AA97" s="14">
        <f t="shared" si="1"/>
        <v>0</v>
      </c>
      <c r="AB97" s="14"/>
      <c r="AC97" s="30" t="s">
        <v>223</v>
      </c>
      <c r="AD97" s="37" t="s">
        <v>223</v>
      </c>
    </row>
    <row r="98" spans="1:30" x14ac:dyDescent="0.25">
      <c r="A98" s="36">
        <v>1561</v>
      </c>
      <c r="B98" s="14" t="s">
        <v>3149</v>
      </c>
      <c r="C98" s="14" t="s">
        <v>3150</v>
      </c>
      <c r="D98" s="17">
        <v>44133</v>
      </c>
      <c r="E98" s="14" t="s">
        <v>30</v>
      </c>
      <c r="F98" s="14">
        <v>1072</v>
      </c>
      <c r="G98" s="14">
        <v>180</v>
      </c>
      <c r="H98" s="14">
        <v>8</v>
      </c>
      <c r="I98" s="14">
        <v>4</v>
      </c>
      <c r="J98" s="14" t="s">
        <v>204</v>
      </c>
      <c r="K98" s="14" cm="1">
        <f t="array" ref="K98">INT(SUMPRODUCT(--ISNUMBER(SEARCH(economy,C98)))&gt;0)</f>
        <v>0</v>
      </c>
      <c r="L98" s="14" cm="1">
        <f t="array" ref="L98">INT(SUMPRODUCT(--ISNUMBER(SEARCH(healthcare,C98)))&gt;0)</f>
        <v>0</v>
      </c>
      <c r="M98" s="14" cm="1">
        <f t="array" ref="M98">INT(SUMPRODUCT(--ISNUMBER(SEARCH(supreme,C98)))&gt;0)</f>
        <v>0</v>
      </c>
      <c r="N98" s="14" cm="1">
        <f t="array" ref="N98">INT(SUMPRODUCT(--ISNUMBER(SEARCH(covid,C98)))&gt;0)</f>
        <v>1</v>
      </c>
      <c r="O98" s="14" cm="1">
        <f t="array" ref="O98">INT(SUMPRODUCT(--ISNUMBER(SEARCH(violent,C98)))&gt;0)</f>
        <v>0</v>
      </c>
      <c r="P98" s="14" cm="1">
        <f t="array" ref="P98">INT(SUMPRODUCT(--ISNUMBER(SEARCH(foreign,C98)))&gt;0)</f>
        <v>0</v>
      </c>
      <c r="Q98" s="14" cm="1">
        <f t="array" ref="Q98">INT(SUMPRODUCT(--ISNUMBER(SEARCH(gun,C98)))&gt;0)</f>
        <v>0</v>
      </c>
      <c r="R98" s="14" cm="1">
        <f t="array" ref="R98">INT(SUMPRODUCT(--ISNUMBER(SEARCH(race,C98)))&gt;0)</f>
        <v>0</v>
      </c>
      <c r="S98" s="14" cm="1">
        <f t="array" ref="S98">INT(SUMPRODUCT(--ISNUMBER(SEARCH(immigration,C98)))&gt;0)</f>
        <v>0</v>
      </c>
      <c r="T98" s="14" cm="1">
        <f t="array" ref="T98">INT(SUMPRODUCT(--ISNUMBER(SEARCH(econineq,C99)))&gt;0)</f>
        <v>0</v>
      </c>
      <c r="U98" s="14" cm="1">
        <f t="array" ref="U98">INT(SUMPRODUCT(--ISNUMBER(SEARCH(climate,C98)))&gt;0)</f>
        <v>0</v>
      </c>
      <c r="V98" s="14" cm="1">
        <f t="array" ref="V98">INT(SUMPRODUCT(--ISNUMBER(SEARCH(abortion,C98)))&gt;0)</f>
        <v>0</v>
      </c>
      <c r="W98" s="14" cm="1">
        <f t="array" ref="W98">INT(SUMPRODUCT(--ISNUMBER(SEARCH(trump,C98)))&gt;0)</f>
        <v>1</v>
      </c>
      <c r="X98" s="14" cm="1">
        <f t="array" ref="X98">INT(SUMPRODUCT(--ISNUMBER(SEARCH(voting,C98)))&gt;0)</f>
        <v>0</v>
      </c>
      <c r="Y98" s="14" cm="1">
        <f t="array" ref="Y98">INT(SUMPRODUCT(--ISNUMBER(SEARCH(democrattrigger,C98)))&gt;0)</f>
        <v>1</v>
      </c>
      <c r="Z98" s="14" cm="1">
        <f t="array" ref="Z98">INT(SUMPRODUCT(--ISNUMBER(SEARCH(bipartisan,C98)))&gt;0)</f>
        <v>0</v>
      </c>
      <c r="AA98" s="14">
        <f t="shared" si="1"/>
        <v>0</v>
      </c>
      <c r="AB98" s="14"/>
      <c r="AC98" s="30" t="s">
        <v>223</v>
      </c>
      <c r="AD98" s="37" t="s">
        <v>223</v>
      </c>
    </row>
    <row r="99" spans="1:30" x14ac:dyDescent="0.25">
      <c r="A99" s="36">
        <v>1562</v>
      </c>
      <c r="B99" s="14" t="s">
        <v>3151</v>
      </c>
      <c r="C99" s="14" t="s">
        <v>3152</v>
      </c>
      <c r="D99" s="17">
        <v>44133</v>
      </c>
      <c r="E99" s="14" t="s">
        <v>30</v>
      </c>
      <c r="F99" s="14">
        <v>928</v>
      </c>
      <c r="G99" s="14">
        <v>111</v>
      </c>
      <c r="H99" s="14">
        <v>8</v>
      </c>
      <c r="I99" s="14">
        <v>4</v>
      </c>
      <c r="J99" s="14" t="s">
        <v>204</v>
      </c>
      <c r="K99" s="14" cm="1">
        <f t="array" ref="K99">INT(SUMPRODUCT(--ISNUMBER(SEARCH(economy,C99)))&gt;0)</f>
        <v>0</v>
      </c>
      <c r="L99" s="14" cm="1">
        <f t="array" ref="L99">INT(SUMPRODUCT(--ISNUMBER(SEARCH(healthcare,C99)))&gt;0)</f>
        <v>0</v>
      </c>
      <c r="M99" s="14" cm="1">
        <f t="array" ref="M99">INT(SUMPRODUCT(--ISNUMBER(SEARCH(supreme,C99)))&gt;0)</f>
        <v>0</v>
      </c>
      <c r="N99" s="14" cm="1">
        <f t="array" ref="N99">INT(SUMPRODUCT(--ISNUMBER(SEARCH(covid,C99)))&gt;0)</f>
        <v>1</v>
      </c>
      <c r="O99" s="14" cm="1">
        <f t="array" ref="O99">INT(SUMPRODUCT(--ISNUMBER(SEARCH(violent,C99)))&gt;0)</f>
        <v>0</v>
      </c>
      <c r="P99" s="14" cm="1">
        <f t="array" ref="P99">INT(SUMPRODUCT(--ISNUMBER(SEARCH(foreign,C99)))&gt;0)</f>
        <v>0</v>
      </c>
      <c r="Q99" s="14" cm="1">
        <f t="array" ref="Q99">INT(SUMPRODUCT(--ISNUMBER(SEARCH(gun,C99)))&gt;0)</f>
        <v>0</v>
      </c>
      <c r="R99" s="14" cm="1">
        <f t="array" ref="R99">INT(SUMPRODUCT(--ISNUMBER(SEARCH(race,C99)))&gt;0)</f>
        <v>0</v>
      </c>
      <c r="S99" s="14" cm="1">
        <f t="array" ref="S99">INT(SUMPRODUCT(--ISNUMBER(SEARCH(immigration,C99)))&gt;0)</f>
        <v>0</v>
      </c>
      <c r="T99" s="14" cm="1">
        <f t="array" ref="T99">INT(SUMPRODUCT(--ISNUMBER(SEARCH(econineq,C100)))&gt;0)</f>
        <v>0</v>
      </c>
      <c r="U99" s="14" cm="1">
        <f t="array" ref="U99">INT(SUMPRODUCT(--ISNUMBER(SEARCH(climate,C99)))&gt;0)</f>
        <v>0</v>
      </c>
      <c r="V99" s="14" cm="1">
        <f t="array" ref="V99">INT(SUMPRODUCT(--ISNUMBER(SEARCH(abortion,C99)))&gt;0)</f>
        <v>0</v>
      </c>
      <c r="W99" s="14" cm="1">
        <f t="array" ref="W99">INT(SUMPRODUCT(--ISNUMBER(SEARCH(trump,C99)))&gt;0)</f>
        <v>0</v>
      </c>
      <c r="X99" s="14" cm="1">
        <f t="array" ref="X99">INT(SUMPRODUCT(--ISNUMBER(SEARCH(voting,C99)))&gt;0)</f>
        <v>0</v>
      </c>
      <c r="Y99" s="14" cm="1">
        <f t="array" ref="Y99">INT(SUMPRODUCT(--ISNUMBER(SEARCH(democrattrigger,C99)))&gt;0)</f>
        <v>0</v>
      </c>
      <c r="Z99" s="14" cm="1">
        <f t="array" ref="Z99">INT(SUMPRODUCT(--ISNUMBER(SEARCH(bipartisan,C99)))&gt;0)</f>
        <v>0</v>
      </c>
      <c r="AA99" s="14">
        <f t="shared" si="1"/>
        <v>0</v>
      </c>
      <c r="AB99" s="14"/>
      <c r="AC99" s="30" t="s">
        <v>223</v>
      </c>
      <c r="AD99" s="37" t="s">
        <v>223</v>
      </c>
    </row>
    <row r="100" spans="1:30" x14ac:dyDescent="0.25">
      <c r="A100" s="36">
        <v>1563</v>
      </c>
      <c r="B100" s="14" t="s">
        <v>3153</v>
      </c>
      <c r="C100" s="14" t="s">
        <v>3154</v>
      </c>
      <c r="D100" s="17">
        <v>44133</v>
      </c>
      <c r="E100" s="14" t="s">
        <v>30</v>
      </c>
      <c r="F100" s="14">
        <v>770</v>
      </c>
      <c r="G100" s="14">
        <v>141</v>
      </c>
      <c r="H100" s="14">
        <v>8</v>
      </c>
      <c r="I100" s="14">
        <v>4</v>
      </c>
      <c r="J100" s="14" t="s">
        <v>204</v>
      </c>
      <c r="K100" s="14" cm="1">
        <f t="array" ref="K100">INT(SUMPRODUCT(--ISNUMBER(SEARCH(economy,C100)))&gt;0)</f>
        <v>0</v>
      </c>
      <c r="L100" s="14" cm="1">
        <f t="array" ref="L100">INT(SUMPRODUCT(--ISNUMBER(SEARCH(healthcare,C100)))&gt;0)</f>
        <v>0</v>
      </c>
      <c r="M100" s="14" cm="1">
        <f t="array" ref="M100">INT(SUMPRODUCT(--ISNUMBER(SEARCH(supreme,C100)))&gt;0)</f>
        <v>0</v>
      </c>
      <c r="N100" s="14" cm="1">
        <f t="array" ref="N100">INT(SUMPRODUCT(--ISNUMBER(SEARCH(covid,C100)))&gt;0)</f>
        <v>1</v>
      </c>
      <c r="O100" s="14" cm="1">
        <f t="array" ref="O100">INT(SUMPRODUCT(--ISNUMBER(SEARCH(violent,C100)))&gt;0)</f>
        <v>0</v>
      </c>
      <c r="P100" s="14" cm="1">
        <f t="array" ref="P100">INT(SUMPRODUCT(--ISNUMBER(SEARCH(foreign,C100)))&gt;0)</f>
        <v>0</v>
      </c>
      <c r="Q100" s="14" cm="1">
        <f t="array" ref="Q100">INT(SUMPRODUCT(--ISNUMBER(SEARCH(gun,C100)))&gt;0)</f>
        <v>0</v>
      </c>
      <c r="R100" s="14" cm="1">
        <f t="array" ref="R100">INT(SUMPRODUCT(--ISNUMBER(SEARCH(race,C100)))&gt;0)</f>
        <v>0</v>
      </c>
      <c r="S100" s="14" cm="1">
        <f t="array" ref="S100">INT(SUMPRODUCT(--ISNUMBER(SEARCH(immigration,C100)))&gt;0)</f>
        <v>0</v>
      </c>
      <c r="T100" s="14" cm="1">
        <f t="array" ref="T100">INT(SUMPRODUCT(--ISNUMBER(SEARCH(econineq,C101)))&gt;0)</f>
        <v>0</v>
      </c>
      <c r="U100" s="14" cm="1">
        <f t="array" ref="U100">INT(SUMPRODUCT(--ISNUMBER(SEARCH(climate,C100)))&gt;0)</f>
        <v>0</v>
      </c>
      <c r="V100" s="14" cm="1">
        <f t="array" ref="V100">INT(SUMPRODUCT(--ISNUMBER(SEARCH(abortion,C100)))&gt;0)</f>
        <v>0</v>
      </c>
      <c r="W100" s="14" cm="1">
        <f t="array" ref="W100">INT(SUMPRODUCT(--ISNUMBER(SEARCH(trump,C100)))&gt;0)</f>
        <v>0</v>
      </c>
      <c r="X100" s="14" cm="1">
        <f t="array" ref="X100">INT(SUMPRODUCT(--ISNUMBER(SEARCH(voting,C100)))&gt;0)</f>
        <v>0</v>
      </c>
      <c r="Y100" s="14" cm="1">
        <f t="array" ref="Y100">INT(SUMPRODUCT(--ISNUMBER(SEARCH(democrattrigger,C100)))&gt;0)</f>
        <v>1</v>
      </c>
      <c r="Z100" s="14" cm="1">
        <f t="array" ref="Z100">INT(SUMPRODUCT(--ISNUMBER(SEARCH(bipartisan,C100)))&gt;0)</f>
        <v>0</v>
      </c>
      <c r="AA100" s="14">
        <f t="shared" si="1"/>
        <v>0</v>
      </c>
      <c r="AB100" s="14"/>
      <c r="AC100" s="30" t="s">
        <v>223</v>
      </c>
      <c r="AD100" s="37" t="s">
        <v>223</v>
      </c>
    </row>
    <row r="101" spans="1:30" x14ac:dyDescent="0.25">
      <c r="A101" s="36">
        <v>1564</v>
      </c>
      <c r="B101" s="14" t="s">
        <v>3155</v>
      </c>
      <c r="C101" s="14" t="s">
        <v>3156</v>
      </c>
      <c r="D101" s="17">
        <v>44133</v>
      </c>
      <c r="E101" s="14" t="s">
        <v>30</v>
      </c>
      <c r="F101" s="14">
        <v>382</v>
      </c>
      <c r="G101" s="14">
        <v>92</v>
      </c>
      <c r="H101" s="14">
        <v>8</v>
      </c>
      <c r="I101" s="14">
        <v>4</v>
      </c>
      <c r="J101" s="14" t="s">
        <v>204</v>
      </c>
      <c r="K101" s="14" cm="1">
        <f t="array" ref="K101">INT(SUMPRODUCT(--ISNUMBER(SEARCH(economy,C101)))&gt;0)</f>
        <v>0</v>
      </c>
      <c r="L101" s="14" cm="1">
        <f t="array" ref="L101">INT(SUMPRODUCT(--ISNUMBER(SEARCH(healthcare,C101)))&gt;0)</f>
        <v>0</v>
      </c>
      <c r="M101" s="14" cm="1">
        <f t="array" ref="M101">INT(SUMPRODUCT(--ISNUMBER(SEARCH(supreme,C101)))&gt;0)</f>
        <v>0</v>
      </c>
      <c r="N101" s="14" cm="1">
        <f t="array" ref="N101">INT(SUMPRODUCT(--ISNUMBER(SEARCH(covid,C101)))&gt;0)</f>
        <v>1</v>
      </c>
      <c r="O101" s="14" cm="1">
        <f t="array" ref="O101">INT(SUMPRODUCT(--ISNUMBER(SEARCH(violent,C101)))&gt;0)</f>
        <v>0</v>
      </c>
      <c r="P101" s="14" cm="1">
        <f t="array" ref="P101">INT(SUMPRODUCT(--ISNUMBER(SEARCH(foreign,C101)))&gt;0)</f>
        <v>0</v>
      </c>
      <c r="Q101" s="14" cm="1">
        <f t="array" ref="Q101">INT(SUMPRODUCT(--ISNUMBER(SEARCH(gun,C101)))&gt;0)</f>
        <v>0</v>
      </c>
      <c r="R101" s="14" cm="1">
        <f t="array" ref="R101">INT(SUMPRODUCT(--ISNUMBER(SEARCH(race,C101)))&gt;0)</f>
        <v>0</v>
      </c>
      <c r="S101" s="14" cm="1">
        <f t="array" ref="S101">INT(SUMPRODUCT(--ISNUMBER(SEARCH(immigration,C101)))&gt;0)</f>
        <v>0</v>
      </c>
      <c r="T101" s="14" cm="1">
        <f t="array" ref="T101">INT(SUMPRODUCT(--ISNUMBER(SEARCH(econineq,C102)))&gt;0)</f>
        <v>0</v>
      </c>
      <c r="U101" s="14" cm="1">
        <f t="array" ref="U101">INT(SUMPRODUCT(--ISNUMBER(SEARCH(climate,C101)))&gt;0)</f>
        <v>0</v>
      </c>
      <c r="V101" s="14" cm="1">
        <f t="array" ref="V101">INT(SUMPRODUCT(--ISNUMBER(SEARCH(abortion,C101)))&gt;0)</f>
        <v>0</v>
      </c>
      <c r="W101" s="14" cm="1">
        <f t="array" ref="W101">INT(SUMPRODUCT(--ISNUMBER(SEARCH(trump,C101)))&gt;0)</f>
        <v>0</v>
      </c>
      <c r="X101" s="14" cm="1">
        <f t="array" ref="X101">INT(SUMPRODUCT(--ISNUMBER(SEARCH(voting,C101)))&gt;0)</f>
        <v>0</v>
      </c>
      <c r="Y101" s="14" cm="1">
        <f t="array" ref="Y101">INT(SUMPRODUCT(--ISNUMBER(SEARCH(democrattrigger,C101)))&gt;0)</f>
        <v>1</v>
      </c>
      <c r="Z101" s="14" cm="1">
        <f t="array" ref="Z101">INT(SUMPRODUCT(--ISNUMBER(SEARCH(bipartisan,C101)))&gt;0)</f>
        <v>0</v>
      </c>
      <c r="AA101" s="14">
        <f t="shared" si="1"/>
        <v>0</v>
      </c>
      <c r="AB101" s="14"/>
      <c r="AC101" s="30" t="s">
        <v>223</v>
      </c>
      <c r="AD101" s="37" t="s">
        <v>223</v>
      </c>
    </row>
    <row r="102" spans="1:30" x14ac:dyDescent="0.25">
      <c r="A102" s="36">
        <v>1565</v>
      </c>
      <c r="B102" s="14" t="s">
        <v>3157</v>
      </c>
      <c r="C102" s="14" t="s">
        <v>3158</v>
      </c>
      <c r="D102" s="17">
        <v>44133</v>
      </c>
      <c r="E102" s="14" t="s">
        <v>30</v>
      </c>
      <c r="F102" s="14">
        <v>429</v>
      </c>
      <c r="G102" s="14">
        <v>131</v>
      </c>
      <c r="H102" s="14">
        <v>8</v>
      </c>
      <c r="I102" s="14">
        <v>4</v>
      </c>
      <c r="J102" s="14" t="s">
        <v>204</v>
      </c>
      <c r="K102" s="14" cm="1">
        <f t="array" ref="K102">INT(SUMPRODUCT(--ISNUMBER(SEARCH(economy,C102)))&gt;0)</f>
        <v>0</v>
      </c>
      <c r="L102" s="14" cm="1">
        <f t="array" ref="L102">INT(SUMPRODUCT(--ISNUMBER(SEARCH(healthcare,C102)))&gt;0)</f>
        <v>0</v>
      </c>
      <c r="M102" s="14" cm="1">
        <f t="array" ref="M102">INT(SUMPRODUCT(--ISNUMBER(SEARCH(supreme,C102)))&gt;0)</f>
        <v>0</v>
      </c>
      <c r="N102" s="14" cm="1">
        <f t="array" ref="N102">INT(SUMPRODUCT(--ISNUMBER(SEARCH(covid,C102)))&gt;0)</f>
        <v>1</v>
      </c>
      <c r="O102" s="14" cm="1">
        <f t="array" ref="O102">INT(SUMPRODUCT(--ISNUMBER(SEARCH(violent,C102)))&gt;0)</f>
        <v>0</v>
      </c>
      <c r="P102" s="14" cm="1">
        <f t="array" ref="P102">INT(SUMPRODUCT(--ISNUMBER(SEARCH(foreign,C102)))&gt;0)</f>
        <v>0</v>
      </c>
      <c r="Q102" s="14" cm="1">
        <f t="array" ref="Q102">INT(SUMPRODUCT(--ISNUMBER(SEARCH(gun,C102)))&gt;0)</f>
        <v>0</v>
      </c>
      <c r="R102" s="14" cm="1">
        <f t="array" ref="R102">INT(SUMPRODUCT(--ISNUMBER(SEARCH(race,C102)))&gt;0)</f>
        <v>0</v>
      </c>
      <c r="S102" s="14" cm="1">
        <f t="array" ref="S102">INT(SUMPRODUCT(--ISNUMBER(SEARCH(immigration,C102)))&gt;0)</f>
        <v>0</v>
      </c>
      <c r="T102" s="14" cm="1">
        <f t="array" ref="T102">INT(SUMPRODUCT(--ISNUMBER(SEARCH(econineq,C103)))&gt;0)</f>
        <v>0</v>
      </c>
      <c r="U102" s="14" cm="1">
        <f t="array" ref="U102">INT(SUMPRODUCT(--ISNUMBER(SEARCH(climate,C102)))&gt;0)</f>
        <v>0</v>
      </c>
      <c r="V102" s="14" cm="1">
        <f t="array" ref="V102">INT(SUMPRODUCT(--ISNUMBER(SEARCH(abortion,C102)))&gt;0)</f>
        <v>0</v>
      </c>
      <c r="W102" s="14" cm="1">
        <f t="array" ref="W102">INT(SUMPRODUCT(--ISNUMBER(SEARCH(trump,C102)))&gt;0)</f>
        <v>1</v>
      </c>
      <c r="X102" s="14" cm="1">
        <f t="array" ref="X102">INT(SUMPRODUCT(--ISNUMBER(SEARCH(voting,C102)))&gt;0)</f>
        <v>0</v>
      </c>
      <c r="Y102" s="14" cm="1">
        <f t="array" ref="Y102">INT(SUMPRODUCT(--ISNUMBER(SEARCH(democrattrigger,C102)))&gt;0)</f>
        <v>1</v>
      </c>
      <c r="Z102" s="14" cm="1">
        <f t="array" ref="Z102">INT(SUMPRODUCT(--ISNUMBER(SEARCH(bipartisan,C102)))&gt;0)</f>
        <v>0</v>
      </c>
      <c r="AA102" s="14">
        <f t="shared" si="1"/>
        <v>0</v>
      </c>
      <c r="AB102" s="14"/>
      <c r="AC102" s="30">
        <v>1</v>
      </c>
      <c r="AD102" s="37">
        <v>0</v>
      </c>
    </row>
    <row r="103" spans="1:30" x14ac:dyDescent="0.25">
      <c r="A103" s="36">
        <v>1566</v>
      </c>
      <c r="B103" s="14" t="s">
        <v>3159</v>
      </c>
      <c r="C103" s="14" t="s">
        <v>3160</v>
      </c>
      <c r="D103" s="17">
        <v>44133</v>
      </c>
      <c r="E103" s="14" t="s">
        <v>30</v>
      </c>
      <c r="F103" s="14">
        <v>430</v>
      </c>
      <c r="G103" s="14">
        <v>129</v>
      </c>
      <c r="H103" s="14">
        <v>8</v>
      </c>
      <c r="I103" s="14">
        <v>4</v>
      </c>
      <c r="J103" s="14" t="s">
        <v>204</v>
      </c>
      <c r="K103" s="14" cm="1">
        <f t="array" ref="K103">INT(SUMPRODUCT(--ISNUMBER(SEARCH(economy,C103)))&gt;0)</f>
        <v>1</v>
      </c>
      <c r="L103" s="14" cm="1">
        <f t="array" ref="L103">INT(SUMPRODUCT(--ISNUMBER(SEARCH(healthcare,C103)))&gt;0)</f>
        <v>0</v>
      </c>
      <c r="M103" s="14" cm="1">
        <f t="array" ref="M103">INT(SUMPRODUCT(--ISNUMBER(SEARCH(supreme,C103)))&gt;0)</f>
        <v>0</v>
      </c>
      <c r="N103" s="14" cm="1">
        <f t="array" ref="N103">INT(SUMPRODUCT(--ISNUMBER(SEARCH(covid,C103)))&gt;0)</f>
        <v>1</v>
      </c>
      <c r="O103" s="14" cm="1">
        <f t="array" ref="O103">INT(SUMPRODUCT(--ISNUMBER(SEARCH(violent,C103)))&gt;0)</f>
        <v>0</v>
      </c>
      <c r="P103" s="14" cm="1">
        <f t="array" ref="P103">INT(SUMPRODUCT(--ISNUMBER(SEARCH(foreign,C103)))&gt;0)</f>
        <v>0</v>
      </c>
      <c r="Q103" s="14" cm="1">
        <f t="array" ref="Q103">INT(SUMPRODUCT(--ISNUMBER(SEARCH(gun,C103)))&gt;0)</f>
        <v>0</v>
      </c>
      <c r="R103" s="14" cm="1">
        <f t="array" ref="R103">INT(SUMPRODUCT(--ISNUMBER(SEARCH(race,C103)))&gt;0)</f>
        <v>0</v>
      </c>
      <c r="S103" s="14" cm="1">
        <f t="array" ref="S103">INT(SUMPRODUCT(--ISNUMBER(SEARCH(immigration,C103)))&gt;0)</f>
        <v>0</v>
      </c>
      <c r="T103" s="14" cm="1">
        <f t="array" ref="T103">INT(SUMPRODUCT(--ISNUMBER(SEARCH(econineq,C104)))&gt;0)</f>
        <v>0</v>
      </c>
      <c r="U103" s="14" cm="1">
        <f t="array" ref="U103">INT(SUMPRODUCT(--ISNUMBER(SEARCH(climate,C103)))&gt;0)</f>
        <v>0</v>
      </c>
      <c r="V103" s="14" cm="1">
        <f t="array" ref="V103">INT(SUMPRODUCT(--ISNUMBER(SEARCH(abortion,C103)))&gt;0)</f>
        <v>0</v>
      </c>
      <c r="W103" s="14" cm="1">
        <f t="array" ref="W103">INT(SUMPRODUCT(--ISNUMBER(SEARCH(trump,C103)))&gt;0)</f>
        <v>1</v>
      </c>
      <c r="X103" s="14" cm="1">
        <f t="array" ref="X103">INT(SUMPRODUCT(--ISNUMBER(SEARCH(voting,C103)))&gt;0)</f>
        <v>0</v>
      </c>
      <c r="Y103" s="14" cm="1">
        <f t="array" ref="Y103">INT(SUMPRODUCT(--ISNUMBER(SEARCH(democrattrigger,C103)))&gt;0)</f>
        <v>1</v>
      </c>
      <c r="Z103" s="14" cm="1">
        <f t="array" ref="Z103">INT(SUMPRODUCT(--ISNUMBER(SEARCH(bipartisan,C103)))&gt;0)</f>
        <v>1</v>
      </c>
      <c r="AA103" s="14">
        <f t="shared" si="1"/>
        <v>0</v>
      </c>
      <c r="AB103" s="14"/>
      <c r="AC103" s="30" t="s">
        <v>223</v>
      </c>
      <c r="AD103" s="37" t="s">
        <v>223</v>
      </c>
    </row>
    <row r="104" spans="1:30" x14ac:dyDescent="0.25">
      <c r="A104" s="36">
        <v>1567</v>
      </c>
      <c r="B104" s="14" t="s">
        <v>3161</v>
      </c>
      <c r="C104" s="14" t="s">
        <v>3162</v>
      </c>
      <c r="D104" s="17">
        <v>44133</v>
      </c>
      <c r="E104" s="14" t="s">
        <v>30</v>
      </c>
      <c r="F104" s="14">
        <v>652</v>
      </c>
      <c r="G104" s="14">
        <v>115</v>
      </c>
      <c r="H104" s="14">
        <v>8</v>
      </c>
      <c r="I104" s="14">
        <v>4</v>
      </c>
      <c r="J104" s="14" t="s">
        <v>204</v>
      </c>
      <c r="K104" s="14" cm="1">
        <f t="array" ref="K104">INT(SUMPRODUCT(--ISNUMBER(SEARCH(economy,C104)))&gt;0)</f>
        <v>0</v>
      </c>
      <c r="L104" s="14" cm="1">
        <f t="array" ref="L104">INT(SUMPRODUCT(--ISNUMBER(SEARCH(healthcare,C104)))&gt;0)</f>
        <v>0</v>
      </c>
      <c r="M104" s="14" cm="1">
        <f t="array" ref="M104">INT(SUMPRODUCT(--ISNUMBER(SEARCH(supreme,C104)))&gt;0)</f>
        <v>0</v>
      </c>
      <c r="N104" s="14" cm="1">
        <f t="array" ref="N104">INT(SUMPRODUCT(--ISNUMBER(SEARCH(covid,C104)))&gt;0)</f>
        <v>0</v>
      </c>
      <c r="O104" s="14" cm="1">
        <f t="array" ref="O104">INT(SUMPRODUCT(--ISNUMBER(SEARCH(violent,C104)))&gt;0)</f>
        <v>0</v>
      </c>
      <c r="P104" s="14" cm="1">
        <f t="array" ref="P104">INT(SUMPRODUCT(--ISNUMBER(SEARCH(foreign,C104)))&gt;0)</f>
        <v>0</v>
      </c>
      <c r="Q104" s="14" cm="1">
        <f t="array" ref="Q104">INT(SUMPRODUCT(--ISNUMBER(SEARCH(gun,C104)))&gt;0)</f>
        <v>0</v>
      </c>
      <c r="R104" s="14" cm="1">
        <f t="array" ref="R104">INT(SUMPRODUCT(--ISNUMBER(SEARCH(race,C104)))&gt;0)</f>
        <v>0</v>
      </c>
      <c r="S104" s="14" cm="1">
        <f t="array" ref="S104">INT(SUMPRODUCT(--ISNUMBER(SEARCH(immigration,C104)))&gt;0)</f>
        <v>0</v>
      </c>
      <c r="T104" s="14" cm="1">
        <f t="array" ref="T104">INT(SUMPRODUCT(--ISNUMBER(SEARCH(econineq,C105)))&gt;0)</f>
        <v>0</v>
      </c>
      <c r="U104" s="14" cm="1">
        <f t="array" ref="U104">INT(SUMPRODUCT(--ISNUMBER(SEARCH(climate,C104)))&gt;0)</f>
        <v>0</v>
      </c>
      <c r="V104" s="14" cm="1">
        <f t="array" ref="V104">INT(SUMPRODUCT(--ISNUMBER(SEARCH(abortion,C104)))&gt;0)</f>
        <v>0</v>
      </c>
      <c r="W104" s="14" cm="1">
        <f t="array" ref="W104">INT(SUMPRODUCT(--ISNUMBER(SEARCH(trump,C104)))&gt;0)</f>
        <v>1</v>
      </c>
      <c r="X104" s="14" cm="1">
        <f t="array" ref="X104">INT(SUMPRODUCT(--ISNUMBER(SEARCH(voting,C104)))&gt;0)</f>
        <v>0</v>
      </c>
      <c r="Y104" s="14" cm="1">
        <f t="array" ref="Y104">INT(SUMPRODUCT(--ISNUMBER(SEARCH(democrattrigger,C104)))&gt;0)</f>
        <v>1</v>
      </c>
      <c r="Z104" s="14" cm="1">
        <f t="array" ref="Z104">INT(SUMPRODUCT(--ISNUMBER(SEARCH(bipartisan,C104)))&gt;0)</f>
        <v>0</v>
      </c>
      <c r="AA104" s="14">
        <f t="shared" si="1"/>
        <v>0</v>
      </c>
      <c r="AB104" s="14"/>
      <c r="AC104" s="30" t="s">
        <v>223</v>
      </c>
      <c r="AD104" s="37" t="s">
        <v>223</v>
      </c>
    </row>
    <row r="105" spans="1:30" x14ac:dyDescent="0.25">
      <c r="A105" s="36">
        <v>1568</v>
      </c>
      <c r="B105" s="14" t="s">
        <v>3163</v>
      </c>
      <c r="C105" s="14" t="s">
        <v>3164</v>
      </c>
      <c r="D105" s="17">
        <v>44133</v>
      </c>
      <c r="E105" s="14" t="s">
        <v>30</v>
      </c>
      <c r="F105" s="14">
        <v>428</v>
      </c>
      <c r="G105" s="14">
        <v>106</v>
      </c>
      <c r="H105" s="14">
        <v>8</v>
      </c>
      <c r="I105" s="14">
        <v>4</v>
      </c>
      <c r="J105" s="14" t="s">
        <v>204</v>
      </c>
      <c r="K105" s="14" cm="1">
        <f t="array" ref="K105">INT(SUMPRODUCT(--ISNUMBER(SEARCH(economy,C105)))&gt;0)</f>
        <v>0</v>
      </c>
      <c r="L105" s="14" cm="1">
        <f t="array" ref="L105">INT(SUMPRODUCT(--ISNUMBER(SEARCH(healthcare,C105)))&gt;0)</f>
        <v>0</v>
      </c>
      <c r="M105" s="14" cm="1">
        <f t="array" ref="M105">INT(SUMPRODUCT(--ISNUMBER(SEARCH(supreme,C105)))&gt;0)</f>
        <v>0</v>
      </c>
      <c r="N105" s="14" cm="1">
        <f t="array" ref="N105">INT(SUMPRODUCT(--ISNUMBER(SEARCH(covid,C105)))&gt;0)</f>
        <v>0</v>
      </c>
      <c r="O105" s="14" cm="1">
        <f t="array" ref="O105">INT(SUMPRODUCT(--ISNUMBER(SEARCH(violent,C105)))&gt;0)</f>
        <v>0</v>
      </c>
      <c r="P105" s="14" cm="1">
        <f t="array" ref="P105">INT(SUMPRODUCT(--ISNUMBER(SEARCH(foreign,C105)))&gt;0)</f>
        <v>0</v>
      </c>
      <c r="Q105" s="14" cm="1">
        <f t="array" ref="Q105">INT(SUMPRODUCT(--ISNUMBER(SEARCH(gun,C105)))&gt;0)</f>
        <v>0</v>
      </c>
      <c r="R105" s="14" cm="1">
        <f t="array" ref="R105">INT(SUMPRODUCT(--ISNUMBER(SEARCH(race,C105)))&gt;0)</f>
        <v>0</v>
      </c>
      <c r="S105" s="14" cm="1">
        <f t="array" ref="S105">INT(SUMPRODUCT(--ISNUMBER(SEARCH(immigration,C105)))&gt;0)</f>
        <v>0</v>
      </c>
      <c r="T105" s="14" cm="1">
        <f t="array" ref="T105">INT(SUMPRODUCT(--ISNUMBER(SEARCH(econineq,C106)))&gt;0)</f>
        <v>0</v>
      </c>
      <c r="U105" s="14" cm="1">
        <f t="array" ref="U105">INT(SUMPRODUCT(--ISNUMBER(SEARCH(climate,C105)))&gt;0)</f>
        <v>0</v>
      </c>
      <c r="V105" s="14" cm="1">
        <f t="array" ref="V105">INT(SUMPRODUCT(--ISNUMBER(SEARCH(abortion,C105)))&gt;0)</f>
        <v>0</v>
      </c>
      <c r="W105" s="14" cm="1">
        <f t="array" ref="W105">INT(SUMPRODUCT(--ISNUMBER(SEARCH(trump,C105)))&gt;0)</f>
        <v>1</v>
      </c>
      <c r="X105" s="14" cm="1">
        <f t="array" ref="X105">INT(SUMPRODUCT(--ISNUMBER(SEARCH(voting,C105)))&gt;0)</f>
        <v>1</v>
      </c>
      <c r="Y105" s="14" cm="1">
        <f t="array" ref="Y105">INT(SUMPRODUCT(--ISNUMBER(SEARCH(democrattrigger,C105)))&gt;0)</f>
        <v>1</v>
      </c>
      <c r="Z105" s="14" cm="1">
        <f t="array" ref="Z105">INT(SUMPRODUCT(--ISNUMBER(SEARCH(bipartisan,C105)))&gt;0)</f>
        <v>0</v>
      </c>
      <c r="AA105" s="14">
        <f t="shared" si="1"/>
        <v>0</v>
      </c>
      <c r="AB105" s="14"/>
      <c r="AC105" s="30">
        <v>1</v>
      </c>
      <c r="AD105" s="37">
        <v>0</v>
      </c>
    </row>
    <row r="106" spans="1:30" x14ac:dyDescent="0.25">
      <c r="A106" s="36">
        <v>1569</v>
      </c>
      <c r="B106" s="14" t="s">
        <v>3165</v>
      </c>
      <c r="C106" s="14" t="s">
        <v>3166</v>
      </c>
      <c r="D106" s="17">
        <v>44133</v>
      </c>
      <c r="E106" s="14" t="s">
        <v>30</v>
      </c>
      <c r="F106" s="14">
        <v>827</v>
      </c>
      <c r="G106" s="14">
        <v>186</v>
      </c>
      <c r="H106" s="14">
        <v>8</v>
      </c>
      <c r="I106" s="14">
        <v>4</v>
      </c>
      <c r="J106" s="14" t="s">
        <v>204</v>
      </c>
      <c r="K106" s="14" cm="1">
        <f t="array" ref="K106">INT(SUMPRODUCT(--ISNUMBER(SEARCH(economy,C106)))&gt;0)</f>
        <v>0</v>
      </c>
      <c r="L106" s="14" cm="1">
        <f t="array" ref="L106">INT(SUMPRODUCT(--ISNUMBER(SEARCH(healthcare,C106)))&gt;0)</f>
        <v>0</v>
      </c>
      <c r="M106" s="14" cm="1">
        <f t="array" ref="M106">INT(SUMPRODUCT(--ISNUMBER(SEARCH(supreme,C106)))&gt;0)</f>
        <v>0</v>
      </c>
      <c r="N106" s="14" cm="1">
        <f t="array" ref="N106">INT(SUMPRODUCT(--ISNUMBER(SEARCH(covid,C106)))&gt;0)</f>
        <v>0</v>
      </c>
      <c r="O106" s="14" cm="1">
        <f t="array" ref="O106">INT(SUMPRODUCT(--ISNUMBER(SEARCH(violent,C106)))&gt;0)</f>
        <v>0</v>
      </c>
      <c r="P106" s="14" cm="1">
        <f t="array" ref="P106">INT(SUMPRODUCT(--ISNUMBER(SEARCH(foreign,C106)))&gt;0)</f>
        <v>0</v>
      </c>
      <c r="Q106" s="14" cm="1">
        <f t="array" ref="Q106">INT(SUMPRODUCT(--ISNUMBER(SEARCH(gun,C106)))&gt;0)</f>
        <v>0</v>
      </c>
      <c r="R106" s="14" cm="1">
        <f t="array" ref="R106">INT(SUMPRODUCT(--ISNUMBER(SEARCH(race,C106)))&gt;0)</f>
        <v>0</v>
      </c>
      <c r="S106" s="14" cm="1">
        <f t="array" ref="S106">INT(SUMPRODUCT(--ISNUMBER(SEARCH(immigration,C106)))&gt;0)</f>
        <v>0</v>
      </c>
      <c r="T106" s="14" cm="1">
        <f t="array" ref="T106">INT(SUMPRODUCT(--ISNUMBER(SEARCH(econineq,C107)))&gt;0)</f>
        <v>0</v>
      </c>
      <c r="U106" s="14" cm="1">
        <f t="array" ref="U106">INT(SUMPRODUCT(--ISNUMBER(SEARCH(climate,C106)))&gt;0)</f>
        <v>0</v>
      </c>
      <c r="V106" s="14" cm="1">
        <f t="array" ref="V106">INT(SUMPRODUCT(--ISNUMBER(SEARCH(abortion,C106)))&gt;0)</f>
        <v>0</v>
      </c>
      <c r="W106" s="14" cm="1">
        <f t="array" ref="W106">INT(SUMPRODUCT(--ISNUMBER(SEARCH(trump,C106)))&gt;0)</f>
        <v>0</v>
      </c>
      <c r="X106" s="14" cm="1">
        <f t="array" ref="X106">INT(SUMPRODUCT(--ISNUMBER(SEARCH(voting,C106)))&gt;0)</f>
        <v>1</v>
      </c>
      <c r="Y106" s="14" cm="1">
        <f t="array" ref="Y106">INT(SUMPRODUCT(--ISNUMBER(SEARCH(democrattrigger,C106)))&gt;0)</f>
        <v>1</v>
      </c>
      <c r="Z106" s="14" cm="1">
        <f t="array" ref="Z106">INT(SUMPRODUCT(--ISNUMBER(SEARCH(bipartisan,C106)))&gt;0)</f>
        <v>0</v>
      </c>
      <c r="AA106" s="14">
        <f t="shared" si="1"/>
        <v>0</v>
      </c>
      <c r="AB106" s="14"/>
      <c r="AC106" s="30" t="s">
        <v>223</v>
      </c>
      <c r="AD106" s="37" t="s">
        <v>223</v>
      </c>
    </row>
    <row r="107" spans="1:30" x14ac:dyDescent="0.25">
      <c r="A107" s="36">
        <v>1570</v>
      </c>
      <c r="B107" s="14" t="s">
        <v>3167</v>
      </c>
      <c r="C107" s="14" t="s">
        <v>3168</v>
      </c>
      <c r="D107" s="17">
        <v>44133</v>
      </c>
      <c r="E107" s="14" t="s">
        <v>30</v>
      </c>
      <c r="F107" s="14">
        <v>615</v>
      </c>
      <c r="G107" s="14">
        <v>146</v>
      </c>
      <c r="H107" s="14">
        <v>8</v>
      </c>
      <c r="I107" s="14">
        <v>4</v>
      </c>
      <c r="J107" s="14" t="s">
        <v>204</v>
      </c>
      <c r="K107" s="14" cm="1">
        <f t="array" ref="K107">INT(SUMPRODUCT(--ISNUMBER(SEARCH(economy,C107)))&gt;0)</f>
        <v>0</v>
      </c>
      <c r="L107" s="14" cm="1">
        <f t="array" ref="L107">INT(SUMPRODUCT(--ISNUMBER(SEARCH(healthcare,C107)))&gt;0)</f>
        <v>0</v>
      </c>
      <c r="M107" s="14" cm="1">
        <f t="array" ref="M107">INT(SUMPRODUCT(--ISNUMBER(SEARCH(supreme,C107)))&gt;0)</f>
        <v>0</v>
      </c>
      <c r="N107" s="14" cm="1">
        <f t="array" ref="N107">INT(SUMPRODUCT(--ISNUMBER(SEARCH(covid,C107)))&gt;0)</f>
        <v>0</v>
      </c>
      <c r="O107" s="14" cm="1">
        <f t="array" ref="O107">INT(SUMPRODUCT(--ISNUMBER(SEARCH(violent,C107)))&gt;0)</f>
        <v>0</v>
      </c>
      <c r="P107" s="14" cm="1">
        <f t="array" ref="P107">INT(SUMPRODUCT(--ISNUMBER(SEARCH(foreign,C107)))&gt;0)</f>
        <v>0</v>
      </c>
      <c r="Q107" s="14" cm="1">
        <f t="array" ref="Q107">INT(SUMPRODUCT(--ISNUMBER(SEARCH(gun,C107)))&gt;0)</f>
        <v>0</v>
      </c>
      <c r="R107" s="14" cm="1">
        <f t="array" ref="R107">INT(SUMPRODUCT(--ISNUMBER(SEARCH(race,C107)))&gt;0)</f>
        <v>0</v>
      </c>
      <c r="S107" s="14" cm="1">
        <f t="array" ref="S107">INT(SUMPRODUCT(--ISNUMBER(SEARCH(immigration,C107)))&gt;0)</f>
        <v>0</v>
      </c>
      <c r="T107" s="14" cm="1">
        <f t="array" ref="T107">INT(SUMPRODUCT(--ISNUMBER(SEARCH(econineq,C108)))&gt;0)</f>
        <v>0</v>
      </c>
      <c r="U107" s="14" cm="1">
        <f t="array" ref="U107">INT(SUMPRODUCT(--ISNUMBER(SEARCH(climate,C107)))&gt;0)</f>
        <v>0</v>
      </c>
      <c r="V107" s="14" cm="1">
        <f t="array" ref="V107">INT(SUMPRODUCT(--ISNUMBER(SEARCH(abortion,C107)))&gt;0)</f>
        <v>0</v>
      </c>
      <c r="W107" s="14" cm="1">
        <f t="array" ref="W107">INT(SUMPRODUCT(--ISNUMBER(SEARCH(trump,C107)))&gt;0)</f>
        <v>0</v>
      </c>
      <c r="X107" s="14" cm="1">
        <f t="array" ref="X107">INT(SUMPRODUCT(--ISNUMBER(SEARCH(voting,C107)))&gt;0)</f>
        <v>0</v>
      </c>
      <c r="Y107" s="14" cm="1">
        <f t="array" ref="Y107">INT(SUMPRODUCT(--ISNUMBER(SEARCH(democrattrigger,C107)))&gt;0)</f>
        <v>1</v>
      </c>
      <c r="Z107" s="14" cm="1">
        <f t="array" ref="Z107">INT(SUMPRODUCT(--ISNUMBER(SEARCH(bipartisan,C107)))&gt;0)</f>
        <v>1</v>
      </c>
      <c r="AA107" s="14">
        <f t="shared" si="1"/>
        <v>0</v>
      </c>
      <c r="AB107" s="14"/>
      <c r="AC107" s="30" t="s">
        <v>223</v>
      </c>
      <c r="AD107" s="37" t="s">
        <v>223</v>
      </c>
    </row>
    <row r="108" spans="1:30" x14ac:dyDescent="0.25">
      <c r="A108" s="36">
        <v>1571</v>
      </c>
      <c r="B108" s="14" t="s">
        <v>3169</v>
      </c>
      <c r="C108" s="14" t="s">
        <v>3170</v>
      </c>
      <c r="D108" s="17">
        <v>44133</v>
      </c>
      <c r="E108" s="14" t="s">
        <v>30</v>
      </c>
      <c r="F108" s="14">
        <v>581</v>
      </c>
      <c r="G108" s="14">
        <v>94</v>
      </c>
      <c r="H108" s="14">
        <v>8</v>
      </c>
      <c r="I108" s="14">
        <v>4</v>
      </c>
      <c r="J108" s="14" t="s">
        <v>204</v>
      </c>
      <c r="K108" s="14" cm="1">
        <f t="array" ref="K108">INT(SUMPRODUCT(--ISNUMBER(SEARCH(economy,C108)))&gt;0)</f>
        <v>0</v>
      </c>
      <c r="L108" s="14" cm="1">
        <f t="array" ref="L108">INT(SUMPRODUCT(--ISNUMBER(SEARCH(healthcare,C108)))&gt;0)</f>
        <v>0</v>
      </c>
      <c r="M108" s="14" cm="1">
        <f t="array" ref="M108">INT(SUMPRODUCT(--ISNUMBER(SEARCH(supreme,C108)))&gt;0)</f>
        <v>0</v>
      </c>
      <c r="N108" s="14" cm="1">
        <f t="array" ref="N108">INT(SUMPRODUCT(--ISNUMBER(SEARCH(covid,C108)))&gt;0)</f>
        <v>0</v>
      </c>
      <c r="O108" s="14" cm="1">
        <f t="array" ref="O108">INT(SUMPRODUCT(--ISNUMBER(SEARCH(violent,C108)))&gt;0)</f>
        <v>0</v>
      </c>
      <c r="P108" s="14" cm="1">
        <f t="array" ref="P108">INT(SUMPRODUCT(--ISNUMBER(SEARCH(foreign,C108)))&gt;0)</f>
        <v>0</v>
      </c>
      <c r="Q108" s="14" cm="1">
        <f t="array" ref="Q108">INT(SUMPRODUCT(--ISNUMBER(SEARCH(gun,C108)))&gt;0)</f>
        <v>0</v>
      </c>
      <c r="R108" s="14" cm="1">
        <f t="array" ref="R108">INT(SUMPRODUCT(--ISNUMBER(SEARCH(race,C108)))&gt;0)</f>
        <v>0</v>
      </c>
      <c r="S108" s="14" cm="1">
        <f t="array" ref="S108">INT(SUMPRODUCT(--ISNUMBER(SEARCH(immigration,C108)))&gt;0)</f>
        <v>0</v>
      </c>
      <c r="T108" s="14" cm="1">
        <f t="array" ref="T108">INT(SUMPRODUCT(--ISNUMBER(SEARCH(econineq,C109)))&gt;0)</f>
        <v>0</v>
      </c>
      <c r="U108" s="14" cm="1">
        <f t="array" ref="U108">INT(SUMPRODUCT(--ISNUMBER(SEARCH(climate,C108)))&gt;0)</f>
        <v>0</v>
      </c>
      <c r="V108" s="14" cm="1">
        <f t="array" ref="V108">INT(SUMPRODUCT(--ISNUMBER(SEARCH(abortion,C108)))&gt;0)</f>
        <v>0</v>
      </c>
      <c r="W108" s="14" cm="1">
        <f t="array" ref="W108">INT(SUMPRODUCT(--ISNUMBER(SEARCH(trump,C108)))&gt;0)</f>
        <v>0</v>
      </c>
      <c r="X108" s="14" cm="1">
        <f t="array" ref="X108">INT(SUMPRODUCT(--ISNUMBER(SEARCH(voting,C108)))&gt;0)</f>
        <v>0</v>
      </c>
      <c r="Y108" s="14" cm="1">
        <f t="array" ref="Y108">INT(SUMPRODUCT(--ISNUMBER(SEARCH(democrattrigger,C108)))&gt;0)</f>
        <v>1</v>
      </c>
      <c r="Z108" s="14" cm="1">
        <f t="array" ref="Z108">INT(SUMPRODUCT(--ISNUMBER(SEARCH(bipartisan,C108)))&gt;0)</f>
        <v>1</v>
      </c>
      <c r="AA108" s="14">
        <f t="shared" si="1"/>
        <v>0</v>
      </c>
      <c r="AB108" s="14"/>
      <c r="AC108" s="30" t="s">
        <v>223</v>
      </c>
      <c r="AD108" s="37" t="s">
        <v>223</v>
      </c>
    </row>
    <row r="109" spans="1:30" x14ac:dyDescent="0.25">
      <c r="A109" s="36">
        <v>1572</v>
      </c>
      <c r="B109" s="14" t="s">
        <v>3171</v>
      </c>
      <c r="C109" s="14" t="s">
        <v>3172</v>
      </c>
      <c r="D109" s="17">
        <v>44133</v>
      </c>
      <c r="E109" s="14" t="s">
        <v>30</v>
      </c>
      <c r="F109" s="14">
        <v>270</v>
      </c>
      <c r="G109" s="14">
        <v>69</v>
      </c>
      <c r="H109" s="14">
        <v>8</v>
      </c>
      <c r="I109" s="14">
        <v>4</v>
      </c>
      <c r="J109" s="14" t="s">
        <v>204</v>
      </c>
      <c r="K109" s="14" cm="1">
        <f t="array" ref="K109">INT(SUMPRODUCT(--ISNUMBER(SEARCH(economy,C109)))&gt;0)</f>
        <v>0</v>
      </c>
      <c r="L109" s="14" cm="1">
        <f t="array" ref="L109">INT(SUMPRODUCT(--ISNUMBER(SEARCH(healthcare,C109)))&gt;0)</f>
        <v>0</v>
      </c>
      <c r="M109" s="14" cm="1">
        <f t="array" ref="M109">INT(SUMPRODUCT(--ISNUMBER(SEARCH(supreme,C109)))&gt;0)</f>
        <v>0</v>
      </c>
      <c r="N109" s="14" cm="1">
        <f t="array" ref="N109">INT(SUMPRODUCT(--ISNUMBER(SEARCH(covid,C109)))&gt;0)</f>
        <v>0</v>
      </c>
      <c r="O109" s="14" cm="1">
        <f t="array" ref="O109">INT(SUMPRODUCT(--ISNUMBER(SEARCH(violent,C109)))&gt;0)</f>
        <v>0</v>
      </c>
      <c r="P109" s="14" cm="1">
        <f t="array" ref="P109">INT(SUMPRODUCT(--ISNUMBER(SEARCH(foreign,C109)))&gt;0)</f>
        <v>0</v>
      </c>
      <c r="Q109" s="14" cm="1">
        <f t="array" ref="Q109">INT(SUMPRODUCT(--ISNUMBER(SEARCH(gun,C109)))&gt;0)</f>
        <v>0</v>
      </c>
      <c r="R109" s="14" cm="1">
        <f t="array" ref="R109">INT(SUMPRODUCT(--ISNUMBER(SEARCH(race,C109)))&gt;0)</f>
        <v>0</v>
      </c>
      <c r="S109" s="14" cm="1">
        <f t="array" ref="S109">INT(SUMPRODUCT(--ISNUMBER(SEARCH(immigration,C109)))&gt;0)</f>
        <v>0</v>
      </c>
      <c r="T109" s="14" cm="1">
        <f t="array" ref="T109">INT(SUMPRODUCT(--ISNUMBER(SEARCH(econineq,C110)))&gt;0)</f>
        <v>0</v>
      </c>
      <c r="U109" s="14" cm="1">
        <f t="array" ref="U109">INT(SUMPRODUCT(--ISNUMBER(SEARCH(climate,C109)))&gt;0)</f>
        <v>0</v>
      </c>
      <c r="V109" s="14" cm="1">
        <f t="array" ref="V109">INT(SUMPRODUCT(--ISNUMBER(SEARCH(abortion,C109)))&gt;0)</f>
        <v>0</v>
      </c>
      <c r="W109" s="14" cm="1">
        <f t="array" ref="W109">INT(SUMPRODUCT(--ISNUMBER(SEARCH(trump,C109)))&gt;0)</f>
        <v>0</v>
      </c>
      <c r="X109" s="14" cm="1">
        <f t="array" ref="X109">INT(SUMPRODUCT(--ISNUMBER(SEARCH(voting,C109)))&gt;0)</f>
        <v>1</v>
      </c>
      <c r="Y109" s="14" cm="1">
        <f t="array" ref="Y109">INT(SUMPRODUCT(--ISNUMBER(SEARCH(democrattrigger,C109)))&gt;0)</f>
        <v>0</v>
      </c>
      <c r="Z109" s="14" cm="1">
        <f t="array" ref="Z109">INT(SUMPRODUCT(--ISNUMBER(SEARCH(bipartisan,C109)))&gt;0)</f>
        <v>0</v>
      </c>
      <c r="AA109" s="14">
        <f t="shared" si="1"/>
        <v>0</v>
      </c>
      <c r="AB109" s="14"/>
      <c r="AC109" s="30" t="s">
        <v>223</v>
      </c>
      <c r="AD109" s="37" t="s">
        <v>223</v>
      </c>
    </row>
    <row r="110" spans="1:30" x14ac:dyDescent="0.25">
      <c r="A110" s="36">
        <v>1573</v>
      </c>
      <c r="B110" s="14" t="s">
        <v>3173</v>
      </c>
      <c r="C110" s="14" t="s">
        <v>3174</v>
      </c>
      <c r="D110" s="17">
        <v>44133</v>
      </c>
      <c r="E110" s="14" t="s">
        <v>30</v>
      </c>
      <c r="F110" s="14">
        <v>536</v>
      </c>
      <c r="G110" s="14">
        <v>140</v>
      </c>
      <c r="H110" s="14">
        <v>8</v>
      </c>
      <c r="I110" s="14">
        <v>4</v>
      </c>
      <c r="J110" s="14" t="s">
        <v>204</v>
      </c>
      <c r="K110" s="14" cm="1">
        <f t="array" ref="K110">INT(SUMPRODUCT(--ISNUMBER(SEARCH(economy,C110)))&gt;0)</f>
        <v>0</v>
      </c>
      <c r="L110" s="14" cm="1">
        <f t="array" ref="L110">INT(SUMPRODUCT(--ISNUMBER(SEARCH(healthcare,C110)))&gt;0)</f>
        <v>0</v>
      </c>
      <c r="M110" s="14" cm="1">
        <f t="array" ref="M110">INT(SUMPRODUCT(--ISNUMBER(SEARCH(supreme,C110)))&gt;0)</f>
        <v>0</v>
      </c>
      <c r="N110" s="14" cm="1">
        <f t="array" ref="N110">INT(SUMPRODUCT(--ISNUMBER(SEARCH(covid,C110)))&gt;0)</f>
        <v>0</v>
      </c>
      <c r="O110" s="14" cm="1">
        <f t="array" ref="O110">INT(SUMPRODUCT(--ISNUMBER(SEARCH(violent,C110)))&gt;0)</f>
        <v>0</v>
      </c>
      <c r="P110" s="14" cm="1">
        <f t="array" ref="P110">INT(SUMPRODUCT(--ISNUMBER(SEARCH(foreign,C110)))&gt;0)</f>
        <v>0</v>
      </c>
      <c r="Q110" s="14" cm="1">
        <f t="array" ref="Q110">INT(SUMPRODUCT(--ISNUMBER(SEARCH(gun,C110)))&gt;0)</f>
        <v>0</v>
      </c>
      <c r="R110" s="14" cm="1">
        <f t="array" ref="R110">INT(SUMPRODUCT(--ISNUMBER(SEARCH(race,C110)))&gt;0)</f>
        <v>0</v>
      </c>
      <c r="S110" s="14" cm="1">
        <f t="array" ref="S110">INT(SUMPRODUCT(--ISNUMBER(SEARCH(immigration,C110)))&gt;0)</f>
        <v>0</v>
      </c>
      <c r="T110" s="14" cm="1">
        <f t="array" ref="T110">INT(SUMPRODUCT(--ISNUMBER(SEARCH(econineq,C111)))&gt;0)</f>
        <v>0</v>
      </c>
      <c r="U110" s="14" cm="1">
        <f t="array" ref="U110">INT(SUMPRODUCT(--ISNUMBER(SEARCH(climate,C110)))&gt;0)</f>
        <v>0</v>
      </c>
      <c r="V110" s="14" cm="1">
        <f t="array" ref="V110">INT(SUMPRODUCT(--ISNUMBER(SEARCH(abortion,C110)))&gt;0)</f>
        <v>0</v>
      </c>
      <c r="W110" s="14" cm="1">
        <f t="array" ref="W110">INT(SUMPRODUCT(--ISNUMBER(SEARCH(trump,C110)))&gt;0)</f>
        <v>0</v>
      </c>
      <c r="X110" s="14" cm="1">
        <f t="array" ref="X110">INT(SUMPRODUCT(--ISNUMBER(SEARCH(voting,C110)))&gt;0)</f>
        <v>1</v>
      </c>
      <c r="Y110" s="14" cm="1">
        <f t="array" ref="Y110">INT(SUMPRODUCT(--ISNUMBER(SEARCH(democrattrigger,C110)))&gt;0)</f>
        <v>1</v>
      </c>
      <c r="Z110" s="14" cm="1">
        <f t="array" ref="Z110">INT(SUMPRODUCT(--ISNUMBER(SEARCH(bipartisan,C110)))&gt;0)</f>
        <v>0</v>
      </c>
      <c r="AA110" s="14">
        <f t="shared" si="1"/>
        <v>0</v>
      </c>
      <c r="AB110" s="14"/>
      <c r="AC110" s="30">
        <v>0</v>
      </c>
      <c r="AD110" s="37">
        <v>1</v>
      </c>
    </row>
    <row r="111" spans="1:30" x14ac:dyDescent="0.25">
      <c r="A111" s="36">
        <v>1574</v>
      </c>
      <c r="B111" s="14" t="s">
        <v>3175</v>
      </c>
      <c r="C111" s="14" t="s">
        <v>3176</v>
      </c>
      <c r="D111" s="17">
        <v>44133</v>
      </c>
      <c r="E111" s="14" t="s">
        <v>30</v>
      </c>
      <c r="F111" s="14">
        <v>2829</v>
      </c>
      <c r="G111" s="14">
        <v>538</v>
      </c>
      <c r="H111" s="14">
        <v>8</v>
      </c>
      <c r="I111" s="14">
        <v>4</v>
      </c>
      <c r="J111" s="14" t="s">
        <v>204</v>
      </c>
      <c r="K111" s="14" cm="1">
        <f t="array" ref="K111">INT(SUMPRODUCT(--ISNUMBER(SEARCH(economy,C111)))&gt;0)</f>
        <v>0</v>
      </c>
      <c r="L111" s="14" cm="1">
        <f t="array" ref="L111">INT(SUMPRODUCT(--ISNUMBER(SEARCH(healthcare,C111)))&gt;0)</f>
        <v>0</v>
      </c>
      <c r="M111" s="14" cm="1">
        <f t="array" ref="M111">INT(SUMPRODUCT(--ISNUMBER(SEARCH(supreme,C111)))&gt;0)</f>
        <v>0</v>
      </c>
      <c r="N111" s="14" cm="1">
        <f t="array" ref="N111">INT(SUMPRODUCT(--ISNUMBER(SEARCH(covid,C111)))&gt;0)</f>
        <v>0</v>
      </c>
      <c r="O111" s="14" cm="1">
        <f t="array" ref="O111">INT(SUMPRODUCT(--ISNUMBER(SEARCH(violent,C111)))&gt;0)</f>
        <v>0</v>
      </c>
      <c r="P111" s="14" cm="1">
        <f t="array" ref="P111">INT(SUMPRODUCT(--ISNUMBER(SEARCH(foreign,C111)))&gt;0)</f>
        <v>0</v>
      </c>
      <c r="Q111" s="14" cm="1">
        <f t="array" ref="Q111">INT(SUMPRODUCT(--ISNUMBER(SEARCH(gun,C111)))&gt;0)</f>
        <v>0</v>
      </c>
      <c r="R111" s="14" cm="1">
        <f t="array" ref="R111">INT(SUMPRODUCT(--ISNUMBER(SEARCH(race,C111)))&gt;0)</f>
        <v>0</v>
      </c>
      <c r="S111" s="14" cm="1">
        <f t="array" ref="S111">INT(SUMPRODUCT(--ISNUMBER(SEARCH(immigration,C111)))&gt;0)</f>
        <v>0</v>
      </c>
      <c r="T111" s="14" cm="1">
        <f t="array" ref="T111">INT(SUMPRODUCT(--ISNUMBER(SEARCH(econineq,C112)))&gt;0)</f>
        <v>0</v>
      </c>
      <c r="U111" s="14" cm="1">
        <f t="array" ref="U111">INT(SUMPRODUCT(--ISNUMBER(SEARCH(climate,C111)))&gt;0)</f>
        <v>0</v>
      </c>
      <c r="V111" s="14" cm="1">
        <f t="array" ref="V111">INT(SUMPRODUCT(--ISNUMBER(SEARCH(abortion,C111)))&gt;0)</f>
        <v>0</v>
      </c>
      <c r="W111" s="14" cm="1">
        <f t="array" ref="W111">INT(SUMPRODUCT(--ISNUMBER(SEARCH(trump,C111)))&gt;0)</f>
        <v>1</v>
      </c>
      <c r="X111" s="14" cm="1">
        <f t="array" ref="X111">INT(SUMPRODUCT(--ISNUMBER(SEARCH(voting,C111)))&gt;0)</f>
        <v>0</v>
      </c>
      <c r="Y111" s="14" cm="1">
        <f t="array" ref="Y111">INT(SUMPRODUCT(--ISNUMBER(SEARCH(democrattrigger,C111)))&gt;0)</f>
        <v>1</v>
      </c>
      <c r="Z111" s="14" cm="1">
        <f t="array" ref="Z111">INT(SUMPRODUCT(--ISNUMBER(SEARCH(bipartisan,C111)))&gt;0)</f>
        <v>0</v>
      </c>
      <c r="AA111" s="14">
        <f t="shared" si="1"/>
        <v>0</v>
      </c>
      <c r="AB111" s="14"/>
      <c r="AC111" s="30" t="s">
        <v>223</v>
      </c>
      <c r="AD111" s="37" t="s">
        <v>223</v>
      </c>
    </row>
    <row r="112" spans="1:30" x14ac:dyDescent="0.25">
      <c r="A112" s="36">
        <v>1575</v>
      </c>
      <c r="B112" s="14" t="s">
        <v>3177</v>
      </c>
      <c r="C112" s="14" t="s">
        <v>3178</v>
      </c>
      <c r="D112" s="17">
        <v>44133</v>
      </c>
      <c r="E112" s="14" t="s">
        <v>30</v>
      </c>
      <c r="F112" s="14">
        <v>1294</v>
      </c>
      <c r="G112" s="14">
        <v>203</v>
      </c>
      <c r="H112" s="14">
        <v>8</v>
      </c>
      <c r="I112" s="14">
        <v>4</v>
      </c>
      <c r="J112" s="14" t="s">
        <v>204</v>
      </c>
      <c r="K112" s="14" cm="1">
        <f t="array" ref="K112">INT(SUMPRODUCT(--ISNUMBER(SEARCH(economy,C112)))&gt;0)</f>
        <v>0</v>
      </c>
      <c r="L112" s="14" cm="1">
        <f t="array" ref="L112">INT(SUMPRODUCT(--ISNUMBER(SEARCH(healthcare,C112)))&gt;0)</f>
        <v>0</v>
      </c>
      <c r="M112" s="14" cm="1">
        <f t="array" ref="M112">INT(SUMPRODUCT(--ISNUMBER(SEARCH(supreme,C112)))&gt;0)</f>
        <v>0</v>
      </c>
      <c r="N112" s="14" cm="1">
        <f t="array" ref="N112">INT(SUMPRODUCT(--ISNUMBER(SEARCH(covid,C112)))&gt;0)</f>
        <v>0</v>
      </c>
      <c r="O112" s="14" cm="1">
        <f t="array" ref="O112">INT(SUMPRODUCT(--ISNUMBER(SEARCH(violent,C112)))&gt;0)</f>
        <v>0</v>
      </c>
      <c r="P112" s="14" cm="1">
        <f t="array" ref="P112">INT(SUMPRODUCT(--ISNUMBER(SEARCH(foreign,C112)))&gt;0)</f>
        <v>0</v>
      </c>
      <c r="Q112" s="14" cm="1">
        <f t="array" ref="Q112">INT(SUMPRODUCT(--ISNUMBER(SEARCH(gun,C112)))&gt;0)</f>
        <v>0</v>
      </c>
      <c r="R112" s="14" cm="1">
        <f t="array" ref="R112">INT(SUMPRODUCT(--ISNUMBER(SEARCH(race,C112)))&gt;0)</f>
        <v>0</v>
      </c>
      <c r="S112" s="14" cm="1">
        <f t="array" ref="S112">INT(SUMPRODUCT(--ISNUMBER(SEARCH(immigration,C112)))&gt;0)</f>
        <v>0</v>
      </c>
      <c r="T112" s="14" cm="1">
        <f t="array" ref="T112">INT(SUMPRODUCT(--ISNUMBER(SEARCH(econineq,C113)))&gt;0)</f>
        <v>1</v>
      </c>
      <c r="U112" s="14" cm="1">
        <f t="array" ref="U112">INT(SUMPRODUCT(--ISNUMBER(SEARCH(climate,C112)))&gt;0)</f>
        <v>0</v>
      </c>
      <c r="V112" s="14" cm="1">
        <f t="array" ref="V112">INT(SUMPRODUCT(--ISNUMBER(SEARCH(abortion,C112)))&gt;0)</f>
        <v>0</v>
      </c>
      <c r="W112" s="14" cm="1">
        <f t="array" ref="W112">INT(SUMPRODUCT(--ISNUMBER(SEARCH(trump,C112)))&gt;0)</f>
        <v>0</v>
      </c>
      <c r="X112" s="14" cm="1">
        <f t="array" ref="X112">INT(SUMPRODUCT(--ISNUMBER(SEARCH(voting,C112)))&gt;0)</f>
        <v>0</v>
      </c>
      <c r="Y112" s="14" cm="1">
        <f t="array" ref="Y112">INT(SUMPRODUCT(--ISNUMBER(SEARCH(democrattrigger,C112)))&gt;0)</f>
        <v>1</v>
      </c>
      <c r="Z112" s="14" cm="1">
        <f t="array" ref="Z112">INT(SUMPRODUCT(--ISNUMBER(SEARCH(bipartisan,C112)))&gt;0)</f>
        <v>0</v>
      </c>
      <c r="AA112" s="14">
        <f t="shared" si="1"/>
        <v>0</v>
      </c>
      <c r="AB112" s="14"/>
      <c r="AC112" s="30" t="s">
        <v>223</v>
      </c>
      <c r="AD112" s="37" t="s">
        <v>223</v>
      </c>
    </row>
    <row r="113" spans="1:30" x14ac:dyDescent="0.25">
      <c r="A113" s="36">
        <v>1576</v>
      </c>
      <c r="B113" s="14" t="s">
        <v>3179</v>
      </c>
      <c r="C113" s="14" t="s">
        <v>3180</v>
      </c>
      <c r="D113" s="17">
        <v>44133</v>
      </c>
      <c r="E113" s="14" t="s">
        <v>30</v>
      </c>
      <c r="F113" s="14">
        <v>1238</v>
      </c>
      <c r="G113" s="14">
        <v>514</v>
      </c>
      <c r="H113" s="14">
        <v>8</v>
      </c>
      <c r="I113" s="14">
        <v>4</v>
      </c>
      <c r="J113" s="14" t="s">
        <v>204</v>
      </c>
      <c r="K113" s="14" cm="1">
        <f t="array" ref="K113">INT(SUMPRODUCT(--ISNUMBER(SEARCH(economy,C113)))&gt;0)</f>
        <v>0</v>
      </c>
      <c r="L113" s="14" cm="1">
        <f t="array" ref="L113">INT(SUMPRODUCT(--ISNUMBER(SEARCH(healthcare,C113)))&gt;0)</f>
        <v>0</v>
      </c>
      <c r="M113" s="14" cm="1">
        <f t="array" ref="M113">INT(SUMPRODUCT(--ISNUMBER(SEARCH(supreme,C113)))&gt;0)</f>
        <v>1</v>
      </c>
      <c r="N113" s="14" cm="1">
        <f t="array" ref="N113">INT(SUMPRODUCT(--ISNUMBER(SEARCH(covid,C113)))&gt;0)</f>
        <v>0</v>
      </c>
      <c r="O113" s="14" cm="1">
        <f t="array" ref="O113">INT(SUMPRODUCT(--ISNUMBER(SEARCH(violent,C113)))&gt;0)</f>
        <v>0</v>
      </c>
      <c r="P113" s="14" cm="1">
        <f t="array" ref="P113">INT(SUMPRODUCT(--ISNUMBER(SEARCH(foreign,C113)))&gt;0)</f>
        <v>0</v>
      </c>
      <c r="Q113" s="14" cm="1">
        <f t="array" ref="Q113">INT(SUMPRODUCT(--ISNUMBER(SEARCH(gun,C113)))&gt;0)</f>
        <v>0</v>
      </c>
      <c r="R113" s="14" cm="1">
        <f t="array" ref="R113">INT(SUMPRODUCT(--ISNUMBER(SEARCH(race,C113)))&gt;0)</f>
        <v>0</v>
      </c>
      <c r="S113" s="14" cm="1">
        <f t="array" ref="S113">INT(SUMPRODUCT(--ISNUMBER(SEARCH(immigration,C113)))&gt;0)</f>
        <v>0</v>
      </c>
      <c r="T113" s="14" cm="1">
        <f t="array" ref="T113">INT(SUMPRODUCT(--ISNUMBER(SEARCH(econineq,C114)))&gt;0)</f>
        <v>0</v>
      </c>
      <c r="U113" s="14" cm="1">
        <f t="array" ref="U113">INT(SUMPRODUCT(--ISNUMBER(SEARCH(climate,C113)))&gt;0)</f>
        <v>0</v>
      </c>
      <c r="V113" s="14" cm="1">
        <f t="array" ref="V113">INT(SUMPRODUCT(--ISNUMBER(SEARCH(abortion,C113)))&gt;0)</f>
        <v>0</v>
      </c>
      <c r="W113" s="14" cm="1">
        <f t="array" ref="W113">INT(SUMPRODUCT(--ISNUMBER(SEARCH(trump,C113)))&gt;0)</f>
        <v>0</v>
      </c>
      <c r="X113" s="14" cm="1">
        <f t="array" ref="X113">INT(SUMPRODUCT(--ISNUMBER(SEARCH(voting,C113)))&gt;0)</f>
        <v>1</v>
      </c>
      <c r="Y113" s="14" cm="1">
        <f t="array" ref="Y113">INT(SUMPRODUCT(--ISNUMBER(SEARCH(democrattrigger,C113)))&gt;0)</f>
        <v>1</v>
      </c>
      <c r="Z113" s="14" cm="1">
        <f t="array" ref="Z113">INT(SUMPRODUCT(--ISNUMBER(SEARCH(bipartisan,C113)))&gt;0)</f>
        <v>0</v>
      </c>
      <c r="AA113" s="14">
        <f t="shared" si="1"/>
        <v>0</v>
      </c>
      <c r="AB113" s="14"/>
      <c r="AC113" s="30" t="s">
        <v>223</v>
      </c>
      <c r="AD113" s="37" t="s">
        <v>223</v>
      </c>
    </row>
    <row r="114" spans="1:30" x14ac:dyDescent="0.25">
      <c r="A114" s="36">
        <v>1577</v>
      </c>
      <c r="B114" s="14" t="s">
        <v>3181</v>
      </c>
      <c r="C114" s="14" t="s">
        <v>3182</v>
      </c>
      <c r="D114" s="17">
        <v>44133</v>
      </c>
      <c r="E114" s="14" t="s">
        <v>30</v>
      </c>
      <c r="F114" s="14">
        <v>460</v>
      </c>
      <c r="G114" s="14">
        <v>130</v>
      </c>
      <c r="H114" s="14">
        <v>8</v>
      </c>
      <c r="I114" s="14">
        <v>4</v>
      </c>
      <c r="J114" s="14" t="s">
        <v>204</v>
      </c>
      <c r="K114" s="14" cm="1">
        <f t="array" ref="K114">INT(SUMPRODUCT(--ISNUMBER(SEARCH(economy,C114)))&gt;0)</f>
        <v>0</v>
      </c>
      <c r="L114" s="14" cm="1">
        <f t="array" ref="L114">INT(SUMPRODUCT(--ISNUMBER(SEARCH(healthcare,C114)))&gt;0)</f>
        <v>1</v>
      </c>
      <c r="M114" s="14" cm="1">
        <f t="array" ref="M114">INT(SUMPRODUCT(--ISNUMBER(SEARCH(supreme,C114)))&gt;0)</f>
        <v>0</v>
      </c>
      <c r="N114" s="14" cm="1">
        <f t="array" ref="N114">INT(SUMPRODUCT(--ISNUMBER(SEARCH(covid,C114)))&gt;0)</f>
        <v>0</v>
      </c>
      <c r="O114" s="14" cm="1">
        <f t="array" ref="O114">INT(SUMPRODUCT(--ISNUMBER(SEARCH(violent,C114)))&gt;0)</f>
        <v>0</v>
      </c>
      <c r="P114" s="14" cm="1">
        <f t="array" ref="P114">INT(SUMPRODUCT(--ISNUMBER(SEARCH(foreign,C114)))&gt;0)</f>
        <v>0</v>
      </c>
      <c r="Q114" s="14" cm="1">
        <f t="array" ref="Q114">INT(SUMPRODUCT(--ISNUMBER(SEARCH(gun,C114)))&gt;0)</f>
        <v>0</v>
      </c>
      <c r="R114" s="14" cm="1">
        <f t="array" ref="R114">INT(SUMPRODUCT(--ISNUMBER(SEARCH(race,C114)))&gt;0)</f>
        <v>0</v>
      </c>
      <c r="S114" s="14" cm="1">
        <f t="array" ref="S114">INT(SUMPRODUCT(--ISNUMBER(SEARCH(immigration,C114)))&gt;0)</f>
        <v>0</v>
      </c>
      <c r="T114" s="14" cm="1">
        <f t="array" ref="T114">INT(SUMPRODUCT(--ISNUMBER(SEARCH(econineq,C115)))&gt;0)</f>
        <v>0</v>
      </c>
      <c r="U114" s="14" cm="1">
        <f t="array" ref="U114">INT(SUMPRODUCT(--ISNUMBER(SEARCH(climate,C114)))&gt;0)</f>
        <v>0</v>
      </c>
      <c r="V114" s="14" cm="1">
        <f t="array" ref="V114">INT(SUMPRODUCT(--ISNUMBER(SEARCH(abortion,C114)))&gt;0)</f>
        <v>0</v>
      </c>
      <c r="W114" s="14" cm="1">
        <f t="array" ref="W114">INT(SUMPRODUCT(--ISNUMBER(SEARCH(trump,C114)))&gt;0)</f>
        <v>1</v>
      </c>
      <c r="X114" s="14" cm="1">
        <f t="array" ref="X114">INT(SUMPRODUCT(--ISNUMBER(SEARCH(voting,C114)))&gt;0)</f>
        <v>0</v>
      </c>
      <c r="Y114" s="14" cm="1">
        <f t="array" ref="Y114">INT(SUMPRODUCT(--ISNUMBER(SEARCH(democrattrigger,C114)))&gt;0)</f>
        <v>1</v>
      </c>
      <c r="Z114" s="14" cm="1">
        <f t="array" ref="Z114">INT(SUMPRODUCT(--ISNUMBER(SEARCH(bipartisan,C114)))&gt;0)</f>
        <v>0</v>
      </c>
      <c r="AA114" s="14">
        <f t="shared" si="1"/>
        <v>0</v>
      </c>
      <c r="AB114" s="14"/>
      <c r="AC114" s="30">
        <v>0</v>
      </c>
      <c r="AD114" s="37">
        <v>1</v>
      </c>
    </row>
    <row r="115" spans="1:30" x14ac:dyDescent="0.25">
      <c r="A115" s="36">
        <v>1578</v>
      </c>
      <c r="B115" s="14" t="s">
        <v>3183</v>
      </c>
      <c r="C115" s="14" t="s">
        <v>3184</v>
      </c>
      <c r="D115" s="17">
        <v>44133</v>
      </c>
      <c r="E115" s="14" t="s">
        <v>30</v>
      </c>
      <c r="F115" s="14">
        <v>610</v>
      </c>
      <c r="G115" s="14">
        <v>138</v>
      </c>
      <c r="H115" s="14">
        <v>8</v>
      </c>
      <c r="I115" s="14">
        <v>4</v>
      </c>
      <c r="J115" s="14" t="s">
        <v>204</v>
      </c>
      <c r="K115" s="14" cm="1">
        <f t="array" ref="K115">INT(SUMPRODUCT(--ISNUMBER(SEARCH(economy,C115)))&gt;0)</f>
        <v>0</v>
      </c>
      <c r="L115" s="14" cm="1">
        <f t="array" ref="L115">INT(SUMPRODUCT(--ISNUMBER(SEARCH(healthcare,C115)))&gt;0)</f>
        <v>1</v>
      </c>
      <c r="M115" s="14" cm="1">
        <f t="array" ref="M115">INT(SUMPRODUCT(--ISNUMBER(SEARCH(supreme,C115)))&gt;0)</f>
        <v>1</v>
      </c>
      <c r="N115" s="14" cm="1">
        <f t="array" ref="N115">INT(SUMPRODUCT(--ISNUMBER(SEARCH(covid,C115)))&gt;0)</f>
        <v>0</v>
      </c>
      <c r="O115" s="14" cm="1">
        <f t="array" ref="O115">INT(SUMPRODUCT(--ISNUMBER(SEARCH(violent,C115)))&gt;0)</f>
        <v>0</v>
      </c>
      <c r="P115" s="14" cm="1">
        <f t="array" ref="P115">INT(SUMPRODUCT(--ISNUMBER(SEARCH(foreign,C115)))&gt;0)</f>
        <v>0</v>
      </c>
      <c r="Q115" s="14" cm="1">
        <f t="array" ref="Q115">INT(SUMPRODUCT(--ISNUMBER(SEARCH(gun,C115)))&gt;0)</f>
        <v>0</v>
      </c>
      <c r="R115" s="14" cm="1">
        <f t="array" ref="R115">INT(SUMPRODUCT(--ISNUMBER(SEARCH(race,C115)))&gt;0)</f>
        <v>0</v>
      </c>
      <c r="S115" s="14" cm="1">
        <f t="array" ref="S115">INT(SUMPRODUCT(--ISNUMBER(SEARCH(immigration,C115)))&gt;0)</f>
        <v>0</v>
      </c>
      <c r="T115" s="14" cm="1">
        <f t="array" ref="T115">INT(SUMPRODUCT(--ISNUMBER(SEARCH(econineq,C116)))&gt;0)</f>
        <v>0</v>
      </c>
      <c r="U115" s="14" cm="1">
        <f t="array" ref="U115">INT(SUMPRODUCT(--ISNUMBER(SEARCH(climate,C115)))&gt;0)</f>
        <v>0</v>
      </c>
      <c r="V115" s="14" cm="1">
        <f t="array" ref="V115">INT(SUMPRODUCT(--ISNUMBER(SEARCH(abortion,C115)))&gt;0)</f>
        <v>0</v>
      </c>
      <c r="W115" s="14" cm="1">
        <f t="array" ref="W115">INT(SUMPRODUCT(--ISNUMBER(SEARCH(trump,C115)))&gt;0)</f>
        <v>1</v>
      </c>
      <c r="X115" s="14" cm="1">
        <f t="array" ref="X115">INT(SUMPRODUCT(--ISNUMBER(SEARCH(voting,C115)))&gt;0)</f>
        <v>1</v>
      </c>
      <c r="Y115" s="14" cm="1">
        <f t="array" ref="Y115">INT(SUMPRODUCT(--ISNUMBER(SEARCH(democrattrigger,C115)))&gt;0)</f>
        <v>1</v>
      </c>
      <c r="Z115" s="14" cm="1">
        <f t="array" ref="Z115">INT(SUMPRODUCT(--ISNUMBER(SEARCH(bipartisan,C115)))&gt;0)</f>
        <v>0</v>
      </c>
      <c r="AA115" s="14">
        <f t="shared" si="1"/>
        <v>0</v>
      </c>
      <c r="AB115" s="14"/>
      <c r="AC115" s="30" t="s">
        <v>223</v>
      </c>
      <c r="AD115" s="37" t="s">
        <v>223</v>
      </c>
    </row>
    <row r="116" spans="1:30" x14ac:dyDescent="0.25">
      <c r="A116" s="36">
        <v>1579</v>
      </c>
      <c r="B116" s="14" t="s">
        <v>3185</v>
      </c>
      <c r="C116" s="14" t="s">
        <v>3186</v>
      </c>
      <c r="D116" s="17">
        <v>44133</v>
      </c>
      <c r="E116" s="14" t="s">
        <v>30</v>
      </c>
      <c r="F116" s="14">
        <v>307</v>
      </c>
      <c r="G116" s="14">
        <v>70</v>
      </c>
      <c r="H116" s="14">
        <v>8</v>
      </c>
      <c r="I116" s="14">
        <v>4</v>
      </c>
      <c r="J116" s="14" t="s">
        <v>204</v>
      </c>
      <c r="K116" s="14" cm="1">
        <f t="array" ref="K116">INT(SUMPRODUCT(--ISNUMBER(SEARCH(economy,C116)))&gt;0)</f>
        <v>0</v>
      </c>
      <c r="L116" s="14" cm="1">
        <f t="array" ref="L116">INT(SUMPRODUCT(--ISNUMBER(SEARCH(healthcare,C116)))&gt;0)</f>
        <v>1</v>
      </c>
      <c r="M116" s="14" cm="1">
        <f t="array" ref="M116">INT(SUMPRODUCT(--ISNUMBER(SEARCH(supreme,C116)))&gt;0)</f>
        <v>0</v>
      </c>
      <c r="N116" s="14" cm="1">
        <f t="array" ref="N116">INT(SUMPRODUCT(--ISNUMBER(SEARCH(covid,C116)))&gt;0)</f>
        <v>0</v>
      </c>
      <c r="O116" s="14" cm="1">
        <f t="array" ref="O116">INT(SUMPRODUCT(--ISNUMBER(SEARCH(violent,C116)))&gt;0)</f>
        <v>0</v>
      </c>
      <c r="P116" s="14" cm="1">
        <f t="array" ref="P116">INT(SUMPRODUCT(--ISNUMBER(SEARCH(foreign,C116)))&gt;0)</f>
        <v>0</v>
      </c>
      <c r="Q116" s="14" cm="1">
        <f t="array" ref="Q116">INT(SUMPRODUCT(--ISNUMBER(SEARCH(gun,C116)))&gt;0)</f>
        <v>0</v>
      </c>
      <c r="R116" s="14" cm="1">
        <f t="array" ref="R116">INT(SUMPRODUCT(--ISNUMBER(SEARCH(race,C116)))&gt;0)</f>
        <v>0</v>
      </c>
      <c r="S116" s="14" cm="1">
        <f t="array" ref="S116">INT(SUMPRODUCT(--ISNUMBER(SEARCH(immigration,C116)))&gt;0)</f>
        <v>0</v>
      </c>
      <c r="T116" s="14" cm="1">
        <f t="array" ref="T116">INT(SUMPRODUCT(--ISNUMBER(SEARCH(econineq,C117)))&gt;0)</f>
        <v>0</v>
      </c>
      <c r="U116" s="14" cm="1">
        <f t="array" ref="U116">INT(SUMPRODUCT(--ISNUMBER(SEARCH(climate,C116)))&gt;0)</f>
        <v>0</v>
      </c>
      <c r="V116" s="14" cm="1">
        <f t="array" ref="V116">INT(SUMPRODUCT(--ISNUMBER(SEARCH(abortion,C116)))&gt;0)</f>
        <v>1</v>
      </c>
      <c r="W116" s="14" cm="1">
        <f t="array" ref="W116">INT(SUMPRODUCT(--ISNUMBER(SEARCH(trump,C116)))&gt;0)</f>
        <v>0</v>
      </c>
      <c r="X116" s="14" cm="1">
        <f t="array" ref="X116">INT(SUMPRODUCT(--ISNUMBER(SEARCH(voting,C116)))&gt;0)</f>
        <v>0</v>
      </c>
      <c r="Y116" s="14" cm="1">
        <f t="array" ref="Y116">INT(SUMPRODUCT(--ISNUMBER(SEARCH(democrattrigger,C116)))&gt;0)</f>
        <v>0</v>
      </c>
      <c r="Z116" s="14" cm="1">
        <f t="array" ref="Z116">INT(SUMPRODUCT(--ISNUMBER(SEARCH(bipartisan,C116)))&gt;0)</f>
        <v>0</v>
      </c>
      <c r="AA116" s="14">
        <f t="shared" si="1"/>
        <v>0</v>
      </c>
      <c r="AB116" s="14"/>
      <c r="AC116" s="30" t="s">
        <v>223</v>
      </c>
      <c r="AD116" s="37" t="s">
        <v>223</v>
      </c>
    </row>
    <row r="117" spans="1:30" x14ac:dyDescent="0.25">
      <c r="A117" s="36">
        <v>1580</v>
      </c>
      <c r="B117" s="14" t="s">
        <v>3187</v>
      </c>
      <c r="C117" s="14" t="s">
        <v>3188</v>
      </c>
      <c r="D117" s="17">
        <v>44133</v>
      </c>
      <c r="E117" s="14" t="s">
        <v>30</v>
      </c>
      <c r="F117" s="14">
        <v>1845</v>
      </c>
      <c r="G117" s="14">
        <v>368</v>
      </c>
      <c r="H117" s="14">
        <v>8</v>
      </c>
      <c r="I117" s="14">
        <v>4</v>
      </c>
      <c r="J117" s="14" t="s">
        <v>204</v>
      </c>
      <c r="K117" s="14" cm="1">
        <f t="array" ref="K117">INT(SUMPRODUCT(--ISNUMBER(SEARCH(economy,C117)))&gt;0)</f>
        <v>0</v>
      </c>
      <c r="L117" s="14" cm="1">
        <f t="array" ref="L117">INT(SUMPRODUCT(--ISNUMBER(SEARCH(healthcare,C117)))&gt;0)</f>
        <v>0</v>
      </c>
      <c r="M117" s="14" cm="1">
        <f t="array" ref="M117">INT(SUMPRODUCT(--ISNUMBER(SEARCH(supreme,C117)))&gt;0)</f>
        <v>0</v>
      </c>
      <c r="N117" s="14" cm="1">
        <f t="array" ref="N117">INT(SUMPRODUCT(--ISNUMBER(SEARCH(covid,C117)))&gt;0)</f>
        <v>0</v>
      </c>
      <c r="O117" s="14" cm="1">
        <f t="array" ref="O117">INT(SUMPRODUCT(--ISNUMBER(SEARCH(violent,C117)))&gt;0)</f>
        <v>0</v>
      </c>
      <c r="P117" s="14" cm="1">
        <f t="array" ref="P117">INT(SUMPRODUCT(--ISNUMBER(SEARCH(foreign,C117)))&gt;0)</f>
        <v>0</v>
      </c>
      <c r="Q117" s="14" cm="1">
        <f t="array" ref="Q117">INT(SUMPRODUCT(--ISNUMBER(SEARCH(gun,C117)))&gt;0)</f>
        <v>0</v>
      </c>
      <c r="R117" s="14" cm="1">
        <f t="array" ref="R117">INT(SUMPRODUCT(--ISNUMBER(SEARCH(race,C117)))&gt;0)</f>
        <v>0</v>
      </c>
      <c r="S117" s="14" cm="1">
        <f t="array" ref="S117">INT(SUMPRODUCT(--ISNUMBER(SEARCH(immigration,C117)))&gt;0)</f>
        <v>0</v>
      </c>
      <c r="T117" s="14" cm="1">
        <f t="array" ref="T117">INT(SUMPRODUCT(--ISNUMBER(SEARCH(econineq,C118)))&gt;0)</f>
        <v>0</v>
      </c>
      <c r="U117" s="14" cm="1">
        <f t="array" ref="U117">INT(SUMPRODUCT(--ISNUMBER(SEARCH(climate,C117)))&gt;0)</f>
        <v>0</v>
      </c>
      <c r="V117" s="14" cm="1">
        <f t="array" ref="V117">INT(SUMPRODUCT(--ISNUMBER(SEARCH(abortion,C117)))&gt;0)</f>
        <v>1</v>
      </c>
      <c r="W117" s="14" cm="1">
        <f t="array" ref="W117">INT(SUMPRODUCT(--ISNUMBER(SEARCH(trump,C117)))&gt;0)</f>
        <v>0</v>
      </c>
      <c r="X117" s="14" cm="1">
        <f t="array" ref="X117">INT(SUMPRODUCT(--ISNUMBER(SEARCH(voting,C117)))&gt;0)</f>
        <v>1</v>
      </c>
      <c r="Y117" s="14" cm="1">
        <f t="array" ref="Y117">INT(SUMPRODUCT(--ISNUMBER(SEARCH(democrattrigger,C117)))&gt;0)</f>
        <v>1</v>
      </c>
      <c r="Z117" s="14" cm="1">
        <f t="array" ref="Z117">INT(SUMPRODUCT(--ISNUMBER(SEARCH(bipartisan,C117)))&gt;0)</f>
        <v>0</v>
      </c>
      <c r="AA117" s="14">
        <f t="shared" si="1"/>
        <v>0</v>
      </c>
      <c r="AB117" s="14"/>
      <c r="AC117" s="30" t="s">
        <v>223</v>
      </c>
      <c r="AD117" s="37" t="s">
        <v>223</v>
      </c>
    </row>
    <row r="118" spans="1:30" x14ac:dyDescent="0.25">
      <c r="A118" s="36">
        <v>1581</v>
      </c>
      <c r="B118" s="14" t="s">
        <v>3189</v>
      </c>
      <c r="C118" s="14" t="s">
        <v>3190</v>
      </c>
      <c r="D118" s="17">
        <v>44133</v>
      </c>
      <c r="E118" s="14" t="s">
        <v>30</v>
      </c>
      <c r="F118" s="14">
        <v>549</v>
      </c>
      <c r="G118" s="14">
        <v>173</v>
      </c>
      <c r="H118" s="14">
        <v>8</v>
      </c>
      <c r="I118" s="14">
        <v>4</v>
      </c>
      <c r="J118" s="14" t="s">
        <v>204</v>
      </c>
      <c r="K118" s="14" cm="1">
        <f t="array" ref="K118">INT(SUMPRODUCT(--ISNUMBER(SEARCH(economy,C118)))&gt;0)</f>
        <v>0</v>
      </c>
      <c r="L118" s="14" cm="1">
        <f t="array" ref="L118">INT(SUMPRODUCT(--ISNUMBER(SEARCH(healthcare,C118)))&gt;0)</f>
        <v>0</v>
      </c>
      <c r="M118" s="14" cm="1">
        <f t="array" ref="M118">INT(SUMPRODUCT(--ISNUMBER(SEARCH(supreme,C118)))&gt;0)</f>
        <v>1</v>
      </c>
      <c r="N118" s="14" cm="1">
        <f t="array" ref="N118">INT(SUMPRODUCT(--ISNUMBER(SEARCH(covid,C118)))&gt;0)</f>
        <v>0</v>
      </c>
      <c r="O118" s="14" cm="1">
        <f t="array" ref="O118">INT(SUMPRODUCT(--ISNUMBER(SEARCH(violent,C118)))&gt;0)</f>
        <v>0</v>
      </c>
      <c r="P118" s="14" cm="1">
        <f t="array" ref="P118">INT(SUMPRODUCT(--ISNUMBER(SEARCH(foreign,C118)))&gt;0)</f>
        <v>0</v>
      </c>
      <c r="Q118" s="14" cm="1">
        <f t="array" ref="Q118">INT(SUMPRODUCT(--ISNUMBER(SEARCH(gun,C118)))&gt;0)</f>
        <v>0</v>
      </c>
      <c r="R118" s="14" cm="1">
        <f t="array" ref="R118">INT(SUMPRODUCT(--ISNUMBER(SEARCH(race,C118)))&gt;0)</f>
        <v>0</v>
      </c>
      <c r="S118" s="14" cm="1">
        <f t="array" ref="S118">INT(SUMPRODUCT(--ISNUMBER(SEARCH(immigration,C118)))&gt;0)</f>
        <v>0</v>
      </c>
      <c r="T118" s="14" cm="1">
        <f t="array" ref="T118">INT(SUMPRODUCT(--ISNUMBER(SEARCH(econineq,C119)))&gt;0)</f>
        <v>0</v>
      </c>
      <c r="U118" s="14" cm="1">
        <f t="array" ref="U118">INT(SUMPRODUCT(--ISNUMBER(SEARCH(climate,C118)))&gt;0)</f>
        <v>0</v>
      </c>
      <c r="V118" s="14" cm="1">
        <f t="array" ref="V118">INT(SUMPRODUCT(--ISNUMBER(SEARCH(abortion,C118)))&gt;0)</f>
        <v>0</v>
      </c>
      <c r="W118" s="14" cm="1">
        <f t="array" ref="W118">INT(SUMPRODUCT(--ISNUMBER(SEARCH(trump,C118)))&gt;0)</f>
        <v>1</v>
      </c>
      <c r="X118" s="14" cm="1">
        <f t="array" ref="X118">INT(SUMPRODUCT(--ISNUMBER(SEARCH(voting,C118)))&gt;0)</f>
        <v>1</v>
      </c>
      <c r="Y118" s="14" cm="1">
        <f t="array" ref="Y118">INT(SUMPRODUCT(--ISNUMBER(SEARCH(democrattrigger,C118)))&gt;0)</f>
        <v>1</v>
      </c>
      <c r="Z118" s="14" cm="1">
        <f t="array" ref="Z118">INT(SUMPRODUCT(--ISNUMBER(SEARCH(bipartisan,C118)))&gt;0)</f>
        <v>0</v>
      </c>
      <c r="AA118" s="14">
        <f t="shared" si="1"/>
        <v>0</v>
      </c>
      <c r="AB118" s="14"/>
      <c r="AC118" s="30" t="s">
        <v>223</v>
      </c>
      <c r="AD118" s="37" t="s">
        <v>223</v>
      </c>
    </row>
    <row r="119" spans="1:30" x14ac:dyDescent="0.25">
      <c r="A119" s="36">
        <v>1582</v>
      </c>
      <c r="B119" s="14" t="s">
        <v>3191</v>
      </c>
      <c r="C119" s="14" t="s">
        <v>3192</v>
      </c>
      <c r="D119" s="17">
        <v>44133</v>
      </c>
      <c r="E119" s="14" t="s">
        <v>30</v>
      </c>
      <c r="F119" s="14">
        <v>366</v>
      </c>
      <c r="G119" s="14">
        <v>67</v>
      </c>
      <c r="H119" s="14">
        <v>8</v>
      </c>
      <c r="I119" s="14">
        <v>4</v>
      </c>
      <c r="J119" s="14" t="s">
        <v>204</v>
      </c>
      <c r="K119" s="14" cm="1">
        <f t="array" ref="K119">INT(SUMPRODUCT(--ISNUMBER(SEARCH(economy,C119)))&gt;0)</f>
        <v>0</v>
      </c>
      <c r="L119" s="14" cm="1">
        <f t="array" ref="L119">INT(SUMPRODUCT(--ISNUMBER(SEARCH(healthcare,C119)))&gt;0)</f>
        <v>1</v>
      </c>
      <c r="M119" s="14" cm="1">
        <f t="array" ref="M119">INT(SUMPRODUCT(--ISNUMBER(SEARCH(supreme,C119)))&gt;0)</f>
        <v>0</v>
      </c>
      <c r="N119" s="14" cm="1">
        <f t="array" ref="N119">INT(SUMPRODUCT(--ISNUMBER(SEARCH(covid,C119)))&gt;0)</f>
        <v>0</v>
      </c>
      <c r="O119" s="14" cm="1">
        <f t="array" ref="O119">INT(SUMPRODUCT(--ISNUMBER(SEARCH(violent,C119)))&gt;0)</f>
        <v>0</v>
      </c>
      <c r="P119" s="14" cm="1">
        <f t="array" ref="P119">INT(SUMPRODUCT(--ISNUMBER(SEARCH(foreign,C119)))&gt;0)</f>
        <v>0</v>
      </c>
      <c r="Q119" s="14" cm="1">
        <f t="array" ref="Q119">INT(SUMPRODUCT(--ISNUMBER(SEARCH(gun,C119)))&gt;0)</f>
        <v>0</v>
      </c>
      <c r="R119" s="14" cm="1">
        <f t="array" ref="R119">INT(SUMPRODUCT(--ISNUMBER(SEARCH(race,C119)))&gt;0)</f>
        <v>0</v>
      </c>
      <c r="S119" s="14" cm="1">
        <f t="array" ref="S119">INT(SUMPRODUCT(--ISNUMBER(SEARCH(immigration,C119)))&gt;0)</f>
        <v>0</v>
      </c>
      <c r="T119" s="14" cm="1">
        <f t="array" ref="T119">INT(SUMPRODUCT(--ISNUMBER(SEARCH(econineq,C120)))&gt;0)</f>
        <v>0</v>
      </c>
      <c r="U119" s="14" cm="1">
        <f t="array" ref="U119">INT(SUMPRODUCT(--ISNUMBER(SEARCH(climate,C119)))&gt;0)</f>
        <v>0</v>
      </c>
      <c r="V119" s="14" cm="1">
        <f t="array" ref="V119">INT(SUMPRODUCT(--ISNUMBER(SEARCH(abortion,C119)))&gt;0)</f>
        <v>0</v>
      </c>
      <c r="W119" s="14" cm="1">
        <f t="array" ref="W119">INT(SUMPRODUCT(--ISNUMBER(SEARCH(trump,C119)))&gt;0)</f>
        <v>0</v>
      </c>
      <c r="X119" s="14" cm="1">
        <f t="array" ref="X119">INT(SUMPRODUCT(--ISNUMBER(SEARCH(voting,C119)))&gt;0)</f>
        <v>0</v>
      </c>
      <c r="Y119" s="14" cm="1">
        <f t="array" ref="Y119">INT(SUMPRODUCT(--ISNUMBER(SEARCH(democrattrigger,C119)))&gt;0)</f>
        <v>0</v>
      </c>
      <c r="Z119" s="14" cm="1">
        <f t="array" ref="Z119">INT(SUMPRODUCT(--ISNUMBER(SEARCH(bipartisan,C119)))&gt;0)</f>
        <v>0</v>
      </c>
      <c r="AA119" s="14">
        <f t="shared" si="1"/>
        <v>0</v>
      </c>
      <c r="AB119" s="14"/>
      <c r="AC119" s="30" t="s">
        <v>223</v>
      </c>
      <c r="AD119" s="37" t="s">
        <v>223</v>
      </c>
    </row>
    <row r="120" spans="1:30" x14ac:dyDescent="0.25">
      <c r="A120" s="36">
        <v>1583</v>
      </c>
      <c r="B120" s="14" t="s">
        <v>3193</v>
      </c>
      <c r="C120" s="14" t="s">
        <v>3194</v>
      </c>
      <c r="D120" s="17">
        <v>44133</v>
      </c>
      <c r="E120" s="14" t="s">
        <v>30</v>
      </c>
      <c r="F120" s="14">
        <v>643</v>
      </c>
      <c r="G120" s="14">
        <v>276</v>
      </c>
      <c r="H120" s="14">
        <v>8</v>
      </c>
      <c r="I120" s="14">
        <v>4</v>
      </c>
      <c r="J120" s="14" t="s">
        <v>204</v>
      </c>
      <c r="K120" s="14" cm="1">
        <f t="array" ref="K120">INT(SUMPRODUCT(--ISNUMBER(SEARCH(economy,C120)))&gt;0)</f>
        <v>0</v>
      </c>
      <c r="L120" s="14" cm="1">
        <f t="array" ref="L120">INT(SUMPRODUCT(--ISNUMBER(SEARCH(healthcare,C120)))&gt;0)</f>
        <v>1</v>
      </c>
      <c r="M120" s="14" cm="1">
        <f t="array" ref="M120">INT(SUMPRODUCT(--ISNUMBER(SEARCH(supreme,C120)))&gt;0)</f>
        <v>0</v>
      </c>
      <c r="N120" s="14" cm="1">
        <f t="array" ref="N120">INT(SUMPRODUCT(--ISNUMBER(SEARCH(covid,C120)))&gt;0)</f>
        <v>0</v>
      </c>
      <c r="O120" s="14" cm="1">
        <f t="array" ref="O120">INT(SUMPRODUCT(--ISNUMBER(SEARCH(violent,C120)))&gt;0)</f>
        <v>0</v>
      </c>
      <c r="P120" s="14" cm="1">
        <f t="array" ref="P120">INT(SUMPRODUCT(--ISNUMBER(SEARCH(foreign,C120)))&gt;0)</f>
        <v>0</v>
      </c>
      <c r="Q120" s="14" cm="1">
        <f t="array" ref="Q120">INT(SUMPRODUCT(--ISNUMBER(SEARCH(gun,C120)))&gt;0)</f>
        <v>0</v>
      </c>
      <c r="R120" s="14" cm="1">
        <f t="array" ref="R120">INT(SUMPRODUCT(--ISNUMBER(SEARCH(race,C120)))&gt;0)</f>
        <v>0</v>
      </c>
      <c r="S120" s="14" cm="1">
        <f t="array" ref="S120">INT(SUMPRODUCT(--ISNUMBER(SEARCH(immigration,C120)))&gt;0)</f>
        <v>0</v>
      </c>
      <c r="T120" s="14" cm="1">
        <f t="array" ref="T120">INT(SUMPRODUCT(--ISNUMBER(SEARCH(econineq,C121)))&gt;0)</f>
        <v>0</v>
      </c>
      <c r="U120" s="14" cm="1">
        <f t="array" ref="U120">INT(SUMPRODUCT(--ISNUMBER(SEARCH(climate,C120)))&gt;0)</f>
        <v>0</v>
      </c>
      <c r="V120" s="14" cm="1">
        <f t="array" ref="V120">INT(SUMPRODUCT(--ISNUMBER(SEARCH(abortion,C120)))&gt;0)</f>
        <v>0</v>
      </c>
      <c r="W120" s="14" cm="1">
        <f t="array" ref="W120">INT(SUMPRODUCT(--ISNUMBER(SEARCH(trump,C120)))&gt;0)</f>
        <v>0</v>
      </c>
      <c r="X120" s="14" cm="1">
        <f t="array" ref="X120">INT(SUMPRODUCT(--ISNUMBER(SEARCH(voting,C120)))&gt;0)</f>
        <v>0</v>
      </c>
      <c r="Y120" s="14" cm="1">
        <f t="array" ref="Y120">INT(SUMPRODUCT(--ISNUMBER(SEARCH(democrattrigger,C120)))&gt;0)</f>
        <v>1</v>
      </c>
      <c r="Z120" s="14" cm="1">
        <f t="array" ref="Z120">INT(SUMPRODUCT(--ISNUMBER(SEARCH(bipartisan,C120)))&gt;0)</f>
        <v>0</v>
      </c>
      <c r="AA120" s="14">
        <f t="shared" si="1"/>
        <v>0</v>
      </c>
      <c r="AB120" s="14"/>
      <c r="AC120" s="30">
        <v>0</v>
      </c>
      <c r="AD120" s="37">
        <v>1</v>
      </c>
    </row>
    <row r="121" spans="1:30" x14ac:dyDescent="0.25">
      <c r="A121" s="36">
        <v>1584</v>
      </c>
      <c r="B121" s="14" t="s">
        <v>3195</v>
      </c>
      <c r="C121" s="14" t="s">
        <v>3196</v>
      </c>
      <c r="D121" s="17">
        <v>44133</v>
      </c>
      <c r="E121" s="14" t="s">
        <v>30</v>
      </c>
      <c r="F121" s="14">
        <v>727</v>
      </c>
      <c r="G121" s="14">
        <v>207</v>
      </c>
      <c r="H121" s="14">
        <v>8</v>
      </c>
      <c r="I121" s="14">
        <v>4</v>
      </c>
      <c r="J121" s="14" t="s">
        <v>204</v>
      </c>
      <c r="K121" s="14" cm="1">
        <f t="array" ref="K121">INT(SUMPRODUCT(--ISNUMBER(SEARCH(economy,C121)))&gt;0)</f>
        <v>0</v>
      </c>
      <c r="L121" s="14" cm="1">
        <f t="array" ref="L121">INT(SUMPRODUCT(--ISNUMBER(SEARCH(healthcare,C121)))&gt;0)</f>
        <v>1</v>
      </c>
      <c r="M121" s="14" cm="1">
        <f t="array" ref="M121">INT(SUMPRODUCT(--ISNUMBER(SEARCH(supreme,C121)))&gt;0)</f>
        <v>0</v>
      </c>
      <c r="N121" s="14" cm="1">
        <f t="array" ref="N121">INT(SUMPRODUCT(--ISNUMBER(SEARCH(covid,C121)))&gt;0)</f>
        <v>0</v>
      </c>
      <c r="O121" s="14" cm="1">
        <f t="array" ref="O121">INT(SUMPRODUCT(--ISNUMBER(SEARCH(violent,C121)))&gt;0)</f>
        <v>0</v>
      </c>
      <c r="P121" s="14" cm="1">
        <f t="array" ref="P121">INT(SUMPRODUCT(--ISNUMBER(SEARCH(foreign,C121)))&gt;0)</f>
        <v>0</v>
      </c>
      <c r="Q121" s="14" cm="1">
        <f t="array" ref="Q121">INT(SUMPRODUCT(--ISNUMBER(SEARCH(gun,C121)))&gt;0)</f>
        <v>0</v>
      </c>
      <c r="R121" s="14" cm="1">
        <f t="array" ref="R121">INT(SUMPRODUCT(--ISNUMBER(SEARCH(race,C121)))&gt;0)</f>
        <v>0</v>
      </c>
      <c r="S121" s="14" cm="1">
        <f t="array" ref="S121">INT(SUMPRODUCT(--ISNUMBER(SEARCH(immigration,C121)))&gt;0)</f>
        <v>0</v>
      </c>
      <c r="T121" s="14" cm="1">
        <f t="array" ref="T121">INT(SUMPRODUCT(--ISNUMBER(SEARCH(econineq,C122)))&gt;0)</f>
        <v>0</v>
      </c>
      <c r="U121" s="14" cm="1">
        <f t="array" ref="U121">INT(SUMPRODUCT(--ISNUMBER(SEARCH(climate,C121)))&gt;0)</f>
        <v>0</v>
      </c>
      <c r="V121" s="14" cm="1">
        <f t="array" ref="V121">INT(SUMPRODUCT(--ISNUMBER(SEARCH(abortion,C121)))&gt;0)</f>
        <v>0</v>
      </c>
      <c r="W121" s="14" cm="1">
        <f t="array" ref="W121">INT(SUMPRODUCT(--ISNUMBER(SEARCH(trump,C121)))&gt;0)</f>
        <v>0</v>
      </c>
      <c r="X121" s="14" cm="1">
        <f t="array" ref="X121">INT(SUMPRODUCT(--ISNUMBER(SEARCH(voting,C121)))&gt;0)</f>
        <v>0</v>
      </c>
      <c r="Y121" s="14" cm="1">
        <f t="array" ref="Y121">INT(SUMPRODUCT(--ISNUMBER(SEARCH(democrattrigger,C121)))&gt;0)</f>
        <v>1</v>
      </c>
      <c r="Z121" s="14" cm="1">
        <f t="array" ref="Z121">INT(SUMPRODUCT(--ISNUMBER(SEARCH(bipartisan,C121)))&gt;0)</f>
        <v>0</v>
      </c>
      <c r="AA121" s="14">
        <f t="shared" si="1"/>
        <v>0</v>
      </c>
      <c r="AB121" s="14"/>
      <c r="AC121" s="30" t="s">
        <v>223</v>
      </c>
      <c r="AD121" s="37" t="s">
        <v>223</v>
      </c>
    </row>
    <row r="122" spans="1:30" x14ac:dyDescent="0.25">
      <c r="A122" s="36">
        <v>1585</v>
      </c>
      <c r="B122" s="14" t="s">
        <v>3197</v>
      </c>
      <c r="C122" s="14" t="s">
        <v>3198</v>
      </c>
      <c r="D122" s="17">
        <v>44133</v>
      </c>
      <c r="E122" s="14" t="s">
        <v>30</v>
      </c>
      <c r="F122" s="14">
        <v>667</v>
      </c>
      <c r="G122" s="14">
        <v>155</v>
      </c>
      <c r="H122" s="14">
        <v>8</v>
      </c>
      <c r="I122" s="14">
        <v>4</v>
      </c>
      <c r="J122" s="14" t="s">
        <v>204</v>
      </c>
      <c r="K122" s="14" cm="1">
        <f t="array" ref="K122">INT(SUMPRODUCT(--ISNUMBER(SEARCH(economy,C122)))&gt;0)</f>
        <v>0</v>
      </c>
      <c r="L122" s="14" cm="1">
        <f t="array" ref="L122">INT(SUMPRODUCT(--ISNUMBER(SEARCH(healthcare,C122)))&gt;0)</f>
        <v>1</v>
      </c>
      <c r="M122" s="14" cm="1">
        <f t="array" ref="M122">INT(SUMPRODUCT(--ISNUMBER(SEARCH(supreme,C122)))&gt;0)</f>
        <v>1</v>
      </c>
      <c r="N122" s="14" cm="1">
        <f t="array" ref="N122">INT(SUMPRODUCT(--ISNUMBER(SEARCH(covid,C122)))&gt;0)</f>
        <v>0</v>
      </c>
      <c r="O122" s="14" cm="1">
        <f t="array" ref="O122">INT(SUMPRODUCT(--ISNUMBER(SEARCH(violent,C122)))&gt;0)</f>
        <v>0</v>
      </c>
      <c r="P122" s="14" cm="1">
        <f t="array" ref="P122">INT(SUMPRODUCT(--ISNUMBER(SEARCH(foreign,C122)))&gt;0)</f>
        <v>0</v>
      </c>
      <c r="Q122" s="14" cm="1">
        <f t="array" ref="Q122">INT(SUMPRODUCT(--ISNUMBER(SEARCH(gun,C122)))&gt;0)</f>
        <v>0</v>
      </c>
      <c r="R122" s="14" cm="1">
        <f t="array" ref="R122">INT(SUMPRODUCT(--ISNUMBER(SEARCH(race,C122)))&gt;0)</f>
        <v>0</v>
      </c>
      <c r="S122" s="14" cm="1">
        <f t="array" ref="S122">INT(SUMPRODUCT(--ISNUMBER(SEARCH(immigration,C122)))&gt;0)</f>
        <v>0</v>
      </c>
      <c r="T122" s="14" cm="1">
        <f t="array" ref="T122">INT(SUMPRODUCT(--ISNUMBER(SEARCH(econineq,C123)))&gt;0)</f>
        <v>0</v>
      </c>
      <c r="U122" s="14" cm="1">
        <f t="array" ref="U122">INT(SUMPRODUCT(--ISNUMBER(SEARCH(climate,C122)))&gt;0)</f>
        <v>0</v>
      </c>
      <c r="V122" s="14" cm="1">
        <f t="array" ref="V122">INT(SUMPRODUCT(--ISNUMBER(SEARCH(abortion,C122)))&gt;0)</f>
        <v>0</v>
      </c>
      <c r="W122" s="14" cm="1">
        <f t="array" ref="W122">INT(SUMPRODUCT(--ISNUMBER(SEARCH(trump,C122)))&gt;0)</f>
        <v>0</v>
      </c>
      <c r="X122" s="14" cm="1">
        <f t="array" ref="X122">INT(SUMPRODUCT(--ISNUMBER(SEARCH(voting,C122)))&gt;0)</f>
        <v>1</v>
      </c>
      <c r="Y122" s="14" cm="1">
        <f t="array" ref="Y122">INT(SUMPRODUCT(--ISNUMBER(SEARCH(democrattrigger,C122)))&gt;0)</f>
        <v>1</v>
      </c>
      <c r="Z122" s="14" cm="1">
        <f t="array" ref="Z122">INT(SUMPRODUCT(--ISNUMBER(SEARCH(bipartisan,C122)))&gt;0)</f>
        <v>0</v>
      </c>
      <c r="AA122" s="14">
        <f t="shared" si="1"/>
        <v>0</v>
      </c>
      <c r="AB122" s="14"/>
      <c r="AC122" s="30" t="s">
        <v>223</v>
      </c>
      <c r="AD122" s="37" t="s">
        <v>223</v>
      </c>
    </row>
    <row r="123" spans="1:30" x14ac:dyDescent="0.25">
      <c r="A123" s="36">
        <v>1586</v>
      </c>
      <c r="B123" s="14" t="s">
        <v>3199</v>
      </c>
      <c r="C123" s="14" t="s">
        <v>3200</v>
      </c>
      <c r="D123" s="17">
        <v>44133</v>
      </c>
      <c r="E123" s="14" t="s">
        <v>30</v>
      </c>
      <c r="F123" s="14">
        <v>3989</v>
      </c>
      <c r="G123" s="14">
        <v>1062</v>
      </c>
      <c r="H123" s="14">
        <v>8</v>
      </c>
      <c r="I123" s="14">
        <v>4</v>
      </c>
      <c r="J123" s="14" t="s">
        <v>204</v>
      </c>
      <c r="K123" s="14" cm="1">
        <f t="array" ref="K123">INT(SUMPRODUCT(--ISNUMBER(SEARCH(economy,C123)))&gt;0)</f>
        <v>0</v>
      </c>
      <c r="L123" s="14" cm="1">
        <f t="array" ref="L123">INT(SUMPRODUCT(--ISNUMBER(SEARCH(healthcare,C123)))&gt;0)</f>
        <v>1</v>
      </c>
      <c r="M123" s="14" cm="1">
        <f t="array" ref="M123">INT(SUMPRODUCT(--ISNUMBER(SEARCH(supreme,C123)))&gt;0)</f>
        <v>0</v>
      </c>
      <c r="N123" s="14" cm="1">
        <f t="array" ref="N123">INT(SUMPRODUCT(--ISNUMBER(SEARCH(covid,C123)))&gt;0)</f>
        <v>0</v>
      </c>
      <c r="O123" s="14" cm="1">
        <f t="array" ref="O123">INT(SUMPRODUCT(--ISNUMBER(SEARCH(violent,C123)))&gt;0)</f>
        <v>0</v>
      </c>
      <c r="P123" s="14" cm="1">
        <f t="array" ref="P123">INT(SUMPRODUCT(--ISNUMBER(SEARCH(foreign,C123)))&gt;0)</f>
        <v>0</v>
      </c>
      <c r="Q123" s="14" cm="1">
        <f t="array" ref="Q123">INT(SUMPRODUCT(--ISNUMBER(SEARCH(gun,C123)))&gt;0)</f>
        <v>0</v>
      </c>
      <c r="R123" s="14" cm="1">
        <f t="array" ref="R123">INT(SUMPRODUCT(--ISNUMBER(SEARCH(race,C123)))&gt;0)</f>
        <v>0</v>
      </c>
      <c r="S123" s="14" cm="1">
        <f t="array" ref="S123">INT(SUMPRODUCT(--ISNUMBER(SEARCH(immigration,C123)))&gt;0)</f>
        <v>0</v>
      </c>
      <c r="T123" s="14" cm="1">
        <f t="array" ref="T123">INT(SUMPRODUCT(--ISNUMBER(SEARCH(econineq,C124)))&gt;0)</f>
        <v>0</v>
      </c>
      <c r="U123" s="14" cm="1">
        <f t="array" ref="U123">INT(SUMPRODUCT(--ISNUMBER(SEARCH(climate,C123)))&gt;0)</f>
        <v>0</v>
      </c>
      <c r="V123" s="14" cm="1">
        <f t="array" ref="V123">INT(SUMPRODUCT(--ISNUMBER(SEARCH(abortion,C123)))&gt;0)</f>
        <v>0</v>
      </c>
      <c r="W123" s="14" cm="1">
        <f t="array" ref="W123">INT(SUMPRODUCT(--ISNUMBER(SEARCH(trump,C123)))&gt;0)</f>
        <v>0</v>
      </c>
      <c r="X123" s="14" cm="1">
        <f t="array" ref="X123">INT(SUMPRODUCT(--ISNUMBER(SEARCH(voting,C123)))&gt;0)</f>
        <v>1</v>
      </c>
      <c r="Y123" s="14" cm="1">
        <f t="array" ref="Y123">INT(SUMPRODUCT(--ISNUMBER(SEARCH(democrattrigger,C123)))&gt;0)</f>
        <v>1</v>
      </c>
      <c r="Z123" s="14" cm="1">
        <f t="array" ref="Z123">INT(SUMPRODUCT(--ISNUMBER(SEARCH(bipartisan,C123)))&gt;0)</f>
        <v>0</v>
      </c>
      <c r="AA123" s="14">
        <f t="shared" si="1"/>
        <v>0</v>
      </c>
      <c r="AB123" s="14"/>
      <c r="AC123" s="30" t="s">
        <v>223</v>
      </c>
      <c r="AD123" s="37" t="s">
        <v>223</v>
      </c>
    </row>
    <row r="124" spans="1:30" x14ac:dyDescent="0.25">
      <c r="A124" s="36">
        <v>1587</v>
      </c>
      <c r="B124" s="14" t="s">
        <v>3201</v>
      </c>
      <c r="C124" s="14" t="s">
        <v>3202</v>
      </c>
      <c r="D124" s="17">
        <v>44133</v>
      </c>
      <c r="E124" s="14" t="s">
        <v>30</v>
      </c>
      <c r="F124" s="14">
        <v>1294</v>
      </c>
      <c r="G124" s="14">
        <v>386</v>
      </c>
      <c r="H124" s="14">
        <v>8</v>
      </c>
      <c r="I124" s="14">
        <v>4</v>
      </c>
      <c r="J124" s="14" t="s">
        <v>204</v>
      </c>
      <c r="K124" s="14" cm="1">
        <f t="array" ref="K124">INT(SUMPRODUCT(--ISNUMBER(SEARCH(economy,C124)))&gt;0)</f>
        <v>0</v>
      </c>
      <c r="L124" s="14" cm="1">
        <f t="array" ref="L124">INT(SUMPRODUCT(--ISNUMBER(SEARCH(healthcare,C124)))&gt;0)</f>
        <v>1</v>
      </c>
      <c r="M124" s="14" cm="1">
        <f t="array" ref="M124">INT(SUMPRODUCT(--ISNUMBER(SEARCH(supreme,C124)))&gt;0)</f>
        <v>1</v>
      </c>
      <c r="N124" s="14" cm="1">
        <f t="array" ref="N124">INT(SUMPRODUCT(--ISNUMBER(SEARCH(covid,C124)))&gt;0)</f>
        <v>0</v>
      </c>
      <c r="O124" s="14" cm="1">
        <f t="array" ref="O124">INT(SUMPRODUCT(--ISNUMBER(SEARCH(violent,C124)))&gt;0)</f>
        <v>0</v>
      </c>
      <c r="P124" s="14" cm="1">
        <f t="array" ref="P124">INT(SUMPRODUCT(--ISNUMBER(SEARCH(foreign,C124)))&gt;0)</f>
        <v>0</v>
      </c>
      <c r="Q124" s="14" cm="1">
        <f t="array" ref="Q124">INT(SUMPRODUCT(--ISNUMBER(SEARCH(gun,C124)))&gt;0)</f>
        <v>0</v>
      </c>
      <c r="R124" s="14" cm="1">
        <f t="array" ref="R124">INT(SUMPRODUCT(--ISNUMBER(SEARCH(race,C124)))&gt;0)</f>
        <v>0</v>
      </c>
      <c r="S124" s="14" cm="1">
        <f t="array" ref="S124">INT(SUMPRODUCT(--ISNUMBER(SEARCH(immigration,C124)))&gt;0)</f>
        <v>0</v>
      </c>
      <c r="T124" s="14" cm="1">
        <f t="array" ref="T124">INT(SUMPRODUCT(--ISNUMBER(SEARCH(econineq,C125)))&gt;0)</f>
        <v>0</v>
      </c>
      <c r="U124" s="14" cm="1">
        <f t="array" ref="U124">INT(SUMPRODUCT(--ISNUMBER(SEARCH(climate,C124)))&gt;0)</f>
        <v>0</v>
      </c>
      <c r="V124" s="14" cm="1">
        <f t="array" ref="V124">INT(SUMPRODUCT(--ISNUMBER(SEARCH(abortion,C124)))&gt;0)</f>
        <v>0</v>
      </c>
      <c r="W124" s="14" cm="1">
        <f t="array" ref="W124">INT(SUMPRODUCT(--ISNUMBER(SEARCH(trump,C124)))&gt;0)</f>
        <v>0</v>
      </c>
      <c r="X124" s="14" cm="1">
        <f t="array" ref="X124">INT(SUMPRODUCT(--ISNUMBER(SEARCH(voting,C124)))&gt;0)</f>
        <v>0</v>
      </c>
      <c r="Y124" s="14" cm="1">
        <f t="array" ref="Y124">INT(SUMPRODUCT(--ISNUMBER(SEARCH(democrattrigger,C124)))&gt;0)</f>
        <v>1</v>
      </c>
      <c r="Z124" s="14" cm="1">
        <f t="array" ref="Z124">INT(SUMPRODUCT(--ISNUMBER(SEARCH(bipartisan,C124)))&gt;0)</f>
        <v>0</v>
      </c>
      <c r="AA124" s="14">
        <f t="shared" si="1"/>
        <v>0</v>
      </c>
      <c r="AB124" s="14"/>
      <c r="AC124" s="30" t="s">
        <v>223</v>
      </c>
      <c r="AD124" s="37" t="s">
        <v>223</v>
      </c>
    </row>
    <row r="125" spans="1:30" x14ac:dyDescent="0.25">
      <c r="A125" s="36">
        <v>1588</v>
      </c>
      <c r="B125" s="14" t="s">
        <v>3203</v>
      </c>
      <c r="C125" s="14" t="s">
        <v>3204</v>
      </c>
      <c r="D125" s="17">
        <v>44133</v>
      </c>
      <c r="E125" s="14" t="s">
        <v>30</v>
      </c>
      <c r="F125" s="14">
        <v>571</v>
      </c>
      <c r="G125" s="14">
        <v>129</v>
      </c>
      <c r="H125" s="14">
        <v>8</v>
      </c>
      <c r="I125" s="14">
        <v>4</v>
      </c>
      <c r="J125" s="14" t="s">
        <v>204</v>
      </c>
      <c r="K125" s="14" cm="1">
        <f t="array" ref="K125">INT(SUMPRODUCT(--ISNUMBER(SEARCH(economy,C125)))&gt;0)</f>
        <v>0</v>
      </c>
      <c r="L125" s="14" cm="1">
        <f t="array" ref="L125">INT(SUMPRODUCT(--ISNUMBER(SEARCH(healthcare,C125)))&gt;0)</f>
        <v>0</v>
      </c>
      <c r="M125" s="14" cm="1">
        <f t="array" ref="M125">INT(SUMPRODUCT(--ISNUMBER(SEARCH(supreme,C125)))&gt;0)</f>
        <v>0</v>
      </c>
      <c r="N125" s="14" cm="1">
        <f t="array" ref="N125">INT(SUMPRODUCT(--ISNUMBER(SEARCH(covid,C125)))&gt;0)</f>
        <v>0</v>
      </c>
      <c r="O125" s="14" cm="1">
        <f t="array" ref="O125">INT(SUMPRODUCT(--ISNUMBER(SEARCH(violent,C125)))&gt;0)</f>
        <v>0</v>
      </c>
      <c r="P125" s="14" cm="1">
        <f t="array" ref="P125">INT(SUMPRODUCT(--ISNUMBER(SEARCH(foreign,C125)))&gt;0)</f>
        <v>0</v>
      </c>
      <c r="Q125" s="14" cm="1">
        <f t="array" ref="Q125">INT(SUMPRODUCT(--ISNUMBER(SEARCH(gun,C125)))&gt;0)</f>
        <v>0</v>
      </c>
      <c r="R125" s="14" cm="1">
        <f t="array" ref="R125">INT(SUMPRODUCT(--ISNUMBER(SEARCH(race,C125)))&gt;0)</f>
        <v>0</v>
      </c>
      <c r="S125" s="14" cm="1">
        <f t="array" ref="S125">INT(SUMPRODUCT(--ISNUMBER(SEARCH(immigration,C125)))&gt;0)</f>
        <v>0</v>
      </c>
      <c r="T125" s="14" cm="1">
        <f t="array" ref="T125">INT(SUMPRODUCT(--ISNUMBER(SEARCH(econineq,C126)))&gt;0)</f>
        <v>0</v>
      </c>
      <c r="U125" s="14" cm="1">
        <f t="array" ref="U125">INT(SUMPRODUCT(--ISNUMBER(SEARCH(climate,C125)))&gt;0)</f>
        <v>0</v>
      </c>
      <c r="V125" s="14" cm="1">
        <f t="array" ref="V125">INT(SUMPRODUCT(--ISNUMBER(SEARCH(abortion,C125)))&gt;0)</f>
        <v>0</v>
      </c>
      <c r="W125" s="14" cm="1">
        <f t="array" ref="W125">INT(SUMPRODUCT(--ISNUMBER(SEARCH(trump,C125)))&gt;0)</f>
        <v>0</v>
      </c>
      <c r="X125" s="14" cm="1">
        <f t="array" ref="X125">INT(SUMPRODUCT(--ISNUMBER(SEARCH(voting,C125)))&gt;0)</f>
        <v>0</v>
      </c>
      <c r="Y125" s="14" cm="1">
        <f t="array" ref="Y125">INT(SUMPRODUCT(--ISNUMBER(SEARCH(democrattrigger,C125)))&gt;0)</f>
        <v>1</v>
      </c>
      <c r="Z125" s="14" cm="1">
        <f t="array" ref="Z125">INT(SUMPRODUCT(--ISNUMBER(SEARCH(bipartisan,C125)))&gt;0)</f>
        <v>0</v>
      </c>
      <c r="AA125" s="14">
        <f t="shared" si="1"/>
        <v>0</v>
      </c>
      <c r="AB125" s="14"/>
      <c r="AC125" s="30" t="s">
        <v>223</v>
      </c>
      <c r="AD125" s="37" t="s">
        <v>223</v>
      </c>
    </row>
    <row r="126" spans="1:30" x14ac:dyDescent="0.25">
      <c r="A126" s="36">
        <v>1589</v>
      </c>
      <c r="B126" s="14" t="s">
        <v>3205</v>
      </c>
      <c r="C126" s="14" t="s">
        <v>3206</v>
      </c>
      <c r="D126" s="17">
        <v>44133</v>
      </c>
      <c r="E126" s="14" t="s">
        <v>30</v>
      </c>
      <c r="F126" s="14">
        <v>349</v>
      </c>
      <c r="G126" s="14">
        <v>69</v>
      </c>
      <c r="H126" s="14">
        <v>8</v>
      </c>
      <c r="I126" s="14">
        <v>4</v>
      </c>
      <c r="J126" s="14" t="s">
        <v>204</v>
      </c>
      <c r="K126" s="14" cm="1">
        <f t="array" ref="K126">INT(SUMPRODUCT(--ISNUMBER(SEARCH(economy,C126)))&gt;0)</f>
        <v>0</v>
      </c>
      <c r="L126" s="14" cm="1">
        <f t="array" ref="L126">INT(SUMPRODUCT(--ISNUMBER(SEARCH(healthcare,C126)))&gt;0)</f>
        <v>0</v>
      </c>
      <c r="M126" s="14" cm="1">
        <f t="array" ref="M126">INT(SUMPRODUCT(--ISNUMBER(SEARCH(supreme,C126)))&gt;0)</f>
        <v>0</v>
      </c>
      <c r="N126" s="14" cm="1">
        <f t="array" ref="N126">INT(SUMPRODUCT(--ISNUMBER(SEARCH(covid,C126)))&gt;0)</f>
        <v>1</v>
      </c>
      <c r="O126" s="14" cm="1">
        <f t="array" ref="O126">INT(SUMPRODUCT(--ISNUMBER(SEARCH(violent,C126)))&gt;0)</f>
        <v>0</v>
      </c>
      <c r="P126" s="14" cm="1">
        <f t="array" ref="P126">INT(SUMPRODUCT(--ISNUMBER(SEARCH(foreign,C126)))&gt;0)</f>
        <v>0</v>
      </c>
      <c r="Q126" s="14" cm="1">
        <f t="array" ref="Q126">INT(SUMPRODUCT(--ISNUMBER(SEARCH(gun,C126)))&gt;0)</f>
        <v>0</v>
      </c>
      <c r="R126" s="14" cm="1">
        <f t="array" ref="R126">INT(SUMPRODUCT(--ISNUMBER(SEARCH(race,C126)))&gt;0)</f>
        <v>0</v>
      </c>
      <c r="S126" s="14" cm="1">
        <f t="array" ref="S126">INT(SUMPRODUCT(--ISNUMBER(SEARCH(immigration,C126)))&gt;0)</f>
        <v>0</v>
      </c>
      <c r="T126" s="14" cm="1">
        <f t="array" ref="T126">INT(SUMPRODUCT(--ISNUMBER(SEARCH(econineq,C127)))&gt;0)</f>
        <v>0</v>
      </c>
      <c r="U126" s="14" cm="1">
        <f t="array" ref="U126">INT(SUMPRODUCT(--ISNUMBER(SEARCH(climate,C126)))&gt;0)</f>
        <v>0</v>
      </c>
      <c r="V126" s="14" cm="1">
        <f t="array" ref="V126">INT(SUMPRODUCT(--ISNUMBER(SEARCH(abortion,C126)))&gt;0)</f>
        <v>0</v>
      </c>
      <c r="W126" s="14" cm="1">
        <f t="array" ref="W126">INT(SUMPRODUCT(--ISNUMBER(SEARCH(trump,C126)))&gt;0)</f>
        <v>0</v>
      </c>
      <c r="X126" s="14" cm="1">
        <f t="array" ref="X126">INT(SUMPRODUCT(--ISNUMBER(SEARCH(voting,C126)))&gt;0)</f>
        <v>0</v>
      </c>
      <c r="Y126" s="14" cm="1">
        <f t="array" ref="Y126">INT(SUMPRODUCT(--ISNUMBER(SEARCH(democrattrigger,C126)))&gt;0)</f>
        <v>1</v>
      </c>
      <c r="Z126" s="14" cm="1">
        <f t="array" ref="Z126">INT(SUMPRODUCT(--ISNUMBER(SEARCH(bipartisan,C126)))&gt;0)</f>
        <v>1</v>
      </c>
      <c r="AA126" s="14">
        <f t="shared" si="1"/>
        <v>0</v>
      </c>
      <c r="AB126" s="14"/>
      <c r="AC126" s="30" t="s">
        <v>223</v>
      </c>
      <c r="AD126" s="37" t="s">
        <v>223</v>
      </c>
    </row>
    <row r="127" spans="1:30" x14ac:dyDescent="0.25">
      <c r="A127" s="36">
        <v>1590</v>
      </c>
      <c r="B127" s="14" t="s">
        <v>3207</v>
      </c>
      <c r="C127" s="14" t="s">
        <v>3208</v>
      </c>
      <c r="D127" s="17">
        <v>44133</v>
      </c>
      <c r="E127" s="14" t="s">
        <v>30</v>
      </c>
      <c r="F127" s="14">
        <v>14358</v>
      </c>
      <c r="G127" s="14">
        <v>4905</v>
      </c>
      <c r="H127" s="14">
        <v>8</v>
      </c>
      <c r="I127" s="14">
        <v>4</v>
      </c>
      <c r="J127" s="14" t="s">
        <v>204</v>
      </c>
      <c r="K127" s="14" cm="1">
        <f t="array" ref="K127">INT(SUMPRODUCT(--ISNUMBER(SEARCH(economy,C127)))&gt;0)</f>
        <v>0</v>
      </c>
      <c r="L127" s="14" cm="1">
        <f t="array" ref="L127">INT(SUMPRODUCT(--ISNUMBER(SEARCH(healthcare,C127)))&gt;0)</f>
        <v>1</v>
      </c>
      <c r="M127" s="14" cm="1">
        <f t="array" ref="M127">INT(SUMPRODUCT(--ISNUMBER(SEARCH(supreme,C127)))&gt;0)</f>
        <v>0</v>
      </c>
      <c r="N127" s="14" cm="1">
        <f t="array" ref="N127">INT(SUMPRODUCT(--ISNUMBER(SEARCH(covid,C127)))&gt;0)</f>
        <v>0</v>
      </c>
      <c r="O127" s="14" cm="1">
        <f t="array" ref="O127">INT(SUMPRODUCT(--ISNUMBER(SEARCH(violent,C127)))&gt;0)</f>
        <v>0</v>
      </c>
      <c r="P127" s="14" cm="1">
        <f t="array" ref="P127">INT(SUMPRODUCT(--ISNUMBER(SEARCH(foreign,C127)))&gt;0)</f>
        <v>0</v>
      </c>
      <c r="Q127" s="14" cm="1">
        <f t="array" ref="Q127">INT(SUMPRODUCT(--ISNUMBER(SEARCH(gun,C127)))&gt;0)</f>
        <v>0</v>
      </c>
      <c r="R127" s="14" cm="1">
        <f t="array" ref="R127">INT(SUMPRODUCT(--ISNUMBER(SEARCH(race,C127)))&gt;0)</f>
        <v>0</v>
      </c>
      <c r="S127" s="14" cm="1">
        <f t="array" ref="S127">INT(SUMPRODUCT(--ISNUMBER(SEARCH(immigration,C127)))&gt;0)</f>
        <v>0</v>
      </c>
      <c r="T127" s="14" cm="1">
        <f t="array" ref="T127">INT(SUMPRODUCT(--ISNUMBER(SEARCH(econineq,C128)))&gt;0)</f>
        <v>0</v>
      </c>
      <c r="U127" s="14" cm="1">
        <f t="array" ref="U127">INT(SUMPRODUCT(--ISNUMBER(SEARCH(climate,C127)))&gt;0)</f>
        <v>0</v>
      </c>
      <c r="V127" s="14" cm="1">
        <f t="array" ref="V127">INT(SUMPRODUCT(--ISNUMBER(SEARCH(abortion,C127)))&gt;0)</f>
        <v>0</v>
      </c>
      <c r="W127" s="14" cm="1">
        <f t="array" ref="W127">INT(SUMPRODUCT(--ISNUMBER(SEARCH(trump,C127)))&gt;0)</f>
        <v>0</v>
      </c>
      <c r="X127" s="14" cm="1">
        <f t="array" ref="X127">INT(SUMPRODUCT(--ISNUMBER(SEARCH(voting,C127)))&gt;0)</f>
        <v>1</v>
      </c>
      <c r="Y127" s="14" cm="1">
        <f t="array" ref="Y127">INT(SUMPRODUCT(--ISNUMBER(SEARCH(democrattrigger,C127)))&gt;0)</f>
        <v>1</v>
      </c>
      <c r="Z127" s="14" cm="1">
        <f t="array" ref="Z127">INT(SUMPRODUCT(--ISNUMBER(SEARCH(bipartisan,C127)))&gt;0)</f>
        <v>0</v>
      </c>
      <c r="AA127" s="14">
        <f t="shared" si="1"/>
        <v>0</v>
      </c>
      <c r="AB127" s="14"/>
      <c r="AC127" s="30" t="s">
        <v>223</v>
      </c>
      <c r="AD127" s="37" t="s">
        <v>223</v>
      </c>
    </row>
    <row r="128" spans="1:30" x14ac:dyDescent="0.25">
      <c r="A128" s="36">
        <v>1591</v>
      </c>
      <c r="B128" s="14" t="s">
        <v>3209</v>
      </c>
      <c r="C128" s="14" t="s">
        <v>3210</v>
      </c>
      <c r="D128" s="17">
        <v>44133</v>
      </c>
      <c r="E128" s="14" t="s">
        <v>30</v>
      </c>
      <c r="F128" s="14">
        <v>374</v>
      </c>
      <c r="G128" s="14">
        <v>107</v>
      </c>
      <c r="H128" s="14">
        <v>8</v>
      </c>
      <c r="I128" s="14">
        <v>4</v>
      </c>
      <c r="J128" s="14" t="s">
        <v>204</v>
      </c>
      <c r="K128" s="14" cm="1">
        <f t="array" ref="K128">INT(SUMPRODUCT(--ISNUMBER(SEARCH(economy,C128)))&gt;0)</f>
        <v>0</v>
      </c>
      <c r="L128" s="14" cm="1">
        <f t="array" ref="L128">INT(SUMPRODUCT(--ISNUMBER(SEARCH(healthcare,C128)))&gt;0)</f>
        <v>1</v>
      </c>
      <c r="M128" s="14" cm="1">
        <f t="array" ref="M128">INT(SUMPRODUCT(--ISNUMBER(SEARCH(supreme,C128)))&gt;0)</f>
        <v>0</v>
      </c>
      <c r="N128" s="14" cm="1">
        <f t="array" ref="N128">INT(SUMPRODUCT(--ISNUMBER(SEARCH(covid,C128)))&gt;0)</f>
        <v>0</v>
      </c>
      <c r="O128" s="14" cm="1">
        <f t="array" ref="O128">INT(SUMPRODUCT(--ISNUMBER(SEARCH(violent,C128)))&gt;0)</f>
        <v>0</v>
      </c>
      <c r="P128" s="14" cm="1">
        <f t="array" ref="P128">INT(SUMPRODUCT(--ISNUMBER(SEARCH(foreign,C128)))&gt;0)</f>
        <v>0</v>
      </c>
      <c r="Q128" s="14" cm="1">
        <f t="array" ref="Q128">INT(SUMPRODUCT(--ISNUMBER(SEARCH(gun,C128)))&gt;0)</f>
        <v>0</v>
      </c>
      <c r="R128" s="14" cm="1">
        <f t="array" ref="R128">INT(SUMPRODUCT(--ISNUMBER(SEARCH(race,C128)))&gt;0)</f>
        <v>0</v>
      </c>
      <c r="S128" s="14" cm="1">
        <f t="array" ref="S128">INT(SUMPRODUCT(--ISNUMBER(SEARCH(immigration,C128)))&gt;0)</f>
        <v>0</v>
      </c>
      <c r="T128" s="14" cm="1">
        <f t="array" ref="T128">INT(SUMPRODUCT(--ISNUMBER(SEARCH(econineq,C129)))&gt;0)</f>
        <v>0</v>
      </c>
      <c r="U128" s="14" cm="1">
        <f t="array" ref="U128">INT(SUMPRODUCT(--ISNUMBER(SEARCH(climate,C128)))&gt;0)</f>
        <v>0</v>
      </c>
      <c r="V128" s="14" cm="1">
        <f t="array" ref="V128">INT(SUMPRODUCT(--ISNUMBER(SEARCH(abortion,C128)))&gt;0)</f>
        <v>0</v>
      </c>
      <c r="W128" s="14" cm="1">
        <f t="array" ref="W128">INT(SUMPRODUCT(--ISNUMBER(SEARCH(trump,C128)))&gt;0)</f>
        <v>0</v>
      </c>
      <c r="X128" s="14" cm="1">
        <f t="array" ref="X128">INT(SUMPRODUCT(--ISNUMBER(SEARCH(voting,C128)))&gt;0)</f>
        <v>1</v>
      </c>
      <c r="Y128" s="14" cm="1">
        <f t="array" ref="Y128">INT(SUMPRODUCT(--ISNUMBER(SEARCH(democrattrigger,C128)))&gt;0)</f>
        <v>1</v>
      </c>
      <c r="Z128" s="14" cm="1">
        <f t="array" ref="Z128">INT(SUMPRODUCT(--ISNUMBER(SEARCH(bipartisan,C128)))&gt;0)</f>
        <v>0</v>
      </c>
      <c r="AA128" s="14">
        <f t="shared" si="1"/>
        <v>0</v>
      </c>
      <c r="AB128" s="14"/>
      <c r="AC128" s="30" t="s">
        <v>223</v>
      </c>
      <c r="AD128" s="37" t="s">
        <v>223</v>
      </c>
    </row>
    <row r="129" spans="1:30" x14ac:dyDescent="0.25">
      <c r="A129" s="36">
        <v>1592</v>
      </c>
      <c r="B129" s="14" t="s">
        <v>3211</v>
      </c>
      <c r="C129" s="14" t="s">
        <v>3212</v>
      </c>
      <c r="D129" s="17">
        <v>44132</v>
      </c>
      <c r="E129" s="14" t="s">
        <v>30</v>
      </c>
      <c r="F129" s="14">
        <v>740</v>
      </c>
      <c r="G129" s="14">
        <v>160</v>
      </c>
      <c r="H129" s="14">
        <v>8</v>
      </c>
      <c r="I129" s="14">
        <v>4</v>
      </c>
      <c r="J129" s="14" t="s">
        <v>204</v>
      </c>
      <c r="K129" s="14" cm="1">
        <f t="array" ref="K129">INT(SUMPRODUCT(--ISNUMBER(SEARCH(economy,C129)))&gt;0)</f>
        <v>0</v>
      </c>
      <c r="L129" s="14" cm="1">
        <f t="array" ref="L129">INT(SUMPRODUCT(--ISNUMBER(SEARCH(healthcare,C129)))&gt;0)</f>
        <v>0</v>
      </c>
      <c r="M129" s="14" cm="1">
        <f t="array" ref="M129">INT(SUMPRODUCT(--ISNUMBER(SEARCH(supreme,C129)))&gt;0)</f>
        <v>0</v>
      </c>
      <c r="N129" s="14" cm="1">
        <f t="array" ref="N129">INT(SUMPRODUCT(--ISNUMBER(SEARCH(covid,C129)))&gt;0)</f>
        <v>0</v>
      </c>
      <c r="O129" s="14" cm="1">
        <f t="array" ref="O129">INT(SUMPRODUCT(--ISNUMBER(SEARCH(violent,C129)))&gt;0)</f>
        <v>0</v>
      </c>
      <c r="P129" s="14" cm="1">
        <f t="array" ref="P129">INT(SUMPRODUCT(--ISNUMBER(SEARCH(foreign,C129)))&gt;0)</f>
        <v>0</v>
      </c>
      <c r="Q129" s="14" cm="1">
        <f t="array" ref="Q129">INT(SUMPRODUCT(--ISNUMBER(SEARCH(gun,C129)))&gt;0)</f>
        <v>0</v>
      </c>
      <c r="R129" s="14" cm="1">
        <f t="array" ref="R129">INT(SUMPRODUCT(--ISNUMBER(SEARCH(race,C129)))&gt;0)</f>
        <v>0</v>
      </c>
      <c r="S129" s="14" cm="1">
        <f t="array" ref="S129">INT(SUMPRODUCT(--ISNUMBER(SEARCH(immigration,C129)))&gt;0)</f>
        <v>0</v>
      </c>
      <c r="T129" s="14" cm="1">
        <f t="array" ref="T129">INT(SUMPRODUCT(--ISNUMBER(SEARCH(econineq,C130)))&gt;0)</f>
        <v>0</v>
      </c>
      <c r="U129" s="14" cm="1">
        <f t="array" ref="U129">INT(SUMPRODUCT(--ISNUMBER(SEARCH(climate,C129)))&gt;0)</f>
        <v>0</v>
      </c>
      <c r="V129" s="14" cm="1">
        <f t="array" ref="V129">INT(SUMPRODUCT(--ISNUMBER(SEARCH(abortion,C129)))&gt;0)</f>
        <v>0</v>
      </c>
      <c r="W129" s="14" cm="1">
        <f t="array" ref="W129">INT(SUMPRODUCT(--ISNUMBER(SEARCH(trump,C129)))&gt;0)</f>
        <v>0</v>
      </c>
      <c r="X129" s="14" cm="1">
        <f t="array" ref="X129">INT(SUMPRODUCT(--ISNUMBER(SEARCH(voting,C129)))&gt;0)</f>
        <v>0</v>
      </c>
      <c r="Y129" s="14" cm="1">
        <f t="array" ref="Y129">INT(SUMPRODUCT(--ISNUMBER(SEARCH(democrattrigger,C129)))&gt;0)</f>
        <v>0</v>
      </c>
      <c r="Z129" s="14" cm="1">
        <f t="array" ref="Z129">INT(SUMPRODUCT(--ISNUMBER(SEARCH(bipartisan,C129)))&gt;0)</f>
        <v>0</v>
      </c>
      <c r="AA129" s="14">
        <f t="shared" si="1"/>
        <v>1</v>
      </c>
      <c r="AB129" s="14"/>
      <c r="AC129" s="30" t="s">
        <v>223</v>
      </c>
      <c r="AD129" s="37" t="s">
        <v>223</v>
      </c>
    </row>
    <row r="130" spans="1:30" x14ac:dyDescent="0.25">
      <c r="A130" s="36">
        <v>1593</v>
      </c>
      <c r="B130" s="14" t="s">
        <v>3213</v>
      </c>
      <c r="C130" s="14" t="s">
        <v>3214</v>
      </c>
      <c r="D130" s="17">
        <v>44132</v>
      </c>
      <c r="E130" s="14" t="s">
        <v>30</v>
      </c>
      <c r="F130" s="14">
        <v>468</v>
      </c>
      <c r="G130" s="14">
        <v>98</v>
      </c>
      <c r="H130" s="14">
        <v>8</v>
      </c>
      <c r="I130" s="14">
        <v>4</v>
      </c>
      <c r="J130" s="14" t="s">
        <v>204</v>
      </c>
      <c r="K130" s="14" cm="1">
        <f t="array" ref="K130">INT(SUMPRODUCT(--ISNUMBER(SEARCH(economy,C130)))&gt;0)</f>
        <v>0</v>
      </c>
      <c r="L130" s="14" cm="1">
        <f t="array" ref="L130">INT(SUMPRODUCT(--ISNUMBER(SEARCH(healthcare,C130)))&gt;0)</f>
        <v>0</v>
      </c>
      <c r="M130" s="14" cm="1">
        <f t="array" ref="M130">INT(SUMPRODUCT(--ISNUMBER(SEARCH(supreme,C130)))&gt;0)</f>
        <v>0</v>
      </c>
      <c r="N130" s="14" cm="1">
        <f t="array" ref="N130">INT(SUMPRODUCT(--ISNUMBER(SEARCH(covid,C130)))&gt;0)</f>
        <v>0</v>
      </c>
      <c r="O130" s="14" cm="1">
        <f t="array" ref="O130">INT(SUMPRODUCT(--ISNUMBER(SEARCH(violent,C130)))&gt;0)</f>
        <v>0</v>
      </c>
      <c r="P130" s="14" cm="1">
        <f t="array" ref="P130">INT(SUMPRODUCT(--ISNUMBER(SEARCH(foreign,C130)))&gt;0)</f>
        <v>0</v>
      </c>
      <c r="Q130" s="14" cm="1">
        <f t="array" ref="Q130">INT(SUMPRODUCT(--ISNUMBER(SEARCH(gun,C130)))&gt;0)</f>
        <v>0</v>
      </c>
      <c r="R130" s="14" cm="1">
        <f t="array" ref="R130">INT(SUMPRODUCT(--ISNUMBER(SEARCH(race,C130)))&gt;0)</f>
        <v>0</v>
      </c>
      <c r="S130" s="14" cm="1">
        <f t="array" ref="S130">INT(SUMPRODUCT(--ISNUMBER(SEARCH(immigration,C130)))&gt;0)</f>
        <v>0</v>
      </c>
      <c r="T130" s="14" cm="1">
        <f t="array" ref="T130">INT(SUMPRODUCT(--ISNUMBER(SEARCH(econineq,C131)))&gt;0)</f>
        <v>0</v>
      </c>
      <c r="U130" s="14" cm="1">
        <f t="array" ref="U130">INT(SUMPRODUCT(--ISNUMBER(SEARCH(climate,C130)))&gt;0)</f>
        <v>0</v>
      </c>
      <c r="V130" s="14" cm="1">
        <f t="array" ref="V130">INT(SUMPRODUCT(--ISNUMBER(SEARCH(abortion,C130)))&gt;0)</f>
        <v>0</v>
      </c>
      <c r="W130" s="14" cm="1">
        <f t="array" ref="W130">INT(SUMPRODUCT(--ISNUMBER(SEARCH(trump,C130)))&gt;0)</f>
        <v>0</v>
      </c>
      <c r="X130" s="14" cm="1">
        <f t="array" ref="X130">INT(SUMPRODUCT(--ISNUMBER(SEARCH(voting,C130)))&gt;0)</f>
        <v>0</v>
      </c>
      <c r="Y130" s="14" cm="1">
        <f t="array" ref="Y130">INT(SUMPRODUCT(--ISNUMBER(SEARCH(democrattrigger,C130)))&gt;0)</f>
        <v>0</v>
      </c>
      <c r="Z130" s="14" cm="1">
        <f t="array" ref="Z130">INT(SUMPRODUCT(--ISNUMBER(SEARCH(bipartisan,C130)))&gt;0)</f>
        <v>0</v>
      </c>
      <c r="AA130" s="14">
        <f t="shared" si="1"/>
        <v>1</v>
      </c>
      <c r="AB130" s="14"/>
      <c r="AC130" s="30" t="s">
        <v>223</v>
      </c>
      <c r="AD130" s="37" t="s">
        <v>223</v>
      </c>
    </row>
    <row r="131" spans="1:30" x14ac:dyDescent="0.25">
      <c r="A131" s="36">
        <v>1594</v>
      </c>
      <c r="B131" s="14" t="s">
        <v>3215</v>
      </c>
      <c r="C131" s="14" t="s">
        <v>3216</v>
      </c>
      <c r="D131" s="17">
        <v>44132</v>
      </c>
      <c r="E131" s="14" t="s">
        <v>30</v>
      </c>
      <c r="F131" s="14">
        <v>1108</v>
      </c>
      <c r="G131" s="14">
        <v>388</v>
      </c>
      <c r="H131" s="14">
        <v>8</v>
      </c>
      <c r="I131" s="14">
        <v>4</v>
      </c>
      <c r="J131" s="14" t="s">
        <v>204</v>
      </c>
      <c r="K131" s="14" cm="1">
        <f t="array" ref="K131">INT(SUMPRODUCT(--ISNUMBER(SEARCH(economy,C131)))&gt;0)</f>
        <v>0</v>
      </c>
      <c r="L131" s="14" cm="1">
        <f t="array" ref="L131">INT(SUMPRODUCT(--ISNUMBER(SEARCH(healthcare,C131)))&gt;0)</f>
        <v>0</v>
      </c>
      <c r="M131" s="14" cm="1">
        <f t="array" ref="M131">INT(SUMPRODUCT(--ISNUMBER(SEARCH(supreme,C131)))&gt;0)</f>
        <v>0</v>
      </c>
      <c r="N131" s="14" cm="1">
        <f t="array" ref="N131">INT(SUMPRODUCT(--ISNUMBER(SEARCH(covid,C131)))&gt;0)</f>
        <v>0</v>
      </c>
      <c r="O131" s="14" cm="1">
        <f t="array" ref="O131">INT(SUMPRODUCT(--ISNUMBER(SEARCH(violent,C131)))&gt;0)</f>
        <v>0</v>
      </c>
      <c r="P131" s="14" cm="1">
        <f t="array" ref="P131">INT(SUMPRODUCT(--ISNUMBER(SEARCH(foreign,C131)))&gt;0)</f>
        <v>0</v>
      </c>
      <c r="Q131" s="14" cm="1">
        <f t="array" ref="Q131">INT(SUMPRODUCT(--ISNUMBER(SEARCH(gun,C131)))&gt;0)</f>
        <v>0</v>
      </c>
      <c r="R131" s="14" cm="1">
        <f t="array" ref="R131">INT(SUMPRODUCT(--ISNUMBER(SEARCH(race,C131)))&gt;0)</f>
        <v>0</v>
      </c>
      <c r="S131" s="14" cm="1">
        <f t="array" ref="S131">INT(SUMPRODUCT(--ISNUMBER(SEARCH(immigration,C131)))&gt;0)</f>
        <v>0</v>
      </c>
      <c r="T131" s="14" cm="1">
        <f t="array" ref="T131">INT(SUMPRODUCT(--ISNUMBER(SEARCH(econineq,C132)))&gt;0)</f>
        <v>0</v>
      </c>
      <c r="U131" s="14" cm="1">
        <f t="array" ref="U131">INT(SUMPRODUCT(--ISNUMBER(SEARCH(climate,C131)))&gt;0)</f>
        <v>0</v>
      </c>
      <c r="V131" s="14" cm="1">
        <f t="array" ref="V131">INT(SUMPRODUCT(--ISNUMBER(SEARCH(abortion,C131)))&gt;0)</f>
        <v>0</v>
      </c>
      <c r="W131" s="14" cm="1">
        <f t="array" ref="W131">INT(SUMPRODUCT(--ISNUMBER(SEARCH(trump,C131)))&gt;0)</f>
        <v>0</v>
      </c>
      <c r="X131" s="14" cm="1">
        <f t="array" ref="X131">INT(SUMPRODUCT(--ISNUMBER(SEARCH(voting,C131)))&gt;0)</f>
        <v>1</v>
      </c>
      <c r="Y131" s="14" cm="1">
        <f t="array" ref="Y131">INT(SUMPRODUCT(--ISNUMBER(SEARCH(democrattrigger,C131)))&gt;0)</f>
        <v>0</v>
      </c>
      <c r="Z131" s="14" cm="1">
        <f t="array" ref="Z131">INT(SUMPRODUCT(--ISNUMBER(SEARCH(bipartisan,C131)))&gt;0)</f>
        <v>0</v>
      </c>
      <c r="AA131" s="14">
        <f t="shared" ref="AA131:AA194" si="2">INT(IF(COUNTIF(K131:Z131,1)=0,"1","0"))</f>
        <v>0</v>
      </c>
      <c r="AB131" s="14"/>
      <c r="AC131" s="30" t="s">
        <v>223</v>
      </c>
      <c r="AD131" s="37" t="s">
        <v>223</v>
      </c>
    </row>
    <row r="132" spans="1:30" x14ac:dyDescent="0.25">
      <c r="A132" s="36">
        <v>1595</v>
      </c>
      <c r="B132" s="14" t="s">
        <v>3217</v>
      </c>
      <c r="C132" s="14" t="s">
        <v>3218</v>
      </c>
      <c r="D132" s="17">
        <v>44132</v>
      </c>
      <c r="E132" s="14" t="s">
        <v>30</v>
      </c>
      <c r="F132" s="14">
        <v>704</v>
      </c>
      <c r="G132" s="14">
        <v>145</v>
      </c>
      <c r="H132" s="14">
        <v>8</v>
      </c>
      <c r="I132" s="14">
        <v>4</v>
      </c>
      <c r="J132" s="14" t="s">
        <v>204</v>
      </c>
      <c r="K132" s="14" cm="1">
        <f t="array" ref="K132">INT(SUMPRODUCT(--ISNUMBER(SEARCH(economy,C132)))&gt;0)</f>
        <v>1</v>
      </c>
      <c r="L132" s="14" cm="1">
        <f t="array" ref="L132">INT(SUMPRODUCT(--ISNUMBER(SEARCH(healthcare,C132)))&gt;0)</f>
        <v>1</v>
      </c>
      <c r="M132" s="14" cm="1">
        <f t="array" ref="M132">INT(SUMPRODUCT(--ISNUMBER(SEARCH(supreme,C132)))&gt;0)</f>
        <v>0</v>
      </c>
      <c r="N132" s="14" cm="1">
        <f t="array" ref="N132">INT(SUMPRODUCT(--ISNUMBER(SEARCH(covid,C132)))&gt;0)</f>
        <v>1</v>
      </c>
      <c r="O132" s="14" cm="1">
        <f t="array" ref="O132">INT(SUMPRODUCT(--ISNUMBER(SEARCH(violent,C132)))&gt;0)</f>
        <v>0</v>
      </c>
      <c r="P132" s="14" cm="1">
        <f t="array" ref="P132">INT(SUMPRODUCT(--ISNUMBER(SEARCH(foreign,C132)))&gt;0)</f>
        <v>0</v>
      </c>
      <c r="Q132" s="14" cm="1">
        <f t="array" ref="Q132">INT(SUMPRODUCT(--ISNUMBER(SEARCH(gun,C132)))&gt;0)</f>
        <v>0</v>
      </c>
      <c r="R132" s="14" cm="1">
        <f t="array" ref="R132">INT(SUMPRODUCT(--ISNUMBER(SEARCH(race,C132)))&gt;0)</f>
        <v>0</v>
      </c>
      <c r="S132" s="14" cm="1">
        <f t="array" ref="S132">INT(SUMPRODUCT(--ISNUMBER(SEARCH(immigration,C132)))&gt;0)</f>
        <v>0</v>
      </c>
      <c r="T132" s="14" cm="1">
        <f t="array" ref="T132">INT(SUMPRODUCT(--ISNUMBER(SEARCH(econineq,C133)))&gt;0)</f>
        <v>0</v>
      </c>
      <c r="U132" s="14" cm="1">
        <f t="array" ref="U132">INT(SUMPRODUCT(--ISNUMBER(SEARCH(climate,C132)))&gt;0)</f>
        <v>0</v>
      </c>
      <c r="V132" s="14" cm="1">
        <f t="array" ref="V132">INT(SUMPRODUCT(--ISNUMBER(SEARCH(abortion,C132)))&gt;0)</f>
        <v>0</v>
      </c>
      <c r="W132" s="14" cm="1">
        <f t="array" ref="W132">INT(SUMPRODUCT(--ISNUMBER(SEARCH(trump,C132)))&gt;0)</f>
        <v>0</v>
      </c>
      <c r="X132" s="14" cm="1">
        <f t="array" ref="X132">INT(SUMPRODUCT(--ISNUMBER(SEARCH(voting,C132)))&gt;0)</f>
        <v>0</v>
      </c>
      <c r="Y132" s="14" cm="1">
        <f t="array" ref="Y132">INT(SUMPRODUCT(--ISNUMBER(SEARCH(democrattrigger,C132)))&gt;0)</f>
        <v>0</v>
      </c>
      <c r="Z132" s="14" cm="1">
        <f t="array" ref="Z132">INT(SUMPRODUCT(--ISNUMBER(SEARCH(bipartisan,C132)))&gt;0)</f>
        <v>0</v>
      </c>
      <c r="AA132" s="14">
        <f t="shared" si="2"/>
        <v>0</v>
      </c>
      <c r="AB132" s="14"/>
      <c r="AC132" s="30">
        <v>1</v>
      </c>
      <c r="AD132" s="37">
        <v>0</v>
      </c>
    </row>
    <row r="133" spans="1:30" x14ac:dyDescent="0.25">
      <c r="A133" s="36">
        <v>1596</v>
      </c>
      <c r="B133" s="14" t="s">
        <v>3219</v>
      </c>
      <c r="C133" s="14" t="s">
        <v>3220</v>
      </c>
      <c r="D133" s="17">
        <v>44132</v>
      </c>
      <c r="E133" s="14" t="s">
        <v>30</v>
      </c>
      <c r="F133" s="14">
        <v>184</v>
      </c>
      <c r="G133" s="14">
        <v>60</v>
      </c>
      <c r="H133" s="14">
        <v>8</v>
      </c>
      <c r="I133" s="14">
        <v>4</v>
      </c>
      <c r="J133" s="14" t="s">
        <v>204</v>
      </c>
      <c r="K133" s="14" cm="1">
        <f t="array" ref="K133">INT(SUMPRODUCT(--ISNUMBER(SEARCH(economy,C133)))&gt;0)</f>
        <v>0</v>
      </c>
      <c r="L133" s="14" cm="1">
        <f t="array" ref="L133">INT(SUMPRODUCT(--ISNUMBER(SEARCH(healthcare,C133)))&gt;0)</f>
        <v>0</v>
      </c>
      <c r="M133" s="14" cm="1">
        <f t="array" ref="M133">INT(SUMPRODUCT(--ISNUMBER(SEARCH(supreme,C133)))&gt;0)</f>
        <v>0</v>
      </c>
      <c r="N133" s="14" cm="1">
        <f t="array" ref="N133">INT(SUMPRODUCT(--ISNUMBER(SEARCH(covid,C133)))&gt;0)</f>
        <v>0</v>
      </c>
      <c r="O133" s="14" cm="1">
        <f t="array" ref="O133">INT(SUMPRODUCT(--ISNUMBER(SEARCH(violent,C133)))&gt;0)</f>
        <v>0</v>
      </c>
      <c r="P133" s="14" cm="1">
        <f t="array" ref="P133">INT(SUMPRODUCT(--ISNUMBER(SEARCH(foreign,C133)))&gt;0)</f>
        <v>0</v>
      </c>
      <c r="Q133" s="14" cm="1">
        <f t="array" ref="Q133">INT(SUMPRODUCT(--ISNUMBER(SEARCH(gun,C133)))&gt;0)</f>
        <v>0</v>
      </c>
      <c r="R133" s="14" cm="1">
        <f t="array" ref="R133">INT(SUMPRODUCT(--ISNUMBER(SEARCH(race,C133)))&gt;0)</f>
        <v>0</v>
      </c>
      <c r="S133" s="14" cm="1">
        <f t="array" ref="S133">INT(SUMPRODUCT(--ISNUMBER(SEARCH(immigration,C133)))&gt;0)</f>
        <v>0</v>
      </c>
      <c r="T133" s="14" cm="1">
        <f t="array" ref="T133">INT(SUMPRODUCT(--ISNUMBER(SEARCH(econineq,C134)))&gt;0)</f>
        <v>0</v>
      </c>
      <c r="U133" s="14" cm="1">
        <f t="array" ref="U133">INT(SUMPRODUCT(--ISNUMBER(SEARCH(climate,C133)))&gt;0)</f>
        <v>0</v>
      </c>
      <c r="V133" s="14" cm="1">
        <f t="array" ref="V133">INT(SUMPRODUCT(--ISNUMBER(SEARCH(abortion,C133)))&gt;0)</f>
        <v>0</v>
      </c>
      <c r="W133" s="14" cm="1">
        <f t="array" ref="W133">INT(SUMPRODUCT(--ISNUMBER(SEARCH(trump,C133)))&gt;0)</f>
        <v>0</v>
      </c>
      <c r="X133" s="14" cm="1">
        <f t="array" ref="X133">INT(SUMPRODUCT(--ISNUMBER(SEARCH(voting,C133)))&gt;0)</f>
        <v>1</v>
      </c>
      <c r="Y133" s="14" cm="1">
        <f t="array" ref="Y133">INT(SUMPRODUCT(--ISNUMBER(SEARCH(democrattrigger,C133)))&gt;0)</f>
        <v>0</v>
      </c>
      <c r="Z133" s="14" cm="1">
        <f t="array" ref="Z133">INT(SUMPRODUCT(--ISNUMBER(SEARCH(bipartisan,C133)))&gt;0)</f>
        <v>0</v>
      </c>
      <c r="AA133" s="14">
        <f t="shared" si="2"/>
        <v>0</v>
      </c>
      <c r="AB133" s="14"/>
      <c r="AC133" s="30" t="s">
        <v>223</v>
      </c>
      <c r="AD133" s="37" t="s">
        <v>223</v>
      </c>
    </row>
    <row r="134" spans="1:30" x14ac:dyDescent="0.25">
      <c r="A134" s="36">
        <v>1597</v>
      </c>
      <c r="B134" s="14" t="s">
        <v>3221</v>
      </c>
      <c r="C134" s="14" t="s">
        <v>3222</v>
      </c>
      <c r="D134" s="17">
        <v>44132</v>
      </c>
      <c r="E134" s="14" t="s">
        <v>30</v>
      </c>
      <c r="F134" s="14">
        <v>583</v>
      </c>
      <c r="G134" s="14">
        <v>132</v>
      </c>
      <c r="H134" s="14">
        <v>8</v>
      </c>
      <c r="I134" s="14">
        <v>4</v>
      </c>
      <c r="J134" s="14" t="s">
        <v>204</v>
      </c>
      <c r="K134" s="14" cm="1">
        <f t="array" ref="K134">INT(SUMPRODUCT(--ISNUMBER(SEARCH(economy,C134)))&gt;0)</f>
        <v>0</v>
      </c>
      <c r="L134" s="14" cm="1">
        <f t="array" ref="L134">INT(SUMPRODUCT(--ISNUMBER(SEARCH(healthcare,C134)))&gt;0)</f>
        <v>0</v>
      </c>
      <c r="M134" s="14" cm="1">
        <f t="array" ref="M134">INT(SUMPRODUCT(--ISNUMBER(SEARCH(supreme,C134)))&gt;0)</f>
        <v>0</v>
      </c>
      <c r="N134" s="14" cm="1">
        <f t="array" ref="N134">INT(SUMPRODUCT(--ISNUMBER(SEARCH(covid,C134)))&gt;0)</f>
        <v>0</v>
      </c>
      <c r="O134" s="14" cm="1">
        <f t="array" ref="O134">INT(SUMPRODUCT(--ISNUMBER(SEARCH(violent,C134)))&gt;0)</f>
        <v>0</v>
      </c>
      <c r="P134" s="14" cm="1">
        <f t="array" ref="P134">INT(SUMPRODUCT(--ISNUMBER(SEARCH(foreign,C134)))&gt;0)</f>
        <v>0</v>
      </c>
      <c r="Q134" s="14" cm="1">
        <f t="array" ref="Q134">INT(SUMPRODUCT(--ISNUMBER(SEARCH(gun,C134)))&gt;0)</f>
        <v>0</v>
      </c>
      <c r="R134" s="14" cm="1">
        <f t="array" ref="R134">INT(SUMPRODUCT(--ISNUMBER(SEARCH(race,C134)))&gt;0)</f>
        <v>0</v>
      </c>
      <c r="S134" s="14" cm="1">
        <f t="array" ref="S134">INT(SUMPRODUCT(--ISNUMBER(SEARCH(immigration,C134)))&gt;0)</f>
        <v>0</v>
      </c>
      <c r="T134" s="14" cm="1">
        <f t="array" ref="T134">INT(SUMPRODUCT(--ISNUMBER(SEARCH(econineq,C135)))&gt;0)</f>
        <v>0</v>
      </c>
      <c r="U134" s="14" cm="1">
        <f t="array" ref="U134">INT(SUMPRODUCT(--ISNUMBER(SEARCH(climate,C134)))&gt;0)</f>
        <v>0</v>
      </c>
      <c r="V134" s="14" cm="1">
        <f t="array" ref="V134">INT(SUMPRODUCT(--ISNUMBER(SEARCH(abortion,C134)))&gt;0)</f>
        <v>0</v>
      </c>
      <c r="W134" s="14" cm="1">
        <f t="array" ref="W134">INT(SUMPRODUCT(--ISNUMBER(SEARCH(trump,C134)))&gt;0)</f>
        <v>0</v>
      </c>
      <c r="X134" s="14" cm="1">
        <f t="array" ref="X134">INT(SUMPRODUCT(--ISNUMBER(SEARCH(voting,C134)))&gt;0)</f>
        <v>0</v>
      </c>
      <c r="Y134" s="14" cm="1">
        <f t="array" ref="Y134">INT(SUMPRODUCT(--ISNUMBER(SEARCH(democrattrigger,C134)))&gt;0)</f>
        <v>0</v>
      </c>
      <c r="Z134" s="14" cm="1">
        <f t="array" ref="Z134">INT(SUMPRODUCT(--ISNUMBER(SEARCH(bipartisan,C134)))&gt;0)</f>
        <v>0</v>
      </c>
      <c r="AA134" s="14">
        <f t="shared" si="2"/>
        <v>1</v>
      </c>
      <c r="AB134" s="14"/>
      <c r="AC134" s="30" t="s">
        <v>223</v>
      </c>
      <c r="AD134" s="37" t="s">
        <v>223</v>
      </c>
    </row>
    <row r="135" spans="1:30" x14ac:dyDescent="0.25">
      <c r="A135" s="36">
        <v>1598</v>
      </c>
      <c r="B135" s="14" t="s">
        <v>3223</v>
      </c>
      <c r="C135" s="14" t="s">
        <v>3224</v>
      </c>
      <c r="D135" s="17">
        <v>44132</v>
      </c>
      <c r="E135" s="14" t="s">
        <v>30</v>
      </c>
      <c r="F135" s="14">
        <v>406</v>
      </c>
      <c r="G135" s="14">
        <v>134</v>
      </c>
      <c r="H135" s="14">
        <v>8</v>
      </c>
      <c r="I135" s="14">
        <v>4</v>
      </c>
      <c r="J135" s="14" t="s">
        <v>204</v>
      </c>
      <c r="K135" s="14" cm="1">
        <f t="array" ref="K135">INT(SUMPRODUCT(--ISNUMBER(SEARCH(economy,C135)))&gt;0)</f>
        <v>0</v>
      </c>
      <c r="L135" s="14" cm="1">
        <f t="array" ref="L135">INT(SUMPRODUCT(--ISNUMBER(SEARCH(healthcare,C135)))&gt;0)</f>
        <v>0</v>
      </c>
      <c r="M135" s="14" cm="1">
        <f t="array" ref="M135">INT(SUMPRODUCT(--ISNUMBER(SEARCH(supreme,C135)))&gt;0)</f>
        <v>0</v>
      </c>
      <c r="N135" s="14" cm="1">
        <f t="array" ref="N135">INT(SUMPRODUCT(--ISNUMBER(SEARCH(covid,C135)))&gt;0)</f>
        <v>0</v>
      </c>
      <c r="O135" s="14" cm="1">
        <f t="array" ref="O135">INT(SUMPRODUCT(--ISNUMBER(SEARCH(violent,C135)))&gt;0)</f>
        <v>0</v>
      </c>
      <c r="P135" s="14" cm="1">
        <f t="array" ref="P135">INT(SUMPRODUCT(--ISNUMBER(SEARCH(foreign,C135)))&gt;0)</f>
        <v>0</v>
      </c>
      <c r="Q135" s="14" cm="1">
        <f t="array" ref="Q135">INT(SUMPRODUCT(--ISNUMBER(SEARCH(gun,C135)))&gt;0)</f>
        <v>0</v>
      </c>
      <c r="R135" s="14" cm="1">
        <f t="array" ref="R135">INT(SUMPRODUCT(--ISNUMBER(SEARCH(race,C135)))&gt;0)</f>
        <v>0</v>
      </c>
      <c r="S135" s="14" cm="1">
        <f t="array" ref="S135">INT(SUMPRODUCT(--ISNUMBER(SEARCH(immigration,C135)))&gt;0)</f>
        <v>0</v>
      </c>
      <c r="T135" s="14" cm="1">
        <f t="array" ref="T135">INT(SUMPRODUCT(--ISNUMBER(SEARCH(econineq,C136)))&gt;0)</f>
        <v>0</v>
      </c>
      <c r="U135" s="14" cm="1">
        <f t="array" ref="U135">INT(SUMPRODUCT(--ISNUMBER(SEARCH(climate,C135)))&gt;0)</f>
        <v>0</v>
      </c>
      <c r="V135" s="14" cm="1">
        <f t="array" ref="V135">INT(SUMPRODUCT(--ISNUMBER(SEARCH(abortion,C135)))&gt;0)</f>
        <v>0</v>
      </c>
      <c r="W135" s="14" cm="1">
        <f t="array" ref="W135">INT(SUMPRODUCT(--ISNUMBER(SEARCH(trump,C135)))&gt;0)</f>
        <v>0</v>
      </c>
      <c r="X135" s="14" cm="1">
        <f t="array" ref="X135">INT(SUMPRODUCT(--ISNUMBER(SEARCH(voting,C135)))&gt;0)</f>
        <v>1</v>
      </c>
      <c r="Y135" s="14" cm="1">
        <f t="array" ref="Y135">INT(SUMPRODUCT(--ISNUMBER(SEARCH(democrattrigger,C135)))&gt;0)</f>
        <v>0</v>
      </c>
      <c r="Z135" s="14" cm="1">
        <f t="array" ref="Z135">INT(SUMPRODUCT(--ISNUMBER(SEARCH(bipartisan,C135)))&gt;0)</f>
        <v>0</v>
      </c>
      <c r="AA135" s="14">
        <f t="shared" si="2"/>
        <v>0</v>
      </c>
      <c r="AB135" s="14"/>
      <c r="AC135" s="30" t="s">
        <v>223</v>
      </c>
      <c r="AD135" s="37" t="s">
        <v>223</v>
      </c>
    </row>
    <row r="136" spans="1:30" x14ac:dyDescent="0.25">
      <c r="A136" s="36">
        <v>1599</v>
      </c>
      <c r="B136" s="14" t="s">
        <v>3225</v>
      </c>
      <c r="C136" s="14" t="s">
        <v>3226</v>
      </c>
      <c r="D136" s="17">
        <v>44132</v>
      </c>
      <c r="E136" s="14" t="s">
        <v>30</v>
      </c>
      <c r="F136" s="14">
        <v>1541</v>
      </c>
      <c r="G136" s="14">
        <v>454</v>
      </c>
      <c r="H136" s="14">
        <v>8</v>
      </c>
      <c r="I136" s="14">
        <v>4</v>
      </c>
      <c r="J136" s="14" t="s">
        <v>204</v>
      </c>
      <c r="K136" s="14" cm="1">
        <f t="array" ref="K136">INT(SUMPRODUCT(--ISNUMBER(SEARCH(economy,C136)))&gt;0)</f>
        <v>0</v>
      </c>
      <c r="L136" s="14" cm="1">
        <f t="array" ref="L136">INT(SUMPRODUCT(--ISNUMBER(SEARCH(healthcare,C136)))&gt;0)</f>
        <v>0</v>
      </c>
      <c r="M136" s="14" cm="1">
        <f t="array" ref="M136">INT(SUMPRODUCT(--ISNUMBER(SEARCH(supreme,C136)))&gt;0)</f>
        <v>0</v>
      </c>
      <c r="N136" s="14" cm="1">
        <f t="array" ref="N136">INT(SUMPRODUCT(--ISNUMBER(SEARCH(covid,C136)))&gt;0)</f>
        <v>0</v>
      </c>
      <c r="O136" s="14" cm="1">
        <f t="array" ref="O136">INT(SUMPRODUCT(--ISNUMBER(SEARCH(violent,C136)))&gt;0)</f>
        <v>0</v>
      </c>
      <c r="P136" s="14" cm="1">
        <f t="array" ref="P136">INT(SUMPRODUCT(--ISNUMBER(SEARCH(foreign,C136)))&gt;0)</f>
        <v>0</v>
      </c>
      <c r="Q136" s="14" cm="1">
        <f t="array" ref="Q136">INT(SUMPRODUCT(--ISNUMBER(SEARCH(gun,C136)))&gt;0)</f>
        <v>0</v>
      </c>
      <c r="R136" s="14" cm="1">
        <f t="array" ref="R136">INT(SUMPRODUCT(--ISNUMBER(SEARCH(race,C136)))&gt;0)</f>
        <v>0</v>
      </c>
      <c r="S136" s="14" cm="1">
        <f t="array" ref="S136">INT(SUMPRODUCT(--ISNUMBER(SEARCH(immigration,C136)))&gt;0)</f>
        <v>0</v>
      </c>
      <c r="T136" s="14" cm="1">
        <f t="array" ref="T136">INT(SUMPRODUCT(--ISNUMBER(SEARCH(econineq,C137)))&gt;0)</f>
        <v>0</v>
      </c>
      <c r="U136" s="14" cm="1">
        <f t="array" ref="U136">INT(SUMPRODUCT(--ISNUMBER(SEARCH(climate,C136)))&gt;0)</f>
        <v>0</v>
      </c>
      <c r="V136" s="14" cm="1">
        <f t="array" ref="V136">INT(SUMPRODUCT(--ISNUMBER(SEARCH(abortion,C136)))&gt;0)</f>
        <v>0</v>
      </c>
      <c r="W136" s="14" cm="1">
        <f t="array" ref="W136">INT(SUMPRODUCT(--ISNUMBER(SEARCH(trump,C136)))&gt;0)</f>
        <v>0</v>
      </c>
      <c r="X136" s="14" cm="1">
        <f t="array" ref="X136">INT(SUMPRODUCT(--ISNUMBER(SEARCH(voting,C136)))&gt;0)</f>
        <v>0</v>
      </c>
      <c r="Y136" s="14" cm="1">
        <f t="array" ref="Y136">INT(SUMPRODUCT(--ISNUMBER(SEARCH(democrattrigger,C136)))&gt;0)</f>
        <v>1</v>
      </c>
      <c r="Z136" s="14" cm="1">
        <f t="array" ref="Z136">INT(SUMPRODUCT(--ISNUMBER(SEARCH(bipartisan,C136)))&gt;0)</f>
        <v>0</v>
      </c>
      <c r="AA136" s="14">
        <f t="shared" si="2"/>
        <v>0</v>
      </c>
      <c r="AB136" s="14"/>
      <c r="AC136" s="30">
        <v>0</v>
      </c>
      <c r="AD136" s="37">
        <v>1</v>
      </c>
    </row>
    <row r="137" spans="1:30" x14ac:dyDescent="0.25">
      <c r="A137" s="36">
        <v>1600</v>
      </c>
      <c r="B137" s="14" t="s">
        <v>3227</v>
      </c>
      <c r="C137" s="14" t="s">
        <v>3228</v>
      </c>
      <c r="D137" s="17">
        <v>44132</v>
      </c>
      <c r="E137" s="14" t="s">
        <v>30</v>
      </c>
      <c r="F137" s="14">
        <v>857</v>
      </c>
      <c r="G137" s="14">
        <v>176</v>
      </c>
      <c r="H137" s="14">
        <v>8</v>
      </c>
      <c r="I137" s="14">
        <v>4</v>
      </c>
      <c r="J137" s="14" t="s">
        <v>204</v>
      </c>
      <c r="K137" s="14" cm="1">
        <f t="array" ref="K137">INT(SUMPRODUCT(--ISNUMBER(SEARCH(economy,C137)))&gt;0)</f>
        <v>0</v>
      </c>
      <c r="L137" s="14" cm="1">
        <f t="array" ref="L137">INT(SUMPRODUCT(--ISNUMBER(SEARCH(healthcare,C137)))&gt;0)</f>
        <v>0</v>
      </c>
      <c r="M137" s="14" cm="1">
        <f t="array" ref="M137">INT(SUMPRODUCT(--ISNUMBER(SEARCH(supreme,C137)))&gt;0)</f>
        <v>0</v>
      </c>
      <c r="N137" s="14" cm="1">
        <f t="array" ref="N137">INT(SUMPRODUCT(--ISNUMBER(SEARCH(covid,C137)))&gt;0)</f>
        <v>1</v>
      </c>
      <c r="O137" s="14" cm="1">
        <f t="array" ref="O137">INT(SUMPRODUCT(--ISNUMBER(SEARCH(violent,C137)))&gt;0)</f>
        <v>0</v>
      </c>
      <c r="P137" s="14" cm="1">
        <f t="array" ref="P137">INT(SUMPRODUCT(--ISNUMBER(SEARCH(foreign,C137)))&gt;0)</f>
        <v>0</v>
      </c>
      <c r="Q137" s="14" cm="1">
        <f t="array" ref="Q137">INT(SUMPRODUCT(--ISNUMBER(SEARCH(gun,C137)))&gt;0)</f>
        <v>0</v>
      </c>
      <c r="R137" s="14" cm="1">
        <f t="array" ref="R137">INT(SUMPRODUCT(--ISNUMBER(SEARCH(race,C137)))&gt;0)</f>
        <v>0</v>
      </c>
      <c r="S137" s="14" cm="1">
        <f t="array" ref="S137">INT(SUMPRODUCT(--ISNUMBER(SEARCH(immigration,C137)))&gt;0)</f>
        <v>0</v>
      </c>
      <c r="T137" s="14" cm="1">
        <f t="array" ref="T137">INT(SUMPRODUCT(--ISNUMBER(SEARCH(econineq,C138)))&gt;0)</f>
        <v>0</v>
      </c>
      <c r="U137" s="14" cm="1">
        <f t="array" ref="U137">INT(SUMPRODUCT(--ISNUMBER(SEARCH(climate,C137)))&gt;0)</f>
        <v>0</v>
      </c>
      <c r="V137" s="14" cm="1">
        <f t="array" ref="V137">INT(SUMPRODUCT(--ISNUMBER(SEARCH(abortion,C137)))&gt;0)</f>
        <v>0</v>
      </c>
      <c r="W137" s="14" cm="1">
        <f t="array" ref="W137">INT(SUMPRODUCT(--ISNUMBER(SEARCH(trump,C137)))&gt;0)</f>
        <v>0</v>
      </c>
      <c r="X137" s="14" cm="1">
        <f t="array" ref="X137">INT(SUMPRODUCT(--ISNUMBER(SEARCH(voting,C137)))&gt;0)</f>
        <v>0</v>
      </c>
      <c r="Y137" s="14" cm="1">
        <f t="array" ref="Y137">INT(SUMPRODUCT(--ISNUMBER(SEARCH(democrattrigger,C137)))&gt;0)</f>
        <v>0</v>
      </c>
      <c r="Z137" s="14" cm="1">
        <f t="array" ref="Z137">INT(SUMPRODUCT(--ISNUMBER(SEARCH(bipartisan,C137)))&gt;0)</f>
        <v>0</v>
      </c>
      <c r="AA137" s="14">
        <f t="shared" si="2"/>
        <v>0</v>
      </c>
      <c r="AB137" s="14"/>
      <c r="AC137" s="30" t="s">
        <v>223</v>
      </c>
      <c r="AD137" s="37" t="s">
        <v>223</v>
      </c>
    </row>
    <row r="138" spans="1:30" x14ac:dyDescent="0.25">
      <c r="A138" s="36">
        <v>1601</v>
      </c>
      <c r="B138" s="14" t="s">
        <v>3229</v>
      </c>
      <c r="C138" s="14" t="s">
        <v>3230</v>
      </c>
      <c r="D138" s="17">
        <v>44132</v>
      </c>
      <c r="E138" s="14" t="s">
        <v>30</v>
      </c>
      <c r="F138" s="14">
        <v>2213</v>
      </c>
      <c r="G138" s="14">
        <v>350</v>
      </c>
      <c r="H138" s="14">
        <v>8</v>
      </c>
      <c r="I138" s="14">
        <v>4</v>
      </c>
      <c r="J138" s="14" t="s">
        <v>204</v>
      </c>
      <c r="K138" s="14" cm="1">
        <f t="array" ref="K138">INT(SUMPRODUCT(--ISNUMBER(SEARCH(economy,C138)))&gt;0)</f>
        <v>0</v>
      </c>
      <c r="L138" s="14" cm="1">
        <f t="array" ref="L138">INT(SUMPRODUCT(--ISNUMBER(SEARCH(healthcare,C138)))&gt;0)</f>
        <v>0</v>
      </c>
      <c r="M138" s="14" cm="1">
        <f t="array" ref="M138">INT(SUMPRODUCT(--ISNUMBER(SEARCH(supreme,C138)))&gt;0)</f>
        <v>0</v>
      </c>
      <c r="N138" s="14" cm="1">
        <f t="array" ref="N138">INT(SUMPRODUCT(--ISNUMBER(SEARCH(covid,C138)))&gt;0)</f>
        <v>0</v>
      </c>
      <c r="O138" s="14" cm="1">
        <f t="array" ref="O138">INT(SUMPRODUCT(--ISNUMBER(SEARCH(violent,C138)))&gt;0)</f>
        <v>0</v>
      </c>
      <c r="P138" s="14" cm="1">
        <f t="array" ref="P138">INT(SUMPRODUCT(--ISNUMBER(SEARCH(foreign,C138)))&gt;0)</f>
        <v>0</v>
      </c>
      <c r="Q138" s="14" cm="1">
        <f t="array" ref="Q138">INT(SUMPRODUCT(--ISNUMBER(SEARCH(gun,C138)))&gt;0)</f>
        <v>0</v>
      </c>
      <c r="R138" s="14" cm="1">
        <f t="array" ref="R138">INT(SUMPRODUCT(--ISNUMBER(SEARCH(race,C138)))&gt;0)</f>
        <v>0</v>
      </c>
      <c r="S138" s="14" cm="1">
        <f t="array" ref="S138">INT(SUMPRODUCT(--ISNUMBER(SEARCH(immigration,C138)))&gt;0)</f>
        <v>0</v>
      </c>
      <c r="T138" s="14" cm="1">
        <f t="array" ref="T138">INT(SUMPRODUCT(--ISNUMBER(SEARCH(econineq,C139)))&gt;0)</f>
        <v>0</v>
      </c>
      <c r="U138" s="14" cm="1">
        <f t="array" ref="U138">INT(SUMPRODUCT(--ISNUMBER(SEARCH(climate,C138)))&gt;0)</f>
        <v>0</v>
      </c>
      <c r="V138" s="14" cm="1">
        <f t="array" ref="V138">INT(SUMPRODUCT(--ISNUMBER(SEARCH(abortion,C138)))&gt;0)</f>
        <v>0</v>
      </c>
      <c r="W138" s="14" cm="1">
        <f t="array" ref="W138">INT(SUMPRODUCT(--ISNUMBER(SEARCH(trump,C138)))&gt;0)</f>
        <v>0</v>
      </c>
      <c r="X138" s="14" cm="1">
        <f t="array" ref="X138">INT(SUMPRODUCT(--ISNUMBER(SEARCH(voting,C138)))&gt;0)</f>
        <v>1</v>
      </c>
      <c r="Y138" s="14" cm="1">
        <f t="array" ref="Y138">INT(SUMPRODUCT(--ISNUMBER(SEARCH(democrattrigger,C138)))&gt;0)</f>
        <v>0</v>
      </c>
      <c r="Z138" s="14" cm="1">
        <f t="array" ref="Z138">INT(SUMPRODUCT(--ISNUMBER(SEARCH(bipartisan,C138)))&gt;0)</f>
        <v>0</v>
      </c>
      <c r="AA138" s="14">
        <f t="shared" si="2"/>
        <v>0</v>
      </c>
      <c r="AB138" s="14"/>
      <c r="AC138" s="30" t="s">
        <v>223</v>
      </c>
      <c r="AD138" s="37" t="s">
        <v>223</v>
      </c>
    </row>
    <row r="139" spans="1:30" x14ac:dyDescent="0.25">
      <c r="A139" s="36">
        <v>1602</v>
      </c>
      <c r="B139" s="14" t="s">
        <v>3231</v>
      </c>
      <c r="C139" s="14" t="s">
        <v>3232</v>
      </c>
      <c r="D139" s="17">
        <v>44132</v>
      </c>
      <c r="E139" s="14" t="s">
        <v>30</v>
      </c>
      <c r="F139" s="14">
        <v>646</v>
      </c>
      <c r="G139" s="14">
        <v>150</v>
      </c>
      <c r="H139" s="14">
        <v>8</v>
      </c>
      <c r="I139" s="14">
        <v>4</v>
      </c>
      <c r="J139" s="14" t="s">
        <v>204</v>
      </c>
      <c r="K139" s="14" cm="1">
        <f t="array" ref="K139">INT(SUMPRODUCT(--ISNUMBER(SEARCH(economy,C139)))&gt;0)</f>
        <v>0</v>
      </c>
      <c r="L139" s="14" cm="1">
        <f t="array" ref="L139">INT(SUMPRODUCT(--ISNUMBER(SEARCH(healthcare,C139)))&gt;0)</f>
        <v>0</v>
      </c>
      <c r="M139" s="14" cm="1">
        <f t="array" ref="M139">INT(SUMPRODUCT(--ISNUMBER(SEARCH(supreme,C139)))&gt;0)</f>
        <v>0</v>
      </c>
      <c r="N139" s="14" cm="1">
        <f t="array" ref="N139">INT(SUMPRODUCT(--ISNUMBER(SEARCH(covid,C139)))&gt;0)</f>
        <v>1</v>
      </c>
      <c r="O139" s="14" cm="1">
        <f t="array" ref="O139">INT(SUMPRODUCT(--ISNUMBER(SEARCH(violent,C139)))&gt;0)</f>
        <v>0</v>
      </c>
      <c r="P139" s="14" cm="1">
        <f t="array" ref="P139">INT(SUMPRODUCT(--ISNUMBER(SEARCH(foreign,C139)))&gt;0)</f>
        <v>0</v>
      </c>
      <c r="Q139" s="14" cm="1">
        <f t="array" ref="Q139">INT(SUMPRODUCT(--ISNUMBER(SEARCH(gun,C139)))&gt;0)</f>
        <v>0</v>
      </c>
      <c r="R139" s="14" cm="1">
        <f t="array" ref="R139">INT(SUMPRODUCT(--ISNUMBER(SEARCH(race,C139)))&gt;0)</f>
        <v>0</v>
      </c>
      <c r="S139" s="14" cm="1">
        <f t="array" ref="S139">INT(SUMPRODUCT(--ISNUMBER(SEARCH(immigration,C139)))&gt;0)</f>
        <v>0</v>
      </c>
      <c r="T139" s="14" cm="1">
        <f t="array" ref="T139">INT(SUMPRODUCT(--ISNUMBER(SEARCH(econineq,C140)))&gt;0)</f>
        <v>0</v>
      </c>
      <c r="U139" s="14" cm="1">
        <f t="array" ref="U139">INT(SUMPRODUCT(--ISNUMBER(SEARCH(climate,C139)))&gt;0)</f>
        <v>0</v>
      </c>
      <c r="V139" s="14" cm="1">
        <f t="array" ref="V139">INT(SUMPRODUCT(--ISNUMBER(SEARCH(abortion,C139)))&gt;0)</f>
        <v>0</v>
      </c>
      <c r="W139" s="14" cm="1">
        <f t="array" ref="W139">INT(SUMPRODUCT(--ISNUMBER(SEARCH(trump,C139)))&gt;0)</f>
        <v>0</v>
      </c>
      <c r="X139" s="14" cm="1">
        <f t="array" ref="X139">INT(SUMPRODUCT(--ISNUMBER(SEARCH(voting,C139)))&gt;0)</f>
        <v>0</v>
      </c>
      <c r="Y139" s="14" cm="1">
        <f t="array" ref="Y139">INT(SUMPRODUCT(--ISNUMBER(SEARCH(democrattrigger,C139)))&gt;0)</f>
        <v>0</v>
      </c>
      <c r="Z139" s="14" cm="1">
        <f t="array" ref="Z139">INT(SUMPRODUCT(--ISNUMBER(SEARCH(bipartisan,C139)))&gt;0)</f>
        <v>0</v>
      </c>
      <c r="AA139" s="14">
        <f t="shared" si="2"/>
        <v>0</v>
      </c>
      <c r="AB139" s="14"/>
      <c r="AC139" s="30" t="s">
        <v>223</v>
      </c>
      <c r="AD139" s="37" t="s">
        <v>223</v>
      </c>
    </row>
    <row r="140" spans="1:30" x14ac:dyDescent="0.25">
      <c r="A140" s="36">
        <v>1603</v>
      </c>
      <c r="B140" s="14" t="s">
        <v>3233</v>
      </c>
      <c r="C140" s="14" t="s">
        <v>3234</v>
      </c>
      <c r="D140" s="17">
        <v>44132</v>
      </c>
      <c r="E140" s="14" t="s">
        <v>30</v>
      </c>
      <c r="F140" s="14">
        <v>813</v>
      </c>
      <c r="G140" s="14">
        <v>172</v>
      </c>
      <c r="H140" s="14">
        <v>8</v>
      </c>
      <c r="I140" s="14">
        <v>4</v>
      </c>
      <c r="J140" s="14" t="s">
        <v>204</v>
      </c>
      <c r="K140" s="14" cm="1">
        <f t="array" ref="K140">INT(SUMPRODUCT(--ISNUMBER(SEARCH(economy,C140)))&gt;0)</f>
        <v>1</v>
      </c>
      <c r="L140" s="14" cm="1">
        <f t="array" ref="L140">INT(SUMPRODUCT(--ISNUMBER(SEARCH(healthcare,C140)))&gt;0)</f>
        <v>0</v>
      </c>
      <c r="M140" s="14" cm="1">
        <f t="array" ref="M140">INT(SUMPRODUCT(--ISNUMBER(SEARCH(supreme,C140)))&gt;0)</f>
        <v>0</v>
      </c>
      <c r="N140" s="14" cm="1">
        <f t="array" ref="N140">INT(SUMPRODUCT(--ISNUMBER(SEARCH(covid,C140)))&gt;0)</f>
        <v>0</v>
      </c>
      <c r="O140" s="14" cm="1">
        <f t="array" ref="O140">INT(SUMPRODUCT(--ISNUMBER(SEARCH(violent,C140)))&gt;0)</f>
        <v>0</v>
      </c>
      <c r="P140" s="14" cm="1">
        <f t="array" ref="P140">INT(SUMPRODUCT(--ISNUMBER(SEARCH(foreign,C140)))&gt;0)</f>
        <v>0</v>
      </c>
      <c r="Q140" s="14" cm="1">
        <f t="array" ref="Q140">INT(SUMPRODUCT(--ISNUMBER(SEARCH(gun,C140)))&gt;0)</f>
        <v>0</v>
      </c>
      <c r="R140" s="14" cm="1">
        <f t="array" ref="R140">INT(SUMPRODUCT(--ISNUMBER(SEARCH(race,C140)))&gt;0)</f>
        <v>0</v>
      </c>
      <c r="S140" s="14" cm="1">
        <f t="array" ref="S140">INT(SUMPRODUCT(--ISNUMBER(SEARCH(immigration,C140)))&gt;0)</f>
        <v>0</v>
      </c>
      <c r="T140" s="14" cm="1">
        <f t="array" ref="T140">INT(SUMPRODUCT(--ISNUMBER(SEARCH(econineq,C141)))&gt;0)</f>
        <v>0</v>
      </c>
      <c r="U140" s="14" cm="1">
        <f t="array" ref="U140">INT(SUMPRODUCT(--ISNUMBER(SEARCH(climate,C140)))&gt;0)</f>
        <v>0</v>
      </c>
      <c r="V140" s="14" cm="1">
        <f t="array" ref="V140">INT(SUMPRODUCT(--ISNUMBER(SEARCH(abortion,C140)))&gt;0)</f>
        <v>0</v>
      </c>
      <c r="W140" s="14" cm="1">
        <f t="array" ref="W140">INT(SUMPRODUCT(--ISNUMBER(SEARCH(trump,C140)))&gt;0)</f>
        <v>0</v>
      </c>
      <c r="X140" s="14" cm="1">
        <f t="array" ref="X140">INT(SUMPRODUCT(--ISNUMBER(SEARCH(voting,C140)))&gt;0)</f>
        <v>1</v>
      </c>
      <c r="Y140" s="14" cm="1">
        <f t="array" ref="Y140">INT(SUMPRODUCT(--ISNUMBER(SEARCH(democrattrigger,C140)))&gt;0)</f>
        <v>0</v>
      </c>
      <c r="Z140" s="14" cm="1">
        <f t="array" ref="Z140">INT(SUMPRODUCT(--ISNUMBER(SEARCH(bipartisan,C140)))&gt;0)</f>
        <v>0</v>
      </c>
      <c r="AA140" s="14">
        <f t="shared" si="2"/>
        <v>0</v>
      </c>
      <c r="AB140" s="14"/>
      <c r="AC140" s="30" t="s">
        <v>223</v>
      </c>
      <c r="AD140" s="37" t="s">
        <v>223</v>
      </c>
    </row>
    <row r="141" spans="1:30" x14ac:dyDescent="0.25">
      <c r="A141" s="36">
        <v>1604</v>
      </c>
      <c r="B141" s="14" t="s">
        <v>3235</v>
      </c>
      <c r="C141" s="14" t="s">
        <v>3236</v>
      </c>
      <c r="D141" s="17">
        <v>44131</v>
      </c>
      <c r="E141" s="14" t="s">
        <v>30</v>
      </c>
      <c r="F141" s="14">
        <v>592</v>
      </c>
      <c r="G141" s="14">
        <v>152</v>
      </c>
      <c r="H141" s="14">
        <v>8</v>
      </c>
      <c r="I141" s="14">
        <v>4</v>
      </c>
      <c r="J141" s="14" t="s">
        <v>204</v>
      </c>
      <c r="K141" s="14" cm="1">
        <f t="array" ref="K141">INT(SUMPRODUCT(--ISNUMBER(SEARCH(economy,C141)))&gt;0)</f>
        <v>0</v>
      </c>
      <c r="L141" s="14" cm="1">
        <f t="array" ref="L141">INT(SUMPRODUCT(--ISNUMBER(SEARCH(healthcare,C141)))&gt;0)</f>
        <v>0</v>
      </c>
      <c r="M141" s="14" cm="1">
        <f t="array" ref="M141">INT(SUMPRODUCT(--ISNUMBER(SEARCH(supreme,C141)))&gt;0)</f>
        <v>0</v>
      </c>
      <c r="N141" s="14" cm="1">
        <f t="array" ref="N141">INT(SUMPRODUCT(--ISNUMBER(SEARCH(covid,C141)))&gt;0)</f>
        <v>1</v>
      </c>
      <c r="O141" s="14" cm="1">
        <f t="array" ref="O141">INT(SUMPRODUCT(--ISNUMBER(SEARCH(violent,C141)))&gt;0)</f>
        <v>0</v>
      </c>
      <c r="P141" s="14" cm="1">
        <f t="array" ref="P141">INT(SUMPRODUCT(--ISNUMBER(SEARCH(foreign,C141)))&gt;0)</f>
        <v>0</v>
      </c>
      <c r="Q141" s="14" cm="1">
        <f t="array" ref="Q141">INT(SUMPRODUCT(--ISNUMBER(SEARCH(gun,C141)))&gt;0)</f>
        <v>0</v>
      </c>
      <c r="R141" s="14" cm="1">
        <f t="array" ref="R141">INT(SUMPRODUCT(--ISNUMBER(SEARCH(race,C141)))&gt;0)</f>
        <v>0</v>
      </c>
      <c r="S141" s="14" cm="1">
        <f t="array" ref="S141">INT(SUMPRODUCT(--ISNUMBER(SEARCH(immigration,C141)))&gt;0)</f>
        <v>0</v>
      </c>
      <c r="T141" s="14" cm="1">
        <f t="array" ref="T141">INT(SUMPRODUCT(--ISNUMBER(SEARCH(econineq,C142)))&gt;0)</f>
        <v>0</v>
      </c>
      <c r="U141" s="14" cm="1">
        <f t="array" ref="U141">INT(SUMPRODUCT(--ISNUMBER(SEARCH(climate,C141)))&gt;0)</f>
        <v>0</v>
      </c>
      <c r="V141" s="14" cm="1">
        <f t="array" ref="V141">INT(SUMPRODUCT(--ISNUMBER(SEARCH(abortion,C141)))&gt;0)</f>
        <v>0</v>
      </c>
      <c r="W141" s="14" cm="1">
        <f t="array" ref="W141">INT(SUMPRODUCT(--ISNUMBER(SEARCH(trump,C141)))&gt;0)</f>
        <v>0</v>
      </c>
      <c r="X141" s="14" cm="1">
        <f t="array" ref="X141">INT(SUMPRODUCT(--ISNUMBER(SEARCH(voting,C141)))&gt;0)</f>
        <v>1</v>
      </c>
      <c r="Y141" s="14" cm="1">
        <f t="array" ref="Y141">INT(SUMPRODUCT(--ISNUMBER(SEARCH(democrattrigger,C141)))&gt;0)</f>
        <v>0</v>
      </c>
      <c r="Z141" s="14" cm="1">
        <f t="array" ref="Z141">INT(SUMPRODUCT(--ISNUMBER(SEARCH(bipartisan,C141)))&gt;0)</f>
        <v>0</v>
      </c>
      <c r="AA141" s="14">
        <f t="shared" si="2"/>
        <v>0</v>
      </c>
      <c r="AB141" s="14"/>
      <c r="AC141" s="30">
        <v>1</v>
      </c>
      <c r="AD141" s="37">
        <v>0</v>
      </c>
    </row>
    <row r="142" spans="1:30" x14ac:dyDescent="0.25">
      <c r="A142" s="36">
        <v>1605</v>
      </c>
      <c r="B142" s="14" t="s">
        <v>3237</v>
      </c>
      <c r="C142" s="14" t="s">
        <v>3238</v>
      </c>
      <c r="D142" s="17">
        <v>44131</v>
      </c>
      <c r="E142" s="14" t="s">
        <v>30</v>
      </c>
      <c r="F142" s="14">
        <v>589</v>
      </c>
      <c r="G142" s="14">
        <v>193</v>
      </c>
      <c r="H142" s="14">
        <v>8</v>
      </c>
      <c r="I142" s="14">
        <v>4</v>
      </c>
      <c r="J142" s="14" t="s">
        <v>204</v>
      </c>
      <c r="K142" s="14" cm="1">
        <f t="array" ref="K142">INT(SUMPRODUCT(--ISNUMBER(SEARCH(economy,C142)))&gt;0)</f>
        <v>0</v>
      </c>
      <c r="L142" s="14" cm="1">
        <f t="array" ref="L142">INT(SUMPRODUCT(--ISNUMBER(SEARCH(healthcare,C142)))&gt;0)</f>
        <v>0</v>
      </c>
      <c r="M142" s="14" cm="1">
        <f t="array" ref="M142">INT(SUMPRODUCT(--ISNUMBER(SEARCH(supreme,C142)))&gt;0)</f>
        <v>0</v>
      </c>
      <c r="N142" s="14" cm="1">
        <f t="array" ref="N142">INT(SUMPRODUCT(--ISNUMBER(SEARCH(covid,C142)))&gt;0)</f>
        <v>1</v>
      </c>
      <c r="O142" s="14" cm="1">
        <f t="array" ref="O142">INT(SUMPRODUCT(--ISNUMBER(SEARCH(violent,C142)))&gt;0)</f>
        <v>0</v>
      </c>
      <c r="P142" s="14" cm="1">
        <f t="array" ref="P142">INT(SUMPRODUCT(--ISNUMBER(SEARCH(foreign,C142)))&gt;0)</f>
        <v>0</v>
      </c>
      <c r="Q142" s="14" cm="1">
        <f t="array" ref="Q142">INT(SUMPRODUCT(--ISNUMBER(SEARCH(gun,C142)))&gt;0)</f>
        <v>0</v>
      </c>
      <c r="R142" s="14" cm="1">
        <f t="array" ref="R142">INT(SUMPRODUCT(--ISNUMBER(SEARCH(race,C142)))&gt;0)</f>
        <v>0</v>
      </c>
      <c r="S142" s="14" cm="1">
        <f t="array" ref="S142">INT(SUMPRODUCT(--ISNUMBER(SEARCH(immigration,C142)))&gt;0)</f>
        <v>0</v>
      </c>
      <c r="T142" s="14" cm="1">
        <f t="array" ref="T142">INT(SUMPRODUCT(--ISNUMBER(SEARCH(econineq,C143)))&gt;0)</f>
        <v>0</v>
      </c>
      <c r="U142" s="14" cm="1">
        <f t="array" ref="U142">INT(SUMPRODUCT(--ISNUMBER(SEARCH(climate,C142)))&gt;0)</f>
        <v>0</v>
      </c>
      <c r="V142" s="14" cm="1">
        <f t="array" ref="V142">INT(SUMPRODUCT(--ISNUMBER(SEARCH(abortion,C142)))&gt;0)</f>
        <v>0</v>
      </c>
      <c r="W142" s="14" cm="1">
        <f t="array" ref="W142">INT(SUMPRODUCT(--ISNUMBER(SEARCH(trump,C142)))&gt;0)</f>
        <v>0</v>
      </c>
      <c r="X142" s="14" cm="1">
        <f t="array" ref="X142">INT(SUMPRODUCT(--ISNUMBER(SEARCH(voting,C142)))&gt;0)</f>
        <v>1</v>
      </c>
      <c r="Y142" s="14" cm="1">
        <f t="array" ref="Y142">INT(SUMPRODUCT(--ISNUMBER(SEARCH(democrattrigger,C142)))&gt;0)</f>
        <v>0</v>
      </c>
      <c r="Z142" s="14" cm="1">
        <f t="array" ref="Z142">INT(SUMPRODUCT(--ISNUMBER(SEARCH(bipartisan,C142)))&gt;0)</f>
        <v>0</v>
      </c>
      <c r="AA142" s="14">
        <f t="shared" si="2"/>
        <v>0</v>
      </c>
      <c r="AB142" s="14"/>
      <c r="AC142" s="30" t="s">
        <v>223</v>
      </c>
      <c r="AD142" s="37" t="s">
        <v>223</v>
      </c>
    </row>
    <row r="143" spans="1:30" x14ac:dyDescent="0.25">
      <c r="A143" s="36">
        <v>1606</v>
      </c>
      <c r="B143" s="14" t="s">
        <v>3239</v>
      </c>
      <c r="C143" s="14" t="s">
        <v>3240</v>
      </c>
      <c r="D143" s="17">
        <v>44131</v>
      </c>
      <c r="E143" s="14" t="s">
        <v>30</v>
      </c>
      <c r="F143" s="14">
        <v>365</v>
      </c>
      <c r="G143" s="14">
        <v>124</v>
      </c>
      <c r="H143" s="14">
        <v>8</v>
      </c>
      <c r="I143" s="14">
        <v>4</v>
      </c>
      <c r="J143" s="14" t="s">
        <v>204</v>
      </c>
      <c r="K143" s="14" cm="1">
        <f t="array" ref="K143">INT(SUMPRODUCT(--ISNUMBER(SEARCH(economy,C143)))&gt;0)</f>
        <v>0</v>
      </c>
      <c r="L143" s="14" cm="1">
        <f t="array" ref="L143">INT(SUMPRODUCT(--ISNUMBER(SEARCH(healthcare,C143)))&gt;0)</f>
        <v>0</v>
      </c>
      <c r="M143" s="14" cm="1">
        <f t="array" ref="M143">INT(SUMPRODUCT(--ISNUMBER(SEARCH(supreme,C143)))&gt;0)</f>
        <v>0</v>
      </c>
      <c r="N143" s="14" cm="1">
        <f t="array" ref="N143">INT(SUMPRODUCT(--ISNUMBER(SEARCH(covid,C143)))&gt;0)</f>
        <v>1</v>
      </c>
      <c r="O143" s="14" cm="1">
        <f t="array" ref="O143">INT(SUMPRODUCT(--ISNUMBER(SEARCH(violent,C143)))&gt;0)</f>
        <v>0</v>
      </c>
      <c r="P143" s="14" cm="1">
        <f t="array" ref="P143">INT(SUMPRODUCT(--ISNUMBER(SEARCH(foreign,C143)))&gt;0)</f>
        <v>0</v>
      </c>
      <c r="Q143" s="14" cm="1">
        <f t="array" ref="Q143">INT(SUMPRODUCT(--ISNUMBER(SEARCH(gun,C143)))&gt;0)</f>
        <v>0</v>
      </c>
      <c r="R143" s="14" cm="1">
        <f t="array" ref="R143">INT(SUMPRODUCT(--ISNUMBER(SEARCH(race,C143)))&gt;0)</f>
        <v>0</v>
      </c>
      <c r="S143" s="14" cm="1">
        <f t="array" ref="S143">INT(SUMPRODUCT(--ISNUMBER(SEARCH(immigration,C143)))&gt;0)</f>
        <v>0</v>
      </c>
      <c r="T143" s="14" cm="1">
        <f t="array" ref="T143">INT(SUMPRODUCT(--ISNUMBER(SEARCH(econineq,C144)))&gt;0)</f>
        <v>0</v>
      </c>
      <c r="U143" s="14" cm="1">
        <f t="array" ref="U143">INT(SUMPRODUCT(--ISNUMBER(SEARCH(climate,C143)))&gt;0)</f>
        <v>0</v>
      </c>
      <c r="V143" s="14" cm="1">
        <f t="array" ref="V143">INT(SUMPRODUCT(--ISNUMBER(SEARCH(abortion,C143)))&gt;0)</f>
        <v>0</v>
      </c>
      <c r="W143" s="14" cm="1">
        <f t="array" ref="W143">INT(SUMPRODUCT(--ISNUMBER(SEARCH(trump,C143)))&gt;0)</f>
        <v>0</v>
      </c>
      <c r="X143" s="14" cm="1">
        <f t="array" ref="X143">INT(SUMPRODUCT(--ISNUMBER(SEARCH(voting,C143)))&gt;0)</f>
        <v>1</v>
      </c>
      <c r="Y143" s="14" cm="1">
        <f t="array" ref="Y143">INT(SUMPRODUCT(--ISNUMBER(SEARCH(democrattrigger,C143)))&gt;0)</f>
        <v>0</v>
      </c>
      <c r="Z143" s="14" cm="1">
        <f t="array" ref="Z143">INT(SUMPRODUCT(--ISNUMBER(SEARCH(bipartisan,C143)))&gt;0)</f>
        <v>0</v>
      </c>
      <c r="AA143" s="14">
        <f t="shared" si="2"/>
        <v>0</v>
      </c>
      <c r="AB143" s="14"/>
      <c r="AC143" s="30" t="s">
        <v>223</v>
      </c>
      <c r="AD143" s="37" t="s">
        <v>223</v>
      </c>
    </row>
    <row r="144" spans="1:30" x14ac:dyDescent="0.25">
      <c r="A144" s="36">
        <v>1607</v>
      </c>
      <c r="B144" s="14" t="s">
        <v>3241</v>
      </c>
      <c r="C144" s="14" t="s">
        <v>3242</v>
      </c>
      <c r="D144" s="17">
        <v>44131</v>
      </c>
      <c r="E144" s="14" t="s">
        <v>30</v>
      </c>
      <c r="F144" s="14">
        <v>689</v>
      </c>
      <c r="G144" s="14">
        <v>133</v>
      </c>
      <c r="H144" s="14">
        <v>8</v>
      </c>
      <c r="I144" s="14">
        <v>4</v>
      </c>
      <c r="J144" s="14" t="s">
        <v>204</v>
      </c>
      <c r="K144" s="14" cm="1">
        <f t="array" ref="K144">INT(SUMPRODUCT(--ISNUMBER(SEARCH(economy,C144)))&gt;0)</f>
        <v>0</v>
      </c>
      <c r="L144" s="14" cm="1">
        <f t="array" ref="L144">INT(SUMPRODUCT(--ISNUMBER(SEARCH(healthcare,C144)))&gt;0)</f>
        <v>0</v>
      </c>
      <c r="M144" s="14" cm="1">
        <f t="array" ref="M144">INT(SUMPRODUCT(--ISNUMBER(SEARCH(supreme,C144)))&gt;0)</f>
        <v>0</v>
      </c>
      <c r="N144" s="14" cm="1">
        <f t="array" ref="N144">INT(SUMPRODUCT(--ISNUMBER(SEARCH(covid,C144)))&gt;0)</f>
        <v>0</v>
      </c>
      <c r="O144" s="14" cm="1">
        <f t="array" ref="O144">INT(SUMPRODUCT(--ISNUMBER(SEARCH(violent,C144)))&gt;0)</f>
        <v>0</v>
      </c>
      <c r="P144" s="14" cm="1">
        <f t="array" ref="P144">INT(SUMPRODUCT(--ISNUMBER(SEARCH(foreign,C144)))&gt;0)</f>
        <v>1</v>
      </c>
      <c r="Q144" s="14" cm="1">
        <f t="array" ref="Q144">INT(SUMPRODUCT(--ISNUMBER(SEARCH(gun,C144)))&gt;0)</f>
        <v>0</v>
      </c>
      <c r="R144" s="14" cm="1">
        <f t="array" ref="R144">INT(SUMPRODUCT(--ISNUMBER(SEARCH(race,C144)))&gt;0)</f>
        <v>0</v>
      </c>
      <c r="S144" s="14" cm="1">
        <f t="array" ref="S144">INT(SUMPRODUCT(--ISNUMBER(SEARCH(immigration,C144)))&gt;0)</f>
        <v>0</v>
      </c>
      <c r="T144" s="14" cm="1">
        <f t="array" ref="T144">INT(SUMPRODUCT(--ISNUMBER(SEARCH(econineq,C145)))&gt;0)</f>
        <v>0</v>
      </c>
      <c r="U144" s="14" cm="1">
        <f t="array" ref="U144">INT(SUMPRODUCT(--ISNUMBER(SEARCH(climate,C144)))&gt;0)</f>
        <v>0</v>
      </c>
      <c r="V144" s="14" cm="1">
        <f t="array" ref="V144">INT(SUMPRODUCT(--ISNUMBER(SEARCH(abortion,C144)))&gt;0)</f>
        <v>0</v>
      </c>
      <c r="W144" s="14" cm="1">
        <f t="array" ref="W144">INT(SUMPRODUCT(--ISNUMBER(SEARCH(trump,C144)))&gt;0)</f>
        <v>0</v>
      </c>
      <c r="X144" s="14" cm="1">
        <f t="array" ref="X144">INT(SUMPRODUCT(--ISNUMBER(SEARCH(voting,C144)))&gt;0)</f>
        <v>1</v>
      </c>
      <c r="Y144" s="14" cm="1">
        <f t="array" ref="Y144">INT(SUMPRODUCT(--ISNUMBER(SEARCH(democrattrigger,C144)))&gt;0)</f>
        <v>0</v>
      </c>
      <c r="Z144" s="14" cm="1">
        <f t="array" ref="Z144">INT(SUMPRODUCT(--ISNUMBER(SEARCH(bipartisan,C144)))&gt;0)</f>
        <v>0</v>
      </c>
      <c r="AA144" s="14">
        <f t="shared" si="2"/>
        <v>0</v>
      </c>
      <c r="AB144" s="14"/>
      <c r="AC144" s="30">
        <v>1</v>
      </c>
      <c r="AD144" s="37">
        <v>0</v>
      </c>
    </row>
    <row r="145" spans="1:30" x14ac:dyDescent="0.25">
      <c r="A145" s="36">
        <v>1608</v>
      </c>
      <c r="B145" s="14" t="s">
        <v>3243</v>
      </c>
      <c r="C145" s="14" t="s">
        <v>3244</v>
      </c>
      <c r="D145" s="17">
        <v>44131</v>
      </c>
      <c r="E145" s="14" t="s">
        <v>30</v>
      </c>
      <c r="F145" s="14">
        <v>1780</v>
      </c>
      <c r="G145" s="14">
        <v>521</v>
      </c>
      <c r="H145" s="14">
        <v>8</v>
      </c>
      <c r="I145" s="14">
        <v>4</v>
      </c>
      <c r="J145" s="14" t="s">
        <v>204</v>
      </c>
      <c r="K145" s="14" cm="1">
        <f t="array" ref="K145">INT(SUMPRODUCT(--ISNUMBER(SEARCH(economy,C145)))&gt;0)</f>
        <v>1</v>
      </c>
      <c r="L145" s="14" cm="1">
        <f t="array" ref="L145">INT(SUMPRODUCT(--ISNUMBER(SEARCH(healthcare,C145)))&gt;0)</f>
        <v>1</v>
      </c>
      <c r="M145" s="14" cm="1">
        <f t="array" ref="M145">INT(SUMPRODUCT(--ISNUMBER(SEARCH(supreme,C145)))&gt;0)</f>
        <v>1</v>
      </c>
      <c r="N145" s="14" cm="1">
        <f t="array" ref="N145">INT(SUMPRODUCT(--ISNUMBER(SEARCH(covid,C145)))&gt;0)</f>
        <v>0</v>
      </c>
      <c r="O145" s="14" cm="1">
        <f t="array" ref="O145">INT(SUMPRODUCT(--ISNUMBER(SEARCH(violent,C145)))&gt;0)</f>
        <v>0</v>
      </c>
      <c r="P145" s="14" cm="1">
        <f t="array" ref="P145">INT(SUMPRODUCT(--ISNUMBER(SEARCH(foreign,C145)))&gt;0)</f>
        <v>0</v>
      </c>
      <c r="Q145" s="14" cm="1">
        <f t="array" ref="Q145">INT(SUMPRODUCT(--ISNUMBER(SEARCH(gun,C145)))&gt;0)</f>
        <v>0</v>
      </c>
      <c r="R145" s="14" cm="1">
        <f t="array" ref="R145">INT(SUMPRODUCT(--ISNUMBER(SEARCH(race,C145)))&gt;0)</f>
        <v>0</v>
      </c>
      <c r="S145" s="14" cm="1">
        <f t="array" ref="S145">INT(SUMPRODUCT(--ISNUMBER(SEARCH(immigration,C145)))&gt;0)</f>
        <v>0</v>
      </c>
      <c r="T145" s="14" cm="1">
        <f t="array" ref="T145">INT(SUMPRODUCT(--ISNUMBER(SEARCH(econineq,C146)))&gt;0)</f>
        <v>1</v>
      </c>
      <c r="U145" s="14" cm="1">
        <f t="array" ref="U145">INT(SUMPRODUCT(--ISNUMBER(SEARCH(climate,C145)))&gt;0)</f>
        <v>0</v>
      </c>
      <c r="V145" s="14" cm="1">
        <f t="array" ref="V145">INT(SUMPRODUCT(--ISNUMBER(SEARCH(abortion,C145)))&gt;0)</f>
        <v>0</v>
      </c>
      <c r="W145" s="14" cm="1">
        <f t="array" ref="W145">INT(SUMPRODUCT(--ISNUMBER(SEARCH(trump,C145)))&gt;0)</f>
        <v>1</v>
      </c>
      <c r="X145" s="14" cm="1">
        <f t="array" ref="X145">INT(SUMPRODUCT(--ISNUMBER(SEARCH(voting,C145)))&gt;0)</f>
        <v>1</v>
      </c>
      <c r="Y145" s="14" cm="1">
        <f t="array" ref="Y145">INT(SUMPRODUCT(--ISNUMBER(SEARCH(democrattrigger,C145)))&gt;0)</f>
        <v>1</v>
      </c>
      <c r="Z145" s="14" cm="1">
        <f t="array" ref="Z145">INT(SUMPRODUCT(--ISNUMBER(SEARCH(bipartisan,C145)))&gt;0)</f>
        <v>0</v>
      </c>
      <c r="AA145" s="14">
        <f t="shared" si="2"/>
        <v>0</v>
      </c>
      <c r="AB145" s="14"/>
      <c r="AC145" s="30">
        <v>0</v>
      </c>
      <c r="AD145" s="37">
        <v>1</v>
      </c>
    </row>
    <row r="146" spans="1:30" x14ac:dyDescent="0.25">
      <c r="A146" s="36">
        <v>1609</v>
      </c>
      <c r="B146" s="14" t="s">
        <v>3245</v>
      </c>
      <c r="C146" s="14" t="s">
        <v>3246</v>
      </c>
      <c r="D146" s="17">
        <v>44131</v>
      </c>
      <c r="E146" s="14" t="s">
        <v>30</v>
      </c>
      <c r="F146" s="14">
        <v>949</v>
      </c>
      <c r="G146" s="14">
        <v>225</v>
      </c>
      <c r="H146" s="14">
        <v>8</v>
      </c>
      <c r="I146" s="14">
        <v>4</v>
      </c>
      <c r="J146" s="14" t="s">
        <v>204</v>
      </c>
      <c r="K146" s="14" cm="1">
        <f t="array" ref="K146">INT(SUMPRODUCT(--ISNUMBER(SEARCH(economy,C146)))&gt;0)</f>
        <v>0</v>
      </c>
      <c r="L146" s="14" cm="1">
        <f t="array" ref="L146">INT(SUMPRODUCT(--ISNUMBER(SEARCH(healthcare,C146)))&gt;0)</f>
        <v>0</v>
      </c>
      <c r="M146" s="14" cm="1">
        <f t="array" ref="M146">INT(SUMPRODUCT(--ISNUMBER(SEARCH(supreme,C146)))&gt;0)</f>
        <v>0</v>
      </c>
      <c r="N146" s="14" cm="1">
        <f t="array" ref="N146">INT(SUMPRODUCT(--ISNUMBER(SEARCH(covid,C146)))&gt;0)</f>
        <v>0</v>
      </c>
      <c r="O146" s="14" cm="1">
        <f t="array" ref="O146">INT(SUMPRODUCT(--ISNUMBER(SEARCH(violent,C146)))&gt;0)</f>
        <v>0</v>
      </c>
      <c r="P146" s="14" cm="1">
        <f t="array" ref="P146">INT(SUMPRODUCT(--ISNUMBER(SEARCH(foreign,C146)))&gt;0)</f>
        <v>0</v>
      </c>
      <c r="Q146" s="14" cm="1">
        <f t="array" ref="Q146">INT(SUMPRODUCT(--ISNUMBER(SEARCH(gun,C146)))&gt;0)</f>
        <v>0</v>
      </c>
      <c r="R146" s="14" cm="1">
        <f t="array" ref="R146">INT(SUMPRODUCT(--ISNUMBER(SEARCH(race,C146)))&gt;0)</f>
        <v>0</v>
      </c>
      <c r="S146" s="14" cm="1">
        <f t="array" ref="S146">INT(SUMPRODUCT(--ISNUMBER(SEARCH(immigration,C146)))&gt;0)</f>
        <v>0</v>
      </c>
      <c r="T146" s="14" cm="1">
        <f t="array" ref="T146">INT(SUMPRODUCT(--ISNUMBER(SEARCH(econineq,C147)))&gt;0)</f>
        <v>0</v>
      </c>
      <c r="U146" s="14" cm="1">
        <f t="array" ref="U146">INT(SUMPRODUCT(--ISNUMBER(SEARCH(climate,C146)))&gt;0)</f>
        <v>0</v>
      </c>
      <c r="V146" s="14" cm="1">
        <f t="array" ref="V146">INT(SUMPRODUCT(--ISNUMBER(SEARCH(abortion,C146)))&gt;0)</f>
        <v>0</v>
      </c>
      <c r="W146" s="14" cm="1">
        <f t="array" ref="W146">INT(SUMPRODUCT(--ISNUMBER(SEARCH(trump,C146)))&gt;0)</f>
        <v>0</v>
      </c>
      <c r="X146" s="14" cm="1">
        <f t="array" ref="X146">INT(SUMPRODUCT(--ISNUMBER(SEARCH(voting,C146)))&gt;0)</f>
        <v>0</v>
      </c>
      <c r="Y146" s="14" cm="1">
        <f t="array" ref="Y146">INT(SUMPRODUCT(--ISNUMBER(SEARCH(democrattrigger,C146)))&gt;0)</f>
        <v>0</v>
      </c>
      <c r="Z146" s="14" cm="1">
        <f t="array" ref="Z146">INT(SUMPRODUCT(--ISNUMBER(SEARCH(bipartisan,C146)))&gt;0)</f>
        <v>0</v>
      </c>
      <c r="AA146" s="14">
        <f t="shared" si="2"/>
        <v>1</v>
      </c>
      <c r="AB146" s="14"/>
      <c r="AC146" s="30">
        <v>1</v>
      </c>
      <c r="AD146" s="37">
        <v>0</v>
      </c>
    </row>
    <row r="147" spans="1:30" x14ac:dyDescent="0.25">
      <c r="A147" s="36">
        <v>1610</v>
      </c>
      <c r="B147" s="14" t="s">
        <v>3247</v>
      </c>
      <c r="C147" s="14" t="s">
        <v>3248</v>
      </c>
      <c r="D147" s="17">
        <v>44131</v>
      </c>
      <c r="E147" s="14" t="s">
        <v>30</v>
      </c>
      <c r="F147" s="14">
        <v>1071</v>
      </c>
      <c r="G147" s="14">
        <v>278</v>
      </c>
      <c r="H147" s="14">
        <v>8</v>
      </c>
      <c r="I147" s="14">
        <v>4</v>
      </c>
      <c r="J147" s="14" t="s">
        <v>204</v>
      </c>
      <c r="K147" s="14" cm="1">
        <f t="array" ref="K147">INT(SUMPRODUCT(--ISNUMBER(SEARCH(economy,C147)))&gt;0)</f>
        <v>0</v>
      </c>
      <c r="L147" s="14" cm="1">
        <f t="array" ref="L147">INT(SUMPRODUCT(--ISNUMBER(SEARCH(healthcare,C147)))&gt;0)</f>
        <v>0</v>
      </c>
      <c r="M147" s="14" cm="1">
        <f t="array" ref="M147">INT(SUMPRODUCT(--ISNUMBER(SEARCH(supreme,C147)))&gt;0)</f>
        <v>0</v>
      </c>
      <c r="N147" s="14" cm="1">
        <f t="array" ref="N147">INT(SUMPRODUCT(--ISNUMBER(SEARCH(covid,C147)))&gt;0)</f>
        <v>0</v>
      </c>
      <c r="O147" s="14" cm="1">
        <f t="array" ref="O147">INT(SUMPRODUCT(--ISNUMBER(SEARCH(violent,C147)))&gt;0)</f>
        <v>0</v>
      </c>
      <c r="P147" s="14" cm="1">
        <f t="array" ref="P147">INT(SUMPRODUCT(--ISNUMBER(SEARCH(foreign,C147)))&gt;0)</f>
        <v>0</v>
      </c>
      <c r="Q147" s="14" cm="1">
        <f t="array" ref="Q147">INT(SUMPRODUCT(--ISNUMBER(SEARCH(gun,C147)))&gt;0)</f>
        <v>0</v>
      </c>
      <c r="R147" s="14" cm="1">
        <f t="array" ref="R147">INT(SUMPRODUCT(--ISNUMBER(SEARCH(race,C147)))&gt;0)</f>
        <v>0</v>
      </c>
      <c r="S147" s="14" cm="1">
        <f t="array" ref="S147">INT(SUMPRODUCT(--ISNUMBER(SEARCH(immigration,C147)))&gt;0)</f>
        <v>0</v>
      </c>
      <c r="T147" s="14" cm="1">
        <f t="array" ref="T147">INT(SUMPRODUCT(--ISNUMBER(SEARCH(econineq,C148)))&gt;0)</f>
        <v>0</v>
      </c>
      <c r="U147" s="14" cm="1">
        <f t="array" ref="U147">INT(SUMPRODUCT(--ISNUMBER(SEARCH(climate,C147)))&gt;0)</f>
        <v>0</v>
      </c>
      <c r="V147" s="14" cm="1">
        <f t="array" ref="V147">INT(SUMPRODUCT(--ISNUMBER(SEARCH(abortion,C147)))&gt;0)</f>
        <v>0</v>
      </c>
      <c r="W147" s="14" cm="1">
        <f t="array" ref="W147">INT(SUMPRODUCT(--ISNUMBER(SEARCH(trump,C147)))&gt;0)</f>
        <v>0</v>
      </c>
      <c r="X147" s="14" cm="1">
        <f t="array" ref="X147">INT(SUMPRODUCT(--ISNUMBER(SEARCH(voting,C147)))&gt;0)</f>
        <v>1</v>
      </c>
      <c r="Y147" s="14" cm="1">
        <f t="array" ref="Y147">INT(SUMPRODUCT(--ISNUMBER(SEARCH(democrattrigger,C147)))&gt;0)</f>
        <v>0</v>
      </c>
      <c r="Z147" s="14" cm="1">
        <f t="array" ref="Z147">INT(SUMPRODUCT(--ISNUMBER(SEARCH(bipartisan,C147)))&gt;0)</f>
        <v>0</v>
      </c>
      <c r="AA147" s="14">
        <f t="shared" si="2"/>
        <v>0</v>
      </c>
      <c r="AB147" s="14"/>
      <c r="AC147" s="30">
        <v>0</v>
      </c>
      <c r="AD147" s="37">
        <v>1</v>
      </c>
    </row>
    <row r="148" spans="1:30" x14ac:dyDescent="0.25">
      <c r="A148" s="36">
        <v>1611</v>
      </c>
      <c r="B148" s="14" t="s">
        <v>3249</v>
      </c>
      <c r="C148" s="14" t="s">
        <v>3250</v>
      </c>
      <c r="D148" s="17">
        <v>44131</v>
      </c>
      <c r="E148" s="14" t="s">
        <v>30</v>
      </c>
      <c r="F148" s="14">
        <v>1040</v>
      </c>
      <c r="G148" s="14">
        <v>227</v>
      </c>
      <c r="H148" s="14">
        <v>8</v>
      </c>
      <c r="I148" s="14">
        <v>4</v>
      </c>
      <c r="J148" s="14" t="s">
        <v>204</v>
      </c>
      <c r="K148" s="14" cm="1">
        <f t="array" ref="K148">INT(SUMPRODUCT(--ISNUMBER(SEARCH(economy,C148)))&gt;0)</f>
        <v>0</v>
      </c>
      <c r="L148" s="14" cm="1">
        <f t="array" ref="L148">INT(SUMPRODUCT(--ISNUMBER(SEARCH(healthcare,C148)))&gt;0)</f>
        <v>1</v>
      </c>
      <c r="M148" s="14" cm="1">
        <f t="array" ref="M148">INT(SUMPRODUCT(--ISNUMBER(SEARCH(supreme,C148)))&gt;0)</f>
        <v>0</v>
      </c>
      <c r="N148" s="14" cm="1">
        <f t="array" ref="N148">INT(SUMPRODUCT(--ISNUMBER(SEARCH(covid,C148)))&gt;0)</f>
        <v>0</v>
      </c>
      <c r="O148" s="14" cm="1">
        <f t="array" ref="O148">INT(SUMPRODUCT(--ISNUMBER(SEARCH(violent,C148)))&gt;0)</f>
        <v>0</v>
      </c>
      <c r="P148" s="14" cm="1">
        <f t="array" ref="P148">INT(SUMPRODUCT(--ISNUMBER(SEARCH(foreign,C148)))&gt;0)</f>
        <v>0</v>
      </c>
      <c r="Q148" s="14" cm="1">
        <f t="array" ref="Q148">INT(SUMPRODUCT(--ISNUMBER(SEARCH(gun,C148)))&gt;0)</f>
        <v>0</v>
      </c>
      <c r="R148" s="14" cm="1">
        <f t="array" ref="R148">INT(SUMPRODUCT(--ISNUMBER(SEARCH(race,C148)))&gt;0)</f>
        <v>0</v>
      </c>
      <c r="S148" s="14" cm="1">
        <f t="array" ref="S148">INT(SUMPRODUCT(--ISNUMBER(SEARCH(immigration,C148)))&gt;0)</f>
        <v>0</v>
      </c>
      <c r="T148" s="14" cm="1">
        <f t="array" ref="T148">INT(SUMPRODUCT(--ISNUMBER(SEARCH(econineq,C149)))&gt;0)</f>
        <v>0</v>
      </c>
      <c r="U148" s="14" cm="1">
        <f t="array" ref="U148">INT(SUMPRODUCT(--ISNUMBER(SEARCH(climate,C148)))&gt;0)</f>
        <v>1</v>
      </c>
      <c r="V148" s="14" cm="1">
        <f t="array" ref="V148">INT(SUMPRODUCT(--ISNUMBER(SEARCH(abortion,C148)))&gt;0)</f>
        <v>0</v>
      </c>
      <c r="W148" s="14" cm="1">
        <f t="array" ref="W148">INT(SUMPRODUCT(--ISNUMBER(SEARCH(trump,C148)))&gt;0)</f>
        <v>0</v>
      </c>
      <c r="X148" s="14" cm="1">
        <f t="array" ref="X148">INT(SUMPRODUCT(--ISNUMBER(SEARCH(voting,C148)))&gt;0)</f>
        <v>1</v>
      </c>
      <c r="Y148" s="14" cm="1">
        <f t="array" ref="Y148">INT(SUMPRODUCT(--ISNUMBER(SEARCH(democrattrigger,C148)))&gt;0)</f>
        <v>0</v>
      </c>
      <c r="Z148" s="14" cm="1">
        <f t="array" ref="Z148">INT(SUMPRODUCT(--ISNUMBER(SEARCH(bipartisan,C148)))&gt;0)</f>
        <v>1</v>
      </c>
      <c r="AA148" s="14">
        <f t="shared" si="2"/>
        <v>0</v>
      </c>
      <c r="AB148" s="14"/>
      <c r="AC148" s="30" t="s">
        <v>223</v>
      </c>
      <c r="AD148" s="37" t="s">
        <v>223</v>
      </c>
    </row>
    <row r="149" spans="1:30" x14ac:dyDescent="0.25">
      <c r="A149" s="36">
        <v>1612</v>
      </c>
      <c r="B149" s="14" t="s">
        <v>3251</v>
      </c>
      <c r="C149" s="14" t="s">
        <v>3252</v>
      </c>
      <c r="D149" s="17">
        <v>44131</v>
      </c>
      <c r="E149" s="14" t="s">
        <v>30</v>
      </c>
      <c r="F149" s="14">
        <v>1141</v>
      </c>
      <c r="G149" s="14">
        <v>330</v>
      </c>
      <c r="H149" s="14">
        <v>8</v>
      </c>
      <c r="I149" s="14">
        <v>4</v>
      </c>
      <c r="J149" s="14" t="s">
        <v>204</v>
      </c>
      <c r="K149" s="14" cm="1">
        <f t="array" ref="K149">INT(SUMPRODUCT(--ISNUMBER(SEARCH(economy,C149)))&gt;0)</f>
        <v>0</v>
      </c>
      <c r="L149" s="14" cm="1">
        <f t="array" ref="L149">INT(SUMPRODUCT(--ISNUMBER(SEARCH(healthcare,C149)))&gt;0)</f>
        <v>0</v>
      </c>
      <c r="M149" s="14" cm="1">
        <f t="array" ref="M149">INT(SUMPRODUCT(--ISNUMBER(SEARCH(supreme,C149)))&gt;0)</f>
        <v>0</v>
      </c>
      <c r="N149" s="14" cm="1">
        <f t="array" ref="N149">INT(SUMPRODUCT(--ISNUMBER(SEARCH(covid,C149)))&gt;0)</f>
        <v>0</v>
      </c>
      <c r="O149" s="14" cm="1">
        <f t="array" ref="O149">INT(SUMPRODUCT(--ISNUMBER(SEARCH(violent,C149)))&gt;0)</f>
        <v>0</v>
      </c>
      <c r="P149" s="14" cm="1">
        <f t="array" ref="P149">INT(SUMPRODUCT(--ISNUMBER(SEARCH(foreign,C149)))&gt;0)</f>
        <v>0</v>
      </c>
      <c r="Q149" s="14" cm="1">
        <f t="array" ref="Q149">INT(SUMPRODUCT(--ISNUMBER(SEARCH(gun,C149)))&gt;0)</f>
        <v>0</v>
      </c>
      <c r="R149" s="14" cm="1">
        <f t="array" ref="R149">INT(SUMPRODUCT(--ISNUMBER(SEARCH(race,C149)))&gt;0)</f>
        <v>0</v>
      </c>
      <c r="S149" s="14" cm="1">
        <f t="array" ref="S149">INT(SUMPRODUCT(--ISNUMBER(SEARCH(immigration,C149)))&gt;0)</f>
        <v>0</v>
      </c>
      <c r="T149" s="14" cm="1">
        <f t="array" ref="T149">INT(SUMPRODUCT(--ISNUMBER(SEARCH(econineq,C150)))&gt;0)</f>
        <v>0</v>
      </c>
      <c r="U149" s="14" cm="1">
        <f t="array" ref="U149">INT(SUMPRODUCT(--ISNUMBER(SEARCH(climate,C149)))&gt;0)</f>
        <v>0</v>
      </c>
      <c r="V149" s="14" cm="1">
        <f t="array" ref="V149">INT(SUMPRODUCT(--ISNUMBER(SEARCH(abortion,C149)))&gt;0)</f>
        <v>0</v>
      </c>
      <c r="W149" s="14" cm="1">
        <f t="array" ref="W149">INT(SUMPRODUCT(--ISNUMBER(SEARCH(trump,C149)))&gt;0)</f>
        <v>0</v>
      </c>
      <c r="X149" s="14" cm="1">
        <f t="array" ref="X149">INT(SUMPRODUCT(--ISNUMBER(SEARCH(voting,C149)))&gt;0)</f>
        <v>1</v>
      </c>
      <c r="Y149" s="14" cm="1">
        <f t="array" ref="Y149">INT(SUMPRODUCT(--ISNUMBER(SEARCH(democrattrigger,C149)))&gt;0)</f>
        <v>0</v>
      </c>
      <c r="Z149" s="14" cm="1">
        <f t="array" ref="Z149">INT(SUMPRODUCT(--ISNUMBER(SEARCH(bipartisan,C149)))&gt;0)</f>
        <v>0</v>
      </c>
      <c r="AA149" s="14">
        <f t="shared" si="2"/>
        <v>0</v>
      </c>
      <c r="AB149" s="14"/>
      <c r="AC149" s="30">
        <v>1</v>
      </c>
      <c r="AD149" s="37">
        <v>1</v>
      </c>
    </row>
    <row r="150" spans="1:30" x14ac:dyDescent="0.25">
      <c r="A150" s="36">
        <v>1613</v>
      </c>
      <c r="B150" s="14" t="s">
        <v>3253</v>
      </c>
      <c r="C150" s="14" t="s">
        <v>3254</v>
      </c>
      <c r="D150" s="17">
        <v>44131</v>
      </c>
      <c r="E150" s="14" t="s">
        <v>70</v>
      </c>
      <c r="F150" s="14">
        <v>1962</v>
      </c>
      <c r="G150" s="14">
        <v>259</v>
      </c>
      <c r="H150" s="14">
        <v>8</v>
      </c>
      <c r="I150" s="14">
        <v>4</v>
      </c>
      <c r="J150" s="14" t="s">
        <v>204</v>
      </c>
      <c r="K150" s="14" cm="1">
        <f t="array" ref="K150">INT(SUMPRODUCT(--ISNUMBER(SEARCH(economy,C150)))&gt;0)</f>
        <v>0</v>
      </c>
      <c r="L150" s="14" cm="1">
        <f t="array" ref="L150">INT(SUMPRODUCT(--ISNUMBER(SEARCH(healthcare,C150)))&gt;0)</f>
        <v>1</v>
      </c>
      <c r="M150" s="14" cm="1">
        <f t="array" ref="M150">INT(SUMPRODUCT(--ISNUMBER(SEARCH(supreme,C150)))&gt;0)</f>
        <v>1</v>
      </c>
      <c r="N150" s="14" cm="1">
        <f t="array" ref="N150">INT(SUMPRODUCT(--ISNUMBER(SEARCH(covid,C150)))&gt;0)</f>
        <v>0</v>
      </c>
      <c r="O150" s="14" cm="1">
        <f t="array" ref="O150">INT(SUMPRODUCT(--ISNUMBER(SEARCH(violent,C150)))&gt;0)</f>
        <v>0</v>
      </c>
      <c r="P150" s="14" cm="1">
        <f t="array" ref="P150">INT(SUMPRODUCT(--ISNUMBER(SEARCH(foreign,C150)))&gt;0)</f>
        <v>0</v>
      </c>
      <c r="Q150" s="14" cm="1">
        <f t="array" ref="Q150">INT(SUMPRODUCT(--ISNUMBER(SEARCH(gun,C150)))&gt;0)</f>
        <v>0</v>
      </c>
      <c r="R150" s="14" cm="1">
        <f t="array" ref="R150">INT(SUMPRODUCT(--ISNUMBER(SEARCH(race,C150)))&gt;0)</f>
        <v>0</v>
      </c>
      <c r="S150" s="14" cm="1">
        <f t="array" ref="S150">INT(SUMPRODUCT(--ISNUMBER(SEARCH(immigration,C150)))&gt;0)</f>
        <v>0</v>
      </c>
      <c r="T150" s="14" cm="1">
        <f t="array" ref="T150">INT(SUMPRODUCT(--ISNUMBER(SEARCH(econineq,C151)))&gt;0)</f>
        <v>0</v>
      </c>
      <c r="U150" s="14" cm="1">
        <f t="array" ref="U150">INT(SUMPRODUCT(--ISNUMBER(SEARCH(climate,C150)))&gt;0)</f>
        <v>0</v>
      </c>
      <c r="V150" s="14" cm="1">
        <f t="array" ref="V150">INT(SUMPRODUCT(--ISNUMBER(SEARCH(abortion,C150)))&gt;0)</f>
        <v>0</v>
      </c>
      <c r="W150" s="14" cm="1">
        <f t="array" ref="W150">INT(SUMPRODUCT(--ISNUMBER(SEARCH(trump,C150)))&gt;0)</f>
        <v>1</v>
      </c>
      <c r="X150" s="14" cm="1">
        <f t="array" ref="X150">INT(SUMPRODUCT(--ISNUMBER(SEARCH(voting,C150)))&gt;0)</f>
        <v>1</v>
      </c>
      <c r="Y150" s="14" cm="1">
        <f t="array" ref="Y150">INT(SUMPRODUCT(--ISNUMBER(SEARCH(democrattrigger,C150)))&gt;0)</f>
        <v>0</v>
      </c>
      <c r="Z150" s="14" cm="1">
        <f t="array" ref="Z150">INT(SUMPRODUCT(--ISNUMBER(SEARCH(bipartisan,C150)))&gt;0)</f>
        <v>0</v>
      </c>
      <c r="AA150" s="14">
        <f t="shared" si="2"/>
        <v>0</v>
      </c>
      <c r="AB150" s="14"/>
      <c r="AC150" s="30" t="s">
        <v>223</v>
      </c>
      <c r="AD150" s="37" t="s">
        <v>223</v>
      </c>
    </row>
    <row r="151" spans="1:30" x14ac:dyDescent="0.25">
      <c r="A151" s="36">
        <v>1614</v>
      </c>
      <c r="B151" s="14" t="s">
        <v>3255</v>
      </c>
      <c r="C151" s="14" t="s">
        <v>3256</v>
      </c>
      <c r="D151" s="17">
        <v>44131</v>
      </c>
      <c r="E151" s="14" t="s">
        <v>30</v>
      </c>
      <c r="F151" s="14">
        <v>4858</v>
      </c>
      <c r="G151" s="14">
        <v>917</v>
      </c>
      <c r="H151" s="14">
        <v>8</v>
      </c>
      <c r="I151" s="14">
        <v>4</v>
      </c>
      <c r="J151" s="14" t="s">
        <v>204</v>
      </c>
      <c r="K151" s="14" cm="1">
        <f t="array" ref="K151">INT(SUMPRODUCT(--ISNUMBER(SEARCH(economy,C151)))&gt;0)</f>
        <v>0</v>
      </c>
      <c r="L151" s="14" cm="1">
        <f t="array" ref="L151">INT(SUMPRODUCT(--ISNUMBER(SEARCH(healthcare,C151)))&gt;0)</f>
        <v>1</v>
      </c>
      <c r="M151" s="14" cm="1">
        <f t="array" ref="M151">INT(SUMPRODUCT(--ISNUMBER(SEARCH(supreme,C151)))&gt;0)</f>
        <v>1</v>
      </c>
      <c r="N151" s="14" cm="1">
        <f t="array" ref="N151">INT(SUMPRODUCT(--ISNUMBER(SEARCH(covid,C151)))&gt;0)</f>
        <v>0</v>
      </c>
      <c r="O151" s="14" cm="1">
        <f t="array" ref="O151">INT(SUMPRODUCT(--ISNUMBER(SEARCH(violent,C151)))&gt;0)</f>
        <v>0</v>
      </c>
      <c r="P151" s="14" cm="1">
        <f t="array" ref="P151">INT(SUMPRODUCT(--ISNUMBER(SEARCH(foreign,C151)))&gt;0)</f>
        <v>0</v>
      </c>
      <c r="Q151" s="14" cm="1">
        <f t="array" ref="Q151">INT(SUMPRODUCT(--ISNUMBER(SEARCH(gun,C151)))&gt;0)</f>
        <v>0</v>
      </c>
      <c r="R151" s="14" cm="1">
        <f t="array" ref="R151">INT(SUMPRODUCT(--ISNUMBER(SEARCH(race,C151)))&gt;0)</f>
        <v>0</v>
      </c>
      <c r="S151" s="14" cm="1">
        <f t="array" ref="S151">INT(SUMPRODUCT(--ISNUMBER(SEARCH(immigration,C151)))&gt;0)</f>
        <v>0</v>
      </c>
      <c r="T151" s="14" cm="1">
        <f t="array" ref="T151">INT(SUMPRODUCT(--ISNUMBER(SEARCH(econineq,C152)))&gt;0)</f>
        <v>0</v>
      </c>
      <c r="U151" s="14" cm="1">
        <f t="array" ref="U151">INT(SUMPRODUCT(--ISNUMBER(SEARCH(climate,C151)))&gt;0)</f>
        <v>0</v>
      </c>
      <c r="V151" s="14" cm="1">
        <f t="array" ref="V151">INT(SUMPRODUCT(--ISNUMBER(SEARCH(abortion,C151)))&gt;0)</f>
        <v>0</v>
      </c>
      <c r="W151" s="14" cm="1">
        <f t="array" ref="W151">INT(SUMPRODUCT(--ISNUMBER(SEARCH(trump,C151)))&gt;0)</f>
        <v>0</v>
      </c>
      <c r="X151" s="14" cm="1">
        <f t="array" ref="X151">INT(SUMPRODUCT(--ISNUMBER(SEARCH(voting,C151)))&gt;0)</f>
        <v>1</v>
      </c>
      <c r="Y151" s="14" cm="1">
        <f t="array" ref="Y151">INT(SUMPRODUCT(--ISNUMBER(SEARCH(democrattrigger,C151)))&gt;0)</f>
        <v>1</v>
      </c>
      <c r="Z151" s="14" cm="1">
        <f t="array" ref="Z151">INT(SUMPRODUCT(--ISNUMBER(SEARCH(bipartisan,C151)))&gt;0)</f>
        <v>0</v>
      </c>
      <c r="AA151" s="14">
        <f t="shared" si="2"/>
        <v>0</v>
      </c>
      <c r="AB151" s="14"/>
      <c r="AC151" s="30" t="s">
        <v>223</v>
      </c>
      <c r="AD151" s="37" t="s">
        <v>223</v>
      </c>
    </row>
    <row r="152" spans="1:30" x14ac:dyDescent="0.25">
      <c r="A152" s="36">
        <v>1615</v>
      </c>
      <c r="B152" s="14" t="s">
        <v>3257</v>
      </c>
      <c r="C152" s="14" t="s">
        <v>3258</v>
      </c>
      <c r="D152" s="17">
        <v>44131</v>
      </c>
      <c r="E152" s="14" t="s">
        <v>30</v>
      </c>
      <c r="F152" s="14">
        <v>7418</v>
      </c>
      <c r="G152" s="14">
        <v>1892</v>
      </c>
      <c r="H152" s="14">
        <v>8</v>
      </c>
      <c r="I152" s="14">
        <v>4</v>
      </c>
      <c r="J152" s="14" t="s">
        <v>204</v>
      </c>
      <c r="K152" s="14" cm="1">
        <f t="array" ref="K152">INT(SUMPRODUCT(--ISNUMBER(SEARCH(economy,C152)))&gt;0)</f>
        <v>0</v>
      </c>
      <c r="L152" s="14" cm="1">
        <f t="array" ref="L152">INT(SUMPRODUCT(--ISNUMBER(SEARCH(healthcare,C152)))&gt;0)</f>
        <v>1</v>
      </c>
      <c r="M152" s="14" cm="1">
        <f t="array" ref="M152">INT(SUMPRODUCT(--ISNUMBER(SEARCH(supreme,C152)))&gt;0)</f>
        <v>1</v>
      </c>
      <c r="N152" s="14" cm="1">
        <f t="array" ref="N152">INT(SUMPRODUCT(--ISNUMBER(SEARCH(covid,C152)))&gt;0)</f>
        <v>0</v>
      </c>
      <c r="O152" s="14" cm="1">
        <f t="array" ref="O152">INT(SUMPRODUCT(--ISNUMBER(SEARCH(violent,C152)))&gt;0)</f>
        <v>0</v>
      </c>
      <c r="P152" s="14" cm="1">
        <f t="array" ref="P152">INT(SUMPRODUCT(--ISNUMBER(SEARCH(foreign,C152)))&gt;0)</f>
        <v>0</v>
      </c>
      <c r="Q152" s="14" cm="1">
        <f t="array" ref="Q152">INT(SUMPRODUCT(--ISNUMBER(SEARCH(gun,C152)))&gt;0)</f>
        <v>0</v>
      </c>
      <c r="R152" s="14" cm="1">
        <f t="array" ref="R152">INT(SUMPRODUCT(--ISNUMBER(SEARCH(race,C152)))&gt;0)</f>
        <v>0</v>
      </c>
      <c r="S152" s="14" cm="1">
        <f t="array" ref="S152">INT(SUMPRODUCT(--ISNUMBER(SEARCH(immigration,C152)))&gt;0)</f>
        <v>0</v>
      </c>
      <c r="T152" s="14" cm="1">
        <f t="array" ref="T152">INT(SUMPRODUCT(--ISNUMBER(SEARCH(econineq,C153)))&gt;0)</f>
        <v>0</v>
      </c>
      <c r="U152" s="14" cm="1">
        <f t="array" ref="U152">INT(SUMPRODUCT(--ISNUMBER(SEARCH(climate,C152)))&gt;0)</f>
        <v>0</v>
      </c>
      <c r="V152" s="14" cm="1">
        <f t="array" ref="V152">INT(SUMPRODUCT(--ISNUMBER(SEARCH(abortion,C152)))&gt;0)</f>
        <v>0</v>
      </c>
      <c r="W152" s="14" cm="1">
        <f t="array" ref="W152">INT(SUMPRODUCT(--ISNUMBER(SEARCH(trump,C152)))&gt;0)</f>
        <v>1</v>
      </c>
      <c r="X152" s="14" cm="1">
        <f t="array" ref="X152">INT(SUMPRODUCT(--ISNUMBER(SEARCH(voting,C152)))&gt;0)</f>
        <v>1</v>
      </c>
      <c r="Y152" s="14" cm="1">
        <f t="array" ref="Y152">INT(SUMPRODUCT(--ISNUMBER(SEARCH(democrattrigger,C152)))&gt;0)</f>
        <v>1</v>
      </c>
      <c r="Z152" s="14" cm="1">
        <f t="array" ref="Z152">INT(SUMPRODUCT(--ISNUMBER(SEARCH(bipartisan,C152)))&gt;0)</f>
        <v>0</v>
      </c>
      <c r="AA152" s="14">
        <f t="shared" si="2"/>
        <v>0</v>
      </c>
      <c r="AB152" s="14"/>
      <c r="AC152" s="30" t="s">
        <v>223</v>
      </c>
      <c r="AD152" s="37" t="s">
        <v>223</v>
      </c>
    </row>
    <row r="153" spans="1:30" x14ac:dyDescent="0.25">
      <c r="A153" s="36">
        <v>1616</v>
      </c>
      <c r="B153" s="14" t="s">
        <v>3259</v>
      </c>
      <c r="C153" s="14" t="s">
        <v>3260</v>
      </c>
      <c r="D153" s="17">
        <v>44130</v>
      </c>
      <c r="E153" s="14" t="s">
        <v>30</v>
      </c>
      <c r="F153" s="14">
        <v>2526</v>
      </c>
      <c r="G153" s="14">
        <v>855</v>
      </c>
      <c r="H153" s="14">
        <v>8</v>
      </c>
      <c r="I153" s="14">
        <v>4</v>
      </c>
      <c r="J153" s="14" t="s">
        <v>204</v>
      </c>
      <c r="K153" s="14" cm="1">
        <f t="array" ref="K153">INT(SUMPRODUCT(--ISNUMBER(SEARCH(economy,C153)))&gt;0)</f>
        <v>0</v>
      </c>
      <c r="L153" s="14" cm="1">
        <f t="array" ref="L153">INT(SUMPRODUCT(--ISNUMBER(SEARCH(healthcare,C153)))&gt;0)</f>
        <v>0</v>
      </c>
      <c r="M153" s="14" cm="1">
        <f t="array" ref="M153">INT(SUMPRODUCT(--ISNUMBER(SEARCH(supreme,C153)))&gt;0)</f>
        <v>1</v>
      </c>
      <c r="N153" s="14" cm="1">
        <f t="array" ref="N153">INT(SUMPRODUCT(--ISNUMBER(SEARCH(covid,C153)))&gt;0)</f>
        <v>0</v>
      </c>
      <c r="O153" s="14" cm="1">
        <f t="array" ref="O153">INT(SUMPRODUCT(--ISNUMBER(SEARCH(violent,C153)))&gt;0)</f>
        <v>0</v>
      </c>
      <c r="P153" s="14" cm="1">
        <f t="array" ref="P153">INT(SUMPRODUCT(--ISNUMBER(SEARCH(foreign,C153)))&gt;0)</f>
        <v>1</v>
      </c>
      <c r="Q153" s="14" cm="1">
        <f t="array" ref="Q153">INT(SUMPRODUCT(--ISNUMBER(SEARCH(gun,C153)))&gt;0)</f>
        <v>0</v>
      </c>
      <c r="R153" s="14" cm="1">
        <f t="array" ref="R153">INT(SUMPRODUCT(--ISNUMBER(SEARCH(race,C153)))&gt;0)</f>
        <v>0</v>
      </c>
      <c r="S153" s="14" cm="1">
        <f t="array" ref="S153">INT(SUMPRODUCT(--ISNUMBER(SEARCH(immigration,C153)))&gt;0)</f>
        <v>0</v>
      </c>
      <c r="T153" s="14" cm="1">
        <f t="array" ref="T153">INT(SUMPRODUCT(--ISNUMBER(SEARCH(econineq,C154)))&gt;0)</f>
        <v>0</v>
      </c>
      <c r="U153" s="14" cm="1">
        <f t="array" ref="U153">INT(SUMPRODUCT(--ISNUMBER(SEARCH(climate,C153)))&gt;0)</f>
        <v>0</v>
      </c>
      <c r="V153" s="14" cm="1">
        <f t="array" ref="V153">INT(SUMPRODUCT(--ISNUMBER(SEARCH(abortion,C153)))&gt;0)</f>
        <v>0</v>
      </c>
      <c r="W153" s="14" cm="1">
        <f t="array" ref="W153">INT(SUMPRODUCT(--ISNUMBER(SEARCH(trump,C153)))&gt;0)</f>
        <v>1</v>
      </c>
      <c r="X153" s="14" cm="1">
        <f t="array" ref="X153">INT(SUMPRODUCT(--ISNUMBER(SEARCH(voting,C153)))&gt;0)</f>
        <v>1</v>
      </c>
      <c r="Y153" s="14" cm="1">
        <f t="array" ref="Y153">INT(SUMPRODUCT(--ISNUMBER(SEARCH(democrattrigger,C153)))&gt;0)</f>
        <v>1</v>
      </c>
      <c r="Z153" s="14" cm="1">
        <f t="array" ref="Z153">INT(SUMPRODUCT(--ISNUMBER(SEARCH(bipartisan,C153)))&gt;0)</f>
        <v>0</v>
      </c>
      <c r="AA153" s="14">
        <f t="shared" si="2"/>
        <v>0</v>
      </c>
      <c r="AB153" s="14"/>
      <c r="AC153" s="30">
        <v>0</v>
      </c>
      <c r="AD153" s="37">
        <v>1</v>
      </c>
    </row>
    <row r="154" spans="1:30" x14ac:dyDescent="0.25">
      <c r="A154" s="36">
        <v>1617</v>
      </c>
      <c r="B154" s="14" t="s">
        <v>3261</v>
      </c>
      <c r="C154" s="14" t="s">
        <v>3262</v>
      </c>
      <c r="D154" s="17">
        <v>44130</v>
      </c>
      <c r="E154" s="14" t="s">
        <v>30</v>
      </c>
      <c r="F154" s="14">
        <v>750</v>
      </c>
      <c r="G154" s="14">
        <v>155</v>
      </c>
      <c r="H154" s="14">
        <v>8</v>
      </c>
      <c r="I154" s="14">
        <v>4</v>
      </c>
      <c r="J154" s="14" t="s">
        <v>204</v>
      </c>
      <c r="K154" s="14" cm="1">
        <f t="array" ref="K154">INT(SUMPRODUCT(--ISNUMBER(SEARCH(economy,C154)))&gt;0)</f>
        <v>0</v>
      </c>
      <c r="L154" s="14" cm="1">
        <f t="array" ref="L154">INT(SUMPRODUCT(--ISNUMBER(SEARCH(healthcare,C154)))&gt;0)</f>
        <v>0</v>
      </c>
      <c r="M154" s="14" cm="1">
        <f t="array" ref="M154">INT(SUMPRODUCT(--ISNUMBER(SEARCH(supreme,C154)))&gt;0)</f>
        <v>0</v>
      </c>
      <c r="N154" s="14" cm="1">
        <f t="array" ref="N154">INT(SUMPRODUCT(--ISNUMBER(SEARCH(covid,C154)))&gt;0)</f>
        <v>0</v>
      </c>
      <c r="O154" s="14" cm="1">
        <f t="array" ref="O154">INT(SUMPRODUCT(--ISNUMBER(SEARCH(violent,C154)))&gt;0)</f>
        <v>0</v>
      </c>
      <c r="P154" s="14" cm="1">
        <f t="array" ref="P154">INT(SUMPRODUCT(--ISNUMBER(SEARCH(foreign,C154)))&gt;0)</f>
        <v>0</v>
      </c>
      <c r="Q154" s="14" cm="1">
        <f t="array" ref="Q154">INT(SUMPRODUCT(--ISNUMBER(SEARCH(gun,C154)))&gt;0)</f>
        <v>0</v>
      </c>
      <c r="R154" s="14" cm="1">
        <f t="array" ref="R154">INT(SUMPRODUCT(--ISNUMBER(SEARCH(race,C154)))&gt;0)</f>
        <v>0</v>
      </c>
      <c r="S154" s="14" cm="1">
        <f t="array" ref="S154">INT(SUMPRODUCT(--ISNUMBER(SEARCH(immigration,C154)))&gt;0)</f>
        <v>0</v>
      </c>
      <c r="T154" s="14" cm="1">
        <f t="array" ref="T154">INT(SUMPRODUCT(--ISNUMBER(SEARCH(econineq,C155)))&gt;0)</f>
        <v>0</v>
      </c>
      <c r="U154" s="14" cm="1">
        <f t="array" ref="U154">INT(SUMPRODUCT(--ISNUMBER(SEARCH(climate,C154)))&gt;0)</f>
        <v>0</v>
      </c>
      <c r="V154" s="14" cm="1">
        <f t="array" ref="V154">INT(SUMPRODUCT(--ISNUMBER(SEARCH(abortion,C154)))&gt;0)</f>
        <v>0</v>
      </c>
      <c r="W154" s="14" cm="1">
        <f t="array" ref="W154">INT(SUMPRODUCT(--ISNUMBER(SEARCH(trump,C154)))&gt;0)</f>
        <v>0</v>
      </c>
      <c r="X154" s="14" cm="1">
        <f t="array" ref="X154">INT(SUMPRODUCT(--ISNUMBER(SEARCH(voting,C154)))&gt;0)</f>
        <v>1</v>
      </c>
      <c r="Y154" s="14" cm="1">
        <f t="array" ref="Y154">INT(SUMPRODUCT(--ISNUMBER(SEARCH(democrattrigger,C154)))&gt;0)</f>
        <v>0</v>
      </c>
      <c r="Z154" s="14" cm="1">
        <f t="array" ref="Z154">INT(SUMPRODUCT(--ISNUMBER(SEARCH(bipartisan,C154)))&gt;0)</f>
        <v>0</v>
      </c>
      <c r="AA154" s="14">
        <f t="shared" si="2"/>
        <v>0</v>
      </c>
      <c r="AB154" s="14"/>
      <c r="AC154" s="30">
        <v>1</v>
      </c>
      <c r="AD154" s="37">
        <v>0</v>
      </c>
    </row>
    <row r="155" spans="1:30" x14ac:dyDescent="0.25">
      <c r="A155" s="36">
        <v>1618</v>
      </c>
      <c r="B155" s="14" t="s">
        <v>3263</v>
      </c>
      <c r="C155" s="14" t="s">
        <v>3264</v>
      </c>
      <c r="D155" s="17">
        <v>44130</v>
      </c>
      <c r="E155" s="14" t="s">
        <v>30</v>
      </c>
      <c r="F155" s="14">
        <v>649</v>
      </c>
      <c r="G155" s="14">
        <v>196</v>
      </c>
      <c r="H155" s="14">
        <v>8</v>
      </c>
      <c r="I155" s="14">
        <v>4</v>
      </c>
      <c r="J155" s="14" t="s">
        <v>204</v>
      </c>
      <c r="K155" s="14" cm="1">
        <f t="array" ref="K155">INT(SUMPRODUCT(--ISNUMBER(SEARCH(economy,C155)))&gt;0)</f>
        <v>0</v>
      </c>
      <c r="L155" s="14" cm="1">
        <f t="array" ref="L155">INT(SUMPRODUCT(--ISNUMBER(SEARCH(healthcare,C155)))&gt;0)</f>
        <v>0</v>
      </c>
      <c r="M155" s="14" cm="1">
        <f t="array" ref="M155">INT(SUMPRODUCT(--ISNUMBER(SEARCH(supreme,C155)))&gt;0)</f>
        <v>0</v>
      </c>
      <c r="N155" s="14" cm="1">
        <f t="array" ref="N155">INT(SUMPRODUCT(--ISNUMBER(SEARCH(covid,C155)))&gt;0)</f>
        <v>0</v>
      </c>
      <c r="O155" s="14" cm="1">
        <f t="array" ref="O155">INT(SUMPRODUCT(--ISNUMBER(SEARCH(violent,C155)))&gt;0)</f>
        <v>0</v>
      </c>
      <c r="P155" s="14" cm="1">
        <f t="array" ref="P155">INT(SUMPRODUCT(--ISNUMBER(SEARCH(foreign,C155)))&gt;0)</f>
        <v>0</v>
      </c>
      <c r="Q155" s="14" cm="1">
        <f t="array" ref="Q155">INT(SUMPRODUCT(--ISNUMBER(SEARCH(gun,C155)))&gt;0)</f>
        <v>0</v>
      </c>
      <c r="R155" s="14" cm="1">
        <f t="array" ref="R155">INT(SUMPRODUCT(--ISNUMBER(SEARCH(race,C155)))&gt;0)</f>
        <v>0</v>
      </c>
      <c r="S155" s="14" cm="1">
        <f t="array" ref="S155">INT(SUMPRODUCT(--ISNUMBER(SEARCH(immigration,C155)))&gt;0)</f>
        <v>0</v>
      </c>
      <c r="T155" s="14" cm="1">
        <f t="array" ref="T155">INT(SUMPRODUCT(--ISNUMBER(SEARCH(econineq,C156)))&gt;0)</f>
        <v>0</v>
      </c>
      <c r="U155" s="14" cm="1">
        <f t="array" ref="U155">INT(SUMPRODUCT(--ISNUMBER(SEARCH(climate,C155)))&gt;0)</f>
        <v>0</v>
      </c>
      <c r="V155" s="14" cm="1">
        <f t="array" ref="V155">INT(SUMPRODUCT(--ISNUMBER(SEARCH(abortion,C155)))&gt;0)</f>
        <v>0</v>
      </c>
      <c r="W155" s="14" cm="1">
        <f t="array" ref="W155">INT(SUMPRODUCT(--ISNUMBER(SEARCH(trump,C155)))&gt;0)</f>
        <v>0</v>
      </c>
      <c r="X155" s="14" cm="1">
        <f t="array" ref="X155">INT(SUMPRODUCT(--ISNUMBER(SEARCH(voting,C155)))&gt;0)</f>
        <v>1</v>
      </c>
      <c r="Y155" s="14" cm="1">
        <f t="array" ref="Y155">INT(SUMPRODUCT(--ISNUMBER(SEARCH(democrattrigger,C155)))&gt;0)</f>
        <v>0</v>
      </c>
      <c r="Z155" s="14" cm="1">
        <f t="array" ref="Z155">INT(SUMPRODUCT(--ISNUMBER(SEARCH(bipartisan,C155)))&gt;0)</f>
        <v>0</v>
      </c>
      <c r="AA155" s="14">
        <f t="shared" si="2"/>
        <v>0</v>
      </c>
      <c r="AB155" s="14"/>
      <c r="AC155" s="30" t="s">
        <v>223</v>
      </c>
      <c r="AD155" s="37" t="s">
        <v>223</v>
      </c>
    </row>
    <row r="156" spans="1:30" x14ac:dyDescent="0.25">
      <c r="A156" s="36">
        <v>1619</v>
      </c>
      <c r="B156" s="14" t="s">
        <v>3265</v>
      </c>
      <c r="C156" s="14" t="s">
        <v>3266</v>
      </c>
      <c r="D156" s="17">
        <v>44130</v>
      </c>
      <c r="E156" s="14" t="s">
        <v>30</v>
      </c>
      <c r="F156" s="14">
        <v>1202</v>
      </c>
      <c r="G156" s="14">
        <v>261</v>
      </c>
      <c r="H156" s="14">
        <v>8</v>
      </c>
      <c r="I156" s="14">
        <v>4</v>
      </c>
      <c r="J156" s="14" t="s">
        <v>204</v>
      </c>
      <c r="K156" s="14" cm="1">
        <f t="array" ref="K156">INT(SUMPRODUCT(--ISNUMBER(SEARCH(economy,C156)))&gt;0)</f>
        <v>0</v>
      </c>
      <c r="L156" s="14" cm="1">
        <f t="array" ref="L156">INT(SUMPRODUCT(--ISNUMBER(SEARCH(healthcare,C156)))&gt;0)</f>
        <v>0</v>
      </c>
      <c r="M156" s="14" cm="1">
        <f t="array" ref="M156">INT(SUMPRODUCT(--ISNUMBER(SEARCH(supreme,C156)))&gt;0)</f>
        <v>0</v>
      </c>
      <c r="N156" s="14" cm="1">
        <f t="array" ref="N156">INT(SUMPRODUCT(--ISNUMBER(SEARCH(covid,C156)))&gt;0)</f>
        <v>0</v>
      </c>
      <c r="O156" s="14" cm="1">
        <f t="array" ref="O156">INT(SUMPRODUCT(--ISNUMBER(SEARCH(violent,C156)))&gt;0)</f>
        <v>0</v>
      </c>
      <c r="P156" s="14" cm="1">
        <f t="array" ref="P156">INT(SUMPRODUCT(--ISNUMBER(SEARCH(foreign,C156)))&gt;0)</f>
        <v>0</v>
      </c>
      <c r="Q156" s="14" cm="1">
        <f t="array" ref="Q156">INT(SUMPRODUCT(--ISNUMBER(SEARCH(gun,C156)))&gt;0)</f>
        <v>0</v>
      </c>
      <c r="R156" s="14" cm="1">
        <f t="array" ref="R156">INT(SUMPRODUCT(--ISNUMBER(SEARCH(race,C156)))&gt;0)</f>
        <v>0</v>
      </c>
      <c r="S156" s="14" cm="1">
        <f t="array" ref="S156">INT(SUMPRODUCT(--ISNUMBER(SEARCH(immigration,C156)))&gt;0)</f>
        <v>0</v>
      </c>
      <c r="T156" s="14" cm="1">
        <f t="array" ref="T156">INT(SUMPRODUCT(--ISNUMBER(SEARCH(econineq,C157)))&gt;0)</f>
        <v>0</v>
      </c>
      <c r="U156" s="14" cm="1">
        <f t="array" ref="U156">INT(SUMPRODUCT(--ISNUMBER(SEARCH(climate,C156)))&gt;0)</f>
        <v>0</v>
      </c>
      <c r="V156" s="14" cm="1">
        <f t="array" ref="V156">INT(SUMPRODUCT(--ISNUMBER(SEARCH(abortion,C156)))&gt;0)</f>
        <v>0</v>
      </c>
      <c r="W156" s="14" cm="1">
        <f t="array" ref="W156">INT(SUMPRODUCT(--ISNUMBER(SEARCH(trump,C156)))&gt;0)</f>
        <v>0</v>
      </c>
      <c r="X156" s="14" cm="1">
        <f t="array" ref="X156">INT(SUMPRODUCT(--ISNUMBER(SEARCH(voting,C156)))&gt;0)</f>
        <v>1</v>
      </c>
      <c r="Y156" s="14" cm="1">
        <f t="array" ref="Y156">INT(SUMPRODUCT(--ISNUMBER(SEARCH(democrattrigger,C156)))&gt;0)</f>
        <v>0</v>
      </c>
      <c r="Z156" s="14" cm="1">
        <f t="array" ref="Z156">INT(SUMPRODUCT(--ISNUMBER(SEARCH(bipartisan,C156)))&gt;0)</f>
        <v>0</v>
      </c>
      <c r="AA156" s="14">
        <f t="shared" si="2"/>
        <v>0</v>
      </c>
      <c r="AB156" s="14"/>
      <c r="AC156" s="30" t="s">
        <v>223</v>
      </c>
      <c r="AD156" s="37" t="s">
        <v>223</v>
      </c>
    </row>
    <row r="157" spans="1:30" x14ac:dyDescent="0.25">
      <c r="A157" s="36">
        <v>1620</v>
      </c>
      <c r="B157" s="14" t="s">
        <v>3267</v>
      </c>
      <c r="C157" s="14" t="s">
        <v>3268</v>
      </c>
      <c r="D157" s="17">
        <v>44130</v>
      </c>
      <c r="E157" s="14" t="s">
        <v>30</v>
      </c>
      <c r="F157" s="14">
        <v>2865</v>
      </c>
      <c r="G157" s="14">
        <v>835</v>
      </c>
      <c r="H157" s="14">
        <v>8</v>
      </c>
      <c r="I157" s="14">
        <v>4</v>
      </c>
      <c r="J157" s="14" t="s">
        <v>204</v>
      </c>
      <c r="K157" s="14" cm="1">
        <f t="array" ref="K157">INT(SUMPRODUCT(--ISNUMBER(SEARCH(economy,C157)))&gt;0)</f>
        <v>0</v>
      </c>
      <c r="L157" s="14" cm="1">
        <f t="array" ref="L157">INT(SUMPRODUCT(--ISNUMBER(SEARCH(healthcare,C157)))&gt;0)</f>
        <v>0</v>
      </c>
      <c r="M157" s="14" cm="1">
        <f t="array" ref="M157">INT(SUMPRODUCT(--ISNUMBER(SEARCH(supreme,C157)))&gt;0)</f>
        <v>0</v>
      </c>
      <c r="N157" s="14" cm="1">
        <f t="array" ref="N157">INT(SUMPRODUCT(--ISNUMBER(SEARCH(covid,C157)))&gt;0)</f>
        <v>0</v>
      </c>
      <c r="O157" s="14" cm="1">
        <f t="array" ref="O157">INT(SUMPRODUCT(--ISNUMBER(SEARCH(violent,C157)))&gt;0)</f>
        <v>0</v>
      </c>
      <c r="P157" s="14" cm="1">
        <f t="array" ref="P157">INT(SUMPRODUCT(--ISNUMBER(SEARCH(foreign,C157)))&gt;0)</f>
        <v>0</v>
      </c>
      <c r="Q157" s="14" cm="1">
        <f t="array" ref="Q157">INT(SUMPRODUCT(--ISNUMBER(SEARCH(gun,C157)))&gt;0)</f>
        <v>0</v>
      </c>
      <c r="R157" s="14" cm="1">
        <f t="array" ref="R157">INT(SUMPRODUCT(--ISNUMBER(SEARCH(race,C157)))&gt;0)</f>
        <v>0</v>
      </c>
      <c r="S157" s="14" cm="1">
        <f t="array" ref="S157">INT(SUMPRODUCT(--ISNUMBER(SEARCH(immigration,C157)))&gt;0)</f>
        <v>0</v>
      </c>
      <c r="T157" s="14" cm="1">
        <f t="array" ref="T157">INT(SUMPRODUCT(--ISNUMBER(SEARCH(econineq,C158)))&gt;0)</f>
        <v>0</v>
      </c>
      <c r="U157" s="14" cm="1">
        <f t="array" ref="U157">INT(SUMPRODUCT(--ISNUMBER(SEARCH(climate,C157)))&gt;0)</f>
        <v>0</v>
      </c>
      <c r="V157" s="14" cm="1">
        <f t="array" ref="V157">INT(SUMPRODUCT(--ISNUMBER(SEARCH(abortion,C157)))&gt;0)</f>
        <v>0</v>
      </c>
      <c r="W157" s="14" cm="1">
        <f t="array" ref="W157">INT(SUMPRODUCT(--ISNUMBER(SEARCH(trump,C157)))&gt;0)</f>
        <v>0</v>
      </c>
      <c r="X157" s="14" cm="1">
        <f t="array" ref="X157">INT(SUMPRODUCT(--ISNUMBER(SEARCH(voting,C157)))&gt;0)</f>
        <v>0</v>
      </c>
      <c r="Y157" s="14" cm="1">
        <f t="array" ref="Y157">INT(SUMPRODUCT(--ISNUMBER(SEARCH(democrattrigger,C157)))&gt;0)</f>
        <v>1</v>
      </c>
      <c r="Z157" s="14" cm="1">
        <f t="array" ref="Z157">INT(SUMPRODUCT(--ISNUMBER(SEARCH(bipartisan,C157)))&gt;0)</f>
        <v>0</v>
      </c>
      <c r="AA157" s="14">
        <f t="shared" si="2"/>
        <v>0</v>
      </c>
      <c r="AB157" s="14"/>
      <c r="AC157" s="30">
        <v>0</v>
      </c>
      <c r="AD157" s="37">
        <v>1</v>
      </c>
    </row>
    <row r="158" spans="1:30" x14ac:dyDescent="0.25">
      <c r="A158" s="36">
        <v>1621</v>
      </c>
      <c r="B158" s="14" t="s">
        <v>3269</v>
      </c>
      <c r="C158" s="14" t="s">
        <v>3270</v>
      </c>
      <c r="D158" s="17">
        <v>44130</v>
      </c>
      <c r="E158" s="14" t="s">
        <v>30</v>
      </c>
      <c r="F158" s="14">
        <v>1478</v>
      </c>
      <c r="G158" s="14">
        <v>413</v>
      </c>
      <c r="H158" s="14">
        <v>8</v>
      </c>
      <c r="I158" s="14">
        <v>4</v>
      </c>
      <c r="J158" s="14" t="s">
        <v>204</v>
      </c>
      <c r="K158" s="14" cm="1">
        <f t="array" ref="K158">INT(SUMPRODUCT(--ISNUMBER(SEARCH(economy,C158)))&gt;0)</f>
        <v>1</v>
      </c>
      <c r="L158" s="14" cm="1">
        <f t="array" ref="L158">INT(SUMPRODUCT(--ISNUMBER(SEARCH(healthcare,C158)))&gt;0)</f>
        <v>0</v>
      </c>
      <c r="M158" s="14" cm="1">
        <f t="array" ref="M158">INT(SUMPRODUCT(--ISNUMBER(SEARCH(supreme,C158)))&gt;0)</f>
        <v>0</v>
      </c>
      <c r="N158" s="14" cm="1">
        <f t="array" ref="N158">INT(SUMPRODUCT(--ISNUMBER(SEARCH(covid,C158)))&gt;0)</f>
        <v>0</v>
      </c>
      <c r="O158" s="14" cm="1">
        <f t="array" ref="O158">INT(SUMPRODUCT(--ISNUMBER(SEARCH(violent,C158)))&gt;0)</f>
        <v>0</v>
      </c>
      <c r="P158" s="14" cm="1">
        <f t="array" ref="P158">INT(SUMPRODUCT(--ISNUMBER(SEARCH(foreign,C158)))&gt;0)</f>
        <v>0</v>
      </c>
      <c r="Q158" s="14" cm="1">
        <f t="array" ref="Q158">INT(SUMPRODUCT(--ISNUMBER(SEARCH(gun,C158)))&gt;0)</f>
        <v>0</v>
      </c>
      <c r="R158" s="14" cm="1">
        <f t="array" ref="R158">INT(SUMPRODUCT(--ISNUMBER(SEARCH(race,C158)))&gt;0)</f>
        <v>0</v>
      </c>
      <c r="S158" s="14" cm="1">
        <f t="array" ref="S158">INT(SUMPRODUCT(--ISNUMBER(SEARCH(immigration,C158)))&gt;0)</f>
        <v>0</v>
      </c>
      <c r="T158" s="14" cm="1">
        <f t="array" ref="T158">INT(SUMPRODUCT(--ISNUMBER(SEARCH(econineq,C159)))&gt;0)</f>
        <v>0</v>
      </c>
      <c r="U158" s="14" cm="1">
        <f t="array" ref="U158">INT(SUMPRODUCT(--ISNUMBER(SEARCH(climate,C158)))&gt;0)</f>
        <v>0</v>
      </c>
      <c r="V158" s="14" cm="1">
        <f t="array" ref="V158">INT(SUMPRODUCT(--ISNUMBER(SEARCH(abortion,C158)))&gt;0)</f>
        <v>0</v>
      </c>
      <c r="W158" s="14" cm="1">
        <f t="array" ref="W158">INT(SUMPRODUCT(--ISNUMBER(SEARCH(trump,C158)))&gt;0)</f>
        <v>0</v>
      </c>
      <c r="X158" s="14" cm="1">
        <f t="array" ref="X158">INT(SUMPRODUCT(--ISNUMBER(SEARCH(voting,C158)))&gt;0)</f>
        <v>0</v>
      </c>
      <c r="Y158" s="14" cm="1">
        <f t="array" ref="Y158">INT(SUMPRODUCT(--ISNUMBER(SEARCH(democrattrigger,C158)))&gt;0)</f>
        <v>0</v>
      </c>
      <c r="Z158" s="14" cm="1">
        <f t="array" ref="Z158">INT(SUMPRODUCT(--ISNUMBER(SEARCH(bipartisan,C158)))&gt;0)</f>
        <v>0</v>
      </c>
      <c r="AA158" s="14">
        <f t="shared" si="2"/>
        <v>0</v>
      </c>
      <c r="AB158" s="14"/>
      <c r="AC158" s="30" t="s">
        <v>223</v>
      </c>
      <c r="AD158" s="37" t="s">
        <v>223</v>
      </c>
    </row>
    <row r="159" spans="1:30" x14ac:dyDescent="0.25">
      <c r="A159" s="36">
        <v>1622</v>
      </c>
      <c r="B159" s="14" t="s">
        <v>3271</v>
      </c>
      <c r="C159" s="14" t="s">
        <v>3272</v>
      </c>
      <c r="D159" s="17">
        <v>44130</v>
      </c>
      <c r="E159" s="14" t="s">
        <v>30</v>
      </c>
      <c r="F159" s="14">
        <v>884</v>
      </c>
      <c r="G159" s="14">
        <v>289</v>
      </c>
      <c r="H159" s="14">
        <v>8</v>
      </c>
      <c r="I159" s="14">
        <v>4</v>
      </c>
      <c r="J159" s="14" t="s">
        <v>204</v>
      </c>
      <c r="K159" s="14" cm="1">
        <f t="array" ref="K159">INT(SUMPRODUCT(--ISNUMBER(SEARCH(economy,C159)))&gt;0)</f>
        <v>0</v>
      </c>
      <c r="L159" s="14" cm="1">
        <f t="array" ref="L159">INT(SUMPRODUCT(--ISNUMBER(SEARCH(healthcare,C159)))&gt;0)</f>
        <v>0</v>
      </c>
      <c r="M159" s="14" cm="1">
        <f t="array" ref="M159">INT(SUMPRODUCT(--ISNUMBER(SEARCH(supreme,C159)))&gt;0)</f>
        <v>0</v>
      </c>
      <c r="N159" s="14" cm="1">
        <f t="array" ref="N159">INT(SUMPRODUCT(--ISNUMBER(SEARCH(covid,C159)))&gt;0)</f>
        <v>0</v>
      </c>
      <c r="O159" s="14" cm="1">
        <f t="array" ref="O159">INT(SUMPRODUCT(--ISNUMBER(SEARCH(violent,C159)))&gt;0)</f>
        <v>0</v>
      </c>
      <c r="P159" s="14" cm="1">
        <f t="array" ref="P159">INT(SUMPRODUCT(--ISNUMBER(SEARCH(foreign,C159)))&gt;0)</f>
        <v>0</v>
      </c>
      <c r="Q159" s="14" cm="1">
        <f t="array" ref="Q159">INT(SUMPRODUCT(--ISNUMBER(SEARCH(gun,C159)))&gt;0)</f>
        <v>0</v>
      </c>
      <c r="R159" s="14" cm="1">
        <f t="array" ref="R159">INT(SUMPRODUCT(--ISNUMBER(SEARCH(race,C159)))&gt;0)</f>
        <v>0</v>
      </c>
      <c r="S159" s="14" cm="1">
        <f t="array" ref="S159">INT(SUMPRODUCT(--ISNUMBER(SEARCH(immigration,C159)))&gt;0)</f>
        <v>0</v>
      </c>
      <c r="T159" s="14" cm="1">
        <f t="array" ref="T159">INT(SUMPRODUCT(--ISNUMBER(SEARCH(econineq,C160)))&gt;0)</f>
        <v>0</v>
      </c>
      <c r="U159" s="14" cm="1">
        <f t="array" ref="U159">INT(SUMPRODUCT(--ISNUMBER(SEARCH(climate,C159)))&gt;0)</f>
        <v>0</v>
      </c>
      <c r="V159" s="14" cm="1">
        <f t="array" ref="V159">INT(SUMPRODUCT(--ISNUMBER(SEARCH(abortion,C159)))&gt;0)</f>
        <v>0</v>
      </c>
      <c r="W159" s="14" cm="1">
        <f t="array" ref="W159">INT(SUMPRODUCT(--ISNUMBER(SEARCH(trump,C159)))&gt;0)</f>
        <v>0</v>
      </c>
      <c r="X159" s="14" cm="1">
        <f t="array" ref="X159">INT(SUMPRODUCT(--ISNUMBER(SEARCH(voting,C159)))&gt;0)</f>
        <v>1</v>
      </c>
      <c r="Y159" s="14" cm="1">
        <f t="array" ref="Y159">INT(SUMPRODUCT(--ISNUMBER(SEARCH(democrattrigger,C159)))&gt;0)</f>
        <v>0</v>
      </c>
      <c r="Z159" s="14" cm="1">
        <f t="array" ref="Z159">INT(SUMPRODUCT(--ISNUMBER(SEARCH(bipartisan,C159)))&gt;0)</f>
        <v>0</v>
      </c>
      <c r="AA159" s="14">
        <f t="shared" si="2"/>
        <v>0</v>
      </c>
      <c r="AB159" s="14"/>
      <c r="AC159" s="30" t="s">
        <v>223</v>
      </c>
      <c r="AD159" s="37" t="s">
        <v>223</v>
      </c>
    </row>
    <row r="160" spans="1:30" x14ac:dyDescent="0.25">
      <c r="A160" s="36">
        <v>1623</v>
      </c>
      <c r="B160" s="14" t="s">
        <v>3273</v>
      </c>
      <c r="C160" s="14" t="s">
        <v>3274</v>
      </c>
      <c r="D160" s="17">
        <v>44130</v>
      </c>
      <c r="E160" s="14" t="s">
        <v>30</v>
      </c>
      <c r="F160" s="14">
        <v>2980</v>
      </c>
      <c r="G160" s="14">
        <v>496</v>
      </c>
      <c r="H160" s="14">
        <v>8</v>
      </c>
      <c r="I160" s="14">
        <v>4</v>
      </c>
      <c r="J160" s="14" t="s">
        <v>204</v>
      </c>
      <c r="K160" s="14" cm="1">
        <f t="array" ref="K160">INT(SUMPRODUCT(--ISNUMBER(SEARCH(economy,C160)))&gt;0)</f>
        <v>0</v>
      </c>
      <c r="L160" s="14" cm="1">
        <f t="array" ref="L160">INT(SUMPRODUCT(--ISNUMBER(SEARCH(healthcare,C160)))&gt;0)</f>
        <v>1</v>
      </c>
      <c r="M160" s="14" cm="1">
        <f t="array" ref="M160">INT(SUMPRODUCT(--ISNUMBER(SEARCH(supreme,C160)))&gt;0)</f>
        <v>0</v>
      </c>
      <c r="N160" s="14" cm="1">
        <f t="array" ref="N160">INT(SUMPRODUCT(--ISNUMBER(SEARCH(covid,C160)))&gt;0)</f>
        <v>0</v>
      </c>
      <c r="O160" s="14" cm="1">
        <f t="array" ref="O160">INT(SUMPRODUCT(--ISNUMBER(SEARCH(violent,C160)))&gt;0)</f>
        <v>0</v>
      </c>
      <c r="P160" s="14" cm="1">
        <f t="array" ref="P160">INT(SUMPRODUCT(--ISNUMBER(SEARCH(foreign,C160)))&gt;0)</f>
        <v>0</v>
      </c>
      <c r="Q160" s="14" cm="1">
        <f t="array" ref="Q160">INT(SUMPRODUCT(--ISNUMBER(SEARCH(gun,C160)))&gt;0)</f>
        <v>0</v>
      </c>
      <c r="R160" s="14" cm="1">
        <f t="array" ref="R160">INT(SUMPRODUCT(--ISNUMBER(SEARCH(race,C160)))&gt;0)</f>
        <v>0</v>
      </c>
      <c r="S160" s="14" cm="1">
        <f t="array" ref="S160">INT(SUMPRODUCT(--ISNUMBER(SEARCH(immigration,C160)))&gt;0)</f>
        <v>0</v>
      </c>
      <c r="T160" s="14" cm="1">
        <f t="array" ref="T160">INT(SUMPRODUCT(--ISNUMBER(SEARCH(econineq,C161)))&gt;0)</f>
        <v>0</v>
      </c>
      <c r="U160" s="14" cm="1">
        <f t="array" ref="U160">INT(SUMPRODUCT(--ISNUMBER(SEARCH(climate,C160)))&gt;0)</f>
        <v>0</v>
      </c>
      <c r="V160" s="14" cm="1">
        <f t="array" ref="V160">INT(SUMPRODUCT(--ISNUMBER(SEARCH(abortion,C160)))&gt;0)</f>
        <v>0</v>
      </c>
      <c r="W160" s="14" cm="1">
        <f t="array" ref="W160">INT(SUMPRODUCT(--ISNUMBER(SEARCH(trump,C160)))&gt;0)</f>
        <v>0</v>
      </c>
      <c r="X160" s="14" cm="1">
        <f t="array" ref="X160">INT(SUMPRODUCT(--ISNUMBER(SEARCH(voting,C160)))&gt;0)</f>
        <v>1</v>
      </c>
      <c r="Y160" s="14" cm="1">
        <f t="array" ref="Y160">INT(SUMPRODUCT(--ISNUMBER(SEARCH(democrattrigger,C160)))&gt;0)</f>
        <v>0</v>
      </c>
      <c r="Z160" s="14" cm="1">
        <f t="array" ref="Z160">INT(SUMPRODUCT(--ISNUMBER(SEARCH(bipartisan,C160)))&gt;0)</f>
        <v>0</v>
      </c>
      <c r="AA160" s="14">
        <f t="shared" si="2"/>
        <v>0</v>
      </c>
      <c r="AB160" s="14"/>
      <c r="AC160" s="30" t="s">
        <v>223</v>
      </c>
      <c r="AD160" s="37" t="s">
        <v>223</v>
      </c>
    </row>
    <row r="161" spans="1:30" x14ac:dyDescent="0.25">
      <c r="A161" s="36">
        <v>1624</v>
      </c>
      <c r="B161" s="14" t="s">
        <v>3275</v>
      </c>
      <c r="C161" s="14" t="s">
        <v>3276</v>
      </c>
      <c r="D161" s="17">
        <v>44130</v>
      </c>
      <c r="E161" s="14" t="s">
        <v>30</v>
      </c>
      <c r="F161" s="14">
        <v>1435</v>
      </c>
      <c r="G161" s="14">
        <v>239</v>
      </c>
      <c r="H161" s="14">
        <v>8</v>
      </c>
      <c r="I161" s="14">
        <v>4</v>
      </c>
      <c r="J161" s="14" t="s">
        <v>204</v>
      </c>
      <c r="K161" s="14" cm="1">
        <f t="array" ref="K161">INT(SUMPRODUCT(--ISNUMBER(SEARCH(economy,C161)))&gt;0)</f>
        <v>0</v>
      </c>
      <c r="L161" s="14" cm="1">
        <f t="array" ref="L161">INT(SUMPRODUCT(--ISNUMBER(SEARCH(healthcare,C161)))&gt;0)</f>
        <v>0</v>
      </c>
      <c r="M161" s="14" cm="1">
        <f t="array" ref="M161">INT(SUMPRODUCT(--ISNUMBER(SEARCH(supreme,C161)))&gt;0)</f>
        <v>0</v>
      </c>
      <c r="N161" s="14" cm="1">
        <f t="array" ref="N161">INT(SUMPRODUCT(--ISNUMBER(SEARCH(covid,C161)))&gt;0)</f>
        <v>0</v>
      </c>
      <c r="O161" s="14" cm="1">
        <f t="array" ref="O161">INT(SUMPRODUCT(--ISNUMBER(SEARCH(violent,C161)))&gt;0)</f>
        <v>0</v>
      </c>
      <c r="P161" s="14" cm="1">
        <f t="array" ref="P161">INT(SUMPRODUCT(--ISNUMBER(SEARCH(foreign,C161)))&gt;0)</f>
        <v>0</v>
      </c>
      <c r="Q161" s="14" cm="1">
        <f t="array" ref="Q161">INT(SUMPRODUCT(--ISNUMBER(SEARCH(gun,C161)))&gt;0)</f>
        <v>0</v>
      </c>
      <c r="R161" s="14" cm="1">
        <f t="array" ref="R161">INT(SUMPRODUCT(--ISNUMBER(SEARCH(race,C161)))&gt;0)</f>
        <v>0</v>
      </c>
      <c r="S161" s="14" cm="1">
        <f t="array" ref="S161">INT(SUMPRODUCT(--ISNUMBER(SEARCH(immigration,C161)))&gt;0)</f>
        <v>0</v>
      </c>
      <c r="T161" s="14" cm="1">
        <f t="array" ref="T161">INT(SUMPRODUCT(--ISNUMBER(SEARCH(econineq,C162)))&gt;0)</f>
        <v>0</v>
      </c>
      <c r="U161" s="14" cm="1">
        <f t="array" ref="U161">INT(SUMPRODUCT(--ISNUMBER(SEARCH(climate,C161)))&gt;0)</f>
        <v>0</v>
      </c>
      <c r="V161" s="14" cm="1">
        <f t="array" ref="V161">INT(SUMPRODUCT(--ISNUMBER(SEARCH(abortion,C161)))&gt;0)</f>
        <v>0</v>
      </c>
      <c r="W161" s="14" cm="1">
        <f t="array" ref="W161">INT(SUMPRODUCT(--ISNUMBER(SEARCH(trump,C161)))&gt;0)</f>
        <v>0</v>
      </c>
      <c r="X161" s="14" cm="1">
        <f t="array" ref="X161">INT(SUMPRODUCT(--ISNUMBER(SEARCH(voting,C161)))&gt;0)</f>
        <v>1</v>
      </c>
      <c r="Y161" s="14" cm="1">
        <f t="array" ref="Y161">INT(SUMPRODUCT(--ISNUMBER(SEARCH(democrattrigger,C161)))&gt;0)</f>
        <v>1</v>
      </c>
      <c r="Z161" s="14" cm="1">
        <f t="array" ref="Z161">INT(SUMPRODUCT(--ISNUMBER(SEARCH(bipartisan,C161)))&gt;0)</f>
        <v>0</v>
      </c>
      <c r="AA161" s="14">
        <f t="shared" si="2"/>
        <v>0</v>
      </c>
      <c r="AB161" s="14"/>
      <c r="AC161" s="30">
        <v>1</v>
      </c>
      <c r="AD161" s="37">
        <v>0</v>
      </c>
    </row>
    <row r="162" spans="1:30" x14ac:dyDescent="0.25">
      <c r="A162" s="36">
        <v>1625</v>
      </c>
      <c r="B162" s="14" t="s">
        <v>3277</v>
      </c>
      <c r="C162" s="14" t="s">
        <v>3278</v>
      </c>
      <c r="D162" s="17">
        <v>44129</v>
      </c>
      <c r="E162" s="14" t="s">
        <v>30</v>
      </c>
      <c r="F162" s="14">
        <v>11489</v>
      </c>
      <c r="G162" s="14">
        <v>3270</v>
      </c>
      <c r="H162" s="14">
        <v>8</v>
      </c>
      <c r="I162" s="14">
        <v>4</v>
      </c>
      <c r="J162" s="14" t="s">
        <v>204</v>
      </c>
      <c r="K162" s="14" cm="1">
        <f t="array" ref="K162">INT(SUMPRODUCT(--ISNUMBER(SEARCH(economy,C162)))&gt;0)</f>
        <v>0</v>
      </c>
      <c r="L162" s="14" cm="1">
        <f t="array" ref="L162">INT(SUMPRODUCT(--ISNUMBER(SEARCH(healthcare,C162)))&gt;0)</f>
        <v>1</v>
      </c>
      <c r="M162" s="14" cm="1">
        <f t="array" ref="M162">INT(SUMPRODUCT(--ISNUMBER(SEARCH(supreme,C162)))&gt;0)</f>
        <v>1</v>
      </c>
      <c r="N162" s="14" cm="1">
        <f t="array" ref="N162">INT(SUMPRODUCT(--ISNUMBER(SEARCH(covid,C162)))&gt;0)</f>
        <v>0</v>
      </c>
      <c r="O162" s="14" cm="1">
        <f t="array" ref="O162">INT(SUMPRODUCT(--ISNUMBER(SEARCH(violent,C162)))&gt;0)</f>
        <v>0</v>
      </c>
      <c r="P162" s="14" cm="1">
        <f t="array" ref="P162">INT(SUMPRODUCT(--ISNUMBER(SEARCH(foreign,C162)))&gt;0)</f>
        <v>0</v>
      </c>
      <c r="Q162" s="14" cm="1">
        <f t="array" ref="Q162">INT(SUMPRODUCT(--ISNUMBER(SEARCH(gun,C162)))&gt;0)</f>
        <v>0</v>
      </c>
      <c r="R162" s="14" cm="1">
        <f t="array" ref="R162">INT(SUMPRODUCT(--ISNUMBER(SEARCH(race,C162)))&gt;0)</f>
        <v>0</v>
      </c>
      <c r="S162" s="14" cm="1">
        <f t="array" ref="S162">INT(SUMPRODUCT(--ISNUMBER(SEARCH(immigration,C162)))&gt;0)</f>
        <v>0</v>
      </c>
      <c r="T162" s="14" cm="1">
        <f t="array" ref="T162">INT(SUMPRODUCT(--ISNUMBER(SEARCH(econineq,C163)))&gt;0)</f>
        <v>0</v>
      </c>
      <c r="U162" s="14" cm="1">
        <f t="array" ref="U162">INT(SUMPRODUCT(--ISNUMBER(SEARCH(climate,C162)))&gt;0)</f>
        <v>0</v>
      </c>
      <c r="V162" s="14" cm="1">
        <f t="array" ref="V162">INT(SUMPRODUCT(--ISNUMBER(SEARCH(abortion,C162)))&gt;0)</f>
        <v>1</v>
      </c>
      <c r="W162" s="14" cm="1">
        <f t="array" ref="W162">INT(SUMPRODUCT(--ISNUMBER(SEARCH(trump,C162)))&gt;0)</f>
        <v>0</v>
      </c>
      <c r="X162" s="14" cm="1">
        <f t="array" ref="X162">INT(SUMPRODUCT(--ISNUMBER(SEARCH(voting,C162)))&gt;0)</f>
        <v>1</v>
      </c>
      <c r="Y162" s="14" cm="1">
        <f t="array" ref="Y162">INT(SUMPRODUCT(--ISNUMBER(SEARCH(democrattrigger,C162)))&gt;0)</f>
        <v>1</v>
      </c>
      <c r="Z162" s="14" cm="1">
        <f t="array" ref="Z162">INT(SUMPRODUCT(--ISNUMBER(SEARCH(bipartisan,C162)))&gt;0)</f>
        <v>0</v>
      </c>
      <c r="AA162" s="14">
        <f t="shared" si="2"/>
        <v>0</v>
      </c>
      <c r="AB162" s="14"/>
      <c r="AC162" s="30" t="s">
        <v>223</v>
      </c>
      <c r="AD162" s="37" t="s">
        <v>223</v>
      </c>
    </row>
    <row r="163" spans="1:30" x14ac:dyDescent="0.25">
      <c r="A163" s="36">
        <v>1626</v>
      </c>
      <c r="B163" s="14" t="s">
        <v>3279</v>
      </c>
      <c r="C163" s="14" t="s">
        <v>3280</v>
      </c>
      <c r="D163" s="17">
        <v>44129</v>
      </c>
      <c r="E163" s="14" t="s">
        <v>30</v>
      </c>
      <c r="F163" s="14">
        <v>517</v>
      </c>
      <c r="G163" s="14">
        <v>85</v>
      </c>
      <c r="H163" s="14">
        <v>8</v>
      </c>
      <c r="I163" s="14">
        <v>4</v>
      </c>
      <c r="J163" s="14" t="s">
        <v>204</v>
      </c>
      <c r="K163" s="14" cm="1">
        <f t="array" ref="K163">INT(SUMPRODUCT(--ISNUMBER(SEARCH(economy,C163)))&gt;0)</f>
        <v>1</v>
      </c>
      <c r="L163" s="14" cm="1">
        <f t="array" ref="L163">INT(SUMPRODUCT(--ISNUMBER(SEARCH(healthcare,C163)))&gt;0)</f>
        <v>0</v>
      </c>
      <c r="M163" s="14" cm="1">
        <f t="array" ref="M163">INT(SUMPRODUCT(--ISNUMBER(SEARCH(supreme,C163)))&gt;0)</f>
        <v>0</v>
      </c>
      <c r="N163" s="14" cm="1">
        <f t="array" ref="N163">INT(SUMPRODUCT(--ISNUMBER(SEARCH(covid,C163)))&gt;0)</f>
        <v>0</v>
      </c>
      <c r="O163" s="14" cm="1">
        <f t="array" ref="O163">INT(SUMPRODUCT(--ISNUMBER(SEARCH(violent,C163)))&gt;0)</f>
        <v>0</v>
      </c>
      <c r="P163" s="14" cm="1">
        <f t="array" ref="P163">INT(SUMPRODUCT(--ISNUMBER(SEARCH(foreign,C163)))&gt;0)</f>
        <v>0</v>
      </c>
      <c r="Q163" s="14" cm="1">
        <f t="array" ref="Q163">INT(SUMPRODUCT(--ISNUMBER(SEARCH(gun,C163)))&gt;0)</f>
        <v>0</v>
      </c>
      <c r="R163" s="14" cm="1">
        <f t="array" ref="R163">INT(SUMPRODUCT(--ISNUMBER(SEARCH(race,C163)))&gt;0)</f>
        <v>0</v>
      </c>
      <c r="S163" s="14" cm="1">
        <f t="array" ref="S163">INT(SUMPRODUCT(--ISNUMBER(SEARCH(immigration,C163)))&gt;0)</f>
        <v>0</v>
      </c>
      <c r="T163" s="14" cm="1">
        <f t="array" ref="T163">INT(SUMPRODUCT(--ISNUMBER(SEARCH(econineq,C164)))&gt;0)</f>
        <v>0</v>
      </c>
      <c r="U163" s="14" cm="1">
        <f t="array" ref="U163">INT(SUMPRODUCT(--ISNUMBER(SEARCH(climate,C163)))&gt;0)</f>
        <v>0</v>
      </c>
      <c r="V163" s="14" cm="1">
        <f t="array" ref="V163">INT(SUMPRODUCT(--ISNUMBER(SEARCH(abortion,C163)))&gt;0)</f>
        <v>0</v>
      </c>
      <c r="W163" s="14" cm="1">
        <f t="array" ref="W163">INT(SUMPRODUCT(--ISNUMBER(SEARCH(trump,C163)))&gt;0)</f>
        <v>0</v>
      </c>
      <c r="X163" s="14" cm="1">
        <f t="array" ref="X163">INT(SUMPRODUCT(--ISNUMBER(SEARCH(voting,C163)))&gt;0)</f>
        <v>0</v>
      </c>
      <c r="Y163" s="14" cm="1">
        <f t="array" ref="Y163">INT(SUMPRODUCT(--ISNUMBER(SEARCH(democrattrigger,C163)))&gt;0)</f>
        <v>0</v>
      </c>
      <c r="Z163" s="14" cm="1">
        <f t="array" ref="Z163">INT(SUMPRODUCT(--ISNUMBER(SEARCH(bipartisan,C163)))&gt;0)</f>
        <v>0</v>
      </c>
      <c r="AA163" s="14">
        <f t="shared" si="2"/>
        <v>0</v>
      </c>
      <c r="AB163" s="14"/>
      <c r="AC163" s="30">
        <v>1</v>
      </c>
      <c r="AD163" s="37">
        <v>0</v>
      </c>
    </row>
    <row r="164" spans="1:30" x14ac:dyDescent="0.25">
      <c r="A164" s="36">
        <v>1627</v>
      </c>
      <c r="B164" s="14" t="s">
        <v>3281</v>
      </c>
      <c r="C164" s="14" t="s">
        <v>3282</v>
      </c>
      <c r="D164" s="17">
        <v>44129</v>
      </c>
      <c r="E164" s="14" t="s">
        <v>30</v>
      </c>
      <c r="F164" s="14">
        <v>2444</v>
      </c>
      <c r="G164" s="14">
        <v>655</v>
      </c>
      <c r="H164" s="14">
        <v>8</v>
      </c>
      <c r="I164" s="14">
        <v>4</v>
      </c>
      <c r="J164" s="14" t="s">
        <v>204</v>
      </c>
      <c r="K164" s="14" cm="1">
        <f t="array" ref="K164">INT(SUMPRODUCT(--ISNUMBER(SEARCH(economy,C164)))&gt;0)</f>
        <v>0</v>
      </c>
      <c r="L164" s="14" cm="1">
        <f t="array" ref="L164">INT(SUMPRODUCT(--ISNUMBER(SEARCH(healthcare,C164)))&gt;0)</f>
        <v>0</v>
      </c>
      <c r="M164" s="14" cm="1">
        <f t="array" ref="M164">INT(SUMPRODUCT(--ISNUMBER(SEARCH(supreme,C164)))&gt;0)</f>
        <v>0</v>
      </c>
      <c r="N164" s="14" cm="1">
        <f t="array" ref="N164">INT(SUMPRODUCT(--ISNUMBER(SEARCH(covid,C164)))&gt;0)</f>
        <v>0</v>
      </c>
      <c r="O164" s="14" cm="1">
        <f t="array" ref="O164">INT(SUMPRODUCT(--ISNUMBER(SEARCH(violent,C164)))&gt;0)</f>
        <v>0</v>
      </c>
      <c r="P164" s="14" cm="1">
        <f t="array" ref="P164">INT(SUMPRODUCT(--ISNUMBER(SEARCH(foreign,C164)))&gt;0)</f>
        <v>0</v>
      </c>
      <c r="Q164" s="14" cm="1">
        <f t="array" ref="Q164">INT(SUMPRODUCT(--ISNUMBER(SEARCH(gun,C164)))&gt;0)</f>
        <v>0</v>
      </c>
      <c r="R164" s="14" cm="1">
        <f t="array" ref="R164">INT(SUMPRODUCT(--ISNUMBER(SEARCH(race,C164)))&gt;0)</f>
        <v>0</v>
      </c>
      <c r="S164" s="14" cm="1">
        <f t="array" ref="S164">INT(SUMPRODUCT(--ISNUMBER(SEARCH(immigration,C164)))&gt;0)</f>
        <v>0</v>
      </c>
      <c r="T164" s="14" cm="1">
        <f t="array" ref="T164">INT(SUMPRODUCT(--ISNUMBER(SEARCH(econineq,C165)))&gt;0)</f>
        <v>0</v>
      </c>
      <c r="U164" s="14" cm="1">
        <f t="array" ref="U164">INT(SUMPRODUCT(--ISNUMBER(SEARCH(climate,C164)))&gt;0)</f>
        <v>0</v>
      </c>
      <c r="V164" s="14" cm="1">
        <f t="array" ref="V164">INT(SUMPRODUCT(--ISNUMBER(SEARCH(abortion,C164)))&gt;0)</f>
        <v>0</v>
      </c>
      <c r="W164" s="14" cm="1">
        <f t="array" ref="W164">INT(SUMPRODUCT(--ISNUMBER(SEARCH(trump,C164)))&gt;0)</f>
        <v>1</v>
      </c>
      <c r="X164" s="14" cm="1">
        <f t="array" ref="X164">INT(SUMPRODUCT(--ISNUMBER(SEARCH(voting,C164)))&gt;0)</f>
        <v>0</v>
      </c>
      <c r="Y164" s="14" cm="1">
        <f t="array" ref="Y164">INT(SUMPRODUCT(--ISNUMBER(SEARCH(democrattrigger,C164)))&gt;0)</f>
        <v>1</v>
      </c>
      <c r="Z164" s="14" cm="1">
        <f t="array" ref="Z164">INT(SUMPRODUCT(--ISNUMBER(SEARCH(bipartisan,C164)))&gt;0)</f>
        <v>0</v>
      </c>
      <c r="AA164" s="14">
        <f t="shared" si="2"/>
        <v>0</v>
      </c>
      <c r="AB164" s="14"/>
      <c r="AC164" s="30">
        <v>0</v>
      </c>
      <c r="AD164" s="37">
        <v>1</v>
      </c>
    </row>
    <row r="165" spans="1:30" x14ac:dyDescent="0.25">
      <c r="A165" s="36">
        <v>1628</v>
      </c>
      <c r="B165" s="14" t="s">
        <v>3283</v>
      </c>
      <c r="C165" s="14" t="s">
        <v>3284</v>
      </c>
      <c r="D165" s="17">
        <v>44129</v>
      </c>
      <c r="E165" s="14" t="s">
        <v>30</v>
      </c>
      <c r="F165" s="14">
        <v>3053</v>
      </c>
      <c r="G165" s="14">
        <v>743</v>
      </c>
      <c r="H165" s="14">
        <v>8</v>
      </c>
      <c r="I165" s="14">
        <v>4</v>
      </c>
      <c r="J165" s="14" t="s">
        <v>204</v>
      </c>
      <c r="K165" s="14" cm="1">
        <f t="array" ref="K165">INT(SUMPRODUCT(--ISNUMBER(SEARCH(economy,C165)))&gt;0)</f>
        <v>1</v>
      </c>
      <c r="L165" s="14" cm="1">
        <f t="array" ref="L165">INT(SUMPRODUCT(--ISNUMBER(SEARCH(healthcare,C165)))&gt;0)</f>
        <v>1</v>
      </c>
      <c r="M165" s="14" cm="1">
        <f t="array" ref="M165">INT(SUMPRODUCT(--ISNUMBER(SEARCH(supreme,C165)))&gt;0)</f>
        <v>0</v>
      </c>
      <c r="N165" s="14" cm="1">
        <f t="array" ref="N165">INT(SUMPRODUCT(--ISNUMBER(SEARCH(covid,C165)))&gt;0)</f>
        <v>0</v>
      </c>
      <c r="O165" s="14" cm="1">
        <f t="array" ref="O165">INT(SUMPRODUCT(--ISNUMBER(SEARCH(violent,C165)))&gt;0)</f>
        <v>0</v>
      </c>
      <c r="P165" s="14" cm="1">
        <f t="array" ref="P165">INT(SUMPRODUCT(--ISNUMBER(SEARCH(foreign,C165)))&gt;0)</f>
        <v>0</v>
      </c>
      <c r="Q165" s="14" cm="1">
        <f t="array" ref="Q165">INT(SUMPRODUCT(--ISNUMBER(SEARCH(gun,C165)))&gt;0)</f>
        <v>0</v>
      </c>
      <c r="R165" s="14" cm="1">
        <f t="array" ref="R165">INT(SUMPRODUCT(--ISNUMBER(SEARCH(race,C165)))&gt;0)</f>
        <v>0</v>
      </c>
      <c r="S165" s="14" cm="1">
        <f t="array" ref="S165">INT(SUMPRODUCT(--ISNUMBER(SEARCH(immigration,C165)))&gt;0)</f>
        <v>0</v>
      </c>
      <c r="T165" s="14" cm="1">
        <f t="array" ref="T165">INT(SUMPRODUCT(--ISNUMBER(SEARCH(econineq,C166)))&gt;0)</f>
        <v>0</v>
      </c>
      <c r="U165" s="14" cm="1">
        <f t="array" ref="U165">INT(SUMPRODUCT(--ISNUMBER(SEARCH(climate,C165)))&gt;0)</f>
        <v>0</v>
      </c>
      <c r="V165" s="14" cm="1">
        <f t="array" ref="V165">INT(SUMPRODUCT(--ISNUMBER(SEARCH(abortion,C165)))&gt;0)</f>
        <v>0</v>
      </c>
      <c r="W165" s="14" cm="1">
        <f t="array" ref="W165">INT(SUMPRODUCT(--ISNUMBER(SEARCH(trump,C165)))&gt;0)</f>
        <v>1</v>
      </c>
      <c r="X165" s="14" cm="1">
        <f t="array" ref="X165">INT(SUMPRODUCT(--ISNUMBER(SEARCH(voting,C165)))&gt;0)</f>
        <v>0</v>
      </c>
      <c r="Y165" s="14" cm="1">
        <f t="array" ref="Y165">INT(SUMPRODUCT(--ISNUMBER(SEARCH(democrattrigger,C165)))&gt;0)</f>
        <v>1</v>
      </c>
      <c r="Z165" s="14" cm="1">
        <f t="array" ref="Z165">INT(SUMPRODUCT(--ISNUMBER(SEARCH(bipartisan,C165)))&gt;0)</f>
        <v>0</v>
      </c>
      <c r="AA165" s="14">
        <f t="shared" si="2"/>
        <v>0</v>
      </c>
      <c r="AB165" s="14"/>
      <c r="AC165" s="30">
        <v>1</v>
      </c>
      <c r="AD165" s="37">
        <v>0</v>
      </c>
    </row>
    <row r="166" spans="1:30" x14ac:dyDescent="0.25">
      <c r="A166" s="36">
        <v>1629</v>
      </c>
      <c r="B166" s="14" t="s">
        <v>3285</v>
      </c>
      <c r="C166" s="14" t="s">
        <v>3286</v>
      </c>
      <c r="D166" s="17">
        <v>44129</v>
      </c>
      <c r="E166" s="14" t="s">
        <v>30</v>
      </c>
      <c r="F166" s="14">
        <v>9451</v>
      </c>
      <c r="G166" s="14">
        <v>3114</v>
      </c>
      <c r="H166" s="14">
        <v>8</v>
      </c>
      <c r="I166" s="14">
        <v>4</v>
      </c>
      <c r="J166" s="14" t="s">
        <v>204</v>
      </c>
      <c r="K166" s="14" cm="1">
        <f t="array" ref="K166">INT(SUMPRODUCT(--ISNUMBER(SEARCH(economy,C166)))&gt;0)</f>
        <v>0</v>
      </c>
      <c r="L166" s="14" cm="1">
        <f t="array" ref="L166">INT(SUMPRODUCT(--ISNUMBER(SEARCH(healthcare,C166)))&gt;0)</f>
        <v>0</v>
      </c>
      <c r="M166" s="14" cm="1">
        <f t="array" ref="M166">INT(SUMPRODUCT(--ISNUMBER(SEARCH(supreme,C166)))&gt;0)</f>
        <v>0</v>
      </c>
      <c r="N166" s="14" cm="1">
        <f t="array" ref="N166">INT(SUMPRODUCT(--ISNUMBER(SEARCH(covid,C166)))&gt;0)</f>
        <v>0</v>
      </c>
      <c r="O166" s="14" cm="1">
        <f t="array" ref="O166">INT(SUMPRODUCT(--ISNUMBER(SEARCH(violent,C166)))&gt;0)</f>
        <v>0</v>
      </c>
      <c r="P166" s="14" cm="1">
        <f t="array" ref="P166">INT(SUMPRODUCT(--ISNUMBER(SEARCH(foreign,C166)))&gt;0)</f>
        <v>0</v>
      </c>
      <c r="Q166" s="14" cm="1">
        <f t="array" ref="Q166">INT(SUMPRODUCT(--ISNUMBER(SEARCH(gun,C166)))&gt;0)</f>
        <v>0</v>
      </c>
      <c r="R166" s="14" cm="1">
        <f t="array" ref="R166">INT(SUMPRODUCT(--ISNUMBER(SEARCH(race,C166)))&gt;0)</f>
        <v>0</v>
      </c>
      <c r="S166" s="14" cm="1">
        <f t="array" ref="S166">INT(SUMPRODUCT(--ISNUMBER(SEARCH(immigration,C166)))&gt;0)</f>
        <v>0</v>
      </c>
      <c r="T166" s="14" cm="1">
        <f t="array" ref="T166">INT(SUMPRODUCT(--ISNUMBER(SEARCH(econineq,C167)))&gt;0)</f>
        <v>0</v>
      </c>
      <c r="U166" s="14" cm="1">
        <f t="array" ref="U166">INT(SUMPRODUCT(--ISNUMBER(SEARCH(climate,C166)))&gt;0)</f>
        <v>0</v>
      </c>
      <c r="V166" s="14" cm="1">
        <f t="array" ref="V166">INT(SUMPRODUCT(--ISNUMBER(SEARCH(abortion,C166)))&gt;0)</f>
        <v>0</v>
      </c>
      <c r="W166" s="14" cm="1">
        <f t="array" ref="W166">INT(SUMPRODUCT(--ISNUMBER(SEARCH(trump,C166)))&gt;0)</f>
        <v>1</v>
      </c>
      <c r="X166" s="14" cm="1">
        <f t="array" ref="X166">INT(SUMPRODUCT(--ISNUMBER(SEARCH(voting,C166)))&gt;0)</f>
        <v>1</v>
      </c>
      <c r="Y166" s="14" cm="1">
        <f t="array" ref="Y166">INT(SUMPRODUCT(--ISNUMBER(SEARCH(democrattrigger,C166)))&gt;0)</f>
        <v>1</v>
      </c>
      <c r="Z166" s="14" cm="1">
        <f t="array" ref="Z166">INT(SUMPRODUCT(--ISNUMBER(SEARCH(bipartisan,C166)))&gt;0)</f>
        <v>0</v>
      </c>
      <c r="AA166" s="14">
        <f t="shared" si="2"/>
        <v>0</v>
      </c>
      <c r="AB166" s="14"/>
      <c r="AC166" s="30" t="s">
        <v>223</v>
      </c>
      <c r="AD166" s="37" t="s">
        <v>223</v>
      </c>
    </row>
    <row r="167" spans="1:30" x14ac:dyDescent="0.25">
      <c r="A167" s="36">
        <v>1630</v>
      </c>
      <c r="B167" s="14" t="s">
        <v>3287</v>
      </c>
      <c r="C167" s="14" t="s">
        <v>3288</v>
      </c>
      <c r="D167" s="17">
        <v>44129</v>
      </c>
      <c r="E167" s="14" t="s">
        <v>30</v>
      </c>
      <c r="F167" s="14">
        <v>599</v>
      </c>
      <c r="G167" s="14">
        <v>191</v>
      </c>
      <c r="H167" s="14">
        <v>8</v>
      </c>
      <c r="I167" s="14">
        <v>4</v>
      </c>
      <c r="J167" s="14" t="s">
        <v>204</v>
      </c>
      <c r="K167" s="14" cm="1">
        <f t="array" ref="K167">INT(SUMPRODUCT(--ISNUMBER(SEARCH(economy,C167)))&gt;0)</f>
        <v>0</v>
      </c>
      <c r="L167" s="14" cm="1">
        <f t="array" ref="L167">INT(SUMPRODUCT(--ISNUMBER(SEARCH(healthcare,C167)))&gt;0)</f>
        <v>1</v>
      </c>
      <c r="M167" s="14" cm="1">
        <f t="array" ref="M167">INT(SUMPRODUCT(--ISNUMBER(SEARCH(supreme,C167)))&gt;0)</f>
        <v>0</v>
      </c>
      <c r="N167" s="14" cm="1">
        <f t="array" ref="N167">INT(SUMPRODUCT(--ISNUMBER(SEARCH(covid,C167)))&gt;0)</f>
        <v>0</v>
      </c>
      <c r="O167" s="14" cm="1">
        <f t="array" ref="O167">INT(SUMPRODUCT(--ISNUMBER(SEARCH(violent,C167)))&gt;0)</f>
        <v>0</v>
      </c>
      <c r="P167" s="14" cm="1">
        <f t="array" ref="P167">INT(SUMPRODUCT(--ISNUMBER(SEARCH(foreign,C167)))&gt;0)</f>
        <v>0</v>
      </c>
      <c r="Q167" s="14" cm="1">
        <f t="array" ref="Q167">INT(SUMPRODUCT(--ISNUMBER(SEARCH(gun,C167)))&gt;0)</f>
        <v>0</v>
      </c>
      <c r="R167" s="14" cm="1">
        <f t="array" ref="R167">INT(SUMPRODUCT(--ISNUMBER(SEARCH(race,C167)))&gt;0)</f>
        <v>0</v>
      </c>
      <c r="S167" s="14" cm="1">
        <f t="array" ref="S167">INT(SUMPRODUCT(--ISNUMBER(SEARCH(immigration,C167)))&gt;0)</f>
        <v>0</v>
      </c>
      <c r="T167" s="14" cm="1">
        <f t="array" ref="T167">INT(SUMPRODUCT(--ISNUMBER(SEARCH(econineq,C168)))&gt;0)</f>
        <v>0</v>
      </c>
      <c r="U167" s="14" cm="1">
        <f t="array" ref="U167">INT(SUMPRODUCT(--ISNUMBER(SEARCH(climate,C167)))&gt;0)</f>
        <v>0</v>
      </c>
      <c r="V167" s="14" cm="1">
        <f t="array" ref="V167">INT(SUMPRODUCT(--ISNUMBER(SEARCH(abortion,C167)))&gt;0)</f>
        <v>0</v>
      </c>
      <c r="W167" s="14" cm="1">
        <f t="array" ref="W167">INT(SUMPRODUCT(--ISNUMBER(SEARCH(trump,C167)))&gt;0)</f>
        <v>0</v>
      </c>
      <c r="X167" s="14" cm="1">
        <f t="array" ref="X167">INT(SUMPRODUCT(--ISNUMBER(SEARCH(voting,C167)))&gt;0)</f>
        <v>1</v>
      </c>
      <c r="Y167" s="14" cm="1">
        <f t="array" ref="Y167">INT(SUMPRODUCT(--ISNUMBER(SEARCH(democrattrigger,C167)))&gt;0)</f>
        <v>1</v>
      </c>
      <c r="Z167" s="14" cm="1">
        <f t="array" ref="Z167">INT(SUMPRODUCT(--ISNUMBER(SEARCH(bipartisan,C167)))&gt;0)</f>
        <v>0</v>
      </c>
      <c r="AA167" s="14">
        <f t="shared" si="2"/>
        <v>0</v>
      </c>
      <c r="AB167" s="14"/>
      <c r="AC167" s="30" t="s">
        <v>223</v>
      </c>
      <c r="AD167" s="37" t="s">
        <v>223</v>
      </c>
    </row>
    <row r="168" spans="1:30" x14ac:dyDescent="0.25">
      <c r="A168" s="36">
        <v>1631</v>
      </c>
      <c r="B168" s="14" t="s">
        <v>3289</v>
      </c>
      <c r="C168" s="14" t="s">
        <v>3290</v>
      </c>
      <c r="D168" s="17">
        <v>44129</v>
      </c>
      <c r="E168" s="14" t="s">
        <v>30</v>
      </c>
      <c r="F168" s="14">
        <v>1721</v>
      </c>
      <c r="G168" s="14">
        <v>311</v>
      </c>
      <c r="H168" s="14">
        <v>8</v>
      </c>
      <c r="I168" s="14">
        <v>4</v>
      </c>
      <c r="J168" s="14" t="s">
        <v>204</v>
      </c>
      <c r="K168" s="14" cm="1">
        <f t="array" ref="K168">INT(SUMPRODUCT(--ISNUMBER(SEARCH(economy,C168)))&gt;0)</f>
        <v>0</v>
      </c>
      <c r="L168" s="14" cm="1">
        <f t="array" ref="L168">INT(SUMPRODUCT(--ISNUMBER(SEARCH(healthcare,C168)))&gt;0)</f>
        <v>0</v>
      </c>
      <c r="M168" s="14" cm="1">
        <f t="array" ref="M168">INT(SUMPRODUCT(--ISNUMBER(SEARCH(supreme,C168)))&gt;0)</f>
        <v>0</v>
      </c>
      <c r="N168" s="14" cm="1">
        <f t="array" ref="N168">INT(SUMPRODUCT(--ISNUMBER(SEARCH(covid,C168)))&gt;0)</f>
        <v>0</v>
      </c>
      <c r="O168" s="14" cm="1">
        <f t="array" ref="O168">INT(SUMPRODUCT(--ISNUMBER(SEARCH(violent,C168)))&gt;0)</f>
        <v>0</v>
      </c>
      <c r="P168" s="14" cm="1">
        <f t="array" ref="P168">INT(SUMPRODUCT(--ISNUMBER(SEARCH(foreign,C168)))&gt;0)</f>
        <v>0</v>
      </c>
      <c r="Q168" s="14" cm="1">
        <f t="array" ref="Q168">INT(SUMPRODUCT(--ISNUMBER(SEARCH(gun,C168)))&gt;0)</f>
        <v>0</v>
      </c>
      <c r="R168" s="14" cm="1">
        <f t="array" ref="R168">INT(SUMPRODUCT(--ISNUMBER(SEARCH(race,C168)))&gt;0)</f>
        <v>0</v>
      </c>
      <c r="S168" s="14" cm="1">
        <f t="array" ref="S168">INT(SUMPRODUCT(--ISNUMBER(SEARCH(immigration,C168)))&gt;0)</f>
        <v>0</v>
      </c>
      <c r="T168" s="14" cm="1">
        <f t="array" ref="T168">INT(SUMPRODUCT(--ISNUMBER(SEARCH(econineq,C169)))&gt;0)</f>
        <v>0</v>
      </c>
      <c r="U168" s="14" cm="1">
        <f t="array" ref="U168">INT(SUMPRODUCT(--ISNUMBER(SEARCH(climate,C168)))&gt;0)</f>
        <v>1</v>
      </c>
      <c r="V168" s="14" cm="1">
        <f t="array" ref="V168">INT(SUMPRODUCT(--ISNUMBER(SEARCH(abortion,C168)))&gt;0)</f>
        <v>0</v>
      </c>
      <c r="W168" s="14" cm="1">
        <f t="array" ref="W168">INT(SUMPRODUCT(--ISNUMBER(SEARCH(trump,C168)))&gt;0)</f>
        <v>0</v>
      </c>
      <c r="X168" s="14" cm="1">
        <f t="array" ref="X168">INT(SUMPRODUCT(--ISNUMBER(SEARCH(voting,C168)))&gt;0)</f>
        <v>1</v>
      </c>
      <c r="Y168" s="14" cm="1">
        <f t="array" ref="Y168">INT(SUMPRODUCT(--ISNUMBER(SEARCH(democrattrigger,C168)))&gt;0)</f>
        <v>0</v>
      </c>
      <c r="Z168" s="14" cm="1">
        <f t="array" ref="Z168">INT(SUMPRODUCT(--ISNUMBER(SEARCH(bipartisan,C168)))&gt;0)</f>
        <v>0</v>
      </c>
      <c r="AA168" s="14">
        <f t="shared" si="2"/>
        <v>0</v>
      </c>
      <c r="AB168" s="14"/>
      <c r="AC168" s="30">
        <v>1</v>
      </c>
      <c r="AD168" s="37">
        <v>0</v>
      </c>
    </row>
    <row r="169" spans="1:30" x14ac:dyDescent="0.25">
      <c r="A169" s="36">
        <v>1632</v>
      </c>
      <c r="B169" s="14" t="s">
        <v>3291</v>
      </c>
      <c r="C169" s="14" t="s">
        <v>3292</v>
      </c>
      <c r="D169" s="17">
        <v>44129</v>
      </c>
      <c r="E169" s="14" t="s">
        <v>30</v>
      </c>
      <c r="F169" s="14">
        <v>3161</v>
      </c>
      <c r="G169" s="14">
        <v>824</v>
      </c>
      <c r="H169" s="14">
        <v>8</v>
      </c>
      <c r="I169" s="14">
        <v>4</v>
      </c>
      <c r="J169" s="14" t="s">
        <v>204</v>
      </c>
      <c r="K169" s="14" cm="1">
        <f t="array" ref="K169">INT(SUMPRODUCT(--ISNUMBER(SEARCH(economy,C169)))&gt;0)</f>
        <v>0</v>
      </c>
      <c r="L169" s="14" cm="1">
        <f t="array" ref="L169">INT(SUMPRODUCT(--ISNUMBER(SEARCH(healthcare,C169)))&gt;0)</f>
        <v>0</v>
      </c>
      <c r="M169" s="14" cm="1">
        <f t="array" ref="M169">INT(SUMPRODUCT(--ISNUMBER(SEARCH(supreme,C169)))&gt;0)</f>
        <v>0</v>
      </c>
      <c r="N169" s="14" cm="1">
        <f t="array" ref="N169">INT(SUMPRODUCT(--ISNUMBER(SEARCH(covid,C169)))&gt;0)</f>
        <v>0</v>
      </c>
      <c r="O169" s="14" cm="1">
        <f t="array" ref="O169">INT(SUMPRODUCT(--ISNUMBER(SEARCH(violent,C169)))&gt;0)</f>
        <v>0</v>
      </c>
      <c r="P169" s="14" cm="1">
        <f t="array" ref="P169">INT(SUMPRODUCT(--ISNUMBER(SEARCH(foreign,C169)))&gt;0)</f>
        <v>0</v>
      </c>
      <c r="Q169" s="14" cm="1">
        <f t="array" ref="Q169">INT(SUMPRODUCT(--ISNUMBER(SEARCH(gun,C169)))&gt;0)</f>
        <v>0</v>
      </c>
      <c r="R169" s="14" cm="1">
        <f t="array" ref="R169">INT(SUMPRODUCT(--ISNUMBER(SEARCH(race,C169)))&gt;0)</f>
        <v>0</v>
      </c>
      <c r="S169" s="14" cm="1">
        <f t="array" ref="S169">INT(SUMPRODUCT(--ISNUMBER(SEARCH(immigration,C169)))&gt;0)</f>
        <v>0</v>
      </c>
      <c r="T169" s="14" cm="1">
        <f t="array" ref="T169">INT(SUMPRODUCT(--ISNUMBER(SEARCH(econineq,C170)))&gt;0)</f>
        <v>0</v>
      </c>
      <c r="U169" s="14" cm="1">
        <f t="array" ref="U169">INT(SUMPRODUCT(--ISNUMBER(SEARCH(climate,C169)))&gt;0)</f>
        <v>0</v>
      </c>
      <c r="V169" s="14" cm="1">
        <f t="array" ref="V169">INT(SUMPRODUCT(--ISNUMBER(SEARCH(abortion,C169)))&gt;0)</f>
        <v>0</v>
      </c>
      <c r="W169" s="14" cm="1">
        <f t="array" ref="W169">INT(SUMPRODUCT(--ISNUMBER(SEARCH(trump,C169)))&gt;0)</f>
        <v>0</v>
      </c>
      <c r="X169" s="14" cm="1">
        <f t="array" ref="X169">INT(SUMPRODUCT(--ISNUMBER(SEARCH(voting,C169)))&gt;0)</f>
        <v>0</v>
      </c>
      <c r="Y169" s="14" cm="1">
        <f t="array" ref="Y169">INT(SUMPRODUCT(--ISNUMBER(SEARCH(democrattrigger,C169)))&gt;0)</f>
        <v>1</v>
      </c>
      <c r="Z169" s="14" cm="1">
        <f t="array" ref="Z169">INT(SUMPRODUCT(--ISNUMBER(SEARCH(bipartisan,C169)))&gt;0)</f>
        <v>1</v>
      </c>
      <c r="AA169" s="14">
        <f t="shared" si="2"/>
        <v>0</v>
      </c>
      <c r="AB169" s="14"/>
      <c r="AC169" s="30">
        <v>0</v>
      </c>
      <c r="AD169" s="37">
        <v>1</v>
      </c>
    </row>
    <row r="170" spans="1:30" x14ac:dyDescent="0.25">
      <c r="A170" s="36">
        <v>1633</v>
      </c>
      <c r="B170" s="14" t="s">
        <v>3293</v>
      </c>
      <c r="C170" s="14" t="s">
        <v>3294</v>
      </c>
      <c r="D170" s="17">
        <v>44128</v>
      </c>
      <c r="E170" s="14" t="s">
        <v>30</v>
      </c>
      <c r="F170" s="14">
        <v>5812</v>
      </c>
      <c r="G170" s="14">
        <v>2115</v>
      </c>
      <c r="H170" s="14">
        <v>8</v>
      </c>
      <c r="I170" s="14">
        <v>4</v>
      </c>
      <c r="J170" s="14" t="s">
        <v>204</v>
      </c>
      <c r="K170" s="14" cm="1">
        <f t="array" ref="K170">INT(SUMPRODUCT(--ISNUMBER(SEARCH(economy,C170)))&gt;0)</f>
        <v>0</v>
      </c>
      <c r="L170" s="14" cm="1">
        <f t="array" ref="L170">INT(SUMPRODUCT(--ISNUMBER(SEARCH(healthcare,C170)))&gt;0)</f>
        <v>0</v>
      </c>
      <c r="M170" s="14" cm="1">
        <f t="array" ref="M170">INT(SUMPRODUCT(--ISNUMBER(SEARCH(supreme,C170)))&gt;0)</f>
        <v>0</v>
      </c>
      <c r="N170" s="14" cm="1">
        <f t="array" ref="N170">INT(SUMPRODUCT(--ISNUMBER(SEARCH(covid,C170)))&gt;0)</f>
        <v>0</v>
      </c>
      <c r="O170" s="14" cm="1">
        <f t="array" ref="O170">INT(SUMPRODUCT(--ISNUMBER(SEARCH(violent,C170)))&gt;0)</f>
        <v>0</v>
      </c>
      <c r="P170" s="14" cm="1">
        <f t="array" ref="P170">INT(SUMPRODUCT(--ISNUMBER(SEARCH(foreign,C170)))&gt;0)</f>
        <v>0</v>
      </c>
      <c r="Q170" s="14" cm="1">
        <f t="array" ref="Q170">INT(SUMPRODUCT(--ISNUMBER(SEARCH(gun,C170)))&gt;0)</f>
        <v>0</v>
      </c>
      <c r="R170" s="14" cm="1">
        <f t="array" ref="R170">INT(SUMPRODUCT(--ISNUMBER(SEARCH(race,C170)))&gt;0)</f>
        <v>0</v>
      </c>
      <c r="S170" s="14" cm="1">
        <f t="array" ref="S170">INT(SUMPRODUCT(--ISNUMBER(SEARCH(immigration,C170)))&gt;0)</f>
        <v>0</v>
      </c>
      <c r="T170" s="14" cm="1">
        <f t="array" ref="T170">INT(SUMPRODUCT(--ISNUMBER(SEARCH(econineq,C171)))&gt;0)</f>
        <v>0</v>
      </c>
      <c r="U170" s="14" cm="1">
        <f t="array" ref="U170">INT(SUMPRODUCT(--ISNUMBER(SEARCH(climate,C170)))&gt;0)</f>
        <v>0</v>
      </c>
      <c r="V170" s="14" cm="1">
        <f t="array" ref="V170">INT(SUMPRODUCT(--ISNUMBER(SEARCH(abortion,C170)))&gt;0)</f>
        <v>0</v>
      </c>
      <c r="W170" s="14" cm="1">
        <f t="array" ref="W170">INT(SUMPRODUCT(--ISNUMBER(SEARCH(trump,C170)))&gt;0)</f>
        <v>0</v>
      </c>
      <c r="X170" s="14" cm="1">
        <f t="array" ref="X170">INT(SUMPRODUCT(--ISNUMBER(SEARCH(voting,C170)))&gt;0)</f>
        <v>1</v>
      </c>
      <c r="Y170" s="14" cm="1">
        <f t="array" ref="Y170">INT(SUMPRODUCT(--ISNUMBER(SEARCH(democrattrigger,C170)))&gt;0)</f>
        <v>1</v>
      </c>
      <c r="Z170" s="14" cm="1">
        <f t="array" ref="Z170">INT(SUMPRODUCT(--ISNUMBER(SEARCH(bipartisan,C170)))&gt;0)</f>
        <v>0</v>
      </c>
      <c r="AA170" s="14">
        <f t="shared" si="2"/>
        <v>0</v>
      </c>
      <c r="AB170" s="14"/>
      <c r="AC170" s="30">
        <v>0</v>
      </c>
      <c r="AD170" s="37">
        <v>1</v>
      </c>
    </row>
    <row r="171" spans="1:30" x14ac:dyDescent="0.25">
      <c r="A171" s="36">
        <v>1634</v>
      </c>
      <c r="B171" s="14" t="s">
        <v>3295</v>
      </c>
      <c r="C171" s="14" t="s">
        <v>3296</v>
      </c>
      <c r="D171" s="17">
        <v>44128</v>
      </c>
      <c r="E171" s="14" t="s">
        <v>30</v>
      </c>
      <c r="F171" s="14">
        <v>1385</v>
      </c>
      <c r="G171" s="14">
        <v>263</v>
      </c>
      <c r="H171" s="14">
        <v>8</v>
      </c>
      <c r="I171" s="14">
        <v>4</v>
      </c>
      <c r="J171" s="14" t="s">
        <v>204</v>
      </c>
      <c r="K171" s="14" cm="1">
        <f t="array" ref="K171">INT(SUMPRODUCT(--ISNUMBER(SEARCH(economy,C171)))&gt;0)</f>
        <v>0</v>
      </c>
      <c r="L171" s="14" cm="1">
        <f t="array" ref="L171">INT(SUMPRODUCT(--ISNUMBER(SEARCH(healthcare,C171)))&gt;0)</f>
        <v>1</v>
      </c>
      <c r="M171" s="14" cm="1">
        <f t="array" ref="M171">INT(SUMPRODUCT(--ISNUMBER(SEARCH(supreme,C171)))&gt;0)</f>
        <v>0</v>
      </c>
      <c r="N171" s="14" cm="1">
        <f t="array" ref="N171">INT(SUMPRODUCT(--ISNUMBER(SEARCH(covid,C171)))&gt;0)</f>
        <v>0</v>
      </c>
      <c r="O171" s="14" cm="1">
        <f t="array" ref="O171">INT(SUMPRODUCT(--ISNUMBER(SEARCH(violent,C171)))&gt;0)</f>
        <v>0</v>
      </c>
      <c r="P171" s="14" cm="1">
        <f t="array" ref="P171">INT(SUMPRODUCT(--ISNUMBER(SEARCH(foreign,C171)))&gt;0)</f>
        <v>0</v>
      </c>
      <c r="Q171" s="14" cm="1">
        <f t="array" ref="Q171">INT(SUMPRODUCT(--ISNUMBER(SEARCH(gun,C171)))&gt;0)</f>
        <v>0</v>
      </c>
      <c r="R171" s="14" cm="1">
        <f t="array" ref="R171">INT(SUMPRODUCT(--ISNUMBER(SEARCH(race,C171)))&gt;0)</f>
        <v>0</v>
      </c>
      <c r="S171" s="14" cm="1">
        <f t="array" ref="S171">INT(SUMPRODUCT(--ISNUMBER(SEARCH(immigration,C171)))&gt;0)</f>
        <v>0</v>
      </c>
      <c r="T171" s="14" cm="1">
        <f t="array" ref="T171">INT(SUMPRODUCT(--ISNUMBER(SEARCH(econineq,C172)))&gt;0)</f>
        <v>0</v>
      </c>
      <c r="U171" s="14" cm="1">
        <f t="array" ref="U171">INT(SUMPRODUCT(--ISNUMBER(SEARCH(climate,C171)))&gt;0)</f>
        <v>0</v>
      </c>
      <c r="V171" s="14" cm="1">
        <f t="array" ref="V171">INT(SUMPRODUCT(--ISNUMBER(SEARCH(abortion,C171)))&gt;0)</f>
        <v>0</v>
      </c>
      <c r="W171" s="14" cm="1">
        <f t="array" ref="W171">INT(SUMPRODUCT(--ISNUMBER(SEARCH(trump,C171)))&gt;0)</f>
        <v>0</v>
      </c>
      <c r="X171" s="14" cm="1">
        <f t="array" ref="X171">INT(SUMPRODUCT(--ISNUMBER(SEARCH(voting,C171)))&gt;0)</f>
        <v>1</v>
      </c>
      <c r="Y171" s="14" cm="1">
        <f t="array" ref="Y171">INT(SUMPRODUCT(--ISNUMBER(SEARCH(democrattrigger,C171)))&gt;0)</f>
        <v>1</v>
      </c>
      <c r="Z171" s="14" cm="1">
        <f t="array" ref="Z171">INT(SUMPRODUCT(--ISNUMBER(SEARCH(bipartisan,C171)))&gt;0)</f>
        <v>0</v>
      </c>
      <c r="AA171" s="14">
        <f t="shared" si="2"/>
        <v>0</v>
      </c>
      <c r="AB171" s="14"/>
      <c r="AC171" s="30">
        <v>1</v>
      </c>
      <c r="AD171" s="37">
        <v>0</v>
      </c>
    </row>
    <row r="172" spans="1:30" x14ac:dyDescent="0.25">
      <c r="A172" s="36">
        <v>1635</v>
      </c>
      <c r="B172" s="14" t="s">
        <v>3297</v>
      </c>
      <c r="C172" s="14" t="s">
        <v>3298</v>
      </c>
      <c r="D172" s="17">
        <v>44128</v>
      </c>
      <c r="E172" s="14" t="s">
        <v>30</v>
      </c>
      <c r="F172" s="14">
        <v>968</v>
      </c>
      <c r="G172" s="14">
        <v>245</v>
      </c>
      <c r="H172" s="14">
        <v>8</v>
      </c>
      <c r="I172" s="14">
        <v>4</v>
      </c>
      <c r="J172" s="14" t="s">
        <v>204</v>
      </c>
      <c r="K172" s="14" cm="1">
        <f t="array" ref="K172">INT(SUMPRODUCT(--ISNUMBER(SEARCH(economy,C172)))&gt;0)</f>
        <v>0</v>
      </c>
      <c r="L172" s="14" cm="1">
        <f t="array" ref="L172">INT(SUMPRODUCT(--ISNUMBER(SEARCH(healthcare,C172)))&gt;0)</f>
        <v>0</v>
      </c>
      <c r="M172" s="14" cm="1">
        <f t="array" ref="M172">INT(SUMPRODUCT(--ISNUMBER(SEARCH(supreme,C172)))&gt;0)</f>
        <v>0</v>
      </c>
      <c r="N172" s="14" cm="1">
        <f t="array" ref="N172">INT(SUMPRODUCT(--ISNUMBER(SEARCH(covid,C172)))&gt;0)</f>
        <v>1</v>
      </c>
      <c r="O172" s="14" cm="1">
        <f t="array" ref="O172">INT(SUMPRODUCT(--ISNUMBER(SEARCH(violent,C172)))&gt;0)</f>
        <v>0</v>
      </c>
      <c r="P172" s="14" cm="1">
        <f t="array" ref="P172">INT(SUMPRODUCT(--ISNUMBER(SEARCH(foreign,C172)))&gt;0)</f>
        <v>0</v>
      </c>
      <c r="Q172" s="14" cm="1">
        <f t="array" ref="Q172">INT(SUMPRODUCT(--ISNUMBER(SEARCH(gun,C172)))&gt;0)</f>
        <v>0</v>
      </c>
      <c r="R172" s="14" cm="1">
        <f t="array" ref="R172">INT(SUMPRODUCT(--ISNUMBER(SEARCH(race,C172)))&gt;0)</f>
        <v>0</v>
      </c>
      <c r="S172" s="14" cm="1">
        <f t="array" ref="S172">INT(SUMPRODUCT(--ISNUMBER(SEARCH(immigration,C172)))&gt;0)</f>
        <v>0</v>
      </c>
      <c r="T172" s="14" cm="1">
        <f t="array" ref="T172">INT(SUMPRODUCT(--ISNUMBER(SEARCH(econineq,C173)))&gt;0)</f>
        <v>0</v>
      </c>
      <c r="U172" s="14" cm="1">
        <f t="array" ref="U172">INT(SUMPRODUCT(--ISNUMBER(SEARCH(climate,C172)))&gt;0)</f>
        <v>0</v>
      </c>
      <c r="V172" s="14" cm="1">
        <f t="array" ref="V172">INT(SUMPRODUCT(--ISNUMBER(SEARCH(abortion,C172)))&gt;0)</f>
        <v>0</v>
      </c>
      <c r="W172" s="14" cm="1">
        <f t="array" ref="W172">INT(SUMPRODUCT(--ISNUMBER(SEARCH(trump,C172)))&gt;0)</f>
        <v>0</v>
      </c>
      <c r="X172" s="14" cm="1">
        <f t="array" ref="X172">INT(SUMPRODUCT(--ISNUMBER(SEARCH(voting,C172)))&gt;0)</f>
        <v>0</v>
      </c>
      <c r="Y172" s="14" cm="1">
        <f t="array" ref="Y172">INT(SUMPRODUCT(--ISNUMBER(SEARCH(democrattrigger,C172)))&gt;0)</f>
        <v>1</v>
      </c>
      <c r="Z172" s="14" cm="1">
        <f t="array" ref="Z172">INT(SUMPRODUCT(--ISNUMBER(SEARCH(bipartisan,C172)))&gt;0)</f>
        <v>1</v>
      </c>
      <c r="AA172" s="14">
        <f t="shared" si="2"/>
        <v>0</v>
      </c>
      <c r="AB172" s="14"/>
      <c r="AC172" s="30" t="s">
        <v>223</v>
      </c>
      <c r="AD172" s="37" t="s">
        <v>223</v>
      </c>
    </row>
    <row r="173" spans="1:30" x14ac:dyDescent="0.25">
      <c r="A173" s="36">
        <v>1636</v>
      </c>
      <c r="B173" s="14" t="s">
        <v>3299</v>
      </c>
      <c r="C173" s="14" t="s">
        <v>3300</v>
      </c>
      <c r="D173" s="17">
        <v>44128</v>
      </c>
      <c r="E173" s="14" t="s">
        <v>30</v>
      </c>
      <c r="F173" s="14">
        <v>516</v>
      </c>
      <c r="G173" s="14">
        <v>108</v>
      </c>
      <c r="H173" s="14">
        <v>8</v>
      </c>
      <c r="I173" s="14">
        <v>4</v>
      </c>
      <c r="J173" s="14" t="s">
        <v>204</v>
      </c>
      <c r="K173" s="14" cm="1">
        <f t="array" ref="K173">INT(SUMPRODUCT(--ISNUMBER(SEARCH(economy,C173)))&gt;0)</f>
        <v>1</v>
      </c>
      <c r="L173" s="14" cm="1">
        <f t="array" ref="L173">INT(SUMPRODUCT(--ISNUMBER(SEARCH(healthcare,C173)))&gt;0)</f>
        <v>0</v>
      </c>
      <c r="M173" s="14" cm="1">
        <f t="array" ref="M173">INT(SUMPRODUCT(--ISNUMBER(SEARCH(supreme,C173)))&gt;0)</f>
        <v>0</v>
      </c>
      <c r="N173" s="14" cm="1">
        <f t="array" ref="N173">INT(SUMPRODUCT(--ISNUMBER(SEARCH(covid,C173)))&gt;0)</f>
        <v>0</v>
      </c>
      <c r="O173" s="14" cm="1">
        <f t="array" ref="O173">INT(SUMPRODUCT(--ISNUMBER(SEARCH(violent,C173)))&gt;0)</f>
        <v>0</v>
      </c>
      <c r="P173" s="14" cm="1">
        <f t="array" ref="P173">INT(SUMPRODUCT(--ISNUMBER(SEARCH(foreign,C173)))&gt;0)</f>
        <v>0</v>
      </c>
      <c r="Q173" s="14" cm="1">
        <f t="array" ref="Q173">INT(SUMPRODUCT(--ISNUMBER(SEARCH(gun,C173)))&gt;0)</f>
        <v>0</v>
      </c>
      <c r="R173" s="14" cm="1">
        <f t="array" ref="R173">INT(SUMPRODUCT(--ISNUMBER(SEARCH(race,C173)))&gt;0)</f>
        <v>0</v>
      </c>
      <c r="S173" s="14" cm="1">
        <f t="array" ref="S173">INT(SUMPRODUCT(--ISNUMBER(SEARCH(immigration,C173)))&gt;0)</f>
        <v>0</v>
      </c>
      <c r="T173" s="14" cm="1">
        <f t="array" ref="T173">INT(SUMPRODUCT(--ISNUMBER(SEARCH(econineq,C174)))&gt;0)</f>
        <v>0</v>
      </c>
      <c r="U173" s="14" cm="1">
        <f t="array" ref="U173">INT(SUMPRODUCT(--ISNUMBER(SEARCH(climate,C173)))&gt;0)</f>
        <v>0</v>
      </c>
      <c r="V173" s="14" cm="1">
        <f t="array" ref="V173">INT(SUMPRODUCT(--ISNUMBER(SEARCH(abortion,C173)))&gt;0)</f>
        <v>0</v>
      </c>
      <c r="W173" s="14" cm="1">
        <f t="array" ref="W173">INT(SUMPRODUCT(--ISNUMBER(SEARCH(trump,C173)))&gt;0)</f>
        <v>0</v>
      </c>
      <c r="X173" s="14" cm="1">
        <f t="array" ref="X173">INT(SUMPRODUCT(--ISNUMBER(SEARCH(voting,C173)))&gt;0)</f>
        <v>1</v>
      </c>
      <c r="Y173" s="14" cm="1">
        <f t="array" ref="Y173">INT(SUMPRODUCT(--ISNUMBER(SEARCH(democrattrigger,C173)))&gt;0)</f>
        <v>0</v>
      </c>
      <c r="Z173" s="14" cm="1">
        <f t="array" ref="Z173">INT(SUMPRODUCT(--ISNUMBER(SEARCH(bipartisan,C173)))&gt;0)</f>
        <v>0</v>
      </c>
      <c r="AA173" s="14">
        <f t="shared" si="2"/>
        <v>0</v>
      </c>
      <c r="AB173" s="14"/>
      <c r="AC173" s="30">
        <v>1</v>
      </c>
      <c r="AD173" s="37">
        <v>0</v>
      </c>
    </row>
    <row r="174" spans="1:30" x14ac:dyDescent="0.25">
      <c r="A174" s="36">
        <v>1637</v>
      </c>
      <c r="B174" s="14" t="s">
        <v>3301</v>
      </c>
      <c r="C174" s="14" t="s">
        <v>3302</v>
      </c>
      <c r="D174" s="17">
        <v>44128</v>
      </c>
      <c r="E174" s="14" t="s">
        <v>30</v>
      </c>
      <c r="F174" s="14">
        <v>620</v>
      </c>
      <c r="G174" s="14">
        <v>186</v>
      </c>
      <c r="H174" s="14">
        <v>8</v>
      </c>
      <c r="I174" s="14">
        <v>4</v>
      </c>
      <c r="J174" s="14" t="s">
        <v>204</v>
      </c>
      <c r="K174" s="14" cm="1">
        <f t="array" ref="K174">INT(SUMPRODUCT(--ISNUMBER(SEARCH(economy,C174)))&gt;0)</f>
        <v>0</v>
      </c>
      <c r="L174" s="14" cm="1">
        <f t="array" ref="L174">INT(SUMPRODUCT(--ISNUMBER(SEARCH(healthcare,C174)))&gt;0)</f>
        <v>0</v>
      </c>
      <c r="M174" s="14" cm="1">
        <f t="array" ref="M174">INT(SUMPRODUCT(--ISNUMBER(SEARCH(supreme,C174)))&gt;0)</f>
        <v>0</v>
      </c>
      <c r="N174" s="14" cm="1">
        <f t="array" ref="N174">INT(SUMPRODUCT(--ISNUMBER(SEARCH(covid,C174)))&gt;0)</f>
        <v>0</v>
      </c>
      <c r="O174" s="14" cm="1">
        <f t="array" ref="O174">INT(SUMPRODUCT(--ISNUMBER(SEARCH(violent,C174)))&gt;0)</f>
        <v>0</v>
      </c>
      <c r="P174" s="14" cm="1">
        <f t="array" ref="P174">INT(SUMPRODUCT(--ISNUMBER(SEARCH(foreign,C174)))&gt;0)</f>
        <v>0</v>
      </c>
      <c r="Q174" s="14" cm="1">
        <f t="array" ref="Q174">INT(SUMPRODUCT(--ISNUMBER(SEARCH(gun,C174)))&gt;0)</f>
        <v>0</v>
      </c>
      <c r="R174" s="14" cm="1">
        <f t="array" ref="R174">INT(SUMPRODUCT(--ISNUMBER(SEARCH(race,C174)))&gt;0)</f>
        <v>0</v>
      </c>
      <c r="S174" s="14" cm="1">
        <f t="array" ref="S174">INT(SUMPRODUCT(--ISNUMBER(SEARCH(immigration,C174)))&gt;0)</f>
        <v>0</v>
      </c>
      <c r="T174" s="14" cm="1">
        <f t="array" ref="T174">INT(SUMPRODUCT(--ISNUMBER(SEARCH(econineq,C175)))&gt;0)</f>
        <v>0</v>
      </c>
      <c r="U174" s="14" cm="1">
        <f t="array" ref="U174">INT(SUMPRODUCT(--ISNUMBER(SEARCH(climate,C174)))&gt;0)</f>
        <v>1</v>
      </c>
      <c r="V174" s="14" cm="1">
        <f t="array" ref="V174">INT(SUMPRODUCT(--ISNUMBER(SEARCH(abortion,C174)))&gt;0)</f>
        <v>0</v>
      </c>
      <c r="W174" s="14" cm="1">
        <f t="array" ref="W174">INT(SUMPRODUCT(--ISNUMBER(SEARCH(trump,C174)))&gt;0)</f>
        <v>0</v>
      </c>
      <c r="X174" s="14" cm="1">
        <f t="array" ref="X174">INT(SUMPRODUCT(--ISNUMBER(SEARCH(voting,C174)))&gt;0)</f>
        <v>0</v>
      </c>
      <c r="Y174" s="14" cm="1">
        <f t="array" ref="Y174">INT(SUMPRODUCT(--ISNUMBER(SEARCH(democrattrigger,C174)))&gt;0)</f>
        <v>0</v>
      </c>
      <c r="Z174" s="14" cm="1">
        <f t="array" ref="Z174">INT(SUMPRODUCT(--ISNUMBER(SEARCH(bipartisan,C174)))&gt;0)</f>
        <v>0</v>
      </c>
      <c r="AA174" s="14">
        <f t="shared" si="2"/>
        <v>0</v>
      </c>
      <c r="AB174" s="14"/>
      <c r="AC174" s="30">
        <v>0</v>
      </c>
      <c r="AD174" s="37">
        <v>1</v>
      </c>
    </row>
    <row r="175" spans="1:30" x14ac:dyDescent="0.25">
      <c r="A175" s="36">
        <v>1638</v>
      </c>
      <c r="B175" s="14" t="s">
        <v>3303</v>
      </c>
      <c r="C175" s="14" t="s">
        <v>3304</v>
      </c>
      <c r="D175" s="17">
        <v>44128</v>
      </c>
      <c r="E175" s="14" t="s">
        <v>30</v>
      </c>
      <c r="F175" s="14">
        <v>898</v>
      </c>
      <c r="G175" s="14">
        <v>233</v>
      </c>
      <c r="H175" s="14">
        <v>8</v>
      </c>
      <c r="I175" s="14">
        <v>4</v>
      </c>
      <c r="J175" s="14" t="s">
        <v>204</v>
      </c>
      <c r="K175" s="14" cm="1">
        <f t="array" ref="K175">INT(SUMPRODUCT(--ISNUMBER(SEARCH(economy,C175)))&gt;0)</f>
        <v>0</v>
      </c>
      <c r="L175" s="14" cm="1">
        <f t="array" ref="L175">INT(SUMPRODUCT(--ISNUMBER(SEARCH(healthcare,C175)))&gt;0)</f>
        <v>1</v>
      </c>
      <c r="M175" s="14" cm="1">
        <f t="array" ref="M175">INT(SUMPRODUCT(--ISNUMBER(SEARCH(supreme,C175)))&gt;0)</f>
        <v>0</v>
      </c>
      <c r="N175" s="14" cm="1">
        <f t="array" ref="N175">INT(SUMPRODUCT(--ISNUMBER(SEARCH(covid,C175)))&gt;0)</f>
        <v>0</v>
      </c>
      <c r="O175" s="14" cm="1">
        <f t="array" ref="O175">INT(SUMPRODUCT(--ISNUMBER(SEARCH(violent,C175)))&gt;0)</f>
        <v>0</v>
      </c>
      <c r="P175" s="14" cm="1">
        <f t="array" ref="P175">INT(SUMPRODUCT(--ISNUMBER(SEARCH(foreign,C175)))&gt;0)</f>
        <v>0</v>
      </c>
      <c r="Q175" s="14" cm="1">
        <f t="array" ref="Q175">INT(SUMPRODUCT(--ISNUMBER(SEARCH(gun,C175)))&gt;0)</f>
        <v>0</v>
      </c>
      <c r="R175" s="14" cm="1">
        <f t="array" ref="R175">INT(SUMPRODUCT(--ISNUMBER(SEARCH(race,C175)))&gt;0)</f>
        <v>0</v>
      </c>
      <c r="S175" s="14" cm="1">
        <f t="array" ref="S175">INT(SUMPRODUCT(--ISNUMBER(SEARCH(immigration,C175)))&gt;0)</f>
        <v>0</v>
      </c>
      <c r="T175" s="14" cm="1">
        <f t="array" ref="T175">INT(SUMPRODUCT(--ISNUMBER(SEARCH(econineq,C176)))&gt;0)</f>
        <v>0</v>
      </c>
      <c r="U175" s="14" cm="1">
        <f t="array" ref="U175">INT(SUMPRODUCT(--ISNUMBER(SEARCH(climate,C175)))&gt;0)</f>
        <v>0</v>
      </c>
      <c r="V175" s="14" cm="1">
        <f t="array" ref="V175">INT(SUMPRODUCT(--ISNUMBER(SEARCH(abortion,C175)))&gt;0)</f>
        <v>0</v>
      </c>
      <c r="W175" s="14" cm="1">
        <f t="array" ref="W175">INT(SUMPRODUCT(--ISNUMBER(SEARCH(trump,C175)))&gt;0)</f>
        <v>0</v>
      </c>
      <c r="X175" s="14" cm="1">
        <f t="array" ref="X175">INT(SUMPRODUCT(--ISNUMBER(SEARCH(voting,C175)))&gt;0)</f>
        <v>1</v>
      </c>
      <c r="Y175" s="14" cm="1">
        <f t="array" ref="Y175">INT(SUMPRODUCT(--ISNUMBER(SEARCH(democrattrigger,C175)))&gt;0)</f>
        <v>1</v>
      </c>
      <c r="Z175" s="14" cm="1">
        <f t="array" ref="Z175">INT(SUMPRODUCT(--ISNUMBER(SEARCH(bipartisan,C175)))&gt;0)</f>
        <v>0</v>
      </c>
      <c r="AA175" s="14">
        <f t="shared" si="2"/>
        <v>0</v>
      </c>
      <c r="AB175" s="14"/>
      <c r="AC175" s="30" t="s">
        <v>223</v>
      </c>
      <c r="AD175" s="37" t="s">
        <v>223</v>
      </c>
    </row>
    <row r="176" spans="1:30" x14ac:dyDescent="0.25">
      <c r="A176" s="36">
        <v>1639</v>
      </c>
      <c r="B176" s="14" t="s">
        <v>3305</v>
      </c>
      <c r="C176" s="14" t="s">
        <v>3306</v>
      </c>
      <c r="D176" s="17">
        <v>44128</v>
      </c>
      <c r="E176" s="14" t="s">
        <v>30</v>
      </c>
      <c r="F176" s="14">
        <v>543</v>
      </c>
      <c r="G176" s="14">
        <v>179</v>
      </c>
      <c r="H176" s="14">
        <v>8</v>
      </c>
      <c r="I176" s="14">
        <v>4</v>
      </c>
      <c r="J176" s="14" t="s">
        <v>204</v>
      </c>
      <c r="K176" s="14" cm="1">
        <f t="array" ref="K176">INT(SUMPRODUCT(--ISNUMBER(SEARCH(economy,C176)))&gt;0)</f>
        <v>0</v>
      </c>
      <c r="L176" s="14" cm="1">
        <f t="array" ref="L176">INT(SUMPRODUCT(--ISNUMBER(SEARCH(healthcare,C176)))&gt;0)</f>
        <v>1</v>
      </c>
      <c r="M176" s="14" cm="1">
        <f t="array" ref="M176">INT(SUMPRODUCT(--ISNUMBER(SEARCH(supreme,C176)))&gt;0)</f>
        <v>0</v>
      </c>
      <c r="N176" s="14" cm="1">
        <f t="array" ref="N176">INT(SUMPRODUCT(--ISNUMBER(SEARCH(covid,C176)))&gt;0)</f>
        <v>0</v>
      </c>
      <c r="O176" s="14" cm="1">
        <f t="array" ref="O176">INT(SUMPRODUCT(--ISNUMBER(SEARCH(violent,C176)))&gt;0)</f>
        <v>0</v>
      </c>
      <c r="P176" s="14" cm="1">
        <f t="array" ref="P176">INT(SUMPRODUCT(--ISNUMBER(SEARCH(foreign,C176)))&gt;0)</f>
        <v>0</v>
      </c>
      <c r="Q176" s="14" cm="1">
        <f t="array" ref="Q176">INT(SUMPRODUCT(--ISNUMBER(SEARCH(gun,C176)))&gt;0)</f>
        <v>0</v>
      </c>
      <c r="R176" s="14" cm="1">
        <f t="array" ref="R176">INT(SUMPRODUCT(--ISNUMBER(SEARCH(race,C176)))&gt;0)</f>
        <v>0</v>
      </c>
      <c r="S176" s="14" cm="1">
        <f t="array" ref="S176">INT(SUMPRODUCT(--ISNUMBER(SEARCH(immigration,C176)))&gt;0)</f>
        <v>0</v>
      </c>
      <c r="T176" s="14" cm="1">
        <f t="array" ref="T176">INT(SUMPRODUCT(--ISNUMBER(SEARCH(econineq,C177)))&gt;0)</f>
        <v>0</v>
      </c>
      <c r="U176" s="14" cm="1">
        <f t="array" ref="U176">INT(SUMPRODUCT(--ISNUMBER(SEARCH(climate,C176)))&gt;0)</f>
        <v>0</v>
      </c>
      <c r="V176" s="14" cm="1">
        <f t="array" ref="V176">INT(SUMPRODUCT(--ISNUMBER(SEARCH(abortion,C176)))&gt;0)</f>
        <v>0</v>
      </c>
      <c r="W176" s="14" cm="1">
        <f t="array" ref="W176">INT(SUMPRODUCT(--ISNUMBER(SEARCH(trump,C176)))&gt;0)</f>
        <v>0</v>
      </c>
      <c r="X176" s="14" cm="1">
        <f t="array" ref="X176">INT(SUMPRODUCT(--ISNUMBER(SEARCH(voting,C176)))&gt;0)</f>
        <v>1</v>
      </c>
      <c r="Y176" s="14" cm="1">
        <f t="array" ref="Y176">INT(SUMPRODUCT(--ISNUMBER(SEARCH(democrattrigger,C176)))&gt;0)</f>
        <v>0</v>
      </c>
      <c r="Z176" s="14" cm="1">
        <f t="array" ref="Z176">INT(SUMPRODUCT(--ISNUMBER(SEARCH(bipartisan,C176)))&gt;0)</f>
        <v>0</v>
      </c>
      <c r="AA176" s="14">
        <f t="shared" si="2"/>
        <v>0</v>
      </c>
      <c r="AB176" s="14"/>
      <c r="AC176" s="30" t="s">
        <v>223</v>
      </c>
      <c r="AD176" s="37" t="s">
        <v>223</v>
      </c>
    </row>
    <row r="177" spans="1:30" x14ac:dyDescent="0.25">
      <c r="A177" s="36">
        <v>1640</v>
      </c>
      <c r="B177" s="14" t="s">
        <v>3307</v>
      </c>
      <c r="C177" s="14" t="s">
        <v>3308</v>
      </c>
      <c r="D177" s="17">
        <v>44128</v>
      </c>
      <c r="E177" s="14" t="s">
        <v>30</v>
      </c>
      <c r="F177" s="14">
        <v>1288</v>
      </c>
      <c r="G177" s="14">
        <v>254</v>
      </c>
      <c r="H177" s="14">
        <v>8</v>
      </c>
      <c r="I177" s="14">
        <v>4</v>
      </c>
      <c r="J177" s="14" t="s">
        <v>204</v>
      </c>
      <c r="K177" s="14" cm="1">
        <f t="array" ref="K177">INT(SUMPRODUCT(--ISNUMBER(SEARCH(economy,C177)))&gt;0)</f>
        <v>1</v>
      </c>
      <c r="L177" s="14" cm="1">
        <f t="array" ref="L177">INT(SUMPRODUCT(--ISNUMBER(SEARCH(healthcare,C177)))&gt;0)</f>
        <v>0</v>
      </c>
      <c r="M177" s="14" cm="1">
        <f t="array" ref="M177">INT(SUMPRODUCT(--ISNUMBER(SEARCH(supreme,C177)))&gt;0)</f>
        <v>0</v>
      </c>
      <c r="N177" s="14" cm="1">
        <f t="array" ref="N177">INT(SUMPRODUCT(--ISNUMBER(SEARCH(covid,C177)))&gt;0)</f>
        <v>0</v>
      </c>
      <c r="O177" s="14" cm="1">
        <f t="array" ref="O177">INT(SUMPRODUCT(--ISNUMBER(SEARCH(violent,C177)))&gt;0)</f>
        <v>0</v>
      </c>
      <c r="P177" s="14" cm="1">
        <f t="array" ref="P177">INT(SUMPRODUCT(--ISNUMBER(SEARCH(foreign,C177)))&gt;0)</f>
        <v>0</v>
      </c>
      <c r="Q177" s="14" cm="1">
        <f t="array" ref="Q177">INT(SUMPRODUCT(--ISNUMBER(SEARCH(gun,C177)))&gt;0)</f>
        <v>0</v>
      </c>
      <c r="R177" s="14" cm="1">
        <f t="array" ref="R177">INT(SUMPRODUCT(--ISNUMBER(SEARCH(race,C177)))&gt;0)</f>
        <v>0</v>
      </c>
      <c r="S177" s="14" cm="1">
        <f t="array" ref="S177">INT(SUMPRODUCT(--ISNUMBER(SEARCH(immigration,C177)))&gt;0)</f>
        <v>0</v>
      </c>
      <c r="T177" s="14" cm="1">
        <f t="array" ref="T177">INT(SUMPRODUCT(--ISNUMBER(SEARCH(econineq,C178)))&gt;0)</f>
        <v>0</v>
      </c>
      <c r="U177" s="14" cm="1">
        <f t="array" ref="U177">INT(SUMPRODUCT(--ISNUMBER(SEARCH(climate,C177)))&gt;0)</f>
        <v>0</v>
      </c>
      <c r="V177" s="14" cm="1">
        <f t="array" ref="V177">INT(SUMPRODUCT(--ISNUMBER(SEARCH(abortion,C177)))&gt;0)</f>
        <v>0</v>
      </c>
      <c r="W177" s="14" cm="1">
        <f t="array" ref="W177">INT(SUMPRODUCT(--ISNUMBER(SEARCH(trump,C177)))&gt;0)</f>
        <v>0</v>
      </c>
      <c r="X177" s="14" cm="1">
        <f t="array" ref="X177">INT(SUMPRODUCT(--ISNUMBER(SEARCH(voting,C177)))&gt;0)</f>
        <v>0</v>
      </c>
      <c r="Y177" s="14" cm="1">
        <f t="array" ref="Y177">INT(SUMPRODUCT(--ISNUMBER(SEARCH(democrattrigger,C177)))&gt;0)</f>
        <v>0</v>
      </c>
      <c r="Z177" s="14" cm="1">
        <f t="array" ref="Z177">INT(SUMPRODUCT(--ISNUMBER(SEARCH(bipartisan,C177)))&gt;0)</f>
        <v>0</v>
      </c>
      <c r="AA177" s="14">
        <f t="shared" si="2"/>
        <v>0</v>
      </c>
      <c r="AB177" s="14"/>
      <c r="AC177" s="30">
        <v>1</v>
      </c>
      <c r="AD177" s="37">
        <v>0</v>
      </c>
    </row>
    <row r="178" spans="1:30" x14ac:dyDescent="0.25">
      <c r="A178" s="36">
        <v>1641</v>
      </c>
      <c r="B178" s="14" t="s">
        <v>3309</v>
      </c>
      <c r="C178" s="14" t="s">
        <v>3310</v>
      </c>
      <c r="D178" s="17">
        <v>44128</v>
      </c>
      <c r="E178" s="14" t="s">
        <v>30</v>
      </c>
      <c r="F178" s="14">
        <v>1667</v>
      </c>
      <c r="G178" s="14">
        <v>612</v>
      </c>
      <c r="H178" s="14">
        <v>8</v>
      </c>
      <c r="I178" s="14">
        <v>4</v>
      </c>
      <c r="J178" s="14" t="s">
        <v>204</v>
      </c>
      <c r="K178" s="14" cm="1">
        <f t="array" ref="K178">INT(SUMPRODUCT(--ISNUMBER(SEARCH(economy,C178)))&gt;0)</f>
        <v>0</v>
      </c>
      <c r="L178" s="14" cm="1">
        <f t="array" ref="L178">INT(SUMPRODUCT(--ISNUMBER(SEARCH(healthcare,C178)))&gt;0)</f>
        <v>1</v>
      </c>
      <c r="M178" s="14" cm="1">
        <f t="array" ref="M178">INT(SUMPRODUCT(--ISNUMBER(SEARCH(supreme,C178)))&gt;0)</f>
        <v>0</v>
      </c>
      <c r="N178" s="14" cm="1">
        <f t="array" ref="N178">INT(SUMPRODUCT(--ISNUMBER(SEARCH(covid,C178)))&gt;0)</f>
        <v>0</v>
      </c>
      <c r="O178" s="14" cm="1">
        <f t="array" ref="O178">INT(SUMPRODUCT(--ISNUMBER(SEARCH(violent,C178)))&gt;0)</f>
        <v>0</v>
      </c>
      <c r="P178" s="14" cm="1">
        <f t="array" ref="P178">INT(SUMPRODUCT(--ISNUMBER(SEARCH(foreign,C178)))&gt;0)</f>
        <v>0</v>
      </c>
      <c r="Q178" s="14" cm="1">
        <f t="array" ref="Q178">INT(SUMPRODUCT(--ISNUMBER(SEARCH(gun,C178)))&gt;0)</f>
        <v>0</v>
      </c>
      <c r="R178" s="14" cm="1">
        <f t="array" ref="R178">INT(SUMPRODUCT(--ISNUMBER(SEARCH(race,C178)))&gt;0)</f>
        <v>0</v>
      </c>
      <c r="S178" s="14" cm="1">
        <f t="array" ref="S178">INT(SUMPRODUCT(--ISNUMBER(SEARCH(immigration,C178)))&gt;0)</f>
        <v>0</v>
      </c>
      <c r="T178" s="14" cm="1">
        <f t="array" ref="T178">INT(SUMPRODUCT(--ISNUMBER(SEARCH(econineq,C179)))&gt;0)</f>
        <v>0</v>
      </c>
      <c r="U178" s="14" cm="1">
        <f t="array" ref="U178">INT(SUMPRODUCT(--ISNUMBER(SEARCH(climate,C178)))&gt;0)</f>
        <v>0</v>
      </c>
      <c r="V178" s="14" cm="1">
        <f t="array" ref="V178">INT(SUMPRODUCT(--ISNUMBER(SEARCH(abortion,C178)))&gt;0)</f>
        <v>0</v>
      </c>
      <c r="W178" s="14" cm="1">
        <f t="array" ref="W178">INT(SUMPRODUCT(--ISNUMBER(SEARCH(trump,C178)))&gt;0)</f>
        <v>0</v>
      </c>
      <c r="X178" s="14" cm="1">
        <f t="array" ref="X178">INT(SUMPRODUCT(--ISNUMBER(SEARCH(voting,C178)))&gt;0)</f>
        <v>0</v>
      </c>
      <c r="Y178" s="14" cm="1">
        <f t="array" ref="Y178">INT(SUMPRODUCT(--ISNUMBER(SEARCH(democrattrigger,C178)))&gt;0)</f>
        <v>1</v>
      </c>
      <c r="Z178" s="14" cm="1">
        <f t="array" ref="Z178">INT(SUMPRODUCT(--ISNUMBER(SEARCH(bipartisan,C178)))&gt;0)</f>
        <v>0</v>
      </c>
      <c r="AA178" s="14">
        <f t="shared" si="2"/>
        <v>0</v>
      </c>
      <c r="AB178" s="14"/>
      <c r="AC178" s="30" t="s">
        <v>223</v>
      </c>
      <c r="AD178" s="37" t="s">
        <v>223</v>
      </c>
    </row>
    <row r="179" spans="1:30" x14ac:dyDescent="0.25">
      <c r="A179" s="36">
        <v>1642</v>
      </c>
      <c r="B179" s="14" t="s">
        <v>3311</v>
      </c>
      <c r="C179" s="14" t="s">
        <v>3312</v>
      </c>
      <c r="D179" s="17">
        <v>44128</v>
      </c>
      <c r="E179" s="14" t="s">
        <v>30</v>
      </c>
      <c r="F179" s="14">
        <v>1470</v>
      </c>
      <c r="G179" s="14">
        <v>394</v>
      </c>
      <c r="H179" s="14">
        <v>8</v>
      </c>
      <c r="I179" s="14">
        <v>4</v>
      </c>
      <c r="J179" s="14" t="s">
        <v>204</v>
      </c>
      <c r="K179" s="14" cm="1">
        <f t="array" ref="K179">INT(SUMPRODUCT(--ISNUMBER(SEARCH(economy,C179)))&gt;0)</f>
        <v>0</v>
      </c>
      <c r="L179" s="14" cm="1">
        <f t="array" ref="L179">INT(SUMPRODUCT(--ISNUMBER(SEARCH(healthcare,C179)))&gt;0)</f>
        <v>0</v>
      </c>
      <c r="M179" s="14" cm="1">
        <f t="array" ref="M179">INT(SUMPRODUCT(--ISNUMBER(SEARCH(supreme,C179)))&gt;0)</f>
        <v>0</v>
      </c>
      <c r="N179" s="14" cm="1">
        <f t="array" ref="N179">INT(SUMPRODUCT(--ISNUMBER(SEARCH(covid,C179)))&gt;0)</f>
        <v>0</v>
      </c>
      <c r="O179" s="14" cm="1">
        <f t="array" ref="O179">INT(SUMPRODUCT(--ISNUMBER(SEARCH(violent,C179)))&gt;0)</f>
        <v>0</v>
      </c>
      <c r="P179" s="14" cm="1">
        <f t="array" ref="P179">INT(SUMPRODUCT(--ISNUMBER(SEARCH(foreign,C179)))&gt;0)</f>
        <v>0</v>
      </c>
      <c r="Q179" s="14" cm="1">
        <f t="array" ref="Q179">INT(SUMPRODUCT(--ISNUMBER(SEARCH(gun,C179)))&gt;0)</f>
        <v>0</v>
      </c>
      <c r="R179" s="14" cm="1">
        <f t="array" ref="R179">INT(SUMPRODUCT(--ISNUMBER(SEARCH(race,C179)))&gt;0)</f>
        <v>0</v>
      </c>
      <c r="S179" s="14" cm="1">
        <f t="array" ref="S179">INT(SUMPRODUCT(--ISNUMBER(SEARCH(immigration,C179)))&gt;0)</f>
        <v>0</v>
      </c>
      <c r="T179" s="14" cm="1">
        <f t="array" ref="T179">INT(SUMPRODUCT(--ISNUMBER(SEARCH(econineq,C180)))&gt;0)</f>
        <v>0</v>
      </c>
      <c r="U179" s="14" cm="1">
        <f t="array" ref="U179">INT(SUMPRODUCT(--ISNUMBER(SEARCH(climate,C179)))&gt;0)</f>
        <v>0</v>
      </c>
      <c r="V179" s="14" cm="1">
        <f t="array" ref="V179">INT(SUMPRODUCT(--ISNUMBER(SEARCH(abortion,C179)))&gt;0)</f>
        <v>0</v>
      </c>
      <c r="W179" s="14" cm="1">
        <f t="array" ref="W179">INT(SUMPRODUCT(--ISNUMBER(SEARCH(trump,C179)))&gt;0)</f>
        <v>0</v>
      </c>
      <c r="X179" s="14" cm="1">
        <f t="array" ref="X179">INT(SUMPRODUCT(--ISNUMBER(SEARCH(voting,C179)))&gt;0)</f>
        <v>1</v>
      </c>
      <c r="Y179" s="14" cm="1">
        <f t="array" ref="Y179">INT(SUMPRODUCT(--ISNUMBER(SEARCH(democrattrigger,C179)))&gt;0)</f>
        <v>0</v>
      </c>
      <c r="Z179" s="14" cm="1">
        <f t="array" ref="Z179">INT(SUMPRODUCT(--ISNUMBER(SEARCH(bipartisan,C179)))&gt;0)</f>
        <v>0</v>
      </c>
      <c r="AA179" s="14">
        <f t="shared" si="2"/>
        <v>0</v>
      </c>
      <c r="AB179" s="14"/>
      <c r="AC179" s="30" t="s">
        <v>223</v>
      </c>
      <c r="AD179" s="37" t="s">
        <v>223</v>
      </c>
    </row>
    <row r="180" spans="1:30" x14ac:dyDescent="0.25">
      <c r="A180" s="36">
        <v>1643</v>
      </c>
      <c r="B180" s="14" t="s">
        <v>3313</v>
      </c>
      <c r="C180" s="14" t="s">
        <v>3314</v>
      </c>
      <c r="D180" s="17">
        <v>44128</v>
      </c>
      <c r="E180" s="14" t="s">
        <v>30</v>
      </c>
      <c r="F180" s="14">
        <v>931</v>
      </c>
      <c r="G180" s="14">
        <v>177</v>
      </c>
      <c r="H180" s="14">
        <v>8</v>
      </c>
      <c r="I180" s="14">
        <v>4</v>
      </c>
      <c r="J180" s="14" t="s">
        <v>204</v>
      </c>
      <c r="K180" s="14" cm="1">
        <f t="array" ref="K180">INT(SUMPRODUCT(--ISNUMBER(SEARCH(economy,C180)))&gt;0)</f>
        <v>0</v>
      </c>
      <c r="L180" s="14" cm="1">
        <f t="array" ref="L180">INT(SUMPRODUCT(--ISNUMBER(SEARCH(healthcare,C180)))&gt;0)</f>
        <v>0</v>
      </c>
      <c r="M180" s="14" cm="1">
        <f t="array" ref="M180">INT(SUMPRODUCT(--ISNUMBER(SEARCH(supreme,C180)))&gt;0)</f>
        <v>0</v>
      </c>
      <c r="N180" s="14" cm="1">
        <f t="array" ref="N180">INT(SUMPRODUCT(--ISNUMBER(SEARCH(covid,C180)))&gt;0)</f>
        <v>0</v>
      </c>
      <c r="O180" s="14" cm="1">
        <f t="array" ref="O180">INT(SUMPRODUCT(--ISNUMBER(SEARCH(violent,C180)))&gt;0)</f>
        <v>0</v>
      </c>
      <c r="P180" s="14" cm="1">
        <f t="array" ref="P180">INT(SUMPRODUCT(--ISNUMBER(SEARCH(foreign,C180)))&gt;0)</f>
        <v>0</v>
      </c>
      <c r="Q180" s="14" cm="1">
        <f t="array" ref="Q180">INT(SUMPRODUCT(--ISNUMBER(SEARCH(gun,C180)))&gt;0)</f>
        <v>0</v>
      </c>
      <c r="R180" s="14" cm="1">
        <f t="array" ref="R180">INT(SUMPRODUCT(--ISNUMBER(SEARCH(race,C180)))&gt;0)</f>
        <v>0</v>
      </c>
      <c r="S180" s="14" cm="1">
        <f t="array" ref="S180">INT(SUMPRODUCT(--ISNUMBER(SEARCH(immigration,C180)))&gt;0)</f>
        <v>0</v>
      </c>
      <c r="T180" s="14" cm="1">
        <f t="array" ref="T180">INT(SUMPRODUCT(--ISNUMBER(SEARCH(econineq,C181)))&gt;0)</f>
        <v>0</v>
      </c>
      <c r="U180" s="14" cm="1">
        <f t="array" ref="U180">INT(SUMPRODUCT(--ISNUMBER(SEARCH(climate,C180)))&gt;0)</f>
        <v>0</v>
      </c>
      <c r="V180" s="14" cm="1">
        <f t="array" ref="V180">INT(SUMPRODUCT(--ISNUMBER(SEARCH(abortion,C180)))&gt;0)</f>
        <v>0</v>
      </c>
      <c r="W180" s="14" cm="1">
        <f t="array" ref="W180">INT(SUMPRODUCT(--ISNUMBER(SEARCH(trump,C180)))&gt;0)</f>
        <v>0</v>
      </c>
      <c r="X180" s="14" cm="1">
        <f t="array" ref="X180">INT(SUMPRODUCT(--ISNUMBER(SEARCH(voting,C180)))&gt;0)</f>
        <v>0</v>
      </c>
      <c r="Y180" s="14" cm="1">
        <f t="array" ref="Y180">INT(SUMPRODUCT(--ISNUMBER(SEARCH(democrattrigger,C180)))&gt;0)</f>
        <v>0</v>
      </c>
      <c r="Z180" s="14" cm="1">
        <f t="array" ref="Z180">INT(SUMPRODUCT(--ISNUMBER(SEARCH(bipartisan,C180)))&gt;0)</f>
        <v>0</v>
      </c>
      <c r="AA180" s="14">
        <f t="shared" si="2"/>
        <v>1</v>
      </c>
      <c r="AB180" s="14"/>
      <c r="AC180" s="30">
        <v>1</v>
      </c>
      <c r="AD180" s="37">
        <v>0</v>
      </c>
    </row>
    <row r="181" spans="1:30" x14ac:dyDescent="0.25">
      <c r="A181" s="36">
        <v>1644</v>
      </c>
      <c r="B181" s="14" t="s">
        <v>3315</v>
      </c>
      <c r="C181" s="14" t="s">
        <v>3316</v>
      </c>
      <c r="D181" s="17">
        <v>44127</v>
      </c>
      <c r="E181" s="14" t="s">
        <v>30</v>
      </c>
      <c r="F181" s="14">
        <v>16635</v>
      </c>
      <c r="G181" s="14">
        <v>5702</v>
      </c>
      <c r="H181" s="14">
        <v>8</v>
      </c>
      <c r="I181" s="14">
        <v>4</v>
      </c>
      <c r="J181" s="14" t="s">
        <v>204</v>
      </c>
      <c r="K181" s="14" cm="1">
        <f t="array" ref="K181">INT(SUMPRODUCT(--ISNUMBER(SEARCH(economy,C181)))&gt;0)</f>
        <v>0</v>
      </c>
      <c r="L181" s="14" cm="1">
        <f t="array" ref="L181">INT(SUMPRODUCT(--ISNUMBER(SEARCH(healthcare,C181)))&gt;0)</f>
        <v>1</v>
      </c>
      <c r="M181" s="14" cm="1">
        <f t="array" ref="M181">INT(SUMPRODUCT(--ISNUMBER(SEARCH(supreme,C181)))&gt;0)</f>
        <v>0</v>
      </c>
      <c r="N181" s="14" cm="1">
        <f t="array" ref="N181">INT(SUMPRODUCT(--ISNUMBER(SEARCH(covid,C181)))&gt;0)</f>
        <v>0</v>
      </c>
      <c r="O181" s="14" cm="1">
        <f t="array" ref="O181">INT(SUMPRODUCT(--ISNUMBER(SEARCH(violent,C181)))&gt;0)</f>
        <v>0</v>
      </c>
      <c r="P181" s="14" cm="1">
        <f t="array" ref="P181">INT(SUMPRODUCT(--ISNUMBER(SEARCH(foreign,C181)))&gt;0)</f>
        <v>0</v>
      </c>
      <c r="Q181" s="14" cm="1">
        <f t="array" ref="Q181">INT(SUMPRODUCT(--ISNUMBER(SEARCH(gun,C181)))&gt;0)</f>
        <v>0</v>
      </c>
      <c r="R181" s="14" cm="1">
        <f t="array" ref="R181">INT(SUMPRODUCT(--ISNUMBER(SEARCH(race,C181)))&gt;0)</f>
        <v>0</v>
      </c>
      <c r="S181" s="14" cm="1">
        <f t="array" ref="S181">INT(SUMPRODUCT(--ISNUMBER(SEARCH(immigration,C181)))&gt;0)</f>
        <v>0</v>
      </c>
      <c r="T181" s="14" cm="1">
        <f t="array" ref="T181">INT(SUMPRODUCT(--ISNUMBER(SEARCH(econineq,C182)))&gt;0)</f>
        <v>1</v>
      </c>
      <c r="U181" s="14" cm="1">
        <f t="array" ref="U181">INT(SUMPRODUCT(--ISNUMBER(SEARCH(climate,C181)))&gt;0)</f>
        <v>0</v>
      </c>
      <c r="V181" s="14" cm="1">
        <f t="array" ref="V181">INT(SUMPRODUCT(--ISNUMBER(SEARCH(abortion,C181)))&gt;0)</f>
        <v>0</v>
      </c>
      <c r="W181" s="14" cm="1">
        <f t="array" ref="W181">INT(SUMPRODUCT(--ISNUMBER(SEARCH(trump,C181)))&gt;0)</f>
        <v>0</v>
      </c>
      <c r="X181" s="14" cm="1">
        <f t="array" ref="X181">INT(SUMPRODUCT(--ISNUMBER(SEARCH(voting,C181)))&gt;0)</f>
        <v>1</v>
      </c>
      <c r="Y181" s="14" cm="1">
        <f t="array" ref="Y181">INT(SUMPRODUCT(--ISNUMBER(SEARCH(democrattrigger,C181)))&gt;0)</f>
        <v>1</v>
      </c>
      <c r="Z181" s="14" cm="1">
        <f t="array" ref="Z181">INT(SUMPRODUCT(--ISNUMBER(SEARCH(bipartisan,C181)))&gt;0)</f>
        <v>0</v>
      </c>
      <c r="AA181" s="14">
        <f t="shared" si="2"/>
        <v>0</v>
      </c>
      <c r="AB181" s="14"/>
      <c r="AC181" s="30" t="s">
        <v>223</v>
      </c>
      <c r="AD181" s="37" t="s">
        <v>223</v>
      </c>
    </row>
    <row r="182" spans="1:30" x14ac:dyDescent="0.25">
      <c r="A182" s="36">
        <v>1645</v>
      </c>
      <c r="B182" s="14" t="s">
        <v>3317</v>
      </c>
      <c r="C182" s="14" t="s">
        <v>3318</v>
      </c>
      <c r="D182" s="17">
        <v>44127</v>
      </c>
      <c r="E182" s="14" t="s">
        <v>30</v>
      </c>
      <c r="F182" s="14">
        <v>983</v>
      </c>
      <c r="G182" s="14">
        <v>268</v>
      </c>
      <c r="H182" s="14">
        <v>8</v>
      </c>
      <c r="I182" s="14">
        <v>4</v>
      </c>
      <c r="J182" s="14" t="s">
        <v>204</v>
      </c>
      <c r="K182" s="14" cm="1">
        <f t="array" ref="K182">INT(SUMPRODUCT(--ISNUMBER(SEARCH(economy,C182)))&gt;0)</f>
        <v>0</v>
      </c>
      <c r="L182" s="14" cm="1">
        <f t="array" ref="L182">INT(SUMPRODUCT(--ISNUMBER(SEARCH(healthcare,C182)))&gt;0)</f>
        <v>0</v>
      </c>
      <c r="M182" s="14" cm="1">
        <f t="array" ref="M182">INT(SUMPRODUCT(--ISNUMBER(SEARCH(supreme,C182)))&gt;0)</f>
        <v>0</v>
      </c>
      <c r="N182" s="14" cm="1">
        <f t="array" ref="N182">INT(SUMPRODUCT(--ISNUMBER(SEARCH(covid,C182)))&gt;0)</f>
        <v>0</v>
      </c>
      <c r="O182" s="14" cm="1">
        <f t="array" ref="O182">INT(SUMPRODUCT(--ISNUMBER(SEARCH(violent,C182)))&gt;0)</f>
        <v>0</v>
      </c>
      <c r="P182" s="14" cm="1">
        <f t="array" ref="P182">INT(SUMPRODUCT(--ISNUMBER(SEARCH(foreign,C182)))&gt;0)</f>
        <v>0</v>
      </c>
      <c r="Q182" s="14" cm="1">
        <f t="array" ref="Q182">INT(SUMPRODUCT(--ISNUMBER(SEARCH(gun,C182)))&gt;0)</f>
        <v>0</v>
      </c>
      <c r="R182" s="14" cm="1">
        <f t="array" ref="R182">INT(SUMPRODUCT(--ISNUMBER(SEARCH(race,C182)))&gt;0)</f>
        <v>0</v>
      </c>
      <c r="S182" s="14" cm="1">
        <f t="array" ref="S182">INT(SUMPRODUCT(--ISNUMBER(SEARCH(immigration,C182)))&gt;0)</f>
        <v>0</v>
      </c>
      <c r="T182" s="14" cm="1">
        <f t="array" ref="T182">INT(SUMPRODUCT(--ISNUMBER(SEARCH(econineq,C183)))&gt;0)</f>
        <v>0</v>
      </c>
      <c r="U182" s="14" cm="1">
        <f t="array" ref="U182">INT(SUMPRODUCT(--ISNUMBER(SEARCH(climate,C182)))&gt;0)</f>
        <v>1</v>
      </c>
      <c r="V182" s="14" cm="1">
        <f t="array" ref="V182">INT(SUMPRODUCT(--ISNUMBER(SEARCH(abortion,C182)))&gt;0)</f>
        <v>1</v>
      </c>
      <c r="W182" s="14" cm="1">
        <f t="array" ref="W182">INT(SUMPRODUCT(--ISNUMBER(SEARCH(trump,C182)))&gt;0)</f>
        <v>0</v>
      </c>
      <c r="X182" s="14" cm="1">
        <f t="array" ref="X182">INT(SUMPRODUCT(--ISNUMBER(SEARCH(voting,C182)))&gt;0)</f>
        <v>0</v>
      </c>
      <c r="Y182" s="14" cm="1">
        <f t="array" ref="Y182">INT(SUMPRODUCT(--ISNUMBER(SEARCH(democrattrigger,C182)))&gt;0)</f>
        <v>1</v>
      </c>
      <c r="Z182" s="14" cm="1">
        <f t="array" ref="Z182">INT(SUMPRODUCT(--ISNUMBER(SEARCH(bipartisan,C182)))&gt;0)</f>
        <v>0</v>
      </c>
      <c r="AA182" s="14">
        <f t="shared" si="2"/>
        <v>0</v>
      </c>
      <c r="AB182" s="14"/>
      <c r="AC182" s="30" t="s">
        <v>223</v>
      </c>
      <c r="AD182" s="37" t="s">
        <v>223</v>
      </c>
    </row>
    <row r="183" spans="1:30" x14ac:dyDescent="0.25">
      <c r="A183" s="36">
        <v>1646</v>
      </c>
      <c r="B183" s="14" t="s">
        <v>3319</v>
      </c>
      <c r="C183" s="14" t="s">
        <v>3320</v>
      </c>
      <c r="D183" s="17">
        <v>44127</v>
      </c>
      <c r="E183" s="14" t="s">
        <v>30</v>
      </c>
      <c r="F183" s="14">
        <v>982</v>
      </c>
      <c r="G183" s="14">
        <v>239</v>
      </c>
      <c r="H183" s="14">
        <v>8</v>
      </c>
      <c r="I183" s="14">
        <v>4</v>
      </c>
      <c r="J183" s="14" t="s">
        <v>204</v>
      </c>
      <c r="K183" s="14" cm="1">
        <f t="array" ref="K183">INT(SUMPRODUCT(--ISNUMBER(SEARCH(economy,C183)))&gt;0)</f>
        <v>1</v>
      </c>
      <c r="L183" s="14" cm="1">
        <f t="array" ref="L183">INT(SUMPRODUCT(--ISNUMBER(SEARCH(healthcare,C183)))&gt;0)</f>
        <v>0</v>
      </c>
      <c r="M183" s="14" cm="1">
        <f t="array" ref="M183">INT(SUMPRODUCT(--ISNUMBER(SEARCH(supreme,C183)))&gt;0)</f>
        <v>0</v>
      </c>
      <c r="N183" s="14" cm="1">
        <f t="array" ref="N183">INT(SUMPRODUCT(--ISNUMBER(SEARCH(covid,C183)))&gt;0)</f>
        <v>0</v>
      </c>
      <c r="O183" s="14" cm="1">
        <f t="array" ref="O183">INT(SUMPRODUCT(--ISNUMBER(SEARCH(violent,C183)))&gt;0)</f>
        <v>0</v>
      </c>
      <c r="P183" s="14" cm="1">
        <f t="array" ref="P183">INT(SUMPRODUCT(--ISNUMBER(SEARCH(foreign,C183)))&gt;0)</f>
        <v>0</v>
      </c>
      <c r="Q183" s="14" cm="1">
        <f t="array" ref="Q183">INT(SUMPRODUCT(--ISNUMBER(SEARCH(gun,C183)))&gt;0)</f>
        <v>0</v>
      </c>
      <c r="R183" s="14" cm="1">
        <f t="array" ref="R183">INT(SUMPRODUCT(--ISNUMBER(SEARCH(race,C183)))&gt;0)</f>
        <v>0</v>
      </c>
      <c r="S183" s="14" cm="1">
        <f t="array" ref="S183">INT(SUMPRODUCT(--ISNUMBER(SEARCH(immigration,C183)))&gt;0)</f>
        <v>0</v>
      </c>
      <c r="T183" s="14" cm="1">
        <f t="array" ref="T183">INT(SUMPRODUCT(--ISNUMBER(SEARCH(econineq,C184)))&gt;0)</f>
        <v>0</v>
      </c>
      <c r="U183" s="14" cm="1">
        <f t="array" ref="U183">INT(SUMPRODUCT(--ISNUMBER(SEARCH(climate,C183)))&gt;0)</f>
        <v>0</v>
      </c>
      <c r="V183" s="14" cm="1">
        <f t="array" ref="V183">INT(SUMPRODUCT(--ISNUMBER(SEARCH(abortion,C183)))&gt;0)</f>
        <v>0</v>
      </c>
      <c r="W183" s="14" cm="1">
        <f t="array" ref="W183">INT(SUMPRODUCT(--ISNUMBER(SEARCH(trump,C183)))&gt;0)</f>
        <v>0</v>
      </c>
      <c r="X183" s="14" cm="1">
        <f t="array" ref="X183">INT(SUMPRODUCT(--ISNUMBER(SEARCH(voting,C183)))&gt;0)</f>
        <v>0</v>
      </c>
      <c r="Y183" s="14" cm="1">
        <f t="array" ref="Y183">INT(SUMPRODUCT(--ISNUMBER(SEARCH(democrattrigger,C183)))&gt;0)</f>
        <v>0</v>
      </c>
      <c r="Z183" s="14" cm="1">
        <f t="array" ref="Z183">INT(SUMPRODUCT(--ISNUMBER(SEARCH(bipartisan,C183)))&gt;0)</f>
        <v>0</v>
      </c>
      <c r="AA183" s="14">
        <f t="shared" si="2"/>
        <v>0</v>
      </c>
      <c r="AB183" s="14"/>
      <c r="AC183" s="30" t="s">
        <v>223</v>
      </c>
      <c r="AD183" s="37" t="s">
        <v>223</v>
      </c>
    </row>
    <row r="184" spans="1:30" x14ac:dyDescent="0.25">
      <c r="A184" s="36">
        <v>1647</v>
      </c>
      <c r="B184" s="14" t="s">
        <v>3321</v>
      </c>
      <c r="C184" s="14" t="s">
        <v>3322</v>
      </c>
      <c r="D184" s="17">
        <v>44127</v>
      </c>
      <c r="E184" s="14" t="s">
        <v>30</v>
      </c>
      <c r="F184" s="14">
        <v>659</v>
      </c>
      <c r="G184" s="14">
        <v>164</v>
      </c>
      <c r="H184" s="14">
        <v>8</v>
      </c>
      <c r="I184" s="14">
        <v>4</v>
      </c>
      <c r="J184" s="14" t="s">
        <v>204</v>
      </c>
      <c r="K184" s="14" cm="1">
        <f t="array" ref="K184">INT(SUMPRODUCT(--ISNUMBER(SEARCH(economy,C184)))&gt;0)</f>
        <v>0</v>
      </c>
      <c r="L184" s="14" cm="1">
        <f t="array" ref="L184">INT(SUMPRODUCT(--ISNUMBER(SEARCH(healthcare,C184)))&gt;0)</f>
        <v>0</v>
      </c>
      <c r="M184" s="14" cm="1">
        <f t="array" ref="M184">INT(SUMPRODUCT(--ISNUMBER(SEARCH(supreme,C184)))&gt;0)</f>
        <v>0</v>
      </c>
      <c r="N184" s="14" cm="1">
        <f t="array" ref="N184">INT(SUMPRODUCT(--ISNUMBER(SEARCH(covid,C184)))&gt;0)</f>
        <v>0</v>
      </c>
      <c r="O184" s="14" cm="1">
        <f t="array" ref="O184">INT(SUMPRODUCT(--ISNUMBER(SEARCH(violent,C184)))&gt;0)</f>
        <v>0</v>
      </c>
      <c r="P184" s="14" cm="1">
        <f t="array" ref="P184">INT(SUMPRODUCT(--ISNUMBER(SEARCH(foreign,C184)))&gt;0)</f>
        <v>0</v>
      </c>
      <c r="Q184" s="14" cm="1">
        <f t="array" ref="Q184">INT(SUMPRODUCT(--ISNUMBER(SEARCH(gun,C184)))&gt;0)</f>
        <v>0</v>
      </c>
      <c r="R184" s="14" cm="1">
        <f t="array" ref="R184">INT(SUMPRODUCT(--ISNUMBER(SEARCH(race,C184)))&gt;0)</f>
        <v>0</v>
      </c>
      <c r="S184" s="14" cm="1">
        <f t="array" ref="S184">INT(SUMPRODUCT(--ISNUMBER(SEARCH(immigration,C184)))&gt;0)</f>
        <v>0</v>
      </c>
      <c r="T184" s="14" cm="1">
        <f t="array" ref="T184">INT(SUMPRODUCT(--ISNUMBER(SEARCH(econineq,C185)))&gt;0)</f>
        <v>0</v>
      </c>
      <c r="U184" s="14" cm="1">
        <f t="array" ref="U184">INT(SUMPRODUCT(--ISNUMBER(SEARCH(climate,C184)))&gt;0)</f>
        <v>0</v>
      </c>
      <c r="V184" s="14" cm="1">
        <f t="array" ref="V184">INT(SUMPRODUCT(--ISNUMBER(SEARCH(abortion,C184)))&gt;0)</f>
        <v>0</v>
      </c>
      <c r="W184" s="14" cm="1">
        <f t="array" ref="W184">INT(SUMPRODUCT(--ISNUMBER(SEARCH(trump,C184)))&gt;0)</f>
        <v>0</v>
      </c>
      <c r="X184" s="14" cm="1">
        <f t="array" ref="X184">INT(SUMPRODUCT(--ISNUMBER(SEARCH(voting,C184)))&gt;0)</f>
        <v>1</v>
      </c>
      <c r="Y184" s="14" cm="1">
        <f t="array" ref="Y184">INT(SUMPRODUCT(--ISNUMBER(SEARCH(democrattrigger,C184)))&gt;0)</f>
        <v>0</v>
      </c>
      <c r="Z184" s="14" cm="1">
        <f t="array" ref="Z184">INT(SUMPRODUCT(--ISNUMBER(SEARCH(bipartisan,C184)))&gt;0)</f>
        <v>0</v>
      </c>
      <c r="AA184" s="14">
        <f t="shared" si="2"/>
        <v>0</v>
      </c>
      <c r="AB184" s="14"/>
      <c r="AC184" s="30" t="s">
        <v>223</v>
      </c>
      <c r="AD184" s="37" t="s">
        <v>223</v>
      </c>
    </row>
    <row r="185" spans="1:30" x14ac:dyDescent="0.25">
      <c r="A185" s="36">
        <v>1648</v>
      </c>
      <c r="B185" s="14" t="s">
        <v>3323</v>
      </c>
      <c r="C185" s="14" t="s">
        <v>3324</v>
      </c>
      <c r="D185" s="17">
        <v>44127</v>
      </c>
      <c r="E185" s="14" t="s">
        <v>30</v>
      </c>
      <c r="F185" s="14">
        <v>489</v>
      </c>
      <c r="G185" s="14">
        <v>161</v>
      </c>
      <c r="H185" s="14">
        <v>8</v>
      </c>
      <c r="I185" s="14">
        <v>4</v>
      </c>
      <c r="J185" s="14" t="s">
        <v>204</v>
      </c>
      <c r="K185" s="14" cm="1">
        <f t="array" ref="K185">INT(SUMPRODUCT(--ISNUMBER(SEARCH(economy,C185)))&gt;0)</f>
        <v>0</v>
      </c>
      <c r="L185" s="14" cm="1">
        <f t="array" ref="L185">INT(SUMPRODUCT(--ISNUMBER(SEARCH(healthcare,C185)))&gt;0)</f>
        <v>0</v>
      </c>
      <c r="M185" s="14" cm="1">
        <f t="array" ref="M185">INT(SUMPRODUCT(--ISNUMBER(SEARCH(supreme,C185)))&gt;0)</f>
        <v>0</v>
      </c>
      <c r="N185" s="14" cm="1">
        <f t="array" ref="N185">INT(SUMPRODUCT(--ISNUMBER(SEARCH(covid,C185)))&gt;0)</f>
        <v>0</v>
      </c>
      <c r="O185" s="14" cm="1">
        <f t="array" ref="O185">INT(SUMPRODUCT(--ISNUMBER(SEARCH(violent,C185)))&gt;0)</f>
        <v>0</v>
      </c>
      <c r="P185" s="14" cm="1">
        <f t="array" ref="P185">INT(SUMPRODUCT(--ISNUMBER(SEARCH(foreign,C185)))&gt;0)</f>
        <v>0</v>
      </c>
      <c r="Q185" s="14" cm="1">
        <f t="array" ref="Q185">INT(SUMPRODUCT(--ISNUMBER(SEARCH(gun,C185)))&gt;0)</f>
        <v>0</v>
      </c>
      <c r="R185" s="14" cm="1">
        <f t="array" ref="R185">INT(SUMPRODUCT(--ISNUMBER(SEARCH(race,C185)))&gt;0)</f>
        <v>0</v>
      </c>
      <c r="S185" s="14" cm="1">
        <f t="array" ref="S185">INT(SUMPRODUCT(--ISNUMBER(SEARCH(immigration,C185)))&gt;0)</f>
        <v>0</v>
      </c>
      <c r="T185" s="14" cm="1">
        <f t="array" ref="T185">INT(SUMPRODUCT(--ISNUMBER(SEARCH(econineq,C186)))&gt;0)</f>
        <v>0</v>
      </c>
      <c r="U185" s="14" cm="1">
        <f t="array" ref="U185">INT(SUMPRODUCT(--ISNUMBER(SEARCH(climate,C185)))&gt;0)</f>
        <v>0</v>
      </c>
      <c r="V185" s="14" cm="1">
        <f t="array" ref="V185">INT(SUMPRODUCT(--ISNUMBER(SEARCH(abortion,C185)))&gt;0)</f>
        <v>0</v>
      </c>
      <c r="W185" s="14" cm="1">
        <f t="array" ref="W185">INT(SUMPRODUCT(--ISNUMBER(SEARCH(trump,C185)))&gt;0)</f>
        <v>0</v>
      </c>
      <c r="X185" s="14" cm="1">
        <f t="array" ref="X185">INT(SUMPRODUCT(--ISNUMBER(SEARCH(voting,C185)))&gt;0)</f>
        <v>1</v>
      </c>
      <c r="Y185" s="14" cm="1">
        <f t="array" ref="Y185">INT(SUMPRODUCT(--ISNUMBER(SEARCH(democrattrigger,C185)))&gt;0)</f>
        <v>1</v>
      </c>
      <c r="Z185" s="14" cm="1">
        <f t="array" ref="Z185">INT(SUMPRODUCT(--ISNUMBER(SEARCH(bipartisan,C185)))&gt;0)</f>
        <v>0</v>
      </c>
      <c r="AA185" s="14">
        <f t="shared" si="2"/>
        <v>0</v>
      </c>
      <c r="AB185" s="14"/>
      <c r="AC185" s="30">
        <v>0</v>
      </c>
      <c r="AD185" s="37">
        <v>1</v>
      </c>
    </row>
    <row r="186" spans="1:30" x14ac:dyDescent="0.25">
      <c r="A186" s="36">
        <v>1649</v>
      </c>
      <c r="B186" s="14" t="s">
        <v>3325</v>
      </c>
      <c r="C186" s="14" t="s">
        <v>3326</v>
      </c>
      <c r="D186" s="17">
        <v>44127</v>
      </c>
      <c r="E186" s="14" t="s">
        <v>30</v>
      </c>
      <c r="F186" s="14">
        <v>893</v>
      </c>
      <c r="G186" s="14">
        <v>313</v>
      </c>
      <c r="H186" s="14">
        <v>8</v>
      </c>
      <c r="I186" s="14">
        <v>4</v>
      </c>
      <c r="J186" s="14" t="s">
        <v>204</v>
      </c>
      <c r="K186" s="14" cm="1">
        <f t="array" ref="K186">INT(SUMPRODUCT(--ISNUMBER(SEARCH(economy,C186)))&gt;0)</f>
        <v>0</v>
      </c>
      <c r="L186" s="14" cm="1">
        <f t="array" ref="L186">INT(SUMPRODUCT(--ISNUMBER(SEARCH(healthcare,C186)))&gt;0)</f>
        <v>1</v>
      </c>
      <c r="M186" s="14" cm="1">
        <f t="array" ref="M186">INT(SUMPRODUCT(--ISNUMBER(SEARCH(supreme,C186)))&gt;0)</f>
        <v>0</v>
      </c>
      <c r="N186" s="14" cm="1">
        <f t="array" ref="N186">INT(SUMPRODUCT(--ISNUMBER(SEARCH(covid,C186)))&gt;0)</f>
        <v>0</v>
      </c>
      <c r="O186" s="14" cm="1">
        <f t="array" ref="O186">INT(SUMPRODUCT(--ISNUMBER(SEARCH(violent,C186)))&gt;0)</f>
        <v>0</v>
      </c>
      <c r="P186" s="14" cm="1">
        <f t="array" ref="P186">INT(SUMPRODUCT(--ISNUMBER(SEARCH(foreign,C186)))&gt;0)</f>
        <v>0</v>
      </c>
      <c r="Q186" s="14" cm="1">
        <f t="array" ref="Q186">INT(SUMPRODUCT(--ISNUMBER(SEARCH(gun,C186)))&gt;0)</f>
        <v>0</v>
      </c>
      <c r="R186" s="14" cm="1">
        <f t="array" ref="R186">INT(SUMPRODUCT(--ISNUMBER(SEARCH(race,C186)))&gt;0)</f>
        <v>0</v>
      </c>
      <c r="S186" s="14" cm="1">
        <f t="array" ref="S186">INT(SUMPRODUCT(--ISNUMBER(SEARCH(immigration,C186)))&gt;0)</f>
        <v>0</v>
      </c>
      <c r="T186" s="14" cm="1">
        <f t="array" ref="T186">INT(SUMPRODUCT(--ISNUMBER(SEARCH(econineq,C187)))&gt;0)</f>
        <v>0</v>
      </c>
      <c r="U186" s="14" cm="1">
        <f t="array" ref="U186">INT(SUMPRODUCT(--ISNUMBER(SEARCH(climate,C186)))&gt;0)</f>
        <v>0</v>
      </c>
      <c r="V186" s="14" cm="1">
        <f t="array" ref="V186">INT(SUMPRODUCT(--ISNUMBER(SEARCH(abortion,C186)))&gt;0)</f>
        <v>0</v>
      </c>
      <c r="W186" s="14" cm="1">
        <f t="array" ref="W186">INT(SUMPRODUCT(--ISNUMBER(SEARCH(trump,C186)))&gt;0)</f>
        <v>0</v>
      </c>
      <c r="X186" s="14" cm="1">
        <f t="array" ref="X186">INT(SUMPRODUCT(--ISNUMBER(SEARCH(voting,C186)))&gt;0)</f>
        <v>1</v>
      </c>
      <c r="Y186" s="14" cm="1">
        <f t="array" ref="Y186">INT(SUMPRODUCT(--ISNUMBER(SEARCH(democrattrigger,C186)))&gt;0)</f>
        <v>1</v>
      </c>
      <c r="Z186" s="14" cm="1">
        <f t="array" ref="Z186">INT(SUMPRODUCT(--ISNUMBER(SEARCH(bipartisan,C186)))&gt;0)</f>
        <v>0</v>
      </c>
      <c r="AA186" s="14">
        <f t="shared" si="2"/>
        <v>0</v>
      </c>
      <c r="AB186" s="14"/>
      <c r="AC186" s="30">
        <v>0</v>
      </c>
      <c r="AD186" s="37">
        <v>1</v>
      </c>
    </row>
    <row r="187" spans="1:30" x14ac:dyDescent="0.25">
      <c r="A187" s="36">
        <v>1650</v>
      </c>
      <c r="B187" s="14" t="s">
        <v>3327</v>
      </c>
      <c r="C187" s="14" t="s">
        <v>3328</v>
      </c>
      <c r="D187" s="17">
        <v>44126</v>
      </c>
      <c r="E187" s="14" t="s">
        <v>30</v>
      </c>
      <c r="F187" s="14">
        <v>388</v>
      </c>
      <c r="G187" s="14">
        <v>90</v>
      </c>
      <c r="H187" s="14">
        <v>8</v>
      </c>
      <c r="I187" s="14">
        <v>4</v>
      </c>
      <c r="J187" s="14" t="s">
        <v>204</v>
      </c>
      <c r="K187" s="14" cm="1">
        <f t="array" ref="K187">INT(SUMPRODUCT(--ISNUMBER(SEARCH(economy,C187)))&gt;0)</f>
        <v>0</v>
      </c>
      <c r="L187" s="14" cm="1">
        <f t="array" ref="L187">INT(SUMPRODUCT(--ISNUMBER(SEARCH(healthcare,C187)))&gt;0)</f>
        <v>0</v>
      </c>
      <c r="M187" s="14" cm="1">
        <f t="array" ref="M187">INT(SUMPRODUCT(--ISNUMBER(SEARCH(supreme,C187)))&gt;0)</f>
        <v>0</v>
      </c>
      <c r="N187" s="14" cm="1">
        <f t="array" ref="N187">INT(SUMPRODUCT(--ISNUMBER(SEARCH(covid,C187)))&gt;0)</f>
        <v>0</v>
      </c>
      <c r="O187" s="14" cm="1">
        <f t="array" ref="O187">INT(SUMPRODUCT(--ISNUMBER(SEARCH(violent,C187)))&gt;0)</f>
        <v>0</v>
      </c>
      <c r="P187" s="14" cm="1">
        <f t="array" ref="P187">INT(SUMPRODUCT(--ISNUMBER(SEARCH(foreign,C187)))&gt;0)</f>
        <v>0</v>
      </c>
      <c r="Q187" s="14" cm="1">
        <f t="array" ref="Q187">INT(SUMPRODUCT(--ISNUMBER(SEARCH(gun,C187)))&gt;0)</f>
        <v>0</v>
      </c>
      <c r="R187" s="14" cm="1">
        <f t="array" ref="R187">INT(SUMPRODUCT(--ISNUMBER(SEARCH(race,C187)))&gt;0)</f>
        <v>0</v>
      </c>
      <c r="S187" s="14" cm="1">
        <f t="array" ref="S187">INT(SUMPRODUCT(--ISNUMBER(SEARCH(immigration,C187)))&gt;0)</f>
        <v>0</v>
      </c>
      <c r="T187" s="14" cm="1">
        <f t="array" ref="T187">INT(SUMPRODUCT(--ISNUMBER(SEARCH(econineq,C188)))&gt;0)</f>
        <v>0</v>
      </c>
      <c r="U187" s="14" cm="1">
        <f t="array" ref="U187">INT(SUMPRODUCT(--ISNUMBER(SEARCH(climate,C187)))&gt;0)</f>
        <v>0</v>
      </c>
      <c r="V187" s="14" cm="1">
        <f t="array" ref="V187">INT(SUMPRODUCT(--ISNUMBER(SEARCH(abortion,C187)))&gt;0)</f>
        <v>0</v>
      </c>
      <c r="W187" s="14" cm="1">
        <f t="array" ref="W187">INT(SUMPRODUCT(--ISNUMBER(SEARCH(trump,C187)))&gt;0)</f>
        <v>0</v>
      </c>
      <c r="X187" s="14" cm="1">
        <f t="array" ref="X187">INT(SUMPRODUCT(--ISNUMBER(SEARCH(voting,C187)))&gt;0)</f>
        <v>1</v>
      </c>
      <c r="Y187" s="14" cm="1">
        <f t="array" ref="Y187">INT(SUMPRODUCT(--ISNUMBER(SEARCH(democrattrigger,C187)))&gt;0)</f>
        <v>0</v>
      </c>
      <c r="Z187" s="14" cm="1">
        <f t="array" ref="Z187">INT(SUMPRODUCT(--ISNUMBER(SEARCH(bipartisan,C187)))&gt;0)</f>
        <v>0</v>
      </c>
      <c r="AA187" s="14">
        <f t="shared" si="2"/>
        <v>0</v>
      </c>
      <c r="AB187" s="14"/>
      <c r="AC187" s="30" t="s">
        <v>223</v>
      </c>
      <c r="AD187" s="37" t="s">
        <v>223</v>
      </c>
    </row>
    <row r="188" spans="1:30" x14ac:dyDescent="0.25">
      <c r="A188" s="36">
        <v>1651</v>
      </c>
      <c r="B188" s="14" t="s">
        <v>3329</v>
      </c>
      <c r="C188" s="14" t="s">
        <v>3330</v>
      </c>
      <c r="D188" s="17">
        <v>44126</v>
      </c>
      <c r="E188" s="14" t="s">
        <v>30</v>
      </c>
      <c r="F188" s="14">
        <v>343</v>
      </c>
      <c r="G188" s="14">
        <v>104</v>
      </c>
      <c r="H188" s="14">
        <v>8</v>
      </c>
      <c r="I188" s="14">
        <v>4</v>
      </c>
      <c r="J188" s="14" t="s">
        <v>204</v>
      </c>
      <c r="K188" s="14" cm="1">
        <f t="array" ref="K188">INT(SUMPRODUCT(--ISNUMBER(SEARCH(economy,C188)))&gt;0)</f>
        <v>0</v>
      </c>
      <c r="L188" s="14" cm="1">
        <f t="array" ref="L188">INT(SUMPRODUCT(--ISNUMBER(SEARCH(healthcare,C188)))&gt;0)</f>
        <v>0</v>
      </c>
      <c r="M188" s="14" cm="1">
        <f t="array" ref="M188">INT(SUMPRODUCT(--ISNUMBER(SEARCH(supreme,C188)))&gt;0)</f>
        <v>0</v>
      </c>
      <c r="N188" s="14" cm="1">
        <f t="array" ref="N188">INT(SUMPRODUCT(--ISNUMBER(SEARCH(covid,C188)))&gt;0)</f>
        <v>0</v>
      </c>
      <c r="O188" s="14" cm="1">
        <f t="array" ref="O188">INT(SUMPRODUCT(--ISNUMBER(SEARCH(violent,C188)))&gt;0)</f>
        <v>0</v>
      </c>
      <c r="P188" s="14" cm="1">
        <f t="array" ref="P188">INT(SUMPRODUCT(--ISNUMBER(SEARCH(foreign,C188)))&gt;0)</f>
        <v>0</v>
      </c>
      <c r="Q188" s="14" cm="1">
        <f t="array" ref="Q188">INT(SUMPRODUCT(--ISNUMBER(SEARCH(gun,C188)))&gt;0)</f>
        <v>0</v>
      </c>
      <c r="R188" s="14" cm="1">
        <f t="array" ref="R188">INT(SUMPRODUCT(--ISNUMBER(SEARCH(race,C188)))&gt;0)</f>
        <v>0</v>
      </c>
      <c r="S188" s="14" cm="1">
        <f t="array" ref="S188">INT(SUMPRODUCT(--ISNUMBER(SEARCH(immigration,C188)))&gt;0)</f>
        <v>0</v>
      </c>
      <c r="T188" s="14" cm="1">
        <f t="array" ref="T188">INT(SUMPRODUCT(--ISNUMBER(SEARCH(econineq,C189)))&gt;0)</f>
        <v>0</v>
      </c>
      <c r="U188" s="14" cm="1">
        <f t="array" ref="U188">INT(SUMPRODUCT(--ISNUMBER(SEARCH(climate,C188)))&gt;0)</f>
        <v>0</v>
      </c>
      <c r="V188" s="14" cm="1">
        <f t="array" ref="V188">INT(SUMPRODUCT(--ISNUMBER(SEARCH(abortion,C188)))&gt;0)</f>
        <v>0</v>
      </c>
      <c r="W188" s="14" cm="1">
        <f t="array" ref="W188">INT(SUMPRODUCT(--ISNUMBER(SEARCH(trump,C188)))&gt;0)</f>
        <v>0</v>
      </c>
      <c r="X188" s="14" cm="1">
        <f t="array" ref="X188">INT(SUMPRODUCT(--ISNUMBER(SEARCH(voting,C188)))&gt;0)</f>
        <v>0</v>
      </c>
      <c r="Y188" s="14" cm="1">
        <f t="array" ref="Y188">INT(SUMPRODUCT(--ISNUMBER(SEARCH(democrattrigger,C188)))&gt;0)</f>
        <v>1</v>
      </c>
      <c r="Z188" s="14" cm="1">
        <f t="array" ref="Z188">INT(SUMPRODUCT(--ISNUMBER(SEARCH(bipartisan,C188)))&gt;0)</f>
        <v>0</v>
      </c>
      <c r="AA188" s="14">
        <f t="shared" si="2"/>
        <v>0</v>
      </c>
      <c r="AB188" s="14"/>
      <c r="AC188" s="30">
        <v>0</v>
      </c>
      <c r="AD188" s="37">
        <v>1</v>
      </c>
    </row>
    <row r="189" spans="1:30" x14ac:dyDescent="0.25">
      <c r="A189" s="36">
        <v>1652</v>
      </c>
      <c r="B189" s="14" t="s">
        <v>3331</v>
      </c>
      <c r="C189" s="14" t="s">
        <v>3332</v>
      </c>
      <c r="D189" s="17">
        <v>44126</v>
      </c>
      <c r="E189" s="14" t="s">
        <v>30</v>
      </c>
      <c r="F189" s="14">
        <v>272</v>
      </c>
      <c r="G189" s="14">
        <v>63</v>
      </c>
      <c r="H189" s="14">
        <v>8</v>
      </c>
      <c r="I189" s="14">
        <v>4</v>
      </c>
      <c r="J189" s="14" t="s">
        <v>204</v>
      </c>
      <c r="K189" s="14" cm="1">
        <f t="array" ref="K189">INT(SUMPRODUCT(--ISNUMBER(SEARCH(economy,C189)))&gt;0)</f>
        <v>0</v>
      </c>
      <c r="L189" s="14" cm="1">
        <f t="array" ref="L189">INT(SUMPRODUCT(--ISNUMBER(SEARCH(healthcare,C189)))&gt;0)</f>
        <v>1</v>
      </c>
      <c r="M189" s="14" cm="1">
        <f t="array" ref="M189">INT(SUMPRODUCT(--ISNUMBER(SEARCH(supreme,C189)))&gt;0)</f>
        <v>0</v>
      </c>
      <c r="N189" s="14" cm="1">
        <f t="array" ref="N189">INT(SUMPRODUCT(--ISNUMBER(SEARCH(covid,C189)))&gt;0)</f>
        <v>0</v>
      </c>
      <c r="O189" s="14" cm="1">
        <f t="array" ref="O189">INT(SUMPRODUCT(--ISNUMBER(SEARCH(violent,C189)))&gt;0)</f>
        <v>0</v>
      </c>
      <c r="P189" s="14" cm="1">
        <f t="array" ref="P189">INT(SUMPRODUCT(--ISNUMBER(SEARCH(foreign,C189)))&gt;0)</f>
        <v>0</v>
      </c>
      <c r="Q189" s="14" cm="1">
        <f t="array" ref="Q189">INT(SUMPRODUCT(--ISNUMBER(SEARCH(gun,C189)))&gt;0)</f>
        <v>0</v>
      </c>
      <c r="R189" s="14" cm="1">
        <f t="array" ref="R189">INT(SUMPRODUCT(--ISNUMBER(SEARCH(race,C189)))&gt;0)</f>
        <v>0</v>
      </c>
      <c r="S189" s="14" cm="1">
        <f t="array" ref="S189">INT(SUMPRODUCT(--ISNUMBER(SEARCH(immigration,C189)))&gt;0)</f>
        <v>1</v>
      </c>
      <c r="T189" s="14" cm="1">
        <f t="array" ref="T189">INT(SUMPRODUCT(--ISNUMBER(SEARCH(econineq,C190)))&gt;0)</f>
        <v>0</v>
      </c>
      <c r="U189" s="14" cm="1">
        <f t="array" ref="U189">INT(SUMPRODUCT(--ISNUMBER(SEARCH(climate,C189)))&gt;0)</f>
        <v>1</v>
      </c>
      <c r="V189" s="14" cm="1">
        <f t="array" ref="V189">INT(SUMPRODUCT(--ISNUMBER(SEARCH(abortion,C189)))&gt;0)</f>
        <v>0</v>
      </c>
      <c r="W189" s="14" cm="1">
        <f t="array" ref="W189">INT(SUMPRODUCT(--ISNUMBER(SEARCH(trump,C189)))&gt;0)</f>
        <v>0</v>
      </c>
      <c r="X189" s="14" cm="1">
        <f t="array" ref="X189">INT(SUMPRODUCT(--ISNUMBER(SEARCH(voting,C189)))&gt;0)</f>
        <v>0</v>
      </c>
      <c r="Y189" s="14" cm="1">
        <f t="array" ref="Y189">INT(SUMPRODUCT(--ISNUMBER(SEARCH(democrattrigger,C189)))&gt;0)</f>
        <v>0</v>
      </c>
      <c r="Z189" s="14" cm="1">
        <f t="array" ref="Z189">INT(SUMPRODUCT(--ISNUMBER(SEARCH(bipartisan,C189)))&gt;0)</f>
        <v>0</v>
      </c>
      <c r="AA189" s="14">
        <f t="shared" si="2"/>
        <v>0</v>
      </c>
      <c r="AB189" s="14"/>
      <c r="AC189" s="30" t="s">
        <v>223</v>
      </c>
      <c r="AD189" s="37" t="s">
        <v>223</v>
      </c>
    </row>
    <row r="190" spans="1:30" x14ac:dyDescent="0.25">
      <c r="A190" s="36">
        <v>1653</v>
      </c>
      <c r="B190" s="14" t="s">
        <v>3333</v>
      </c>
      <c r="C190" s="14" t="s">
        <v>3334</v>
      </c>
      <c r="D190" s="17">
        <v>44126</v>
      </c>
      <c r="E190" s="14" t="s">
        <v>30</v>
      </c>
      <c r="F190" s="14">
        <v>297</v>
      </c>
      <c r="G190" s="14">
        <v>89</v>
      </c>
      <c r="H190" s="14">
        <v>8</v>
      </c>
      <c r="I190" s="14">
        <v>4</v>
      </c>
      <c r="J190" s="14" t="s">
        <v>204</v>
      </c>
      <c r="K190" s="14" cm="1">
        <f t="array" ref="K190">INT(SUMPRODUCT(--ISNUMBER(SEARCH(economy,C190)))&gt;0)</f>
        <v>0</v>
      </c>
      <c r="L190" s="14" cm="1">
        <f t="array" ref="L190">INT(SUMPRODUCT(--ISNUMBER(SEARCH(healthcare,C190)))&gt;0)</f>
        <v>0</v>
      </c>
      <c r="M190" s="14" cm="1">
        <f t="array" ref="M190">INT(SUMPRODUCT(--ISNUMBER(SEARCH(supreme,C190)))&gt;0)</f>
        <v>0</v>
      </c>
      <c r="N190" s="14" cm="1">
        <f t="array" ref="N190">INT(SUMPRODUCT(--ISNUMBER(SEARCH(covid,C190)))&gt;0)</f>
        <v>0</v>
      </c>
      <c r="O190" s="14" cm="1">
        <f t="array" ref="O190">INT(SUMPRODUCT(--ISNUMBER(SEARCH(violent,C190)))&gt;0)</f>
        <v>0</v>
      </c>
      <c r="P190" s="14" cm="1">
        <f t="array" ref="P190">INT(SUMPRODUCT(--ISNUMBER(SEARCH(foreign,C190)))&gt;0)</f>
        <v>0</v>
      </c>
      <c r="Q190" s="14" cm="1">
        <f t="array" ref="Q190">INT(SUMPRODUCT(--ISNUMBER(SEARCH(gun,C190)))&gt;0)</f>
        <v>0</v>
      </c>
      <c r="R190" s="14" cm="1">
        <f t="array" ref="R190">INT(SUMPRODUCT(--ISNUMBER(SEARCH(race,C190)))&gt;0)</f>
        <v>0</v>
      </c>
      <c r="S190" s="14" cm="1">
        <f t="array" ref="S190">INT(SUMPRODUCT(--ISNUMBER(SEARCH(immigration,C190)))&gt;0)</f>
        <v>1</v>
      </c>
      <c r="T190" s="14" cm="1">
        <f t="array" ref="T190">INT(SUMPRODUCT(--ISNUMBER(SEARCH(econineq,C191)))&gt;0)</f>
        <v>0</v>
      </c>
      <c r="U190" s="14" cm="1">
        <f t="array" ref="U190">INT(SUMPRODUCT(--ISNUMBER(SEARCH(climate,C190)))&gt;0)</f>
        <v>0</v>
      </c>
      <c r="V190" s="14" cm="1">
        <f t="array" ref="V190">INT(SUMPRODUCT(--ISNUMBER(SEARCH(abortion,C190)))&gt;0)</f>
        <v>0</v>
      </c>
      <c r="W190" s="14" cm="1">
        <f t="array" ref="W190">INT(SUMPRODUCT(--ISNUMBER(SEARCH(trump,C190)))&gt;0)</f>
        <v>1</v>
      </c>
      <c r="X190" s="14" cm="1">
        <f t="array" ref="X190">INT(SUMPRODUCT(--ISNUMBER(SEARCH(voting,C190)))&gt;0)</f>
        <v>0</v>
      </c>
      <c r="Y190" s="14" cm="1">
        <f t="array" ref="Y190">INT(SUMPRODUCT(--ISNUMBER(SEARCH(democrattrigger,C190)))&gt;0)</f>
        <v>1</v>
      </c>
      <c r="Z190" s="14" cm="1">
        <f t="array" ref="Z190">INT(SUMPRODUCT(--ISNUMBER(SEARCH(bipartisan,C190)))&gt;0)</f>
        <v>0</v>
      </c>
      <c r="AA190" s="14">
        <f t="shared" si="2"/>
        <v>0</v>
      </c>
      <c r="AB190" s="14"/>
      <c r="AC190" s="30">
        <v>1</v>
      </c>
      <c r="AD190" s="37">
        <v>0</v>
      </c>
    </row>
    <row r="191" spans="1:30" x14ac:dyDescent="0.25">
      <c r="A191" s="36">
        <v>1654</v>
      </c>
      <c r="B191" s="14" t="s">
        <v>3335</v>
      </c>
      <c r="C191" s="14" t="s">
        <v>3336</v>
      </c>
      <c r="D191" s="17">
        <v>44126</v>
      </c>
      <c r="E191" s="14" t="s">
        <v>30</v>
      </c>
      <c r="F191" s="14">
        <v>588</v>
      </c>
      <c r="G191" s="14">
        <v>172</v>
      </c>
      <c r="H191" s="14">
        <v>8</v>
      </c>
      <c r="I191" s="14">
        <v>4</v>
      </c>
      <c r="J191" s="14" t="s">
        <v>204</v>
      </c>
      <c r="K191" s="14" cm="1">
        <f t="array" ref="K191">INT(SUMPRODUCT(--ISNUMBER(SEARCH(economy,C191)))&gt;0)</f>
        <v>0</v>
      </c>
      <c r="L191" s="14" cm="1">
        <f t="array" ref="L191">INT(SUMPRODUCT(--ISNUMBER(SEARCH(healthcare,C191)))&gt;0)</f>
        <v>0</v>
      </c>
      <c r="M191" s="14" cm="1">
        <f t="array" ref="M191">INT(SUMPRODUCT(--ISNUMBER(SEARCH(supreme,C191)))&gt;0)</f>
        <v>0</v>
      </c>
      <c r="N191" s="14" cm="1">
        <f t="array" ref="N191">INT(SUMPRODUCT(--ISNUMBER(SEARCH(covid,C191)))&gt;0)</f>
        <v>0</v>
      </c>
      <c r="O191" s="14" cm="1">
        <f t="array" ref="O191">INT(SUMPRODUCT(--ISNUMBER(SEARCH(violent,C191)))&gt;0)</f>
        <v>0</v>
      </c>
      <c r="P191" s="14" cm="1">
        <f t="array" ref="P191">INT(SUMPRODUCT(--ISNUMBER(SEARCH(foreign,C191)))&gt;0)</f>
        <v>0</v>
      </c>
      <c r="Q191" s="14" cm="1">
        <f t="array" ref="Q191">INT(SUMPRODUCT(--ISNUMBER(SEARCH(gun,C191)))&gt;0)</f>
        <v>0</v>
      </c>
      <c r="R191" s="14" cm="1">
        <f t="array" ref="R191">INT(SUMPRODUCT(--ISNUMBER(SEARCH(race,C191)))&gt;0)</f>
        <v>0</v>
      </c>
      <c r="S191" s="14" cm="1">
        <f t="array" ref="S191">INT(SUMPRODUCT(--ISNUMBER(SEARCH(immigration,C191)))&gt;0)</f>
        <v>0</v>
      </c>
      <c r="T191" s="14" cm="1">
        <f t="array" ref="T191">INT(SUMPRODUCT(--ISNUMBER(SEARCH(econineq,C192)))&gt;0)</f>
        <v>0</v>
      </c>
      <c r="U191" s="14" cm="1">
        <f t="array" ref="U191">INT(SUMPRODUCT(--ISNUMBER(SEARCH(climate,C191)))&gt;0)</f>
        <v>0</v>
      </c>
      <c r="V191" s="14" cm="1">
        <f t="array" ref="V191">INT(SUMPRODUCT(--ISNUMBER(SEARCH(abortion,C191)))&gt;0)</f>
        <v>0</v>
      </c>
      <c r="W191" s="14" cm="1">
        <f t="array" ref="W191">INT(SUMPRODUCT(--ISNUMBER(SEARCH(trump,C191)))&gt;0)</f>
        <v>1</v>
      </c>
      <c r="X191" s="14" cm="1">
        <f t="array" ref="X191">INT(SUMPRODUCT(--ISNUMBER(SEARCH(voting,C191)))&gt;0)</f>
        <v>1</v>
      </c>
      <c r="Y191" s="14" cm="1">
        <f t="array" ref="Y191">INT(SUMPRODUCT(--ISNUMBER(SEARCH(democrattrigger,C191)))&gt;0)</f>
        <v>1</v>
      </c>
      <c r="Z191" s="14" cm="1">
        <f t="array" ref="Z191">INT(SUMPRODUCT(--ISNUMBER(SEARCH(bipartisan,C191)))&gt;0)</f>
        <v>0</v>
      </c>
      <c r="AA191" s="14">
        <f t="shared" si="2"/>
        <v>0</v>
      </c>
      <c r="AB191" s="14"/>
      <c r="AC191" s="30" t="s">
        <v>223</v>
      </c>
      <c r="AD191" s="37" t="s">
        <v>223</v>
      </c>
    </row>
    <row r="192" spans="1:30" x14ac:dyDescent="0.25">
      <c r="A192" s="36">
        <v>1655</v>
      </c>
      <c r="B192" s="14" t="s">
        <v>3337</v>
      </c>
      <c r="C192" s="14" t="s">
        <v>3338</v>
      </c>
      <c r="D192" s="17">
        <v>44126</v>
      </c>
      <c r="E192" s="14" t="s">
        <v>30</v>
      </c>
      <c r="F192" s="14">
        <v>1144</v>
      </c>
      <c r="G192" s="14">
        <v>285</v>
      </c>
      <c r="H192" s="14">
        <v>8</v>
      </c>
      <c r="I192" s="14">
        <v>4</v>
      </c>
      <c r="J192" s="14" t="s">
        <v>204</v>
      </c>
      <c r="K192" s="14" cm="1">
        <f t="array" ref="K192">INT(SUMPRODUCT(--ISNUMBER(SEARCH(economy,C192)))&gt;0)</f>
        <v>0</v>
      </c>
      <c r="L192" s="14" cm="1">
        <f t="array" ref="L192">INT(SUMPRODUCT(--ISNUMBER(SEARCH(healthcare,C192)))&gt;0)</f>
        <v>0</v>
      </c>
      <c r="M192" s="14" cm="1">
        <f t="array" ref="M192">INT(SUMPRODUCT(--ISNUMBER(SEARCH(supreme,C192)))&gt;0)</f>
        <v>0</v>
      </c>
      <c r="N192" s="14" cm="1">
        <f t="array" ref="N192">INT(SUMPRODUCT(--ISNUMBER(SEARCH(covid,C192)))&gt;0)</f>
        <v>0</v>
      </c>
      <c r="O192" s="14" cm="1">
        <f t="array" ref="O192">INT(SUMPRODUCT(--ISNUMBER(SEARCH(violent,C192)))&gt;0)</f>
        <v>0</v>
      </c>
      <c r="P192" s="14" cm="1">
        <f t="array" ref="P192">INT(SUMPRODUCT(--ISNUMBER(SEARCH(foreign,C192)))&gt;0)</f>
        <v>0</v>
      </c>
      <c r="Q192" s="14" cm="1">
        <f t="array" ref="Q192">INT(SUMPRODUCT(--ISNUMBER(SEARCH(gun,C192)))&gt;0)</f>
        <v>0</v>
      </c>
      <c r="R192" s="14" cm="1">
        <f t="array" ref="R192">INT(SUMPRODUCT(--ISNUMBER(SEARCH(race,C192)))&gt;0)</f>
        <v>0</v>
      </c>
      <c r="S192" s="14" cm="1">
        <f t="array" ref="S192">INT(SUMPRODUCT(--ISNUMBER(SEARCH(immigration,C192)))&gt;0)</f>
        <v>0</v>
      </c>
      <c r="T192" s="14" cm="1">
        <f t="array" ref="T192">INT(SUMPRODUCT(--ISNUMBER(SEARCH(econineq,C193)))&gt;0)</f>
        <v>1</v>
      </c>
      <c r="U192" s="14" cm="1">
        <f t="array" ref="U192">INT(SUMPRODUCT(--ISNUMBER(SEARCH(climate,C192)))&gt;0)</f>
        <v>0</v>
      </c>
      <c r="V192" s="14" cm="1">
        <f t="array" ref="V192">INT(SUMPRODUCT(--ISNUMBER(SEARCH(abortion,C192)))&gt;0)</f>
        <v>0</v>
      </c>
      <c r="W192" s="14" cm="1">
        <f t="array" ref="W192">INT(SUMPRODUCT(--ISNUMBER(SEARCH(trump,C192)))&gt;0)</f>
        <v>1</v>
      </c>
      <c r="X192" s="14" cm="1">
        <f t="array" ref="X192">INT(SUMPRODUCT(--ISNUMBER(SEARCH(voting,C192)))&gt;0)</f>
        <v>1</v>
      </c>
      <c r="Y192" s="14" cm="1">
        <f t="array" ref="Y192">INT(SUMPRODUCT(--ISNUMBER(SEARCH(democrattrigger,C192)))&gt;0)</f>
        <v>1</v>
      </c>
      <c r="Z192" s="14" cm="1">
        <f t="array" ref="Z192">INT(SUMPRODUCT(--ISNUMBER(SEARCH(bipartisan,C192)))&gt;0)</f>
        <v>0</v>
      </c>
      <c r="AA192" s="14">
        <f t="shared" si="2"/>
        <v>0</v>
      </c>
      <c r="AB192" s="14"/>
      <c r="AC192" s="30" t="s">
        <v>223</v>
      </c>
      <c r="AD192" s="37" t="s">
        <v>223</v>
      </c>
    </row>
    <row r="193" spans="1:30" x14ac:dyDescent="0.25">
      <c r="A193" s="36">
        <v>1656</v>
      </c>
      <c r="B193" s="14" t="s">
        <v>3339</v>
      </c>
      <c r="C193" s="14" t="s">
        <v>3340</v>
      </c>
      <c r="D193" s="17">
        <v>44126</v>
      </c>
      <c r="E193" s="14" t="s">
        <v>30</v>
      </c>
      <c r="F193" s="14">
        <v>730</v>
      </c>
      <c r="G193" s="14">
        <v>194</v>
      </c>
      <c r="H193" s="14">
        <v>8</v>
      </c>
      <c r="I193" s="14">
        <v>4</v>
      </c>
      <c r="J193" s="14" t="s">
        <v>204</v>
      </c>
      <c r="K193" s="14" cm="1">
        <f t="array" ref="K193">INT(SUMPRODUCT(--ISNUMBER(SEARCH(economy,C193)))&gt;0)</f>
        <v>1</v>
      </c>
      <c r="L193" s="14" cm="1">
        <f t="array" ref="L193">INT(SUMPRODUCT(--ISNUMBER(SEARCH(healthcare,C193)))&gt;0)</f>
        <v>0</v>
      </c>
      <c r="M193" s="14" cm="1">
        <f t="array" ref="M193">INT(SUMPRODUCT(--ISNUMBER(SEARCH(supreme,C193)))&gt;0)</f>
        <v>0</v>
      </c>
      <c r="N193" s="14" cm="1">
        <f t="array" ref="N193">INT(SUMPRODUCT(--ISNUMBER(SEARCH(covid,C193)))&gt;0)</f>
        <v>0</v>
      </c>
      <c r="O193" s="14" cm="1">
        <f t="array" ref="O193">INT(SUMPRODUCT(--ISNUMBER(SEARCH(violent,C193)))&gt;0)</f>
        <v>0</v>
      </c>
      <c r="P193" s="14" cm="1">
        <f t="array" ref="P193">INT(SUMPRODUCT(--ISNUMBER(SEARCH(foreign,C193)))&gt;0)</f>
        <v>0</v>
      </c>
      <c r="Q193" s="14" cm="1">
        <f t="array" ref="Q193">INT(SUMPRODUCT(--ISNUMBER(SEARCH(gun,C193)))&gt;0)</f>
        <v>0</v>
      </c>
      <c r="R193" s="14" cm="1">
        <f t="array" ref="R193">INT(SUMPRODUCT(--ISNUMBER(SEARCH(race,C193)))&gt;0)</f>
        <v>0</v>
      </c>
      <c r="S193" s="14" cm="1">
        <f t="array" ref="S193">INT(SUMPRODUCT(--ISNUMBER(SEARCH(immigration,C193)))&gt;0)</f>
        <v>0</v>
      </c>
      <c r="T193" s="14" cm="1">
        <f t="array" ref="T193">INT(SUMPRODUCT(--ISNUMBER(SEARCH(econineq,C194)))&gt;0)</f>
        <v>0</v>
      </c>
      <c r="U193" s="14" cm="1">
        <f t="array" ref="U193">INT(SUMPRODUCT(--ISNUMBER(SEARCH(climate,C193)))&gt;0)</f>
        <v>0</v>
      </c>
      <c r="V193" s="14" cm="1">
        <f t="array" ref="V193">INT(SUMPRODUCT(--ISNUMBER(SEARCH(abortion,C193)))&gt;0)</f>
        <v>0</v>
      </c>
      <c r="W193" s="14" cm="1">
        <f t="array" ref="W193">INT(SUMPRODUCT(--ISNUMBER(SEARCH(trump,C193)))&gt;0)</f>
        <v>0</v>
      </c>
      <c r="X193" s="14" cm="1">
        <f t="array" ref="X193">INT(SUMPRODUCT(--ISNUMBER(SEARCH(voting,C193)))&gt;0)</f>
        <v>1</v>
      </c>
      <c r="Y193" s="14" cm="1">
        <f t="array" ref="Y193">INT(SUMPRODUCT(--ISNUMBER(SEARCH(democrattrigger,C193)))&gt;0)</f>
        <v>1</v>
      </c>
      <c r="Z193" s="14" cm="1">
        <f t="array" ref="Z193">INT(SUMPRODUCT(--ISNUMBER(SEARCH(bipartisan,C193)))&gt;0)</f>
        <v>1</v>
      </c>
      <c r="AA193" s="14">
        <f t="shared" si="2"/>
        <v>0</v>
      </c>
      <c r="AB193" s="14"/>
      <c r="AC193" s="30" t="s">
        <v>223</v>
      </c>
      <c r="AD193" s="37" t="s">
        <v>223</v>
      </c>
    </row>
    <row r="194" spans="1:30" x14ac:dyDescent="0.25">
      <c r="A194" s="36">
        <v>1657</v>
      </c>
      <c r="B194" s="14" t="s">
        <v>3341</v>
      </c>
      <c r="C194" s="14" t="s">
        <v>3342</v>
      </c>
      <c r="D194" s="17">
        <v>44126</v>
      </c>
      <c r="E194" s="14" t="s">
        <v>30</v>
      </c>
      <c r="F194" s="14">
        <v>373</v>
      </c>
      <c r="G194" s="14">
        <v>140</v>
      </c>
      <c r="H194" s="14">
        <v>8</v>
      </c>
      <c r="I194" s="14">
        <v>4</v>
      </c>
      <c r="J194" s="14" t="s">
        <v>204</v>
      </c>
      <c r="K194" s="14" cm="1">
        <f t="array" ref="K194">INT(SUMPRODUCT(--ISNUMBER(SEARCH(economy,C194)))&gt;0)</f>
        <v>0</v>
      </c>
      <c r="L194" s="14" cm="1">
        <f t="array" ref="L194">INT(SUMPRODUCT(--ISNUMBER(SEARCH(healthcare,C194)))&gt;0)</f>
        <v>1</v>
      </c>
      <c r="M194" s="14" cm="1">
        <f t="array" ref="M194">INT(SUMPRODUCT(--ISNUMBER(SEARCH(supreme,C194)))&gt;0)</f>
        <v>0</v>
      </c>
      <c r="N194" s="14" cm="1">
        <f t="array" ref="N194">INT(SUMPRODUCT(--ISNUMBER(SEARCH(covid,C194)))&gt;0)</f>
        <v>0</v>
      </c>
      <c r="O194" s="14" cm="1">
        <f t="array" ref="O194">INT(SUMPRODUCT(--ISNUMBER(SEARCH(violent,C194)))&gt;0)</f>
        <v>0</v>
      </c>
      <c r="P194" s="14" cm="1">
        <f t="array" ref="P194">INT(SUMPRODUCT(--ISNUMBER(SEARCH(foreign,C194)))&gt;0)</f>
        <v>0</v>
      </c>
      <c r="Q194" s="14" cm="1">
        <f t="array" ref="Q194">INT(SUMPRODUCT(--ISNUMBER(SEARCH(gun,C194)))&gt;0)</f>
        <v>0</v>
      </c>
      <c r="R194" s="14" cm="1">
        <f t="array" ref="R194">INT(SUMPRODUCT(--ISNUMBER(SEARCH(race,C194)))&gt;0)</f>
        <v>0</v>
      </c>
      <c r="S194" s="14" cm="1">
        <f t="array" ref="S194">INT(SUMPRODUCT(--ISNUMBER(SEARCH(immigration,C194)))&gt;0)</f>
        <v>0</v>
      </c>
      <c r="T194" s="14" cm="1">
        <f t="array" ref="T194">INT(SUMPRODUCT(--ISNUMBER(SEARCH(econineq,C195)))&gt;0)</f>
        <v>0</v>
      </c>
      <c r="U194" s="14" cm="1">
        <f t="array" ref="U194">INT(SUMPRODUCT(--ISNUMBER(SEARCH(climate,C194)))&gt;0)</f>
        <v>0</v>
      </c>
      <c r="V194" s="14" cm="1">
        <f t="array" ref="V194">INT(SUMPRODUCT(--ISNUMBER(SEARCH(abortion,C194)))&gt;0)</f>
        <v>0</v>
      </c>
      <c r="W194" s="14" cm="1">
        <f t="array" ref="W194">INT(SUMPRODUCT(--ISNUMBER(SEARCH(trump,C194)))&gt;0)</f>
        <v>0</v>
      </c>
      <c r="X194" s="14" cm="1">
        <f t="array" ref="X194">INT(SUMPRODUCT(--ISNUMBER(SEARCH(voting,C194)))&gt;0)</f>
        <v>0</v>
      </c>
      <c r="Y194" s="14" cm="1">
        <f t="array" ref="Y194">INT(SUMPRODUCT(--ISNUMBER(SEARCH(democrattrigger,C194)))&gt;0)</f>
        <v>1</v>
      </c>
      <c r="Z194" s="14" cm="1">
        <f t="array" ref="Z194">INT(SUMPRODUCT(--ISNUMBER(SEARCH(bipartisan,C194)))&gt;0)</f>
        <v>0</v>
      </c>
      <c r="AA194" s="14">
        <f t="shared" si="2"/>
        <v>0</v>
      </c>
      <c r="AB194" s="14"/>
      <c r="AC194" s="30">
        <v>1</v>
      </c>
      <c r="AD194" s="37">
        <v>0</v>
      </c>
    </row>
    <row r="195" spans="1:30" x14ac:dyDescent="0.25">
      <c r="A195" s="36">
        <v>1658</v>
      </c>
      <c r="B195" s="14" t="s">
        <v>3343</v>
      </c>
      <c r="C195" s="14" t="s">
        <v>3344</v>
      </c>
      <c r="D195" s="17">
        <v>44126</v>
      </c>
      <c r="E195" s="14" t="s">
        <v>30</v>
      </c>
      <c r="F195" s="14">
        <v>266</v>
      </c>
      <c r="G195" s="14">
        <v>65</v>
      </c>
      <c r="H195" s="14">
        <v>8</v>
      </c>
      <c r="I195" s="14">
        <v>4</v>
      </c>
      <c r="J195" s="14" t="s">
        <v>204</v>
      </c>
      <c r="K195" s="14" cm="1">
        <f t="array" ref="K195">INT(SUMPRODUCT(--ISNUMBER(SEARCH(economy,C195)))&gt;0)</f>
        <v>0</v>
      </c>
      <c r="L195" s="14" cm="1">
        <f t="array" ref="L195">INT(SUMPRODUCT(--ISNUMBER(SEARCH(healthcare,C195)))&gt;0)</f>
        <v>0</v>
      </c>
      <c r="M195" s="14" cm="1">
        <f t="array" ref="M195">INT(SUMPRODUCT(--ISNUMBER(SEARCH(supreme,C195)))&gt;0)</f>
        <v>0</v>
      </c>
      <c r="N195" s="14" cm="1">
        <f t="array" ref="N195">INT(SUMPRODUCT(--ISNUMBER(SEARCH(covid,C195)))&gt;0)</f>
        <v>0</v>
      </c>
      <c r="O195" s="14" cm="1">
        <f t="array" ref="O195">INT(SUMPRODUCT(--ISNUMBER(SEARCH(violent,C195)))&gt;0)</f>
        <v>0</v>
      </c>
      <c r="P195" s="14" cm="1">
        <f t="array" ref="P195">INT(SUMPRODUCT(--ISNUMBER(SEARCH(foreign,C195)))&gt;0)</f>
        <v>0</v>
      </c>
      <c r="Q195" s="14" cm="1">
        <f t="array" ref="Q195">INT(SUMPRODUCT(--ISNUMBER(SEARCH(gun,C195)))&gt;0)</f>
        <v>0</v>
      </c>
      <c r="R195" s="14" cm="1">
        <f t="array" ref="R195">INT(SUMPRODUCT(--ISNUMBER(SEARCH(race,C195)))&gt;0)</f>
        <v>0</v>
      </c>
      <c r="S195" s="14" cm="1">
        <f t="array" ref="S195">INT(SUMPRODUCT(--ISNUMBER(SEARCH(immigration,C195)))&gt;0)</f>
        <v>0</v>
      </c>
      <c r="T195" s="14" cm="1">
        <f t="array" ref="T195">INT(SUMPRODUCT(--ISNUMBER(SEARCH(econineq,C196)))&gt;0)</f>
        <v>0</v>
      </c>
      <c r="U195" s="14" cm="1">
        <f t="array" ref="U195">INT(SUMPRODUCT(--ISNUMBER(SEARCH(climate,C195)))&gt;0)</f>
        <v>0</v>
      </c>
      <c r="V195" s="14" cm="1">
        <f t="array" ref="V195">INT(SUMPRODUCT(--ISNUMBER(SEARCH(abortion,C195)))&gt;0)</f>
        <v>0</v>
      </c>
      <c r="W195" s="14" cm="1">
        <f t="array" ref="W195">INT(SUMPRODUCT(--ISNUMBER(SEARCH(trump,C195)))&gt;0)</f>
        <v>0</v>
      </c>
      <c r="X195" s="14" cm="1">
        <f t="array" ref="X195">INT(SUMPRODUCT(--ISNUMBER(SEARCH(voting,C195)))&gt;0)</f>
        <v>0</v>
      </c>
      <c r="Y195" s="14" cm="1">
        <f t="array" ref="Y195">INT(SUMPRODUCT(--ISNUMBER(SEARCH(democrattrigger,C195)))&gt;0)</f>
        <v>1</v>
      </c>
      <c r="Z195" s="14" cm="1">
        <f t="array" ref="Z195">INT(SUMPRODUCT(--ISNUMBER(SEARCH(bipartisan,C195)))&gt;0)</f>
        <v>0</v>
      </c>
      <c r="AA195" s="14">
        <f t="shared" ref="AA195:AA258" si="3">INT(IF(COUNTIF(K195:Z195,1)=0,"1","0"))</f>
        <v>0</v>
      </c>
      <c r="AB195" s="14"/>
      <c r="AC195" s="30" t="s">
        <v>223</v>
      </c>
      <c r="AD195" s="37" t="s">
        <v>223</v>
      </c>
    </row>
    <row r="196" spans="1:30" x14ac:dyDescent="0.25">
      <c r="A196" s="36">
        <v>1659</v>
      </c>
      <c r="B196" s="14" t="s">
        <v>3345</v>
      </c>
      <c r="C196" s="14" t="s">
        <v>3346</v>
      </c>
      <c r="D196" s="17">
        <v>44126</v>
      </c>
      <c r="E196" s="14" t="s">
        <v>30</v>
      </c>
      <c r="F196" s="14">
        <v>299</v>
      </c>
      <c r="G196" s="14">
        <v>76</v>
      </c>
      <c r="H196" s="14">
        <v>8</v>
      </c>
      <c r="I196" s="14">
        <v>4</v>
      </c>
      <c r="J196" s="14" t="s">
        <v>204</v>
      </c>
      <c r="K196" s="14" cm="1">
        <f t="array" ref="K196">INT(SUMPRODUCT(--ISNUMBER(SEARCH(economy,C196)))&gt;0)</f>
        <v>0</v>
      </c>
      <c r="L196" s="14" cm="1">
        <f t="array" ref="L196">INT(SUMPRODUCT(--ISNUMBER(SEARCH(healthcare,C196)))&gt;0)</f>
        <v>1</v>
      </c>
      <c r="M196" s="14" cm="1">
        <f t="array" ref="M196">INT(SUMPRODUCT(--ISNUMBER(SEARCH(supreme,C196)))&gt;0)</f>
        <v>0</v>
      </c>
      <c r="N196" s="14" cm="1">
        <f t="array" ref="N196">INT(SUMPRODUCT(--ISNUMBER(SEARCH(covid,C196)))&gt;0)</f>
        <v>0</v>
      </c>
      <c r="O196" s="14" cm="1">
        <f t="array" ref="O196">INT(SUMPRODUCT(--ISNUMBER(SEARCH(violent,C196)))&gt;0)</f>
        <v>0</v>
      </c>
      <c r="P196" s="14" cm="1">
        <f t="array" ref="P196">INT(SUMPRODUCT(--ISNUMBER(SEARCH(foreign,C196)))&gt;0)</f>
        <v>0</v>
      </c>
      <c r="Q196" s="14" cm="1">
        <f t="array" ref="Q196">INT(SUMPRODUCT(--ISNUMBER(SEARCH(gun,C196)))&gt;0)</f>
        <v>0</v>
      </c>
      <c r="R196" s="14" cm="1">
        <f t="array" ref="R196">INT(SUMPRODUCT(--ISNUMBER(SEARCH(race,C196)))&gt;0)</f>
        <v>0</v>
      </c>
      <c r="S196" s="14" cm="1">
        <f t="array" ref="S196">INT(SUMPRODUCT(--ISNUMBER(SEARCH(immigration,C196)))&gt;0)</f>
        <v>0</v>
      </c>
      <c r="T196" s="14" cm="1">
        <f t="array" ref="T196">INT(SUMPRODUCT(--ISNUMBER(SEARCH(econineq,C197)))&gt;0)</f>
        <v>0</v>
      </c>
      <c r="U196" s="14" cm="1">
        <f t="array" ref="U196">INT(SUMPRODUCT(--ISNUMBER(SEARCH(climate,C196)))&gt;0)</f>
        <v>0</v>
      </c>
      <c r="V196" s="14" cm="1">
        <f t="array" ref="V196">INT(SUMPRODUCT(--ISNUMBER(SEARCH(abortion,C196)))&gt;0)</f>
        <v>0</v>
      </c>
      <c r="W196" s="14" cm="1">
        <f t="array" ref="W196">INT(SUMPRODUCT(--ISNUMBER(SEARCH(trump,C196)))&gt;0)</f>
        <v>0</v>
      </c>
      <c r="X196" s="14" cm="1">
        <f t="array" ref="X196">INT(SUMPRODUCT(--ISNUMBER(SEARCH(voting,C196)))&gt;0)</f>
        <v>0</v>
      </c>
      <c r="Y196" s="14" cm="1">
        <f t="array" ref="Y196">INT(SUMPRODUCT(--ISNUMBER(SEARCH(democrattrigger,C196)))&gt;0)</f>
        <v>0</v>
      </c>
      <c r="Z196" s="14" cm="1">
        <f t="array" ref="Z196">INT(SUMPRODUCT(--ISNUMBER(SEARCH(bipartisan,C196)))&gt;0)</f>
        <v>0</v>
      </c>
      <c r="AA196" s="14">
        <f t="shared" si="3"/>
        <v>0</v>
      </c>
      <c r="AB196" s="14"/>
      <c r="AC196" s="30" t="s">
        <v>223</v>
      </c>
      <c r="AD196" s="37" t="s">
        <v>223</v>
      </c>
    </row>
    <row r="197" spans="1:30" x14ac:dyDescent="0.25">
      <c r="A197" s="36">
        <v>1660</v>
      </c>
      <c r="B197" s="14" t="s">
        <v>3347</v>
      </c>
      <c r="C197" s="14" t="s">
        <v>3348</v>
      </c>
      <c r="D197" s="17">
        <v>44126</v>
      </c>
      <c r="E197" s="14" t="s">
        <v>30</v>
      </c>
      <c r="F197" s="14">
        <v>615</v>
      </c>
      <c r="G197" s="14">
        <v>230</v>
      </c>
      <c r="H197" s="14">
        <v>8</v>
      </c>
      <c r="I197" s="14">
        <v>4</v>
      </c>
      <c r="J197" s="14" t="s">
        <v>204</v>
      </c>
      <c r="K197" s="14" cm="1">
        <f t="array" ref="K197">INT(SUMPRODUCT(--ISNUMBER(SEARCH(economy,C197)))&gt;0)</f>
        <v>0</v>
      </c>
      <c r="L197" s="14" cm="1">
        <f t="array" ref="L197">INT(SUMPRODUCT(--ISNUMBER(SEARCH(healthcare,C197)))&gt;0)</f>
        <v>1</v>
      </c>
      <c r="M197" s="14" cm="1">
        <f t="array" ref="M197">INT(SUMPRODUCT(--ISNUMBER(SEARCH(supreme,C197)))&gt;0)</f>
        <v>1</v>
      </c>
      <c r="N197" s="14" cm="1">
        <f t="array" ref="N197">INT(SUMPRODUCT(--ISNUMBER(SEARCH(covid,C197)))&gt;0)</f>
        <v>0</v>
      </c>
      <c r="O197" s="14" cm="1">
        <f t="array" ref="O197">INT(SUMPRODUCT(--ISNUMBER(SEARCH(violent,C197)))&gt;0)</f>
        <v>0</v>
      </c>
      <c r="P197" s="14" cm="1">
        <f t="array" ref="P197">INT(SUMPRODUCT(--ISNUMBER(SEARCH(foreign,C197)))&gt;0)</f>
        <v>0</v>
      </c>
      <c r="Q197" s="14" cm="1">
        <f t="array" ref="Q197">INT(SUMPRODUCT(--ISNUMBER(SEARCH(gun,C197)))&gt;0)</f>
        <v>0</v>
      </c>
      <c r="R197" s="14" cm="1">
        <f t="array" ref="R197">INT(SUMPRODUCT(--ISNUMBER(SEARCH(race,C197)))&gt;0)</f>
        <v>0</v>
      </c>
      <c r="S197" s="14" cm="1">
        <f t="array" ref="S197">INT(SUMPRODUCT(--ISNUMBER(SEARCH(immigration,C197)))&gt;0)</f>
        <v>0</v>
      </c>
      <c r="T197" s="14" cm="1">
        <f t="array" ref="T197">INT(SUMPRODUCT(--ISNUMBER(SEARCH(econineq,C198)))&gt;0)</f>
        <v>0</v>
      </c>
      <c r="U197" s="14" cm="1">
        <f t="array" ref="U197">INT(SUMPRODUCT(--ISNUMBER(SEARCH(climate,C197)))&gt;0)</f>
        <v>0</v>
      </c>
      <c r="V197" s="14" cm="1">
        <f t="array" ref="V197">INT(SUMPRODUCT(--ISNUMBER(SEARCH(abortion,C197)))&gt;0)</f>
        <v>0</v>
      </c>
      <c r="W197" s="14" cm="1">
        <f t="array" ref="W197">INT(SUMPRODUCT(--ISNUMBER(SEARCH(trump,C197)))&gt;0)</f>
        <v>0</v>
      </c>
      <c r="X197" s="14" cm="1">
        <f t="array" ref="X197">INT(SUMPRODUCT(--ISNUMBER(SEARCH(voting,C197)))&gt;0)</f>
        <v>1</v>
      </c>
      <c r="Y197" s="14" cm="1">
        <f t="array" ref="Y197">INT(SUMPRODUCT(--ISNUMBER(SEARCH(democrattrigger,C197)))&gt;0)</f>
        <v>1</v>
      </c>
      <c r="Z197" s="14" cm="1">
        <f t="array" ref="Z197">INT(SUMPRODUCT(--ISNUMBER(SEARCH(bipartisan,C197)))&gt;0)</f>
        <v>0</v>
      </c>
      <c r="AA197" s="14">
        <f t="shared" si="3"/>
        <v>0</v>
      </c>
      <c r="AB197" s="14"/>
      <c r="AC197" s="30" t="s">
        <v>223</v>
      </c>
      <c r="AD197" s="37" t="s">
        <v>223</v>
      </c>
    </row>
    <row r="198" spans="1:30" x14ac:dyDescent="0.25">
      <c r="A198" s="36">
        <v>1661</v>
      </c>
      <c r="B198" s="14" t="s">
        <v>3349</v>
      </c>
      <c r="C198" s="14" t="s">
        <v>3350</v>
      </c>
      <c r="D198" s="17">
        <v>44126</v>
      </c>
      <c r="E198" s="14" t="s">
        <v>30</v>
      </c>
      <c r="F198" s="14">
        <v>735</v>
      </c>
      <c r="G198" s="14">
        <v>305</v>
      </c>
      <c r="H198" s="14">
        <v>8</v>
      </c>
      <c r="I198" s="14">
        <v>4</v>
      </c>
      <c r="J198" s="14" t="s">
        <v>204</v>
      </c>
      <c r="K198" s="14" cm="1">
        <f t="array" ref="K198">INT(SUMPRODUCT(--ISNUMBER(SEARCH(economy,C198)))&gt;0)</f>
        <v>0</v>
      </c>
      <c r="L198" s="14" cm="1">
        <f t="array" ref="L198">INT(SUMPRODUCT(--ISNUMBER(SEARCH(healthcare,C198)))&gt;0)</f>
        <v>1</v>
      </c>
      <c r="M198" s="14" cm="1">
        <f t="array" ref="M198">INT(SUMPRODUCT(--ISNUMBER(SEARCH(supreme,C198)))&gt;0)</f>
        <v>0</v>
      </c>
      <c r="N198" s="14" cm="1">
        <f t="array" ref="N198">INT(SUMPRODUCT(--ISNUMBER(SEARCH(covid,C198)))&gt;0)</f>
        <v>0</v>
      </c>
      <c r="O198" s="14" cm="1">
        <f t="array" ref="O198">INT(SUMPRODUCT(--ISNUMBER(SEARCH(violent,C198)))&gt;0)</f>
        <v>0</v>
      </c>
      <c r="P198" s="14" cm="1">
        <f t="array" ref="P198">INT(SUMPRODUCT(--ISNUMBER(SEARCH(foreign,C198)))&gt;0)</f>
        <v>0</v>
      </c>
      <c r="Q198" s="14" cm="1">
        <f t="array" ref="Q198">INT(SUMPRODUCT(--ISNUMBER(SEARCH(gun,C198)))&gt;0)</f>
        <v>0</v>
      </c>
      <c r="R198" s="14" cm="1">
        <f t="array" ref="R198">INT(SUMPRODUCT(--ISNUMBER(SEARCH(race,C198)))&gt;0)</f>
        <v>0</v>
      </c>
      <c r="S198" s="14" cm="1">
        <f t="array" ref="S198">INT(SUMPRODUCT(--ISNUMBER(SEARCH(immigration,C198)))&gt;0)</f>
        <v>0</v>
      </c>
      <c r="T198" s="14" cm="1">
        <f t="array" ref="T198">INT(SUMPRODUCT(--ISNUMBER(SEARCH(econineq,C199)))&gt;0)</f>
        <v>0</v>
      </c>
      <c r="U198" s="14" cm="1">
        <f t="array" ref="U198">INT(SUMPRODUCT(--ISNUMBER(SEARCH(climate,C198)))&gt;0)</f>
        <v>0</v>
      </c>
      <c r="V198" s="14" cm="1">
        <f t="array" ref="V198">INT(SUMPRODUCT(--ISNUMBER(SEARCH(abortion,C198)))&gt;0)</f>
        <v>0</v>
      </c>
      <c r="W198" s="14" cm="1">
        <f t="array" ref="W198">INT(SUMPRODUCT(--ISNUMBER(SEARCH(trump,C198)))&gt;0)</f>
        <v>0</v>
      </c>
      <c r="X198" s="14" cm="1">
        <f t="array" ref="X198">INT(SUMPRODUCT(--ISNUMBER(SEARCH(voting,C198)))&gt;0)</f>
        <v>0</v>
      </c>
      <c r="Y198" s="14" cm="1">
        <f t="array" ref="Y198">INT(SUMPRODUCT(--ISNUMBER(SEARCH(democrattrigger,C198)))&gt;0)</f>
        <v>1</v>
      </c>
      <c r="Z198" s="14" cm="1">
        <f t="array" ref="Z198">INT(SUMPRODUCT(--ISNUMBER(SEARCH(bipartisan,C198)))&gt;0)</f>
        <v>0</v>
      </c>
      <c r="AA198" s="14">
        <f t="shared" si="3"/>
        <v>0</v>
      </c>
      <c r="AB198" s="14"/>
      <c r="AC198" s="30">
        <v>0</v>
      </c>
      <c r="AD198" s="37">
        <v>1</v>
      </c>
    </row>
    <row r="199" spans="1:30" x14ac:dyDescent="0.25">
      <c r="A199" s="36">
        <v>1662</v>
      </c>
      <c r="B199" s="14" t="s">
        <v>3351</v>
      </c>
      <c r="C199" s="14" t="s">
        <v>3352</v>
      </c>
      <c r="D199" s="17">
        <v>44126</v>
      </c>
      <c r="E199" s="14" t="s">
        <v>30</v>
      </c>
      <c r="F199" s="14">
        <v>675</v>
      </c>
      <c r="G199" s="14">
        <v>172</v>
      </c>
      <c r="H199" s="14">
        <v>8</v>
      </c>
      <c r="I199" s="14">
        <v>4</v>
      </c>
      <c r="J199" s="14" t="s">
        <v>204</v>
      </c>
      <c r="K199" s="14" cm="1">
        <f t="array" ref="K199">INT(SUMPRODUCT(--ISNUMBER(SEARCH(economy,C199)))&gt;0)</f>
        <v>0</v>
      </c>
      <c r="L199" s="14" cm="1">
        <f t="array" ref="L199">INT(SUMPRODUCT(--ISNUMBER(SEARCH(healthcare,C199)))&gt;0)</f>
        <v>1</v>
      </c>
      <c r="M199" s="14" cm="1">
        <f t="array" ref="M199">INT(SUMPRODUCT(--ISNUMBER(SEARCH(supreme,C199)))&gt;0)</f>
        <v>0</v>
      </c>
      <c r="N199" s="14" cm="1">
        <f t="array" ref="N199">INT(SUMPRODUCT(--ISNUMBER(SEARCH(covid,C199)))&gt;0)</f>
        <v>0</v>
      </c>
      <c r="O199" s="14" cm="1">
        <f t="array" ref="O199">INT(SUMPRODUCT(--ISNUMBER(SEARCH(violent,C199)))&gt;0)</f>
        <v>0</v>
      </c>
      <c r="P199" s="14" cm="1">
        <f t="array" ref="P199">INT(SUMPRODUCT(--ISNUMBER(SEARCH(foreign,C199)))&gt;0)</f>
        <v>0</v>
      </c>
      <c r="Q199" s="14" cm="1">
        <f t="array" ref="Q199">INT(SUMPRODUCT(--ISNUMBER(SEARCH(gun,C199)))&gt;0)</f>
        <v>0</v>
      </c>
      <c r="R199" s="14" cm="1">
        <f t="array" ref="R199">INT(SUMPRODUCT(--ISNUMBER(SEARCH(race,C199)))&gt;0)</f>
        <v>0</v>
      </c>
      <c r="S199" s="14" cm="1">
        <f t="array" ref="S199">INT(SUMPRODUCT(--ISNUMBER(SEARCH(immigration,C199)))&gt;0)</f>
        <v>0</v>
      </c>
      <c r="T199" s="14" cm="1">
        <f t="array" ref="T199">INT(SUMPRODUCT(--ISNUMBER(SEARCH(econineq,C200)))&gt;0)</f>
        <v>0</v>
      </c>
      <c r="U199" s="14" cm="1">
        <f t="array" ref="U199">INT(SUMPRODUCT(--ISNUMBER(SEARCH(climate,C199)))&gt;0)</f>
        <v>0</v>
      </c>
      <c r="V199" s="14" cm="1">
        <f t="array" ref="V199">INT(SUMPRODUCT(--ISNUMBER(SEARCH(abortion,C199)))&gt;0)</f>
        <v>0</v>
      </c>
      <c r="W199" s="14" cm="1">
        <f t="array" ref="W199">INT(SUMPRODUCT(--ISNUMBER(SEARCH(trump,C199)))&gt;0)</f>
        <v>0</v>
      </c>
      <c r="X199" s="14" cm="1">
        <f t="array" ref="X199">INT(SUMPRODUCT(--ISNUMBER(SEARCH(voting,C199)))&gt;0)</f>
        <v>1</v>
      </c>
      <c r="Y199" s="14" cm="1">
        <f t="array" ref="Y199">INT(SUMPRODUCT(--ISNUMBER(SEARCH(democrattrigger,C199)))&gt;0)</f>
        <v>1</v>
      </c>
      <c r="Z199" s="14" cm="1">
        <f t="array" ref="Z199">INT(SUMPRODUCT(--ISNUMBER(SEARCH(bipartisan,C199)))&gt;0)</f>
        <v>0</v>
      </c>
      <c r="AA199" s="14">
        <f t="shared" si="3"/>
        <v>0</v>
      </c>
      <c r="AB199" s="14"/>
      <c r="AC199" s="30" t="s">
        <v>223</v>
      </c>
      <c r="AD199" s="37" t="s">
        <v>223</v>
      </c>
    </row>
    <row r="200" spans="1:30" x14ac:dyDescent="0.25">
      <c r="A200" s="36">
        <v>1663</v>
      </c>
      <c r="B200" s="14" t="s">
        <v>3353</v>
      </c>
      <c r="C200" s="14" t="s">
        <v>3354</v>
      </c>
      <c r="D200" s="17">
        <v>44126</v>
      </c>
      <c r="E200" s="14" t="s">
        <v>30</v>
      </c>
      <c r="F200" s="14">
        <v>344</v>
      </c>
      <c r="G200" s="14">
        <v>94</v>
      </c>
      <c r="H200" s="14">
        <v>8</v>
      </c>
      <c r="I200" s="14">
        <v>4</v>
      </c>
      <c r="J200" s="14" t="s">
        <v>204</v>
      </c>
      <c r="K200" s="14" cm="1">
        <f t="array" ref="K200">INT(SUMPRODUCT(--ISNUMBER(SEARCH(economy,C200)))&gt;0)</f>
        <v>0</v>
      </c>
      <c r="L200" s="14" cm="1">
        <f t="array" ref="L200">INT(SUMPRODUCT(--ISNUMBER(SEARCH(healthcare,C200)))&gt;0)</f>
        <v>1</v>
      </c>
      <c r="M200" s="14" cm="1">
        <f t="array" ref="M200">INT(SUMPRODUCT(--ISNUMBER(SEARCH(supreme,C200)))&gt;0)</f>
        <v>0</v>
      </c>
      <c r="N200" s="14" cm="1">
        <f t="array" ref="N200">INT(SUMPRODUCT(--ISNUMBER(SEARCH(covid,C200)))&gt;0)</f>
        <v>0</v>
      </c>
      <c r="O200" s="14" cm="1">
        <f t="array" ref="O200">INT(SUMPRODUCT(--ISNUMBER(SEARCH(violent,C200)))&gt;0)</f>
        <v>0</v>
      </c>
      <c r="P200" s="14" cm="1">
        <f t="array" ref="P200">INT(SUMPRODUCT(--ISNUMBER(SEARCH(foreign,C200)))&gt;0)</f>
        <v>0</v>
      </c>
      <c r="Q200" s="14" cm="1">
        <f t="array" ref="Q200">INT(SUMPRODUCT(--ISNUMBER(SEARCH(gun,C200)))&gt;0)</f>
        <v>0</v>
      </c>
      <c r="R200" s="14" cm="1">
        <f t="array" ref="R200">INT(SUMPRODUCT(--ISNUMBER(SEARCH(race,C200)))&gt;0)</f>
        <v>0</v>
      </c>
      <c r="S200" s="14" cm="1">
        <f t="array" ref="S200">INT(SUMPRODUCT(--ISNUMBER(SEARCH(immigration,C200)))&gt;0)</f>
        <v>0</v>
      </c>
      <c r="T200" s="14" cm="1">
        <f t="array" ref="T200">INT(SUMPRODUCT(--ISNUMBER(SEARCH(econineq,C201)))&gt;0)</f>
        <v>0</v>
      </c>
      <c r="U200" s="14" cm="1">
        <f t="array" ref="U200">INT(SUMPRODUCT(--ISNUMBER(SEARCH(climate,C200)))&gt;0)</f>
        <v>0</v>
      </c>
      <c r="V200" s="14" cm="1">
        <f t="array" ref="V200">INT(SUMPRODUCT(--ISNUMBER(SEARCH(abortion,C200)))&gt;0)</f>
        <v>0</v>
      </c>
      <c r="W200" s="14" cm="1">
        <f t="array" ref="W200">INT(SUMPRODUCT(--ISNUMBER(SEARCH(trump,C200)))&gt;0)</f>
        <v>0</v>
      </c>
      <c r="X200" s="14" cm="1">
        <f t="array" ref="X200">INT(SUMPRODUCT(--ISNUMBER(SEARCH(voting,C200)))&gt;0)</f>
        <v>0</v>
      </c>
      <c r="Y200" s="14" cm="1">
        <f t="array" ref="Y200">INT(SUMPRODUCT(--ISNUMBER(SEARCH(democrattrigger,C200)))&gt;0)</f>
        <v>1</v>
      </c>
      <c r="Z200" s="14" cm="1">
        <f t="array" ref="Z200">INT(SUMPRODUCT(--ISNUMBER(SEARCH(bipartisan,C200)))&gt;0)</f>
        <v>1</v>
      </c>
      <c r="AA200" s="14">
        <f t="shared" si="3"/>
        <v>0</v>
      </c>
      <c r="AB200" s="14"/>
      <c r="AC200" s="30" t="s">
        <v>223</v>
      </c>
      <c r="AD200" s="37" t="s">
        <v>223</v>
      </c>
    </row>
    <row r="201" spans="1:30" x14ac:dyDescent="0.25">
      <c r="A201" s="36">
        <v>1664</v>
      </c>
      <c r="B201" s="14" t="s">
        <v>3355</v>
      </c>
      <c r="C201" s="14" t="s">
        <v>3356</v>
      </c>
      <c r="D201" s="17">
        <v>44126</v>
      </c>
      <c r="E201" s="14" t="s">
        <v>30</v>
      </c>
      <c r="F201" s="14">
        <v>200</v>
      </c>
      <c r="G201" s="14">
        <v>49</v>
      </c>
      <c r="H201" s="14">
        <v>8</v>
      </c>
      <c r="I201" s="14">
        <v>4</v>
      </c>
      <c r="J201" s="14" t="s">
        <v>204</v>
      </c>
      <c r="K201" s="14" cm="1">
        <f t="array" ref="K201">INT(SUMPRODUCT(--ISNUMBER(SEARCH(economy,C201)))&gt;0)</f>
        <v>0</v>
      </c>
      <c r="L201" s="14" cm="1">
        <f t="array" ref="L201">INT(SUMPRODUCT(--ISNUMBER(SEARCH(healthcare,C201)))&gt;0)</f>
        <v>1</v>
      </c>
      <c r="M201" s="14" cm="1">
        <f t="array" ref="M201">INT(SUMPRODUCT(--ISNUMBER(SEARCH(supreme,C201)))&gt;0)</f>
        <v>0</v>
      </c>
      <c r="N201" s="14" cm="1">
        <f t="array" ref="N201">INT(SUMPRODUCT(--ISNUMBER(SEARCH(covid,C201)))&gt;0)</f>
        <v>0</v>
      </c>
      <c r="O201" s="14" cm="1">
        <f t="array" ref="O201">INT(SUMPRODUCT(--ISNUMBER(SEARCH(violent,C201)))&gt;0)</f>
        <v>0</v>
      </c>
      <c r="P201" s="14" cm="1">
        <f t="array" ref="P201">INT(SUMPRODUCT(--ISNUMBER(SEARCH(foreign,C201)))&gt;0)</f>
        <v>0</v>
      </c>
      <c r="Q201" s="14" cm="1">
        <f t="array" ref="Q201">INT(SUMPRODUCT(--ISNUMBER(SEARCH(gun,C201)))&gt;0)</f>
        <v>0</v>
      </c>
      <c r="R201" s="14" cm="1">
        <f t="array" ref="R201">INT(SUMPRODUCT(--ISNUMBER(SEARCH(race,C201)))&gt;0)</f>
        <v>0</v>
      </c>
      <c r="S201" s="14" cm="1">
        <f t="array" ref="S201">INT(SUMPRODUCT(--ISNUMBER(SEARCH(immigration,C201)))&gt;0)</f>
        <v>0</v>
      </c>
      <c r="T201" s="14" cm="1">
        <f t="array" ref="T201">INT(SUMPRODUCT(--ISNUMBER(SEARCH(econineq,C202)))&gt;0)</f>
        <v>0</v>
      </c>
      <c r="U201" s="14" cm="1">
        <f t="array" ref="U201">INT(SUMPRODUCT(--ISNUMBER(SEARCH(climate,C201)))&gt;0)</f>
        <v>0</v>
      </c>
      <c r="V201" s="14" cm="1">
        <f t="array" ref="V201">INT(SUMPRODUCT(--ISNUMBER(SEARCH(abortion,C201)))&gt;0)</f>
        <v>0</v>
      </c>
      <c r="W201" s="14" cm="1">
        <f t="array" ref="W201">INT(SUMPRODUCT(--ISNUMBER(SEARCH(trump,C201)))&gt;0)</f>
        <v>0</v>
      </c>
      <c r="X201" s="14" cm="1">
        <f t="array" ref="X201">INT(SUMPRODUCT(--ISNUMBER(SEARCH(voting,C201)))&gt;0)</f>
        <v>0</v>
      </c>
      <c r="Y201" s="14" cm="1">
        <f t="array" ref="Y201">INT(SUMPRODUCT(--ISNUMBER(SEARCH(democrattrigger,C201)))&gt;0)</f>
        <v>0</v>
      </c>
      <c r="Z201" s="14" cm="1">
        <f t="array" ref="Z201">INT(SUMPRODUCT(--ISNUMBER(SEARCH(bipartisan,C201)))&gt;0)</f>
        <v>0</v>
      </c>
      <c r="AA201" s="14">
        <f t="shared" si="3"/>
        <v>0</v>
      </c>
      <c r="AB201" s="14"/>
      <c r="AC201" s="30" t="s">
        <v>223</v>
      </c>
      <c r="AD201" s="37" t="s">
        <v>223</v>
      </c>
    </row>
    <row r="202" spans="1:30" x14ac:dyDescent="0.25">
      <c r="A202" s="36">
        <v>1665</v>
      </c>
      <c r="B202" s="14" t="s">
        <v>3357</v>
      </c>
      <c r="C202" s="14" t="s">
        <v>3358</v>
      </c>
      <c r="D202" s="17">
        <v>44126</v>
      </c>
      <c r="E202" s="14" t="s">
        <v>30</v>
      </c>
      <c r="F202" s="14">
        <v>307</v>
      </c>
      <c r="G202" s="14">
        <v>125</v>
      </c>
      <c r="H202" s="14">
        <v>8</v>
      </c>
      <c r="I202" s="14">
        <v>4</v>
      </c>
      <c r="J202" s="14" t="s">
        <v>204</v>
      </c>
      <c r="K202" s="14" cm="1">
        <f t="array" ref="K202">INT(SUMPRODUCT(--ISNUMBER(SEARCH(economy,C202)))&gt;0)</f>
        <v>0</v>
      </c>
      <c r="L202" s="14" cm="1">
        <f t="array" ref="L202">INT(SUMPRODUCT(--ISNUMBER(SEARCH(healthcare,C202)))&gt;0)</f>
        <v>1</v>
      </c>
      <c r="M202" s="14" cm="1">
        <f t="array" ref="M202">INT(SUMPRODUCT(--ISNUMBER(SEARCH(supreme,C202)))&gt;0)</f>
        <v>0</v>
      </c>
      <c r="N202" s="14" cm="1">
        <f t="array" ref="N202">INT(SUMPRODUCT(--ISNUMBER(SEARCH(covid,C202)))&gt;0)</f>
        <v>0</v>
      </c>
      <c r="O202" s="14" cm="1">
        <f t="array" ref="O202">INT(SUMPRODUCT(--ISNUMBER(SEARCH(violent,C202)))&gt;0)</f>
        <v>0</v>
      </c>
      <c r="P202" s="14" cm="1">
        <f t="array" ref="P202">INT(SUMPRODUCT(--ISNUMBER(SEARCH(foreign,C202)))&gt;0)</f>
        <v>1</v>
      </c>
      <c r="Q202" s="14" cm="1">
        <f t="array" ref="Q202">INT(SUMPRODUCT(--ISNUMBER(SEARCH(gun,C202)))&gt;0)</f>
        <v>0</v>
      </c>
      <c r="R202" s="14" cm="1">
        <f t="array" ref="R202">INT(SUMPRODUCT(--ISNUMBER(SEARCH(race,C202)))&gt;0)</f>
        <v>0</v>
      </c>
      <c r="S202" s="14" cm="1">
        <f t="array" ref="S202">INT(SUMPRODUCT(--ISNUMBER(SEARCH(immigration,C202)))&gt;0)</f>
        <v>0</v>
      </c>
      <c r="T202" s="14" cm="1">
        <f t="array" ref="T202">INT(SUMPRODUCT(--ISNUMBER(SEARCH(econineq,C203)))&gt;0)</f>
        <v>0</v>
      </c>
      <c r="U202" s="14" cm="1">
        <f t="array" ref="U202">INT(SUMPRODUCT(--ISNUMBER(SEARCH(climate,C202)))&gt;0)</f>
        <v>0</v>
      </c>
      <c r="V202" s="14" cm="1">
        <f t="array" ref="V202">INT(SUMPRODUCT(--ISNUMBER(SEARCH(abortion,C202)))&gt;0)</f>
        <v>0</v>
      </c>
      <c r="W202" s="14" cm="1">
        <f t="array" ref="W202">INT(SUMPRODUCT(--ISNUMBER(SEARCH(trump,C202)))&gt;0)</f>
        <v>0</v>
      </c>
      <c r="X202" s="14" cm="1">
        <f t="array" ref="X202">INT(SUMPRODUCT(--ISNUMBER(SEARCH(voting,C202)))&gt;0)</f>
        <v>1</v>
      </c>
      <c r="Y202" s="14" cm="1">
        <f t="array" ref="Y202">INT(SUMPRODUCT(--ISNUMBER(SEARCH(democrattrigger,C202)))&gt;0)</f>
        <v>1</v>
      </c>
      <c r="Z202" s="14" cm="1">
        <f t="array" ref="Z202">INT(SUMPRODUCT(--ISNUMBER(SEARCH(bipartisan,C202)))&gt;0)</f>
        <v>0</v>
      </c>
      <c r="AA202" s="14">
        <f t="shared" si="3"/>
        <v>0</v>
      </c>
      <c r="AB202" s="14"/>
      <c r="AC202" s="30" t="s">
        <v>223</v>
      </c>
      <c r="AD202" s="37" t="s">
        <v>223</v>
      </c>
    </row>
    <row r="203" spans="1:30" x14ac:dyDescent="0.25">
      <c r="A203" s="36">
        <v>1666</v>
      </c>
      <c r="B203" s="14" t="s">
        <v>3359</v>
      </c>
      <c r="C203" s="14" t="s">
        <v>3360</v>
      </c>
      <c r="D203" s="17">
        <v>44126</v>
      </c>
      <c r="E203" s="14" t="s">
        <v>30</v>
      </c>
      <c r="F203" s="14">
        <v>565</v>
      </c>
      <c r="G203" s="14">
        <v>157</v>
      </c>
      <c r="H203" s="14">
        <v>8</v>
      </c>
      <c r="I203" s="14">
        <v>4</v>
      </c>
      <c r="J203" s="14" t="s">
        <v>204</v>
      </c>
      <c r="K203" s="14" cm="1">
        <f t="array" ref="K203">INT(SUMPRODUCT(--ISNUMBER(SEARCH(economy,C203)))&gt;0)</f>
        <v>0</v>
      </c>
      <c r="L203" s="14" cm="1">
        <f t="array" ref="L203">INT(SUMPRODUCT(--ISNUMBER(SEARCH(healthcare,C203)))&gt;0)</f>
        <v>0</v>
      </c>
      <c r="M203" s="14" cm="1">
        <f t="array" ref="M203">INT(SUMPRODUCT(--ISNUMBER(SEARCH(supreme,C203)))&gt;0)</f>
        <v>0</v>
      </c>
      <c r="N203" s="14" cm="1">
        <f t="array" ref="N203">INT(SUMPRODUCT(--ISNUMBER(SEARCH(covid,C203)))&gt;0)</f>
        <v>0</v>
      </c>
      <c r="O203" s="14" cm="1">
        <f t="array" ref="O203">INT(SUMPRODUCT(--ISNUMBER(SEARCH(violent,C203)))&gt;0)</f>
        <v>0</v>
      </c>
      <c r="P203" s="14" cm="1">
        <f t="array" ref="P203">INT(SUMPRODUCT(--ISNUMBER(SEARCH(foreign,C203)))&gt;0)</f>
        <v>0</v>
      </c>
      <c r="Q203" s="14" cm="1">
        <f t="array" ref="Q203">INT(SUMPRODUCT(--ISNUMBER(SEARCH(gun,C203)))&gt;0)</f>
        <v>0</v>
      </c>
      <c r="R203" s="14" cm="1">
        <f t="array" ref="R203">INT(SUMPRODUCT(--ISNUMBER(SEARCH(race,C203)))&gt;0)</f>
        <v>0</v>
      </c>
      <c r="S203" s="14" cm="1">
        <f t="array" ref="S203">INT(SUMPRODUCT(--ISNUMBER(SEARCH(immigration,C203)))&gt;0)</f>
        <v>0</v>
      </c>
      <c r="T203" s="14" cm="1">
        <f t="array" ref="T203">INT(SUMPRODUCT(--ISNUMBER(SEARCH(econineq,C204)))&gt;0)</f>
        <v>0</v>
      </c>
      <c r="U203" s="14" cm="1">
        <f t="array" ref="U203">INT(SUMPRODUCT(--ISNUMBER(SEARCH(climate,C203)))&gt;0)</f>
        <v>0</v>
      </c>
      <c r="V203" s="14" cm="1">
        <f t="array" ref="V203">INT(SUMPRODUCT(--ISNUMBER(SEARCH(abortion,C203)))&gt;0)</f>
        <v>0</v>
      </c>
      <c r="W203" s="14" cm="1">
        <f t="array" ref="W203">INT(SUMPRODUCT(--ISNUMBER(SEARCH(trump,C203)))&gt;0)</f>
        <v>0</v>
      </c>
      <c r="X203" s="14" cm="1">
        <f t="array" ref="X203">INT(SUMPRODUCT(--ISNUMBER(SEARCH(voting,C203)))&gt;0)</f>
        <v>1</v>
      </c>
      <c r="Y203" s="14" cm="1">
        <f t="array" ref="Y203">INT(SUMPRODUCT(--ISNUMBER(SEARCH(democrattrigger,C203)))&gt;0)</f>
        <v>1</v>
      </c>
      <c r="Z203" s="14" cm="1">
        <f t="array" ref="Z203">INT(SUMPRODUCT(--ISNUMBER(SEARCH(bipartisan,C203)))&gt;0)</f>
        <v>0</v>
      </c>
      <c r="AA203" s="14">
        <f t="shared" si="3"/>
        <v>0</v>
      </c>
      <c r="AB203" s="14"/>
      <c r="AC203" s="30" t="s">
        <v>223</v>
      </c>
      <c r="AD203" s="37" t="s">
        <v>223</v>
      </c>
    </row>
    <row r="204" spans="1:30" x14ac:dyDescent="0.25">
      <c r="A204" s="36">
        <v>1667</v>
      </c>
      <c r="B204" s="14" t="s">
        <v>3361</v>
      </c>
      <c r="C204" s="14" t="s">
        <v>3362</v>
      </c>
      <c r="D204" s="17">
        <v>44126</v>
      </c>
      <c r="E204" s="14" t="s">
        <v>30</v>
      </c>
      <c r="F204" s="14">
        <v>282</v>
      </c>
      <c r="G204" s="14">
        <v>99</v>
      </c>
      <c r="H204" s="14">
        <v>8</v>
      </c>
      <c r="I204" s="14">
        <v>4</v>
      </c>
      <c r="J204" s="14" t="s">
        <v>204</v>
      </c>
      <c r="K204" s="14" cm="1">
        <f t="array" ref="K204">INT(SUMPRODUCT(--ISNUMBER(SEARCH(economy,C204)))&gt;0)</f>
        <v>0</v>
      </c>
      <c r="L204" s="14" cm="1">
        <f t="array" ref="L204">INT(SUMPRODUCT(--ISNUMBER(SEARCH(healthcare,C204)))&gt;0)</f>
        <v>1</v>
      </c>
      <c r="M204" s="14" cm="1">
        <f t="array" ref="M204">INT(SUMPRODUCT(--ISNUMBER(SEARCH(supreme,C204)))&gt;0)</f>
        <v>0</v>
      </c>
      <c r="N204" s="14" cm="1">
        <f t="array" ref="N204">INT(SUMPRODUCT(--ISNUMBER(SEARCH(covid,C204)))&gt;0)</f>
        <v>0</v>
      </c>
      <c r="O204" s="14" cm="1">
        <f t="array" ref="O204">INT(SUMPRODUCT(--ISNUMBER(SEARCH(violent,C204)))&gt;0)</f>
        <v>0</v>
      </c>
      <c r="P204" s="14" cm="1">
        <f t="array" ref="P204">INT(SUMPRODUCT(--ISNUMBER(SEARCH(foreign,C204)))&gt;0)</f>
        <v>0</v>
      </c>
      <c r="Q204" s="14" cm="1">
        <f t="array" ref="Q204">INT(SUMPRODUCT(--ISNUMBER(SEARCH(gun,C204)))&gt;0)</f>
        <v>0</v>
      </c>
      <c r="R204" s="14" cm="1">
        <f t="array" ref="R204">INT(SUMPRODUCT(--ISNUMBER(SEARCH(race,C204)))&gt;0)</f>
        <v>0</v>
      </c>
      <c r="S204" s="14" cm="1">
        <f t="array" ref="S204">INT(SUMPRODUCT(--ISNUMBER(SEARCH(immigration,C204)))&gt;0)</f>
        <v>0</v>
      </c>
      <c r="T204" s="14" cm="1">
        <f t="array" ref="T204">INT(SUMPRODUCT(--ISNUMBER(SEARCH(econineq,C205)))&gt;0)</f>
        <v>0</v>
      </c>
      <c r="U204" s="14" cm="1">
        <f t="array" ref="U204">INT(SUMPRODUCT(--ISNUMBER(SEARCH(climate,C204)))&gt;0)</f>
        <v>0</v>
      </c>
      <c r="V204" s="14" cm="1">
        <f t="array" ref="V204">INT(SUMPRODUCT(--ISNUMBER(SEARCH(abortion,C204)))&gt;0)</f>
        <v>0</v>
      </c>
      <c r="W204" s="14" cm="1">
        <f t="array" ref="W204">INT(SUMPRODUCT(--ISNUMBER(SEARCH(trump,C204)))&gt;0)</f>
        <v>1</v>
      </c>
      <c r="X204" s="14" cm="1">
        <f t="array" ref="X204">INT(SUMPRODUCT(--ISNUMBER(SEARCH(voting,C204)))&gt;0)</f>
        <v>0</v>
      </c>
      <c r="Y204" s="14" cm="1">
        <f t="array" ref="Y204">INT(SUMPRODUCT(--ISNUMBER(SEARCH(democrattrigger,C204)))&gt;0)</f>
        <v>1</v>
      </c>
      <c r="Z204" s="14" cm="1">
        <f t="array" ref="Z204">INT(SUMPRODUCT(--ISNUMBER(SEARCH(bipartisan,C204)))&gt;0)</f>
        <v>0</v>
      </c>
      <c r="AA204" s="14">
        <f t="shared" si="3"/>
        <v>0</v>
      </c>
      <c r="AB204" s="14"/>
      <c r="AC204" s="30">
        <v>1</v>
      </c>
      <c r="AD204" s="37">
        <v>0</v>
      </c>
    </row>
    <row r="205" spans="1:30" x14ac:dyDescent="0.25">
      <c r="A205" s="36">
        <v>1668</v>
      </c>
      <c r="B205" s="14" t="s">
        <v>3363</v>
      </c>
      <c r="C205" s="14" t="s">
        <v>3364</v>
      </c>
      <c r="D205" s="17">
        <v>44126</v>
      </c>
      <c r="E205" s="14" t="s">
        <v>30</v>
      </c>
      <c r="F205" s="14">
        <v>677</v>
      </c>
      <c r="G205" s="14">
        <v>173</v>
      </c>
      <c r="H205" s="14">
        <v>8</v>
      </c>
      <c r="I205" s="14">
        <v>4</v>
      </c>
      <c r="J205" s="14" t="s">
        <v>204</v>
      </c>
      <c r="K205" s="14" cm="1">
        <f t="array" ref="K205">INT(SUMPRODUCT(--ISNUMBER(SEARCH(economy,C205)))&gt;0)</f>
        <v>0</v>
      </c>
      <c r="L205" s="14" cm="1">
        <f t="array" ref="L205">INT(SUMPRODUCT(--ISNUMBER(SEARCH(healthcare,C205)))&gt;0)</f>
        <v>0</v>
      </c>
      <c r="M205" s="14" cm="1">
        <f t="array" ref="M205">INT(SUMPRODUCT(--ISNUMBER(SEARCH(supreme,C205)))&gt;0)</f>
        <v>0</v>
      </c>
      <c r="N205" s="14" cm="1">
        <f t="array" ref="N205">INT(SUMPRODUCT(--ISNUMBER(SEARCH(covid,C205)))&gt;0)</f>
        <v>0</v>
      </c>
      <c r="O205" s="14" cm="1">
        <f t="array" ref="O205">INT(SUMPRODUCT(--ISNUMBER(SEARCH(violent,C205)))&gt;0)</f>
        <v>0</v>
      </c>
      <c r="P205" s="14" cm="1">
        <f t="array" ref="P205">INT(SUMPRODUCT(--ISNUMBER(SEARCH(foreign,C205)))&gt;0)</f>
        <v>0</v>
      </c>
      <c r="Q205" s="14" cm="1">
        <f t="array" ref="Q205">INT(SUMPRODUCT(--ISNUMBER(SEARCH(gun,C205)))&gt;0)</f>
        <v>0</v>
      </c>
      <c r="R205" s="14" cm="1">
        <f t="array" ref="R205">INT(SUMPRODUCT(--ISNUMBER(SEARCH(race,C205)))&gt;0)</f>
        <v>0</v>
      </c>
      <c r="S205" s="14" cm="1">
        <f t="array" ref="S205">INT(SUMPRODUCT(--ISNUMBER(SEARCH(immigration,C205)))&gt;0)</f>
        <v>0</v>
      </c>
      <c r="T205" s="14" cm="1">
        <f t="array" ref="T205">INT(SUMPRODUCT(--ISNUMBER(SEARCH(econineq,C206)))&gt;0)</f>
        <v>0</v>
      </c>
      <c r="U205" s="14" cm="1">
        <f t="array" ref="U205">INT(SUMPRODUCT(--ISNUMBER(SEARCH(climate,C205)))&gt;0)</f>
        <v>0</v>
      </c>
      <c r="V205" s="14" cm="1">
        <f t="array" ref="V205">INT(SUMPRODUCT(--ISNUMBER(SEARCH(abortion,C205)))&gt;0)</f>
        <v>0</v>
      </c>
      <c r="W205" s="14" cm="1">
        <f t="array" ref="W205">INT(SUMPRODUCT(--ISNUMBER(SEARCH(trump,C205)))&gt;0)</f>
        <v>0</v>
      </c>
      <c r="X205" s="14" cm="1">
        <f t="array" ref="X205">INT(SUMPRODUCT(--ISNUMBER(SEARCH(voting,C205)))&gt;0)</f>
        <v>1</v>
      </c>
      <c r="Y205" s="14" cm="1">
        <f t="array" ref="Y205">INT(SUMPRODUCT(--ISNUMBER(SEARCH(democrattrigger,C205)))&gt;0)</f>
        <v>1</v>
      </c>
      <c r="Z205" s="14" cm="1">
        <f t="array" ref="Z205">INT(SUMPRODUCT(--ISNUMBER(SEARCH(bipartisan,C205)))&gt;0)</f>
        <v>0</v>
      </c>
      <c r="AA205" s="14">
        <f t="shared" si="3"/>
        <v>0</v>
      </c>
      <c r="AB205" s="14"/>
      <c r="AC205" s="30" t="s">
        <v>223</v>
      </c>
      <c r="AD205" s="37" t="s">
        <v>223</v>
      </c>
    </row>
    <row r="206" spans="1:30" x14ac:dyDescent="0.25">
      <c r="A206" s="36">
        <v>1669</v>
      </c>
      <c r="B206" s="14" t="s">
        <v>3365</v>
      </c>
      <c r="C206" s="14" t="s">
        <v>3366</v>
      </c>
      <c r="D206" s="17">
        <v>44126</v>
      </c>
      <c r="E206" s="14" t="s">
        <v>70</v>
      </c>
      <c r="F206" s="14">
        <v>165</v>
      </c>
      <c r="G206" s="14">
        <v>44</v>
      </c>
      <c r="H206" s="14">
        <v>8</v>
      </c>
      <c r="I206" s="14">
        <v>4</v>
      </c>
      <c r="J206" s="14" t="s">
        <v>204</v>
      </c>
      <c r="K206" s="14" cm="1">
        <f t="array" ref="K206">INT(SUMPRODUCT(--ISNUMBER(SEARCH(economy,C206)))&gt;0)</f>
        <v>0</v>
      </c>
      <c r="L206" s="14" cm="1">
        <f t="array" ref="L206">INT(SUMPRODUCT(--ISNUMBER(SEARCH(healthcare,C206)))&gt;0)</f>
        <v>0</v>
      </c>
      <c r="M206" s="14" cm="1">
        <f t="array" ref="M206">INT(SUMPRODUCT(--ISNUMBER(SEARCH(supreme,C206)))&gt;0)</f>
        <v>0</v>
      </c>
      <c r="N206" s="14" cm="1">
        <f t="array" ref="N206">INT(SUMPRODUCT(--ISNUMBER(SEARCH(covid,C206)))&gt;0)</f>
        <v>0</v>
      </c>
      <c r="O206" s="14" cm="1">
        <f t="array" ref="O206">INT(SUMPRODUCT(--ISNUMBER(SEARCH(violent,C206)))&gt;0)</f>
        <v>0</v>
      </c>
      <c r="P206" s="14" cm="1">
        <f t="array" ref="P206">INT(SUMPRODUCT(--ISNUMBER(SEARCH(foreign,C206)))&gt;0)</f>
        <v>0</v>
      </c>
      <c r="Q206" s="14" cm="1">
        <f t="array" ref="Q206">INT(SUMPRODUCT(--ISNUMBER(SEARCH(gun,C206)))&gt;0)</f>
        <v>0</v>
      </c>
      <c r="R206" s="14" cm="1">
        <f t="array" ref="R206">INT(SUMPRODUCT(--ISNUMBER(SEARCH(race,C206)))&gt;0)</f>
        <v>0</v>
      </c>
      <c r="S206" s="14" cm="1">
        <f t="array" ref="S206">INT(SUMPRODUCT(--ISNUMBER(SEARCH(immigration,C206)))&gt;0)</f>
        <v>0</v>
      </c>
      <c r="T206" s="14" cm="1">
        <f t="array" ref="T206">INT(SUMPRODUCT(--ISNUMBER(SEARCH(econineq,C207)))&gt;0)</f>
        <v>0</v>
      </c>
      <c r="U206" s="14" cm="1">
        <f t="array" ref="U206">INT(SUMPRODUCT(--ISNUMBER(SEARCH(climate,C206)))&gt;0)</f>
        <v>0</v>
      </c>
      <c r="V206" s="14" cm="1">
        <f t="array" ref="V206">INT(SUMPRODUCT(--ISNUMBER(SEARCH(abortion,C206)))&gt;0)</f>
        <v>0</v>
      </c>
      <c r="W206" s="14" cm="1">
        <f t="array" ref="W206">INT(SUMPRODUCT(--ISNUMBER(SEARCH(trump,C206)))&gt;0)</f>
        <v>0</v>
      </c>
      <c r="X206" s="14" cm="1">
        <f t="array" ref="X206">INT(SUMPRODUCT(--ISNUMBER(SEARCH(voting,C206)))&gt;0)</f>
        <v>0</v>
      </c>
      <c r="Y206" s="14" cm="1">
        <f t="array" ref="Y206">INT(SUMPRODUCT(--ISNUMBER(SEARCH(democrattrigger,C206)))&gt;0)</f>
        <v>0</v>
      </c>
      <c r="Z206" s="14" cm="1">
        <f t="array" ref="Z206">INT(SUMPRODUCT(--ISNUMBER(SEARCH(bipartisan,C206)))&gt;0)</f>
        <v>0</v>
      </c>
      <c r="AA206" s="14">
        <f t="shared" si="3"/>
        <v>1</v>
      </c>
      <c r="AB206" s="14"/>
      <c r="AC206" s="30" t="s">
        <v>223</v>
      </c>
      <c r="AD206" s="37" t="s">
        <v>223</v>
      </c>
    </row>
    <row r="207" spans="1:30" x14ac:dyDescent="0.25">
      <c r="A207" s="36">
        <v>1670</v>
      </c>
      <c r="B207" s="14" t="s">
        <v>3367</v>
      </c>
      <c r="C207" s="14" t="s">
        <v>3368</v>
      </c>
      <c r="D207" s="17">
        <v>44126</v>
      </c>
      <c r="E207" s="14" t="s">
        <v>30</v>
      </c>
      <c r="F207" s="14">
        <v>293</v>
      </c>
      <c r="G207" s="14">
        <v>72</v>
      </c>
      <c r="H207" s="14">
        <v>8</v>
      </c>
      <c r="I207" s="14">
        <v>4</v>
      </c>
      <c r="J207" s="14" t="s">
        <v>204</v>
      </c>
      <c r="K207" s="14" cm="1">
        <f t="array" ref="K207">INT(SUMPRODUCT(--ISNUMBER(SEARCH(economy,C207)))&gt;0)</f>
        <v>0</v>
      </c>
      <c r="L207" s="14" cm="1">
        <f t="array" ref="L207">INT(SUMPRODUCT(--ISNUMBER(SEARCH(healthcare,C207)))&gt;0)</f>
        <v>0</v>
      </c>
      <c r="M207" s="14" cm="1">
        <f t="array" ref="M207">INT(SUMPRODUCT(--ISNUMBER(SEARCH(supreme,C207)))&gt;0)</f>
        <v>0</v>
      </c>
      <c r="N207" s="14" cm="1">
        <f t="array" ref="N207">INT(SUMPRODUCT(--ISNUMBER(SEARCH(covid,C207)))&gt;0)</f>
        <v>1</v>
      </c>
      <c r="O207" s="14" cm="1">
        <f t="array" ref="O207">INT(SUMPRODUCT(--ISNUMBER(SEARCH(violent,C207)))&gt;0)</f>
        <v>0</v>
      </c>
      <c r="P207" s="14" cm="1">
        <f t="array" ref="P207">INT(SUMPRODUCT(--ISNUMBER(SEARCH(foreign,C207)))&gt;0)</f>
        <v>0</v>
      </c>
      <c r="Q207" s="14" cm="1">
        <f t="array" ref="Q207">INT(SUMPRODUCT(--ISNUMBER(SEARCH(gun,C207)))&gt;0)</f>
        <v>0</v>
      </c>
      <c r="R207" s="14" cm="1">
        <f t="array" ref="R207">INT(SUMPRODUCT(--ISNUMBER(SEARCH(race,C207)))&gt;0)</f>
        <v>0</v>
      </c>
      <c r="S207" s="14" cm="1">
        <f t="array" ref="S207">INT(SUMPRODUCT(--ISNUMBER(SEARCH(immigration,C207)))&gt;0)</f>
        <v>0</v>
      </c>
      <c r="T207" s="14" cm="1">
        <f t="array" ref="T207">INT(SUMPRODUCT(--ISNUMBER(SEARCH(econineq,C208)))&gt;0)</f>
        <v>0</v>
      </c>
      <c r="U207" s="14" cm="1">
        <f t="array" ref="U207">INT(SUMPRODUCT(--ISNUMBER(SEARCH(climate,C207)))&gt;0)</f>
        <v>1</v>
      </c>
      <c r="V207" s="14" cm="1">
        <f t="array" ref="V207">INT(SUMPRODUCT(--ISNUMBER(SEARCH(abortion,C207)))&gt;0)</f>
        <v>0</v>
      </c>
      <c r="W207" s="14" cm="1">
        <f t="array" ref="W207">INT(SUMPRODUCT(--ISNUMBER(SEARCH(trump,C207)))&gt;0)</f>
        <v>0</v>
      </c>
      <c r="X207" s="14" cm="1">
        <f t="array" ref="X207">INT(SUMPRODUCT(--ISNUMBER(SEARCH(voting,C207)))&gt;0)</f>
        <v>0</v>
      </c>
      <c r="Y207" s="14" cm="1">
        <f t="array" ref="Y207">INT(SUMPRODUCT(--ISNUMBER(SEARCH(democrattrigger,C207)))&gt;0)</f>
        <v>0</v>
      </c>
      <c r="Z207" s="14" cm="1">
        <f t="array" ref="Z207">INT(SUMPRODUCT(--ISNUMBER(SEARCH(bipartisan,C207)))&gt;0)</f>
        <v>0</v>
      </c>
      <c r="AA207" s="14">
        <f t="shared" si="3"/>
        <v>0</v>
      </c>
      <c r="AB207" s="14"/>
      <c r="AC207" s="30" t="s">
        <v>223</v>
      </c>
      <c r="AD207" s="37" t="s">
        <v>223</v>
      </c>
    </row>
    <row r="208" spans="1:30" x14ac:dyDescent="0.25">
      <c r="A208" s="36">
        <v>1671</v>
      </c>
      <c r="B208" s="14" t="s">
        <v>3369</v>
      </c>
      <c r="C208" s="14" t="s">
        <v>3370</v>
      </c>
      <c r="D208" s="17">
        <v>44126</v>
      </c>
      <c r="E208" s="14" t="s">
        <v>30</v>
      </c>
      <c r="F208" s="14">
        <v>563</v>
      </c>
      <c r="G208" s="14">
        <v>204</v>
      </c>
      <c r="H208" s="14">
        <v>8</v>
      </c>
      <c r="I208" s="14">
        <v>4</v>
      </c>
      <c r="J208" s="14" t="s">
        <v>204</v>
      </c>
      <c r="K208" s="14" cm="1">
        <f t="array" ref="K208">INT(SUMPRODUCT(--ISNUMBER(SEARCH(economy,C208)))&gt;0)</f>
        <v>0</v>
      </c>
      <c r="L208" s="14" cm="1">
        <f t="array" ref="L208">INT(SUMPRODUCT(--ISNUMBER(SEARCH(healthcare,C208)))&gt;0)</f>
        <v>0</v>
      </c>
      <c r="M208" s="14" cm="1">
        <f t="array" ref="M208">INT(SUMPRODUCT(--ISNUMBER(SEARCH(supreme,C208)))&gt;0)</f>
        <v>0</v>
      </c>
      <c r="N208" s="14" cm="1">
        <f t="array" ref="N208">INT(SUMPRODUCT(--ISNUMBER(SEARCH(covid,C208)))&gt;0)</f>
        <v>1</v>
      </c>
      <c r="O208" s="14" cm="1">
        <f t="array" ref="O208">INT(SUMPRODUCT(--ISNUMBER(SEARCH(violent,C208)))&gt;0)</f>
        <v>0</v>
      </c>
      <c r="P208" s="14" cm="1">
        <f t="array" ref="P208">INT(SUMPRODUCT(--ISNUMBER(SEARCH(foreign,C208)))&gt;0)</f>
        <v>0</v>
      </c>
      <c r="Q208" s="14" cm="1">
        <f t="array" ref="Q208">INT(SUMPRODUCT(--ISNUMBER(SEARCH(gun,C208)))&gt;0)</f>
        <v>0</v>
      </c>
      <c r="R208" s="14" cm="1">
        <f t="array" ref="R208">INT(SUMPRODUCT(--ISNUMBER(SEARCH(race,C208)))&gt;0)</f>
        <v>0</v>
      </c>
      <c r="S208" s="14" cm="1">
        <f t="array" ref="S208">INT(SUMPRODUCT(--ISNUMBER(SEARCH(immigration,C208)))&gt;0)</f>
        <v>0</v>
      </c>
      <c r="T208" s="14" cm="1">
        <f t="array" ref="T208">INT(SUMPRODUCT(--ISNUMBER(SEARCH(econineq,C209)))&gt;0)</f>
        <v>0</v>
      </c>
      <c r="U208" s="14" cm="1">
        <f t="array" ref="U208">INT(SUMPRODUCT(--ISNUMBER(SEARCH(climate,C208)))&gt;0)</f>
        <v>0</v>
      </c>
      <c r="V208" s="14" cm="1">
        <f t="array" ref="V208">INT(SUMPRODUCT(--ISNUMBER(SEARCH(abortion,C208)))&gt;0)</f>
        <v>0</v>
      </c>
      <c r="W208" s="14" cm="1">
        <f t="array" ref="W208">INT(SUMPRODUCT(--ISNUMBER(SEARCH(trump,C208)))&gt;0)</f>
        <v>0</v>
      </c>
      <c r="X208" s="14" cm="1">
        <f t="array" ref="X208">INT(SUMPRODUCT(--ISNUMBER(SEARCH(voting,C208)))&gt;0)</f>
        <v>0</v>
      </c>
      <c r="Y208" s="14" cm="1">
        <f t="array" ref="Y208">INT(SUMPRODUCT(--ISNUMBER(SEARCH(democrattrigger,C208)))&gt;0)</f>
        <v>1</v>
      </c>
      <c r="Z208" s="14" cm="1">
        <f t="array" ref="Z208">INT(SUMPRODUCT(--ISNUMBER(SEARCH(bipartisan,C208)))&gt;0)</f>
        <v>0</v>
      </c>
      <c r="AA208" s="14">
        <f t="shared" si="3"/>
        <v>0</v>
      </c>
      <c r="AB208" s="14"/>
      <c r="AC208" s="30" t="s">
        <v>223</v>
      </c>
      <c r="AD208" s="37" t="s">
        <v>223</v>
      </c>
    </row>
    <row r="209" spans="1:30" x14ac:dyDescent="0.25">
      <c r="A209" s="36">
        <v>1672</v>
      </c>
      <c r="B209" s="14" t="s">
        <v>3371</v>
      </c>
      <c r="C209" s="14" t="s">
        <v>3372</v>
      </c>
      <c r="D209" s="17">
        <v>44126</v>
      </c>
      <c r="E209" s="14" t="s">
        <v>30</v>
      </c>
      <c r="F209" s="14">
        <v>254</v>
      </c>
      <c r="G209" s="14">
        <v>55</v>
      </c>
      <c r="H209" s="14">
        <v>8</v>
      </c>
      <c r="I209" s="14">
        <v>4</v>
      </c>
      <c r="J209" s="14" t="s">
        <v>204</v>
      </c>
      <c r="K209" s="14" cm="1">
        <f t="array" ref="K209">INT(SUMPRODUCT(--ISNUMBER(SEARCH(economy,C209)))&gt;0)</f>
        <v>0</v>
      </c>
      <c r="L209" s="14" cm="1">
        <f t="array" ref="L209">INT(SUMPRODUCT(--ISNUMBER(SEARCH(healthcare,C209)))&gt;0)</f>
        <v>0</v>
      </c>
      <c r="M209" s="14" cm="1">
        <f t="array" ref="M209">INT(SUMPRODUCT(--ISNUMBER(SEARCH(supreme,C209)))&gt;0)</f>
        <v>0</v>
      </c>
      <c r="N209" s="14" cm="1">
        <f t="array" ref="N209">INT(SUMPRODUCT(--ISNUMBER(SEARCH(covid,C209)))&gt;0)</f>
        <v>1</v>
      </c>
      <c r="O209" s="14" cm="1">
        <f t="array" ref="O209">INT(SUMPRODUCT(--ISNUMBER(SEARCH(violent,C209)))&gt;0)</f>
        <v>0</v>
      </c>
      <c r="P209" s="14" cm="1">
        <f t="array" ref="P209">INT(SUMPRODUCT(--ISNUMBER(SEARCH(foreign,C209)))&gt;0)</f>
        <v>0</v>
      </c>
      <c r="Q209" s="14" cm="1">
        <f t="array" ref="Q209">INT(SUMPRODUCT(--ISNUMBER(SEARCH(gun,C209)))&gt;0)</f>
        <v>0</v>
      </c>
      <c r="R209" s="14" cm="1">
        <f t="array" ref="R209">INT(SUMPRODUCT(--ISNUMBER(SEARCH(race,C209)))&gt;0)</f>
        <v>0</v>
      </c>
      <c r="S209" s="14" cm="1">
        <f t="array" ref="S209">INT(SUMPRODUCT(--ISNUMBER(SEARCH(immigration,C209)))&gt;0)</f>
        <v>0</v>
      </c>
      <c r="T209" s="14" cm="1">
        <f t="array" ref="T209">INT(SUMPRODUCT(--ISNUMBER(SEARCH(econineq,C210)))&gt;0)</f>
        <v>0</v>
      </c>
      <c r="U209" s="14" cm="1">
        <f t="array" ref="U209">INT(SUMPRODUCT(--ISNUMBER(SEARCH(climate,C209)))&gt;0)</f>
        <v>0</v>
      </c>
      <c r="V209" s="14" cm="1">
        <f t="array" ref="V209">INT(SUMPRODUCT(--ISNUMBER(SEARCH(abortion,C209)))&gt;0)</f>
        <v>0</v>
      </c>
      <c r="W209" s="14" cm="1">
        <f t="array" ref="W209">INT(SUMPRODUCT(--ISNUMBER(SEARCH(trump,C209)))&gt;0)</f>
        <v>0</v>
      </c>
      <c r="X209" s="14" cm="1">
        <f t="array" ref="X209">INT(SUMPRODUCT(--ISNUMBER(SEARCH(voting,C209)))&gt;0)</f>
        <v>0</v>
      </c>
      <c r="Y209" s="14" cm="1">
        <f t="array" ref="Y209">INT(SUMPRODUCT(--ISNUMBER(SEARCH(democrattrigger,C209)))&gt;0)</f>
        <v>1</v>
      </c>
      <c r="Z209" s="14" cm="1">
        <f t="array" ref="Z209">INT(SUMPRODUCT(--ISNUMBER(SEARCH(bipartisan,C209)))&gt;0)</f>
        <v>1</v>
      </c>
      <c r="AA209" s="14">
        <f t="shared" si="3"/>
        <v>0</v>
      </c>
      <c r="AB209" s="14"/>
      <c r="AC209" s="30" t="s">
        <v>223</v>
      </c>
      <c r="AD209" s="37" t="s">
        <v>223</v>
      </c>
    </row>
    <row r="210" spans="1:30" x14ac:dyDescent="0.25">
      <c r="A210" s="36">
        <v>1673</v>
      </c>
      <c r="B210" s="14" t="s">
        <v>3373</v>
      </c>
      <c r="C210" s="14" t="s">
        <v>3374</v>
      </c>
      <c r="D210" s="17">
        <v>44126</v>
      </c>
      <c r="E210" s="14" t="s">
        <v>30</v>
      </c>
      <c r="F210" s="14">
        <v>529</v>
      </c>
      <c r="G210" s="14">
        <v>97</v>
      </c>
      <c r="H210" s="14">
        <v>8</v>
      </c>
      <c r="I210" s="14">
        <v>4</v>
      </c>
      <c r="J210" s="14" t="s">
        <v>204</v>
      </c>
      <c r="K210" s="14" cm="1">
        <f t="array" ref="K210">INT(SUMPRODUCT(--ISNUMBER(SEARCH(economy,C210)))&gt;0)</f>
        <v>0</v>
      </c>
      <c r="L210" s="14" cm="1">
        <f t="array" ref="L210">INT(SUMPRODUCT(--ISNUMBER(SEARCH(healthcare,C210)))&gt;0)</f>
        <v>0</v>
      </c>
      <c r="M210" s="14" cm="1">
        <f t="array" ref="M210">INT(SUMPRODUCT(--ISNUMBER(SEARCH(supreme,C210)))&gt;0)</f>
        <v>0</v>
      </c>
      <c r="N210" s="14" cm="1">
        <f t="array" ref="N210">INT(SUMPRODUCT(--ISNUMBER(SEARCH(covid,C210)))&gt;0)</f>
        <v>0</v>
      </c>
      <c r="O210" s="14" cm="1">
        <f t="array" ref="O210">INT(SUMPRODUCT(--ISNUMBER(SEARCH(violent,C210)))&gt;0)</f>
        <v>0</v>
      </c>
      <c r="P210" s="14" cm="1">
        <f t="array" ref="P210">INT(SUMPRODUCT(--ISNUMBER(SEARCH(foreign,C210)))&gt;0)</f>
        <v>0</v>
      </c>
      <c r="Q210" s="14" cm="1">
        <f t="array" ref="Q210">INT(SUMPRODUCT(--ISNUMBER(SEARCH(gun,C210)))&gt;0)</f>
        <v>0</v>
      </c>
      <c r="R210" s="14" cm="1">
        <f t="array" ref="R210">INT(SUMPRODUCT(--ISNUMBER(SEARCH(race,C210)))&gt;0)</f>
        <v>0</v>
      </c>
      <c r="S210" s="14" cm="1">
        <f t="array" ref="S210">INT(SUMPRODUCT(--ISNUMBER(SEARCH(immigration,C210)))&gt;0)</f>
        <v>0</v>
      </c>
      <c r="T210" s="14" cm="1">
        <f t="array" ref="T210">INT(SUMPRODUCT(--ISNUMBER(SEARCH(econineq,C211)))&gt;0)</f>
        <v>0</v>
      </c>
      <c r="U210" s="14" cm="1">
        <f t="array" ref="U210">INT(SUMPRODUCT(--ISNUMBER(SEARCH(climate,C210)))&gt;0)</f>
        <v>0</v>
      </c>
      <c r="V210" s="14" cm="1">
        <f t="array" ref="V210">INT(SUMPRODUCT(--ISNUMBER(SEARCH(abortion,C210)))&gt;0)</f>
        <v>0</v>
      </c>
      <c r="W210" s="14" cm="1">
        <f t="array" ref="W210">INT(SUMPRODUCT(--ISNUMBER(SEARCH(trump,C210)))&gt;0)</f>
        <v>0</v>
      </c>
      <c r="X210" s="14" cm="1">
        <f t="array" ref="X210">INT(SUMPRODUCT(--ISNUMBER(SEARCH(voting,C210)))&gt;0)</f>
        <v>0</v>
      </c>
      <c r="Y210" s="14" cm="1">
        <f t="array" ref="Y210">INT(SUMPRODUCT(--ISNUMBER(SEARCH(democrattrigger,C210)))&gt;0)</f>
        <v>1</v>
      </c>
      <c r="Z210" s="14" cm="1">
        <f t="array" ref="Z210">INT(SUMPRODUCT(--ISNUMBER(SEARCH(bipartisan,C210)))&gt;0)</f>
        <v>0</v>
      </c>
      <c r="AA210" s="14">
        <f t="shared" si="3"/>
        <v>0</v>
      </c>
      <c r="AB210" s="14"/>
      <c r="AC210" s="30" t="s">
        <v>223</v>
      </c>
      <c r="AD210" s="37" t="s">
        <v>223</v>
      </c>
    </row>
    <row r="211" spans="1:30" x14ac:dyDescent="0.25">
      <c r="A211" s="36">
        <v>1674</v>
      </c>
      <c r="B211" s="14" t="s">
        <v>3375</v>
      </c>
      <c r="C211" s="14" t="s">
        <v>3376</v>
      </c>
      <c r="D211" s="17">
        <v>44126</v>
      </c>
      <c r="E211" s="14" t="s">
        <v>30</v>
      </c>
      <c r="F211" s="14">
        <v>874</v>
      </c>
      <c r="G211" s="14">
        <v>256</v>
      </c>
      <c r="H211" s="14">
        <v>8</v>
      </c>
      <c r="I211" s="14">
        <v>4</v>
      </c>
      <c r="J211" s="14" t="s">
        <v>204</v>
      </c>
      <c r="K211" s="14" cm="1">
        <f t="array" ref="K211">INT(SUMPRODUCT(--ISNUMBER(SEARCH(economy,C211)))&gt;0)</f>
        <v>0</v>
      </c>
      <c r="L211" s="14" cm="1">
        <f t="array" ref="L211">INT(SUMPRODUCT(--ISNUMBER(SEARCH(healthcare,C211)))&gt;0)</f>
        <v>1</v>
      </c>
      <c r="M211" s="14" cm="1">
        <f t="array" ref="M211">INT(SUMPRODUCT(--ISNUMBER(SEARCH(supreme,C211)))&gt;0)</f>
        <v>0</v>
      </c>
      <c r="N211" s="14" cm="1">
        <f t="array" ref="N211">INT(SUMPRODUCT(--ISNUMBER(SEARCH(covid,C211)))&gt;0)</f>
        <v>0</v>
      </c>
      <c r="O211" s="14" cm="1">
        <f t="array" ref="O211">INT(SUMPRODUCT(--ISNUMBER(SEARCH(violent,C211)))&gt;0)</f>
        <v>0</v>
      </c>
      <c r="P211" s="14" cm="1">
        <f t="array" ref="P211">INT(SUMPRODUCT(--ISNUMBER(SEARCH(foreign,C211)))&gt;0)</f>
        <v>0</v>
      </c>
      <c r="Q211" s="14" cm="1">
        <f t="array" ref="Q211">INT(SUMPRODUCT(--ISNUMBER(SEARCH(gun,C211)))&gt;0)</f>
        <v>0</v>
      </c>
      <c r="R211" s="14" cm="1">
        <f t="array" ref="R211">INT(SUMPRODUCT(--ISNUMBER(SEARCH(race,C211)))&gt;0)</f>
        <v>0</v>
      </c>
      <c r="S211" s="14" cm="1">
        <f t="array" ref="S211">INT(SUMPRODUCT(--ISNUMBER(SEARCH(immigration,C211)))&gt;0)</f>
        <v>0</v>
      </c>
      <c r="T211" s="14" cm="1">
        <f t="array" ref="T211">INT(SUMPRODUCT(--ISNUMBER(SEARCH(econineq,C212)))&gt;0)</f>
        <v>0</v>
      </c>
      <c r="U211" s="14" cm="1">
        <f t="array" ref="U211">INT(SUMPRODUCT(--ISNUMBER(SEARCH(climate,C211)))&gt;0)</f>
        <v>0</v>
      </c>
      <c r="V211" s="14" cm="1">
        <f t="array" ref="V211">INT(SUMPRODUCT(--ISNUMBER(SEARCH(abortion,C211)))&gt;0)</f>
        <v>0</v>
      </c>
      <c r="W211" s="14" cm="1">
        <f t="array" ref="W211">INT(SUMPRODUCT(--ISNUMBER(SEARCH(trump,C211)))&gt;0)</f>
        <v>0</v>
      </c>
      <c r="X211" s="14" cm="1">
        <f t="array" ref="X211">INT(SUMPRODUCT(--ISNUMBER(SEARCH(voting,C211)))&gt;0)</f>
        <v>0</v>
      </c>
      <c r="Y211" s="14" cm="1">
        <f t="array" ref="Y211">INT(SUMPRODUCT(--ISNUMBER(SEARCH(democrattrigger,C211)))&gt;0)</f>
        <v>1</v>
      </c>
      <c r="Z211" s="14" cm="1">
        <f t="array" ref="Z211">INT(SUMPRODUCT(--ISNUMBER(SEARCH(bipartisan,C211)))&gt;0)</f>
        <v>0</v>
      </c>
      <c r="AA211" s="14">
        <f t="shared" si="3"/>
        <v>0</v>
      </c>
      <c r="AB211" s="14"/>
      <c r="AC211" s="30">
        <v>0</v>
      </c>
      <c r="AD211" s="37">
        <v>1</v>
      </c>
    </row>
    <row r="212" spans="1:30" x14ac:dyDescent="0.25">
      <c r="A212" s="36">
        <v>1675</v>
      </c>
      <c r="B212" s="14" t="s">
        <v>3377</v>
      </c>
      <c r="C212" s="14" t="s">
        <v>3378</v>
      </c>
      <c r="D212" s="17">
        <v>44126</v>
      </c>
      <c r="E212" s="14" t="s">
        <v>30</v>
      </c>
      <c r="F212" s="14">
        <v>318</v>
      </c>
      <c r="G212" s="14">
        <v>81</v>
      </c>
      <c r="H212" s="14">
        <v>8</v>
      </c>
      <c r="I212" s="14">
        <v>4</v>
      </c>
      <c r="J212" s="14" t="s">
        <v>204</v>
      </c>
      <c r="K212" s="14" cm="1">
        <f t="array" ref="K212">INT(SUMPRODUCT(--ISNUMBER(SEARCH(economy,C212)))&gt;0)</f>
        <v>1</v>
      </c>
      <c r="L212" s="14" cm="1">
        <f t="array" ref="L212">INT(SUMPRODUCT(--ISNUMBER(SEARCH(healthcare,C212)))&gt;0)</f>
        <v>0</v>
      </c>
      <c r="M212" s="14" cm="1">
        <f t="array" ref="M212">INT(SUMPRODUCT(--ISNUMBER(SEARCH(supreme,C212)))&gt;0)</f>
        <v>0</v>
      </c>
      <c r="N212" s="14" cm="1">
        <f t="array" ref="N212">INT(SUMPRODUCT(--ISNUMBER(SEARCH(covid,C212)))&gt;0)</f>
        <v>0</v>
      </c>
      <c r="O212" s="14" cm="1">
        <f t="array" ref="O212">INT(SUMPRODUCT(--ISNUMBER(SEARCH(violent,C212)))&gt;0)</f>
        <v>0</v>
      </c>
      <c r="P212" s="14" cm="1">
        <f t="array" ref="P212">INT(SUMPRODUCT(--ISNUMBER(SEARCH(foreign,C212)))&gt;0)</f>
        <v>0</v>
      </c>
      <c r="Q212" s="14" cm="1">
        <f t="array" ref="Q212">INT(SUMPRODUCT(--ISNUMBER(SEARCH(gun,C212)))&gt;0)</f>
        <v>0</v>
      </c>
      <c r="R212" s="14" cm="1">
        <f t="array" ref="R212">INT(SUMPRODUCT(--ISNUMBER(SEARCH(race,C212)))&gt;0)</f>
        <v>0</v>
      </c>
      <c r="S212" s="14" cm="1">
        <f t="array" ref="S212">INT(SUMPRODUCT(--ISNUMBER(SEARCH(immigration,C212)))&gt;0)</f>
        <v>0</v>
      </c>
      <c r="T212" s="14" cm="1">
        <f t="array" ref="T212">INT(SUMPRODUCT(--ISNUMBER(SEARCH(econineq,C213)))&gt;0)</f>
        <v>0</v>
      </c>
      <c r="U212" s="14" cm="1">
        <f t="array" ref="U212">INT(SUMPRODUCT(--ISNUMBER(SEARCH(climate,C212)))&gt;0)</f>
        <v>0</v>
      </c>
      <c r="V212" s="14" cm="1">
        <f t="array" ref="V212">INT(SUMPRODUCT(--ISNUMBER(SEARCH(abortion,C212)))&gt;0)</f>
        <v>0</v>
      </c>
      <c r="W212" s="14" cm="1">
        <f t="array" ref="W212">INT(SUMPRODUCT(--ISNUMBER(SEARCH(trump,C212)))&gt;0)</f>
        <v>0</v>
      </c>
      <c r="X212" s="14" cm="1">
        <f t="array" ref="X212">INT(SUMPRODUCT(--ISNUMBER(SEARCH(voting,C212)))&gt;0)</f>
        <v>0</v>
      </c>
      <c r="Y212" s="14" cm="1">
        <f t="array" ref="Y212">INT(SUMPRODUCT(--ISNUMBER(SEARCH(democrattrigger,C212)))&gt;0)</f>
        <v>0</v>
      </c>
      <c r="Z212" s="14" cm="1">
        <f t="array" ref="Z212">INT(SUMPRODUCT(--ISNUMBER(SEARCH(bipartisan,C212)))&gt;0)</f>
        <v>0</v>
      </c>
      <c r="AA212" s="14">
        <f t="shared" si="3"/>
        <v>0</v>
      </c>
      <c r="AB212" s="14"/>
      <c r="AC212" s="30" t="s">
        <v>223</v>
      </c>
      <c r="AD212" s="37" t="s">
        <v>223</v>
      </c>
    </row>
    <row r="213" spans="1:30" x14ac:dyDescent="0.25">
      <c r="A213" s="36">
        <v>1676</v>
      </c>
      <c r="B213" s="14" t="s">
        <v>3379</v>
      </c>
      <c r="C213" s="14" t="s">
        <v>3380</v>
      </c>
      <c r="D213" s="17">
        <v>44126</v>
      </c>
      <c r="E213" s="14" t="s">
        <v>30</v>
      </c>
      <c r="F213" s="14">
        <v>801</v>
      </c>
      <c r="G213" s="14">
        <v>214</v>
      </c>
      <c r="H213" s="14">
        <v>8</v>
      </c>
      <c r="I213" s="14">
        <v>4</v>
      </c>
      <c r="J213" s="14" t="s">
        <v>204</v>
      </c>
      <c r="K213" s="14" cm="1">
        <f t="array" ref="K213">INT(SUMPRODUCT(--ISNUMBER(SEARCH(economy,C213)))&gt;0)</f>
        <v>0</v>
      </c>
      <c r="L213" s="14" cm="1">
        <f t="array" ref="L213">INT(SUMPRODUCT(--ISNUMBER(SEARCH(healthcare,C213)))&gt;0)</f>
        <v>0</v>
      </c>
      <c r="M213" s="14" cm="1">
        <f t="array" ref="M213">INT(SUMPRODUCT(--ISNUMBER(SEARCH(supreme,C213)))&gt;0)</f>
        <v>0</v>
      </c>
      <c r="N213" s="14" cm="1">
        <f t="array" ref="N213">INT(SUMPRODUCT(--ISNUMBER(SEARCH(covid,C213)))&gt;0)</f>
        <v>1</v>
      </c>
      <c r="O213" s="14" cm="1">
        <f t="array" ref="O213">INT(SUMPRODUCT(--ISNUMBER(SEARCH(violent,C213)))&gt;0)</f>
        <v>0</v>
      </c>
      <c r="P213" s="14" cm="1">
        <f t="array" ref="P213">INT(SUMPRODUCT(--ISNUMBER(SEARCH(foreign,C213)))&gt;0)</f>
        <v>0</v>
      </c>
      <c r="Q213" s="14" cm="1">
        <f t="array" ref="Q213">INT(SUMPRODUCT(--ISNUMBER(SEARCH(gun,C213)))&gt;0)</f>
        <v>0</v>
      </c>
      <c r="R213" s="14" cm="1">
        <f t="array" ref="R213">INT(SUMPRODUCT(--ISNUMBER(SEARCH(race,C213)))&gt;0)</f>
        <v>0</v>
      </c>
      <c r="S213" s="14" cm="1">
        <f t="array" ref="S213">INT(SUMPRODUCT(--ISNUMBER(SEARCH(immigration,C213)))&gt;0)</f>
        <v>0</v>
      </c>
      <c r="T213" s="14" cm="1">
        <f t="array" ref="T213">INT(SUMPRODUCT(--ISNUMBER(SEARCH(econineq,C214)))&gt;0)</f>
        <v>0</v>
      </c>
      <c r="U213" s="14" cm="1">
        <f t="array" ref="U213">INT(SUMPRODUCT(--ISNUMBER(SEARCH(climate,C213)))&gt;0)</f>
        <v>0</v>
      </c>
      <c r="V213" s="14" cm="1">
        <f t="array" ref="V213">INT(SUMPRODUCT(--ISNUMBER(SEARCH(abortion,C213)))&gt;0)</f>
        <v>0</v>
      </c>
      <c r="W213" s="14" cm="1">
        <f t="array" ref="W213">INT(SUMPRODUCT(--ISNUMBER(SEARCH(trump,C213)))&gt;0)</f>
        <v>0</v>
      </c>
      <c r="X213" s="14" cm="1">
        <f t="array" ref="X213">INT(SUMPRODUCT(--ISNUMBER(SEARCH(voting,C213)))&gt;0)</f>
        <v>0</v>
      </c>
      <c r="Y213" s="14" cm="1">
        <f t="array" ref="Y213">INT(SUMPRODUCT(--ISNUMBER(SEARCH(democrattrigger,C213)))&gt;0)</f>
        <v>1</v>
      </c>
      <c r="Z213" s="14" cm="1">
        <f t="array" ref="Z213">INT(SUMPRODUCT(--ISNUMBER(SEARCH(bipartisan,C213)))&gt;0)</f>
        <v>0</v>
      </c>
      <c r="AA213" s="14">
        <f t="shared" si="3"/>
        <v>0</v>
      </c>
      <c r="AB213" s="14"/>
      <c r="AC213" s="30" t="s">
        <v>223</v>
      </c>
      <c r="AD213" s="37" t="s">
        <v>223</v>
      </c>
    </row>
    <row r="214" spans="1:30" x14ac:dyDescent="0.25">
      <c r="A214" s="36">
        <v>1677</v>
      </c>
      <c r="B214" s="14" t="s">
        <v>3381</v>
      </c>
      <c r="C214" s="14" t="s">
        <v>3382</v>
      </c>
      <c r="D214" s="17">
        <v>44126</v>
      </c>
      <c r="E214" s="14" t="s">
        <v>30</v>
      </c>
      <c r="F214" s="14">
        <v>227</v>
      </c>
      <c r="G214" s="14">
        <v>79</v>
      </c>
      <c r="H214" s="14">
        <v>8</v>
      </c>
      <c r="I214" s="14">
        <v>4</v>
      </c>
      <c r="J214" s="14" t="s">
        <v>204</v>
      </c>
      <c r="K214" s="14" cm="1">
        <f t="array" ref="K214">INT(SUMPRODUCT(--ISNUMBER(SEARCH(economy,C214)))&gt;0)</f>
        <v>0</v>
      </c>
      <c r="L214" s="14" cm="1">
        <f t="array" ref="L214">INT(SUMPRODUCT(--ISNUMBER(SEARCH(healthcare,C214)))&gt;0)</f>
        <v>0</v>
      </c>
      <c r="M214" s="14" cm="1">
        <f t="array" ref="M214">INT(SUMPRODUCT(--ISNUMBER(SEARCH(supreme,C214)))&gt;0)</f>
        <v>0</v>
      </c>
      <c r="N214" s="14" cm="1">
        <f t="array" ref="N214">INT(SUMPRODUCT(--ISNUMBER(SEARCH(covid,C214)))&gt;0)</f>
        <v>0</v>
      </c>
      <c r="O214" s="14" cm="1">
        <f t="array" ref="O214">INT(SUMPRODUCT(--ISNUMBER(SEARCH(violent,C214)))&gt;0)</f>
        <v>0</v>
      </c>
      <c r="P214" s="14" cm="1">
        <f t="array" ref="P214">INT(SUMPRODUCT(--ISNUMBER(SEARCH(foreign,C214)))&gt;0)</f>
        <v>0</v>
      </c>
      <c r="Q214" s="14" cm="1">
        <f t="array" ref="Q214">INT(SUMPRODUCT(--ISNUMBER(SEARCH(gun,C214)))&gt;0)</f>
        <v>0</v>
      </c>
      <c r="R214" s="14" cm="1">
        <f t="array" ref="R214">INT(SUMPRODUCT(--ISNUMBER(SEARCH(race,C214)))&gt;0)</f>
        <v>0</v>
      </c>
      <c r="S214" s="14" cm="1">
        <f t="array" ref="S214">INT(SUMPRODUCT(--ISNUMBER(SEARCH(immigration,C214)))&gt;0)</f>
        <v>0</v>
      </c>
      <c r="T214" s="14" cm="1">
        <f t="array" ref="T214">INT(SUMPRODUCT(--ISNUMBER(SEARCH(econineq,C215)))&gt;0)</f>
        <v>0</v>
      </c>
      <c r="U214" s="14" cm="1">
        <f t="array" ref="U214">INT(SUMPRODUCT(--ISNUMBER(SEARCH(climate,C214)))&gt;0)</f>
        <v>0</v>
      </c>
      <c r="V214" s="14" cm="1">
        <f t="array" ref="V214">INT(SUMPRODUCT(--ISNUMBER(SEARCH(abortion,C214)))&gt;0)</f>
        <v>0</v>
      </c>
      <c r="W214" s="14" cm="1">
        <f t="array" ref="W214">INT(SUMPRODUCT(--ISNUMBER(SEARCH(trump,C214)))&gt;0)</f>
        <v>0</v>
      </c>
      <c r="X214" s="14" cm="1">
        <f t="array" ref="X214">INT(SUMPRODUCT(--ISNUMBER(SEARCH(voting,C214)))&gt;0)</f>
        <v>1</v>
      </c>
      <c r="Y214" s="14" cm="1">
        <f t="array" ref="Y214">INT(SUMPRODUCT(--ISNUMBER(SEARCH(democrattrigger,C214)))&gt;0)</f>
        <v>1</v>
      </c>
      <c r="Z214" s="14" cm="1">
        <f t="array" ref="Z214">INT(SUMPRODUCT(--ISNUMBER(SEARCH(bipartisan,C214)))&gt;0)</f>
        <v>0</v>
      </c>
      <c r="AA214" s="14">
        <f t="shared" si="3"/>
        <v>0</v>
      </c>
      <c r="AB214" s="14"/>
      <c r="AC214" s="30">
        <v>1</v>
      </c>
      <c r="AD214" s="37">
        <v>1</v>
      </c>
    </row>
    <row r="215" spans="1:30" x14ac:dyDescent="0.25">
      <c r="A215" s="36">
        <v>1678</v>
      </c>
      <c r="B215" s="14" t="s">
        <v>3383</v>
      </c>
      <c r="C215" s="14" t="s">
        <v>3384</v>
      </c>
      <c r="D215" s="17">
        <v>44126</v>
      </c>
      <c r="E215" s="14" t="s">
        <v>30</v>
      </c>
      <c r="F215" s="14">
        <v>363</v>
      </c>
      <c r="G215" s="14">
        <v>78</v>
      </c>
      <c r="H215" s="14">
        <v>8</v>
      </c>
      <c r="I215" s="14">
        <v>4</v>
      </c>
      <c r="J215" s="14" t="s">
        <v>204</v>
      </c>
      <c r="K215" s="14" cm="1">
        <f t="array" ref="K215">INT(SUMPRODUCT(--ISNUMBER(SEARCH(economy,C215)))&gt;0)</f>
        <v>0</v>
      </c>
      <c r="L215" s="14" cm="1">
        <f t="array" ref="L215">INT(SUMPRODUCT(--ISNUMBER(SEARCH(healthcare,C215)))&gt;0)</f>
        <v>0</v>
      </c>
      <c r="M215" s="14" cm="1">
        <f t="array" ref="M215">INT(SUMPRODUCT(--ISNUMBER(SEARCH(supreme,C215)))&gt;0)</f>
        <v>0</v>
      </c>
      <c r="N215" s="14" cm="1">
        <f t="array" ref="N215">INT(SUMPRODUCT(--ISNUMBER(SEARCH(covid,C215)))&gt;0)</f>
        <v>0</v>
      </c>
      <c r="O215" s="14" cm="1">
        <f t="array" ref="O215">INT(SUMPRODUCT(--ISNUMBER(SEARCH(violent,C215)))&gt;0)</f>
        <v>0</v>
      </c>
      <c r="P215" s="14" cm="1">
        <f t="array" ref="P215">INT(SUMPRODUCT(--ISNUMBER(SEARCH(foreign,C215)))&gt;0)</f>
        <v>0</v>
      </c>
      <c r="Q215" s="14" cm="1">
        <f t="array" ref="Q215">INT(SUMPRODUCT(--ISNUMBER(SEARCH(gun,C215)))&gt;0)</f>
        <v>0</v>
      </c>
      <c r="R215" s="14" cm="1">
        <f t="array" ref="R215">INT(SUMPRODUCT(--ISNUMBER(SEARCH(race,C215)))&gt;0)</f>
        <v>0</v>
      </c>
      <c r="S215" s="14" cm="1">
        <f t="array" ref="S215">INT(SUMPRODUCT(--ISNUMBER(SEARCH(immigration,C215)))&gt;0)</f>
        <v>0</v>
      </c>
      <c r="T215" s="14" cm="1">
        <f t="array" ref="T215">INT(SUMPRODUCT(--ISNUMBER(SEARCH(econineq,C216)))&gt;0)</f>
        <v>0</v>
      </c>
      <c r="U215" s="14" cm="1">
        <f t="array" ref="U215">INT(SUMPRODUCT(--ISNUMBER(SEARCH(climate,C215)))&gt;0)</f>
        <v>0</v>
      </c>
      <c r="V215" s="14" cm="1">
        <f t="array" ref="V215">INT(SUMPRODUCT(--ISNUMBER(SEARCH(abortion,C215)))&gt;0)</f>
        <v>0</v>
      </c>
      <c r="W215" s="14" cm="1">
        <f t="array" ref="W215">INT(SUMPRODUCT(--ISNUMBER(SEARCH(trump,C215)))&gt;0)</f>
        <v>0</v>
      </c>
      <c r="X215" s="14" cm="1">
        <f t="array" ref="X215">INT(SUMPRODUCT(--ISNUMBER(SEARCH(voting,C215)))&gt;0)</f>
        <v>0</v>
      </c>
      <c r="Y215" s="14" cm="1">
        <f t="array" ref="Y215">INT(SUMPRODUCT(--ISNUMBER(SEARCH(democrattrigger,C215)))&gt;0)</f>
        <v>0</v>
      </c>
      <c r="Z215" s="14" cm="1">
        <f t="array" ref="Z215">INT(SUMPRODUCT(--ISNUMBER(SEARCH(bipartisan,C215)))&gt;0)</f>
        <v>0</v>
      </c>
      <c r="AA215" s="14">
        <f t="shared" si="3"/>
        <v>1</v>
      </c>
      <c r="AB215" s="14"/>
      <c r="AC215" s="30" t="s">
        <v>223</v>
      </c>
      <c r="AD215" s="37" t="s">
        <v>223</v>
      </c>
    </row>
    <row r="216" spans="1:30" x14ac:dyDescent="0.25">
      <c r="A216" s="36">
        <v>1679</v>
      </c>
      <c r="B216" s="14" t="s">
        <v>3385</v>
      </c>
      <c r="C216" s="14" t="s">
        <v>3386</v>
      </c>
      <c r="D216" s="17">
        <v>44126</v>
      </c>
      <c r="E216" s="14" t="s">
        <v>30</v>
      </c>
      <c r="F216" s="14">
        <v>307</v>
      </c>
      <c r="G216" s="14">
        <v>75</v>
      </c>
      <c r="H216" s="14">
        <v>8</v>
      </c>
      <c r="I216" s="14">
        <v>4</v>
      </c>
      <c r="J216" s="14" t="s">
        <v>204</v>
      </c>
      <c r="K216" s="14" cm="1">
        <f t="array" ref="K216">INT(SUMPRODUCT(--ISNUMBER(SEARCH(economy,C216)))&gt;0)</f>
        <v>0</v>
      </c>
      <c r="L216" s="14" cm="1">
        <f t="array" ref="L216">INT(SUMPRODUCT(--ISNUMBER(SEARCH(healthcare,C216)))&gt;0)</f>
        <v>0</v>
      </c>
      <c r="M216" s="14" cm="1">
        <f t="array" ref="M216">INT(SUMPRODUCT(--ISNUMBER(SEARCH(supreme,C216)))&gt;0)</f>
        <v>0</v>
      </c>
      <c r="N216" s="14" cm="1">
        <f t="array" ref="N216">INT(SUMPRODUCT(--ISNUMBER(SEARCH(covid,C216)))&gt;0)</f>
        <v>0</v>
      </c>
      <c r="O216" s="14" cm="1">
        <f t="array" ref="O216">INT(SUMPRODUCT(--ISNUMBER(SEARCH(violent,C216)))&gt;0)</f>
        <v>0</v>
      </c>
      <c r="P216" s="14" cm="1">
        <f t="array" ref="P216">INT(SUMPRODUCT(--ISNUMBER(SEARCH(foreign,C216)))&gt;0)</f>
        <v>0</v>
      </c>
      <c r="Q216" s="14" cm="1">
        <f t="array" ref="Q216">INT(SUMPRODUCT(--ISNUMBER(SEARCH(gun,C216)))&gt;0)</f>
        <v>0</v>
      </c>
      <c r="R216" s="14" cm="1">
        <f t="array" ref="R216">INT(SUMPRODUCT(--ISNUMBER(SEARCH(race,C216)))&gt;0)</f>
        <v>0</v>
      </c>
      <c r="S216" s="14" cm="1">
        <f t="array" ref="S216">INT(SUMPRODUCT(--ISNUMBER(SEARCH(immigration,C216)))&gt;0)</f>
        <v>0</v>
      </c>
      <c r="T216" s="14" cm="1">
        <f t="array" ref="T216">INT(SUMPRODUCT(--ISNUMBER(SEARCH(econineq,C217)))&gt;0)</f>
        <v>0</v>
      </c>
      <c r="U216" s="14" cm="1">
        <f t="array" ref="U216">INT(SUMPRODUCT(--ISNUMBER(SEARCH(climate,C216)))&gt;0)</f>
        <v>0</v>
      </c>
      <c r="V216" s="14" cm="1">
        <f t="array" ref="V216">INT(SUMPRODUCT(--ISNUMBER(SEARCH(abortion,C216)))&gt;0)</f>
        <v>0</v>
      </c>
      <c r="W216" s="14" cm="1">
        <f t="array" ref="W216">INT(SUMPRODUCT(--ISNUMBER(SEARCH(trump,C216)))&gt;0)</f>
        <v>0</v>
      </c>
      <c r="X216" s="14" cm="1">
        <f t="array" ref="X216">INT(SUMPRODUCT(--ISNUMBER(SEARCH(voting,C216)))&gt;0)</f>
        <v>0</v>
      </c>
      <c r="Y216" s="14" cm="1">
        <f t="array" ref="Y216">INT(SUMPRODUCT(--ISNUMBER(SEARCH(democrattrigger,C216)))&gt;0)</f>
        <v>0</v>
      </c>
      <c r="Z216" s="14" cm="1">
        <f t="array" ref="Z216">INT(SUMPRODUCT(--ISNUMBER(SEARCH(bipartisan,C216)))&gt;0)</f>
        <v>0</v>
      </c>
      <c r="AA216" s="14">
        <f t="shared" si="3"/>
        <v>1</v>
      </c>
      <c r="AB216" s="14"/>
      <c r="AC216" s="30" t="s">
        <v>223</v>
      </c>
      <c r="AD216" s="37" t="s">
        <v>223</v>
      </c>
    </row>
    <row r="217" spans="1:30" x14ac:dyDescent="0.25">
      <c r="A217" s="36">
        <v>1680</v>
      </c>
      <c r="B217" s="14" t="s">
        <v>3387</v>
      </c>
      <c r="C217" s="14" t="s">
        <v>3388</v>
      </c>
      <c r="D217" s="17">
        <v>44126</v>
      </c>
      <c r="E217" s="14" t="s">
        <v>30</v>
      </c>
      <c r="F217" s="14">
        <v>312</v>
      </c>
      <c r="G217" s="14">
        <v>96</v>
      </c>
      <c r="H217" s="14">
        <v>8</v>
      </c>
      <c r="I217" s="14">
        <v>4</v>
      </c>
      <c r="J217" s="14" t="s">
        <v>204</v>
      </c>
      <c r="K217" s="14" cm="1">
        <f t="array" ref="K217">INT(SUMPRODUCT(--ISNUMBER(SEARCH(economy,C217)))&gt;0)</f>
        <v>0</v>
      </c>
      <c r="L217" s="14" cm="1">
        <f t="array" ref="L217">INT(SUMPRODUCT(--ISNUMBER(SEARCH(healthcare,C217)))&gt;0)</f>
        <v>0</v>
      </c>
      <c r="M217" s="14" cm="1">
        <f t="array" ref="M217">INT(SUMPRODUCT(--ISNUMBER(SEARCH(supreme,C217)))&gt;0)</f>
        <v>0</v>
      </c>
      <c r="N217" s="14" cm="1">
        <f t="array" ref="N217">INT(SUMPRODUCT(--ISNUMBER(SEARCH(covid,C217)))&gt;0)</f>
        <v>0</v>
      </c>
      <c r="O217" s="14" cm="1">
        <f t="array" ref="O217">INT(SUMPRODUCT(--ISNUMBER(SEARCH(violent,C217)))&gt;0)</f>
        <v>0</v>
      </c>
      <c r="P217" s="14" cm="1">
        <f t="array" ref="P217">INT(SUMPRODUCT(--ISNUMBER(SEARCH(foreign,C217)))&gt;0)</f>
        <v>0</v>
      </c>
      <c r="Q217" s="14" cm="1">
        <f t="array" ref="Q217">INT(SUMPRODUCT(--ISNUMBER(SEARCH(gun,C217)))&gt;0)</f>
        <v>0</v>
      </c>
      <c r="R217" s="14" cm="1">
        <f t="array" ref="R217">INT(SUMPRODUCT(--ISNUMBER(SEARCH(race,C217)))&gt;0)</f>
        <v>0</v>
      </c>
      <c r="S217" s="14" cm="1">
        <f t="array" ref="S217">INT(SUMPRODUCT(--ISNUMBER(SEARCH(immigration,C217)))&gt;0)</f>
        <v>0</v>
      </c>
      <c r="T217" s="14" cm="1">
        <f t="array" ref="T217">INT(SUMPRODUCT(--ISNUMBER(SEARCH(econineq,C218)))&gt;0)</f>
        <v>0</v>
      </c>
      <c r="U217" s="14" cm="1">
        <f t="array" ref="U217">INT(SUMPRODUCT(--ISNUMBER(SEARCH(climate,C217)))&gt;0)</f>
        <v>0</v>
      </c>
      <c r="V217" s="14" cm="1">
        <f t="array" ref="V217">INT(SUMPRODUCT(--ISNUMBER(SEARCH(abortion,C217)))&gt;0)</f>
        <v>0</v>
      </c>
      <c r="W217" s="14" cm="1">
        <f t="array" ref="W217">INT(SUMPRODUCT(--ISNUMBER(SEARCH(trump,C217)))&gt;0)</f>
        <v>0</v>
      </c>
      <c r="X217" s="14" cm="1">
        <f t="array" ref="X217">INT(SUMPRODUCT(--ISNUMBER(SEARCH(voting,C217)))&gt;0)</f>
        <v>1</v>
      </c>
      <c r="Y217" s="14" cm="1">
        <f t="array" ref="Y217">INT(SUMPRODUCT(--ISNUMBER(SEARCH(democrattrigger,C217)))&gt;0)</f>
        <v>1</v>
      </c>
      <c r="Z217" s="14" cm="1">
        <f t="array" ref="Z217">INT(SUMPRODUCT(--ISNUMBER(SEARCH(bipartisan,C217)))&gt;0)</f>
        <v>0</v>
      </c>
      <c r="AA217" s="14">
        <f t="shared" si="3"/>
        <v>0</v>
      </c>
      <c r="AB217" s="14"/>
      <c r="AC217" s="30">
        <v>1</v>
      </c>
      <c r="AD217" s="37">
        <v>0</v>
      </c>
    </row>
    <row r="218" spans="1:30" x14ac:dyDescent="0.25">
      <c r="A218" s="36">
        <v>1681</v>
      </c>
      <c r="B218" s="14" t="s">
        <v>3389</v>
      </c>
      <c r="C218" s="14" t="s">
        <v>3390</v>
      </c>
      <c r="D218" s="17">
        <v>44126</v>
      </c>
      <c r="E218" s="14" t="s">
        <v>30</v>
      </c>
      <c r="F218" s="14">
        <v>398</v>
      </c>
      <c r="G218" s="14">
        <v>159</v>
      </c>
      <c r="H218" s="14">
        <v>8</v>
      </c>
      <c r="I218" s="14">
        <v>4</v>
      </c>
      <c r="J218" s="14" t="s">
        <v>204</v>
      </c>
      <c r="K218" s="14" cm="1">
        <f t="array" ref="K218">INT(SUMPRODUCT(--ISNUMBER(SEARCH(economy,C218)))&gt;0)</f>
        <v>0</v>
      </c>
      <c r="L218" s="14" cm="1">
        <f t="array" ref="L218">INT(SUMPRODUCT(--ISNUMBER(SEARCH(healthcare,C218)))&gt;0)</f>
        <v>0</v>
      </c>
      <c r="M218" s="14" cm="1">
        <f t="array" ref="M218">INT(SUMPRODUCT(--ISNUMBER(SEARCH(supreme,C218)))&gt;0)</f>
        <v>0</v>
      </c>
      <c r="N218" s="14" cm="1">
        <f t="array" ref="N218">INT(SUMPRODUCT(--ISNUMBER(SEARCH(covid,C218)))&gt;0)</f>
        <v>0</v>
      </c>
      <c r="O218" s="14" cm="1">
        <f t="array" ref="O218">INT(SUMPRODUCT(--ISNUMBER(SEARCH(violent,C218)))&gt;0)</f>
        <v>0</v>
      </c>
      <c r="P218" s="14" cm="1">
        <f t="array" ref="P218">INT(SUMPRODUCT(--ISNUMBER(SEARCH(foreign,C218)))&gt;0)</f>
        <v>0</v>
      </c>
      <c r="Q218" s="14" cm="1">
        <f t="array" ref="Q218">INT(SUMPRODUCT(--ISNUMBER(SEARCH(gun,C218)))&gt;0)</f>
        <v>0</v>
      </c>
      <c r="R218" s="14" cm="1">
        <f t="array" ref="R218">INT(SUMPRODUCT(--ISNUMBER(SEARCH(race,C218)))&gt;0)</f>
        <v>0</v>
      </c>
      <c r="S218" s="14" cm="1">
        <f t="array" ref="S218">INT(SUMPRODUCT(--ISNUMBER(SEARCH(immigration,C218)))&gt;0)</f>
        <v>0</v>
      </c>
      <c r="T218" s="14" cm="1">
        <f t="array" ref="T218">INT(SUMPRODUCT(--ISNUMBER(SEARCH(econineq,C219)))&gt;0)</f>
        <v>0</v>
      </c>
      <c r="U218" s="14" cm="1">
        <f t="array" ref="U218">INT(SUMPRODUCT(--ISNUMBER(SEARCH(climate,C218)))&gt;0)</f>
        <v>0</v>
      </c>
      <c r="V218" s="14" cm="1">
        <f t="array" ref="V218">INT(SUMPRODUCT(--ISNUMBER(SEARCH(abortion,C218)))&gt;0)</f>
        <v>0</v>
      </c>
      <c r="W218" s="14" cm="1">
        <f t="array" ref="W218">INT(SUMPRODUCT(--ISNUMBER(SEARCH(trump,C218)))&gt;0)</f>
        <v>1</v>
      </c>
      <c r="X218" s="14" cm="1">
        <f t="array" ref="X218">INT(SUMPRODUCT(--ISNUMBER(SEARCH(voting,C218)))&gt;0)</f>
        <v>1</v>
      </c>
      <c r="Y218" s="14" cm="1">
        <f t="array" ref="Y218">INT(SUMPRODUCT(--ISNUMBER(SEARCH(democrattrigger,C218)))&gt;0)</f>
        <v>1</v>
      </c>
      <c r="Z218" s="14" cm="1">
        <f t="array" ref="Z218">INT(SUMPRODUCT(--ISNUMBER(SEARCH(bipartisan,C218)))&gt;0)</f>
        <v>0</v>
      </c>
      <c r="AA218" s="14">
        <f t="shared" si="3"/>
        <v>0</v>
      </c>
      <c r="AB218" s="14"/>
      <c r="AC218" s="30">
        <v>1</v>
      </c>
      <c r="AD218" s="37">
        <v>0</v>
      </c>
    </row>
    <row r="219" spans="1:30" x14ac:dyDescent="0.25">
      <c r="A219" s="36">
        <v>1682</v>
      </c>
      <c r="B219" s="14" t="s">
        <v>3391</v>
      </c>
      <c r="C219" s="14" t="s">
        <v>3392</v>
      </c>
      <c r="D219" s="17">
        <v>44126</v>
      </c>
      <c r="E219" s="14" t="s">
        <v>30</v>
      </c>
      <c r="F219" s="14">
        <v>1122</v>
      </c>
      <c r="G219" s="14">
        <v>297</v>
      </c>
      <c r="H219" s="14">
        <v>8</v>
      </c>
      <c r="I219" s="14">
        <v>4</v>
      </c>
      <c r="J219" s="14" t="s">
        <v>204</v>
      </c>
      <c r="K219" s="14" cm="1">
        <f t="array" ref="K219">INT(SUMPRODUCT(--ISNUMBER(SEARCH(economy,C219)))&gt;0)</f>
        <v>0</v>
      </c>
      <c r="L219" s="14" cm="1">
        <f t="array" ref="L219">INT(SUMPRODUCT(--ISNUMBER(SEARCH(healthcare,C219)))&gt;0)</f>
        <v>1</v>
      </c>
      <c r="M219" s="14" cm="1">
        <f t="array" ref="M219">INT(SUMPRODUCT(--ISNUMBER(SEARCH(supreme,C219)))&gt;0)</f>
        <v>0</v>
      </c>
      <c r="N219" s="14" cm="1">
        <f t="array" ref="N219">INT(SUMPRODUCT(--ISNUMBER(SEARCH(covid,C219)))&gt;0)</f>
        <v>0</v>
      </c>
      <c r="O219" s="14" cm="1">
        <f t="array" ref="O219">INT(SUMPRODUCT(--ISNUMBER(SEARCH(violent,C219)))&gt;0)</f>
        <v>0</v>
      </c>
      <c r="P219" s="14" cm="1">
        <f t="array" ref="P219">INT(SUMPRODUCT(--ISNUMBER(SEARCH(foreign,C219)))&gt;0)</f>
        <v>0</v>
      </c>
      <c r="Q219" s="14" cm="1">
        <f t="array" ref="Q219">INT(SUMPRODUCT(--ISNUMBER(SEARCH(gun,C219)))&gt;0)</f>
        <v>0</v>
      </c>
      <c r="R219" s="14" cm="1">
        <f t="array" ref="R219">INT(SUMPRODUCT(--ISNUMBER(SEARCH(race,C219)))&gt;0)</f>
        <v>0</v>
      </c>
      <c r="S219" s="14" cm="1">
        <f t="array" ref="S219">INT(SUMPRODUCT(--ISNUMBER(SEARCH(immigration,C219)))&gt;0)</f>
        <v>0</v>
      </c>
      <c r="T219" s="14" cm="1">
        <f t="array" ref="T219">INT(SUMPRODUCT(--ISNUMBER(SEARCH(econineq,C220)))&gt;0)</f>
        <v>0</v>
      </c>
      <c r="U219" s="14" cm="1">
        <f t="array" ref="U219">INT(SUMPRODUCT(--ISNUMBER(SEARCH(climate,C219)))&gt;0)</f>
        <v>1</v>
      </c>
      <c r="V219" s="14" cm="1">
        <f t="array" ref="V219">INT(SUMPRODUCT(--ISNUMBER(SEARCH(abortion,C219)))&gt;0)</f>
        <v>0</v>
      </c>
      <c r="W219" s="14" cm="1">
        <f t="array" ref="W219">INT(SUMPRODUCT(--ISNUMBER(SEARCH(trump,C219)))&gt;0)</f>
        <v>0</v>
      </c>
      <c r="X219" s="14" cm="1">
        <f t="array" ref="X219">INT(SUMPRODUCT(--ISNUMBER(SEARCH(voting,C219)))&gt;0)</f>
        <v>1</v>
      </c>
      <c r="Y219" s="14" cm="1">
        <f t="array" ref="Y219">INT(SUMPRODUCT(--ISNUMBER(SEARCH(democrattrigger,C219)))&gt;0)</f>
        <v>1</v>
      </c>
      <c r="Z219" s="14" cm="1">
        <f t="array" ref="Z219">INT(SUMPRODUCT(--ISNUMBER(SEARCH(bipartisan,C219)))&gt;0)</f>
        <v>0</v>
      </c>
      <c r="AA219" s="14">
        <f t="shared" si="3"/>
        <v>0</v>
      </c>
      <c r="AB219" s="14"/>
      <c r="AC219" s="30" t="s">
        <v>223</v>
      </c>
      <c r="AD219" s="37" t="s">
        <v>223</v>
      </c>
    </row>
    <row r="220" spans="1:30" x14ac:dyDescent="0.25">
      <c r="A220" s="36">
        <v>1683</v>
      </c>
      <c r="B220" s="14" t="s">
        <v>3393</v>
      </c>
      <c r="C220" s="14" t="s">
        <v>3394</v>
      </c>
      <c r="D220" s="17">
        <v>44126</v>
      </c>
      <c r="E220" s="14" t="s">
        <v>30</v>
      </c>
      <c r="F220" s="14">
        <v>308</v>
      </c>
      <c r="G220" s="14">
        <v>74</v>
      </c>
      <c r="H220" s="14">
        <v>8</v>
      </c>
      <c r="I220" s="14">
        <v>4</v>
      </c>
      <c r="J220" s="14" t="s">
        <v>204</v>
      </c>
      <c r="K220" s="14" cm="1">
        <f t="array" ref="K220">INT(SUMPRODUCT(--ISNUMBER(SEARCH(economy,C220)))&gt;0)</f>
        <v>0</v>
      </c>
      <c r="L220" s="14" cm="1">
        <f t="array" ref="L220">INT(SUMPRODUCT(--ISNUMBER(SEARCH(healthcare,C220)))&gt;0)</f>
        <v>1</v>
      </c>
      <c r="M220" s="14" cm="1">
        <f t="array" ref="M220">INT(SUMPRODUCT(--ISNUMBER(SEARCH(supreme,C220)))&gt;0)</f>
        <v>0</v>
      </c>
      <c r="N220" s="14" cm="1">
        <f t="array" ref="N220">INT(SUMPRODUCT(--ISNUMBER(SEARCH(covid,C220)))&gt;0)</f>
        <v>0</v>
      </c>
      <c r="O220" s="14" cm="1">
        <f t="array" ref="O220">INT(SUMPRODUCT(--ISNUMBER(SEARCH(violent,C220)))&gt;0)</f>
        <v>0</v>
      </c>
      <c r="P220" s="14" cm="1">
        <f t="array" ref="P220">INT(SUMPRODUCT(--ISNUMBER(SEARCH(foreign,C220)))&gt;0)</f>
        <v>0</v>
      </c>
      <c r="Q220" s="14" cm="1">
        <f t="array" ref="Q220">INT(SUMPRODUCT(--ISNUMBER(SEARCH(gun,C220)))&gt;0)</f>
        <v>0</v>
      </c>
      <c r="R220" s="14" cm="1">
        <f t="array" ref="R220">INT(SUMPRODUCT(--ISNUMBER(SEARCH(race,C220)))&gt;0)</f>
        <v>0</v>
      </c>
      <c r="S220" s="14" cm="1">
        <f t="array" ref="S220">INT(SUMPRODUCT(--ISNUMBER(SEARCH(immigration,C220)))&gt;0)</f>
        <v>0</v>
      </c>
      <c r="T220" s="14" cm="1">
        <f t="array" ref="T220">INT(SUMPRODUCT(--ISNUMBER(SEARCH(econineq,C221)))&gt;0)</f>
        <v>0</v>
      </c>
      <c r="U220" s="14" cm="1">
        <f t="array" ref="U220">INT(SUMPRODUCT(--ISNUMBER(SEARCH(climate,C220)))&gt;0)</f>
        <v>0</v>
      </c>
      <c r="V220" s="14" cm="1">
        <f t="array" ref="V220">INT(SUMPRODUCT(--ISNUMBER(SEARCH(abortion,C220)))&gt;0)</f>
        <v>0</v>
      </c>
      <c r="W220" s="14" cm="1">
        <f t="array" ref="W220">INT(SUMPRODUCT(--ISNUMBER(SEARCH(trump,C220)))&gt;0)</f>
        <v>0</v>
      </c>
      <c r="X220" s="14" cm="1">
        <f t="array" ref="X220">INT(SUMPRODUCT(--ISNUMBER(SEARCH(voting,C220)))&gt;0)</f>
        <v>0</v>
      </c>
      <c r="Y220" s="14" cm="1">
        <f t="array" ref="Y220">INT(SUMPRODUCT(--ISNUMBER(SEARCH(democrattrigger,C220)))&gt;0)</f>
        <v>1</v>
      </c>
      <c r="Z220" s="14" cm="1">
        <f t="array" ref="Z220">INT(SUMPRODUCT(--ISNUMBER(SEARCH(bipartisan,C220)))&gt;0)</f>
        <v>1</v>
      </c>
      <c r="AA220" s="14">
        <f t="shared" si="3"/>
        <v>0</v>
      </c>
      <c r="AB220" s="14"/>
      <c r="AC220" s="30" t="s">
        <v>223</v>
      </c>
      <c r="AD220" s="37" t="s">
        <v>223</v>
      </c>
    </row>
    <row r="221" spans="1:30" x14ac:dyDescent="0.25">
      <c r="A221" s="36">
        <v>1684</v>
      </c>
      <c r="B221" s="14" t="s">
        <v>3395</v>
      </c>
      <c r="C221" s="14" t="s">
        <v>3396</v>
      </c>
      <c r="D221" s="17">
        <v>44126</v>
      </c>
      <c r="E221" s="14" t="s">
        <v>30</v>
      </c>
      <c r="F221" s="14">
        <v>469</v>
      </c>
      <c r="G221" s="14">
        <v>125</v>
      </c>
      <c r="H221" s="14">
        <v>8</v>
      </c>
      <c r="I221" s="14">
        <v>4</v>
      </c>
      <c r="J221" s="14" t="s">
        <v>204</v>
      </c>
      <c r="K221" s="14" cm="1">
        <f t="array" ref="K221">INT(SUMPRODUCT(--ISNUMBER(SEARCH(economy,C221)))&gt;0)</f>
        <v>0</v>
      </c>
      <c r="L221" s="14" cm="1">
        <f t="array" ref="L221">INT(SUMPRODUCT(--ISNUMBER(SEARCH(healthcare,C221)))&gt;0)</f>
        <v>0</v>
      </c>
      <c r="M221" s="14" cm="1">
        <f t="array" ref="M221">INT(SUMPRODUCT(--ISNUMBER(SEARCH(supreme,C221)))&gt;0)</f>
        <v>0</v>
      </c>
      <c r="N221" s="14" cm="1">
        <f t="array" ref="N221">INT(SUMPRODUCT(--ISNUMBER(SEARCH(covid,C221)))&gt;0)</f>
        <v>0</v>
      </c>
      <c r="O221" s="14" cm="1">
        <f t="array" ref="O221">INT(SUMPRODUCT(--ISNUMBER(SEARCH(violent,C221)))&gt;0)</f>
        <v>0</v>
      </c>
      <c r="P221" s="14" cm="1">
        <f t="array" ref="P221">INT(SUMPRODUCT(--ISNUMBER(SEARCH(foreign,C221)))&gt;0)</f>
        <v>0</v>
      </c>
      <c r="Q221" s="14" cm="1">
        <f t="array" ref="Q221">INT(SUMPRODUCT(--ISNUMBER(SEARCH(gun,C221)))&gt;0)</f>
        <v>0</v>
      </c>
      <c r="R221" s="14" cm="1">
        <f t="array" ref="R221">INT(SUMPRODUCT(--ISNUMBER(SEARCH(race,C221)))&gt;0)</f>
        <v>0</v>
      </c>
      <c r="S221" s="14" cm="1">
        <f t="array" ref="S221">INT(SUMPRODUCT(--ISNUMBER(SEARCH(immigration,C221)))&gt;0)</f>
        <v>0</v>
      </c>
      <c r="T221" s="14" cm="1">
        <f t="array" ref="T221">INT(SUMPRODUCT(--ISNUMBER(SEARCH(econineq,C222)))&gt;0)</f>
        <v>0</v>
      </c>
      <c r="U221" s="14" cm="1">
        <f t="array" ref="U221">INT(SUMPRODUCT(--ISNUMBER(SEARCH(climate,C221)))&gt;0)</f>
        <v>0</v>
      </c>
      <c r="V221" s="14" cm="1">
        <f t="array" ref="V221">INT(SUMPRODUCT(--ISNUMBER(SEARCH(abortion,C221)))&gt;0)</f>
        <v>0</v>
      </c>
      <c r="W221" s="14" cm="1">
        <f t="array" ref="W221">INT(SUMPRODUCT(--ISNUMBER(SEARCH(trump,C221)))&gt;0)</f>
        <v>1</v>
      </c>
      <c r="X221" s="14" cm="1">
        <f t="array" ref="X221">INT(SUMPRODUCT(--ISNUMBER(SEARCH(voting,C221)))&gt;0)</f>
        <v>0</v>
      </c>
      <c r="Y221" s="14" cm="1">
        <f t="array" ref="Y221">INT(SUMPRODUCT(--ISNUMBER(SEARCH(democrattrigger,C221)))&gt;0)</f>
        <v>1</v>
      </c>
      <c r="Z221" s="14" cm="1">
        <f t="array" ref="Z221">INT(SUMPRODUCT(--ISNUMBER(SEARCH(bipartisan,C221)))&gt;0)</f>
        <v>0</v>
      </c>
      <c r="AA221" s="14">
        <f t="shared" si="3"/>
        <v>0</v>
      </c>
      <c r="AB221" s="14"/>
      <c r="AC221" s="30" t="s">
        <v>223</v>
      </c>
      <c r="AD221" s="37" t="s">
        <v>223</v>
      </c>
    </row>
    <row r="222" spans="1:30" x14ac:dyDescent="0.25">
      <c r="A222" s="36">
        <v>1685</v>
      </c>
      <c r="B222" s="14" t="s">
        <v>3397</v>
      </c>
      <c r="C222" s="14" t="s">
        <v>3398</v>
      </c>
      <c r="D222" s="17">
        <v>44126</v>
      </c>
      <c r="E222" s="14" t="s">
        <v>30</v>
      </c>
      <c r="F222" s="14">
        <v>3990</v>
      </c>
      <c r="G222" s="14">
        <v>882</v>
      </c>
      <c r="H222" s="14">
        <v>8</v>
      </c>
      <c r="I222" s="14">
        <v>4</v>
      </c>
      <c r="J222" s="14" t="s">
        <v>204</v>
      </c>
      <c r="K222" s="14" cm="1">
        <f t="array" ref="K222">INT(SUMPRODUCT(--ISNUMBER(SEARCH(economy,C222)))&gt;0)</f>
        <v>0</v>
      </c>
      <c r="L222" s="14" cm="1">
        <f t="array" ref="L222">INT(SUMPRODUCT(--ISNUMBER(SEARCH(healthcare,C222)))&gt;0)</f>
        <v>0</v>
      </c>
      <c r="M222" s="14" cm="1">
        <f t="array" ref="M222">INT(SUMPRODUCT(--ISNUMBER(SEARCH(supreme,C222)))&gt;0)</f>
        <v>0</v>
      </c>
      <c r="N222" s="14" cm="1">
        <f t="array" ref="N222">INT(SUMPRODUCT(--ISNUMBER(SEARCH(covid,C222)))&gt;0)</f>
        <v>0</v>
      </c>
      <c r="O222" s="14" cm="1">
        <f t="array" ref="O222">INT(SUMPRODUCT(--ISNUMBER(SEARCH(violent,C222)))&gt;0)</f>
        <v>0</v>
      </c>
      <c r="P222" s="14" cm="1">
        <f t="array" ref="P222">INT(SUMPRODUCT(--ISNUMBER(SEARCH(foreign,C222)))&gt;0)</f>
        <v>0</v>
      </c>
      <c r="Q222" s="14" cm="1">
        <f t="array" ref="Q222">INT(SUMPRODUCT(--ISNUMBER(SEARCH(gun,C222)))&gt;0)</f>
        <v>0</v>
      </c>
      <c r="R222" s="14" cm="1">
        <f t="array" ref="R222">INT(SUMPRODUCT(--ISNUMBER(SEARCH(race,C222)))&gt;0)</f>
        <v>0</v>
      </c>
      <c r="S222" s="14" cm="1">
        <f t="array" ref="S222">INT(SUMPRODUCT(--ISNUMBER(SEARCH(immigration,C222)))&gt;0)</f>
        <v>0</v>
      </c>
      <c r="T222" s="14" cm="1">
        <f t="array" ref="T222">INT(SUMPRODUCT(--ISNUMBER(SEARCH(econineq,C223)))&gt;0)</f>
        <v>0</v>
      </c>
      <c r="U222" s="14" cm="1">
        <f t="array" ref="U222">INT(SUMPRODUCT(--ISNUMBER(SEARCH(climate,C222)))&gt;0)</f>
        <v>0</v>
      </c>
      <c r="V222" s="14" cm="1">
        <f t="array" ref="V222">INT(SUMPRODUCT(--ISNUMBER(SEARCH(abortion,C222)))&gt;0)</f>
        <v>0</v>
      </c>
      <c r="W222" s="14" cm="1">
        <f t="array" ref="W222">INT(SUMPRODUCT(--ISNUMBER(SEARCH(trump,C222)))&gt;0)</f>
        <v>0</v>
      </c>
      <c r="X222" s="14" cm="1">
        <f t="array" ref="X222">INT(SUMPRODUCT(--ISNUMBER(SEARCH(voting,C222)))&gt;0)</f>
        <v>0</v>
      </c>
      <c r="Y222" s="14" cm="1">
        <f t="array" ref="Y222">INT(SUMPRODUCT(--ISNUMBER(SEARCH(democrattrigger,C222)))&gt;0)</f>
        <v>1</v>
      </c>
      <c r="Z222" s="14" cm="1">
        <f t="array" ref="Z222">INT(SUMPRODUCT(--ISNUMBER(SEARCH(bipartisan,C222)))&gt;0)</f>
        <v>0</v>
      </c>
      <c r="AA222" s="14">
        <f t="shared" si="3"/>
        <v>0</v>
      </c>
      <c r="AB222" s="14"/>
      <c r="AC222" s="30" t="s">
        <v>223</v>
      </c>
      <c r="AD222" s="37" t="s">
        <v>223</v>
      </c>
    </row>
    <row r="223" spans="1:30" x14ac:dyDescent="0.25">
      <c r="A223" s="36">
        <v>1686</v>
      </c>
      <c r="B223" s="14" t="s">
        <v>3399</v>
      </c>
      <c r="C223" s="14" t="s">
        <v>3400</v>
      </c>
      <c r="D223" s="17">
        <v>44126</v>
      </c>
      <c r="E223" s="14" t="s">
        <v>30</v>
      </c>
      <c r="F223" s="14">
        <v>826</v>
      </c>
      <c r="G223" s="14">
        <v>172</v>
      </c>
      <c r="H223" s="14">
        <v>8</v>
      </c>
      <c r="I223" s="14">
        <v>4</v>
      </c>
      <c r="J223" s="14" t="s">
        <v>204</v>
      </c>
      <c r="K223" s="14" cm="1">
        <f t="array" ref="K223">INT(SUMPRODUCT(--ISNUMBER(SEARCH(economy,C223)))&gt;0)</f>
        <v>0</v>
      </c>
      <c r="L223" s="14" cm="1">
        <f t="array" ref="L223">INT(SUMPRODUCT(--ISNUMBER(SEARCH(healthcare,C223)))&gt;0)</f>
        <v>0</v>
      </c>
      <c r="M223" s="14" cm="1">
        <f t="array" ref="M223">INT(SUMPRODUCT(--ISNUMBER(SEARCH(supreme,C223)))&gt;0)</f>
        <v>0</v>
      </c>
      <c r="N223" s="14" cm="1">
        <f t="array" ref="N223">INT(SUMPRODUCT(--ISNUMBER(SEARCH(covid,C223)))&gt;0)</f>
        <v>0</v>
      </c>
      <c r="O223" s="14" cm="1">
        <f t="array" ref="O223">INT(SUMPRODUCT(--ISNUMBER(SEARCH(violent,C223)))&gt;0)</f>
        <v>0</v>
      </c>
      <c r="P223" s="14" cm="1">
        <f t="array" ref="P223">INT(SUMPRODUCT(--ISNUMBER(SEARCH(foreign,C223)))&gt;0)</f>
        <v>0</v>
      </c>
      <c r="Q223" s="14" cm="1">
        <f t="array" ref="Q223">INT(SUMPRODUCT(--ISNUMBER(SEARCH(gun,C223)))&gt;0)</f>
        <v>0</v>
      </c>
      <c r="R223" s="14" cm="1">
        <f t="array" ref="R223">INT(SUMPRODUCT(--ISNUMBER(SEARCH(race,C223)))&gt;0)</f>
        <v>0</v>
      </c>
      <c r="S223" s="14" cm="1">
        <f t="array" ref="S223">INT(SUMPRODUCT(--ISNUMBER(SEARCH(immigration,C223)))&gt;0)</f>
        <v>0</v>
      </c>
      <c r="T223" s="14" cm="1">
        <f t="array" ref="T223">INT(SUMPRODUCT(--ISNUMBER(SEARCH(econineq,C224)))&gt;0)</f>
        <v>0</v>
      </c>
      <c r="U223" s="14" cm="1">
        <f t="array" ref="U223">INT(SUMPRODUCT(--ISNUMBER(SEARCH(climate,C223)))&gt;0)</f>
        <v>0</v>
      </c>
      <c r="V223" s="14" cm="1">
        <f t="array" ref="V223">INT(SUMPRODUCT(--ISNUMBER(SEARCH(abortion,C223)))&gt;0)</f>
        <v>0</v>
      </c>
      <c r="W223" s="14" cm="1">
        <f t="array" ref="W223">INT(SUMPRODUCT(--ISNUMBER(SEARCH(trump,C223)))&gt;0)</f>
        <v>0</v>
      </c>
      <c r="X223" s="14" cm="1">
        <f t="array" ref="X223">INT(SUMPRODUCT(--ISNUMBER(SEARCH(voting,C223)))&gt;0)</f>
        <v>0</v>
      </c>
      <c r="Y223" s="14" cm="1">
        <f t="array" ref="Y223">INT(SUMPRODUCT(--ISNUMBER(SEARCH(democrattrigger,C223)))&gt;0)</f>
        <v>0</v>
      </c>
      <c r="Z223" s="14" cm="1">
        <f t="array" ref="Z223">INT(SUMPRODUCT(--ISNUMBER(SEARCH(bipartisan,C223)))&gt;0)</f>
        <v>0</v>
      </c>
      <c r="AA223" s="14">
        <f t="shared" si="3"/>
        <v>1</v>
      </c>
      <c r="AB223" s="14"/>
      <c r="AC223" s="30" t="s">
        <v>223</v>
      </c>
      <c r="AD223" s="37" t="s">
        <v>223</v>
      </c>
    </row>
    <row r="224" spans="1:30" x14ac:dyDescent="0.25">
      <c r="A224" s="36">
        <v>1687</v>
      </c>
      <c r="B224" s="14" t="s">
        <v>3401</v>
      </c>
      <c r="C224" s="14" t="s">
        <v>3402</v>
      </c>
      <c r="D224" s="17">
        <v>44126</v>
      </c>
      <c r="E224" s="14" t="s">
        <v>30</v>
      </c>
      <c r="F224" s="14">
        <v>737</v>
      </c>
      <c r="G224" s="14">
        <v>213</v>
      </c>
      <c r="H224" s="14">
        <v>8</v>
      </c>
      <c r="I224" s="14">
        <v>4</v>
      </c>
      <c r="J224" s="14" t="s">
        <v>204</v>
      </c>
      <c r="K224" s="14" cm="1">
        <f t="array" ref="K224">INT(SUMPRODUCT(--ISNUMBER(SEARCH(economy,C224)))&gt;0)</f>
        <v>0</v>
      </c>
      <c r="L224" s="14" cm="1">
        <f t="array" ref="L224">INT(SUMPRODUCT(--ISNUMBER(SEARCH(healthcare,C224)))&gt;0)</f>
        <v>0</v>
      </c>
      <c r="M224" s="14" cm="1">
        <f t="array" ref="M224">INT(SUMPRODUCT(--ISNUMBER(SEARCH(supreme,C224)))&gt;0)</f>
        <v>0</v>
      </c>
      <c r="N224" s="14" cm="1">
        <f t="array" ref="N224">INT(SUMPRODUCT(--ISNUMBER(SEARCH(covid,C224)))&gt;0)</f>
        <v>0</v>
      </c>
      <c r="O224" s="14" cm="1">
        <f t="array" ref="O224">INT(SUMPRODUCT(--ISNUMBER(SEARCH(violent,C224)))&gt;0)</f>
        <v>0</v>
      </c>
      <c r="P224" s="14" cm="1">
        <f t="array" ref="P224">INT(SUMPRODUCT(--ISNUMBER(SEARCH(foreign,C224)))&gt;0)</f>
        <v>0</v>
      </c>
      <c r="Q224" s="14" cm="1">
        <f t="array" ref="Q224">INT(SUMPRODUCT(--ISNUMBER(SEARCH(gun,C224)))&gt;0)</f>
        <v>0</v>
      </c>
      <c r="R224" s="14" cm="1">
        <f t="array" ref="R224">INT(SUMPRODUCT(--ISNUMBER(SEARCH(race,C224)))&gt;0)</f>
        <v>0</v>
      </c>
      <c r="S224" s="14" cm="1">
        <f t="array" ref="S224">INT(SUMPRODUCT(--ISNUMBER(SEARCH(immigration,C224)))&gt;0)</f>
        <v>0</v>
      </c>
      <c r="T224" s="14" cm="1">
        <f t="array" ref="T224">INT(SUMPRODUCT(--ISNUMBER(SEARCH(econineq,C225)))&gt;0)</f>
        <v>0</v>
      </c>
      <c r="U224" s="14" cm="1">
        <f t="array" ref="U224">INT(SUMPRODUCT(--ISNUMBER(SEARCH(climate,C224)))&gt;0)</f>
        <v>0</v>
      </c>
      <c r="V224" s="14" cm="1">
        <f t="array" ref="V224">INT(SUMPRODUCT(--ISNUMBER(SEARCH(abortion,C224)))&gt;0)</f>
        <v>0</v>
      </c>
      <c r="W224" s="14" cm="1">
        <f t="array" ref="W224">INT(SUMPRODUCT(--ISNUMBER(SEARCH(trump,C224)))&gt;0)</f>
        <v>0</v>
      </c>
      <c r="X224" s="14" cm="1">
        <f t="array" ref="X224">INT(SUMPRODUCT(--ISNUMBER(SEARCH(voting,C224)))&gt;0)</f>
        <v>1</v>
      </c>
      <c r="Y224" s="14" cm="1">
        <f t="array" ref="Y224">INT(SUMPRODUCT(--ISNUMBER(SEARCH(democrattrigger,C224)))&gt;0)</f>
        <v>0</v>
      </c>
      <c r="Z224" s="14" cm="1">
        <f t="array" ref="Z224">INT(SUMPRODUCT(--ISNUMBER(SEARCH(bipartisan,C224)))&gt;0)</f>
        <v>0</v>
      </c>
      <c r="AA224" s="14">
        <f t="shared" si="3"/>
        <v>0</v>
      </c>
      <c r="AB224" s="14"/>
      <c r="AC224" s="30">
        <v>0</v>
      </c>
      <c r="AD224" s="37">
        <v>1</v>
      </c>
    </row>
    <row r="225" spans="1:30" x14ac:dyDescent="0.25">
      <c r="A225" s="36">
        <v>1688</v>
      </c>
      <c r="B225" s="14" t="s">
        <v>3403</v>
      </c>
      <c r="C225" s="14" t="s">
        <v>3404</v>
      </c>
      <c r="D225" s="17">
        <v>44126</v>
      </c>
      <c r="E225" s="14" t="s">
        <v>30</v>
      </c>
      <c r="F225" s="14">
        <v>970</v>
      </c>
      <c r="G225" s="14">
        <v>221</v>
      </c>
      <c r="H225" s="14">
        <v>8</v>
      </c>
      <c r="I225" s="14">
        <v>4</v>
      </c>
      <c r="J225" s="14" t="s">
        <v>204</v>
      </c>
      <c r="K225" s="14" cm="1">
        <f t="array" ref="K225">INT(SUMPRODUCT(--ISNUMBER(SEARCH(economy,C225)))&gt;0)</f>
        <v>0</v>
      </c>
      <c r="L225" s="14" cm="1">
        <f t="array" ref="L225">INT(SUMPRODUCT(--ISNUMBER(SEARCH(healthcare,C225)))&gt;0)</f>
        <v>1</v>
      </c>
      <c r="M225" s="14" cm="1">
        <f t="array" ref="M225">INT(SUMPRODUCT(--ISNUMBER(SEARCH(supreme,C225)))&gt;0)</f>
        <v>1</v>
      </c>
      <c r="N225" s="14" cm="1">
        <f t="array" ref="N225">INT(SUMPRODUCT(--ISNUMBER(SEARCH(covid,C225)))&gt;0)</f>
        <v>0</v>
      </c>
      <c r="O225" s="14" cm="1">
        <f t="array" ref="O225">INT(SUMPRODUCT(--ISNUMBER(SEARCH(violent,C225)))&gt;0)</f>
        <v>0</v>
      </c>
      <c r="P225" s="14" cm="1">
        <f t="array" ref="P225">INT(SUMPRODUCT(--ISNUMBER(SEARCH(foreign,C225)))&gt;0)</f>
        <v>0</v>
      </c>
      <c r="Q225" s="14" cm="1">
        <f t="array" ref="Q225">INT(SUMPRODUCT(--ISNUMBER(SEARCH(gun,C225)))&gt;0)</f>
        <v>0</v>
      </c>
      <c r="R225" s="14" cm="1">
        <f t="array" ref="R225">INT(SUMPRODUCT(--ISNUMBER(SEARCH(race,C225)))&gt;0)</f>
        <v>0</v>
      </c>
      <c r="S225" s="14" cm="1">
        <f t="array" ref="S225">INT(SUMPRODUCT(--ISNUMBER(SEARCH(immigration,C225)))&gt;0)</f>
        <v>0</v>
      </c>
      <c r="T225" s="14" cm="1">
        <f t="array" ref="T225">INT(SUMPRODUCT(--ISNUMBER(SEARCH(econineq,C226)))&gt;0)</f>
        <v>0</v>
      </c>
      <c r="U225" s="14" cm="1">
        <f t="array" ref="U225">INT(SUMPRODUCT(--ISNUMBER(SEARCH(climate,C225)))&gt;0)</f>
        <v>0</v>
      </c>
      <c r="V225" s="14" cm="1">
        <f t="array" ref="V225">INT(SUMPRODUCT(--ISNUMBER(SEARCH(abortion,C225)))&gt;0)</f>
        <v>1</v>
      </c>
      <c r="W225" s="14" cm="1">
        <f t="array" ref="W225">INT(SUMPRODUCT(--ISNUMBER(SEARCH(trump,C225)))&gt;0)</f>
        <v>0</v>
      </c>
      <c r="X225" s="14" cm="1">
        <f t="array" ref="X225">INT(SUMPRODUCT(--ISNUMBER(SEARCH(voting,C225)))&gt;0)</f>
        <v>0</v>
      </c>
      <c r="Y225" s="14" cm="1">
        <f t="array" ref="Y225">INT(SUMPRODUCT(--ISNUMBER(SEARCH(democrattrigger,C225)))&gt;0)</f>
        <v>1</v>
      </c>
      <c r="Z225" s="14" cm="1">
        <f t="array" ref="Z225">INT(SUMPRODUCT(--ISNUMBER(SEARCH(bipartisan,C225)))&gt;0)</f>
        <v>0</v>
      </c>
      <c r="AA225" s="14">
        <f t="shared" si="3"/>
        <v>0</v>
      </c>
      <c r="AB225" s="14"/>
      <c r="AC225" s="30" t="s">
        <v>223</v>
      </c>
      <c r="AD225" s="37" t="s">
        <v>223</v>
      </c>
    </row>
    <row r="226" spans="1:30" x14ac:dyDescent="0.25">
      <c r="A226" s="36">
        <v>1689</v>
      </c>
      <c r="B226" s="14" t="s">
        <v>3405</v>
      </c>
      <c r="C226" s="14" t="s">
        <v>3406</v>
      </c>
      <c r="D226" s="17">
        <v>44126</v>
      </c>
      <c r="E226" s="14" t="s">
        <v>30</v>
      </c>
      <c r="F226" s="14">
        <v>294</v>
      </c>
      <c r="G226" s="14">
        <v>43</v>
      </c>
      <c r="H226" s="14">
        <v>8</v>
      </c>
      <c r="I226" s="14">
        <v>4</v>
      </c>
      <c r="J226" s="14" t="s">
        <v>204</v>
      </c>
      <c r="K226" s="14" cm="1">
        <f t="array" ref="K226">INT(SUMPRODUCT(--ISNUMBER(SEARCH(economy,C226)))&gt;0)</f>
        <v>0</v>
      </c>
      <c r="L226" s="14" cm="1">
        <f t="array" ref="L226">INT(SUMPRODUCT(--ISNUMBER(SEARCH(healthcare,C226)))&gt;0)</f>
        <v>0</v>
      </c>
      <c r="M226" s="14" cm="1">
        <f t="array" ref="M226">INT(SUMPRODUCT(--ISNUMBER(SEARCH(supreme,C226)))&gt;0)</f>
        <v>0</v>
      </c>
      <c r="N226" s="14" cm="1">
        <f t="array" ref="N226">INT(SUMPRODUCT(--ISNUMBER(SEARCH(covid,C226)))&gt;0)</f>
        <v>0</v>
      </c>
      <c r="O226" s="14" cm="1">
        <f t="array" ref="O226">INT(SUMPRODUCT(--ISNUMBER(SEARCH(violent,C226)))&gt;0)</f>
        <v>0</v>
      </c>
      <c r="P226" s="14" cm="1">
        <f t="array" ref="P226">INT(SUMPRODUCT(--ISNUMBER(SEARCH(foreign,C226)))&gt;0)</f>
        <v>0</v>
      </c>
      <c r="Q226" s="14" cm="1">
        <f t="array" ref="Q226">INT(SUMPRODUCT(--ISNUMBER(SEARCH(gun,C226)))&gt;0)</f>
        <v>0</v>
      </c>
      <c r="R226" s="14" cm="1">
        <f t="array" ref="R226">INT(SUMPRODUCT(--ISNUMBER(SEARCH(race,C226)))&gt;0)</f>
        <v>0</v>
      </c>
      <c r="S226" s="14" cm="1">
        <f t="array" ref="S226">INT(SUMPRODUCT(--ISNUMBER(SEARCH(immigration,C226)))&gt;0)</f>
        <v>0</v>
      </c>
      <c r="T226" s="14" cm="1">
        <f t="array" ref="T226">INT(SUMPRODUCT(--ISNUMBER(SEARCH(econineq,C227)))&gt;0)</f>
        <v>0</v>
      </c>
      <c r="U226" s="14" cm="1">
        <f t="array" ref="U226">INT(SUMPRODUCT(--ISNUMBER(SEARCH(climate,C226)))&gt;0)</f>
        <v>0</v>
      </c>
      <c r="V226" s="14" cm="1">
        <f t="array" ref="V226">INT(SUMPRODUCT(--ISNUMBER(SEARCH(abortion,C226)))&gt;0)</f>
        <v>0</v>
      </c>
      <c r="W226" s="14" cm="1">
        <f t="array" ref="W226">INT(SUMPRODUCT(--ISNUMBER(SEARCH(trump,C226)))&gt;0)</f>
        <v>0</v>
      </c>
      <c r="X226" s="14" cm="1">
        <f t="array" ref="X226">INT(SUMPRODUCT(--ISNUMBER(SEARCH(voting,C226)))&gt;0)</f>
        <v>0</v>
      </c>
      <c r="Y226" s="14" cm="1">
        <f t="array" ref="Y226">INT(SUMPRODUCT(--ISNUMBER(SEARCH(democrattrigger,C226)))&gt;0)</f>
        <v>0</v>
      </c>
      <c r="Z226" s="14" cm="1">
        <f t="array" ref="Z226">INT(SUMPRODUCT(--ISNUMBER(SEARCH(bipartisan,C226)))&gt;0)</f>
        <v>0</v>
      </c>
      <c r="AA226" s="14">
        <f t="shared" si="3"/>
        <v>1</v>
      </c>
      <c r="AB226" s="14"/>
      <c r="AC226" s="30" t="s">
        <v>223</v>
      </c>
      <c r="AD226" s="37" t="s">
        <v>223</v>
      </c>
    </row>
    <row r="227" spans="1:30" x14ac:dyDescent="0.25">
      <c r="A227" s="36">
        <v>1690</v>
      </c>
      <c r="B227" s="14" t="s">
        <v>3407</v>
      </c>
      <c r="C227" s="14" t="s">
        <v>3408</v>
      </c>
      <c r="D227" s="17">
        <v>44126</v>
      </c>
      <c r="E227" s="14" t="s">
        <v>30</v>
      </c>
      <c r="F227" s="14">
        <v>1124</v>
      </c>
      <c r="G227" s="14">
        <v>226</v>
      </c>
      <c r="H227" s="14">
        <v>8</v>
      </c>
      <c r="I227" s="14">
        <v>4</v>
      </c>
      <c r="J227" s="14" t="s">
        <v>204</v>
      </c>
      <c r="K227" s="14" cm="1">
        <f t="array" ref="K227">INT(SUMPRODUCT(--ISNUMBER(SEARCH(economy,C227)))&gt;0)</f>
        <v>0</v>
      </c>
      <c r="L227" s="14" cm="1">
        <f t="array" ref="L227">INT(SUMPRODUCT(--ISNUMBER(SEARCH(healthcare,C227)))&gt;0)</f>
        <v>0</v>
      </c>
      <c r="M227" s="14" cm="1">
        <f t="array" ref="M227">INT(SUMPRODUCT(--ISNUMBER(SEARCH(supreme,C227)))&gt;0)</f>
        <v>0</v>
      </c>
      <c r="N227" s="14" cm="1">
        <f t="array" ref="N227">INT(SUMPRODUCT(--ISNUMBER(SEARCH(covid,C227)))&gt;0)</f>
        <v>0</v>
      </c>
      <c r="O227" s="14" cm="1">
        <f t="array" ref="O227">INT(SUMPRODUCT(--ISNUMBER(SEARCH(violent,C227)))&gt;0)</f>
        <v>0</v>
      </c>
      <c r="P227" s="14" cm="1">
        <f t="array" ref="P227">INT(SUMPRODUCT(--ISNUMBER(SEARCH(foreign,C227)))&gt;0)</f>
        <v>0</v>
      </c>
      <c r="Q227" s="14" cm="1">
        <f t="array" ref="Q227">INT(SUMPRODUCT(--ISNUMBER(SEARCH(gun,C227)))&gt;0)</f>
        <v>0</v>
      </c>
      <c r="R227" s="14" cm="1">
        <f t="array" ref="R227">INT(SUMPRODUCT(--ISNUMBER(SEARCH(race,C227)))&gt;0)</f>
        <v>0</v>
      </c>
      <c r="S227" s="14" cm="1">
        <f t="array" ref="S227">INT(SUMPRODUCT(--ISNUMBER(SEARCH(immigration,C227)))&gt;0)</f>
        <v>0</v>
      </c>
      <c r="T227" s="14" cm="1">
        <f t="array" ref="T227">INT(SUMPRODUCT(--ISNUMBER(SEARCH(econineq,C228)))&gt;0)</f>
        <v>0</v>
      </c>
      <c r="U227" s="14" cm="1">
        <f t="array" ref="U227">INT(SUMPRODUCT(--ISNUMBER(SEARCH(climate,C227)))&gt;0)</f>
        <v>0</v>
      </c>
      <c r="V227" s="14" cm="1">
        <f t="array" ref="V227">INT(SUMPRODUCT(--ISNUMBER(SEARCH(abortion,C227)))&gt;0)</f>
        <v>0</v>
      </c>
      <c r="W227" s="14" cm="1">
        <f t="array" ref="W227">INT(SUMPRODUCT(--ISNUMBER(SEARCH(trump,C227)))&gt;0)</f>
        <v>0</v>
      </c>
      <c r="X227" s="14" cm="1">
        <f t="array" ref="X227">INT(SUMPRODUCT(--ISNUMBER(SEARCH(voting,C227)))&gt;0)</f>
        <v>0</v>
      </c>
      <c r="Y227" s="14" cm="1">
        <f t="array" ref="Y227">INT(SUMPRODUCT(--ISNUMBER(SEARCH(democrattrigger,C227)))&gt;0)</f>
        <v>1</v>
      </c>
      <c r="Z227" s="14" cm="1">
        <f t="array" ref="Z227">INT(SUMPRODUCT(--ISNUMBER(SEARCH(bipartisan,C227)))&gt;0)</f>
        <v>0</v>
      </c>
      <c r="AA227" s="14">
        <f t="shared" si="3"/>
        <v>0</v>
      </c>
      <c r="AB227" s="14"/>
      <c r="AC227" s="30">
        <v>0</v>
      </c>
      <c r="AD227" s="37">
        <v>1</v>
      </c>
    </row>
    <row r="228" spans="1:30" x14ac:dyDescent="0.25">
      <c r="A228" s="36">
        <v>1691</v>
      </c>
      <c r="B228" s="14" t="s">
        <v>3409</v>
      </c>
      <c r="C228" s="14" t="s">
        <v>3410</v>
      </c>
      <c r="D228" s="17">
        <v>44126</v>
      </c>
      <c r="E228" s="14" t="s">
        <v>30</v>
      </c>
      <c r="F228" s="14">
        <v>181</v>
      </c>
      <c r="G228" s="14">
        <v>55</v>
      </c>
      <c r="H228" s="14">
        <v>8</v>
      </c>
      <c r="I228" s="14">
        <v>4</v>
      </c>
      <c r="J228" s="14" t="s">
        <v>204</v>
      </c>
      <c r="K228" s="14" cm="1">
        <f t="array" ref="K228">INT(SUMPRODUCT(--ISNUMBER(SEARCH(economy,C228)))&gt;0)</f>
        <v>0</v>
      </c>
      <c r="L228" s="14" cm="1">
        <f t="array" ref="L228">INT(SUMPRODUCT(--ISNUMBER(SEARCH(healthcare,C228)))&gt;0)</f>
        <v>0</v>
      </c>
      <c r="M228" s="14" cm="1">
        <f t="array" ref="M228">INT(SUMPRODUCT(--ISNUMBER(SEARCH(supreme,C228)))&gt;0)</f>
        <v>0</v>
      </c>
      <c r="N228" s="14" cm="1">
        <f t="array" ref="N228">INT(SUMPRODUCT(--ISNUMBER(SEARCH(covid,C228)))&gt;0)</f>
        <v>0</v>
      </c>
      <c r="O228" s="14" cm="1">
        <f t="array" ref="O228">INT(SUMPRODUCT(--ISNUMBER(SEARCH(violent,C228)))&gt;0)</f>
        <v>0</v>
      </c>
      <c r="P228" s="14" cm="1">
        <f t="array" ref="P228">INT(SUMPRODUCT(--ISNUMBER(SEARCH(foreign,C228)))&gt;0)</f>
        <v>0</v>
      </c>
      <c r="Q228" s="14" cm="1">
        <f t="array" ref="Q228">INT(SUMPRODUCT(--ISNUMBER(SEARCH(gun,C228)))&gt;0)</f>
        <v>0</v>
      </c>
      <c r="R228" s="14" cm="1">
        <f t="array" ref="R228">INT(SUMPRODUCT(--ISNUMBER(SEARCH(race,C228)))&gt;0)</f>
        <v>0</v>
      </c>
      <c r="S228" s="14" cm="1">
        <f t="array" ref="S228">INT(SUMPRODUCT(--ISNUMBER(SEARCH(immigration,C228)))&gt;0)</f>
        <v>0</v>
      </c>
      <c r="T228" s="14" cm="1">
        <f t="array" ref="T228">INT(SUMPRODUCT(--ISNUMBER(SEARCH(econineq,C229)))&gt;0)</f>
        <v>0</v>
      </c>
      <c r="U228" s="14" cm="1">
        <f t="array" ref="U228">INT(SUMPRODUCT(--ISNUMBER(SEARCH(climate,C228)))&gt;0)</f>
        <v>0</v>
      </c>
      <c r="V228" s="14" cm="1">
        <f t="array" ref="V228">INT(SUMPRODUCT(--ISNUMBER(SEARCH(abortion,C228)))&gt;0)</f>
        <v>0</v>
      </c>
      <c r="W228" s="14" cm="1">
        <f t="array" ref="W228">INT(SUMPRODUCT(--ISNUMBER(SEARCH(trump,C228)))&gt;0)</f>
        <v>0</v>
      </c>
      <c r="X228" s="14" cm="1">
        <f t="array" ref="X228">INT(SUMPRODUCT(--ISNUMBER(SEARCH(voting,C228)))&gt;0)</f>
        <v>1</v>
      </c>
      <c r="Y228" s="14" cm="1">
        <f t="array" ref="Y228">INT(SUMPRODUCT(--ISNUMBER(SEARCH(democrattrigger,C228)))&gt;0)</f>
        <v>0</v>
      </c>
      <c r="Z228" s="14" cm="1">
        <f t="array" ref="Z228">INT(SUMPRODUCT(--ISNUMBER(SEARCH(bipartisan,C228)))&gt;0)</f>
        <v>0</v>
      </c>
      <c r="AA228" s="14">
        <f t="shared" si="3"/>
        <v>0</v>
      </c>
      <c r="AB228" s="14"/>
      <c r="AC228" s="30">
        <v>1</v>
      </c>
      <c r="AD228" s="37">
        <v>0</v>
      </c>
    </row>
    <row r="229" spans="1:30" x14ac:dyDescent="0.25">
      <c r="A229" s="36">
        <v>1692</v>
      </c>
      <c r="B229" s="14" t="s">
        <v>3411</v>
      </c>
      <c r="C229" s="14" t="s">
        <v>3412</v>
      </c>
      <c r="D229" s="17">
        <v>44126</v>
      </c>
      <c r="E229" s="14" t="s">
        <v>30</v>
      </c>
      <c r="F229" s="14">
        <v>606</v>
      </c>
      <c r="G229" s="14">
        <v>182</v>
      </c>
      <c r="H229" s="14">
        <v>8</v>
      </c>
      <c r="I229" s="14">
        <v>4</v>
      </c>
      <c r="J229" s="14" t="s">
        <v>204</v>
      </c>
      <c r="K229" s="14" cm="1">
        <f t="array" ref="K229">INT(SUMPRODUCT(--ISNUMBER(SEARCH(economy,C229)))&gt;0)</f>
        <v>0</v>
      </c>
      <c r="L229" s="14" cm="1">
        <f t="array" ref="L229">INT(SUMPRODUCT(--ISNUMBER(SEARCH(healthcare,C229)))&gt;0)</f>
        <v>1</v>
      </c>
      <c r="M229" s="14" cm="1">
        <f t="array" ref="M229">INT(SUMPRODUCT(--ISNUMBER(SEARCH(supreme,C229)))&gt;0)</f>
        <v>0</v>
      </c>
      <c r="N229" s="14" cm="1">
        <f t="array" ref="N229">INT(SUMPRODUCT(--ISNUMBER(SEARCH(covid,C229)))&gt;0)</f>
        <v>0</v>
      </c>
      <c r="O229" s="14" cm="1">
        <f t="array" ref="O229">INT(SUMPRODUCT(--ISNUMBER(SEARCH(violent,C229)))&gt;0)</f>
        <v>0</v>
      </c>
      <c r="P229" s="14" cm="1">
        <f t="array" ref="P229">INT(SUMPRODUCT(--ISNUMBER(SEARCH(foreign,C229)))&gt;0)</f>
        <v>0</v>
      </c>
      <c r="Q229" s="14" cm="1">
        <f t="array" ref="Q229">INT(SUMPRODUCT(--ISNUMBER(SEARCH(gun,C229)))&gt;0)</f>
        <v>0</v>
      </c>
      <c r="R229" s="14" cm="1">
        <f t="array" ref="R229">INT(SUMPRODUCT(--ISNUMBER(SEARCH(race,C229)))&gt;0)</f>
        <v>0</v>
      </c>
      <c r="S229" s="14" cm="1">
        <f t="array" ref="S229">INT(SUMPRODUCT(--ISNUMBER(SEARCH(immigration,C229)))&gt;0)</f>
        <v>0</v>
      </c>
      <c r="T229" s="14" cm="1">
        <f t="array" ref="T229">INT(SUMPRODUCT(--ISNUMBER(SEARCH(econineq,C230)))&gt;0)</f>
        <v>0</v>
      </c>
      <c r="U229" s="14" cm="1">
        <f t="array" ref="U229">INT(SUMPRODUCT(--ISNUMBER(SEARCH(climate,C229)))&gt;0)</f>
        <v>0</v>
      </c>
      <c r="V229" s="14" cm="1">
        <f t="array" ref="V229">INT(SUMPRODUCT(--ISNUMBER(SEARCH(abortion,C229)))&gt;0)</f>
        <v>0</v>
      </c>
      <c r="W229" s="14" cm="1">
        <f t="array" ref="W229">INT(SUMPRODUCT(--ISNUMBER(SEARCH(trump,C229)))&gt;0)</f>
        <v>0</v>
      </c>
      <c r="X229" s="14" cm="1">
        <f t="array" ref="X229">INT(SUMPRODUCT(--ISNUMBER(SEARCH(voting,C229)))&gt;0)</f>
        <v>1</v>
      </c>
      <c r="Y229" s="14" cm="1">
        <f t="array" ref="Y229">INT(SUMPRODUCT(--ISNUMBER(SEARCH(democrattrigger,C229)))&gt;0)</f>
        <v>0</v>
      </c>
      <c r="Z229" s="14" cm="1">
        <f t="array" ref="Z229">INT(SUMPRODUCT(--ISNUMBER(SEARCH(bipartisan,C229)))&gt;0)</f>
        <v>0</v>
      </c>
      <c r="AA229" s="14">
        <f t="shared" si="3"/>
        <v>0</v>
      </c>
      <c r="AB229" s="14"/>
      <c r="AC229" s="30" t="s">
        <v>223</v>
      </c>
      <c r="AD229" s="37" t="s">
        <v>223</v>
      </c>
    </row>
    <row r="230" spans="1:30" x14ac:dyDescent="0.25">
      <c r="A230" s="36">
        <v>1693</v>
      </c>
      <c r="B230" s="14" t="s">
        <v>3413</v>
      </c>
      <c r="C230" s="14" t="s">
        <v>3414</v>
      </c>
      <c r="D230" s="17">
        <v>44126</v>
      </c>
      <c r="E230" s="14" t="s">
        <v>30</v>
      </c>
      <c r="F230" s="14">
        <v>448</v>
      </c>
      <c r="G230" s="14">
        <v>105</v>
      </c>
      <c r="H230" s="14">
        <v>8</v>
      </c>
      <c r="I230" s="14">
        <v>4</v>
      </c>
      <c r="J230" s="14" t="s">
        <v>204</v>
      </c>
      <c r="K230" s="14" cm="1">
        <f t="array" ref="K230">INT(SUMPRODUCT(--ISNUMBER(SEARCH(economy,C230)))&gt;0)</f>
        <v>1</v>
      </c>
      <c r="L230" s="14" cm="1">
        <f t="array" ref="L230">INT(SUMPRODUCT(--ISNUMBER(SEARCH(healthcare,C230)))&gt;0)</f>
        <v>1</v>
      </c>
      <c r="M230" s="14" cm="1">
        <f t="array" ref="M230">INT(SUMPRODUCT(--ISNUMBER(SEARCH(supreme,C230)))&gt;0)</f>
        <v>0</v>
      </c>
      <c r="N230" s="14" cm="1">
        <f t="array" ref="N230">INT(SUMPRODUCT(--ISNUMBER(SEARCH(covid,C230)))&gt;0)</f>
        <v>1</v>
      </c>
      <c r="O230" s="14" cm="1">
        <f t="array" ref="O230">INT(SUMPRODUCT(--ISNUMBER(SEARCH(violent,C230)))&gt;0)</f>
        <v>0</v>
      </c>
      <c r="P230" s="14" cm="1">
        <f t="array" ref="P230">INT(SUMPRODUCT(--ISNUMBER(SEARCH(foreign,C230)))&gt;0)</f>
        <v>0</v>
      </c>
      <c r="Q230" s="14" cm="1">
        <f t="array" ref="Q230">INT(SUMPRODUCT(--ISNUMBER(SEARCH(gun,C230)))&gt;0)</f>
        <v>0</v>
      </c>
      <c r="R230" s="14" cm="1">
        <f t="array" ref="R230">INT(SUMPRODUCT(--ISNUMBER(SEARCH(race,C230)))&gt;0)</f>
        <v>0</v>
      </c>
      <c r="S230" s="14" cm="1">
        <f t="array" ref="S230">INT(SUMPRODUCT(--ISNUMBER(SEARCH(immigration,C230)))&gt;0)</f>
        <v>0</v>
      </c>
      <c r="T230" s="14" cm="1">
        <f t="array" ref="T230">INT(SUMPRODUCT(--ISNUMBER(SEARCH(econineq,C231)))&gt;0)</f>
        <v>0</v>
      </c>
      <c r="U230" s="14" cm="1">
        <f t="array" ref="U230">INT(SUMPRODUCT(--ISNUMBER(SEARCH(climate,C230)))&gt;0)</f>
        <v>0</v>
      </c>
      <c r="V230" s="14" cm="1">
        <f t="array" ref="V230">INT(SUMPRODUCT(--ISNUMBER(SEARCH(abortion,C230)))&gt;0)</f>
        <v>0</v>
      </c>
      <c r="W230" s="14" cm="1">
        <f t="array" ref="W230">INT(SUMPRODUCT(--ISNUMBER(SEARCH(trump,C230)))&gt;0)</f>
        <v>0</v>
      </c>
      <c r="X230" s="14" cm="1">
        <f t="array" ref="X230">INT(SUMPRODUCT(--ISNUMBER(SEARCH(voting,C230)))&gt;0)</f>
        <v>0</v>
      </c>
      <c r="Y230" s="14" cm="1">
        <f t="array" ref="Y230">INT(SUMPRODUCT(--ISNUMBER(SEARCH(democrattrigger,C230)))&gt;0)</f>
        <v>0</v>
      </c>
      <c r="Z230" s="14" cm="1">
        <f t="array" ref="Z230">INT(SUMPRODUCT(--ISNUMBER(SEARCH(bipartisan,C230)))&gt;0)</f>
        <v>0</v>
      </c>
      <c r="AA230" s="14">
        <f t="shared" si="3"/>
        <v>0</v>
      </c>
      <c r="AB230" s="14"/>
      <c r="AC230" s="30" t="s">
        <v>223</v>
      </c>
      <c r="AD230" s="37" t="s">
        <v>223</v>
      </c>
    </row>
    <row r="231" spans="1:30" x14ac:dyDescent="0.25">
      <c r="A231" s="36">
        <v>1694</v>
      </c>
      <c r="B231" s="14" t="s">
        <v>3415</v>
      </c>
      <c r="C231" s="14" t="s">
        <v>3416</v>
      </c>
      <c r="D231" s="17">
        <v>44125</v>
      </c>
      <c r="E231" s="14" t="s">
        <v>30</v>
      </c>
      <c r="F231" s="14">
        <v>805</v>
      </c>
      <c r="G231" s="14">
        <v>162</v>
      </c>
      <c r="H231" s="14">
        <v>8</v>
      </c>
      <c r="I231" s="14">
        <v>4</v>
      </c>
      <c r="J231" s="14" t="s">
        <v>204</v>
      </c>
      <c r="K231" s="14" cm="1">
        <f t="array" ref="K231">INT(SUMPRODUCT(--ISNUMBER(SEARCH(economy,C231)))&gt;0)</f>
        <v>0</v>
      </c>
      <c r="L231" s="14" cm="1">
        <f t="array" ref="L231">INT(SUMPRODUCT(--ISNUMBER(SEARCH(healthcare,C231)))&gt;0)</f>
        <v>0</v>
      </c>
      <c r="M231" s="14" cm="1">
        <f t="array" ref="M231">INT(SUMPRODUCT(--ISNUMBER(SEARCH(supreme,C231)))&gt;0)</f>
        <v>0</v>
      </c>
      <c r="N231" s="14" cm="1">
        <f t="array" ref="N231">INT(SUMPRODUCT(--ISNUMBER(SEARCH(covid,C231)))&gt;0)</f>
        <v>1</v>
      </c>
      <c r="O231" s="14" cm="1">
        <f t="array" ref="O231">INT(SUMPRODUCT(--ISNUMBER(SEARCH(violent,C231)))&gt;0)</f>
        <v>0</v>
      </c>
      <c r="P231" s="14" cm="1">
        <f t="array" ref="P231">INT(SUMPRODUCT(--ISNUMBER(SEARCH(foreign,C231)))&gt;0)</f>
        <v>0</v>
      </c>
      <c r="Q231" s="14" cm="1">
        <f t="array" ref="Q231">INT(SUMPRODUCT(--ISNUMBER(SEARCH(gun,C231)))&gt;0)</f>
        <v>0</v>
      </c>
      <c r="R231" s="14" cm="1">
        <f t="array" ref="R231">INT(SUMPRODUCT(--ISNUMBER(SEARCH(race,C231)))&gt;0)</f>
        <v>0</v>
      </c>
      <c r="S231" s="14" cm="1">
        <f t="array" ref="S231">INT(SUMPRODUCT(--ISNUMBER(SEARCH(immigration,C231)))&gt;0)</f>
        <v>0</v>
      </c>
      <c r="T231" s="14" cm="1">
        <f t="array" ref="T231">INT(SUMPRODUCT(--ISNUMBER(SEARCH(econineq,C232)))&gt;0)</f>
        <v>0</v>
      </c>
      <c r="U231" s="14" cm="1">
        <f t="array" ref="U231">INT(SUMPRODUCT(--ISNUMBER(SEARCH(climate,C231)))&gt;0)</f>
        <v>0</v>
      </c>
      <c r="V231" s="14" cm="1">
        <f t="array" ref="V231">INT(SUMPRODUCT(--ISNUMBER(SEARCH(abortion,C231)))&gt;0)</f>
        <v>0</v>
      </c>
      <c r="W231" s="14" cm="1">
        <f t="array" ref="W231">INT(SUMPRODUCT(--ISNUMBER(SEARCH(trump,C231)))&gt;0)</f>
        <v>0</v>
      </c>
      <c r="X231" s="14" cm="1">
        <f t="array" ref="X231">INT(SUMPRODUCT(--ISNUMBER(SEARCH(voting,C231)))&gt;0)</f>
        <v>0</v>
      </c>
      <c r="Y231" s="14" cm="1">
        <f t="array" ref="Y231">INT(SUMPRODUCT(--ISNUMBER(SEARCH(democrattrigger,C231)))&gt;0)</f>
        <v>0</v>
      </c>
      <c r="Z231" s="14" cm="1">
        <f t="array" ref="Z231">INT(SUMPRODUCT(--ISNUMBER(SEARCH(bipartisan,C231)))&gt;0)</f>
        <v>0</v>
      </c>
      <c r="AA231" s="14">
        <f t="shared" si="3"/>
        <v>0</v>
      </c>
      <c r="AB231" s="14"/>
      <c r="AC231" s="30">
        <v>1</v>
      </c>
      <c r="AD231" s="37">
        <v>0</v>
      </c>
    </row>
    <row r="232" spans="1:30" x14ac:dyDescent="0.25">
      <c r="A232" s="36">
        <v>1695</v>
      </c>
      <c r="B232" s="14" t="s">
        <v>3417</v>
      </c>
      <c r="C232" s="14" t="s">
        <v>3418</v>
      </c>
      <c r="D232" s="17">
        <v>44125</v>
      </c>
      <c r="E232" s="14" t="s">
        <v>30</v>
      </c>
      <c r="F232" s="14">
        <v>376</v>
      </c>
      <c r="G232" s="14">
        <v>116</v>
      </c>
      <c r="H232" s="14">
        <v>8</v>
      </c>
      <c r="I232" s="14">
        <v>4</v>
      </c>
      <c r="J232" s="14" t="s">
        <v>204</v>
      </c>
      <c r="K232" s="14" cm="1">
        <f t="array" ref="K232">INT(SUMPRODUCT(--ISNUMBER(SEARCH(economy,C232)))&gt;0)</f>
        <v>0</v>
      </c>
      <c r="L232" s="14" cm="1">
        <f t="array" ref="L232">INT(SUMPRODUCT(--ISNUMBER(SEARCH(healthcare,C232)))&gt;0)</f>
        <v>0</v>
      </c>
      <c r="M232" s="14" cm="1">
        <f t="array" ref="M232">INT(SUMPRODUCT(--ISNUMBER(SEARCH(supreme,C232)))&gt;0)</f>
        <v>0</v>
      </c>
      <c r="N232" s="14" cm="1">
        <f t="array" ref="N232">INT(SUMPRODUCT(--ISNUMBER(SEARCH(covid,C232)))&gt;0)</f>
        <v>0</v>
      </c>
      <c r="O232" s="14" cm="1">
        <f t="array" ref="O232">INT(SUMPRODUCT(--ISNUMBER(SEARCH(violent,C232)))&gt;0)</f>
        <v>0</v>
      </c>
      <c r="P232" s="14" cm="1">
        <f t="array" ref="P232">INT(SUMPRODUCT(--ISNUMBER(SEARCH(foreign,C232)))&gt;0)</f>
        <v>0</v>
      </c>
      <c r="Q232" s="14" cm="1">
        <f t="array" ref="Q232">INT(SUMPRODUCT(--ISNUMBER(SEARCH(gun,C232)))&gt;0)</f>
        <v>0</v>
      </c>
      <c r="R232" s="14" cm="1">
        <f t="array" ref="R232">INT(SUMPRODUCT(--ISNUMBER(SEARCH(race,C232)))&gt;0)</f>
        <v>0</v>
      </c>
      <c r="S232" s="14" cm="1">
        <f t="array" ref="S232">INT(SUMPRODUCT(--ISNUMBER(SEARCH(immigration,C232)))&gt;0)</f>
        <v>0</v>
      </c>
      <c r="T232" s="14" cm="1">
        <f t="array" ref="T232">INT(SUMPRODUCT(--ISNUMBER(SEARCH(econineq,C233)))&gt;0)</f>
        <v>0</v>
      </c>
      <c r="U232" s="14" cm="1">
        <f t="array" ref="U232">INT(SUMPRODUCT(--ISNUMBER(SEARCH(climate,C232)))&gt;0)</f>
        <v>0</v>
      </c>
      <c r="V232" s="14" cm="1">
        <f t="array" ref="V232">INT(SUMPRODUCT(--ISNUMBER(SEARCH(abortion,C232)))&gt;0)</f>
        <v>0</v>
      </c>
      <c r="W232" s="14" cm="1">
        <f t="array" ref="W232">INT(SUMPRODUCT(--ISNUMBER(SEARCH(trump,C232)))&gt;0)</f>
        <v>0</v>
      </c>
      <c r="X232" s="14" cm="1">
        <f t="array" ref="X232">INT(SUMPRODUCT(--ISNUMBER(SEARCH(voting,C232)))&gt;0)</f>
        <v>1</v>
      </c>
      <c r="Y232" s="14" cm="1">
        <f t="array" ref="Y232">INT(SUMPRODUCT(--ISNUMBER(SEARCH(democrattrigger,C232)))&gt;0)</f>
        <v>0</v>
      </c>
      <c r="Z232" s="14" cm="1">
        <f t="array" ref="Z232">INT(SUMPRODUCT(--ISNUMBER(SEARCH(bipartisan,C232)))&gt;0)</f>
        <v>0</v>
      </c>
      <c r="AA232" s="14">
        <f t="shared" si="3"/>
        <v>0</v>
      </c>
      <c r="AB232" s="14"/>
      <c r="AC232" s="30" t="s">
        <v>223</v>
      </c>
      <c r="AD232" s="37" t="s">
        <v>223</v>
      </c>
    </row>
    <row r="233" spans="1:30" x14ac:dyDescent="0.25">
      <c r="A233" s="36">
        <v>1696</v>
      </c>
      <c r="B233" s="14" t="s">
        <v>3419</v>
      </c>
      <c r="C233" s="14" t="s">
        <v>3420</v>
      </c>
      <c r="D233" s="17">
        <v>44125</v>
      </c>
      <c r="E233" s="14" t="s">
        <v>30</v>
      </c>
      <c r="F233" s="14">
        <v>1412</v>
      </c>
      <c r="G233" s="14">
        <v>386</v>
      </c>
      <c r="H233" s="14">
        <v>8</v>
      </c>
      <c r="I233" s="14">
        <v>4</v>
      </c>
      <c r="J233" s="14" t="s">
        <v>204</v>
      </c>
      <c r="K233" s="14" cm="1">
        <f t="array" ref="K233">INT(SUMPRODUCT(--ISNUMBER(SEARCH(economy,C233)))&gt;0)</f>
        <v>0</v>
      </c>
      <c r="L233" s="14" cm="1">
        <f t="array" ref="L233">INT(SUMPRODUCT(--ISNUMBER(SEARCH(healthcare,C233)))&gt;0)</f>
        <v>0</v>
      </c>
      <c r="M233" s="14" cm="1">
        <f t="array" ref="M233">INT(SUMPRODUCT(--ISNUMBER(SEARCH(supreme,C233)))&gt;0)</f>
        <v>0</v>
      </c>
      <c r="N233" s="14" cm="1">
        <f t="array" ref="N233">INT(SUMPRODUCT(--ISNUMBER(SEARCH(covid,C233)))&gt;0)</f>
        <v>1</v>
      </c>
      <c r="O233" s="14" cm="1">
        <f t="array" ref="O233">INT(SUMPRODUCT(--ISNUMBER(SEARCH(violent,C233)))&gt;0)</f>
        <v>0</v>
      </c>
      <c r="P233" s="14" cm="1">
        <f t="array" ref="P233">INT(SUMPRODUCT(--ISNUMBER(SEARCH(foreign,C233)))&gt;0)</f>
        <v>0</v>
      </c>
      <c r="Q233" s="14" cm="1">
        <f t="array" ref="Q233">INT(SUMPRODUCT(--ISNUMBER(SEARCH(gun,C233)))&gt;0)</f>
        <v>0</v>
      </c>
      <c r="R233" s="14" cm="1">
        <f t="array" ref="R233">INT(SUMPRODUCT(--ISNUMBER(SEARCH(race,C233)))&gt;0)</f>
        <v>0</v>
      </c>
      <c r="S233" s="14" cm="1">
        <f t="array" ref="S233">INT(SUMPRODUCT(--ISNUMBER(SEARCH(immigration,C233)))&gt;0)</f>
        <v>0</v>
      </c>
      <c r="T233" s="14" cm="1">
        <f t="array" ref="T233">INT(SUMPRODUCT(--ISNUMBER(SEARCH(econineq,C234)))&gt;0)</f>
        <v>0</v>
      </c>
      <c r="U233" s="14" cm="1">
        <f t="array" ref="U233">INT(SUMPRODUCT(--ISNUMBER(SEARCH(climate,C233)))&gt;0)</f>
        <v>0</v>
      </c>
      <c r="V233" s="14" cm="1">
        <f t="array" ref="V233">INT(SUMPRODUCT(--ISNUMBER(SEARCH(abortion,C233)))&gt;0)</f>
        <v>0</v>
      </c>
      <c r="W233" s="14" cm="1">
        <f t="array" ref="W233">INT(SUMPRODUCT(--ISNUMBER(SEARCH(trump,C233)))&gt;0)</f>
        <v>0</v>
      </c>
      <c r="X233" s="14" cm="1">
        <f t="array" ref="X233">INT(SUMPRODUCT(--ISNUMBER(SEARCH(voting,C233)))&gt;0)</f>
        <v>1</v>
      </c>
      <c r="Y233" s="14" cm="1">
        <f t="array" ref="Y233">INT(SUMPRODUCT(--ISNUMBER(SEARCH(democrattrigger,C233)))&gt;0)</f>
        <v>1</v>
      </c>
      <c r="Z233" s="14" cm="1">
        <f t="array" ref="Z233">INT(SUMPRODUCT(--ISNUMBER(SEARCH(bipartisan,C233)))&gt;0)</f>
        <v>0</v>
      </c>
      <c r="AA233" s="14">
        <f t="shared" si="3"/>
        <v>0</v>
      </c>
      <c r="AB233" s="14"/>
      <c r="AC233" s="30" t="s">
        <v>223</v>
      </c>
      <c r="AD233" s="37" t="s">
        <v>223</v>
      </c>
    </row>
    <row r="234" spans="1:30" x14ac:dyDescent="0.25">
      <c r="A234" s="36">
        <v>1697</v>
      </c>
      <c r="B234" s="14" t="s">
        <v>3421</v>
      </c>
      <c r="C234" s="14" t="s">
        <v>3422</v>
      </c>
      <c r="D234" s="17">
        <v>44125</v>
      </c>
      <c r="E234" s="14" t="s">
        <v>30</v>
      </c>
      <c r="F234" s="14">
        <v>1084</v>
      </c>
      <c r="G234" s="14">
        <v>257</v>
      </c>
      <c r="H234" s="14">
        <v>8</v>
      </c>
      <c r="I234" s="14">
        <v>4</v>
      </c>
      <c r="J234" s="14" t="s">
        <v>204</v>
      </c>
      <c r="K234" s="14" cm="1">
        <f t="array" ref="K234">INT(SUMPRODUCT(--ISNUMBER(SEARCH(economy,C234)))&gt;0)</f>
        <v>0</v>
      </c>
      <c r="L234" s="14" cm="1">
        <f t="array" ref="L234">INT(SUMPRODUCT(--ISNUMBER(SEARCH(healthcare,C234)))&gt;0)</f>
        <v>1</v>
      </c>
      <c r="M234" s="14" cm="1">
        <f t="array" ref="M234">INT(SUMPRODUCT(--ISNUMBER(SEARCH(supreme,C234)))&gt;0)</f>
        <v>0</v>
      </c>
      <c r="N234" s="14" cm="1">
        <f t="array" ref="N234">INT(SUMPRODUCT(--ISNUMBER(SEARCH(covid,C234)))&gt;0)</f>
        <v>0</v>
      </c>
      <c r="O234" s="14" cm="1">
        <f t="array" ref="O234">INT(SUMPRODUCT(--ISNUMBER(SEARCH(violent,C234)))&gt;0)</f>
        <v>0</v>
      </c>
      <c r="P234" s="14" cm="1">
        <f t="array" ref="P234">INT(SUMPRODUCT(--ISNUMBER(SEARCH(foreign,C234)))&gt;0)</f>
        <v>0</v>
      </c>
      <c r="Q234" s="14" cm="1">
        <f t="array" ref="Q234">INT(SUMPRODUCT(--ISNUMBER(SEARCH(gun,C234)))&gt;0)</f>
        <v>0</v>
      </c>
      <c r="R234" s="14" cm="1">
        <f t="array" ref="R234">INT(SUMPRODUCT(--ISNUMBER(SEARCH(race,C234)))&gt;0)</f>
        <v>0</v>
      </c>
      <c r="S234" s="14" cm="1">
        <f t="array" ref="S234">INT(SUMPRODUCT(--ISNUMBER(SEARCH(immigration,C234)))&gt;0)</f>
        <v>0</v>
      </c>
      <c r="T234" s="14" cm="1">
        <f t="array" ref="T234">INT(SUMPRODUCT(--ISNUMBER(SEARCH(econineq,C235)))&gt;0)</f>
        <v>0</v>
      </c>
      <c r="U234" s="14" cm="1">
        <f t="array" ref="U234">INT(SUMPRODUCT(--ISNUMBER(SEARCH(climate,C234)))&gt;0)</f>
        <v>0</v>
      </c>
      <c r="V234" s="14" cm="1">
        <f t="array" ref="V234">INT(SUMPRODUCT(--ISNUMBER(SEARCH(abortion,C234)))&gt;0)</f>
        <v>0</v>
      </c>
      <c r="W234" s="14" cm="1">
        <f t="array" ref="W234">INT(SUMPRODUCT(--ISNUMBER(SEARCH(trump,C234)))&gt;0)</f>
        <v>0</v>
      </c>
      <c r="X234" s="14" cm="1">
        <f t="array" ref="X234">INT(SUMPRODUCT(--ISNUMBER(SEARCH(voting,C234)))&gt;0)</f>
        <v>0</v>
      </c>
      <c r="Y234" s="14" cm="1">
        <f t="array" ref="Y234">INT(SUMPRODUCT(--ISNUMBER(SEARCH(democrattrigger,C234)))&gt;0)</f>
        <v>0</v>
      </c>
      <c r="Z234" s="14" cm="1">
        <f t="array" ref="Z234">INT(SUMPRODUCT(--ISNUMBER(SEARCH(bipartisan,C234)))&gt;0)</f>
        <v>0</v>
      </c>
      <c r="AA234" s="14">
        <f t="shared" si="3"/>
        <v>0</v>
      </c>
      <c r="AB234" s="14"/>
      <c r="AC234" s="30">
        <v>1</v>
      </c>
      <c r="AD234" s="37">
        <v>0</v>
      </c>
    </row>
    <row r="235" spans="1:30" x14ac:dyDescent="0.25">
      <c r="A235" s="36">
        <v>1698</v>
      </c>
      <c r="B235" s="14" t="s">
        <v>3423</v>
      </c>
      <c r="C235" s="14" t="s">
        <v>3424</v>
      </c>
      <c r="D235" s="17">
        <v>44125</v>
      </c>
      <c r="E235" s="14" t="s">
        <v>30</v>
      </c>
      <c r="F235" s="14">
        <v>907</v>
      </c>
      <c r="G235" s="14">
        <v>300</v>
      </c>
      <c r="H235" s="14">
        <v>8</v>
      </c>
      <c r="I235" s="14">
        <v>4</v>
      </c>
      <c r="J235" s="14" t="s">
        <v>204</v>
      </c>
      <c r="K235" s="14" cm="1">
        <f t="array" ref="K235">INT(SUMPRODUCT(--ISNUMBER(SEARCH(economy,C235)))&gt;0)</f>
        <v>0</v>
      </c>
      <c r="L235" s="14" cm="1">
        <f t="array" ref="L235">INT(SUMPRODUCT(--ISNUMBER(SEARCH(healthcare,C235)))&gt;0)</f>
        <v>1</v>
      </c>
      <c r="M235" s="14" cm="1">
        <f t="array" ref="M235">INT(SUMPRODUCT(--ISNUMBER(SEARCH(supreme,C235)))&gt;0)</f>
        <v>0</v>
      </c>
      <c r="N235" s="14" cm="1">
        <f t="array" ref="N235">INT(SUMPRODUCT(--ISNUMBER(SEARCH(covid,C235)))&gt;0)</f>
        <v>0</v>
      </c>
      <c r="O235" s="14" cm="1">
        <f t="array" ref="O235">INT(SUMPRODUCT(--ISNUMBER(SEARCH(violent,C235)))&gt;0)</f>
        <v>0</v>
      </c>
      <c r="P235" s="14" cm="1">
        <f t="array" ref="P235">INT(SUMPRODUCT(--ISNUMBER(SEARCH(foreign,C235)))&gt;0)</f>
        <v>0</v>
      </c>
      <c r="Q235" s="14" cm="1">
        <f t="array" ref="Q235">INT(SUMPRODUCT(--ISNUMBER(SEARCH(gun,C235)))&gt;0)</f>
        <v>0</v>
      </c>
      <c r="R235" s="14" cm="1">
        <f t="array" ref="R235">INT(SUMPRODUCT(--ISNUMBER(SEARCH(race,C235)))&gt;0)</f>
        <v>0</v>
      </c>
      <c r="S235" s="14" cm="1">
        <f t="array" ref="S235">INT(SUMPRODUCT(--ISNUMBER(SEARCH(immigration,C235)))&gt;0)</f>
        <v>0</v>
      </c>
      <c r="T235" s="14" cm="1">
        <f t="array" ref="T235">INT(SUMPRODUCT(--ISNUMBER(SEARCH(econineq,C236)))&gt;0)</f>
        <v>0</v>
      </c>
      <c r="U235" s="14" cm="1">
        <f t="array" ref="U235">INT(SUMPRODUCT(--ISNUMBER(SEARCH(climate,C235)))&gt;0)</f>
        <v>0</v>
      </c>
      <c r="V235" s="14" cm="1">
        <f t="array" ref="V235">INT(SUMPRODUCT(--ISNUMBER(SEARCH(abortion,C235)))&gt;0)</f>
        <v>0</v>
      </c>
      <c r="W235" s="14" cm="1">
        <f t="array" ref="W235">INT(SUMPRODUCT(--ISNUMBER(SEARCH(trump,C235)))&gt;0)</f>
        <v>0</v>
      </c>
      <c r="X235" s="14" cm="1">
        <f t="array" ref="X235">INT(SUMPRODUCT(--ISNUMBER(SEARCH(voting,C235)))&gt;0)</f>
        <v>1</v>
      </c>
      <c r="Y235" s="14" cm="1">
        <f t="array" ref="Y235">INT(SUMPRODUCT(--ISNUMBER(SEARCH(democrattrigger,C235)))&gt;0)</f>
        <v>1</v>
      </c>
      <c r="Z235" s="14" cm="1">
        <f t="array" ref="Z235">INT(SUMPRODUCT(--ISNUMBER(SEARCH(bipartisan,C235)))&gt;0)</f>
        <v>0</v>
      </c>
      <c r="AA235" s="14">
        <f t="shared" si="3"/>
        <v>0</v>
      </c>
      <c r="AB235" s="14"/>
      <c r="AC235" s="30" t="s">
        <v>223</v>
      </c>
      <c r="AD235" s="37" t="s">
        <v>223</v>
      </c>
    </row>
    <row r="236" spans="1:30" x14ac:dyDescent="0.25">
      <c r="A236" s="36">
        <v>1699</v>
      </c>
      <c r="B236" s="14" t="s">
        <v>3425</v>
      </c>
      <c r="C236" s="14" t="s">
        <v>3426</v>
      </c>
      <c r="D236" s="17">
        <v>44125</v>
      </c>
      <c r="E236" s="14" t="s">
        <v>30</v>
      </c>
      <c r="F236" s="14">
        <v>350</v>
      </c>
      <c r="G236" s="14">
        <v>136</v>
      </c>
      <c r="H236" s="14">
        <v>8</v>
      </c>
      <c r="I236" s="14">
        <v>4</v>
      </c>
      <c r="J236" s="14" t="s">
        <v>204</v>
      </c>
      <c r="K236" s="14" cm="1">
        <f t="array" ref="K236">INT(SUMPRODUCT(--ISNUMBER(SEARCH(economy,C236)))&gt;0)</f>
        <v>0</v>
      </c>
      <c r="L236" s="14" cm="1">
        <f t="array" ref="L236">INT(SUMPRODUCT(--ISNUMBER(SEARCH(healthcare,C236)))&gt;0)</f>
        <v>0</v>
      </c>
      <c r="M236" s="14" cm="1">
        <f t="array" ref="M236">INT(SUMPRODUCT(--ISNUMBER(SEARCH(supreme,C236)))&gt;0)</f>
        <v>0</v>
      </c>
      <c r="N236" s="14" cm="1">
        <f t="array" ref="N236">INT(SUMPRODUCT(--ISNUMBER(SEARCH(covid,C236)))&gt;0)</f>
        <v>0</v>
      </c>
      <c r="O236" s="14" cm="1">
        <f t="array" ref="O236">INT(SUMPRODUCT(--ISNUMBER(SEARCH(violent,C236)))&gt;0)</f>
        <v>0</v>
      </c>
      <c r="P236" s="14" cm="1">
        <f t="array" ref="P236">INT(SUMPRODUCT(--ISNUMBER(SEARCH(foreign,C236)))&gt;0)</f>
        <v>0</v>
      </c>
      <c r="Q236" s="14" cm="1">
        <f t="array" ref="Q236">INT(SUMPRODUCT(--ISNUMBER(SEARCH(gun,C236)))&gt;0)</f>
        <v>0</v>
      </c>
      <c r="R236" s="14" cm="1">
        <f t="array" ref="R236">INT(SUMPRODUCT(--ISNUMBER(SEARCH(race,C236)))&gt;0)</f>
        <v>0</v>
      </c>
      <c r="S236" s="14" cm="1">
        <f t="array" ref="S236">INT(SUMPRODUCT(--ISNUMBER(SEARCH(immigration,C236)))&gt;0)</f>
        <v>0</v>
      </c>
      <c r="T236" s="14" cm="1">
        <f t="array" ref="T236">INT(SUMPRODUCT(--ISNUMBER(SEARCH(econineq,C237)))&gt;0)</f>
        <v>0</v>
      </c>
      <c r="U236" s="14" cm="1">
        <f t="array" ref="U236">INT(SUMPRODUCT(--ISNUMBER(SEARCH(climate,C236)))&gt;0)</f>
        <v>0</v>
      </c>
      <c r="V236" s="14" cm="1">
        <f t="array" ref="V236">INT(SUMPRODUCT(--ISNUMBER(SEARCH(abortion,C236)))&gt;0)</f>
        <v>0</v>
      </c>
      <c r="W236" s="14" cm="1">
        <f t="array" ref="W236">INT(SUMPRODUCT(--ISNUMBER(SEARCH(trump,C236)))&gt;0)</f>
        <v>0</v>
      </c>
      <c r="X236" s="14" cm="1">
        <f t="array" ref="X236">INT(SUMPRODUCT(--ISNUMBER(SEARCH(voting,C236)))&gt;0)</f>
        <v>1</v>
      </c>
      <c r="Y236" s="14" cm="1">
        <f t="array" ref="Y236">INT(SUMPRODUCT(--ISNUMBER(SEARCH(democrattrigger,C236)))&gt;0)</f>
        <v>0</v>
      </c>
      <c r="Z236" s="14" cm="1">
        <f t="array" ref="Z236">INT(SUMPRODUCT(--ISNUMBER(SEARCH(bipartisan,C236)))&gt;0)</f>
        <v>0</v>
      </c>
      <c r="AA236" s="14">
        <f t="shared" si="3"/>
        <v>0</v>
      </c>
      <c r="AB236" s="14"/>
      <c r="AC236" s="30">
        <v>0</v>
      </c>
      <c r="AD236" s="37">
        <v>1</v>
      </c>
    </row>
    <row r="237" spans="1:30" x14ac:dyDescent="0.25">
      <c r="A237" s="36">
        <v>1700</v>
      </c>
      <c r="B237" s="14" t="s">
        <v>3427</v>
      </c>
      <c r="C237" s="14" t="s">
        <v>3428</v>
      </c>
      <c r="D237" s="17">
        <v>44125</v>
      </c>
      <c r="E237" s="14" t="s">
        <v>30</v>
      </c>
      <c r="F237" s="14">
        <v>1501</v>
      </c>
      <c r="G237" s="14">
        <v>414</v>
      </c>
      <c r="H237" s="14">
        <v>8</v>
      </c>
      <c r="I237" s="14">
        <v>4</v>
      </c>
      <c r="J237" s="14" t="s">
        <v>204</v>
      </c>
      <c r="K237" s="14" cm="1">
        <f t="array" ref="K237">INT(SUMPRODUCT(--ISNUMBER(SEARCH(economy,C237)))&gt;0)</f>
        <v>0</v>
      </c>
      <c r="L237" s="14" cm="1">
        <f t="array" ref="L237">INT(SUMPRODUCT(--ISNUMBER(SEARCH(healthcare,C237)))&gt;0)</f>
        <v>0</v>
      </c>
      <c r="M237" s="14" cm="1">
        <f t="array" ref="M237">INT(SUMPRODUCT(--ISNUMBER(SEARCH(supreme,C237)))&gt;0)</f>
        <v>0</v>
      </c>
      <c r="N237" s="14" cm="1">
        <f t="array" ref="N237">INT(SUMPRODUCT(--ISNUMBER(SEARCH(covid,C237)))&gt;0)</f>
        <v>0</v>
      </c>
      <c r="O237" s="14" cm="1">
        <f t="array" ref="O237">INT(SUMPRODUCT(--ISNUMBER(SEARCH(violent,C237)))&gt;0)</f>
        <v>0</v>
      </c>
      <c r="P237" s="14" cm="1">
        <f t="array" ref="P237">INT(SUMPRODUCT(--ISNUMBER(SEARCH(foreign,C237)))&gt;0)</f>
        <v>0</v>
      </c>
      <c r="Q237" s="14" cm="1">
        <f t="array" ref="Q237">INT(SUMPRODUCT(--ISNUMBER(SEARCH(gun,C237)))&gt;0)</f>
        <v>0</v>
      </c>
      <c r="R237" s="14" cm="1">
        <f t="array" ref="R237">INT(SUMPRODUCT(--ISNUMBER(SEARCH(race,C237)))&gt;0)</f>
        <v>0</v>
      </c>
      <c r="S237" s="14" cm="1">
        <f t="array" ref="S237">INT(SUMPRODUCT(--ISNUMBER(SEARCH(immigration,C237)))&gt;0)</f>
        <v>0</v>
      </c>
      <c r="T237" s="14" cm="1">
        <f t="array" ref="T237">INT(SUMPRODUCT(--ISNUMBER(SEARCH(econineq,C238)))&gt;0)</f>
        <v>0</v>
      </c>
      <c r="U237" s="14" cm="1">
        <f t="array" ref="U237">INT(SUMPRODUCT(--ISNUMBER(SEARCH(climate,C237)))&gt;0)</f>
        <v>0</v>
      </c>
      <c r="V237" s="14" cm="1">
        <f t="array" ref="V237">INT(SUMPRODUCT(--ISNUMBER(SEARCH(abortion,C237)))&gt;0)</f>
        <v>0</v>
      </c>
      <c r="W237" s="14" cm="1">
        <f t="array" ref="W237">INT(SUMPRODUCT(--ISNUMBER(SEARCH(trump,C237)))&gt;0)</f>
        <v>0</v>
      </c>
      <c r="X237" s="14" cm="1">
        <f t="array" ref="X237">INT(SUMPRODUCT(--ISNUMBER(SEARCH(voting,C237)))&gt;0)</f>
        <v>0</v>
      </c>
      <c r="Y237" s="14" cm="1">
        <f t="array" ref="Y237">INT(SUMPRODUCT(--ISNUMBER(SEARCH(democrattrigger,C237)))&gt;0)</f>
        <v>1</v>
      </c>
      <c r="Z237" s="14" cm="1">
        <f t="array" ref="Z237">INT(SUMPRODUCT(--ISNUMBER(SEARCH(bipartisan,C237)))&gt;0)</f>
        <v>0</v>
      </c>
      <c r="AA237" s="14">
        <f t="shared" si="3"/>
        <v>0</v>
      </c>
      <c r="AB237" s="14"/>
      <c r="AC237" s="30" t="s">
        <v>223</v>
      </c>
      <c r="AD237" s="37" t="s">
        <v>223</v>
      </c>
    </row>
    <row r="238" spans="1:30" x14ac:dyDescent="0.25">
      <c r="A238" s="36">
        <v>1701</v>
      </c>
      <c r="B238" s="14" t="s">
        <v>3429</v>
      </c>
      <c r="C238" s="14" t="s">
        <v>3430</v>
      </c>
      <c r="D238" s="17">
        <v>44125</v>
      </c>
      <c r="E238" s="14" t="s">
        <v>30</v>
      </c>
      <c r="F238" s="14">
        <v>467</v>
      </c>
      <c r="G238" s="14">
        <v>136</v>
      </c>
      <c r="H238" s="14">
        <v>8</v>
      </c>
      <c r="I238" s="14">
        <v>4</v>
      </c>
      <c r="J238" s="14" t="s">
        <v>204</v>
      </c>
      <c r="K238" s="14" cm="1">
        <f t="array" ref="K238">INT(SUMPRODUCT(--ISNUMBER(SEARCH(economy,C238)))&gt;0)</f>
        <v>1</v>
      </c>
      <c r="L238" s="14" cm="1">
        <f t="array" ref="L238">INT(SUMPRODUCT(--ISNUMBER(SEARCH(healthcare,C238)))&gt;0)</f>
        <v>0</v>
      </c>
      <c r="M238" s="14" cm="1">
        <f t="array" ref="M238">INT(SUMPRODUCT(--ISNUMBER(SEARCH(supreme,C238)))&gt;0)</f>
        <v>0</v>
      </c>
      <c r="N238" s="14" cm="1">
        <f t="array" ref="N238">INT(SUMPRODUCT(--ISNUMBER(SEARCH(covid,C238)))&gt;0)</f>
        <v>1</v>
      </c>
      <c r="O238" s="14" cm="1">
        <f t="array" ref="O238">INT(SUMPRODUCT(--ISNUMBER(SEARCH(violent,C238)))&gt;0)</f>
        <v>0</v>
      </c>
      <c r="P238" s="14" cm="1">
        <f t="array" ref="P238">INT(SUMPRODUCT(--ISNUMBER(SEARCH(foreign,C238)))&gt;0)</f>
        <v>0</v>
      </c>
      <c r="Q238" s="14" cm="1">
        <f t="array" ref="Q238">INT(SUMPRODUCT(--ISNUMBER(SEARCH(gun,C238)))&gt;0)</f>
        <v>0</v>
      </c>
      <c r="R238" s="14" cm="1">
        <f t="array" ref="R238">INT(SUMPRODUCT(--ISNUMBER(SEARCH(race,C238)))&gt;0)</f>
        <v>0</v>
      </c>
      <c r="S238" s="14" cm="1">
        <f t="array" ref="S238">INT(SUMPRODUCT(--ISNUMBER(SEARCH(immigration,C238)))&gt;0)</f>
        <v>0</v>
      </c>
      <c r="T238" s="14" cm="1">
        <f t="array" ref="T238">INT(SUMPRODUCT(--ISNUMBER(SEARCH(econineq,C239)))&gt;0)</f>
        <v>0</v>
      </c>
      <c r="U238" s="14" cm="1">
        <f t="array" ref="U238">INT(SUMPRODUCT(--ISNUMBER(SEARCH(climate,C238)))&gt;0)</f>
        <v>0</v>
      </c>
      <c r="V238" s="14" cm="1">
        <f t="array" ref="V238">INT(SUMPRODUCT(--ISNUMBER(SEARCH(abortion,C238)))&gt;0)</f>
        <v>0</v>
      </c>
      <c r="W238" s="14" cm="1">
        <f t="array" ref="W238">INT(SUMPRODUCT(--ISNUMBER(SEARCH(trump,C238)))&gt;0)</f>
        <v>0</v>
      </c>
      <c r="X238" s="14" cm="1">
        <f t="array" ref="X238">INT(SUMPRODUCT(--ISNUMBER(SEARCH(voting,C238)))&gt;0)</f>
        <v>0</v>
      </c>
      <c r="Y238" s="14" cm="1">
        <f t="array" ref="Y238">INT(SUMPRODUCT(--ISNUMBER(SEARCH(democrattrigger,C238)))&gt;0)</f>
        <v>0</v>
      </c>
      <c r="Z238" s="14" cm="1">
        <f t="array" ref="Z238">INT(SUMPRODUCT(--ISNUMBER(SEARCH(bipartisan,C238)))&gt;0)</f>
        <v>0</v>
      </c>
      <c r="AA238" s="14">
        <f t="shared" si="3"/>
        <v>0</v>
      </c>
      <c r="AB238" s="14"/>
      <c r="AC238" s="30">
        <v>1</v>
      </c>
      <c r="AD238" s="37">
        <v>0</v>
      </c>
    </row>
    <row r="239" spans="1:30" x14ac:dyDescent="0.25">
      <c r="A239" s="36">
        <v>1702</v>
      </c>
      <c r="B239" s="14" t="s">
        <v>3431</v>
      </c>
      <c r="C239" s="14" t="s">
        <v>3432</v>
      </c>
      <c r="D239" s="17">
        <v>44125</v>
      </c>
      <c r="E239" s="14" t="s">
        <v>30</v>
      </c>
      <c r="F239" s="14">
        <v>1430</v>
      </c>
      <c r="G239" s="14">
        <v>391</v>
      </c>
      <c r="H239" s="14">
        <v>8</v>
      </c>
      <c r="I239" s="14">
        <v>4</v>
      </c>
      <c r="J239" s="14" t="s">
        <v>204</v>
      </c>
      <c r="K239" s="14" cm="1">
        <f t="array" ref="K239">INT(SUMPRODUCT(--ISNUMBER(SEARCH(economy,C239)))&gt;0)</f>
        <v>0</v>
      </c>
      <c r="L239" s="14" cm="1">
        <f t="array" ref="L239">INT(SUMPRODUCT(--ISNUMBER(SEARCH(healthcare,C239)))&gt;0)</f>
        <v>1</v>
      </c>
      <c r="M239" s="14" cm="1">
        <f t="array" ref="M239">INT(SUMPRODUCT(--ISNUMBER(SEARCH(supreme,C239)))&gt;0)</f>
        <v>0</v>
      </c>
      <c r="N239" s="14" cm="1">
        <f t="array" ref="N239">INT(SUMPRODUCT(--ISNUMBER(SEARCH(covid,C239)))&gt;0)</f>
        <v>0</v>
      </c>
      <c r="O239" s="14" cm="1">
        <f t="array" ref="O239">INT(SUMPRODUCT(--ISNUMBER(SEARCH(violent,C239)))&gt;0)</f>
        <v>0</v>
      </c>
      <c r="P239" s="14" cm="1">
        <f t="array" ref="P239">INT(SUMPRODUCT(--ISNUMBER(SEARCH(foreign,C239)))&gt;0)</f>
        <v>1</v>
      </c>
      <c r="Q239" s="14" cm="1">
        <f t="array" ref="Q239">INT(SUMPRODUCT(--ISNUMBER(SEARCH(gun,C239)))&gt;0)</f>
        <v>0</v>
      </c>
      <c r="R239" s="14" cm="1">
        <f t="array" ref="R239">INT(SUMPRODUCT(--ISNUMBER(SEARCH(race,C239)))&gt;0)</f>
        <v>0</v>
      </c>
      <c r="S239" s="14" cm="1">
        <f t="array" ref="S239">INT(SUMPRODUCT(--ISNUMBER(SEARCH(immigration,C239)))&gt;0)</f>
        <v>0</v>
      </c>
      <c r="T239" s="14" cm="1">
        <f t="array" ref="T239">INT(SUMPRODUCT(--ISNUMBER(SEARCH(econineq,C240)))&gt;0)</f>
        <v>0</v>
      </c>
      <c r="U239" s="14" cm="1">
        <f t="array" ref="U239">INT(SUMPRODUCT(--ISNUMBER(SEARCH(climate,C239)))&gt;0)</f>
        <v>0</v>
      </c>
      <c r="V239" s="14" cm="1">
        <f t="array" ref="V239">INT(SUMPRODUCT(--ISNUMBER(SEARCH(abortion,C239)))&gt;0)</f>
        <v>0</v>
      </c>
      <c r="W239" s="14" cm="1">
        <f t="array" ref="W239">INT(SUMPRODUCT(--ISNUMBER(SEARCH(trump,C239)))&gt;0)</f>
        <v>0</v>
      </c>
      <c r="X239" s="14" cm="1">
        <f t="array" ref="X239">INT(SUMPRODUCT(--ISNUMBER(SEARCH(voting,C239)))&gt;0)</f>
        <v>0</v>
      </c>
      <c r="Y239" s="14" cm="1">
        <f t="array" ref="Y239">INT(SUMPRODUCT(--ISNUMBER(SEARCH(democrattrigger,C239)))&gt;0)</f>
        <v>0</v>
      </c>
      <c r="Z239" s="14" cm="1">
        <f t="array" ref="Z239">INT(SUMPRODUCT(--ISNUMBER(SEARCH(bipartisan,C239)))&gt;0)</f>
        <v>0</v>
      </c>
      <c r="AA239" s="14">
        <f t="shared" si="3"/>
        <v>0</v>
      </c>
      <c r="AB239" s="14"/>
      <c r="AC239" s="30">
        <v>0</v>
      </c>
      <c r="AD239" s="37">
        <v>1</v>
      </c>
    </row>
    <row r="240" spans="1:30" x14ac:dyDescent="0.25">
      <c r="A240" s="36">
        <v>1703</v>
      </c>
      <c r="B240" s="14" t="s">
        <v>3433</v>
      </c>
      <c r="C240" s="14" t="s">
        <v>3434</v>
      </c>
      <c r="D240" s="17">
        <v>44125</v>
      </c>
      <c r="E240" s="14" t="s">
        <v>30</v>
      </c>
      <c r="F240" s="14">
        <v>945</v>
      </c>
      <c r="G240" s="14">
        <v>220</v>
      </c>
      <c r="H240" s="14">
        <v>8</v>
      </c>
      <c r="I240" s="14">
        <v>4</v>
      </c>
      <c r="J240" s="14" t="s">
        <v>204</v>
      </c>
      <c r="K240" s="14" cm="1">
        <f t="array" ref="K240">INT(SUMPRODUCT(--ISNUMBER(SEARCH(economy,C240)))&gt;0)</f>
        <v>0</v>
      </c>
      <c r="L240" s="14" cm="1">
        <f t="array" ref="L240">INT(SUMPRODUCT(--ISNUMBER(SEARCH(healthcare,C240)))&gt;0)</f>
        <v>0</v>
      </c>
      <c r="M240" s="14" cm="1">
        <f t="array" ref="M240">INT(SUMPRODUCT(--ISNUMBER(SEARCH(supreme,C240)))&gt;0)</f>
        <v>0</v>
      </c>
      <c r="N240" s="14" cm="1">
        <f t="array" ref="N240">INT(SUMPRODUCT(--ISNUMBER(SEARCH(covid,C240)))&gt;0)</f>
        <v>0</v>
      </c>
      <c r="O240" s="14" cm="1">
        <f t="array" ref="O240">INT(SUMPRODUCT(--ISNUMBER(SEARCH(violent,C240)))&gt;0)</f>
        <v>0</v>
      </c>
      <c r="P240" s="14" cm="1">
        <f t="array" ref="P240">INT(SUMPRODUCT(--ISNUMBER(SEARCH(foreign,C240)))&gt;0)</f>
        <v>0</v>
      </c>
      <c r="Q240" s="14" cm="1">
        <f t="array" ref="Q240">INT(SUMPRODUCT(--ISNUMBER(SEARCH(gun,C240)))&gt;0)</f>
        <v>0</v>
      </c>
      <c r="R240" s="14" cm="1">
        <f t="array" ref="R240">INT(SUMPRODUCT(--ISNUMBER(SEARCH(race,C240)))&gt;0)</f>
        <v>0</v>
      </c>
      <c r="S240" s="14" cm="1">
        <f t="array" ref="S240">INT(SUMPRODUCT(--ISNUMBER(SEARCH(immigration,C240)))&gt;0)</f>
        <v>0</v>
      </c>
      <c r="T240" s="14" cm="1">
        <f t="array" ref="T240">INT(SUMPRODUCT(--ISNUMBER(SEARCH(econineq,C241)))&gt;0)</f>
        <v>0</v>
      </c>
      <c r="U240" s="14" cm="1">
        <f t="array" ref="U240">INT(SUMPRODUCT(--ISNUMBER(SEARCH(climate,C240)))&gt;0)</f>
        <v>0</v>
      </c>
      <c r="V240" s="14" cm="1">
        <f t="array" ref="V240">INT(SUMPRODUCT(--ISNUMBER(SEARCH(abortion,C240)))&gt;0)</f>
        <v>0</v>
      </c>
      <c r="W240" s="14" cm="1">
        <f t="array" ref="W240">INT(SUMPRODUCT(--ISNUMBER(SEARCH(trump,C240)))&gt;0)</f>
        <v>0</v>
      </c>
      <c r="X240" s="14" cm="1">
        <f t="array" ref="X240">INT(SUMPRODUCT(--ISNUMBER(SEARCH(voting,C240)))&gt;0)</f>
        <v>0</v>
      </c>
      <c r="Y240" s="14" cm="1">
        <f t="array" ref="Y240">INT(SUMPRODUCT(--ISNUMBER(SEARCH(democrattrigger,C240)))&gt;0)</f>
        <v>0</v>
      </c>
      <c r="Z240" s="14" cm="1">
        <f t="array" ref="Z240">INT(SUMPRODUCT(--ISNUMBER(SEARCH(bipartisan,C240)))&gt;0)</f>
        <v>0</v>
      </c>
      <c r="AA240" s="14">
        <f t="shared" si="3"/>
        <v>1</v>
      </c>
      <c r="AB240" s="14"/>
      <c r="AC240" s="30">
        <v>1</v>
      </c>
      <c r="AD240" s="37">
        <v>0</v>
      </c>
    </row>
    <row r="241" spans="1:30" x14ac:dyDescent="0.25">
      <c r="A241" s="36">
        <v>1704</v>
      </c>
      <c r="B241" s="14" t="s">
        <v>3435</v>
      </c>
      <c r="C241" s="14" t="s">
        <v>3436</v>
      </c>
      <c r="D241" s="17">
        <v>44124</v>
      </c>
      <c r="E241" s="14" t="s">
        <v>30</v>
      </c>
      <c r="F241" s="14">
        <v>458</v>
      </c>
      <c r="G241" s="14">
        <v>115</v>
      </c>
      <c r="H241" s="14">
        <v>8</v>
      </c>
      <c r="I241" s="14">
        <v>4</v>
      </c>
      <c r="J241" s="14" t="s">
        <v>204</v>
      </c>
      <c r="K241" s="14" cm="1">
        <f t="array" ref="K241">INT(SUMPRODUCT(--ISNUMBER(SEARCH(economy,C241)))&gt;0)</f>
        <v>0</v>
      </c>
      <c r="L241" s="14" cm="1">
        <f t="array" ref="L241">INT(SUMPRODUCT(--ISNUMBER(SEARCH(healthcare,C241)))&gt;0)</f>
        <v>0</v>
      </c>
      <c r="M241" s="14" cm="1">
        <f t="array" ref="M241">INT(SUMPRODUCT(--ISNUMBER(SEARCH(supreme,C241)))&gt;0)</f>
        <v>0</v>
      </c>
      <c r="N241" s="14" cm="1">
        <f t="array" ref="N241">INT(SUMPRODUCT(--ISNUMBER(SEARCH(covid,C241)))&gt;0)</f>
        <v>1</v>
      </c>
      <c r="O241" s="14" cm="1">
        <f t="array" ref="O241">INT(SUMPRODUCT(--ISNUMBER(SEARCH(violent,C241)))&gt;0)</f>
        <v>0</v>
      </c>
      <c r="P241" s="14" cm="1">
        <f t="array" ref="P241">INT(SUMPRODUCT(--ISNUMBER(SEARCH(foreign,C241)))&gt;0)</f>
        <v>0</v>
      </c>
      <c r="Q241" s="14" cm="1">
        <f t="array" ref="Q241">INT(SUMPRODUCT(--ISNUMBER(SEARCH(gun,C241)))&gt;0)</f>
        <v>0</v>
      </c>
      <c r="R241" s="14" cm="1">
        <f t="array" ref="R241">INT(SUMPRODUCT(--ISNUMBER(SEARCH(race,C241)))&gt;0)</f>
        <v>0</v>
      </c>
      <c r="S241" s="14" cm="1">
        <f t="array" ref="S241">INT(SUMPRODUCT(--ISNUMBER(SEARCH(immigration,C241)))&gt;0)</f>
        <v>0</v>
      </c>
      <c r="T241" s="14" cm="1">
        <f t="array" ref="T241">INT(SUMPRODUCT(--ISNUMBER(SEARCH(econineq,C242)))&gt;0)</f>
        <v>0</v>
      </c>
      <c r="U241" s="14" cm="1">
        <f t="array" ref="U241">INT(SUMPRODUCT(--ISNUMBER(SEARCH(climate,C241)))&gt;0)</f>
        <v>0</v>
      </c>
      <c r="V241" s="14" cm="1">
        <f t="array" ref="V241">INT(SUMPRODUCT(--ISNUMBER(SEARCH(abortion,C241)))&gt;0)</f>
        <v>0</v>
      </c>
      <c r="W241" s="14" cm="1">
        <f t="array" ref="W241">INT(SUMPRODUCT(--ISNUMBER(SEARCH(trump,C241)))&gt;0)</f>
        <v>0</v>
      </c>
      <c r="X241" s="14" cm="1">
        <f t="array" ref="X241">INT(SUMPRODUCT(--ISNUMBER(SEARCH(voting,C241)))&gt;0)</f>
        <v>0</v>
      </c>
      <c r="Y241" s="14" cm="1">
        <f t="array" ref="Y241">INT(SUMPRODUCT(--ISNUMBER(SEARCH(democrattrigger,C241)))&gt;0)</f>
        <v>0</v>
      </c>
      <c r="Z241" s="14" cm="1">
        <f t="array" ref="Z241">INT(SUMPRODUCT(--ISNUMBER(SEARCH(bipartisan,C241)))&gt;0)</f>
        <v>0</v>
      </c>
      <c r="AA241" s="14">
        <f t="shared" si="3"/>
        <v>0</v>
      </c>
      <c r="AB241" s="14"/>
      <c r="AC241" s="30" t="s">
        <v>223</v>
      </c>
      <c r="AD241" s="37" t="s">
        <v>223</v>
      </c>
    </row>
    <row r="242" spans="1:30" x14ac:dyDescent="0.25">
      <c r="A242" s="36">
        <v>1705</v>
      </c>
      <c r="B242" s="14" t="s">
        <v>3437</v>
      </c>
      <c r="C242" s="14" t="s">
        <v>3438</v>
      </c>
      <c r="D242" s="17">
        <v>44124</v>
      </c>
      <c r="E242" s="14" t="s">
        <v>30</v>
      </c>
      <c r="F242" s="14">
        <v>528</v>
      </c>
      <c r="G242" s="14">
        <v>175</v>
      </c>
      <c r="H242" s="14">
        <v>8</v>
      </c>
      <c r="I242" s="14">
        <v>4</v>
      </c>
      <c r="J242" s="14" t="s">
        <v>204</v>
      </c>
      <c r="K242" s="14" cm="1">
        <f t="array" ref="K242">INT(SUMPRODUCT(--ISNUMBER(SEARCH(economy,C242)))&gt;0)</f>
        <v>0</v>
      </c>
      <c r="L242" s="14" cm="1">
        <f t="array" ref="L242">INT(SUMPRODUCT(--ISNUMBER(SEARCH(healthcare,C242)))&gt;0)</f>
        <v>0</v>
      </c>
      <c r="M242" s="14" cm="1">
        <f t="array" ref="M242">INT(SUMPRODUCT(--ISNUMBER(SEARCH(supreme,C242)))&gt;0)</f>
        <v>0</v>
      </c>
      <c r="N242" s="14" cm="1">
        <f t="array" ref="N242">INT(SUMPRODUCT(--ISNUMBER(SEARCH(covid,C242)))&gt;0)</f>
        <v>0</v>
      </c>
      <c r="O242" s="14" cm="1">
        <f t="array" ref="O242">INT(SUMPRODUCT(--ISNUMBER(SEARCH(violent,C242)))&gt;0)</f>
        <v>0</v>
      </c>
      <c r="P242" s="14" cm="1">
        <f t="array" ref="P242">INT(SUMPRODUCT(--ISNUMBER(SEARCH(foreign,C242)))&gt;0)</f>
        <v>0</v>
      </c>
      <c r="Q242" s="14" cm="1">
        <f t="array" ref="Q242">INT(SUMPRODUCT(--ISNUMBER(SEARCH(gun,C242)))&gt;0)</f>
        <v>0</v>
      </c>
      <c r="R242" s="14" cm="1">
        <f t="array" ref="R242">INT(SUMPRODUCT(--ISNUMBER(SEARCH(race,C242)))&gt;0)</f>
        <v>0</v>
      </c>
      <c r="S242" s="14" cm="1">
        <f t="array" ref="S242">INT(SUMPRODUCT(--ISNUMBER(SEARCH(immigration,C242)))&gt;0)</f>
        <v>0</v>
      </c>
      <c r="T242" s="14" cm="1">
        <f t="array" ref="T242">INT(SUMPRODUCT(--ISNUMBER(SEARCH(econineq,C243)))&gt;0)</f>
        <v>0</v>
      </c>
      <c r="U242" s="14" cm="1">
        <f t="array" ref="U242">INT(SUMPRODUCT(--ISNUMBER(SEARCH(climate,C242)))&gt;0)</f>
        <v>0</v>
      </c>
      <c r="V242" s="14" cm="1">
        <f t="array" ref="V242">INT(SUMPRODUCT(--ISNUMBER(SEARCH(abortion,C242)))&gt;0)</f>
        <v>0</v>
      </c>
      <c r="W242" s="14" cm="1">
        <f t="array" ref="W242">INT(SUMPRODUCT(--ISNUMBER(SEARCH(trump,C242)))&gt;0)</f>
        <v>0</v>
      </c>
      <c r="X242" s="14" cm="1">
        <f t="array" ref="X242">INT(SUMPRODUCT(--ISNUMBER(SEARCH(voting,C242)))&gt;0)</f>
        <v>1</v>
      </c>
      <c r="Y242" s="14" cm="1">
        <f t="array" ref="Y242">INT(SUMPRODUCT(--ISNUMBER(SEARCH(democrattrigger,C242)))&gt;0)</f>
        <v>0</v>
      </c>
      <c r="Z242" s="14" cm="1">
        <f t="array" ref="Z242">INT(SUMPRODUCT(--ISNUMBER(SEARCH(bipartisan,C242)))&gt;0)</f>
        <v>0</v>
      </c>
      <c r="AA242" s="14">
        <f t="shared" si="3"/>
        <v>0</v>
      </c>
      <c r="AB242" s="14"/>
      <c r="AC242" s="30" t="s">
        <v>223</v>
      </c>
      <c r="AD242" s="37" t="s">
        <v>223</v>
      </c>
    </row>
    <row r="243" spans="1:30" x14ac:dyDescent="0.25">
      <c r="A243" s="36">
        <v>1706</v>
      </c>
      <c r="B243" s="14" t="s">
        <v>3439</v>
      </c>
      <c r="C243" s="14" t="s">
        <v>3440</v>
      </c>
      <c r="D243" s="17">
        <v>44124</v>
      </c>
      <c r="E243" s="14" t="s">
        <v>30</v>
      </c>
      <c r="F243" s="14">
        <v>985</v>
      </c>
      <c r="G243" s="14">
        <v>441</v>
      </c>
      <c r="H243" s="14">
        <v>8</v>
      </c>
      <c r="I243" s="14">
        <v>4</v>
      </c>
      <c r="J243" s="14" t="s">
        <v>204</v>
      </c>
      <c r="K243" s="14" cm="1">
        <f t="array" ref="K243">INT(SUMPRODUCT(--ISNUMBER(SEARCH(economy,C243)))&gt;0)</f>
        <v>0</v>
      </c>
      <c r="L243" s="14" cm="1">
        <f t="array" ref="L243">INT(SUMPRODUCT(--ISNUMBER(SEARCH(healthcare,C243)))&gt;0)</f>
        <v>1</v>
      </c>
      <c r="M243" s="14" cm="1">
        <f t="array" ref="M243">INT(SUMPRODUCT(--ISNUMBER(SEARCH(supreme,C243)))&gt;0)</f>
        <v>1</v>
      </c>
      <c r="N243" s="14" cm="1">
        <f t="array" ref="N243">INT(SUMPRODUCT(--ISNUMBER(SEARCH(covid,C243)))&gt;0)</f>
        <v>0</v>
      </c>
      <c r="O243" s="14" cm="1">
        <f t="array" ref="O243">INT(SUMPRODUCT(--ISNUMBER(SEARCH(violent,C243)))&gt;0)</f>
        <v>0</v>
      </c>
      <c r="P243" s="14" cm="1">
        <f t="array" ref="P243">INT(SUMPRODUCT(--ISNUMBER(SEARCH(foreign,C243)))&gt;0)</f>
        <v>0</v>
      </c>
      <c r="Q243" s="14" cm="1">
        <f t="array" ref="Q243">INT(SUMPRODUCT(--ISNUMBER(SEARCH(gun,C243)))&gt;0)</f>
        <v>0</v>
      </c>
      <c r="R243" s="14" cm="1">
        <f t="array" ref="R243">INT(SUMPRODUCT(--ISNUMBER(SEARCH(race,C243)))&gt;0)</f>
        <v>0</v>
      </c>
      <c r="S243" s="14" cm="1">
        <f t="array" ref="S243">INT(SUMPRODUCT(--ISNUMBER(SEARCH(immigration,C243)))&gt;0)</f>
        <v>0</v>
      </c>
      <c r="T243" s="14" cm="1">
        <f t="array" ref="T243">INT(SUMPRODUCT(--ISNUMBER(SEARCH(econineq,C244)))&gt;0)</f>
        <v>0</v>
      </c>
      <c r="U243" s="14" cm="1">
        <f t="array" ref="U243">INT(SUMPRODUCT(--ISNUMBER(SEARCH(climate,C243)))&gt;0)</f>
        <v>0</v>
      </c>
      <c r="V243" s="14" cm="1">
        <f t="array" ref="V243">INT(SUMPRODUCT(--ISNUMBER(SEARCH(abortion,C243)))&gt;0)</f>
        <v>0</v>
      </c>
      <c r="W243" s="14" cm="1">
        <f t="array" ref="W243">INT(SUMPRODUCT(--ISNUMBER(SEARCH(trump,C243)))&gt;0)</f>
        <v>0</v>
      </c>
      <c r="X243" s="14" cm="1">
        <f t="array" ref="X243">INT(SUMPRODUCT(--ISNUMBER(SEARCH(voting,C243)))&gt;0)</f>
        <v>1</v>
      </c>
      <c r="Y243" s="14" cm="1">
        <f t="array" ref="Y243">INT(SUMPRODUCT(--ISNUMBER(SEARCH(democrattrigger,C243)))&gt;0)</f>
        <v>1</v>
      </c>
      <c r="Z243" s="14" cm="1">
        <f t="array" ref="Z243">INT(SUMPRODUCT(--ISNUMBER(SEARCH(bipartisan,C243)))&gt;0)</f>
        <v>0</v>
      </c>
      <c r="AA243" s="14">
        <f t="shared" si="3"/>
        <v>0</v>
      </c>
      <c r="AB243" s="14"/>
      <c r="AC243" s="30" t="s">
        <v>223</v>
      </c>
      <c r="AD243" s="37" t="s">
        <v>223</v>
      </c>
    </row>
    <row r="244" spans="1:30" x14ac:dyDescent="0.25">
      <c r="A244" s="36">
        <v>1707</v>
      </c>
      <c r="B244" s="14" t="s">
        <v>3441</v>
      </c>
      <c r="C244" s="14" t="s">
        <v>3442</v>
      </c>
      <c r="D244" s="17">
        <v>44124</v>
      </c>
      <c r="E244" s="14" t="s">
        <v>30</v>
      </c>
      <c r="F244" s="14">
        <v>12310</v>
      </c>
      <c r="G244" s="14">
        <v>1990</v>
      </c>
      <c r="H244" s="14">
        <v>8</v>
      </c>
      <c r="I244" s="14">
        <v>4</v>
      </c>
      <c r="J244" s="14" t="s">
        <v>204</v>
      </c>
      <c r="K244" s="14" cm="1">
        <f t="array" ref="K244">INT(SUMPRODUCT(--ISNUMBER(SEARCH(economy,C244)))&gt;0)</f>
        <v>0</v>
      </c>
      <c r="L244" s="14" cm="1">
        <f t="array" ref="L244">INT(SUMPRODUCT(--ISNUMBER(SEARCH(healthcare,C244)))&gt;0)</f>
        <v>0</v>
      </c>
      <c r="M244" s="14" cm="1">
        <f t="array" ref="M244">INT(SUMPRODUCT(--ISNUMBER(SEARCH(supreme,C244)))&gt;0)</f>
        <v>0</v>
      </c>
      <c r="N244" s="14" cm="1">
        <f t="array" ref="N244">INT(SUMPRODUCT(--ISNUMBER(SEARCH(covid,C244)))&gt;0)</f>
        <v>0</v>
      </c>
      <c r="O244" s="14" cm="1">
        <f t="array" ref="O244">INT(SUMPRODUCT(--ISNUMBER(SEARCH(violent,C244)))&gt;0)</f>
        <v>0</v>
      </c>
      <c r="P244" s="14" cm="1">
        <f t="array" ref="P244">INT(SUMPRODUCT(--ISNUMBER(SEARCH(foreign,C244)))&gt;0)</f>
        <v>0</v>
      </c>
      <c r="Q244" s="14" cm="1">
        <f t="array" ref="Q244">INT(SUMPRODUCT(--ISNUMBER(SEARCH(gun,C244)))&gt;0)</f>
        <v>0</v>
      </c>
      <c r="R244" s="14" cm="1">
        <f t="array" ref="R244">INT(SUMPRODUCT(--ISNUMBER(SEARCH(race,C244)))&gt;0)</f>
        <v>0</v>
      </c>
      <c r="S244" s="14" cm="1">
        <f t="array" ref="S244">INT(SUMPRODUCT(--ISNUMBER(SEARCH(immigration,C244)))&gt;0)</f>
        <v>0</v>
      </c>
      <c r="T244" s="14" cm="1">
        <f t="array" ref="T244">INT(SUMPRODUCT(--ISNUMBER(SEARCH(econineq,C245)))&gt;0)</f>
        <v>0</v>
      </c>
      <c r="U244" s="14" cm="1">
        <f t="array" ref="U244">INT(SUMPRODUCT(--ISNUMBER(SEARCH(climate,C244)))&gt;0)</f>
        <v>0</v>
      </c>
      <c r="V244" s="14" cm="1">
        <f t="array" ref="V244">INT(SUMPRODUCT(--ISNUMBER(SEARCH(abortion,C244)))&gt;0)</f>
        <v>0</v>
      </c>
      <c r="W244" s="14" cm="1">
        <f t="array" ref="W244">INT(SUMPRODUCT(--ISNUMBER(SEARCH(trump,C244)))&gt;0)</f>
        <v>1</v>
      </c>
      <c r="X244" s="14" cm="1">
        <f t="array" ref="X244">INT(SUMPRODUCT(--ISNUMBER(SEARCH(voting,C244)))&gt;0)</f>
        <v>0</v>
      </c>
      <c r="Y244" s="14" cm="1">
        <f t="array" ref="Y244">INT(SUMPRODUCT(--ISNUMBER(SEARCH(democrattrigger,C244)))&gt;0)</f>
        <v>0</v>
      </c>
      <c r="Z244" s="14" cm="1">
        <f t="array" ref="Z244">INT(SUMPRODUCT(--ISNUMBER(SEARCH(bipartisan,C244)))&gt;0)</f>
        <v>0</v>
      </c>
      <c r="AA244" s="14">
        <f t="shared" si="3"/>
        <v>0</v>
      </c>
      <c r="AB244" s="14"/>
      <c r="AC244" s="30" t="s">
        <v>223</v>
      </c>
      <c r="AD244" s="37" t="s">
        <v>223</v>
      </c>
    </row>
    <row r="245" spans="1:30" x14ac:dyDescent="0.25">
      <c r="A245" s="36">
        <v>1708</v>
      </c>
      <c r="B245" s="14" t="s">
        <v>3443</v>
      </c>
      <c r="C245" s="14" t="s">
        <v>3444</v>
      </c>
      <c r="D245" s="17">
        <v>44124</v>
      </c>
      <c r="E245" s="14" t="s">
        <v>30</v>
      </c>
      <c r="F245" s="14">
        <v>2361</v>
      </c>
      <c r="G245" s="14">
        <v>952</v>
      </c>
      <c r="H245" s="14">
        <v>8</v>
      </c>
      <c r="I245" s="14">
        <v>4</v>
      </c>
      <c r="J245" s="14" t="s">
        <v>204</v>
      </c>
      <c r="K245" s="14" cm="1">
        <f t="array" ref="K245">INT(SUMPRODUCT(--ISNUMBER(SEARCH(economy,C245)))&gt;0)</f>
        <v>0</v>
      </c>
      <c r="L245" s="14" cm="1">
        <f t="array" ref="L245">INT(SUMPRODUCT(--ISNUMBER(SEARCH(healthcare,C245)))&gt;0)</f>
        <v>1</v>
      </c>
      <c r="M245" s="14" cm="1">
        <f t="array" ref="M245">INT(SUMPRODUCT(--ISNUMBER(SEARCH(supreme,C245)))&gt;0)</f>
        <v>0</v>
      </c>
      <c r="N245" s="14" cm="1">
        <f t="array" ref="N245">INT(SUMPRODUCT(--ISNUMBER(SEARCH(covid,C245)))&gt;0)</f>
        <v>0</v>
      </c>
      <c r="O245" s="14" cm="1">
        <f t="array" ref="O245">INT(SUMPRODUCT(--ISNUMBER(SEARCH(violent,C245)))&gt;0)</f>
        <v>0</v>
      </c>
      <c r="P245" s="14" cm="1">
        <f t="array" ref="P245">INT(SUMPRODUCT(--ISNUMBER(SEARCH(foreign,C245)))&gt;0)</f>
        <v>0</v>
      </c>
      <c r="Q245" s="14" cm="1">
        <f t="array" ref="Q245">INT(SUMPRODUCT(--ISNUMBER(SEARCH(gun,C245)))&gt;0)</f>
        <v>0</v>
      </c>
      <c r="R245" s="14" cm="1">
        <f t="array" ref="R245">INT(SUMPRODUCT(--ISNUMBER(SEARCH(race,C245)))&gt;0)</f>
        <v>0</v>
      </c>
      <c r="S245" s="14" cm="1">
        <f t="array" ref="S245">INT(SUMPRODUCT(--ISNUMBER(SEARCH(immigration,C245)))&gt;0)</f>
        <v>0</v>
      </c>
      <c r="T245" s="14" cm="1">
        <f t="array" ref="T245">INT(SUMPRODUCT(--ISNUMBER(SEARCH(econineq,C246)))&gt;0)</f>
        <v>0</v>
      </c>
      <c r="U245" s="14" cm="1">
        <f t="array" ref="U245">INT(SUMPRODUCT(--ISNUMBER(SEARCH(climate,C245)))&gt;0)</f>
        <v>0</v>
      </c>
      <c r="V245" s="14" cm="1">
        <f t="array" ref="V245">INT(SUMPRODUCT(--ISNUMBER(SEARCH(abortion,C245)))&gt;0)</f>
        <v>0</v>
      </c>
      <c r="W245" s="14" cm="1">
        <f t="array" ref="W245">INT(SUMPRODUCT(--ISNUMBER(SEARCH(trump,C245)))&gt;0)</f>
        <v>1</v>
      </c>
      <c r="X245" s="14" cm="1">
        <f t="array" ref="X245">INT(SUMPRODUCT(--ISNUMBER(SEARCH(voting,C245)))&gt;0)</f>
        <v>1</v>
      </c>
      <c r="Y245" s="14" cm="1">
        <f t="array" ref="Y245">INT(SUMPRODUCT(--ISNUMBER(SEARCH(democrattrigger,C245)))&gt;0)</f>
        <v>1</v>
      </c>
      <c r="Z245" s="14" cm="1">
        <f t="array" ref="Z245">INT(SUMPRODUCT(--ISNUMBER(SEARCH(bipartisan,C245)))&gt;0)</f>
        <v>0</v>
      </c>
      <c r="AA245" s="14">
        <f t="shared" si="3"/>
        <v>0</v>
      </c>
      <c r="AB245" s="14"/>
      <c r="AC245" s="30">
        <v>0</v>
      </c>
      <c r="AD245" s="37">
        <v>1</v>
      </c>
    </row>
    <row r="246" spans="1:30" x14ac:dyDescent="0.25">
      <c r="A246" s="36">
        <v>1709</v>
      </c>
      <c r="B246" s="14" t="s">
        <v>3445</v>
      </c>
      <c r="C246" s="14" t="s">
        <v>3446</v>
      </c>
      <c r="D246" s="17">
        <v>44124</v>
      </c>
      <c r="E246" s="14" t="s">
        <v>30</v>
      </c>
      <c r="F246" s="14">
        <v>406</v>
      </c>
      <c r="G246" s="14">
        <v>117</v>
      </c>
      <c r="H246" s="14">
        <v>8</v>
      </c>
      <c r="I246" s="14">
        <v>4</v>
      </c>
      <c r="J246" s="14" t="s">
        <v>204</v>
      </c>
      <c r="K246" s="14" cm="1">
        <f t="array" ref="K246">INT(SUMPRODUCT(--ISNUMBER(SEARCH(economy,C246)))&gt;0)</f>
        <v>0</v>
      </c>
      <c r="L246" s="14" cm="1">
        <f t="array" ref="L246">INT(SUMPRODUCT(--ISNUMBER(SEARCH(healthcare,C246)))&gt;0)</f>
        <v>0</v>
      </c>
      <c r="M246" s="14" cm="1">
        <f t="array" ref="M246">INT(SUMPRODUCT(--ISNUMBER(SEARCH(supreme,C246)))&gt;0)</f>
        <v>0</v>
      </c>
      <c r="N246" s="14" cm="1">
        <f t="array" ref="N246">INT(SUMPRODUCT(--ISNUMBER(SEARCH(covid,C246)))&gt;0)</f>
        <v>0</v>
      </c>
      <c r="O246" s="14" cm="1">
        <f t="array" ref="O246">INT(SUMPRODUCT(--ISNUMBER(SEARCH(violent,C246)))&gt;0)</f>
        <v>0</v>
      </c>
      <c r="P246" s="14" cm="1">
        <f t="array" ref="P246">INT(SUMPRODUCT(--ISNUMBER(SEARCH(foreign,C246)))&gt;0)</f>
        <v>0</v>
      </c>
      <c r="Q246" s="14" cm="1">
        <f t="array" ref="Q246">INT(SUMPRODUCT(--ISNUMBER(SEARCH(gun,C246)))&gt;0)</f>
        <v>0</v>
      </c>
      <c r="R246" s="14" cm="1">
        <f t="array" ref="R246">INT(SUMPRODUCT(--ISNUMBER(SEARCH(race,C246)))&gt;0)</f>
        <v>0</v>
      </c>
      <c r="S246" s="14" cm="1">
        <f t="array" ref="S246">INT(SUMPRODUCT(--ISNUMBER(SEARCH(immigration,C246)))&gt;0)</f>
        <v>0</v>
      </c>
      <c r="T246" s="14" cm="1">
        <f t="array" ref="T246">INT(SUMPRODUCT(--ISNUMBER(SEARCH(econineq,C247)))&gt;0)</f>
        <v>0</v>
      </c>
      <c r="U246" s="14" cm="1">
        <f t="array" ref="U246">INT(SUMPRODUCT(--ISNUMBER(SEARCH(climate,C246)))&gt;0)</f>
        <v>0</v>
      </c>
      <c r="V246" s="14" cm="1">
        <f t="array" ref="V246">INT(SUMPRODUCT(--ISNUMBER(SEARCH(abortion,C246)))&gt;0)</f>
        <v>0</v>
      </c>
      <c r="W246" s="14" cm="1">
        <f t="array" ref="W246">INT(SUMPRODUCT(--ISNUMBER(SEARCH(trump,C246)))&gt;0)</f>
        <v>0</v>
      </c>
      <c r="X246" s="14" cm="1">
        <f t="array" ref="X246">INT(SUMPRODUCT(--ISNUMBER(SEARCH(voting,C246)))&gt;0)</f>
        <v>0</v>
      </c>
      <c r="Y246" s="14" cm="1">
        <f t="array" ref="Y246">INT(SUMPRODUCT(--ISNUMBER(SEARCH(democrattrigger,C246)))&gt;0)</f>
        <v>0</v>
      </c>
      <c r="Z246" s="14" cm="1">
        <f t="array" ref="Z246">INT(SUMPRODUCT(--ISNUMBER(SEARCH(bipartisan,C246)))&gt;0)</f>
        <v>0</v>
      </c>
      <c r="AA246" s="14">
        <f t="shared" si="3"/>
        <v>1</v>
      </c>
      <c r="AB246" s="14"/>
      <c r="AC246" s="30">
        <v>1</v>
      </c>
      <c r="AD246" s="37">
        <v>0</v>
      </c>
    </row>
    <row r="247" spans="1:30" x14ac:dyDescent="0.25">
      <c r="A247" s="36">
        <v>1710</v>
      </c>
      <c r="B247" s="14" t="s">
        <v>3447</v>
      </c>
      <c r="C247" s="14" t="s">
        <v>3448</v>
      </c>
      <c r="D247" s="17">
        <v>44123</v>
      </c>
      <c r="E247" s="14" t="s">
        <v>30</v>
      </c>
      <c r="F247" s="14">
        <v>1810</v>
      </c>
      <c r="G247" s="14">
        <v>517</v>
      </c>
      <c r="H247" s="14">
        <v>8</v>
      </c>
      <c r="I247" s="14">
        <v>4</v>
      </c>
      <c r="J247" s="14" t="s">
        <v>204</v>
      </c>
      <c r="K247" s="14" cm="1">
        <f t="array" ref="K247">INT(SUMPRODUCT(--ISNUMBER(SEARCH(economy,C247)))&gt;0)</f>
        <v>0</v>
      </c>
      <c r="L247" s="14" cm="1">
        <f t="array" ref="L247">INT(SUMPRODUCT(--ISNUMBER(SEARCH(healthcare,C247)))&gt;0)</f>
        <v>0</v>
      </c>
      <c r="M247" s="14" cm="1">
        <f t="array" ref="M247">INT(SUMPRODUCT(--ISNUMBER(SEARCH(supreme,C247)))&gt;0)</f>
        <v>0</v>
      </c>
      <c r="N247" s="14" cm="1">
        <f t="array" ref="N247">INT(SUMPRODUCT(--ISNUMBER(SEARCH(covid,C247)))&gt;0)</f>
        <v>0</v>
      </c>
      <c r="O247" s="14" cm="1">
        <f t="array" ref="O247">INT(SUMPRODUCT(--ISNUMBER(SEARCH(violent,C247)))&gt;0)</f>
        <v>0</v>
      </c>
      <c r="P247" s="14" cm="1">
        <f t="array" ref="P247">INT(SUMPRODUCT(--ISNUMBER(SEARCH(foreign,C247)))&gt;0)</f>
        <v>0</v>
      </c>
      <c r="Q247" s="14" cm="1">
        <f t="array" ref="Q247">INT(SUMPRODUCT(--ISNUMBER(SEARCH(gun,C247)))&gt;0)</f>
        <v>0</v>
      </c>
      <c r="R247" s="14" cm="1">
        <f t="array" ref="R247">INT(SUMPRODUCT(--ISNUMBER(SEARCH(race,C247)))&gt;0)</f>
        <v>0</v>
      </c>
      <c r="S247" s="14" cm="1">
        <f t="array" ref="S247">INT(SUMPRODUCT(--ISNUMBER(SEARCH(immigration,C247)))&gt;0)</f>
        <v>0</v>
      </c>
      <c r="T247" s="14" cm="1">
        <f t="array" ref="T247">INT(SUMPRODUCT(--ISNUMBER(SEARCH(econineq,C248)))&gt;0)</f>
        <v>0</v>
      </c>
      <c r="U247" s="14" cm="1">
        <f t="array" ref="U247">INT(SUMPRODUCT(--ISNUMBER(SEARCH(climate,C247)))&gt;0)</f>
        <v>0</v>
      </c>
      <c r="V247" s="14" cm="1">
        <f t="array" ref="V247">INT(SUMPRODUCT(--ISNUMBER(SEARCH(abortion,C247)))&gt;0)</f>
        <v>0</v>
      </c>
      <c r="W247" s="14" cm="1">
        <f t="array" ref="W247">INT(SUMPRODUCT(--ISNUMBER(SEARCH(trump,C247)))&gt;0)</f>
        <v>1</v>
      </c>
      <c r="X247" s="14" cm="1">
        <f t="array" ref="X247">INT(SUMPRODUCT(--ISNUMBER(SEARCH(voting,C247)))&gt;0)</f>
        <v>1</v>
      </c>
      <c r="Y247" s="14" cm="1">
        <f t="array" ref="Y247">INT(SUMPRODUCT(--ISNUMBER(SEARCH(democrattrigger,C247)))&gt;0)</f>
        <v>1</v>
      </c>
      <c r="Z247" s="14" cm="1">
        <f t="array" ref="Z247">INT(SUMPRODUCT(--ISNUMBER(SEARCH(bipartisan,C247)))&gt;0)</f>
        <v>0</v>
      </c>
      <c r="AA247" s="14">
        <f t="shared" si="3"/>
        <v>0</v>
      </c>
      <c r="AB247" s="14"/>
      <c r="AC247" s="30" t="s">
        <v>223</v>
      </c>
      <c r="AD247" s="37" t="s">
        <v>223</v>
      </c>
    </row>
    <row r="248" spans="1:30" x14ac:dyDescent="0.25">
      <c r="A248" s="36">
        <v>1711</v>
      </c>
      <c r="B248" s="14" t="s">
        <v>3449</v>
      </c>
      <c r="C248" s="14" t="s">
        <v>3450</v>
      </c>
      <c r="D248" s="17">
        <v>44123</v>
      </c>
      <c r="E248" s="14" t="s">
        <v>30</v>
      </c>
      <c r="F248" s="14">
        <v>980</v>
      </c>
      <c r="G248" s="14">
        <v>388</v>
      </c>
      <c r="H248" s="14">
        <v>8</v>
      </c>
      <c r="I248" s="14">
        <v>4</v>
      </c>
      <c r="J248" s="14" t="s">
        <v>204</v>
      </c>
      <c r="K248" s="14" cm="1">
        <f t="array" ref="K248">INT(SUMPRODUCT(--ISNUMBER(SEARCH(economy,C248)))&gt;0)</f>
        <v>0</v>
      </c>
      <c r="L248" s="14" cm="1">
        <f t="array" ref="L248">INT(SUMPRODUCT(--ISNUMBER(SEARCH(healthcare,C248)))&gt;0)</f>
        <v>0</v>
      </c>
      <c r="M248" s="14" cm="1">
        <f t="array" ref="M248">INT(SUMPRODUCT(--ISNUMBER(SEARCH(supreme,C248)))&gt;0)</f>
        <v>0</v>
      </c>
      <c r="N248" s="14" cm="1">
        <f t="array" ref="N248">INT(SUMPRODUCT(--ISNUMBER(SEARCH(covid,C248)))&gt;0)</f>
        <v>0</v>
      </c>
      <c r="O248" s="14" cm="1">
        <f t="array" ref="O248">INT(SUMPRODUCT(--ISNUMBER(SEARCH(violent,C248)))&gt;0)</f>
        <v>0</v>
      </c>
      <c r="P248" s="14" cm="1">
        <f t="array" ref="P248">INT(SUMPRODUCT(--ISNUMBER(SEARCH(foreign,C248)))&gt;0)</f>
        <v>0</v>
      </c>
      <c r="Q248" s="14" cm="1">
        <f t="array" ref="Q248">INT(SUMPRODUCT(--ISNUMBER(SEARCH(gun,C248)))&gt;0)</f>
        <v>0</v>
      </c>
      <c r="R248" s="14" cm="1">
        <f t="array" ref="R248">INT(SUMPRODUCT(--ISNUMBER(SEARCH(race,C248)))&gt;0)</f>
        <v>0</v>
      </c>
      <c r="S248" s="14" cm="1">
        <f t="array" ref="S248">INT(SUMPRODUCT(--ISNUMBER(SEARCH(immigration,C248)))&gt;0)</f>
        <v>0</v>
      </c>
      <c r="T248" s="14" cm="1">
        <f t="array" ref="T248">INT(SUMPRODUCT(--ISNUMBER(SEARCH(econineq,C249)))&gt;0)</f>
        <v>0</v>
      </c>
      <c r="U248" s="14" cm="1">
        <f t="array" ref="U248">INT(SUMPRODUCT(--ISNUMBER(SEARCH(climate,C248)))&gt;0)</f>
        <v>0</v>
      </c>
      <c r="V248" s="14" cm="1">
        <f t="array" ref="V248">INT(SUMPRODUCT(--ISNUMBER(SEARCH(abortion,C248)))&gt;0)</f>
        <v>0</v>
      </c>
      <c r="W248" s="14" cm="1">
        <f t="array" ref="W248">INT(SUMPRODUCT(--ISNUMBER(SEARCH(trump,C248)))&gt;0)</f>
        <v>0</v>
      </c>
      <c r="X248" s="14" cm="1">
        <f t="array" ref="X248">INT(SUMPRODUCT(--ISNUMBER(SEARCH(voting,C248)))&gt;0)</f>
        <v>1</v>
      </c>
      <c r="Y248" s="14" cm="1">
        <f t="array" ref="Y248">INT(SUMPRODUCT(--ISNUMBER(SEARCH(democrattrigger,C248)))&gt;0)</f>
        <v>0</v>
      </c>
      <c r="Z248" s="14" cm="1">
        <f t="array" ref="Z248">INT(SUMPRODUCT(--ISNUMBER(SEARCH(bipartisan,C248)))&gt;0)</f>
        <v>0</v>
      </c>
      <c r="AA248" s="14">
        <f t="shared" si="3"/>
        <v>0</v>
      </c>
      <c r="AB248" s="14"/>
      <c r="AC248" s="30">
        <v>0</v>
      </c>
      <c r="AD248" s="37">
        <v>1</v>
      </c>
    </row>
    <row r="249" spans="1:30" x14ac:dyDescent="0.25">
      <c r="A249" s="36">
        <v>1712</v>
      </c>
      <c r="B249" s="14" t="s">
        <v>3451</v>
      </c>
      <c r="C249" s="14" t="s">
        <v>3452</v>
      </c>
      <c r="D249" s="17">
        <v>44123</v>
      </c>
      <c r="E249" s="14" t="s">
        <v>70</v>
      </c>
      <c r="F249" s="14">
        <v>235</v>
      </c>
      <c r="G249" s="14">
        <v>104</v>
      </c>
      <c r="H249" s="14">
        <v>8</v>
      </c>
      <c r="I249" s="14">
        <v>4</v>
      </c>
      <c r="J249" s="14" t="s">
        <v>204</v>
      </c>
      <c r="K249" s="14" cm="1">
        <f t="array" ref="K249">INT(SUMPRODUCT(--ISNUMBER(SEARCH(economy,C249)))&gt;0)</f>
        <v>0</v>
      </c>
      <c r="L249" s="14" cm="1">
        <f t="array" ref="L249">INT(SUMPRODUCT(--ISNUMBER(SEARCH(healthcare,C249)))&gt;0)</f>
        <v>0</v>
      </c>
      <c r="M249" s="14" cm="1">
        <f t="array" ref="M249">INT(SUMPRODUCT(--ISNUMBER(SEARCH(supreme,C249)))&gt;0)</f>
        <v>0</v>
      </c>
      <c r="N249" s="14" cm="1">
        <f t="array" ref="N249">INT(SUMPRODUCT(--ISNUMBER(SEARCH(covid,C249)))&gt;0)</f>
        <v>0</v>
      </c>
      <c r="O249" s="14" cm="1">
        <f t="array" ref="O249">INT(SUMPRODUCT(--ISNUMBER(SEARCH(violent,C249)))&gt;0)</f>
        <v>0</v>
      </c>
      <c r="P249" s="14" cm="1">
        <f t="array" ref="P249">INT(SUMPRODUCT(--ISNUMBER(SEARCH(foreign,C249)))&gt;0)</f>
        <v>0</v>
      </c>
      <c r="Q249" s="14" cm="1">
        <f t="array" ref="Q249">INT(SUMPRODUCT(--ISNUMBER(SEARCH(gun,C249)))&gt;0)</f>
        <v>0</v>
      </c>
      <c r="R249" s="14" cm="1">
        <f t="array" ref="R249">INT(SUMPRODUCT(--ISNUMBER(SEARCH(race,C249)))&gt;0)</f>
        <v>0</v>
      </c>
      <c r="S249" s="14" cm="1">
        <f t="array" ref="S249">INT(SUMPRODUCT(--ISNUMBER(SEARCH(immigration,C249)))&gt;0)</f>
        <v>0</v>
      </c>
      <c r="T249" s="14" cm="1">
        <f t="array" ref="T249">INT(SUMPRODUCT(--ISNUMBER(SEARCH(econineq,C250)))&gt;0)</f>
        <v>0</v>
      </c>
      <c r="U249" s="14" cm="1">
        <f t="array" ref="U249">INT(SUMPRODUCT(--ISNUMBER(SEARCH(climate,C249)))&gt;0)</f>
        <v>0</v>
      </c>
      <c r="V249" s="14" cm="1">
        <f t="array" ref="V249">INT(SUMPRODUCT(--ISNUMBER(SEARCH(abortion,C249)))&gt;0)</f>
        <v>0</v>
      </c>
      <c r="W249" s="14" cm="1">
        <f t="array" ref="W249">INT(SUMPRODUCT(--ISNUMBER(SEARCH(trump,C249)))&gt;0)</f>
        <v>0</v>
      </c>
      <c r="X249" s="14" cm="1">
        <f t="array" ref="X249">INT(SUMPRODUCT(--ISNUMBER(SEARCH(voting,C249)))&gt;0)</f>
        <v>1</v>
      </c>
      <c r="Y249" s="14" cm="1">
        <f t="array" ref="Y249">INT(SUMPRODUCT(--ISNUMBER(SEARCH(democrattrigger,C249)))&gt;0)</f>
        <v>0</v>
      </c>
      <c r="Z249" s="14" cm="1">
        <f t="array" ref="Z249">INT(SUMPRODUCT(--ISNUMBER(SEARCH(bipartisan,C249)))&gt;0)</f>
        <v>0</v>
      </c>
      <c r="AA249" s="14">
        <f t="shared" si="3"/>
        <v>0</v>
      </c>
      <c r="AB249" s="14"/>
      <c r="AC249" s="30" t="s">
        <v>223</v>
      </c>
      <c r="AD249" s="37" t="s">
        <v>223</v>
      </c>
    </row>
    <row r="250" spans="1:30" x14ac:dyDescent="0.25">
      <c r="A250" s="36">
        <v>1713</v>
      </c>
      <c r="B250" s="14" t="s">
        <v>3453</v>
      </c>
      <c r="C250" s="14" t="s">
        <v>3454</v>
      </c>
      <c r="D250" s="17">
        <v>44123</v>
      </c>
      <c r="E250" s="14" t="s">
        <v>30</v>
      </c>
      <c r="F250" s="14">
        <v>1061</v>
      </c>
      <c r="G250" s="14">
        <v>389</v>
      </c>
      <c r="H250" s="14">
        <v>8</v>
      </c>
      <c r="I250" s="14">
        <v>4</v>
      </c>
      <c r="J250" s="14" t="s">
        <v>204</v>
      </c>
      <c r="K250" s="14" cm="1">
        <f t="array" ref="K250">INT(SUMPRODUCT(--ISNUMBER(SEARCH(economy,C250)))&gt;0)</f>
        <v>0</v>
      </c>
      <c r="L250" s="14" cm="1">
        <f t="array" ref="L250">INT(SUMPRODUCT(--ISNUMBER(SEARCH(healthcare,C250)))&gt;0)</f>
        <v>0</v>
      </c>
      <c r="M250" s="14" cm="1">
        <f t="array" ref="M250">INT(SUMPRODUCT(--ISNUMBER(SEARCH(supreme,C250)))&gt;0)</f>
        <v>0</v>
      </c>
      <c r="N250" s="14" cm="1">
        <f t="array" ref="N250">INT(SUMPRODUCT(--ISNUMBER(SEARCH(covid,C250)))&gt;0)</f>
        <v>0</v>
      </c>
      <c r="O250" s="14" cm="1">
        <f t="array" ref="O250">INT(SUMPRODUCT(--ISNUMBER(SEARCH(violent,C250)))&gt;0)</f>
        <v>0</v>
      </c>
      <c r="P250" s="14" cm="1">
        <f t="array" ref="P250">INT(SUMPRODUCT(--ISNUMBER(SEARCH(foreign,C250)))&gt;0)</f>
        <v>0</v>
      </c>
      <c r="Q250" s="14" cm="1">
        <f t="array" ref="Q250">INT(SUMPRODUCT(--ISNUMBER(SEARCH(gun,C250)))&gt;0)</f>
        <v>0</v>
      </c>
      <c r="R250" s="14" cm="1">
        <f t="array" ref="R250">INT(SUMPRODUCT(--ISNUMBER(SEARCH(race,C250)))&gt;0)</f>
        <v>0</v>
      </c>
      <c r="S250" s="14" cm="1">
        <f t="array" ref="S250">INT(SUMPRODUCT(--ISNUMBER(SEARCH(immigration,C250)))&gt;0)</f>
        <v>0</v>
      </c>
      <c r="T250" s="14" cm="1">
        <f t="array" ref="T250">INT(SUMPRODUCT(--ISNUMBER(SEARCH(econineq,C251)))&gt;0)</f>
        <v>0</v>
      </c>
      <c r="U250" s="14" cm="1">
        <f t="array" ref="U250">INT(SUMPRODUCT(--ISNUMBER(SEARCH(climate,C250)))&gt;0)</f>
        <v>0</v>
      </c>
      <c r="V250" s="14" cm="1">
        <f t="array" ref="V250">INT(SUMPRODUCT(--ISNUMBER(SEARCH(abortion,C250)))&gt;0)</f>
        <v>0</v>
      </c>
      <c r="W250" s="14" cm="1">
        <f t="array" ref="W250">INT(SUMPRODUCT(--ISNUMBER(SEARCH(trump,C250)))&gt;0)</f>
        <v>0</v>
      </c>
      <c r="X250" s="14" cm="1">
        <f t="array" ref="X250">INT(SUMPRODUCT(--ISNUMBER(SEARCH(voting,C250)))&gt;0)</f>
        <v>1</v>
      </c>
      <c r="Y250" s="14" cm="1">
        <f t="array" ref="Y250">INT(SUMPRODUCT(--ISNUMBER(SEARCH(democrattrigger,C250)))&gt;0)</f>
        <v>0</v>
      </c>
      <c r="Z250" s="14" cm="1">
        <f t="array" ref="Z250">INT(SUMPRODUCT(--ISNUMBER(SEARCH(bipartisan,C250)))&gt;0)</f>
        <v>0</v>
      </c>
      <c r="AA250" s="14">
        <f t="shared" si="3"/>
        <v>0</v>
      </c>
      <c r="AB250" s="14"/>
      <c r="AC250" s="30" t="s">
        <v>223</v>
      </c>
      <c r="AD250" s="37" t="s">
        <v>223</v>
      </c>
    </row>
    <row r="251" spans="1:30" x14ac:dyDescent="0.25">
      <c r="A251" s="36">
        <v>1714</v>
      </c>
      <c r="B251" s="14" t="s">
        <v>3455</v>
      </c>
      <c r="C251" s="14" t="s">
        <v>3456</v>
      </c>
      <c r="D251" s="17">
        <v>44123</v>
      </c>
      <c r="E251" s="14" t="s">
        <v>30</v>
      </c>
      <c r="F251" s="14">
        <v>1089</v>
      </c>
      <c r="G251" s="14">
        <v>393</v>
      </c>
      <c r="H251" s="14">
        <v>8</v>
      </c>
      <c r="I251" s="14">
        <v>4</v>
      </c>
      <c r="J251" s="14" t="s">
        <v>204</v>
      </c>
      <c r="K251" s="14" cm="1">
        <f t="array" ref="K251">INT(SUMPRODUCT(--ISNUMBER(SEARCH(economy,C251)))&gt;0)</f>
        <v>0</v>
      </c>
      <c r="L251" s="14" cm="1">
        <f t="array" ref="L251">INT(SUMPRODUCT(--ISNUMBER(SEARCH(healthcare,C251)))&gt;0)</f>
        <v>0</v>
      </c>
      <c r="M251" s="14" cm="1">
        <f t="array" ref="M251">INT(SUMPRODUCT(--ISNUMBER(SEARCH(supreme,C251)))&gt;0)</f>
        <v>0</v>
      </c>
      <c r="N251" s="14" cm="1">
        <f t="array" ref="N251">INT(SUMPRODUCT(--ISNUMBER(SEARCH(covid,C251)))&gt;0)</f>
        <v>0</v>
      </c>
      <c r="O251" s="14" cm="1">
        <f t="array" ref="O251">INT(SUMPRODUCT(--ISNUMBER(SEARCH(violent,C251)))&gt;0)</f>
        <v>0</v>
      </c>
      <c r="P251" s="14" cm="1">
        <f t="array" ref="P251">INT(SUMPRODUCT(--ISNUMBER(SEARCH(foreign,C251)))&gt;0)</f>
        <v>0</v>
      </c>
      <c r="Q251" s="14" cm="1">
        <f t="array" ref="Q251">INT(SUMPRODUCT(--ISNUMBER(SEARCH(gun,C251)))&gt;0)</f>
        <v>0</v>
      </c>
      <c r="R251" s="14" cm="1">
        <f t="array" ref="R251">INT(SUMPRODUCT(--ISNUMBER(SEARCH(race,C251)))&gt;0)</f>
        <v>0</v>
      </c>
      <c r="S251" s="14" cm="1">
        <f t="array" ref="S251">INT(SUMPRODUCT(--ISNUMBER(SEARCH(immigration,C251)))&gt;0)</f>
        <v>0</v>
      </c>
      <c r="T251" s="14" cm="1">
        <f t="array" ref="T251">INT(SUMPRODUCT(--ISNUMBER(SEARCH(econineq,C252)))&gt;0)</f>
        <v>0</v>
      </c>
      <c r="U251" s="14" cm="1">
        <f t="array" ref="U251">INT(SUMPRODUCT(--ISNUMBER(SEARCH(climate,C251)))&gt;0)</f>
        <v>0</v>
      </c>
      <c r="V251" s="14" cm="1">
        <f t="array" ref="V251">INT(SUMPRODUCT(--ISNUMBER(SEARCH(abortion,C251)))&gt;0)</f>
        <v>0</v>
      </c>
      <c r="W251" s="14" cm="1">
        <f t="array" ref="W251">INT(SUMPRODUCT(--ISNUMBER(SEARCH(trump,C251)))&gt;0)</f>
        <v>0</v>
      </c>
      <c r="X251" s="14" cm="1">
        <f t="array" ref="X251">INT(SUMPRODUCT(--ISNUMBER(SEARCH(voting,C251)))&gt;0)</f>
        <v>0</v>
      </c>
      <c r="Y251" s="14" cm="1">
        <f t="array" ref="Y251">INT(SUMPRODUCT(--ISNUMBER(SEARCH(democrattrigger,C251)))&gt;0)</f>
        <v>1</v>
      </c>
      <c r="Z251" s="14" cm="1">
        <f t="array" ref="Z251">INT(SUMPRODUCT(--ISNUMBER(SEARCH(bipartisan,C251)))&gt;0)</f>
        <v>0</v>
      </c>
      <c r="AA251" s="14">
        <f t="shared" si="3"/>
        <v>0</v>
      </c>
      <c r="AB251" s="14"/>
      <c r="AC251" s="30">
        <v>1</v>
      </c>
      <c r="AD251" s="37">
        <v>0</v>
      </c>
    </row>
    <row r="252" spans="1:30" x14ac:dyDescent="0.25">
      <c r="A252" s="36">
        <v>1715</v>
      </c>
      <c r="B252" s="14" t="s">
        <v>3457</v>
      </c>
      <c r="C252" s="14" t="s">
        <v>3458</v>
      </c>
      <c r="D252" s="17">
        <v>44123</v>
      </c>
      <c r="E252" s="14" t="s">
        <v>30</v>
      </c>
      <c r="F252" s="14">
        <v>465</v>
      </c>
      <c r="G252" s="14">
        <v>125</v>
      </c>
      <c r="H252" s="14">
        <v>8</v>
      </c>
      <c r="I252" s="14">
        <v>4</v>
      </c>
      <c r="J252" s="14" t="s">
        <v>204</v>
      </c>
      <c r="K252" s="14" cm="1">
        <f t="array" ref="K252">INT(SUMPRODUCT(--ISNUMBER(SEARCH(economy,C252)))&gt;0)</f>
        <v>0</v>
      </c>
      <c r="L252" s="14" cm="1">
        <f t="array" ref="L252">INT(SUMPRODUCT(--ISNUMBER(SEARCH(healthcare,C252)))&gt;0)</f>
        <v>1</v>
      </c>
      <c r="M252" s="14" cm="1">
        <f t="array" ref="M252">INT(SUMPRODUCT(--ISNUMBER(SEARCH(supreme,C252)))&gt;0)</f>
        <v>0</v>
      </c>
      <c r="N252" s="14" cm="1">
        <f t="array" ref="N252">INT(SUMPRODUCT(--ISNUMBER(SEARCH(covid,C252)))&gt;0)</f>
        <v>1</v>
      </c>
      <c r="O252" s="14" cm="1">
        <f t="array" ref="O252">INT(SUMPRODUCT(--ISNUMBER(SEARCH(violent,C252)))&gt;0)</f>
        <v>0</v>
      </c>
      <c r="P252" s="14" cm="1">
        <f t="array" ref="P252">INT(SUMPRODUCT(--ISNUMBER(SEARCH(foreign,C252)))&gt;0)</f>
        <v>0</v>
      </c>
      <c r="Q252" s="14" cm="1">
        <f t="array" ref="Q252">INT(SUMPRODUCT(--ISNUMBER(SEARCH(gun,C252)))&gt;0)</f>
        <v>0</v>
      </c>
      <c r="R252" s="14" cm="1">
        <f t="array" ref="R252">INT(SUMPRODUCT(--ISNUMBER(SEARCH(race,C252)))&gt;0)</f>
        <v>0</v>
      </c>
      <c r="S252" s="14" cm="1">
        <f t="array" ref="S252">INT(SUMPRODUCT(--ISNUMBER(SEARCH(immigration,C252)))&gt;0)</f>
        <v>0</v>
      </c>
      <c r="T252" s="14" cm="1">
        <f t="array" ref="T252">INT(SUMPRODUCT(--ISNUMBER(SEARCH(econineq,C253)))&gt;0)</f>
        <v>0</v>
      </c>
      <c r="U252" s="14" cm="1">
        <f t="array" ref="U252">INT(SUMPRODUCT(--ISNUMBER(SEARCH(climate,C252)))&gt;0)</f>
        <v>0</v>
      </c>
      <c r="V252" s="14" cm="1">
        <f t="array" ref="V252">INT(SUMPRODUCT(--ISNUMBER(SEARCH(abortion,C252)))&gt;0)</f>
        <v>0</v>
      </c>
      <c r="W252" s="14" cm="1">
        <f t="array" ref="W252">INT(SUMPRODUCT(--ISNUMBER(SEARCH(trump,C252)))&gt;0)</f>
        <v>0</v>
      </c>
      <c r="X252" s="14" cm="1">
        <f t="array" ref="X252">INT(SUMPRODUCT(--ISNUMBER(SEARCH(voting,C252)))&gt;0)</f>
        <v>0</v>
      </c>
      <c r="Y252" s="14" cm="1">
        <f t="array" ref="Y252">INT(SUMPRODUCT(--ISNUMBER(SEARCH(democrattrigger,C252)))&gt;0)</f>
        <v>0</v>
      </c>
      <c r="Z252" s="14" cm="1">
        <f t="array" ref="Z252">INT(SUMPRODUCT(--ISNUMBER(SEARCH(bipartisan,C252)))&gt;0)</f>
        <v>0</v>
      </c>
      <c r="AA252" s="14">
        <f t="shared" si="3"/>
        <v>0</v>
      </c>
      <c r="AB252" s="14"/>
      <c r="AC252" s="30">
        <v>1</v>
      </c>
      <c r="AD252" s="37">
        <v>0</v>
      </c>
    </row>
    <row r="253" spans="1:30" x14ac:dyDescent="0.25">
      <c r="A253" s="36">
        <v>1716</v>
      </c>
      <c r="B253" s="14" t="s">
        <v>3459</v>
      </c>
      <c r="C253" s="14" t="s">
        <v>3460</v>
      </c>
      <c r="D253" s="17">
        <v>44123</v>
      </c>
      <c r="E253" s="14" t="s">
        <v>30</v>
      </c>
      <c r="F253" s="14">
        <v>611</v>
      </c>
      <c r="G253" s="14">
        <v>187</v>
      </c>
      <c r="H253" s="14">
        <v>8</v>
      </c>
      <c r="I253" s="14">
        <v>4</v>
      </c>
      <c r="J253" s="14" t="s">
        <v>204</v>
      </c>
      <c r="K253" s="14" cm="1">
        <f t="array" ref="K253">INT(SUMPRODUCT(--ISNUMBER(SEARCH(economy,C253)))&gt;0)</f>
        <v>0</v>
      </c>
      <c r="L253" s="14" cm="1">
        <f t="array" ref="L253">INT(SUMPRODUCT(--ISNUMBER(SEARCH(healthcare,C253)))&gt;0)</f>
        <v>1</v>
      </c>
      <c r="M253" s="14" cm="1">
        <f t="array" ref="M253">INT(SUMPRODUCT(--ISNUMBER(SEARCH(supreme,C253)))&gt;0)</f>
        <v>0</v>
      </c>
      <c r="N253" s="14" cm="1">
        <f t="array" ref="N253">INT(SUMPRODUCT(--ISNUMBER(SEARCH(covid,C253)))&gt;0)</f>
        <v>0</v>
      </c>
      <c r="O253" s="14" cm="1">
        <f t="array" ref="O253">INT(SUMPRODUCT(--ISNUMBER(SEARCH(violent,C253)))&gt;0)</f>
        <v>0</v>
      </c>
      <c r="P253" s="14" cm="1">
        <f t="array" ref="P253">INT(SUMPRODUCT(--ISNUMBER(SEARCH(foreign,C253)))&gt;0)</f>
        <v>1</v>
      </c>
      <c r="Q253" s="14" cm="1">
        <f t="array" ref="Q253">INT(SUMPRODUCT(--ISNUMBER(SEARCH(gun,C253)))&gt;0)</f>
        <v>0</v>
      </c>
      <c r="R253" s="14" cm="1">
        <f t="array" ref="R253">INT(SUMPRODUCT(--ISNUMBER(SEARCH(race,C253)))&gt;0)</f>
        <v>0</v>
      </c>
      <c r="S253" s="14" cm="1">
        <f t="array" ref="S253">INT(SUMPRODUCT(--ISNUMBER(SEARCH(immigration,C253)))&gt;0)</f>
        <v>0</v>
      </c>
      <c r="T253" s="14" cm="1">
        <f t="array" ref="T253">INT(SUMPRODUCT(--ISNUMBER(SEARCH(econineq,C254)))&gt;0)</f>
        <v>0</v>
      </c>
      <c r="U253" s="14" cm="1">
        <f t="array" ref="U253">INT(SUMPRODUCT(--ISNUMBER(SEARCH(climate,C253)))&gt;0)</f>
        <v>0</v>
      </c>
      <c r="V253" s="14" cm="1">
        <f t="array" ref="V253">INT(SUMPRODUCT(--ISNUMBER(SEARCH(abortion,C253)))&gt;0)</f>
        <v>0</v>
      </c>
      <c r="W253" s="14" cm="1">
        <f t="array" ref="W253">INT(SUMPRODUCT(--ISNUMBER(SEARCH(trump,C253)))&gt;0)</f>
        <v>0</v>
      </c>
      <c r="X253" s="14" cm="1">
        <f t="array" ref="X253">INT(SUMPRODUCT(--ISNUMBER(SEARCH(voting,C253)))&gt;0)</f>
        <v>1</v>
      </c>
      <c r="Y253" s="14" cm="1">
        <f t="array" ref="Y253">INT(SUMPRODUCT(--ISNUMBER(SEARCH(democrattrigger,C253)))&gt;0)</f>
        <v>0</v>
      </c>
      <c r="Z253" s="14" cm="1">
        <f t="array" ref="Z253">INT(SUMPRODUCT(--ISNUMBER(SEARCH(bipartisan,C253)))&gt;0)</f>
        <v>0</v>
      </c>
      <c r="AA253" s="14">
        <f t="shared" si="3"/>
        <v>0</v>
      </c>
      <c r="AB253" s="14"/>
      <c r="AC253" s="30">
        <v>1</v>
      </c>
      <c r="AD253" s="37">
        <v>0</v>
      </c>
    </row>
    <row r="254" spans="1:30" x14ac:dyDescent="0.25">
      <c r="A254" s="36">
        <v>1717</v>
      </c>
      <c r="B254" s="14" t="s">
        <v>3461</v>
      </c>
      <c r="C254" s="14" t="s">
        <v>3462</v>
      </c>
      <c r="D254" s="17">
        <v>44123</v>
      </c>
      <c r="E254" s="14" t="s">
        <v>30</v>
      </c>
      <c r="F254" s="14">
        <v>7845</v>
      </c>
      <c r="G254" s="14">
        <v>2622</v>
      </c>
      <c r="H254" s="14">
        <v>8</v>
      </c>
      <c r="I254" s="14">
        <v>4</v>
      </c>
      <c r="J254" s="14" t="s">
        <v>204</v>
      </c>
      <c r="K254" s="14" cm="1">
        <f t="array" ref="K254">INT(SUMPRODUCT(--ISNUMBER(SEARCH(economy,C254)))&gt;0)</f>
        <v>0</v>
      </c>
      <c r="L254" s="14" cm="1">
        <f t="array" ref="L254">INT(SUMPRODUCT(--ISNUMBER(SEARCH(healthcare,C254)))&gt;0)</f>
        <v>0</v>
      </c>
      <c r="M254" s="14" cm="1">
        <f t="array" ref="M254">INT(SUMPRODUCT(--ISNUMBER(SEARCH(supreme,C254)))&gt;0)</f>
        <v>0</v>
      </c>
      <c r="N254" s="14" cm="1">
        <f t="array" ref="N254">INT(SUMPRODUCT(--ISNUMBER(SEARCH(covid,C254)))&gt;0)</f>
        <v>0</v>
      </c>
      <c r="O254" s="14" cm="1">
        <f t="array" ref="O254">INT(SUMPRODUCT(--ISNUMBER(SEARCH(violent,C254)))&gt;0)</f>
        <v>0</v>
      </c>
      <c r="P254" s="14" cm="1">
        <f t="array" ref="P254">INT(SUMPRODUCT(--ISNUMBER(SEARCH(foreign,C254)))&gt;0)</f>
        <v>0</v>
      </c>
      <c r="Q254" s="14" cm="1">
        <f t="array" ref="Q254">INT(SUMPRODUCT(--ISNUMBER(SEARCH(gun,C254)))&gt;0)</f>
        <v>0</v>
      </c>
      <c r="R254" s="14" cm="1">
        <f t="array" ref="R254">INT(SUMPRODUCT(--ISNUMBER(SEARCH(race,C254)))&gt;0)</f>
        <v>0</v>
      </c>
      <c r="S254" s="14" cm="1">
        <f t="array" ref="S254">INT(SUMPRODUCT(--ISNUMBER(SEARCH(immigration,C254)))&gt;0)</f>
        <v>0</v>
      </c>
      <c r="T254" s="14" cm="1">
        <f t="array" ref="T254">INT(SUMPRODUCT(--ISNUMBER(SEARCH(econineq,C255)))&gt;0)</f>
        <v>0</v>
      </c>
      <c r="U254" s="14" cm="1">
        <f t="array" ref="U254">INT(SUMPRODUCT(--ISNUMBER(SEARCH(climate,C254)))&gt;0)</f>
        <v>0</v>
      </c>
      <c r="V254" s="14" cm="1">
        <f t="array" ref="V254">INT(SUMPRODUCT(--ISNUMBER(SEARCH(abortion,C254)))&gt;0)</f>
        <v>0</v>
      </c>
      <c r="W254" s="14" cm="1">
        <f t="array" ref="W254">INT(SUMPRODUCT(--ISNUMBER(SEARCH(trump,C254)))&gt;0)</f>
        <v>0</v>
      </c>
      <c r="X254" s="14" cm="1">
        <f t="array" ref="X254">INT(SUMPRODUCT(--ISNUMBER(SEARCH(voting,C254)))&gt;0)</f>
        <v>1</v>
      </c>
      <c r="Y254" s="14" cm="1">
        <f t="array" ref="Y254">INT(SUMPRODUCT(--ISNUMBER(SEARCH(democrattrigger,C254)))&gt;0)</f>
        <v>0</v>
      </c>
      <c r="Z254" s="14" cm="1">
        <f t="array" ref="Z254">INT(SUMPRODUCT(--ISNUMBER(SEARCH(bipartisan,C254)))&gt;0)</f>
        <v>0</v>
      </c>
      <c r="AA254" s="14">
        <f t="shared" si="3"/>
        <v>0</v>
      </c>
      <c r="AB254" s="14"/>
      <c r="AC254" s="30">
        <v>0</v>
      </c>
      <c r="AD254" s="37">
        <v>1</v>
      </c>
    </row>
    <row r="255" spans="1:30" x14ac:dyDescent="0.25">
      <c r="A255" s="36">
        <v>1718</v>
      </c>
      <c r="B255" s="14" t="s">
        <v>3463</v>
      </c>
      <c r="C255" s="14" t="s">
        <v>3464</v>
      </c>
      <c r="D255" s="17">
        <v>44123</v>
      </c>
      <c r="E255" s="14" t="s">
        <v>30</v>
      </c>
      <c r="F255" s="14">
        <v>2148</v>
      </c>
      <c r="G255" s="14">
        <v>752</v>
      </c>
      <c r="H255" s="14">
        <v>8</v>
      </c>
      <c r="I255" s="14">
        <v>4</v>
      </c>
      <c r="J255" s="14" t="s">
        <v>204</v>
      </c>
      <c r="K255" s="14" cm="1">
        <f t="array" ref="K255">INT(SUMPRODUCT(--ISNUMBER(SEARCH(economy,C255)))&gt;0)</f>
        <v>1</v>
      </c>
      <c r="L255" s="14" cm="1">
        <f t="array" ref="L255">INT(SUMPRODUCT(--ISNUMBER(SEARCH(healthcare,C255)))&gt;0)</f>
        <v>0</v>
      </c>
      <c r="M255" s="14" cm="1">
        <f t="array" ref="M255">INT(SUMPRODUCT(--ISNUMBER(SEARCH(supreme,C255)))&gt;0)</f>
        <v>0</v>
      </c>
      <c r="N255" s="14" cm="1">
        <f t="array" ref="N255">INT(SUMPRODUCT(--ISNUMBER(SEARCH(covid,C255)))&gt;0)</f>
        <v>0</v>
      </c>
      <c r="O255" s="14" cm="1">
        <f t="array" ref="O255">INT(SUMPRODUCT(--ISNUMBER(SEARCH(violent,C255)))&gt;0)</f>
        <v>0</v>
      </c>
      <c r="P255" s="14" cm="1">
        <f t="array" ref="P255">INT(SUMPRODUCT(--ISNUMBER(SEARCH(foreign,C255)))&gt;0)</f>
        <v>0</v>
      </c>
      <c r="Q255" s="14" cm="1">
        <f t="array" ref="Q255">INT(SUMPRODUCT(--ISNUMBER(SEARCH(gun,C255)))&gt;0)</f>
        <v>0</v>
      </c>
      <c r="R255" s="14" cm="1">
        <f t="array" ref="R255">INT(SUMPRODUCT(--ISNUMBER(SEARCH(race,C255)))&gt;0)</f>
        <v>0</v>
      </c>
      <c r="S255" s="14" cm="1">
        <f t="array" ref="S255">INT(SUMPRODUCT(--ISNUMBER(SEARCH(immigration,C255)))&gt;0)</f>
        <v>0</v>
      </c>
      <c r="T255" s="14" cm="1">
        <f t="array" ref="T255">INT(SUMPRODUCT(--ISNUMBER(SEARCH(econineq,C256)))&gt;0)</f>
        <v>0</v>
      </c>
      <c r="U255" s="14" cm="1">
        <f t="array" ref="U255">INT(SUMPRODUCT(--ISNUMBER(SEARCH(climate,C255)))&gt;0)</f>
        <v>0</v>
      </c>
      <c r="V255" s="14" cm="1">
        <f t="array" ref="V255">INT(SUMPRODUCT(--ISNUMBER(SEARCH(abortion,C255)))&gt;0)</f>
        <v>0</v>
      </c>
      <c r="W255" s="14" cm="1">
        <f t="array" ref="W255">INT(SUMPRODUCT(--ISNUMBER(SEARCH(trump,C255)))&gt;0)</f>
        <v>0</v>
      </c>
      <c r="X255" s="14" cm="1">
        <f t="array" ref="X255">INT(SUMPRODUCT(--ISNUMBER(SEARCH(voting,C255)))&gt;0)</f>
        <v>0</v>
      </c>
      <c r="Y255" s="14" cm="1">
        <f t="array" ref="Y255">INT(SUMPRODUCT(--ISNUMBER(SEARCH(democrattrigger,C255)))&gt;0)</f>
        <v>1</v>
      </c>
      <c r="Z255" s="14" cm="1">
        <f t="array" ref="Z255">INT(SUMPRODUCT(--ISNUMBER(SEARCH(bipartisan,C255)))&gt;0)</f>
        <v>0</v>
      </c>
      <c r="AA255" s="14">
        <f t="shared" si="3"/>
        <v>0</v>
      </c>
      <c r="AB255" s="14"/>
      <c r="AC255" s="30">
        <v>0</v>
      </c>
      <c r="AD255" s="37">
        <v>1</v>
      </c>
    </row>
    <row r="256" spans="1:30" x14ac:dyDescent="0.25">
      <c r="A256" s="36">
        <v>1719</v>
      </c>
      <c r="B256" s="14" t="s">
        <v>3465</v>
      </c>
      <c r="C256" s="14" t="s">
        <v>3466</v>
      </c>
      <c r="D256" s="17">
        <v>44123</v>
      </c>
      <c r="E256" s="14" t="s">
        <v>30</v>
      </c>
      <c r="F256" s="14">
        <v>517</v>
      </c>
      <c r="G256" s="14">
        <v>188</v>
      </c>
      <c r="H256" s="14">
        <v>8</v>
      </c>
      <c r="I256" s="14">
        <v>4</v>
      </c>
      <c r="J256" s="14" t="s">
        <v>204</v>
      </c>
      <c r="K256" s="14" cm="1">
        <f t="array" ref="K256">INT(SUMPRODUCT(--ISNUMBER(SEARCH(economy,C256)))&gt;0)</f>
        <v>0</v>
      </c>
      <c r="L256" s="14" cm="1">
        <f t="array" ref="L256">INT(SUMPRODUCT(--ISNUMBER(SEARCH(healthcare,C256)))&gt;0)</f>
        <v>0</v>
      </c>
      <c r="M256" s="14" cm="1">
        <f t="array" ref="M256">INT(SUMPRODUCT(--ISNUMBER(SEARCH(supreme,C256)))&gt;0)</f>
        <v>0</v>
      </c>
      <c r="N256" s="14" cm="1">
        <f t="array" ref="N256">INT(SUMPRODUCT(--ISNUMBER(SEARCH(covid,C256)))&gt;0)</f>
        <v>0</v>
      </c>
      <c r="O256" s="14" cm="1">
        <f t="array" ref="O256">INT(SUMPRODUCT(--ISNUMBER(SEARCH(violent,C256)))&gt;0)</f>
        <v>0</v>
      </c>
      <c r="P256" s="14" cm="1">
        <f t="array" ref="P256">INT(SUMPRODUCT(--ISNUMBER(SEARCH(foreign,C256)))&gt;0)</f>
        <v>0</v>
      </c>
      <c r="Q256" s="14" cm="1">
        <f t="array" ref="Q256">INT(SUMPRODUCT(--ISNUMBER(SEARCH(gun,C256)))&gt;0)</f>
        <v>0</v>
      </c>
      <c r="R256" s="14" cm="1">
        <f t="array" ref="R256">INT(SUMPRODUCT(--ISNUMBER(SEARCH(race,C256)))&gt;0)</f>
        <v>0</v>
      </c>
      <c r="S256" s="14" cm="1">
        <f t="array" ref="S256">INT(SUMPRODUCT(--ISNUMBER(SEARCH(immigration,C256)))&gt;0)</f>
        <v>0</v>
      </c>
      <c r="T256" s="14" cm="1">
        <f t="array" ref="T256">INT(SUMPRODUCT(--ISNUMBER(SEARCH(econineq,C257)))&gt;0)</f>
        <v>0</v>
      </c>
      <c r="U256" s="14" cm="1">
        <f t="array" ref="U256">INT(SUMPRODUCT(--ISNUMBER(SEARCH(climate,C256)))&gt;0)</f>
        <v>0</v>
      </c>
      <c r="V256" s="14" cm="1">
        <f t="array" ref="V256">INT(SUMPRODUCT(--ISNUMBER(SEARCH(abortion,C256)))&gt;0)</f>
        <v>0</v>
      </c>
      <c r="W256" s="14" cm="1">
        <f t="array" ref="W256">INT(SUMPRODUCT(--ISNUMBER(SEARCH(trump,C256)))&gt;0)</f>
        <v>0</v>
      </c>
      <c r="X256" s="14" cm="1">
        <f t="array" ref="X256">INT(SUMPRODUCT(--ISNUMBER(SEARCH(voting,C256)))&gt;0)</f>
        <v>1</v>
      </c>
      <c r="Y256" s="14" cm="1">
        <f t="array" ref="Y256">INT(SUMPRODUCT(--ISNUMBER(SEARCH(democrattrigger,C256)))&gt;0)</f>
        <v>0</v>
      </c>
      <c r="Z256" s="14" cm="1">
        <f t="array" ref="Z256">INT(SUMPRODUCT(--ISNUMBER(SEARCH(bipartisan,C256)))&gt;0)</f>
        <v>0</v>
      </c>
      <c r="AA256" s="14">
        <f t="shared" si="3"/>
        <v>0</v>
      </c>
      <c r="AB256" s="14"/>
      <c r="AC256" s="30" t="s">
        <v>223</v>
      </c>
      <c r="AD256" s="37" t="s">
        <v>223</v>
      </c>
    </row>
    <row r="257" spans="1:30" x14ac:dyDescent="0.25">
      <c r="A257" s="36">
        <v>1720</v>
      </c>
      <c r="B257" s="14" t="s">
        <v>3467</v>
      </c>
      <c r="C257" s="14" t="s">
        <v>3468</v>
      </c>
      <c r="D257" s="17">
        <v>44122</v>
      </c>
      <c r="E257" s="14" t="s">
        <v>30</v>
      </c>
      <c r="F257" s="14">
        <v>1342</v>
      </c>
      <c r="G257" s="14">
        <v>523</v>
      </c>
      <c r="H257" s="14">
        <v>8</v>
      </c>
      <c r="I257" s="14">
        <v>4</v>
      </c>
      <c r="J257" s="14" t="s">
        <v>204</v>
      </c>
      <c r="K257" s="14" cm="1">
        <f t="array" ref="K257">INT(SUMPRODUCT(--ISNUMBER(SEARCH(economy,C257)))&gt;0)</f>
        <v>0</v>
      </c>
      <c r="L257" s="14" cm="1">
        <f t="array" ref="L257">INT(SUMPRODUCT(--ISNUMBER(SEARCH(healthcare,C257)))&gt;0)</f>
        <v>1</v>
      </c>
      <c r="M257" s="14" cm="1">
        <f t="array" ref="M257">INT(SUMPRODUCT(--ISNUMBER(SEARCH(supreme,C257)))&gt;0)</f>
        <v>0</v>
      </c>
      <c r="N257" s="14" cm="1">
        <f t="array" ref="N257">INT(SUMPRODUCT(--ISNUMBER(SEARCH(covid,C257)))&gt;0)</f>
        <v>0</v>
      </c>
      <c r="O257" s="14" cm="1">
        <f t="array" ref="O257">INT(SUMPRODUCT(--ISNUMBER(SEARCH(violent,C257)))&gt;0)</f>
        <v>0</v>
      </c>
      <c r="P257" s="14" cm="1">
        <f t="array" ref="P257">INT(SUMPRODUCT(--ISNUMBER(SEARCH(foreign,C257)))&gt;0)</f>
        <v>0</v>
      </c>
      <c r="Q257" s="14" cm="1">
        <f t="array" ref="Q257">INT(SUMPRODUCT(--ISNUMBER(SEARCH(gun,C257)))&gt;0)</f>
        <v>0</v>
      </c>
      <c r="R257" s="14" cm="1">
        <f t="array" ref="R257">INT(SUMPRODUCT(--ISNUMBER(SEARCH(race,C257)))&gt;0)</f>
        <v>0</v>
      </c>
      <c r="S257" s="14" cm="1">
        <f t="array" ref="S257">INT(SUMPRODUCT(--ISNUMBER(SEARCH(immigration,C257)))&gt;0)</f>
        <v>0</v>
      </c>
      <c r="T257" s="14" cm="1">
        <f t="array" ref="T257">INT(SUMPRODUCT(--ISNUMBER(SEARCH(econineq,C258)))&gt;0)</f>
        <v>0</v>
      </c>
      <c r="U257" s="14" cm="1">
        <f t="array" ref="U257">INT(SUMPRODUCT(--ISNUMBER(SEARCH(climate,C257)))&gt;0)</f>
        <v>0</v>
      </c>
      <c r="V257" s="14" cm="1">
        <f t="array" ref="V257">INT(SUMPRODUCT(--ISNUMBER(SEARCH(abortion,C257)))&gt;0)</f>
        <v>0</v>
      </c>
      <c r="W257" s="14" cm="1">
        <f t="array" ref="W257">INT(SUMPRODUCT(--ISNUMBER(SEARCH(trump,C257)))&gt;0)</f>
        <v>0</v>
      </c>
      <c r="X257" s="14" cm="1">
        <f t="array" ref="X257">INT(SUMPRODUCT(--ISNUMBER(SEARCH(voting,C257)))&gt;0)</f>
        <v>1</v>
      </c>
      <c r="Y257" s="14" cm="1">
        <f t="array" ref="Y257">INT(SUMPRODUCT(--ISNUMBER(SEARCH(democrattrigger,C257)))&gt;0)</f>
        <v>0</v>
      </c>
      <c r="Z257" s="14" cm="1">
        <f t="array" ref="Z257">INT(SUMPRODUCT(--ISNUMBER(SEARCH(bipartisan,C257)))&gt;0)</f>
        <v>0</v>
      </c>
      <c r="AA257" s="14">
        <f t="shared" si="3"/>
        <v>0</v>
      </c>
      <c r="AB257" s="14"/>
      <c r="AC257" s="30" t="s">
        <v>223</v>
      </c>
      <c r="AD257" s="37" t="s">
        <v>223</v>
      </c>
    </row>
    <row r="258" spans="1:30" x14ac:dyDescent="0.25">
      <c r="A258" s="36">
        <v>1721</v>
      </c>
      <c r="B258" s="14" t="s">
        <v>3469</v>
      </c>
      <c r="C258" s="14" t="s">
        <v>3470</v>
      </c>
      <c r="D258" s="17">
        <v>44122</v>
      </c>
      <c r="E258" s="14" t="s">
        <v>30</v>
      </c>
      <c r="F258" s="14">
        <v>1381</v>
      </c>
      <c r="G258" s="14">
        <v>475</v>
      </c>
      <c r="H258" s="14">
        <v>8</v>
      </c>
      <c r="I258" s="14">
        <v>4</v>
      </c>
      <c r="J258" s="14" t="s">
        <v>204</v>
      </c>
      <c r="K258" s="14" cm="1">
        <f t="array" ref="K258">INT(SUMPRODUCT(--ISNUMBER(SEARCH(economy,C258)))&gt;0)</f>
        <v>0</v>
      </c>
      <c r="L258" s="14" cm="1">
        <f t="array" ref="L258">INT(SUMPRODUCT(--ISNUMBER(SEARCH(healthcare,C258)))&gt;0)</f>
        <v>0</v>
      </c>
      <c r="M258" s="14" cm="1">
        <f t="array" ref="M258">INT(SUMPRODUCT(--ISNUMBER(SEARCH(supreme,C258)))&gt;0)</f>
        <v>0</v>
      </c>
      <c r="N258" s="14" cm="1">
        <f t="array" ref="N258">INT(SUMPRODUCT(--ISNUMBER(SEARCH(covid,C258)))&gt;0)</f>
        <v>0</v>
      </c>
      <c r="O258" s="14" cm="1">
        <f t="array" ref="O258">INT(SUMPRODUCT(--ISNUMBER(SEARCH(violent,C258)))&gt;0)</f>
        <v>0</v>
      </c>
      <c r="P258" s="14" cm="1">
        <f t="array" ref="P258">INT(SUMPRODUCT(--ISNUMBER(SEARCH(foreign,C258)))&gt;0)</f>
        <v>0</v>
      </c>
      <c r="Q258" s="14" cm="1">
        <f t="array" ref="Q258">INT(SUMPRODUCT(--ISNUMBER(SEARCH(gun,C258)))&gt;0)</f>
        <v>0</v>
      </c>
      <c r="R258" s="14" cm="1">
        <f t="array" ref="R258">INT(SUMPRODUCT(--ISNUMBER(SEARCH(race,C258)))&gt;0)</f>
        <v>0</v>
      </c>
      <c r="S258" s="14" cm="1">
        <f t="array" ref="S258">INT(SUMPRODUCT(--ISNUMBER(SEARCH(immigration,C258)))&gt;0)</f>
        <v>0</v>
      </c>
      <c r="T258" s="14" cm="1">
        <f t="array" ref="T258">INT(SUMPRODUCT(--ISNUMBER(SEARCH(econineq,C259)))&gt;0)</f>
        <v>0</v>
      </c>
      <c r="U258" s="14" cm="1">
        <f t="array" ref="U258">INT(SUMPRODUCT(--ISNUMBER(SEARCH(climate,C258)))&gt;0)</f>
        <v>0</v>
      </c>
      <c r="V258" s="14" cm="1">
        <f t="array" ref="V258">INT(SUMPRODUCT(--ISNUMBER(SEARCH(abortion,C258)))&gt;0)</f>
        <v>0</v>
      </c>
      <c r="W258" s="14" cm="1">
        <f t="array" ref="W258">INT(SUMPRODUCT(--ISNUMBER(SEARCH(trump,C258)))&gt;0)</f>
        <v>1</v>
      </c>
      <c r="X258" s="14" cm="1">
        <f t="array" ref="X258">INT(SUMPRODUCT(--ISNUMBER(SEARCH(voting,C258)))&gt;0)</f>
        <v>0</v>
      </c>
      <c r="Y258" s="14" cm="1">
        <f t="array" ref="Y258">INT(SUMPRODUCT(--ISNUMBER(SEARCH(democrattrigger,C258)))&gt;0)</f>
        <v>1</v>
      </c>
      <c r="Z258" s="14" cm="1">
        <f t="array" ref="Z258">INT(SUMPRODUCT(--ISNUMBER(SEARCH(bipartisan,C258)))&gt;0)</f>
        <v>0</v>
      </c>
      <c r="AA258" s="14">
        <f t="shared" si="3"/>
        <v>0</v>
      </c>
      <c r="AB258" s="14"/>
      <c r="AC258" s="30">
        <v>1</v>
      </c>
      <c r="AD258" s="37">
        <v>0</v>
      </c>
    </row>
    <row r="259" spans="1:30" x14ac:dyDescent="0.25">
      <c r="A259" s="36">
        <v>1722</v>
      </c>
      <c r="B259" s="14" t="s">
        <v>3471</v>
      </c>
      <c r="C259" s="14" t="s">
        <v>3472</v>
      </c>
      <c r="D259" s="17">
        <v>44122</v>
      </c>
      <c r="E259" s="14" t="s">
        <v>30</v>
      </c>
      <c r="F259" s="14">
        <v>923</v>
      </c>
      <c r="G259" s="14">
        <v>310</v>
      </c>
      <c r="H259" s="14">
        <v>8</v>
      </c>
      <c r="I259" s="14">
        <v>4</v>
      </c>
      <c r="J259" s="14" t="s">
        <v>204</v>
      </c>
      <c r="K259" s="14" cm="1">
        <f t="array" ref="K259">INT(SUMPRODUCT(--ISNUMBER(SEARCH(economy,C259)))&gt;0)</f>
        <v>0</v>
      </c>
      <c r="L259" s="14" cm="1">
        <f t="array" ref="L259">INT(SUMPRODUCT(--ISNUMBER(SEARCH(healthcare,C259)))&gt;0)</f>
        <v>0</v>
      </c>
      <c r="M259" s="14" cm="1">
        <f t="array" ref="M259">INT(SUMPRODUCT(--ISNUMBER(SEARCH(supreme,C259)))&gt;0)</f>
        <v>0</v>
      </c>
      <c r="N259" s="14" cm="1">
        <f t="array" ref="N259">INT(SUMPRODUCT(--ISNUMBER(SEARCH(covid,C259)))&gt;0)</f>
        <v>0</v>
      </c>
      <c r="O259" s="14" cm="1">
        <f t="array" ref="O259">INT(SUMPRODUCT(--ISNUMBER(SEARCH(violent,C259)))&gt;0)</f>
        <v>0</v>
      </c>
      <c r="P259" s="14" cm="1">
        <f t="array" ref="P259">INT(SUMPRODUCT(--ISNUMBER(SEARCH(foreign,C259)))&gt;0)</f>
        <v>0</v>
      </c>
      <c r="Q259" s="14" cm="1">
        <f t="array" ref="Q259">INT(SUMPRODUCT(--ISNUMBER(SEARCH(gun,C259)))&gt;0)</f>
        <v>0</v>
      </c>
      <c r="R259" s="14" cm="1">
        <f t="array" ref="R259">INT(SUMPRODUCT(--ISNUMBER(SEARCH(race,C259)))&gt;0)</f>
        <v>0</v>
      </c>
      <c r="S259" s="14" cm="1">
        <f t="array" ref="S259">INT(SUMPRODUCT(--ISNUMBER(SEARCH(immigration,C259)))&gt;0)</f>
        <v>0</v>
      </c>
      <c r="T259" s="14" cm="1">
        <f t="array" ref="T259">INT(SUMPRODUCT(--ISNUMBER(SEARCH(econineq,C260)))&gt;0)</f>
        <v>0</v>
      </c>
      <c r="U259" s="14" cm="1">
        <f t="array" ref="U259">INT(SUMPRODUCT(--ISNUMBER(SEARCH(climate,C259)))&gt;0)</f>
        <v>1</v>
      </c>
      <c r="V259" s="14" cm="1">
        <f t="array" ref="V259">INT(SUMPRODUCT(--ISNUMBER(SEARCH(abortion,C259)))&gt;0)</f>
        <v>0</v>
      </c>
      <c r="W259" s="14" cm="1">
        <f t="array" ref="W259">INT(SUMPRODUCT(--ISNUMBER(SEARCH(trump,C259)))&gt;0)</f>
        <v>1</v>
      </c>
      <c r="X259" s="14" cm="1">
        <f t="array" ref="X259">INT(SUMPRODUCT(--ISNUMBER(SEARCH(voting,C259)))&gt;0)</f>
        <v>0</v>
      </c>
      <c r="Y259" s="14" cm="1">
        <f t="array" ref="Y259">INT(SUMPRODUCT(--ISNUMBER(SEARCH(democrattrigger,C259)))&gt;0)</f>
        <v>1</v>
      </c>
      <c r="Z259" s="14" cm="1">
        <f t="array" ref="Z259">INT(SUMPRODUCT(--ISNUMBER(SEARCH(bipartisan,C259)))&gt;0)</f>
        <v>0</v>
      </c>
      <c r="AA259" s="14">
        <f t="shared" ref="AA259:AA322" si="4">INT(IF(COUNTIF(K259:Z259,1)=0,"1","0"))</f>
        <v>0</v>
      </c>
      <c r="AB259" s="14"/>
      <c r="AC259" s="30" t="s">
        <v>223</v>
      </c>
      <c r="AD259" s="37" t="s">
        <v>223</v>
      </c>
    </row>
    <row r="260" spans="1:30" x14ac:dyDescent="0.25">
      <c r="A260" s="36">
        <v>1723</v>
      </c>
      <c r="B260" s="14" t="s">
        <v>3473</v>
      </c>
      <c r="C260" s="14" t="s">
        <v>3474</v>
      </c>
      <c r="D260" s="17">
        <v>44121</v>
      </c>
      <c r="E260" s="14" t="s">
        <v>30</v>
      </c>
      <c r="F260" s="14">
        <v>567</v>
      </c>
      <c r="G260" s="14">
        <v>251</v>
      </c>
      <c r="H260" s="14">
        <v>8</v>
      </c>
      <c r="I260" s="14">
        <v>4</v>
      </c>
      <c r="J260" s="14" t="s">
        <v>204</v>
      </c>
      <c r="K260" s="14" cm="1">
        <f t="array" ref="K260">INT(SUMPRODUCT(--ISNUMBER(SEARCH(economy,C260)))&gt;0)</f>
        <v>0</v>
      </c>
      <c r="L260" s="14" cm="1">
        <f t="array" ref="L260">INT(SUMPRODUCT(--ISNUMBER(SEARCH(healthcare,C260)))&gt;0)</f>
        <v>0</v>
      </c>
      <c r="M260" s="14" cm="1">
        <f t="array" ref="M260">INT(SUMPRODUCT(--ISNUMBER(SEARCH(supreme,C260)))&gt;0)</f>
        <v>0</v>
      </c>
      <c r="N260" s="14" cm="1">
        <f t="array" ref="N260">INT(SUMPRODUCT(--ISNUMBER(SEARCH(covid,C260)))&gt;0)</f>
        <v>0</v>
      </c>
      <c r="O260" s="14" cm="1">
        <f t="array" ref="O260">INT(SUMPRODUCT(--ISNUMBER(SEARCH(violent,C260)))&gt;0)</f>
        <v>0</v>
      </c>
      <c r="P260" s="14" cm="1">
        <f t="array" ref="P260">INT(SUMPRODUCT(--ISNUMBER(SEARCH(foreign,C260)))&gt;0)</f>
        <v>0</v>
      </c>
      <c r="Q260" s="14" cm="1">
        <f t="array" ref="Q260">INT(SUMPRODUCT(--ISNUMBER(SEARCH(gun,C260)))&gt;0)</f>
        <v>0</v>
      </c>
      <c r="R260" s="14" cm="1">
        <f t="array" ref="R260">INT(SUMPRODUCT(--ISNUMBER(SEARCH(race,C260)))&gt;0)</f>
        <v>0</v>
      </c>
      <c r="S260" s="14" cm="1">
        <f t="array" ref="S260">INT(SUMPRODUCT(--ISNUMBER(SEARCH(immigration,C260)))&gt;0)</f>
        <v>0</v>
      </c>
      <c r="T260" s="14" cm="1">
        <f t="array" ref="T260">INT(SUMPRODUCT(--ISNUMBER(SEARCH(econineq,C261)))&gt;0)</f>
        <v>0</v>
      </c>
      <c r="U260" s="14" cm="1">
        <f t="array" ref="U260">INT(SUMPRODUCT(--ISNUMBER(SEARCH(climate,C260)))&gt;0)</f>
        <v>0</v>
      </c>
      <c r="V260" s="14" cm="1">
        <f t="array" ref="V260">INT(SUMPRODUCT(--ISNUMBER(SEARCH(abortion,C260)))&gt;0)</f>
        <v>0</v>
      </c>
      <c r="W260" s="14" cm="1">
        <f t="array" ref="W260">INT(SUMPRODUCT(--ISNUMBER(SEARCH(trump,C260)))&gt;0)</f>
        <v>0</v>
      </c>
      <c r="X260" s="14" cm="1">
        <f t="array" ref="X260">INT(SUMPRODUCT(--ISNUMBER(SEARCH(voting,C260)))&gt;0)</f>
        <v>1</v>
      </c>
      <c r="Y260" s="14" cm="1">
        <f t="array" ref="Y260">INT(SUMPRODUCT(--ISNUMBER(SEARCH(democrattrigger,C260)))&gt;0)</f>
        <v>0</v>
      </c>
      <c r="Z260" s="14" cm="1">
        <f t="array" ref="Z260">INT(SUMPRODUCT(--ISNUMBER(SEARCH(bipartisan,C260)))&gt;0)</f>
        <v>0</v>
      </c>
      <c r="AA260" s="14">
        <f t="shared" si="4"/>
        <v>0</v>
      </c>
      <c r="AB260" s="14"/>
      <c r="AC260" s="30" t="s">
        <v>223</v>
      </c>
      <c r="AD260" s="37" t="s">
        <v>223</v>
      </c>
    </row>
    <row r="261" spans="1:30" x14ac:dyDescent="0.25">
      <c r="A261" s="36">
        <v>1724</v>
      </c>
      <c r="B261" s="14" t="s">
        <v>3475</v>
      </c>
      <c r="C261" s="14" t="s">
        <v>3476</v>
      </c>
      <c r="D261" s="17">
        <v>44121</v>
      </c>
      <c r="E261" s="14" t="s">
        <v>30</v>
      </c>
      <c r="F261" s="14">
        <v>752</v>
      </c>
      <c r="G261" s="14">
        <v>224</v>
      </c>
      <c r="H261" s="14">
        <v>8</v>
      </c>
      <c r="I261" s="14">
        <v>4</v>
      </c>
      <c r="J261" s="14" t="s">
        <v>204</v>
      </c>
      <c r="K261" s="14" cm="1">
        <f t="array" ref="K261">INT(SUMPRODUCT(--ISNUMBER(SEARCH(economy,C261)))&gt;0)</f>
        <v>1</v>
      </c>
      <c r="L261" s="14" cm="1">
        <f t="array" ref="L261">INT(SUMPRODUCT(--ISNUMBER(SEARCH(healthcare,C261)))&gt;0)</f>
        <v>0</v>
      </c>
      <c r="M261" s="14" cm="1">
        <f t="array" ref="M261">INT(SUMPRODUCT(--ISNUMBER(SEARCH(supreme,C261)))&gt;0)</f>
        <v>0</v>
      </c>
      <c r="N261" s="14" cm="1">
        <f t="array" ref="N261">INT(SUMPRODUCT(--ISNUMBER(SEARCH(covid,C261)))&gt;0)</f>
        <v>1</v>
      </c>
      <c r="O261" s="14" cm="1">
        <f t="array" ref="O261">INT(SUMPRODUCT(--ISNUMBER(SEARCH(violent,C261)))&gt;0)</f>
        <v>0</v>
      </c>
      <c r="P261" s="14" cm="1">
        <f t="array" ref="P261">INT(SUMPRODUCT(--ISNUMBER(SEARCH(foreign,C261)))&gt;0)</f>
        <v>0</v>
      </c>
      <c r="Q261" s="14" cm="1">
        <f t="array" ref="Q261">INT(SUMPRODUCT(--ISNUMBER(SEARCH(gun,C261)))&gt;0)</f>
        <v>0</v>
      </c>
      <c r="R261" s="14" cm="1">
        <f t="array" ref="R261">INT(SUMPRODUCT(--ISNUMBER(SEARCH(race,C261)))&gt;0)</f>
        <v>0</v>
      </c>
      <c r="S261" s="14" cm="1">
        <f t="array" ref="S261">INT(SUMPRODUCT(--ISNUMBER(SEARCH(immigration,C261)))&gt;0)</f>
        <v>0</v>
      </c>
      <c r="T261" s="14" cm="1">
        <f t="array" ref="T261">INT(SUMPRODUCT(--ISNUMBER(SEARCH(econineq,C262)))&gt;0)</f>
        <v>0</v>
      </c>
      <c r="U261" s="14" cm="1">
        <f t="array" ref="U261">INT(SUMPRODUCT(--ISNUMBER(SEARCH(climate,C261)))&gt;0)</f>
        <v>0</v>
      </c>
      <c r="V261" s="14" cm="1">
        <f t="array" ref="V261">INT(SUMPRODUCT(--ISNUMBER(SEARCH(abortion,C261)))&gt;0)</f>
        <v>0</v>
      </c>
      <c r="W261" s="14" cm="1">
        <f t="array" ref="W261">INT(SUMPRODUCT(--ISNUMBER(SEARCH(trump,C261)))&gt;0)</f>
        <v>0</v>
      </c>
      <c r="X261" s="14" cm="1">
        <f t="array" ref="X261">INT(SUMPRODUCT(--ISNUMBER(SEARCH(voting,C261)))&gt;0)</f>
        <v>0</v>
      </c>
      <c r="Y261" s="14" cm="1">
        <f t="array" ref="Y261">INT(SUMPRODUCT(--ISNUMBER(SEARCH(democrattrigger,C261)))&gt;0)</f>
        <v>0</v>
      </c>
      <c r="Z261" s="14" cm="1">
        <f t="array" ref="Z261">INT(SUMPRODUCT(--ISNUMBER(SEARCH(bipartisan,C261)))&gt;0)</f>
        <v>0</v>
      </c>
      <c r="AA261" s="14">
        <f t="shared" si="4"/>
        <v>0</v>
      </c>
      <c r="AB261" s="14"/>
      <c r="AC261" s="30">
        <v>1</v>
      </c>
      <c r="AD261" s="37">
        <v>0</v>
      </c>
    </row>
    <row r="262" spans="1:30" x14ac:dyDescent="0.25">
      <c r="A262" s="36">
        <v>1725</v>
      </c>
      <c r="B262" s="14" t="s">
        <v>3477</v>
      </c>
      <c r="C262" s="14" t="s">
        <v>3478</v>
      </c>
      <c r="D262" s="17">
        <v>44121</v>
      </c>
      <c r="E262" s="14" t="s">
        <v>30</v>
      </c>
      <c r="F262" s="14">
        <v>1820</v>
      </c>
      <c r="G262" s="14">
        <v>668</v>
      </c>
      <c r="H262" s="14">
        <v>8</v>
      </c>
      <c r="I262" s="14">
        <v>4</v>
      </c>
      <c r="J262" s="14" t="s">
        <v>204</v>
      </c>
      <c r="K262" s="14" cm="1">
        <f t="array" ref="K262">INT(SUMPRODUCT(--ISNUMBER(SEARCH(economy,C262)))&gt;0)</f>
        <v>1</v>
      </c>
      <c r="L262" s="14" cm="1">
        <f t="array" ref="L262">INT(SUMPRODUCT(--ISNUMBER(SEARCH(healthcare,C262)))&gt;0)</f>
        <v>0</v>
      </c>
      <c r="M262" s="14" cm="1">
        <f t="array" ref="M262">INT(SUMPRODUCT(--ISNUMBER(SEARCH(supreme,C262)))&gt;0)</f>
        <v>0</v>
      </c>
      <c r="N262" s="14" cm="1">
        <f t="array" ref="N262">INT(SUMPRODUCT(--ISNUMBER(SEARCH(covid,C262)))&gt;0)</f>
        <v>0</v>
      </c>
      <c r="O262" s="14" cm="1">
        <f t="array" ref="O262">INT(SUMPRODUCT(--ISNUMBER(SEARCH(violent,C262)))&gt;0)</f>
        <v>0</v>
      </c>
      <c r="P262" s="14" cm="1">
        <f t="array" ref="P262">INT(SUMPRODUCT(--ISNUMBER(SEARCH(foreign,C262)))&gt;0)</f>
        <v>0</v>
      </c>
      <c r="Q262" s="14" cm="1">
        <f t="array" ref="Q262">INT(SUMPRODUCT(--ISNUMBER(SEARCH(gun,C262)))&gt;0)</f>
        <v>0</v>
      </c>
      <c r="R262" s="14" cm="1">
        <f t="array" ref="R262">INT(SUMPRODUCT(--ISNUMBER(SEARCH(race,C262)))&gt;0)</f>
        <v>0</v>
      </c>
      <c r="S262" s="14" cm="1">
        <f t="array" ref="S262">INT(SUMPRODUCT(--ISNUMBER(SEARCH(immigration,C262)))&gt;0)</f>
        <v>0</v>
      </c>
      <c r="T262" s="14" cm="1">
        <f t="array" ref="T262">INT(SUMPRODUCT(--ISNUMBER(SEARCH(econineq,C263)))&gt;0)</f>
        <v>0</v>
      </c>
      <c r="U262" s="14" cm="1">
        <f t="array" ref="U262">INT(SUMPRODUCT(--ISNUMBER(SEARCH(climate,C262)))&gt;0)</f>
        <v>0</v>
      </c>
      <c r="V262" s="14" cm="1">
        <f t="array" ref="V262">INT(SUMPRODUCT(--ISNUMBER(SEARCH(abortion,C262)))&gt;0)</f>
        <v>0</v>
      </c>
      <c r="W262" s="14" cm="1">
        <f t="array" ref="W262">INT(SUMPRODUCT(--ISNUMBER(SEARCH(trump,C262)))&gt;0)</f>
        <v>0</v>
      </c>
      <c r="X262" s="14" cm="1">
        <f t="array" ref="X262">INT(SUMPRODUCT(--ISNUMBER(SEARCH(voting,C262)))&gt;0)</f>
        <v>0</v>
      </c>
      <c r="Y262" s="14" cm="1">
        <f t="array" ref="Y262">INT(SUMPRODUCT(--ISNUMBER(SEARCH(democrattrigger,C262)))&gt;0)</f>
        <v>1</v>
      </c>
      <c r="Z262" s="14" cm="1">
        <f t="array" ref="Z262">INT(SUMPRODUCT(--ISNUMBER(SEARCH(bipartisan,C262)))&gt;0)</f>
        <v>0</v>
      </c>
      <c r="AA262" s="14">
        <f t="shared" si="4"/>
        <v>0</v>
      </c>
      <c r="AB262" s="14"/>
      <c r="AC262" s="30">
        <v>0</v>
      </c>
      <c r="AD262" s="37">
        <v>1</v>
      </c>
    </row>
    <row r="263" spans="1:30" x14ac:dyDescent="0.25">
      <c r="A263" s="36">
        <v>1726</v>
      </c>
      <c r="B263" s="14" t="s">
        <v>3479</v>
      </c>
      <c r="C263" s="14" t="s">
        <v>3480</v>
      </c>
      <c r="D263" s="17">
        <v>44121</v>
      </c>
      <c r="E263" s="14" t="s">
        <v>30</v>
      </c>
      <c r="F263" s="14">
        <v>816</v>
      </c>
      <c r="G263" s="14">
        <v>223</v>
      </c>
      <c r="H263" s="14">
        <v>8</v>
      </c>
      <c r="I263" s="14">
        <v>4</v>
      </c>
      <c r="J263" s="14" t="s">
        <v>204</v>
      </c>
      <c r="K263" s="14" cm="1">
        <f t="array" ref="K263">INT(SUMPRODUCT(--ISNUMBER(SEARCH(economy,C263)))&gt;0)</f>
        <v>0</v>
      </c>
      <c r="L263" s="14" cm="1">
        <f t="array" ref="L263">INT(SUMPRODUCT(--ISNUMBER(SEARCH(healthcare,C263)))&gt;0)</f>
        <v>0</v>
      </c>
      <c r="M263" s="14" cm="1">
        <f t="array" ref="M263">INT(SUMPRODUCT(--ISNUMBER(SEARCH(supreme,C263)))&gt;0)</f>
        <v>0</v>
      </c>
      <c r="N263" s="14" cm="1">
        <f t="array" ref="N263">INT(SUMPRODUCT(--ISNUMBER(SEARCH(covid,C263)))&gt;0)</f>
        <v>0</v>
      </c>
      <c r="O263" s="14" cm="1">
        <f t="array" ref="O263">INT(SUMPRODUCT(--ISNUMBER(SEARCH(violent,C263)))&gt;0)</f>
        <v>0</v>
      </c>
      <c r="P263" s="14" cm="1">
        <f t="array" ref="P263">INT(SUMPRODUCT(--ISNUMBER(SEARCH(foreign,C263)))&gt;0)</f>
        <v>0</v>
      </c>
      <c r="Q263" s="14" cm="1">
        <f t="array" ref="Q263">INT(SUMPRODUCT(--ISNUMBER(SEARCH(gun,C263)))&gt;0)</f>
        <v>0</v>
      </c>
      <c r="R263" s="14" cm="1">
        <f t="array" ref="R263">INT(SUMPRODUCT(--ISNUMBER(SEARCH(race,C263)))&gt;0)</f>
        <v>0</v>
      </c>
      <c r="S263" s="14" cm="1">
        <f t="array" ref="S263">INT(SUMPRODUCT(--ISNUMBER(SEARCH(immigration,C263)))&gt;0)</f>
        <v>0</v>
      </c>
      <c r="T263" s="14" cm="1">
        <f t="array" ref="T263">INT(SUMPRODUCT(--ISNUMBER(SEARCH(econineq,C264)))&gt;0)</f>
        <v>0</v>
      </c>
      <c r="U263" s="14" cm="1">
        <f t="array" ref="U263">INT(SUMPRODUCT(--ISNUMBER(SEARCH(climate,C263)))&gt;0)</f>
        <v>0</v>
      </c>
      <c r="V263" s="14" cm="1">
        <f t="array" ref="V263">INT(SUMPRODUCT(--ISNUMBER(SEARCH(abortion,C263)))&gt;0)</f>
        <v>0</v>
      </c>
      <c r="W263" s="14" cm="1">
        <f t="array" ref="W263">INT(SUMPRODUCT(--ISNUMBER(SEARCH(trump,C263)))&gt;0)</f>
        <v>0</v>
      </c>
      <c r="X263" s="14" cm="1">
        <f t="array" ref="X263">INT(SUMPRODUCT(--ISNUMBER(SEARCH(voting,C263)))&gt;0)</f>
        <v>0</v>
      </c>
      <c r="Y263" s="14" cm="1">
        <f t="array" ref="Y263">INT(SUMPRODUCT(--ISNUMBER(SEARCH(democrattrigger,C263)))&gt;0)</f>
        <v>0</v>
      </c>
      <c r="Z263" s="14" cm="1">
        <f t="array" ref="Z263">INT(SUMPRODUCT(--ISNUMBER(SEARCH(bipartisan,C263)))&gt;0)</f>
        <v>0</v>
      </c>
      <c r="AA263" s="14">
        <f t="shared" si="4"/>
        <v>1</v>
      </c>
      <c r="AB263" s="14"/>
      <c r="AC263" s="30">
        <v>1</v>
      </c>
      <c r="AD263" s="37">
        <v>0</v>
      </c>
    </row>
    <row r="264" spans="1:30" x14ac:dyDescent="0.25">
      <c r="A264" s="36">
        <v>1727</v>
      </c>
      <c r="B264" s="14" t="s">
        <v>3481</v>
      </c>
      <c r="C264" s="14" t="s">
        <v>3482</v>
      </c>
      <c r="D264" s="17">
        <v>44121</v>
      </c>
      <c r="E264" s="14" t="s">
        <v>30</v>
      </c>
      <c r="F264" s="14">
        <v>4219</v>
      </c>
      <c r="G264" s="14">
        <v>1680</v>
      </c>
      <c r="H264" s="14">
        <v>8</v>
      </c>
      <c r="I264" s="14">
        <v>4</v>
      </c>
      <c r="J264" s="14" t="s">
        <v>204</v>
      </c>
      <c r="K264" s="14" cm="1">
        <f t="array" ref="K264">INT(SUMPRODUCT(--ISNUMBER(SEARCH(economy,C264)))&gt;0)</f>
        <v>0</v>
      </c>
      <c r="L264" s="14" cm="1">
        <f t="array" ref="L264">INT(SUMPRODUCT(--ISNUMBER(SEARCH(healthcare,C264)))&gt;0)</f>
        <v>1</v>
      </c>
      <c r="M264" s="14" cm="1">
        <f t="array" ref="M264">INT(SUMPRODUCT(--ISNUMBER(SEARCH(supreme,C264)))&gt;0)</f>
        <v>0</v>
      </c>
      <c r="N264" s="14" cm="1">
        <f t="array" ref="N264">INT(SUMPRODUCT(--ISNUMBER(SEARCH(covid,C264)))&gt;0)</f>
        <v>0</v>
      </c>
      <c r="O264" s="14" cm="1">
        <f t="array" ref="O264">INT(SUMPRODUCT(--ISNUMBER(SEARCH(violent,C264)))&gt;0)</f>
        <v>0</v>
      </c>
      <c r="P264" s="14" cm="1">
        <f t="array" ref="P264">INT(SUMPRODUCT(--ISNUMBER(SEARCH(foreign,C264)))&gt;0)</f>
        <v>0</v>
      </c>
      <c r="Q264" s="14" cm="1">
        <f t="array" ref="Q264">INT(SUMPRODUCT(--ISNUMBER(SEARCH(gun,C264)))&gt;0)</f>
        <v>0</v>
      </c>
      <c r="R264" s="14" cm="1">
        <f t="array" ref="R264">INT(SUMPRODUCT(--ISNUMBER(SEARCH(race,C264)))&gt;0)</f>
        <v>0</v>
      </c>
      <c r="S264" s="14" cm="1">
        <f t="array" ref="S264">INT(SUMPRODUCT(--ISNUMBER(SEARCH(immigration,C264)))&gt;0)</f>
        <v>0</v>
      </c>
      <c r="T264" s="14" cm="1">
        <f t="array" ref="T264">INT(SUMPRODUCT(--ISNUMBER(SEARCH(econineq,C265)))&gt;0)</f>
        <v>0</v>
      </c>
      <c r="U264" s="14" cm="1">
        <f t="array" ref="U264">INT(SUMPRODUCT(--ISNUMBER(SEARCH(climate,C264)))&gt;0)</f>
        <v>0</v>
      </c>
      <c r="V264" s="14" cm="1">
        <f t="array" ref="V264">INT(SUMPRODUCT(--ISNUMBER(SEARCH(abortion,C264)))&gt;0)</f>
        <v>0</v>
      </c>
      <c r="W264" s="14" cm="1">
        <f t="array" ref="W264">INT(SUMPRODUCT(--ISNUMBER(SEARCH(trump,C264)))&gt;0)</f>
        <v>1</v>
      </c>
      <c r="X264" s="14" cm="1">
        <f t="array" ref="X264">INT(SUMPRODUCT(--ISNUMBER(SEARCH(voting,C264)))&gt;0)</f>
        <v>0</v>
      </c>
      <c r="Y264" s="14" cm="1">
        <f t="array" ref="Y264">INT(SUMPRODUCT(--ISNUMBER(SEARCH(democrattrigger,C264)))&gt;0)</f>
        <v>1</v>
      </c>
      <c r="Z264" s="14" cm="1">
        <f t="array" ref="Z264">INT(SUMPRODUCT(--ISNUMBER(SEARCH(bipartisan,C264)))&gt;0)</f>
        <v>0</v>
      </c>
      <c r="AA264" s="14">
        <f t="shared" si="4"/>
        <v>0</v>
      </c>
      <c r="AB264" s="14"/>
      <c r="AC264" s="30">
        <v>0</v>
      </c>
      <c r="AD264" s="37">
        <v>1</v>
      </c>
    </row>
    <row r="265" spans="1:30" x14ac:dyDescent="0.25">
      <c r="A265" s="36">
        <v>1728</v>
      </c>
      <c r="B265" s="14" t="s">
        <v>3483</v>
      </c>
      <c r="C265" s="14" t="s">
        <v>3484</v>
      </c>
      <c r="D265" s="17">
        <v>44121</v>
      </c>
      <c r="E265" s="14" t="s">
        <v>70</v>
      </c>
      <c r="F265" s="14">
        <v>576</v>
      </c>
      <c r="G265" s="14">
        <v>133</v>
      </c>
      <c r="H265" s="14">
        <v>8</v>
      </c>
      <c r="I265" s="14">
        <v>4</v>
      </c>
      <c r="J265" s="14" t="s">
        <v>204</v>
      </c>
      <c r="K265" s="14" cm="1">
        <f t="array" ref="K265">INT(SUMPRODUCT(--ISNUMBER(SEARCH(economy,C265)))&gt;0)</f>
        <v>0</v>
      </c>
      <c r="L265" s="14" cm="1">
        <f t="array" ref="L265">INT(SUMPRODUCT(--ISNUMBER(SEARCH(healthcare,C265)))&gt;0)</f>
        <v>0</v>
      </c>
      <c r="M265" s="14" cm="1">
        <f t="array" ref="M265">INT(SUMPRODUCT(--ISNUMBER(SEARCH(supreme,C265)))&gt;0)</f>
        <v>0</v>
      </c>
      <c r="N265" s="14" cm="1">
        <f t="array" ref="N265">INT(SUMPRODUCT(--ISNUMBER(SEARCH(covid,C265)))&gt;0)</f>
        <v>0</v>
      </c>
      <c r="O265" s="14" cm="1">
        <f t="array" ref="O265">INT(SUMPRODUCT(--ISNUMBER(SEARCH(violent,C265)))&gt;0)</f>
        <v>0</v>
      </c>
      <c r="P265" s="14" cm="1">
        <f t="array" ref="P265">INT(SUMPRODUCT(--ISNUMBER(SEARCH(foreign,C265)))&gt;0)</f>
        <v>0</v>
      </c>
      <c r="Q265" s="14" cm="1">
        <f t="array" ref="Q265">INT(SUMPRODUCT(--ISNUMBER(SEARCH(gun,C265)))&gt;0)</f>
        <v>0</v>
      </c>
      <c r="R265" s="14" cm="1">
        <f t="array" ref="R265">INT(SUMPRODUCT(--ISNUMBER(SEARCH(race,C265)))&gt;0)</f>
        <v>0</v>
      </c>
      <c r="S265" s="14" cm="1">
        <f t="array" ref="S265">INT(SUMPRODUCT(--ISNUMBER(SEARCH(immigration,C265)))&gt;0)</f>
        <v>0</v>
      </c>
      <c r="T265" s="14" cm="1">
        <f t="array" ref="T265">INT(SUMPRODUCT(--ISNUMBER(SEARCH(econineq,C266)))&gt;0)</f>
        <v>0</v>
      </c>
      <c r="U265" s="14" cm="1">
        <f t="array" ref="U265">INT(SUMPRODUCT(--ISNUMBER(SEARCH(climate,C265)))&gt;0)</f>
        <v>0</v>
      </c>
      <c r="V265" s="14" cm="1">
        <f t="array" ref="V265">INT(SUMPRODUCT(--ISNUMBER(SEARCH(abortion,C265)))&gt;0)</f>
        <v>0</v>
      </c>
      <c r="W265" s="14" cm="1">
        <f t="array" ref="W265">INT(SUMPRODUCT(--ISNUMBER(SEARCH(trump,C265)))&gt;0)</f>
        <v>0</v>
      </c>
      <c r="X265" s="14" cm="1">
        <f t="array" ref="X265">INT(SUMPRODUCT(--ISNUMBER(SEARCH(voting,C265)))&gt;0)</f>
        <v>0</v>
      </c>
      <c r="Y265" s="14" cm="1">
        <f t="array" ref="Y265">INT(SUMPRODUCT(--ISNUMBER(SEARCH(democrattrigger,C265)))&gt;0)</f>
        <v>0</v>
      </c>
      <c r="Z265" s="14" cm="1">
        <f t="array" ref="Z265">INT(SUMPRODUCT(--ISNUMBER(SEARCH(bipartisan,C265)))&gt;0)</f>
        <v>0</v>
      </c>
      <c r="AA265" s="14">
        <f t="shared" si="4"/>
        <v>1</v>
      </c>
      <c r="AB265" s="14"/>
      <c r="AC265" s="30" t="s">
        <v>223</v>
      </c>
      <c r="AD265" s="37" t="s">
        <v>223</v>
      </c>
    </row>
    <row r="266" spans="1:30" x14ac:dyDescent="0.25">
      <c r="A266" s="36">
        <v>1729</v>
      </c>
      <c r="B266" s="14" t="s">
        <v>3485</v>
      </c>
      <c r="C266" s="14" t="s">
        <v>3486</v>
      </c>
      <c r="D266" s="17">
        <v>44121</v>
      </c>
      <c r="E266" s="14" t="s">
        <v>70</v>
      </c>
      <c r="F266" s="14">
        <v>1190</v>
      </c>
      <c r="G266" s="14">
        <v>340</v>
      </c>
      <c r="H266" s="14">
        <v>8</v>
      </c>
      <c r="I266" s="14">
        <v>4</v>
      </c>
      <c r="J266" s="14" t="s">
        <v>204</v>
      </c>
      <c r="K266" s="14" cm="1">
        <f t="array" ref="K266">INT(SUMPRODUCT(--ISNUMBER(SEARCH(economy,C266)))&gt;0)</f>
        <v>0</v>
      </c>
      <c r="L266" s="14" cm="1">
        <f t="array" ref="L266">INT(SUMPRODUCT(--ISNUMBER(SEARCH(healthcare,C266)))&gt;0)</f>
        <v>0</v>
      </c>
      <c r="M266" s="14" cm="1">
        <f t="array" ref="M266">INT(SUMPRODUCT(--ISNUMBER(SEARCH(supreme,C266)))&gt;0)</f>
        <v>0</v>
      </c>
      <c r="N266" s="14" cm="1">
        <f t="array" ref="N266">INT(SUMPRODUCT(--ISNUMBER(SEARCH(covid,C266)))&gt;0)</f>
        <v>0</v>
      </c>
      <c r="O266" s="14" cm="1">
        <f t="array" ref="O266">INT(SUMPRODUCT(--ISNUMBER(SEARCH(violent,C266)))&gt;0)</f>
        <v>0</v>
      </c>
      <c r="P266" s="14" cm="1">
        <f t="array" ref="P266">INT(SUMPRODUCT(--ISNUMBER(SEARCH(foreign,C266)))&gt;0)</f>
        <v>0</v>
      </c>
      <c r="Q266" s="14" cm="1">
        <f t="array" ref="Q266">INT(SUMPRODUCT(--ISNUMBER(SEARCH(gun,C266)))&gt;0)</f>
        <v>0</v>
      </c>
      <c r="R266" s="14" cm="1">
        <f t="array" ref="R266">INT(SUMPRODUCT(--ISNUMBER(SEARCH(race,C266)))&gt;0)</f>
        <v>0</v>
      </c>
      <c r="S266" s="14" cm="1">
        <f t="array" ref="S266">INT(SUMPRODUCT(--ISNUMBER(SEARCH(immigration,C266)))&gt;0)</f>
        <v>0</v>
      </c>
      <c r="T266" s="14" cm="1">
        <f t="array" ref="T266">INT(SUMPRODUCT(--ISNUMBER(SEARCH(econineq,C267)))&gt;0)</f>
        <v>0</v>
      </c>
      <c r="U266" s="14" cm="1">
        <f t="array" ref="U266">INT(SUMPRODUCT(--ISNUMBER(SEARCH(climate,C266)))&gt;0)</f>
        <v>0</v>
      </c>
      <c r="V266" s="14" cm="1">
        <f t="array" ref="V266">INT(SUMPRODUCT(--ISNUMBER(SEARCH(abortion,C266)))&gt;0)</f>
        <v>0</v>
      </c>
      <c r="W266" s="14" cm="1">
        <f t="array" ref="W266">INT(SUMPRODUCT(--ISNUMBER(SEARCH(trump,C266)))&gt;0)</f>
        <v>0</v>
      </c>
      <c r="X266" s="14" cm="1">
        <f t="array" ref="X266">INT(SUMPRODUCT(--ISNUMBER(SEARCH(voting,C266)))&gt;0)</f>
        <v>1</v>
      </c>
      <c r="Y266" s="14" cm="1">
        <f t="array" ref="Y266">INT(SUMPRODUCT(--ISNUMBER(SEARCH(democrattrigger,C266)))&gt;0)</f>
        <v>1</v>
      </c>
      <c r="Z266" s="14" cm="1">
        <f t="array" ref="Z266">INT(SUMPRODUCT(--ISNUMBER(SEARCH(bipartisan,C266)))&gt;0)</f>
        <v>0</v>
      </c>
      <c r="AA266" s="14">
        <f t="shared" si="4"/>
        <v>0</v>
      </c>
      <c r="AB266" s="14"/>
      <c r="AC266" s="30" t="s">
        <v>223</v>
      </c>
      <c r="AD266" s="37" t="s">
        <v>223</v>
      </c>
    </row>
    <row r="267" spans="1:30" x14ac:dyDescent="0.25">
      <c r="A267" s="36">
        <v>1730</v>
      </c>
      <c r="B267" s="14" t="s">
        <v>3487</v>
      </c>
      <c r="C267" s="14" t="s">
        <v>3488</v>
      </c>
      <c r="D267" s="17">
        <v>44121</v>
      </c>
      <c r="E267" s="14" t="s">
        <v>30</v>
      </c>
      <c r="F267" s="14">
        <v>1426</v>
      </c>
      <c r="G267" s="14">
        <v>435</v>
      </c>
      <c r="H267" s="14">
        <v>8</v>
      </c>
      <c r="I267" s="14">
        <v>4</v>
      </c>
      <c r="J267" s="14" t="s">
        <v>204</v>
      </c>
      <c r="K267" s="14" cm="1">
        <f t="array" ref="K267">INT(SUMPRODUCT(--ISNUMBER(SEARCH(economy,C267)))&gt;0)</f>
        <v>0</v>
      </c>
      <c r="L267" s="14" cm="1">
        <f t="array" ref="L267">INT(SUMPRODUCT(--ISNUMBER(SEARCH(healthcare,C267)))&gt;0)</f>
        <v>0</v>
      </c>
      <c r="M267" s="14" cm="1">
        <f t="array" ref="M267">INT(SUMPRODUCT(--ISNUMBER(SEARCH(supreme,C267)))&gt;0)</f>
        <v>0</v>
      </c>
      <c r="N267" s="14" cm="1">
        <f t="array" ref="N267">INT(SUMPRODUCT(--ISNUMBER(SEARCH(covid,C267)))&gt;0)</f>
        <v>0</v>
      </c>
      <c r="O267" s="14" cm="1">
        <f t="array" ref="O267">INT(SUMPRODUCT(--ISNUMBER(SEARCH(violent,C267)))&gt;0)</f>
        <v>0</v>
      </c>
      <c r="P267" s="14" cm="1">
        <f t="array" ref="P267">INT(SUMPRODUCT(--ISNUMBER(SEARCH(foreign,C267)))&gt;0)</f>
        <v>0</v>
      </c>
      <c r="Q267" s="14" cm="1">
        <f t="array" ref="Q267">INT(SUMPRODUCT(--ISNUMBER(SEARCH(gun,C267)))&gt;0)</f>
        <v>0</v>
      </c>
      <c r="R267" s="14" cm="1">
        <f t="array" ref="R267">INT(SUMPRODUCT(--ISNUMBER(SEARCH(race,C267)))&gt;0)</f>
        <v>0</v>
      </c>
      <c r="S267" s="14" cm="1">
        <f t="array" ref="S267">INT(SUMPRODUCT(--ISNUMBER(SEARCH(immigration,C267)))&gt;0)</f>
        <v>0</v>
      </c>
      <c r="T267" s="14" cm="1">
        <f t="array" ref="T267">INT(SUMPRODUCT(--ISNUMBER(SEARCH(econineq,C268)))&gt;0)</f>
        <v>0</v>
      </c>
      <c r="U267" s="14" cm="1">
        <f t="array" ref="U267">INT(SUMPRODUCT(--ISNUMBER(SEARCH(climate,C267)))&gt;0)</f>
        <v>1</v>
      </c>
      <c r="V267" s="14" cm="1">
        <f t="array" ref="V267">INT(SUMPRODUCT(--ISNUMBER(SEARCH(abortion,C267)))&gt;0)</f>
        <v>0</v>
      </c>
      <c r="W267" s="14" cm="1">
        <f t="array" ref="W267">INT(SUMPRODUCT(--ISNUMBER(SEARCH(trump,C267)))&gt;0)</f>
        <v>1</v>
      </c>
      <c r="X267" s="14" cm="1">
        <f t="array" ref="X267">INT(SUMPRODUCT(--ISNUMBER(SEARCH(voting,C267)))&gt;0)</f>
        <v>0</v>
      </c>
      <c r="Y267" s="14" cm="1">
        <f t="array" ref="Y267">INT(SUMPRODUCT(--ISNUMBER(SEARCH(democrattrigger,C267)))&gt;0)</f>
        <v>1</v>
      </c>
      <c r="Z267" s="14" cm="1">
        <f t="array" ref="Z267">INT(SUMPRODUCT(--ISNUMBER(SEARCH(bipartisan,C267)))&gt;0)</f>
        <v>0</v>
      </c>
      <c r="AA267" s="14">
        <f t="shared" si="4"/>
        <v>0</v>
      </c>
      <c r="AB267" s="14"/>
      <c r="AC267" s="30" t="s">
        <v>223</v>
      </c>
      <c r="AD267" s="37" t="s">
        <v>223</v>
      </c>
    </row>
    <row r="268" spans="1:30" x14ac:dyDescent="0.25">
      <c r="A268" s="36">
        <v>1731</v>
      </c>
      <c r="B268" s="14" t="s">
        <v>3489</v>
      </c>
      <c r="C268" s="14" t="s">
        <v>3490</v>
      </c>
      <c r="D268" s="17">
        <v>44121</v>
      </c>
      <c r="E268" s="14" t="s">
        <v>30</v>
      </c>
      <c r="F268" s="14">
        <v>1681</v>
      </c>
      <c r="G268" s="14">
        <v>549</v>
      </c>
      <c r="H268" s="14">
        <v>8</v>
      </c>
      <c r="I268" s="14">
        <v>4</v>
      </c>
      <c r="J268" s="14" t="s">
        <v>204</v>
      </c>
      <c r="K268" s="14" cm="1">
        <f t="array" ref="K268">INT(SUMPRODUCT(--ISNUMBER(SEARCH(economy,C268)))&gt;0)</f>
        <v>0</v>
      </c>
      <c r="L268" s="14" cm="1">
        <f t="array" ref="L268">INT(SUMPRODUCT(--ISNUMBER(SEARCH(healthcare,C268)))&gt;0)</f>
        <v>0</v>
      </c>
      <c r="M268" s="14" cm="1">
        <f t="array" ref="M268">INT(SUMPRODUCT(--ISNUMBER(SEARCH(supreme,C268)))&gt;0)</f>
        <v>0</v>
      </c>
      <c r="N268" s="14" cm="1">
        <f t="array" ref="N268">INT(SUMPRODUCT(--ISNUMBER(SEARCH(covid,C268)))&gt;0)</f>
        <v>0</v>
      </c>
      <c r="O268" s="14" cm="1">
        <f t="array" ref="O268">INT(SUMPRODUCT(--ISNUMBER(SEARCH(violent,C268)))&gt;0)</f>
        <v>0</v>
      </c>
      <c r="P268" s="14" cm="1">
        <f t="array" ref="P268">INT(SUMPRODUCT(--ISNUMBER(SEARCH(foreign,C268)))&gt;0)</f>
        <v>0</v>
      </c>
      <c r="Q268" s="14" cm="1">
        <f t="array" ref="Q268">INT(SUMPRODUCT(--ISNUMBER(SEARCH(gun,C268)))&gt;0)</f>
        <v>0</v>
      </c>
      <c r="R268" s="14" cm="1">
        <f t="array" ref="R268">INT(SUMPRODUCT(--ISNUMBER(SEARCH(race,C268)))&gt;0)</f>
        <v>0</v>
      </c>
      <c r="S268" s="14" cm="1">
        <f t="array" ref="S268">INT(SUMPRODUCT(--ISNUMBER(SEARCH(immigration,C268)))&gt;0)</f>
        <v>0</v>
      </c>
      <c r="T268" s="14" cm="1">
        <f t="array" ref="T268">INT(SUMPRODUCT(--ISNUMBER(SEARCH(econineq,C269)))&gt;0)</f>
        <v>0</v>
      </c>
      <c r="U268" s="14" cm="1">
        <f t="array" ref="U268">INT(SUMPRODUCT(--ISNUMBER(SEARCH(climate,C268)))&gt;0)</f>
        <v>0</v>
      </c>
      <c r="V268" s="14" cm="1">
        <f t="array" ref="V268">INT(SUMPRODUCT(--ISNUMBER(SEARCH(abortion,C268)))&gt;0)</f>
        <v>0</v>
      </c>
      <c r="W268" s="14" cm="1">
        <f t="array" ref="W268">INT(SUMPRODUCT(--ISNUMBER(SEARCH(trump,C268)))&gt;0)</f>
        <v>0</v>
      </c>
      <c r="X268" s="14" cm="1">
        <f t="array" ref="X268">INT(SUMPRODUCT(--ISNUMBER(SEARCH(voting,C268)))&gt;0)</f>
        <v>1</v>
      </c>
      <c r="Y268" s="14" cm="1">
        <f t="array" ref="Y268">INT(SUMPRODUCT(--ISNUMBER(SEARCH(democrattrigger,C268)))&gt;0)</f>
        <v>0</v>
      </c>
      <c r="Z268" s="14" cm="1">
        <f t="array" ref="Z268">INT(SUMPRODUCT(--ISNUMBER(SEARCH(bipartisan,C268)))&gt;0)</f>
        <v>0</v>
      </c>
      <c r="AA268" s="14">
        <f t="shared" si="4"/>
        <v>0</v>
      </c>
      <c r="AB268" s="14"/>
      <c r="AC268" s="30" t="s">
        <v>223</v>
      </c>
      <c r="AD268" s="37" t="s">
        <v>223</v>
      </c>
    </row>
    <row r="269" spans="1:30" x14ac:dyDescent="0.25">
      <c r="A269" s="36">
        <v>1732</v>
      </c>
      <c r="B269" s="14" t="s">
        <v>3491</v>
      </c>
      <c r="C269" s="14" t="s">
        <v>3492</v>
      </c>
      <c r="D269" s="17">
        <v>44121</v>
      </c>
      <c r="E269" s="14" t="s">
        <v>30</v>
      </c>
      <c r="F269" s="14">
        <v>1035</v>
      </c>
      <c r="G269" s="14">
        <v>413</v>
      </c>
      <c r="H269" s="14">
        <v>8</v>
      </c>
      <c r="I269" s="14">
        <v>4</v>
      </c>
      <c r="J269" s="14" t="s">
        <v>204</v>
      </c>
      <c r="K269" s="14" cm="1">
        <f t="array" ref="K269">INT(SUMPRODUCT(--ISNUMBER(SEARCH(economy,C269)))&gt;0)</f>
        <v>0</v>
      </c>
      <c r="L269" s="14" cm="1">
        <f t="array" ref="L269">INT(SUMPRODUCT(--ISNUMBER(SEARCH(healthcare,C269)))&gt;0)</f>
        <v>0</v>
      </c>
      <c r="M269" s="14" cm="1">
        <f t="array" ref="M269">INT(SUMPRODUCT(--ISNUMBER(SEARCH(supreme,C269)))&gt;0)</f>
        <v>0</v>
      </c>
      <c r="N269" s="14" cm="1">
        <f t="array" ref="N269">INT(SUMPRODUCT(--ISNUMBER(SEARCH(covid,C269)))&gt;0)</f>
        <v>0</v>
      </c>
      <c r="O269" s="14" cm="1">
        <f t="array" ref="O269">INT(SUMPRODUCT(--ISNUMBER(SEARCH(violent,C269)))&gt;0)</f>
        <v>0</v>
      </c>
      <c r="P269" s="14" cm="1">
        <f t="array" ref="P269">INT(SUMPRODUCT(--ISNUMBER(SEARCH(foreign,C269)))&gt;0)</f>
        <v>0</v>
      </c>
      <c r="Q269" s="14" cm="1">
        <f t="array" ref="Q269">INT(SUMPRODUCT(--ISNUMBER(SEARCH(gun,C269)))&gt;0)</f>
        <v>0</v>
      </c>
      <c r="R269" s="14" cm="1">
        <f t="array" ref="R269">INT(SUMPRODUCT(--ISNUMBER(SEARCH(race,C269)))&gt;0)</f>
        <v>0</v>
      </c>
      <c r="S269" s="14" cm="1">
        <f t="array" ref="S269">INT(SUMPRODUCT(--ISNUMBER(SEARCH(immigration,C269)))&gt;0)</f>
        <v>0</v>
      </c>
      <c r="T269" s="14" cm="1">
        <f t="array" ref="T269">INT(SUMPRODUCT(--ISNUMBER(SEARCH(econineq,C270)))&gt;0)</f>
        <v>0</v>
      </c>
      <c r="U269" s="14" cm="1">
        <f t="array" ref="U269">INT(SUMPRODUCT(--ISNUMBER(SEARCH(climate,C269)))&gt;0)</f>
        <v>0</v>
      </c>
      <c r="V269" s="14" cm="1">
        <f t="array" ref="V269">INT(SUMPRODUCT(--ISNUMBER(SEARCH(abortion,C269)))&gt;0)</f>
        <v>0</v>
      </c>
      <c r="W269" s="14" cm="1">
        <f t="array" ref="W269">INT(SUMPRODUCT(--ISNUMBER(SEARCH(trump,C269)))&gt;0)</f>
        <v>0</v>
      </c>
      <c r="X269" s="14" cm="1">
        <f t="array" ref="X269">INT(SUMPRODUCT(--ISNUMBER(SEARCH(voting,C269)))&gt;0)</f>
        <v>0</v>
      </c>
      <c r="Y269" s="14" cm="1">
        <f t="array" ref="Y269">INT(SUMPRODUCT(--ISNUMBER(SEARCH(democrattrigger,C269)))&gt;0)</f>
        <v>0</v>
      </c>
      <c r="Z269" s="14" cm="1">
        <f t="array" ref="Z269">INT(SUMPRODUCT(--ISNUMBER(SEARCH(bipartisan,C269)))&gt;0)</f>
        <v>0</v>
      </c>
      <c r="AA269" s="14">
        <f t="shared" si="4"/>
        <v>1</v>
      </c>
      <c r="AB269" s="14"/>
      <c r="AC269" s="30">
        <v>0</v>
      </c>
      <c r="AD269" s="37">
        <v>1</v>
      </c>
    </row>
    <row r="270" spans="1:30" x14ac:dyDescent="0.25">
      <c r="A270" s="36">
        <v>1733</v>
      </c>
      <c r="B270" s="14" t="s">
        <v>3493</v>
      </c>
      <c r="C270" s="14" t="s">
        <v>3494</v>
      </c>
      <c r="D270" s="17">
        <v>44121</v>
      </c>
      <c r="E270" s="14" t="s">
        <v>30</v>
      </c>
      <c r="F270" s="14">
        <v>1601</v>
      </c>
      <c r="G270" s="14">
        <v>478</v>
      </c>
      <c r="H270" s="14">
        <v>8</v>
      </c>
      <c r="I270" s="14">
        <v>4</v>
      </c>
      <c r="J270" s="14" t="s">
        <v>204</v>
      </c>
      <c r="K270" s="14" cm="1">
        <f t="array" ref="K270">INT(SUMPRODUCT(--ISNUMBER(SEARCH(economy,C270)))&gt;0)</f>
        <v>0</v>
      </c>
      <c r="L270" s="14" cm="1">
        <f t="array" ref="L270">INT(SUMPRODUCT(--ISNUMBER(SEARCH(healthcare,C270)))&gt;0)</f>
        <v>1</v>
      </c>
      <c r="M270" s="14" cm="1">
        <f t="array" ref="M270">INT(SUMPRODUCT(--ISNUMBER(SEARCH(supreme,C270)))&gt;0)</f>
        <v>0</v>
      </c>
      <c r="N270" s="14" cm="1">
        <f t="array" ref="N270">INT(SUMPRODUCT(--ISNUMBER(SEARCH(covid,C270)))&gt;0)</f>
        <v>0</v>
      </c>
      <c r="O270" s="14" cm="1">
        <f t="array" ref="O270">INT(SUMPRODUCT(--ISNUMBER(SEARCH(violent,C270)))&gt;0)</f>
        <v>0</v>
      </c>
      <c r="P270" s="14" cm="1">
        <f t="array" ref="P270">INT(SUMPRODUCT(--ISNUMBER(SEARCH(foreign,C270)))&gt;0)</f>
        <v>0</v>
      </c>
      <c r="Q270" s="14" cm="1">
        <f t="array" ref="Q270">INT(SUMPRODUCT(--ISNUMBER(SEARCH(gun,C270)))&gt;0)</f>
        <v>0</v>
      </c>
      <c r="R270" s="14" cm="1">
        <f t="array" ref="R270">INT(SUMPRODUCT(--ISNUMBER(SEARCH(race,C270)))&gt;0)</f>
        <v>0</v>
      </c>
      <c r="S270" s="14" cm="1">
        <f t="array" ref="S270">INT(SUMPRODUCT(--ISNUMBER(SEARCH(immigration,C270)))&gt;0)</f>
        <v>0</v>
      </c>
      <c r="T270" s="14" cm="1">
        <f t="array" ref="T270">INT(SUMPRODUCT(--ISNUMBER(SEARCH(econineq,C271)))&gt;0)</f>
        <v>0</v>
      </c>
      <c r="U270" s="14" cm="1">
        <f t="array" ref="U270">INT(SUMPRODUCT(--ISNUMBER(SEARCH(climate,C270)))&gt;0)</f>
        <v>0</v>
      </c>
      <c r="V270" s="14" cm="1">
        <f t="array" ref="V270">INT(SUMPRODUCT(--ISNUMBER(SEARCH(abortion,C270)))&gt;0)</f>
        <v>0</v>
      </c>
      <c r="W270" s="14" cm="1">
        <f t="array" ref="W270">INT(SUMPRODUCT(--ISNUMBER(SEARCH(trump,C270)))&gt;0)</f>
        <v>0</v>
      </c>
      <c r="X270" s="14" cm="1">
        <f t="array" ref="X270">INT(SUMPRODUCT(--ISNUMBER(SEARCH(voting,C270)))&gt;0)</f>
        <v>0</v>
      </c>
      <c r="Y270" s="14" cm="1">
        <f t="array" ref="Y270">INT(SUMPRODUCT(--ISNUMBER(SEARCH(democrattrigger,C270)))&gt;0)</f>
        <v>0</v>
      </c>
      <c r="Z270" s="14" cm="1">
        <f t="array" ref="Z270">INT(SUMPRODUCT(--ISNUMBER(SEARCH(bipartisan,C270)))&gt;0)</f>
        <v>0</v>
      </c>
      <c r="AA270" s="14">
        <f t="shared" si="4"/>
        <v>0</v>
      </c>
      <c r="AB270" s="14"/>
      <c r="AC270" s="30" t="s">
        <v>223</v>
      </c>
      <c r="AD270" s="37" t="s">
        <v>223</v>
      </c>
    </row>
    <row r="271" spans="1:30" x14ac:dyDescent="0.25">
      <c r="A271" s="36">
        <v>1734</v>
      </c>
      <c r="B271" s="14" t="s">
        <v>3495</v>
      </c>
      <c r="C271" s="14" t="s">
        <v>3496</v>
      </c>
      <c r="D271" s="17">
        <v>44120</v>
      </c>
      <c r="E271" s="14" t="s">
        <v>30</v>
      </c>
      <c r="F271" s="14">
        <v>1161</v>
      </c>
      <c r="G271" s="14">
        <v>462</v>
      </c>
      <c r="H271" s="14">
        <v>8</v>
      </c>
      <c r="I271" s="14">
        <v>4</v>
      </c>
      <c r="J271" s="14" t="s">
        <v>204</v>
      </c>
      <c r="K271" s="14" cm="1">
        <f t="array" ref="K271">INT(SUMPRODUCT(--ISNUMBER(SEARCH(economy,C271)))&gt;0)</f>
        <v>0</v>
      </c>
      <c r="L271" s="14" cm="1">
        <f t="array" ref="L271">INT(SUMPRODUCT(--ISNUMBER(SEARCH(healthcare,C271)))&gt;0)</f>
        <v>0</v>
      </c>
      <c r="M271" s="14" cm="1">
        <f t="array" ref="M271">INT(SUMPRODUCT(--ISNUMBER(SEARCH(supreme,C271)))&gt;0)</f>
        <v>0</v>
      </c>
      <c r="N271" s="14" cm="1">
        <f t="array" ref="N271">INT(SUMPRODUCT(--ISNUMBER(SEARCH(covid,C271)))&gt;0)</f>
        <v>0</v>
      </c>
      <c r="O271" s="14" cm="1">
        <f t="array" ref="O271">INT(SUMPRODUCT(--ISNUMBER(SEARCH(violent,C271)))&gt;0)</f>
        <v>0</v>
      </c>
      <c r="P271" s="14" cm="1">
        <f t="array" ref="P271">INT(SUMPRODUCT(--ISNUMBER(SEARCH(foreign,C271)))&gt;0)</f>
        <v>0</v>
      </c>
      <c r="Q271" s="14" cm="1">
        <f t="array" ref="Q271">INT(SUMPRODUCT(--ISNUMBER(SEARCH(gun,C271)))&gt;0)</f>
        <v>0</v>
      </c>
      <c r="R271" s="14" cm="1">
        <f t="array" ref="R271">INT(SUMPRODUCT(--ISNUMBER(SEARCH(race,C271)))&gt;0)</f>
        <v>1</v>
      </c>
      <c r="S271" s="14" cm="1">
        <f t="array" ref="S271">INT(SUMPRODUCT(--ISNUMBER(SEARCH(immigration,C271)))&gt;0)</f>
        <v>0</v>
      </c>
      <c r="T271" s="14" cm="1">
        <f t="array" ref="T271">INT(SUMPRODUCT(--ISNUMBER(SEARCH(econineq,C272)))&gt;0)</f>
        <v>0</v>
      </c>
      <c r="U271" s="14" cm="1">
        <f t="array" ref="U271">INT(SUMPRODUCT(--ISNUMBER(SEARCH(climate,C271)))&gt;0)</f>
        <v>0</v>
      </c>
      <c r="V271" s="14" cm="1">
        <f t="array" ref="V271">INT(SUMPRODUCT(--ISNUMBER(SEARCH(abortion,C271)))&gt;0)</f>
        <v>0</v>
      </c>
      <c r="W271" s="14" cm="1">
        <f t="array" ref="W271">INT(SUMPRODUCT(--ISNUMBER(SEARCH(trump,C271)))&gt;0)</f>
        <v>0</v>
      </c>
      <c r="X271" s="14" cm="1">
        <f t="array" ref="X271">INT(SUMPRODUCT(--ISNUMBER(SEARCH(voting,C271)))&gt;0)</f>
        <v>1</v>
      </c>
      <c r="Y271" s="14" cm="1">
        <f t="array" ref="Y271">INT(SUMPRODUCT(--ISNUMBER(SEARCH(democrattrigger,C271)))&gt;0)</f>
        <v>0</v>
      </c>
      <c r="Z271" s="14" cm="1">
        <f t="array" ref="Z271">INT(SUMPRODUCT(--ISNUMBER(SEARCH(bipartisan,C271)))&gt;0)</f>
        <v>0</v>
      </c>
      <c r="AA271" s="14">
        <f t="shared" si="4"/>
        <v>0</v>
      </c>
      <c r="AB271" s="14"/>
      <c r="AC271" s="30" t="s">
        <v>223</v>
      </c>
      <c r="AD271" s="37" t="s">
        <v>223</v>
      </c>
    </row>
    <row r="272" spans="1:30" x14ac:dyDescent="0.25">
      <c r="A272" s="36">
        <v>1735</v>
      </c>
      <c r="B272" s="14" t="s">
        <v>3497</v>
      </c>
      <c r="C272" s="14" t="s">
        <v>3498</v>
      </c>
      <c r="D272" s="17">
        <v>44120</v>
      </c>
      <c r="E272" s="14" t="s">
        <v>30</v>
      </c>
      <c r="F272" s="14">
        <v>4302</v>
      </c>
      <c r="G272" s="14">
        <v>1388</v>
      </c>
      <c r="H272" s="14">
        <v>8</v>
      </c>
      <c r="I272" s="14">
        <v>4</v>
      </c>
      <c r="J272" s="14" t="s">
        <v>204</v>
      </c>
      <c r="K272" s="14" cm="1">
        <f t="array" ref="K272">INT(SUMPRODUCT(--ISNUMBER(SEARCH(economy,C272)))&gt;0)</f>
        <v>0</v>
      </c>
      <c r="L272" s="14" cm="1">
        <f t="array" ref="L272">INT(SUMPRODUCT(--ISNUMBER(SEARCH(healthcare,C272)))&gt;0)</f>
        <v>1</v>
      </c>
      <c r="M272" s="14" cm="1">
        <f t="array" ref="M272">INT(SUMPRODUCT(--ISNUMBER(SEARCH(supreme,C272)))&gt;0)</f>
        <v>0</v>
      </c>
      <c r="N272" s="14" cm="1">
        <f t="array" ref="N272">INT(SUMPRODUCT(--ISNUMBER(SEARCH(covid,C272)))&gt;0)</f>
        <v>0</v>
      </c>
      <c r="O272" s="14" cm="1">
        <f t="array" ref="O272">INT(SUMPRODUCT(--ISNUMBER(SEARCH(violent,C272)))&gt;0)</f>
        <v>0</v>
      </c>
      <c r="P272" s="14" cm="1">
        <f t="array" ref="P272">INT(SUMPRODUCT(--ISNUMBER(SEARCH(foreign,C272)))&gt;0)</f>
        <v>0</v>
      </c>
      <c r="Q272" s="14" cm="1">
        <f t="array" ref="Q272">INT(SUMPRODUCT(--ISNUMBER(SEARCH(gun,C272)))&gt;0)</f>
        <v>0</v>
      </c>
      <c r="R272" s="14" cm="1">
        <f t="array" ref="R272">INT(SUMPRODUCT(--ISNUMBER(SEARCH(race,C272)))&gt;0)</f>
        <v>0</v>
      </c>
      <c r="S272" s="14" cm="1">
        <f t="array" ref="S272">INT(SUMPRODUCT(--ISNUMBER(SEARCH(immigration,C272)))&gt;0)</f>
        <v>0</v>
      </c>
      <c r="T272" s="14" cm="1">
        <f t="array" ref="T272">INT(SUMPRODUCT(--ISNUMBER(SEARCH(econineq,C273)))&gt;0)</f>
        <v>0</v>
      </c>
      <c r="U272" s="14" cm="1">
        <f t="array" ref="U272">INT(SUMPRODUCT(--ISNUMBER(SEARCH(climate,C272)))&gt;0)</f>
        <v>0</v>
      </c>
      <c r="V272" s="14" cm="1">
        <f t="array" ref="V272">INT(SUMPRODUCT(--ISNUMBER(SEARCH(abortion,C272)))&gt;0)</f>
        <v>0</v>
      </c>
      <c r="W272" s="14" cm="1">
        <f t="array" ref="W272">INT(SUMPRODUCT(--ISNUMBER(SEARCH(trump,C272)))&gt;0)</f>
        <v>0</v>
      </c>
      <c r="X272" s="14" cm="1">
        <f t="array" ref="X272">INT(SUMPRODUCT(--ISNUMBER(SEARCH(voting,C272)))&gt;0)</f>
        <v>1</v>
      </c>
      <c r="Y272" s="14" cm="1">
        <f t="array" ref="Y272">INT(SUMPRODUCT(--ISNUMBER(SEARCH(democrattrigger,C272)))&gt;0)</f>
        <v>1</v>
      </c>
      <c r="Z272" s="14" cm="1">
        <f t="array" ref="Z272">INT(SUMPRODUCT(--ISNUMBER(SEARCH(bipartisan,C272)))&gt;0)</f>
        <v>0</v>
      </c>
      <c r="AA272" s="14">
        <f t="shared" si="4"/>
        <v>0</v>
      </c>
      <c r="AB272" s="14"/>
      <c r="AC272" s="30" t="s">
        <v>223</v>
      </c>
      <c r="AD272" s="37" t="s">
        <v>223</v>
      </c>
    </row>
    <row r="273" spans="1:30" x14ac:dyDescent="0.25">
      <c r="A273" s="36">
        <v>1736</v>
      </c>
      <c r="B273" s="14" t="s">
        <v>3499</v>
      </c>
      <c r="C273" s="14" t="s">
        <v>3500</v>
      </c>
      <c r="D273" s="17">
        <v>44120</v>
      </c>
      <c r="E273" s="14" t="s">
        <v>30</v>
      </c>
      <c r="F273" s="14">
        <v>620</v>
      </c>
      <c r="G273" s="14">
        <v>217</v>
      </c>
      <c r="H273" s="14">
        <v>8</v>
      </c>
      <c r="I273" s="14">
        <v>4</v>
      </c>
      <c r="J273" s="14" t="s">
        <v>204</v>
      </c>
      <c r="K273" s="14" cm="1">
        <f t="array" ref="K273">INT(SUMPRODUCT(--ISNUMBER(SEARCH(economy,C273)))&gt;0)</f>
        <v>0</v>
      </c>
      <c r="L273" s="14" cm="1">
        <f t="array" ref="L273">INT(SUMPRODUCT(--ISNUMBER(SEARCH(healthcare,C273)))&gt;0)</f>
        <v>0</v>
      </c>
      <c r="M273" s="14" cm="1">
        <f t="array" ref="M273">INT(SUMPRODUCT(--ISNUMBER(SEARCH(supreme,C273)))&gt;0)</f>
        <v>0</v>
      </c>
      <c r="N273" s="14" cm="1">
        <f t="array" ref="N273">INT(SUMPRODUCT(--ISNUMBER(SEARCH(covid,C273)))&gt;0)</f>
        <v>0</v>
      </c>
      <c r="O273" s="14" cm="1">
        <f t="array" ref="O273">INT(SUMPRODUCT(--ISNUMBER(SEARCH(violent,C273)))&gt;0)</f>
        <v>0</v>
      </c>
      <c r="P273" s="14" cm="1">
        <f t="array" ref="P273">INT(SUMPRODUCT(--ISNUMBER(SEARCH(foreign,C273)))&gt;0)</f>
        <v>0</v>
      </c>
      <c r="Q273" s="14" cm="1">
        <f t="array" ref="Q273">INT(SUMPRODUCT(--ISNUMBER(SEARCH(gun,C273)))&gt;0)</f>
        <v>0</v>
      </c>
      <c r="R273" s="14" cm="1">
        <f t="array" ref="R273">INT(SUMPRODUCT(--ISNUMBER(SEARCH(race,C273)))&gt;0)</f>
        <v>0</v>
      </c>
      <c r="S273" s="14" cm="1">
        <f t="array" ref="S273">INT(SUMPRODUCT(--ISNUMBER(SEARCH(immigration,C273)))&gt;0)</f>
        <v>0</v>
      </c>
      <c r="T273" s="14" cm="1">
        <f t="array" ref="T273">INT(SUMPRODUCT(--ISNUMBER(SEARCH(econineq,C274)))&gt;0)</f>
        <v>0</v>
      </c>
      <c r="U273" s="14" cm="1">
        <f t="array" ref="U273">INT(SUMPRODUCT(--ISNUMBER(SEARCH(climate,C273)))&gt;0)</f>
        <v>0</v>
      </c>
      <c r="V273" s="14" cm="1">
        <f t="array" ref="V273">INT(SUMPRODUCT(--ISNUMBER(SEARCH(abortion,C273)))&gt;0)</f>
        <v>0</v>
      </c>
      <c r="W273" s="14" cm="1">
        <f t="array" ref="W273">INT(SUMPRODUCT(--ISNUMBER(SEARCH(trump,C273)))&gt;0)</f>
        <v>0</v>
      </c>
      <c r="X273" s="14" cm="1">
        <f t="array" ref="X273">INT(SUMPRODUCT(--ISNUMBER(SEARCH(voting,C273)))&gt;0)</f>
        <v>0</v>
      </c>
      <c r="Y273" s="14" cm="1">
        <f t="array" ref="Y273">INT(SUMPRODUCT(--ISNUMBER(SEARCH(democrattrigger,C273)))&gt;0)</f>
        <v>0</v>
      </c>
      <c r="Z273" s="14" cm="1">
        <f t="array" ref="Z273">INT(SUMPRODUCT(--ISNUMBER(SEARCH(bipartisan,C273)))&gt;0)</f>
        <v>0</v>
      </c>
      <c r="AA273" s="14">
        <f t="shared" si="4"/>
        <v>1</v>
      </c>
      <c r="AB273" s="14"/>
      <c r="AC273" s="30" t="s">
        <v>223</v>
      </c>
      <c r="AD273" s="37" t="s">
        <v>223</v>
      </c>
    </row>
    <row r="274" spans="1:30" x14ac:dyDescent="0.25">
      <c r="A274" s="36">
        <v>1737</v>
      </c>
      <c r="B274" s="14" t="s">
        <v>3501</v>
      </c>
      <c r="C274" s="14" t="s">
        <v>3502</v>
      </c>
      <c r="D274" s="17">
        <v>44120</v>
      </c>
      <c r="E274" s="14" t="s">
        <v>30</v>
      </c>
      <c r="F274" s="14">
        <v>1402</v>
      </c>
      <c r="G274" s="14">
        <v>546</v>
      </c>
      <c r="H274" s="14">
        <v>8</v>
      </c>
      <c r="I274" s="14">
        <v>4</v>
      </c>
      <c r="J274" s="14" t="s">
        <v>204</v>
      </c>
      <c r="K274" s="14" cm="1">
        <f t="array" ref="K274">INT(SUMPRODUCT(--ISNUMBER(SEARCH(economy,C274)))&gt;0)</f>
        <v>0</v>
      </c>
      <c r="L274" s="14" cm="1">
        <f t="array" ref="L274">INT(SUMPRODUCT(--ISNUMBER(SEARCH(healthcare,C274)))&gt;0)</f>
        <v>1</v>
      </c>
      <c r="M274" s="14" cm="1">
        <f t="array" ref="M274">INT(SUMPRODUCT(--ISNUMBER(SEARCH(supreme,C274)))&gt;0)</f>
        <v>0</v>
      </c>
      <c r="N274" s="14" cm="1">
        <f t="array" ref="N274">INT(SUMPRODUCT(--ISNUMBER(SEARCH(covid,C274)))&gt;0)</f>
        <v>0</v>
      </c>
      <c r="O274" s="14" cm="1">
        <f t="array" ref="O274">INT(SUMPRODUCT(--ISNUMBER(SEARCH(violent,C274)))&gt;0)</f>
        <v>0</v>
      </c>
      <c r="P274" s="14" cm="1">
        <f t="array" ref="P274">INT(SUMPRODUCT(--ISNUMBER(SEARCH(foreign,C274)))&gt;0)</f>
        <v>0</v>
      </c>
      <c r="Q274" s="14" cm="1">
        <f t="array" ref="Q274">INT(SUMPRODUCT(--ISNUMBER(SEARCH(gun,C274)))&gt;0)</f>
        <v>0</v>
      </c>
      <c r="R274" s="14" cm="1">
        <f t="array" ref="R274">INT(SUMPRODUCT(--ISNUMBER(SEARCH(race,C274)))&gt;0)</f>
        <v>0</v>
      </c>
      <c r="S274" s="14" cm="1">
        <f t="array" ref="S274">INT(SUMPRODUCT(--ISNUMBER(SEARCH(immigration,C274)))&gt;0)</f>
        <v>0</v>
      </c>
      <c r="T274" s="14" cm="1">
        <f t="array" ref="T274">INT(SUMPRODUCT(--ISNUMBER(SEARCH(econineq,C275)))&gt;0)</f>
        <v>0</v>
      </c>
      <c r="U274" s="14" cm="1">
        <f t="array" ref="U274">INT(SUMPRODUCT(--ISNUMBER(SEARCH(climate,C274)))&gt;0)</f>
        <v>0</v>
      </c>
      <c r="V274" s="14" cm="1">
        <f t="array" ref="V274">INT(SUMPRODUCT(--ISNUMBER(SEARCH(abortion,C274)))&gt;0)</f>
        <v>0</v>
      </c>
      <c r="W274" s="14" cm="1">
        <f t="array" ref="W274">INT(SUMPRODUCT(--ISNUMBER(SEARCH(trump,C274)))&gt;0)</f>
        <v>0</v>
      </c>
      <c r="X274" s="14" cm="1">
        <f t="array" ref="X274">INT(SUMPRODUCT(--ISNUMBER(SEARCH(voting,C274)))&gt;0)</f>
        <v>1</v>
      </c>
      <c r="Y274" s="14" cm="1">
        <f t="array" ref="Y274">INT(SUMPRODUCT(--ISNUMBER(SEARCH(democrattrigger,C274)))&gt;0)</f>
        <v>0</v>
      </c>
      <c r="Z274" s="14" cm="1">
        <f t="array" ref="Z274">INT(SUMPRODUCT(--ISNUMBER(SEARCH(bipartisan,C274)))&gt;0)</f>
        <v>0</v>
      </c>
      <c r="AA274" s="14">
        <f t="shared" si="4"/>
        <v>0</v>
      </c>
      <c r="AB274" s="14"/>
      <c r="AC274" s="30">
        <v>0</v>
      </c>
      <c r="AD274" s="37">
        <v>1</v>
      </c>
    </row>
    <row r="275" spans="1:30" x14ac:dyDescent="0.25">
      <c r="A275" s="36">
        <v>1738</v>
      </c>
      <c r="B275" s="14" t="s">
        <v>3503</v>
      </c>
      <c r="C275" s="14" t="s">
        <v>3504</v>
      </c>
      <c r="D275" s="17">
        <v>44120</v>
      </c>
      <c r="E275" s="14" t="s">
        <v>30</v>
      </c>
      <c r="F275" s="14">
        <v>1594</v>
      </c>
      <c r="G275" s="14">
        <v>582</v>
      </c>
      <c r="H275" s="14">
        <v>8</v>
      </c>
      <c r="I275" s="14">
        <v>4</v>
      </c>
      <c r="J275" s="14" t="s">
        <v>204</v>
      </c>
      <c r="K275" s="14" cm="1">
        <f t="array" ref="K275">INT(SUMPRODUCT(--ISNUMBER(SEARCH(economy,C275)))&gt;0)</f>
        <v>0</v>
      </c>
      <c r="L275" s="14" cm="1">
        <f t="array" ref="L275">INT(SUMPRODUCT(--ISNUMBER(SEARCH(healthcare,C275)))&gt;0)</f>
        <v>1</v>
      </c>
      <c r="M275" s="14" cm="1">
        <f t="array" ref="M275">INT(SUMPRODUCT(--ISNUMBER(SEARCH(supreme,C275)))&gt;0)</f>
        <v>0</v>
      </c>
      <c r="N275" s="14" cm="1">
        <f t="array" ref="N275">INT(SUMPRODUCT(--ISNUMBER(SEARCH(covid,C275)))&gt;0)</f>
        <v>0</v>
      </c>
      <c r="O275" s="14" cm="1">
        <f t="array" ref="O275">INT(SUMPRODUCT(--ISNUMBER(SEARCH(violent,C275)))&gt;0)</f>
        <v>0</v>
      </c>
      <c r="P275" s="14" cm="1">
        <f t="array" ref="P275">INT(SUMPRODUCT(--ISNUMBER(SEARCH(foreign,C275)))&gt;0)</f>
        <v>0</v>
      </c>
      <c r="Q275" s="14" cm="1">
        <f t="array" ref="Q275">INT(SUMPRODUCT(--ISNUMBER(SEARCH(gun,C275)))&gt;0)</f>
        <v>0</v>
      </c>
      <c r="R275" s="14" cm="1">
        <f t="array" ref="R275">INT(SUMPRODUCT(--ISNUMBER(SEARCH(race,C275)))&gt;0)</f>
        <v>0</v>
      </c>
      <c r="S275" s="14" cm="1">
        <f t="array" ref="S275">INT(SUMPRODUCT(--ISNUMBER(SEARCH(immigration,C275)))&gt;0)</f>
        <v>0</v>
      </c>
      <c r="T275" s="14" cm="1">
        <f t="array" ref="T275">INT(SUMPRODUCT(--ISNUMBER(SEARCH(econineq,C276)))&gt;0)</f>
        <v>0</v>
      </c>
      <c r="U275" s="14" cm="1">
        <f t="array" ref="U275">INT(SUMPRODUCT(--ISNUMBER(SEARCH(climate,C275)))&gt;0)</f>
        <v>0</v>
      </c>
      <c r="V275" s="14" cm="1">
        <f t="array" ref="V275">INT(SUMPRODUCT(--ISNUMBER(SEARCH(abortion,C275)))&gt;0)</f>
        <v>0</v>
      </c>
      <c r="W275" s="14" cm="1">
        <f t="array" ref="W275">INT(SUMPRODUCT(--ISNUMBER(SEARCH(trump,C275)))&gt;0)</f>
        <v>1</v>
      </c>
      <c r="X275" s="14" cm="1">
        <f t="array" ref="X275">INT(SUMPRODUCT(--ISNUMBER(SEARCH(voting,C275)))&gt;0)</f>
        <v>0</v>
      </c>
      <c r="Y275" s="14" cm="1">
        <f t="array" ref="Y275">INT(SUMPRODUCT(--ISNUMBER(SEARCH(democrattrigger,C275)))&gt;0)</f>
        <v>1</v>
      </c>
      <c r="Z275" s="14" cm="1">
        <f t="array" ref="Z275">INT(SUMPRODUCT(--ISNUMBER(SEARCH(bipartisan,C275)))&gt;0)</f>
        <v>0</v>
      </c>
      <c r="AA275" s="14">
        <f t="shared" si="4"/>
        <v>0</v>
      </c>
      <c r="AB275" s="14"/>
      <c r="AC275" s="30">
        <v>0</v>
      </c>
      <c r="AD275" s="37">
        <v>1</v>
      </c>
    </row>
    <row r="276" spans="1:30" x14ac:dyDescent="0.25">
      <c r="A276" s="36">
        <v>1739</v>
      </c>
      <c r="B276" s="14" t="s">
        <v>3505</v>
      </c>
      <c r="C276" s="14" t="s">
        <v>3506</v>
      </c>
      <c r="D276" s="17">
        <v>44120</v>
      </c>
      <c r="E276" s="14" t="s">
        <v>30</v>
      </c>
      <c r="F276" s="14">
        <v>505</v>
      </c>
      <c r="G276" s="14">
        <v>156</v>
      </c>
      <c r="H276" s="14">
        <v>8</v>
      </c>
      <c r="I276" s="14">
        <v>4</v>
      </c>
      <c r="J276" s="14" t="s">
        <v>204</v>
      </c>
      <c r="K276" s="14" cm="1">
        <f t="array" ref="K276">INT(SUMPRODUCT(--ISNUMBER(SEARCH(economy,C276)))&gt;0)</f>
        <v>0</v>
      </c>
      <c r="L276" s="14" cm="1">
        <f t="array" ref="L276">INT(SUMPRODUCT(--ISNUMBER(SEARCH(healthcare,C276)))&gt;0)</f>
        <v>1</v>
      </c>
      <c r="M276" s="14" cm="1">
        <f t="array" ref="M276">INT(SUMPRODUCT(--ISNUMBER(SEARCH(supreme,C276)))&gt;0)</f>
        <v>0</v>
      </c>
      <c r="N276" s="14" cm="1">
        <f t="array" ref="N276">INT(SUMPRODUCT(--ISNUMBER(SEARCH(covid,C276)))&gt;0)</f>
        <v>0</v>
      </c>
      <c r="O276" s="14" cm="1">
        <f t="array" ref="O276">INT(SUMPRODUCT(--ISNUMBER(SEARCH(violent,C276)))&gt;0)</f>
        <v>0</v>
      </c>
      <c r="P276" s="14" cm="1">
        <f t="array" ref="P276">INT(SUMPRODUCT(--ISNUMBER(SEARCH(foreign,C276)))&gt;0)</f>
        <v>0</v>
      </c>
      <c r="Q276" s="14" cm="1">
        <f t="array" ref="Q276">INT(SUMPRODUCT(--ISNUMBER(SEARCH(gun,C276)))&gt;0)</f>
        <v>0</v>
      </c>
      <c r="R276" s="14" cm="1">
        <f t="array" ref="R276">INT(SUMPRODUCT(--ISNUMBER(SEARCH(race,C276)))&gt;0)</f>
        <v>0</v>
      </c>
      <c r="S276" s="14" cm="1">
        <f t="array" ref="S276">INT(SUMPRODUCT(--ISNUMBER(SEARCH(immigration,C276)))&gt;0)</f>
        <v>0</v>
      </c>
      <c r="T276" s="14" cm="1">
        <f t="array" ref="T276">INT(SUMPRODUCT(--ISNUMBER(SEARCH(econineq,C277)))&gt;0)</f>
        <v>0</v>
      </c>
      <c r="U276" s="14" cm="1">
        <f t="array" ref="U276">INT(SUMPRODUCT(--ISNUMBER(SEARCH(climate,C276)))&gt;0)</f>
        <v>0</v>
      </c>
      <c r="V276" s="14" cm="1">
        <f t="array" ref="V276">INT(SUMPRODUCT(--ISNUMBER(SEARCH(abortion,C276)))&gt;0)</f>
        <v>0</v>
      </c>
      <c r="W276" s="14" cm="1">
        <f t="array" ref="W276">INT(SUMPRODUCT(--ISNUMBER(SEARCH(trump,C276)))&gt;0)</f>
        <v>0</v>
      </c>
      <c r="X276" s="14" cm="1">
        <f t="array" ref="X276">INT(SUMPRODUCT(--ISNUMBER(SEARCH(voting,C276)))&gt;0)</f>
        <v>1</v>
      </c>
      <c r="Y276" s="14" cm="1">
        <f t="array" ref="Y276">INT(SUMPRODUCT(--ISNUMBER(SEARCH(democrattrigger,C276)))&gt;0)</f>
        <v>1</v>
      </c>
      <c r="Z276" s="14" cm="1">
        <f t="array" ref="Z276">INT(SUMPRODUCT(--ISNUMBER(SEARCH(bipartisan,C276)))&gt;0)</f>
        <v>0</v>
      </c>
      <c r="AA276" s="14">
        <f t="shared" si="4"/>
        <v>0</v>
      </c>
      <c r="AB276" s="14"/>
      <c r="AC276" s="30" t="s">
        <v>223</v>
      </c>
      <c r="AD276" s="37" t="s">
        <v>223</v>
      </c>
    </row>
    <row r="277" spans="1:30" x14ac:dyDescent="0.25">
      <c r="A277" s="36">
        <v>1740</v>
      </c>
      <c r="B277" s="14" t="s">
        <v>3507</v>
      </c>
      <c r="C277" s="14" t="s">
        <v>3162</v>
      </c>
      <c r="D277" s="17">
        <v>44120</v>
      </c>
      <c r="E277" s="14" t="s">
        <v>30</v>
      </c>
      <c r="F277" s="14">
        <v>1759</v>
      </c>
      <c r="G277" s="14">
        <v>403</v>
      </c>
      <c r="H277" s="14">
        <v>8</v>
      </c>
      <c r="I277" s="14">
        <v>4</v>
      </c>
      <c r="J277" s="14" t="s">
        <v>204</v>
      </c>
      <c r="K277" s="14" cm="1">
        <f t="array" ref="K277">INT(SUMPRODUCT(--ISNUMBER(SEARCH(economy,C277)))&gt;0)</f>
        <v>0</v>
      </c>
      <c r="L277" s="14" cm="1">
        <f t="array" ref="L277">INT(SUMPRODUCT(--ISNUMBER(SEARCH(healthcare,C277)))&gt;0)</f>
        <v>0</v>
      </c>
      <c r="M277" s="14" cm="1">
        <f t="array" ref="M277">INT(SUMPRODUCT(--ISNUMBER(SEARCH(supreme,C277)))&gt;0)</f>
        <v>0</v>
      </c>
      <c r="N277" s="14" cm="1">
        <f t="array" ref="N277">INT(SUMPRODUCT(--ISNUMBER(SEARCH(covid,C277)))&gt;0)</f>
        <v>0</v>
      </c>
      <c r="O277" s="14" cm="1">
        <f t="array" ref="O277">INT(SUMPRODUCT(--ISNUMBER(SEARCH(violent,C277)))&gt;0)</f>
        <v>0</v>
      </c>
      <c r="P277" s="14" cm="1">
        <f t="array" ref="P277">INT(SUMPRODUCT(--ISNUMBER(SEARCH(foreign,C277)))&gt;0)</f>
        <v>0</v>
      </c>
      <c r="Q277" s="14" cm="1">
        <f t="array" ref="Q277">INT(SUMPRODUCT(--ISNUMBER(SEARCH(gun,C277)))&gt;0)</f>
        <v>0</v>
      </c>
      <c r="R277" s="14" cm="1">
        <f t="array" ref="R277">INT(SUMPRODUCT(--ISNUMBER(SEARCH(race,C277)))&gt;0)</f>
        <v>0</v>
      </c>
      <c r="S277" s="14" cm="1">
        <f t="array" ref="S277">INT(SUMPRODUCT(--ISNUMBER(SEARCH(immigration,C277)))&gt;0)</f>
        <v>0</v>
      </c>
      <c r="T277" s="14" cm="1">
        <f t="array" ref="T277">INT(SUMPRODUCT(--ISNUMBER(SEARCH(econineq,C278)))&gt;0)</f>
        <v>0</v>
      </c>
      <c r="U277" s="14" cm="1">
        <f t="array" ref="U277">INT(SUMPRODUCT(--ISNUMBER(SEARCH(climate,C277)))&gt;0)</f>
        <v>0</v>
      </c>
      <c r="V277" s="14" cm="1">
        <f t="array" ref="V277">INT(SUMPRODUCT(--ISNUMBER(SEARCH(abortion,C277)))&gt;0)</f>
        <v>0</v>
      </c>
      <c r="W277" s="14" cm="1">
        <f t="array" ref="W277">INT(SUMPRODUCT(--ISNUMBER(SEARCH(trump,C277)))&gt;0)</f>
        <v>1</v>
      </c>
      <c r="X277" s="14" cm="1">
        <f t="array" ref="X277">INT(SUMPRODUCT(--ISNUMBER(SEARCH(voting,C277)))&gt;0)</f>
        <v>0</v>
      </c>
      <c r="Y277" s="14" cm="1">
        <f t="array" ref="Y277">INT(SUMPRODUCT(--ISNUMBER(SEARCH(democrattrigger,C277)))&gt;0)</f>
        <v>1</v>
      </c>
      <c r="Z277" s="14" cm="1">
        <f t="array" ref="Z277">INT(SUMPRODUCT(--ISNUMBER(SEARCH(bipartisan,C277)))&gt;0)</f>
        <v>0</v>
      </c>
      <c r="AA277" s="14">
        <f t="shared" si="4"/>
        <v>0</v>
      </c>
      <c r="AB277" s="14"/>
      <c r="AC277" s="30" t="s">
        <v>223</v>
      </c>
      <c r="AD277" s="37" t="s">
        <v>223</v>
      </c>
    </row>
    <row r="278" spans="1:30" x14ac:dyDescent="0.25">
      <c r="A278" s="36">
        <v>1741</v>
      </c>
      <c r="B278" s="14" t="s">
        <v>3508</v>
      </c>
      <c r="C278" s="14" t="s">
        <v>3509</v>
      </c>
      <c r="D278" s="17">
        <v>44120</v>
      </c>
      <c r="E278" s="14" t="s">
        <v>30</v>
      </c>
      <c r="F278" s="14">
        <v>1018</v>
      </c>
      <c r="G278" s="14">
        <v>405</v>
      </c>
      <c r="H278" s="14">
        <v>8</v>
      </c>
      <c r="I278" s="14">
        <v>4</v>
      </c>
      <c r="J278" s="14" t="s">
        <v>204</v>
      </c>
      <c r="K278" s="14" cm="1">
        <f t="array" ref="K278">INT(SUMPRODUCT(--ISNUMBER(SEARCH(economy,C278)))&gt;0)</f>
        <v>0</v>
      </c>
      <c r="L278" s="14" cm="1">
        <f t="array" ref="L278">INT(SUMPRODUCT(--ISNUMBER(SEARCH(healthcare,C278)))&gt;0)</f>
        <v>0</v>
      </c>
      <c r="M278" s="14" cm="1">
        <f t="array" ref="M278">INT(SUMPRODUCT(--ISNUMBER(SEARCH(supreme,C278)))&gt;0)</f>
        <v>1</v>
      </c>
      <c r="N278" s="14" cm="1">
        <f t="array" ref="N278">INT(SUMPRODUCT(--ISNUMBER(SEARCH(covid,C278)))&gt;0)</f>
        <v>0</v>
      </c>
      <c r="O278" s="14" cm="1">
        <f t="array" ref="O278">INT(SUMPRODUCT(--ISNUMBER(SEARCH(violent,C278)))&gt;0)</f>
        <v>0</v>
      </c>
      <c r="P278" s="14" cm="1">
        <f t="array" ref="P278">INT(SUMPRODUCT(--ISNUMBER(SEARCH(foreign,C278)))&gt;0)</f>
        <v>0</v>
      </c>
      <c r="Q278" s="14" cm="1">
        <f t="array" ref="Q278">INT(SUMPRODUCT(--ISNUMBER(SEARCH(gun,C278)))&gt;0)</f>
        <v>0</v>
      </c>
      <c r="R278" s="14" cm="1">
        <f t="array" ref="R278">INT(SUMPRODUCT(--ISNUMBER(SEARCH(race,C278)))&gt;0)</f>
        <v>0</v>
      </c>
      <c r="S278" s="14" cm="1">
        <f t="array" ref="S278">INT(SUMPRODUCT(--ISNUMBER(SEARCH(immigration,C278)))&gt;0)</f>
        <v>0</v>
      </c>
      <c r="T278" s="14" cm="1">
        <f t="array" ref="T278">INT(SUMPRODUCT(--ISNUMBER(SEARCH(econineq,C279)))&gt;0)</f>
        <v>0</v>
      </c>
      <c r="U278" s="14" cm="1">
        <f t="array" ref="U278">INT(SUMPRODUCT(--ISNUMBER(SEARCH(climate,C278)))&gt;0)</f>
        <v>1</v>
      </c>
      <c r="V278" s="14" cm="1">
        <f t="array" ref="V278">INT(SUMPRODUCT(--ISNUMBER(SEARCH(abortion,C278)))&gt;0)</f>
        <v>0</v>
      </c>
      <c r="W278" s="14" cm="1">
        <f t="array" ref="W278">INT(SUMPRODUCT(--ISNUMBER(SEARCH(trump,C278)))&gt;0)</f>
        <v>1</v>
      </c>
      <c r="X278" s="14" cm="1">
        <f t="array" ref="X278">INT(SUMPRODUCT(--ISNUMBER(SEARCH(voting,C278)))&gt;0)</f>
        <v>1</v>
      </c>
      <c r="Y278" s="14" cm="1">
        <f t="array" ref="Y278">INT(SUMPRODUCT(--ISNUMBER(SEARCH(democrattrigger,C278)))&gt;0)</f>
        <v>1</v>
      </c>
      <c r="Z278" s="14" cm="1">
        <f t="array" ref="Z278">INT(SUMPRODUCT(--ISNUMBER(SEARCH(bipartisan,C278)))&gt;0)</f>
        <v>0</v>
      </c>
      <c r="AA278" s="14">
        <f t="shared" si="4"/>
        <v>0</v>
      </c>
      <c r="AB278" s="14"/>
      <c r="AC278" s="30" t="s">
        <v>223</v>
      </c>
      <c r="AD278" s="37" t="s">
        <v>223</v>
      </c>
    </row>
    <row r="279" spans="1:30" x14ac:dyDescent="0.25">
      <c r="A279" s="36">
        <v>1742</v>
      </c>
      <c r="B279" s="14" t="s">
        <v>3510</v>
      </c>
      <c r="C279" s="14" t="s">
        <v>3511</v>
      </c>
      <c r="D279" s="17">
        <v>44120</v>
      </c>
      <c r="E279" s="14" t="s">
        <v>30</v>
      </c>
      <c r="F279" s="14">
        <v>445</v>
      </c>
      <c r="G279" s="14">
        <v>114</v>
      </c>
      <c r="H279" s="14">
        <v>8</v>
      </c>
      <c r="I279" s="14">
        <v>4</v>
      </c>
      <c r="J279" s="14" t="s">
        <v>204</v>
      </c>
      <c r="K279" s="14" cm="1">
        <f t="array" ref="K279">INT(SUMPRODUCT(--ISNUMBER(SEARCH(economy,C279)))&gt;0)</f>
        <v>0</v>
      </c>
      <c r="L279" s="14" cm="1">
        <f t="array" ref="L279">INT(SUMPRODUCT(--ISNUMBER(SEARCH(healthcare,C279)))&gt;0)</f>
        <v>0</v>
      </c>
      <c r="M279" s="14" cm="1">
        <f t="array" ref="M279">INT(SUMPRODUCT(--ISNUMBER(SEARCH(supreme,C279)))&gt;0)</f>
        <v>0</v>
      </c>
      <c r="N279" s="14" cm="1">
        <f t="array" ref="N279">INT(SUMPRODUCT(--ISNUMBER(SEARCH(covid,C279)))&gt;0)</f>
        <v>0</v>
      </c>
      <c r="O279" s="14" cm="1">
        <f t="array" ref="O279">INT(SUMPRODUCT(--ISNUMBER(SEARCH(violent,C279)))&gt;0)</f>
        <v>0</v>
      </c>
      <c r="P279" s="14" cm="1">
        <f t="array" ref="P279">INT(SUMPRODUCT(--ISNUMBER(SEARCH(foreign,C279)))&gt;0)</f>
        <v>0</v>
      </c>
      <c r="Q279" s="14" cm="1">
        <f t="array" ref="Q279">INT(SUMPRODUCT(--ISNUMBER(SEARCH(gun,C279)))&gt;0)</f>
        <v>0</v>
      </c>
      <c r="R279" s="14" cm="1">
        <f t="array" ref="R279">INT(SUMPRODUCT(--ISNUMBER(SEARCH(race,C279)))&gt;0)</f>
        <v>0</v>
      </c>
      <c r="S279" s="14" cm="1">
        <f t="array" ref="S279">INT(SUMPRODUCT(--ISNUMBER(SEARCH(immigration,C279)))&gt;0)</f>
        <v>0</v>
      </c>
      <c r="T279" s="14" cm="1">
        <f t="array" ref="T279">INT(SUMPRODUCT(--ISNUMBER(SEARCH(econineq,C280)))&gt;0)</f>
        <v>0</v>
      </c>
      <c r="U279" s="14" cm="1">
        <f t="array" ref="U279">INT(SUMPRODUCT(--ISNUMBER(SEARCH(climate,C279)))&gt;0)</f>
        <v>1</v>
      </c>
      <c r="V279" s="14" cm="1">
        <f t="array" ref="V279">INT(SUMPRODUCT(--ISNUMBER(SEARCH(abortion,C279)))&gt;0)</f>
        <v>0</v>
      </c>
      <c r="W279" s="14" cm="1">
        <f t="array" ref="W279">INT(SUMPRODUCT(--ISNUMBER(SEARCH(trump,C279)))&gt;0)</f>
        <v>0</v>
      </c>
      <c r="X279" s="14" cm="1">
        <f t="array" ref="X279">INT(SUMPRODUCT(--ISNUMBER(SEARCH(voting,C279)))&gt;0)</f>
        <v>0</v>
      </c>
      <c r="Y279" s="14" cm="1">
        <f t="array" ref="Y279">INT(SUMPRODUCT(--ISNUMBER(SEARCH(democrattrigger,C279)))&gt;0)</f>
        <v>0</v>
      </c>
      <c r="Z279" s="14" cm="1">
        <f t="array" ref="Z279">INT(SUMPRODUCT(--ISNUMBER(SEARCH(bipartisan,C279)))&gt;0)</f>
        <v>0</v>
      </c>
      <c r="AA279" s="14">
        <f t="shared" si="4"/>
        <v>0</v>
      </c>
      <c r="AB279" s="14"/>
      <c r="AC279" s="30" t="s">
        <v>223</v>
      </c>
      <c r="AD279" s="37" t="s">
        <v>223</v>
      </c>
    </row>
    <row r="280" spans="1:30" x14ac:dyDescent="0.25">
      <c r="A280" s="36">
        <v>1743</v>
      </c>
      <c r="B280" s="14" t="s">
        <v>3512</v>
      </c>
      <c r="C280" s="14" t="s">
        <v>3513</v>
      </c>
      <c r="D280" s="17">
        <v>44120</v>
      </c>
      <c r="E280" s="14" t="s">
        <v>30</v>
      </c>
      <c r="F280" s="14">
        <v>337</v>
      </c>
      <c r="G280" s="14">
        <v>101</v>
      </c>
      <c r="H280" s="14">
        <v>8</v>
      </c>
      <c r="I280" s="14">
        <v>4</v>
      </c>
      <c r="J280" s="14" t="s">
        <v>204</v>
      </c>
      <c r="K280" s="14" cm="1">
        <f t="array" ref="K280">INT(SUMPRODUCT(--ISNUMBER(SEARCH(economy,C280)))&gt;0)</f>
        <v>0</v>
      </c>
      <c r="L280" s="14" cm="1">
        <f t="array" ref="L280">INT(SUMPRODUCT(--ISNUMBER(SEARCH(healthcare,C280)))&gt;0)</f>
        <v>0</v>
      </c>
      <c r="M280" s="14" cm="1">
        <f t="array" ref="M280">INT(SUMPRODUCT(--ISNUMBER(SEARCH(supreme,C280)))&gt;0)</f>
        <v>0</v>
      </c>
      <c r="N280" s="14" cm="1">
        <f t="array" ref="N280">INT(SUMPRODUCT(--ISNUMBER(SEARCH(covid,C280)))&gt;0)</f>
        <v>0</v>
      </c>
      <c r="O280" s="14" cm="1">
        <f t="array" ref="O280">INT(SUMPRODUCT(--ISNUMBER(SEARCH(violent,C280)))&gt;0)</f>
        <v>0</v>
      </c>
      <c r="P280" s="14" cm="1">
        <f t="array" ref="P280">INT(SUMPRODUCT(--ISNUMBER(SEARCH(foreign,C280)))&gt;0)</f>
        <v>0</v>
      </c>
      <c r="Q280" s="14" cm="1">
        <f t="array" ref="Q280">INT(SUMPRODUCT(--ISNUMBER(SEARCH(gun,C280)))&gt;0)</f>
        <v>0</v>
      </c>
      <c r="R280" s="14" cm="1">
        <f t="array" ref="R280">INT(SUMPRODUCT(--ISNUMBER(SEARCH(race,C280)))&gt;0)</f>
        <v>0</v>
      </c>
      <c r="S280" s="14" cm="1">
        <f t="array" ref="S280">INT(SUMPRODUCT(--ISNUMBER(SEARCH(immigration,C280)))&gt;0)</f>
        <v>0</v>
      </c>
      <c r="T280" s="14" cm="1">
        <f t="array" ref="T280">INT(SUMPRODUCT(--ISNUMBER(SEARCH(econineq,C281)))&gt;0)</f>
        <v>0</v>
      </c>
      <c r="U280" s="14" cm="1">
        <f t="array" ref="U280">INT(SUMPRODUCT(--ISNUMBER(SEARCH(climate,C280)))&gt;0)</f>
        <v>1</v>
      </c>
      <c r="V280" s="14" cm="1">
        <f t="array" ref="V280">INT(SUMPRODUCT(--ISNUMBER(SEARCH(abortion,C280)))&gt;0)</f>
        <v>0</v>
      </c>
      <c r="W280" s="14" cm="1">
        <f t="array" ref="W280">INT(SUMPRODUCT(--ISNUMBER(SEARCH(trump,C280)))&gt;0)</f>
        <v>0</v>
      </c>
      <c r="X280" s="14" cm="1">
        <f t="array" ref="X280">INT(SUMPRODUCT(--ISNUMBER(SEARCH(voting,C280)))&gt;0)</f>
        <v>0</v>
      </c>
      <c r="Y280" s="14" cm="1">
        <f t="array" ref="Y280">INT(SUMPRODUCT(--ISNUMBER(SEARCH(democrattrigger,C280)))&gt;0)</f>
        <v>0</v>
      </c>
      <c r="Z280" s="14" cm="1">
        <f t="array" ref="Z280">INT(SUMPRODUCT(--ISNUMBER(SEARCH(bipartisan,C280)))&gt;0)</f>
        <v>0</v>
      </c>
      <c r="AA280" s="14">
        <f t="shared" si="4"/>
        <v>0</v>
      </c>
      <c r="AB280" s="14"/>
      <c r="AC280" s="30" t="s">
        <v>223</v>
      </c>
      <c r="AD280" s="37" t="s">
        <v>223</v>
      </c>
    </row>
    <row r="281" spans="1:30" x14ac:dyDescent="0.25">
      <c r="A281" s="36">
        <v>1744</v>
      </c>
      <c r="B281" s="14" t="s">
        <v>3514</v>
      </c>
      <c r="C281" s="14" t="s">
        <v>3515</v>
      </c>
      <c r="D281" s="17">
        <v>44120</v>
      </c>
      <c r="E281" s="14" t="s">
        <v>30</v>
      </c>
      <c r="F281" s="14">
        <v>1121</v>
      </c>
      <c r="G281" s="14">
        <v>185</v>
      </c>
      <c r="H281" s="14">
        <v>8</v>
      </c>
      <c r="I281" s="14">
        <v>4</v>
      </c>
      <c r="J281" s="14" t="s">
        <v>204</v>
      </c>
      <c r="K281" s="14" cm="1">
        <f t="array" ref="K281">INT(SUMPRODUCT(--ISNUMBER(SEARCH(economy,C281)))&gt;0)</f>
        <v>0</v>
      </c>
      <c r="L281" s="14" cm="1">
        <f t="array" ref="L281">INT(SUMPRODUCT(--ISNUMBER(SEARCH(healthcare,C281)))&gt;0)</f>
        <v>0</v>
      </c>
      <c r="M281" s="14" cm="1">
        <f t="array" ref="M281">INT(SUMPRODUCT(--ISNUMBER(SEARCH(supreme,C281)))&gt;0)</f>
        <v>0</v>
      </c>
      <c r="N281" s="14" cm="1">
        <f t="array" ref="N281">INT(SUMPRODUCT(--ISNUMBER(SEARCH(covid,C281)))&gt;0)</f>
        <v>0</v>
      </c>
      <c r="O281" s="14" cm="1">
        <f t="array" ref="O281">INT(SUMPRODUCT(--ISNUMBER(SEARCH(violent,C281)))&gt;0)</f>
        <v>0</v>
      </c>
      <c r="P281" s="14" cm="1">
        <f t="array" ref="P281">INT(SUMPRODUCT(--ISNUMBER(SEARCH(foreign,C281)))&gt;0)</f>
        <v>0</v>
      </c>
      <c r="Q281" s="14" cm="1">
        <f t="array" ref="Q281">INT(SUMPRODUCT(--ISNUMBER(SEARCH(gun,C281)))&gt;0)</f>
        <v>0</v>
      </c>
      <c r="R281" s="14" cm="1">
        <f t="array" ref="R281">INT(SUMPRODUCT(--ISNUMBER(SEARCH(race,C281)))&gt;0)</f>
        <v>0</v>
      </c>
      <c r="S281" s="14" cm="1">
        <f t="array" ref="S281">INT(SUMPRODUCT(--ISNUMBER(SEARCH(immigration,C281)))&gt;0)</f>
        <v>0</v>
      </c>
      <c r="T281" s="14" cm="1">
        <f t="array" ref="T281">INT(SUMPRODUCT(--ISNUMBER(SEARCH(econineq,C282)))&gt;0)</f>
        <v>0</v>
      </c>
      <c r="U281" s="14" cm="1">
        <f t="array" ref="U281">INT(SUMPRODUCT(--ISNUMBER(SEARCH(climate,C281)))&gt;0)</f>
        <v>0</v>
      </c>
      <c r="V281" s="14" cm="1">
        <f t="array" ref="V281">INT(SUMPRODUCT(--ISNUMBER(SEARCH(abortion,C281)))&gt;0)</f>
        <v>0</v>
      </c>
      <c r="W281" s="14" cm="1">
        <f t="array" ref="W281">INT(SUMPRODUCT(--ISNUMBER(SEARCH(trump,C281)))&gt;0)</f>
        <v>0</v>
      </c>
      <c r="X281" s="14" cm="1">
        <f t="array" ref="X281">INT(SUMPRODUCT(--ISNUMBER(SEARCH(voting,C281)))&gt;0)</f>
        <v>1</v>
      </c>
      <c r="Y281" s="14" cm="1">
        <f t="array" ref="Y281">INT(SUMPRODUCT(--ISNUMBER(SEARCH(democrattrigger,C281)))&gt;0)</f>
        <v>1</v>
      </c>
      <c r="Z281" s="14" cm="1">
        <f t="array" ref="Z281">INT(SUMPRODUCT(--ISNUMBER(SEARCH(bipartisan,C281)))&gt;0)</f>
        <v>0</v>
      </c>
      <c r="AA281" s="14">
        <f t="shared" si="4"/>
        <v>0</v>
      </c>
      <c r="AB281" s="14"/>
      <c r="AC281" s="30" t="s">
        <v>223</v>
      </c>
      <c r="AD281" s="37" t="s">
        <v>223</v>
      </c>
    </row>
    <row r="282" spans="1:30" x14ac:dyDescent="0.25">
      <c r="A282" s="36">
        <v>1745</v>
      </c>
      <c r="B282" s="14" t="s">
        <v>3516</v>
      </c>
      <c r="C282" s="14" t="s">
        <v>3517</v>
      </c>
      <c r="D282" s="17">
        <v>44120</v>
      </c>
      <c r="E282" s="14" t="s">
        <v>30</v>
      </c>
      <c r="F282" s="14">
        <v>483</v>
      </c>
      <c r="G282" s="14">
        <v>117</v>
      </c>
      <c r="H282" s="14">
        <v>8</v>
      </c>
      <c r="I282" s="14">
        <v>4</v>
      </c>
      <c r="J282" s="14" t="s">
        <v>204</v>
      </c>
      <c r="K282" s="14" cm="1">
        <f t="array" ref="K282">INT(SUMPRODUCT(--ISNUMBER(SEARCH(economy,C282)))&gt;0)</f>
        <v>0</v>
      </c>
      <c r="L282" s="14" cm="1">
        <f t="array" ref="L282">INT(SUMPRODUCT(--ISNUMBER(SEARCH(healthcare,C282)))&gt;0)</f>
        <v>0</v>
      </c>
      <c r="M282" s="14" cm="1">
        <f t="array" ref="M282">INT(SUMPRODUCT(--ISNUMBER(SEARCH(supreme,C282)))&gt;0)</f>
        <v>0</v>
      </c>
      <c r="N282" s="14" cm="1">
        <f t="array" ref="N282">INT(SUMPRODUCT(--ISNUMBER(SEARCH(covid,C282)))&gt;0)</f>
        <v>0</v>
      </c>
      <c r="O282" s="14" cm="1">
        <f t="array" ref="O282">INT(SUMPRODUCT(--ISNUMBER(SEARCH(violent,C282)))&gt;0)</f>
        <v>0</v>
      </c>
      <c r="P282" s="14" cm="1">
        <f t="array" ref="P282">INT(SUMPRODUCT(--ISNUMBER(SEARCH(foreign,C282)))&gt;0)</f>
        <v>0</v>
      </c>
      <c r="Q282" s="14" cm="1">
        <f t="array" ref="Q282">INT(SUMPRODUCT(--ISNUMBER(SEARCH(gun,C282)))&gt;0)</f>
        <v>0</v>
      </c>
      <c r="R282" s="14" cm="1">
        <f t="array" ref="R282">INT(SUMPRODUCT(--ISNUMBER(SEARCH(race,C282)))&gt;0)</f>
        <v>0</v>
      </c>
      <c r="S282" s="14" cm="1">
        <f t="array" ref="S282">INT(SUMPRODUCT(--ISNUMBER(SEARCH(immigration,C282)))&gt;0)</f>
        <v>0</v>
      </c>
      <c r="T282" s="14" cm="1">
        <f t="array" ref="T282">INT(SUMPRODUCT(--ISNUMBER(SEARCH(econineq,C283)))&gt;0)</f>
        <v>0</v>
      </c>
      <c r="U282" s="14" cm="1">
        <f t="array" ref="U282">INT(SUMPRODUCT(--ISNUMBER(SEARCH(climate,C282)))&gt;0)</f>
        <v>0</v>
      </c>
      <c r="V282" s="14" cm="1">
        <f t="array" ref="V282">INT(SUMPRODUCT(--ISNUMBER(SEARCH(abortion,C282)))&gt;0)</f>
        <v>0</v>
      </c>
      <c r="W282" s="14" cm="1">
        <f t="array" ref="W282">INT(SUMPRODUCT(--ISNUMBER(SEARCH(trump,C282)))&gt;0)</f>
        <v>0</v>
      </c>
      <c r="X282" s="14" cm="1">
        <f t="array" ref="X282">INT(SUMPRODUCT(--ISNUMBER(SEARCH(voting,C282)))&gt;0)</f>
        <v>0</v>
      </c>
      <c r="Y282" s="14" cm="1">
        <f t="array" ref="Y282">INT(SUMPRODUCT(--ISNUMBER(SEARCH(democrattrigger,C282)))&gt;0)</f>
        <v>0</v>
      </c>
      <c r="Z282" s="14" cm="1">
        <f t="array" ref="Z282">INT(SUMPRODUCT(--ISNUMBER(SEARCH(bipartisan,C282)))&gt;0)</f>
        <v>0</v>
      </c>
      <c r="AA282" s="14">
        <f t="shared" si="4"/>
        <v>1</v>
      </c>
      <c r="AB282" s="14"/>
      <c r="AC282" s="30" t="s">
        <v>223</v>
      </c>
      <c r="AD282" s="37" t="s">
        <v>223</v>
      </c>
    </row>
    <row r="283" spans="1:30" x14ac:dyDescent="0.25">
      <c r="A283" s="36">
        <v>1746</v>
      </c>
      <c r="B283" s="14" t="s">
        <v>3518</v>
      </c>
      <c r="C283" s="14" t="s">
        <v>3519</v>
      </c>
      <c r="D283" s="17">
        <v>44120</v>
      </c>
      <c r="E283" s="14" t="s">
        <v>30</v>
      </c>
      <c r="F283" s="14">
        <v>825</v>
      </c>
      <c r="G283" s="14">
        <v>227</v>
      </c>
      <c r="H283" s="14">
        <v>8</v>
      </c>
      <c r="I283" s="14">
        <v>4</v>
      </c>
      <c r="J283" s="14" t="s">
        <v>204</v>
      </c>
      <c r="K283" s="14" cm="1">
        <f t="array" ref="K283">INT(SUMPRODUCT(--ISNUMBER(SEARCH(economy,C283)))&gt;0)</f>
        <v>0</v>
      </c>
      <c r="L283" s="14" cm="1">
        <f t="array" ref="L283">INT(SUMPRODUCT(--ISNUMBER(SEARCH(healthcare,C283)))&gt;0)</f>
        <v>0</v>
      </c>
      <c r="M283" s="14" cm="1">
        <f t="array" ref="M283">INT(SUMPRODUCT(--ISNUMBER(SEARCH(supreme,C283)))&gt;0)</f>
        <v>0</v>
      </c>
      <c r="N283" s="14" cm="1">
        <f t="array" ref="N283">INT(SUMPRODUCT(--ISNUMBER(SEARCH(covid,C283)))&gt;0)</f>
        <v>0</v>
      </c>
      <c r="O283" s="14" cm="1">
        <f t="array" ref="O283">INT(SUMPRODUCT(--ISNUMBER(SEARCH(violent,C283)))&gt;0)</f>
        <v>0</v>
      </c>
      <c r="P283" s="14" cm="1">
        <f t="array" ref="P283">INT(SUMPRODUCT(--ISNUMBER(SEARCH(foreign,C283)))&gt;0)</f>
        <v>0</v>
      </c>
      <c r="Q283" s="14" cm="1">
        <f t="array" ref="Q283">INT(SUMPRODUCT(--ISNUMBER(SEARCH(gun,C283)))&gt;0)</f>
        <v>0</v>
      </c>
      <c r="R283" s="14" cm="1">
        <f t="array" ref="R283">INT(SUMPRODUCT(--ISNUMBER(SEARCH(race,C283)))&gt;0)</f>
        <v>0</v>
      </c>
      <c r="S283" s="14" cm="1">
        <f t="array" ref="S283">INT(SUMPRODUCT(--ISNUMBER(SEARCH(immigration,C283)))&gt;0)</f>
        <v>0</v>
      </c>
      <c r="T283" s="14" cm="1">
        <f t="array" ref="T283">INT(SUMPRODUCT(--ISNUMBER(SEARCH(econineq,C284)))&gt;0)</f>
        <v>0</v>
      </c>
      <c r="U283" s="14" cm="1">
        <f t="array" ref="U283">INT(SUMPRODUCT(--ISNUMBER(SEARCH(climate,C283)))&gt;0)</f>
        <v>1</v>
      </c>
      <c r="V283" s="14" cm="1">
        <f t="array" ref="V283">INT(SUMPRODUCT(--ISNUMBER(SEARCH(abortion,C283)))&gt;0)</f>
        <v>0</v>
      </c>
      <c r="W283" s="14" cm="1">
        <f t="array" ref="W283">INT(SUMPRODUCT(--ISNUMBER(SEARCH(trump,C283)))&gt;0)</f>
        <v>1</v>
      </c>
      <c r="X283" s="14" cm="1">
        <f t="array" ref="X283">INT(SUMPRODUCT(--ISNUMBER(SEARCH(voting,C283)))&gt;0)</f>
        <v>0</v>
      </c>
      <c r="Y283" s="14" cm="1">
        <f t="array" ref="Y283">INT(SUMPRODUCT(--ISNUMBER(SEARCH(democrattrigger,C283)))&gt;0)</f>
        <v>1</v>
      </c>
      <c r="Z283" s="14" cm="1">
        <f t="array" ref="Z283">INT(SUMPRODUCT(--ISNUMBER(SEARCH(bipartisan,C283)))&gt;0)</f>
        <v>0</v>
      </c>
      <c r="AA283" s="14">
        <f t="shared" si="4"/>
        <v>0</v>
      </c>
      <c r="AB283" s="14"/>
      <c r="AC283" s="30" t="s">
        <v>223</v>
      </c>
      <c r="AD283" s="37" t="s">
        <v>223</v>
      </c>
    </row>
    <row r="284" spans="1:30" x14ac:dyDescent="0.25">
      <c r="A284" s="36">
        <v>1747</v>
      </c>
      <c r="B284" s="14" t="s">
        <v>3520</v>
      </c>
      <c r="C284" s="14" t="s">
        <v>3521</v>
      </c>
      <c r="D284" s="17">
        <v>44120</v>
      </c>
      <c r="E284" s="14" t="s">
        <v>30</v>
      </c>
      <c r="F284" s="14">
        <v>585</v>
      </c>
      <c r="G284" s="14">
        <v>187</v>
      </c>
      <c r="H284" s="14">
        <v>8</v>
      </c>
      <c r="I284" s="14">
        <v>4</v>
      </c>
      <c r="J284" s="14" t="s">
        <v>204</v>
      </c>
      <c r="K284" s="14" cm="1">
        <f t="array" ref="K284">INT(SUMPRODUCT(--ISNUMBER(SEARCH(economy,C284)))&gt;0)</f>
        <v>0</v>
      </c>
      <c r="L284" s="14" cm="1">
        <f t="array" ref="L284">INT(SUMPRODUCT(--ISNUMBER(SEARCH(healthcare,C284)))&gt;0)</f>
        <v>0</v>
      </c>
      <c r="M284" s="14" cm="1">
        <f t="array" ref="M284">INT(SUMPRODUCT(--ISNUMBER(SEARCH(supreme,C284)))&gt;0)</f>
        <v>0</v>
      </c>
      <c r="N284" s="14" cm="1">
        <f t="array" ref="N284">INT(SUMPRODUCT(--ISNUMBER(SEARCH(covid,C284)))&gt;0)</f>
        <v>1</v>
      </c>
      <c r="O284" s="14" cm="1">
        <f t="array" ref="O284">INT(SUMPRODUCT(--ISNUMBER(SEARCH(violent,C284)))&gt;0)</f>
        <v>0</v>
      </c>
      <c r="P284" s="14" cm="1">
        <f t="array" ref="P284">INT(SUMPRODUCT(--ISNUMBER(SEARCH(foreign,C284)))&gt;0)</f>
        <v>0</v>
      </c>
      <c r="Q284" s="14" cm="1">
        <f t="array" ref="Q284">INT(SUMPRODUCT(--ISNUMBER(SEARCH(gun,C284)))&gt;0)</f>
        <v>0</v>
      </c>
      <c r="R284" s="14" cm="1">
        <f t="array" ref="R284">INT(SUMPRODUCT(--ISNUMBER(SEARCH(race,C284)))&gt;0)</f>
        <v>0</v>
      </c>
      <c r="S284" s="14" cm="1">
        <f t="array" ref="S284">INT(SUMPRODUCT(--ISNUMBER(SEARCH(immigration,C284)))&gt;0)</f>
        <v>0</v>
      </c>
      <c r="T284" s="14" cm="1">
        <f t="array" ref="T284">INT(SUMPRODUCT(--ISNUMBER(SEARCH(econineq,C285)))&gt;0)</f>
        <v>0</v>
      </c>
      <c r="U284" s="14" cm="1">
        <f t="array" ref="U284">INT(SUMPRODUCT(--ISNUMBER(SEARCH(climate,C284)))&gt;0)</f>
        <v>0</v>
      </c>
      <c r="V284" s="14" cm="1">
        <f t="array" ref="V284">INT(SUMPRODUCT(--ISNUMBER(SEARCH(abortion,C284)))&gt;0)</f>
        <v>0</v>
      </c>
      <c r="W284" s="14" cm="1">
        <f t="array" ref="W284">INT(SUMPRODUCT(--ISNUMBER(SEARCH(trump,C284)))&gt;0)</f>
        <v>0</v>
      </c>
      <c r="X284" s="14" cm="1">
        <f t="array" ref="X284">INT(SUMPRODUCT(--ISNUMBER(SEARCH(voting,C284)))&gt;0)</f>
        <v>0</v>
      </c>
      <c r="Y284" s="14" cm="1">
        <f t="array" ref="Y284">INT(SUMPRODUCT(--ISNUMBER(SEARCH(democrattrigger,C284)))&gt;0)</f>
        <v>1</v>
      </c>
      <c r="Z284" s="14" cm="1">
        <f t="array" ref="Z284">INT(SUMPRODUCT(--ISNUMBER(SEARCH(bipartisan,C284)))&gt;0)</f>
        <v>0</v>
      </c>
      <c r="AA284" s="14">
        <f t="shared" si="4"/>
        <v>0</v>
      </c>
      <c r="AB284" s="14"/>
      <c r="AC284" s="30">
        <v>0</v>
      </c>
      <c r="AD284" s="37">
        <v>1</v>
      </c>
    </row>
    <row r="285" spans="1:30" x14ac:dyDescent="0.25">
      <c r="A285" s="36">
        <v>1748</v>
      </c>
      <c r="B285" s="14" t="s">
        <v>3522</v>
      </c>
      <c r="C285" s="14" t="s">
        <v>3523</v>
      </c>
      <c r="D285" s="17">
        <v>44120</v>
      </c>
      <c r="E285" s="14" t="s">
        <v>30</v>
      </c>
      <c r="F285" s="14">
        <v>1161</v>
      </c>
      <c r="G285" s="14">
        <v>292</v>
      </c>
      <c r="H285" s="14">
        <v>8</v>
      </c>
      <c r="I285" s="14">
        <v>4</v>
      </c>
      <c r="J285" s="14" t="s">
        <v>204</v>
      </c>
      <c r="K285" s="14" cm="1">
        <f t="array" ref="K285">INT(SUMPRODUCT(--ISNUMBER(SEARCH(economy,C285)))&gt;0)</f>
        <v>0</v>
      </c>
      <c r="L285" s="14" cm="1">
        <f t="array" ref="L285">INT(SUMPRODUCT(--ISNUMBER(SEARCH(healthcare,C285)))&gt;0)</f>
        <v>1</v>
      </c>
      <c r="M285" s="14" cm="1">
        <f t="array" ref="M285">INT(SUMPRODUCT(--ISNUMBER(SEARCH(supreme,C285)))&gt;0)</f>
        <v>0</v>
      </c>
      <c r="N285" s="14" cm="1">
        <f t="array" ref="N285">INT(SUMPRODUCT(--ISNUMBER(SEARCH(covid,C285)))&gt;0)</f>
        <v>0</v>
      </c>
      <c r="O285" s="14" cm="1">
        <f t="array" ref="O285">INT(SUMPRODUCT(--ISNUMBER(SEARCH(violent,C285)))&gt;0)</f>
        <v>0</v>
      </c>
      <c r="P285" s="14" cm="1">
        <f t="array" ref="P285">INT(SUMPRODUCT(--ISNUMBER(SEARCH(foreign,C285)))&gt;0)</f>
        <v>0</v>
      </c>
      <c r="Q285" s="14" cm="1">
        <f t="array" ref="Q285">INT(SUMPRODUCT(--ISNUMBER(SEARCH(gun,C285)))&gt;0)</f>
        <v>0</v>
      </c>
      <c r="R285" s="14" cm="1">
        <f t="array" ref="R285">INT(SUMPRODUCT(--ISNUMBER(SEARCH(race,C285)))&gt;0)</f>
        <v>0</v>
      </c>
      <c r="S285" s="14" cm="1">
        <f t="array" ref="S285">INT(SUMPRODUCT(--ISNUMBER(SEARCH(immigration,C285)))&gt;0)</f>
        <v>0</v>
      </c>
      <c r="T285" s="14" cm="1">
        <f t="array" ref="T285">INT(SUMPRODUCT(--ISNUMBER(SEARCH(econineq,C286)))&gt;0)</f>
        <v>0</v>
      </c>
      <c r="U285" s="14" cm="1">
        <f t="array" ref="U285">INT(SUMPRODUCT(--ISNUMBER(SEARCH(climate,C285)))&gt;0)</f>
        <v>0</v>
      </c>
      <c r="V285" s="14" cm="1">
        <f t="array" ref="V285">INT(SUMPRODUCT(--ISNUMBER(SEARCH(abortion,C285)))&gt;0)</f>
        <v>0</v>
      </c>
      <c r="W285" s="14" cm="1">
        <f t="array" ref="W285">INT(SUMPRODUCT(--ISNUMBER(SEARCH(trump,C285)))&gt;0)</f>
        <v>0</v>
      </c>
      <c r="X285" s="14" cm="1">
        <f t="array" ref="X285">INT(SUMPRODUCT(--ISNUMBER(SEARCH(voting,C285)))&gt;0)</f>
        <v>1</v>
      </c>
      <c r="Y285" s="14" cm="1">
        <f t="array" ref="Y285">INT(SUMPRODUCT(--ISNUMBER(SEARCH(democrattrigger,C285)))&gt;0)</f>
        <v>1</v>
      </c>
      <c r="Z285" s="14" cm="1">
        <f t="array" ref="Z285">INT(SUMPRODUCT(--ISNUMBER(SEARCH(bipartisan,C285)))&gt;0)</f>
        <v>0</v>
      </c>
      <c r="AA285" s="14">
        <f t="shared" si="4"/>
        <v>0</v>
      </c>
      <c r="AB285" s="14"/>
      <c r="AC285" s="30" t="s">
        <v>223</v>
      </c>
      <c r="AD285" s="37" t="s">
        <v>223</v>
      </c>
    </row>
    <row r="286" spans="1:30" x14ac:dyDescent="0.25">
      <c r="A286" s="36">
        <v>1749</v>
      </c>
      <c r="B286" s="14" t="s">
        <v>3524</v>
      </c>
      <c r="C286" s="14" t="s">
        <v>3525</v>
      </c>
      <c r="D286" s="17">
        <v>44120</v>
      </c>
      <c r="E286" s="14" t="s">
        <v>30</v>
      </c>
      <c r="F286" s="14">
        <v>887</v>
      </c>
      <c r="G286" s="14">
        <v>424</v>
      </c>
      <c r="H286" s="14">
        <v>8</v>
      </c>
      <c r="I286" s="14">
        <v>4</v>
      </c>
      <c r="J286" s="14" t="s">
        <v>204</v>
      </c>
      <c r="K286" s="14" cm="1">
        <f t="array" ref="K286">INT(SUMPRODUCT(--ISNUMBER(SEARCH(economy,C286)))&gt;0)</f>
        <v>0</v>
      </c>
      <c r="L286" s="14" cm="1">
        <f t="array" ref="L286">INT(SUMPRODUCT(--ISNUMBER(SEARCH(healthcare,C286)))&gt;0)</f>
        <v>1</v>
      </c>
      <c r="M286" s="14" cm="1">
        <f t="array" ref="M286">INT(SUMPRODUCT(--ISNUMBER(SEARCH(supreme,C286)))&gt;0)</f>
        <v>0</v>
      </c>
      <c r="N286" s="14" cm="1">
        <f t="array" ref="N286">INT(SUMPRODUCT(--ISNUMBER(SEARCH(covid,C286)))&gt;0)</f>
        <v>0</v>
      </c>
      <c r="O286" s="14" cm="1">
        <f t="array" ref="O286">INT(SUMPRODUCT(--ISNUMBER(SEARCH(violent,C286)))&gt;0)</f>
        <v>0</v>
      </c>
      <c r="P286" s="14" cm="1">
        <f t="array" ref="P286">INT(SUMPRODUCT(--ISNUMBER(SEARCH(foreign,C286)))&gt;0)</f>
        <v>0</v>
      </c>
      <c r="Q286" s="14" cm="1">
        <f t="array" ref="Q286">INT(SUMPRODUCT(--ISNUMBER(SEARCH(gun,C286)))&gt;0)</f>
        <v>0</v>
      </c>
      <c r="R286" s="14" cm="1">
        <f t="array" ref="R286">INT(SUMPRODUCT(--ISNUMBER(SEARCH(race,C286)))&gt;0)</f>
        <v>0</v>
      </c>
      <c r="S286" s="14" cm="1">
        <f t="array" ref="S286">INT(SUMPRODUCT(--ISNUMBER(SEARCH(immigration,C286)))&gt;0)</f>
        <v>0</v>
      </c>
      <c r="T286" s="14" cm="1">
        <f t="array" ref="T286">INT(SUMPRODUCT(--ISNUMBER(SEARCH(econineq,C287)))&gt;0)</f>
        <v>0</v>
      </c>
      <c r="U286" s="14" cm="1">
        <f t="array" ref="U286">INT(SUMPRODUCT(--ISNUMBER(SEARCH(climate,C286)))&gt;0)</f>
        <v>0</v>
      </c>
      <c r="V286" s="14" cm="1">
        <f t="array" ref="V286">INT(SUMPRODUCT(--ISNUMBER(SEARCH(abortion,C286)))&gt;0)</f>
        <v>0</v>
      </c>
      <c r="W286" s="14" cm="1">
        <f t="array" ref="W286">INT(SUMPRODUCT(--ISNUMBER(SEARCH(trump,C286)))&gt;0)</f>
        <v>0</v>
      </c>
      <c r="X286" s="14" cm="1">
        <f t="array" ref="X286">INT(SUMPRODUCT(--ISNUMBER(SEARCH(voting,C286)))&gt;0)</f>
        <v>0</v>
      </c>
      <c r="Y286" s="14" cm="1">
        <f t="array" ref="Y286">INT(SUMPRODUCT(--ISNUMBER(SEARCH(democrattrigger,C286)))&gt;0)</f>
        <v>1</v>
      </c>
      <c r="Z286" s="14" cm="1">
        <f t="array" ref="Z286">INT(SUMPRODUCT(--ISNUMBER(SEARCH(bipartisan,C286)))&gt;0)</f>
        <v>0</v>
      </c>
      <c r="AA286" s="14">
        <f t="shared" si="4"/>
        <v>0</v>
      </c>
      <c r="AB286" s="14"/>
      <c r="AC286" s="30">
        <v>0</v>
      </c>
      <c r="AD286" s="37">
        <v>1</v>
      </c>
    </row>
    <row r="287" spans="1:30" x14ac:dyDescent="0.25">
      <c r="A287" s="36">
        <v>1750</v>
      </c>
      <c r="B287" s="14" t="s">
        <v>3526</v>
      </c>
      <c r="C287" s="14" t="s">
        <v>3527</v>
      </c>
      <c r="D287" s="17">
        <v>44120</v>
      </c>
      <c r="E287" s="14" t="s">
        <v>30</v>
      </c>
      <c r="F287" s="14">
        <v>580</v>
      </c>
      <c r="G287" s="14">
        <v>213</v>
      </c>
      <c r="H287" s="14">
        <v>8</v>
      </c>
      <c r="I287" s="14">
        <v>4</v>
      </c>
      <c r="J287" s="14" t="s">
        <v>204</v>
      </c>
      <c r="K287" s="14" cm="1">
        <f t="array" ref="K287">INT(SUMPRODUCT(--ISNUMBER(SEARCH(economy,C287)))&gt;0)</f>
        <v>0</v>
      </c>
      <c r="L287" s="14" cm="1">
        <f t="array" ref="L287">INT(SUMPRODUCT(--ISNUMBER(SEARCH(healthcare,C287)))&gt;0)</f>
        <v>1</v>
      </c>
      <c r="M287" s="14" cm="1">
        <f t="array" ref="M287">INT(SUMPRODUCT(--ISNUMBER(SEARCH(supreme,C287)))&gt;0)</f>
        <v>0</v>
      </c>
      <c r="N287" s="14" cm="1">
        <f t="array" ref="N287">INT(SUMPRODUCT(--ISNUMBER(SEARCH(covid,C287)))&gt;0)</f>
        <v>0</v>
      </c>
      <c r="O287" s="14" cm="1">
        <f t="array" ref="O287">INT(SUMPRODUCT(--ISNUMBER(SEARCH(violent,C287)))&gt;0)</f>
        <v>0</v>
      </c>
      <c r="P287" s="14" cm="1">
        <f t="array" ref="P287">INT(SUMPRODUCT(--ISNUMBER(SEARCH(foreign,C287)))&gt;0)</f>
        <v>0</v>
      </c>
      <c r="Q287" s="14" cm="1">
        <f t="array" ref="Q287">INT(SUMPRODUCT(--ISNUMBER(SEARCH(gun,C287)))&gt;0)</f>
        <v>0</v>
      </c>
      <c r="R287" s="14" cm="1">
        <f t="array" ref="R287">INT(SUMPRODUCT(--ISNUMBER(SEARCH(race,C287)))&gt;0)</f>
        <v>0</v>
      </c>
      <c r="S287" s="14" cm="1">
        <f t="array" ref="S287">INT(SUMPRODUCT(--ISNUMBER(SEARCH(immigration,C287)))&gt;0)</f>
        <v>0</v>
      </c>
      <c r="T287" s="14" cm="1">
        <f t="array" ref="T287">INT(SUMPRODUCT(--ISNUMBER(SEARCH(econineq,C288)))&gt;0)</f>
        <v>0</v>
      </c>
      <c r="U287" s="14" cm="1">
        <f t="array" ref="U287">INT(SUMPRODUCT(--ISNUMBER(SEARCH(climate,C287)))&gt;0)</f>
        <v>0</v>
      </c>
      <c r="V287" s="14" cm="1">
        <f t="array" ref="V287">INT(SUMPRODUCT(--ISNUMBER(SEARCH(abortion,C287)))&gt;0)</f>
        <v>0</v>
      </c>
      <c r="W287" s="14" cm="1">
        <f t="array" ref="W287">INT(SUMPRODUCT(--ISNUMBER(SEARCH(trump,C287)))&gt;0)</f>
        <v>0</v>
      </c>
      <c r="X287" s="14" cm="1">
        <f t="array" ref="X287">INT(SUMPRODUCT(--ISNUMBER(SEARCH(voting,C287)))&gt;0)</f>
        <v>0</v>
      </c>
      <c r="Y287" s="14" cm="1">
        <f t="array" ref="Y287">INT(SUMPRODUCT(--ISNUMBER(SEARCH(democrattrigger,C287)))&gt;0)</f>
        <v>1</v>
      </c>
      <c r="Z287" s="14" cm="1">
        <f t="array" ref="Z287">INT(SUMPRODUCT(--ISNUMBER(SEARCH(bipartisan,C287)))&gt;0)</f>
        <v>0</v>
      </c>
      <c r="AA287" s="14">
        <f t="shared" si="4"/>
        <v>0</v>
      </c>
      <c r="AB287" s="14"/>
      <c r="AC287" s="30">
        <v>0</v>
      </c>
      <c r="AD287" s="37">
        <v>1</v>
      </c>
    </row>
    <row r="288" spans="1:30" x14ac:dyDescent="0.25">
      <c r="A288" s="36">
        <v>1751</v>
      </c>
      <c r="B288" s="14" t="s">
        <v>3528</v>
      </c>
      <c r="C288" s="14" t="s">
        <v>3529</v>
      </c>
      <c r="D288" s="17">
        <v>44120</v>
      </c>
      <c r="E288" s="14" t="s">
        <v>30</v>
      </c>
      <c r="F288" s="14">
        <v>659</v>
      </c>
      <c r="G288" s="14">
        <v>263</v>
      </c>
      <c r="H288" s="14">
        <v>8</v>
      </c>
      <c r="I288" s="14">
        <v>4</v>
      </c>
      <c r="J288" s="14" t="s">
        <v>204</v>
      </c>
      <c r="K288" s="14" cm="1">
        <f t="array" ref="K288">INT(SUMPRODUCT(--ISNUMBER(SEARCH(economy,C288)))&gt;0)</f>
        <v>0</v>
      </c>
      <c r="L288" s="14" cm="1">
        <f t="array" ref="L288">INT(SUMPRODUCT(--ISNUMBER(SEARCH(healthcare,C288)))&gt;0)</f>
        <v>1</v>
      </c>
      <c r="M288" s="14" cm="1">
        <f t="array" ref="M288">INT(SUMPRODUCT(--ISNUMBER(SEARCH(supreme,C288)))&gt;0)</f>
        <v>0</v>
      </c>
      <c r="N288" s="14" cm="1">
        <f t="array" ref="N288">INT(SUMPRODUCT(--ISNUMBER(SEARCH(covid,C288)))&gt;0)</f>
        <v>0</v>
      </c>
      <c r="O288" s="14" cm="1">
        <f t="array" ref="O288">INT(SUMPRODUCT(--ISNUMBER(SEARCH(violent,C288)))&gt;0)</f>
        <v>0</v>
      </c>
      <c r="P288" s="14" cm="1">
        <f t="array" ref="P288">INT(SUMPRODUCT(--ISNUMBER(SEARCH(foreign,C288)))&gt;0)</f>
        <v>0</v>
      </c>
      <c r="Q288" s="14" cm="1">
        <f t="array" ref="Q288">INT(SUMPRODUCT(--ISNUMBER(SEARCH(gun,C288)))&gt;0)</f>
        <v>0</v>
      </c>
      <c r="R288" s="14" cm="1">
        <f t="array" ref="R288">INT(SUMPRODUCT(--ISNUMBER(SEARCH(race,C288)))&gt;0)</f>
        <v>0</v>
      </c>
      <c r="S288" s="14" cm="1">
        <f t="array" ref="S288">INT(SUMPRODUCT(--ISNUMBER(SEARCH(immigration,C288)))&gt;0)</f>
        <v>0</v>
      </c>
      <c r="T288" s="14" cm="1">
        <f t="array" ref="T288">INT(SUMPRODUCT(--ISNUMBER(SEARCH(econineq,C289)))&gt;0)</f>
        <v>0</v>
      </c>
      <c r="U288" s="14" cm="1">
        <f t="array" ref="U288">INT(SUMPRODUCT(--ISNUMBER(SEARCH(climate,C288)))&gt;0)</f>
        <v>0</v>
      </c>
      <c r="V288" s="14" cm="1">
        <f t="array" ref="V288">INT(SUMPRODUCT(--ISNUMBER(SEARCH(abortion,C288)))&gt;0)</f>
        <v>0</v>
      </c>
      <c r="W288" s="14" cm="1">
        <f t="array" ref="W288">INT(SUMPRODUCT(--ISNUMBER(SEARCH(trump,C288)))&gt;0)</f>
        <v>0</v>
      </c>
      <c r="X288" s="14" cm="1">
        <f t="array" ref="X288">INT(SUMPRODUCT(--ISNUMBER(SEARCH(voting,C288)))&gt;0)</f>
        <v>1</v>
      </c>
      <c r="Y288" s="14" cm="1">
        <f t="array" ref="Y288">INT(SUMPRODUCT(--ISNUMBER(SEARCH(democrattrigger,C288)))&gt;0)</f>
        <v>1</v>
      </c>
      <c r="Z288" s="14" cm="1">
        <f t="array" ref="Z288">INT(SUMPRODUCT(--ISNUMBER(SEARCH(bipartisan,C288)))&gt;0)</f>
        <v>0</v>
      </c>
      <c r="AA288" s="14">
        <f t="shared" si="4"/>
        <v>0</v>
      </c>
      <c r="AB288" s="14"/>
      <c r="AC288" s="30">
        <v>0</v>
      </c>
      <c r="AD288" s="37">
        <v>1</v>
      </c>
    </row>
    <row r="289" spans="1:30" x14ac:dyDescent="0.25">
      <c r="A289" s="36">
        <v>1752</v>
      </c>
      <c r="B289" s="14" t="s">
        <v>3530</v>
      </c>
      <c r="C289" s="14" t="s">
        <v>3531</v>
      </c>
      <c r="D289" s="17">
        <v>44120</v>
      </c>
      <c r="E289" s="14" t="s">
        <v>30</v>
      </c>
      <c r="F289" s="14">
        <v>278</v>
      </c>
      <c r="G289" s="14">
        <v>93</v>
      </c>
      <c r="H289" s="14">
        <v>8</v>
      </c>
      <c r="I289" s="14">
        <v>4</v>
      </c>
      <c r="J289" s="14" t="s">
        <v>204</v>
      </c>
      <c r="K289" s="14" cm="1">
        <f t="array" ref="K289">INT(SUMPRODUCT(--ISNUMBER(SEARCH(economy,C289)))&gt;0)</f>
        <v>0</v>
      </c>
      <c r="L289" s="14" cm="1">
        <f t="array" ref="L289">INT(SUMPRODUCT(--ISNUMBER(SEARCH(healthcare,C289)))&gt;0)</f>
        <v>1</v>
      </c>
      <c r="M289" s="14" cm="1">
        <f t="array" ref="M289">INT(SUMPRODUCT(--ISNUMBER(SEARCH(supreme,C289)))&gt;0)</f>
        <v>0</v>
      </c>
      <c r="N289" s="14" cm="1">
        <f t="array" ref="N289">INT(SUMPRODUCT(--ISNUMBER(SEARCH(covid,C289)))&gt;0)</f>
        <v>0</v>
      </c>
      <c r="O289" s="14" cm="1">
        <f t="array" ref="O289">INT(SUMPRODUCT(--ISNUMBER(SEARCH(violent,C289)))&gt;0)</f>
        <v>0</v>
      </c>
      <c r="P289" s="14" cm="1">
        <f t="array" ref="P289">INT(SUMPRODUCT(--ISNUMBER(SEARCH(foreign,C289)))&gt;0)</f>
        <v>0</v>
      </c>
      <c r="Q289" s="14" cm="1">
        <f t="array" ref="Q289">INT(SUMPRODUCT(--ISNUMBER(SEARCH(gun,C289)))&gt;0)</f>
        <v>0</v>
      </c>
      <c r="R289" s="14" cm="1">
        <f t="array" ref="R289">INT(SUMPRODUCT(--ISNUMBER(SEARCH(race,C289)))&gt;0)</f>
        <v>0</v>
      </c>
      <c r="S289" s="14" cm="1">
        <f t="array" ref="S289">INT(SUMPRODUCT(--ISNUMBER(SEARCH(immigration,C289)))&gt;0)</f>
        <v>0</v>
      </c>
      <c r="T289" s="14" cm="1">
        <f t="array" ref="T289">INT(SUMPRODUCT(--ISNUMBER(SEARCH(econineq,C290)))&gt;0)</f>
        <v>0</v>
      </c>
      <c r="U289" s="14" cm="1">
        <f t="array" ref="U289">INT(SUMPRODUCT(--ISNUMBER(SEARCH(climate,C289)))&gt;0)</f>
        <v>0</v>
      </c>
      <c r="V289" s="14" cm="1">
        <f t="array" ref="V289">INT(SUMPRODUCT(--ISNUMBER(SEARCH(abortion,C289)))&gt;0)</f>
        <v>0</v>
      </c>
      <c r="W289" s="14" cm="1">
        <f t="array" ref="W289">INT(SUMPRODUCT(--ISNUMBER(SEARCH(trump,C289)))&gt;0)</f>
        <v>0</v>
      </c>
      <c r="X289" s="14" cm="1">
        <f t="array" ref="X289">INT(SUMPRODUCT(--ISNUMBER(SEARCH(voting,C289)))&gt;0)</f>
        <v>0</v>
      </c>
      <c r="Y289" s="14" cm="1">
        <f t="array" ref="Y289">INT(SUMPRODUCT(--ISNUMBER(SEARCH(democrattrigger,C289)))&gt;0)</f>
        <v>0</v>
      </c>
      <c r="Z289" s="14" cm="1">
        <f t="array" ref="Z289">INT(SUMPRODUCT(--ISNUMBER(SEARCH(bipartisan,C289)))&gt;0)</f>
        <v>0</v>
      </c>
      <c r="AA289" s="14">
        <f t="shared" si="4"/>
        <v>0</v>
      </c>
      <c r="AB289" s="14"/>
      <c r="AC289" s="30" t="s">
        <v>223</v>
      </c>
      <c r="AD289" s="37" t="s">
        <v>223</v>
      </c>
    </row>
    <row r="290" spans="1:30" x14ac:dyDescent="0.25">
      <c r="A290" s="36">
        <v>1753</v>
      </c>
      <c r="B290" s="14" t="s">
        <v>3532</v>
      </c>
      <c r="C290" s="14" t="s">
        <v>3533</v>
      </c>
      <c r="D290" s="17">
        <v>44120</v>
      </c>
      <c r="E290" s="14" t="s">
        <v>30</v>
      </c>
      <c r="F290" s="14">
        <v>697</v>
      </c>
      <c r="G290" s="14">
        <v>163</v>
      </c>
      <c r="H290" s="14">
        <v>8</v>
      </c>
      <c r="I290" s="14">
        <v>4</v>
      </c>
      <c r="J290" s="14" t="s">
        <v>204</v>
      </c>
      <c r="K290" s="14" cm="1">
        <f t="array" ref="K290">INT(SUMPRODUCT(--ISNUMBER(SEARCH(economy,C290)))&gt;0)</f>
        <v>0</v>
      </c>
      <c r="L290" s="14" cm="1">
        <f t="array" ref="L290">INT(SUMPRODUCT(--ISNUMBER(SEARCH(healthcare,C290)))&gt;0)</f>
        <v>0</v>
      </c>
      <c r="M290" s="14" cm="1">
        <f t="array" ref="M290">INT(SUMPRODUCT(--ISNUMBER(SEARCH(supreme,C290)))&gt;0)</f>
        <v>0</v>
      </c>
      <c r="N290" s="14" cm="1">
        <f t="array" ref="N290">INT(SUMPRODUCT(--ISNUMBER(SEARCH(covid,C290)))&gt;0)</f>
        <v>1</v>
      </c>
      <c r="O290" s="14" cm="1">
        <f t="array" ref="O290">INT(SUMPRODUCT(--ISNUMBER(SEARCH(violent,C290)))&gt;0)</f>
        <v>0</v>
      </c>
      <c r="P290" s="14" cm="1">
        <f t="array" ref="P290">INT(SUMPRODUCT(--ISNUMBER(SEARCH(foreign,C290)))&gt;0)</f>
        <v>0</v>
      </c>
      <c r="Q290" s="14" cm="1">
        <f t="array" ref="Q290">INT(SUMPRODUCT(--ISNUMBER(SEARCH(gun,C290)))&gt;0)</f>
        <v>0</v>
      </c>
      <c r="R290" s="14" cm="1">
        <f t="array" ref="R290">INT(SUMPRODUCT(--ISNUMBER(SEARCH(race,C290)))&gt;0)</f>
        <v>0</v>
      </c>
      <c r="S290" s="14" cm="1">
        <f t="array" ref="S290">INT(SUMPRODUCT(--ISNUMBER(SEARCH(immigration,C290)))&gt;0)</f>
        <v>0</v>
      </c>
      <c r="T290" s="14" cm="1">
        <f t="array" ref="T290">INT(SUMPRODUCT(--ISNUMBER(SEARCH(econineq,C291)))&gt;0)</f>
        <v>0</v>
      </c>
      <c r="U290" s="14" cm="1">
        <f t="array" ref="U290">INT(SUMPRODUCT(--ISNUMBER(SEARCH(climate,C290)))&gt;0)</f>
        <v>0</v>
      </c>
      <c r="V290" s="14" cm="1">
        <f t="array" ref="V290">INT(SUMPRODUCT(--ISNUMBER(SEARCH(abortion,C290)))&gt;0)</f>
        <v>0</v>
      </c>
      <c r="W290" s="14" cm="1">
        <f t="array" ref="W290">INT(SUMPRODUCT(--ISNUMBER(SEARCH(trump,C290)))&gt;0)</f>
        <v>0</v>
      </c>
      <c r="X290" s="14" cm="1">
        <f t="array" ref="X290">INT(SUMPRODUCT(--ISNUMBER(SEARCH(voting,C290)))&gt;0)</f>
        <v>0</v>
      </c>
      <c r="Y290" s="14" cm="1">
        <f t="array" ref="Y290">INT(SUMPRODUCT(--ISNUMBER(SEARCH(democrattrigger,C290)))&gt;0)</f>
        <v>1</v>
      </c>
      <c r="Z290" s="14" cm="1">
        <f t="array" ref="Z290">INT(SUMPRODUCT(--ISNUMBER(SEARCH(bipartisan,C290)))&gt;0)</f>
        <v>0</v>
      </c>
      <c r="AA290" s="14">
        <f t="shared" si="4"/>
        <v>0</v>
      </c>
      <c r="AB290" s="14"/>
      <c r="AC290" s="30" t="s">
        <v>223</v>
      </c>
      <c r="AD290" s="37" t="s">
        <v>223</v>
      </c>
    </row>
    <row r="291" spans="1:30" x14ac:dyDescent="0.25">
      <c r="A291" s="36">
        <v>1754</v>
      </c>
      <c r="B291" s="14" t="s">
        <v>3534</v>
      </c>
      <c r="C291" s="14" t="s">
        <v>3535</v>
      </c>
      <c r="D291" s="17">
        <v>44120</v>
      </c>
      <c r="E291" s="14" t="s">
        <v>30</v>
      </c>
      <c r="F291" s="14">
        <v>487</v>
      </c>
      <c r="G291" s="14">
        <v>114</v>
      </c>
      <c r="H291" s="14">
        <v>8</v>
      </c>
      <c r="I291" s="14">
        <v>4</v>
      </c>
      <c r="J291" s="14" t="s">
        <v>204</v>
      </c>
      <c r="K291" s="14" cm="1">
        <f t="array" ref="K291">INT(SUMPRODUCT(--ISNUMBER(SEARCH(economy,C291)))&gt;0)</f>
        <v>0</v>
      </c>
      <c r="L291" s="14" cm="1">
        <f t="array" ref="L291">INT(SUMPRODUCT(--ISNUMBER(SEARCH(healthcare,C291)))&gt;0)</f>
        <v>0</v>
      </c>
      <c r="M291" s="14" cm="1">
        <f t="array" ref="M291">INT(SUMPRODUCT(--ISNUMBER(SEARCH(supreme,C291)))&gt;0)</f>
        <v>0</v>
      </c>
      <c r="N291" s="14" cm="1">
        <f t="array" ref="N291">INT(SUMPRODUCT(--ISNUMBER(SEARCH(covid,C291)))&gt;0)</f>
        <v>1</v>
      </c>
      <c r="O291" s="14" cm="1">
        <f t="array" ref="O291">INT(SUMPRODUCT(--ISNUMBER(SEARCH(violent,C291)))&gt;0)</f>
        <v>0</v>
      </c>
      <c r="P291" s="14" cm="1">
        <f t="array" ref="P291">INT(SUMPRODUCT(--ISNUMBER(SEARCH(foreign,C291)))&gt;0)</f>
        <v>0</v>
      </c>
      <c r="Q291" s="14" cm="1">
        <f t="array" ref="Q291">INT(SUMPRODUCT(--ISNUMBER(SEARCH(gun,C291)))&gt;0)</f>
        <v>0</v>
      </c>
      <c r="R291" s="14" cm="1">
        <f t="array" ref="R291">INT(SUMPRODUCT(--ISNUMBER(SEARCH(race,C291)))&gt;0)</f>
        <v>0</v>
      </c>
      <c r="S291" s="14" cm="1">
        <f t="array" ref="S291">INT(SUMPRODUCT(--ISNUMBER(SEARCH(immigration,C291)))&gt;0)</f>
        <v>0</v>
      </c>
      <c r="T291" s="14" cm="1">
        <f t="array" ref="T291">INT(SUMPRODUCT(--ISNUMBER(SEARCH(econineq,C292)))&gt;0)</f>
        <v>0</v>
      </c>
      <c r="U291" s="14" cm="1">
        <f t="array" ref="U291">INT(SUMPRODUCT(--ISNUMBER(SEARCH(climate,C291)))&gt;0)</f>
        <v>0</v>
      </c>
      <c r="V291" s="14" cm="1">
        <f t="array" ref="V291">INT(SUMPRODUCT(--ISNUMBER(SEARCH(abortion,C291)))&gt;0)</f>
        <v>0</v>
      </c>
      <c r="W291" s="14" cm="1">
        <f t="array" ref="W291">INT(SUMPRODUCT(--ISNUMBER(SEARCH(trump,C291)))&gt;0)</f>
        <v>0</v>
      </c>
      <c r="X291" s="14" cm="1">
        <f t="array" ref="X291">INT(SUMPRODUCT(--ISNUMBER(SEARCH(voting,C291)))&gt;0)</f>
        <v>0</v>
      </c>
      <c r="Y291" s="14" cm="1">
        <f t="array" ref="Y291">INT(SUMPRODUCT(--ISNUMBER(SEARCH(democrattrigger,C291)))&gt;0)</f>
        <v>1</v>
      </c>
      <c r="Z291" s="14" cm="1">
        <f t="array" ref="Z291">INT(SUMPRODUCT(--ISNUMBER(SEARCH(bipartisan,C291)))&gt;0)</f>
        <v>0</v>
      </c>
      <c r="AA291" s="14">
        <f t="shared" si="4"/>
        <v>0</v>
      </c>
      <c r="AB291" s="14"/>
      <c r="AC291" s="30" t="s">
        <v>223</v>
      </c>
      <c r="AD291" s="37" t="s">
        <v>223</v>
      </c>
    </row>
    <row r="292" spans="1:30" x14ac:dyDescent="0.25">
      <c r="A292" s="36">
        <v>1755</v>
      </c>
      <c r="B292" s="14" t="s">
        <v>3536</v>
      </c>
      <c r="C292" s="14" t="s">
        <v>3537</v>
      </c>
      <c r="D292" s="17">
        <v>44120</v>
      </c>
      <c r="E292" s="14" t="s">
        <v>30</v>
      </c>
      <c r="F292" s="14">
        <v>375</v>
      </c>
      <c r="G292" s="14">
        <v>102</v>
      </c>
      <c r="H292" s="14">
        <v>8</v>
      </c>
      <c r="I292" s="14">
        <v>4</v>
      </c>
      <c r="J292" s="14" t="s">
        <v>204</v>
      </c>
      <c r="K292" s="14" cm="1">
        <f t="array" ref="K292">INT(SUMPRODUCT(--ISNUMBER(SEARCH(economy,C292)))&gt;0)</f>
        <v>0</v>
      </c>
      <c r="L292" s="14" cm="1">
        <f t="array" ref="L292">INT(SUMPRODUCT(--ISNUMBER(SEARCH(healthcare,C292)))&gt;0)</f>
        <v>0</v>
      </c>
      <c r="M292" s="14" cm="1">
        <f t="array" ref="M292">INT(SUMPRODUCT(--ISNUMBER(SEARCH(supreme,C292)))&gt;0)</f>
        <v>0</v>
      </c>
      <c r="N292" s="14" cm="1">
        <f t="array" ref="N292">INT(SUMPRODUCT(--ISNUMBER(SEARCH(covid,C292)))&gt;0)</f>
        <v>1</v>
      </c>
      <c r="O292" s="14" cm="1">
        <f t="array" ref="O292">INT(SUMPRODUCT(--ISNUMBER(SEARCH(violent,C292)))&gt;0)</f>
        <v>0</v>
      </c>
      <c r="P292" s="14" cm="1">
        <f t="array" ref="P292">INT(SUMPRODUCT(--ISNUMBER(SEARCH(foreign,C292)))&gt;0)</f>
        <v>0</v>
      </c>
      <c r="Q292" s="14" cm="1">
        <f t="array" ref="Q292">INT(SUMPRODUCT(--ISNUMBER(SEARCH(gun,C292)))&gt;0)</f>
        <v>0</v>
      </c>
      <c r="R292" s="14" cm="1">
        <f t="array" ref="R292">INT(SUMPRODUCT(--ISNUMBER(SEARCH(race,C292)))&gt;0)</f>
        <v>0</v>
      </c>
      <c r="S292" s="14" cm="1">
        <f t="array" ref="S292">INT(SUMPRODUCT(--ISNUMBER(SEARCH(immigration,C292)))&gt;0)</f>
        <v>0</v>
      </c>
      <c r="T292" s="14" cm="1">
        <f t="array" ref="T292">INT(SUMPRODUCT(--ISNUMBER(SEARCH(econineq,C293)))&gt;0)</f>
        <v>0</v>
      </c>
      <c r="U292" s="14" cm="1">
        <f t="array" ref="U292">INT(SUMPRODUCT(--ISNUMBER(SEARCH(climate,C292)))&gt;0)</f>
        <v>0</v>
      </c>
      <c r="V292" s="14" cm="1">
        <f t="array" ref="V292">INT(SUMPRODUCT(--ISNUMBER(SEARCH(abortion,C292)))&gt;0)</f>
        <v>0</v>
      </c>
      <c r="W292" s="14" cm="1">
        <f t="array" ref="W292">INT(SUMPRODUCT(--ISNUMBER(SEARCH(trump,C292)))&gt;0)</f>
        <v>0</v>
      </c>
      <c r="X292" s="14" cm="1">
        <f t="array" ref="X292">INT(SUMPRODUCT(--ISNUMBER(SEARCH(voting,C292)))&gt;0)</f>
        <v>0</v>
      </c>
      <c r="Y292" s="14" cm="1">
        <f t="array" ref="Y292">INT(SUMPRODUCT(--ISNUMBER(SEARCH(democrattrigger,C292)))&gt;0)</f>
        <v>1</v>
      </c>
      <c r="Z292" s="14" cm="1">
        <f t="array" ref="Z292">INT(SUMPRODUCT(--ISNUMBER(SEARCH(bipartisan,C292)))&gt;0)</f>
        <v>1</v>
      </c>
      <c r="AA292" s="14">
        <f t="shared" si="4"/>
        <v>0</v>
      </c>
      <c r="AB292" s="14"/>
      <c r="AC292" s="30" t="s">
        <v>223</v>
      </c>
      <c r="AD292" s="37" t="s">
        <v>223</v>
      </c>
    </row>
    <row r="293" spans="1:30" x14ac:dyDescent="0.25">
      <c r="A293" s="36">
        <v>1756</v>
      </c>
      <c r="B293" s="14" t="s">
        <v>3538</v>
      </c>
      <c r="C293" s="14" t="s">
        <v>3539</v>
      </c>
      <c r="D293" s="17">
        <v>44120</v>
      </c>
      <c r="E293" s="14" t="s">
        <v>30</v>
      </c>
      <c r="F293" s="14">
        <v>687</v>
      </c>
      <c r="G293" s="14">
        <v>143</v>
      </c>
      <c r="H293" s="14">
        <v>8</v>
      </c>
      <c r="I293" s="14">
        <v>4</v>
      </c>
      <c r="J293" s="14" t="s">
        <v>204</v>
      </c>
      <c r="K293" s="14" cm="1">
        <f t="array" ref="K293">INT(SUMPRODUCT(--ISNUMBER(SEARCH(economy,C293)))&gt;0)</f>
        <v>0</v>
      </c>
      <c r="L293" s="14" cm="1">
        <f t="array" ref="L293">INT(SUMPRODUCT(--ISNUMBER(SEARCH(healthcare,C293)))&gt;0)</f>
        <v>1</v>
      </c>
      <c r="M293" s="14" cm="1">
        <f t="array" ref="M293">INT(SUMPRODUCT(--ISNUMBER(SEARCH(supreme,C293)))&gt;0)</f>
        <v>0</v>
      </c>
      <c r="N293" s="14" cm="1">
        <f t="array" ref="N293">INT(SUMPRODUCT(--ISNUMBER(SEARCH(covid,C293)))&gt;0)</f>
        <v>1</v>
      </c>
      <c r="O293" s="14" cm="1">
        <f t="array" ref="O293">INT(SUMPRODUCT(--ISNUMBER(SEARCH(violent,C293)))&gt;0)</f>
        <v>0</v>
      </c>
      <c r="P293" s="14" cm="1">
        <f t="array" ref="P293">INT(SUMPRODUCT(--ISNUMBER(SEARCH(foreign,C293)))&gt;0)</f>
        <v>0</v>
      </c>
      <c r="Q293" s="14" cm="1">
        <f t="array" ref="Q293">INT(SUMPRODUCT(--ISNUMBER(SEARCH(gun,C293)))&gt;0)</f>
        <v>0</v>
      </c>
      <c r="R293" s="14" cm="1">
        <f t="array" ref="R293">INT(SUMPRODUCT(--ISNUMBER(SEARCH(race,C293)))&gt;0)</f>
        <v>0</v>
      </c>
      <c r="S293" s="14" cm="1">
        <f t="array" ref="S293">INT(SUMPRODUCT(--ISNUMBER(SEARCH(immigration,C293)))&gt;0)</f>
        <v>0</v>
      </c>
      <c r="T293" s="14" cm="1">
        <f t="array" ref="T293">INT(SUMPRODUCT(--ISNUMBER(SEARCH(econineq,C294)))&gt;0)</f>
        <v>0</v>
      </c>
      <c r="U293" s="14" cm="1">
        <f t="array" ref="U293">INT(SUMPRODUCT(--ISNUMBER(SEARCH(climate,C293)))&gt;0)</f>
        <v>0</v>
      </c>
      <c r="V293" s="14" cm="1">
        <f t="array" ref="V293">INT(SUMPRODUCT(--ISNUMBER(SEARCH(abortion,C293)))&gt;0)</f>
        <v>0</v>
      </c>
      <c r="W293" s="14" cm="1">
        <f t="array" ref="W293">INT(SUMPRODUCT(--ISNUMBER(SEARCH(trump,C293)))&gt;0)</f>
        <v>1</v>
      </c>
      <c r="X293" s="14" cm="1">
        <f t="array" ref="X293">INT(SUMPRODUCT(--ISNUMBER(SEARCH(voting,C293)))&gt;0)</f>
        <v>0</v>
      </c>
      <c r="Y293" s="14" cm="1">
        <f t="array" ref="Y293">INT(SUMPRODUCT(--ISNUMBER(SEARCH(democrattrigger,C293)))&gt;0)</f>
        <v>1</v>
      </c>
      <c r="Z293" s="14" cm="1">
        <f t="array" ref="Z293">INT(SUMPRODUCT(--ISNUMBER(SEARCH(bipartisan,C293)))&gt;0)</f>
        <v>0</v>
      </c>
      <c r="AA293" s="14">
        <f t="shared" si="4"/>
        <v>0</v>
      </c>
      <c r="AB293" s="14"/>
      <c r="AC293" s="30" t="s">
        <v>223</v>
      </c>
      <c r="AD293" s="37" t="s">
        <v>223</v>
      </c>
    </row>
    <row r="294" spans="1:30" x14ac:dyDescent="0.25">
      <c r="A294" s="36">
        <v>1757</v>
      </c>
      <c r="B294" s="14" t="s">
        <v>3540</v>
      </c>
      <c r="C294" s="14" t="s">
        <v>3541</v>
      </c>
      <c r="D294" s="17">
        <v>44120</v>
      </c>
      <c r="E294" s="14" t="s">
        <v>30</v>
      </c>
      <c r="F294" s="14">
        <v>679</v>
      </c>
      <c r="G294" s="14">
        <v>147</v>
      </c>
      <c r="H294" s="14">
        <v>8</v>
      </c>
      <c r="I294" s="14">
        <v>4</v>
      </c>
      <c r="J294" s="14" t="s">
        <v>204</v>
      </c>
      <c r="K294" s="14" cm="1">
        <f t="array" ref="K294">INT(SUMPRODUCT(--ISNUMBER(SEARCH(economy,C294)))&gt;0)</f>
        <v>0</v>
      </c>
      <c r="L294" s="14" cm="1">
        <f t="array" ref="L294">INT(SUMPRODUCT(--ISNUMBER(SEARCH(healthcare,C294)))&gt;0)</f>
        <v>0</v>
      </c>
      <c r="M294" s="14" cm="1">
        <f t="array" ref="M294">INT(SUMPRODUCT(--ISNUMBER(SEARCH(supreme,C294)))&gt;0)</f>
        <v>0</v>
      </c>
      <c r="N294" s="14" cm="1">
        <f t="array" ref="N294">INT(SUMPRODUCT(--ISNUMBER(SEARCH(covid,C294)))&gt;0)</f>
        <v>0</v>
      </c>
      <c r="O294" s="14" cm="1">
        <f t="array" ref="O294">INT(SUMPRODUCT(--ISNUMBER(SEARCH(violent,C294)))&gt;0)</f>
        <v>0</v>
      </c>
      <c r="P294" s="14" cm="1">
        <f t="array" ref="P294">INT(SUMPRODUCT(--ISNUMBER(SEARCH(foreign,C294)))&gt;0)</f>
        <v>0</v>
      </c>
      <c r="Q294" s="14" cm="1">
        <f t="array" ref="Q294">INT(SUMPRODUCT(--ISNUMBER(SEARCH(gun,C294)))&gt;0)</f>
        <v>0</v>
      </c>
      <c r="R294" s="14" cm="1">
        <f t="array" ref="R294">INT(SUMPRODUCT(--ISNUMBER(SEARCH(race,C294)))&gt;0)</f>
        <v>0</v>
      </c>
      <c r="S294" s="14" cm="1">
        <f t="array" ref="S294">INT(SUMPRODUCT(--ISNUMBER(SEARCH(immigration,C294)))&gt;0)</f>
        <v>0</v>
      </c>
      <c r="T294" s="14" cm="1">
        <f t="array" ref="T294">INT(SUMPRODUCT(--ISNUMBER(SEARCH(econineq,C295)))&gt;0)</f>
        <v>0</v>
      </c>
      <c r="U294" s="14" cm="1">
        <f t="array" ref="U294">INT(SUMPRODUCT(--ISNUMBER(SEARCH(climate,C294)))&gt;0)</f>
        <v>0</v>
      </c>
      <c r="V294" s="14" cm="1">
        <f t="array" ref="V294">INT(SUMPRODUCT(--ISNUMBER(SEARCH(abortion,C294)))&gt;0)</f>
        <v>0</v>
      </c>
      <c r="W294" s="14" cm="1">
        <f t="array" ref="W294">INT(SUMPRODUCT(--ISNUMBER(SEARCH(trump,C294)))&gt;0)</f>
        <v>0</v>
      </c>
      <c r="X294" s="14" cm="1">
        <f t="array" ref="X294">INT(SUMPRODUCT(--ISNUMBER(SEARCH(voting,C294)))&gt;0)</f>
        <v>0</v>
      </c>
      <c r="Y294" s="14" cm="1">
        <f t="array" ref="Y294">INT(SUMPRODUCT(--ISNUMBER(SEARCH(democrattrigger,C294)))&gt;0)</f>
        <v>1</v>
      </c>
      <c r="Z294" s="14" cm="1">
        <f t="array" ref="Z294">INT(SUMPRODUCT(--ISNUMBER(SEARCH(bipartisan,C294)))&gt;0)</f>
        <v>0</v>
      </c>
      <c r="AA294" s="14">
        <f t="shared" si="4"/>
        <v>0</v>
      </c>
      <c r="AB294" s="14"/>
      <c r="AC294" s="30" t="s">
        <v>223</v>
      </c>
      <c r="AD294" s="37" t="s">
        <v>223</v>
      </c>
    </row>
    <row r="295" spans="1:30" x14ac:dyDescent="0.25">
      <c r="A295" s="36">
        <v>1758</v>
      </c>
      <c r="B295" s="14" t="s">
        <v>3542</v>
      </c>
      <c r="C295" s="14" t="s">
        <v>3543</v>
      </c>
      <c r="D295" s="17">
        <v>44120</v>
      </c>
      <c r="E295" s="14" t="s">
        <v>30</v>
      </c>
      <c r="F295" s="14">
        <v>602</v>
      </c>
      <c r="G295" s="14">
        <v>170</v>
      </c>
      <c r="H295" s="14">
        <v>8</v>
      </c>
      <c r="I295" s="14">
        <v>4</v>
      </c>
      <c r="J295" s="14" t="s">
        <v>204</v>
      </c>
      <c r="K295" s="14" cm="1">
        <f t="array" ref="K295">INT(SUMPRODUCT(--ISNUMBER(SEARCH(economy,C295)))&gt;0)</f>
        <v>0</v>
      </c>
      <c r="L295" s="14" cm="1">
        <f t="array" ref="L295">INT(SUMPRODUCT(--ISNUMBER(SEARCH(healthcare,C295)))&gt;0)</f>
        <v>0</v>
      </c>
      <c r="M295" s="14" cm="1">
        <f t="array" ref="M295">INT(SUMPRODUCT(--ISNUMBER(SEARCH(supreme,C295)))&gt;0)</f>
        <v>0</v>
      </c>
      <c r="N295" s="14" cm="1">
        <f t="array" ref="N295">INT(SUMPRODUCT(--ISNUMBER(SEARCH(covid,C295)))&gt;0)</f>
        <v>1</v>
      </c>
      <c r="O295" s="14" cm="1">
        <f t="array" ref="O295">INT(SUMPRODUCT(--ISNUMBER(SEARCH(violent,C295)))&gt;0)</f>
        <v>0</v>
      </c>
      <c r="P295" s="14" cm="1">
        <f t="array" ref="P295">INT(SUMPRODUCT(--ISNUMBER(SEARCH(foreign,C295)))&gt;0)</f>
        <v>0</v>
      </c>
      <c r="Q295" s="14" cm="1">
        <f t="array" ref="Q295">INT(SUMPRODUCT(--ISNUMBER(SEARCH(gun,C295)))&gt;0)</f>
        <v>0</v>
      </c>
      <c r="R295" s="14" cm="1">
        <f t="array" ref="R295">INT(SUMPRODUCT(--ISNUMBER(SEARCH(race,C295)))&gt;0)</f>
        <v>0</v>
      </c>
      <c r="S295" s="14" cm="1">
        <f t="array" ref="S295">INT(SUMPRODUCT(--ISNUMBER(SEARCH(immigration,C295)))&gt;0)</f>
        <v>0</v>
      </c>
      <c r="T295" s="14" cm="1">
        <f t="array" ref="T295">INT(SUMPRODUCT(--ISNUMBER(SEARCH(econineq,C296)))&gt;0)</f>
        <v>0</v>
      </c>
      <c r="U295" s="14" cm="1">
        <f t="array" ref="U295">INT(SUMPRODUCT(--ISNUMBER(SEARCH(climate,C295)))&gt;0)</f>
        <v>0</v>
      </c>
      <c r="V295" s="14" cm="1">
        <f t="array" ref="V295">INT(SUMPRODUCT(--ISNUMBER(SEARCH(abortion,C295)))&gt;0)</f>
        <v>0</v>
      </c>
      <c r="W295" s="14" cm="1">
        <f t="array" ref="W295">INT(SUMPRODUCT(--ISNUMBER(SEARCH(trump,C295)))&gt;0)</f>
        <v>0</v>
      </c>
      <c r="X295" s="14" cm="1">
        <f t="array" ref="X295">INT(SUMPRODUCT(--ISNUMBER(SEARCH(voting,C295)))&gt;0)</f>
        <v>0</v>
      </c>
      <c r="Y295" s="14" cm="1">
        <f t="array" ref="Y295">INT(SUMPRODUCT(--ISNUMBER(SEARCH(democrattrigger,C295)))&gt;0)</f>
        <v>0</v>
      </c>
      <c r="Z295" s="14" cm="1">
        <f t="array" ref="Z295">INT(SUMPRODUCT(--ISNUMBER(SEARCH(bipartisan,C295)))&gt;0)</f>
        <v>0</v>
      </c>
      <c r="AA295" s="14">
        <f t="shared" si="4"/>
        <v>0</v>
      </c>
      <c r="AB295" s="14"/>
      <c r="AC295" s="30" t="s">
        <v>223</v>
      </c>
      <c r="AD295" s="37" t="s">
        <v>223</v>
      </c>
    </row>
    <row r="296" spans="1:30" x14ac:dyDescent="0.25">
      <c r="A296" s="36">
        <v>1759</v>
      </c>
      <c r="B296" s="14" t="s">
        <v>3544</v>
      </c>
      <c r="C296" s="14" t="s">
        <v>3545</v>
      </c>
      <c r="D296" s="17">
        <v>44120</v>
      </c>
      <c r="E296" s="14" t="s">
        <v>30</v>
      </c>
      <c r="F296" s="14">
        <v>462</v>
      </c>
      <c r="G296" s="14">
        <v>161</v>
      </c>
      <c r="H296" s="14">
        <v>8</v>
      </c>
      <c r="I296" s="14">
        <v>4</v>
      </c>
      <c r="J296" s="14" t="s">
        <v>204</v>
      </c>
      <c r="K296" s="14" cm="1">
        <f t="array" ref="K296">INT(SUMPRODUCT(--ISNUMBER(SEARCH(economy,C296)))&gt;0)</f>
        <v>0</v>
      </c>
      <c r="L296" s="14" cm="1">
        <f t="array" ref="L296">INT(SUMPRODUCT(--ISNUMBER(SEARCH(healthcare,C296)))&gt;0)</f>
        <v>0</v>
      </c>
      <c r="M296" s="14" cm="1">
        <f t="array" ref="M296">INT(SUMPRODUCT(--ISNUMBER(SEARCH(supreme,C296)))&gt;0)</f>
        <v>0</v>
      </c>
      <c r="N296" s="14" cm="1">
        <f t="array" ref="N296">INT(SUMPRODUCT(--ISNUMBER(SEARCH(covid,C296)))&gt;0)</f>
        <v>1</v>
      </c>
      <c r="O296" s="14" cm="1">
        <f t="array" ref="O296">INT(SUMPRODUCT(--ISNUMBER(SEARCH(violent,C296)))&gt;0)</f>
        <v>0</v>
      </c>
      <c r="P296" s="14" cm="1">
        <f t="array" ref="P296">INT(SUMPRODUCT(--ISNUMBER(SEARCH(foreign,C296)))&gt;0)</f>
        <v>0</v>
      </c>
      <c r="Q296" s="14" cm="1">
        <f t="array" ref="Q296">INT(SUMPRODUCT(--ISNUMBER(SEARCH(gun,C296)))&gt;0)</f>
        <v>0</v>
      </c>
      <c r="R296" s="14" cm="1">
        <f t="array" ref="R296">INT(SUMPRODUCT(--ISNUMBER(SEARCH(race,C296)))&gt;0)</f>
        <v>0</v>
      </c>
      <c r="S296" s="14" cm="1">
        <f t="array" ref="S296">INT(SUMPRODUCT(--ISNUMBER(SEARCH(immigration,C296)))&gt;0)</f>
        <v>0</v>
      </c>
      <c r="T296" s="14" cm="1">
        <f t="array" ref="T296">INT(SUMPRODUCT(--ISNUMBER(SEARCH(econineq,C297)))&gt;0)</f>
        <v>0</v>
      </c>
      <c r="U296" s="14" cm="1">
        <f t="array" ref="U296">INT(SUMPRODUCT(--ISNUMBER(SEARCH(climate,C296)))&gt;0)</f>
        <v>0</v>
      </c>
      <c r="V296" s="14" cm="1">
        <f t="array" ref="V296">INT(SUMPRODUCT(--ISNUMBER(SEARCH(abortion,C296)))&gt;0)</f>
        <v>0</v>
      </c>
      <c r="W296" s="14" cm="1">
        <f t="array" ref="W296">INT(SUMPRODUCT(--ISNUMBER(SEARCH(trump,C296)))&gt;0)</f>
        <v>0</v>
      </c>
      <c r="X296" s="14" cm="1">
        <f t="array" ref="X296">INT(SUMPRODUCT(--ISNUMBER(SEARCH(voting,C296)))&gt;0)</f>
        <v>0</v>
      </c>
      <c r="Y296" s="14" cm="1">
        <f t="array" ref="Y296">INT(SUMPRODUCT(--ISNUMBER(SEARCH(democrattrigger,C296)))&gt;0)</f>
        <v>1</v>
      </c>
      <c r="Z296" s="14" cm="1">
        <f t="array" ref="Z296">INT(SUMPRODUCT(--ISNUMBER(SEARCH(bipartisan,C296)))&gt;0)</f>
        <v>1</v>
      </c>
      <c r="AA296" s="14">
        <f t="shared" si="4"/>
        <v>0</v>
      </c>
      <c r="AB296" s="14"/>
      <c r="AC296" s="30">
        <v>1</v>
      </c>
      <c r="AD296" s="37">
        <v>0</v>
      </c>
    </row>
    <row r="297" spans="1:30" x14ac:dyDescent="0.25">
      <c r="A297" s="36">
        <v>1760</v>
      </c>
      <c r="B297" s="14" t="s">
        <v>3546</v>
      </c>
      <c r="C297" s="14" t="s">
        <v>3547</v>
      </c>
      <c r="D297" s="17">
        <v>44120</v>
      </c>
      <c r="E297" s="14" t="s">
        <v>30</v>
      </c>
      <c r="F297" s="14">
        <v>587</v>
      </c>
      <c r="G297" s="14">
        <v>284</v>
      </c>
      <c r="H297" s="14">
        <v>8</v>
      </c>
      <c r="I297" s="14">
        <v>4</v>
      </c>
      <c r="J297" s="14" t="s">
        <v>204</v>
      </c>
      <c r="K297" s="14" cm="1">
        <f t="array" ref="K297">INT(SUMPRODUCT(--ISNUMBER(SEARCH(economy,C297)))&gt;0)</f>
        <v>1</v>
      </c>
      <c r="L297" s="14" cm="1">
        <f t="array" ref="L297">INT(SUMPRODUCT(--ISNUMBER(SEARCH(healthcare,C297)))&gt;0)</f>
        <v>0</v>
      </c>
      <c r="M297" s="14" cm="1">
        <f t="array" ref="M297">INT(SUMPRODUCT(--ISNUMBER(SEARCH(supreme,C297)))&gt;0)</f>
        <v>0</v>
      </c>
      <c r="N297" s="14" cm="1">
        <f t="array" ref="N297">INT(SUMPRODUCT(--ISNUMBER(SEARCH(covid,C297)))&gt;0)</f>
        <v>1</v>
      </c>
      <c r="O297" s="14" cm="1">
        <f t="array" ref="O297">INT(SUMPRODUCT(--ISNUMBER(SEARCH(violent,C297)))&gt;0)</f>
        <v>0</v>
      </c>
      <c r="P297" s="14" cm="1">
        <f t="array" ref="P297">INT(SUMPRODUCT(--ISNUMBER(SEARCH(foreign,C297)))&gt;0)</f>
        <v>0</v>
      </c>
      <c r="Q297" s="14" cm="1">
        <f t="array" ref="Q297">INT(SUMPRODUCT(--ISNUMBER(SEARCH(gun,C297)))&gt;0)</f>
        <v>0</v>
      </c>
      <c r="R297" s="14" cm="1">
        <f t="array" ref="R297">INT(SUMPRODUCT(--ISNUMBER(SEARCH(race,C297)))&gt;0)</f>
        <v>0</v>
      </c>
      <c r="S297" s="14" cm="1">
        <f t="array" ref="S297">INT(SUMPRODUCT(--ISNUMBER(SEARCH(immigration,C297)))&gt;0)</f>
        <v>0</v>
      </c>
      <c r="T297" s="14" cm="1">
        <f t="array" ref="T297">INT(SUMPRODUCT(--ISNUMBER(SEARCH(econineq,C298)))&gt;0)</f>
        <v>0</v>
      </c>
      <c r="U297" s="14" cm="1">
        <f t="array" ref="U297">INT(SUMPRODUCT(--ISNUMBER(SEARCH(climate,C297)))&gt;0)</f>
        <v>0</v>
      </c>
      <c r="V297" s="14" cm="1">
        <f t="array" ref="V297">INT(SUMPRODUCT(--ISNUMBER(SEARCH(abortion,C297)))&gt;0)</f>
        <v>0</v>
      </c>
      <c r="W297" s="14" cm="1">
        <f t="array" ref="W297">INT(SUMPRODUCT(--ISNUMBER(SEARCH(trump,C297)))&gt;0)</f>
        <v>0</v>
      </c>
      <c r="X297" s="14" cm="1">
        <f t="array" ref="X297">INT(SUMPRODUCT(--ISNUMBER(SEARCH(voting,C297)))&gt;0)</f>
        <v>0</v>
      </c>
      <c r="Y297" s="14" cm="1">
        <f t="array" ref="Y297">INT(SUMPRODUCT(--ISNUMBER(SEARCH(democrattrigger,C297)))&gt;0)</f>
        <v>1</v>
      </c>
      <c r="Z297" s="14" cm="1">
        <f t="array" ref="Z297">INT(SUMPRODUCT(--ISNUMBER(SEARCH(bipartisan,C297)))&gt;0)</f>
        <v>0</v>
      </c>
      <c r="AA297" s="14">
        <f t="shared" si="4"/>
        <v>0</v>
      </c>
      <c r="AB297" s="14"/>
      <c r="AC297" s="30" t="s">
        <v>223</v>
      </c>
      <c r="AD297" s="37" t="s">
        <v>223</v>
      </c>
    </row>
    <row r="298" spans="1:30" x14ac:dyDescent="0.25">
      <c r="A298" s="36">
        <v>1761</v>
      </c>
      <c r="B298" s="14" t="s">
        <v>3548</v>
      </c>
      <c r="C298" s="14" t="s">
        <v>3549</v>
      </c>
      <c r="D298" s="17">
        <v>44120</v>
      </c>
      <c r="E298" s="14" t="s">
        <v>30</v>
      </c>
      <c r="F298" s="14">
        <v>907</v>
      </c>
      <c r="G298" s="14">
        <v>240</v>
      </c>
      <c r="H298" s="14">
        <v>8</v>
      </c>
      <c r="I298" s="14">
        <v>4</v>
      </c>
      <c r="J298" s="14" t="s">
        <v>204</v>
      </c>
      <c r="K298" s="14" cm="1">
        <f t="array" ref="K298">INT(SUMPRODUCT(--ISNUMBER(SEARCH(economy,C298)))&gt;0)</f>
        <v>0</v>
      </c>
      <c r="L298" s="14" cm="1">
        <f t="array" ref="L298">INT(SUMPRODUCT(--ISNUMBER(SEARCH(healthcare,C298)))&gt;0)</f>
        <v>0</v>
      </c>
      <c r="M298" s="14" cm="1">
        <f t="array" ref="M298">INT(SUMPRODUCT(--ISNUMBER(SEARCH(supreme,C298)))&gt;0)</f>
        <v>1</v>
      </c>
      <c r="N298" s="14" cm="1">
        <f t="array" ref="N298">INT(SUMPRODUCT(--ISNUMBER(SEARCH(covid,C298)))&gt;0)</f>
        <v>0</v>
      </c>
      <c r="O298" s="14" cm="1">
        <f t="array" ref="O298">INT(SUMPRODUCT(--ISNUMBER(SEARCH(violent,C298)))&gt;0)</f>
        <v>0</v>
      </c>
      <c r="P298" s="14" cm="1">
        <f t="array" ref="P298">INT(SUMPRODUCT(--ISNUMBER(SEARCH(foreign,C298)))&gt;0)</f>
        <v>0</v>
      </c>
      <c r="Q298" s="14" cm="1">
        <f t="array" ref="Q298">INT(SUMPRODUCT(--ISNUMBER(SEARCH(gun,C298)))&gt;0)</f>
        <v>0</v>
      </c>
      <c r="R298" s="14" cm="1">
        <f t="array" ref="R298">INT(SUMPRODUCT(--ISNUMBER(SEARCH(race,C298)))&gt;0)</f>
        <v>0</v>
      </c>
      <c r="S298" s="14" cm="1">
        <f t="array" ref="S298">INT(SUMPRODUCT(--ISNUMBER(SEARCH(immigration,C298)))&gt;0)</f>
        <v>0</v>
      </c>
      <c r="T298" s="14" cm="1">
        <f t="array" ref="T298">INT(SUMPRODUCT(--ISNUMBER(SEARCH(econineq,C299)))&gt;0)</f>
        <v>0</v>
      </c>
      <c r="U298" s="14" cm="1">
        <f t="array" ref="U298">INT(SUMPRODUCT(--ISNUMBER(SEARCH(climate,C298)))&gt;0)</f>
        <v>0</v>
      </c>
      <c r="V298" s="14" cm="1">
        <f t="array" ref="V298">INT(SUMPRODUCT(--ISNUMBER(SEARCH(abortion,C298)))&gt;0)</f>
        <v>0</v>
      </c>
      <c r="W298" s="14" cm="1">
        <f t="array" ref="W298">INT(SUMPRODUCT(--ISNUMBER(SEARCH(trump,C298)))&gt;0)</f>
        <v>0</v>
      </c>
      <c r="X298" s="14" cm="1">
        <f t="array" ref="X298">INT(SUMPRODUCT(--ISNUMBER(SEARCH(voting,C298)))&gt;0)</f>
        <v>0</v>
      </c>
      <c r="Y298" s="14" cm="1">
        <f t="array" ref="Y298">INT(SUMPRODUCT(--ISNUMBER(SEARCH(democrattrigger,C298)))&gt;0)</f>
        <v>1</v>
      </c>
      <c r="Z298" s="14" cm="1">
        <f t="array" ref="Z298">INT(SUMPRODUCT(--ISNUMBER(SEARCH(bipartisan,C298)))&gt;0)</f>
        <v>1</v>
      </c>
      <c r="AA298" s="14">
        <f t="shared" si="4"/>
        <v>0</v>
      </c>
      <c r="AB298" s="14"/>
      <c r="AC298" s="30" t="s">
        <v>223</v>
      </c>
      <c r="AD298" s="37" t="s">
        <v>223</v>
      </c>
    </row>
    <row r="299" spans="1:30" x14ac:dyDescent="0.25">
      <c r="A299" s="36">
        <v>1762</v>
      </c>
      <c r="B299" s="14" t="s">
        <v>3550</v>
      </c>
      <c r="C299" s="14" t="s">
        <v>3551</v>
      </c>
      <c r="D299" s="17">
        <v>44120</v>
      </c>
      <c r="E299" s="14" t="s">
        <v>30</v>
      </c>
      <c r="F299" s="14">
        <v>959</v>
      </c>
      <c r="G299" s="14">
        <v>390</v>
      </c>
      <c r="H299" s="14">
        <v>8</v>
      </c>
      <c r="I299" s="14">
        <v>4</v>
      </c>
      <c r="J299" s="14" t="s">
        <v>204</v>
      </c>
      <c r="K299" s="14" cm="1">
        <f t="array" ref="K299">INT(SUMPRODUCT(--ISNUMBER(SEARCH(economy,C299)))&gt;0)</f>
        <v>0</v>
      </c>
      <c r="L299" s="14" cm="1">
        <f t="array" ref="L299">INT(SUMPRODUCT(--ISNUMBER(SEARCH(healthcare,C299)))&gt;0)</f>
        <v>1</v>
      </c>
      <c r="M299" s="14" cm="1">
        <f t="array" ref="M299">INT(SUMPRODUCT(--ISNUMBER(SEARCH(supreme,C299)))&gt;0)</f>
        <v>1</v>
      </c>
      <c r="N299" s="14" cm="1">
        <f t="array" ref="N299">INT(SUMPRODUCT(--ISNUMBER(SEARCH(covid,C299)))&gt;0)</f>
        <v>0</v>
      </c>
      <c r="O299" s="14" cm="1">
        <f t="array" ref="O299">INT(SUMPRODUCT(--ISNUMBER(SEARCH(violent,C299)))&gt;0)</f>
        <v>0</v>
      </c>
      <c r="P299" s="14" cm="1">
        <f t="array" ref="P299">INT(SUMPRODUCT(--ISNUMBER(SEARCH(foreign,C299)))&gt;0)</f>
        <v>0</v>
      </c>
      <c r="Q299" s="14" cm="1">
        <f t="array" ref="Q299">INT(SUMPRODUCT(--ISNUMBER(SEARCH(gun,C299)))&gt;0)</f>
        <v>0</v>
      </c>
      <c r="R299" s="14" cm="1">
        <f t="array" ref="R299">INT(SUMPRODUCT(--ISNUMBER(SEARCH(race,C299)))&gt;0)</f>
        <v>0</v>
      </c>
      <c r="S299" s="14" cm="1">
        <f t="array" ref="S299">INT(SUMPRODUCT(--ISNUMBER(SEARCH(immigration,C299)))&gt;0)</f>
        <v>0</v>
      </c>
      <c r="T299" s="14" cm="1">
        <f t="array" ref="T299">INT(SUMPRODUCT(--ISNUMBER(SEARCH(econineq,C300)))&gt;0)</f>
        <v>0</v>
      </c>
      <c r="U299" s="14" cm="1">
        <f t="array" ref="U299">INT(SUMPRODUCT(--ISNUMBER(SEARCH(climate,C299)))&gt;0)</f>
        <v>0</v>
      </c>
      <c r="V299" s="14" cm="1">
        <f t="array" ref="V299">INT(SUMPRODUCT(--ISNUMBER(SEARCH(abortion,C299)))&gt;0)</f>
        <v>0</v>
      </c>
      <c r="W299" s="14" cm="1">
        <f t="array" ref="W299">INT(SUMPRODUCT(--ISNUMBER(SEARCH(trump,C299)))&gt;0)</f>
        <v>1</v>
      </c>
      <c r="X299" s="14" cm="1">
        <f t="array" ref="X299">INT(SUMPRODUCT(--ISNUMBER(SEARCH(voting,C299)))&gt;0)</f>
        <v>1</v>
      </c>
      <c r="Y299" s="14" cm="1">
        <f t="array" ref="Y299">INT(SUMPRODUCT(--ISNUMBER(SEARCH(democrattrigger,C299)))&gt;0)</f>
        <v>1</v>
      </c>
      <c r="Z299" s="14" cm="1">
        <f t="array" ref="Z299">INT(SUMPRODUCT(--ISNUMBER(SEARCH(bipartisan,C299)))&gt;0)</f>
        <v>0</v>
      </c>
      <c r="AA299" s="14">
        <f t="shared" si="4"/>
        <v>0</v>
      </c>
      <c r="AB299" s="14"/>
      <c r="AC299" s="30" t="s">
        <v>223</v>
      </c>
      <c r="AD299" s="37" t="s">
        <v>223</v>
      </c>
    </row>
    <row r="300" spans="1:30" x14ac:dyDescent="0.25">
      <c r="A300" s="36">
        <v>1763</v>
      </c>
      <c r="B300" s="14" t="s">
        <v>3552</v>
      </c>
      <c r="C300" s="14" t="s">
        <v>3553</v>
      </c>
      <c r="D300" s="17">
        <v>44120</v>
      </c>
      <c r="E300" s="14" t="s">
        <v>30</v>
      </c>
      <c r="F300" s="14">
        <v>689</v>
      </c>
      <c r="G300" s="14">
        <v>204</v>
      </c>
      <c r="H300" s="14">
        <v>8</v>
      </c>
      <c r="I300" s="14">
        <v>4</v>
      </c>
      <c r="J300" s="14" t="s">
        <v>204</v>
      </c>
      <c r="K300" s="14" cm="1">
        <f t="array" ref="K300">INT(SUMPRODUCT(--ISNUMBER(SEARCH(economy,C300)))&gt;0)</f>
        <v>0</v>
      </c>
      <c r="L300" s="14" cm="1">
        <f t="array" ref="L300">INT(SUMPRODUCT(--ISNUMBER(SEARCH(healthcare,C300)))&gt;0)</f>
        <v>1</v>
      </c>
      <c r="M300" s="14" cm="1">
        <f t="array" ref="M300">INT(SUMPRODUCT(--ISNUMBER(SEARCH(supreme,C300)))&gt;0)</f>
        <v>1</v>
      </c>
      <c r="N300" s="14" cm="1">
        <f t="array" ref="N300">INT(SUMPRODUCT(--ISNUMBER(SEARCH(covid,C300)))&gt;0)</f>
        <v>0</v>
      </c>
      <c r="O300" s="14" cm="1">
        <f t="array" ref="O300">INT(SUMPRODUCT(--ISNUMBER(SEARCH(violent,C300)))&gt;0)</f>
        <v>0</v>
      </c>
      <c r="P300" s="14" cm="1">
        <f t="array" ref="P300">INT(SUMPRODUCT(--ISNUMBER(SEARCH(foreign,C300)))&gt;0)</f>
        <v>0</v>
      </c>
      <c r="Q300" s="14" cm="1">
        <f t="array" ref="Q300">INT(SUMPRODUCT(--ISNUMBER(SEARCH(gun,C300)))&gt;0)</f>
        <v>0</v>
      </c>
      <c r="R300" s="14" cm="1">
        <f t="array" ref="R300">INT(SUMPRODUCT(--ISNUMBER(SEARCH(race,C300)))&gt;0)</f>
        <v>0</v>
      </c>
      <c r="S300" s="14" cm="1">
        <f t="array" ref="S300">INT(SUMPRODUCT(--ISNUMBER(SEARCH(immigration,C300)))&gt;0)</f>
        <v>0</v>
      </c>
      <c r="T300" s="14" cm="1">
        <f t="array" ref="T300">INT(SUMPRODUCT(--ISNUMBER(SEARCH(econineq,C301)))&gt;0)</f>
        <v>0</v>
      </c>
      <c r="U300" s="14" cm="1">
        <f t="array" ref="U300">INT(SUMPRODUCT(--ISNUMBER(SEARCH(climate,C300)))&gt;0)</f>
        <v>0</v>
      </c>
      <c r="V300" s="14" cm="1">
        <f t="array" ref="V300">INT(SUMPRODUCT(--ISNUMBER(SEARCH(abortion,C300)))&gt;0)</f>
        <v>0</v>
      </c>
      <c r="W300" s="14" cm="1">
        <f t="array" ref="W300">INT(SUMPRODUCT(--ISNUMBER(SEARCH(trump,C300)))&gt;0)</f>
        <v>1</v>
      </c>
      <c r="X300" s="14" cm="1">
        <f t="array" ref="X300">INT(SUMPRODUCT(--ISNUMBER(SEARCH(voting,C300)))&gt;0)</f>
        <v>1</v>
      </c>
      <c r="Y300" s="14" cm="1">
        <f t="array" ref="Y300">INT(SUMPRODUCT(--ISNUMBER(SEARCH(democrattrigger,C300)))&gt;0)</f>
        <v>1</v>
      </c>
      <c r="Z300" s="14" cm="1">
        <f t="array" ref="Z300">INT(SUMPRODUCT(--ISNUMBER(SEARCH(bipartisan,C300)))&gt;0)</f>
        <v>0</v>
      </c>
      <c r="AA300" s="14">
        <f t="shared" si="4"/>
        <v>0</v>
      </c>
      <c r="AB300" s="14"/>
      <c r="AC300" s="30" t="s">
        <v>223</v>
      </c>
      <c r="AD300" s="37" t="s">
        <v>223</v>
      </c>
    </row>
    <row r="301" spans="1:30" x14ac:dyDescent="0.25">
      <c r="A301" s="36">
        <v>1764</v>
      </c>
      <c r="B301" s="14" t="s">
        <v>3554</v>
      </c>
      <c r="C301" s="14" t="s">
        <v>3555</v>
      </c>
      <c r="D301" s="17">
        <v>44120</v>
      </c>
      <c r="E301" s="14" t="s">
        <v>30</v>
      </c>
      <c r="F301" s="14">
        <v>703</v>
      </c>
      <c r="G301" s="14">
        <v>202</v>
      </c>
      <c r="H301" s="14">
        <v>8</v>
      </c>
      <c r="I301" s="14">
        <v>4</v>
      </c>
      <c r="J301" s="14" t="s">
        <v>204</v>
      </c>
      <c r="K301" s="14" cm="1">
        <f t="array" ref="K301">INT(SUMPRODUCT(--ISNUMBER(SEARCH(economy,C301)))&gt;0)</f>
        <v>0</v>
      </c>
      <c r="L301" s="14" cm="1">
        <f t="array" ref="L301">INT(SUMPRODUCT(--ISNUMBER(SEARCH(healthcare,C301)))&gt;0)</f>
        <v>0</v>
      </c>
      <c r="M301" s="14" cm="1">
        <f t="array" ref="M301">INT(SUMPRODUCT(--ISNUMBER(SEARCH(supreme,C301)))&gt;0)</f>
        <v>0</v>
      </c>
      <c r="N301" s="14" cm="1">
        <f t="array" ref="N301">INT(SUMPRODUCT(--ISNUMBER(SEARCH(covid,C301)))&gt;0)</f>
        <v>0</v>
      </c>
      <c r="O301" s="14" cm="1">
        <f t="array" ref="O301">INT(SUMPRODUCT(--ISNUMBER(SEARCH(violent,C301)))&gt;0)</f>
        <v>0</v>
      </c>
      <c r="P301" s="14" cm="1">
        <f t="array" ref="P301">INT(SUMPRODUCT(--ISNUMBER(SEARCH(foreign,C301)))&gt;0)</f>
        <v>0</v>
      </c>
      <c r="Q301" s="14" cm="1">
        <f t="array" ref="Q301">INT(SUMPRODUCT(--ISNUMBER(SEARCH(gun,C301)))&gt;0)</f>
        <v>0</v>
      </c>
      <c r="R301" s="14" cm="1">
        <f t="array" ref="R301">INT(SUMPRODUCT(--ISNUMBER(SEARCH(race,C301)))&gt;0)</f>
        <v>0</v>
      </c>
      <c r="S301" s="14" cm="1">
        <f t="array" ref="S301">INT(SUMPRODUCT(--ISNUMBER(SEARCH(immigration,C301)))&gt;0)</f>
        <v>0</v>
      </c>
      <c r="T301" s="14" cm="1">
        <f t="array" ref="T301">INT(SUMPRODUCT(--ISNUMBER(SEARCH(econineq,C302)))&gt;0)</f>
        <v>0</v>
      </c>
      <c r="U301" s="14" cm="1">
        <f t="array" ref="U301">INT(SUMPRODUCT(--ISNUMBER(SEARCH(climate,C301)))&gt;0)</f>
        <v>0</v>
      </c>
      <c r="V301" s="14" cm="1">
        <f t="array" ref="V301">INT(SUMPRODUCT(--ISNUMBER(SEARCH(abortion,C301)))&gt;0)</f>
        <v>0</v>
      </c>
      <c r="W301" s="14" cm="1">
        <f t="array" ref="W301">INT(SUMPRODUCT(--ISNUMBER(SEARCH(trump,C301)))&gt;0)</f>
        <v>0</v>
      </c>
      <c r="X301" s="14" cm="1">
        <f t="array" ref="X301">INT(SUMPRODUCT(--ISNUMBER(SEARCH(voting,C301)))&gt;0)</f>
        <v>1</v>
      </c>
      <c r="Y301" s="14" cm="1">
        <f t="array" ref="Y301">INT(SUMPRODUCT(--ISNUMBER(SEARCH(democrattrigger,C301)))&gt;0)</f>
        <v>1</v>
      </c>
      <c r="Z301" s="14" cm="1">
        <f t="array" ref="Z301">INT(SUMPRODUCT(--ISNUMBER(SEARCH(bipartisan,C301)))&gt;0)</f>
        <v>0</v>
      </c>
      <c r="AA301" s="14">
        <f t="shared" si="4"/>
        <v>0</v>
      </c>
      <c r="AB301" s="14"/>
      <c r="AC301" s="30" t="s">
        <v>223</v>
      </c>
      <c r="AD301" s="37" t="s">
        <v>223</v>
      </c>
    </row>
    <row r="302" spans="1:30" x14ac:dyDescent="0.25">
      <c r="A302" s="36">
        <v>1765</v>
      </c>
      <c r="B302" s="14" t="s">
        <v>3556</v>
      </c>
      <c r="C302" s="14" t="s">
        <v>3557</v>
      </c>
      <c r="D302" s="17">
        <v>44120</v>
      </c>
      <c r="E302" s="14" t="s">
        <v>30</v>
      </c>
      <c r="F302" s="14">
        <v>798</v>
      </c>
      <c r="G302" s="14">
        <v>210</v>
      </c>
      <c r="H302" s="14">
        <v>8</v>
      </c>
      <c r="I302" s="14">
        <v>4</v>
      </c>
      <c r="J302" s="14" t="s">
        <v>204</v>
      </c>
      <c r="K302" s="14" cm="1">
        <f t="array" ref="K302">INT(SUMPRODUCT(--ISNUMBER(SEARCH(economy,C302)))&gt;0)</f>
        <v>0</v>
      </c>
      <c r="L302" s="14" cm="1">
        <f t="array" ref="L302">INT(SUMPRODUCT(--ISNUMBER(SEARCH(healthcare,C302)))&gt;0)</f>
        <v>0</v>
      </c>
      <c r="M302" s="14" cm="1">
        <f t="array" ref="M302">INT(SUMPRODUCT(--ISNUMBER(SEARCH(supreme,C302)))&gt;0)</f>
        <v>1</v>
      </c>
      <c r="N302" s="14" cm="1">
        <f t="array" ref="N302">INT(SUMPRODUCT(--ISNUMBER(SEARCH(covid,C302)))&gt;0)</f>
        <v>0</v>
      </c>
      <c r="O302" s="14" cm="1">
        <f t="array" ref="O302">INT(SUMPRODUCT(--ISNUMBER(SEARCH(violent,C302)))&gt;0)</f>
        <v>0</v>
      </c>
      <c r="P302" s="14" cm="1">
        <f t="array" ref="P302">INT(SUMPRODUCT(--ISNUMBER(SEARCH(foreign,C302)))&gt;0)</f>
        <v>0</v>
      </c>
      <c r="Q302" s="14" cm="1">
        <f t="array" ref="Q302">INT(SUMPRODUCT(--ISNUMBER(SEARCH(gun,C302)))&gt;0)</f>
        <v>0</v>
      </c>
      <c r="R302" s="14" cm="1">
        <f t="array" ref="R302">INT(SUMPRODUCT(--ISNUMBER(SEARCH(race,C302)))&gt;0)</f>
        <v>0</v>
      </c>
      <c r="S302" s="14" cm="1">
        <f t="array" ref="S302">INT(SUMPRODUCT(--ISNUMBER(SEARCH(immigration,C302)))&gt;0)</f>
        <v>0</v>
      </c>
      <c r="T302" s="14" cm="1">
        <f t="array" ref="T302">INT(SUMPRODUCT(--ISNUMBER(SEARCH(econineq,C303)))&gt;0)</f>
        <v>0</v>
      </c>
      <c r="U302" s="14" cm="1">
        <f t="array" ref="U302">INT(SUMPRODUCT(--ISNUMBER(SEARCH(climate,C302)))&gt;0)</f>
        <v>0</v>
      </c>
      <c r="V302" s="14" cm="1">
        <f t="array" ref="V302">INT(SUMPRODUCT(--ISNUMBER(SEARCH(abortion,C302)))&gt;0)</f>
        <v>0</v>
      </c>
      <c r="W302" s="14" cm="1">
        <f t="array" ref="W302">INT(SUMPRODUCT(--ISNUMBER(SEARCH(trump,C302)))&gt;0)</f>
        <v>1</v>
      </c>
      <c r="X302" s="14" cm="1">
        <f t="array" ref="X302">INT(SUMPRODUCT(--ISNUMBER(SEARCH(voting,C302)))&gt;0)</f>
        <v>1</v>
      </c>
      <c r="Y302" s="14" cm="1">
        <f t="array" ref="Y302">INT(SUMPRODUCT(--ISNUMBER(SEARCH(democrattrigger,C302)))&gt;0)</f>
        <v>1</v>
      </c>
      <c r="Z302" s="14" cm="1">
        <f t="array" ref="Z302">INT(SUMPRODUCT(--ISNUMBER(SEARCH(bipartisan,C302)))&gt;0)</f>
        <v>0</v>
      </c>
      <c r="AA302" s="14">
        <f t="shared" si="4"/>
        <v>0</v>
      </c>
      <c r="AB302" s="14"/>
      <c r="AC302" s="30">
        <v>0</v>
      </c>
      <c r="AD302" s="37">
        <v>1</v>
      </c>
    </row>
    <row r="303" spans="1:30" x14ac:dyDescent="0.25">
      <c r="A303" s="36">
        <v>1766</v>
      </c>
      <c r="B303" s="14" t="s">
        <v>3558</v>
      </c>
      <c r="C303" s="14" t="s">
        <v>3559</v>
      </c>
      <c r="D303" s="17">
        <v>44119</v>
      </c>
      <c r="E303" s="14" t="s">
        <v>30</v>
      </c>
      <c r="F303" s="14">
        <v>504</v>
      </c>
      <c r="G303" s="14">
        <v>136</v>
      </c>
      <c r="H303" s="14">
        <v>8</v>
      </c>
      <c r="I303" s="14">
        <v>4</v>
      </c>
      <c r="J303" s="14" t="s">
        <v>204</v>
      </c>
      <c r="K303" s="14" cm="1">
        <f t="array" ref="K303">INT(SUMPRODUCT(--ISNUMBER(SEARCH(economy,C303)))&gt;0)</f>
        <v>0</v>
      </c>
      <c r="L303" s="14" cm="1">
        <f t="array" ref="L303">INT(SUMPRODUCT(--ISNUMBER(SEARCH(healthcare,C303)))&gt;0)</f>
        <v>0</v>
      </c>
      <c r="M303" s="14" cm="1">
        <f t="array" ref="M303">INT(SUMPRODUCT(--ISNUMBER(SEARCH(supreme,C303)))&gt;0)</f>
        <v>0</v>
      </c>
      <c r="N303" s="14" cm="1">
        <f t="array" ref="N303">INT(SUMPRODUCT(--ISNUMBER(SEARCH(covid,C303)))&gt;0)</f>
        <v>0</v>
      </c>
      <c r="O303" s="14" cm="1">
        <f t="array" ref="O303">INT(SUMPRODUCT(--ISNUMBER(SEARCH(violent,C303)))&gt;0)</f>
        <v>0</v>
      </c>
      <c r="P303" s="14" cm="1">
        <f t="array" ref="P303">INT(SUMPRODUCT(--ISNUMBER(SEARCH(foreign,C303)))&gt;0)</f>
        <v>0</v>
      </c>
      <c r="Q303" s="14" cm="1">
        <f t="array" ref="Q303">INT(SUMPRODUCT(--ISNUMBER(SEARCH(gun,C303)))&gt;0)</f>
        <v>0</v>
      </c>
      <c r="R303" s="14" cm="1">
        <f t="array" ref="R303">INT(SUMPRODUCT(--ISNUMBER(SEARCH(race,C303)))&gt;0)</f>
        <v>0</v>
      </c>
      <c r="S303" s="14" cm="1">
        <f t="array" ref="S303">INT(SUMPRODUCT(--ISNUMBER(SEARCH(immigration,C303)))&gt;0)</f>
        <v>0</v>
      </c>
      <c r="T303" s="14" cm="1">
        <f t="array" ref="T303">INT(SUMPRODUCT(--ISNUMBER(SEARCH(econineq,C304)))&gt;0)</f>
        <v>0</v>
      </c>
      <c r="U303" s="14" cm="1">
        <f t="array" ref="U303">INT(SUMPRODUCT(--ISNUMBER(SEARCH(climate,C303)))&gt;0)</f>
        <v>0</v>
      </c>
      <c r="V303" s="14" cm="1">
        <f t="array" ref="V303">INT(SUMPRODUCT(--ISNUMBER(SEARCH(abortion,C303)))&gt;0)</f>
        <v>0</v>
      </c>
      <c r="W303" s="14" cm="1">
        <f t="array" ref="W303">INT(SUMPRODUCT(--ISNUMBER(SEARCH(trump,C303)))&gt;0)</f>
        <v>0</v>
      </c>
      <c r="X303" s="14" cm="1">
        <f t="array" ref="X303">INT(SUMPRODUCT(--ISNUMBER(SEARCH(voting,C303)))&gt;0)</f>
        <v>1</v>
      </c>
      <c r="Y303" s="14" cm="1">
        <f t="array" ref="Y303">INT(SUMPRODUCT(--ISNUMBER(SEARCH(democrattrigger,C303)))&gt;0)</f>
        <v>0</v>
      </c>
      <c r="Z303" s="14" cm="1">
        <f t="array" ref="Z303">INT(SUMPRODUCT(--ISNUMBER(SEARCH(bipartisan,C303)))&gt;0)</f>
        <v>0</v>
      </c>
      <c r="AA303" s="14">
        <f t="shared" si="4"/>
        <v>0</v>
      </c>
      <c r="AB303" s="14"/>
      <c r="AC303" s="30" t="s">
        <v>223</v>
      </c>
      <c r="AD303" s="37" t="s">
        <v>223</v>
      </c>
    </row>
    <row r="304" spans="1:30" x14ac:dyDescent="0.25">
      <c r="A304" s="36">
        <v>1767</v>
      </c>
      <c r="B304" s="14" t="s">
        <v>3560</v>
      </c>
      <c r="C304" s="14" t="s">
        <v>3561</v>
      </c>
      <c r="D304" s="17">
        <v>44119</v>
      </c>
      <c r="E304" s="14" t="s">
        <v>30</v>
      </c>
      <c r="F304" s="14">
        <v>734</v>
      </c>
      <c r="G304" s="14">
        <v>81</v>
      </c>
      <c r="H304" s="14">
        <v>8</v>
      </c>
      <c r="I304" s="14">
        <v>4</v>
      </c>
      <c r="J304" s="14" t="s">
        <v>204</v>
      </c>
      <c r="K304" s="14" cm="1">
        <f t="array" ref="K304">INT(SUMPRODUCT(--ISNUMBER(SEARCH(economy,C304)))&gt;0)</f>
        <v>0</v>
      </c>
      <c r="L304" s="14" cm="1">
        <f t="array" ref="L304">INT(SUMPRODUCT(--ISNUMBER(SEARCH(healthcare,C304)))&gt;0)</f>
        <v>0</v>
      </c>
      <c r="M304" s="14" cm="1">
        <f t="array" ref="M304">INT(SUMPRODUCT(--ISNUMBER(SEARCH(supreme,C304)))&gt;0)</f>
        <v>0</v>
      </c>
      <c r="N304" s="14" cm="1">
        <f t="array" ref="N304">INT(SUMPRODUCT(--ISNUMBER(SEARCH(covid,C304)))&gt;0)</f>
        <v>0</v>
      </c>
      <c r="O304" s="14" cm="1">
        <f t="array" ref="O304">INT(SUMPRODUCT(--ISNUMBER(SEARCH(violent,C304)))&gt;0)</f>
        <v>0</v>
      </c>
      <c r="P304" s="14" cm="1">
        <f t="array" ref="P304">INT(SUMPRODUCT(--ISNUMBER(SEARCH(foreign,C304)))&gt;0)</f>
        <v>0</v>
      </c>
      <c r="Q304" s="14" cm="1">
        <f t="array" ref="Q304">INT(SUMPRODUCT(--ISNUMBER(SEARCH(gun,C304)))&gt;0)</f>
        <v>0</v>
      </c>
      <c r="R304" s="14" cm="1">
        <f t="array" ref="R304">INT(SUMPRODUCT(--ISNUMBER(SEARCH(race,C304)))&gt;0)</f>
        <v>0</v>
      </c>
      <c r="S304" s="14" cm="1">
        <f t="array" ref="S304">INT(SUMPRODUCT(--ISNUMBER(SEARCH(immigration,C304)))&gt;0)</f>
        <v>0</v>
      </c>
      <c r="T304" s="14" cm="1">
        <f t="array" ref="T304">INT(SUMPRODUCT(--ISNUMBER(SEARCH(econineq,C305)))&gt;0)</f>
        <v>0</v>
      </c>
      <c r="U304" s="14" cm="1">
        <f t="array" ref="U304">INT(SUMPRODUCT(--ISNUMBER(SEARCH(climate,C304)))&gt;0)</f>
        <v>0</v>
      </c>
      <c r="V304" s="14" cm="1">
        <f t="array" ref="V304">INT(SUMPRODUCT(--ISNUMBER(SEARCH(abortion,C304)))&gt;0)</f>
        <v>0</v>
      </c>
      <c r="W304" s="14" cm="1">
        <f t="array" ref="W304">INT(SUMPRODUCT(--ISNUMBER(SEARCH(trump,C304)))&gt;0)</f>
        <v>0</v>
      </c>
      <c r="X304" s="14" cm="1">
        <f t="array" ref="X304">INT(SUMPRODUCT(--ISNUMBER(SEARCH(voting,C304)))&gt;0)</f>
        <v>0</v>
      </c>
      <c r="Y304" s="14" cm="1">
        <f t="array" ref="Y304">INT(SUMPRODUCT(--ISNUMBER(SEARCH(democrattrigger,C304)))&gt;0)</f>
        <v>0</v>
      </c>
      <c r="Z304" s="14" cm="1">
        <f t="array" ref="Z304">INT(SUMPRODUCT(--ISNUMBER(SEARCH(bipartisan,C304)))&gt;0)</f>
        <v>0</v>
      </c>
      <c r="AA304" s="14">
        <f t="shared" si="4"/>
        <v>1</v>
      </c>
      <c r="AB304" s="14"/>
      <c r="AC304" s="30" t="s">
        <v>223</v>
      </c>
      <c r="AD304" s="37" t="s">
        <v>223</v>
      </c>
    </row>
    <row r="305" spans="1:30" x14ac:dyDescent="0.25">
      <c r="A305" s="36">
        <v>1768</v>
      </c>
      <c r="B305" s="14" t="s">
        <v>3562</v>
      </c>
      <c r="C305" s="14" t="s">
        <v>3563</v>
      </c>
      <c r="D305" s="17">
        <v>44119</v>
      </c>
      <c r="E305" s="14" t="s">
        <v>30</v>
      </c>
      <c r="F305" s="14">
        <v>498</v>
      </c>
      <c r="G305" s="14">
        <v>188</v>
      </c>
      <c r="H305" s="14">
        <v>8</v>
      </c>
      <c r="I305" s="14">
        <v>4</v>
      </c>
      <c r="J305" s="14" t="s">
        <v>204</v>
      </c>
      <c r="K305" s="14" cm="1">
        <f t="array" ref="K305">INT(SUMPRODUCT(--ISNUMBER(SEARCH(economy,C305)))&gt;0)</f>
        <v>0</v>
      </c>
      <c r="L305" s="14" cm="1">
        <f t="array" ref="L305">INT(SUMPRODUCT(--ISNUMBER(SEARCH(healthcare,C305)))&gt;0)</f>
        <v>0</v>
      </c>
      <c r="M305" s="14" cm="1">
        <f t="array" ref="M305">INT(SUMPRODUCT(--ISNUMBER(SEARCH(supreme,C305)))&gt;0)</f>
        <v>0</v>
      </c>
      <c r="N305" s="14" cm="1">
        <f t="array" ref="N305">INT(SUMPRODUCT(--ISNUMBER(SEARCH(covid,C305)))&gt;0)</f>
        <v>0</v>
      </c>
      <c r="O305" s="14" cm="1">
        <f t="array" ref="O305">INT(SUMPRODUCT(--ISNUMBER(SEARCH(violent,C305)))&gt;0)</f>
        <v>0</v>
      </c>
      <c r="P305" s="14" cm="1">
        <f t="array" ref="P305">INT(SUMPRODUCT(--ISNUMBER(SEARCH(foreign,C305)))&gt;0)</f>
        <v>0</v>
      </c>
      <c r="Q305" s="14" cm="1">
        <f t="array" ref="Q305">INT(SUMPRODUCT(--ISNUMBER(SEARCH(gun,C305)))&gt;0)</f>
        <v>0</v>
      </c>
      <c r="R305" s="14" cm="1">
        <f t="array" ref="R305">INT(SUMPRODUCT(--ISNUMBER(SEARCH(race,C305)))&gt;0)</f>
        <v>0</v>
      </c>
      <c r="S305" s="14" cm="1">
        <f t="array" ref="S305">INT(SUMPRODUCT(--ISNUMBER(SEARCH(immigration,C305)))&gt;0)</f>
        <v>0</v>
      </c>
      <c r="T305" s="14" cm="1">
        <f t="array" ref="T305">INT(SUMPRODUCT(--ISNUMBER(SEARCH(econineq,C306)))&gt;0)</f>
        <v>0</v>
      </c>
      <c r="U305" s="14" cm="1">
        <f t="array" ref="U305">INT(SUMPRODUCT(--ISNUMBER(SEARCH(climate,C305)))&gt;0)</f>
        <v>0</v>
      </c>
      <c r="V305" s="14" cm="1">
        <f t="array" ref="V305">INT(SUMPRODUCT(--ISNUMBER(SEARCH(abortion,C305)))&gt;0)</f>
        <v>0</v>
      </c>
      <c r="W305" s="14" cm="1">
        <f t="array" ref="W305">INT(SUMPRODUCT(--ISNUMBER(SEARCH(trump,C305)))&gt;0)</f>
        <v>0</v>
      </c>
      <c r="X305" s="14" cm="1">
        <f t="array" ref="X305">INT(SUMPRODUCT(--ISNUMBER(SEARCH(voting,C305)))&gt;0)</f>
        <v>1</v>
      </c>
      <c r="Y305" s="14" cm="1">
        <f t="array" ref="Y305">INT(SUMPRODUCT(--ISNUMBER(SEARCH(democrattrigger,C305)))&gt;0)</f>
        <v>0</v>
      </c>
      <c r="Z305" s="14" cm="1">
        <f t="array" ref="Z305">INT(SUMPRODUCT(--ISNUMBER(SEARCH(bipartisan,C305)))&gt;0)</f>
        <v>0</v>
      </c>
      <c r="AA305" s="14">
        <f t="shared" si="4"/>
        <v>0</v>
      </c>
      <c r="AB305" s="14"/>
      <c r="AC305" s="30" t="s">
        <v>223</v>
      </c>
      <c r="AD305" s="37" t="s">
        <v>223</v>
      </c>
    </row>
    <row r="306" spans="1:30" x14ac:dyDescent="0.25">
      <c r="A306" s="36">
        <v>1769</v>
      </c>
      <c r="B306" s="14" t="s">
        <v>3564</v>
      </c>
      <c r="C306" s="14" t="s">
        <v>3565</v>
      </c>
      <c r="D306" s="17">
        <v>44119</v>
      </c>
      <c r="E306" s="14" t="s">
        <v>30</v>
      </c>
      <c r="F306" s="14">
        <v>696</v>
      </c>
      <c r="G306" s="14">
        <v>273</v>
      </c>
      <c r="H306" s="14">
        <v>8</v>
      </c>
      <c r="I306" s="14">
        <v>4</v>
      </c>
      <c r="J306" s="14" t="s">
        <v>204</v>
      </c>
      <c r="K306" s="14" cm="1">
        <f t="array" ref="K306">INT(SUMPRODUCT(--ISNUMBER(SEARCH(economy,C306)))&gt;0)</f>
        <v>0</v>
      </c>
      <c r="L306" s="14" cm="1">
        <f t="array" ref="L306">INT(SUMPRODUCT(--ISNUMBER(SEARCH(healthcare,C306)))&gt;0)</f>
        <v>0</v>
      </c>
      <c r="M306" s="14" cm="1">
        <f t="array" ref="M306">INT(SUMPRODUCT(--ISNUMBER(SEARCH(supreme,C306)))&gt;0)</f>
        <v>0</v>
      </c>
      <c r="N306" s="14" cm="1">
        <f t="array" ref="N306">INT(SUMPRODUCT(--ISNUMBER(SEARCH(covid,C306)))&gt;0)</f>
        <v>0</v>
      </c>
      <c r="O306" s="14" cm="1">
        <f t="array" ref="O306">INT(SUMPRODUCT(--ISNUMBER(SEARCH(violent,C306)))&gt;0)</f>
        <v>0</v>
      </c>
      <c r="P306" s="14" cm="1">
        <f t="array" ref="P306">INT(SUMPRODUCT(--ISNUMBER(SEARCH(foreign,C306)))&gt;0)</f>
        <v>0</v>
      </c>
      <c r="Q306" s="14" cm="1">
        <f t="array" ref="Q306">INT(SUMPRODUCT(--ISNUMBER(SEARCH(gun,C306)))&gt;0)</f>
        <v>0</v>
      </c>
      <c r="R306" s="14" cm="1">
        <f t="array" ref="R306">INT(SUMPRODUCT(--ISNUMBER(SEARCH(race,C306)))&gt;0)</f>
        <v>0</v>
      </c>
      <c r="S306" s="14" cm="1">
        <f t="array" ref="S306">INT(SUMPRODUCT(--ISNUMBER(SEARCH(immigration,C306)))&gt;0)</f>
        <v>0</v>
      </c>
      <c r="T306" s="14" cm="1">
        <f t="array" ref="T306">INT(SUMPRODUCT(--ISNUMBER(SEARCH(econineq,C307)))&gt;0)</f>
        <v>0</v>
      </c>
      <c r="U306" s="14" cm="1">
        <f t="array" ref="U306">INT(SUMPRODUCT(--ISNUMBER(SEARCH(climate,C306)))&gt;0)</f>
        <v>0</v>
      </c>
      <c r="V306" s="14" cm="1">
        <f t="array" ref="V306">INT(SUMPRODUCT(--ISNUMBER(SEARCH(abortion,C306)))&gt;0)</f>
        <v>0</v>
      </c>
      <c r="W306" s="14" cm="1">
        <f t="array" ref="W306">INT(SUMPRODUCT(--ISNUMBER(SEARCH(trump,C306)))&gt;0)</f>
        <v>1</v>
      </c>
      <c r="X306" s="14" cm="1">
        <f t="array" ref="X306">INT(SUMPRODUCT(--ISNUMBER(SEARCH(voting,C306)))&gt;0)</f>
        <v>1</v>
      </c>
      <c r="Y306" s="14" cm="1">
        <f t="array" ref="Y306">INT(SUMPRODUCT(--ISNUMBER(SEARCH(democrattrigger,C306)))&gt;0)</f>
        <v>1</v>
      </c>
      <c r="Z306" s="14" cm="1">
        <f t="array" ref="Z306">INT(SUMPRODUCT(--ISNUMBER(SEARCH(bipartisan,C306)))&gt;0)</f>
        <v>0</v>
      </c>
      <c r="AA306" s="14">
        <f t="shared" si="4"/>
        <v>0</v>
      </c>
      <c r="AB306" s="14"/>
      <c r="AC306" s="30" t="s">
        <v>223</v>
      </c>
      <c r="AD306" s="37" t="s">
        <v>223</v>
      </c>
    </row>
    <row r="307" spans="1:30" x14ac:dyDescent="0.25">
      <c r="A307" s="36">
        <v>1770</v>
      </c>
      <c r="B307" s="14" t="s">
        <v>3566</v>
      </c>
      <c r="C307" s="14" t="s">
        <v>3567</v>
      </c>
      <c r="D307" s="17">
        <v>44119</v>
      </c>
      <c r="E307" s="14" t="s">
        <v>30</v>
      </c>
      <c r="F307" s="14">
        <v>2506</v>
      </c>
      <c r="G307" s="14">
        <v>1031</v>
      </c>
      <c r="H307" s="14">
        <v>8</v>
      </c>
      <c r="I307" s="14">
        <v>4</v>
      </c>
      <c r="J307" s="14" t="s">
        <v>204</v>
      </c>
      <c r="K307" s="14" cm="1">
        <f t="array" ref="K307">INT(SUMPRODUCT(--ISNUMBER(SEARCH(economy,C307)))&gt;0)</f>
        <v>0</v>
      </c>
      <c r="L307" s="14" cm="1">
        <f t="array" ref="L307">INT(SUMPRODUCT(--ISNUMBER(SEARCH(healthcare,C307)))&gt;0)</f>
        <v>1</v>
      </c>
      <c r="M307" s="14" cm="1">
        <f t="array" ref="M307">INT(SUMPRODUCT(--ISNUMBER(SEARCH(supreme,C307)))&gt;0)</f>
        <v>0</v>
      </c>
      <c r="N307" s="14" cm="1">
        <f t="array" ref="N307">INT(SUMPRODUCT(--ISNUMBER(SEARCH(covid,C307)))&gt;0)</f>
        <v>0</v>
      </c>
      <c r="O307" s="14" cm="1">
        <f t="array" ref="O307">INT(SUMPRODUCT(--ISNUMBER(SEARCH(violent,C307)))&gt;0)</f>
        <v>0</v>
      </c>
      <c r="P307" s="14" cm="1">
        <f t="array" ref="P307">INT(SUMPRODUCT(--ISNUMBER(SEARCH(foreign,C307)))&gt;0)</f>
        <v>0</v>
      </c>
      <c r="Q307" s="14" cm="1">
        <f t="array" ref="Q307">INT(SUMPRODUCT(--ISNUMBER(SEARCH(gun,C307)))&gt;0)</f>
        <v>0</v>
      </c>
      <c r="R307" s="14" cm="1">
        <f t="array" ref="R307">INT(SUMPRODUCT(--ISNUMBER(SEARCH(race,C307)))&gt;0)</f>
        <v>0</v>
      </c>
      <c r="S307" s="14" cm="1">
        <f t="array" ref="S307">INT(SUMPRODUCT(--ISNUMBER(SEARCH(immigration,C307)))&gt;0)</f>
        <v>0</v>
      </c>
      <c r="T307" s="14" cm="1">
        <f t="array" ref="T307">INT(SUMPRODUCT(--ISNUMBER(SEARCH(econineq,C308)))&gt;0)</f>
        <v>0</v>
      </c>
      <c r="U307" s="14" cm="1">
        <f t="array" ref="U307">INT(SUMPRODUCT(--ISNUMBER(SEARCH(climate,C307)))&gt;0)</f>
        <v>0</v>
      </c>
      <c r="V307" s="14" cm="1">
        <f t="array" ref="V307">INT(SUMPRODUCT(--ISNUMBER(SEARCH(abortion,C307)))&gt;0)</f>
        <v>0</v>
      </c>
      <c r="W307" s="14" cm="1">
        <f t="array" ref="W307">INT(SUMPRODUCT(--ISNUMBER(SEARCH(trump,C307)))&gt;0)</f>
        <v>1</v>
      </c>
      <c r="X307" s="14" cm="1">
        <f t="array" ref="X307">INT(SUMPRODUCT(--ISNUMBER(SEARCH(voting,C307)))&gt;0)</f>
        <v>1</v>
      </c>
      <c r="Y307" s="14" cm="1">
        <f t="array" ref="Y307">INT(SUMPRODUCT(--ISNUMBER(SEARCH(democrattrigger,C307)))&gt;0)</f>
        <v>1</v>
      </c>
      <c r="Z307" s="14" cm="1">
        <f t="array" ref="Z307">INT(SUMPRODUCT(--ISNUMBER(SEARCH(bipartisan,C307)))&gt;0)</f>
        <v>0</v>
      </c>
      <c r="AA307" s="14">
        <f t="shared" si="4"/>
        <v>0</v>
      </c>
      <c r="AB307" s="14"/>
      <c r="AC307" s="30">
        <v>0</v>
      </c>
      <c r="AD307" s="37">
        <v>1</v>
      </c>
    </row>
    <row r="308" spans="1:30" x14ac:dyDescent="0.25">
      <c r="A308" s="36">
        <v>1771</v>
      </c>
      <c r="B308" s="14" t="s">
        <v>3568</v>
      </c>
      <c r="C308" s="14" t="s">
        <v>3569</v>
      </c>
      <c r="D308" s="17">
        <v>44119</v>
      </c>
      <c r="E308" s="14" t="s">
        <v>30</v>
      </c>
      <c r="F308" s="14">
        <v>339</v>
      </c>
      <c r="G308" s="14">
        <v>133</v>
      </c>
      <c r="H308" s="14">
        <v>8</v>
      </c>
      <c r="I308" s="14">
        <v>4</v>
      </c>
      <c r="J308" s="14" t="s">
        <v>204</v>
      </c>
      <c r="K308" s="14" cm="1">
        <f t="array" ref="K308">INT(SUMPRODUCT(--ISNUMBER(SEARCH(economy,C308)))&gt;0)</f>
        <v>0</v>
      </c>
      <c r="L308" s="14" cm="1">
        <f t="array" ref="L308">INT(SUMPRODUCT(--ISNUMBER(SEARCH(healthcare,C308)))&gt;0)</f>
        <v>0</v>
      </c>
      <c r="M308" s="14" cm="1">
        <f t="array" ref="M308">INT(SUMPRODUCT(--ISNUMBER(SEARCH(supreme,C308)))&gt;0)</f>
        <v>0</v>
      </c>
      <c r="N308" s="14" cm="1">
        <f t="array" ref="N308">INT(SUMPRODUCT(--ISNUMBER(SEARCH(covid,C308)))&gt;0)</f>
        <v>0</v>
      </c>
      <c r="O308" s="14" cm="1">
        <f t="array" ref="O308">INT(SUMPRODUCT(--ISNUMBER(SEARCH(violent,C308)))&gt;0)</f>
        <v>0</v>
      </c>
      <c r="P308" s="14" cm="1">
        <f t="array" ref="P308">INT(SUMPRODUCT(--ISNUMBER(SEARCH(foreign,C308)))&gt;0)</f>
        <v>0</v>
      </c>
      <c r="Q308" s="14" cm="1">
        <f t="array" ref="Q308">INT(SUMPRODUCT(--ISNUMBER(SEARCH(gun,C308)))&gt;0)</f>
        <v>0</v>
      </c>
      <c r="R308" s="14" cm="1">
        <f t="array" ref="R308">INT(SUMPRODUCT(--ISNUMBER(SEARCH(race,C308)))&gt;0)</f>
        <v>0</v>
      </c>
      <c r="S308" s="14" cm="1">
        <f t="array" ref="S308">INT(SUMPRODUCT(--ISNUMBER(SEARCH(immigration,C308)))&gt;0)</f>
        <v>0</v>
      </c>
      <c r="T308" s="14" cm="1">
        <f t="array" ref="T308">INT(SUMPRODUCT(--ISNUMBER(SEARCH(econineq,C309)))&gt;0)</f>
        <v>0</v>
      </c>
      <c r="U308" s="14" cm="1">
        <f t="array" ref="U308">INT(SUMPRODUCT(--ISNUMBER(SEARCH(climate,C308)))&gt;0)</f>
        <v>0</v>
      </c>
      <c r="V308" s="14" cm="1">
        <f t="array" ref="V308">INT(SUMPRODUCT(--ISNUMBER(SEARCH(abortion,C308)))&gt;0)</f>
        <v>0</v>
      </c>
      <c r="W308" s="14" cm="1">
        <f t="array" ref="W308">INT(SUMPRODUCT(--ISNUMBER(SEARCH(trump,C308)))&gt;0)</f>
        <v>0</v>
      </c>
      <c r="X308" s="14" cm="1">
        <f t="array" ref="X308">INT(SUMPRODUCT(--ISNUMBER(SEARCH(voting,C308)))&gt;0)</f>
        <v>1</v>
      </c>
      <c r="Y308" s="14" cm="1">
        <f t="array" ref="Y308">INT(SUMPRODUCT(--ISNUMBER(SEARCH(democrattrigger,C308)))&gt;0)</f>
        <v>0</v>
      </c>
      <c r="Z308" s="14" cm="1">
        <f t="array" ref="Z308">INT(SUMPRODUCT(--ISNUMBER(SEARCH(bipartisan,C308)))&gt;0)</f>
        <v>0</v>
      </c>
      <c r="AA308" s="14">
        <f t="shared" si="4"/>
        <v>0</v>
      </c>
      <c r="AB308" s="14"/>
      <c r="AC308" s="30">
        <v>1</v>
      </c>
      <c r="AD308" s="37">
        <v>0</v>
      </c>
    </row>
    <row r="309" spans="1:30" x14ac:dyDescent="0.25">
      <c r="A309" s="36">
        <v>1772</v>
      </c>
      <c r="B309" s="14" t="s">
        <v>3570</v>
      </c>
      <c r="C309" s="14" t="s">
        <v>3571</v>
      </c>
      <c r="D309" s="17">
        <v>44119</v>
      </c>
      <c r="E309" s="14" t="s">
        <v>30</v>
      </c>
      <c r="F309" s="14">
        <v>4360</v>
      </c>
      <c r="G309" s="14">
        <v>1521</v>
      </c>
      <c r="H309" s="14">
        <v>8</v>
      </c>
      <c r="I309" s="14">
        <v>4</v>
      </c>
      <c r="J309" s="14" t="s">
        <v>204</v>
      </c>
      <c r="K309" s="14" cm="1">
        <f t="array" ref="K309">INT(SUMPRODUCT(--ISNUMBER(SEARCH(economy,C309)))&gt;0)</f>
        <v>0</v>
      </c>
      <c r="L309" s="14" cm="1">
        <f t="array" ref="L309">INT(SUMPRODUCT(--ISNUMBER(SEARCH(healthcare,C309)))&gt;0)</f>
        <v>1</v>
      </c>
      <c r="M309" s="14" cm="1">
        <f t="array" ref="M309">INT(SUMPRODUCT(--ISNUMBER(SEARCH(supreme,C309)))&gt;0)</f>
        <v>0</v>
      </c>
      <c r="N309" s="14" cm="1">
        <f t="array" ref="N309">INT(SUMPRODUCT(--ISNUMBER(SEARCH(covid,C309)))&gt;0)</f>
        <v>0</v>
      </c>
      <c r="O309" s="14" cm="1">
        <f t="array" ref="O309">INT(SUMPRODUCT(--ISNUMBER(SEARCH(violent,C309)))&gt;0)</f>
        <v>0</v>
      </c>
      <c r="P309" s="14" cm="1">
        <f t="array" ref="P309">INT(SUMPRODUCT(--ISNUMBER(SEARCH(foreign,C309)))&gt;0)</f>
        <v>0</v>
      </c>
      <c r="Q309" s="14" cm="1">
        <f t="array" ref="Q309">INT(SUMPRODUCT(--ISNUMBER(SEARCH(gun,C309)))&gt;0)</f>
        <v>0</v>
      </c>
      <c r="R309" s="14" cm="1">
        <f t="array" ref="R309">INT(SUMPRODUCT(--ISNUMBER(SEARCH(race,C309)))&gt;0)</f>
        <v>0</v>
      </c>
      <c r="S309" s="14" cm="1">
        <f t="array" ref="S309">INT(SUMPRODUCT(--ISNUMBER(SEARCH(immigration,C309)))&gt;0)</f>
        <v>0</v>
      </c>
      <c r="T309" s="14" cm="1">
        <f t="array" ref="T309">INT(SUMPRODUCT(--ISNUMBER(SEARCH(econineq,C310)))&gt;0)</f>
        <v>0</v>
      </c>
      <c r="U309" s="14" cm="1">
        <f t="array" ref="U309">INT(SUMPRODUCT(--ISNUMBER(SEARCH(climate,C309)))&gt;0)</f>
        <v>0</v>
      </c>
      <c r="V309" s="14" cm="1">
        <f t="array" ref="V309">INT(SUMPRODUCT(--ISNUMBER(SEARCH(abortion,C309)))&gt;0)</f>
        <v>0</v>
      </c>
      <c r="W309" s="14" cm="1">
        <f t="array" ref="W309">INT(SUMPRODUCT(--ISNUMBER(SEARCH(trump,C309)))&gt;0)</f>
        <v>0</v>
      </c>
      <c r="X309" s="14" cm="1">
        <f t="array" ref="X309">INT(SUMPRODUCT(--ISNUMBER(SEARCH(voting,C309)))&gt;0)</f>
        <v>1</v>
      </c>
      <c r="Y309" s="14" cm="1">
        <f t="array" ref="Y309">INT(SUMPRODUCT(--ISNUMBER(SEARCH(democrattrigger,C309)))&gt;0)</f>
        <v>1</v>
      </c>
      <c r="Z309" s="14" cm="1">
        <f t="array" ref="Z309">INT(SUMPRODUCT(--ISNUMBER(SEARCH(bipartisan,C309)))&gt;0)</f>
        <v>0</v>
      </c>
      <c r="AA309" s="14">
        <f t="shared" si="4"/>
        <v>0</v>
      </c>
      <c r="AB309" s="14"/>
      <c r="AC309" s="30">
        <v>0</v>
      </c>
      <c r="AD309" s="37">
        <v>1</v>
      </c>
    </row>
    <row r="310" spans="1:30" x14ac:dyDescent="0.25">
      <c r="A310" s="36">
        <v>1773</v>
      </c>
      <c r="B310" s="14" t="s">
        <v>3572</v>
      </c>
      <c r="C310" s="14" t="s">
        <v>3573</v>
      </c>
      <c r="D310" s="17">
        <v>44119</v>
      </c>
      <c r="E310" s="14" t="s">
        <v>30</v>
      </c>
      <c r="F310" s="14">
        <v>985</v>
      </c>
      <c r="G310" s="14">
        <v>339</v>
      </c>
      <c r="H310" s="14">
        <v>8</v>
      </c>
      <c r="I310" s="14">
        <v>4</v>
      </c>
      <c r="J310" s="14" t="s">
        <v>204</v>
      </c>
      <c r="K310" s="14" cm="1">
        <f t="array" ref="K310">INT(SUMPRODUCT(--ISNUMBER(SEARCH(economy,C310)))&gt;0)</f>
        <v>1</v>
      </c>
      <c r="L310" s="14" cm="1">
        <f t="array" ref="L310">INT(SUMPRODUCT(--ISNUMBER(SEARCH(healthcare,C310)))&gt;0)</f>
        <v>0</v>
      </c>
      <c r="M310" s="14" cm="1">
        <f t="array" ref="M310">INT(SUMPRODUCT(--ISNUMBER(SEARCH(supreme,C310)))&gt;0)</f>
        <v>0</v>
      </c>
      <c r="N310" s="14" cm="1">
        <f t="array" ref="N310">INT(SUMPRODUCT(--ISNUMBER(SEARCH(covid,C310)))&gt;0)</f>
        <v>0</v>
      </c>
      <c r="O310" s="14" cm="1">
        <f t="array" ref="O310">INT(SUMPRODUCT(--ISNUMBER(SEARCH(violent,C310)))&gt;0)</f>
        <v>0</v>
      </c>
      <c r="P310" s="14" cm="1">
        <f t="array" ref="P310">INT(SUMPRODUCT(--ISNUMBER(SEARCH(foreign,C310)))&gt;0)</f>
        <v>0</v>
      </c>
      <c r="Q310" s="14" cm="1">
        <f t="array" ref="Q310">INT(SUMPRODUCT(--ISNUMBER(SEARCH(gun,C310)))&gt;0)</f>
        <v>0</v>
      </c>
      <c r="R310" s="14" cm="1">
        <f t="array" ref="R310">INT(SUMPRODUCT(--ISNUMBER(SEARCH(race,C310)))&gt;0)</f>
        <v>0</v>
      </c>
      <c r="S310" s="14" cm="1">
        <f t="array" ref="S310">INT(SUMPRODUCT(--ISNUMBER(SEARCH(immigration,C310)))&gt;0)</f>
        <v>0</v>
      </c>
      <c r="T310" s="14" cm="1">
        <f t="array" ref="T310">INT(SUMPRODUCT(--ISNUMBER(SEARCH(econineq,C311)))&gt;0)</f>
        <v>0</v>
      </c>
      <c r="U310" s="14" cm="1">
        <f t="array" ref="U310">INT(SUMPRODUCT(--ISNUMBER(SEARCH(climate,C310)))&gt;0)</f>
        <v>0</v>
      </c>
      <c r="V310" s="14" cm="1">
        <f t="array" ref="V310">INT(SUMPRODUCT(--ISNUMBER(SEARCH(abortion,C310)))&gt;0)</f>
        <v>0</v>
      </c>
      <c r="W310" s="14" cm="1">
        <f t="array" ref="W310">INT(SUMPRODUCT(--ISNUMBER(SEARCH(trump,C310)))&gt;0)</f>
        <v>0</v>
      </c>
      <c r="X310" s="14" cm="1">
        <f t="array" ref="X310">INT(SUMPRODUCT(--ISNUMBER(SEARCH(voting,C310)))&gt;0)</f>
        <v>0</v>
      </c>
      <c r="Y310" s="14" cm="1">
        <f t="array" ref="Y310">INT(SUMPRODUCT(--ISNUMBER(SEARCH(democrattrigger,C310)))&gt;0)</f>
        <v>1</v>
      </c>
      <c r="Z310" s="14" cm="1">
        <f t="array" ref="Z310">INT(SUMPRODUCT(--ISNUMBER(SEARCH(bipartisan,C310)))&gt;0)</f>
        <v>0</v>
      </c>
      <c r="AA310" s="14">
        <f t="shared" si="4"/>
        <v>0</v>
      </c>
      <c r="AB310" s="14"/>
      <c r="AC310" s="30">
        <v>0</v>
      </c>
      <c r="AD310" s="37">
        <v>1</v>
      </c>
    </row>
    <row r="311" spans="1:30" x14ac:dyDescent="0.25">
      <c r="A311" s="36">
        <v>1774</v>
      </c>
      <c r="B311" s="14" t="s">
        <v>3574</v>
      </c>
      <c r="C311" s="14" t="s">
        <v>3575</v>
      </c>
      <c r="D311" s="17">
        <v>44118</v>
      </c>
      <c r="E311" s="14" t="s">
        <v>30</v>
      </c>
      <c r="F311" s="14">
        <v>596</v>
      </c>
      <c r="G311" s="14">
        <v>190</v>
      </c>
      <c r="H311" s="14">
        <v>8</v>
      </c>
      <c r="I311" s="14">
        <v>4</v>
      </c>
      <c r="J311" s="14" t="s">
        <v>204</v>
      </c>
      <c r="K311" s="14" cm="1">
        <f t="array" ref="K311">INT(SUMPRODUCT(--ISNUMBER(SEARCH(economy,C311)))&gt;0)</f>
        <v>0</v>
      </c>
      <c r="L311" s="14" cm="1">
        <f t="array" ref="L311">INT(SUMPRODUCT(--ISNUMBER(SEARCH(healthcare,C311)))&gt;0)</f>
        <v>1</v>
      </c>
      <c r="M311" s="14" cm="1">
        <f t="array" ref="M311">INT(SUMPRODUCT(--ISNUMBER(SEARCH(supreme,C311)))&gt;0)</f>
        <v>0</v>
      </c>
      <c r="N311" s="14" cm="1">
        <f t="array" ref="N311">INT(SUMPRODUCT(--ISNUMBER(SEARCH(covid,C311)))&gt;0)</f>
        <v>0</v>
      </c>
      <c r="O311" s="14" cm="1">
        <f t="array" ref="O311">INT(SUMPRODUCT(--ISNUMBER(SEARCH(violent,C311)))&gt;0)</f>
        <v>0</v>
      </c>
      <c r="P311" s="14" cm="1">
        <f t="array" ref="P311">INT(SUMPRODUCT(--ISNUMBER(SEARCH(foreign,C311)))&gt;0)</f>
        <v>0</v>
      </c>
      <c r="Q311" s="14" cm="1">
        <f t="array" ref="Q311">INT(SUMPRODUCT(--ISNUMBER(SEARCH(gun,C311)))&gt;0)</f>
        <v>0</v>
      </c>
      <c r="R311" s="14" cm="1">
        <f t="array" ref="R311">INT(SUMPRODUCT(--ISNUMBER(SEARCH(race,C311)))&gt;0)</f>
        <v>0</v>
      </c>
      <c r="S311" s="14" cm="1">
        <f t="array" ref="S311">INT(SUMPRODUCT(--ISNUMBER(SEARCH(immigration,C311)))&gt;0)</f>
        <v>0</v>
      </c>
      <c r="T311" s="14" cm="1">
        <f t="array" ref="T311">INT(SUMPRODUCT(--ISNUMBER(SEARCH(econineq,C312)))&gt;0)</f>
        <v>0</v>
      </c>
      <c r="U311" s="14" cm="1">
        <f t="array" ref="U311">INT(SUMPRODUCT(--ISNUMBER(SEARCH(climate,C311)))&gt;0)</f>
        <v>0</v>
      </c>
      <c r="V311" s="14" cm="1">
        <f t="array" ref="V311">INT(SUMPRODUCT(--ISNUMBER(SEARCH(abortion,C311)))&gt;0)</f>
        <v>0</v>
      </c>
      <c r="W311" s="14" cm="1">
        <f t="array" ref="W311">INT(SUMPRODUCT(--ISNUMBER(SEARCH(trump,C311)))&gt;0)</f>
        <v>0</v>
      </c>
      <c r="X311" s="14" cm="1">
        <f t="array" ref="X311">INT(SUMPRODUCT(--ISNUMBER(SEARCH(voting,C311)))&gt;0)</f>
        <v>0</v>
      </c>
      <c r="Y311" s="14" cm="1">
        <f t="array" ref="Y311">INT(SUMPRODUCT(--ISNUMBER(SEARCH(democrattrigger,C311)))&gt;0)</f>
        <v>1</v>
      </c>
      <c r="Z311" s="14" cm="1">
        <f t="array" ref="Z311">INT(SUMPRODUCT(--ISNUMBER(SEARCH(bipartisan,C311)))&gt;0)</f>
        <v>1</v>
      </c>
      <c r="AA311" s="14">
        <f t="shared" si="4"/>
        <v>0</v>
      </c>
      <c r="AB311" s="14"/>
      <c r="AC311" s="30" t="s">
        <v>223</v>
      </c>
      <c r="AD311" s="37" t="s">
        <v>223</v>
      </c>
    </row>
    <row r="312" spans="1:30" x14ac:dyDescent="0.25">
      <c r="A312" s="36">
        <v>1775</v>
      </c>
      <c r="B312" s="14" t="s">
        <v>3576</v>
      </c>
      <c r="C312" s="14" t="s">
        <v>3577</v>
      </c>
      <c r="D312" s="17">
        <v>44118</v>
      </c>
      <c r="E312" s="14" t="s">
        <v>30</v>
      </c>
      <c r="F312" s="14">
        <v>1793</v>
      </c>
      <c r="G312" s="14">
        <v>520</v>
      </c>
      <c r="H312" s="14">
        <v>8</v>
      </c>
      <c r="I312" s="14">
        <v>4</v>
      </c>
      <c r="J312" s="14" t="s">
        <v>204</v>
      </c>
      <c r="K312" s="14" cm="1">
        <f t="array" ref="K312">INT(SUMPRODUCT(--ISNUMBER(SEARCH(economy,C312)))&gt;0)</f>
        <v>0</v>
      </c>
      <c r="L312" s="14" cm="1">
        <f t="array" ref="L312">INT(SUMPRODUCT(--ISNUMBER(SEARCH(healthcare,C312)))&gt;0)</f>
        <v>1</v>
      </c>
      <c r="M312" s="14" cm="1">
        <f t="array" ref="M312">INT(SUMPRODUCT(--ISNUMBER(SEARCH(supreme,C312)))&gt;0)</f>
        <v>0</v>
      </c>
      <c r="N312" s="14" cm="1">
        <f t="array" ref="N312">INT(SUMPRODUCT(--ISNUMBER(SEARCH(covid,C312)))&gt;0)</f>
        <v>0</v>
      </c>
      <c r="O312" s="14" cm="1">
        <f t="array" ref="O312">INT(SUMPRODUCT(--ISNUMBER(SEARCH(violent,C312)))&gt;0)</f>
        <v>0</v>
      </c>
      <c r="P312" s="14" cm="1">
        <f t="array" ref="P312">INT(SUMPRODUCT(--ISNUMBER(SEARCH(foreign,C312)))&gt;0)</f>
        <v>0</v>
      </c>
      <c r="Q312" s="14" cm="1">
        <f t="array" ref="Q312">INT(SUMPRODUCT(--ISNUMBER(SEARCH(gun,C312)))&gt;0)</f>
        <v>0</v>
      </c>
      <c r="R312" s="14" cm="1">
        <f t="array" ref="R312">INT(SUMPRODUCT(--ISNUMBER(SEARCH(race,C312)))&gt;0)</f>
        <v>0</v>
      </c>
      <c r="S312" s="14" cm="1">
        <f t="array" ref="S312">INT(SUMPRODUCT(--ISNUMBER(SEARCH(immigration,C312)))&gt;0)</f>
        <v>0</v>
      </c>
      <c r="T312" s="14" cm="1">
        <f t="array" ref="T312">INT(SUMPRODUCT(--ISNUMBER(SEARCH(econineq,C313)))&gt;0)</f>
        <v>0</v>
      </c>
      <c r="U312" s="14" cm="1">
        <f t="array" ref="U312">INT(SUMPRODUCT(--ISNUMBER(SEARCH(climate,C312)))&gt;0)</f>
        <v>0</v>
      </c>
      <c r="V312" s="14" cm="1">
        <f t="array" ref="V312">INT(SUMPRODUCT(--ISNUMBER(SEARCH(abortion,C312)))&gt;0)</f>
        <v>0</v>
      </c>
      <c r="W312" s="14" cm="1">
        <f t="array" ref="W312">INT(SUMPRODUCT(--ISNUMBER(SEARCH(trump,C312)))&gt;0)</f>
        <v>0</v>
      </c>
      <c r="X312" s="14" cm="1">
        <f t="array" ref="X312">INT(SUMPRODUCT(--ISNUMBER(SEARCH(voting,C312)))&gt;0)</f>
        <v>1</v>
      </c>
      <c r="Y312" s="14" cm="1">
        <f t="array" ref="Y312">INT(SUMPRODUCT(--ISNUMBER(SEARCH(democrattrigger,C312)))&gt;0)</f>
        <v>0</v>
      </c>
      <c r="Z312" s="14" cm="1">
        <f t="array" ref="Z312">INT(SUMPRODUCT(--ISNUMBER(SEARCH(bipartisan,C312)))&gt;0)</f>
        <v>0</v>
      </c>
      <c r="AA312" s="14">
        <f t="shared" si="4"/>
        <v>0</v>
      </c>
      <c r="AB312" s="14"/>
      <c r="AC312" s="30">
        <v>1</v>
      </c>
      <c r="AD312" s="37">
        <v>0</v>
      </c>
    </row>
    <row r="313" spans="1:30" x14ac:dyDescent="0.25">
      <c r="A313" s="36">
        <v>1776</v>
      </c>
      <c r="B313" s="14" t="s">
        <v>3578</v>
      </c>
      <c r="C313" s="14" t="s">
        <v>3579</v>
      </c>
      <c r="D313" s="17">
        <v>44118</v>
      </c>
      <c r="E313" s="14" t="s">
        <v>30</v>
      </c>
      <c r="F313" s="14">
        <v>423</v>
      </c>
      <c r="G313" s="14">
        <v>157</v>
      </c>
      <c r="H313" s="14">
        <v>8</v>
      </c>
      <c r="I313" s="14">
        <v>4</v>
      </c>
      <c r="J313" s="14" t="s">
        <v>204</v>
      </c>
      <c r="K313" s="14" cm="1">
        <f t="array" ref="K313">INT(SUMPRODUCT(--ISNUMBER(SEARCH(economy,C313)))&gt;0)</f>
        <v>0</v>
      </c>
      <c r="L313" s="14" cm="1">
        <f t="array" ref="L313">INT(SUMPRODUCT(--ISNUMBER(SEARCH(healthcare,C313)))&gt;0)</f>
        <v>0</v>
      </c>
      <c r="M313" s="14" cm="1">
        <f t="array" ref="M313">INT(SUMPRODUCT(--ISNUMBER(SEARCH(supreme,C313)))&gt;0)</f>
        <v>0</v>
      </c>
      <c r="N313" s="14" cm="1">
        <f t="array" ref="N313">INT(SUMPRODUCT(--ISNUMBER(SEARCH(covid,C313)))&gt;0)</f>
        <v>1</v>
      </c>
      <c r="O313" s="14" cm="1">
        <f t="array" ref="O313">INT(SUMPRODUCT(--ISNUMBER(SEARCH(violent,C313)))&gt;0)</f>
        <v>0</v>
      </c>
      <c r="P313" s="14" cm="1">
        <f t="array" ref="P313">INT(SUMPRODUCT(--ISNUMBER(SEARCH(foreign,C313)))&gt;0)</f>
        <v>0</v>
      </c>
      <c r="Q313" s="14" cm="1">
        <f t="array" ref="Q313">INT(SUMPRODUCT(--ISNUMBER(SEARCH(gun,C313)))&gt;0)</f>
        <v>0</v>
      </c>
      <c r="R313" s="14" cm="1">
        <f t="array" ref="R313">INT(SUMPRODUCT(--ISNUMBER(SEARCH(race,C313)))&gt;0)</f>
        <v>1</v>
      </c>
      <c r="S313" s="14" cm="1">
        <f t="array" ref="S313">INT(SUMPRODUCT(--ISNUMBER(SEARCH(immigration,C313)))&gt;0)</f>
        <v>0</v>
      </c>
      <c r="T313" s="14" cm="1">
        <f t="array" ref="T313">INT(SUMPRODUCT(--ISNUMBER(SEARCH(econineq,C314)))&gt;0)</f>
        <v>0</v>
      </c>
      <c r="U313" s="14" cm="1">
        <f t="array" ref="U313">INT(SUMPRODUCT(--ISNUMBER(SEARCH(climate,C313)))&gt;0)</f>
        <v>0</v>
      </c>
      <c r="V313" s="14" cm="1">
        <f t="array" ref="V313">INT(SUMPRODUCT(--ISNUMBER(SEARCH(abortion,C313)))&gt;0)</f>
        <v>0</v>
      </c>
      <c r="W313" s="14" cm="1">
        <f t="array" ref="W313">INT(SUMPRODUCT(--ISNUMBER(SEARCH(trump,C313)))&gt;0)</f>
        <v>0</v>
      </c>
      <c r="X313" s="14" cm="1">
        <f t="array" ref="X313">INT(SUMPRODUCT(--ISNUMBER(SEARCH(voting,C313)))&gt;0)</f>
        <v>0</v>
      </c>
      <c r="Y313" s="14" cm="1">
        <f t="array" ref="Y313">INT(SUMPRODUCT(--ISNUMBER(SEARCH(democrattrigger,C313)))&gt;0)</f>
        <v>0</v>
      </c>
      <c r="Z313" s="14" cm="1">
        <f t="array" ref="Z313">INT(SUMPRODUCT(--ISNUMBER(SEARCH(bipartisan,C313)))&gt;0)</f>
        <v>0</v>
      </c>
      <c r="AA313" s="14">
        <f t="shared" si="4"/>
        <v>0</v>
      </c>
      <c r="AB313" s="14"/>
      <c r="AC313" s="30">
        <v>1</v>
      </c>
      <c r="AD313" s="37">
        <v>0</v>
      </c>
    </row>
    <row r="314" spans="1:30" x14ac:dyDescent="0.25">
      <c r="A314" s="36">
        <v>1777</v>
      </c>
      <c r="B314" s="14" t="s">
        <v>3580</v>
      </c>
      <c r="C314" s="14" t="s">
        <v>3581</v>
      </c>
      <c r="D314" s="17">
        <v>44118</v>
      </c>
      <c r="E314" s="14" t="s">
        <v>30</v>
      </c>
      <c r="F314" s="14">
        <v>859</v>
      </c>
      <c r="G314" s="14">
        <v>363</v>
      </c>
      <c r="H314" s="14">
        <v>8</v>
      </c>
      <c r="I314" s="14">
        <v>4</v>
      </c>
      <c r="J314" s="14" t="s">
        <v>204</v>
      </c>
      <c r="K314" s="14" cm="1">
        <f t="array" ref="K314">INT(SUMPRODUCT(--ISNUMBER(SEARCH(economy,C314)))&gt;0)</f>
        <v>0</v>
      </c>
      <c r="L314" s="14" cm="1">
        <f t="array" ref="L314">INT(SUMPRODUCT(--ISNUMBER(SEARCH(healthcare,C314)))&gt;0)</f>
        <v>1</v>
      </c>
      <c r="M314" s="14" cm="1">
        <f t="array" ref="M314">INT(SUMPRODUCT(--ISNUMBER(SEARCH(supreme,C314)))&gt;0)</f>
        <v>1</v>
      </c>
      <c r="N314" s="14" cm="1">
        <f t="array" ref="N314">INT(SUMPRODUCT(--ISNUMBER(SEARCH(covid,C314)))&gt;0)</f>
        <v>0</v>
      </c>
      <c r="O314" s="14" cm="1">
        <f t="array" ref="O314">INT(SUMPRODUCT(--ISNUMBER(SEARCH(violent,C314)))&gt;0)</f>
        <v>0</v>
      </c>
      <c r="P314" s="14" cm="1">
        <f t="array" ref="P314">INT(SUMPRODUCT(--ISNUMBER(SEARCH(foreign,C314)))&gt;0)</f>
        <v>0</v>
      </c>
      <c r="Q314" s="14" cm="1">
        <f t="array" ref="Q314">INT(SUMPRODUCT(--ISNUMBER(SEARCH(gun,C314)))&gt;0)</f>
        <v>0</v>
      </c>
      <c r="R314" s="14" cm="1">
        <f t="array" ref="R314">INT(SUMPRODUCT(--ISNUMBER(SEARCH(race,C314)))&gt;0)</f>
        <v>0</v>
      </c>
      <c r="S314" s="14" cm="1">
        <f t="array" ref="S314">INT(SUMPRODUCT(--ISNUMBER(SEARCH(immigration,C314)))&gt;0)</f>
        <v>0</v>
      </c>
      <c r="T314" s="14" cm="1">
        <f t="array" ref="T314">INT(SUMPRODUCT(--ISNUMBER(SEARCH(econineq,C315)))&gt;0)</f>
        <v>0</v>
      </c>
      <c r="U314" s="14" cm="1">
        <f t="array" ref="U314">INT(SUMPRODUCT(--ISNUMBER(SEARCH(climate,C314)))&gt;0)</f>
        <v>0</v>
      </c>
      <c r="V314" s="14" cm="1">
        <f t="array" ref="V314">INT(SUMPRODUCT(--ISNUMBER(SEARCH(abortion,C314)))&gt;0)</f>
        <v>0</v>
      </c>
      <c r="W314" s="14" cm="1">
        <f t="array" ref="W314">INT(SUMPRODUCT(--ISNUMBER(SEARCH(trump,C314)))&gt;0)</f>
        <v>0</v>
      </c>
      <c r="X314" s="14" cm="1">
        <f t="array" ref="X314">INT(SUMPRODUCT(--ISNUMBER(SEARCH(voting,C314)))&gt;0)</f>
        <v>1</v>
      </c>
      <c r="Y314" s="14" cm="1">
        <f t="array" ref="Y314">INT(SUMPRODUCT(--ISNUMBER(SEARCH(democrattrigger,C314)))&gt;0)</f>
        <v>1</v>
      </c>
      <c r="Z314" s="14" cm="1">
        <f t="array" ref="Z314">INT(SUMPRODUCT(--ISNUMBER(SEARCH(bipartisan,C314)))&gt;0)</f>
        <v>0</v>
      </c>
      <c r="AA314" s="14">
        <f t="shared" si="4"/>
        <v>0</v>
      </c>
      <c r="AB314" s="14"/>
      <c r="AC314" s="30" t="s">
        <v>223</v>
      </c>
      <c r="AD314" s="37" t="s">
        <v>223</v>
      </c>
    </row>
    <row r="315" spans="1:30" x14ac:dyDescent="0.25">
      <c r="A315" s="36">
        <v>1778</v>
      </c>
      <c r="B315" s="14" t="s">
        <v>3582</v>
      </c>
      <c r="C315" s="14" t="s">
        <v>3583</v>
      </c>
      <c r="D315" s="17">
        <v>44118</v>
      </c>
      <c r="E315" s="14" t="s">
        <v>30</v>
      </c>
      <c r="F315" s="14">
        <v>3929</v>
      </c>
      <c r="G315" s="14">
        <v>1857</v>
      </c>
      <c r="H315" s="14">
        <v>8</v>
      </c>
      <c r="I315" s="14">
        <v>4</v>
      </c>
      <c r="J315" s="14" t="s">
        <v>204</v>
      </c>
      <c r="K315" s="14" cm="1">
        <f t="array" ref="K315">INT(SUMPRODUCT(--ISNUMBER(SEARCH(economy,C315)))&gt;0)</f>
        <v>0</v>
      </c>
      <c r="L315" s="14" cm="1">
        <f t="array" ref="L315">INT(SUMPRODUCT(--ISNUMBER(SEARCH(healthcare,C315)))&gt;0)</f>
        <v>0</v>
      </c>
      <c r="M315" s="14" cm="1">
        <f t="array" ref="M315">INT(SUMPRODUCT(--ISNUMBER(SEARCH(supreme,C315)))&gt;0)</f>
        <v>1</v>
      </c>
      <c r="N315" s="14" cm="1">
        <f t="array" ref="N315">INT(SUMPRODUCT(--ISNUMBER(SEARCH(covid,C315)))&gt;0)</f>
        <v>0</v>
      </c>
      <c r="O315" s="14" cm="1">
        <f t="array" ref="O315">INT(SUMPRODUCT(--ISNUMBER(SEARCH(violent,C315)))&gt;0)</f>
        <v>0</v>
      </c>
      <c r="P315" s="14" cm="1">
        <f t="array" ref="P315">INT(SUMPRODUCT(--ISNUMBER(SEARCH(foreign,C315)))&gt;0)</f>
        <v>0</v>
      </c>
      <c r="Q315" s="14" cm="1">
        <f t="array" ref="Q315">INT(SUMPRODUCT(--ISNUMBER(SEARCH(gun,C315)))&gt;0)</f>
        <v>0</v>
      </c>
      <c r="R315" s="14" cm="1">
        <f t="array" ref="R315">INT(SUMPRODUCT(--ISNUMBER(SEARCH(race,C315)))&gt;0)</f>
        <v>0</v>
      </c>
      <c r="S315" s="14" cm="1">
        <f t="array" ref="S315">INT(SUMPRODUCT(--ISNUMBER(SEARCH(immigration,C315)))&gt;0)</f>
        <v>0</v>
      </c>
      <c r="T315" s="14" cm="1">
        <f t="array" ref="T315">INT(SUMPRODUCT(--ISNUMBER(SEARCH(econineq,C316)))&gt;0)</f>
        <v>0</v>
      </c>
      <c r="U315" s="14" cm="1">
        <f t="array" ref="U315">INT(SUMPRODUCT(--ISNUMBER(SEARCH(climate,C315)))&gt;0)</f>
        <v>0</v>
      </c>
      <c r="V315" s="14" cm="1">
        <f t="array" ref="V315">INT(SUMPRODUCT(--ISNUMBER(SEARCH(abortion,C315)))&gt;0)</f>
        <v>0</v>
      </c>
      <c r="W315" s="14" cm="1">
        <f t="array" ref="W315">INT(SUMPRODUCT(--ISNUMBER(SEARCH(trump,C315)))&gt;0)</f>
        <v>1</v>
      </c>
      <c r="X315" s="14" cm="1">
        <f t="array" ref="X315">INT(SUMPRODUCT(--ISNUMBER(SEARCH(voting,C315)))&gt;0)</f>
        <v>1</v>
      </c>
      <c r="Y315" s="14" cm="1">
        <f t="array" ref="Y315">INT(SUMPRODUCT(--ISNUMBER(SEARCH(democrattrigger,C315)))&gt;0)</f>
        <v>1</v>
      </c>
      <c r="Z315" s="14" cm="1">
        <f t="array" ref="Z315">INT(SUMPRODUCT(--ISNUMBER(SEARCH(bipartisan,C315)))&gt;0)</f>
        <v>0</v>
      </c>
      <c r="AA315" s="14">
        <f t="shared" si="4"/>
        <v>0</v>
      </c>
      <c r="AB315" s="14"/>
      <c r="AC315" s="30">
        <v>0</v>
      </c>
      <c r="AD315" s="37">
        <v>1</v>
      </c>
    </row>
    <row r="316" spans="1:30" x14ac:dyDescent="0.25">
      <c r="A316" s="36">
        <v>1779</v>
      </c>
      <c r="B316" s="14" t="s">
        <v>3584</v>
      </c>
      <c r="C316" s="14" t="s">
        <v>3585</v>
      </c>
      <c r="D316" s="17">
        <v>44118</v>
      </c>
      <c r="E316" s="14" t="s">
        <v>30</v>
      </c>
      <c r="F316" s="14">
        <v>2120</v>
      </c>
      <c r="G316" s="14">
        <v>474</v>
      </c>
      <c r="H316" s="14">
        <v>8</v>
      </c>
      <c r="I316" s="14">
        <v>4</v>
      </c>
      <c r="J316" s="14" t="s">
        <v>204</v>
      </c>
      <c r="K316" s="14" cm="1">
        <f t="array" ref="K316">INT(SUMPRODUCT(--ISNUMBER(SEARCH(economy,C316)))&gt;0)</f>
        <v>0</v>
      </c>
      <c r="L316" s="14" cm="1">
        <f t="array" ref="L316">INT(SUMPRODUCT(--ISNUMBER(SEARCH(healthcare,C316)))&gt;0)</f>
        <v>0</v>
      </c>
      <c r="M316" s="14" cm="1">
        <f t="array" ref="M316">INT(SUMPRODUCT(--ISNUMBER(SEARCH(supreme,C316)))&gt;0)</f>
        <v>0</v>
      </c>
      <c r="N316" s="14" cm="1">
        <f t="array" ref="N316">INT(SUMPRODUCT(--ISNUMBER(SEARCH(covid,C316)))&gt;0)</f>
        <v>0</v>
      </c>
      <c r="O316" s="14" cm="1">
        <f t="array" ref="O316">INT(SUMPRODUCT(--ISNUMBER(SEARCH(violent,C316)))&gt;0)</f>
        <v>0</v>
      </c>
      <c r="P316" s="14" cm="1">
        <f t="array" ref="P316">INT(SUMPRODUCT(--ISNUMBER(SEARCH(foreign,C316)))&gt;0)</f>
        <v>0</v>
      </c>
      <c r="Q316" s="14" cm="1">
        <f t="array" ref="Q316">INT(SUMPRODUCT(--ISNUMBER(SEARCH(gun,C316)))&gt;0)</f>
        <v>0</v>
      </c>
      <c r="R316" s="14" cm="1">
        <f t="array" ref="R316">INT(SUMPRODUCT(--ISNUMBER(SEARCH(race,C316)))&gt;0)</f>
        <v>0</v>
      </c>
      <c r="S316" s="14" cm="1">
        <f t="array" ref="S316">INT(SUMPRODUCT(--ISNUMBER(SEARCH(immigration,C316)))&gt;0)</f>
        <v>0</v>
      </c>
      <c r="T316" s="14" cm="1">
        <f t="array" ref="T316">INT(SUMPRODUCT(--ISNUMBER(SEARCH(econineq,C317)))&gt;0)</f>
        <v>0</v>
      </c>
      <c r="U316" s="14" cm="1">
        <f t="array" ref="U316">INT(SUMPRODUCT(--ISNUMBER(SEARCH(climate,C316)))&gt;0)</f>
        <v>0</v>
      </c>
      <c r="V316" s="14" cm="1">
        <f t="array" ref="V316">INT(SUMPRODUCT(--ISNUMBER(SEARCH(abortion,C316)))&gt;0)</f>
        <v>0</v>
      </c>
      <c r="W316" s="14" cm="1">
        <f t="array" ref="W316">INT(SUMPRODUCT(--ISNUMBER(SEARCH(trump,C316)))&gt;0)</f>
        <v>1</v>
      </c>
      <c r="X316" s="14" cm="1">
        <f t="array" ref="X316">INT(SUMPRODUCT(--ISNUMBER(SEARCH(voting,C316)))&gt;0)</f>
        <v>1</v>
      </c>
      <c r="Y316" s="14" cm="1">
        <f t="array" ref="Y316">INT(SUMPRODUCT(--ISNUMBER(SEARCH(democrattrigger,C316)))&gt;0)</f>
        <v>0</v>
      </c>
      <c r="Z316" s="14" cm="1">
        <f t="array" ref="Z316">INT(SUMPRODUCT(--ISNUMBER(SEARCH(bipartisan,C316)))&gt;0)</f>
        <v>0</v>
      </c>
      <c r="AA316" s="14">
        <f t="shared" si="4"/>
        <v>0</v>
      </c>
      <c r="AB316" s="14"/>
      <c r="AC316" s="30">
        <v>1</v>
      </c>
      <c r="AD316" s="37">
        <v>0</v>
      </c>
    </row>
    <row r="317" spans="1:30" x14ac:dyDescent="0.25">
      <c r="A317" s="36">
        <v>1780</v>
      </c>
      <c r="B317" s="14" t="s">
        <v>3586</v>
      </c>
      <c r="C317" s="14" t="s">
        <v>3587</v>
      </c>
      <c r="D317" s="17">
        <v>44117</v>
      </c>
      <c r="E317" s="14" t="s">
        <v>30</v>
      </c>
      <c r="F317" s="14">
        <v>235</v>
      </c>
      <c r="G317" s="14">
        <v>93</v>
      </c>
      <c r="H317" s="14">
        <v>8</v>
      </c>
      <c r="I317" s="14">
        <v>4</v>
      </c>
      <c r="J317" s="14" t="s">
        <v>204</v>
      </c>
      <c r="K317" s="14" cm="1">
        <f t="array" ref="K317">INT(SUMPRODUCT(--ISNUMBER(SEARCH(economy,C317)))&gt;0)</f>
        <v>0</v>
      </c>
      <c r="L317" s="14" cm="1">
        <f t="array" ref="L317">INT(SUMPRODUCT(--ISNUMBER(SEARCH(healthcare,C317)))&gt;0)</f>
        <v>0</v>
      </c>
      <c r="M317" s="14" cm="1">
        <f t="array" ref="M317">INT(SUMPRODUCT(--ISNUMBER(SEARCH(supreme,C317)))&gt;0)</f>
        <v>0</v>
      </c>
      <c r="N317" s="14" cm="1">
        <f t="array" ref="N317">INT(SUMPRODUCT(--ISNUMBER(SEARCH(covid,C317)))&gt;0)</f>
        <v>0</v>
      </c>
      <c r="O317" s="14" cm="1">
        <f t="array" ref="O317">INT(SUMPRODUCT(--ISNUMBER(SEARCH(violent,C317)))&gt;0)</f>
        <v>0</v>
      </c>
      <c r="P317" s="14" cm="1">
        <f t="array" ref="P317">INT(SUMPRODUCT(--ISNUMBER(SEARCH(foreign,C317)))&gt;0)</f>
        <v>0</v>
      </c>
      <c r="Q317" s="14" cm="1">
        <f t="array" ref="Q317">INT(SUMPRODUCT(--ISNUMBER(SEARCH(gun,C317)))&gt;0)</f>
        <v>0</v>
      </c>
      <c r="R317" s="14" cm="1">
        <f t="array" ref="R317">INT(SUMPRODUCT(--ISNUMBER(SEARCH(race,C317)))&gt;0)</f>
        <v>0</v>
      </c>
      <c r="S317" s="14" cm="1">
        <f t="array" ref="S317">INT(SUMPRODUCT(--ISNUMBER(SEARCH(immigration,C317)))&gt;0)</f>
        <v>0</v>
      </c>
      <c r="T317" s="14" cm="1">
        <f t="array" ref="T317">INT(SUMPRODUCT(--ISNUMBER(SEARCH(econineq,C318)))&gt;0)</f>
        <v>0</v>
      </c>
      <c r="U317" s="14" cm="1">
        <f t="array" ref="U317">INT(SUMPRODUCT(--ISNUMBER(SEARCH(climate,C317)))&gt;0)</f>
        <v>0</v>
      </c>
      <c r="V317" s="14" cm="1">
        <f t="array" ref="V317">INT(SUMPRODUCT(--ISNUMBER(SEARCH(abortion,C317)))&gt;0)</f>
        <v>0</v>
      </c>
      <c r="W317" s="14" cm="1">
        <f t="array" ref="W317">INT(SUMPRODUCT(--ISNUMBER(SEARCH(trump,C317)))&gt;0)</f>
        <v>0</v>
      </c>
      <c r="X317" s="14" cm="1">
        <f t="array" ref="X317">INT(SUMPRODUCT(--ISNUMBER(SEARCH(voting,C317)))&gt;0)</f>
        <v>1</v>
      </c>
      <c r="Y317" s="14" cm="1">
        <f t="array" ref="Y317">INT(SUMPRODUCT(--ISNUMBER(SEARCH(democrattrigger,C317)))&gt;0)</f>
        <v>0</v>
      </c>
      <c r="Z317" s="14" cm="1">
        <f t="array" ref="Z317">INT(SUMPRODUCT(--ISNUMBER(SEARCH(bipartisan,C317)))&gt;0)</f>
        <v>0</v>
      </c>
      <c r="AA317" s="14">
        <f t="shared" si="4"/>
        <v>0</v>
      </c>
      <c r="AB317" s="14"/>
      <c r="AC317" s="30">
        <v>1</v>
      </c>
      <c r="AD317" s="37">
        <v>0</v>
      </c>
    </row>
    <row r="318" spans="1:30" x14ac:dyDescent="0.25">
      <c r="A318" s="36">
        <v>1781</v>
      </c>
      <c r="B318" s="14" t="s">
        <v>3588</v>
      </c>
      <c r="C318" s="14" t="s">
        <v>3589</v>
      </c>
      <c r="D318" s="17">
        <v>44117</v>
      </c>
      <c r="E318" s="14" t="s">
        <v>30</v>
      </c>
      <c r="F318" s="14">
        <v>420</v>
      </c>
      <c r="G318" s="14">
        <v>113</v>
      </c>
      <c r="H318" s="14">
        <v>8</v>
      </c>
      <c r="I318" s="14">
        <v>4</v>
      </c>
      <c r="J318" s="14" t="s">
        <v>204</v>
      </c>
      <c r="K318" s="14" cm="1">
        <f t="array" ref="K318">INT(SUMPRODUCT(--ISNUMBER(SEARCH(economy,C318)))&gt;0)</f>
        <v>0</v>
      </c>
      <c r="L318" s="14" cm="1">
        <f t="array" ref="L318">INT(SUMPRODUCT(--ISNUMBER(SEARCH(healthcare,C318)))&gt;0)</f>
        <v>0</v>
      </c>
      <c r="M318" s="14" cm="1">
        <f t="array" ref="M318">INT(SUMPRODUCT(--ISNUMBER(SEARCH(supreme,C318)))&gt;0)</f>
        <v>0</v>
      </c>
      <c r="N318" s="14" cm="1">
        <f t="array" ref="N318">INT(SUMPRODUCT(--ISNUMBER(SEARCH(covid,C318)))&gt;0)</f>
        <v>0</v>
      </c>
      <c r="O318" s="14" cm="1">
        <f t="array" ref="O318">INT(SUMPRODUCT(--ISNUMBER(SEARCH(violent,C318)))&gt;0)</f>
        <v>0</v>
      </c>
      <c r="P318" s="14" cm="1">
        <f t="array" ref="P318">INT(SUMPRODUCT(--ISNUMBER(SEARCH(foreign,C318)))&gt;0)</f>
        <v>0</v>
      </c>
      <c r="Q318" s="14" cm="1">
        <f t="array" ref="Q318">INT(SUMPRODUCT(--ISNUMBER(SEARCH(gun,C318)))&gt;0)</f>
        <v>0</v>
      </c>
      <c r="R318" s="14" cm="1">
        <f t="array" ref="R318">INT(SUMPRODUCT(--ISNUMBER(SEARCH(race,C318)))&gt;0)</f>
        <v>0</v>
      </c>
      <c r="S318" s="14" cm="1">
        <f t="array" ref="S318">INT(SUMPRODUCT(--ISNUMBER(SEARCH(immigration,C318)))&gt;0)</f>
        <v>0</v>
      </c>
      <c r="T318" s="14" cm="1">
        <f t="array" ref="T318">INT(SUMPRODUCT(--ISNUMBER(SEARCH(econineq,C319)))&gt;0)</f>
        <v>0</v>
      </c>
      <c r="U318" s="14" cm="1">
        <f t="array" ref="U318">INT(SUMPRODUCT(--ISNUMBER(SEARCH(climate,C318)))&gt;0)</f>
        <v>0</v>
      </c>
      <c r="V318" s="14" cm="1">
        <f t="array" ref="V318">INT(SUMPRODUCT(--ISNUMBER(SEARCH(abortion,C318)))&gt;0)</f>
        <v>0</v>
      </c>
      <c r="W318" s="14" cm="1">
        <f t="array" ref="W318">INT(SUMPRODUCT(--ISNUMBER(SEARCH(trump,C318)))&gt;0)</f>
        <v>0</v>
      </c>
      <c r="X318" s="14" cm="1">
        <f t="array" ref="X318">INT(SUMPRODUCT(--ISNUMBER(SEARCH(voting,C318)))&gt;0)</f>
        <v>0</v>
      </c>
      <c r="Y318" s="14" cm="1">
        <f t="array" ref="Y318">INT(SUMPRODUCT(--ISNUMBER(SEARCH(democrattrigger,C318)))&gt;0)</f>
        <v>0</v>
      </c>
      <c r="Z318" s="14" cm="1">
        <f t="array" ref="Z318">INT(SUMPRODUCT(--ISNUMBER(SEARCH(bipartisan,C318)))&gt;0)</f>
        <v>0</v>
      </c>
      <c r="AA318" s="14">
        <f t="shared" si="4"/>
        <v>1</v>
      </c>
      <c r="AB318" s="14"/>
      <c r="AC318" s="30" t="s">
        <v>223</v>
      </c>
      <c r="AD318" s="37" t="s">
        <v>223</v>
      </c>
    </row>
    <row r="319" spans="1:30" x14ac:dyDescent="0.25">
      <c r="A319" s="36">
        <v>1782</v>
      </c>
      <c r="B319" s="14" t="s">
        <v>3590</v>
      </c>
      <c r="C319" s="14" t="s">
        <v>3591</v>
      </c>
      <c r="D319" s="17">
        <v>44117</v>
      </c>
      <c r="E319" s="14" t="s">
        <v>30</v>
      </c>
      <c r="F319" s="14">
        <v>594</v>
      </c>
      <c r="G319" s="14">
        <v>224</v>
      </c>
      <c r="H319" s="14">
        <v>8</v>
      </c>
      <c r="I319" s="14">
        <v>4</v>
      </c>
      <c r="J319" s="14" t="s">
        <v>204</v>
      </c>
      <c r="K319" s="14" cm="1">
        <f t="array" ref="K319">INT(SUMPRODUCT(--ISNUMBER(SEARCH(economy,C319)))&gt;0)</f>
        <v>0</v>
      </c>
      <c r="L319" s="14" cm="1">
        <f t="array" ref="L319">INT(SUMPRODUCT(--ISNUMBER(SEARCH(healthcare,C319)))&gt;0)</f>
        <v>1</v>
      </c>
      <c r="M319" s="14" cm="1">
        <f t="array" ref="M319">INT(SUMPRODUCT(--ISNUMBER(SEARCH(supreme,C319)))&gt;0)</f>
        <v>0</v>
      </c>
      <c r="N319" s="14" cm="1">
        <f t="array" ref="N319">INT(SUMPRODUCT(--ISNUMBER(SEARCH(covid,C319)))&gt;0)</f>
        <v>0</v>
      </c>
      <c r="O319" s="14" cm="1">
        <f t="array" ref="O319">INT(SUMPRODUCT(--ISNUMBER(SEARCH(violent,C319)))&gt;0)</f>
        <v>0</v>
      </c>
      <c r="P319" s="14" cm="1">
        <f t="array" ref="P319">INT(SUMPRODUCT(--ISNUMBER(SEARCH(foreign,C319)))&gt;0)</f>
        <v>0</v>
      </c>
      <c r="Q319" s="14" cm="1">
        <f t="array" ref="Q319">INT(SUMPRODUCT(--ISNUMBER(SEARCH(gun,C319)))&gt;0)</f>
        <v>0</v>
      </c>
      <c r="R319" s="14" cm="1">
        <f t="array" ref="R319">INT(SUMPRODUCT(--ISNUMBER(SEARCH(race,C319)))&gt;0)</f>
        <v>0</v>
      </c>
      <c r="S319" s="14" cm="1">
        <f t="array" ref="S319">INT(SUMPRODUCT(--ISNUMBER(SEARCH(immigration,C319)))&gt;0)</f>
        <v>0</v>
      </c>
      <c r="T319" s="14" cm="1">
        <f t="array" ref="T319">INT(SUMPRODUCT(--ISNUMBER(SEARCH(econineq,C320)))&gt;0)</f>
        <v>0</v>
      </c>
      <c r="U319" s="14" cm="1">
        <f t="array" ref="U319">INT(SUMPRODUCT(--ISNUMBER(SEARCH(climate,C319)))&gt;0)</f>
        <v>0</v>
      </c>
      <c r="V319" s="14" cm="1">
        <f t="array" ref="V319">INT(SUMPRODUCT(--ISNUMBER(SEARCH(abortion,C319)))&gt;0)</f>
        <v>0</v>
      </c>
      <c r="W319" s="14" cm="1">
        <f t="array" ref="W319">INT(SUMPRODUCT(--ISNUMBER(SEARCH(trump,C319)))&gt;0)</f>
        <v>0</v>
      </c>
      <c r="X319" s="14" cm="1">
        <f t="array" ref="X319">INT(SUMPRODUCT(--ISNUMBER(SEARCH(voting,C319)))&gt;0)</f>
        <v>1</v>
      </c>
      <c r="Y319" s="14" cm="1">
        <f t="array" ref="Y319">INT(SUMPRODUCT(--ISNUMBER(SEARCH(democrattrigger,C319)))&gt;0)</f>
        <v>1</v>
      </c>
      <c r="Z319" s="14" cm="1">
        <f t="array" ref="Z319">INT(SUMPRODUCT(--ISNUMBER(SEARCH(bipartisan,C319)))&gt;0)</f>
        <v>0</v>
      </c>
      <c r="AA319" s="14">
        <f t="shared" si="4"/>
        <v>0</v>
      </c>
      <c r="AB319" s="14"/>
      <c r="AC319" s="30" t="s">
        <v>223</v>
      </c>
      <c r="AD319" s="37" t="s">
        <v>223</v>
      </c>
    </row>
    <row r="320" spans="1:30" x14ac:dyDescent="0.25">
      <c r="A320" s="36">
        <v>1783</v>
      </c>
      <c r="B320" s="14" t="s">
        <v>3592</v>
      </c>
      <c r="C320" s="14" t="s">
        <v>3593</v>
      </c>
      <c r="D320" s="17">
        <v>44117</v>
      </c>
      <c r="E320" s="14" t="s">
        <v>30</v>
      </c>
      <c r="F320" s="14">
        <v>967</v>
      </c>
      <c r="G320" s="14">
        <v>261</v>
      </c>
      <c r="H320" s="14">
        <v>8</v>
      </c>
      <c r="I320" s="14">
        <v>4</v>
      </c>
      <c r="J320" s="14" t="s">
        <v>204</v>
      </c>
      <c r="K320" s="14" cm="1">
        <f t="array" ref="K320">INT(SUMPRODUCT(--ISNUMBER(SEARCH(economy,C320)))&gt;0)</f>
        <v>0</v>
      </c>
      <c r="L320" s="14" cm="1">
        <f t="array" ref="L320">INT(SUMPRODUCT(--ISNUMBER(SEARCH(healthcare,C320)))&gt;0)</f>
        <v>1</v>
      </c>
      <c r="M320" s="14" cm="1">
        <f t="array" ref="M320">INT(SUMPRODUCT(--ISNUMBER(SEARCH(supreme,C320)))&gt;0)</f>
        <v>0</v>
      </c>
      <c r="N320" s="14" cm="1">
        <f t="array" ref="N320">INT(SUMPRODUCT(--ISNUMBER(SEARCH(covid,C320)))&gt;0)</f>
        <v>0</v>
      </c>
      <c r="O320" s="14" cm="1">
        <f t="array" ref="O320">INT(SUMPRODUCT(--ISNUMBER(SEARCH(violent,C320)))&gt;0)</f>
        <v>0</v>
      </c>
      <c r="P320" s="14" cm="1">
        <f t="array" ref="P320">INT(SUMPRODUCT(--ISNUMBER(SEARCH(foreign,C320)))&gt;0)</f>
        <v>0</v>
      </c>
      <c r="Q320" s="14" cm="1">
        <f t="array" ref="Q320">INT(SUMPRODUCT(--ISNUMBER(SEARCH(gun,C320)))&gt;0)</f>
        <v>0</v>
      </c>
      <c r="R320" s="14" cm="1">
        <f t="array" ref="R320">INT(SUMPRODUCT(--ISNUMBER(SEARCH(race,C320)))&gt;0)</f>
        <v>0</v>
      </c>
      <c r="S320" s="14" cm="1">
        <f t="array" ref="S320">INT(SUMPRODUCT(--ISNUMBER(SEARCH(immigration,C320)))&gt;0)</f>
        <v>0</v>
      </c>
      <c r="T320" s="14" cm="1">
        <f t="array" ref="T320">INT(SUMPRODUCT(--ISNUMBER(SEARCH(econineq,C321)))&gt;0)</f>
        <v>0</v>
      </c>
      <c r="U320" s="14" cm="1">
        <f t="array" ref="U320">INT(SUMPRODUCT(--ISNUMBER(SEARCH(climate,C320)))&gt;0)</f>
        <v>0</v>
      </c>
      <c r="V320" s="14" cm="1">
        <f t="array" ref="V320">INT(SUMPRODUCT(--ISNUMBER(SEARCH(abortion,C320)))&gt;0)</f>
        <v>0</v>
      </c>
      <c r="W320" s="14" cm="1">
        <f t="array" ref="W320">INT(SUMPRODUCT(--ISNUMBER(SEARCH(trump,C320)))&gt;0)</f>
        <v>0</v>
      </c>
      <c r="X320" s="14" cm="1">
        <f t="array" ref="X320">INT(SUMPRODUCT(--ISNUMBER(SEARCH(voting,C320)))&gt;0)</f>
        <v>1</v>
      </c>
      <c r="Y320" s="14" cm="1">
        <f t="array" ref="Y320">INT(SUMPRODUCT(--ISNUMBER(SEARCH(democrattrigger,C320)))&gt;0)</f>
        <v>0</v>
      </c>
      <c r="Z320" s="14" cm="1">
        <f t="array" ref="Z320">INT(SUMPRODUCT(--ISNUMBER(SEARCH(bipartisan,C320)))&gt;0)</f>
        <v>0</v>
      </c>
      <c r="AA320" s="14">
        <f t="shared" si="4"/>
        <v>0</v>
      </c>
      <c r="AB320" s="14"/>
      <c r="AC320" s="30">
        <v>1</v>
      </c>
      <c r="AD320" s="37">
        <v>0</v>
      </c>
    </row>
    <row r="321" spans="1:30" x14ac:dyDescent="0.25">
      <c r="A321" s="36">
        <v>1784</v>
      </c>
      <c r="B321" s="14" t="s">
        <v>3594</v>
      </c>
      <c r="C321" s="14" t="s">
        <v>3595</v>
      </c>
      <c r="D321" s="17">
        <v>44117</v>
      </c>
      <c r="E321" s="14" t="s">
        <v>30</v>
      </c>
      <c r="F321" s="14">
        <v>1347</v>
      </c>
      <c r="G321" s="14">
        <v>612</v>
      </c>
      <c r="H321" s="14">
        <v>8</v>
      </c>
      <c r="I321" s="14">
        <v>4</v>
      </c>
      <c r="J321" s="14" t="s">
        <v>204</v>
      </c>
      <c r="K321" s="14" cm="1">
        <f t="array" ref="K321">INT(SUMPRODUCT(--ISNUMBER(SEARCH(economy,C321)))&gt;0)</f>
        <v>0</v>
      </c>
      <c r="L321" s="14" cm="1">
        <f t="array" ref="L321">INT(SUMPRODUCT(--ISNUMBER(SEARCH(healthcare,C321)))&gt;0)</f>
        <v>1</v>
      </c>
      <c r="M321" s="14" cm="1">
        <f t="array" ref="M321">INT(SUMPRODUCT(--ISNUMBER(SEARCH(supreme,C321)))&gt;0)</f>
        <v>0</v>
      </c>
      <c r="N321" s="14" cm="1">
        <f t="array" ref="N321">INT(SUMPRODUCT(--ISNUMBER(SEARCH(covid,C321)))&gt;0)</f>
        <v>1</v>
      </c>
      <c r="O321" s="14" cm="1">
        <f t="array" ref="O321">INT(SUMPRODUCT(--ISNUMBER(SEARCH(violent,C321)))&gt;0)</f>
        <v>0</v>
      </c>
      <c r="P321" s="14" cm="1">
        <f t="array" ref="P321">INT(SUMPRODUCT(--ISNUMBER(SEARCH(foreign,C321)))&gt;0)</f>
        <v>0</v>
      </c>
      <c r="Q321" s="14" cm="1">
        <f t="array" ref="Q321">INT(SUMPRODUCT(--ISNUMBER(SEARCH(gun,C321)))&gt;0)</f>
        <v>0</v>
      </c>
      <c r="R321" s="14" cm="1">
        <f t="array" ref="R321">INT(SUMPRODUCT(--ISNUMBER(SEARCH(race,C321)))&gt;0)</f>
        <v>0</v>
      </c>
      <c r="S321" s="14" cm="1">
        <f t="array" ref="S321">INT(SUMPRODUCT(--ISNUMBER(SEARCH(immigration,C321)))&gt;0)</f>
        <v>0</v>
      </c>
      <c r="T321" s="14" cm="1">
        <f t="array" ref="T321">INT(SUMPRODUCT(--ISNUMBER(SEARCH(econineq,C322)))&gt;0)</f>
        <v>0</v>
      </c>
      <c r="U321" s="14" cm="1">
        <f t="array" ref="U321">INT(SUMPRODUCT(--ISNUMBER(SEARCH(climate,C321)))&gt;0)</f>
        <v>0</v>
      </c>
      <c r="V321" s="14" cm="1">
        <f t="array" ref="V321">INT(SUMPRODUCT(--ISNUMBER(SEARCH(abortion,C321)))&gt;0)</f>
        <v>0</v>
      </c>
      <c r="W321" s="14" cm="1">
        <f t="array" ref="W321">INT(SUMPRODUCT(--ISNUMBER(SEARCH(trump,C321)))&gt;0)</f>
        <v>0</v>
      </c>
      <c r="X321" s="14" cm="1">
        <f t="array" ref="X321">INT(SUMPRODUCT(--ISNUMBER(SEARCH(voting,C321)))&gt;0)</f>
        <v>0</v>
      </c>
      <c r="Y321" s="14" cm="1">
        <f t="array" ref="Y321">INT(SUMPRODUCT(--ISNUMBER(SEARCH(democrattrigger,C321)))&gt;0)</f>
        <v>1</v>
      </c>
      <c r="Z321" s="14" cm="1">
        <f t="array" ref="Z321">INT(SUMPRODUCT(--ISNUMBER(SEARCH(bipartisan,C321)))&gt;0)</f>
        <v>0</v>
      </c>
      <c r="AA321" s="14">
        <f t="shared" si="4"/>
        <v>0</v>
      </c>
      <c r="AB321" s="14"/>
      <c r="AC321" s="30" t="s">
        <v>223</v>
      </c>
      <c r="AD321" s="37" t="s">
        <v>223</v>
      </c>
    </row>
    <row r="322" spans="1:30" x14ac:dyDescent="0.25">
      <c r="A322" s="36">
        <v>1785</v>
      </c>
      <c r="B322" s="14" t="s">
        <v>3596</v>
      </c>
      <c r="C322" s="14" t="s">
        <v>3597</v>
      </c>
      <c r="D322" s="17">
        <v>44117</v>
      </c>
      <c r="E322" s="14" t="s">
        <v>30</v>
      </c>
      <c r="F322" s="14">
        <v>1124</v>
      </c>
      <c r="G322" s="14">
        <v>620</v>
      </c>
      <c r="H322" s="14">
        <v>8</v>
      </c>
      <c r="I322" s="14">
        <v>4</v>
      </c>
      <c r="J322" s="14" t="s">
        <v>204</v>
      </c>
      <c r="K322" s="14" cm="1">
        <f t="array" ref="K322">INT(SUMPRODUCT(--ISNUMBER(SEARCH(economy,C322)))&gt;0)</f>
        <v>0</v>
      </c>
      <c r="L322" s="14" cm="1">
        <f t="array" ref="L322">INT(SUMPRODUCT(--ISNUMBER(SEARCH(healthcare,C322)))&gt;0)</f>
        <v>1</v>
      </c>
      <c r="M322" s="14" cm="1">
        <f t="array" ref="M322">INT(SUMPRODUCT(--ISNUMBER(SEARCH(supreme,C322)))&gt;0)</f>
        <v>1</v>
      </c>
      <c r="N322" s="14" cm="1">
        <f t="array" ref="N322">INT(SUMPRODUCT(--ISNUMBER(SEARCH(covid,C322)))&gt;0)</f>
        <v>0</v>
      </c>
      <c r="O322" s="14" cm="1">
        <f t="array" ref="O322">INT(SUMPRODUCT(--ISNUMBER(SEARCH(violent,C322)))&gt;0)</f>
        <v>0</v>
      </c>
      <c r="P322" s="14" cm="1">
        <f t="array" ref="P322">INT(SUMPRODUCT(--ISNUMBER(SEARCH(foreign,C322)))&gt;0)</f>
        <v>0</v>
      </c>
      <c r="Q322" s="14" cm="1">
        <f t="array" ref="Q322">INT(SUMPRODUCT(--ISNUMBER(SEARCH(gun,C322)))&gt;0)</f>
        <v>0</v>
      </c>
      <c r="R322" s="14" cm="1">
        <f t="array" ref="R322">INT(SUMPRODUCT(--ISNUMBER(SEARCH(race,C322)))&gt;0)</f>
        <v>0</v>
      </c>
      <c r="S322" s="14" cm="1">
        <f t="array" ref="S322">INT(SUMPRODUCT(--ISNUMBER(SEARCH(immigration,C322)))&gt;0)</f>
        <v>0</v>
      </c>
      <c r="T322" s="14" cm="1">
        <f t="array" ref="T322">INT(SUMPRODUCT(--ISNUMBER(SEARCH(econineq,C323)))&gt;0)</f>
        <v>0</v>
      </c>
      <c r="U322" s="14" cm="1">
        <f t="array" ref="U322">INT(SUMPRODUCT(--ISNUMBER(SEARCH(climate,C322)))&gt;0)</f>
        <v>0</v>
      </c>
      <c r="V322" s="14" cm="1">
        <f t="array" ref="V322">INT(SUMPRODUCT(--ISNUMBER(SEARCH(abortion,C322)))&gt;0)</f>
        <v>0</v>
      </c>
      <c r="W322" s="14" cm="1">
        <f t="array" ref="W322">INT(SUMPRODUCT(--ISNUMBER(SEARCH(trump,C322)))&gt;0)</f>
        <v>1</v>
      </c>
      <c r="X322" s="14" cm="1">
        <f t="array" ref="X322">INT(SUMPRODUCT(--ISNUMBER(SEARCH(voting,C322)))&gt;0)</f>
        <v>1</v>
      </c>
      <c r="Y322" s="14" cm="1">
        <f t="array" ref="Y322">INT(SUMPRODUCT(--ISNUMBER(SEARCH(democrattrigger,C322)))&gt;0)</f>
        <v>1</v>
      </c>
      <c r="Z322" s="14" cm="1">
        <f t="array" ref="Z322">INT(SUMPRODUCT(--ISNUMBER(SEARCH(bipartisan,C322)))&gt;0)</f>
        <v>0</v>
      </c>
      <c r="AA322" s="14">
        <f t="shared" si="4"/>
        <v>0</v>
      </c>
      <c r="AB322" s="14"/>
      <c r="AC322" s="30">
        <v>0</v>
      </c>
      <c r="AD322" s="37">
        <v>1</v>
      </c>
    </row>
    <row r="323" spans="1:30" x14ac:dyDescent="0.25">
      <c r="A323" s="36">
        <v>1786</v>
      </c>
      <c r="B323" s="14" t="s">
        <v>3598</v>
      </c>
      <c r="C323" s="14" t="s">
        <v>3599</v>
      </c>
      <c r="D323" s="17">
        <v>44117</v>
      </c>
      <c r="E323" s="14" t="s">
        <v>70</v>
      </c>
      <c r="F323" s="14">
        <v>2651</v>
      </c>
      <c r="G323" s="14">
        <v>751</v>
      </c>
      <c r="H323" s="14">
        <v>8</v>
      </c>
      <c r="I323" s="14">
        <v>4</v>
      </c>
      <c r="J323" s="14" t="s">
        <v>204</v>
      </c>
      <c r="K323" s="14" cm="1">
        <f t="array" ref="K323">INT(SUMPRODUCT(--ISNUMBER(SEARCH(economy,C323)))&gt;0)</f>
        <v>0</v>
      </c>
      <c r="L323" s="14" cm="1">
        <f t="array" ref="L323">INT(SUMPRODUCT(--ISNUMBER(SEARCH(healthcare,C323)))&gt;0)</f>
        <v>0</v>
      </c>
      <c r="M323" s="14" cm="1">
        <f t="array" ref="M323">INT(SUMPRODUCT(--ISNUMBER(SEARCH(supreme,C323)))&gt;0)</f>
        <v>1</v>
      </c>
      <c r="N323" s="14" cm="1">
        <f t="array" ref="N323">INT(SUMPRODUCT(--ISNUMBER(SEARCH(covid,C323)))&gt;0)</f>
        <v>0</v>
      </c>
      <c r="O323" s="14" cm="1">
        <f t="array" ref="O323">INT(SUMPRODUCT(--ISNUMBER(SEARCH(violent,C323)))&gt;0)</f>
        <v>0</v>
      </c>
      <c r="P323" s="14" cm="1">
        <f t="array" ref="P323">INT(SUMPRODUCT(--ISNUMBER(SEARCH(foreign,C323)))&gt;0)</f>
        <v>0</v>
      </c>
      <c r="Q323" s="14" cm="1">
        <f t="array" ref="Q323">INT(SUMPRODUCT(--ISNUMBER(SEARCH(gun,C323)))&gt;0)</f>
        <v>0</v>
      </c>
      <c r="R323" s="14" cm="1">
        <f t="array" ref="R323">INT(SUMPRODUCT(--ISNUMBER(SEARCH(race,C323)))&gt;0)</f>
        <v>0</v>
      </c>
      <c r="S323" s="14" cm="1">
        <f t="array" ref="S323">INT(SUMPRODUCT(--ISNUMBER(SEARCH(immigration,C323)))&gt;0)</f>
        <v>0</v>
      </c>
      <c r="T323" s="14" cm="1">
        <f t="array" ref="T323">INT(SUMPRODUCT(--ISNUMBER(SEARCH(econineq,C324)))&gt;0)</f>
        <v>0</v>
      </c>
      <c r="U323" s="14" cm="1">
        <f t="array" ref="U323">INT(SUMPRODUCT(--ISNUMBER(SEARCH(climate,C323)))&gt;0)</f>
        <v>0</v>
      </c>
      <c r="V323" s="14" cm="1">
        <f t="array" ref="V323">INT(SUMPRODUCT(--ISNUMBER(SEARCH(abortion,C323)))&gt;0)</f>
        <v>0</v>
      </c>
      <c r="W323" s="14" cm="1">
        <f t="array" ref="W323">INT(SUMPRODUCT(--ISNUMBER(SEARCH(trump,C323)))&gt;0)</f>
        <v>1</v>
      </c>
      <c r="X323" s="14" cm="1">
        <f t="array" ref="X323">INT(SUMPRODUCT(--ISNUMBER(SEARCH(voting,C323)))&gt;0)</f>
        <v>0</v>
      </c>
      <c r="Y323" s="14" cm="1">
        <f t="array" ref="Y323">INT(SUMPRODUCT(--ISNUMBER(SEARCH(democrattrigger,C323)))&gt;0)</f>
        <v>1</v>
      </c>
      <c r="Z323" s="14" cm="1">
        <f t="array" ref="Z323">INT(SUMPRODUCT(--ISNUMBER(SEARCH(bipartisan,C323)))&gt;0)</f>
        <v>0</v>
      </c>
      <c r="AA323" s="14">
        <f t="shared" ref="AA323:AA386" si="5">INT(IF(COUNTIF(K323:Z323,1)=0,"1","0"))</f>
        <v>0</v>
      </c>
      <c r="AB323" s="14"/>
      <c r="AC323" s="30" t="s">
        <v>223</v>
      </c>
      <c r="AD323" s="37" t="s">
        <v>223</v>
      </c>
    </row>
    <row r="324" spans="1:30" x14ac:dyDescent="0.25">
      <c r="A324" s="36">
        <v>1787</v>
      </c>
      <c r="B324" s="14" t="s">
        <v>3600</v>
      </c>
      <c r="C324" s="14" t="s">
        <v>3601</v>
      </c>
      <c r="D324" s="17">
        <v>44117</v>
      </c>
      <c r="E324" s="14" t="s">
        <v>70</v>
      </c>
      <c r="F324" s="14">
        <v>1969</v>
      </c>
      <c r="G324" s="14">
        <v>888</v>
      </c>
      <c r="H324" s="14">
        <v>8</v>
      </c>
      <c r="I324" s="14">
        <v>4</v>
      </c>
      <c r="J324" s="14" t="s">
        <v>204</v>
      </c>
      <c r="K324" s="14" cm="1">
        <f t="array" ref="K324">INT(SUMPRODUCT(--ISNUMBER(SEARCH(economy,C324)))&gt;0)</f>
        <v>0</v>
      </c>
      <c r="L324" s="14" cm="1">
        <f t="array" ref="L324">INT(SUMPRODUCT(--ISNUMBER(SEARCH(healthcare,C324)))&gt;0)</f>
        <v>0</v>
      </c>
      <c r="M324" s="14" cm="1">
        <f t="array" ref="M324">INT(SUMPRODUCT(--ISNUMBER(SEARCH(supreme,C324)))&gt;0)</f>
        <v>0</v>
      </c>
      <c r="N324" s="14" cm="1">
        <f t="array" ref="N324">INT(SUMPRODUCT(--ISNUMBER(SEARCH(covid,C324)))&gt;0)</f>
        <v>0</v>
      </c>
      <c r="O324" s="14" cm="1">
        <f t="array" ref="O324">INT(SUMPRODUCT(--ISNUMBER(SEARCH(violent,C324)))&gt;0)</f>
        <v>0</v>
      </c>
      <c r="P324" s="14" cm="1">
        <f t="array" ref="P324">INT(SUMPRODUCT(--ISNUMBER(SEARCH(foreign,C324)))&gt;0)</f>
        <v>0</v>
      </c>
      <c r="Q324" s="14" cm="1">
        <f t="array" ref="Q324">INT(SUMPRODUCT(--ISNUMBER(SEARCH(gun,C324)))&gt;0)</f>
        <v>0</v>
      </c>
      <c r="R324" s="14" cm="1">
        <f t="array" ref="R324">INT(SUMPRODUCT(--ISNUMBER(SEARCH(race,C324)))&gt;0)</f>
        <v>0</v>
      </c>
      <c r="S324" s="14" cm="1">
        <f t="array" ref="S324">INT(SUMPRODUCT(--ISNUMBER(SEARCH(immigration,C324)))&gt;0)</f>
        <v>0</v>
      </c>
      <c r="T324" s="14" cm="1">
        <f t="array" ref="T324">INT(SUMPRODUCT(--ISNUMBER(SEARCH(econineq,C325)))&gt;0)</f>
        <v>0</v>
      </c>
      <c r="U324" s="14" cm="1">
        <f t="array" ref="U324">INT(SUMPRODUCT(--ISNUMBER(SEARCH(climate,C324)))&gt;0)</f>
        <v>0</v>
      </c>
      <c r="V324" s="14" cm="1">
        <f t="array" ref="V324">INT(SUMPRODUCT(--ISNUMBER(SEARCH(abortion,C324)))&gt;0)</f>
        <v>0</v>
      </c>
      <c r="W324" s="14" cm="1">
        <f t="array" ref="W324">INT(SUMPRODUCT(--ISNUMBER(SEARCH(trump,C324)))&gt;0)</f>
        <v>0</v>
      </c>
      <c r="X324" s="14" cm="1">
        <f t="array" ref="X324">INT(SUMPRODUCT(--ISNUMBER(SEARCH(voting,C324)))&gt;0)</f>
        <v>1</v>
      </c>
      <c r="Y324" s="14" cm="1">
        <f t="array" ref="Y324">INT(SUMPRODUCT(--ISNUMBER(SEARCH(democrattrigger,C324)))&gt;0)</f>
        <v>1</v>
      </c>
      <c r="Z324" s="14" cm="1">
        <f t="array" ref="Z324">INT(SUMPRODUCT(--ISNUMBER(SEARCH(bipartisan,C324)))&gt;0)</f>
        <v>0</v>
      </c>
      <c r="AA324" s="14">
        <f t="shared" si="5"/>
        <v>0</v>
      </c>
      <c r="AB324" s="14"/>
      <c r="AC324" s="30">
        <v>1</v>
      </c>
      <c r="AD324" s="37">
        <v>0</v>
      </c>
    </row>
    <row r="325" spans="1:30" x14ac:dyDescent="0.25">
      <c r="A325" s="36">
        <v>1788</v>
      </c>
      <c r="B325" s="14" t="s">
        <v>3602</v>
      </c>
      <c r="C325" s="14" t="s">
        <v>3603</v>
      </c>
      <c r="D325" s="17">
        <v>44117</v>
      </c>
      <c r="E325" s="14" t="s">
        <v>70</v>
      </c>
      <c r="F325" s="14">
        <v>1164</v>
      </c>
      <c r="G325" s="14">
        <v>519</v>
      </c>
      <c r="H325" s="14">
        <v>8</v>
      </c>
      <c r="I325" s="14">
        <v>4</v>
      </c>
      <c r="J325" s="14" t="s">
        <v>204</v>
      </c>
      <c r="K325" s="14" cm="1">
        <f t="array" ref="K325">INT(SUMPRODUCT(--ISNUMBER(SEARCH(economy,C325)))&gt;0)</f>
        <v>0</v>
      </c>
      <c r="L325" s="14" cm="1">
        <f t="array" ref="L325">INT(SUMPRODUCT(--ISNUMBER(SEARCH(healthcare,C325)))&gt;0)</f>
        <v>1</v>
      </c>
      <c r="M325" s="14" cm="1">
        <f t="array" ref="M325">INT(SUMPRODUCT(--ISNUMBER(SEARCH(supreme,C325)))&gt;0)</f>
        <v>0</v>
      </c>
      <c r="N325" s="14" cm="1">
        <f t="array" ref="N325">INT(SUMPRODUCT(--ISNUMBER(SEARCH(covid,C325)))&gt;0)</f>
        <v>0</v>
      </c>
      <c r="O325" s="14" cm="1">
        <f t="array" ref="O325">INT(SUMPRODUCT(--ISNUMBER(SEARCH(violent,C325)))&gt;0)</f>
        <v>0</v>
      </c>
      <c r="P325" s="14" cm="1">
        <f t="array" ref="P325">INT(SUMPRODUCT(--ISNUMBER(SEARCH(foreign,C325)))&gt;0)</f>
        <v>0</v>
      </c>
      <c r="Q325" s="14" cm="1">
        <f t="array" ref="Q325">INT(SUMPRODUCT(--ISNUMBER(SEARCH(gun,C325)))&gt;0)</f>
        <v>1</v>
      </c>
      <c r="R325" s="14" cm="1">
        <f t="array" ref="R325">INT(SUMPRODUCT(--ISNUMBER(SEARCH(race,C325)))&gt;0)</f>
        <v>0</v>
      </c>
      <c r="S325" s="14" cm="1">
        <f t="array" ref="S325">INT(SUMPRODUCT(--ISNUMBER(SEARCH(immigration,C325)))&gt;0)</f>
        <v>0</v>
      </c>
      <c r="T325" s="14" cm="1">
        <f t="array" ref="T325">INT(SUMPRODUCT(--ISNUMBER(SEARCH(econineq,C326)))&gt;0)</f>
        <v>0</v>
      </c>
      <c r="U325" s="14" cm="1">
        <f t="array" ref="U325">INT(SUMPRODUCT(--ISNUMBER(SEARCH(climate,C325)))&gt;0)</f>
        <v>0</v>
      </c>
      <c r="V325" s="14" cm="1">
        <f t="array" ref="V325">INT(SUMPRODUCT(--ISNUMBER(SEARCH(abortion,C325)))&gt;0)</f>
        <v>0</v>
      </c>
      <c r="W325" s="14" cm="1">
        <f t="array" ref="W325">INT(SUMPRODUCT(--ISNUMBER(SEARCH(trump,C325)))&gt;0)</f>
        <v>0</v>
      </c>
      <c r="X325" s="14" cm="1">
        <f t="array" ref="X325">INT(SUMPRODUCT(--ISNUMBER(SEARCH(voting,C325)))&gt;0)</f>
        <v>1</v>
      </c>
      <c r="Y325" s="14" cm="1">
        <f t="array" ref="Y325">INT(SUMPRODUCT(--ISNUMBER(SEARCH(democrattrigger,C325)))&gt;0)</f>
        <v>1</v>
      </c>
      <c r="Z325" s="14" cm="1">
        <f t="array" ref="Z325">INT(SUMPRODUCT(--ISNUMBER(SEARCH(bipartisan,C325)))&gt;0)</f>
        <v>0</v>
      </c>
      <c r="AA325" s="14">
        <f t="shared" si="5"/>
        <v>0</v>
      </c>
      <c r="AB325" s="14"/>
      <c r="AC325" s="30">
        <v>1</v>
      </c>
      <c r="AD325" s="37">
        <v>0</v>
      </c>
    </row>
    <row r="326" spans="1:30" x14ac:dyDescent="0.25">
      <c r="A326" s="36">
        <v>1789</v>
      </c>
      <c r="B326" s="14" t="s">
        <v>3604</v>
      </c>
      <c r="C326" s="14" t="s">
        <v>3605</v>
      </c>
      <c r="D326" s="17">
        <v>44117</v>
      </c>
      <c r="E326" s="14" t="s">
        <v>70</v>
      </c>
      <c r="F326" s="14">
        <v>1206</v>
      </c>
      <c r="G326" s="14">
        <v>504</v>
      </c>
      <c r="H326" s="14">
        <v>8</v>
      </c>
      <c r="I326" s="14">
        <v>4</v>
      </c>
      <c r="J326" s="14" t="s">
        <v>204</v>
      </c>
      <c r="K326" s="14" cm="1">
        <f t="array" ref="K326">INT(SUMPRODUCT(--ISNUMBER(SEARCH(economy,C326)))&gt;0)</f>
        <v>0</v>
      </c>
      <c r="L326" s="14" cm="1">
        <f t="array" ref="L326">INT(SUMPRODUCT(--ISNUMBER(SEARCH(healthcare,C326)))&gt;0)</f>
        <v>0</v>
      </c>
      <c r="M326" s="14" cm="1">
        <f t="array" ref="M326">INT(SUMPRODUCT(--ISNUMBER(SEARCH(supreme,C326)))&gt;0)</f>
        <v>0</v>
      </c>
      <c r="N326" s="14" cm="1">
        <f t="array" ref="N326">INT(SUMPRODUCT(--ISNUMBER(SEARCH(covid,C326)))&gt;0)</f>
        <v>0</v>
      </c>
      <c r="O326" s="14" cm="1">
        <f t="array" ref="O326">INT(SUMPRODUCT(--ISNUMBER(SEARCH(violent,C326)))&gt;0)</f>
        <v>0</v>
      </c>
      <c r="P326" s="14" cm="1">
        <f t="array" ref="P326">INT(SUMPRODUCT(--ISNUMBER(SEARCH(foreign,C326)))&gt;0)</f>
        <v>0</v>
      </c>
      <c r="Q326" s="14" cm="1">
        <f t="array" ref="Q326">INT(SUMPRODUCT(--ISNUMBER(SEARCH(gun,C326)))&gt;0)</f>
        <v>0</v>
      </c>
      <c r="R326" s="14" cm="1">
        <f t="array" ref="R326">INT(SUMPRODUCT(--ISNUMBER(SEARCH(race,C326)))&gt;0)</f>
        <v>0</v>
      </c>
      <c r="S326" s="14" cm="1">
        <f t="array" ref="S326">INT(SUMPRODUCT(--ISNUMBER(SEARCH(immigration,C326)))&gt;0)</f>
        <v>0</v>
      </c>
      <c r="T326" s="14" cm="1">
        <f t="array" ref="T326">INT(SUMPRODUCT(--ISNUMBER(SEARCH(econineq,C327)))&gt;0)</f>
        <v>0</v>
      </c>
      <c r="U326" s="14" cm="1">
        <f t="array" ref="U326">INT(SUMPRODUCT(--ISNUMBER(SEARCH(climate,C326)))&gt;0)</f>
        <v>0</v>
      </c>
      <c r="V326" s="14" cm="1">
        <f t="array" ref="V326">INT(SUMPRODUCT(--ISNUMBER(SEARCH(abortion,C326)))&gt;0)</f>
        <v>1</v>
      </c>
      <c r="W326" s="14" cm="1">
        <f t="array" ref="W326">INT(SUMPRODUCT(--ISNUMBER(SEARCH(trump,C326)))&gt;0)</f>
        <v>0</v>
      </c>
      <c r="X326" s="14" cm="1">
        <f t="array" ref="X326">INT(SUMPRODUCT(--ISNUMBER(SEARCH(voting,C326)))&gt;0)</f>
        <v>1</v>
      </c>
      <c r="Y326" s="14" cm="1">
        <f t="array" ref="Y326">INT(SUMPRODUCT(--ISNUMBER(SEARCH(democrattrigger,C326)))&gt;0)</f>
        <v>1</v>
      </c>
      <c r="Z326" s="14" cm="1">
        <f t="array" ref="Z326">INT(SUMPRODUCT(--ISNUMBER(SEARCH(bipartisan,C326)))&gt;0)</f>
        <v>0</v>
      </c>
      <c r="AA326" s="14">
        <f t="shared" si="5"/>
        <v>0</v>
      </c>
      <c r="AB326" s="14"/>
      <c r="AC326" s="30">
        <v>1</v>
      </c>
      <c r="AD326" s="37">
        <v>0</v>
      </c>
    </row>
    <row r="327" spans="1:30" x14ac:dyDescent="0.25">
      <c r="A327" s="36">
        <v>1790</v>
      </c>
      <c r="B327" s="14" t="s">
        <v>3606</v>
      </c>
      <c r="C327" s="14" t="s">
        <v>3607</v>
      </c>
      <c r="D327" s="17">
        <v>44117</v>
      </c>
      <c r="E327" s="14" t="s">
        <v>30</v>
      </c>
      <c r="F327" s="14">
        <v>26460</v>
      </c>
      <c r="G327" s="14">
        <v>10713</v>
      </c>
      <c r="H327" s="14">
        <v>8</v>
      </c>
      <c r="I327" s="14">
        <v>4</v>
      </c>
      <c r="J327" s="14" t="s">
        <v>204</v>
      </c>
      <c r="K327" s="14" cm="1">
        <f t="array" ref="K327">INT(SUMPRODUCT(--ISNUMBER(SEARCH(economy,C327)))&gt;0)</f>
        <v>0</v>
      </c>
      <c r="L327" s="14" cm="1">
        <f t="array" ref="L327">INT(SUMPRODUCT(--ISNUMBER(SEARCH(healthcare,C327)))&gt;0)</f>
        <v>0</v>
      </c>
      <c r="M327" s="14" cm="1">
        <f t="array" ref="M327">INT(SUMPRODUCT(--ISNUMBER(SEARCH(supreme,C327)))&gt;0)</f>
        <v>1</v>
      </c>
      <c r="N327" s="14" cm="1">
        <f t="array" ref="N327">INT(SUMPRODUCT(--ISNUMBER(SEARCH(covid,C327)))&gt;0)</f>
        <v>0</v>
      </c>
      <c r="O327" s="14" cm="1">
        <f t="array" ref="O327">INT(SUMPRODUCT(--ISNUMBER(SEARCH(violent,C327)))&gt;0)</f>
        <v>0</v>
      </c>
      <c r="P327" s="14" cm="1">
        <f t="array" ref="P327">INT(SUMPRODUCT(--ISNUMBER(SEARCH(foreign,C327)))&gt;0)</f>
        <v>0</v>
      </c>
      <c r="Q327" s="14" cm="1">
        <f t="array" ref="Q327">INT(SUMPRODUCT(--ISNUMBER(SEARCH(gun,C327)))&gt;0)</f>
        <v>0</v>
      </c>
      <c r="R327" s="14" cm="1">
        <f t="array" ref="R327">INT(SUMPRODUCT(--ISNUMBER(SEARCH(race,C327)))&gt;0)</f>
        <v>0</v>
      </c>
      <c r="S327" s="14" cm="1">
        <f t="array" ref="S327">INT(SUMPRODUCT(--ISNUMBER(SEARCH(immigration,C327)))&gt;0)</f>
        <v>0</v>
      </c>
      <c r="T327" s="14" cm="1">
        <f t="array" ref="T327">INT(SUMPRODUCT(--ISNUMBER(SEARCH(econineq,C328)))&gt;0)</f>
        <v>0</v>
      </c>
      <c r="U327" s="14" cm="1">
        <f t="array" ref="U327">INT(SUMPRODUCT(--ISNUMBER(SEARCH(climate,C327)))&gt;0)</f>
        <v>0</v>
      </c>
      <c r="V327" s="14" cm="1">
        <f t="array" ref="V327">INT(SUMPRODUCT(--ISNUMBER(SEARCH(abortion,C327)))&gt;0)</f>
        <v>0</v>
      </c>
      <c r="W327" s="14" cm="1">
        <f t="array" ref="W327">INT(SUMPRODUCT(--ISNUMBER(SEARCH(trump,C327)))&gt;0)</f>
        <v>1</v>
      </c>
      <c r="X327" s="14" cm="1">
        <f t="array" ref="X327">INT(SUMPRODUCT(--ISNUMBER(SEARCH(voting,C327)))&gt;0)</f>
        <v>0</v>
      </c>
      <c r="Y327" s="14" cm="1">
        <f t="array" ref="Y327">INT(SUMPRODUCT(--ISNUMBER(SEARCH(democrattrigger,C327)))&gt;0)</f>
        <v>1</v>
      </c>
      <c r="Z327" s="14" cm="1">
        <f t="array" ref="Z327">INT(SUMPRODUCT(--ISNUMBER(SEARCH(bipartisan,C327)))&gt;0)</f>
        <v>0</v>
      </c>
      <c r="AA327" s="14">
        <f t="shared" si="5"/>
        <v>0</v>
      </c>
      <c r="AB327" s="14"/>
      <c r="AC327" s="30" t="s">
        <v>223</v>
      </c>
      <c r="AD327" s="37" t="s">
        <v>223</v>
      </c>
    </row>
    <row r="328" spans="1:30" x14ac:dyDescent="0.25">
      <c r="A328" s="36">
        <v>1791</v>
      </c>
      <c r="B328" s="14" t="s">
        <v>3608</v>
      </c>
      <c r="C328" s="14" t="s">
        <v>3609</v>
      </c>
      <c r="D328" s="17">
        <v>44117</v>
      </c>
      <c r="E328" s="14" t="s">
        <v>30</v>
      </c>
      <c r="F328" s="14">
        <v>882</v>
      </c>
      <c r="G328" s="14">
        <v>318</v>
      </c>
      <c r="H328" s="14">
        <v>8</v>
      </c>
      <c r="I328" s="14">
        <v>4</v>
      </c>
      <c r="J328" s="14" t="s">
        <v>204</v>
      </c>
      <c r="K328" s="14" cm="1">
        <f t="array" ref="K328">INT(SUMPRODUCT(--ISNUMBER(SEARCH(economy,C328)))&gt;0)</f>
        <v>0</v>
      </c>
      <c r="L328" s="14" cm="1">
        <f t="array" ref="L328">INT(SUMPRODUCT(--ISNUMBER(SEARCH(healthcare,C328)))&gt;0)</f>
        <v>0</v>
      </c>
      <c r="M328" s="14" cm="1">
        <f t="array" ref="M328">INT(SUMPRODUCT(--ISNUMBER(SEARCH(supreme,C328)))&gt;0)</f>
        <v>0</v>
      </c>
      <c r="N328" s="14" cm="1">
        <f t="array" ref="N328">INT(SUMPRODUCT(--ISNUMBER(SEARCH(covid,C328)))&gt;0)</f>
        <v>0</v>
      </c>
      <c r="O328" s="14" cm="1">
        <f t="array" ref="O328">INT(SUMPRODUCT(--ISNUMBER(SEARCH(violent,C328)))&gt;0)</f>
        <v>0</v>
      </c>
      <c r="P328" s="14" cm="1">
        <f t="array" ref="P328">INT(SUMPRODUCT(--ISNUMBER(SEARCH(foreign,C328)))&gt;0)</f>
        <v>0</v>
      </c>
      <c r="Q328" s="14" cm="1">
        <f t="array" ref="Q328">INT(SUMPRODUCT(--ISNUMBER(SEARCH(gun,C328)))&gt;0)</f>
        <v>0</v>
      </c>
      <c r="R328" s="14" cm="1">
        <f t="array" ref="R328">INT(SUMPRODUCT(--ISNUMBER(SEARCH(race,C328)))&gt;0)</f>
        <v>0</v>
      </c>
      <c r="S328" s="14" cm="1">
        <f t="array" ref="S328">INT(SUMPRODUCT(--ISNUMBER(SEARCH(immigration,C328)))&gt;0)</f>
        <v>0</v>
      </c>
      <c r="T328" s="14" cm="1">
        <f t="array" ref="T328">INT(SUMPRODUCT(--ISNUMBER(SEARCH(econineq,C329)))&gt;0)</f>
        <v>0</v>
      </c>
      <c r="U328" s="14" cm="1">
        <f t="array" ref="U328">INT(SUMPRODUCT(--ISNUMBER(SEARCH(climate,C328)))&gt;0)</f>
        <v>0</v>
      </c>
      <c r="V328" s="14" cm="1">
        <f t="array" ref="V328">INT(SUMPRODUCT(--ISNUMBER(SEARCH(abortion,C328)))&gt;0)</f>
        <v>0</v>
      </c>
      <c r="W328" s="14" cm="1">
        <f t="array" ref="W328">INT(SUMPRODUCT(--ISNUMBER(SEARCH(trump,C328)))&gt;0)</f>
        <v>0</v>
      </c>
      <c r="X328" s="14" cm="1">
        <f t="array" ref="X328">INT(SUMPRODUCT(--ISNUMBER(SEARCH(voting,C328)))&gt;0)</f>
        <v>1</v>
      </c>
      <c r="Y328" s="14" cm="1">
        <f t="array" ref="Y328">INT(SUMPRODUCT(--ISNUMBER(SEARCH(democrattrigger,C328)))&gt;0)</f>
        <v>0</v>
      </c>
      <c r="Z328" s="14" cm="1">
        <f t="array" ref="Z328">INT(SUMPRODUCT(--ISNUMBER(SEARCH(bipartisan,C328)))&gt;0)</f>
        <v>0</v>
      </c>
      <c r="AA328" s="14">
        <f t="shared" si="5"/>
        <v>0</v>
      </c>
      <c r="AB328" s="14"/>
      <c r="AC328" s="30">
        <v>0</v>
      </c>
      <c r="AD328" s="37">
        <v>1</v>
      </c>
    </row>
    <row r="329" spans="1:30" x14ac:dyDescent="0.25">
      <c r="A329" s="36">
        <v>1792</v>
      </c>
      <c r="B329" s="14" t="s">
        <v>3610</v>
      </c>
      <c r="C329" s="14" t="s">
        <v>3611</v>
      </c>
      <c r="D329" s="17">
        <v>44117</v>
      </c>
      <c r="E329" s="14" t="s">
        <v>30</v>
      </c>
      <c r="F329" s="14">
        <v>890</v>
      </c>
      <c r="G329" s="14">
        <v>194</v>
      </c>
      <c r="H329" s="14">
        <v>8</v>
      </c>
      <c r="I329" s="14">
        <v>4</v>
      </c>
      <c r="J329" s="14" t="s">
        <v>204</v>
      </c>
      <c r="K329" s="14" cm="1">
        <f t="array" ref="K329">INT(SUMPRODUCT(--ISNUMBER(SEARCH(economy,C329)))&gt;0)</f>
        <v>0</v>
      </c>
      <c r="L329" s="14" cm="1">
        <f t="array" ref="L329">INT(SUMPRODUCT(--ISNUMBER(SEARCH(healthcare,C329)))&gt;0)</f>
        <v>0</v>
      </c>
      <c r="M329" s="14" cm="1">
        <f t="array" ref="M329">INT(SUMPRODUCT(--ISNUMBER(SEARCH(supreme,C329)))&gt;0)</f>
        <v>0</v>
      </c>
      <c r="N329" s="14" cm="1">
        <f t="array" ref="N329">INT(SUMPRODUCT(--ISNUMBER(SEARCH(covid,C329)))&gt;0)</f>
        <v>0</v>
      </c>
      <c r="O329" s="14" cm="1">
        <f t="array" ref="O329">INT(SUMPRODUCT(--ISNUMBER(SEARCH(violent,C329)))&gt;0)</f>
        <v>0</v>
      </c>
      <c r="P329" s="14" cm="1">
        <f t="array" ref="P329">INT(SUMPRODUCT(--ISNUMBER(SEARCH(foreign,C329)))&gt;0)</f>
        <v>0</v>
      </c>
      <c r="Q329" s="14" cm="1">
        <f t="array" ref="Q329">INT(SUMPRODUCT(--ISNUMBER(SEARCH(gun,C329)))&gt;0)</f>
        <v>0</v>
      </c>
      <c r="R329" s="14" cm="1">
        <f t="array" ref="R329">INT(SUMPRODUCT(--ISNUMBER(SEARCH(race,C329)))&gt;0)</f>
        <v>0</v>
      </c>
      <c r="S329" s="14" cm="1">
        <f t="array" ref="S329">INT(SUMPRODUCT(--ISNUMBER(SEARCH(immigration,C329)))&gt;0)</f>
        <v>0</v>
      </c>
      <c r="T329" s="14" cm="1">
        <f t="array" ref="T329">INT(SUMPRODUCT(--ISNUMBER(SEARCH(econineq,C330)))&gt;0)</f>
        <v>0</v>
      </c>
      <c r="U329" s="14" cm="1">
        <f t="array" ref="U329">INT(SUMPRODUCT(--ISNUMBER(SEARCH(climate,C329)))&gt;0)</f>
        <v>0</v>
      </c>
      <c r="V329" s="14" cm="1">
        <f t="array" ref="V329">INT(SUMPRODUCT(--ISNUMBER(SEARCH(abortion,C329)))&gt;0)</f>
        <v>0</v>
      </c>
      <c r="W329" s="14" cm="1">
        <f t="array" ref="W329">INT(SUMPRODUCT(--ISNUMBER(SEARCH(trump,C329)))&gt;0)</f>
        <v>0</v>
      </c>
      <c r="X329" s="14" cm="1">
        <f t="array" ref="X329">INT(SUMPRODUCT(--ISNUMBER(SEARCH(voting,C329)))&gt;0)</f>
        <v>0</v>
      </c>
      <c r="Y329" s="14" cm="1">
        <f t="array" ref="Y329">INT(SUMPRODUCT(--ISNUMBER(SEARCH(democrattrigger,C329)))&gt;0)</f>
        <v>0</v>
      </c>
      <c r="Z329" s="14" cm="1">
        <f t="array" ref="Z329">INT(SUMPRODUCT(--ISNUMBER(SEARCH(bipartisan,C329)))&gt;0)</f>
        <v>0</v>
      </c>
      <c r="AA329" s="14">
        <f t="shared" si="5"/>
        <v>1</v>
      </c>
      <c r="AB329" s="14"/>
      <c r="AC329" s="30">
        <v>1</v>
      </c>
      <c r="AD329" s="37">
        <v>0</v>
      </c>
    </row>
    <row r="330" spans="1:30" x14ac:dyDescent="0.25">
      <c r="A330" s="36">
        <v>1793</v>
      </c>
      <c r="B330" s="14" t="s">
        <v>3612</v>
      </c>
      <c r="C330" s="14" t="s">
        <v>3613</v>
      </c>
      <c r="D330" s="17">
        <v>44116</v>
      </c>
      <c r="E330" s="14" t="s">
        <v>30</v>
      </c>
      <c r="F330" s="14">
        <v>754</v>
      </c>
      <c r="G330" s="14">
        <v>323</v>
      </c>
      <c r="H330" s="14">
        <v>8</v>
      </c>
      <c r="I330" s="14">
        <v>4</v>
      </c>
      <c r="J330" s="14" t="s">
        <v>204</v>
      </c>
      <c r="K330" s="14" cm="1">
        <f t="array" ref="K330">INT(SUMPRODUCT(--ISNUMBER(SEARCH(economy,C330)))&gt;0)</f>
        <v>0</v>
      </c>
      <c r="L330" s="14" cm="1">
        <f t="array" ref="L330">INT(SUMPRODUCT(--ISNUMBER(SEARCH(healthcare,C330)))&gt;0)</f>
        <v>1</v>
      </c>
      <c r="M330" s="14" cm="1">
        <f t="array" ref="M330">INT(SUMPRODUCT(--ISNUMBER(SEARCH(supreme,C330)))&gt;0)</f>
        <v>1</v>
      </c>
      <c r="N330" s="14" cm="1">
        <f t="array" ref="N330">INT(SUMPRODUCT(--ISNUMBER(SEARCH(covid,C330)))&gt;0)</f>
        <v>0</v>
      </c>
      <c r="O330" s="14" cm="1">
        <f t="array" ref="O330">INT(SUMPRODUCT(--ISNUMBER(SEARCH(violent,C330)))&gt;0)</f>
        <v>0</v>
      </c>
      <c r="P330" s="14" cm="1">
        <f t="array" ref="P330">INT(SUMPRODUCT(--ISNUMBER(SEARCH(foreign,C330)))&gt;0)</f>
        <v>0</v>
      </c>
      <c r="Q330" s="14" cm="1">
        <f t="array" ref="Q330">INT(SUMPRODUCT(--ISNUMBER(SEARCH(gun,C330)))&gt;0)</f>
        <v>0</v>
      </c>
      <c r="R330" s="14" cm="1">
        <f t="array" ref="R330">INT(SUMPRODUCT(--ISNUMBER(SEARCH(race,C330)))&gt;0)</f>
        <v>0</v>
      </c>
      <c r="S330" s="14" cm="1">
        <f t="array" ref="S330">INT(SUMPRODUCT(--ISNUMBER(SEARCH(immigration,C330)))&gt;0)</f>
        <v>0</v>
      </c>
      <c r="T330" s="14" cm="1">
        <f t="array" ref="T330">INT(SUMPRODUCT(--ISNUMBER(SEARCH(econineq,C331)))&gt;0)</f>
        <v>0</v>
      </c>
      <c r="U330" s="14" cm="1">
        <f t="array" ref="U330">INT(SUMPRODUCT(--ISNUMBER(SEARCH(climate,C330)))&gt;0)</f>
        <v>0</v>
      </c>
      <c r="V330" s="14" cm="1">
        <f t="array" ref="V330">INT(SUMPRODUCT(--ISNUMBER(SEARCH(abortion,C330)))&gt;0)</f>
        <v>0</v>
      </c>
      <c r="W330" s="14" cm="1">
        <f t="array" ref="W330">INT(SUMPRODUCT(--ISNUMBER(SEARCH(trump,C330)))&gt;0)</f>
        <v>1</v>
      </c>
      <c r="X330" s="14" cm="1">
        <f t="array" ref="X330">INT(SUMPRODUCT(--ISNUMBER(SEARCH(voting,C330)))&gt;0)</f>
        <v>1</v>
      </c>
      <c r="Y330" s="14" cm="1">
        <f t="array" ref="Y330">INT(SUMPRODUCT(--ISNUMBER(SEARCH(democrattrigger,C330)))&gt;0)</f>
        <v>1</v>
      </c>
      <c r="Z330" s="14" cm="1">
        <f t="array" ref="Z330">INT(SUMPRODUCT(--ISNUMBER(SEARCH(bipartisan,C330)))&gt;0)</f>
        <v>0</v>
      </c>
      <c r="AA330" s="14">
        <f t="shared" si="5"/>
        <v>0</v>
      </c>
      <c r="AB330" s="14"/>
      <c r="AC330" s="30">
        <v>1</v>
      </c>
      <c r="AD330" s="37">
        <v>0</v>
      </c>
    </row>
    <row r="331" spans="1:30" x14ac:dyDescent="0.25">
      <c r="A331" s="36">
        <v>1794</v>
      </c>
      <c r="B331" s="14" t="s">
        <v>3614</v>
      </c>
      <c r="C331" s="14" t="s">
        <v>3615</v>
      </c>
      <c r="D331" s="17">
        <v>44116</v>
      </c>
      <c r="E331" s="14" t="s">
        <v>30</v>
      </c>
      <c r="F331" s="14">
        <v>1027</v>
      </c>
      <c r="G331" s="14">
        <v>378</v>
      </c>
      <c r="H331" s="14">
        <v>8</v>
      </c>
      <c r="I331" s="14">
        <v>4</v>
      </c>
      <c r="J331" s="14" t="s">
        <v>204</v>
      </c>
      <c r="K331" s="14" cm="1">
        <f t="array" ref="K331">INT(SUMPRODUCT(--ISNUMBER(SEARCH(economy,C331)))&gt;0)</f>
        <v>0</v>
      </c>
      <c r="L331" s="14" cm="1">
        <f t="array" ref="L331">INT(SUMPRODUCT(--ISNUMBER(SEARCH(healthcare,C331)))&gt;0)</f>
        <v>1</v>
      </c>
      <c r="M331" s="14" cm="1">
        <f t="array" ref="M331">INT(SUMPRODUCT(--ISNUMBER(SEARCH(supreme,C331)))&gt;0)</f>
        <v>0</v>
      </c>
      <c r="N331" s="14" cm="1">
        <f t="array" ref="N331">INT(SUMPRODUCT(--ISNUMBER(SEARCH(covid,C331)))&gt;0)</f>
        <v>0</v>
      </c>
      <c r="O331" s="14" cm="1">
        <f t="array" ref="O331">INT(SUMPRODUCT(--ISNUMBER(SEARCH(violent,C331)))&gt;0)</f>
        <v>0</v>
      </c>
      <c r="P331" s="14" cm="1">
        <f t="array" ref="P331">INT(SUMPRODUCT(--ISNUMBER(SEARCH(foreign,C331)))&gt;0)</f>
        <v>0</v>
      </c>
      <c r="Q331" s="14" cm="1">
        <f t="array" ref="Q331">INT(SUMPRODUCT(--ISNUMBER(SEARCH(gun,C331)))&gt;0)</f>
        <v>0</v>
      </c>
      <c r="R331" s="14" cm="1">
        <f t="array" ref="R331">INT(SUMPRODUCT(--ISNUMBER(SEARCH(race,C331)))&gt;0)</f>
        <v>0</v>
      </c>
      <c r="S331" s="14" cm="1">
        <f t="array" ref="S331">INT(SUMPRODUCT(--ISNUMBER(SEARCH(immigration,C331)))&gt;0)</f>
        <v>0</v>
      </c>
      <c r="T331" s="14" cm="1">
        <f t="array" ref="T331">INT(SUMPRODUCT(--ISNUMBER(SEARCH(econineq,C332)))&gt;0)</f>
        <v>0</v>
      </c>
      <c r="U331" s="14" cm="1">
        <f t="array" ref="U331">INT(SUMPRODUCT(--ISNUMBER(SEARCH(climate,C331)))&gt;0)</f>
        <v>0</v>
      </c>
      <c r="V331" s="14" cm="1">
        <f t="array" ref="V331">INT(SUMPRODUCT(--ISNUMBER(SEARCH(abortion,C331)))&gt;0)</f>
        <v>0</v>
      </c>
      <c r="W331" s="14" cm="1">
        <f t="array" ref="W331">INT(SUMPRODUCT(--ISNUMBER(SEARCH(trump,C331)))&gt;0)</f>
        <v>0</v>
      </c>
      <c r="X331" s="14" cm="1">
        <f t="array" ref="X331">INT(SUMPRODUCT(--ISNUMBER(SEARCH(voting,C331)))&gt;0)</f>
        <v>0</v>
      </c>
      <c r="Y331" s="14" cm="1">
        <f t="array" ref="Y331">INT(SUMPRODUCT(--ISNUMBER(SEARCH(democrattrigger,C331)))&gt;0)</f>
        <v>0</v>
      </c>
      <c r="Z331" s="14" cm="1">
        <f t="array" ref="Z331">INT(SUMPRODUCT(--ISNUMBER(SEARCH(bipartisan,C331)))&gt;0)</f>
        <v>0</v>
      </c>
      <c r="AA331" s="14">
        <f t="shared" si="5"/>
        <v>0</v>
      </c>
      <c r="AB331" s="14"/>
      <c r="AC331" s="30">
        <v>0</v>
      </c>
      <c r="AD331" s="37">
        <v>1</v>
      </c>
    </row>
    <row r="332" spans="1:30" x14ac:dyDescent="0.25">
      <c r="A332" s="36">
        <v>1795</v>
      </c>
      <c r="B332" s="14" t="s">
        <v>3616</v>
      </c>
      <c r="C332" s="14" t="s">
        <v>3617</v>
      </c>
      <c r="D332" s="17">
        <v>44116</v>
      </c>
      <c r="E332" s="14" t="s">
        <v>30</v>
      </c>
      <c r="F332" s="14">
        <v>529</v>
      </c>
      <c r="G332" s="14">
        <v>172</v>
      </c>
      <c r="H332" s="14">
        <v>8</v>
      </c>
      <c r="I332" s="14">
        <v>4</v>
      </c>
      <c r="J332" s="14" t="s">
        <v>204</v>
      </c>
      <c r="K332" s="14" cm="1">
        <f t="array" ref="K332">INT(SUMPRODUCT(--ISNUMBER(SEARCH(economy,C332)))&gt;0)</f>
        <v>0</v>
      </c>
      <c r="L332" s="14" cm="1">
        <f t="array" ref="L332">INT(SUMPRODUCT(--ISNUMBER(SEARCH(healthcare,C332)))&gt;0)</f>
        <v>0</v>
      </c>
      <c r="M332" s="14" cm="1">
        <f t="array" ref="M332">INT(SUMPRODUCT(--ISNUMBER(SEARCH(supreme,C332)))&gt;0)</f>
        <v>0</v>
      </c>
      <c r="N332" s="14" cm="1">
        <f t="array" ref="N332">INT(SUMPRODUCT(--ISNUMBER(SEARCH(covid,C332)))&gt;0)</f>
        <v>0</v>
      </c>
      <c r="O332" s="14" cm="1">
        <f t="array" ref="O332">INT(SUMPRODUCT(--ISNUMBER(SEARCH(violent,C332)))&gt;0)</f>
        <v>0</v>
      </c>
      <c r="P332" s="14" cm="1">
        <f t="array" ref="P332">INT(SUMPRODUCT(--ISNUMBER(SEARCH(foreign,C332)))&gt;0)</f>
        <v>0</v>
      </c>
      <c r="Q332" s="14" cm="1">
        <f t="array" ref="Q332">INT(SUMPRODUCT(--ISNUMBER(SEARCH(gun,C332)))&gt;0)</f>
        <v>0</v>
      </c>
      <c r="R332" s="14" cm="1">
        <f t="array" ref="R332">INT(SUMPRODUCT(--ISNUMBER(SEARCH(race,C332)))&gt;0)</f>
        <v>0</v>
      </c>
      <c r="S332" s="14" cm="1">
        <f t="array" ref="S332">INT(SUMPRODUCT(--ISNUMBER(SEARCH(immigration,C332)))&gt;0)</f>
        <v>0</v>
      </c>
      <c r="T332" s="14" cm="1">
        <f t="array" ref="T332">INT(SUMPRODUCT(--ISNUMBER(SEARCH(econineq,C333)))&gt;0)</f>
        <v>0</v>
      </c>
      <c r="U332" s="14" cm="1">
        <f t="array" ref="U332">INT(SUMPRODUCT(--ISNUMBER(SEARCH(climate,C332)))&gt;0)</f>
        <v>0</v>
      </c>
      <c r="V332" s="14" cm="1">
        <f t="array" ref="V332">INT(SUMPRODUCT(--ISNUMBER(SEARCH(abortion,C332)))&gt;0)</f>
        <v>0</v>
      </c>
      <c r="W332" s="14" cm="1">
        <f t="array" ref="W332">INT(SUMPRODUCT(--ISNUMBER(SEARCH(trump,C332)))&gt;0)</f>
        <v>0</v>
      </c>
      <c r="X332" s="14" cm="1">
        <f t="array" ref="X332">INT(SUMPRODUCT(--ISNUMBER(SEARCH(voting,C332)))&gt;0)</f>
        <v>1</v>
      </c>
      <c r="Y332" s="14" cm="1">
        <f t="array" ref="Y332">INT(SUMPRODUCT(--ISNUMBER(SEARCH(democrattrigger,C332)))&gt;0)</f>
        <v>0</v>
      </c>
      <c r="Z332" s="14" cm="1">
        <f t="array" ref="Z332">INT(SUMPRODUCT(--ISNUMBER(SEARCH(bipartisan,C332)))&gt;0)</f>
        <v>0</v>
      </c>
      <c r="AA332" s="14">
        <f t="shared" si="5"/>
        <v>0</v>
      </c>
      <c r="AB332" s="14"/>
      <c r="AC332" s="30" t="s">
        <v>223</v>
      </c>
      <c r="AD332" s="37" t="s">
        <v>223</v>
      </c>
    </row>
    <row r="333" spans="1:30" x14ac:dyDescent="0.25">
      <c r="A333" s="36">
        <v>1796</v>
      </c>
      <c r="B333" s="14" t="s">
        <v>3618</v>
      </c>
      <c r="C333" s="14" t="s">
        <v>3619</v>
      </c>
      <c r="D333" s="17">
        <v>44116</v>
      </c>
      <c r="E333" s="14" t="s">
        <v>30</v>
      </c>
      <c r="F333" s="14">
        <v>516</v>
      </c>
      <c r="G333" s="14">
        <v>194</v>
      </c>
      <c r="H333" s="14">
        <v>8</v>
      </c>
      <c r="I333" s="14">
        <v>4</v>
      </c>
      <c r="J333" s="14" t="s">
        <v>204</v>
      </c>
      <c r="K333" s="14" cm="1">
        <f t="array" ref="K333">INT(SUMPRODUCT(--ISNUMBER(SEARCH(economy,C333)))&gt;0)</f>
        <v>0</v>
      </c>
      <c r="L333" s="14" cm="1">
        <f t="array" ref="L333">INT(SUMPRODUCT(--ISNUMBER(SEARCH(healthcare,C333)))&gt;0)</f>
        <v>1</v>
      </c>
      <c r="M333" s="14" cm="1">
        <f t="array" ref="M333">INT(SUMPRODUCT(--ISNUMBER(SEARCH(supreme,C333)))&gt;0)</f>
        <v>0</v>
      </c>
      <c r="N333" s="14" cm="1">
        <f t="array" ref="N333">INT(SUMPRODUCT(--ISNUMBER(SEARCH(covid,C333)))&gt;0)</f>
        <v>0</v>
      </c>
      <c r="O333" s="14" cm="1">
        <f t="array" ref="O333">INT(SUMPRODUCT(--ISNUMBER(SEARCH(violent,C333)))&gt;0)</f>
        <v>0</v>
      </c>
      <c r="P333" s="14" cm="1">
        <f t="array" ref="P333">INT(SUMPRODUCT(--ISNUMBER(SEARCH(foreign,C333)))&gt;0)</f>
        <v>0</v>
      </c>
      <c r="Q333" s="14" cm="1">
        <f t="array" ref="Q333">INT(SUMPRODUCT(--ISNUMBER(SEARCH(gun,C333)))&gt;0)</f>
        <v>0</v>
      </c>
      <c r="R333" s="14" cm="1">
        <f t="array" ref="R333">INT(SUMPRODUCT(--ISNUMBER(SEARCH(race,C333)))&gt;0)</f>
        <v>0</v>
      </c>
      <c r="S333" s="14" cm="1">
        <f t="array" ref="S333">INT(SUMPRODUCT(--ISNUMBER(SEARCH(immigration,C333)))&gt;0)</f>
        <v>0</v>
      </c>
      <c r="T333" s="14" cm="1">
        <f t="array" ref="T333">INT(SUMPRODUCT(--ISNUMBER(SEARCH(econineq,C334)))&gt;0)</f>
        <v>0</v>
      </c>
      <c r="U333" s="14" cm="1">
        <f t="array" ref="U333">INT(SUMPRODUCT(--ISNUMBER(SEARCH(climate,C333)))&gt;0)</f>
        <v>0</v>
      </c>
      <c r="V333" s="14" cm="1">
        <f t="array" ref="V333">INT(SUMPRODUCT(--ISNUMBER(SEARCH(abortion,C333)))&gt;0)</f>
        <v>0</v>
      </c>
      <c r="W333" s="14" cm="1">
        <f t="array" ref="W333">INT(SUMPRODUCT(--ISNUMBER(SEARCH(trump,C333)))&gt;0)</f>
        <v>0</v>
      </c>
      <c r="X333" s="14" cm="1">
        <f t="array" ref="X333">INT(SUMPRODUCT(--ISNUMBER(SEARCH(voting,C333)))&gt;0)</f>
        <v>1</v>
      </c>
      <c r="Y333" s="14" cm="1">
        <f t="array" ref="Y333">INT(SUMPRODUCT(--ISNUMBER(SEARCH(democrattrigger,C333)))&gt;0)</f>
        <v>0</v>
      </c>
      <c r="Z333" s="14" cm="1">
        <f t="array" ref="Z333">INT(SUMPRODUCT(--ISNUMBER(SEARCH(bipartisan,C333)))&gt;0)</f>
        <v>0</v>
      </c>
      <c r="AA333" s="14">
        <f t="shared" si="5"/>
        <v>0</v>
      </c>
      <c r="AB333" s="14"/>
      <c r="AC333" s="30" t="s">
        <v>223</v>
      </c>
      <c r="AD333" s="37" t="s">
        <v>223</v>
      </c>
    </row>
    <row r="334" spans="1:30" x14ac:dyDescent="0.25">
      <c r="A334" s="36">
        <v>1797</v>
      </c>
      <c r="B334" s="14" t="s">
        <v>3620</v>
      </c>
      <c r="C334" s="14" t="s">
        <v>3621</v>
      </c>
      <c r="D334" s="17">
        <v>44116</v>
      </c>
      <c r="E334" s="14" t="s">
        <v>30</v>
      </c>
      <c r="F334" s="14">
        <v>1196</v>
      </c>
      <c r="G334" s="14">
        <v>324</v>
      </c>
      <c r="H334" s="14">
        <v>8</v>
      </c>
      <c r="I334" s="14">
        <v>4</v>
      </c>
      <c r="J334" s="14" t="s">
        <v>204</v>
      </c>
      <c r="K334" s="14" cm="1">
        <f t="array" ref="K334">INT(SUMPRODUCT(--ISNUMBER(SEARCH(economy,C334)))&gt;0)</f>
        <v>1</v>
      </c>
      <c r="L334" s="14" cm="1">
        <f t="array" ref="L334">INT(SUMPRODUCT(--ISNUMBER(SEARCH(healthcare,C334)))&gt;0)</f>
        <v>0</v>
      </c>
      <c r="M334" s="14" cm="1">
        <f t="array" ref="M334">INT(SUMPRODUCT(--ISNUMBER(SEARCH(supreme,C334)))&gt;0)</f>
        <v>0</v>
      </c>
      <c r="N334" s="14" cm="1">
        <f t="array" ref="N334">INT(SUMPRODUCT(--ISNUMBER(SEARCH(covid,C334)))&gt;0)</f>
        <v>0</v>
      </c>
      <c r="O334" s="14" cm="1">
        <f t="array" ref="O334">INT(SUMPRODUCT(--ISNUMBER(SEARCH(violent,C334)))&gt;0)</f>
        <v>0</v>
      </c>
      <c r="P334" s="14" cm="1">
        <f t="array" ref="P334">INT(SUMPRODUCT(--ISNUMBER(SEARCH(foreign,C334)))&gt;0)</f>
        <v>0</v>
      </c>
      <c r="Q334" s="14" cm="1">
        <f t="array" ref="Q334">INT(SUMPRODUCT(--ISNUMBER(SEARCH(gun,C334)))&gt;0)</f>
        <v>0</v>
      </c>
      <c r="R334" s="14" cm="1">
        <f t="array" ref="R334">INT(SUMPRODUCT(--ISNUMBER(SEARCH(race,C334)))&gt;0)</f>
        <v>0</v>
      </c>
      <c r="S334" s="14" cm="1">
        <f t="array" ref="S334">INT(SUMPRODUCT(--ISNUMBER(SEARCH(immigration,C334)))&gt;0)</f>
        <v>0</v>
      </c>
      <c r="T334" s="14" cm="1">
        <f t="array" ref="T334">INT(SUMPRODUCT(--ISNUMBER(SEARCH(econineq,C335)))&gt;0)</f>
        <v>0</v>
      </c>
      <c r="U334" s="14" cm="1">
        <f t="array" ref="U334">INT(SUMPRODUCT(--ISNUMBER(SEARCH(climate,C334)))&gt;0)</f>
        <v>0</v>
      </c>
      <c r="V334" s="14" cm="1">
        <f t="array" ref="V334">INT(SUMPRODUCT(--ISNUMBER(SEARCH(abortion,C334)))&gt;0)</f>
        <v>0</v>
      </c>
      <c r="W334" s="14" cm="1">
        <f t="array" ref="W334">INT(SUMPRODUCT(--ISNUMBER(SEARCH(trump,C334)))&gt;0)</f>
        <v>0</v>
      </c>
      <c r="X334" s="14" cm="1">
        <f t="array" ref="X334">INT(SUMPRODUCT(--ISNUMBER(SEARCH(voting,C334)))&gt;0)</f>
        <v>0</v>
      </c>
      <c r="Y334" s="14" cm="1">
        <f t="array" ref="Y334">INT(SUMPRODUCT(--ISNUMBER(SEARCH(democrattrigger,C334)))&gt;0)</f>
        <v>0</v>
      </c>
      <c r="Z334" s="14" cm="1">
        <f t="array" ref="Z334">INT(SUMPRODUCT(--ISNUMBER(SEARCH(bipartisan,C334)))&gt;0)</f>
        <v>0</v>
      </c>
      <c r="AA334" s="14">
        <f t="shared" si="5"/>
        <v>0</v>
      </c>
      <c r="AB334" s="14"/>
      <c r="AC334" s="30">
        <v>1</v>
      </c>
      <c r="AD334" s="37">
        <v>0</v>
      </c>
    </row>
    <row r="335" spans="1:30" x14ac:dyDescent="0.25">
      <c r="A335" s="36">
        <v>1798</v>
      </c>
      <c r="B335" s="14" t="s">
        <v>3622</v>
      </c>
      <c r="C335" s="14" t="s">
        <v>3623</v>
      </c>
      <c r="D335" s="17">
        <v>44116</v>
      </c>
      <c r="E335" s="14" t="s">
        <v>30</v>
      </c>
      <c r="F335" s="14">
        <v>1183</v>
      </c>
      <c r="G335" s="14">
        <v>314</v>
      </c>
      <c r="H335" s="14">
        <v>8</v>
      </c>
      <c r="I335" s="14">
        <v>4</v>
      </c>
      <c r="J335" s="14" t="s">
        <v>204</v>
      </c>
      <c r="K335" s="14" cm="1">
        <f t="array" ref="K335">INT(SUMPRODUCT(--ISNUMBER(SEARCH(economy,C335)))&gt;0)</f>
        <v>0</v>
      </c>
      <c r="L335" s="14" cm="1">
        <f t="array" ref="L335">INT(SUMPRODUCT(--ISNUMBER(SEARCH(healthcare,C335)))&gt;0)</f>
        <v>0</v>
      </c>
      <c r="M335" s="14" cm="1">
        <f t="array" ref="M335">INT(SUMPRODUCT(--ISNUMBER(SEARCH(supreme,C335)))&gt;0)</f>
        <v>0</v>
      </c>
      <c r="N335" s="14" cm="1">
        <f t="array" ref="N335">INT(SUMPRODUCT(--ISNUMBER(SEARCH(covid,C335)))&gt;0)</f>
        <v>0</v>
      </c>
      <c r="O335" s="14" cm="1">
        <f t="array" ref="O335">INT(SUMPRODUCT(--ISNUMBER(SEARCH(violent,C335)))&gt;0)</f>
        <v>0</v>
      </c>
      <c r="P335" s="14" cm="1">
        <f t="array" ref="P335">INT(SUMPRODUCT(--ISNUMBER(SEARCH(foreign,C335)))&gt;0)</f>
        <v>0</v>
      </c>
      <c r="Q335" s="14" cm="1">
        <f t="array" ref="Q335">INT(SUMPRODUCT(--ISNUMBER(SEARCH(gun,C335)))&gt;0)</f>
        <v>0</v>
      </c>
      <c r="R335" s="14" cm="1">
        <f t="array" ref="R335">INT(SUMPRODUCT(--ISNUMBER(SEARCH(race,C335)))&gt;0)</f>
        <v>0</v>
      </c>
      <c r="S335" s="14" cm="1">
        <f t="array" ref="S335">INT(SUMPRODUCT(--ISNUMBER(SEARCH(immigration,C335)))&gt;0)</f>
        <v>0</v>
      </c>
      <c r="T335" s="14" cm="1">
        <f t="array" ref="T335">INT(SUMPRODUCT(--ISNUMBER(SEARCH(econineq,C336)))&gt;0)</f>
        <v>0</v>
      </c>
      <c r="U335" s="14" cm="1">
        <f t="array" ref="U335">INT(SUMPRODUCT(--ISNUMBER(SEARCH(climate,C335)))&gt;0)</f>
        <v>0</v>
      </c>
      <c r="V335" s="14" cm="1">
        <f t="array" ref="V335">INT(SUMPRODUCT(--ISNUMBER(SEARCH(abortion,C335)))&gt;0)</f>
        <v>0</v>
      </c>
      <c r="W335" s="14" cm="1">
        <f t="array" ref="W335">INT(SUMPRODUCT(--ISNUMBER(SEARCH(trump,C335)))&gt;0)</f>
        <v>0</v>
      </c>
      <c r="X335" s="14" cm="1">
        <f t="array" ref="X335">INT(SUMPRODUCT(--ISNUMBER(SEARCH(voting,C335)))&gt;0)</f>
        <v>0</v>
      </c>
      <c r="Y335" s="14" cm="1">
        <f t="array" ref="Y335">INT(SUMPRODUCT(--ISNUMBER(SEARCH(democrattrigger,C335)))&gt;0)</f>
        <v>0</v>
      </c>
      <c r="Z335" s="14" cm="1">
        <f t="array" ref="Z335">INT(SUMPRODUCT(--ISNUMBER(SEARCH(bipartisan,C335)))&gt;0)</f>
        <v>0</v>
      </c>
      <c r="AA335" s="14">
        <f t="shared" si="5"/>
        <v>1</v>
      </c>
      <c r="AB335" s="14"/>
      <c r="AC335" s="30" t="s">
        <v>223</v>
      </c>
      <c r="AD335" s="37" t="s">
        <v>223</v>
      </c>
    </row>
    <row r="336" spans="1:30" x14ac:dyDescent="0.25">
      <c r="A336" s="36">
        <v>1799</v>
      </c>
      <c r="B336" s="14" t="s">
        <v>3624</v>
      </c>
      <c r="C336" s="14" t="s">
        <v>3625</v>
      </c>
      <c r="D336" s="17">
        <v>44116</v>
      </c>
      <c r="E336" s="14" t="s">
        <v>30</v>
      </c>
      <c r="F336" s="14">
        <v>2307</v>
      </c>
      <c r="G336" s="14">
        <v>910</v>
      </c>
      <c r="H336" s="14">
        <v>8</v>
      </c>
      <c r="I336" s="14">
        <v>4</v>
      </c>
      <c r="J336" s="14" t="s">
        <v>204</v>
      </c>
      <c r="K336" s="14" cm="1">
        <f t="array" ref="K336">INT(SUMPRODUCT(--ISNUMBER(SEARCH(economy,C336)))&gt;0)</f>
        <v>0</v>
      </c>
      <c r="L336" s="14" cm="1">
        <f t="array" ref="L336">INT(SUMPRODUCT(--ISNUMBER(SEARCH(healthcare,C336)))&gt;0)</f>
        <v>0</v>
      </c>
      <c r="M336" s="14" cm="1">
        <f t="array" ref="M336">INT(SUMPRODUCT(--ISNUMBER(SEARCH(supreme,C336)))&gt;0)</f>
        <v>1</v>
      </c>
      <c r="N336" s="14" cm="1">
        <f t="array" ref="N336">INT(SUMPRODUCT(--ISNUMBER(SEARCH(covid,C336)))&gt;0)</f>
        <v>0</v>
      </c>
      <c r="O336" s="14" cm="1">
        <f t="array" ref="O336">INT(SUMPRODUCT(--ISNUMBER(SEARCH(violent,C336)))&gt;0)</f>
        <v>0</v>
      </c>
      <c r="P336" s="14" cm="1">
        <f t="array" ref="P336">INT(SUMPRODUCT(--ISNUMBER(SEARCH(foreign,C336)))&gt;0)</f>
        <v>0</v>
      </c>
      <c r="Q336" s="14" cm="1">
        <f t="array" ref="Q336">INT(SUMPRODUCT(--ISNUMBER(SEARCH(gun,C336)))&gt;0)</f>
        <v>0</v>
      </c>
      <c r="R336" s="14" cm="1">
        <f t="array" ref="R336">INT(SUMPRODUCT(--ISNUMBER(SEARCH(race,C336)))&gt;0)</f>
        <v>0</v>
      </c>
      <c r="S336" s="14" cm="1">
        <f t="array" ref="S336">INT(SUMPRODUCT(--ISNUMBER(SEARCH(immigration,C336)))&gt;0)</f>
        <v>0</v>
      </c>
      <c r="T336" s="14" cm="1">
        <f t="array" ref="T336">INT(SUMPRODUCT(--ISNUMBER(SEARCH(econineq,C337)))&gt;0)</f>
        <v>0</v>
      </c>
      <c r="U336" s="14" cm="1">
        <f t="array" ref="U336">INT(SUMPRODUCT(--ISNUMBER(SEARCH(climate,C336)))&gt;0)</f>
        <v>0</v>
      </c>
      <c r="V336" s="14" cm="1">
        <f t="array" ref="V336">INT(SUMPRODUCT(--ISNUMBER(SEARCH(abortion,C336)))&gt;0)</f>
        <v>0</v>
      </c>
      <c r="W336" s="14" cm="1">
        <f t="array" ref="W336">INT(SUMPRODUCT(--ISNUMBER(SEARCH(trump,C336)))&gt;0)</f>
        <v>0</v>
      </c>
      <c r="X336" s="14" cm="1">
        <f t="array" ref="X336">INT(SUMPRODUCT(--ISNUMBER(SEARCH(voting,C336)))&gt;0)</f>
        <v>1</v>
      </c>
      <c r="Y336" s="14" cm="1">
        <f t="array" ref="Y336">INT(SUMPRODUCT(--ISNUMBER(SEARCH(democrattrigger,C336)))&gt;0)</f>
        <v>1</v>
      </c>
      <c r="Z336" s="14" cm="1">
        <f t="array" ref="Z336">INT(SUMPRODUCT(--ISNUMBER(SEARCH(bipartisan,C336)))&gt;0)</f>
        <v>0</v>
      </c>
      <c r="AA336" s="14">
        <f t="shared" si="5"/>
        <v>0</v>
      </c>
      <c r="AB336" s="14"/>
      <c r="AC336" s="30">
        <v>0</v>
      </c>
      <c r="AD336" s="37">
        <v>1</v>
      </c>
    </row>
    <row r="337" spans="1:30" x14ac:dyDescent="0.25">
      <c r="A337" s="36">
        <v>1800</v>
      </c>
      <c r="B337" s="14" t="s">
        <v>3626</v>
      </c>
      <c r="C337" s="14" t="s">
        <v>3627</v>
      </c>
      <c r="D337" s="17">
        <v>44115</v>
      </c>
      <c r="E337" s="14" t="s">
        <v>30</v>
      </c>
      <c r="F337" s="14">
        <v>582</v>
      </c>
      <c r="G337" s="14">
        <v>163</v>
      </c>
      <c r="H337" s="14">
        <v>8</v>
      </c>
      <c r="I337" s="14">
        <v>4</v>
      </c>
      <c r="J337" s="14" t="s">
        <v>204</v>
      </c>
      <c r="K337" s="14" cm="1">
        <f t="array" ref="K337">INT(SUMPRODUCT(--ISNUMBER(SEARCH(economy,C337)))&gt;0)</f>
        <v>0</v>
      </c>
      <c r="L337" s="14" cm="1">
        <f t="array" ref="L337">INT(SUMPRODUCT(--ISNUMBER(SEARCH(healthcare,C337)))&gt;0)</f>
        <v>0</v>
      </c>
      <c r="M337" s="14" cm="1">
        <f t="array" ref="M337">INT(SUMPRODUCT(--ISNUMBER(SEARCH(supreme,C337)))&gt;0)</f>
        <v>0</v>
      </c>
      <c r="N337" s="14" cm="1">
        <f t="array" ref="N337">INT(SUMPRODUCT(--ISNUMBER(SEARCH(covid,C337)))&gt;0)</f>
        <v>0</v>
      </c>
      <c r="O337" s="14" cm="1">
        <f t="array" ref="O337">INT(SUMPRODUCT(--ISNUMBER(SEARCH(violent,C337)))&gt;0)</f>
        <v>0</v>
      </c>
      <c r="P337" s="14" cm="1">
        <f t="array" ref="P337">INT(SUMPRODUCT(--ISNUMBER(SEARCH(foreign,C337)))&gt;0)</f>
        <v>0</v>
      </c>
      <c r="Q337" s="14" cm="1">
        <f t="array" ref="Q337">INT(SUMPRODUCT(--ISNUMBER(SEARCH(gun,C337)))&gt;0)</f>
        <v>0</v>
      </c>
      <c r="R337" s="14" cm="1">
        <f t="array" ref="R337">INT(SUMPRODUCT(--ISNUMBER(SEARCH(race,C337)))&gt;0)</f>
        <v>0</v>
      </c>
      <c r="S337" s="14" cm="1">
        <f t="array" ref="S337">INT(SUMPRODUCT(--ISNUMBER(SEARCH(immigration,C337)))&gt;0)</f>
        <v>0</v>
      </c>
      <c r="T337" s="14" cm="1">
        <f t="array" ref="T337">INT(SUMPRODUCT(--ISNUMBER(SEARCH(econineq,C338)))&gt;0)</f>
        <v>0</v>
      </c>
      <c r="U337" s="14" cm="1">
        <f t="array" ref="U337">INT(SUMPRODUCT(--ISNUMBER(SEARCH(climate,C337)))&gt;0)</f>
        <v>0</v>
      </c>
      <c r="V337" s="14" cm="1">
        <f t="array" ref="V337">INT(SUMPRODUCT(--ISNUMBER(SEARCH(abortion,C337)))&gt;0)</f>
        <v>0</v>
      </c>
      <c r="W337" s="14" cm="1">
        <f t="array" ref="W337">INT(SUMPRODUCT(--ISNUMBER(SEARCH(trump,C337)))&gt;0)</f>
        <v>0</v>
      </c>
      <c r="X337" s="14" cm="1">
        <f t="array" ref="X337">INT(SUMPRODUCT(--ISNUMBER(SEARCH(voting,C337)))&gt;0)</f>
        <v>0</v>
      </c>
      <c r="Y337" s="14" cm="1">
        <f t="array" ref="Y337">INT(SUMPRODUCT(--ISNUMBER(SEARCH(democrattrigger,C337)))&gt;0)</f>
        <v>0</v>
      </c>
      <c r="Z337" s="14" cm="1">
        <f t="array" ref="Z337">INT(SUMPRODUCT(--ISNUMBER(SEARCH(bipartisan,C337)))&gt;0)</f>
        <v>0</v>
      </c>
      <c r="AA337" s="14">
        <f t="shared" si="5"/>
        <v>1</v>
      </c>
      <c r="AB337" s="14"/>
      <c r="AC337" s="30">
        <v>1</v>
      </c>
      <c r="AD337" s="37">
        <v>0</v>
      </c>
    </row>
    <row r="338" spans="1:30" x14ac:dyDescent="0.25">
      <c r="A338" s="36">
        <v>1801</v>
      </c>
      <c r="B338" s="14" t="s">
        <v>3628</v>
      </c>
      <c r="C338" s="14" t="s">
        <v>3629</v>
      </c>
      <c r="D338" s="17">
        <v>44115</v>
      </c>
      <c r="E338" s="14" t="s">
        <v>30</v>
      </c>
      <c r="F338" s="14">
        <v>9323</v>
      </c>
      <c r="G338" s="14">
        <v>2476</v>
      </c>
      <c r="H338" s="14">
        <v>8</v>
      </c>
      <c r="I338" s="14">
        <v>4</v>
      </c>
      <c r="J338" s="14" t="s">
        <v>204</v>
      </c>
      <c r="K338" s="14" cm="1">
        <f t="array" ref="K338">INT(SUMPRODUCT(--ISNUMBER(SEARCH(economy,C338)))&gt;0)</f>
        <v>0</v>
      </c>
      <c r="L338" s="14" cm="1">
        <f t="array" ref="L338">INT(SUMPRODUCT(--ISNUMBER(SEARCH(healthcare,C338)))&gt;0)</f>
        <v>1</v>
      </c>
      <c r="M338" s="14" cm="1">
        <f t="array" ref="M338">INT(SUMPRODUCT(--ISNUMBER(SEARCH(supreme,C338)))&gt;0)</f>
        <v>0</v>
      </c>
      <c r="N338" s="14" cm="1">
        <f t="array" ref="N338">INT(SUMPRODUCT(--ISNUMBER(SEARCH(covid,C338)))&gt;0)</f>
        <v>0</v>
      </c>
      <c r="O338" s="14" cm="1">
        <f t="array" ref="O338">INT(SUMPRODUCT(--ISNUMBER(SEARCH(violent,C338)))&gt;0)</f>
        <v>0</v>
      </c>
      <c r="P338" s="14" cm="1">
        <f t="array" ref="P338">INT(SUMPRODUCT(--ISNUMBER(SEARCH(foreign,C338)))&gt;0)</f>
        <v>0</v>
      </c>
      <c r="Q338" s="14" cm="1">
        <f t="array" ref="Q338">INT(SUMPRODUCT(--ISNUMBER(SEARCH(gun,C338)))&gt;0)</f>
        <v>0</v>
      </c>
      <c r="R338" s="14" cm="1">
        <f t="array" ref="R338">INT(SUMPRODUCT(--ISNUMBER(SEARCH(race,C338)))&gt;0)</f>
        <v>0</v>
      </c>
      <c r="S338" s="14" cm="1">
        <f t="array" ref="S338">INT(SUMPRODUCT(--ISNUMBER(SEARCH(immigration,C338)))&gt;0)</f>
        <v>0</v>
      </c>
      <c r="T338" s="14" cm="1">
        <f t="array" ref="T338">INT(SUMPRODUCT(--ISNUMBER(SEARCH(econineq,C339)))&gt;0)</f>
        <v>1</v>
      </c>
      <c r="U338" s="14" cm="1">
        <f t="array" ref="U338">INT(SUMPRODUCT(--ISNUMBER(SEARCH(climate,C338)))&gt;0)</f>
        <v>0</v>
      </c>
      <c r="V338" s="14" cm="1">
        <f t="array" ref="V338">INT(SUMPRODUCT(--ISNUMBER(SEARCH(abortion,C338)))&gt;0)</f>
        <v>0</v>
      </c>
      <c r="W338" s="14" cm="1">
        <f t="array" ref="W338">INT(SUMPRODUCT(--ISNUMBER(SEARCH(trump,C338)))&gt;0)</f>
        <v>0</v>
      </c>
      <c r="X338" s="14" cm="1">
        <f t="array" ref="X338">INT(SUMPRODUCT(--ISNUMBER(SEARCH(voting,C338)))&gt;0)</f>
        <v>1</v>
      </c>
      <c r="Y338" s="14" cm="1">
        <f t="array" ref="Y338">INT(SUMPRODUCT(--ISNUMBER(SEARCH(democrattrigger,C338)))&gt;0)</f>
        <v>0</v>
      </c>
      <c r="Z338" s="14" cm="1">
        <f t="array" ref="Z338">INT(SUMPRODUCT(--ISNUMBER(SEARCH(bipartisan,C338)))&gt;0)</f>
        <v>0</v>
      </c>
      <c r="AA338" s="14">
        <f t="shared" si="5"/>
        <v>0</v>
      </c>
      <c r="AB338" s="14"/>
      <c r="AC338" s="30" t="s">
        <v>223</v>
      </c>
      <c r="AD338" s="37" t="s">
        <v>223</v>
      </c>
    </row>
    <row r="339" spans="1:30" x14ac:dyDescent="0.25">
      <c r="A339" s="36">
        <v>1802</v>
      </c>
      <c r="B339" s="14" t="s">
        <v>3630</v>
      </c>
      <c r="C339" s="14" t="s">
        <v>3631</v>
      </c>
      <c r="D339" s="17">
        <v>44115</v>
      </c>
      <c r="E339" s="14" t="s">
        <v>30</v>
      </c>
      <c r="F339" s="14">
        <v>739</v>
      </c>
      <c r="G339" s="14">
        <v>218</v>
      </c>
      <c r="H339" s="14">
        <v>8</v>
      </c>
      <c r="I339" s="14">
        <v>4</v>
      </c>
      <c r="J339" s="14" t="s">
        <v>204</v>
      </c>
      <c r="K339" s="14" cm="1">
        <f t="array" ref="K339">INT(SUMPRODUCT(--ISNUMBER(SEARCH(economy,C339)))&gt;0)</f>
        <v>0</v>
      </c>
      <c r="L339" s="14" cm="1">
        <f t="array" ref="L339">INT(SUMPRODUCT(--ISNUMBER(SEARCH(healthcare,C339)))&gt;0)</f>
        <v>0</v>
      </c>
      <c r="M339" s="14" cm="1">
        <f t="array" ref="M339">INT(SUMPRODUCT(--ISNUMBER(SEARCH(supreme,C339)))&gt;0)</f>
        <v>0</v>
      </c>
      <c r="N339" s="14" cm="1">
        <f t="array" ref="N339">INT(SUMPRODUCT(--ISNUMBER(SEARCH(covid,C339)))&gt;0)</f>
        <v>0</v>
      </c>
      <c r="O339" s="14" cm="1">
        <f t="array" ref="O339">INT(SUMPRODUCT(--ISNUMBER(SEARCH(violent,C339)))&gt;0)</f>
        <v>0</v>
      </c>
      <c r="P339" s="14" cm="1">
        <f t="array" ref="P339">INT(SUMPRODUCT(--ISNUMBER(SEARCH(foreign,C339)))&gt;0)</f>
        <v>0</v>
      </c>
      <c r="Q339" s="14" cm="1">
        <f t="array" ref="Q339">INT(SUMPRODUCT(--ISNUMBER(SEARCH(gun,C339)))&gt;0)</f>
        <v>0</v>
      </c>
      <c r="R339" s="14" cm="1">
        <f t="array" ref="R339">INT(SUMPRODUCT(--ISNUMBER(SEARCH(race,C339)))&gt;0)</f>
        <v>0</v>
      </c>
      <c r="S339" s="14" cm="1">
        <f t="array" ref="S339">INT(SUMPRODUCT(--ISNUMBER(SEARCH(immigration,C339)))&gt;0)</f>
        <v>0</v>
      </c>
      <c r="T339" s="14" cm="1">
        <f t="array" ref="T339">INT(SUMPRODUCT(--ISNUMBER(SEARCH(econineq,C340)))&gt;0)</f>
        <v>0</v>
      </c>
      <c r="U339" s="14" cm="1">
        <f t="array" ref="U339">INT(SUMPRODUCT(--ISNUMBER(SEARCH(climate,C339)))&gt;0)</f>
        <v>0</v>
      </c>
      <c r="V339" s="14" cm="1">
        <f t="array" ref="V339">INT(SUMPRODUCT(--ISNUMBER(SEARCH(abortion,C339)))&gt;0)</f>
        <v>0</v>
      </c>
      <c r="W339" s="14" cm="1">
        <f t="array" ref="W339">INT(SUMPRODUCT(--ISNUMBER(SEARCH(trump,C339)))&gt;0)</f>
        <v>0</v>
      </c>
      <c r="X339" s="14" cm="1">
        <f t="array" ref="X339">INT(SUMPRODUCT(--ISNUMBER(SEARCH(voting,C339)))&gt;0)</f>
        <v>0</v>
      </c>
      <c r="Y339" s="14" cm="1">
        <f t="array" ref="Y339">INT(SUMPRODUCT(--ISNUMBER(SEARCH(democrattrigger,C339)))&gt;0)</f>
        <v>0</v>
      </c>
      <c r="Z339" s="14" cm="1">
        <f t="array" ref="Z339">INT(SUMPRODUCT(--ISNUMBER(SEARCH(bipartisan,C339)))&gt;0)</f>
        <v>0</v>
      </c>
      <c r="AA339" s="14">
        <f t="shared" si="5"/>
        <v>1</v>
      </c>
      <c r="AB339" s="14"/>
      <c r="AC339" s="30" t="s">
        <v>223</v>
      </c>
      <c r="AD339" s="37" t="s">
        <v>223</v>
      </c>
    </row>
    <row r="340" spans="1:30" x14ac:dyDescent="0.25">
      <c r="A340" s="36">
        <v>1803</v>
      </c>
      <c r="B340" s="14" t="s">
        <v>3632</v>
      </c>
      <c r="C340" s="14" t="s">
        <v>3633</v>
      </c>
      <c r="D340" s="17">
        <v>44115</v>
      </c>
      <c r="E340" s="14" t="s">
        <v>30</v>
      </c>
      <c r="F340" s="14">
        <v>2056</v>
      </c>
      <c r="G340" s="14">
        <v>474</v>
      </c>
      <c r="H340" s="14">
        <v>8</v>
      </c>
      <c r="I340" s="14">
        <v>4</v>
      </c>
      <c r="J340" s="14" t="s">
        <v>204</v>
      </c>
      <c r="K340" s="14" cm="1">
        <f t="array" ref="K340">INT(SUMPRODUCT(--ISNUMBER(SEARCH(economy,C340)))&gt;0)</f>
        <v>0</v>
      </c>
      <c r="L340" s="14" cm="1">
        <f t="array" ref="L340">INT(SUMPRODUCT(--ISNUMBER(SEARCH(healthcare,C340)))&gt;0)</f>
        <v>0</v>
      </c>
      <c r="M340" s="14" cm="1">
        <f t="array" ref="M340">INT(SUMPRODUCT(--ISNUMBER(SEARCH(supreme,C340)))&gt;0)</f>
        <v>0</v>
      </c>
      <c r="N340" s="14" cm="1">
        <f t="array" ref="N340">INT(SUMPRODUCT(--ISNUMBER(SEARCH(covid,C340)))&gt;0)</f>
        <v>0</v>
      </c>
      <c r="O340" s="14" cm="1">
        <f t="array" ref="O340">INT(SUMPRODUCT(--ISNUMBER(SEARCH(violent,C340)))&gt;0)</f>
        <v>0</v>
      </c>
      <c r="P340" s="14" cm="1">
        <f t="array" ref="P340">INT(SUMPRODUCT(--ISNUMBER(SEARCH(foreign,C340)))&gt;0)</f>
        <v>0</v>
      </c>
      <c r="Q340" s="14" cm="1">
        <f t="array" ref="Q340">INT(SUMPRODUCT(--ISNUMBER(SEARCH(gun,C340)))&gt;0)</f>
        <v>0</v>
      </c>
      <c r="R340" s="14" cm="1">
        <f t="array" ref="R340">INT(SUMPRODUCT(--ISNUMBER(SEARCH(race,C340)))&gt;0)</f>
        <v>0</v>
      </c>
      <c r="S340" s="14" cm="1">
        <f t="array" ref="S340">INT(SUMPRODUCT(--ISNUMBER(SEARCH(immigration,C340)))&gt;0)</f>
        <v>0</v>
      </c>
      <c r="T340" s="14" cm="1">
        <f t="array" ref="T340">INT(SUMPRODUCT(--ISNUMBER(SEARCH(econineq,C341)))&gt;0)</f>
        <v>0</v>
      </c>
      <c r="U340" s="14" cm="1">
        <f t="array" ref="U340">INT(SUMPRODUCT(--ISNUMBER(SEARCH(climate,C340)))&gt;0)</f>
        <v>0</v>
      </c>
      <c r="V340" s="14" cm="1">
        <f t="array" ref="V340">INT(SUMPRODUCT(--ISNUMBER(SEARCH(abortion,C340)))&gt;0)</f>
        <v>0</v>
      </c>
      <c r="W340" s="14" cm="1">
        <f t="array" ref="W340">INT(SUMPRODUCT(--ISNUMBER(SEARCH(trump,C340)))&gt;0)</f>
        <v>0</v>
      </c>
      <c r="X340" s="14" cm="1">
        <f t="array" ref="X340">INT(SUMPRODUCT(--ISNUMBER(SEARCH(voting,C340)))&gt;0)</f>
        <v>0</v>
      </c>
      <c r="Y340" s="14" cm="1">
        <f t="array" ref="Y340">INT(SUMPRODUCT(--ISNUMBER(SEARCH(democrattrigger,C340)))&gt;0)</f>
        <v>0</v>
      </c>
      <c r="Z340" s="14" cm="1">
        <f t="array" ref="Z340">INT(SUMPRODUCT(--ISNUMBER(SEARCH(bipartisan,C340)))&gt;0)</f>
        <v>0</v>
      </c>
      <c r="AA340" s="14">
        <f t="shared" si="5"/>
        <v>1</v>
      </c>
      <c r="AB340" s="14"/>
      <c r="AC340" s="30" t="s">
        <v>223</v>
      </c>
      <c r="AD340" s="37" t="s">
        <v>223</v>
      </c>
    </row>
    <row r="341" spans="1:30" x14ac:dyDescent="0.25">
      <c r="A341" s="36">
        <v>1804</v>
      </c>
      <c r="B341" s="14" t="s">
        <v>3634</v>
      </c>
      <c r="C341" s="14" t="s">
        <v>3635</v>
      </c>
      <c r="D341" s="17">
        <v>44115</v>
      </c>
      <c r="E341" s="14" t="s">
        <v>30</v>
      </c>
      <c r="F341" s="14">
        <v>1931</v>
      </c>
      <c r="G341" s="14">
        <v>592</v>
      </c>
      <c r="H341" s="14">
        <v>8</v>
      </c>
      <c r="I341" s="14">
        <v>4</v>
      </c>
      <c r="J341" s="14" t="s">
        <v>204</v>
      </c>
      <c r="K341" s="14" cm="1">
        <f t="array" ref="K341">INT(SUMPRODUCT(--ISNUMBER(SEARCH(economy,C341)))&gt;0)</f>
        <v>0</v>
      </c>
      <c r="L341" s="14" cm="1">
        <f t="array" ref="L341">INT(SUMPRODUCT(--ISNUMBER(SEARCH(healthcare,C341)))&gt;0)</f>
        <v>0</v>
      </c>
      <c r="M341" s="14" cm="1">
        <f t="array" ref="M341">INT(SUMPRODUCT(--ISNUMBER(SEARCH(supreme,C341)))&gt;0)</f>
        <v>0</v>
      </c>
      <c r="N341" s="14" cm="1">
        <f t="array" ref="N341">INT(SUMPRODUCT(--ISNUMBER(SEARCH(covid,C341)))&gt;0)</f>
        <v>0</v>
      </c>
      <c r="O341" s="14" cm="1">
        <f t="array" ref="O341">INT(SUMPRODUCT(--ISNUMBER(SEARCH(violent,C341)))&gt;0)</f>
        <v>0</v>
      </c>
      <c r="P341" s="14" cm="1">
        <f t="array" ref="P341">INT(SUMPRODUCT(--ISNUMBER(SEARCH(foreign,C341)))&gt;0)</f>
        <v>0</v>
      </c>
      <c r="Q341" s="14" cm="1">
        <f t="array" ref="Q341">INT(SUMPRODUCT(--ISNUMBER(SEARCH(gun,C341)))&gt;0)</f>
        <v>0</v>
      </c>
      <c r="R341" s="14" cm="1">
        <f t="array" ref="R341">INT(SUMPRODUCT(--ISNUMBER(SEARCH(race,C341)))&gt;0)</f>
        <v>0</v>
      </c>
      <c r="S341" s="14" cm="1">
        <f t="array" ref="S341">INT(SUMPRODUCT(--ISNUMBER(SEARCH(immigration,C341)))&gt;0)</f>
        <v>0</v>
      </c>
      <c r="T341" s="14" cm="1">
        <f t="array" ref="T341">INT(SUMPRODUCT(--ISNUMBER(SEARCH(econineq,C342)))&gt;0)</f>
        <v>0</v>
      </c>
      <c r="U341" s="14" cm="1">
        <f t="array" ref="U341">INT(SUMPRODUCT(--ISNUMBER(SEARCH(climate,C341)))&gt;0)</f>
        <v>0</v>
      </c>
      <c r="V341" s="14" cm="1">
        <f t="array" ref="V341">INT(SUMPRODUCT(--ISNUMBER(SEARCH(abortion,C341)))&gt;0)</f>
        <v>0</v>
      </c>
      <c r="W341" s="14" cm="1">
        <f t="array" ref="W341">INT(SUMPRODUCT(--ISNUMBER(SEARCH(trump,C341)))&gt;0)</f>
        <v>0</v>
      </c>
      <c r="X341" s="14" cm="1">
        <f t="array" ref="X341">INT(SUMPRODUCT(--ISNUMBER(SEARCH(voting,C341)))&gt;0)</f>
        <v>0</v>
      </c>
      <c r="Y341" s="14" cm="1">
        <f t="array" ref="Y341">INT(SUMPRODUCT(--ISNUMBER(SEARCH(democrattrigger,C341)))&gt;0)</f>
        <v>0</v>
      </c>
      <c r="Z341" s="14" cm="1">
        <f t="array" ref="Z341">INT(SUMPRODUCT(--ISNUMBER(SEARCH(bipartisan,C341)))&gt;0)</f>
        <v>0</v>
      </c>
      <c r="AA341" s="14">
        <f t="shared" si="5"/>
        <v>1</v>
      </c>
      <c r="AB341" s="14"/>
      <c r="AC341" s="30" t="s">
        <v>223</v>
      </c>
      <c r="AD341" s="37" t="s">
        <v>223</v>
      </c>
    </row>
    <row r="342" spans="1:30" x14ac:dyDescent="0.25">
      <c r="A342" s="36">
        <v>1805</v>
      </c>
      <c r="B342" s="14" t="s">
        <v>3636</v>
      </c>
      <c r="C342" s="14" t="s">
        <v>3637</v>
      </c>
      <c r="D342" s="17">
        <v>44115</v>
      </c>
      <c r="E342" s="14" t="s">
        <v>30</v>
      </c>
      <c r="F342" s="14">
        <v>3845</v>
      </c>
      <c r="G342" s="14">
        <v>1335</v>
      </c>
      <c r="H342" s="14">
        <v>8</v>
      </c>
      <c r="I342" s="14">
        <v>4</v>
      </c>
      <c r="J342" s="14" t="s">
        <v>204</v>
      </c>
      <c r="K342" s="14" cm="1">
        <f t="array" ref="K342">INT(SUMPRODUCT(--ISNUMBER(SEARCH(economy,C342)))&gt;0)</f>
        <v>0</v>
      </c>
      <c r="L342" s="14" cm="1">
        <f t="array" ref="L342">INT(SUMPRODUCT(--ISNUMBER(SEARCH(healthcare,C342)))&gt;0)</f>
        <v>1</v>
      </c>
      <c r="M342" s="14" cm="1">
        <f t="array" ref="M342">INT(SUMPRODUCT(--ISNUMBER(SEARCH(supreme,C342)))&gt;0)</f>
        <v>0</v>
      </c>
      <c r="N342" s="14" cm="1">
        <f t="array" ref="N342">INT(SUMPRODUCT(--ISNUMBER(SEARCH(covid,C342)))&gt;0)</f>
        <v>0</v>
      </c>
      <c r="O342" s="14" cm="1">
        <f t="array" ref="O342">INT(SUMPRODUCT(--ISNUMBER(SEARCH(violent,C342)))&gt;0)</f>
        <v>0</v>
      </c>
      <c r="P342" s="14" cm="1">
        <f t="array" ref="P342">INT(SUMPRODUCT(--ISNUMBER(SEARCH(foreign,C342)))&gt;0)</f>
        <v>0</v>
      </c>
      <c r="Q342" s="14" cm="1">
        <f t="array" ref="Q342">INT(SUMPRODUCT(--ISNUMBER(SEARCH(gun,C342)))&gt;0)</f>
        <v>0</v>
      </c>
      <c r="R342" s="14" cm="1">
        <f t="array" ref="R342">INT(SUMPRODUCT(--ISNUMBER(SEARCH(race,C342)))&gt;0)</f>
        <v>0</v>
      </c>
      <c r="S342" s="14" cm="1">
        <f t="array" ref="S342">INT(SUMPRODUCT(--ISNUMBER(SEARCH(immigration,C342)))&gt;0)</f>
        <v>0</v>
      </c>
      <c r="T342" s="14" cm="1">
        <f t="array" ref="T342">INT(SUMPRODUCT(--ISNUMBER(SEARCH(econineq,C343)))&gt;0)</f>
        <v>0</v>
      </c>
      <c r="U342" s="14" cm="1">
        <f t="array" ref="U342">INT(SUMPRODUCT(--ISNUMBER(SEARCH(climate,C342)))&gt;0)</f>
        <v>0</v>
      </c>
      <c r="V342" s="14" cm="1">
        <f t="array" ref="V342">INT(SUMPRODUCT(--ISNUMBER(SEARCH(abortion,C342)))&gt;0)</f>
        <v>0</v>
      </c>
      <c r="W342" s="14" cm="1">
        <f t="array" ref="W342">INT(SUMPRODUCT(--ISNUMBER(SEARCH(trump,C342)))&gt;0)</f>
        <v>0</v>
      </c>
      <c r="X342" s="14" cm="1">
        <f t="array" ref="X342">INT(SUMPRODUCT(--ISNUMBER(SEARCH(voting,C342)))&gt;0)</f>
        <v>1</v>
      </c>
      <c r="Y342" s="14" cm="1">
        <f t="array" ref="Y342">INT(SUMPRODUCT(--ISNUMBER(SEARCH(democrattrigger,C342)))&gt;0)</f>
        <v>1</v>
      </c>
      <c r="Z342" s="14" cm="1">
        <f t="array" ref="Z342">INT(SUMPRODUCT(--ISNUMBER(SEARCH(bipartisan,C342)))&gt;0)</f>
        <v>0</v>
      </c>
      <c r="AA342" s="14">
        <f t="shared" si="5"/>
        <v>0</v>
      </c>
      <c r="AB342" s="14"/>
      <c r="AC342" s="30">
        <v>0</v>
      </c>
      <c r="AD342" s="37">
        <v>1</v>
      </c>
    </row>
    <row r="343" spans="1:30" x14ac:dyDescent="0.25">
      <c r="A343" s="36">
        <v>1806</v>
      </c>
      <c r="B343" s="14" t="s">
        <v>3638</v>
      </c>
      <c r="C343" s="14" t="s">
        <v>3639</v>
      </c>
      <c r="D343" s="17">
        <v>44114</v>
      </c>
      <c r="E343" s="14" t="s">
        <v>30</v>
      </c>
      <c r="F343" s="14">
        <v>1352</v>
      </c>
      <c r="G343" s="14">
        <v>584</v>
      </c>
      <c r="H343" s="14">
        <v>8</v>
      </c>
      <c r="I343" s="14">
        <v>4</v>
      </c>
      <c r="J343" s="14" t="s">
        <v>204</v>
      </c>
      <c r="K343" s="14" cm="1">
        <f t="array" ref="K343">INT(SUMPRODUCT(--ISNUMBER(SEARCH(economy,C343)))&gt;0)</f>
        <v>0</v>
      </c>
      <c r="L343" s="14" cm="1">
        <f t="array" ref="L343">INT(SUMPRODUCT(--ISNUMBER(SEARCH(healthcare,C343)))&gt;0)</f>
        <v>0</v>
      </c>
      <c r="M343" s="14" cm="1">
        <f t="array" ref="M343">INT(SUMPRODUCT(--ISNUMBER(SEARCH(supreme,C343)))&gt;0)</f>
        <v>0</v>
      </c>
      <c r="N343" s="14" cm="1">
        <f t="array" ref="N343">INT(SUMPRODUCT(--ISNUMBER(SEARCH(covid,C343)))&gt;0)</f>
        <v>0</v>
      </c>
      <c r="O343" s="14" cm="1">
        <f t="array" ref="O343">INT(SUMPRODUCT(--ISNUMBER(SEARCH(violent,C343)))&gt;0)</f>
        <v>0</v>
      </c>
      <c r="P343" s="14" cm="1">
        <f t="array" ref="P343">INT(SUMPRODUCT(--ISNUMBER(SEARCH(foreign,C343)))&gt;0)</f>
        <v>0</v>
      </c>
      <c r="Q343" s="14" cm="1">
        <f t="array" ref="Q343">INT(SUMPRODUCT(--ISNUMBER(SEARCH(gun,C343)))&gt;0)</f>
        <v>0</v>
      </c>
      <c r="R343" s="14" cm="1">
        <f t="array" ref="R343">INT(SUMPRODUCT(--ISNUMBER(SEARCH(race,C343)))&gt;0)</f>
        <v>0</v>
      </c>
      <c r="S343" s="14" cm="1">
        <f t="array" ref="S343">INT(SUMPRODUCT(--ISNUMBER(SEARCH(immigration,C343)))&gt;0)</f>
        <v>0</v>
      </c>
      <c r="T343" s="14" cm="1">
        <f t="array" ref="T343">INT(SUMPRODUCT(--ISNUMBER(SEARCH(econineq,C344)))&gt;0)</f>
        <v>0</v>
      </c>
      <c r="U343" s="14" cm="1">
        <f t="array" ref="U343">INT(SUMPRODUCT(--ISNUMBER(SEARCH(climate,C343)))&gt;0)</f>
        <v>0</v>
      </c>
      <c r="V343" s="14" cm="1">
        <f t="array" ref="V343">INT(SUMPRODUCT(--ISNUMBER(SEARCH(abortion,C343)))&gt;0)</f>
        <v>0</v>
      </c>
      <c r="W343" s="14" cm="1">
        <f t="array" ref="W343">INT(SUMPRODUCT(--ISNUMBER(SEARCH(trump,C343)))&gt;0)</f>
        <v>0</v>
      </c>
      <c r="X343" s="14" cm="1">
        <f t="array" ref="X343">INT(SUMPRODUCT(--ISNUMBER(SEARCH(voting,C343)))&gt;0)</f>
        <v>1</v>
      </c>
      <c r="Y343" s="14" cm="1">
        <f t="array" ref="Y343">INT(SUMPRODUCT(--ISNUMBER(SEARCH(democrattrigger,C343)))&gt;0)</f>
        <v>0</v>
      </c>
      <c r="Z343" s="14" cm="1">
        <f t="array" ref="Z343">INT(SUMPRODUCT(--ISNUMBER(SEARCH(bipartisan,C343)))&gt;0)</f>
        <v>0</v>
      </c>
      <c r="AA343" s="14">
        <f t="shared" si="5"/>
        <v>0</v>
      </c>
      <c r="AB343" s="14"/>
      <c r="AC343" s="30" t="s">
        <v>223</v>
      </c>
      <c r="AD343" s="37" t="s">
        <v>223</v>
      </c>
    </row>
    <row r="344" spans="1:30" x14ac:dyDescent="0.25">
      <c r="A344" s="36">
        <v>1807</v>
      </c>
      <c r="B344" s="14" t="s">
        <v>3640</v>
      </c>
      <c r="C344" s="14" t="s">
        <v>3641</v>
      </c>
      <c r="D344" s="17">
        <v>44114</v>
      </c>
      <c r="E344" s="14" t="s">
        <v>30</v>
      </c>
      <c r="F344" s="14">
        <v>1100</v>
      </c>
      <c r="G344" s="14">
        <v>296</v>
      </c>
      <c r="H344" s="14">
        <v>8</v>
      </c>
      <c r="I344" s="14">
        <v>4</v>
      </c>
      <c r="J344" s="14" t="s">
        <v>204</v>
      </c>
      <c r="K344" s="14" cm="1">
        <f t="array" ref="K344">INT(SUMPRODUCT(--ISNUMBER(SEARCH(economy,C344)))&gt;0)</f>
        <v>0</v>
      </c>
      <c r="L344" s="14" cm="1">
        <f t="array" ref="L344">INT(SUMPRODUCT(--ISNUMBER(SEARCH(healthcare,C344)))&gt;0)</f>
        <v>0</v>
      </c>
      <c r="M344" s="14" cm="1">
        <f t="array" ref="M344">INT(SUMPRODUCT(--ISNUMBER(SEARCH(supreme,C344)))&gt;0)</f>
        <v>0</v>
      </c>
      <c r="N344" s="14" cm="1">
        <f t="array" ref="N344">INT(SUMPRODUCT(--ISNUMBER(SEARCH(covid,C344)))&gt;0)</f>
        <v>0</v>
      </c>
      <c r="O344" s="14" cm="1">
        <f t="array" ref="O344">INT(SUMPRODUCT(--ISNUMBER(SEARCH(violent,C344)))&gt;0)</f>
        <v>0</v>
      </c>
      <c r="P344" s="14" cm="1">
        <f t="array" ref="P344">INT(SUMPRODUCT(--ISNUMBER(SEARCH(foreign,C344)))&gt;0)</f>
        <v>1</v>
      </c>
      <c r="Q344" s="14" cm="1">
        <f t="array" ref="Q344">INT(SUMPRODUCT(--ISNUMBER(SEARCH(gun,C344)))&gt;0)</f>
        <v>0</v>
      </c>
      <c r="R344" s="14" cm="1">
        <f t="array" ref="R344">INT(SUMPRODUCT(--ISNUMBER(SEARCH(race,C344)))&gt;0)</f>
        <v>0</v>
      </c>
      <c r="S344" s="14" cm="1">
        <f t="array" ref="S344">INT(SUMPRODUCT(--ISNUMBER(SEARCH(immigration,C344)))&gt;0)</f>
        <v>0</v>
      </c>
      <c r="T344" s="14" cm="1">
        <f t="array" ref="T344">INT(SUMPRODUCT(--ISNUMBER(SEARCH(econineq,C345)))&gt;0)</f>
        <v>0</v>
      </c>
      <c r="U344" s="14" cm="1">
        <f t="array" ref="U344">INT(SUMPRODUCT(--ISNUMBER(SEARCH(climate,C344)))&gt;0)</f>
        <v>0</v>
      </c>
      <c r="V344" s="14" cm="1">
        <f t="array" ref="V344">INT(SUMPRODUCT(--ISNUMBER(SEARCH(abortion,C344)))&gt;0)</f>
        <v>0</v>
      </c>
      <c r="W344" s="14" cm="1">
        <f t="array" ref="W344">INT(SUMPRODUCT(--ISNUMBER(SEARCH(trump,C344)))&gt;0)</f>
        <v>0</v>
      </c>
      <c r="X344" s="14" cm="1">
        <f t="array" ref="X344">INT(SUMPRODUCT(--ISNUMBER(SEARCH(voting,C344)))&gt;0)</f>
        <v>0</v>
      </c>
      <c r="Y344" s="14" cm="1">
        <f t="array" ref="Y344">INT(SUMPRODUCT(--ISNUMBER(SEARCH(democrattrigger,C344)))&gt;0)</f>
        <v>0</v>
      </c>
      <c r="Z344" s="14" cm="1">
        <f t="array" ref="Z344">INT(SUMPRODUCT(--ISNUMBER(SEARCH(bipartisan,C344)))&gt;0)</f>
        <v>0</v>
      </c>
      <c r="AA344" s="14">
        <f t="shared" si="5"/>
        <v>0</v>
      </c>
      <c r="AB344" s="14"/>
      <c r="AC344" s="30">
        <v>1</v>
      </c>
      <c r="AD344" s="37">
        <v>0</v>
      </c>
    </row>
    <row r="345" spans="1:30" x14ac:dyDescent="0.25">
      <c r="A345" s="36">
        <v>1808</v>
      </c>
      <c r="B345" s="14" t="s">
        <v>3642</v>
      </c>
      <c r="C345" s="14" t="s">
        <v>3643</v>
      </c>
      <c r="D345" s="17">
        <v>44114</v>
      </c>
      <c r="E345" s="14" t="s">
        <v>30</v>
      </c>
      <c r="F345" s="14">
        <v>391</v>
      </c>
      <c r="G345" s="14">
        <v>89</v>
      </c>
      <c r="H345" s="14">
        <v>8</v>
      </c>
      <c r="I345" s="14">
        <v>4</v>
      </c>
      <c r="J345" s="14" t="s">
        <v>204</v>
      </c>
      <c r="K345" s="14" cm="1">
        <f t="array" ref="K345">INT(SUMPRODUCT(--ISNUMBER(SEARCH(economy,C345)))&gt;0)</f>
        <v>0</v>
      </c>
      <c r="L345" s="14" cm="1">
        <f t="array" ref="L345">INT(SUMPRODUCT(--ISNUMBER(SEARCH(healthcare,C345)))&gt;0)</f>
        <v>0</v>
      </c>
      <c r="M345" s="14" cm="1">
        <f t="array" ref="M345">INT(SUMPRODUCT(--ISNUMBER(SEARCH(supreme,C345)))&gt;0)</f>
        <v>0</v>
      </c>
      <c r="N345" s="14" cm="1">
        <f t="array" ref="N345">INT(SUMPRODUCT(--ISNUMBER(SEARCH(covid,C345)))&gt;0)</f>
        <v>0</v>
      </c>
      <c r="O345" s="14" cm="1">
        <f t="array" ref="O345">INT(SUMPRODUCT(--ISNUMBER(SEARCH(violent,C345)))&gt;0)</f>
        <v>0</v>
      </c>
      <c r="P345" s="14" cm="1">
        <f t="array" ref="P345">INT(SUMPRODUCT(--ISNUMBER(SEARCH(foreign,C345)))&gt;0)</f>
        <v>0</v>
      </c>
      <c r="Q345" s="14" cm="1">
        <f t="array" ref="Q345">INT(SUMPRODUCT(--ISNUMBER(SEARCH(gun,C345)))&gt;0)</f>
        <v>0</v>
      </c>
      <c r="R345" s="14" cm="1">
        <f t="array" ref="R345">INT(SUMPRODUCT(--ISNUMBER(SEARCH(race,C345)))&gt;0)</f>
        <v>0</v>
      </c>
      <c r="S345" s="14" cm="1">
        <f t="array" ref="S345">INT(SUMPRODUCT(--ISNUMBER(SEARCH(immigration,C345)))&gt;0)</f>
        <v>0</v>
      </c>
      <c r="T345" s="14" cm="1">
        <f t="array" ref="T345">INT(SUMPRODUCT(--ISNUMBER(SEARCH(econineq,C346)))&gt;0)</f>
        <v>0</v>
      </c>
      <c r="U345" s="14" cm="1">
        <f t="array" ref="U345">INT(SUMPRODUCT(--ISNUMBER(SEARCH(climate,C345)))&gt;0)</f>
        <v>0</v>
      </c>
      <c r="V345" s="14" cm="1">
        <f t="array" ref="V345">INT(SUMPRODUCT(--ISNUMBER(SEARCH(abortion,C345)))&gt;0)</f>
        <v>0</v>
      </c>
      <c r="W345" s="14" cm="1">
        <f t="array" ref="W345">INT(SUMPRODUCT(--ISNUMBER(SEARCH(trump,C345)))&gt;0)</f>
        <v>0</v>
      </c>
      <c r="X345" s="14" cm="1">
        <f t="array" ref="X345">INT(SUMPRODUCT(--ISNUMBER(SEARCH(voting,C345)))&gt;0)</f>
        <v>0</v>
      </c>
      <c r="Y345" s="14" cm="1">
        <f t="array" ref="Y345">INT(SUMPRODUCT(--ISNUMBER(SEARCH(democrattrigger,C345)))&gt;0)</f>
        <v>0</v>
      </c>
      <c r="Z345" s="14" cm="1">
        <f t="array" ref="Z345">INT(SUMPRODUCT(--ISNUMBER(SEARCH(bipartisan,C345)))&gt;0)</f>
        <v>0</v>
      </c>
      <c r="AA345" s="14">
        <f t="shared" si="5"/>
        <v>1</v>
      </c>
      <c r="AB345" s="14"/>
      <c r="AC345" s="30" t="s">
        <v>223</v>
      </c>
      <c r="AD345" s="37" t="s">
        <v>223</v>
      </c>
    </row>
    <row r="346" spans="1:30" x14ac:dyDescent="0.25">
      <c r="A346" s="36">
        <v>1809</v>
      </c>
      <c r="B346" s="14" t="s">
        <v>3644</v>
      </c>
      <c r="C346" s="14" t="s">
        <v>3645</v>
      </c>
      <c r="D346" s="17">
        <v>44114</v>
      </c>
      <c r="E346" s="14" t="s">
        <v>30</v>
      </c>
      <c r="F346" s="14">
        <v>4010</v>
      </c>
      <c r="G346" s="14">
        <v>281</v>
      </c>
      <c r="H346" s="14">
        <v>8</v>
      </c>
      <c r="I346" s="14">
        <v>4</v>
      </c>
      <c r="J346" s="14" t="s">
        <v>204</v>
      </c>
      <c r="K346" s="14" cm="1">
        <f t="array" ref="K346">INT(SUMPRODUCT(--ISNUMBER(SEARCH(economy,C346)))&gt;0)</f>
        <v>0</v>
      </c>
      <c r="L346" s="14" cm="1">
        <f t="array" ref="L346">INT(SUMPRODUCT(--ISNUMBER(SEARCH(healthcare,C346)))&gt;0)</f>
        <v>0</v>
      </c>
      <c r="M346" s="14" cm="1">
        <f t="array" ref="M346">INT(SUMPRODUCT(--ISNUMBER(SEARCH(supreme,C346)))&gt;0)</f>
        <v>0</v>
      </c>
      <c r="N346" s="14" cm="1">
        <f t="array" ref="N346">INT(SUMPRODUCT(--ISNUMBER(SEARCH(covid,C346)))&gt;0)</f>
        <v>0</v>
      </c>
      <c r="O346" s="14" cm="1">
        <f t="array" ref="O346">INT(SUMPRODUCT(--ISNUMBER(SEARCH(violent,C346)))&gt;0)</f>
        <v>0</v>
      </c>
      <c r="P346" s="14" cm="1">
        <f t="array" ref="P346">INT(SUMPRODUCT(--ISNUMBER(SEARCH(foreign,C346)))&gt;0)</f>
        <v>0</v>
      </c>
      <c r="Q346" s="14" cm="1">
        <f t="array" ref="Q346">INT(SUMPRODUCT(--ISNUMBER(SEARCH(gun,C346)))&gt;0)</f>
        <v>0</v>
      </c>
      <c r="R346" s="14" cm="1">
        <f t="array" ref="R346">INT(SUMPRODUCT(--ISNUMBER(SEARCH(race,C346)))&gt;0)</f>
        <v>0</v>
      </c>
      <c r="S346" s="14" cm="1">
        <f t="array" ref="S346">INT(SUMPRODUCT(--ISNUMBER(SEARCH(immigration,C346)))&gt;0)</f>
        <v>0</v>
      </c>
      <c r="T346" s="14" cm="1">
        <f t="array" ref="T346">INT(SUMPRODUCT(--ISNUMBER(SEARCH(econineq,C347)))&gt;0)</f>
        <v>0</v>
      </c>
      <c r="U346" s="14" cm="1">
        <f t="array" ref="U346">INT(SUMPRODUCT(--ISNUMBER(SEARCH(climate,C346)))&gt;0)</f>
        <v>0</v>
      </c>
      <c r="V346" s="14" cm="1">
        <f t="array" ref="V346">INT(SUMPRODUCT(--ISNUMBER(SEARCH(abortion,C346)))&gt;0)</f>
        <v>0</v>
      </c>
      <c r="W346" s="14" cm="1">
        <f t="array" ref="W346">INT(SUMPRODUCT(--ISNUMBER(SEARCH(trump,C346)))&gt;0)</f>
        <v>0</v>
      </c>
      <c r="X346" s="14" cm="1">
        <f t="array" ref="X346">INT(SUMPRODUCT(--ISNUMBER(SEARCH(voting,C346)))&gt;0)</f>
        <v>0</v>
      </c>
      <c r="Y346" s="14" cm="1">
        <f t="array" ref="Y346">INT(SUMPRODUCT(--ISNUMBER(SEARCH(democrattrigger,C346)))&gt;0)</f>
        <v>0</v>
      </c>
      <c r="Z346" s="14" cm="1">
        <f t="array" ref="Z346">INT(SUMPRODUCT(--ISNUMBER(SEARCH(bipartisan,C346)))&gt;0)</f>
        <v>0</v>
      </c>
      <c r="AA346" s="14">
        <f t="shared" si="5"/>
        <v>1</v>
      </c>
      <c r="AB346" s="14"/>
      <c r="AC346" s="30">
        <v>1</v>
      </c>
      <c r="AD346" s="37">
        <v>0</v>
      </c>
    </row>
    <row r="347" spans="1:30" x14ac:dyDescent="0.25">
      <c r="A347" s="36">
        <v>1810</v>
      </c>
      <c r="B347" s="14" t="s">
        <v>3646</v>
      </c>
      <c r="C347" s="14" t="s">
        <v>3647</v>
      </c>
      <c r="D347" s="17">
        <v>44113</v>
      </c>
      <c r="E347" s="14" t="s">
        <v>30</v>
      </c>
      <c r="F347" s="14">
        <v>515</v>
      </c>
      <c r="G347" s="14">
        <v>225</v>
      </c>
      <c r="H347" s="14">
        <v>8</v>
      </c>
      <c r="I347" s="14">
        <v>4</v>
      </c>
      <c r="J347" s="14" t="s">
        <v>204</v>
      </c>
      <c r="K347" s="14" cm="1">
        <f t="array" ref="K347">INT(SUMPRODUCT(--ISNUMBER(SEARCH(economy,C347)))&gt;0)</f>
        <v>0</v>
      </c>
      <c r="L347" s="14" cm="1">
        <f t="array" ref="L347">INT(SUMPRODUCT(--ISNUMBER(SEARCH(healthcare,C347)))&gt;0)</f>
        <v>0</v>
      </c>
      <c r="M347" s="14" cm="1">
        <f t="array" ref="M347">INT(SUMPRODUCT(--ISNUMBER(SEARCH(supreme,C347)))&gt;0)</f>
        <v>0</v>
      </c>
      <c r="N347" s="14" cm="1">
        <f t="array" ref="N347">INT(SUMPRODUCT(--ISNUMBER(SEARCH(covid,C347)))&gt;0)</f>
        <v>0</v>
      </c>
      <c r="O347" s="14" cm="1">
        <f t="array" ref="O347">INT(SUMPRODUCT(--ISNUMBER(SEARCH(violent,C347)))&gt;0)</f>
        <v>0</v>
      </c>
      <c r="P347" s="14" cm="1">
        <f t="array" ref="P347">INT(SUMPRODUCT(--ISNUMBER(SEARCH(foreign,C347)))&gt;0)</f>
        <v>0</v>
      </c>
      <c r="Q347" s="14" cm="1">
        <f t="array" ref="Q347">INT(SUMPRODUCT(--ISNUMBER(SEARCH(gun,C347)))&gt;0)</f>
        <v>0</v>
      </c>
      <c r="R347" s="14" cm="1">
        <f t="array" ref="R347">INT(SUMPRODUCT(--ISNUMBER(SEARCH(race,C347)))&gt;0)</f>
        <v>0</v>
      </c>
      <c r="S347" s="14" cm="1">
        <f t="array" ref="S347">INT(SUMPRODUCT(--ISNUMBER(SEARCH(immigration,C347)))&gt;0)</f>
        <v>0</v>
      </c>
      <c r="T347" s="14" cm="1">
        <f t="array" ref="T347">INT(SUMPRODUCT(--ISNUMBER(SEARCH(econineq,C348)))&gt;0)</f>
        <v>0</v>
      </c>
      <c r="U347" s="14" cm="1">
        <f t="array" ref="U347">INT(SUMPRODUCT(--ISNUMBER(SEARCH(climate,C347)))&gt;0)</f>
        <v>0</v>
      </c>
      <c r="V347" s="14" cm="1">
        <f t="array" ref="V347">INT(SUMPRODUCT(--ISNUMBER(SEARCH(abortion,C347)))&gt;0)</f>
        <v>0</v>
      </c>
      <c r="W347" s="14" cm="1">
        <f t="array" ref="W347">INT(SUMPRODUCT(--ISNUMBER(SEARCH(trump,C347)))&gt;0)</f>
        <v>0</v>
      </c>
      <c r="X347" s="14" cm="1">
        <f t="array" ref="X347">INT(SUMPRODUCT(--ISNUMBER(SEARCH(voting,C347)))&gt;0)</f>
        <v>1</v>
      </c>
      <c r="Y347" s="14" cm="1">
        <f t="array" ref="Y347">INT(SUMPRODUCT(--ISNUMBER(SEARCH(democrattrigger,C347)))&gt;0)</f>
        <v>0</v>
      </c>
      <c r="Z347" s="14" cm="1">
        <f t="array" ref="Z347">INT(SUMPRODUCT(--ISNUMBER(SEARCH(bipartisan,C347)))&gt;0)</f>
        <v>0</v>
      </c>
      <c r="AA347" s="14">
        <f t="shared" si="5"/>
        <v>0</v>
      </c>
      <c r="AB347" s="14"/>
      <c r="AC347" s="30" t="s">
        <v>223</v>
      </c>
      <c r="AD347" s="37" t="s">
        <v>223</v>
      </c>
    </row>
    <row r="348" spans="1:30" x14ac:dyDescent="0.25">
      <c r="A348" s="36">
        <v>1811</v>
      </c>
      <c r="B348" s="14" t="s">
        <v>3648</v>
      </c>
      <c r="C348" s="14" t="s">
        <v>3649</v>
      </c>
      <c r="D348" s="17">
        <v>44113</v>
      </c>
      <c r="E348" s="14" t="s">
        <v>30</v>
      </c>
      <c r="F348" s="14">
        <v>2510</v>
      </c>
      <c r="G348" s="14">
        <v>963</v>
      </c>
      <c r="H348" s="14">
        <v>8</v>
      </c>
      <c r="I348" s="14">
        <v>4</v>
      </c>
      <c r="J348" s="14" t="s">
        <v>204</v>
      </c>
      <c r="K348" s="14" cm="1">
        <f t="array" ref="K348">INT(SUMPRODUCT(--ISNUMBER(SEARCH(economy,C348)))&gt;0)</f>
        <v>0</v>
      </c>
      <c r="L348" s="14" cm="1">
        <f t="array" ref="L348">INT(SUMPRODUCT(--ISNUMBER(SEARCH(healthcare,C348)))&gt;0)</f>
        <v>1</v>
      </c>
      <c r="M348" s="14" cm="1">
        <f t="array" ref="M348">INT(SUMPRODUCT(--ISNUMBER(SEARCH(supreme,C348)))&gt;0)</f>
        <v>0</v>
      </c>
      <c r="N348" s="14" cm="1">
        <f t="array" ref="N348">INT(SUMPRODUCT(--ISNUMBER(SEARCH(covid,C348)))&gt;0)</f>
        <v>0</v>
      </c>
      <c r="O348" s="14" cm="1">
        <f t="array" ref="O348">INT(SUMPRODUCT(--ISNUMBER(SEARCH(violent,C348)))&gt;0)</f>
        <v>0</v>
      </c>
      <c r="P348" s="14" cm="1">
        <f t="array" ref="P348">INT(SUMPRODUCT(--ISNUMBER(SEARCH(foreign,C348)))&gt;0)</f>
        <v>0</v>
      </c>
      <c r="Q348" s="14" cm="1">
        <f t="array" ref="Q348">INT(SUMPRODUCT(--ISNUMBER(SEARCH(gun,C348)))&gt;0)</f>
        <v>0</v>
      </c>
      <c r="R348" s="14" cm="1">
        <f t="array" ref="R348">INT(SUMPRODUCT(--ISNUMBER(SEARCH(race,C348)))&gt;0)</f>
        <v>0</v>
      </c>
      <c r="S348" s="14" cm="1">
        <f t="array" ref="S348">INT(SUMPRODUCT(--ISNUMBER(SEARCH(immigration,C348)))&gt;0)</f>
        <v>0</v>
      </c>
      <c r="T348" s="14" cm="1">
        <f t="array" ref="T348">INT(SUMPRODUCT(--ISNUMBER(SEARCH(econineq,C349)))&gt;0)</f>
        <v>0</v>
      </c>
      <c r="U348" s="14" cm="1">
        <f t="array" ref="U348">INT(SUMPRODUCT(--ISNUMBER(SEARCH(climate,C348)))&gt;0)</f>
        <v>0</v>
      </c>
      <c r="V348" s="14" cm="1">
        <f t="array" ref="V348">INT(SUMPRODUCT(--ISNUMBER(SEARCH(abortion,C348)))&gt;0)</f>
        <v>0</v>
      </c>
      <c r="W348" s="14" cm="1">
        <f t="array" ref="W348">INT(SUMPRODUCT(--ISNUMBER(SEARCH(trump,C348)))&gt;0)</f>
        <v>0</v>
      </c>
      <c r="X348" s="14" cm="1">
        <f t="array" ref="X348">INT(SUMPRODUCT(--ISNUMBER(SEARCH(voting,C348)))&gt;0)</f>
        <v>1</v>
      </c>
      <c r="Y348" s="14" cm="1">
        <f t="array" ref="Y348">INT(SUMPRODUCT(--ISNUMBER(SEARCH(democrattrigger,C348)))&gt;0)</f>
        <v>1</v>
      </c>
      <c r="Z348" s="14" cm="1">
        <f t="array" ref="Z348">INT(SUMPRODUCT(--ISNUMBER(SEARCH(bipartisan,C348)))&gt;0)</f>
        <v>0</v>
      </c>
      <c r="AA348" s="14">
        <f t="shared" si="5"/>
        <v>0</v>
      </c>
      <c r="AB348" s="14"/>
      <c r="AC348" s="30">
        <v>0</v>
      </c>
      <c r="AD348" s="37">
        <v>1</v>
      </c>
    </row>
    <row r="349" spans="1:30" x14ac:dyDescent="0.25">
      <c r="A349" s="36">
        <v>1812</v>
      </c>
      <c r="B349" s="14" t="s">
        <v>3650</v>
      </c>
      <c r="C349" s="14" t="s">
        <v>3651</v>
      </c>
      <c r="D349" s="17">
        <v>44113</v>
      </c>
      <c r="E349" s="14" t="s">
        <v>30</v>
      </c>
      <c r="F349" s="14">
        <v>2671</v>
      </c>
      <c r="G349" s="14">
        <v>926</v>
      </c>
      <c r="H349" s="14">
        <v>8</v>
      </c>
      <c r="I349" s="14">
        <v>4</v>
      </c>
      <c r="J349" s="14" t="s">
        <v>204</v>
      </c>
      <c r="K349" s="14" cm="1">
        <f t="array" ref="K349">INT(SUMPRODUCT(--ISNUMBER(SEARCH(economy,C349)))&gt;0)</f>
        <v>0</v>
      </c>
      <c r="L349" s="14" cm="1">
        <f t="array" ref="L349">INT(SUMPRODUCT(--ISNUMBER(SEARCH(healthcare,C349)))&gt;0)</f>
        <v>1</v>
      </c>
      <c r="M349" s="14" cm="1">
        <f t="array" ref="M349">INT(SUMPRODUCT(--ISNUMBER(SEARCH(supreme,C349)))&gt;0)</f>
        <v>0</v>
      </c>
      <c r="N349" s="14" cm="1">
        <f t="array" ref="N349">INT(SUMPRODUCT(--ISNUMBER(SEARCH(covid,C349)))&gt;0)</f>
        <v>0</v>
      </c>
      <c r="O349" s="14" cm="1">
        <f t="array" ref="O349">INT(SUMPRODUCT(--ISNUMBER(SEARCH(violent,C349)))&gt;0)</f>
        <v>0</v>
      </c>
      <c r="P349" s="14" cm="1">
        <f t="array" ref="P349">INT(SUMPRODUCT(--ISNUMBER(SEARCH(foreign,C349)))&gt;0)</f>
        <v>0</v>
      </c>
      <c r="Q349" s="14" cm="1">
        <f t="array" ref="Q349">INT(SUMPRODUCT(--ISNUMBER(SEARCH(gun,C349)))&gt;0)</f>
        <v>0</v>
      </c>
      <c r="R349" s="14" cm="1">
        <f t="array" ref="R349">INT(SUMPRODUCT(--ISNUMBER(SEARCH(race,C349)))&gt;0)</f>
        <v>0</v>
      </c>
      <c r="S349" s="14" cm="1">
        <f t="array" ref="S349">INT(SUMPRODUCT(--ISNUMBER(SEARCH(immigration,C349)))&gt;0)</f>
        <v>0</v>
      </c>
      <c r="T349" s="14" cm="1">
        <f t="array" ref="T349">INT(SUMPRODUCT(--ISNUMBER(SEARCH(econineq,C350)))&gt;0)</f>
        <v>0</v>
      </c>
      <c r="U349" s="14" cm="1">
        <f t="array" ref="U349">INT(SUMPRODUCT(--ISNUMBER(SEARCH(climate,C349)))&gt;0)</f>
        <v>0</v>
      </c>
      <c r="V349" s="14" cm="1">
        <f t="array" ref="V349">INT(SUMPRODUCT(--ISNUMBER(SEARCH(abortion,C349)))&gt;0)</f>
        <v>0</v>
      </c>
      <c r="W349" s="14" cm="1">
        <f t="array" ref="W349">INT(SUMPRODUCT(--ISNUMBER(SEARCH(trump,C349)))&gt;0)</f>
        <v>0</v>
      </c>
      <c r="X349" s="14" cm="1">
        <f t="array" ref="X349">INT(SUMPRODUCT(--ISNUMBER(SEARCH(voting,C349)))&gt;0)</f>
        <v>0</v>
      </c>
      <c r="Y349" s="14" cm="1">
        <f t="array" ref="Y349">INT(SUMPRODUCT(--ISNUMBER(SEARCH(democrattrigger,C349)))&gt;0)</f>
        <v>0</v>
      </c>
      <c r="Z349" s="14" cm="1">
        <f t="array" ref="Z349">INT(SUMPRODUCT(--ISNUMBER(SEARCH(bipartisan,C349)))&gt;0)</f>
        <v>0</v>
      </c>
      <c r="AA349" s="14">
        <f t="shared" si="5"/>
        <v>0</v>
      </c>
      <c r="AB349" s="14"/>
      <c r="AC349" s="30">
        <v>1</v>
      </c>
      <c r="AD349" s="37">
        <v>0</v>
      </c>
    </row>
    <row r="350" spans="1:30" x14ac:dyDescent="0.25">
      <c r="A350" s="36">
        <v>1813</v>
      </c>
      <c r="B350" s="14" t="s">
        <v>3652</v>
      </c>
      <c r="C350" s="14" t="s">
        <v>3653</v>
      </c>
      <c r="D350" s="17">
        <v>44113</v>
      </c>
      <c r="E350" s="14" t="s">
        <v>30</v>
      </c>
      <c r="F350" s="14">
        <v>974</v>
      </c>
      <c r="G350" s="14">
        <v>462</v>
      </c>
      <c r="H350" s="14">
        <v>8</v>
      </c>
      <c r="I350" s="14">
        <v>4</v>
      </c>
      <c r="J350" s="14" t="s">
        <v>204</v>
      </c>
      <c r="K350" s="14" cm="1">
        <f t="array" ref="K350">INT(SUMPRODUCT(--ISNUMBER(SEARCH(economy,C350)))&gt;0)</f>
        <v>0</v>
      </c>
      <c r="L350" s="14" cm="1">
        <f t="array" ref="L350">INT(SUMPRODUCT(--ISNUMBER(SEARCH(healthcare,C350)))&gt;0)</f>
        <v>1</v>
      </c>
      <c r="M350" s="14" cm="1">
        <f t="array" ref="M350">INT(SUMPRODUCT(--ISNUMBER(SEARCH(supreme,C350)))&gt;0)</f>
        <v>1</v>
      </c>
      <c r="N350" s="14" cm="1">
        <f t="array" ref="N350">INT(SUMPRODUCT(--ISNUMBER(SEARCH(covid,C350)))&gt;0)</f>
        <v>1</v>
      </c>
      <c r="O350" s="14" cm="1">
        <f t="array" ref="O350">INT(SUMPRODUCT(--ISNUMBER(SEARCH(violent,C350)))&gt;0)</f>
        <v>0</v>
      </c>
      <c r="P350" s="14" cm="1">
        <f t="array" ref="P350">INT(SUMPRODUCT(--ISNUMBER(SEARCH(foreign,C350)))&gt;0)</f>
        <v>0</v>
      </c>
      <c r="Q350" s="14" cm="1">
        <f t="array" ref="Q350">INT(SUMPRODUCT(--ISNUMBER(SEARCH(gun,C350)))&gt;0)</f>
        <v>0</v>
      </c>
      <c r="R350" s="14" cm="1">
        <f t="array" ref="R350">INT(SUMPRODUCT(--ISNUMBER(SEARCH(race,C350)))&gt;0)</f>
        <v>0</v>
      </c>
      <c r="S350" s="14" cm="1">
        <f t="array" ref="S350">INT(SUMPRODUCT(--ISNUMBER(SEARCH(immigration,C350)))&gt;0)</f>
        <v>0</v>
      </c>
      <c r="T350" s="14" cm="1">
        <f t="array" ref="T350">INT(SUMPRODUCT(--ISNUMBER(SEARCH(econineq,C351)))&gt;0)</f>
        <v>0</v>
      </c>
      <c r="U350" s="14" cm="1">
        <f t="array" ref="U350">INT(SUMPRODUCT(--ISNUMBER(SEARCH(climate,C350)))&gt;0)</f>
        <v>0</v>
      </c>
      <c r="V350" s="14" cm="1">
        <f t="array" ref="V350">INT(SUMPRODUCT(--ISNUMBER(SEARCH(abortion,C350)))&gt;0)</f>
        <v>0</v>
      </c>
      <c r="W350" s="14" cm="1">
        <f t="array" ref="W350">INT(SUMPRODUCT(--ISNUMBER(SEARCH(trump,C350)))&gt;0)</f>
        <v>0</v>
      </c>
      <c r="X350" s="14" cm="1">
        <f t="array" ref="X350">INT(SUMPRODUCT(--ISNUMBER(SEARCH(voting,C350)))&gt;0)</f>
        <v>1</v>
      </c>
      <c r="Y350" s="14" cm="1">
        <f t="array" ref="Y350">INT(SUMPRODUCT(--ISNUMBER(SEARCH(democrattrigger,C350)))&gt;0)</f>
        <v>1</v>
      </c>
      <c r="Z350" s="14" cm="1">
        <f t="array" ref="Z350">INT(SUMPRODUCT(--ISNUMBER(SEARCH(bipartisan,C350)))&gt;0)</f>
        <v>0</v>
      </c>
      <c r="AA350" s="14">
        <f t="shared" si="5"/>
        <v>0</v>
      </c>
      <c r="AB350" s="14"/>
      <c r="AC350" s="30" t="s">
        <v>223</v>
      </c>
      <c r="AD350" s="37" t="s">
        <v>223</v>
      </c>
    </row>
    <row r="351" spans="1:30" x14ac:dyDescent="0.25">
      <c r="A351" s="36">
        <v>1814</v>
      </c>
      <c r="B351" s="14" t="s">
        <v>3654</v>
      </c>
      <c r="C351" s="14" t="s">
        <v>3655</v>
      </c>
      <c r="D351" s="17">
        <v>44113</v>
      </c>
      <c r="E351" s="14" t="s">
        <v>30</v>
      </c>
      <c r="F351" s="14">
        <v>797</v>
      </c>
      <c r="G351" s="14">
        <v>232</v>
      </c>
      <c r="H351" s="14">
        <v>8</v>
      </c>
      <c r="I351" s="14">
        <v>4</v>
      </c>
      <c r="J351" s="14" t="s">
        <v>204</v>
      </c>
      <c r="K351" s="14" cm="1">
        <f t="array" ref="K351">INT(SUMPRODUCT(--ISNUMBER(SEARCH(economy,C351)))&gt;0)</f>
        <v>0</v>
      </c>
      <c r="L351" s="14" cm="1">
        <f t="array" ref="L351">INT(SUMPRODUCT(--ISNUMBER(SEARCH(healthcare,C351)))&gt;0)</f>
        <v>1</v>
      </c>
      <c r="M351" s="14" cm="1">
        <f t="array" ref="M351">INT(SUMPRODUCT(--ISNUMBER(SEARCH(supreme,C351)))&gt;0)</f>
        <v>0</v>
      </c>
      <c r="N351" s="14" cm="1">
        <f t="array" ref="N351">INT(SUMPRODUCT(--ISNUMBER(SEARCH(covid,C351)))&gt;0)</f>
        <v>0</v>
      </c>
      <c r="O351" s="14" cm="1">
        <f t="array" ref="O351">INT(SUMPRODUCT(--ISNUMBER(SEARCH(violent,C351)))&gt;0)</f>
        <v>0</v>
      </c>
      <c r="P351" s="14" cm="1">
        <f t="array" ref="P351">INT(SUMPRODUCT(--ISNUMBER(SEARCH(foreign,C351)))&gt;0)</f>
        <v>0</v>
      </c>
      <c r="Q351" s="14" cm="1">
        <f t="array" ref="Q351">INT(SUMPRODUCT(--ISNUMBER(SEARCH(gun,C351)))&gt;0)</f>
        <v>0</v>
      </c>
      <c r="R351" s="14" cm="1">
        <f t="array" ref="R351">INT(SUMPRODUCT(--ISNUMBER(SEARCH(race,C351)))&gt;0)</f>
        <v>0</v>
      </c>
      <c r="S351" s="14" cm="1">
        <f t="array" ref="S351">INT(SUMPRODUCT(--ISNUMBER(SEARCH(immigration,C351)))&gt;0)</f>
        <v>0</v>
      </c>
      <c r="T351" s="14" cm="1">
        <f t="array" ref="T351">INT(SUMPRODUCT(--ISNUMBER(SEARCH(econineq,C352)))&gt;0)</f>
        <v>0</v>
      </c>
      <c r="U351" s="14" cm="1">
        <f t="array" ref="U351">INT(SUMPRODUCT(--ISNUMBER(SEARCH(climate,C351)))&gt;0)</f>
        <v>0</v>
      </c>
      <c r="V351" s="14" cm="1">
        <f t="array" ref="V351">INT(SUMPRODUCT(--ISNUMBER(SEARCH(abortion,C351)))&gt;0)</f>
        <v>0</v>
      </c>
      <c r="W351" s="14" cm="1">
        <f t="array" ref="W351">INT(SUMPRODUCT(--ISNUMBER(SEARCH(trump,C351)))&gt;0)</f>
        <v>0</v>
      </c>
      <c r="X351" s="14" cm="1">
        <f t="array" ref="X351">INT(SUMPRODUCT(--ISNUMBER(SEARCH(voting,C351)))&gt;0)</f>
        <v>1</v>
      </c>
      <c r="Y351" s="14" cm="1">
        <f t="array" ref="Y351">INT(SUMPRODUCT(--ISNUMBER(SEARCH(democrattrigger,C351)))&gt;0)</f>
        <v>0</v>
      </c>
      <c r="Z351" s="14" cm="1">
        <f t="array" ref="Z351">INT(SUMPRODUCT(--ISNUMBER(SEARCH(bipartisan,C351)))&gt;0)</f>
        <v>0</v>
      </c>
      <c r="AA351" s="14">
        <f t="shared" si="5"/>
        <v>0</v>
      </c>
      <c r="AB351" s="14"/>
      <c r="AC351" s="30">
        <v>1</v>
      </c>
      <c r="AD351" s="37">
        <v>0</v>
      </c>
    </row>
    <row r="352" spans="1:30" x14ac:dyDescent="0.25">
      <c r="A352" s="36">
        <v>1815</v>
      </c>
      <c r="B352" s="14" t="s">
        <v>3656</v>
      </c>
      <c r="C352" s="14" t="s">
        <v>3657</v>
      </c>
      <c r="D352" s="17">
        <v>44113</v>
      </c>
      <c r="E352" s="14" t="s">
        <v>30</v>
      </c>
      <c r="F352" s="14">
        <v>790</v>
      </c>
      <c r="G352" s="14">
        <v>261</v>
      </c>
      <c r="H352" s="14">
        <v>8</v>
      </c>
      <c r="I352" s="14">
        <v>4</v>
      </c>
      <c r="J352" s="14" t="s">
        <v>204</v>
      </c>
      <c r="K352" s="14" cm="1">
        <f t="array" ref="K352">INT(SUMPRODUCT(--ISNUMBER(SEARCH(economy,C352)))&gt;0)</f>
        <v>0</v>
      </c>
      <c r="L352" s="14" cm="1">
        <f t="array" ref="L352">INT(SUMPRODUCT(--ISNUMBER(SEARCH(healthcare,C352)))&gt;0)</f>
        <v>1</v>
      </c>
      <c r="M352" s="14" cm="1">
        <f t="array" ref="M352">INT(SUMPRODUCT(--ISNUMBER(SEARCH(supreme,C352)))&gt;0)</f>
        <v>0</v>
      </c>
      <c r="N352" s="14" cm="1">
        <f t="array" ref="N352">INT(SUMPRODUCT(--ISNUMBER(SEARCH(covid,C352)))&gt;0)</f>
        <v>0</v>
      </c>
      <c r="O352" s="14" cm="1">
        <f t="array" ref="O352">INT(SUMPRODUCT(--ISNUMBER(SEARCH(violent,C352)))&gt;0)</f>
        <v>0</v>
      </c>
      <c r="P352" s="14" cm="1">
        <f t="array" ref="P352">INT(SUMPRODUCT(--ISNUMBER(SEARCH(foreign,C352)))&gt;0)</f>
        <v>0</v>
      </c>
      <c r="Q352" s="14" cm="1">
        <f t="array" ref="Q352">INT(SUMPRODUCT(--ISNUMBER(SEARCH(gun,C352)))&gt;0)</f>
        <v>0</v>
      </c>
      <c r="R352" s="14" cm="1">
        <f t="array" ref="R352">INT(SUMPRODUCT(--ISNUMBER(SEARCH(race,C352)))&gt;0)</f>
        <v>0</v>
      </c>
      <c r="S352" s="14" cm="1">
        <f t="array" ref="S352">INT(SUMPRODUCT(--ISNUMBER(SEARCH(immigration,C352)))&gt;0)</f>
        <v>0</v>
      </c>
      <c r="T352" s="14" cm="1">
        <f t="array" ref="T352">INT(SUMPRODUCT(--ISNUMBER(SEARCH(econineq,C353)))&gt;0)</f>
        <v>0</v>
      </c>
      <c r="U352" s="14" cm="1">
        <f t="array" ref="U352">INT(SUMPRODUCT(--ISNUMBER(SEARCH(climate,C352)))&gt;0)</f>
        <v>0</v>
      </c>
      <c r="V352" s="14" cm="1">
        <f t="array" ref="V352">INT(SUMPRODUCT(--ISNUMBER(SEARCH(abortion,C352)))&gt;0)</f>
        <v>0</v>
      </c>
      <c r="W352" s="14" cm="1">
        <f t="array" ref="W352">INT(SUMPRODUCT(--ISNUMBER(SEARCH(trump,C352)))&gt;0)</f>
        <v>0</v>
      </c>
      <c r="X352" s="14" cm="1">
        <f t="array" ref="X352">INT(SUMPRODUCT(--ISNUMBER(SEARCH(voting,C352)))&gt;0)</f>
        <v>0</v>
      </c>
      <c r="Y352" s="14" cm="1">
        <f t="array" ref="Y352">INT(SUMPRODUCT(--ISNUMBER(SEARCH(democrattrigger,C352)))&gt;0)</f>
        <v>0</v>
      </c>
      <c r="Z352" s="14" cm="1">
        <f t="array" ref="Z352">INT(SUMPRODUCT(--ISNUMBER(SEARCH(bipartisan,C352)))&gt;0)</f>
        <v>0</v>
      </c>
      <c r="AA352" s="14">
        <f t="shared" si="5"/>
        <v>0</v>
      </c>
      <c r="AB352" s="14"/>
      <c r="AC352" s="30">
        <v>1</v>
      </c>
      <c r="AD352" s="37">
        <v>0</v>
      </c>
    </row>
    <row r="353" spans="1:30" x14ac:dyDescent="0.25">
      <c r="A353" s="36">
        <v>1816</v>
      </c>
      <c r="B353" s="14" t="s">
        <v>3658</v>
      </c>
      <c r="C353" s="14" t="s">
        <v>3659</v>
      </c>
      <c r="D353" s="17">
        <v>44112</v>
      </c>
      <c r="E353" s="14" t="s">
        <v>30</v>
      </c>
      <c r="F353" s="14">
        <v>1451</v>
      </c>
      <c r="G353" s="14">
        <v>577</v>
      </c>
      <c r="H353" s="14">
        <v>8</v>
      </c>
      <c r="I353" s="14">
        <v>4</v>
      </c>
      <c r="J353" s="14" t="s">
        <v>204</v>
      </c>
      <c r="K353" s="14" cm="1">
        <f t="array" ref="K353">INT(SUMPRODUCT(--ISNUMBER(SEARCH(economy,C353)))&gt;0)</f>
        <v>0</v>
      </c>
      <c r="L353" s="14" cm="1">
        <f t="array" ref="L353">INT(SUMPRODUCT(--ISNUMBER(SEARCH(healthcare,C353)))&gt;0)</f>
        <v>1</v>
      </c>
      <c r="M353" s="14" cm="1">
        <f t="array" ref="M353">INT(SUMPRODUCT(--ISNUMBER(SEARCH(supreme,C353)))&gt;0)</f>
        <v>1</v>
      </c>
      <c r="N353" s="14" cm="1">
        <f t="array" ref="N353">INT(SUMPRODUCT(--ISNUMBER(SEARCH(covid,C353)))&gt;0)</f>
        <v>0</v>
      </c>
      <c r="O353" s="14" cm="1">
        <f t="array" ref="O353">INT(SUMPRODUCT(--ISNUMBER(SEARCH(violent,C353)))&gt;0)</f>
        <v>0</v>
      </c>
      <c r="P353" s="14" cm="1">
        <f t="array" ref="P353">INT(SUMPRODUCT(--ISNUMBER(SEARCH(foreign,C353)))&gt;0)</f>
        <v>0</v>
      </c>
      <c r="Q353" s="14" cm="1">
        <f t="array" ref="Q353">INT(SUMPRODUCT(--ISNUMBER(SEARCH(gun,C353)))&gt;0)</f>
        <v>0</v>
      </c>
      <c r="R353" s="14" cm="1">
        <f t="array" ref="R353">INT(SUMPRODUCT(--ISNUMBER(SEARCH(race,C353)))&gt;0)</f>
        <v>0</v>
      </c>
      <c r="S353" s="14" cm="1">
        <f t="array" ref="S353">INT(SUMPRODUCT(--ISNUMBER(SEARCH(immigration,C353)))&gt;0)</f>
        <v>0</v>
      </c>
      <c r="T353" s="14" cm="1">
        <f t="array" ref="T353">INT(SUMPRODUCT(--ISNUMBER(SEARCH(econineq,C354)))&gt;0)</f>
        <v>0</v>
      </c>
      <c r="U353" s="14" cm="1">
        <f t="array" ref="U353">INT(SUMPRODUCT(--ISNUMBER(SEARCH(climate,C353)))&gt;0)</f>
        <v>0</v>
      </c>
      <c r="V353" s="14" cm="1">
        <f t="array" ref="V353">INT(SUMPRODUCT(--ISNUMBER(SEARCH(abortion,C353)))&gt;0)</f>
        <v>0</v>
      </c>
      <c r="W353" s="14" cm="1">
        <f t="array" ref="W353">INT(SUMPRODUCT(--ISNUMBER(SEARCH(trump,C353)))&gt;0)</f>
        <v>0</v>
      </c>
      <c r="X353" s="14" cm="1">
        <f t="array" ref="X353">INT(SUMPRODUCT(--ISNUMBER(SEARCH(voting,C353)))&gt;0)</f>
        <v>1</v>
      </c>
      <c r="Y353" s="14" cm="1">
        <f t="array" ref="Y353">INT(SUMPRODUCT(--ISNUMBER(SEARCH(democrattrigger,C353)))&gt;0)</f>
        <v>1</v>
      </c>
      <c r="Z353" s="14" cm="1">
        <f t="array" ref="Z353">INT(SUMPRODUCT(--ISNUMBER(SEARCH(bipartisan,C353)))&gt;0)</f>
        <v>0</v>
      </c>
      <c r="AA353" s="14">
        <f t="shared" si="5"/>
        <v>0</v>
      </c>
      <c r="AB353" s="14"/>
      <c r="AC353" s="30">
        <v>0</v>
      </c>
      <c r="AD353" s="37">
        <v>1</v>
      </c>
    </row>
    <row r="354" spans="1:30" x14ac:dyDescent="0.25">
      <c r="A354" s="36">
        <v>1817</v>
      </c>
      <c r="B354" s="14" t="s">
        <v>3660</v>
      </c>
      <c r="C354" s="14" t="s">
        <v>3661</v>
      </c>
      <c r="D354" s="17">
        <v>44112</v>
      </c>
      <c r="E354" s="14" t="s">
        <v>30</v>
      </c>
      <c r="F354" s="14">
        <v>373</v>
      </c>
      <c r="G354" s="14">
        <v>180</v>
      </c>
      <c r="H354" s="14">
        <v>8</v>
      </c>
      <c r="I354" s="14">
        <v>4</v>
      </c>
      <c r="J354" s="14" t="s">
        <v>204</v>
      </c>
      <c r="K354" s="14" cm="1">
        <f t="array" ref="K354">INT(SUMPRODUCT(--ISNUMBER(SEARCH(economy,C354)))&gt;0)</f>
        <v>0</v>
      </c>
      <c r="L354" s="14" cm="1">
        <f t="array" ref="L354">INT(SUMPRODUCT(--ISNUMBER(SEARCH(healthcare,C354)))&gt;0)</f>
        <v>0</v>
      </c>
      <c r="M354" s="14" cm="1">
        <f t="array" ref="M354">INT(SUMPRODUCT(--ISNUMBER(SEARCH(supreme,C354)))&gt;0)</f>
        <v>0</v>
      </c>
      <c r="N354" s="14" cm="1">
        <f t="array" ref="N354">INT(SUMPRODUCT(--ISNUMBER(SEARCH(covid,C354)))&gt;0)</f>
        <v>0</v>
      </c>
      <c r="O354" s="14" cm="1">
        <f t="array" ref="O354">INT(SUMPRODUCT(--ISNUMBER(SEARCH(violent,C354)))&gt;0)</f>
        <v>0</v>
      </c>
      <c r="P354" s="14" cm="1">
        <f t="array" ref="P354">INT(SUMPRODUCT(--ISNUMBER(SEARCH(foreign,C354)))&gt;0)</f>
        <v>0</v>
      </c>
      <c r="Q354" s="14" cm="1">
        <f t="array" ref="Q354">INT(SUMPRODUCT(--ISNUMBER(SEARCH(gun,C354)))&gt;0)</f>
        <v>0</v>
      </c>
      <c r="R354" s="14" cm="1">
        <f t="array" ref="R354">INT(SUMPRODUCT(--ISNUMBER(SEARCH(race,C354)))&gt;0)</f>
        <v>0</v>
      </c>
      <c r="S354" s="14" cm="1">
        <f t="array" ref="S354">INT(SUMPRODUCT(--ISNUMBER(SEARCH(immigration,C354)))&gt;0)</f>
        <v>0</v>
      </c>
      <c r="T354" s="14" cm="1">
        <f t="array" ref="T354">INT(SUMPRODUCT(--ISNUMBER(SEARCH(econineq,C355)))&gt;0)</f>
        <v>1</v>
      </c>
      <c r="U354" s="14" cm="1">
        <f t="array" ref="U354">INT(SUMPRODUCT(--ISNUMBER(SEARCH(climate,C354)))&gt;0)</f>
        <v>0</v>
      </c>
      <c r="V354" s="14" cm="1">
        <f t="array" ref="V354">INT(SUMPRODUCT(--ISNUMBER(SEARCH(abortion,C354)))&gt;0)</f>
        <v>0</v>
      </c>
      <c r="W354" s="14" cm="1">
        <f t="array" ref="W354">INT(SUMPRODUCT(--ISNUMBER(SEARCH(trump,C354)))&gt;0)</f>
        <v>0</v>
      </c>
      <c r="X354" s="14" cm="1">
        <f t="array" ref="X354">INT(SUMPRODUCT(--ISNUMBER(SEARCH(voting,C354)))&gt;0)</f>
        <v>1</v>
      </c>
      <c r="Y354" s="14" cm="1">
        <f t="array" ref="Y354">INT(SUMPRODUCT(--ISNUMBER(SEARCH(democrattrigger,C354)))&gt;0)</f>
        <v>0</v>
      </c>
      <c r="Z354" s="14" cm="1">
        <f t="array" ref="Z354">INT(SUMPRODUCT(--ISNUMBER(SEARCH(bipartisan,C354)))&gt;0)</f>
        <v>0</v>
      </c>
      <c r="AA354" s="14">
        <f t="shared" si="5"/>
        <v>0</v>
      </c>
      <c r="AB354" s="14"/>
      <c r="AC354" s="30">
        <v>1</v>
      </c>
      <c r="AD354" s="37">
        <v>1</v>
      </c>
    </row>
    <row r="355" spans="1:30" x14ac:dyDescent="0.25">
      <c r="A355" s="36">
        <v>1818</v>
      </c>
      <c r="B355" s="14" t="s">
        <v>3662</v>
      </c>
      <c r="C355" s="14" t="s">
        <v>3663</v>
      </c>
      <c r="D355" s="17">
        <v>44112</v>
      </c>
      <c r="E355" s="14" t="s">
        <v>30</v>
      </c>
      <c r="F355" s="14">
        <v>517</v>
      </c>
      <c r="G355" s="14">
        <v>147</v>
      </c>
      <c r="H355" s="14">
        <v>8</v>
      </c>
      <c r="I355" s="14">
        <v>4</v>
      </c>
      <c r="J355" s="14" t="s">
        <v>204</v>
      </c>
      <c r="K355" s="14" cm="1">
        <f t="array" ref="K355">INT(SUMPRODUCT(--ISNUMBER(SEARCH(economy,C355)))&gt;0)</f>
        <v>0</v>
      </c>
      <c r="L355" s="14" cm="1">
        <f t="array" ref="L355">INT(SUMPRODUCT(--ISNUMBER(SEARCH(healthcare,C355)))&gt;0)</f>
        <v>0</v>
      </c>
      <c r="M355" s="14" cm="1">
        <f t="array" ref="M355">INT(SUMPRODUCT(--ISNUMBER(SEARCH(supreme,C355)))&gt;0)</f>
        <v>0</v>
      </c>
      <c r="N355" s="14" cm="1">
        <f t="array" ref="N355">INT(SUMPRODUCT(--ISNUMBER(SEARCH(covid,C355)))&gt;0)</f>
        <v>0</v>
      </c>
      <c r="O355" s="14" cm="1">
        <f t="array" ref="O355">INT(SUMPRODUCT(--ISNUMBER(SEARCH(violent,C355)))&gt;0)</f>
        <v>0</v>
      </c>
      <c r="P355" s="14" cm="1">
        <f t="array" ref="P355">INT(SUMPRODUCT(--ISNUMBER(SEARCH(foreign,C355)))&gt;0)</f>
        <v>0</v>
      </c>
      <c r="Q355" s="14" cm="1">
        <f t="array" ref="Q355">INT(SUMPRODUCT(--ISNUMBER(SEARCH(gun,C355)))&gt;0)</f>
        <v>0</v>
      </c>
      <c r="R355" s="14" cm="1">
        <f t="array" ref="R355">INT(SUMPRODUCT(--ISNUMBER(SEARCH(race,C355)))&gt;0)</f>
        <v>0</v>
      </c>
      <c r="S355" s="14" cm="1">
        <f t="array" ref="S355">INT(SUMPRODUCT(--ISNUMBER(SEARCH(immigration,C355)))&gt;0)</f>
        <v>0</v>
      </c>
      <c r="T355" s="14" cm="1">
        <f t="array" ref="T355">INT(SUMPRODUCT(--ISNUMBER(SEARCH(econineq,C356)))&gt;0)</f>
        <v>0</v>
      </c>
      <c r="U355" s="14" cm="1">
        <f t="array" ref="U355">INT(SUMPRODUCT(--ISNUMBER(SEARCH(climate,C355)))&gt;0)</f>
        <v>0</v>
      </c>
      <c r="V355" s="14" cm="1">
        <f t="array" ref="V355">INT(SUMPRODUCT(--ISNUMBER(SEARCH(abortion,C355)))&gt;0)</f>
        <v>0</v>
      </c>
      <c r="W355" s="14" cm="1">
        <f t="array" ref="W355">INT(SUMPRODUCT(--ISNUMBER(SEARCH(trump,C355)))&gt;0)</f>
        <v>0</v>
      </c>
      <c r="X355" s="14" cm="1">
        <f t="array" ref="X355">INT(SUMPRODUCT(--ISNUMBER(SEARCH(voting,C355)))&gt;0)</f>
        <v>0</v>
      </c>
      <c r="Y355" s="14" cm="1">
        <f t="array" ref="Y355">INT(SUMPRODUCT(--ISNUMBER(SEARCH(democrattrigger,C355)))&gt;0)</f>
        <v>0</v>
      </c>
      <c r="Z355" s="14" cm="1">
        <f t="array" ref="Z355">INT(SUMPRODUCT(--ISNUMBER(SEARCH(bipartisan,C355)))&gt;0)</f>
        <v>0</v>
      </c>
      <c r="AA355" s="14">
        <f t="shared" si="5"/>
        <v>1</v>
      </c>
      <c r="AB355" s="14"/>
      <c r="AC355" s="30">
        <v>1</v>
      </c>
      <c r="AD355" s="37">
        <v>0</v>
      </c>
    </row>
    <row r="356" spans="1:30" x14ac:dyDescent="0.25">
      <c r="A356" s="36">
        <v>1819</v>
      </c>
      <c r="B356" s="14" t="s">
        <v>3664</v>
      </c>
      <c r="C356" s="14" t="s">
        <v>3665</v>
      </c>
      <c r="D356" s="17">
        <v>44112</v>
      </c>
      <c r="E356" s="14" t="s">
        <v>30</v>
      </c>
      <c r="F356" s="14">
        <v>8128</v>
      </c>
      <c r="G356" s="14">
        <v>3016</v>
      </c>
      <c r="H356" s="14">
        <v>8</v>
      </c>
      <c r="I356" s="14">
        <v>4</v>
      </c>
      <c r="J356" s="14" t="s">
        <v>204</v>
      </c>
      <c r="K356" s="14" cm="1">
        <f t="array" ref="K356">INT(SUMPRODUCT(--ISNUMBER(SEARCH(economy,C356)))&gt;0)</f>
        <v>0</v>
      </c>
      <c r="L356" s="14" cm="1">
        <f t="array" ref="L356">INT(SUMPRODUCT(--ISNUMBER(SEARCH(healthcare,C356)))&gt;0)</f>
        <v>1</v>
      </c>
      <c r="M356" s="14" cm="1">
        <f t="array" ref="M356">INT(SUMPRODUCT(--ISNUMBER(SEARCH(supreme,C356)))&gt;0)</f>
        <v>0</v>
      </c>
      <c r="N356" s="14" cm="1">
        <f t="array" ref="N356">INT(SUMPRODUCT(--ISNUMBER(SEARCH(covid,C356)))&gt;0)</f>
        <v>0</v>
      </c>
      <c r="O356" s="14" cm="1">
        <f t="array" ref="O356">INT(SUMPRODUCT(--ISNUMBER(SEARCH(violent,C356)))&gt;0)</f>
        <v>0</v>
      </c>
      <c r="P356" s="14" cm="1">
        <f t="array" ref="P356">INT(SUMPRODUCT(--ISNUMBER(SEARCH(foreign,C356)))&gt;0)</f>
        <v>0</v>
      </c>
      <c r="Q356" s="14" cm="1">
        <f t="array" ref="Q356">INT(SUMPRODUCT(--ISNUMBER(SEARCH(gun,C356)))&gt;0)</f>
        <v>0</v>
      </c>
      <c r="R356" s="14" cm="1">
        <f t="array" ref="R356">INT(SUMPRODUCT(--ISNUMBER(SEARCH(race,C356)))&gt;0)</f>
        <v>0</v>
      </c>
      <c r="S356" s="14" cm="1">
        <f t="array" ref="S356">INT(SUMPRODUCT(--ISNUMBER(SEARCH(immigration,C356)))&gt;0)</f>
        <v>0</v>
      </c>
      <c r="T356" s="14" cm="1">
        <f t="array" ref="T356">INT(SUMPRODUCT(--ISNUMBER(SEARCH(econineq,C357)))&gt;0)</f>
        <v>0</v>
      </c>
      <c r="U356" s="14" cm="1">
        <f t="array" ref="U356">INT(SUMPRODUCT(--ISNUMBER(SEARCH(climate,C356)))&gt;0)</f>
        <v>0</v>
      </c>
      <c r="V356" s="14" cm="1">
        <f t="array" ref="V356">INT(SUMPRODUCT(--ISNUMBER(SEARCH(abortion,C356)))&gt;0)</f>
        <v>0</v>
      </c>
      <c r="W356" s="14" cm="1">
        <f t="array" ref="W356">INT(SUMPRODUCT(--ISNUMBER(SEARCH(trump,C356)))&gt;0)</f>
        <v>0</v>
      </c>
      <c r="X356" s="14" cm="1">
        <f t="array" ref="X356">INT(SUMPRODUCT(--ISNUMBER(SEARCH(voting,C356)))&gt;0)</f>
        <v>0</v>
      </c>
      <c r="Y356" s="14" cm="1">
        <f t="array" ref="Y356">INT(SUMPRODUCT(--ISNUMBER(SEARCH(democrattrigger,C356)))&gt;0)</f>
        <v>1</v>
      </c>
      <c r="Z356" s="14" cm="1">
        <f t="array" ref="Z356">INT(SUMPRODUCT(--ISNUMBER(SEARCH(bipartisan,C356)))&gt;0)</f>
        <v>0</v>
      </c>
      <c r="AA356" s="14">
        <f t="shared" si="5"/>
        <v>0</v>
      </c>
      <c r="AB356" s="14"/>
      <c r="AC356" s="30" t="s">
        <v>223</v>
      </c>
      <c r="AD356" s="37" t="s">
        <v>223</v>
      </c>
    </row>
    <row r="357" spans="1:30" x14ac:dyDescent="0.25">
      <c r="A357" s="36">
        <v>1820</v>
      </c>
      <c r="B357" s="14" t="s">
        <v>3666</v>
      </c>
      <c r="C357" s="14" t="s">
        <v>3667</v>
      </c>
      <c r="D357" s="17">
        <v>44112</v>
      </c>
      <c r="E357" s="14" t="s">
        <v>30</v>
      </c>
      <c r="F357" s="14">
        <v>453</v>
      </c>
      <c r="G357" s="14">
        <v>206</v>
      </c>
      <c r="H357" s="14">
        <v>8</v>
      </c>
      <c r="I357" s="14">
        <v>4</v>
      </c>
      <c r="J357" s="14" t="s">
        <v>204</v>
      </c>
      <c r="K357" s="14" cm="1">
        <f t="array" ref="K357">INT(SUMPRODUCT(--ISNUMBER(SEARCH(economy,C357)))&gt;0)</f>
        <v>0</v>
      </c>
      <c r="L357" s="14" cm="1">
        <f t="array" ref="L357">INT(SUMPRODUCT(--ISNUMBER(SEARCH(healthcare,C357)))&gt;0)</f>
        <v>1</v>
      </c>
      <c r="M357" s="14" cm="1">
        <f t="array" ref="M357">INT(SUMPRODUCT(--ISNUMBER(SEARCH(supreme,C357)))&gt;0)</f>
        <v>0</v>
      </c>
      <c r="N357" s="14" cm="1">
        <f t="array" ref="N357">INT(SUMPRODUCT(--ISNUMBER(SEARCH(covid,C357)))&gt;0)</f>
        <v>0</v>
      </c>
      <c r="O357" s="14" cm="1">
        <f t="array" ref="O357">INT(SUMPRODUCT(--ISNUMBER(SEARCH(violent,C357)))&gt;0)</f>
        <v>0</v>
      </c>
      <c r="P357" s="14" cm="1">
        <f t="array" ref="P357">INT(SUMPRODUCT(--ISNUMBER(SEARCH(foreign,C357)))&gt;0)</f>
        <v>0</v>
      </c>
      <c r="Q357" s="14" cm="1">
        <f t="array" ref="Q357">INT(SUMPRODUCT(--ISNUMBER(SEARCH(gun,C357)))&gt;0)</f>
        <v>0</v>
      </c>
      <c r="R357" s="14" cm="1">
        <f t="array" ref="R357">INT(SUMPRODUCT(--ISNUMBER(SEARCH(race,C357)))&gt;0)</f>
        <v>0</v>
      </c>
      <c r="S357" s="14" cm="1">
        <f t="array" ref="S357">INT(SUMPRODUCT(--ISNUMBER(SEARCH(immigration,C357)))&gt;0)</f>
        <v>0</v>
      </c>
      <c r="T357" s="14" cm="1">
        <f t="array" ref="T357">INT(SUMPRODUCT(--ISNUMBER(SEARCH(econineq,C358)))&gt;0)</f>
        <v>0</v>
      </c>
      <c r="U357" s="14" cm="1">
        <f t="array" ref="U357">INT(SUMPRODUCT(--ISNUMBER(SEARCH(climate,C357)))&gt;0)</f>
        <v>0</v>
      </c>
      <c r="V357" s="14" cm="1">
        <f t="array" ref="V357">INT(SUMPRODUCT(--ISNUMBER(SEARCH(abortion,C357)))&gt;0)</f>
        <v>0</v>
      </c>
      <c r="W357" s="14" cm="1">
        <f t="array" ref="W357">INT(SUMPRODUCT(--ISNUMBER(SEARCH(trump,C357)))&gt;0)</f>
        <v>0</v>
      </c>
      <c r="X357" s="14" cm="1">
        <f t="array" ref="X357">INT(SUMPRODUCT(--ISNUMBER(SEARCH(voting,C357)))&gt;0)</f>
        <v>1</v>
      </c>
      <c r="Y357" s="14" cm="1">
        <f t="array" ref="Y357">INT(SUMPRODUCT(--ISNUMBER(SEARCH(democrattrigger,C357)))&gt;0)</f>
        <v>0</v>
      </c>
      <c r="Z357" s="14" cm="1">
        <f t="array" ref="Z357">INT(SUMPRODUCT(--ISNUMBER(SEARCH(bipartisan,C357)))&gt;0)</f>
        <v>0</v>
      </c>
      <c r="AA357" s="14">
        <f t="shared" si="5"/>
        <v>0</v>
      </c>
      <c r="AB357" s="14"/>
      <c r="AC357" s="30">
        <v>0</v>
      </c>
      <c r="AD357" s="37">
        <v>1</v>
      </c>
    </row>
    <row r="358" spans="1:30" x14ac:dyDescent="0.25">
      <c r="A358" s="36">
        <v>1821</v>
      </c>
      <c r="B358" s="14" t="s">
        <v>3668</v>
      </c>
      <c r="C358" s="14" t="s">
        <v>3669</v>
      </c>
      <c r="D358" s="17">
        <v>44112</v>
      </c>
      <c r="E358" s="14" t="s">
        <v>30</v>
      </c>
      <c r="F358" s="14">
        <v>912</v>
      </c>
      <c r="G358" s="14">
        <v>147</v>
      </c>
      <c r="H358" s="14">
        <v>8</v>
      </c>
      <c r="I358" s="14">
        <v>4</v>
      </c>
      <c r="J358" s="14" t="s">
        <v>204</v>
      </c>
      <c r="K358" s="14" cm="1">
        <f t="array" ref="K358">INT(SUMPRODUCT(--ISNUMBER(SEARCH(economy,C358)))&gt;0)</f>
        <v>0</v>
      </c>
      <c r="L358" s="14" cm="1">
        <f t="array" ref="L358">INT(SUMPRODUCT(--ISNUMBER(SEARCH(healthcare,C358)))&gt;0)</f>
        <v>0</v>
      </c>
      <c r="M358" s="14" cm="1">
        <f t="array" ref="M358">INT(SUMPRODUCT(--ISNUMBER(SEARCH(supreme,C358)))&gt;0)</f>
        <v>0</v>
      </c>
      <c r="N358" s="14" cm="1">
        <f t="array" ref="N358">INT(SUMPRODUCT(--ISNUMBER(SEARCH(covid,C358)))&gt;0)</f>
        <v>0</v>
      </c>
      <c r="O358" s="14" cm="1">
        <f t="array" ref="O358">INT(SUMPRODUCT(--ISNUMBER(SEARCH(violent,C358)))&gt;0)</f>
        <v>0</v>
      </c>
      <c r="P358" s="14" cm="1">
        <f t="array" ref="P358">INT(SUMPRODUCT(--ISNUMBER(SEARCH(foreign,C358)))&gt;0)</f>
        <v>0</v>
      </c>
      <c r="Q358" s="14" cm="1">
        <f t="array" ref="Q358">INT(SUMPRODUCT(--ISNUMBER(SEARCH(gun,C358)))&gt;0)</f>
        <v>0</v>
      </c>
      <c r="R358" s="14" cm="1">
        <f t="array" ref="R358">INT(SUMPRODUCT(--ISNUMBER(SEARCH(race,C358)))&gt;0)</f>
        <v>0</v>
      </c>
      <c r="S358" s="14" cm="1">
        <f t="array" ref="S358">INT(SUMPRODUCT(--ISNUMBER(SEARCH(immigration,C358)))&gt;0)</f>
        <v>0</v>
      </c>
      <c r="T358" s="14" cm="1">
        <f t="array" ref="T358">INT(SUMPRODUCT(--ISNUMBER(SEARCH(econineq,C359)))&gt;0)</f>
        <v>0</v>
      </c>
      <c r="U358" s="14" cm="1">
        <f t="array" ref="U358">INT(SUMPRODUCT(--ISNUMBER(SEARCH(climate,C358)))&gt;0)</f>
        <v>0</v>
      </c>
      <c r="V358" s="14" cm="1">
        <f t="array" ref="V358">INT(SUMPRODUCT(--ISNUMBER(SEARCH(abortion,C358)))&gt;0)</f>
        <v>0</v>
      </c>
      <c r="W358" s="14" cm="1">
        <f t="array" ref="W358">INT(SUMPRODUCT(--ISNUMBER(SEARCH(trump,C358)))&gt;0)</f>
        <v>0</v>
      </c>
      <c r="X358" s="14" cm="1">
        <f t="array" ref="X358">INT(SUMPRODUCT(--ISNUMBER(SEARCH(voting,C358)))&gt;0)</f>
        <v>1</v>
      </c>
      <c r="Y358" s="14" cm="1">
        <f t="array" ref="Y358">INT(SUMPRODUCT(--ISNUMBER(SEARCH(democrattrigger,C358)))&gt;0)</f>
        <v>0</v>
      </c>
      <c r="Z358" s="14" cm="1">
        <f t="array" ref="Z358">INT(SUMPRODUCT(--ISNUMBER(SEARCH(bipartisan,C358)))&gt;0)</f>
        <v>0</v>
      </c>
      <c r="AA358" s="14">
        <f t="shared" si="5"/>
        <v>0</v>
      </c>
      <c r="AB358" s="14"/>
      <c r="AC358" s="30">
        <v>1</v>
      </c>
      <c r="AD358" s="37">
        <v>0</v>
      </c>
    </row>
    <row r="359" spans="1:30" x14ac:dyDescent="0.25">
      <c r="A359" s="36">
        <v>1822</v>
      </c>
      <c r="B359" s="14" t="s">
        <v>3670</v>
      </c>
      <c r="C359" s="14" t="s">
        <v>3671</v>
      </c>
      <c r="D359" s="17">
        <v>44112</v>
      </c>
      <c r="E359" s="14" t="s">
        <v>30</v>
      </c>
      <c r="F359" s="14">
        <v>485</v>
      </c>
      <c r="G359" s="14">
        <v>153</v>
      </c>
      <c r="H359" s="14">
        <v>8</v>
      </c>
      <c r="I359" s="14">
        <v>4</v>
      </c>
      <c r="J359" s="14" t="s">
        <v>204</v>
      </c>
      <c r="K359" s="14" cm="1">
        <f t="array" ref="K359">INT(SUMPRODUCT(--ISNUMBER(SEARCH(economy,C359)))&gt;0)</f>
        <v>0</v>
      </c>
      <c r="L359" s="14" cm="1">
        <f t="array" ref="L359">INT(SUMPRODUCT(--ISNUMBER(SEARCH(healthcare,C359)))&gt;0)</f>
        <v>0</v>
      </c>
      <c r="M359" s="14" cm="1">
        <f t="array" ref="M359">INT(SUMPRODUCT(--ISNUMBER(SEARCH(supreme,C359)))&gt;0)</f>
        <v>0</v>
      </c>
      <c r="N359" s="14" cm="1">
        <f t="array" ref="N359">INT(SUMPRODUCT(--ISNUMBER(SEARCH(covid,C359)))&gt;0)</f>
        <v>0</v>
      </c>
      <c r="O359" s="14" cm="1">
        <f t="array" ref="O359">INT(SUMPRODUCT(--ISNUMBER(SEARCH(violent,C359)))&gt;0)</f>
        <v>0</v>
      </c>
      <c r="P359" s="14" cm="1">
        <f t="array" ref="P359">INT(SUMPRODUCT(--ISNUMBER(SEARCH(foreign,C359)))&gt;0)</f>
        <v>0</v>
      </c>
      <c r="Q359" s="14" cm="1">
        <f t="array" ref="Q359">INT(SUMPRODUCT(--ISNUMBER(SEARCH(gun,C359)))&gt;0)</f>
        <v>0</v>
      </c>
      <c r="R359" s="14" cm="1">
        <f t="array" ref="R359">INT(SUMPRODUCT(--ISNUMBER(SEARCH(race,C359)))&gt;0)</f>
        <v>0</v>
      </c>
      <c r="S359" s="14" cm="1">
        <f t="array" ref="S359">INT(SUMPRODUCT(--ISNUMBER(SEARCH(immigration,C359)))&gt;0)</f>
        <v>0</v>
      </c>
      <c r="T359" s="14" cm="1">
        <f t="array" ref="T359">INT(SUMPRODUCT(--ISNUMBER(SEARCH(econineq,C360)))&gt;0)</f>
        <v>0</v>
      </c>
      <c r="U359" s="14" cm="1">
        <f t="array" ref="U359">INT(SUMPRODUCT(--ISNUMBER(SEARCH(climate,C359)))&gt;0)</f>
        <v>0</v>
      </c>
      <c r="V359" s="14" cm="1">
        <f t="array" ref="V359">INT(SUMPRODUCT(--ISNUMBER(SEARCH(abortion,C359)))&gt;0)</f>
        <v>0</v>
      </c>
      <c r="W359" s="14" cm="1">
        <f t="array" ref="W359">INT(SUMPRODUCT(--ISNUMBER(SEARCH(trump,C359)))&gt;0)</f>
        <v>0</v>
      </c>
      <c r="X359" s="14" cm="1">
        <f t="array" ref="X359">INT(SUMPRODUCT(--ISNUMBER(SEARCH(voting,C359)))&gt;0)</f>
        <v>0</v>
      </c>
      <c r="Y359" s="14" cm="1">
        <f t="array" ref="Y359">INT(SUMPRODUCT(--ISNUMBER(SEARCH(democrattrigger,C359)))&gt;0)</f>
        <v>0</v>
      </c>
      <c r="Z359" s="14" cm="1">
        <f t="array" ref="Z359">INT(SUMPRODUCT(--ISNUMBER(SEARCH(bipartisan,C359)))&gt;0)</f>
        <v>0</v>
      </c>
      <c r="AA359" s="14">
        <f t="shared" si="5"/>
        <v>1</v>
      </c>
      <c r="AB359" s="14"/>
      <c r="AC359" s="30" t="s">
        <v>223</v>
      </c>
      <c r="AD359" s="37" t="s">
        <v>223</v>
      </c>
    </row>
    <row r="360" spans="1:30" x14ac:dyDescent="0.25">
      <c r="A360" s="36">
        <v>1823</v>
      </c>
      <c r="B360" s="14" t="s">
        <v>3672</v>
      </c>
      <c r="C360" s="14" t="s">
        <v>3673</v>
      </c>
      <c r="D360" s="17">
        <v>44112</v>
      </c>
      <c r="E360" s="14" t="s">
        <v>30</v>
      </c>
      <c r="F360" s="14">
        <v>647</v>
      </c>
      <c r="G360" s="14">
        <v>125</v>
      </c>
      <c r="H360" s="14">
        <v>8</v>
      </c>
      <c r="I360" s="14">
        <v>4</v>
      </c>
      <c r="J360" s="14" t="s">
        <v>204</v>
      </c>
      <c r="K360" s="14" cm="1">
        <f t="array" ref="K360">INT(SUMPRODUCT(--ISNUMBER(SEARCH(economy,C360)))&gt;0)</f>
        <v>0</v>
      </c>
      <c r="L360" s="14" cm="1">
        <f t="array" ref="L360">INT(SUMPRODUCT(--ISNUMBER(SEARCH(healthcare,C360)))&gt;0)</f>
        <v>0</v>
      </c>
      <c r="M360" s="14" cm="1">
        <f t="array" ref="M360">INT(SUMPRODUCT(--ISNUMBER(SEARCH(supreme,C360)))&gt;0)</f>
        <v>0</v>
      </c>
      <c r="N360" s="14" cm="1">
        <f t="array" ref="N360">INT(SUMPRODUCT(--ISNUMBER(SEARCH(covid,C360)))&gt;0)</f>
        <v>0</v>
      </c>
      <c r="O360" s="14" cm="1">
        <f t="array" ref="O360">INT(SUMPRODUCT(--ISNUMBER(SEARCH(violent,C360)))&gt;0)</f>
        <v>0</v>
      </c>
      <c r="P360" s="14" cm="1">
        <f t="array" ref="P360">INT(SUMPRODUCT(--ISNUMBER(SEARCH(foreign,C360)))&gt;0)</f>
        <v>0</v>
      </c>
      <c r="Q360" s="14" cm="1">
        <f t="array" ref="Q360">INT(SUMPRODUCT(--ISNUMBER(SEARCH(gun,C360)))&gt;0)</f>
        <v>0</v>
      </c>
      <c r="R360" s="14" cm="1">
        <f t="array" ref="R360">INT(SUMPRODUCT(--ISNUMBER(SEARCH(race,C360)))&gt;0)</f>
        <v>0</v>
      </c>
      <c r="S360" s="14" cm="1">
        <f t="array" ref="S360">INT(SUMPRODUCT(--ISNUMBER(SEARCH(immigration,C360)))&gt;0)</f>
        <v>0</v>
      </c>
      <c r="T360" s="14" cm="1">
        <f t="array" ref="T360">INT(SUMPRODUCT(--ISNUMBER(SEARCH(econineq,C361)))&gt;0)</f>
        <v>0</v>
      </c>
      <c r="U360" s="14" cm="1">
        <f t="array" ref="U360">INT(SUMPRODUCT(--ISNUMBER(SEARCH(climate,C360)))&gt;0)</f>
        <v>0</v>
      </c>
      <c r="V360" s="14" cm="1">
        <f t="array" ref="V360">INT(SUMPRODUCT(--ISNUMBER(SEARCH(abortion,C360)))&gt;0)</f>
        <v>0</v>
      </c>
      <c r="W360" s="14" cm="1">
        <f t="array" ref="W360">INT(SUMPRODUCT(--ISNUMBER(SEARCH(trump,C360)))&gt;0)</f>
        <v>0</v>
      </c>
      <c r="X360" s="14" cm="1">
        <f t="array" ref="X360">INT(SUMPRODUCT(--ISNUMBER(SEARCH(voting,C360)))&gt;0)</f>
        <v>0</v>
      </c>
      <c r="Y360" s="14" cm="1">
        <f t="array" ref="Y360">INT(SUMPRODUCT(--ISNUMBER(SEARCH(democrattrigger,C360)))&gt;0)</f>
        <v>0</v>
      </c>
      <c r="Z360" s="14" cm="1">
        <f t="array" ref="Z360">INT(SUMPRODUCT(--ISNUMBER(SEARCH(bipartisan,C360)))&gt;0)</f>
        <v>0</v>
      </c>
      <c r="AA360" s="14">
        <f t="shared" si="5"/>
        <v>1</v>
      </c>
      <c r="AB360" s="14"/>
      <c r="AC360" s="30">
        <v>1</v>
      </c>
      <c r="AD360" s="37">
        <v>0</v>
      </c>
    </row>
    <row r="361" spans="1:30" x14ac:dyDescent="0.25">
      <c r="A361" s="36">
        <v>1824</v>
      </c>
      <c r="B361" s="14" t="s">
        <v>3674</v>
      </c>
      <c r="C361" s="14" t="s">
        <v>3675</v>
      </c>
      <c r="D361" s="17">
        <v>44112</v>
      </c>
      <c r="E361" s="14" t="s">
        <v>30</v>
      </c>
      <c r="F361" s="14">
        <v>696</v>
      </c>
      <c r="G361" s="14">
        <v>217</v>
      </c>
      <c r="H361" s="14">
        <v>8</v>
      </c>
      <c r="I361" s="14">
        <v>4</v>
      </c>
      <c r="J361" s="14" t="s">
        <v>204</v>
      </c>
      <c r="K361" s="14" cm="1">
        <f t="array" ref="K361">INT(SUMPRODUCT(--ISNUMBER(SEARCH(economy,C361)))&gt;0)</f>
        <v>0</v>
      </c>
      <c r="L361" s="14" cm="1">
        <f t="array" ref="L361">INT(SUMPRODUCT(--ISNUMBER(SEARCH(healthcare,C361)))&gt;0)</f>
        <v>0</v>
      </c>
      <c r="M361" s="14" cm="1">
        <f t="array" ref="M361">INT(SUMPRODUCT(--ISNUMBER(SEARCH(supreme,C361)))&gt;0)</f>
        <v>0</v>
      </c>
      <c r="N361" s="14" cm="1">
        <f t="array" ref="N361">INT(SUMPRODUCT(--ISNUMBER(SEARCH(covid,C361)))&gt;0)</f>
        <v>0</v>
      </c>
      <c r="O361" s="14" cm="1">
        <f t="array" ref="O361">INT(SUMPRODUCT(--ISNUMBER(SEARCH(violent,C361)))&gt;0)</f>
        <v>0</v>
      </c>
      <c r="P361" s="14" cm="1">
        <f t="array" ref="P361">INT(SUMPRODUCT(--ISNUMBER(SEARCH(foreign,C361)))&gt;0)</f>
        <v>0</v>
      </c>
      <c r="Q361" s="14" cm="1">
        <f t="array" ref="Q361">INT(SUMPRODUCT(--ISNUMBER(SEARCH(gun,C361)))&gt;0)</f>
        <v>0</v>
      </c>
      <c r="R361" s="14" cm="1">
        <f t="array" ref="R361">INT(SUMPRODUCT(--ISNUMBER(SEARCH(race,C361)))&gt;0)</f>
        <v>0</v>
      </c>
      <c r="S361" s="14" cm="1">
        <f t="array" ref="S361">INT(SUMPRODUCT(--ISNUMBER(SEARCH(immigration,C361)))&gt;0)</f>
        <v>0</v>
      </c>
      <c r="T361" s="14" cm="1">
        <f t="array" ref="T361">INT(SUMPRODUCT(--ISNUMBER(SEARCH(econineq,C362)))&gt;0)</f>
        <v>0</v>
      </c>
      <c r="U361" s="14" cm="1">
        <f t="array" ref="U361">INT(SUMPRODUCT(--ISNUMBER(SEARCH(climate,C361)))&gt;0)</f>
        <v>0</v>
      </c>
      <c r="V361" s="14" cm="1">
        <f t="array" ref="V361">INT(SUMPRODUCT(--ISNUMBER(SEARCH(abortion,C361)))&gt;0)</f>
        <v>0</v>
      </c>
      <c r="W361" s="14" cm="1">
        <f t="array" ref="W361">INT(SUMPRODUCT(--ISNUMBER(SEARCH(trump,C361)))&gt;0)</f>
        <v>0</v>
      </c>
      <c r="X361" s="14" cm="1">
        <f t="array" ref="X361">INT(SUMPRODUCT(--ISNUMBER(SEARCH(voting,C361)))&gt;0)</f>
        <v>1</v>
      </c>
      <c r="Y361" s="14" cm="1">
        <f t="array" ref="Y361">INT(SUMPRODUCT(--ISNUMBER(SEARCH(democrattrigger,C361)))&gt;0)</f>
        <v>0</v>
      </c>
      <c r="Z361" s="14" cm="1">
        <f t="array" ref="Z361">INT(SUMPRODUCT(--ISNUMBER(SEARCH(bipartisan,C361)))&gt;0)</f>
        <v>0</v>
      </c>
      <c r="AA361" s="14">
        <f t="shared" si="5"/>
        <v>0</v>
      </c>
      <c r="AB361" s="14"/>
      <c r="AC361" s="30" t="s">
        <v>223</v>
      </c>
      <c r="AD361" s="37" t="s">
        <v>223</v>
      </c>
    </row>
    <row r="362" spans="1:30" x14ac:dyDescent="0.25">
      <c r="A362" s="36">
        <v>1825</v>
      </c>
      <c r="B362" s="14" t="s">
        <v>3676</v>
      </c>
      <c r="C362" s="14" t="s">
        <v>3677</v>
      </c>
      <c r="D362" s="17">
        <v>44111</v>
      </c>
      <c r="E362" s="14" t="s">
        <v>30</v>
      </c>
      <c r="F362" s="14">
        <v>1065</v>
      </c>
      <c r="G362" s="14">
        <v>309</v>
      </c>
      <c r="H362" s="14">
        <v>8</v>
      </c>
      <c r="I362" s="14">
        <v>4</v>
      </c>
      <c r="J362" s="14" t="s">
        <v>204</v>
      </c>
      <c r="K362" s="14" cm="1">
        <f t="array" ref="K362">INT(SUMPRODUCT(--ISNUMBER(SEARCH(economy,C362)))&gt;0)</f>
        <v>0</v>
      </c>
      <c r="L362" s="14" cm="1">
        <f t="array" ref="L362">INT(SUMPRODUCT(--ISNUMBER(SEARCH(healthcare,C362)))&gt;0)</f>
        <v>0</v>
      </c>
      <c r="M362" s="14" cm="1">
        <f t="array" ref="M362">INT(SUMPRODUCT(--ISNUMBER(SEARCH(supreme,C362)))&gt;0)</f>
        <v>0</v>
      </c>
      <c r="N362" s="14" cm="1">
        <f t="array" ref="N362">INT(SUMPRODUCT(--ISNUMBER(SEARCH(covid,C362)))&gt;0)</f>
        <v>0</v>
      </c>
      <c r="O362" s="14" cm="1">
        <f t="array" ref="O362">INT(SUMPRODUCT(--ISNUMBER(SEARCH(violent,C362)))&gt;0)</f>
        <v>0</v>
      </c>
      <c r="P362" s="14" cm="1">
        <f t="array" ref="P362">INT(SUMPRODUCT(--ISNUMBER(SEARCH(foreign,C362)))&gt;0)</f>
        <v>0</v>
      </c>
      <c r="Q362" s="14" cm="1">
        <f t="array" ref="Q362">INT(SUMPRODUCT(--ISNUMBER(SEARCH(gun,C362)))&gt;0)</f>
        <v>1</v>
      </c>
      <c r="R362" s="14" cm="1">
        <f t="array" ref="R362">INT(SUMPRODUCT(--ISNUMBER(SEARCH(race,C362)))&gt;0)</f>
        <v>0</v>
      </c>
      <c r="S362" s="14" cm="1">
        <f t="array" ref="S362">INT(SUMPRODUCT(--ISNUMBER(SEARCH(immigration,C362)))&gt;0)</f>
        <v>0</v>
      </c>
      <c r="T362" s="14" cm="1">
        <f t="array" ref="T362">INT(SUMPRODUCT(--ISNUMBER(SEARCH(econineq,C363)))&gt;0)</f>
        <v>0</v>
      </c>
      <c r="U362" s="14" cm="1">
        <f t="array" ref="U362">INT(SUMPRODUCT(--ISNUMBER(SEARCH(climate,C362)))&gt;0)</f>
        <v>0</v>
      </c>
      <c r="V362" s="14" cm="1">
        <f t="array" ref="V362">INT(SUMPRODUCT(--ISNUMBER(SEARCH(abortion,C362)))&gt;0)</f>
        <v>0</v>
      </c>
      <c r="W362" s="14" cm="1">
        <f t="array" ref="W362">INT(SUMPRODUCT(--ISNUMBER(SEARCH(trump,C362)))&gt;0)</f>
        <v>0</v>
      </c>
      <c r="X362" s="14" cm="1">
        <f t="array" ref="X362">INT(SUMPRODUCT(--ISNUMBER(SEARCH(voting,C362)))&gt;0)</f>
        <v>0</v>
      </c>
      <c r="Y362" s="14" cm="1">
        <f t="array" ref="Y362">INT(SUMPRODUCT(--ISNUMBER(SEARCH(democrattrigger,C362)))&gt;0)</f>
        <v>0</v>
      </c>
      <c r="Z362" s="14" cm="1">
        <f t="array" ref="Z362">INT(SUMPRODUCT(--ISNUMBER(SEARCH(bipartisan,C362)))&gt;0)</f>
        <v>0</v>
      </c>
      <c r="AA362" s="14">
        <f t="shared" si="5"/>
        <v>0</v>
      </c>
      <c r="AB362" s="14"/>
      <c r="AC362" s="30">
        <v>1</v>
      </c>
      <c r="AD362" s="37">
        <v>0</v>
      </c>
    </row>
    <row r="363" spans="1:30" x14ac:dyDescent="0.25">
      <c r="A363" s="36">
        <v>1826</v>
      </c>
      <c r="B363" s="14" t="s">
        <v>3678</v>
      </c>
      <c r="C363" s="14" t="s">
        <v>3679</v>
      </c>
      <c r="D363" s="17">
        <v>44111</v>
      </c>
      <c r="E363" s="14" t="s">
        <v>30</v>
      </c>
      <c r="F363" s="14">
        <v>726</v>
      </c>
      <c r="G363" s="14">
        <v>270</v>
      </c>
      <c r="H363" s="14">
        <v>8</v>
      </c>
      <c r="I363" s="14">
        <v>4</v>
      </c>
      <c r="J363" s="14" t="s">
        <v>204</v>
      </c>
      <c r="K363" s="14" cm="1">
        <f t="array" ref="K363">INT(SUMPRODUCT(--ISNUMBER(SEARCH(economy,C363)))&gt;0)</f>
        <v>0</v>
      </c>
      <c r="L363" s="14" cm="1">
        <f t="array" ref="L363">INT(SUMPRODUCT(--ISNUMBER(SEARCH(healthcare,C363)))&gt;0)</f>
        <v>0</v>
      </c>
      <c r="M363" s="14" cm="1">
        <f t="array" ref="M363">INT(SUMPRODUCT(--ISNUMBER(SEARCH(supreme,C363)))&gt;0)</f>
        <v>0</v>
      </c>
      <c r="N363" s="14" cm="1">
        <f t="array" ref="N363">INT(SUMPRODUCT(--ISNUMBER(SEARCH(covid,C363)))&gt;0)</f>
        <v>1</v>
      </c>
      <c r="O363" s="14" cm="1">
        <f t="array" ref="O363">INT(SUMPRODUCT(--ISNUMBER(SEARCH(violent,C363)))&gt;0)</f>
        <v>0</v>
      </c>
      <c r="P363" s="14" cm="1">
        <f t="array" ref="P363">INT(SUMPRODUCT(--ISNUMBER(SEARCH(foreign,C363)))&gt;0)</f>
        <v>0</v>
      </c>
      <c r="Q363" s="14" cm="1">
        <f t="array" ref="Q363">INT(SUMPRODUCT(--ISNUMBER(SEARCH(gun,C363)))&gt;0)</f>
        <v>0</v>
      </c>
      <c r="R363" s="14" cm="1">
        <f t="array" ref="R363">INT(SUMPRODUCT(--ISNUMBER(SEARCH(race,C363)))&gt;0)</f>
        <v>0</v>
      </c>
      <c r="S363" s="14" cm="1">
        <f t="array" ref="S363">INT(SUMPRODUCT(--ISNUMBER(SEARCH(immigration,C363)))&gt;0)</f>
        <v>0</v>
      </c>
      <c r="T363" s="14" cm="1">
        <f t="array" ref="T363">INT(SUMPRODUCT(--ISNUMBER(SEARCH(econineq,C364)))&gt;0)</f>
        <v>0</v>
      </c>
      <c r="U363" s="14" cm="1">
        <f t="array" ref="U363">INT(SUMPRODUCT(--ISNUMBER(SEARCH(climate,C363)))&gt;0)</f>
        <v>0</v>
      </c>
      <c r="V363" s="14" cm="1">
        <f t="array" ref="V363">INT(SUMPRODUCT(--ISNUMBER(SEARCH(abortion,C363)))&gt;0)</f>
        <v>0</v>
      </c>
      <c r="W363" s="14" cm="1">
        <f t="array" ref="W363">INT(SUMPRODUCT(--ISNUMBER(SEARCH(trump,C363)))&gt;0)</f>
        <v>0</v>
      </c>
      <c r="X363" s="14" cm="1">
        <f t="array" ref="X363">INT(SUMPRODUCT(--ISNUMBER(SEARCH(voting,C363)))&gt;0)</f>
        <v>1</v>
      </c>
      <c r="Y363" s="14" cm="1">
        <f t="array" ref="Y363">INT(SUMPRODUCT(--ISNUMBER(SEARCH(democrattrigger,C363)))&gt;0)</f>
        <v>0</v>
      </c>
      <c r="Z363" s="14" cm="1">
        <f t="array" ref="Z363">INT(SUMPRODUCT(--ISNUMBER(SEARCH(bipartisan,C363)))&gt;0)</f>
        <v>0</v>
      </c>
      <c r="AA363" s="14">
        <f t="shared" si="5"/>
        <v>0</v>
      </c>
      <c r="AB363" s="14"/>
      <c r="AC363" s="30" t="s">
        <v>223</v>
      </c>
      <c r="AD363" s="37" t="s">
        <v>223</v>
      </c>
    </row>
    <row r="364" spans="1:30" x14ac:dyDescent="0.25">
      <c r="A364" s="36">
        <v>1827</v>
      </c>
      <c r="B364" s="14" t="s">
        <v>3680</v>
      </c>
      <c r="C364" s="14" t="s">
        <v>3681</v>
      </c>
      <c r="D364" s="17">
        <v>44111</v>
      </c>
      <c r="E364" s="14" t="s">
        <v>30</v>
      </c>
      <c r="F364" s="14">
        <v>968</v>
      </c>
      <c r="G364" s="14">
        <v>406</v>
      </c>
      <c r="H364" s="14">
        <v>8</v>
      </c>
      <c r="I364" s="14">
        <v>4</v>
      </c>
      <c r="J364" s="14" t="s">
        <v>204</v>
      </c>
      <c r="K364" s="14" cm="1">
        <f t="array" ref="K364">INT(SUMPRODUCT(--ISNUMBER(SEARCH(economy,C364)))&gt;0)</f>
        <v>0</v>
      </c>
      <c r="L364" s="14" cm="1">
        <f t="array" ref="L364">INT(SUMPRODUCT(--ISNUMBER(SEARCH(healthcare,C364)))&gt;0)</f>
        <v>1</v>
      </c>
      <c r="M364" s="14" cm="1">
        <f t="array" ref="M364">INT(SUMPRODUCT(--ISNUMBER(SEARCH(supreme,C364)))&gt;0)</f>
        <v>0</v>
      </c>
      <c r="N364" s="14" cm="1">
        <f t="array" ref="N364">INT(SUMPRODUCT(--ISNUMBER(SEARCH(covid,C364)))&gt;0)</f>
        <v>0</v>
      </c>
      <c r="O364" s="14" cm="1">
        <f t="array" ref="O364">INT(SUMPRODUCT(--ISNUMBER(SEARCH(violent,C364)))&gt;0)</f>
        <v>0</v>
      </c>
      <c r="P364" s="14" cm="1">
        <f t="array" ref="P364">INT(SUMPRODUCT(--ISNUMBER(SEARCH(foreign,C364)))&gt;0)</f>
        <v>0</v>
      </c>
      <c r="Q364" s="14" cm="1">
        <f t="array" ref="Q364">INT(SUMPRODUCT(--ISNUMBER(SEARCH(gun,C364)))&gt;0)</f>
        <v>0</v>
      </c>
      <c r="R364" s="14" cm="1">
        <f t="array" ref="R364">INT(SUMPRODUCT(--ISNUMBER(SEARCH(race,C364)))&gt;0)</f>
        <v>0</v>
      </c>
      <c r="S364" s="14" cm="1">
        <f t="array" ref="S364">INT(SUMPRODUCT(--ISNUMBER(SEARCH(immigration,C364)))&gt;0)</f>
        <v>0</v>
      </c>
      <c r="T364" s="14" cm="1">
        <f t="array" ref="T364">INT(SUMPRODUCT(--ISNUMBER(SEARCH(econineq,C365)))&gt;0)</f>
        <v>0</v>
      </c>
      <c r="U364" s="14" cm="1">
        <f t="array" ref="U364">INT(SUMPRODUCT(--ISNUMBER(SEARCH(climate,C364)))&gt;0)</f>
        <v>0</v>
      </c>
      <c r="V364" s="14" cm="1">
        <f t="array" ref="V364">INT(SUMPRODUCT(--ISNUMBER(SEARCH(abortion,C364)))&gt;0)</f>
        <v>0</v>
      </c>
      <c r="W364" s="14" cm="1">
        <f t="array" ref="W364">INT(SUMPRODUCT(--ISNUMBER(SEARCH(trump,C364)))&gt;0)</f>
        <v>0</v>
      </c>
      <c r="X364" s="14" cm="1">
        <f t="array" ref="X364">INT(SUMPRODUCT(--ISNUMBER(SEARCH(voting,C364)))&gt;0)</f>
        <v>1</v>
      </c>
      <c r="Y364" s="14" cm="1">
        <f t="array" ref="Y364">INT(SUMPRODUCT(--ISNUMBER(SEARCH(democrattrigger,C364)))&gt;0)</f>
        <v>1</v>
      </c>
      <c r="Z364" s="14" cm="1">
        <f t="array" ref="Z364">INT(SUMPRODUCT(--ISNUMBER(SEARCH(bipartisan,C364)))&gt;0)</f>
        <v>0</v>
      </c>
      <c r="AA364" s="14">
        <f t="shared" si="5"/>
        <v>0</v>
      </c>
      <c r="AB364" s="14"/>
      <c r="AC364" s="30" t="s">
        <v>223</v>
      </c>
      <c r="AD364" s="37" t="s">
        <v>223</v>
      </c>
    </row>
    <row r="365" spans="1:30" x14ac:dyDescent="0.25">
      <c r="A365" s="36">
        <v>1828</v>
      </c>
      <c r="B365" s="14" t="s">
        <v>3682</v>
      </c>
      <c r="C365" s="14" t="s">
        <v>3683</v>
      </c>
      <c r="D365" s="17">
        <v>44111</v>
      </c>
      <c r="E365" s="14" t="s">
        <v>30</v>
      </c>
      <c r="F365" s="14">
        <v>667</v>
      </c>
      <c r="G365" s="14">
        <v>184</v>
      </c>
      <c r="H365" s="14">
        <v>8</v>
      </c>
      <c r="I365" s="14">
        <v>4</v>
      </c>
      <c r="J365" s="14" t="s">
        <v>204</v>
      </c>
      <c r="K365" s="14" cm="1">
        <f t="array" ref="K365">INT(SUMPRODUCT(--ISNUMBER(SEARCH(economy,C365)))&gt;0)</f>
        <v>1</v>
      </c>
      <c r="L365" s="14" cm="1">
        <f t="array" ref="L365">INT(SUMPRODUCT(--ISNUMBER(SEARCH(healthcare,C365)))&gt;0)</f>
        <v>0</v>
      </c>
      <c r="M365" s="14" cm="1">
        <f t="array" ref="M365">INT(SUMPRODUCT(--ISNUMBER(SEARCH(supreme,C365)))&gt;0)</f>
        <v>0</v>
      </c>
      <c r="N365" s="14" cm="1">
        <f t="array" ref="N365">INT(SUMPRODUCT(--ISNUMBER(SEARCH(covid,C365)))&gt;0)</f>
        <v>0</v>
      </c>
      <c r="O365" s="14" cm="1">
        <f t="array" ref="O365">INT(SUMPRODUCT(--ISNUMBER(SEARCH(violent,C365)))&gt;0)</f>
        <v>0</v>
      </c>
      <c r="P365" s="14" cm="1">
        <f t="array" ref="P365">INT(SUMPRODUCT(--ISNUMBER(SEARCH(foreign,C365)))&gt;0)</f>
        <v>0</v>
      </c>
      <c r="Q365" s="14" cm="1">
        <f t="array" ref="Q365">INT(SUMPRODUCT(--ISNUMBER(SEARCH(gun,C365)))&gt;0)</f>
        <v>0</v>
      </c>
      <c r="R365" s="14" cm="1">
        <f t="array" ref="R365">INT(SUMPRODUCT(--ISNUMBER(SEARCH(race,C365)))&gt;0)</f>
        <v>0</v>
      </c>
      <c r="S365" s="14" cm="1">
        <f t="array" ref="S365">INT(SUMPRODUCT(--ISNUMBER(SEARCH(immigration,C365)))&gt;0)</f>
        <v>0</v>
      </c>
      <c r="T365" s="14" cm="1">
        <f t="array" ref="T365">INT(SUMPRODUCT(--ISNUMBER(SEARCH(econineq,C366)))&gt;0)</f>
        <v>0</v>
      </c>
      <c r="U365" s="14" cm="1">
        <f t="array" ref="U365">INT(SUMPRODUCT(--ISNUMBER(SEARCH(climate,C365)))&gt;0)</f>
        <v>0</v>
      </c>
      <c r="V365" s="14" cm="1">
        <f t="array" ref="V365">INT(SUMPRODUCT(--ISNUMBER(SEARCH(abortion,C365)))&gt;0)</f>
        <v>0</v>
      </c>
      <c r="W365" s="14" cm="1">
        <f t="array" ref="W365">INT(SUMPRODUCT(--ISNUMBER(SEARCH(trump,C365)))&gt;0)</f>
        <v>0</v>
      </c>
      <c r="X365" s="14" cm="1">
        <f t="array" ref="X365">INT(SUMPRODUCT(--ISNUMBER(SEARCH(voting,C365)))&gt;0)</f>
        <v>0</v>
      </c>
      <c r="Y365" s="14" cm="1">
        <f t="array" ref="Y365">INT(SUMPRODUCT(--ISNUMBER(SEARCH(democrattrigger,C365)))&gt;0)</f>
        <v>0</v>
      </c>
      <c r="Z365" s="14" cm="1">
        <f t="array" ref="Z365">INT(SUMPRODUCT(--ISNUMBER(SEARCH(bipartisan,C365)))&gt;0)</f>
        <v>0</v>
      </c>
      <c r="AA365" s="14">
        <f t="shared" si="5"/>
        <v>0</v>
      </c>
      <c r="AB365" s="14"/>
      <c r="AC365" s="30">
        <v>1</v>
      </c>
      <c r="AD365" s="37">
        <v>0</v>
      </c>
    </row>
    <row r="366" spans="1:30" x14ac:dyDescent="0.25">
      <c r="A366" s="36">
        <v>1829</v>
      </c>
      <c r="B366" s="14" t="s">
        <v>3684</v>
      </c>
      <c r="C366" s="14" t="s">
        <v>3685</v>
      </c>
      <c r="D366" s="17">
        <v>44111</v>
      </c>
      <c r="E366" s="14" t="s">
        <v>30</v>
      </c>
      <c r="F366" s="14">
        <v>311</v>
      </c>
      <c r="G366" s="14">
        <v>125</v>
      </c>
      <c r="H366" s="14">
        <v>8</v>
      </c>
      <c r="I366" s="14">
        <v>4</v>
      </c>
      <c r="J366" s="14" t="s">
        <v>204</v>
      </c>
      <c r="K366" s="14" cm="1">
        <f t="array" ref="K366">INT(SUMPRODUCT(--ISNUMBER(SEARCH(economy,C366)))&gt;0)</f>
        <v>0</v>
      </c>
      <c r="L366" s="14" cm="1">
        <f t="array" ref="L366">INT(SUMPRODUCT(--ISNUMBER(SEARCH(healthcare,C366)))&gt;0)</f>
        <v>0</v>
      </c>
      <c r="M366" s="14" cm="1">
        <f t="array" ref="M366">INT(SUMPRODUCT(--ISNUMBER(SEARCH(supreme,C366)))&gt;0)</f>
        <v>0</v>
      </c>
      <c r="N366" s="14" cm="1">
        <f t="array" ref="N366">INT(SUMPRODUCT(--ISNUMBER(SEARCH(covid,C366)))&gt;0)</f>
        <v>0</v>
      </c>
      <c r="O366" s="14" cm="1">
        <f t="array" ref="O366">INT(SUMPRODUCT(--ISNUMBER(SEARCH(violent,C366)))&gt;0)</f>
        <v>0</v>
      </c>
      <c r="P366" s="14" cm="1">
        <f t="array" ref="P366">INT(SUMPRODUCT(--ISNUMBER(SEARCH(foreign,C366)))&gt;0)</f>
        <v>0</v>
      </c>
      <c r="Q366" s="14" cm="1">
        <f t="array" ref="Q366">INT(SUMPRODUCT(--ISNUMBER(SEARCH(gun,C366)))&gt;0)</f>
        <v>0</v>
      </c>
      <c r="R366" s="14" cm="1">
        <f t="array" ref="R366">INT(SUMPRODUCT(--ISNUMBER(SEARCH(race,C366)))&gt;0)</f>
        <v>0</v>
      </c>
      <c r="S366" s="14" cm="1">
        <f t="array" ref="S366">INT(SUMPRODUCT(--ISNUMBER(SEARCH(immigration,C366)))&gt;0)</f>
        <v>0</v>
      </c>
      <c r="T366" s="14" cm="1">
        <f t="array" ref="T366">INT(SUMPRODUCT(--ISNUMBER(SEARCH(econineq,C367)))&gt;0)</f>
        <v>0</v>
      </c>
      <c r="U366" s="14" cm="1">
        <f t="array" ref="U366">INT(SUMPRODUCT(--ISNUMBER(SEARCH(climate,C366)))&gt;0)</f>
        <v>0</v>
      </c>
      <c r="V366" s="14" cm="1">
        <f t="array" ref="V366">INT(SUMPRODUCT(--ISNUMBER(SEARCH(abortion,C366)))&gt;0)</f>
        <v>0</v>
      </c>
      <c r="W366" s="14" cm="1">
        <f t="array" ref="W366">INT(SUMPRODUCT(--ISNUMBER(SEARCH(trump,C366)))&gt;0)</f>
        <v>0</v>
      </c>
      <c r="X366" s="14" cm="1">
        <f t="array" ref="X366">INT(SUMPRODUCT(--ISNUMBER(SEARCH(voting,C366)))&gt;0)</f>
        <v>0</v>
      </c>
      <c r="Y366" s="14" cm="1">
        <f t="array" ref="Y366">INT(SUMPRODUCT(--ISNUMBER(SEARCH(democrattrigger,C366)))&gt;0)</f>
        <v>0</v>
      </c>
      <c r="Z366" s="14" cm="1">
        <f t="array" ref="Z366">INT(SUMPRODUCT(--ISNUMBER(SEARCH(bipartisan,C366)))&gt;0)</f>
        <v>0</v>
      </c>
      <c r="AA366" s="14">
        <f t="shared" si="5"/>
        <v>1</v>
      </c>
      <c r="AB366" s="14"/>
      <c r="AC366" s="30" t="s">
        <v>223</v>
      </c>
      <c r="AD366" s="37" t="s">
        <v>223</v>
      </c>
    </row>
    <row r="367" spans="1:30" x14ac:dyDescent="0.25">
      <c r="A367" s="36">
        <v>1830</v>
      </c>
      <c r="B367" s="14" t="s">
        <v>3686</v>
      </c>
      <c r="C367" s="14" t="s">
        <v>3687</v>
      </c>
      <c r="D367" s="17">
        <v>44111</v>
      </c>
      <c r="E367" s="14" t="s">
        <v>30</v>
      </c>
      <c r="F367" s="14">
        <v>305</v>
      </c>
      <c r="G367" s="14">
        <v>136</v>
      </c>
      <c r="H367" s="14">
        <v>8</v>
      </c>
      <c r="I367" s="14">
        <v>4</v>
      </c>
      <c r="J367" s="14" t="s">
        <v>204</v>
      </c>
      <c r="K367" s="14" cm="1">
        <f t="array" ref="K367">INT(SUMPRODUCT(--ISNUMBER(SEARCH(economy,C367)))&gt;0)</f>
        <v>0</v>
      </c>
      <c r="L367" s="14" cm="1">
        <f t="array" ref="L367">INT(SUMPRODUCT(--ISNUMBER(SEARCH(healthcare,C367)))&gt;0)</f>
        <v>1</v>
      </c>
      <c r="M367" s="14" cm="1">
        <f t="array" ref="M367">INT(SUMPRODUCT(--ISNUMBER(SEARCH(supreme,C367)))&gt;0)</f>
        <v>0</v>
      </c>
      <c r="N367" s="14" cm="1">
        <f t="array" ref="N367">INT(SUMPRODUCT(--ISNUMBER(SEARCH(covid,C367)))&gt;0)</f>
        <v>0</v>
      </c>
      <c r="O367" s="14" cm="1">
        <f t="array" ref="O367">INT(SUMPRODUCT(--ISNUMBER(SEARCH(violent,C367)))&gt;0)</f>
        <v>0</v>
      </c>
      <c r="P367" s="14" cm="1">
        <f t="array" ref="P367">INT(SUMPRODUCT(--ISNUMBER(SEARCH(foreign,C367)))&gt;0)</f>
        <v>0</v>
      </c>
      <c r="Q367" s="14" cm="1">
        <f t="array" ref="Q367">INT(SUMPRODUCT(--ISNUMBER(SEARCH(gun,C367)))&gt;0)</f>
        <v>0</v>
      </c>
      <c r="R367" s="14" cm="1">
        <f t="array" ref="R367">INT(SUMPRODUCT(--ISNUMBER(SEARCH(race,C367)))&gt;0)</f>
        <v>0</v>
      </c>
      <c r="S367" s="14" cm="1">
        <f t="array" ref="S367">INT(SUMPRODUCT(--ISNUMBER(SEARCH(immigration,C367)))&gt;0)</f>
        <v>0</v>
      </c>
      <c r="T367" s="14" cm="1">
        <f t="array" ref="T367">INT(SUMPRODUCT(--ISNUMBER(SEARCH(econineq,C368)))&gt;0)</f>
        <v>0</v>
      </c>
      <c r="U367" s="14" cm="1">
        <f t="array" ref="U367">INT(SUMPRODUCT(--ISNUMBER(SEARCH(climate,C367)))&gt;0)</f>
        <v>0</v>
      </c>
      <c r="V367" s="14" cm="1">
        <f t="array" ref="V367">INT(SUMPRODUCT(--ISNUMBER(SEARCH(abortion,C367)))&gt;0)</f>
        <v>0</v>
      </c>
      <c r="W367" s="14" cm="1">
        <f t="array" ref="W367">INT(SUMPRODUCT(--ISNUMBER(SEARCH(trump,C367)))&gt;0)</f>
        <v>0</v>
      </c>
      <c r="X367" s="14" cm="1">
        <f t="array" ref="X367">INT(SUMPRODUCT(--ISNUMBER(SEARCH(voting,C367)))&gt;0)</f>
        <v>1</v>
      </c>
      <c r="Y367" s="14" cm="1">
        <f t="array" ref="Y367">INT(SUMPRODUCT(--ISNUMBER(SEARCH(democrattrigger,C367)))&gt;0)</f>
        <v>0</v>
      </c>
      <c r="Z367" s="14" cm="1">
        <f t="array" ref="Z367">INT(SUMPRODUCT(--ISNUMBER(SEARCH(bipartisan,C367)))&gt;0)</f>
        <v>0</v>
      </c>
      <c r="AA367" s="14">
        <f t="shared" si="5"/>
        <v>0</v>
      </c>
      <c r="AB367" s="14"/>
      <c r="AC367" s="30">
        <v>1</v>
      </c>
      <c r="AD367" s="37">
        <v>1</v>
      </c>
    </row>
    <row r="368" spans="1:30" x14ac:dyDescent="0.25">
      <c r="A368" s="36">
        <v>1831</v>
      </c>
      <c r="B368" s="14" t="s">
        <v>3688</v>
      </c>
      <c r="C368" s="14" t="s">
        <v>3689</v>
      </c>
      <c r="D368" s="17">
        <v>44111</v>
      </c>
      <c r="E368" s="14" t="s">
        <v>30</v>
      </c>
      <c r="F368" s="14">
        <v>435</v>
      </c>
      <c r="G368" s="14">
        <v>196</v>
      </c>
      <c r="H368" s="14">
        <v>8</v>
      </c>
      <c r="I368" s="14">
        <v>4</v>
      </c>
      <c r="J368" s="14" t="s">
        <v>204</v>
      </c>
      <c r="K368" s="14" cm="1">
        <f t="array" ref="K368">INT(SUMPRODUCT(--ISNUMBER(SEARCH(economy,C368)))&gt;0)</f>
        <v>0</v>
      </c>
      <c r="L368" s="14" cm="1">
        <f t="array" ref="L368">INT(SUMPRODUCT(--ISNUMBER(SEARCH(healthcare,C368)))&gt;0)</f>
        <v>0</v>
      </c>
      <c r="M368" s="14" cm="1">
        <f t="array" ref="M368">INT(SUMPRODUCT(--ISNUMBER(SEARCH(supreme,C368)))&gt;0)</f>
        <v>0</v>
      </c>
      <c r="N368" s="14" cm="1">
        <f t="array" ref="N368">INT(SUMPRODUCT(--ISNUMBER(SEARCH(covid,C368)))&gt;0)</f>
        <v>0</v>
      </c>
      <c r="O368" s="14" cm="1">
        <f t="array" ref="O368">INT(SUMPRODUCT(--ISNUMBER(SEARCH(violent,C368)))&gt;0)</f>
        <v>0</v>
      </c>
      <c r="P368" s="14" cm="1">
        <f t="array" ref="P368">INT(SUMPRODUCT(--ISNUMBER(SEARCH(foreign,C368)))&gt;0)</f>
        <v>0</v>
      </c>
      <c r="Q368" s="14" cm="1">
        <f t="array" ref="Q368">INT(SUMPRODUCT(--ISNUMBER(SEARCH(gun,C368)))&gt;0)</f>
        <v>0</v>
      </c>
      <c r="R368" s="14" cm="1">
        <f t="array" ref="R368">INT(SUMPRODUCT(--ISNUMBER(SEARCH(race,C368)))&gt;0)</f>
        <v>0</v>
      </c>
      <c r="S368" s="14" cm="1">
        <f t="array" ref="S368">INT(SUMPRODUCT(--ISNUMBER(SEARCH(immigration,C368)))&gt;0)</f>
        <v>0</v>
      </c>
      <c r="T368" s="14" cm="1">
        <f t="array" ref="T368">INT(SUMPRODUCT(--ISNUMBER(SEARCH(econineq,C369)))&gt;0)</f>
        <v>0</v>
      </c>
      <c r="U368" s="14" cm="1">
        <f t="array" ref="U368">INT(SUMPRODUCT(--ISNUMBER(SEARCH(climate,C368)))&gt;0)</f>
        <v>0</v>
      </c>
      <c r="V368" s="14" cm="1">
        <f t="array" ref="V368">INT(SUMPRODUCT(--ISNUMBER(SEARCH(abortion,C368)))&gt;0)</f>
        <v>0</v>
      </c>
      <c r="W368" s="14" cm="1">
        <f t="array" ref="W368">INT(SUMPRODUCT(--ISNUMBER(SEARCH(trump,C368)))&gt;0)</f>
        <v>0</v>
      </c>
      <c r="X368" s="14" cm="1">
        <f t="array" ref="X368">INT(SUMPRODUCT(--ISNUMBER(SEARCH(voting,C368)))&gt;0)</f>
        <v>1</v>
      </c>
      <c r="Y368" s="14" cm="1">
        <f t="array" ref="Y368">INT(SUMPRODUCT(--ISNUMBER(SEARCH(democrattrigger,C368)))&gt;0)</f>
        <v>0</v>
      </c>
      <c r="Z368" s="14" cm="1">
        <f t="array" ref="Z368">INT(SUMPRODUCT(--ISNUMBER(SEARCH(bipartisan,C368)))&gt;0)</f>
        <v>0</v>
      </c>
      <c r="AA368" s="14">
        <f t="shared" si="5"/>
        <v>0</v>
      </c>
      <c r="AB368" s="14"/>
      <c r="AC368" s="30" t="s">
        <v>223</v>
      </c>
      <c r="AD368" s="37" t="s">
        <v>223</v>
      </c>
    </row>
    <row r="369" spans="1:30" x14ac:dyDescent="0.25">
      <c r="A369" s="36">
        <v>1832</v>
      </c>
      <c r="B369" s="14" t="s">
        <v>3690</v>
      </c>
      <c r="C369" s="14" t="s">
        <v>3691</v>
      </c>
      <c r="D369" s="17">
        <v>44111</v>
      </c>
      <c r="E369" s="14" t="s">
        <v>30</v>
      </c>
      <c r="F369" s="14">
        <v>665</v>
      </c>
      <c r="G369" s="14">
        <v>203</v>
      </c>
      <c r="H369" s="14">
        <v>8</v>
      </c>
      <c r="I369" s="14">
        <v>4</v>
      </c>
      <c r="J369" s="14" t="s">
        <v>204</v>
      </c>
      <c r="K369" s="14" cm="1">
        <f t="array" ref="K369">INT(SUMPRODUCT(--ISNUMBER(SEARCH(economy,C369)))&gt;0)</f>
        <v>0</v>
      </c>
      <c r="L369" s="14" cm="1">
        <f t="array" ref="L369">INT(SUMPRODUCT(--ISNUMBER(SEARCH(healthcare,C369)))&gt;0)</f>
        <v>0</v>
      </c>
      <c r="M369" s="14" cm="1">
        <f t="array" ref="M369">INT(SUMPRODUCT(--ISNUMBER(SEARCH(supreme,C369)))&gt;0)</f>
        <v>0</v>
      </c>
      <c r="N369" s="14" cm="1">
        <f t="array" ref="N369">INT(SUMPRODUCT(--ISNUMBER(SEARCH(covid,C369)))&gt;0)</f>
        <v>0</v>
      </c>
      <c r="O369" s="14" cm="1">
        <f t="array" ref="O369">INT(SUMPRODUCT(--ISNUMBER(SEARCH(violent,C369)))&gt;0)</f>
        <v>0</v>
      </c>
      <c r="P369" s="14" cm="1">
        <f t="array" ref="P369">INT(SUMPRODUCT(--ISNUMBER(SEARCH(foreign,C369)))&gt;0)</f>
        <v>0</v>
      </c>
      <c r="Q369" s="14" cm="1">
        <f t="array" ref="Q369">INT(SUMPRODUCT(--ISNUMBER(SEARCH(gun,C369)))&gt;0)</f>
        <v>0</v>
      </c>
      <c r="R369" s="14" cm="1">
        <f t="array" ref="R369">INT(SUMPRODUCT(--ISNUMBER(SEARCH(race,C369)))&gt;0)</f>
        <v>0</v>
      </c>
      <c r="S369" s="14" cm="1">
        <f t="array" ref="S369">INT(SUMPRODUCT(--ISNUMBER(SEARCH(immigration,C369)))&gt;0)</f>
        <v>0</v>
      </c>
      <c r="T369" s="14" cm="1">
        <f t="array" ref="T369">INT(SUMPRODUCT(--ISNUMBER(SEARCH(econineq,C370)))&gt;0)</f>
        <v>0</v>
      </c>
      <c r="U369" s="14" cm="1">
        <f t="array" ref="U369">INT(SUMPRODUCT(--ISNUMBER(SEARCH(climate,C369)))&gt;0)</f>
        <v>0</v>
      </c>
      <c r="V369" s="14" cm="1">
        <f t="array" ref="V369">INT(SUMPRODUCT(--ISNUMBER(SEARCH(abortion,C369)))&gt;0)</f>
        <v>0</v>
      </c>
      <c r="W369" s="14" cm="1">
        <f t="array" ref="W369">INT(SUMPRODUCT(--ISNUMBER(SEARCH(trump,C369)))&gt;0)</f>
        <v>0</v>
      </c>
      <c r="X369" s="14" cm="1">
        <f t="array" ref="X369">INT(SUMPRODUCT(--ISNUMBER(SEARCH(voting,C369)))&gt;0)</f>
        <v>0</v>
      </c>
      <c r="Y369" s="14" cm="1">
        <f t="array" ref="Y369">INT(SUMPRODUCT(--ISNUMBER(SEARCH(democrattrigger,C369)))&gt;0)</f>
        <v>0</v>
      </c>
      <c r="Z369" s="14" cm="1">
        <f t="array" ref="Z369">INT(SUMPRODUCT(--ISNUMBER(SEARCH(bipartisan,C369)))&gt;0)</f>
        <v>0</v>
      </c>
      <c r="AA369" s="14">
        <f t="shared" si="5"/>
        <v>1</v>
      </c>
      <c r="AB369" s="14"/>
      <c r="AC369" s="30">
        <v>1</v>
      </c>
      <c r="AD369" s="37">
        <v>0</v>
      </c>
    </row>
    <row r="370" spans="1:30" x14ac:dyDescent="0.25">
      <c r="A370" s="36">
        <v>1833</v>
      </c>
      <c r="B370" s="14" t="s">
        <v>3692</v>
      </c>
      <c r="C370" s="14" t="s">
        <v>3693</v>
      </c>
      <c r="D370" s="17">
        <v>44111</v>
      </c>
      <c r="E370" s="14" t="s">
        <v>30</v>
      </c>
      <c r="F370" s="14">
        <v>893</v>
      </c>
      <c r="G370" s="14">
        <v>239</v>
      </c>
      <c r="H370" s="14">
        <v>8</v>
      </c>
      <c r="I370" s="14">
        <v>4</v>
      </c>
      <c r="J370" s="14" t="s">
        <v>204</v>
      </c>
      <c r="K370" s="14" cm="1">
        <f t="array" ref="K370">INT(SUMPRODUCT(--ISNUMBER(SEARCH(economy,C370)))&gt;0)</f>
        <v>0</v>
      </c>
      <c r="L370" s="14" cm="1">
        <f t="array" ref="L370">INT(SUMPRODUCT(--ISNUMBER(SEARCH(healthcare,C370)))&gt;0)</f>
        <v>0</v>
      </c>
      <c r="M370" s="14" cm="1">
        <f t="array" ref="M370">INT(SUMPRODUCT(--ISNUMBER(SEARCH(supreme,C370)))&gt;0)</f>
        <v>1</v>
      </c>
      <c r="N370" s="14" cm="1">
        <f t="array" ref="N370">INT(SUMPRODUCT(--ISNUMBER(SEARCH(covid,C370)))&gt;0)</f>
        <v>0</v>
      </c>
      <c r="O370" s="14" cm="1">
        <f t="array" ref="O370">INT(SUMPRODUCT(--ISNUMBER(SEARCH(violent,C370)))&gt;0)</f>
        <v>0</v>
      </c>
      <c r="P370" s="14" cm="1">
        <f t="array" ref="P370">INT(SUMPRODUCT(--ISNUMBER(SEARCH(foreign,C370)))&gt;0)</f>
        <v>0</v>
      </c>
      <c r="Q370" s="14" cm="1">
        <f t="array" ref="Q370">INT(SUMPRODUCT(--ISNUMBER(SEARCH(gun,C370)))&gt;0)</f>
        <v>0</v>
      </c>
      <c r="R370" s="14" cm="1">
        <f t="array" ref="R370">INT(SUMPRODUCT(--ISNUMBER(SEARCH(race,C370)))&gt;0)</f>
        <v>0</v>
      </c>
      <c r="S370" s="14" cm="1">
        <f t="array" ref="S370">INT(SUMPRODUCT(--ISNUMBER(SEARCH(immigration,C370)))&gt;0)</f>
        <v>0</v>
      </c>
      <c r="T370" s="14" cm="1">
        <f t="array" ref="T370">INT(SUMPRODUCT(--ISNUMBER(SEARCH(econineq,C371)))&gt;0)</f>
        <v>0</v>
      </c>
      <c r="U370" s="14" cm="1">
        <f t="array" ref="U370">INT(SUMPRODUCT(--ISNUMBER(SEARCH(climate,C370)))&gt;0)</f>
        <v>0</v>
      </c>
      <c r="V370" s="14" cm="1">
        <f t="array" ref="V370">INT(SUMPRODUCT(--ISNUMBER(SEARCH(abortion,C370)))&gt;0)</f>
        <v>0</v>
      </c>
      <c r="W370" s="14" cm="1">
        <f t="array" ref="W370">INT(SUMPRODUCT(--ISNUMBER(SEARCH(trump,C370)))&gt;0)</f>
        <v>0</v>
      </c>
      <c r="X370" s="14" cm="1">
        <f t="array" ref="X370">INT(SUMPRODUCT(--ISNUMBER(SEARCH(voting,C370)))&gt;0)</f>
        <v>1</v>
      </c>
      <c r="Y370" s="14" cm="1">
        <f t="array" ref="Y370">INT(SUMPRODUCT(--ISNUMBER(SEARCH(democrattrigger,C370)))&gt;0)</f>
        <v>0</v>
      </c>
      <c r="Z370" s="14" cm="1">
        <f t="array" ref="Z370">INT(SUMPRODUCT(--ISNUMBER(SEARCH(bipartisan,C370)))&gt;0)</f>
        <v>0</v>
      </c>
      <c r="AA370" s="14">
        <f t="shared" si="5"/>
        <v>0</v>
      </c>
      <c r="AB370" s="14"/>
      <c r="AC370" s="30">
        <v>0</v>
      </c>
      <c r="AD370" s="37">
        <v>1</v>
      </c>
    </row>
    <row r="371" spans="1:30" x14ac:dyDescent="0.25">
      <c r="A371" s="36">
        <v>1834</v>
      </c>
      <c r="B371" s="14" t="s">
        <v>3694</v>
      </c>
      <c r="C371" s="14" t="s">
        <v>3695</v>
      </c>
      <c r="D371" s="17">
        <v>44110</v>
      </c>
      <c r="E371" s="14" t="s">
        <v>30</v>
      </c>
      <c r="F371" s="14">
        <v>1299</v>
      </c>
      <c r="G371" s="14">
        <v>406</v>
      </c>
      <c r="H371" s="14">
        <v>8</v>
      </c>
      <c r="I371" s="14">
        <v>4</v>
      </c>
      <c r="J371" s="14" t="s">
        <v>204</v>
      </c>
      <c r="K371" s="14" cm="1">
        <f t="array" ref="K371">INT(SUMPRODUCT(--ISNUMBER(SEARCH(economy,C371)))&gt;0)</f>
        <v>0</v>
      </c>
      <c r="L371" s="14" cm="1">
        <f t="array" ref="L371">INT(SUMPRODUCT(--ISNUMBER(SEARCH(healthcare,C371)))&gt;0)</f>
        <v>0</v>
      </c>
      <c r="M371" s="14" cm="1">
        <f t="array" ref="M371">INT(SUMPRODUCT(--ISNUMBER(SEARCH(supreme,C371)))&gt;0)</f>
        <v>0</v>
      </c>
      <c r="N371" s="14" cm="1">
        <f t="array" ref="N371">INT(SUMPRODUCT(--ISNUMBER(SEARCH(covid,C371)))&gt;0)</f>
        <v>0</v>
      </c>
      <c r="O371" s="14" cm="1">
        <f t="array" ref="O371">INT(SUMPRODUCT(--ISNUMBER(SEARCH(violent,C371)))&gt;0)</f>
        <v>0</v>
      </c>
      <c r="P371" s="14" cm="1">
        <f t="array" ref="P371">INT(SUMPRODUCT(--ISNUMBER(SEARCH(foreign,C371)))&gt;0)</f>
        <v>0</v>
      </c>
      <c r="Q371" s="14" cm="1">
        <f t="array" ref="Q371">INT(SUMPRODUCT(--ISNUMBER(SEARCH(gun,C371)))&gt;0)</f>
        <v>1</v>
      </c>
      <c r="R371" s="14" cm="1">
        <f t="array" ref="R371">INT(SUMPRODUCT(--ISNUMBER(SEARCH(race,C371)))&gt;0)</f>
        <v>0</v>
      </c>
      <c r="S371" s="14" cm="1">
        <f t="array" ref="S371">INT(SUMPRODUCT(--ISNUMBER(SEARCH(immigration,C371)))&gt;0)</f>
        <v>0</v>
      </c>
      <c r="T371" s="14" cm="1">
        <f t="array" ref="T371">INT(SUMPRODUCT(--ISNUMBER(SEARCH(econineq,C372)))&gt;0)</f>
        <v>0</v>
      </c>
      <c r="U371" s="14" cm="1">
        <f t="array" ref="U371">INT(SUMPRODUCT(--ISNUMBER(SEARCH(climate,C371)))&gt;0)</f>
        <v>0</v>
      </c>
      <c r="V371" s="14" cm="1">
        <f t="array" ref="V371">INT(SUMPRODUCT(--ISNUMBER(SEARCH(abortion,C371)))&gt;0)</f>
        <v>0</v>
      </c>
      <c r="W371" s="14" cm="1">
        <f t="array" ref="W371">INT(SUMPRODUCT(--ISNUMBER(SEARCH(trump,C371)))&gt;0)</f>
        <v>0</v>
      </c>
      <c r="X371" s="14" cm="1">
        <f t="array" ref="X371">INT(SUMPRODUCT(--ISNUMBER(SEARCH(voting,C371)))&gt;0)</f>
        <v>1</v>
      </c>
      <c r="Y371" s="14" cm="1">
        <f t="array" ref="Y371">INT(SUMPRODUCT(--ISNUMBER(SEARCH(democrattrigger,C371)))&gt;0)</f>
        <v>0</v>
      </c>
      <c r="Z371" s="14" cm="1">
        <f t="array" ref="Z371">INT(SUMPRODUCT(--ISNUMBER(SEARCH(bipartisan,C371)))&gt;0)</f>
        <v>0</v>
      </c>
      <c r="AA371" s="14">
        <f t="shared" si="5"/>
        <v>0</v>
      </c>
      <c r="AB371" s="14"/>
      <c r="AC371" s="30">
        <v>0</v>
      </c>
      <c r="AD371" s="37">
        <v>1</v>
      </c>
    </row>
    <row r="372" spans="1:30" x14ac:dyDescent="0.25">
      <c r="A372" s="36">
        <v>1835</v>
      </c>
      <c r="B372" s="14" t="s">
        <v>3696</v>
      </c>
      <c r="C372" s="14" t="s">
        <v>3697</v>
      </c>
      <c r="D372" s="17">
        <v>44110</v>
      </c>
      <c r="E372" s="14" t="s">
        <v>30</v>
      </c>
      <c r="F372" s="14">
        <v>6559</v>
      </c>
      <c r="G372" s="14">
        <v>2043</v>
      </c>
      <c r="H372" s="14">
        <v>8</v>
      </c>
      <c r="I372" s="14">
        <v>4</v>
      </c>
      <c r="J372" s="14" t="s">
        <v>204</v>
      </c>
      <c r="K372" s="14" cm="1">
        <f t="array" ref="K372">INT(SUMPRODUCT(--ISNUMBER(SEARCH(economy,C372)))&gt;0)</f>
        <v>0</v>
      </c>
      <c r="L372" s="14" cm="1">
        <f t="array" ref="L372">INT(SUMPRODUCT(--ISNUMBER(SEARCH(healthcare,C372)))&gt;0)</f>
        <v>0</v>
      </c>
      <c r="M372" s="14" cm="1">
        <f t="array" ref="M372">INT(SUMPRODUCT(--ISNUMBER(SEARCH(supreme,C372)))&gt;0)</f>
        <v>0</v>
      </c>
      <c r="N372" s="14" cm="1">
        <f t="array" ref="N372">INT(SUMPRODUCT(--ISNUMBER(SEARCH(covid,C372)))&gt;0)</f>
        <v>1</v>
      </c>
      <c r="O372" s="14" cm="1">
        <f t="array" ref="O372">INT(SUMPRODUCT(--ISNUMBER(SEARCH(violent,C372)))&gt;0)</f>
        <v>0</v>
      </c>
      <c r="P372" s="14" cm="1">
        <f t="array" ref="P372">INT(SUMPRODUCT(--ISNUMBER(SEARCH(foreign,C372)))&gt;0)</f>
        <v>0</v>
      </c>
      <c r="Q372" s="14" cm="1">
        <f t="array" ref="Q372">INT(SUMPRODUCT(--ISNUMBER(SEARCH(gun,C372)))&gt;0)</f>
        <v>0</v>
      </c>
      <c r="R372" s="14" cm="1">
        <f t="array" ref="R372">INT(SUMPRODUCT(--ISNUMBER(SEARCH(race,C372)))&gt;0)</f>
        <v>0</v>
      </c>
      <c r="S372" s="14" cm="1">
        <f t="array" ref="S372">INT(SUMPRODUCT(--ISNUMBER(SEARCH(immigration,C372)))&gt;0)</f>
        <v>0</v>
      </c>
      <c r="T372" s="14" cm="1">
        <f t="array" ref="T372">INT(SUMPRODUCT(--ISNUMBER(SEARCH(econineq,C373)))&gt;0)</f>
        <v>0</v>
      </c>
      <c r="U372" s="14" cm="1">
        <f t="array" ref="U372">INT(SUMPRODUCT(--ISNUMBER(SEARCH(climate,C372)))&gt;0)</f>
        <v>0</v>
      </c>
      <c r="V372" s="14" cm="1">
        <f t="array" ref="V372">INT(SUMPRODUCT(--ISNUMBER(SEARCH(abortion,C372)))&gt;0)</f>
        <v>0</v>
      </c>
      <c r="W372" s="14" cm="1">
        <f t="array" ref="W372">INT(SUMPRODUCT(--ISNUMBER(SEARCH(trump,C372)))&gt;0)</f>
        <v>1</v>
      </c>
      <c r="X372" s="14" cm="1">
        <f t="array" ref="X372">INT(SUMPRODUCT(--ISNUMBER(SEARCH(voting,C372)))&gt;0)</f>
        <v>0</v>
      </c>
      <c r="Y372" s="14" cm="1">
        <f t="array" ref="Y372">INT(SUMPRODUCT(--ISNUMBER(SEARCH(democrattrigger,C372)))&gt;0)</f>
        <v>1</v>
      </c>
      <c r="Z372" s="14" cm="1">
        <f t="array" ref="Z372">INT(SUMPRODUCT(--ISNUMBER(SEARCH(bipartisan,C372)))&gt;0)</f>
        <v>0</v>
      </c>
      <c r="AA372" s="14">
        <f t="shared" si="5"/>
        <v>0</v>
      </c>
      <c r="AB372" s="14"/>
      <c r="AC372" s="30" t="s">
        <v>223</v>
      </c>
      <c r="AD372" s="37" t="s">
        <v>223</v>
      </c>
    </row>
    <row r="373" spans="1:30" x14ac:dyDescent="0.25">
      <c r="A373" s="36">
        <v>1836</v>
      </c>
      <c r="B373" s="14" t="s">
        <v>3698</v>
      </c>
      <c r="C373" s="14" t="s">
        <v>3699</v>
      </c>
      <c r="D373" s="17">
        <v>44110</v>
      </c>
      <c r="E373" s="14" t="s">
        <v>30</v>
      </c>
      <c r="F373" s="14">
        <v>1907</v>
      </c>
      <c r="G373" s="14">
        <v>784</v>
      </c>
      <c r="H373" s="14">
        <v>8</v>
      </c>
      <c r="I373" s="14">
        <v>4</v>
      </c>
      <c r="J373" s="14" t="s">
        <v>204</v>
      </c>
      <c r="K373" s="14" cm="1">
        <f t="array" ref="K373">INT(SUMPRODUCT(--ISNUMBER(SEARCH(economy,C373)))&gt;0)</f>
        <v>0</v>
      </c>
      <c r="L373" s="14" cm="1">
        <f t="array" ref="L373">INT(SUMPRODUCT(--ISNUMBER(SEARCH(healthcare,C373)))&gt;0)</f>
        <v>1</v>
      </c>
      <c r="M373" s="14" cm="1">
        <f t="array" ref="M373">INT(SUMPRODUCT(--ISNUMBER(SEARCH(supreme,C373)))&gt;0)</f>
        <v>1</v>
      </c>
      <c r="N373" s="14" cm="1">
        <f t="array" ref="N373">INT(SUMPRODUCT(--ISNUMBER(SEARCH(covid,C373)))&gt;0)</f>
        <v>0</v>
      </c>
      <c r="O373" s="14" cm="1">
        <f t="array" ref="O373">INT(SUMPRODUCT(--ISNUMBER(SEARCH(violent,C373)))&gt;0)</f>
        <v>0</v>
      </c>
      <c r="P373" s="14" cm="1">
        <f t="array" ref="P373">INT(SUMPRODUCT(--ISNUMBER(SEARCH(foreign,C373)))&gt;0)</f>
        <v>0</v>
      </c>
      <c r="Q373" s="14" cm="1">
        <f t="array" ref="Q373">INT(SUMPRODUCT(--ISNUMBER(SEARCH(gun,C373)))&gt;0)</f>
        <v>0</v>
      </c>
      <c r="R373" s="14" cm="1">
        <f t="array" ref="R373">INT(SUMPRODUCT(--ISNUMBER(SEARCH(race,C373)))&gt;0)</f>
        <v>0</v>
      </c>
      <c r="S373" s="14" cm="1">
        <f t="array" ref="S373">INT(SUMPRODUCT(--ISNUMBER(SEARCH(immigration,C373)))&gt;0)</f>
        <v>0</v>
      </c>
      <c r="T373" s="14" cm="1">
        <f t="array" ref="T373">INT(SUMPRODUCT(--ISNUMBER(SEARCH(econineq,C374)))&gt;0)</f>
        <v>0</v>
      </c>
      <c r="U373" s="14" cm="1">
        <f t="array" ref="U373">INT(SUMPRODUCT(--ISNUMBER(SEARCH(climate,C373)))&gt;0)</f>
        <v>0</v>
      </c>
      <c r="V373" s="14" cm="1">
        <f t="array" ref="V373">INT(SUMPRODUCT(--ISNUMBER(SEARCH(abortion,C373)))&gt;0)</f>
        <v>0</v>
      </c>
      <c r="W373" s="14" cm="1">
        <f t="array" ref="W373">INT(SUMPRODUCT(--ISNUMBER(SEARCH(trump,C373)))&gt;0)</f>
        <v>1</v>
      </c>
      <c r="X373" s="14" cm="1">
        <f t="array" ref="X373">INT(SUMPRODUCT(--ISNUMBER(SEARCH(voting,C373)))&gt;0)</f>
        <v>0</v>
      </c>
      <c r="Y373" s="14" cm="1">
        <f t="array" ref="Y373">INT(SUMPRODUCT(--ISNUMBER(SEARCH(democrattrigger,C373)))&gt;0)</f>
        <v>1</v>
      </c>
      <c r="Z373" s="14" cm="1">
        <f t="array" ref="Z373">INT(SUMPRODUCT(--ISNUMBER(SEARCH(bipartisan,C373)))&gt;0)</f>
        <v>0</v>
      </c>
      <c r="AA373" s="14">
        <f t="shared" si="5"/>
        <v>0</v>
      </c>
      <c r="AB373" s="14"/>
      <c r="AC373" s="30">
        <v>1</v>
      </c>
      <c r="AD373" s="37">
        <v>0</v>
      </c>
    </row>
    <row r="374" spans="1:30" x14ac:dyDescent="0.25">
      <c r="A374" s="36">
        <v>1837</v>
      </c>
      <c r="B374" s="14" t="s">
        <v>3700</v>
      </c>
      <c r="C374" s="14" t="s">
        <v>3701</v>
      </c>
      <c r="D374" s="17">
        <v>44110</v>
      </c>
      <c r="E374" s="14" t="s">
        <v>30</v>
      </c>
      <c r="F374" s="14">
        <v>2421</v>
      </c>
      <c r="G374" s="14">
        <v>1077</v>
      </c>
      <c r="H374" s="14">
        <v>8</v>
      </c>
      <c r="I374" s="14">
        <v>4</v>
      </c>
      <c r="J374" s="14" t="s">
        <v>204</v>
      </c>
      <c r="K374" s="14" cm="1">
        <f t="array" ref="K374">INT(SUMPRODUCT(--ISNUMBER(SEARCH(economy,C374)))&gt;0)</f>
        <v>0</v>
      </c>
      <c r="L374" s="14" cm="1">
        <f t="array" ref="L374">INT(SUMPRODUCT(--ISNUMBER(SEARCH(healthcare,C374)))&gt;0)</f>
        <v>1</v>
      </c>
      <c r="M374" s="14" cm="1">
        <f t="array" ref="M374">INT(SUMPRODUCT(--ISNUMBER(SEARCH(supreme,C374)))&gt;0)</f>
        <v>1</v>
      </c>
      <c r="N374" s="14" cm="1">
        <f t="array" ref="N374">INT(SUMPRODUCT(--ISNUMBER(SEARCH(covid,C374)))&gt;0)</f>
        <v>0</v>
      </c>
      <c r="O374" s="14" cm="1">
        <f t="array" ref="O374">INT(SUMPRODUCT(--ISNUMBER(SEARCH(violent,C374)))&gt;0)</f>
        <v>0</v>
      </c>
      <c r="P374" s="14" cm="1">
        <f t="array" ref="P374">INT(SUMPRODUCT(--ISNUMBER(SEARCH(foreign,C374)))&gt;0)</f>
        <v>0</v>
      </c>
      <c r="Q374" s="14" cm="1">
        <f t="array" ref="Q374">INT(SUMPRODUCT(--ISNUMBER(SEARCH(gun,C374)))&gt;0)</f>
        <v>0</v>
      </c>
      <c r="R374" s="14" cm="1">
        <f t="array" ref="R374">INT(SUMPRODUCT(--ISNUMBER(SEARCH(race,C374)))&gt;0)</f>
        <v>0</v>
      </c>
      <c r="S374" s="14" cm="1">
        <f t="array" ref="S374">INT(SUMPRODUCT(--ISNUMBER(SEARCH(immigration,C374)))&gt;0)</f>
        <v>0</v>
      </c>
      <c r="T374" s="14" cm="1">
        <f t="array" ref="T374">INT(SUMPRODUCT(--ISNUMBER(SEARCH(econineq,C375)))&gt;0)</f>
        <v>0</v>
      </c>
      <c r="U374" s="14" cm="1">
        <f t="array" ref="U374">INT(SUMPRODUCT(--ISNUMBER(SEARCH(climate,C374)))&gt;0)</f>
        <v>0</v>
      </c>
      <c r="V374" s="14" cm="1">
        <f t="array" ref="V374">INT(SUMPRODUCT(--ISNUMBER(SEARCH(abortion,C374)))&gt;0)</f>
        <v>0</v>
      </c>
      <c r="W374" s="14" cm="1">
        <f t="array" ref="W374">INT(SUMPRODUCT(--ISNUMBER(SEARCH(trump,C374)))&gt;0)</f>
        <v>0</v>
      </c>
      <c r="X374" s="14" cm="1">
        <f t="array" ref="X374">INT(SUMPRODUCT(--ISNUMBER(SEARCH(voting,C374)))&gt;0)</f>
        <v>1</v>
      </c>
      <c r="Y374" s="14" cm="1">
        <f t="array" ref="Y374">INT(SUMPRODUCT(--ISNUMBER(SEARCH(democrattrigger,C374)))&gt;0)</f>
        <v>1</v>
      </c>
      <c r="Z374" s="14" cm="1">
        <f t="array" ref="Z374">INT(SUMPRODUCT(--ISNUMBER(SEARCH(bipartisan,C374)))&gt;0)</f>
        <v>0</v>
      </c>
      <c r="AA374" s="14">
        <f t="shared" si="5"/>
        <v>0</v>
      </c>
      <c r="AB374" s="14"/>
      <c r="AC374" s="30">
        <v>0</v>
      </c>
      <c r="AD374" s="37">
        <v>1</v>
      </c>
    </row>
    <row r="375" spans="1:30" x14ac:dyDescent="0.25">
      <c r="A375" s="36">
        <v>1838</v>
      </c>
      <c r="B375" s="14" t="s">
        <v>3702</v>
      </c>
      <c r="C375" s="14" t="s">
        <v>3703</v>
      </c>
      <c r="D375" s="17">
        <v>44110</v>
      </c>
      <c r="E375" s="14" t="s">
        <v>30</v>
      </c>
      <c r="F375" s="14">
        <v>8537</v>
      </c>
      <c r="G375" s="14">
        <v>2809</v>
      </c>
      <c r="H375" s="14">
        <v>8</v>
      </c>
      <c r="I375" s="14">
        <v>4</v>
      </c>
      <c r="J375" s="14" t="s">
        <v>204</v>
      </c>
      <c r="K375" s="14" cm="1">
        <f t="array" ref="K375">INT(SUMPRODUCT(--ISNUMBER(SEARCH(economy,C375)))&gt;0)</f>
        <v>0</v>
      </c>
      <c r="L375" s="14" cm="1">
        <f t="array" ref="L375">INT(SUMPRODUCT(--ISNUMBER(SEARCH(healthcare,C375)))&gt;0)</f>
        <v>1</v>
      </c>
      <c r="M375" s="14" cm="1">
        <f t="array" ref="M375">INT(SUMPRODUCT(--ISNUMBER(SEARCH(supreme,C375)))&gt;0)</f>
        <v>1</v>
      </c>
      <c r="N375" s="14" cm="1">
        <f t="array" ref="N375">INT(SUMPRODUCT(--ISNUMBER(SEARCH(covid,C375)))&gt;0)</f>
        <v>0</v>
      </c>
      <c r="O375" s="14" cm="1">
        <f t="array" ref="O375">INT(SUMPRODUCT(--ISNUMBER(SEARCH(violent,C375)))&gt;0)</f>
        <v>0</v>
      </c>
      <c r="P375" s="14" cm="1">
        <f t="array" ref="P375">INT(SUMPRODUCT(--ISNUMBER(SEARCH(foreign,C375)))&gt;0)</f>
        <v>0</v>
      </c>
      <c r="Q375" s="14" cm="1">
        <f t="array" ref="Q375">INT(SUMPRODUCT(--ISNUMBER(SEARCH(gun,C375)))&gt;0)</f>
        <v>0</v>
      </c>
      <c r="R375" s="14" cm="1">
        <f t="array" ref="R375">INT(SUMPRODUCT(--ISNUMBER(SEARCH(race,C375)))&gt;0)</f>
        <v>0</v>
      </c>
      <c r="S375" s="14" cm="1">
        <f t="array" ref="S375">INT(SUMPRODUCT(--ISNUMBER(SEARCH(immigration,C375)))&gt;0)</f>
        <v>0</v>
      </c>
      <c r="T375" s="14" cm="1">
        <f t="array" ref="T375">INT(SUMPRODUCT(--ISNUMBER(SEARCH(econineq,C376)))&gt;0)</f>
        <v>0</v>
      </c>
      <c r="U375" s="14" cm="1">
        <f t="array" ref="U375">INT(SUMPRODUCT(--ISNUMBER(SEARCH(climate,C375)))&gt;0)</f>
        <v>0</v>
      </c>
      <c r="V375" s="14" cm="1">
        <f t="array" ref="V375">INT(SUMPRODUCT(--ISNUMBER(SEARCH(abortion,C375)))&gt;0)</f>
        <v>0</v>
      </c>
      <c r="W375" s="14" cm="1">
        <f t="array" ref="W375">INT(SUMPRODUCT(--ISNUMBER(SEARCH(trump,C375)))&gt;0)</f>
        <v>1</v>
      </c>
      <c r="X375" s="14" cm="1">
        <f t="array" ref="X375">INT(SUMPRODUCT(--ISNUMBER(SEARCH(voting,C375)))&gt;0)</f>
        <v>0</v>
      </c>
      <c r="Y375" s="14" cm="1">
        <f t="array" ref="Y375">INT(SUMPRODUCT(--ISNUMBER(SEARCH(democrattrigger,C375)))&gt;0)</f>
        <v>1</v>
      </c>
      <c r="Z375" s="14" cm="1">
        <f t="array" ref="Z375">INT(SUMPRODUCT(--ISNUMBER(SEARCH(bipartisan,C375)))&gt;0)</f>
        <v>0</v>
      </c>
      <c r="AA375" s="14">
        <f t="shared" si="5"/>
        <v>0</v>
      </c>
      <c r="AB375" s="14"/>
      <c r="AC375" s="30" t="s">
        <v>223</v>
      </c>
      <c r="AD375" s="37" t="s">
        <v>223</v>
      </c>
    </row>
    <row r="376" spans="1:30" x14ac:dyDescent="0.25">
      <c r="A376" s="36">
        <v>1839</v>
      </c>
      <c r="B376" s="14" t="s">
        <v>3704</v>
      </c>
      <c r="C376" s="14" t="s">
        <v>3705</v>
      </c>
      <c r="D376" s="17">
        <v>44110</v>
      </c>
      <c r="E376" s="14" t="s">
        <v>30</v>
      </c>
      <c r="F376" s="14">
        <v>759</v>
      </c>
      <c r="G376" s="14">
        <v>178</v>
      </c>
      <c r="H376" s="14">
        <v>8</v>
      </c>
      <c r="I376" s="14">
        <v>4</v>
      </c>
      <c r="J376" s="14" t="s">
        <v>204</v>
      </c>
      <c r="K376" s="14" cm="1">
        <f t="array" ref="K376">INT(SUMPRODUCT(--ISNUMBER(SEARCH(economy,C376)))&gt;0)</f>
        <v>0</v>
      </c>
      <c r="L376" s="14" cm="1">
        <f t="array" ref="L376">INT(SUMPRODUCT(--ISNUMBER(SEARCH(healthcare,C376)))&gt;0)</f>
        <v>0</v>
      </c>
      <c r="M376" s="14" cm="1">
        <f t="array" ref="M376">INT(SUMPRODUCT(--ISNUMBER(SEARCH(supreme,C376)))&gt;0)</f>
        <v>0</v>
      </c>
      <c r="N376" s="14" cm="1">
        <f t="array" ref="N376">INT(SUMPRODUCT(--ISNUMBER(SEARCH(covid,C376)))&gt;0)</f>
        <v>0</v>
      </c>
      <c r="O376" s="14" cm="1">
        <f t="array" ref="O376">INT(SUMPRODUCT(--ISNUMBER(SEARCH(violent,C376)))&gt;0)</f>
        <v>0</v>
      </c>
      <c r="P376" s="14" cm="1">
        <f t="array" ref="P376">INT(SUMPRODUCT(--ISNUMBER(SEARCH(foreign,C376)))&gt;0)</f>
        <v>0</v>
      </c>
      <c r="Q376" s="14" cm="1">
        <f t="array" ref="Q376">INT(SUMPRODUCT(--ISNUMBER(SEARCH(gun,C376)))&gt;0)</f>
        <v>0</v>
      </c>
      <c r="R376" s="14" cm="1">
        <f t="array" ref="R376">INT(SUMPRODUCT(--ISNUMBER(SEARCH(race,C376)))&gt;0)</f>
        <v>0</v>
      </c>
      <c r="S376" s="14" cm="1">
        <f t="array" ref="S376">INT(SUMPRODUCT(--ISNUMBER(SEARCH(immigration,C376)))&gt;0)</f>
        <v>0</v>
      </c>
      <c r="T376" s="14" cm="1">
        <f t="array" ref="T376">INT(SUMPRODUCT(--ISNUMBER(SEARCH(econineq,C377)))&gt;0)</f>
        <v>0</v>
      </c>
      <c r="U376" s="14" cm="1">
        <f t="array" ref="U376">INT(SUMPRODUCT(--ISNUMBER(SEARCH(climate,C376)))&gt;0)</f>
        <v>0</v>
      </c>
      <c r="V376" s="14" cm="1">
        <f t="array" ref="V376">INT(SUMPRODUCT(--ISNUMBER(SEARCH(abortion,C376)))&gt;0)</f>
        <v>0</v>
      </c>
      <c r="W376" s="14" cm="1">
        <f t="array" ref="W376">INT(SUMPRODUCT(--ISNUMBER(SEARCH(trump,C376)))&gt;0)</f>
        <v>0</v>
      </c>
      <c r="X376" s="14" cm="1">
        <f t="array" ref="X376">INT(SUMPRODUCT(--ISNUMBER(SEARCH(voting,C376)))&gt;0)</f>
        <v>0</v>
      </c>
      <c r="Y376" s="14" cm="1">
        <f t="array" ref="Y376">INT(SUMPRODUCT(--ISNUMBER(SEARCH(democrattrigger,C376)))&gt;0)</f>
        <v>0</v>
      </c>
      <c r="Z376" s="14" cm="1">
        <f t="array" ref="Z376">INT(SUMPRODUCT(--ISNUMBER(SEARCH(bipartisan,C376)))&gt;0)</f>
        <v>0</v>
      </c>
      <c r="AA376" s="14">
        <f t="shared" si="5"/>
        <v>1</v>
      </c>
      <c r="AB376" s="14"/>
      <c r="AC376" s="30">
        <v>1</v>
      </c>
      <c r="AD376" s="37">
        <v>0</v>
      </c>
    </row>
    <row r="377" spans="1:30" x14ac:dyDescent="0.25">
      <c r="A377" s="36">
        <v>1840</v>
      </c>
      <c r="B377" s="14" t="s">
        <v>3706</v>
      </c>
      <c r="C377" s="14" t="s">
        <v>3707</v>
      </c>
      <c r="D377" s="17">
        <v>44109</v>
      </c>
      <c r="E377" s="14" t="s">
        <v>30</v>
      </c>
      <c r="F377" s="14">
        <v>1877</v>
      </c>
      <c r="G377" s="14">
        <v>570</v>
      </c>
      <c r="H377" s="14">
        <v>8</v>
      </c>
      <c r="I377" s="14">
        <v>4</v>
      </c>
      <c r="J377" s="14" t="s">
        <v>204</v>
      </c>
      <c r="K377" s="14" cm="1">
        <f t="array" ref="K377">INT(SUMPRODUCT(--ISNUMBER(SEARCH(economy,C377)))&gt;0)</f>
        <v>0</v>
      </c>
      <c r="L377" s="14" cm="1">
        <f t="array" ref="L377">INT(SUMPRODUCT(--ISNUMBER(SEARCH(healthcare,C377)))&gt;0)</f>
        <v>0</v>
      </c>
      <c r="M377" s="14" cm="1">
        <f t="array" ref="M377">INT(SUMPRODUCT(--ISNUMBER(SEARCH(supreme,C377)))&gt;0)</f>
        <v>0</v>
      </c>
      <c r="N377" s="14" cm="1">
        <f t="array" ref="N377">INT(SUMPRODUCT(--ISNUMBER(SEARCH(covid,C377)))&gt;0)</f>
        <v>1</v>
      </c>
      <c r="O377" s="14" cm="1">
        <f t="array" ref="O377">INT(SUMPRODUCT(--ISNUMBER(SEARCH(violent,C377)))&gt;0)</f>
        <v>0</v>
      </c>
      <c r="P377" s="14" cm="1">
        <f t="array" ref="P377">INT(SUMPRODUCT(--ISNUMBER(SEARCH(foreign,C377)))&gt;0)</f>
        <v>0</v>
      </c>
      <c r="Q377" s="14" cm="1">
        <f t="array" ref="Q377">INT(SUMPRODUCT(--ISNUMBER(SEARCH(gun,C377)))&gt;0)</f>
        <v>0</v>
      </c>
      <c r="R377" s="14" cm="1">
        <f t="array" ref="R377">INT(SUMPRODUCT(--ISNUMBER(SEARCH(race,C377)))&gt;0)</f>
        <v>0</v>
      </c>
      <c r="S377" s="14" cm="1">
        <f t="array" ref="S377">INT(SUMPRODUCT(--ISNUMBER(SEARCH(immigration,C377)))&gt;0)</f>
        <v>0</v>
      </c>
      <c r="T377" s="14" cm="1">
        <f t="array" ref="T377">INT(SUMPRODUCT(--ISNUMBER(SEARCH(econineq,C378)))&gt;0)</f>
        <v>0</v>
      </c>
      <c r="U377" s="14" cm="1">
        <f t="array" ref="U377">INT(SUMPRODUCT(--ISNUMBER(SEARCH(climate,C377)))&gt;0)</f>
        <v>0</v>
      </c>
      <c r="V377" s="14" cm="1">
        <f t="array" ref="V377">INT(SUMPRODUCT(--ISNUMBER(SEARCH(abortion,C377)))&gt;0)</f>
        <v>0</v>
      </c>
      <c r="W377" s="14" cm="1">
        <f t="array" ref="W377">INT(SUMPRODUCT(--ISNUMBER(SEARCH(trump,C377)))&gt;0)</f>
        <v>0</v>
      </c>
      <c r="X377" s="14" cm="1">
        <f t="array" ref="X377">INT(SUMPRODUCT(--ISNUMBER(SEARCH(voting,C377)))&gt;0)</f>
        <v>1</v>
      </c>
      <c r="Y377" s="14" cm="1">
        <f t="array" ref="Y377">INT(SUMPRODUCT(--ISNUMBER(SEARCH(democrattrigger,C377)))&gt;0)</f>
        <v>0</v>
      </c>
      <c r="Z377" s="14" cm="1">
        <f t="array" ref="Z377">INT(SUMPRODUCT(--ISNUMBER(SEARCH(bipartisan,C377)))&gt;0)</f>
        <v>0</v>
      </c>
      <c r="AA377" s="14">
        <f t="shared" si="5"/>
        <v>0</v>
      </c>
      <c r="AB377" s="14"/>
      <c r="AC377" s="30">
        <v>0</v>
      </c>
      <c r="AD377" s="37">
        <v>1</v>
      </c>
    </row>
    <row r="378" spans="1:30" x14ac:dyDescent="0.25">
      <c r="A378" s="36">
        <v>1841</v>
      </c>
      <c r="B378" s="14" t="s">
        <v>3708</v>
      </c>
      <c r="C378" s="14" t="s">
        <v>3709</v>
      </c>
      <c r="D378" s="17">
        <v>44109</v>
      </c>
      <c r="E378" s="14" t="s">
        <v>30</v>
      </c>
      <c r="F378" s="14">
        <v>2372</v>
      </c>
      <c r="G378" s="14">
        <v>660</v>
      </c>
      <c r="H378" s="14">
        <v>8</v>
      </c>
      <c r="I378" s="14">
        <v>4</v>
      </c>
      <c r="J378" s="14" t="s">
        <v>204</v>
      </c>
      <c r="K378" s="14" cm="1">
        <f t="array" ref="K378">INT(SUMPRODUCT(--ISNUMBER(SEARCH(economy,C378)))&gt;0)</f>
        <v>0</v>
      </c>
      <c r="L378" s="14" cm="1">
        <f t="array" ref="L378">INT(SUMPRODUCT(--ISNUMBER(SEARCH(healthcare,C378)))&gt;0)</f>
        <v>1</v>
      </c>
      <c r="M378" s="14" cm="1">
        <f t="array" ref="M378">INT(SUMPRODUCT(--ISNUMBER(SEARCH(supreme,C378)))&gt;0)</f>
        <v>0</v>
      </c>
      <c r="N378" s="14" cm="1">
        <f t="array" ref="N378">INT(SUMPRODUCT(--ISNUMBER(SEARCH(covid,C378)))&gt;0)</f>
        <v>0</v>
      </c>
      <c r="O378" s="14" cm="1">
        <f t="array" ref="O378">INT(SUMPRODUCT(--ISNUMBER(SEARCH(violent,C378)))&gt;0)</f>
        <v>0</v>
      </c>
      <c r="P378" s="14" cm="1">
        <f t="array" ref="P378">INT(SUMPRODUCT(--ISNUMBER(SEARCH(foreign,C378)))&gt;0)</f>
        <v>0</v>
      </c>
      <c r="Q378" s="14" cm="1">
        <f t="array" ref="Q378">INT(SUMPRODUCT(--ISNUMBER(SEARCH(gun,C378)))&gt;0)</f>
        <v>0</v>
      </c>
      <c r="R378" s="14" cm="1">
        <f t="array" ref="R378">INT(SUMPRODUCT(--ISNUMBER(SEARCH(race,C378)))&gt;0)</f>
        <v>0</v>
      </c>
      <c r="S378" s="14" cm="1">
        <f t="array" ref="S378">INT(SUMPRODUCT(--ISNUMBER(SEARCH(immigration,C378)))&gt;0)</f>
        <v>0</v>
      </c>
      <c r="T378" s="14" cm="1">
        <f t="array" ref="T378">INT(SUMPRODUCT(--ISNUMBER(SEARCH(econineq,C379)))&gt;0)</f>
        <v>0</v>
      </c>
      <c r="U378" s="14" cm="1">
        <f t="array" ref="U378">INT(SUMPRODUCT(--ISNUMBER(SEARCH(climate,C378)))&gt;0)</f>
        <v>0</v>
      </c>
      <c r="V378" s="14" cm="1">
        <f t="array" ref="V378">INT(SUMPRODUCT(--ISNUMBER(SEARCH(abortion,C378)))&gt;0)</f>
        <v>0</v>
      </c>
      <c r="W378" s="14" cm="1">
        <f t="array" ref="W378">INT(SUMPRODUCT(--ISNUMBER(SEARCH(trump,C378)))&gt;0)</f>
        <v>0</v>
      </c>
      <c r="X378" s="14" cm="1">
        <f t="array" ref="X378">INT(SUMPRODUCT(--ISNUMBER(SEARCH(voting,C378)))&gt;0)</f>
        <v>0</v>
      </c>
      <c r="Y378" s="14" cm="1">
        <f t="array" ref="Y378">INT(SUMPRODUCT(--ISNUMBER(SEARCH(democrattrigger,C378)))&gt;0)</f>
        <v>0</v>
      </c>
      <c r="Z378" s="14" cm="1">
        <f t="array" ref="Z378">INT(SUMPRODUCT(--ISNUMBER(SEARCH(bipartisan,C378)))&gt;0)</f>
        <v>0</v>
      </c>
      <c r="AA378" s="14">
        <f t="shared" si="5"/>
        <v>0</v>
      </c>
      <c r="AB378" s="14"/>
      <c r="AC378" s="30">
        <v>0</v>
      </c>
      <c r="AD378" s="37">
        <v>1</v>
      </c>
    </row>
    <row r="379" spans="1:30" x14ac:dyDescent="0.25">
      <c r="A379" s="36">
        <v>1842</v>
      </c>
      <c r="B379" s="14" t="s">
        <v>3710</v>
      </c>
      <c r="C379" s="14" t="s">
        <v>3711</v>
      </c>
      <c r="D379" s="17">
        <v>44109</v>
      </c>
      <c r="E379" s="14" t="s">
        <v>30</v>
      </c>
      <c r="F379" s="14">
        <v>1844</v>
      </c>
      <c r="G379" s="14">
        <v>721</v>
      </c>
      <c r="H379" s="14">
        <v>8</v>
      </c>
      <c r="I379" s="14">
        <v>4</v>
      </c>
      <c r="J379" s="14" t="s">
        <v>204</v>
      </c>
      <c r="K379" s="14" cm="1">
        <f t="array" ref="K379">INT(SUMPRODUCT(--ISNUMBER(SEARCH(economy,C379)))&gt;0)</f>
        <v>0</v>
      </c>
      <c r="L379" s="14" cm="1">
        <f t="array" ref="L379">INT(SUMPRODUCT(--ISNUMBER(SEARCH(healthcare,C379)))&gt;0)</f>
        <v>0</v>
      </c>
      <c r="M379" s="14" cm="1">
        <f t="array" ref="M379">INT(SUMPRODUCT(--ISNUMBER(SEARCH(supreme,C379)))&gt;0)</f>
        <v>1</v>
      </c>
      <c r="N379" s="14" cm="1">
        <f t="array" ref="N379">INT(SUMPRODUCT(--ISNUMBER(SEARCH(covid,C379)))&gt;0)</f>
        <v>0</v>
      </c>
      <c r="O379" s="14" cm="1">
        <f t="array" ref="O379">INT(SUMPRODUCT(--ISNUMBER(SEARCH(violent,C379)))&gt;0)</f>
        <v>0</v>
      </c>
      <c r="P379" s="14" cm="1">
        <f t="array" ref="P379">INT(SUMPRODUCT(--ISNUMBER(SEARCH(foreign,C379)))&gt;0)</f>
        <v>0</v>
      </c>
      <c r="Q379" s="14" cm="1">
        <f t="array" ref="Q379">INT(SUMPRODUCT(--ISNUMBER(SEARCH(gun,C379)))&gt;0)</f>
        <v>0</v>
      </c>
      <c r="R379" s="14" cm="1">
        <f t="array" ref="R379">INT(SUMPRODUCT(--ISNUMBER(SEARCH(race,C379)))&gt;0)</f>
        <v>0</v>
      </c>
      <c r="S379" s="14" cm="1">
        <f t="array" ref="S379">INT(SUMPRODUCT(--ISNUMBER(SEARCH(immigration,C379)))&gt;0)</f>
        <v>0</v>
      </c>
      <c r="T379" s="14" cm="1">
        <f t="array" ref="T379">INT(SUMPRODUCT(--ISNUMBER(SEARCH(econineq,C380)))&gt;0)</f>
        <v>0</v>
      </c>
      <c r="U379" s="14" cm="1">
        <f t="array" ref="U379">INT(SUMPRODUCT(--ISNUMBER(SEARCH(climate,C379)))&gt;0)</f>
        <v>0</v>
      </c>
      <c r="V379" s="14" cm="1">
        <f t="array" ref="V379">INT(SUMPRODUCT(--ISNUMBER(SEARCH(abortion,C379)))&gt;0)</f>
        <v>0</v>
      </c>
      <c r="W379" s="14" cm="1">
        <f t="array" ref="W379">INT(SUMPRODUCT(--ISNUMBER(SEARCH(trump,C379)))&gt;0)</f>
        <v>1</v>
      </c>
      <c r="X379" s="14" cm="1">
        <f t="array" ref="X379">INT(SUMPRODUCT(--ISNUMBER(SEARCH(voting,C379)))&gt;0)</f>
        <v>1</v>
      </c>
      <c r="Y379" s="14" cm="1">
        <f t="array" ref="Y379">INT(SUMPRODUCT(--ISNUMBER(SEARCH(democrattrigger,C379)))&gt;0)</f>
        <v>1</v>
      </c>
      <c r="Z379" s="14" cm="1">
        <f t="array" ref="Z379">INT(SUMPRODUCT(--ISNUMBER(SEARCH(bipartisan,C379)))&gt;0)</f>
        <v>0</v>
      </c>
      <c r="AA379" s="14">
        <f t="shared" si="5"/>
        <v>0</v>
      </c>
      <c r="AB379" s="14"/>
      <c r="AC379" s="30">
        <v>0</v>
      </c>
      <c r="AD379" s="37">
        <v>1</v>
      </c>
    </row>
    <row r="380" spans="1:30" x14ac:dyDescent="0.25">
      <c r="A380" s="36">
        <v>1843</v>
      </c>
      <c r="B380" s="14" t="s">
        <v>3712</v>
      </c>
      <c r="C380" s="14" t="s">
        <v>3713</v>
      </c>
      <c r="D380" s="17">
        <v>44109</v>
      </c>
      <c r="E380" s="14" t="s">
        <v>30</v>
      </c>
      <c r="F380" s="14">
        <v>2395</v>
      </c>
      <c r="G380" s="14">
        <v>861</v>
      </c>
      <c r="H380" s="14">
        <v>8</v>
      </c>
      <c r="I380" s="14">
        <v>4</v>
      </c>
      <c r="J380" s="14" t="s">
        <v>204</v>
      </c>
      <c r="K380" s="14" cm="1">
        <f t="array" ref="K380">INT(SUMPRODUCT(--ISNUMBER(SEARCH(economy,C380)))&gt;0)</f>
        <v>0</v>
      </c>
      <c r="L380" s="14" cm="1">
        <f t="array" ref="L380">INT(SUMPRODUCT(--ISNUMBER(SEARCH(healthcare,C380)))&gt;0)</f>
        <v>1</v>
      </c>
      <c r="M380" s="14" cm="1">
        <f t="array" ref="M380">INT(SUMPRODUCT(--ISNUMBER(SEARCH(supreme,C380)))&gt;0)</f>
        <v>1</v>
      </c>
      <c r="N380" s="14" cm="1">
        <f t="array" ref="N380">INT(SUMPRODUCT(--ISNUMBER(SEARCH(covid,C380)))&gt;0)</f>
        <v>0</v>
      </c>
      <c r="O380" s="14" cm="1">
        <f t="array" ref="O380">INT(SUMPRODUCT(--ISNUMBER(SEARCH(violent,C380)))&gt;0)</f>
        <v>0</v>
      </c>
      <c r="P380" s="14" cm="1">
        <f t="array" ref="P380">INT(SUMPRODUCT(--ISNUMBER(SEARCH(foreign,C380)))&gt;0)</f>
        <v>0</v>
      </c>
      <c r="Q380" s="14" cm="1">
        <f t="array" ref="Q380">INT(SUMPRODUCT(--ISNUMBER(SEARCH(gun,C380)))&gt;0)</f>
        <v>0</v>
      </c>
      <c r="R380" s="14" cm="1">
        <f t="array" ref="R380">INT(SUMPRODUCT(--ISNUMBER(SEARCH(race,C380)))&gt;0)</f>
        <v>0</v>
      </c>
      <c r="S380" s="14" cm="1">
        <f t="array" ref="S380">INT(SUMPRODUCT(--ISNUMBER(SEARCH(immigration,C380)))&gt;0)</f>
        <v>0</v>
      </c>
      <c r="T380" s="14" cm="1">
        <f t="array" ref="T380">INT(SUMPRODUCT(--ISNUMBER(SEARCH(econineq,C381)))&gt;0)</f>
        <v>0</v>
      </c>
      <c r="U380" s="14" cm="1">
        <f t="array" ref="U380">INT(SUMPRODUCT(--ISNUMBER(SEARCH(climate,C380)))&gt;0)</f>
        <v>0</v>
      </c>
      <c r="V380" s="14" cm="1">
        <f t="array" ref="V380">INT(SUMPRODUCT(--ISNUMBER(SEARCH(abortion,C380)))&gt;0)</f>
        <v>0</v>
      </c>
      <c r="W380" s="14" cm="1">
        <f t="array" ref="W380">INT(SUMPRODUCT(--ISNUMBER(SEARCH(trump,C380)))&gt;0)</f>
        <v>0</v>
      </c>
      <c r="X380" s="14" cm="1">
        <f t="array" ref="X380">INT(SUMPRODUCT(--ISNUMBER(SEARCH(voting,C380)))&gt;0)</f>
        <v>0</v>
      </c>
      <c r="Y380" s="14" cm="1">
        <f t="array" ref="Y380">INT(SUMPRODUCT(--ISNUMBER(SEARCH(democrattrigger,C380)))&gt;0)</f>
        <v>1</v>
      </c>
      <c r="Z380" s="14" cm="1">
        <f t="array" ref="Z380">INT(SUMPRODUCT(--ISNUMBER(SEARCH(bipartisan,C380)))&gt;0)</f>
        <v>0</v>
      </c>
      <c r="AA380" s="14">
        <f t="shared" si="5"/>
        <v>0</v>
      </c>
      <c r="AB380" s="14"/>
      <c r="AC380" s="30">
        <v>0</v>
      </c>
      <c r="AD380" s="37">
        <v>1</v>
      </c>
    </row>
    <row r="381" spans="1:30" x14ac:dyDescent="0.25">
      <c r="A381" s="36">
        <v>1844</v>
      </c>
      <c r="B381" s="14" t="s">
        <v>3714</v>
      </c>
      <c r="C381" s="14" t="s">
        <v>3715</v>
      </c>
      <c r="D381" s="17">
        <v>44109</v>
      </c>
      <c r="E381" s="14" t="s">
        <v>30</v>
      </c>
      <c r="F381" s="14">
        <v>1265</v>
      </c>
      <c r="G381" s="14">
        <v>465</v>
      </c>
      <c r="H381" s="14">
        <v>8</v>
      </c>
      <c r="I381" s="14">
        <v>4</v>
      </c>
      <c r="J381" s="14" t="s">
        <v>204</v>
      </c>
      <c r="K381" s="14" cm="1">
        <f t="array" ref="K381">INT(SUMPRODUCT(--ISNUMBER(SEARCH(economy,C381)))&gt;0)</f>
        <v>0</v>
      </c>
      <c r="L381" s="14" cm="1">
        <f t="array" ref="L381">INT(SUMPRODUCT(--ISNUMBER(SEARCH(healthcare,C381)))&gt;0)</f>
        <v>0</v>
      </c>
      <c r="M381" s="14" cm="1">
        <f t="array" ref="M381">INT(SUMPRODUCT(--ISNUMBER(SEARCH(supreme,C381)))&gt;0)</f>
        <v>0</v>
      </c>
      <c r="N381" s="14" cm="1">
        <f t="array" ref="N381">INT(SUMPRODUCT(--ISNUMBER(SEARCH(covid,C381)))&gt;0)</f>
        <v>0</v>
      </c>
      <c r="O381" s="14" cm="1">
        <f t="array" ref="O381">INT(SUMPRODUCT(--ISNUMBER(SEARCH(violent,C381)))&gt;0)</f>
        <v>0</v>
      </c>
      <c r="P381" s="14" cm="1">
        <f t="array" ref="P381">INT(SUMPRODUCT(--ISNUMBER(SEARCH(foreign,C381)))&gt;0)</f>
        <v>0</v>
      </c>
      <c r="Q381" s="14" cm="1">
        <f t="array" ref="Q381">INT(SUMPRODUCT(--ISNUMBER(SEARCH(gun,C381)))&gt;0)</f>
        <v>0</v>
      </c>
      <c r="R381" s="14" cm="1">
        <f t="array" ref="R381">INT(SUMPRODUCT(--ISNUMBER(SEARCH(race,C381)))&gt;0)</f>
        <v>0</v>
      </c>
      <c r="S381" s="14" cm="1">
        <f t="array" ref="S381">INT(SUMPRODUCT(--ISNUMBER(SEARCH(immigration,C381)))&gt;0)</f>
        <v>0</v>
      </c>
      <c r="T381" s="14" cm="1">
        <f t="array" ref="T381">INT(SUMPRODUCT(--ISNUMBER(SEARCH(econineq,C382)))&gt;0)</f>
        <v>0</v>
      </c>
      <c r="U381" s="14" cm="1">
        <f t="array" ref="U381">INT(SUMPRODUCT(--ISNUMBER(SEARCH(climate,C381)))&gt;0)</f>
        <v>0</v>
      </c>
      <c r="V381" s="14" cm="1">
        <f t="array" ref="V381">INT(SUMPRODUCT(--ISNUMBER(SEARCH(abortion,C381)))&gt;0)</f>
        <v>1</v>
      </c>
      <c r="W381" s="14" cm="1">
        <f t="array" ref="W381">INT(SUMPRODUCT(--ISNUMBER(SEARCH(trump,C381)))&gt;0)</f>
        <v>0</v>
      </c>
      <c r="X381" s="14" cm="1">
        <f t="array" ref="X381">INT(SUMPRODUCT(--ISNUMBER(SEARCH(voting,C381)))&gt;0)</f>
        <v>1</v>
      </c>
      <c r="Y381" s="14" cm="1">
        <f t="array" ref="Y381">INT(SUMPRODUCT(--ISNUMBER(SEARCH(democrattrigger,C381)))&gt;0)</f>
        <v>1</v>
      </c>
      <c r="Z381" s="14" cm="1">
        <f t="array" ref="Z381">INT(SUMPRODUCT(--ISNUMBER(SEARCH(bipartisan,C381)))&gt;0)</f>
        <v>0</v>
      </c>
      <c r="AA381" s="14">
        <f t="shared" si="5"/>
        <v>0</v>
      </c>
      <c r="AB381" s="14"/>
      <c r="AC381" s="30">
        <v>0</v>
      </c>
      <c r="AD381" s="37">
        <v>1</v>
      </c>
    </row>
    <row r="382" spans="1:30" x14ac:dyDescent="0.25">
      <c r="A382" s="36">
        <v>1845</v>
      </c>
      <c r="B382" s="14" t="s">
        <v>3716</v>
      </c>
      <c r="C382" s="14" t="s">
        <v>3717</v>
      </c>
      <c r="D382" s="17">
        <v>44109</v>
      </c>
      <c r="E382" s="14" t="s">
        <v>30</v>
      </c>
      <c r="F382" s="14">
        <v>620</v>
      </c>
      <c r="G382" s="14">
        <v>266</v>
      </c>
      <c r="H382" s="14">
        <v>8</v>
      </c>
      <c r="I382" s="14">
        <v>4</v>
      </c>
      <c r="J382" s="14" t="s">
        <v>204</v>
      </c>
      <c r="K382" s="14" cm="1">
        <f t="array" ref="K382">INT(SUMPRODUCT(--ISNUMBER(SEARCH(economy,C382)))&gt;0)</f>
        <v>0</v>
      </c>
      <c r="L382" s="14" cm="1">
        <f t="array" ref="L382">INT(SUMPRODUCT(--ISNUMBER(SEARCH(healthcare,C382)))&gt;0)</f>
        <v>0</v>
      </c>
      <c r="M382" s="14" cm="1">
        <f t="array" ref="M382">INT(SUMPRODUCT(--ISNUMBER(SEARCH(supreme,C382)))&gt;0)</f>
        <v>0</v>
      </c>
      <c r="N382" s="14" cm="1">
        <f t="array" ref="N382">INT(SUMPRODUCT(--ISNUMBER(SEARCH(covid,C382)))&gt;0)</f>
        <v>0</v>
      </c>
      <c r="O382" s="14" cm="1">
        <f t="array" ref="O382">INT(SUMPRODUCT(--ISNUMBER(SEARCH(violent,C382)))&gt;0)</f>
        <v>0</v>
      </c>
      <c r="P382" s="14" cm="1">
        <f t="array" ref="P382">INT(SUMPRODUCT(--ISNUMBER(SEARCH(foreign,C382)))&gt;0)</f>
        <v>0</v>
      </c>
      <c r="Q382" s="14" cm="1">
        <f t="array" ref="Q382">INT(SUMPRODUCT(--ISNUMBER(SEARCH(gun,C382)))&gt;0)</f>
        <v>0</v>
      </c>
      <c r="R382" s="14" cm="1">
        <f t="array" ref="R382">INT(SUMPRODUCT(--ISNUMBER(SEARCH(race,C382)))&gt;0)</f>
        <v>0</v>
      </c>
      <c r="S382" s="14" cm="1">
        <f t="array" ref="S382">INT(SUMPRODUCT(--ISNUMBER(SEARCH(immigration,C382)))&gt;0)</f>
        <v>0</v>
      </c>
      <c r="T382" s="14" cm="1">
        <f t="array" ref="T382">INT(SUMPRODUCT(--ISNUMBER(SEARCH(econineq,C383)))&gt;0)</f>
        <v>0</v>
      </c>
      <c r="U382" s="14" cm="1">
        <f t="array" ref="U382">INT(SUMPRODUCT(--ISNUMBER(SEARCH(climate,C382)))&gt;0)</f>
        <v>0</v>
      </c>
      <c r="V382" s="14" cm="1">
        <f t="array" ref="V382">INT(SUMPRODUCT(--ISNUMBER(SEARCH(abortion,C382)))&gt;0)</f>
        <v>0</v>
      </c>
      <c r="W382" s="14" cm="1">
        <f t="array" ref="W382">INT(SUMPRODUCT(--ISNUMBER(SEARCH(trump,C382)))&gt;0)</f>
        <v>0</v>
      </c>
      <c r="X382" s="14" cm="1">
        <f t="array" ref="X382">INT(SUMPRODUCT(--ISNUMBER(SEARCH(voting,C382)))&gt;0)</f>
        <v>1</v>
      </c>
      <c r="Y382" s="14" cm="1">
        <f t="array" ref="Y382">INT(SUMPRODUCT(--ISNUMBER(SEARCH(democrattrigger,C382)))&gt;0)</f>
        <v>0</v>
      </c>
      <c r="Z382" s="14" cm="1">
        <f t="array" ref="Z382">INT(SUMPRODUCT(--ISNUMBER(SEARCH(bipartisan,C382)))&gt;0)</f>
        <v>0</v>
      </c>
      <c r="AA382" s="14">
        <f t="shared" si="5"/>
        <v>0</v>
      </c>
      <c r="AB382" s="14"/>
      <c r="AC382" s="30" t="s">
        <v>223</v>
      </c>
      <c r="AD382" s="37" t="s">
        <v>223</v>
      </c>
    </row>
    <row r="383" spans="1:30" x14ac:dyDescent="0.25">
      <c r="A383" s="36">
        <v>1846</v>
      </c>
      <c r="B383" s="14" t="s">
        <v>3718</v>
      </c>
      <c r="C383" s="14" t="s">
        <v>3719</v>
      </c>
      <c r="D383" s="17">
        <v>44109</v>
      </c>
      <c r="E383" s="14" t="s">
        <v>30</v>
      </c>
      <c r="F383" s="14">
        <v>3776</v>
      </c>
      <c r="G383" s="14">
        <v>1451</v>
      </c>
      <c r="H383" s="14">
        <v>8</v>
      </c>
      <c r="I383" s="14">
        <v>4</v>
      </c>
      <c r="J383" s="14" t="s">
        <v>204</v>
      </c>
      <c r="K383" s="14" cm="1">
        <f t="array" ref="K383">INT(SUMPRODUCT(--ISNUMBER(SEARCH(economy,C383)))&gt;0)</f>
        <v>0</v>
      </c>
      <c r="L383" s="14" cm="1">
        <f t="array" ref="L383">INT(SUMPRODUCT(--ISNUMBER(SEARCH(healthcare,C383)))&gt;0)</f>
        <v>0</v>
      </c>
      <c r="M383" s="14" cm="1">
        <f t="array" ref="M383">INT(SUMPRODUCT(--ISNUMBER(SEARCH(supreme,C383)))&gt;0)</f>
        <v>1</v>
      </c>
      <c r="N383" s="14" cm="1">
        <f t="array" ref="N383">INT(SUMPRODUCT(--ISNUMBER(SEARCH(covid,C383)))&gt;0)</f>
        <v>0</v>
      </c>
      <c r="O383" s="14" cm="1">
        <f t="array" ref="O383">INT(SUMPRODUCT(--ISNUMBER(SEARCH(violent,C383)))&gt;0)</f>
        <v>0</v>
      </c>
      <c r="P383" s="14" cm="1">
        <f t="array" ref="P383">INT(SUMPRODUCT(--ISNUMBER(SEARCH(foreign,C383)))&gt;0)</f>
        <v>0</v>
      </c>
      <c r="Q383" s="14" cm="1">
        <f t="array" ref="Q383">INT(SUMPRODUCT(--ISNUMBER(SEARCH(gun,C383)))&gt;0)</f>
        <v>0</v>
      </c>
      <c r="R383" s="14" cm="1">
        <f t="array" ref="R383">INT(SUMPRODUCT(--ISNUMBER(SEARCH(race,C383)))&gt;0)</f>
        <v>0</v>
      </c>
      <c r="S383" s="14" cm="1">
        <f t="array" ref="S383">INT(SUMPRODUCT(--ISNUMBER(SEARCH(immigration,C383)))&gt;0)</f>
        <v>0</v>
      </c>
      <c r="T383" s="14" cm="1">
        <f t="array" ref="T383">INT(SUMPRODUCT(--ISNUMBER(SEARCH(econineq,C384)))&gt;0)</f>
        <v>0</v>
      </c>
      <c r="U383" s="14" cm="1">
        <f t="array" ref="U383">INT(SUMPRODUCT(--ISNUMBER(SEARCH(climate,C383)))&gt;0)</f>
        <v>0</v>
      </c>
      <c r="V383" s="14" cm="1">
        <f t="array" ref="V383">INT(SUMPRODUCT(--ISNUMBER(SEARCH(abortion,C383)))&gt;0)</f>
        <v>0</v>
      </c>
      <c r="W383" s="14" cm="1">
        <f t="array" ref="W383">INT(SUMPRODUCT(--ISNUMBER(SEARCH(trump,C383)))&gt;0)</f>
        <v>0</v>
      </c>
      <c r="X383" s="14" cm="1">
        <f t="array" ref="X383">INT(SUMPRODUCT(--ISNUMBER(SEARCH(voting,C383)))&gt;0)</f>
        <v>1</v>
      </c>
      <c r="Y383" s="14" cm="1">
        <f t="array" ref="Y383">INT(SUMPRODUCT(--ISNUMBER(SEARCH(democrattrigger,C383)))&gt;0)</f>
        <v>1</v>
      </c>
      <c r="Z383" s="14" cm="1">
        <f t="array" ref="Z383">INT(SUMPRODUCT(--ISNUMBER(SEARCH(bipartisan,C383)))&gt;0)</f>
        <v>0</v>
      </c>
      <c r="AA383" s="14">
        <f t="shared" si="5"/>
        <v>0</v>
      </c>
      <c r="AB383" s="14"/>
      <c r="AC383" s="30">
        <v>0</v>
      </c>
      <c r="AD383" s="37">
        <v>1</v>
      </c>
    </row>
    <row r="384" spans="1:30" x14ac:dyDescent="0.25">
      <c r="A384" s="36">
        <v>1847</v>
      </c>
      <c r="B384" s="14" t="s">
        <v>3720</v>
      </c>
      <c r="C384" s="14" t="s">
        <v>3721</v>
      </c>
      <c r="D384" s="17">
        <v>44108</v>
      </c>
      <c r="E384" s="14" t="s">
        <v>30</v>
      </c>
      <c r="F384" s="14">
        <v>883</v>
      </c>
      <c r="G384" s="14">
        <v>284</v>
      </c>
      <c r="H384" s="14">
        <v>8</v>
      </c>
      <c r="I384" s="14">
        <v>4</v>
      </c>
      <c r="J384" s="14" t="s">
        <v>204</v>
      </c>
      <c r="K384" s="14" cm="1">
        <f t="array" ref="K384">INT(SUMPRODUCT(--ISNUMBER(SEARCH(economy,C384)))&gt;0)</f>
        <v>0</v>
      </c>
      <c r="L384" s="14" cm="1">
        <f t="array" ref="L384">INT(SUMPRODUCT(--ISNUMBER(SEARCH(healthcare,C384)))&gt;0)</f>
        <v>0</v>
      </c>
      <c r="M384" s="14" cm="1">
        <f t="array" ref="M384">INT(SUMPRODUCT(--ISNUMBER(SEARCH(supreme,C384)))&gt;0)</f>
        <v>0</v>
      </c>
      <c r="N384" s="14" cm="1">
        <f t="array" ref="N384">INT(SUMPRODUCT(--ISNUMBER(SEARCH(covid,C384)))&gt;0)</f>
        <v>0</v>
      </c>
      <c r="O384" s="14" cm="1">
        <f t="array" ref="O384">INT(SUMPRODUCT(--ISNUMBER(SEARCH(violent,C384)))&gt;0)</f>
        <v>0</v>
      </c>
      <c r="P384" s="14" cm="1">
        <f t="array" ref="P384">INT(SUMPRODUCT(--ISNUMBER(SEARCH(foreign,C384)))&gt;0)</f>
        <v>0</v>
      </c>
      <c r="Q384" s="14" cm="1">
        <f t="array" ref="Q384">INT(SUMPRODUCT(--ISNUMBER(SEARCH(gun,C384)))&gt;0)</f>
        <v>0</v>
      </c>
      <c r="R384" s="14" cm="1">
        <f t="array" ref="R384">INT(SUMPRODUCT(--ISNUMBER(SEARCH(race,C384)))&gt;0)</f>
        <v>0</v>
      </c>
      <c r="S384" s="14" cm="1">
        <f t="array" ref="S384">INT(SUMPRODUCT(--ISNUMBER(SEARCH(immigration,C384)))&gt;0)</f>
        <v>0</v>
      </c>
      <c r="T384" s="14" cm="1">
        <f t="array" ref="T384">INT(SUMPRODUCT(--ISNUMBER(SEARCH(econineq,C385)))&gt;0)</f>
        <v>0</v>
      </c>
      <c r="U384" s="14" cm="1">
        <f t="array" ref="U384">INT(SUMPRODUCT(--ISNUMBER(SEARCH(climate,C384)))&gt;0)</f>
        <v>0</v>
      </c>
      <c r="V384" s="14" cm="1">
        <f t="array" ref="V384">INT(SUMPRODUCT(--ISNUMBER(SEARCH(abortion,C384)))&gt;0)</f>
        <v>0</v>
      </c>
      <c r="W384" s="14" cm="1">
        <f t="array" ref="W384">INT(SUMPRODUCT(--ISNUMBER(SEARCH(trump,C384)))&gt;0)</f>
        <v>0</v>
      </c>
      <c r="X384" s="14" cm="1">
        <f t="array" ref="X384">INT(SUMPRODUCT(--ISNUMBER(SEARCH(voting,C384)))&gt;0)</f>
        <v>0</v>
      </c>
      <c r="Y384" s="14" cm="1">
        <f t="array" ref="Y384">INT(SUMPRODUCT(--ISNUMBER(SEARCH(democrattrigger,C384)))&gt;0)</f>
        <v>0</v>
      </c>
      <c r="Z384" s="14" cm="1">
        <f t="array" ref="Z384">INT(SUMPRODUCT(--ISNUMBER(SEARCH(bipartisan,C384)))&gt;0)</f>
        <v>0</v>
      </c>
      <c r="AA384" s="14">
        <f t="shared" si="5"/>
        <v>1</v>
      </c>
      <c r="AB384" s="14"/>
      <c r="AC384" s="30">
        <v>0</v>
      </c>
      <c r="AD384" s="37">
        <v>1</v>
      </c>
    </row>
    <row r="385" spans="1:30" x14ac:dyDescent="0.25">
      <c r="A385" s="36">
        <v>1848</v>
      </c>
      <c r="B385" s="14" t="s">
        <v>3722</v>
      </c>
      <c r="C385" s="14" t="s">
        <v>3723</v>
      </c>
      <c r="D385" s="17">
        <v>44108</v>
      </c>
      <c r="E385" s="14" t="s">
        <v>30</v>
      </c>
      <c r="F385" s="14">
        <v>3407</v>
      </c>
      <c r="G385" s="14">
        <v>1152</v>
      </c>
      <c r="H385" s="14">
        <v>8</v>
      </c>
      <c r="I385" s="14">
        <v>4</v>
      </c>
      <c r="J385" s="14" t="s">
        <v>204</v>
      </c>
      <c r="K385" s="14" cm="1">
        <f t="array" ref="K385">INT(SUMPRODUCT(--ISNUMBER(SEARCH(economy,C385)))&gt;0)</f>
        <v>0</v>
      </c>
      <c r="L385" s="14" cm="1">
        <f t="array" ref="L385">INT(SUMPRODUCT(--ISNUMBER(SEARCH(healthcare,C385)))&gt;0)</f>
        <v>1</v>
      </c>
      <c r="M385" s="14" cm="1">
        <f t="array" ref="M385">INT(SUMPRODUCT(--ISNUMBER(SEARCH(supreme,C385)))&gt;0)</f>
        <v>0</v>
      </c>
      <c r="N385" s="14" cm="1">
        <f t="array" ref="N385">INT(SUMPRODUCT(--ISNUMBER(SEARCH(covid,C385)))&gt;0)</f>
        <v>0</v>
      </c>
      <c r="O385" s="14" cm="1">
        <f t="array" ref="O385">INT(SUMPRODUCT(--ISNUMBER(SEARCH(violent,C385)))&gt;0)</f>
        <v>0</v>
      </c>
      <c r="P385" s="14" cm="1">
        <f t="array" ref="P385">INT(SUMPRODUCT(--ISNUMBER(SEARCH(foreign,C385)))&gt;0)</f>
        <v>0</v>
      </c>
      <c r="Q385" s="14" cm="1">
        <f t="array" ref="Q385">INT(SUMPRODUCT(--ISNUMBER(SEARCH(gun,C385)))&gt;0)</f>
        <v>0</v>
      </c>
      <c r="R385" s="14" cm="1">
        <f t="array" ref="R385">INT(SUMPRODUCT(--ISNUMBER(SEARCH(race,C385)))&gt;0)</f>
        <v>0</v>
      </c>
      <c r="S385" s="14" cm="1">
        <f t="array" ref="S385">INT(SUMPRODUCT(--ISNUMBER(SEARCH(immigration,C385)))&gt;0)</f>
        <v>0</v>
      </c>
      <c r="T385" s="14" cm="1">
        <f t="array" ref="T385">INT(SUMPRODUCT(--ISNUMBER(SEARCH(econineq,C386)))&gt;0)</f>
        <v>0</v>
      </c>
      <c r="U385" s="14" cm="1">
        <f t="array" ref="U385">INT(SUMPRODUCT(--ISNUMBER(SEARCH(climate,C385)))&gt;0)</f>
        <v>0</v>
      </c>
      <c r="V385" s="14" cm="1">
        <f t="array" ref="V385">INT(SUMPRODUCT(--ISNUMBER(SEARCH(abortion,C385)))&gt;0)</f>
        <v>0</v>
      </c>
      <c r="W385" s="14" cm="1">
        <f t="array" ref="W385">INT(SUMPRODUCT(--ISNUMBER(SEARCH(trump,C385)))&gt;0)</f>
        <v>0</v>
      </c>
      <c r="X385" s="14" cm="1">
        <f t="array" ref="X385">INT(SUMPRODUCT(--ISNUMBER(SEARCH(voting,C385)))&gt;0)</f>
        <v>1</v>
      </c>
      <c r="Y385" s="14" cm="1">
        <f t="array" ref="Y385">INT(SUMPRODUCT(--ISNUMBER(SEARCH(democrattrigger,C385)))&gt;0)</f>
        <v>0</v>
      </c>
      <c r="Z385" s="14" cm="1">
        <f t="array" ref="Z385">INT(SUMPRODUCT(--ISNUMBER(SEARCH(bipartisan,C385)))&gt;0)</f>
        <v>0</v>
      </c>
      <c r="AA385" s="14">
        <f t="shared" si="5"/>
        <v>0</v>
      </c>
      <c r="AB385" s="14"/>
      <c r="AC385" s="30">
        <v>1</v>
      </c>
      <c r="AD385" s="37">
        <v>0</v>
      </c>
    </row>
    <row r="386" spans="1:30" x14ac:dyDescent="0.25">
      <c r="A386" s="36">
        <v>1849</v>
      </c>
      <c r="B386" s="14" t="s">
        <v>3724</v>
      </c>
      <c r="C386" s="14" t="s">
        <v>3725</v>
      </c>
      <c r="D386" s="17">
        <v>44108</v>
      </c>
      <c r="E386" s="14" t="s">
        <v>30</v>
      </c>
      <c r="F386" s="14">
        <v>1023</v>
      </c>
      <c r="G386" s="14">
        <v>284</v>
      </c>
      <c r="H386" s="14">
        <v>8</v>
      </c>
      <c r="I386" s="14">
        <v>4</v>
      </c>
      <c r="J386" s="14" t="s">
        <v>204</v>
      </c>
      <c r="K386" s="14" cm="1">
        <f t="array" ref="K386">INT(SUMPRODUCT(--ISNUMBER(SEARCH(economy,C386)))&gt;0)</f>
        <v>0</v>
      </c>
      <c r="L386" s="14" cm="1">
        <f t="array" ref="L386">INT(SUMPRODUCT(--ISNUMBER(SEARCH(healthcare,C386)))&gt;0)</f>
        <v>0</v>
      </c>
      <c r="M386" s="14" cm="1">
        <f t="array" ref="M386">INT(SUMPRODUCT(--ISNUMBER(SEARCH(supreme,C386)))&gt;0)</f>
        <v>0</v>
      </c>
      <c r="N386" s="14" cm="1">
        <f t="array" ref="N386">INT(SUMPRODUCT(--ISNUMBER(SEARCH(covid,C386)))&gt;0)</f>
        <v>0</v>
      </c>
      <c r="O386" s="14" cm="1">
        <f t="array" ref="O386">INT(SUMPRODUCT(--ISNUMBER(SEARCH(violent,C386)))&gt;0)</f>
        <v>0</v>
      </c>
      <c r="P386" s="14" cm="1">
        <f t="array" ref="P386">INT(SUMPRODUCT(--ISNUMBER(SEARCH(foreign,C386)))&gt;0)</f>
        <v>0</v>
      </c>
      <c r="Q386" s="14" cm="1">
        <f t="array" ref="Q386">INT(SUMPRODUCT(--ISNUMBER(SEARCH(gun,C386)))&gt;0)</f>
        <v>0</v>
      </c>
      <c r="R386" s="14" cm="1">
        <f t="array" ref="R386">INT(SUMPRODUCT(--ISNUMBER(SEARCH(race,C386)))&gt;0)</f>
        <v>0</v>
      </c>
      <c r="S386" s="14" cm="1">
        <f t="array" ref="S386">INT(SUMPRODUCT(--ISNUMBER(SEARCH(immigration,C386)))&gt;0)</f>
        <v>0</v>
      </c>
      <c r="T386" s="14" cm="1">
        <f t="array" ref="T386">INT(SUMPRODUCT(--ISNUMBER(SEARCH(econineq,C387)))&gt;0)</f>
        <v>0</v>
      </c>
      <c r="U386" s="14" cm="1">
        <f t="array" ref="U386">INT(SUMPRODUCT(--ISNUMBER(SEARCH(climate,C386)))&gt;0)</f>
        <v>0</v>
      </c>
      <c r="V386" s="14" cm="1">
        <f t="array" ref="V386">INT(SUMPRODUCT(--ISNUMBER(SEARCH(abortion,C386)))&gt;0)</f>
        <v>0</v>
      </c>
      <c r="W386" s="14" cm="1">
        <f t="array" ref="W386">INT(SUMPRODUCT(--ISNUMBER(SEARCH(trump,C386)))&gt;0)</f>
        <v>0</v>
      </c>
      <c r="X386" s="14" cm="1">
        <f t="array" ref="X386">INT(SUMPRODUCT(--ISNUMBER(SEARCH(voting,C386)))&gt;0)</f>
        <v>1</v>
      </c>
      <c r="Y386" s="14" cm="1">
        <f t="array" ref="Y386">INT(SUMPRODUCT(--ISNUMBER(SEARCH(democrattrigger,C386)))&gt;0)</f>
        <v>0</v>
      </c>
      <c r="Z386" s="14" cm="1">
        <f t="array" ref="Z386">INT(SUMPRODUCT(--ISNUMBER(SEARCH(bipartisan,C386)))&gt;0)</f>
        <v>0</v>
      </c>
      <c r="AA386" s="14">
        <f t="shared" si="5"/>
        <v>0</v>
      </c>
      <c r="AB386" s="14"/>
      <c r="AC386" s="30" t="s">
        <v>223</v>
      </c>
      <c r="AD386" s="37" t="s">
        <v>223</v>
      </c>
    </row>
    <row r="387" spans="1:30" x14ac:dyDescent="0.25">
      <c r="A387" s="36">
        <v>1850</v>
      </c>
      <c r="B387" s="14" t="s">
        <v>3726</v>
      </c>
      <c r="C387" s="14" t="s">
        <v>3727</v>
      </c>
      <c r="D387" s="17">
        <v>44108</v>
      </c>
      <c r="E387" s="14" t="s">
        <v>30</v>
      </c>
      <c r="F387" s="14">
        <v>850</v>
      </c>
      <c r="G387" s="14">
        <v>309</v>
      </c>
      <c r="H387" s="14">
        <v>8</v>
      </c>
      <c r="I387" s="14">
        <v>4</v>
      </c>
      <c r="J387" s="14" t="s">
        <v>204</v>
      </c>
      <c r="K387" s="14" cm="1">
        <f t="array" ref="K387">INT(SUMPRODUCT(--ISNUMBER(SEARCH(economy,C387)))&gt;0)</f>
        <v>1</v>
      </c>
      <c r="L387" s="14" cm="1">
        <f t="array" ref="L387">INT(SUMPRODUCT(--ISNUMBER(SEARCH(healthcare,C387)))&gt;0)</f>
        <v>0</v>
      </c>
      <c r="M387" s="14" cm="1">
        <f t="array" ref="M387">INT(SUMPRODUCT(--ISNUMBER(SEARCH(supreme,C387)))&gt;0)</f>
        <v>0</v>
      </c>
      <c r="N387" s="14" cm="1">
        <f t="array" ref="N387">INT(SUMPRODUCT(--ISNUMBER(SEARCH(covid,C387)))&gt;0)</f>
        <v>0</v>
      </c>
      <c r="O387" s="14" cm="1">
        <f t="array" ref="O387">INT(SUMPRODUCT(--ISNUMBER(SEARCH(violent,C387)))&gt;0)</f>
        <v>0</v>
      </c>
      <c r="P387" s="14" cm="1">
        <f t="array" ref="P387">INT(SUMPRODUCT(--ISNUMBER(SEARCH(foreign,C387)))&gt;0)</f>
        <v>0</v>
      </c>
      <c r="Q387" s="14" cm="1">
        <f t="array" ref="Q387">INT(SUMPRODUCT(--ISNUMBER(SEARCH(gun,C387)))&gt;0)</f>
        <v>0</v>
      </c>
      <c r="R387" s="14" cm="1">
        <f t="array" ref="R387">INT(SUMPRODUCT(--ISNUMBER(SEARCH(race,C387)))&gt;0)</f>
        <v>0</v>
      </c>
      <c r="S387" s="14" cm="1">
        <f t="array" ref="S387">INT(SUMPRODUCT(--ISNUMBER(SEARCH(immigration,C387)))&gt;0)</f>
        <v>0</v>
      </c>
      <c r="T387" s="14" cm="1">
        <f t="array" ref="T387">INT(SUMPRODUCT(--ISNUMBER(SEARCH(econineq,C388)))&gt;0)</f>
        <v>0</v>
      </c>
      <c r="U387" s="14" cm="1">
        <f t="array" ref="U387">INT(SUMPRODUCT(--ISNUMBER(SEARCH(climate,C387)))&gt;0)</f>
        <v>0</v>
      </c>
      <c r="V387" s="14" cm="1">
        <f t="array" ref="V387">INT(SUMPRODUCT(--ISNUMBER(SEARCH(abortion,C387)))&gt;0)</f>
        <v>0</v>
      </c>
      <c r="W387" s="14" cm="1">
        <f t="array" ref="W387">INT(SUMPRODUCT(--ISNUMBER(SEARCH(trump,C387)))&gt;0)</f>
        <v>0</v>
      </c>
      <c r="X387" s="14" cm="1">
        <f t="array" ref="X387">INT(SUMPRODUCT(--ISNUMBER(SEARCH(voting,C387)))&gt;0)</f>
        <v>0</v>
      </c>
      <c r="Y387" s="14" cm="1">
        <f t="array" ref="Y387">INT(SUMPRODUCT(--ISNUMBER(SEARCH(democrattrigger,C387)))&gt;0)</f>
        <v>0</v>
      </c>
      <c r="Z387" s="14" cm="1">
        <f t="array" ref="Z387">INT(SUMPRODUCT(--ISNUMBER(SEARCH(bipartisan,C387)))&gt;0)</f>
        <v>0</v>
      </c>
      <c r="AA387" s="14">
        <f t="shared" ref="AA387:AA394" si="6">INT(IF(COUNTIF(K387:Z387,1)=0,"1","0"))</f>
        <v>0</v>
      </c>
      <c r="AB387" s="14"/>
      <c r="AC387" s="30">
        <v>1</v>
      </c>
      <c r="AD387" s="37">
        <v>0</v>
      </c>
    </row>
    <row r="388" spans="1:30" x14ac:dyDescent="0.25">
      <c r="A388" s="36">
        <v>1851</v>
      </c>
      <c r="B388" s="14" t="s">
        <v>3728</v>
      </c>
      <c r="C388" s="14" t="s">
        <v>3729</v>
      </c>
      <c r="D388" s="17">
        <v>44107</v>
      </c>
      <c r="E388" s="14" t="s">
        <v>30</v>
      </c>
      <c r="F388" s="14">
        <v>2596</v>
      </c>
      <c r="G388" s="14">
        <v>728</v>
      </c>
      <c r="H388" s="14">
        <v>8</v>
      </c>
      <c r="I388" s="14">
        <v>4</v>
      </c>
      <c r="J388" s="14" t="s">
        <v>204</v>
      </c>
      <c r="K388" s="14" cm="1">
        <f t="array" ref="K388">INT(SUMPRODUCT(--ISNUMBER(SEARCH(economy,C388)))&gt;0)</f>
        <v>0</v>
      </c>
      <c r="L388" s="14" cm="1">
        <f t="array" ref="L388">INT(SUMPRODUCT(--ISNUMBER(SEARCH(healthcare,C388)))&gt;0)</f>
        <v>0</v>
      </c>
      <c r="M388" s="14" cm="1">
        <f t="array" ref="M388">INT(SUMPRODUCT(--ISNUMBER(SEARCH(supreme,C388)))&gt;0)</f>
        <v>0</v>
      </c>
      <c r="N388" s="14" cm="1">
        <f t="array" ref="N388">INT(SUMPRODUCT(--ISNUMBER(SEARCH(covid,C388)))&gt;0)</f>
        <v>0</v>
      </c>
      <c r="O388" s="14" cm="1">
        <f t="array" ref="O388">INT(SUMPRODUCT(--ISNUMBER(SEARCH(violent,C388)))&gt;0)</f>
        <v>0</v>
      </c>
      <c r="P388" s="14" cm="1">
        <f t="array" ref="P388">INT(SUMPRODUCT(--ISNUMBER(SEARCH(foreign,C388)))&gt;0)</f>
        <v>0</v>
      </c>
      <c r="Q388" s="14" cm="1">
        <f t="array" ref="Q388">INT(SUMPRODUCT(--ISNUMBER(SEARCH(gun,C388)))&gt;0)</f>
        <v>0</v>
      </c>
      <c r="R388" s="14" cm="1">
        <f t="array" ref="R388">INT(SUMPRODUCT(--ISNUMBER(SEARCH(race,C388)))&gt;0)</f>
        <v>0</v>
      </c>
      <c r="S388" s="14" cm="1">
        <f t="array" ref="S388">INT(SUMPRODUCT(--ISNUMBER(SEARCH(immigration,C388)))&gt;0)</f>
        <v>0</v>
      </c>
      <c r="T388" s="14" cm="1">
        <f t="array" ref="T388">INT(SUMPRODUCT(--ISNUMBER(SEARCH(econineq,C389)))&gt;0)</f>
        <v>0</v>
      </c>
      <c r="U388" s="14" cm="1">
        <f t="array" ref="U388">INT(SUMPRODUCT(--ISNUMBER(SEARCH(climate,C388)))&gt;0)</f>
        <v>0</v>
      </c>
      <c r="V388" s="14" cm="1">
        <f t="array" ref="V388">INT(SUMPRODUCT(--ISNUMBER(SEARCH(abortion,C388)))&gt;0)</f>
        <v>0</v>
      </c>
      <c r="W388" s="14" cm="1">
        <f t="array" ref="W388">INT(SUMPRODUCT(--ISNUMBER(SEARCH(trump,C388)))&gt;0)</f>
        <v>0</v>
      </c>
      <c r="X388" s="14" cm="1">
        <f t="array" ref="X388">INT(SUMPRODUCT(--ISNUMBER(SEARCH(voting,C388)))&gt;0)</f>
        <v>0</v>
      </c>
      <c r="Y388" s="14" cm="1">
        <f t="array" ref="Y388">INT(SUMPRODUCT(--ISNUMBER(SEARCH(democrattrigger,C388)))&gt;0)</f>
        <v>1</v>
      </c>
      <c r="Z388" s="14" cm="1">
        <f t="array" ref="Z388">INT(SUMPRODUCT(--ISNUMBER(SEARCH(bipartisan,C388)))&gt;0)</f>
        <v>0</v>
      </c>
      <c r="AA388" s="14">
        <f t="shared" si="6"/>
        <v>0</v>
      </c>
      <c r="AB388" s="14"/>
      <c r="AC388" s="30" t="s">
        <v>223</v>
      </c>
      <c r="AD388" s="37" t="s">
        <v>223</v>
      </c>
    </row>
    <row r="389" spans="1:30" x14ac:dyDescent="0.25">
      <c r="A389" s="36">
        <v>1852</v>
      </c>
      <c r="B389" s="14" t="s">
        <v>3730</v>
      </c>
      <c r="C389" s="14" t="s">
        <v>3731</v>
      </c>
      <c r="D389" s="17">
        <v>44107</v>
      </c>
      <c r="E389" s="14" t="s">
        <v>30</v>
      </c>
      <c r="F389" s="14">
        <v>883</v>
      </c>
      <c r="G389" s="14">
        <v>214</v>
      </c>
      <c r="H389" s="14">
        <v>8</v>
      </c>
      <c r="I389" s="14">
        <v>4</v>
      </c>
      <c r="J389" s="14" t="s">
        <v>204</v>
      </c>
      <c r="K389" s="14" cm="1">
        <f t="array" ref="K389">INT(SUMPRODUCT(--ISNUMBER(SEARCH(economy,C389)))&gt;0)</f>
        <v>0</v>
      </c>
      <c r="L389" s="14" cm="1">
        <f t="array" ref="L389">INT(SUMPRODUCT(--ISNUMBER(SEARCH(healthcare,C389)))&gt;0)</f>
        <v>0</v>
      </c>
      <c r="M389" s="14" cm="1">
        <f t="array" ref="M389">INT(SUMPRODUCT(--ISNUMBER(SEARCH(supreme,C389)))&gt;0)</f>
        <v>0</v>
      </c>
      <c r="N389" s="14" cm="1">
        <f t="array" ref="N389">INT(SUMPRODUCT(--ISNUMBER(SEARCH(covid,C389)))&gt;0)</f>
        <v>0</v>
      </c>
      <c r="O389" s="14" cm="1">
        <f t="array" ref="O389">INT(SUMPRODUCT(--ISNUMBER(SEARCH(violent,C389)))&gt;0)</f>
        <v>0</v>
      </c>
      <c r="P389" s="14" cm="1">
        <f t="array" ref="P389">INT(SUMPRODUCT(--ISNUMBER(SEARCH(foreign,C389)))&gt;0)</f>
        <v>0</v>
      </c>
      <c r="Q389" s="14" cm="1">
        <f t="array" ref="Q389">INT(SUMPRODUCT(--ISNUMBER(SEARCH(gun,C389)))&gt;0)</f>
        <v>0</v>
      </c>
      <c r="R389" s="14" cm="1">
        <f t="array" ref="R389">INT(SUMPRODUCT(--ISNUMBER(SEARCH(race,C389)))&gt;0)</f>
        <v>0</v>
      </c>
      <c r="S389" s="14" cm="1">
        <f t="array" ref="S389">INT(SUMPRODUCT(--ISNUMBER(SEARCH(immigration,C389)))&gt;0)</f>
        <v>0</v>
      </c>
      <c r="T389" s="14" cm="1">
        <f t="array" ref="T389">INT(SUMPRODUCT(--ISNUMBER(SEARCH(econineq,C390)))&gt;0)</f>
        <v>0</v>
      </c>
      <c r="U389" s="14" cm="1">
        <f t="array" ref="U389">INT(SUMPRODUCT(--ISNUMBER(SEARCH(climate,C389)))&gt;0)</f>
        <v>0</v>
      </c>
      <c r="V389" s="14" cm="1">
        <f t="array" ref="V389">INT(SUMPRODUCT(--ISNUMBER(SEARCH(abortion,C389)))&gt;0)</f>
        <v>0</v>
      </c>
      <c r="W389" s="14" cm="1">
        <f t="array" ref="W389">INT(SUMPRODUCT(--ISNUMBER(SEARCH(trump,C389)))&gt;0)</f>
        <v>0</v>
      </c>
      <c r="X389" s="14" cm="1">
        <f t="array" ref="X389">INT(SUMPRODUCT(--ISNUMBER(SEARCH(voting,C389)))&gt;0)</f>
        <v>0</v>
      </c>
      <c r="Y389" s="14" cm="1">
        <f t="array" ref="Y389">INT(SUMPRODUCT(--ISNUMBER(SEARCH(democrattrigger,C389)))&gt;0)</f>
        <v>0</v>
      </c>
      <c r="Z389" s="14" cm="1">
        <f t="array" ref="Z389">INT(SUMPRODUCT(--ISNUMBER(SEARCH(bipartisan,C389)))&gt;0)</f>
        <v>0</v>
      </c>
      <c r="AA389" s="14">
        <f t="shared" si="6"/>
        <v>1</v>
      </c>
      <c r="AB389" s="14"/>
      <c r="AC389" s="30">
        <v>1</v>
      </c>
      <c r="AD389" s="37">
        <v>0</v>
      </c>
    </row>
    <row r="390" spans="1:30" x14ac:dyDescent="0.25">
      <c r="A390" s="36">
        <v>1853</v>
      </c>
      <c r="B390" s="14" t="s">
        <v>3732</v>
      </c>
      <c r="C390" s="14" t="s">
        <v>3733</v>
      </c>
      <c r="D390" s="17">
        <v>44107</v>
      </c>
      <c r="E390" s="14" t="s">
        <v>30</v>
      </c>
      <c r="F390" s="14">
        <v>4730</v>
      </c>
      <c r="G390" s="14">
        <v>1159</v>
      </c>
      <c r="H390" s="14">
        <v>8</v>
      </c>
      <c r="I390" s="14">
        <v>4</v>
      </c>
      <c r="J390" s="14" t="s">
        <v>204</v>
      </c>
      <c r="K390" s="14" cm="1">
        <f t="array" ref="K390">INT(SUMPRODUCT(--ISNUMBER(SEARCH(economy,C390)))&gt;0)</f>
        <v>0</v>
      </c>
      <c r="L390" s="14" cm="1">
        <f t="array" ref="L390">INT(SUMPRODUCT(--ISNUMBER(SEARCH(healthcare,C390)))&gt;0)</f>
        <v>1</v>
      </c>
      <c r="M390" s="14" cm="1">
        <f t="array" ref="M390">INT(SUMPRODUCT(--ISNUMBER(SEARCH(supreme,C390)))&gt;0)</f>
        <v>0</v>
      </c>
      <c r="N390" s="14" cm="1">
        <f t="array" ref="N390">INT(SUMPRODUCT(--ISNUMBER(SEARCH(covid,C390)))&gt;0)</f>
        <v>0</v>
      </c>
      <c r="O390" s="14" cm="1">
        <f t="array" ref="O390">INT(SUMPRODUCT(--ISNUMBER(SEARCH(violent,C390)))&gt;0)</f>
        <v>0</v>
      </c>
      <c r="P390" s="14" cm="1">
        <f t="array" ref="P390">INT(SUMPRODUCT(--ISNUMBER(SEARCH(foreign,C390)))&gt;0)</f>
        <v>0</v>
      </c>
      <c r="Q390" s="14" cm="1">
        <f t="array" ref="Q390">INT(SUMPRODUCT(--ISNUMBER(SEARCH(gun,C390)))&gt;0)</f>
        <v>0</v>
      </c>
      <c r="R390" s="14" cm="1">
        <f t="array" ref="R390">INT(SUMPRODUCT(--ISNUMBER(SEARCH(race,C390)))&gt;0)</f>
        <v>0</v>
      </c>
      <c r="S390" s="14" cm="1">
        <f t="array" ref="S390">INT(SUMPRODUCT(--ISNUMBER(SEARCH(immigration,C390)))&gt;0)</f>
        <v>0</v>
      </c>
      <c r="T390" s="14" cm="1">
        <f t="array" ref="T390">INT(SUMPRODUCT(--ISNUMBER(SEARCH(econineq,C391)))&gt;0)</f>
        <v>0</v>
      </c>
      <c r="U390" s="14" cm="1">
        <f t="array" ref="U390">INT(SUMPRODUCT(--ISNUMBER(SEARCH(climate,C390)))&gt;0)</f>
        <v>1</v>
      </c>
      <c r="V390" s="14" cm="1">
        <f t="array" ref="V390">INT(SUMPRODUCT(--ISNUMBER(SEARCH(abortion,C390)))&gt;0)</f>
        <v>0</v>
      </c>
      <c r="W390" s="14" cm="1">
        <f t="array" ref="W390">INT(SUMPRODUCT(--ISNUMBER(SEARCH(trump,C390)))&gt;0)</f>
        <v>0</v>
      </c>
      <c r="X390" s="14" cm="1">
        <f t="array" ref="X390">INT(SUMPRODUCT(--ISNUMBER(SEARCH(voting,C390)))&gt;0)</f>
        <v>1</v>
      </c>
      <c r="Y390" s="14" cm="1">
        <f t="array" ref="Y390">INT(SUMPRODUCT(--ISNUMBER(SEARCH(democrattrigger,C390)))&gt;0)</f>
        <v>0</v>
      </c>
      <c r="Z390" s="14" cm="1">
        <f t="array" ref="Z390">INT(SUMPRODUCT(--ISNUMBER(SEARCH(bipartisan,C390)))&gt;0)</f>
        <v>0</v>
      </c>
      <c r="AA390" s="14">
        <f t="shared" si="6"/>
        <v>0</v>
      </c>
      <c r="AB390" s="14"/>
      <c r="AC390" s="30" t="s">
        <v>223</v>
      </c>
      <c r="AD390" s="37" t="s">
        <v>223</v>
      </c>
    </row>
    <row r="391" spans="1:30" x14ac:dyDescent="0.25">
      <c r="A391" s="36">
        <v>1854</v>
      </c>
      <c r="B391" s="14" t="s">
        <v>3734</v>
      </c>
      <c r="C391" s="14" t="s">
        <v>3735</v>
      </c>
      <c r="D391" s="17">
        <v>44107</v>
      </c>
      <c r="E391" s="14" t="s">
        <v>30</v>
      </c>
      <c r="F391" s="14">
        <v>997</v>
      </c>
      <c r="G391" s="14">
        <v>383</v>
      </c>
      <c r="H391" s="14">
        <v>8</v>
      </c>
      <c r="I391" s="14">
        <v>4</v>
      </c>
      <c r="J391" s="14" t="s">
        <v>204</v>
      </c>
      <c r="K391" s="14" cm="1">
        <f t="array" ref="K391">INT(SUMPRODUCT(--ISNUMBER(SEARCH(economy,C391)))&gt;0)</f>
        <v>0</v>
      </c>
      <c r="L391" s="14" cm="1">
        <f t="array" ref="L391">INT(SUMPRODUCT(--ISNUMBER(SEARCH(healthcare,C391)))&gt;0)</f>
        <v>0</v>
      </c>
      <c r="M391" s="14" cm="1">
        <f t="array" ref="M391">INT(SUMPRODUCT(--ISNUMBER(SEARCH(supreme,C391)))&gt;0)</f>
        <v>0</v>
      </c>
      <c r="N391" s="14" cm="1">
        <f t="array" ref="N391">INT(SUMPRODUCT(--ISNUMBER(SEARCH(covid,C391)))&gt;0)</f>
        <v>0</v>
      </c>
      <c r="O391" s="14" cm="1">
        <f t="array" ref="O391">INT(SUMPRODUCT(--ISNUMBER(SEARCH(violent,C391)))&gt;0)</f>
        <v>0</v>
      </c>
      <c r="P391" s="14" cm="1">
        <f t="array" ref="P391">INT(SUMPRODUCT(--ISNUMBER(SEARCH(foreign,C391)))&gt;0)</f>
        <v>0</v>
      </c>
      <c r="Q391" s="14" cm="1">
        <f t="array" ref="Q391">INT(SUMPRODUCT(--ISNUMBER(SEARCH(gun,C391)))&gt;0)</f>
        <v>0</v>
      </c>
      <c r="R391" s="14" cm="1">
        <f t="array" ref="R391">INT(SUMPRODUCT(--ISNUMBER(SEARCH(race,C391)))&gt;0)</f>
        <v>0</v>
      </c>
      <c r="S391" s="14" cm="1">
        <f t="array" ref="S391">INT(SUMPRODUCT(--ISNUMBER(SEARCH(immigration,C391)))&gt;0)</f>
        <v>0</v>
      </c>
      <c r="T391" s="14" cm="1">
        <f t="array" ref="T391">INT(SUMPRODUCT(--ISNUMBER(SEARCH(econineq,C392)))&gt;0)</f>
        <v>0</v>
      </c>
      <c r="U391" s="14" cm="1">
        <f t="array" ref="U391">INT(SUMPRODUCT(--ISNUMBER(SEARCH(climate,C391)))&gt;0)</f>
        <v>0</v>
      </c>
      <c r="V391" s="14" cm="1">
        <f t="array" ref="V391">INT(SUMPRODUCT(--ISNUMBER(SEARCH(abortion,C391)))&gt;0)</f>
        <v>0</v>
      </c>
      <c r="W391" s="14" cm="1">
        <f t="array" ref="W391">INT(SUMPRODUCT(--ISNUMBER(SEARCH(trump,C391)))&gt;0)</f>
        <v>0</v>
      </c>
      <c r="X391" s="14" cm="1">
        <f t="array" ref="X391">INT(SUMPRODUCT(--ISNUMBER(SEARCH(voting,C391)))&gt;0)</f>
        <v>1</v>
      </c>
      <c r="Y391" s="14" cm="1">
        <f t="array" ref="Y391">INT(SUMPRODUCT(--ISNUMBER(SEARCH(democrattrigger,C391)))&gt;0)</f>
        <v>0</v>
      </c>
      <c r="Z391" s="14" cm="1">
        <f t="array" ref="Z391">INT(SUMPRODUCT(--ISNUMBER(SEARCH(bipartisan,C391)))&gt;0)</f>
        <v>0</v>
      </c>
      <c r="AA391" s="14">
        <f t="shared" si="6"/>
        <v>0</v>
      </c>
      <c r="AB391" s="14"/>
      <c r="AC391" s="30">
        <v>0</v>
      </c>
      <c r="AD391" s="37">
        <v>1</v>
      </c>
    </row>
    <row r="392" spans="1:30" x14ac:dyDescent="0.25">
      <c r="A392" s="36">
        <v>1855</v>
      </c>
      <c r="B392" s="14" t="s">
        <v>3736</v>
      </c>
      <c r="C392" s="14" t="s">
        <v>3737</v>
      </c>
      <c r="D392" s="17">
        <v>44107</v>
      </c>
      <c r="E392" s="14" t="s">
        <v>30</v>
      </c>
      <c r="F392" s="14">
        <v>839</v>
      </c>
      <c r="G392" s="14">
        <v>306</v>
      </c>
      <c r="H392" s="14">
        <v>8</v>
      </c>
      <c r="I392" s="14">
        <v>4</v>
      </c>
      <c r="J392" s="14" t="s">
        <v>204</v>
      </c>
      <c r="K392" s="14" cm="1">
        <f t="array" ref="K392">INT(SUMPRODUCT(--ISNUMBER(SEARCH(economy,C392)))&gt;0)</f>
        <v>0</v>
      </c>
      <c r="L392" s="14" cm="1">
        <f t="array" ref="L392">INT(SUMPRODUCT(--ISNUMBER(SEARCH(healthcare,C392)))&gt;0)</f>
        <v>0</v>
      </c>
      <c r="M392" s="14" cm="1">
        <f t="array" ref="M392">INT(SUMPRODUCT(--ISNUMBER(SEARCH(supreme,C392)))&gt;0)</f>
        <v>0</v>
      </c>
      <c r="N392" s="14" cm="1">
        <f t="array" ref="N392">INT(SUMPRODUCT(--ISNUMBER(SEARCH(covid,C392)))&gt;0)</f>
        <v>0</v>
      </c>
      <c r="O392" s="14" cm="1">
        <f t="array" ref="O392">INT(SUMPRODUCT(--ISNUMBER(SEARCH(violent,C392)))&gt;0)</f>
        <v>0</v>
      </c>
      <c r="P392" s="14" cm="1">
        <f t="array" ref="P392">INT(SUMPRODUCT(--ISNUMBER(SEARCH(foreign,C392)))&gt;0)</f>
        <v>0</v>
      </c>
      <c r="Q392" s="14" cm="1">
        <f t="array" ref="Q392">INT(SUMPRODUCT(--ISNUMBER(SEARCH(gun,C392)))&gt;0)</f>
        <v>0</v>
      </c>
      <c r="R392" s="14" cm="1">
        <f t="array" ref="R392">INT(SUMPRODUCT(--ISNUMBER(SEARCH(race,C392)))&gt;0)</f>
        <v>0</v>
      </c>
      <c r="S392" s="14" cm="1">
        <f t="array" ref="S392">INT(SUMPRODUCT(--ISNUMBER(SEARCH(immigration,C392)))&gt;0)</f>
        <v>0</v>
      </c>
      <c r="T392" s="14" cm="1">
        <f t="array" ref="T392">INT(SUMPRODUCT(--ISNUMBER(SEARCH(econineq,C393)))&gt;0)</f>
        <v>0</v>
      </c>
      <c r="U392" s="14" cm="1">
        <f t="array" ref="U392">INT(SUMPRODUCT(--ISNUMBER(SEARCH(climate,C392)))&gt;0)</f>
        <v>0</v>
      </c>
      <c r="V392" s="14" cm="1">
        <f t="array" ref="V392">INT(SUMPRODUCT(--ISNUMBER(SEARCH(abortion,C392)))&gt;0)</f>
        <v>0</v>
      </c>
      <c r="W392" s="14" cm="1">
        <f t="array" ref="W392">INT(SUMPRODUCT(--ISNUMBER(SEARCH(trump,C392)))&gt;0)</f>
        <v>0</v>
      </c>
      <c r="X392" s="14" cm="1">
        <f t="array" ref="X392">INT(SUMPRODUCT(--ISNUMBER(SEARCH(voting,C392)))&gt;0)</f>
        <v>1</v>
      </c>
      <c r="Y392" s="14" cm="1">
        <f t="array" ref="Y392">INT(SUMPRODUCT(--ISNUMBER(SEARCH(democrattrigger,C392)))&gt;0)</f>
        <v>0</v>
      </c>
      <c r="Z392" s="14" cm="1">
        <f t="array" ref="Z392">INT(SUMPRODUCT(--ISNUMBER(SEARCH(bipartisan,C392)))&gt;0)</f>
        <v>0</v>
      </c>
      <c r="AA392" s="14">
        <f t="shared" si="6"/>
        <v>0</v>
      </c>
      <c r="AB392" s="14"/>
      <c r="AC392" s="30" t="s">
        <v>223</v>
      </c>
      <c r="AD392" s="37" t="s">
        <v>223</v>
      </c>
    </row>
    <row r="393" spans="1:30" x14ac:dyDescent="0.25">
      <c r="A393" s="36">
        <v>1856</v>
      </c>
      <c r="B393" s="14" t="s">
        <v>3738</v>
      </c>
      <c r="C393" s="14" t="s">
        <v>3739</v>
      </c>
      <c r="D393" s="17">
        <v>44107</v>
      </c>
      <c r="E393" s="14" t="s">
        <v>30</v>
      </c>
      <c r="F393" s="14">
        <v>471</v>
      </c>
      <c r="G393" s="14">
        <v>130</v>
      </c>
      <c r="H393" s="14">
        <v>8</v>
      </c>
      <c r="I393" s="14">
        <v>4</v>
      </c>
      <c r="J393" s="14" t="s">
        <v>204</v>
      </c>
      <c r="K393" s="14" cm="1">
        <f t="array" ref="K393">INT(SUMPRODUCT(--ISNUMBER(SEARCH(economy,C393)))&gt;0)</f>
        <v>1</v>
      </c>
      <c r="L393" s="14" cm="1">
        <f t="array" ref="L393">INT(SUMPRODUCT(--ISNUMBER(SEARCH(healthcare,C393)))&gt;0)</f>
        <v>0</v>
      </c>
      <c r="M393" s="14" cm="1">
        <f t="array" ref="M393">INT(SUMPRODUCT(--ISNUMBER(SEARCH(supreme,C393)))&gt;0)</f>
        <v>0</v>
      </c>
      <c r="N393" s="14" cm="1">
        <f t="array" ref="N393">INT(SUMPRODUCT(--ISNUMBER(SEARCH(covid,C393)))&gt;0)</f>
        <v>1</v>
      </c>
      <c r="O393" s="14" cm="1">
        <f t="array" ref="O393">INT(SUMPRODUCT(--ISNUMBER(SEARCH(violent,C393)))&gt;0)</f>
        <v>0</v>
      </c>
      <c r="P393" s="14" cm="1">
        <f t="array" ref="P393">INT(SUMPRODUCT(--ISNUMBER(SEARCH(foreign,C393)))&gt;0)</f>
        <v>0</v>
      </c>
      <c r="Q393" s="14" cm="1">
        <f t="array" ref="Q393">INT(SUMPRODUCT(--ISNUMBER(SEARCH(gun,C393)))&gt;0)</f>
        <v>0</v>
      </c>
      <c r="R393" s="14" cm="1">
        <f t="array" ref="R393">INT(SUMPRODUCT(--ISNUMBER(SEARCH(race,C393)))&gt;0)</f>
        <v>0</v>
      </c>
      <c r="S393" s="14" cm="1">
        <f t="array" ref="S393">INT(SUMPRODUCT(--ISNUMBER(SEARCH(immigration,C393)))&gt;0)</f>
        <v>0</v>
      </c>
      <c r="T393" s="14" cm="1">
        <f t="array" ref="T393">INT(SUMPRODUCT(--ISNUMBER(SEARCH(econineq,C394)))&gt;0)</f>
        <v>0</v>
      </c>
      <c r="U393" s="14" cm="1">
        <f t="array" ref="U393">INT(SUMPRODUCT(--ISNUMBER(SEARCH(climate,C393)))&gt;0)</f>
        <v>0</v>
      </c>
      <c r="V393" s="14" cm="1">
        <f t="array" ref="V393">INT(SUMPRODUCT(--ISNUMBER(SEARCH(abortion,C393)))&gt;0)</f>
        <v>0</v>
      </c>
      <c r="W393" s="14" cm="1">
        <f t="array" ref="W393">INT(SUMPRODUCT(--ISNUMBER(SEARCH(trump,C393)))&gt;0)</f>
        <v>1</v>
      </c>
      <c r="X393" s="14" cm="1">
        <f t="array" ref="X393">INT(SUMPRODUCT(--ISNUMBER(SEARCH(voting,C393)))&gt;0)</f>
        <v>0</v>
      </c>
      <c r="Y393" s="14" cm="1">
        <f t="array" ref="Y393">INT(SUMPRODUCT(--ISNUMBER(SEARCH(democrattrigger,C393)))&gt;0)</f>
        <v>1</v>
      </c>
      <c r="Z393" s="14" cm="1">
        <f t="array" ref="Z393">INT(SUMPRODUCT(--ISNUMBER(SEARCH(bipartisan,C393)))&gt;0)</f>
        <v>0</v>
      </c>
      <c r="AA393" s="14">
        <f t="shared" si="6"/>
        <v>0</v>
      </c>
      <c r="AB393" s="14"/>
      <c r="AC393" s="30">
        <v>1</v>
      </c>
      <c r="AD393" s="37">
        <v>0</v>
      </c>
    </row>
    <row r="394" spans="1:30" x14ac:dyDescent="0.25">
      <c r="A394" s="38">
        <v>1857</v>
      </c>
      <c r="B394" s="39" t="s">
        <v>3740</v>
      </c>
      <c r="C394" s="39" t="s">
        <v>3741</v>
      </c>
      <c r="D394" s="41">
        <v>44107</v>
      </c>
      <c r="E394" s="39" t="s">
        <v>30</v>
      </c>
      <c r="F394" s="39">
        <v>385</v>
      </c>
      <c r="G394" s="39">
        <v>136</v>
      </c>
      <c r="H394" s="39">
        <v>8</v>
      </c>
      <c r="I394" s="39">
        <v>4</v>
      </c>
      <c r="J394" s="39" t="s">
        <v>204</v>
      </c>
      <c r="K394" s="39" cm="1">
        <f t="array" ref="K394">INT(SUMPRODUCT(--ISNUMBER(SEARCH(economy,C394)))&gt;0)</f>
        <v>1</v>
      </c>
      <c r="L394" s="39" cm="1">
        <f t="array" ref="L394">INT(SUMPRODUCT(--ISNUMBER(SEARCH(healthcare,C394)))&gt;0)</f>
        <v>0</v>
      </c>
      <c r="M394" s="39" cm="1">
        <f t="array" ref="M394">INT(SUMPRODUCT(--ISNUMBER(SEARCH(supreme,C394)))&gt;0)</f>
        <v>0</v>
      </c>
      <c r="N394" s="39" cm="1">
        <f t="array" ref="N394">INT(SUMPRODUCT(--ISNUMBER(SEARCH(covid,C394)))&gt;0)</f>
        <v>0</v>
      </c>
      <c r="O394" s="39" cm="1">
        <f t="array" ref="O394">INT(SUMPRODUCT(--ISNUMBER(SEARCH(violent,C394)))&gt;0)</f>
        <v>0</v>
      </c>
      <c r="P394" s="39" cm="1">
        <f t="array" ref="P394">INT(SUMPRODUCT(--ISNUMBER(SEARCH(foreign,C394)))&gt;0)</f>
        <v>0</v>
      </c>
      <c r="Q394" s="39" cm="1">
        <f t="array" ref="Q394">INT(SUMPRODUCT(--ISNUMBER(SEARCH(gun,C394)))&gt;0)</f>
        <v>0</v>
      </c>
      <c r="R394" s="39" cm="1">
        <f t="array" ref="R394">INT(SUMPRODUCT(--ISNUMBER(SEARCH(race,C394)))&gt;0)</f>
        <v>0</v>
      </c>
      <c r="S394" s="39" cm="1">
        <f t="array" ref="S394">INT(SUMPRODUCT(--ISNUMBER(SEARCH(immigration,C394)))&gt;0)</f>
        <v>0</v>
      </c>
      <c r="T394" s="39" cm="1">
        <f t="array" ref="T394">INT(SUMPRODUCT(--ISNUMBER(SEARCH(econineq,C395)))&gt;0)</f>
        <v>0</v>
      </c>
      <c r="U394" s="39" cm="1">
        <f t="array" ref="U394">INT(SUMPRODUCT(--ISNUMBER(SEARCH(climate,C394)))&gt;0)</f>
        <v>1</v>
      </c>
      <c r="V394" s="39" cm="1">
        <f t="array" ref="V394">INT(SUMPRODUCT(--ISNUMBER(SEARCH(abortion,C394)))&gt;0)</f>
        <v>0</v>
      </c>
      <c r="W394" s="39" cm="1">
        <f t="array" ref="W394">INT(SUMPRODUCT(--ISNUMBER(SEARCH(trump,C394)))&gt;0)</f>
        <v>0</v>
      </c>
      <c r="X394" s="39" cm="1">
        <f t="array" ref="X394">INT(SUMPRODUCT(--ISNUMBER(SEARCH(voting,C394)))&gt;0)</f>
        <v>0</v>
      </c>
      <c r="Y394" s="39" cm="1">
        <f t="array" ref="Y394">INT(SUMPRODUCT(--ISNUMBER(SEARCH(democrattrigger,C394)))&gt;0)</f>
        <v>0</v>
      </c>
      <c r="Z394" s="39" cm="1">
        <f t="array" ref="Z394">INT(SUMPRODUCT(--ISNUMBER(SEARCH(bipartisan,C394)))&gt;0)</f>
        <v>0</v>
      </c>
      <c r="AA394" s="39">
        <f t="shared" si="6"/>
        <v>0</v>
      </c>
      <c r="AB394" s="39"/>
      <c r="AC394" s="44" t="s">
        <v>223</v>
      </c>
      <c r="AD394" s="45" t="s">
        <v>223</v>
      </c>
    </row>
    <row r="395" spans="1:30" x14ac:dyDescent="0.25">
      <c r="K395" s="21">
        <f t="shared" ref="K395:AD395" si="7">SUM(K2:K394)</f>
        <v>40</v>
      </c>
      <c r="L395" s="21">
        <f t="shared" si="7"/>
        <v>110</v>
      </c>
      <c r="M395" s="21">
        <f t="shared" si="7"/>
        <v>39</v>
      </c>
      <c r="N395" s="21">
        <f t="shared" si="7"/>
        <v>50</v>
      </c>
      <c r="O395" s="21">
        <f t="shared" si="7"/>
        <v>0</v>
      </c>
      <c r="P395" s="21">
        <f t="shared" si="7"/>
        <v>7</v>
      </c>
      <c r="Q395" s="21">
        <f t="shared" si="7"/>
        <v>3</v>
      </c>
      <c r="R395" s="21">
        <f t="shared" si="7"/>
        <v>7</v>
      </c>
      <c r="S395" s="21">
        <f t="shared" si="7"/>
        <v>2</v>
      </c>
      <c r="T395" s="21">
        <f t="shared" si="7"/>
        <v>6</v>
      </c>
      <c r="U395" s="21">
        <f t="shared" si="7"/>
        <v>17</v>
      </c>
      <c r="V395" s="21">
        <f t="shared" si="7"/>
        <v>7</v>
      </c>
      <c r="W395" s="21">
        <f t="shared" si="7"/>
        <v>54</v>
      </c>
      <c r="X395" s="21">
        <f t="shared" si="7"/>
        <v>190</v>
      </c>
      <c r="Y395" s="21">
        <f t="shared" si="7"/>
        <v>160</v>
      </c>
      <c r="Z395" s="21">
        <f t="shared" si="7"/>
        <v>15</v>
      </c>
      <c r="AA395" s="21">
        <f t="shared" si="7"/>
        <v>59</v>
      </c>
      <c r="AB395" s="21">
        <f t="shared" si="7"/>
        <v>0</v>
      </c>
      <c r="AC395" s="21">
        <f t="shared" si="7"/>
        <v>107</v>
      </c>
      <c r="AD395" s="21">
        <f t="shared" si="7"/>
        <v>89</v>
      </c>
    </row>
  </sheetData>
  <conditionalFormatting sqref="J2:J394">
    <cfRule type="cellIs" dxfId="16" priority="1" operator="equal">
      <formula>"D"</formula>
    </cfRule>
  </conditionalFormatting>
  <hyperlinks>
    <hyperlink ref="B2" r:id="rId1" xr:uid="{47D11C0C-1466-4058-AE81-78F161E067A1}"/>
    <hyperlink ref="B3" r:id="rId2" xr:uid="{44AF3FBF-06F6-48BF-95C1-851B3ED48BDB}"/>
    <hyperlink ref="B4" r:id="rId3" xr:uid="{E8FEF063-A1A9-42E5-9822-E81DDD7EB285}"/>
    <hyperlink ref="B5" r:id="rId4" xr:uid="{EF1E2B69-40C7-4F38-88FA-AEB00DE70BE7}"/>
    <hyperlink ref="B6" r:id="rId5" xr:uid="{42A11FBB-A289-41F2-AE2A-67ADE589B182}"/>
    <hyperlink ref="B7" r:id="rId6" xr:uid="{DA4E1BAE-CEEB-4154-ABB6-FFE159EC4F4B}"/>
    <hyperlink ref="B8" r:id="rId7" xr:uid="{79C2FB06-4005-45E5-9A6F-33FBC70C64AC}"/>
    <hyperlink ref="B9" r:id="rId8" xr:uid="{A62EB0F2-1955-4D37-AFD8-2B37A3A64318}"/>
    <hyperlink ref="B10" r:id="rId9" xr:uid="{A1A03755-EA1B-4441-B389-527F7D2EF914}"/>
    <hyperlink ref="B11" r:id="rId10" xr:uid="{D2C870F1-1A60-41E9-A914-EA1FD194FFC8}"/>
    <hyperlink ref="B12" r:id="rId11" xr:uid="{668D08D8-87E7-4987-B00E-CBD51161A091}"/>
    <hyperlink ref="B13" r:id="rId12" xr:uid="{7D642316-27AA-451E-921A-3D14F08E4742}"/>
    <hyperlink ref="B14" r:id="rId13" xr:uid="{C66C43AA-D847-4A9D-8812-BAC55DCB7B64}"/>
    <hyperlink ref="B15" r:id="rId14" xr:uid="{9416C728-95A3-41EC-971C-3AC52C33DD74}"/>
    <hyperlink ref="B16" r:id="rId15" xr:uid="{88EBB6E3-C0E2-4F32-9574-0763457C03B1}"/>
    <hyperlink ref="B17" r:id="rId16" xr:uid="{2AD89F28-F538-4D76-9288-CEC0FA0BBF18}"/>
    <hyperlink ref="B18" r:id="rId17" xr:uid="{A39D5CF7-E112-482B-9BD8-4D490E6CDAFE}"/>
    <hyperlink ref="B19" r:id="rId18" xr:uid="{FB3D19A4-07B7-4253-A81B-DA21DF6DC94E}"/>
    <hyperlink ref="B20" r:id="rId19" xr:uid="{7678ACEA-06E0-46B8-B5CE-0267108B3262}"/>
    <hyperlink ref="B21" r:id="rId20" xr:uid="{AB0A3E07-A2ED-4D5E-8249-BCB033F1A2CD}"/>
    <hyperlink ref="B22" r:id="rId21" xr:uid="{6987F231-8359-43A0-BD9D-2396DF3A2D82}"/>
    <hyperlink ref="B23" r:id="rId22" xr:uid="{EBC4C248-7C57-45FC-9827-EB5B57B026F7}"/>
    <hyperlink ref="B24" r:id="rId23" xr:uid="{A6A6FC75-E69E-4C46-875D-3D84D5CE3092}"/>
    <hyperlink ref="B25" r:id="rId24" xr:uid="{FF9A7A62-10F8-4A71-A23B-1E672D6E04F4}"/>
    <hyperlink ref="B26" r:id="rId25" xr:uid="{FEFA9F07-8C6F-450B-B67E-64160279BBF3}"/>
    <hyperlink ref="B27" r:id="rId26" xr:uid="{FB4B68ED-97B7-4C18-A8D0-CD0B50EB9836}"/>
    <hyperlink ref="B28" r:id="rId27" xr:uid="{DC40B5EE-8AF4-4937-A751-946955FCA0EB}"/>
    <hyperlink ref="B29" r:id="rId28" xr:uid="{DCF87F8B-57E7-45E4-8BC3-C27B40059B0D}"/>
    <hyperlink ref="B30" r:id="rId29" xr:uid="{2B29A1EF-CC24-492C-9F88-DFCE7124007F}"/>
    <hyperlink ref="B31" r:id="rId30" xr:uid="{52A518C0-1A83-4CFF-975C-478246568360}"/>
    <hyperlink ref="B32" r:id="rId31" xr:uid="{BC80A754-5F4F-4F59-A32F-E81071B5DEF2}"/>
    <hyperlink ref="B33" r:id="rId32" xr:uid="{515ADE6B-FFD9-413F-86B6-B8BB1EEBF08B}"/>
    <hyperlink ref="B34" r:id="rId33" xr:uid="{781307DE-D65C-4578-94F6-74705E0A4BE4}"/>
    <hyperlink ref="B35" r:id="rId34" xr:uid="{754771F3-7CCE-452A-9A43-1372E3158ADC}"/>
    <hyperlink ref="B36" r:id="rId35" xr:uid="{5064B55B-17C9-4DB4-9F99-802F67D9A90E}"/>
    <hyperlink ref="B37" r:id="rId36" xr:uid="{8812A6C0-320F-477F-9A33-956F6BEC25CD}"/>
    <hyperlink ref="B38" r:id="rId37" xr:uid="{8537EFF6-7F06-4E9D-BE2F-AE61C1BC54A0}"/>
    <hyperlink ref="B39" r:id="rId38" xr:uid="{4CEC8F29-A29A-410F-9DC2-D3EE1661EB70}"/>
    <hyperlink ref="B40" r:id="rId39" xr:uid="{3C171646-EE84-4628-B8DE-F8F0E99FC7A5}"/>
    <hyperlink ref="B41" r:id="rId40" xr:uid="{89D5A686-D889-42C8-812A-54730D21B639}"/>
    <hyperlink ref="B42" r:id="rId41" xr:uid="{78451A3F-12D5-4662-A42D-783A8B4FF61C}"/>
    <hyperlink ref="B43" r:id="rId42" xr:uid="{55FFB705-B3C3-443E-8325-2222104170D3}"/>
    <hyperlink ref="B44" r:id="rId43" xr:uid="{23C92A4F-36DB-4FA1-A23D-9E7744C24F98}"/>
    <hyperlink ref="B45" r:id="rId44" xr:uid="{08BA15FD-F10B-40F7-A550-A3C8B02DAA76}"/>
    <hyperlink ref="B46" r:id="rId45" xr:uid="{6F46BE09-6086-4CF2-A5A4-156623E1724C}"/>
    <hyperlink ref="B47" r:id="rId46" xr:uid="{732409D1-EC8C-4B84-9499-FDFEB188036C}"/>
    <hyperlink ref="B48" r:id="rId47" xr:uid="{F8A0F6D7-BFC0-41A9-B122-6D4AAD538813}"/>
    <hyperlink ref="B49" r:id="rId48" xr:uid="{031A4B1F-AFFA-4BBE-A90E-47F90EAA869A}"/>
    <hyperlink ref="B50" r:id="rId49" xr:uid="{8CCD12E6-8776-45E7-A9BB-678803687C96}"/>
    <hyperlink ref="B51" r:id="rId50" xr:uid="{BE99F9E3-BB3C-4F2C-89B3-523D9F018F1B}"/>
    <hyperlink ref="B52" r:id="rId51" xr:uid="{89A6CAD4-35D2-42A3-A7EF-E71E5F083C25}"/>
    <hyperlink ref="B53" r:id="rId52" xr:uid="{7CEC2767-5D80-419C-BDFF-C5B7D0E62D53}"/>
    <hyperlink ref="B54" r:id="rId53" xr:uid="{9EBE5DC5-33CC-4B76-A267-E81BDC4BF883}"/>
    <hyperlink ref="B55" r:id="rId54" xr:uid="{CCE9DFF4-D127-4787-B953-4A0651C8AC16}"/>
    <hyperlink ref="B56" r:id="rId55" xr:uid="{6336C11E-553F-409F-B9B1-6BF420F2EBDD}"/>
    <hyperlink ref="B57" r:id="rId56" xr:uid="{0B127DF9-7DF8-4033-9A84-AFDDAA63CFA5}"/>
    <hyperlink ref="B58" r:id="rId57" xr:uid="{BDAFF7FA-E737-4F59-9CE6-FEF27B439DD5}"/>
    <hyperlink ref="B59" r:id="rId58" xr:uid="{61075E3C-A376-4065-903E-D26962381640}"/>
    <hyperlink ref="B60" r:id="rId59" xr:uid="{CE6D59CE-3D91-4576-B86C-D4D4CB87585B}"/>
    <hyperlink ref="B61" r:id="rId60" xr:uid="{6E9D62D2-785F-4050-8E71-D5DCB8E85D81}"/>
    <hyperlink ref="B62" r:id="rId61" xr:uid="{61B31B5B-C4FA-48D6-A26F-A14E319494D2}"/>
    <hyperlink ref="B63" r:id="rId62" xr:uid="{3CE0200B-659B-4786-BA84-D4DFD5C1DF4E}"/>
    <hyperlink ref="B64" r:id="rId63" xr:uid="{DA6ADEEC-7EBF-41C5-9178-B9D9E2764187}"/>
    <hyperlink ref="B65" r:id="rId64" xr:uid="{AE08243D-527F-4EEE-ABE1-DCE3F6C03DAA}"/>
    <hyperlink ref="B66" r:id="rId65" xr:uid="{F0AB764B-A5EB-4C52-9AE6-399C70117BD8}"/>
    <hyperlink ref="B67" r:id="rId66" xr:uid="{63956B36-EC7B-4AC2-BE1E-D8F2CE607AD9}"/>
    <hyperlink ref="B68" r:id="rId67" xr:uid="{31CD27AF-CBFC-44D7-9A36-8C63CD51568C}"/>
    <hyperlink ref="B69" r:id="rId68" xr:uid="{F74C60E3-EDC0-472B-851C-C458D610DBE1}"/>
    <hyperlink ref="B70" r:id="rId69" xr:uid="{C80FCBE5-DEBE-441F-A2D1-400158069896}"/>
    <hyperlink ref="B71" r:id="rId70" xr:uid="{9166102A-F649-4E8B-9CEB-1CCA64AA6D0E}"/>
    <hyperlink ref="B72" r:id="rId71" xr:uid="{F035C621-6A22-4027-9681-347503A85EEE}"/>
    <hyperlink ref="B73" r:id="rId72" xr:uid="{6A618469-1278-4AF7-BED3-61C43C847898}"/>
    <hyperlink ref="B74" r:id="rId73" xr:uid="{F77ADA88-9496-401C-B1D2-987DF8075A5D}"/>
    <hyperlink ref="B75" r:id="rId74" xr:uid="{271A24D3-1275-4865-A325-787F93D4E44C}"/>
    <hyperlink ref="B76" r:id="rId75" xr:uid="{074D734B-F641-4006-A0D8-84C6DAD65945}"/>
    <hyperlink ref="B77" r:id="rId76" xr:uid="{9BE58E7E-87DB-4973-B145-8BF5BC71EA0C}"/>
    <hyperlink ref="B78" r:id="rId77" xr:uid="{CABBF549-B882-494F-9278-AD07EAB46BEE}"/>
    <hyperlink ref="B79" r:id="rId78" xr:uid="{A6AE9CE2-F62E-4A24-912F-D6D2C456E958}"/>
    <hyperlink ref="B80" r:id="rId79" xr:uid="{BDAFA719-47EE-41EE-94E3-692EEEA43B14}"/>
    <hyperlink ref="B81" r:id="rId80" xr:uid="{978B4833-323B-47F0-BF14-CAB71113D52E}"/>
    <hyperlink ref="B82" r:id="rId81" xr:uid="{AFAE9583-E85E-4B56-89F7-20CA60770399}"/>
    <hyperlink ref="B83" r:id="rId82" xr:uid="{81B5ECEB-3842-4969-BFAF-12F48EDCB1A1}"/>
    <hyperlink ref="B84" r:id="rId83" xr:uid="{DFD6856A-9775-4361-86F4-D786D6091F8F}"/>
    <hyperlink ref="B85" r:id="rId84" xr:uid="{33CE0B3B-60DC-4361-A5D8-77E1E67A1F7B}"/>
    <hyperlink ref="B86" r:id="rId85" xr:uid="{A1BD1768-7B2E-4E09-A6B3-85782F689EFD}"/>
    <hyperlink ref="B87" r:id="rId86" xr:uid="{FE427F1F-9710-46C8-B109-E5981C737B5E}"/>
    <hyperlink ref="B88" r:id="rId87" xr:uid="{E7362468-EC65-4FF9-A59F-A6D81A1AF0D2}"/>
    <hyperlink ref="B89" r:id="rId88" xr:uid="{744C5494-69BC-415E-B172-13590151613F}"/>
    <hyperlink ref="B90" r:id="rId89" xr:uid="{3EEB9025-4596-4C2D-826E-802E5A5F479A}"/>
    <hyperlink ref="B91" r:id="rId90" xr:uid="{8D0B23C6-061E-4C5F-8C59-865EC606836F}"/>
    <hyperlink ref="B92" r:id="rId91" xr:uid="{96F019F9-3032-484E-88C7-DAE7ED2CE964}"/>
    <hyperlink ref="B93" r:id="rId92" xr:uid="{72A923FE-53E8-42AD-B94E-6CDCC89F970E}"/>
    <hyperlink ref="B94" r:id="rId93" xr:uid="{E19A51E9-0BED-4361-A25F-7EADE37CF2BF}"/>
    <hyperlink ref="B95" r:id="rId94" xr:uid="{24B07A8D-2812-4542-8E0A-71710B44F090}"/>
    <hyperlink ref="B96" r:id="rId95" xr:uid="{3184425A-0BE7-4C1B-A8F5-8E7D6B74D297}"/>
    <hyperlink ref="B97" r:id="rId96" xr:uid="{5A4CA7FF-CEC5-41E2-8D68-4AF65ED1F60F}"/>
    <hyperlink ref="B98" r:id="rId97" xr:uid="{ACF9884E-A68D-47C8-9E69-C46CFA9B1B21}"/>
    <hyperlink ref="B99" r:id="rId98" xr:uid="{73BC615B-1C1C-44C9-BDF8-A968D4C707A0}"/>
    <hyperlink ref="B100" r:id="rId99" xr:uid="{9375EB14-9388-48E3-AACB-E861E6AA6AC0}"/>
    <hyperlink ref="B101" r:id="rId100" xr:uid="{419D7540-A102-436F-A301-0B783EC6BD45}"/>
    <hyperlink ref="B102" r:id="rId101" xr:uid="{56B91419-9E3C-4001-AB03-72900D6A5E21}"/>
    <hyperlink ref="B103" r:id="rId102" xr:uid="{98E42F6C-83D6-4798-8101-ABBF0329D7E8}"/>
    <hyperlink ref="B104" r:id="rId103" xr:uid="{05A2DC7A-941C-4F33-8310-A1921BDB7479}"/>
    <hyperlink ref="B105" r:id="rId104" xr:uid="{B4EA944C-7B91-4C11-94C3-A9EAEA285A82}"/>
    <hyperlink ref="B106" r:id="rId105" xr:uid="{527AE4C1-8604-42E6-AA26-608E8A011D5E}"/>
    <hyperlink ref="B107" r:id="rId106" xr:uid="{8B3B4246-697B-4E6A-91B7-F211F248BB6F}"/>
    <hyperlink ref="B108" r:id="rId107" xr:uid="{29004CB1-0018-4839-B9E8-BDC1130A60C7}"/>
    <hyperlink ref="B109" r:id="rId108" xr:uid="{159D9B5B-4D98-41BA-B836-32CDDA1DF599}"/>
    <hyperlink ref="B110" r:id="rId109" xr:uid="{F015FB51-A399-492C-B51E-EB6AF50A3940}"/>
    <hyperlink ref="B111" r:id="rId110" xr:uid="{3785867D-F244-4114-8A57-534C72C17DB7}"/>
    <hyperlink ref="B112" r:id="rId111" xr:uid="{AD1C8553-AECF-4320-94E3-4E72E9D13D2F}"/>
    <hyperlink ref="B113" r:id="rId112" xr:uid="{1A215FB8-6787-4F6D-9D90-D039396E37AF}"/>
    <hyperlink ref="B114" r:id="rId113" xr:uid="{B3432DA4-AF31-412D-9AE5-6472C913F638}"/>
    <hyperlink ref="B115" r:id="rId114" xr:uid="{5831363D-F161-42CB-8CE9-A07DF1A6F1B4}"/>
    <hyperlink ref="B116" r:id="rId115" xr:uid="{9EECC3E5-584B-432C-953C-F0B300489F21}"/>
    <hyperlink ref="B117" r:id="rId116" xr:uid="{AE40BDBF-7AA0-4624-AC2E-EB48AA777D11}"/>
    <hyperlink ref="B118" r:id="rId117" xr:uid="{669C44A7-81F9-46F7-8F13-B79692F04350}"/>
    <hyperlink ref="B119" r:id="rId118" xr:uid="{99A0511F-0A36-4AC1-8327-EF078F6014EE}"/>
    <hyperlink ref="B120" r:id="rId119" xr:uid="{B77D0D32-6DAC-43F8-A7A1-B69F23F97AC2}"/>
    <hyperlink ref="B121" r:id="rId120" xr:uid="{BA6C39F4-4686-4450-959D-473F40552082}"/>
    <hyperlink ref="B122" r:id="rId121" xr:uid="{3384C69E-C83B-4724-A340-EABCB32429D9}"/>
    <hyperlink ref="B123" r:id="rId122" xr:uid="{041B9B26-5173-4344-88A5-BA7F3F272CDC}"/>
    <hyperlink ref="B124" r:id="rId123" xr:uid="{C3851A9E-82EC-44A2-9914-6557194004A2}"/>
    <hyperlink ref="B125" r:id="rId124" xr:uid="{0990F8F8-26B2-45EE-99CC-D68DA7DD908F}"/>
    <hyperlink ref="B126" r:id="rId125" xr:uid="{E2B3F24C-2342-4BD9-8518-9C3F8467B56D}"/>
    <hyperlink ref="B127" r:id="rId126" xr:uid="{1FEFB167-5761-4DD9-A5ED-021CFC6C826F}"/>
    <hyperlink ref="B128" r:id="rId127" xr:uid="{923976DD-954C-48B4-BBFD-C8DCBA8F0786}"/>
    <hyperlink ref="B129" r:id="rId128" xr:uid="{1C13DC60-78DA-40B7-BEF0-6D8A4217AB53}"/>
    <hyperlink ref="B130" r:id="rId129" xr:uid="{85D5C2D4-4C65-4FE1-82E2-0ACEE566B24C}"/>
    <hyperlink ref="B131" r:id="rId130" xr:uid="{497195CB-9E93-441F-8944-609B7C2B598F}"/>
    <hyperlink ref="B132" r:id="rId131" xr:uid="{E671A495-54A2-4FD6-B190-A24596821EBE}"/>
    <hyperlink ref="B133" r:id="rId132" xr:uid="{A231136F-AB95-48F1-A1FB-FFFD2F5E38B8}"/>
    <hyperlink ref="B134" r:id="rId133" xr:uid="{EE112312-4482-4388-907B-EAB228F4ADA5}"/>
    <hyperlink ref="B135" r:id="rId134" xr:uid="{78B8C671-F7F1-47E3-ABAA-EE6037544998}"/>
    <hyperlink ref="B136" r:id="rId135" xr:uid="{412525F4-0E39-4D23-AC34-C687C7B50247}"/>
    <hyperlink ref="B137" r:id="rId136" xr:uid="{307B0B8A-FB0E-4E5E-9BB2-82ACBDE23275}"/>
    <hyperlink ref="B138" r:id="rId137" xr:uid="{8EC604B7-BD1F-4481-B32B-DDFD805FF5FC}"/>
    <hyperlink ref="B139" r:id="rId138" xr:uid="{F0E5797B-D523-4527-8511-7C40ED5C9255}"/>
    <hyperlink ref="B140" r:id="rId139" xr:uid="{172B3BAD-1127-4A61-9DDA-F0DD4F63644B}"/>
    <hyperlink ref="B141" r:id="rId140" xr:uid="{30F83F7A-800E-49D9-9DC6-362689F11726}"/>
    <hyperlink ref="B142" r:id="rId141" xr:uid="{DD89721D-98A8-42B7-ABA0-6DD8AB07F53D}"/>
    <hyperlink ref="B143" r:id="rId142" xr:uid="{BB78C73A-CCB5-40E0-B6B1-F5A92F399098}"/>
    <hyperlink ref="B144" r:id="rId143" xr:uid="{4EB0C1D8-2377-471B-A5FA-CAEF37C1227E}"/>
    <hyperlink ref="B145" r:id="rId144" xr:uid="{8228BBCD-285A-488B-809E-A63BB88BC8EE}"/>
    <hyperlink ref="B146" r:id="rId145" xr:uid="{0AE16D09-6F52-4BF7-8502-30244667FBD0}"/>
    <hyperlink ref="B147" r:id="rId146" xr:uid="{037D5C9D-BD4F-4472-955D-6FB1312E9B70}"/>
    <hyperlink ref="B148" r:id="rId147" xr:uid="{F0CC0437-AC6D-472F-930B-1A0D5E5E6A35}"/>
    <hyperlink ref="B149" r:id="rId148" xr:uid="{86BD5043-27A7-4F87-B031-78EAFE9C597F}"/>
    <hyperlink ref="B150" r:id="rId149" xr:uid="{E64A3E91-5E9D-410B-9B75-2557A241DE48}"/>
    <hyperlink ref="B151" r:id="rId150" xr:uid="{A9B7B76A-A3C0-4AEC-A317-5E9343A5067A}"/>
    <hyperlink ref="B152" r:id="rId151" xr:uid="{78A36AC3-7268-4CB3-93BE-BDD068636116}"/>
    <hyperlink ref="B153" r:id="rId152" xr:uid="{8B442636-B9A5-4DAB-9B2E-36D6959C1D7B}"/>
    <hyperlink ref="B154" r:id="rId153" xr:uid="{D79A0572-8078-4866-8AFE-68311ACBEB2E}"/>
    <hyperlink ref="B155" r:id="rId154" xr:uid="{CD1F72A3-E557-40CA-A9FD-D83873DA14C2}"/>
    <hyperlink ref="B156" r:id="rId155" xr:uid="{A5A2C9E1-6374-41ED-ABCB-5CE94EE81086}"/>
    <hyperlink ref="B157" r:id="rId156" xr:uid="{C2C56762-D4E2-4511-88F9-2C3C7E605E5E}"/>
    <hyperlink ref="B158" r:id="rId157" xr:uid="{893EF5D3-E8A2-479E-BBAA-A00F7311A233}"/>
    <hyperlink ref="B159" r:id="rId158" xr:uid="{D9D23226-4383-4986-A073-66BDE117C876}"/>
    <hyperlink ref="B160" r:id="rId159" xr:uid="{0AD27274-BC86-424D-9D28-E6B09305A447}"/>
    <hyperlink ref="B161" r:id="rId160" xr:uid="{39E97D91-42E2-4461-8CDA-F79D5A624590}"/>
    <hyperlink ref="B162" r:id="rId161" xr:uid="{1BC35B36-1BE7-4E3D-A3EF-FCCB6B4B7C7F}"/>
    <hyperlink ref="B163" r:id="rId162" xr:uid="{06BCE86B-EC9E-4F25-B4F5-6A976BBF2E19}"/>
    <hyperlink ref="B164" r:id="rId163" xr:uid="{7A95890E-8496-4E00-B6A5-F0D38864656C}"/>
    <hyperlink ref="B165" r:id="rId164" xr:uid="{8BD9C0CF-7153-4FCB-A80B-6DF1B650114B}"/>
    <hyperlink ref="B166" r:id="rId165" xr:uid="{FF992527-6CBE-4A94-822D-4A182AE9A172}"/>
    <hyperlink ref="B167" r:id="rId166" xr:uid="{65AE2217-0547-406B-9CB1-BE2C31A21621}"/>
    <hyperlink ref="B168" r:id="rId167" xr:uid="{181F8344-6150-4A7A-84DB-84E79C2A6925}"/>
    <hyperlink ref="B169" r:id="rId168" xr:uid="{7E1AAA70-85B5-428C-B103-73A68BD010BE}"/>
    <hyperlink ref="B170" r:id="rId169" xr:uid="{FAEA8189-6B8F-4B1F-87EB-979BE50DE98C}"/>
    <hyperlink ref="B171" r:id="rId170" xr:uid="{4615BE3E-8C34-4C00-AF13-03FCAE815B61}"/>
    <hyperlink ref="B172" r:id="rId171" xr:uid="{78CE0FBE-6CE5-4B9A-9250-DB320FC71BB8}"/>
    <hyperlink ref="B173" r:id="rId172" xr:uid="{E41A2505-4D18-4DD9-AD7F-5BF247E540B8}"/>
    <hyperlink ref="B174" r:id="rId173" xr:uid="{4223E620-09B7-4B66-8016-F0B63083B3E2}"/>
    <hyperlink ref="B175" r:id="rId174" xr:uid="{AECD8CDA-79BA-4D79-9C9C-BA835E401BCC}"/>
    <hyperlink ref="B176" r:id="rId175" xr:uid="{F45F8DC3-4F24-4892-B507-575F4E38748F}"/>
    <hyperlink ref="B177" r:id="rId176" xr:uid="{82A47A48-99D2-4ED8-AE72-EB430F38F555}"/>
    <hyperlink ref="B178" r:id="rId177" xr:uid="{6FAF93AD-C782-42B0-BAA6-F06A5EB6FC95}"/>
    <hyperlink ref="B179" r:id="rId178" xr:uid="{DEA92ADE-84E4-4AC6-A5E4-131DE2720414}"/>
    <hyperlink ref="B180" r:id="rId179" xr:uid="{C7DB09E7-00AA-4503-8F7B-A37991591DEC}"/>
    <hyperlink ref="B181" r:id="rId180" xr:uid="{3C70885C-5E6C-4F8F-BAFE-310926F44592}"/>
    <hyperlink ref="B182" r:id="rId181" xr:uid="{C564AF46-B1A3-4465-8177-07A86DF9626D}"/>
    <hyperlink ref="B183" r:id="rId182" xr:uid="{9B5CF119-73E0-4FC5-AC1A-277F2C6272E4}"/>
    <hyperlink ref="B184" r:id="rId183" xr:uid="{BAA227A7-35AE-4CB2-AA99-A60D1FC5A0A2}"/>
    <hyperlink ref="B185" r:id="rId184" xr:uid="{A5DCC22C-FDEE-4498-845D-46EC9DE70401}"/>
    <hyperlink ref="B186" r:id="rId185" xr:uid="{F9356ABF-59B3-4F95-A81A-62E4D701914A}"/>
    <hyperlink ref="B187" r:id="rId186" xr:uid="{716DE0C1-FF48-47DD-8F43-17CC6C5DE198}"/>
    <hyperlink ref="B188" r:id="rId187" xr:uid="{933336D6-CCF4-4FB1-AD5B-66AEE37E809B}"/>
    <hyperlink ref="B189" r:id="rId188" xr:uid="{7799F26E-0AE7-4DE6-8566-315782A13858}"/>
    <hyperlink ref="B190" r:id="rId189" xr:uid="{B5EE9C62-F129-4962-966B-6F4FC21CF58E}"/>
    <hyperlink ref="B191" r:id="rId190" xr:uid="{74FD347C-F75A-4855-B298-D83979935B2E}"/>
    <hyperlink ref="B192" r:id="rId191" xr:uid="{AA4BDE9C-81B3-45F9-9985-ABDBFCE2503E}"/>
    <hyperlink ref="B193" r:id="rId192" xr:uid="{3991B21E-5711-433B-8D67-376658611F96}"/>
    <hyperlink ref="B194" r:id="rId193" xr:uid="{07125B9D-354A-445D-A6D9-1D699C7B692C}"/>
    <hyperlink ref="B195" r:id="rId194" xr:uid="{0502A93C-05D5-43D5-9B2E-75BB9A8301B4}"/>
    <hyperlink ref="B196" r:id="rId195" xr:uid="{01A8C657-EAF3-48C8-A5EC-DFE813A532FE}"/>
    <hyperlink ref="B197" r:id="rId196" xr:uid="{D68A8E98-B070-41E5-80CC-6616770B1AC1}"/>
    <hyperlink ref="B198" r:id="rId197" xr:uid="{08D5158D-BB36-4531-BA8E-8EC9F202EB84}"/>
    <hyperlink ref="B199" r:id="rId198" xr:uid="{8E23F8EC-61A6-4756-99B5-35A0EE87C8AE}"/>
    <hyperlink ref="B200" r:id="rId199" xr:uid="{32B0C387-6F4E-4FF3-8539-DA6C812E8E3A}"/>
    <hyperlink ref="B201" r:id="rId200" xr:uid="{AA237A3D-FE2B-4E3D-A6A5-1E47D33243D8}"/>
    <hyperlink ref="B202" r:id="rId201" xr:uid="{43C448D4-3D07-4C7B-8C99-B83AF8D80AC1}"/>
    <hyperlink ref="B203" r:id="rId202" xr:uid="{0A04E02E-ED51-499A-89E3-3BCDCD514BF5}"/>
    <hyperlink ref="B204" r:id="rId203" xr:uid="{27F8EBE8-771B-4A32-8ACB-A9E67D14B6D5}"/>
    <hyperlink ref="B205" r:id="rId204" xr:uid="{25055134-14EC-4F68-A7D2-576B5839E3DE}"/>
    <hyperlink ref="B206" r:id="rId205" xr:uid="{C7C39805-3F3F-44BA-89EF-2EA7119F3764}"/>
    <hyperlink ref="B207" r:id="rId206" xr:uid="{0FF44BC2-D976-4C7F-8233-EFED4AD7D80C}"/>
    <hyperlink ref="B208" r:id="rId207" xr:uid="{79021791-B1A3-4AA6-BF03-BABE5C76C8B3}"/>
    <hyperlink ref="B209" r:id="rId208" xr:uid="{D1A2F864-837D-495B-9EFF-53994840B39E}"/>
    <hyperlink ref="B210" r:id="rId209" xr:uid="{7633BB45-8212-469F-83A6-E4D8D170BB44}"/>
    <hyperlink ref="B211" r:id="rId210" xr:uid="{5E1F4CD7-08E1-4157-9254-CDA267AEAF8E}"/>
    <hyperlink ref="B212" r:id="rId211" xr:uid="{246F4340-F030-4733-9F54-1CA2A2890A64}"/>
    <hyperlink ref="B213" r:id="rId212" xr:uid="{A7207F84-F197-47AC-9CFB-0FBD901EAF08}"/>
    <hyperlink ref="B214" r:id="rId213" xr:uid="{10E705A6-A6B9-449B-A76E-EC5D7553FFD1}"/>
    <hyperlink ref="B215" r:id="rId214" xr:uid="{0D415CFF-5FA8-4DDD-AB32-F1109461C28C}"/>
    <hyperlink ref="B216" r:id="rId215" xr:uid="{BA32D488-3434-41AB-981F-FDA0EC26131C}"/>
    <hyperlink ref="B217" r:id="rId216" xr:uid="{0F0BA649-A459-4248-B1C3-92E9EEC1EC5D}"/>
    <hyperlink ref="B218" r:id="rId217" xr:uid="{713E3085-3828-40A7-9E90-418C8275B931}"/>
    <hyperlink ref="B219" r:id="rId218" xr:uid="{EFE6638B-2764-4BB3-82D3-4B1CAAFC47F2}"/>
    <hyperlink ref="B220" r:id="rId219" xr:uid="{D87D94C4-FFDE-4B41-96DE-66AEDA00B005}"/>
    <hyperlink ref="B221" r:id="rId220" xr:uid="{5FC866A2-2D30-47C5-B68D-A4CA20929EFC}"/>
    <hyperlink ref="B222" r:id="rId221" xr:uid="{10F8B551-009F-4515-A173-9979A1384061}"/>
    <hyperlink ref="B223" r:id="rId222" xr:uid="{A377F67E-3790-4EC8-92EE-9AC369827E4E}"/>
    <hyperlink ref="B224" r:id="rId223" xr:uid="{75C673A6-B2EF-4E93-B908-6B7A95957005}"/>
    <hyperlink ref="B225" r:id="rId224" xr:uid="{D736F201-F0DC-4349-BB1E-7FFB7857D41B}"/>
    <hyperlink ref="B226" r:id="rId225" xr:uid="{B5AF73F2-CDF2-4197-A8F7-863DF0506F06}"/>
    <hyperlink ref="B227" r:id="rId226" xr:uid="{160959AC-C080-42C7-96CF-EACEE8E7D641}"/>
    <hyperlink ref="B228" r:id="rId227" xr:uid="{25A7FF57-C230-4150-A92E-62695203A53A}"/>
    <hyperlink ref="B229" r:id="rId228" xr:uid="{C8B32F48-B5B5-439B-9D8A-6E409BAB17F0}"/>
    <hyperlink ref="B230" r:id="rId229" xr:uid="{10EB9933-7342-4AE9-9769-BD0E5D2D3A9F}"/>
    <hyperlink ref="B231" r:id="rId230" xr:uid="{42398AAC-B27D-4569-8300-9A2D92E56764}"/>
    <hyperlink ref="B232" r:id="rId231" xr:uid="{74BFCB8D-B7BC-447B-915F-5173DAC7DC4F}"/>
    <hyperlink ref="B233" r:id="rId232" xr:uid="{DFD4A6FC-F6EE-412E-A127-07E93C9636F6}"/>
    <hyperlink ref="B234" r:id="rId233" xr:uid="{58C4653C-DDDD-4BFE-8253-1771E10588B3}"/>
    <hyperlink ref="B235" r:id="rId234" xr:uid="{D2D1DB3A-BE91-46B1-871A-F24F5081986F}"/>
    <hyperlink ref="B236" r:id="rId235" xr:uid="{C349C4A7-73D9-42AB-9ECE-58FEE25A3335}"/>
    <hyperlink ref="B237" r:id="rId236" xr:uid="{933B85E2-90F4-40D4-97B0-63BF46DFC829}"/>
    <hyperlink ref="B238" r:id="rId237" xr:uid="{C89E017B-6C4F-4A72-9B93-C20441AC6B5E}"/>
    <hyperlink ref="B239" r:id="rId238" xr:uid="{B31CC2F3-06BC-4B2E-B05A-A5AC23CEABB2}"/>
    <hyperlink ref="B240" r:id="rId239" xr:uid="{74BB6E5B-CD96-428E-A620-90F39CDD575B}"/>
    <hyperlink ref="B241" r:id="rId240" xr:uid="{EE1C9C63-6837-43AD-A270-3AFAA8B91D1E}"/>
    <hyperlink ref="B242" r:id="rId241" xr:uid="{9C47FA4B-456A-4DFF-88DE-187EBF14F279}"/>
    <hyperlink ref="B243" r:id="rId242" xr:uid="{8AB0FA45-A060-4C6F-A901-A7CF4D55F370}"/>
    <hyperlink ref="B244" r:id="rId243" xr:uid="{D235C67A-5A54-48CF-BEAA-CE78133A774C}"/>
    <hyperlink ref="B245" r:id="rId244" xr:uid="{7B02AE03-729D-4F05-90C8-0C496466682F}"/>
    <hyperlink ref="B246" r:id="rId245" xr:uid="{6E6CB719-BC46-42DF-9FE6-D3D7F37AC976}"/>
    <hyperlink ref="B247" r:id="rId246" xr:uid="{2023263A-CAF4-4B27-AE24-6B8B4DE9130F}"/>
    <hyperlink ref="B248" r:id="rId247" xr:uid="{F86BD9BF-07C5-4A29-BDE2-5684C616ECC8}"/>
    <hyperlink ref="B249" r:id="rId248" xr:uid="{F2F29C57-E2AD-4A9D-9701-872A4AC2E5E6}"/>
    <hyperlink ref="B250" r:id="rId249" xr:uid="{49350662-1FB7-4C94-9C01-54D8D80797CA}"/>
    <hyperlink ref="B251" r:id="rId250" xr:uid="{030D30A8-6ED3-41E4-A812-33F0518CFDEA}"/>
    <hyperlink ref="B252" r:id="rId251" xr:uid="{38DCF891-E26D-4787-ABF6-30148CA73CD4}"/>
    <hyperlink ref="B253" r:id="rId252" xr:uid="{81FDD45F-9311-40CC-A923-888BE8E94FC7}"/>
    <hyperlink ref="B254" r:id="rId253" xr:uid="{28362645-FA0C-4245-988B-0B2F8A286B49}"/>
    <hyperlink ref="B255" r:id="rId254" xr:uid="{0EB73B55-5B94-44A9-A749-83D5A9E7958F}"/>
    <hyperlink ref="B256" r:id="rId255" xr:uid="{6A1B181E-1D38-4E3C-ABC4-639B2000AB1F}"/>
    <hyperlink ref="B257" r:id="rId256" xr:uid="{96B83FB6-C020-4664-B8B8-2D7F29A56C91}"/>
    <hyperlink ref="B258" r:id="rId257" xr:uid="{6D0006FD-6970-48F5-9098-C60568A89BBC}"/>
    <hyperlink ref="B259" r:id="rId258" xr:uid="{26D2E5EE-1C25-4D4D-9EE4-701B6C2FAC68}"/>
    <hyperlink ref="B260" r:id="rId259" xr:uid="{BC6F3C1E-D9BE-4F5B-BB97-1D8D54677F09}"/>
    <hyperlink ref="B261" r:id="rId260" xr:uid="{A1192A14-B8F6-44AC-9E4E-3832590CF948}"/>
    <hyperlink ref="B262" r:id="rId261" xr:uid="{D4AE4A71-246C-4D67-8F91-FFF2A1A19180}"/>
    <hyperlink ref="B263" r:id="rId262" xr:uid="{BCF14CB2-BF3F-49B9-A9CB-A05A1F906B49}"/>
    <hyperlink ref="B264" r:id="rId263" xr:uid="{A4A39FB8-9083-4025-AD13-24440C34CC1B}"/>
    <hyperlink ref="B265" r:id="rId264" xr:uid="{34A140D0-D5CF-4206-97A8-A1EB04FF1CC2}"/>
    <hyperlink ref="B266" r:id="rId265" xr:uid="{8B246AE0-7583-4BED-B0DD-8096FDAF8E50}"/>
    <hyperlink ref="B267" r:id="rId266" xr:uid="{2520C0C7-D92C-42DE-B12F-541D146C147E}"/>
    <hyperlink ref="B268" r:id="rId267" xr:uid="{850C358D-7853-488D-A7B9-2F832E03E64F}"/>
    <hyperlink ref="B269" r:id="rId268" xr:uid="{0C2BF313-936E-4030-9209-1913138A1817}"/>
    <hyperlink ref="B270" r:id="rId269" xr:uid="{59A6679F-8642-42E8-B03C-8002C8BC0C30}"/>
    <hyperlink ref="B271" r:id="rId270" xr:uid="{29653330-BAA4-4777-918B-0E1F1E128FB1}"/>
    <hyperlink ref="B272" r:id="rId271" xr:uid="{22F8FD82-C7C5-4B28-B01E-DF639D73AAF7}"/>
    <hyperlink ref="B273" r:id="rId272" xr:uid="{D2C83240-5015-4CDA-AE7E-8E96ED21A362}"/>
    <hyperlink ref="B274" r:id="rId273" xr:uid="{DDF76120-C50F-4581-BC46-0783C4829570}"/>
    <hyperlink ref="B275" r:id="rId274" xr:uid="{50166BBE-FCCA-4022-BC4B-13F947C56782}"/>
    <hyperlink ref="B276" r:id="rId275" xr:uid="{C1B3A819-A8FE-44A1-8F40-4F80D6A8BCA0}"/>
    <hyperlink ref="B277" r:id="rId276" xr:uid="{46C18F96-E658-4C74-B51C-17EB9AEC802A}"/>
    <hyperlink ref="B278" r:id="rId277" xr:uid="{68FAF3CC-9528-44B8-BDEF-A0C7B3A88CAB}"/>
    <hyperlink ref="B279" r:id="rId278" xr:uid="{79FBC3EA-4CB6-40A1-B74C-98CB6181C4AD}"/>
    <hyperlink ref="B280" r:id="rId279" xr:uid="{C0BE277D-269D-45D1-A612-2CD571B0501E}"/>
    <hyperlink ref="B281" r:id="rId280" xr:uid="{93647FE2-BEB8-4481-BF23-5566EC9E32DA}"/>
    <hyperlink ref="B282" r:id="rId281" xr:uid="{343814A8-629C-41A4-B361-E7A7EC2E776E}"/>
    <hyperlink ref="B283" r:id="rId282" xr:uid="{5965238C-A4E7-4F1D-AA78-21417994EC50}"/>
    <hyperlink ref="B284" r:id="rId283" xr:uid="{F4516ED4-51A4-45DC-82F8-FAF732307D27}"/>
    <hyperlink ref="B285" r:id="rId284" xr:uid="{523C55BF-FD04-41FD-80F7-DB8D452FDA6D}"/>
    <hyperlink ref="B286" r:id="rId285" xr:uid="{CA30CBA5-C679-45BC-BBC8-FECF56CF4550}"/>
    <hyperlink ref="B287" r:id="rId286" xr:uid="{FC478C4D-FD09-4089-A927-7C715C537992}"/>
    <hyperlink ref="B288" r:id="rId287" xr:uid="{BADB5147-01E4-45D4-8B29-F7A820AE4FF5}"/>
    <hyperlink ref="B289" r:id="rId288" xr:uid="{7692F005-8175-4562-87CF-76C7669A4631}"/>
    <hyperlink ref="B290" r:id="rId289" xr:uid="{235F8864-10A0-43C6-8877-E4754699434C}"/>
    <hyperlink ref="B291" r:id="rId290" xr:uid="{740C9653-67E8-4C52-81D6-50552A2FF9E5}"/>
    <hyperlink ref="B292" r:id="rId291" xr:uid="{4F5D8DA2-BED5-4663-A7F9-C083AF206280}"/>
    <hyperlink ref="B293" r:id="rId292" xr:uid="{7B0E3FB7-814C-4C5F-8660-27AFCE245256}"/>
    <hyperlink ref="B294" r:id="rId293" xr:uid="{DF262FAB-09C7-423F-AB07-96452855A438}"/>
    <hyperlink ref="B295" r:id="rId294" xr:uid="{6D78D20E-1EEB-445D-8EF1-F8999E3B3096}"/>
    <hyperlink ref="B296" r:id="rId295" xr:uid="{A5423F09-5909-4421-B5AD-720DDD9A88AD}"/>
    <hyperlink ref="B297" r:id="rId296" xr:uid="{7B9C5A15-A48B-4782-8A7E-B7A08EC64B3A}"/>
    <hyperlink ref="B298" r:id="rId297" xr:uid="{DA133E85-A2CF-47FD-91B3-19892208C3B0}"/>
    <hyperlink ref="B299" r:id="rId298" xr:uid="{A0C6E533-2170-49A0-AF88-DECB36A97A58}"/>
    <hyperlink ref="B300" r:id="rId299" xr:uid="{374B4CC3-5729-4CD2-A6C9-D8B8E2798886}"/>
    <hyperlink ref="B301" r:id="rId300" xr:uid="{FA1E6371-E8B2-41A3-AD2A-F3CF1AA40637}"/>
    <hyperlink ref="B302" r:id="rId301" xr:uid="{BD27B906-3AAC-4FEA-80F7-9C7AD48203C2}"/>
    <hyperlink ref="B303" r:id="rId302" xr:uid="{E2CD112D-308F-49E0-A433-4F2FF7F1F897}"/>
    <hyperlink ref="B304" r:id="rId303" xr:uid="{23145BEC-78BD-4185-BCF7-994298E484F1}"/>
    <hyperlink ref="B305" r:id="rId304" xr:uid="{BDA40816-FB56-4B5F-8CAC-E8C18398AA99}"/>
    <hyperlink ref="B306" r:id="rId305" xr:uid="{C651B3D3-20A6-43BD-8CE0-74C880002D49}"/>
    <hyperlink ref="B307" r:id="rId306" xr:uid="{013DB72D-B407-467B-9AB0-CF1ED15A5C20}"/>
    <hyperlink ref="B308" r:id="rId307" xr:uid="{224ED0F1-20E2-4E09-B0DC-CBEFC7425471}"/>
    <hyperlink ref="B309" r:id="rId308" xr:uid="{E4272DC8-6FE3-4E14-96B8-FCA9FE7406D4}"/>
    <hyperlink ref="B310" r:id="rId309" xr:uid="{C420085C-25AF-4F54-A874-9E96FCAD7579}"/>
    <hyperlink ref="B311" r:id="rId310" xr:uid="{568B272C-C37B-4337-9BDC-F07BB9441EC9}"/>
    <hyperlink ref="B312" r:id="rId311" xr:uid="{E134A42F-7EC1-40F9-9162-BCBC1BF37588}"/>
    <hyperlink ref="B313" r:id="rId312" xr:uid="{4CB1018D-8800-4AE3-B9E4-55ABA5A48864}"/>
    <hyperlink ref="B314" r:id="rId313" xr:uid="{5B25D099-F92D-44EB-B445-FDD9B38CAB3F}"/>
    <hyperlink ref="B315" r:id="rId314" xr:uid="{D22E7BE9-77DB-4C7D-B9B6-801248A2CED8}"/>
    <hyperlink ref="B316" r:id="rId315" xr:uid="{7255A7CE-5FD3-4DEF-B323-17481BD0D3EA}"/>
    <hyperlink ref="B317" r:id="rId316" xr:uid="{DC6269EB-89D1-4B0A-AB5D-27B3864D8091}"/>
    <hyperlink ref="B318" r:id="rId317" xr:uid="{E7828678-0556-42C8-A410-13A9410E36B9}"/>
    <hyperlink ref="B319" r:id="rId318" xr:uid="{33021E35-0D52-40AD-ACDD-1AD85BBEB93A}"/>
    <hyperlink ref="B320" r:id="rId319" xr:uid="{33D3F86E-E8A5-44E5-874F-2234BC6704DB}"/>
    <hyperlink ref="B321" r:id="rId320" xr:uid="{44C18CD2-9E86-4DF4-BC3A-34F0B4E6956B}"/>
    <hyperlink ref="B322" r:id="rId321" xr:uid="{A842ABC1-7367-4486-A451-06407A0E41AE}"/>
    <hyperlink ref="B323" r:id="rId322" xr:uid="{0AB218D9-FADD-40EB-B985-C0176DAF450F}"/>
    <hyperlink ref="B324" r:id="rId323" xr:uid="{8BF0B560-3049-4FDD-BF3A-B25C56B74C33}"/>
    <hyperlink ref="B325" r:id="rId324" xr:uid="{7E76A870-8EB9-4979-90C9-C381FDA728E3}"/>
    <hyperlink ref="B326" r:id="rId325" xr:uid="{D806B716-1276-4CA3-81A4-D2E63AF7B88D}"/>
    <hyperlink ref="B327" r:id="rId326" xr:uid="{44D0017C-F0E0-4740-8AD6-0EF5DE0E5F44}"/>
    <hyperlink ref="B328" r:id="rId327" xr:uid="{7E953157-F1A4-4D75-B9A8-2CB1AFEC1CFB}"/>
    <hyperlink ref="B329" r:id="rId328" xr:uid="{78CF9059-BF3B-46AA-8D39-07AD01EA4D1F}"/>
    <hyperlink ref="B330" r:id="rId329" xr:uid="{60219706-B063-466B-896F-3B3A04B14509}"/>
    <hyperlink ref="B331" r:id="rId330" xr:uid="{BCB2B981-9991-4880-B646-7D5D378776D2}"/>
    <hyperlink ref="B332" r:id="rId331" xr:uid="{E13D4956-5157-4527-93A0-E18CA3D4F8D5}"/>
    <hyperlink ref="B333" r:id="rId332" xr:uid="{3F47DD08-9756-43B3-BCAA-3B8FA9CF6211}"/>
    <hyperlink ref="B334" r:id="rId333" xr:uid="{DFCDE240-F693-464A-8CE2-BCD0398D680F}"/>
    <hyperlink ref="B335" r:id="rId334" xr:uid="{0203BD68-BBB9-4645-AB55-444FFC11EFB3}"/>
    <hyperlink ref="B336" r:id="rId335" xr:uid="{6612A8D3-DDD7-4112-A965-ECB15BA09BCC}"/>
    <hyperlink ref="B337" r:id="rId336" xr:uid="{1AD5910E-9B1E-4548-8219-2C3B5B453598}"/>
    <hyperlink ref="B338" r:id="rId337" xr:uid="{D8A9378B-3FB7-4D97-9749-FC77C4695E91}"/>
    <hyperlink ref="B339" r:id="rId338" xr:uid="{2E18156D-CD58-45D4-AED2-4948E58978EE}"/>
    <hyperlink ref="B340" r:id="rId339" xr:uid="{074C6325-5D75-429F-8D89-33D030277635}"/>
    <hyperlink ref="B341" r:id="rId340" xr:uid="{34D7A6D2-A338-4FC8-BD6E-A2A7F3802932}"/>
    <hyperlink ref="B342" r:id="rId341" xr:uid="{694D771E-DBB6-4BCF-9ED3-F3581C366A85}"/>
    <hyperlink ref="B343" r:id="rId342" xr:uid="{42710D5D-43CF-4691-A512-BCDE991ACA32}"/>
    <hyperlink ref="B344" r:id="rId343" xr:uid="{51A9080E-C588-423D-8E54-258E34500CE1}"/>
    <hyperlink ref="B345" r:id="rId344" xr:uid="{4DDA576E-342B-45E7-AA20-A0E0EFC0A837}"/>
    <hyperlink ref="B346" r:id="rId345" xr:uid="{E4CC0017-4DFA-4AB6-9D69-5297199F2801}"/>
    <hyperlink ref="B347" r:id="rId346" xr:uid="{6265A059-5B56-4E30-A499-FA4F2ECB682D}"/>
    <hyperlink ref="B348" r:id="rId347" xr:uid="{B342A775-A084-465F-AA1F-A2434F15CF91}"/>
    <hyperlink ref="B349" r:id="rId348" xr:uid="{D13284F4-74DC-4964-9817-E6A8CA052F15}"/>
    <hyperlink ref="B350" r:id="rId349" xr:uid="{47F641CA-80E8-4AE3-83FB-DF38705AF0B3}"/>
    <hyperlink ref="B351" r:id="rId350" xr:uid="{F4CA4B57-772B-42B7-ADBF-83240E29B16D}"/>
    <hyperlink ref="B352" r:id="rId351" xr:uid="{A54AA0B6-59DD-4559-ABD3-7AAB22D71F28}"/>
    <hyperlink ref="B353" r:id="rId352" xr:uid="{4D3048E1-F09D-4A04-ABB5-6C93985B7DE2}"/>
    <hyperlink ref="B354" r:id="rId353" xr:uid="{43FBBA7B-7FFD-4526-AE08-9B9927449D34}"/>
    <hyperlink ref="B355" r:id="rId354" xr:uid="{DFEE2BEA-2DC9-406C-AA8B-D8B36C55E93F}"/>
    <hyperlink ref="B356" r:id="rId355" xr:uid="{35D75E67-51B8-4327-93BC-56682916C567}"/>
    <hyperlink ref="B357" r:id="rId356" xr:uid="{85F7D632-361F-4161-AF4A-E7615DF49390}"/>
    <hyperlink ref="B358" r:id="rId357" xr:uid="{5AC76EBF-1875-431D-8153-6753B088A433}"/>
    <hyperlink ref="B359" r:id="rId358" xr:uid="{45597B18-4BEC-4359-AE54-24EC12079421}"/>
    <hyperlink ref="B360" r:id="rId359" xr:uid="{71C2CA5D-D4BB-4320-8CB6-79AC966FF3AC}"/>
    <hyperlink ref="B361" r:id="rId360" xr:uid="{806C4A7A-69FA-47E0-B76D-EBA60BCF7A51}"/>
    <hyperlink ref="B362" r:id="rId361" xr:uid="{0E13C91C-BFB6-49D9-B8CF-0112FBC98245}"/>
    <hyperlink ref="B363" r:id="rId362" xr:uid="{333E8CE5-7AC2-43A6-B4FF-3DD05C291F3C}"/>
    <hyperlink ref="B364" r:id="rId363" xr:uid="{346FF175-829C-41EB-85F0-41624E1A18F8}"/>
    <hyperlink ref="B365" r:id="rId364" xr:uid="{008E2D88-820A-436D-85BC-3F165C50F11E}"/>
    <hyperlink ref="B366" r:id="rId365" xr:uid="{F309228E-4D7D-4E03-9B18-7F448462CEAB}"/>
    <hyperlink ref="B367" r:id="rId366" xr:uid="{4EFD2FA6-D607-4AC8-87C7-DAFE0DA91E2F}"/>
    <hyperlink ref="B368" r:id="rId367" xr:uid="{227E49BE-CE74-49C8-8C4A-0D866DED6B95}"/>
    <hyperlink ref="B369" r:id="rId368" xr:uid="{BBAD1610-8290-4819-8B47-2588C6DCF1FE}"/>
    <hyperlink ref="B370" r:id="rId369" xr:uid="{4F756931-DC02-4206-B440-394672B792F2}"/>
    <hyperlink ref="B371" r:id="rId370" xr:uid="{71C83A86-1B5E-4ECF-A929-268A31C3C59E}"/>
    <hyperlink ref="B372" r:id="rId371" xr:uid="{6E1E4B12-D29F-417D-B717-D961E7A1317B}"/>
    <hyperlink ref="B373" r:id="rId372" xr:uid="{87594AEC-15E9-4365-8C61-7853596C3A6B}"/>
    <hyperlink ref="B374" r:id="rId373" xr:uid="{EB209E83-D9E1-4AB1-AEDE-4DFD4BC4E354}"/>
    <hyperlink ref="B375" r:id="rId374" xr:uid="{1CB368D5-E107-4A73-9FC7-373C412812A7}"/>
    <hyperlink ref="B376" r:id="rId375" xr:uid="{42C3268A-CBA1-4FEF-8B83-804DD5AA5600}"/>
    <hyperlink ref="B377" r:id="rId376" xr:uid="{106F5FBE-55E6-435D-9E3D-FE770973E45E}"/>
    <hyperlink ref="B378" r:id="rId377" xr:uid="{B6980900-9B29-4420-A8D2-3224B0129BB7}"/>
    <hyperlink ref="B379" r:id="rId378" xr:uid="{745E2F1A-0243-4AC5-971A-9D09172DBA2E}"/>
    <hyperlink ref="B380" r:id="rId379" xr:uid="{7B0B30B4-6726-4D56-8269-0B6121396A2D}"/>
    <hyperlink ref="B381" r:id="rId380" xr:uid="{3952DF5B-2742-4321-8613-3A396677BCA0}"/>
    <hyperlink ref="B382" r:id="rId381" xr:uid="{9F41E5F7-ECCA-4751-9F47-2CE4416A5CF8}"/>
    <hyperlink ref="B383" r:id="rId382" xr:uid="{100D5AD7-98DF-4E91-98E7-C0D5CC36DFC9}"/>
    <hyperlink ref="B384" r:id="rId383" xr:uid="{5B74EB8C-3921-4997-A41E-9A6D8AAFB1F2}"/>
    <hyperlink ref="B385" r:id="rId384" xr:uid="{5F22C50D-75F3-4CD1-B1B8-5CE8E9391D3D}"/>
    <hyperlink ref="B386" r:id="rId385" xr:uid="{ED6B9B87-5F7C-45CD-9B86-6D9A4B71450C}"/>
    <hyperlink ref="B387" r:id="rId386" xr:uid="{99B1F692-4BBC-42AD-8B6B-0AE9030BA792}"/>
    <hyperlink ref="B388" r:id="rId387" xr:uid="{C3A72F56-56FE-4540-A276-D7EAB502CA52}"/>
    <hyperlink ref="B389" r:id="rId388" xr:uid="{5CB930E2-E4F9-4FC8-BEBD-6471EBACE65D}"/>
    <hyperlink ref="B390" r:id="rId389" xr:uid="{87B898C4-A316-4093-A33C-A2CDF7964F1F}"/>
    <hyperlink ref="B391" r:id="rId390" xr:uid="{292A09F7-D366-4C71-942C-46BF3F135AA8}"/>
    <hyperlink ref="B392" r:id="rId391" xr:uid="{65280A02-F599-44DA-9C49-7013CFBDF978}"/>
    <hyperlink ref="B393" r:id="rId392" xr:uid="{34C8D98C-D5A1-4745-87C2-F3124483088C}"/>
    <hyperlink ref="B394" r:id="rId393" xr:uid="{926E04C5-E0DC-496C-883E-68F5EA65037D}"/>
  </hyperlinks>
  <pageMargins left="0.7" right="0.7" top="0.75" bottom="0.75" header="0.3" footer="0.3"/>
  <tableParts count="1">
    <tablePart r:id="rId39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77E24-2C9D-48C2-8205-3FFD0EB0F944}">
  <dimension ref="A1:AE577"/>
  <sheetViews>
    <sheetView topLeftCell="P228" zoomScale="112" zoomScaleNormal="112" workbookViewId="0">
      <selection activeCell="U244" sqref="U244"/>
    </sheetView>
  </sheetViews>
  <sheetFormatPr defaultColWidth="11.42578125" defaultRowHeight="15" x14ac:dyDescent="0.25"/>
  <cols>
    <col min="2" max="2" width="37.85546875" customWidth="1"/>
    <col min="3" max="3" width="37.85546875" style="107" customWidth="1"/>
    <col min="4" max="4" width="12.28515625" customWidth="1"/>
    <col min="5" max="5" width="31.85546875" customWidth="1"/>
    <col min="6" max="7" width="21.85546875" customWidth="1"/>
    <col min="8" max="8" width="12.140625" customWidth="1"/>
    <col min="12" max="12" width="12.7109375" customWidth="1"/>
    <col min="13" max="13" width="29.28515625" customWidth="1"/>
    <col min="14" max="14" width="20" customWidth="1"/>
    <col min="15" max="16" width="15.42578125" customWidth="1"/>
    <col min="17" max="17" width="12.42578125" customWidth="1"/>
    <col min="18" max="20" width="26.42578125" customWidth="1"/>
    <col min="21" max="21" width="16.7109375" customWidth="1"/>
    <col min="23" max="23" width="15.42578125" customWidth="1"/>
    <col min="25" max="25" width="19.85546875" customWidth="1"/>
    <col min="26" max="26" width="15.7109375" customWidth="1"/>
    <col min="28" max="28" width="16" customWidth="1"/>
  </cols>
  <sheetData>
    <row r="1" spans="1:30" ht="60" customHeight="1" x14ac:dyDescent="0.25">
      <c r="A1" s="53" t="s">
        <v>0</v>
      </c>
      <c r="B1" s="52" t="s">
        <v>1</v>
      </c>
      <c r="C1" s="48" t="s">
        <v>2</v>
      </c>
      <c r="D1" s="52" t="s">
        <v>3</v>
      </c>
      <c r="E1" s="50" t="s">
        <v>4</v>
      </c>
      <c r="F1" s="52" t="s">
        <v>5</v>
      </c>
      <c r="G1" s="52" t="s">
        <v>6</v>
      </c>
      <c r="H1" s="52" t="s">
        <v>7</v>
      </c>
      <c r="I1" s="52" t="s">
        <v>8</v>
      </c>
      <c r="J1" s="52" t="s">
        <v>9</v>
      </c>
      <c r="K1" s="48" t="s">
        <v>10</v>
      </c>
      <c r="L1" s="48" t="s">
        <v>11</v>
      </c>
      <c r="M1" s="48" t="s">
        <v>12</v>
      </c>
      <c r="N1" s="48" t="s">
        <v>13</v>
      </c>
      <c r="O1" s="48" t="s">
        <v>14</v>
      </c>
      <c r="P1" s="48" t="s">
        <v>15</v>
      </c>
      <c r="Q1" s="48" t="s">
        <v>16</v>
      </c>
      <c r="R1" s="48" t="s">
        <v>17</v>
      </c>
      <c r="S1" s="48" t="s">
        <v>9149</v>
      </c>
      <c r="T1" s="48" t="s">
        <v>9150</v>
      </c>
      <c r="U1" s="48" t="s">
        <v>18</v>
      </c>
      <c r="V1" s="48" t="s">
        <v>19</v>
      </c>
      <c r="W1" s="48" t="s">
        <v>20</v>
      </c>
      <c r="X1" s="48" t="s">
        <v>21</v>
      </c>
      <c r="Y1" s="48" t="s">
        <v>22</v>
      </c>
      <c r="Z1" s="48" t="s">
        <v>23</v>
      </c>
      <c r="AA1" s="48" t="s">
        <v>24</v>
      </c>
      <c r="AB1" s="48" t="s">
        <v>25</v>
      </c>
      <c r="AC1" s="48" t="s">
        <v>201</v>
      </c>
      <c r="AD1" s="51" t="s">
        <v>27</v>
      </c>
    </row>
    <row r="2" spans="1:30" x14ac:dyDescent="0.25">
      <c r="A2" s="109">
        <v>1858</v>
      </c>
      <c r="B2" s="31" t="s">
        <v>3742</v>
      </c>
      <c r="C2" s="31" t="s">
        <v>3743</v>
      </c>
      <c r="D2" s="110">
        <v>44138</v>
      </c>
      <c r="E2" s="31" t="s">
        <v>30</v>
      </c>
      <c r="F2" s="31">
        <v>252</v>
      </c>
      <c r="G2" s="31">
        <v>70</v>
      </c>
      <c r="H2" s="31">
        <v>9</v>
      </c>
      <c r="I2" s="31">
        <v>5</v>
      </c>
      <c r="J2" s="31" t="s">
        <v>204</v>
      </c>
      <c r="K2" s="31" cm="1">
        <f t="array" ref="K2">INT(SUMPRODUCT(--ISNUMBER(SEARCH(economy,C2)))&gt;0)</f>
        <v>0</v>
      </c>
      <c r="L2" s="31" cm="1">
        <f t="array" ref="L2">INT(SUMPRODUCT(--ISNUMBER(SEARCH(healthcare,C2)))&gt;0)</f>
        <v>0</v>
      </c>
      <c r="M2" s="31" cm="1">
        <f t="array" ref="M2">INT(SUMPRODUCT(--ISNUMBER(SEARCH(supreme,C2)))&gt;0)</f>
        <v>0</v>
      </c>
      <c r="N2" s="31" cm="1">
        <f t="array" ref="N2">INT(SUMPRODUCT(--ISNUMBER(SEARCH(covid,C2)))&gt;0)</f>
        <v>0</v>
      </c>
      <c r="O2" s="31" cm="1">
        <f t="array" ref="O2">INT(SUMPRODUCT(--ISNUMBER(SEARCH(violent,C2)))&gt;0)</f>
        <v>0</v>
      </c>
      <c r="P2" s="31" cm="1">
        <f t="array" ref="P2">INT(SUMPRODUCT(--ISNUMBER(SEARCH(foreign,C2)))&gt;0)</f>
        <v>0</v>
      </c>
      <c r="Q2" s="31" cm="1">
        <f t="array" ref="Q2">INT(SUMPRODUCT(--ISNUMBER(SEARCH(gun,C2)))&gt;0)</f>
        <v>0</v>
      </c>
      <c r="R2" s="31" cm="1">
        <f t="array" ref="R2">INT(SUMPRODUCT(--ISNUMBER(SEARCH(race,C2)))&gt;0)</f>
        <v>0</v>
      </c>
      <c r="S2" s="14" cm="1">
        <f t="array" ref="S2">INT(SUMPRODUCT(--ISNUMBER(SEARCH(immigration,C2)))&gt;0)</f>
        <v>0</v>
      </c>
      <c r="T2" s="14" cm="1">
        <f t="array" ref="T2">INT(SUMPRODUCT(--ISNUMBER(SEARCH(econineq,C3)))&gt;0)</f>
        <v>0</v>
      </c>
      <c r="U2" s="31" cm="1">
        <f t="array" ref="U2">INT(SUMPRODUCT(--ISNUMBER(SEARCH(climate,C2)))&gt;0)</f>
        <v>0</v>
      </c>
      <c r="V2" s="31" cm="1">
        <f t="array" ref="V2">INT(SUMPRODUCT(--ISNUMBER(SEARCH(abortion,C2)))&gt;0)</f>
        <v>0</v>
      </c>
      <c r="W2" s="31" cm="1">
        <f t="array" ref="W2">INT(SUMPRODUCT(--ISNUMBER(SEARCH(trump,C2)))&gt;0)</f>
        <v>0</v>
      </c>
      <c r="X2" s="31" cm="1">
        <f t="array" ref="X2">INT(SUMPRODUCT(--ISNUMBER(SEARCH(voting,C2)))&gt;0)</f>
        <v>1</v>
      </c>
      <c r="Y2" s="31" cm="1">
        <f t="array" ref="Y2">INT(SUMPRODUCT(--ISNUMBER(SEARCH(democrattrigger,C2)))&gt;0)</f>
        <v>0</v>
      </c>
      <c r="Z2" s="31" cm="1">
        <f t="array" ref="Z2">INT(SUMPRODUCT(--ISNUMBER(SEARCH(bipartisan,C2)))&gt;0)</f>
        <v>0</v>
      </c>
      <c r="AA2" s="31">
        <f>INT(IF(COUNTIF(K2:Z2,1)=0,"1","0"))</f>
        <v>0</v>
      </c>
      <c r="AB2" s="31"/>
      <c r="AC2" s="111">
        <v>1</v>
      </c>
      <c r="AD2" s="112">
        <v>0</v>
      </c>
    </row>
    <row r="3" spans="1:30" x14ac:dyDescent="0.25">
      <c r="A3" s="109">
        <v>1859</v>
      </c>
      <c r="B3" s="31" t="s">
        <v>3744</v>
      </c>
      <c r="C3" s="31" t="s">
        <v>3745</v>
      </c>
      <c r="D3" s="110">
        <v>44138</v>
      </c>
      <c r="E3" s="31" t="s">
        <v>30</v>
      </c>
      <c r="F3" s="31">
        <v>498</v>
      </c>
      <c r="G3" s="31">
        <v>82</v>
      </c>
      <c r="H3" s="31">
        <v>9</v>
      </c>
      <c r="I3" s="31">
        <v>5</v>
      </c>
      <c r="J3" s="31" t="s">
        <v>204</v>
      </c>
      <c r="K3" s="31" cm="1">
        <f t="array" ref="K3">INT(SUMPRODUCT(--ISNUMBER(SEARCH(economy,C3)))&gt;0)</f>
        <v>0</v>
      </c>
      <c r="L3" s="31" cm="1">
        <f t="array" ref="L3">INT(SUMPRODUCT(--ISNUMBER(SEARCH(healthcare,C3)))&gt;0)</f>
        <v>0</v>
      </c>
      <c r="M3" s="31" cm="1">
        <f t="array" ref="M3">INT(SUMPRODUCT(--ISNUMBER(SEARCH(supreme,C3)))&gt;0)</f>
        <v>0</v>
      </c>
      <c r="N3" s="31" cm="1">
        <f t="array" ref="N3">INT(SUMPRODUCT(--ISNUMBER(SEARCH(covid,C3)))&gt;0)</f>
        <v>0</v>
      </c>
      <c r="O3" s="31" cm="1">
        <f t="array" ref="O3">INT(SUMPRODUCT(--ISNUMBER(SEARCH(violent,C3)))&gt;0)</f>
        <v>0</v>
      </c>
      <c r="P3" s="31" cm="1">
        <f t="array" ref="P3">INT(SUMPRODUCT(--ISNUMBER(SEARCH(foreign,C3)))&gt;0)</f>
        <v>0</v>
      </c>
      <c r="Q3" s="31" cm="1">
        <f t="array" ref="Q3">INT(SUMPRODUCT(--ISNUMBER(SEARCH(gun,C3)))&gt;0)</f>
        <v>0</v>
      </c>
      <c r="R3" s="31" cm="1">
        <f t="array" ref="R3">INT(SUMPRODUCT(--ISNUMBER(SEARCH(race,C3)))&gt;0)</f>
        <v>0</v>
      </c>
      <c r="S3" s="31" cm="1">
        <f t="array" ref="S3">INT(SUMPRODUCT(--ISNUMBER(SEARCH(immigration,C3)))&gt;0)</f>
        <v>0</v>
      </c>
      <c r="T3" s="31" cm="1">
        <f t="array" ref="T3">INT(SUMPRODUCT(--ISNUMBER(SEARCH(econineq,C4)))&gt;0)</f>
        <v>0</v>
      </c>
      <c r="U3" s="31" cm="1">
        <f t="array" ref="U3">INT(SUMPRODUCT(--ISNUMBER(SEARCH(climate,C3)))&gt;0)</f>
        <v>0</v>
      </c>
      <c r="V3" s="31" cm="1">
        <f t="array" ref="V3">INT(SUMPRODUCT(--ISNUMBER(SEARCH(abortion,C3)))&gt;0)</f>
        <v>0</v>
      </c>
      <c r="W3" s="31" cm="1">
        <f t="array" ref="W3">INT(SUMPRODUCT(--ISNUMBER(SEARCH(trump,C3)))&gt;0)</f>
        <v>0</v>
      </c>
      <c r="X3" s="31" cm="1">
        <f t="array" ref="X3">INT(SUMPRODUCT(--ISNUMBER(SEARCH(voting,C3)))&gt;0)</f>
        <v>1</v>
      </c>
      <c r="Y3" s="31" cm="1">
        <f t="array" ref="Y3">INT(SUMPRODUCT(--ISNUMBER(SEARCH(democrattrigger,C3)))&gt;0)</f>
        <v>0</v>
      </c>
      <c r="Z3" s="31" cm="1">
        <f t="array" ref="Z3">INT(SUMPRODUCT(--ISNUMBER(SEARCH(bipartisan,C3)))&gt;0)</f>
        <v>0</v>
      </c>
      <c r="AA3" s="31">
        <f t="shared" ref="AA3:AA66" si="0">INT(IF(COUNTIF(K3:Z3,1)=0,"1","0"))</f>
        <v>0</v>
      </c>
      <c r="AB3" s="31"/>
      <c r="AC3" s="111">
        <v>0</v>
      </c>
      <c r="AD3" s="112">
        <v>1</v>
      </c>
    </row>
    <row r="4" spans="1:30" x14ac:dyDescent="0.25">
      <c r="A4" s="109">
        <v>1860</v>
      </c>
      <c r="B4" s="31" t="s">
        <v>3746</v>
      </c>
      <c r="C4" s="31" t="s">
        <v>3747</v>
      </c>
      <c r="D4" s="110">
        <v>44138</v>
      </c>
      <c r="E4" s="31" t="s">
        <v>30</v>
      </c>
      <c r="F4" s="31">
        <v>699</v>
      </c>
      <c r="G4" s="31">
        <v>177</v>
      </c>
      <c r="H4" s="31">
        <v>9</v>
      </c>
      <c r="I4" s="31">
        <v>5</v>
      </c>
      <c r="J4" s="31" t="s">
        <v>204</v>
      </c>
      <c r="K4" s="31" cm="1">
        <f t="array" ref="K4">INT(SUMPRODUCT(--ISNUMBER(SEARCH(economy,C4)))&gt;0)</f>
        <v>0</v>
      </c>
      <c r="L4" s="31" cm="1">
        <f t="array" ref="L4">INT(SUMPRODUCT(--ISNUMBER(SEARCH(healthcare,C4)))&gt;0)</f>
        <v>1</v>
      </c>
      <c r="M4" s="31" cm="1">
        <f t="array" ref="M4">INT(SUMPRODUCT(--ISNUMBER(SEARCH(supreme,C4)))&gt;0)</f>
        <v>1</v>
      </c>
      <c r="N4" s="31" cm="1">
        <f t="array" ref="N4">INT(SUMPRODUCT(--ISNUMBER(SEARCH(covid,C4)))&gt;0)</f>
        <v>0</v>
      </c>
      <c r="O4" s="31" cm="1">
        <f t="array" ref="O4">INT(SUMPRODUCT(--ISNUMBER(SEARCH(violent,C4)))&gt;0)</f>
        <v>0</v>
      </c>
      <c r="P4" s="31" cm="1">
        <f t="array" ref="P4">INT(SUMPRODUCT(--ISNUMBER(SEARCH(foreign,C4)))&gt;0)</f>
        <v>0</v>
      </c>
      <c r="Q4" s="31" cm="1">
        <f t="array" ref="Q4">INT(SUMPRODUCT(--ISNUMBER(SEARCH(gun,C4)))&gt;0)</f>
        <v>0</v>
      </c>
      <c r="R4" s="31" cm="1">
        <f t="array" ref="R4">INT(SUMPRODUCT(--ISNUMBER(SEARCH(race,C4)))&gt;0)</f>
        <v>0</v>
      </c>
      <c r="S4" s="31" cm="1">
        <f t="array" ref="S4">INT(SUMPRODUCT(--ISNUMBER(SEARCH(immigration,C4)))&gt;0)</f>
        <v>0</v>
      </c>
      <c r="T4" s="31" cm="1">
        <f t="array" ref="T4">INT(SUMPRODUCT(--ISNUMBER(SEARCH(econineq,C5)))&gt;0)</f>
        <v>0</v>
      </c>
      <c r="U4" s="31" cm="1">
        <f t="array" ref="U4">INT(SUMPRODUCT(--ISNUMBER(SEARCH(climate,C4)))&gt;0)</f>
        <v>0</v>
      </c>
      <c r="V4" s="31" cm="1">
        <f t="array" ref="V4">INT(SUMPRODUCT(--ISNUMBER(SEARCH(abortion,C4)))&gt;0)</f>
        <v>0</v>
      </c>
      <c r="W4" s="31" cm="1">
        <f t="array" ref="W4">INT(SUMPRODUCT(--ISNUMBER(SEARCH(trump,C4)))&gt;0)</f>
        <v>0</v>
      </c>
      <c r="X4" s="31" cm="1">
        <f t="array" ref="X4">INT(SUMPRODUCT(--ISNUMBER(SEARCH(voting,C4)))&gt;0)</f>
        <v>1</v>
      </c>
      <c r="Y4" s="31" cm="1">
        <f t="array" ref="Y4">INT(SUMPRODUCT(--ISNUMBER(SEARCH(democrattrigger,C4)))&gt;0)</f>
        <v>1</v>
      </c>
      <c r="Z4" s="31" cm="1">
        <f t="array" ref="Z4">INT(SUMPRODUCT(--ISNUMBER(SEARCH(bipartisan,C4)))&gt;0)</f>
        <v>0</v>
      </c>
      <c r="AA4" s="31">
        <f t="shared" si="0"/>
        <v>0</v>
      </c>
      <c r="AB4" s="31"/>
      <c r="AC4" s="111" t="s">
        <v>223</v>
      </c>
      <c r="AD4" s="112" t="s">
        <v>223</v>
      </c>
    </row>
    <row r="5" spans="1:30" x14ac:dyDescent="0.25">
      <c r="A5" s="109">
        <v>1861</v>
      </c>
      <c r="B5" s="31" t="s">
        <v>3748</v>
      </c>
      <c r="C5" s="31" t="s">
        <v>3749</v>
      </c>
      <c r="D5" s="110">
        <v>44138</v>
      </c>
      <c r="E5" s="31" t="s">
        <v>30</v>
      </c>
      <c r="F5" s="31">
        <v>144</v>
      </c>
      <c r="G5" s="31">
        <v>35</v>
      </c>
      <c r="H5" s="31">
        <v>9</v>
      </c>
      <c r="I5" s="31">
        <v>5</v>
      </c>
      <c r="J5" s="31" t="s">
        <v>204</v>
      </c>
      <c r="K5" s="31" cm="1">
        <f t="array" ref="K5">INT(SUMPRODUCT(--ISNUMBER(SEARCH(economy,C5)))&gt;0)</f>
        <v>0</v>
      </c>
      <c r="L5" s="31" cm="1">
        <f t="array" ref="L5">INT(SUMPRODUCT(--ISNUMBER(SEARCH(healthcare,C5)))&gt;0)</f>
        <v>0</v>
      </c>
      <c r="M5" s="31" cm="1">
        <f t="array" ref="M5">INT(SUMPRODUCT(--ISNUMBER(SEARCH(supreme,C5)))&gt;0)</f>
        <v>0</v>
      </c>
      <c r="N5" s="31" cm="1">
        <f t="array" ref="N5">INT(SUMPRODUCT(--ISNUMBER(SEARCH(covid,C5)))&gt;0)</f>
        <v>0</v>
      </c>
      <c r="O5" s="31" cm="1">
        <f t="array" ref="O5">INT(SUMPRODUCT(--ISNUMBER(SEARCH(violent,C5)))&gt;0)</f>
        <v>0</v>
      </c>
      <c r="P5" s="31" cm="1">
        <f t="array" ref="P5">INT(SUMPRODUCT(--ISNUMBER(SEARCH(foreign,C5)))&gt;0)</f>
        <v>0</v>
      </c>
      <c r="Q5" s="31" cm="1">
        <f t="array" ref="Q5">INT(SUMPRODUCT(--ISNUMBER(SEARCH(gun,C5)))&gt;0)</f>
        <v>0</v>
      </c>
      <c r="R5" s="31" cm="1">
        <f t="array" ref="R5">INT(SUMPRODUCT(--ISNUMBER(SEARCH(race,C5)))&gt;0)</f>
        <v>0</v>
      </c>
      <c r="S5" s="31" cm="1">
        <f t="array" ref="S5">INT(SUMPRODUCT(--ISNUMBER(SEARCH(immigration,C5)))&gt;0)</f>
        <v>0</v>
      </c>
      <c r="T5" s="31" cm="1">
        <f t="array" ref="T5">INT(SUMPRODUCT(--ISNUMBER(SEARCH(econineq,C6)))&gt;0)</f>
        <v>0</v>
      </c>
      <c r="U5" s="31" cm="1">
        <f t="array" ref="U5">INT(SUMPRODUCT(--ISNUMBER(SEARCH(climate,C5)))&gt;0)</f>
        <v>0</v>
      </c>
      <c r="V5" s="31" cm="1">
        <f t="array" ref="V5">INT(SUMPRODUCT(--ISNUMBER(SEARCH(abortion,C5)))&gt;0)</f>
        <v>0</v>
      </c>
      <c r="W5" s="31" cm="1">
        <f t="array" ref="W5">INT(SUMPRODUCT(--ISNUMBER(SEARCH(trump,C5)))&gt;0)</f>
        <v>0</v>
      </c>
      <c r="X5" s="31" cm="1">
        <f t="array" ref="X5">INT(SUMPRODUCT(--ISNUMBER(SEARCH(voting,C5)))&gt;0)</f>
        <v>0</v>
      </c>
      <c r="Y5" s="31" cm="1">
        <f t="array" ref="Y5">INT(SUMPRODUCT(--ISNUMBER(SEARCH(democrattrigger,C5)))&gt;0)</f>
        <v>0</v>
      </c>
      <c r="Z5" s="31" cm="1">
        <f t="array" ref="Z5">INT(SUMPRODUCT(--ISNUMBER(SEARCH(bipartisan,C5)))&gt;0)</f>
        <v>0</v>
      </c>
      <c r="AA5" s="31">
        <f t="shared" si="0"/>
        <v>1</v>
      </c>
      <c r="AB5" s="31"/>
      <c r="AC5" s="111">
        <v>1</v>
      </c>
      <c r="AD5" s="112">
        <v>0</v>
      </c>
    </row>
    <row r="6" spans="1:30" x14ac:dyDescent="0.25">
      <c r="A6" s="109">
        <v>1862</v>
      </c>
      <c r="B6" s="31" t="s">
        <v>3750</v>
      </c>
      <c r="C6" s="31" t="s">
        <v>3751</v>
      </c>
      <c r="D6" s="110">
        <v>44138</v>
      </c>
      <c r="E6" s="31" t="s">
        <v>30</v>
      </c>
      <c r="F6" s="31">
        <v>327</v>
      </c>
      <c r="G6" s="31">
        <v>64</v>
      </c>
      <c r="H6" s="31">
        <v>9</v>
      </c>
      <c r="I6" s="31">
        <v>5</v>
      </c>
      <c r="J6" s="31" t="s">
        <v>204</v>
      </c>
      <c r="K6" s="31" cm="1">
        <f t="array" ref="K6">INT(SUMPRODUCT(--ISNUMBER(SEARCH(economy,C6)))&gt;0)</f>
        <v>0</v>
      </c>
      <c r="L6" s="31" cm="1">
        <f t="array" ref="L6">INT(SUMPRODUCT(--ISNUMBER(SEARCH(healthcare,C6)))&gt;0)</f>
        <v>0</v>
      </c>
      <c r="M6" s="31" cm="1">
        <f t="array" ref="M6">INT(SUMPRODUCT(--ISNUMBER(SEARCH(supreme,C6)))&gt;0)</f>
        <v>0</v>
      </c>
      <c r="N6" s="31" cm="1">
        <f t="array" ref="N6">INT(SUMPRODUCT(--ISNUMBER(SEARCH(covid,C6)))&gt;0)</f>
        <v>0</v>
      </c>
      <c r="O6" s="31" cm="1">
        <f t="array" ref="O6">INT(SUMPRODUCT(--ISNUMBER(SEARCH(violent,C6)))&gt;0)</f>
        <v>0</v>
      </c>
      <c r="P6" s="31" cm="1">
        <f t="array" ref="P6">INT(SUMPRODUCT(--ISNUMBER(SEARCH(foreign,C6)))&gt;0)</f>
        <v>0</v>
      </c>
      <c r="Q6" s="31" cm="1">
        <f t="array" ref="Q6">INT(SUMPRODUCT(--ISNUMBER(SEARCH(gun,C6)))&gt;0)</f>
        <v>0</v>
      </c>
      <c r="R6" s="31" cm="1">
        <f t="array" ref="R6">INT(SUMPRODUCT(--ISNUMBER(SEARCH(race,C6)))&gt;0)</f>
        <v>0</v>
      </c>
      <c r="S6" s="31" cm="1">
        <f t="array" ref="S6">INT(SUMPRODUCT(--ISNUMBER(SEARCH(immigration,C6)))&gt;0)</f>
        <v>0</v>
      </c>
      <c r="T6" s="31" cm="1">
        <f t="array" ref="T6">INT(SUMPRODUCT(--ISNUMBER(SEARCH(econineq,C7)))&gt;0)</f>
        <v>0</v>
      </c>
      <c r="U6" s="31" cm="1">
        <f t="array" ref="U6">INT(SUMPRODUCT(--ISNUMBER(SEARCH(climate,C6)))&gt;0)</f>
        <v>0</v>
      </c>
      <c r="V6" s="31" cm="1">
        <f t="array" ref="V6">INT(SUMPRODUCT(--ISNUMBER(SEARCH(abortion,C6)))&gt;0)</f>
        <v>0</v>
      </c>
      <c r="W6" s="31" cm="1">
        <f t="array" ref="W6">INT(SUMPRODUCT(--ISNUMBER(SEARCH(trump,C6)))&gt;0)</f>
        <v>0</v>
      </c>
      <c r="X6" s="31" cm="1">
        <f t="array" ref="X6">INT(SUMPRODUCT(--ISNUMBER(SEARCH(voting,C6)))&gt;0)</f>
        <v>0</v>
      </c>
      <c r="Y6" s="31" cm="1">
        <f t="array" ref="Y6">INT(SUMPRODUCT(--ISNUMBER(SEARCH(democrattrigger,C6)))&gt;0)</f>
        <v>0</v>
      </c>
      <c r="Z6" s="31" cm="1">
        <f t="array" ref="Z6">INT(SUMPRODUCT(--ISNUMBER(SEARCH(bipartisan,C6)))&gt;0)</f>
        <v>0</v>
      </c>
      <c r="AA6" s="31">
        <f t="shared" si="0"/>
        <v>1</v>
      </c>
      <c r="AB6" s="31"/>
      <c r="AC6" s="111">
        <v>1</v>
      </c>
      <c r="AD6" s="112">
        <v>0</v>
      </c>
    </row>
    <row r="7" spans="1:30" x14ac:dyDescent="0.25">
      <c r="A7" s="109">
        <v>1863</v>
      </c>
      <c r="B7" s="31" t="s">
        <v>3752</v>
      </c>
      <c r="C7" s="31" t="s">
        <v>3753</v>
      </c>
      <c r="D7" s="110">
        <v>44138</v>
      </c>
      <c r="E7" s="31" t="s">
        <v>30</v>
      </c>
      <c r="F7" s="31">
        <v>760</v>
      </c>
      <c r="G7" s="31">
        <v>121</v>
      </c>
      <c r="H7" s="31">
        <v>9</v>
      </c>
      <c r="I7" s="31">
        <v>5</v>
      </c>
      <c r="J7" s="31" t="s">
        <v>204</v>
      </c>
      <c r="K7" s="31" cm="1">
        <f t="array" ref="K7">INT(SUMPRODUCT(--ISNUMBER(SEARCH(economy,C7)))&gt;0)</f>
        <v>0</v>
      </c>
      <c r="L7" s="31" cm="1">
        <f t="array" ref="L7">INT(SUMPRODUCT(--ISNUMBER(SEARCH(healthcare,C7)))&gt;0)</f>
        <v>0</v>
      </c>
      <c r="M7" s="31" cm="1">
        <f t="array" ref="M7">INT(SUMPRODUCT(--ISNUMBER(SEARCH(supreme,C7)))&gt;0)</f>
        <v>0</v>
      </c>
      <c r="N7" s="31" cm="1">
        <f t="array" ref="N7">INT(SUMPRODUCT(--ISNUMBER(SEARCH(covid,C7)))&gt;0)</f>
        <v>0</v>
      </c>
      <c r="O7" s="31" cm="1">
        <f t="array" ref="O7">INT(SUMPRODUCT(--ISNUMBER(SEARCH(violent,C7)))&gt;0)</f>
        <v>0</v>
      </c>
      <c r="P7" s="31" cm="1">
        <f t="array" ref="P7">INT(SUMPRODUCT(--ISNUMBER(SEARCH(foreign,C7)))&gt;0)</f>
        <v>0</v>
      </c>
      <c r="Q7" s="31" cm="1">
        <f t="array" ref="Q7">INT(SUMPRODUCT(--ISNUMBER(SEARCH(gun,C7)))&gt;0)</f>
        <v>0</v>
      </c>
      <c r="R7" s="31" cm="1">
        <f t="array" ref="R7">INT(SUMPRODUCT(--ISNUMBER(SEARCH(race,C7)))&gt;0)</f>
        <v>0</v>
      </c>
      <c r="S7" s="31" cm="1">
        <f t="array" ref="S7">INT(SUMPRODUCT(--ISNUMBER(SEARCH(immigration,C7)))&gt;0)</f>
        <v>0</v>
      </c>
      <c r="T7" s="31" cm="1">
        <f t="array" ref="T7">INT(SUMPRODUCT(--ISNUMBER(SEARCH(econineq,C8)))&gt;0)</f>
        <v>0</v>
      </c>
      <c r="U7" s="31" cm="1">
        <f t="array" ref="U7">INT(SUMPRODUCT(--ISNUMBER(SEARCH(climate,C7)))&gt;0)</f>
        <v>0</v>
      </c>
      <c r="V7" s="31" cm="1">
        <f t="array" ref="V7">INT(SUMPRODUCT(--ISNUMBER(SEARCH(abortion,C7)))&gt;0)</f>
        <v>0</v>
      </c>
      <c r="W7" s="31" cm="1">
        <f t="array" ref="W7">INT(SUMPRODUCT(--ISNUMBER(SEARCH(trump,C7)))&gt;0)</f>
        <v>0</v>
      </c>
      <c r="X7" s="31" cm="1">
        <f t="array" ref="X7">INT(SUMPRODUCT(--ISNUMBER(SEARCH(voting,C7)))&gt;0)</f>
        <v>0</v>
      </c>
      <c r="Y7" s="31" cm="1">
        <f t="array" ref="Y7">INT(SUMPRODUCT(--ISNUMBER(SEARCH(democrattrigger,C7)))&gt;0)</f>
        <v>0</v>
      </c>
      <c r="Z7" s="31" cm="1">
        <f t="array" ref="Z7">INT(SUMPRODUCT(--ISNUMBER(SEARCH(bipartisan,C7)))&gt;0)</f>
        <v>0</v>
      </c>
      <c r="AA7" s="31">
        <f t="shared" si="0"/>
        <v>1</v>
      </c>
      <c r="AB7" s="31"/>
      <c r="AC7" s="111">
        <v>1</v>
      </c>
      <c r="AD7" s="112">
        <v>0</v>
      </c>
    </row>
    <row r="8" spans="1:30" x14ac:dyDescent="0.25">
      <c r="A8" s="109">
        <v>1864</v>
      </c>
      <c r="B8" s="31" t="s">
        <v>3754</v>
      </c>
      <c r="C8" s="31" t="s">
        <v>3755</v>
      </c>
      <c r="D8" s="110">
        <v>44138</v>
      </c>
      <c r="E8" s="31" t="s">
        <v>30</v>
      </c>
      <c r="F8" s="31">
        <v>131</v>
      </c>
      <c r="G8" s="31">
        <v>50</v>
      </c>
      <c r="H8" s="31">
        <v>9</v>
      </c>
      <c r="I8" s="31">
        <v>5</v>
      </c>
      <c r="J8" s="31" t="s">
        <v>204</v>
      </c>
      <c r="K8" s="31" cm="1">
        <f t="array" ref="K8">INT(SUMPRODUCT(--ISNUMBER(SEARCH(economy,C8)))&gt;0)</f>
        <v>0</v>
      </c>
      <c r="L8" s="31" cm="1">
        <f t="array" ref="L8">INT(SUMPRODUCT(--ISNUMBER(SEARCH(healthcare,C8)))&gt;0)</f>
        <v>0</v>
      </c>
      <c r="M8" s="31" cm="1">
        <f t="array" ref="M8">INT(SUMPRODUCT(--ISNUMBER(SEARCH(supreme,C8)))&gt;0)</f>
        <v>0</v>
      </c>
      <c r="N8" s="31" cm="1">
        <f t="array" ref="N8">INT(SUMPRODUCT(--ISNUMBER(SEARCH(covid,C8)))&gt;0)</f>
        <v>0</v>
      </c>
      <c r="O8" s="31" cm="1">
        <f t="array" ref="O8">INT(SUMPRODUCT(--ISNUMBER(SEARCH(violent,C8)))&gt;0)</f>
        <v>0</v>
      </c>
      <c r="P8" s="31" cm="1">
        <f t="array" ref="P8">INT(SUMPRODUCT(--ISNUMBER(SEARCH(foreign,C8)))&gt;0)</f>
        <v>0</v>
      </c>
      <c r="Q8" s="31" cm="1">
        <f t="array" ref="Q8">INT(SUMPRODUCT(--ISNUMBER(SEARCH(gun,C8)))&gt;0)</f>
        <v>0</v>
      </c>
      <c r="R8" s="31" cm="1">
        <f t="array" ref="R8">INT(SUMPRODUCT(--ISNUMBER(SEARCH(race,C8)))&gt;0)</f>
        <v>0</v>
      </c>
      <c r="S8" s="31" cm="1">
        <f t="array" ref="S8">INT(SUMPRODUCT(--ISNUMBER(SEARCH(immigration,C8)))&gt;0)</f>
        <v>0</v>
      </c>
      <c r="T8" s="31" cm="1">
        <f t="array" ref="T8">INT(SUMPRODUCT(--ISNUMBER(SEARCH(econineq,C9)))&gt;0)</f>
        <v>0</v>
      </c>
      <c r="U8" s="31" cm="1">
        <f t="array" ref="U8">INT(SUMPRODUCT(--ISNUMBER(SEARCH(climate,C8)))&gt;0)</f>
        <v>0</v>
      </c>
      <c r="V8" s="31" cm="1">
        <f t="array" ref="V8">INT(SUMPRODUCT(--ISNUMBER(SEARCH(abortion,C8)))&gt;0)</f>
        <v>0</v>
      </c>
      <c r="W8" s="31" cm="1">
        <f t="array" ref="W8">INT(SUMPRODUCT(--ISNUMBER(SEARCH(trump,C8)))&gt;0)</f>
        <v>0</v>
      </c>
      <c r="X8" s="31" cm="1">
        <f t="array" ref="X8">INT(SUMPRODUCT(--ISNUMBER(SEARCH(voting,C8)))&gt;0)</f>
        <v>1</v>
      </c>
      <c r="Y8" s="31" cm="1">
        <f t="array" ref="Y8">INT(SUMPRODUCT(--ISNUMBER(SEARCH(democrattrigger,C8)))&gt;0)</f>
        <v>0</v>
      </c>
      <c r="Z8" s="31" cm="1">
        <f t="array" ref="Z8">INT(SUMPRODUCT(--ISNUMBER(SEARCH(bipartisan,C8)))&gt;0)</f>
        <v>0</v>
      </c>
      <c r="AA8" s="31">
        <f t="shared" si="0"/>
        <v>0</v>
      </c>
      <c r="AB8" s="31"/>
      <c r="AC8" s="111" t="s">
        <v>223</v>
      </c>
      <c r="AD8" s="112" t="s">
        <v>223</v>
      </c>
    </row>
    <row r="9" spans="1:30" x14ac:dyDescent="0.25">
      <c r="A9" s="109">
        <v>1865</v>
      </c>
      <c r="B9" s="31" t="s">
        <v>3756</v>
      </c>
      <c r="C9" s="31" t="s">
        <v>3757</v>
      </c>
      <c r="D9" s="110">
        <v>44138</v>
      </c>
      <c r="E9" s="31" t="s">
        <v>30</v>
      </c>
      <c r="F9" s="31">
        <v>545</v>
      </c>
      <c r="G9" s="31">
        <v>219</v>
      </c>
      <c r="H9" s="31">
        <v>9</v>
      </c>
      <c r="I9" s="31">
        <v>5</v>
      </c>
      <c r="J9" s="31" t="s">
        <v>204</v>
      </c>
      <c r="K9" s="31" cm="1">
        <f t="array" ref="K9">INT(SUMPRODUCT(--ISNUMBER(SEARCH(economy,C9)))&gt;0)</f>
        <v>0</v>
      </c>
      <c r="L9" s="31" cm="1">
        <f t="array" ref="L9">INT(SUMPRODUCT(--ISNUMBER(SEARCH(healthcare,C9)))&gt;0)</f>
        <v>0</v>
      </c>
      <c r="M9" s="31" cm="1">
        <f t="array" ref="M9">INT(SUMPRODUCT(--ISNUMBER(SEARCH(supreme,C9)))&gt;0)</f>
        <v>0</v>
      </c>
      <c r="N9" s="31" cm="1">
        <f t="array" ref="N9">INT(SUMPRODUCT(--ISNUMBER(SEARCH(covid,C9)))&gt;0)</f>
        <v>0</v>
      </c>
      <c r="O9" s="31" cm="1">
        <f t="array" ref="O9">INT(SUMPRODUCT(--ISNUMBER(SEARCH(violent,C9)))&gt;0)</f>
        <v>0</v>
      </c>
      <c r="P9" s="31" cm="1">
        <f t="array" ref="P9">INT(SUMPRODUCT(--ISNUMBER(SEARCH(foreign,C9)))&gt;0)</f>
        <v>0</v>
      </c>
      <c r="Q9" s="31" cm="1">
        <f t="array" ref="Q9">INT(SUMPRODUCT(--ISNUMBER(SEARCH(gun,C9)))&gt;0)</f>
        <v>0</v>
      </c>
      <c r="R9" s="31" cm="1">
        <f t="array" ref="R9">INT(SUMPRODUCT(--ISNUMBER(SEARCH(race,C9)))&gt;0)</f>
        <v>0</v>
      </c>
      <c r="S9" s="31" cm="1">
        <f t="array" ref="S9">INT(SUMPRODUCT(--ISNUMBER(SEARCH(immigration,C9)))&gt;0)</f>
        <v>0</v>
      </c>
      <c r="T9" s="31" cm="1">
        <f t="array" ref="T9">INT(SUMPRODUCT(--ISNUMBER(SEARCH(econineq,C10)))&gt;0)</f>
        <v>0</v>
      </c>
      <c r="U9" s="31" cm="1">
        <f t="array" ref="U9">INT(SUMPRODUCT(--ISNUMBER(SEARCH(climate,C9)))&gt;0)</f>
        <v>0</v>
      </c>
      <c r="V9" s="31" cm="1">
        <f t="array" ref="V9">INT(SUMPRODUCT(--ISNUMBER(SEARCH(abortion,C9)))&gt;0)</f>
        <v>0</v>
      </c>
      <c r="W9" s="31" cm="1">
        <f t="array" ref="W9">INT(SUMPRODUCT(--ISNUMBER(SEARCH(trump,C9)))&gt;0)</f>
        <v>0</v>
      </c>
      <c r="X9" s="31" cm="1">
        <f t="array" ref="X9">INT(SUMPRODUCT(--ISNUMBER(SEARCH(voting,C9)))&gt;0)</f>
        <v>1</v>
      </c>
      <c r="Y9" s="31" cm="1">
        <f t="array" ref="Y9">INT(SUMPRODUCT(--ISNUMBER(SEARCH(democrattrigger,C9)))&gt;0)</f>
        <v>0</v>
      </c>
      <c r="Z9" s="31" cm="1">
        <f t="array" ref="Z9">INT(SUMPRODUCT(--ISNUMBER(SEARCH(bipartisan,C9)))&gt;0)</f>
        <v>0</v>
      </c>
      <c r="AA9" s="31">
        <f t="shared" si="0"/>
        <v>0</v>
      </c>
      <c r="AB9" s="31"/>
      <c r="AC9" s="111" t="s">
        <v>223</v>
      </c>
      <c r="AD9" s="112" t="s">
        <v>223</v>
      </c>
    </row>
    <row r="10" spans="1:30" x14ac:dyDescent="0.25">
      <c r="A10" s="109">
        <v>1866</v>
      </c>
      <c r="B10" s="31" t="s">
        <v>3758</v>
      </c>
      <c r="C10" s="31" t="s">
        <v>3759</v>
      </c>
      <c r="D10" s="110">
        <v>44138</v>
      </c>
      <c r="E10" s="31" t="s">
        <v>30</v>
      </c>
      <c r="F10" s="31">
        <v>188</v>
      </c>
      <c r="G10" s="31">
        <v>97</v>
      </c>
      <c r="H10" s="31">
        <v>9</v>
      </c>
      <c r="I10" s="31">
        <v>5</v>
      </c>
      <c r="J10" s="31" t="s">
        <v>204</v>
      </c>
      <c r="K10" s="31" cm="1">
        <f t="array" ref="K10">INT(SUMPRODUCT(--ISNUMBER(SEARCH(economy,C10)))&gt;0)</f>
        <v>0</v>
      </c>
      <c r="L10" s="31" cm="1">
        <f t="array" ref="L10">INT(SUMPRODUCT(--ISNUMBER(SEARCH(healthcare,C10)))&gt;0)</f>
        <v>0</v>
      </c>
      <c r="M10" s="31" cm="1">
        <f t="array" ref="M10">INT(SUMPRODUCT(--ISNUMBER(SEARCH(supreme,C10)))&gt;0)</f>
        <v>0</v>
      </c>
      <c r="N10" s="31" cm="1">
        <f t="array" ref="N10">INT(SUMPRODUCT(--ISNUMBER(SEARCH(covid,C10)))&gt;0)</f>
        <v>0</v>
      </c>
      <c r="O10" s="31" cm="1">
        <f t="array" ref="O10">INT(SUMPRODUCT(--ISNUMBER(SEARCH(violent,C10)))&gt;0)</f>
        <v>0</v>
      </c>
      <c r="P10" s="31" cm="1">
        <f t="array" ref="P10">INT(SUMPRODUCT(--ISNUMBER(SEARCH(foreign,C10)))&gt;0)</f>
        <v>0</v>
      </c>
      <c r="Q10" s="31" cm="1">
        <f t="array" ref="Q10">INT(SUMPRODUCT(--ISNUMBER(SEARCH(gun,C10)))&gt;0)</f>
        <v>0</v>
      </c>
      <c r="R10" s="31" cm="1">
        <f t="array" ref="R10">INT(SUMPRODUCT(--ISNUMBER(SEARCH(race,C10)))&gt;0)</f>
        <v>0</v>
      </c>
      <c r="S10" s="31" cm="1">
        <f t="array" ref="S10">INT(SUMPRODUCT(--ISNUMBER(SEARCH(immigration,C10)))&gt;0)</f>
        <v>0</v>
      </c>
      <c r="T10" s="31" cm="1">
        <f t="array" ref="T10">INT(SUMPRODUCT(--ISNUMBER(SEARCH(econineq,C11)))&gt;0)</f>
        <v>0</v>
      </c>
      <c r="U10" s="31" cm="1">
        <f t="array" ref="U10">INT(SUMPRODUCT(--ISNUMBER(SEARCH(climate,C10)))&gt;0)</f>
        <v>0</v>
      </c>
      <c r="V10" s="31" cm="1">
        <f t="array" ref="V10">INT(SUMPRODUCT(--ISNUMBER(SEARCH(abortion,C10)))&gt;0)</f>
        <v>0</v>
      </c>
      <c r="W10" s="31" cm="1">
        <f t="array" ref="W10">INT(SUMPRODUCT(--ISNUMBER(SEARCH(trump,C10)))&gt;0)</f>
        <v>0</v>
      </c>
      <c r="X10" s="31" cm="1">
        <f t="array" ref="X10">INT(SUMPRODUCT(--ISNUMBER(SEARCH(voting,C10)))&gt;0)</f>
        <v>1</v>
      </c>
      <c r="Y10" s="31" cm="1">
        <f t="array" ref="Y10">INT(SUMPRODUCT(--ISNUMBER(SEARCH(democrattrigger,C10)))&gt;0)</f>
        <v>0</v>
      </c>
      <c r="Z10" s="31" cm="1">
        <f t="array" ref="Z10">INT(SUMPRODUCT(--ISNUMBER(SEARCH(bipartisan,C10)))&gt;0)</f>
        <v>0</v>
      </c>
      <c r="AA10" s="31">
        <f t="shared" si="0"/>
        <v>0</v>
      </c>
      <c r="AB10" s="31"/>
      <c r="AC10" s="111">
        <v>1</v>
      </c>
      <c r="AD10" s="112">
        <v>0</v>
      </c>
    </row>
    <row r="11" spans="1:30" x14ac:dyDescent="0.25">
      <c r="A11" s="109">
        <v>1867</v>
      </c>
      <c r="B11" s="31" t="s">
        <v>3760</v>
      </c>
      <c r="C11" s="31" t="s">
        <v>3761</v>
      </c>
      <c r="D11" s="110">
        <v>44138</v>
      </c>
      <c r="E11" s="31" t="s">
        <v>30</v>
      </c>
      <c r="F11" s="31">
        <v>1771</v>
      </c>
      <c r="G11" s="31">
        <v>300</v>
      </c>
      <c r="H11" s="31">
        <v>9</v>
      </c>
      <c r="I11" s="31">
        <v>5</v>
      </c>
      <c r="J11" s="31" t="s">
        <v>204</v>
      </c>
      <c r="K11" s="31" cm="1">
        <f t="array" ref="K11">INT(SUMPRODUCT(--ISNUMBER(SEARCH(economy,C11)))&gt;0)</f>
        <v>0</v>
      </c>
      <c r="L11" s="31" cm="1">
        <f t="array" ref="L11">INT(SUMPRODUCT(--ISNUMBER(SEARCH(healthcare,C11)))&gt;0)</f>
        <v>0</v>
      </c>
      <c r="M11" s="31" cm="1">
        <f t="array" ref="M11">INT(SUMPRODUCT(--ISNUMBER(SEARCH(supreme,C11)))&gt;0)</f>
        <v>0</v>
      </c>
      <c r="N11" s="31" cm="1">
        <f t="array" ref="N11">INT(SUMPRODUCT(--ISNUMBER(SEARCH(covid,C11)))&gt;0)</f>
        <v>0</v>
      </c>
      <c r="O11" s="31" cm="1">
        <f t="array" ref="O11">INT(SUMPRODUCT(--ISNUMBER(SEARCH(violent,C11)))&gt;0)</f>
        <v>0</v>
      </c>
      <c r="P11" s="31" cm="1">
        <f t="array" ref="P11">INT(SUMPRODUCT(--ISNUMBER(SEARCH(foreign,C11)))&gt;0)</f>
        <v>0</v>
      </c>
      <c r="Q11" s="31" cm="1">
        <f t="array" ref="Q11">INT(SUMPRODUCT(--ISNUMBER(SEARCH(gun,C11)))&gt;0)</f>
        <v>0</v>
      </c>
      <c r="R11" s="31" cm="1">
        <f t="array" ref="R11">INT(SUMPRODUCT(--ISNUMBER(SEARCH(race,C11)))&gt;0)</f>
        <v>0</v>
      </c>
      <c r="S11" s="31" cm="1">
        <f t="array" ref="S11">INT(SUMPRODUCT(--ISNUMBER(SEARCH(immigration,C11)))&gt;0)</f>
        <v>0</v>
      </c>
      <c r="T11" s="31" cm="1">
        <f t="array" ref="T11">INT(SUMPRODUCT(--ISNUMBER(SEARCH(econineq,C12)))&gt;0)</f>
        <v>0</v>
      </c>
      <c r="U11" s="31" cm="1">
        <f t="array" ref="U11">INT(SUMPRODUCT(--ISNUMBER(SEARCH(climate,C11)))&gt;0)</f>
        <v>0</v>
      </c>
      <c r="V11" s="31" cm="1">
        <f t="array" ref="V11">INT(SUMPRODUCT(--ISNUMBER(SEARCH(abortion,C11)))&gt;0)</f>
        <v>0</v>
      </c>
      <c r="W11" s="31" cm="1">
        <f t="array" ref="W11">INT(SUMPRODUCT(--ISNUMBER(SEARCH(trump,C11)))&gt;0)</f>
        <v>0</v>
      </c>
      <c r="X11" s="31" cm="1">
        <f t="array" ref="X11">INT(SUMPRODUCT(--ISNUMBER(SEARCH(voting,C11)))&gt;0)</f>
        <v>1</v>
      </c>
      <c r="Y11" s="31" cm="1">
        <f t="array" ref="Y11">INT(SUMPRODUCT(--ISNUMBER(SEARCH(democrattrigger,C11)))&gt;0)</f>
        <v>0</v>
      </c>
      <c r="Z11" s="31" cm="1">
        <f t="array" ref="Z11">INT(SUMPRODUCT(--ISNUMBER(SEARCH(bipartisan,C11)))&gt;0)</f>
        <v>0</v>
      </c>
      <c r="AA11" s="31">
        <f t="shared" si="0"/>
        <v>0</v>
      </c>
      <c r="AB11" s="31"/>
      <c r="AC11" s="111" t="s">
        <v>223</v>
      </c>
      <c r="AD11" s="112" t="s">
        <v>223</v>
      </c>
    </row>
    <row r="12" spans="1:30" x14ac:dyDescent="0.25">
      <c r="A12" s="109">
        <v>1868</v>
      </c>
      <c r="B12" s="31" t="s">
        <v>3762</v>
      </c>
      <c r="C12" s="31" t="s">
        <v>3763</v>
      </c>
      <c r="D12" s="110">
        <v>44138</v>
      </c>
      <c r="E12" s="31" t="s">
        <v>30</v>
      </c>
      <c r="F12" s="31">
        <v>507</v>
      </c>
      <c r="G12" s="31">
        <v>147</v>
      </c>
      <c r="H12" s="31">
        <v>9</v>
      </c>
      <c r="I12" s="31">
        <v>5</v>
      </c>
      <c r="J12" s="31" t="s">
        <v>204</v>
      </c>
      <c r="K12" s="31" cm="1">
        <f t="array" ref="K12">INT(SUMPRODUCT(--ISNUMBER(SEARCH(economy,C12)))&gt;0)</f>
        <v>0</v>
      </c>
      <c r="L12" s="31" cm="1">
        <f t="array" ref="L12">INT(SUMPRODUCT(--ISNUMBER(SEARCH(healthcare,C12)))&gt;0)</f>
        <v>0</v>
      </c>
      <c r="M12" s="31" cm="1">
        <f t="array" ref="M12">INT(SUMPRODUCT(--ISNUMBER(SEARCH(supreme,C12)))&gt;0)</f>
        <v>0</v>
      </c>
      <c r="N12" s="31" cm="1">
        <f t="array" ref="N12">INT(SUMPRODUCT(--ISNUMBER(SEARCH(covid,C12)))&gt;0)</f>
        <v>0</v>
      </c>
      <c r="O12" s="31" cm="1">
        <f t="array" ref="O12">INT(SUMPRODUCT(--ISNUMBER(SEARCH(violent,C12)))&gt;0)</f>
        <v>0</v>
      </c>
      <c r="P12" s="31" cm="1">
        <f t="array" ref="P12">INT(SUMPRODUCT(--ISNUMBER(SEARCH(foreign,C12)))&gt;0)</f>
        <v>0</v>
      </c>
      <c r="Q12" s="31" cm="1">
        <f t="array" ref="Q12">INT(SUMPRODUCT(--ISNUMBER(SEARCH(gun,C12)))&gt;0)</f>
        <v>0</v>
      </c>
      <c r="R12" s="31" cm="1">
        <f t="array" ref="R12">INT(SUMPRODUCT(--ISNUMBER(SEARCH(race,C12)))&gt;0)</f>
        <v>0</v>
      </c>
      <c r="S12" s="31" cm="1">
        <f t="array" ref="S12">INT(SUMPRODUCT(--ISNUMBER(SEARCH(immigration,C12)))&gt;0)</f>
        <v>0</v>
      </c>
      <c r="T12" s="31" cm="1">
        <f t="array" ref="T12">INT(SUMPRODUCT(--ISNUMBER(SEARCH(econineq,C13)))&gt;0)</f>
        <v>0</v>
      </c>
      <c r="U12" s="31" cm="1">
        <f t="array" ref="U12">INT(SUMPRODUCT(--ISNUMBER(SEARCH(climate,C12)))&gt;0)</f>
        <v>0</v>
      </c>
      <c r="V12" s="31" cm="1">
        <f t="array" ref="V12">INT(SUMPRODUCT(--ISNUMBER(SEARCH(abortion,C12)))&gt;0)</f>
        <v>0</v>
      </c>
      <c r="W12" s="31" cm="1">
        <f t="array" ref="W12">INT(SUMPRODUCT(--ISNUMBER(SEARCH(trump,C12)))&gt;0)</f>
        <v>0</v>
      </c>
      <c r="X12" s="31" cm="1">
        <f t="array" ref="X12">INT(SUMPRODUCT(--ISNUMBER(SEARCH(voting,C12)))&gt;0)</f>
        <v>1</v>
      </c>
      <c r="Y12" s="31" cm="1">
        <f t="array" ref="Y12">INT(SUMPRODUCT(--ISNUMBER(SEARCH(democrattrigger,C12)))&gt;0)</f>
        <v>0</v>
      </c>
      <c r="Z12" s="31" cm="1">
        <f t="array" ref="Z12">INT(SUMPRODUCT(--ISNUMBER(SEARCH(bipartisan,C12)))&gt;0)</f>
        <v>0</v>
      </c>
      <c r="AA12" s="31">
        <f t="shared" si="0"/>
        <v>0</v>
      </c>
      <c r="AB12" s="31"/>
      <c r="AC12" s="111">
        <v>1</v>
      </c>
      <c r="AD12" s="112">
        <v>0</v>
      </c>
    </row>
    <row r="13" spans="1:30" x14ac:dyDescent="0.25">
      <c r="A13" s="109">
        <v>1869</v>
      </c>
      <c r="B13" s="31" t="s">
        <v>3764</v>
      </c>
      <c r="C13" s="31" t="s">
        <v>3765</v>
      </c>
      <c r="D13" s="110">
        <v>44138</v>
      </c>
      <c r="E13" s="31" t="s">
        <v>30</v>
      </c>
      <c r="F13" s="31">
        <v>4802</v>
      </c>
      <c r="G13" s="31">
        <v>589</v>
      </c>
      <c r="H13" s="31">
        <v>9</v>
      </c>
      <c r="I13" s="31">
        <v>5</v>
      </c>
      <c r="J13" s="31" t="s">
        <v>204</v>
      </c>
      <c r="K13" s="31" cm="1">
        <f t="array" ref="K13">INT(SUMPRODUCT(--ISNUMBER(SEARCH(economy,C13)))&gt;0)</f>
        <v>0</v>
      </c>
      <c r="L13" s="31" cm="1">
        <f t="array" ref="L13">INT(SUMPRODUCT(--ISNUMBER(SEARCH(healthcare,C13)))&gt;0)</f>
        <v>0</v>
      </c>
      <c r="M13" s="31" cm="1">
        <f t="array" ref="M13">INT(SUMPRODUCT(--ISNUMBER(SEARCH(supreme,C13)))&gt;0)</f>
        <v>0</v>
      </c>
      <c r="N13" s="31" cm="1">
        <f t="array" ref="N13">INT(SUMPRODUCT(--ISNUMBER(SEARCH(covid,C13)))&gt;0)</f>
        <v>0</v>
      </c>
      <c r="O13" s="31" cm="1">
        <f t="array" ref="O13">INT(SUMPRODUCT(--ISNUMBER(SEARCH(violent,C13)))&gt;0)</f>
        <v>0</v>
      </c>
      <c r="P13" s="31" cm="1">
        <f t="array" ref="P13">INT(SUMPRODUCT(--ISNUMBER(SEARCH(foreign,C13)))&gt;0)</f>
        <v>0</v>
      </c>
      <c r="Q13" s="31" cm="1">
        <f t="array" ref="Q13">INT(SUMPRODUCT(--ISNUMBER(SEARCH(gun,C13)))&gt;0)</f>
        <v>0</v>
      </c>
      <c r="R13" s="31" cm="1">
        <f t="array" ref="R13">INT(SUMPRODUCT(--ISNUMBER(SEARCH(race,C13)))&gt;0)</f>
        <v>0</v>
      </c>
      <c r="S13" s="31" cm="1">
        <f t="array" ref="S13">INT(SUMPRODUCT(--ISNUMBER(SEARCH(immigration,C13)))&gt;0)</f>
        <v>0</v>
      </c>
      <c r="T13" s="31" cm="1">
        <f t="array" ref="T13">INT(SUMPRODUCT(--ISNUMBER(SEARCH(econineq,C14)))&gt;0)</f>
        <v>0</v>
      </c>
      <c r="U13" s="31" cm="1">
        <f t="array" ref="U13">INT(SUMPRODUCT(--ISNUMBER(SEARCH(climate,C13)))&gt;0)</f>
        <v>0</v>
      </c>
      <c r="V13" s="31" cm="1">
        <f t="array" ref="V13">INT(SUMPRODUCT(--ISNUMBER(SEARCH(abortion,C13)))&gt;0)</f>
        <v>0</v>
      </c>
      <c r="W13" s="31" cm="1">
        <f t="array" ref="W13">INT(SUMPRODUCT(--ISNUMBER(SEARCH(trump,C13)))&gt;0)</f>
        <v>0</v>
      </c>
      <c r="X13" s="31" cm="1">
        <f t="array" ref="X13">INT(SUMPRODUCT(--ISNUMBER(SEARCH(voting,C13)))&gt;0)</f>
        <v>1</v>
      </c>
      <c r="Y13" s="31" cm="1">
        <f t="array" ref="Y13">INT(SUMPRODUCT(--ISNUMBER(SEARCH(democrattrigger,C13)))&gt;0)</f>
        <v>0</v>
      </c>
      <c r="Z13" s="31" cm="1">
        <f t="array" ref="Z13">INT(SUMPRODUCT(--ISNUMBER(SEARCH(bipartisan,C13)))&gt;0)</f>
        <v>0</v>
      </c>
      <c r="AA13" s="31">
        <f t="shared" si="0"/>
        <v>0</v>
      </c>
      <c r="AB13" s="31"/>
      <c r="AC13" s="111" t="s">
        <v>223</v>
      </c>
      <c r="AD13" s="112" t="s">
        <v>223</v>
      </c>
    </row>
    <row r="14" spans="1:30" x14ac:dyDescent="0.25">
      <c r="A14" s="109">
        <v>1870</v>
      </c>
      <c r="B14" s="31" t="s">
        <v>3766</v>
      </c>
      <c r="C14" s="31" t="s">
        <v>3767</v>
      </c>
      <c r="D14" s="110">
        <v>44138</v>
      </c>
      <c r="E14" s="31" t="s">
        <v>30</v>
      </c>
      <c r="F14" s="31">
        <v>359</v>
      </c>
      <c r="G14" s="31">
        <v>75</v>
      </c>
      <c r="H14" s="31">
        <v>9</v>
      </c>
      <c r="I14" s="31">
        <v>5</v>
      </c>
      <c r="J14" s="31" t="s">
        <v>204</v>
      </c>
      <c r="K14" s="31" cm="1">
        <f t="array" ref="K14">INT(SUMPRODUCT(--ISNUMBER(SEARCH(economy,C14)))&gt;0)</f>
        <v>1</v>
      </c>
      <c r="L14" s="31" cm="1">
        <f t="array" ref="L14">INT(SUMPRODUCT(--ISNUMBER(SEARCH(healthcare,C14)))&gt;0)</f>
        <v>0</v>
      </c>
      <c r="M14" s="31" cm="1">
        <f t="array" ref="M14">INT(SUMPRODUCT(--ISNUMBER(SEARCH(supreme,C14)))&gt;0)</f>
        <v>0</v>
      </c>
      <c r="N14" s="31" cm="1">
        <f t="array" ref="N14">INT(SUMPRODUCT(--ISNUMBER(SEARCH(covid,C14)))&gt;0)</f>
        <v>0</v>
      </c>
      <c r="O14" s="31" cm="1">
        <f t="array" ref="O14">INT(SUMPRODUCT(--ISNUMBER(SEARCH(violent,C14)))&gt;0)</f>
        <v>0</v>
      </c>
      <c r="P14" s="31" cm="1">
        <f t="array" ref="P14">INT(SUMPRODUCT(--ISNUMBER(SEARCH(foreign,C14)))&gt;0)</f>
        <v>0</v>
      </c>
      <c r="Q14" s="31" cm="1">
        <f t="array" ref="Q14">INT(SUMPRODUCT(--ISNUMBER(SEARCH(gun,C14)))&gt;0)</f>
        <v>0</v>
      </c>
      <c r="R14" s="31" cm="1">
        <f t="array" ref="R14">INT(SUMPRODUCT(--ISNUMBER(SEARCH(race,C14)))&gt;0)</f>
        <v>0</v>
      </c>
      <c r="S14" s="31" cm="1">
        <f t="array" ref="S14">INT(SUMPRODUCT(--ISNUMBER(SEARCH(immigration,C14)))&gt;0)</f>
        <v>0</v>
      </c>
      <c r="T14" s="31" cm="1">
        <f t="array" ref="T14">INT(SUMPRODUCT(--ISNUMBER(SEARCH(econineq,C15)))&gt;0)</f>
        <v>0</v>
      </c>
      <c r="U14" s="31" cm="1">
        <f t="array" ref="U14">INT(SUMPRODUCT(--ISNUMBER(SEARCH(climate,C14)))&gt;0)</f>
        <v>0</v>
      </c>
      <c r="V14" s="31" cm="1">
        <f t="array" ref="V14">INT(SUMPRODUCT(--ISNUMBER(SEARCH(abortion,C14)))&gt;0)</f>
        <v>0</v>
      </c>
      <c r="W14" s="31" cm="1">
        <f t="array" ref="W14">INT(SUMPRODUCT(--ISNUMBER(SEARCH(trump,C14)))&gt;0)</f>
        <v>0</v>
      </c>
      <c r="X14" s="31" cm="1">
        <f t="array" ref="X14">INT(SUMPRODUCT(--ISNUMBER(SEARCH(voting,C14)))&gt;0)</f>
        <v>0</v>
      </c>
      <c r="Y14" s="31" cm="1">
        <f t="array" ref="Y14">INT(SUMPRODUCT(--ISNUMBER(SEARCH(democrattrigger,C14)))&gt;0)</f>
        <v>0</v>
      </c>
      <c r="Z14" s="31" cm="1">
        <f t="array" ref="Z14">INT(SUMPRODUCT(--ISNUMBER(SEARCH(bipartisan,C14)))&gt;0)</f>
        <v>0</v>
      </c>
      <c r="AA14" s="31">
        <f t="shared" si="0"/>
        <v>0</v>
      </c>
      <c r="AB14" s="31"/>
      <c r="AC14" s="111">
        <v>1</v>
      </c>
      <c r="AD14" s="112">
        <v>0</v>
      </c>
    </row>
    <row r="15" spans="1:30" x14ac:dyDescent="0.25">
      <c r="A15" s="109">
        <v>1871</v>
      </c>
      <c r="B15" s="31" t="s">
        <v>3768</v>
      </c>
      <c r="C15" s="31" t="s">
        <v>3769</v>
      </c>
      <c r="D15" s="110">
        <v>44138</v>
      </c>
      <c r="E15" s="31" t="s">
        <v>30</v>
      </c>
      <c r="F15" s="31">
        <v>1550</v>
      </c>
      <c r="G15" s="31">
        <v>459</v>
      </c>
      <c r="H15" s="31">
        <v>9</v>
      </c>
      <c r="I15" s="31">
        <v>5</v>
      </c>
      <c r="J15" s="31" t="s">
        <v>204</v>
      </c>
      <c r="K15" s="31" cm="1">
        <f t="array" ref="K15">INT(SUMPRODUCT(--ISNUMBER(SEARCH(economy,C15)))&gt;0)</f>
        <v>0</v>
      </c>
      <c r="L15" s="31" cm="1">
        <f t="array" ref="L15">INT(SUMPRODUCT(--ISNUMBER(SEARCH(healthcare,C15)))&gt;0)</f>
        <v>0</v>
      </c>
      <c r="M15" s="31" cm="1">
        <f t="array" ref="M15">INT(SUMPRODUCT(--ISNUMBER(SEARCH(supreme,C15)))&gt;0)</f>
        <v>0</v>
      </c>
      <c r="N15" s="31" cm="1">
        <f t="array" ref="N15">INT(SUMPRODUCT(--ISNUMBER(SEARCH(covid,C15)))&gt;0)</f>
        <v>0</v>
      </c>
      <c r="O15" s="31" cm="1">
        <f t="array" ref="O15">INT(SUMPRODUCT(--ISNUMBER(SEARCH(violent,C15)))&gt;0)</f>
        <v>0</v>
      </c>
      <c r="P15" s="31" cm="1">
        <f t="array" ref="P15">INT(SUMPRODUCT(--ISNUMBER(SEARCH(foreign,C15)))&gt;0)</f>
        <v>0</v>
      </c>
      <c r="Q15" s="31" cm="1">
        <f t="array" ref="Q15">INT(SUMPRODUCT(--ISNUMBER(SEARCH(gun,C15)))&gt;0)</f>
        <v>0</v>
      </c>
      <c r="R15" s="31" cm="1">
        <f t="array" ref="R15">INT(SUMPRODUCT(--ISNUMBER(SEARCH(race,C15)))&gt;0)</f>
        <v>0</v>
      </c>
      <c r="S15" s="31" cm="1">
        <f t="array" ref="S15">INT(SUMPRODUCT(--ISNUMBER(SEARCH(immigration,C15)))&gt;0)</f>
        <v>0</v>
      </c>
      <c r="T15" s="31" cm="1">
        <f t="array" ref="T15">INT(SUMPRODUCT(--ISNUMBER(SEARCH(econineq,C16)))&gt;0)</f>
        <v>0</v>
      </c>
      <c r="U15" s="31" cm="1">
        <f t="array" ref="U15">INT(SUMPRODUCT(--ISNUMBER(SEARCH(climate,C15)))&gt;0)</f>
        <v>0</v>
      </c>
      <c r="V15" s="31" cm="1">
        <f t="array" ref="V15">INT(SUMPRODUCT(--ISNUMBER(SEARCH(abortion,C15)))&gt;0)</f>
        <v>0</v>
      </c>
      <c r="W15" s="31" cm="1">
        <f t="array" ref="W15">INT(SUMPRODUCT(--ISNUMBER(SEARCH(trump,C15)))&gt;0)</f>
        <v>0</v>
      </c>
      <c r="X15" s="31" cm="1">
        <f t="array" ref="X15">INT(SUMPRODUCT(--ISNUMBER(SEARCH(voting,C15)))&gt;0)</f>
        <v>1</v>
      </c>
      <c r="Y15" s="31" cm="1">
        <f t="array" ref="Y15">INT(SUMPRODUCT(--ISNUMBER(SEARCH(democrattrigger,C15)))&gt;0)</f>
        <v>0</v>
      </c>
      <c r="Z15" s="31" cm="1">
        <f t="array" ref="Z15">INT(SUMPRODUCT(--ISNUMBER(SEARCH(bipartisan,C15)))&gt;0)</f>
        <v>0</v>
      </c>
      <c r="AA15" s="31">
        <f t="shared" si="0"/>
        <v>0</v>
      </c>
      <c r="AB15" s="31"/>
      <c r="AC15" s="111">
        <v>0</v>
      </c>
      <c r="AD15" s="112">
        <v>1</v>
      </c>
    </row>
    <row r="16" spans="1:30" x14ac:dyDescent="0.25">
      <c r="A16" s="109">
        <v>1872</v>
      </c>
      <c r="B16" s="31" t="s">
        <v>3770</v>
      </c>
      <c r="C16" s="31" t="s">
        <v>3771</v>
      </c>
      <c r="D16" s="110">
        <v>44138</v>
      </c>
      <c r="E16" s="31" t="s">
        <v>30</v>
      </c>
      <c r="F16" s="31">
        <v>362</v>
      </c>
      <c r="G16" s="31">
        <v>174</v>
      </c>
      <c r="H16" s="31">
        <v>9</v>
      </c>
      <c r="I16" s="31">
        <v>5</v>
      </c>
      <c r="J16" s="31" t="s">
        <v>204</v>
      </c>
      <c r="K16" s="31" cm="1">
        <f t="array" ref="K16">INT(SUMPRODUCT(--ISNUMBER(SEARCH(economy,C16)))&gt;0)</f>
        <v>0</v>
      </c>
      <c r="L16" s="31" cm="1">
        <f t="array" ref="L16">INT(SUMPRODUCT(--ISNUMBER(SEARCH(healthcare,C16)))&gt;0)</f>
        <v>0</v>
      </c>
      <c r="M16" s="31" cm="1">
        <f t="array" ref="M16">INT(SUMPRODUCT(--ISNUMBER(SEARCH(supreme,C16)))&gt;0)</f>
        <v>0</v>
      </c>
      <c r="N16" s="31" cm="1">
        <f t="array" ref="N16">INT(SUMPRODUCT(--ISNUMBER(SEARCH(covid,C16)))&gt;0)</f>
        <v>0</v>
      </c>
      <c r="O16" s="31" cm="1">
        <f t="array" ref="O16">INT(SUMPRODUCT(--ISNUMBER(SEARCH(violent,C16)))&gt;0)</f>
        <v>0</v>
      </c>
      <c r="P16" s="31" cm="1">
        <f t="array" ref="P16">INT(SUMPRODUCT(--ISNUMBER(SEARCH(foreign,C16)))&gt;0)</f>
        <v>0</v>
      </c>
      <c r="Q16" s="31" cm="1">
        <f t="array" ref="Q16">INT(SUMPRODUCT(--ISNUMBER(SEARCH(gun,C16)))&gt;0)</f>
        <v>0</v>
      </c>
      <c r="R16" s="31" cm="1">
        <f t="array" ref="R16">INT(SUMPRODUCT(--ISNUMBER(SEARCH(race,C16)))&gt;0)</f>
        <v>0</v>
      </c>
      <c r="S16" s="31" cm="1">
        <f t="array" ref="S16">INT(SUMPRODUCT(--ISNUMBER(SEARCH(immigration,C16)))&gt;0)</f>
        <v>0</v>
      </c>
      <c r="T16" s="31" cm="1">
        <f t="array" ref="T16">INT(SUMPRODUCT(--ISNUMBER(SEARCH(econineq,C17)))&gt;0)</f>
        <v>0</v>
      </c>
      <c r="U16" s="31" cm="1">
        <f t="array" ref="U16">INT(SUMPRODUCT(--ISNUMBER(SEARCH(climate,C16)))&gt;0)</f>
        <v>0</v>
      </c>
      <c r="V16" s="31" cm="1">
        <f t="array" ref="V16">INT(SUMPRODUCT(--ISNUMBER(SEARCH(abortion,C16)))&gt;0)</f>
        <v>0</v>
      </c>
      <c r="W16" s="31" cm="1">
        <f t="array" ref="W16">INT(SUMPRODUCT(--ISNUMBER(SEARCH(trump,C16)))&gt;0)</f>
        <v>0</v>
      </c>
      <c r="X16" s="31" cm="1">
        <f t="array" ref="X16">INT(SUMPRODUCT(--ISNUMBER(SEARCH(voting,C16)))&gt;0)</f>
        <v>1</v>
      </c>
      <c r="Y16" s="31" cm="1">
        <f t="array" ref="Y16">INT(SUMPRODUCT(--ISNUMBER(SEARCH(democrattrigger,C16)))&gt;0)</f>
        <v>0</v>
      </c>
      <c r="Z16" s="31" cm="1">
        <f t="array" ref="Z16">INT(SUMPRODUCT(--ISNUMBER(SEARCH(bipartisan,C16)))&gt;0)</f>
        <v>0</v>
      </c>
      <c r="AA16" s="31">
        <f t="shared" si="0"/>
        <v>0</v>
      </c>
      <c r="AB16" s="31"/>
      <c r="AC16" s="111">
        <v>1</v>
      </c>
      <c r="AD16" s="112">
        <v>0</v>
      </c>
    </row>
    <row r="17" spans="1:30" x14ac:dyDescent="0.25">
      <c r="A17" s="109">
        <v>1873</v>
      </c>
      <c r="B17" s="31" t="s">
        <v>3772</v>
      </c>
      <c r="C17" s="31" t="s">
        <v>3773</v>
      </c>
      <c r="D17" s="110">
        <v>44137</v>
      </c>
      <c r="E17" s="31" t="s">
        <v>30</v>
      </c>
      <c r="F17" s="31">
        <v>1123</v>
      </c>
      <c r="G17" s="31">
        <v>282</v>
      </c>
      <c r="H17" s="31">
        <v>9</v>
      </c>
      <c r="I17" s="31">
        <v>5</v>
      </c>
      <c r="J17" s="31" t="s">
        <v>204</v>
      </c>
      <c r="K17" s="31" cm="1">
        <f t="array" ref="K17">INT(SUMPRODUCT(--ISNUMBER(SEARCH(economy,C17)))&gt;0)</f>
        <v>0</v>
      </c>
      <c r="L17" s="31" cm="1">
        <f t="array" ref="L17">INT(SUMPRODUCT(--ISNUMBER(SEARCH(healthcare,C17)))&gt;0)</f>
        <v>0</v>
      </c>
      <c r="M17" s="31" cm="1">
        <f t="array" ref="M17">INT(SUMPRODUCT(--ISNUMBER(SEARCH(supreme,C17)))&gt;0)</f>
        <v>0</v>
      </c>
      <c r="N17" s="31" cm="1">
        <f t="array" ref="N17">INT(SUMPRODUCT(--ISNUMBER(SEARCH(covid,C17)))&gt;0)</f>
        <v>0</v>
      </c>
      <c r="O17" s="31" cm="1">
        <f t="array" ref="O17">INT(SUMPRODUCT(--ISNUMBER(SEARCH(violent,C17)))&gt;0)</f>
        <v>0</v>
      </c>
      <c r="P17" s="31" cm="1">
        <f t="array" ref="P17">INT(SUMPRODUCT(--ISNUMBER(SEARCH(foreign,C17)))&gt;0)</f>
        <v>0</v>
      </c>
      <c r="Q17" s="31" cm="1">
        <f t="array" ref="Q17">INT(SUMPRODUCT(--ISNUMBER(SEARCH(gun,C17)))&gt;0)</f>
        <v>0</v>
      </c>
      <c r="R17" s="31" cm="1">
        <f t="array" ref="R17">INT(SUMPRODUCT(--ISNUMBER(SEARCH(race,C17)))&gt;0)</f>
        <v>0</v>
      </c>
      <c r="S17" s="31" cm="1">
        <f t="array" ref="S17">INT(SUMPRODUCT(--ISNUMBER(SEARCH(immigration,C17)))&gt;0)</f>
        <v>0</v>
      </c>
      <c r="T17" s="31" cm="1">
        <f t="array" ref="T17">INT(SUMPRODUCT(--ISNUMBER(SEARCH(econineq,C18)))&gt;0)</f>
        <v>0</v>
      </c>
      <c r="U17" s="31" cm="1">
        <f t="array" ref="U17">INT(SUMPRODUCT(--ISNUMBER(SEARCH(climate,C17)))&gt;0)</f>
        <v>0</v>
      </c>
      <c r="V17" s="31" cm="1">
        <f t="array" ref="V17">INT(SUMPRODUCT(--ISNUMBER(SEARCH(abortion,C17)))&gt;0)</f>
        <v>0</v>
      </c>
      <c r="W17" s="31" cm="1">
        <f t="array" ref="W17">INT(SUMPRODUCT(--ISNUMBER(SEARCH(trump,C17)))&gt;0)</f>
        <v>1</v>
      </c>
      <c r="X17" s="31" cm="1">
        <f t="array" ref="X17">INT(SUMPRODUCT(--ISNUMBER(SEARCH(voting,C17)))&gt;0)</f>
        <v>1</v>
      </c>
      <c r="Y17" s="31" cm="1">
        <f t="array" ref="Y17">INT(SUMPRODUCT(--ISNUMBER(SEARCH(democrattrigger,C17)))&gt;0)</f>
        <v>1</v>
      </c>
      <c r="Z17" s="31" cm="1">
        <f t="array" ref="Z17">INT(SUMPRODUCT(--ISNUMBER(SEARCH(bipartisan,C17)))&gt;0)</f>
        <v>0</v>
      </c>
      <c r="AA17" s="31">
        <f t="shared" si="0"/>
        <v>0</v>
      </c>
      <c r="AB17" s="31"/>
      <c r="AC17" s="111" t="s">
        <v>223</v>
      </c>
      <c r="AD17" s="112" t="s">
        <v>223</v>
      </c>
    </row>
    <row r="18" spans="1:30" x14ac:dyDescent="0.25">
      <c r="A18" s="109">
        <v>1874</v>
      </c>
      <c r="B18" s="31" t="s">
        <v>3774</v>
      </c>
      <c r="C18" s="31" t="s">
        <v>3775</v>
      </c>
      <c r="D18" s="110">
        <v>44137</v>
      </c>
      <c r="E18" s="31" t="s">
        <v>30</v>
      </c>
      <c r="F18" s="31">
        <v>166</v>
      </c>
      <c r="G18" s="31">
        <v>44</v>
      </c>
      <c r="H18" s="31">
        <v>9</v>
      </c>
      <c r="I18" s="31">
        <v>5</v>
      </c>
      <c r="J18" s="31" t="s">
        <v>204</v>
      </c>
      <c r="K18" s="31" cm="1">
        <f t="array" ref="K18">INT(SUMPRODUCT(--ISNUMBER(SEARCH(economy,C18)))&gt;0)</f>
        <v>0</v>
      </c>
      <c r="L18" s="31" cm="1">
        <f t="array" ref="L18">INT(SUMPRODUCT(--ISNUMBER(SEARCH(healthcare,C18)))&gt;0)</f>
        <v>0</v>
      </c>
      <c r="M18" s="31" cm="1">
        <f t="array" ref="M18">INT(SUMPRODUCT(--ISNUMBER(SEARCH(supreme,C18)))&gt;0)</f>
        <v>0</v>
      </c>
      <c r="N18" s="31" cm="1">
        <f t="array" ref="N18">INT(SUMPRODUCT(--ISNUMBER(SEARCH(covid,C18)))&gt;0)</f>
        <v>0</v>
      </c>
      <c r="O18" s="31" cm="1">
        <f t="array" ref="O18">INT(SUMPRODUCT(--ISNUMBER(SEARCH(violent,C18)))&gt;0)</f>
        <v>0</v>
      </c>
      <c r="P18" s="31" cm="1">
        <f t="array" ref="P18">INT(SUMPRODUCT(--ISNUMBER(SEARCH(foreign,C18)))&gt;0)</f>
        <v>0</v>
      </c>
      <c r="Q18" s="31" cm="1">
        <f t="array" ref="Q18">INT(SUMPRODUCT(--ISNUMBER(SEARCH(gun,C18)))&gt;0)</f>
        <v>0</v>
      </c>
      <c r="R18" s="31" cm="1">
        <f t="array" ref="R18">INT(SUMPRODUCT(--ISNUMBER(SEARCH(race,C18)))&gt;0)</f>
        <v>0</v>
      </c>
      <c r="S18" s="31" cm="1">
        <f t="array" ref="S18">INT(SUMPRODUCT(--ISNUMBER(SEARCH(immigration,C18)))&gt;0)</f>
        <v>0</v>
      </c>
      <c r="T18" s="31" cm="1">
        <f t="array" ref="T18">INT(SUMPRODUCT(--ISNUMBER(SEARCH(econineq,C19)))&gt;0)</f>
        <v>0</v>
      </c>
      <c r="U18" s="31" cm="1">
        <f t="array" ref="U18">INT(SUMPRODUCT(--ISNUMBER(SEARCH(climate,C18)))&gt;0)</f>
        <v>0</v>
      </c>
      <c r="V18" s="31" cm="1">
        <f t="array" ref="V18">INT(SUMPRODUCT(--ISNUMBER(SEARCH(abortion,C18)))&gt;0)</f>
        <v>0</v>
      </c>
      <c r="W18" s="31" cm="1">
        <f t="array" ref="W18">INT(SUMPRODUCT(--ISNUMBER(SEARCH(trump,C18)))&gt;0)</f>
        <v>1</v>
      </c>
      <c r="X18" s="31" cm="1">
        <f t="array" ref="X18">INT(SUMPRODUCT(--ISNUMBER(SEARCH(voting,C18)))&gt;0)</f>
        <v>1</v>
      </c>
      <c r="Y18" s="31" cm="1">
        <f t="array" ref="Y18">INT(SUMPRODUCT(--ISNUMBER(SEARCH(democrattrigger,C18)))&gt;0)</f>
        <v>1</v>
      </c>
      <c r="Z18" s="31" cm="1">
        <f t="array" ref="Z18">INT(SUMPRODUCT(--ISNUMBER(SEARCH(bipartisan,C18)))&gt;0)</f>
        <v>0</v>
      </c>
      <c r="AA18" s="31">
        <f t="shared" si="0"/>
        <v>0</v>
      </c>
      <c r="AB18" s="31"/>
      <c r="AC18" s="111" t="s">
        <v>223</v>
      </c>
      <c r="AD18" s="112" t="s">
        <v>223</v>
      </c>
    </row>
    <row r="19" spans="1:30" x14ac:dyDescent="0.25">
      <c r="A19" s="109">
        <v>1875</v>
      </c>
      <c r="B19" s="31" t="s">
        <v>3776</v>
      </c>
      <c r="C19" s="31" t="s">
        <v>3777</v>
      </c>
      <c r="D19" s="110">
        <v>44137</v>
      </c>
      <c r="E19" s="31" t="s">
        <v>30</v>
      </c>
      <c r="F19" s="31">
        <v>736</v>
      </c>
      <c r="G19" s="31">
        <v>138</v>
      </c>
      <c r="H19" s="31">
        <v>9</v>
      </c>
      <c r="I19" s="31">
        <v>5</v>
      </c>
      <c r="J19" s="31" t="s">
        <v>204</v>
      </c>
      <c r="K19" s="31" cm="1">
        <f t="array" ref="K19">INT(SUMPRODUCT(--ISNUMBER(SEARCH(economy,C19)))&gt;0)</f>
        <v>0</v>
      </c>
      <c r="L19" s="31" cm="1">
        <f t="array" ref="L19">INT(SUMPRODUCT(--ISNUMBER(SEARCH(healthcare,C19)))&gt;0)</f>
        <v>0</v>
      </c>
      <c r="M19" s="31" cm="1">
        <f t="array" ref="M19">INT(SUMPRODUCT(--ISNUMBER(SEARCH(supreme,C19)))&gt;0)</f>
        <v>0</v>
      </c>
      <c r="N19" s="31" cm="1">
        <f t="array" ref="N19">INT(SUMPRODUCT(--ISNUMBER(SEARCH(covid,C19)))&gt;0)</f>
        <v>0</v>
      </c>
      <c r="O19" s="31" cm="1">
        <f t="array" ref="O19">INT(SUMPRODUCT(--ISNUMBER(SEARCH(violent,C19)))&gt;0)</f>
        <v>0</v>
      </c>
      <c r="P19" s="31" cm="1">
        <f t="array" ref="P19">INT(SUMPRODUCT(--ISNUMBER(SEARCH(foreign,C19)))&gt;0)</f>
        <v>0</v>
      </c>
      <c r="Q19" s="31" cm="1">
        <f t="array" ref="Q19">INT(SUMPRODUCT(--ISNUMBER(SEARCH(gun,C19)))&gt;0)</f>
        <v>0</v>
      </c>
      <c r="R19" s="31" cm="1">
        <f t="array" ref="R19">INT(SUMPRODUCT(--ISNUMBER(SEARCH(race,C19)))&gt;0)</f>
        <v>0</v>
      </c>
      <c r="S19" s="31" cm="1">
        <f t="array" ref="S19">INT(SUMPRODUCT(--ISNUMBER(SEARCH(immigration,C19)))&gt;0)</f>
        <v>0</v>
      </c>
      <c r="T19" s="31" cm="1">
        <f t="array" ref="T19">INT(SUMPRODUCT(--ISNUMBER(SEARCH(econineq,C20)))&gt;0)</f>
        <v>0</v>
      </c>
      <c r="U19" s="31" cm="1">
        <f t="array" ref="U19">INT(SUMPRODUCT(--ISNUMBER(SEARCH(climate,C19)))&gt;0)</f>
        <v>0</v>
      </c>
      <c r="V19" s="31" cm="1">
        <f t="array" ref="V19">INT(SUMPRODUCT(--ISNUMBER(SEARCH(abortion,C19)))&gt;0)</f>
        <v>0</v>
      </c>
      <c r="W19" s="31" cm="1">
        <f t="array" ref="W19">INT(SUMPRODUCT(--ISNUMBER(SEARCH(trump,C19)))&gt;0)</f>
        <v>0</v>
      </c>
      <c r="X19" s="31" cm="1">
        <f t="array" ref="X19">INT(SUMPRODUCT(--ISNUMBER(SEARCH(voting,C19)))&gt;0)</f>
        <v>1</v>
      </c>
      <c r="Y19" s="31" cm="1">
        <f t="array" ref="Y19">INT(SUMPRODUCT(--ISNUMBER(SEARCH(democrattrigger,C19)))&gt;0)</f>
        <v>0</v>
      </c>
      <c r="Z19" s="31" cm="1">
        <f t="array" ref="Z19">INT(SUMPRODUCT(--ISNUMBER(SEARCH(bipartisan,C19)))&gt;0)</f>
        <v>0</v>
      </c>
      <c r="AA19" s="31">
        <f t="shared" si="0"/>
        <v>0</v>
      </c>
      <c r="AB19" s="31"/>
      <c r="AC19" s="111">
        <v>1</v>
      </c>
      <c r="AD19" s="112">
        <v>0</v>
      </c>
    </row>
    <row r="20" spans="1:30" x14ac:dyDescent="0.25">
      <c r="A20" s="109">
        <v>1876</v>
      </c>
      <c r="B20" s="31" t="s">
        <v>3778</v>
      </c>
      <c r="C20" s="31" t="s">
        <v>3779</v>
      </c>
      <c r="D20" s="110">
        <v>44137</v>
      </c>
      <c r="E20" s="31" t="s">
        <v>30</v>
      </c>
      <c r="F20" s="31">
        <v>172</v>
      </c>
      <c r="G20" s="31">
        <v>49</v>
      </c>
      <c r="H20" s="31">
        <v>9</v>
      </c>
      <c r="I20" s="31">
        <v>5</v>
      </c>
      <c r="J20" s="31" t="s">
        <v>204</v>
      </c>
      <c r="K20" s="31" cm="1">
        <f t="array" ref="K20">INT(SUMPRODUCT(--ISNUMBER(SEARCH(economy,C20)))&gt;0)</f>
        <v>0</v>
      </c>
      <c r="L20" s="31" cm="1">
        <f t="array" ref="L20">INT(SUMPRODUCT(--ISNUMBER(SEARCH(healthcare,C20)))&gt;0)</f>
        <v>0</v>
      </c>
      <c r="M20" s="31" cm="1">
        <f t="array" ref="M20">INT(SUMPRODUCT(--ISNUMBER(SEARCH(supreme,C20)))&gt;0)</f>
        <v>0</v>
      </c>
      <c r="N20" s="31" cm="1">
        <f t="array" ref="N20">INT(SUMPRODUCT(--ISNUMBER(SEARCH(covid,C20)))&gt;0)</f>
        <v>0</v>
      </c>
      <c r="O20" s="31" cm="1">
        <f t="array" ref="O20">INT(SUMPRODUCT(--ISNUMBER(SEARCH(violent,C20)))&gt;0)</f>
        <v>0</v>
      </c>
      <c r="P20" s="31" cm="1">
        <f t="array" ref="P20">INT(SUMPRODUCT(--ISNUMBER(SEARCH(foreign,C20)))&gt;0)</f>
        <v>0</v>
      </c>
      <c r="Q20" s="31" cm="1">
        <f t="array" ref="Q20">INT(SUMPRODUCT(--ISNUMBER(SEARCH(gun,C20)))&gt;0)</f>
        <v>0</v>
      </c>
      <c r="R20" s="31" cm="1">
        <f t="array" ref="R20">INT(SUMPRODUCT(--ISNUMBER(SEARCH(race,C20)))&gt;0)</f>
        <v>0</v>
      </c>
      <c r="S20" s="31" cm="1">
        <f t="array" ref="S20">INT(SUMPRODUCT(--ISNUMBER(SEARCH(immigration,C20)))&gt;0)</f>
        <v>0</v>
      </c>
      <c r="T20" s="31" cm="1">
        <f t="array" ref="T20">INT(SUMPRODUCT(--ISNUMBER(SEARCH(econineq,C21)))&gt;0)</f>
        <v>0</v>
      </c>
      <c r="U20" s="31" cm="1">
        <f t="array" ref="U20">INT(SUMPRODUCT(--ISNUMBER(SEARCH(climate,C20)))&gt;0)</f>
        <v>0</v>
      </c>
      <c r="V20" s="31" cm="1">
        <f t="array" ref="V20">INT(SUMPRODUCT(--ISNUMBER(SEARCH(abortion,C20)))&gt;0)</f>
        <v>0</v>
      </c>
      <c r="W20" s="31" cm="1">
        <f t="array" ref="W20">INT(SUMPRODUCT(--ISNUMBER(SEARCH(trump,C20)))&gt;0)</f>
        <v>0</v>
      </c>
      <c r="X20" s="31" cm="1">
        <f t="array" ref="X20">INT(SUMPRODUCT(--ISNUMBER(SEARCH(voting,C20)))&gt;0)</f>
        <v>1</v>
      </c>
      <c r="Y20" s="31" cm="1">
        <f t="array" ref="Y20">INT(SUMPRODUCT(--ISNUMBER(SEARCH(democrattrigger,C20)))&gt;0)</f>
        <v>0</v>
      </c>
      <c r="Z20" s="31" cm="1">
        <f t="array" ref="Z20">INT(SUMPRODUCT(--ISNUMBER(SEARCH(bipartisan,C20)))&gt;0)</f>
        <v>0</v>
      </c>
      <c r="AA20" s="31">
        <f t="shared" si="0"/>
        <v>0</v>
      </c>
      <c r="AB20" s="31"/>
      <c r="AC20" s="111">
        <v>1</v>
      </c>
      <c r="AD20" s="112">
        <v>0</v>
      </c>
    </row>
    <row r="21" spans="1:30" x14ac:dyDescent="0.25">
      <c r="A21" s="109">
        <v>1877</v>
      </c>
      <c r="B21" s="31" t="s">
        <v>3780</v>
      </c>
      <c r="C21" s="31" t="s">
        <v>3781</v>
      </c>
      <c r="D21" s="110">
        <v>44137</v>
      </c>
      <c r="E21" s="31" t="s">
        <v>30</v>
      </c>
      <c r="F21" s="31">
        <v>859</v>
      </c>
      <c r="G21" s="31">
        <v>161</v>
      </c>
      <c r="H21" s="31">
        <v>9</v>
      </c>
      <c r="I21" s="31">
        <v>5</v>
      </c>
      <c r="J21" s="31" t="s">
        <v>204</v>
      </c>
      <c r="K21" s="31" cm="1">
        <f t="array" ref="K21">INT(SUMPRODUCT(--ISNUMBER(SEARCH(economy,C21)))&gt;0)</f>
        <v>0</v>
      </c>
      <c r="L21" s="31" cm="1">
        <f t="array" ref="L21">INT(SUMPRODUCT(--ISNUMBER(SEARCH(healthcare,C21)))&gt;0)</f>
        <v>0</v>
      </c>
      <c r="M21" s="31" cm="1">
        <f t="array" ref="M21">INT(SUMPRODUCT(--ISNUMBER(SEARCH(supreme,C21)))&gt;0)</f>
        <v>0</v>
      </c>
      <c r="N21" s="31" cm="1">
        <f t="array" ref="N21">INT(SUMPRODUCT(--ISNUMBER(SEARCH(covid,C21)))&gt;0)</f>
        <v>0</v>
      </c>
      <c r="O21" s="31" cm="1">
        <f t="array" ref="O21">INT(SUMPRODUCT(--ISNUMBER(SEARCH(violent,C21)))&gt;0)</f>
        <v>0</v>
      </c>
      <c r="P21" s="31" cm="1">
        <f t="array" ref="P21">INT(SUMPRODUCT(--ISNUMBER(SEARCH(foreign,C21)))&gt;0)</f>
        <v>0</v>
      </c>
      <c r="Q21" s="31" cm="1">
        <f t="array" ref="Q21">INT(SUMPRODUCT(--ISNUMBER(SEARCH(gun,C21)))&gt;0)</f>
        <v>0</v>
      </c>
      <c r="R21" s="31" cm="1">
        <f t="array" ref="R21">INT(SUMPRODUCT(--ISNUMBER(SEARCH(race,C21)))&gt;0)</f>
        <v>0</v>
      </c>
      <c r="S21" s="31" cm="1">
        <f t="array" ref="S21">INT(SUMPRODUCT(--ISNUMBER(SEARCH(immigration,C21)))&gt;0)</f>
        <v>0</v>
      </c>
      <c r="T21" s="31" cm="1">
        <f t="array" ref="T21">INT(SUMPRODUCT(--ISNUMBER(SEARCH(econineq,C22)))&gt;0)</f>
        <v>0</v>
      </c>
      <c r="U21" s="31" cm="1">
        <f t="array" ref="U21">INT(SUMPRODUCT(--ISNUMBER(SEARCH(climate,C21)))&gt;0)</f>
        <v>0</v>
      </c>
      <c r="V21" s="31" cm="1">
        <f t="array" ref="V21">INT(SUMPRODUCT(--ISNUMBER(SEARCH(abortion,C21)))&gt;0)</f>
        <v>0</v>
      </c>
      <c r="W21" s="31" cm="1">
        <f t="array" ref="W21">INT(SUMPRODUCT(--ISNUMBER(SEARCH(trump,C21)))&gt;0)</f>
        <v>0</v>
      </c>
      <c r="X21" s="31" cm="1">
        <f t="array" ref="X21">INT(SUMPRODUCT(--ISNUMBER(SEARCH(voting,C21)))&gt;0)</f>
        <v>1</v>
      </c>
      <c r="Y21" s="31" cm="1">
        <f t="array" ref="Y21">INT(SUMPRODUCT(--ISNUMBER(SEARCH(democrattrigger,C21)))&gt;0)</f>
        <v>0</v>
      </c>
      <c r="Z21" s="31" cm="1">
        <f t="array" ref="Z21">INT(SUMPRODUCT(--ISNUMBER(SEARCH(bipartisan,C21)))&gt;0)</f>
        <v>0</v>
      </c>
      <c r="AA21" s="31">
        <f t="shared" si="0"/>
        <v>0</v>
      </c>
      <c r="AB21" s="31"/>
      <c r="AC21" s="111">
        <v>1</v>
      </c>
      <c r="AD21" s="112">
        <v>0</v>
      </c>
    </row>
    <row r="22" spans="1:30" x14ac:dyDescent="0.25">
      <c r="A22" s="109">
        <v>1878</v>
      </c>
      <c r="B22" s="31" t="s">
        <v>3782</v>
      </c>
      <c r="C22" s="31" t="s">
        <v>3783</v>
      </c>
      <c r="D22" s="110">
        <v>44137</v>
      </c>
      <c r="E22" s="31" t="s">
        <v>30</v>
      </c>
      <c r="F22" s="31">
        <v>181</v>
      </c>
      <c r="G22" s="31">
        <v>114</v>
      </c>
      <c r="H22" s="31">
        <v>9</v>
      </c>
      <c r="I22" s="31">
        <v>5</v>
      </c>
      <c r="J22" s="31" t="s">
        <v>204</v>
      </c>
      <c r="K22" s="31" cm="1">
        <f t="array" ref="K22">INT(SUMPRODUCT(--ISNUMBER(SEARCH(economy,C22)))&gt;0)</f>
        <v>0</v>
      </c>
      <c r="L22" s="31" cm="1">
        <f t="array" ref="L22">INT(SUMPRODUCT(--ISNUMBER(SEARCH(healthcare,C22)))&gt;0)</f>
        <v>0</v>
      </c>
      <c r="M22" s="31" cm="1">
        <f t="array" ref="M22">INT(SUMPRODUCT(--ISNUMBER(SEARCH(supreme,C22)))&gt;0)</f>
        <v>0</v>
      </c>
      <c r="N22" s="31" cm="1">
        <f t="array" ref="N22">INT(SUMPRODUCT(--ISNUMBER(SEARCH(covid,C22)))&gt;0)</f>
        <v>0</v>
      </c>
      <c r="O22" s="31" cm="1">
        <f t="array" ref="O22">INT(SUMPRODUCT(--ISNUMBER(SEARCH(violent,C22)))&gt;0)</f>
        <v>0</v>
      </c>
      <c r="P22" s="31" cm="1">
        <f t="array" ref="P22">INT(SUMPRODUCT(--ISNUMBER(SEARCH(foreign,C22)))&gt;0)</f>
        <v>0</v>
      </c>
      <c r="Q22" s="31" cm="1">
        <f t="array" ref="Q22">INT(SUMPRODUCT(--ISNUMBER(SEARCH(gun,C22)))&gt;0)</f>
        <v>0</v>
      </c>
      <c r="R22" s="31" cm="1">
        <f t="array" ref="R22">INT(SUMPRODUCT(--ISNUMBER(SEARCH(race,C22)))&gt;0)</f>
        <v>0</v>
      </c>
      <c r="S22" s="31" cm="1">
        <f t="array" ref="S22">INT(SUMPRODUCT(--ISNUMBER(SEARCH(immigration,C22)))&gt;0)</f>
        <v>0</v>
      </c>
      <c r="T22" s="31" cm="1">
        <f t="array" ref="T22">INT(SUMPRODUCT(--ISNUMBER(SEARCH(econineq,C23)))&gt;0)</f>
        <v>0</v>
      </c>
      <c r="U22" s="31" cm="1">
        <f t="array" ref="U22">INT(SUMPRODUCT(--ISNUMBER(SEARCH(climate,C22)))&gt;0)</f>
        <v>0</v>
      </c>
      <c r="V22" s="31" cm="1">
        <f t="array" ref="V22">INT(SUMPRODUCT(--ISNUMBER(SEARCH(abortion,C22)))&gt;0)</f>
        <v>0</v>
      </c>
      <c r="W22" s="31" cm="1">
        <f t="array" ref="W22">INT(SUMPRODUCT(--ISNUMBER(SEARCH(trump,C22)))&gt;0)</f>
        <v>0</v>
      </c>
      <c r="X22" s="31" cm="1">
        <f t="array" ref="X22">INT(SUMPRODUCT(--ISNUMBER(SEARCH(voting,C22)))&gt;0)</f>
        <v>1</v>
      </c>
      <c r="Y22" s="31" cm="1">
        <f t="array" ref="Y22">INT(SUMPRODUCT(--ISNUMBER(SEARCH(democrattrigger,C22)))&gt;0)</f>
        <v>0</v>
      </c>
      <c r="Z22" s="31" cm="1">
        <f t="array" ref="Z22">INT(SUMPRODUCT(--ISNUMBER(SEARCH(bipartisan,C22)))&gt;0)</f>
        <v>0</v>
      </c>
      <c r="AA22" s="31">
        <f t="shared" si="0"/>
        <v>0</v>
      </c>
      <c r="AB22" s="31"/>
      <c r="AC22" s="111">
        <v>1</v>
      </c>
      <c r="AD22" s="112">
        <v>0</v>
      </c>
    </row>
    <row r="23" spans="1:30" x14ac:dyDescent="0.25">
      <c r="A23" s="109">
        <v>1879</v>
      </c>
      <c r="B23" s="31" t="s">
        <v>3784</v>
      </c>
      <c r="C23" s="31" t="s">
        <v>3785</v>
      </c>
      <c r="D23" s="110">
        <v>44137</v>
      </c>
      <c r="E23" s="31" t="s">
        <v>30</v>
      </c>
      <c r="F23" s="31">
        <v>315</v>
      </c>
      <c r="G23" s="31">
        <v>72</v>
      </c>
      <c r="H23" s="31">
        <v>9</v>
      </c>
      <c r="I23" s="31">
        <v>5</v>
      </c>
      <c r="J23" s="31" t="s">
        <v>204</v>
      </c>
      <c r="K23" s="31" cm="1">
        <f t="array" ref="K23">INT(SUMPRODUCT(--ISNUMBER(SEARCH(economy,C23)))&gt;0)</f>
        <v>0</v>
      </c>
      <c r="L23" s="31" cm="1">
        <f t="array" ref="L23">INT(SUMPRODUCT(--ISNUMBER(SEARCH(healthcare,C23)))&gt;0)</f>
        <v>0</v>
      </c>
      <c r="M23" s="31" cm="1">
        <f t="array" ref="M23">INT(SUMPRODUCT(--ISNUMBER(SEARCH(supreme,C23)))&gt;0)</f>
        <v>0</v>
      </c>
      <c r="N23" s="31" cm="1">
        <f t="array" ref="N23">INT(SUMPRODUCT(--ISNUMBER(SEARCH(covid,C23)))&gt;0)</f>
        <v>0</v>
      </c>
      <c r="O23" s="31" cm="1">
        <f t="array" ref="O23">INT(SUMPRODUCT(--ISNUMBER(SEARCH(violent,C23)))&gt;0)</f>
        <v>0</v>
      </c>
      <c r="P23" s="31" cm="1">
        <f t="array" ref="P23">INT(SUMPRODUCT(--ISNUMBER(SEARCH(foreign,C23)))&gt;0)</f>
        <v>0</v>
      </c>
      <c r="Q23" s="31" cm="1">
        <f t="array" ref="Q23">INT(SUMPRODUCT(--ISNUMBER(SEARCH(gun,C23)))&gt;0)</f>
        <v>0</v>
      </c>
      <c r="R23" s="31" cm="1">
        <f t="array" ref="R23">INT(SUMPRODUCT(--ISNUMBER(SEARCH(race,C23)))&gt;0)</f>
        <v>0</v>
      </c>
      <c r="S23" s="31" cm="1">
        <f t="array" ref="S23">INT(SUMPRODUCT(--ISNUMBER(SEARCH(immigration,C23)))&gt;0)</f>
        <v>0</v>
      </c>
      <c r="T23" s="31" cm="1">
        <f t="array" ref="T23">INT(SUMPRODUCT(--ISNUMBER(SEARCH(econineq,C24)))&gt;0)</f>
        <v>0</v>
      </c>
      <c r="U23" s="31" cm="1">
        <f t="array" ref="U23">INT(SUMPRODUCT(--ISNUMBER(SEARCH(climate,C23)))&gt;0)</f>
        <v>0</v>
      </c>
      <c r="V23" s="31" cm="1">
        <f t="array" ref="V23">INT(SUMPRODUCT(--ISNUMBER(SEARCH(abortion,C23)))&gt;0)</f>
        <v>0</v>
      </c>
      <c r="W23" s="31" cm="1">
        <f t="array" ref="W23">INT(SUMPRODUCT(--ISNUMBER(SEARCH(trump,C23)))&gt;0)</f>
        <v>0</v>
      </c>
      <c r="X23" s="31" cm="1">
        <f t="array" ref="X23">INT(SUMPRODUCT(--ISNUMBER(SEARCH(voting,C23)))&gt;0)</f>
        <v>1</v>
      </c>
      <c r="Y23" s="31" cm="1">
        <f t="array" ref="Y23">INT(SUMPRODUCT(--ISNUMBER(SEARCH(democrattrigger,C23)))&gt;0)</f>
        <v>0</v>
      </c>
      <c r="Z23" s="31" cm="1">
        <f t="array" ref="Z23">INT(SUMPRODUCT(--ISNUMBER(SEARCH(bipartisan,C23)))&gt;0)</f>
        <v>0</v>
      </c>
      <c r="AA23" s="31">
        <f t="shared" si="0"/>
        <v>0</v>
      </c>
      <c r="AB23" s="31"/>
      <c r="AC23" s="111">
        <v>1</v>
      </c>
      <c r="AD23" s="112">
        <v>0</v>
      </c>
    </row>
    <row r="24" spans="1:30" x14ac:dyDescent="0.25">
      <c r="A24" s="109">
        <v>1880</v>
      </c>
      <c r="B24" s="31" t="s">
        <v>3786</v>
      </c>
      <c r="C24" s="31" t="s">
        <v>3787</v>
      </c>
      <c r="D24" s="110">
        <v>44137</v>
      </c>
      <c r="E24" s="31" t="s">
        <v>30</v>
      </c>
      <c r="F24" s="31">
        <v>241</v>
      </c>
      <c r="G24" s="31">
        <v>104</v>
      </c>
      <c r="H24" s="31">
        <v>9</v>
      </c>
      <c r="I24" s="31">
        <v>5</v>
      </c>
      <c r="J24" s="31" t="s">
        <v>204</v>
      </c>
      <c r="K24" s="31" cm="1">
        <f t="array" ref="K24">INT(SUMPRODUCT(--ISNUMBER(SEARCH(economy,C24)))&gt;0)</f>
        <v>0</v>
      </c>
      <c r="L24" s="31" cm="1">
        <f t="array" ref="L24">INT(SUMPRODUCT(--ISNUMBER(SEARCH(healthcare,C24)))&gt;0)</f>
        <v>0</v>
      </c>
      <c r="M24" s="31" cm="1">
        <f t="array" ref="M24">INT(SUMPRODUCT(--ISNUMBER(SEARCH(supreme,C24)))&gt;0)</f>
        <v>0</v>
      </c>
      <c r="N24" s="31" cm="1">
        <f t="array" ref="N24">INT(SUMPRODUCT(--ISNUMBER(SEARCH(covid,C24)))&gt;0)</f>
        <v>0</v>
      </c>
      <c r="O24" s="31" cm="1">
        <f t="array" ref="O24">INT(SUMPRODUCT(--ISNUMBER(SEARCH(violent,C24)))&gt;0)</f>
        <v>0</v>
      </c>
      <c r="P24" s="31" cm="1">
        <f t="array" ref="P24">INT(SUMPRODUCT(--ISNUMBER(SEARCH(foreign,C24)))&gt;0)</f>
        <v>0</v>
      </c>
      <c r="Q24" s="31" cm="1">
        <f t="array" ref="Q24">INT(SUMPRODUCT(--ISNUMBER(SEARCH(gun,C24)))&gt;0)</f>
        <v>0</v>
      </c>
      <c r="R24" s="31" cm="1">
        <f t="array" ref="R24">INT(SUMPRODUCT(--ISNUMBER(SEARCH(race,C24)))&gt;0)</f>
        <v>0</v>
      </c>
      <c r="S24" s="31" cm="1">
        <f t="array" ref="S24">INT(SUMPRODUCT(--ISNUMBER(SEARCH(immigration,C24)))&gt;0)</f>
        <v>0</v>
      </c>
      <c r="T24" s="31" cm="1">
        <f t="array" ref="T24">INT(SUMPRODUCT(--ISNUMBER(SEARCH(econineq,C25)))&gt;0)</f>
        <v>0</v>
      </c>
      <c r="U24" s="31" cm="1">
        <f t="array" ref="U24">INT(SUMPRODUCT(--ISNUMBER(SEARCH(climate,C24)))&gt;0)</f>
        <v>0</v>
      </c>
      <c r="V24" s="31" cm="1">
        <f t="array" ref="V24">INT(SUMPRODUCT(--ISNUMBER(SEARCH(abortion,C24)))&gt;0)</f>
        <v>0</v>
      </c>
      <c r="W24" s="31" cm="1">
        <f t="array" ref="W24">INT(SUMPRODUCT(--ISNUMBER(SEARCH(trump,C24)))&gt;0)</f>
        <v>0</v>
      </c>
      <c r="X24" s="31" cm="1">
        <f t="array" ref="X24">INT(SUMPRODUCT(--ISNUMBER(SEARCH(voting,C24)))&gt;0)</f>
        <v>1</v>
      </c>
      <c r="Y24" s="31" cm="1">
        <f t="array" ref="Y24">INT(SUMPRODUCT(--ISNUMBER(SEARCH(democrattrigger,C24)))&gt;0)</f>
        <v>0</v>
      </c>
      <c r="Z24" s="31" cm="1">
        <f t="array" ref="Z24">INT(SUMPRODUCT(--ISNUMBER(SEARCH(bipartisan,C24)))&gt;0)</f>
        <v>0</v>
      </c>
      <c r="AA24" s="31">
        <f t="shared" si="0"/>
        <v>0</v>
      </c>
      <c r="AB24" s="31"/>
      <c r="AC24" s="111" t="s">
        <v>223</v>
      </c>
      <c r="AD24" s="112" t="s">
        <v>223</v>
      </c>
    </row>
    <row r="25" spans="1:30" x14ac:dyDescent="0.25">
      <c r="A25" s="109">
        <v>1881</v>
      </c>
      <c r="B25" s="31" t="s">
        <v>3788</v>
      </c>
      <c r="C25" s="31" t="s">
        <v>3789</v>
      </c>
      <c r="D25" s="110">
        <v>44137</v>
      </c>
      <c r="E25" s="31" t="s">
        <v>30</v>
      </c>
      <c r="F25" s="31">
        <v>657</v>
      </c>
      <c r="G25" s="31">
        <v>236</v>
      </c>
      <c r="H25" s="31">
        <v>9</v>
      </c>
      <c r="I25" s="31">
        <v>5</v>
      </c>
      <c r="J25" s="31" t="s">
        <v>204</v>
      </c>
      <c r="K25" s="31" cm="1">
        <f t="array" ref="K25">INT(SUMPRODUCT(--ISNUMBER(SEARCH(economy,C25)))&gt;0)</f>
        <v>0</v>
      </c>
      <c r="L25" s="31" cm="1">
        <f t="array" ref="L25">INT(SUMPRODUCT(--ISNUMBER(SEARCH(healthcare,C25)))&gt;0)</f>
        <v>1</v>
      </c>
      <c r="M25" s="31" cm="1">
        <f t="array" ref="M25">INT(SUMPRODUCT(--ISNUMBER(SEARCH(supreme,C25)))&gt;0)</f>
        <v>0</v>
      </c>
      <c r="N25" s="31" cm="1">
        <f t="array" ref="N25">INT(SUMPRODUCT(--ISNUMBER(SEARCH(covid,C25)))&gt;0)</f>
        <v>0</v>
      </c>
      <c r="O25" s="31" cm="1">
        <f t="array" ref="O25">INT(SUMPRODUCT(--ISNUMBER(SEARCH(violent,C25)))&gt;0)</f>
        <v>0</v>
      </c>
      <c r="P25" s="31" cm="1">
        <f t="array" ref="P25">INT(SUMPRODUCT(--ISNUMBER(SEARCH(foreign,C25)))&gt;0)</f>
        <v>0</v>
      </c>
      <c r="Q25" s="31" cm="1">
        <f t="array" ref="Q25">INT(SUMPRODUCT(--ISNUMBER(SEARCH(gun,C25)))&gt;0)</f>
        <v>0</v>
      </c>
      <c r="R25" s="31" cm="1">
        <f t="array" ref="R25">INT(SUMPRODUCT(--ISNUMBER(SEARCH(race,C25)))&gt;0)</f>
        <v>0</v>
      </c>
      <c r="S25" s="31" cm="1">
        <f t="array" ref="S25">INT(SUMPRODUCT(--ISNUMBER(SEARCH(immigration,C25)))&gt;0)</f>
        <v>0</v>
      </c>
      <c r="T25" s="31" cm="1">
        <f t="array" ref="T25">INT(SUMPRODUCT(--ISNUMBER(SEARCH(econineq,C26)))&gt;0)</f>
        <v>0</v>
      </c>
      <c r="U25" s="31" cm="1">
        <f t="array" ref="U25">INT(SUMPRODUCT(--ISNUMBER(SEARCH(climate,C25)))&gt;0)</f>
        <v>0</v>
      </c>
      <c r="V25" s="31" cm="1">
        <f t="array" ref="V25">INT(SUMPRODUCT(--ISNUMBER(SEARCH(abortion,C25)))&gt;0)</f>
        <v>0</v>
      </c>
      <c r="W25" s="31" cm="1">
        <f t="array" ref="W25">INT(SUMPRODUCT(--ISNUMBER(SEARCH(trump,C25)))&gt;0)</f>
        <v>0</v>
      </c>
      <c r="X25" s="31" cm="1">
        <f t="array" ref="X25">INT(SUMPRODUCT(--ISNUMBER(SEARCH(voting,C25)))&gt;0)</f>
        <v>0</v>
      </c>
      <c r="Y25" s="31" cm="1">
        <f t="array" ref="Y25">INT(SUMPRODUCT(--ISNUMBER(SEARCH(democrattrigger,C25)))&gt;0)</f>
        <v>1</v>
      </c>
      <c r="Z25" s="31" cm="1">
        <f t="array" ref="Z25">INT(SUMPRODUCT(--ISNUMBER(SEARCH(bipartisan,C25)))&gt;0)</f>
        <v>0</v>
      </c>
      <c r="AA25" s="31">
        <f t="shared" si="0"/>
        <v>0</v>
      </c>
      <c r="AB25" s="31"/>
      <c r="AC25" s="111">
        <v>0</v>
      </c>
      <c r="AD25" s="112">
        <v>1</v>
      </c>
    </row>
    <row r="26" spans="1:30" x14ac:dyDescent="0.25">
      <c r="A26" s="109">
        <v>1882</v>
      </c>
      <c r="B26" s="31" t="s">
        <v>3790</v>
      </c>
      <c r="C26" s="31" t="s">
        <v>3791</v>
      </c>
      <c r="D26" s="110">
        <v>44137</v>
      </c>
      <c r="E26" s="31" t="s">
        <v>30</v>
      </c>
      <c r="F26" s="31">
        <v>325</v>
      </c>
      <c r="G26" s="31">
        <v>113</v>
      </c>
      <c r="H26" s="31">
        <v>9</v>
      </c>
      <c r="I26" s="31">
        <v>5</v>
      </c>
      <c r="J26" s="31" t="s">
        <v>204</v>
      </c>
      <c r="K26" s="31" cm="1">
        <f t="array" ref="K26">INT(SUMPRODUCT(--ISNUMBER(SEARCH(economy,C26)))&gt;0)</f>
        <v>0</v>
      </c>
      <c r="L26" s="31" cm="1">
        <f t="array" ref="L26">INT(SUMPRODUCT(--ISNUMBER(SEARCH(healthcare,C26)))&gt;0)</f>
        <v>0</v>
      </c>
      <c r="M26" s="31" cm="1">
        <f t="array" ref="M26">INT(SUMPRODUCT(--ISNUMBER(SEARCH(supreme,C26)))&gt;0)</f>
        <v>0</v>
      </c>
      <c r="N26" s="31" cm="1">
        <f t="array" ref="N26">INT(SUMPRODUCT(--ISNUMBER(SEARCH(covid,C26)))&gt;0)</f>
        <v>0</v>
      </c>
      <c r="O26" s="31" cm="1">
        <f t="array" ref="O26">INT(SUMPRODUCT(--ISNUMBER(SEARCH(violent,C26)))&gt;0)</f>
        <v>0</v>
      </c>
      <c r="P26" s="31" cm="1">
        <f t="array" ref="P26">INT(SUMPRODUCT(--ISNUMBER(SEARCH(foreign,C26)))&gt;0)</f>
        <v>0</v>
      </c>
      <c r="Q26" s="31" cm="1">
        <f t="array" ref="Q26">INT(SUMPRODUCT(--ISNUMBER(SEARCH(gun,C26)))&gt;0)</f>
        <v>0</v>
      </c>
      <c r="R26" s="31" cm="1">
        <f t="array" ref="R26">INT(SUMPRODUCT(--ISNUMBER(SEARCH(race,C26)))&gt;0)</f>
        <v>0</v>
      </c>
      <c r="S26" s="31" cm="1">
        <f t="array" ref="S26">INT(SUMPRODUCT(--ISNUMBER(SEARCH(immigration,C26)))&gt;0)</f>
        <v>0</v>
      </c>
      <c r="T26" s="31" cm="1">
        <f t="array" ref="T26">INT(SUMPRODUCT(--ISNUMBER(SEARCH(econineq,C27)))&gt;0)</f>
        <v>0</v>
      </c>
      <c r="U26" s="31" cm="1">
        <f t="array" ref="U26">INT(SUMPRODUCT(--ISNUMBER(SEARCH(climate,C26)))&gt;0)</f>
        <v>0</v>
      </c>
      <c r="V26" s="31" cm="1">
        <f t="array" ref="V26">INT(SUMPRODUCT(--ISNUMBER(SEARCH(abortion,C26)))&gt;0)</f>
        <v>0</v>
      </c>
      <c r="W26" s="31" cm="1">
        <f t="array" ref="W26">INT(SUMPRODUCT(--ISNUMBER(SEARCH(trump,C26)))&gt;0)</f>
        <v>0</v>
      </c>
      <c r="X26" s="31" cm="1">
        <f t="array" ref="X26">INT(SUMPRODUCT(--ISNUMBER(SEARCH(voting,C26)))&gt;0)</f>
        <v>0</v>
      </c>
      <c r="Y26" s="31" cm="1">
        <f t="array" ref="Y26">INT(SUMPRODUCT(--ISNUMBER(SEARCH(democrattrigger,C26)))&gt;0)</f>
        <v>1</v>
      </c>
      <c r="Z26" s="31" cm="1">
        <f t="array" ref="Z26">INT(SUMPRODUCT(--ISNUMBER(SEARCH(bipartisan,C26)))&gt;0)</f>
        <v>1</v>
      </c>
      <c r="AA26" s="31">
        <f t="shared" si="0"/>
        <v>0</v>
      </c>
      <c r="AB26" s="31"/>
      <c r="AC26" s="111">
        <v>0</v>
      </c>
      <c r="AD26" s="112">
        <v>1</v>
      </c>
    </row>
    <row r="27" spans="1:30" x14ac:dyDescent="0.25">
      <c r="A27" s="109">
        <v>1883</v>
      </c>
      <c r="B27" s="31" t="s">
        <v>3792</v>
      </c>
      <c r="C27" s="31" t="s">
        <v>3793</v>
      </c>
      <c r="D27" s="110">
        <v>44137</v>
      </c>
      <c r="E27" s="31" t="s">
        <v>30</v>
      </c>
      <c r="F27" s="31">
        <v>551</v>
      </c>
      <c r="G27" s="31">
        <v>160</v>
      </c>
      <c r="H27" s="31">
        <v>9</v>
      </c>
      <c r="I27" s="31">
        <v>5</v>
      </c>
      <c r="J27" s="31" t="s">
        <v>204</v>
      </c>
      <c r="K27" s="31" cm="1">
        <f t="array" ref="K27">INT(SUMPRODUCT(--ISNUMBER(SEARCH(economy,C27)))&gt;0)</f>
        <v>0</v>
      </c>
      <c r="L27" s="31" cm="1">
        <f t="array" ref="L27">INT(SUMPRODUCT(--ISNUMBER(SEARCH(healthcare,C27)))&gt;0)</f>
        <v>0</v>
      </c>
      <c r="M27" s="31" cm="1">
        <f t="array" ref="M27">INT(SUMPRODUCT(--ISNUMBER(SEARCH(supreme,C27)))&gt;0)</f>
        <v>0</v>
      </c>
      <c r="N27" s="31" cm="1">
        <f t="array" ref="N27">INT(SUMPRODUCT(--ISNUMBER(SEARCH(covid,C27)))&gt;0)</f>
        <v>0</v>
      </c>
      <c r="O27" s="31" cm="1">
        <f t="array" ref="O27">INT(SUMPRODUCT(--ISNUMBER(SEARCH(violent,C27)))&gt;0)</f>
        <v>0</v>
      </c>
      <c r="P27" s="31" cm="1">
        <f t="array" ref="P27">INT(SUMPRODUCT(--ISNUMBER(SEARCH(foreign,C27)))&gt;0)</f>
        <v>0</v>
      </c>
      <c r="Q27" s="31" cm="1">
        <f t="array" ref="Q27">INT(SUMPRODUCT(--ISNUMBER(SEARCH(gun,C27)))&gt;0)</f>
        <v>0</v>
      </c>
      <c r="R27" s="31" cm="1">
        <f t="array" ref="R27">INT(SUMPRODUCT(--ISNUMBER(SEARCH(race,C27)))&gt;0)</f>
        <v>0</v>
      </c>
      <c r="S27" s="31" cm="1">
        <f t="array" ref="S27">INT(SUMPRODUCT(--ISNUMBER(SEARCH(immigration,C27)))&gt;0)</f>
        <v>0</v>
      </c>
      <c r="T27" s="31" cm="1">
        <f t="array" ref="T27">INT(SUMPRODUCT(--ISNUMBER(SEARCH(econineq,C28)))&gt;0)</f>
        <v>0</v>
      </c>
      <c r="U27" s="31" cm="1">
        <f t="array" ref="U27">INT(SUMPRODUCT(--ISNUMBER(SEARCH(climate,C27)))&gt;0)</f>
        <v>0</v>
      </c>
      <c r="V27" s="31" cm="1">
        <f t="array" ref="V27">INT(SUMPRODUCT(--ISNUMBER(SEARCH(abortion,C27)))&gt;0)</f>
        <v>0</v>
      </c>
      <c r="W27" s="31" cm="1">
        <f t="array" ref="W27">INT(SUMPRODUCT(--ISNUMBER(SEARCH(trump,C27)))&gt;0)</f>
        <v>0</v>
      </c>
      <c r="X27" s="31" cm="1">
        <f t="array" ref="X27">INT(SUMPRODUCT(--ISNUMBER(SEARCH(voting,C27)))&gt;0)</f>
        <v>0</v>
      </c>
      <c r="Y27" s="31" cm="1">
        <f t="array" ref="Y27">INT(SUMPRODUCT(--ISNUMBER(SEARCH(democrattrigger,C27)))&gt;0)</f>
        <v>0</v>
      </c>
      <c r="Z27" s="31" cm="1">
        <f t="array" ref="Z27">INT(SUMPRODUCT(--ISNUMBER(SEARCH(bipartisan,C27)))&gt;0)</f>
        <v>0</v>
      </c>
      <c r="AA27" s="31">
        <f t="shared" si="0"/>
        <v>1</v>
      </c>
      <c r="AB27" s="31"/>
      <c r="AC27" s="111">
        <v>0</v>
      </c>
      <c r="AD27" s="112">
        <v>1</v>
      </c>
    </row>
    <row r="28" spans="1:30" x14ac:dyDescent="0.25">
      <c r="A28" s="109">
        <v>1884</v>
      </c>
      <c r="B28" s="31" t="s">
        <v>3794</v>
      </c>
      <c r="C28" s="31" t="s">
        <v>3795</v>
      </c>
      <c r="D28" s="110">
        <v>44137</v>
      </c>
      <c r="E28" s="31" t="s">
        <v>30</v>
      </c>
      <c r="F28" s="31">
        <v>490</v>
      </c>
      <c r="G28" s="31">
        <v>175</v>
      </c>
      <c r="H28" s="31">
        <v>9</v>
      </c>
      <c r="I28" s="31">
        <v>5</v>
      </c>
      <c r="J28" s="31" t="s">
        <v>204</v>
      </c>
      <c r="K28" s="31" cm="1">
        <f t="array" ref="K28">INT(SUMPRODUCT(--ISNUMBER(SEARCH(economy,C28)))&gt;0)</f>
        <v>0</v>
      </c>
      <c r="L28" s="31" cm="1">
        <f t="array" ref="L28">INT(SUMPRODUCT(--ISNUMBER(SEARCH(healthcare,C28)))&gt;0)</f>
        <v>0</v>
      </c>
      <c r="M28" s="31" cm="1">
        <f t="array" ref="M28">INT(SUMPRODUCT(--ISNUMBER(SEARCH(supreme,C28)))&gt;0)</f>
        <v>0</v>
      </c>
      <c r="N28" s="31" cm="1">
        <f t="array" ref="N28">INT(SUMPRODUCT(--ISNUMBER(SEARCH(covid,C28)))&gt;0)</f>
        <v>0</v>
      </c>
      <c r="O28" s="31" cm="1">
        <f t="array" ref="O28">INT(SUMPRODUCT(--ISNUMBER(SEARCH(violent,C28)))&gt;0)</f>
        <v>0</v>
      </c>
      <c r="P28" s="31" cm="1">
        <f t="array" ref="P28">INT(SUMPRODUCT(--ISNUMBER(SEARCH(foreign,C28)))&gt;0)</f>
        <v>0</v>
      </c>
      <c r="Q28" s="31" cm="1">
        <f t="array" ref="Q28">INT(SUMPRODUCT(--ISNUMBER(SEARCH(gun,C28)))&gt;0)</f>
        <v>0</v>
      </c>
      <c r="R28" s="31" cm="1">
        <f t="array" ref="R28">INT(SUMPRODUCT(--ISNUMBER(SEARCH(race,C28)))&gt;0)</f>
        <v>0</v>
      </c>
      <c r="S28" s="31" cm="1">
        <f t="array" ref="S28">INT(SUMPRODUCT(--ISNUMBER(SEARCH(immigration,C28)))&gt;0)</f>
        <v>0</v>
      </c>
      <c r="T28" s="31" cm="1">
        <f t="array" ref="T28">INT(SUMPRODUCT(--ISNUMBER(SEARCH(econineq,C29)))&gt;0)</f>
        <v>0</v>
      </c>
      <c r="U28" s="31" cm="1">
        <f t="array" ref="U28">INT(SUMPRODUCT(--ISNUMBER(SEARCH(climate,C28)))&gt;0)</f>
        <v>0</v>
      </c>
      <c r="V28" s="31" cm="1">
        <f t="array" ref="V28">INT(SUMPRODUCT(--ISNUMBER(SEARCH(abortion,C28)))&gt;0)</f>
        <v>0</v>
      </c>
      <c r="W28" s="31" cm="1">
        <f t="array" ref="W28">INT(SUMPRODUCT(--ISNUMBER(SEARCH(trump,C28)))&gt;0)</f>
        <v>0</v>
      </c>
      <c r="X28" s="31" cm="1">
        <f t="array" ref="X28">INT(SUMPRODUCT(--ISNUMBER(SEARCH(voting,C28)))&gt;0)</f>
        <v>1</v>
      </c>
      <c r="Y28" s="31" cm="1">
        <f t="array" ref="Y28">INT(SUMPRODUCT(--ISNUMBER(SEARCH(democrattrigger,C28)))&gt;0)</f>
        <v>0</v>
      </c>
      <c r="Z28" s="31" cm="1">
        <f t="array" ref="Z28">INT(SUMPRODUCT(--ISNUMBER(SEARCH(bipartisan,C28)))&gt;0)</f>
        <v>0</v>
      </c>
      <c r="AA28" s="31">
        <f t="shared" si="0"/>
        <v>0</v>
      </c>
      <c r="AB28" s="31"/>
      <c r="AC28" s="111" t="s">
        <v>223</v>
      </c>
      <c r="AD28" s="112" t="s">
        <v>223</v>
      </c>
    </row>
    <row r="29" spans="1:30" x14ac:dyDescent="0.25">
      <c r="A29" s="109">
        <v>1885</v>
      </c>
      <c r="B29" s="31" t="s">
        <v>3796</v>
      </c>
      <c r="C29" s="31" t="s">
        <v>3797</v>
      </c>
      <c r="D29" s="110">
        <v>44137</v>
      </c>
      <c r="E29" s="31" t="s">
        <v>30</v>
      </c>
      <c r="F29" s="31">
        <v>259</v>
      </c>
      <c r="G29" s="31">
        <v>114</v>
      </c>
      <c r="H29" s="31">
        <v>9</v>
      </c>
      <c r="I29" s="31">
        <v>5</v>
      </c>
      <c r="J29" s="31" t="s">
        <v>204</v>
      </c>
      <c r="K29" s="31" cm="1">
        <f t="array" ref="K29">INT(SUMPRODUCT(--ISNUMBER(SEARCH(economy,C29)))&gt;0)</f>
        <v>0</v>
      </c>
      <c r="L29" s="31" cm="1">
        <f t="array" ref="L29">INT(SUMPRODUCT(--ISNUMBER(SEARCH(healthcare,C29)))&gt;0)</f>
        <v>1</v>
      </c>
      <c r="M29" s="31" cm="1">
        <f t="array" ref="M29">INT(SUMPRODUCT(--ISNUMBER(SEARCH(supreme,C29)))&gt;0)</f>
        <v>0</v>
      </c>
      <c r="N29" s="31" cm="1">
        <f t="array" ref="N29">INT(SUMPRODUCT(--ISNUMBER(SEARCH(covid,C29)))&gt;0)</f>
        <v>0</v>
      </c>
      <c r="O29" s="31" cm="1">
        <f t="array" ref="O29">INT(SUMPRODUCT(--ISNUMBER(SEARCH(violent,C29)))&gt;0)</f>
        <v>0</v>
      </c>
      <c r="P29" s="31" cm="1">
        <f t="array" ref="P29">INT(SUMPRODUCT(--ISNUMBER(SEARCH(foreign,C29)))&gt;0)</f>
        <v>0</v>
      </c>
      <c r="Q29" s="31" cm="1">
        <f t="array" ref="Q29">INT(SUMPRODUCT(--ISNUMBER(SEARCH(gun,C29)))&gt;0)</f>
        <v>0</v>
      </c>
      <c r="R29" s="31" cm="1">
        <f t="array" ref="R29">INT(SUMPRODUCT(--ISNUMBER(SEARCH(race,C29)))&gt;0)</f>
        <v>0</v>
      </c>
      <c r="S29" s="31" cm="1">
        <f t="array" ref="S29">INT(SUMPRODUCT(--ISNUMBER(SEARCH(immigration,C29)))&gt;0)</f>
        <v>0</v>
      </c>
      <c r="T29" s="31" cm="1">
        <f t="array" ref="T29">INT(SUMPRODUCT(--ISNUMBER(SEARCH(econineq,C30)))&gt;0)</f>
        <v>0</v>
      </c>
      <c r="U29" s="31" cm="1">
        <f t="array" ref="U29">INT(SUMPRODUCT(--ISNUMBER(SEARCH(climate,C29)))&gt;0)</f>
        <v>0</v>
      </c>
      <c r="V29" s="31" cm="1">
        <f t="array" ref="V29">INT(SUMPRODUCT(--ISNUMBER(SEARCH(abortion,C29)))&gt;0)</f>
        <v>0</v>
      </c>
      <c r="W29" s="31" cm="1">
        <f t="array" ref="W29">INT(SUMPRODUCT(--ISNUMBER(SEARCH(trump,C29)))&gt;0)</f>
        <v>0</v>
      </c>
      <c r="X29" s="31" cm="1">
        <f t="array" ref="X29">INT(SUMPRODUCT(--ISNUMBER(SEARCH(voting,C29)))&gt;0)</f>
        <v>1</v>
      </c>
      <c r="Y29" s="31" cm="1">
        <f t="array" ref="Y29">INT(SUMPRODUCT(--ISNUMBER(SEARCH(democrattrigger,C29)))&gt;0)</f>
        <v>0</v>
      </c>
      <c r="Z29" s="31" cm="1">
        <f t="array" ref="Z29">INT(SUMPRODUCT(--ISNUMBER(SEARCH(bipartisan,C29)))&gt;0)</f>
        <v>0</v>
      </c>
      <c r="AA29" s="31">
        <f t="shared" si="0"/>
        <v>0</v>
      </c>
      <c r="AB29" s="31"/>
      <c r="AC29" s="111">
        <v>0</v>
      </c>
      <c r="AD29" s="112">
        <v>1</v>
      </c>
    </row>
    <row r="30" spans="1:30" x14ac:dyDescent="0.25">
      <c r="A30" s="109">
        <v>1886</v>
      </c>
      <c r="B30" s="31" t="s">
        <v>3798</v>
      </c>
      <c r="C30" s="31" t="s">
        <v>3799</v>
      </c>
      <c r="D30" s="110">
        <v>44136</v>
      </c>
      <c r="E30" s="31" t="s">
        <v>30</v>
      </c>
      <c r="F30" s="31">
        <v>209</v>
      </c>
      <c r="G30" s="31">
        <v>92</v>
      </c>
      <c r="H30" s="31">
        <v>9</v>
      </c>
      <c r="I30" s="31">
        <v>5</v>
      </c>
      <c r="J30" s="31" t="s">
        <v>204</v>
      </c>
      <c r="K30" s="31" cm="1">
        <f t="array" ref="K30">INT(SUMPRODUCT(--ISNUMBER(SEARCH(economy,C30)))&gt;0)</f>
        <v>0</v>
      </c>
      <c r="L30" s="31" cm="1">
        <f t="array" ref="L30">INT(SUMPRODUCT(--ISNUMBER(SEARCH(healthcare,C30)))&gt;0)</f>
        <v>0</v>
      </c>
      <c r="M30" s="31" cm="1">
        <f t="array" ref="M30">INT(SUMPRODUCT(--ISNUMBER(SEARCH(supreme,C30)))&gt;0)</f>
        <v>0</v>
      </c>
      <c r="N30" s="31" cm="1">
        <f t="array" ref="N30">INT(SUMPRODUCT(--ISNUMBER(SEARCH(covid,C30)))&gt;0)</f>
        <v>0</v>
      </c>
      <c r="O30" s="31" cm="1">
        <f t="array" ref="O30">INT(SUMPRODUCT(--ISNUMBER(SEARCH(violent,C30)))&gt;0)</f>
        <v>0</v>
      </c>
      <c r="P30" s="31" cm="1">
        <f t="array" ref="P30">INT(SUMPRODUCT(--ISNUMBER(SEARCH(foreign,C30)))&gt;0)</f>
        <v>0</v>
      </c>
      <c r="Q30" s="31" cm="1">
        <f t="array" ref="Q30">INT(SUMPRODUCT(--ISNUMBER(SEARCH(gun,C30)))&gt;0)</f>
        <v>0</v>
      </c>
      <c r="R30" s="31" cm="1">
        <f t="array" ref="R30">INT(SUMPRODUCT(--ISNUMBER(SEARCH(race,C30)))&gt;0)</f>
        <v>0</v>
      </c>
      <c r="S30" s="31" cm="1">
        <f t="array" ref="S30">INT(SUMPRODUCT(--ISNUMBER(SEARCH(immigration,C30)))&gt;0)</f>
        <v>0</v>
      </c>
      <c r="T30" s="31" cm="1">
        <f t="array" ref="T30">INT(SUMPRODUCT(--ISNUMBER(SEARCH(econineq,C31)))&gt;0)</f>
        <v>0</v>
      </c>
      <c r="U30" s="31" cm="1">
        <f t="array" ref="U30">INT(SUMPRODUCT(--ISNUMBER(SEARCH(climate,C30)))&gt;0)</f>
        <v>0</v>
      </c>
      <c r="V30" s="31" cm="1">
        <f t="array" ref="V30">INT(SUMPRODUCT(--ISNUMBER(SEARCH(abortion,C30)))&gt;0)</f>
        <v>0</v>
      </c>
      <c r="W30" s="31" cm="1">
        <f t="array" ref="W30">INT(SUMPRODUCT(--ISNUMBER(SEARCH(trump,C30)))&gt;0)</f>
        <v>0</v>
      </c>
      <c r="X30" s="31" cm="1">
        <f t="array" ref="X30">INT(SUMPRODUCT(--ISNUMBER(SEARCH(voting,C30)))&gt;0)</f>
        <v>1</v>
      </c>
      <c r="Y30" s="31" cm="1">
        <f t="array" ref="Y30">INT(SUMPRODUCT(--ISNUMBER(SEARCH(democrattrigger,C30)))&gt;0)</f>
        <v>0</v>
      </c>
      <c r="Z30" s="31" cm="1">
        <f t="array" ref="Z30">INT(SUMPRODUCT(--ISNUMBER(SEARCH(bipartisan,C30)))&gt;0)</f>
        <v>0</v>
      </c>
      <c r="AA30" s="31">
        <f t="shared" si="0"/>
        <v>0</v>
      </c>
      <c r="AB30" s="31"/>
      <c r="AC30" s="111">
        <v>1</v>
      </c>
      <c r="AD30" s="112">
        <v>0</v>
      </c>
    </row>
    <row r="31" spans="1:30" x14ac:dyDescent="0.25">
      <c r="A31" s="109">
        <v>1887</v>
      </c>
      <c r="B31" s="31" t="s">
        <v>3800</v>
      </c>
      <c r="C31" s="31" t="s">
        <v>3801</v>
      </c>
      <c r="D31" s="110">
        <v>44136</v>
      </c>
      <c r="E31" s="31" t="s">
        <v>30</v>
      </c>
      <c r="F31" s="31">
        <v>387</v>
      </c>
      <c r="G31" s="31">
        <v>116</v>
      </c>
      <c r="H31" s="31">
        <v>9</v>
      </c>
      <c r="I31" s="31">
        <v>5</v>
      </c>
      <c r="J31" s="31" t="s">
        <v>204</v>
      </c>
      <c r="K31" s="31" cm="1">
        <f t="array" ref="K31">INT(SUMPRODUCT(--ISNUMBER(SEARCH(economy,C31)))&gt;0)</f>
        <v>0</v>
      </c>
      <c r="L31" s="31" cm="1">
        <f t="array" ref="L31">INT(SUMPRODUCT(--ISNUMBER(SEARCH(healthcare,C31)))&gt;0)</f>
        <v>1</v>
      </c>
      <c r="M31" s="31" cm="1">
        <f t="array" ref="M31">INT(SUMPRODUCT(--ISNUMBER(SEARCH(supreme,C31)))&gt;0)</f>
        <v>0</v>
      </c>
      <c r="N31" s="31" cm="1">
        <f t="array" ref="N31">INT(SUMPRODUCT(--ISNUMBER(SEARCH(covid,C31)))&gt;0)</f>
        <v>0</v>
      </c>
      <c r="O31" s="31" cm="1">
        <f t="array" ref="O31">INT(SUMPRODUCT(--ISNUMBER(SEARCH(violent,C31)))&gt;0)</f>
        <v>0</v>
      </c>
      <c r="P31" s="31" cm="1">
        <f t="array" ref="P31">INT(SUMPRODUCT(--ISNUMBER(SEARCH(foreign,C31)))&gt;0)</f>
        <v>0</v>
      </c>
      <c r="Q31" s="31" cm="1">
        <f t="array" ref="Q31">INT(SUMPRODUCT(--ISNUMBER(SEARCH(gun,C31)))&gt;0)</f>
        <v>0</v>
      </c>
      <c r="R31" s="31" cm="1">
        <f t="array" ref="R31">INT(SUMPRODUCT(--ISNUMBER(SEARCH(race,C31)))&gt;0)</f>
        <v>0</v>
      </c>
      <c r="S31" s="31" cm="1">
        <f t="array" ref="S31">INT(SUMPRODUCT(--ISNUMBER(SEARCH(immigration,C31)))&gt;0)</f>
        <v>0</v>
      </c>
      <c r="T31" s="31" cm="1">
        <f t="array" ref="T31">INT(SUMPRODUCT(--ISNUMBER(SEARCH(econineq,C32)))&gt;0)</f>
        <v>0</v>
      </c>
      <c r="U31" s="31" cm="1">
        <f t="array" ref="U31">INT(SUMPRODUCT(--ISNUMBER(SEARCH(climate,C31)))&gt;0)</f>
        <v>0</v>
      </c>
      <c r="V31" s="31" cm="1">
        <f t="array" ref="V31">INT(SUMPRODUCT(--ISNUMBER(SEARCH(abortion,C31)))&gt;0)</f>
        <v>0</v>
      </c>
      <c r="W31" s="31" cm="1">
        <f t="array" ref="W31">INT(SUMPRODUCT(--ISNUMBER(SEARCH(trump,C31)))&gt;0)</f>
        <v>0</v>
      </c>
      <c r="X31" s="31" cm="1">
        <f t="array" ref="X31">INT(SUMPRODUCT(--ISNUMBER(SEARCH(voting,C31)))&gt;0)</f>
        <v>1</v>
      </c>
      <c r="Y31" s="31" cm="1">
        <f t="array" ref="Y31">INT(SUMPRODUCT(--ISNUMBER(SEARCH(democrattrigger,C31)))&gt;0)</f>
        <v>0</v>
      </c>
      <c r="Z31" s="31" cm="1">
        <f t="array" ref="Z31">INT(SUMPRODUCT(--ISNUMBER(SEARCH(bipartisan,C31)))&gt;0)</f>
        <v>0</v>
      </c>
      <c r="AA31" s="31">
        <f t="shared" si="0"/>
        <v>0</v>
      </c>
      <c r="AB31" s="31"/>
      <c r="AC31" s="111">
        <v>1</v>
      </c>
      <c r="AD31" s="112">
        <v>0</v>
      </c>
    </row>
    <row r="32" spans="1:30" x14ac:dyDescent="0.25">
      <c r="A32" s="109">
        <v>1888</v>
      </c>
      <c r="B32" s="31" t="s">
        <v>3802</v>
      </c>
      <c r="C32" s="31" t="s">
        <v>3803</v>
      </c>
      <c r="D32" s="110">
        <v>44136</v>
      </c>
      <c r="E32" s="31" t="s">
        <v>30</v>
      </c>
      <c r="F32" s="31">
        <v>149</v>
      </c>
      <c r="G32" s="31">
        <v>54</v>
      </c>
      <c r="H32" s="31">
        <v>9</v>
      </c>
      <c r="I32" s="31">
        <v>5</v>
      </c>
      <c r="J32" s="31" t="s">
        <v>204</v>
      </c>
      <c r="K32" s="31" cm="1">
        <f t="array" ref="K32">INT(SUMPRODUCT(--ISNUMBER(SEARCH(economy,C32)))&gt;0)</f>
        <v>0</v>
      </c>
      <c r="L32" s="31" cm="1">
        <f t="array" ref="L32">INT(SUMPRODUCT(--ISNUMBER(SEARCH(healthcare,C32)))&gt;0)</f>
        <v>0</v>
      </c>
      <c r="M32" s="31" cm="1">
        <f t="array" ref="M32">INT(SUMPRODUCT(--ISNUMBER(SEARCH(supreme,C32)))&gt;0)</f>
        <v>0</v>
      </c>
      <c r="N32" s="31" cm="1">
        <f t="array" ref="N32">INT(SUMPRODUCT(--ISNUMBER(SEARCH(covid,C32)))&gt;0)</f>
        <v>0</v>
      </c>
      <c r="O32" s="31" cm="1">
        <f t="array" ref="O32">INT(SUMPRODUCT(--ISNUMBER(SEARCH(violent,C32)))&gt;0)</f>
        <v>0</v>
      </c>
      <c r="P32" s="31" cm="1">
        <f t="array" ref="P32">INT(SUMPRODUCT(--ISNUMBER(SEARCH(foreign,C32)))&gt;0)</f>
        <v>0</v>
      </c>
      <c r="Q32" s="31" cm="1">
        <f t="array" ref="Q32">INT(SUMPRODUCT(--ISNUMBER(SEARCH(gun,C32)))&gt;0)</f>
        <v>0</v>
      </c>
      <c r="R32" s="31" cm="1">
        <f t="array" ref="R32">INT(SUMPRODUCT(--ISNUMBER(SEARCH(race,C32)))&gt;0)</f>
        <v>0</v>
      </c>
      <c r="S32" s="31" cm="1">
        <f t="array" ref="S32">INT(SUMPRODUCT(--ISNUMBER(SEARCH(immigration,C32)))&gt;0)</f>
        <v>0</v>
      </c>
      <c r="T32" s="31" cm="1">
        <f t="array" ref="T32">INT(SUMPRODUCT(--ISNUMBER(SEARCH(econineq,C33)))&gt;0)</f>
        <v>0</v>
      </c>
      <c r="U32" s="31" cm="1">
        <f t="array" ref="U32">INT(SUMPRODUCT(--ISNUMBER(SEARCH(climate,C32)))&gt;0)</f>
        <v>0</v>
      </c>
      <c r="V32" s="31" cm="1">
        <f t="array" ref="V32">INT(SUMPRODUCT(--ISNUMBER(SEARCH(abortion,C32)))&gt;0)</f>
        <v>0</v>
      </c>
      <c r="W32" s="31" cm="1">
        <f t="array" ref="W32">INT(SUMPRODUCT(--ISNUMBER(SEARCH(trump,C32)))&gt;0)</f>
        <v>0</v>
      </c>
      <c r="X32" s="31" cm="1">
        <f t="array" ref="X32">INT(SUMPRODUCT(--ISNUMBER(SEARCH(voting,C32)))&gt;0)</f>
        <v>1</v>
      </c>
      <c r="Y32" s="31" cm="1">
        <f t="array" ref="Y32">INT(SUMPRODUCT(--ISNUMBER(SEARCH(democrattrigger,C32)))&gt;0)</f>
        <v>0</v>
      </c>
      <c r="Z32" s="31" cm="1">
        <f t="array" ref="Z32">INT(SUMPRODUCT(--ISNUMBER(SEARCH(bipartisan,C32)))&gt;0)</f>
        <v>0</v>
      </c>
      <c r="AA32" s="31">
        <f t="shared" si="0"/>
        <v>0</v>
      </c>
      <c r="AB32" s="31"/>
      <c r="AC32" s="111" t="s">
        <v>223</v>
      </c>
      <c r="AD32" s="112" t="s">
        <v>223</v>
      </c>
    </row>
    <row r="33" spans="1:30" x14ac:dyDescent="0.25">
      <c r="A33" s="109">
        <v>1889</v>
      </c>
      <c r="B33" s="31" t="s">
        <v>3804</v>
      </c>
      <c r="C33" s="31" t="s">
        <v>3805</v>
      </c>
      <c r="D33" s="110">
        <v>44136</v>
      </c>
      <c r="E33" s="31" t="s">
        <v>30</v>
      </c>
      <c r="F33" s="31">
        <v>179</v>
      </c>
      <c r="G33" s="31">
        <v>125</v>
      </c>
      <c r="H33" s="31">
        <v>9</v>
      </c>
      <c r="I33" s="31">
        <v>5</v>
      </c>
      <c r="J33" s="31" t="s">
        <v>204</v>
      </c>
      <c r="K33" s="31" cm="1">
        <f t="array" ref="K33">INT(SUMPRODUCT(--ISNUMBER(SEARCH(economy,C33)))&gt;0)</f>
        <v>0</v>
      </c>
      <c r="L33" s="31" cm="1">
        <f t="array" ref="L33">INT(SUMPRODUCT(--ISNUMBER(SEARCH(healthcare,C33)))&gt;0)</f>
        <v>0</v>
      </c>
      <c r="M33" s="31" cm="1">
        <f t="array" ref="M33">INT(SUMPRODUCT(--ISNUMBER(SEARCH(supreme,C33)))&gt;0)</f>
        <v>0</v>
      </c>
      <c r="N33" s="31" cm="1">
        <f t="array" ref="N33">INT(SUMPRODUCT(--ISNUMBER(SEARCH(covid,C33)))&gt;0)</f>
        <v>0</v>
      </c>
      <c r="O33" s="31" cm="1">
        <f t="array" ref="O33">INT(SUMPRODUCT(--ISNUMBER(SEARCH(violent,C33)))&gt;0)</f>
        <v>0</v>
      </c>
      <c r="P33" s="31" cm="1">
        <f t="array" ref="P33">INT(SUMPRODUCT(--ISNUMBER(SEARCH(foreign,C33)))&gt;0)</f>
        <v>0</v>
      </c>
      <c r="Q33" s="31" cm="1">
        <f t="array" ref="Q33">INT(SUMPRODUCT(--ISNUMBER(SEARCH(gun,C33)))&gt;0)</f>
        <v>0</v>
      </c>
      <c r="R33" s="31" cm="1">
        <f t="array" ref="R33">INT(SUMPRODUCT(--ISNUMBER(SEARCH(race,C33)))&gt;0)</f>
        <v>0</v>
      </c>
      <c r="S33" s="31" cm="1">
        <f t="array" ref="S33">INT(SUMPRODUCT(--ISNUMBER(SEARCH(immigration,C33)))&gt;0)</f>
        <v>0</v>
      </c>
      <c r="T33" s="31" cm="1">
        <f t="array" ref="T33">INT(SUMPRODUCT(--ISNUMBER(SEARCH(econineq,C34)))&gt;0)</f>
        <v>0</v>
      </c>
      <c r="U33" s="31" cm="1">
        <f t="array" ref="U33">INT(SUMPRODUCT(--ISNUMBER(SEARCH(climate,C33)))&gt;0)</f>
        <v>0</v>
      </c>
      <c r="V33" s="31" cm="1">
        <f t="array" ref="V33">INT(SUMPRODUCT(--ISNUMBER(SEARCH(abortion,C33)))&gt;0)</f>
        <v>0</v>
      </c>
      <c r="W33" s="31" cm="1">
        <f t="array" ref="W33">INT(SUMPRODUCT(--ISNUMBER(SEARCH(trump,C33)))&gt;0)</f>
        <v>0</v>
      </c>
      <c r="X33" s="31" cm="1">
        <f t="array" ref="X33">INT(SUMPRODUCT(--ISNUMBER(SEARCH(voting,C33)))&gt;0)</f>
        <v>1</v>
      </c>
      <c r="Y33" s="31" cm="1">
        <f t="array" ref="Y33">INT(SUMPRODUCT(--ISNUMBER(SEARCH(democrattrigger,C33)))&gt;0)</f>
        <v>0</v>
      </c>
      <c r="Z33" s="31" cm="1">
        <f t="array" ref="Z33">INT(SUMPRODUCT(--ISNUMBER(SEARCH(bipartisan,C33)))&gt;0)</f>
        <v>0</v>
      </c>
      <c r="AA33" s="31">
        <f t="shared" si="0"/>
        <v>0</v>
      </c>
      <c r="AB33" s="31"/>
      <c r="AC33" s="111">
        <v>1</v>
      </c>
      <c r="AD33" s="112">
        <v>0</v>
      </c>
    </row>
    <row r="34" spans="1:30" x14ac:dyDescent="0.25">
      <c r="A34" s="109">
        <v>1890</v>
      </c>
      <c r="B34" s="31" t="s">
        <v>3806</v>
      </c>
      <c r="C34" s="31" t="s">
        <v>3807</v>
      </c>
      <c r="D34" s="110">
        <v>44136</v>
      </c>
      <c r="E34" s="31" t="s">
        <v>30</v>
      </c>
      <c r="F34" s="31">
        <v>860</v>
      </c>
      <c r="G34" s="31">
        <v>124</v>
      </c>
      <c r="H34" s="31">
        <v>9</v>
      </c>
      <c r="I34" s="31">
        <v>5</v>
      </c>
      <c r="J34" s="31" t="s">
        <v>204</v>
      </c>
      <c r="K34" s="31" cm="1">
        <f t="array" ref="K34">INT(SUMPRODUCT(--ISNUMBER(SEARCH(economy,C34)))&gt;0)</f>
        <v>0</v>
      </c>
      <c r="L34" s="31" cm="1">
        <f t="array" ref="L34">INT(SUMPRODUCT(--ISNUMBER(SEARCH(healthcare,C34)))&gt;0)</f>
        <v>0</v>
      </c>
      <c r="M34" s="31" cm="1">
        <f t="array" ref="M34">INT(SUMPRODUCT(--ISNUMBER(SEARCH(supreme,C34)))&gt;0)</f>
        <v>0</v>
      </c>
      <c r="N34" s="31" cm="1">
        <f t="array" ref="N34">INT(SUMPRODUCT(--ISNUMBER(SEARCH(covid,C34)))&gt;0)</f>
        <v>0</v>
      </c>
      <c r="O34" s="31" cm="1">
        <f t="array" ref="O34">INT(SUMPRODUCT(--ISNUMBER(SEARCH(violent,C34)))&gt;0)</f>
        <v>0</v>
      </c>
      <c r="P34" s="31" cm="1">
        <f t="array" ref="P34">INT(SUMPRODUCT(--ISNUMBER(SEARCH(foreign,C34)))&gt;0)</f>
        <v>0</v>
      </c>
      <c r="Q34" s="31" cm="1">
        <f t="array" ref="Q34">INT(SUMPRODUCT(--ISNUMBER(SEARCH(gun,C34)))&gt;0)</f>
        <v>0</v>
      </c>
      <c r="R34" s="31" cm="1">
        <f t="array" ref="R34">INT(SUMPRODUCT(--ISNUMBER(SEARCH(race,C34)))&gt;0)</f>
        <v>0</v>
      </c>
      <c r="S34" s="31" cm="1">
        <f t="array" ref="S34">INT(SUMPRODUCT(--ISNUMBER(SEARCH(immigration,C34)))&gt;0)</f>
        <v>0</v>
      </c>
      <c r="T34" s="31" cm="1">
        <f t="array" ref="T34">INT(SUMPRODUCT(--ISNUMBER(SEARCH(econineq,C35)))&gt;0)</f>
        <v>0</v>
      </c>
      <c r="U34" s="31" cm="1">
        <f t="array" ref="U34">INT(SUMPRODUCT(--ISNUMBER(SEARCH(climate,C34)))&gt;0)</f>
        <v>0</v>
      </c>
      <c r="V34" s="31" cm="1">
        <f t="array" ref="V34">INT(SUMPRODUCT(--ISNUMBER(SEARCH(abortion,C34)))&gt;0)</f>
        <v>0</v>
      </c>
      <c r="W34" s="31" cm="1">
        <f t="array" ref="W34">INT(SUMPRODUCT(--ISNUMBER(SEARCH(trump,C34)))&gt;0)</f>
        <v>0</v>
      </c>
      <c r="X34" s="31" cm="1">
        <f t="array" ref="X34">INT(SUMPRODUCT(--ISNUMBER(SEARCH(voting,C34)))&gt;0)</f>
        <v>0</v>
      </c>
      <c r="Y34" s="31" cm="1">
        <f t="array" ref="Y34">INT(SUMPRODUCT(--ISNUMBER(SEARCH(democrattrigger,C34)))&gt;0)</f>
        <v>0</v>
      </c>
      <c r="Z34" s="31" cm="1">
        <f t="array" ref="Z34">INT(SUMPRODUCT(--ISNUMBER(SEARCH(bipartisan,C34)))&gt;0)</f>
        <v>0</v>
      </c>
      <c r="AA34" s="31">
        <f t="shared" si="0"/>
        <v>1</v>
      </c>
      <c r="AB34" s="31"/>
      <c r="AC34" s="111" t="s">
        <v>223</v>
      </c>
      <c r="AD34" s="112" t="s">
        <v>223</v>
      </c>
    </row>
    <row r="35" spans="1:30" x14ac:dyDescent="0.25">
      <c r="A35" s="109">
        <v>1891</v>
      </c>
      <c r="B35" s="31" t="s">
        <v>3808</v>
      </c>
      <c r="C35" s="31" t="s">
        <v>3809</v>
      </c>
      <c r="D35" s="110">
        <v>44136</v>
      </c>
      <c r="E35" s="31" t="s">
        <v>30</v>
      </c>
      <c r="F35" s="31">
        <v>154</v>
      </c>
      <c r="G35" s="31">
        <v>55</v>
      </c>
      <c r="H35" s="31">
        <v>9</v>
      </c>
      <c r="I35" s="31">
        <v>5</v>
      </c>
      <c r="J35" s="31" t="s">
        <v>204</v>
      </c>
      <c r="K35" s="31" cm="1">
        <f t="array" ref="K35">INT(SUMPRODUCT(--ISNUMBER(SEARCH(economy,C35)))&gt;0)</f>
        <v>0</v>
      </c>
      <c r="L35" s="31" cm="1">
        <f t="array" ref="L35">INT(SUMPRODUCT(--ISNUMBER(SEARCH(healthcare,C35)))&gt;0)</f>
        <v>0</v>
      </c>
      <c r="M35" s="31" cm="1">
        <f t="array" ref="M35">INT(SUMPRODUCT(--ISNUMBER(SEARCH(supreme,C35)))&gt;0)</f>
        <v>0</v>
      </c>
      <c r="N35" s="31" cm="1">
        <f t="array" ref="N35">INT(SUMPRODUCT(--ISNUMBER(SEARCH(covid,C35)))&gt;0)</f>
        <v>0</v>
      </c>
      <c r="O35" s="31" cm="1">
        <f t="array" ref="O35">INT(SUMPRODUCT(--ISNUMBER(SEARCH(violent,C35)))&gt;0)</f>
        <v>0</v>
      </c>
      <c r="P35" s="31" cm="1">
        <f t="array" ref="P35">INT(SUMPRODUCT(--ISNUMBER(SEARCH(foreign,C35)))&gt;0)</f>
        <v>0</v>
      </c>
      <c r="Q35" s="31" cm="1">
        <f t="array" ref="Q35">INT(SUMPRODUCT(--ISNUMBER(SEARCH(gun,C35)))&gt;0)</f>
        <v>0</v>
      </c>
      <c r="R35" s="31" cm="1">
        <f t="array" ref="R35">INT(SUMPRODUCT(--ISNUMBER(SEARCH(race,C35)))&gt;0)</f>
        <v>0</v>
      </c>
      <c r="S35" s="31" cm="1">
        <f t="array" ref="S35">INT(SUMPRODUCT(--ISNUMBER(SEARCH(immigration,C35)))&gt;0)</f>
        <v>0</v>
      </c>
      <c r="T35" s="31" cm="1">
        <f t="array" ref="T35">INT(SUMPRODUCT(--ISNUMBER(SEARCH(econineq,C36)))&gt;0)</f>
        <v>0</v>
      </c>
      <c r="U35" s="31" cm="1">
        <f t="array" ref="U35">INT(SUMPRODUCT(--ISNUMBER(SEARCH(climate,C35)))&gt;0)</f>
        <v>0</v>
      </c>
      <c r="V35" s="31" cm="1">
        <f t="array" ref="V35">INT(SUMPRODUCT(--ISNUMBER(SEARCH(abortion,C35)))&gt;0)</f>
        <v>0</v>
      </c>
      <c r="W35" s="31" cm="1">
        <f t="array" ref="W35">INT(SUMPRODUCT(--ISNUMBER(SEARCH(trump,C35)))&gt;0)</f>
        <v>1</v>
      </c>
      <c r="X35" s="31" cm="1">
        <f t="array" ref="X35">INT(SUMPRODUCT(--ISNUMBER(SEARCH(voting,C35)))&gt;0)</f>
        <v>1</v>
      </c>
      <c r="Y35" s="31" cm="1">
        <f t="array" ref="Y35">INT(SUMPRODUCT(--ISNUMBER(SEARCH(democrattrigger,C35)))&gt;0)</f>
        <v>1</v>
      </c>
      <c r="Z35" s="31" cm="1">
        <f t="array" ref="Z35">INT(SUMPRODUCT(--ISNUMBER(SEARCH(bipartisan,C35)))&gt;0)</f>
        <v>0</v>
      </c>
      <c r="AA35" s="31">
        <f t="shared" si="0"/>
        <v>0</v>
      </c>
      <c r="AB35" s="31"/>
      <c r="AC35" s="111" t="s">
        <v>223</v>
      </c>
      <c r="AD35" s="112" t="s">
        <v>223</v>
      </c>
    </row>
    <row r="36" spans="1:30" x14ac:dyDescent="0.25">
      <c r="A36" s="109">
        <v>1892</v>
      </c>
      <c r="B36" s="31" t="s">
        <v>3810</v>
      </c>
      <c r="C36" s="31" t="s">
        <v>3811</v>
      </c>
      <c r="D36" s="110">
        <v>44136</v>
      </c>
      <c r="E36" s="31" t="s">
        <v>30</v>
      </c>
      <c r="F36" s="31">
        <v>575</v>
      </c>
      <c r="G36" s="31">
        <v>122</v>
      </c>
      <c r="H36" s="31">
        <v>9</v>
      </c>
      <c r="I36" s="31">
        <v>5</v>
      </c>
      <c r="J36" s="31" t="s">
        <v>204</v>
      </c>
      <c r="K36" s="31" cm="1">
        <f t="array" ref="K36">INT(SUMPRODUCT(--ISNUMBER(SEARCH(economy,C36)))&gt;0)</f>
        <v>0</v>
      </c>
      <c r="L36" s="31" cm="1">
        <f t="array" ref="L36">INT(SUMPRODUCT(--ISNUMBER(SEARCH(healthcare,C36)))&gt;0)</f>
        <v>0</v>
      </c>
      <c r="M36" s="31" cm="1">
        <f t="array" ref="M36">INT(SUMPRODUCT(--ISNUMBER(SEARCH(supreme,C36)))&gt;0)</f>
        <v>0</v>
      </c>
      <c r="N36" s="31" cm="1">
        <f t="array" ref="N36">INT(SUMPRODUCT(--ISNUMBER(SEARCH(covid,C36)))&gt;0)</f>
        <v>0</v>
      </c>
      <c r="O36" s="31" cm="1">
        <f t="array" ref="O36">INT(SUMPRODUCT(--ISNUMBER(SEARCH(violent,C36)))&gt;0)</f>
        <v>0</v>
      </c>
      <c r="P36" s="31" cm="1">
        <f t="array" ref="P36">INT(SUMPRODUCT(--ISNUMBER(SEARCH(foreign,C36)))&gt;0)</f>
        <v>0</v>
      </c>
      <c r="Q36" s="31" cm="1">
        <f t="array" ref="Q36">INT(SUMPRODUCT(--ISNUMBER(SEARCH(gun,C36)))&gt;0)</f>
        <v>0</v>
      </c>
      <c r="R36" s="31" cm="1">
        <f t="array" ref="R36">INT(SUMPRODUCT(--ISNUMBER(SEARCH(race,C36)))&gt;0)</f>
        <v>0</v>
      </c>
      <c r="S36" s="31" cm="1">
        <f t="array" ref="S36">INT(SUMPRODUCT(--ISNUMBER(SEARCH(immigration,C36)))&gt;0)</f>
        <v>0</v>
      </c>
      <c r="T36" s="31" cm="1">
        <f t="array" ref="T36">INT(SUMPRODUCT(--ISNUMBER(SEARCH(econineq,C37)))&gt;0)</f>
        <v>0</v>
      </c>
      <c r="U36" s="31" cm="1">
        <f t="array" ref="U36">INT(SUMPRODUCT(--ISNUMBER(SEARCH(climate,C36)))&gt;0)</f>
        <v>0</v>
      </c>
      <c r="V36" s="31" cm="1">
        <f t="array" ref="V36">INT(SUMPRODUCT(--ISNUMBER(SEARCH(abortion,C36)))&gt;0)</f>
        <v>0</v>
      </c>
      <c r="W36" s="31" cm="1">
        <f t="array" ref="W36">INT(SUMPRODUCT(--ISNUMBER(SEARCH(trump,C36)))&gt;0)</f>
        <v>0</v>
      </c>
      <c r="X36" s="31" cm="1">
        <f t="array" ref="X36">INT(SUMPRODUCT(--ISNUMBER(SEARCH(voting,C36)))&gt;0)</f>
        <v>0</v>
      </c>
      <c r="Y36" s="31" cm="1">
        <f t="array" ref="Y36">INT(SUMPRODUCT(--ISNUMBER(SEARCH(democrattrigger,C36)))&gt;0)</f>
        <v>0</v>
      </c>
      <c r="Z36" s="31" cm="1">
        <f t="array" ref="Z36">INT(SUMPRODUCT(--ISNUMBER(SEARCH(bipartisan,C36)))&gt;0)</f>
        <v>0</v>
      </c>
      <c r="AA36" s="31">
        <f t="shared" si="0"/>
        <v>1</v>
      </c>
      <c r="AB36" s="31"/>
      <c r="AC36" s="111">
        <v>1</v>
      </c>
      <c r="AD36" s="112">
        <v>0</v>
      </c>
    </row>
    <row r="37" spans="1:30" x14ac:dyDescent="0.25">
      <c r="A37" s="109">
        <v>1893</v>
      </c>
      <c r="B37" s="31" t="s">
        <v>3812</v>
      </c>
      <c r="C37" s="31" t="s">
        <v>3813</v>
      </c>
      <c r="D37" s="110">
        <v>44136</v>
      </c>
      <c r="E37" s="31" t="s">
        <v>30</v>
      </c>
      <c r="F37" s="31">
        <v>486</v>
      </c>
      <c r="G37" s="31">
        <v>46</v>
      </c>
      <c r="H37" s="31">
        <v>9</v>
      </c>
      <c r="I37" s="31">
        <v>5</v>
      </c>
      <c r="J37" s="31" t="s">
        <v>204</v>
      </c>
      <c r="K37" s="31" cm="1">
        <f t="array" ref="K37">INT(SUMPRODUCT(--ISNUMBER(SEARCH(economy,C37)))&gt;0)</f>
        <v>0</v>
      </c>
      <c r="L37" s="31" cm="1">
        <f t="array" ref="L37">INT(SUMPRODUCT(--ISNUMBER(SEARCH(healthcare,C37)))&gt;0)</f>
        <v>0</v>
      </c>
      <c r="M37" s="31" cm="1">
        <f t="array" ref="M37">INT(SUMPRODUCT(--ISNUMBER(SEARCH(supreme,C37)))&gt;0)</f>
        <v>0</v>
      </c>
      <c r="N37" s="31" cm="1">
        <f t="array" ref="N37">INT(SUMPRODUCT(--ISNUMBER(SEARCH(covid,C37)))&gt;0)</f>
        <v>0</v>
      </c>
      <c r="O37" s="31" cm="1">
        <f t="array" ref="O37">INT(SUMPRODUCT(--ISNUMBER(SEARCH(violent,C37)))&gt;0)</f>
        <v>0</v>
      </c>
      <c r="P37" s="31" cm="1">
        <f t="array" ref="P37">INT(SUMPRODUCT(--ISNUMBER(SEARCH(foreign,C37)))&gt;0)</f>
        <v>0</v>
      </c>
      <c r="Q37" s="31" cm="1">
        <f t="array" ref="Q37">INT(SUMPRODUCT(--ISNUMBER(SEARCH(gun,C37)))&gt;0)</f>
        <v>0</v>
      </c>
      <c r="R37" s="31" cm="1">
        <f t="array" ref="R37">INT(SUMPRODUCT(--ISNUMBER(SEARCH(race,C37)))&gt;0)</f>
        <v>0</v>
      </c>
      <c r="S37" s="31" cm="1">
        <f t="array" ref="S37">INT(SUMPRODUCT(--ISNUMBER(SEARCH(immigration,C37)))&gt;0)</f>
        <v>0</v>
      </c>
      <c r="T37" s="31" cm="1">
        <f t="array" ref="T37">INT(SUMPRODUCT(--ISNUMBER(SEARCH(econineq,C38)))&gt;0)</f>
        <v>0</v>
      </c>
      <c r="U37" s="31" cm="1">
        <f t="array" ref="U37">INT(SUMPRODUCT(--ISNUMBER(SEARCH(climate,C37)))&gt;0)</f>
        <v>0</v>
      </c>
      <c r="V37" s="31" cm="1">
        <f t="array" ref="V37">INT(SUMPRODUCT(--ISNUMBER(SEARCH(abortion,C37)))&gt;0)</f>
        <v>0</v>
      </c>
      <c r="W37" s="31" cm="1">
        <f t="array" ref="W37">INT(SUMPRODUCT(--ISNUMBER(SEARCH(trump,C37)))&gt;0)</f>
        <v>0</v>
      </c>
      <c r="X37" s="31" cm="1">
        <f t="array" ref="X37">INT(SUMPRODUCT(--ISNUMBER(SEARCH(voting,C37)))&gt;0)</f>
        <v>0</v>
      </c>
      <c r="Y37" s="31" cm="1">
        <f t="array" ref="Y37">INT(SUMPRODUCT(--ISNUMBER(SEARCH(democrattrigger,C37)))&gt;0)</f>
        <v>0</v>
      </c>
      <c r="Z37" s="31" cm="1">
        <f t="array" ref="Z37">INT(SUMPRODUCT(--ISNUMBER(SEARCH(bipartisan,C37)))&gt;0)</f>
        <v>0</v>
      </c>
      <c r="AA37" s="31">
        <f t="shared" si="0"/>
        <v>1</v>
      </c>
      <c r="AB37" s="31"/>
      <c r="AC37" s="111">
        <v>1</v>
      </c>
      <c r="AD37" s="112">
        <v>0</v>
      </c>
    </row>
    <row r="38" spans="1:30" x14ac:dyDescent="0.25">
      <c r="A38" s="109">
        <v>1894</v>
      </c>
      <c r="B38" s="31" t="s">
        <v>3814</v>
      </c>
      <c r="C38" s="31" t="s">
        <v>3815</v>
      </c>
      <c r="D38" s="110">
        <v>44136</v>
      </c>
      <c r="E38" s="31" t="s">
        <v>30</v>
      </c>
      <c r="F38" s="31">
        <v>469</v>
      </c>
      <c r="G38" s="31">
        <v>113</v>
      </c>
      <c r="H38" s="31">
        <v>9</v>
      </c>
      <c r="I38" s="31">
        <v>5</v>
      </c>
      <c r="J38" s="31" t="s">
        <v>204</v>
      </c>
      <c r="K38" s="31" cm="1">
        <f t="array" ref="K38">INT(SUMPRODUCT(--ISNUMBER(SEARCH(economy,C38)))&gt;0)</f>
        <v>0</v>
      </c>
      <c r="L38" s="31" cm="1">
        <f t="array" ref="L38">INT(SUMPRODUCT(--ISNUMBER(SEARCH(healthcare,C38)))&gt;0)</f>
        <v>0</v>
      </c>
      <c r="M38" s="31" cm="1">
        <f t="array" ref="M38">INT(SUMPRODUCT(--ISNUMBER(SEARCH(supreme,C38)))&gt;0)</f>
        <v>0</v>
      </c>
      <c r="N38" s="31" cm="1">
        <f t="array" ref="N38">INT(SUMPRODUCT(--ISNUMBER(SEARCH(covid,C38)))&gt;0)</f>
        <v>0</v>
      </c>
      <c r="O38" s="31" cm="1">
        <f t="array" ref="O38">INT(SUMPRODUCT(--ISNUMBER(SEARCH(violent,C38)))&gt;0)</f>
        <v>0</v>
      </c>
      <c r="P38" s="31" cm="1">
        <f t="array" ref="P38">INT(SUMPRODUCT(--ISNUMBER(SEARCH(foreign,C38)))&gt;0)</f>
        <v>0</v>
      </c>
      <c r="Q38" s="31" cm="1">
        <f t="array" ref="Q38">INT(SUMPRODUCT(--ISNUMBER(SEARCH(gun,C38)))&gt;0)</f>
        <v>0</v>
      </c>
      <c r="R38" s="31" cm="1">
        <f t="array" ref="R38">INT(SUMPRODUCT(--ISNUMBER(SEARCH(race,C38)))&gt;0)</f>
        <v>0</v>
      </c>
      <c r="S38" s="31" cm="1">
        <f t="array" ref="S38">INT(SUMPRODUCT(--ISNUMBER(SEARCH(immigration,C38)))&gt;0)</f>
        <v>0</v>
      </c>
      <c r="T38" s="31" cm="1">
        <f t="array" ref="T38">INT(SUMPRODUCT(--ISNUMBER(SEARCH(econineq,C39)))&gt;0)</f>
        <v>0</v>
      </c>
      <c r="U38" s="31" cm="1">
        <f t="array" ref="U38">INT(SUMPRODUCT(--ISNUMBER(SEARCH(climate,C38)))&gt;0)</f>
        <v>0</v>
      </c>
      <c r="V38" s="31" cm="1">
        <f t="array" ref="V38">INT(SUMPRODUCT(--ISNUMBER(SEARCH(abortion,C38)))&gt;0)</f>
        <v>0</v>
      </c>
      <c r="W38" s="31" cm="1">
        <f t="array" ref="W38">INT(SUMPRODUCT(--ISNUMBER(SEARCH(trump,C38)))&gt;0)</f>
        <v>0</v>
      </c>
      <c r="X38" s="31" cm="1">
        <f t="array" ref="X38">INT(SUMPRODUCT(--ISNUMBER(SEARCH(voting,C38)))&gt;0)</f>
        <v>0</v>
      </c>
      <c r="Y38" s="31" cm="1">
        <f t="array" ref="Y38">INT(SUMPRODUCT(--ISNUMBER(SEARCH(democrattrigger,C38)))&gt;0)</f>
        <v>0</v>
      </c>
      <c r="Z38" s="31" cm="1">
        <f t="array" ref="Z38">INT(SUMPRODUCT(--ISNUMBER(SEARCH(bipartisan,C38)))&gt;0)</f>
        <v>0</v>
      </c>
      <c r="AA38" s="31">
        <f t="shared" si="0"/>
        <v>1</v>
      </c>
      <c r="AB38" s="31"/>
      <c r="AC38" s="111">
        <v>1</v>
      </c>
      <c r="AD38" s="112">
        <v>0</v>
      </c>
    </row>
    <row r="39" spans="1:30" x14ac:dyDescent="0.25">
      <c r="A39" s="109">
        <v>1895</v>
      </c>
      <c r="B39" s="31" t="s">
        <v>3816</v>
      </c>
      <c r="C39" s="31" t="s">
        <v>3817</v>
      </c>
      <c r="D39" s="110">
        <v>44135</v>
      </c>
      <c r="E39" s="31" t="s">
        <v>30</v>
      </c>
      <c r="F39" s="31">
        <v>2843</v>
      </c>
      <c r="G39" s="31">
        <v>648</v>
      </c>
      <c r="H39" s="31">
        <v>9</v>
      </c>
      <c r="I39" s="31">
        <v>5</v>
      </c>
      <c r="J39" s="31" t="s">
        <v>204</v>
      </c>
      <c r="K39" s="31" cm="1">
        <f t="array" ref="K39">INT(SUMPRODUCT(--ISNUMBER(SEARCH(economy,C39)))&gt;0)</f>
        <v>0</v>
      </c>
      <c r="L39" s="31" cm="1">
        <f t="array" ref="L39">INT(SUMPRODUCT(--ISNUMBER(SEARCH(healthcare,C39)))&gt;0)</f>
        <v>1</v>
      </c>
      <c r="M39" s="31" cm="1">
        <f t="array" ref="M39">INT(SUMPRODUCT(--ISNUMBER(SEARCH(supreme,C39)))&gt;0)</f>
        <v>0</v>
      </c>
      <c r="N39" s="31" cm="1">
        <f t="array" ref="N39">INT(SUMPRODUCT(--ISNUMBER(SEARCH(covid,C39)))&gt;0)</f>
        <v>0</v>
      </c>
      <c r="O39" s="31" cm="1">
        <f t="array" ref="O39">INT(SUMPRODUCT(--ISNUMBER(SEARCH(violent,C39)))&gt;0)</f>
        <v>0</v>
      </c>
      <c r="P39" s="31" cm="1">
        <f t="array" ref="P39">INT(SUMPRODUCT(--ISNUMBER(SEARCH(foreign,C39)))&gt;0)</f>
        <v>0</v>
      </c>
      <c r="Q39" s="31" cm="1">
        <f t="array" ref="Q39">INT(SUMPRODUCT(--ISNUMBER(SEARCH(gun,C39)))&gt;0)</f>
        <v>0</v>
      </c>
      <c r="R39" s="31" cm="1">
        <f t="array" ref="R39">INT(SUMPRODUCT(--ISNUMBER(SEARCH(race,C39)))&gt;0)</f>
        <v>0</v>
      </c>
      <c r="S39" s="31" cm="1">
        <f t="array" ref="S39">INT(SUMPRODUCT(--ISNUMBER(SEARCH(immigration,C39)))&gt;0)</f>
        <v>0</v>
      </c>
      <c r="T39" s="31" cm="1">
        <f t="array" ref="T39">INT(SUMPRODUCT(--ISNUMBER(SEARCH(econineq,C40)))&gt;0)</f>
        <v>0</v>
      </c>
      <c r="U39" s="31" cm="1">
        <f t="array" ref="U39">INT(SUMPRODUCT(--ISNUMBER(SEARCH(climate,C39)))&gt;0)</f>
        <v>0</v>
      </c>
      <c r="V39" s="31" cm="1">
        <f t="array" ref="V39">INT(SUMPRODUCT(--ISNUMBER(SEARCH(abortion,C39)))&gt;0)</f>
        <v>0</v>
      </c>
      <c r="W39" s="31" cm="1">
        <f t="array" ref="W39">INT(SUMPRODUCT(--ISNUMBER(SEARCH(trump,C39)))&gt;0)</f>
        <v>0</v>
      </c>
      <c r="X39" s="31" cm="1">
        <f t="array" ref="X39">INT(SUMPRODUCT(--ISNUMBER(SEARCH(voting,C39)))&gt;0)</f>
        <v>0</v>
      </c>
      <c r="Y39" s="31" cm="1">
        <f t="array" ref="Y39">INT(SUMPRODUCT(--ISNUMBER(SEARCH(democrattrigger,C39)))&gt;0)</f>
        <v>0</v>
      </c>
      <c r="Z39" s="31" cm="1">
        <f t="array" ref="Z39">INT(SUMPRODUCT(--ISNUMBER(SEARCH(bipartisan,C39)))&gt;0)</f>
        <v>0</v>
      </c>
      <c r="AA39" s="31">
        <f t="shared" si="0"/>
        <v>0</v>
      </c>
      <c r="AB39" s="31"/>
      <c r="AC39" s="111">
        <v>1</v>
      </c>
      <c r="AD39" s="112">
        <v>0</v>
      </c>
    </row>
    <row r="40" spans="1:30" x14ac:dyDescent="0.25">
      <c r="A40" s="109">
        <v>1896</v>
      </c>
      <c r="B40" s="31" t="s">
        <v>3818</v>
      </c>
      <c r="C40" s="31" t="s">
        <v>3819</v>
      </c>
      <c r="D40" s="110">
        <v>44135</v>
      </c>
      <c r="E40" s="31" t="s">
        <v>30</v>
      </c>
      <c r="F40" s="31">
        <v>400</v>
      </c>
      <c r="G40" s="31">
        <v>142</v>
      </c>
      <c r="H40" s="31">
        <v>9</v>
      </c>
      <c r="I40" s="31">
        <v>5</v>
      </c>
      <c r="J40" s="31" t="s">
        <v>204</v>
      </c>
      <c r="K40" s="31" cm="1">
        <f t="array" ref="K40">INT(SUMPRODUCT(--ISNUMBER(SEARCH(economy,C40)))&gt;0)</f>
        <v>0</v>
      </c>
      <c r="L40" s="31" cm="1">
        <f t="array" ref="L40">INT(SUMPRODUCT(--ISNUMBER(SEARCH(healthcare,C40)))&gt;0)</f>
        <v>0</v>
      </c>
      <c r="M40" s="31" cm="1">
        <f t="array" ref="M40">INT(SUMPRODUCT(--ISNUMBER(SEARCH(supreme,C40)))&gt;0)</f>
        <v>0</v>
      </c>
      <c r="N40" s="31" cm="1">
        <f t="array" ref="N40">INT(SUMPRODUCT(--ISNUMBER(SEARCH(covid,C40)))&gt;0)</f>
        <v>0</v>
      </c>
      <c r="O40" s="31" cm="1">
        <f t="array" ref="O40">INT(SUMPRODUCT(--ISNUMBER(SEARCH(violent,C40)))&gt;0)</f>
        <v>0</v>
      </c>
      <c r="P40" s="31" cm="1">
        <f t="array" ref="P40">INT(SUMPRODUCT(--ISNUMBER(SEARCH(foreign,C40)))&gt;0)</f>
        <v>0</v>
      </c>
      <c r="Q40" s="31" cm="1">
        <f t="array" ref="Q40">INT(SUMPRODUCT(--ISNUMBER(SEARCH(gun,C40)))&gt;0)</f>
        <v>0</v>
      </c>
      <c r="R40" s="31" cm="1">
        <f t="array" ref="R40">INT(SUMPRODUCT(--ISNUMBER(SEARCH(race,C40)))&gt;0)</f>
        <v>0</v>
      </c>
      <c r="S40" s="31" cm="1">
        <f t="array" ref="S40">INT(SUMPRODUCT(--ISNUMBER(SEARCH(immigration,C40)))&gt;0)</f>
        <v>0</v>
      </c>
      <c r="T40" s="31" cm="1">
        <f t="array" ref="T40">INT(SUMPRODUCT(--ISNUMBER(SEARCH(econineq,C41)))&gt;0)</f>
        <v>0</v>
      </c>
      <c r="U40" s="31" cm="1">
        <f t="array" ref="U40">INT(SUMPRODUCT(--ISNUMBER(SEARCH(climate,C40)))&gt;0)</f>
        <v>0</v>
      </c>
      <c r="V40" s="31" cm="1">
        <f t="array" ref="V40">INT(SUMPRODUCT(--ISNUMBER(SEARCH(abortion,C40)))&gt;0)</f>
        <v>0</v>
      </c>
      <c r="W40" s="31" cm="1">
        <f t="array" ref="W40">INT(SUMPRODUCT(--ISNUMBER(SEARCH(trump,C40)))&gt;0)</f>
        <v>0</v>
      </c>
      <c r="X40" s="31" cm="1">
        <f t="array" ref="X40">INT(SUMPRODUCT(--ISNUMBER(SEARCH(voting,C40)))&gt;0)</f>
        <v>1</v>
      </c>
      <c r="Y40" s="31" cm="1">
        <f t="array" ref="Y40">INT(SUMPRODUCT(--ISNUMBER(SEARCH(democrattrigger,C40)))&gt;0)</f>
        <v>0</v>
      </c>
      <c r="Z40" s="31" cm="1">
        <f t="array" ref="Z40">INT(SUMPRODUCT(--ISNUMBER(SEARCH(bipartisan,C40)))&gt;0)</f>
        <v>0</v>
      </c>
      <c r="AA40" s="31">
        <f t="shared" si="0"/>
        <v>0</v>
      </c>
      <c r="AB40" s="31"/>
      <c r="AC40" s="111">
        <v>0</v>
      </c>
      <c r="AD40" s="112">
        <v>1</v>
      </c>
    </row>
    <row r="41" spans="1:30" x14ac:dyDescent="0.25">
      <c r="A41" s="109">
        <v>1897</v>
      </c>
      <c r="B41" s="31" t="s">
        <v>3820</v>
      </c>
      <c r="C41" s="31" t="s">
        <v>3821</v>
      </c>
      <c r="D41" s="110">
        <v>44135</v>
      </c>
      <c r="E41" s="31" t="s">
        <v>30</v>
      </c>
      <c r="F41" s="31">
        <v>376</v>
      </c>
      <c r="G41" s="31">
        <v>135</v>
      </c>
      <c r="H41" s="31">
        <v>9</v>
      </c>
      <c r="I41" s="31">
        <v>5</v>
      </c>
      <c r="J41" s="31" t="s">
        <v>204</v>
      </c>
      <c r="K41" s="31" cm="1">
        <f t="array" ref="K41">INT(SUMPRODUCT(--ISNUMBER(SEARCH(economy,C41)))&gt;0)</f>
        <v>0</v>
      </c>
      <c r="L41" s="31" cm="1">
        <f t="array" ref="L41">INT(SUMPRODUCT(--ISNUMBER(SEARCH(healthcare,C41)))&gt;0)</f>
        <v>0</v>
      </c>
      <c r="M41" s="31" cm="1">
        <f t="array" ref="M41">INT(SUMPRODUCT(--ISNUMBER(SEARCH(supreme,C41)))&gt;0)</f>
        <v>0</v>
      </c>
      <c r="N41" s="31" cm="1">
        <f t="array" ref="N41">INT(SUMPRODUCT(--ISNUMBER(SEARCH(covid,C41)))&gt;0)</f>
        <v>0</v>
      </c>
      <c r="O41" s="31" cm="1">
        <f t="array" ref="O41">INT(SUMPRODUCT(--ISNUMBER(SEARCH(violent,C41)))&gt;0)</f>
        <v>0</v>
      </c>
      <c r="P41" s="31" cm="1">
        <f t="array" ref="P41">INT(SUMPRODUCT(--ISNUMBER(SEARCH(foreign,C41)))&gt;0)</f>
        <v>0</v>
      </c>
      <c r="Q41" s="31" cm="1">
        <f t="array" ref="Q41">INT(SUMPRODUCT(--ISNUMBER(SEARCH(gun,C41)))&gt;0)</f>
        <v>0</v>
      </c>
      <c r="R41" s="31" cm="1">
        <f t="array" ref="R41">INT(SUMPRODUCT(--ISNUMBER(SEARCH(race,C41)))&gt;0)</f>
        <v>0</v>
      </c>
      <c r="S41" s="31" cm="1">
        <f t="array" ref="S41">INT(SUMPRODUCT(--ISNUMBER(SEARCH(immigration,C41)))&gt;0)</f>
        <v>0</v>
      </c>
      <c r="T41" s="31" cm="1">
        <f t="array" ref="T41">INT(SUMPRODUCT(--ISNUMBER(SEARCH(econineq,C42)))&gt;0)</f>
        <v>0</v>
      </c>
      <c r="U41" s="31" cm="1">
        <f t="array" ref="U41">INT(SUMPRODUCT(--ISNUMBER(SEARCH(climate,C41)))&gt;0)</f>
        <v>0</v>
      </c>
      <c r="V41" s="31" cm="1">
        <f t="array" ref="V41">INT(SUMPRODUCT(--ISNUMBER(SEARCH(abortion,C41)))&gt;0)</f>
        <v>0</v>
      </c>
      <c r="W41" s="31" cm="1">
        <f t="array" ref="W41">INT(SUMPRODUCT(--ISNUMBER(SEARCH(trump,C41)))&gt;0)</f>
        <v>0</v>
      </c>
      <c r="X41" s="31" cm="1">
        <f t="array" ref="X41">INT(SUMPRODUCT(--ISNUMBER(SEARCH(voting,C41)))&gt;0)</f>
        <v>1</v>
      </c>
      <c r="Y41" s="31" cm="1">
        <f t="array" ref="Y41">INT(SUMPRODUCT(--ISNUMBER(SEARCH(democrattrigger,C41)))&gt;0)</f>
        <v>0</v>
      </c>
      <c r="Z41" s="31" cm="1">
        <f t="array" ref="Z41">INT(SUMPRODUCT(--ISNUMBER(SEARCH(bipartisan,C41)))&gt;0)</f>
        <v>0</v>
      </c>
      <c r="AA41" s="31">
        <f t="shared" si="0"/>
        <v>0</v>
      </c>
      <c r="AB41" s="31"/>
      <c r="AC41" s="111">
        <v>1</v>
      </c>
      <c r="AD41" s="112">
        <v>0</v>
      </c>
    </row>
    <row r="42" spans="1:30" x14ac:dyDescent="0.25">
      <c r="A42" s="109">
        <v>1898</v>
      </c>
      <c r="B42" s="31" t="s">
        <v>3822</v>
      </c>
      <c r="C42" s="31" t="s">
        <v>3823</v>
      </c>
      <c r="D42" s="110">
        <v>44135</v>
      </c>
      <c r="E42" s="31" t="s">
        <v>30</v>
      </c>
      <c r="F42" s="31">
        <v>187</v>
      </c>
      <c r="G42" s="31">
        <v>39</v>
      </c>
      <c r="H42" s="31">
        <v>9</v>
      </c>
      <c r="I42" s="31">
        <v>5</v>
      </c>
      <c r="J42" s="31" t="s">
        <v>204</v>
      </c>
      <c r="K42" s="31" cm="1">
        <f t="array" ref="K42">INT(SUMPRODUCT(--ISNUMBER(SEARCH(economy,C42)))&gt;0)</f>
        <v>0</v>
      </c>
      <c r="L42" s="31" cm="1">
        <f t="array" ref="L42">INT(SUMPRODUCT(--ISNUMBER(SEARCH(healthcare,C42)))&gt;0)</f>
        <v>0</v>
      </c>
      <c r="M42" s="31" cm="1">
        <f t="array" ref="M42">INT(SUMPRODUCT(--ISNUMBER(SEARCH(supreme,C42)))&gt;0)</f>
        <v>0</v>
      </c>
      <c r="N42" s="31" cm="1">
        <f t="array" ref="N42">INT(SUMPRODUCT(--ISNUMBER(SEARCH(covid,C42)))&gt;0)</f>
        <v>0</v>
      </c>
      <c r="O42" s="31" cm="1">
        <f t="array" ref="O42">INT(SUMPRODUCT(--ISNUMBER(SEARCH(violent,C42)))&gt;0)</f>
        <v>0</v>
      </c>
      <c r="P42" s="31" cm="1">
        <f t="array" ref="P42">INT(SUMPRODUCT(--ISNUMBER(SEARCH(foreign,C42)))&gt;0)</f>
        <v>0</v>
      </c>
      <c r="Q42" s="31" cm="1">
        <f t="array" ref="Q42">INT(SUMPRODUCT(--ISNUMBER(SEARCH(gun,C42)))&gt;0)</f>
        <v>1</v>
      </c>
      <c r="R42" s="31" cm="1">
        <f t="array" ref="R42">INT(SUMPRODUCT(--ISNUMBER(SEARCH(race,C42)))&gt;0)</f>
        <v>0</v>
      </c>
      <c r="S42" s="31" cm="1">
        <f t="array" ref="S42">INT(SUMPRODUCT(--ISNUMBER(SEARCH(immigration,C42)))&gt;0)</f>
        <v>0</v>
      </c>
      <c r="T42" s="31" cm="1">
        <f t="array" ref="T42">INT(SUMPRODUCT(--ISNUMBER(SEARCH(econineq,C43)))&gt;0)</f>
        <v>0</v>
      </c>
      <c r="U42" s="31" cm="1">
        <f t="array" ref="U42">INT(SUMPRODUCT(--ISNUMBER(SEARCH(climate,C42)))&gt;0)</f>
        <v>0</v>
      </c>
      <c r="V42" s="31" cm="1">
        <f t="array" ref="V42">INT(SUMPRODUCT(--ISNUMBER(SEARCH(abortion,C42)))&gt;0)</f>
        <v>0</v>
      </c>
      <c r="W42" s="31" cm="1">
        <f t="array" ref="W42">INT(SUMPRODUCT(--ISNUMBER(SEARCH(trump,C42)))&gt;0)</f>
        <v>0</v>
      </c>
      <c r="X42" s="31" cm="1">
        <f t="array" ref="X42">INT(SUMPRODUCT(--ISNUMBER(SEARCH(voting,C42)))&gt;0)</f>
        <v>1</v>
      </c>
      <c r="Y42" s="31" cm="1">
        <f t="array" ref="Y42">INT(SUMPRODUCT(--ISNUMBER(SEARCH(democrattrigger,C42)))&gt;0)</f>
        <v>0</v>
      </c>
      <c r="Z42" s="31" cm="1">
        <f t="array" ref="Z42">INT(SUMPRODUCT(--ISNUMBER(SEARCH(bipartisan,C42)))&gt;0)</f>
        <v>0</v>
      </c>
      <c r="AA42" s="31">
        <f t="shared" si="0"/>
        <v>0</v>
      </c>
      <c r="AB42" s="31"/>
      <c r="AC42" s="111" t="s">
        <v>223</v>
      </c>
      <c r="AD42" s="112" t="s">
        <v>223</v>
      </c>
    </row>
    <row r="43" spans="1:30" x14ac:dyDescent="0.25">
      <c r="A43" s="109">
        <v>1899</v>
      </c>
      <c r="B43" s="31" t="s">
        <v>3824</v>
      </c>
      <c r="C43" s="31" t="s">
        <v>3825</v>
      </c>
      <c r="D43" s="110">
        <v>44135</v>
      </c>
      <c r="E43" s="31" t="s">
        <v>30</v>
      </c>
      <c r="F43" s="31">
        <v>1942</v>
      </c>
      <c r="G43" s="31">
        <v>305</v>
      </c>
      <c r="H43" s="31">
        <v>9</v>
      </c>
      <c r="I43" s="31">
        <v>5</v>
      </c>
      <c r="J43" s="31" t="s">
        <v>204</v>
      </c>
      <c r="K43" s="31" cm="1">
        <f t="array" ref="K43">INT(SUMPRODUCT(--ISNUMBER(SEARCH(economy,C43)))&gt;0)</f>
        <v>0</v>
      </c>
      <c r="L43" s="31" cm="1">
        <f t="array" ref="L43">INT(SUMPRODUCT(--ISNUMBER(SEARCH(healthcare,C43)))&gt;0)</f>
        <v>0</v>
      </c>
      <c r="M43" s="31" cm="1">
        <f t="array" ref="M43">INT(SUMPRODUCT(--ISNUMBER(SEARCH(supreme,C43)))&gt;0)</f>
        <v>0</v>
      </c>
      <c r="N43" s="31" cm="1">
        <f t="array" ref="N43">INT(SUMPRODUCT(--ISNUMBER(SEARCH(covid,C43)))&gt;0)</f>
        <v>0</v>
      </c>
      <c r="O43" s="31" cm="1">
        <f t="array" ref="O43">INT(SUMPRODUCT(--ISNUMBER(SEARCH(violent,C43)))&gt;0)</f>
        <v>0</v>
      </c>
      <c r="P43" s="31" cm="1">
        <f t="array" ref="P43">INT(SUMPRODUCT(--ISNUMBER(SEARCH(foreign,C43)))&gt;0)</f>
        <v>0</v>
      </c>
      <c r="Q43" s="31" cm="1">
        <f t="array" ref="Q43">INT(SUMPRODUCT(--ISNUMBER(SEARCH(gun,C43)))&gt;0)</f>
        <v>0</v>
      </c>
      <c r="R43" s="31" cm="1">
        <f t="array" ref="R43">INT(SUMPRODUCT(--ISNUMBER(SEARCH(race,C43)))&gt;0)</f>
        <v>0</v>
      </c>
      <c r="S43" s="31" cm="1">
        <f t="array" ref="S43">INT(SUMPRODUCT(--ISNUMBER(SEARCH(immigration,C43)))&gt;0)</f>
        <v>0</v>
      </c>
      <c r="T43" s="31" cm="1">
        <f t="array" ref="T43">INT(SUMPRODUCT(--ISNUMBER(SEARCH(econineq,C44)))&gt;0)</f>
        <v>0</v>
      </c>
      <c r="U43" s="31" cm="1">
        <f t="array" ref="U43">INT(SUMPRODUCT(--ISNUMBER(SEARCH(climate,C43)))&gt;0)</f>
        <v>0</v>
      </c>
      <c r="V43" s="31" cm="1">
        <f t="array" ref="V43">INT(SUMPRODUCT(--ISNUMBER(SEARCH(abortion,C43)))&gt;0)</f>
        <v>0</v>
      </c>
      <c r="W43" s="31" cm="1">
        <f t="array" ref="W43">INT(SUMPRODUCT(--ISNUMBER(SEARCH(trump,C43)))&gt;0)</f>
        <v>0</v>
      </c>
      <c r="X43" s="31" cm="1">
        <f t="array" ref="X43">INT(SUMPRODUCT(--ISNUMBER(SEARCH(voting,C43)))&gt;0)</f>
        <v>0</v>
      </c>
      <c r="Y43" s="31" cm="1">
        <f t="array" ref="Y43">INT(SUMPRODUCT(--ISNUMBER(SEARCH(democrattrigger,C43)))&gt;0)</f>
        <v>0</v>
      </c>
      <c r="Z43" s="31" cm="1">
        <f t="array" ref="Z43">INT(SUMPRODUCT(--ISNUMBER(SEARCH(bipartisan,C43)))&gt;0)</f>
        <v>0</v>
      </c>
      <c r="AA43" s="31">
        <f t="shared" si="0"/>
        <v>1</v>
      </c>
      <c r="AB43" s="31"/>
      <c r="AC43" s="111">
        <v>1</v>
      </c>
      <c r="AD43" s="112">
        <v>0</v>
      </c>
    </row>
    <row r="44" spans="1:30" x14ac:dyDescent="0.25">
      <c r="A44" s="109">
        <v>1900</v>
      </c>
      <c r="B44" s="31" t="s">
        <v>3826</v>
      </c>
      <c r="C44" s="31" t="s">
        <v>3827</v>
      </c>
      <c r="D44" s="110">
        <v>44135</v>
      </c>
      <c r="E44" s="31" t="s">
        <v>30</v>
      </c>
      <c r="F44" s="31">
        <v>194</v>
      </c>
      <c r="G44" s="31">
        <v>122</v>
      </c>
      <c r="H44" s="31">
        <v>9</v>
      </c>
      <c r="I44" s="31">
        <v>5</v>
      </c>
      <c r="J44" s="31" t="s">
        <v>204</v>
      </c>
      <c r="K44" s="31" cm="1">
        <f t="array" ref="K44">INT(SUMPRODUCT(--ISNUMBER(SEARCH(economy,C44)))&gt;0)</f>
        <v>0</v>
      </c>
      <c r="L44" s="31" cm="1">
        <f t="array" ref="L44">INT(SUMPRODUCT(--ISNUMBER(SEARCH(healthcare,C44)))&gt;0)</f>
        <v>0</v>
      </c>
      <c r="M44" s="31" cm="1">
        <f t="array" ref="M44">INT(SUMPRODUCT(--ISNUMBER(SEARCH(supreme,C44)))&gt;0)</f>
        <v>0</v>
      </c>
      <c r="N44" s="31" cm="1">
        <f t="array" ref="N44">INT(SUMPRODUCT(--ISNUMBER(SEARCH(covid,C44)))&gt;0)</f>
        <v>0</v>
      </c>
      <c r="O44" s="31" cm="1">
        <f t="array" ref="O44">INT(SUMPRODUCT(--ISNUMBER(SEARCH(violent,C44)))&gt;0)</f>
        <v>0</v>
      </c>
      <c r="P44" s="31" cm="1">
        <f t="array" ref="P44">INT(SUMPRODUCT(--ISNUMBER(SEARCH(foreign,C44)))&gt;0)</f>
        <v>0</v>
      </c>
      <c r="Q44" s="31" cm="1">
        <f t="array" ref="Q44">INT(SUMPRODUCT(--ISNUMBER(SEARCH(gun,C44)))&gt;0)</f>
        <v>0</v>
      </c>
      <c r="R44" s="31" cm="1">
        <f t="array" ref="R44">INT(SUMPRODUCT(--ISNUMBER(SEARCH(race,C44)))&gt;0)</f>
        <v>0</v>
      </c>
      <c r="S44" s="31" cm="1">
        <f t="array" ref="S44">INT(SUMPRODUCT(--ISNUMBER(SEARCH(immigration,C44)))&gt;0)</f>
        <v>0</v>
      </c>
      <c r="T44" s="31" cm="1">
        <f t="array" ref="T44">INT(SUMPRODUCT(--ISNUMBER(SEARCH(econineq,C45)))&gt;0)</f>
        <v>0</v>
      </c>
      <c r="U44" s="31" cm="1">
        <f t="array" ref="U44">INT(SUMPRODUCT(--ISNUMBER(SEARCH(climate,C44)))&gt;0)</f>
        <v>0</v>
      </c>
      <c r="V44" s="31" cm="1">
        <f t="array" ref="V44">INT(SUMPRODUCT(--ISNUMBER(SEARCH(abortion,C44)))&gt;0)</f>
        <v>0</v>
      </c>
      <c r="W44" s="31" cm="1">
        <f t="array" ref="W44">INT(SUMPRODUCT(--ISNUMBER(SEARCH(trump,C44)))&gt;0)</f>
        <v>0</v>
      </c>
      <c r="X44" s="31" cm="1">
        <f t="array" ref="X44">INT(SUMPRODUCT(--ISNUMBER(SEARCH(voting,C44)))&gt;0)</f>
        <v>1</v>
      </c>
      <c r="Y44" s="31" cm="1">
        <f t="array" ref="Y44">INT(SUMPRODUCT(--ISNUMBER(SEARCH(democrattrigger,C44)))&gt;0)</f>
        <v>0</v>
      </c>
      <c r="Z44" s="31" cm="1">
        <f t="array" ref="Z44">INT(SUMPRODUCT(--ISNUMBER(SEARCH(bipartisan,C44)))&gt;0)</f>
        <v>0</v>
      </c>
      <c r="AA44" s="31">
        <f t="shared" si="0"/>
        <v>0</v>
      </c>
      <c r="AB44" s="31"/>
      <c r="AC44" s="111">
        <v>1</v>
      </c>
      <c r="AD44" s="112">
        <v>0</v>
      </c>
    </row>
    <row r="45" spans="1:30" x14ac:dyDescent="0.25">
      <c r="A45" s="109">
        <v>1901</v>
      </c>
      <c r="B45" s="31" t="s">
        <v>3828</v>
      </c>
      <c r="C45" s="31" t="s">
        <v>3829</v>
      </c>
      <c r="D45" s="110">
        <v>44135</v>
      </c>
      <c r="E45" s="31" t="s">
        <v>30</v>
      </c>
      <c r="F45" s="31">
        <v>846</v>
      </c>
      <c r="G45" s="31">
        <v>114</v>
      </c>
      <c r="H45" s="31">
        <v>9</v>
      </c>
      <c r="I45" s="31">
        <v>5</v>
      </c>
      <c r="J45" s="31" t="s">
        <v>204</v>
      </c>
      <c r="K45" s="31" cm="1">
        <f t="array" ref="K45">INT(SUMPRODUCT(--ISNUMBER(SEARCH(economy,C45)))&gt;0)</f>
        <v>0</v>
      </c>
      <c r="L45" s="31" cm="1">
        <f t="array" ref="L45">INT(SUMPRODUCT(--ISNUMBER(SEARCH(healthcare,C45)))&gt;0)</f>
        <v>0</v>
      </c>
      <c r="M45" s="31" cm="1">
        <f t="array" ref="M45">INT(SUMPRODUCT(--ISNUMBER(SEARCH(supreme,C45)))&gt;0)</f>
        <v>0</v>
      </c>
      <c r="N45" s="31" cm="1">
        <f t="array" ref="N45">INT(SUMPRODUCT(--ISNUMBER(SEARCH(covid,C45)))&gt;0)</f>
        <v>0</v>
      </c>
      <c r="O45" s="31" cm="1">
        <f t="array" ref="O45">INT(SUMPRODUCT(--ISNUMBER(SEARCH(violent,C45)))&gt;0)</f>
        <v>0</v>
      </c>
      <c r="P45" s="31" cm="1">
        <f t="array" ref="P45">INT(SUMPRODUCT(--ISNUMBER(SEARCH(foreign,C45)))&gt;0)</f>
        <v>0</v>
      </c>
      <c r="Q45" s="31" cm="1">
        <f t="array" ref="Q45">INT(SUMPRODUCT(--ISNUMBER(SEARCH(gun,C45)))&gt;0)</f>
        <v>0</v>
      </c>
      <c r="R45" s="31" cm="1">
        <f t="array" ref="R45">INT(SUMPRODUCT(--ISNUMBER(SEARCH(race,C45)))&gt;0)</f>
        <v>0</v>
      </c>
      <c r="S45" s="31" cm="1">
        <f t="array" ref="S45">INT(SUMPRODUCT(--ISNUMBER(SEARCH(immigration,C45)))&gt;0)</f>
        <v>0</v>
      </c>
      <c r="T45" s="31" cm="1">
        <f t="array" ref="T45">INT(SUMPRODUCT(--ISNUMBER(SEARCH(econineq,C46)))&gt;0)</f>
        <v>0</v>
      </c>
      <c r="U45" s="31" cm="1">
        <f t="array" ref="U45">INT(SUMPRODUCT(--ISNUMBER(SEARCH(climate,C45)))&gt;0)</f>
        <v>0</v>
      </c>
      <c r="V45" s="31" cm="1">
        <f t="array" ref="V45">INT(SUMPRODUCT(--ISNUMBER(SEARCH(abortion,C45)))&gt;0)</f>
        <v>0</v>
      </c>
      <c r="W45" s="31" cm="1">
        <f t="array" ref="W45">INT(SUMPRODUCT(--ISNUMBER(SEARCH(trump,C45)))&gt;0)</f>
        <v>0</v>
      </c>
      <c r="X45" s="31" cm="1">
        <f t="array" ref="X45">INT(SUMPRODUCT(--ISNUMBER(SEARCH(voting,C45)))&gt;0)</f>
        <v>0</v>
      </c>
      <c r="Y45" s="31" cm="1">
        <f t="array" ref="Y45">INT(SUMPRODUCT(--ISNUMBER(SEARCH(democrattrigger,C45)))&gt;0)</f>
        <v>0</v>
      </c>
      <c r="Z45" s="31" cm="1">
        <f t="array" ref="Z45">INT(SUMPRODUCT(--ISNUMBER(SEARCH(bipartisan,C45)))&gt;0)</f>
        <v>0</v>
      </c>
      <c r="AA45" s="31">
        <f t="shared" si="0"/>
        <v>1</v>
      </c>
      <c r="AB45" s="31"/>
      <c r="AC45" s="111">
        <v>1</v>
      </c>
      <c r="AD45" s="112">
        <v>0</v>
      </c>
    </row>
    <row r="46" spans="1:30" x14ac:dyDescent="0.25">
      <c r="A46" s="109">
        <v>1902</v>
      </c>
      <c r="B46" s="31" t="s">
        <v>3830</v>
      </c>
      <c r="C46" s="31" t="s">
        <v>3831</v>
      </c>
      <c r="D46" s="110">
        <v>44135</v>
      </c>
      <c r="E46" s="31" t="s">
        <v>30</v>
      </c>
      <c r="F46" s="31">
        <v>647</v>
      </c>
      <c r="G46" s="31">
        <v>219</v>
      </c>
      <c r="H46" s="31">
        <v>9</v>
      </c>
      <c r="I46" s="31">
        <v>5</v>
      </c>
      <c r="J46" s="31" t="s">
        <v>204</v>
      </c>
      <c r="K46" s="31" cm="1">
        <f t="array" ref="K46">INT(SUMPRODUCT(--ISNUMBER(SEARCH(economy,C46)))&gt;0)</f>
        <v>0</v>
      </c>
      <c r="L46" s="31" cm="1">
        <f t="array" ref="L46">INT(SUMPRODUCT(--ISNUMBER(SEARCH(healthcare,C46)))&gt;0)</f>
        <v>1</v>
      </c>
      <c r="M46" s="31" cm="1">
        <f t="array" ref="M46">INT(SUMPRODUCT(--ISNUMBER(SEARCH(supreme,C46)))&gt;0)</f>
        <v>0</v>
      </c>
      <c r="N46" s="31" cm="1">
        <f t="array" ref="N46">INT(SUMPRODUCT(--ISNUMBER(SEARCH(covid,C46)))&gt;0)</f>
        <v>0</v>
      </c>
      <c r="O46" s="31" cm="1">
        <f t="array" ref="O46">INT(SUMPRODUCT(--ISNUMBER(SEARCH(violent,C46)))&gt;0)</f>
        <v>0</v>
      </c>
      <c r="P46" s="31" cm="1">
        <f t="array" ref="P46">INT(SUMPRODUCT(--ISNUMBER(SEARCH(foreign,C46)))&gt;0)</f>
        <v>0</v>
      </c>
      <c r="Q46" s="31" cm="1">
        <f t="array" ref="Q46">INT(SUMPRODUCT(--ISNUMBER(SEARCH(gun,C46)))&gt;0)</f>
        <v>0</v>
      </c>
      <c r="R46" s="31" cm="1">
        <f t="array" ref="R46">INT(SUMPRODUCT(--ISNUMBER(SEARCH(race,C46)))&gt;0)</f>
        <v>0</v>
      </c>
      <c r="S46" s="31" cm="1">
        <f t="array" ref="S46">INT(SUMPRODUCT(--ISNUMBER(SEARCH(immigration,C46)))&gt;0)</f>
        <v>0</v>
      </c>
      <c r="T46" s="31" cm="1">
        <f t="array" ref="T46">INT(SUMPRODUCT(--ISNUMBER(SEARCH(econineq,C47)))&gt;0)</f>
        <v>0</v>
      </c>
      <c r="U46" s="31" cm="1">
        <f t="array" ref="U46">INT(SUMPRODUCT(--ISNUMBER(SEARCH(climate,C46)))&gt;0)</f>
        <v>0</v>
      </c>
      <c r="V46" s="31" cm="1">
        <f t="array" ref="V46">INT(SUMPRODUCT(--ISNUMBER(SEARCH(abortion,C46)))&gt;0)</f>
        <v>0</v>
      </c>
      <c r="W46" s="31" cm="1">
        <f t="array" ref="W46">INT(SUMPRODUCT(--ISNUMBER(SEARCH(trump,C46)))&gt;0)</f>
        <v>1</v>
      </c>
      <c r="X46" s="31" cm="1">
        <f t="array" ref="X46">INT(SUMPRODUCT(--ISNUMBER(SEARCH(voting,C46)))&gt;0)</f>
        <v>1</v>
      </c>
      <c r="Y46" s="31" cm="1">
        <f t="array" ref="Y46">INT(SUMPRODUCT(--ISNUMBER(SEARCH(democrattrigger,C46)))&gt;0)</f>
        <v>1</v>
      </c>
      <c r="Z46" s="31" cm="1">
        <f t="array" ref="Z46">INT(SUMPRODUCT(--ISNUMBER(SEARCH(bipartisan,C46)))&gt;0)</f>
        <v>0</v>
      </c>
      <c r="AA46" s="31">
        <f t="shared" si="0"/>
        <v>0</v>
      </c>
      <c r="AB46" s="31"/>
      <c r="AC46" s="111">
        <v>0</v>
      </c>
      <c r="AD46" s="112">
        <v>1</v>
      </c>
    </row>
    <row r="47" spans="1:30" x14ac:dyDescent="0.25">
      <c r="A47" s="109">
        <v>1903</v>
      </c>
      <c r="B47" s="31" t="s">
        <v>3832</v>
      </c>
      <c r="C47" s="31" t="s">
        <v>3833</v>
      </c>
      <c r="D47" s="110">
        <v>44135</v>
      </c>
      <c r="E47" s="31" t="s">
        <v>30</v>
      </c>
      <c r="F47" s="31">
        <v>1518</v>
      </c>
      <c r="G47" s="31">
        <v>299</v>
      </c>
      <c r="H47" s="31">
        <v>9</v>
      </c>
      <c r="I47" s="31">
        <v>5</v>
      </c>
      <c r="J47" s="31" t="s">
        <v>204</v>
      </c>
      <c r="K47" s="31" cm="1">
        <f t="array" ref="K47">INT(SUMPRODUCT(--ISNUMBER(SEARCH(economy,C47)))&gt;0)</f>
        <v>0</v>
      </c>
      <c r="L47" s="31" cm="1">
        <f t="array" ref="L47">INT(SUMPRODUCT(--ISNUMBER(SEARCH(healthcare,C47)))&gt;0)</f>
        <v>0</v>
      </c>
      <c r="M47" s="31" cm="1">
        <f t="array" ref="M47">INT(SUMPRODUCT(--ISNUMBER(SEARCH(supreme,C47)))&gt;0)</f>
        <v>0</v>
      </c>
      <c r="N47" s="31" cm="1">
        <f t="array" ref="N47">INT(SUMPRODUCT(--ISNUMBER(SEARCH(covid,C47)))&gt;0)</f>
        <v>0</v>
      </c>
      <c r="O47" s="31" cm="1">
        <f t="array" ref="O47">INT(SUMPRODUCT(--ISNUMBER(SEARCH(violent,C47)))&gt;0)</f>
        <v>0</v>
      </c>
      <c r="P47" s="31" cm="1">
        <f t="array" ref="P47">INT(SUMPRODUCT(--ISNUMBER(SEARCH(foreign,C47)))&gt;0)</f>
        <v>0</v>
      </c>
      <c r="Q47" s="31" cm="1">
        <f t="array" ref="Q47">INT(SUMPRODUCT(--ISNUMBER(SEARCH(gun,C47)))&gt;0)</f>
        <v>0</v>
      </c>
      <c r="R47" s="31" cm="1">
        <f t="array" ref="R47">INT(SUMPRODUCT(--ISNUMBER(SEARCH(race,C47)))&gt;0)</f>
        <v>0</v>
      </c>
      <c r="S47" s="31" cm="1">
        <f t="array" ref="S47">INT(SUMPRODUCT(--ISNUMBER(SEARCH(immigration,C47)))&gt;0)</f>
        <v>0</v>
      </c>
      <c r="T47" s="31" cm="1">
        <f t="array" ref="T47">INT(SUMPRODUCT(--ISNUMBER(SEARCH(econineq,C48)))&gt;0)</f>
        <v>0</v>
      </c>
      <c r="U47" s="31" cm="1">
        <f t="array" ref="U47">INT(SUMPRODUCT(--ISNUMBER(SEARCH(climate,C47)))&gt;0)</f>
        <v>0</v>
      </c>
      <c r="V47" s="31" cm="1">
        <f t="array" ref="V47">INT(SUMPRODUCT(--ISNUMBER(SEARCH(abortion,C47)))&gt;0)</f>
        <v>0</v>
      </c>
      <c r="W47" s="31" cm="1">
        <f t="array" ref="W47">INT(SUMPRODUCT(--ISNUMBER(SEARCH(trump,C47)))&gt;0)</f>
        <v>0</v>
      </c>
      <c r="X47" s="31" cm="1">
        <f t="array" ref="X47">INT(SUMPRODUCT(--ISNUMBER(SEARCH(voting,C47)))&gt;0)</f>
        <v>0</v>
      </c>
      <c r="Y47" s="31" cm="1">
        <f t="array" ref="Y47">INT(SUMPRODUCT(--ISNUMBER(SEARCH(democrattrigger,C47)))&gt;0)</f>
        <v>0</v>
      </c>
      <c r="Z47" s="31" cm="1">
        <f t="array" ref="Z47">INT(SUMPRODUCT(--ISNUMBER(SEARCH(bipartisan,C47)))&gt;0)</f>
        <v>0</v>
      </c>
      <c r="AA47" s="31">
        <f t="shared" si="0"/>
        <v>1</v>
      </c>
      <c r="AB47" s="31"/>
      <c r="AC47" s="111" t="s">
        <v>223</v>
      </c>
      <c r="AD47" s="112" t="s">
        <v>223</v>
      </c>
    </row>
    <row r="48" spans="1:30" x14ac:dyDescent="0.25">
      <c r="A48" s="109">
        <v>1904</v>
      </c>
      <c r="B48" s="31" t="s">
        <v>3834</v>
      </c>
      <c r="C48" s="31" t="s">
        <v>3835</v>
      </c>
      <c r="D48" s="110">
        <v>44135</v>
      </c>
      <c r="E48" s="31" t="s">
        <v>30</v>
      </c>
      <c r="F48" s="31">
        <v>248</v>
      </c>
      <c r="G48" s="31">
        <v>65</v>
      </c>
      <c r="H48" s="31">
        <v>9</v>
      </c>
      <c r="I48" s="31">
        <v>5</v>
      </c>
      <c r="J48" s="31" t="s">
        <v>204</v>
      </c>
      <c r="K48" s="31" cm="1">
        <f t="array" ref="K48">INT(SUMPRODUCT(--ISNUMBER(SEARCH(economy,C48)))&gt;0)</f>
        <v>1</v>
      </c>
      <c r="L48" s="31" cm="1">
        <f t="array" ref="L48">INT(SUMPRODUCT(--ISNUMBER(SEARCH(healthcare,C48)))&gt;0)</f>
        <v>0</v>
      </c>
      <c r="M48" s="31" cm="1">
        <f t="array" ref="M48">INT(SUMPRODUCT(--ISNUMBER(SEARCH(supreme,C48)))&gt;0)</f>
        <v>0</v>
      </c>
      <c r="N48" s="31" cm="1">
        <f t="array" ref="N48">INT(SUMPRODUCT(--ISNUMBER(SEARCH(covid,C48)))&gt;0)</f>
        <v>0</v>
      </c>
      <c r="O48" s="31" cm="1">
        <f t="array" ref="O48">INT(SUMPRODUCT(--ISNUMBER(SEARCH(violent,C48)))&gt;0)</f>
        <v>0</v>
      </c>
      <c r="P48" s="31" cm="1">
        <f t="array" ref="P48">INT(SUMPRODUCT(--ISNUMBER(SEARCH(foreign,C48)))&gt;0)</f>
        <v>0</v>
      </c>
      <c r="Q48" s="31" cm="1">
        <f t="array" ref="Q48">INT(SUMPRODUCT(--ISNUMBER(SEARCH(gun,C48)))&gt;0)</f>
        <v>0</v>
      </c>
      <c r="R48" s="31" cm="1">
        <f t="array" ref="R48">INT(SUMPRODUCT(--ISNUMBER(SEARCH(race,C48)))&gt;0)</f>
        <v>0</v>
      </c>
      <c r="S48" s="31" cm="1">
        <f t="array" ref="S48">INT(SUMPRODUCT(--ISNUMBER(SEARCH(immigration,C48)))&gt;0)</f>
        <v>0</v>
      </c>
      <c r="T48" s="31" cm="1">
        <f t="array" ref="T48">INT(SUMPRODUCT(--ISNUMBER(SEARCH(econineq,C49)))&gt;0)</f>
        <v>0</v>
      </c>
      <c r="U48" s="31" cm="1">
        <f t="array" ref="U48">INT(SUMPRODUCT(--ISNUMBER(SEARCH(climate,C48)))&gt;0)</f>
        <v>0</v>
      </c>
      <c r="V48" s="31" cm="1">
        <f t="array" ref="V48">INT(SUMPRODUCT(--ISNUMBER(SEARCH(abortion,C48)))&gt;0)</f>
        <v>0</v>
      </c>
      <c r="W48" s="31" cm="1">
        <f t="array" ref="W48">INT(SUMPRODUCT(--ISNUMBER(SEARCH(trump,C48)))&gt;0)</f>
        <v>0</v>
      </c>
      <c r="X48" s="31" cm="1">
        <f t="array" ref="X48">INT(SUMPRODUCT(--ISNUMBER(SEARCH(voting,C48)))&gt;0)</f>
        <v>0</v>
      </c>
      <c r="Y48" s="31" cm="1">
        <f t="array" ref="Y48">INT(SUMPRODUCT(--ISNUMBER(SEARCH(democrattrigger,C48)))&gt;0)</f>
        <v>0</v>
      </c>
      <c r="Z48" s="31" cm="1">
        <f t="array" ref="Z48">INT(SUMPRODUCT(--ISNUMBER(SEARCH(bipartisan,C48)))&gt;0)</f>
        <v>0</v>
      </c>
      <c r="AA48" s="31">
        <f t="shared" si="0"/>
        <v>0</v>
      </c>
      <c r="AB48" s="31"/>
      <c r="AC48" s="111">
        <v>1</v>
      </c>
      <c r="AD48" s="112">
        <v>0</v>
      </c>
    </row>
    <row r="49" spans="1:30" x14ac:dyDescent="0.25">
      <c r="A49" s="109">
        <v>1905</v>
      </c>
      <c r="B49" s="31" t="s">
        <v>3836</v>
      </c>
      <c r="C49" s="31" t="s">
        <v>3837</v>
      </c>
      <c r="D49" s="110">
        <v>44134</v>
      </c>
      <c r="E49" s="31" t="s">
        <v>30</v>
      </c>
      <c r="F49" s="31">
        <v>87</v>
      </c>
      <c r="G49" s="31">
        <v>31</v>
      </c>
      <c r="H49" s="31">
        <v>9</v>
      </c>
      <c r="I49" s="31">
        <v>5</v>
      </c>
      <c r="J49" s="31" t="s">
        <v>204</v>
      </c>
      <c r="K49" s="31" cm="1">
        <f t="array" ref="K49">INT(SUMPRODUCT(--ISNUMBER(SEARCH(economy,C49)))&gt;0)</f>
        <v>0</v>
      </c>
      <c r="L49" s="31" cm="1">
        <f t="array" ref="L49">INT(SUMPRODUCT(--ISNUMBER(SEARCH(healthcare,C49)))&gt;0)</f>
        <v>0</v>
      </c>
      <c r="M49" s="31" cm="1">
        <f t="array" ref="M49">INT(SUMPRODUCT(--ISNUMBER(SEARCH(supreme,C49)))&gt;0)</f>
        <v>0</v>
      </c>
      <c r="N49" s="31" cm="1">
        <f t="array" ref="N49">INT(SUMPRODUCT(--ISNUMBER(SEARCH(covid,C49)))&gt;0)</f>
        <v>0</v>
      </c>
      <c r="O49" s="31" cm="1">
        <f t="array" ref="O49">INT(SUMPRODUCT(--ISNUMBER(SEARCH(violent,C49)))&gt;0)</f>
        <v>0</v>
      </c>
      <c r="P49" s="31" cm="1">
        <f t="array" ref="P49">INT(SUMPRODUCT(--ISNUMBER(SEARCH(foreign,C49)))&gt;0)</f>
        <v>0</v>
      </c>
      <c r="Q49" s="31" cm="1">
        <f t="array" ref="Q49">INT(SUMPRODUCT(--ISNUMBER(SEARCH(gun,C49)))&gt;0)</f>
        <v>0</v>
      </c>
      <c r="R49" s="31" cm="1">
        <f t="array" ref="R49">INT(SUMPRODUCT(--ISNUMBER(SEARCH(race,C49)))&gt;0)</f>
        <v>0</v>
      </c>
      <c r="S49" s="31" cm="1">
        <f t="array" ref="S49">INT(SUMPRODUCT(--ISNUMBER(SEARCH(immigration,C49)))&gt;0)</f>
        <v>0</v>
      </c>
      <c r="T49" s="31" cm="1">
        <f t="array" ref="T49">INT(SUMPRODUCT(--ISNUMBER(SEARCH(econineq,C50)))&gt;0)</f>
        <v>0</v>
      </c>
      <c r="U49" s="31" cm="1">
        <f t="array" ref="U49">INT(SUMPRODUCT(--ISNUMBER(SEARCH(climate,C49)))&gt;0)</f>
        <v>0</v>
      </c>
      <c r="V49" s="31" cm="1">
        <f t="array" ref="V49">INT(SUMPRODUCT(--ISNUMBER(SEARCH(abortion,C49)))&gt;0)</f>
        <v>0</v>
      </c>
      <c r="W49" s="31" cm="1">
        <f t="array" ref="W49">INT(SUMPRODUCT(--ISNUMBER(SEARCH(trump,C49)))&gt;0)</f>
        <v>0</v>
      </c>
      <c r="X49" s="31" cm="1">
        <f t="array" ref="X49">INT(SUMPRODUCT(--ISNUMBER(SEARCH(voting,C49)))&gt;0)</f>
        <v>1</v>
      </c>
      <c r="Y49" s="31" cm="1">
        <f t="array" ref="Y49">INT(SUMPRODUCT(--ISNUMBER(SEARCH(democrattrigger,C49)))&gt;0)</f>
        <v>0</v>
      </c>
      <c r="Z49" s="31" cm="1">
        <f t="array" ref="Z49">INT(SUMPRODUCT(--ISNUMBER(SEARCH(bipartisan,C49)))&gt;0)</f>
        <v>0</v>
      </c>
      <c r="AA49" s="31">
        <f t="shared" si="0"/>
        <v>0</v>
      </c>
      <c r="AB49" s="31"/>
      <c r="AC49" s="111" t="s">
        <v>223</v>
      </c>
      <c r="AD49" s="112" t="s">
        <v>223</v>
      </c>
    </row>
    <row r="50" spans="1:30" x14ac:dyDescent="0.25">
      <c r="A50" s="109">
        <v>1906</v>
      </c>
      <c r="B50" s="31" t="s">
        <v>3838</v>
      </c>
      <c r="C50" s="31" t="s">
        <v>3839</v>
      </c>
      <c r="D50" s="110">
        <v>44134</v>
      </c>
      <c r="E50" s="31" t="s">
        <v>30</v>
      </c>
      <c r="F50" s="31">
        <v>193</v>
      </c>
      <c r="G50" s="31">
        <v>108</v>
      </c>
      <c r="H50" s="31">
        <v>9</v>
      </c>
      <c r="I50" s="31">
        <v>5</v>
      </c>
      <c r="J50" s="31" t="s">
        <v>204</v>
      </c>
      <c r="K50" s="31" cm="1">
        <f t="array" ref="K50">INT(SUMPRODUCT(--ISNUMBER(SEARCH(economy,C50)))&gt;0)</f>
        <v>0</v>
      </c>
      <c r="L50" s="31" cm="1">
        <f t="array" ref="L50">INT(SUMPRODUCT(--ISNUMBER(SEARCH(healthcare,C50)))&gt;0)</f>
        <v>0</v>
      </c>
      <c r="M50" s="31" cm="1">
        <f t="array" ref="M50">INT(SUMPRODUCT(--ISNUMBER(SEARCH(supreme,C50)))&gt;0)</f>
        <v>0</v>
      </c>
      <c r="N50" s="31" cm="1">
        <f t="array" ref="N50">INT(SUMPRODUCT(--ISNUMBER(SEARCH(covid,C50)))&gt;0)</f>
        <v>0</v>
      </c>
      <c r="O50" s="31" cm="1">
        <f t="array" ref="O50">INT(SUMPRODUCT(--ISNUMBER(SEARCH(violent,C50)))&gt;0)</f>
        <v>0</v>
      </c>
      <c r="P50" s="31" cm="1">
        <f t="array" ref="P50">INT(SUMPRODUCT(--ISNUMBER(SEARCH(foreign,C50)))&gt;0)</f>
        <v>0</v>
      </c>
      <c r="Q50" s="31" cm="1">
        <f t="array" ref="Q50">INT(SUMPRODUCT(--ISNUMBER(SEARCH(gun,C50)))&gt;0)</f>
        <v>0</v>
      </c>
      <c r="R50" s="31" cm="1">
        <f t="array" ref="R50">INT(SUMPRODUCT(--ISNUMBER(SEARCH(race,C50)))&gt;0)</f>
        <v>0</v>
      </c>
      <c r="S50" s="31" cm="1">
        <f t="array" ref="S50">INT(SUMPRODUCT(--ISNUMBER(SEARCH(immigration,C50)))&gt;0)</f>
        <v>0</v>
      </c>
      <c r="T50" s="31" cm="1">
        <f t="array" ref="T50">INT(SUMPRODUCT(--ISNUMBER(SEARCH(econineq,C51)))&gt;0)</f>
        <v>0</v>
      </c>
      <c r="U50" s="31" cm="1">
        <f t="array" ref="U50">INT(SUMPRODUCT(--ISNUMBER(SEARCH(climate,C50)))&gt;0)</f>
        <v>0</v>
      </c>
      <c r="V50" s="31" cm="1">
        <f t="array" ref="V50">INT(SUMPRODUCT(--ISNUMBER(SEARCH(abortion,C50)))&gt;0)</f>
        <v>0</v>
      </c>
      <c r="W50" s="31" cm="1">
        <f t="array" ref="W50">INT(SUMPRODUCT(--ISNUMBER(SEARCH(trump,C50)))&gt;0)</f>
        <v>0</v>
      </c>
      <c r="X50" s="31" cm="1">
        <f t="array" ref="X50">INT(SUMPRODUCT(--ISNUMBER(SEARCH(voting,C50)))&gt;0)</f>
        <v>1</v>
      </c>
      <c r="Y50" s="31" cm="1">
        <f t="array" ref="Y50">INT(SUMPRODUCT(--ISNUMBER(SEARCH(democrattrigger,C50)))&gt;0)</f>
        <v>0</v>
      </c>
      <c r="Z50" s="31" cm="1">
        <f t="array" ref="Z50">INT(SUMPRODUCT(--ISNUMBER(SEARCH(bipartisan,C50)))&gt;0)</f>
        <v>0</v>
      </c>
      <c r="AA50" s="31">
        <f t="shared" si="0"/>
        <v>0</v>
      </c>
      <c r="AB50" s="31"/>
      <c r="AC50" s="111">
        <v>1</v>
      </c>
      <c r="AD50" s="112">
        <v>0</v>
      </c>
    </row>
    <row r="51" spans="1:30" x14ac:dyDescent="0.25">
      <c r="A51" s="109">
        <v>1907</v>
      </c>
      <c r="B51" s="31" t="s">
        <v>3840</v>
      </c>
      <c r="C51" s="31" t="s">
        <v>3841</v>
      </c>
      <c r="D51" s="110">
        <v>44134</v>
      </c>
      <c r="E51" s="31" t="s">
        <v>30</v>
      </c>
      <c r="F51" s="31">
        <v>349</v>
      </c>
      <c r="G51" s="31">
        <v>113</v>
      </c>
      <c r="H51" s="31">
        <v>9</v>
      </c>
      <c r="I51" s="31">
        <v>5</v>
      </c>
      <c r="J51" s="31" t="s">
        <v>204</v>
      </c>
      <c r="K51" s="31" cm="1">
        <f t="array" ref="K51">INT(SUMPRODUCT(--ISNUMBER(SEARCH(economy,C51)))&gt;0)</f>
        <v>0</v>
      </c>
      <c r="L51" s="31" cm="1">
        <f t="array" ref="L51">INT(SUMPRODUCT(--ISNUMBER(SEARCH(healthcare,C51)))&gt;0)</f>
        <v>1</v>
      </c>
      <c r="M51" s="31" cm="1">
        <f t="array" ref="M51">INT(SUMPRODUCT(--ISNUMBER(SEARCH(supreme,C51)))&gt;0)</f>
        <v>0</v>
      </c>
      <c r="N51" s="31" cm="1">
        <f t="array" ref="N51">INT(SUMPRODUCT(--ISNUMBER(SEARCH(covid,C51)))&gt;0)</f>
        <v>0</v>
      </c>
      <c r="O51" s="31" cm="1">
        <f t="array" ref="O51">INT(SUMPRODUCT(--ISNUMBER(SEARCH(violent,C51)))&gt;0)</f>
        <v>0</v>
      </c>
      <c r="P51" s="31" cm="1">
        <f t="array" ref="P51">INT(SUMPRODUCT(--ISNUMBER(SEARCH(foreign,C51)))&gt;0)</f>
        <v>0</v>
      </c>
      <c r="Q51" s="31" cm="1">
        <f t="array" ref="Q51">INT(SUMPRODUCT(--ISNUMBER(SEARCH(gun,C51)))&gt;0)</f>
        <v>0</v>
      </c>
      <c r="R51" s="31" cm="1">
        <f t="array" ref="R51">INT(SUMPRODUCT(--ISNUMBER(SEARCH(race,C51)))&gt;0)</f>
        <v>0</v>
      </c>
      <c r="S51" s="31" cm="1">
        <f t="array" ref="S51">INT(SUMPRODUCT(--ISNUMBER(SEARCH(immigration,C51)))&gt;0)</f>
        <v>0</v>
      </c>
      <c r="T51" s="31" cm="1">
        <f t="array" ref="T51">INT(SUMPRODUCT(--ISNUMBER(SEARCH(econineq,C52)))&gt;0)</f>
        <v>0</v>
      </c>
      <c r="U51" s="31" cm="1">
        <f t="array" ref="U51">INT(SUMPRODUCT(--ISNUMBER(SEARCH(climate,C51)))&gt;0)</f>
        <v>0</v>
      </c>
      <c r="V51" s="31" cm="1">
        <f t="array" ref="V51">INT(SUMPRODUCT(--ISNUMBER(SEARCH(abortion,C51)))&gt;0)</f>
        <v>0</v>
      </c>
      <c r="W51" s="31" cm="1">
        <f t="array" ref="W51">INT(SUMPRODUCT(--ISNUMBER(SEARCH(trump,C51)))&gt;0)</f>
        <v>0</v>
      </c>
      <c r="X51" s="31" cm="1">
        <f t="array" ref="X51">INT(SUMPRODUCT(--ISNUMBER(SEARCH(voting,C51)))&gt;0)</f>
        <v>0</v>
      </c>
      <c r="Y51" s="31" cm="1">
        <f t="array" ref="Y51">INT(SUMPRODUCT(--ISNUMBER(SEARCH(democrattrigger,C51)))&gt;0)</f>
        <v>0</v>
      </c>
      <c r="Z51" s="31" cm="1">
        <f t="array" ref="Z51">INT(SUMPRODUCT(--ISNUMBER(SEARCH(bipartisan,C51)))&gt;0)</f>
        <v>0</v>
      </c>
      <c r="AA51" s="31">
        <f t="shared" si="0"/>
        <v>0</v>
      </c>
      <c r="AB51" s="31"/>
      <c r="AC51" s="111">
        <v>0</v>
      </c>
      <c r="AD51" s="112">
        <v>1</v>
      </c>
    </row>
    <row r="52" spans="1:30" x14ac:dyDescent="0.25">
      <c r="A52" s="109">
        <v>1908</v>
      </c>
      <c r="B52" s="31" t="s">
        <v>3842</v>
      </c>
      <c r="C52" s="31" t="s">
        <v>3843</v>
      </c>
      <c r="D52" s="110">
        <v>44134</v>
      </c>
      <c r="E52" s="31" t="s">
        <v>30</v>
      </c>
      <c r="F52" s="31">
        <v>134</v>
      </c>
      <c r="G52" s="31">
        <v>51</v>
      </c>
      <c r="H52" s="31">
        <v>9</v>
      </c>
      <c r="I52" s="31">
        <v>5</v>
      </c>
      <c r="J52" s="31" t="s">
        <v>204</v>
      </c>
      <c r="K52" s="31" cm="1">
        <f t="array" ref="K52">INT(SUMPRODUCT(--ISNUMBER(SEARCH(economy,C52)))&gt;0)</f>
        <v>0</v>
      </c>
      <c r="L52" s="31" cm="1">
        <f t="array" ref="L52">INT(SUMPRODUCT(--ISNUMBER(SEARCH(healthcare,C52)))&gt;0)</f>
        <v>0</v>
      </c>
      <c r="M52" s="31" cm="1">
        <f t="array" ref="M52">INT(SUMPRODUCT(--ISNUMBER(SEARCH(supreme,C52)))&gt;0)</f>
        <v>0</v>
      </c>
      <c r="N52" s="31" cm="1">
        <f t="array" ref="N52">INT(SUMPRODUCT(--ISNUMBER(SEARCH(covid,C52)))&gt;0)</f>
        <v>0</v>
      </c>
      <c r="O52" s="31" cm="1">
        <f t="array" ref="O52">INT(SUMPRODUCT(--ISNUMBER(SEARCH(violent,C52)))&gt;0)</f>
        <v>0</v>
      </c>
      <c r="P52" s="31" cm="1">
        <f t="array" ref="P52">INT(SUMPRODUCT(--ISNUMBER(SEARCH(foreign,C52)))&gt;0)</f>
        <v>0</v>
      </c>
      <c r="Q52" s="31" cm="1">
        <f t="array" ref="Q52">INT(SUMPRODUCT(--ISNUMBER(SEARCH(gun,C52)))&gt;0)</f>
        <v>0</v>
      </c>
      <c r="R52" s="31" cm="1">
        <f t="array" ref="R52">INT(SUMPRODUCT(--ISNUMBER(SEARCH(race,C52)))&gt;0)</f>
        <v>0</v>
      </c>
      <c r="S52" s="31" cm="1">
        <f t="array" ref="S52">INT(SUMPRODUCT(--ISNUMBER(SEARCH(immigration,C52)))&gt;0)</f>
        <v>0</v>
      </c>
      <c r="T52" s="31" cm="1">
        <f t="array" ref="T52">INT(SUMPRODUCT(--ISNUMBER(SEARCH(econineq,C53)))&gt;0)</f>
        <v>0</v>
      </c>
      <c r="U52" s="31" cm="1">
        <f t="array" ref="U52">INT(SUMPRODUCT(--ISNUMBER(SEARCH(climate,C52)))&gt;0)</f>
        <v>0</v>
      </c>
      <c r="V52" s="31" cm="1">
        <f t="array" ref="V52">INT(SUMPRODUCT(--ISNUMBER(SEARCH(abortion,C52)))&gt;0)</f>
        <v>0</v>
      </c>
      <c r="W52" s="31" cm="1">
        <f t="array" ref="W52">INT(SUMPRODUCT(--ISNUMBER(SEARCH(trump,C52)))&gt;0)</f>
        <v>0</v>
      </c>
      <c r="X52" s="31" cm="1">
        <f t="array" ref="X52">INT(SUMPRODUCT(--ISNUMBER(SEARCH(voting,C52)))&gt;0)</f>
        <v>1</v>
      </c>
      <c r="Y52" s="31" cm="1">
        <f t="array" ref="Y52">INT(SUMPRODUCT(--ISNUMBER(SEARCH(democrattrigger,C52)))&gt;0)</f>
        <v>0</v>
      </c>
      <c r="Z52" s="31" cm="1">
        <f t="array" ref="Z52">INT(SUMPRODUCT(--ISNUMBER(SEARCH(bipartisan,C52)))&gt;0)</f>
        <v>0</v>
      </c>
      <c r="AA52" s="31">
        <f t="shared" si="0"/>
        <v>0</v>
      </c>
      <c r="AB52" s="31"/>
      <c r="AC52" s="111">
        <v>0</v>
      </c>
      <c r="AD52" s="112">
        <v>1</v>
      </c>
    </row>
    <row r="53" spans="1:30" x14ac:dyDescent="0.25">
      <c r="A53" s="109">
        <v>1909</v>
      </c>
      <c r="B53" s="31" t="s">
        <v>3844</v>
      </c>
      <c r="C53" s="31" t="s">
        <v>3845</v>
      </c>
      <c r="D53" s="110">
        <v>44134</v>
      </c>
      <c r="E53" s="31" t="s">
        <v>30</v>
      </c>
      <c r="F53" s="31">
        <v>112</v>
      </c>
      <c r="G53" s="31">
        <v>52</v>
      </c>
      <c r="H53" s="31">
        <v>9</v>
      </c>
      <c r="I53" s="31">
        <v>5</v>
      </c>
      <c r="J53" s="31" t="s">
        <v>204</v>
      </c>
      <c r="K53" s="31" cm="1">
        <f t="array" ref="K53">INT(SUMPRODUCT(--ISNUMBER(SEARCH(economy,C53)))&gt;0)</f>
        <v>1</v>
      </c>
      <c r="L53" s="31" cm="1">
        <f t="array" ref="L53">INT(SUMPRODUCT(--ISNUMBER(SEARCH(healthcare,C53)))&gt;0)</f>
        <v>0</v>
      </c>
      <c r="M53" s="31" cm="1">
        <f t="array" ref="M53">INT(SUMPRODUCT(--ISNUMBER(SEARCH(supreme,C53)))&gt;0)</f>
        <v>0</v>
      </c>
      <c r="N53" s="31" cm="1">
        <f t="array" ref="N53">INT(SUMPRODUCT(--ISNUMBER(SEARCH(covid,C53)))&gt;0)</f>
        <v>0</v>
      </c>
      <c r="O53" s="31" cm="1">
        <f t="array" ref="O53">INT(SUMPRODUCT(--ISNUMBER(SEARCH(violent,C53)))&gt;0)</f>
        <v>0</v>
      </c>
      <c r="P53" s="31" cm="1">
        <f t="array" ref="P53">INT(SUMPRODUCT(--ISNUMBER(SEARCH(foreign,C53)))&gt;0)</f>
        <v>0</v>
      </c>
      <c r="Q53" s="31" cm="1">
        <f t="array" ref="Q53">INT(SUMPRODUCT(--ISNUMBER(SEARCH(gun,C53)))&gt;0)</f>
        <v>0</v>
      </c>
      <c r="R53" s="31" cm="1">
        <f t="array" ref="R53">INT(SUMPRODUCT(--ISNUMBER(SEARCH(race,C53)))&gt;0)</f>
        <v>0</v>
      </c>
      <c r="S53" s="31" cm="1">
        <f t="array" ref="S53">INT(SUMPRODUCT(--ISNUMBER(SEARCH(immigration,C53)))&gt;0)</f>
        <v>0</v>
      </c>
      <c r="T53" s="31" cm="1">
        <f t="array" ref="T53">INT(SUMPRODUCT(--ISNUMBER(SEARCH(econineq,C54)))&gt;0)</f>
        <v>0</v>
      </c>
      <c r="U53" s="31" cm="1">
        <f t="array" ref="U53">INT(SUMPRODUCT(--ISNUMBER(SEARCH(climate,C53)))&gt;0)</f>
        <v>0</v>
      </c>
      <c r="V53" s="31" cm="1">
        <f t="array" ref="V53">INT(SUMPRODUCT(--ISNUMBER(SEARCH(abortion,C53)))&gt;0)</f>
        <v>0</v>
      </c>
      <c r="W53" s="31" cm="1">
        <f t="array" ref="W53">INT(SUMPRODUCT(--ISNUMBER(SEARCH(trump,C53)))&gt;0)</f>
        <v>0</v>
      </c>
      <c r="X53" s="31" cm="1">
        <f t="array" ref="X53">INT(SUMPRODUCT(--ISNUMBER(SEARCH(voting,C53)))&gt;0)</f>
        <v>0</v>
      </c>
      <c r="Y53" s="31" cm="1">
        <f t="array" ref="Y53">INT(SUMPRODUCT(--ISNUMBER(SEARCH(democrattrigger,C53)))&gt;0)</f>
        <v>0</v>
      </c>
      <c r="Z53" s="31" cm="1">
        <f t="array" ref="Z53">INT(SUMPRODUCT(--ISNUMBER(SEARCH(bipartisan,C53)))&gt;0)</f>
        <v>0</v>
      </c>
      <c r="AA53" s="31">
        <f t="shared" si="0"/>
        <v>0</v>
      </c>
      <c r="AB53" s="31"/>
      <c r="AC53" s="111">
        <v>1</v>
      </c>
      <c r="AD53" s="112">
        <v>0</v>
      </c>
    </row>
    <row r="54" spans="1:30" x14ac:dyDescent="0.25">
      <c r="A54" s="109">
        <v>1910</v>
      </c>
      <c r="B54" s="31" t="s">
        <v>3846</v>
      </c>
      <c r="C54" s="31" t="s">
        <v>3847</v>
      </c>
      <c r="D54" s="110">
        <v>44134</v>
      </c>
      <c r="E54" s="31" t="s">
        <v>30</v>
      </c>
      <c r="F54" s="31">
        <v>1237</v>
      </c>
      <c r="G54" s="31">
        <v>384</v>
      </c>
      <c r="H54" s="31">
        <v>9</v>
      </c>
      <c r="I54" s="31">
        <v>5</v>
      </c>
      <c r="J54" s="31" t="s">
        <v>204</v>
      </c>
      <c r="K54" s="31" cm="1">
        <f t="array" ref="K54">INT(SUMPRODUCT(--ISNUMBER(SEARCH(economy,C54)))&gt;0)</f>
        <v>0</v>
      </c>
      <c r="L54" s="31" cm="1">
        <f t="array" ref="L54">INT(SUMPRODUCT(--ISNUMBER(SEARCH(healthcare,C54)))&gt;0)</f>
        <v>0</v>
      </c>
      <c r="M54" s="31" cm="1">
        <f t="array" ref="M54">INT(SUMPRODUCT(--ISNUMBER(SEARCH(supreme,C54)))&gt;0)</f>
        <v>0</v>
      </c>
      <c r="N54" s="31" cm="1">
        <f t="array" ref="N54">INT(SUMPRODUCT(--ISNUMBER(SEARCH(covid,C54)))&gt;0)</f>
        <v>0</v>
      </c>
      <c r="O54" s="31" cm="1">
        <f t="array" ref="O54">INT(SUMPRODUCT(--ISNUMBER(SEARCH(violent,C54)))&gt;0)</f>
        <v>0</v>
      </c>
      <c r="P54" s="31" cm="1">
        <f t="array" ref="P54">INT(SUMPRODUCT(--ISNUMBER(SEARCH(foreign,C54)))&gt;0)</f>
        <v>0</v>
      </c>
      <c r="Q54" s="31" cm="1">
        <f t="array" ref="Q54">INT(SUMPRODUCT(--ISNUMBER(SEARCH(gun,C54)))&gt;0)</f>
        <v>0</v>
      </c>
      <c r="R54" s="31" cm="1">
        <f t="array" ref="R54">INT(SUMPRODUCT(--ISNUMBER(SEARCH(race,C54)))&gt;0)</f>
        <v>0</v>
      </c>
      <c r="S54" s="31" cm="1">
        <f t="array" ref="S54">INT(SUMPRODUCT(--ISNUMBER(SEARCH(immigration,C54)))&gt;0)</f>
        <v>0</v>
      </c>
      <c r="T54" s="31" cm="1">
        <f t="array" ref="T54">INT(SUMPRODUCT(--ISNUMBER(SEARCH(econineq,C55)))&gt;0)</f>
        <v>0</v>
      </c>
      <c r="U54" s="31" cm="1">
        <f t="array" ref="U54">INT(SUMPRODUCT(--ISNUMBER(SEARCH(climate,C54)))&gt;0)</f>
        <v>0</v>
      </c>
      <c r="V54" s="31" cm="1">
        <f t="array" ref="V54">INT(SUMPRODUCT(--ISNUMBER(SEARCH(abortion,C54)))&gt;0)</f>
        <v>0</v>
      </c>
      <c r="W54" s="31" cm="1">
        <f t="array" ref="W54">INT(SUMPRODUCT(--ISNUMBER(SEARCH(trump,C54)))&gt;0)</f>
        <v>0</v>
      </c>
      <c r="X54" s="31" cm="1">
        <f t="array" ref="X54">INT(SUMPRODUCT(--ISNUMBER(SEARCH(voting,C54)))&gt;0)</f>
        <v>1</v>
      </c>
      <c r="Y54" s="31" cm="1">
        <f t="array" ref="Y54">INT(SUMPRODUCT(--ISNUMBER(SEARCH(democrattrigger,C54)))&gt;0)</f>
        <v>0</v>
      </c>
      <c r="Z54" s="31" cm="1">
        <f t="array" ref="Z54">INT(SUMPRODUCT(--ISNUMBER(SEARCH(bipartisan,C54)))&gt;0)</f>
        <v>0</v>
      </c>
      <c r="AA54" s="31">
        <f t="shared" si="0"/>
        <v>0</v>
      </c>
      <c r="AB54" s="31"/>
      <c r="AC54" s="111">
        <v>0</v>
      </c>
      <c r="AD54" s="112">
        <v>1</v>
      </c>
    </row>
    <row r="55" spans="1:30" x14ac:dyDescent="0.25">
      <c r="A55" s="109">
        <v>1911</v>
      </c>
      <c r="B55" s="31" t="s">
        <v>3848</v>
      </c>
      <c r="C55" s="31" t="s">
        <v>3849</v>
      </c>
      <c r="D55" s="110">
        <v>44134</v>
      </c>
      <c r="E55" s="31" t="s">
        <v>30</v>
      </c>
      <c r="F55" s="31">
        <v>190</v>
      </c>
      <c r="G55" s="31">
        <v>75</v>
      </c>
      <c r="H55" s="31">
        <v>9</v>
      </c>
      <c r="I55" s="31">
        <v>5</v>
      </c>
      <c r="J55" s="31" t="s">
        <v>204</v>
      </c>
      <c r="K55" s="31" cm="1">
        <f t="array" ref="K55">INT(SUMPRODUCT(--ISNUMBER(SEARCH(economy,C55)))&gt;0)</f>
        <v>0</v>
      </c>
      <c r="L55" s="31" cm="1">
        <f t="array" ref="L55">INT(SUMPRODUCT(--ISNUMBER(SEARCH(healthcare,C55)))&gt;0)</f>
        <v>0</v>
      </c>
      <c r="M55" s="31" cm="1">
        <f t="array" ref="M55">INT(SUMPRODUCT(--ISNUMBER(SEARCH(supreme,C55)))&gt;0)</f>
        <v>0</v>
      </c>
      <c r="N55" s="31" cm="1">
        <f t="array" ref="N55">INT(SUMPRODUCT(--ISNUMBER(SEARCH(covid,C55)))&gt;0)</f>
        <v>0</v>
      </c>
      <c r="O55" s="31" cm="1">
        <f t="array" ref="O55">INT(SUMPRODUCT(--ISNUMBER(SEARCH(violent,C55)))&gt;0)</f>
        <v>0</v>
      </c>
      <c r="P55" s="31" cm="1">
        <f t="array" ref="P55">INT(SUMPRODUCT(--ISNUMBER(SEARCH(foreign,C55)))&gt;0)</f>
        <v>0</v>
      </c>
      <c r="Q55" s="31" cm="1">
        <f t="array" ref="Q55">INT(SUMPRODUCT(--ISNUMBER(SEARCH(gun,C55)))&gt;0)</f>
        <v>0</v>
      </c>
      <c r="R55" s="31" cm="1">
        <f t="array" ref="R55">INT(SUMPRODUCT(--ISNUMBER(SEARCH(race,C55)))&gt;0)</f>
        <v>0</v>
      </c>
      <c r="S55" s="31" cm="1">
        <f t="array" ref="S55">INT(SUMPRODUCT(--ISNUMBER(SEARCH(immigration,C55)))&gt;0)</f>
        <v>0</v>
      </c>
      <c r="T55" s="31" cm="1">
        <f t="array" ref="T55">INT(SUMPRODUCT(--ISNUMBER(SEARCH(econineq,C56)))&gt;0)</f>
        <v>0</v>
      </c>
      <c r="U55" s="31" cm="1">
        <f t="array" ref="U55">INT(SUMPRODUCT(--ISNUMBER(SEARCH(climate,C55)))&gt;0)</f>
        <v>0</v>
      </c>
      <c r="V55" s="31" cm="1">
        <f t="array" ref="V55">INT(SUMPRODUCT(--ISNUMBER(SEARCH(abortion,C55)))&gt;0)</f>
        <v>0</v>
      </c>
      <c r="W55" s="31" cm="1">
        <f t="array" ref="W55">INT(SUMPRODUCT(--ISNUMBER(SEARCH(trump,C55)))&gt;0)</f>
        <v>0</v>
      </c>
      <c r="X55" s="31" cm="1">
        <f t="array" ref="X55">INT(SUMPRODUCT(--ISNUMBER(SEARCH(voting,C55)))&gt;0)</f>
        <v>1</v>
      </c>
      <c r="Y55" s="31" cm="1">
        <f t="array" ref="Y55">INT(SUMPRODUCT(--ISNUMBER(SEARCH(democrattrigger,C55)))&gt;0)</f>
        <v>0</v>
      </c>
      <c r="Z55" s="31" cm="1">
        <f t="array" ref="Z55">INT(SUMPRODUCT(--ISNUMBER(SEARCH(bipartisan,C55)))&gt;0)</f>
        <v>0</v>
      </c>
      <c r="AA55" s="31">
        <f t="shared" si="0"/>
        <v>0</v>
      </c>
      <c r="AB55" s="31"/>
      <c r="AC55" s="111">
        <v>1</v>
      </c>
      <c r="AD55" s="112">
        <v>0</v>
      </c>
    </row>
    <row r="56" spans="1:30" x14ac:dyDescent="0.25">
      <c r="A56" s="109">
        <v>1912</v>
      </c>
      <c r="B56" s="31" t="s">
        <v>3850</v>
      </c>
      <c r="C56" s="31" t="s">
        <v>3851</v>
      </c>
      <c r="D56" s="110">
        <v>44134</v>
      </c>
      <c r="E56" s="31" t="s">
        <v>30</v>
      </c>
      <c r="F56" s="31">
        <v>338</v>
      </c>
      <c r="G56" s="31">
        <v>167</v>
      </c>
      <c r="H56" s="31">
        <v>9</v>
      </c>
      <c r="I56" s="31">
        <v>5</v>
      </c>
      <c r="J56" s="31" t="s">
        <v>204</v>
      </c>
      <c r="K56" s="31" cm="1">
        <f t="array" ref="K56">INT(SUMPRODUCT(--ISNUMBER(SEARCH(economy,C56)))&gt;0)</f>
        <v>0</v>
      </c>
      <c r="L56" s="31" cm="1">
        <f t="array" ref="L56">INT(SUMPRODUCT(--ISNUMBER(SEARCH(healthcare,C56)))&gt;0)</f>
        <v>0</v>
      </c>
      <c r="M56" s="31" cm="1">
        <f t="array" ref="M56">INT(SUMPRODUCT(--ISNUMBER(SEARCH(supreme,C56)))&gt;0)</f>
        <v>0</v>
      </c>
      <c r="N56" s="31" cm="1">
        <f t="array" ref="N56">INT(SUMPRODUCT(--ISNUMBER(SEARCH(covid,C56)))&gt;0)</f>
        <v>0</v>
      </c>
      <c r="O56" s="31" cm="1">
        <f t="array" ref="O56">INT(SUMPRODUCT(--ISNUMBER(SEARCH(violent,C56)))&gt;0)</f>
        <v>0</v>
      </c>
      <c r="P56" s="31" cm="1">
        <f t="array" ref="P56">INT(SUMPRODUCT(--ISNUMBER(SEARCH(foreign,C56)))&gt;0)</f>
        <v>0</v>
      </c>
      <c r="Q56" s="31" cm="1">
        <f t="array" ref="Q56">INT(SUMPRODUCT(--ISNUMBER(SEARCH(gun,C56)))&gt;0)</f>
        <v>0</v>
      </c>
      <c r="R56" s="31" cm="1">
        <f t="array" ref="R56">INT(SUMPRODUCT(--ISNUMBER(SEARCH(race,C56)))&gt;0)</f>
        <v>0</v>
      </c>
      <c r="S56" s="31" cm="1">
        <f t="array" ref="S56">INT(SUMPRODUCT(--ISNUMBER(SEARCH(immigration,C56)))&gt;0)</f>
        <v>0</v>
      </c>
      <c r="T56" s="31" cm="1">
        <f t="array" ref="T56">INT(SUMPRODUCT(--ISNUMBER(SEARCH(econineq,C57)))&gt;0)</f>
        <v>0</v>
      </c>
      <c r="U56" s="31" cm="1">
        <f t="array" ref="U56">INT(SUMPRODUCT(--ISNUMBER(SEARCH(climate,C56)))&gt;0)</f>
        <v>0</v>
      </c>
      <c r="V56" s="31" cm="1">
        <f t="array" ref="V56">INT(SUMPRODUCT(--ISNUMBER(SEARCH(abortion,C56)))&gt;0)</f>
        <v>0</v>
      </c>
      <c r="W56" s="31" cm="1">
        <f t="array" ref="W56">INT(SUMPRODUCT(--ISNUMBER(SEARCH(trump,C56)))&gt;0)</f>
        <v>0</v>
      </c>
      <c r="X56" s="31" cm="1">
        <f t="array" ref="X56">INT(SUMPRODUCT(--ISNUMBER(SEARCH(voting,C56)))&gt;0)</f>
        <v>1</v>
      </c>
      <c r="Y56" s="31" cm="1">
        <f t="array" ref="Y56">INT(SUMPRODUCT(--ISNUMBER(SEARCH(democrattrigger,C56)))&gt;0)</f>
        <v>1</v>
      </c>
      <c r="Z56" s="31" cm="1">
        <f t="array" ref="Z56">INT(SUMPRODUCT(--ISNUMBER(SEARCH(bipartisan,C56)))&gt;0)</f>
        <v>0</v>
      </c>
      <c r="AA56" s="31">
        <f t="shared" si="0"/>
        <v>0</v>
      </c>
      <c r="AB56" s="31"/>
      <c r="AC56" s="111" t="s">
        <v>223</v>
      </c>
      <c r="AD56" s="112" t="s">
        <v>223</v>
      </c>
    </row>
    <row r="57" spans="1:30" x14ac:dyDescent="0.25">
      <c r="A57" s="109">
        <v>1913</v>
      </c>
      <c r="B57" s="31" t="s">
        <v>3852</v>
      </c>
      <c r="C57" s="31" t="s">
        <v>3853</v>
      </c>
      <c r="D57" s="110">
        <v>44134</v>
      </c>
      <c r="E57" s="31" t="s">
        <v>30</v>
      </c>
      <c r="F57" s="31">
        <v>248</v>
      </c>
      <c r="G57" s="31">
        <v>115</v>
      </c>
      <c r="H57" s="31">
        <v>9</v>
      </c>
      <c r="I57" s="31">
        <v>5</v>
      </c>
      <c r="J57" s="31" t="s">
        <v>204</v>
      </c>
      <c r="K57" s="31" cm="1">
        <f t="array" ref="K57">INT(SUMPRODUCT(--ISNUMBER(SEARCH(economy,C57)))&gt;0)</f>
        <v>0</v>
      </c>
      <c r="L57" s="31" cm="1">
        <f t="array" ref="L57">INT(SUMPRODUCT(--ISNUMBER(SEARCH(healthcare,C57)))&gt;0)</f>
        <v>0</v>
      </c>
      <c r="M57" s="31" cm="1">
        <f t="array" ref="M57">INT(SUMPRODUCT(--ISNUMBER(SEARCH(supreme,C57)))&gt;0)</f>
        <v>0</v>
      </c>
      <c r="N57" s="31" cm="1">
        <f t="array" ref="N57">INT(SUMPRODUCT(--ISNUMBER(SEARCH(covid,C57)))&gt;0)</f>
        <v>0</v>
      </c>
      <c r="O57" s="31" cm="1">
        <f t="array" ref="O57">INT(SUMPRODUCT(--ISNUMBER(SEARCH(violent,C57)))&gt;0)</f>
        <v>0</v>
      </c>
      <c r="P57" s="31" cm="1">
        <f t="array" ref="P57">INT(SUMPRODUCT(--ISNUMBER(SEARCH(foreign,C57)))&gt;0)</f>
        <v>0</v>
      </c>
      <c r="Q57" s="31" cm="1">
        <f t="array" ref="Q57">INT(SUMPRODUCT(--ISNUMBER(SEARCH(gun,C57)))&gt;0)</f>
        <v>0</v>
      </c>
      <c r="R57" s="31" cm="1">
        <f t="array" ref="R57">INT(SUMPRODUCT(--ISNUMBER(SEARCH(race,C57)))&gt;0)</f>
        <v>0</v>
      </c>
      <c r="S57" s="31" cm="1">
        <f t="array" ref="S57">INT(SUMPRODUCT(--ISNUMBER(SEARCH(immigration,C57)))&gt;0)</f>
        <v>0</v>
      </c>
      <c r="T57" s="31" cm="1">
        <f t="array" ref="T57">INT(SUMPRODUCT(--ISNUMBER(SEARCH(econineq,C58)))&gt;0)</f>
        <v>0</v>
      </c>
      <c r="U57" s="31" cm="1">
        <f t="array" ref="U57">INT(SUMPRODUCT(--ISNUMBER(SEARCH(climate,C57)))&gt;0)</f>
        <v>0</v>
      </c>
      <c r="V57" s="31" cm="1">
        <f t="array" ref="V57">INT(SUMPRODUCT(--ISNUMBER(SEARCH(abortion,C57)))&gt;0)</f>
        <v>0</v>
      </c>
      <c r="W57" s="31" cm="1">
        <f t="array" ref="W57">INT(SUMPRODUCT(--ISNUMBER(SEARCH(trump,C57)))&gt;0)</f>
        <v>0</v>
      </c>
      <c r="X57" s="31" cm="1">
        <f t="array" ref="X57">INT(SUMPRODUCT(--ISNUMBER(SEARCH(voting,C57)))&gt;0)</f>
        <v>1</v>
      </c>
      <c r="Y57" s="31" cm="1">
        <f t="array" ref="Y57">INT(SUMPRODUCT(--ISNUMBER(SEARCH(democrattrigger,C57)))&gt;0)</f>
        <v>0</v>
      </c>
      <c r="Z57" s="31" cm="1">
        <f t="array" ref="Z57">INT(SUMPRODUCT(--ISNUMBER(SEARCH(bipartisan,C57)))&gt;0)</f>
        <v>0</v>
      </c>
      <c r="AA57" s="31">
        <f t="shared" si="0"/>
        <v>0</v>
      </c>
      <c r="AB57" s="31"/>
      <c r="AC57" s="111">
        <v>1</v>
      </c>
      <c r="AD57" s="112">
        <v>0</v>
      </c>
    </row>
    <row r="58" spans="1:30" x14ac:dyDescent="0.25">
      <c r="A58" s="109">
        <v>1914</v>
      </c>
      <c r="B58" s="31" t="s">
        <v>3854</v>
      </c>
      <c r="C58" s="31" t="s">
        <v>3855</v>
      </c>
      <c r="D58" s="110">
        <v>44134</v>
      </c>
      <c r="E58" s="31" t="s">
        <v>30</v>
      </c>
      <c r="F58" s="31">
        <v>1589</v>
      </c>
      <c r="G58" s="31">
        <v>228</v>
      </c>
      <c r="H58" s="31">
        <v>9</v>
      </c>
      <c r="I58" s="31">
        <v>5</v>
      </c>
      <c r="J58" s="31" t="s">
        <v>204</v>
      </c>
      <c r="K58" s="31" cm="1">
        <f t="array" ref="K58">INT(SUMPRODUCT(--ISNUMBER(SEARCH(economy,C58)))&gt;0)</f>
        <v>0</v>
      </c>
      <c r="L58" s="31" cm="1">
        <f t="array" ref="L58">INT(SUMPRODUCT(--ISNUMBER(SEARCH(healthcare,C58)))&gt;0)</f>
        <v>0</v>
      </c>
      <c r="M58" s="31" cm="1">
        <f t="array" ref="M58">INT(SUMPRODUCT(--ISNUMBER(SEARCH(supreme,C58)))&gt;0)</f>
        <v>0</v>
      </c>
      <c r="N58" s="31" cm="1">
        <f t="array" ref="N58">INT(SUMPRODUCT(--ISNUMBER(SEARCH(covid,C58)))&gt;0)</f>
        <v>0</v>
      </c>
      <c r="O58" s="31" cm="1">
        <f t="array" ref="O58">INT(SUMPRODUCT(--ISNUMBER(SEARCH(violent,C58)))&gt;0)</f>
        <v>0</v>
      </c>
      <c r="P58" s="31" cm="1">
        <f t="array" ref="P58">INT(SUMPRODUCT(--ISNUMBER(SEARCH(foreign,C58)))&gt;0)</f>
        <v>0</v>
      </c>
      <c r="Q58" s="31" cm="1">
        <f t="array" ref="Q58">INT(SUMPRODUCT(--ISNUMBER(SEARCH(gun,C58)))&gt;0)</f>
        <v>0</v>
      </c>
      <c r="R58" s="31" cm="1">
        <f t="array" ref="R58">INT(SUMPRODUCT(--ISNUMBER(SEARCH(race,C58)))&gt;0)</f>
        <v>0</v>
      </c>
      <c r="S58" s="31" cm="1">
        <f t="array" ref="S58">INT(SUMPRODUCT(--ISNUMBER(SEARCH(immigration,C58)))&gt;0)</f>
        <v>0</v>
      </c>
      <c r="T58" s="31" cm="1">
        <f t="array" ref="T58">INT(SUMPRODUCT(--ISNUMBER(SEARCH(econineq,C59)))&gt;0)</f>
        <v>0</v>
      </c>
      <c r="U58" s="31" cm="1">
        <f t="array" ref="U58">INT(SUMPRODUCT(--ISNUMBER(SEARCH(climate,C58)))&gt;0)</f>
        <v>0</v>
      </c>
      <c r="V58" s="31" cm="1">
        <f t="array" ref="V58">INT(SUMPRODUCT(--ISNUMBER(SEARCH(abortion,C58)))&gt;0)</f>
        <v>0</v>
      </c>
      <c r="W58" s="31" cm="1">
        <f t="array" ref="W58">INT(SUMPRODUCT(--ISNUMBER(SEARCH(trump,C58)))&gt;0)</f>
        <v>0</v>
      </c>
      <c r="X58" s="31" cm="1">
        <f t="array" ref="X58">INT(SUMPRODUCT(--ISNUMBER(SEARCH(voting,C58)))&gt;0)</f>
        <v>1</v>
      </c>
      <c r="Y58" s="31" cm="1">
        <f t="array" ref="Y58">INT(SUMPRODUCT(--ISNUMBER(SEARCH(democrattrigger,C58)))&gt;0)</f>
        <v>0</v>
      </c>
      <c r="Z58" s="31" cm="1">
        <f t="array" ref="Z58">INT(SUMPRODUCT(--ISNUMBER(SEARCH(bipartisan,C58)))&gt;0)</f>
        <v>0</v>
      </c>
      <c r="AA58" s="31">
        <f t="shared" si="0"/>
        <v>0</v>
      </c>
      <c r="AB58" s="31"/>
      <c r="AC58" s="111" t="s">
        <v>223</v>
      </c>
      <c r="AD58" s="112" t="s">
        <v>223</v>
      </c>
    </row>
    <row r="59" spans="1:30" x14ac:dyDescent="0.25">
      <c r="A59" s="109">
        <v>1915</v>
      </c>
      <c r="B59" s="31" t="s">
        <v>3856</v>
      </c>
      <c r="C59" s="31" t="s">
        <v>3857</v>
      </c>
      <c r="D59" s="110">
        <v>44133</v>
      </c>
      <c r="E59" s="31" t="s">
        <v>30</v>
      </c>
      <c r="F59" s="31">
        <v>384</v>
      </c>
      <c r="G59" s="31">
        <v>81</v>
      </c>
      <c r="H59" s="31">
        <v>9</v>
      </c>
      <c r="I59" s="31">
        <v>5</v>
      </c>
      <c r="J59" s="31" t="s">
        <v>204</v>
      </c>
      <c r="K59" s="31" cm="1">
        <f t="array" ref="K59">INT(SUMPRODUCT(--ISNUMBER(SEARCH(economy,C59)))&gt;0)</f>
        <v>0</v>
      </c>
      <c r="L59" s="31" cm="1">
        <f t="array" ref="L59">INT(SUMPRODUCT(--ISNUMBER(SEARCH(healthcare,C59)))&gt;0)</f>
        <v>0</v>
      </c>
      <c r="M59" s="31" cm="1">
        <f t="array" ref="M59">INT(SUMPRODUCT(--ISNUMBER(SEARCH(supreme,C59)))&gt;0)</f>
        <v>0</v>
      </c>
      <c r="N59" s="31" cm="1">
        <f t="array" ref="N59">INT(SUMPRODUCT(--ISNUMBER(SEARCH(covid,C59)))&gt;0)</f>
        <v>0</v>
      </c>
      <c r="O59" s="31" cm="1">
        <f t="array" ref="O59">INT(SUMPRODUCT(--ISNUMBER(SEARCH(violent,C59)))&gt;0)</f>
        <v>0</v>
      </c>
      <c r="P59" s="31" cm="1">
        <f t="array" ref="P59">INT(SUMPRODUCT(--ISNUMBER(SEARCH(foreign,C59)))&gt;0)</f>
        <v>0</v>
      </c>
      <c r="Q59" s="31" cm="1">
        <f t="array" ref="Q59">INT(SUMPRODUCT(--ISNUMBER(SEARCH(gun,C59)))&gt;0)</f>
        <v>0</v>
      </c>
      <c r="R59" s="31" cm="1">
        <f t="array" ref="R59">INT(SUMPRODUCT(--ISNUMBER(SEARCH(race,C59)))&gt;0)</f>
        <v>0</v>
      </c>
      <c r="S59" s="31" cm="1">
        <f t="array" ref="S59">INT(SUMPRODUCT(--ISNUMBER(SEARCH(immigration,C59)))&gt;0)</f>
        <v>0</v>
      </c>
      <c r="T59" s="31" cm="1">
        <f t="array" ref="T59">INT(SUMPRODUCT(--ISNUMBER(SEARCH(econineq,C60)))&gt;0)</f>
        <v>0</v>
      </c>
      <c r="U59" s="31" cm="1">
        <f t="array" ref="U59">INT(SUMPRODUCT(--ISNUMBER(SEARCH(climate,C59)))&gt;0)</f>
        <v>0</v>
      </c>
      <c r="V59" s="31" cm="1">
        <f t="array" ref="V59">INT(SUMPRODUCT(--ISNUMBER(SEARCH(abortion,C59)))&gt;0)</f>
        <v>0</v>
      </c>
      <c r="W59" s="31" cm="1">
        <f t="array" ref="W59">INT(SUMPRODUCT(--ISNUMBER(SEARCH(trump,C59)))&gt;0)</f>
        <v>0</v>
      </c>
      <c r="X59" s="31" cm="1">
        <f t="array" ref="X59">INT(SUMPRODUCT(--ISNUMBER(SEARCH(voting,C59)))&gt;0)</f>
        <v>0</v>
      </c>
      <c r="Y59" s="31" cm="1">
        <f t="array" ref="Y59">INT(SUMPRODUCT(--ISNUMBER(SEARCH(democrattrigger,C59)))&gt;0)</f>
        <v>0</v>
      </c>
      <c r="Z59" s="31" cm="1">
        <f t="array" ref="Z59">INT(SUMPRODUCT(--ISNUMBER(SEARCH(bipartisan,C59)))&gt;0)</f>
        <v>0</v>
      </c>
      <c r="AA59" s="31">
        <f t="shared" si="0"/>
        <v>1</v>
      </c>
      <c r="AB59" s="31"/>
      <c r="AC59" s="111">
        <v>1</v>
      </c>
      <c r="AD59" s="112">
        <v>0</v>
      </c>
    </row>
    <row r="60" spans="1:30" x14ac:dyDescent="0.25">
      <c r="A60" s="109">
        <v>1916</v>
      </c>
      <c r="B60" s="31" t="s">
        <v>3858</v>
      </c>
      <c r="C60" s="31" t="s">
        <v>3859</v>
      </c>
      <c r="D60" s="110">
        <v>44133</v>
      </c>
      <c r="E60" s="31" t="s">
        <v>30</v>
      </c>
      <c r="F60" s="31">
        <v>351</v>
      </c>
      <c r="G60" s="31">
        <v>102</v>
      </c>
      <c r="H60" s="31">
        <v>9</v>
      </c>
      <c r="I60" s="31">
        <v>5</v>
      </c>
      <c r="J60" s="31" t="s">
        <v>204</v>
      </c>
      <c r="K60" s="31" cm="1">
        <f t="array" ref="K60">INT(SUMPRODUCT(--ISNUMBER(SEARCH(economy,C60)))&gt;0)</f>
        <v>1</v>
      </c>
      <c r="L60" s="31" cm="1">
        <f t="array" ref="L60">INT(SUMPRODUCT(--ISNUMBER(SEARCH(healthcare,C60)))&gt;0)</f>
        <v>0</v>
      </c>
      <c r="M60" s="31" cm="1">
        <f t="array" ref="M60">INT(SUMPRODUCT(--ISNUMBER(SEARCH(supreme,C60)))&gt;0)</f>
        <v>0</v>
      </c>
      <c r="N60" s="31" cm="1">
        <f t="array" ref="N60">INT(SUMPRODUCT(--ISNUMBER(SEARCH(covid,C60)))&gt;0)</f>
        <v>1</v>
      </c>
      <c r="O60" s="31" cm="1">
        <f t="array" ref="O60">INT(SUMPRODUCT(--ISNUMBER(SEARCH(violent,C60)))&gt;0)</f>
        <v>0</v>
      </c>
      <c r="P60" s="31" cm="1">
        <f t="array" ref="P60">INT(SUMPRODUCT(--ISNUMBER(SEARCH(foreign,C60)))&gt;0)</f>
        <v>0</v>
      </c>
      <c r="Q60" s="31" cm="1">
        <f t="array" ref="Q60">INT(SUMPRODUCT(--ISNUMBER(SEARCH(gun,C60)))&gt;0)</f>
        <v>0</v>
      </c>
      <c r="R60" s="31" cm="1">
        <f t="array" ref="R60">INT(SUMPRODUCT(--ISNUMBER(SEARCH(race,C60)))&gt;0)</f>
        <v>0</v>
      </c>
      <c r="S60" s="31" cm="1">
        <f t="array" ref="S60">INT(SUMPRODUCT(--ISNUMBER(SEARCH(immigration,C60)))&gt;0)</f>
        <v>0</v>
      </c>
      <c r="T60" s="31" cm="1">
        <f t="array" ref="T60">INT(SUMPRODUCT(--ISNUMBER(SEARCH(econineq,C61)))&gt;0)</f>
        <v>0</v>
      </c>
      <c r="U60" s="31" cm="1">
        <f t="array" ref="U60">INT(SUMPRODUCT(--ISNUMBER(SEARCH(climate,C60)))&gt;0)</f>
        <v>0</v>
      </c>
      <c r="V60" s="31" cm="1">
        <f t="array" ref="V60">INT(SUMPRODUCT(--ISNUMBER(SEARCH(abortion,C60)))&gt;0)</f>
        <v>0</v>
      </c>
      <c r="W60" s="31" cm="1">
        <f t="array" ref="W60">INT(SUMPRODUCT(--ISNUMBER(SEARCH(trump,C60)))&gt;0)</f>
        <v>0</v>
      </c>
      <c r="X60" s="31" cm="1">
        <f t="array" ref="X60">INT(SUMPRODUCT(--ISNUMBER(SEARCH(voting,C60)))&gt;0)</f>
        <v>0</v>
      </c>
      <c r="Y60" s="31" cm="1">
        <f t="array" ref="Y60">INT(SUMPRODUCT(--ISNUMBER(SEARCH(democrattrigger,C60)))&gt;0)</f>
        <v>0</v>
      </c>
      <c r="Z60" s="31" cm="1">
        <f t="array" ref="Z60">INT(SUMPRODUCT(--ISNUMBER(SEARCH(bipartisan,C60)))&gt;0)</f>
        <v>1</v>
      </c>
      <c r="AA60" s="31">
        <f t="shared" si="0"/>
        <v>0</v>
      </c>
      <c r="AB60" s="31"/>
      <c r="AC60" s="111">
        <v>1</v>
      </c>
      <c r="AD60" s="112">
        <v>0</v>
      </c>
    </row>
    <row r="61" spans="1:30" x14ac:dyDescent="0.25">
      <c r="A61" s="109">
        <v>1917</v>
      </c>
      <c r="B61" s="31" t="s">
        <v>3860</v>
      </c>
      <c r="C61" s="31" t="s">
        <v>3861</v>
      </c>
      <c r="D61" s="110">
        <v>44133</v>
      </c>
      <c r="E61" s="31" t="s">
        <v>30</v>
      </c>
      <c r="F61" s="31">
        <v>186</v>
      </c>
      <c r="G61" s="31">
        <v>67</v>
      </c>
      <c r="H61" s="31">
        <v>9</v>
      </c>
      <c r="I61" s="31">
        <v>5</v>
      </c>
      <c r="J61" s="31" t="s">
        <v>204</v>
      </c>
      <c r="K61" s="31" cm="1">
        <f t="array" ref="K61">INT(SUMPRODUCT(--ISNUMBER(SEARCH(economy,C61)))&gt;0)</f>
        <v>0</v>
      </c>
      <c r="L61" s="31" cm="1">
        <f t="array" ref="L61">INT(SUMPRODUCT(--ISNUMBER(SEARCH(healthcare,C61)))&gt;0)</f>
        <v>0</v>
      </c>
      <c r="M61" s="31" cm="1">
        <f t="array" ref="M61">INT(SUMPRODUCT(--ISNUMBER(SEARCH(supreme,C61)))&gt;0)</f>
        <v>0</v>
      </c>
      <c r="N61" s="31" cm="1">
        <f t="array" ref="N61">INT(SUMPRODUCT(--ISNUMBER(SEARCH(covid,C61)))&gt;0)</f>
        <v>0</v>
      </c>
      <c r="O61" s="31" cm="1">
        <f t="array" ref="O61">INT(SUMPRODUCT(--ISNUMBER(SEARCH(violent,C61)))&gt;0)</f>
        <v>0</v>
      </c>
      <c r="P61" s="31" cm="1">
        <f t="array" ref="P61">INT(SUMPRODUCT(--ISNUMBER(SEARCH(foreign,C61)))&gt;0)</f>
        <v>0</v>
      </c>
      <c r="Q61" s="31" cm="1">
        <f t="array" ref="Q61">INT(SUMPRODUCT(--ISNUMBER(SEARCH(gun,C61)))&gt;0)</f>
        <v>0</v>
      </c>
      <c r="R61" s="31" cm="1">
        <f t="array" ref="R61">INT(SUMPRODUCT(--ISNUMBER(SEARCH(race,C61)))&gt;0)</f>
        <v>0</v>
      </c>
      <c r="S61" s="31" cm="1">
        <f t="array" ref="S61">INT(SUMPRODUCT(--ISNUMBER(SEARCH(immigration,C61)))&gt;0)</f>
        <v>0</v>
      </c>
      <c r="T61" s="31" cm="1">
        <f t="array" ref="T61">INT(SUMPRODUCT(--ISNUMBER(SEARCH(econineq,C62)))&gt;0)</f>
        <v>0</v>
      </c>
      <c r="U61" s="31" cm="1">
        <f t="array" ref="U61">INT(SUMPRODUCT(--ISNUMBER(SEARCH(climate,C61)))&gt;0)</f>
        <v>0</v>
      </c>
      <c r="V61" s="31" cm="1">
        <f t="array" ref="V61">INT(SUMPRODUCT(--ISNUMBER(SEARCH(abortion,C61)))&gt;0)</f>
        <v>0</v>
      </c>
      <c r="W61" s="31" cm="1">
        <f t="array" ref="W61">INT(SUMPRODUCT(--ISNUMBER(SEARCH(trump,C61)))&gt;0)</f>
        <v>0</v>
      </c>
      <c r="X61" s="31" cm="1">
        <f t="array" ref="X61">INT(SUMPRODUCT(--ISNUMBER(SEARCH(voting,C61)))&gt;0)</f>
        <v>1</v>
      </c>
      <c r="Y61" s="31" cm="1">
        <f t="array" ref="Y61">INT(SUMPRODUCT(--ISNUMBER(SEARCH(democrattrigger,C61)))&gt;0)</f>
        <v>0</v>
      </c>
      <c r="Z61" s="31" cm="1">
        <f t="array" ref="Z61">INT(SUMPRODUCT(--ISNUMBER(SEARCH(bipartisan,C61)))&gt;0)</f>
        <v>0</v>
      </c>
      <c r="AA61" s="31">
        <f t="shared" si="0"/>
        <v>0</v>
      </c>
      <c r="AB61" s="31"/>
      <c r="AC61" s="111">
        <v>1</v>
      </c>
      <c r="AD61" s="112">
        <v>0</v>
      </c>
    </row>
    <row r="62" spans="1:30" x14ac:dyDescent="0.25">
      <c r="A62" s="109">
        <v>1918</v>
      </c>
      <c r="B62" s="31" t="s">
        <v>3862</v>
      </c>
      <c r="C62" s="31" t="s">
        <v>3863</v>
      </c>
      <c r="D62" s="110">
        <v>44133</v>
      </c>
      <c r="E62" s="31" t="s">
        <v>30</v>
      </c>
      <c r="F62" s="31">
        <v>997</v>
      </c>
      <c r="G62" s="31">
        <v>187</v>
      </c>
      <c r="H62" s="31">
        <v>9</v>
      </c>
      <c r="I62" s="31">
        <v>5</v>
      </c>
      <c r="J62" s="31" t="s">
        <v>204</v>
      </c>
      <c r="K62" s="31" cm="1">
        <f t="array" ref="K62">INT(SUMPRODUCT(--ISNUMBER(SEARCH(economy,C62)))&gt;0)</f>
        <v>0</v>
      </c>
      <c r="L62" s="31" cm="1">
        <f t="array" ref="L62">INT(SUMPRODUCT(--ISNUMBER(SEARCH(healthcare,C62)))&gt;0)</f>
        <v>0</v>
      </c>
      <c r="M62" s="31" cm="1">
        <f t="array" ref="M62">INT(SUMPRODUCT(--ISNUMBER(SEARCH(supreme,C62)))&gt;0)</f>
        <v>0</v>
      </c>
      <c r="N62" s="31" cm="1">
        <f t="array" ref="N62">INT(SUMPRODUCT(--ISNUMBER(SEARCH(covid,C62)))&gt;0)</f>
        <v>0</v>
      </c>
      <c r="O62" s="31" cm="1">
        <f t="array" ref="O62">INT(SUMPRODUCT(--ISNUMBER(SEARCH(violent,C62)))&gt;0)</f>
        <v>0</v>
      </c>
      <c r="P62" s="31" cm="1">
        <f t="array" ref="P62">INT(SUMPRODUCT(--ISNUMBER(SEARCH(foreign,C62)))&gt;0)</f>
        <v>0</v>
      </c>
      <c r="Q62" s="31" cm="1">
        <f t="array" ref="Q62">INT(SUMPRODUCT(--ISNUMBER(SEARCH(gun,C62)))&gt;0)</f>
        <v>0</v>
      </c>
      <c r="R62" s="31" cm="1">
        <f t="array" ref="R62">INT(SUMPRODUCT(--ISNUMBER(SEARCH(race,C62)))&gt;0)</f>
        <v>0</v>
      </c>
      <c r="S62" s="31" cm="1">
        <f t="array" ref="S62">INT(SUMPRODUCT(--ISNUMBER(SEARCH(immigration,C62)))&gt;0)</f>
        <v>0</v>
      </c>
      <c r="T62" s="31" cm="1">
        <f t="array" ref="T62">INT(SUMPRODUCT(--ISNUMBER(SEARCH(econineq,C63)))&gt;0)</f>
        <v>0</v>
      </c>
      <c r="U62" s="31" cm="1">
        <f t="array" ref="U62">INT(SUMPRODUCT(--ISNUMBER(SEARCH(climate,C62)))&gt;0)</f>
        <v>0</v>
      </c>
      <c r="V62" s="31" cm="1">
        <f t="array" ref="V62">INT(SUMPRODUCT(--ISNUMBER(SEARCH(abortion,C62)))&gt;0)</f>
        <v>0</v>
      </c>
      <c r="W62" s="31" cm="1">
        <f t="array" ref="W62">INT(SUMPRODUCT(--ISNUMBER(SEARCH(trump,C62)))&gt;0)</f>
        <v>0</v>
      </c>
      <c r="X62" s="31" cm="1">
        <f t="array" ref="X62">INT(SUMPRODUCT(--ISNUMBER(SEARCH(voting,C62)))&gt;0)</f>
        <v>0</v>
      </c>
      <c r="Y62" s="31" cm="1">
        <f t="array" ref="Y62">INT(SUMPRODUCT(--ISNUMBER(SEARCH(democrattrigger,C62)))&gt;0)</f>
        <v>0</v>
      </c>
      <c r="Z62" s="31" cm="1">
        <f t="array" ref="Z62">INT(SUMPRODUCT(--ISNUMBER(SEARCH(bipartisan,C62)))&gt;0)</f>
        <v>0</v>
      </c>
      <c r="AA62" s="31">
        <f t="shared" si="0"/>
        <v>1</v>
      </c>
      <c r="AB62" s="31"/>
      <c r="AC62" s="111">
        <v>1</v>
      </c>
      <c r="AD62" s="112">
        <v>0</v>
      </c>
    </row>
    <row r="63" spans="1:30" x14ac:dyDescent="0.25">
      <c r="A63" s="109">
        <v>1919</v>
      </c>
      <c r="B63" s="31" t="s">
        <v>3864</v>
      </c>
      <c r="C63" s="31" t="s">
        <v>3865</v>
      </c>
      <c r="D63" s="110">
        <v>44133</v>
      </c>
      <c r="E63" s="31" t="s">
        <v>30</v>
      </c>
      <c r="F63" s="31">
        <v>242</v>
      </c>
      <c r="G63" s="31">
        <v>74</v>
      </c>
      <c r="H63" s="31">
        <v>9</v>
      </c>
      <c r="I63" s="31">
        <v>5</v>
      </c>
      <c r="J63" s="31" t="s">
        <v>204</v>
      </c>
      <c r="K63" s="31" cm="1">
        <f t="array" ref="K63">INT(SUMPRODUCT(--ISNUMBER(SEARCH(economy,C63)))&gt;0)</f>
        <v>0</v>
      </c>
      <c r="L63" s="31" cm="1">
        <f t="array" ref="L63">INT(SUMPRODUCT(--ISNUMBER(SEARCH(healthcare,C63)))&gt;0)</f>
        <v>0</v>
      </c>
      <c r="M63" s="31" cm="1">
        <f t="array" ref="M63">INT(SUMPRODUCT(--ISNUMBER(SEARCH(supreme,C63)))&gt;0)</f>
        <v>0</v>
      </c>
      <c r="N63" s="31" cm="1">
        <f t="array" ref="N63">INT(SUMPRODUCT(--ISNUMBER(SEARCH(covid,C63)))&gt;0)</f>
        <v>0</v>
      </c>
      <c r="O63" s="31" cm="1">
        <f t="array" ref="O63">INT(SUMPRODUCT(--ISNUMBER(SEARCH(violent,C63)))&gt;0)</f>
        <v>0</v>
      </c>
      <c r="P63" s="31" cm="1">
        <f t="array" ref="P63">INT(SUMPRODUCT(--ISNUMBER(SEARCH(foreign,C63)))&gt;0)</f>
        <v>0</v>
      </c>
      <c r="Q63" s="31" cm="1">
        <f t="array" ref="Q63">INT(SUMPRODUCT(--ISNUMBER(SEARCH(gun,C63)))&gt;0)</f>
        <v>0</v>
      </c>
      <c r="R63" s="31" cm="1">
        <f t="array" ref="R63">INT(SUMPRODUCT(--ISNUMBER(SEARCH(race,C63)))&gt;0)</f>
        <v>0</v>
      </c>
      <c r="S63" s="31" cm="1">
        <f t="array" ref="S63">INT(SUMPRODUCT(--ISNUMBER(SEARCH(immigration,C63)))&gt;0)</f>
        <v>0</v>
      </c>
      <c r="T63" s="31" cm="1">
        <f t="array" ref="T63">INT(SUMPRODUCT(--ISNUMBER(SEARCH(econineq,C64)))&gt;0)</f>
        <v>0</v>
      </c>
      <c r="U63" s="31" cm="1">
        <f t="array" ref="U63">INT(SUMPRODUCT(--ISNUMBER(SEARCH(climate,C63)))&gt;0)</f>
        <v>0</v>
      </c>
      <c r="V63" s="31" cm="1">
        <f t="array" ref="V63">INT(SUMPRODUCT(--ISNUMBER(SEARCH(abortion,C63)))&gt;0)</f>
        <v>0</v>
      </c>
      <c r="W63" s="31" cm="1">
        <f t="array" ref="W63">INT(SUMPRODUCT(--ISNUMBER(SEARCH(trump,C63)))&gt;0)</f>
        <v>0</v>
      </c>
      <c r="X63" s="31" cm="1">
        <f t="array" ref="X63">INT(SUMPRODUCT(--ISNUMBER(SEARCH(voting,C63)))&gt;0)</f>
        <v>1</v>
      </c>
      <c r="Y63" s="31" cm="1">
        <f t="array" ref="Y63">INT(SUMPRODUCT(--ISNUMBER(SEARCH(democrattrigger,C63)))&gt;0)</f>
        <v>0</v>
      </c>
      <c r="Z63" s="31" cm="1">
        <f t="array" ref="Z63">INT(SUMPRODUCT(--ISNUMBER(SEARCH(bipartisan,C63)))&gt;0)</f>
        <v>0</v>
      </c>
      <c r="AA63" s="31">
        <f t="shared" si="0"/>
        <v>0</v>
      </c>
      <c r="AB63" s="31"/>
      <c r="AC63" s="111">
        <v>0</v>
      </c>
      <c r="AD63" s="112">
        <v>1</v>
      </c>
    </row>
    <row r="64" spans="1:30" x14ac:dyDescent="0.25">
      <c r="A64" s="109">
        <v>1920</v>
      </c>
      <c r="B64" s="31" t="s">
        <v>3866</v>
      </c>
      <c r="C64" s="31" t="s">
        <v>3867</v>
      </c>
      <c r="D64" s="110">
        <v>44133</v>
      </c>
      <c r="E64" s="31" t="s">
        <v>30</v>
      </c>
      <c r="F64" s="31">
        <v>108</v>
      </c>
      <c r="G64" s="31">
        <v>35</v>
      </c>
      <c r="H64" s="31">
        <v>9</v>
      </c>
      <c r="I64" s="31">
        <v>5</v>
      </c>
      <c r="J64" s="31" t="s">
        <v>204</v>
      </c>
      <c r="K64" s="31" cm="1">
        <f t="array" ref="K64">INT(SUMPRODUCT(--ISNUMBER(SEARCH(economy,C64)))&gt;0)</f>
        <v>0</v>
      </c>
      <c r="L64" s="31" cm="1">
        <f t="array" ref="L64">INT(SUMPRODUCT(--ISNUMBER(SEARCH(healthcare,C64)))&gt;0)</f>
        <v>0</v>
      </c>
      <c r="M64" s="31" cm="1">
        <f t="array" ref="M64">INT(SUMPRODUCT(--ISNUMBER(SEARCH(supreme,C64)))&gt;0)</f>
        <v>0</v>
      </c>
      <c r="N64" s="31" cm="1">
        <f t="array" ref="N64">INT(SUMPRODUCT(--ISNUMBER(SEARCH(covid,C64)))&gt;0)</f>
        <v>0</v>
      </c>
      <c r="O64" s="31" cm="1">
        <f t="array" ref="O64">INT(SUMPRODUCT(--ISNUMBER(SEARCH(violent,C64)))&gt;0)</f>
        <v>0</v>
      </c>
      <c r="P64" s="31" cm="1">
        <f t="array" ref="P64">INT(SUMPRODUCT(--ISNUMBER(SEARCH(foreign,C64)))&gt;0)</f>
        <v>0</v>
      </c>
      <c r="Q64" s="31" cm="1">
        <f t="array" ref="Q64">INT(SUMPRODUCT(--ISNUMBER(SEARCH(gun,C64)))&gt;0)</f>
        <v>0</v>
      </c>
      <c r="R64" s="31" cm="1">
        <f t="array" ref="R64">INT(SUMPRODUCT(--ISNUMBER(SEARCH(race,C64)))&gt;0)</f>
        <v>0</v>
      </c>
      <c r="S64" s="31" cm="1">
        <f t="array" ref="S64">INT(SUMPRODUCT(--ISNUMBER(SEARCH(immigration,C64)))&gt;0)</f>
        <v>0</v>
      </c>
      <c r="T64" s="31" cm="1">
        <f t="array" ref="T64">INT(SUMPRODUCT(--ISNUMBER(SEARCH(econineq,C65)))&gt;0)</f>
        <v>0</v>
      </c>
      <c r="U64" s="31" cm="1">
        <f t="array" ref="U64">INT(SUMPRODUCT(--ISNUMBER(SEARCH(climate,C64)))&gt;0)</f>
        <v>0</v>
      </c>
      <c r="V64" s="31" cm="1">
        <f t="array" ref="V64">INT(SUMPRODUCT(--ISNUMBER(SEARCH(abortion,C64)))&gt;0)</f>
        <v>0</v>
      </c>
      <c r="W64" s="31" cm="1">
        <f t="array" ref="W64">INT(SUMPRODUCT(--ISNUMBER(SEARCH(trump,C64)))&gt;0)</f>
        <v>0</v>
      </c>
      <c r="X64" s="31" cm="1">
        <f t="array" ref="X64">INT(SUMPRODUCT(--ISNUMBER(SEARCH(voting,C64)))&gt;0)</f>
        <v>1</v>
      </c>
      <c r="Y64" s="31" cm="1">
        <f t="array" ref="Y64">INT(SUMPRODUCT(--ISNUMBER(SEARCH(democrattrigger,C64)))&gt;0)</f>
        <v>0</v>
      </c>
      <c r="Z64" s="31" cm="1">
        <f t="array" ref="Z64">INT(SUMPRODUCT(--ISNUMBER(SEARCH(bipartisan,C64)))&gt;0)</f>
        <v>0</v>
      </c>
      <c r="AA64" s="31">
        <f t="shared" si="0"/>
        <v>0</v>
      </c>
      <c r="AB64" s="31"/>
      <c r="AC64" s="111">
        <v>1</v>
      </c>
      <c r="AD64" s="112">
        <v>0</v>
      </c>
    </row>
    <row r="65" spans="1:30" x14ac:dyDescent="0.25">
      <c r="A65" s="109">
        <v>1921</v>
      </c>
      <c r="B65" s="31" t="s">
        <v>3868</v>
      </c>
      <c r="C65" s="31" t="s">
        <v>3869</v>
      </c>
      <c r="D65" s="110">
        <v>44133</v>
      </c>
      <c r="E65" s="31" t="s">
        <v>30</v>
      </c>
      <c r="F65" s="31">
        <v>946</v>
      </c>
      <c r="G65" s="31">
        <v>292</v>
      </c>
      <c r="H65" s="31">
        <v>9</v>
      </c>
      <c r="I65" s="31">
        <v>5</v>
      </c>
      <c r="J65" s="31" t="s">
        <v>204</v>
      </c>
      <c r="K65" s="31" cm="1">
        <f t="array" ref="K65">INT(SUMPRODUCT(--ISNUMBER(SEARCH(economy,C65)))&gt;0)</f>
        <v>0</v>
      </c>
      <c r="L65" s="31" cm="1">
        <f t="array" ref="L65">INT(SUMPRODUCT(--ISNUMBER(SEARCH(healthcare,C65)))&gt;0)</f>
        <v>0</v>
      </c>
      <c r="M65" s="31" cm="1">
        <f t="array" ref="M65">INT(SUMPRODUCT(--ISNUMBER(SEARCH(supreme,C65)))&gt;0)</f>
        <v>0</v>
      </c>
      <c r="N65" s="31" cm="1">
        <f t="array" ref="N65">INT(SUMPRODUCT(--ISNUMBER(SEARCH(covid,C65)))&gt;0)</f>
        <v>0</v>
      </c>
      <c r="O65" s="31" cm="1">
        <f t="array" ref="O65">INT(SUMPRODUCT(--ISNUMBER(SEARCH(violent,C65)))&gt;0)</f>
        <v>0</v>
      </c>
      <c r="P65" s="31" cm="1">
        <f t="array" ref="P65">INT(SUMPRODUCT(--ISNUMBER(SEARCH(foreign,C65)))&gt;0)</f>
        <v>0</v>
      </c>
      <c r="Q65" s="31" cm="1">
        <f t="array" ref="Q65">INT(SUMPRODUCT(--ISNUMBER(SEARCH(gun,C65)))&gt;0)</f>
        <v>0</v>
      </c>
      <c r="R65" s="31" cm="1">
        <f t="array" ref="R65">INT(SUMPRODUCT(--ISNUMBER(SEARCH(race,C65)))&gt;0)</f>
        <v>0</v>
      </c>
      <c r="S65" s="31" cm="1">
        <f t="array" ref="S65">INT(SUMPRODUCT(--ISNUMBER(SEARCH(immigration,C65)))&gt;0)</f>
        <v>0</v>
      </c>
      <c r="T65" s="31" cm="1">
        <f t="array" ref="T65">INT(SUMPRODUCT(--ISNUMBER(SEARCH(econineq,C66)))&gt;0)</f>
        <v>0</v>
      </c>
      <c r="U65" s="31" cm="1">
        <f t="array" ref="U65">INT(SUMPRODUCT(--ISNUMBER(SEARCH(climate,C65)))&gt;0)</f>
        <v>0</v>
      </c>
      <c r="V65" s="31" cm="1">
        <f t="array" ref="V65">INT(SUMPRODUCT(--ISNUMBER(SEARCH(abortion,C65)))&gt;0)</f>
        <v>0</v>
      </c>
      <c r="W65" s="31" cm="1">
        <f t="array" ref="W65">INT(SUMPRODUCT(--ISNUMBER(SEARCH(trump,C65)))&gt;0)</f>
        <v>1</v>
      </c>
      <c r="X65" s="31" cm="1">
        <f t="array" ref="X65">INT(SUMPRODUCT(--ISNUMBER(SEARCH(voting,C65)))&gt;0)</f>
        <v>1</v>
      </c>
      <c r="Y65" s="31" cm="1">
        <f t="array" ref="Y65">INT(SUMPRODUCT(--ISNUMBER(SEARCH(democrattrigger,C65)))&gt;0)</f>
        <v>1</v>
      </c>
      <c r="Z65" s="31" cm="1">
        <f t="array" ref="Z65">INT(SUMPRODUCT(--ISNUMBER(SEARCH(bipartisan,C65)))&gt;0)</f>
        <v>0</v>
      </c>
      <c r="AA65" s="31">
        <f t="shared" si="0"/>
        <v>0</v>
      </c>
      <c r="AB65" s="31"/>
      <c r="AC65" s="111" t="s">
        <v>223</v>
      </c>
      <c r="AD65" s="112" t="s">
        <v>223</v>
      </c>
    </row>
    <row r="66" spans="1:30" x14ac:dyDescent="0.25">
      <c r="A66" s="109">
        <v>1922</v>
      </c>
      <c r="B66" s="31" t="s">
        <v>3870</v>
      </c>
      <c r="C66" s="31" t="s">
        <v>3871</v>
      </c>
      <c r="D66" s="110">
        <v>44133</v>
      </c>
      <c r="E66" s="31" t="s">
        <v>30</v>
      </c>
      <c r="F66" s="31">
        <v>372</v>
      </c>
      <c r="G66" s="31">
        <v>118</v>
      </c>
      <c r="H66" s="31">
        <v>9</v>
      </c>
      <c r="I66" s="31">
        <v>5</v>
      </c>
      <c r="J66" s="31" t="s">
        <v>204</v>
      </c>
      <c r="K66" s="31" cm="1">
        <f t="array" ref="K66">INT(SUMPRODUCT(--ISNUMBER(SEARCH(economy,C66)))&gt;0)</f>
        <v>0</v>
      </c>
      <c r="L66" s="31" cm="1">
        <f t="array" ref="L66">INT(SUMPRODUCT(--ISNUMBER(SEARCH(healthcare,C66)))&gt;0)</f>
        <v>0</v>
      </c>
      <c r="M66" s="31" cm="1">
        <f t="array" ref="M66">INT(SUMPRODUCT(--ISNUMBER(SEARCH(supreme,C66)))&gt;0)</f>
        <v>0</v>
      </c>
      <c r="N66" s="31" cm="1">
        <f t="array" ref="N66">INT(SUMPRODUCT(--ISNUMBER(SEARCH(covid,C66)))&gt;0)</f>
        <v>0</v>
      </c>
      <c r="O66" s="31" cm="1">
        <f t="array" ref="O66">INT(SUMPRODUCT(--ISNUMBER(SEARCH(violent,C66)))&gt;0)</f>
        <v>0</v>
      </c>
      <c r="P66" s="31" cm="1">
        <f t="array" ref="P66">INT(SUMPRODUCT(--ISNUMBER(SEARCH(foreign,C66)))&gt;0)</f>
        <v>0</v>
      </c>
      <c r="Q66" s="31" cm="1">
        <f t="array" ref="Q66">INT(SUMPRODUCT(--ISNUMBER(SEARCH(gun,C66)))&gt;0)</f>
        <v>0</v>
      </c>
      <c r="R66" s="31" cm="1">
        <f t="array" ref="R66">INT(SUMPRODUCT(--ISNUMBER(SEARCH(race,C66)))&gt;0)</f>
        <v>0</v>
      </c>
      <c r="S66" s="31" cm="1">
        <f t="array" ref="S66">INT(SUMPRODUCT(--ISNUMBER(SEARCH(immigration,C66)))&gt;0)</f>
        <v>0</v>
      </c>
      <c r="T66" s="31" cm="1">
        <f t="array" ref="T66">INT(SUMPRODUCT(--ISNUMBER(SEARCH(econineq,C67)))&gt;0)</f>
        <v>0</v>
      </c>
      <c r="U66" s="31" cm="1">
        <f t="array" ref="U66">INT(SUMPRODUCT(--ISNUMBER(SEARCH(climate,C66)))&gt;0)</f>
        <v>0</v>
      </c>
      <c r="V66" s="31" cm="1">
        <f t="array" ref="V66">INT(SUMPRODUCT(--ISNUMBER(SEARCH(abortion,C66)))&gt;0)</f>
        <v>0</v>
      </c>
      <c r="W66" s="31" cm="1">
        <f t="array" ref="W66">INT(SUMPRODUCT(--ISNUMBER(SEARCH(trump,C66)))&gt;0)</f>
        <v>0</v>
      </c>
      <c r="X66" s="31" cm="1">
        <f t="array" ref="X66">INT(SUMPRODUCT(--ISNUMBER(SEARCH(voting,C66)))&gt;0)</f>
        <v>1</v>
      </c>
      <c r="Y66" s="31" cm="1">
        <f t="array" ref="Y66">INT(SUMPRODUCT(--ISNUMBER(SEARCH(democrattrigger,C66)))&gt;0)</f>
        <v>0</v>
      </c>
      <c r="Z66" s="31" cm="1">
        <f t="array" ref="Z66">INT(SUMPRODUCT(--ISNUMBER(SEARCH(bipartisan,C66)))&gt;0)</f>
        <v>0</v>
      </c>
      <c r="AA66" s="31">
        <f t="shared" si="0"/>
        <v>0</v>
      </c>
      <c r="AB66" s="31"/>
      <c r="AC66" s="111" t="s">
        <v>223</v>
      </c>
      <c r="AD66" s="112" t="s">
        <v>223</v>
      </c>
    </row>
    <row r="67" spans="1:30" x14ac:dyDescent="0.25">
      <c r="A67" s="109">
        <v>1923</v>
      </c>
      <c r="B67" s="31" t="s">
        <v>3872</v>
      </c>
      <c r="C67" s="31" t="s">
        <v>3873</v>
      </c>
      <c r="D67" s="110">
        <v>44133</v>
      </c>
      <c r="E67" s="31" t="s">
        <v>30</v>
      </c>
      <c r="F67" s="31">
        <v>249</v>
      </c>
      <c r="G67" s="31">
        <v>75</v>
      </c>
      <c r="H67" s="31">
        <v>9</v>
      </c>
      <c r="I67" s="31">
        <v>5</v>
      </c>
      <c r="J67" s="31" t="s">
        <v>204</v>
      </c>
      <c r="K67" s="31" cm="1">
        <f t="array" ref="K67">INT(SUMPRODUCT(--ISNUMBER(SEARCH(economy,C67)))&gt;0)</f>
        <v>0</v>
      </c>
      <c r="L67" s="31" cm="1">
        <f t="array" ref="L67">INT(SUMPRODUCT(--ISNUMBER(SEARCH(healthcare,C67)))&gt;0)</f>
        <v>0</v>
      </c>
      <c r="M67" s="31" cm="1">
        <f t="array" ref="M67">INT(SUMPRODUCT(--ISNUMBER(SEARCH(supreme,C67)))&gt;0)</f>
        <v>0</v>
      </c>
      <c r="N67" s="31" cm="1">
        <f t="array" ref="N67">INT(SUMPRODUCT(--ISNUMBER(SEARCH(covid,C67)))&gt;0)</f>
        <v>0</v>
      </c>
      <c r="O67" s="31" cm="1">
        <f t="array" ref="O67">INT(SUMPRODUCT(--ISNUMBER(SEARCH(violent,C67)))&gt;0)</f>
        <v>0</v>
      </c>
      <c r="P67" s="31" cm="1">
        <f t="array" ref="P67">INT(SUMPRODUCT(--ISNUMBER(SEARCH(foreign,C67)))&gt;0)</f>
        <v>0</v>
      </c>
      <c r="Q67" s="31" cm="1">
        <f t="array" ref="Q67">INT(SUMPRODUCT(--ISNUMBER(SEARCH(gun,C67)))&gt;0)</f>
        <v>0</v>
      </c>
      <c r="R67" s="31" cm="1">
        <f t="array" ref="R67">INT(SUMPRODUCT(--ISNUMBER(SEARCH(race,C67)))&gt;0)</f>
        <v>0</v>
      </c>
      <c r="S67" s="31" cm="1">
        <f t="array" ref="S67">INT(SUMPRODUCT(--ISNUMBER(SEARCH(immigration,C67)))&gt;0)</f>
        <v>0</v>
      </c>
      <c r="T67" s="31" cm="1">
        <f t="array" ref="T67">INT(SUMPRODUCT(--ISNUMBER(SEARCH(econineq,C68)))&gt;0)</f>
        <v>0</v>
      </c>
      <c r="U67" s="31" cm="1">
        <f t="array" ref="U67">INT(SUMPRODUCT(--ISNUMBER(SEARCH(climate,C67)))&gt;0)</f>
        <v>0</v>
      </c>
      <c r="V67" s="31" cm="1">
        <f t="array" ref="V67">INT(SUMPRODUCT(--ISNUMBER(SEARCH(abortion,C67)))&gt;0)</f>
        <v>0</v>
      </c>
      <c r="W67" s="31" cm="1">
        <f t="array" ref="W67">INT(SUMPRODUCT(--ISNUMBER(SEARCH(trump,C67)))&gt;0)</f>
        <v>0</v>
      </c>
      <c r="X67" s="31" cm="1">
        <f t="array" ref="X67">INT(SUMPRODUCT(--ISNUMBER(SEARCH(voting,C67)))&gt;0)</f>
        <v>0</v>
      </c>
      <c r="Y67" s="31" cm="1">
        <f t="array" ref="Y67">INT(SUMPRODUCT(--ISNUMBER(SEARCH(democrattrigger,C67)))&gt;0)</f>
        <v>0</v>
      </c>
      <c r="Z67" s="31" cm="1">
        <f t="array" ref="Z67">INT(SUMPRODUCT(--ISNUMBER(SEARCH(bipartisan,C67)))&gt;0)</f>
        <v>0</v>
      </c>
      <c r="AA67" s="31">
        <f t="shared" ref="AA67:AA130" si="1">INT(IF(COUNTIF(K67:Z67,1)=0,"1","0"))</f>
        <v>1</v>
      </c>
      <c r="AB67" s="31"/>
      <c r="AC67" s="111">
        <v>1</v>
      </c>
      <c r="AD67" s="112">
        <v>0</v>
      </c>
    </row>
    <row r="68" spans="1:30" x14ac:dyDescent="0.25">
      <c r="A68" s="109">
        <v>1924</v>
      </c>
      <c r="B68" s="31" t="s">
        <v>3874</v>
      </c>
      <c r="C68" s="31" t="s">
        <v>3875</v>
      </c>
      <c r="D68" s="110">
        <v>44133</v>
      </c>
      <c r="E68" s="31" t="s">
        <v>30</v>
      </c>
      <c r="F68" s="31">
        <v>145</v>
      </c>
      <c r="G68" s="31">
        <v>64</v>
      </c>
      <c r="H68" s="31">
        <v>9</v>
      </c>
      <c r="I68" s="31">
        <v>5</v>
      </c>
      <c r="J68" s="31" t="s">
        <v>204</v>
      </c>
      <c r="K68" s="31" cm="1">
        <f t="array" ref="K68">INT(SUMPRODUCT(--ISNUMBER(SEARCH(economy,C68)))&gt;0)</f>
        <v>0</v>
      </c>
      <c r="L68" s="31" cm="1">
        <f t="array" ref="L68">INT(SUMPRODUCT(--ISNUMBER(SEARCH(healthcare,C68)))&gt;0)</f>
        <v>0</v>
      </c>
      <c r="M68" s="31" cm="1">
        <f t="array" ref="M68">INT(SUMPRODUCT(--ISNUMBER(SEARCH(supreme,C68)))&gt;0)</f>
        <v>0</v>
      </c>
      <c r="N68" s="31" cm="1">
        <f t="array" ref="N68">INT(SUMPRODUCT(--ISNUMBER(SEARCH(covid,C68)))&gt;0)</f>
        <v>0</v>
      </c>
      <c r="O68" s="31" cm="1">
        <f t="array" ref="O68">INT(SUMPRODUCT(--ISNUMBER(SEARCH(violent,C68)))&gt;0)</f>
        <v>0</v>
      </c>
      <c r="P68" s="31" cm="1">
        <f t="array" ref="P68">INT(SUMPRODUCT(--ISNUMBER(SEARCH(foreign,C68)))&gt;0)</f>
        <v>0</v>
      </c>
      <c r="Q68" s="31" cm="1">
        <f t="array" ref="Q68">INT(SUMPRODUCT(--ISNUMBER(SEARCH(gun,C68)))&gt;0)</f>
        <v>0</v>
      </c>
      <c r="R68" s="31" cm="1">
        <f t="array" ref="R68">INT(SUMPRODUCT(--ISNUMBER(SEARCH(race,C68)))&gt;0)</f>
        <v>0</v>
      </c>
      <c r="S68" s="31" cm="1">
        <f t="array" ref="S68">INT(SUMPRODUCT(--ISNUMBER(SEARCH(immigration,C68)))&gt;0)</f>
        <v>0</v>
      </c>
      <c r="T68" s="31" cm="1">
        <f t="array" ref="T68">INT(SUMPRODUCT(--ISNUMBER(SEARCH(econineq,C69)))&gt;0)</f>
        <v>0</v>
      </c>
      <c r="U68" s="31" cm="1">
        <f t="array" ref="U68">INT(SUMPRODUCT(--ISNUMBER(SEARCH(climate,C68)))&gt;0)</f>
        <v>0</v>
      </c>
      <c r="V68" s="31" cm="1">
        <f t="array" ref="V68">INT(SUMPRODUCT(--ISNUMBER(SEARCH(abortion,C68)))&gt;0)</f>
        <v>0</v>
      </c>
      <c r="W68" s="31" cm="1">
        <f t="array" ref="W68">INT(SUMPRODUCT(--ISNUMBER(SEARCH(trump,C68)))&gt;0)</f>
        <v>0</v>
      </c>
      <c r="X68" s="31" cm="1">
        <f t="array" ref="X68">INT(SUMPRODUCT(--ISNUMBER(SEARCH(voting,C68)))&gt;0)</f>
        <v>1</v>
      </c>
      <c r="Y68" s="31" cm="1">
        <f t="array" ref="Y68">INT(SUMPRODUCT(--ISNUMBER(SEARCH(democrattrigger,C68)))&gt;0)</f>
        <v>0</v>
      </c>
      <c r="Z68" s="31" cm="1">
        <f t="array" ref="Z68">INT(SUMPRODUCT(--ISNUMBER(SEARCH(bipartisan,C68)))&gt;0)</f>
        <v>0</v>
      </c>
      <c r="AA68" s="31">
        <f t="shared" si="1"/>
        <v>0</v>
      </c>
      <c r="AB68" s="31"/>
      <c r="AC68" s="111" t="s">
        <v>223</v>
      </c>
      <c r="AD68" s="112" t="s">
        <v>223</v>
      </c>
    </row>
    <row r="69" spans="1:30" x14ac:dyDescent="0.25">
      <c r="A69" s="109">
        <v>1925</v>
      </c>
      <c r="B69" s="31" t="s">
        <v>3876</v>
      </c>
      <c r="C69" s="31" t="s">
        <v>3877</v>
      </c>
      <c r="D69" s="110">
        <v>44133</v>
      </c>
      <c r="E69" s="31" t="s">
        <v>30</v>
      </c>
      <c r="F69" s="31">
        <v>227</v>
      </c>
      <c r="G69" s="31">
        <v>64</v>
      </c>
      <c r="H69" s="31">
        <v>9</v>
      </c>
      <c r="I69" s="31">
        <v>5</v>
      </c>
      <c r="J69" s="31" t="s">
        <v>204</v>
      </c>
      <c r="K69" s="31" cm="1">
        <f t="array" ref="K69">INT(SUMPRODUCT(--ISNUMBER(SEARCH(economy,C69)))&gt;0)</f>
        <v>0</v>
      </c>
      <c r="L69" s="31" cm="1">
        <f t="array" ref="L69">INT(SUMPRODUCT(--ISNUMBER(SEARCH(healthcare,C69)))&gt;0)</f>
        <v>1</v>
      </c>
      <c r="M69" s="31" cm="1">
        <f t="array" ref="M69">INT(SUMPRODUCT(--ISNUMBER(SEARCH(supreme,C69)))&gt;0)</f>
        <v>0</v>
      </c>
      <c r="N69" s="31" cm="1">
        <f t="array" ref="N69">INT(SUMPRODUCT(--ISNUMBER(SEARCH(covid,C69)))&gt;0)</f>
        <v>0</v>
      </c>
      <c r="O69" s="31" cm="1">
        <f t="array" ref="O69">INT(SUMPRODUCT(--ISNUMBER(SEARCH(violent,C69)))&gt;0)</f>
        <v>1</v>
      </c>
      <c r="P69" s="31" cm="1">
        <f t="array" ref="P69">INT(SUMPRODUCT(--ISNUMBER(SEARCH(foreign,C69)))&gt;0)</f>
        <v>0</v>
      </c>
      <c r="Q69" s="31" cm="1">
        <f t="array" ref="Q69">INT(SUMPRODUCT(--ISNUMBER(SEARCH(gun,C69)))&gt;0)</f>
        <v>0</v>
      </c>
      <c r="R69" s="31" cm="1">
        <f t="array" ref="R69">INT(SUMPRODUCT(--ISNUMBER(SEARCH(race,C69)))&gt;0)</f>
        <v>1</v>
      </c>
      <c r="S69" s="31" cm="1">
        <f t="array" ref="S69">INT(SUMPRODUCT(--ISNUMBER(SEARCH(immigration,C69)))&gt;0)</f>
        <v>0</v>
      </c>
      <c r="T69" s="31" cm="1">
        <f t="array" ref="T69">INT(SUMPRODUCT(--ISNUMBER(SEARCH(econineq,C70)))&gt;0)</f>
        <v>0</v>
      </c>
      <c r="U69" s="31" cm="1">
        <f t="array" ref="U69">INT(SUMPRODUCT(--ISNUMBER(SEARCH(climate,C69)))&gt;0)</f>
        <v>0</v>
      </c>
      <c r="V69" s="31" cm="1">
        <f t="array" ref="V69">INT(SUMPRODUCT(--ISNUMBER(SEARCH(abortion,C69)))&gt;0)</f>
        <v>0</v>
      </c>
      <c r="W69" s="31" cm="1">
        <f t="array" ref="W69">INT(SUMPRODUCT(--ISNUMBER(SEARCH(trump,C69)))&gt;0)</f>
        <v>0</v>
      </c>
      <c r="X69" s="31" cm="1">
        <f t="array" ref="X69">INT(SUMPRODUCT(--ISNUMBER(SEARCH(voting,C69)))&gt;0)</f>
        <v>1</v>
      </c>
      <c r="Y69" s="31" cm="1">
        <f t="array" ref="Y69">INT(SUMPRODUCT(--ISNUMBER(SEARCH(democrattrigger,C69)))&gt;0)</f>
        <v>0</v>
      </c>
      <c r="Z69" s="31" cm="1">
        <f t="array" ref="Z69">INT(SUMPRODUCT(--ISNUMBER(SEARCH(bipartisan,C69)))&gt;0)</f>
        <v>0</v>
      </c>
      <c r="AA69" s="31">
        <f t="shared" si="1"/>
        <v>0</v>
      </c>
      <c r="AB69" s="31"/>
      <c r="AC69" s="111">
        <v>1</v>
      </c>
      <c r="AD69" s="112">
        <v>0</v>
      </c>
    </row>
    <row r="70" spans="1:30" x14ac:dyDescent="0.25">
      <c r="A70" s="109">
        <v>1926</v>
      </c>
      <c r="B70" s="31" t="s">
        <v>3878</v>
      </c>
      <c r="C70" s="31" t="s">
        <v>3879</v>
      </c>
      <c r="D70" s="110">
        <v>44133</v>
      </c>
      <c r="E70" s="31" t="s">
        <v>30</v>
      </c>
      <c r="F70" s="31">
        <v>783</v>
      </c>
      <c r="G70" s="31">
        <v>142</v>
      </c>
      <c r="H70" s="31">
        <v>9</v>
      </c>
      <c r="I70" s="31">
        <v>5</v>
      </c>
      <c r="J70" s="31" t="s">
        <v>204</v>
      </c>
      <c r="K70" s="31" cm="1">
        <f t="array" ref="K70">INT(SUMPRODUCT(--ISNUMBER(SEARCH(economy,C70)))&gt;0)</f>
        <v>0</v>
      </c>
      <c r="L70" s="31" cm="1">
        <f t="array" ref="L70">INT(SUMPRODUCT(--ISNUMBER(SEARCH(healthcare,C70)))&gt;0)</f>
        <v>0</v>
      </c>
      <c r="M70" s="31" cm="1">
        <f t="array" ref="M70">INT(SUMPRODUCT(--ISNUMBER(SEARCH(supreme,C70)))&gt;0)</f>
        <v>0</v>
      </c>
      <c r="N70" s="31" cm="1">
        <f t="array" ref="N70">INT(SUMPRODUCT(--ISNUMBER(SEARCH(covid,C70)))&gt;0)</f>
        <v>0</v>
      </c>
      <c r="O70" s="31" cm="1">
        <f t="array" ref="O70">INT(SUMPRODUCT(--ISNUMBER(SEARCH(violent,C70)))&gt;0)</f>
        <v>0</v>
      </c>
      <c r="P70" s="31" cm="1">
        <f t="array" ref="P70">INT(SUMPRODUCT(--ISNUMBER(SEARCH(foreign,C70)))&gt;0)</f>
        <v>0</v>
      </c>
      <c r="Q70" s="31" cm="1">
        <f t="array" ref="Q70">INT(SUMPRODUCT(--ISNUMBER(SEARCH(gun,C70)))&gt;0)</f>
        <v>0</v>
      </c>
      <c r="R70" s="31" cm="1">
        <f t="array" ref="R70">INT(SUMPRODUCT(--ISNUMBER(SEARCH(race,C70)))&gt;0)</f>
        <v>0</v>
      </c>
      <c r="S70" s="31" cm="1">
        <f t="array" ref="S70">INT(SUMPRODUCT(--ISNUMBER(SEARCH(immigration,C70)))&gt;0)</f>
        <v>0</v>
      </c>
      <c r="T70" s="31" cm="1">
        <f t="array" ref="T70">INT(SUMPRODUCT(--ISNUMBER(SEARCH(econineq,C71)))&gt;0)</f>
        <v>0</v>
      </c>
      <c r="U70" s="31" cm="1">
        <f t="array" ref="U70">INT(SUMPRODUCT(--ISNUMBER(SEARCH(climate,C70)))&gt;0)</f>
        <v>0</v>
      </c>
      <c r="V70" s="31" cm="1">
        <f t="array" ref="V70">INT(SUMPRODUCT(--ISNUMBER(SEARCH(abortion,C70)))&gt;0)</f>
        <v>1</v>
      </c>
      <c r="W70" s="31" cm="1">
        <f t="array" ref="W70">INT(SUMPRODUCT(--ISNUMBER(SEARCH(trump,C70)))&gt;0)</f>
        <v>0</v>
      </c>
      <c r="X70" s="31" cm="1">
        <f t="array" ref="X70">INT(SUMPRODUCT(--ISNUMBER(SEARCH(voting,C70)))&gt;0)</f>
        <v>1</v>
      </c>
      <c r="Y70" s="31" cm="1">
        <f t="array" ref="Y70">INT(SUMPRODUCT(--ISNUMBER(SEARCH(democrattrigger,C70)))&gt;0)</f>
        <v>0</v>
      </c>
      <c r="Z70" s="31" cm="1">
        <f t="array" ref="Z70">INT(SUMPRODUCT(--ISNUMBER(SEARCH(bipartisan,C70)))&gt;0)</f>
        <v>0</v>
      </c>
      <c r="AA70" s="31">
        <f t="shared" si="1"/>
        <v>0</v>
      </c>
      <c r="AB70" s="31"/>
      <c r="AC70" s="111" t="s">
        <v>223</v>
      </c>
      <c r="AD70" s="112" t="s">
        <v>223</v>
      </c>
    </row>
    <row r="71" spans="1:30" x14ac:dyDescent="0.25">
      <c r="A71" s="109">
        <v>1927</v>
      </c>
      <c r="B71" s="31" t="s">
        <v>3880</v>
      </c>
      <c r="C71" s="31" t="s">
        <v>3881</v>
      </c>
      <c r="D71" s="110">
        <v>44132</v>
      </c>
      <c r="E71" s="31" t="s">
        <v>30</v>
      </c>
      <c r="F71" s="31">
        <v>507</v>
      </c>
      <c r="G71" s="31">
        <v>154</v>
      </c>
      <c r="H71" s="31">
        <v>9</v>
      </c>
      <c r="I71" s="31">
        <v>5</v>
      </c>
      <c r="J71" s="31" t="s">
        <v>204</v>
      </c>
      <c r="K71" s="31" cm="1">
        <f t="array" ref="K71">INT(SUMPRODUCT(--ISNUMBER(SEARCH(economy,C71)))&gt;0)</f>
        <v>0</v>
      </c>
      <c r="L71" s="31" cm="1">
        <f t="array" ref="L71">INT(SUMPRODUCT(--ISNUMBER(SEARCH(healthcare,C71)))&gt;0)</f>
        <v>1</v>
      </c>
      <c r="M71" s="31" cm="1">
        <f t="array" ref="M71">INT(SUMPRODUCT(--ISNUMBER(SEARCH(supreme,C71)))&gt;0)</f>
        <v>0</v>
      </c>
      <c r="N71" s="31" cm="1">
        <f t="array" ref="N71">INT(SUMPRODUCT(--ISNUMBER(SEARCH(covid,C71)))&gt;0)</f>
        <v>0</v>
      </c>
      <c r="O71" s="31" cm="1">
        <f t="array" ref="O71">INT(SUMPRODUCT(--ISNUMBER(SEARCH(violent,C71)))&gt;0)</f>
        <v>0</v>
      </c>
      <c r="P71" s="31" cm="1">
        <f t="array" ref="P71">INT(SUMPRODUCT(--ISNUMBER(SEARCH(foreign,C71)))&gt;0)</f>
        <v>0</v>
      </c>
      <c r="Q71" s="31" cm="1">
        <f t="array" ref="Q71">INT(SUMPRODUCT(--ISNUMBER(SEARCH(gun,C71)))&gt;0)</f>
        <v>0</v>
      </c>
      <c r="R71" s="31" cm="1">
        <f t="array" ref="R71">INT(SUMPRODUCT(--ISNUMBER(SEARCH(race,C71)))&gt;0)</f>
        <v>0</v>
      </c>
      <c r="S71" s="31" cm="1">
        <f t="array" ref="S71">INT(SUMPRODUCT(--ISNUMBER(SEARCH(immigration,C71)))&gt;0)</f>
        <v>0</v>
      </c>
      <c r="T71" s="31" cm="1">
        <f t="array" ref="T71">INT(SUMPRODUCT(--ISNUMBER(SEARCH(econineq,C72)))&gt;0)</f>
        <v>0</v>
      </c>
      <c r="U71" s="31" cm="1">
        <f t="array" ref="U71">INT(SUMPRODUCT(--ISNUMBER(SEARCH(climate,C71)))&gt;0)</f>
        <v>0</v>
      </c>
      <c r="V71" s="31" cm="1">
        <f t="array" ref="V71">INT(SUMPRODUCT(--ISNUMBER(SEARCH(abortion,C71)))&gt;0)</f>
        <v>0</v>
      </c>
      <c r="W71" s="31" cm="1">
        <f t="array" ref="W71">INT(SUMPRODUCT(--ISNUMBER(SEARCH(trump,C71)))&gt;0)</f>
        <v>0</v>
      </c>
      <c r="X71" s="31" cm="1">
        <f t="array" ref="X71">INT(SUMPRODUCT(--ISNUMBER(SEARCH(voting,C71)))&gt;0)</f>
        <v>0</v>
      </c>
      <c r="Y71" s="31" cm="1">
        <f t="array" ref="Y71">INT(SUMPRODUCT(--ISNUMBER(SEARCH(democrattrigger,C71)))&gt;0)</f>
        <v>0</v>
      </c>
      <c r="Z71" s="31" cm="1">
        <f t="array" ref="Z71">INT(SUMPRODUCT(--ISNUMBER(SEARCH(bipartisan,C71)))&gt;0)</f>
        <v>0</v>
      </c>
      <c r="AA71" s="31">
        <f t="shared" si="1"/>
        <v>0</v>
      </c>
      <c r="AB71" s="31"/>
      <c r="AC71" s="111">
        <v>0</v>
      </c>
      <c r="AD71" s="112">
        <v>1</v>
      </c>
    </row>
    <row r="72" spans="1:30" x14ac:dyDescent="0.25">
      <c r="A72" s="109">
        <v>1928</v>
      </c>
      <c r="B72" s="31" t="s">
        <v>3882</v>
      </c>
      <c r="C72" s="31" t="s">
        <v>3883</v>
      </c>
      <c r="D72" s="110">
        <v>44132</v>
      </c>
      <c r="E72" s="31" t="s">
        <v>30</v>
      </c>
      <c r="F72" s="31">
        <v>220</v>
      </c>
      <c r="G72" s="31">
        <v>85</v>
      </c>
      <c r="H72" s="31">
        <v>9</v>
      </c>
      <c r="I72" s="31">
        <v>5</v>
      </c>
      <c r="J72" s="31" t="s">
        <v>204</v>
      </c>
      <c r="K72" s="31" cm="1">
        <f t="array" ref="K72">INT(SUMPRODUCT(--ISNUMBER(SEARCH(economy,C72)))&gt;0)</f>
        <v>0</v>
      </c>
      <c r="L72" s="31" cm="1">
        <f t="array" ref="L72">INT(SUMPRODUCT(--ISNUMBER(SEARCH(healthcare,C72)))&gt;0)</f>
        <v>0</v>
      </c>
      <c r="M72" s="31" cm="1">
        <f t="array" ref="M72">INT(SUMPRODUCT(--ISNUMBER(SEARCH(supreme,C72)))&gt;0)</f>
        <v>0</v>
      </c>
      <c r="N72" s="31" cm="1">
        <f t="array" ref="N72">INT(SUMPRODUCT(--ISNUMBER(SEARCH(covid,C72)))&gt;0)</f>
        <v>0</v>
      </c>
      <c r="O72" s="31" cm="1">
        <f t="array" ref="O72">INT(SUMPRODUCT(--ISNUMBER(SEARCH(violent,C72)))&gt;0)</f>
        <v>0</v>
      </c>
      <c r="P72" s="31" cm="1">
        <f t="array" ref="P72">INT(SUMPRODUCT(--ISNUMBER(SEARCH(foreign,C72)))&gt;0)</f>
        <v>0</v>
      </c>
      <c r="Q72" s="31" cm="1">
        <f t="array" ref="Q72">INT(SUMPRODUCT(--ISNUMBER(SEARCH(gun,C72)))&gt;0)</f>
        <v>0</v>
      </c>
      <c r="R72" s="31" cm="1">
        <f t="array" ref="R72">INT(SUMPRODUCT(--ISNUMBER(SEARCH(race,C72)))&gt;0)</f>
        <v>0</v>
      </c>
      <c r="S72" s="31" cm="1">
        <f t="array" ref="S72">INT(SUMPRODUCT(--ISNUMBER(SEARCH(immigration,C72)))&gt;0)</f>
        <v>0</v>
      </c>
      <c r="T72" s="31" cm="1">
        <f t="array" ref="T72">INT(SUMPRODUCT(--ISNUMBER(SEARCH(econineq,C73)))&gt;0)</f>
        <v>0</v>
      </c>
      <c r="U72" s="31" cm="1">
        <f t="array" ref="U72">INT(SUMPRODUCT(--ISNUMBER(SEARCH(climate,C72)))&gt;0)</f>
        <v>0</v>
      </c>
      <c r="V72" s="31" cm="1">
        <f t="array" ref="V72">INT(SUMPRODUCT(--ISNUMBER(SEARCH(abortion,C72)))&gt;0)</f>
        <v>0</v>
      </c>
      <c r="W72" s="31" cm="1">
        <f t="array" ref="W72">INT(SUMPRODUCT(--ISNUMBER(SEARCH(trump,C72)))&gt;0)</f>
        <v>0</v>
      </c>
      <c r="X72" s="31" cm="1">
        <f t="array" ref="X72">INT(SUMPRODUCT(--ISNUMBER(SEARCH(voting,C72)))&gt;0)</f>
        <v>0</v>
      </c>
      <c r="Y72" s="31" cm="1">
        <f t="array" ref="Y72">INT(SUMPRODUCT(--ISNUMBER(SEARCH(democrattrigger,C72)))&gt;0)</f>
        <v>0</v>
      </c>
      <c r="Z72" s="31" cm="1">
        <f t="array" ref="Z72">INT(SUMPRODUCT(--ISNUMBER(SEARCH(bipartisan,C72)))&gt;0)</f>
        <v>0</v>
      </c>
      <c r="AA72" s="31">
        <f t="shared" si="1"/>
        <v>1</v>
      </c>
      <c r="AB72" s="31"/>
      <c r="AC72" s="111" t="s">
        <v>223</v>
      </c>
      <c r="AD72" s="112" t="s">
        <v>223</v>
      </c>
    </row>
    <row r="73" spans="1:30" x14ac:dyDescent="0.25">
      <c r="A73" s="109">
        <v>1929</v>
      </c>
      <c r="B73" s="31" t="s">
        <v>3884</v>
      </c>
      <c r="C73" s="31" t="s">
        <v>3885</v>
      </c>
      <c r="D73" s="110">
        <v>44132</v>
      </c>
      <c r="E73" s="31" t="s">
        <v>30</v>
      </c>
      <c r="F73" s="31">
        <v>150</v>
      </c>
      <c r="G73" s="31">
        <v>46</v>
      </c>
      <c r="H73" s="31">
        <v>9</v>
      </c>
      <c r="I73" s="31">
        <v>5</v>
      </c>
      <c r="J73" s="31" t="s">
        <v>204</v>
      </c>
      <c r="K73" s="31" cm="1">
        <f t="array" ref="K73">INT(SUMPRODUCT(--ISNUMBER(SEARCH(economy,C73)))&gt;0)</f>
        <v>1</v>
      </c>
      <c r="L73" s="31" cm="1">
        <f t="array" ref="L73">INT(SUMPRODUCT(--ISNUMBER(SEARCH(healthcare,C73)))&gt;0)</f>
        <v>1</v>
      </c>
      <c r="M73" s="31" cm="1">
        <f t="array" ref="M73">INT(SUMPRODUCT(--ISNUMBER(SEARCH(supreme,C73)))&gt;0)</f>
        <v>0</v>
      </c>
      <c r="N73" s="31" cm="1">
        <f t="array" ref="N73">INT(SUMPRODUCT(--ISNUMBER(SEARCH(covid,C73)))&gt;0)</f>
        <v>0</v>
      </c>
      <c r="O73" s="31" cm="1">
        <f t="array" ref="O73">INT(SUMPRODUCT(--ISNUMBER(SEARCH(violent,C73)))&gt;0)</f>
        <v>1</v>
      </c>
      <c r="P73" s="31" cm="1">
        <f t="array" ref="P73">INT(SUMPRODUCT(--ISNUMBER(SEARCH(foreign,C73)))&gt;0)</f>
        <v>0</v>
      </c>
      <c r="Q73" s="31" cm="1">
        <f t="array" ref="Q73">INT(SUMPRODUCT(--ISNUMBER(SEARCH(gun,C73)))&gt;0)</f>
        <v>0</v>
      </c>
      <c r="R73" s="31" cm="1">
        <f t="array" ref="R73">INT(SUMPRODUCT(--ISNUMBER(SEARCH(race,C73)))&gt;0)</f>
        <v>0</v>
      </c>
      <c r="S73" s="31" cm="1">
        <f t="array" ref="S73">INT(SUMPRODUCT(--ISNUMBER(SEARCH(immigration,C73)))&gt;0)</f>
        <v>0</v>
      </c>
      <c r="T73" s="31" cm="1">
        <f t="array" ref="T73">INT(SUMPRODUCT(--ISNUMBER(SEARCH(econineq,C74)))&gt;0)</f>
        <v>0</v>
      </c>
      <c r="U73" s="31" cm="1">
        <f t="array" ref="U73">INT(SUMPRODUCT(--ISNUMBER(SEARCH(climate,C73)))&gt;0)</f>
        <v>0</v>
      </c>
      <c r="V73" s="31" cm="1">
        <f t="array" ref="V73">INT(SUMPRODUCT(--ISNUMBER(SEARCH(abortion,C73)))&gt;0)</f>
        <v>0</v>
      </c>
      <c r="W73" s="31" cm="1">
        <f t="array" ref="W73">INT(SUMPRODUCT(--ISNUMBER(SEARCH(trump,C73)))&gt;0)</f>
        <v>0</v>
      </c>
      <c r="X73" s="31" cm="1">
        <f t="array" ref="X73">INT(SUMPRODUCT(--ISNUMBER(SEARCH(voting,C73)))&gt;0)</f>
        <v>1</v>
      </c>
      <c r="Y73" s="31" cm="1">
        <f t="array" ref="Y73">INT(SUMPRODUCT(--ISNUMBER(SEARCH(democrattrigger,C73)))&gt;0)</f>
        <v>0</v>
      </c>
      <c r="Z73" s="31" cm="1">
        <f t="array" ref="Z73">INT(SUMPRODUCT(--ISNUMBER(SEARCH(bipartisan,C73)))&gt;0)</f>
        <v>0</v>
      </c>
      <c r="AA73" s="31">
        <f t="shared" si="1"/>
        <v>0</v>
      </c>
      <c r="AB73" s="31"/>
      <c r="AC73" s="111" t="s">
        <v>223</v>
      </c>
      <c r="AD73" s="112" t="s">
        <v>223</v>
      </c>
    </row>
    <row r="74" spans="1:30" x14ac:dyDescent="0.25">
      <c r="A74" s="109">
        <v>1930</v>
      </c>
      <c r="B74" s="31" t="s">
        <v>3886</v>
      </c>
      <c r="C74" s="31" t="s">
        <v>3887</v>
      </c>
      <c r="D74" s="110">
        <v>44132</v>
      </c>
      <c r="E74" s="31" t="s">
        <v>30</v>
      </c>
      <c r="F74" s="31">
        <v>379</v>
      </c>
      <c r="G74" s="31">
        <v>209</v>
      </c>
      <c r="H74" s="31">
        <v>9</v>
      </c>
      <c r="I74" s="31">
        <v>5</v>
      </c>
      <c r="J74" s="31" t="s">
        <v>204</v>
      </c>
      <c r="K74" s="31" cm="1">
        <f t="array" ref="K74">INT(SUMPRODUCT(--ISNUMBER(SEARCH(economy,C74)))&gt;0)</f>
        <v>0</v>
      </c>
      <c r="L74" s="31" cm="1">
        <f t="array" ref="L74">INT(SUMPRODUCT(--ISNUMBER(SEARCH(healthcare,C74)))&gt;0)</f>
        <v>0</v>
      </c>
      <c r="M74" s="31" cm="1">
        <f t="array" ref="M74">INT(SUMPRODUCT(--ISNUMBER(SEARCH(supreme,C74)))&gt;0)</f>
        <v>0</v>
      </c>
      <c r="N74" s="31" cm="1">
        <f t="array" ref="N74">INT(SUMPRODUCT(--ISNUMBER(SEARCH(covid,C74)))&gt;0)</f>
        <v>0</v>
      </c>
      <c r="O74" s="31" cm="1">
        <f t="array" ref="O74">INT(SUMPRODUCT(--ISNUMBER(SEARCH(violent,C74)))&gt;0)</f>
        <v>0</v>
      </c>
      <c r="P74" s="31" cm="1">
        <f t="array" ref="P74">INT(SUMPRODUCT(--ISNUMBER(SEARCH(foreign,C74)))&gt;0)</f>
        <v>0</v>
      </c>
      <c r="Q74" s="31" cm="1">
        <f t="array" ref="Q74">INT(SUMPRODUCT(--ISNUMBER(SEARCH(gun,C74)))&gt;0)</f>
        <v>0</v>
      </c>
      <c r="R74" s="31" cm="1">
        <f t="array" ref="R74">INT(SUMPRODUCT(--ISNUMBER(SEARCH(race,C74)))&gt;0)</f>
        <v>0</v>
      </c>
      <c r="S74" s="31" cm="1">
        <f t="array" ref="S74">INT(SUMPRODUCT(--ISNUMBER(SEARCH(immigration,C74)))&gt;0)</f>
        <v>0</v>
      </c>
      <c r="T74" s="31" cm="1">
        <f t="array" ref="T74">INT(SUMPRODUCT(--ISNUMBER(SEARCH(econineq,C75)))&gt;0)</f>
        <v>0</v>
      </c>
      <c r="U74" s="31" cm="1">
        <f t="array" ref="U74">INT(SUMPRODUCT(--ISNUMBER(SEARCH(climate,C74)))&gt;0)</f>
        <v>0</v>
      </c>
      <c r="V74" s="31" cm="1">
        <f t="array" ref="V74">INT(SUMPRODUCT(--ISNUMBER(SEARCH(abortion,C74)))&gt;0)</f>
        <v>0</v>
      </c>
      <c r="W74" s="31" cm="1">
        <f t="array" ref="W74">INT(SUMPRODUCT(--ISNUMBER(SEARCH(trump,C74)))&gt;0)</f>
        <v>0</v>
      </c>
      <c r="X74" s="31" cm="1">
        <f t="array" ref="X74">INT(SUMPRODUCT(--ISNUMBER(SEARCH(voting,C74)))&gt;0)</f>
        <v>1</v>
      </c>
      <c r="Y74" s="31" cm="1">
        <f t="array" ref="Y74">INT(SUMPRODUCT(--ISNUMBER(SEARCH(democrattrigger,C74)))&gt;0)</f>
        <v>0</v>
      </c>
      <c r="Z74" s="31" cm="1">
        <f t="array" ref="Z74">INT(SUMPRODUCT(--ISNUMBER(SEARCH(bipartisan,C74)))&gt;0)</f>
        <v>0</v>
      </c>
      <c r="AA74" s="31">
        <f t="shared" si="1"/>
        <v>0</v>
      </c>
      <c r="AB74" s="31"/>
      <c r="AC74" s="111" t="s">
        <v>223</v>
      </c>
      <c r="AD74" s="112" t="s">
        <v>223</v>
      </c>
    </row>
    <row r="75" spans="1:30" x14ac:dyDescent="0.25">
      <c r="A75" s="109">
        <v>1931</v>
      </c>
      <c r="B75" s="31" t="s">
        <v>3888</v>
      </c>
      <c r="C75" s="31" t="s">
        <v>3889</v>
      </c>
      <c r="D75" s="110">
        <v>44132</v>
      </c>
      <c r="E75" s="31" t="s">
        <v>30</v>
      </c>
      <c r="F75" s="31">
        <v>433</v>
      </c>
      <c r="G75" s="31">
        <v>150</v>
      </c>
      <c r="H75" s="31">
        <v>9</v>
      </c>
      <c r="I75" s="31">
        <v>5</v>
      </c>
      <c r="J75" s="31" t="s">
        <v>204</v>
      </c>
      <c r="K75" s="31" cm="1">
        <f t="array" ref="K75">INT(SUMPRODUCT(--ISNUMBER(SEARCH(economy,C75)))&gt;0)</f>
        <v>0</v>
      </c>
      <c r="L75" s="31" cm="1">
        <f t="array" ref="L75">INT(SUMPRODUCT(--ISNUMBER(SEARCH(healthcare,C75)))&gt;0)</f>
        <v>0</v>
      </c>
      <c r="M75" s="31" cm="1">
        <f t="array" ref="M75">INT(SUMPRODUCT(--ISNUMBER(SEARCH(supreme,C75)))&gt;0)</f>
        <v>0</v>
      </c>
      <c r="N75" s="31" cm="1">
        <f t="array" ref="N75">INT(SUMPRODUCT(--ISNUMBER(SEARCH(covid,C75)))&gt;0)</f>
        <v>0</v>
      </c>
      <c r="O75" s="31" cm="1">
        <f t="array" ref="O75">INT(SUMPRODUCT(--ISNUMBER(SEARCH(violent,C75)))&gt;0)</f>
        <v>0</v>
      </c>
      <c r="P75" s="31" cm="1">
        <f t="array" ref="P75">INT(SUMPRODUCT(--ISNUMBER(SEARCH(foreign,C75)))&gt;0)</f>
        <v>0</v>
      </c>
      <c r="Q75" s="31" cm="1">
        <f t="array" ref="Q75">INT(SUMPRODUCT(--ISNUMBER(SEARCH(gun,C75)))&gt;0)</f>
        <v>0</v>
      </c>
      <c r="R75" s="31" cm="1">
        <f t="array" ref="R75">INT(SUMPRODUCT(--ISNUMBER(SEARCH(race,C75)))&gt;0)</f>
        <v>0</v>
      </c>
      <c r="S75" s="31" cm="1">
        <f t="array" ref="S75">INT(SUMPRODUCT(--ISNUMBER(SEARCH(immigration,C75)))&gt;0)</f>
        <v>0</v>
      </c>
      <c r="T75" s="31" cm="1">
        <f t="array" ref="T75">INT(SUMPRODUCT(--ISNUMBER(SEARCH(econineq,C76)))&gt;0)</f>
        <v>0</v>
      </c>
      <c r="U75" s="31" cm="1">
        <f t="array" ref="U75">INT(SUMPRODUCT(--ISNUMBER(SEARCH(climate,C75)))&gt;0)</f>
        <v>0</v>
      </c>
      <c r="V75" s="31" cm="1">
        <f t="array" ref="V75">INT(SUMPRODUCT(--ISNUMBER(SEARCH(abortion,C75)))&gt;0)</f>
        <v>0</v>
      </c>
      <c r="W75" s="31" cm="1">
        <f t="array" ref="W75">INT(SUMPRODUCT(--ISNUMBER(SEARCH(trump,C75)))&gt;0)</f>
        <v>0</v>
      </c>
      <c r="X75" s="31" cm="1">
        <f t="array" ref="X75">INT(SUMPRODUCT(--ISNUMBER(SEARCH(voting,C75)))&gt;0)</f>
        <v>0</v>
      </c>
      <c r="Y75" s="31" cm="1">
        <f t="array" ref="Y75">INT(SUMPRODUCT(--ISNUMBER(SEARCH(democrattrigger,C75)))&gt;0)</f>
        <v>0</v>
      </c>
      <c r="Z75" s="31" cm="1">
        <f t="array" ref="Z75">INT(SUMPRODUCT(--ISNUMBER(SEARCH(bipartisan,C75)))&gt;0)</f>
        <v>0</v>
      </c>
      <c r="AA75" s="31">
        <f t="shared" si="1"/>
        <v>1</v>
      </c>
      <c r="AB75" s="31"/>
      <c r="AC75" s="111">
        <v>0</v>
      </c>
      <c r="AD75" s="112">
        <v>1</v>
      </c>
    </row>
    <row r="76" spans="1:30" x14ac:dyDescent="0.25">
      <c r="A76" s="109">
        <v>1932</v>
      </c>
      <c r="B76" s="31" t="s">
        <v>3890</v>
      </c>
      <c r="C76" s="31" t="s">
        <v>3891</v>
      </c>
      <c r="D76" s="110">
        <v>44132</v>
      </c>
      <c r="E76" s="31" t="s">
        <v>30</v>
      </c>
      <c r="F76" s="31">
        <v>181</v>
      </c>
      <c r="G76" s="31">
        <v>68</v>
      </c>
      <c r="H76" s="31">
        <v>9</v>
      </c>
      <c r="I76" s="31">
        <v>5</v>
      </c>
      <c r="J76" s="31" t="s">
        <v>204</v>
      </c>
      <c r="K76" s="31" cm="1">
        <f t="array" ref="K76">INT(SUMPRODUCT(--ISNUMBER(SEARCH(economy,C76)))&gt;0)</f>
        <v>0</v>
      </c>
      <c r="L76" s="31" cm="1">
        <f t="array" ref="L76">INT(SUMPRODUCT(--ISNUMBER(SEARCH(healthcare,C76)))&gt;0)</f>
        <v>0</v>
      </c>
      <c r="M76" s="31" cm="1">
        <f t="array" ref="M76">INT(SUMPRODUCT(--ISNUMBER(SEARCH(supreme,C76)))&gt;0)</f>
        <v>0</v>
      </c>
      <c r="N76" s="31" cm="1">
        <f t="array" ref="N76">INT(SUMPRODUCT(--ISNUMBER(SEARCH(covid,C76)))&gt;0)</f>
        <v>0</v>
      </c>
      <c r="O76" s="31" cm="1">
        <f t="array" ref="O76">INT(SUMPRODUCT(--ISNUMBER(SEARCH(violent,C76)))&gt;0)</f>
        <v>0</v>
      </c>
      <c r="P76" s="31" cm="1">
        <f t="array" ref="P76">INT(SUMPRODUCT(--ISNUMBER(SEARCH(foreign,C76)))&gt;0)</f>
        <v>0</v>
      </c>
      <c r="Q76" s="31" cm="1">
        <f t="array" ref="Q76">INT(SUMPRODUCT(--ISNUMBER(SEARCH(gun,C76)))&gt;0)</f>
        <v>0</v>
      </c>
      <c r="R76" s="31" cm="1">
        <f t="array" ref="R76">INT(SUMPRODUCT(--ISNUMBER(SEARCH(race,C76)))&gt;0)</f>
        <v>0</v>
      </c>
      <c r="S76" s="31" cm="1">
        <f t="array" ref="S76">INT(SUMPRODUCT(--ISNUMBER(SEARCH(immigration,C76)))&gt;0)</f>
        <v>0</v>
      </c>
      <c r="T76" s="31" cm="1">
        <f t="array" ref="T76">INT(SUMPRODUCT(--ISNUMBER(SEARCH(econineq,C77)))&gt;0)</f>
        <v>0</v>
      </c>
      <c r="U76" s="31" cm="1">
        <f t="array" ref="U76">INT(SUMPRODUCT(--ISNUMBER(SEARCH(climate,C76)))&gt;0)</f>
        <v>0</v>
      </c>
      <c r="V76" s="31" cm="1">
        <f t="array" ref="V76">INT(SUMPRODUCT(--ISNUMBER(SEARCH(abortion,C76)))&gt;0)</f>
        <v>0</v>
      </c>
      <c r="W76" s="31" cm="1">
        <f t="array" ref="W76">INT(SUMPRODUCT(--ISNUMBER(SEARCH(trump,C76)))&gt;0)</f>
        <v>0</v>
      </c>
      <c r="X76" s="31" cm="1">
        <f t="array" ref="X76">INT(SUMPRODUCT(--ISNUMBER(SEARCH(voting,C76)))&gt;0)</f>
        <v>0</v>
      </c>
      <c r="Y76" s="31" cm="1">
        <f t="array" ref="Y76">INT(SUMPRODUCT(--ISNUMBER(SEARCH(democrattrigger,C76)))&gt;0)</f>
        <v>0</v>
      </c>
      <c r="Z76" s="31" cm="1">
        <f t="array" ref="Z76">INT(SUMPRODUCT(--ISNUMBER(SEARCH(bipartisan,C76)))&gt;0)</f>
        <v>0</v>
      </c>
      <c r="AA76" s="31">
        <f t="shared" si="1"/>
        <v>1</v>
      </c>
      <c r="AB76" s="31"/>
      <c r="AC76" s="111">
        <v>0</v>
      </c>
      <c r="AD76" s="112">
        <v>1</v>
      </c>
    </row>
    <row r="77" spans="1:30" x14ac:dyDescent="0.25">
      <c r="A77" s="109">
        <v>1933</v>
      </c>
      <c r="B77" s="31" t="s">
        <v>3892</v>
      </c>
      <c r="C77" s="31" t="s">
        <v>3893</v>
      </c>
      <c r="D77" s="110">
        <v>44132</v>
      </c>
      <c r="E77" s="31" t="s">
        <v>30</v>
      </c>
      <c r="F77" s="31">
        <v>396</v>
      </c>
      <c r="G77" s="31">
        <v>182</v>
      </c>
      <c r="H77" s="31">
        <v>9</v>
      </c>
      <c r="I77" s="31">
        <v>5</v>
      </c>
      <c r="J77" s="31" t="s">
        <v>204</v>
      </c>
      <c r="K77" s="31" cm="1">
        <f t="array" ref="K77">INT(SUMPRODUCT(--ISNUMBER(SEARCH(economy,C77)))&gt;0)</f>
        <v>0</v>
      </c>
      <c r="L77" s="31" cm="1">
        <f t="array" ref="L77">INT(SUMPRODUCT(--ISNUMBER(SEARCH(healthcare,C77)))&gt;0)</f>
        <v>0</v>
      </c>
      <c r="M77" s="31" cm="1">
        <f t="array" ref="M77">INT(SUMPRODUCT(--ISNUMBER(SEARCH(supreme,C77)))&gt;0)</f>
        <v>0</v>
      </c>
      <c r="N77" s="31" cm="1">
        <f t="array" ref="N77">INT(SUMPRODUCT(--ISNUMBER(SEARCH(covid,C77)))&gt;0)</f>
        <v>0</v>
      </c>
      <c r="O77" s="31" cm="1">
        <f t="array" ref="O77">INT(SUMPRODUCT(--ISNUMBER(SEARCH(violent,C77)))&gt;0)</f>
        <v>0</v>
      </c>
      <c r="P77" s="31" cm="1">
        <f t="array" ref="P77">INT(SUMPRODUCT(--ISNUMBER(SEARCH(foreign,C77)))&gt;0)</f>
        <v>0</v>
      </c>
      <c r="Q77" s="31" cm="1">
        <f t="array" ref="Q77">INT(SUMPRODUCT(--ISNUMBER(SEARCH(gun,C77)))&gt;0)</f>
        <v>1</v>
      </c>
      <c r="R77" s="31" cm="1">
        <f t="array" ref="R77">INT(SUMPRODUCT(--ISNUMBER(SEARCH(race,C77)))&gt;0)</f>
        <v>0</v>
      </c>
      <c r="S77" s="31" cm="1">
        <f t="array" ref="S77">INT(SUMPRODUCT(--ISNUMBER(SEARCH(immigration,C77)))&gt;0)</f>
        <v>0</v>
      </c>
      <c r="T77" s="31" cm="1">
        <f t="array" ref="T77">INT(SUMPRODUCT(--ISNUMBER(SEARCH(econineq,C78)))&gt;0)</f>
        <v>0</v>
      </c>
      <c r="U77" s="31" cm="1">
        <f t="array" ref="U77">INT(SUMPRODUCT(--ISNUMBER(SEARCH(climate,C77)))&gt;0)</f>
        <v>0</v>
      </c>
      <c r="V77" s="31" cm="1">
        <f t="array" ref="V77">INT(SUMPRODUCT(--ISNUMBER(SEARCH(abortion,C77)))&gt;0)</f>
        <v>0</v>
      </c>
      <c r="W77" s="31" cm="1">
        <f t="array" ref="W77">INT(SUMPRODUCT(--ISNUMBER(SEARCH(trump,C77)))&gt;0)</f>
        <v>0</v>
      </c>
      <c r="X77" s="31" cm="1">
        <f t="array" ref="X77">INT(SUMPRODUCT(--ISNUMBER(SEARCH(voting,C77)))&gt;0)</f>
        <v>1</v>
      </c>
      <c r="Y77" s="31" cm="1">
        <f t="array" ref="Y77">INT(SUMPRODUCT(--ISNUMBER(SEARCH(democrattrigger,C77)))&gt;0)</f>
        <v>0</v>
      </c>
      <c r="Z77" s="31" cm="1">
        <f t="array" ref="Z77">INT(SUMPRODUCT(--ISNUMBER(SEARCH(bipartisan,C77)))&gt;0)</f>
        <v>0</v>
      </c>
      <c r="AA77" s="31">
        <f t="shared" si="1"/>
        <v>0</v>
      </c>
      <c r="AB77" s="31"/>
      <c r="AC77" s="111">
        <v>1</v>
      </c>
      <c r="AD77" s="112">
        <v>0</v>
      </c>
    </row>
    <row r="78" spans="1:30" x14ac:dyDescent="0.25">
      <c r="A78" s="109">
        <v>1934</v>
      </c>
      <c r="B78" s="31" t="s">
        <v>3894</v>
      </c>
      <c r="C78" s="31" t="s">
        <v>3895</v>
      </c>
      <c r="D78" s="110">
        <v>44131</v>
      </c>
      <c r="E78" s="31" t="s">
        <v>30</v>
      </c>
      <c r="F78" s="31">
        <v>549</v>
      </c>
      <c r="G78" s="31">
        <v>191</v>
      </c>
      <c r="H78" s="31">
        <v>9</v>
      </c>
      <c r="I78" s="31">
        <v>5</v>
      </c>
      <c r="J78" s="31" t="s">
        <v>204</v>
      </c>
      <c r="K78" s="31" cm="1">
        <f t="array" ref="K78">INT(SUMPRODUCT(--ISNUMBER(SEARCH(economy,C78)))&gt;0)</f>
        <v>0</v>
      </c>
      <c r="L78" s="31" cm="1">
        <f t="array" ref="L78">INT(SUMPRODUCT(--ISNUMBER(SEARCH(healthcare,C78)))&gt;0)</f>
        <v>1</v>
      </c>
      <c r="M78" s="31" cm="1">
        <f t="array" ref="M78">INT(SUMPRODUCT(--ISNUMBER(SEARCH(supreme,C78)))&gt;0)</f>
        <v>1</v>
      </c>
      <c r="N78" s="31" cm="1">
        <f t="array" ref="N78">INT(SUMPRODUCT(--ISNUMBER(SEARCH(covid,C78)))&gt;0)</f>
        <v>0</v>
      </c>
      <c r="O78" s="31" cm="1">
        <f t="array" ref="O78">INT(SUMPRODUCT(--ISNUMBER(SEARCH(violent,C78)))&gt;0)</f>
        <v>0</v>
      </c>
      <c r="P78" s="31" cm="1">
        <f t="array" ref="P78">INT(SUMPRODUCT(--ISNUMBER(SEARCH(foreign,C78)))&gt;0)</f>
        <v>0</v>
      </c>
      <c r="Q78" s="31" cm="1">
        <f t="array" ref="Q78">INT(SUMPRODUCT(--ISNUMBER(SEARCH(gun,C78)))&gt;0)</f>
        <v>0</v>
      </c>
      <c r="R78" s="31" cm="1">
        <f t="array" ref="R78">INT(SUMPRODUCT(--ISNUMBER(SEARCH(race,C78)))&gt;0)</f>
        <v>0</v>
      </c>
      <c r="S78" s="31" cm="1">
        <f t="array" ref="S78">INT(SUMPRODUCT(--ISNUMBER(SEARCH(immigration,C78)))&gt;0)</f>
        <v>0</v>
      </c>
      <c r="T78" s="31" cm="1">
        <f t="array" ref="T78">INT(SUMPRODUCT(--ISNUMBER(SEARCH(econineq,C79)))&gt;0)</f>
        <v>0</v>
      </c>
      <c r="U78" s="31" cm="1">
        <f t="array" ref="U78">INT(SUMPRODUCT(--ISNUMBER(SEARCH(climate,C78)))&gt;0)</f>
        <v>0</v>
      </c>
      <c r="V78" s="31" cm="1">
        <f t="array" ref="V78">INT(SUMPRODUCT(--ISNUMBER(SEARCH(abortion,C78)))&gt;0)</f>
        <v>0</v>
      </c>
      <c r="W78" s="31" cm="1">
        <f t="array" ref="W78">INT(SUMPRODUCT(--ISNUMBER(SEARCH(trump,C78)))&gt;0)</f>
        <v>0</v>
      </c>
      <c r="X78" s="31" cm="1">
        <f t="array" ref="X78">INT(SUMPRODUCT(--ISNUMBER(SEARCH(voting,C78)))&gt;0)</f>
        <v>1</v>
      </c>
      <c r="Y78" s="31" cm="1">
        <f t="array" ref="Y78">INT(SUMPRODUCT(--ISNUMBER(SEARCH(democrattrigger,C78)))&gt;0)</f>
        <v>0</v>
      </c>
      <c r="Z78" s="31" cm="1">
        <f t="array" ref="Z78">INT(SUMPRODUCT(--ISNUMBER(SEARCH(bipartisan,C78)))&gt;0)</f>
        <v>0</v>
      </c>
      <c r="AA78" s="31">
        <f t="shared" si="1"/>
        <v>0</v>
      </c>
      <c r="AB78" s="31"/>
      <c r="AC78" s="111" t="s">
        <v>223</v>
      </c>
      <c r="AD78" s="112" t="s">
        <v>223</v>
      </c>
    </row>
    <row r="79" spans="1:30" x14ac:dyDescent="0.25">
      <c r="A79" s="109">
        <v>1935</v>
      </c>
      <c r="B79" s="31" t="s">
        <v>3896</v>
      </c>
      <c r="C79" s="31" t="s">
        <v>3897</v>
      </c>
      <c r="D79" s="110">
        <v>44131</v>
      </c>
      <c r="E79" s="31" t="s">
        <v>30</v>
      </c>
      <c r="F79" s="31">
        <v>1067</v>
      </c>
      <c r="G79" s="31">
        <v>335</v>
      </c>
      <c r="H79" s="31">
        <v>9</v>
      </c>
      <c r="I79" s="31">
        <v>5</v>
      </c>
      <c r="J79" s="31" t="s">
        <v>204</v>
      </c>
      <c r="K79" s="31" cm="1">
        <f t="array" ref="K79">INT(SUMPRODUCT(--ISNUMBER(SEARCH(economy,C79)))&gt;0)</f>
        <v>0</v>
      </c>
      <c r="L79" s="31" cm="1">
        <f t="array" ref="L79">INT(SUMPRODUCT(--ISNUMBER(SEARCH(healthcare,C79)))&gt;0)</f>
        <v>0</v>
      </c>
      <c r="M79" s="31" cm="1">
        <f t="array" ref="M79">INT(SUMPRODUCT(--ISNUMBER(SEARCH(supreme,C79)))&gt;0)</f>
        <v>0</v>
      </c>
      <c r="N79" s="31" cm="1">
        <f t="array" ref="N79">INT(SUMPRODUCT(--ISNUMBER(SEARCH(covid,C79)))&gt;0)</f>
        <v>1</v>
      </c>
      <c r="O79" s="31" cm="1">
        <f t="array" ref="O79">INT(SUMPRODUCT(--ISNUMBER(SEARCH(violent,C79)))&gt;0)</f>
        <v>0</v>
      </c>
      <c r="P79" s="31" cm="1">
        <f t="array" ref="P79">INT(SUMPRODUCT(--ISNUMBER(SEARCH(foreign,C79)))&gt;0)</f>
        <v>0</v>
      </c>
      <c r="Q79" s="31" cm="1">
        <f t="array" ref="Q79">INT(SUMPRODUCT(--ISNUMBER(SEARCH(gun,C79)))&gt;0)</f>
        <v>0</v>
      </c>
      <c r="R79" s="31" cm="1">
        <f t="array" ref="R79">INT(SUMPRODUCT(--ISNUMBER(SEARCH(race,C79)))&gt;0)</f>
        <v>0</v>
      </c>
      <c r="S79" s="31" cm="1">
        <f t="array" ref="S79">INT(SUMPRODUCT(--ISNUMBER(SEARCH(immigration,C79)))&gt;0)</f>
        <v>0</v>
      </c>
      <c r="T79" s="31" cm="1">
        <f t="array" ref="T79">INT(SUMPRODUCT(--ISNUMBER(SEARCH(econineq,C80)))&gt;0)</f>
        <v>0</v>
      </c>
      <c r="U79" s="31" cm="1">
        <f t="array" ref="U79">INT(SUMPRODUCT(--ISNUMBER(SEARCH(climate,C79)))&gt;0)</f>
        <v>0</v>
      </c>
      <c r="V79" s="31" cm="1">
        <f t="array" ref="V79">INT(SUMPRODUCT(--ISNUMBER(SEARCH(abortion,C79)))&gt;0)</f>
        <v>0</v>
      </c>
      <c r="W79" s="31" cm="1">
        <f t="array" ref="W79">INT(SUMPRODUCT(--ISNUMBER(SEARCH(trump,C79)))&gt;0)</f>
        <v>0</v>
      </c>
      <c r="X79" s="31" cm="1">
        <f t="array" ref="X79">INT(SUMPRODUCT(--ISNUMBER(SEARCH(voting,C79)))&gt;0)</f>
        <v>1</v>
      </c>
      <c r="Y79" s="31" cm="1">
        <f t="array" ref="Y79">INT(SUMPRODUCT(--ISNUMBER(SEARCH(democrattrigger,C79)))&gt;0)</f>
        <v>0</v>
      </c>
      <c r="Z79" s="31" cm="1">
        <f t="array" ref="Z79">INT(SUMPRODUCT(--ISNUMBER(SEARCH(bipartisan,C79)))&gt;0)</f>
        <v>0</v>
      </c>
      <c r="AA79" s="31">
        <f t="shared" si="1"/>
        <v>0</v>
      </c>
      <c r="AB79" s="31"/>
      <c r="AC79" s="111">
        <v>0</v>
      </c>
      <c r="AD79" s="112">
        <v>1</v>
      </c>
    </row>
    <row r="80" spans="1:30" x14ac:dyDescent="0.25">
      <c r="A80" s="109">
        <v>1936</v>
      </c>
      <c r="B80" s="31" t="s">
        <v>3898</v>
      </c>
      <c r="C80" s="31" t="s">
        <v>3899</v>
      </c>
      <c r="D80" s="110">
        <v>44131</v>
      </c>
      <c r="E80" s="31" t="s">
        <v>30</v>
      </c>
      <c r="F80" s="31">
        <v>356</v>
      </c>
      <c r="G80" s="31">
        <v>107</v>
      </c>
      <c r="H80" s="31">
        <v>9</v>
      </c>
      <c r="I80" s="31">
        <v>5</v>
      </c>
      <c r="J80" s="31" t="s">
        <v>204</v>
      </c>
      <c r="K80" s="31" cm="1">
        <f t="array" ref="K80">INT(SUMPRODUCT(--ISNUMBER(SEARCH(economy,C80)))&gt;0)</f>
        <v>0</v>
      </c>
      <c r="L80" s="31" cm="1">
        <f t="array" ref="L80">INT(SUMPRODUCT(--ISNUMBER(SEARCH(healthcare,C80)))&gt;0)</f>
        <v>1</v>
      </c>
      <c r="M80" s="31" cm="1">
        <f t="array" ref="M80">INT(SUMPRODUCT(--ISNUMBER(SEARCH(supreme,C80)))&gt;0)</f>
        <v>0</v>
      </c>
      <c r="N80" s="31" cm="1">
        <f t="array" ref="N80">INT(SUMPRODUCT(--ISNUMBER(SEARCH(covid,C80)))&gt;0)</f>
        <v>0</v>
      </c>
      <c r="O80" s="31" cm="1">
        <f t="array" ref="O80">INT(SUMPRODUCT(--ISNUMBER(SEARCH(violent,C80)))&gt;0)</f>
        <v>0</v>
      </c>
      <c r="P80" s="31" cm="1">
        <f t="array" ref="P80">INT(SUMPRODUCT(--ISNUMBER(SEARCH(foreign,C80)))&gt;0)</f>
        <v>0</v>
      </c>
      <c r="Q80" s="31" cm="1">
        <f t="array" ref="Q80">INT(SUMPRODUCT(--ISNUMBER(SEARCH(gun,C80)))&gt;0)</f>
        <v>0</v>
      </c>
      <c r="R80" s="31" cm="1">
        <f t="array" ref="R80">INT(SUMPRODUCT(--ISNUMBER(SEARCH(race,C80)))&gt;0)</f>
        <v>0</v>
      </c>
      <c r="S80" s="31" cm="1">
        <f t="array" ref="S80">INT(SUMPRODUCT(--ISNUMBER(SEARCH(immigration,C80)))&gt;0)</f>
        <v>0</v>
      </c>
      <c r="T80" s="31" cm="1">
        <f t="array" ref="T80">INT(SUMPRODUCT(--ISNUMBER(SEARCH(econineq,C81)))&gt;0)</f>
        <v>0</v>
      </c>
      <c r="U80" s="31" cm="1">
        <f t="array" ref="U80">INT(SUMPRODUCT(--ISNUMBER(SEARCH(climate,C80)))&gt;0)</f>
        <v>0</v>
      </c>
      <c r="V80" s="31" cm="1">
        <f t="array" ref="V80">INT(SUMPRODUCT(--ISNUMBER(SEARCH(abortion,C80)))&gt;0)</f>
        <v>0</v>
      </c>
      <c r="W80" s="31" cm="1">
        <f t="array" ref="W80">INT(SUMPRODUCT(--ISNUMBER(SEARCH(trump,C80)))&gt;0)</f>
        <v>1</v>
      </c>
      <c r="X80" s="31" cm="1">
        <f t="array" ref="X80">INT(SUMPRODUCT(--ISNUMBER(SEARCH(voting,C80)))&gt;0)</f>
        <v>1</v>
      </c>
      <c r="Y80" s="31" cm="1">
        <f t="array" ref="Y80">INT(SUMPRODUCT(--ISNUMBER(SEARCH(democrattrigger,C80)))&gt;0)</f>
        <v>1</v>
      </c>
      <c r="Z80" s="31" cm="1">
        <f t="array" ref="Z80">INT(SUMPRODUCT(--ISNUMBER(SEARCH(bipartisan,C80)))&gt;0)</f>
        <v>0</v>
      </c>
      <c r="AA80" s="31">
        <f t="shared" si="1"/>
        <v>0</v>
      </c>
      <c r="AB80" s="31"/>
      <c r="AC80" s="111" t="s">
        <v>223</v>
      </c>
      <c r="AD80" s="112" t="s">
        <v>223</v>
      </c>
    </row>
    <row r="81" spans="1:30" x14ac:dyDescent="0.25">
      <c r="A81" s="109">
        <v>1937</v>
      </c>
      <c r="B81" s="31" t="s">
        <v>3900</v>
      </c>
      <c r="C81" s="31" t="s">
        <v>3901</v>
      </c>
      <c r="D81" s="110">
        <v>44131</v>
      </c>
      <c r="E81" s="31" t="s">
        <v>30</v>
      </c>
      <c r="F81" s="31">
        <v>1636</v>
      </c>
      <c r="G81" s="31">
        <v>250</v>
      </c>
      <c r="H81" s="31">
        <v>9</v>
      </c>
      <c r="I81" s="31">
        <v>5</v>
      </c>
      <c r="J81" s="31" t="s">
        <v>204</v>
      </c>
      <c r="K81" s="31" cm="1">
        <f t="array" ref="K81">INT(SUMPRODUCT(--ISNUMBER(SEARCH(economy,C81)))&gt;0)</f>
        <v>0</v>
      </c>
      <c r="L81" s="31" cm="1">
        <f t="array" ref="L81">INT(SUMPRODUCT(--ISNUMBER(SEARCH(healthcare,C81)))&gt;0)</f>
        <v>0</v>
      </c>
      <c r="M81" s="31" cm="1">
        <f t="array" ref="M81">INT(SUMPRODUCT(--ISNUMBER(SEARCH(supreme,C81)))&gt;0)</f>
        <v>0</v>
      </c>
      <c r="N81" s="31" cm="1">
        <f t="array" ref="N81">INT(SUMPRODUCT(--ISNUMBER(SEARCH(covid,C81)))&gt;0)</f>
        <v>0</v>
      </c>
      <c r="O81" s="31" cm="1">
        <f t="array" ref="O81">INT(SUMPRODUCT(--ISNUMBER(SEARCH(violent,C81)))&gt;0)</f>
        <v>0</v>
      </c>
      <c r="P81" s="31" cm="1">
        <f t="array" ref="P81">INT(SUMPRODUCT(--ISNUMBER(SEARCH(foreign,C81)))&gt;0)</f>
        <v>0</v>
      </c>
      <c r="Q81" s="31" cm="1">
        <f t="array" ref="Q81">INT(SUMPRODUCT(--ISNUMBER(SEARCH(gun,C81)))&gt;0)</f>
        <v>0</v>
      </c>
      <c r="R81" s="31" cm="1">
        <f t="array" ref="R81">INT(SUMPRODUCT(--ISNUMBER(SEARCH(race,C81)))&gt;0)</f>
        <v>0</v>
      </c>
      <c r="S81" s="31" cm="1">
        <f t="array" ref="S81">INT(SUMPRODUCT(--ISNUMBER(SEARCH(immigration,C81)))&gt;0)</f>
        <v>0</v>
      </c>
      <c r="T81" s="31" cm="1">
        <f t="array" ref="T81">INT(SUMPRODUCT(--ISNUMBER(SEARCH(econineq,C82)))&gt;0)</f>
        <v>0</v>
      </c>
      <c r="U81" s="31" cm="1">
        <f t="array" ref="U81">INT(SUMPRODUCT(--ISNUMBER(SEARCH(climate,C81)))&gt;0)</f>
        <v>0</v>
      </c>
      <c r="V81" s="31" cm="1">
        <f t="array" ref="V81">INT(SUMPRODUCT(--ISNUMBER(SEARCH(abortion,C81)))&gt;0)</f>
        <v>0</v>
      </c>
      <c r="W81" s="31" cm="1">
        <f t="array" ref="W81">INT(SUMPRODUCT(--ISNUMBER(SEARCH(trump,C81)))&gt;0)</f>
        <v>0</v>
      </c>
      <c r="X81" s="31" cm="1">
        <f t="array" ref="X81">INT(SUMPRODUCT(--ISNUMBER(SEARCH(voting,C81)))&gt;0)</f>
        <v>0</v>
      </c>
      <c r="Y81" s="31" cm="1">
        <f t="array" ref="Y81">INT(SUMPRODUCT(--ISNUMBER(SEARCH(democrattrigger,C81)))&gt;0)</f>
        <v>0</v>
      </c>
      <c r="Z81" s="31" cm="1">
        <f t="array" ref="Z81">INT(SUMPRODUCT(--ISNUMBER(SEARCH(bipartisan,C81)))&gt;0)</f>
        <v>0</v>
      </c>
      <c r="AA81" s="31">
        <f t="shared" si="1"/>
        <v>1</v>
      </c>
      <c r="AB81" s="31"/>
      <c r="AC81" s="111" t="s">
        <v>223</v>
      </c>
      <c r="AD81" s="112" t="s">
        <v>223</v>
      </c>
    </row>
    <row r="82" spans="1:30" x14ac:dyDescent="0.25">
      <c r="A82" s="109">
        <v>1938</v>
      </c>
      <c r="B82" s="31" t="s">
        <v>3902</v>
      </c>
      <c r="C82" s="31" t="s">
        <v>3903</v>
      </c>
      <c r="D82" s="110">
        <v>44131</v>
      </c>
      <c r="E82" s="31" t="s">
        <v>30</v>
      </c>
      <c r="F82" s="31">
        <v>918</v>
      </c>
      <c r="G82" s="31">
        <v>179</v>
      </c>
      <c r="H82" s="31">
        <v>9</v>
      </c>
      <c r="I82" s="31">
        <v>5</v>
      </c>
      <c r="J82" s="31" t="s">
        <v>204</v>
      </c>
      <c r="K82" s="31" cm="1">
        <f t="array" ref="K82">INT(SUMPRODUCT(--ISNUMBER(SEARCH(economy,C82)))&gt;0)</f>
        <v>0</v>
      </c>
      <c r="L82" s="31" cm="1">
        <f t="array" ref="L82">INT(SUMPRODUCT(--ISNUMBER(SEARCH(healthcare,C82)))&gt;0)</f>
        <v>0</v>
      </c>
      <c r="M82" s="31" cm="1">
        <f t="array" ref="M82">INT(SUMPRODUCT(--ISNUMBER(SEARCH(supreme,C82)))&gt;0)</f>
        <v>0</v>
      </c>
      <c r="N82" s="31" cm="1">
        <f t="array" ref="N82">INT(SUMPRODUCT(--ISNUMBER(SEARCH(covid,C82)))&gt;0)</f>
        <v>0</v>
      </c>
      <c r="O82" s="31" cm="1">
        <f t="array" ref="O82">INT(SUMPRODUCT(--ISNUMBER(SEARCH(violent,C82)))&gt;0)</f>
        <v>0</v>
      </c>
      <c r="P82" s="31" cm="1">
        <f t="array" ref="P82">INT(SUMPRODUCT(--ISNUMBER(SEARCH(foreign,C82)))&gt;0)</f>
        <v>0</v>
      </c>
      <c r="Q82" s="31" cm="1">
        <f t="array" ref="Q82">INT(SUMPRODUCT(--ISNUMBER(SEARCH(gun,C82)))&gt;0)</f>
        <v>0</v>
      </c>
      <c r="R82" s="31" cm="1">
        <f t="array" ref="R82">INT(SUMPRODUCT(--ISNUMBER(SEARCH(race,C82)))&gt;0)</f>
        <v>0</v>
      </c>
      <c r="S82" s="31" cm="1">
        <f t="array" ref="S82">INT(SUMPRODUCT(--ISNUMBER(SEARCH(immigration,C82)))&gt;0)</f>
        <v>0</v>
      </c>
      <c r="T82" s="31" cm="1">
        <f t="array" ref="T82">INT(SUMPRODUCT(--ISNUMBER(SEARCH(econineq,C83)))&gt;0)</f>
        <v>0</v>
      </c>
      <c r="U82" s="31" cm="1">
        <f t="array" ref="U82">INT(SUMPRODUCT(--ISNUMBER(SEARCH(climate,C82)))&gt;0)</f>
        <v>0</v>
      </c>
      <c r="V82" s="31" cm="1">
        <f t="array" ref="V82">INT(SUMPRODUCT(--ISNUMBER(SEARCH(abortion,C82)))&gt;0)</f>
        <v>0</v>
      </c>
      <c r="W82" s="31" cm="1">
        <f t="array" ref="W82">INT(SUMPRODUCT(--ISNUMBER(SEARCH(trump,C82)))&gt;0)</f>
        <v>0</v>
      </c>
      <c r="X82" s="31" cm="1">
        <f t="array" ref="X82">INT(SUMPRODUCT(--ISNUMBER(SEARCH(voting,C82)))&gt;0)</f>
        <v>0</v>
      </c>
      <c r="Y82" s="31" cm="1">
        <f t="array" ref="Y82">INT(SUMPRODUCT(--ISNUMBER(SEARCH(democrattrigger,C82)))&gt;0)</f>
        <v>0</v>
      </c>
      <c r="Z82" s="31" cm="1">
        <f t="array" ref="Z82">INT(SUMPRODUCT(--ISNUMBER(SEARCH(bipartisan,C82)))&gt;0)</f>
        <v>0</v>
      </c>
      <c r="AA82" s="31">
        <f t="shared" si="1"/>
        <v>1</v>
      </c>
      <c r="AB82" s="31"/>
      <c r="AC82" s="111">
        <v>1</v>
      </c>
      <c r="AD82" s="112">
        <v>0</v>
      </c>
    </row>
    <row r="83" spans="1:30" x14ac:dyDescent="0.25">
      <c r="A83" s="109">
        <v>1939</v>
      </c>
      <c r="B83" s="31" t="s">
        <v>3904</v>
      </c>
      <c r="C83" s="31" t="s">
        <v>3905</v>
      </c>
      <c r="D83" s="110">
        <v>44131</v>
      </c>
      <c r="E83" s="31" t="s">
        <v>30</v>
      </c>
      <c r="F83" s="31">
        <v>1123</v>
      </c>
      <c r="G83" s="31">
        <v>352</v>
      </c>
      <c r="H83" s="31">
        <v>9</v>
      </c>
      <c r="I83" s="31">
        <v>5</v>
      </c>
      <c r="J83" s="31" t="s">
        <v>204</v>
      </c>
      <c r="K83" s="31" cm="1">
        <f t="array" ref="K83">INT(SUMPRODUCT(--ISNUMBER(SEARCH(economy,C83)))&gt;0)</f>
        <v>0</v>
      </c>
      <c r="L83" s="31" cm="1">
        <f t="array" ref="L83">INT(SUMPRODUCT(--ISNUMBER(SEARCH(healthcare,C83)))&gt;0)</f>
        <v>1</v>
      </c>
      <c r="M83" s="31" cm="1">
        <f t="array" ref="M83">INT(SUMPRODUCT(--ISNUMBER(SEARCH(supreme,C83)))&gt;0)</f>
        <v>1</v>
      </c>
      <c r="N83" s="31" cm="1">
        <f t="array" ref="N83">INT(SUMPRODUCT(--ISNUMBER(SEARCH(covid,C83)))&gt;0)</f>
        <v>0</v>
      </c>
      <c r="O83" s="31" cm="1">
        <f t="array" ref="O83">INT(SUMPRODUCT(--ISNUMBER(SEARCH(violent,C83)))&gt;0)</f>
        <v>0</v>
      </c>
      <c r="P83" s="31" cm="1">
        <f t="array" ref="P83">INT(SUMPRODUCT(--ISNUMBER(SEARCH(foreign,C83)))&gt;0)</f>
        <v>0</v>
      </c>
      <c r="Q83" s="31" cm="1">
        <f t="array" ref="Q83">INT(SUMPRODUCT(--ISNUMBER(SEARCH(gun,C83)))&gt;0)</f>
        <v>0</v>
      </c>
      <c r="R83" s="31" cm="1">
        <f t="array" ref="R83">INT(SUMPRODUCT(--ISNUMBER(SEARCH(race,C83)))&gt;0)</f>
        <v>0</v>
      </c>
      <c r="S83" s="31" cm="1">
        <f t="array" ref="S83">INT(SUMPRODUCT(--ISNUMBER(SEARCH(immigration,C83)))&gt;0)</f>
        <v>0</v>
      </c>
      <c r="T83" s="31" cm="1">
        <f t="array" ref="T83">INT(SUMPRODUCT(--ISNUMBER(SEARCH(econineq,C84)))&gt;0)</f>
        <v>0</v>
      </c>
      <c r="U83" s="31" cm="1">
        <f t="array" ref="U83">INT(SUMPRODUCT(--ISNUMBER(SEARCH(climate,C83)))&gt;0)</f>
        <v>0</v>
      </c>
      <c r="V83" s="31" cm="1">
        <f t="array" ref="V83">INT(SUMPRODUCT(--ISNUMBER(SEARCH(abortion,C83)))&gt;0)</f>
        <v>1</v>
      </c>
      <c r="W83" s="31" cm="1">
        <f t="array" ref="W83">INT(SUMPRODUCT(--ISNUMBER(SEARCH(trump,C83)))&gt;0)</f>
        <v>0</v>
      </c>
      <c r="X83" s="31" cm="1">
        <f t="array" ref="X83">INT(SUMPRODUCT(--ISNUMBER(SEARCH(voting,C83)))&gt;0)</f>
        <v>0</v>
      </c>
      <c r="Y83" s="31" cm="1">
        <f t="array" ref="Y83">INT(SUMPRODUCT(--ISNUMBER(SEARCH(democrattrigger,C83)))&gt;0)</f>
        <v>0</v>
      </c>
      <c r="Z83" s="31" cm="1">
        <f t="array" ref="Z83">INT(SUMPRODUCT(--ISNUMBER(SEARCH(bipartisan,C83)))&gt;0)</f>
        <v>0</v>
      </c>
      <c r="AA83" s="31">
        <f t="shared" si="1"/>
        <v>0</v>
      </c>
      <c r="AB83" s="31"/>
      <c r="AC83" s="111" t="s">
        <v>223</v>
      </c>
      <c r="AD83" s="112" t="s">
        <v>223</v>
      </c>
    </row>
    <row r="84" spans="1:30" x14ac:dyDescent="0.25">
      <c r="A84" s="109">
        <v>1940</v>
      </c>
      <c r="B84" s="31" t="s">
        <v>3906</v>
      </c>
      <c r="C84" s="31" t="s">
        <v>3907</v>
      </c>
      <c r="D84" s="110">
        <v>44130</v>
      </c>
      <c r="E84" s="31" t="s">
        <v>30</v>
      </c>
      <c r="F84" s="31">
        <v>2053</v>
      </c>
      <c r="G84" s="31">
        <v>624</v>
      </c>
      <c r="H84" s="31">
        <v>9</v>
      </c>
      <c r="I84" s="31">
        <v>5</v>
      </c>
      <c r="J84" s="31" t="s">
        <v>204</v>
      </c>
      <c r="K84" s="31" cm="1">
        <f t="array" ref="K84">INT(SUMPRODUCT(--ISNUMBER(SEARCH(economy,C84)))&gt;0)</f>
        <v>0</v>
      </c>
      <c r="L84" s="31" cm="1">
        <f t="array" ref="L84">INT(SUMPRODUCT(--ISNUMBER(SEARCH(healthcare,C84)))&gt;0)</f>
        <v>0</v>
      </c>
      <c r="M84" s="31" cm="1">
        <f t="array" ref="M84">INT(SUMPRODUCT(--ISNUMBER(SEARCH(supreme,C84)))&gt;0)</f>
        <v>1</v>
      </c>
      <c r="N84" s="31" cm="1">
        <f t="array" ref="N84">INT(SUMPRODUCT(--ISNUMBER(SEARCH(covid,C84)))&gt;0)</f>
        <v>1</v>
      </c>
      <c r="O84" s="31" cm="1">
        <f t="array" ref="O84">INT(SUMPRODUCT(--ISNUMBER(SEARCH(violent,C84)))&gt;0)</f>
        <v>0</v>
      </c>
      <c r="P84" s="31" cm="1">
        <f t="array" ref="P84">INT(SUMPRODUCT(--ISNUMBER(SEARCH(foreign,C84)))&gt;0)</f>
        <v>0</v>
      </c>
      <c r="Q84" s="31" cm="1">
        <f t="array" ref="Q84">INT(SUMPRODUCT(--ISNUMBER(SEARCH(gun,C84)))&gt;0)</f>
        <v>0</v>
      </c>
      <c r="R84" s="31" cm="1">
        <f t="array" ref="R84">INT(SUMPRODUCT(--ISNUMBER(SEARCH(race,C84)))&gt;0)</f>
        <v>0</v>
      </c>
      <c r="S84" s="31" cm="1">
        <f t="array" ref="S84">INT(SUMPRODUCT(--ISNUMBER(SEARCH(immigration,C84)))&gt;0)</f>
        <v>0</v>
      </c>
      <c r="T84" s="31" cm="1">
        <f t="array" ref="T84">INT(SUMPRODUCT(--ISNUMBER(SEARCH(econineq,C85)))&gt;0)</f>
        <v>0</v>
      </c>
      <c r="U84" s="31" cm="1">
        <f t="array" ref="U84">INT(SUMPRODUCT(--ISNUMBER(SEARCH(climate,C84)))&gt;0)</f>
        <v>0</v>
      </c>
      <c r="V84" s="31" cm="1">
        <f t="array" ref="V84">INT(SUMPRODUCT(--ISNUMBER(SEARCH(abortion,C84)))&gt;0)</f>
        <v>0</v>
      </c>
      <c r="W84" s="31" cm="1">
        <f t="array" ref="W84">INT(SUMPRODUCT(--ISNUMBER(SEARCH(trump,C84)))&gt;0)</f>
        <v>0</v>
      </c>
      <c r="X84" s="31" cm="1">
        <f t="array" ref="X84">INT(SUMPRODUCT(--ISNUMBER(SEARCH(voting,C84)))&gt;0)</f>
        <v>0</v>
      </c>
      <c r="Y84" s="31" cm="1">
        <f t="array" ref="Y84">INT(SUMPRODUCT(--ISNUMBER(SEARCH(democrattrigger,C84)))&gt;0)</f>
        <v>1</v>
      </c>
      <c r="Z84" s="31" cm="1">
        <f t="array" ref="Z84">INT(SUMPRODUCT(--ISNUMBER(SEARCH(bipartisan,C84)))&gt;0)</f>
        <v>1</v>
      </c>
      <c r="AA84" s="31">
        <f t="shared" si="1"/>
        <v>0</v>
      </c>
      <c r="AB84" s="31"/>
      <c r="AC84" s="111" t="s">
        <v>223</v>
      </c>
      <c r="AD84" s="112" t="s">
        <v>223</v>
      </c>
    </row>
    <row r="85" spans="1:30" x14ac:dyDescent="0.25">
      <c r="A85" s="109">
        <v>1941</v>
      </c>
      <c r="B85" s="31" t="s">
        <v>3908</v>
      </c>
      <c r="C85" s="31" t="s">
        <v>3909</v>
      </c>
      <c r="D85" s="110">
        <v>44130</v>
      </c>
      <c r="E85" s="31" t="s">
        <v>30</v>
      </c>
      <c r="F85" s="31">
        <v>176</v>
      </c>
      <c r="G85" s="31">
        <v>82</v>
      </c>
      <c r="H85" s="31">
        <v>9</v>
      </c>
      <c r="I85" s="31">
        <v>5</v>
      </c>
      <c r="J85" s="31" t="s">
        <v>204</v>
      </c>
      <c r="K85" s="31" cm="1">
        <f t="array" ref="K85">INT(SUMPRODUCT(--ISNUMBER(SEARCH(economy,C85)))&gt;0)</f>
        <v>0</v>
      </c>
      <c r="L85" s="31" cm="1">
        <f t="array" ref="L85">INT(SUMPRODUCT(--ISNUMBER(SEARCH(healthcare,C85)))&gt;0)</f>
        <v>0</v>
      </c>
      <c r="M85" s="31" cm="1">
        <f t="array" ref="M85">INT(SUMPRODUCT(--ISNUMBER(SEARCH(supreme,C85)))&gt;0)</f>
        <v>0</v>
      </c>
      <c r="N85" s="31" cm="1">
        <f t="array" ref="N85">INT(SUMPRODUCT(--ISNUMBER(SEARCH(covid,C85)))&gt;0)</f>
        <v>0</v>
      </c>
      <c r="O85" s="31" cm="1">
        <f t="array" ref="O85">INT(SUMPRODUCT(--ISNUMBER(SEARCH(violent,C85)))&gt;0)</f>
        <v>0</v>
      </c>
      <c r="P85" s="31" cm="1">
        <f t="array" ref="P85">INT(SUMPRODUCT(--ISNUMBER(SEARCH(foreign,C85)))&gt;0)</f>
        <v>0</v>
      </c>
      <c r="Q85" s="31" cm="1">
        <f t="array" ref="Q85">INT(SUMPRODUCT(--ISNUMBER(SEARCH(gun,C85)))&gt;0)</f>
        <v>0</v>
      </c>
      <c r="R85" s="31" cm="1">
        <f t="array" ref="R85">INT(SUMPRODUCT(--ISNUMBER(SEARCH(race,C85)))&gt;0)</f>
        <v>0</v>
      </c>
      <c r="S85" s="31" cm="1">
        <f t="array" ref="S85">INT(SUMPRODUCT(--ISNUMBER(SEARCH(immigration,C85)))&gt;0)</f>
        <v>0</v>
      </c>
      <c r="T85" s="31" cm="1">
        <f t="array" ref="T85">INT(SUMPRODUCT(--ISNUMBER(SEARCH(econineq,C86)))&gt;0)</f>
        <v>0</v>
      </c>
      <c r="U85" s="31" cm="1">
        <f t="array" ref="U85">INT(SUMPRODUCT(--ISNUMBER(SEARCH(climate,C85)))&gt;0)</f>
        <v>0</v>
      </c>
      <c r="V85" s="31" cm="1">
        <f t="array" ref="V85">INT(SUMPRODUCT(--ISNUMBER(SEARCH(abortion,C85)))&gt;0)</f>
        <v>0</v>
      </c>
      <c r="W85" s="31" cm="1">
        <f t="array" ref="W85">INT(SUMPRODUCT(--ISNUMBER(SEARCH(trump,C85)))&gt;0)</f>
        <v>0</v>
      </c>
      <c r="X85" s="31" cm="1">
        <f t="array" ref="X85">INT(SUMPRODUCT(--ISNUMBER(SEARCH(voting,C85)))&gt;0)</f>
        <v>1</v>
      </c>
      <c r="Y85" s="31" cm="1">
        <f t="array" ref="Y85">INT(SUMPRODUCT(--ISNUMBER(SEARCH(democrattrigger,C85)))&gt;0)</f>
        <v>0</v>
      </c>
      <c r="Z85" s="31" cm="1">
        <f t="array" ref="Z85">INT(SUMPRODUCT(--ISNUMBER(SEARCH(bipartisan,C85)))&gt;0)</f>
        <v>0</v>
      </c>
      <c r="AA85" s="31">
        <f t="shared" si="1"/>
        <v>0</v>
      </c>
      <c r="AB85" s="31"/>
      <c r="AC85" s="111" t="s">
        <v>223</v>
      </c>
      <c r="AD85" s="112" t="s">
        <v>223</v>
      </c>
    </row>
    <row r="86" spans="1:30" x14ac:dyDescent="0.25">
      <c r="A86" s="109">
        <v>1942</v>
      </c>
      <c r="B86" s="31" t="s">
        <v>3910</v>
      </c>
      <c r="C86" s="31" t="s">
        <v>3911</v>
      </c>
      <c r="D86" s="110">
        <v>44130</v>
      </c>
      <c r="E86" s="31" t="s">
        <v>30</v>
      </c>
      <c r="F86" s="31">
        <v>520</v>
      </c>
      <c r="G86" s="31">
        <v>173</v>
      </c>
      <c r="H86" s="31">
        <v>9</v>
      </c>
      <c r="I86" s="31">
        <v>5</v>
      </c>
      <c r="J86" s="31" t="s">
        <v>204</v>
      </c>
      <c r="K86" s="31" cm="1">
        <f t="array" ref="K86">INT(SUMPRODUCT(--ISNUMBER(SEARCH(economy,C86)))&gt;0)</f>
        <v>0</v>
      </c>
      <c r="L86" s="31" cm="1">
        <f t="array" ref="L86">INT(SUMPRODUCT(--ISNUMBER(SEARCH(healthcare,C86)))&gt;0)</f>
        <v>1</v>
      </c>
      <c r="M86" s="31" cm="1">
        <f t="array" ref="M86">INT(SUMPRODUCT(--ISNUMBER(SEARCH(supreme,C86)))&gt;0)</f>
        <v>1</v>
      </c>
      <c r="N86" s="31" cm="1">
        <f t="array" ref="N86">INT(SUMPRODUCT(--ISNUMBER(SEARCH(covid,C86)))&gt;0)</f>
        <v>0</v>
      </c>
      <c r="O86" s="31" cm="1">
        <f t="array" ref="O86">INT(SUMPRODUCT(--ISNUMBER(SEARCH(violent,C86)))&gt;0)</f>
        <v>0</v>
      </c>
      <c r="P86" s="31" cm="1">
        <f t="array" ref="P86">INT(SUMPRODUCT(--ISNUMBER(SEARCH(foreign,C86)))&gt;0)</f>
        <v>0</v>
      </c>
      <c r="Q86" s="31" cm="1">
        <f t="array" ref="Q86">INT(SUMPRODUCT(--ISNUMBER(SEARCH(gun,C86)))&gt;0)</f>
        <v>0</v>
      </c>
      <c r="R86" s="31" cm="1">
        <f t="array" ref="R86">INT(SUMPRODUCT(--ISNUMBER(SEARCH(race,C86)))&gt;0)</f>
        <v>0</v>
      </c>
      <c r="S86" s="31" cm="1">
        <f t="array" ref="S86">INT(SUMPRODUCT(--ISNUMBER(SEARCH(immigration,C86)))&gt;0)</f>
        <v>0</v>
      </c>
      <c r="T86" s="31" cm="1">
        <f t="array" ref="T86">INT(SUMPRODUCT(--ISNUMBER(SEARCH(econineq,C87)))&gt;0)</f>
        <v>0</v>
      </c>
      <c r="U86" s="31" cm="1">
        <f t="array" ref="U86">INT(SUMPRODUCT(--ISNUMBER(SEARCH(climate,C86)))&gt;0)</f>
        <v>0</v>
      </c>
      <c r="V86" s="31" cm="1">
        <f t="array" ref="V86">INT(SUMPRODUCT(--ISNUMBER(SEARCH(abortion,C86)))&gt;0)</f>
        <v>0</v>
      </c>
      <c r="W86" s="31" cm="1">
        <f t="array" ref="W86">INT(SUMPRODUCT(--ISNUMBER(SEARCH(trump,C86)))&gt;0)</f>
        <v>0</v>
      </c>
      <c r="X86" s="31" cm="1">
        <f t="array" ref="X86">INT(SUMPRODUCT(--ISNUMBER(SEARCH(voting,C86)))&gt;0)</f>
        <v>0</v>
      </c>
      <c r="Y86" s="31" cm="1">
        <f t="array" ref="Y86">INT(SUMPRODUCT(--ISNUMBER(SEARCH(democrattrigger,C86)))&gt;0)</f>
        <v>1</v>
      </c>
      <c r="Z86" s="31" cm="1">
        <f t="array" ref="Z86">INT(SUMPRODUCT(--ISNUMBER(SEARCH(bipartisan,C86)))&gt;0)</f>
        <v>0</v>
      </c>
      <c r="AA86" s="31">
        <f t="shared" si="1"/>
        <v>0</v>
      </c>
      <c r="AB86" s="31"/>
      <c r="AC86" s="111" t="s">
        <v>223</v>
      </c>
      <c r="AD86" s="112" t="s">
        <v>223</v>
      </c>
    </row>
    <row r="87" spans="1:30" x14ac:dyDescent="0.25">
      <c r="A87" s="109">
        <v>1943</v>
      </c>
      <c r="B87" s="31" t="s">
        <v>3912</v>
      </c>
      <c r="C87" s="31" t="s">
        <v>3913</v>
      </c>
      <c r="D87" s="110">
        <v>44130</v>
      </c>
      <c r="E87" s="31" t="s">
        <v>30</v>
      </c>
      <c r="F87" s="31">
        <v>412</v>
      </c>
      <c r="G87" s="31">
        <v>137</v>
      </c>
      <c r="H87" s="31">
        <v>9</v>
      </c>
      <c r="I87" s="31">
        <v>5</v>
      </c>
      <c r="J87" s="31" t="s">
        <v>204</v>
      </c>
      <c r="K87" s="31" cm="1">
        <f t="array" ref="K87">INT(SUMPRODUCT(--ISNUMBER(SEARCH(economy,C87)))&gt;0)</f>
        <v>0</v>
      </c>
      <c r="L87" s="31" cm="1">
        <f t="array" ref="L87">INT(SUMPRODUCT(--ISNUMBER(SEARCH(healthcare,C87)))&gt;0)</f>
        <v>0</v>
      </c>
      <c r="M87" s="31" cm="1">
        <f t="array" ref="M87">INT(SUMPRODUCT(--ISNUMBER(SEARCH(supreme,C87)))&gt;0)</f>
        <v>0</v>
      </c>
      <c r="N87" s="31" cm="1">
        <f t="array" ref="N87">INT(SUMPRODUCT(--ISNUMBER(SEARCH(covid,C87)))&gt;0)</f>
        <v>0</v>
      </c>
      <c r="O87" s="31" cm="1">
        <f t="array" ref="O87">INT(SUMPRODUCT(--ISNUMBER(SEARCH(violent,C87)))&gt;0)</f>
        <v>0</v>
      </c>
      <c r="P87" s="31" cm="1">
        <f t="array" ref="P87">INT(SUMPRODUCT(--ISNUMBER(SEARCH(foreign,C87)))&gt;0)</f>
        <v>0</v>
      </c>
      <c r="Q87" s="31" cm="1">
        <f t="array" ref="Q87">INT(SUMPRODUCT(--ISNUMBER(SEARCH(gun,C87)))&gt;0)</f>
        <v>0</v>
      </c>
      <c r="R87" s="31" cm="1">
        <f t="array" ref="R87">INT(SUMPRODUCT(--ISNUMBER(SEARCH(race,C87)))&gt;0)</f>
        <v>0</v>
      </c>
      <c r="S87" s="31" cm="1">
        <f t="array" ref="S87">INT(SUMPRODUCT(--ISNUMBER(SEARCH(immigration,C87)))&gt;0)</f>
        <v>0</v>
      </c>
      <c r="T87" s="31" cm="1">
        <f t="array" ref="T87">INT(SUMPRODUCT(--ISNUMBER(SEARCH(econineq,C88)))&gt;0)</f>
        <v>0</v>
      </c>
      <c r="U87" s="31" cm="1">
        <f t="array" ref="U87">INT(SUMPRODUCT(--ISNUMBER(SEARCH(climate,C87)))&gt;0)</f>
        <v>0</v>
      </c>
      <c r="V87" s="31" cm="1">
        <f t="array" ref="V87">INT(SUMPRODUCT(--ISNUMBER(SEARCH(abortion,C87)))&gt;0)</f>
        <v>0</v>
      </c>
      <c r="W87" s="31" cm="1">
        <f t="array" ref="W87">INT(SUMPRODUCT(--ISNUMBER(SEARCH(trump,C87)))&gt;0)</f>
        <v>0</v>
      </c>
      <c r="X87" s="31" cm="1">
        <f t="array" ref="X87">INT(SUMPRODUCT(--ISNUMBER(SEARCH(voting,C87)))&gt;0)</f>
        <v>1</v>
      </c>
      <c r="Y87" s="31" cm="1">
        <f t="array" ref="Y87">INT(SUMPRODUCT(--ISNUMBER(SEARCH(democrattrigger,C87)))&gt;0)</f>
        <v>0</v>
      </c>
      <c r="Z87" s="31" cm="1">
        <f t="array" ref="Z87">INT(SUMPRODUCT(--ISNUMBER(SEARCH(bipartisan,C87)))&gt;0)</f>
        <v>0</v>
      </c>
      <c r="AA87" s="31">
        <f t="shared" si="1"/>
        <v>0</v>
      </c>
      <c r="AB87" s="31"/>
      <c r="AC87" s="111">
        <v>0</v>
      </c>
      <c r="AD87" s="112">
        <v>1</v>
      </c>
    </row>
    <row r="88" spans="1:30" x14ac:dyDescent="0.25">
      <c r="A88" s="109">
        <v>1944</v>
      </c>
      <c r="B88" s="31" t="s">
        <v>3914</v>
      </c>
      <c r="C88" s="31" t="s">
        <v>3915</v>
      </c>
      <c r="D88" s="110">
        <v>44130</v>
      </c>
      <c r="E88" s="31" t="s">
        <v>30</v>
      </c>
      <c r="F88" s="31">
        <v>193</v>
      </c>
      <c r="G88" s="31">
        <v>69</v>
      </c>
      <c r="H88" s="31">
        <v>9</v>
      </c>
      <c r="I88" s="31">
        <v>5</v>
      </c>
      <c r="J88" s="31" t="s">
        <v>204</v>
      </c>
      <c r="K88" s="31" cm="1">
        <f t="array" ref="K88">INT(SUMPRODUCT(--ISNUMBER(SEARCH(economy,C88)))&gt;0)</f>
        <v>0</v>
      </c>
      <c r="L88" s="31" cm="1">
        <f t="array" ref="L88">INT(SUMPRODUCT(--ISNUMBER(SEARCH(healthcare,C88)))&gt;0)</f>
        <v>0</v>
      </c>
      <c r="M88" s="31" cm="1">
        <f t="array" ref="M88">INT(SUMPRODUCT(--ISNUMBER(SEARCH(supreme,C88)))&gt;0)</f>
        <v>1</v>
      </c>
      <c r="N88" s="31" cm="1">
        <f t="array" ref="N88">INT(SUMPRODUCT(--ISNUMBER(SEARCH(covid,C88)))&gt;0)</f>
        <v>0</v>
      </c>
      <c r="O88" s="31" cm="1">
        <f t="array" ref="O88">INT(SUMPRODUCT(--ISNUMBER(SEARCH(violent,C88)))&gt;0)</f>
        <v>0</v>
      </c>
      <c r="P88" s="31" cm="1">
        <f t="array" ref="P88">INT(SUMPRODUCT(--ISNUMBER(SEARCH(foreign,C88)))&gt;0)</f>
        <v>0</v>
      </c>
      <c r="Q88" s="31" cm="1">
        <f t="array" ref="Q88">INT(SUMPRODUCT(--ISNUMBER(SEARCH(gun,C88)))&gt;0)</f>
        <v>0</v>
      </c>
      <c r="R88" s="31" cm="1">
        <f t="array" ref="R88">INT(SUMPRODUCT(--ISNUMBER(SEARCH(race,C88)))&gt;0)</f>
        <v>0</v>
      </c>
      <c r="S88" s="31" cm="1">
        <f t="array" ref="S88">INT(SUMPRODUCT(--ISNUMBER(SEARCH(immigration,C88)))&gt;0)</f>
        <v>0</v>
      </c>
      <c r="T88" s="31" cm="1">
        <f t="array" ref="T88">INT(SUMPRODUCT(--ISNUMBER(SEARCH(econineq,C89)))&gt;0)</f>
        <v>0</v>
      </c>
      <c r="U88" s="31" cm="1">
        <f t="array" ref="U88">INT(SUMPRODUCT(--ISNUMBER(SEARCH(climate,C88)))&gt;0)</f>
        <v>0</v>
      </c>
      <c r="V88" s="31" cm="1">
        <f t="array" ref="V88">INT(SUMPRODUCT(--ISNUMBER(SEARCH(abortion,C88)))&gt;0)</f>
        <v>0</v>
      </c>
      <c r="W88" s="31" cm="1">
        <f t="array" ref="W88">INT(SUMPRODUCT(--ISNUMBER(SEARCH(trump,C88)))&gt;0)</f>
        <v>0</v>
      </c>
      <c r="X88" s="31" cm="1">
        <f t="array" ref="X88">INT(SUMPRODUCT(--ISNUMBER(SEARCH(voting,C88)))&gt;0)</f>
        <v>1</v>
      </c>
      <c r="Y88" s="31" cm="1">
        <f t="array" ref="Y88">INT(SUMPRODUCT(--ISNUMBER(SEARCH(democrattrigger,C88)))&gt;0)</f>
        <v>0</v>
      </c>
      <c r="Z88" s="31" cm="1">
        <f t="array" ref="Z88">INT(SUMPRODUCT(--ISNUMBER(SEARCH(bipartisan,C88)))&gt;0)</f>
        <v>0</v>
      </c>
      <c r="AA88" s="31">
        <f t="shared" si="1"/>
        <v>0</v>
      </c>
      <c r="AB88" s="31"/>
      <c r="AC88" s="111" t="s">
        <v>223</v>
      </c>
      <c r="AD88" s="112" t="s">
        <v>223</v>
      </c>
    </row>
    <row r="89" spans="1:30" x14ac:dyDescent="0.25">
      <c r="A89" s="109">
        <v>1945</v>
      </c>
      <c r="B89" s="31" t="s">
        <v>3916</v>
      </c>
      <c r="C89" s="31" t="s">
        <v>3917</v>
      </c>
      <c r="D89" s="110">
        <v>44130</v>
      </c>
      <c r="E89" s="31" t="s">
        <v>30</v>
      </c>
      <c r="F89" s="31">
        <v>240</v>
      </c>
      <c r="G89" s="31">
        <v>60</v>
      </c>
      <c r="H89" s="31">
        <v>9</v>
      </c>
      <c r="I89" s="31">
        <v>5</v>
      </c>
      <c r="J89" s="31" t="s">
        <v>204</v>
      </c>
      <c r="K89" s="31" cm="1">
        <f t="array" ref="K89">INT(SUMPRODUCT(--ISNUMBER(SEARCH(economy,C89)))&gt;0)</f>
        <v>0</v>
      </c>
      <c r="L89" s="31" cm="1">
        <f t="array" ref="L89">INT(SUMPRODUCT(--ISNUMBER(SEARCH(healthcare,C89)))&gt;0)</f>
        <v>0</v>
      </c>
      <c r="M89" s="31" cm="1">
        <f t="array" ref="M89">INT(SUMPRODUCT(--ISNUMBER(SEARCH(supreme,C89)))&gt;0)</f>
        <v>0</v>
      </c>
      <c r="N89" s="31" cm="1">
        <f t="array" ref="N89">INT(SUMPRODUCT(--ISNUMBER(SEARCH(covid,C89)))&gt;0)</f>
        <v>0</v>
      </c>
      <c r="O89" s="31" cm="1">
        <f t="array" ref="O89">INT(SUMPRODUCT(--ISNUMBER(SEARCH(violent,C89)))&gt;0)</f>
        <v>0</v>
      </c>
      <c r="P89" s="31" cm="1">
        <f t="array" ref="P89">INT(SUMPRODUCT(--ISNUMBER(SEARCH(foreign,C89)))&gt;0)</f>
        <v>0</v>
      </c>
      <c r="Q89" s="31" cm="1">
        <f t="array" ref="Q89">INT(SUMPRODUCT(--ISNUMBER(SEARCH(gun,C89)))&gt;0)</f>
        <v>0</v>
      </c>
      <c r="R89" s="31" cm="1">
        <f t="array" ref="R89">INT(SUMPRODUCT(--ISNUMBER(SEARCH(race,C89)))&gt;0)</f>
        <v>0</v>
      </c>
      <c r="S89" s="31" cm="1">
        <f t="array" ref="S89">INT(SUMPRODUCT(--ISNUMBER(SEARCH(immigration,C89)))&gt;0)</f>
        <v>0</v>
      </c>
      <c r="T89" s="31" cm="1">
        <f t="array" ref="T89">INT(SUMPRODUCT(--ISNUMBER(SEARCH(econineq,C90)))&gt;0)</f>
        <v>0</v>
      </c>
      <c r="U89" s="31" cm="1">
        <f t="array" ref="U89">INT(SUMPRODUCT(--ISNUMBER(SEARCH(climate,C89)))&gt;0)</f>
        <v>0</v>
      </c>
      <c r="V89" s="31" cm="1">
        <f t="array" ref="V89">INT(SUMPRODUCT(--ISNUMBER(SEARCH(abortion,C89)))&gt;0)</f>
        <v>0</v>
      </c>
      <c r="W89" s="31" cm="1">
        <f t="array" ref="W89">INT(SUMPRODUCT(--ISNUMBER(SEARCH(trump,C89)))&gt;0)</f>
        <v>0</v>
      </c>
      <c r="X89" s="31" cm="1">
        <f t="array" ref="X89">INT(SUMPRODUCT(--ISNUMBER(SEARCH(voting,C89)))&gt;0)</f>
        <v>1</v>
      </c>
      <c r="Y89" s="31" cm="1">
        <f t="array" ref="Y89">INT(SUMPRODUCT(--ISNUMBER(SEARCH(democrattrigger,C89)))&gt;0)</f>
        <v>0</v>
      </c>
      <c r="Z89" s="31" cm="1">
        <f t="array" ref="Z89">INT(SUMPRODUCT(--ISNUMBER(SEARCH(bipartisan,C89)))&gt;0)</f>
        <v>0</v>
      </c>
      <c r="AA89" s="31">
        <f t="shared" si="1"/>
        <v>0</v>
      </c>
      <c r="AB89" s="31"/>
      <c r="AC89" s="111">
        <v>1</v>
      </c>
      <c r="AD89" s="112">
        <v>0</v>
      </c>
    </row>
    <row r="90" spans="1:30" x14ac:dyDescent="0.25">
      <c r="A90" s="109">
        <v>1946</v>
      </c>
      <c r="B90" s="31" t="s">
        <v>3918</v>
      </c>
      <c r="C90" s="31" t="s">
        <v>3919</v>
      </c>
      <c r="D90" s="110">
        <v>44130</v>
      </c>
      <c r="E90" s="31" t="s">
        <v>30</v>
      </c>
      <c r="F90" s="31">
        <v>190</v>
      </c>
      <c r="G90" s="31">
        <v>60</v>
      </c>
      <c r="H90" s="31">
        <v>9</v>
      </c>
      <c r="I90" s="31">
        <v>5</v>
      </c>
      <c r="J90" s="31" t="s">
        <v>204</v>
      </c>
      <c r="K90" s="31" cm="1">
        <f t="array" ref="K90">INT(SUMPRODUCT(--ISNUMBER(SEARCH(economy,C90)))&gt;0)</f>
        <v>0</v>
      </c>
      <c r="L90" s="31" cm="1">
        <f t="array" ref="L90">INT(SUMPRODUCT(--ISNUMBER(SEARCH(healthcare,C90)))&gt;0)</f>
        <v>0</v>
      </c>
      <c r="M90" s="31" cm="1">
        <f t="array" ref="M90">INT(SUMPRODUCT(--ISNUMBER(SEARCH(supreme,C90)))&gt;0)</f>
        <v>0</v>
      </c>
      <c r="N90" s="31" cm="1">
        <f t="array" ref="N90">INT(SUMPRODUCT(--ISNUMBER(SEARCH(covid,C90)))&gt;0)</f>
        <v>0</v>
      </c>
      <c r="O90" s="31" cm="1">
        <f t="array" ref="O90">INT(SUMPRODUCT(--ISNUMBER(SEARCH(violent,C90)))&gt;0)</f>
        <v>0</v>
      </c>
      <c r="P90" s="31" cm="1">
        <f t="array" ref="P90">INT(SUMPRODUCT(--ISNUMBER(SEARCH(foreign,C90)))&gt;0)</f>
        <v>0</v>
      </c>
      <c r="Q90" s="31" cm="1">
        <f t="array" ref="Q90">INT(SUMPRODUCT(--ISNUMBER(SEARCH(gun,C90)))&gt;0)</f>
        <v>0</v>
      </c>
      <c r="R90" s="31" cm="1">
        <f t="array" ref="R90">INT(SUMPRODUCT(--ISNUMBER(SEARCH(race,C90)))&gt;0)</f>
        <v>0</v>
      </c>
      <c r="S90" s="31" cm="1">
        <f t="array" ref="S90">INT(SUMPRODUCT(--ISNUMBER(SEARCH(immigration,C90)))&gt;0)</f>
        <v>0</v>
      </c>
      <c r="T90" s="31" cm="1">
        <f t="array" ref="T90">INT(SUMPRODUCT(--ISNUMBER(SEARCH(econineq,C91)))&gt;0)</f>
        <v>0</v>
      </c>
      <c r="U90" s="31" cm="1">
        <f t="array" ref="U90">INT(SUMPRODUCT(--ISNUMBER(SEARCH(climate,C90)))&gt;0)</f>
        <v>0</v>
      </c>
      <c r="V90" s="31" cm="1">
        <f t="array" ref="V90">INT(SUMPRODUCT(--ISNUMBER(SEARCH(abortion,C90)))&gt;0)</f>
        <v>0</v>
      </c>
      <c r="W90" s="31" cm="1">
        <f t="array" ref="W90">INT(SUMPRODUCT(--ISNUMBER(SEARCH(trump,C90)))&gt;0)</f>
        <v>0</v>
      </c>
      <c r="X90" s="31" cm="1">
        <f t="array" ref="X90">INT(SUMPRODUCT(--ISNUMBER(SEARCH(voting,C90)))&gt;0)</f>
        <v>1</v>
      </c>
      <c r="Y90" s="31" cm="1">
        <f t="array" ref="Y90">INT(SUMPRODUCT(--ISNUMBER(SEARCH(democrattrigger,C90)))&gt;0)</f>
        <v>0</v>
      </c>
      <c r="Z90" s="31" cm="1">
        <f t="array" ref="Z90">INT(SUMPRODUCT(--ISNUMBER(SEARCH(bipartisan,C90)))&gt;0)</f>
        <v>0</v>
      </c>
      <c r="AA90" s="31">
        <f t="shared" si="1"/>
        <v>0</v>
      </c>
      <c r="AB90" s="31"/>
      <c r="AC90" s="111">
        <v>0</v>
      </c>
      <c r="AD90" s="112">
        <v>1</v>
      </c>
    </row>
    <row r="91" spans="1:30" x14ac:dyDescent="0.25">
      <c r="A91" s="109">
        <v>1947</v>
      </c>
      <c r="B91" s="31" t="s">
        <v>3920</v>
      </c>
      <c r="C91" s="31" t="s">
        <v>3921</v>
      </c>
      <c r="D91" s="110">
        <v>44129</v>
      </c>
      <c r="E91" s="31" t="s">
        <v>30</v>
      </c>
      <c r="F91" s="31">
        <v>316</v>
      </c>
      <c r="G91" s="31">
        <v>105</v>
      </c>
      <c r="H91" s="31">
        <v>9</v>
      </c>
      <c r="I91" s="31">
        <v>5</v>
      </c>
      <c r="J91" s="31" t="s">
        <v>204</v>
      </c>
      <c r="K91" s="31" cm="1">
        <f t="array" ref="K91">INT(SUMPRODUCT(--ISNUMBER(SEARCH(economy,C91)))&gt;0)</f>
        <v>0</v>
      </c>
      <c r="L91" s="31" cm="1">
        <f t="array" ref="L91">INT(SUMPRODUCT(--ISNUMBER(SEARCH(healthcare,C91)))&gt;0)</f>
        <v>0</v>
      </c>
      <c r="M91" s="31" cm="1">
        <f t="array" ref="M91">INT(SUMPRODUCT(--ISNUMBER(SEARCH(supreme,C91)))&gt;0)</f>
        <v>0</v>
      </c>
      <c r="N91" s="31" cm="1">
        <f t="array" ref="N91">INT(SUMPRODUCT(--ISNUMBER(SEARCH(covid,C91)))&gt;0)</f>
        <v>0</v>
      </c>
      <c r="O91" s="31" cm="1">
        <f t="array" ref="O91">INT(SUMPRODUCT(--ISNUMBER(SEARCH(violent,C91)))&gt;0)</f>
        <v>0</v>
      </c>
      <c r="P91" s="31" cm="1">
        <f t="array" ref="P91">INT(SUMPRODUCT(--ISNUMBER(SEARCH(foreign,C91)))&gt;0)</f>
        <v>0</v>
      </c>
      <c r="Q91" s="31" cm="1">
        <f t="array" ref="Q91">INT(SUMPRODUCT(--ISNUMBER(SEARCH(gun,C91)))&gt;0)</f>
        <v>0</v>
      </c>
      <c r="R91" s="31" cm="1">
        <f t="array" ref="R91">INT(SUMPRODUCT(--ISNUMBER(SEARCH(race,C91)))&gt;0)</f>
        <v>0</v>
      </c>
      <c r="S91" s="31" cm="1">
        <f t="array" ref="S91">INT(SUMPRODUCT(--ISNUMBER(SEARCH(immigration,C91)))&gt;0)</f>
        <v>0</v>
      </c>
      <c r="T91" s="31" cm="1">
        <f t="array" ref="T91">INT(SUMPRODUCT(--ISNUMBER(SEARCH(econineq,C92)))&gt;0)</f>
        <v>0</v>
      </c>
      <c r="U91" s="31" cm="1">
        <f t="array" ref="U91">INT(SUMPRODUCT(--ISNUMBER(SEARCH(climate,C91)))&gt;0)</f>
        <v>0</v>
      </c>
      <c r="V91" s="31" cm="1">
        <f t="array" ref="V91">INT(SUMPRODUCT(--ISNUMBER(SEARCH(abortion,C91)))&gt;0)</f>
        <v>0</v>
      </c>
      <c r="W91" s="31" cm="1">
        <f t="array" ref="W91">INT(SUMPRODUCT(--ISNUMBER(SEARCH(trump,C91)))&gt;0)</f>
        <v>0</v>
      </c>
      <c r="X91" s="31" cm="1">
        <f t="array" ref="X91">INT(SUMPRODUCT(--ISNUMBER(SEARCH(voting,C91)))&gt;0)</f>
        <v>1</v>
      </c>
      <c r="Y91" s="31" cm="1">
        <f t="array" ref="Y91">INT(SUMPRODUCT(--ISNUMBER(SEARCH(democrattrigger,C91)))&gt;0)</f>
        <v>0</v>
      </c>
      <c r="Z91" s="31" cm="1">
        <f t="array" ref="Z91">INT(SUMPRODUCT(--ISNUMBER(SEARCH(bipartisan,C91)))&gt;0)</f>
        <v>0</v>
      </c>
      <c r="AA91" s="31">
        <f t="shared" si="1"/>
        <v>0</v>
      </c>
      <c r="AB91" s="31"/>
      <c r="AC91" s="111">
        <v>0</v>
      </c>
      <c r="AD91" s="112">
        <v>1</v>
      </c>
    </row>
    <row r="92" spans="1:30" x14ac:dyDescent="0.25">
      <c r="A92" s="109">
        <v>1948</v>
      </c>
      <c r="B92" s="31" t="s">
        <v>3922</v>
      </c>
      <c r="C92" s="31" t="s">
        <v>3923</v>
      </c>
      <c r="D92" s="110">
        <v>44129</v>
      </c>
      <c r="E92" s="31" t="s">
        <v>30</v>
      </c>
      <c r="F92" s="31">
        <v>912</v>
      </c>
      <c r="G92" s="31">
        <v>173</v>
      </c>
      <c r="H92" s="31">
        <v>9</v>
      </c>
      <c r="I92" s="31">
        <v>5</v>
      </c>
      <c r="J92" s="31" t="s">
        <v>204</v>
      </c>
      <c r="K92" s="31" cm="1">
        <f t="array" ref="K92">INT(SUMPRODUCT(--ISNUMBER(SEARCH(economy,C92)))&gt;0)</f>
        <v>0</v>
      </c>
      <c r="L92" s="31" cm="1">
        <f t="array" ref="L92">INT(SUMPRODUCT(--ISNUMBER(SEARCH(healthcare,C92)))&gt;0)</f>
        <v>0</v>
      </c>
      <c r="M92" s="31" cm="1">
        <f t="array" ref="M92">INT(SUMPRODUCT(--ISNUMBER(SEARCH(supreme,C92)))&gt;0)</f>
        <v>0</v>
      </c>
      <c r="N92" s="31" cm="1">
        <f t="array" ref="N92">INT(SUMPRODUCT(--ISNUMBER(SEARCH(covid,C92)))&gt;0)</f>
        <v>0</v>
      </c>
      <c r="O92" s="31" cm="1">
        <f t="array" ref="O92">INT(SUMPRODUCT(--ISNUMBER(SEARCH(violent,C92)))&gt;0)</f>
        <v>0</v>
      </c>
      <c r="P92" s="31" cm="1">
        <f t="array" ref="P92">INT(SUMPRODUCT(--ISNUMBER(SEARCH(foreign,C92)))&gt;0)</f>
        <v>0</v>
      </c>
      <c r="Q92" s="31" cm="1">
        <f t="array" ref="Q92">INT(SUMPRODUCT(--ISNUMBER(SEARCH(gun,C92)))&gt;0)</f>
        <v>0</v>
      </c>
      <c r="R92" s="31" cm="1">
        <f t="array" ref="R92">INT(SUMPRODUCT(--ISNUMBER(SEARCH(race,C92)))&gt;0)</f>
        <v>0</v>
      </c>
      <c r="S92" s="31" cm="1">
        <f t="array" ref="S92">INT(SUMPRODUCT(--ISNUMBER(SEARCH(immigration,C92)))&gt;0)</f>
        <v>0</v>
      </c>
      <c r="T92" s="31" cm="1">
        <f t="array" ref="T92">INT(SUMPRODUCT(--ISNUMBER(SEARCH(econineq,C93)))&gt;0)</f>
        <v>0</v>
      </c>
      <c r="U92" s="31" cm="1">
        <f t="array" ref="U92">INT(SUMPRODUCT(--ISNUMBER(SEARCH(climate,C92)))&gt;0)</f>
        <v>0</v>
      </c>
      <c r="V92" s="31" cm="1">
        <f t="array" ref="V92">INT(SUMPRODUCT(--ISNUMBER(SEARCH(abortion,C92)))&gt;0)</f>
        <v>0</v>
      </c>
      <c r="W92" s="31" cm="1">
        <f t="array" ref="W92">INT(SUMPRODUCT(--ISNUMBER(SEARCH(trump,C92)))&gt;0)</f>
        <v>0</v>
      </c>
      <c r="X92" s="31" cm="1">
        <f t="array" ref="X92">INT(SUMPRODUCT(--ISNUMBER(SEARCH(voting,C92)))&gt;0)</f>
        <v>1</v>
      </c>
      <c r="Y92" s="31" cm="1">
        <f t="array" ref="Y92">INT(SUMPRODUCT(--ISNUMBER(SEARCH(democrattrigger,C92)))&gt;0)</f>
        <v>0</v>
      </c>
      <c r="Z92" s="31" cm="1">
        <f t="array" ref="Z92">INT(SUMPRODUCT(--ISNUMBER(SEARCH(bipartisan,C92)))&gt;0)</f>
        <v>0</v>
      </c>
      <c r="AA92" s="31">
        <f t="shared" si="1"/>
        <v>0</v>
      </c>
      <c r="AB92" s="31"/>
      <c r="AC92" s="111" t="s">
        <v>223</v>
      </c>
      <c r="AD92" s="112" t="s">
        <v>223</v>
      </c>
    </row>
    <row r="93" spans="1:30" x14ac:dyDescent="0.25">
      <c r="A93" s="109">
        <v>1949</v>
      </c>
      <c r="B93" s="31" t="s">
        <v>3924</v>
      </c>
      <c r="C93" s="31" t="s">
        <v>3925</v>
      </c>
      <c r="D93" s="110">
        <v>44129</v>
      </c>
      <c r="E93" s="31" t="s">
        <v>30</v>
      </c>
      <c r="F93" s="31">
        <v>333</v>
      </c>
      <c r="G93" s="31">
        <v>113</v>
      </c>
      <c r="H93" s="31">
        <v>9</v>
      </c>
      <c r="I93" s="31">
        <v>5</v>
      </c>
      <c r="J93" s="31" t="s">
        <v>204</v>
      </c>
      <c r="K93" s="31" cm="1">
        <f t="array" ref="K93">INT(SUMPRODUCT(--ISNUMBER(SEARCH(economy,C93)))&gt;0)</f>
        <v>0</v>
      </c>
      <c r="L93" s="31" cm="1">
        <f t="array" ref="L93">INT(SUMPRODUCT(--ISNUMBER(SEARCH(healthcare,C93)))&gt;0)</f>
        <v>0</v>
      </c>
      <c r="M93" s="31" cm="1">
        <f t="array" ref="M93">INT(SUMPRODUCT(--ISNUMBER(SEARCH(supreme,C93)))&gt;0)</f>
        <v>0</v>
      </c>
      <c r="N93" s="31" cm="1">
        <f t="array" ref="N93">INT(SUMPRODUCT(--ISNUMBER(SEARCH(covid,C93)))&gt;0)</f>
        <v>0</v>
      </c>
      <c r="O93" s="31" cm="1">
        <f t="array" ref="O93">INT(SUMPRODUCT(--ISNUMBER(SEARCH(violent,C93)))&gt;0)</f>
        <v>0</v>
      </c>
      <c r="P93" s="31" cm="1">
        <f t="array" ref="P93">INT(SUMPRODUCT(--ISNUMBER(SEARCH(foreign,C93)))&gt;0)</f>
        <v>0</v>
      </c>
      <c r="Q93" s="31" cm="1">
        <f t="array" ref="Q93">INT(SUMPRODUCT(--ISNUMBER(SEARCH(gun,C93)))&gt;0)</f>
        <v>0</v>
      </c>
      <c r="R93" s="31" cm="1">
        <f t="array" ref="R93">INT(SUMPRODUCT(--ISNUMBER(SEARCH(race,C93)))&gt;0)</f>
        <v>0</v>
      </c>
      <c r="S93" s="31" cm="1">
        <f t="array" ref="S93">INT(SUMPRODUCT(--ISNUMBER(SEARCH(immigration,C93)))&gt;0)</f>
        <v>0</v>
      </c>
      <c r="T93" s="31" cm="1">
        <f t="array" ref="T93">INT(SUMPRODUCT(--ISNUMBER(SEARCH(econineq,C94)))&gt;0)</f>
        <v>0</v>
      </c>
      <c r="U93" s="31" cm="1">
        <f t="array" ref="U93">INT(SUMPRODUCT(--ISNUMBER(SEARCH(climate,C93)))&gt;0)</f>
        <v>0</v>
      </c>
      <c r="V93" s="31" cm="1">
        <f t="array" ref="V93">INT(SUMPRODUCT(--ISNUMBER(SEARCH(abortion,C93)))&gt;0)</f>
        <v>0</v>
      </c>
      <c r="W93" s="31" cm="1">
        <f t="array" ref="W93">INT(SUMPRODUCT(--ISNUMBER(SEARCH(trump,C93)))&gt;0)</f>
        <v>0</v>
      </c>
      <c r="X93" s="31" cm="1">
        <f t="array" ref="X93">INT(SUMPRODUCT(--ISNUMBER(SEARCH(voting,C93)))&gt;0)</f>
        <v>1</v>
      </c>
      <c r="Y93" s="31" cm="1">
        <f t="array" ref="Y93">INT(SUMPRODUCT(--ISNUMBER(SEARCH(democrattrigger,C93)))&gt;0)</f>
        <v>0</v>
      </c>
      <c r="Z93" s="31" cm="1">
        <f t="array" ref="Z93">INT(SUMPRODUCT(--ISNUMBER(SEARCH(bipartisan,C93)))&gt;0)</f>
        <v>0</v>
      </c>
      <c r="AA93" s="31">
        <f t="shared" si="1"/>
        <v>0</v>
      </c>
      <c r="AB93" s="31"/>
      <c r="AC93" s="111">
        <v>0</v>
      </c>
      <c r="AD93" s="112">
        <v>1</v>
      </c>
    </row>
    <row r="94" spans="1:30" x14ac:dyDescent="0.25">
      <c r="A94" s="109">
        <v>1950</v>
      </c>
      <c r="B94" s="31" t="s">
        <v>3926</v>
      </c>
      <c r="C94" s="31" t="s">
        <v>3927</v>
      </c>
      <c r="D94" s="110">
        <v>44129</v>
      </c>
      <c r="E94" s="31" t="s">
        <v>30</v>
      </c>
      <c r="F94" s="31">
        <v>172</v>
      </c>
      <c r="G94" s="31">
        <v>53</v>
      </c>
      <c r="H94" s="31">
        <v>9</v>
      </c>
      <c r="I94" s="31">
        <v>5</v>
      </c>
      <c r="J94" s="31" t="s">
        <v>204</v>
      </c>
      <c r="K94" s="31" cm="1">
        <f t="array" ref="K94">INT(SUMPRODUCT(--ISNUMBER(SEARCH(economy,C94)))&gt;0)</f>
        <v>0</v>
      </c>
      <c r="L94" s="31" cm="1">
        <f t="array" ref="L94">INT(SUMPRODUCT(--ISNUMBER(SEARCH(healthcare,C94)))&gt;0)</f>
        <v>0</v>
      </c>
      <c r="M94" s="31" cm="1">
        <f t="array" ref="M94">INT(SUMPRODUCT(--ISNUMBER(SEARCH(supreme,C94)))&gt;0)</f>
        <v>0</v>
      </c>
      <c r="N94" s="31" cm="1">
        <f t="array" ref="N94">INT(SUMPRODUCT(--ISNUMBER(SEARCH(covid,C94)))&gt;0)</f>
        <v>0</v>
      </c>
      <c r="O94" s="31" cm="1">
        <f t="array" ref="O94">INT(SUMPRODUCT(--ISNUMBER(SEARCH(violent,C94)))&gt;0)</f>
        <v>0</v>
      </c>
      <c r="P94" s="31" cm="1">
        <f t="array" ref="P94">INT(SUMPRODUCT(--ISNUMBER(SEARCH(foreign,C94)))&gt;0)</f>
        <v>0</v>
      </c>
      <c r="Q94" s="31" cm="1">
        <f t="array" ref="Q94">INT(SUMPRODUCT(--ISNUMBER(SEARCH(gun,C94)))&gt;0)</f>
        <v>0</v>
      </c>
      <c r="R94" s="31" cm="1">
        <f t="array" ref="R94">INT(SUMPRODUCT(--ISNUMBER(SEARCH(race,C94)))&gt;0)</f>
        <v>0</v>
      </c>
      <c r="S94" s="31" cm="1">
        <f t="array" ref="S94">INT(SUMPRODUCT(--ISNUMBER(SEARCH(immigration,C94)))&gt;0)</f>
        <v>0</v>
      </c>
      <c r="T94" s="31" cm="1">
        <f t="array" ref="T94">INT(SUMPRODUCT(--ISNUMBER(SEARCH(econineq,C95)))&gt;0)</f>
        <v>0</v>
      </c>
      <c r="U94" s="31" cm="1">
        <f t="array" ref="U94">INT(SUMPRODUCT(--ISNUMBER(SEARCH(climate,C94)))&gt;0)</f>
        <v>1</v>
      </c>
      <c r="V94" s="31" cm="1">
        <f t="array" ref="V94">INT(SUMPRODUCT(--ISNUMBER(SEARCH(abortion,C94)))&gt;0)</f>
        <v>0</v>
      </c>
      <c r="W94" s="31" cm="1">
        <f t="array" ref="W94">INT(SUMPRODUCT(--ISNUMBER(SEARCH(trump,C94)))&gt;0)</f>
        <v>0</v>
      </c>
      <c r="X94" s="31" cm="1">
        <f t="array" ref="X94">INT(SUMPRODUCT(--ISNUMBER(SEARCH(voting,C94)))&gt;0)</f>
        <v>1</v>
      </c>
      <c r="Y94" s="31" cm="1">
        <f t="array" ref="Y94">INT(SUMPRODUCT(--ISNUMBER(SEARCH(democrattrigger,C94)))&gt;0)</f>
        <v>0</v>
      </c>
      <c r="Z94" s="31" cm="1">
        <f t="array" ref="Z94">INT(SUMPRODUCT(--ISNUMBER(SEARCH(bipartisan,C94)))&gt;0)</f>
        <v>0</v>
      </c>
      <c r="AA94" s="31">
        <f t="shared" si="1"/>
        <v>0</v>
      </c>
      <c r="AB94" s="31"/>
      <c r="AC94" s="111">
        <v>1</v>
      </c>
      <c r="AD94" s="112">
        <v>0</v>
      </c>
    </row>
    <row r="95" spans="1:30" x14ac:dyDescent="0.25">
      <c r="A95" s="109">
        <v>1951</v>
      </c>
      <c r="B95" s="31" t="s">
        <v>3928</v>
      </c>
      <c r="C95" s="31" t="s">
        <v>3929</v>
      </c>
      <c r="D95" s="110">
        <v>44129</v>
      </c>
      <c r="E95" s="31" t="s">
        <v>30</v>
      </c>
      <c r="F95" s="31">
        <v>130</v>
      </c>
      <c r="G95" s="31">
        <v>49</v>
      </c>
      <c r="H95" s="31">
        <v>9</v>
      </c>
      <c r="I95" s="31">
        <v>5</v>
      </c>
      <c r="J95" s="31" t="s">
        <v>204</v>
      </c>
      <c r="K95" s="31" cm="1">
        <f t="array" ref="K95">INT(SUMPRODUCT(--ISNUMBER(SEARCH(economy,C95)))&gt;0)</f>
        <v>0</v>
      </c>
      <c r="L95" s="31" cm="1">
        <f t="array" ref="L95">INT(SUMPRODUCT(--ISNUMBER(SEARCH(healthcare,C95)))&gt;0)</f>
        <v>0</v>
      </c>
      <c r="M95" s="31" cm="1">
        <f t="array" ref="M95">INT(SUMPRODUCT(--ISNUMBER(SEARCH(supreme,C95)))&gt;0)</f>
        <v>0</v>
      </c>
      <c r="N95" s="31" cm="1">
        <f t="array" ref="N95">INT(SUMPRODUCT(--ISNUMBER(SEARCH(covid,C95)))&gt;0)</f>
        <v>0</v>
      </c>
      <c r="O95" s="31" cm="1">
        <f t="array" ref="O95">INT(SUMPRODUCT(--ISNUMBER(SEARCH(violent,C95)))&gt;0)</f>
        <v>0</v>
      </c>
      <c r="P95" s="31" cm="1">
        <f t="array" ref="P95">INT(SUMPRODUCT(--ISNUMBER(SEARCH(foreign,C95)))&gt;0)</f>
        <v>0</v>
      </c>
      <c r="Q95" s="31" cm="1">
        <f t="array" ref="Q95">INT(SUMPRODUCT(--ISNUMBER(SEARCH(gun,C95)))&gt;0)</f>
        <v>0</v>
      </c>
      <c r="R95" s="31" cm="1">
        <f t="array" ref="R95">INT(SUMPRODUCT(--ISNUMBER(SEARCH(race,C95)))&gt;0)</f>
        <v>0</v>
      </c>
      <c r="S95" s="31" cm="1">
        <f t="array" ref="S95">INT(SUMPRODUCT(--ISNUMBER(SEARCH(immigration,C95)))&gt;0)</f>
        <v>0</v>
      </c>
      <c r="T95" s="31" cm="1">
        <f t="array" ref="T95">INT(SUMPRODUCT(--ISNUMBER(SEARCH(econineq,C96)))&gt;0)</f>
        <v>0</v>
      </c>
      <c r="U95" s="31" cm="1">
        <f t="array" ref="U95">INT(SUMPRODUCT(--ISNUMBER(SEARCH(climate,C95)))&gt;0)</f>
        <v>0</v>
      </c>
      <c r="V95" s="31" cm="1">
        <f t="array" ref="V95">INT(SUMPRODUCT(--ISNUMBER(SEARCH(abortion,C95)))&gt;0)</f>
        <v>0</v>
      </c>
      <c r="W95" s="31" cm="1">
        <f t="array" ref="W95">INT(SUMPRODUCT(--ISNUMBER(SEARCH(trump,C95)))&gt;0)</f>
        <v>0</v>
      </c>
      <c r="X95" s="31" cm="1">
        <f t="array" ref="X95">INT(SUMPRODUCT(--ISNUMBER(SEARCH(voting,C95)))&gt;0)</f>
        <v>1</v>
      </c>
      <c r="Y95" s="31" cm="1">
        <f t="array" ref="Y95">INT(SUMPRODUCT(--ISNUMBER(SEARCH(democrattrigger,C95)))&gt;0)</f>
        <v>0</v>
      </c>
      <c r="Z95" s="31" cm="1">
        <f t="array" ref="Z95">INT(SUMPRODUCT(--ISNUMBER(SEARCH(bipartisan,C95)))&gt;0)</f>
        <v>0</v>
      </c>
      <c r="AA95" s="31">
        <f t="shared" si="1"/>
        <v>0</v>
      </c>
      <c r="AB95" s="31"/>
      <c r="AC95" s="111">
        <v>0</v>
      </c>
      <c r="AD95" s="112">
        <v>1</v>
      </c>
    </row>
    <row r="96" spans="1:30" x14ac:dyDescent="0.25">
      <c r="A96" s="109">
        <v>1952</v>
      </c>
      <c r="B96" s="31" t="s">
        <v>3930</v>
      </c>
      <c r="C96" s="31" t="s">
        <v>3931</v>
      </c>
      <c r="D96" s="110">
        <v>44129</v>
      </c>
      <c r="E96" s="31" t="s">
        <v>30</v>
      </c>
      <c r="F96" s="31">
        <v>389</v>
      </c>
      <c r="G96" s="31">
        <v>102</v>
      </c>
      <c r="H96" s="31">
        <v>9</v>
      </c>
      <c r="I96" s="31">
        <v>5</v>
      </c>
      <c r="J96" s="31" t="s">
        <v>204</v>
      </c>
      <c r="K96" s="31" cm="1">
        <f t="array" ref="K96">INT(SUMPRODUCT(--ISNUMBER(SEARCH(economy,C96)))&gt;0)</f>
        <v>0</v>
      </c>
      <c r="L96" s="31" cm="1">
        <f t="array" ref="L96">INT(SUMPRODUCT(--ISNUMBER(SEARCH(healthcare,C96)))&gt;0)</f>
        <v>0</v>
      </c>
      <c r="M96" s="31" cm="1">
        <f t="array" ref="M96">INT(SUMPRODUCT(--ISNUMBER(SEARCH(supreme,C96)))&gt;0)</f>
        <v>0</v>
      </c>
      <c r="N96" s="31" cm="1">
        <f t="array" ref="N96">INT(SUMPRODUCT(--ISNUMBER(SEARCH(covid,C96)))&gt;0)</f>
        <v>0</v>
      </c>
      <c r="O96" s="31" cm="1">
        <f t="array" ref="O96">INT(SUMPRODUCT(--ISNUMBER(SEARCH(violent,C96)))&gt;0)</f>
        <v>0</v>
      </c>
      <c r="P96" s="31" cm="1">
        <f t="array" ref="P96">INT(SUMPRODUCT(--ISNUMBER(SEARCH(foreign,C96)))&gt;0)</f>
        <v>0</v>
      </c>
      <c r="Q96" s="31" cm="1">
        <f t="array" ref="Q96">INT(SUMPRODUCT(--ISNUMBER(SEARCH(gun,C96)))&gt;0)</f>
        <v>0</v>
      </c>
      <c r="R96" s="31" cm="1">
        <f t="array" ref="R96">INT(SUMPRODUCT(--ISNUMBER(SEARCH(race,C96)))&gt;0)</f>
        <v>0</v>
      </c>
      <c r="S96" s="31" cm="1">
        <f t="array" ref="S96">INT(SUMPRODUCT(--ISNUMBER(SEARCH(immigration,C96)))&gt;0)</f>
        <v>0</v>
      </c>
      <c r="T96" s="31" cm="1">
        <f t="array" ref="T96">INT(SUMPRODUCT(--ISNUMBER(SEARCH(econineq,C97)))&gt;0)</f>
        <v>0</v>
      </c>
      <c r="U96" s="31" cm="1">
        <f t="array" ref="U96">INT(SUMPRODUCT(--ISNUMBER(SEARCH(climate,C96)))&gt;0)</f>
        <v>0</v>
      </c>
      <c r="V96" s="31" cm="1">
        <f t="array" ref="V96">INT(SUMPRODUCT(--ISNUMBER(SEARCH(abortion,C96)))&gt;0)</f>
        <v>0</v>
      </c>
      <c r="W96" s="31" cm="1">
        <f t="array" ref="W96">INT(SUMPRODUCT(--ISNUMBER(SEARCH(trump,C96)))&gt;0)</f>
        <v>0</v>
      </c>
      <c r="X96" s="31" cm="1">
        <f t="array" ref="X96">INT(SUMPRODUCT(--ISNUMBER(SEARCH(voting,C96)))&gt;0)</f>
        <v>1</v>
      </c>
      <c r="Y96" s="31" cm="1">
        <f t="array" ref="Y96">INT(SUMPRODUCT(--ISNUMBER(SEARCH(democrattrigger,C96)))&gt;0)</f>
        <v>0</v>
      </c>
      <c r="Z96" s="31" cm="1">
        <f t="array" ref="Z96">INT(SUMPRODUCT(--ISNUMBER(SEARCH(bipartisan,C96)))&gt;0)</f>
        <v>0</v>
      </c>
      <c r="AA96" s="31">
        <f t="shared" si="1"/>
        <v>0</v>
      </c>
      <c r="AB96" s="31"/>
      <c r="AC96" s="111">
        <v>1</v>
      </c>
      <c r="AD96" s="112">
        <v>0</v>
      </c>
    </row>
    <row r="97" spans="1:30" x14ac:dyDescent="0.25">
      <c r="A97" s="109">
        <v>1953</v>
      </c>
      <c r="B97" s="31" t="s">
        <v>3932</v>
      </c>
      <c r="C97" s="31" t="s">
        <v>3933</v>
      </c>
      <c r="D97" s="110">
        <v>44129</v>
      </c>
      <c r="E97" s="31" t="s">
        <v>30</v>
      </c>
      <c r="F97" s="31">
        <v>1650</v>
      </c>
      <c r="G97" s="31">
        <v>267</v>
      </c>
      <c r="H97" s="31">
        <v>9</v>
      </c>
      <c r="I97" s="31">
        <v>5</v>
      </c>
      <c r="J97" s="31" t="s">
        <v>204</v>
      </c>
      <c r="K97" s="31" cm="1">
        <f t="array" ref="K97">INT(SUMPRODUCT(--ISNUMBER(SEARCH(economy,C97)))&gt;0)</f>
        <v>0</v>
      </c>
      <c r="L97" s="31" cm="1">
        <f t="array" ref="L97">INT(SUMPRODUCT(--ISNUMBER(SEARCH(healthcare,C97)))&gt;0)</f>
        <v>0</v>
      </c>
      <c r="M97" s="31" cm="1">
        <f t="array" ref="M97">INT(SUMPRODUCT(--ISNUMBER(SEARCH(supreme,C97)))&gt;0)</f>
        <v>0</v>
      </c>
      <c r="N97" s="31" cm="1">
        <f t="array" ref="N97">INT(SUMPRODUCT(--ISNUMBER(SEARCH(covid,C97)))&gt;0)</f>
        <v>0</v>
      </c>
      <c r="O97" s="31" cm="1">
        <f t="array" ref="O97">INT(SUMPRODUCT(--ISNUMBER(SEARCH(violent,C97)))&gt;0)</f>
        <v>0</v>
      </c>
      <c r="P97" s="31" cm="1">
        <f t="array" ref="P97">INT(SUMPRODUCT(--ISNUMBER(SEARCH(foreign,C97)))&gt;0)</f>
        <v>0</v>
      </c>
      <c r="Q97" s="31" cm="1">
        <f t="array" ref="Q97">INT(SUMPRODUCT(--ISNUMBER(SEARCH(gun,C97)))&gt;0)</f>
        <v>0</v>
      </c>
      <c r="R97" s="31" cm="1">
        <f t="array" ref="R97">INT(SUMPRODUCT(--ISNUMBER(SEARCH(race,C97)))&gt;0)</f>
        <v>0</v>
      </c>
      <c r="S97" s="31" cm="1">
        <f t="array" ref="S97">INT(SUMPRODUCT(--ISNUMBER(SEARCH(immigration,C97)))&gt;0)</f>
        <v>0</v>
      </c>
      <c r="T97" s="31" cm="1">
        <f t="array" ref="T97">INT(SUMPRODUCT(--ISNUMBER(SEARCH(econineq,C98)))&gt;0)</f>
        <v>0</v>
      </c>
      <c r="U97" s="31" cm="1">
        <f t="array" ref="U97">INT(SUMPRODUCT(--ISNUMBER(SEARCH(climate,C97)))&gt;0)</f>
        <v>0</v>
      </c>
      <c r="V97" s="31" cm="1">
        <f t="array" ref="V97">INT(SUMPRODUCT(--ISNUMBER(SEARCH(abortion,C97)))&gt;0)</f>
        <v>0</v>
      </c>
      <c r="W97" s="31" cm="1">
        <f t="array" ref="W97">INT(SUMPRODUCT(--ISNUMBER(SEARCH(trump,C97)))&gt;0)</f>
        <v>0</v>
      </c>
      <c r="X97" s="31" cm="1">
        <f t="array" ref="X97">INT(SUMPRODUCT(--ISNUMBER(SEARCH(voting,C97)))&gt;0)</f>
        <v>0</v>
      </c>
      <c r="Y97" s="31" cm="1">
        <f t="array" ref="Y97">INT(SUMPRODUCT(--ISNUMBER(SEARCH(democrattrigger,C97)))&gt;0)</f>
        <v>1</v>
      </c>
      <c r="Z97" s="31" cm="1">
        <f t="array" ref="Z97">INT(SUMPRODUCT(--ISNUMBER(SEARCH(bipartisan,C97)))&gt;0)</f>
        <v>0</v>
      </c>
      <c r="AA97" s="31">
        <f t="shared" si="1"/>
        <v>0</v>
      </c>
      <c r="AB97" s="31"/>
      <c r="AC97" s="111" t="s">
        <v>223</v>
      </c>
      <c r="AD97" s="112" t="s">
        <v>223</v>
      </c>
    </row>
    <row r="98" spans="1:30" x14ac:dyDescent="0.25">
      <c r="A98" s="109">
        <v>1954</v>
      </c>
      <c r="B98" s="31" t="s">
        <v>3934</v>
      </c>
      <c r="C98" s="31" t="s">
        <v>3935</v>
      </c>
      <c r="D98" s="110">
        <v>44129</v>
      </c>
      <c r="E98" s="31" t="s">
        <v>30</v>
      </c>
      <c r="F98" s="31">
        <v>432</v>
      </c>
      <c r="G98" s="31">
        <v>97</v>
      </c>
      <c r="H98" s="31">
        <v>9</v>
      </c>
      <c r="I98" s="31">
        <v>5</v>
      </c>
      <c r="J98" s="31" t="s">
        <v>204</v>
      </c>
      <c r="K98" s="31" cm="1">
        <f t="array" ref="K98">INT(SUMPRODUCT(--ISNUMBER(SEARCH(economy,C98)))&gt;0)</f>
        <v>0</v>
      </c>
      <c r="L98" s="31" cm="1">
        <f t="array" ref="L98">INT(SUMPRODUCT(--ISNUMBER(SEARCH(healthcare,C98)))&gt;0)</f>
        <v>0</v>
      </c>
      <c r="M98" s="31" cm="1">
        <f t="array" ref="M98">INT(SUMPRODUCT(--ISNUMBER(SEARCH(supreme,C98)))&gt;0)</f>
        <v>0</v>
      </c>
      <c r="N98" s="31" cm="1">
        <f t="array" ref="N98">INT(SUMPRODUCT(--ISNUMBER(SEARCH(covid,C98)))&gt;0)</f>
        <v>0</v>
      </c>
      <c r="O98" s="31" cm="1">
        <f t="array" ref="O98">INT(SUMPRODUCT(--ISNUMBER(SEARCH(violent,C98)))&gt;0)</f>
        <v>0</v>
      </c>
      <c r="P98" s="31" cm="1">
        <f t="array" ref="P98">INT(SUMPRODUCT(--ISNUMBER(SEARCH(foreign,C98)))&gt;0)</f>
        <v>0</v>
      </c>
      <c r="Q98" s="31" cm="1">
        <f t="array" ref="Q98">INT(SUMPRODUCT(--ISNUMBER(SEARCH(gun,C98)))&gt;0)</f>
        <v>0</v>
      </c>
      <c r="R98" s="31" cm="1">
        <f t="array" ref="R98">INT(SUMPRODUCT(--ISNUMBER(SEARCH(race,C98)))&gt;0)</f>
        <v>0</v>
      </c>
      <c r="S98" s="31" cm="1">
        <f t="array" ref="S98">INT(SUMPRODUCT(--ISNUMBER(SEARCH(immigration,C98)))&gt;0)</f>
        <v>0</v>
      </c>
      <c r="T98" s="31" cm="1">
        <f t="array" ref="T98">INT(SUMPRODUCT(--ISNUMBER(SEARCH(econineq,C99)))&gt;0)</f>
        <v>0</v>
      </c>
      <c r="U98" s="31" cm="1">
        <f t="array" ref="U98">INT(SUMPRODUCT(--ISNUMBER(SEARCH(climate,C98)))&gt;0)</f>
        <v>0</v>
      </c>
      <c r="V98" s="31" cm="1">
        <f t="array" ref="V98">INT(SUMPRODUCT(--ISNUMBER(SEARCH(abortion,C98)))&gt;0)</f>
        <v>0</v>
      </c>
      <c r="W98" s="31" cm="1">
        <f t="array" ref="W98">INT(SUMPRODUCT(--ISNUMBER(SEARCH(trump,C98)))&gt;0)</f>
        <v>0</v>
      </c>
      <c r="X98" s="31" cm="1">
        <f t="array" ref="X98">INT(SUMPRODUCT(--ISNUMBER(SEARCH(voting,C98)))&gt;0)</f>
        <v>1</v>
      </c>
      <c r="Y98" s="31" cm="1">
        <f t="array" ref="Y98">INT(SUMPRODUCT(--ISNUMBER(SEARCH(democrattrigger,C98)))&gt;0)</f>
        <v>0</v>
      </c>
      <c r="Z98" s="31" cm="1">
        <f t="array" ref="Z98">INT(SUMPRODUCT(--ISNUMBER(SEARCH(bipartisan,C98)))&gt;0)</f>
        <v>0</v>
      </c>
      <c r="AA98" s="31">
        <f t="shared" si="1"/>
        <v>0</v>
      </c>
      <c r="AB98" s="31"/>
      <c r="AC98" s="111">
        <v>1</v>
      </c>
      <c r="AD98" s="112">
        <v>0</v>
      </c>
    </row>
    <row r="99" spans="1:30" x14ac:dyDescent="0.25">
      <c r="A99" s="109">
        <v>1955</v>
      </c>
      <c r="B99" s="31" t="s">
        <v>3936</v>
      </c>
      <c r="C99" s="31" t="s">
        <v>3937</v>
      </c>
      <c r="D99" s="110">
        <v>44128</v>
      </c>
      <c r="E99" s="31" t="s">
        <v>30</v>
      </c>
      <c r="F99" s="31">
        <v>477</v>
      </c>
      <c r="G99" s="31">
        <v>52</v>
      </c>
      <c r="H99" s="31">
        <v>9</v>
      </c>
      <c r="I99" s="31">
        <v>5</v>
      </c>
      <c r="J99" s="31" t="s">
        <v>204</v>
      </c>
      <c r="K99" s="31" cm="1">
        <f t="array" ref="K99">INT(SUMPRODUCT(--ISNUMBER(SEARCH(economy,C99)))&gt;0)</f>
        <v>0</v>
      </c>
      <c r="L99" s="31" cm="1">
        <f t="array" ref="L99">INT(SUMPRODUCT(--ISNUMBER(SEARCH(healthcare,C99)))&gt;0)</f>
        <v>0</v>
      </c>
      <c r="M99" s="31" cm="1">
        <f t="array" ref="M99">INT(SUMPRODUCT(--ISNUMBER(SEARCH(supreme,C99)))&gt;0)</f>
        <v>0</v>
      </c>
      <c r="N99" s="31" cm="1">
        <f t="array" ref="N99">INT(SUMPRODUCT(--ISNUMBER(SEARCH(covid,C99)))&gt;0)</f>
        <v>0</v>
      </c>
      <c r="O99" s="31" cm="1">
        <f t="array" ref="O99">INT(SUMPRODUCT(--ISNUMBER(SEARCH(violent,C99)))&gt;0)</f>
        <v>0</v>
      </c>
      <c r="P99" s="31" cm="1">
        <f t="array" ref="P99">INT(SUMPRODUCT(--ISNUMBER(SEARCH(foreign,C99)))&gt;0)</f>
        <v>0</v>
      </c>
      <c r="Q99" s="31" cm="1">
        <f t="array" ref="Q99">INT(SUMPRODUCT(--ISNUMBER(SEARCH(gun,C99)))&gt;0)</f>
        <v>0</v>
      </c>
      <c r="R99" s="31" cm="1">
        <f t="array" ref="R99">INT(SUMPRODUCT(--ISNUMBER(SEARCH(race,C99)))&gt;0)</f>
        <v>0</v>
      </c>
      <c r="S99" s="31" cm="1">
        <f t="array" ref="S99">INT(SUMPRODUCT(--ISNUMBER(SEARCH(immigration,C99)))&gt;0)</f>
        <v>0</v>
      </c>
      <c r="T99" s="31" cm="1">
        <f t="array" ref="T99">INT(SUMPRODUCT(--ISNUMBER(SEARCH(econineq,C100)))&gt;0)</f>
        <v>0</v>
      </c>
      <c r="U99" s="31" cm="1">
        <f t="array" ref="U99">INT(SUMPRODUCT(--ISNUMBER(SEARCH(climate,C99)))&gt;0)</f>
        <v>0</v>
      </c>
      <c r="V99" s="31" cm="1">
        <f t="array" ref="V99">INT(SUMPRODUCT(--ISNUMBER(SEARCH(abortion,C99)))&gt;0)</f>
        <v>0</v>
      </c>
      <c r="W99" s="31" cm="1">
        <f t="array" ref="W99">INT(SUMPRODUCT(--ISNUMBER(SEARCH(trump,C99)))&gt;0)</f>
        <v>0</v>
      </c>
      <c r="X99" s="31" cm="1">
        <f t="array" ref="X99">INT(SUMPRODUCT(--ISNUMBER(SEARCH(voting,C99)))&gt;0)</f>
        <v>0</v>
      </c>
      <c r="Y99" s="31" cm="1">
        <f t="array" ref="Y99">INT(SUMPRODUCT(--ISNUMBER(SEARCH(democrattrigger,C99)))&gt;0)</f>
        <v>0</v>
      </c>
      <c r="Z99" s="31" cm="1">
        <f t="array" ref="Z99">INT(SUMPRODUCT(--ISNUMBER(SEARCH(bipartisan,C99)))&gt;0)</f>
        <v>0</v>
      </c>
      <c r="AA99" s="31">
        <f t="shared" si="1"/>
        <v>1</v>
      </c>
      <c r="AB99" s="31"/>
      <c r="AC99" s="111">
        <v>1</v>
      </c>
      <c r="AD99" s="112">
        <v>0</v>
      </c>
    </row>
    <row r="100" spans="1:30" x14ac:dyDescent="0.25">
      <c r="A100" s="109">
        <v>1956</v>
      </c>
      <c r="B100" s="31" t="s">
        <v>3938</v>
      </c>
      <c r="C100" s="31" t="s">
        <v>3939</v>
      </c>
      <c r="D100" s="110">
        <v>44128</v>
      </c>
      <c r="E100" s="31" t="s">
        <v>30</v>
      </c>
      <c r="F100" s="31">
        <v>199</v>
      </c>
      <c r="G100" s="31">
        <v>58</v>
      </c>
      <c r="H100" s="31">
        <v>9</v>
      </c>
      <c r="I100" s="31">
        <v>5</v>
      </c>
      <c r="J100" s="31" t="s">
        <v>204</v>
      </c>
      <c r="K100" s="31" cm="1">
        <f t="array" ref="K100">INT(SUMPRODUCT(--ISNUMBER(SEARCH(economy,C100)))&gt;0)</f>
        <v>0</v>
      </c>
      <c r="L100" s="31" cm="1">
        <f t="array" ref="L100">INT(SUMPRODUCT(--ISNUMBER(SEARCH(healthcare,C100)))&gt;0)</f>
        <v>1</v>
      </c>
      <c r="M100" s="31" cm="1">
        <f t="array" ref="M100">INT(SUMPRODUCT(--ISNUMBER(SEARCH(supreme,C100)))&gt;0)</f>
        <v>0</v>
      </c>
      <c r="N100" s="31" cm="1">
        <f t="array" ref="N100">INT(SUMPRODUCT(--ISNUMBER(SEARCH(covid,C100)))&gt;0)</f>
        <v>0</v>
      </c>
      <c r="O100" s="31" cm="1">
        <f t="array" ref="O100">INT(SUMPRODUCT(--ISNUMBER(SEARCH(violent,C100)))&gt;0)</f>
        <v>0</v>
      </c>
      <c r="P100" s="31" cm="1">
        <f t="array" ref="P100">INT(SUMPRODUCT(--ISNUMBER(SEARCH(foreign,C100)))&gt;0)</f>
        <v>0</v>
      </c>
      <c r="Q100" s="31" cm="1">
        <f t="array" ref="Q100">INT(SUMPRODUCT(--ISNUMBER(SEARCH(gun,C100)))&gt;0)</f>
        <v>0</v>
      </c>
      <c r="R100" s="31" cm="1">
        <f t="array" ref="R100">INT(SUMPRODUCT(--ISNUMBER(SEARCH(race,C100)))&gt;0)</f>
        <v>0</v>
      </c>
      <c r="S100" s="31" cm="1">
        <f t="array" ref="S100">INT(SUMPRODUCT(--ISNUMBER(SEARCH(immigration,C100)))&gt;0)</f>
        <v>0</v>
      </c>
      <c r="T100" s="31" cm="1">
        <f t="array" ref="T100">INT(SUMPRODUCT(--ISNUMBER(SEARCH(econineq,C101)))&gt;0)</f>
        <v>0</v>
      </c>
      <c r="U100" s="31" cm="1">
        <f t="array" ref="U100">INT(SUMPRODUCT(--ISNUMBER(SEARCH(climate,C100)))&gt;0)</f>
        <v>0</v>
      </c>
      <c r="V100" s="31" cm="1">
        <f t="array" ref="V100">INT(SUMPRODUCT(--ISNUMBER(SEARCH(abortion,C100)))&gt;0)</f>
        <v>0</v>
      </c>
      <c r="W100" s="31" cm="1">
        <f t="array" ref="W100">INT(SUMPRODUCT(--ISNUMBER(SEARCH(trump,C100)))&gt;0)</f>
        <v>0</v>
      </c>
      <c r="X100" s="31" cm="1">
        <f t="array" ref="X100">INT(SUMPRODUCT(--ISNUMBER(SEARCH(voting,C100)))&gt;0)</f>
        <v>0</v>
      </c>
      <c r="Y100" s="31" cm="1">
        <f t="array" ref="Y100">INT(SUMPRODUCT(--ISNUMBER(SEARCH(democrattrigger,C100)))&gt;0)</f>
        <v>0</v>
      </c>
      <c r="Z100" s="31" cm="1">
        <f t="array" ref="Z100">INT(SUMPRODUCT(--ISNUMBER(SEARCH(bipartisan,C100)))&gt;0)</f>
        <v>0</v>
      </c>
      <c r="AA100" s="31">
        <f t="shared" si="1"/>
        <v>0</v>
      </c>
      <c r="AB100" s="31"/>
      <c r="AC100" s="111">
        <v>1</v>
      </c>
      <c r="AD100" s="112">
        <v>0</v>
      </c>
    </row>
    <row r="101" spans="1:30" x14ac:dyDescent="0.25">
      <c r="A101" s="109">
        <v>1957</v>
      </c>
      <c r="B101" s="31" t="s">
        <v>3940</v>
      </c>
      <c r="C101" s="31" t="s">
        <v>3941</v>
      </c>
      <c r="D101" s="110">
        <v>44128</v>
      </c>
      <c r="E101" s="31" t="s">
        <v>30</v>
      </c>
      <c r="F101" s="31">
        <v>227</v>
      </c>
      <c r="G101" s="31">
        <v>60</v>
      </c>
      <c r="H101" s="31">
        <v>9</v>
      </c>
      <c r="I101" s="31">
        <v>5</v>
      </c>
      <c r="J101" s="31" t="s">
        <v>204</v>
      </c>
      <c r="K101" s="31" cm="1">
        <f t="array" ref="K101">INT(SUMPRODUCT(--ISNUMBER(SEARCH(economy,C101)))&gt;0)</f>
        <v>0</v>
      </c>
      <c r="L101" s="31" cm="1">
        <f t="array" ref="L101">INT(SUMPRODUCT(--ISNUMBER(SEARCH(healthcare,C101)))&gt;0)</f>
        <v>0</v>
      </c>
      <c r="M101" s="31" cm="1">
        <f t="array" ref="M101">INT(SUMPRODUCT(--ISNUMBER(SEARCH(supreme,C101)))&gt;0)</f>
        <v>0</v>
      </c>
      <c r="N101" s="31" cm="1">
        <f t="array" ref="N101">INT(SUMPRODUCT(--ISNUMBER(SEARCH(covid,C101)))&gt;0)</f>
        <v>0</v>
      </c>
      <c r="O101" s="31" cm="1">
        <f t="array" ref="O101">INT(SUMPRODUCT(--ISNUMBER(SEARCH(violent,C101)))&gt;0)</f>
        <v>0</v>
      </c>
      <c r="P101" s="31" cm="1">
        <f t="array" ref="P101">INT(SUMPRODUCT(--ISNUMBER(SEARCH(foreign,C101)))&gt;0)</f>
        <v>0</v>
      </c>
      <c r="Q101" s="31" cm="1">
        <f t="array" ref="Q101">INT(SUMPRODUCT(--ISNUMBER(SEARCH(gun,C101)))&gt;0)</f>
        <v>0</v>
      </c>
      <c r="R101" s="31" cm="1">
        <f t="array" ref="R101">INT(SUMPRODUCT(--ISNUMBER(SEARCH(race,C101)))&gt;0)</f>
        <v>1</v>
      </c>
      <c r="S101" s="31" cm="1">
        <f t="array" ref="S101">INT(SUMPRODUCT(--ISNUMBER(SEARCH(immigration,C101)))&gt;0)</f>
        <v>0</v>
      </c>
      <c r="T101" s="31" cm="1">
        <f t="array" ref="T101">INT(SUMPRODUCT(--ISNUMBER(SEARCH(econineq,C102)))&gt;0)</f>
        <v>0</v>
      </c>
      <c r="U101" s="31" cm="1">
        <f t="array" ref="U101">INT(SUMPRODUCT(--ISNUMBER(SEARCH(climate,C101)))&gt;0)</f>
        <v>1</v>
      </c>
      <c r="V101" s="31" cm="1">
        <f t="array" ref="V101">INT(SUMPRODUCT(--ISNUMBER(SEARCH(abortion,C101)))&gt;0)</f>
        <v>0</v>
      </c>
      <c r="W101" s="31" cm="1">
        <f t="array" ref="W101">INT(SUMPRODUCT(--ISNUMBER(SEARCH(trump,C101)))&gt;0)</f>
        <v>0</v>
      </c>
      <c r="X101" s="31" cm="1">
        <f t="array" ref="X101">INT(SUMPRODUCT(--ISNUMBER(SEARCH(voting,C101)))&gt;0)</f>
        <v>1</v>
      </c>
      <c r="Y101" s="31" cm="1">
        <f t="array" ref="Y101">INT(SUMPRODUCT(--ISNUMBER(SEARCH(democrattrigger,C101)))&gt;0)</f>
        <v>0</v>
      </c>
      <c r="Z101" s="31" cm="1">
        <f t="array" ref="Z101">INT(SUMPRODUCT(--ISNUMBER(SEARCH(bipartisan,C101)))&gt;0)</f>
        <v>0</v>
      </c>
      <c r="AA101" s="31">
        <f t="shared" si="1"/>
        <v>0</v>
      </c>
      <c r="AB101" s="31"/>
      <c r="AC101" s="111">
        <v>1</v>
      </c>
      <c r="AD101" s="112">
        <v>0</v>
      </c>
    </row>
    <row r="102" spans="1:30" x14ac:dyDescent="0.25">
      <c r="A102" s="109">
        <v>1958</v>
      </c>
      <c r="B102" s="31" t="s">
        <v>3942</v>
      </c>
      <c r="C102" s="31" t="s">
        <v>3943</v>
      </c>
      <c r="D102" s="110">
        <v>44128</v>
      </c>
      <c r="E102" s="31" t="s">
        <v>30</v>
      </c>
      <c r="F102" s="31">
        <v>247</v>
      </c>
      <c r="G102" s="31">
        <v>67</v>
      </c>
      <c r="H102" s="31">
        <v>9</v>
      </c>
      <c r="I102" s="31">
        <v>5</v>
      </c>
      <c r="J102" s="31" t="s">
        <v>204</v>
      </c>
      <c r="K102" s="31" cm="1">
        <f t="array" ref="K102">INT(SUMPRODUCT(--ISNUMBER(SEARCH(economy,C102)))&gt;0)</f>
        <v>0</v>
      </c>
      <c r="L102" s="31" cm="1">
        <f t="array" ref="L102">INT(SUMPRODUCT(--ISNUMBER(SEARCH(healthcare,C102)))&gt;0)</f>
        <v>0</v>
      </c>
      <c r="M102" s="31" cm="1">
        <f t="array" ref="M102">INT(SUMPRODUCT(--ISNUMBER(SEARCH(supreme,C102)))&gt;0)</f>
        <v>0</v>
      </c>
      <c r="N102" s="31" cm="1">
        <f t="array" ref="N102">INT(SUMPRODUCT(--ISNUMBER(SEARCH(covid,C102)))&gt;0)</f>
        <v>0</v>
      </c>
      <c r="O102" s="31" cm="1">
        <f t="array" ref="O102">INT(SUMPRODUCT(--ISNUMBER(SEARCH(violent,C102)))&gt;0)</f>
        <v>0</v>
      </c>
      <c r="P102" s="31" cm="1">
        <f t="array" ref="P102">INT(SUMPRODUCT(--ISNUMBER(SEARCH(foreign,C102)))&gt;0)</f>
        <v>0</v>
      </c>
      <c r="Q102" s="31" cm="1">
        <f t="array" ref="Q102">INT(SUMPRODUCT(--ISNUMBER(SEARCH(gun,C102)))&gt;0)</f>
        <v>0</v>
      </c>
      <c r="R102" s="31" cm="1">
        <f t="array" ref="R102">INT(SUMPRODUCT(--ISNUMBER(SEARCH(race,C102)))&gt;0)</f>
        <v>0</v>
      </c>
      <c r="S102" s="31" cm="1">
        <f t="array" ref="S102">INT(SUMPRODUCT(--ISNUMBER(SEARCH(immigration,C102)))&gt;0)</f>
        <v>0</v>
      </c>
      <c r="T102" s="31" cm="1">
        <f t="array" ref="T102">INT(SUMPRODUCT(--ISNUMBER(SEARCH(econineq,C103)))&gt;0)</f>
        <v>0</v>
      </c>
      <c r="U102" s="31" cm="1">
        <f t="array" ref="U102">INT(SUMPRODUCT(--ISNUMBER(SEARCH(climate,C102)))&gt;0)</f>
        <v>0</v>
      </c>
      <c r="V102" s="31" cm="1">
        <f t="array" ref="V102">INT(SUMPRODUCT(--ISNUMBER(SEARCH(abortion,C102)))&gt;0)</f>
        <v>0</v>
      </c>
      <c r="W102" s="31" cm="1">
        <f t="array" ref="W102">INT(SUMPRODUCT(--ISNUMBER(SEARCH(trump,C102)))&gt;0)</f>
        <v>0</v>
      </c>
      <c r="X102" s="31" cm="1">
        <f t="array" ref="X102">INT(SUMPRODUCT(--ISNUMBER(SEARCH(voting,C102)))&gt;0)</f>
        <v>1</v>
      </c>
      <c r="Y102" s="31" cm="1">
        <f t="array" ref="Y102">INT(SUMPRODUCT(--ISNUMBER(SEARCH(democrattrigger,C102)))&gt;0)</f>
        <v>0</v>
      </c>
      <c r="Z102" s="31" cm="1">
        <f t="array" ref="Z102">INT(SUMPRODUCT(--ISNUMBER(SEARCH(bipartisan,C102)))&gt;0)</f>
        <v>0</v>
      </c>
      <c r="AA102" s="31">
        <f t="shared" si="1"/>
        <v>0</v>
      </c>
      <c r="AB102" s="31"/>
      <c r="AC102" s="111">
        <v>1</v>
      </c>
      <c r="AD102" s="112">
        <v>0</v>
      </c>
    </row>
    <row r="103" spans="1:30" x14ac:dyDescent="0.25">
      <c r="A103" s="109">
        <v>1959</v>
      </c>
      <c r="B103" s="31" t="s">
        <v>3944</v>
      </c>
      <c r="C103" s="31" t="s">
        <v>3945</v>
      </c>
      <c r="D103" s="110">
        <v>44128</v>
      </c>
      <c r="E103" s="31" t="s">
        <v>30</v>
      </c>
      <c r="F103" s="31">
        <v>849</v>
      </c>
      <c r="G103" s="31">
        <v>339</v>
      </c>
      <c r="H103" s="31">
        <v>9</v>
      </c>
      <c r="I103" s="31">
        <v>5</v>
      </c>
      <c r="J103" s="31" t="s">
        <v>204</v>
      </c>
      <c r="K103" s="31" cm="1">
        <f t="array" ref="K103">INT(SUMPRODUCT(--ISNUMBER(SEARCH(economy,C103)))&gt;0)</f>
        <v>0</v>
      </c>
      <c r="L103" s="31" cm="1">
        <f t="array" ref="L103">INT(SUMPRODUCT(--ISNUMBER(SEARCH(healthcare,C103)))&gt;0)</f>
        <v>0</v>
      </c>
      <c r="M103" s="31" cm="1">
        <f t="array" ref="M103">INT(SUMPRODUCT(--ISNUMBER(SEARCH(supreme,C103)))&gt;0)</f>
        <v>0</v>
      </c>
      <c r="N103" s="31" cm="1">
        <f t="array" ref="N103">INT(SUMPRODUCT(--ISNUMBER(SEARCH(covid,C103)))&gt;0)</f>
        <v>0</v>
      </c>
      <c r="O103" s="31" cm="1">
        <f t="array" ref="O103">INT(SUMPRODUCT(--ISNUMBER(SEARCH(violent,C103)))&gt;0)</f>
        <v>0</v>
      </c>
      <c r="P103" s="31" cm="1">
        <f t="array" ref="P103">INT(SUMPRODUCT(--ISNUMBER(SEARCH(foreign,C103)))&gt;0)</f>
        <v>0</v>
      </c>
      <c r="Q103" s="31" cm="1">
        <f t="array" ref="Q103">INT(SUMPRODUCT(--ISNUMBER(SEARCH(gun,C103)))&gt;0)</f>
        <v>0</v>
      </c>
      <c r="R103" s="31" cm="1">
        <f t="array" ref="R103">INT(SUMPRODUCT(--ISNUMBER(SEARCH(race,C103)))&gt;0)</f>
        <v>0</v>
      </c>
      <c r="S103" s="31" cm="1">
        <f t="array" ref="S103">INT(SUMPRODUCT(--ISNUMBER(SEARCH(immigration,C103)))&gt;0)</f>
        <v>0</v>
      </c>
      <c r="T103" s="31" cm="1">
        <f t="array" ref="T103">INT(SUMPRODUCT(--ISNUMBER(SEARCH(econineq,C104)))&gt;0)</f>
        <v>0</v>
      </c>
      <c r="U103" s="31" cm="1">
        <f t="array" ref="U103">INT(SUMPRODUCT(--ISNUMBER(SEARCH(climate,C103)))&gt;0)</f>
        <v>0</v>
      </c>
      <c r="V103" s="31" cm="1">
        <f t="array" ref="V103">INT(SUMPRODUCT(--ISNUMBER(SEARCH(abortion,C103)))&gt;0)</f>
        <v>0</v>
      </c>
      <c r="W103" s="31" cm="1">
        <f t="array" ref="W103">INT(SUMPRODUCT(--ISNUMBER(SEARCH(trump,C103)))&gt;0)</f>
        <v>0</v>
      </c>
      <c r="X103" s="31" cm="1">
        <f t="array" ref="X103">INT(SUMPRODUCT(--ISNUMBER(SEARCH(voting,C103)))&gt;0)</f>
        <v>1</v>
      </c>
      <c r="Y103" s="31" cm="1">
        <f t="array" ref="Y103">INT(SUMPRODUCT(--ISNUMBER(SEARCH(democrattrigger,C103)))&gt;0)</f>
        <v>0</v>
      </c>
      <c r="Z103" s="31" cm="1">
        <f t="array" ref="Z103">INT(SUMPRODUCT(--ISNUMBER(SEARCH(bipartisan,C103)))&gt;0)</f>
        <v>0</v>
      </c>
      <c r="AA103" s="31">
        <f t="shared" si="1"/>
        <v>0</v>
      </c>
      <c r="AB103" s="31"/>
      <c r="AC103" s="111">
        <v>0</v>
      </c>
      <c r="AD103" s="112">
        <v>1</v>
      </c>
    </row>
    <row r="104" spans="1:30" x14ac:dyDescent="0.25">
      <c r="A104" s="109">
        <v>1960</v>
      </c>
      <c r="B104" s="31" t="s">
        <v>3946</v>
      </c>
      <c r="C104" s="31" t="s">
        <v>3947</v>
      </c>
      <c r="D104" s="110">
        <v>44128</v>
      </c>
      <c r="E104" s="31" t="s">
        <v>30</v>
      </c>
      <c r="F104" s="31">
        <v>1407</v>
      </c>
      <c r="G104" s="31">
        <v>250</v>
      </c>
      <c r="H104" s="31">
        <v>9</v>
      </c>
      <c r="I104" s="31">
        <v>5</v>
      </c>
      <c r="J104" s="31" t="s">
        <v>204</v>
      </c>
      <c r="K104" s="31" cm="1">
        <f t="array" ref="K104">INT(SUMPRODUCT(--ISNUMBER(SEARCH(economy,C104)))&gt;0)</f>
        <v>0</v>
      </c>
      <c r="L104" s="31" cm="1">
        <f t="array" ref="L104">INT(SUMPRODUCT(--ISNUMBER(SEARCH(healthcare,C104)))&gt;0)</f>
        <v>1</v>
      </c>
      <c r="M104" s="31" cm="1">
        <f t="array" ref="M104">INT(SUMPRODUCT(--ISNUMBER(SEARCH(supreme,C104)))&gt;0)</f>
        <v>0</v>
      </c>
      <c r="N104" s="31" cm="1">
        <f t="array" ref="N104">INT(SUMPRODUCT(--ISNUMBER(SEARCH(covid,C104)))&gt;0)</f>
        <v>0</v>
      </c>
      <c r="O104" s="31" cm="1">
        <f t="array" ref="O104">INT(SUMPRODUCT(--ISNUMBER(SEARCH(violent,C104)))&gt;0)</f>
        <v>0</v>
      </c>
      <c r="P104" s="31" cm="1">
        <f t="array" ref="P104">INT(SUMPRODUCT(--ISNUMBER(SEARCH(foreign,C104)))&gt;0)</f>
        <v>0</v>
      </c>
      <c r="Q104" s="31" cm="1">
        <f t="array" ref="Q104">INT(SUMPRODUCT(--ISNUMBER(SEARCH(gun,C104)))&gt;0)</f>
        <v>0</v>
      </c>
      <c r="R104" s="31" cm="1">
        <f t="array" ref="R104">INT(SUMPRODUCT(--ISNUMBER(SEARCH(race,C104)))&gt;0)</f>
        <v>0</v>
      </c>
      <c r="S104" s="31" cm="1">
        <f t="array" ref="S104">INT(SUMPRODUCT(--ISNUMBER(SEARCH(immigration,C104)))&gt;0)</f>
        <v>0</v>
      </c>
      <c r="T104" s="31" cm="1">
        <f t="array" ref="T104">INT(SUMPRODUCT(--ISNUMBER(SEARCH(econineq,C105)))&gt;0)</f>
        <v>0</v>
      </c>
      <c r="U104" s="31" cm="1">
        <f t="array" ref="U104">INT(SUMPRODUCT(--ISNUMBER(SEARCH(climate,C104)))&gt;0)</f>
        <v>0</v>
      </c>
      <c r="V104" s="31" cm="1">
        <f t="array" ref="V104">INT(SUMPRODUCT(--ISNUMBER(SEARCH(abortion,C104)))&gt;0)</f>
        <v>0</v>
      </c>
      <c r="W104" s="31" cm="1">
        <f t="array" ref="W104">INT(SUMPRODUCT(--ISNUMBER(SEARCH(trump,C104)))&gt;0)</f>
        <v>0</v>
      </c>
      <c r="X104" s="31" cm="1">
        <f t="array" ref="X104">INT(SUMPRODUCT(--ISNUMBER(SEARCH(voting,C104)))&gt;0)</f>
        <v>1</v>
      </c>
      <c r="Y104" s="31" cm="1">
        <f t="array" ref="Y104">INT(SUMPRODUCT(--ISNUMBER(SEARCH(democrattrigger,C104)))&gt;0)</f>
        <v>0</v>
      </c>
      <c r="Z104" s="31" cm="1">
        <f t="array" ref="Z104">INT(SUMPRODUCT(--ISNUMBER(SEARCH(bipartisan,C104)))&gt;0)</f>
        <v>0</v>
      </c>
      <c r="AA104" s="31">
        <f t="shared" si="1"/>
        <v>0</v>
      </c>
      <c r="AB104" s="31"/>
      <c r="AC104" s="111" t="s">
        <v>223</v>
      </c>
      <c r="AD104" s="112" t="s">
        <v>223</v>
      </c>
    </row>
    <row r="105" spans="1:30" x14ac:dyDescent="0.25">
      <c r="A105" s="109">
        <v>1961</v>
      </c>
      <c r="B105" s="31" t="s">
        <v>3948</v>
      </c>
      <c r="C105" s="31" t="s">
        <v>3949</v>
      </c>
      <c r="D105" s="110">
        <v>44127</v>
      </c>
      <c r="E105" s="31" t="s">
        <v>30</v>
      </c>
      <c r="F105" s="31">
        <v>224</v>
      </c>
      <c r="G105" s="31">
        <v>101</v>
      </c>
      <c r="H105" s="31">
        <v>9</v>
      </c>
      <c r="I105" s="31">
        <v>5</v>
      </c>
      <c r="J105" s="31" t="s">
        <v>204</v>
      </c>
      <c r="K105" s="31" cm="1">
        <f t="array" ref="K105">INT(SUMPRODUCT(--ISNUMBER(SEARCH(economy,C105)))&gt;0)</f>
        <v>0</v>
      </c>
      <c r="L105" s="31" cm="1">
        <f t="array" ref="L105">INT(SUMPRODUCT(--ISNUMBER(SEARCH(healthcare,C105)))&gt;0)</f>
        <v>0</v>
      </c>
      <c r="M105" s="31" cm="1">
        <f t="array" ref="M105">INT(SUMPRODUCT(--ISNUMBER(SEARCH(supreme,C105)))&gt;0)</f>
        <v>0</v>
      </c>
      <c r="N105" s="31" cm="1">
        <f t="array" ref="N105">INT(SUMPRODUCT(--ISNUMBER(SEARCH(covid,C105)))&gt;0)</f>
        <v>0</v>
      </c>
      <c r="O105" s="31" cm="1">
        <f t="array" ref="O105">INT(SUMPRODUCT(--ISNUMBER(SEARCH(violent,C105)))&gt;0)</f>
        <v>0</v>
      </c>
      <c r="P105" s="31" cm="1">
        <f t="array" ref="P105">INT(SUMPRODUCT(--ISNUMBER(SEARCH(foreign,C105)))&gt;0)</f>
        <v>0</v>
      </c>
      <c r="Q105" s="31" cm="1">
        <f t="array" ref="Q105">INT(SUMPRODUCT(--ISNUMBER(SEARCH(gun,C105)))&gt;0)</f>
        <v>0</v>
      </c>
      <c r="R105" s="31" cm="1">
        <f t="array" ref="R105">INT(SUMPRODUCT(--ISNUMBER(SEARCH(race,C105)))&gt;0)</f>
        <v>0</v>
      </c>
      <c r="S105" s="31" cm="1">
        <f t="array" ref="S105">INT(SUMPRODUCT(--ISNUMBER(SEARCH(immigration,C105)))&gt;0)</f>
        <v>0</v>
      </c>
      <c r="T105" s="31" cm="1">
        <f t="array" ref="T105">INT(SUMPRODUCT(--ISNUMBER(SEARCH(econineq,C106)))&gt;0)</f>
        <v>1</v>
      </c>
      <c r="U105" s="31" cm="1">
        <f t="array" ref="U105">INT(SUMPRODUCT(--ISNUMBER(SEARCH(climate,C105)))&gt;0)</f>
        <v>0</v>
      </c>
      <c r="V105" s="31" cm="1">
        <f t="array" ref="V105">INT(SUMPRODUCT(--ISNUMBER(SEARCH(abortion,C105)))&gt;0)</f>
        <v>0</v>
      </c>
      <c r="W105" s="31" cm="1">
        <f t="array" ref="W105">INT(SUMPRODUCT(--ISNUMBER(SEARCH(trump,C105)))&gt;0)</f>
        <v>0</v>
      </c>
      <c r="X105" s="31" cm="1">
        <f t="array" ref="X105">INT(SUMPRODUCT(--ISNUMBER(SEARCH(voting,C105)))&gt;0)</f>
        <v>1</v>
      </c>
      <c r="Y105" s="31" cm="1">
        <f t="array" ref="Y105">INT(SUMPRODUCT(--ISNUMBER(SEARCH(democrattrigger,C105)))&gt;0)</f>
        <v>0</v>
      </c>
      <c r="Z105" s="31" cm="1">
        <f t="array" ref="Z105">INT(SUMPRODUCT(--ISNUMBER(SEARCH(bipartisan,C105)))&gt;0)</f>
        <v>0</v>
      </c>
      <c r="AA105" s="31">
        <f t="shared" si="1"/>
        <v>0</v>
      </c>
      <c r="AB105" s="31"/>
      <c r="AC105" s="111" t="s">
        <v>223</v>
      </c>
      <c r="AD105" s="112" t="s">
        <v>223</v>
      </c>
    </row>
    <row r="106" spans="1:30" x14ac:dyDescent="0.25">
      <c r="A106" s="109">
        <v>1962</v>
      </c>
      <c r="B106" s="31" t="s">
        <v>3950</v>
      </c>
      <c r="C106" s="31" t="s">
        <v>3951</v>
      </c>
      <c r="D106" s="110">
        <v>44127</v>
      </c>
      <c r="E106" s="31" t="s">
        <v>30</v>
      </c>
      <c r="F106" s="31">
        <v>164</v>
      </c>
      <c r="G106" s="31">
        <v>59</v>
      </c>
      <c r="H106" s="31">
        <v>9</v>
      </c>
      <c r="I106" s="31">
        <v>5</v>
      </c>
      <c r="J106" s="31" t="s">
        <v>204</v>
      </c>
      <c r="K106" s="31" cm="1">
        <f t="array" ref="K106">INT(SUMPRODUCT(--ISNUMBER(SEARCH(economy,C106)))&gt;0)</f>
        <v>1</v>
      </c>
      <c r="L106" s="31" cm="1">
        <f t="array" ref="L106">INT(SUMPRODUCT(--ISNUMBER(SEARCH(healthcare,C106)))&gt;0)</f>
        <v>0</v>
      </c>
      <c r="M106" s="31" cm="1">
        <f t="array" ref="M106">INT(SUMPRODUCT(--ISNUMBER(SEARCH(supreme,C106)))&gt;0)</f>
        <v>0</v>
      </c>
      <c r="N106" s="31" cm="1">
        <f t="array" ref="N106">INT(SUMPRODUCT(--ISNUMBER(SEARCH(covid,C106)))&gt;0)</f>
        <v>0</v>
      </c>
      <c r="O106" s="31" cm="1">
        <f t="array" ref="O106">INT(SUMPRODUCT(--ISNUMBER(SEARCH(violent,C106)))&gt;0)</f>
        <v>0</v>
      </c>
      <c r="P106" s="31" cm="1">
        <f t="array" ref="P106">INT(SUMPRODUCT(--ISNUMBER(SEARCH(foreign,C106)))&gt;0)</f>
        <v>0</v>
      </c>
      <c r="Q106" s="31" cm="1">
        <f t="array" ref="Q106">INT(SUMPRODUCT(--ISNUMBER(SEARCH(gun,C106)))&gt;0)</f>
        <v>0</v>
      </c>
      <c r="R106" s="31" cm="1">
        <f t="array" ref="R106">INT(SUMPRODUCT(--ISNUMBER(SEARCH(race,C106)))&gt;0)</f>
        <v>0</v>
      </c>
      <c r="S106" s="31" cm="1">
        <f t="array" ref="S106">INT(SUMPRODUCT(--ISNUMBER(SEARCH(immigration,C106)))&gt;0)</f>
        <v>0</v>
      </c>
      <c r="T106" s="31" cm="1">
        <f t="array" ref="T106">INT(SUMPRODUCT(--ISNUMBER(SEARCH(econineq,C107)))&gt;0)</f>
        <v>0</v>
      </c>
      <c r="U106" s="31" cm="1">
        <f t="array" ref="U106">INT(SUMPRODUCT(--ISNUMBER(SEARCH(climate,C106)))&gt;0)</f>
        <v>0</v>
      </c>
      <c r="V106" s="31" cm="1">
        <f t="array" ref="V106">INT(SUMPRODUCT(--ISNUMBER(SEARCH(abortion,C106)))&gt;0)</f>
        <v>0</v>
      </c>
      <c r="W106" s="31" cm="1">
        <f t="array" ref="W106">INT(SUMPRODUCT(--ISNUMBER(SEARCH(trump,C106)))&gt;0)</f>
        <v>0</v>
      </c>
      <c r="X106" s="31" cm="1">
        <f t="array" ref="X106">INT(SUMPRODUCT(--ISNUMBER(SEARCH(voting,C106)))&gt;0)</f>
        <v>1</v>
      </c>
      <c r="Y106" s="31" cm="1">
        <f t="array" ref="Y106">INT(SUMPRODUCT(--ISNUMBER(SEARCH(democrattrigger,C106)))&gt;0)</f>
        <v>0</v>
      </c>
      <c r="Z106" s="31" cm="1">
        <f t="array" ref="Z106">INT(SUMPRODUCT(--ISNUMBER(SEARCH(bipartisan,C106)))&gt;0)</f>
        <v>0</v>
      </c>
      <c r="AA106" s="31">
        <f t="shared" si="1"/>
        <v>0</v>
      </c>
      <c r="AB106" s="31"/>
      <c r="AC106" s="111">
        <v>0</v>
      </c>
      <c r="AD106" s="112">
        <v>1</v>
      </c>
    </row>
    <row r="107" spans="1:30" x14ac:dyDescent="0.25">
      <c r="A107" s="109">
        <v>1963</v>
      </c>
      <c r="B107" s="31" t="s">
        <v>3952</v>
      </c>
      <c r="C107" s="31" t="s">
        <v>3953</v>
      </c>
      <c r="D107" s="110">
        <v>44127</v>
      </c>
      <c r="E107" s="31" t="s">
        <v>30</v>
      </c>
      <c r="F107" s="31">
        <v>156</v>
      </c>
      <c r="G107" s="31">
        <v>70</v>
      </c>
      <c r="H107" s="31">
        <v>9</v>
      </c>
      <c r="I107" s="31">
        <v>5</v>
      </c>
      <c r="J107" s="31" t="s">
        <v>204</v>
      </c>
      <c r="K107" s="31" cm="1">
        <f t="array" ref="K107">INT(SUMPRODUCT(--ISNUMBER(SEARCH(economy,C107)))&gt;0)</f>
        <v>0</v>
      </c>
      <c r="L107" s="31" cm="1">
        <f t="array" ref="L107">INT(SUMPRODUCT(--ISNUMBER(SEARCH(healthcare,C107)))&gt;0)</f>
        <v>0</v>
      </c>
      <c r="M107" s="31" cm="1">
        <f t="array" ref="M107">INT(SUMPRODUCT(--ISNUMBER(SEARCH(supreme,C107)))&gt;0)</f>
        <v>0</v>
      </c>
      <c r="N107" s="31" cm="1">
        <f t="array" ref="N107">INT(SUMPRODUCT(--ISNUMBER(SEARCH(covid,C107)))&gt;0)</f>
        <v>0</v>
      </c>
      <c r="O107" s="31" cm="1">
        <f t="array" ref="O107">INT(SUMPRODUCT(--ISNUMBER(SEARCH(violent,C107)))&gt;0)</f>
        <v>0</v>
      </c>
      <c r="P107" s="31" cm="1">
        <f t="array" ref="P107">INT(SUMPRODUCT(--ISNUMBER(SEARCH(foreign,C107)))&gt;0)</f>
        <v>0</v>
      </c>
      <c r="Q107" s="31" cm="1">
        <f t="array" ref="Q107">INT(SUMPRODUCT(--ISNUMBER(SEARCH(gun,C107)))&gt;0)</f>
        <v>0</v>
      </c>
      <c r="R107" s="31" cm="1">
        <f t="array" ref="R107">INT(SUMPRODUCT(--ISNUMBER(SEARCH(race,C107)))&gt;0)</f>
        <v>0</v>
      </c>
      <c r="S107" s="31" cm="1">
        <f t="array" ref="S107">INT(SUMPRODUCT(--ISNUMBER(SEARCH(immigration,C107)))&gt;0)</f>
        <v>0</v>
      </c>
      <c r="T107" s="31" cm="1">
        <f t="array" ref="T107">INT(SUMPRODUCT(--ISNUMBER(SEARCH(econineq,C108)))&gt;0)</f>
        <v>0</v>
      </c>
      <c r="U107" s="31" cm="1">
        <f t="array" ref="U107">INT(SUMPRODUCT(--ISNUMBER(SEARCH(climate,C107)))&gt;0)</f>
        <v>0</v>
      </c>
      <c r="V107" s="31" cm="1">
        <f t="array" ref="V107">INT(SUMPRODUCT(--ISNUMBER(SEARCH(abortion,C107)))&gt;0)</f>
        <v>0</v>
      </c>
      <c r="W107" s="31" cm="1">
        <f t="array" ref="W107">INT(SUMPRODUCT(--ISNUMBER(SEARCH(trump,C107)))&gt;0)</f>
        <v>1</v>
      </c>
      <c r="X107" s="31" cm="1">
        <f t="array" ref="X107">INT(SUMPRODUCT(--ISNUMBER(SEARCH(voting,C107)))&gt;0)</f>
        <v>1</v>
      </c>
      <c r="Y107" s="31" cm="1">
        <f t="array" ref="Y107">INT(SUMPRODUCT(--ISNUMBER(SEARCH(democrattrigger,C107)))&gt;0)</f>
        <v>1</v>
      </c>
      <c r="Z107" s="31" cm="1">
        <f t="array" ref="Z107">INT(SUMPRODUCT(--ISNUMBER(SEARCH(bipartisan,C107)))&gt;0)</f>
        <v>0</v>
      </c>
      <c r="AA107" s="31">
        <f t="shared" si="1"/>
        <v>0</v>
      </c>
      <c r="AB107" s="31"/>
      <c r="AC107" s="111" t="s">
        <v>223</v>
      </c>
      <c r="AD107" s="112" t="s">
        <v>223</v>
      </c>
    </row>
    <row r="108" spans="1:30" x14ac:dyDescent="0.25">
      <c r="A108" s="109">
        <v>1964</v>
      </c>
      <c r="B108" s="31" t="s">
        <v>3954</v>
      </c>
      <c r="C108" s="31" t="s">
        <v>3955</v>
      </c>
      <c r="D108" s="110">
        <v>44127</v>
      </c>
      <c r="E108" s="31" t="s">
        <v>30</v>
      </c>
      <c r="F108" s="31">
        <v>276</v>
      </c>
      <c r="G108" s="31">
        <v>57</v>
      </c>
      <c r="H108" s="31">
        <v>9</v>
      </c>
      <c r="I108" s="31">
        <v>5</v>
      </c>
      <c r="J108" s="31" t="s">
        <v>204</v>
      </c>
      <c r="K108" s="31" cm="1">
        <f t="array" ref="K108">INT(SUMPRODUCT(--ISNUMBER(SEARCH(economy,C108)))&gt;0)</f>
        <v>0</v>
      </c>
      <c r="L108" s="31" cm="1">
        <f t="array" ref="L108">INT(SUMPRODUCT(--ISNUMBER(SEARCH(healthcare,C108)))&gt;0)</f>
        <v>0</v>
      </c>
      <c r="M108" s="31" cm="1">
        <f t="array" ref="M108">INT(SUMPRODUCT(--ISNUMBER(SEARCH(supreme,C108)))&gt;0)</f>
        <v>0</v>
      </c>
      <c r="N108" s="31" cm="1">
        <f t="array" ref="N108">INT(SUMPRODUCT(--ISNUMBER(SEARCH(covid,C108)))&gt;0)</f>
        <v>0</v>
      </c>
      <c r="O108" s="31" cm="1">
        <f t="array" ref="O108">INT(SUMPRODUCT(--ISNUMBER(SEARCH(violent,C108)))&gt;0)</f>
        <v>0</v>
      </c>
      <c r="P108" s="31" cm="1">
        <f t="array" ref="P108">INT(SUMPRODUCT(--ISNUMBER(SEARCH(foreign,C108)))&gt;0)</f>
        <v>0</v>
      </c>
      <c r="Q108" s="31" cm="1">
        <f t="array" ref="Q108">INT(SUMPRODUCT(--ISNUMBER(SEARCH(gun,C108)))&gt;0)</f>
        <v>0</v>
      </c>
      <c r="R108" s="31" cm="1">
        <f t="array" ref="R108">INT(SUMPRODUCT(--ISNUMBER(SEARCH(race,C108)))&gt;0)</f>
        <v>0</v>
      </c>
      <c r="S108" s="31" cm="1">
        <f t="array" ref="S108">INT(SUMPRODUCT(--ISNUMBER(SEARCH(immigration,C108)))&gt;0)</f>
        <v>0</v>
      </c>
      <c r="T108" s="31" cm="1">
        <f t="array" ref="T108">INT(SUMPRODUCT(--ISNUMBER(SEARCH(econineq,C109)))&gt;0)</f>
        <v>0</v>
      </c>
      <c r="U108" s="31" cm="1">
        <f t="array" ref="U108">INT(SUMPRODUCT(--ISNUMBER(SEARCH(climate,C108)))&gt;0)</f>
        <v>0</v>
      </c>
      <c r="V108" s="31" cm="1">
        <f t="array" ref="V108">INT(SUMPRODUCT(--ISNUMBER(SEARCH(abortion,C108)))&gt;0)</f>
        <v>0</v>
      </c>
      <c r="W108" s="31" cm="1">
        <f t="array" ref="W108">INT(SUMPRODUCT(--ISNUMBER(SEARCH(trump,C108)))&gt;0)</f>
        <v>0</v>
      </c>
      <c r="X108" s="31" cm="1">
        <f t="array" ref="X108">INT(SUMPRODUCT(--ISNUMBER(SEARCH(voting,C108)))&gt;0)</f>
        <v>0</v>
      </c>
      <c r="Y108" s="31" cm="1">
        <f t="array" ref="Y108">INT(SUMPRODUCT(--ISNUMBER(SEARCH(democrattrigger,C108)))&gt;0)</f>
        <v>0</v>
      </c>
      <c r="Z108" s="31" cm="1">
        <f t="array" ref="Z108">INT(SUMPRODUCT(--ISNUMBER(SEARCH(bipartisan,C108)))&gt;0)</f>
        <v>0</v>
      </c>
      <c r="AA108" s="31">
        <f t="shared" si="1"/>
        <v>1</v>
      </c>
      <c r="AB108" s="31"/>
      <c r="AC108" s="111">
        <v>1</v>
      </c>
      <c r="AD108" s="112">
        <v>0</v>
      </c>
    </row>
    <row r="109" spans="1:30" x14ac:dyDescent="0.25">
      <c r="A109" s="109">
        <v>1965</v>
      </c>
      <c r="B109" s="31" t="s">
        <v>3956</v>
      </c>
      <c r="C109" s="31" t="s">
        <v>3957</v>
      </c>
      <c r="D109" s="110">
        <v>44127</v>
      </c>
      <c r="E109" s="31" t="s">
        <v>30</v>
      </c>
      <c r="F109" s="31">
        <v>510</v>
      </c>
      <c r="G109" s="31">
        <v>168</v>
      </c>
      <c r="H109" s="31">
        <v>9</v>
      </c>
      <c r="I109" s="31">
        <v>5</v>
      </c>
      <c r="J109" s="31" t="s">
        <v>204</v>
      </c>
      <c r="K109" s="31" cm="1">
        <f t="array" ref="K109">INT(SUMPRODUCT(--ISNUMBER(SEARCH(economy,C109)))&gt;0)</f>
        <v>1</v>
      </c>
      <c r="L109" s="31" cm="1">
        <f t="array" ref="L109">INT(SUMPRODUCT(--ISNUMBER(SEARCH(healthcare,C109)))&gt;0)</f>
        <v>0</v>
      </c>
      <c r="M109" s="31" cm="1">
        <f t="array" ref="M109">INT(SUMPRODUCT(--ISNUMBER(SEARCH(supreme,C109)))&gt;0)</f>
        <v>0</v>
      </c>
      <c r="N109" s="31" cm="1">
        <f t="array" ref="N109">INT(SUMPRODUCT(--ISNUMBER(SEARCH(covid,C109)))&gt;0)</f>
        <v>1</v>
      </c>
      <c r="O109" s="31" cm="1">
        <f t="array" ref="O109">INT(SUMPRODUCT(--ISNUMBER(SEARCH(violent,C109)))&gt;0)</f>
        <v>0</v>
      </c>
      <c r="P109" s="31" cm="1">
        <f t="array" ref="P109">INT(SUMPRODUCT(--ISNUMBER(SEARCH(foreign,C109)))&gt;0)</f>
        <v>1</v>
      </c>
      <c r="Q109" s="31" cm="1">
        <f t="array" ref="Q109">INT(SUMPRODUCT(--ISNUMBER(SEARCH(gun,C109)))&gt;0)</f>
        <v>0</v>
      </c>
      <c r="R109" s="31" cm="1">
        <f t="array" ref="R109">INT(SUMPRODUCT(--ISNUMBER(SEARCH(race,C109)))&gt;0)</f>
        <v>0</v>
      </c>
      <c r="S109" s="31" cm="1">
        <f t="array" ref="S109">INT(SUMPRODUCT(--ISNUMBER(SEARCH(immigration,C109)))&gt;0)</f>
        <v>0</v>
      </c>
      <c r="T109" s="31" cm="1">
        <f t="array" ref="T109">INT(SUMPRODUCT(--ISNUMBER(SEARCH(econineq,C110)))&gt;0)</f>
        <v>0</v>
      </c>
      <c r="U109" s="31" cm="1">
        <f t="array" ref="U109">INT(SUMPRODUCT(--ISNUMBER(SEARCH(climate,C109)))&gt;0)</f>
        <v>0</v>
      </c>
      <c r="V109" s="31" cm="1">
        <f t="array" ref="V109">INT(SUMPRODUCT(--ISNUMBER(SEARCH(abortion,C109)))&gt;0)</f>
        <v>0</v>
      </c>
      <c r="W109" s="31" cm="1">
        <f t="array" ref="W109">INT(SUMPRODUCT(--ISNUMBER(SEARCH(trump,C109)))&gt;0)</f>
        <v>0</v>
      </c>
      <c r="X109" s="31" cm="1">
        <f t="array" ref="X109">INT(SUMPRODUCT(--ISNUMBER(SEARCH(voting,C109)))&gt;0)</f>
        <v>0</v>
      </c>
      <c r="Y109" s="31" cm="1">
        <f t="array" ref="Y109">INT(SUMPRODUCT(--ISNUMBER(SEARCH(democrattrigger,C109)))&gt;0)</f>
        <v>0</v>
      </c>
      <c r="Z109" s="31" cm="1">
        <f t="array" ref="Z109">INT(SUMPRODUCT(--ISNUMBER(SEARCH(bipartisan,C109)))&gt;0)</f>
        <v>0</v>
      </c>
      <c r="AA109" s="31">
        <f t="shared" si="1"/>
        <v>0</v>
      </c>
      <c r="AB109" s="31"/>
      <c r="AC109" s="111">
        <v>0</v>
      </c>
      <c r="AD109" s="112">
        <v>1</v>
      </c>
    </row>
    <row r="110" spans="1:30" x14ac:dyDescent="0.25">
      <c r="A110" s="109">
        <v>1966</v>
      </c>
      <c r="B110" s="31" t="s">
        <v>3958</v>
      </c>
      <c r="C110" s="31" t="s">
        <v>3959</v>
      </c>
      <c r="D110" s="110">
        <v>44127</v>
      </c>
      <c r="E110" s="31" t="s">
        <v>30</v>
      </c>
      <c r="F110" s="31">
        <v>188</v>
      </c>
      <c r="G110" s="31">
        <v>66</v>
      </c>
      <c r="H110" s="31">
        <v>9</v>
      </c>
      <c r="I110" s="31">
        <v>5</v>
      </c>
      <c r="J110" s="31" t="s">
        <v>204</v>
      </c>
      <c r="K110" s="31" cm="1">
        <f t="array" ref="K110">INT(SUMPRODUCT(--ISNUMBER(SEARCH(economy,C110)))&gt;0)</f>
        <v>0</v>
      </c>
      <c r="L110" s="31" cm="1">
        <f t="array" ref="L110">INT(SUMPRODUCT(--ISNUMBER(SEARCH(healthcare,C110)))&gt;0)</f>
        <v>1</v>
      </c>
      <c r="M110" s="31" cm="1">
        <f t="array" ref="M110">INT(SUMPRODUCT(--ISNUMBER(SEARCH(supreme,C110)))&gt;0)</f>
        <v>0</v>
      </c>
      <c r="N110" s="31" cm="1">
        <f t="array" ref="N110">INT(SUMPRODUCT(--ISNUMBER(SEARCH(covid,C110)))&gt;0)</f>
        <v>0</v>
      </c>
      <c r="O110" s="31" cm="1">
        <f t="array" ref="O110">INT(SUMPRODUCT(--ISNUMBER(SEARCH(violent,C110)))&gt;0)</f>
        <v>0</v>
      </c>
      <c r="P110" s="31" cm="1">
        <f t="array" ref="P110">INT(SUMPRODUCT(--ISNUMBER(SEARCH(foreign,C110)))&gt;0)</f>
        <v>0</v>
      </c>
      <c r="Q110" s="31" cm="1">
        <f t="array" ref="Q110">INT(SUMPRODUCT(--ISNUMBER(SEARCH(gun,C110)))&gt;0)</f>
        <v>0</v>
      </c>
      <c r="R110" s="31" cm="1">
        <f t="array" ref="R110">INT(SUMPRODUCT(--ISNUMBER(SEARCH(race,C110)))&gt;0)</f>
        <v>0</v>
      </c>
      <c r="S110" s="31" cm="1">
        <f t="array" ref="S110">INT(SUMPRODUCT(--ISNUMBER(SEARCH(immigration,C110)))&gt;0)</f>
        <v>0</v>
      </c>
      <c r="T110" s="31" cm="1">
        <f t="array" ref="T110">INT(SUMPRODUCT(--ISNUMBER(SEARCH(econineq,C111)))&gt;0)</f>
        <v>0</v>
      </c>
      <c r="U110" s="31" cm="1">
        <f t="array" ref="U110">INT(SUMPRODUCT(--ISNUMBER(SEARCH(climate,C110)))&gt;0)</f>
        <v>0</v>
      </c>
      <c r="V110" s="31" cm="1">
        <f t="array" ref="V110">INT(SUMPRODUCT(--ISNUMBER(SEARCH(abortion,C110)))&gt;0)</f>
        <v>0</v>
      </c>
      <c r="W110" s="31" cm="1">
        <f t="array" ref="W110">INT(SUMPRODUCT(--ISNUMBER(SEARCH(trump,C110)))&gt;0)</f>
        <v>0</v>
      </c>
      <c r="X110" s="31" cm="1">
        <f t="array" ref="X110">INT(SUMPRODUCT(--ISNUMBER(SEARCH(voting,C110)))&gt;0)</f>
        <v>0</v>
      </c>
      <c r="Y110" s="31" cm="1">
        <f t="array" ref="Y110">INT(SUMPRODUCT(--ISNUMBER(SEARCH(democrattrigger,C110)))&gt;0)</f>
        <v>0</v>
      </c>
      <c r="Z110" s="31" cm="1">
        <f t="array" ref="Z110">INT(SUMPRODUCT(--ISNUMBER(SEARCH(bipartisan,C110)))&gt;0)</f>
        <v>0</v>
      </c>
      <c r="AA110" s="31">
        <f t="shared" si="1"/>
        <v>0</v>
      </c>
      <c r="AB110" s="31"/>
      <c r="AC110" s="111">
        <v>0</v>
      </c>
      <c r="AD110" s="112">
        <v>1</v>
      </c>
    </row>
    <row r="111" spans="1:30" x14ac:dyDescent="0.25">
      <c r="A111" s="109">
        <v>1967</v>
      </c>
      <c r="B111" s="31" t="s">
        <v>3960</v>
      </c>
      <c r="C111" s="31" t="s">
        <v>3961</v>
      </c>
      <c r="D111" s="110">
        <v>44127</v>
      </c>
      <c r="E111" s="31" t="s">
        <v>30</v>
      </c>
      <c r="F111" s="31">
        <v>263</v>
      </c>
      <c r="G111" s="31">
        <v>143</v>
      </c>
      <c r="H111" s="31">
        <v>9</v>
      </c>
      <c r="I111" s="31">
        <v>5</v>
      </c>
      <c r="J111" s="31" t="s">
        <v>204</v>
      </c>
      <c r="K111" s="31" cm="1">
        <f t="array" ref="K111">INT(SUMPRODUCT(--ISNUMBER(SEARCH(economy,C111)))&gt;0)</f>
        <v>0</v>
      </c>
      <c r="L111" s="31" cm="1">
        <f t="array" ref="L111">INT(SUMPRODUCT(--ISNUMBER(SEARCH(healthcare,C111)))&gt;0)</f>
        <v>0</v>
      </c>
      <c r="M111" s="31" cm="1">
        <f t="array" ref="M111">INT(SUMPRODUCT(--ISNUMBER(SEARCH(supreme,C111)))&gt;0)</f>
        <v>0</v>
      </c>
      <c r="N111" s="31" cm="1">
        <f t="array" ref="N111">INT(SUMPRODUCT(--ISNUMBER(SEARCH(covid,C111)))&gt;0)</f>
        <v>0</v>
      </c>
      <c r="O111" s="31" cm="1">
        <f t="array" ref="O111">INT(SUMPRODUCT(--ISNUMBER(SEARCH(violent,C111)))&gt;0)</f>
        <v>0</v>
      </c>
      <c r="P111" s="31" cm="1">
        <f t="array" ref="P111">INT(SUMPRODUCT(--ISNUMBER(SEARCH(foreign,C111)))&gt;0)</f>
        <v>0</v>
      </c>
      <c r="Q111" s="31" cm="1">
        <f t="array" ref="Q111">INT(SUMPRODUCT(--ISNUMBER(SEARCH(gun,C111)))&gt;0)</f>
        <v>0</v>
      </c>
      <c r="R111" s="31" cm="1">
        <f t="array" ref="R111">INT(SUMPRODUCT(--ISNUMBER(SEARCH(race,C111)))&gt;0)</f>
        <v>0</v>
      </c>
      <c r="S111" s="31" cm="1">
        <f t="array" ref="S111">INT(SUMPRODUCT(--ISNUMBER(SEARCH(immigration,C111)))&gt;0)</f>
        <v>0</v>
      </c>
      <c r="T111" s="31" cm="1">
        <f t="array" ref="T111">INT(SUMPRODUCT(--ISNUMBER(SEARCH(econineq,C112)))&gt;0)</f>
        <v>0</v>
      </c>
      <c r="U111" s="31" cm="1">
        <f t="array" ref="U111">INT(SUMPRODUCT(--ISNUMBER(SEARCH(climate,C111)))&gt;0)</f>
        <v>0</v>
      </c>
      <c r="V111" s="31" cm="1">
        <f t="array" ref="V111">INT(SUMPRODUCT(--ISNUMBER(SEARCH(abortion,C111)))&gt;0)</f>
        <v>0</v>
      </c>
      <c r="W111" s="31" cm="1">
        <f t="array" ref="W111">INT(SUMPRODUCT(--ISNUMBER(SEARCH(trump,C111)))&gt;0)</f>
        <v>0</v>
      </c>
      <c r="X111" s="31" cm="1">
        <f t="array" ref="X111">INT(SUMPRODUCT(--ISNUMBER(SEARCH(voting,C111)))&gt;0)</f>
        <v>0</v>
      </c>
      <c r="Y111" s="31" cm="1">
        <f t="array" ref="Y111">INT(SUMPRODUCT(--ISNUMBER(SEARCH(democrattrigger,C111)))&gt;0)</f>
        <v>1</v>
      </c>
      <c r="Z111" s="31" cm="1">
        <f t="array" ref="Z111">INT(SUMPRODUCT(--ISNUMBER(SEARCH(bipartisan,C111)))&gt;0)</f>
        <v>0</v>
      </c>
      <c r="AA111" s="31">
        <f t="shared" si="1"/>
        <v>0</v>
      </c>
      <c r="AB111" s="31"/>
      <c r="AC111" s="111" t="s">
        <v>223</v>
      </c>
      <c r="AD111" s="112" t="s">
        <v>223</v>
      </c>
    </row>
    <row r="112" spans="1:30" x14ac:dyDescent="0.25">
      <c r="A112" s="109">
        <v>1968</v>
      </c>
      <c r="B112" s="31" t="s">
        <v>3962</v>
      </c>
      <c r="C112" s="31" t="s">
        <v>3963</v>
      </c>
      <c r="D112" s="110">
        <v>44127</v>
      </c>
      <c r="E112" s="31" t="s">
        <v>30</v>
      </c>
      <c r="F112" s="31">
        <v>767</v>
      </c>
      <c r="G112" s="31">
        <v>125</v>
      </c>
      <c r="H112" s="31">
        <v>9</v>
      </c>
      <c r="I112" s="31">
        <v>5</v>
      </c>
      <c r="J112" s="31" t="s">
        <v>204</v>
      </c>
      <c r="K112" s="31" cm="1">
        <f t="array" ref="K112">INT(SUMPRODUCT(--ISNUMBER(SEARCH(economy,C112)))&gt;0)</f>
        <v>0</v>
      </c>
      <c r="L112" s="31" cm="1">
        <f t="array" ref="L112">INT(SUMPRODUCT(--ISNUMBER(SEARCH(healthcare,C112)))&gt;0)</f>
        <v>0</v>
      </c>
      <c r="M112" s="31" cm="1">
        <f t="array" ref="M112">INT(SUMPRODUCT(--ISNUMBER(SEARCH(supreme,C112)))&gt;0)</f>
        <v>0</v>
      </c>
      <c r="N112" s="31" cm="1">
        <f t="array" ref="N112">INT(SUMPRODUCT(--ISNUMBER(SEARCH(covid,C112)))&gt;0)</f>
        <v>0</v>
      </c>
      <c r="O112" s="31" cm="1">
        <f t="array" ref="O112">INT(SUMPRODUCT(--ISNUMBER(SEARCH(violent,C112)))&gt;0)</f>
        <v>0</v>
      </c>
      <c r="P112" s="31" cm="1">
        <f t="array" ref="P112">INT(SUMPRODUCT(--ISNUMBER(SEARCH(foreign,C112)))&gt;0)</f>
        <v>0</v>
      </c>
      <c r="Q112" s="31" cm="1">
        <f t="array" ref="Q112">INT(SUMPRODUCT(--ISNUMBER(SEARCH(gun,C112)))&gt;0)</f>
        <v>0</v>
      </c>
      <c r="R112" s="31" cm="1">
        <f t="array" ref="R112">INT(SUMPRODUCT(--ISNUMBER(SEARCH(race,C112)))&gt;0)</f>
        <v>0</v>
      </c>
      <c r="S112" s="31" cm="1">
        <f t="array" ref="S112">INT(SUMPRODUCT(--ISNUMBER(SEARCH(immigration,C112)))&gt;0)</f>
        <v>0</v>
      </c>
      <c r="T112" s="31" cm="1">
        <f t="array" ref="T112">INT(SUMPRODUCT(--ISNUMBER(SEARCH(econineq,C113)))&gt;0)</f>
        <v>0</v>
      </c>
      <c r="U112" s="31" cm="1">
        <f t="array" ref="U112">INT(SUMPRODUCT(--ISNUMBER(SEARCH(climate,C112)))&gt;0)</f>
        <v>0</v>
      </c>
      <c r="V112" s="31" cm="1">
        <f t="array" ref="V112">INT(SUMPRODUCT(--ISNUMBER(SEARCH(abortion,C112)))&gt;0)</f>
        <v>0</v>
      </c>
      <c r="W112" s="31" cm="1">
        <f t="array" ref="W112">INT(SUMPRODUCT(--ISNUMBER(SEARCH(trump,C112)))&gt;0)</f>
        <v>0</v>
      </c>
      <c r="X112" s="31" cm="1">
        <f t="array" ref="X112">INT(SUMPRODUCT(--ISNUMBER(SEARCH(voting,C112)))&gt;0)</f>
        <v>0</v>
      </c>
      <c r="Y112" s="31" cm="1">
        <f t="array" ref="Y112">INT(SUMPRODUCT(--ISNUMBER(SEARCH(democrattrigger,C112)))&gt;0)</f>
        <v>0</v>
      </c>
      <c r="Z112" s="31" cm="1">
        <f t="array" ref="Z112">INT(SUMPRODUCT(--ISNUMBER(SEARCH(bipartisan,C112)))&gt;0)</f>
        <v>0</v>
      </c>
      <c r="AA112" s="31">
        <f t="shared" si="1"/>
        <v>1</v>
      </c>
      <c r="AB112" s="31"/>
      <c r="AC112" s="111" t="s">
        <v>223</v>
      </c>
      <c r="AD112" s="112" t="s">
        <v>223</v>
      </c>
    </row>
    <row r="113" spans="1:30" x14ac:dyDescent="0.25">
      <c r="A113" s="109">
        <v>1969</v>
      </c>
      <c r="B113" s="31" t="s">
        <v>3964</v>
      </c>
      <c r="C113" s="31" t="s">
        <v>3965</v>
      </c>
      <c r="D113" s="110">
        <v>44127</v>
      </c>
      <c r="E113" s="31" t="s">
        <v>30</v>
      </c>
      <c r="F113" s="31">
        <v>278</v>
      </c>
      <c r="G113" s="31">
        <v>86</v>
      </c>
      <c r="H113" s="31">
        <v>9</v>
      </c>
      <c r="I113" s="31">
        <v>5</v>
      </c>
      <c r="J113" s="31" t="s">
        <v>204</v>
      </c>
      <c r="K113" s="31" cm="1">
        <f t="array" ref="K113">INT(SUMPRODUCT(--ISNUMBER(SEARCH(economy,C113)))&gt;0)</f>
        <v>0</v>
      </c>
      <c r="L113" s="31" cm="1">
        <f t="array" ref="L113">INT(SUMPRODUCT(--ISNUMBER(SEARCH(healthcare,C113)))&gt;0)</f>
        <v>0</v>
      </c>
      <c r="M113" s="31" cm="1">
        <f t="array" ref="M113">INT(SUMPRODUCT(--ISNUMBER(SEARCH(supreme,C113)))&gt;0)</f>
        <v>0</v>
      </c>
      <c r="N113" s="31" cm="1">
        <f t="array" ref="N113">INT(SUMPRODUCT(--ISNUMBER(SEARCH(covid,C113)))&gt;0)</f>
        <v>0</v>
      </c>
      <c r="O113" s="31" cm="1">
        <f t="array" ref="O113">INT(SUMPRODUCT(--ISNUMBER(SEARCH(violent,C113)))&gt;0)</f>
        <v>0</v>
      </c>
      <c r="P113" s="31" cm="1">
        <f t="array" ref="P113">INT(SUMPRODUCT(--ISNUMBER(SEARCH(foreign,C113)))&gt;0)</f>
        <v>0</v>
      </c>
      <c r="Q113" s="31" cm="1">
        <f t="array" ref="Q113">INT(SUMPRODUCT(--ISNUMBER(SEARCH(gun,C113)))&gt;0)</f>
        <v>0</v>
      </c>
      <c r="R113" s="31" cm="1">
        <f t="array" ref="R113">INT(SUMPRODUCT(--ISNUMBER(SEARCH(race,C113)))&gt;0)</f>
        <v>0</v>
      </c>
      <c r="S113" s="31" cm="1">
        <f t="array" ref="S113">INT(SUMPRODUCT(--ISNUMBER(SEARCH(immigration,C113)))&gt;0)</f>
        <v>0</v>
      </c>
      <c r="T113" s="31" cm="1">
        <f t="array" ref="T113">INT(SUMPRODUCT(--ISNUMBER(SEARCH(econineq,C114)))&gt;0)</f>
        <v>0</v>
      </c>
      <c r="U113" s="31" cm="1">
        <f t="array" ref="U113">INT(SUMPRODUCT(--ISNUMBER(SEARCH(climate,C113)))&gt;0)</f>
        <v>0</v>
      </c>
      <c r="V113" s="31" cm="1">
        <f t="array" ref="V113">INT(SUMPRODUCT(--ISNUMBER(SEARCH(abortion,C113)))&gt;0)</f>
        <v>0</v>
      </c>
      <c r="W113" s="31" cm="1">
        <f t="array" ref="W113">INT(SUMPRODUCT(--ISNUMBER(SEARCH(trump,C113)))&gt;0)</f>
        <v>0</v>
      </c>
      <c r="X113" s="31" cm="1">
        <f t="array" ref="X113">INT(SUMPRODUCT(--ISNUMBER(SEARCH(voting,C113)))&gt;0)</f>
        <v>1</v>
      </c>
      <c r="Y113" s="31" cm="1">
        <f t="array" ref="Y113">INT(SUMPRODUCT(--ISNUMBER(SEARCH(democrattrigger,C113)))&gt;0)</f>
        <v>0</v>
      </c>
      <c r="Z113" s="31" cm="1">
        <f t="array" ref="Z113">INT(SUMPRODUCT(--ISNUMBER(SEARCH(bipartisan,C113)))&gt;0)</f>
        <v>0</v>
      </c>
      <c r="AA113" s="31">
        <f t="shared" si="1"/>
        <v>0</v>
      </c>
      <c r="AB113" s="31"/>
      <c r="AC113" s="111">
        <v>1</v>
      </c>
      <c r="AD113" s="112">
        <v>0</v>
      </c>
    </row>
    <row r="114" spans="1:30" x14ac:dyDescent="0.25">
      <c r="A114" s="109">
        <v>1970</v>
      </c>
      <c r="B114" s="31" t="s">
        <v>3966</v>
      </c>
      <c r="C114" s="31" t="s">
        <v>3967</v>
      </c>
      <c r="D114" s="110">
        <v>44126</v>
      </c>
      <c r="E114" s="31" t="s">
        <v>30</v>
      </c>
      <c r="F114" s="31">
        <v>377</v>
      </c>
      <c r="G114" s="31">
        <v>92</v>
      </c>
      <c r="H114" s="31">
        <v>9</v>
      </c>
      <c r="I114" s="31">
        <v>5</v>
      </c>
      <c r="J114" s="31" t="s">
        <v>204</v>
      </c>
      <c r="K114" s="31" cm="1">
        <f t="array" ref="K114">INT(SUMPRODUCT(--ISNUMBER(SEARCH(economy,C114)))&gt;0)</f>
        <v>0</v>
      </c>
      <c r="L114" s="31" cm="1">
        <f t="array" ref="L114">INT(SUMPRODUCT(--ISNUMBER(SEARCH(healthcare,C114)))&gt;0)</f>
        <v>0</v>
      </c>
      <c r="M114" s="31" cm="1">
        <f t="array" ref="M114">INT(SUMPRODUCT(--ISNUMBER(SEARCH(supreme,C114)))&gt;0)</f>
        <v>0</v>
      </c>
      <c r="N114" s="31" cm="1">
        <f t="array" ref="N114">INT(SUMPRODUCT(--ISNUMBER(SEARCH(covid,C114)))&gt;0)</f>
        <v>0</v>
      </c>
      <c r="O114" s="31" cm="1">
        <f t="array" ref="O114">INT(SUMPRODUCT(--ISNUMBER(SEARCH(violent,C114)))&gt;0)</f>
        <v>0</v>
      </c>
      <c r="P114" s="31" cm="1">
        <f t="array" ref="P114">INT(SUMPRODUCT(--ISNUMBER(SEARCH(foreign,C114)))&gt;0)</f>
        <v>0</v>
      </c>
      <c r="Q114" s="31" cm="1">
        <f t="array" ref="Q114">INT(SUMPRODUCT(--ISNUMBER(SEARCH(gun,C114)))&gt;0)</f>
        <v>0</v>
      </c>
      <c r="R114" s="31" cm="1">
        <f t="array" ref="R114">INT(SUMPRODUCT(--ISNUMBER(SEARCH(race,C114)))&gt;0)</f>
        <v>0</v>
      </c>
      <c r="S114" s="31" cm="1">
        <f t="array" ref="S114">INT(SUMPRODUCT(--ISNUMBER(SEARCH(immigration,C114)))&gt;0)</f>
        <v>0</v>
      </c>
      <c r="T114" s="31" cm="1">
        <f t="array" ref="T114">INT(SUMPRODUCT(--ISNUMBER(SEARCH(econineq,C115)))&gt;0)</f>
        <v>0</v>
      </c>
      <c r="U114" s="31" cm="1">
        <f t="array" ref="U114">INT(SUMPRODUCT(--ISNUMBER(SEARCH(climate,C114)))&gt;0)</f>
        <v>0</v>
      </c>
      <c r="V114" s="31" cm="1">
        <f t="array" ref="V114">INT(SUMPRODUCT(--ISNUMBER(SEARCH(abortion,C114)))&gt;0)</f>
        <v>0</v>
      </c>
      <c r="W114" s="31" cm="1">
        <f t="array" ref="W114">INT(SUMPRODUCT(--ISNUMBER(SEARCH(trump,C114)))&gt;0)</f>
        <v>1</v>
      </c>
      <c r="X114" s="31" cm="1">
        <f t="array" ref="X114">INT(SUMPRODUCT(--ISNUMBER(SEARCH(voting,C114)))&gt;0)</f>
        <v>0</v>
      </c>
      <c r="Y114" s="31" cm="1">
        <f t="array" ref="Y114">INT(SUMPRODUCT(--ISNUMBER(SEARCH(democrattrigger,C114)))&gt;0)</f>
        <v>1</v>
      </c>
      <c r="Z114" s="31" cm="1">
        <f t="array" ref="Z114">INT(SUMPRODUCT(--ISNUMBER(SEARCH(bipartisan,C114)))&gt;0)</f>
        <v>1</v>
      </c>
      <c r="AA114" s="31">
        <f t="shared" si="1"/>
        <v>0</v>
      </c>
      <c r="AB114" s="31"/>
      <c r="AC114" s="111" t="s">
        <v>223</v>
      </c>
      <c r="AD114" s="112" t="s">
        <v>223</v>
      </c>
    </row>
    <row r="115" spans="1:30" x14ac:dyDescent="0.25">
      <c r="A115" s="109">
        <v>1971</v>
      </c>
      <c r="B115" s="31" t="s">
        <v>3968</v>
      </c>
      <c r="C115" s="31" t="s">
        <v>3969</v>
      </c>
      <c r="D115" s="110">
        <v>44126</v>
      </c>
      <c r="E115" s="31" t="s">
        <v>30</v>
      </c>
      <c r="F115" s="31">
        <v>205</v>
      </c>
      <c r="G115" s="31">
        <v>77</v>
      </c>
      <c r="H115" s="31">
        <v>9</v>
      </c>
      <c r="I115" s="31">
        <v>5</v>
      </c>
      <c r="J115" s="31" t="s">
        <v>204</v>
      </c>
      <c r="K115" s="31" cm="1">
        <f t="array" ref="K115">INT(SUMPRODUCT(--ISNUMBER(SEARCH(economy,C115)))&gt;0)</f>
        <v>0</v>
      </c>
      <c r="L115" s="31" cm="1">
        <f t="array" ref="L115">INT(SUMPRODUCT(--ISNUMBER(SEARCH(healthcare,C115)))&gt;0)</f>
        <v>1</v>
      </c>
      <c r="M115" s="31" cm="1">
        <f t="array" ref="M115">INT(SUMPRODUCT(--ISNUMBER(SEARCH(supreme,C115)))&gt;0)</f>
        <v>1</v>
      </c>
      <c r="N115" s="31" cm="1">
        <f t="array" ref="N115">INT(SUMPRODUCT(--ISNUMBER(SEARCH(covid,C115)))&gt;0)</f>
        <v>0</v>
      </c>
      <c r="O115" s="31" cm="1">
        <f t="array" ref="O115">INT(SUMPRODUCT(--ISNUMBER(SEARCH(violent,C115)))&gt;0)</f>
        <v>0</v>
      </c>
      <c r="P115" s="31" cm="1">
        <f t="array" ref="P115">INT(SUMPRODUCT(--ISNUMBER(SEARCH(foreign,C115)))&gt;0)</f>
        <v>0</v>
      </c>
      <c r="Q115" s="31" cm="1">
        <f t="array" ref="Q115">INT(SUMPRODUCT(--ISNUMBER(SEARCH(gun,C115)))&gt;0)</f>
        <v>0</v>
      </c>
      <c r="R115" s="31" cm="1">
        <f t="array" ref="R115">INT(SUMPRODUCT(--ISNUMBER(SEARCH(race,C115)))&gt;0)</f>
        <v>0</v>
      </c>
      <c r="S115" s="31" cm="1">
        <f t="array" ref="S115">INT(SUMPRODUCT(--ISNUMBER(SEARCH(immigration,C115)))&gt;0)</f>
        <v>0</v>
      </c>
      <c r="T115" s="31" cm="1">
        <f t="array" ref="T115">INT(SUMPRODUCT(--ISNUMBER(SEARCH(econineq,C116)))&gt;0)</f>
        <v>0</v>
      </c>
      <c r="U115" s="31" cm="1">
        <f t="array" ref="U115">INT(SUMPRODUCT(--ISNUMBER(SEARCH(climate,C115)))&gt;0)</f>
        <v>0</v>
      </c>
      <c r="V115" s="31" cm="1">
        <f t="array" ref="V115">INT(SUMPRODUCT(--ISNUMBER(SEARCH(abortion,C115)))&gt;0)</f>
        <v>1</v>
      </c>
      <c r="W115" s="31" cm="1">
        <f t="array" ref="W115">INT(SUMPRODUCT(--ISNUMBER(SEARCH(trump,C115)))&gt;0)</f>
        <v>0</v>
      </c>
      <c r="X115" s="31" cm="1">
        <f t="array" ref="X115">INT(SUMPRODUCT(--ISNUMBER(SEARCH(voting,C115)))&gt;0)</f>
        <v>1</v>
      </c>
      <c r="Y115" s="31" cm="1">
        <f t="array" ref="Y115">INT(SUMPRODUCT(--ISNUMBER(SEARCH(democrattrigger,C115)))&gt;0)</f>
        <v>0</v>
      </c>
      <c r="Z115" s="31" cm="1">
        <f t="array" ref="Z115">INT(SUMPRODUCT(--ISNUMBER(SEARCH(bipartisan,C115)))&gt;0)</f>
        <v>0</v>
      </c>
      <c r="AA115" s="31">
        <f t="shared" si="1"/>
        <v>0</v>
      </c>
      <c r="AB115" s="31"/>
      <c r="AC115" s="111" t="s">
        <v>223</v>
      </c>
      <c r="AD115" s="112" t="s">
        <v>223</v>
      </c>
    </row>
    <row r="116" spans="1:30" x14ac:dyDescent="0.25">
      <c r="A116" s="109">
        <v>1972</v>
      </c>
      <c r="B116" s="31" t="s">
        <v>3970</v>
      </c>
      <c r="C116" s="31" t="s">
        <v>3971</v>
      </c>
      <c r="D116" s="110">
        <v>44126</v>
      </c>
      <c r="E116" s="31" t="s">
        <v>30</v>
      </c>
      <c r="F116" s="31">
        <v>397</v>
      </c>
      <c r="G116" s="31">
        <v>170</v>
      </c>
      <c r="H116" s="31">
        <v>9</v>
      </c>
      <c r="I116" s="31">
        <v>5</v>
      </c>
      <c r="J116" s="31" t="s">
        <v>204</v>
      </c>
      <c r="K116" s="31" cm="1">
        <f t="array" ref="K116">INT(SUMPRODUCT(--ISNUMBER(SEARCH(economy,C116)))&gt;0)</f>
        <v>0</v>
      </c>
      <c r="L116" s="31" cm="1">
        <f t="array" ref="L116">INT(SUMPRODUCT(--ISNUMBER(SEARCH(healthcare,C116)))&gt;0)</f>
        <v>1</v>
      </c>
      <c r="M116" s="31" cm="1">
        <f t="array" ref="M116">INT(SUMPRODUCT(--ISNUMBER(SEARCH(supreme,C116)))&gt;0)</f>
        <v>0</v>
      </c>
      <c r="N116" s="31" cm="1">
        <f t="array" ref="N116">INT(SUMPRODUCT(--ISNUMBER(SEARCH(covid,C116)))&gt;0)</f>
        <v>0</v>
      </c>
      <c r="O116" s="31" cm="1">
        <f t="array" ref="O116">INT(SUMPRODUCT(--ISNUMBER(SEARCH(violent,C116)))&gt;0)</f>
        <v>0</v>
      </c>
      <c r="P116" s="31" cm="1">
        <f t="array" ref="P116">INT(SUMPRODUCT(--ISNUMBER(SEARCH(foreign,C116)))&gt;0)</f>
        <v>0</v>
      </c>
      <c r="Q116" s="31" cm="1">
        <f t="array" ref="Q116">INT(SUMPRODUCT(--ISNUMBER(SEARCH(gun,C116)))&gt;0)</f>
        <v>0</v>
      </c>
      <c r="R116" s="31" cm="1">
        <f t="array" ref="R116">INT(SUMPRODUCT(--ISNUMBER(SEARCH(race,C116)))&gt;0)</f>
        <v>0</v>
      </c>
      <c r="S116" s="31" cm="1">
        <f t="array" ref="S116">INT(SUMPRODUCT(--ISNUMBER(SEARCH(immigration,C116)))&gt;0)</f>
        <v>0</v>
      </c>
      <c r="T116" s="31" cm="1">
        <f t="array" ref="T116">INT(SUMPRODUCT(--ISNUMBER(SEARCH(econineq,C117)))&gt;0)</f>
        <v>0</v>
      </c>
      <c r="U116" s="31" cm="1">
        <f t="array" ref="U116">INT(SUMPRODUCT(--ISNUMBER(SEARCH(climate,C116)))&gt;0)</f>
        <v>0</v>
      </c>
      <c r="V116" s="31" cm="1">
        <f t="array" ref="V116">INT(SUMPRODUCT(--ISNUMBER(SEARCH(abortion,C116)))&gt;0)</f>
        <v>0</v>
      </c>
      <c r="W116" s="31" cm="1">
        <f t="array" ref="W116">INT(SUMPRODUCT(--ISNUMBER(SEARCH(trump,C116)))&gt;0)</f>
        <v>1</v>
      </c>
      <c r="X116" s="31" cm="1">
        <f t="array" ref="X116">INT(SUMPRODUCT(--ISNUMBER(SEARCH(voting,C116)))&gt;0)</f>
        <v>0</v>
      </c>
      <c r="Y116" s="31" cm="1">
        <f t="array" ref="Y116">INT(SUMPRODUCT(--ISNUMBER(SEARCH(democrattrigger,C116)))&gt;0)</f>
        <v>0</v>
      </c>
      <c r="Z116" s="31" cm="1">
        <f t="array" ref="Z116">INT(SUMPRODUCT(--ISNUMBER(SEARCH(bipartisan,C116)))&gt;0)</f>
        <v>0</v>
      </c>
      <c r="AA116" s="31">
        <f t="shared" si="1"/>
        <v>0</v>
      </c>
      <c r="AB116" s="31"/>
      <c r="AC116" s="111" t="s">
        <v>223</v>
      </c>
      <c r="AD116" s="112" t="s">
        <v>223</v>
      </c>
    </row>
    <row r="117" spans="1:30" x14ac:dyDescent="0.25">
      <c r="A117" s="109">
        <v>1973</v>
      </c>
      <c r="B117" s="31" t="s">
        <v>3972</v>
      </c>
      <c r="C117" s="31" t="s">
        <v>3973</v>
      </c>
      <c r="D117" s="110">
        <v>44126</v>
      </c>
      <c r="E117" s="31" t="s">
        <v>30</v>
      </c>
      <c r="F117" s="31">
        <v>136</v>
      </c>
      <c r="G117" s="31">
        <v>49</v>
      </c>
      <c r="H117" s="31">
        <v>9</v>
      </c>
      <c r="I117" s="31">
        <v>5</v>
      </c>
      <c r="J117" s="31" t="s">
        <v>204</v>
      </c>
      <c r="K117" s="31" cm="1">
        <f t="array" ref="K117">INT(SUMPRODUCT(--ISNUMBER(SEARCH(economy,C117)))&gt;0)</f>
        <v>0</v>
      </c>
      <c r="L117" s="31" cm="1">
        <f t="array" ref="L117">INT(SUMPRODUCT(--ISNUMBER(SEARCH(healthcare,C117)))&gt;0)</f>
        <v>0</v>
      </c>
      <c r="M117" s="31" cm="1">
        <f t="array" ref="M117">INT(SUMPRODUCT(--ISNUMBER(SEARCH(supreme,C117)))&gt;0)</f>
        <v>0</v>
      </c>
      <c r="N117" s="31" cm="1">
        <f t="array" ref="N117">INT(SUMPRODUCT(--ISNUMBER(SEARCH(covid,C117)))&gt;0)</f>
        <v>0</v>
      </c>
      <c r="O117" s="31" cm="1">
        <f t="array" ref="O117">INT(SUMPRODUCT(--ISNUMBER(SEARCH(violent,C117)))&gt;0)</f>
        <v>0</v>
      </c>
      <c r="P117" s="31" cm="1">
        <f t="array" ref="P117">INT(SUMPRODUCT(--ISNUMBER(SEARCH(foreign,C117)))&gt;0)</f>
        <v>0</v>
      </c>
      <c r="Q117" s="31" cm="1">
        <f t="array" ref="Q117">INT(SUMPRODUCT(--ISNUMBER(SEARCH(gun,C117)))&gt;0)</f>
        <v>0</v>
      </c>
      <c r="R117" s="31" cm="1">
        <f t="array" ref="R117">INT(SUMPRODUCT(--ISNUMBER(SEARCH(race,C117)))&gt;0)</f>
        <v>0</v>
      </c>
      <c r="S117" s="31" cm="1">
        <f t="array" ref="S117">INT(SUMPRODUCT(--ISNUMBER(SEARCH(immigration,C117)))&gt;0)</f>
        <v>0</v>
      </c>
      <c r="T117" s="31" cm="1">
        <f t="array" ref="T117">INT(SUMPRODUCT(--ISNUMBER(SEARCH(econineq,C118)))&gt;0)</f>
        <v>0</v>
      </c>
      <c r="U117" s="31" cm="1">
        <f t="array" ref="U117">INT(SUMPRODUCT(--ISNUMBER(SEARCH(climate,C117)))&gt;0)</f>
        <v>0</v>
      </c>
      <c r="V117" s="31" cm="1">
        <f t="array" ref="V117">INT(SUMPRODUCT(--ISNUMBER(SEARCH(abortion,C117)))&gt;0)</f>
        <v>0</v>
      </c>
      <c r="W117" s="31" cm="1">
        <f t="array" ref="W117">INT(SUMPRODUCT(--ISNUMBER(SEARCH(trump,C117)))&gt;0)</f>
        <v>0</v>
      </c>
      <c r="X117" s="31" cm="1">
        <f t="array" ref="X117">INT(SUMPRODUCT(--ISNUMBER(SEARCH(voting,C117)))&gt;0)</f>
        <v>1</v>
      </c>
      <c r="Y117" s="31" cm="1">
        <f t="array" ref="Y117">INT(SUMPRODUCT(--ISNUMBER(SEARCH(democrattrigger,C117)))&gt;0)</f>
        <v>0</v>
      </c>
      <c r="Z117" s="31" cm="1">
        <f t="array" ref="Z117">INT(SUMPRODUCT(--ISNUMBER(SEARCH(bipartisan,C117)))&gt;0)</f>
        <v>0</v>
      </c>
      <c r="AA117" s="31">
        <f t="shared" si="1"/>
        <v>0</v>
      </c>
      <c r="AB117" s="31"/>
      <c r="AC117" s="111">
        <v>0</v>
      </c>
      <c r="AD117" s="112">
        <v>1</v>
      </c>
    </row>
    <row r="118" spans="1:30" x14ac:dyDescent="0.25">
      <c r="A118" s="109">
        <v>1974</v>
      </c>
      <c r="B118" s="31" t="s">
        <v>3974</v>
      </c>
      <c r="C118" s="31" t="s">
        <v>3975</v>
      </c>
      <c r="D118" s="110">
        <v>44126</v>
      </c>
      <c r="E118" s="31" t="s">
        <v>30</v>
      </c>
      <c r="F118" s="31">
        <v>267</v>
      </c>
      <c r="G118" s="31">
        <v>80</v>
      </c>
      <c r="H118" s="31">
        <v>9</v>
      </c>
      <c r="I118" s="31">
        <v>5</v>
      </c>
      <c r="J118" s="31" t="s">
        <v>204</v>
      </c>
      <c r="K118" s="31" cm="1">
        <f t="array" ref="K118">INT(SUMPRODUCT(--ISNUMBER(SEARCH(economy,C118)))&gt;0)</f>
        <v>0</v>
      </c>
      <c r="L118" s="31" cm="1">
        <f t="array" ref="L118">INT(SUMPRODUCT(--ISNUMBER(SEARCH(healthcare,C118)))&gt;0)</f>
        <v>0</v>
      </c>
      <c r="M118" s="31" cm="1">
        <f t="array" ref="M118">INT(SUMPRODUCT(--ISNUMBER(SEARCH(supreme,C118)))&gt;0)</f>
        <v>0</v>
      </c>
      <c r="N118" s="31" cm="1">
        <f t="array" ref="N118">INT(SUMPRODUCT(--ISNUMBER(SEARCH(covid,C118)))&gt;0)</f>
        <v>0</v>
      </c>
      <c r="O118" s="31" cm="1">
        <f t="array" ref="O118">INT(SUMPRODUCT(--ISNUMBER(SEARCH(violent,C118)))&gt;0)</f>
        <v>0</v>
      </c>
      <c r="P118" s="31" cm="1">
        <f t="array" ref="P118">INT(SUMPRODUCT(--ISNUMBER(SEARCH(foreign,C118)))&gt;0)</f>
        <v>0</v>
      </c>
      <c r="Q118" s="31" cm="1">
        <f t="array" ref="Q118">INT(SUMPRODUCT(--ISNUMBER(SEARCH(gun,C118)))&gt;0)</f>
        <v>0</v>
      </c>
      <c r="R118" s="31" cm="1">
        <f t="array" ref="R118">INT(SUMPRODUCT(--ISNUMBER(SEARCH(race,C118)))&gt;0)</f>
        <v>0</v>
      </c>
      <c r="S118" s="31" cm="1">
        <f t="array" ref="S118">INT(SUMPRODUCT(--ISNUMBER(SEARCH(immigration,C118)))&gt;0)</f>
        <v>0</v>
      </c>
      <c r="T118" s="31" cm="1">
        <f t="array" ref="T118">INT(SUMPRODUCT(--ISNUMBER(SEARCH(econineq,C119)))&gt;0)</f>
        <v>0</v>
      </c>
      <c r="U118" s="31" cm="1">
        <f t="array" ref="U118">INT(SUMPRODUCT(--ISNUMBER(SEARCH(climate,C118)))&gt;0)</f>
        <v>0</v>
      </c>
      <c r="V118" s="31" cm="1">
        <f t="array" ref="V118">INT(SUMPRODUCT(--ISNUMBER(SEARCH(abortion,C118)))&gt;0)</f>
        <v>0</v>
      </c>
      <c r="W118" s="31" cm="1">
        <f t="array" ref="W118">INT(SUMPRODUCT(--ISNUMBER(SEARCH(trump,C118)))&gt;0)</f>
        <v>0</v>
      </c>
      <c r="X118" s="31" cm="1">
        <f t="array" ref="X118">INT(SUMPRODUCT(--ISNUMBER(SEARCH(voting,C118)))&gt;0)</f>
        <v>0</v>
      </c>
      <c r="Y118" s="31" cm="1">
        <f t="array" ref="Y118">INT(SUMPRODUCT(--ISNUMBER(SEARCH(democrattrigger,C118)))&gt;0)</f>
        <v>0</v>
      </c>
      <c r="Z118" s="31" cm="1">
        <f t="array" ref="Z118">INT(SUMPRODUCT(--ISNUMBER(SEARCH(bipartisan,C118)))&gt;0)</f>
        <v>0</v>
      </c>
      <c r="AA118" s="31">
        <f t="shared" si="1"/>
        <v>1</v>
      </c>
      <c r="AB118" s="31"/>
      <c r="AC118" s="111" t="s">
        <v>223</v>
      </c>
      <c r="AD118" s="112" t="s">
        <v>223</v>
      </c>
    </row>
    <row r="119" spans="1:30" x14ac:dyDescent="0.25">
      <c r="A119" s="109">
        <v>1975</v>
      </c>
      <c r="B119" s="31" t="s">
        <v>3976</v>
      </c>
      <c r="C119" s="31" t="s">
        <v>3977</v>
      </c>
      <c r="D119" s="110">
        <v>44126</v>
      </c>
      <c r="E119" s="31" t="s">
        <v>30</v>
      </c>
      <c r="F119" s="31">
        <v>441</v>
      </c>
      <c r="G119" s="31">
        <v>110</v>
      </c>
      <c r="H119" s="31">
        <v>9</v>
      </c>
      <c r="I119" s="31">
        <v>5</v>
      </c>
      <c r="J119" s="31" t="s">
        <v>204</v>
      </c>
      <c r="K119" s="31" cm="1">
        <f t="array" ref="K119">INT(SUMPRODUCT(--ISNUMBER(SEARCH(economy,C119)))&gt;0)</f>
        <v>0</v>
      </c>
      <c r="L119" s="31" cm="1">
        <f t="array" ref="L119">INT(SUMPRODUCT(--ISNUMBER(SEARCH(healthcare,C119)))&gt;0)</f>
        <v>0</v>
      </c>
      <c r="M119" s="31" cm="1">
        <f t="array" ref="M119">INT(SUMPRODUCT(--ISNUMBER(SEARCH(supreme,C119)))&gt;0)</f>
        <v>0</v>
      </c>
      <c r="N119" s="31" cm="1">
        <f t="array" ref="N119">INT(SUMPRODUCT(--ISNUMBER(SEARCH(covid,C119)))&gt;0)</f>
        <v>0</v>
      </c>
      <c r="O119" s="31" cm="1">
        <f t="array" ref="O119">INT(SUMPRODUCT(--ISNUMBER(SEARCH(violent,C119)))&gt;0)</f>
        <v>0</v>
      </c>
      <c r="P119" s="31" cm="1">
        <f t="array" ref="P119">INT(SUMPRODUCT(--ISNUMBER(SEARCH(foreign,C119)))&gt;0)</f>
        <v>0</v>
      </c>
      <c r="Q119" s="31" cm="1">
        <f t="array" ref="Q119">INT(SUMPRODUCT(--ISNUMBER(SEARCH(gun,C119)))&gt;0)</f>
        <v>0</v>
      </c>
      <c r="R119" s="31" cm="1">
        <f t="array" ref="R119">INT(SUMPRODUCT(--ISNUMBER(SEARCH(race,C119)))&gt;0)</f>
        <v>0</v>
      </c>
      <c r="S119" s="31" cm="1">
        <f t="array" ref="S119">INT(SUMPRODUCT(--ISNUMBER(SEARCH(immigration,C119)))&gt;0)</f>
        <v>0</v>
      </c>
      <c r="T119" s="31" cm="1">
        <f t="array" ref="T119">INT(SUMPRODUCT(--ISNUMBER(SEARCH(econineq,C120)))&gt;0)</f>
        <v>0</v>
      </c>
      <c r="U119" s="31" cm="1">
        <f t="array" ref="U119">INT(SUMPRODUCT(--ISNUMBER(SEARCH(climate,C119)))&gt;0)</f>
        <v>0</v>
      </c>
      <c r="V119" s="31" cm="1">
        <f t="array" ref="V119">INT(SUMPRODUCT(--ISNUMBER(SEARCH(abortion,C119)))&gt;0)</f>
        <v>0</v>
      </c>
      <c r="W119" s="31" cm="1">
        <f t="array" ref="W119">INT(SUMPRODUCT(--ISNUMBER(SEARCH(trump,C119)))&gt;0)</f>
        <v>0</v>
      </c>
      <c r="X119" s="31" cm="1">
        <f t="array" ref="X119">INT(SUMPRODUCT(--ISNUMBER(SEARCH(voting,C119)))&gt;0)</f>
        <v>0</v>
      </c>
      <c r="Y119" s="31" cm="1">
        <f t="array" ref="Y119">INT(SUMPRODUCT(--ISNUMBER(SEARCH(democrattrigger,C119)))&gt;0)</f>
        <v>0</v>
      </c>
      <c r="Z119" s="31" cm="1">
        <f t="array" ref="Z119">INT(SUMPRODUCT(--ISNUMBER(SEARCH(bipartisan,C119)))&gt;0)</f>
        <v>0</v>
      </c>
      <c r="AA119" s="31">
        <f t="shared" si="1"/>
        <v>1</v>
      </c>
      <c r="AB119" s="31"/>
      <c r="AC119" s="111">
        <v>1</v>
      </c>
      <c r="AD119" s="112">
        <v>0</v>
      </c>
    </row>
    <row r="120" spans="1:30" x14ac:dyDescent="0.25">
      <c r="A120" s="109">
        <v>1976</v>
      </c>
      <c r="B120" s="31" t="s">
        <v>3978</v>
      </c>
      <c r="C120" s="31" t="s">
        <v>3979</v>
      </c>
      <c r="D120" s="110">
        <v>44125</v>
      </c>
      <c r="E120" s="31" t="s">
        <v>30</v>
      </c>
      <c r="F120" s="31">
        <v>268</v>
      </c>
      <c r="G120" s="31">
        <v>119</v>
      </c>
      <c r="H120" s="31">
        <v>9</v>
      </c>
      <c r="I120" s="31">
        <v>5</v>
      </c>
      <c r="J120" s="31" t="s">
        <v>204</v>
      </c>
      <c r="K120" s="31" cm="1">
        <f t="array" ref="K120">INT(SUMPRODUCT(--ISNUMBER(SEARCH(economy,C120)))&gt;0)</f>
        <v>1</v>
      </c>
      <c r="L120" s="31" cm="1">
        <f t="array" ref="L120">INT(SUMPRODUCT(--ISNUMBER(SEARCH(healthcare,C120)))&gt;0)</f>
        <v>0</v>
      </c>
      <c r="M120" s="31" cm="1">
        <f t="array" ref="M120">INT(SUMPRODUCT(--ISNUMBER(SEARCH(supreme,C120)))&gt;0)</f>
        <v>0</v>
      </c>
      <c r="N120" s="31" cm="1">
        <f t="array" ref="N120">INT(SUMPRODUCT(--ISNUMBER(SEARCH(covid,C120)))&gt;0)</f>
        <v>0</v>
      </c>
      <c r="O120" s="31" cm="1">
        <f t="array" ref="O120">INT(SUMPRODUCT(--ISNUMBER(SEARCH(violent,C120)))&gt;0)</f>
        <v>0</v>
      </c>
      <c r="P120" s="31" cm="1">
        <f t="array" ref="P120">INT(SUMPRODUCT(--ISNUMBER(SEARCH(foreign,C120)))&gt;0)</f>
        <v>0</v>
      </c>
      <c r="Q120" s="31" cm="1">
        <f t="array" ref="Q120">INT(SUMPRODUCT(--ISNUMBER(SEARCH(gun,C120)))&gt;0)</f>
        <v>0</v>
      </c>
      <c r="R120" s="31" cm="1">
        <f t="array" ref="R120">INT(SUMPRODUCT(--ISNUMBER(SEARCH(race,C120)))&gt;0)</f>
        <v>0</v>
      </c>
      <c r="S120" s="31" cm="1">
        <f t="array" ref="S120">INT(SUMPRODUCT(--ISNUMBER(SEARCH(immigration,C120)))&gt;0)</f>
        <v>0</v>
      </c>
      <c r="T120" s="31" cm="1">
        <f t="array" ref="T120">INT(SUMPRODUCT(--ISNUMBER(SEARCH(econineq,C121)))&gt;0)</f>
        <v>0</v>
      </c>
      <c r="U120" s="31" cm="1">
        <f t="array" ref="U120">INT(SUMPRODUCT(--ISNUMBER(SEARCH(climate,C120)))&gt;0)</f>
        <v>0</v>
      </c>
      <c r="V120" s="31" cm="1">
        <f t="array" ref="V120">INT(SUMPRODUCT(--ISNUMBER(SEARCH(abortion,C120)))&gt;0)</f>
        <v>0</v>
      </c>
      <c r="W120" s="31" cm="1">
        <f t="array" ref="W120">INT(SUMPRODUCT(--ISNUMBER(SEARCH(trump,C120)))&gt;0)</f>
        <v>0</v>
      </c>
      <c r="X120" s="31" cm="1">
        <f t="array" ref="X120">INT(SUMPRODUCT(--ISNUMBER(SEARCH(voting,C120)))&gt;0)</f>
        <v>1</v>
      </c>
      <c r="Y120" s="31" cm="1">
        <f t="array" ref="Y120">INT(SUMPRODUCT(--ISNUMBER(SEARCH(democrattrigger,C120)))&gt;0)</f>
        <v>0</v>
      </c>
      <c r="Z120" s="31" cm="1">
        <f t="array" ref="Z120">INT(SUMPRODUCT(--ISNUMBER(SEARCH(bipartisan,C120)))&gt;0)</f>
        <v>0</v>
      </c>
      <c r="AA120" s="31">
        <f t="shared" si="1"/>
        <v>0</v>
      </c>
      <c r="AB120" s="31"/>
      <c r="AC120" s="111">
        <v>1</v>
      </c>
      <c r="AD120" s="112">
        <v>0</v>
      </c>
    </row>
    <row r="121" spans="1:30" x14ac:dyDescent="0.25">
      <c r="A121" s="109">
        <v>1977</v>
      </c>
      <c r="B121" s="31" t="s">
        <v>3980</v>
      </c>
      <c r="C121" s="31" t="s">
        <v>3981</v>
      </c>
      <c r="D121" s="110">
        <v>44125</v>
      </c>
      <c r="E121" s="31" t="s">
        <v>30</v>
      </c>
      <c r="F121" s="31">
        <v>321</v>
      </c>
      <c r="G121" s="31">
        <v>131</v>
      </c>
      <c r="H121" s="31">
        <v>9</v>
      </c>
      <c r="I121" s="31">
        <v>5</v>
      </c>
      <c r="J121" s="31" t="s">
        <v>204</v>
      </c>
      <c r="K121" s="31" cm="1">
        <f t="array" ref="K121">INT(SUMPRODUCT(--ISNUMBER(SEARCH(economy,C121)))&gt;0)</f>
        <v>0</v>
      </c>
      <c r="L121" s="31" cm="1">
        <f t="array" ref="L121">INT(SUMPRODUCT(--ISNUMBER(SEARCH(healthcare,C121)))&gt;0)</f>
        <v>0</v>
      </c>
      <c r="M121" s="31" cm="1">
        <f t="array" ref="M121">INT(SUMPRODUCT(--ISNUMBER(SEARCH(supreme,C121)))&gt;0)</f>
        <v>0</v>
      </c>
      <c r="N121" s="31" cm="1">
        <f t="array" ref="N121">INT(SUMPRODUCT(--ISNUMBER(SEARCH(covid,C121)))&gt;0)</f>
        <v>0</v>
      </c>
      <c r="O121" s="31" cm="1">
        <f t="array" ref="O121">INT(SUMPRODUCT(--ISNUMBER(SEARCH(violent,C121)))&gt;0)</f>
        <v>0</v>
      </c>
      <c r="P121" s="31" cm="1">
        <f t="array" ref="P121">INT(SUMPRODUCT(--ISNUMBER(SEARCH(foreign,C121)))&gt;0)</f>
        <v>0</v>
      </c>
      <c r="Q121" s="31" cm="1">
        <f t="array" ref="Q121">INT(SUMPRODUCT(--ISNUMBER(SEARCH(gun,C121)))&gt;0)</f>
        <v>0</v>
      </c>
      <c r="R121" s="31" cm="1">
        <f t="array" ref="R121">INT(SUMPRODUCT(--ISNUMBER(SEARCH(race,C121)))&gt;0)</f>
        <v>0</v>
      </c>
      <c r="S121" s="31" cm="1">
        <f t="array" ref="S121">INT(SUMPRODUCT(--ISNUMBER(SEARCH(immigration,C121)))&gt;0)</f>
        <v>0</v>
      </c>
      <c r="T121" s="31" cm="1">
        <f t="array" ref="T121">INT(SUMPRODUCT(--ISNUMBER(SEARCH(econineq,C122)))&gt;0)</f>
        <v>0</v>
      </c>
      <c r="U121" s="31" cm="1">
        <f t="array" ref="U121">INT(SUMPRODUCT(--ISNUMBER(SEARCH(climate,C121)))&gt;0)</f>
        <v>0</v>
      </c>
      <c r="V121" s="31" cm="1">
        <f t="array" ref="V121">INT(SUMPRODUCT(--ISNUMBER(SEARCH(abortion,C121)))&gt;0)</f>
        <v>0</v>
      </c>
      <c r="W121" s="31" cm="1">
        <f t="array" ref="W121">INT(SUMPRODUCT(--ISNUMBER(SEARCH(trump,C121)))&gt;0)</f>
        <v>0</v>
      </c>
      <c r="X121" s="31" cm="1">
        <f t="array" ref="X121">INT(SUMPRODUCT(--ISNUMBER(SEARCH(voting,C121)))&gt;0)</f>
        <v>1</v>
      </c>
      <c r="Y121" s="31" cm="1">
        <f t="array" ref="Y121">INT(SUMPRODUCT(--ISNUMBER(SEARCH(democrattrigger,C121)))&gt;0)</f>
        <v>0</v>
      </c>
      <c r="Z121" s="31" cm="1">
        <f t="array" ref="Z121">INT(SUMPRODUCT(--ISNUMBER(SEARCH(bipartisan,C121)))&gt;0)</f>
        <v>0</v>
      </c>
      <c r="AA121" s="31">
        <f t="shared" si="1"/>
        <v>0</v>
      </c>
      <c r="AB121" s="31"/>
      <c r="AC121" s="111">
        <v>1</v>
      </c>
      <c r="AD121" s="112">
        <v>0</v>
      </c>
    </row>
    <row r="122" spans="1:30" x14ac:dyDescent="0.25">
      <c r="A122" s="109">
        <v>1978</v>
      </c>
      <c r="B122" s="31" t="s">
        <v>3982</v>
      </c>
      <c r="C122" s="31" t="s">
        <v>3983</v>
      </c>
      <c r="D122" s="110">
        <v>44125</v>
      </c>
      <c r="E122" s="31" t="s">
        <v>30</v>
      </c>
      <c r="F122" s="31">
        <v>352</v>
      </c>
      <c r="G122" s="31">
        <v>139</v>
      </c>
      <c r="H122" s="31">
        <v>9</v>
      </c>
      <c r="I122" s="31">
        <v>5</v>
      </c>
      <c r="J122" s="31" t="s">
        <v>204</v>
      </c>
      <c r="K122" s="31" cm="1">
        <f t="array" ref="K122">INT(SUMPRODUCT(--ISNUMBER(SEARCH(economy,C122)))&gt;0)</f>
        <v>0</v>
      </c>
      <c r="L122" s="31" cm="1">
        <f t="array" ref="L122">INT(SUMPRODUCT(--ISNUMBER(SEARCH(healthcare,C122)))&gt;0)</f>
        <v>1</v>
      </c>
      <c r="M122" s="31" cm="1">
        <f t="array" ref="M122">INT(SUMPRODUCT(--ISNUMBER(SEARCH(supreme,C122)))&gt;0)</f>
        <v>1</v>
      </c>
      <c r="N122" s="31" cm="1">
        <f t="array" ref="N122">INT(SUMPRODUCT(--ISNUMBER(SEARCH(covid,C122)))&gt;0)</f>
        <v>0</v>
      </c>
      <c r="O122" s="31" cm="1">
        <f t="array" ref="O122">INT(SUMPRODUCT(--ISNUMBER(SEARCH(violent,C122)))&gt;0)</f>
        <v>0</v>
      </c>
      <c r="P122" s="31" cm="1">
        <f t="array" ref="P122">INT(SUMPRODUCT(--ISNUMBER(SEARCH(foreign,C122)))&gt;0)</f>
        <v>0</v>
      </c>
      <c r="Q122" s="31" cm="1">
        <f t="array" ref="Q122">INT(SUMPRODUCT(--ISNUMBER(SEARCH(gun,C122)))&gt;0)</f>
        <v>0</v>
      </c>
      <c r="R122" s="31" cm="1">
        <f t="array" ref="R122">INT(SUMPRODUCT(--ISNUMBER(SEARCH(race,C122)))&gt;0)</f>
        <v>0</v>
      </c>
      <c r="S122" s="31" cm="1">
        <f t="array" ref="S122">INT(SUMPRODUCT(--ISNUMBER(SEARCH(immigration,C122)))&gt;0)</f>
        <v>0</v>
      </c>
      <c r="T122" s="31" cm="1">
        <f t="array" ref="T122">INT(SUMPRODUCT(--ISNUMBER(SEARCH(econineq,C123)))&gt;0)</f>
        <v>0</v>
      </c>
      <c r="U122" s="31" cm="1">
        <f t="array" ref="U122">INT(SUMPRODUCT(--ISNUMBER(SEARCH(climate,C122)))&gt;0)</f>
        <v>0</v>
      </c>
      <c r="V122" s="31" cm="1">
        <f t="array" ref="V122">INT(SUMPRODUCT(--ISNUMBER(SEARCH(abortion,C122)))&gt;0)</f>
        <v>0</v>
      </c>
      <c r="W122" s="31" cm="1">
        <f t="array" ref="W122">INT(SUMPRODUCT(--ISNUMBER(SEARCH(trump,C122)))&gt;0)</f>
        <v>1</v>
      </c>
      <c r="X122" s="31" cm="1">
        <f t="array" ref="X122">INT(SUMPRODUCT(--ISNUMBER(SEARCH(voting,C122)))&gt;0)</f>
        <v>0</v>
      </c>
      <c r="Y122" s="31" cm="1">
        <f t="array" ref="Y122">INT(SUMPRODUCT(--ISNUMBER(SEARCH(democrattrigger,C122)))&gt;0)</f>
        <v>1</v>
      </c>
      <c r="Z122" s="31" cm="1">
        <f t="array" ref="Z122">INT(SUMPRODUCT(--ISNUMBER(SEARCH(bipartisan,C122)))&gt;0)</f>
        <v>0</v>
      </c>
      <c r="AA122" s="31">
        <f t="shared" si="1"/>
        <v>0</v>
      </c>
      <c r="AB122" s="31"/>
      <c r="AC122" s="111" t="s">
        <v>223</v>
      </c>
      <c r="AD122" s="112" t="s">
        <v>223</v>
      </c>
    </row>
    <row r="123" spans="1:30" x14ac:dyDescent="0.25">
      <c r="A123" s="109">
        <v>1979</v>
      </c>
      <c r="B123" s="31" t="s">
        <v>3984</v>
      </c>
      <c r="C123" s="31" t="s">
        <v>3985</v>
      </c>
      <c r="D123" s="110">
        <v>44125</v>
      </c>
      <c r="E123" s="31" t="s">
        <v>30</v>
      </c>
      <c r="F123" s="31">
        <v>259</v>
      </c>
      <c r="G123" s="31">
        <v>111</v>
      </c>
      <c r="H123" s="31">
        <v>9</v>
      </c>
      <c r="I123" s="31">
        <v>5</v>
      </c>
      <c r="J123" s="31" t="s">
        <v>204</v>
      </c>
      <c r="K123" s="31" cm="1">
        <f t="array" ref="K123">INT(SUMPRODUCT(--ISNUMBER(SEARCH(economy,C123)))&gt;0)</f>
        <v>0</v>
      </c>
      <c r="L123" s="31" cm="1">
        <f t="array" ref="L123">INT(SUMPRODUCT(--ISNUMBER(SEARCH(healthcare,C123)))&gt;0)</f>
        <v>0</v>
      </c>
      <c r="M123" s="31" cm="1">
        <f t="array" ref="M123">INT(SUMPRODUCT(--ISNUMBER(SEARCH(supreme,C123)))&gt;0)</f>
        <v>0</v>
      </c>
      <c r="N123" s="31" cm="1">
        <f t="array" ref="N123">INT(SUMPRODUCT(--ISNUMBER(SEARCH(covid,C123)))&gt;0)</f>
        <v>0</v>
      </c>
      <c r="O123" s="31" cm="1">
        <f t="array" ref="O123">INT(SUMPRODUCT(--ISNUMBER(SEARCH(violent,C123)))&gt;0)</f>
        <v>0</v>
      </c>
      <c r="P123" s="31" cm="1">
        <f t="array" ref="P123">INT(SUMPRODUCT(--ISNUMBER(SEARCH(foreign,C123)))&gt;0)</f>
        <v>0</v>
      </c>
      <c r="Q123" s="31" cm="1">
        <f t="array" ref="Q123">INT(SUMPRODUCT(--ISNUMBER(SEARCH(gun,C123)))&gt;0)</f>
        <v>0</v>
      </c>
      <c r="R123" s="31" cm="1">
        <f t="array" ref="R123">INT(SUMPRODUCT(--ISNUMBER(SEARCH(race,C123)))&gt;0)</f>
        <v>0</v>
      </c>
      <c r="S123" s="31" cm="1">
        <f t="array" ref="S123">INT(SUMPRODUCT(--ISNUMBER(SEARCH(immigration,C123)))&gt;0)</f>
        <v>0</v>
      </c>
      <c r="T123" s="31" cm="1">
        <f t="array" ref="T123">INT(SUMPRODUCT(--ISNUMBER(SEARCH(econineq,C124)))&gt;0)</f>
        <v>0</v>
      </c>
      <c r="U123" s="31" cm="1">
        <f t="array" ref="U123">INT(SUMPRODUCT(--ISNUMBER(SEARCH(climate,C123)))&gt;0)</f>
        <v>0</v>
      </c>
      <c r="V123" s="31" cm="1">
        <f t="array" ref="V123">INT(SUMPRODUCT(--ISNUMBER(SEARCH(abortion,C123)))&gt;0)</f>
        <v>0</v>
      </c>
      <c r="W123" s="31" cm="1">
        <f t="array" ref="W123">INT(SUMPRODUCT(--ISNUMBER(SEARCH(trump,C123)))&gt;0)</f>
        <v>0</v>
      </c>
      <c r="X123" s="31" cm="1">
        <f t="array" ref="X123">INT(SUMPRODUCT(--ISNUMBER(SEARCH(voting,C123)))&gt;0)</f>
        <v>1</v>
      </c>
      <c r="Y123" s="31" cm="1">
        <f t="array" ref="Y123">INT(SUMPRODUCT(--ISNUMBER(SEARCH(democrattrigger,C123)))&gt;0)</f>
        <v>0</v>
      </c>
      <c r="Z123" s="31" cm="1">
        <f t="array" ref="Z123">INT(SUMPRODUCT(--ISNUMBER(SEARCH(bipartisan,C123)))&gt;0)</f>
        <v>0</v>
      </c>
      <c r="AA123" s="31">
        <f t="shared" si="1"/>
        <v>0</v>
      </c>
      <c r="AB123" s="31"/>
      <c r="AC123" s="111">
        <v>0</v>
      </c>
      <c r="AD123" s="112">
        <v>1</v>
      </c>
    </row>
    <row r="124" spans="1:30" x14ac:dyDescent="0.25">
      <c r="A124" s="109">
        <v>1980</v>
      </c>
      <c r="B124" s="31" t="s">
        <v>3986</v>
      </c>
      <c r="C124" s="31" t="s">
        <v>3987</v>
      </c>
      <c r="D124" s="110">
        <v>44125</v>
      </c>
      <c r="E124" s="31" t="s">
        <v>30</v>
      </c>
      <c r="F124" s="31">
        <v>180</v>
      </c>
      <c r="G124" s="31">
        <v>68</v>
      </c>
      <c r="H124" s="31">
        <v>9</v>
      </c>
      <c r="I124" s="31">
        <v>5</v>
      </c>
      <c r="J124" s="31" t="s">
        <v>204</v>
      </c>
      <c r="K124" s="31" cm="1">
        <f t="array" ref="K124">INT(SUMPRODUCT(--ISNUMBER(SEARCH(economy,C124)))&gt;0)</f>
        <v>1</v>
      </c>
      <c r="L124" s="31" cm="1">
        <f t="array" ref="L124">INT(SUMPRODUCT(--ISNUMBER(SEARCH(healthcare,C124)))&gt;0)</f>
        <v>0</v>
      </c>
      <c r="M124" s="31" cm="1">
        <f t="array" ref="M124">INT(SUMPRODUCT(--ISNUMBER(SEARCH(supreme,C124)))&gt;0)</f>
        <v>0</v>
      </c>
      <c r="N124" s="31" cm="1">
        <f t="array" ref="N124">INT(SUMPRODUCT(--ISNUMBER(SEARCH(covid,C124)))&gt;0)</f>
        <v>0</v>
      </c>
      <c r="O124" s="31" cm="1">
        <f t="array" ref="O124">INT(SUMPRODUCT(--ISNUMBER(SEARCH(violent,C124)))&gt;0)</f>
        <v>0</v>
      </c>
      <c r="P124" s="31" cm="1">
        <f t="array" ref="P124">INT(SUMPRODUCT(--ISNUMBER(SEARCH(foreign,C124)))&gt;0)</f>
        <v>0</v>
      </c>
      <c r="Q124" s="31" cm="1">
        <f t="array" ref="Q124">INT(SUMPRODUCT(--ISNUMBER(SEARCH(gun,C124)))&gt;0)</f>
        <v>0</v>
      </c>
      <c r="R124" s="31" cm="1">
        <f t="array" ref="R124">INT(SUMPRODUCT(--ISNUMBER(SEARCH(race,C124)))&gt;0)</f>
        <v>0</v>
      </c>
      <c r="S124" s="31" cm="1">
        <f t="array" ref="S124">INT(SUMPRODUCT(--ISNUMBER(SEARCH(immigration,C124)))&gt;0)</f>
        <v>0</v>
      </c>
      <c r="T124" s="31" cm="1">
        <f t="array" ref="T124">INT(SUMPRODUCT(--ISNUMBER(SEARCH(econineq,C125)))&gt;0)</f>
        <v>0</v>
      </c>
      <c r="U124" s="31" cm="1">
        <f t="array" ref="U124">INT(SUMPRODUCT(--ISNUMBER(SEARCH(climate,C124)))&gt;0)</f>
        <v>0</v>
      </c>
      <c r="V124" s="31" cm="1">
        <f t="array" ref="V124">INT(SUMPRODUCT(--ISNUMBER(SEARCH(abortion,C124)))&gt;0)</f>
        <v>0</v>
      </c>
      <c r="W124" s="31" cm="1">
        <f t="array" ref="W124">INT(SUMPRODUCT(--ISNUMBER(SEARCH(trump,C124)))&gt;0)</f>
        <v>0</v>
      </c>
      <c r="X124" s="31" cm="1">
        <f t="array" ref="X124">INT(SUMPRODUCT(--ISNUMBER(SEARCH(voting,C124)))&gt;0)</f>
        <v>1</v>
      </c>
      <c r="Y124" s="31" cm="1">
        <f t="array" ref="Y124">INT(SUMPRODUCT(--ISNUMBER(SEARCH(democrattrigger,C124)))&gt;0)</f>
        <v>0</v>
      </c>
      <c r="Z124" s="31" cm="1">
        <f t="array" ref="Z124">INT(SUMPRODUCT(--ISNUMBER(SEARCH(bipartisan,C124)))&gt;0)</f>
        <v>0</v>
      </c>
      <c r="AA124" s="31">
        <f t="shared" si="1"/>
        <v>0</v>
      </c>
      <c r="AB124" s="31"/>
      <c r="AC124" s="111" t="s">
        <v>223</v>
      </c>
      <c r="AD124" s="112" t="s">
        <v>223</v>
      </c>
    </row>
    <row r="125" spans="1:30" x14ac:dyDescent="0.25">
      <c r="A125" s="109">
        <v>1981</v>
      </c>
      <c r="B125" s="31" t="s">
        <v>3988</v>
      </c>
      <c r="C125" s="31" t="s">
        <v>3989</v>
      </c>
      <c r="D125" s="110">
        <v>44125</v>
      </c>
      <c r="E125" s="31" t="s">
        <v>30</v>
      </c>
      <c r="F125" s="31">
        <v>359</v>
      </c>
      <c r="G125" s="31">
        <v>84</v>
      </c>
      <c r="H125" s="31">
        <v>9</v>
      </c>
      <c r="I125" s="31">
        <v>5</v>
      </c>
      <c r="J125" s="31" t="s">
        <v>204</v>
      </c>
      <c r="K125" s="31" cm="1">
        <f t="array" ref="K125">INT(SUMPRODUCT(--ISNUMBER(SEARCH(economy,C125)))&gt;0)</f>
        <v>0</v>
      </c>
      <c r="L125" s="31" cm="1">
        <f t="array" ref="L125">INT(SUMPRODUCT(--ISNUMBER(SEARCH(healthcare,C125)))&gt;0)</f>
        <v>0</v>
      </c>
      <c r="M125" s="31" cm="1">
        <f t="array" ref="M125">INT(SUMPRODUCT(--ISNUMBER(SEARCH(supreme,C125)))&gt;0)</f>
        <v>0</v>
      </c>
      <c r="N125" s="31" cm="1">
        <f t="array" ref="N125">INT(SUMPRODUCT(--ISNUMBER(SEARCH(covid,C125)))&gt;0)</f>
        <v>0</v>
      </c>
      <c r="O125" s="31" cm="1">
        <f t="array" ref="O125">INT(SUMPRODUCT(--ISNUMBER(SEARCH(violent,C125)))&gt;0)</f>
        <v>0</v>
      </c>
      <c r="P125" s="31" cm="1">
        <f t="array" ref="P125">INT(SUMPRODUCT(--ISNUMBER(SEARCH(foreign,C125)))&gt;0)</f>
        <v>0</v>
      </c>
      <c r="Q125" s="31" cm="1">
        <f t="array" ref="Q125">INT(SUMPRODUCT(--ISNUMBER(SEARCH(gun,C125)))&gt;0)</f>
        <v>0</v>
      </c>
      <c r="R125" s="31" cm="1">
        <f t="array" ref="R125">INT(SUMPRODUCT(--ISNUMBER(SEARCH(race,C125)))&gt;0)</f>
        <v>0</v>
      </c>
      <c r="S125" s="31" cm="1">
        <f t="array" ref="S125">INT(SUMPRODUCT(--ISNUMBER(SEARCH(immigration,C125)))&gt;0)</f>
        <v>0</v>
      </c>
      <c r="T125" s="31" cm="1">
        <f t="array" ref="T125">INT(SUMPRODUCT(--ISNUMBER(SEARCH(econineq,C126)))&gt;0)</f>
        <v>0</v>
      </c>
      <c r="U125" s="31" cm="1">
        <f t="array" ref="U125">INT(SUMPRODUCT(--ISNUMBER(SEARCH(climate,C125)))&gt;0)</f>
        <v>0</v>
      </c>
      <c r="V125" s="31" cm="1">
        <f t="array" ref="V125">INT(SUMPRODUCT(--ISNUMBER(SEARCH(abortion,C125)))&gt;0)</f>
        <v>0</v>
      </c>
      <c r="W125" s="31" cm="1">
        <f t="array" ref="W125">INT(SUMPRODUCT(--ISNUMBER(SEARCH(trump,C125)))&gt;0)</f>
        <v>0</v>
      </c>
      <c r="X125" s="31" cm="1">
        <f t="array" ref="X125">INT(SUMPRODUCT(--ISNUMBER(SEARCH(voting,C125)))&gt;0)</f>
        <v>1</v>
      </c>
      <c r="Y125" s="31" cm="1">
        <f t="array" ref="Y125">INT(SUMPRODUCT(--ISNUMBER(SEARCH(democrattrigger,C125)))&gt;0)</f>
        <v>0</v>
      </c>
      <c r="Z125" s="31" cm="1">
        <f t="array" ref="Z125">INT(SUMPRODUCT(--ISNUMBER(SEARCH(bipartisan,C125)))&gt;0)</f>
        <v>0</v>
      </c>
      <c r="AA125" s="31">
        <f t="shared" si="1"/>
        <v>0</v>
      </c>
      <c r="AB125" s="31"/>
      <c r="AC125" s="111">
        <v>1</v>
      </c>
      <c r="AD125" s="112">
        <v>0</v>
      </c>
    </row>
    <row r="126" spans="1:30" x14ac:dyDescent="0.25">
      <c r="A126" s="109">
        <v>1982</v>
      </c>
      <c r="B126" s="31" t="s">
        <v>3990</v>
      </c>
      <c r="C126" s="31" t="s">
        <v>3991</v>
      </c>
      <c r="D126" s="110">
        <v>44125</v>
      </c>
      <c r="E126" s="31" t="s">
        <v>30</v>
      </c>
      <c r="F126" s="31">
        <v>165</v>
      </c>
      <c r="G126" s="31">
        <v>80</v>
      </c>
      <c r="H126" s="31">
        <v>9</v>
      </c>
      <c r="I126" s="31">
        <v>5</v>
      </c>
      <c r="J126" s="31" t="s">
        <v>204</v>
      </c>
      <c r="K126" s="31" cm="1">
        <f t="array" ref="K126">INT(SUMPRODUCT(--ISNUMBER(SEARCH(economy,C126)))&gt;0)</f>
        <v>0</v>
      </c>
      <c r="L126" s="31" cm="1">
        <f t="array" ref="L126">INT(SUMPRODUCT(--ISNUMBER(SEARCH(healthcare,C126)))&gt;0)</f>
        <v>0</v>
      </c>
      <c r="M126" s="31" cm="1">
        <f t="array" ref="M126">INT(SUMPRODUCT(--ISNUMBER(SEARCH(supreme,C126)))&gt;0)</f>
        <v>0</v>
      </c>
      <c r="N126" s="31" cm="1">
        <f t="array" ref="N126">INT(SUMPRODUCT(--ISNUMBER(SEARCH(covid,C126)))&gt;0)</f>
        <v>0</v>
      </c>
      <c r="O126" s="31" cm="1">
        <f t="array" ref="O126">INT(SUMPRODUCT(--ISNUMBER(SEARCH(violent,C126)))&gt;0)</f>
        <v>0</v>
      </c>
      <c r="P126" s="31" cm="1">
        <f t="array" ref="P126">INT(SUMPRODUCT(--ISNUMBER(SEARCH(foreign,C126)))&gt;0)</f>
        <v>1</v>
      </c>
      <c r="Q126" s="31" cm="1">
        <f t="array" ref="Q126">INT(SUMPRODUCT(--ISNUMBER(SEARCH(gun,C126)))&gt;0)</f>
        <v>0</v>
      </c>
      <c r="R126" s="31" cm="1">
        <f t="array" ref="R126">INT(SUMPRODUCT(--ISNUMBER(SEARCH(race,C126)))&gt;0)</f>
        <v>0</v>
      </c>
      <c r="S126" s="31" cm="1">
        <f t="array" ref="S126">INT(SUMPRODUCT(--ISNUMBER(SEARCH(immigration,C126)))&gt;0)</f>
        <v>0</v>
      </c>
      <c r="T126" s="31" cm="1">
        <f t="array" ref="T126">INT(SUMPRODUCT(--ISNUMBER(SEARCH(econineq,C127)))&gt;0)</f>
        <v>0</v>
      </c>
      <c r="U126" s="31" cm="1">
        <f t="array" ref="U126">INT(SUMPRODUCT(--ISNUMBER(SEARCH(climate,C126)))&gt;0)</f>
        <v>0</v>
      </c>
      <c r="V126" s="31" cm="1">
        <f t="array" ref="V126">INT(SUMPRODUCT(--ISNUMBER(SEARCH(abortion,C126)))&gt;0)</f>
        <v>0</v>
      </c>
      <c r="W126" s="31" cm="1">
        <f t="array" ref="W126">INT(SUMPRODUCT(--ISNUMBER(SEARCH(trump,C126)))&gt;0)</f>
        <v>1</v>
      </c>
      <c r="X126" s="31" cm="1">
        <f t="array" ref="X126">INT(SUMPRODUCT(--ISNUMBER(SEARCH(voting,C126)))&gt;0)</f>
        <v>0</v>
      </c>
      <c r="Y126" s="31" cm="1">
        <f t="array" ref="Y126">INT(SUMPRODUCT(--ISNUMBER(SEARCH(democrattrigger,C126)))&gt;0)</f>
        <v>1</v>
      </c>
      <c r="Z126" s="31" cm="1">
        <f t="array" ref="Z126">INT(SUMPRODUCT(--ISNUMBER(SEARCH(bipartisan,C126)))&gt;0)</f>
        <v>0</v>
      </c>
      <c r="AA126" s="31">
        <f t="shared" si="1"/>
        <v>0</v>
      </c>
      <c r="AB126" s="31"/>
      <c r="AC126" s="111" t="s">
        <v>223</v>
      </c>
      <c r="AD126" s="112" t="s">
        <v>223</v>
      </c>
    </row>
    <row r="127" spans="1:30" x14ac:dyDescent="0.25">
      <c r="A127" s="109">
        <v>1983</v>
      </c>
      <c r="B127" s="31" t="s">
        <v>3992</v>
      </c>
      <c r="C127" s="31" t="s">
        <v>3993</v>
      </c>
      <c r="D127" s="110">
        <v>44125</v>
      </c>
      <c r="E127" s="31" t="s">
        <v>30</v>
      </c>
      <c r="F127" s="31">
        <v>176</v>
      </c>
      <c r="G127" s="31">
        <v>65</v>
      </c>
      <c r="H127" s="31">
        <v>9</v>
      </c>
      <c r="I127" s="31">
        <v>5</v>
      </c>
      <c r="J127" s="31" t="s">
        <v>204</v>
      </c>
      <c r="K127" s="31" cm="1">
        <f t="array" ref="K127">INT(SUMPRODUCT(--ISNUMBER(SEARCH(economy,C127)))&gt;0)</f>
        <v>0</v>
      </c>
      <c r="L127" s="31" cm="1">
        <f t="array" ref="L127">INT(SUMPRODUCT(--ISNUMBER(SEARCH(healthcare,C127)))&gt;0)</f>
        <v>0</v>
      </c>
      <c r="M127" s="31" cm="1">
        <f t="array" ref="M127">INT(SUMPRODUCT(--ISNUMBER(SEARCH(supreme,C127)))&gt;0)</f>
        <v>0</v>
      </c>
      <c r="N127" s="31" cm="1">
        <f t="array" ref="N127">INT(SUMPRODUCT(--ISNUMBER(SEARCH(covid,C127)))&gt;0)</f>
        <v>0</v>
      </c>
      <c r="O127" s="31" cm="1">
        <f t="array" ref="O127">INT(SUMPRODUCT(--ISNUMBER(SEARCH(violent,C127)))&gt;0)</f>
        <v>0</v>
      </c>
      <c r="P127" s="31" cm="1">
        <f t="array" ref="P127">INT(SUMPRODUCT(--ISNUMBER(SEARCH(foreign,C127)))&gt;0)</f>
        <v>0</v>
      </c>
      <c r="Q127" s="31" cm="1">
        <f t="array" ref="Q127">INT(SUMPRODUCT(--ISNUMBER(SEARCH(gun,C127)))&gt;0)</f>
        <v>0</v>
      </c>
      <c r="R127" s="31" cm="1">
        <f t="array" ref="R127">INT(SUMPRODUCT(--ISNUMBER(SEARCH(race,C127)))&gt;0)</f>
        <v>0</v>
      </c>
      <c r="S127" s="31" cm="1">
        <f t="array" ref="S127">INT(SUMPRODUCT(--ISNUMBER(SEARCH(immigration,C127)))&gt;0)</f>
        <v>0</v>
      </c>
      <c r="T127" s="31" cm="1">
        <f t="array" ref="T127">INT(SUMPRODUCT(--ISNUMBER(SEARCH(econineq,C128)))&gt;0)</f>
        <v>0</v>
      </c>
      <c r="U127" s="31" cm="1">
        <f t="array" ref="U127">INT(SUMPRODUCT(--ISNUMBER(SEARCH(climate,C127)))&gt;0)</f>
        <v>0</v>
      </c>
      <c r="V127" s="31" cm="1">
        <f t="array" ref="V127">INT(SUMPRODUCT(--ISNUMBER(SEARCH(abortion,C127)))&gt;0)</f>
        <v>0</v>
      </c>
      <c r="W127" s="31" cm="1">
        <f t="array" ref="W127">INT(SUMPRODUCT(--ISNUMBER(SEARCH(trump,C127)))&gt;0)</f>
        <v>0</v>
      </c>
      <c r="X127" s="31" cm="1">
        <f t="array" ref="X127">INT(SUMPRODUCT(--ISNUMBER(SEARCH(voting,C127)))&gt;0)</f>
        <v>1</v>
      </c>
      <c r="Y127" s="31" cm="1">
        <f t="array" ref="Y127">INT(SUMPRODUCT(--ISNUMBER(SEARCH(democrattrigger,C127)))&gt;0)</f>
        <v>0</v>
      </c>
      <c r="Z127" s="31" cm="1">
        <f t="array" ref="Z127">INT(SUMPRODUCT(--ISNUMBER(SEARCH(bipartisan,C127)))&gt;0)</f>
        <v>0</v>
      </c>
      <c r="AA127" s="31">
        <f t="shared" si="1"/>
        <v>0</v>
      </c>
      <c r="AB127" s="31"/>
      <c r="AC127" s="111">
        <v>1</v>
      </c>
      <c r="AD127" s="112">
        <v>0</v>
      </c>
    </row>
    <row r="128" spans="1:30" x14ac:dyDescent="0.25">
      <c r="A128" s="109">
        <v>1984</v>
      </c>
      <c r="B128" s="31" t="s">
        <v>3994</v>
      </c>
      <c r="C128" s="31" t="s">
        <v>3995</v>
      </c>
      <c r="D128" s="110">
        <v>44124</v>
      </c>
      <c r="E128" s="31" t="s">
        <v>30</v>
      </c>
      <c r="F128" s="31">
        <v>399</v>
      </c>
      <c r="G128" s="31">
        <v>80</v>
      </c>
      <c r="H128" s="31">
        <v>9</v>
      </c>
      <c r="I128" s="31">
        <v>5</v>
      </c>
      <c r="J128" s="31" t="s">
        <v>204</v>
      </c>
      <c r="K128" s="31" cm="1">
        <f t="array" ref="K128">INT(SUMPRODUCT(--ISNUMBER(SEARCH(economy,C128)))&gt;0)</f>
        <v>0</v>
      </c>
      <c r="L128" s="31" cm="1">
        <f t="array" ref="L128">INT(SUMPRODUCT(--ISNUMBER(SEARCH(healthcare,C128)))&gt;0)</f>
        <v>0</v>
      </c>
      <c r="M128" s="31" cm="1">
        <f t="array" ref="M128">INT(SUMPRODUCT(--ISNUMBER(SEARCH(supreme,C128)))&gt;0)</f>
        <v>0</v>
      </c>
      <c r="N128" s="31" cm="1">
        <f t="array" ref="N128">INT(SUMPRODUCT(--ISNUMBER(SEARCH(covid,C128)))&gt;0)</f>
        <v>0</v>
      </c>
      <c r="O128" s="31" cm="1">
        <f t="array" ref="O128">INT(SUMPRODUCT(--ISNUMBER(SEARCH(violent,C128)))&gt;0)</f>
        <v>0</v>
      </c>
      <c r="P128" s="31" cm="1">
        <f t="array" ref="P128">INT(SUMPRODUCT(--ISNUMBER(SEARCH(foreign,C128)))&gt;0)</f>
        <v>0</v>
      </c>
      <c r="Q128" s="31" cm="1">
        <f t="array" ref="Q128">INT(SUMPRODUCT(--ISNUMBER(SEARCH(gun,C128)))&gt;0)</f>
        <v>0</v>
      </c>
      <c r="R128" s="31" cm="1">
        <f t="array" ref="R128">INT(SUMPRODUCT(--ISNUMBER(SEARCH(race,C128)))&gt;0)</f>
        <v>0</v>
      </c>
      <c r="S128" s="31" cm="1">
        <f t="array" ref="S128">INT(SUMPRODUCT(--ISNUMBER(SEARCH(immigration,C128)))&gt;0)</f>
        <v>0</v>
      </c>
      <c r="T128" s="31" cm="1">
        <f t="array" ref="T128">INT(SUMPRODUCT(--ISNUMBER(SEARCH(econineq,C129)))&gt;0)</f>
        <v>0</v>
      </c>
      <c r="U128" s="31" cm="1">
        <f t="array" ref="U128">INT(SUMPRODUCT(--ISNUMBER(SEARCH(climate,C128)))&gt;0)</f>
        <v>0</v>
      </c>
      <c r="V128" s="31" cm="1">
        <f t="array" ref="V128">INT(SUMPRODUCT(--ISNUMBER(SEARCH(abortion,C128)))&gt;0)</f>
        <v>0</v>
      </c>
      <c r="W128" s="31" cm="1">
        <f t="array" ref="W128">INT(SUMPRODUCT(--ISNUMBER(SEARCH(trump,C128)))&gt;0)</f>
        <v>1</v>
      </c>
      <c r="X128" s="31" cm="1">
        <f t="array" ref="X128">INT(SUMPRODUCT(--ISNUMBER(SEARCH(voting,C128)))&gt;0)</f>
        <v>0</v>
      </c>
      <c r="Y128" s="31" cm="1">
        <f t="array" ref="Y128">INT(SUMPRODUCT(--ISNUMBER(SEARCH(democrattrigger,C128)))&gt;0)</f>
        <v>0</v>
      </c>
      <c r="Z128" s="31" cm="1">
        <f t="array" ref="Z128">INT(SUMPRODUCT(--ISNUMBER(SEARCH(bipartisan,C128)))&gt;0)</f>
        <v>0</v>
      </c>
      <c r="AA128" s="31">
        <f t="shared" si="1"/>
        <v>0</v>
      </c>
      <c r="AB128" s="31"/>
      <c r="AC128" s="111" t="s">
        <v>223</v>
      </c>
      <c r="AD128" s="112" t="s">
        <v>223</v>
      </c>
    </row>
    <row r="129" spans="1:30" x14ac:dyDescent="0.25">
      <c r="A129" s="109">
        <v>1985</v>
      </c>
      <c r="B129" s="31" t="s">
        <v>3996</v>
      </c>
      <c r="C129" s="31" t="s">
        <v>3997</v>
      </c>
      <c r="D129" s="110">
        <v>44124</v>
      </c>
      <c r="E129" s="31" t="s">
        <v>30</v>
      </c>
      <c r="F129" s="31">
        <v>77</v>
      </c>
      <c r="G129" s="31">
        <v>30</v>
      </c>
      <c r="H129" s="31">
        <v>9</v>
      </c>
      <c r="I129" s="31">
        <v>5</v>
      </c>
      <c r="J129" s="31" t="s">
        <v>204</v>
      </c>
      <c r="K129" s="31" cm="1">
        <f t="array" ref="K129">INT(SUMPRODUCT(--ISNUMBER(SEARCH(economy,C129)))&gt;0)</f>
        <v>0</v>
      </c>
      <c r="L129" s="31" cm="1">
        <f t="array" ref="L129">INT(SUMPRODUCT(--ISNUMBER(SEARCH(healthcare,C129)))&gt;0)</f>
        <v>0</v>
      </c>
      <c r="M129" s="31" cm="1">
        <f t="array" ref="M129">INT(SUMPRODUCT(--ISNUMBER(SEARCH(supreme,C129)))&gt;0)</f>
        <v>0</v>
      </c>
      <c r="N129" s="31" cm="1">
        <f t="array" ref="N129">INT(SUMPRODUCT(--ISNUMBER(SEARCH(covid,C129)))&gt;0)</f>
        <v>0</v>
      </c>
      <c r="O129" s="31" cm="1">
        <f t="array" ref="O129">INT(SUMPRODUCT(--ISNUMBER(SEARCH(violent,C129)))&gt;0)</f>
        <v>0</v>
      </c>
      <c r="P129" s="31" cm="1">
        <f t="array" ref="P129">INT(SUMPRODUCT(--ISNUMBER(SEARCH(foreign,C129)))&gt;0)</f>
        <v>0</v>
      </c>
      <c r="Q129" s="31" cm="1">
        <f t="array" ref="Q129">INT(SUMPRODUCT(--ISNUMBER(SEARCH(gun,C129)))&gt;0)</f>
        <v>0</v>
      </c>
      <c r="R129" s="31" cm="1">
        <f t="array" ref="R129">INT(SUMPRODUCT(--ISNUMBER(SEARCH(race,C129)))&gt;0)</f>
        <v>0</v>
      </c>
      <c r="S129" s="31" cm="1">
        <f t="array" ref="S129">INT(SUMPRODUCT(--ISNUMBER(SEARCH(immigration,C129)))&gt;0)</f>
        <v>0</v>
      </c>
      <c r="T129" s="31" cm="1">
        <f t="array" ref="T129">INT(SUMPRODUCT(--ISNUMBER(SEARCH(econineq,C130)))&gt;0)</f>
        <v>0</v>
      </c>
      <c r="U129" s="31" cm="1">
        <f t="array" ref="U129">INT(SUMPRODUCT(--ISNUMBER(SEARCH(climate,C129)))&gt;0)</f>
        <v>0</v>
      </c>
      <c r="V129" s="31" cm="1">
        <f t="array" ref="V129">INT(SUMPRODUCT(--ISNUMBER(SEARCH(abortion,C129)))&gt;0)</f>
        <v>0</v>
      </c>
      <c r="W129" s="31" cm="1">
        <f t="array" ref="W129">INT(SUMPRODUCT(--ISNUMBER(SEARCH(trump,C129)))&gt;0)</f>
        <v>0</v>
      </c>
      <c r="X129" s="31" cm="1">
        <f t="array" ref="X129">INT(SUMPRODUCT(--ISNUMBER(SEARCH(voting,C129)))&gt;0)</f>
        <v>0</v>
      </c>
      <c r="Y129" s="31" cm="1">
        <f t="array" ref="Y129">INT(SUMPRODUCT(--ISNUMBER(SEARCH(democrattrigger,C129)))&gt;0)</f>
        <v>0</v>
      </c>
      <c r="Z129" s="31" cm="1">
        <f t="array" ref="Z129">INT(SUMPRODUCT(--ISNUMBER(SEARCH(bipartisan,C129)))&gt;0)</f>
        <v>0</v>
      </c>
      <c r="AA129" s="31">
        <f t="shared" si="1"/>
        <v>1</v>
      </c>
      <c r="AB129" s="31"/>
      <c r="AC129" s="111" t="s">
        <v>223</v>
      </c>
      <c r="AD129" s="112" t="s">
        <v>223</v>
      </c>
    </row>
    <row r="130" spans="1:30" x14ac:dyDescent="0.25">
      <c r="A130" s="109">
        <v>1986</v>
      </c>
      <c r="B130" s="31" t="s">
        <v>3998</v>
      </c>
      <c r="C130" s="31" t="s">
        <v>3999</v>
      </c>
      <c r="D130" s="110">
        <v>44124</v>
      </c>
      <c r="E130" s="31" t="s">
        <v>30</v>
      </c>
      <c r="F130" s="31">
        <v>310</v>
      </c>
      <c r="G130" s="31">
        <v>102</v>
      </c>
      <c r="H130" s="31">
        <v>9</v>
      </c>
      <c r="I130" s="31">
        <v>5</v>
      </c>
      <c r="J130" s="31" t="s">
        <v>204</v>
      </c>
      <c r="K130" s="31" cm="1">
        <f t="array" ref="K130">INT(SUMPRODUCT(--ISNUMBER(SEARCH(economy,C130)))&gt;0)</f>
        <v>0</v>
      </c>
      <c r="L130" s="31" cm="1">
        <f t="array" ref="L130">INT(SUMPRODUCT(--ISNUMBER(SEARCH(healthcare,C130)))&gt;0)</f>
        <v>0</v>
      </c>
      <c r="M130" s="31" cm="1">
        <f t="array" ref="M130">INT(SUMPRODUCT(--ISNUMBER(SEARCH(supreme,C130)))&gt;0)</f>
        <v>0</v>
      </c>
      <c r="N130" s="31" cm="1">
        <f t="array" ref="N130">INT(SUMPRODUCT(--ISNUMBER(SEARCH(covid,C130)))&gt;0)</f>
        <v>0</v>
      </c>
      <c r="O130" s="31" cm="1">
        <f t="array" ref="O130">INT(SUMPRODUCT(--ISNUMBER(SEARCH(violent,C130)))&gt;0)</f>
        <v>0</v>
      </c>
      <c r="P130" s="31" cm="1">
        <f t="array" ref="P130">INT(SUMPRODUCT(--ISNUMBER(SEARCH(foreign,C130)))&gt;0)</f>
        <v>0</v>
      </c>
      <c r="Q130" s="31" cm="1">
        <f t="array" ref="Q130">INT(SUMPRODUCT(--ISNUMBER(SEARCH(gun,C130)))&gt;0)</f>
        <v>0</v>
      </c>
      <c r="R130" s="31" cm="1">
        <f t="array" ref="R130">INT(SUMPRODUCT(--ISNUMBER(SEARCH(race,C130)))&gt;0)</f>
        <v>0</v>
      </c>
      <c r="S130" s="31" cm="1">
        <f t="array" ref="S130">INT(SUMPRODUCT(--ISNUMBER(SEARCH(immigration,C130)))&gt;0)</f>
        <v>0</v>
      </c>
      <c r="T130" s="31" cm="1">
        <f t="array" ref="T130">INT(SUMPRODUCT(--ISNUMBER(SEARCH(econineq,C131)))&gt;0)</f>
        <v>0</v>
      </c>
      <c r="U130" s="31" cm="1">
        <f t="array" ref="U130">INT(SUMPRODUCT(--ISNUMBER(SEARCH(climate,C130)))&gt;0)</f>
        <v>0</v>
      </c>
      <c r="V130" s="31" cm="1">
        <f t="array" ref="V130">INT(SUMPRODUCT(--ISNUMBER(SEARCH(abortion,C130)))&gt;0)</f>
        <v>0</v>
      </c>
      <c r="W130" s="31" cm="1">
        <f t="array" ref="W130">INT(SUMPRODUCT(--ISNUMBER(SEARCH(trump,C130)))&gt;0)</f>
        <v>0</v>
      </c>
      <c r="X130" s="31" cm="1">
        <f t="array" ref="X130">INT(SUMPRODUCT(--ISNUMBER(SEARCH(voting,C130)))&gt;0)</f>
        <v>1</v>
      </c>
      <c r="Y130" s="31" cm="1">
        <f t="array" ref="Y130">INT(SUMPRODUCT(--ISNUMBER(SEARCH(democrattrigger,C130)))&gt;0)</f>
        <v>0</v>
      </c>
      <c r="Z130" s="31" cm="1">
        <f t="array" ref="Z130">INT(SUMPRODUCT(--ISNUMBER(SEARCH(bipartisan,C130)))&gt;0)</f>
        <v>0</v>
      </c>
      <c r="AA130" s="31">
        <f t="shared" si="1"/>
        <v>0</v>
      </c>
      <c r="AB130" s="31"/>
      <c r="AC130" s="111">
        <v>0</v>
      </c>
      <c r="AD130" s="112">
        <v>1</v>
      </c>
    </row>
    <row r="131" spans="1:30" x14ac:dyDescent="0.25">
      <c r="A131" s="109">
        <v>1987</v>
      </c>
      <c r="B131" s="31" t="s">
        <v>4000</v>
      </c>
      <c r="C131" s="31" t="s">
        <v>4001</v>
      </c>
      <c r="D131" s="110">
        <v>44124</v>
      </c>
      <c r="E131" s="31" t="s">
        <v>30</v>
      </c>
      <c r="F131" s="31">
        <v>253</v>
      </c>
      <c r="G131" s="31">
        <v>132</v>
      </c>
      <c r="H131" s="31">
        <v>9</v>
      </c>
      <c r="I131" s="31">
        <v>5</v>
      </c>
      <c r="J131" s="31" t="s">
        <v>204</v>
      </c>
      <c r="K131" s="31" cm="1">
        <f t="array" ref="K131">INT(SUMPRODUCT(--ISNUMBER(SEARCH(economy,C131)))&gt;0)</f>
        <v>0</v>
      </c>
      <c r="L131" s="31" cm="1">
        <f t="array" ref="L131">INT(SUMPRODUCT(--ISNUMBER(SEARCH(healthcare,C131)))&gt;0)</f>
        <v>0</v>
      </c>
      <c r="M131" s="31" cm="1">
        <f t="array" ref="M131">INT(SUMPRODUCT(--ISNUMBER(SEARCH(supreme,C131)))&gt;0)</f>
        <v>0</v>
      </c>
      <c r="N131" s="31" cm="1">
        <f t="array" ref="N131">INT(SUMPRODUCT(--ISNUMBER(SEARCH(covid,C131)))&gt;0)</f>
        <v>0</v>
      </c>
      <c r="O131" s="31" cm="1">
        <f t="array" ref="O131">INT(SUMPRODUCT(--ISNUMBER(SEARCH(violent,C131)))&gt;0)</f>
        <v>0</v>
      </c>
      <c r="P131" s="31" cm="1">
        <f t="array" ref="P131">INT(SUMPRODUCT(--ISNUMBER(SEARCH(foreign,C131)))&gt;0)</f>
        <v>0</v>
      </c>
      <c r="Q131" s="31" cm="1">
        <f t="array" ref="Q131">INT(SUMPRODUCT(--ISNUMBER(SEARCH(gun,C131)))&gt;0)</f>
        <v>0</v>
      </c>
      <c r="R131" s="31" cm="1">
        <f t="array" ref="R131">INT(SUMPRODUCT(--ISNUMBER(SEARCH(race,C131)))&gt;0)</f>
        <v>0</v>
      </c>
      <c r="S131" s="31" cm="1">
        <f t="array" ref="S131">INT(SUMPRODUCT(--ISNUMBER(SEARCH(immigration,C131)))&gt;0)</f>
        <v>0</v>
      </c>
      <c r="T131" s="31" cm="1">
        <f t="array" ref="T131">INT(SUMPRODUCT(--ISNUMBER(SEARCH(econineq,C132)))&gt;0)</f>
        <v>0</v>
      </c>
      <c r="U131" s="31" cm="1">
        <f t="array" ref="U131">INT(SUMPRODUCT(--ISNUMBER(SEARCH(climate,C131)))&gt;0)</f>
        <v>0</v>
      </c>
      <c r="V131" s="31" cm="1">
        <f t="array" ref="V131">INT(SUMPRODUCT(--ISNUMBER(SEARCH(abortion,C131)))&gt;0)</f>
        <v>0</v>
      </c>
      <c r="W131" s="31" cm="1">
        <f t="array" ref="W131">INT(SUMPRODUCT(--ISNUMBER(SEARCH(trump,C131)))&gt;0)</f>
        <v>0</v>
      </c>
      <c r="X131" s="31" cm="1">
        <f t="array" ref="X131">INT(SUMPRODUCT(--ISNUMBER(SEARCH(voting,C131)))&gt;0)</f>
        <v>1</v>
      </c>
      <c r="Y131" s="31" cm="1">
        <f t="array" ref="Y131">INT(SUMPRODUCT(--ISNUMBER(SEARCH(democrattrigger,C131)))&gt;0)</f>
        <v>0</v>
      </c>
      <c r="Z131" s="31" cm="1">
        <f t="array" ref="Z131">INT(SUMPRODUCT(--ISNUMBER(SEARCH(bipartisan,C131)))&gt;0)</f>
        <v>0</v>
      </c>
      <c r="AA131" s="31">
        <f t="shared" ref="AA131:AA194" si="2">INT(IF(COUNTIF(K131:Z131,1)=0,"1","0"))</f>
        <v>0</v>
      </c>
      <c r="AB131" s="31"/>
      <c r="AC131" s="111">
        <v>1</v>
      </c>
      <c r="AD131" s="112">
        <v>0</v>
      </c>
    </row>
    <row r="132" spans="1:30" x14ac:dyDescent="0.25">
      <c r="A132" s="109">
        <v>1988</v>
      </c>
      <c r="B132" s="31" t="s">
        <v>4002</v>
      </c>
      <c r="C132" s="31" t="s">
        <v>4003</v>
      </c>
      <c r="D132" s="110">
        <v>44124</v>
      </c>
      <c r="E132" s="31" t="s">
        <v>30</v>
      </c>
      <c r="F132" s="31">
        <v>2760</v>
      </c>
      <c r="G132" s="31">
        <v>720</v>
      </c>
      <c r="H132" s="31">
        <v>9</v>
      </c>
      <c r="I132" s="31">
        <v>5</v>
      </c>
      <c r="J132" s="31" t="s">
        <v>204</v>
      </c>
      <c r="K132" s="31" cm="1">
        <f t="array" ref="K132">INT(SUMPRODUCT(--ISNUMBER(SEARCH(economy,C132)))&gt;0)</f>
        <v>0</v>
      </c>
      <c r="L132" s="31" cm="1">
        <f t="array" ref="L132">INT(SUMPRODUCT(--ISNUMBER(SEARCH(healthcare,C132)))&gt;0)</f>
        <v>0</v>
      </c>
      <c r="M132" s="31" cm="1">
        <f t="array" ref="M132">INT(SUMPRODUCT(--ISNUMBER(SEARCH(supreme,C132)))&gt;0)</f>
        <v>0</v>
      </c>
      <c r="N132" s="31" cm="1">
        <f t="array" ref="N132">INT(SUMPRODUCT(--ISNUMBER(SEARCH(covid,C132)))&gt;0)</f>
        <v>0</v>
      </c>
      <c r="O132" s="31" cm="1">
        <f t="array" ref="O132">INT(SUMPRODUCT(--ISNUMBER(SEARCH(violent,C132)))&gt;0)</f>
        <v>0</v>
      </c>
      <c r="P132" s="31" cm="1">
        <f t="array" ref="P132">INT(SUMPRODUCT(--ISNUMBER(SEARCH(foreign,C132)))&gt;0)</f>
        <v>0</v>
      </c>
      <c r="Q132" s="31" cm="1">
        <f t="array" ref="Q132">INT(SUMPRODUCT(--ISNUMBER(SEARCH(gun,C132)))&gt;0)</f>
        <v>0</v>
      </c>
      <c r="R132" s="31" cm="1">
        <f t="array" ref="R132">INT(SUMPRODUCT(--ISNUMBER(SEARCH(race,C132)))&gt;0)</f>
        <v>0</v>
      </c>
      <c r="S132" s="31" cm="1">
        <f t="array" ref="S132">INT(SUMPRODUCT(--ISNUMBER(SEARCH(immigration,C132)))&gt;0)</f>
        <v>0</v>
      </c>
      <c r="T132" s="31" cm="1">
        <f t="array" ref="T132">INT(SUMPRODUCT(--ISNUMBER(SEARCH(econineq,C133)))&gt;0)</f>
        <v>0</v>
      </c>
      <c r="U132" s="31" cm="1">
        <f t="array" ref="U132">INT(SUMPRODUCT(--ISNUMBER(SEARCH(climate,C132)))&gt;0)</f>
        <v>0</v>
      </c>
      <c r="V132" s="31" cm="1">
        <f t="array" ref="V132">INT(SUMPRODUCT(--ISNUMBER(SEARCH(abortion,C132)))&gt;0)</f>
        <v>0</v>
      </c>
      <c r="W132" s="31" cm="1">
        <f t="array" ref="W132">INT(SUMPRODUCT(--ISNUMBER(SEARCH(trump,C132)))&gt;0)</f>
        <v>0</v>
      </c>
      <c r="X132" s="31" cm="1">
        <f t="array" ref="X132">INT(SUMPRODUCT(--ISNUMBER(SEARCH(voting,C132)))&gt;0)</f>
        <v>0</v>
      </c>
      <c r="Y132" s="31" cm="1">
        <f t="array" ref="Y132">INT(SUMPRODUCT(--ISNUMBER(SEARCH(democrattrigger,C132)))&gt;0)</f>
        <v>0</v>
      </c>
      <c r="Z132" s="31" cm="1">
        <f t="array" ref="Z132">INT(SUMPRODUCT(--ISNUMBER(SEARCH(bipartisan,C132)))&gt;0)</f>
        <v>0</v>
      </c>
      <c r="AA132" s="31">
        <f t="shared" si="2"/>
        <v>1</v>
      </c>
      <c r="AB132" s="31"/>
      <c r="AC132" s="111">
        <v>0</v>
      </c>
      <c r="AD132" s="112">
        <v>1</v>
      </c>
    </row>
    <row r="133" spans="1:30" x14ac:dyDescent="0.25">
      <c r="A133" s="109">
        <v>1989</v>
      </c>
      <c r="B133" s="31" t="s">
        <v>4004</v>
      </c>
      <c r="C133" s="31" t="s">
        <v>4005</v>
      </c>
      <c r="D133" s="110">
        <v>44124</v>
      </c>
      <c r="E133" s="31" t="s">
        <v>30</v>
      </c>
      <c r="F133" s="31">
        <v>1905</v>
      </c>
      <c r="G133" s="31">
        <v>323</v>
      </c>
      <c r="H133" s="31">
        <v>9</v>
      </c>
      <c r="I133" s="31">
        <v>5</v>
      </c>
      <c r="J133" s="31" t="s">
        <v>204</v>
      </c>
      <c r="K133" s="31" cm="1">
        <f t="array" ref="K133">INT(SUMPRODUCT(--ISNUMBER(SEARCH(economy,C133)))&gt;0)</f>
        <v>0</v>
      </c>
      <c r="L133" s="31" cm="1">
        <f t="array" ref="L133">INT(SUMPRODUCT(--ISNUMBER(SEARCH(healthcare,C133)))&gt;0)</f>
        <v>0</v>
      </c>
      <c r="M133" s="31" cm="1">
        <f t="array" ref="M133">INT(SUMPRODUCT(--ISNUMBER(SEARCH(supreme,C133)))&gt;0)</f>
        <v>0</v>
      </c>
      <c r="N133" s="31" cm="1">
        <f t="array" ref="N133">INT(SUMPRODUCT(--ISNUMBER(SEARCH(covid,C133)))&gt;0)</f>
        <v>0</v>
      </c>
      <c r="O133" s="31" cm="1">
        <f t="array" ref="O133">INT(SUMPRODUCT(--ISNUMBER(SEARCH(violent,C133)))&gt;0)</f>
        <v>0</v>
      </c>
      <c r="P133" s="31" cm="1">
        <f t="array" ref="P133">INT(SUMPRODUCT(--ISNUMBER(SEARCH(foreign,C133)))&gt;0)</f>
        <v>0</v>
      </c>
      <c r="Q133" s="31" cm="1">
        <f t="array" ref="Q133">INT(SUMPRODUCT(--ISNUMBER(SEARCH(gun,C133)))&gt;0)</f>
        <v>0</v>
      </c>
      <c r="R133" s="31" cm="1">
        <f t="array" ref="R133">INT(SUMPRODUCT(--ISNUMBER(SEARCH(race,C133)))&gt;0)</f>
        <v>0</v>
      </c>
      <c r="S133" s="31" cm="1">
        <f t="array" ref="S133">INT(SUMPRODUCT(--ISNUMBER(SEARCH(immigration,C133)))&gt;0)</f>
        <v>0</v>
      </c>
      <c r="T133" s="31" cm="1">
        <f t="array" ref="T133">INT(SUMPRODUCT(--ISNUMBER(SEARCH(econineq,C134)))&gt;0)</f>
        <v>0</v>
      </c>
      <c r="U133" s="31" cm="1">
        <f t="array" ref="U133">INT(SUMPRODUCT(--ISNUMBER(SEARCH(climate,C133)))&gt;0)</f>
        <v>0</v>
      </c>
      <c r="V133" s="31" cm="1">
        <f t="array" ref="V133">INT(SUMPRODUCT(--ISNUMBER(SEARCH(abortion,C133)))&gt;0)</f>
        <v>0</v>
      </c>
      <c r="W133" s="31" cm="1">
        <f t="array" ref="W133">INT(SUMPRODUCT(--ISNUMBER(SEARCH(trump,C133)))&gt;0)</f>
        <v>0</v>
      </c>
      <c r="X133" s="31" cm="1">
        <f t="array" ref="X133">INT(SUMPRODUCT(--ISNUMBER(SEARCH(voting,C133)))&gt;0)</f>
        <v>0</v>
      </c>
      <c r="Y133" s="31" cm="1">
        <f t="array" ref="Y133">INT(SUMPRODUCT(--ISNUMBER(SEARCH(democrattrigger,C133)))&gt;0)</f>
        <v>0</v>
      </c>
      <c r="Z133" s="31" cm="1">
        <f t="array" ref="Z133">INT(SUMPRODUCT(--ISNUMBER(SEARCH(bipartisan,C133)))&gt;0)</f>
        <v>0</v>
      </c>
      <c r="AA133" s="31">
        <f t="shared" si="2"/>
        <v>1</v>
      </c>
      <c r="AB133" s="31"/>
      <c r="AC133" s="111" t="s">
        <v>223</v>
      </c>
      <c r="AD133" s="112" t="s">
        <v>223</v>
      </c>
    </row>
    <row r="134" spans="1:30" x14ac:dyDescent="0.25">
      <c r="A134" s="109">
        <v>1990</v>
      </c>
      <c r="B134" s="31" t="s">
        <v>4006</v>
      </c>
      <c r="C134" s="31" t="s">
        <v>4007</v>
      </c>
      <c r="D134" s="110">
        <v>44124</v>
      </c>
      <c r="E134" s="31" t="s">
        <v>30</v>
      </c>
      <c r="F134" s="31">
        <v>1133</v>
      </c>
      <c r="G134" s="31">
        <v>425</v>
      </c>
      <c r="H134" s="31">
        <v>9</v>
      </c>
      <c r="I134" s="31">
        <v>5</v>
      </c>
      <c r="J134" s="31" t="s">
        <v>204</v>
      </c>
      <c r="K134" s="31" cm="1">
        <f t="array" ref="K134">INT(SUMPRODUCT(--ISNUMBER(SEARCH(economy,C134)))&gt;0)</f>
        <v>0</v>
      </c>
      <c r="L134" s="31" cm="1">
        <f t="array" ref="L134">INT(SUMPRODUCT(--ISNUMBER(SEARCH(healthcare,C134)))&gt;0)</f>
        <v>0</v>
      </c>
      <c r="M134" s="31" cm="1">
        <f t="array" ref="M134">INT(SUMPRODUCT(--ISNUMBER(SEARCH(supreme,C134)))&gt;0)</f>
        <v>0</v>
      </c>
      <c r="N134" s="31" cm="1">
        <f t="array" ref="N134">INT(SUMPRODUCT(--ISNUMBER(SEARCH(covid,C134)))&gt;0)</f>
        <v>0</v>
      </c>
      <c r="O134" s="31" cm="1">
        <f t="array" ref="O134">INT(SUMPRODUCT(--ISNUMBER(SEARCH(violent,C134)))&gt;0)</f>
        <v>0</v>
      </c>
      <c r="P134" s="31" cm="1">
        <f t="array" ref="P134">INT(SUMPRODUCT(--ISNUMBER(SEARCH(foreign,C134)))&gt;0)</f>
        <v>0</v>
      </c>
      <c r="Q134" s="31" cm="1">
        <f t="array" ref="Q134">INT(SUMPRODUCT(--ISNUMBER(SEARCH(gun,C134)))&gt;0)</f>
        <v>0</v>
      </c>
      <c r="R134" s="31" cm="1">
        <f t="array" ref="R134">INT(SUMPRODUCT(--ISNUMBER(SEARCH(race,C134)))&gt;0)</f>
        <v>0</v>
      </c>
      <c r="S134" s="31" cm="1">
        <f t="array" ref="S134">INT(SUMPRODUCT(--ISNUMBER(SEARCH(immigration,C134)))&gt;0)</f>
        <v>0</v>
      </c>
      <c r="T134" s="31" cm="1">
        <f t="array" ref="T134">INT(SUMPRODUCT(--ISNUMBER(SEARCH(econineq,C135)))&gt;0)</f>
        <v>0</v>
      </c>
      <c r="U134" s="31" cm="1">
        <f t="array" ref="U134">INT(SUMPRODUCT(--ISNUMBER(SEARCH(climate,C134)))&gt;0)</f>
        <v>0</v>
      </c>
      <c r="V134" s="31" cm="1">
        <f t="array" ref="V134">INT(SUMPRODUCT(--ISNUMBER(SEARCH(abortion,C134)))&gt;0)</f>
        <v>0</v>
      </c>
      <c r="W134" s="31" cm="1">
        <f t="array" ref="W134">INT(SUMPRODUCT(--ISNUMBER(SEARCH(trump,C134)))&gt;0)</f>
        <v>0</v>
      </c>
      <c r="X134" s="31" cm="1">
        <f t="array" ref="X134">INT(SUMPRODUCT(--ISNUMBER(SEARCH(voting,C134)))&gt;0)</f>
        <v>0</v>
      </c>
      <c r="Y134" s="31" cm="1">
        <f t="array" ref="Y134">INT(SUMPRODUCT(--ISNUMBER(SEARCH(democrattrigger,C134)))&gt;0)</f>
        <v>0</v>
      </c>
      <c r="Z134" s="31" cm="1">
        <f t="array" ref="Z134">INT(SUMPRODUCT(--ISNUMBER(SEARCH(bipartisan,C134)))&gt;0)</f>
        <v>0</v>
      </c>
      <c r="AA134" s="31">
        <f t="shared" si="2"/>
        <v>1</v>
      </c>
      <c r="AB134" s="31"/>
      <c r="AC134" s="111">
        <v>0</v>
      </c>
      <c r="AD134" s="112">
        <v>1</v>
      </c>
    </row>
    <row r="135" spans="1:30" x14ac:dyDescent="0.25">
      <c r="A135" s="109">
        <v>1991</v>
      </c>
      <c r="B135" s="31" t="s">
        <v>4008</v>
      </c>
      <c r="C135" s="31" t="s">
        <v>4009</v>
      </c>
      <c r="D135" s="110">
        <v>44123</v>
      </c>
      <c r="E135" s="31" t="s">
        <v>30</v>
      </c>
      <c r="F135" s="31">
        <v>918</v>
      </c>
      <c r="G135" s="31">
        <v>216</v>
      </c>
      <c r="H135" s="31">
        <v>9</v>
      </c>
      <c r="I135" s="31">
        <v>5</v>
      </c>
      <c r="J135" s="31" t="s">
        <v>204</v>
      </c>
      <c r="K135" s="31" cm="1">
        <f t="array" ref="K135">INT(SUMPRODUCT(--ISNUMBER(SEARCH(economy,C135)))&gt;0)</f>
        <v>0</v>
      </c>
      <c r="L135" s="31" cm="1">
        <f t="array" ref="L135">INT(SUMPRODUCT(--ISNUMBER(SEARCH(healthcare,C135)))&gt;0)</f>
        <v>1</v>
      </c>
      <c r="M135" s="31" cm="1">
        <f t="array" ref="M135">INT(SUMPRODUCT(--ISNUMBER(SEARCH(supreme,C135)))&gt;0)</f>
        <v>0</v>
      </c>
      <c r="N135" s="31" cm="1">
        <f t="array" ref="N135">INT(SUMPRODUCT(--ISNUMBER(SEARCH(covid,C135)))&gt;0)</f>
        <v>0</v>
      </c>
      <c r="O135" s="31" cm="1">
        <f t="array" ref="O135">INT(SUMPRODUCT(--ISNUMBER(SEARCH(violent,C135)))&gt;0)</f>
        <v>0</v>
      </c>
      <c r="P135" s="31" cm="1">
        <f t="array" ref="P135">INT(SUMPRODUCT(--ISNUMBER(SEARCH(foreign,C135)))&gt;0)</f>
        <v>0</v>
      </c>
      <c r="Q135" s="31" cm="1">
        <f t="array" ref="Q135">INT(SUMPRODUCT(--ISNUMBER(SEARCH(gun,C135)))&gt;0)</f>
        <v>0</v>
      </c>
      <c r="R135" s="31" cm="1">
        <f t="array" ref="R135">INT(SUMPRODUCT(--ISNUMBER(SEARCH(race,C135)))&gt;0)</f>
        <v>0</v>
      </c>
      <c r="S135" s="31" cm="1">
        <f t="array" ref="S135">INT(SUMPRODUCT(--ISNUMBER(SEARCH(immigration,C135)))&gt;0)</f>
        <v>0</v>
      </c>
      <c r="T135" s="31" cm="1">
        <f t="array" ref="T135">INT(SUMPRODUCT(--ISNUMBER(SEARCH(econineq,C136)))&gt;0)</f>
        <v>0</v>
      </c>
      <c r="U135" s="31" cm="1">
        <f t="array" ref="U135">INT(SUMPRODUCT(--ISNUMBER(SEARCH(climate,C135)))&gt;0)</f>
        <v>0</v>
      </c>
      <c r="V135" s="31" cm="1">
        <f t="array" ref="V135">INT(SUMPRODUCT(--ISNUMBER(SEARCH(abortion,C135)))&gt;0)</f>
        <v>0</v>
      </c>
      <c r="W135" s="31" cm="1">
        <f t="array" ref="W135">INT(SUMPRODUCT(--ISNUMBER(SEARCH(trump,C135)))&gt;0)</f>
        <v>0</v>
      </c>
      <c r="X135" s="31" cm="1">
        <f t="array" ref="X135">INT(SUMPRODUCT(--ISNUMBER(SEARCH(voting,C135)))&gt;0)</f>
        <v>1</v>
      </c>
      <c r="Y135" s="31" cm="1">
        <f t="array" ref="Y135">INT(SUMPRODUCT(--ISNUMBER(SEARCH(democrattrigger,C135)))&gt;0)</f>
        <v>0</v>
      </c>
      <c r="Z135" s="31" cm="1">
        <f t="array" ref="Z135">INT(SUMPRODUCT(--ISNUMBER(SEARCH(bipartisan,C135)))&gt;0)</f>
        <v>0</v>
      </c>
      <c r="AA135" s="31">
        <f t="shared" si="2"/>
        <v>0</v>
      </c>
      <c r="AB135" s="31"/>
      <c r="AC135" s="111">
        <v>1</v>
      </c>
      <c r="AD135" s="112">
        <v>0</v>
      </c>
    </row>
    <row r="136" spans="1:30" x14ac:dyDescent="0.25">
      <c r="A136" s="109">
        <v>1992</v>
      </c>
      <c r="B136" s="31" t="s">
        <v>4010</v>
      </c>
      <c r="C136" s="31" t="s">
        <v>4011</v>
      </c>
      <c r="D136" s="110">
        <v>44123</v>
      </c>
      <c r="E136" s="31" t="s">
        <v>30</v>
      </c>
      <c r="F136" s="31">
        <v>142</v>
      </c>
      <c r="G136" s="31">
        <v>63</v>
      </c>
      <c r="H136" s="31">
        <v>9</v>
      </c>
      <c r="I136" s="31">
        <v>5</v>
      </c>
      <c r="J136" s="31" t="s">
        <v>204</v>
      </c>
      <c r="K136" s="31" cm="1">
        <f t="array" ref="K136">INT(SUMPRODUCT(--ISNUMBER(SEARCH(economy,C136)))&gt;0)</f>
        <v>0</v>
      </c>
      <c r="L136" s="31" cm="1">
        <f t="array" ref="L136">INT(SUMPRODUCT(--ISNUMBER(SEARCH(healthcare,C136)))&gt;0)</f>
        <v>0</v>
      </c>
      <c r="M136" s="31" cm="1">
        <f t="array" ref="M136">INT(SUMPRODUCT(--ISNUMBER(SEARCH(supreme,C136)))&gt;0)</f>
        <v>0</v>
      </c>
      <c r="N136" s="31" cm="1">
        <f t="array" ref="N136">INT(SUMPRODUCT(--ISNUMBER(SEARCH(covid,C136)))&gt;0)</f>
        <v>0</v>
      </c>
      <c r="O136" s="31" cm="1">
        <f t="array" ref="O136">INT(SUMPRODUCT(--ISNUMBER(SEARCH(violent,C136)))&gt;0)</f>
        <v>0</v>
      </c>
      <c r="P136" s="31" cm="1">
        <f t="array" ref="P136">INT(SUMPRODUCT(--ISNUMBER(SEARCH(foreign,C136)))&gt;0)</f>
        <v>0</v>
      </c>
      <c r="Q136" s="31" cm="1">
        <f t="array" ref="Q136">INT(SUMPRODUCT(--ISNUMBER(SEARCH(gun,C136)))&gt;0)</f>
        <v>0</v>
      </c>
      <c r="R136" s="31" cm="1">
        <f t="array" ref="R136">INT(SUMPRODUCT(--ISNUMBER(SEARCH(race,C136)))&gt;0)</f>
        <v>0</v>
      </c>
      <c r="S136" s="31" cm="1">
        <f t="array" ref="S136">INT(SUMPRODUCT(--ISNUMBER(SEARCH(immigration,C136)))&gt;0)</f>
        <v>0</v>
      </c>
      <c r="T136" s="31" cm="1">
        <f t="array" ref="T136">INT(SUMPRODUCT(--ISNUMBER(SEARCH(econineq,C137)))&gt;0)</f>
        <v>0</v>
      </c>
      <c r="U136" s="31" cm="1">
        <f t="array" ref="U136">INT(SUMPRODUCT(--ISNUMBER(SEARCH(climate,C136)))&gt;0)</f>
        <v>0</v>
      </c>
      <c r="V136" s="31" cm="1">
        <f t="array" ref="V136">INT(SUMPRODUCT(--ISNUMBER(SEARCH(abortion,C136)))&gt;0)</f>
        <v>0</v>
      </c>
      <c r="W136" s="31" cm="1">
        <f t="array" ref="W136">INT(SUMPRODUCT(--ISNUMBER(SEARCH(trump,C136)))&gt;0)</f>
        <v>0</v>
      </c>
      <c r="X136" s="31" cm="1">
        <f t="array" ref="X136">INT(SUMPRODUCT(--ISNUMBER(SEARCH(voting,C136)))&gt;0)</f>
        <v>1</v>
      </c>
      <c r="Y136" s="31" cm="1">
        <f t="array" ref="Y136">INT(SUMPRODUCT(--ISNUMBER(SEARCH(democrattrigger,C136)))&gt;0)</f>
        <v>0</v>
      </c>
      <c r="Z136" s="31" cm="1">
        <f t="array" ref="Z136">INT(SUMPRODUCT(--ISNUMBER(SEARCH(bipartisan,C136)))&gt;0)</f>
        <v>0</v>
      </c>
      <c r="AA136" s="31">
        <f t="shared" si="2"/>
        <v>0</v>
      </c>
      <c r="AB136" s="31"/>
      <c r="AC136" s="111">
        <v>0</v>
      </c>
      <c r="AD136" s="112">
        <v>1</v>
      </c>
    </row>
    <row r="137" spans="1:30" x14ac:dyDescent="0.25">
      <c r="A137" s="109">
        <v>1993</v>
      </c>
      <c r="B137" s="31" t="s">
        <v>4012</v>
      </c>
      <c r="C137" s="31" t="s">
        <v>4013</v>
      </c>
      <c r="D137" s="110">
        <v>44123</v>
      </c>
      <c r="E137" s="31" t="s">
        <v>30</v>
      </c>
      <c r="F137" s="31">
        <v>370</v>
      </c>
      <c r="G137" s="31">
        <v>104</v>
      </c>
      <c r="H137" s="31">
        <v>9</v>
      </c>
      <c r="I137" s="31">
        <v>5</v>
      </c>
      <c r="J137" s="31" t="s">
        <v>204</v>
      </c>
      <c r="K137" s="31" cm="1">
        <f t="array" ref="K137">INT(SUMPRODUCT(--ISNUMBER(SEARCH(economy,C137)))&gt;0)</f>
        <v>0</v>
      </c>
      <c r="L137" s="31" cm="1">
        <f t="array" ref="L137">INT(SUMPRODUCT(--ISNUMBER(SEARCH(healthcare,C137)))&gt;0)</f>
        <v>0</v>
      </c>
      <c r="M137" s="31" cm="1">
        <f t="array" ref="M137">INT(SUMPRODUCT(--ISNUMBER(SEARCH(supreme,C137)))&gt;0)</f>
        <v>0</v>
      </c>
      <c r="N137" s="31" cm="1">
        <f t="array" ref="N137">INT(SUMPRODUCT(--ISNUMBER(SEARCH(covid,C137)))&gt;0)</f>
        <v>0</v>
      </c>
      <c r="O137" s="31" cm="1">
        <f t="array" ref="O137">INT(SUMPRODUCT(--ISNUMBER(SEARCH(violent,C137)))&gt;0)</f>
        <v>0</v>
      </c>
      <c r="P137" s="31" cm="1">
        <f t="array" ref="P137">INT(SUMPRODUCT(--ISNUMBER(SEARCH(foreign,C137)))&gt;0)</f>
        <v>0</v>
      </c>
      <c r="Q137" s="31" cm="1">
        <f t="array" ref="Q137">INT(SUMPRODUCT(--ISNUMBER(SEARCH(gun,C137)))&gt;0)</f>
        <v>0</v>
      </c>
      <c r="R137" s="31" cm="1">
        <f t="array" ref="R137">INT(SUMPRODUCT(--ISNUMBER(SEARCH(race,C137)))&gt;0)</f>
        <v>0</v>
      </c>
      <c r="S137" s="31" cm="1">
        <f t="array" ref="S137">INT(SUMPRODUCT(--ISNUMBER(SEARCH(immigration,C137)))&gt;0)</f>
        <v>0</v>
      </c>
      <c r="T137" s="31" cm="1">
        <f t="array" ref="T137">INT(SUMPRODUCT(--ISNUMBER(SEARCH(econineq,C138)))&gt;0)</f>
        <v>0</v>
      </c>
      <c r="U137" s="31" cm="1">
        <f t="array" ref="U137">INT(SUMPRODUCT(--ISNUMBER(SEARCH(climate,C137)))&gt;0)</f>
        <v>0</v>
      </c>
      <c r="V137" s="31" cm="1">
        <f t="array" ref="V137">INT(SUMPRODUCT(--ISNUMBER(SEARCH(abortion,C137)))&gt;0)</f>
        <v>0</v>
      </c>
      <c r="W137" s="31" cm="1">
        <f t="array" ref="W137">INT(SUMPRODUCT(--ISNUMBER(SEARCH(trump,C137)))&gt;0)</f>
        <v>0</v>
      </c>
      <c r="X137" s="31" cm="1">
        <f t="array" ref="X137">INT(SUMPRODUCT(--ISNUMBER(SEARCH(voting,C137)))&gt;0)</f>
        <v>1</v>
      </c>
      <c r="Y137" s="31" cm="1">
        <f t="array" ref="Y137">INT(SUMPRODUCT(--ISNUMBER(SEARCH(democrattrigger,C137)))&gt;0)</f>
        <v>0</v>
      </c>
      <c r="Z137" s="31" cm="1">
        <f t="array" ref="Z137">INT(SUMPRODUCT(--ISNUMBER(SEARCH(bipartisan,C137)))&gt;0)</f>
        <v>0</v>
      </c>
      <c r="AA137" s="31">
        <f t="shared" si="2"/>
        <v>0</v>
      </c>
      <c r="AB137" s="31"/>
      <c r="AC137" s="111">
        <v>1</v>
      </c>
      <c r="AD137" s="112">
        <v>0</v>
      </c>
    </row>
    <row r="138" spans="1:30" x14ac:dyDescent="0.25">
      <c r="A138" s="109">
        <v>1994</v>
      </c>
      <c r="B138" s="31" t="s">
        <v>4014</v>
      </c>
      <c r="C138" s="31" t="s">
        <v>4015</v>
      </c>
      <c r="D138" s="110">
        <v>44123</v>
      </c>
      <c r="E138" s="31" t="s">
        <v>30</v>
      </c>
      <c r="F138" s="31">
        <v>496</v>
      </c>
      <c r="G138" s="31">
        <v>87</v>
      </c>
      <c r="H138" s="31">
        <v>9</v>
      </c>
      <c r="I138" s="31">
        <v>5</v>
      </c>
      <c r="J138" s="31" t="s">
        <v>204</v>
      </c>
      <c r="K138" s="31" cm="1">
        <f t="array" ref="K138">INT(SUMPRODUCT(--ISNUMBER(SEARCH(economy,C138)))&gt;0)</f>
        <v>0</v>
      </c>
      <c r="L138" s="31" cm="1">
        <f t="array" ref="L138">INT(SUMPRODUCT(--ISNUMBER(SEARCH(healthcare,C138)))&gt;0)</f>
        <v>0</v>
      </c>
      <c r="M138" s="31" cm="1">
        <f t="array" ref="M138">INT(SUMPRODUCT(--ISNUMBER(SEARCH(supreme,C138)))&gt;0)</f>
        <v>0</v>
      </c>
      <c r="N138" s="31" cm="1">
        <f t="array" ref="N138">INT(SUMPRODUCT(--ISNUMBER(SEARCH(covid,C138)))&gt;0)</f>
        <v>0</v>
      </c>
      <c r="O138" s="31" cm="1">
        <f t="array" ref="O138">INT(SUMPRODUCT(--ISNUMBER(SEARCH(violent,C138)))&gt;0)</f>
        <v>0</v>
      </c>
      <c r="P138" s="31" cm="1">
        <f t="array" ref="P138">INT(SUMPRODUCT(--ISNUMBER(SEARCH(foreign,C138)))&gt;0)</f>
        <v>0</v>
      </c>
      <c r="Q138" s="31" cm="1">
        <f t="array" ref="Q138">INT(SUMPRODUCT(--ISNUMBER(SEARCH(gun,C138)))&gt;0)</f>
        <v>0</v>
      </c>
      <c r="R138" s="31" cm="1">
        <f t="array" ref="R138">INT(SUMPRODUCT(--ISNUMBER(SEARCH(race,C138)))&gt;0)</f>
        <v>0</v>
      </c>
      <c r="S138" s="31" cm="1">
        <f t="array" ref="S138">INT(SUMPRODUCT(--ISNUMBER(SEARCH(immigration,C138)))&gt;0)</f>
        <v>0</v>
      </c>
      <c r="T138" s="31" cm="1">
        <f t="array" ref="T138">INT(SUMPRODUCT(--ISNUMBER(SEARCH(econineq,C139)))&gt;0)</f>
        <v>0</v>
      </c>
      <c r="U138" s="31" cm="1">
        <f t="array" ref="U138">INT(SUMPRODUCT(--ISNUMBER(SEARCH(climate,C138)))&gt;0)</f>
        <v>0</v>
      </c>
      <c r="V138" s="31" cm="1">
        <f t="array" ref="V138">INT(SUMPRODUCT(--ISNUMBER(SEARCH(abortion,C138)))&gt;0)</f>
        <v>0</v>
      </c>
      <c r="W138" s="31" cm="1">
        <f t="array" ref="W138">INT(SUMPRODUCT(--ISNUMBER(SEARCH(trump,C138)))&gt;0)</f>
        <v>0</v>
      </c>
      <c r="X138" s="31" cm="1">
        <f t="array" ref="X138">INT(SUMPRODUCT(--ISNUMBER(SEARCH(voting,C138)))&gt;0)</f>
        <v>1</v>
      </c>
      <c r="Y138" s="31" cm="1">
        <f t="array" ref="Y138">INT(SUMPRODUCT(--ISNUMBER(SEARCH(democrattrigger,C138)))&gt;0)</f>
        <v>0</v>
      </c>
      <c r="Z138" s="31" cm="1">
        <f t="array" ref="Z138">INT(SUMPRODUCT(--ISNUMBER(SEARCH(bipartisan,C138)))&gt;0)</f>
        <v>0</v>
      </c>
      <c r="AA138" s="31">
        <f t="shared" si="2"/>
        <v>0</v>
      </c>
      <c r="AB138" s="31"/>
      <c r="AC138" s="111">
        <v>1</v>
      </c>
      <c r="AD138" s="112">
        <v>0</v>
      </c>
    </row>
    <row r="139" spans="1:30" x14ac:dyDescent="0.25">
      <c r="A139" s="109">
        <v>1995</v>
      </c>
      <c r="B139" s="31" t="s">
        <v>4016</v>
      </c>
      <c r="C139" s="31" t="s">
        <v>4017</v>
      </c>
      <c r="D139" s="110">
        <v>44123</v>
      </c>
      <c r="E139" s="31" t="s">
        <v>30</v>
      </c>
      <c r="F139" s="31">
        <v>448</v>
      </c>
      <c r="G139" s="31">
        <v>263</v>
      </c>
      <c r="H139" s="31">
        <v>9</v>
      </c>
      <c r="I139" s="31">
        <v>5</v>
      </c>
      <c r="J139" s="31" t="s">
        <v>204</v>
      </c>
      <c r="K139" s="31" cm="1">
        <f t="array" ref="K139">INT(SUMPRODUCT(--ISNUMBER(SEARCH(economy,C139)))&gt;0)</f>
        <v>0</v>
      </c>
      <c r="L139" s="31" cm="1">
        <f t="array" ref="L139">INT(SUMPRODUCT(--ISNUMBER(SEARCH(healthcare,C139)))&gt;0)</f>
        <v>0</v>
      </c>
      <c r="M139" s="31" cm="1">
        <f t="array" ref="M139">INT(SUMPRODUCT(--ISNUMBER(SEARCH(supreme,C139)))&gt;0)</f>
        <v>0</v>
      </c>
      <c r="N139" s="31" cm="1">
        <f t="array" ref="N139">INT(SUMPRODUCT(--ISNUMBER(SEARCH(covid,C139)))&gt;0)</f>
        <v>0</v>
      </c>
      <c r="O139" s="31" cm="1">
        <f t="array" ref="O139">INT(SUMPRODUCT(--ISNUMBER(SEARCH(violent,C139)))&gt;0)</f>
        <v>0</v>
      </c>
      <c r="P139" s="31" cm="1">
        <f t="array" ref="P139">INT(SUMPRODUCT(--ISNUMBER(SEARCH(foreign,C139)))&gt;0)</f>
        <v>0</v>
      </c>
      <c r="Q139" s="31" cm="1">
        <f t="array" ref="Q139">INT(SUMPRODUCT(--ISNUMBER(SEARCH(gun,C139)))&gt;0)</f>
        <v>0</v>
      </c>
      <c r="R139" s="31" cm="1">
        <f t="array" ref="R139">INT(SUMPRODUCT(--ISNUMBER(SEARCH(race,C139)))&gt;0)</f>
        <v>0</v>
      </c>
      <c r="S139" s="31" cm="1">
        <f t="array" ref="S139">INT(SUMPRODUCT(--ISNUMBER(SEARCH(immigration,C139)))&gt;0)</f>
        <v>0</v>
      </c>
      <c r="T139" s="31" cm="1">
        <f t="array" ref="T139">INT(SUMPRODUCT(--ISNUMBER(SEARCH(econineq,C140)))&gt;0)</f>
        <v>0</v>
      </c>
      <c r="U139" s="31" cm="1">
        <f t="array" ref="U139">INT(SUMPRODUCT(--ISNUMBER(SEARCH(climate,C139)))&gt;0)</f>
        <v>0</v>
      </c>
      <c r="V139" s="31" cm="1">
        <f t="array" ref="V139">INT(SUMPRODUCT(--ISNUMBER(SEARCH(abortion,C139)))&gt;0)</f>
        <v>0</v>
      </c>
      <c r="W139" s="31" cm="1">
        <f t="array" ref="W139">INT(SUMPRODUCT(--ISNUMBER(SEARCH(trump,C139)))&gt;0)</f>
        <v>0</v>
      </c>
      <c r="X139" s="31" cm="1">
        <f t="array" ref="X139">INT(SUMPRODUCT(--ISNUMBER(SEARCH(voting,C139)))&gt;0)</f>
        <v>1</v>
      </c>
      <c r="Y139" s="31" cm="1">
        <f t="array" ref="Y139">INT(SUMPRODUCT(--ISNUMBER(SEARCH(democrattrigger,C139)))&gt;0)</f>
        <v>0</v>
      </c>
      <c r="Z139" s="31" cm="1">
        <f t="array" ref="Z139">INT(SUMPRODUCT(--ISNUMBER(SEARCH(bipartisan,C139)))&gt;0)</f>
        <v>0</v>
      </c>
      <c r="AA139" s="31">
        <f t="shared" si="2"/>
        <v>0</v>
      </c>
      <c r="AB139" s="31"/>
      <c r="AC139" s="111">
        <v>1</v>
      </c>
      <c r="AD139" s="112">
        <v>0</v>
      </c>
    </row>
    <row r="140" spans="1:30" x14ac:dyDescent="0.25">
      <c r="A140" s="109">
        <v>1996</v>
      </c>
      <c r="B140" s="31" t="s">
        <v>4018</v>
      </c>
      <c r="C140" s="31" t="s">
        <v>4019</v>
      </c>
      <c r="D140" s="110">
        <v>44122</v>
      </c>
      <c r="E140" s="31" t="s">
        <v>30</v>
      </c>
      <c r="F140" s="31">
        <v>865</v>
      </c>
      <c r="G140" s="31">
        <v>327</v>
      </c>
      <c r="H140" s="31">
        <v>9</v>
      </c>
      <c r="I140" s="31">
        <v>5</v>
      </c>
      <c r="J140" s="31" t="s">
        <v>204</v>
      </c>
      <c r="K140" s="31" cm="1">
        <f t="array" ref="K140">INT(SUMPRODUCT(--ISNUMBER(SEARCH(economy,C140)))&gt;0)</f>
        <v>0</v>
      </c>
      <c r="L140" s="31" cm="1">
        <f t="array" ref="L140">INT(SUMPRODUCT(--ISNUMBER(SEARCH(healthcare,C140)))&gt;0)</f>
        <v>0</v>
      </c>
      <c r="M140" s="31" cm="1">
        <f t="array" ref="M140">INT(SUMPRODUCT(--ISNUMBER(SEARCH(supreme,C140)))&gt;0)</f>
        <v>0</v>
      </c>
      <c r="N140" s="31" cm="1">
        <f t="array" ref="N140">INT(SUMPRODUCT(--ISNUMBER(SEARCH(covid,C140)))&gt;0)</f>
        <v>0</v>
      </c>
      <c r="O140" s="31" cm="1">
        <f t="array" ref="O140">INT(SUMPRODUCT(--ISNUMBER(SEARCH(violent,C140)))&gt;0)</f>
        <v>0</v>
      </c>
      <c r="P140" s="31" cm="1">
        <f t="array" ref="P140">INT(SUMPRODUCT(--ISNUMBER(SEARCH(foreign,C140)))&gt;0)</f>
        <v>0</v>
      </c>
      <c r="Q140" s="31" cm="1">
        <f t="array" ref="Q140">INT(SUMPRODUCT(--ISNUMBER(SEARCH(gun,C140)))&gt;0)</f>
        <v>0</v>
      </c>
      <c r="R140" s="31" cm="1">
        <f t="array" ref="R140">INT(SUMPRODUCT(--ISNUMBER(SEARCH(race,C140)))&gt;0)</f>
        <v>0</v>
      </c>
      <c r="S140" s="31" cm="1">
        <f t="array" ref="S140">INT(SUMPRODUCT(--ISNUMBER(SEARCH(immigration,C140)))&gt;0)</f>
        <v>0</v>
      </c>
      <c r="T140" s="31" cm="1">
        <f t="array" ref="T140">INT(SUMPRODUCT(--ISNUMBER(SEARCH(econineq,C141)))&gt;0)</f>
        <v>0</v>
      </c>
      <c r="U140" s="31" cm="1">
        <f t="array" ref="U140">INT(SUMPRODUCT(--ISNUMBER(SEARCH(climate,C140)))&gt;0)</f>
        <v>0</v>
      </c>
      <c r="V140" s="31" cm="1">
        <f t="array" ref="V140">INT(SUMPRODUCT(--ISNUMBER(SEARCH(abortion,C140)))&gt;0)</f>
        <v>0</v>
      </c>
      <c r="W140" s="31" cm="1">
        <f t="array" ref="W140">INT(SUMPRODUCT(--ISNUMBER(SEARCH(trump,C140)))&gt;0)</f>
        <v>0</v>
      </c>
      <c r="X140" s="31" cm="1">
        <f t="array" ref="X140">INT(SUMPRODUCT(--ISNUMBER(SEARCH(voting,C140)))&gt;0)</f>
        <v>1</v>
      </c>
      <c r="Y140" s="31" cm="1">
        <f t="array" ref="Y140">INT(SUMPRODUCT(--ISNUMBER(SEARCH(democrattrigger,C140)))&gt;0)</f>
        <v>0</v>
      </c>
      <c r="Z140" s="31" cm="1">
        <f t="array" ref="Z140">INT(SUMPRODUCT(--ISNUMBER(SEARCH(bipartisan,C140)))&gt;0)</f>
        <v>0</v>
      </c>
      <c r="AA140" s="31">
        <f t="shared" si="2"/>
        <v>0</v>
      </c>
      <c r="AB140" s="31"/>
      <c r="AC140" s="111">
        <v>0</v>
      </c>
      <c r="AD140" s="112">
        <v>1</v>
      </c>
    </row>
    <row r="141" spans="1:30" x14ac:dyDescent="0.25">
      <c r="A141" s="109">
        <v>1997</v>
      </c>
      <c r="B141" s="31" t="s">
        <v>4020</v>
      </c>
      <c r="C141" s="31" t="s">
        <v>4021</v>
      </c>
      <c r="D141" s="110">
        <v>44122</v>
      </c>
      <c r="E141" s="31" t="s">
        <v>30</v>
      </c>
      <c r="F141" s="31">
        <v>257</v>
      </c>
      <c r="G141" s="31">
        <v>97</v>
      </c>
      <c r="H141" s="31">
        <v>9</v>
      </c>
      <c r="I141" s="31">
        <v>5</v>
      </c>
      <c r="J141" s="31" t="s">
        <v>204</v>
      </c>
      <c r="K141" s="31" cm="1">
        <f t="array" ref="K141">INT(SUMPRODUCT(--ISNUMBER(SEARCH(economy,C141)))&gt;0)</f>
        <v>0</v>
      </c>
      <c r="L141" s="31" cm="1">
        <f t="array" ref="L141">INT(SUMPRODUCT(--ISNUMBER(SEARCH(healthcare,C141)))&gt;0)</f>
        <v>0</v>
      </c>
      <c r="M141" s="31" cm="1">
        <f t="array" ref="M141">INT(SUMPRODUCT(--ISNUMBER(SEARCH(supreme,C141)))&gt;0)</f>
        <v>0</v>
      </c>
      <c r="N141" s="31" cm="1">
        <f t="array" ref="N141">INT(SUMPRODUCT(--ISNUMBER(SEARCH(covid,C141)))&gt;0)</f>
        <v>0</v>
      </c>
      <c r="O141" s="31" cm="1">
        <f t="array" ref="O141">INT(SUMPRODUCT(--ISNUMBER(SEARCH(violent,C141)))&gt;0)</f>
        <v>0</v>
      </c>
      <c r="P141" s="31" cm="1">
        <f t="array" ref="P141">INT(SUMPRODUCT(--ISNUMBER(SEARCH(foreign,C141)))&gt;0)</f>
        <v>0</v>
      </c>
      <c r="Q141" s="31" cm="1">
        <f t="array" ref="Q141">INT(SUMPRODUCT(--ISNUMBER(SEARCH(gun,C141)))&gt;0)</f>
        <v>0</v>
      </c>
      <c r="R141" s="31" cm="1">
        <f t="array" ref="R141">INT(SUMPRODUCT(--ISNUMBER(SEARCH(race,C141)))&gt;0)</f>
        <v>0</v>
      </c>
      <c r="S141" s="31" cm="1">
        <f t="array" ref="S141">INT(SUMPRODUCT(--ISNUMBER(SEARCH(immigration,C141)))&gt;0)</f>
        <v>0</v>
      </c>
      <c r="T141" s="31" cm="1">
        <f t="array" ref="T141">INT(SUMPRODUCT(--ISNUMBER(SEARCH(econineq,C142)))&gt;0)</f>
        <v>0</v>
      </c>
      <c r="U141" s="31" cm="1">
        <f t="array" ref="U141">INT(SUMPRODUCT(--ISNUMBER(SEARCH(climate,C141)))&gt;0)</f>
        <v>0</v>
      </c>
      <c r="V141" s="31" cm="1">
        <f t="array" ref="V141">INT(SUMPRODUCT(--ISNUMBER(SEARCH(abortion,C141)))&gt;0)</f>
        <v>0</v>
      </c>
      <c r="W141" s="31" cm="1">
        <f t="array" ref="W141">INT(SUMPRODUCT(--ISNUMBER(SEARCH(trump,C141)))&gt;0)</f>
        <v>0</v>
      </c>
      <c r="X141" s="31" cm="1">
        <f t="array" ref="X141">INT(SUMPRODUCT(--ISNUMBER(SEARCH(voting,C141)))&gt;0)</f>
        <v>1</v>
      </c>
      <c r="Y141" s="31" cm="1">
        <f t="array" ref="Y141">INT(SUMPRODUCT(--ISNUMBER(SEARCH(democrattrigger,C141)))&gt;0)</f>
        <v>0</v>
      </c>
      <c r="Z141" s="31" cm="1">
        <f t="array" ref="Z141">INT(SUMPRODUCT(--ISNUMBER(SEARCH(bipartisan,C141)))&gt;0)</f>
        <v>0</v>
      </c>
      <c r="AA141" s="31">
        <f t="shared" si="2"/>
        <v>0</v>
      </c>
      <c r="AB141" s="31"/>
      <c r="AC141" s="111">
        <v>1</v>
      </c>
      <c r="AD141" s="112">
        <v>0</v>
      </c>
    </row>
    <row r="142" spans="1:30" x14ac:dyDescent="0.25">
      <c r="A142" s="109">
        <v>1998</v>
      </c>
      <c r="B142" s="31" t="s">
        <v>4022</v>
      </c>
      <c r="C142" s="31" t="s">
        <v>4023</v>
      </c>
      <c r="D142" s="110">
        <v>44122</v>
      </c>
      <c r="E142" s="31" t="s">
        <v>30</v>
      </c>
      <c r="F142" s="31">
        <v>1959</v>
      </c>
      <c r="G142" s="31">
        <v>761</v>
      </c>
      <c r="H142" s="31">
        <v>9</v>
      </c>
      <c r="I142" s="31">
        <v>5</v>
      </c>
      <c r="J142" s="31" t="s">
        <v>204</v>
      </c>
      <c r="K142" s="31" cm="1">
        <f t="array" ref="K142">INT(SUMPRODUCT(--ISNUMBER(SEARCH(economy,C142)))&gt;0)</f>
        <v>1</v>
      </c>
      <c r="L142" s="31" cm="1">
        <f t="array" ref="L142">INT(SUMPRODUCT(--ISNUMBER(SEARCH(healthcare,C142)))&gt;0)</f>
        <v>1</v>
      </c>
      <c r="M142" s="31" cm="1">
        <f t="array" ref="M142">INT(SUMPRODUCT(--ISNUMBER(SEARCH(supreme,C142)))&gt;0)</f>
        <v>0</v>
      </c>
      <c r="N142" s="31" cm="1">
        <f t="array" ref="N142">INT(SUMPRODUCT(--ISNUMBER(SEARCH(covid,C142)))&gt;0)</f>
        <v>0</v>
      </c>
      <c r="O142" s="31" cm="1">
        <f t="array" ref="O142">INT(SUMPRODUCT(--ISNUMBER(SEARCH(violent,C142)))&gt;0)</f>
        <v>0</v>
      </c>
      <c r="P142" s="31" cm="1">
        <f t="array" ref="P142">INT(SUMPRODUCT(--ISNUMBER(SEARCH(foreign,C142)))&gt;0)</f>
        <v>0</v>
      </c>
      <c r="Q142" s="31" cm="1">
        <f t="array" ref="Q142">INT(SUMPRODUCT(--ISNUMBER(SEARCH(gun,C142)))&gt;0)</f>
        <v>0</v>
      </c>
      <c r="R142" s="31" cm="1">
        <f t="array" ref="R142">INT(SUMPRODUCT(--ISNUMBER(SEARCH(race,C142)))&gt;0)</f>
        <v>0</v>
      </c>
      <c r="S142" s="31" cm="1">
        <f t="array" ref="S142">INT(SUMPRODUCT(--ISNUMBER(SEARCH(immigration,C142)))&gt;0)</f>
        <v>0</v>
      </c>
      <c r="T142" s="31" cm="1">
        <f t="array" ref="T142">INT(SUMPRODUCT(--ISNUMBER(SEARCH(econineq,C143)))&gt;0)</f>
        <v>0</v>
      </c>
      <c r="U142" s="31" cm="1">
        <f t="array" ref="U142">INT(SUMPRODUCT(--ISNUMBER(SEARCH(climate,C142)))&gt;0)</f>
        <v>0</v>
      </c>
      <c r="V142" s="31" cm="1">
        <f t="array" ref="V142">INT(SUMPRODUCT(--ISNUMBER(SEARCH(abortion,C142)))&gt;0)</f>
        <v>0</v>
      </c>
      <c r="W142" s="31" cm="1">
        <f t="array" ref="W142">INT(SUMPRODUCT(--ISNUMBER(SEARCH(trump,C142)))&gt;0)</f>
        <v>0</v>
      </c>
      <c r="X142" s="31" cm="1">
        <f t="array" ref="X142">INT(SUMPRODUCT(--ISNUMBER(SEARCH(voting,C142)))&gt;0)</f>
        <v>0</v>
      </c>
      <c r="Y142" s="31" cm="1">
        <f t="array" ref="Y142">INT(SUMPRODUCT(--ISNUMBER(SEARCH(democrattrigger,C142)))&gt;0)</f>
        <v>0</v>
      </c>
      <c r="Z142" s="31" cm="1">
        <f t="array" ref="Z142">INT(SUMPRODUCT(--ISNUMBER(SEARCH(bipartisan,C142)))&gt;0)</f>
        <v>0</v>
      </c>
      <c r="AA142" s="31">
        <f t="shared" si="2"/>
        <v>0</v>
      </c>
      <c r="AB142" s="31"/>
      <c r="AC142" s="111" t="s">
        <v>223</v>
      </c>
      <c r="AD142" s="112" t="s">
        <v>223</v>
      </c>
    </row>
    <row r="143" spans="1:30" x14ac:dyDescent="0.25">
      <c r="A143" s="109">
        <v>1999</v>
      </c>
      <c r="B143" s="31" t="s">
        <v>4024</v>
      </c>
      <c r="C143" s="31" t="s">
        <v>4025</v>
      </c>
      <c r="D143" s="110">
        <v>44121</v>
      </c>
      <c r="E143" s="31" t="s">
        <v>30</v>
      </c>
      <c r="F143" s="31">
        <v>13257</v>
      </c>
      <c r="G143" s="31">
        <v>3227</v>
      </c>
      <c r="H143" s="31">
        <v>9</v>
      </c>
      <c r="I143" s="31">
        <v>5</v>
      </c>
      <c r="J143" s="31" t="s">
        <v>204</v>
      </c>
      <c r="K143" s="31" cm="1">
        <f t="array" ref="K143">INT(SUMPRODUCT(--ISNUMBER(SEARCH(economy,C143)))&gt;0)</f>
        <v>0</v>
      </c>
      <c r="L143" s="31" cm="1">
        <f t="array" ref="L143">INT(SUMPRODUCT(--ISNUMBER(SEARCH(healthcare,C143)))&gt;0)</f>
        <v>0</v>
      </c>
      <c r="M143" s="31" cm="1">
        <f t="array" ref="M143">INT(SUMPRODUCT(--ISNUMBER(SEARCH(supreme,C143)))&gt;0)</f>
        <v>0</v>
      </c>
      <c r="N143" s="31" cm="1">
        <f t="array" ref="N143">INT(SUMPRODUCT(--ISNUMBER(SEARCH(covid,C143)))&gt;0)</f>
        <v>0</v>
      </c>
      <c r="O143" s="31" cm="1">
        <f t="array" ref="O143">INT(SUMPRODUCT(--ISNUMBER(SEARCH(violent,C143)))&gt;0)</f>
        <v>0</v>
      </c>
      <c r="P143" s="31" cm="1">
        <f t="array" ref="P143">INT(SUMPRODUCT(--ISNUMBER(SEARCH(foreign,C143)))&gt;0)</f>
        <v>0</v>
      </c>
      <c r="Q143" s="31" cm="1">
        <f t="array" ref="Q143">INT(SUMPRODUCT(--ISNUMBER(SEARCH(gun,C143)))&gt;0)</f>
        <v>0</v>
      </c>
      <c r="R143" s="31" cm="1">
        <f t="array" ref="R143">INT(SUMPRODUCT(--ISNUMBER(SEARCH(race,C143)))&gt;0)</f>
        <v>0</v>
      </c>
      <c r="S143" s="31" cm="1">
        <f t="array" ref="S143">INT(SUMPRODUCT(--ISNUMBER(SEARCH(immigration,C143)))&gt;0)</f>
        <v>0</v>
      </c>
      <c r="T143" s="31" cm="1">
        <f t="array" ref="T143">INT(SUMPRODUCT(--ISNUMBER(SEARCH(econineq,C144)))&gt;0)</f>
        <v>0</v>
      </c>
      <c r="U143" s="31" cm="1">
        <f t="array" ref="U143">INT(SUMPRODUCT(--ISNUMBER(SEARCH(climate,C143)))&gt;0)</f>
        <v>0</v>
      </c>
      <c r="V143" s="31" cm="1">
        <f t="array" ref="V143">INT(SUMPRODUCT(--ISNUMBER(SEARCH(abortion,C143)))&gt;0)</f>
        <v>0</v>
      </c>
      <c r="W143" s="31" cm="1">
        <f t="array" ref="W143">INT(SUMPRODUCT(--ISNUMBER(SEARCH(trump,C143)))&gt;0)</f>
        <v>1</v>
      </c>
      <c r="X143" s="31" cm="1">
        <f t="array" ref="X143">INT(SUMPRODUCT(--ISNUMBER(SEARCH(voting,C143)))&gt;0)</f>
        <v>0</v>
      </c>
      <c r="Y143" s="31" cm="1">
        <f t="array" ref="Y143">INT(SUMPRODUCT(--ISNUMBER(SEARCH(democrattrigger,C143)))&gt;0)</f>
        <v>0</v>
      </c>
      <c r="Z143" s="31" cm="1">
        <f t="array" ref="Z143">INT(SUMPRODUCT(--ISNUMBER(SEARCH(bipartisan,C143)))&gt;0)</f>
        <v>0</v>
      </c>
      <c r="AA143" s="31">
        <f t="shared" si="2"/>
        <v>0</v>
      </c>
      <c r="AB143" s="31"/>
      <c r="AC143" s="111" t="s">
        <v>223</v>
      </c>
      <c r="AD143" s="112" t="s">
        <v>223</v>
      </c>
    </row>
    <row r="144" spans="1:30" x14ac:dyDescent="0.25">
      <c r="A144" s="109">
        <v>2000</v>
      </c>
      <c r="B144" s="31" t="s">
        <v>4026</v>
      </c>
      <c r="C144" s="31" t="s">
        <v>4027</v>
      </c>
      <c r="D144" s="110">
        <v>44121</v>
      </c>
      <c r="E144" s="31" t="s">
        <v>30</v>
      </c>
      <c r="F144" s="31">
        <v>495</v>
      </c>
      <c r="G144" s="31">
        <v>245</v>
      </c>
      <c r="H144" s="31">
        <v>9</v>
      </c>
      <c r="I144" s="31">
        <v>5</v>
      </c>
      <c r="J144" s="31" t="s">
        <v>204</v>
      </c>
      <c r="K144" s="31" cm="1">
        <f t="array" ref="K144">INT(SUMPRODUCT(--ISNUMBER(SEARCH(economy,C144)))&gt;0)</f>
        <v>0</v>
      </c>
      <c r="L144" s="31" cm="1">
        <f t="array" ref="L144">INT(SUMPRODUCT(--ISNUMBER(SEARCH(healthcare,C144)))&gt;0)</f>
        <v>0</v>
      </c>
      <c r="M144" s="31" cm="1">
        <f t="array" ref="M144">INT(SUMPRODUCT(--ISNUMBER(SEARCH(supreme,C144)))&gt;0)</f>
        <v>0</v>
      </c>
      <c r="N144" s="31" cm="1">
        <f t="array" ref="N144">INT(SUMPRODUCT(--ISNUMBER(SEARCH(covid,C144)))&gt;0)</f>
        <v>0</v>
      </c>
      <c r="O144" s="31" cm="1">
        <f t="array" ref="O144">INT(SUMPRODUCT(--ISNUMBER(SEARCH(violent,C144)))&gt;0)</f>
        <v>0</v>
      </c>
      <c r="P144" s="31" cm="1">
        <f t="array" ref="P144">INT(SUMPRODUCT(--ISNUMBER(SEARCH(foreign,C144)))&gt;0)</f>
        <v>0</v>
      </c>
      <c r="Q144" s="31" cm="1">
        <f t="array" ref="Q144">INT(SUMPRODUCT(--ISNUMBER(SEARCH(gun,C144)))&gt;0)</f>
        <v>0</v>
      </c>
      <c r="R144" s="31" cm="1">
        <f t="array" ref="R144">INT(SUMPRODUCT(--ISNUMBER(SEARCH(race,C144)))&gt;0)</f>
        <v>0</v>
      </c>
      <c r="S144" s="31" cm="1">
        <f t="array" ref="S144">INT(SUMPRODUCT(--ISNUMBER(SEARCH(immigration,C144)))&gt;0)</f>
        <v>0</v>
      </c>
      <c r="T144" s="31" cm="1">
        <f t="array" ref="T144">INT(SUMPRODUCT(--ISNUMBER(SEARCH(econineq,C145)))&gt;0)</f>
        <v>0</v>
      </c>
      <c r="U144" s="31" cm="1">
        <f t="array" ref="U144">INT(SUMPRODUCT(--ISNUMBER(SEARCH(climate,C144)))&gt;0)</f>
        <v>0</v>
      </c>
      <c r="V144" s="31" cm="1">
        <f t="array" ref="V144">INT(SUMPRODUCT(--ISNUMBER(SEARCH(abortion,C144)))&gt;0)</f>
        <v>0</v>
      </c>
      <c r="W144" s="31" cm="1">
        <f t="array" ref="W144">INT(SUMPRODUCT(--ISNUMBER(SEARCH(trump,C144)))&gt;0)</f>
        <v>1</v>
      </c>
      <c r="X144" s="31" cm="1">
        <f t="array" ref="X144">INT(SUMPRODUCT(--ISNUMBER(SEARCH(voting,C144)))&gt;0)</f>
        <v>1</v>
      </c>
      <c r="Y144" s="31" cm="1">
        <f t="array" ref="Y144">INT(SUMPRODUCT(--ISNUMBER(SEARCH(democrattrigger,C144)))&gt;0)</f>
        <v>1</v>
      </c>
      <c r="Z144" s="31" cm="1">
        <f t="array" ref="Z144">INT(SUMPRODUCT(--ISNUMBER(SEARCH(bipartisan,C144)))&gt;0)</f>
        <v>0</v>
      </c>
      <c r="AA144" s="31">
        <f t="shared" si="2"/>
        <v>0</v>
      </c>
      <c r="AB144" s="31"/>
      <c r="AC144" s="111" t="s">
        <v>223</v>
      </c>
      <c r="AD144" s="112" t="s">
        <v>223</v>
      </c>
    </row>
    <row r="145" spans="1:30" x14ac:dyDescent="0.25">
      <c r="A145" s="109">
        <v>2001</v>
      </c>
      <c r="B145" s="31" t="s">
        <v>4028</v>
      </c>
      <c r="C145" s="31" t="s">
        <v>4029</v>
      </c>
      <c r="D145" s="110">
        <v>44121</v>
      </c>
      <c r="E145" s="31" t="s">
        <v>30</v>
      </c>
      <c r="F145" s="31">
        <v>3597</v>
      </c>
      <c r="G145" s="31">
        <v>840</v>
      </c>
      <c r="H145" s="31">
        <v>9</v>
      </c>
      <c r="I145" s="31">
        <v>5</v>
      </c>
      <c r="J145" s="31" t="s">
        <v>204</v>
      </c>
      <c r="K145" s="31" cm="1">
        <f t="array" ref="K145">INT(SUMPRODUCT(--ISNUMBER(SEARCH(economy,C145)))&gt;0)</f>
        <v>0</v>
      </c>
      <c r="L145" s="31" cm="1">
        <f t="array" ref="L145">INT(SUMPRODUCT(--ISNUMBER(SEARCH(healthcare,C145)))&gt;0)</f>
        <v>0</v>
      </c>
      <c r="M145" s="31" cm="1">
        <f t="array" ref="M145">INT(SUMPRODUCT(--ISNUMBER(SEARCH(supreme,C145)))&gt;0)</f>
        <v>0</v>
      </c>
      <c r="N145" s="31" cm="1">
        <f t="array" ref="N145">INT(SUMPRODUCT(--ISNUMBER(SEARCH(covid,C145)))&gt;0)</f>
        <v>0</v>
      </c>
      <c r="O145" s="31" cm="1">
        <f t="array" ref="O145">INT(SUMPRODUCT(--ISNUMBER(SEARCH(violent,C145)))&gt;0)</f>
        <v>0</v>
      </c>
      <c r="P145" s="31" cm="1">
        <f t="array" ref="P145">INT(SUMPRODUCT(--ISNUMBER(SEARCH(foreign,C145)))&gt;0)</f>
        <v>0</v>
      </c>
      <c r="Q145" s="31" cm="1">
        <f t="array" ref="Q145">INT(SUMPRODUCT(--ISNUMBER(SEARCH(gun,C145)))&gt;0)</f>
        <v>0</v>
      </c>
      <c r="R145" s="31" cm="1">
        <f t="array" ref="R145">INT(SUMPRODUCT(--ISNUMBER(SEARCH(race,C145)))&gt;0)</f>
        <v>0</v>
      </c>
      <c r="S145" s="31" cm="1">
        <f t="array" ref="S145">INT(SUMPRODUCT(--ISNUMBER(SEARCH(immigration,C145)))&gt;0)</f>
        <v>0</v>
      </c>
      <c r="T145" s="31" cm="1">
        <f t="array" ref="T145">INT(SUMPRODUCT(--ISNUMBER(SEARCH(econineq,C146)))&gt;0)</f>
        <v>0</v>
      </c>
      <c r="U145" s="31" cm="1">
        <f t="array" ref="U145">INT(SUMPRODUCT(--ISNUMBER(SEARCH(climate,C145)))&gt;0)</f>
        <v>0</v>
      </c>
      <c r="V145" s="31" cm="1">
        <f t="array" ref="V145">INT(SUMPRODUCT(--ISNUMBER(SEARCH(abortion,C145)))&gt;0)</f>
        <v>0</v>
      </c>
      <c r="W145" s="31" cm="1">
        <f t="array" ref="W145">INT(SUMPRODUCT(--ISNUMBER(SEARCH(trump,C145)))&gt;0)</f>
        <v>0</v>
      </c>
      <c r="X145" s="31" cm="1">
        <f t="array" ref="X145">INT(SUMPRODUCT(--ISNUMBER(SEARCH(voting,C145)))&gt;0)</f>
        <v>1</v>
      </c>
      <c r="Y145" s="31" cm="1">
        <f t="array" ref="Y145">INT(SUMPRODUCT(--ISNUMBER(SEARCH(democrattrigger,C145)))&gt;0)</f>
        <v>0</v>
      </c>
      <c r="Z145" s="31" cm="1">
        <f t="array" ref="Z145">INT(SUMPRODUCT(--ISNUMBER(SEARCH(bipartisan,C145)))&gt;0)</f>
        <v>0</v>
      </c>
      <c r="AA145" s="31">
        <f t="shared" si="2"/>
        <v>0</v>
      </c>
      <c r="AB145" s="31"/>
      <c r="AC145" s="111">
        <v>1</v>
      </c>
      <c r="AD145" s="112">
        <v>0</v>
      </c>
    </row>
    <row r="146" spans="1:30" x14ac:dyDescent="0.25">
      <c r="A146" s="109">
        <v>2002</v>
      </c>
      <c r="B146" s="31" t="s">
        <v>4030</v>
      </c>
      <c r="C146" s="31" t="s">
        <v>4031</v>
      </c>
      <c r="D146" s="110">
        <v>44121</v>
      </c>
      <c r="E146" s="31" t="s">
        <v>30</v>
      </c>
      <c r="F146" s="31">
        <v>143</v>
      </c>
      <c r="G146" s="31">
        <v>66</v>
      </c>
      <c r="H146" s="31">
        <v>9</v>
      </c>
      <c r="I146" s="31">
        <v>5</v>
      </c>
      <c r="J146" s="31" t="s">
        <v>204</v>
      </c>
      <c r="K146" s="31" cm="1">
        <f t="array" ref="K146">INT(SUMPRODUCT(--ISNUMBER(SEARCH(economy,C146)))&gt;0)</f>
        <v>0</v>
      </c>
      <c r="L146" s="31" cm="1">
        <f t="array" ref="L146">INT(SUMPRODUCT(--ISNUMBER(SEARCH(healthcare,C146)))&gt;0)</f>
        <v>0</v>
      </c>
      <c r="M146" s="31" cm="1">
        <f t="array" ref="M146">INT(SUMPRODUCT(--ISNUMBER(SEARCH(supreme,C146)))&gt;0)</f>
        <v>0</v>
      </c>
      <c r="N146" s="31" cm="1">
        <f t="array" ref="N146">INT(SUMPRODUCT(--ISNUMBER(SEARCH(covid,C146)))&gt;0)</f>
        <v>0</v>
      </c>
      <c r="O146" s="31" cm="1">
        <f t="array" ref="O146">INT(SUMPRODUCT(--ISNUMBER(SEARCH(violent,C146)))&gt;0)</f>
        <v>0</v>
      </c>
      <c r="P146" s="31" cm="1">
        <f t="array" ref="P146">INT(SUMPRODUCT(--ISNUMBER(SEARCH(foreign,C146)))&gt;0)</f>
        <v>0</v>
      </c>
      <c r="Q146" s="31" cm="1">
        <f t="array" ref="Q146">INT(SUMPRODUCT(--ISNUMBER(SEARCH(gun,C146)))&gt;0)</f>
        <v>0</v>
      </c>
      <c r="R146" s="31" cm="1">
        <f t="array" ref="R146">INT(SUMPRODUCT(--ISNUMBER(SEARCH(race,C146)))&gt;0)</f>
        <v>0</v>
      </c>
      <c r="S146" s="31" cm="1">
        <f t="array" ref="S146">INT(SUMPRODUCT(--ISNUMBER(SEARCH(immigration,C146)))&gt;0)</f>
        <v>0</v>
      </c>
      <c r="T146" s="31" cm="1">
        <f t="array" ref="T146">INT(SUMPRODUCT(--ISNUMBER(SEARCH(econineq,C147)))&gt;0)</f>
        <v>1</v>
      </c>
      <c r="U146" s="31" cm="1">
        <f t="array" ref="U146">INT(SUMPRODUCT(--ISNUMBER(SEARCH(climate,C146)))&gt;0)</f>
        <v>0</v>
      </c>
      <c r="V146" s="31" cm="1">
        <f t="array" ref="V146">INT(SUMPRODUCT(--ISNUMBER(SEARCH(abortion,C146)))&gt;0)</f>
        <v>0</v>
      </c>
      <c r="W146" s="31" cm="1">
        <f t="array" ref="W146">INT(SUMPRODUCT(--ISNUMBER(SEARCH(trump,C146)))&gt;0)</f>
        <v>0</v>
      </c>
      <c r="X146" s="31" cm="1">
        <f t="array" ref="X146">INT(SUMPRODUCT(--ISNUMBER(SEARCH(voting,C146)))&gt;0)</f>
        <v>1</v>
      </c>
      <c r="Y146" s="31" cm="1">
        <f t="array" ref="Y146">INT(SUMPRODUCT(--ISNUMBER(SEARCH(democrattrigger,C146)))&gt;0)</f>
        <v>0</v>
      </c>
      <c r="Z146" s="31" cm="1">
        <f t="array" ref="Z146">INT(SUMPRODUCT(--ISNUMBER(SEARCH(bipartisan,C146)))&gt;0)</f>
        <v>0</v>
      </c>
      <c r="AA146" s="31">
        <f t="shared" si="2"/>
        <v>0</v>
      </c>
      <c r="AB146" s="31"/>
      <c r="AC146" s="111" t="s">
        <v>223</v>
      </c>
      <c r="AD146" s="112" t="s">
        <v>223</v>
      </c>
    </row>
    <row r="147" spans="1:30" x14ac:dyDescent="0.25">
      <c r="A147" s="109">
        <v>2003</v>
      </c>
      <c r="B147" s="31" t="s">
        <v>4032</v>
      </c>
      <c r="C147" s="31" t="s">
        <v>4033</v>
      </c>
      <c r="D147" s="110">
        <v>44121</v>
      </c>
      <c r="E147" s="31" t="s">
        <v>30</v>
      </c>
      <c r="F147" s="31">
        <v>256</v>
      </c>
      <c r="G147" s="31">
        <v>96</v>
      </c>
      <c r="H147" s="31">
        <v>9</v>
      </c>
      <c r="I147" s="31">
        <v>5</v>
      </c>
      <c r="J147" s="31" t="s">
        <v>204</v>
      </c>
      <c r="K147" s="31" cm="1">
        <f t="array" ref="K147">INT(SUMPRODUCT(--ISNUMBER(SEARCH(economy,C147)))&gt;0)</f>
        <v>1</v>
      </c>
      <c r="L147" s="31" cm="1">
        <f t="array" ref="L147">INT(SUMPRODUCT(--ISNUMBER(SEARCH(healthcare,C147)))&gt;0)</f>
        <v>0</v>
      </c>
      <c r="M147" s="31" cm="1">
        <f t="array" ref="M147">INT(SUMPRODUCT(--ISNUMBER(SEARCH(supreme,C147)))&gt;0)</f>
        <v>0</v>
      </c>
      <c r="N147" s="31" cm="1">
        <f t="array" ref="N147">INT(SUMPRODUCT(--ISNUMBER(SEARCH(covid,C147)))&gt;0)</f>
        <v>0</v>
      </c>
      <c r="O147" s="31" cm="1">
        <f t="array" ref="O147">INT(SUMPRODUCT(--ISNUMBER(SEARCH(violent,C147)))&gt;0)</f>
        <v>0</v>
      </c>
      <c r="P147" s="31" cm="1">
        <f t="array" ref="P147">INT(SUMPRODUCT(--ISNUMBER(SEARCH(foreign,C147)))&gt;0)</f>
        <v>0</v>
      </c>
      <c r="Q147" s="31" cm="1">
        <f t="array" ref="Q147">INT(SUMPRODUCT(--ISNUMBER(SEARCH(gun,C147)))&gt;0)</f>
        <v>0</v>
      </c>
      <c r="R147" s="31" cm="1">
        <f t="array" ref="R147">INT(SUMPRODUCT(--ISNUMBER(SEARCH(race,C147)))&gt;0)</f>
        <v>0</v>
      </c>
      <c r="S147" s="31" cm="1">
        <f t="array" ref="S147">INT(SUMPRODUCT(--ISNUMBER(SEARCH(immigration,C147)))&gt;0)</f>
        <v>0</v>
      </c>
      <c r="T147" s="31" cm="1">
        <f t="array" ref="T147">INT(SUMPRODUCT(--ISNUMBER(SEARCH(econineq,C148)))&gt;0)</f>
        <v>0</v>
      </c>
      <c r="U147" s="31" cm="1">
        <f t="array" ref="U147">INT(SUMPRODUCT(--ISNUMBER(SEARCH(climate,C147)))&gt;0)</f>
        <v>0</v>
      </c>
      <c r="V147" s="31" cm="1">
        <f t="array" ref="V147">INT(SUMPRODUCT(--ISNUMBER(SEARCH(abortion,C147)))&gt;0)</f>
        <v>0</v>
      </c>
      <c r="W147" s="31" cm="1">
        <f t="array" ref="W147">INT(SUMPRODUCT(--ISNUMBER(SEARCH(trump,C147)))&gt;0)</f>
        <v>0</v>
      </c>
      <c r="X147" s="31" cm="1">
        <f t="array" ref="X147">INT(SUMPRODUCT(--ISNUMBER(SEARCH(voting,C147)))&gt;0)</f>
        <v>1</v>
      </c>
      <c r="Y147" s="31" cm="1">
        <f t="array" ref="Y147">INT(SUMPRODUCT(--ISNUMBER(SEARCH(democrattrigger,C147)))&gt;0)</f>
        <v>0</v>
      </c>
      <c r="Z147" s="31" cm="1">
        <f t="array" ref="Z147">INT(SUMPRODUCT(--ISNUMBER(SEARCH(bipartisan,C147)))&gt;0)</f>
        <v>0</v>
      </c>
      <c r="AA147" s="31">
        <f t="shared" si="2"/>
        <v>0</v>
      </c>
      <c r="AB147" s="31"/>
      <c r="AC147" s="111">
        <v>1</v>
      </c>
      <c r="AD147" s="112">
        <v>0</v>
      </c>
    </row>
    <row r="148" spans="1:30" x14ac:dyDescent="0.25">
      <c r="A148" s="109">
        <v>2004</v>
      </c>
      <c r="B148" s="31" t="s">
        <v>4034</v>
      </c>
      <c r="C148" s="31" t="s">
        <v>4035</v>
      </c>
      <c r="D148" s="110">
        <v>44121</v>
      </c>
      <c r="E148" s="31" t="s">
        <v>30</v>
      </c>
      <c r="F148" s="31">
        <v>230</v>
      </c>
      <c r="G148" s="31">
        <v>76</v>
      </c>
      <c r="H148" s="31">
        <v>9</v>
      </c>
      <c r="I148" s="31">
        <v>5</v>
      </c>
      <c r="J148" s="31" t="s">
        <v>204</v>
      </c>
      <c r="K148" s="31" cm="1">
        <f t="array" ref="K148">INT(SUMPRODUCT(--ISNUMBER(SEARCH(economy,C148)))&gt;0)</f>
        <v>1</v>
      </c>
      <c r="L148" s="31" cm="1">
        <f t="array" ref="L148">INT(SUMPRODUCT(--ISNUMBER(SEARCH(healthcare,C148)))&gt;0)</f>
        <v>0</v>
      </c>
      <c r="M148" s="31" cm="1">
        <f t="array" ref="M148">INT(SUMPRODUCT(--ISNUMBER(SEARCH(supreme,C148)))&gt;0)</f>
        <v>0</v>
      </c>
      <c r="N148" s="31" cm="1">
        <f t="array" ref="N148">INT(SUMPRODUCT(--ISNUMBER(SEARCH(covid,C148)))&gt;0)</f>
        <v>0</v>
      </c>
      <c r="O148" s="31" cm="1">
        <f t="array" ref="O148">INT(SUMPRODUCT(--ISNUMBER(SEARCH(violent,C148)))&gt;0)</f>
        <v>0</v>
      </c>
      <c r="P148" s="31" cm="1">
        <f t="array" ref="P148">INT(SUMPRODUCT(--ISNUMBER(SEARCH(foreign,C148)))&gt;0)</f>
        <v>0</v>
      </c>
      <c r="Q148" s="31" cm="1">
        <f t="array" ref="Q148">INT(SUMPRODUCT(--ISNUMBER(SEARCH(gun,C148)))&gt;0)</f>
        <v>0</v>
      </c>
      <c r="R148" s="31" cm="1">
        <f t="array" ref="R148">INT(SUMPRODUCT(--ISNUMBER(SEARCH(race,C148)))&gt;0)</f>
        <v>0</v>
      </c>
      <c r="S148" s="31" cm="1">
        <f t="array" ref="S148">INT(SUMPRODUCT(--ISNUMBER(SEARCH(immigration,C148)))&gt;0)</f>
        <v>0</v>
      </c>
      <c r="T148" s="31" cm="1">
        <f t="array" ref="T148">INT(SUMPRODUCT(--ISNUMBER(SEARCH(econineq,C149)))&gt;0)</f>
        <v>0</v>
      </c>
      <c r="U148" s="31" cm="1">
        <f t="array" ref="U148">INT(SUMPRODUCT(--ISNUMBER(SEARCH(climate,C148)))&gt;0)</f>
        <v>0</v>
      </c>
      <c r="V148" s="31" cm="1">
        <f t="array" ref="V148">INT(SUMPRODUCT(--ISNUMBER(SEARCH(abortion,C148)))&gt;0)</f>
        <v>0</v>
      </c>
      <c r="W148" s="31" cm="1">
        <f t="array" ref="W148">INT(SUMPRODUCT(--ISNUMBER(SEARCH(trump,C148)))&gt;0)</f>
        <v>0</v>
      </c>
      <c r="X148" s="31" cm="1">
        <f t="array" ref="X148">INT(SUMPRODUCT(--ISNUMBER(SEARCH(voting,C148)))&gt;0)</f>
        <v>0</v>
      </c>
      <c r="Y148" s="31" cm="1">
        <f t="array" ref="Y148">INT(SUMPRODUCT(--ISNUMBER(SEARCH(democrattrigger,C148)))&gt;0)</f>
        <v>0</v>
      </c>
      <c r="Z148" s="31" cm="1">
        <f t="array" ref="Z148">INT(SUMPRODUCT(--ISNUMBER(SEARCH(bipartisan,C148)))&gt;0)</f>
        <v>0</v>
      </c>
      <c r="AA148" s="31">
        <f t="shared" si="2"/>
        <v>0</v>
      </c>
      <c r="AB148" s="31"/>
      <c r="AC148" s="111">
        <v>1</v>
      </c>
      <c r="AD148" s="112">
        <v>0</v>
      </c>
    </row>
    <row r="149" spans="1:30" x14ac:dyDescent="0.25">
      <c r="A149" s="109">
        <v>2005</v>
      </c>
      <c r="B149" s="31" t="s">
        <v>4036</v>
      </c>
      <c r="C149" s="31" t="s">
        <v>4037</v>
      </c>
      <c r="D149" s="110">
        <v>44121</v>
      </c>
      <c r="E149" s="31" t="s">
        <v>30</v>
      </c>
      <c r="F149" s="31">
        <v>168</v>
      </c>
      <c r="G149" s="31">
        <v>63</v>
      </c>
      <c r="H149" s="31">
        <v>9</v>
      </c>
      <c r="I149" s="31">
        <v>5</v>
      </c>
      <c r="J149" s="31" t="s">
        <v>204</v>
      </c>
      <c r="K149" s="31" cm="1">
        <f t="array" ref="K149">INT(SUMPRODUCT(--ISNUMBER(SEARCH(economy,C149)))&gt;0)</f>
        <v>0</v>
      </c>
      <c r="L149" s="31" cm="1">
        <f t="array" ref="L149">INT(SUMPRODUCT(--ISNUMBER(SEARCH(healthcare,C149)))&gt;0)</f>
        <v>0</v>
      </c>
      <c r="M149" s="31" cm="1">
        <f t="array" ref="M149">INT(SUMPRODUCT(--ISNUMBER(SEARCH(supreme,C149)))&gt;0)</f>
        <v>0</v>
      </c>
      <c r="N149" s="31" cm="1">
        <f t="array" ref="N149">INT(SUMPRODUCT(--ISNUMBER(SEARCH(covid,C149)))&gt;0)</f>
        <v>0</v>
      </c>
      <c r="O149" s="31" cm="1">
        <f t="array" ref="O149">INT(SUMPRODUCT(--ISNUMBER(SEARCH(violent,C149)))&gt;0)</f>
        <v>0</v>
      </c>
      <c r="P149" s="31" cm="1">
        <f t="array" ref="P149">INT(SUMPRODUCT(--ISNUMBER(SEARCH(foreign,C149)))&gt;0)</f>
        <v>0</v>
      </c>
      <c r="Q149" s="31" cm="1">
        <f t="array" ref="Q149">INT(SUMPRODUCT(--ISNUMBER(SEARCH(gun,C149)))&gt;0)</f>
        <v>1</v>
      </c>
      <c r="R149" s="31" cm="1">
        <f t="array" ref="R149">INT(SUMPRODUCT(--ISNUMBER(SEARCH(race,C149)))&gt;0)</f>
        <v>0</v>
      </c>
      <c r="S149" s="31" cm="1">
        <f t="array" ref="S149">INT(SUMPRODUCT(--ISNUMBER(SEARCH(immigration,C149)))&gt;0)</f>
        <v>0</v>
      </c>
      <c r="T149" s="31" cm="1">
        <f t="array" ref="T149">INT(SUMPRODUCT(--ISNUMBER(SEARCH(econineq,C150)))&gt;0)</f>
        <v>0</v>
      </c>
      <c r="U149" s="31" cm="1">
        <f t="array" ref="U149">INT(SUMPRODUCT(--ISNUMBER(SEARCH(climate,C149)))&gt;0)</f>
        <v>0</v>
      </c>
      <c r="V149" s="31" cm="1">
        <f t="array" ref="V149">INT(SUMPRODUCT(--ISNUMBER(SEARCH(abortion,C149)))&gt;0)</f>
        <v>0</v>
      </c>
      <c r="W149" s="31" cm="1">
        <f t="array" ref="W149">INT(SUMPRODUCT(--ISNUMBER(SEARCH(trump,C149)))&gt;0)</f>
        <v>0</v>
      </c>
      <c r="X149" s="31" cm="1">
        <f t="array" ref="X149">INT(SUMPRODUCT(--ISNUMBER(SEARCH(voting,C149)))&gt;0)</f>
        <v>1</v>
      </c>
      <c r="Y149" s="31" cm="1">
        <f t="array" ref="Y149">INT(SUMPRODUCT(--ISNUMBER(SEARCH(democrattrigger,C149)))&gt;0)</f>
        <v>0</v>
      </c>
      <c r="Z149" s="31" cm="1">
        <f t="array" ref="Z149">INT(SUMPRODUCT(--ISNUMBER(SEARCH(bipartisan,C149)))&gt;0)</f>
        <v>0</v>
      </c>
      <c r="AA149" s="31">
        <f t="shared" si="2"/>
        <v>0</v>
      </c>
      <c r="AB149" s="31"/>
      <c r="AC149" s="111">
        <v>1</v>
      </c>
      <c r="AD149" s="112">
        <v>0</v>
      </c>
    </row>
    <row r="150" spans="1:30" x14ac:dyDescent="0.25">
      <c r="A150" s="109">
        <v>2006</v>
      </c>
      <c r="B150" s="31" t="s">
        <v>4038</v>
      </c>
      <c r="C150" s="31" t="s">
        <v>4039</v>
      </c>
      <c r="D150" s="110">
        <v>44121</v>
      </c>
      <c r="E150" s="31" t="s">
        <v>30</v>
      </c>
      <c r="F150" s="31">
        <v>505</v>
      </c>
      <c r="G150" s="31">
        <v>197</v>
      </c>
      <c r="H150" s="31">
        <v>9</v>
      </c>
      <c r="I150" s="31">
        <v>5</v>
      </c>
      <c r="J150" s="31" t="s">
        <v>204</v>
      </c>
      <c r="K150" s="31" cm="1">
        <f t="array" ref="K150">INT(SUMPRODUCT(--ISNUMBER(SEARCH(economy,C150)))&gt;0)</f>
        <v>0</v>
      </c>
      <c r="L150" s="31" cm="1">
        <f t="array" ref="L150">INT(SUMPRODUCT(--ISNUMBER(SEARCH(healthcare,C150)))&gt;0)</f>
        <v>1</v>
      </c>
      <c r="M150" s="31" cm="1">
        <f t="array" ref="M150">INT(SUMPRODUCT(--ISNUMBER(SEARCH(supreme,C150)))&gt;0)</f>
        <v>0</v>
      </c>
      <c r="N150" s="31" cm="1">
        <f t="array" ref="N150">INT(SUMPRODUCT(--ISNUMBER(SEARCH(covid,C150)))&gt;0)</f>
        <v>0</v>
      </c>
      <c r="O150" s="31" cm="1">
        <f t="array" ref="O150">INT(SUMPRODUCT(--ISNUMBER(SEARCH(violent,C150)))&gt;0)</f>
        <v>0</v>
      </c>
      <c r="P150" s="31" cm="1">
        <f t="array" ref="P150">INT(SUMPRODUCT(--ISNUMBER(SEARCH(foreign,C150)))&gt;0)</f>
        <v>0</v>
      </c>
      <c r="Q150" s="31" cm="1">
        <f t="array" ref="Q150">INT(SUMPRODUCT(--ISNUMBER(SEARCH(gun,C150)))&gt;0)</f>
        <v>0</v>
      </c>
      <c r="R150" s="31" cm="1">
        <f t="array" ref="R150">INT(SUMPRODUCT(--ISNUMBER(SEARCH(race,C150)))&gt;0)</f>
        <v>0</v>
      </c>
      <c r="S150" s="31" cm="1">
        <f t="array" ref="S150">INT(SUMPRODUCT(--ISNUMBER(SEARCH(immigration,C150)))&gt;0)</f>
        <v>0</v>
      </c>
      <c r="T150" s="31" cm="1">
        <f t="array" ref="T150">INT(SUMPRODUCT(--ISNUMBER(SEARCH(econineq,C151)))&gt;0)</f>
        <v>0</v>
      </c>
      <c r="U150" s="31" cm="1">
        <f t="array" ref="U150">INT(SUMPRODUCT(--ISNUMBER(SEARCH(climate,C150)))&gt;0)</f>
        <v>0</v>
      </c>
      <c r="V150" s="31" cm="1">
        <f t="array" ref="V150">INT(SUMPRODUCT(--ISNUMBER(SEARCH(abortion,C150)))&gt;0)</f>
        <v>0</v>
      </c>
      <c r="W150" s="31" cm="1">
        <f t="array" ref="W150">INT(SUMPRODUCT(--ISNUMBER(SEARCH(trump,C150)))&gt;0)</f>
        <v>1</v>
      </c>
      <c r="X150" s="31" cm="1">
        <f t="array" ref="X150">INT(SUMPRODUCT(--ISNUMBER(SEARCH(voting,C150)))&gt;0)</f>
        <v>1</v>
      </c>
      <c r="Y150" s="31" cm="1">
        <f t="array" ref="Y150">INT(SUMPRODUCT(--ISNUMBER(SEARCH(democrattrigger,C150)))&gt;0)</f>
        <v>0</v>
      </c>
      <c r="Z150" s="31" cm="1">
        <f t="array" ref="Z150">INT(SUMPRODUCT(--ISNUMBER(SEARCH(bipartisan,C150)))&gt;0)</f>
        <v>0</v>
      </c>
      <c r="AA150" s="31">
        <f t="shared" si="2"/>
        <v>0</v>
      </c>
      <c r="AB150" s="31"/>
      <c r="AC150" s="111">
        <v>1</v>
      </c>
      <c r="AD150" s="112">
        <v>0</v>
      </c>
    </row>
    <row r="151" spans="1:30" x14ac:dyDescent="0.25">
      <c r="A151" s="109">
        <v>2007</v>
      </c>
      <c r="B151" s="31" t="s">
        <v>4040</v>
      </c>
      <c r="C151" s="31" t="s">
        <v>4041</v>
      </c>
      <c r="D151" s="110">
        <v>44121</v>
      </c>
      <c r="E151" s="31" t="s">
        <v>30</v>
      </c>
      <c r="F151" s="31">
        <v>1583</v>
      </c>
      <c r="G151" s="31">
        <v>390</v>
      </c>
      <c r="H151" s="31">
        <v>9</v>
      </c>
      <c r="I151" s="31">
        <v>5</v>
      </c>
      <c r="J151" s="31" t="s">
        <v>204</v>
      </c>
      <c r="K151" s="31" cm="1">
        <f t="array" ref="K151">INT(SUMPRODUCT(--ISNUMBER(SEARCH(economy,C151)))&gt;0)</f>
        <v>0</v>
      </c>
      <c r="L151" s="31" cm="1">
        <f t="array" ref="L151">INT(SUMPRODUCT(--ISNUMBER(SEARCH(healthcare,C151)))&gt;0)</f>
        <v>0</v>
      </c>
      <c r="M151" s="31" cm="1">
        <f t="array" ref="M151">INT(SUMPRODUCT(--ISNUMBER(SEARCH(supreme,C151)))&gt;0)</f>
        <v>0</v>
      </c>
      <c r="N151" s="31" cm="1">
        <f t="array" ref="N151">INT(SUMPRODUCT(--ISNUMBER(SEARCH(covid,C151)))&gt;0)</f>
        <v>0</v>
      </c>
      <c r="O151" s="31" cm="1">
        <f t="array" ref="O151">INT(SUMPRODUCT(--ISNUMBER(SEARCH(violent,C151)))&gt;0)</f>
        <v>0</v>
      </c>
      <c r="P151" s="31" cm="1">
        <f t="array" ref="P151">INT(SUMPRODUCT(--ISNUMBER(SEARCH(foreign,C151)))&gt;0)</f>
        <v>0</v>
      </c>
      <c r="Q151" s="31" cm="1">
        <f t="array" ref="Q151">INT(SUMPRODUCT(--ISNUMBER(SEARCH(gun,C151)))&gt;0)</f>
        <v>0</v>
      </c>
      <c r="R151" s="31" cm="1">
        <f t="array" ref="R151">INT(SUMPRODUCT(--ISNUMBER(SEARCH(race,C151)))&gt;0)</f>
        <v>0</v>
      </c>
      <c r="S151" s="31" cm="1">
        <f t="array" ref="S151">INT(SUMPRODUCT(--ISNUMBER(SEARCH(immigration,C151)))&gt;0)</f>
        <v>0</v>
      </c>
      <c r="T151" s="31" cm="1">
        <f t="array" ref="T151">INT(SUMPRODUCT(--ISNUMBER(SEARCH(econineq,C152)))&gt;0)</f>
        <v>0</v>
      </c>
      <c r="U151" s="31" cm="1">
        <f t="array" ref="U151">INT(SUMPRODUCT(--ISNUMBER(SEARCH(climate,C151)))&gt;0)</f>
        <v>0</v>
      </c>
      <c r="V151" s="31" cm="1">
        <f t="array" ref="V151">INT(SUMPRODUCT(--ISNUMBER(SEARCH(abortion,C151)))&gt;0)</f>
        <v>0</v>
      </c>
      <c r="W151" s="31" cm="1">
        <f t="array" ref="W151">INT(SUMPRODUCT(--ISNUMBER(SEARCH(trump,C151)))&gt;0)</f>
        <v>0</v>
      </c>
      <c r="X151" s="31" cm="1">
        <f t="array" ref="X151">INT(SUMPRODUCT(--ISNUMBER(SEARCH(voting,C151)))&gt;0)</f>
        <v>1</v>
      </c>
      <c r="Y151" s="31" cm="1">
        <f t="array" ref="Y151">INT(SUMPRODUCT(--ISNUMBER(SEARCH(democrattrigger,C151)))&gt;0)</f>
        <v>0</v>
      </c>
      <c r="Z151" s="31" cm="1">
        <f t="array" ref="Z151">INT(SUMPRODUCT(--ISNUMBER(SEARCH(bipartisan,C151)))&gt;0)</f>
        <v>0</v>
      </c>
      <c r="AA151" s="31">
        <f t="shared" si="2"/>
        <v>0</v>
      </c>
      <c r="AB151" s="31"/>
      <c r="AC151" s="111">
        <v>1</v>
      </c>
      <c r="AD151" s="112">
        <v>0</v>
      </c>
    </row>
    <row r="152" spans="1:30" x14ac:dyDescent="0.25">
      <c r="A152" s="109">
        <v>2008</v>
      </c>
      <c r="B152" s="31" t="s">
        <v>4042</v>
      </c>
      <c r="C152" s="31" t="s">
        <v>4043</v>
      </c>
      <c r="D152" s="110">
        <v>44121</v>
      </c>
      <c r="E152" s="31" t="s">
        <v>30</v>
      </c>
      <c r="F152" s="31">
        <v>552</v>
      </c>
      <c r="G152" s="31">
        <v>182</v>
      </c>
      <c r="H152" s="31">
        <v>9</v>
      </c>
      <c r="I152" s="31">
        <v>5</v>
      </c>
      <c r="J152" s="31" t="s">
        <v>204</v>
      </c>
      <c r="K152" s="31" cm="1">
        <f t="array" ref="K152">INT(SUMPRODUCT(--ISNUMBER(SEARCH(economy,C152)))&gt;0)</f>
        <v>0</v>
      </c>
      <c r="L152" s="31" cm="1">
        <f t="array" ref="L152">INT(SUMPRODUCT(--ISNUMBER(SEARCH(healthcare,C152)))&gt;0)</f>
        <v>0</v>
      </c>
      <c r="M152" s="31" cm="1">
        <f t="array" ref="M152">INT(SUMPRODUCT(--ISNUMBER(SEARCH(supreme,C152)))&gt;0)</f>
        <v>0</v>
      </c>
      <c r="N152" s="31" cm="1">
        <f t="array" ref="N152">INT(SUMPRODUCT(--ISNUMBER(SEARCH(covid,C152)))&gt;0)</f>
        <v>0</v>
      </c>
      <c r="O152" s="31" cm="1">
        <f t="array" ref="O152">INT(SUMPRODUCT(--ISNUMBER(SEARCH(violent,C152)))&gt;0)</f>
        <v>0</v>
      </c>
      <c r="P152" s="31" cm="1">
        <f t="array" ref="P152">INT(SUMPRODUCT(--ISNUMBER(SEARCH(foreign,C152)))&gt;0)</f>
        <v>0</v>
      </c>
      <c r="Q152" s="31" cm="1">
        <f t="array" ref="Q152">INT(SUMPRODUCT(--ISNUMBER(SEARCH(gun,C152)))&gt;0)</f>
        <v>0</v>
      </c>
      <c r="R152" s="31" cm="1">
        <f t="array" ref="R152">INT(SUMPRODUCT(--ISNUMBER(SEARCH(race,C152)))&gt;0)</f>
        <v>0</v>
      </c>
      <c r="S152" s="31" cm="1">
        <f t="array" ref="S152">INT(SUMPRODUCT(--ISNUMBER(SEARCH(immigration,C152)))&gt;0)</f>
        <v>0</v>
      </c>
      <c r="T152" s="31" cm="1">
        <f t="array" ref="T152">INT(SUMPRODUCT(--ISNUMBER(SEARCH(econineq,C153)))&gt;0)</f>
        <v>0</v>
      </c>
      <c r="U152" s="31" cm="1">
        <f t="array" ref="U152">INT(SUMPRODUCT(--ISNUMBER(SEARCH(climate,C152)))&gt;0)</f>
        <v>0</v>
      </c>
      <c r="V152" s="31" cm="1">
        <f t="array" ref="V152">INT(SUMPRODUCT(--ISNUMBER(SEARCH(abortion,C152)))&gt;0)</f>
        <v>0</v>
      </c>
      <c r="W152" s="31" cm="1">
        <f t="array" ref="W152">INT(SUMPRODUCT(--ISNUMBER(SEARCH(trump,C152)))&gt;0)</f>
        <v>0</v>
      </c>
      <c r="X152" s="31" cm="1">
        <f t="array" ref="X152">INT(SUMPRODUCT(--ISNUMBER(SEARCH(voting,C152)))&gt;0)</f>
        <v>1</v>
      </c>
      <c r="Y152" s="31" cm="1">
        <f t="array" ref="Y152">INT(SUMPRODUCT(--ISNUMBER(SEARCH(democrattrigger,C152)))&gt;0)</f>
        <v>0</v>
      </c>
      <c r="Z152" s="31" cm="1">
        <f t="array" ref="Z152">INT(SUMPRODUCT(--ISNUMBER(SEARCH(bipartisan,C152)))&gt;0)</f>
        <v>0</v>
      </c>
      <c r="AA152" s="31">
        <f t="shared" si="2"/>
        <v>0</v>
      </c>
      <c r="AB152" s="31"/>
      <c r="AC152" s="111">
        <v>1</v>
      </c>
      <c r="AD152" s="112">
        <v>0</v>
      </c>
    </row>
    <row r="153" spans="1:30" x14ac:dyDescent="0.25">
      <c r="A153" s="109">
        <v>2009</v>
      </c>
      <c r="B153" s="31" t="s">
        <v>4044</v>
      </c>
      <c r="C153" s="31" t="s">
        <v>4045</v>
      </c>
      <c r="D153" s="110">
        <v>44120</v>
      </c>
      <c r="E153" s="31" t="s">
        <v>30</v>
      </c>
      <c r="F153" s="31">
        <v>2797</v>
      </c>
      <c r="G153" s="31">
        <v>826</v>
      </c>
      <c r="H153" s="31">
        <v>9</v>
      </c>
      <c r="I153" s="31">
        <v>5</v>
      </c>
      <c r="J153" s="31" t="s">
        <v>204</v>
      </c>
      <c r="K153" s="31" cm="1">
        <f t="array" ref="K153">INT(SUMPRODUCT(--ISNUMBER(SEARCH(economy,C153)))&gt;0)</f>
        <v>1</v>
      </c>
      <c r="L153" s="31" cm="1">
        <f t="array" ref="L153">INT(SUMPRODUCT(--ISNUMBER(SEARCH(healthcare,C153)))&gt;0)</f>
        <v>0</v>
      </c>
      <c r="M153" s="31" cm="1">
        <f t="array" ref="M153">INT(SUMPRODUCT(--ISNUMBER(SEARCH(supreme,C153)))&gt;0)</f>
        <v>0</v>
      </c>
      <c r="N153" s="31" cm="1">
        <f t="array" ref="N153">INT(SUMPRODUCT(--ISNUMBER(SEARCH(covid,C153)))&gt;0)</f>
        <v>0</v>
      </c>
      <c r="O153" s="31" cm="1">
        <f t="array" ref="O153">INT(SUMPRODUCT(--ISNUMBER(SEARCH(violent,C153)))&gt;0)</f>
        <v>0</v>
      </c>
      <c r="P153" s="31" cm="1">
        <f t="array" ref="P153">INT(SUMPRODUCT(--ISNUMBER(SEARCH(foreign,C153)))&gt;0)</f>
        <v>0</v>
      </c>
      <c r="Q153" s="31" cm="1">
        <f t="array" ref="Q153">INT(SUMPRODUCT(--ISNUMBER(SEARCH(gun,C153)))&gt;0)</f>
        <v>0</v>
      </c>
      <c r="R153" s="31" cm="1">
        <f t="array" ref="R153">INT(SUMPRODUCT(--ISNUMBER(SEARCH(race,C153)))&gt;0)</f>
        <v>0</v>
      </c>
      <c r="S153" s="31" cm="1">
        <f t="array" ref="S153">INT(SUMPRODUCT(--ISNUMBER(SEARCH(immigration,C153)))&gt;0)</f>
        <v>0</v>
      </c>
      <c r="T153" s="31" cm="1">
        <f t="array" ref="T153">INT(SUMPRODUCT(--ISNUMBER(SEARCH(econineq,C154)))&gt;0)</f>
        <v>0</v>
      </c>
      <c r="U153" s="31" cm="1">
        <f t="array" ref="U153">INT(SUMPRODUCT(--ISNUMBER(SEARCH(climate,C153)))&gt;0)</f>
        <v>0</v>
      </c>
      <c r="V153" s="31" cm="1">
        <f t="array" ref="V153">INT(SUMPRODUCT(--ISNUMBER(SEARCH(abortion,C153)))&gt;0)</f>
        <v>0</v>
      </c>
      <c r="W153" s="31" cm="1">
        <f t="array" ref="W153">INT(SUMPRODUCT(--ISNUMBER(SEARCH(trump,C153)))&gt;0)</f>
        <v>0</v>
      </c>
      <c r="X153" s="31" cm="1">
        <f t="array" ref="X153">INT(SUMPRODUCT(--ISNUMBER(SEARCH(voting,C153)))&gt;0)</f>
        <v>0</v>
      </c>
      <c r="Y153" s="31" cm="1">
        <f t="array" ref="Y153">INT(SUMPRODUCT(--ISNUMBER(SEARCH(democrattrigger,C153)))&gt;0)</f>
        <v>0</v>
      </c>
      <c r="Z153" s="31" cm="1">
        <f t="array" ref="Z153">INT(SUMPRODUCT(--ISNUMBER(SEARCH(bipartisan,C153)))&gt;0)</f>
        <v>0</v>
      </c>
      <c r="AA153" s="31">
        <f t="shared" si="2"/>
        <v>0</v>
      </c>
      <c r="AB153" s="31"/>
      <c r="AC153" s="111" t="s">
        <v>223</v>
      </c>
      <c r="AD153" s="112" t="s">
        <v>223</v>
      </c>
    </row>
    <row r="154" spans="1:30" x14ac:dyDescent="0.25">
      <c r="A154" s="109">
        <v>2010</v>
      </c>
      <c r="B154" s="31" t="s">
        <v>4046</v>
      </c>
      <c r="C154" s="31" t="s">
        <v>4047</v>
      </c>
      <c r="D154" s="110">
        <v>44120</v>
      </c>
      <c r="E154" s="31" t="s">
        <v>30</v>
      </c>
      <c r="F154" s="31">
        <v>193</v>
      </c>
      <c r="G154" s="31">
        <v>84</v>
      </c>
      <c r="H154" s="31">
        <v>9</v>
      </c>
      <c r="I154" s="31">
        <v>5</v>
      </c>
      <c r="J154" s="31" t="s">
        <v>204</v>
      </c>
      <c r="K154" s="31" cm="1">
        <f t="array" ref="K154">INT(SUMPRODUCT(--ISNUMBER(SEARCH(economy,C154)))&gt;0)</f>
        <v>0</v>
      </c>
      <c r="L154" s="31" cm="1">
        <f t="array" ref="L154">INT(SUMPRODUCT(--ISNUMBER(SEARCH(healthcare,C154)))&gt;0)</f>
        <v>1</v>
      </c>
      <c r="M154" s="31" cm="1">
        <f t="array" ref="M154">INT(SUMPRODUCT(--ISNUMBER(SEARCH(supreme,C154)))&gt;0)</f>
        <v>0</v>
      </c>
      <c r="N154" s="31" cm="1">
        <f t="array" ref="N154">INT(SUMPRODUCT(--ISNUMBER(SEARCH(covid,C154)))&gt;0)</f>
        <v>0</v>
      </c>
      <c r="O154" s="31" cm="1">
        <f t="array" ref="O154">INT(SUMPRODUCT(--ISNUMBER(SEARCH(violent,C154)))&gt;0)</f>
        <v>0</v>
      </c>
      <c r="P154" s="31" cm="1">
        <f t="array" ref="P154">INT(SUMPRODUCT(--ISNUMBER(SEARCH(foreign,C154)))&gt;0)</f>
        <v>0</v>
      </c>
      <c r="Q154" s="31" cm="1">
        <f t="array" ref="Q154">INT(SUMPRODUCT(--ISNUMBER(SEARCH(gun,C154)))&gt;0)</f>
        <v>0</v>
      </c>
      <c r="R154" s="31" cm="1">
        <f t="array" ref="R154">INT(SUMPRODUCT(--ISNUMBER(SEARCH(race,C154)))&gt;0)</f>
        <v>0</v>
      </c>
      <c r="S154" s="31" cm="1">
        <f t="array" ref="S154">INT(SUMPRODUCT(--ISNUMBER(SEARCH(immigration,C154)))&gt;0)</f>
        <v>0</v>
      </c>
      <c r="T154" s="31" cm="1">
        <f t="array" ref="T154">INT(SUMPRODUCT(--ISNUMBER(SEARCH(econineq,C155)))&gt;0)</f>
        <v>0</v>
      </c>
      <c r="U154" s="31" cm="1">
        <f t="array" ref="U154">INT(SUMPRODUCT(--ISNUMBER(SEARCH(climate,C154)))&gt;0)</f>
        <v>0</v>
      </c>
      <c r="V154" s="31" cm="1">
        <f t="array" ref="V154">INT(SUMPRODUCT(--ISNUMBER(SEARCH(abortion,C154)))&gt;0)</f>
        <v>0</v>
      </c>
      <c r="W154" s="31" cm="1">
        <f t="array" ref="W154">INT(SUMPRODUCT(--ISNUMBER(SEARCH(trump,C154)))&gt;0)</f>
        <v>0</v>
      </c>
      <c r="X154" s="31" cm="1">
        <f t="array" ref="X154">INT(SUMPRODUCT(--ISNUMBER(SEARCH(voting,C154)))&gt;0)</f>
        <v>1</v>
      </c>
      <c r="Y154" s="31" cm="1">
        <f t="array" ref="Y154">INT(SUMPRODUCT(--ISNUMBER(SEARCH(democrattrigger,C154)))&gt;0)</f>
        <v>0</v>
      </c>
      <c r="Z154" s="31" cm="1">
        <f t="array" ref="Z154">INT(SUMPRODUCT(--ISNUMBER(SEARCH(bipartisan,C154)))&gt;0)</f>
        <v>0</v>
      </c>
      <c r="AA154" s="31">
        <f t="shared" si="2"/>
        <v>0</v>
      </c>
      <c r="AB154" s="31"/>
      <c r="AC154" s="111" t="s">
        <v>223</v>
      </c>
      <c r="AD154" s="112" t="s">
        <v>223</v>
      </c>
    </row>
    <row r="155" spans="1:30" x14ac:dyDescent="0.25">
      <c r="A155" s="109">
        <v>2011</v>
      </c>
      <c r="B155" s="31" t="s">
        <v>4048</v>
      </c>
      <c r="C155" s="31" t="s">
        <v>4049</v>
      </c>
      <c r="D155" s="110">
        <v>44120</v>
      </c>
      <c r="E155" s="31" t="s">
        <v>30</v>
      </c>
      <c r="F155" s="31">
        <v>309</v>
      </c>
      <c r="G155" s="31">
        <v>115</v>
      </c>
      <c r="H155" s="31">
        <v>9</v>
      </c>
      <c r="I155" s="31">
        <v>5</v>
      </c>
      <c r="J155" s="31" t="s">
        <v>204</v>
      </c>
      <c r="K155" s="31" cm="1">
        <f t="array" ref="K155">INT(SUMPRODUCT(--ISNUMBER(SEARCH(economy,C155)))&gt;0)</f>
        <v>0</v>
      </c>
      <c r="L155" s="31" cm="1">
        <f t="array" ref="L155">INT(SUMPRODUCT(--ISNUMBER(SEARCH(healthcare,C155)))&gt;0)</f>
        <v>1</v>
      </c>
      <c r="M155" s="31" cm="1">
        <f t="array" ref="M155">INT(SUMPRODUCT(--ISNUMBER(SEARCH(supreme,C155)))&gt;0)</f>
        <v>0</v>
      </c>
      <c r="N155" s="31" cm="1">
        <f t="array" ref="N155">INT(SUMPRODUCT(--ISNUMBER(SEARCH(covid,C155)))&gt;0)</f>
        <v>0</v>
      </c>
      <c r="O155" s="31" cm="1">
        <f t="array" ref="O155">INT(SUMPRODUCT(--ISNUMBER(SEARCH(violent,C155)))&gt;0)</f>
        <v>0</v>
      </c>
      <c r="P155" s="31" cm="1">
        <f t="array" ref="P155">INT(SUMPRODUCT(--ISNUMBER(SEARCH(foreign,C155)))&gt;0)</f>
        <v>0</v>
      </c>
      <c r="Q155" s="31" cm="1">
        <f t="array" ref="Q155">INT(SUMPRODUCT(--ISNUMBER(SEARCH(gun,C155)))&gt;0)</f>
        <v>0</v>
      </c>
      <c r="R155" s="31" cm="1">
        <f t="array" ref="R155">INT(SUMPRODUCT(--ISNUMBER(SEARCH(race,C155)))&gt;0)</f>
        <v>0</v>
      </c>
      <c r="S155" s="31" cm="1">
        <f t="array" ref="S155">INT(SUMPRODUCT(--ISNUMBER(SEARCH(immigration,C155)))&gt;0)</f>
        <v>0</v>
      </c>
      <c r="T155" s="31" cm="1">
        <f t="array" ref="T155">INT(SUMPRODUCT(--ISNUMBER(SEARCH(econineq,C156)))&gt;0)</f>
        <v>0</v>
      </c>
      <c r="U155" s="31" cm="1">
        <f t="array" ref="U155">INT(SUMPRODUCT(--ISNUMBER(SEARCH(climate,C155)))&gt;0)</f>
        <v>0</v>
      </c>
      <c r="V155" s="31" cm="1">
        <f t="array" ref="V155">INT(SUMPRODUCT(--ISNUMBER(SEARCH(abortion,C155)))&gt;0)</f>
        <v>0</v>
      </c>
      <c r="W155" s="31" cm="1">
        <f t="array" ref="W155">INT(SUMPRODUCT(--ISNUMBER(SEARCH(trump,C155)))&gt;0)</f>
        <v>0</v>
      </c>
      <c r="X155" s="31" cm="1">
        <f t="array" ref="X155">INT(SUMPRODUCT(--ISNUMBER(SEARCH(voting,C155)))&gt;0)</f>
        <v>1</v>
      </c>
      <c r="Y155" s="31" cm="1">
        <f t="array" ref="Y155">INT(SUMPRODUCT(--ISNUMBER(SEARCH(democrattrigger,C155)))&gt;0)</f>
        <v>0</v>
      </c>
      <c r="Z155" s="31" cm="1">
        <f t="array" ref="Z155">INT(SUMPRODUCT(--ISNUMBER(SEARCH(bipartisan,C155)))&gt;0)</f>
        <v>0</v>
      </c>
      <c r="AA155" s="31">
        <f t="shared" si="2"/>
        <v>0</v>
      </c>
      <c r="AB155" s="31"/>
      <c r="AC155" s="111">
        <v>0</v>
      </c>
      <c r="AD155" s="112">
        <v>1</v>
      </c>
    </row>
    <row r="156" spans="1:30" x14ac:dyDescent="0.25">
      <c r="A156" s="109">
        <v>2012</v>
      </c>
      <c r="B156" s="31" t="s">
        <v>4050</v>
      </c>
      <c r="C156" s="31" t="s">
        <v>4051</v>
      </c>
      <c r="D156" s="110">
        <v>44120</v>
      </c>
      <c r="E156" s="31" t="s">
        <v>30</v>
      </c>
      <c r="F156" s="31">
        <v>734</v>
      </c>
      <c r="G156" s="31">
        <v>148</v>
      </c>
      <c r="H156" s="31">
        <v>9</v>
      </c>
      <c r="I156" s="31">
        <v>5</v>
      </c>
      <c r="J156" s="31" t="s">
        <v>204</v>
      </c>
      <c r="K156" s="31" cm="1">
        <f t="array" ref="K156">INT(SUMPRODUCT(--ISNUMBER(SEARCH(economy,C156)))&gt;0)</f>
        <v>0</v>
      </c>
      <c r="L156" s="31" cm="1">
        <f t="array" ref="L156">INT(SUMPRODUCT(--ISNUMBER(SEARCH(healthcare,C156)))&gt;0)</f>
        <v>0</v>
      </c>
      <c r="M156" s="31" cm="1">
        <f t="array" ref="M156">INT(SUMPRODUCT(--ISNUMBER(SEARCH(supreme,C156)))&gt;0)</f>
        <v>0</v>
      </c>
      <c r="N156" s="31" cm="1">
        <f t="array" ref="N156">INT(SUMPRODUCT(--ISNUMBER(SEARCH(covid,C156)))&gt;0)</f>
        <v>0</v>
      </c>
      <c r="O156" s="31" cm="1">
        <f t="array" ref="O156">INT(SUMPRODUCT(--ISNUMBER(SEARCH(violent,C156)))&gt;0)</f>
        <v>0</v>
      </c>
      <c r="P156" s="31" cm="1">
        <f t="array" ref="P156">INT(SUMPRODUCT(--ISNUMBER(SEARCH(foreign,C156)))&gt;0)</f>
        <v>0</v>
      </c>
      <c r="Q156" s="31" cm="1">
        <f t="array" ref="Q156">INT(SUMPRODUCT(--ISNUMBER(SEARCH(gun,C156)))&gt;0)</f>
        <v>0</v>
      </c>
      <c r="R156" s="31" cm="1">
        <f t="array" ref="R156">INT(SUMPRODUCT(--ISNUMBER(SEARCH(race,C156)))&gt;0)</f>
        <v>0</v>
      </c>
      <c r="S156" s="31" cm="1">
        <f t="array" ref="S156">INT(SUMPRODUCT(--ISNUMBER(SEARCH(immigration,C156)))&gt;0)</f>
        <v>0</v>
      </c>
      <c r="T156" s="31" cm="1">
        <f t="array" ref="T156">INT(SUMPRODUCT(--ISNUMBER(SEARCH(econineq,C157)))&gt;0)</f>
        <v>0</v>
      </c>
      <c r="U156" s="31" cm="1">
        <f t="array" ref="U156">INT(SUMPRODUCT(--ISNUMBER(SEARCH(climate,C156)))&gt;0)</f>
        <v>0</v>
      </c>
      <c r="V156" s="31" cm="1">
        <f t="array" ref="V156">INT(SUMPRODUCT(--ISNUMBER(SEARCH(abortion,C156)))&gt;0)</f>
        <v>0</v>
      </c>
      <c r="W156" s="31" cm="1">
        <f t="array" ref="W156">INT(SUMPRODUCT(--ISNUMBER(SEARCH(trump,C156)))&gt;0)</f>
        <v>0</v>
      </c>
      <c r="X156" s="31" cm="1">
        <f t="array" ref="X156">INT(SUMPRODUCT(--ISNUMBER(SEARCH(voting,C156)))&gt;0)</f>
        <v>0</v>
      </c>
      <c r="Y156" s="31" cm="1">
        <f t="array" ref="Y156">INT(SUMPRODUCT(--ISNUMBER(SEARCH(democrattrigger,C156)))&gt;0)</f>
        <v>0</v>
      </c>
      <c r="Z156" s="31" cm="1">
        <f t="array" ref="Z156">INT(SUMPRODUCT(--ISNUMBER(SEARCH(bipartisan,C156)))&gt;0)</f>
        <v>0</v>
      </c>
      <c r="AA156" s="31">
        <f t="shared" si="2"/>
        <v>1</v>
      </c>
      <c r="AB156" s="31"/>
      <c r="AC156" s="111" t="s">
        <v>223</v>
      </c>
      <c r="AD156" s="112" t="s">
        <v>223</v>
      </c>
    </row>
    <row r="157" spans="1:30" x14ac:dyDescent="0.25">
      <c r="A157" s="109">
        <v>2013</v>
      </c>
      <c r="B157" s="31" t="s">
        <v>4052</v>
      </c>
      <c r="C157" s="31" t="s">
        <v>4053</v>
      </c>
      <c r="D157" s="110">
        <v>44120</v>
      </c>
      <c r="E157" s="31" t="s">
        <v>30</v>
      </c>
      <c r="F157" s="31">
        <v>237</v>
      </c>
      <c r="G157" s="31">
        <v>103</v>
      </c>
      <c r="H157" s="31">
        <v>9</v>
      </c>
      <c r="I157" s="31">
        <v>5</v>
      </c>
      <c r="J157" s="31" t="s">
        <v>204</v>
      </c>
      <c r="K157" s="31" cm="1">
        <f t="array" ref="K157">INT(SUMPRODUCT(--ISNUMBER(SEARCH(economy,C157)))&gt;0)</f>
        <v>0</v>
      </c>
      <c r="L157" s="31" cm="1">
        <f t="array" ref="L157">INT(SUMPRODUCT(--ISNUMBER(SEARCH(healthcare,C157)))&gt;0)</f>
        <v>0</v>
      </c>
      <c r="M157" s="31" cm="1">
        <f t="array" ref="M157">INT(SUMPRODUCT(--ISNUMBER(SEARCH(supreme,C157)))&gt;0)</f>
        <v>0</v>
      </c>
      <c r="N157" s="31" cm="1">
        <f t="array" ref="N157">INT(SUMPRODUCT(--ISNUMBER(SEARCH(covid,C157)))&gt;0)</f>
        <v>0</v>
      </c>
      <c r="O157" s="31" cm="1">
        <f t="array" ref="O157">INT(SUMPRODUCT(--ISNUMBER(SEARCH(violent,C157)))&gt;0)</f>
        <v>0</v>
      </c>
      <c r="P157" s="31" cm="1">
        <f t="array" ref="P157">INT(SUMPRODUCT(--ISNUMBER(SEARCH(foreign,C157)))&gt;0)</f>
        <v>0</v>
      </c>
      <c r="Q157" s="31" cm="1">
        <f t="array" ref="Q157">INT(SUMPRODUCT(--ISNUMBER(SEARCH(gun,C157)))&gt;0)</f>
        <v>0</v>
      </c>
      <c r="R157" s="31" cm="1">
        <f t="array" ref="R157">INT(SUMPRODUCT(--ISNUMBER(SEARCH(race,C157)))&gt;0)</f>
        <v>0</v>
      </c>
      <c r="S157" s="31" cm="1">
        <f t="array" ref="S157">INT(SUMPRODUCT(--ISNUMBER(SEARCH(immigration,C157)))&gt;0)</f>
        <v>0</v>
      </c>
      <c r="T157" s="31" cm="1">
        <f t="array" ref="T157">INT(SUMPRODUCT(--ISNUMBER(SEARCH(econineq,C158)))&gt;0)</f>
        <v>0</v>
      </c>
      <c r="U157" s="31" cm="1">
        <f t="array" ref="U157">INT(SUMPRODUCT(--ISNUMBER(SEARCH(climate,C157)))&gt;0)</f>
        <v>0</v>
      </c>
      <c r="V157" s="31" cm="1">
        <f t="array" ref="V157">INT(SUMPRODUCT(--ISNUMBER(SEARCH(abortion,C157)))&gt;0)</f>
        <v>0</v>
      </c>
      <c r="W157" s="31" cm="1">
        <f t="array" ref="W157">INT(SUMPRODUCT(--ISNUMBER(SEARCH(trump,C157)))&gt;0)</f>
        <v>0</v>
      </c>
      <c r="X157" s="31" cm="1">
        <f t="array" ref="X157">INT(SUMPRODUCT(--ISNUMBER(SEARCH(voting,C157)))&gt;0)</f>
        <v>0</v>
      </c>
      <c r="Y157" s="31" cm="1">
        <f t="array" ref="Y157">INT(SUMPRODUCT(--ISNUMBER(SEARCH(democrattrigger,C157)))&gt;0)</f>
        <v>0</v>
      </c>
      <c r="Z157" s="31" cm="1">
        <f t="array" ref="Z157">INT(SUMPRODUCT(--ISNUMBER(SEARCH(bipartisan,C157)))&gt;0)</f>
        <v>0</v>
      </c>
      <c r="AA157" s="31">
        <f t="shared" si="2"/>
        <v>1</v>
      </c>
      <c r="AB157" s="31"/>
      <c r="AC157" s="111" t="s">
        <v>223</v>
      </c>
      <c r="AD157" s="112" t="s">
        <v>223</v>
      </c>
    </row>
    <row r="158" spans="1:30" x14ac:dyDescent="0.25">
      <c r="A158" s="109">
        <v>2014</v>
      </c>
      <c r="B158" s="31" t="s">
        <v>4054</v>
      </c>
      <c r="C158" s="31" t="s">
        <v>4055</v>
      </c>
      <c r="D158" s="110">
        <v>44120</v>
      </c>
      <c r="E158" s="31" t="s">
        <v>30</v>
      </c>
      <c r="F158" s="31">
        <v>390</v>
      </c>
      <c r="G158" s="31">
        <v>106</v>
      </c>
      <c r="H158" s="31">
        <v>9</v>
      </c>
      <c r="I158" s="31">
        <v>5</v>
      </c>
      <c r="J158" s="31" t="s">
        <v>204</v>
      </c>
      <c r="K158" s="31" cm="1">
        <f t="array" ref="K158">INT(SUMPRODUCT(--ISNUMBER(SEARCH(economy,C158)))&gt;0)</f>
        <v>0</v>
      </c>
      <c r="L158" s="31" cm="1">
        <f t="array" ref="L158">INT(SUMPRODUCT(--ISNUMBER(SEARCH(healthcare,C158)))&gt;0)</f>
        <v>0</v>
      </c>
      <c r="M158" s="31" cm="1">
        <f t="array" ref="M158">INT(SUMPRODUCT(--ISNUMBER(SEARCH(supreme,C158)))&gt;0)</f>
        <v>0</v>
      </c>
      <c r="N158" s="31" cm="1">
        <f t="array" ref="N158">INT(SUMPRODUCT(--ISNUMBER(SEARCH(covid,C158)))&gt;0)</f>
        <v>0</v>
      </c>
      <c r="O158" s="31" cm="1">
        <f t="array" ref="O158">INT(SUMPRODUCT(--ISNUMBER(SEARCH(violent,C158)))&gt;0)</f>
        <v>0</v>
      </c>
      <c r="P158" s="31" cm="1">
        <f t="array" ref="P158">INT(SUMPRODUCT(--ISNUMBER(SEARCH(foreign,C158)))&gt;0)</f>
        <v>0</v>
      </c>
      <c r="Q158" s="31" cm="1">
        <f t="array" ref="Q158">INT(SUMPRODUCT(--ISNUMBER(SEARCH(gun,C158)))&gt;0)</f>
        <v>0</v>
      </c>
      <c r="R158" s="31" cm="1">
        <f t="array" ref="R158">INT(SUMPRODUCT(--ISNUMBER(SEARCH(race,C158)))&gt;0)</f>
        <v>0</v>
      </c>
      <c r="S158" s="31" cm="1">
        <f t="array" ref="S158">INT(SUMPRODUCT(--ISNUMBER(SEARCH(immigration,C158)))&gt;0)</f>
        <v>0</v>
      </c>
      <c r="T158" s="31" cm="1">
        <f t="array" ref="T158">INT(SUMPRODUCT(--ISNUMBER(SEARCH(econineq,C159)))&gt;0)</f>
        <v>0</v>
      </c>
      <c r="U158" s="31" cm="1">
        <f t="array" ref="U158">INT(SUMPRODUCT(--ISNUMBER(SEARCH(climate,C158)))&gt;0)</f>
        <v>0</v>
      </c>
      <c r="V158" s="31" cm="1">
        <f t="array" ref="V158">INT(SUMPRODUCT(--ISNUMBER(SEARCH(abortion,C158)))&gt;0)</f>
        <v>0</v>
      </c>
      <c r="W158" s="31" cm="1">
        <f t="array" ref="W158">INT(SUMPRODUCT(--ISNUMBER(SEARCH(trump,C158)))&gt;0)</f>
        <v>0</v>
      </c>
      <c r="X158" s="31" cm="1">
        <f t="array" ref="X158">INT(SUMPRODUCT(--ISNUMBER(SEARCH(voting,C158)))&gt;0)</f>
        <v>1</v>
      </c>
      <c r="Y158" s="31" cm="1">
        <f t="array" ref="Y158">INT(SUMPRODUCT(--ISNUMBER(SEARCH(democrattrigger,C158)))&gt;0)</f>
        <v>0</v>
      </c>
      <c r="Z158" s="31" cm="1">
        <f t="array" ref="Z158">INT(SUMPRODUCT(--ISNUMBER(SEARCH(bipartisan,C158)))&gt;0)</f>
        <v>0</v>
      </c>
      <c r="AA158" s="31">
        <f t="shared" si="2"/>
        <v>0</v>
      </c>
      <c r="AB158" s="31"/>
      <c r="AC158" s="111">
        <v>1</v>
      </c>
      <c r="AD158" s="112">
        <v>0</v>
      </c>
    </row>
    <row r="159" spans="1:30" x14ac:dyDescent="0.25">
      <c r="A159" s="109">
        <v>2015</v>
      </c>
      <c r="B159" s="31" t="s">
        <v>4056</v>
      </c>
      <c r="C159" s="31" t="s">
        <v>4057</v>
      </c>
      <c r="D159" s="110">
        <v>44120</v>
      </c>
      <c r="E159" s="31" t="s">
        <v>30</v>
      </c>
      <c r="F159" s="31">
        <v>194</v>
      </c>
      <c r="G159" s="31">
        <v>44</v>
      </c>
      <c r="H159" s="31">
        <v>9</v>
      </c>
      <c r="I159" s="31">
        <v>5</v>
      </c>
      <c r="J159" s="31" t="s">
        <v>204</v>
      </c>
      <c r="K159" s="31" cm="1">
        <f t="array" ref="K159">INT(SUMPRODUCT(--ISNUMBER(SEARCH(economy,C159)))&gt;0)</f>
        <v>0</v>
      </c>
      <c r="L159" s="31" cm="1">
        <f t="array" ref="L159">INT(SUMPRODUCT(--ISNUMBER(SEARCH(healthcare,C159)))&gt;0)</f>
        <v>0</v>
      </c>
      <c r="M159" s="31" cm="1">
        <f t="array" ref="M159">INT(SUMPRODUCT(--ISNUMBER(SEARCH(supreme,C159)))&gt;0)</f>
        <v>0</v>
      </c>
      <c r="N159" s="31" cm="1">
        <f t="array" ref="N159">INT(SUMPRODUCT(--ISNUMBER(SEARCH(covid,C159)))&gt;0)</f>
        <v>0</v>
      </c>
      <c r="O159" s="31" cm="1">
        <f t="array" ref="O159">INT(SUMPRODUCT(--ISNUMBER(SEARCH(violent,C159)))&gt;0)</f>
        <v>0</v>
      </c>
      <c r="P159" s="31" cm="1">
        <f t="array" ref="P159">INT(SUMPRODUCT(--ISNUMBER(SEARCH(foreign,C159)))&gt;0)</f>
        <v>0</v>
      </c>
      <c r="Q159" s="31" cm="1">
        <f t="array" ref="Q159">INT(SUMPRODUCT(--ISNUMBER(SEARCH(gun,C159)))&gt;0)</f>
        <v>0</v>
      </c>
      <c r="R159" s="31" cm="1">
        <f t="array" ref="R159">INT(SUMPRODUCT(--ISNUMBER(SEARCH(race,C159)))&gt;0)</f>
        <v>0</v>
      </c>
      <c r="S159" s="31" cm="1">
        <f t="array" ref="S159">INT(SUMPRODUCT(--ISNUMBER(SEARCH(immigration,C159)))&gt;0)</f>
        <v>0</v>
      </c>
      <c r="T159" s="31" cm="1">
        <f t="array" ref="T159">INT(SUMPRODUCT(--ISNUMBER(SEARCH(econineq,C160)))&gt;0)</f>
        <v>0</v>
      </c>
      <c r="U159" s="31" cm="1">
        <f t="array" ref="U159">INT(SUMPRODUCT(--ISNUMBER(SEARCH(climate,C159)))&gt;0)</f>
        <v>0</v>
      </c>
      <c r="V159" s="31" cm="1">
        <f t="array" ref="V159">INT(SUMPRODUCT(--ISNUMBER(SEARCH(abortion,C159)))&gt;0)</f>
        <v>0</v>
      </c>
      <c r="W159" s="31" cm="1">
        <f t="array" ref="W159">INT(SUMPRODUCT(--ISNUMBER(SEARCH(trump,C159)))&gt;0)</f>
        <v>0</v>
      </c>
      <c r="X159" s="31" cm="1">
        <f t="array" ref="X159">INT(SUMPRODUCT(--ISNUMBER(SEARCH(voting,C159)))&gt;0)</f>
        <v>1</v>
      </c>
      <c r="Y159" s="31" cm="1">
        <f t="array" ref="Y159">INT(SUMPRODUCT(--ISNUMBER(SEARCH(democrattrigger,C159)))&gt;0)</f>
        <v>0</v>
      </c>
      <c r="Z159" s="31" cm="1">
        <f t="array" ref="Z159">INT(SUMPRODUCT(--ISNUMBER(SEARCH(bipartisan,C159)))&gt;0)</f>
        <v>0</v>
      </c>
      <c r="AA159" s="31">
        <f t="shared" si="2"/>
        <v>0</v>
      </c>
      <c r="AB159" s="31"/>
      <c r="AC159" s="111" t="s">
        <v>223</v>
      </c>
      <c r="AD159" s="112" t="s">
        <v>223</v>
      </c>
    </row>
    <row r="160" spans="1:30" x14ac:dyDescent="0.25">
      <c r="A160" s="109">
        <v>2016</v>
      </c>
      <c r="B160" s="31" t="s">
        <v>4058</v>
      </c>
      <c r="C160" s="31" t="s">
        <v>4059</v>
      </c>
      <c r="D160" s="110">
        <v>44120</v>
      </c>
      <c r="E160" s="31" t="s">
        <v>30</v>
      </c>
      <c r="F160" s="31">
        <v>132</v>
      </c>
      <c r="G160" s="31">
        <v>57</v>
      </c>
      <c r="H160" s="31">
        <v>9</v>
      </c>
      <c r="I160" s="31">
        <v>5</v>
      </c>
      <c r="J160" s="31" t="s">
        <v>204</v>
      </c>
      <c r="K160" s="31" cm="1">
        <f t="array" ref="K160">INT(SUMPRODUCT(--ISNUMBER(SEARCH(economy,C160)))&gt;0)</f>
        <v>0</v>
      </c>
      <c r="L160" s="31" cm="1">
        <f t="array" ref="L160">INT(SUMPRODUCT(--ISNUMBER(SEARCH(healthcare,C160)))&gt;0)</f>
        <v>0</v>
      </c>
      <c r="M160" s="31" cm="1">
        <f t="array" ref="M160">INT(SUMPRODUCT(--ISNUMBER(SEARCH(supreme,C160)))&gt;0)</f>
        <v>0</v>
      </c>
      <c r="N160" s="31" cm="1">
        <f t="array" ref="N160">INT(SUMPRODUCT(--ISNUMBER(SEARCH(covid,C160)))&gt;0)</f>
        <v>0</v>
      </c>
      <c r="O160" s="31" cm="1">
        <f t="array" ref="O160">INT(SUMPRODUCT(--ISNUMBER(SEARCH(violent,C160)))&gt;0)</f>
        <v>0</v>
      </c>
      <c r="P160" s="31" cm="1">
        <f t="array" ref="P160">INT(SUMPRODUCT(--ISNUMBER(SEARCH(foreign,C160)))&gt;0)</f>
        <v>0</v>
      </c>
      <c r="Q160" s="31" cm="1">
        <f t="array" ref="Q160">INT(SUMPRODUCT(--ISNUMBER(SEARCH(gun,C160)))&gt;0)</f>
        <v>0</v>
      </c>
      <c r="R160" s="31" cm="1">
        <f t="array" ref="R160">INT(SUMPRODUCT(--ISNUMBER(SEARCH(race,C160)))&gt;0)</f>
        <v>0</v>
      </c>
      <c r="S160" s="31" cm="1">
        <f t="array" ref="S160">INT(SUMPRODUCT(--ISNUMBER(SEARCH(immigration,C160)))&gt;0)</f>
        <v>0</v>
      </c>
      <c r="T160" s="31" cm="1">
        <f t="array" ref="T160">INT(SUMPRODUCT(--ISNUMBER(SEARCH(econineq,C161)))&gt;0)</f>
        <v>0</v>
      </c>
      <c r="U160" s="31" cm="1">
        <f t="array" ref="U160">INT(SUMPRODUCT(--ISNUMBER(SEARCH(climate,C160)))&gt;0)</f>
        <v>0</v>
      </c>
      <c r="V160" s="31" cm="1">
        <f t="array" ref="V160">INT(SUMPRODUCT(--ISNUMBER(SEARCH(abortion,C160)))&gt;0)</f>
        <v>0</v>
      </c>
      <c r="W160" s="31" cm="1">
        <f t="array" ref="W160">INT(SUMPRODUCT(--ISNUMBER(SEARCH(trump,C160)))&gt;0)</f>
        <v>0</v>
      </c>
      <c r="X160" s="31" cm="1">
        <f t="array" ref="X160">INT(SUMPRODUCT(--ISNUMBER(SEARCH(voting,C160)))&gt;0)</f>
        <v>1</v>
      </c>
      <c r="Y160" s="31" cm="1">
        <f t="array" ref="Y160">INT(SUMPRODUCT(--ISNUMBER(SEARCH(democrattrigger,C160)))&gt;0)</f>
        <v>0</v>
      </c>
      <c r="Z160" s="31" cm="1">
        <f t="array" ref="Z160">INT(SUMPRODUCT(--ISNUMBER(SEARCH(bipartisan,C160)))&gt;0)</f>
        <v>0</v>
      </c>
      <c r="AA160" s="31">
        <f t="shared" si="2"/>
        <v>0</v>
      </c>
      <c r="AB160" s="31"/>
      <c r="AC160" s="111">
        <v>1</v>
      </c>
      <c r="AD160" s="112">
        <v>0</v>
      </c>
    </row>
    <row r="161" spans="1:30" x14ac:dyDescent="0.25">
      <c r="A161" s="109">
        <v>2017</v>
      </c>
      <c r="B161" s="31" t="s">
        <v>4060</v>
      </c>
      <c r="C161" s="31" t="s">
        <v>4061</v>
      </c>
      <c r="D161" s="110">
        <v>44120</v>
      </c>
      <c r="E161" s="31" t="s">
        <v>30</v>
      </c>
      <c r="F161" s="31">
        <v>242</v>
      </c>
      <c r="G161" s="31">
        <v>71</v>
      </c>
      <c r="H161" s="31">
        <v>9</v>
      </c>
      <c r="I161" s="31">
        <v>5</v>
      </c>
      <c r="J161" s="31" t="s">
        <v>204</v>
      </c>
      <c r="K161" s="31" cm="1">
        <f t="array" ref="K161">INT(SUMPRODUCT(--ISNUMBER(SEARCH(economy,C161)))&gt;0)</f>
        <v>0</v>
      </c>
      <c r="L161" s="31" cm="1">
        <f t="array" ref="L161">INT(SUMPRODUCT(--ISNUMBER(SEARCH(healthcare,C161)))&gt;0)</f>
        <v>1</v>
      </c>
      <c r="M161" s="31" cm="1">
        <f t="array" ref="M161">INT(SUMPRODUCT(--ISNUMBER(SEARCH(supreme,C161)))&gt;0)</f>
        <v>0</v>
      </c>
      <c r="N161" s="31" cm="1">
        <f t="array" ref="N161">INT(SUMPRODUCT(--ISNUMBER(SEARCH(covid,C161)))&gt;0)</f>
        <v>0</v>
      </c>
      <c r="O161" s="31" cm="1">
        <f t="array" ref="O161">INT(SUMPRODUCT(--ISNUMBER(SEARCH(violent,C161)))&gt;0)</f>
        <v>1</v>
      </c>
      <c r="P161" s="31" cm="1">
        <f t="array" ref="P161">INT(SUMPRODUCT(--ISNUMBER(SEARCH(foreign,C161)))&gt;0)</f>
        <v>0</v>
      </c>
      <c r="Q161" s="31" cm="1">
        <f t="array" ref="Q161">INT(SUMPRODUCT(--ISNUMBER(SEARCH(gun,C161)))&gt;0)</f>
        <v>0</v>
      </c>
      <c r="R161" s="31" cm="1">
        <f t="array" ref="R161">INT(SUMPRODUCT(--ISNUMBER(SEARCH(race,C161)))&gt;0)</f>
        <v>1</v>
      </c>
      <c r="S161" s="31" cm="1">
        <f t="array" ref="S161">INT(SUMPRODUCT(--ISNUMBER(SEARCH(immigration,C161)))&gt;0)</f>
        <v>0</v>
      </c>
      <c r="T161" s="31" cm="1">
        <f t="array" ref="T161">INT(SUMPRODUCT(--ISNUMBER(SEARCH(econineq,C162)))&gt;0)</f>
        <v>0</v>
      </c>
      <c r="U161" s="31" cm="1">
        <f t="array" ref="U161">INT(SUMPRODUCT(--ISNUMBER(SEARCH(climate,C161)))&gt;0)</f>
        <v>0</v>
      </c>
      <c r="V161" s="31" cm="1">
        <f t="array" ref="V161">INT(SUMPRODUCT(--ISNUMBER(SEARCH(abortion,C161)))&gt;0)</f>
        <v>0</v>
      </c>
      <c r="W161" s="31" cm="1">
        <f t="array" ref="W161">INT(SUMPRODUCT(--ISNUMBER(SEARCH(trump,C161)))&gt;0)</f>
        <v>0</v>
      </c>
      <c r="X161" s="31" cm="1">
        <f t="array" ref="X161">INT(SUMPRODUCT(--ISNUMBER(SEARCH(voting,C161)))&gt;0)</f>
        <v>0</v>
      </c>
      <c r="Y161" s="31" cm="1">
        <f t="array" ref="Y161">INT(SUMPRODUCT(--ISNUMBER(SEARCH(democrattrigger,C161)))&gt;0)</f>
        <v>0</v>
      </c>
      <c r="Z161" s="31" cm="1">
        <f t="array" ref="Z161">INT(SUMPRODUCT(--ISNUMBER(SEARCH(bipartisan,C161)))&gt;0)</f>
        <v>0</v>
      </c>
      <c r="AA161" s="31">
        <f t="shared" si="2"/>
        <v>0</v>
      </c>
      <c r="AB161" s="31"/>
      <c r="AC161" s="111">
        <v>1</v>
      </c>
      <c r="AD161" s="112">
        <v>0</v>
      </c>
    </row>
    <row r="162" spans="1:30" x14ac:dyDescent="0.25">
      <c r="A162" s="109">
        <v>2018</v>
      </c>
      <c r="B162" s="31" t="s">
        <v>4062</v>
      </c>
      <c r="C162" s="31" t="s">
        <v>4063</v>
      </c>
      <c r="D162" s="110">
        <v>44120</v>
      </c>
      <c r="E162" s="31" t="s">
        <v>30</v>
      </c>
      <c r="F162" s="31">
        <v>154</v>
      </c>
      <c r="G162" s="31">
        <v>78</v>
      </c>
      <c r="H162" s="31">
        <v>9</v>
      </c>
      <c r="I162" s="31">
        <v>5</v>
      </c>
      <c r="J162" s="31" t="s">
        <v>204</v>
      </c>
      <c r="K162" s="31" cm="1">
        <f t="array" ref="K162">INT(SUMPRODUCT(--ISNUMBER(SEARCH(economy,C162)))&gt;0)</f>
        <v>1</v>
      </c>
      <c r="L162" s="31" cm="1">
        <f t="array" ref="L162">INT(SUMPRODUCT(--ISNUMBER(SEARCH(healthcare,C162)))&gt;0)</f>
        <v>1</v>
      </c>
      <c r="M162" s="31" cm="1">
        <f t="array" ref="M162">INT(SUMPRODUCT(--ISNUMBER(SEARCH(supreme,C162)))&gt;0)</f>
        <v>0</v>
      </c>
      <c r="N162" s="31" cm="1">
        <f t="array" ref="N162">INT(SUMPRODUCT(--ISNUMBER(SEARCH(covid,C162)))&gt;0)</f>
        <v>0</v>
      </c>
      <c r="O162" s="31" cm="1">
        <f t="array" ref="O162">INT(SUMPRODUCT(--ISNUMBER(SEARCH(violent,C162)))&gt;0)</f>
        <v>0</v>
      </c>
      <c r="P162" s="31" cm="1">
        <f t="array" ref="P162">INT(SUMPRODUCT(--ISNUMBER(SEARCH(foreign,C162)))&gt;0)</f>
        <v>0</v>
      </c>
      <c r="Q162" s="31" cm="1">
        <f t="array" ref="Q162">INT(SUMPRODUCT(--ISNUMBER(SEARCH(gun,C162)))&gt;0)</f>
        <v>0</v>
      </c>
      <c r="R162" s="31" cm="1">
        <f t="array" ref="R162">INT(SUMPRODUCT(--ISNUMBER(SEARCH(race,C162)))&gt;0)</f>
        <v>0</v>
      </c>
      <c r="S162" s="31" cm="1">
        <f t="array" ref="S162">INT(SUMPRODUCT(--ISNUMBER(SEARCH(immigration,C162)))&gt;0)</f>
        <v>0</v>
      </c>
      <c r="T162" s="31" cm="1">
        <f t="array" ref="T162">INT(SUMPRODUCT(--ISNUMBER(SEARCH(econineq,C163)))&gt;0)</f>
        <v>0</v>
      </c>
      <c r="U162" s="31" cm="1">
        <f t="array" ref="U162">INT(SUMPRODUCT(--ISNUMBER(SEARCH(climate,C162)))&gt;0)</f>
        <v>0</v>
      </c>
      <c r="V162" s="31" cm="1">
        <f t="array" ref="V162">INT(SUMPRODUCT(--ISNUMBER(SEARCH(abortion,C162)))&gt;0)</f>
        <v>0</v>
      </c>
      <c r="W162" s="31" cm="1">
        <f t="array" ref="W162">INT(SUMPRODUCT(--ISNUMBER(SEARCH(trump,C162)))&gt;0)</f>
        <v>0</v>
      </c>
      <c r="X162" s="31" cm="1">
        <f t="array" ref="X162">INT(SUMPRODUCT(--ISNUMBER(SEARCH(voting,C162)))&gt;0)</f>
        <v>0</v>
      </c>
      <c r="Y162" s="31" cm="1">
        <f t="array" ref="Y162">INT(SUMPRODUCT(--ISNUMBER(SEARCH(democrattrigger,C162)))&gt;0)</f>
        <v>0</v>
      </c>
      <c r="Z162" s="31" cm="1">
        <f t="array" ref="Z162">INT(SUMPRODUCT(--ISNUMBER(SEARCH(bipartisan,C162)))&gt;0)</f>
        <v>0</v>
      </c>
      <c r="AA162" s="31">
        <f t="shared" si="2"/>
        <v>0</v>
      </c>
      <c r="AB162" s="31"/>
      <c r="AC162" s="111" t="s">
        <v>223</v>
      </c>
      <c r="AD162" s="112" t="s">
        <v>223</v>
      </c>
    </row>
    <row r="163" spans="1:30" x14ac:dyDescent="0.25">
      <c r="A163" s="109">
        <v>2019</v>
      </c>
      <c r="B163" s="31" t="s">
        <v>4064</v>
      </c>
      <c r="C163" s="31" t="s">
        <v>4065</v>
      </c>
      <c r="D163" s="110">
        <v>44119</v>
      </c>
      <c r="E163" s="31" t="s">
        <v>30</v>
      </c>
      <c r="F163" s="31">
        <v>588</v>
      </c>
      <c r="G163" s="31">
        <v>249</v>
      </c>
      <c r="H163" s="31">
        <v>9</v>
      </c>
      <c r="I163" s="31">
        <v>5</v>
      </c>
      <c r="J163" s="31" t="s">
        <v>204</v>
      </c>
      <c r="K163" s="31" cm="1">
        <f t="array" ref="K163">INT(SUMPRODUCT(--ISNUMBER(SEARCH(economy,C163)))&gt;0)</f>
        <v>0</v>
      </c>
      <c r="L163" s="31" cm="1">
        <f t="array" ref="L163">INT(SUMPRODUCT(--ISNUMBER(SEARCH(healthcare,C163)))&gt;0)</f>
        <v>0</v>
      </c>
      <c r="M163" s="31" cm="1">
        <f t="array" ref="M163">INT(SUMPRODUCT(--ISNUMBER(SEARCH(supreme,C163)))&gt;0)</f>
        <v>0</v>
      </c>
      <c r="N163" s="31" cm="1">
        <f t="array" ref="N163">INT(SUMPRODUCT(--ISNUMBER(SEARCH(covid,C163)))&gt;0)</f>
        <v>0</v>
      </c>
      <c r="O163" s="31" cm="1">
        <f t="array" ref="O163">INT(SUMPRODUCT(--ISNUMBER(SEARCH(violent,C163)))&gt;0)</f>
        <v>0</v>
      </c>
      <c r="P163" s="31" cm="1">
        <f t="array" ref="P163">INT(SUMPRODUCT(--ISNUMBER(SEARCH(foreign,C163)))&gt;0)</f>
        <v>0</v>
      </c>
      <c r="Q163" s="31" cm="1">
        <f t="array" ref="Q163">INT(SUMPRODUCT(--ISNUMBER(SEARCH(gun,C163)))&gt;0)</f>
        <v>0</v>
      </c>
      <c r="R163" s="31" cm="1">
        <f t="array" ref="R163">INT(SUMPRODUCT(--ISNUMBER(SEARCH(race,C163)))&gt;0)</f>
        <v>0</v>
      </c>
      <c r="S163" s="31" cm="1">
        <f t="array" ref="S163">INT(SUMPRODUCT(--ISNUMBER(SEARCH(immigration,C163)))&gt;0)</f>
        <v>0</v>
      </c>
      <c r="T163" s="31" cm="1">
        <f t="array" ref="T163">INT(SUMPRODUCT(--ISNUMBER(SEARCH(econineq,C164)))&gt;0)</f>
        <v>0</v>
      </c>
      <c r="U163" s="31" cm="1">
        <f t="array" ref="U163">INT(SUMPRODUCT(--ISNUMBER(SEARCH(climate,C163)))&gt;0)</f>
        <v>0</v>
      </c>
      <c r="V163" s="31" cm="1">
        <f t="array" ref="V163">INT(SUMPRODUCT(--ISNUMBER(SEARCH(abortion,C163)))&gt;0)</f>
        <v>0</v>
      </c>
      <c r="W163" s="31" cm="1">
        <f t="array" ref="W163">INT(SUMPRODUCT(--ISNUMBER(SEARCH(trump,C163)))&gt;0)</f>
        <v>0</v>
      </c>
      <c r="X163" s="31" cm="1">
        <f t="array" ref="X163">INT(SUMPRODUCT(--ISNUMBER(SEARCH(voting,C163)))&gt;0)</f>
        <v>0</v>
      </c>
      <c r="Y163" s="31" cm="1">
        <f t="array" ref="Y163">INT(SUMPRODUCT(--ISNUMBER(SEARCH(democrattrigger,C163)))&gt;0)</f>
        <v>1</v>
      </c>
      <c r="Z163" s="31" cm="1">
        <f t="array" ref="Z163">INT(SUMPRODUCT(--ISNUMBER(SEARCH(bipartisan,C163)))&gt;0)</f>
        <v>0</v>
      </c>
      <c r="AA163" s="31">
        <f t="shared" si="2"/>
        <v>0</v>
      </c>
      <c r="AB163" s="31"/>
      <c r="AC163" s="111" t="s">
        <v>223</v>
      </c>
      <c r="AD163" s="112" t="s">
        <v>223</v>
      </c>
    </row>
    <row r="164" spans="1:30" x14ac:dyDescent="0.25">
      <c r="A164" s="109">
        <v>2020</v>
      </c>
      <c r="B164" s="31" t="s">
        <v>4066</v>
      </c>
      <c r="C164" s="31" t="s">
        <v>4067</v>
      </c>
      <c r="D164" s="110">
        <v>44119</v>
      </c>
      <c r="E164" s="31" t="s">
        <v>30</v>
      </c>
      <c r="F164" s="31">
        <v>227</v>
      </c>
      <c r="G164" s="31">
        <v>72</v>
      </c>
      <c r="H164" s="31">
        <v>9</v>
      </c>
      <c r="I164" s="31">
        <v>5</v>
      </c>
      <c r="J164" s="31" t="s">
        <v>204</v>
      </c>
      <c r="K164" s="31" cm="1">
        <f t="array" ref="K164">INT(SUMPRODUCT(--ISNUMBER(SEARCH(economy,C164)))&gt;0)</f>
        <v>0</v>
      </c>
      <c r="L164" s="31" cm="1">
        <f t="array" ref="L164">INT(SUMPRODUCT(--ISNUMBER(SEARCH(healthcare,C164)))&gt;0)</f>
        <v>0</v>
      </c>
      <c r="M164" s="31" cm="1">
        <f t="array" ref="M164">INT(SUMPRODUCT(--ISNUMBER(SEARCH(supreme,C164)))&gt;0)</f>
        <v>0</v>
      </c>
      <c r="N164" s="31" cm="1">
        <f t="array" ref="N164">INT(SUMPRODUCT(--ISNUMBER(SEARCH(covid,C164)))&gt;0)</f>
        <v>0</v>
      </c>
      <c r="O164" s="31" cm="1">
        <f t="array" ref="O164">INT(SUMPRODUCT(--ISNUMBER(SEARCH(violent,C164)))&gt;0)</f>
        <v>0</v>
      </c>
      <c r="P164" s="31" cm="1">
        <f t="array" ref="P164">INT(SUMPRODUCT(--ISNUMBER(SEARCH(foreign,C164)))&gt;0)</f>
        <v>0</v>
      </c>
      <c r="Q164" s="31" cm="1">
        <f t="array" ref="Q164">INT(SUMPRODUCT(--ISNUMBER(SEARCH(gun,C164)))&gt;0)</f>
        <v>0</v>
      </c>
      <c r="R164" s="31" cm="1">
        <f t="array" ref="R164">INT(SUMPRODUCT(--ISNUMBER(SEARCH(race,C164)))&gt;0)</f>
        <v>0</v>
      </c>
      <c r="S164" s="31" cm="1">
        <f t="array" ref="S164">INT(SUMPRODUCT(--ISNUMBER(SEARCH(immigration,C164)))&gt;0)</f>
        <v>0</v>
      </c>
      <c r="T164" s="31" cm="1">
        <f t="array" ref="T164">INT(SUMPRODUCT(--ISNUMBER(SEARCH(econineq,C165)))&gt;0)</f>
        <v>0</v>
      </c>
      <c r="U164" s="31" cm="1">
        <f t="array" ref="U164">INT(SUMPRODUCT(--ISNUMBER(SEARCH(climate,C164)))&gt;0)</f>
        <v>0</v>
      </c>
      <c r="V164" s="31" cm="1">
        <f t="array" ref="V164">INT(SUMPRODUCT(--ISNUMBER(SEARCH(abortion,C164)))&gt;0)</f>
        <v>0</v>
      </c>
      <c r="W164" s="31" cm="1">
        <f t="array" ref="W164">INT(SUMPRODUCT(--ISNUMBER(SEARCH(trump,C164)))&gt;0)</f>
        <v>0</v>
      </c>
      <c r="X164" s="31" cm="1">
        <f t="array" ref="X164">INT(SUMPRODUCT(--ISNUMBER(SEARCH(voting,C164)))&gt;0)</f>
        <v>1</v>
      </c>
      <c r="Y164" s="31" cm="1">
        <f t="array" ref="Y164">INT(SUMPRODUCT(--ISNUMBER(SEARCH(democrattrigger,C164)))&gt;0)</f>
        <v>0</v>
      </c>
      <c r="Z164" s="31" cm="1">
        <f t="array" ref="Z164">INT(SUMPRODUCT(--ISNUMBER(SEARCH(bipartisan,C164)))&gt;0)</f>
        <v>0</v>
      </c>
      <c r="AA164" s="31">
        <f t="shared" si="2"/>
        <v>0</v>
      </c>
      <c r="AB164" s="31"/>
      <c r="AC164" s="111">
        <v>1</v>
      </c>
      <c r="AD164" s="112">
        <v>0</v>
      </c>
    </row>
    <row r="165" spans="1:30" x14ac:dyDescent="0.25">
      <c r="A165" s="109">
        <v>2021</v>
      </c>
      <c r="B165" s="31" t="s">
        <v>4068</v>
      </c>
      <c r="C165" s="31" t="s">
        <v>4069</v>
      </c>
      <c r="D165" s="110">
        <v>44119</v>
      </c>
      <c r="E165" s="31" t="s">
        <v>30</v>
      </c>
      <c r="F165" s="31">
        <v>248</v>
      </c>
      <c r="G165" s="31">
        <v>103</v>
      </c>
      <c r="H165" s="31">
        <v>9</v>
      </c>
      <c r="I165" s="31">
        <v>5</v>
      </c>
      <c r="J165" s="31" t="s">
        <v>204</v>
      </c>
      <c r="K165" s="31" cm="1">
        <f t="array" ref="K165">INT(SUMPRODUCT(--ISNUMBER(SEARCH(economy,C165)))&gt;0)</f>
        <v>0</v>
      </c>
      <c r="L165" s="31" cm="1">
        <f t="array" ref="L165">INT(SUMPRODUCT(--ISNUMBER(SEARCH(healthcare,C165)))&gt;0)</f>
        <v>0</v>
      </c>
      <c r="M165" s="31" cm="1">
        <f t="array" ref="M165">INT(SUMPRODUCT(--ISNUMBER(SEARCH(supreme,C165)))&gt;0)</f>
        <v>0</v>
      </c>
      <c r="N165" s="31" cm="1">
        <f t="array" ref="N165">INT(SUMPRODUCT(--ISNUMBER(SEARCH(covid,C165)))&gt;0)</f>
        <v>0</v>
      </c>
      <c r="O165" s="31" cm="1">
        <f t="array" ref="O165">INT(SUMPRODUCT(--ISNUMBER(SEARCH(violent,C165)))&gt;0)</f>
        <v>0</v>
      </c>
      <c r="P165" s="31" cm="1">
        <f t="array" ref="P165">INT(SUMPRODUCT(--ISNUMBER(SEARCH(foreign,C165)))&gt;0)</f>
        <v>0</v>
      </c>
      <c r="Q165" s="31" cm="1">
        <f t="array" ref="Q165">INT(SUMPRODUCT(--ISNUMBER(SEARCH(gun,C165)))&gt;0)</f>
        <v>0</v>
      </c>
      <c r="R165" s="31" cm="1">
        <f t="array" ref="R165">INT(SUMPRODUCT(--ISNUMBER(SEARCH(race,C165)))&gt;0)</f>
        <v>0</v>
      </c>
      <c r="S165" s="31" cm="1">
        <f t="array" ref="S165">INT(SUMPRODUCT(--ISNUMBER(SEARCH(immigration,C165)))&gt;0)</f>
        <v>0</v>
      </c>
      <c r="T165" s="31" cm="1">
        <f t="array" ref="T165">INT(SUMPRODUCT(--ISNUMBER(SEARCH(econineq,C166)))&gt;0)</f>
        <v>0</v>
      </c>
      <c r="U165" s="31" cm="1">
        <f t="array" ref="U165">INT(SUMPRODUCT(--ISNUMBER(SEARCH(climate,C165)))&gt;0)</f>
        <v>0</v>
      </c>
      <c r="V165" s="31" cm="1">
        <f t="array" ref="V165">INT(SUMPRODUCT(--ISNUMBER(SEARCH(abortion,C165)))&gt;0)</f>
        <v>0</v>
      </c>
      <c r="W165" s="31" cm="1">
        <f t="array" ref="W165">INT(SUMPRODUCT(--ISNUMBER(SEARCH(trump,C165)))&gt;0)</f>
        <v>0</v>
      </c>
      <c r="X165" s="31" cm="1">
        <f t="array" ref="X165">INT(SUMPRODUCT(--ISNUMBER(SEARCH(voting,C165)))&gt;0)</f>
        <v>1</v>
      </c>
      <c r="Y165" s="31" cm="1">
        <f t="array" ref="Y165">INT(SUMPRODUCT(--ISNUMBER(SEARCH(democrattrigger,C165)))&gt;0)</f>
        <v>0</v>
      </c>
      <c r="Z165" s="31" cm="1">
        <f t="array" ref="Z165">INT(SUMPRODUCT(--ISNUMBER(SEARCH(bipartisan,C165)))&gt;0)</f>
        <v>0</v>
      </c>
      <c r="AA165" s="31">
        <f t="shared" si="2"/>
        <v>0</v>
      </c>
      <c r="AB165" s="31"/>
      <c r="AC165" s="111" t="s">
        <v>223</v>
      </c>
      <c r="AD165" s="112" t="s">
        <v>223</v>
      </c>
    </row>
    <row r="166" spans="1:30" x14ac:dyDescent="0.25">
      <c r="A166" s="109">
        <v>2022</v>
      </c>
      <c r="B166" s="31" t="s">
        <v>4070</v>
      </c>
      <c r="C166" s="31" t="s">
        <v>4071</v>
      </c>
      <c r="D166" s="110">
        <v>44119</v>
      </c>
      <c r="E166" s="31" t="s">
        <v>30</v>
      </c>
      <c r="F166" s="31">
        <v>127</v>
      </c>
      <c r="G166" s="31">
        <v>66</v>
      </c>
      <c r="H166" s="31">
        <v>9</v>
      </c>
      <c r="I166" s="31">
        <v>5</v>
      </c>
      <c r="J166" s="31" t="s">
        <v>204</v>
      </c>
      <c r="K166" s="31" cm="1">
        <f t="array" ref="K166">INT(SUMPRODUCT(--ISNUMBER(SEARCH(economy,C166)))&gt;0)</f>
        <v>0</v>
      </c>
      <c r="L166" s="31" cm="1">
        <f t="array" ref="L166">INT(SUMPRODUCT(--ISNUMBER(SEARCH(healthcare,C166)))&gt;0)</f>
        <v>0</v>
      </c>
      <c r="M166" s="31" cm="1">
        <f t="array" ref="M166">INT(SUMPRODUCT(--ISNUMBER(SEARCH(supreme,C166)))&gt;0)</f>
        <v>0</v>
      </c>
      <c r="N166" s="31" cm="1">
        <f t="array" ref="N166">INT(SUMPRODUCT(--ISNUMBER(SEARCH(covid,C166)))&gt;0)</f>
        <v>0</v>
      </c>
      <c r="O166" s="31" cm="1">
        <f t="array" ref="O166">INT(SUMPRODUCT(--ISNUMBER(SEARCH(violent,C166)))&gt;0)</f>
        <v>0</v>
      </c>
      <c r="P166" s="31" cm="1">
        <f t="array" ref="P166">INT(SUMPRODUCT(--ISNUMBER(SEARCH(foreign,C166)))&gt;0)</f>
        <v>0</v>
      </c>
      <c r="Q166" s="31" cm="1">
        <f t="array" ref="Q166">INT(SUMPRODUCT(--ISNUMBER(SEARCH(gun,C166)))&gt;0)</f>
        <v>0</v>
      </c>
      <c r="R166" s="31" cm="1">
        <f t="array" ref="R166">INT(SUMPRODUCT(--ISNUMBER(SEARCH(race,C166)))&gt;0)</f>
        <v>0</v>
      </c>
      <c r="S166" s="31" cm="1">
        <f t="array" ref="S166">INT(SUMPRODUCT(--ISNUMBER(SEARCH(immigration,C166)))&gt;0)</f>
        <v>0</v>
      </c>
      <c r="T166" s="31" cm="1">
        <f t="array" ref="T166">INT(SUMPRODUCT(--ISNUMBER(SEARCH(econineq,C167)))&gt;0)</f>
        <v>0</v>
      </c>
      <c r="U166" s="31" cm="1">
        <f t="array" ref="U166">INT(SUMPRODUCT(--ISNUMBER(SEARCH(climate,C166)))&gt;0)</f>
        <v>0</v>
      </c>
      <c r="V166" s="31" cm="1">
        <f t="array" ref="V166">INT(SUMPRODUCT(--ISNUMBER(SEARCH(abortion,C166)))&gt;0)</f>
        <v>0</v>
      </c>
      <c r="W166" s="31" cm="1">
        <f t="array" ref="W166">INT(SUMPRODUCT(--ISNUMBER(SEARCH(trump,C166)))&gt;0)</f>
        <v>0</v>
      </c>
      <c r="X166" s="31" cm="1">
        <f t="array" ref="X166">INT(SUMPRODUCT(--ISNUMBER(SEARCH(voting,C166)))&gt;0)</f>
        <v>1</v>
      </c>
      <c r="Y166" s="31" cm="1">
        <f t="array" ref="Y166">INT(SUMPRODUCT(--ISNUMBER(SEARCH(democrattrigger,C166)))&gt;0)</f>
        <v>0</v>
      </c>
      <c r="Z166" s="31" cm="1">
        <f t="array" ref="Z166">INT(SUMPRODUCT(--ISNUMBER(SEARCH(bipartisan,C166)))&gt;0)</f>
        <v>0</v>
      </c>
      <c r="AA166" s="31">
        <f t="shared" si="2"/>
        <v>0</v>
      </c>
      <c r="AB166" s="31"/>
      <c r="AC166" s="111" t="s">
        <v>223</v>
      </c>
      <c r="AD166" s="112" t="s">
        <v>223</v>
      </c>
    </row>
    <row r="167" spans="1:30" x14ac:dyDescent="0.25">
      <c r="A167" s="109">
        <v>2023</v>
      </c>
      <c r="B167" s="31" t="s">
        <v>4072</v>
      </c>
      <c r="C167" s="31" t="s">
        <v>4073</v>
      </c>
      <c r="D167" s="110">
        <v>44119</v>
      </c>
      <c r="E167" s="31" t="s">
        <v>30</v>
      </c>
      <c r="F167" s="31">
        <v>463</v>
      </c>
      <c r="G167" s="31">
        <v>114</v>
      </c>
      <c r="H167" s="31">
        <v>9</v>
      </c>
      <c r="I167" s="31">
        <v>5</v>
      </c>
      <c r="J167" s="31" t="s">
        <v>204</v>
      </c>
      <c r="K167" s="31" cm="1">
        <f t="array" ref="K167">INT(SUMPRODUCT(--ISNUMBER(SEARCH(economy,C167)))&gt;0)</f>
        <v>0</v>
      </c>
      <c r="L167" s="31" cm="1">
        <f t="array" ref="L167">INT(SUMPRODUCT(--ISNUMBER(SEARCH(healthcare,C167)))&gt;0)</f>
        <v>0</v>
      </c>
      <c r="M167" s="31" cm="1">
        <f t="array" ref="M167">INT(SUMPRODUCT(--ISNUMBER(SEARCH(supreme,C167)))&gt;0)</f>
        <v>0</v>
      </c>
      <c r="N167" s="31" cm="1">
        <f t="array" ref="N167">INT(SUMPRODUCT(--ISNUMBER(SEARCH(covid,C167)))&gt;0)</f>
        <v>0</v>
      </c>
      <c r="O167" s="31" cm="1">
        <f t="array" ref="O167">INT(SUMPRODUCT(--ISNUMBER(SEARCH(violent,C167)))&gt;0)</f>
        <v>0</v>
      </c>
      <c r="P167" s="31" cm="1">
        <f t="array" ref="P167">INT(SUMPRODUCT(--ISNUMBER(SEARCH(foreign,C167)))&gt;0)</f>
        <v>0</v>
      </c>
      <c r="Q167" s="31" cm="1">
        <f t="array" ref="Q167">INT(SUMPRODUCT(--ISNUMBER(SEARCH(gun,C167)))&gt;0)</f>
        <v>0</v>
      </c>
      <c r="R167" s="31" cm="1">
        <f t="array" ref="R167">INT(SUMPRODUCT(--ISNUMBER(SEARCH(race,C167)))&gt;0)</f>
        <v>0</v>
      </c>
      <c r="S167" s="31" cm="1">
        <f t="array" ref="S167">INT(SUMPRODUCT(--ISNUMBER(SEARCH(immigration,C167)))&gt;0)</f>
        <v>0</v>
      </c>
      <c r="T167" s="31" cm="1">
        <f t="array" ref="T167">INT(SUMPRODUCT(--ISNUMBER(SEARCH(econineq,C168)))&gt;0)</f>
        <v>0</v>
      </c>
      <c r="U167" s="31" cm="1">
        <f t="array" ref="U167">INT(SUMPRODUCT(--ISNUMBER(SEARCH(climate,C167)))&gt;0)</f>
        <v>1</v>
      </c>
      <c r="V167" s="31" cm="1">
        <f t="array" ref="V167">INT(SUMPRODUCT(--ISNUMBER(SEARCH(abortion,C167)))&gt;0)</f>
        <v>0</v>
      </c>
      <c r="W167" s="31" cm="1">
        <f t="array" ref="W167">INT(SUMPRODUCT(--ISNUMBER(SEARCH(trump,C167)))&gt;0)</f>
        <v>0</v>
      </c>
      <c r="X167" s="31" cm="1">
        <f t="array" ref="X167">INT(SUMPRODUCT(--ISNUMBER(SEARCH(voting,C167)))&gt;0)</f>
        <v>1</v>
      </c>
      <c r="Y167" s="31" cm="1">
        <f t="array" ref="Y167">INT(SUMPRODUCT(--ISNUMBER(SEARCH(democrattrigger,C167)))&gt;0)</f>
        <v>0</v>
      </c>
      <c r="Z167" s="31" cm="1">
        <f t="array" ref="Z167">INT(SUMPRODUCT(--ISNUMBER(SEARCH(bipartisan,C167)))&gt;0)</f>
        <v>0</v>
      </c>
      <c r="AA167" s="31">
        <f t="shared" si="2"/>
        <v>0</v>
      </c>
      <c r="AB167" s="31"/>
      <c r="AC167" s="111">
        <v>1</v>
      </c>
      <c r="AD167" s="112">
        <v>0</v>
      </c>
    </row>
    <row r="168" spans="1:30" x14ac:dyDescent="0.25">
      <c r="A168" s="109">
        <v>2024</v>
      </c>
      <c r="B168" s="31" t="s">
        <v>4074</v>
      </c>
      <c r="C168" s="31" t="s">
        <v>4075</v>
      </c>
      <c r="D168" s="110">
        <v>44118</v>
      </c>
      <c r="E168" s="31" t="s">
        <v>30</v>
      </c>
      <c r="F168" s="31">
        <v>385</v>
      </c>
      <c r="G168" s="31">
        <v>178</v>
      </c>
      <c r="H168" s="31">
        <v>9</v>
      </c>
      <c r="I168" s="31">
        <v>5</v>
      </c>
      <c r="J168" s="31" t="s">
        <v>204</v>
      </c>
      <c r="K168" s="31" cm="1">
        <f t="array" ref="K168">INT(SUMPRODUCT(--ISNUMBER(SEARCH(economy,C168)))&gt;0)</f>
        <v>1</v>
      </c>
      <c r="L168" s="31" cm="1">
        <f t="array" ref="L168">INT(SUMPRODUCT(--ISNUMBER(SEARCH(healthcare,C168)))&gt;0)</f>
        <v>1</v>
      </c>
      <c r="M168" s="31" cm="1">
        <f t="array" ref="M168">INT(SUMPRODUCT(--ISNUMBER(SEARCH(supreme,C168)))&gt;0)</f>
        <v>0</v>
      </c>
      <c r="N168" s="31" cm="1">
        <f t="array" ref="N168">INT(SUMPRODUCT(--ISNUMBER(SEARCH(covid,C168)))&gt;0)</f>
        <v>0</v>
      </c>
      <c r="O168" s="31" cm="1">
        <f t="array" ref="O168">INT(SUMPRODUCT(--ISNUMBER(SEARCH(violent,C168)))&gt;0)</f>
        <v>0</v>
      </c>
      <c r="P168" s="31" cm="1">
        <f t="array" ref="P168">INT(SUMPRODUCT(--ISNUMBER(SEARCH(foreign,C168)))&gt;0)</f>
        <v>0</v>
      </c>
      <c r="Q168" s="31" cm="1">
        <f t="array" ref="Q168">INT(SUMPRODUCT(--ISNUMBER(SEARCH(gun,C168)))&gt;0)</f>
        <v>0</v>
      </c>
      <c r="R168" s="31" cm="1">
        <f t="array" ref="R168">INT(SUMPRODUCT(--ISNUMBER(SEARCH(race,C168)))&gt;0)</f>
        <v>0</v>
      </c>
      <c r="S168" s="31" cm="1">
        <f t="array" ref="S168">INT(SUMPRODUCT(--ISNUMBER(SEARCH(immigration,C168)))&gt;0)</f>
        <v>0</v>
      </c>
      <c r="T168" s="31" cm="1">
        <f t="array" ref="T168">INT(SUMPRODUCT(--ISNUMBER(SEARCH(econineq,C169)))&gt;0)</f>
        <v>0</v>
      </c>
      <c r="U168" s="31" cm="1">
        <f t="array" ref="U168">INT(SUMPRODUCT(--ISNUMBER(SEARCH(climate,C168)))&gt;0)</f>
        <v>0</v>
      </c>
      <c r="V168" s="31" cm="1">
        <f t="array" ref="V168">INT(SUMPRODUCT(--ISNUMBER(SEARCH(abortion,C168)))&gt;0)</f>
        <v>0</v>
      </c>
      <c r="W168" s="31" cm="1">
        <f t="array" ref="W168">INT(SUMPRODUCT(--ISNUMBER(SEARCH(trump,C168)))&gt;0)</f>
        <v>0</v>
      </c>
      <c r="X168" s="31" cm="1">
        <f t="array" ref="X168">INT(SUMPRODUCT(--ISNUMBER(SEARCH(voting,C168)))&gt;0)</f>
        <v>1</v>
      </c>
      <c r="Y168" s="31" cm="1">
        <f t="array" ref="Y168">INT(SUMPRODUCT(--ISNUMBER(SEARCH(democrattrigger,C168)))&gt;0)</f>
        <v>0</v>
      </c>
      <c r="Z168" s="31" cm="1">
        <f t="array" ref="Z168">INT(SUMPRODUCT(--ISNUMBER(SEARCH(bipartisan,C168)))&gt;0)</f>
        <v>0</v>
      </c>
      <c r="AA168" s="31">
        <f t="shared" si="2"/>
        <v>0</v>
      </c>
      <c r="AB168" s="31"/>
      <c r="AC168" s="111">
        <v>0</v>
      </c>
      <c r="AD168" s="112">
        <v>1</v>
      </c>
    </row>
    <row r="169" spans="1:30" x14ac:dyDescent="0.25">
      <c r="A169" s="109">
        <v>2025</v>
      </c>
      <c r="B169" s="31" t="s">
        <v>4076</v>
      </c>
      <c r="C169" s="31" t="s">
        <v>4077</v>
      </c>
      <c r="D169" s="110">
        <v>44118</v>
      </c>
      <c r="E169" s="31" t="s">
        <v>30</v>
      </c>
      <c r="F169" s="31">
        <v>160</v>
      </c>
      <c r="G169" s="31">
        <v>70</v>
      </c>
      <c r="H169" s="31">
        <v>9</v>
      </c>
      <c r="I169" s="31">
        <v>5</v>
      </c>
      <c r="J169" s="31" t="s">
        <v>204</v>
      </c>
      <c r="K169" s="31" cm="1">
        <f t="array" ref="K169">INT(SUMPRODUCT(--ISNUMBER(SEARCH(economy,C169)))&gt;0)</f>
        <v>0</v>
      </c>
      <c r="L169" s="31" cm="1">
        <f t="array" ref="L169">INT(SUMPRODUCT(--ISNUMBER(SEARCH(healthcare,C169)))&gt;0)</f>
        <v>0</v>
      </c>
      <c r="M169" s="31" cm="1">
        <f t="array" ref="M169">INT(SUMPRODUCT(--ISNUMBER(SEARCH(supreme,C169)))&gt;0)</f>
        <v>0</v>
      </c>
      <c r="N169" s="31" cm="1">
        <f t="array" ref="N169">INT(SUMPRODUCT(--ISNUMBER(SEARCH(covid,C169)))&gt;0)</f>
        <v>0</v>
      </c>
      <c r="O169" s="31" cm="1">
        <f t="array" ref="O169">INT(SUMPRODUCT(--ISNUMBER(SEARCH(violent,C169)))&gt;0)</f>
        <v>0</v>
      </c>
      <c r="P169" s="31" cm="1">
        <f t="array" ref="P169">INT(SUMPRODUCT(--ISNUMBER(SEARCH(foreign,C169)))&gt;0)</f>
        <v>0</v>
      </c>
      <c r="Q169" s="31" cm="1">
        <f t="array" ref="Q169">INT(SUMPRODUCT(--ISNUMBER(SEARCH(gun,C169)))&gt;0)</f>
        <v>0</v>
      </c>
      <c r="R169" s="31" cm="1">
        <f t="array" ref="R169">INT(SUMPRODUCT(--ISNUMBER(SEARCH(race,C169)))&gt;0)</f>
        <v>0</v>
      </c>
      <c r="S169" s="31" cm="1">
        <f t="array" ref="S169">INT(SUMPRODUCT(--ISNUMBER(SEARCH(immigration,C169)))&gt;0)</f>
        <v>0</v>
      </c>
      <c r="T169" s="31" cm="1">
        <f t="array" ref="T169">INT(SUMPRODUCT(--ISNUMBER(SEARCH(econineq,C170)))&gt;0)</f>
        <v>0</v>
      </c>
      <c r="U169" s="31" cm="1">
        <f t="array" ref="U169">INT(SUMPRODUCT(--ISNUMBER(SEARCH(climate,C169)))&gt;0)</f>
        <v>0</v>
      </c>
      <c r="V169" s="31" cm="1">
        <f t="array" ref="V169">INT(SUMPRODUCT(--ISNUMBER(SEARCH(abortion,C169)))&gt;0)</f>
        <v>0</v>
      </c>
      <c r="W169" s="31" cm="1">
        <f t="array" ref="W169">INT(SUMPRODUCT(--ISNUMBER(SEARCH(trump,C169)))&gt;0)</f>
        <v>0</v>
      </c>
      <c r="X169" s="31" cm="1">
        <f t="array" ref="X169">INT(SUMPRODUCT(--ISNUMBER(SEARCH(voting,C169)))&gt;0)</f>
        <v>1</v>
      </c>
      <c r="Y169" s="31" cm="1">
        <f t="array" ref="Y169">INT(SUMPRODUCT(--ISNUMBER(SEARCH(democrattrigger,C169)))&gt;0)</f>
        <v>0</v>
      </c>
      <c r="Z169" s="31" cm="1">
        <f t="array" ref="Z169">INT(SUMPRODUCT(--ISNUMBER(SEARCH(bipartisan,C169)))&gt;0)</f>
        <v>0</v>
      </c>
      <c r="AA169" s="31">
        <f t="shared" si="2"/>
        <v>0</v>
      </c>
      <c r="AB169" s="31"/>
      <c r="AC169" s="111" t="s">
        <v>223</v>
      </c>
      <c r="AD169" s="112" t="s">
        <v>223</v>
      </c>
    </row>
    <row r="170" spans="1:30" x14ac:dyDescent="0.25">
      <c r="A170" s="109">
        <v>2026</v>
      </c>
      <c r="B170" s="31" t="s">
        <v>4078</v>
      </c>
      <c r="C170" s="31" t="s">
        <v>4079</v>
      </c>
      <c r="D170" s="110">
        <v>44118</v>
      </c>
      <c r="E170" s="31" t="s">
        <v>30</v>
      </c>
      <c r="F170" s="31">
        <v>200</v>
      </c>
      <c r="G170" s="31">
        <v>68</v>
      </c>
      <c r="H170" s="31">
        <v>9</v>
      </c>
      <c r="I170" s="31">
        <v>5</v>
      </c>
      <c r="J170" s="31" t="s">
        <v>204</v>
      </c>
      <c r="K170" s="31" cm="1">
        <f t="array" ref="K170">INT(SUMPRODUCT(--ISNUMBER(SEARCH(economy,C170)))&gt;0)</f>
        <v>0</v>
      </c>
      <c r="L170" s="31" cm="1">
        <f t="array" ref="L170">INT(SUMPRODUCT(--ISNUMBER(SEARCH(healthcare,C170)))&gt;0)</f>
        <v>0</v>
      </c>
      <c r="M170" s="31" cm="1">
        <f t="array" ref="M170">INT(SUMPRODUCT(--ISNUMBER(SEARCH(supreme,C170)))&gt;0)</f>
        <v>0</v>
      </c>
      <c r="N170" s="31" cm="1">
        <f t="array" ref="N170">INT(SUMPRODUCT(--ISNUMBER(SEARCH(covid,C170)))&gt;0)</f>
        <v>0</v>
      </c>
      <c r="O170" s="31" cm="1">
        <f t="array" ref="O170">INT(SUMPRODUCT(--ISNUMBER(SEARCH(violent,C170)))&gt;0)</f>
        <v>0</v>
      </c>
      <c r="P170" s="31" cm="1">
        <f t="array" ref="P170">INT(SUMPRODUCT(--ISNUMBER(SEARCH(foreign,C170)))&gt;0)</f>
        <v>0</v>
      </c>
      <c r="Q170" s="31" cm="1">
        <f t="array" ref="Q170">INT(SUMPRODUCT(--ISNUMBER(SEARCH(gun,C170)))&gt;0)</f>
        <v>0</v>
      </c>
      <c r="R170" s="31" cm="1">
        <f t="array" ref="R170">INT(SUMPRODUCT(--ISNUMBER(SEARCH(race,C170)))&gt;0)</f>
        <v>0</v>
      </c>
      <c r="S170" s="31" cm="1">
        <f t="array" ref="S170">INT(SUMPRODUCT(--ISNUMBER(SEARCH(immigration,C170)))&gt;0)</f>
        <v>0</v>
      </c>
      <c r="T170" s="31" cm="1">
        <f t="array" ref="T170">INT(SUMPRODUCT(--ISNUMBER(SEARCH(econineq,C171)))&gt;0)</f>
        <v>0</v>
      </c>
      <c r="U170" s="31" cm="1">
        <f t="array" ref="U170">INT(SUMPRODUCT(--ISNUMBER(SEARCH(climate,C170)))&gt;0)</f>
        <v>0</v>
      </c>
      <c r="V170" s="31" cm="1">
        <f t="array" ref="V170">INT(SUMPRODUCT(--ISNUMBER(SEARCH(abortion,C170)))&gt;0)</f>
        <v>0</v>
      </c>
      <c r="W170" s="31" cm="1">
        <f t="array" ref="W170">INT(SUMPRODUCT(--ISNUMBER(SEARCH(trump,C170)))&gt;0)</f>
        <v>0</v>
      </c>
      <c r="X170" s="31" cm="1">
        <f t="array" ref="X170">INT(SUMPRODUCT(--ISNUMBER(SEARCH(voting,C170)))&gt;0)</f>
        <v>1</v>
      </c>
      <c r="Y170" s="31" cm="1">
        <f t="array" ref="Y170">INT(SUMPRODUCT(--ISNUMBER(SEARCH(democrattrigger,C170)))&gt;0)</f>
        <v>0</v>
      </c>
      <c r="Z170" s="31" cm="1">
        <f t="array" ref="Z170">INT(SUMPRODUCT(--ISNUMBER(SEARCH(bipartisan,C170)))&gt;0)</f>
        <v>0</v>
      </c>
      <c r="AA170" s="31">
        <f t="shared" si="2"/>
        <v>0</v>
      </c>
      <c r="AB170" s="31"/>
      <c r="AC170" s="111">
        <v>0</v>
      </c>
      <c r="AD170" s="112">
        <v>1</v>
      </c>
    </row>
    <row r="171" spans="1:30" x14ac:dyDescent="0.25">
      <c r="A171" s="109">
        <v>2027</v>
      </c>
      <c r="B171" s="31" t="s">
        <v>4080</v>
      </c>
      <c r="C171" s="31" t="s">
        <v>4081</v>
      </c>
      <c r="D171" s="110">
        <v>44118</v>
      </c>
      <c r="E171" s="31" t="s">
        <v>30</v>
      </c>
      <c r="F171" s="31">
        <v>389</v>
      </c>
      <c r="G171" s="31">
        <v>134</v>
      </c>
      <c r="H171" s="31">
        <v>9</v>
      </c>
      <c r="I171" s="31">
        <v>5</v>
      </c>
      <c r="J171" s="31" t="s">
        <v>204</v>
      </c>
      <c r="K171" s="31" cm="1">
        <f t="array" ref="K171">INT(SUMPRODUCT(--ISNUMBER(SEARCH(economy,C171)))&gt;0)</f>
        <v>0</v>
      </c>
      <c r="L171" s="31" cm="1">
        <f t="array" ref="L171">INT(SUMPRODUCT(--ISNUMBER(SEARCH(healthcare,C171)))&gt;0)</f>
        <v>1</v>
      </c>
      <c r="M171" s="31" cm="1">
        <f t="array" ref="M171">INT(SUMPRODUCT(--ISNUMBER(SEARCH(supreme,C171)))&gt;0)</f>
        <v>0</v>
      </c>
      <c r="N171" s="31" cm="1">
        <f t="array" ref="N171">INT(SUMPRODUCT(--ISNUMBER(SEARCH(covid,C171)))&gt;0)</f>
        <v>0</v>
      </c>
      <c r="O171" s="31" cm="1">
        <f t="array" ref="O171">INT(SUMPRODUCT(--ISNUMBER(SEARCH(violent,C171)))&gt;0)</f>
        <v>0</v>
      </c>
      <c r="P171" s="31" cm="1">
        <f t="array" ref="P171">INT(SUMPRODUCT(--ISNUMBER(SEARCH(foreign,C171)))&gt;0)</f>
        <v>0</v>
      </c>
      <c r="Q171" s="31" cm="1">
        <f t="array" ref="Q171">INT(SUMPRODUCT(--ISNUMBER(SEARCH(gun,C171)))&gt;0)</f>
        <v>0</v>
      </c>
      <c r="R171" s="31" cm="1">
        <f t="array" ref="R171">INT(SUMPRODUCT(--ISNUMBER(SEARCH(race,C171)))&gt;0)</f>
        <v>0</v>
      </c>
      <c r="S171" s="31" cm="1">
        <f t="array" ref="S171">INT(SUMPRODUCT(--ISNUMBER(SEARCH(immigration,C171)))&gt;0)</f>
        <v>0</v>
      </c>
      <c r="T171" s="31" cm="1">
        <f t="array" ref="T171">INT(SUMPRODUCT(--ISNUMBER(SEARCH(econineq,C172)))&gt;0)</f>
        <v>0</v>
      </c>
      <c r="U171" s="31" cm="1">
        <f t="array" ref="U171">INT(SUMPRODUCT(--ISNUMBER(SEARCH(climate,C171)))&gt;0)</f>
        <v>0</v>
      </c>
      <c r="V171" s="31" cm="1">
        <f t="array" ref="V171">INT(SUMPRODUCT(--ISNUMBER(SEARCH(abortion,C171)))&gt;0)</f>
        <v>0</v>
      </c>
      <c r="W171" s="31" cm="1">
        <f t="array" ref="W171">INT(SUMPRODUCT(--ISNUMBER(SEARCH(trump,C171)))&gt;0)</f>
        <v>0</v>
      </c>
      <c r="X171" s="31" cm="1">
        <f t="array" ref="X171">INT(SUMPRODUCT(--ISNUMBER(SEARCH(voting,C171)))&gt;0)</f>
        <v>0</v>
      </c>
      <c r="Y171" s="31" cm="1">
        <f t="array" ref="Y171">INT(SUMPRODUCT(--ISNUMBER(SEARCH(democrattrigger,C171)))&gt;0)</f>
        <v>0</v>
      </c>
      <c r="Z171" s="31" cm="1">
        <f t="array" ref="Z171">INT(SUMPRODUCT(--ISNUMBER(SEARCH(bipartisan,C171)))&gt;0)</f>
        <v>0</v>
      </c>
      <c r="AA171" s="31">
        <f t="shared" si="2"/>
        <v>0</v>
      </c>
      <c r="AB171" s="31"/>
      <c r="AC171" s="111" t="s">
        <v>223</v>
      </c>
      <c r="AD171" s="112" t="s">
        <v>223</v>
      </c>
    </row>
    <row r="172" spans="1:30" x14ac:dyDescent="0.25">
      <c r="A172" s="109">
        <v>2028</v>
      </c>
      <c r="B172" s="31" t="s">
        <v>4082</v>
      </c>
      <c r="C172" s="31" t="s">
        <v>4083</v>
      </c>
      <c r="D172" s="110">
        <v>44118</v>
      </c>
      <c r="E172" s="31" t="s">
        <v>70</v>
      </c>
      <c r="F172" s="31">
        <v>947</v>
      </c>
      <c r="G172" s="31">
        <v>394</v>
      </c>
      <c r="H172" s="31">
        <v>9</v>
      </c>
      <c r="I172" s="31">
        <v>5</v>
      </c>
      <c r="J172" s="31" t="s">
        <v>204</v>
      </c>
      <c r="K172" s="31" cm="1">
        <f t="array" ref="K172">INT(SUMPRODUCT(--ISNUMBER(SEARCH(economy,C172)))&gt;0)</f>
        <v>0</v>
      </c>
      <c r="L172" s="31" cm="1">
        <f t="array" ref="L172">INT(SUMPRODUCT(--ISNUMBER(SEARCH(healthcare,C172)))&gt;0)</f>
        <v>1</v>
      </c>
      <c r="M172" s="31" cm="1">
        <f t="array" ref="M172">INT(SUMPRODUCT(--ISNUMBER(SEARCH(supreme,C172)))&gt;0)</f>
        <v>1</v>
      </c>
      <c r="N172" s="31" cm="1">
        <f t="array" ref="N172">INT(SUMPRODUCT(--ISNUMBER(SEARCH(covid,C172)))&gt;0)</f>
        <v>0</v>
      </c>
      <c r="O172" s="31" cm="1">
        <f t="array" ref="O172">INT(SUMPRODUCT(--ISNUMBER(SEARCH(violent,C172)))&gt;0)</f>
        <v>0</v>
      </c>
      <c r="P172" s="31" cm="1">
        <f t="array" ref="P172">INT(SUMPRODUCT(--ISNUMBER(SEARCH(foreign,C172)))&gt;0)</f>
        <v>0</v>
      </c>
      <c r="Q172" s="31" cm="1">
        <f t="array" ref="Q172">INT(SUMPRODUCT(--ISNUMBER(SEARCH(gun,C172)))&gt;0)</f>
        <v>0</v>
      </c>
      <c r="R172" s="31" cm="1">
        <f t="array" ref="R172">INT(SUMPRODUCT(--ISNUMBER(SEARCH(race,C172)))&gt;0)</f>
        <v>0</v>
      </c>
      <c r="S172" s="31" cm="1">
        <f t="array" ref="S172">INT(SUMPRODUCT(--ISNUMBER(SEARCH(immigration,C172)))&gt;0)</f>
        <v>0</v>
      </c>
      <c r="T172" s="31" cm="1">
        <f t="array" ref="T172">INT(SUMPRODUCT(--ISNUMBER(SEARCH(econineq,C173)))&gt;0)</f>
        <v>0</v>
      </c>
      <c r="U172" s="31" cm="1">
        <f t="array" ref="U172">INT(SUMPRODUCT(--ISNUMBER(SEARCH(climate,C172)))&gt;0)</f>
        <v>0</v>
      </c>
      <c r="V172" s="31" cm="1">
        <f t="array" ref="V172">INT(SUMPRODUCT(--ISNUMBER(SEARCH(abortion,C172)))&gt;0)</f>
        <v>1</v>
      </c>
      <c r="W172" s="31" cm="1">
        <f t="array" ref="W172">INT(SUMPRODUCT(--ISNUMBER(SEARCH(trump,C172)))&gt;0)</f>
        <v>0</v>
      </c>
      <c r="X172" s="31" cm="1">
        <f t="array" ref="X172">INT(SUMPRODUCT(--ISNUMBER(SEARCH(voting,C172)))&gt;0)</f>
        <v>0</v>
      </c>
      <c r="Y172" s="31" cm="1">
        <f t="array" ref="Y172">INT(SUMPRODUCT(--ISNUMBER(SEARCH(democrattrigger,C172)))&gt;0)</f>
        <v>0</v>
      </c>
      <c r="Z172" s="31" cm="1">
        <f t="array" ref="Z172">INT(SUMPRODUCT(--ISNUMBER(SEARCH(bipartisan,C172)))&gt;0)</f>
        <v>0</v>
      </c>
      <c r="AA172" s="31">
        <f t="shared" si="2"/>
        <v>0</v>
      </c>
      <c r="AB172" s="31"/>
      <c r="AC172" s="111" t="s">
        <v>223</v>
      </c>
      <c r="AD172" s="112" t="s">
        <v>223</v>
      </c>
    </row>
    <row r="173" spans="1:30" x14ac:dyDescent="0.25">
      <c r="A173" s="109">
        <v>2029</v>
      </c>
      <c r="B173" s="31" t="s">
        <v>4084</v>
      </c>
      <c r="C173" s="31" t="s">
        <v>4085</v>
      </c>
      <c r="D173" s="110">
        <v>44118</v>
      </c>
      <c r="E173" s="31" t="s">
        <v>30</v>
      </c>
      <c r="F173" s="31">
        <v>8815</v>
      </c>
      <c r="G173" s="31">
        <v>2761</v>
      </c>
      <c r="H173" s="31">
        <v>9</v>
      </c>
      <c r="I173" s="31">
        <v>5</v>
      </c>
      <c r="J173" s="31" t="s">
        <v>204</v>
      </c>
      <c r="K173" s="31" cm="1">
        <f t="array" ref="K173">INT(SUMPRODUCT(--ISNUMBER(SEARCH(economy,C173)))&gt;0)</f>
        <v>0</v>
      </c>
      <c r="L173" s="31" cm="1">
        <f t="array" ref="L173">INT(SUMPRODUCT(--ISNUMBER(SEARCH(healthcare,C173)))&gt;0)</f>
        <v>0</v>
      </c>
      <c r="M173" s="31" cm="1">
        <f t="array" ref="M173">INT(SUMPRODUCT(--ISNUMBER(SEARCH(supreme,C173)))&gt;0)</f>
        <v>0</v>
      </c>
      <c r="N173" s="31" cm="1">
        <f t="array" ref="N173">INT(SUMPRODUCT(--ISNUMBER(SEARCH(covid,C173)))&gt;0)</f>
        <v>0</v>
      </c>
      <c r="O173" s="31" cm="1">
        <f t="array" ref="O173">INT(SUMPRODUCT(--ISNUMBER(SEARCH(violent,C173)))&gt;0)</f>
        <v>0</v>
      </c>
      <c r="P173" s="31" cm="1">
        <f t="array" ref="P173">INT(SUMPRODUCT(--ISNUMBER(SEARCH(foreign,C173)))&gt;0)</f>
        <v>0</v>
      </c>
      <c r="Q173" s="31" cm="1">
        <f t="array" ref="Q173">INT(SUMPRODUCT(--ISNUMBER(SEARCH(gun,C173)))&gt;0)</f>
        <v>0</v>
      </c>
      <c r="R173" s="31" cm="1">
        <f t="array" ref="R173">INT(SUMPRODUCT(--ISNUMBER(SEARCH(race,C173)))&gt;0)</f>
        <v>0</v>
      </c>
      <c r="S173" s="31" cm="1">
        <f t="array" ref="S173">INT(SUMPRODUCT(--ISNUMBER(SEARCH(immigration,C173)))&gt;0)</f>
        <v>0</v>
      </c>
      <c r="T173" s="31" cm="1">
        <f t="array" ref="T173">INT(SUMPRODUCT(--ISNUMBER(SEARCH(econineq,C174)))&gt;0)</f>
        <v>0</v>
      </c>
      <c r="U173" s="31" cm="1">
        <f t="array" ref="U173">INT(SUMPRODUCT(--ISNUMBER(SEARCH(climate,C173)))&gt;0)</f>
        <v>0</v>
      </c>
      <c r="V173" s="31" cm="1">
        <f t="array" ref="V173">INT(SUMPRODUCT(--ISNUMBER(SEARCH(abortion,C173)))&gt;0)</f>
        <v>0</v>
      </c>
      <c r="W173" s="31" cm="1">
        <f t="array" ref="W173">INT(SUMPRODUCT(--ISNUMBER(SEARCH(trump,C173)))&gt;0)</f>
        <v>0</v>
      </c>
      <c r="X173" s="31" cm="1">
        <f t="array" ref="X173">INT(SUMPRODUCT(--ISNUMBER(SEARCH(voting,C173)))&gt;0)</f>
        <v>0</v>
      </c>
      <c r="Y173" s="31" cm="1">
        <f t="array" ref="Y173">INT(SUMPRODUCT(--ISNUMBER(SEARCH(democrattrigger,C173)))&gt;0)</f>
        <v>0</v>
      </c>
      <c r="Z173" s="31" cm="1">
        <f t="array" ref="Z173">INT(SUMPRODUCT(--ISNUMBER(SEARCH(bipartisan,C173)))&gt;0)</f>
        <v>0</v>
      </c>
      <c r="AA173" s="31">
        <f t="shared" si="2"/>
        <v>1</v>
      </c>
      <c r="AB173" s="31"/>
      <c r="AC173" s="111">
        <v>0</v>
      </c>
      <c r="AD173" s="112">
        <v>1</v>
      </c>
    </row>
    <row r="174" spans="1:30" x14ac:dyDescent="0.25">
      <c r="A174" s="109">
        <v>2030</v>
      </c>
      <c r="B174" s="31" t="s">
        <v>4086</v>
      </c>
      <c r="C174" s="31" t="s">
        <v>4087</v>
      </c>
      <c r="D174" s="110">
        <v>44118</v>
      </c>
      <c r="E174" s="31" t="s">
        <v>30</v>
      </c>
      <c r="F174" s="31">
        <v>716</v>
      </c>
      <c r="G174" s="31">
        <v>126</v>
      </c>
      <c r="H174" s="31">
        <v>9</v>
      </c>
      <c r="I174" s="31">
        <v>5</v>
      </c>
      <c r="J174" s="31" t="s">
        <v>204</v>
      </c>
      <c r="K174" s="31" cm="1">
        <f t="array" ref="K174">INT(SUMPRODUCT(--ISNUMBER(SEARCH(economy,C174)))&gt;0)</f>
        <v>0</v>
      </c>
      <c r="L174" s="31" cm="1">
        <f t="array" ref="L174">INT(SUMPRODUCT(--ISNUMBER(SEARCH(healthcare,C174)))&gt;0)</f>
        <v>0</v>
      </c>
      <c r="M174" s="31" cm="1">
        <f t="array" ref="M174">INT(SUMPRODUCT(--ISNUMBER(SEARCH(supreme,C174)))&gt;0)</f>
        <v>0</v>
      </c>
      <c r="N174" s="31" cm="1">
        <f t="array" ref="N174">INT(SUMPRODUCT(--ISNUMBER(SEARCH(covid,C174)))&gt;0)</f>
        <v>0</v>
      </c>
      <c r="O174" s="31" cm="1">
        <f t="array" ref="O174">INT(SUMPRODUCT(--ISNUMBER(SEARCH(violent,C174)))&gt;0)</f>
        <v>0</v>
      </c>
      <c r="P174" s="31" cm="1">
        <f t="array" ref="P174">INT(SUMPRODUCT(--ISNUMBER(SEARCH(foreign,C174)))&gt;0)</f>
        <v>0</v>
      </c>
      <c r="Q174" s="31" cm="1">
        <f t="array" ref="Q174">INT(SUMPRODUCT(--ISNUMBER(SEARCH(gun,C174)))&gt;0)</f>
        <v>0</v>
      </c>
      <c r="R174" s="31" cm="1">
        <f t="array" ref="R174">INT(SUMPRODUCT(--ISNUMBER(SEARCH(race,C174)))&gt;0)</f>
        <v>0</v>
      </c>
      <c r="S174" s="31" cm="1">
        <f t="array" ref="S174">INT(SUMPRODUCT(--ISNUMBER(SEARCH(immigration,C174)))&gt;0)</f>
        <v>0</v>
      </c>
      <c r="T174" s="31" cm="1">
        <f t="array" ref="T174">INT(SUMPRODUCT(--ISNUMBER(SEARCH(econineq,C175)))&gt;0)</f>
        <v>0</v>
      </c>
      <c r="U174" s="31" cm="1">
        <f t="array" ref="U174">INT(SUMPRODUCT(--ISNUMBER(SEARCH(climate,C174)))&gt;0)</f>
        <v>0</v>
      </c>
      <c r="V174" s="31" cm="1">
        <f t="array" ref="V174">INT(SUMPRODUCT(--ISNUMBER(SEARCH(abortion,C174)))&gt;0)</f>
        <v>0</v>
      </c>
      <c r="W174" s="31" cm="1">
        <f t="array" ref="W174">INT(SUMPRODUCT(--ISNUMBER(SEARCH(trump,C174)))&gt;0)</f>
        <v>0</v>
      </c>
      <c r="X174" s="31" cm="1">
        <f t="array" ref="X174">INT(SUMPRODUCT(--ISNUMBER(SEARCH(voting,C174)))&gt;0)</f>
        <v>0</v>
      </c>
      <c r="Y174" s="31" cm="1">
        <f t="array" ref="Y174">INT(SUMPRODUCT(--ISNUMBER(SEARCH(democrattrigger,C174)))&gt;0)</f>
        <v>0</v>
      </c>
      <c r="Z174" s="31" cm="1">
        <f t="array" ref="Z174">INT(SUMPRODUCT(--ISNUMBER(SEARCH(bipartisan,C174)))&gt;0)</f>
        <v>0</v>
      </c>
      <c r="AA174" s="31">
        <f t="shared" si="2"/>
        <v>1</v>
      </c>
      <c r="AB174" s="31"/>
      <c r="AC174" s="111">
        <v>1</v>
      </c>
      <c r="AD174" s="112">
        <v>0</v>
      </c>
    </row>
    <row r="175" spans="1:30" x14ac:dyDescent="0.25">
      <c r="A175" s="109">
        <v>2031</v>
      </c>
      <c r="B175" s="31" t="s">
        <v>4088</v>
      </c>
      <c r="C175" s="31" t="s">
        <v>4089</v>
      </c>
      <c r="D175" s="110">
        <v>44117</v>
      </c>
      <c r="E175" s="31" t="s">
        <v>30</v>
      </c>
      <c r="F175" s="31">
        <v>124</v>
      </c>
      <c r="G175" s="31">
        <v>60</v>
      </c>
      <c r="H175" s="31">
        <v>9</v>
      </c>
      <c r="I175" s="31">
        <v>5</v>
      </c>
      <c r="J175" s="31" t="s">
        <v>204</v>
      </c>
      <c r="K175" s="31" cm="1">
        <f t="array" ref="K175">INT(SUMPRODUCT(--ISNUMBER(SEARCH(economy,C175)))&gt;0)</f>
        <v>0</v>
      </c>
      <c r="L175" s="31" cm="1">
        <f t="array" ref="L175">INT(SUMPRODUCT(--ISNUMBER(SEARCH(healthcare,C175)))&gt;0)</f>
        <v>0</v>
      </c>
      <c r="M175" s="31" cm="1">
        <f t="array" ref="M175">INT(SUMPRODUCT(--ISNUMBER(SEARCH(supreme,C175)))&gt;0)</f>
        <v>0</v>
      </c>
      <c r="N175" s="31" cm="1">
        <f t="array" ref="N175">INT(SUMPRODUCT(--ISNUMBER(SEARCH(covid,C175)))&gt;0)</f>
        <v>0</v>
      </c>
      <c r="O175" s="31" cm="1">
        <f t="array" ref="O175">INT(SUMPRODUCT(--ISNUMBER(SEARCH(violent,C175)))&gt;0)</f>
        <v>0</v>
      </c>
      <c r="P175" s="31" cm="1">
        <f t="array" ref="P175">INT(SUMPRODUCT(--ISNUMBER(SEARCH(foreign,C175)))&gt;0)</f>
        <v>0</v>
      </c>
      <c r="Q175" s="31" cm="1">
        <f t="array" ref="Q175">INT(SUMPRODUCT(--ISNUMBER(SEARCH(gun,C175)))&gt;0)</f>
        <v>0</v>
      </c>
      <c r="R175" s="31" cm="1">
        <f t="array" ref="R175">INT(SUMPRODUCT(--ISNUMBER(SEARCH(race,C175)))&gt;0)</f>
        <v>0</v>
      </c>
      <c r="S175" s="31" cm="1">
        <f t="array" ref="S175">INT(SUMPRODUCT(--ISNUMBER(SEARCH(immigration,C175)))&gt;0)</f>
        <v>0</v>
      </c>
      <c r="T175" s="31" cm="1">
        <f t="array" ref="T175">INT(SUMPRODUCT(--ISNUMBER(SEARCH(econineq,C176)))&gt;0)</f>
        <v>0</v>
      </c>
      <c r="U175" s="31" cm="1">
        <f t="array" ref="U175">INT(SUMPRODUCT(--ISNUMBER(SEARCH(climate,C175)))&gt;0)</f>
        <v>0</v>
      </c>
      <c r="V175" s="31" cm="1">
        <f t="array" ref="V175">INT(SUMPRODUCT(--ISNUMBER(SEARCH(abortion,C175)))&gt;0)</f>
        <v>0</v>
      </c>
      <c r="W175" s="31" cm="1">
        <f t="array" ref="W175">INT(SUMPRODUCT(--ISNUMBER(SEARCH(trump,C175)))&gt;0)</f>
        <v>0</v>
      </c>
      <c r="X175" s="31" cm="1">
        <f t="array" ref="X175">INT(SUMPRODUCT(--ISNUMBER(SEARCH(voting,C175)))&gt;0)</f>
        <v>1</v>
      </c>
      <c r="Y175" s="31" cm="1">
        <f t="array" ref="Y175">INT(SUMPRODUCT(--ISNUMBER(SEARCH(democrattrigger,C175)))&gt;0)</f>
        <v>0</v>
      </c>
      <c r="Z175" s="31" cm="1">
        <f t="array" ref="Z175">INT(SUMPRODUCT(--ISNUMBER(SEARCH(bipartisan,C175)))&gt;0)</f>
        <v>0</v>
      </c>
      <c r="AA175" s="31">
        <f t="shared" si="2"/>
        <v>0</v>
      </c>
      <c r="AB175" s="31"/>
      <c r="AC175" s="111">
        <v>1</v>
      </c>
      <c r="AD175" s="112">
        <v>0</v>
      </c>
    </row>
    <row r="176" spans="1:30" x14ac:dyDescent="0.25">
      <c r="A176" s="109">
        <v>2032</v>
      </c>
      <c r="B176" s="31" t="s">
        <v>4090</v>
      </c>
      <c r="C176" s="31" t="s">
        <v>4091</v>
      </c>
      <c r="D176" s="110">
        <v>44117</v>
      </c>
      <c r="E176" s="31" t="s">
        <v>30</v>
      </c>
      <c r="F176" s="31">
        <v>198</v>
      </c>
      <c r="G176" s="31">
        <v>64</v>
      </c>
      <c r="H176" s="31">
        <v>9</v>
      </c>
      <c r="I176" s="31">
        <v>5</v>
      </c>
      <c r="J176" s="31" t="s">
        <v>204</v>
      </c>
      <c r="K176" s="31" cm="1">
        <f t="array" ref="K176">INT(SUMPRODUCT(--ISNUMBER(SEARCH(economy,C176)))&gt;0)</f>
        <v>0</v>
      </c>
      <c r="L176" s="31" cm="1">
        <f t="array" ref="L176">INT(SUMPRODUCT(--ISNUMBER(SEARCH(healthcare,C176)))&gt;0)</f>
        <v>0</v>
      </c>
      <c r="M176" s="31" cm="1">
        <f t="array" ref="M176">INT(SUMPRODUCT(--ISNUMBER(SEARCH(supreme,C176)))&gt;0)</f>
        <v>0</v>
      </c>
      <c r="N176" s="31" cm="1">
        <f t="array" ref="N176">INT(SUMPRODUCT(--ISNUMBER(SEARCH(covid,C176)))&gt;0)</f>
        <v>0</v>
      </c>
      <c r="O176" s="31" cm="1">
        <f t="array" ref="O176">INT(SUMPRODUCT(--ISNUMBER(SEARCH(violent,C176)))&gt;0)</f>
        <v>0</v>
      </c>
      <c r="P176" s="31" cm="1">
        <f t="array" ref="P176">INT(SUMPRODUCT(--ISNUMBER(SEARCH(foreign,C176)))&gt;0)</f>
        <v>0</v>
      </c>
      <c r="Q176" s="31" cm="1">
        <f t="array" ref="Q176">INT(SUMPRODUCT(--ISNUMBER(SEARCH(gun,C176)))&gt;0)</f>
        <v>0</v>
      </c>
      <c r="R176" s="31" cm="1">
        <f t="array" ref="R176">INT(SUMPRODUCT(--ISNUMBER(SEARCH(race,C176)))&gt;0)</f>
        <v>0</v>
      </c>
      <c r="S176" s="31" cm="1">
        <f t="array" ref="S176">INT(SUMPRODUCT(--ISNUMBER(SEARCH(immigration,C176)))&gt;0)</f>
        <v>0</v>
      </c>
      <c r="T176" s="31" cm="1">
        <f t="array" ref="T176">INT(SUMPRODUCT(--ISNUMBER(SEARCH(econineq,C177)))&gt;0)</f>
        <v>0</v>
      </c>
      <c r="U176" s="31" cm="1">
        <f t="array" ref="U176">INT(SUMPRODUCT(--ISNUMBER(SEARCH(climate,C176)))&gt;0)</f>
        <v>0</v>
      </c>
      <c r="V176" s="31" cm="1">
        <f t="array" ref="V176">INT(SUMPRODUCT(--ISNUMBER(SEARCH(abortion,C176)))&gt;0)</f>
        <v>0</v>
      </c>
      <c r="W176" s="31" cm="1">
        <f t="array" ref="W176">INT(SUMPRODUCT(--ISNUMBER(SEARCH(trump,C176)))&gt;0)</f>
        <v>0</v>
      </c>
      <c r="X176" s="31" cm="1">
        <f t="array" ref="X176">INT(SUMPRODUCT(--ISNUMBER(SEARCH(voting,C176)))&gt;0)</f>
        <v>0</v>
      </c>
      <c r="Y176" s="31" cm="1">
        <f t="array" ref="Y176">INT(SUMPRODUCT(--ISNUMBER(SEARCH(democrattrigger,C176)))&gt;0)</f>
        <v>0</v>
      </c>
      <c r="Z176" s="31" cm="1">
        <f t="array" ref="Z176">INT(SUMPRODUCT(--ISNUMBER(SEARCH(bipartisan,C176)))&gt;0)</f>
        <v>1</v>
      </c>
      <c r="AA176" s="31">
        <f t="shared" si="2"/>
        <v>0</v>
      </c>
      <c r="AB176" s="31"/>
      <c r="AC176" s="111">
        <v>0</v>
      </c>
      <c r="AD176" s="112">
        <v>1</v>
      </c>
    </row>
    <row r="177" spans="1:30" x14ac:dyDescent="0.25">
      <c r="A177" s="109">
        <v>2033</v>
      </c>
      <c r="B177" s="31" t="s">
        <v>4092</v>
      </c>
      <c r="C177" s="31" t="s">
        <v>4093</v>
      </c>
      <c r="D177" s="110">
        <v>44117</v>
      </c>
      <c r="E177" s="31" t="s">
        <v>30</v>
      </c>
      <c r="F177" s="31">
        <v>446</v>
      </c>
      <c r="G177" s="31">
        <v>121</v>
      </c>
      <c r="H177" s="31">
        <v>9</v>
      </c>
      <c r="I177" s="31">
        <v>5</v>
      </c>
      <c r="J177" s="31" t="s">
        <v>204</v>
      </c>
      <c r="K177" s="31" cm="1">
        <f t="array" ref="K177">INT(SUMPRODUCT(--ISNUMBER(SEARCH(economy,C177)))&gt;0)</f>
        <v>0</v>
      </c>
      <c r="L177" s="31" cm="1">
        <f t="array" ref="L177">INT(SUMPRODUCT(--ISNUMBER(SEARCH(healthcare,C177)))&gt;0)</f>
        <v>0</v>
      </c>
      <c r="M177" s="31" cm="1">
        <f t="array" ref="M177">INT(SUMPRODUCT(--ISNUMBER(SEARCH(supreme,C177)))&gt;0)</f>
        <v>0</v>
      </c>
      <c r="N177" s="31" cm="1">
        <f t="array" ref="N177">INT(SUMPRODUCT(--ISNUMBER(SEARCH(covid,C177)))&gt;0)</f>
        <v>0</v>
      </c>
      <c r="O177" s="31" cm="1">
        <f t="array" ref="O177">INT(SUMPRODUCT(--ISNUMBER(SEARCH(violent,C177)))&gt;0)</f>
        <v>0</v>
      </c>
      <c r="P177" s="31" cm="1">
        <f t="array" ref="P177">INT(SUMPRODUCT(--ISNUMBER(SEARCH(foreign,C177)))&gt;0)</f>
        <v>0</v>
      </c>
      <c r="Q177" s="31" cm="1">
        <f t="array" ref="Q177">INT(SUMPRODUCT(--ISNUMBER(SEARCH(gun,C177)))&gt;0)</f>
        <v>0</v>
      </c>
      <c r="R177" s="31" cm="1">
        <f t="array" ref="R177">INT(SUMPRODUCT(--ISNUMBER(SEARCH(race,C177)))&gt;0)</f>
        <v>0</v>
      </c>
      <c r="S177" s="31" cm="1">
        <f t="array" ref="S177">INT(SUMPRODUCT(--ISNUMBER(SEARCH(immigration,C177)))&gt;0)</f>
        <v>0</v>
      </c>
      <c r="T177" s="31" cm="1">
        <f t="array" ref="T177">INT(SUMPRODUCT(--ISNUMBER(SEARCH(econineq,C178)))&gt;0)</f>
        <v>0</v>
      </c>
      <c r="U177" s="31" cm="1">
        <f t="array" ref="U177">INT(SUMPRODUCT(--ISNUMBER(SEARCH(climate,C177)))&gt;0)</f>
        <v>0</v>
      </c>
      <c r="V177" s="31" cm="1">
        <f t="array" ref="V177">INT(SUMPRODUCT(--ISNUMBER(SEARCH(abortion,C177)))&gt;0)</f>
        <v>0</v>
      </c>
      <c r="W177" s="31" cm="1">
        <f t="array" ref="W177">INT(SUMPRODUCT(--ISNUMBER(SEARCH(trump,C177)))&gt;0)</f>
        <v>0</v>
      </c>
      <c r="X177" s="31" cm="1">
        <f t="array" ref="X177">INT(SUMPRODUCT(--ISNUMBER(SEARCH(voting,C177)))&gt;0)</f>
        <v>1</v>
      </c>
      <c r="Y177" s="31" cm="1">
        <f t="array" ref="Y177">INT(SUMPRODUCT(--ISNUMBER(SEARCH(democrattrigger,C177)))&gt;0)</f>
        <v>0</v>
      </c>
      <c r="Z177" s="31" cm="1">
        <f t="array" ref="Z177">INT(SUMPRODUCT(--ISNUMBER(SEARCH(bipartisan,C177)))&gt;0)</f>
        <v>0</v>
      </c>
      <c r="AA177" s="31">
        <f t="shared" si="2"/>
        <v>0</v>
      </c>
      <c r="AB177" s="31"/>
      <c r="AC177" s="111">
        <v>1</v>
      </c>
      <c r="AD177" s="112">
        <v>0</v>
      </c>
    </row>
    <row r="178" spans="1:30" x14ac:dyDescent="0.25">
      <c r="A178" s="109">
        <v>2034</v>
      </c>
      <c r="B178" s="31" t="s">
        <v>4094</v>
      </c>
      <c r="C178" s="31" t="s">
        <v>4095</v>
      </c>
      <c r="D178" s="110">
        <v>44117</v>
      </c>
      <c r="E178" s="31" t="s">
        <v>30</v>
      </c>
      <c r="F178" s="31">
        <v>425</v>
      </c>
      <c r="G178" s="31">
        <v>147</v>
      </c>
      <c r="H178" s="31">
        <v>9</v>
      </c>
      <c r="I178" s="31">
        <v>5</v>
      </c>
      <c r="J178" s="31" t="s">
        <v>204</v>
      </c>
      <c r="K178" s="31" cm="1">
        <f t="array" ref="K178">INT(SUMPRODUCT(--ISNUMBER(SEARCH(economy,C178)))&gt;0)</f>
        <v>1</v>
      </c>
      <c r="L178" s="31" cm="1">
        <f t="array" ref="L178">INT(SUMPRODUCT(--ISNUMBER(SEARCH(healthcare,C178)))&gt;0)</f>
        <v>1</v>
      </c>
      <c r="M178" s="31" cm="1">
        <f t="array" ref="M178">INT(SUMPRODUCT(--ISNUMBER(SEARCH(supreme,C178)))&gt;0)</f>
        <v>0</v>
      </c>
      <c r="N178" s="31" cm="1">
        <f t="array" ref="N178">INT(SUMPRODUCT(--ISNUMBER(SEARCH(covid,C178)))&gt;0)</f>
        <v>0</v>
      </c>
      <c r="O178" s="31" cm="1">
        <f t="array" ref="O178">INT(SUMPRODUCT(--ISNUMBER(SEARCH(violent,C178)))&gt;0)</f>
        <v>0</v>
      </c>
      <c r="P178" s="31" cm="1">
        <f t="array" ref="P178">INT(SUMPRODUCT(--ISNUMBER(SEARCH(foreign,C178)))&gt;0)</f>
        <v>0</v>
      </c>
      <c r="Q178" s="31" cm="1">
        <f t="array" ref="Q178">INT(SUMPRODUCT(--ISNUMBER(SEARCH(gun,C178)))&gt;0)</f>
        <v>0</v>
      </c>
      <c r="R178" s="31" cm="1">
        <f t="array" ref="R178">INT(SUMPRODUCT(--ISNUMBER(SEARCH(race,C178)))&gt;0)</f>
        <v>0</v>
      </c>
      <c r="S178" s="31" cm="1">
        <f t="array" ref="S178">INT(SUMPRODUCT(--ISNUMBER(SEARCH(immigration,C178)))&gt;0)</f>
        <v>0</v>
      </c>
      <c r="T178" s="31" cm="1">
        <f t="array" ref="T178">INT(SUMPRODUCT(--ISNUMBER(SEARCH(econineq,C179)))&gt;0)</f>
        <v>0</v>
      </c>
      <c r="U178" s="31" cm="1">
        <f t="array" ref="U178">INT(SUMPRODUCT(--ISNUMBER(SEARCH(climate,C178)))&gt;0)</f>
        <v>0</v>
      </c>
      <c r="V178" s="31" cm="1">
        <f t="array" ref="V178">INT(SUMPRODUCT(--ISNUMBER(SEARCH(abortion,C178)))&gt;0)</f>
        <v>0</v>
      </c>
      <c r="W178" s="31" cm="1">
        <f t="array" ref="W178">INT(SUMPRODUCT(--ISNUMBER(SEARCH(trump,C178)))&gt;0)</f>
        <v>0</v>
      </c>
      <c r="X178" s="31" cm="1">
        <f t="array" ref="X178">INT(SUMPRODUCT(--ISNUMBER(SEARCH(voting,C178)))&gt;0)</f>
        <v>0</v>
      </c>
      <c r="Y178" s="31" cm="1">
        <f t="array" ref="Y178">INT(SUMPRODUCT(--ISNUMBER(SEARCH(democrattrigger,C178)))&gt;0)</f>
        <v>0</v>
      </c>
      <c r="Z178" s="31" cm="1">
        <f t="array" ref="Z178">INT(SUMPRODUCT(--ISNUMBER(SEARCH(bipartisan,C178)))&gt;0)</f>
        <v>0</v>
      </c>
      <c r="AA178" s="31">
        <f t="shared" si="2"/>
        <v>0</v>
      </c>
      <c r="AB178" s="31"/>
      <c r="AC178" s="111">
        <v>1</v>
      </c>
      <c r="AD178" s="112">
        <v>1</v>
      </c>
    </row>
    <row r="179" spans="1:30" x14ac:dyDescent="0.25">
      <c r="A179" s="109">
        <v>2035</v>
      </c>
      <c r="B179" s="31" t="s">
        <v>4096</v>
      </c>
      <c r="C179" s="31" t="s">
        <v>4097</v>
      </c>
      <c r="D179" s="110">
        <v>44117</v>
      </c>
      <c r="E179" s="31" t="s">
        <v>30</v>
      </c>
      <c r="F179" s="31">
        <v>161</v>
      </c>
      <c r="G179" s="31">
        <v>78</v>
      </c>
      <c r="H179" s="31">
        <v>9</v>
      </c>
      <c r="I179" s="31">
        <v>5</v>
      </c>
      <c r="J179" s="31" t="s">
        <v>204</v>
      </c>
      <c r="K179" s="31" cm="1">
        <f t="array" ref="K179">INT(SUMPRODUCT(--ISNUMBER(SEARCH(economy,C179)))&gt;0)</f>
        <v>0</v>
      </c>
      <c r="L179" s="31" cm="1">
        <f t="array" ref="L179">INT(SUMPRODUCT(--ISNUMBER(SEARCH(healthcare,C179)))&gt;0)</f>
        <v>0</v>
      </c>
      <c r="M179" s="31" cm="1">
        <f t="array" ref="M179">INT(SUMPRODUCT(--ISNUMBER(SEARCH(supreme,C179)))&gt;0)</f>
        <v>0</v>
      </c>
      <c r="N179" s="31" cm="1">
        <f t="array" ref="N179">INT(SUMPRODUCT(--ISNUMBER(SEARCH(covid,C179)))&gt;0)</f>
        <v>0</v>
      </c>
      <c r="O179" s="31" cm="1">
        <f t="array" ref="O179">INT(SUMPRODUCT(--ISNUMBER(SEARCH(violent,C179)))&gt;0)</f>
        <v>0</v>
      </c>
      <c r="P179" s="31" cm="1">
        <f t="array" ref="P179">INT(SUMPRODUCT(--ISNUMBER(SEARCH(foreign,C179)))&gt;0)</f>
        <v>0</v>
      </c>
      <c r="Q179" s="31" cm="1">
        <f t="array" ref="Q179">INT(SUMPRODUCT(--ISNUMBER(SEARCH(gun,C179)))&gt;0)</f>
        <v>0</v>
      </c>
      <c r="R179" s="31" cm="1">
        <f t="array" ref="R179">INT(SUMPRODUCT(--ISNUMBER(SEARCH(race,C179)))&gt;0)</f>
        <v>0</v>
      </c>
      <c r="S179" s="31" cm="1">
        <f t="array" ref="S179">INT(SUMPRODUCT(--ISNUMBER(SEARCH(immigration,C179)))&gt;0)</f>
        <v>0</v>
      </c>
      <c r="T179" s="31" cm="1">
        <f t="array" ref="T179">INT(SUMPRODUCT(--ISNUMBER(SEARCH(econineq,C180)))&gt;0)</f>
        <v>0</v>
      </c>
      <c r="U179" s="31" cm="1">
        <f t="array" ref="U179">INT(SUMPRODUCT(--ISNUMBER(SEARCH(climate,C179)))&gt;0)</f>
        <v>0</v>
      </c>
      <c r="V179" s="31" cm="1">
        <f t="array" ref="V179">INT(SUMPRODUCT(--ISNUMBER(SEARCH(abortion,C179)))&gt;0)</f>
        <v>0</v>
      </c>
      <c r="W179" s="31" cm="1">
        <f t="array" ref="W179">INT(SUMPRODUCT(--ISNUMBER(SEARCH(trump,C179)))&gt;0)</f>
        <v>0</v>
      </c>
      <c r="X179" s="31" cm="1">
        <f t="array" ref="X179">INT(SUMPRODUCT(--ISNUMBER(SEARCH(voting,C179)))&gt;0)</f>
        <v>1</v>
      </c>
      <c r="Y179" s="31" cm="1">
        <f t="array" ref="Y179">INT(SUMPRODUCT(--ISNUMBER(SEARCH(democrattrigger,C179)))&gt;0)</f>
        <v>0</v>
      </c>
      <c r="Z179" s="31" cm="1">
        <f t="array" ref="Z179">INT(SUMPRODUCT(--ISNUMBER(SEARCH(bipartisan,C179)))&gt;0)</f>
        <v>0</v>
      </c>
      <c r="AA179" s="31">
        <f t="shared" si="2"/>
        <v>0</v>
      </c>
      <c r="AB179" s="31"/>
      <c r="AC179" s="111">
        <v>0</v>
      </c>
      <c r="AD179" s="112">
        <v>0</v>
      </c>
    </row>
    <row r="180" spans="1:30" x14ac:dyDescent="0.25">
      <c r="A180" s="109">
        <v>2036</v>
      </c>
      <c r="B180" s="31" t="s">
        <v>4098</v>
      </c>
      <c r="C180" s="31" t="s">
        <v>4099</v>
      </c>
      <c r="D180" s="110">
        <v>44117</v>
      </c>
      <c r="E180" s="31" t="s">
        <v>30</v>
      </c>
      <c r="F180" s="31">
        <v>266</v>
      </c>
      <c r="G180" s="31">
        <v>154</v>
      </c>
      <c r="H180" s="31">
        <v>9</v>
      </c>
      <c r="I180" s="31">
        <v>5</v>
      </c>
      <c r="J180" s="31" t="s">
        <v>204</v>
      </c>
      <c r="K180" s="31" cm="1">
        <f t="array" ref="K180">INT(SUMPRODUCT(--ISNUMBER(SEARCH(economy,C180)))&gt;0)</f>
        <v>0</v>
      </c>
      <c r="L180" s="31" cm="1">
        <f t="array" ref="L180">INT(SUMPRODUCT(--ISNUMBER(SEARCH(healthcare,C180)))&gt;0)</f>
        <v>0</v>
      </c>
      <c r="M180" s="31" cm="1">
        <f t="array" ref="M180">INT(SUMPRODUCT(--ISNUMBER(SEARCH(supreme,C180)))&gt;0)</f>
        <v>0</v>
      </c>
      <c r="N180" s="31" cm="1">
        <f t="array" ref="N180">INT(SUMPRODUCT(--ISNUMBER(SEARCH(covid,C180)))&gt;0)</f>
        <v>0</v>
      </c>
      <c r="O180" s="31" cm="1">
        <f t="array" ref="O180">INT(SUMPRODUCT(--ISNUMBER(SEARCH(violent,C180)))&gt;0)</f>
        <v>0</v>
      </c>
      <c r="P180" s="31" cm="1">
        <f t="array" ref="P180">INT(SUMPRODUCT(--ISNUMBER(SEARCH(foreign,C180)))&gt;0)</f>
        <v>0</v>
      </c>
      <c r="Q180" s="31" cm="1">
        <f t="array" ref="Q180">INT(SUMPRODUCT(--ISNUMBER(SEARCH(gun,C180)))&gt;0)</f>
        <v>0</v>
      </c>
      <c r="R180" s="31" cm="1">
        <f t="array" ref="R180">INT(SUMPRODUCT(--ISNUMBER(SEARCH(race,C180)))&gt;0)</f>
        <v>0</v>
      </c>
      <c r="S180" s="31" cm="1">
        <f t="array" ref="S180">INT(SUMPRODUCT(--ISNUMBER(SEARCH(immigration,C180)))&gt;0)</f>
        <v>0</v>
      </c>
      <c r="T180" s="31" cm="1">
        <f t="array" ref="T180">INT(SUMPRODUCT(--ISNUMBER(SEARCH(econineq,C181)))&gt;0)</f>
        <v>0</v>
      </c>
      <c r="U180" s="31" cm="1">
        <f t="array" ref="U180">INT(SUMPRODUCT(--ISNUMBER(SEARCH(climate,C180)))&gt;0)</f>
        <v>0</v>
      </c>
      <c r="V180" s="31" cm="1">
        <f t="array" ref="V180">INT(SUMPRODUCT(--ISNUMBER(SEARCH(abortion,C180)))&gt;0)</f>
        <v>0</v>
      </c>
      <c r="W180" s="31" cm="1">
        <f t="array" ref="W180">INT(SUMPRODUCT(--ISNUMBER(SEARCH(trump,C180)))&gt;0)</f>
        <v>0</v>
      </c>
      <c r="X180" s="31" cm="1">
        <f t="array" ref="X180">INT(SUMPRODUCT(--ISNUMBER(SEARCH(voting,C180)))&gt;0)</f>
        <v>1</v>
      </c>
      <c r="Y180" s="31" cm="1">
        <f t="array" ref="Y180">INT(SUMPRODUCT(--ISNUMBER(SEARCH(democrattrigger,C180)))&gt;0)</f>
        <v>0</v>
      </c>
      <c r="Z180" s="31" cm="1">
        <f t="array" ref="Z180">INT(SUMPRODUCT(--ISNUMBER(SEARCH(bipartisan,C180)))&gt;0)</f>
        <v>0</v>
      </c>
      <c r="AA180" s="31">
        <f t="shared" si="2"/>
        <v>0</v>
      </c>
      <c r="AB180" s="31"/>
      <c r="AC180" s="111">
        <v>0</v>
      </c>
      <c r="AD180" s="112">
        <v>0</v>
      </c>
    </row>
    <row r="181" spans="1:30" x14ac:dyDescent="0.25">
      <c r="A181" s="109">
        <v>2037</v>
      </c>
      <c r="B181" s="31" t="s">
        <v>4100</v>
      </c>
      <c r="C181" s="31" t="s">
        <v>4101</v>
      </c>
      <c r="D181" s="110">
        <v>44117</v>
      </c>
      <c r="E181" s="31" t="s">
        <v>30</v>
      </c>
      <c r="F181" s="31">
        <v>1027</v>
      </c>
      <c r="G181" s="31">
        <v>347</v>
      </c>
      <c r="H181" s="31">
        <v>9</v>
      </c>
      <c r="I181" s="31">
        <v>5</v>
      </c>
      <c r="J181" s="31" t="s">
        <v>204</v>
      </c>
      <c r="K181" s="31" cm="1">
        <f t="array" ref="K181">INT(SUMPRODUCT(--ISNUMBER(SEARCH(economy,C181)))&gt;0)</f>
        <v>0</v>
      </c>
      <c r="L181" s="31" cm="1">
        <f t="array" ref="L181">INT(SUMPRODUCT(--ISNUMBER(SEARCH(healthcare,C181)))&gt;0)</f>
        <v>0</v>
      </c>
      <c r="M181" s="31" cm="1">
        <f t="array" ref="M181">INT(SUMPRODUCT(--ISNUMBER(SEARCH(supreme,C181)))&gt;0)</f>
        <v>0</v>
      </c>
      <c r="N181" s="31" cm="1">
        <f t="array" ref="N181">INT(SUMPRODUCT(--ISNUMBER(SEARCH(covid,C181)))&gt;0)</f>
        <v>0</v>
      </c>
      <c r="O181" s="31" cm="1">
        <f t="array" ref="O181">INT(SUMPRODUCT(--ISNUMBER(SEARCH(violent,C181)))&gt;0)</f>
        <v>0</v>
      </c>
      <c r="P181" s="31" cm="1">
        <f t="array" ref="P181">INT(SUMPRODUCT(--ISNUMBER(SEARCH(foreign,C181)))&gt;0)</f>
        <v>0</v>
      </c>
      <c r="Q181" s="31" cm="1">
        <f t="array" ref="Q181">INT(SUMPRODUCT(--ISNUMBER(SEARCH(gun,C181)))&gt;0)</f>
        <v>0</v>
      </c>
      <c r="R181" s="31" cm="1">
        <f t="array" ref="R181">INT(SUMPRODUCT(--ISNUMBER(SEARCH(race,C181)))&gt;0)</f>
        <v>0</v>
      </c>
      <c r="S181" s="31" cm="1">
        <f t="array" ref="S181">INT(SUMPRODUCT(--ISNUMBER(SEARCH(immigration,C181)))&gt;0)</f>
        <v>0</v>
      </c>
      <c r="T181" s="31" cm="1">
        <f t="array" ref="T181">INT(SUMPRODUCT(--ISNUMBER(SEARCH(econineq,C182)))&gt;0)</f>
        <v>0</v>
      </c>
      <c r="U181" s="31" cm="1">
        <f t="array" ref="U181">INT(SUMPRODUCT(--ISNUMBER(SEARCH(climate,C181)))&gt;0)</f>
        <v>0</v>
      </c>
      <c r="V181" s="31" cm="1">
        <f t="array" ref="V181">INT(SUMPRODUCT(--ISNUMBER(SEARCH(abortion,C181)))&gt;0)</f>
        <v>0</v>
      </c>
      <c r="W181" s="31" cm="1">
        <f t="array" ref="W181">INT(SUMPRODUCT(--ISNUMBER(SEARCH(trump,C181)))&gt;0)</f>
        <v>0</v>
      </c>
      <c r="X181" s="31" cm="1">
        <f t="array" ref="X181">INT(SUMPRODUCT(--ISNUMBER(SEARCH(voting,C181)))&gt;0)</f>
        <v>0</v>
      </c>
      <c r="Y181" s="31" cm="1">
        <f t="array" ref="Y181">INT(SUMPRODUCT(--ISNUMBER(SEARCH(democrattrigger,C181)))&gt;0)</f>
        <v>0</v>
      </c>
      <c r="Z181" s="31" cm="1">
        <f t="array" ref="Z181">INT(SUMPRODUCT(--ISNUMBER(SEARCH(bipartisan,C181)))&gt;0)</f>
        <v>0</v>
      </c>
      <c r="AA181" s="31">
        <f t="shared" si="2"/>
        <v>1</v>
      </c>
      <c r="AB181" s="31"/>
      <c r="AC181" s="111">
        <v>0</v>
      </c>
      <c r="AD181" s="112">
        <v>0</v>
      </c>
    </row>
    <row r="182" spans="1:30" x14ac:dyDescent="0.25">
      <c r="A182" s="109">
        <v>2038</v>
      </c>
      <c r="B182" s="31" t="s">
        <v>4102</v>
      </c>
      <c r="C182" s="31" t="s">
        <v>4103</v>
      </c>
      <c r="D182" s="110">
        <v>44117</v>
      </c>
      <c r="E182" s="31" t="s">
        <v>30</v>
      </c>
      <c r="F182" s="31">
        <v>221</v>
      </c>
      <c r="G182" s="31">
        <v>107</v>
      </c>
      <c r="H182" s="31">
        <v>9</v>
      </c>
      <c r="I182" s="31">
        <v>5</v>
      </c>
      <c r="J182" s="31" t="s">
        <v>204</v>
      </c>
      <c r="K182" s="31" cm="1">
        <f t="array" ref="K182">INT(SUMPRODUCT(--ISNUMBER(SEARCH(economy,C182)))&gt;0)</f>
        <v>0</v>
      </c>
      <c r="L182" s="31" cm="1">
        <f t="array" ref="L182">INT(SUMPRODUCT(--ISNUMBER(SEARCH(healthcare,C182)))&gt;0)</f>
        <v>0</v>
      </c>
      <c r="M182" s="31" cm="1">
        <f t="array" ref="M182">INT(SUMPRODUCT(--ISNUMBER(SEARCH(supreme,C182)))&gt;0)</f>
        <v>0</v>
      </c>
      <c r="N182" s="31" cm="1">
        <f t="array" ref="N182">INT(SUMPRODUCT(--ISNUMBER(SEARCH(covid,C182)))&gt;0)</f>
        <v>0</v>
      </c>
      <c r="O182" s="31" cm="1">
        <f t="array" ref="O182">INT(SUMPRODUCT(--ISNUMBER(SEARCH(violent,C182)))&gt;0)</f>
        <v>0</v>
      </c>
      <c r="P182" s="31" cm="1">
        <f t="array" ref="P182">INT(SUMPRODUCT(--ISNUMBER(SEARCH(foreign,C182)))&gt;0)</f>
        <v>0</v>
      </c>
      <c r="Q182" s="31" cm="1">
        <f t="array" ref="Q182">INT(SUMPRODUCT(--ISNUMBER(SEARCH(gun,C182)))&gt;0)</f>
        <v>0</v>
      </c>
      <c r="R182" s="31" cm="1">
        <f t="array" ref="R182">INT(SUMPRODUCT(--ISNUMBER(SEARCH(race,C182)))&gt;0)</f>
        <v>0</v>
      </c>
      <c r="S182" s="31" cm="1">
        <f t="array" ref="S182">INT(SUMPRODUCT(--ISNUMBER(SEARCH(immigration,C182)))&gt;0)</f>
        <v>0</v>
      </c>
      <c r="T182" s="31" cm="1">
        <f t="array" ref="T182">INT(SUMPRODUCT(--ISNUMBER(SEARCH(econineq,C183)))&gt;0)</f>
        <v>0</v>
      </c>
      <c r="U182" s="31" cm="1">
        <f t="array" ref="U182">INT(SUMPRODUCT(--ISNUMBER(SEARCH(climate,C182)))&gt;0)</f>
        <v>0</v>
      </c>
      <c r="V182" s="31" cm="1">
        <f t="array" ref="V182">INT(SUMPRODUCT(--ISNUMBER(SEARCH(abortion,C182)))&gt;0)</f>
        <v>0</v>
      </c>
      <c r="W182" s="31" cm="1">
        <f t="array" ref="W182">INT(SUMPRODUCT(--ISNUMBER(SEARCH(trump,C182)))&gt;0)</f>
        <v>0</v>
      </c>
      <c r="X182" s="31" cm="1">
        <f t="array" ref="X182">INT(SUMPRODUCT(--ISNUMBER(SEARCH(voting,C182)))&gt;0)</f>
        <v>1</v>
      </c>
      <c r="Y182" s="31" cm="1">
        <f t="array" ref="Y182">INT(SUMPRODUCT(--ISNUMBER(SEARCH(democrattrigger,C182)))&gt;0)</f>
        <v>0</v>
      </c>
      <c r="Z182" s="31" cm="1">
        <f t="array" ref="Z182">INT(SUMPRODUCT(--ISNUMBER(SEARCH(bipartisan,C182)))&gt;0)</f>
        <v>0</v>
      </c>
      <c r="AA182" s="31">
        <f t="shared" si="2"/>
        <v>0</v>
      </c>
      <c r="AB182" s="31"/>
      <c r="AC182" s="111">
        <v>1</v>
      </c>
      <c r="AD182" s="112">
        <v>0</v>
      </c>
    </row>
    <row r="183" spans="1:30" x14ac:dyDescent="0.25">
      <c r="A183" s="109">
        <v>2039</v>
      </c>
      <c r="B183" s="31" t="s">
        <v>4104</v>
      </c>
      <c r="C183" s="31" t="s">
        <v>4105</v>
      </c>
      <c r="D183" s="110">
        <v>44116</v>
      </c>
      <c r="E183" s="31" t="s">
        <v>30</v>
      </c>
      <c r="F183" s="31">
        <v>4964</v>
      </c>
      <c r="G183" s="31">
        <v>2712</v>
      </c>
      <c r="H183" s="31">
        <v>9</v>
      </c>
      <c r="I183" s="31">
        <v>5</v>
      </c>
      <c r="J183" s="31" t="s">
        <v>204</v>
      </c>
      <c r="K183" s="31" cm="1">
        <f t="array" ref="K183">INT(SUMPRODUCT(--ISNUMBER(SEARCH(economy,C183)))&gt;0)</f>
        <v>0</v>
      </c>
      <c r="L183" s="31" cm="1">
        <f t="array" ref="L183">INT(SUMPRODUCT(--ISNUMBER(SEARCH(healthcare,C183)))&gt;0)</f>
        <v>0</v>
      </c>
      <c r="M183" s="31" cm="1">
        <f t="array" ref="M183">INT(SUMPRODUCT(--ISNUMBER(SEARCH(supreme,C183)))&gt;0)</f>
        <v>0</v>
      </c>
      <c r="N183" s="31" cm="1">
        <f t="array" ref="N183">INT(SUMPRODUCT(--ISNUMBER(SEARCH(covid,C183)))&gt;0)</f>
        <v>0</v>
      </c>
      <c r="O183" s="31" cm="1">
        <f t="array" ref="O183">INT(SUMPRODUCT(--ISNUMBER(SEARCH(violent,C183)))&gt;0)</f>
        <v>0</v>
      </c>
      <c r="P183" s="31" cm="1">
        <f t="array" ref="P183">INT(SUMPRODUCT(--ISNUMBER(SEARCH(foreign,C183)))&gt;0)</f>
        <v>0</v>
      </c>
      <c r="Q183" s="31" cm="1">
        <f t="array" ref="Q183">INT(SUMPRODUCT(--ISNUMBER(SEARCH(gun,C183)))&gt;0)</f>
        <v>0</v>
      </c>
      <c r="R183" s="31" cm="1">
        <f t="array" ref="R183">INT(SUMPRODUCT(--ISNUMBER(SEARCH(race,C183)))&gt;0)</f>
        <v>0</v>
      </c>
      <c r="S183" s="31" cm="1">
        <f t="array" ref="S183">INT(SUMPRODUCT(--ISNUMBER(SEARCH(immigration,C183)))&gt;0)</f>
        <v>0</v>
      </c>
      <c r="T183" s="31" cm="1">
        <f t="array" ref="T183">INT(SUMPRODUCT(--ISNUMBER(SEARCH(econineq,C184)))&gt;0)</f>
        <v>0</v>
      </c>
      <c r="U183" s="31" cm="1">
        <f t="array" ref="U183">INT(SUMPRODUCT(--ISNUMBER(SEARCH(climate,C183)))&gt;0)</f>
        <v>0</v>
      </c>
      <c r="V183" s="31" cm="1">
        <f t="array" ref="V183">INT(SUMPRODUCT(--ISNUMBER(SEARCH(abortion,C183)))&gt;0)</f>
        <v>0</v>
      </c>
      <c r="W183" s="31" cm="1">
        <f t="array" ref="W183">INT(SUMPRODUCT(--ISNUMBER(SEARCH(trump,C183)))&gt;0)</f>
        <v>0</v>
      </c>
      <c r="X183" s="31" cm="1">
        <f t="array" ref="X183">INT(SUMPRODUCT(--ISNUMBER(SEARCH(voting,C183)))&gt;0)</f>
        <v>0</v>
      </c>
      <c r="Y183" s="31" cm="1">
        <f t="array" ref="Y183">INT(SUMPRODUCT(--ISNUMBER(SEARCH(democrattrigger,C183)))&gt;0)</f>
        <v>1</v>
      </c>
      <c r="Z183" s="31" cm="1">
        <f t="array" ref="Z183">INT(SUMPRODUCT(--ISNUMBER(SEARCH(bipartisan,C183)))&gt;0)</f>
        <v>0</v>
      </c>
      <c r="AA183" s="31">
        <f t="shared" si="2"/>
        <v>0</v>
      </c>
      <c r="AB183" s="31"/>
      <c r="AC183" s="111">
        <v>0</v>
      </c>
      <c r="AD183" s="112">
        <v>0</v>
      </c>
    </row>
    <row r="184" spans="1:30" x14ac:dyDescent="0.25">
      <c r="A184" s="109">
        <v>2040</v>
      </c>
      <c r="B184" s="31" t="s">
        <v>4106</v>
      </c>
      <c r="C184" s="31" t="s">
        <v>4107</v>
      </c>
      <c r="D184" s="110">
        <v>44116</v>
      </c>
      <c r="E184" s="31" t="s">
        <v>30</v>
      </c>
      <c r="F184" s="31">
        <v>5939</v>
      </c>
      <c r="G184" s="31">
        <v>2257</v>
      </c>
      <c r="H184" s="31">
        <v>9</v>
      </c>
      <c r="I184" s="31">
        <v>5</v>
      </c>
      <c r="J184" s="31" t="s">
        <v>204</v>
      </c>
      <c r="K184" s="31" cm="1">
        <f t="array" ref="K184">INT(SUMPRODUCT(--ISNUMBER(SEARCH(economy,C184)))&gt;0)</f>
        <v>0</v>
      </c>
      <c r="L184" s="31" cm="1">
        <f t="array" ref="L184">INT(SUMPRODUCT(--ISNUMBER(SEARCH(healthcare,C184)))&gt;0)</f>
        <v>0</v>
      </c>
      <c r="M184" s="31" cm="1">
        <f t="array" ref="M184">INT(SUMPRODUCT(--ISNUMBER(SEARCH(supreme,C184)))&gt;0)</f>
        <v>0</v>
      </c>
      <c r="N184" s="31" cm="1">
        <f t="array" ref="N184">INT(SUMPRODUCT(--ISNUMBER(SEARCH(covid,C184)))&gt;0)</f>
        <v>0</v>
      </c>
      <c r="O184" s="31" cm="1">
        <f t="array" ref="O184">INT(SUMPRODUCT(--ISNUMBER(SEARCH(violent,C184)))&gt;0)</f>
        <v>0</v>
      </c>
      <c r="P184" s="31" cm="1">
        <f t="array" ref="P184">INT(SUMPRODUCT(--ISNUMBER(SEARCH(foreign,C184)))&gt;0)</f>
        <v>0</v>
      </c>
      <c r="Q184" s="31" cm="1">
        <f t="array" ref="Q184">INT(SUMPRODUCT(--ISNUMBER(SEARCH(gun,C184)))&gt;0)</f>
        <v>0</v>
      </c>
      <c r="R184" s="31" cm="1">
        <f t="array" ref="R184">INT(SUMPRODUCT(--ISNUMBER(SEARCH(race,C184)))&gt;0)</f>
        <v>0</v>
      </c>
      <c r="S184" s="31" cm="1">
        <f t="array" ref="S184">INT(SUMPRODUCT(--ISNUMBER(SEARCH(immigration,C184)))&gt;0)</f>
        <v>0</v>
      </c>
      <c r="T184" s="31" cm="1">
        <f t="array" ref="T184">INT(SUMPRODUCT(--ISNUMBER(SEARCH(econineq,C185)))&gt;0)</f>
        <v>0</v>
      </c>
      <c r="U184" s="31" cm="1">
        <f t="array" ref="U184">INT(SUMPRODUCT(--ISNUMBER(SEARCH(climate,C184)))&gt;0)</f>
        <v>0</v>
      </c>
      <c r="V184" s="31" cm="1">
        <f t="array" ref="V184">INT(SUMPRODUCT(--ISNUMBER(SEARCH(abortion,C184)))&gt;0)</f>
        <v>0</v>
      </c>
      <c r="W184" s="31" cm="1">
        <f t="array" ref="W184">INT(SUMPRODUCT(--ISNUMBER(SEARCH(trump,C184)))&gt;0)</f>
        <v>0</v>
      </c>
      <c r="X184" s="31" cm="1">
        <f t="array" ref="X184">INT(SUMPRODUCT(--ISNUMBER(SEARCH(voting,C184)))&gt;0)</f>
        <v>0</v>
      </c>
      <c r="Y184" s="31" cm="1">
        <f t="array" ref="Y184">INT(SUMPRODUCT(--ISNUMBER(SEARCH(democrattrigger,C184)))&gt;0)</f>
        <v>0</v>
      </c>
      <c r="Z184" s="31" cm="1">
        <f t="array" ref="Z184">INT(SUMPRODUCT(--ISNUMBER(SEARCH(bipartisan,C184)))&gt;0)</f>
        <v>0</v>
      </c>
      <c r="AA184" s="31">
        <f t="shared" si="2"/>
        <v>1</v>
      </c>
      <c r="AB184" s="31"/>
      <c r="AC184" s="111">
        <v>0</v>
      </c>
      <c r="AD184" s="112">
        <v>0</v>
      </c>
    </row>
    <row r="185" spans="1:30" x14ac:dyDescent="0.25">
      <c r="A185" s="109">
        <v>2041</v>
      </c>
      <c r="B185" s="31" t="s">
        <v>4108</v>
      </c>
      <c r="C185" s="31" t="s">
        <v>4109</v>
      </c>
      <c r="D185" s="110">
        <v>44116</v>
      </c>
      <c r="E185" s="31" t="s">
        <v>70</v>
      </c>
      <c r="F185" s="31">
        <v>105</v>
      </c>
      <c r="G185" s="31">
        <v>16</v>
      </c>
      <c r="H185" s="31">
        <v>9</v>
      </c>
      <c r="I185" s="31">
        <v>5</v>
      </c>
      <c r="J185" s="31" t="s">
        <v>204</v>
      </c>
      <c r="K185" s="31" cm="1">
        <f t="array" ref="K185">INT(SUMPRODUCT(--ISNUMBER(SEARCH(economy,C185)))&gt;0)</f>
        <v>0</v>
      </c>
      <c r="L185" s="31" cm="1">
        <f t="array" ref="L185">INT(SUMPRODUCT(--ISNUMBER(SEARCH(healthcare,C185)))&gt;0)</f>
        <v>0</v>
      </c>
      <c r="M185" s="31" cm="1">
        <f t="array" ref="M185">INT(SUMPRODUCT(--ISNUMBER(SEARCH(supreme,C185)))&gt;0)</f>
        <v>0</v>
      </c>
      <c r="N185" s="31" cm="1">
        <f t="array" ref="N185">INT(SUMPRODUCT(--ISNUMBER(SEARCH(covid,C185)))&gt;0)</f>
        <v>0</v>
      </c>
      <c r="O185" s="31" cm="1">
        <f t="array" ref="O185">INT(SUMPRODUCT(--ISNUMBER(SEARCH(violent,C185)))&gt;0)</f>
        <v>0</v>
      </c>
      <c r="P185" s="31" cm="1">
        <f t="array" ref="P185">INT(SUMPRODUCT(--ISNUMBER(SEARCH(foreign,C185)))&gt;0)</f>
        <v>0</v>
      </c>
      <c r="Q185" s="31" cm="1">
        <f t="array" ref="Q185">INT(SUMPRODUCT(--ISNUMBER(SEARCH(gun,C185)))&gt;0)</f>
        <v>0</v>
      </c>
      <c r="R185" s="31" cm="1">
        <f t="array" ref="R185">INT(SUMPRODUCT(--ISNUMBER(SEARCH(race,C185)))&gt;0)</f>
        <v>0</v>
      </c>
      <c r="S185" s="31" cm="1">
        <f t="array" ref="S185">INT(SUMPRODUCT(--ISNUMBER(SEARCH(immigration,C185)))&gt;0)</f>
        <v>0</v>
      </c>
      <c r="T185" s="31" cm="1">
        <f t="array" ref="T185">INT(SUMPRODUCT(--ISNUMBER(SEARCH(econineq,C186)))&gt;0)</f>
        <v>0</v>
      </c>
      <c r="U185" s="31" cm="1">
        <f t="array" ref="U185">INT(SUMPRODUCT(--ISNUMBER(SEARCH(climate,C185)))&gt;0)</f>
        <v>0</v>
      </c>
      <c r="V185" s="31" cm="1">
        <f t="array" ref="V185">INT(SUMPRODUCT(--ISNUMBER(SEARCH(abortion,C185)))&gt;0)</f>
        <v>0</v>
      </c>
      <c r="W185" s="31" cm="1">
        <f t="array" ref="W185">INT(SUMPRODUCT(--ISNUMBER(SEARCH(trump,C185)))&gt;0)</f>
        <v>0</v>
      </c>
      <c r="X185" s="31" cm="1">
        <f t="array" ref="X185">INT(SUMPRODUCT(--ISNUMBER(SEARCH(voting,C185)))&gt;0)</f>
        <v>0</v>
      </c>
      <c r="Y185" s="31" cm="1">
        <f t="array" ref="Y185">INT(SUMPRODUCT(--ISNUMBER(SEARCH(democrattrigger,C185)))&gt;0)</f>
        <v>0</v>
      </c>
      <c r="Z185" s="31" cm="1">
        <f t="array" ref="Z185">INT(SUMPRODUCT(--ISNUMBER(SEARCH(bipartisan,C185)))&gt;0)</f>
        <v>0</v>
      </c>
      <c r="AA185" s="31">
        <f t="shared" si="2"/>
        <v>1</v>
      </c>
      <c r="AB185" s="31"/>
      <c r="AC185" s="111">
        <v>0</v>
      </c>
      <c r="AD185" s="112">
        <v>0</v>
      </c>
    </row>
    <row r="186" spans="1:30" x14ac:dyDescent="0.25">
      <c r="A186" s="109">
        <v>2042</v>
      </c>
      <c r="B186" s="31" t="s">
        <v>4110</v>
      </c>
      <c r="C186" s="31" t="s">
        <v>4111</v>
      </c>
      <c r="D186" s="110">
        <v>44116</v>
      </c>
      <c r="E186" s="31" t="s">
        <v>70</v>
      </c>
      <c r="F186" s="31">
        <v>152</v>
      </c>
      <c r="G186" s="31">
        <v>24</v>
      </c>
      <c r="H186" s="31">
        <v>9</v>
      </c>
      <c r="I186" s="31">
        <v>5</v>
      </c>
      <c r="J186" s="31" t="s">
        <v>204</v>
      </c>
      <c r="K186" s="31" cm="1">
        <f t="array" ref="K186">INT(SUMPRODUCT(--ISNUMBER(SEARCH(economy,C186)))&gt;0)</f>
        <v>0</v>
      </c>
      <c r="L186" s="31" cm="1">
        <f t="array" ref="L186">INT(SUMPRODUCT(--ISNUMBER(SEARCH(healthcare,C186)))&gt;0)</f>
        <v>0</v>
      </c>
      <c r="M186" s="31" cm="1">
        <f t="array" ref="M186">INT(SUMPRODUCT(--ISNUMBER(SEARCH(supreme,C186)))&gt;0)</f>
        <v>0</v>
      </c>
      <c r="N186" s="31" cm="1">
        <f t="array" ref="N186">INT(SUMPRODUCT(--ISNUMBER(SEARCH(covid,C186)))&gt;0)</f>
        <v>0</v>
      </c>
      <c r="O186" s="31" cm="1">
        <f t="array" ref="O186">INT(SUMPRODUCT(--ISNUMBER(SEARCH(violent,C186)))&gt;0)</f>
        <v>0</v>
      </c>
      <c r="P186" s="31" cm="1">
        <f t="array" ref="P186">INT(SUMPRODUCT(--ISNUMBER(SEARCH(foreign,C186)))&gt;0)</f>
        <v>0</v>
      </c>
      <c r="Q186" s="31" cm="1">
        <f t="array" ref="Q186">INT(SUMPRODUCT(--ISNUMBER(SEARCH(gun,C186)))&gt;0)</f>
        <v>0</v>
      </c>
      <c r="R186" s="31" cm="1">
        <f t="array" ref="R186">INT(SUMPRODUCT(--ISNUMBER(SEARCH(race,C186)))&gt;0)</f>
        <v>0</v>
      </c>
      <c r="S186" s="31" cm="1">
        <f t="array" ref="S186">INT(SUMPRODUCT(--ISNUMBER(SEARCH(immigration,C186)))&gt;0)</f>
        <v>0</v>
      </c>
      <c r="T186" s="31" cm="1">
        <f t="array" ref="T186">INT(SUMPRODUCT(--ISNUMBER(SEARCH(econineq,C187)))&gt;0)</f>
        <v>0</v>
      </c>
      <c r="U186" s="31" cm="1">
        <f t="array" ref="U186">INT(SUMPRODUCT(--ISNUMBER(SEARCH(climate,C186)))&gt;0)</f>
        <v>0</v>
      </c>
      <c r="V186" s="31" cm="1">
        <f t="array" ref="V186">INT(SUMPRODUCT(--ISNUMBER(SEARCH(abortion,C186)))&gt;0)</f>
        <v>0</v>
      </c>
      <c r="W186" s="31" cm="1">
        <f t="array" ref="W186">INT(SUMPRODUCT(--ISNUMBER(SEARCH(trump,C186)))&gt;0)</f>
        <v>0</v>
      </c>
      <c r="X186" s="31" cm="1">
        <f t="array" ref="X186">INT(SUMPRODUCT(--ISNUMBER(SEARCH(voting,C186)))&gt;0)</f>
        <v>1</v>
      </c>
      <c r="Y186" s="31" cm="1">
        <f t="array" ref="Y186">INT(SUMPRODUCT(--ISNUMBER(SEARCH(democrattrigger,C186)))&gt;0)</f>
        <v>0</v>
      </c>
      <c r="Z186" s="31" cm="1">
        <f t="array" ref="Z186">INT(SUMPRODUCT(--ISNUMBER(SEARCH(bipartisan,C186)))&gt;0)</f>
        <v>0</v>
      </c>
      <c r="AA186" s="31">
        <f t="shared" si="2"/>
        <v>0</v>
      </c>
      <c r="AB186" s="31"/>
      <c r="AC186" s="111">
        <v>0</v>
      </c>
      <c r="AD186" s="112">
        <v>0</v>
      </c>
    </row>
    <row r="187" spans="1:30" x14ac:dyDescent="0.25">
      <c r="A187" s="109">
        <v>2043</v>
      </c>
      <c r="B187" s="31" t="s">
        <v>4112</v>
      </c>
      <c r="C187" s="31" t="s">
        <v>4113</v>
      </c>
      <c r="D187" s="110">
        <v>44116</v>
      </c>
      <c r="E187" s="31" t="s">
        <v>30</v>
      </c>
      <c r="F187" s="31">
        <v>891</v>
      </c>
      <c r="G187" s="31">
        <v>205</v>
      </c>
      <c r="H187" s="31">
        <v>9</v>
      </c>
      <c r="I187" s="31">
        <v>5</v>
      </c>
      <c r="J187" s="31" t="s">
        <v>204</v>
      </c>
      <c r="K187" s="31" cm="1">
        <f t="array" ref="K187">INT(SUMPRODUCT(--ISNUMBER(SEARCH(economy,C187)))&gt;0)</f>
        <v>0</v>
      </c>
      <c r="L187" s="31" cm="1">
        <f t="array" ref="L187">INT(SUMPRODUCT(--ISNUMBER(SEARCH(healthcare,C187)))&gt;0)</f>
        <v>0</v>
      </c>
      <c r="M187" s="31" cm="1">
        <f t="array" ref="M187">INT(SUMPRODUCT(--ISNUMBER(SEARCH(supreme,C187)))&gt;0)</f>
        <v>0</v>
      </c>
      <c r="N187" s="31" cm="1">
        <f t="array" ref="N187">INT(SUMPRODUCT(--ISNUMBER(SEARCH(covid,C187)))&gt;0)</f>
        <v>0</v>
      </c>
      <c r="O187" s="31" cm="1">
        <f t="array" ref="O187">INT(SUMPRODUCT(--ISNUMBER(SEARCH(violent,C187)))&gt;0)</f>
        <v>0</v>
      </c>
      <c r="P187" s="31" cm="1">
        <f t="array" ref="P187">INT(SUMPRODUCT(--ISNUMBER(SEARCH(foreign,C187)))&gt;0)</f>
        <v>0</v>
      </c>
      <c r="Q187" s="31" cm="1">
        <f t="array" ref="Q187">INT(SUMPRODUCT(--ISNUMBER(SEARCH(gun,C187)))&gt;0)</f>
        <v>0</v>
      </c>
      <c r="R187" s="31" cm="1">
        <f t="array" ref="R187">INT(SUMPRODUCT(--ISNUMBER(SEARCH(race,C187)))&gt;0)</f>
        <v>0</v>
      </c>
      <c r="S187" s="31" cm="1">
        <f t="array" ref="S187">INT(SUMPRODUCT(--ISNUMBER(SEARCH(immigration,C187)))&gt;0)</f>
        <v>0</v>
      </c>
      <c r="T187" s="31" cm="1">
        <f t="array" ref="T187">INT(SUMPRODUCT(--ISNUMBER(SEARCH(econineq,C188)))&gt;0)</f>
        <v>0</v>
      </c>
      <c r="U187" s="31" cm="1">
        <f t="array" ref="U187">INT(SUMPRODUCT(--ISNUMBER(SEARCH(climate,C187)))&gt;0)</f>
        <v>0</v>
      </c>
      <c r="V187" s="31" cm="1">
        <f t="array" ref="V187">INT(SUMPRODUCT(--ISNUMBER(SEARCH(abortion,C187)))&gt;0)</f>
        <v>0</v>
      </c>
      <c r="W187" s="31" cm="1">
        <f t="array" ref="W187">INT(SUMPRODUCT(--ISNUMBER(SEARCH(trump,C187)))&gt;0)</f>
        <v>0</v>
      </c>
      <c r="X187" s="31" cm="1">
        <f t="array" ref="X187">INT(SUMPRODUCT(--ISNUMBER(SEARCH(voting,C187)))&gt;0)</f>
        <v>1</v>
      </c>
      <c r="Y187" s="31" cm="1">
        <f t="array" ref="Y187">INT(SUMPRODUCT(--ISNUMBER(SEARCH(democrattrigger,C187)))&gt;0)</f>
        <v>0</v>
      </c>
      <c r="Z187" s="31" cm="1">
        <f t="array" ref="Z187">INT(SUMPRODUCT(--ISNUMBER(SEARCH(bipartisan,C187)))&gt;0)</f>
        <v>0</v>
      </c>
      <c r="AA187" s="31">
        <f t="shared" si="2"/>
        <v>0</v>
      </c>
      <c r="AB187" s="31"/>
      <c r="AC187" s="111">
        <v>0</v>
      </c>
      <c r="AD187" s="112">
        <v>0</v>
      </c>
    </row>
    <row r="188" spans="1:30" x14ac:dyDescent="0.25">
      <c r="A188" s="109">
        <v>2044</v>
      </c>
      <c r="B188" s="31" t="s">
        <v>4114</v>
      </c>
      <c r="C188" s="31" t="s">
        <v>4115</v>
      </c>
      <c r="D188" s="110">
        <v>44115</v>
      </c>
      <c r="E188" s="31" t="s">
        <v>30</v>
      </c>
      <c r="F188" s="31">
        <v>312</v>
      </c>
      <c r="G188" s="31">
        <v>144</v>
      </c>
      <c r="H188" s="31">
        <v>9</v>
      </c>
      <c r="I188" s="31">
        <v>5</v>
      </c>
      <c r="J188" s="31" t="s">
        <v>204</v>
      </c>
      <c r="K188" s="31" cm="1">
        <f t="array" ref="K188">INT(SUMPRODUCT(--ISNUMBER(SEARCH(economy,C188)))&gt;0)</f>
        <v>0</v>
      </c>
      <c r="L188" s="31" cm="1">
        <f t="array" ref="L188">INT(SUMPRODUCT(--ISNUMBER(SEARCH(healthcare,C188)))&gt;0)</f>
        <v>0</v>
      </c>
      <c r="M188" s="31" cm="1">
        <f t="array" ref="M188">INT(SUMPRODUCT(--ISNUMBER(SEARCH(supreme,C188)))&gt;0)</f>
        <v>0</v>
      </c>
      <c r="N188" s="31" cm="1">
        <f t="array" ref="N188">INT(SUMPRODUCT(--ISNUMBER(SEARCH(covid,C188)))&gt;0)</f>
        <v>0</v>
      </c>
      <c r="O188" s="31" cm="1">
        <f t="array" ref="O188">INT(SUMPRODUCT(--ISNUMBER(SEARCH(violent,C188)))&gt;0)</f>
        <v>0</v>
      </c>
      <c r="P188" s="31" cm="1">
        <f t="array" ref="P188">INT(SUMPRODUCT(--ISNUMBER(SEARCH(foreign,C188)))&gt;0)</f>
        <v>0</v>
      </c>
      <c r="Q188" s="31" cm="1">
        <f t="array" ref="Q188">INT(SUMPRODUCT(--ISNUMBER(SEARCH(gun,C188)))&gt;0)</f>
        <v>0</v>
      </c>
      <c r="R188" s="31" cm="1">
        <f t="array" ref="R188">INT(SUMPRODUCT(--ISNUMBER(SEARCH(race,C188)))&gt;0)</f>
        <v>0</v>
      </c>
      <c r="S188" s="31" cm="1">
        <f t="array" ref="S188">INT(SUMPRODUCT(--ISNUMBER(SEARCH(immigration,C188)))&gt;0)</f>
        <v>0</v>
      </c>
      <c r="T188" s="31" cm="1">
        <f t="array" ref="T188">INT(SUMPRODUCT(--ISNUMBER(SEARCH(econineq,C189)))&gt;0)</f>
        <v>0</v>
      </c>
      <c r="U188" s="31" cm="1">
        <f t="array" ref="U188">INT(SUMPRODUCT(--ISNUMBER(SEARCH(climate,C188)))&gt;0)</f>
        <v>0</v>
      </c>
      <c r="V188" s="31" cm="1">
        <f t="array" ref="V188">INT(SUMPRODUCT(--ISNUMBER(SEARCH(abortion,C188)))&gt;0)</f>
        <v>0</v>
      </c>
      <c r="W188" s="31" cm="1">
        <f t="array" ref="W188">INT(SUMPRODUCT(--ISNUMBER(SEARCH(trump,C188)))&gt;0)</f>
        <v>0</v>
      </c>
      <c r="X188" s="31" cm="1">
        <f t="array" ref="X188">INT(SUMPRODUCT(--ISNUMBER(SEARCH(voting,C188)))&gt;0)</f>
        <v>0</v>
      </c>
      <c r="Y188" s="31" cm="1">
        <f t="array" ref="Y188">INT(SUMPRODUCT(--ISNUMBER(SEARCH(democrattrigger,C188)))&gt;0)</f>
        <v>0</v>
      </c>
      <c r="Z188" s="31" cm="1">
        <f t="array" ref="Z188">INT(SUMPRODUCT(--ISNUMBER(SEARCH(bipartisan,C188)))&gt;0)</f>
        <v>0</v>
      </c>
      <c r="AA188" s="31">
        <f t="shared" si="2"/>
        <v>1</v>
      </c>
      <c r="AB188" s="31"/>
      <c r="AC188" s="111">
        <v>0</v>
      </c>
      <c r="AD188" s="112">
        <v>0</v>
      </c>
    </row>
    <row r="189" spans="1:30" x14ac:dyDescent="0.25">
      <c r="A189" s="109">
        <v>2045</v>
      </c>
      <c r="B189" s="31" t="s">
        <v>4116</v>
      </c>
      <c r="C189" s="31" t="s">
        <v>4117</v>
      </c>
      <c r="D189" s="110">
        <v>44115</v>
      </c>
      <c r="E189" s="31" t="s">
        <v>30</v>
      </c>
      <c r="F189" s="31">
        <v>482</v>
      </c>
      <c r="G189" s="31">
        <v>110</v>
      </c>
      <c r="H189" s="31">
        <v>9</v>
      </c>
      <c r="I189" s="31">
        <v>5</v>
      </c>
      <c r="J189" s="31" t="s">
        <v>204</v>
      </c>
      <c r="K189" s="31" cm="1">
        <f t="array" ref="K189">INT(SUMPRODUCT(--ISNUMBER(SEARCH(economy,C189)))&gt;0)</f>
        <v>0</v>
      </c>
      <c r="L189" s="31" cm="1">
        <f t="array" ref="L189">INT(SUMPRODUCT(--ISNUMBER(SEARCH(healthcare,C189)))&gt;0)</f>
        <v>0</v>
      </c>
      <c r="M189" s="31" cm="1">
        <f t="array" ref="M189">INT(SUMPRODUCT(--ISNUMBER(SEARCH(supreme,C189)))&gt;0)</f>
        <v>0</v>
      </c>
      <c r="N189" s="31" cm="1">
        <f t="array" ref="N189">INT(SUMPRODUCT(--ISNUMBER(SEARCH(covid,C189)))&gt;0)</f>
        <v>0</v>
      </c>
      <c r="O189" s="31" cm="1">
        <f t="array" ref="O189">INT(SUMPRODUCT(--ISNUMBER(SEARCH(violent,C189)))&gt;0)</f>
        <v>0</v>
      </c>
      <c r="P189" s="31" cm="1">
        <f t="array" ref="P189">INT(SUMPRODUCT(--ISNUMBER(SEARCH(foreign,C189)))&gt;0)</f>
        <v>0</v>
      </c>
      <c r="Q189" s="31" cm="1">
        <f t="array" ref="Q189">INT(SUMPRODUCT(--ISNUMBER(SEARCH(gun,C189)))&gt;0)</f>
        <v>0</v>
      </c>
      <c r="R189" s="31" cm="1">
        <f t="array" ref="R189">INT(SUMPRODUCT(--ISNUMBER(SEARCH(race,C189)))&gt;0)</f>
        <v>0</v>
      </c>
      <c r="S189" s="31" cm="1">
        <f t="array" ref="S189">INT(SUMPRODUCT(--ISNUMBER(SEARCH(immigration,C189)))&gt;0)</f>
        <v>0</v>
      </c>
      <c r="T189" s="31" cm="1">
        <f t="array" ref="T189">INT(SUMPRODUCT(--ISNUMBER(SEARCH(econineq,C190)))&gt;0)</f>
        <v>0</v>
      </c>
      <c r="U189" s="31" cm="1">
        <f t="array" ref="U189">INT(SUMPRODUCT(--ISNUMBER(SEARCH(climate,C189)))&gt;0)</f>
        <v>0</v>
      </c>
      <c r="V189" s="31" cm="1">
        <f t="array" ref="V189">INT(SUMPRODUCT(--ISNUMBER(SEARCH(abortion,C189)))&gt;0)</f>
        <v>0</v>
      </c>
      <c r="W189" s="31" cm="1">
        <f t="array" ref="W189">INT(SUMPRODUCT(--ISNUMBER(SEARCH(trump,C189)))&gt;0)</f>
        <v>0</v>
      </c>
      <c r="X189" s="31" cm="1">
        <f t="array" ref="X189">INT(SUMPRODUCT(--ISNUMBER(SEARCH(voting,C189)))&gt;0)</f>
        <v>0</v>
      </c>
      <c r="Y189" s="31" cm="1">
        <f t="array" ref="Y189">INT(SUMPRODUCT(--ISNUMBER(SEARCH(democrattrigger,C189)))&gt;0)</f>
        <v>0</v>
      </c>
      <c r="Z189" s="31" cm="1">
        <f t="array" ref="Z189">INT(SUMPRODUCT(--ISNUMBER(SEARCH(bipartisan,C189)))&gt;0)</f>
        <v>0</v>
      </c>
      <c r="AA189" s="31">
        <f t="shared" si="2"/>
        <v>1</v>
      </c>
      <c r="AB189" s="31"/>
      <c r="AC189" s="111">
        <v>0</v>
      </c>
      <c r="AD189" s="112">
        <v>0</v>
      </c>
    </row>
    <row r="190" spans="1:30" x14ac:dyDescent="0.25">
      <c r="A190" s="109">
        <v>2046</v>
      </c>
      <c r="B190" s="31" t="s">
        <v>4118</v>
      </c>
      <c r="C190" s="31" t="s">
        <v>4119</v>
      </c>
      <c r="D190" s="110">
        <v>44115</v>
      </c>
      <c r="E190" s="31" t="s">
        <v>30</v>
      </c>
      <c r="F190" s="31">
        <v>572</v>
      </c>
      <c r="G190" s="31">
        <v>95</v>
      </c>
      <c r="H190" s="31">
        <v>9</v>
      </c>
      <c r="I190" s="31">
        <v>5</v>
      </c>
      <c r="J190" s="31" t="s">
        <v>204</v>
      </c>
      <c r="K190" s="31" cm="1">
        <f t="array" ref="K190">INT(SUMPRODUCT(--ISNUMBER(SEARCH(economy,C190)))&gt;0)</f>
        <v>0</v>
      </c>
      <c r="L190" s="31" cm="1">
        <f t="array" ref="L190">INT(SUMPRODUCT(--ISNUMBER(SEARCH(healthcare,C190)))&gt;0)</f>
        <v>0</v>
      </c>
      <c r="M190" s="31" cm="1">
        <f t="array" ref="M190">INT(SUMPRODUCT(--ISNUMBER(SEARCH(supreme,C190)))&gt;0)</f>
        <v>0</v>
      </c>
      <c r="N190" s="31" cm="1">
        <f t="array" ref="N190">INT(SUMPRODUCT(--ISNUMBER(SEARCH(covid,C190)))&gt;0)</f>
        <v>0</v>
      </c>
      <c r="O190" s="31" cm="1">
        <f t="array" ref="O190">INT(SUMPRODUCT(--ISNUMBER(SEARCH(violent,C190)))&gt;0)</f>
        <v>0</v>
      </c>
      <c r="P190" s="31" cm="1">
        <f t="array" ref="P190">INT(SUMPRODUCT(--ISNUMBER(SEARCH(foreign,C190)))&gt;0)</f>
        <v>0</v>
      </c>
      <c r="Q190" s="31" cm="1">
        <f t="array" ref="Q190">INT(SUMPRODUCT(--ISNUMBER(SEARCH(gun,C190)))&gt;0)</f>
        <v>0</v>
      </c>
      <c r="R190" s="31" cm="1">
        <f t="array" ref="R190">INT(SUMPRODUCT(--ISNUMBER(SEARCH(race,C190)))&gt;0)</f>
        <v>0</v>
      </c>
      <c r="S190" s="31" cm="1">
        <f t="array" ref="S190">INT(SUMPRODUCT(--ISNUMBER(SEARCH(immigration,C190)))&gt;0)</f>
        <v>0</v>
      </c>
      <c r="T190" s="31" cm="1">
        <f t="array" ref="T190">INT(SUMPRODUCT(--ISNUMBER(SEARCH(econineq,C191)))&gt;0)</f>
        <v>0</v>
      </c>
      <c r="U190" s="31" cm="1">
        <f t="array" ref="U190">INT(SUMPRODUCT(--ISNUMBER(SEARCH(climate,C190)))&gt;0)</f>
        <v>0</v>
      </c>
      <c r="V190" s="31" cm="1">
        <f t="array" ref="V190">INT(SUMPRODUCT(--ISNUMBER(SEARCH(abortion,C190)))&gt;0)</f>
        <v>0</v>
      </c>
      <c r="W190" s="31" cm="1">
        <f t="array" ref="W190">INT(SUMPRODUCT(--ISNUMBER(SEARCH(trump,C190)))&gt;0)</f>
        <v>0</v>
      </c>
      <c r="X190" s="31" cm="1">
        <f t="array" ref="X190">INT(SUMPRODUCT(--ISNUMBER(SEARCH(voting,C190)))&gt;0)</f>
        <v>0</v>
      </c>
      <c r="Y190" s="31" cm="1">
        <f t="array" ref="Y190">INT(SUMPRODUCT(--ISNUMBER(SEARCH(democrattrigger,C190)))&gt;0)</f>
        <v>0</v>
      </c>
      <c r="Z190" s="31" cm="1">
        <f t="array" ref="Z190">INT(SUMPRODUCT(--ISNUMBER(SEARCH(bipartisan,C190)))&gt;0)</f>
        <v>0</v>
      </c>
      <c r="AA190" s="31">
        <f t="shared" si="2"/>
        <v>1</v>
      </c>
      <c r="AB190" s="31"/>
      <c r="AC190" s="111">
        <v>1</v>
      </c>
      <c r="AD190" s="112">
        <v>0</v>
      </c>
    </row>
    <row r="191" spans="1:30" x14ac:dyDescent="0.25">
      <c r="A191" s="109">
        <v>2047</v>
      </c>
      <c r="B191" s="31" t="s">
        <v>4120</v>
      </c>
      <c r="C191" s="31" t="s">
        <v>4121</v>
      </c>
      <c r="D191" s="110">
        <v>44115</v>
      </c>
      <c r="E191" s="31" t="s">
        <v>30</v>
      </c>
      <c r="F191" s="31">
        <v>160</v>
      </c>
      <c r="G191" s="31">
        <v>84</v>
      </c>
      <c r="H191" s="31">
        <v>9</v>
      </c>
      <c r="I191" s="31">
        <v>5</v>
      </c>
      <c r="J191" s="31" t="s">
        <v>204</v>
      </c>
      <c r="K191" s="31" cm="1">
        <f t="array" ref="K191">INT(SUMPRODUCT(--ISNUMBER(SEARCH(economy,C191)))&gt;0)</f>
        <v>0</v>
      </c>
      <c r="L191" s="31" cm="1">
        <f t="array" ref="L191">INT(SUMPRODUCT(--ISNUMBER(SEARCH(healthcare,C191)))&gt;0)</f>
        <v>0</v>
      </c>
      <c r="M191" s="31" cm="1">
        <f t="array" ref="M191">INT(SUMPRODUCT(--ISNUMBER(SEARCH(supreme,C191)))&gt;0)</f>
        <v>0</v>
      </c>
      <c r="N191" s="31" cm="1">
        <f t="array" ref="N191">INT(SUMPRODUCT(--ISNUMBER(SEARCH(covid,C191)))&gt;0)</f>
        <v>0</v>
      </c>
      <c r="O191" s="31" cm="1">
        <f t="array" ref="O191">INT(SUMPRODUCT(--ISNUMBER(SEARCH(violent,C191)))&gt;0)</f>
        <v>0</v>
      </c>
      <c r="P191" s="31" cm="1">
        <f t="array" ref="P191">INT(SUMPRODUCT(--ISNUMBER(SEARCH(foreign,C191)))&gt;0)</f>
        <v>0</v>
      </c>
      <c r="Q191" s="31" cm="1">
        <f t="array" ref="Q191">INT(SUMPRODUCT(--ISNUMBER(SEARCH(gun,C191)))&gt;0)</f>
        <v>0</v>
      </c>
      <c r="R191" s="31" cm="1">
        <f t="array" ref="R191">INT(SUMPRODUCT(--ISNUMBER(SEARCH(race,C191)))&gt;0)</f>
        <v>0</v>
      </c>
      <c r="S191" s="31" cm="1">
        <f t="array" ref="S191">INT(SUMPRODUCT(--ISNUMBER(SEARCH(immigration,C191)))&gt;0)</f>
        <v>0</v>
      </c>
      <c r="T191" s="31" cm="1">
        <f t="array" ref="T191">INT(SUMPRODUCT(--ISNUMBER(SEARCH(econineq,C192)))&gt;0)</f>
        <v>0</v>
      </c>
      <c r="U191" s="31" cm="1">
        <f t="array" ref="U191">INT(SUMPRODUCT(--ISNUMBER(SEARCH(climate,C191)))&gt;0)</f>
        <v>0</v>
      </c>
      <c r="V191" s="31" cm="1">
        <f t="array" ref="V191">INT(SUMPRODUCT(--ISNUMBER(SEARCH(abortion,C191)))&gt;0)</f>
        <v>0</v>
      </c>
      <c r="W191" s="31" cm="1">
        <f t="array" ref="W191">INT(SUMPRODUCT(--ISNUMBER(SEARCH(trump,C191)))&gt;0)</f>
        <v>0</v>
      </c>
      <c r="X191" s="31" cm="1">
        <f t="array" ref="X191">INT(SUMPRODUCT(--ISNUMBER(SEARCH(voting,C191)))&gt;0)</f>
        <v>1</v>
      </c>
      <c r="Y191" s="31" cm="1">
        <f t="array" ref="Y191">INT(SUMPRODUCT(--ISNUMBER(SEARCH(democrattrigger,C191)))&gt;0)</f>
        <v>0</v>
      </c>
      <c r="Z191" s="31" cm="1">
        <f t="array" ref="Z191">INT(SUMPRODUCT(--ISNUMBER(SEARCH(bipartisan,C191)))&gt;0)</f>
        <v>0</v>
      </c>
      <c r="AA191" s="31">
        <f t="shared" si="2"/>
        <v>0</v>
      </c>
      <c r="AB191" s="31"/>
      <c r="AC191" s="111">
        <v>0</v>
      </c>
      <c r="AD191" s="112">
        <v>0</v>
      </c>
    </row>
    <row r="192" spans="1:30" x14ac:dyDescent="0.25">
      <c r="A192" s="109">
        <v>2048</v>
      </c>
      <c r="B192" s="31" t="s">
        <v>4122</v>
      </c>
      <c r="C192" s="31" t="s">
        <v>4123</v>
      </c>
      <c r="D192" s="110">
        <v>44115</v>
      </c>
      <c r="E192" s="31" t="s">
        <v>30</v>
      </c>
      <c r="F192" s="31">
        <v>1701</v>
      </c>
      <c r="G192" s="31">
        <v>399</v>
      </c>
      <c r="H192" s="31">
        <v>9</v>
      </c>
      <c r="I192" s="31">
        <v>5</v>
      </c>
      <c r="J192" s="31" t="s">
        <v>204</v>
      </c>
      <c r="K192" s="31" cm="1">
        <f t="array" ref="K192">INT(SUMPRODUCT(--ISNUMBER(SEARCH(economy,C192)))&gt;0)</f>
        <v>0</v>
      </c>
      <c r="L192" s="31" cm="1">
        <f t="array" ref="L192">INT(SUMPRODUCT(--ISNUMBER(SEARCH(healthcare,C192)))&gt;0)</f>
        <v>1</v>
      </c>
      <c r="M192" s="31" cm="1">
        <f t="array" ref="M192">INT(SUMPRODUCT(--ISNUMBER(SEARCH(supreme,C192)))&gt;0)</f>
        <v>0</v>
      </c>
      <c r="N192" s="31" cm="1">
        <f t="array" ref="N192">INT(SUMPRODUCT(--ISNUMBER(SEARCH(covid,C192)))&gt;0)</f>
        <v>0</v>
      </c>
      <c r="O192" s="31" cm="1">
        <f t="array" ref="O192">INT(SUMPRODUCT(--ISNUMBER(SEARCH(violent,C192)))&gt;0)</f>
        <v>0</v>
      </c>
      <c r="P192" s="31" cm="1">
        <f t="array" ref="P192">INT(SUMPRODUCT(--ISNUMBER(SEARCH(foreign,C192)))&gt;0)</f>
        <v>0</v>
      </c>
      <c r="Q192" s="31" cm="1">
        <f t="array" ref="Q192">INT(SUMPRODUCT(--ISNUMBER(SEARCH(gun,C192)))&gt;0)</f>
        <v>0</v>
      </c>
      <c r="R192" s="31" cm="1">
        <f t="array" ref="R192">INT(SUMPRODUCT(--ISNUMBER(SEARCH(race,C192)))&gt;0)</f>
        <v>0</v>
      </c>
      <c r="S192" s="31" cm="1">
        <f t="array" ref="S192">INT(SUMPRODUCT(--ISNUMBER(SEARCH(immigration,C192)))&gt;0)</f>
        <v>0</v>
      </c>
      <c r="T192" s="31" cm="1">
        <f t="array" ref="T192">INT(SUMPRODUCT(--ISNUMBER(SEARCH(econineq,C193)))&gt;0)</f>
        <v>0</v>
      </c>
      <c r="U192" s="31" cm="1">
        <f t="array" ref="U192">INT(SUMPRODUCT(--ISNUMBER(SEARCH(climate,C192)))&gt;0)</f>
        <v>0</v>
      </c>
      <c r="V192" s="31" cm="1">
        <f t="array" ref="V192">INT(SUMPRODUCT(--ISNUMBER(SEARCH(abortion,C192)))&gt;0)</f>
        <v>0</v>
      </c>
      <c r="W192" s="31" cm="1">
        <f t="array" ref="W192">INT(SUMPRODUCT(--ISNUMBER(SEARCH(trump,C192)))&gt;0)</f>
        <v>0</v>
      </c>
      <c r="X192" s="31" cm="1">
        <f t="array" ref="X192">INT(SUMPRODUCT(--ISNUMBER(SEARCH(voting,C192)))&gt;0)</f>
        <v>0</v>
      </c>
      <c r="Y192" s="31" cm="1">
        <f t="array" ref="Y192">INT(SUMPRODUCT(--ISNUMBER(SEARCH(democrattrigger,C192)))&gt;0)</f>
        <v>1</v>
      </c>
      <c r="Z192" s="31" cm="1">
        <f t="array" ref="Z192">INT(SUMPRODUCT(--ISNUMBER(SEARCH(bipartisan,C192)))&gt;0)</f>
        <v>0</v>
      </c>
      <c r="AA192" s="31">
        <f t="shared" si="2"/>
        <v>0</v>
      </c>
      <c r="AB192" s="31"/>
      <c r="AC192" s="111">
        <v>0</v>
      </c>
      <c r="AD192" s="112">
        <v>0</v>
      </c>
    </row>
    <row r="193" spans="1:30" x14ac:dyDescent="0.25">
      <c r="A193" s="109">
        <v>2049</v>
      </c>
      <c r="B193" s="31" t="s">
        <v>4124</v>
      </c>
      <c r="C193" s="31" t="s">
        <v>4125</v>
      </c>
      <c r="D193" s="110">
        <v>44115</v>
      </c>
      <c r="E193" s="31" t="s">
        <v>30</v>
      </c>
      <c r="F193" s="31">
        <v>226</v>
      </c>
      <c r="G193" s="31">
        <v>54</v>
      </c>
      <c r="H193" s="31">
        <v>9</v>
      </c>
      <c r="I193" s="31">
        <v>5</v>
      </c>
      <c r="J193" s="31" t="s">
        <v>204</v>
      </c>
      <c r="K193" s="31" cm="1">
        <f t="array" ref="K193">INT(SUMPRODUCT(--ISNUMBER(SEARCH(economy,C193)))&gt;0)</f>
        <v>0</v>
      </c>
      <c r="L193" s="31" cm="1">
        <f t="array" ref="L193">INT(SUMPRODUCT(--ISNUMBER(SEARCH(healthcare,C193)))&gt;0)</f>
        <v>0</v>
      </c>
      <c r="M193" s="31" cm="1">
        <f t="array" ref="M193">INT(SUMPRODUCT(--ISNUMBER(SEARCH(supreme,C193)))&gt;0)</f>
        <v>0</v>
      </c>
      <c r="N193" s="31" cm="1">
        <f t="array" ref="N193">INT(SUMPRODUCT(--ISNUMBER(SEARCH(covid,C193)))&gt;0)</f>
        <v>0</v>
      </c>
      <c r="O193" s="31" cm="1">
        <f t="array" ref="O193">INT(SUMPRODUCT(--ISNUMBER(SEARCH(violent,C193)))&gt;0)</f>
        <v>0</v>
      </c>
      <c r="P193" s="31" cm="1">
        <f t="array" ref="P193">INT(SUMPRODUCT(--ISNUMBER(SEARCH(foreign,C193)))&gt;0)</f>
        <v>0</v>
      </c>
      <c r="Q193" s="31" cm="1">
        <f t="array" ref="Q193">INT(SUMPRODUCT(--ISNUMBER(SEARCH(gun,C193)))&gt;0)</f>
        <v>0</v>
      </c>
      <c r="R193" s="31" cm="1">
        <f t="array" ref="R193">INT(SUMPRODUCT(--ISNUMBER(SEARCH(race,C193)))&gt;0)</f>
        <v>0</v>
      </c>
      <c r="S193" s="31" cm="1">
        <f t="array" ref="S193">INT(SUMPRODUCT(--ISNUMBER(SEARCH(immigration,C193)))&gt;0)</f>
        <v>0</v>
      </c>
      <c r="T193" s="31" cm="1">
        <f t="array" ref="T193">INT(SUMPRODUCT(--ISNUMBER(SEARCH(econineq,C194)))&gt;0)</f>
        <v>0</v>
      </c>
      <c r="U193" s="31" cm="1">
        <f t="array" ref="U193">INT(SUMPRODUCT(--ISNUMBER(SEARCH(climate,C193)))&gt;0)</f>
        <v>0</v>
      </c>
      <c r="V193" s="31" cm="1">
        <f t="array" ref="V193">INT(SUMPRODUCT(--ISNUMBER(SEARCH(abortion,C193)))&gt;0)</f>
        <v>0</v>
      </c>
      <c r="W193" s="31" cm="1">
        <f t="array" ref="W193">INT(SUMPRODUCT(--ISNUMBER(SEARCH(trump,C193)))&gt;0)</f>
        <v>0</v>
      </c>
      <c r="X193" s="31" cm="1">
        <f t="array" ref="X193">INT(SUMPRODUCT(--ISNUMBER(SEARCH(voting,C193)))&gt;0)</f>
        <v>0</v>
      </c>
      <c r="Y193" s="31" cm="1">
        <f t="array" ref="Y193">INT(SUMPRODUCT(--ISNUMBER(SEARCH(democrattrigger,C193)))&gt;0)</f>
        <v>0</v>
      </c>
      <c r="Z193" s="31" cm="1">
        <f t="array" ref="Z193">INT(SUMPRODUCT(--ISNUMBER(SEARCH(bipartisan,C193)))&gt;0)</f>
        <v>0</v>
      </c>
      <c r="AA193" s="31">
        <f t="shared" si="2"/>
        <v>1</v>
      </c>
      <c r="AB193" s="31"/>
      <c r="AC193" s="111">
        <v>1</v>
      </c>
      <c r="AD193" s="112">
        <v>0</v>
      </c>
    </row>
    <row r="194" spans="1:30" x14ac:dyDescent="0.25">
      <c r="A194" s="109">
        <v>2050</v>
      </c>
      <c r="B194" s="31" t="s">
        <v>4126</v>
      </c>
      <c r="C194" s="31" t="s">
        <v>4127</v>
      </c>
      <c r="D194" s="110">
        <v>44115</v>
      </c>
      <c r="E194" s="31" t="s">
        <v>30</v>
      </c>
      <c r="F194" s="31">
        <v>732</v>
      </c>
      <c r="G194" s="31">
        <v>202</v>
      </c>
      <c r="H194" s="31">
        <v>9</v>
      </c>
      <c r="I194" s="31">
        <v>5</v>
      </c>
      <c r="J194" s="31" t="s">
        <v>204</v>
      </c>
      <c r="K194" s="31" cm="1">
        <f t="array" ref="K194">INT(SUMPRODUCT(--ISNUMBER(SEARCH(economy,C194)))&gt;0)</f>
        <v>0</v>
      </c>
      <c r="L194" s="31" cm="1">
        <f t="array" ref="L194">INT(SUMPRODUCT(--ISNUMBER(SEARCH(healthcare,C194)))&gt;0)</f>
        <v>0</v>
      </c>
      <c r="M194" s="31" cm="1">
        <f t="array" ref="M194">INT(SUMPRODUCT(--ISNUMBER(SEARCH(supreme,C194)))&gt;0)</f>
        <v>0</v>
      </c>
      <c r="N194" s="31" cm="1">
        <f t="array" ref="N194">INT(SUMPRODUCT(--ISNUMBER(SEARCH(covid,C194)))&gt;0)</f>
        <v>0</v>
      </c>
      <c r="O194" s="31" cm="1">
        <f t="array" ref="O194">INT(SUMPRODUCT(--ISNUMBER(SEARCH(violent,C194)))&gt;0)</f>
        <v>0</v>
      </c>
      <c r="P194" s="31" cm="1">
        <f t="array" ref="P194">INT(SUMPRODUCT(--ISNUMBER(SEARCH(foreign,C194)))&gt;0)</f>
        <v>0</v>
      </c>
      <c r="Q194" s="31" cm="1">
        <f t="array" ref="Q194">INT(SUMPRODUCT(--ISNUMBER(SEARCH(gun,C194)))&gt;0)</f>
        <v>0</v>
      </c>
      <c r="R194" s="31" cm="1">
        <f t="array" ref="R194">INT(SUMPRODUCT(--ISNUMBER(SEARCH(race,C194)))&gt;0)</f>
        <v>0</v>
      </c>
      <c r="S194" s="31" cm="1">
        <f t="array" ref="S194">INT(SUMPRODUCT(--ISNUMBER(SEARCH(immigration,C194)))&gt;0)</f>
        <v>0</v>
      </c>
      <c r="T194" s="31" cm="1">
        <f t="array" ref="T194">INT(SUMPRODUCT(--ISNUMBER(SEARCH(econineq,C195)))&gt;0)</f>
        <v>0</v>
      </c>
      <c r="U194" s="31" cm="1">
        <f t="array" ref="U194">INT(SUMPRODUCT(--ISNUMBER(SEARCH(climate,C194)))&gt;0)</f>
        <v>0</v>
      </c>
      <c r="V194" s="31" cm="1">
        <f t="array" ref="V194">INT(SUMPRODUCT(--ISNUMBER(SEARCH(abortion,C194)))&gt;0)</f>
        <v>0</v>
      </c>
      <c r="W194" s="31" cm="1">
        <f t="array" ref="W194">INT(SUMPRODUCT(--ISNUMBER(SEARCH(trump,C194)))&gt;0)</f>
        <v>0</v>
      </c>
      <c r="X194" s="31" cm="1">
        <f t="array" ref="X194">INT(SUMPRODUCT(--ISNUMBER(SEARCH(voting,C194)))&gt;0)</f>
        <v>0</v>
      </c>
      <c r="Y194" s="31" cm="1">
        <f t="array" ref="Y194">INT(SUMPRODUCT(--ISNUMBER(SEARCH(democrattrigger,C194)))&gt;0)</f>
        <v>0</v>
      </c>
      <c r="Z194" s="31" cm="1">
        <f t="array" ref="Z194">INT(SUMPRODUCT(--ISNUMBER(SEARCH(bipartisan,C194)))&gt;0)</f>
        <v>0</v>
      </c>
      <c r="AA194" s="31">
        <f t="shared" si="2"/>
        <v>1</v>
      </c>
      <c r="AB194" s="31"/>
      <c r="AC194" s="111">
        <v>0</v>
      </c>
      <c r="AD194" s="112">
        <v>0</v>
      </c>
    </row>
    <row r="195" spans="1:30" x14ac:dyDescent="0.25">
      <c r="A195" s="109">
        <v>2051</v>
      </c>
      <c r="B195" s="31" t="s">
        <v>4128</v>
      </c>
      <c r="C195" s="31" t="s">
        <v>4129</v>
      </c>
      <c r="D195" s="110">
        <v>44115</v>
      </c>
      <c r="E195" s="31" t="s">
        <v>30</v>
      </c>
      <c r="F195" s="31">
        <v>286</v>
      </c>
      <c r="G195" s="31">
        <v>118</v>
      </c>
      <c r="H195" s="31">
        <v>9</v>
      </c>
      <c r="I195" s="31">
        <v>5</v>
      </c>
      <c r="J195" s="31" t="s">
        <v>204</v>
      </c>
      <c r="K195" s="31" cm="1">
        <f t="array" ref="K195">INT(SUMPRODUCT(--ISNUMBER(SEARCH(economy,C195)))&gt;0)</f>
        <v>0</v>
      </c>
      <c r="L195" s="31" cm="1">
        <f t="array" ref="L195">INT(SUMPRODUCT(--ISNUMBER(SEARCH(healthcare,C195)))&gt;0)</f>
        <v>0</v>
      </c>
      <c r="M195" s="31" cm="1">
        <f t="array" ref="M195">INT(SUMPRODUCT(--ISNUMBER(SEARCH(supreme,C195)))&gt;0)</f>
        <v>0</v>
      </c>
      <c r="N195" s="31" cm="1">
        <f t="array" ref="N195">INT(SUMPRODUCT(--ISNUMBER(SEARCH(covid,C195)))&gt;0)</f>
        <v>0</v>
      </c>
      <c r="O195" s="31" cm="1">
        <f t="array" ref="O195">INT(SUMPRODUCT(--ISNUMBER(SEARCH(violent,C195)))&gt;0)</f>
        <v>0</v>
      </c>
      <c r="P195" s="31" cm="1">
        <f t="array" ref="P195">INT(SUMPRODUCT(--ISNUMBER(SEARCH(foreign,C195)))&gt;0)</f>
        <v>0</v>
      </c>
      <c r="Q195" s="31" cm="1">
        <f t="array" ref="Q195">INT(SUMPRODUCT(--ISNUMBER(SEARCH(gun,C195)))&gt;0)</f>
        <v>0</v>
      </c>
      <c r="R195" s="31" cm="1">
        <f t="array" ref="R195">INT(SUMPRODUCT(--ISNUMBER(SEARCH(race,C195)))&gt;0)</f>
        <v>0</v>
      </c>
      <c r="S195" s="31" cm="1">
        <f t="array" ref="S195">INT(SUMPRODUCT(--ISNUMBER(SEARCH(immigration,C195)))&gt;0)</f>
        <v>0</v>
      </c>
      <c r="T195" s="31" cm="1">
        <f t="array" ref="T195">INT(SUMPRODUCT(--ISNUMBER(SEARCH(econineq,C196)))&gt;0)</f>
        <v>0</v>
      </c>
      <c r="U195" s="31" cm="1">
        <f t="array" ref="U195">INT(SUMPRODUCT(--ISNUMBER(SEARCH(climate,C195)))&gt;0)</f>
        <v>0</v>
      </c>
      <c r="V195" s="31" cm="1">
        <f t="array" ref="V195">INT(SUMPRODUCT(--ISNUMBER(SEARCH(abortion,C195)))&gt;0)</f>
        <v>0</v>
      </c>
      <c r="W195" s="31" cm="1">
        <f t="array" ref="W195">INT(SUMPRODUCT(--ISNUMBER(SEARCH(trump,C195)))&gt;0)</f>
        <v>0</v>
      </c>
      <c r="X195" s="31" cm="1">
        <f t="array" ref="X195">INT(SUMPRODUCT(--ISNUMBER(SEARCH(voting,C195)))&gt;0)</f>
        <v>0</v>
      </c>
      <c r="Y195" s="31" cm="1">
        <f t="array" ref="Y195">INT(SUMPRODUCT(--ISNUMBER(SEARCH(democrattrigger,C195)))&gt;0)</f>
        <v>1</v>
      </c>
      <c r="Z195" s="31" cm="1">
        <f t="array" ref="Z195">INT(SUMPRODUCT(--ISNUMBER(SEARCH(bipartisan,C195)))&gt;0)</f>
        <v>0</v>
      </c>
      <c r="AA195" s="31">
        <f t="shared" ref="AA195:AA243" si="3">INT(IF(COUNTIF(K195:Z195,1)=0,"1","0"))</f>
        <v>0</v>
      </c>
      <c r="AB195" s="31"/>
      <c r="AC195" s="111">
        <v>0</v>
      </c>
      <c r="AD195" s="112">
        <v>0</v>
      </c>
    </row>
    <row r="196" spans="1:30" x14ac:dyDescent="0.25">
      <c r="A196" s="109">
        <v>2052</v>
      </c>
      <c r="B196" s="31" t="s">
        <v>4130</v>
      </c>
      <c r="C196" s="31" t="s">
        <v>4131</v>
      </c>
      <c r="D196" s="110">
        <v>44115</v>
      </c>
      <c r="E196" s="31" t="s">
        <v>30</v>
      </c>
      <c r="F196" s="31">
        <v>191</v>
      </c>
      <c r="G196" s="31">
        <v>91</v>
      </c>
      <c r="H196" s="31">
        <v>9</v>
      </c>
      <c r="I196" s="31">
        <v>5</v>
      </c>
      <c r="J196" s="31" t="s">
        <v>204</v>
      </c>
      <c r="K196" s="31" cm="1">
        <f t="array" ref="K196">INT(SUMPRODUCT(--ISNUMBER(SEARCH(economy,C196)))&gt;0)</f>
        <v>1</v>
      </c>
      <c r="L196" s="31" cm="1">
        <f t="array" ref="L196">INT(SUMPRODUCT(--ISNUMBER(SEARCH(healthcare,C196)))&gt;0)</f>
        <v>1</v>
      </c>
      <c r="M196" s="31" cm="1">
        <f t="array" ref="M196">INT(SUMPRODUCT(--ISNUMBER(SEARCH(supreme,C196)))&gt;0)</f>
        <v>0</v>
      </c>
      <c r="N196" s="31" cm="1">
        <f t="array" ref="N196">INT(SUMPRODUCT(--ISNUMBER(SEARCH(covid,C196)))&gt;0)</f>
        <v>1</v>
      </c>
      <c r="O196" s="31" cm="1">
        <f t="array" ref="O196">INT(SUMPRODUCT(--ISNUMBER(SEARCH(violent,C196)))&gt;0)</f>
        <v>0</v>
      </c>
      <c r="P196" s="31" cm="1">
        <f t="array" ref="P196">INT(SUMPRODUCT(--ISNUMBER(SEARCH(foreign,C196)))&gt;0)</f>
        <v>0</v>
      </c>
      <c r="Q196" s="31" cm="1">
        <f t="array" ref="Q196">INT(SUMPRODUCT(--ISNUMBER(SEARCH(gun,C196)))&gt;0)</f>
        <v>0</v>
      </c>
      <c r="R196" s="31" cm="1">
        <f t="array" ref="R196">INT(SUMPRODUCT(--ISNUMBER(SEARCH(race,C196)))&gt;0)</f>
        <v>0</v>
      </c>
      <c r="S196" s="31" cm="1">
        <f t="array" ref="S196">INT(SUMPRODUCT(--ISNUMBER(SEARCH(immigration,C196)))&gt;0)</f>
        <v>0</v>
      </c>
      <c r="T196" s="31" cm="1">
        <f t="array" ref="T196">INT(SUMPRODUCT(--ISNUMBER(SEARCH(econineq,C197)))&gt;0)</f>
        <v>0</v>
      </c>
      <c r="U196" s="31" cm="1">
        <f t="array" ref="U196">INT(SUMPRODUCT(--ISNUMBER(SEARCH(climate,C196)))&gt;0)</f>
        <v>0</v>
      </c>
      <c r="V196" s="31" cm="1">
        <f t="array" ref="V196">INT(SUMPRODUCT(--ISNUMBER(SEARCH(abortion,C196)))&gt;0)</f>
        <v>0</v>
      </c>
      <c r="W196" s="31" cm="1">
        <f t="array" ref="W196">INT(SUMPRODUCT(--ISNUMBER(SEARCH(trump,C196)))&gt;0)</f>
        <v>0</v>
      </c>
      <c r="X196" s="31" cm="1">
        <f t="array" ref="X196">INT(SUMPRODUCT(--ISNUMBER(SEARCH(voting,C196)))&gt;0)</f>
        <v>0</v>
      </c>
      <c r="Y196" s="31" cm="1">
        <f t="array" ref="Y196">INT(SUMPRODUCT(--ISNUMBER(SEARCH(democrattrigger,C196)))&gt;0)</f>
        <v>0</v>
      </c>
      <c r="Z196" s="31" cm="1">
        <f t="array" ref="Z196">INT(SUMPRODUCT(--ISNUMBER(SEARCH(bipartisan,C196)))&gt;0)</f>
        <v>1</v>
      </c>
      <c r="AA196" s="31">
        <f t="shared" si="3"/>
        <v>0</v>
      </c>
      <c r="AB196" s="31"/>
      <c r="AC196" s="111">
        <v>1</v>
      </c>
      <c r="AD196" s="112">
        <v>0</v>
      </c>
    </row>
    <row r="197" spans="1:30" x14ac:dyDescent="0.25">
      <c r="A197" s="109">
        <v>2053</v>
      </c>
      <c r="B197" s="31" t="s">
        <v>4132</v>
      </c>
      <c r="C197" s="31" t="s">
        <v>4133</v>
      </c>
      <c r="D197" s="110">
        <v>44115</v>
      </c>
      <c r="E197" s="31" t="s">
        <v>30</v>
      </c>
      <c r="F197" s="31">
        <v>67</v>
      </c>
      <c r="G197" s="31">
        <v>29</v>
      </c>
      <c r="H197" s="31">
        <v>9</v>
      </c>
      <c r="I197" s="31">
        <v>5</v>
      </c>
      <c r="J197" s="31" t="s">
        <v>204</v>
      </c>
      <c r="K197" s="31" cm="1">
        <f t="array" ref="K197">INT(SUMPRODUCT(--ISNUMBER(SEARCH(economy,C197)))&gt;0)</f>
        <v>0</v>
      </c>
      <c r="L197" s="31" cm="1">
        <f t="array" ref="L197">INT(SUMPRODUCT(--ISNUMBER(SEARCH(healthcare,C197)))&gt;0)</f>
        <v>0</v>
      </c>
      <c r="M197" s="31" cm="1">
        <f t="array" ref="M197">INT(SUMPRODUCT(--ISNUMBER(SEARCH(supreme,C197)))&gt;0)</f>
        <v>0</v>
      </c>
      <c r="N197" s="31" cm="1">
        <f t="array" ref="N197">INT(SUMPRODUCT(--ISNUMBER(SEARCH(covid,C197)))&gt;0)</f>
        <v>0</v>
      </c>
      <c r="O197" s="31" cm="1">
        <f t="array" ref="O197">INT(SUMPRODUCT(--ISNUMBER(SEARCH(violent,C197)))&gt;0)</f>
        <v>0</v>
      </c>
      <c r="P197" s="31" cm="1">
        <f t="array" ref="P197">INT(SUMPRODUCT(--ISNUMBER(SEARCH(foreign,C197)))&gt;0)</f>
        <v>0</v>
      </c>
      <c r="Q197" s="31" cm="1">
        <f t="array" ref="Q197">INT(SUMPRODUCT(--ISNUMBER(SEARCH(gun,C197)))&gt;0)</f>
        <v>0</v>
      </c>
      <c r="R197" s="31" cm="1">
        <f t="array" ref="R197">INT(SUMPRODUCT(--ISNUMBER(SEARCH(race,C197)))&gt;0)</f>
        <v>0</v>
      </c>
      <c r="S197" s="31" cm="1">
        <f t="array" ref="S197">INT(SUMPRODUCT(--ISNUMBER(SEARCH(immigration,C197)))&gt;0)</f>
        <v>0</v>
      </c>
      <c r="T197" s="31" cm="1">
        <f t="array" ref="T197">INT(SUMPRODUCT(--ISNUMBER(SEARCH(econineq,C198)))&gt;0)</f>
        <v>0</v>
      </c>
      <c r="U197" s="31" cm="1">
        <f t="array" ref="U197">INT(SUMPRODUCT(--ISNUMBER(SEARCH(climate,C197)))&gt;0)</f>
        <v>0</v>
      </c>
      <c r="V197" s="31" cm="1">
        <f t="array" ref="V197">INT(SUMPRODUCT(--ISNUMBER(SEARCH(abortion,C197)))&gt;0)</f>
        <v>0</v>
      </c>
      <c r="W197" s="31" cm="1">
        <f t="array" ref="W197">INT(SUMPRODUCT(--ISNUMBER(SEARCH(trump,C197)))&gt;0)</f>
        <v>0</v>
      </c>
      <c r="X197" s="31" cm="1">
        <f t="array" ref="X197">INT(SUMPRODUCT(--ISNUMBER(SEARCH(voting,C197)))&gt;0)</f>
        <v>1</v>
      </c>
      <c r="Y197" s="31" cm="1">
        <f t="array" ref="Y197">INT(SUMPRODUCT(--ISNUMBER(SEARCH(democrattrigger,C197)))&gt;0)</f>
        <v>0</v>
      </c>
      <c r="Z197" s="31" cm="1">
        <f t="array" ref="Z197">INT(SUMPRODUCT(--ISNUMBER(SEARCH(bipartisan,C197)))&gt;0)</f>
        <v>0</v>
      </c>
      <c r="AA197" s="31">
        <f t="shared" si="3"/>
        <v>0</v>
      </c>
      <c r="AB197" s="31"/>
      <c r="AC197" s="111">
        <v>1</v>
      </c>
      <c r="AD197" s="112">
        <v>0</v>
      </c>
    </row>
    <row r="198" spans="1:30" x14ac:dyDescent="0.25">
      <c r="A198" s="109">
        <v>2054</v>
      </c>
      <c r="B198" s="31" t="s">
        <v>4134</v>
      </c>
      <c r="C198" s="31" t="s">
        <v>4135</v>
      </c>
      <c r="D198" s="110">
        <v>44114</v>
      </c>
      <c r="E198" s="31" t="s">
        <v>30</v>
      </c>
      <c r="F198" s="31">
        <v>761</v>
      </c>
      <c r="G198" s="31">
        <v>364</v>
      </c>
      <c r="H198" s="31">
        <v>9</v>
      </c>
      <c r="I198" s="31">
        <v>5</v>
      </c>
      <c r="J198" s="31" t="s">
        <v>204</v>
      </c>
      <c r="K198" s="31" cm="1">
        <f t="array" ref="K198">INT(SUMPRODUCT(--ISNUMBER(SEARCH(economy,C198)))&gt;0)</f>
        <v>0</v>
      </c>
      <c r="L198" s="31" cm="1">
        <f t="array" ref="L198">INT(SUMPRODUCT(--ISNUMBER(SEARCH(healthcare,C198)))&gt;0)</f>
        <v>0</v>
      </c>
      <c r="M198" s="31" cm="1">
        <f t="array" ref="M198">INT(SUMPRODUCT(--ISNUMBER(SEARCH(supreme,C198)))&gt;0)</f>
        <v>0</v>
      </c>
      <c r="N198" s="31" cm="1">
        <f t="array" ref="N198">INT(SUMPRODUCT(--ISNUMBER(SEARCH(covid,C198)))&gt;0)</f>
        <v>0</v>
      </c>
      <c r="O198" s="31" cm="1">
        <f t="array" ref="O198">INT(SUMPRODUCT(--ISNUMBER(SEARCH(violent,C198)))&gt;0)</f>
        <v>0</v>
      </c>
      <c r="P198" s="31" cm="1">
        <f t="array" ref="P198">INT(SUMPRODUCT(--ISNUMBER(SEARCH(foreign,C198)))&gt;0)</f>
        <v>0</v>
      </c>
      <c r="Q198" s="31" cm="1">
        <f t="array" ref="Q198">INT(SUMPRODUCT(--ISNUMBER(SEARCH(gun,C198)))&gt;0)</f>
        <v>0</v>
      </c>
      <c r="R198" s="31" cm="1">
        <f t="array" ref="R198">INT(SUMPRODUCT(--ISNUMBER(SEARCH(race,C198)))&gt;0)</f>
        <v>0</v>
      </c>
      <c r="S198" s="31" cm="1">
        <f t="array" ref="S198">INT(SUMPRODUCT(--ISNUMBER(SEARCH(immigration,C198)))&gt;0)</f>
        <v>0</v>
      </c>
      <c r="T198" s="31" cm="1">
        <f t="array" ref="T198">INT(SUMPRODUCT(--ISNUMBER(SEARCH(econineq,C199)))&gt;0)</f>
        <v>0</v>
      </c>
      <c r="U198" s="31" cm="1">
        <f t="array" ref="U198">INT(SUMPRODUCT(--ISNUMBER(SEARCH(climate,C198)))&gt;0)</f>
        <v>0</v>
      </c>
      <c r="V198" s="31" cm="1">
        <f t="array" ref="V198">INT(SUMPRODUCT(--ISNUMBER(SEARCH(abortion,C198)))&gt;0)</f>
        <v>0</v>
      </c>
      <c r="W198" s="31" cm="1">
        <f t="array" ref="W198">INT(SUMPRODUCT(--ISNUMBER(SEARCH(trump,C198)))&gt;0)</f>
        <v>0</v>
      </c>
      <c r="X198" s="31" cm="1">
        <f t="array" ref="X198">INT(SUMPRODUCT(--ISNUMBER(SEARCH(voting,C198)))&gt;0)</f>
        <v>1</v>
      </c>
      <c r="Y198" s="31" cm="1">
        <f t="array" ref="Y198">INT(SUMPRODUCT(--ISNUMBER(SEARCH(democrattrigger,C198)))&gt;0)</f>
        <v>0</v>
      </c>
      <c r="Z198" s="31" cm="1">
        <f t="array" ref="Z198">INT(SUMPRODUCT(--ISNUMBER(SEARCH(bipartisan,C198)))&gt;0)</f>
        <v>0</v>
      </c>
      <c r="AA198" s="31">
        <f t="shared" si="3"/>
        <v>0</v>
      </c>
      <c r="AB198" s="31"/>
      <c r="AC198" s="111">
        <v>0</v>
      </c>
      <c r="AD198" s="112">
        <v>1</v>
      </c>
    </row>
    <row r="199" spans="1:30" x14ac:dyDescent="0.25">
      <c r="A199" s="109">
        <v>2055</v>
      </c>
      <c r="B199" s="31" t="s">
        <v>4136</v>
      </c>
      <c r="C199" s="31" t="s">
        <v>4137</v>
      </c>
      <c r="D199" s="110">
        <v>44114</v>
      </c>
      <c r="E199" s="31" t="s">
        <v>30</v>
      </c>
      <c r="F199" s="31">
        <v>171</v>
      </c>
      <c r="G199" s="31">
        <v>63</v>
      </c>
      <c r="H199" s="31">
        <v>9</v>
      </c>
      <c r="I199" s="31">
        <v>5</v>
      </c>
      <c r="J199" s="31" t="s">
        <v>204</v>
      </c>
      <c r="K199" s="31" cm="1">
        <f t="array" ref="K199">INT(SUMPRODUCT(--ISNUMBER(SEARCH(economy,C199)))&gt;0)</f>
        <v>0</v>
      </c>
      <c r="L199" s="31" cm="1">
        <f t="array" ref="L199">INT(SUMPRODUCT(--ISNUMBER(SEARCH(healthcare,C199)))&gt;0)</f>
        <v>0</v>
      </c>
      <c r="M199" s="31" cm="1">
        <f t="array" ref="M199">INT(SUMPRODUCT(--ISNUMBER(SEARCH(supreme,C199)))&gt;0)</f>
        <v>0</v>
      </c>
      <c r="N199" s="31" cm="1">
        <f t="array" ref="N199">INT(SUMPRODUCT(--ISNUMBER(SEARCH(covid,C199)))&gt;0)</f>
        <v>0</v>
      </c>
      <c r="O199" s="31" cm="1">
        <f t="array" ref="O199">INT(SUMPRODUCT(--ISNUMBER(SEARCH(violent,C199)))&gt;0)</f>
        <v>0</v>
      </c>
      <c r="P199" s="31" cm="1">
        <f t="array" ref="P199">INT(SUMPRODUCT(--ISNUMBER(SEARCH(foreign,C199)))&gt;0)</f>
        <v>0</v>
      </c>
      <c r="Q199" s="31" cm="1">
        <f t="array" ref="Q199">INT(SUMPRODUCT(--ISNUMBER(SEARCH(gun,C199)))&gt;0)</f>
        <v>0</v>
      </c>
      <c r="R199" s="31" cm="1">
        <f t="array" ref="R199">INT(SUMPRODUCT(--ISNUMBER(SEARCH(race,C199)))&gt;0)</f>
        <v>0</v>
      </c>
      <c r="S199" s="31" cm="1">
        <f t="array" ref="S199">INT(SUMPRODUCT(--ISNUMBER(SEARCH(immigration,C199)))&gt;0)</f>
        <v>0</v>
      </c>
      <c r="T199" s="31" cm="1">
        <f t="array" ref="T199">INT(SUMPRODUCT(--ISNUMBER(SEARCH(econineq,C200)))&gt;0)</f>
        <v>0</v>
      </c>
      <c r="U199" s="31" cm="1">
        <f t="array" ref="U199">INT(SUMPRODUCT(--ISNUMBER(SEARCH(climate,C199)))&gt;0)</f>
        <v>1</v>
      </c>
      <c r="V199" s="31" cm="1">
        <f t="array" ref="V199">INT(SUMPRODUCT(--ISNUMBER(SEARCH(abortion,C199)))&gt;0)</f>
        <v>0</v>
      </c>
      <c r="W199" s="31" cm="1">
        <f t="array" ref="W199">INT(SUMPRODUCT(--ISNUMBER(SEARCH(trump,C199)))&gt;0)</f>
        <v>1</v>
      </c>
      <c r="X199" s="31" cm="1">
        <f t="array" ref="X199">INT(SUMPRODUCT(--ISNUMBER(SEARCH(voting,C199)))&gt;0)</f>
        <v>0</v>
      </c>
      <c r="Y199" s="31" cm="1">
        <f t="array" ref="Y199">INT(SUMPRODUCT(--ISNUMBER(SEARCH(democrattrigger,C199)))&gt;0)</f>
        <v>0</v>
      </c>
      <c r="Z199" s="31" cm="1">
        <f t="array" ref="Z199">INT(SUMPRODUCT(--ISNUMBER(SEARCH(bipartisan,C199)))&gt;0)</f>
        <v>0</v>
      </c>
      <c r="AA199" s="31">
        <f t="shared" si="3"/>
        <v>0</v>
      </c>
      <c r="AB199" s="31"/>
      <c r="AC199" s="111">
        <v>0</v>
      </c>
      <c r="AD199" s="112">
        <v>0</v>
      </c>
    </row>
    <row r="200" spans="1:30" x14ac:dyDescent="0.25">
      <c r="A200" s="109">
        <v>2056</v>
      </c>
      <c r="B200" s="31" t="s">
        <v>4138</v>
      </c>
      <c r="C200" s="31" t="s">
        <v>4139</v>
      </c>
      <c r="D200" s="110">
        <v>44114</v>
      </c>
      <c r="E200" s="31" t="s">
        <v>30</v>
      </c>
      <c r="F200" s="31">
        <v>174</v>
      </c>
      <c r="G200" s="31">
        <v>59</v>
      </c>
      <c r="H200" s="31">
        <v>9</v>
      </c>
      <c r="I200" s="31">
        <v>5</v>
      </c>
      <c r="J200" s="31" t="s">
        <v>204</v>
      </c>
      <c r="K200" s="31" cm="1">
        <f t="array" ref="K200">INT(SUMPRODUCT(--ISNUMBER(SEARCH(economy,C200)))&gt;0)</f>
        <v>0</v>
      </c>
      <c r="L200" s="31" cm="1">
        <f t="array" ref="L200">INT(SUMPRODUCT(--ISNUMBER(SEARCH(healthcare,C200)))&gt;0)</f>
        <v>0</v>
      </c>
      <c r="M200" s="31" cm="1">
        <f t="array" ref="M200">INT(SUMPRODUCT(--ISNUMBER(SEARCH(supreme,C200)))&gt;0)</f>
        <v>0</v>
      </c>
      <c r="N200" s="31" cm="1">
        <f t="array" ref="N200">INT(SUMPRODUCT(--ISNUMBER(SEARCH(covid,C200)))&gt;0)</f>
        <v>0</v>
      </c>
      <c r="O200" s="31" cm="1">
        <f t="array" ref="O200">INT(SUMPRODUCT(--ISNUMBER(SEARCH(violent,C200)))&gt;0)</f>
        <v>0</v>
      </c>
      <c r="P200" s="31" cm="1">
        <f t="array" ref="P200">INT(SUMPRODUCT(--ISNUMBER(SEARCH(foreign,C200)))&gt;0)</f>
        <v>0</v>
      </c>
      <c r="Q200" s="31" cm="1">
        <f t="array" ref="Q200">INT(SUMPRODUCT(--ISNUMBER(SEARCH(gun,C200)))&gt;0)</f>
        <v>0</v>
      </c>
      <c r="R200" s="31" cm="1">
        <f t="array" ref="R200">INT(SUMPRODUCT(--ISNUMBER(SEARCH(race,C200)))&gt;0)</f>
        <v>0</v>
      </c>
      <c r="S200" s="31" cm="1">
        <f t="array" ref="S200">INT(SUMPRODUCT(--ISNUMBER(SEARCH(immigration,C200)))&gt;0)</f>
        <v>0</v>
      </c>
      <c r="T200" s="31" cm="1">
        <f t="array" ref="T200">INT(SUMPRODUCT(--ISNUMBER(SEARCH(econineq,C201)))&gt;0)</f>
        <v>0</v>
      </c>
      <c r="U200" s="31" cm="1">
        <f t="array" ref="U200">INT(SUMPRODUCT(--ISNUMBER(SEARCH(climate,C200)))&gt;0)</f>
        <v>1</v>
      </c>
      <c r="V200" s="31" cm="1">
        <f t="array" ref="V200">INT(SUMPRODUCT(--ISNUMBER(SEARCH(abortion,C200)))&gt;0)</f>
        <v>0</v>
      </c>
      <c r="W200" s="31" cm="1">
        <f t="array" ref="W200">INT(SUMPRODUCT(--ISNUMBER(SEARCH(trump,C200)))&gt;0)</f>
        <v>0</v>
      </c>
      <c r="X200" s="31" cm="1">
        <f t="array" ref="X200">INT(SUMPRODUCT(--ISNUMBER(SEARCH(voting,C200)))&gt;0)</f>
        <v>0</v>
      </c>
      <c r="Y200" s="31" cm="1">
        <f t="array" ref="Y200">INT(SUMPRODUCT(--ISNUMBER(SEARCH(democrattrigger,C200)))&gt;0)</f>
        <v>0</v>
      </c>
      <c r="Z200" s="31" cm="1">
        <f t="array" ref="Z200">INT(SUMPRODUCT(--ISNUMBER(SEARCH(bipartisan,C200)))&gt;0)</f>
        <v>0</v>
      </c>
      <c r="AA200" s="31">
        <f t="shared" si="3"/>
        <v>0</v>
      </c>
      <c r="AB200" s="31"/>
      <c r="AC200" s="111">
        <v>0</v>
      </c>
      <c r="AD200" s="112">
        <v>0</v>
      </c>
    </row>
    <row r="201" spans="1:30" x14ac:dyDescent="0.25">
      <c r="A201" s="109">
        <v>2057</v>
      </c>
      <c r="B201" s="31" t="s">
        <v>4140</v>
      </c>
      <c r="C201" s="31" t="s">
        <v>4141</v>
      </c>
      <c r="D201" s="110">
        <v>44114</v>
      </c>
      <c r="E201" s="31" t="s">
        <v>30</v>
      </c>
      <c r="F201" s="31">
        <v>84</v>
      </c>
      <c r="G201" s="31">
        <v>45</v>
      </c>
      <c r="H201" s="31">
        <v>9</v>
      </c>
      <c r="I201" s="31">
        <v>5</v>
      </c>
      <c r="J201" s="31" t="s">
        <v>204</v>
      </c>
      <c r="K201" s="31" cm="1">
        <f t="array" ref="K201">INT(SUMPRODUCT(--ISNUMBER(SEARCH(economy,C201)))&gt;0)</f>
        <v>0</v>
      </c>
      <c r="L201" s="31" cm="1">
        <f t="array" ref="L201">INT(SUMPRODUCT(--ISNUMBER(SEARCH(healthcare,C201)))&gt;0)</f>
        <v>1</v>
      </c>
      <c r="M201" s="31" cm="1">
        <f t="array" ref="M201">INT(SUMPRODUCT(--ISNUMBER(SEARCH(supreme,C201)))&gt;0)</f>
        <v>0</v>
      </c>
      <c r="N201" s="31" cm="1">
        <f t="array" ref="N201">INT(SUMPRODUCT(--ISNUMBER(SEARCH(covid,C201)))&gt;0)</f>
        <v>0</v>
      </c>
      <c r="O201" s="31" cm="1">
        <f t="array" ref="O201">INT(SUMPRODUCT(--ISNUMBER(SEARCH(violent,C201)))&gt;0)</f>
        <v>0</v>
      </c>
      <c r="P201" s="31" cm="1">
        <f t="array" ref="P201">INT(SUMPRODUCT(--ISNUMBER(SEARCH(foreign,C201)))&gt;0)</f>
        <v>0</v>
      </c>
      <c r="Q201" s="31" cm="1">
        <f t="array" ref="Q201">INT(SUMPRODUCT(--ISNUMBER(SEARCH(gun,C201)))&gt;0)</f>
        <v>0</v>
      </c>
      <c r="R201" s="31" cm="1">
        <f t="array" ref="R201">INT(SUMPRODUCT(--ISNUMBER(SEARCH(race,C201)))&gt;0)</f>
        <v>0</v>
      </c>
      <c r="S201" s="31" cm="1">
        <f t="array" ref="S201">INT(SUMPRODUCT(--ISNUMBER(SEARCH(immigration,C201)))&gt;0)</f>
        <v>0</v>
      </c>
      <c r="T201" s="31" cm="1">
        <f t="array" ref="T201">INT(SUMPRODUCT(--ISNUMBER(SEARCH(econineq,C202)))&gt;0)</f>
        <v>0</v>
      </c>
      <c r="U201" s="31" cm="1">
        <f t="array" ref="U201">INT(SUMPRODUCT(--ISNUMBER(SEARCH(climate,C201)))&gt;0)</f>
        <v>0</v>
      </c>
      <c r="V201" s="31" cm="1">
        <f t="array" ref="V201">INT(SUMPRODUCT(--ISNUMBER(SEARCH(abortion,C201)))&gt;0)</f>
        <v>0</v>
      </c>
      <c r="W201" s="31" cm="1">
        <f t="array" ref="W201">INT(SUMPRODUCT(--ISNUMBER(SEARCH(trump,C201)))&gt;0)</f>
        <v>0</v>
      </c>
      <c r="X201" s="31" cm="1">
        <f t="array" ref="X201">INT(SUMPRODUCT(--ISNUMBER(SEARCH(voting,C201)))&gt;0)</f>
        <v>1</v>
      </c>
      <c r="Y201" s="31" cm="1">
        <f t="array" ref="Y201">INT(SUMPRODUCT(--ISNUMBER(SEARCH(democrattrigger,C201)))&gt;0)</f>
        <v>0</v>
      </c>
      <c r="Z201" s="31" cm="1">
        <f t="array" ref="Z201">INT(SUMPRODUCT(--ISNUMBER(SEARCH(bipartisan,C201)))&gt;0)</f>
        <v>0</v>
      </c>
      <c r="AA201" s="31">
        <f t="shared" si="3"/>
        <v>0</v>
      </c>
      <c r="AB201" s="31"/>
      <c r="AC201" s="111">
        <v>0</v>
      </c>
      <c r="AD201" s="112">
        <v>0</v>
      </c>
    </row>
    <row r="202" spans="1:30" x14ac:dyDescent="0.25">
      <c r="A202" s="109">
        <v>2058</v>
      </c>
      <c r="B202" s="31" t="s">
        <v>4142</v>
      </c>
      <c r="C202" s="31" t="s">
        <v>4143</v>
      </c>
      <c r="D202" s="110">
        <v>44114</v>
      </c>
      <c r="E202" s="31" t="s">
        <v>30</v>
      </c>
      <c r="F202" s="31">
        <v>180</v>
      </c>
      <c r="G202" s="31">
        <v>82</v>
      </c>
      <c r="H202" s="31">
        <v>9</v>
      </c>
      <c r="I202" s="31">
        <v>5</v>
      </c>
      <c r="J202" s="31" t="s">
        <v>204</v>
      </c>
      <c r="K202" s="31" cm="1">
        <f t="array" ref="K202">INT(SUMPRODUCT(--ISNUMBER(SEARCH(economy,C202)))&gt;0)</f>
        <v>0</v>
      </c>
      <c r="L202" s="31" cm="1">
        <f t="array" ref="L202">INT(SUMPRODUCT(--ISNUMBER(SEARCH(healthcare,C202)))&gt;0)</f>
        <v>0</v>
      </c>
      <c r="M202" s="31" cm="1">
        <f t="array" ref="M202">INT(SUMPRODUCT(--ISNUMBER(SEARCH(supreme,C202)))&gt;0)</f>
        <v>0</v>
      </c>
      <c r="N202" s="31" cm="1">
        <f t="array" ref="N202">INT(SUMPRODUCT(--ISNUMBER(SEARCH(covid,C202)))&gt;0)</f>
        <v>0</v>
      </c>
      <c r="O202" s="31" cm="1">
        <f t="array" ref="O202">INT(SUMPRODUCT(--ISNUMBER(SEARCH(violent,C202)))&gt;0)</f>
        <v>0</v>
      </c>
      <c r="P202" s="31" cm="1">
        <f t="array" ref="P202">INT(SUMPRODUCT(--ISNUMBER(SEARCH(foreign,C202)))&gt;0)</f>
        <v>0</v>
      </c>
      <c r="Q202" s="31" cm="1">
        <f t="array" ref="Q202">INT(SUMPRODUCT(--ISNUMBER(SEARCH(gun,C202)))&gt;0)</f>
        <v>0</v>
      </c>
      <c r="R202" s="31" cm="1">
        <f t="array" ref="R202">INT(SUMPRODUCT(--ISNUMBER(SEARCH(race,C202)))&gt;0)</f>
        <v>0</v>
      </c>
      <c r="S202" s="31" cm="1">
        <f t="array" ref="S202">INT(SUMPRODUCT(--ISNUMBER(SEARCH(immigration,C202)))&gt;0)</f>
        <v>0</v>
      </c>
      <c r="T202" s="31" cm="1">
        <f t="array" ref="T202">INT(SUMPRODUCT(--ISNUMBER(SEARCH(econineq,C203)))&gt;0)</f>
        <v>0</v>
      </c>
      <c r="U202" s="31" cm="1">
        <f t="array" ref="U202">INT(SUMPRODUCT(--ISNUMBER(SEARCH(climate,C202)))&gt;0)</f>
        <v>0</v>
      </c>
      <c r="V202" s="31" cm="1">
        <f t="array" ref="V202">INT(SUMPRODUCT(--ISNUMBER(SEARCH(abortion,C202)))&gt;0)</f>
        <v>0</v>
      </c>
      <c r="W202" s="31" cm="1">
        <f t="array" ref="W202">INT(SUMPRODUCT(--ISNUMBER(SEARCH(trump,C202)))&gt;0)</f>
        <v>0</v>
      </c>
      <c r="X202" s="31" cm="1">
        <f t="array" ref="X202">INT(SUMPRODUCT(--ISNUMBER(SEARCH(voting,C202)))&gt;0)</f>
        <v>0</v>
      </c>
      <c r="Y202" s="31" cm="1">
        <f t="array" ref="Y202">INT(SUMPRODUCT(--ISNUMBER(SEARCH(democrattrigger,C202)))&gt;0)</f>
        <v>0</v>
      </c>
      <c r="Z202" s="31" cm="1">
        <f t="array" ref="Z202">INT(SUMPRODUCT(--ISNUMBER(SEARCH(bipartisan,C202)))&gt;0)</f>
        <v>0</v>
      </c>
      <c r="AA202" s="31">
        <f t="shared" si="3"/>
        <v>1</v>
      </c>
      <c r="AB202" s="31"/>
      <c r="AC202" s="111">
        <v>0</v>
      </c>
      <c r="AD202" s="112">
        <v>0</v>
      </c>
    </row>
    <row r="203" spans="1:30" x14ac:dyDescent="0.25">
      <c r="A203" s="109">
        <v>2059</v>
      </c>
      <c r="B203" s="31" t="s">
        <v>4144</v>
      </c>
      <c r="C203" s="31" t="s">
        <v>4145</v>
      </c>
      <c r="D203" s="110">
        <v>44114</v>
      </c>
      <c r="E203" s="31" t="s">
        <v>30</v>
      </c>
      <c r="F203" s="31">
        <v>1523</v>
      </c>
      <c r="G203" s="31">
        <v>149</v>
      </c>
      <c r="H203" s="31">
        <v>9</v>
      </c>
      <c r="I203" s="31">
        <v>5</v>
      </c>
      <c r="J203" s="31" t="s">
        <v>204</v>
      </c>
      <c r="K203" s="31" cm="1">
        <f t="array" ref="K203">INT(SUMPRODUCT(--ISNUMBER(SEARCH(economy,C203)))&gt;0)</f>
        <v>0</v>
      </c>
      <c r="L203" s="31" cm="1">
        <f t="array" ref="L203">INT(SUMPRODUCT(--ISNUMBER(SEARCH(healthcare,C203)))&gt;0)</f>
        <v>0</v>
      </c>
      <c r="M203" s="31" cm="1">
        <f t="array" ref="M203">INT(SUMPRODUCT(--ISNUMBER(SEARCH(supreme,C203)))&gt;0)</f>
        <v>0</v>
      </c>
      <c r="N203" s="31" cm="1">
        <f t="array" ref="N203">INT(SUMPRODUCT(--ISNUMBER(SEARCH(covid,C203)))&gt;0)</f>
        <v>0</v>
      </c>
      <c r="O203" s="31" cm="1">
        <f t="array" ref="O203">INT(SUMPRODUCT(--ISNUMBER(SEARCH(violent,C203)))&gt;0)</f>
        <v>0</v>
      </c>
      <c r="P203" s="31" cm="1">
        <f t="array" ref="P203">INT(SUMPRODUCT(--ISNUMBER(SEARCH(foreign,C203)))&gt;0)</f>
        <v>0</v>
      </c>
      <c r="Q203" s="31" cm="1">
        <f t="array" ref="Q203">INT(SUMPRODUCT(--ISNUMBER(SEARCH(gun,C203)))&gt;0)</f>
        <v>0</v>
      </c>
      <c r="R203" s="31" cm="1">
        <f t="array" ref="R203">INT(SUMPRODUCT(--ISNUMBER(SEARCH(race,C203)))&gt;0)</f>
        <v>0</v>
      </c>
      <c r="S203" s="31" cm="1">
        <f t="array" ref="S203">INT(SUMPRODUCT(--ISNUMBER(SEARCH(immigration,C203)))&gt;0)</f>
        <v>0</v>
      </c>
      <c r="T203" s="31" cm="1">
        <f t="array" ref="T203">INT(SUMPRODUCT(--ISNUMBER(SEARCH(econineq,C204)))&gt;0)</f>
        <v>0</v>
      </c>
      <c r="U203" s="31" cm="1">
        <f t="array" ref="U203">INT(SUMPRODUCT(--ISNUMBER(SEARCH(climate,C203)))&gt;0)</f>
        <v>0</v>
      </c>
      <c r="V203" s="31" cm="1">
        <f t="array" ref="V203">INT(SUMPRODUCT(--ISNUMBER(SEARCH(abortion,C203)))&gt;0)</f>
        <v>0</v>
      </c>
      <c r="W203" s="31" cm="1">
        <f t="array" ref="W203">INT(SUMPRODUCT(--ISNUMBER(SEARCH(trump,C203)))&gt;0)</f>
        <v>0</v>
      </c>
      <c r="X203" s="31" cm="1">
        <f t="array" ref="X203">INT(SUMPRODUCT(--ISNUMBER(SEARCH(voting,C203)))&gt;0)</f>
        <v>0</v>
      </c>
      <c r="Y203" s="31" cm="1">
        <f t="array" ref="Y203">INT(SUMPRODUCT(--ISNUMBER(SEARCH(democrattrigger,C203)))&gt;0)</f>
        <v>0</v>
      </c>
      <c r="Z203" s="31" cm="1">
        <f t="array" ref="Z203">INT(SUMPRODUCT(--ISNUMBER(SEARCH(bipartisan,C203)))&gt;0)</f>
        <v>0</v>
      </c>
      <c r="AA203" s="31">
        <f t="shared" si="3"/>
        <v>1</v>
      </c>
      <c r="AB203" s="31"/>
      <c r="AC203" s="111">
        <v>1</v>
      </c>
      <c r="AD203" s="112">
        <v>0</v>
      </c>
    </row>
    <row r="204" spans="1:30" x14ac:dyDescent="0.25">
      <c r="A204" s="109">
        <v>2060</v>
      </c>
      <c r="B204" s="31" t="s">
        <v>4146</v>
      </c>
      <c r="C204" s="31" t="s">
        <v>4147</v>
      </c>
      <c r="D204" s="110">
        <v>44114</v>
      </c>
      <c r="E204" s="31" t="s">
        <v>30</v>
      </c>
      <c r="F204" s="31">
        <v>771</v>
      </c>
      <c r="G204" s="31">
        <v>211</v>
      </c>
      <c r="H204" s="31">
        <v>9</v>
      </c>
      <c r="I204" s="31">
        <v>5</v>
      </c>
      <c r="J204" s="31" t="s">
        <v>204</v>
      </c>
      <c r="K204" s="31" cm="1">
        <f t="array" ref="K204">INT(SUMPRODUCT(--ISNUMBER(SEARCH(economy,C204)))&gt;0)</f>
        <v>0</v>
      </c>
      <c r="L204" s="31" cm="1">
        <f t="array" ref="L204">INT(SUMPRODUCT(--ISNUMBER(SEARCH(healthcare,C204)))&gt;0)</f>
        <v>0</v>
      </c>
      <c r="M204" s="31" cm="1">
        <f t="array" ref="M204">INT(SUMPRODUCT(--ISNUMBER(SEARCH(supreme,C204)))&gt;0)</f>
        <v>0</v>
      </c>
      <c r="N204" s="31" cm="1">
        <f t="array" ref="N204">INT(SUMPRODUCT(--ISNUMBER(SEARCH(covid,C204)))&gt;0)</f>
        <v>0</v>
      </c>
      <c r="O204" s="31" cm="1">
        <f t="array" ref="O204">INT(SUMPRODUCT(--ISNUMBER(SEARCH(violent,C204)))&gt;0)</f>
        <v>0</v>
      </c>
      <c r="P204" s="31" cm="1">
        <f t="array" ref="P204">INT(SUMPRODUCT(--ISNUMBER(SEARCH(foreign,C204)))&gt;0)</f>
        <v>0</v>
      </c>
      <c r="Q204" s="31" cm="1">
        <f t="array" ref="Q204">INT(SUMPRODUCT(--ISNUMBER(SEARCH(gun,C204)))&gt;0)</f>
        <v>0</v>
      </c>
      <c r="R204" s="31" cm="1">
        <f t="array" ref="R204">INT(SUMPRODUCT(--ISNUMBER(SEARCH(race,C204)))&gt;0)</f>
        <v>0</v>
      </c>
      <c r="S204" s="31" cm="1">
        <f t="array" ref="S204">INT(SUMPRODUCT(--ISNUMBER(SEARCH(immigration,C204)))&gt;0)</f>
        <v>0</v>
      </c>
      <c r="T204" s="31" cm="1">
        <f t="array" ref="T204">INT(SUMPRODUCT(--ISNUMBER(SEARCH(econineq,C205)))&gt;0)</f>
        <v>0</v>
      </c>
      <c r="U204" s="31" cm="1">
        <f t="array" ref="U204">INT(SUMPRODUCT(--ISNUMBER(SEARCH(climate,C204)))&gt;0)</f>
        <v>0</v>
      </c>
      <c r="V204" s="31" cm="1">
        <f t="array" ref="V204">INT(SUMPRODUCT(--ISNUMBER(SEARCH(abortion,C204)))&gt;0)</f>
        <v>0</v>
      </c>
      <c r="W204" s="31" cm="1">
        <f t="array" ref="W204">INT(SUMPRODUCT(--ISNUMBER(SEARCH(trump,C204)))&gt;0)</f>
        <v>0</v>
      </c>
      <c r="X204" s="31" cm="1">
        <f t="array" ref="X204">INT(SUMPRODUCT(--ISNUMBER(SEARCH(voting,C204)))&gt;0)</f>
        <v>0</v>
      </c>
      <c r="Y204" s="31" cm="1">
        <f t="array" ref="Y204">INT(SUMPRODUCT(--ISNUMBER(SEARCH(democrattrigger,C204)))&gt;0)</f>
        <v>0</v>
      </c>
      <c r="Z204" s="31" cm="1">
        <f t="array" ref="Z204">INT(SUMPRODUCT(--ISNUMBER(SEARCH(bipartisan,C204)))&gt;0)</f>
        <v>0</v>
      </c>
      <c r="AA204" s="31">
        <f t="shared" si="3"/>
        <v>1</v>
      </c>
      <c r="AB204" s="31"/>
      <c r="AC204" s="111">
        <v>0</v>
      </c>
      <c r="AD204" s="112">
        <v>0</v>
      </c>
    </row>
    <row r="205" spans="1:30" x14ac:dyDescent="0.25">
      <c r="A205" s="109">
        <v>2061</v>
      </c>
      <c r="B205" s="31" t="s">
        <v>4148</v>
      </c>
      <c r="C205" s="31" t="s">
        <v>4149</v>
      </c>
      <c r="D205" s="110">
        <v>44114</v>
      </c>
      <c r="E205" s="31" t="s">
        <v>30</v>
      </c>
      <c r="F205" s="31">
        <v>66</v>
      </c>
      <c r="G205" s="31">
        <v>36</v>
      </c>
      <c r="H205" s="31">
        <v>9</v>
      </c>
      <c r="I205" s="31">
        <v>5</v>
      </c>
      <c r="J205" s="31" t="s">
        <v>204</v>
      </c>
      <c r="K205" s="31" cm="1">
        <f t="array" ref="K205">INT(SUMPRODUCT(--ISNUMBER(SEARCH(economy,C205)))&gt;0)</f>
        <v>0</v>
      </c>
      <c r="L205" s="31" cm="1">
        <f t="array" ref="L205">INT(SUMPRODUCT(--ISNUMBER(SEARCH(healthcare,C205)))&gt;0)</f>
        <v>0</v>
      </c>
      <c r="M205" s="31" cm="1">
        <f t="array" ref="M205">INT(SUMPRODUCT(--ISNUMBER(SEARCH(supreme,C205)))&gt;0)</f>
        <v>0</v>
      </c>
      <c r="N205" s="31" cm="1">
        <f t="array" ref="N205">INT(SUMPRODUCT(--ISNUMBER(SEARCH(covid,C205)))&gt;0)</f>
        <v>0</v>
      </c>
      <c r="O205" s="31" cm="1">
        <f t="array" ref="O205">INT(SUMPRODUCT(--ISNUMBER(SEARCH(violent,C205)))&gt;0)</f>
        <v>0</v>
      </c>
      <c r="P205" s="31" cm="1">
        <f t="array" ref="P205">INT(SUMPRODUCT(--ISNUMBER(SEARCH(foreign,C205)))&gt;0)</f>
        <v>0</v>
      </c>
      <c r="Q205" s="31" cm="1">
        <f t="array" ref="Q205">INT(SUMPRODUCT(--ISNUMBER(SEARCH(gun,C205)))&gt;0)</f>
        <v>0</v>
      </c>
      <c r="R205" s="31" cm="1">
        <f t="array" ref="R205">INT(SUMPRODUCT(--ISNUMBER(SEARCH(race,C205)))&gt;0)</f>
        <v>0</v>
      </c>
      <c r="S205" s="31" cm="1">
        <f t="array" ref="S205">INT(SUMPRODUCT(--ISNUMBER(SEARCH(immigration,C205)))&gt;0)</f>
        <v>0</v>
      </c>
      <c r="T205" s="31" cm="1">
        <f t="array" ref="T205">INT(SUMPRODUCT(--ISNUMBER(SEARCH(econineq,C206)))&gt;0)</f>
        <v>0</v>
      </c>
      <c r="U205" s="31" cm="1">
        <f t="array" ref="U205">INT(SUMPRODUCT(--ISNUMBER(SEARCH(climate,C205)))&gt;0)</f>
        <v>0</v>
      </c>
      <c r="V205" s="31" cm="1">
        <f t="array" ref="V205">INT(SUMPRODUCT(--ISNUMBER(SEARCH(abortion,C205)))&gt;0)</f>
        <v>0</v>
      </c>
      <c r="W205" s="31" cm="1">
        <f t="array" ref="W205">INT(SUMPRODUCT(--ISNUMBER(SEARCH(trump,C205)))&gt;0)</f>
        <v>0</v>
      </c>
      <c r="X205" s="31" cm="1">
        <f t="array" ref="X205">INT(SUMPRODUCT(--ISNUMBER(SEARCH(voting,C205)))&gt;0)</f>
        <v>0</v>
      </c>
      <c r="Y205" s="31" cm="1">
        <f t="array" ref="Y205">INT(SUMPRODUCT(--ISNUMBER(SEARCH(democrattrigger,C205)))&gt;0)</f>
        <v>0</v>
      </c>
      <c r="Z205" s="31" cm="1">
        <f t="array" ref="Z205">INT(SUMPRODUCT(--ISNUMBER(SEARCH(bipartisan,C205)))&gt;0)</f>
        <v>0</v>
      </c>
      <c r="AA205" s="31">
        <f t="shared" si="3"/>
        <v>1</v>
      </c>
      <c r="AB205" s="31"/>
      <c r="AC205" s="111">
        <v>1</v>
      </c>
      <c r="AD205" s="112">
        <v>0</v>
      </c>
    </row>
    <row r="206" spans="1:30" x14ac:dyDescent="0.25">
      <c r="A206" s="109">
        <v>2062</v>
      </c>
      <c r="B206" s="31" t="s">
        <v>4150</v>
      </c>
      <c r="C206" s="31" t="s">
        <v>4151</v>
      </c>
      <c r="D206" s="110">
        <v>44113</v>
      </c>
      <c r="E206" s="31" t="s">
        <v>30</v>
      </c>
      <c r="F206" s="31">
        <v>113</v>
      </c>
      <c r="G206" s="31">
        <v>68</v>
      </c>
      <c r="H206" s="31">
        <v>9</v>
      </c>
      <c r="I206" s="31">
        <v>5</v>
      </c>
      <c r="J206" s="31" t="s">
        <v>204</v>
      </c>
      <c r="K206" s="31" cm="1">
        <f t="array" ref="K206">INT(SUMPRODUCT(--ISNUMBER(SEARCH(economy,C206)))&gt;0)</f>
        <v>0</v>
      </c>
      <c r="L206" s="31" cm="1">
        <f t="array" ref="L206">INT(SUMPRODUCT(--ISNUMBER(SEARCH(healthcare,C206)))&gt;0)</f>
        <v>0</v>
      </c>
      <c r="M206" s="31" cm="1">
        <f t="array" ref="M206">INT(SUMPRODUCT(--ISNUMBER(SEARCH(supreme,C206)))&gt;0)</f>
        <v>0</v>
      </c>
      <c r="N206" s="31" cm="1">
        <f t="array" ref="N206">INT(SUMPRODUCT(--ISNUMBER(SEARCH(covid,C206)))&gt;0)</f>
        <v>0</v>
      </c>
      <c r="O206" s="31" cm="1">
        <f t="array" ref="O206">INT(SUMPRODUCT(--ISNUMBER(SEARCH(violent,C206)))&gt;0)</f>
        <v>0</v>
      </c>
      <c r="P206" s="31" cm="1">
        <f t="array" ref="P206">INT(SUMPRODUCT(--ISNUMBER(SEARCH(foreign,C206)))&gt;0)</f>
        <v>0</v>
      </c>
      <c r="Q206" s="31" cm="1">
        <f t="array" ref="Q206">INT(SUMPRODUCT(--ISNUMBER(SEARCH(gun,C206)))&gt;0)</f>
        <v>0</v>
      </c>
      <c r="R206" s="31" cm="1">
        <f t="array" ref="R206">INT(SUMPRODUCT(--ISNUMBER(SEARCH(race,C206)))&gt;0)</f>
        <v>0</v>
      </c>
      <c r="S206" s="31" cm="1">
        <f t="array" ref="S206">INT(SUMPRODUCT(--ISNUMBER(SEARCH(immigration,C206)))&gt;0)</f>
        <v>0</v>
      </c>
      <c r="T206" s="31" cm="1">
        <f t="array" ref="T206">INT(SUMPRODUCT(--ISNUMBER(SEARCH(econineq,C207)))&gt;0)</f>
        <v>0</v>
      </c>
      <c r="U206" s="31" cm="1">
        <f t="array" ref="U206">INT(SUMPRODUCT(--ISNUMBER(SEARCH(climate,C206)))&gt;0)</f>
        <v>0</v>
      </c>
      <c r="V206" s="31" cm="1">
        <f t="array" ref="V206">INT(SUMPRODUCT(--ISNUMBER(SEARCH(abortion,C206)))&gt;0)</f>
        <v>0</v>
      </c>
      <c r="W206" s="31" cm="1">
        <f t="array" ref="W206">INT(SUMPRODUCT(--ISNUMBER(SEARCH(trump,C206)))&gt;0)</f>
        <v>0</v>
      </c>
      <c r="X206" s="31" cm="1">
        <f t="array" ref="X206">INT(SUMPRODUCT(--ISNUMBER(SEARCH(voting,C206)))&gt;0)</f>
        <v>0</v>
      </c>
      <c r="Y206" s="31" cm="1">
        <f t="array" ref="Y206">INT(SUMPRODUCT(--ISNUMBER(SEARCH(democrattrigger,C206)))&gt;0)</f>
        <v>0</v>
      </c>
      <c r="Z206" s="31" cm="1">
        <f t="array" ref="Z206">INT(SUMPRODUCT(--ISNUMBER(SEARCH(bipartisan,C206)))&gt;0)</f>
        <v>0</v>
      </c>
      <c r="AA206" s="31">
        <f t="shared" si="3"/>
        <v>1</v>
      </c>
      <c r="AB206" s="31"/>
      <c r="AC206" s="111">
        <v>0</v>
      </c>
      <c r="AD206" s="112">
        <v>0</v>
      </c>
    </row>
    <row r="207" spans="1:30" x14ac:dyDescent="0.25">
      <c r="A207" s="109">
        <v>2063</v>
      </c>
      <c r="B207" s="31" t="s">
        <v>4152</v>
      </c>
      <c r="C207" s="31" t="s">
        <v>4153</v>
      </c>
      <c r="D207" s="110">
        <v>44113</v>
      </c>
      <c r="E207" s="31" t="s">
        <v>30</v>
      </c>
      <c r="F207" s="31">
        <v>178</v>
      </c>
      <c r="G207" s="31">
        <v>71</v>
      </c>
      <c r="H207" s="31">
        <v>9</v>
      </c>
      <c r="I207" s="31">
        <v>5</v>
      </c>
      <c r="J207" s="31" t="s">
        <v>204</v>
      </c>
      <c r="K207" s="31" cm="1">
        <f t="array" ref="K207">INT(SUMPRODUCT(--ISNUMBER(SEARCH(economy,C207)))&gt;0)</f>
        <v>0</v>
      </c>
      <c r="L207" s="31" cm="1">
        <f t="array" ref="L207">INT(SUMPRODUCT(--ISNUMBER(SEARCH(healthcare,C207)))&gt;0)</f>
        <v>0</v>
      </c>
      <c r="M207" s="31" cm="1">
        <f t="array" ref="M207">INT(SUMPRODUCT(--ISNUMBER(SEARCH(supreme,C207)))&gt;0)</f>
        <v>0</v>
      </c>
      <c r="N207" s="31" cm="1">
        <f t="array" ref="N207">INT(SUMPRODUCT(--ISNUMBER(SEARCH(covid,C207)))&gt;0)</f>
        <v>0</v>
      </c>
      <c r="O207" s="31" cm="1">
        <f t="array" ref="O207">INT(SUMPRODUCT(--ISNUMBER(SEARCH(violent,C207)))&gt;0)</f>
        <v>0</v>
      </c>
      <c r="P207" s="31" cm="1">
        <f t="array" ref="P207">INT(SUMPRODUCT(--ISNUMBER(SEARCH(foreign,C207)))&gt;0)</f>
        <v>0</v>
      </c>
      <c r="Q207" s="31" cm="1">
        <f t="array" ref="Q207">INT(SUMPRODUCT(--ISNUMBER(SEARCH(gun,C207)))&gt;0)</f>
        <v>0</v>
      </c>
      <c r="R207" s="31" cm="1">
        <f t="array" ref="R207">INT(SUMPRODUCT(--ISNUMBER(SEARCH(race,C207)))&gt;0)</f>
        <v>0</v>
      </c>
      <c r="S207" s="31" cm="1">
        <f t="array" ref="S207">INT(SUMPRODUCT(--ISNUMBER(SEARCH(immigration,C207)))&gt;0)</f>
        <v>0</v>
      </c>
      <c r="T207" s="31" cm="1">
        <f t="array" ref="T207">INT(SUMPRODUCT(--ISNUMBER(SEARCH(econineq,C208)))&gt;0)</f>
        <v>0</v>
      </c>
      <c r="U207" s="31" cm="1">
        <f t="array" ref="U207">INT(SUMPRODUCT(--ISNUMBER(SEARCH(climate,C207)))&gt;0)</f>
        <v>0</v>
      </c>
      <c r="V207" s="31" cm="1">
        <f t="array" ref="V207">INT(SUMPRODUCT(--ISNUMBER(SEARCH(abortion,C207)))&gt;0)</f>
        <v>0</v>
      </c>
      <c r="W207" s="31" cm="1">
        <f t="array" ref="W207">INT(SUMPRODUCT(--ISNUMBER(SEARCH(trump,C207)))&gt;0)</f>
        <v>0</v>
      </c>
      <c r="X207" s="31" cm="1">
        <f t="array" ref="X207">INT(SUMPRODUCT(--ISNUMBER(SEARCH(voting,C207)))&gt;0)</f>
        <v>1</v>
      </c>
      <c r="Y207" s="31" cm="1">
        <f t="array" ref="Y207">INT(SUMPRODUCT(--ISNUMBER(SEARCH(democrattrigger,C207)))&gt;0)</f>
        <v>0</v>
      </c>
      <c r="Z207" s="31" cm="1">
        <f t="array" ref="Z207">INT(SUMPRODUCT(--ISNUMBER(SEARCH(bipartisan,C207)))&gt;0)</f>
        <v>0</v>
      </c>
      <c r="AA207" s="31">
        <f t="shared" si="3"/>
        <v>0</v>
      </c>
      <c r="AB207" s="31"/>
      <c r="AC207" s="111">
        <v>0</v>
      </c>
      <c r="AD207" s="112">
        <v>1</v>
      </c>
    </row>
    <row r="208" spans="1:30" x14ac:dyDescent="0.25">
      <c r="A208" s="109">
        <v>2064</v>
      </c>
      <c r="B208" s="31" t="s">
        <v>4154</v>
      </c>
      <c r="C208" s="31" t="s">
        <v>4155</v>
      </c>
      <c r="D208" s="110">
        <v>44113</v>
      </c>
      <c r="E208" s="31" t="s">
        <v>30</v>
      </c>
      <c r="F208" s="31">
        <v>94</v>
      </c>
      <c r="G208" s="31">
        <v>29</v>
      </c>
      <c r="H208" s="31">
        <v>9</v>
      </c>
      <c r="I208" s="31">
        <v>5</v>
      </c>
      <c r="J208" s="31" t="s">
        <v>204</v>
      </c>
      <c r="K208" s="31" cm="1">
        <f t="array" ref="K208">INT(SUMPRODUCT(--ISNUMBER(SEARCH(economy,C208)))&gt;0)</f>
        <v>0</v>
      </c>
      <c r="L208" s="31" cm="1">
        <f t="array" ref="L208">INT(SUMPRODUCT(--ISNUMBER(SEARCH(healthcare,C208)))&gt;0)</f>
        <v>0</v>
      </c>
      <c r="M208" s="31" cm="1">
        <f t="array" ref="M208">INT(SUMPRODUCT(--ISNUMBER(SEARCH(supreme,C208)))&gt;0)</f>
        <v>0</v>
      </c>
      <c r="N208" s="31" cm="1">
        <f t="array" ref="N208">INT(SUMPRODUCT(--ISNUMBER(SEARCH(covid,C208)))&gt;0)</f>
        <v>0</v>
      </c>
      <c r="O208" s="31" cm="1">
        <f t="array" ref="O208">INT(SUMPRODUCT(--ISNUMBER(SEARCH(violent,C208)))&gt;0)</f>
        <v>0</v>
      </c>
      <c r="P208" s="31" cm="1">
        <f t="array" ref="P208">INT(SUMPRODUCT(--ISNUMBER(SEARCH(foreign,C208)))&gt;0)</f>
        <v>0</v>
      </c>
      <c r="Q208" s="31" cm="1">
        <f t="array" ref="Q208">INT(SUMPRODUCT(--ISNUMBER(SEARCH(gun,C208)))&gt;0)</f>
        <v>0</v>
      </c>
      <c r="R208" s="31" cm="1">
        <f t="array" ref="R208">INT(SUMPRODUCT(--ISNUMBER(SEARCH(race,C208)))&gt;0)</f>
        <v>0</v>
      </c>
      <c r="S208" s="31" cm="1">
        <f t="array" ref="S208">INT(SUMPRODUCT(--ISNUMBER(SEARCH(immigration,C208)))&gt;0)</f>
        <v>0</v>
      </c>
      <c r="T208" s="31" cm="1">
        <f t="array" ref="T208">INT(SUMPRODUCT(--ISNUMBER(SEARCH(econineq,C209)))&gt;0)</f>
        <v>0</v>
      </c>
      <c r="U208" s="31" cm="1">
        <f t="array" ref="U208">INT(SUMPRODUCT(--ISNUMBER(SEARCH(climate,C208)))&gt;0)</f>
        <v>0</v>
      </c>
      <c r="V208" s="31" cm="1">
        <f t="array" ref="V208">INT(SUMPRODUCT(--ISNUMBER(SEARCH(abortion,C208)))&gt;0)</f>
        <v>0</v>
      </c>
      <c r="W208" s="31" cm="1">
        <f t="array" ref="W208">INT(SUMPRODUCT(--ISNUMBER(SEARCH(trump,C208)))&gt;0)</f>
        <v>0</v>
      </c>
      <c r="X208" s="31" cm="1">
        <f t="array" ref="X208">INT(SUMPRODUCT(--ISNUMBER(SEARCH(voting,C208)))&gt;0)</f>
        <v>0</v>
      </c>
      <c r="Y208" s="31" cm="1">
        <f t="array" ref="Y208">INT(SUMPRODUCT(--ISNUMBER(SEARCH(democrattrigger,C208)))&gt;0)</f>
        <v>0</v>
      </c>
      <c r="Z208" s="31" cm="1">
        <f t="array" ref="Z208">INT(SUMPRODUCT(--ISNUMBER(SEARCH(bipartisan,C208)))&gt;0)</f>
        <v>0</v>
      </c>
      <c r="AA208" s="31">
        <f t="shared" si="3"/>
        <v>1</v>
      </c>
      <c r="AB208" s="31"/>
      <c r="AC208" s="111">
        <v>1</v>
      </c>
      <c r="AD208" s="112">
        <v>0</v>
      </c>
    </row>
    <row r="209" spans="1:30" x14ac:dyDescent="0.25">
      <c r="A209" s="109">
        <v>2065</v>
      </c>
      <c r="B209" s="31" t="s">
        <v>4156</v>
      </c>
      <c r="C209" s="31" t="s">
        <v>4157</v>
      </c>
      <c r="D209" s="110">
        <v>44113</v>
      </c>
      <c r="E209" s="31" t="s">
        <v>30</v>
      </c>
      <c r="F209" s="31">
        <v>77</v>
      </c>
      <c r="G209" s="31">
        <v>49</v>
      </c>
      <c r="H209" s="31">
        <v>9</v>
      </c>
      <c r="I209" s="31">
        <v>5</v>
      </c>
      <c r="J209" s="31" t="s">
        <v>204</v>
      </c>
      <c r="K209" s="31" cm="1">
        <f t="array" ref="K209">INT(SUMPRODUCT(--ISNUMBER(SEARCH(economy,C209)))&gt;0)</f>
        <v>0</v>
      </c>
      <c r="L209" s="31" cm="1">
        <f t="array" ref="L209">INT(SUMPRODUCT(--ISNUMBER(SEARCH(healthcare,C209)))&gt;0)</f>
        <v>0</v>
      </c>
      <c r="M209" s="31" cm="1">
        <f t="array" ref="M209">INT(SUMPRODUCT(--ISNUMBER(SEARCH(supreme,C209)))&gt;0)</f>
        <v>0</v>
      </c>
      <c r="N209" s="31" cm="1">
        <f t="array" ref="N209">INT(SUMPRODUCT(--ISNUMBER(SEARCH(covid,C209)))&gt;0)</f>
        <v>0</v>
      </c>
      <c r="O209" s="31" cm="1">
        <f t="array" ref="O209">INT(SUMPRODUCT(--ISNUMBER(SEARCH(violent,C209)))&gt;0)</f>
        <v>0</v>
      </c>
      <c r="P209" s="31" cm="1">
        <f t="array" ref="P209">INT(SUMPRODUCT(--ISNUMBER(SEARCH(foreign,C209)))&gt;0)</f>
        <v>0</v>
      </c>
      <c r="Q209" s="31" cm="1">
        <f t="array" ref="Q209">INT(SUMPRODUCT(--ISNUMBER(SEARCH(gun,C209)))&gt;0)</f>
        <v>0</v>
      </c>
      <c r="R209" s="31" cm="1">
        <f t="array" ref="R209">INT(SUMPRODUCT(--ISNUMBER(SEARCH(race,C209)))&gt;0)</f>
        <v>0</v>
      </c>
      <c r="S209" s="31" cm="1">
        <f t="array" ref="S209">INT(SUMPRODUCT(--ISNUMBER(SEARCH(immigration,C209)))&gt;0)</f>
        <v>0</v>
      </c>
      <c r="T209" s="31" cm="1">
        <f t="array" ref="T209">INT(SUMPRODUCT(--ISNUMBER(SEARCH(econineq,C210)))&gt;0)</f>
        <v>0</v>
      </c>
      <c r="U209" s="31" cm="1">
        <f t="array" ref="U209">INT(SUMPRODUCT(--ISNUMBER(SEARCH(climate,C209)))&gt;0)</f>
        <v>0</v>
      </c>
      <c r="V209" s="31" cm="1">
        <f t="array" ref="V209">INT(SUMPRODUCT(--ISNUMBER(SEARCH(abortion,C209)))&gt;0)</f>
        <v>0</v>
      </c>
      <c r="W209" s="31" cm="1">
        <f t="array" ref="W209">INT(SUMPRODUCT(--ISNUMBER(SEARCH(trump,C209)))&gt;0)</f>
        <v>0</v>
      </c>
      <c r="X209" s="31" cm="1">
        <f t="array" ref="X209">INT(SUMPRODUCT(--ISNUMBER(SEARCH(voting,C209)))&gt;0)</f>
        <v>1</v>
      </c>
      <c r="Y209" s="31" cm="1">
        <f t="array" ref="Y209">INT(SUMPRODUCT(--ISNUMBER(SEARCH(democrattrigger,C209)))&gt;0)</f>
        <v>0</v>
      </c>
      <c r="Z209" s="31" cm="1">
        <f t="array" ref="Z209">INT(SUMPRODUCT(--ISNUMBER(SEARCH(bipartisan,C209)))&gt;0)</f>
        <v>0</v>
      </c>
      <c r="AA209" s="31">
        <f t="shared" si="3"/>
        <v>0</v>
      </c>
      <c r="AB209" s="31"/>
      <c r="AC209" s="111" t="s">
        <v>223</v>
      </c>
      <c r="AD209" s="112" t="s">
        <v>223</v>
      </c>
    </row>
    <row r="210" spans="1:30" x14ac:dyDescent="0.25">
      <c r="A210" s="109">
        <v>2066</v>
      </c>
      <c r="B210" s="31" t="s">
        <v>4158</v>
      </c>
      <c r="C210" s="31" t="s">
        <v>4159</v>
      </c>
      <c r="D210" s="110">
        <v>44113</v>
      </c>
      <c r="E210" s="31" t="s">
        <v>30</v>
      </c>
      <c r="F210" s="31">
        <v>190</v>
      </c>
      <c r="G210" s="31">
        <v>87</v>
      </c>
      <c r="H210" s="31">
        <v>9</v>
      </c>
      <c r="I210" s="31">
        <v>5</v>
      </c>
      <c r="J210" s="31" t="s">
        <v>204</v>
      </c>
      <c r="K210" s="31" cm="1">
        <f t="array" ref="K210">INT(SUMPRODUCT(--ISNUMBER(SEARCH(economy,C210)))&gt;0)</f>
        <v>0</v>
      </c>
      <c r="L210" s="31" cm="1">
        <f t="array" ref="L210">INT(SUMPRODUCT(--ISNUMBER(SEARCH(healthcare,C210)))&gt;0)</f>
        <v>1</v>
      </c>
      <c r="M210" s="31" cm="1">
        <f t="array" ref="M210">INT(SUMPRODUCT(--ISNUMBER(SEARCH(supreme,C210)))&gt;0)</f>
        <v>0</v>
      </c>
      <c r="N210" s="31" cm="1">
        <f t="array" ref="N210">INT(SUMPRODUCT(--ISNUMBER(SEARCH(covid,C210)))&gt;0)</f>
        <v>0</v>
      </c>
      <c r="O210" s="31" cm="1">
        <f t="array" ref="O210">INT(SUMPRODUCT(--ISNUMBER(SEARCH(violent,C210)))&gt;0)</f>
        <v>0</v>
      </c>
      <c r="P210" s="31" cm="1">
        <f t="array" ref="P210">INT(SUMPRODUCT(--ISNUMBER(SEARCH(foreign,C210)))&gt;0)</f>
        <v>0</v>
      </c>
      <c r="Q210" s="31" cm="1">
        <f t="array" ref="Q210">INT(SUMPRODUCT(--ISNUMBER(SEARCH(gun,C210)))&gt;0)</f>
        <v>0</v>
      </c>
      <c r="R210" s="31" cm="1">
        <f t="array" ref="R210">INT(SUMPRODUCT(--ISNUMBER(SEARCH(race,C210)))&gt;0)</f>
        <v>0</v>
      </c>
      <c r="S210" s="31" cm="1">
        <f t="array" ref="S210">INT(SUMPRODUCT(--ISNUMBER(SEARCH(immigration,C210)))&gt;0)</f>
        <v>0</v>
      </c>
      <c r="T210" s="31" cm="1">
        <f t="array" ref="T210">INT(SUMPRODUCT(--ISNUMBER(SEARCH(econineq,C211)))&gt;0)</f>
        <v>1</v>
      </c>
      <c r="U210" s="31" cm="1">
        <f t="array" ref="U210">INT(SUMPRODUCT(--ISNUMBER(SEARCH(climate,C210)))&gt;0)</f>
        <v>0</v>
      </c>
      <c r="V210" s="31" cm="1">
        <f t="array" ref="V210">INT(SUMPRODUCT(--ISNUMBER(SEARCH(abortion,C210)))&gt;0)</f>
        <v>0</v>
      </c>
      <c r="W210" s="31" cm="1">
        <f t="array" ref="W210">INT(SUMPRODUCT(--ISNUMBER(SEARCH(trump,C210)))&gt;0)</f>
        <v>0</v>
      </c>
      <c r="X210" s="31" cm="1">
        <f t="array" ref="X210">INT(SUMPRODUCT(--ISNUMBER(SEARCH(voting,C210)))&gt;0)</f>
        <v>1</v>
      </c>
      <c r="Y210" s="31" cm="1">
        <f t="array" ref="Y210">INT(SUMPRODUCT(--ISNUMBER(SEARCH(democrattrigger,C210)))&gt;0)</f>
        <v>0</v>
      </c>
      <c r="Z210" s="31" cm="1">
        <f t="array" ref="Z210">INT(SUMPRODUCT(--ISNUMBER(SEARCH(bipartisan,C210)))&gt;0)</f>
        <v>0</v>
      </c>
      <c r="AA210" s="31">
        <f t="shared" si="3"/>
        <v>0</v>
      </c>
      <c r="AB210" s="31"/>
      <c r="AC210" s="111" t="s">
        <v>223</v>
      </c>
      <c r="AD210" s="112" t="s">
        <v>223</v>
      </c>
    </row>
    <row r="211" spans="1:30" x14ac:dyDescent="0.25">
      <c r="A211" s="109">
        <v>2067</v>
      </c>
      <c r="B211" s="31" t="s">
        <v>4160</v>
      </c>
      <c r="C211" s="31" t="s">
        <v>4161</v>
      </c>
      <c r="D211" s="110">
        <v>44113</v>
      </c>
      <c r="E211" s="31" t="s">
        <v>30</v>
      </c>
      <c r="F211" s="31">
        <v>92</v>
      </c>
      <c r="G211" s="31">
        <v>33</v>
      </c>
      <c r="H211" s="31">
        <v>9</v>
      </c>
      <c r="I211" s="31">
        <v>5</v>
      </c>
      <c r="J211" s="31" t="s">
        <v>204</v>
      </c>
      <c r="K211" s="31" cm="1">
        <f t="array" ref="K211">INT(SUMPRODUCT(--ISNUMBER(SEARCH(economy,C211)))&gt;0)</f>
        <v>1</v>
      </c>
      <c r="L211" s="31" cm="1">
        <f t="array" ref="L211">INT(SUMPRODUCT(--ISNUMBER(SEARCH(healthcare,C211)))&gt;0)</f>
        <v>0</v>
      </c>
      <c r="M211" s="31" cm="1">
        <f t="array" ref="M211">INT(SUMPRODUCT(--ISNUMBER(SEARCH(supreme,C211)))&gt;0)</f>
        <v>0</v>
      </c>
      <c r="N211" s="31" cm="1">
        <f t="array" ref="N211">INT(SUMPRODUCT(--ISNUMBER(SEARCH(covid,C211)))&gt;0)</f>
        <v>0</v>
      </c>
      <c r="O211" s="31" cm="1">
        <f t="array" ref="O211">INT(SUMPRODUCT(--ISNUMBER(SEARCH(violent,C211)))&gt;0)</f>
        <v>0</v>
      </c>
      <c r="P211" s="31" cm="1">
        <f t="array" ref="P211">INT(SUMPRODUCT(--ISNUMBER(SEARCH(foreign,C211)))&gt;0)</f>
        <v>0</v>
      </c>
      <c r="Q211" s="31" cm="1">
        <f t="array" ref="Q211">INT(SUMPRODUCT(--ISNUMBER(SEARCH(gun,C211)))&gt;0)</f>
        <v>0</v>
      </c>
      <c r="R211" s="31" cm="1">
        <f t="array" ref="R211">INT(SUMPRODUCT(--ISNUMBER(SEARCH(race,C211)))&gt;0)</f>
        <v>0</v>
      </c>
      <c r="S211" s="31" cm="1">
        <f t="array" ref="S211">INT(SUMPRODUCT(--ISNUMBER(SEARCH(immigration,C211)))&gt;0)</f>
        <v>0</v>
      </c>
      <c r="T211" s="31" cm="1">
        <f t="array" ref="T211">INT(SUMPRODUCT(--ISNUMBER(SEARCH(econineq,C212)))&gt;0)</f>
        <v>0</v>
      </c>
      <c r="U211" s="31" cm="1">
        <f t="array" ref="U211">INT(SUMPRODUCT(--ISNUMBER(SEARCH(climate,C211)))&gt;0)</f>
        <v>0</v>
      </c>
      <c r="V211" s="31" cm="1">
        <f t="array" ref="V211">INT(SUMPRODUCT(--ISNUMBER(SEARCH(abortion,C211)))&gt;0)</f>
        <v>0</v>
      </c>
      <c r="W211" s="31" cm="1">
        <f t="array" ref="W211">INT(SUMPRODUCT(--ISNUMBER(SEARCH(trump,C211)))&gt;0)</f>
        <v>0</v>
      </c>
      <c r="X211" s="31" cm="1">
        <f t="array" ref="X211">INT(SUMPRODUCT(--ISNUMBER(SEARCH(voting,C211)))&gt;0)</f>
        <v>0</v>
      </c>
      <c r="Y211" s="31" cm="1">
        <f t="array" ref="Y211">INT(SUMPRODUCT(--ISNUMBER(SEARCH(democrattrigger,C211)))&gt;0)</f>
        <v>0</v>
      </c>
      <c r="Z211" s="31" cm="1">
        <f t="array" ref="Z211">INT(SUMPRODUCT(--ISNUMBER(SEARCH(bipartisan,C211)))&gt;0)</f>
        <v>0</v>
      </c>
      <c r="AA211" s="31">
        <f t="shared" si="3"/>
        <v>0</v>
      </c>
      <c r="AB211" s="31"/>
      <c r="AC211" s="111" t="s">
        <v>223</v>
      </c>
      <c r="AD211" s="112" t="s">
        <v>223</v>
      </c>
    </row>
    <row r="212" spans="1:30" x14ac:dyDescent="0.25">
      <c r="A212" s="109">
        <v>2068</v>
      </c>
      <c r="B212" s="31" t="s">
        <v>4162</v>
      </c>
      <c r="C212" s="31" t="s">
        <v>4163</v>
      </c>
      <c r="D212" s="110">
        <v>44113</v>
      </c>
      <c r="E212" s="31" t="s">
        <v>30</v>
      </c>
      <c r="F212" s="31">
        <v>294</v>
      </c>
      <c r="G212" s="31">
        <v>82</v>
      </c>
      <c r="H212" s="31">
        <v>9</v>
      </c>
      <c r="I212" s="31">
        <v>5</v>
      </c>
      <c r="J212" s="31" t="s">
        <v>204</v>
      </c>
      <c r="K212" s="31" cm="1">
        <f t="array" ref="K212">INT(SUMPRODUCT(--ISNUMBER(SEARCH(economy,C212)))&gt;0)</f>
        <v>0</v>
      </c>
      <c r="L212" s="31" cm="1">
        <f t="array" ref="L212">INT(SUMPRODUCT(--ISNUMBER(SEARCH(healthcare,C212)))&gt;0)</f>
        <v>0</v>
      </c>
      <c r="M212" s="31" cm="1">
        <f t="array" ref="M212">INT(SUMPRODUCT(--ISNUMBER(SEARCH(supreme,C212)))&gt;0)</f>
        <v>0</v>
      </c>
      <c r="N212" s="31" cm="1">
        <f t="array" ref="N212">INT(SUMPRODUCT(--ISNUMBER(SEARCH(covid,C212)))&gt;0)</f>
        <v>0</v>
      </c>
      <c r="O212" s="31" cm="1">
        <f t="array" ref="O212">INT(SUMPRODUCT(--ISNUMBER(SEARCH(violent,C212)))&gt;0)</f>
        <v>1</v>
      </c>
      <c r="P212" s="31" cm="1">
        <f t="array" ref="P212">INT(SUMPRODUCT(--ISNUMBER(SEARCH(foreign,C212)))&gt;0)</f>
        <v>0</v>
      </c>
      <c r="Q212" s="31" cm="1">
        <f t="array" ref="Q212">INT(SUMPRODUCT(--ISNUMBER(SEARCH(gun,C212)))&gt;0)</f>
        <v>0</v>
      </c>
      <c r="R212" s="31" cm="1">
        <f t="array" ref="R212">INT(SUMPRODUCT(--ISNUMBER(SEARCH(race,C212)))&gt;0)</f>
        <v>0</v>
      </c>
      <c r="S212" s="31" cm="1">
        <f t="array" ref="S212">INT(SUMPRODUCT(--ISNUMBER(SEARCH(immigration,C212)))&gt;0)</f>
        <v>0</v>
      </c>
      <c r="T212" s="31" cm="1">
        <f t="array" ref="T212">INT(SUMPRODUCT(--ISNUMBER(SEARCH(econineq,C213)))&gt;0)</f>
        <v>0</v>
      </c>
      <c r="U212" s="31" cm="1">
        <f t="array" ref="U212">INT(SUMPRODUCT(--ISNUMBER(SEARCH(climate,C212)))&gt;0)</f>
        <v>0</v>
      </c>
      <c r="V212" s="31" cm="1">
        <f t="array" ref="V212">INT(SUMPRODUCT(--ISNUMBER(SEARCH(abortion,C212)))&gt;0)</f>
        <v>0</v>
      </c>
      <c r="W212" s="31" cm="1">
        <f t="array" ref="W212">INT(SUMPRODUCT(--ISNUMBER(SEARCH(trump,C212)))&gt;0)</f>
        <v>1</v>
      </c>
      <c r="X212" s="31" cm="1">
        <f t="array" ref="X212">INT(SUMPRODUCT(--ISNUMBER(SEARCH(voting,C212)))&gt;0)</f>
        <v>0</v>
      </c>
      <c r="Y212" s="31" cm="1">
        <f t="array" ref="Y212">INT(SUMPRODUCT(--ISNUMBER(SEARCH(democrattrigger,C212)))&gt;0)</f>
        <v>0</v>
      </c>
      <c r="Z212" s="31" cm="1">
        <f t="array" ref="Z212">INT(SUMPRODUCT(--ISNUMBER(SEARCH(bipartisan,C212)))&gt;0)</f>
        <v>0</v>
      </c>
      <c r="AA212" s="31">
        <f t="shared" si="3"/>
        <v>0</v>
      </c>
      <c r="AB212" s="31"/>
      <c r="AC212" s="111" t="s">
        <v>223</v>
      </c>
      <c r="AD212" s="112" t="s">
        <v>223</v>
      </c>
    </row>
    <row r="213" spans="1:30" x14ac:dyDescent="0.25">
      <c r="A213" s="109">
        <v>2069</v>
      </c>
      <c r="B213" s="31" t="s">
        <v>4164</v>
      </c>
      <c r="C213" s="31" t="s">
        <v>4165</v>
      </c>
      <c r="D213" s="110">
        <v>44113</v>
      </c>
      <c r="E213" s="31" t="s">
        <v>30</v>
      </c>
      <c r="F213" s="31">
        <v>127</v>
      </c>
      <c r="G213" s="31">
        <v>50</v>
      </c>
      <c r="H213" s="31">
        <v>9</v>
      </c>
      <c r="I213" s="31">
        <v>5</v>
      </c>
      <c r="J213" s="31" t="s">
        <v>204</v>
      </c>
      <c r="K213" s="31" cm="1">
        <f t="array" ref="K213">INT(SUMPRODUCT(--ISNUMBER(SEARCH(economy,C213)))&gt;0)</f>
        <v>0</v>
      </c>
      <c r="L213" s="31" cm="1">
        <f t="array" ref="L213">INT(SUMPRODUCT(--ISNUMBER(SEARCH(healthcare,C213)))&gt;0)</f>
        <v>0</v>
      </c>
      <c r="M213" s="31" cm="1">
        <f t="array" ref="M213">INT(SUMPRODUCT(--ISNUMBER(SEARCH(supreme,C213)))&gt;0)</f>
        <v>0</v>
      </c>
      <c r="N213" s="31" cm="1">
        <f t="array" ref="N213">INT(SUMPRODUCT(--ISNUMBER(SEARCH(covid,C213)))&gt;0)</f>
        <v>0</v>
      </c>
      <c r="O213" s="31" cm="1">
        <f t="array" ref="O213">INT(SUMPRODUCT(--ISNUMBER(SEARCH(violent,C213)))&gt;0)</f>
        <v>0</v>
      </c>
      <c r="P213" s="31" cm="1">
        <f t="array" ref="P213">INT(SUMPRODUCT(--ISNUMBER(SEARCH(foreign,C213)))&gt;0)</f>
        <v>0</v>
      </c>
      <c r="Q213" s="31" cm="1">
        <f t="array" ref="Q213">INT(SUMPRODUCT(--ISNUMBER(SEARCH(gun,C213)))&gt;0)</f>
        <v>0</v>
      </c>
      <c r="R213" s="31" cm="1">
        <f t="array" ref="R213">INT(SUMPRODUCT(--ISNUMBER(SEARCH(race,C213)))&gt;0)</f>
        <v>0</v>
      </c>
      <c r="S213" s="31" cm="1">
        <f t="array" ref="S213">INT(SUMPRODUCT(--ISNUMBER(SEARCH(immigration,C213)))&gt;0)</f>
        <v>0</v>
      </c>
      <c r="T213" s="31" cm="1">
        <f t="array" ref="T213">INT(SUMPRODUCT(--ISNUMBER(SEARCH(econineq,C214)))&gt;0)</f>
        <v>0</v>
      </c>
      <c r="U213" s="31" cm="1">
        <f t="array" ref="U213">INT(SUMPRODUCT(--ISNUMBER(SEARCH(climate,C213)))&gt;0)</f>
        <v>0</v>
      </c>
      <c r="V213" s="31" cm="1">
        <f t="array" ref="V213">INT(SUMPRODUCT(--ISNUMBER(SEARCH(abortion,C213)))&gt;0)</f>
        <v>0</v>
      </c>
      <c r="W213" s="31" cm="1">
        <f t="array" ref="W213">INT(SUMPRODUCT(--ISNUMBER(SEARCH(trump,C213)))&gt;0)</f>
        <v>0</v>
      </c>
      <c r="X213" s="31" cm="1">
        <f t="array" ref="X213">INT(SUMPRODUCT(--ISNUMBER(SEARCH(voting,C213)))&gt;0)</f>
        <v>1</v>
      </c>
      <c r="Y213" s="31" cm="1">
        <f t="array" ref="Y213">INT(SUMPRODUCT(--ISNUMBER(SEARCH(democrattrigger,C213)))&gt;0)</f>
        <v>0</v>
      </c>
      <c r="Z213" s="31" cm="1">
        <f t="array" ref="Z213">INT(SUMPRODUCT(--ISNUMBER(SEARCH(bipartisan,C213)))&gt;0)</f>
        <v>0</v>
      </c>
      <c r="AA213" s="31">
        <f t="shared" si="3"/>
        <v>0</v>
      </c>
      <c r="AB213" s="31"/>
      <c r="AC213" s="111" t="s">
        <v>223</v>
      </c>
      <c r="AD213" s="112" t="s">
        <v>223</v>
      </c>
    </row>
    <row r="214" spans="1:30" x14ac:dyDescent="0.25">
      <c r="A214" s="109">
        <v>2070</v>
      </c>
      <c r="B214" s="31" t="s">
        <v>4166</v>
      </c>
      <c r="C214" s="31" t="s">
        <v>4167</v>
      </c>
      <c r="D214" s="110">
        <v>44113</v>
      </c>
      <c r="E214" s="31" t="s">
        <v>30</v>
      </c>
      <c r="F214" s="31">
        <v>598</v>
      </c>
      <c r="G214" s="31">
        <v>183</v>
      </c>
      <c r="H214" s="31">
        <v>9</v>
      </c>
      <c r="I214" s="31">
        <v>5</v>
      </c>
      <c r="J214" s="31" t="s">
        <v>204</v>
      </c>
      <c r="K214" s="31" cm="1">
        <f t="array" ref="K214">INT(SUMPRODUCT(--ISNUMBER(SEARCH(economy,C214)))&gt;0)</f>
        <v>0</v>
      </c>
      <c r="L214" s="31" cm="1">
        <f t="array" ref="L214">INT(SUMPRODUCT(--ISNUMBER(SEARCH(healthcare,C214)))&gt;0)</f>
        <v>0</v>
      </c>
      <c r="M214" s="31" cm="1">
        <f t="array" ref="M214">INT(SUMPRODUCT(--ISNUMBER(SEARCH(supreme,C214)))&gt;0)</f>
        <v>0</v>
      </c>
      <c r="N214" s="31" cm="1">
        <f t="array" ref="N214">INT(SUMPRODUCT(--ISNUMBER(SEARCH(covid,C214)))&gt;0)</f>
        <v>0</v>
      </c>
      <c r="O214" s="31" cm="1">
        <f t="array" ref="O214">INT(SUMPRODUCT(--ISNUMBER(SEARCH(violent,C214)))&gt;0)</f>
        <v>0</v>
      </c>
      <c r="P214" s="31" cm="1">
        <f t="array" ref="P214">INT(SUMPRODUCT(--ISNUMBER(SEARCH(foreign,C214)))&gt;0)</f>
        <v>0</v>
      </c>
      <c r="Q214" s="31" cm="1">
        <f t="array" ref="Q214">INT(SUMPRODUCT(--ISNUMBER(SEARCH(gun,C214)))&gt;0)</f>
        <v>0</v>
      </c>
      <c r="R214" s="31" cm="1">
        <f t="array" ref="R214">INT(SUMPRODUCT(--ISNUMBER(SEARCH(race,C214)))&gt;0)</f>
        <v>0</v>
      </c>
      <c r="S214" s="31" cm="1">
        <f t="array" ref="S214">INT(SUMPRODUCT(--ISNUMBER(SEARCH(immigration,C214)))&gt;0)</f>
        <v>0</v>
      </c>
      <c r="T214" s="31" cm="1">
        <f t="array" ref="T214">INT(SUMPRODUCT(--ISNUMBER(SEARCH(econineq,C215)))&gt;0)</f>
        <v>0</v>
      </c>
      <c r="U214" s="31" cm="1">
        <f t="array" ref="U214">INT(SUMPRODUCT(--ISNUMBER(SEARCH(climate,C214)))&gt;0)</f>
        <v>0</v>
      </c>
      <c r="V214" s="31" cm="1">
        <f t="array" ref="V214">INT(SUMPRODUCT(--ISNUMBER(SEARCH(abortion,C214)))&gt;0)</f>
        <v>0</v>
      </c>
      <c r="W214" s="31" cm="1">
        <f t="array" ref="W214">INT(SUMPRODUCT(--ISNUMBER(SEARCH(trump,C214)))&gt;0)</f>
        <v>0</v>
      </c>
      <c r="X214" s="31" cm="1">
        <f t="array" ref="X214">INT(SUMPRODUCT(--ISNUMBER(SEARCH(voting,C214)))&gt;0)</f>
        <v>1</v>
      </c>
      <c r="Y214" s="31" cm="1">
        <f t="array" ref="Y214">INT(SUMPRODUCT(--ISNUMBER(SEARCH(democrattrigger,C214)))&gt;0)</f>
        <v>0</v>
      </c>
      <c r="Z214" s="31" cm="1">
        <f t="array" ref="Z214">INT(SUMPRODUCT(--ISNUMBER(SEARCH(bipartisan,C214)))&gt;0)</f>
        <v>0</v>
      </c>
      <c r="AA214" s="31">
        <f t="shared" si="3"/>
        <v>0</v>
      </c>
      <c r="AB214" s="31"/>
      <c r="AC214" s="111" t="s">
        <v>223</v>
      </c>
      <c r="AD214" s="112" t="s">
        <v>223</v>
      </c>
    </row>
    <row r="215" spans="1:30" x14ac:dyDescent="0.25">
      <c r="A215" s="109">
        <v>2071</v>
      </c>
      <c r="B215" s="31" t="s">
        <v>4168</v>
      </c>
      <c r="C215" s="31" t="s">
        <v>4169</v>
      </c>
      <c r="D215" s="110">
        <v>44113</v>
      </c>
      <c r="E215" s="31" t="s">
        <v>30</v>
      </c>
      <c r="F215" s="31">
        <v>103</v>
      </c>
      <c r="G215" s="31">
        <v>33</v>
      </c>
      <c r="H215" s="31">
        <v>9</v>
      </c>
      <c r="I215" s="31">
        <v>5</v>
      </c>
      <c r="J215" s="31" t="s">
        <v>204</v>
      </c>
      <c r="K215" s="31" cm="1">
        <f t="array" ref="K215">INT(SUMPRODUCT(--ISNUMBER(SEARCH(economy,C215)))&gt;0)</f>
        <v>1</v>
      </c>
      <c r="L215" s="31" cm="1">
        <f t="array" ref="L215">INT(SUMPRODUCT(--ISNUMBER(SEARCH(healthcare,C215)))&gt;0)</f>
        <v>1</v>
      </c>
      <c r="M215" s="31" cm="1">
        <f t="array" ref="M215">INT(SUMPRODUCT(--ISNUMBER(SEARCH(supreme,C215)))&gt;0)</f>
        <v>0</v>
      </c>
      <c r="N215" s="31" cm="1">
        <f t="array" ref="N215">INT(SUMPRODUCT(--ISNUMBER(SEARCH(covid,C215)))&gt;0)</f>
        <v>0</v>
      </c>
      <c r="O215" s="31" cm="1">
        <f t="array" ref="O215">INT(SUMPRODUCT(--ISNUMBER(SEARCH(violent,C215)))&gt;0)</f>
        <v>0</v>
      </c>
      <c r="P215" s="31" cm="1">
        <f t="array" ref="P215">INT(SUMPRODUCT(--ISNUMBER(SEARCH(foreign,C215)))&gt;0)</f>
        <v>0</v>
      </c>
      <c r="Q215" s="31" cm="1">
        <f t="array" ref="Q215">INT(SUMPRODUCT(--ISNUMBER(SEARCH(gun,C215)))&gt;0)</f>
        <v>0</v>
      </c>
      <c r="R215" s="31" cm="1">
        <f t="array" ref="R215">INT(SUMPRODUCT(--ISNUMBER(SEARCH(race,C215)))&gt;0)</f>
        <v>1</v>
      </c>
      <c r="S215" s="31" cm="1">
        <f t="array" ref="S215">INT(SUMPRODUCT(--ISNUMBER(SEARCH(immigration,C215)))&gt;0)</f>
        <v>0</v>
      </c>
      <c r="T215" s="31" cm="1">
        <f t="array" ref="T215">INT(SUMPRODUCT(--ISNUMBER(SEARCH(econineq,C216)))&gt;0)</f>
        <v>0</v>
      </c>
      <c r="U215" s="31" cm="1">
        <f t="array" ref="U215">INT(SUMPRODUCT(--ISNUMBER(SEARCH(climate,C215)))&gt;0)</f>
        <v>0</v>
      </c>
      <c r="V215" s="31" cm="1">
        <f t="array" ref="V215">INT(SUMPRODUCT(--ISNUMBER(SEARCH(abortion,C215)))&gt;0)</f>
        <v>0</v>
      </c>
      <c r="W215" s="31" cm="1">
        <f t="array" ref="W215">INT(SUMPRODUCT(--ISNUMBER(SEARCH(trump,C215)))&gt;0)</f>
        <v>0</v>
      </c>
      <c r="X215" s="31" cm="1">
        <f t="array" ref="X215">INT(SUMPRODUCT(--ISNUMBER(SEARCH(voting,C215)))&gt;0)</f>
        <v>0</v>
      </c>
      <c r="Y215" s="31" cm="1">
        <f t="array" ref="Y215">INT(SUMPRODUCT(--ISNUMBER(SEARCH(democrattrigger,C215)))&gt;0)</f>
        <v>0</v>
      </c>
      <c r="Z215" s="31" cm="1">
        <f t="array" ref="Z215">INT(SUMPRODUCT(--ISNUMBER(SEARCH(bipartisan,C215)))&gt;0)</f>
        <v>0</v>
      </c>
      <c r="AA215" s="31">
        <f t="shared" si="3"/>
        <v>0</v>
      </c>
      <c r="AB215" s="31"/>
      <c r="AC215" s="111" t="s">
        <v>223</v>
      </c>
      <c r="AD215" s="112" t="s">
        <v>223</v>
      </c>
    </row>
    <row r="216" spans="1:30" x14ac:dyDescent="0.25">
      <c r="A216" s="109">
        <v>2072</v>
      </c>
      <c r="B216" s="31" t="s">
        <v>4170</v>
      </c>
      <c r="C216" s="31" t="s">
        <v>4171</v>
      </c>
      <c r="D216" s="110">
        <v>44112</v>
      </c>
      <c r="E216" s="31" t="s">
        <v>30</v>
      </c>
      <c r="F216" s="31">
        <v>90</v>
      </c>
      <c r="G216" s="31">
        <v>29</v>
      </c>
      <c r="H216" s="31">
        <v>9</v>
      </c>
      <c r="I216" s="31">
        <v>5</v>
      </c>
      <c r="J216" s="31" t="s">
        <v>204</v>
      </c>
      <c r="K216" s="31" cm="1">
        <f t="array" ref="K216">INT(SUMPRODUCT(--ISNUMBER(SEARCH(economy,C216)))&gt;0)</f>
        <v>0</v>
      </c>
      <c r="L216" s="31" cm="1">
        <f t="array" ref="L216">INT(SUMPRODUCT(--ISNUMBER(SEARCH(healthcare,C216)))&gt;0)</f>
        <v>0</v>
      </c>
      <c r="M216" s="31" cm="1">
        <f t="array" ref="M216">INT(SUMPRODUCT(--ISNUMBER(SEARCH(supreme,C216)))&gt;0)</f>
        <v>0</v>
      </c>
      <c r="N216" s="31" cm="1">
        <f t="array" ref="N216">INT(SUMPRODUCT(--ISNUMBER(SEARCH(covid,C216)))&gt;0)</f>
        <v>0</v>
      </c>
      <c r="O216" s="31" cm="1">
        <f t="array" ref="O216">INT(SUMPRODUCT(--ISNUMBER(SEARCH(violent,C216)))&gt;0)</f>
        <v>0</v>
      </c>
      <c r="P216" s="31" cm="1">
        <f t="array" ref="P216">INT(SUMPRODUCT(--ISNUMBER(SEARCH(foreign,C216)))&gt;0)</f>
        <v>0</v>
      </c>
      <c r="Q216" s="31" cm="1">
        <f t="array" ref="Q216">INT(SUMPRODUCT(--ISNUMBER(SEARCH(gun,C216)))&gt;0)</f>
        <v>0</v>
      </c>
      <c r="R216" s="31" cm="1">
        <f t="array" ref="R216">INT(SUMPRODUCT(--ISNUMBER(SEARCH(race,C216)))&gt;0)</f>
        <v>0</v>
      </c>
      <c r="S216" s="31" cm="1">
        <f t="array" ref="S216">INT(SUMPRODUCT(--ISNUMBER(SEARCH(immigration,C216)))&gt;0)</f>
        <v>0</v>
      </c>
      <c r="T216" s="31" cm="1">
        <f t="array" ref="T216">INT(SUMPRODUCT(--ISNUMBER(SEARCH(econineq,C217)))&gt;0)</f>
        <v>0</v>
      </c>
      <c r="U216" s="31" cm="1">
        <f t="array" ref="U216">INT(SUMPRODUCT(--ISNUMBER(SEARCH(climate,C216)))&gt;0)</f>
        <v>0</v>
      </c>
      <c r="V216" s="31" cm="1">
        <f t="array" ref="V216">INT(SUMPRODUCT(--ISNUMBER(SEARCH(abortion,C216)))&gt;0)</f>
        <v>0</v>
      </c>
      <c r="W216" s="31" cm="1">
        <f t="array" ref="W216">INT(SUMPRODUCT(--ISNUMBER(SEARCH(trump,C216)))&gt;0)</f>
        <v>0</v>
      </c>
      <c r="X216" s="31" cm="1">
        <f t="array" ref="X216">INT(SUMPRODUCT(--ISNUMBER(SEARCH(voting,C216)))&gt;0)</f>
        <v>0</v>
      </c>
      <c r="Y216" s="31" cm="1">
        <f t="array" ref="Y216">INT(SUMPRODUCT(--ISNUMBER(SEARCH(democrattrigger,C216)))&gt;0)</f>
        <v>0</v>
      </c>
      <c r="Z216" s="31" cm="1">
        <f t="array" ref="Z216">INT(SUMPRODUCT(--ISNUMBER(SEARCH(bipartisan,C216)))&gt;0)</f>
        <v>0</v>
      </c>
      <c r="AA216" s="31">
        <f t="shared" si="3"/>
        <v>1</v>
      </c>
      <c r="AB216" s="31"/>
      <c r="AC216" s="111" t="s">
        <v>223</v>
      </c>
      <c r="AD216" s="112" t="s">
        <v>223</v>
      </c>
    </row>
    <row r="217" spans="1:30" x14ac:dyDescent="0.25">
      <c r="A217" s="109">
        <v>2073</v>
      </c>
      <c r="B217" s="31" t="s">
        <v>4172</v>
      </c>
      <c r="C217" s="31" t="s">
        <v>4173</v>
      </c>
      <c r="D217" s="110">
        <v>44112</v>
      </c>
      <c r="E217" s="31" t="s">
        <v>30</v>
      </c>
      <c r="F217" s="31">
        <v>50</v>
      </c>
      <c r="G217" s="31">
        <v>19</v>
      </c>
      <c r="H217" s="31">
        <v>9</v>
      </c>
      <c r="I217" s="31">
        <v>5</v>
      </c>
      <c r="J217" s="31" t="s">
        <v>204</v>
      </c>
      <c r="K217" s="31" cm="1">
        <f t="array" ref="K217">INT(SUMPRODUCT(--ISNUMBER(SEARCH(economy,C217)))&gt;0)</f>
        <v>0</v>
      </c>
      <c r="L217" s="31" cm="1">
        <f t="array" ref="L217">INT(SUMPRODUCT(--ISNUMBER(SEARCH(healthcare,C217)))&gt;0)</f>
        <v>0</v>
      </c>
      <c r="M217" s="31" cm="1">
        <f t="array" ref="M217">INT(SUMPRODUCT(--ISNUMBER(SEARCH(supreme,C217)))&gt;0)</f>
        <v>0</v>
      </c>
      <c r="N217" s="31" cm="1">
        <f t="array" ref="N217">INT(SUMPRODUCT(--ISNUMBER(SEARCH(covid,C217)))&gt;0)</f>
        <v>0</v>
      </c>
      <c r="O217" s="31" cm="1">
        <f t="array" ref="O217">INT(SUMPRODUCT(--ISNUMBER(SEARCH(violent,C217)))&gt;0)</f>
        <v>0</v>
      </c>
      <c r="P217" s="31" cm="1">
        <f t="array" ref="P217">INT(SUMPRODUCT(--ISNUMBER(SEARCH(foreign,C217)))&gt;0)</f>
        <v>0</v>
      </c>
      <c r="Q217" s="31" cm="1">
        <f t="array" ref="Q217">INT(SUMPRODUCT(--ISNUMBER(SEARCH(gun,C217)))&gt;0)</f>
        <v>0</v>
      </c>
      <c r="R217" s="31" cm="1">
        <f t="array" ref="R217">INT(SUMPRODUCT(--ISNUMBER(SEARCH(race,C217)))&gt;0)</f>
        <v>0</v>
      </c>
      <c r="S217" s="31" cm="1">
        <f t="array" ref="S217">INT(SUMPRODUCT(--ISNUMBER(SEARCH(immigration,C217)))&gt;0)</f>
        <v>0</v>
      </c>
      <c r="T217" s="31" cm="1">
        <f t="array" ref="T217">INT(SUMPRODUCT(--ISNUMBER(SEARCH(econineq,C218)))&gt;0)</f>
        <v>0</v>
      </c>
      <c r="U217" s="31" cm="1">
        <f t="array" ref="U217">INT(SUMPRODUCT(--ISNUMBER(SEARCH(climate,C217)))&gt;0)</f>
        <v>0</v>
      </c>
      <c r="V217" s="31" cm="1">
        <f t="array" ref="V217">INT(SUMPRODUCT(--ISNUMBER(SEARCH(abortion,C217)))&gt;0)</f>
        <v>0</v>
      </c>
      <c r="W217" s="31" cm="1">
        <f t="array" ref="W217">INT(SUMPRODUCT(--ISNUMBER(SEARCH(trump,C217)))&gt;0)</f>
        <v>0</v>
      </c>
      <c r="X217" s="31" cm="1">
        <f t="array" ref="X217">INT(SUMPRODUCT(--ISNUMBER(SEARCH(voting,C217)))&gt;0)</f>
        <v>0</v>
      </c>
      <c r="Y217" s="31" cm="1">
        <f t="array" ref="Y217">INT(SUMPRODUCT(--ISNUMBER(SEARCH(democrattrigger,C217)))&gt;0)</f>
        <v>0</v>
      </c>
      <c r="Z217" s="31" cm="1">
        <f t="array" ref="Z217">INT(SUMPRODUCT(--ISNUMBER(SEARCH(bipartisan,C217)))&gt;0)</f>
        <v>0</v>
      </c>
      <c r="AA217" s="31">
        <f t="shared" si="3"/>
        <v>1</v>
      </c>
      <c r="AB217" s="31"/>
      <c r="AC217" s="111" t="s">
        <v>223</v>
      </c>
      <c r="AD217" s="112" t="s">
        <v>223</v>
      </c>
    </row>
    <row r="218" spans="1:30" x14ac:dyDescent="0.25">
      <c r="A218" s="109">
        <v>2074</v>
      </c>
      <c r="B218" s="31" t="s">
        <v>4174</v>
      </c>
      <c r="C218" s="31" t="s">
        <v>4175</v>
      </c>
      <c r="D218" s="110">
        <v>44112</v>
      </c>
      <c r="E218" s="31" t="s">
        <v>30</v>
      </c>
      <c r="F218" s="31">
        <v>363</v>
      </c>
      <c r="G218" s="31">
        <v>101</v>
      </c>
      <c r="H218" s="31">
        <v>9</v>
      </c>
      <c r="I218" s="31">
        <v>5</v>
      </c>
      <c r="J218" s="31" t="s">
        <v>204</v>
      </c>
      <c r="K218" s="31" cm="1">
        <f t="array" ref="K218">INT(SUMPRODUCT(--ISNUMBER(SEARCH(economy,C218)))&gt;0)</f>
        <v>0</v>
      </c>
      <c r="L218" s="31" cm="1">
        <f t="array" ref="L218">INT(SUMPRODUCT(--ISNUMBER(SEARCH(healthcare,C218)))&gt;0)</f>
        <v>0</v>
      </c>
      <c r="M218" s="31" cm="1">
        <f t="array" ref="M218">INT(SUMPRODUCT(--ISNUMBER(SEARCH(supreme,C218)))&gt;0)</f>
        <v>0</v>
      </c>
      <c r="N218" s="31" cm="1">
        <f t="array" ref="N218">INT(SUMPRODUCT(--ISNUMBER(SEARCH(covid,C218)))&gt;0)</f>
        <v>0</v>
      </c>
      <c r="O218" s="31" cm="1">
        <f t="array" ref="O218">INT(SUMPRODUCT(--ISNUMBER(SEARCH(violent,C218)))&gt;0)</f>
        <v>1</v>
      </c>
      <c r="P218" s="31" cm="1">
        <f t="array" ref="P218">INT(SUMPRODUCT(--ISNUMBER(SEARCH(foreign,C218)))&gt;0)</f>
        <v>0</v>
      </c>
      <c r="Q218" s="31" cm="1">
        <f t="array" ref="Q218">INT(SUMPRODUCT(--ISNUMBER(SEARCH(gun,C218)))&gt;0)</f>
        <v>0</v>
      </c>
      <c r="R218" s="31" cm="1">
        <f t="array" ref="R218">INT(SUMPRODUCT(--ISNUMBER(SEARCH(race,C218)))&gt;0)</f>
        <v>0</v>
      </c>
      <c r="S218" s="31" cm="1">
        <f t="array" ref="S218">INT(SUMPRODUCT(--ISNUMBER(SEARCH(immigration,C218)))&gt;0)</f>
        <v>0</v>
      </c>
      <c r="T218" s="31" cm="1">
        <f t="array" ref="T218">INT(SUMPRODUCT(--ISNUMBER(SEARCH(econineq,C219)))&gt;0)</f>
        <v>0</v>
      </c>
      <c r="U218" s="31" cm="1">
        <f t="array" ref="U218">INT(SUMPRODUCT(--ISNUMBER(SEARCH(climate,C218)))&gt;0)</f>
        <v>0</v>
      </c>
      <c r="V218" s="31" cm="1">
        <f t="array" ref="V218">INT(SUMPRODUCT(--ISNUMBER(SEARCH(abortion,C218)))&gt;0)</f>
        <v>0</v>
      </c>
      <c r="W218" s="31" cm="1">
        <f t="array" ref="W218">INT(SUMPRODUCT(--ISNUMBER(SEARCH(trump,C218)))&gt;0)</f>
        <v>0</v>
      </c>
      <c r="X218" s="31" cm="1">
        <f t="array" ref="X218">INT(SUMPRODUCT(--ISNUMBER(SEARCH(voting,C218)))&gt;0)</f>
        <v>0</v>
      </c>
      <c r="Y218" s="31" cm="1">
        <f t="array" ref="Y218">INT(SUMPRODUCT(--ISNUMBER(SEARCH(democrattrigger,C218)))&gt;0)</f>
        <v>0</v>
      </c>
      <c r="Z218" s="31" cm="1">
        <f t="array" ref="Z218">INT(SUMPRODUCT(--ISNUMBER(SEARCH(bipartisan,C218)))&gt;0)</f>
        <v>0</v>
      </c>
      <c r="AA218" s="31">
        <f t="shared" si="3"/>
        <v>0</v>
      </c>
      <c r="AB218" s="31"/>
      <c r="AC218" s="111" t="s">
        <v>223</v>
      </c>
      <c r="AD218" s="112" t="s">
        <v>223</v>
      </c>
    </row>
    <row r="219" spans="1:30" x14ac:dyDescent="0.25">
      <c r="A219" s="109">
        <v>2075</v>
      </c>
      <c r="B219" s="31" t="s">
        <v>4176</v>
      </c>
      <c r="C219" s="31" t="s">
        <v>4177</v>
      </c>
      <c r="D219" s="110">
        <v>44112</v>
      </c>
      <c r="E219" s="31" t="s">
        <v>30</v>
      </c>
      <c r="F219" s="31">
        <v>379</v>
      </c>
      <c r="G219" s="31">
        <v>100</v>
      </c>
      <c r="H219" s="31">
        <v>9</v>
      </c>
      <c r="I219" s="31">
        <v>5</v>
      </c>
      <c r="J219" s="31" t="s">
        <v>204</v>
      </c>
      <c r="K219" s="31" cm="1">
        <f t="array" ref="K219">INT(SUMPRODUCT(--ISNUMBER(SEARCH(economy,C219)))&gt;0)</f>
        <v>0</v>
      </c>
      <c r="L219" s="31" cm="1">
        <f t="array" ref="L219">INT(SUMPRODUCT(--ISNUMBER(SEARCH(healthcare,C219)))&gt;0)</f>
        <v>0</v>
      </c>
      <c r="M219" s="31" cm="1">
        <f t="array" ref="M219">INT(SUMPRODUCT(--ISNUMBER(SEARCH(supreme,C219)))&gt;0)</f>
        <v>0</v>
      </c>
      <c r="N219" s="31" cm="1">
        <f t="array" ref="N219">INT(SUMPRODUCT(--ISNUMBER(SEARCH(covid,C219)))&gt;0)</f>
        <v>0</v>
      </c>
      <c r="O219" s="31" cm="1">
        <f t="array" ref="O219">INT(SUMPRODUCT(--ISNUMBER(SEARCH(violent,C219)))&gt;0)</f>
        <v>0</v>
      </c>
      <c r="P219" s="31" cm="1">
        <f t="array" ref="P219">INT(SUMPRODUCT(--ISNUMBER(SEARCH(foreign,C219)))&gt;0)</f>
        <v>0</v>
      </c>
      <c r="Q219" s="31" cm="1">
        <f t="array" ref="Q219">INT(SUMPRODUCT(--ISNUMBER(SEARCH(gun,C219)))&gt;0)</f>
        <v>0</v>
      </c>
      <c r="R219" s="31" cm="1">
        <f t="array" ref="R219">INT(SUMPRODUCT(--ISNUMBER(SEARCH(race,C219)))&gt;0)</f>
        <v>0</v>
      </c>
      <c r="S219" s="31" cm="1">
        <f t="array" ref="S219">INT(SUMPRODUCT(--ISNUMBER(SEARCH(immigration,C219)))&gt;0)</f>
        <v>0</v>
      </c>
      <c r="T219" s="31" cm="1">
        <f t="array" ref="T219">INT(SUMPRODUCT(--ISNUMBER(SEARCH(econineq,C220)))&gt;0)</f>
        <v>0</v>
      </c>
      <c r="U219" s="31" cm="1">
        <f t="array" ref="U219">INT(SUMPRODUCT(--ISNUMBER(SEARCH(climate,C219)))&gt;0)</f>
        <v>0</v>
      </c>
      <c r="V219" s="31" cm="1">
        <f t="array" ref="V219">INT(SUMPRODUCT(--ISNUMBER(SEARCH(abortion,C219)))&gt;0)</f>
        <v>0</v>
      </c>
      <c r="W219" s="31" cm="1">
        <f t="array" ref="W219">INT(SUMPRODUCT(--ISNUMBER(SEARCH(trump,C219)))&gt;0)</f>
        <v>0</v>
      </c>
      <c r="X219" s="31" cm="1">
        <f t="array" ref="X219">INT(SUMPRODUCT(--ISNUMBER(SEARCH(voting,C219)))&gt;0)</f>
        <v>1</v>
      </c>
      <c r="Y219" s="31" cm="1">
        <f t="array" ref="Y219">INT(SUMPRODUCT(--ISNUMBER(SEARCH(democrattrigger,C219)))&gt;0)</f>
        <v>0</v>
      </c>
      <c r="Z219" s="31" cm="1">
        <f t="array" ref="Z219">INT(SUMPRODUCT(--ISNUMBER(SEARCH(bipartisan,C219)))&gt;0)</f>
        <v>0</v>
      </c>
      <c r="AA219" s="31">
        <f t="shared" si="3"/>
        <v>0</v>
      </c>
      <c r="AB219" s="31"/>
      <c r="AC219" s="111">
        <v>1</v>
      </c>
      <c r="AD219" s="112">
        <v>0</v>
      </c>
    </row>
    <row r="220" spans="1:30" x14ac:dyDescent="0.25">
      <c r="A220" s="109">
        <v>2076</v>
      </c>
      <c r="B220" s="31" t="s">
        <v>4178</v>
      </c>
      <c r="C220" s="31" t="s">
        <v>4179</v>
      </c>
      <c r="D220" s="110">
        <v>44112</v>
      </c>
      <c r="E220" s="31" t="s">
        <v>30</v>
      </c>
      <c r="F220" s="31">
        <v>193</v>
      </c>
      <c r="G220" s="31">
        <v>68</v>
      </c>
      <c r="H220" s="31">
        <v>9</v>
      </c>
      <c r="I220" s="31">
        <v>5</v>
      </c>
      <c r="J220" s="31" t="s">
        <v>204</v>
      </c>
      <c r="K220" s="31" cm="1">
        <f t="array" ref="K220">INT(SUMPRODUCT(--ISNUMBER(SEARCH(economy,C220)))&gt;0)</f>
        <v>0</v>
      </c>
      <c r="L220" s="31" cm="1">
        <f t="array" ref="L220">INT(SUMPRODUCT(--ISNUMBER(SEARCH(healthcare,C220)))&gt;0)</f>
        <v>0</v>
      </c>
      <c r="M220" s="31" cm="1">
        <f t="array" ref="M220">INT(SUMPRODUCT(--ISNUMBER(SEARCH(supreme,C220)))&gt;0)</f>
        <v>0</v>
      </c>
      <c r="N220" s="31" cm="1">
        <f t="array" ref="N220">INT(SUMPRODUCT(--ISNUMBER(SEARCH(covid,C220)))&gt;0)</f>
        <v>0</v>
      </c>
      <c r="O220" s="31" cm="1">
        <f t="array" ref="O220">INT(SUMPRODUCT(--ISNUMBER(SEARCH(violent,C220)))&gt;0)</f>
        <v>0</v>
      </c>
      <c r="P220" s="31" cm="1">
        <f t="array" ref="P220">INT(SUMPRODUCT(--ISNUMBER(SEARCH(foreign,C220)))&gt;0)</f>
        <v>0</v>
      </c>
      <c r="Q220" s="31" cm="1">
        <f t="array" ref="Q220">INT(SUMPRODUCT(--ISNUMBER(SEARCH(gun,C220)))&gt;0)</f>
        <v>0</v>
      </c>
      <c r="R220" s="31" cm="1">
        <f t="array" ref="R220">INT(SUMPRODUCT(--ISNUMBER(SEARCH(race,C220)))&gt;0)</f>
        <v>0</v>
      </c>
      <c r="S220" s="31" cm="1">
        <f t="array" ref="S220">INT(SUMPRODUCT(--ISNUMBER(SEARCH(immigration,C220)))&gt;0)</f>
        <v>0</v>
      </c>
      <c r="T220" s="31" cm="1">
        <f t="array" ref="T220">INT(SUMPRODUCT(--ISNUMBER(SEARCH(econineq,C221)))&gt;0)</f>
        <v>0</v>
      </c>
      <c r="U220" s="31" cm="1">
        <f t="array" ref="U220">INT(SUMPRODUCT(--ISNUMBER(SEARCH(climate,C220)))&gt;0)</f>
        <v>0</v>
      </c>
      <c r="V220" s="31" cm="1">
        <f t="array" ref="V220">INT(SUMPRODUCT(--ISNUMBER(SEARCH(abortion,C220)))&gt;0)</f>
        <v>0</v>
      </c>
      <c r="W220" s="31" cm="1">
        <f t="array" ref="W220">INT(SUMPRODUCT(--ISNUMBER(SEARCH(trump,C220)))&gt;0)</f>
        <v>0</v>
      </c>
      <c r="X220" s="31" cm="1">
        <f t="array" ref="X220">INT(SUMPRODUCT(--ISNUMBER(SEARCH(voting,C220)))&gt;0)</f>
        <v>1</v>
      </c>
      <c r="Y220" s="31" cm="1">
        <f t="array" ref="Y220">INT(SUMPRODUCT(--ISNUMBER(SEARCH(democrattrigger,C220)))&gt;0)</f>
        <v>0</v>
      </c>
      <c r="Z220" s="31" cm="1">
        <f t="array" ref="Z220">INT(SUMPRODUCT(--ISNUMBER(SEARCH(bipartisan,C220)))&gt;0)</f>
        <v>0</v>
      </c>
      <c r="AA220" s="31">
        <f t="shared" si="3"/>
        <v>0</v>
      </c>
      <c r="AB220" s="31"/>
      <c r="AC220" s="111" t="s">
        <v>223</v>
      </c>
      <c r="AD220" s="112" t="s">
        <v>223</v>
      </c>
    </row>
    <row r="221" spans="1:30" x14ac:dyDescent="0.25">
      <c r="A221" s="109">
        <v>2077</v>
      </c>
      <c r="B221" s="31" t="s">
        <v>4180</v>
      </c>
      <c r="C221" s="31" t="s">
        <v>4181</v>
      </c>
      <c r="D221" s="110">
        <v>44112</v>
      </c>
      <c r="E221" s="31" t="s">
        <v>30</v>
      </c>
      <c r="F221" s="31">
        <v>349</v>
      </c>
      <c r="G221" s="31">
        <v>126</v>
      </c>
      <c r="H221" s="31">
        <v>9</v>
      </c>
      <c r="I221" s="31">
        <v>5</v>
      </c>
      <c r="J221" s="31" t="s">
        <v>204</v>
      </c>
      <c r="K221" s="31" cm="1">
        <f t="array" ref="K221">INT(SUMPRODUCT(--ISNUMBER(SEARCH(economy,C221)))&gt;0)</f>
        <v>0</v>
      </c>
      <c r="L221" s="31" cm="1">
        <f t="array" ref="L221">INT(SUMPRODUCT(--ISNUMBER(SEARCH(healthcare,C221)))&gt;0)</f>
        <v>0</v>
      </c>
      <c r="M221" s="31" cm="1">
        <f t="array" ref="M221">INT(SUMPRODUCT(--ISNUMBER(SEARCH(supreme,C221)))&gt;0)</f>
        <v>0</v>
      </c>
      <c r="N221" s="31" cm="1">
        <f t="array" ref="N221">INT(SUMPRODUCT(--ISNUMBER(SEARCH(covid,C221)))&gt;0)</f>
        <v>0</v>
      </c>
      <c r="O221" s="31" cm="1">
        <f t="array" ref="O221">INT(SUMPRODUCT(--ISNUMBER(SEARCH(violent,C221)))&gt;0)</f>
        <v>0</v>
      </c>
      <c r="P221" s="31" cm="1">
        <f t="array" ref="P221">INT(SUMPRODUCT(--ISNUMBER(SEARCH(foreign,C221)))&gt;0)</f>
        <v>0</v>
      </c>
      <c r="Q221" s="31" cm="1">
        <f t="array" ref="Q221">INT(SUMPRODUCT(--ISNUMBER(SEARCH(gun,C221)))&gt;0)</f>
        <v>0</v>
      </c>
      <c r="R221" s="31" cm="1">
        <f t="array" ref="R221">INT(SUMPRODUCT(--ISNUMBER(SEARCH(race,C221)))&gt;0)</f>
        <v>0</v>
      </c>
      <c r="S221" s="31" cm="1">
        <f t="array" ref="S221">INT(SUMPRODUCT(--ISNUMBER(SEARCH(immigration,C221)))&gt;0)</f>
        <v>0</v>
      </c>
      <c r="T221" s="31" cm="1">
        <f t="array" ref="T221">INT(SUMPRODUCT(--ISNUMBER(SEARCH(econineq,C222)))&gt;0)</f>
        <v>0</v>
      </c>
      <c r="U221" s="31" cm="1">
        <f t="array" ref="U221">INT(SUMPRODUCT(--ISNUMBER(SEARCH(climate,C221)))&gt;0)</f>
        <v>0</v>
      </c>
      <c r="V221" s="31" cm="1">
        <f t="array" ref="V221">INT(SUMPRODUCT(--ISNUMBER(SEARCH(abortion,C221)))&gt;0)</f>
        <v>0</v>
      </c>
      <c r="W221" s="31" cm="1">
        <f t="array" ref="W221">INT(SUMPRODUCT(--ISNUMBER(SEARCH(trump,C221)))&gt;0)</f>
        <v>0</v>
      </c>
      <c r="X221" s="31" cm="1">
        <f t="array" ref="X221">INT(SUMPRODUCT(--ISNUMBER(SEARCH(voting,C221)))&gt;0)</f>
        <v>0</v>
      </c>
      <c r="Y221" s="31" cm="1">
        <f t="array" ref="Y221">INT(SUMPRODUCT(--ISNUMBER(SEARCH(democrattrigger,C221)))&gt;0)</f>
        <v>0</v>
      </c>
      <c r="Z221" s="31" cm="1">
        <f t="array" ref="Z221">INT(SUMPRODUCT(--ISNUMBER(SEARCH(bipartisan,C221)))&gt;0)</f>
        <v>0</v>
      </c>
      <c r="AA221" s="31">
        <f t="shared" si="3"/>
        <v>1</v>
      </c>
      <c r="AB221" s="31"/>
      <c r="AC221" s="111" t="s">
        <v>223</v>
      </c>
      <c r="AD221" s="112" t="s">
        <v>223</v>
      </c>
    </row>
    <row r="222" spans="1:30" x14ac:dyDescent="0.25">
      <c r="A222" s="109">
        <v>2078</v>
      </c>
      <c r="B222" s="31" t="s">
        <v>4182</v>
      </c>
      <c r="C222" s="31" t="s">
        <v>4183</v>
      </c>
      <c r="D222" s="110">
        <v>44111</v>
      </c>
      <c r="E222" s="31" t="s">
        <v>30</v>
      </c>
      <c r="F222" s="31">
        <v>98</v>
      </c>
      <c r="G222" s="31">
        <v>45</v>
      </c>
      <c r="H222" s="31">
        <v>9</v>
      </c>
      <c r="I222" s="31">
        <v>5</v>
      </c>
      <c r="J222" s="31" t="s">
        <v>204</v>
      </c>
      <c r="K222" s="31" cm="1">
        <f t="array" ref="K222">INT(SUMPRODUCT(--ISNUMBER(SEARCH(economy,C222)))&gt;0)</f>
        <v>0</v>
      </c>
      <c r="L222" s="31" cm="1">
        <f t="array" ref="L222">INT(SUMPRODUCT(--ISNUMBER(SEARCH(healthcare,C222)))&gt;0)</f>
        <v>0</v>
      </c>
      <c r="M222" s="31" cm="1">
        <f t="array" ref="M222">INT(SUMPRODUCT(--ISNUMBER(SEARCH(supreme,C222)))&gt;0)</f>
        <v>0</v>
      </c>
      <c r="N222" s="31" cm="1">
        <f t="array" ref="N222">INT(SUMPRODUCT(--ISNUMBER(SEARCH(covid,C222)))&gt;0)</f>
        <v>0</v>
      </c>
      <c r="O222" s="31" cm="1">
        <f t="array" ref="O222">INT(SUMPRODUCT(--ISNUMBER(SEARCH(violent,C222)))&gt;0)</f>
        <v>0</v>
      </c>
      <c r="P222" s="31" cm="1">
        <f t="array" ref="P222">INT(SUMPRODUCT(--ISNUMBER(SEARCH(foreign,C222)))&gt;0)</f>
        <v>0</v>
      </c>
      <c r="Q222" s="31" cm="1">
        <f t="array" ref="Q222">INT(SUMPRODUCT(--ISNUMBER(SEARCH(gun,C222)))&gt;0)</f>
        <v>0</v>
      </c>
      <c r="R222" s="31" cm="1">
        <f t="array" ref="R222">INT(SUMPRODUCT(--ISNUMBER(SEARCH(race,C222)))&gt;0)</f>
        <v>0</v>
      </c>
      <c r="S222" s="31" cm="1">
        <f t="array" ref="S222">INT(SUMPRODUCT(--ISNUMBER(SEARCH(immigration,C222)))&gt;0)</f>
        <v>0</v>
      </c>
      <c r="T222" s="31" cm="1">
        <f t="array" ref="T222">INT(SUMPRODUCT(--ISNUMBER(SEARCH(econineq,C223)))&gt;0)</f>
        <v>0</v>
      </c>
      <c r="U222" s="31" cm="1">
        <f t="array" ref="U222">INT(SUMPRODUCT(--ISNUMBER(SEARCH(climate,C222)))&gt;0)</f>
        <v>0</v>
      </c>
      <c r="V222" s="31" cm="1">
        <f t="array" ref="V222">INT(SUMPRODUCT(--ISNUMBER(SEARCH(abortion,C222)))&gt;0)</f>
        <v>0</v>
      </c>
      <c r="W222" s="31" cm="1">
        <f t="array" ref="W222">INT(SUMPRODUCT(--ISNUMBER(SEARCH(trump,C222)))&gt;0)</f>
        <v>0</v>
      </c>
      <c r="X222" s="31" cm="1">
        <f t="array" ref="X222">INT(SUMPRODUCT(--ISNUMBER(SEARCH(voting,C222)))&gt;0)</f>
        <v>0</v>
      </c>
      <c r="Y222" s="31" cm="1">
        <f t="array" ref="Y222">INT(SUMPRODUCT(--ISNUMBER(SEARCH(democrattrigger,C222)))&gt;0)</f>
        <v>0</v>
      </c>
      <c r="Z222" s="31" cm="1">
        <f t="array" ref="Z222">INT(SUMPRODUCT(--ISNUMBER(SEARCH(bipartisan,C222)))&gt;0)</f>
        <v>0</v>
      </c>
      <c r="AA222" s="31">
        <f t="shared" si="3"/>
        <v>1</v>
      </c>
      <c r="AB222" s="31"/>
      <c r="AC222" s="111">
        <v>0</v>
      </c>
      <c r="AD222" s="112">
        <v>1</v>
      </c>
    </row>
    <row r="223" spans="1:30" x14ac:dyDescent="0.25">
      <c r="A223" s="109">
        <v>2079</v>
      </c>
      <c r="B223" s="31" t="s">
        <v>4184</v>
      </c>
      <c r="C223" s="31" t="s">
        <v>4185</v>
      </c>
      <c r="D223" s="110">
        <v>44111</v>
      </c>
      <c r="E223" s="31" t="s">
        <v>30</v>
      </c>
      <c r="F223" s="31">
        <v>56</v>
      </c>
      <c r="G223" s="31">
        <v>25</v>
      </c>
      <c r="H223" s="31">
        <v>9</v>
      </c>
      <c r="I223" s="31">
        <v>5</v>
      </c>
      <c r="J223" s="31" t="s">
        <v>204</v>
      </c>
      <c r="K223" s="31" cm="1">
        <f t="array" ref="K223">INT(SUMPRODUCT(--ISNUMBER(SEARCH(economy,C223)))&gt;0)</f>
        <v>1</v>
      </c>
      <c r="L223" s="31" cm="1">
        <f t="array" ref="L223">INT(SUMPRODUCT(--ISNUMBER(SEARCH(healthcare,C223)))&gt;0)</f>
        <v>0</v>
      </c>
      <c r="M223" s="31" cm="1">
        <f t="array" ref="M223">INT(SUMPRODUCT(--ISNUMBER(SEARCH(supreme,C223)))&gt;0)</f>
        <v>0</v>
      </c>
      <c r="N223" s="31" cm="1">
        <f t="array" ref="N223">INT(SUMPRODUCT(--ISNUMBER(SEARCH(covid,C223)))&gt;0)</f>
        <v>0</v>
      </c>
      <c r="O223" s="31" cm="1">
        <f t="array" ref="O223">INT(SUMPRODUCT(--ISNUMBER(SEARCH(violent,C223)))&gt;0)</f>
        <v>0</v>
      </c>
      <c r="P223" s="31" cm="1">
        <f t="array" ref="P223">INT(SUMPRODUCT(--ISNUMBER(SEARCH(foreign,C223)))&gt;0)</f>
        <v>0</v>
      </c>
      <c r="Q223" s="31" cm="1">
        <f t="array" ref="Q223">INT(SUMPRODUCT(--ISNUMBER(SEARCH(gun,C223)))&gt;0)</f>
        <v>0</v>
      </c>
      <c r="R223" s="31" cm="1">
        <f t="array" ref="R223">INT(SUMPRODUCT(--ISNUMBER(SEARCH(race,C223)))&gt;0)</f>
        <v>0</v>
      </c>
      <c r="S223" s="31" cm="1">
        <f t="array" ref="S223">INT(SUMPRODUCT(--ISNUMBER(SEARCH(immigration,C223)))&gt;0)</f>
        <v>0</v>
      </c>
      <c r="T223" s="31" cm="1">
        <f t="array" ref="T223">INT(SUMPRODUCT(--ISNUMBER(SEARCH(econineq,C224)))&gt;0)</f>
        <v>0</v>
      </c>
      <c r="U223" s="31" cm="1">
        <f t="array" ref="U223">INT(SUMPRODUCT(--ISNUMBER(SEARCH(climate,C223)))&gt;0)</f>
        <v>0</v>
      </c>
      <c r="V223" s="31" cm="1">
        <f t="array" ref="V223">INT(SUMPRODUCT(--ISNUMBER(SEARCH(abortion,C223)))&gt;0)</f>
        <v>0</v>
      </c>
      <c r="W223" s="31" cm="1">
        <f t="array" ref="W223">INT(SUMPRODUCT(--ISNUMBER(SEARCH(trump,C223)))&gt;0)</f>
        <v>0</v>
      </c>
      <c r="X223" s="31" cm="1">
        <f t="array" ref="X223">INT(SUMPRODUCT(--ISNUMBER(SEARCH(voting,C223)))&gt;0)</f>
        <v>0</v>
      </c>
      <c r="Y223" s="31" cm="1">
        <f t="array" ref="Y223">INT(SUMPRODUCT(--ISNUMBER(SEARCH(democrattrigger,C223)))&gt;0)</f>
        <v>0</v>
      </c>
      <c r="Z223" s="31" cm="1">
        <f t="array" ref="Z223">INT(SUMPRODUCT(--ISNUMBER(SEARCH(bipartisan,C223)))&gt;0)</f>
        <v>0</v>
      </c>
      <c r="AA223" s="31">
        <f t="shared" si="3"/>
        <v>0</v>
      </c>
      <c r="AB223" s="31"/>
      <c r="AC223" s="111">
        <v>1</v>
      </c>
      <c r="AD223" s="112">
        <v>0</v>
      </c>
    </row>
    <row r="224" spans="1:30" x14ac:dyDescent="0.25">
      <c r="A224" s="109">
        <v>2080</v>
      </c>
      <c r="B224" s="31" t="s">
        <v>4186</v>
      </c>
      <c r="C224" s="31" t="s">
        <v>4187</v>
      </c>
      <c r="D224" s="110">
        <v>44111</v>
      </c>
      <c r="E224" s="31" t="s">
        <v>30</v>
      </c>
      <c r="F224" s="31">
        <v>320</v>
      </c>
      <c r="G224" s="31">
        <v>117</v>
      </c>
      <c r="H224" s="31">
        <v>9</v>
      </c>
      <c r="I224" s="31">
        <v>5</v>
      </c>
      <c r="J224" s="31" t="s">
        <v>204</v>
      </c>
      <c r="K224" s="31" cm="1">
        <f t="array" ref="K224">INT(SUMPRODUCT(--ISNUMBER(SEARCH(economy,C224)))&gt;0)</f>
        <v>0</v>
      </c>
      <c r="L224" s="31" cm="1">
        <f t="array" ref="L224">INT(SUMPRODUCT(--ISNUMBER(SEARCH(healthcare,C224)))&gt;0)</f>
        <v>1</v>
      </c>
      <c r="M224" s="31" cm="1">
        <f t="array" ref="M224">INT(SUMPRODUCT(--ISNUMBER(SEARCH(supreme,C224)))&gt;0)</f>
        <v>0</v>
      </c>
      <c r="N224" s="31" cm="1">
        <f t="array" ref="N224">INT(SUMPRODUCT(--ISNUMBER(SEARCH(covid,C224)))&gt;0)</f>
        <v>0</v>
      </c>
      <c r="O224" s="31" cm="1">
        <f t="array" ref="O224">INT(SUMPRODUCT(--ISNUMBER(SEARCH(violent,C224)))&gt;0)</f>
        <v>0</v>
      </c>
      <c r="P224" s="31" cm="1">
        <f t="array" ref="P224">INT(SUMPRODUCT(--ISNUMBER(SEARCH(foreign,C224)))&gt;0)</f>
        <v>0</v>
      </c>
      <c r="Q224" s="31" cm="1">
        <f t="array" ref="Q224">INT(SUMPRODUCT(--ISNUMBER(SEARCH(gun,C224)))&gt;0)</f>
        <v>0</v>
      </c>
      <c r="R224" s="31" cm="1">
        <f t="array" ref="R224">INT(SUMPRODUCT(--ISNUMBER(SEARCH(race,C224)))&gt;0)</f>
        <v>0</v>
      </c>
      <c r="S224" s="31" cm="1">
        <f t="array" ref="S224">INT(SUMPRODUCT(--ISNUMBER(SEARCH(immigration,C224)))&gt;0)</f>
        <v>0</v>
      </c>
      <c r="T224" s="31" cm="1">
        <f t="array" ref="T224">INT(SUMPRODUCT(--ISNUMBER(SEARCH(econineq,C225)))&gt;0)</f>
        <v>0</v>
      </c>
      <c r="U224" s="31" cm="1">
        <f t="array" ref="U224">INT(SUMPRODUCT(--ISNUMBER(SEARCH(climate,C224)))&gt;0)</f>
        <v>0</v>
      </c>
      <c r="V224" s="31" cm="1">
        <f t="array" ref="V224">INT(SUMPRODUCT(--ISNUMBER(SEARCH(abortion,C224)))&gt;0)</f>
        <v>0</v>
      </c>
      <c r="W224" s="31" cm="1">
        <f t="array" ref="W224">INT(SUMPRODUCT(--ISNUMBER(SEARCH(trump,C224)))&gt;0)</f>
        <v>0</v>
      </c>
      <c r="X224" s="31" cm="1">
        <f t="array" ref="X224">INT(SUMPRODUCT(--ISNUMBER(SEARCH(voting,C224)))&gt;0)</f>
        <v>1</v>
      </c>
      <c r="Y224" s="31" cm="1">
        <f t="array" ref="Y224">INT(SUMPRODUCT(--ISNUMBER(SEARCH(democrattrigger,C224)))&gt;0)</f>
        <v>0</v>
      </c>
      <c r="Z224" s="31" cm="1">
        <f t="array" ref="Z224">INT(SUMPRODUCT(--ISNUMBER(SEARCH(bipartisan,C224)))&gt;0)</f>
        <v>0</v>
      </c>
      <c r="AA224" s="31">
        <f t="shared" si="3"/>
        <v>0</v>
      </c>
      <c r="AB224" s="31"/>
      <c r="AC224" s="111">
        <v>0</v>
      </c>
      <c r="AD224" s="112">
        <v>1</v>
      </c>
    </row>
    <row r="225" spans="1:30" x14ac:dyDescent="0.25">
      <c r="A225" s="109">
        <v>2081</v>
      </c>
      <c r="B225" s="31" t="s">
        <v>4188</v>
      </c>
      <c r="C225" s="31" t="s">
        <v>4189</v>
      </c>
      <c r="D225" s="110">
        <v>44111</v>
      </c>
      <c r="E225" s="31" t="s">
        <v>30</v>
      </c>
      <c r="F225" s="31">
        <v>305</v>
      </c>
      <c r="G225" s="31">
        <v>48</v>
      </c>
      <c r="H225" s="31">
        <v>9</v>
      </c>
      <c r="I225" s="31">
        <v>5</v>
      </c>
      <c r="J225" s="31" t="s">
        <v>204</v>
      </c>
      <c r="K225" s="31" cm="1">
        <f t="array" ref="K225">INT(SUMPRODUCT(--ISNUMBER(SEARCH(economy,C225)))&gt;0)</f>
        <v>0</v>
      </c>
      <c r="L225" s="31" cm="1">
        <f t="array" ref="L225">INT(SUMPRODUCT(--ISNUMBER(SEARCH(healthcare,C225)))&gt;0)</f>
        <v>0</v>
      </c>
      <c r="M225" s="31" cm="1">
        <f t="array" ref="M225">INT(SUMPRODUCT(--ISNUMBER(SEARCH(supreme,C225)))&gt;0)</f>
        <v>0</v>
      </c>
      <c r="N225" s="31" cm="1">
        <f t="array" ref="N225">INT(SUMPRODUCT(--ISNUMBER(SEARCH(covid,C225)))&gt;0)</f>
        <v>0</v>
      </c>
      <c r="O225" s="31" cm="1">
        <f t="array" ref="O225">INT(SUMPRODUCT(--ISNUMBER(SEARCH(violent,C225)))&gt;0)</f>
        <v>0</v>
      </c>
      <c r="P225" s="31" cm="1">
        <f t="array" ref="P225">INT(SUMPRODUCT(--ISNUMBER(SEARCH(foreign,C225)))&gt;0)</f>
        <v>0</v>
      </c>
      <c r="Q225" s="31" cm="1">
        <f t="array" ref="Q225">INT(SUMPRODUCT(--ISNUMBER(SEARCH(gun,C225)))&gt;0)</f>
        <v>0</v>
      </c>
      <c r="R225" s="31" cm="1">
        <f t="array" ref="R225">INT(SUMPRODUCT(--ISNUMBER(SEARCH(race,C225)))&gt;0)</f>
        <v>0</v>
      </c>
      <c r="S225" s="31" cm="1">
        <f t="array" ref="S225">INT(SUMPRODUCT(--ISNUMBER(SEARCH(immigration,C225)))&gt;0)</f>
        <v>0</v>
      </c>
      <c r="T225" s="31" cm="1">
        <f t="array" ref="T225">INT(SUMPRODUCT(--ISNUMBER(SEARCH(econineq,C226)))&gt;0)</f>
        <v>0</v>
      </c>
      <c r="U225" s="31" cm="1">
        <f t="array" ref="U225">INT(SUMPRODUCT(--ISNUMBER(SEARCH(climate,C225)))&gt;0)</f>
        <v>0</v>
      </c>
      <c r="V225" s="31" cm="1">
        <f t="array" ref="V225">INT(SUMPRODUCT(--ISNUMBER(SEARCH(abortion,C225)))&gt;0)</f>
        <v>0</v>
      </c>
      <c r="W225" s="31" cm="1">
        <f t="array" ref="W225">INT(SUMPRODUCT(--ISNUMBER(SEARCH(trump,C225)))&gt;0)</f>
        <v>0</v>
      </c>
      <c r="X225" s="31" cm="1">
        <f t="array" ref="X225">INT(SUMPRODUCT(--ISNUMBER(SEARCH(voting,C225)))&gt;0)</f>
        <v>0</v>
      </c>
      <c r="Y225" s="31" cm="1">
        <f t="array" ref="Y225">INT(SUMPRODUCT(--ISNUMBER(SEARCH(democrattrigger,C225)))&gt;0)</f>
        <v>0</v>
      </c>
      <c r="Z225" s="31" cm="1">
        <f t="array" ref="Z225">INT(SUMPRODUCT(--ISNUMBER(SEARCH(bipartisan,C225)))&gt;0)</f>
        <v>0</v>
      </c>
      <c r="AA225" s="31">
        <f t="shared" si="3"/>
        <v>1</v>
      </c>
      <c r="AB225" s="31"/>
      <c r="AC225" s="111">
        <v>1</v>
      </c>
      <c r="AD225" s="112">
        <v>0</v>
      </c>
    </row>
    <row r="226" spans="1:30" x14ac:dyDescent="0.25">
      <c r="A226" s="109">
        <v>2082</v>
      </c>
      <c r="B226" s="31" t="s">
        <v>4190</v>
      </c>
      <c r="C226" s="31" t="s">
        <v>4191</v>
      </c>
      <c r="D226" s="110">
        <v>44111</v>
      </c>
      <c r="E226" s="31" t="s">
        <v>30</v>
      </c>
      <c r="F226" s="31">
        <v>75</v>
      </c>
      <c r="G226" s="31">
        <v>26</v>
      </c>
      <c r="H226" s="31">
        <v>9</v>
      </c>
      <c r="I226" s="31">
        <v>5</v>
      </c>
      <c r="J226" s="31" t="s">
        <v>204</v>
      </c>
      <c r="K226" s="31" cm="1">
        <f t="array" ref="K226">INT(SUMPRODUCT(--ISNUMBER(SEARCH(economy,C226)))&gt;0)</f>
        <v>0</v>
      </c>
      <c r="L226" s="31" cm="1">
        <f t="array" ref="L226">INT(SUMPRODUCT(--ISNUMBER(SEARCH(healthcare,C226)))&gt;0)</f>
        <v>0</v>
      </c>
      <c r="M226" s="31" cm="1">
        <f t="array" ref="M226">INT(SUMPRODUCT(--ISNUMBER(SEARCH(supreme,C226)))&gt;0)</f>
        <v>0</v>
      </c>
      <c r="N226" s="31" cm="1">
        <f t="array" ref="N226">INT(SUMPRODUCT(--ISNUMBER(SEARCH(covid,C226)))&gt;0)</f>
        <v>0</v>
      </c>
      <c r="O226" s="31" cm="1">
        <f t="array" ref="O226">INT(SUMPRODUCT(--ISNUMBER(SEARCH(violent,C226)))&gt;0)</f>
        <v>0</v>
      </c>
      <c r="P226" s="31" cm="1">
        <f t="array" ref="P226">INT(SUMPRODUCT(--ISNUMBER(SEARCH(foreign,C226)))&gt;0)</f>
        <v>0</v>
      </c>
      <c r="Q226" s="31" cm="1">
        <f t="array" ref="Q226">INT(SUMPRODUCT(--ISNUMBER(SEARCH(gun,C226)))&gt;0)</f>
        <v>0</v>
      </c>
      <c r="R226" s="31" cm="1">
        <f t="array" ref="R226">INT(SUMPRODUCT(--ISNUMBER(SEARCH(race,C226)))&gt;0)</f>
        <v>0</v>
      </c>
      <c r="S226" s="31" cm="1">
        <f t="array" ref="S226">INT(SUMPRODUCT(--ISNUMBER(SEARCH(immigration,C226)))&gt;0)</f>
        <v>0</v>
      </c>
      <c r="T226" s="31" cm="1">
        <f t="array" ref="T226">INT(SUMPRODUCT(--ISNUMBER(SEARCH(econineq,C227)))&gt;0)</f>
        <v>1</v>
      </c>
      <c r="U226" s="31" cm="1">
        <f t="array" ref="U226">INT(SUMPRODUCT(--ISNUMBER(SEARCH(climate,C226)))&gt;0)</f>
        <v>1</v>
      </c>
      <c r="V226" s="31" cm="1">
        <f t="array" ref="V226">INT(SUMPRODUCT(--ISNUMBER(SEARCH(abortion,C226)))&gt;0)</f>
        <v>0</v>
      </c>
      <c r="W226" s="31" cm="1">
        <f t="array" ref="W226">INT(SUMPRODUCT(--ISNUMBER(SEARCH(trump,C226)))&gt;0)</f>
        <v>0</v>
      </c>
      <c r="X226" s="31" cm="1">
        <f t="array" ref="X226">INT(SUMPRODUCT(--ISNUMBER(SEARCH(voting,C226)))&gt;0)</f>
        <v>1</v>
      </c>
      <c r="Y226" s="31" cm="1">
        <f t="array" ref="Y226">INT(SUMPRODUCT(--ISNUMBER(SEARCH(democrattrigger,C226)))&gt;0)</f>
        <v>0</v>
      </c>
      <c r="Z226" s="31" cm="1">
        <f t="array" ref="Z226">INT(SUMPRODUCT(--ISNUMBER(SEARCH(bipartisan,C226)))&gt;0)</f>
        <v>0</v>
      </c>
      <c r="AA226" s="31">
        <f t="shared" si="3"/>
        <v>0</v>
      </c>
      <c r="AB226" s="31"/>
      <c r="AC226" s="111">
        <v>1</v>
      </c>
      <c r="AD226" s="112">
        <v>0</v>
      </c>
    </row>
    <row r="227" spans="1:30" x14ac:dyDescent="0.25">
      <c r="A227" s="109">
        <v>2083</v>
      </c>
      <c r="B227" s="31" t="s">
        <v>4192</v>
      </c>
      <c r="C227" s="31" t="s">
        <v>4193</v>
      </c>
      <c r="D227" s="110">
        <v>44110</v>
      </c>
      <c r="E227" s="31" t="s">
        <v>30</v>
      </c>
      <c r="F227" s="31">
        <v>146</v>
      </c>
      <c r="G227" s="31">
        <v>74</v>
      </c>
      <c r="H227" s="31">
        <v>9</v>
      </c>
      <c r="I227" s="31">
        <v>5</v>
      </c>
      <c r="J227" s="31" t="s">
        <v>204</v>
      </c>
      <c r="K227" s="31" cm="1">
        <f t="array" ref="K227">INT(SUMPRODUCT(--ISNUMBER(SEARCH(economy,C227)))&gt;0)</f>
        <v>1</v>
      </c>
      <c r="L227" s="31" cm="1">
        <f t="array" ref="L227">INT(SUMPRODUCT(--ISNUMBER(SEARCH(healthcare,C227)))&gt;0)</f>
        <v>0</v>
      </c>
      <c r="M227" s="31" cm="1">
        <f t="array" ref="M227">INT(SUMPRODUCT(--ISNUMBER(SEARCH(supreme,C227)))&gt;0)</f>
        <v>0</v>
      </c>
      <c r="N227" s="31" cm="1">
        <f t="array" ref="N227">INT(SUMPRODUCT(--ISNUMBER(SEARCH(covid,C227)))&gt;0)</f>
        <v>0</v>
      </c>
      <c r="O227" s="31" cm="1">
        <f t="array" ref="O227">INT(SUMPRODUCT(--ISNUMBER(SEARCH(violent,C227)))&gt;0)</f>
        <v>0</v>
      </c>
      <c r="P227" s="31" cm="1">
        <f t="array" ref="P227">INT(SUMPRODUCT(--ISNUMBER(SEARCH(foreign,C227)))&gt;0)</f>
        <v>0</v>
      </c>
      <c r="Q227" s="31" cm="1">
        <f t="array" ref="Q227">INT(SUMPRODUCT(--ISNUMBER(SEARCH(gun,C227)))&gt;0)</f>
        <v>0</v>
      </c>
      <c r="R227" s="31" cm="1">
        <f t="array" ref="R227">INT(SUMPRODUCT(--ISNUMBER(SEARCH(race,C227)))&gt;0)</f>
        <v>0</v>
      </c>
      <c r="S227" s="31" cm="1">
        <f t="array" ref="S227">INT(SUMPRODUCT(--ISNUMBER(SEARCH(immigration,C227)))&gt;0)</f>
        <v>0</v>
      </c>
      <c r="T227" s="31" cm="1">
        <f t="array" ref="T227">INT(SUMPRODUCT(--ISNUMBER(SEARCH(econineq,C228)))&gt;0)</f>
        <v>0</v>
      </c>
      <c r="U227" s="31" cm="1">
        <f t="array" ref="U227">INT(SUMPRODUCT(--ISNUMBER(SEARCH(climate,C227)))&gt;0)</f>
        <v>0</v>
      </c>
      <c r="V227" s="31" cm="1">
        <f t="array" ref="V227">INT(SUMPRODUCT(--ISNUMBER(SEARCH(abortion,C227)))&gt;0)</f>
        <v>0</v>
      </c>
      <c r="W227" s="31" cm="1">
        <f t="array" ref="W227">INT(SUMPRODUCT(--ISNUMBER(SEARCH(trump,C227)))&gt;0)</f>
        <v>0</v>
      </c>
      <c r="X227" s="31" cm="1">
        <f t="array" ref="X227">INT(SUMPRODUCT(--ISNUMBER(SEARCH(voting,C227)))&gt;0)</f>
        <v>0</v>
      </c>
      <c r="Y227" s="31" cm="1">
        <f t="array" ref="Y227">INT(SUMPRODUCT(--ISNUMBER(SEARCH(democrattrigger,C227)))&gt;0)</f>
        <v>0</v>
      </c>
      <c r="Z227" s="31" cm="1">
        <f t="array" ref="Z227">INT(SUMPRODUCT(--ISNUMBER(SEARCH(bipartisan,C227)))&gt;0)</f>
        <v>0</v>
      </c>
      <c r="AA227" s="31">
        <f t="shared" si="3"/>
        <v>0</v>
      </c>
      <c r="AB227" s="31"/>
      <c r="AC227" s="111" t="s">
        <v>223</v>
      </c>
      <c r="AD227" s="112" t="s">
        <v>223</v>
      </c>
    </row>
    <row r="228" spans="1:30" x14ac:dyDescent="0.25">
      <c r="A228" s="109">
        <v>2084</v>
      </c>
      <c r="B228" s="31" t="s">
        <v>4194</v>
      </c>
      <c r="C228" s="31" t="s">
        <v>4195</v>
      </c>
      <c r="D228" s="110">
        <v>44110</v>
      </c>
      <c r="E228" s="31" t="s">
        <v>30</v>
      </c>
      <c r="F228" s="31">
        <v>113</v>
      </c>
      <c r="G228" s="31">
        <v>49</v>
      </c>
      <c r="H228" s="31">
        <v>9</v>
      </c>
      <c r="I228" s="31">
        <v>5</v>
      </c>
      <c r="J228" s="31" t="s">
        <v>204</v>
      </c>
      <c r="K228" s="31" cm="1">
        <f t="array" ref="K228">INT(SUMPRODUCT(--ISNUMBER(SEARCH(economy,C228)))&gt;0)</f>
        <v>0</v>
      </c>
      <c r="L228" s="31" cm="1">
        <f t="array" ref="L228">INT(SUMPRODUCT(--ISNUMBER(SEARCH(healthcare,C228)))&gt;0)</f>
        <v>0</v>
      </c>
      <c r="M228" s="31" cm="1">
        <f t="array" ref="M228">INT(SUMPRODUCT(--ISNUMBER(SEARCH(supreme,C228)))&gt;0)</f>
        <v>0</v>
      </c>
      <c r="N228" s="31" cm="1">
        <f t="array" ref="N228">INT(SUMPRODUCT(--ISNUMBER(SEARCH(covid,C228)))&gt;0)</f>
        <v>0</v>
      </c>
      <c r="O228" s="31" cm="1">
        <f t="array" ref="O228">INT(SUMPRODUCT(--ISNUMBER(SEARCH(violent,C228)))&gt;0)</f>
        <v>0</v>
      </c>
      <c r="P228" s="31" cm="1">
        <f t="array" ref="P228">INT(SUMPRODUCT(--ISNUMBER(SEARCH(foreign,C228)))&gt;0)</f>
        <v>0</v>
      </c>
      <c r="Q228" s="31" cm="1">
        <f t="array" ref="Q228">INT(SUMPRODUCT(--ISNUMBER(SEARCH(gun,C228)))&gt;0)</f>
        <v>0</v>
      </c>
      <c r="R228" s="31" cm="1">
        <f t="array" ref="R228">INT(SUMPRODUCT(--ISNUMBER(SEARCH(race,C228)))&gt;0)</f>
        <v>0</v>
      </c>
      <c r="S228" s="31" cm="1">
        <f t="array" ref="S228">INT(SUMPRODUCT(--ISNUMBER(SEARCH(immigration,C228)))&gt;0)</f>
        <v>0</v>
      </c>
      <c r="T228" s="31" cm="1">
        <f t="array" ref="T228">INT(SUMPRODUCT(--ISNUMBER(SEARCH(econineq,C229)))&gt;0)</f>
        <v>0</v>
      </c>
      <c r="U228" s="31" cm="1">
        <f t="array" ref="U228">INT(SUMPRODUCT(--ISNUMBER(SEARCH(climate,C228)))&gt;0)</f>
        <v>0</v>
      </c>
      <c r="V228" s="31" cm="1">
        <f t="array" ref="V228">INT(SUMPRODUCT(--ISNUMBER(SEARCH(abortion,C228)))&gt;0)</f>
        <v>0</v>
      </c>
      <c r="W228" s="31" cm="1">
        <f t="array" ref="W228">INT(SUMPRODUCT(--ISNUMBER(SEARCH(trump,C228)))&gt;0)</f>
        <v>0</v>
      </c>
      <c r="X228" s="31" cm="1">
        <f t="array" ref="X228">INT(SUMPRODUCT(--ISNUMBER(SEARCH(voting,C228)))&gt;0)</f>
        <v>0</v>
      </c>
      <c r="Y228" s="31" cm="1">
        <f t="array" ref="Y228">INT(SUMPRODUCT(--ISNUMBER(SEARCH(democrattrigger,C228)))&gt;0)</f>
        <v>1</v>
      </c>
      <c r="Z228" s="31" cm="1">
        <f t="array" ref="Z228">INT(SUMPRODUCT(--ISNUMBER(SEARCH(bipartisan,C228)))&gt;0)</f>
        <v>0</v>
      </c>
      <c r="AA228" s="31">
        <f t="shared" si="3"/>
        <v>0</v>
      </c>
      <c r="AB228" s="31"/>
      <c r="AC228" s="111">
        <v>0</v>
      </c>
      <c r="AD228" s="112">
        <v>1</v>
      </c>
    </row>
    <row r="229" spans="1:30" x14ac:dyDescent="0.25">
      <c r="A229" s="109">
        <v>2085</v>
      </c>
      <c r="B229" s="31" t="s">
        <v>4196</v>
      </c>
      <c r="C229" s="31" t="s">
        <v>4197</v>
      </c>
      <c r="D229" s="110">
        <v>44110</v>
      </c>
      <c r="E229" s="31" t="s">
        <v>30</v>
      </c>
      <c r="F229" s="31">
        <v>1317</v>
      </c>
      <c r="G229" s="31">
        <v>362</v>
      </c>
      <c r="H229" s="31">
        <v>9</v>
      </c>
      <c r="I229" s="31">
        <v>5</v>
      </c>
      <c r="J229" s="31" t="s">
        <v>204</v>
      </c>
      <c r="K229" s="31" cm="1">
        <f t="array" ref="K229">INT(SUMPRODUCT(--ISNUMBER(SEARCH(economy,C229)))&gt;0)</f>
        <v>1</v>
      </c>
      <c r="L229" s="31" cm="1">
        <f t="array" ref="L229">INT(SUMPRODUCT(--ISNUMBER(SEARCH(healthcare,C229)))&gt;0)</f>
        <v>1</v>
      </c>
      <c r="M229" s="31" cm="1">
        <f t="array" ref="M229">INT(SUMPRODUCT(--ISNUMBER(SEARCH(supreme,C229)))&gt;0)</f>
        <v>0</v>
      </c>
      <c r="N229" s="31" cm="1">
        <f t="array" ref="N229">INT(SUMPRODUCT(--ISNUMBER(SEARCH(covid,C229)))&gt;0)</f>
        <v>0</v>
      </c>
      <c r="O229" s="31" cm="1">
        <f t="array" ref="O229">INT(SUMPRODUCT(--ISNUMBER(SEARCH(violent,C229)))&gt;0)</f>
        <v>0</v>
      </c>
      <c r="P229" s="31" cm="1">
        <f t="array" ref="P229">INT(SUMPRODUCT(--ISNUMBER(SEARCH(foreign,C229)))&gt;0)</f>
        <v>0</v>
      </c>
      <c r="Q229" s="31" cm="1">
        <f t="array" ref="Q229">INT(SUMPRODUCT(--ISNUMBER(SEARCH(gun,C229)))&gt;0)</f>
        <v>0</v>
      </c>
      <c r="R229" s="31" cm="1">
        <f t="array" ref="R229">INT(SUMPRODUCT(--ISNUMBER(SEARCH(race,C229)))&gt;0)</f>
        <v>0</v>
      </c>
      <c r="S229" s="31" cm="1">
        <f t="array" ref="S229">INT(SUMPRODUCT(--ISNUMBER(SEARCH(immigration,C229)))&gt;0)</f>
        <v>0</v>
      </c>
      <c r="T229" s="31" cm="1">
        <f t="array" ref="T229">INT(SUMPRODUCT(--ISNUMBER(SEARCH(econineq,C230)))&gt;0)</f>
        <v>0</v>
      </c>
      <c r="U229" s="31" cm="1">
        <f t="array" ref="U229">INT(SUMPRODUCT(--ISNUMBER(SEARCH(climate,C229)))&gt;0)</f>
        <v>0</v>
      </c>
      <c r="V229" s="31" cm="1">
        <f t="array" ref="V229">INT(SUMPRODUCT(--ISNUMBER(SEARCH(abortion,C229)))&gt;0)</f>
        <v>0</v>
      </c>
      <c r="W229" s="31" cm="1">
        <f t="array" ref="W229">INT(SUMPRODUCT(--ISNUMBER(SEARCH(trump,C229)))&gt;0)</f>
        <v>1</v>
      </c>
      <c r="X229" s="31" cm="1">
        <f t="array" ref="X229">INT(SUMPRODUCT(--ISNUMBER(SEARCH(voting,C229)))&gt;0)</f>
        <v>0</v>
      </c>
      <c r="Y229" s="31" cm="1">
        <f t="array" ref="Y229">INT(SUMPRODUCT(--ISNUMBER(SEARCH(democrattrigger,C229)))&gt;0)</f>
        <v>1</v>
      </c>
      <c r="Z229" s="31" cm="1">
        <f t="array" ref="Z229">INT(SUMPRODUCT(--ISNUMBER(SEARCH(bipartisan,C229)))&gt;0)</f>
        <v>1</v>
      </c>
      <c r="AA229" s="31">
        <f t="shared" si="3"/>
        <v>0</v>
      </c>
      <c r="AB229" s="31"/>
      <c r="AC229" s="111" t="s">
        <v>223</v>
      </c>
      <c r="AD229" s="112" t="s">
        <v>223</v>
      </c>
    </row>
    <row r="230" spans="1:30" x14ac:dyDescent="0.25">
      <c r="A230" s="109">
        <v>2086</v>
      </c>
      <c r="B230" s="31" t="s">
        <v>4198</v>
      </c>
      <c r="C230" s="31" t="s">
        <v>4199</v>
      </c>
      <c r="D230" s="110">
        <v>44110</v>
      </c>
      <c r="E230" s="31" t="s">
        <v>30</v>
      </c>
      <c r="F230" s="31">
        <v>124</v>
      </c>
      <c r="G230" s="31">
        <v>69</v>
      </c>
      <c r="H230" s="31">
        <v>9</v>
      </c>
      <c r="I230" s="31">
        <v>5</v>
      </c>
      <c r="J230" s="31" t="s">
        <v>204</v>
      </c>
      <c r="K230" s="31" cm="1">
        <f t="array" ref="K230">INT(SUMPRODUCT(--ISNUMBER(SEARCH(economy,C230)))&gt;0)</f>
        <v>0</v>
      </c>
      <c r="L230" s="31" cm="1">
        <f t="array" ref="L230">INT(SUMPRODUCT(--ISNUMBER(SEARCH(healthcare,C230)))&gt;0)</f>
        <v>0</v>
      </c>
      <c r="M230" s="31" cm="1">
        <f t="array" ref="M230">INT(SUMPRODUCT(--ISNUMBER(SEARCH(supreme,C230)))&gt;0)</f>
        <v>0</v>
      </c>
      <c r="N230" s="31" cm="1">
        <f t="array" ref="N230">INT(SUMPRODUCT(--ISNUMBER(SEARCH(covid,C230)))&gt;0)</f>
        <v>0</v>
      </c>
      <c r="O230" s="31" cm="1">
        <f t="array" ref="O230">INT(SUMPRODUCT(--ISNUMBER(SEARCH(violent,C230)))&gt;0)</f>
        <v>0</v>
      </c>
      <c r="P230" s="31" cm="1">
        <f t="array" ref="P230">INT(SUMPRODUCT(--ISNUMBER(SEARCH(foreign,C230)))&gt;0)</f>
        <v>0</v>
      </c>
      <c r="Q230" s="31" cm="1">
        <f t="array" ref="Q230">INT(SUMPRODUCT(--ISNUMBER(SEARCH(gun,C230)))&gt;0)</f>
        <v>0</v>
      </c>
      <c r="R230" s="31" cm="1">
        <f t="array" ref="R230">INT(SUMPRODUCT(--ISNUMBER(SEARCH(race,C230)))&gt;0)</f>
        <v>0</v>
      </c>
      <c r="S230" s="31" cm="1">
        <f t="array" ref="S230">INT(SUMPRODUCT(--ISNUMBER(SEARCH(immigration,C230)))&gt;0)</f>
        <v>0</v>
      </c>
      <c r="T230" s="31" cm="1">
        <f t="array" ref="T230">INT(SUMPRODUCT(--ISNUMBER(SEARCH(econineq,C231)))&gt;0)</f>
        <v>0</v>
      </c>
      <c r="U230" s="31" cm="1">
        <f t="array" ref="U230">INT(SUMPRODUCT(--ISNUMBER(SEARCH(climate,C230)))&gt;0)</f>
        <v>0</v>
      </c>
      <c r="V230" s="31" cm="1">
        <f t="array" ref="V230">INT(SUMPRODUCT(--ISNUMBER(SEARCH(abortion,C230)))&gt;0)</f>
        <v>0</v>
      </c>
      <c r="W230" s="31" cm="1">
        <f t="array" ref="W230">INT(SUMPRODUCT(--ISNUMBER(SEARCH(trump,C230)))&gt;0)</f>
        <v>0</v>
      </c>
      <c r="X230" s="31" cm="1">
        <f t="array" ref="X230">INT(SUMPRODUCT(--ISNUMBER(SEARCH(voting,C230)))&gt;0)</f>
        <v>1</v>
      </c>
      <c r="Y230" s="31" cm="1">
        <f t="array" ref="Y230">INT(SUMPRODUCT(--ISNUMBER(SEARCH(democrattrigger,C230)))&gt;0)</f>
        <v>0</v>
      </c>
      <c r="Z230" s="31" cm="1">
        <f t="array" ref="Z230">INT(SUMPRODUCT(--ISNUMBER(SEARCH(bipartisan,C230)))&gt;0)</f>
        <v>0</v>
      </c>
      <c r="AA230" s="31">
        <f t="shared" si="3"/>
        <v>0</v>
      </c>
      <c r="AB230" s="31"/>
      <c r="AC230" s="111" t="s">
        <v>223</v>
      </c>
      <c r="AD230" s="112" t="s">
        <v>223</v>
      </c>
    </row>
    <row r="231" spans="1:30" x14ac:dyDescent="0.25">
      <c r="A231" s="109">
        <v>2087</v>
      </c>
      <c r="B231" s="31" t="s">
        <v>4200</v>
      </c>
      <c r="C231" s="31" t="s">
        <v>4201</v>
      </c>
      <c r="D231" s="110">
        <v>44110</v>
      </c>
      <c r="E231" s="31" t="s">
        <v>30</v>
      </c>
      <c r="F231" s="31">
        <v>137</v>
      </c>
      <c r="G231" s="31">
        <v>53</v>
      </c>
      <c r="H231" s="31">
        <v>9</v>
      </c>
      <c r="I231" s="31">
        <v>5</v>
      </c>
      <c r="J231" s="31" t="s">
        <v>204</v>
      </c>
      <c r="K231" s="31" cm="1">
        <f t="array" ref="K231">INT(SUMPRODUCT(--ISNUMBER(SEARCH(economy,C231)))&gt;0)</f>
        <v>1</v>
      </c>
      <c r="L231" s="31" cm="1">
        <f t="array" ref="L231">INT(SUMPRODUCT(--ISNUMBER(SEARCH(healthcare,C231)))&gt;0)</f>
        <v>0</v>
      </c>
      <c r="M231" s="31" cm="1">
        <f t="array" ref="M231">INT(SUMPRODUCT(--ISNUMBER(SEARCH(supreme,C231)))&gt;0)</f>
        <v>0</v>
      </c>
      <c r="N231" s="31" cm="1">
        <f t="array" ref="N231">INT(SUMPRODUCT(--ISNUMBER(SEARCH(covid,C231)))&gt;0)</f>
        <v>0</v>
      </c>
      <c r="O231" s="31" cm="1">
        <f t="array" ref="O231">INT(SUMPRODUCT(--ISNUMBER(SEARCH(violent,C231)))&gt;0)</f>
        <v>0</v>
      </c>
      <c r="P231" s="31" cm="1">
        <f t="array" ref="P231">INT(SUMPRODUCT(--ISNUMBER(SEARCH(foreign,C231)))&gt;0)</f>
        <v>0</v>
      </c>
      <c r="Q231" s="31" cm="1">
        <f t="array" ref="Q231">INT(SUMPRODUCT(--ISNUMBER(SEARCH(gun,C231)))&gt;0)</f>
        <v>0</v>
      </c>
      <c r="R231" s="31" cm="1">
        <f t="array" ref="R231">INT(SUMPRODUCT(--ISNUMBER(SEARCH(race,C231)))&gt;0)</f>
        <v>0</v>
      </c>
      <c r="S231" s="31" cm="1">
        <f t="array" ref="S231">INT(SUMPRODUCT(--ISNUMBER(SEARCH(immigration,C231)))&gt;0)</f>
        <v>0</v>
      </c>
      <c r="T231" s="31" cm="1">
        <f t="array" ref="T231">INT(SUMPRODUCT(--ISNUMBER(SEARCH(econineq,C232)))&gt;0)</f>
        <v>0</v>
      </c>
      <c r="U231" s="31" cm="1">
        <f t="array" ref="U231">INT(SUMPRODUCT(--ISNUMBER(SEARCH(climate,C231)))&gt;0)</f>
        <v>0</v>
      </c>
      <c r="V231" s="31" cm="1">
        <f t="array" ref="V231">INT(SUMPRODUCT(--ISNUMBER(SEARCH(abortion,C231)))&gt;0)</f>
        <v>0</v>
      </c>
      <c r="W231" s="31" cm="1">
        <f t="array" ref="W231">INT(SUMPRODUCT(--ISNUMBER(SEARCH(trump,C231)))&gt;0)</f>
        <v>0</v>
      </c>
      <c r="X231" s="31" cm="1">
        <f t="array" ref="X231">INT(SUMPRODUCT(--ISNUMBER(SEARCH(voting,C231)))&gt;0)</f>
        <v>0</v>
      </c>
      <c r="Y231" s="31" cm="1">
        <f t="array" ref="Y231">INT(SUMPRODUCT(--ISNUMBER(SEARCH(democrattrigger,C231)))&gt;0)</f>
        <v>0</v>
      </c>
      <c r="Z231" s="31" cm="1">
        <f t="array" ref="Z231">INT(SUMPRODUCT(--ISNUMBER(SEARCH(bipartisan,C231)))&gt;0)</f>
        <v>0</v>
      </c>
      <c r="AA231" s="31">
        <f t="shared" si="3"/>
        <v>0</v>
      </c>
      <c r="AB231" s="31"/>
      <c r="AC231" s="111">
        <v>1</v>
      </c>
      <c r="AD231" s="112">
        <v>0</v>
      </c>
    </row>
    <row r="232" spans="1:30" x14ac:dyDescent="0.25">
      <c r="A232" s="109">
        <v>2088</v>
      </c>
      <c r="B232" s="31" t="s">
        <v>4202</v>
      </c>
      <c r="C232" s="31" t="s">
        <v>4203</v>
      </c>
      <c r="D232" s="110">
        <v>44110</v>
      </c>
      <c r="E232" s="31" t="s">
        <v>30</v>
      </c>
      <c r="F232" s="31">
        <v>93</v>
      </c>
      <c r="G232" s="31">
        <v>40</v>
      </c>
      <c r="H232" s="31">
        <v>9</v>
      </c>
      <c r="I232" s="31">
        <v>5</v>
      </c>
      <c r="J232" s="31" t="s">
        <v>204</v>
      </c>
      <c r="K232" s="31" cm="1">
        <f t="array" ref="K232">INT(SUMPRODUCT(--ISNUMBER(SEARCH(economy,C232)))&gt;0)</f>
        <v>0</v>
      </c>
      <c r="L232" s="31" cm="1">
        <f t="array" ref="L232">INT(SUMPRODUCT(--ISNUMBER(SEARCH(healthcare,C232)))&gt;0)</f>
        <v>1</v>
      </c>
      <c r="M232" s="31" cm="1">
        <f t="array" ref="M232">INT(SUMPRODUCT(--ISNUMBER(SEARCH(supreme,C232)))&gt;0)</f>
        <v>0</v>
      </c>
      <c r="N232" s="31" cm="1">
        <f t="array" ref="N232">INT(SUMPRODUCT(--ISNUMBER(SEARCH(covid,C232)))&gt;0)</f>
        <v>0</v>
      </c>
      <c r="O232" s="31" cm="1">
        <f t="array" ref="O232">INT(SUMPRODUCT(--ISNUMBER(SEARCH(violent,C232)))&gt;0)</f>
        <v>0</v>
      </c>
      <c r="P232" s="31" cm="1">
        <f t="array" ref="P232">INT(SUMPRODUCT(--ISNUMBER(SEARCH(foreign,C232)))&gt;0)</f>
        <v>0</v>
      </c>
      <c r="Q232" s="31" cm="1">
        <f t="array" ref="Q232">INT(SUMPRODUCT(--ISNUMBER(SEARCH(gun,C232)))&gt;0)</f>
        <v>0</v>
      </c>
      <c r="R232" s="31" cm="1">
        <f t="array" ref="R232">INT(SUMPRODUCT(--ISNUMBER(SEARCH(race,C232)))&gt;0)</f>
        <v>0</v>
      </c>
      <c r="S232" s="31" cm="1">
        <f t="array" ref="S232">INT(SUMPRODUCT(--ISNUMBER(SEARCH(immigration,C232)))&gt;0)</f>
        <v>0</v>
      </c>
      <c r="T232" s="31" cm="1">
        <f t="array" ref="T232">INT(SUMPRODUCT(--ISNUMBER(SEARCH(econineq,C233)))&gt;0)</f>
        <v>0</v>
      </c>
      <c r="U232" s="31" cm="1">
        <f t="array" ref="U232">INT(SUMPRODUCT(--ISNUMBER(SEARCH(climate,C232)))&gt;0)</f>
        <v>0</v>
      </c>
      <c r="V232" s="31" cm="1">
        <f t="array" ref="V232">INT(SUMPRODUCT(--ISNUMBER(SEARCH(abortion,C232)))&gt;0)</f>
        <v>0</v>
      </c>
      <c r="W232" s="31" cm="1">
        <f t="array" ref="W232">INT(SUMPRODUCT(--ISNUMBER(SEARCH(trump,C232)))&gt;0)</f>
        <v>0</v>
      </c>
      <c r="X232" s="31" cm="1">
        <f t="array" ref="X232">INT(SUMPRODUCT(--ISNUMBER(SEARCH(voting,C232)))&gt;0)</f>
        <v>0</v>
      </c>
      <c r="Y232" s="31" cm="1">
        <f t="array" ref="Y232">INT(SUMPRODUCT(--ISNUMBER(SEARCH(democrattrigger,C232)))&gt;0)</f>
        <v>0</v>
      </c>
      <c r="Z232" s="31" cm="1">
        <f t="array" ref="Z232">INT(SUMPRODUCT(--ISNUMBER(SEARCH(bipartisan,C232)))&gt;0)</f>
        <v>0</v>
      </c>
      <c r="AA232" s="31">
        <f t="shared" si="3"/>
        <v>0</v>
      </c>
      <c r="AB232" s="31"/>
      <c r="AC232" s="111">
        <v>0</v>
      </c>
      <c r="AD232" s="112">
        <v>1</v>
      </c>
    </row>
    <row r="233" spans="1:30" x14ac:dyDescent="0.25">
      <c r="A233" s="109">
        <v>2089</v>
      </c>
      <c r="B233" s="31" t="s">
        <v>4204</v>
      </c>
      <c r="C233" s="31" t="s">
        <v>4205</v>
      </c>
      <c r="D233" s="110">
        <v>44109</v>
      </c>
      <c r="E233" s="31" t="s">
        <v>30</v>
      </c>
      <c r="F233" s="31">
        <v>269</v>
      </c>
      <c r="G233" s="31">
        <v>141</v>
      </c>
      <c r="H233" s="31">
        <v>9</v>
      </c>
      <c r="I233" s="31">
        <v>5</v>
      </c>
      <c r="J233" s="31" t="s">
        <v>204</v>
      </c>
      <c r="K233" s="31" cm="1">
        <f t="array" ref="K233">INT(SUMPRODUCT(--ISNUMBER(SEARCH(economy,C233)))&gt;0)</f>
        <v>0</v>
      </c>
      <c r="L233" s="31" cm="1">
        <f t="array" ref="L233">INT(SUMPRODUCT(--ISNUMBER(SEARCH(healthcare,C233)))&gt;0)</f>
        <v>0</v>
      </c>
      <c r="M233" s="31" cm="1">
        <f t="array" ref="M233">INT(SUMPRODUCT(--ISNUMBER(SEARCH(supreme,C233)))&gt;0)</f>
        <v>0</v>
      </c>
      <c r="N233" s="31" cm="1">
        <f t="array" ref="N233">INT(SUMPRODUCT(--ISNUMBER(SEARCH(covid,C233)))&gt;0)</f>
        <v>0</v>
      </c>
      <c r="O233" s="31" cm="1">
        <f t="array" ref="O233">INT(SUMPRODUCT(--ISNUMBER(SEARCH(violent,C233)))&gt;0)</f>
        <v>0</v>
      </c>
      <c r="P233" s="31" cm="1">
        <f t="array" ref="P233">INT(SUMPRODUCT(--ISNUMBER(SEARCH(foreign,C233)))&gt;0)</f>
        <v>0</v>
      </c>
      <c r="Q233" s="31" cm="1">
        <f t="array" ref="Q233">INT(SUMPRODUCT(--ISNUMBER(SEARCH(gun,C233)))&gt;0)</f>
        <v>0</v>
      </c>
      <c r="R233" s="31" cm="1">
        <f t="array" ref="R233">INT(SUMPRODUCT(--ISNUMBER(SEARCH(race,C233)))&gt;0)</f>
        <v>0</v>
      </c>
      <c r="S233" s="31" cm="1">
        <f t="array" ref="S233">INT(SUMPRODUCT(--ISNUMBER(SEARCH(immigration,C233)))&gt;0)</f>
        <v>0</v>
      </c>
      <c r="T233" s="31" cm="1">
        <f t="array" ref="T233">INT(SUMPRODUCT(--ISNUMBER(SEARCH(econineq,C234)))&gt;0)</f>
        <v>0</v>
      </c>
      <c r="U233" s="31" cm="1">
        <f t="array" ref="U233">INT(SUMPRODUCT(--ISNUMBER(SEARCH(climate,C233)))&gt;0)</f>
        <v>0</v>
      </c>
      <c r="V233" s="31" cm="1">
        <f t="array" ref="V233">INT(SUMPRODUCT(--ISNUMBER(SEARCH(abortion,C233)))&gt;0)</f>
        <v>0</v>
      </c>
      <c r="W233" s="31" cm="1">
        <f t="array" ref="W233">INT(SUMPRODUCT(--ISNUMBER(SEARCH(trump,C233)))&gt;0)</f>
        <v>0</v>
      </c>
      <c r="X233" s="31" cm="1">
        <f t="array" ref="X233">INT(SUMPRODUCT(--ISNUMBER(SEARCH(voting,C233)))&gt;0)</f>
        <v>1</v>
      </c>
      <c r="Y233" s="31" cm="1">
        <f t="array" ref="Y233">INT(SUMPRODUCT(--ISNUMBER(SEARCH(democrattrigger,C233)))&gt;0)</f>
        <v>0</v>
      </c>
      <c r="Z233" s="31" cm="1">
        <f t="array" ref="Z233">INT(SUMPRODUCT(--ISNUMBER(SEARCH(bipartisan,C233)))&gt;0)</f>
        <v>0</v>
      </c>
      <c r="AA233" s="31">
        <f t="shared" si="3"/>
        <v>0</v>
      </c>
      <c r="AB233" s="31"/>
      <c r="AC233" s="111" t="s">
        <v>223</v>
      </c>
      <c r="AD233" s="112" t="s">
        <v>223</v>
      </c>
    </row>
    <row r="234" spans="1:30" x14ac:dyDescent="0.25">
      <c r="A234" s="109">
        <v>2090</v>
      </c>
      <c r="B234" s="31" t="s">
        <v>4206</v>
      </c>
      <c r="C234" s="31" t="s">
        <v>4207</v>
      </c>
      <c r="D234" s="110">
        <v>44109</v>
      </c>
      <c r="E234" s="31" t="s">
        <v>30</v>
      </c>
      <c r="F234" s="31">
        <v>59</v>
      </c>
      <c r="G234" s="31">
        <v>23</v>
      </c>
      <c r="H234" s="31">
        <v>9</v>
      </c>
      <c r="I234" s="31">
        <v>5</v>
      </c>
      <c r="J234" s="31" t="s">
        <v>204</v>
      </c>
      <c r="K234" s="31" cm="1">
        <f t="array" ref="K234">INT(SUMPRODUCT(--ISNUMBER(SEARCH(economy,C234)))&gt;0)</f>
        <v>1</v>
      </c>
      <c r="L234" s="31" cm="1">
        <f t="array" ref="L234">INT(SUMPRODUCT(--ISNUMBER(SEARCH(healthcare,C234)))&gt;0)</f>
        <v>0</v>
      </c>
      <c r="M234" s="31" cm="1">
        <f t="array" ref="M234">INT(SUMPRODUCT(--ISNUMBER(SEARCH(supreme,C234)))&gt;0)</f>
        <v>0</v>
      </c>
      <c r="N234" s="31" cm="1">
        <f t="array" ref="N234">INT(SUMPRODUCT(--ISNUMBER(SEARCH(covid,C234)))&gt;0)</f>
        <v>0</v>
      </c>
      <c r="O234" s="31" cm="1">
        <f t="array" ref="O234">INT(SUMPRODUCT(--ISNUMBER(SEARCH(violent,C234)))&gt;0)</f>
        <v>0</v>
      </c>
      <c r="P234" s="31" cm="1">
        <f t="array" ref="P234">INT(SUMPRODUCT(--ISNUMBER(SEARCH(foreign,C234)))&gt;0)</f>
        <v>0</v>
      </c>
      <c r="Q234" s="31" cm="1">
        <f t="array" ref="Q234">INT(SUMPRODUCT(--ISNUMBER(SEARCH(gun,C234)))&gt;0)</f>
        <v>0</v>
      </c>
      <c r="R234" s="31" cm="1">
        <f t="array" ref="R234">INT(SUMPRODUCT(--ISNUMBER(SEARCH(race,C234)))&gt;0)</f>
        <v>0</v>
      </c>
      <c r="S234" s="31" cm="1">
        <f t="array" ref="S234">INT(SUMPRODUCT(--ISNUMBER(SEARCH(immigration,C234)))&gt;0)</f>
        <v>0</v>
      </c>
      <c r="T234" s="31" cm="1">
        <f t="array" ref="T234">INT(SUMPRODUCT(--ISNUMBER(SEARCH(econineq,C235)))&gt;0)</f>
        <v>0</v>
      </c>
      <c r="U234" s="31" cm="1">
        <f t="array" ref="U234">INT(SUMPRODUCT(--ISNUMBER(SEARCH(climate,C234)))&gt;0)</f>
        <v>0</v>
      </c>
      <c r="V234" s="31" cm="1">
        <f t="array" ref="V234">INT(SUMPRODUCT(--ISNUMBER(SEARCH(abortion,C234)))&gt;0)</f>
        <v>0</v>
      </c>
      <c r="W234" s="31" cm="1">
        <f t="array" ref="W234">INT(SUMPRODUCT(--ISNUMBER(SEARCH(trump,C234)))&gt;0)</f>
        <v>0</v>
      </c>
      <c r="X234" s="31" cm="1">
        <f t="array" ref="X234">INT(SUMPRODUCT(--ISNUMBER(SEARCH(voting,C234)))&gt;0)</f>
        <v>0</v>
      </c>
      <c r="Y234" s="31" cm="1">
        <f t="array" ref="Y234">INT(SUMPRODUCT(--ISNUMBER(SEARCH(democrattrigger,C234)))&gt;0)</f>
        <v>0</v>
      </c>
      <c r="Z234" s="31" cm="1">
        <f t="array" ref="Z234">INT(SUMPRODUCT(--ISNUMBER(SEARCH(bipartisan,C234)))&gt;0)</f>
        <v>0</v>
      </c>
      <c r="AA234" s="31">
        <f t="shared" si="3"/>
        <v>0</v>
      </c>
      <c r="AB234" s="31"/>
      <c r="AC234" s="111" t="s">
        <v>223</v>
      </c>
      <c r="AD234" s="112" t="s">
        <v>223</v>
      </c>
    </row>
    <row r="235" spans="1:30" x14ac:dyDescent="0.25">
      <c r="A235" s="109">
        <v>2091</v>
      </c>
      <c r="B235" s="31" t="s">
        <v>4208</v>
      </c>
      <c r="C235" s="31" t="s">
        <v>4209</v>
      </c>
      <c r="D235" s="110">
        <v>44109</v>
      </c>
      <c r="E235" s="31" t="s">
        <v>30</v>
      </c>
      <c r="F235" s="31">
        <v>253</v>
      </c>
      <c r="G235" s="31">
        <v>73</v>
      </c>
      <c r="H235" s="31">
        <v>9</v>
      </c>
      <c r="I235" s="31">
        <v>5</v>
      </c>
      <c r="J235" s="31" t="s">
        <v>204</v>
      </c>
      <c r="K235" s="31" cm="1">
        <f t="array" ref="K235">INT(SUMPRODUCT(--ISNUMBER(SEARCH(economy,C235)))&gt;0)</f>
        <v>0</v>
      </c>
      <c r="L235" s="31" cm="1">
        <f t="array" ref="L235">INT(SUMPRODUCT(--ISNUMBER(SEARCH(healthcare,C235)))&gt;0)</f>
        <v>0</v>
      </c>
      <c r="M235" s="31" cm="1">
        <f t="array" ref="M235">INT(SUMPRODUCT(--ISNUMBER(SEARCH(supreme,C235)))&gt;0)</f>
        <v>0</v>
      </c>
      <c r="N235" s="31" cm="1">
        <f t="array" ref="N235">INT(SUMPRODUCT(--ISNUMBER(SEARCH(covid,C235)))&gt;0)</f>
        <v>0</v>
      </c>
      <c r="O235" s="31" cm="1">
        <f t="array" ref="O235">INT(SUMPRODUCT(--ISNUMBER(SEARCH(violent,C235)))&gt;0)</f>
        <v>0</v>
      </c>
      <c r="P235" s="31" cm="1">
        <f t="array" ref="P235">INT(SUMPRODUCT(--ISNUMBER(SEARCH(foreign,C235)))&gt;0)</f>
        <v>0</v>
      </c>
      <c r="Q235" s="31" cm="1">
        <f t="array" ref="Q235">INT(SUMPRODUCT(--ISNUMBER(SEARCH(gun,C235)))&gt;0)</f>
        <v>0</v>
      </c>
      <c r="R235" s="31" cm="1">
        <f t="array" ref="R235">INT(SUMPRODUCT(--ISNUMBER(SEARCH(race,C235)))&gt;0)</f>
        <v>1</v>
      </c>
      <c r="S235" s="31" cm="1">
        <f t="array" ref="S235">INT(SUMPRODUCT(--ISNUMBER(SEARCH(immigration,C235)))&gt;0)</f>
        <v>0</v>
      </c>
      <c r="T235" s="31" cm="1">
        <f t="array" ref="T235">INT(SUMPRODUCT(--ISNUMBER(SEARCH(econineq,C236)))&gt;0)</f>
        <v>0</v>
      </c>
      <c r="U235" s="31" cm="1">
        <f t="array" ref="U235">INT(SUMPRODUCT(--ISNUMBER(SEARCH(climate,C235)))&gt;0)</f>
        <v>0</v>
      </c>
      <c r="V235" s="31" cm="1">
        <f t="array" ref="V235">INT(SUMPRODUCT(--ISNUMBER(SEARCH(abortion,C235)))&gt;0)</f>
        <v>0</v>
      </c>
      <c r="W235" s="31" cm="1">
        <f t="array" ref="W235">INT(SUMPRODUCT(--ISNUMBER(SEARCH(trump,C235)))&gt;0)</f>
        <v>0</v>
      </c>
      <c r="X235" s="31" cm="1">
        <f t="array" ref="X235">INT(SUMPRODUCT(--ISNUMBER(SEARCH(voting,C235)))&gt;0)</f>
        <v>0</v>
      </c>
      <c r="Y235" s="31" cm="1">
        <f t="array" ref="Y235">INT(SUMPRODUCT(--ISNUMBER(SEARCH(democrattrigger,C235)))&gt;0)</f>
        <v>0</v>
      </c>
      <c r="Z235" s="31" cm="1">
        <f t="array" ref="Z235">INT(SUMPRODUCT(--ISNUMBER(SEARCH(bipartisan,C235)))&gt;0)</f>
        <v>0</v>
      </c>
      <c r="AA235" s="31">
        <f t="shared" si="3"/>
        <v>0</v>
      </c>
      <c r="AB235" s="31"/>
      <c r="AC235" s="111" t="s">
        <v>223</v>
      </c>
      <c r="AD235" s="112" t="s">
        <v>223</v>
      </c>
    </row>
    <row r="236" spans="1:30" x14ac:dyDescent="0.25">
      <c r="A236" s="109">
        <v>2092</v>
      </c>
      <c r="B236" s="31" t="s">
        <v>4210</v>
      </c>
      <c r="C236" s="31" t="s">
        <v>4211</v>
      </c>
      <c r="D236" s="110">
        <v>44109</v>
      </c>
      <c r="E236" s="31" t="s">
        <v>30</v>
      </c>
      <c r="F236" s="31">
        <v>262</v>
      </c>
      <c r="G236" s="31">
        <v>72</v>
      </c>
      <c r="H236" s="31">
        <v>9</v>
      </c>
      <c r="I236" s="31">
        <v>5</v>
      </c>
      <c r="J236" s="31" t="s">
        <v>204</v>
      </c>
      <c r="K236" s="31" cm="1">
        <f t="array" ref="K236">INT(SUMPRODUCT(--ISNUMBER(SEARCH(economy,C236)))&gt;0)</f>
        <v>0</v>
      </c>
      <c r="L236" s="31" cm="1">
        <f t="array" ref="L236">INT(SUMPRODUCT(--ISNUMBER(SEARCH(healthcare,C236)))&gt;0)</f>
        <v>0</v>
      </c>
      <c r="M236" s="31" cm="1">
        <f t="array" ref="M236">INT(SUMPRODUCT(--ISNUMBER(SEARCH(supreme,C236)))&gt;0)</f>
        <v>0</v>
      </c>
      <c r="N236" s="31" cm="1">
        <f t="array" ref="N236">INT(SUMPRODUCT(--ISNUMBER(SEARCH(covid,C236)))&gt;0)</f>
        <v>0</v>
      </c>
      <c r="O236" s="31" cm="1">
        <f t="array" ref="O236">INT(SUMPRODUCT(--ISNUMBER(SEARCH(violent,C236)))&gt;0)</f>
        <v>0</v>
      </c>
      <c r="P236" s="31" cm="1">
        <f t="array" ref="P236">INT(SUMPRODUCT(--ISNUMBER(SEARCH(foreign,C236)))&gt;0)</f>
        <v>0</v>
      </c>
      <c r="Q236" s="31" cm="1">
        <f t="array" ref="Q236">INT(SUMPRODUCT(--ISNUMBER(SEARCH(gun,C236)))&gt;0)</f>
        <v>0</v>
      </c>
      <c r="R236" s="31" cm="1">
        <f t="array" ref="R236">INT(SUMPRODUCT(--ISNUMBER(SEARCH(race,C236)))&gt;0)</f>
        <v>0</v>
      </c>
      <c r="S236" s="31" cm="1">
        <f t="array" ref="S236">INT(SUMPRODUCT(--ISNUMBER(SEARCH(immigration,C236)))&gt;0)</f>
        <v>0</v>
      </c>
      <c r="T236" s="31" cm="1">
        <f t="array" ref="T236">INT(SUMPRODUCT(--ISNUMBER(SEARCH(econineq,C237)))&gt;0)</f>
        <v>0</v>
      </c>
      <c r="U236" s="31" cm="1">
        <f t="array" ref="U236">INT(SUMPRODUCT(--ISNUMBER(SEARCH(climate,C236)))&gt;0)</f>
        <v>0</v>
      </c>
      <c r="V236" s="31" cm="1">
        <f t="array" ref="V236">INT(SUMPRODUCT(--ISNUMBER(SEARCH(abortion,C236)))&gt;0)</f>
        <v>0</v>
      </c>
      <c r="W236" s="31" cm="1">
        <f t="array" ref="W236">INT(SUMPRODUCT(--ISNUMBER(SEARCH(trump,C236)))&gt;0)</f>
        <v>0</v>
      </c>
      <c r="X236" s="31" cm="1">
        <f t="array" ref="X236">INT(SUMPRODUCT(--ISNUMBER(SEARCH(voting,C236)))&gt;0)</f>
        <v>0</v>
      </c>
      <c r="Y236" s="31" cm="1">
        <f t="array" ref="Y236">INT(SUMPRODUCT(--ISNUMBER(SEARCH(democrattrigger,C236)))&gt;0)</f>
        <v>1</v>
      </c>
      <c r="Z236" s="31" cm="1">
        <f t="array" ref="Z236">INT(SUMPRODUCT(--ISNUMBER(SEARCH(bipartisan,C236)))&gt;0)</f>
        <v>0</v>
      </c>
      <c r="AA236" s="31">
        <f t="shared" si="3"/>
        <v>0</v>
      </c>
      <c r="AB236" s="31"/>
      <c r="AC236" s="111" t="s">
        <v>223</v>
      </c>
      <c r="AD236" s="112" t="s">
        <v>223</v>
      </c>
    </row>
    <row r="237" spans="1:30" x14ac:dyDescent="0.25">
      <c r="A237" s="109">
        <v>2093</v>
      </c>
      <c r="B237" s="31" t="s">
        <v>4212</v>
      </c>
      <c r="C237" s="31" t="s">
        <v>4213</v>
      </c>
      <c r="D237" s="110">
        <v>44109</v>
      </c>
      <c r="E237" s="31" t="s">
        <v>30</v>
      </c>
      <c r="F237" s="31">
        <v>112</v>
      </c>
      <c r="G237" s="31">
        <v>45</v>
      </c>
      <c r="H237" s="31">
        <v>9</v>
      </c>
      <c r="I237" s="31">
        <v>5</v>
      </c>
      <c r="J237" s="31" t="s">
        <v>204</v>
      </c>
      <c r="K237" s="31" cm="1">
        <f t="array" ref="K237">INT(SUMPRODUCT(--ISNUMBER(SEARCH(economy,C237)))&gt;0)</f>
        <v>0</v>
      </c>
      <c r="L237" s="31" cm="1">
        <f t="array" ref="L237">INT(SUMPRODUCT(--ISNUMBER(SEARCH(healthcare,C237)))&gt;0)</f>
        <v>1</v>
      </c>
      <c r="M237" s="31" cm="1">
        <f t="array" ref="M237">INT(SUMPRODUCT(--ISNUMBER(SEARCH(supreme,C237)))&gt;0)</f>
        <v>0</v>
      </c>
      <c r="N237" s="31" cm="1">
        <f t="array" ref="N237">INT(SUMPRODUCT(--ISNUMBER(SEARCH(covid,C237)))&gt;0)</f>
        <v>0</v>
      </c>
      <c r="O237" s="31" cm="1">
        <f t="array" ref="O237">INT(SUMPRODUCT(--ISNUMBER(SEARCH(violent,C237)))&gt;0)</f>
        <v>0</v>
      </c>
      <c r="P237" s="31" cm="1">
        <f t="array" ref="P237">INT(SUMPRODUCT(--ISNUMBER(SEARCH(foreign,C237)))&gt;0)</f>
        <v>0</v>
      </c>
      <c r="Q237" s="31" cm="1">
        <f t="array" ref="Q237">INT(SUMPRODUCT(--ISNUMBER(SEARCH(gun,C237)))&gt;0)</f>
        <v>0</v>
      </c>
      <c r="R237" s="31" cm="1">
        <f t="array" ref="R237">INT(SUMPRODUCT(--ISNUMBER(SEARCH(race,C237)))&gt;0)</f>
        <v>0</v>
      </c>
      <c r="S237" s="31" cm="1">
        <f t="array" ref="S237">INT(SUMPRODUCT(--ISNUMBER(SEARCH(immigration,C237)))&gt;0)</f>
        <v>0</v>
      </c>
      <c r="T237" s="31" cm="1">
        <f t="array" ref="T237">INT(SUMPRODUCT(--ISNUMBER(SEARCH(econineq,C238)))&gt;0)</f>
        <v>0</v>
      </c>
      <c r="U237" s="31" cm="1">
        <f t="array" ref="U237">INT(SUMPRODUCT(--ISNUMBER(SEARCH(climate,C237)))&gt;0)</f>
        <v>0</v>
      </c>
      <c r="V237" s="31" cm="1">
        <f t="array" ref="V237">INT(SUMPRODUCT(--ISNUMBER(SEARCH(abortion,C237)))&gt;0)</f>
        <v>0</v>
      </c>
      <c r="W237" s="31" cm="1">
        <f t="array" ref="W237">INT(SUMPRODUCT(--ISNUMBER(SEARCH(trump,C237)))&gt;0)</f>
        <v>0</v>
      </c>
      <c r="X237" s="31" cm="1">
        <f t="array" ref="X237">INT(SUMPRODUCT(--ISNUMBER(SEARCH(voting,C237)))&gt;0)</f>
        <v>0</v>
      </c>
      <c r="Y237" s="31" cm="1">
        <f t="array" ref="Y237">INT(SUMPRODUCT(--ISNUMBER(SEARCH(democrattrigger,C237)))&gt;0)</f>
        <v>0</v>
      </c>
      <c r="Z237" s="31" cm="1">
        <f t="array" ref="Z237">INT(SUMPRODUCT(--ISNUMBER(SEARCH(bipartisan,C237)))&gt;0)</f>
        <v>0</v>
      </c>
      <c r="AA237" s="31">
        <f t="shared" si="3"/>
        <v>0</v>
      </c>
      <c r="AB237" s="31"/>
      <c r="AC237" s="111">
        <v>0</v>
      </c>
      <c r="AD237" s="112">
        <v>1</v>
      </c>
    </row>
    <row r="238" spans="1:30" x14ac:dyDescent="0.25">
      <c r="A238" s="109">
        <v>2094</v>
      </c>
      <c r="B238" s="31" t="s">
        <v>4214</v>
      </c>
      <c r="C238" s="31" t="s">
        <v>4215</v>
      </c>
      <c r="D238" s="110">
        <v>44109</v>
      </c>
      <c r="E238" s="31" t="s">
        <v>30</v>
      </c>
      <c r="F238" s="31">
        <v>190</v>
      </c>
      <c r="G238" s="31">
        <v>75</v>
      </c>
      <c r="H238" s="31">
        <v>9</v>
      </c>
      <c r="I238" s="31">
        <v>5</v>
      </c>
      <c r="J238" s="31" t="s">
        <v>204</v>
      </c>
      <c r="K238" s="31" cm="1">
        <f t="array" ref="K238">INT(SUMPRODUCT(--ISNUMBER(SEARCH(economy,C238)))&gt;0)</f>
        <v>0</v>
      </c>
      <c r="L238" s="31" cm="1">
        <f t="array" ref="L238">INT(SUMPRODUCT(--ISNUMBER(SEARCH(healthcare,C238)))&gt;0)</f>
        <v>0</v>
      </c>
      <c r="M238" s="31" cm="1">
        <f t="array" ref="M238">INT(SUMPRODUCT(--ISNUMBER(SEARCH(supreme,C238)))&gt;0)</f>
        <v>0</v>
      </c>
      <c r="N238" s="31" cm="1">
        <f t="array" ref="N238">INT(SUMPRODUCT(--ISNUMBER(SEARCH(covid,C238)))&gt;0)</f>
        <v>0</v>
      </c>
      <c r="O238" s="31" cm="1">
        <f t="array" ref="O238">INT(SUMPRODUCT(--ISNUMBER(SEARCH(violent,C238)))&gt;0)</f>
        <v>0</v>
      </c>
      <c r="P238" s="31" cm="1">
        <f t="array" ref="P238">INT(SUMPRODUCT(--ISNUMBER(SEARCH(foreign,C238)))&gt;0)</f>
        <v>0</v>
      </c>
      <c r="Q238" s="31" cm="1">
        <f t="array" ref="Q238">INT(SUMPRODUCT(--ISNUMBER(SEARCH(gun,C238)))&gt;0)</f>
        <v>1</v>
      </c>
      <c r="R238" s="31" cm="1">
        <f t="array" ref="R238">INT(SUMPRODUCT(--ISNUMBER(SEARCH(race,C238)))&gt;0)</f>
        <v>0</v>
      </c>
      <c r="S238" s="31" cm="1">
        <f t="array" ref="S238">INT(SUMPRODUCT(--ISNUMBER(SEARCH(immigration,C238)))&gt;0)</f>
        <v>0</v>
      </c>
      <c r="T238" s="31" cm="1">
        <f t="array" ref="T238">INT(SUMPRODUCT(--ISNUMBER(SEARCH(econineq,C239)))&gt;0)</f>
        <v>0</v>
      </c>
      <c r="U238" s="31" cm="1">
        <f t="array" ref="U238">INT(SUMPRODUCT(--ISNUMBER(SEARCH(climate,C238)))&gt;0)</f>
        <v>0</v>
      </c>
      <c r="V238" s="31" cm="1">
        <f t="array" ref="V238">INT(SUMPRODUCT(--ISNUMBER(SEARCH(abortion,C238)))&gt;0)</f>
        <v>0</v>
      </c>
      <c r="W238" s="31" cm="1">
        <f t="array" ref="W238">INT(SUMPRODUCT(--ISNUMBER(SEARCH(trump,C238)))&gt;0)</f>
        <v>0</v>
      </c>
      <c r="X238" s="31" cm="1">
        <f t="array" ref="X238">INT(SUMPRODUCT(--ISNUMBER(SEARCH(voting,C238)))&gt;0)</f>
        <v>1</v>
      </c>
      <c r="Y238" s="31" cm="1">
        <f t="array" ref="Y238">INT(SUMPRODUCT(--ISNUMBER(SEARCH(democrattrigger,C238)))&gt;0)</f>
        <v>0</v>
      </c>
      <c r="Z238" s="31" cm="1">
        <f t="array" ref="Z238">INT(SUMPRODUCT(--ISNUMBER(SEARCH(bipartisan,C238)))&gt;0)</f>
        <v>0</v>
      </c>
      <c r="AA238" s="31">
        <f t="shared" si="3"/>
        <v>0</v>
      </c>
      <c r="AB238" s="31"/>
      <c r="AC238" s="111">
        <v>1</v>
      </c>
      <c r="AD238" s="112">
        <v>0</v>
      </c>
    </row>
    <row r="239" spans="1:30" x14ac:dyDescent="0.25">
      <c r="A239" s="109">
        <v>2095</v>
      </c>
      <c r="B239" s="31" t="s">
        <v>4216</v>
      </c>
      <c r="C239" s="31" t="s">
        <v>4217</v>
      </c>
      <c r="D239" s="110">
        <v>44108</v>
      </c>
      <c r="E239" s="31" t="s">
        <v>30</v>
      </c>
      <c r="F239" s="31">
        <v>125</v>
      </c>
      <c r="G239" s="31">
        <v>56</v>
      </c>
      <c r="H239" s="31">
        <v>9</v>
      </c>
      <c r="I239" s="31">
        <v>5</v>
      </c>
      <c r="J239" s="31" t="s">
        <v>204</v>
      </c>
      <c r="K239" s="31" cm="1">
        <f t="array" ref="K239">INT(SUMPRODUCT(--ISNUMBER(SEARCH(economy,C239)))&gt;0)</f>
        <v>0</v>
      </c>
      <c r="L239" s="31" cm="1">
        <f t="array" ref="L239">INT(SUMPRODUCT(--ISNUMBER(SEARCH(healthcare,C239)))&gt;0)</f>
        <v>0</v>
      </c>
      <c r="M239" s="31" cm="1">
        <f t="array" ref="M239">INT(SUMPRODUCT(--ISNUMBER(SEARCH(supreme,C239)))&gt;0)</f>
        <v>0</v>
      </c>
      <c r="N239" s="31" cm="1">
        <f t="array" ref="N239">INT(SUMPRODUCT(--ISNUMBER(SEARCH(covid,C239)))&gt;0)</f>
        <v>0</v>
      </c>
      <c r="O239" s="31" cm="1">
        <f t="array" ref="O239">INT(SUMPRODUCT(--ISNUMBER(SEARCH(violent,C239)))&gt;0)</f>
        <v>0</v>
      </c>
      <c r="P239" s="31" cm="1">
        <f t="array" ref="P239">INT(SUMPRODUCT(--ISNUMBER(SEARCH(foreign,C239)))&gt;0)</f>
        <v>0</v>
      </c>
      <c r="Q239" s="31" cm="1">
        <f t="array" ref="Q239">INT(SUMPRODUCT(--ISNUMBER(SEARCH(gun,C239)))&gt;0)</f>
        <v>0</v>
      </c>
      <c r="R239" s="31" cm="1">
        <f t="array" ref="R239">INT(SUMPRODUCT(--ISNUMBER(SEARCH(race,C239)))&gt;0)</f>
        <v>0</v>
      </c>
      <c r="S239" s="31" cm="1">
        <f t="array" ref="S239">INT(SUMPRODUCT(--ISNUMBER(SEARCH(immigration,C239)))&gt;0)</f>
        <v>0</v>
      </c>
      <c r="T239" s="31" cm="1">
        <f t="array" ref="T239">INT(SUMPRODUCT(--ISNUMBER(SEARCH(econineq,C240)))&gt;0)</f>
        <v>0</v>
      </c>
      <c r="U239" s="31" cm="1">
        <f t="array" ref="U239">INT(SUMPRODUCT(--ISNUMBER(SEARCH(climate,C239)))&gt;0)</f>
        <v>0</v>
      </c>
      <c r="V239" s="31" cm="1">
        <f t="array" ref="V239">INT(SUMPRODUCT(--ISNUMBER(SEARCH(abortion,C239)))&gt;0)</f>
        <v>0</v>
      </c>
      <c r="W239" s="31" cm="1">
        <f t="array" ref="W239">INT(SUMPRODUCT(--ISNUMBER(SEARCH(trump,C239)))&gt;0)</f>
        <v>0</v>
      </c>
      <c r="X239" s="31" cm="1">
        <f t="array" ref="X239">INT(SUMPRODUCT(--ISNUMBER(SEARCH(voting,C239)))&gt;0)</f>
        <v>0</v>
      </c>
      <c r="Y239" s="31" cm="1">
        <f t="array" ref="Y239">INT(SUMPRODUCT(--ISNUMBER(SEARCH(democrattrigger,C239)))&gt;0)</f>
        <v>0</v>
      </c>
      <c r="Z239" s="31" cm="1">
        <f t="array" ref="Z239">INT(SUMPRODUCT(--ISNUMBER(SEARCH(bipartisan,C239)))&gt;0)</f>
        <v>0</v>
      </c>
      <c r="AA239" s="31">
        <f t="shared" si="3"/>
        <v>1</v>
      </c>
      <c r="AB239" s="31"/>
      <c r="AC239" s="111">
        <v>1</v>
      </c>
      <c r="AD239" s="112">
        <v>0</v>
      </c>
    </row>
    <row r="240" spans="1:30" x14ac:dyDescent="0.25">
      <c r="A240" s="109">
        <v>2096</v>
      </c>
      <c r="B240" s="31" t="s">
        <v>4218</v>
      </c>
      <c r="C240" s="31" t="s">
        <v>4219</v>
      </c>
      <c r="D240" s="110">
        <v>44108</v>
      </c>
      <c r="E240" s="31" t="s">
        <v>30</v>
      </c>
      <c r="F240" s="31">
        <v>136</v>
      </c>
      <c r="G240" s="31">
        <v>57</v>
      </c>
      <c r="H240" s="31">
        <v>9</v>
      </c>
      <c r="I240" s="31">
        <v>5</v>
      </c>
      <c r="J240" s="31" t="s">
        <v>204</v>
      </c>
      <c r="K240" s="31" cm="1">
        <f t="array" ref="K240">INT(SUMPRODUCT(--ISNUMBER(SEARCH(economy,C240)))&gt;0)</f>
        <v>0</v>
      </c>
      <c r="L240" s="31" cm="1">
        <f t="array" ref="L240">INT(SUMPRODUCT(--ISNUMBER(SEARCH(healthcare,C240)))&gt;0)</f>
        <v>0</v>
      </c>
      <c r="M240" s="31" cm="1">
        <f t="array" ref="M240">INT(SUMPRODUCT(--ISNUMBER(SEARCH(supreme,C240)))&gt;0)</f>
        <v>0</v>
      </c>
      <c r="N240" s="31" cm="1">
        <f t="array" ref="N240">INT(SUMPRODUCT(--ISNUMBER(SEARCH(covid,C240)))&gt;0)</f>
        <v>0</v>
      </c>
      <c r="O240" s="31" cm="1">
        <f t="array" ref="O240">INT(SUMPRODUCT(--ISNUMBER(SEARCH(violent,C240)))&gt;0)</f>
        <v>0</v>
      </c>
      <c r="P240" s="31" cm="1">
        <f t="array" ref="P240">INT(SUMPRODUCT(--ISNUMBER(SEARCH(foreign,C240)))&gt;0)</f>
        <v>0</v>
      </c>
      <c r="Q240" s="31" cm="1">
        <f t="array" ref="Q240">INT(SUMPRODUCT(--ISNUMBER(SEARCH(gun,C240)))&gt;0)</f>
        <v>0</v>
      </c>
      <c r="R240" s="31" cm="1">
        <f t="array" ref="R240">INT(SUMPRODUCT(--ISNUMBER(SEARCH(race,C240)))&gt;0)</f>
        <v>0</v>
      </c>
      <c r="S240" s="31" cm="1">
        <f t="array" ref="S240">INT(SUMPRODUCT(--ISNUMBER(SEARCH(immigration,C240)))&gt;0)</f>
        <v>0</v>
      </c>
      <c r="T240" s="31" cm="1">
        <f t="array" ref="T240">INT(SUMPRODUCT(--ISNUMBER(SEARCH(econineq,C241)))&gt;0)</f>
        <v>0</v>
      </c>
      <c r="U240" s="31" cm="1">
        <f t="array" ref="U240">INT(SUMPRODUCT(--ISNUMBER(SEARCH(climate,C240)))&gt;0)</f>
        <v>0</v>
      </c>
      <c r="V240" s="31" cm="1">
        <f t="array" ref="V240">INT(SUMPRODUCT(--ISNUMBER(SEARCH(abortion,C240)))&gt;0)</f>
        <v>0</v>
      </c>
      <c r="W240" s="31" cm="1">
        <f t="array" ref="W240">INT(SUMPRODUCT(--ISNUMBER(SEARCH(trump,C240)))&gt;0)</f>
        <v>0</v>
      </c>
      <c r="X240" s="31" cm="1">
        <f t="array" ref="X240">INT(SUMPRODUCT(--ISNUMBER(SEARCH(voting,C240)))&gt;0)</f>
        <v>1</v>
      </c>
      <c r="Y240" s="31" cm="1">
        <f t="array" ref="Y240">INT(SUMPRODUCT(--ISNUMBER(SEARCH(democrattrigger,C240)))&gt;0)</f>
        <v>0</v>
      </c>
      <c r="Z240" s="31" cm="1">
        <f t="array" ref="Z240">INT(SUMPRODUCT(--ISNUMBER(SEARCH(bipartisan,C240)))&gt;0)</f>
        <v>0</v>
      </c>
      <c r="AA240" s="31">
        <f t="shared" si="3"/>
        <v>0</v>
      </c>
      <c r="AB240" s="31"/>
      <c r="AC240" s="111">
        <v>1</v>
      </c>
      <c r="AD240" s="112">
        <v>0</v>
      </c>
    </row>
    <row r="241" spans="1:30" x14ac:dyDescent="0.25">
      <c r="A241" s="109">
        <v>2097</v>
      </c>
      <c r="B241" s="31" t="s">
        <v>4220</v>
      </c>
      <c r="C241" s="31" t="s">
        <v>4221</v>
      </c>
      <c r="D241" s="110">
        <v>44108</v>
      </c>
      <c r="E241" s="31" t="s">
        <v>30</v>
      </c>
      <c r="F241" s="31">
        <v>322</v>
      </c>
      <c r="G241" s="31">
        <v>163</v>
      </c>
      <c r="H241" s="31">
        <v>9</v>
      </c>
      <c r="I241" s="31">
        <v>5</v>
      </c>
      <c r="J241" s="31" t="s">
        <v>204</v>
      </c>
      <c r="K241" s="31" cm="1">
        <f t="array" ref="K241">INT(SUMPRODUCT(--ISNUMBER(SEARCH(economy,C241)))&gt;0)</f>
        <v>0</v>
      </c>
      <c r="L241" s="31" cm="1">
        <f t="array" ref="L241">INT(SUMPRODUCT(--ISNUMBER(SEARCH(healthcare,C241)))&gt;0)</f>
        <v>1</v>
      </c>
      <c r="M241" s="31" cm="1">
        <f t="array" ref="M241">INT(SUMPRODUCT(--ISNUMBER(SEARCH(supreme,C241)))&gt;0)</f>
        <v>1</v>
      </c>
      <c r="N241" s="31" cm="1">
        <f t="array" ref="N241">INT(SUMPRODUCT(--ISNUMBER(SEARCH(covid,C241)))&gt;0)</f>
        <v>0</v>
      </c>
      <c r="O241" s="31" cm="1">
        <f t="array" ref="O241">INT(SUMPRODUCT(--ISNUMBER(SEARCH(violent,C241)))&gt;0)</f>
        <v>0</v>
      </c>
      <c r="P241" s="31" cm="1">
        <f t="array" ref="P241">INT(SUMPRODUCT(--ISNUMBER(SEARCH(foreign,C241)))&gt;0)</f>
        <v>0</v>
      </c>
      <c r="Q241" s="31" cm="1">
        <f t="array" ref="Q241">INT(SUMPRODUCT(--ISNUMBER(SEARCH(gun,C241)))&gt;0)</f>
        <v>0</v>
      </c>
      <c r="R241" s="31" cm="1">
        <f t="array" ref="R241">INT(SUMPRODUCT(--ISNUMBER(SEARCH(race,C241)))&gt;0)</f>
        <v>0</v>
      </c>
      <c r="S241" s="31" cm="1">
        <f t="array" ref="S241">INT(SUMPRODUCT(--ISNUMBER(SEARCH(immigration,C241)))&gt;0)</f>
        <v>0</v>
      </c>
      <c r="T241" s="31" cm="1">
        <f t="array" ref="T241">INT(SUMPRODUCT(--ISNUMBER(SEARCH(econineq,C242)))&gt;0)</f>
        <v>0</v>
      </c>
      <c r="U241" s="31" cm="1">
        <f t="array" ref="U241">INT(SUMPRODUCT(--ISNUMBER(SEARCH(climate,C241)))&gt;0)</f>
        <v>0</v>
      </c>
      <c r="V241" s="31" cm="1">
        <f t="array" ref="V241">INT(SUMPRODUCT(--ISNUMBER(SEARCH(abortion,C241)))&gt;0)</f>
        <v>0</v>
      </c>
      <c r="W241" s="31" cm="1">
        <f t="array" ref="W241">INT(SUMPRODUCT(--ISNUMBER(SEARCH(trump,C241)))&gt;0)</f>
        <v>0</v>
      </c>
      <c r="X241" s="31" cm="1">
        <f t="array" ref="X241">INT(SUMPRODUCT(--ISNUMBER(SEARCH(voting,C241)))&gt;0)</f>
        <v>1</v>
      </c>
      <c r="Y241" s="31" cm="1">
        <f t="array" ref="Y241">INT(SUMPRODUCT(--ISNUMBER(SEARCH(democrattrigger,C241)))&gt;0)</f>
        <v>1</v>
      </c>
      <c r="Z241" s="31" cm="1">
        <f t="array" ref="Z241">INT(SUMPRODUCT(--ISNUMBER(SEARCH(bipartisan,C241)))&gt;0)</f>
        <v>0</v>
      </c>
      <c r="AA241" s="31">
        <f t="shared" si="3"/>
        <v>0</v>
      </c>
      <c r="AB241" s="31"/>
      <c r="AC241" s="111" t="s">
        <v>223</v>
      </c>
      <c r="AD241" s="112" t="s">
        <v>223</v>
      </c>
    </row>
    <row r="242" spans="1:30" x14ac:dyDescent="0.25">
      <c r="A242" s="109">
        <v>2098</v>
      </c>
      <c r="B242" s="31" t="s">
        <v>4222</v>
      </c>
      <c r="C242" s="31" t="s">
        <v>4223</v>
      </c>
      <c r="D242" s="110">
        <v>44107</v>
      </c>
      <c r="E242" s="31" t="s">
        <v>30</v>
      </c>
      <c r="F242" s="31">
        <v>240</v>
      </c>
      <c r="G242" s="31">
        <v>75</v>
      </c>
      <c r="H242" s="31">
        <v>9</v>
      </c>
      <c r="I242" s="31">
        <v>5</v>
      </c>
      <c r="J242" s="31" t="s">
        <v>204</v>
      </c>
      <c r="K242" s="31" cm="1">
        <f t="array" ref="K242">INT(SUMPRODUCT(--ISNUMBER(SEARCH(economy,C242)))&gt;0)</f>
        <v>1</v>
      </c>
      <c r="L242" s="31" cm="1">
        <f t="array" ref="L242">INT(SUMPRODUCT(--ISNUMBER(SEARCH(healthcare,C242)))&gt;0)</f>
        <v>1</v>
      </c>
      <c r="M242" s="31" cm="1">
        <f t="array" ref="M242">INT(SUMPRODUCT(--ISNUMBER(SEARCH(supreme,C242)))&gt;0)</f>
        <v>0</v>
      </c>
      <c r="N242" s="31" cm="1">
        <f t="array" ref="N242">INT(SUMPRODUCT(--ISNUMBER(SEARCH(covid,C242)))&gt;0)</f>
        <v>1</v>
      </c>
      <c r="O242" s="31" cm="1">
        <f t="array" ref="O242">INT(SUMPRODUCT(--ISNUMBER(SEARCH(violent,C242)))&gt;0)</f>
        <v>0</v>
      </c>
      <c r="P242" s="31" cm="1">
        <f t="array" ref="P242">INT(SUMPRODUCT(--ISNUMBER(SEARCH(foreign,C242)))&gt;0)</f>
        <v>0</v>
      </c>
      <c r="Q242" s="31" cm="1">
        <f t="array" ref="Q242">INT(SUMPRODUCT(--ISNUMBER(SEARCH(gun,C242)))&gt;0)</f>
        <v>0</v>
      </c>
      <c r="R242" s="31" cm="1">
        <f t="array" ref="R242">INT(SUMPRODUCT(--ISNUMBER(SEARCH(race,C242)))&gt;0)</f>
        <v>0</v>
      </c>
      <c r="S242" s="31" cm="1">
        <f t="array" ref="S242">INT(SUMPRODUCT(--ISNUMBER(SEARCH(immigration,C242)))&gt;0)</f>
        <v>0</v>
      </c>
      <c r="T242" s="31" cm="1">
        <f t="array" ref="T242">INT(SUMPRODUCT(--ISNUMBER(SEARCH(econineq,C243)))&gt;0)</f>
        <v>0</v>
      </c>
      <c r="U242" s="31" cm="1">
        <f t="array" ref="U242">INT(SUMPRODUCT(--ISNUMBER(SEARCH(climate,C242)))&gt;0)</f>
        <v>0</v>
      </c>
      <c r="V242" s="31" cm="1">
        <f t="array" ref="V242">INT(SUMPRODUCT(--ISNUMBER(SEARCH(abortion,C242)))&gt;0)</f>
        <v>0</v>
      </c>
      <c r="W242" s="31" cm="1">
        <f t="array" ref="W242">INT(SUMPRODUCT(--ISNUMBER(SEARCH(trump,C242)))&gt;0)</f>
        <v>0</v>
      </c>
      <c r="X242" s="31" cm="1">
        <f t="array" ref="X242">INT(SUMPRODUCT(--ISNUMBER(SEARCH(voting,C242)))&gt;0)</f>
        <v>0</v>
      </c>
      <c r="Y242" s="31" cm="1">
        <f t="array" ref="Y242">INT(SUMPRODUCT(--ISNUMBER(SEARCH(democrattrigger,C242)))&gt;0)</f>
        <v>0</v>
      </c>
      <c r="Z242" s="31" cm="1">
        <f t="array" ref="Z242">INT(SUMPRODUCT(--ISNUMBER(SEARCH(bipartisan,C242)))&gt;0)</f>
        <v>0</v>
      </c>
      <c r="AA242" s="31">
        <f t="shared" si="3"/>
        <v>0</v>
      </c>
      <c r="AB242" s="31"/>
      <c r="AC242" s="111" t="s">
        <v>223</v>
      </c>
      <c r="AD242" s="112" t="s">
        <v>223</v>
      </c>
    </row>
    <row r="243" spans="1:30" x14ac:dyDescent="0.25">
      <c r="A243" s="113">
        <v>2099</v>
      </c>
      <c r="B243" s="40" t="s">
        <v>4224</v>
      </c>
      <c r="C243" s="40" t="s">
        <v>4225</v>
      </c>
      <c r="D243" s="114">
        <v>44107</v>
      </c>
      <c r="E243" s="40" t="s">
        <v>30</v>
      </c>
      <c r="F243" s="40">
        <v>1351</v>
      </c>
      <c r="G243" s="40">
        <v>207</v>
      </c>
      <c r="H243" s="40">
        <v>9</v>
      </c>
      <c r="I243" s="40">
        <v>5</v>
      </c>
      <c r="J243" s="40" t="s">
        <v>204</v>
      </c>
      <c r="K243" s="40" cm="1">
        <f t="array" ref="K243">INT(SUMPRODUCT(--ISNUMBER(SEARCH(economy,C243)))&gt;0)</f>
        <v>0</v>
      </c>
      <c r="L243" s="40" cm="1">
        <f t="array" ref="L243">INT(SUMPRODUCT(--ISNUMBER(SEARCH(healthcare,C243)))&gt;0)</f>
        <v>0</v>
      </c>
      <c r="M243" s="40" cm="1">
        <f t="array" ref="M243">INT(SUMPRODUCT(--ISNUMBER(SEARCH(supreme,C243)))&gt;0)</f>
        <v>0</v>
      </c>
      <c r="N243" s="40" cm="1">
        <f t="array" ref="N243">INT(SUMPRODUCT(--ISNUMBER(SEARCH(covid,C243)))&gt;0)</f>
        <v>1</v>
      </c>
      <c r="O243" s="40" cm="1">
        <f t="array" ref="O243">INT(SUMPRODUCT(--ISNUMBER(SEARCH(violent,C243)))&gt;0)</f>
        <v>0</v>
      </c>
      <c r="P243" s="40" cm="1">
        <f t="array" ref="P243">INT(SUMPRODUCT(--ISNUMBER(SEARCH(foreign,C243)))&gt;0)</f>
        <v>0</v>
      </c>
      <c r="Q243" s="40" cm="1">
        <f t="array" ref="Q243">INT(SUMPRODUCT(--ISNUMBER(SEARCH(gun,C243)))&gt;0)</f>
        <v>0</v>
      </c>
      <c r="R243" s="40" cm="1">
        <f t="array" ref="R243">INT(SUMPRODUCT(--ISNUMBER(SEARCH(race,C243)))&gt;0)</f>
        <v>0</v>
      </c>
      <c r="S243" s="40" cm="1">
        <f t="array" ref="S243">INT(SUMPRODUCT(--ISNUMBER(SEARCH(immigration,C243)))&gt;0)</f>
        <v>0</v>
      </c>
      <c r="T243" s="40" cm="1">
        <f t="array" ref="T243">INT(SUMPRODUCT(--ISNUMBER(SEARCH(econineq,C244)))&gt;0)</f>
        <v>0</v>
      </c>
      <c r="U243" s="40" cm="1">
        <f t="array" ref="U243">INT(SUMPRODUCT(--ISNUMBER(SEARCH(climate,C243)))&gt;0)</f>
        <v>0</v>
      </c>
      <c r="V243" s="40" cm="1">
        <f t="array" ref="V243">INT(SUMPRODUCT(--ISNUMBER(SEARCH(abortion,C243)))&gt;0)</f>
        <v>0</v>
      </c>
      <c r="W243" s="40" cm="1">
        <f t="array" ref="W243">INT(SUMPRODUCT(--ISNUMBER(SEARCH(trump,C243)))&gt;0)</f>
        <v>0</v>
      </c>
      <c r="X243" s="40" cm="1">
        <f t="array" ref="X243">INT(SUMPRODUCT(--ISNUMBER(SEARCH(voting,C243)))&gt;0)</f>
        <v>0</v>
      </c>
      <c r="Y243" s="40" cm="1">
        <f t="array" ref="Y243">INT(SUMPRODUCT(--ISNUMBER(SEARCH(democrattrigger,C243)))&gt;0)</f>
        <v>0</v>
      </c>
      <c r="Z243" s="40" cm="1">
        <f t="array" ref="Z243">INT(SUMPRODUCT(--ISNUMBER(SEARCH(bipartisan,C243)))&gt;0)</f>
        <v>0</v>
      </c>
      <c r="AA243" s="40">
        <f t="shared" si="3"/>
        <v>0</v>
      </c>
      <c r="AB243" s="40"/>
      <c r="AC243" s="115">
        <v>1</v>
      </c>
      <c r="AD243" s="116">
        <v>0</v>
      </c>
    </row>
    <row r="244" spans="1:30" x14ac:dyDescent="0.25">
      <c r="A244" s="117"/>
      <c r="B244" s="117"/>
      <c r="C244" s="117"/>
      <c r="D244" s="117"/>
      <c r="E244" s="117"/>
      <c r="F244" s="117"/>
      <c r="G244" s="117"/>
      <c r="H244" s="117"/>
      <c r="I244" s="117"/>
      <c r="J244" s="117"/>
      <c r="K244" s="118">
        <f t="shared" ref="K244:AD244" si="4">SUM(K2:K243)</f>
        <v>25</v>
      </c>
      <c r="L244" s="118">
        <f t="shared" si="4"/>
        <v>42</v>
      </c>
      <c r="M244" s="118">
        <f t="shared" si="4"/>
        <v>10</v>
      </c>
      <c r="N244" s="118">
        <f t="shared" si="4"/>
        <v>7</v>
      </c>
      <c r="O244" s="118">
        <f t="shared" si="4"/>
        <v>5</v>
      </c>
      <c r="P244" s="118">
        <f t="shared" si="4"/>
        <v>2</v>
      </c>
      <c r="Q244" s="118">
        <f t="shared" si="4"/>
        <v>4</v>
      </c>
      <c r="R244" s="118">
        <f t="shared" si="4"/>
        <v>5</v>
      </c>
      <c r="S244" s="118">
        <f t="shared" si="4"/>
        <v>0</v>
      </c>
      <c r="T244" s="118">
        <f t="shared" si="4"/>
        <v>4</v>
      </c>
      <c r="U244" s="118">
        <f t="shared" si="4"/>
        <v>6</v>
      </c>
      <c r="V244" s="118">
        <f t="shared" si="4"/>
        <v>4</v>
      </c>
      <c r="W244" s="118">
        <f t="shared" si="4"/>
        <v>18</v>
      </c>
      <c r="X244" s="118">
        <f t="shared" si="4"/>
        <v>135</v>
      </c>
      <c r="Y244" s="118">
        <f t="shared" si="4"/>
        <v>27</v>
      </c>
      <c r="Z244" s="118">
        <f t="shared" si="4"/>
        <v>7</v>
      </c>
      <c r="AA244" s="118">
        <f t="shared" si="4"/>
        <v>52</v>
      </c>
      <c r="AB244" s="118">
        <f t="shared" si="4"/>
        <v>0</v>
      </c>
      <c r="AC244" s="118">
        <f t="shared" si="4"/>
        <v>92</v>
      </c>
      <c r="AD244" s="118">
        <f t="shared" si="4"/>
        <v>45</v>
      </c>
    </row>
    <row r="245" spans="1:30" x14ac:dyDescent="0.25">
      <c r="A245" s="16"/>
      <c r="B245" s="16"/>
      <c r="C245" s="10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x14ac:dyDescent="0.25">
      <c r="A246" s="16"/>
      <c r="B246" s="16"/>
      <c r="C246" s="10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x14ac:dyDescent="0.25">
      <c r="A247" s="16"/>
      <c r="B247" s="16"/>
      <c r="C247" s="10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x14ac:dyDescent="0.25">
      <c r="A248" s="16"/>
      <c r="B248" s="16"/>
      <c r="C248" s="10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x14ac:dyDescent="0.25">
      <c r="A249" s="16"/>
      <c r="B249" s="16"/>
      <c r="C249" s="10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x14ac:dyDescent="0.25">
      <c r="A250" s="16"/>
      <c r="B250" s="16"/>
      <c r="C250" s="10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x14ac:dyDescent="0.25">
      <c r="A251" s="16"/>
      <c r="B251" s="16"/>
      <c r="C251" s="10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x14ac:dyDescent="0.25">
      <c r="A252" s="16"/>
      <c r="B252" s="16"/>
      <c r="C252" s="10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x14ac:dyDescent="0.25">
      <c r="A253" s="16"/>
      <c r="B253" s="16"/>
      <c r="C253" s="10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x14ac:dyDescent="0.25">
      <c r="A254" s="16"/>
      <c r="B254" s="16"/>
      <c r="C254" s="10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x14ac:dyDescent="0.25">
      <c r="A255" s="16"/>
      <c r="B255" s="16"/>
      <c r="C255" s="10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x14ac:dyDescent="0.25">
      <c r="A256" s="16"/>
      <c r="B256" s="16"/>
      <c r="C256" s="10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x14ac:dyDescent="0.25">
      <c r="A257" s="16"/>
      <c r="B257" s="16"/>
      <c r="C257" s="10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x14ac:dyDescent="0.25">
      <c r="A258" s="16"/>
      <c r="B258" s="16"/>
      <c r="C258" s="10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x14ac:dyDescent="0.25">
      <c r="A259" s="16"/>
      <c r="B259" s="16"/>
      <c r="C259" s="10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x14ac:dyDescent="0.25">
      <c r="A260" s="16"/>
      <c r="B260" s="16"/>
      <c r="C260" s="10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x14ac:dyDescent="0.25">
      <c r="A261" s="16"/>
      <c r="B261" s="16"/>
      <c r="C261" s="10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x14ac:dyDescent="0.25">
      <c r="A262" s="16"/>
      <c r="B262" s="16"/>
      <c r="C262" s="10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x14ac:dyDescent="0.25">
      <c r="A263" s="16"/>
      <c r="B263" s="16"/>
      <c r="C263" s="10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x14ac:dyDescent="0.25">
      <c r="A264" s="16"/>
      <c r="B264" s="16"/>
      <c r="C264" s="10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x14ac:dyDescent="0.25">
      <c r="A265" s="16"/>
      <c r="B265" s="16"/>
      <c r="C265" s="10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x14ac:dyDescent="0.25">
      <c r="A266" s="16"/>
      <c r="B266" s="16"/>
      <c r="C266" s="10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x14ac:dyDescent="0.25">
      <c r="A267" s="16"/>
      <c r="B267" s="16"/>
      <c r="C267" s="10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x14ac:dyDescent="0.25">
      <c r="A268" s="16"/>
      <c r="B268" s="16"/>
      <c r="C268" s="10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x14ac:dyDescent="0.25">
      <c r="A269" s="16"/>
      <c r="B269" s="16"/>
      <c r="C269" s="10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x14ac:dyDescent="0.25">
      <c r="A270" s="16"/>
      <c r="B270" s="16"/>
      <c r="C270" s="10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x14ac:dyDescent="0.25">
      <c r="A271" s="16"/>
      <c r="B271" s="16"/>
      <c r="C271" s="10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x14ac:dyDescent="0.25">
      <c r="A272" s="16"/>
      <c r="B272" s="16"/>
      <c r="C272" s="10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x14ac:dyDescent="0.25">
      <c r="A273" s="16"/>
      <c r="B273" s="16"/>
      <c r="C273" s="10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x14ac:dyDescent="0.25">
      <c r="A274" s="16"/>
      <c r="B274" s="16"/>
      <c r="C274" s="10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x14ac:dyDescent="0.25">
      <c r="A275" s="16"/>
      <c r="B275" s="16"/>
      <c r="C275" s="10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x14ac:dyDescent="0.25">
      <c r="A276" s="16"/>
      <c r="B276" s="16"/>
      <c r="C276" s="10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x14ac:dyDescent="0.25">
      <c r="A277" s="16"/>
      <c r="B277" s="16"/>
      <c r="C277" s="10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x14ac:dyDescent="0.25">
      <c r="A278" s="16"/>
      <c r="B278" s="16"/>
      <c r="C278" s="10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x14ac:dyDescent="0.25">
      <c r="A279" s="16"/>
      <c r="B279" s="16"/>
      <c r="C279" s="10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x14ac:dyDescent="0.25">
      <c r="A280" s="16"/>
      <c r="B280" s="16"/>
      <c r="C280" s="10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x14ac:dyDescent="0.25">
      <c r="A281" s="16"/>
      <c r="B281" s="16"/>
      <c r="C281" s="10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x14ac:dyDescent="0.25">
      <c r="A282" s="16"/>
      <c r="B282" s="16"/>
      <c r="C282" s="10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x14ac:dyDescent="0.25">
      <c r="A283" s="16"/>
      <c r="B283" s="16"/>
      <c r="C283" s="10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x14ac:dyDescent="0.25">
      <c r="A284" s="16"/>
      <c r="B284" s="16"/>
      <c r="C284" s="10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x14ac:dyDescent="0.25">
      <c r="A285" s="16"/>
      <c r="B285" s="16"/>
      <c r="C285" s="10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x14ac:dyDescent="0.25">
      <c r="A286" s="16"/>
      <c r="B286" s="16"/>
      <c r="C286" s="10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x14ac:dyDescent="0.25">
      <c r="A287" s="16"/>
      <c r="B287" s="16"/>
      <c r="C287" s="10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x14ac:dyDescent="0.25">
      <c r="A288" s="16"/>
      <c r="B288" s="16"/>
      <c r="C288" s="10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x14ac:dyDescent="0.25">
      <c r="A289" s="16"/>
      <c r="B289" s="16"/>
      <c r="C289" s="10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x14ac:dyDescent="0.25">
      <c r="A290" s="16"/>
      <c r="B290" s="16"/>
      <c r="C290" s="10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x14ac:dyDescent="0.25">
      <c r="A291" s="16"/>
      <c r="B291" s="16"/>
      <c r="C291" s="10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x14ac:dyDescent="0.25">
      <c r="A292" s="16"/>
      <c r="B292" s="16"/>
      <c r="C292" s="10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x14ac:dyDescent="0.25">
      <c r="A293" s="16"/>
      <c r="B293" s="16"/>
      <c r="C293" s="10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x14ac:dyDescent="0.25">
      <c r="A294" s="16"/>
      <c r="B294" s="16"/>
      <c r="C294" s="10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x14ac:dyDescent="0.25">
      <c r="A295" s="16"/>
      <c r="B295" s="16"/>
      <c r="C295" s="10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x14ac:dyDescent="0.25">
      <c r="A296" s="16"/>
      <c r="B296" s="16"/>
      <c r="C296" s="10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x14ac:dyDescent="0.25">
      <c r="A297" s="16"/>
      <c r="B297" s="16"/>
      <c r="C297" s="10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x14ac:dyDescent="0.25">
      <c r="A298" s="16"/>
      <c r="B298" s="16"/>
      <c r="C298" s="10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x14ac:dyDescent="0.25">
      <c r="A299" s="16"/>
      <c r="B299" s="16"/>
      <c r="C299" s="10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x14ac:dyDescent="0.25">
      <c r="A300" s="16"/>
      <c r="B300" s="16"/>
      <c r="C300" s="10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x14ac:dyDescent="0.25">
      <c r="A301" s="16"/>
      <c r="B301" s="16"/>
      <c r="C301" s="10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x14ac:dyDescent="0.25">
      <c r="A302" s="16"/>
      <c r="B302" s="16"/>
      <c r="C302" s="10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x14ac:dyDescent="0.25">
      <c r="A303" s="16"/>
      <c r="B303" s="16"/>
      <c r="C303" s="10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x14ac:dyDescent="0.25">
      <c r="A304" s="16"/>
      <c r="B304" s="16"/>
      <c r="C304" s="10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x14ac:dyDescent="0.25">
      <c r="A305" s="16"/>
      <c r="B305" s="16"/>
      <c r="C305" s="10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x14ac:dyDescent="0.25">
      <c r="A306" s="16"/>
      <c r="B306" s="16"/>
      <c r="C306" s="10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x14ac:dyDescent="0.25">
      <c r="A307" s="16"/>
      <c r="B307" s="16"/>
      <c r="C307" s="10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x14ac:dyDescent="0.25">
      <c r="A308" s="16"/>
      <c r="B308" s="16"/>
      <c r="C308" s="10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x14ac:dyDescent="0.25">
      <c r="A309" s="16"/>
      <c r="B309" s="16"/>
      <c r="C309" s="10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x14ac:dyDescent="0.25">
      <c r="A310" s="16"/>
      <c r="B310" s="16"/>
      <c r="C310" s="10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x14ac:dyDescent="0.25">
      <c r="A311" s="16"/>
      <c r="B311" s="16"/>
      <c r="C311" s="10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x14ac:dyDescent="0.25">
      <c r="A312" s="16"/>
      <c r="B312" s="16"/>
      <c r="C312" s="10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x14ac:dyDescent="0.25">
      <c r="A313" s="16"/>
      <c r="B313" s="16"/>
      <c r="C313" s="10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x14ac:dyDescent="0.25">
      <c r="A314" s="16"/>
      <c r="B314" s="16"/>
      <c r="C314" s="10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x14ac:dyDescent="0.25">
      <c r="A315" s="16"/>
      <c r="B315" s="16"/>
      <c r="C315" s="10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x14ac:dyDescent="0.25">
      <c r="A316" s="16"/>
      <c r="B316" s="16"/>
      <c r="C316" s="10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x14ac:dyDescent="0.25">
      <c r="A317" s="16"/>
      <c r="B317" s="16"/>
      <c r="C317" s="10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x14ac:dyDescent="0.25">
      <c r="A318" s="16"/>
      <c r="B318" s="16"/>
      <c r="C318" s="10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x14ac:dyDescent="0.25">
      <c r="A319" s="16"/>
      <c r="B319" s="16"/>
      <c r="C319" s="10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x14ac:dyDescent="0.25">
      <c r="A320" s="16"/>
      <c r="B320" s="16"/>
      <c r="C320" s="10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x14ac:dyDescent="0.25">
      <c r="A321" s="16"/>
      <c r="B321" s="16"/>
      <c r="C321" s="10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x14ac:dyDescent="0.25">
      <c r="A322" s="16"/>
      <c r="B322" s="16"/>
      <c r="C322" s="10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x14ac:dyDescent="0.25">
      <c r="A323" s="16"/>
      <c r="B323" s="16"/>
      <c r="C323" s="10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x14ac:dyDescent="0.25">
      <c r="A324" s="16"/>
      <c r="B324" s="16"/>
      <c r="C324" s="10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x14ac:dyDescent="0.25">
      <c r="A325" s="16"/>
      <c r="B325" s="16"/>
      <c r="C325" s="10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x14ac:dyDescent="0.25">
      <c r="A326" s="16"/>
      <c r="B326" s="16"/>
      <c r="C326" s="10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x14ac:dyDescent="0.25">
      <c r="A327" s="16"/>
      <c r="B327" s="16"/>
      <c r="C327" s="10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x14ac:dyDescent="0.25">
      <c r="A328" s="16"/>
      <c r="B328" s="16"/>
      <c r="C328" s="10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x14ac:dyDescent="0.25">
      <c r="A329" s="16"/>
      <c r="B329" s="16"/>
      <c r="C329" s="10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x14ac:dyDescent="0.25">
      <c r="A330" s="16"/>
      <c r="B330" s="16"/>
      <c r="C330" s="10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x14ac:dyDescent="0.25">
      <c r="A331" s="16"/>
      <c r="B331" s="16"/>
      <c r="C331" s="10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x14ac:dyDescent="0.25">
      <c r="A332" s="16"/>
      <c r="B332" s="16"/>
      <c r="C332" s="10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x14ac:dyDescent="0.25">
      <c r="A333" s="16"/>
      <c r="B333" s="16"/>
      <c r="C333" s="10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x14ac:dyDescent="0.25">
      <c r="A334" s="16"/>
      <c r="B334" s="16"/>
      <c r="C334" s="10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row>
    <row r="335" spans="1:30" x14ac:dyDescent="0.25">
      <c r="A335" s="16"/>
      <c r="B335" s="16"/>
      <c r="C335" s="10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row>
    <row r="336" spans="1:30" x14ac:dyDescent="0.25">
      <c r="A336" s="16"/>
      <c r="B336" s="16"/>
      <c r="C336" s="10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row>
    <row r="337" spans="1:30" x14ac:dyDescent="0.25">
      <c r="A337" s="16"/>
      <c r="B337" s="16"/>
      <c r="C337" s="10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row>
    <row r="338" spans="1:30" x14ac:dyDescent="0.25">
      <c r="A338" s="16"/>
      <c r="B338" s="16"/>
      <c r="C338" s="10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row>
    <row r="339" spans="1:30" x14ac:dyDescent="0.25">
      <c r="A339" s="16"/>
      <c r="B339" s="16"/>
      <c r="C339" s="10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row>
    <row r="340" spans="1:30" x14ac:dyDescent="0.25">
      <c r="A340" s="16"/>
      <c r="B340" s="16"/>
      <c r="C340" s="10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row>
    <row r="341" spans="1:30" x14ac:dyDescent="0.25">
      <c r="A341" s="16"/>
      <c r="B341" s="16"/>
      <c r="C341" s="10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row>
    <row r="342" spans="1:30" x14ac:dyDescent="0.25">
      <c r="A342" s="16"/>
      <c r="B342" s="16"/>
      <c r="C342" s="10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row>
    <row r="343" spans="1:30" x14ac:dyDescent="0.25">
      <c r="A343" s="16"/>
      <c r="B343" s="16"/>
      <c r="C343" s="10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row>
    <row r="344" spans="1:30" x14ac:dyDescent="0.25">
      <c r="A344" s="16"/>
      <c r="B344" s="16"/>
      <c r="C344" s="10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row>
    <row r="345" spans="1:30" x14ac:dyDescent="0.25">
      <c r="A345" s="16"/>
      <c r="B345" s="16"/>
      <c r="C345" s="10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row>
    <row r="346" spans="1:30" x14ac:dyDescent="0.25">
      <c r="A346" s="16"/>
      <c r="B346" s="16"/>
      <c r="C346" s="10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row>
    <row r="347" spans="1:30" x14ac:dyDescent="0.25">
      <c r="A347" s="16"/>
      <c r="B347" s="16"/>
      <c r="C347" s="10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row>
    <row r="348" spans="1:30" x14ac:dyDescent="0.25">
      <c r="A348" s="16"/>
      <c r="B348" s="16"/>
      <c r="C348" s="10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row>
    <row r="349" spans="1:30" x14ac:dyDescent="0.25">
      <c r="A349" s="16"/>
      <c r="B349" s="16"/>
      <c r="C349" s="10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row>
    <row r="350" spans="1:30" x14ac:dyDescent="0.25">
      <c r="A350" s="16"/>
      <c r="B350" s="16"/>
      <c r="C350" s="10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row>
    <row r="351" spans="1:30" x14ac:dyDescent="0.25">
      <c r="A351" s="16"/>
      <c r="B351" s="16"/>
      <c r="C351" s="10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row>
    <row r="352" spans="1:30" x14ac:dyDescent="0.25">
      <c r="A352" s="16"/>
      <c r="B352" s="16"/>
      <c r="C352" s="10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row>
    <row r="353" spans="1:31" x14ac:dyDescent="0.25">
      <c r="A353" s="16"/>
      <c r="B353" s="16"/>
      <c r="C353" s="10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row>
    <row r="354" spans="1:31" x14ac:dyDescent="0.25">
      <c r="A354" s="16"/>
      <c r="B354" s="16"/>
      <c r="C354" s="10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row>
    <row r="355" spans="1:31" x14ac:dyDescent="0.25">
      <c r="A355" s="16"/>
      <c r="B355" s="16"/>
      <c r="C355" s="10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row>
    <row r="356" spans="1:31" x14ac:dyDescent="0.25">
      <c r="A356" s="16"/>
      <c r="B356" s="16"/>
      <c r="C356" s="10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row>
    <row r="357" spans="1:31" x14ac:dyDescent="0.25">
      <c r="A357" s="16"/>
      <c r="B357" s="16"/>
      <c r="C357" s="10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row>
    <row r="358" spans="1:31" x14ac:dyDescent="0.25">
      <c r="A358" s="16"/>
      <c r="B358" s="16"/>
      <c r="C358" s="10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row>
    <row r="359" spans="1:31" x14ac:dyDescent="0.25">
      <c r="A359" s="16"/>
      <c r="B359" s="16"/>
      <c r="C359" s="10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row>
    <row r="360" spans="1:31" x14ac:dyDescent="0.25">
      <c r="A360" s="16"/>
      <c r="B360" s="16"/>
      <c r="C360" s="10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row>
    <row r="361" spans="1:31" x14ac:dyDescent="0.25">
      <c r="A361" s="16"/>
      <c r="B361" s="16"/>
      <c r="C361" s="10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row>
    <row r="362" spans="1:31" x14ac:dyDescent="0.25">
      <c r="A362" s="16"/>
      <c r="B362" s="16"/>
      <c r="C362" s="10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row>
    <row r="363" spans="1:31" x14ac:dyDescent="0.25">
      <c r="A363" s="16"/>
      <c r="B363" s="16"/>
      <c r="C363" s="10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row>
    <row r="364" spans="1:31" x14ac:dyDescent="0.25">
      <c r="A364" s="16"/>
      <c r="B364" s="16"/>
      <c r="C364" s="10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row>
    <row r="365" spans="1:31" x14ac:dyDescent="0.25">
      <c r="A365" s="16"/>
      <c r="B365" s="16"/>
      <c r="C365" s="10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row>
    <row r="366" spans="1:31" x14ac:dyDescent="0.25">
      <c r="A366" s="16"/>
      <c r="B366" s="16"/>
      <c r="C366" s="10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row>
    <row r="367" spans="1:31" x14ac:dyDescent="0.25">
      <c r="A367" s="16"/>
      <c r="B367" s="16"/>
      <c r="C367" s="10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row>
    <row r="368" spans="1:31" x14ac:dyDescent="0.25">
      <c r="A368" s="16"/>
      <c r="B368" s="16"/>
      <c r="C368" s="10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row>
    <row r="369" spans="1:31" x14ac:dyDescent="0.25">
      <c r="A369" s="16"/>
      <c r="B369" s="16"/>
      <c r="C369" s="10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row>
    <row r="370" spans="1:31" x14ac:dyDescent="0.25">
      <c r="A370" s="16"/>
      <c r="B370" s="16"/>
      <c r="C370" s="10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row>
    <row r="371" spans="1:31" x14ac:dyDescent="0.25">
      <c r="A371" s="16"/>
      <c r="B371" s="16"/>
      <c r="C371" s="10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row>
    <row r="372" spans="1:31" x14ac:dyDescent="0.25">
      <c r="A372" s="16"/>
      <c r="B372" s="16"/>
      <c r="C372" s="10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row>
    <row r="373" spans="1:31" x14ac:dyDescent="0.25">
      <c r="A373" s="16"/>
      <c r="B373" s="16"/>
      <c r="C373" s="10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row>
    <row r="374" spans="1:31" x14ac:dyDescent="0.25">
      <c r="A374" s="16"/>
      <c r="B374" s="16"/>
      <c r="C374" s="10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row>
    <row r="375" spans="1:31" x14ac:dyDescent="0.25">
      <c r="A375" s="16"/>
      <c r="B375" s="16"/>
      <c r="C375" s="10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row>
    <row r="376" spans="1:31" x14ac:dyDescent="0.25">
      <c r="A376" s="16"/>
      <c r="B376" s="16"/>
      <c r="C376" s="10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row>
    <row r="377" spans="1:31" x14ac:dyDescent="0.25">
      <c r="A377" s="16"/>
      <c r="B377" s="16"/>
      <c r="C377" s="10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row>
    <row r="378" spans="1:31" x14ac:dyDescent="0.25">
      <c r="A378" s="16"/>
      <c r="B378" s="16"/>
      <c r="C378" s="10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row>
    <row r="379" spans="1:31" x14ac:dyDescent="0.25">
      <c r="A379" s="16"/>
      <c r="B379" s="16"/>
      <c r="C379" s="10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row>
    <row r="380" spans="1:31" x14ac:dyDescent="0.25">
      <c r="A380" s="16"/>
      <c r="B380" s="16"/>
      <c r="C380" s="10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row>
    <row r="381" spans="1:31" x14ac:dyDescent="0.25">
      <c r="A381" s="16"/>
      <c r="B381" s="16"/>
      <c r="C381" s="10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row>
    <row r="382" spans="1:31" x14ac:dyDescent="0.25">
      <c r="A382" s="16"/>
      <c r="B382" s="16"/>
      <c r="C382" s="10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row>
    <row r="383" spans="1:31" x14ac:dyDescent="0.25">
      <c r="A383" s="16"/>
      <c r="B383" s="16"/>
      <c r="C383" s="10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row>
    <row r="384" spans="1:31" x14ac:dyDescent="0.25">
      <c r="A384" s="16"/>
      <c r="B384" s="16"/>
      <c r="C384" s="10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row>
    <row r="385" spans="1:31" x14ac:dyDescent="0.25">
      <c r="A385" s="16"/>
      <c r="B385" s="16"/>
      <c r="C385" s="10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row>
    <row r="386" spans="1:31" x14ac:dyDescent="0.25">
      <c r="A386" s="16"/>
      <c r="B386" s="16"/>
      <c r="C386" s="10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row>
    <row r="387" spans="1:31" x14ac:dyDescent="0.25">
      <c r="A387" s="16"/>
      <c r="B387" s="16"/>
      <c r="C387" s="10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row>
    <row r="388" spans="1:31" x14ac:dyDescent="0.25">
      <c r="A388" s="16"/>
      <c r="B388" s="16"/>
      <c r="C388" s="10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row>
    <row r="389" spans="1:31" x14ac:dyDescent="0.25">
      <c r="A389" s="16"/>
      <c r="B389" s="16"/>
      <c r="C389" s="10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row>
    <row r="390" spans="1:31" x14ac:dyDescent="0.25">
      <c r="A390" s="16"/>
      <c r="B390" s="16"/>
      <c r="C390" s="10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row>
    <row r="391" spans="1:31" x14ac:dyDescent="0.25">
      <c r="A391" s="16"/>
      <c r="B391" s="16"/>
      <c r="C391" s="10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row>
    <row r="392" spans="1:31" x14ac:dyDescent="0.25">
      <c r="A392" s="16"/>
      <c r="B392" s="16"/>
      <c r="C392" s="10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row>
    <row r="393" spans="1:31" x14ac:dyDescent="0.25">
      <c r="A393" s="16"/>
      <c r="B393" s="16"/>
      <c r="C393" s="10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row>
    <row r="394" spans="1:31" x14ac:dyDescent="0.25">
      <c r="A394" s="16"/>
      <c r="B394" s="16"/>
      <c r="C394" s="10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row>
    <row r="395" spans="1:31" x14ac:dyDescent="0.25">
      <c r="A395" s="16"/>
      <c r="B395" s="16"/>
      <c r="C395" s="10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row>
    <row r="396" spans="1:31" x14ac:dyDescent="0.25">
      <c r="A396" s="16"/>
      <c r="B396" s="16"/>
      <c r="C396" s="10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row>
    <row r="397" spans="1:31" x14ac:dyDescent="0.25">
      <c r="A397" s="16"/>
      <c r="B397" s="16"/>
      <c r="C397" s="10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row>
    <row r="398" spans="1:31" x14ac:dyDescent="0.25">
      <c r="A398" s="16"/>
      <c r="B398" s="16"/>
      <c r="C398" s="10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row>
    <row r="399" spans="1:31" x14ac:dyDescent="0.25">
      <c r="A399" s="16"/>
      <c r="B399" s="16"/>
      <c r="C399" s="10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row>
    <row r="400" spans="1:31" x14ac:dyDescent="0.25">
      <c r="A400" s="16"/>
      <c r="B400" s="16"/>
      <c r="C400" s="10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row>
    <row r="401" spans="1:31" x14ac:dyDescent="0.25">
      <c r="A401" s="16"/>
      <c r="B401" s="16"/>
      <c r="C401" s="10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row>
    <row r="402" spans="1:31" x14ac:dyDescent="0.25">
      <c r="A402" s="16"/>
      <c r="B402" s="16"/>
      <c r="C402" s="10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row>
    <row r="403" spans="1:31" x14ac:dyDescent="0.25">
      <c r="A403" s="16"/>
      <c r="B403" s="16"/>
      <c r="C403" s="10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row>
    <row r="404" spans="1:31" x14ac:dyDescent="0.25">
      <c r="A404" s="16"/>
      <c r="B404" s="16"/>
      <c r="C404" s="10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row>
    <row r="405" spans="1:31" x14ac:dyDescent="0.25">
      <c r="A405" s="16"/>
      <c r="B405" s="16"/>
      <c r="C405" s="10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row>
    <row r="406" spans="1:31" x14ac:dyDescent="0.25">
      <c r="A406" s="16"/>
      <c r="B406" s="16"/>
      <c r="C406" s="10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row>
    <row r="407" spans="1:31" x14ac:dyDescent="0.25">
      <c r="A407" s="16"/>
      <c r="B407" s="16"/>
      <c r="C407" s="10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row>
    <row r="408" spans="1:31" x14ac:dyDescent="0.25">
      <c r="A408" s="16"/>
      <c r="B408" s="16"/>
      <c r="C408" s="10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row>
    <row r="409" spans="1:31" x14ac:dyDescent="0.25">
      <c r="A409" s="16"/>
      <c r="B409" s="16"/>
      <c r="C409" s="10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row>
    <row r="410" spans="1:31" x14ac:dyDescent="0.25">
      <c r="A410" s="16"/>
      <c r="B410" s="16"/>
      <c r="C410" s="10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row>
    <row r="411" spans="1:31" x14ac:dyDescent="0.25">
      <c r="A411" s="16"/>
      <c r="B411" s="16"/>
      <c r="C411" s="10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row>
    <row r="412" spans="1:31" x14ac:dyDescent="0.25">
      <c r="A412" s="16"/>
      <c r="B412" s="16"/>
      <c r="C412" s="10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row>
    <row r="413" spans="1:31" x14ac:dyDescent="0.25">
      <c r="A413" s="16"/>
      <c r="B413" s="16"/>
      <c r="C413" s="10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row>
    <row r="414" spans="1:31" x14ac:dyDescent="0.25">
      <c r="A414" s="16"/>
      <c r="B414" s="16"/>
      <c r="C414" s="10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row>
    <row r="415" spans="1:31" x14ac:dyDescent="0.25">
      <c r="A415" s="16"/>
      <c r="B415" s="16"/>
      <c r="C415" s="10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row>
    <row r="416" spans="1:31" x14ac:dyDescent="0.25">
      <c r="A416" s="16"/>
      <c r="B416" s="16"/>
      <c r="C416" s="10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row>
    <row r="417" spans="1:31" x14ac:dyDescent="0.25">
      <c r="A417" s="16"/>
      <c r="B417" s="16"/>
      <c r="C417" s="10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row>
    <row r="418" spans="1:31" x14ac:dyDescent="0.25">
      <c r="A418" s="16"/>
      <c r="B418" s="16"/>
      <c r="C418" s="10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row>
    <row r="419" spans="1:31" x14ac:dyDescent="0.25">
      <c r="A419" s="16"/>
      <c r="B419" s="16"/>
      <c r="C419" s="10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row>
    <row r="420" spans="1:31" x14ac:dyDescent="0.25">
      <c r="A420" s="16"/>
      <c r="B420" s="16"/>
      <c r="C420" s="10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row>
    <row r="421" spans="1:31" x14ac:dyDescent="0.25">
      <c r="A421" s="16"/>
      <c r="B421" s="16"/>
      <c r="C421" s="10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row>
    <row r="422" spans="1:31" x14ac:dyDescent="0.25">
      <c r="A422" s="16"/>
      <c r="B422" s="16"/>
      <c r="C422" s="10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row>
    <row r="423" spans="1:31" x14ac:dyDescent="0.25">
      <c r="A423" s="16"/>
      <c r="B423" s="16"/>
      <c r="C423" s="10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row>
    <row r="424" spans="1:31" x14ac:dyDescent="0.25">
      <c r="A424" s="16"/>
      <c r="B424" s="16"/>
      <c r="C424" s="10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row>
    <row r="425" spans="1:31" x14ac:dyDescent="0.25">
      <c r="A425" s="16"/>
      <c r="B425" s="16"/>
      <c r="C425" s="10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row>
    <row r="426" spans="1:31" x14ac:dyDescent="0.25">
      <c r="A426" s="16"/>
      <c r="B426" s="16"/>
      <c r="C426" s="10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row>
    <row r="427" spans="1:31" x14ac:dyDescent="0.25">
      <c r="A427" s="16"/>
      <c r="B427" s="16"/>
      <c r="C427" s="10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row>
    <row r="428" spans="1:31" x14ac:dyDescent="0.25">
      <c r="A428" s="16"/>
      <c r="B428" s="16"/>
      <c r="C428" s="10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row>
    <row r="429" spans="1:31" x14ac:dyDescent="0.25">
      <c r="A429" s="16"/>
      <c r="B429" s="16"/>
      <c r="C429" s="10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row>
    <row r="430" spans="1:31" x14ac:dyDescent="0.25">
      <c r="A430" s="16"/>
      <c r="B430" s="16"/>
      <c r="C430" s="10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row>
    <row r="431" spans="1:31" x14ac:dyDescent="0.25">
      <c r="A431" s="16"/>
      <c r="B431" s="16"/>
      <c r="C431" s="10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row>
    <row r="432" spans="1:31" x14ac:dyDescent="0.25">
      <c r="A432" s="16"/>
      <c r="B432" s="16"/>
      <c r="C432" s="10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row>
    <row r="433" spans="1:31" x14ac:dyDescent="0.25">
      <c r="A433" s="16"/>
      <c r="B433" s="16"/>
      <c r="C433" s="10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row>
    <row r="434" spans="1:31" x14ac:dyDescent="0.25">
      <c r="A434" s="16"/>
      <c r="B434" s="16"/>
      <c r="C434" s="10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row>
    <row r="435" spans="1:31" x14ac:dyDescent="0.25">
      <c r="A435" s="16"/>
      <c r="B435" s="16"/>
      <c r="C435" s="10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row>
    <row r="436" spans="1:31" x14ac:dyDescent="0.25">
      <c r="A436" s="16"/>
      <c r="B436" s="16"/>
      <c r="C436" s="10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row>
    <row r="437" spans="1:31" x14ac:dyDescent="0.25">
      <c r="A437" s="16"/>
      <c r="B437" s="16"/>
      <c r="C437" s="10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row>
    <row r="438" spans="1:31" x14ac:dyDescent="0.25">
      <c r="A438" s="16"/>
      <c r="B438" s="16"/>
      <c r="C438" s="10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row>
    <row r="439" spans="1:31" x14ac:dyDescent="0.25">
      <c r="A439" s="16"/>
      <c r="B439" s="16"/>
      <c r="C439" s="10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row>
    <row r="440" spans="1:31" x14ac:dyDescent="0.25">
      <c r="A440" s="16"/>
      <c r="B440" s="16"/>
      <c r="C440" s="10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row>
    <row r="441" spans="1:31" x14ac:dyDescent="0.25">
      <c r="A441" s="16"/>
      <c r="B441" s="16"/>
      <c r="C441" s="10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row>
    <row r="442" spans="1:31" x14ac:dyDescent="0.25">
      <c r="A442" s="16"/>
      <c r="B442" s="16"/>
      <c r="C442" s="10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row>
    <row r="443" spans="1:31" x14ac:dyDescent="0.25">
      <c r="A443" s="16"/>
      <c r="B443" s="16"/>
      <c r="C443" s="10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row>
    <row r="444" spans="1:31" x14ac:dyDescent="0.25">
      <c r="A444" s="16"/>
      <c r="B444" s="16"/>
      <c r="C444" s="10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row>
    <row r="445" spans="1:31" x14ac:dyDescent="0.25">
      <c r="A445" s="16"/>
      <c r="B445" s="16"/>
      <c r="C445" s="10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row>
    <row r="446" spans="1:31" x14ac:dyDescent="0.25">
      <c r="A446" s="16"/>
      <c r="B446" s="16"/>
      <c r="C446" s="10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row>
    <row r="447" spans="1:31" x14ac:dyDescent="0.25">
      <c r="A447" s="16"/>
      <c r="B447" s="16"/>
      <c r="C447" s="10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row>
    <row r="448" spans="1:31" x14ac:dyDescent="0.25">
      <c r="A448" s="16"/>
      <c r="B448" s="16"/>
      <c r="C448" s="10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row>
    <row r="449" spans="1:31" x14ac:dyDescent="0.25">
      <c r="A449" s="16"/>
      <c r="B449" s="16"/>
      <c r="C449" s="10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row>
    <row r="450" spans="1:31" x14ac:dyDescent="0.25">
      <c r="A450" s="16"/>
      <c r="B450" s="16"/>
      <c r="C450" s="10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row>
    <row r="451" spans="1:31" x14ac:dyDescent="0.25">
      <c r="A451" s="16"/>
      <c r="B451" s="16"/>
      <c r="C451" s="10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row>
    <row r="452" spans="1:31" x14ac:dyDescent="0.25">
      <c r="A452" s="16"/>
      <c r="B452" s="16"/>
      <c r="C452" s="10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row>
    <row r="453" spans="1:31" x14ac:dyDescent="0.25">
      <c r="A453" s="16"/>
      <c r="B453" s="16"/>
      <c r="C453" s="10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row>
    <row r="454" spans="1:31" x14ac:dyDescent="0.25">
      <c r="A454" s="16"/>
      <c r="B454" s="16"/>
      <c r="C454" s="10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row>
    <row r="455" spans="1:31" x14ac:dyDescent="0.25">
      <c r="A455" s="16"/>
      <c r="B455" s="16"/>
      <c r="C455" s="10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row>
    <row r="456" spans="1:31" x14ac:dyDescent="0.25">
      <c r="A456" s="16"/>
      <c r="B456" s="16"/>
      <c r="C456" s="10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row>
    <row r="457" spans="1:31" x14ac:dyDescent="0.25">
      <c r="A457" s="16"/>
      <c r="B457" s="16"/>
      <c r="C457" s="10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row>
    <row r="458" spans="1:31" x14ac:dyDescent="0.25">
      <c r="A458" s="16"/>
      <c r="B458" s="16"/>
      <c r="C458" s="10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row>
    <row r="459" spans="1:31" x14ac:dyDescent="0.25">
      <c r="A459" s="16"/>
      <c r="B459" s="16"/>
      <c r="C459" s="10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row>
    <row r="460" spans="1:31" x14ac:dyDescent="0.25">
      <c r="A460" s="16"/>
      <c r="B460" s="16"/>
      <c r="C460" s="10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row>
    <row r="461" spans="1:31" x14ac:dyDescent="0.25">
      <c r="A461" s="16"/>
      <c r="B461" s="16"/>
      <c r="C461" s="10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row>
    <row r="462" spans="1:31" x14ac:dyDescent="0.25">
      <c r="A462" s="16"/>
      <c r="B462" s="16"/>
      <c r="C462" s="10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row>
    <row r="463" spans="1:31" x14ac:dyDescent="0.25">
      <c r="A463" s="16"/>
      <c r="B463" s="16"/>
      <c r="C463" s="10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row>
    <row r="464" spans="1:31" x14ac:dyDescent="0.25">
      <c r="AE464" s="16"/>
    </row>
    <row r="465" spans="31:31" x14ac:dyDescent="0.25">
      <c r="AE465" s="16"/>
    </row>
    <row r="466" spans="31:31" x14ac:dyDescent="0.25">
      <c r="AE466" s="16"/>
    </row>
    <row r="467" spans="31:31" x14ac:dyDescent="0.25">
      <c r="AE467" s="16"/>
    </row>
    <row r="468" spans="31:31" x14ac:dyDescent="0.25">
      <c r="AE468" s="16"/>
    </row>
    <row r="469" spans="31:31" x14ac:dyDescent="0.25">
      <c r="AE469" s="16"/>
    </row>
    <row r="470" spans="31:31" x14ac:dyDescent="0.25">
      <c r="AE470" s="16"/>
    </row>
    <row r="471" spans="31:31" x14ac:dyDescent="0.25">
      <c r="AE471" s="16"/>
    </row>
    <row r="472" spans="31:31" x14ac:dyDescent="0.25">
      <c r="AE472" s="16"/>
    </row>
    <row r="473" spans="31:31" x14ac:dyDescent="0.25">
      <c r="AE473" s="16"/>
    </row>
    <row r="474" spans="31:31" x14ac:dyDescent="0.25">
      <c r="AE474" s="16"/>
    </row>
    <row r="475" spans="31:31" x14ac:dyDescent="0.25">
      <c r="AE475" s="16"/>
    </row>
    <row r="476" spans="31:31" x14ac:dyDescent="0.25">
      <c r="AE476" s="16"/>
    </row>
    <row r="477" spans="31:31" x14ac:dyDescent="0.25">
      <c r="AE477" s="16"/>
    </row>
    <row r="478" spans="31:31" x14ac:dyDescent="0.25">
      <c r="AE478" s="16"/>
    </row>
    <row r="479" spans="31:31" x14ac:dyDescent="0.25">
      <c r="AE479" s="16"/>
    </row>
    <row r="480" spans="31:31" x14ac:dyDescent="0.25">
      <c r="AE480" s="16"/>
    </row>
    <row r="481" spans="31:31" x14ac:dyDescent="0.25">
      <c r="AE481" s="16"/>
    </row>
    <row r="482" spans="31:31" x14ac:dyDescent="0.25">
      <c r="AE482" s="16"/>
    </row>
    <row r="483" spans="31:31" x14ac:dyDescent="0.25">
      <c r="AE483" s="16"/>
    </row>
    <row r="484" spans="31:31" x14ac:dyDescent="0.25">
      <c r="AE484" s="16"/>
    </row>
    <row r="485" spans="31:31" x14ac:dyDescent="0.25">
      <c r="AE485" s="16"/>
    </row>
    <row r="486" spans="31:31" x14ac:dyDescent="0.25">
      <c r="AE486" s="16"/>
    </row>
    <row r="487" spans="31:31" x14ac:dyDescent="0.25">
      <c r="AE487" s="16"/>
    </row>
    <row r="488" spans="31:31" x14ac:dyDescent="0.25">
      <c r="AE488" s="16"/>
    </row>
    <row r="489" spans="31:31" x14ac:dyDescent="0.25">
      <c r="AE489" s="16"/>
    </row>
    <row r="490" spans="31:31" x14ac:dyDescent="0.25">
      <c r="AE490" s="16"/>
    </row>
    <row r="491" spans="31:31" x14ac:dyDescent="0.25">
      <c r="AE491" s="16"/>
    </row>
    <row r="492" spans="31:31" x14ac:dyDescent="0.25">
      <c r="AE492" s="16"/>
    </row>
    <row r="493" spans="31:31" x14ac:dyDescent="0.25">
      <c r="AE493" s="16"/>
    </row>
    <row r="494" spans="31:31" x14ac:dyDescent="0.25">
      <c r="AE494" s="16"/>
    </row>
    <row r="495" spans="31:31" x14ac:dyDescent="0.25">
      <c r="AE495" s="16"/>
    </row>
    <row r="496" spans="31:31" x14ac:dyDescent="0.25">
      <c r="AE496" s="16"/>
    </row>
    <row r="497" spans="31:31" x14ac:dyDescent="0.25">
      <c r="AE497" s="16"/>
    </row>
    <row r="498" spans="31:31" x14ac:dyDescent="0.25">
      <c r="AE498" s="16"/>
    </row>
    <row r="499" spans="31:31" x14ac:dyDescent="0.25">
      <c r="AE499" s="16"/>
    </row>
    <row r="500" spans="31:31" x14ac:dyDescent="0.25">
      <c r="AE500" s="16"/>
    </row>
    <row r="501" spans="31:31" x14ac:dyDescent="0.25">
      <c r="AE501" s="16"/>
    </row>
    <row r="502" spans="31:31" x14ac:dyDescent="0.25">
      <c r="AE502" s="16"/>
    </row>
    <row r="503" spans="31:31" x14ac:dyDescent="0.25">
      <c r="AE503" s="16"/>
    </row>
    <row r="504" spans="31:31" x14ac:dyDescent="0.25">
      <c r="AE504" s="16"/>
    </row>
    <row r="505" spans="31:31" x14ac:dyDescent="0.25">
      <c r="AE505" s="16"/>
    </row>
    <row r="506" spans="31:31" x14ac:dyDescent="0.25">
      <c r="AE506" s="16"/>
    </row>
    <row r="507" spans="31:31" x14ac:dyDescent="0.25">
      <c r="AE507" s="16"/>
    </row>
    <row r="508" spans="31:31" x14ac:dyDescent="0.25">
      <c r="AE508" s="16"/>
    </row>
    <row r="509" spans="31:31" x14ac:dyDescent="0.25">
      <c r="AE509" s="16"/>
    </row>
    <row r="510" spans="31:31" x14ac:dyDescent="0.25">
      <c r="AE510" s="16"/>
    </row>
    <row r="511" spans="31:31" x14ac:dyDescent="0.25">
      <c r="AE511" s="16"/>
    </row>
    <row r="512" spans="31:31" x14ac:dyDescent="0.25">
      <c r="AE512" s="16"/>
    </row>
    <row r="513" spans="31:31" x14ac:dyDescent="0.25">
      <c r="AE513" s="16"/>
    </row>
    <row r="514" spans="31:31" x14ac:dyDescent="0.25">
      <c r="AE514" s="16"/>
    </row>
    <row r="515" spans="31:31" x14ac:dyDescent="0.25">
      <c r="AE515" s="16"/>
    </row>
    <row r="516" spans="31:31" x14ac:dyDescent="0.25">
      <c r="AE516" s="16"/>
    </row>
    <row r="517" spans="31:31" x14ac:dyDescent="0.25">
      <c r="AE517" s="16"/>
    </row>
    <row r="518" spans="31:31" x14ac:dyDescent="0.25">
      <c r="AE518" s="16"/>
    </row>
    <row r="519" spans="31:31" x14ac:dyDescent="0.25">
      <c r="AE519" s="16"/>
    </row>
    <row r="520" spans="31:31" x14ac:dyDescent="0.25">
      <c r="AE520" s="16"/>
    </row>
    <row r="521" spans="31:31" x14ac:dyDescent="0.25">
      <c r="AE521" s="16"/>
    </row>
    <row r="522" spans="31:31" x14ac:dyDescent="0.25">
      <c r="AE522" s="16"/>
    </row>
    <row r="523" spans="31:31" x14ac:dyDescent="0.25">
      <c r="AE523" s="16"/>
    </row>
    <row r="524" spans="31:31" x14ac:dyDescent="0.25">
      <c r="AE524" s="16"/>
    </row>
    <row r="525" spans="31:31" x14ac:dyDescent="0.25">
      <c r="AE525" s="16"/>
    </row>
    <row r="526" spans="31:31" x14ac:dyDescent="0.25">
      <c r="AE526" s="16"/>
    </row>
    <row r="527" spans="31:31" x14ac:dyDescent="0.25">
      <c r="AE527" s="16"/>
    </row>
    <row r="528" spans="31:31" x14ac:dyDescent="0.25">
      <c r="AE528" s="16"/>
    </row>
    <row r="529" spans="31:31" x14ac:dyDescent="0.25">
      <c r="AE529" s="16"/>
    </row>
    <row r="530" spans="31:31" x14ac:dyDescent="0.25">
      <c r="AE530" s="16"/>
    </row>
    <row r="531" spans="31:31" x14ac:dyDescent="0.25">
      <c r="AE531" s="16"/>
    </row>
    <row r="532" spans="31:31" x14ac:dyDescent="0.25">
      <c r="AE532" s="16"/>
    </row>
    <row r="533" spans="31:31" x14ac:dyDescent="0.25">
      <c r="AE533" s="16"/>
    </row>
    <row r="534" spans="31:31" x14ac:dyDescent="0.25">
      <c r="AE534" s="16"/>
    </row>
    <row r="535" spans="31:31" x14ac:dyDescent="0.25">
      <c r="AE535" s="16"/>
    </row>
    <row r="536" spans="31:31" x14ac:dyDescent="0.25">
      <c r="AE536" s="16"/>
    </row>
    <row r="537" spans="31:31" x14ac:dyDescent="0.25">
      <c r="AE537" s="16"/>
    </row>
    <row r="538" spans="31:31" x14ac:dyDescent="0.25">
      <c r="AE538" s="16"/>
    </row>
    <row r="539" spans="31:31" x14ac:dyDescent="0.25">
      <c r="AE539" s="16"/>
    </row>
    <row r="540" spans="31:31" x14ac:dyDescent="0.25">
      <c r="AE540" s="16"/>
    </row>
    <row r="541" spans="31:31" x14ac:dyDescent="0.25">
      <c r="AE541" s="16"/>
    </row>
    <row r="542" spans="31:31" x14ac:dyDescent="0.25">
      <c r="AE542" s="16"/>
    </row>
    <row r="543" spans="31:31" x14ac:dyDescent="0.25">
      <c r="AE543" s="16"/>
    </row>
    <row r="544" spans="31:31" x14ac:dyDescent="0.25">
      <c r="AE544" s="16"/>
    </row>
    <row r="545" spans="31:31" x14ac:dyDescent="0.25">
      <c r="AE545" s="16"/>
    </row>
    <row r="546" spans="31:31" x14ac:dyDescent="0.25">
      <c r="AE546" s="16"/>
    </row>
    <row r="547" spans="31:31" x14ac:dyDescent="0.25">
      <c r="AE547" s="16"/>
    </row>
    <row r="548" spans="31:31" x14ac:dyDescent="0.25">
      <c r="AE548" s="16"/>
    </row>
    <row r="549" spans="31:31" x14ac:dyDescent="0.25">
      <c r="AE549" s="16"/>
    </row>
    <row r="550" spans="31:31" x14ac:dyDescent="0.25">
      <c r="AE550" s="16"/>
    </row>
    <row r="551" spans="31:31" x14ac:dyDescent="0.25">
      <c r="AE551" s="16"/>
    </row>
    <row r="552" spans="31:31" x14ac:dyDescent="0.25">
      <c r="AE552" s="16"/>
    </row>
    <row r="553" spans="31:31" x14ac:dyDescent="0.25">
      <c r="AE553" s="16"/>
    </row>
    <row r="554" spans="31:31" x14ac:dyDescent="0.25">
      <c r="AE554" s="16"/>
    </row>
    <row r="555" spans="31:31" x14ac:dyDescent="0.25">
      <c r="AE555" s="16"/>
    </row>
    <row r="556" spans="31:31" x14ac:dyDescent="0.25">
      <c r="AE556" s="16"/>
    </row>
    <row r="557" spans="31:31" x14ac:dyDescent="0.25">
      <c r="AE557" s="16"/>
    </row>
    <row r="558" spans="31:31" x14ac:dyDescent="0.25">
      <c r="AE558" s="16"/>
    </row>
    <row r="559" spans="31:31" x14ac:dyDescent="0.25">
      <c r="AE559" s="16"/>
    </row>
    <row r="560" spans="31:31" x14ac:dyDescent="0.25">
      <c r="AE560" s="16"/>
    </row>
    <row r="561" spans="31:31" x14ac:dyDescent="0.25">
      <c r="AE561" s="16"/>
    </row>
    <row r="562" spans="31:31" x14ac:dyDescent="0.25">
      <c r="AE562" s="16"/>
    </row>
    <row r="563" spans="31:31" x14ac:dyDescent="0.25">
      <c r="AE563" s="16"/>
    </row>
    <row r="564" spans="31:31" x14ac:dyDescent="0.25">
      <c r="AE564" s="16"/>
    </row>
    <row r="565" spans="31:31" x14ac:dyDescent="0.25">
      <c r="AE565" s="16"/>
    </row>
    <row r="566" spans="31:31" x14ac:dyDescent="0.25">
      <c r="AE566" s="16"/>
    </row>
    <row r="567" spans="31:31" x14ac:dyDescent="0.25">
      <c r="AE567" s="16"/>
    </row>
    <row r="568" spans="31:31" x14ac:dyDescent="0.25">
      <c r="AE568" s="16"/>
    </row>
    <row r="569" spans="31:31" x14ac:dyDescent="0.25">
      <c r="AE569" s="16"/>
    </row>
    <row r="570" spans="31:31" x14ac:dyDescent="0.25">
      <c r="AE570" s="16"/>
    </row>
    <row r="571" spans="31:31" x14ac:dyDescent="0.25">
      <c r="AE571" s="16"/>
    </row>
    <row r="572" spans="31:31" x14ac:dyDescent="0.25">
      <c r="AE572" s="16"/>
    </row>
    <row r="573" spans="31:31" x14ac:dyDescent="0.25">
      <c r="AE573" s="16"/>
    </row>
    <row r="574" spans="31:31" x14ac:dyDescent="0.25">
      <c r="AE574" s="16"/>
    </row>
    <row r="575" spans="31:31" x14ac:dyDescent="0.25">
      <c r="AE575" s="16"/>
    </row>
    <row r="576" spans="31:31" x14ac:dyDescent="0.25">
      <c r="AE576" s="16"/>
    </row>
    <row r="577" spans="31:31" x14ac:dyDescent="0.25">
      <c r="AE577" s="16"/>
    </row>
  </sheetData>
  <conditionalFormatting sqref="J2:J243">
    <cfRule type="cellIs" dxfId="15" priority="1" operator="equal">
      <formula>"D"</formula>
    </cfRule>
  </conditionalFormatting>
  <hyperlinks>
    <hyperlink ref="B2" r:id="rId1" xr:uid="{F1F7B709-8220-4036-AF87-0E5F48B78E47}"/>
    <hyperlink ref="B3" r:id="rId2" xr:uid="{2A6CCE95-0FDD-4411-B8E0-5A77FE59650B}"/>
    <hyperlink ref="B4" r:id="rId3" xr:uid="{1823E2BD-015E-4362-BEC4-28DFBF0E7694}"/>
    <hyperlink ref="B5" r:id="rId4" xr:uid="{DBA4A011-F79A-4E0D-93EE-DB8BCC8F9FD7}"/>
    <hyperlink ref="B6" r:id="rId5" xr:uid="{8D6A4F38-4CEB-497C-A402-9233815D316A}"/>
    <hyperlink ref="B7" r:id="rId6" xr:uid="{928D6F2E-44C8-4722-B0BB-C380BD44E16F}"/>
    <hyperlink ref="B8" r:id="rId7" xr:uid="{3B7FB7B9-261B-41A7-A0D7-B432317801AD}"/>
    <hyperlink ref="B9" r:id="rId8" xr:uid="{C403DFF6-3DEA-4A9E-B179-36D95062BA3A}"/>
    <hyperlink ref="B10" r:id="rId9" xr:uid="{D7660C9E-D8B4-433B-853F-B9C8D1DFAAF3}"/>
    <hyperlink ref="B11" r:id="rId10" xr:uid="{662EBA41-7550-4D5B-AD0B-29CB04E32DED}"/>
    <hyperlink ref="B12" r:id="rId11" xr:uid="{D60B07E9-23B8-4333-94A1-A2108383F1A1}"/>
    <hyperlink ref="B13" r:id="rId12" xr:uid="{8A91FF89-59A7-4207-BCDD-EF016610067F}"/>
    <hyperlink ref="B14" r:id="rId13" xr:uid="{34B9751C-2DE1-48F9-B5A2-17AB35D09E80}"/>
    <hyperlink ref="B15" r:id="rId14" xr:uid="{16FE8129-852C-48ED-ADFE-13600888F1CF}"/>
    <hyperlink ref="B16" r:id="rId15" xr:uid="{D6C7BBC0-D503-46BC-B6FA-507307CF6186}"/>
    <hyperlink ref="B17" r:id="rId16" xr:uid="{A3524061-2936-44BA-8F0A-27D09252B86B}"/>
    <hyperlink ref="B18" r:id="rId17" xr:uid="{A0C1576F-58B8-44EE-A5B7-F244F4305B0F}"/>
    <hyperlink ref="B19" r:id="rId18" xr:uid="{5CEED4AC-4A98-4F81-8777-6E70692C9078}"/>
    <hyperlink ref="B20" r:id="rId19" xr:uid="{E5E5C254-53E7-4E13-922B-1B12ED4F17C8}"/>
    <hyperlink ref="B21" r:id="rId20" xr:uid="{0833C1C9-66C3-4734-A4B9-44230DFBBFA3}"/>
    <hyperlink ref="B22" r:id="rId21" xr:uid="{AC1D3DD5-93D8-4097-B50D-D5B50854E2E2}"/>
    <hyperlink ref="B23" r:id="rId22" xr:uid="{9AE68A0B-40AC-4DDC-875C-B547F5B32DD0}"/>
    <hyperlink ref="B24" r:id="rId23" xr:uid="{841119EE-063C-44BE-A34D-5E4679FC0FAD}"/>
    <hyperlink ref="B25" r:id="rId24" xr:uid="{40FDFB1E-F5EA-4C2E-A406-DA4C518D1EAA}"/>
    <hyperlink ref="B26" r:id="rId25" xr:uid="{16F25143-E5B4-42C8-A756-4F01DF087C6C}"/>
    <hyperlink ref="B27" r:id="rId26" xr:uid="{DF00FED9-A281-4C57-A2D7-57A059545976}"/>
    <hyperlink ref="B28" r:id="rId27" xr:uid="{F60B663E-3621-4610-A086-070D8116CD25}"/>
    <hyperlink ref="B29" r:id="rId28" xr:uid="{D8D01513-8C5A-4467-9907-EF83506A5BBE}"/>
    <hyperlink ref="B30" r:id="rId29" xr:uid="{A9A49FB4-6810-42B0-8D53-D84BE572857C}"/>
    <hyperlink ref="B31" r:id="rId30" xr:uid="{5FC2DE60-B240-4F4E-948A-E77074FB7A71}"/>
    <hyperlink ref="B32" r:id="rId31" xr:uid="{58B99052-C7C8-4D79-812B-860167E54713}"/>
    <hyperlink ref="B33" r:id="rId32" xr:uid="{4AF5731C-F356-4BB8-8F34-E71889FE5639}"/>
    <hyperlink ref="B34" r:id="rId33" xr:uid="{064ABAB3-B491-494B-BBDD-C3201A3AEE05}"/>
    <hyperlink ref="B35" r:id="rId34" xr:uid="{C4C71F75-4BA6-4098-AD94-90A0AC24994A}"/>
    <hyperlink ref="B36" r:id="rId35" xr:uid="{1C9B6518-D6FD-4706-B108-B11D14D6D2F8}"/>
    <hyperlink ref="B37" r:id="rId36" xr:uid="{9D42C25A-BEAB-4A5E-926A-7111B8076AC5}"/>
    <hyperlink ref="B38" r:id="rId37" xr:uid="{C59893F8-1A19-4CF9-9E9E-5DC2C81A765E}"/>
    <hyperlink ref="B39" r:id="rId38" xr:uid="{6A7C8EF1-AEC3-4106-B1B1-0A0872A85B4D}"/>
    <hyperlink ref="B40" r:id="rId39" xr:uid="{277DB782-9E89-44B2-8CC9-288EA00C53F1}"/>
    <hyperlink ref="B41" r:id="rId40" xr:uid="{2E5B1AF4-D822-4262-BC4B-78F8DC8597B2}"/>
    <hyperlink ref="B42" r:id="rId41" xr:uid="{34C3715F-F477-4B91-B3CC-7F17A5575288}"/>
    <hyperlink ref="B43" r:id="rId42" xr:uid="{5DAF7312-4A78-446B-A320-3B1995D7B5F6}"/>
    <hyperlink ref="B44" r:id="rId43" xr:uid="{C0DE8014-5DD3-4B3D-9226-4C68576A2C7B}"/>
    <hyperlink ref="B45" r:id="rId44" xr:uid="{271847C3-C6E5-496C-ADE5-82D860AC8661}"/>
    <hyperlink ref="B46" r:id="rId45" xr:uid="{CB55A539-2639-415E-9582-EFB21139D502}"/>
    <hyperlink ref="B47" r:id="rId46" xr:uid="{FC6E0678-06A6-4DF6-A7B6-2CAAE33FB6F5}"/>
    <hyperlink ref="B48" r:id="rId47" xr:uid="{54F93839-3406-4AAF-8CB1-D637E0327CFE}"/>
    <hyperlink ref="B49" r:id="rId48" xr:uid="{F1371D68-68AE-4657-BDC4-2EDE9D0EB021}"/>
    <hyperlink ref="B50" r:id="rId49" xr:uid="{05D1DE65-5B04-4438-9365-BBF752F488AE}"/>
    <hyperlink ref="B51" r:id="rId50" xr:uid="{75026565-8D2A-44FB-9CA6-53E7ADE09DAA}"/>
    <hyperlink ref="B52" r:id="rId51" xr:uid="{167B5689-6EC2-4D89-8DD9-37281C198D87}"/>
    <hyperlink ref="B53" r:id="rId52" xr:uid="{FEA6DC70-2DA3-45C5-A83D-524E934AFD73}"/>
    <hyperlink ref="B54" r:id="rId53" xr:uid="{9BC8549D-5D97-4780-9BAD-03C584B0B39B}"/>
    <hyperlink ref="B55" r:id="rId54" xr:uid="{166B0909-CD89-4077-AE43-590E235F116A}"/>
    <hyperlink ref="B56" r:id="rId55" xr:uid="{7485BAEC-7472-4E1A-895F-26F8BFBBA80D}"/>
    <hyperlink ref="B57" r:id="rId56" xr:uid="{5484FF35-6E9F-4626-9D58-5DD7A4873535}"/>
    <hyperlink ref="B58" r:id="rId57" xr:uid="{5F8D8B3E-B515-41CF-8649-247E9E2962AA}"/>
    <hyperlink ref="B59" r:id="rId58" xr:uid="{AC1AD2F5-A31B-4624-8513-97FB9727BA7F}"/>
    <hyperlink ref="B60" r:id="rId59" xr:uid="{436BA32C-CB74-42D5-948B-AC591BFE231C}"/>
    <hyperlink ref="B61" r:id="rId60" xr:uid="{42A05E7C-2044-4608-9737-1E06C94381B8}"/>
    <hyperlink ref="B62" r:id="rId61" xr:uid="{6EA0AF88-1DF8-4CB0-BD4D-A272EFBD5658}"/>
    <hyperlink ref="B63" r:id="rId62" xr:uid="{DE1921D0-CC83-4268-AF83-26134EE07308}"/>
    <hyperlink ref="B64" r:id="rId63" xr:uid="{DACEA0A3-6FA5-4A93-AC3E-36D85DAA2E83}"/>
    <hyperlink ref="B65" r:id="rId64" xr:uid="{62207665-CC4D-44D0-BC56-A41E1B062324}"/>
    <hyperlink ref="B66" r:id="rId65" xr:uid="{56B36D9B-41ED-471A-B195-F354DDE93C7B}"/>
    <hyperlink ref="B67" r:id="rId66" xr:uid="{86FD9CDC-F1C2-4994-8ED7-B68CA3D0DAD1}"/>
    <hyperlink ref="B68" r:id="rId67" xr:uid="{331A513F-D71B-43EE-9976-1A49EE06C00B}"/>
    <hyperlink ref="B69" r:id="rId68" xr:uid="{251B0E09-E793-4241-8655-7FF758B3159E}"/>
    <hyperlink ref="B70" r:id="rId69" xr:uid="{C280148B-6F58-406E-A4B1-2AE48A5B8D5E}"/>
    <hyperlink ref="B71" r:id="rId70" xr:uid="{A86F2AA4-4BF0-4199-998C-A949EB0298F2}"/>
    <hyperlink ref="B72" r:id="rId71" xr:uid="{957081C3-0857-4585-9674-D588FAFA299B}"/>
    <hyperlink ref="B73" r:id="rId72" xr:uid="{0A8899D2-32FE-438F-A99B-F5D3043445AF}"/>
    <hyperlink ref="B74" r:id="rId73" xr:uid="{B58918CD-6D92-4F30-B4DC-3777296F17E3}"/>
    <hyperlink ref="B75" r:id="rId74" xr:uid="{72DAF11A-C950-4E92-B6CA-EE1241448B77}"/>
    <hyperlink ref="B76" r:id="rId75" xr:uid="{64BB74F8-4C02-483C-A2B8-8DB872612623}"/>
    <hyperlink ref="B77" r:id="rId76" xr:uid="{4481044C-8DE4-49A1-9E12-D212DB3BB9B9}"/>
    <hyperlink ref="B78" r:id="rId77" xr:uid="{3150881F-21C4-457B-8850-E1382D118A73}"/>
    <hyperlink ref="B79" r:id="rId78" xr:uid="{E0DF8A77-34CC-4C4A-A242-0636601CD6EE}"/>
    <hyperlink ref="B80" r:id="rId79" xr:uid="{E02A75C5-F77F-49CC-AB50-F1779C1A74F3}"/>
    <hyperlink ref="B81" r:id="rId80" xr:uid="{012A5058-0613-4D60-ADF9-9A42A793254B}"/>
    <hyperlink ref="B82" r:id="rId81" xr:uid="{ACC9FCE0-DF26-406D-9435-C9177F8142E6}"/>
    <hyperlink ref="B83" r:id="rId82" xr:uid="{FCFB6781-FF6E-4A65-9C9C-67EF15A0E65F}"/>
    <hyperlink ref="B84" r:id="rId83" xr:uid="{8D02923A-40E4-4956-9E6D-9EA4E096DF1A}"/>
    <hyperlink ref="B85" r:id="rId84" xr:uid="{ACE42A6C-9438-49F0-B882-07B7CED32B94}"/>
    <hyperlink ref="B86" r:id="rId85" xr:uid="{77148BCB-FBB4-4634-9E3B-58C26E2EA3F0}"/>
    <hyperlink ref="B87" r:id="rId86" xr:uid="{E6654BF1-A30C-4AF4-805B-D0B87D7470F2}"/>
    <hyperlink ref="B88" r:id="rId87" xr:uid="{6DFEDA6E-720B-443A-BA09-06D9520DE01F}"/>
    <hyperlink ref="B89" r:id="rId88" xr:uid="{B05E5593-4A10-4B86-AC99-D10B3B8C2143}"/>
    <hyperlink ref="B90" r:id="rId89" xr:uid="{3BB25D39-586F-450B-9BD7-172193659071}"/>
    <hyperlink ref="B91" r:id="rId90" xr:uid="{37D2E49A-B08F-4350-BC48-4A680AA94DB0}"/>
    <hyperlink ref="B92" r:id="rId91" xr:uid="{7D105ADB-0664-4AA3-9A93-B8900783FE6D}"/>
    <hyperlink ref="B93" r:id="rId92" xr:uid="{8F84419E-1F7C-45F8-A1D2-85EF2CEACF51}"/>
    <hyperlink ref="B94" r:id="rId93" xr:uid="{BDB397AD-EF63-4A60-98D3-E5253FC4DA3B}"/>
    <hyperlink ref="B95" r:id="rId94" xr:uid="{BD2B9D94-67AD-4BE0-9B26-FF6F2340A309}"/>
    <hyperlink ref="B96" r:id="rId95" xr:uid="{B1314C64-6BD1-41E2-A433-781D9D4E166D}"/>
    <hyperlink ref="B97" r:id="rId96" xr:uid="{5CF36EA4-B855-4143-91B9-D98D494C2516}"/>
    <hyperlink ref="B98" r:id="rId97" xr:uid="{32407AC9-05DA-46DF-8E23-08641E40DCFC}"/>
    <hyperlink ref="B99" r:id="rId98" xr:uid="{472F5F83-8A1E-43F9-ABC6-A2C07062CDF4}"/>
    <hyperlink ref="B100" r:id="rId99" xr:uid="{A658271A-CC2F-4604-8B21-83B0185D9508}"/>
    <hyperlink ref="B101" r:id="rId100" xr:uid="{72F23A70-960C-47C2-B553-46EA66B17586}"/>
    <hyperlink ref="B102" r:id="rId101" xr:uid="{9733E799-BFF1-406A-AA14-0BD4BFA1937B}"/>
    <hyperlink ref="B103" r:id="rId102" xr:uid="{179CD897-1B16-4137-8F40-B30517F6052A}"/>
    <hyperlink ref="B104" r:id="rId103" xr:uid="{42A520FE-EC2F-463E-BC64-F5065FB9B7BE}"/>
    <hyperlink ref="B105" r:id="rId104" xr:uid="{1A0530D3-BFE0-4196-8246-6EE16EE65DC1}"/>
    <hyperlink ref="B106" r:id="rId105" xr:uid="{34B90D78-457E-4F40-BC1D-1BA7F3CF2499}"/>
    <hyperlink ref="B107" r:id="rId106" xr:uid="{3275CCF5-D933-4B61-B50C-4B783278359A}"/>
    <hyperlink ref="B108" r:id="rId107" xr:uid="{A8C0917B-0DDB-4A8A-B9B2-A6D25F550CA3}"/>
    <hyperlink ref="B109" r:id="rId108" xr:uid="{C9A3F740-00BE-4D65-9DA7-66B537FBB643}"/>
    <hyperlink ref="B110" r:id="rId109" xr:uid="{72D125CC-AC34-4E43-8A88-C8EFB8C0EC0C}"/>
    <hyperlink ref="B111" r:id="rId110" xr:uid="{47BA3018-FB61-42A2-9C84-ED9460E39273}"/>
    <hyperlink ref="B112" r:id="rId111" xr:uid="{1A508C5E-757E-42DE-97C4-3F736963DF0D}"/>
    <hyperlink ref="B113" r:id="rId112" xr:uid="{8DB99094-D3F7-40FE-AA29-FA58625661D0}"/>
    <hyperlink ref="B114" r:id="rId113" xr:uid="{E27A84B3-61D4-4AF3-85EC-BB9F91360E98}"/>
    <hyperlink ref="B115" r:id="rId114" xr:uid="{208EF74E-655C-412D-A5BF-69E2C0A3BBA8}"/>
    <hyperlink ref="B116" r:id="rId115" xr:uid="{D534E66D-B5C4-46E9-9343-AC84CCE01779}"/>
    <hyperlink ref="B117" r:id="rId116" xr:uid="{97CB6BC0-FA91-4364-8514-409B25CDA32B}"/>
    <hyperlink ref="B118" r:id="rId117" xr:uid="{E680663A-726C-439C-9A6F-CFC4FB237535}"/>
    <hyperlink ref="B119" r:id="rId118" xr:uid="{2C99A07C-D028-4851-9044-82906DC598A2}"/>
    <hyperlink ref="B120" r:id="rId119" xr:uid="{2E31B8A1-B6A4-493E-B883-336F4603CECB}"/>
    <hyperlink ref="B121" r:id="rId120" xr:uid="{BC93EA8A-7358-40E8-8564-AC13F13318CF}"/>
    <hyperlink ref="B122" r:id="rId121" xr:uid="{C7D5191D-9D34-490C-BA54-37160264FBDC}"/>
    <hyperlink ref="B123" r:id="rId122" xr:uid="{6691B5D0-0BA2-4831-BC3C-6833B9834CEC}"/>
    <hyperlink ref="B124" r:id="rId123" xr:uid="{81B44812-C4AF-4498-9C4D-1DCEDE18E740}"/>
    <hyperlink ref="B125" r:id="rId124" xr:uid="{531AEF2C-4AAE-44BD-89E2-F9773AF7FC83}"/>
    <hyperlink ref="B126" r:id="rId125" xr:uid="{F6867EE5-B86B-424F-A4C3-8CE403571A08}"/>
    <hyperlink ref="B127" r:id="rId126" xr:uid="{040CDD32-5133-4ECC-92A9-EFA9D7AD531B}"/>
    <hyperlink ref="B128" r:id="rId127" xr:uid="{73A3DEEB-5682-41C3-85A7-0A62EF084812}"/>
    <hyperlink ref="B129" r:id="rId128" xr:uid="{85859B5E-D523-4FFB-9E90-FD2780101F07}"/>
    <hyperlink ref="B130" r:id="rId129" xr:uid="{6BE94B29-1D13-4626-90C3-EB743A2CDE5E}"/>
    <hyperlink ref="B131" r:id="rId130" xr:uid="{B9285AA7-186C-4DB3-B199-969FFC3B6255}"/>
    <hyperlink ref="B132" r:id="rId131" xr:uid="{A07B981C-7CB2-4C3D-B268-70F1908FD809}"/>
    <hyperlink ref="B133" r:id="rId132" xr:uid="{40CE309C-69D2-4C4D-959D-9415E135F442}"/>
    <hyperlink ref="B134" r:id="rId133" xr:uid="{3BE33204-46D7-4830-A160-440A5C37BE2F}"/>
    <hyperlink ref="B135" r:id="rId134" xr:uid="{989D12E4-6CAF-4F25-A152-ED581B6E815B}"/>
    <hyperlink ref="B136" r:id="rId135" xr:uid="{7440315B-2A54-4CF5-A4DF-67EA744E85F7}"/>
    <hyperlink ref="B137" r:id="rId136" xr:uid="{6F1E65E3-7E0C-4D9E-84FE-DD9BF0E6B51E}"/>
    <hyperlink ref="B138" r:id="rId137" xr:uid="{E6495008-254D-4B8D-966E-762078A5643A}"/>
    <hyperlink ref="B139" r:id="rId138" xr:uid="{AA161183-7872-4491-8883-5832D6514E0E}"/>
    <hyperlink ref="B140" r:id="rId139" xr:uid="{EDB4D2E4-0EF5-4222-BBF8-E11A83C159FC}"/>
    <hyperlink ref="B141" r:id="rId140" xr:uid="{A1BCB3D8-1200-4D3D-9571-C3CECF7434C6}"/>
    <hyperlink ref="B142" r:id="rId141" xr:uid="{949935EC-C713-46A9-AD24-36CC6612CE9C}"/>
    <hyperlink ref="B143" r:id="rId142" xr:uid="{6C40BBD2-DC1C-44B5-A8E1-FADF4F426255}"/>
    <hyperlink ref="B144" r:id="rId143" xr:uid="{05EEE4D7-1421-4EAD-8FF4-4EE3BB96AE55}"/>
    <hyperlink ref="B145" r:id="rId144" xr:uid="{C94CD407-2246-4CFF-B85D-9FC317A1753A}"/>
    <hyperlink ref="B146" r:id="rId145" xr:uid="{D3791E03-D567-407E-AB88-89195D998C74}"/>
    <hyperlink ref="B147" r:id="rId146" xr:uid="{8E1A94F8-8816-4BA3-91AD-3FDC36229F12}"/>
    <hyperlink ref="B148" r:id="rId147" xr:uid="{4580499E-D94A-4D38-B014-EC3EAED7D761}"/>
    <hyperlink ref="B149" r:id="rId148" xr:uid="{FBB9FFAF-B1CD-4D8C-B6F6-A0498E819D9C}"/>
    <hyperlink ref="B150" r:id="rId149" xr:uid="{06F17B1B-9B2D-423D-9F51-88B5DAD41E8F}"/>
    <hyperlink ref="B151" r:id="rId150" xr:uid="{3E93F184-03E8-429E-86F8-7C7B41BE0ADE}"/>
    <hyperlink ref="B152" r:id="rId151" xr:uid="{A1B69259-B9D4-4D93-92A1-E2F2CFCBFDB5}"/>
    <hyperlink ref="B153" r:id="rId152" xr:uid="{35690CB4-C382-4F53-A4E8-9AB8852B75BA}"/>
    <hyperlink ref="B154" r:id="rId153" xr:uid="{08895C00-9E55-4AD9-AFA9-D6FE4A19AC03}"/>
    <hyperlink ref="B155" r:id="rId154" xr:uid="{AE6088D5-8F99-4CF3-867C-C950A497BBCD}"/>
    <hyperlink ref="B156" r:id="rId155" xr:uid="{03D12120-E19C-44F5-A6FB-6B4185FDFE0E}"/>
    <hyperlink ref="B157" r:id="rId156" xr:uid="{DA17E9ED-F5B3-4EC5-B85C-2D01FBA02F68}"/>
    <hyperlink ref="B158" r:id="rId157" xr:uid="{C937CA3B-F6FD-4863-B140-CC702C96F537}"/>
    <hyperlink ref="B159" r:id="rId158" xr:uid="{553F8BA5-A385-4976-8089-B5130DCF0D68}"/>
    <hyperlink ref="B160" r:id="rId159" xr:uid="{D9837D51-A664-453E-BE49-24AAC90FAD8B}"/>
    <hyperlink ref="B161" r:id="rId160" xr:uid="{1A05A304-ADC9-4870-A19F-A12CF6815F15}"/>
    <hyperlink ref="B162" r:id="rId161" xr:uid="{F8265B6E-4179-4985-AC49-7BC38D13B83B}"/>
    <hyperlink ref="B163" r:id="rId162" xr:uid="{B3EBB7F7-8B7E-4A9E-9CAB-99186D1049FC}"/>
    <hyperlink ref="B164" r:id="rId163" xr:uid="{1B4FE450-58A3-415C-8A22-D730A8495D7A}"/>
    <hyperlink ref="B165" r:id="rId164" xr:uid="{F10788A0-E91D-48BD-BCEA-C7DC5CF47783}"/>
    <hyperlink ref="B166" r:id="rId165" xr:uid="{B4A24BBE-D140-440B-B5D7-7D04677B6EA6}"/>
    <hyperlink ref="B167" r:id="rId166" xr:uid="{4F56F6DF-028A-4856-A53A-9DD0D9369D6F}"/>
    <hyperlink ref="B168" r:id="rId167" xr:uid="{33744721-B4EC-4770-A290-B0D675E84821}"/>
    <hyperlink ref="B169" r:id="rId168" xr:uid="{9F49A346-6937-4D31-A331-5CE03A75A8A7}"/>
    <hyperlink ref="B170" r:id="rId169" xr:uid="{6C97B749-D5B5-4128-85E7-4AC15DA5DE23}"/>
    <hyperlink ref="B171" r:id="rId170" xr:uid="{DEA6F48E-5BD6-40BC-938D-6A7FA22BF089}"/>
    <hyperlink ref="B172" r:id="rId171" xr:uid="{AE02C554-B26F-4313-B3EF-2CFC6A326F1D}"/>
    <hyperlink ref="B173" r:id="rId172" xr:uid="{366F8E60-A5A0-4B20-A9DF-75DED791C8AE}"/>
    <hyperlink ref="B174" r:id="rId173" xr:uid="{EF09C7AC-3BF6-4D05-9156-72D7686D6CA9}"/>
    <hyperlink ref="B175" r:id="rId174" xr:uid="{7A0E0653-C93E-4BF7-826C-1E2C9CBDFFAE}"/>
    <hyperlink ref="B176" r:id="rId175" xr:uid="{321CF650-5453-4D4F-9B3F-C435BFB2DD98}"/>
    <hyperlink ref="B177" r:id="rId176" xr:uid="{38DCC78E-A142-4830-921B-B14F8DB860B6}"/>
    <hyperlink ref="B178" r:id="rId177" xr:uid="{7260C96E-D896-4DC6-90F2-D0A06C101A6C}"/>
    <hyperlink ref="B179" r:id="rId178" xr:uid="{C3296F4D-88D0-407E-AF9F-5C59D194BB5C}"/>
    <hyperlink ref="B180" r:id="rId179" xr:uid="{FF3C287C-6972-47EC-8CD4-8EAD6E8BEED4}"/>
    <hyperlink ref="B181" r:id="rId180" xr:uid="{950F9AB9-85F5-4C53-BF16-F3316A8FC8C3}"/>
    <hyperlink ref="B182" r:id="rId181" xr:uid="{86B2F307-CF50-429B-9E11-DEDF7C740ABE}"/>
    <hyperlink ref="B183" r:id="rId182" xr:uid="{9944D4D2-AD21-4180-91DE-487C8EBB51AC}"/>
    <hyperlink ref="B184" r:id="rId183" xr:uid="{FB09EC6E-0692-4C51-9786-2BBE67205AF8}"/>
    <hyperlink ref="B185" r:id="rId184" xr:uid="{CF58CC02-057F-4305-A8BA-8BD982A29C97}"/>
    <hyperlink ref="B186" r:id="rId185" xr:uid="{BA538BEF-FAED-4071-9650-1C030DAD729D}"/>
    <hyperlink ref="B187" r:id="rId186" xr:uid="{B98A9388-8ED6-4735-9413-CC6AED08FDDA}"/>
    <hyperlink ref="B188" r:id="rId187" xr:uid="{95A6B919-3600-4DFE-9B01-B8930C9E0B31}"/>
    <hyperlink ref="B189" r:id="rId188" xr:uid="{AC1CD5A4-625D-405E-B137-C5A7A2D245BB}"/>
    <hyperlink ref="B190" r:id="rId189" xr:uid="{A00BCE3B-9A8A-45D7-99BD-A39D5E2A1439}"/>
    <hyperlink ref="B191" r:id="rId190" xr:uid="{751EC7BB-B249-40ED-8DEF-EE9106DCD53F}"/>
    <hyperlink ref="B192" r:id="rId191" xr:uid="{1C518FAD-8C12-4E43-81D1-E31D7902A0AF}"/>
    <hyperlink ref="B193" r:id="rId192" xr:uid="{E8B559AC-9E30-4B7C-80B2-E3C57D797DBE}"/>
    <hyperlink ref="B194" r:id="rId193" xr:uid="{A36B6FC5-5144-46FF-88A2-9C51612E260B}"/>
    <hyperlink ref="B195" r:id="rId194" xr:uid="{5B098DBD-7ADA-4E49-B9B7-E0D14D8CFDF8}"/>
    <hyperlink ref="B196" r:id="rId195" xr:uid="{058207F4-C4BE-416B-A4F6-DEC8DDFC0B10}"/>
    <hyperlink ref="B197" r:id="rId196" xr:uid="{AA1623AA-266A-4928-A573-FEFB74AD10AB}"/>
    <hyperlink ref="B198" r:id="rId197" xr:uid="{44939B6F-FC6E-4B80-BA51-E51AF0A197C9}"/>
    <hyperlink ref="B199" r:id="rId198" xr:uid="{C31C03B6-5809-49BA-8D19-C3D2069D17F9}"/>
    <hyperlink ref="B200" r:id="rId199" xr:uid="{634EBD62-CF37-4A54-89BD-56A3570D4BD9}"/>
    <hyperlink ref="B201" r:id="rId200" xr:uid="{F0F64EBD-7615-4C96-9390-F05577E23A42}"/>
    <hyperlink ref="B202" r:id="rId201" xr:uid="{DFA06809-3523-4961-A5B6-6B7CF5810348}"/>
    <hyperlink ref="B203" r:id="rId202" xr:uid="{DBEEC580-A018-4596-95DB-00A97FF89267}"/>
    <hyperlink ref="B204" r:id="rId203" xr:uid="{EDF85FDB-0F39-4B3B-868D-601CFD7CC584}"/>
    <hyperlink ref="B205" r:id="rId204" xr:uid="{F02F7813-EA3A-4E1C-A71D-8D74C93BB285}"/>
    <hyperlink ref="B206" r:id="rId205" xr:uid="{D2B4F04A-9C78-4874-8C69-A5583E3140C9}"/>
    <hyperlink ref="B207" r:id="rId206" xr:uid="{C6192E2E-4CC4-47DB-A265-D7B35A47BE08}"/>
    <hyperlink ref="B208" r:id="rId207" xr:uid="{964D4BA0-798A-450A-809F-2B3ACAA9C70A}"/>
    <hyperlink ref="B209" r:id="rId208" xr:uid="{A8DCA200-2E7B-487F-863B-513CCF0F18C9}"/>
    <hyperlink ref="B210" r:id="rId209" xr:uid="{2830FF21-1E86-409C-8617-5CF923A64882}"/>
    <hyperlink ref="B211" r:id="rId210" xr:uid="{455C3184-30B7-4501-B037-4D65AF70782F}"/>
    <hyperlink ref="B212" r:id="rId211" xr:uid="{8A800707-F5AB-4DEC-9F7D-DA0101439DB4}"/>
    <hyperlink ref="B213" r:id="rId212" xr:uid="{3F8A9147-2264-4C2E-8DC6-D9EF7A9E1F60}"/>
    <hyperlink ref="B214" r:id="rId213" xr:uid="{067C7033-A3C0-4DAE-BEA4-3B0EBE290621}"/>
    <hyperlink ref="B215" r:id="rId214" xr:uid="{FD4D1B7A-3C7F-4E63-97E0-E1ABC0FD028B}"/>
    <hyperlink ref="B216" r:id="rId215" xr:uid="{823084BF-63E5-434D-9DCA-AD48D22CD6A9}"/>
    <hyperlink ref="B217" r:id="rId216" xr:uid="{350B9675-00FC-4AF7-8782-2D9D85958D18}"/>
    <hyperlink ref="B218" r:id="rId217" xr:uid="{FAA8070D-A513-4244-8382-00492C3EC3A8}"/>
    <hyperlink ref="B219" r:id="rId218" xr:uid="{F2639AEC-877B-40AA-9343-39AA6D530461}"/>
    <hyperlink ref="B220" r:id="rId219" xr:uid="{DDF96C62-0E26-49A1-B70D-ED93BF489BE3}"/>
    <hyperlink ref="B221" r:id="rId220" xr:uid="{B6B6FE78-80CA-4522-96E3-37AF83F0075A}"/>
    <hyperlink ref="B222" r:id="rId221" xr:uid="{C1AF9A13-D1C3-4D6B-B507-1C009081B942}"/>
    <hyperlink ref="B223" r:id="rId222" xr:uid="{27D015BE-B46B-4642-9562-5FC93317906B}"/>
    <hyperlink ref="B224" r:id="rId223" xr:uid="{CD1B5542-0BED-45A5-A21E-87E3704D0C40}"/>
    <hyperlink ref="B225" r:id="rId224" xr:uid="{F53459C1-AD63-48E9-8E54-66338FB4F3AC}"/>
    <hyperlink ref="B226" r:id="rId225" xr:uid="{7F762628-417F-4AC2-BF89-96369438C1B6}"/>
    <hyperlink ref="B227" r:id="rId226" xr:uid="{18DCC8A1-8577-4637-B762-F9DF26D9F8BE}"/>
    <hyperlink ref="B228" r:id="rId227" xr:uid="{5399D762-310C-40FE-BB08-71C28BFF453F}"/>
    <hyperlink ref="B229" r:id="rId228" xr:uid="{29EA4A24-B68A-423F-B1D8-506AA419B93D}"/>
    <hyperlink ref="B230" r:id="rId229" xr:uid="{CC76F67E-80B3-473A-BA38-8C21983F0DE1}"/>
    <hyperlink ref="B231" r:id="rId230" xr:uid="{B43A57AD-EF9C-4232-BC72-41B612FB240C}"/>
    <hyperlink ref="B232" r:id="rId231" xr:uid="{59E90C27-92DC-4AC7-9FB7-3DEE152B5950}"/>
    <hyperlink ref="B233" r:id="rId232" xr:uid="{315E32D7-54EA-49B0-A341-C45BE4362D0B}"/>
    <hyperlink ref="B234" r:id="rId233" xr:uid="{54FCA2B7-7137-47AE-8AE0-4289045202ED}"/>
    <hyperlink ref="B235" r:id="rId234" xr:uid="{15234B7A-20FF-4676-886C-7983CD489645}"/>
    <hyperlink ref="B236" r:id="rId235" xr:uid="{BB8CB8F6-BA75-46D0-9120-4B84D20DF8A2}"/>
    <hyperlink ref="B237" r:id="rId236" xr:uid="{6DA61F2B-3CF5-4DE7-B50D-710031E55343}"/>
    <hyperlink ref="B238" r:id="rId237" xr:uid="{D31743EA-E5DA-4640-9454-C8896E80A191}"/>
    <hyperlink ref="B239" r:id="rId238" xr:uid="{7E9A1644-422E-4CC7-9650-9767CBE0DD72}"/>
    <hyperlink ref="B240" r:id="rId239" xr:uid="{9F9240F1-0CC7-4570-A08A-715F37DF5C39}"/>
    <hyperlink ref="B241" r:id="rId240" xr:uid="{2E9AF165-4E0F-4E32-A628-28E7F07CCB6B}"/>
    <hyperlink ref="B242" r:id="rId241" xr:uid="{05937BDF-3B5A-4B30-8A7E-414C801D5375}"/>
    <hyperlink ref="B243" r:id="rId242" xr:uid="{DC81C29B-9448-4E70-89AC-45E2F89EE015}"/>
  </hyperlinks>
  <pageMargins left="0.7" right="0.7" top="0.75" bottom="0.75" header="0.3" footer="0.3"/>
  <tableParts count="1">
    <tablePart r:id="rId24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DDE72F5CAD7948BA544AA9C8D1F6D7" ma:contentTypeVersion="8" ma:contentTypeDescription="Create a new document." ma:contentTypeScope="" ma:versionID="260b652c5aca656083f3070458020fb8">
  <xsd:schema xmlns:xsd="http://www.w3.org/2001/XMLSchema" xmlns:xs="http://www.w3.org/2001/XMLSchema" xmlns:p="http://schemas.microsoft.com/office/2006/metadata/properties" xmlns:ns3="8625ae83-10fd-49c5-a206-0f819fcc4e0e" xmlns:ns4="856c2381-dd6e-437f-b798-5b7883db0298" targetNamespace="http://schemas.microsoft.com/office/2006/metadata/properties" ma:root="true" ma:fieldsID="dae3ac64043d53be514f047d67b5fe33" ns3:_="" ns4:_="">
    <xsd:import namespace="8625ae83-10fd-49c5-a206-0f819fcc4e0e"/>
    <xsd:import namespace="856c2381-dd6e-437f-b798-5b7883db0298"/>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25ae83-10fd-49c5-a206-0f819fcc4e0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6c2381-dd6e-437f-b798-5b7883db0298"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element name="SharingHintHash" ma:index="12" nillable="true" ma:displayName="Sharing Hint Hash" ma:descriptio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713029-E6D5-40BD-BC69-26F237F368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25ae83-10fd-49c5-a206-0f819fcc4e0e"/>
    <ds:schemaRef ds:uri="856c2381-dd6e-437f-b798-5b7883db02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0F085DE-1608-47D0-AADD-67388B0C472D}">
  <ds:schemaRefs>
    <ds:schemaRef ds:uri="http://purl.org/dc/terms/"/>
    <ds:schemaRef ds:uri="http://purl.org/dc/dcmitype/"/>
    <ds:schemaRef ds:uri="http://schemas.microsoft.com/office/2006/documentManagement/types"/>
    <ds:schemaRef ds:uri="http://schemas.microsoft.com/office/infopath/2007/PartnerControls"/>
    <ds:schemaRef ds:uri="http://www.w3.org/XML/1998/namespace"/>
    <ds:schemaRef ds:uri="http://purl.org/dc/elements/1.1/"/>
    <ds:schemaRef ds:uri="http://schemas.microsoft.com/office/2006/metadata/properties"/>
    <ds:schemaRef ds:uri="http://schemas.openxmlformats.org/package/2006/metadata/core-properties"/>
    <ds:schemaRef ds:uri="856c2381-dd6e-437f-b798-5b7883db0298"/>
    <ds:schemaRef ds:uri="8625ae83-10fd-49c5-a206-0f819fcc4e0e"/>
  </ds:schemaRefs>
</ds:datastoreItem>
</file>

<file path=customXml/itemProps3.xml><?xml version="1.0" encoding="utf-8"?>
<ds:datastoreItem xmlns:ds="http://schemas.openxmlformats.org/officeDocument/2006/customXml" ds:itemID="{598A0F01-5778-4B11-96C1-C3637C60D87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19</vt:i4>
      </vt:variant>
    </vt:vector>
  </HeadingPairs>
  <TitlesOfParts>
    <vt:vector size="50" baseType="lpstr">
      <vt:lpstr>Martha McSally</vt:lpstr>
      <vt:lpstr>Mark Kelly</vt:lpstr>
      <vt:lpstr>David Perdue</vt:lpstr>
      <vt:lpstr>Jon Ossoff</vt:lpstr>
      <vt:lpstr>Joni Ernst</vt:lpstr>
      <vt:lpstr>Theresa Greenfield</vt:lpstr>
      <vt:lpstr>Susan Collins</vt:lpstr>
      <vt:lpstr>Sara Gideon</vt:lpstr>
      <vt:lpstr>Gary Peters</vt:lpstr>
      <vt:lpstr>John James</vt:lpstr>
      <vt:lpstr>Tina Smith</vt:lpstr>
      <vt:lpstr>Jason Lewis</vt:lpstr>
      <vt:lpstr>Jeanne Shaheen</vt:lpstr>
      <vt:lpstr>Corky Messner</vt:lpstr>
      <vt:lpstr>Thom Tillis</vt:lpstr>
      <vt:lpstr>Cal Cunningham</vt:lpstr>
      <vt:lpstr>John Cornyn</vt:lpstr>
      <vt:lpstr>MJ Hegar</vt:lpstr>
      <vt:lpstr>Mark Warner</vt:lpstr>
      <vt:lpstr>Daniel Gade</vt:lpstr>
      <vt:lpstr>Table 1</vt:lpstr>
      <vt:lpstr>Table 2</vt:lpstr>
      <vt:lpstr>CODING SHEET</vt:lpstr>
      <vt:lpstr>Table 4</vt:lpstr>
      <vt:lpstr>Table 5</vt:lpstr>
      <vt:lpstr>Table 6</vt:lpstr>
      <vt:lpstr>Table 7</vt:lpstr>
      <vt:lpstr>Table 8</vt:lpstr>
      <vt:lpstr>Table 9</vt:lpstr>
      <vt:lpstr>Distributions</vt:lpstr>
      <vt:lpstr>Engagement Averages</vt:lpstr>
      <vt:lpstr>abortion</vt:lpstr>
      <vt:lpstr>bipartisan</vt:lpstr>
      <vt:lpstr>climate</vt:lpstr>
      <vt:lpstr>covid</vt:lpstr>
      <vt:lpstr>democrattrigger</vt:lpstr>
      <vt:lpstr>econineq</vt:lpstr>
      <vt:lpstr>economy</vt:lpstr>
      <vt:lpstr>foreign</vt:lpstr>
      <vt:lpstr>goreign</vt:lpstr>
      <vt:lpstr>gun</vt:lpstr>
      <vt:lpstr>healthcare</vt:lpstr>
      <vt:lpstr>immigration</vt:lpstr>
      <vt:lpstr>partisanship</vt:lpstr>
      <vt:lpstr>race</vt:lpstr>
      <vt:lpstr>republicantrigger</vt:lpstr>
      <vt:lpstr>supreme</vt:lpstr>
      <vt:lpstr>trump</vt:lpstr>
      <vt:lpstr>violent</vt:lpstr>
      <vt:lpstr>voting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Jacob Keith</dc:creator>
  <cp:keywords/>
  <dc:description/>
  <cp:lastModifiedBy>Jacob Keith</cp:lastModifiedBy>
  <cp:revision/>
  <dcterms:created xsi:type="dcterms:W3CDTF">2020-11-12T23:32:19Z</dcterms:created>
  <dcterms:modified xsi:type="dcterms:W3CDTF">2021-04-26T16:54:50Z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0x01010031DDE72F5CAD7948BA544AA9C8D1F6D7</vt:lpwstr>
  </property>
</Properties>
</file>